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il Cleaner" sheetId="1" state="visible" r:id="rId1"/>
    <sheet xmlns:r="http://schemas.openxmlformats.org/officeDocument/2006/relationships" name="Bad Patterns" sheetId="2" state="visible" r:id="rId2"/>
    <sheet xmlns:r="http://schemas.openxmlformats.org/officeDocument/2006/relationships" name="Clean Emails" sheetId="3" state="visible" r:id="rId3"/>
    <sheet xmlns:r="http://schemas.openxmlformats.org/officeDocument/2006/relationships" name="Removed Emails" sheetId="4" state="visible" r:id="rId4"/>
    <sheet xmlns:r="http://schemas.openxmlformats.org/officeDocument/2006/relationships" name="Gmail Emails" sheetId="5" state="visible" r:id="rId5"/>
    <sheet xmlns:r="http://schemas.openxmlformats.org/officeDocument/2006/relationships" name="Outlook Emails" sheetId="6" state="visible" r:id="rId6"/>
    <sheet xmlns:r="http://schemas.openxmlformats.org/officeDocument/2006/relationships" name="Domain Emails" sheetId="7" state="visible" r:id="rId7"/>
    <sheet xmlns:r="http://schemas.openxmlformats.org/officeDocument/2006/relationships" name="Dashboard" sheetId="8" state="visible" r:id="rId8"/>
    <sheet xmlns:r="http://schemas.openxmlformats.org/officeDocument/2006/relationships" name="How To Use" sheetId="9" state="visible" r:id="rId9"/>
  </sheets>
  <definedNames>
    <definedName name="_xlnm._FilterDatabase" localSheetId="0" hidden="1">'Email Cleaner'!$A$1:$K$10001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color rgb="000000FF"/>
    </font>
    <font>
      <b val="1"/>
      <color rgb="00FFFFFF"/>
      <sz val="16"/>
    </font>
    <font>
      <b val="1"/>
    </font>
    <font>
      <b val="1"/>
      <color rgb="001F2937"/>
      <sz val="18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D9EAD3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FCE5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45" customWidth="1" min="3" max="3"/>
    <col width="14" customWidth="1" min="4" max="4"/>
    <col width="14" customWidth="1" min="5" max="5"/>
    <col width="28" customWidth="1" min="6" max="6"/>
    <col width="10" customWidth="1" min="7" max="7"/>
    <col width="12" customWidth="1" min="8" max="8"/>
    <col width="10" customWidth="1" min="9" max="9"/>
    <col width="12" customWidth="1" min="10" max="10"/>
    <col width="10" customWidth="1" min="11" max="11"/>
  </cols>
  <sheetData>
    <row r="1">
      <c r="A1" s="1" t="inlineStr">
        <is>
          <t>Original Email Paste Here</t>
        </is>
      </c>
      <c r="B1" s="1" t="inlineStr">
        <is>
          <t>Cleaned Email</t>
        </is>
      </c>
      <c r="C1" s="1" t="inlineStr">
        <is>
          <t>Matched Bad Pattern</t>
        </is>
      </c>
      <c r="D1" s="1" t="inlineStr">
        <is>
          <t>Status</t>
        </is>
      </c>
      <c r="E1" s="1" t="inlineStr">
        <is>
          <t>Email Type</t>
        </is>
      </c>
      <c r="F1" s="1" t="inlineStr">
        <is>
          <t>Domain</t>
        </is>
      </c>
      <c r="G1" s="1" t="inlineStr">
        <is>
          <t>Clean #</t>
        </is>
      </c>
      <c r="H1" s="1" t="inlineStr">
        <is>
          <t>Removed #</t>
        </is>
      </c>
      <c r="I1" s="1" t="inlineStr">
        <is>
          <t>Gmail #</t>
        </is>
      </c>
      <c r="J1" s="1" t="inlineStr">
        <is>
          <t>Outlook #</t>
        </is>
      </c>
      <c r="K1" s="1" t="inlineStr">
        <is>
          <t>Domain #</t>
        </is>
      </c>
    </row>
    <row r="2">
      <c r="A2" s="2" t="n"/>
      <c r="B2">
        <f>LOWER(TRIM(A2))</f>
        <v/>
      </c>
      <c r="C2">
        <f>IF(B2="","",IFERROR(INDEX('Bad Patterns'!$A$2:$A$120,MATCH(1,INDEX(--ISNUMBER(SEARCH('Bad Patterns'!$A$2:$A$120,B2)),0),0)),""))</f>
        <v/>
      </c>
      <c r="D2">
        <f>IF(B2="","",IF(C2&lt;&gt;"","REMOVE","KEEP"))</f>
        <v/>
      </c>
      <c r="E2">
        <f>IF(D2&lt;&gt;"KEEP","",IF(RIGHT(B2,10)="@gmail.com","Gmail",IF(OR(RIGHT(B2,12)="@outlook.com",RIGHT(B2,12)="@hotmail.com",RIGHT(B2,9)="@live.com"),"Outlook","Domain")))</f>
        <v/>
      </c>
      <c r="F2">
        <f>IF(B2="","",IFERROR(RIGHT(B2,LEN(B2)-FIND("@",B2)),""))</f>
        <v/>
      </c>
      <c r="G2">
        <f>IF(D2="KEEP",COUNTIF($D$2:D2,"KEEP"),"")</f>
        <v/>
      </c>
      <c r="H2">
        <f>IF(D2="REMOVE",COUNTIF($D$2:D2,"REMOVE"),"")</f>
        <v/>
      </c>
      <c r="I2">
        <f>IF(E2="Gmail",COUNTIF($E$2:E2,"Gmail"),"")</f>
        <v/>
      </c>
      <c r="J2">
        <f>IF(E2="Outlook",COUNTIF($E$2:E2,"Outlook"),"")</f>
        <v/>
      </c>
      <c r="K2">
        <f>IF(E2="Domain",COUNTIF($E$2:E2,"Domain"),"")</f>
        <v/>
      </c>
    </row>
    <row r="3">
      <c r="A3" s="2" t="n"/>
      <c r="B3">
        <f>LOWER(TRIM(A3))</f>
        <v/>
      </c>
      <c r="C3">
        <f>IF(B3="","",IFERROR(INDEX('Bad Patterns'!$A$2:$A$120,MATCH(1,INDEX(--ISNUMBER(SEARCH('Bad Patterns'!$A$2:$A$120,B3)),0),0)),""))</f>
        <v/>
      </c>
      <c r="D3">
        <f>IF(B3="","",IF(C3&lt;&gt;"","REMOVE","KEEP"))</f>
        <v/>
      </c>
      <c r="E3">
        <f>IF(D3&lt;&gt;"KEEP","",IF(RIGHT(B3,10)="@gmail.com","Gmail",IF(OR(RIGHT(B3,12)="@outlook.com",RIGHT(B3,12)="@hotmail.com",RIGHT(B3,9)="@live.com"),"Outlook","Domain")))</f>
        <v/>
      </c>
      <c r="F3">
        <f>IF(B3="","",IFERROR(RIGHT(B3,LEN(B3)-FIND("@",B3)),""))</f>
        <v/>
      </c>
      <c r="G3">
        <f>IF(D3="KEEP",COUNTIF($D$2:D3,"KEEP"),"")</f>
        <v/>
      </c>
      <c r="H3">
        <f>IF(D3="REMOVE",COUNTIF($D$2:D3,"REMOVE"),"")</f>
        <v/>
      </c>
      <c r="I3">
        <f>IF(E3="Gmail",COUNTIF($E$2:E3,"Gmail"),"")</f>
        <v/>
      </c>
      <c r="J3">
        <f>IF(E3="Outlook",COUNTIF($E$2:E3,"Outlook"),"")</f>
        <v/>
      </c>
      <c r="K3">
        <f>IF(E3="Domain",COUNTIF($E$2:E3,"Domain"),"")</f>
        <v/>
      </c>
    </row>
    <row r="4">
      <c r="A4" s="2" t="n"/>
      <c r="B4">
        <f>LOWER(TRIM(A4))</f>
        <v/>
      </c>
      <c r="C4">
        <f>IF(B4="","",IFERROR(INDEX('Bad Patterns'!$A$2:$A$120,MATCH(1,INDEX(--ISNUMBER(SEARCH('Bad Patterns'!$A$2:$A$120,B4)),0),0)),""))</f>
        <v/>
      </c>
      <c r="D4">
        <f>IF(B4="","",IF(C4&lt;&gt;"","REMOVE","KEEP"))</f>
        <v/>
      </c>
      <c r="E4">
        <f>IF(D4&lt;&gt;"KEEP","",IF(RIGHT(B4,10)="@gmail.com","Gmail",IF(OR(RIGHT(B4,12)="@outlook.com",RIGHT(B4,12)="@hotmail.com",RIGHT(B4,9)="@live.com"),"Outlook","Domain")))</f>
        <v/>
      </c>
      <c r="F4">
        <f>IF(B4="","",IFERROR(RIGHT(B4,LEN(B4)-FIND("@",B4)),""))</f>
        <v/>
      </c>
      <c r="G4">
        <f>IF(D4="KEEP",COUNTIF($D$2:D4,"KEEP"),"")</f>
        <v/>
      </c>
      <c r="H4">
        <f>IF(D4="REMOVE",COUNTIF($D$2:D4,"REMOVE"),"")</f>
        <v/>
      </c>
      <c r="I4">
        <f>IF(E4="Gmail",COUNTIF($E$2:E4,"Gmail"),"")</f>
        <v/>
      </c>
      <c r="J4">
        <f>IF(E4="Outlook",COUNTIF($E$2:E4,"Outlook"),"")</f>
        <v/>
      </c>
      <c r="K4">
        <f>IF(E4="Domain",COUNTIF($E$2:E4,"Domain"),"")</f>
        <v/>
      </c>
    </row>
    <row r="5">
      <c r="A5" s="2" t="n"/>
      <c r="B5">
        <f>LOWER(TRIM(A5))</f>
        <v/>
      </c>
      <c r="C5">
        <f>IF(B5="","",IFERROR(INDEX('Bad Patterns'!$A$2:$A$120,MATCH(1,INDEX(--ISNUMBER(SEARCH('Bad Patterns'!$A$2:$A$120,B5)),0),0)),""))</f>
        <v/>
      </c>
      <c r="D5">
        <f>IF(B5="","",IF(C5&lt;&gt;"","REMOVE","KEEP"))</f>
        <v/>
      </c>
      <c r="E5">
        <f>IF(D5&lt;&gt;"KEEP","",IF(RIGHT(B5,10)="@gmail.com","Gmail",IF(OR(RIGHT(B5,12)="@outlook.com",RIGHT(B5,12)="@hotmail.com",RIGHT(B5,9)="@live.com"),"Outlook","Domain")))</f>
        <v/>
      </c>
      <c r="F5">
        <f>IF(B5="","",IFERROR(RIGHT(B5,LEN(B5)-FIND("@",B5)),""))</f>
        <v/>
      </c>
      <c r="G5">
        <f>IF(D5="KEEP",COUNTIF($D$2:D5,"KEEP"),"")</f>
        <v/>
      </c>
      <c r="H5">
        <f>IF(D5="REMOVE",COUNTIF($D$2:D5,"REMOVE"),"")</f>
        <v/>
      </c>
      <c r="I5">
        <f>IF(E5="Gmail",COUNTIF($E$2:E5,"Gmail"),"")</f>
        <v/>
      </c>
      <c r="J5">
        <f>IF(E5="Outlook",COUNTIF($E$2:E5,"Outlook"),"")</f>
        <v/>
      </c>
      <c r="K5">
        <f>IF(E5="Domain",COUNTIF($E$2:E5,"Domain"),"")</f>
        <v/>
      </c>
    </row>
    <row r="6">
      <c r="A6" s="2" t="n"/>
      <c r="B6">
        <f>LOWER(TRIM(A6))</f>
        <v/>
      </c>
      <c r="C6">
        <f>IF(B6="","",IFERROR(INDEX('Bad Patterns'!$A$2:$A$120,MATCH(1,INDEX(--ISNUMBER(SEARCH('Bad Patterns'!$A$2:$A$120,B6)),0),0)),""))</f>
        <v/>
      </c>
      <c r="D6">
        <f>IF(B6="","",IF(C6&lt;&gt;"","REMOVE","KEEP"))</f>
        <v/>
      </c>
      <c r="E6">
        <f>IF(D6&lt;&gt;"KEEP","",IF(RIGHT(B6,10)="@gmail.com","Gmail",IF(OR(RIGHT(B6,12)="@outlook.com",RIGHT(B6,12)="@hotmail.com",RIGHT(B6,9)="@live.com"),"Outlook","Domain")))</f>
        <v/>
      </c>
      <c r="F6">
        <f>IF(B6="","",IFERROR(RIGHT(B6,LEN(B6)-FIND("@",B6)),""))</f>
        <v/>
      </c>
      <c r="G6">
        <f>IF(D6="KEEP",COUNTIF($D$2:D6,"KEEP"),"")</f>
        <v/>
      </c>
      <c r="H6">
        <f>IF(D6="REMOVE",COUNTIF($D$2:D6,"REMOVE"),"")</f>
        <v/>
      </c>
      <c r="I6">
        <f>IF(E6="Gmail",COUNTIF($E$2:E6,"Gmail"),"")</f>
        <v/>
      </c>
      <c r="J6">
        <f>IF(E6="Outlook",COUNTIF($E$2:E6,"Outlook"),"")</f>
        <v/>
      </c>
      <c r="K6">
        <f>IF(E6="Domain",COUNTIF($E$2:E6,"Domain"),"")</f>
        <v/>
      </c>
    </row>
    <row r="7">
      <c r="A7" s="2" t="n"/>
      <c r="B7">
        <f>LOWER(TRIM(A7))</f>
        <v/>
      </c>
      <c r="C7">
        <f>IF(B7="","",IFERROR(INDEX('Bad Patterns'!$A$2:$A$120,MATCH(1,INDEX(--ISNUMBER(SEARCH('Bad Patterns'!$A$2:$A$120,B7)),0),0)),""))</f>
        <v/>
      </c>
      <c r="D7">
        <f>IF(B7="","",IF(C7&lt;&gt;"","REMOVE","KEEP"))</f>
        <v/>
      </c>
      <c r="E7">
        <f>IF(D7&lt;&gt;"KEEP","",IF(RIGHT(B7,10)="@gmail.com","Gmail",IF(OR(RIGHT(B7,12)="@outlook.com",RIGHT(B7,12)="@hotmail.com",RIGHT(B7,9)="@live.com"),"Outlook","Domain")))</f>
        <v/>
      </c>
      <c r="F7">
        <f>IF(B7="","",IFERROR(RIGHT(B7,LEN(B7)-FIND("@",B7)),""))</f>
        <v/>
      </c>
      <c r="G7">
        <f>IF(D7="KEEP",COUNTIF($D$2:D7,"KEEP"),"")</f>
        <v/>
      </c>
      <c r="H7">
        <f>IF(D7="REMOVE",COUNTIF($D$2:D7,"REMOVE"),"")</f>
        <v/>
      </c>
      <c r="I7">
        <f>IF(E7="Gmail",COUNTIF($E$2:E7,"Gmail"),"")</f>
        <v/>
      </c>
      <c r="J7">
        <f>IF(E7="Outlook",COUNTIF($E$2:E7,"Outlook"),"")</f>
        <v/>
      </c>
      <c r="K7">
        <f>IF(E7="Domain",COUNTIF($E$2:E7,"Domain"),"")</f>
        <v/>
      </c>
    </row>
    <row r="8">
      <c r="A8" s="2" t="n"/>
      <c r="B8">
        <f>LOWER(TRIM(A8))</f>
        <v/>
      </c>
      <c r="C8">
        <f>IF(B8="","",IFERROR(INDEX('Bad Patterns'!$A$2:$A$120,MATCH(1,INDEX(--ISNUMBER(SEARCH('Bad Patterns'!$A$2:$A$120,B8)),0),0)),""))</f>
        <v/>
      </c>
      <c r="D8">
        <f>IF(B8="","",IF(C8&lt;&gt;"","REMOVE","KEEP"))</f>
        <v/>
      </c>
      <c r="E8">
        <f>IF(D8&lt;&gt;"KEEP","",IF(RIGHT(B8,10)="@gmail.com","Gmail",IF(OR(RIGHT(B8,12)="@outlook.com",RIGHT(B8,12)="@hotmail.com",RIGHT(B8,9)="@live.com"),"Outlook","Domain")))</f>
        <v/>
      </c>
      <c r="F8">
        <f>IF(B8="","",IFERROR(RIGHT(B8,LEN(B8)-FIND("@",B8)),""))</f>
        <v/>
      </c>
      <c r="G8">
        <f>IF(D8="KEEP",COUNTIF($D$2:D8,"KEEP"),"")</f>
        <v/>
      </c>
      <c r="H8">
        <f>IF(D8="REMOVE",COUNTIF($D$2:D8,"REMOVE"),"")</f>
        <v/>
      </c>
      <c r="I8">
        <f>IF(E8="Gmail",COUNTIF($E$2:E8,"Gmail"),"")</f>
        <v/>
      </c>
      <c r="J8">
        <f>IF(E8="Outlook",COUNTIF($E$2:E8,"Outlook"),"")</f>
        <v/>
      </c>
      <c r="K8">
        <f>IF(E8="Domain",COUNTIF($E$2:E8,"Domain"),"")</f>
        <v/>
      </c>
    </row>
    <row r="9">
      <c r="A9" s="2" t="n"/>
      <c r="B9">
        <f>LOWER(TRIM(A9))</f>
        <v/>
      </c>
      <c r="C9">
        <f>IF(B9="","",IFERROR(INDEX('Bad Patterns'!$A$2:$A$120,MATCH(1,INDEX(--ISNUMBER(SEARCH('Bad Patterns'!$A$2:$A$120,B9)),0),0)),""))</f>
        <v/>
      </c>
      <c r="D9">
        <f>IF(B9="","",IF(C9&lt;&gt;"","REMOVE","KEEP"))</f>
        <v/>
      </c>
      <c r="E9">
        <f>IF(D9&lt;&gt;"KEEP","",IF(RIGHT(B9,10)="@gmail.com","Gmail",IF(OR(RIGHT(B9,12)="@outlook.com",RIGHT(B9,12)="@hotmail.com",RIGHT(B9,9)="@live.com"),"Outlook","Domain")))</f>
        <v/>
      </c>
      <c r="F9">
        <f>IF(B9="","",IFERROR(RIGHT(B9,LEN(B9)-FIND("@",B9)),""))</f>
        <v/>
      </c>
      <c r="G9">
        <f>IF(D9="KEEP",COUNTIF($D$2:D9,"KEEP"),"")</f>
        <v/>
      </c>
      <c r="H9">
        <f>IF(D9="REMOVE",COUNTIF($D$2:D9,"REMOVE"),"")</f>
        <v/>
      </c>
      <c r="I9">
        <f>IF(E9="Gmail",COUNTIF($E$2:E9,"Gmail"),"")</f>
        <v/>
      </c>
      <c r="J9">
        <f>IF(E9="Outlook",COUNTIF($E$2:E9,"Outlook"),"")</f>
        <v/>
      </c>
      <c r="K9">
        <f>IF(E9="Domain",COUNTIF($E$2:E9,"Domain"),"")</f>
        <v/>
      </c>
    </row>
    <row r="10">
      <c r="A10" s="2" t="n"/>
      <c r="B10">
        <f>LOWER(TRIM(A10))</f>
        <v/>
      </c>
      <c r="C10">
        <f>IF(B10="","",IFERROR(INDEX('Bad Patterns'!$A$2:$A$120,MATCH(1,INDEX(--ISNUMBER(SEARCH('Bad Patterns'!$A$2:$A$120,B10)),0),0)),""))</f>
        <v/>
      </c>
      <c r="D10">
        <f>IF(B10="","",IF(C10&lt;&gt;"","REMOVE","KEEP"))</f>
        <v/>
      </c>
      <c r="E10">
        <f>IF(D10&lt;&gt;"KEEP","",IF(RIGHT(B10,10)="@gmail.com","Gmail",IF(OR(RIGHT(B10,12)="@outlook.com",RIGHT(B10,12)="@hotmail.com",RIGHT(B10,9)="@live.com"),"Outlook","Domain")))</f>
        <v/>
      </c>
      <c r="F10">
        <f>IF(B10="","",IFERROR(RIGHT(B10,LEN(B10)-FIND("@",B10)),""))</f>
        <v/>
      </c>
      <c r="G10">
        <f>IF(D10="KEEP",COUNTIF($D$2:D10,"KEEP"),"")</f>
        <v/>
      </c>
      <c r="H10">
        <f>IF(D10="REMOVE",COUNTIF($D$2:D10,"REMOVE"),"")</f>
        <v/>
      </c>
      <c r="I10">
        <f>IF(E10="Gmail",COUNTIF($E$2:E10,"Gmail"),"")</f>
        <v/>
      </c>
      <c r="J10">
        <f>IF(E10="Outlook",COUNTIF($E$2:E10,"Outlook"),"")</f>
        <v/>
      </c>
      <c r="K10">
        <f>IF(E10="Domain",COUNTIF($E$2:E10,"Domain"),"")</f>
        <v/>
      </c>
    </row>
    <row r="11">
      <c r="A11" s="2" t="n"/>
      <c r="B11">
        <f>LOWER(TRIM(A11))</f>
        <v/>
      </c>
      <c r="C11">
        <f>IF(B11="","",IFERROR(INDEX('Bad Patterns'!$A$2:$A$120,MATCH(1,INDEX(--ISNUMBER(SEARCH('Bad Patterns'!$A$2:$A$120,B11)),0),0)),""))</f>
        <v/>
      </c>
      <c r="D11">
        <f>IF(B11="","",IF(C11&lt;&gt;"","REMOVE","KEEP"))</f>
        <v/>
      </c>
      <c r="E11">
        <f>IF(D11&lt;&gt;"KEEP","",IF(RIGHT(B11,10)="@gmail.com","Gmail",IF(OR(RIGHT(B11,12)="@outlook.com",RIGHT(B11,12)="@hotmail.com",RIGHT(B11,9)="@live.com"),"Outlook","Domain")))</f>
        <v/>
      </c>
      <c r="F11">
        <f>IF(B11="","",IFERROR(RIGHT(B11,LEN(B11)-FIND("@",B11)),""))</f>
        <v/>
      </c>
      <c r="G11">
        <f>IF(D11="KEEP",COUNTIF($D$2:D11,"KEEP"),"")</f>
        <v/>
      </c>
      <c r="H11">
        <f>IF(D11="REMOVE",COUNTIF($D$2:D11,"REMOVE"),"")</f>
        <v/>
      </c>
      <c r="I11">
        <f>IF(E11="Gmail",COUNTIF($E$2:E11,"Gmail"),"")</f>
        <v/>
      </c>
      <c r="J11">
        <f>IF(E11="Outlook",COUNTIF($E$2:E11,"Outlook"),"")</f>
        <v/>
      </c>
      <c r="K11">
        <f>IF(E11="Domain",COUNTIF($E$2:E11,"Domain"),"")</f>
        <v/>
      </c>
    </row>
    <row r="12">
      <c r="A12" s="2" t="n"/>
      <c r="B12">
        <f>LOWER(TRIM(A12))</f>
        <v/>
      </c>
      <c r="C12">
        <f>IF(B12="","",IFERROR(INDEX('Bad Patterns'!$A$2:$A$120,MATCH(1,INDEX(--ISNUMBER(SEARCH('Bad Patterns'!$A$2:$A$120,B12)),0),0)),""))</f>
        <v/>
      </c>
      <c r="D12">
        <f>IF(B12="","",IF(C12&lt;&gt;"","REMOVE","KEEP"))</f>
        <v/>
      </c>
      <c r="E12">
        <f>IF(D12&lt;&gt;"KEEP","",IF(RIGHT(B12,10)="@gmail.com","Gmail",IF(OR(RIGHT(B12,12)="@outlook.com",RIGHT(B12,12)="@hotmail.com",RIGHT(B12,9)="@live.com"),"Outlook","Domain")))</f>
        <v/>
      </c>
      <c r="F12">
        <f>IF(B12="","",IFERROR(RIGHT(B12,LEN(B12)-FIND("@",B12)),""))</f>
        <v/>
      </c>
      <c r="G12">
        <f>IF(D12="KEEP",COUNTIF($D$2:D12,"KEEP"),"")</f>
        <v/>
      </c>
      <c r="H12">
        <f>IF(D12="REMOVE",COUNTIF($D$2:D12,"REMOVE"),"")</f>
        <v/>
      </c>
      <c r="I12">
        <f>IF(E12="Gmail",COUNTIF($E$2:E12,"Gmail"),"")</f>
        <v/>
      </c>
      <c r="J12">
        <f>IF(E12="Outlook",COUNTIF($E$2:E12,"Outlook"),"")</f>
        <v/>
      </c>
      <c r="K12">
        <f>IF(E12="Domain",COUNTIF($E$2:E12,"Domain"),"")</f>
        <v/>
      </c>
    </row>
    <row r="13">
      <c r="A13" s="2" t="n"/>
      <c r="B13">
        <f>LOWER(TRIM(A13))</f>
        <v/>
      </c>
      <c r="C13">
        <f>IF(B13="","",IFERROR(INDEX('Bad Patterns'!$A$2:$A$120,MATCH(1,INDEX(--ISNUMBER(SEARCH('Bad Patterns'!$A$2:$A$120,B13)),0),0)),""))</f>
        <v/>
      </c>
      <c r="D13">
        <f>IF(B13="","",IF(C13&lt;&gt;"","REMOVE","KEEP"))</f>
        <v/>
      </c>
      <c r="E13">
        <f>IF(D13&lt;&gt;"KEEP","",IF(RIGHT(B13,10)="@gmail.com","Gmail",IF(OR(RIGHT(B13,12)="@outlook.com",RIGHT(B13,12)="@hotmail.com",RIGHT(B13,9)="@live.com"),"Outlook","Domain")))</f>
        <v/>
      </c>
      <c r="F13">
        <f>IF(B13="","",IFERROR(RIGHT(B13,LEN(B13)-FIND("@",B13)),""))</f>
        <v/>
      </c>
      <c r="G13">
        <f>IF(D13="KEEP",COUNTIF($D$2:D13,"KEEP"),"")</f>
        <v/>
      </c>
      <c r="H13">
        <f>IF(D13="REMOVE",COUNTIF($D$2:D13,"REMOVE"),"")</f>
        <v/>
      </c>
      <c r="I13">
        <f>IF(E13="Gmail",COUNTIF($E$2:E13,"Gmail"),"")</f>
        <v/>
      </c>
      <c r="J13">
        <f>IF(E13="Outlook",COUNTIF($E$2:E13,"Outlook"),"")</f>
        <v/>
      </c>
      <c r="K13">
        <f>IF(E13="Domain",COUNTIF($E$2:E13,"Domain"),"")</f>
        <v/>
      </c>
    </row>
    <row r="14">
      <c r="A14" s="2" t="n"/>
      <c r="B14">
        <f>LOWER(TRIM(A14))</f>
        <v/>
      </c>
      <c r="C14">
        <f>IF(B14="","",IFERROR(INDEX('Bad Patterns'!$A$2:$A$120,MATCH(1,INDEX(--ISNUMBER(SEARCH('Bad Patterns'!$A$2:$A$120,B14)),0),0)),""))</f>
        <v/>
      </c>
      <c r="D14">
        <f>IF(B14="","",IF(C14&lt;&gt;"","REMOVE","KEEP"))</f>
        <v/>
      </c>
      <c r="E14">
        <f>IF(D14&lt;&gt;"KEEP","",IF(RIGHT(B14,10)="@gmail.com","Gmail",IF(OR(RIGHT(B14,12)="@outlook.com",RIGHT(B14,12)="@hotmail.com",RIGHT(B14,9)="@live.com"),"Outlook","Domain")))</f>
        <v/>
      </c>
      <c r="F14">
        <f>IF(B14="","",IFERROR(RIGHT(B14,LEN(B14)-FIND("@",B14)),""))</f>
        <v/>
      </c>
      <c r="G14">
        <f>IF(D14="KEEP",COUNTIF($D$2:D14,"KEEP"),"")</f>
        <v/>
      </c>
      <c r="H14">
        <f>IF(D14="REMOVE",COUNTIF($D$2:D14,"REMOVE"),"")</f>
        <v/>
      </c>
      <c r="I14">
        <f>IF(E14="Gmail",COUNTIF($E$2:E14,"Gmail"),"")</f>
        <v/>
      </c>
      <c r="J14">
        <f>IF(E14="Outlook",COUNTIF($E$2:E14,"Outlook"),"")</f>
        <v/>
      </c>
      <c r="K14">
        <f>IF(E14="Domain",COUNTIF($E$2:E14,"Domain"),"")</f>
        <v/>
      </c>
    </row>
    <row r="15">
      <c r="A15" s="2" t="n"/>
      <c r="B15">
        <f>LOWER(TRIM(A15))</f>
        <v/>
      </c>
      <c r="C15">
        <f>IF(B15="","",IFERROR(INDEX('Bad Patterns'!$A$2:$A$120,MATCH(1,INDEX(--ISNUMBER(SEARCH('Bad Patterns'!$A$2:$A$120,B15)),0),0)),""))</f>
        <v/>
      </c>
      <c r="D15">
        <f>IF(B15="","",IF(C15&lt;&gt;"","REMOVE","KEEP"))</f>
        <v/>
      </c>
      <c r="E15">
        <f>IF(D15&lt;&gt;"KEEP","",IF(RIGHT(B15,10)="@gmail.com","Gmail",IF(OR(RIGHT(B15,12)="@outlook.com",RIGHT(B15,12)="@hotmail.com",RIGHT(B15,9)="@live.com"),"Outlook","Domain")))</f>
        <v/>
      </c>
      <c r="F15">
        <f>IF(B15="","",IFERROR(RIGHT(B15,LEN(B15)-FIND("@",B15)),""))</f>
        <v/>
      </c>
      <c r="G15">
        <f>IF(D15="KEEP",COUNTIF($D$2:D15,"KEEP"),"")</f>
        <v/>
      </c>
      <c r="H15">
        <f>IF(D15="REMOVE",COUNTIF($D$2:D15,"REMOVE"),"")</f>
        <v/>
      </c>
      <c r="I15">
        <f>IF(E15="Gmail",COUNTIF($E$2:E15,"Gmail"),"")</f>
        <v/>
      </c>
      <c r="J15">
        <f>IF(E15="Outlook",COUNTIF($E$2:E15,"Outlook"),"")</f>
        <v/>
      </c>
      <c r="K15">
        <f>IF(E15="Domain",COUNTIF($E$2:E15,"Domain"),"")</f>
        <v/>
      </c>
    </row>
    <row r="16">
      <c r="A16" s="2" t="n"/>
      <c r="B16">
        <f>LOWER(TRIM(A16))</f>
        <v/>
      </c>
      <c r="C16">
        <f>IF(B16="","",IFERROR(INDEX('Bad Patterns'!$A$2:$A$120,MATCH(1,INDEX(--ISNUMBER(SEARCH('Bad Patterns'!$A$2:$A$120,B16)),0),0)),""))</f>
        <v/>
      </c>
      <c r="D16">
        <f>IF(B16="","",IF(C16&lt;&gt;"","REMOVE","KEEP"))</f>
        <v/>
      </c>
      <c r="E16">
        <f>IF(D16&lt;&gt;"KEEP","",IF(RIGHT(B16,10)="@gmail.com","Gmail",IF(OR(RIGHT(B16,12)="@outlook.com",RIGHT(B16,12)="@hotmail.com",RIGHT(B16,9)="@live.com"),"Outlook","Domain")))</f>
        <v/>
      </c>
      <c r="F16">
        <f>IF(B16="","",IFERROR(RIGHT(B16,LEN(B16)-FIND("@",B16)),""))</f>
        <v/>
      </c>
      <c r="G16">
        <f>IF(D16="KEEP",COUNTIF($D$2:D16,"KEEP"),"")</f>
        <v/>
      </c>
      <c r="H16">
        <f>IF(D16="REMOVE",COUNTIF($D$2:D16,"REMOVE"),"")</f>
        <v/>
      </c>
      <c r="I16">
        <f>IF(E16="Gmail",COUNTIF($E$2:E16,"Gmail"),"")</f>
        <v/>
      </c>
      <c r="J16">
        <f>IF(E16="Outlook",COUNTIF($E$2:E16,"Outlook"),"")</f>
        <v/>
      </c>
      <c r="K16">
        <f>IF(E16="Domain",COUNTIF($E$2:E16,"Domain"),"")</f>
        <v/>
      </c>
    </row>
    <row r="17">
      <c r="A17" s="2" t="n"/>
      <c r="B17">
        <f>LOWER(TRIM(A17))</f>
        <v/>
      </c>
      <c r="C17">
        <f>IF(B17="","",IFERROR(INDEX('Bad Patterns'!$A$2:$A$120,MATCH(1,INDEX(--ISNUMBER(SEARCH('Bad Patterns'!$A$2:$A$120,B17)),0),0)),""))</f>
        <v/>
      </c>
      <c r="D17">
        <f>IF(B17="","",IF(C17&lt;&gt;"","REMOVE","KEEP"))</f>
        <v/>
      </c>
      <c r="E17">
        <f>IF(D17&lt;&gt;"KEEP","",IF(RIGHT(B17,10)="@gmail.com","Gmail",IF(OR(RIGHT(B17,12)="@outlook.com",RIGHT(B17,12)="@hotmail.com",RIGHT(B17,9)="@live.com"),"Outlook","Domain")))</f>
        <v/>
      </c>
      <c r="F17">
        <f>IF(B17="","",IFERROR(RIGHT(B17,LEN(B17)-FIND("@",B17)),""))</f>
        <v/>
      </c>
      <c r="G17">
        <f>IF(D17="KEEP",COUNTIF($D$2:D17,"KEEP"),"")</f>
        <v/>
      </c>
      <c r="H17">
        <f>IF(D17="REMOVE",COUNTIF($D$2:D17,"REMOVE"),"")</f>
        <v/>
      </c>
      <c r="I17">
        <f>IF(E17="Gmail",COUNTIF($E$2:E17,"Gmail"),"")</f>
        <v/>
      </c>
      <c r="J17">
        <f>IF(E17="Outlook",COUNTIF($E$2:E17,"Outlook"),"")</f>
        <v/>
      </c>
      <c r="K17">
        <f>IF(E17="Domain",COUNTIF($E$2:E17,"Domain"),"")</f>
        <v/>
      </c>
    </row>
    <row r="18">
      <c r="A18" s="2" t="n"/>
      <c r="B18">
        <f>LOWER(TRIM(A18))</f>
        <v/>
      </c>
      <c r="C18">
        <f>IF(B18="","",IFERROR(INDEX('Bad Patterns'!$A$2:$A$120,MATCH(1,INDEX(--ISNUMBER(SEARCH('Bad Patterns'!$A$2:$A$120,B18)),0),0)),""))</f>
        <v/>
      </c>
      <c r="D18">
        <f>IF(B18="","",IF(C18&lt;&gt;"","REMOVE","KEEP"))</f>
        <v/>
      </c>
      <c r="E18">
        <f>IF(D18&lt;&gt;"KEEP","",IF(RIGHT(B18,10)="@gmail.com","Gmail",IF(OR(RIGHT(B18,12)="@outlook.com",RIGHT(B18,12)="@hotmail.com",RIGHT(B18,9)="@live.com"),"Outlook","Domain")))</f>
        <v/>
      </c>
      <c r="F18">
        <f>IF(B18="","",IFERROR(RIGHT(B18,LEN(B18)-FIND("@",B18)),""))</f>
        <v/>
      </c>
      <c r="G18">
        <f>IF(D18="KEEP",COUNTIF($D$2:D18,"KEEP"),"")</f>
        <v/>
      </c>
      <c r="H18">
        <f>IF(D18="REMOVE",COUNTIF($D$2:D18,"REMOVE"),"")</f>
        <v/>
      </c>
      <c r="I18">
        <f>IF(E18="Gmail",COUNTIF($E$2:E18,"Gmail"),"")</f>
        <v/>
      </c>
      <c r="J18">
        <f>IF(E18="Outlook",COUNTIF($E$2:E18,"Outlook"),"")</f>
        <v/>
      </c>
      <c r="K18">
        <f>IF(E18="Domain",COUNTIF($E$2:E18,"Domain"),"")</f>
        <v/>
      </c>
    </row>
    <row r="19">
      <c r="A19" s="2" t="n"/>
      <c r="B19">
        <f>LOWER(TRIM(A19))</f>
        <v/>
      </c>
      <c r="C19">
        <f>IF(B19="","",IFERROR(INDEX('Bad Patterns'!$A$2:$A$120,MATCH(1,INDEX(--ISNUMBER(SEARCH('Bad Patterns'!$A$2:$A$120,B19)),0),0)),""))</f>
        <v/>
      </c>
      <c r="D19">
        <f>IF(B19="","",IF(C19&lt;&gt;"","REMOVE","KEEP"))</f>
        <v/>
      </c>
      <c r="E19">
        <f>IF(D19&lt;&gt;"KEEP","",IF(RIGHT(B19,10)="@gmail.com","Gmail",IF(OR(RIGHT(B19,12)="@outlook.com",RIGHT(B19,12)="@hotmail.com",RIGHT(B19,9)="@live.com"),"Outlook","Domain")))</f>
        <v/>
      </c>
      <c r="F19">
        <f>IF(B19="","",IFERROR(RIGHT(B19,LEN(B19)-FIND("@",B19)),""))</f>
        <v/>
      </c>
      <c r="G19">
        <f>IF(D19="KEEP",COUNTIF($D$2:D19,"KEEP"),"")</f>
        <v/>
      </c>
      <c r="H19">
        <f>IF(D19="REMOVE",COUNTIF($D$2:D19,"REMOVE"),"")</f>
        <v/>
      </c>
      <c r="I19">
        <f>IF(E19="Gmail",COUNTIF($E$2:E19,"Gmail"),"")</f>
        <v/>
      </c>
      <c r="J19">
        <f>IF(E19="Outlook",COUNTIF($E$2:E19,"Outlook"),"")</f>
        <v/>
      </c>
      <c r="K19">
        <f>IF(E19="Domain",COUNTIF($E$2:E19,"Domain"),"")</f>
        <v/>
      </c>
    </row>
    <row r="20">
      <c r="A20" s="2" t="n"/>
      <c r="B20">
        <f>LOWER(TRIM(A20))</f>
        <v/>
      </c>
      <c r="C20">
        <f>IF(B20="","",IFERROR(INDEX('Bad Patterns'!$A$2:$A$120,MATCH(1,INDEX(--ISNUMBER(SEARCH('Bad Patterns'!$A$2:$A$120,B20)),0),0)),""))</f>
        <v/>
      </c>
      <c r="D20">
        <f>IF(B20="","",IF(C20&lt;&gt;"","REMOVE","KEEP"))</f>
        <v/>
      </c>
      <c r="E20">
        <f>IF(D20&lt;&gt;"KEEP","",IF(RIGHT(B20,10)="@gmail.com","Gmail",IF(OR(RIGHT(B20,12)="@outlook.com",RIGHT(B20,12)="@hotmail.com",RIGHT(B20,9)="@live.com"),"Outlook","Domain")))</f>
        <v/>
      </c>
      <c r="F20">
        <f>IF(B20="","",IFERROR(RIGHT(B20,LEN(B20)-FIND("@",B20)),""))</f>
        <v/>
      </c>
      <c r="G20">
        <f>IF(D20="KEEP",COUNTIF($D$2:D20,"KEEP"),"")</f>
        <v/>
      </c>
      <c r="H20">
        <f>IF(D20="REMOVE",COUNTIF($D$2:D20,"REMOVE"),"")</f>
        <v/>
      </c>
      <c r="I20">
        <f>IF(E20="Gmail",COUNTIF($E$2:E20,"Gmail"),"")</f>
        <v/>
      </c>
      <c r="J20">
        <f>IF(E20="Outlook",COUNTIF($E$2:E20,"Outlook"),"")</f>
        <v/>
      </c>
      <c r="K20">
        <f>IF(E20="Domain",COUNTIF($E$2:E20,"Domain"),"")</f>
        <v/>
      </c>
    </row>
    <row r="21">
      <c r="A21" s="2" t="n"/>
      <c r="B21">
        <f>LOWER(TRIM(A21))</f>
        <v/>
      </c>
      <c r="C21">
        <f>IF(B21="","",IFERROR(INDEX('Bad Patterns'!$A$2:$A$120,MATCH(1,INDEX(--ISNUMBER(SEARCH('Bad Patterns'!$A$2:$A$120,B21)),0),0)),""))</f>
        <v/>
      </c>
      <c r="D21">
        <f>IF(B21="","",IF(C21&lt;&gt;"","REMOVE","KEEP"))</f>
        <v/>
      </c>
      <c r="E21">
        <f>IF(D21&lt;&gt;"KEEP","",IF(RIGHT(B21,10)="@gmail.com","Gmail",IF(OR(RIGHT(B21,12)="@outlook.com",RIGHT(B21,12)="@hotmail.com",RIGHT(B21,9)="@live.com"),"Outlook","Domain")))</f>
        <v/>
      </c>
      <c r="F21">
        <f>IF(B21="","",IFERROR(RIGHT(B21,LEN(B21)-FIND("@",B21)),""))</f>
        <v/>
      </c>
      <c r="G21">
        <f>IF(D21="KEEP",COUNTIF($D$2:D21,"KEEP"),"")</f>
        <v/>
      </c>
      <c r="H21">
        <f>IF(D21="REMOVE",COUNTIF($D$2:D21,"REMOVE"),"")</f>
        <v/>
      </c>
      <c r="I21">
        <f>IF(E21="Gmail",COUNTIF($E$2:E21,"Gmail"),"")</f>
        <v/>
      </c>
      <c r="J21">
        <f>IF(E21="Outlook",COUNTIF($E$2:E21,"Outlook"),"")</f>
        <v/>
      </c>
      <c r="K21">
        <f>IF(E21="Domain",COUNTIF($E$2:E21,"Domain"),"")</f>
        <v/>
      </c>
    </row>
    <row r="22">
      <c r="A22" s="2" t="n"/>
      <c r="B22">
        <f>LOWER(TRIM(A22))</f>
        <v/>
      </c>
      <c r="C22">
        <f>IF(B22="","",IFERROR(INDEX('Bad Patterns'!$A$2:$A$120,MATCH(1,INDEX(--ISNUMBER(SEARCH('Bad Patterns'!$A$2:$A$120,B22)),0),0)),""))</f>
        <v/>
      </c>
      <c r="D22">
        <f>IF(B22="","",IF(C22&lt;&gt;"","REMOVE","KEEP"))</f>
        <v/>
      </c>
      <c r="E22">
        <f>IF(D22&lt;&gt;"KEEP","",IF(RIGHT(B22,10)="@gmail.com","Gmail",IF(OR(RIGHT(B22,12)="@outlook.com",RIGHT(B22,12)="@hotmail.com",RIGHT(B22,9)="@live.com"),"Outlook","Domain")))</f>
        <v/>
      </c>
      <c r="F22">
        <f>IF(B22="","",IFERROR(RIGHT(B22,LEN(B22)-FIND("@",B22)),""))</f>
        <v/>
      </c>
      <c r="G22">
        <f>IF(D22="KEEP",COUNTIF($D$2:D22,"KEEP"),"")</f>
        <v/>
      </c>
      <c r="H22">
        <f>IF(D22="REMOVE",COUNTIF($D$2:D22,"REMOVE"),"")</f>
        <v/>
      </c>
      <c r="I22">
        <f>IF(E22="Gmail",COUNTIF($E$2:E22,"Gmail"),"")</f>
        <v/>
      </c>
      <c r="J22">
        <f>IF(E22="Outlook",COUNTIF($E$2:E22,"Outlook"),"")</f>
        <v/>
      </c>
      <c r="K22">
        <f>IF(E22="Domain",COUNTIF($E$2:E22,"Domain"),"")</f>
        <v/>
      </c>
    </row>
    <row r="23">
      <c r="A23" s="2" t="n"/>
      <c r="B23">
        <f>LOWER(TRIM(A23))</f>
        <v/>
      </c>
      <c r="C23">
        <f>IF(B23="","",IFERROR(INDEX('Bad Patterns'!$A$2:$A$120,MATCH(1,INDEX(--ISNUMBER(SEARCH('Bad Patterns'!$A$2:$A$120,B23)),0),0)),""))</f>
        <v/>
      </c>
      <c r="D23">
        <f>IF(B23="","",IF(C23&lt;&gt;"","REMOVE","KEEP"))</f>
        <v/>
      </c>
      <c r="E23">
        <f>IF(D23&lt;&gt;"KEEP","",IF(RIGHT(B23,10)="@gmail.com","Gmail",IF(OR(RIGHT(B23,12)="@outlook.com",RIGHT(B23,12)="@hotmail.com",RIGHT(B23,9)="@live.com"),"Outlook","Domain")))</f>
        <v/>
      </c>
      <c r="F23">
        <f>IF(B23="","",IFERROR(RIGHT(B23,LEN(B23)-FIND("@",B23)),""))</f>
        <v/>
      </c>
      <c r="G23">
        <f>IF(D23="KEEP",COUNTIF($D$2:D23,"KEEP"),"")</f>
        <v/>
      </c>
      <c r="H23">
        <f>IF(D23="REMOVE",COUNTIF($D$2:D23,"REMOVE"),"")</f>
        <v/>
      </c>
      <c r="I23">
        <f>IF(E23="Gmail",COUNTIF($E$2:E23,"Gmail"),"")</f>
        <v/>
      </c>
      <c r="J23">
        <f>IF(E23="Outlook",COUNTIF($E$2:E23,"Outlook"),"")</f>
        <v/>
      </c>
      <c r="K23">
        <f>IF(E23="Domain",COUNTIF($E$2:E23,"Domain"),"")</f>
        <v/>
      </c>
    </row>
    <row r="24">
      <c r="A24" s="2" t="n"/>
      <c r="B24">
        <f>LOWER(TRIM(A24))</f>
        <v/>
      </c>
      <c r="C24">
        <f>IF(B24="","",IFERROR(INDEX('Bad Patterns'!$A$2:$A$120,MATCH(1,INDEX(--ISNUMBER(SEARCH('Bad Patterns'!$A$2:$A$120,B24)),0),0)),""))</f>
        <v/>
      </c>
      <c r="D24">
        <f>IF(B24="","",IF(C24&lt;&gt;"","REMOVE","KEEP"))</f>
        <v/>
      </c>
      <c r="E24">
        <f>IF(D24&lt;&gt;"KEEP","",IF(RIGHT(B24,10)="@gmail.com","Gmail",IF(OR(RIGHT(B24,12)="@outlook.com",RIGHT(B24,12)="@hotmail.com",RIGHT(B24,9)="@live.com"),"Outlook","Domain")))</f>
        <v/>
      </c>
      <c r="F24">
        <f>IF(B24="","",IFERROR(RIGHT(B24,LEN(B24)-FIND("@",B24)),""))</f>
        <v/>
      </c>
      <c r="G24">
        <f>IF(D24="KEEP",COUNTIF($D$2:D24,"KEEP"),"")</f>
        <v/>
      </c>
      <c r="H24">
        <f>IF(D24="REMOVE",COUNTIF($D$2:D24,"REMOVE"),"")</f>
        <v/>
      </c>
      <c r="I24">
        <f>IF(E24="Gmail",COUNTIF($E$2:E24,"Gmail"),"")</f>
        <v/>
      </c>
      <c r="J24">
        <f>IF(E24="Outlook",COUNTIF($E$2:E24,"Outlook"),"")</f>
        <v/>
      </c>
      <c r="K24">
        <f>IF(E24="Domain",COUNTIF($E$2:E24,"Domain"),"")</f>
        <v/>
      </c>
    </row>
    <row r="25">
      <c r="A25" s="2" t="n"/>
      <c r="B25">
        <f>LOWER(TRIM(A25))</f>
        <v/>
      </c>
      <c r="C25">
        <f>IF(B25="","",IFERROR(INDEX('Bad Patterns'!$A$2:$A$120,MATCH(1,INDEX(--ISNUMBER(SEARCH('Bad Patterns'!$A$2:$A$120,B25)),0),0)),""))</f>
        <v/>
      </c>
      <c r="D25">
        <f>IF(B25="","",IF(C25&lt;&gt;"","REMOVE","KEEP"))</f>
        <v/>
      </c>
      <c r="E25">
        <f>IF(D25&lt;&gt;"KEEP","",IF(RIGHT(B25,10)="@gmail.com","Gmail",IF(OR(RIGHT(B25,12)="@outlook.com",RIGHT(B25,12)="@hotmail.com",RIGHT(B25,9)="@live.com"),"Outlook","Domain")))</f>
        <v/>
      </c>
      <c r="F25">
        <f>IF(B25="","",IFERROR(RIGHT(B25,LEN(B25)-FIND("@",B25)),""))</f>
        <v/>
      </c>
      <c r="G25">
        <f>IF(D25="KEEP",COUNTIF($D$2:D25,"KEEP"),"")</f>
        <v/>
      </c>
      <c r="H25">
        <f>IF(D25="REMOVE",COUNTIF($D$2:D25,"REMOVE"),"")</f>
        <v/>
      </c>
      <c r="I25">
        <f>IF(E25="Gmail",COUNTIF($E$2:E25,"Gmail"),"")</f>
        <v/>
      </c>
      <c r="J25">
        <f>IF(E25="Outlook",COUNTIF($E$2:E25,"Outlook"),"")</f>
        <v/>
      </c>
      <c r="K25">
        <f>IF(E25="Domain",COUNTIF($E$2:E25,"Domain"),"")</f>
        <v/>
      </c>
    </row>
    <row r="26">
      <c r="A26" s="2" t="n"/>
      <c r="B26">
        <f>LOWER(TRIM(A26))</f>
        <v/>
      </c>
      <c r="C26">
        <f>IF(B26="","",IFERROR(INDEX('Bad Patterns'!$A$2:$A$120,MATCH(1,INDEX(--ISNUMBER(SEARCH('Bad Patterns'!$A$2:$A$120,B26)),0),0)),""))</f>
        <v/>
      </c>
      <c r="D26">
        <f>IF(B26="","",IF(C26&lt;&gt;"","REMOVE","KEEP"))</f>
        <v/>
      </c>
      <c r="E26">
        <f>IF(D26&lt;&gt;"KEEP","",IF(RIGHT(B26,10)="@gmail.com","Gmail",IF(OR(RIGHT(B26,12)="@outlook.com",RIGHT(B26,12)="@hotmail.com",RIGHT(B26,9)="@live.com"),"Outlook","Domain")))</f>
        <v/>
      </c>
      <c r="F26">
        <f>IF(B26="","",IFERROR(RIGHT(B26,LEN(B26)-FIND("@",B26)),""))</f>
        <v/>
      </c>
      <c r="G26">
        <f>IF(D26="KEEP",COUNTIF($D$2:D26,"KEEP"),"")</f>
        <v/>
      </c>
      <c r="H26">
        <f>IF(D26="REMOVE",COUNTIF($D$2:D26,"REMOVE"),"")</f>
        <v/>
      </c>
      <c r="I26">
        <f>IF(E26="Gmail",COUNTIF($E$2:E26,"Gmail"),"")</f>
        <v/>
      </c>
      <c r="J26">
        <f>IF(E26="Outlook",COUNTIF($E$2:E26,"Outlook"),"")</f>
        <v/>
      </c>
      <c r="K26">
        <f>IF(E26="Domain",COUNTIF($E$2:E26,"Domain"),"")</f>
        <v/>
      </c>
    </row>
    <row r="27">
      <c r="A27" s="2" t="n"/>
      <c r="B27">
        <f>LOWER(TRIM(A27))</f>
        <v/>
      </c>
      <c r="C27">
        <f>IF(B27="","",IFERROR(INDEX('Bad Patterns'!$A$2:$A$120,MATCH(1,INDEX(--ISNUMBER(SEARCH('Bad Patterns'!$A$2:$A$120,B27)),0),0)),""))</f>
        <v/>
      </c>
      <c r="D27">
        <f>IF(B27="","",IF(C27&lt;&gt;"","REMOVE","KEEP"))</f>
        <v/>
      </c>
      <c r="E27">
        <f>IF(D27&lt;&gt;"KEEP","",IF(RIGHT(B27,10)="@gmail.com","Gmail",IF(OR(RIGHT(B27,12)="@outlook.com",RIGHT(B27,12)="@hotmail.com",RIGHT(B27,9)="@live.com"),"Outlook","Domain")))</f>
        <v/>
      </c>
      <c r="F27">
        <f>IF(B27="","",IFERROR(RIGHT(B27,LEN(B27)-FIND("@",B27)),""))</f>
        <v/>
      </c>
      <c r="G27">
        <f>IF(D27="KEEP",COUNTIF($D$2:D27,"KEEP"),"")</f>
        <v/>
      </c>
      <c r="H27">
        <f>IF(D27="REMOVE",COUNTIF($D$2:D27,"REMOVE"),"")</f>
        <v/>
      </c>
      <c r="I27">
        <f>IF(E27="Gmail",COUNTIF($E$2:E27,"Gmail"),"")</f>
        <v/>
      </c>
      <c r="J27">
        <f>IF(E27="Outlook",COUNTIF($E$2:E27,"Outlook"),"")</f>
        <v/>
      </c>
      <c r="K27">
        <f>IF(E27="Domain",COUNTIF($E$2:E27,"Domain"),"")</f>
        <v/>
      </c>
    </row>
    <row r="28">
      <c r="A28" s="2" t="n"/>
      <c r="B28">
        <f>LOWER(TRIM(A28))</f>
        <v/>
      </c>
      <c r="C28">
        <f>IF(B28="","",IFERROR(INDEX('Bad Patterns'!$A$2:$A$120,MATCH(1,INDEX(--ISNUMBER(SEARCH('Bad Patterns'!$A$2:$A$120,B28)),0),0)),""))</f>
        <v/>
      </c>
      <c r="D28">
        <f>IF(B28="","",IF(C28&lt;&gt;"","REMOVE","KEEP"))</f>
        <v/>
      </c>
      <c r="E28">
        <f>IF(D28&lt;&gt;"KEEP","",IF(RIGHT(B28,10)="@gmail.com","Gmail",IF(OR(RIGHT(B28,12)="@outlook.com",RIGHT(B28,12)="@hotmail.com",RIGHT(B28,9)="@live.com"),"Outlook","Domain")))</f>
        <v/>
      </c>
      <c r="F28">
        <f>IF(B28="","",IFERROR(RIGHT(B28,LEN(B28)-FIND("@",B28)),""))</f>
        <v/>
      </c>
      <c r="G28">
        <f>IF(D28="KEEP",COUNTIF($D$2:D28,"KEEP"),"")</f>
        <v/>
      </c>
      <c r="H28">
        <f>IF(D28="REMOVE",COUNTIF($D$2:D28,"REMOVE"),"")</f>
        <v/>
      </c>
      <c r="I28">
        <f>IF(E28="Gmail",COUNTIF($E$2:E28,"Gmail"),"")</f>
        <v/>
      </c>
      <c r="J28">
        <f>IF(E28="Outlook",COUNTIF($E$2:E28,"Outlook"),"")</f>
        <v/>
      </c>
      <c r="K28">
        <f>IF(E28="Domain",COUNTIF($E$2:E28,"Domain"),"")</f>
        <v/>
      </c>
    </row>
    <row r="29">
      <c r="A29" s="2" t="n"/>
      <c r="B29">
        <f>LOWER(TRIM(A29))</f>
        <v/>
      </c>
      <c r="C29">
        <f>IF(B29="","",IFERROR(INDEX('Bad Patterns'!$A$2:$A$120,MATCH(1,INDEX(--ISNUMBER(SEARCH('Bad Patterns'!$A$2:$A$120,B29)),0),0)),""))</f>
        <v/>
      </c>
      <c r="D29">
        <f>IF(B29="","",IF(C29&lt;&gt;"","REMOVE","KEEP"))</f>
        <v/>
      </c>
      <c r="E29">
        <f>IF(D29&lt;&gt;"KEEP","",IF(RIGHT(B29,10)="@gmail.com","Gmail",IF(OR(RIGHT(B29,12)="@outlook.com",RIGHT(B29,12)="@hotmail.com",RIGHT(B29,9)="@live.com"),"Outlook","Domain")))</f>
        <v/>
      </c>
      <c r="F29">
        <f>IF(B29="","",IFERROR(RIGHT(B29,LEN(B29)-FIND("@",B29)),""))</f>
        <v/>
      </c>
      <c r="G29">
        <f>IF(D29="KEEP",COUNTIF($D$2:D29,"KEEP"),"")</f>
        <v/>
      </c>
      <c r="H29">
        <f>IF(D29="REMOVE",COUNTIF($D$2:D29,"REMOVE"),"")</f>
        <v/>
      </c>
      <c r="I29">
        <f>IF(E29="Gmail",COUNTIF($E$2:E29,"Gmail"),"")</f>
        <v/>
      </c>
      <c r="J29">
        <f>IF(E29="Outlook",COUNTIF($E$2:E29,"Outlook"),"")</f>
        <v/>
      </c>
      <c r="K29">
        <f>IF(E29="Domain",COUNTIF($E$2:E29,"Domain"),"")</f>
        <v/>
      </c>
    </row>
    <row r="30">
      <c r="A30" s="2" t="n"/>
      <c r="B30">
        <f>LOWER(TRIM(A30))</f>
        <v/>
      </c>
      <c r="C30">
        <f>IF(B30="","",IFERROR(INDEX('Bad Patterns'!$A$2:$A$120,MATCH(1,INDEX(--ISNUMBER(SEARCH('Bad Patterns'!$A$2:$A$120,B30)),0),0)),""))</f>
        <v/>
      </c>
      <c r="D30">
        <f>IF(B30="","",IF(C30&lt;&gt;"","REMOVE","KEEP"))</f>
        <v/>
      </c>
      <c r="E30">
        <f>IF(D30&lt;&gt;"KEEP","",IF(RIGHT(B30,10)="@gmail.com","Gmail",IF(OR(RIGHT(B30,12)="@outlook.com",RIGHT(B30,12)="@hotmail.com",RIGHT(B30,9)="@live.com"),"Outlook","Domain")))</f>
        <v/>
      </c>
      <c r="F30">
        <f>IF(B30="","",IFERROR(RIGHT(B30,LEN(B30)-FIND("@",B30)),""))</f>
        <v/>
      </c>
      <c r="G30">
        <f>IF(D30="KEEP",COUNTIF($D$2:D30,"KEEP"),"")</f>
        <v/>
      </c>
      <c r="H30">
        <f>IF(D30="REMOVE",COUNTIF($D$2:D30,"REMOVE"),"")</f>
        <v/>
      </c>
      <c r="I30">
        <f>IF(E30="Gmail",COUNTIF($E$2:E30,"Gmail"),"")</f>
        <v/>
      </c>
      <c r="J30">
        <f>IF(E30="Outlook",COUNTIF($E$2:E30,"Outlook"),"")</f>
        <v/>
      </c>
      <c r="K30">
        <f>IF(E30="Domain",COUNTIF($E$2:E30,"Domain"),"")</f>
        <v/>
      </c>
    </row>
    <row r="31">
      <c r="A31" s="2" t="n"/>
      <c r="B31">
        <f>LOWER(TRIM(A31))</f>
        <v/>
      </c>
      <c r="C31">
        <f>IF(B31="","",IFERROR(INDEX('Bad Patterns'!$A$2:$A$120,MATCH(1,INDEX(--ISNUMBER(SEARCH('Bad Patterns'!$A$2:$A$120,B31)),0),0)),""))</f>
        <v/>
      </c>
      <c r="D31">
        <f>IF(B31="","",IF(C31&lt;&gt;"","REMOVE","KEEP"))</f>
        <v/>
      </c>
      <c r="E31">
        <f>IF(D31&lt;&gt;"KEEP","",IF(RIGHT(B31,10)="@gmail.com","Gmail",IF(OR(RIGHT(B31,12)="@outlook.com",RIGHT(B31,12)="@hotmail.com",RIGHT(B31,9)="@live.com"),"Outlook","Domain")))</f>
        <v/>
      </c>
      <c r="F31">
        <f>IF(B31="","",IFERROR(RIGHT(B31,LEN(B31)-FIND("@",B31)),""))</f>
        <v/>
      </c>
      <c r="G31">
        <f>IF(D31="KEEP",COUNTIF($D$2:D31,"KEEP"),"")</f>
        <v/>
      </c>
      <c r="H31">
        <f>IF(D31="REMOVE",COUNTIF($D$2:D31,"REMOVE"),"")</f>
        <v/>
      </c>
      <c r="I31">
        <f>IF(E31="Gmail",COUNTIF($E$2:E31,"Gmail"),"")</f>
        <v/>
      </c>
      <c r="J31">
        <f>IF(E31="Outlook",COUNTIF($E$2:E31,"Outlook"),"")</f>
        <v/>
      </c>
      <c r="K31">
        <f>IF(E31="Domain",COUNTIF($E$2:E31,"Domain"),"")</f>
        <v/>
      </c>
    </row>
    <row r="32">
      <c r="A32" s="2" t="n"/>
      <c r="B32">
        <f>LOWER(TRIM(A32))</f>
        <v/>
      </c>
      <c r="C32">
        <f>IF(B32="","",IFERROR(INDEX('Bad Patterns'!$A$2:$A$120,MATCH(1,INDEX(--ISNUMBER(SEARCH('Bad Patterns'!$A$2:$A$120,B32)),0),0)),""))</f>
        <v/>
      </c>
      <c r="D32">
        <f>IF(B32="","",IF(C32&lt;&gt;"","REMOVE","KEEP"))</f>
        <v/>
      </c>
      <c r="E32">
        <f>IF(D32&lt;&gt;"KEEP","",IF(RIGHT(B32,10)="@gmail.com","Gmail",IF(OR(RIGHT(B32,12)="@outlook.com",RIGHT(B32,12)="@hotmail.com",RIGHT(B32,9)="@live.com"),"Outlook","Domain")))</f>
        <v/>
      </c>
      <c r="F32">
        <f>IF(B32="","",IFERROR(RIGHT(B32,LEN(B32)-FIND("@",B32)),""))</f>
        <v/>
      </c>
      <c r="G32">
        <f>IF(D32="KEEP",COUNTIF($D$2:D32,"KEEP"),"")</f>
        <v/>
      </c>
      <c r="H32">
        <f>IF(D32="REMOVE",COUNTIF($D$2:D32,"REMOVE"),"")</f>
        <v/>
      </c>
      <c r="I32">
        <f>IF(E32="Gmail",COUNTIF($E$2:E32,"Gmail"),"")</f>
        <v/>
      </c>
      <c r="J32">
        <f>IF(E32="Outlook",COUNTIF($E$2:E32,"Outlook"),"")</f>
        <v/>
      </c>
      <c r="K32">
        <f>IF(E32="Domain",COUNTIF($E$2:E32,"Domain"),"")</f>
        <v/>
      </c>
    </row>
    <row r="33">
      <c r="A33" s="2" t="n"/>
      <c r="B33">
        <f>LOWER(TRIM(A33))</f>
        <v/>
      </c>
      <c r="C33">
        <f>IF(B33="","",IFERROR(INDEX('Bad Patterns'!$A$2:$A$120,MATCH(1,INDEX(--ISNUMBER(SEARCH('Bad Patterns'!$A$2:$A$120,B33)),0),0)),""))</f>
        <v/>
      </c>
      <c r="D33">
        <f>IF(B33="","",IF(C33&lt;&gt;"","REMOVE","KEEP"))</f>
        <v/>
      </c>
      <c r="E33">
        <f>IF(D33&lt;&gt;"KEEP","",IF(RIGHT(B33,10)="@gmail.com","Gmail",IF(OR(RIGHT(B33,12)="@outlook.com",RIGHT(B33,12)="@hotmail.com",RIGHT(B33,9)="@live.com"),"Outlook","Domain")))</f>
        <v/>
      </c>
      <c r="F33">
        <f>IF(B33="","",IFERROR(RIGHT(B33,LEN(B33)-FIND("@",B33)),""))</f>
        <v/>
      </c>
      <c r="G33">
        <f>IF(D33="KEEP",COUNTIF($D$2:D33,"KEEP"),"")</f>
        <v/>
      </c>
      <c r="H33">
        <f>IF(D33="REMOVE",COUNTIF($D$2:D33,"REMOVE"),"")</f>
        <v/>
      </c>
      <c r="I33">
        <f>IF(E33="Gmail",COUNTIF($E$2:E33,"Gmail"),"")</f>
        <v/>
      </c>
      <c r="J33">
        <f>IF(E33="Outlook",COUNTIF($E$2:E33,"Outlook"),"")</f>
        <v/>
      </c>
      <c r="K33">
        <f>IF(E33="Domain",COUNTIF($E$2:E33,"Domain"),"")</f>
        <v/>
      </c>
    </row>
    <row r="34">
      <c r="A34" s="2" t="n"/>
      <c r="B34">
        <f>LOWER(TRIM(A34))</f>
        <v/>
      </c>
      <c r="C34">
        <f>IF(B34="","",IFERROR(INDEX('Bad Patterns'!$A$2:$A$120,MATCH(1,INDEX(--ISNUMBER(SEARCH('Bad Patterns'!$A$2:$A$120,B34)),0),0)),""))</f>
        <v/>
      </c>
      <c r="D34">
        <f>IF(B34="","",IF(C34&lt;&gt;"","REMOVE","KEEP"))</f>
        <v/>
      </c>
      <c r="E34">
        <f>IF(D34&lt;&gt;"KEEP","",IF(RIGHT(B34,10)="@gmail.com","Gmail",IF(OR(RIGHT(B34,12)="@outlook.com",RIGHT(B34,12)="@hotmail.com",RIGHT(B34,9)="@live.com"),"Outlook","Domain")))</f>
        <v/>
      </c>
      <c r="F34">
        <f>IF(B34="","",IFERROR(RIGHT(B34,LEN(B34)-FIND("@",B34)),""))</f>
        <v/>
      </c>
      <c r="G34">
        <f>IF(D34="KEEP",COUNTIF($D$2:D34,"KEEP"),"")</f>
        <v/>
      </c>
      <c r="H34">
        <f>IF(D34="REMOVE",COUNTIF($D$2:D34,"REMOVE"),"")</f>
        <v/>
      </c>
      <c r="I34">
        <f>IF(E34="Gmail",COUNTIF($E$2:E34,"Gmail"),"")</f>
        <v/>
      </c>
      <c r="J34">
        <f>IF(E34="Outlook",COUNTIF($E$2:E34,"Outlook"),"")</f>
        <v/>
      </c>
      <c r="K34">
        <f>IF(E34="Domain",COUNTIF($E$2:E34,"Domain"),"")</f>
        <v/>
      </c>
    </row>
    <row r="35">
      <c r="A35" s="2" t="n"/>
      <c r="B35">
        <f>LOWER(TRIM(A35))</f>
        <v/>
      </c>
      <c r="C35">
        <f>IF(B35="","",IFERROR(INDEX('Bad Patterns'!$A$2:$A$120,MATCH(1,INDEX(--ISNUMBER(SEARCH('Bad Patterns'!$A$2:$A$120,B35)),0),0)),""))</f>
        <v/>
      </c>
      <c r="D35">
        <f>IF(B35="","",IF(C35&lt;&gt;"","REMOVE","KEEP"))</f>
        <v/>
      </c>
      <c r="E35">
        <f>IF(D35&lt;&gt;"KEEP","",IF(RIGHT(B35,10)="@gmail.com","Gmail",IF(OR(RIGHT(B35,12)="@outlook.com",RIGHT(B35,12)="@hotmail.com",RIGHT(B35,9)="@live.com"),"Outlook","Domain")))</f>
        <v/>
      </c>
      <c r="F35">
        <f>IF(B35="","",IFERROR(RIGHT(B35,LEN(B35)-FIND("@",B35)),""))</f>
        <v/>
      </c>
      <c r="G35">
        <f>IF(D35="KEEP",COUNTIF($D$2:D35,"KEEP"),"")</f>
        <v/>
      </c>
      <c r="H35">
        <f>IF(D35="REMOVE",COUNTIF($D$2:D35,"REMOVE"),"")</f>
        <v/>
      </c>
      <c r="I35">
        <f>IF(E35="Gmail",COUNTIF($E$2:E35,"Gmail"),"")</f>
        <v/>
      </c>
      <c r="J35">
        <f>IF(E35="Outlook",COUNTIF($E$2:E35,"Outlook"),"")</f>
        <v/>
      </c>
      <c r="K35">
        <f>IF(E35="Domain",COUNTIF($E$2:E35,"Domain"),"")</f>
        <v/>
      </c>
    </row>
    <row r="36">
      <c r="A36" s="2" t="n"/>
      <c r="B36">
        <f>LOWER(TRIM(A36))</f>
        <v/>
      </c>
      <c r="C36">
        <f>IF(B36="","",IFERROR(INDEX('Bad Patterns'!$A$2:$A$120,MATCH(1,INDEX(--ISNUMBER(SEARCH('Bad Patterns'!$A$2:$A$120,B36)),0),0)),""))</f>
        <v/>
      </c>
      <c r="D36">
        <f>IF(B36="","",IF(C36&lt;&gt;"","REMOVE","KEEP"))</f>
        <v/>
      </c>
      <c r="E36">
        <f>IF(D36&lt;&gt;"KEEP","",IF(RIGHT(B36,10)="@gmail.com","Gmail",IF(OR(RIGHT(B36,12)="@outlook.com",RIGHT(B36,12)="@hotmail.com",RIGHT(B36,9)="@live.com"),"Outlook","Domain")))</f>
        <v/>
      </c>
      <c r="F36">
        <f>IF(B36="","",IFERROR(RIGHT(B36,LEN(B36)-FIND("@",B36)),""))</f>
        <v/>
      </c>
      <c r="G36">
        <f>IF(D36="KEEP",COUNTIF($D$2:D36,"KEEP"),"")</f>
        <v/>
      </c>
      <c r="H36">
        <f>IF(D36="REMOVE",COUNTIF($D$2:D36,"REMOVE"),"")</f>
        <v/>
      </c>
      <c r="I36">
        <f>IF(E36="Gmail",COUNTIF($E$2:E36,"Gmail"),"")</f>
        <v/>
      </c>
      <c r="J36">
        <f>IF(E36="Outlook",COUNTIF($E$2:E36,"Outlook"),"")</f>
        <v/>
      </c>
      <c r="K36">
        <f>IF(E36="Domain",COUNTIF($E$2:E36,"Domain"),"")</f>
        <v/>
      </c>
    </row>
    <row r="37">
      <c r="A37" s="2" t="n"/>
      <c r="B37">
        <f>LOWER(TRIM(A37))</f>
        <v/>
      </c>
      <c r="C37">
        <f>IF(B37="","",IFERROR(INDEX('Bad Patterns'!$A$2:$A$120,MATCH(1,INDEX(--ISNUMBER(SEARCH('Bad Patterns'!$A$2:$A$120,B37)),0),0)),""))</f>
        <v/>
      </c>
      <c r="D37">
        <f>IF(B37="","",IF(C37&lt;&gt;"","REMOVE","KEEP"))</f>
        <v/>
      </c>
      <c r="E37">
        <f>IF(D37&lt;&gt;"KEEP","",IF(RIGHT(B37,10)="@gmail.com","Gmail",IF(OR(RIGHT(B37,12)="@outlook.com",RIGHT(B37,12)="@hotmail.com",RIGHT(B37,9)="@live.com"),"Outlook","Domain")))</f>
        <v/>
      </c>
      <c r="F37">
        <f>IF(B37="","",IFERROR(RIGHT(B37,LEN(B37)-FIND("@",B37)),""))</f>
        <v/>
      </c>
      <c r="G37">
        <f>IF(D37="KEEP",COUNTIF($D$2:D37,"KEEP"),"")</f>
        <v/>
      </c>
      <c r="H37">
        <f>IF(D37="REMOVE",COUNTIF($D$2:D37,"REMOVE"),"")</f>
        <v/>
      </c>
      <c r="I37">
        <f>IF(E37="Gmail",COUNTIF($E$2:E37,"Gmail"),"")</f>
        <v/>
      </c>
      <c r="J37">
        <f>IF(E37="Outlook",COUNTIF($E$2:E37,"Outlook"),"")</f>
        <v/>
      </c>
      <c r="K37">
        <f>IF(E37="Domain",COUNTIF($E$2:E37,"Domain"),"")</f>
        <v/>
      </c>
    </row>
    <row r="38">
      <c r="A38" s="2" t="n"/>
      <c r="B38">
        <f>LOWER(TRIM(A38))</f>
        <v/>
      </c>
      <c r="C38">
        <f>IF(B38="","",IFERROR(INDEX('Bad Patterns'!$A$2:$A$120,MATCH(1,INDEX(--ISNUMBER(SEARCH('Bad Patterns'!$A$2:$A$120,B38)),0),0)),""))</f>
        <v/>
      </c>
      <c r="D38">
        <f>IF(B38="","",IF(C38&lt;&gt;"","REMOVE","KEEP"))</f>
        <v/>
      </c>
      <c r="E38">
        <f>IF(D38&lt;&gt;"KEEP","",IF(RIGHT(B38,10)="@gmail.com","Gmail",IF(OR(RIGHT(B38,12)="@outlook.com",RIGHT(B38,12)="@hotmail.com",RIGHT(B38,9)="@live.com"),"Outlook","Domain")))</f>
        <v/>
      </c>
      <c r="F38">
        <f>IF(B38="","",IFERROR(RIGHT(B38,LEN(B38)-FIND("@",B38)),""))</f>
        <v/>
      </c>
      <c r="G38">
        <f>IF(D38="KEEP",COUNTIF($D$2:D38,"KEEP"),"")</f>
        <v/>
      </c>
      <c r="H38">
        <f>IF(D38="REMOVE",COUNTIF($D$2:D38,"REMOVE"),"")</f>
        <v/>
      </c>
      <c r="I38">
        <f>IF(E38="Gmail",COUNTIF($E$2:E38,"Gmail"),"")</f>
        <v/>
      </c>
      <c r="J38">
        <f>IF(E38="Outlook",COUNTIF($E$2:E38,"Outlook"),"")</f>
        <v/>
      </c>
      <c r="K38">
        <f>IF(E38="Domain",COUNTIF($E$2:E38,"Domain"),"")</f>
        <v/>
      </c>
    </row>
    <row r="39">
      <c r="A39" s="2" t="n"/>
      <c r="B39">
        <f>LOWER(TRIM(A39))</f>
        <v/>
      </c>
      <c r="C39">
        <f>IF(B39="","",IFERROR(INDEX('Bad Patterns'!$A$2:$A$120,MATCH(1,INDEX(--ISNUMBER(SEARCH('Bad Patterns'!$A$2:$A$120,B39)),0),0)),""))</f>
        <v/>
      </c>
      <c r="D39">
        <f>IF(B39="","",IF(C39&lt;&gt;"","REMOVE","KEEP"))</f>
        <v/>
      </c>
      <c r="E39">
        <f>IF(D39&lt;&gt;"KEEP","",IF(RIGHT(B39,10)="@gmail.com","Gmail",IF(OR(RIGHT(B39,12)="@outlook.com",RIGHT(B39,12)="@hotmail.com",RIGHT(B39,9)="@live.com"),"Outlook","Domain")))</f>
        <v/>
      </c>
      <c r="F39">
        <f>IF(B39="","",IFERROR(RIGHT(B39,LEN(B39)-FIND("@",B39)),""))</f>
        <v/>
      </c>
      <c r="G39">
        <f>IF(D39="KEEP",COUNTIF($D$2:D39,"KEEP"),"")</f>
        <v/>
      </c>
      <c r="H39">
        <f>IF(D39="REMOVE",COUNTIF($D$2:D39,"REMOVE"),"")</f>
        <v/>
      </c>
      <c r="I39">
        <f>IF(E39="Gmail",COUNTIF($E$2:E39,"Gmail"),"")</f>
        <v/>
      </c>
      <c r="J39">
        <f>IF(E39="Outlook",COUNTIF($E$2:E39,"Outlook"),"")</f>
        <v/>
      </c>
      <c r="K39">
        <f>IF(E39="Domain",COUNTIF($E$2:E39,"Domain"),"")</f>
        <v/>
      </c>
    </row>
    <row r="40">
      <c r="A40" s="2" t="n"/>
      <c r="B40">
        <f>LOWER(TRIM(A40))</f>
        <v/>
      </c>
      <c r="C40">
        <f>IF(B40="","",IFERROR(INDEX('Bad Patterns'!$A$2:$A$120,MATCH(1,INDEX(--ISNUMBER(SEARCH('Bad Patterns'!$A$2:$A$120,B40)),0),0)),""))</f>
        <v/>
      </c>
      <c r="D40">
        <f>IF(B40="","",IF(C40&lt;&gt;"","REMOVE","KEEP"))</f>
        <v/>
      </c>
      <c r="E40">
        <f>IF(D40&lt;&gt;"KEEP","",IF(RIGHT(B40,10)="@gmail.com","Gmail",IF(OR(RIGHT(B40,12)="@outlook.com",RIGHT(B40,12)="@hotmail.com",RIGHT(B40,9)="@live.com"),"Outlook","Domain")))</f>
        <v/>
      </c>
      <c r="F40">
        <f>IF(B40="","",IFERROR(RIGHT(B40,LEN(B40)-FIND("@",B40)),""))</f>
        <v/>
      </c>
      <c r="G40">
        <f>IF(D40="KEEP",COUNTIF($D$2:D40,"KEEP"),"")</f>
        <v/>
      </c>
      <c r="H40">
        <f>IF(D40="REMOVE",COUNTIF($D$2:D40,"REMOVE"),"")</f>
        <v/>
      </c>
      <c r="I40">
        <f>IF(E40="Gmail",COUNTIF($E$2:E40,"Gmail"),"")</f>
        <v/>
      </c>
      <c r="J40">
        <f>IF(E40="Outlook",COUNTIF($E$2:E40,"Outlook"),"")</f>
        <v/>
      </c>
      <c r="K40">
        <f>IF(E40="Domain",COUNTIF($E$2:E40,"Domain"),"")</f>
        <v/>
      </c>
    </row>
    <row r="41">
      <c r="A41" s="2" t="n"/>
      <c r="B41">
        <f>LOWER(TRIM(A41))</f>
        <v/>
      </c>
      <c r="C41">
        <f>IF(B41="","",IFERROR(INDEX('Bad Patterns'!$A$2:$A$120,MATCH(1,INDEX(--ISNUMBER(SEARCH('Bad Patterns'!$A$2:$A$120,B41)),0),0)),""))</f>
        <v/>
      </c>
      <c r="D41">
        <f>IF(B41="","",IF(C41&lt;&gt;"","REMOVE","KEEP"))</f>
        <v/>
      </c>
      <c r="E41">
        <f>IF(D41&lt;&gt;"KEEP","",IF(RIGHT(B41,10)="@gmail.com","Gmail",IF(OR(RIGHT(B41,12)="@outlook.com",RIGHT(B41,12)="@hotmail.com",RIGHT(B41,9)="@live.com"),"Outlook","Domain")))</f>
        <v/>
      </c>
      <c r="F41">
        <f>IF(B41="","",IFERROR(RIGHT(B41,LEN(B41)-FIND("@",B41)),""))</f>
        <v/>
      </c>
      <c r="G41">
        <f>IF(D41="KEEP",COUNTIF($D$2:D41,"KEEP"),"")</f>
        <v/>
      </c>
      <c r="H41">
        <f>IF(D41="REMOVE",COUNTIF($D$2:D41,"REMOVE"),"")</f>
        <v/>
      </c>
      <c r="I41">
        <f>IF(E41="Gmail",COUNTIF($E$2:E41,"Gmail"),"")</f>
        <v/>
      </c>
      <c r="J41">
        <f>IF(E41="Outlook",COUNTIF($E$2:E41,"Outlook"),"")</f>
        <v/>
      </c>
      <c r="K41">
        <f>IF(E41="Domain",COUNTIF($E$2:E41,"Domain"),"")</f>
        <v/>
      </c>
    </row>
    <row r="42">
      <c r="A42" s="2" t="n"/>
      <c r="B42">
        <f>LOWER(TRIM(A42))</f>
        <v/>
      </c>
      <c r="C42">
        <f>IF(B42="","",IFERROR(INDEX('Bad Patterns'!$A$2:$A$120,MATCH(1,INDEX(--ISNUMBER(SEARCH('Bad Patterns'!$A$2:$A$120,B42)),0),0)),""))</f>
        <v/>
      </c>
      <c r="D42">
        <f>IF(B42="","",IF(C42&lt;&gt;"","REMOVE","KEEP"))</f>
        <v/>
      </c>
      <c r="E42">
        <f>IF(D42&lt;&gt;"KEEP","",IF(RIGHT(B42,10)="@gmail.com","Gmail",IF(OR(RIGHT(B42,12)="@outlook.com",RIGHT(B42,12)="@hotmail.com",RIGHT(B42,9)="@live.com"),"Outlook","Domain")))</f>
        <v/>
      </c>
      <c r="F42">
        <f>IF(B42="","",IFERROR(RIGHT(B42,LEN(B42)-FIND("@",B42)),""))</f>
        <v/>
      </c>
      <c r="G42">
        <f>IF(D42="KEEP",COUNTIF($D$2:D42,"KEEP"),"")</f>
        <v/>
      </c>
      <c r="H42">
        <f>IF(D42="REMOVE",COUNTIF($D$2:D42,"REMOVE"),"")</f>
        <v/>
      </c>
      <c r="I42">
        <f>IF(E42="Gmail",COUNTIF($E$2:E42,"Gmail"),"")</f>
        <v/>
      </c>
      <c r="J42">
        <f>IF(E42="Outlook",COUNTIF($E$2:E42,"Outlook"),"")</f>
        <v/>
      </c>
      <c r="K42">
        <f>IF(E42="Domain",COUNTIF($E$2:E42,"Domain"),"")</f>
        <v/>
      </c>
    </row>
    <row r="43">
      <c r="A43" s="2" t="n"/>
      <c r="B43">
        <f>LOWER(TRIM(A43))</f>
        <v/>
      </c>
      <c r="C43">
        <f>IF(B43="","",IFERROR(INDEX('Bad Patterns'!$A$2:$A$120,MATCH(1,INDEX(--ISNUMBER(SEARCH('Bad Patterns'!$A$2:$A$120,B43)),0),0)),""))</f>
        <v/>
      </c>
      <c r="D43">
        <f>IF(B43="","",IF(C43&lt;&gt;"","REMOVE","KEEP"))</f>
        <v/>
      </c>
      <c r="E43">
        <f>IF(D43&lt;&gt;"KEEP","",IF(RIGHT(B43,10)="@gmail.com","Gmail",IF(OR(RIGHT(B43,12)="@outlook.com",RIGHT(B43,12)="@hotmail.com",RIGHT(B43,9)="@live.com"),"Outlook","Domain")))</f>
        <v/>
      </c>
      <c r="F43">
        <f>IF(B43="","",IFERROR(RIGHT(B43,LEN(B43)-FIND("@",B43)),""))</f>
        <v/>
      </c>
      <c r="G43">
        <f>IF(D43="KEEP",COUNTIF($D$2:D43,"KEEP"),"")</f>
        <v/>
      </c>
      <c r="H43">
        <f>IF(D43="REMOVE",COUNTIF($D$2:D43,"REMOVE"),"")</f>
        <v/>
      </c>
      <c r="I43">
        <f>IF(E43="Gmail",COUNTIF($E$2:E43,"Gmail"),"")</f>
        <v/>
      </c>
      <c r="J43">
        <f>IF(E43="Outlook",COUNTIF($E$2:E43,"Outlook"),"")</f>
        <v/>
      </c>
      <c r="K43">
        <f>IF(E43="Domain",COUNTIF($E$2:E43,"Domain"),"")</f>
        <v/>
      </c>
    </row>
    <row r="44">
      <c r="A44" s="2" t="n"/>
      <c r="B44">
        <f>LOWER(TRIM(A44))</f>
        <v/>
      </c>
      <c r="C44">
        <f>IF(B44="","",IFERROR(INDEX('Bad Patterns'!$A$2:$A$120,MATCH(1,INDEX(--ISNUMBER(SEARCH('Bad Patterns'!$A$2:$A$120,B44)),0),0)),""))</f>
        <v/>
      </c>
      <c r="D44">
        <f>IF(B44="","",IF(C44&lt;&gt;"","REMOVE","KEEP"))</f>
        <v/>
      </c>
      <c r="E44">
        <f>IF(D44&lt;&gt;"KEEP","",IF(RIGHT(B44,10)="@gmail.com","Gmail",IF(OR(RIGHT(B44,12)="@outlook.com",RIGHT(B44,12)="@hotmail.com",RIGHT(B44,9)="@live.com"),"Outlook","Domain")))</f>
        <v/>
      </c>
      <c r="F44">
        <f>IF(B44="","",IFERROR(RIGHT(B44,LEN(B44)-FIND("@",B44)),""))</f>
        <v/>
      </c>
      <c r="G44">
        <f>IF(D44="KEEP",COUNTIF($D$2:D44,"KEEP"),"")</f>
        <v/>
      </c>
      <c r="H44">
        <f>IF(D44="REMOVE",COUNTIF($D$2:D44,"REMOVE"),"")</f>
        <v/>
      </c>
      <c r="I44">
        <f>IF(E44="Gmail",COUNTIF($E$2:E44,"Gmail"),"")</f>
        <v/>
      </c>
      <c r="J44">
        <f>IF(E44="Outlook",COUNTIF($E$2:E44,"Outlook"),"")</f>
        <v/>
      </c>
      <c r="K44">
        <f>IF(E44="Domain",COUNTIF($E$2:E44,"Domain"),"")</f>
        <v/>
      </c>
    </row>
    <row r="45">
      <c r="A45" s="2" t="n"/>
      <c r="B45">
        <f>LOWER(TRIM(A45))</f>
        <v/>
      </c>
      <c r="C45">
        <f>IF(B45="","",IFERROR(INDEX('Bad Patterns'!$A$2:$A$120,MATCH(1,INDEX(--ISNUMBER(SEARCH('Bad Patterns'!$A$2:$A$120,B45)),0),0)),""))</f>
        <v/>
      </c>
      <c r="D45">
        <f>IF(B45="","",IF(C45&lt;&gt;"","REMOVE","KEEP"))</f>
        <v/>
      </c>
      <c r="E45">
        <f>IF(D45&lt;&gt;"KEEP","",IF(RIGHT(B45,10)="@gmail.com","Gmail",IF(OR(RIGHT(B45,12)="@outlook.com",RIGHT(B45,12)="@hotmail.com",RIGHT(B45,9)="@live.com"),"Outlook","Domain")))</f>
        <v/>
      </c>
      <c r="F45">
        <f>IF(B45="","",IFERROR(RIGHT(B45,LEN(B45)-FIND("@",B45)),""))</f>
        <v/>
      </c>
      <c r="G45">
        <f>IF(D45="KEEP",COUNTIF($D$2:D45,"KEEP"),"")</f>
        <v/>
      </c>
      <c r="H45">
        <f>IF(D45="REMOVE",COUNTIF($D$2:D45,"REMOVE"),"")</f>
        <v/>
      </c>
      <c r="I45">
        <f>IF(E45="Gmail",COUNTIF($E$2:E45,"Gmail"),"")</f>
        <v/>
      </c>
      <c r="J45">
        <f>IF(E45="Outlook",COUNTIF($E$2:E45,"Outlook"),"")</f>
        <v/>
      </c>
      <c r="K45">
        <f>IF(E45="Domain",COUNTIF($E$2:E45,"Domain"),"")</f>
        <v/>
      </c>
    </row>
    <row r="46">
      <c r="A46" s="2" t="n"/>
      <c r="B46">
        <f>LOWER(TRIM(A46))</f>
        <v/>
      </c>
      <c r="C46">
        <f>IF(B46="","",IFERROR(INDEX('Bad Patterns'!$A$2:$A$120,MATCH(1,INDEX(--ISNUMBER(SEARCH('Bad Patterns'!$A$2:$A$120,B46)),0),0)),""))</f>
        <v/>
      </c>
      <c r="D46">
        <f>IF(B46="","",IF(C46&lt;&gt;"","REMOVE","KEEP"))</f>
        <v/>
      </c>
      <c r="E46">
        <f>IF(D46&lt;&gt;"KEEP","",IF(RIGHT(B46,10)="@gmail.com","Gmail",IF(OR(RIGHT(B46,12)="@outlook.com",RIGHT(B46,12)="@hotmail.com",RIGHT(B46,9)="@live.com"),"Outlook","Domain")))</f>
        <v/>
      </c>
      <c r="F46">
        <f>IF(B46="","",IFERROR(RIGHT(B46,LEN(B46)-FIND("@",B46)),""))</f>
        <v/>
      </c>
      <c r="G46">
        <f>IF(D46="KEEP",COUNTIF($D$2:D46,"KEEP"),"")</f>
        <v/>
      </c>
      <c r="H46">
        <f>IF(D46="REMOVE",COUNTIF($D$2:D46,"REMOVE"),"")</f>
        <v/>
      </c>
      <c r="I46">
        <f>IF(E46="Gmail",COUNTIF($E$2:E46,"Gmail"),"")</f>
        <v/>
      </c>
      <c r="J46">
        <f>IF(E46="Outlook",COUNTIF($E$2:E46,"Outlook"),"")</f>
        <v/>
      </c>
      <c r="K46">
        <f>IF(E46="Domain",COUNTIF($E$2:E46,"Domain"),"")</f>
        <v/>
      </c>
    </row>
    <row r="47">
      <c r="A47" s="2" t="n"/>
      <c r="B47">
        <f>LOWER(TRIM(A47))</f>
        <v/>
      </c>
      <c r="C47">
        <f>IF(B47="","",IFERROR(INDEX('Bad Patterns'!$A$2:$A$120,MATCH(1,INDEX(--ISNUMBER(SEARCH('Bad Patterns'!$A$2:$A$120,B47)),0),0)),""))</f>
        <v/>
      </c>
      <c r="D47">
        <f>IF(B47="","",IF(C47&lt;&gt;"","REMOVE","KEEP"))</f>
        <v/>
      </c>
      <c r="E47">
        <f>IF(D47&lt;&gt;"KEEP","",IF(RIGHT(B47,10)="@gmail.com","Gmail",IF(OR(RIGHT(B47,12)="@outlook.com",RIGHT(B47,12)="@hotmail.com",RIGHT(B47,9)="@live.com"),"Outlook","Domain")))</f>
        <v/>
      </c>
      <c r="F47">
        <f>IF(B47="","",IFERROR(RIGHT(B47,LEN(B47)-FIND("@",B47)),""))</f>
        <v/>
      </c>
      <c r="G47">
        <f>IF(D47="KEEP",COUNTIF($D$2:D47,"KEEP"),"")</f>
        <v/>
      </c>
      <c r="H47">
        <f>IF(D47="REMOVE",COUNTIF($D$2:D47,"REMOVE"),"")</f>
        <v/>
      </c>
      <c r="I47">
        <f>IF(E47="Gmail",COUNTIF($E$2:E47,"Gmail"),"")</f>
        <v/>
      </c>
      <c r="J47">
        <f>IF(E47="Outlook",COUNTIF($E$2:E47,"Outlook"),"")</f>
        <v/>
      </c>
      <c r="K47">
        <f>IF(E47="Domain",COUNTIF($E$2:E47,"Domain"),"")</f>
        <v/>
      </c>
    </row>
    <row r="48">
      <c r="A48" s="2" t="n"/>
      <c r="B48">
        <f>LOWER(TRIM(A48))</f>
        <v/>
      </c>
      <c r="C48">
        <f>IF(B48="","",IFERROR(INDEX('Bad Patterns'!$A$2:$A$120,MATCH(1,INDEX(--ISNUMBER(SEARCH('Bad Patterns'!$A$2:$A$120,B48)),0),0)),""))</f>
        <v/>
      </c>
      <c r="D48">
        <f>IF(B48="","",IF(C48&lt;&gt;"","REMOVE","KEEP"))</f>
        <v/>
      </c>
      <c r="E48">
        <f>IF(D48&lt;&gt;"KEEP","",IF(RIGHT(B48,10)="@gmail.com","Gmail",IF(OR(RIGHT(B48,12)="@outlook.com",RIGHT(B48,12)="@hotmail.com",RIGHT(B48,9)="@live.com"),"Outlook","Domain")))</f>
        <v/>
      </c>
      <c r="F48">
        <f>IF(B48="","",IFERROR(RIGHT(B48,LEN(B48)-FIND("@",B48)),""))</f>
        <v/>
      </c>
      <c r="G48">
        <f>IF(D48="KEEP",COUNTIF($D$2:D48,"KEEP"),"")</f>
        <v/>
      </c>
      <c r="H48">
        <f>IF(D48="REMOVE",COUNTIF($D$2:D48,"REMOVE"),"")</f>
        <v/>
      </c>
      <c r="I48">
        <f>IF(E48="Gmail",COUNTIF($E$2:E48,"Gmail"),"")</f>
        <v/>
      </c>
      <c r="J48">
        <f>IF(E48="Outlook",COUNTIF($E$2:E48,"Outlook"),"")</f>
        <v/>
      </c>
      <c r="K48">
        <f>IF(E48="Domain",COUNTIF($E$2:E48,"Domain"),"")</f>
        <v/>
      </c>
    </row>
    <row r="49">
      <c r="A49" s="2" t="n"/>
      <c r="B49">
        <f>LOWER(TRIM(A49))</f>
        <v/>
      </c>
      <c r="C49">
        <f>IF(B49="","",IFERROR(INDEX('Bad Patterns'!$A$2:$A$120,MATCH(1,INDEX(--ISNUMBER(SEARCH('Bad Patterns'!$A$2:$A$120,B49)),0),0)),""))</f>
        <v/>
      </c>
      <c r="D49">
        <f>IF(B49="","",IF(C49&lt;&gt;"","REMOVE","KEEP"))</f>
        <v/>
      </c>
      <c r="E49">
        <f>IF(D49&lt;&gt;"KEEP","",IF(RIGHT(B49,10)="@gmail.com","Gmail",IF(OR(RIGHT(B49,12)="@outlook.com",RIGHT(B49,12)="@hotmail.com",RIGHT(B49,9)="@live.com"),"Outlook","Domain")))</f>
        <v/>
      </c>
      <c r="F49">
        <f>IF(B49="","",IFERROR(RIGHT(B49,LEN(B49)-FIND("@",B49)),""))</f>
        <v/>
      </c>
      <c r="G49">
        <f>IF(D49="KEEP",COUNTIF($D$2:D49,"KEEP"),"")</f>
        <v/>
      </c>
      <c r="H49">
        <f>IF(D49="REMOVE",COUNTIF($D$2:D49,"REMOVE"),"")</f>
        <v/>
      </c>
      <c r="I49">
        <f>IF(E49="Gmail",COUNTIF($E$2:E49,"Gmail"),"")</f>
        <v/>
      </c>
      <c r="J49">
        <f>IF(E49="Outlook",COUNTIF($E$2:E49,"Outlook"),"")</f>
        <v/>
      </c>
      <c r="K49">
        <f>IF(E49="Domain",COUNTIF($E$2:E49,"Domain"),"")</f>
        <v/>
      </c>
    </row>
    <row r="50">
      <c r="A50" s="2" t="n"/>
      <c r="B50">
        <f>LOWER(TRIM(A50))</f>
        <v/>
      </c>
      <c r="C50">
        <f>IF(B50="","",IFERROR(INDEX('Bad Patterns'!$A$2:$A$120,MATCH(1,INDEX(--ISNUMBER(SEARCH('Bad Patterns'!$A$2:$A$120,B50)),0),0)),""))</f>
        <v/>
      </c>
      <c r="D50">
        <f>IF(B50="","",IF(C50&lt;&gt;"","REMOVE","KEEP"))</f>
        <v/>
      </c>
      <c r="E50">
        <f>IF(D50&lt;&gt;"KEEP","",IF(RIGHT(B50,10)="@gmail.com","Gmail",IF(OR(RIGHT(B50,12)="@outlook.com",RIGHT(B50,12)="@hotmail.com",RIGHT(B50,9)="@live.com"),"Outlook","Domain")))</f>
        <v/>
      </c>
      <c r="F50">
        <f>IF(B50="","",IFERROR(RIGHT(B50,LEN(B50)-FIND("@",B50)),""))</f>
        <v/>
      </c>
      <c r="G50">
        <f>IF(D50="KEEP",COUNTIF($D$2:D50,"KEEP"),"")</f>
        <v/>
      </c>
      <c r="H50">
        <f>IF(D50="REMOVE",COUNTIF($D$2:D50,"REMOVE"),"")</f>
        <v/>
      </c>
      <c r="I50">
        <f>IF(E50="Gmail",COUNTIF($E$2:E50,"Gmail"),"")</f>
        <v/>
      </c>
      <c r="J50">
        <f>IF(E50="Outlook",COUNTIF($E$2:E50,"Outlook"),"")</f>
        <v/>
      </c>
      <c r="K50">
        <f>IF(E50="Domain",COUNTIF($E$2:E50,"Domain"),"")</f>
        <v/>
      </c>
    </row>
    <row r="51">
      <c r="A51" s="2" t="n"/>
      <c r="B51">
        <f>LOWER(TRIM(A51))</f>
        <v/>
      </c>
      <c r="C51">
        <f>IF(B51="","",IFERROR(INDEX('Bad Patterns'!$A$2:$A$120,MATCH(1,INDEX(--ISNUMBER(SEARCH('Bad Patterns'!$A$2:$A$120,B51)),0),0)),""))</f>
        <v/>
      </c>
      <c r="D51">
        <f>IF(B51="","",IF(C51&lt;&gt;"","REMOVE","KEEP"))</f>
        <v/>
      </c>
      <c r="E51">
        <f>IF(D51&lt;&gt;"KEEP","",IF(RIGHT(B51,10)="@gmail.com","Gmail",IF(OR(RIGHT(B51,12)="@outlook.com",RIGHT(B51,12)="@hotmail.com",RIGHT(B51,9)="@live.com"),"Outlook","Domain")))</f>
        <v/>
      </c>
      <c r="F51">
        <f>IF(B51="","",IFERROR(RIGHT(B51,LEN(B51)-FIND("@",B51)),""))</f>
        <v/>
      </c>
      <c r="G51">
        <f>IF(D51="KEEP",COUNTIF($D$2:D51,"KEEP"),"")</f>
        <v/>
      </c>
      <c r="H51">
        <f>IF(D51="REMOVE",COUNTIF($D$2:D51,"REMOVE"),"")</f>
        <v/>
      </c>
      <c r="I51">
        <f>IF(E51="Gmail",COUNTIF($E$2:E51,"Gmail"),"")</f>
        <v/>
      </c>
      <c r="J51">
        <f>IF(E51="Outlook",COUNTIF($E$2:E51,"Outlook"),"")</f>
        <v/>
      </c>
      <c r="K51">
        <f>IF(E51="Domain",COUNTIF($E$2:E51,"Domain"),"")</f>
        <v/>
      </c>
    </row>
    <row r="52">
      <c r="A52" s="2" t="n"/>
      <c r="B52">
        <f>LOWER(TRIM(A52))</f>
        <v/>
      </c>
      <c r="C52">
        <f>IF(B52="","",IFERROR(INDEX('Bad Patterns'!$A$2:$A$120,MATCH(1,INDEX(--ISNUMBER(SEARCH('Bad Patterns'!$A$2:$A$120,B52)),0),0)),""))</f>
        <v/>
      </c>
      <c r="D52">
        <f>IF(B52="","",IF(C52&lt;&gt;"","REMOVE","KEEP"))</f>
        <v/>
      </c>
      <c r="E52">
        <f>IF(D52&lt;&gt;"KEEP","",IF(RIGHT(B52,10)="@gmail.com","Gmail",IF(OR(RIGHT(B52,12)="@outlook.com",RIGHT(B52,12)="@hotmail.com",RIGHT(B52,9)="@live.com"),"Outlook","Domain")))</f>
        <v/>
      </c>
      <c r="F52">
        <f>IF(B52="","",IFERROR(RIGHT(B52,LEN(B52)-FIND("@",B52)),""))</f>
        <v/>
      </c>
      <c r="G52">
        <f>IF(D52="KEEP",COUNTIF($D$2:D52,"KEEP"),"")</f>
        <v/>
      </c>
      <c r="H52">
        <f>IF(D52="REMOVE",COUNTIF($D$2:D52,"REMOVE"),"")</f>
        <v/>
      </c>
      <c r="I52">
        <f>IF(E52="Gmail",COUNTIF($E$2:E52,"Gmail"),"")</f>
        <v/>
      </c>
      <c r="J52">
        <f>IF(E52="Outlook",COUNTIF($E$2:E52,"Outlook"),"")</f>
        <v/>
      </c>
      <c r="K52">
        <f>IF(E52="Domain",COUNTIF($E$2:E52,"Domain"),"")</f>
        <v/>
      </c>
    </row>
    <row r="53">
      <c r="A53" s="2" t="n"/>
      <c r="B53">
        <f>LOWER(TRIM(A53))</f>
        <v/>
      </c>
      <c r="C53">
        <f>IF(B53="","",IFERROR(INDEX('Bad Patterns'!$A$2:$A$120,MATCH(1,INDEX(--ISNUMBER(SEARCH('Bad Patterns'!$A$2:$A$120,B53)),0),0)),""))</f>
        <v/>
      </c>
      <c r="D53">
        <f>IF(B53="","",IF(C53&lt;&gt;"","REMOVE","KEEP"))</f>
        <v/>
      </c>
      <c r="E53">
        <f>IF(D53&lt;&gt;"KEEP","",IF(RIGHT(B53,10)="@gmail.com","Gmail",IF(OR(RIGHT(B53,12)="@outlook.com",RIGHT(B53,12)="@hotmail.com",RIGHT(B53,9)="@live.com"),"Outlook","Domain")))</f>
        <v/>
      </c>
      <c r="F53">
        <f>IF(B53="","",IFERROR(RIGHT(B53,LEN(B53)-FIND("@",B53)),""))</f>
        <v/>
      </c>
      <c r="G53">
        <f>IF(D53="KEEP",COUNTIF($D$2:D53,"KEEP"),"")</f>
        <v/>
      </c>
      <c r="H53">
        <f>IF(D53="REMOVE",COUNTIF($D$2:D53,"REMOVE"),"")</f>
        <v/>
      </c>
      <c r="I53">
        <f>IF(E53="Gmail",COUNTIF($E$2:E53,"Gmail"),"")</f>
        <v/>
      </c>
      <c r="J53">
        <f>IF(E53="Outlook",COUNTIF($E$2:E53,"Outlook"),"")</f>
        <v/>
      </c>
      <c r="K53">
        <f>IF(E53="Domain",COUNTIF($E$2:E53,"Domain"),"")</f>
        <v/>
      </c>
    </row>
    <row r="54">
      <c r="A54" s="2" t="n"/>
      <c r="B54">
        <f>LOWER(TRIM(A54))</f>
        <v/>
      </c>
      <c r="C54">
        <f>IF(B54="","",IFERROR(INDEX('Bad Patterns'!$A$2:$A$120,MATCH(1,INDEX(--ISNUMBER(SEARCH('Bad Patterns'!$A$2:$A$120,B54)),0),0)),""))</f>
        <v/>
      </c>
      <c r="D54">
        <f>IF(B54="","",IF(C54&lt;&gt;"","REMOVE","KEEP"))</f>
        <v/>
      </c>
      <c r="E54">
        <f>IF(D54&lt;&gt;"KEEP","",IF(RIGHT(B54,10)="@gmail.com","Gmail",IF(OR(RIGHT(B54,12)="@outlook.com",RIGHT(B54,12)="@hotmail.com",RIGHT(B54,9)="@live.com"),"Outlook","Domain")))</f>
        <v/>
      </c>
      <c r="F54">
        <f>IF(B54="","",IFERROR(RIGHT(B54,LEN(B54)-FIND("@",B54)),""))</f>
        <v/>
      </c>
      <c r="G54">
        <f>IF(D54="KEEP",COUNTIF($D$2:D54,"KEEP"),"")</f>
        <v/>
      </c>
      <c r="H54">
        <f>IF(D54="REMOVE",COUNTIF($D$2:D54,"REMOVE"),"")</f>
        <v/>
      </c>
      <c r="I54">
        <f>IF(E54="Gmail",COUNTIF($E$2:E54,"Gmail"),"")</f>
        <v/>
      </c>
      <c r="J54">
        <f>IF(E54="Outlook",COUNTIF($E$2:E54,"Outlook"),"")</f>
        <v/>
      </c>
      <c r="K54">
        <f>IF(E54="Domain",COUNTIF($E$2:E54,"Domain"),"")</f>
        <v/>
      </c>
    </row>
    <row r="55">
      <c r="A55" s="2" t="n"/>
      <c r="B55">
        <f>LOWER(TRIM(A55))</f>
        <v/>
      </c>
      <c r="C55">
        <f>IF(B55="","",IFERROR(INDEX('Bad Patterns'!$A$2:$A$120,MATCH(1,INDEX(--ISNUMBER(SEARCH('Bad Patterns'!$A$2:$A$120,B55)),0),0)),""))</f>
        <v/>
      </c>
      <c r="D55">
        <f>IF(B55="","",IF(C55&lt;&gt;"","REMOVE","KEEP"))</f>
        <v/>
      </c>
      <c r="E55">
        <f>IF(D55&lt;&gt;"KEEP","",IF(RIGHT(B55,10)="@gmail.com","Gmail",IF(OR(RIGHT(B55,12)="@outlook.com",RIGHT(B55,12)="@hotmail.com",RIGHT(B55,9)="@live.com"),"Outlook","Domain")))</f>
        <v/>
      </c>
      <c r="F55">
        <f>IF(B55="","",IFERROR(RIGHT(B55,LEN(B55)-FIND("@",B55)),""))</f>
        <v/>
      </c>
      <c r="G55">
        <f>IF(D55="KEEP",COUNTIF($D$2:D55,"KEEP"),"")</f>
        <v/>
      </c>
      <c r="H55">
        <f>IF(D55="REMOVE",COUNTIF($D$2:D55,"REMOVE"),"")</f>
        <v/>
      </c>
      <c r="I55">
        <f>IF(E55="Gmail",COUNTIF($E$2:E55,"Gmail"),"")</f>
        <v/>
      </c>
      <c r="J55">
        <f>IF(E55="Outlook",COUNTIF($E$2:E55,"Outlook"),"")</f>
        <v/>
      </c>
      <c r="K55">
        <f>IF(E55="Domain",COUNTIF($E$2:E55,"Domain"),"")</f>
        <v/>
      </c>
    </row>
    <row r="56">
      <c r="A56" s="2" t="n"/>
      <c r="B56">
        <f>LOWER(TRIM(A56))</f>
        <v/>
      </c>
      <c r="C56">
        <f>IF(B56="","",IFERROR(INDEX('Bad Patterns'!$A$2:$A$120,MATCH(1,INDEX(--ISNUMBER(SEARCH('Bad Patterns'!$A$2:$A$120,B56)),0),0)),""))</f>
        <v/>
      </c>
      <c r="D56">
        <f>IF(B56="","",IF(C56&lt;&gt;"","REMOVE","KEEP"))</f>
        <v/>
      </c>
      <c r="E56">
        <f>IF(D56&lt;&gt;"KEEP","",IF(RIGHT(B56,10)="@gmail.com","Gmail",IF(OR(RIGHT(B56,12)="@outlook.com",RIGHT(B56,12)="@hotmail.com",RIGHT(B56,9)="@live.com"),"Outlook","Domain")))</f>
        <v/>
      </c>
      <c r="F56">
        <f>IF(B56="","",IFERROR(RIGHT(B56,LEN(B56)-FIND("@",B56)),""))</f>
        <v/>
      </c>
      <c r="G56">
        <f>IF(D56="KEEP",COUNTIF($D$2:D56,"KEEP"),"")</f>
        <v/>
      </c>
      <c r="H56">
        <f>IF(D56="REMOVE",COUNTIF($D$2:D56,"REMOVE"),"")</f>
        <v/>
      </c>
      <c r="I56">
        <f>IF(E56="Gmail",COUNTIF($E$2:E56,"Gmail"),"")</f>
        <v/>
      </c>
      <c r="J56">
        <f>IF(E56="Outlook",COUNTIF($E$2:E56,"Outlook"),"")</f>
        <v/>
      </c>
      <c r="K56">
        <f>IF(E56="Domain",COUNTIF($E$2:E56,"Domain"),"")</f>
        <v/>
      </c>
    </row>
    <row r="57">
      <c r="A57" s="2" t="n"/>
      <c r="B57">
        <f>LOWER(TRIM(A57))</f>
        <v/>
      </c>
      <c r="C57">
        <f>IF(B57="","",IFERROR(INDEX('Bad Patterns'!$A$2:$A$120,MATCH(1,INDEX(--ISNUMBER(SEARCH('Bad Patterns'!$A$2:$A$120,B57)),0),0)),""))</f>
        <v/>
      </c>
      <c r="D57">
        <f>IF(B57="","",IF(C57&lt;&gt;"","REMOVE","KEEP"))</f>
        <v/>
      </c>
      <c r="E57">
        <f>IF(D57&lt;&gt;"KEEP","",IF(RIGHT(B57,10)="@gmail.com","Gmail",IF(OR(RIGHT(B57,12)="@outlook.com",RIGHT(B57,12)="@hotmail.com",RIGHT(B57,9)="@live.com"),"Outlook","Domain")))</f>
        <v/>
      </c>
      <c r="F57">
        <f>IF(B57="","",IFERROR(RIGHT(B57,LEN(B57)-FIND("@",B57)),""))</f>
        <v/>
      </c>
      <c r="G57">
        <f>IF(D57="KEEP",COUNTIF($D$2:D57,"KEEP"),"")</f>
        <v/>
      </c>
      <c r="H57">
        <f>IF(D57="REMOVE",COUNTIF($D$2:D57,"REMOVE"),"")</f>
        <v/>
      </c>
      <c r="I57">
        <f>IF(E57="Gmail",COUNTIF($E$2:E57,"Gmail"),"")</f>
        <v/>
      </c>
      <c r="J57">
        <f>IF(E57="Outlook",COUNTIF($E$2:E57,"Outlook"),"")</f>
        <v/>
      </c>
      <c r="K57">
        <f>IF(E57="Domain",COUNTIF($E$2:E57,"Domain"),"")</f>
        <v/>
      </c>
    </row>
    <row r="58">
      <c r="A58" s="2" t="n"/>
      <c r="B58">
        <f>LOWER(TRIM(A58))</f>
        <v/>
      </c>
      <c r="C58">
        <f>IF(B58="","",IFERROR(INDEX('Bad Patterns'!$A$2:$A$120,MATCH(1,INDEX(--ISNUMBER(SEARCH('Bad Patterns'!$A$2:$A$120,B58)),0),0)),""))</f>
        <v/>
      </c>
      <c r="D58">
        <f>IF(B58="","",IF(C58&lt;&gt;"","REMOVE","KEEP"))</f>
        <v/>
      </c>
      <c r="E58">
        <f>IF(D58&lt;&gt;"KEEP","",IF(RIGHT(B58,10)="@gmail.com","Gmail",IF(OR(RIGHT(B58,12)="@outlook.com",RIGHT(B58,12)="@hotmail.com",RIGHT(B58,9)="@live.com"),"Outlook","Domain")))</f>
        <v/>
      </c>
      <c r="F58">
        <f>IF(B58="","",IFERROR(RIGHT(B58,LEN(B58)-FIND("@",B58)),""))</f>
        <v/>
      </c>
      <c r="G58">
        <f>IF(D58="KEEP",COUNTIF($D$2:D58,"KEEP"),"")</f>
        <v/>
      </c>
      <c r="H58">
        <f>IF(D58="REMOVE",COUNTIF($D$2:D58,"REMOVE"),"")</f>
        <v/>
      </c>
      <c r="I58">
        <f>IF(E58="Gmail",COUNTIF($E$2:E58,"Gmail"),"")</f>
        <v/>
      </c>
      <c r="J58">
        <f>IF(E58="Outlook",COUNTIF($E$2:E58,"Outlook"),"")</f>
        <v/>
      </c>
      <c r="K58">
        <f>IF(E58="Domain",COUNTIF($E$2:E58,"Domain"),"")</f>
        <v/>
      </c>
    </row>
    <row r="59">
      <c r="A59" s="2" t="n"/>
      <c r="B59">
        <f>LOWER(TRIM(A59))</f>
        <v/>
      </c>
      <c r="C59">
        <f>IF(B59="","",IFERROR(INDEX('Bad Patterns'!$A$2:$A$120,MATCH(1,INDEX(--ISNUMBER(SEARCH('Bad Patterns'!$A$2:$A$120,B59)),0),0)),""))</f>
        <v/>
      </c>
      <c r="D59">
        <f>IF(B59="","",IF(C59&lt;&gt;"","REMOVE","KEEP"))</f>
        <v/>
      </c>
      <c r="E59">
        <f>IF(D59&lt;&gt;"KEEP","",IF(RIGHT(B59,10)="@gmail.com","Gmail",IF(OR(RIGHT(B59,12)="@outlook.com",RIGHT(B59,12)="@hotmail.com",RIGHT(B59,9)="@live.com"),"Outlook","Domain")))</f>
        <v/>
      </c>
      <c r="F59">
        <f>IF(B59="","",IFERROR(RIGHT(B59,LEN(B59)-FIND("@",B59)),""))</f>
        <v/>
      </c>
      <c r="G59">
        <f>IF(D59="KEEP",COUNTIF($D$2:D59,"KEEP"),"")</f>
        <v/>
      </c>
      <c r="H59">
        <f>IF(D59="REMOVE",COUNTIF($D$2:D59,"REMOVE"),"")</f>
        <v/>
      </c>
      <c r="I59">
        <f>IF(E59="Gmail",COUNTIF($E$2:E59,"Gmail"),"")</f>
        <v/>
      </c>
      <c r="J59">
        <f>IF(E59="Outlook",COUNTIF($E$2:E59,"Outlook"),"")</f>
        <v/>
      </c>
      <c r="K59">
        <f>IF(E59="Domain",COUNTIF($E$2:E59,"Domain"),"")</f>
        <v/>
      </c>
    </row>
    <row r="60">
      <c r="A60" s="2" t="n"/>
      <c r="B60">
        <f>LOWER(TRIM(A60))</f>
        <v/>
      </c>
      <c r="C60">
        <f>IF(B60="","",IFERROR(INDEX('Bad Patterns'!$A$2:$A$120,MATCH(1,INDEX(--ISNUMBER(SEARCH('Bad Patterns'!$A$2:$A$120,B60)),0),0)),""))</f>
        <v/>
      </c>
      <c r="D60">
        <f>IF(B60="","",IF(C60&lt;&gt;"","REMOVE","KEEP"))</f>
        <v/>
      </c>
      <c r="E60">
        <f>IF(D60&lt;&gt;"KEEP","",IF(RIGHT(B60,10)="@gmail.com","Gmail",IF(OR(RIGHT(B60,12)="@outlook.com",RIGHT(B60,12)="@hotmail.com",RIGHT(B60,9)="@live.com"),"Outlook","Domain")))</f>
        <v/>
      </c>
      <c r="F60">
        <f>IF(B60="","",IFERROR(RIGHT(B60,LEN(B60)-FIND("@",B60)),""))</f>
        <v/>
      </c>
      <c r="G60">
        <f>IF(D60="KEEP",COUNTIF($D$2:D60,"KEEP"),"")</f>
        <v/>
      </c>
      <c r="H60">
        <f>IF(D60="REMOVE",COUNTIF($D$2:D60,"REMOVE"),"")</f>
        <v/>
      </c>
      <c r="I60">
        <f>IF(E60="Gmail",COUNTIF($E$2:E60,"Gmail"),"")</f>
        <v/>
      </c>
      <c r="J60">
        <f>IF(E60="Outlook",COUNTIF($E$2:E60,"Outlook"),"")</f>
        <v/>
      </c>
      <c r="K60">
        <f>IF(E60="Domain",COUNTIF($E$2:E60,"Domain"),"")</f>
        <v/>
      </c>
    </row>
    <row r="61">
      <c r="A61" s="2" t="n"/>
      <c r="B61">
        <f>LOWER(TRIM(A61))</f>
        <v/>
      </c>
      <c r="C61">
        <f>IF(B61="","",IFERROR(INDEX('Bad Patterns'!$A$2:$A$120,MATCH(1,INDEX(--ISNUMBER(SEARCH('Bad Patterns'!$A$2:$A$120,B61)),0),0)),""))</f>
        <v/>
      </c>
      <c r="D61">
        <f>IF(B61="","",IF(C61&lt;&gt;"","REMOVE","KEEP"))</f>
        <v/>
      </c>
      <c r="E61">
        <f>IF(D61&lt;&gt;"KEEP","",IF(RIGHT(B61,10)="@gmail.com","Gmail",IF(OR(RIGHT(B61,12)="@outlook.com",RIGHT(B61,12)="@hotmail.com",RIGHT(B61,9)="@live.com"),"Outlook","Domain")))</f>
        <v/>
      </c>
      <c r="F61">
        <f>IF(B61="","",IFERROR(RIGHT(B61,LEN(B61)-FIND("@",B61)),""))</f>
        <v/>
      </c>
      <c r="G61">
        <f>IF(D61="KEEP",COUNTIF($D$2:D61,"KEEP"),"")</f>
        <v/>
      </c>
      <c r="H61">
        <f>IF(D61="REMOVE",COUNTIF($D$2:D61,"REMOVE"),"")</f>
        <v/>
      </c>
      <c r="I61">
        <f>IF(E61="Gmail",COUNTIF($E$2:E61,"Gmail"),"")</f>
        <v/>
      </c>
      <c r="J61">
        <f>IF(E61="Outlook",COUNTIF($E$2:E61,"Outlook"),"")</f>
        <v/>
      </c>
      <c r="K61">
        <f>IF(E61="Domain",COUNTIF($E$2:E61,"Domain"),"")</f>
        <v/>
      </c>
    </row>
    <row r="62">
      <c r="A62" s="2" t="n"/>
      <c r="B62">
        <f>LOWER(TRIM(A62))</f>
        <v/>
      </c>
      <c r="C62">
        <f>IF(B62="","",IFERROR(INDEX('Bad Patterns'!$A$2:$A$120,MATCH(1,INDEX(--ISNUMBER(SEARCH('Bad Patterns'!$A$2:$A$120,B62)),0),0)),""))</f>
        <v/>
      </c>
      <c r="D62">
        <f>IF(B62="","",IF(C62&lt;&gt;"","REMOVE","KEEP"))</f>
        <v/>
      </c>
      <c r="E62">
        <f>IF(D62&lt;&gt;"KEEP","",IF(RIGHT(B62,10)="@gmail.com","Gmail",IF(OR(RIGHT(B62,12)="@outlook.com",RIGHT(B62,12)="@hotmail.com",RIGHT(B62,9)="@live.com"),"Outlook","Domain")))</f>
        <v/>
      </c>
      <c r="F62">
        <f>IF(B62="","",IFERROR(RIGHT(B62,LEN(B62)-FIND("@",B62)),""))</f>
        <v/>
      </c>
      <c r="G62">
        <f>IF(D62="KEEP",COUNTIF($D$2:D62,"KEEP"),"")</f>
        <v/>
      </c>
      <c r="H62">
        <f>IF(D62="REMOVE",COUNTIF($D$2:D62,"REMOVE"),"")</f>
        <v/>
      </c>
      <c r="I62">
        <f>IF(E62="Gmail",COUNTIF($E$2:E62,"Gmail"),"")</f>
        <v/>
      </c>
      <c r="J62">
        <f>IF(E62="Outlook",COUNTIF($E$2:E62,"Outlook"),"")</f>
        <v/>
      </c>
      <c r="K62">
        <f>IF(E62="Domain",COUNTIF($E$2:E62,"Domain"),"")</f>
        <v/>
      </c>
    </row>
    <row r="63">
      <c r="A63" s="2" t="n"/>
      <c r="B63">
        <f>LOWER(TRIM(A63))</f>
        <v/>
      </c>
      <c r="C63">
        <f>IF(B63="","",IFERROR(INDEX('Bad Patterns'!$A$2:$A$120,MATCH(1,INDEX(--ISNUMBER(SEARCH('Bad Patterns'!$A$2:$A$120,B63)),0),0)),""))</f>
        <v/>
      </c>
      <c r="D63">
        <f>IF(B63="","",IF(C63&lt;&gt;"","REMOVE","KEEP"))</f>
        <v/>
      </c>
      <c r="E63">
        <f>IF(D63&lt;&gt;"KEEP","",IF(RIGHT(B63,10)="@gmail.com","Gmail",IF(OR(RIGHT(B63,12)="@outlook.com",RIGHT(B63,12)="@hotmail.com",RIGHT(B63,9)="@live.com"),"Outlook","Domain")))</f>
        <v/>
      </c>
      <c r="F63">
        <f>IF(B63="","",IFERROR(RIGHT(B63,LEN(B63)-FIND("@",B63)),""))</f>
        <v/>
      </c>
      <c r="G63">
        <f>IF(D63="KEEP",COUNTIF($D$2:D63,"KEEP"),"")</f>
        <v/>
      </c>
      <c r="H63">
        <f>IF(D63="REMOVE",COUNTIF($D$2:D63,"REMOVE"),"")</f>
        <v/>
      </c>
      <c r="I63">
        <f>IF(E63="Gmail",COUNTIF($E$2:E63,"Gmail"),"")</f>
        <v/>
      </c>
      <c r="J63">
        <f>IF(E63="Outlook",COUNTIF($E$2:E63,"Outlook"),"")</f>
        <v/>
      </c>
      <c r="K63">
        <f>IF(E63="Domain",COUNTIF($E$2:E63,"Domain"),"")</f>
        <v/>
      </c>
    </row>
    <row r="64">
      <c r="A64" s="2" t="n"/>
      <c r="B64">
        <f>LOWER(TRIM(A64))</f>
        <v/>
      </c>
      <c r="C64">
        <f>IF(B64="","",IFERROR(INDEX('Bad Patterns'!$A$2:$A$120,MATCH(1,INDEX(--ISNUMBER(SEARCH('Bad Patterns'!$A$2:$A$120,B64)),0),0)),""))</f>
        <v/>
      </c>
      <c r="D64">
        <f>IF(B64="","",IF(C64&lt;&gt;"","REMOVE","KEEP"))</f>
        <v/>
      </c>
      <c r="E64">
        <f>IF(D64&lt;&gt;"KEEP","",IF(RIGHT(B64,10)="@gmail.com","Gmail",IF(OR(RIGHT(B64,12)="@outlook.com",RIGHT(B64,12)="@hotmail.com",RIGHT(B64,9)="@live.com"),"Outlook","Domain")))</f>
        <v/>
      </c>
      <c r="F64">
        <f>IF(B64="","",IFERROR(RIGHT(B64,LEN(B64)-FIND("@",B64)),""))</f>
        <v/>
      </c>
      <c r="G64">
        <f>IF(D64="KEEP",COUNTIF($D$2:D64,"KEEP"),"")</f>
        <v/>
      </c>
      <c r="H64">
        <f>IF(D64="REMOVE",COUNTIF($D$2:D64,"REMOVE"),"")</f>
        <v/>
      </c>
      <c r="I64">
        <f>IF(E64="Gmail",COUNTIF($E$2:E64,"Gmail"),"")</f>
        <v/>
      </c>
      <c r="J64">
        <f>IF(E64="Outlook",COUNTIF($E$2:E64,"Outlook"),"")</f>
        <v/>
      </c>
      <c r="K64">
        <f>IF(E64="Domain",COUNTIF($E$2:E64,"Domain"),"")</f>
        <v/>
      </c>
    </row>
    <row r="65">
      <c r="A65" s="2" t="n"/>
      <c r="B65">
        <f>LOWER(TRIM(A65))</f>
        <v/>
      </c>
      <c r="C65">
        <f>IF(B65="","",IFERROR(INDEX('Bad Patterns'!$A$2:$A$120,MATCH(1,INDEX(--ISNUMBER(SEARCH('Bad Patterns'!$A$2:$A$120,B65)),0),0)),""))</f>
        <v/>
      </c>
      <c r="D65">
        <f>IF(B65="","",IF(C65&lt;&gt;"","REMOVE","KEEP"))</f>
        <v/>
      </c>
      <c r="E65">
        <f>IF(D65&lt;&gt;"KEEP","",IF(RIGHT(B65,10)="@gmail.com","Gmail",IF(OR(RIGHT(B65,12)="@outlook.com",RIGHT(B65,12)="@hotmail.com",RIGHT(B65,9)="@live.com"),"Outlook","Domain")))</f>
        <v/>
      </c>
      <c r="F65">
        <f>IF(B65="","",IFERROR(RIGHT(B65,LEN(B65)-FIND("@",B65)),""))</f>
        <v/>
      </c>
      <c r="G65">
        <f>IF(D65="KEEP",COUNTIF($D$2:D65,"KEEP"),"")</f>
        <v/>
      </c>
      <c r="H65">
        <f>IF(D65="REMOVE",COUNTIF($D$2:D65,"REMOVE"),"")</f>
        <v/>
      </c>
      <c r="I65">
        <f>IF(E65="Gmail",COUNTIF($E$2:E65,"Gmail"),"")</f>
        <v/>
      </c>
      <c r="J65">
        <f>IF(E65="Outlook",COUNTIF($E$2:E65,"Outlook"),"")</f>
        <v/>
      </c>
      <c r="K65">
        <f>IF(E65="Domain",COUNTIF($E$2:E65,"Domain"),"")</f>
        <v/>
      </c>
    </row>
    <row r="66">
      <c r="A66" s="2" t="n"/>
      <c r="B66">
        <f>LOWER(TRIM(A66))</f>
        <v/>
      </c>
      <c r="C66">
        <f>IF(B66="","",IFERROR(INDEX('Bad Patterns'!$A$2:$A$120,MATCH(1,INDEX(--ISNUMBER(SEARCH('Bad Patterns'!$A$2:$A$120,B66)),0),0)),""))</f>
        <v/>
      </c>
      <c r="D66">
        <f>IF(B66="","",IF(C66&lt;&gt;"","REMOVE","KEEP"))</f>
        <v/>
      </c>
      <c r="E66">
        <f>IF(D66&lt;&gt;"KEEP","",IF(RIGHT(B66,10)="@gmail.com","Gmail",IF(OR(RIGHT(B66,12)="@outlook.com",RIGHT(B66,12)="@hotmail.com",RIGHT(B66,9)="@live.com"),"Outlook","Domain")))</f>
        <v/>
      </c>
      <c r="F66">
        <f>IF(B66="","",IFERROR(RIGHT(B66,LEN(B66)-FIND("@",B66)),""))</f>
        <v/>
      </c>
      <c r="G66">
        <f>IF(D66="KEEP",COUNTIF($D$2:D66,"KEEP"),"")</f>
        <v/>
      </c>
      <c r="H66">
        <f>IF(D66="REMOVE",COUNTIF($D$2:D66,"REMOVE"),"")</f>
        <v/>
      </c>
      <c r="I66">
        <f>IF(E66="Gmail",COUNTIF($E$2:E66,"Gmail"),"")</f>
        <v/>
      </c>
      <c r="J66">
        <f>IF(E66="Outlook",COUNTIF($E$2:E66,"Outlook"),"")</f>
        <v/>
      </c>
      <c r="K66">
        <f>IF(E66="Domain",COUNTIF($E$2:E66,"Domain"),"")</f>
        <v/>
      </c>
    </row>
    <row r="67">
      <c r="A67" s="2" t="n"/>
      <c r="B67">
        <f>LOWER(TRIM(A67))</f>
        <v/>
      </c>
      <c r="C67">
        <f>IF(B67="","",IFERROR(INDEX('Bad Patterns'!$A$2:$A$120,MATCH(1,INDEX(--ISNUMBER(SEARCH('Bad Patterns'!$A$2:$A$120,B67)),0),0)),""))</f>
        <v/>
      </c>
      <c r="D67">
        <f>IF(B67="","",IF(C67&lt;&gt;"","REMOVE","KEEP"))</f>
        <v/>
      </c>
      <c r="E67">
        <f>IF(D67&lt;&gt;"KEEP","",IF(RIGHT(B67,10)="@gmail.com","Gmail",IF(OR(RIGHT(B67,12)="@outlook.com",RIGHT(B67,12)="@hotmail.com",RIGHT(B67,9)="@live.com"),"Outlook","Domain")))</f>
        <v/>
      </c>
      <c r="F67">
        <f>IF(B67="","",IFERROR(RIGHT(B67,LEN(B67)-FIND("@",B67)),""))</f>
        <v/>
      </c>
      <c r="G67">
        <f>IF(D67="KEEP",COUNTIF($D$2:D67,"KEEP"),"")</f>
        <v/>
      </c>
      <c r="H67">
        <f>IF(D67="REMOVE",COUNTIF($D$2:D67,"REMOVE"),"")</f>
        <v/>
      </c>
      <c r="I67">
        <f>IF(E67="Gmail",COUNTIF($E$2:E67,"Gmail"),"")</f>
        <v/>
      </c>
      <c r="J67">
        <f>IF(E67="Outlook",COUNTIF($E$2:E67,"Outlook"),"")</f>
        <v/>
      </c>
      <c r="K67">
        <f>IF(E67="Domain",COUNTIF($E$2:E67,"Domain"),"")</f>
        <v/>
      </c>
    </row>
    <row r="68">
      <c r="A68" s="2" t="n"/>
      <c r="B68">
        <f>LOWER(TRIM(A68))</f>
        <v/>
      </c>
      <c r="C68">
        <f>IF(B68="","",IFERROR(INDEX('Bad Patterns'!$A$2:$A$120,MATCH(1,INDEX(--ISNUMBER(SEARCH('Bad Patterns'!$A$2:$A$120,B68)),0),0)),""))</f>
        <v/>
      </c>
      <c r="D68">
        <f>IF(B68="","",IF(C68&lt;&gt;"","REMOVE","KEEP"))</f>
        <v/>
      </c>
      <c r="E68">
        <f>IF(D68&lt;&gt;"KEEP","",IF(RIGHT(B68,10)="@gmail.com","Gmail",IF(OR(RIGHT(B68,12)="@outlook.com",RIGHT(B68,12)="@hotmail.com",RIGHT(B68,9)="@live.com"),"Outlook","Domain")))</f>
        <v/>
      </c>
      <c r="F68">
        <f>IF(B68="","",IFERROR(RIGHT(B68,LEN(B68)-FIND("@",B68)),""))</f>
        <v/>
      </c>
      <c r="G68">
        <f>IF(D68="KEEP",COUNTIF($D$2:D68,"KEEP"),"")</f>
        <v/>
      </c>
      <c r="H68">
        <f>IF(D68="REMOVE",COUNTIF($D$2:D68,"REMOVE"),"")</f>
        <v/>
      </c>
      <c r="I68">
        <f>IF(E68="Gmail",COUNTIF($E$2:E68,"Gmail"),"")</f>
        <v/>
      </c>
      <c r="J68">
        <f>IF(E68="Outlook",COUNTIF($E$2:E68,"Outlook"),"")</f>
        <v/>
      </c>
      <c r="K68">
        <f>IF(E68="Domain",COUNTIF($E$2:E68,"Domain"),"")</f>
        <v/>
      </c>
    </row>
    <row r="69">
      <c r="A69" s="2" t="n"/>
      <c r="B69">
        <f>LOWER(TRIM(A69))</f>
        <v/>
      </c>
      <c r="C69">
        <f>IF(B69="","",IFERROR(INDEX('Bad Patterns'!$A$2:$A$120,MATCH(1,INDEX(--ISNUMBER(SEARCH('Bad Patterns'!$A$2:$A$120,B69)),0),0)),""))</f>
        <v/>
      </c>
      <c r="D69">
        <f>IF(B69="","",IF(C69&lt;&gt;"","REMOVE","KEEP"))</f>
        <v/>
      </c>
      <c r="E69">
        <f>IF(D69&lt;&gt;"KEEP","",IF(RIGHT(B69,10)="@gmail.com","Gmail",IF(OR(RIGHT(B69,12)="@outlook.com",RIGHT(B69,12)="@hotmail.com",RIGHT(B69,9)="@live.com"),"Outlook","Domain")))</f>
        <v/>
      </c>
      <c r="F69">
        <f>IF(B69="","",IFERROR(RIGHT(B69,LEN(B69)-FIND("@",B69)),""))</f>
        <v/>
      </c>
      <c r="G69">
        <f>IF(D69="KEEP",COUNTIF($D$2:D69,"KEEP"),"")</f>
        <v/>
      </c>
      <c r="H69">
        <f>IF(D69="REMOVE",COUNTIF($D$2:D69,"REMOVE"),"")</f>
        <v/>
      </c>
      <c r="I69">
        <f>IF(E69="Gmail",COUNTIF($E$2:E69,"Gmail"),"")</f>
        <v/>
      </c>
      <c r="J69">
        <f>IF(E69="Outlook",COUNTIF($E$2:E69,"Outlook"),"")</f>
        <v/>
      </c>
      <c r="K69">
        <f>IF(E69="Domain",COUNTIF($E$2:E69,"Domain"),"")</f>
        <v/>
      </c>
    </row>
    <row r="70">
      <c r="A70" s="2" t="n"/>
      <c r="B70">
        <f>LOWER(TRIM(A70))</f>
        <v/>
      </c>
      <c r="C70">
        <f>IF(B70="","",IFERROR(INDEX('Bad Patterns'!$A$2:$A$120,MATCH(1,INDEX(--ISNUMBER(SEARCH('Bad Patterns'!$A$2:$A$120,B70)),0),0)),""))</f>
        <v/>
      </c>
      <c r="D70">
        <f>IF(B70="","",IF(C70&lt;&gt;"","REMOVE","KEEP"))</f>
        <v/>
      </c>
      <c r="E70">
        <f>IF(D70&lt;&gt;"KEEP","",IF(RIGHT(B70,10)="@gmail.com","Gmail",IF(OR(RIGHT(B70,12)="@outlook.com",RIGHT(B70,12)="@hotmail.com",RIGHT(B70,9)="@live.com"),"Outlook","Domain")))</f>
        <v/>
      </c>
      <c r="F70">
        <f>IF(B70="","",IFERROR(RIGHT(B70,LEN(B70)-FIND("@",B70)),""))</f>
        <v/>
      </c>
      <c r="G70">
        <f>IF(D70="KEEP",COUNTIF($D$2:D70,"KEEP"),"")</f>
        <v/>
      </c>
      <c r="H70">
        <f>IF(D70="REMOVE",COUNTIF($D$2:D70,"REMOVE"),"")</f>
        <v/>
      </c>
      <c r="I70">
        <f>IF(E70="Gmail",COUNTIF($E$2:E70,"Gmail"),"")</f>
        <v/>
      </c>
      <c r="J70">
        <f>IF(E70="Outlook",COUNTIF($E$2:E70,"Outlook"),"")</f>
        <v/>
      </c>
      <c r="K70">
        <f>IF(E70="Domain",COUNTIF($E$2:E70,"Domain"),"")</f>
        <v/>
      </c>
    </row>
    <row r="71">
      <c r="A71" s="2" t="n"/>
      <c r="B71">
        <f>LOWER(TRIM(A71))</f>
        <v/>
      </c>
      <c r="C71">
        <f>IF(B71="","",IFERROR(INDEX('Bad Patterns'!$A$2:$A$120,MATCH(1,INDEX(--ISNUMBER(SEARCH('Bad Patterns'!$A$2:$A$120,B71)),0),0)),""))</f>
        <v/>
      </c>
      <c r="D71">
        <f>IF(B71="","",IF(C71&lt;&gt;"","REMOVE","KEEP"))</f>
        <v/>
      </c>
      <c r="E71">
        <f>IF(D71&lt;&gt;"KEEP","",IF(RIGHT(B71,10)="@gmail.com","Gmail",IF(OR(RIGHT(B71,12)="@outlook.com",RIGHT(B71,12)="@hotmail.com",RIGHT(B71,9)="@live.com"),"Outlook","Domain")))</f>
        <v/>
      </c>
      <c r="F71">
        <f>IF(B71="","",IFERROR(RIGHT(B71,LEN(B71)-FIND("@",B71)),""))</f>
        <v/>
      </c>
      <c r="G71">
        <f>IF(D71="KEEP",COUNTIF($D$2:D71,"KEEP"),"")</f>
        <v/>
      </c>
      <c r="H71">
        <f>IF(D71="REMOVE",COUNTIF($D$2:D71,"REMOVE"),"")</f>
        <v/>
      </c>
      <c r="I71">
        <f>IF(E71="Gmail",COUNTIF($E$2:E71,"Gmail"),"")</f>
        <v/>
      </c>
      <c r="J71">
        <f>IF(E71="Outlook",COUNTIF($E$2:E71,"Outlook"),"")</f>
        <v/>
      </c>
      <c r="K71">
        <f>IF(E71="Domain",COUNTIF($E$2:E71,"Domain"),"")</f>
        <v/>
      </c>
    </row>
    <row r="72">
      <c r="A72" s="2" t="n"/>
      <c r="B72">
        <f>LOWER(TRIM(A72))</f>
        <v/>
      </c>
      <c r="C72">
        <f>IF(B72="","",IFERROR(INDEX('Bad Patterns'!$A$2:$A$120,MATCH(1,INDEX(--ISNUMBER(SEARCH('Bad Patterns'!$A$2:$A$120,B72)),0),0)),""))</f>
        <v/>
      </c>
      <c r="D72">
        <f>IF(B72="","",IF(C72&lt;&gt;"","REMOVE","KEEP"))</f>
        <v/>
      </c>
      <c r="E72">
        <f>IF(D72&lt;&gt;"KEEP","",IF(RIGHT(B72,10)="@gmail.com","Gmail",IF(OR(RIGHT(B72,12)="@outlook.com",RIGHT(B72,12)="@hotmail.com",RIGHT(B72,9)="@live.com"),"Outlook","Domain")))</f>
        <v/>
      </c>
      <c r="F72">
        <f>IF(B72="","",IFERROR(RIGHT(B72,LEN(B72)-FIND("@",B72)),""))</f>
        <v/>
      </c>
      <c r="G72">
        <f>IF(D72="KEEP",COUNTIF($D$2:D72,"KEEP"),"")</f>
        <v/>
      </c>
      <c r="H72">
        <f>IF(D72="REMOVE",COUNTIF($D$2:D72,"REMOVE"),"")</f>
        <v/>
      </c>
      <c r="I72">
        <f>IF(E72="Gmail",COUNTIF($E$2:E72,"Gmail"),"")</f>
        <v/>
      </c>
      <c r="J72">
        <f>IF(E72="Outlook",COUNTIF($E$2:E72,"Outlook"),"")</f>
        <v/>
      </c>
      <c r="K72">
        <f>IF(E72="Domain",COUNTIF($E$2:E72,"Domain"),"")</f>
        <v/>
      </c>
    </row>
    <row r="73">
      <c r="A73" s="2" t="n"/>
      <c r="B73">
        <f>LOWER(TRIM(A73))</f>
        <v/>
      </c>
      <c r="C73">
        <f>IF(B73="","",IFERROR(INDEX('Bad Patterns'!$A$2:$A$120,MATCH(1,INDEX(--ISNUMBER(SEARCH('Bad Patterns'!$A$2:$A$120,B73)),0),0)),""))</f>
        <v/>
      </c>
      <c r="D73">
        <f>IF(B73="","",IF(C73&lt;&gt;"","REMOVE","KEEP"))</f>
        <v/>
      </c>
      <c r="E73">
        <f>IF(D73&lt;&gt;"KEEP","",IF(RIGHT(B73,10)="@gmail.com","Gmail",IF(OR(RIGHT(B73,12)="@outlook.com",RIGHT(B73,12)="@hotmail.com",RIGHT(B73,9)="@live.com"),"Outlook","Domain")))</f>
        <v/>
      </c>
      <c r="F73">
        <f>IF(B73="","",IFERROR(RIGHT(B73,LEN(B73)-FIND("@",B73)),""))</f>
        <v/>
      </c>
      <c r="G73">
        <f>IF(D73="KEEP",COUNTIF($D$2:D73,"KEEP"),"")</f>
        <v/>
      </c>
      <c r="H73">
        <f>IF(D73="REMOVE",COUNTIF($D$2:D73,"REMOVE"),"")</f>
        <v/>
      </c>
      <c r="I73">
        <f>IF(E73="Gmail",COUNTIF($E$2:E73,"Gmail"),"")</f>
        <v/>
      </c>
      <c r="J73">
        <f>IF(E73="Outlook",COUNTIF($E$2:E73,"Outlook"),"")</f>
        <v/>
      </c>
      <c r="K73">
        <f>IF(E73="Domain",COUNTIF($E$2:E73,"Domain"),"")</f>
        <v/>
      </c>
    </row>
    <row r="74">
      <c r="A74" s="2" t="n"/>
      <c r="B74">
        <f>LOWER(TRIM(A74))</f>
        <v/>
      </c>
      <c r="C74">
        <f>IF(B74="","",IFERROR(INDEX('Bad Patterns'!$A$2:$A$120,MATCH(1,INDEX(--ISNUMBER(SEARCH('Bad Patterns'!$A$2:$A$120,B74)),0),0)),""))</f>
        <v/>
      </c>
      <c r="D74">
        <f>IF(B74="","",IF(C74&lt;&gt;"","REMOVE","KEEP"))</f>
        <v/>
      </c>
      <c r="E74">
        <f>IF(D74&lt;&gt;"KEEP","",IF(RIGHT(B74,10)="@gmail.com","Gmail",IF(OR(RIGHT(B74,12)="@outlook.com",RIGHT(B74,12)="@hotmail.com",RIGHT(B74,9)="@live.com"),"Outlook","Domain")))</f>
        <v/>
      </c>
      <c r="F74">
        <f>IF(B74="","",IFERROR(RIGHT(B74,LEN(B74)-FIND("@",B74)),""))</f>
        <v/>
      </c>
      <c r="G74">
        <f>IF(D74="KEEP",COUNTIF($D$2:D74,"KEEP"),"")</f>
        <v/>
      </c>
      <c r="H74">
        <f>IF(D74="REMOVE",COUNTIF($D$2:D74,"REMOVE"),"")</f>
        <v/>
      </c>
      <c r="I74">
        <f>IF(E74="Gmail",COUNTIF($E$2:E74,"Gmail"),"")</f>
        <v/>
      </c>
      <c r="J74">
        <f>IF(E74="Outlook",COUNTIF($E$2:E74,"Outlook"),"")</f>
        <v/>
      </c>
      <c r="K74">
        <f>IF(E74="Domain",COUNTIF($E$2:E74,"Domain"),"")</f>
        <v/>
      </c>
    </row>
    <row r="75">
      <c r="A75" s="2" t="n"/>
      <c r="B75">
        <f>LOWER(TRIM(A75))</f>
        <v/>
      </c>
      <c r="C75">
        <f>IF(B75="","",IFERROR(INDEX('Bad Patterns'!$A$2:$A$120,MATCH(1,INDEX(--ISNUMBER(SEARCH('Bad Patterns'!$A$2:$A$120,B75)),0),0)),""))</f>
        <v/>
      </c>
      <c r="D75">
        <f>IF(B75="","",IF(C75&lt;&gt;"","REMOVE","KEEP"))</f>
        <v/>
      </c>
      <c r="E75">
        <f>IF(D75&lt;&gt;"KEEP","",IF(RIGHT(B75,10)="@gmail.com","Gmail",IF(OR(RIGHT(B75,12)="@outlook.com",RIGHT(B75,12)="@hotmail.com",RIGHT(B75,9)="@live.com"),"Outlook","Domain")))</f>
        <v/>
      </c>
      <c r="F75">
        <f>IF(B75="","",IFERROR(RIGHT(B75,LEN(B75)-FIND("@",B75)),""))</f>
        <v/>
      </c>
      <c r="G75">
        <f>IF(D75="KEEP",COUNTIF($D$2:D75,"KEEP"),"")</f>
        <v/>
      </c>
      <c r="H75">
        <f>IF(D75="REMOVE",COUNTIF($D$2:D75,"REMOVE"),"")</f>
        <v/>
      </c>
      <c r="I75">
        <f>IF(E75="Gmail",COUNTIF($E$2:E75,"Gmail"),"")</f>
        <v/>
      </c>
      <c r="J75">
        <f>IF(E75="Outlook",COUNTIF($E$2:E75,"Outlook"),"")</f>
        <v/>
      </c>
      <c r="K75">
        <f>IF(E75="Domain",COUNTIF($E$2:E75,"Domain"),"")</f>
        <v/>
      </c>
    </row>
    <row r="76">
      <c r="A76" s="2" t="n"/>
      <c r="B76">
        <f>LOWER(TRIM(A76))</f>
        <v/>
      </c>
      <c r="C76">
        <f>IF(B76="","",IFERROR(INDEX('Bad Patterns'!$A$2:$A$120,MATCH(1,INDEX(--ISNUMBER(SEARCH('Bad Patterns'!$A$2:$A$120,B76)),0),0)),""))</f>
        <v/>
      </c>
      <c r="D76">
        <f>IF(B76="","",IF(C76&lt;&gt;"","REMOVE","KEEP"))</f>
        <v/>
      </c>
      <c r="E76">
        <f>IF(D76&lt;&gt;"KEEP","",IF(RIGHT(B76,10)="@gmail.com","Gmail",IF(OR(RIGHT(B76,12)="@outlook.com",RIGHT(B76,12)="@hotmail.com",RIGHT(B76,9)="@live.com"),"Outlook","Domain")))</f>
        <v/>
      </c>
      <c r="F76">
        <f>IF(B76="","",IFERROR(RIGHT(B76,LEN(B76)-FIND("@",B76)),""))</f>
        <v/>
      </c>
      <c r="G76">
        <f>IF(D76="KEEP",COUNTIF($D$2:D76,"KEEP"),"")</f>
        <v/>
      </c>
      <c r="H76">
        <f>IF(D76="REMOVE",COUNTIF($D$2:D76,"REMOVE"),"")</f>
        <v/>
      </c>
      <c r="I76">
        <f>IF(E76="Gmail",COUNTIF($E$2:E76,"Gmail"),"")</f>
        <v/>
      </c>
      <c r="J76">
        <f>IF(E76="Outlook",COUNTIF($E$2:E76,"Outlook"),"")</f>
        <v/>
      </c>
      <c r="K76">
        <f>IF(E76="Domain",COUNTIF($E$2:E76,"Domain"),"")</f>
        <v/>
      </c>
    </row>
    <row r="77">
      <c r="A77" s="2" t="n"/>
      <c r="B77">
        <f>LOWER(TRIM(A77))</f>
        <v/>
      </c>
      <c r="C77">
        <f>IF(B77="","",IFERROR(INDEX('Bad Patterns'!$A$2:$A$120,MATCH(1,INDEX(--ISNUMBER(SEARCH('Bad Patterns'!$A$2:$A$120,B77)),0),0)),""))</f>
        <v/>
      </c>
      <c r="D77">
        <f>IF(B77="","",IF(C77&lt;&gt;"","REMOVE","KEEP"))</f>
        <v/>
      </c>
      <c r="E77">
        <f>IF(D77&lt;&gt;"KEEP","",IF(RIGHT(B77,10)="@gmail.com","Gmail",IF(OR(RIGHT(B77,12)="@outlook.com",RIGHT(B77,12)="@hotmail.com",RIGHT(B77,9)="@live.com"),"Outlook","Domain")))</f>
        <v/>
      </c>
      <c r="F77">
        <f>IF(B77="","",IFERROR(RIGHT(B77,LEN(B77)-FIND("@",B77)),""))</f>
        <v/>
      </c>
      <c r="G77">
        <f>IF(D77="KEEP",COUNTIF($D$2:D77,"KEEP"),"")</f>
        <v/>
      </c>
      <c r="H77">
        <f>IF(D77="REMOVE",COUNTIF($D$2:D77,"REMOVE"),"")</f>
        <v/>
      </c>
      <c r="I77">
        <f>IF(E77="Gmail",COUNTIF($E$2:E77,"Gmail"),"")</f>
        <v/>
      </c>
      <c r="J77">
        <f>IF(E77="Outlook",COUNTIF($E$2:E77,"Outlook"),"")</f>
        <v/>
      </c>
      <c r="K77">
        <f>IF(E77="Domain",COUNTIF($E$2:E77,"Domain"),"")</f>
        <v/>
      </c>
    </row>
    <row r="78">
      <c r="A78" s="2" t="n"/>
      <c r="B78">
        <f>LOWER(TRIM(A78))</f>
        <v/>
      </c>
      <c r="C78">
        <f>IF(B78="","",IFERROR(INDEX('Bad Patterns'!$A$2:$A$120,MATCH(1,INDEX(--ISNUMBER(SEARCH('Bad Patterns'!$A$2:$A$120,B78)),0),0)),""))</f>
        <v/>
      </c>
      <c r="D78">
        <f>IF(B78="","",IF(C78&lt;&gt;"","REMOVE","KEEP"))</f>
        <v/>
      </c>
      <c r="E78">
        <f>IF(D78&lt;&gt;"KEEP","",IF(RIGHT(B78,10)="@gmail.com","Gmail",IF(OR(RIGHT(B78,12)="@outlook.com",RIGHT(B78,12)="@hotmail.com",RIGHT(B78,9)="@live.com"),"Outlook","Domain")))</f>
        <v/>
      </c>
      <c r="F78">
        <f>IF(B78="","",IFERROR(RIGHT(B78,LEN(B78)-FIND("@",B78)),""))</f>
        <v/>
      </c>
      <c r="G78">
        <f>IF(D78="KEEP",COUNTIF($D$2:D78,"KEEP"),"")</f>
        <v/>
      </c>
      <c r="H78">
        <f>IF(D78="REMOVE",COUNTIF($D$2:D78,"REMOVE"),"")</f>
        <v/>
      </c>
      <c r="I78">
        <f>IF(E78="Gmail",COUNTIF($E$2:E78,"Gmail"),"")</f>
        <v/>
      </c>
      <c r="J78">
        <f>IF(E78="Outlook",COUNTIF($E$2:E78,"Outlook"),"")</f>
        <v/>
      </c>
      <c r="K78">
        <f>IF(E78="Domain",COUNTIF($E$2:E78,"Domain"),"")</f>
        <v/>
      </c>
    </row>
    <row r="79">
      <c r="A79" s="2" t="n"/>
      <c r="B79">
        <f>LOWER(TRIM(A79))</f>
        <v/>
      </c>
      <c r="C79">
        <f>IF(B79="","",IFERROR(INDEX('Bad Patterns'!$A$2:$A$120,MATCH(1,INDEX(--ISNUMBER(SEARCH('Bad Patterns'!$A$2:$A$120,B79)),0),0)),""))</f>
        <v/>
      </c>
      <c r="D79">
        <f>IF(B79="","",IF(C79&lt;&gt;"","REMOVE","KEEP"))</f>
        <v/>
      </c>
      <c r="E79">
        <f>IF(D79&lt;&gt;"KEEP","",IF(RIGHT(B79,10)="@gmail.com","Gmail",IF(OR(RIGHT(B79,12)="@outlook.com",RIGHT(B79,12)="@hotmail.com",RIGHT(B79,9)="@live.com"),"Outlook","Domain")))</f>
        <v/>
      </c>
      <c r="F79">
        <f>IF(B79="","",IFERROR(RIGHT(B79,LEN(B79)-FIND("@",B79)),""))</f>
        <v/>
      </c>
      <c r="G79">
        <f>IF(D79="KEEP",COUNTIF($D$2:D79,"KEEP"),"")</f>
        <v/>
      </c>
      <c r="H79">
        <f>IF(D79="REMOVE",COUNTIF($D$2:D79,"REMOVE"),"")</f>
        <v/>
      </c>
      <c r="I79">
        <f>IF(E79="Gmail",COUNTIF($E$2:E79,"Gmail"),"")</f>
        <v/>
      </c>
      <c r="J79">
        <f>IF(E79="Outlook",COUNTIF($E$2:E79,"Outlook"),"")</f>
        <v/>
      </c>
      <c r="K79">
        <f>IF(E79="Domain",COUNTIF($E$2:E79,"Domain"),"")</f>
        <v/>
      </c>
    </row>
    <row r="80">
      <c r="A80" s="2" t="n"/>
      <c r="B80">
        <f>LOWER(TRIM(A80))</f>
        <v/>
      </c>
      <c r="C80">
        <f>IF(B80="","",IFERROR(INDEX('Bad Patterns'!$A$2:$A$120,MATCH(1,INDEX(--ISNUMBER(SEARCH('Bad Patterns'!$A$2:$A$120,B80)),0),0)),""))</f>
        <v/>
      </c>
      <c r="D80">
        <f>IF(B80="","",IF(C80&lt;&gt;"","REMOVE","KEEP"))</f>
        <v/>
      </c>
      <c r="E80">
        <f>IF(D80&lt;&gt;"KEEP","",IF(RIGHT(B80,10)="@gmail.com","Gmail",IF(OR(RIGHT(B80,12)="@outlook.com",RIGHT(B80,12)="@hotmail.com",RIGHT(B80,9)="@live.com"),"Outlook","Domain")))</f>
        <v/>
      </c>
      <c r="F80">
        <f>IF(B80="","",IFERROR(RIGHT(B80,LEN(B80)-FIND("@",B80)),""))</f>
        <v/>
      </c>
      <c r="G80">
        <f>IF(D80="KEEP",COUNTIF($D$2:D80,"KEEP"),"")</f>
        <v/>
      </c>
      <c r="H80">
        <f>IF(D80="REMOVE",COUNTIF($D$2:D80,"REMOVE"),"")</f>
        <v/>
      </c>
      <c r="I80">
        <f>IF(E80="Gmail",COUNTIF($E$2:E80,"Gmail"),"")</f>
        <v/>
      </c>
      <c r="J80">
        <f>IF(E80="Outlook",COUNTIF($E$2:E80,"Outlook"),"")</f>
        <v/>
      </c>
      <c r="K80">
        <f>IF(E80="Domain",COUNTIF($E$2:E80,"Domain"),"")</f>
        <v/>
      </c>
    </row>
    <row r="81">
      <c r="A81" s="2" t="n"/>
      <c r="B81">
        <f>LOWER(TRIM(A81))</f>
        <v/>
      </c>
      <c r="C81">
        <f>IF(B81="","",IFERROR(INDEX('Bad Patterns'!$A$2:$A$120,MATCH(1,INDEX(--ISNUMBER(SEARCH('Bad Patterns'!$A$2:$A$120,B81)),0),0)),""))</f>
        <v/>
      </c>
      <c r="D81">
        <f>IF(B81="","",IF(C81&lt;&gt;"","REMOVE","KEEP"))</f>
        <v/>
      </c>
      <c r="E81">
        <f>IF(D81&lt;&gt;"KEEP","",IF(RIGHT(B81,10)="@gmail.com","Gmail",IF(OR(RIGHT(B81,12)="@outlook.com",RIGHT(B81,12)="@hotmail.com",RIGHT(B81,9)="@live.com"),"Outlook","Domain")))</f>
        <v/>
      </c>
      <c r="F81">
        <f>IF(B81="","",IFERROR(RIGHT(B81,LEN(B81)-FIND("@",B81)),""))</f>
        <v/>
      </c>
      <c r="G81">
        <f>IF(D81="KEEP",COUNTIF($D$2:D81,"KEEP"),"")</f>
        <v/>
      </c>
      <c r="H81">
        <f>IF(D81="REMOVE",COUNTIF($D$2:D81,"REMOVE"),"")</f>
        <v/>
      </c>
      <c r="I81">
        <f>IF(E81="Gmail",COUNTIF($E$2:E81,"Gmail"),"")</f>
        <v/>
      </c>
      <c r="J81">
        <f>IF(E81="Outlook",COUNTIF($E$2:E81,"Outlook"),"")</f>
        <v/>
      </c>
      <c r="K81">
        <f>IF(E81="Domain",COUNTIF($E$2:E81,"Domain"),"")</f>
        <v/>
      </c>
    </row>
    <row r="82">
      <c r="A82" s="2" t="n"/>
      <c r="B82">
        <f>LOWER(TRIM(A82))</f>
        <v/>
      </c>
      <c r="C82">
        <f>IF(B82="","",IFERROR(INDEX('Bad Patterns'!$A$2:$A$120,MATCH(1,INDEX(--ISNUMBER(SEARCH('Bad Patterns'!$A$2:$A$120,B82)),0),0)),""))</f>
        <v/>
      </c>
      <c r="D82">
        <f>IF(B82="","",IF(C82&lt;&gt;"","REMOVE","KEEP"))</f>
        <v/>
      </c>
      <c r="E82">
        <f>IF(D82&lt;&gt;"KEEP","",IF(RIGHT(B82,10)="@gmail.com","Gmail",IF(OR(RIGHT(B82,12)="@outlook.com",RIGHT(B82,12)="@hotmail.com",RIGHT(B82,9)="@live.com"),"Outlook","Domain")))</f>
        <v/>
      </c>
      <c r="F82">
        <f>IF(B82="","",IFERROR(RIGHT(B82,LEN(B82)-FIND("@",B82)),""))</f>
        <v/>
      </c>
      <c r="G82">
        <f>IF(D82="KEEP",COUNTIF($D$2:D82,"KEEP"),"")</f>
        <v/>
      </c>
      <c r="H82">
        <f>IF(D82="REMOVE",COUNTIF($D$2:D82,"REMOVE"),"")</f>
        <v/>
      </c>
      <c r="I82">
        <f>IF(E82="Gmail",COUNTIF($E$2:E82,"Gmail"),"")</f>
        <v/>
      </c>
      <c r="J82">
        <f>IF(E82="Outlook",COUNTIF($E$2:E82,"Outlook"),"")</f>
        <v/>
      </c>
      <c r="K82">
        <f>IF(E82="Domain",COUNTIF($E$2:E82,"Domain"),"")</f>
        <v/>
      </c>
    </row>
    <row r="83">
      <c r="A83" s="2" t="n"/>
      <c r="B83">
        <f>LOWER(TRIM(A83))</f>
        <v/>
      </c>
      <c r="C83">
        <f>IF(B83="","",IFERROR(INDEX('Bad Patterns'!$A$2:$A$120,MATCH(1,INDEX(--ISNUMBER(SEARCH('Bad Patterns'!$A$2:$A$120,B83)),0),0)),""))</f>
        <v/>
      </c>
      <c r="D83">
        <f>IF(B83="","",IF(C83&lt;&gt;"","REMOVE","KEEP"))</f>
        <v/>
      </c>
      <c r="E83">
        <f>IF(D83&lt;&gt;"KEEP","",IF(RIGHT(B83,10)="@gmail.com","Gmail",IF(OR(RIGHT(B83,12)="@outlook.com",RIGHT(B83,12)="@hotmail.com",RIGHT(B83,9)="@live.com"),"Outlook","Domain")))</f>
        <v/>
      </c>
      <c r="F83">
        <f>IF(B83="","",IFERROR(RIGHT(B83,LEN(B83)-FIND("@",B83)),""))</f>
        <v/>
      </c>
      <c r="G83">
        <f>IF(D83="KEEP",COUNTIF($D$2:D83,"KEEP"),"")</f>
        <v/>
      </c>
      <c r="H83">
        <f>IF(D83="REMOVE",COUNTIF($D$2:D83,"REMOVE"),"")</f>
        <v/>
      </c>
      <c r="I83">
        <f>IF(E83="Gmail",COUNTIF($E$2:E83,"Gmail"),"")</f>
        <v/>
      </c>
      <c r="J83">
        <f>IF(E83="Outlook",COUNTIF($E$2:E83,"Outlook"),"")</f>
        <v/>
      </c>
      <c r="K83">
        <f>IF(E83="Domain",COUNTIF($E$2:E83,"Domain"),"")</f>
        <v/>
      </c>
    </row>
    <row r="84">
      <c r="A84" s="2" t="n"/>
      <c r="B84">
        <f>LOWER(TRIM(A84))</f>
        <v/>
      </c>
      <c r="C84">
        <f>IF(B84="","",IFERROR(INDEX('Bad Patterns'!$A$2:$A$120,MATCH(1,INDEX(--ISNUMBER(SEARCH('Bad Patterns'!$A$2:$A$120,B84)),0),0)),""))</f>
        <v/>
      </c>
      <c r="D84">
        <f>IF(B84="","",IF(C84&lt;&gt;"","REMOVE","KEEP"))</f>
        <v/>
      </c>
      <c r="E84">
        <f>IF(D84&lt;&gt;"KEEP","",IF(RIGHT(B84,10)="@gmail.com","Gmail",IF(OR(RIGHT(B84,12)="@outlook.com",RIGHT(B84,12)="@hotmail.com",RIGHT(B84,9)="@live.com"),"Outlook","Domain")))</f>
        <v/>
      </c>
      <c r="F84">
        <f>IF(B84="","",IFERROR(RIGHT(B84,LEN(B84)-FIND("@",B84)),""))</f>
        <v/>
      </c>
      <c r="G84">
        <f>IF(D84="KEEP",COUNTIF($D$2:D84,"KEEP"),"")</f>
        <v/>
      </c>
      <c r="H84">
        <f>IF(D84="REMOVE",COUNTIF($D$2:D84,"REMOVE"),"")</f>
        <v/>
      </c>
      <c r="I84">
        <f>IF(E84="Gmail",COUNTIF($E$2:E84,"Gmail"),"")</f>
        <v/>
      </c>
      <c r="J84">
        <f>IF(E84="Outlook",COUNTIF($E$2:E84,"Outlook"),"")</f>
        <v/>
      </c>
      <c r="K84">
        <f>IF(E84="Domain",COUNTIF($E$2:E84,"Domain"),"")</f>
        <v/>
      </c>
    </row>
    <row r="85">
      <c r="A85" s="2" t="n"/>
      <c r="B85">
        <f>LOWER(TRIM(A85))</f>
        <v/>
      </c>
      <c r="C85">
        <f>IF(B85="","",IFERROR(INDEX('Bad Patterns'!$A$2:$A$120,MATCH(1,INDEX(--ISNUMBER(SEARCH('Bad Patterns'!$A$2:$A$120,B85)),0),0)),""))</f>
        <v/>
      </c>
      <c r="D85">
        <f>IF(B85="","",IF(C85&lt;&gt;"","REMOVE","KEEP"))</f>
        <v/>
      </c>
      <c r="E85">
        <f>IF(D85&lt;&gt;"KEEP","",IF(RIGHT(B85,10)="@gmail.com","Gmail",IF(OR(RIGHT(B85,12)="@outlook.com",RIGHT(B85,12)="@hotmail.com",RIGHT(B85,9)="@live.com"),"Outlook","Domain")))</f>
        <v/>
      </c>
      <c r="F85">
        <f>IF(B85="","",IFERROR(RIGHT(B85,LEN(B85)-FIND("@",B85)),""))</f>
        <v/>
      </c>
      <c r="G85">
        <f>IF(D85="KEEP",COUNTIF($D$2:D85,"KEEP"),"")</f>
        <v/>
      </c>
      <c r="H85">
        <f>IF(D85="REMOVE",COUNTIF($D$2:D85,"REMOVE"),"")</f>
        <v/>
      </c>
      <c r="I85">
        <f>IF(E85="Gmail",COUNTIF($E$2:E85,"Gmail"),"")</f>
        <v/>
      </c>
      <c r="J85">
        <f>IF(E85="Outlook",COUNTIF($E$2:E85,"Outlook"),"")</f>
        <v/>
      </c>
      <c r="K85">
        <f>IF(E85="Domain",COUNTIF($E$2:E85,"Domain"),"")</f>
        <v/>
      </c>
    </row>
    <row r="86">
      <c r="A86" s="2" t="n"/>
      <c r="B86">
        <f>LOWER(TRIM(A86))</f>
        <v/>
      </c>
      <c r="C86">
        <f>IF(B86="","",IFERROR(INDEX('Bad Patterns'!$A$2:$A$120,MATCH(1,INDEX(--ISNUMBER(SEARCH('Bad Patterns'!$A$2:$A$120,B86)),0),0)),""))</f>
        <v/>
      </c>
      <c r="D86">
        <f>IF(B86="","",IF(C86&lt;&gt;"","REMOVE","KEEP"))</f>
        <v/>
      </c>
      <c r="E86">
        <f>IF(D86&lt;&gt;"KEEP","",IF(RIGHT(B86,10)="@gmail.com","Gmail",IF(OR(RIGHT(B86,12)="@outlook.com",RIGHT(B86,12)="@hotmail.com",RIGHT(B86,9)="@live.com"),"Outlook","Domain")))</f>
        <v/>
      </c>
      <c r="F86">
        <f>IF(B86="","",IFERROR(RIGHT(B86,LEN(B86)-FIND("@",B86)),""))</f>
        <v/>
      </c>
      <c r="G86">
        <f>IF(D86="KEEP",COUNTIF($D$2:D86,"KEEP"),"")</f>
        <v/>
      </c>
      <c r="H86">
        <f>IF(D86="REMOVE",COUNTIF($D$2:D86,"REMOVE"),"")</f>
        <v/>
      </c>
      <c r="I86">
        <f>IF(E86="Gmail",COUNTIF($E$2:E86,"Gmail"),"")</f>
        <v/>
      </c>
      <c r="J86">
        <f>IF(E86="Outlook",COUNTIF($E$2:E86,"Outlook"),"")</f>
        <v/>
      </c>
      <c r="K86">
        <f>IF(E86="Domain",COUNTIF($E$2:E86,"Domain"),"")</f>
        <v/>
      </c>
    </row>
    <row r="87">
      <c r="A87" s="2" t="n"/>
      <c r="B87">
        <f>LOWER(TRIM(A87))</f>
        <v/>
      </c>
      <c r="C87">
        <f>IF(B87="","",IFERROR(INDEX('Bad Patterns'!$A$2:$A$120,MATCH(1,INDEX(--ISNUMBER(SEARCH('Bad Patterns'!$A$2:$A$120,B87)),0),0)),""))</f>
        <v/>
      </c>
      <c r="D87">
        <f>IF(B87="","",IF(C87&lt;&gt;"","REMOVE","KEEP"))</f>
        <v/>
      </c>
      <c r="E87">
        <f>IF(D87&lt;&gt;"KEEP","",IF(RIGHT(B87,10)="@gmail.com","Gmail",IF(OR(RIGHT(B87,12)="@outlook.com",RIGHT(B87,12)="@hotmail.com",RIGHT(B87,9)="@live.com"),"Outlook","Domain")))</f>
        <v/>
      </c>
      <c r="F87">
        <f>IF(B87="","",IFERROR(RIGHT(B87,LEN(B87)-FIND("@",B87)),""))</f>
        <v/>
      </c>
      <c r="G87">
        <f>IF(D87="KEEP",COUNTIF($D$2:D87,"KEEP"),"")</f>
        <v/>
      </c>
      <c r="H87">
        <f>IF(D87="REMOVE",COUNTIF($D$2:D87,"REMOVE"),"")</f>
        <v/>
      </c>
      <c r="I87">
        <f>IF(E87="Gmail",COUNTIF($E$2:E87,"Gmail"),"")</f>
        <v/>
      </c>
      <c r="J87">
        <f>IF(E87="Outlook",COUNTIF($E$2:E87,"Outlook"),"")</f>
        <v/>
      </c>
      <c r="K87">
        <f>IF(E87="Domain",COUNTIF($E$2:E87,"Domain"),"")</f>
        <v/>
      </c>
    </row>
    <row r="88">
      <c r="A88" s="2" t="n"/>
      <c r="B88">
        <f>LOWER(TRIM(A88))</f>
        <v/>
      </c>
      <c r="C88">
        <f>IF(B88="","",IFERROR(INDEX('Bad Patterns'!$A$2:$A$120,MATCH(1,INDEX(--ISNUMBER(SEARCH('Bad Patterns'!$A$2:$A$120,B88)),0),0)),""))</f>
        <v/>
      </c>
      <c r="D88">
        <f>IF(B88="","",IF(C88&lt;&gt;"","REMOVE","KEEP"))</f>
        <v/>
      </c>
      <c r="E88">
        <f>IF(D88&lt;&gt;"KEEP","",IF(RIGHT(B88,10)="@gmail.com","Gmail",IF(OR(RIGHT(B88,12)="@outlook.com",RIGHT(B88,12)="@hotmail.com",RIGHT(B88,9)="@live.com"),"Outlook","Domain")))</f>
        <v/>
      </c>
      <c r="F88">
        <f>IF(B88="","",IFERROR(RIGHT(B88,LEN(B88)-FIND("@",B88)),""))</f>
        <v/>
      </c>
      <c r="G88">
        <f>IF(D88="KEEP",COUNTIF($D$2:D88,"KEEP"),"")</f>
        <v/>
      </c>
      <c r="H88">
        <f>IF(D88="REMOVE",COUNTIF($D$2:D88,"REMOVE"),"")</f>
        <v/>
      </c>
      <c r="I88">
        <f>IF(E88="Gmail",COUNTIF($E$2:E88,"Gmail"),"")</f>
        <v/>
      </c>
      <c r="J88">
        <f>IF(E88="Outlook",COUNTIF($E$2:E88,"Outlook"),"")</f>
        <v/>
      </c>
      <c r="K88">
        <f>IF(E88="Domain",COUNTIF($E$2:E88,"Domain"),"")</f>
        <v/>
      </c>
    </row>
    <row r="89">
      <c r="A89" s="2" t="n"/>
      <c r="B89">
        <f>LOWER(TRIM(A89))</f>
        <v/>
      </c>
      <c r="C89">
        <f>IF(B89="","",IFERROR(INDEX('Bad Patterns'!$A$2:$A$120,MATCH(1,INDEX(--ISNUMBER(SEARCH('Bad Patterns'!$A$2:$A$120,B89)),0),0)),""))</f>
        <v/>
      </c>
      <c r="D89">
        <f>IF(B89="","",IF(C89&lt;&gt;"","REMOVE","KEEP"))</f>
        <v/>
      </c>
      <c r="E89">
        <f>IF(D89&lt;&gt;"KEEP","",IF(RIGHT(B89,10)="@gmail.com","Gmail",IF(OR(RIGHT(B89,12)="@outlook.com",RIGHT(B89,12)="@hotmail.com",RIGHT(B89,9)="@live.com"),"Outlook","Domain")))</f>
        <v/>
      </c>
      <c r="F89">
        <f>IF(B89="","",IFERROR(RIGHT(B89,LEN(B89)-FIND("@",B89)),""))</f>
        <v/>
      </c>
      <c r="G89">
        <f>IF(D89="KEEP",COUNTIF($D$2:D89,"KEEP"),"")</f>
        <v/>
      </c>
      <c r="H89">
        <f>IF(D89="REMOVE",COUNTIF($D$2:D89,"REMOVE"),"")</f>
        <v/>
      </c>
      <c r="I89">
        <f>IF(E89="Gmail",COUNTIF($E$2:E89,"Gmail"),"")</f>
        <v/>
      </c>
      <c r="J89">
        <f>IF(E89="Outlook",COUNTIF($E$2:E89,"Outlook"),"")</f>
        <v/>
      </c>
      <c r="K89">
        <f>IF(E89="Domain",COUNTIF($E$2:E89,"Domain"),"")</f>
        <v/>
      </c>
    </row>
    <row r="90">
      <c r="A90" s="2" t="n"/>
      <c r="B90">
        <f>LOWER(TRIM(A90))</f>
        <v/>
      </c>
      <c r="C90">
        <f>IF(B90="","",IFERROR(INDEX('Bad Patterns'!$A$2:$A$120,MATCH(1,INDEX(--ISNUMBER(SEARCH('Bad Patterns'!$A$2:$A$120,B90)),0),0)),""))</f>
        <v/>
      </c>
      <c r="D90">
        <f>IF(B90="","",IF(C90&lt;&gt;"","REMOVE","KEEP"))</f>
        <v/>
      </c>
      <c r="E90">
        <f>IF(D90&lt;&gt;"KEEP","",IF(RIGHT(B90,10)="@gmail.com","Gmail",IF(OR(RIGHT(B90,12)="@outlook.com",RIGHT(B90,12)="@hotmail.com",RIGHT(B90,9)="@live.com"),"Outlook","Domain")))</f>
        <v/>
      </c>
      <c r="F90">
        <f>IF(B90="","",IFERROR(RIGHT(B90,LEN(B90)-FIND("@",B90)),""))</f>
        <v/>
      </c>
      <c r="G90">
        <f>IF(D90="KEEP",COUNTIF($D$2:D90,"KEEP"),"")</f>
        <v/>
      </c>
      <c r="H90">
        <f>IF(D90="REMOVE",COUNTIF($D$2:D90,"REMOVE"),"")</f>
        <v/>
      </c>
      <c r="I90">
        <f>IF(E90="Gmail",COUNTIF($E$2:E90,"Gmail"),"")</f>
        <v/>
      </c>
      <c r="J90">
        <f>IF(E90="Outlook",COUNTIF($E$2:E90,"Outlook"),"")</f>
        <v/>
      </c>
      <c r="K90">
        <f>IF(E90="Domain",COUNTIF($E$2:E90,"Domain"),"")</f>
        <v/>
      </c>
    </row>
    <row r="91">
      <c r="A91" s="2" t="n"/>
      <c r="B91">
        <f>LOWER(TRIM(A91))</f>
        <v/>
      </c>
      <c r="C91">
        <f>IF(B91="","",IFERROR(INDEX('Bad Patterns'!$A$2:$A$120,MATCH(1,INDEX(--ISNUMBER(SEARCH('Bad Patterns'!$A$2:$A$120,B91)),0),0)),""))</f>
        <v/>
      </c>
      <c r="D91">
        <f>IF(B91="","",IF(C91&lt;&gt;"","REMOVE","KEEP"))</f>
        <v/>
      </c>
      <c r="E91">
        <f>IF(D91&lt;&gt;"KEEP","",IF(RIGHT(B91,10)="@gmail.com","Gmail",IF(OR(RIGHT(B91,12)="@outlook.com",RIGHT(B91,12)="@hotmail.com",RIGHT(B91,9)="@live.com"),"Outlook","Domain")))</f>
        <v/>
      </c>
      <c r="F91">
        <f>IF(B91="","",IFERROR(RIGHT(B91,LEN(B91)-FIND("@",B91)),""))</f>
        <v/>
      </c>
      <c r="G91">
        <f>IF(D91="KEEP",COUNTIF($D$2:D91,"KEEP"),"")</f>
        <v/>
      </c>
      <c r="H91">
        <f>IF(D91="REMOVE",COUNTIF($D$2:D91,"REMOVE"),"")</f>
        <v/>
      </c>
      <c r="I91">
        <f>IF(E91="Gmail",COUNTIF($E$2:E91,"Gmail"),"")</f>
        <v/>
      </c>
      <c r="J91">
        <f>IF(E91="Outlook",COUNTIF($E$2:E91,"Outlook"),"")</f>
        <v/>
      </c>
      <c r="K91">
        <f>IF(E91="Domain",COUNTIF($E$2:E91,"Domain"),"")</f>
        <v/>
      </c>
    </row>
    <row r="92">
      <c r="A92" s="2" t="n"/>
      <c r="B92">
        <f>LOWER(TRIM(A92))</f>
        <v/>
      </c>
      <c r="C92">
        <f>IF(B92="","",IFERROR(INDEX('Bad Patterns'!$A$2:$A$120,MATCH(1,INDEX(--ISNUMBER(SEARCH('Bad Patterns'!$A$2:$A$120,B92)),0),0)),""))</f>
        <v/>
      </c>
      <c r="D92">
        <f>IF(B92="","",IF(C92&lt;&gt;"","REMOVE","KEEP"))</f>
        <v/>
      </c>
      <c r="E92">
        <f>IF(D92&lt;&gt;"KEEP","",IF(RIGHT(B92,10)="@gmail.com","Gmail",IF(OR(RIGHT(B92,12)="@outlook.com",RIGHT(B92,12)="@hotmail.com",RIGHT(B92,9)="@live.com"),"Outlook","Domain")))</f>
        <v/>
      </c>
      <c r="F92">
        <f>IF(B92="","",IFERROR(RIGHT(B92,LEN(B92)-FIND("@",B92)),""))</f>
        <v/>
      </c>
      <c r="G92">
        <f>IF(D92="KEEP",COUNTIF($D$2:D92,"KEEP"),"")</f>
        <v/>
      </c>
      <c r="H92">
        <f>IF(D92="REMOVE",COUNTIF($D$2:D92,"REMOVE"),"")</f>
        <v/>
      </c>
      <c r="I92">
        <f>IF(E92="Gmail",COUNTIF($E$2:E92,"Gmail"),"")</f>
        <v/>
      </c>
      <c r="J92">
        <f>IF(E92="Outlook",COUNTIF($E$2:E92,"Outlook"),"")</f>
        <v/>
      </c>
      <c r="K92">
        <f>IF(E92="Domain",COUNTIF($E$2:E92,"Domain"),"")</f>
        <v/>
      </c>
    </row>
    <row r="93">
      <c r="A93" s="2" t="n"/>
      <c r="B93">
        <f>LOWER(TRIM(A93))</f>
        <v/>
      </c>
      <c r="C93">
        <f>IF(B93="","",IFERROR(INDEX('Bad Patterns'!$A$2:$A$120,MATCH(1,INDEX(--ISNUMBER(SEARCH('Bad Patterns'!$A$2:$A$120,B93)),0),0)),""))</f>
        <v/>
      </c>
      <c r="D93">
        <f>IF(B93="","",IF(C93&lt;&gt;"","REMOVE","KEEP"))</f>
        <v/>
      </c>
      <c r="E93">
        <f>IF(D93&lt;&gt;"KEEP","",IF(RIGHT(B93,10)="@gmail.com","Gmail",IF(OR(RIGHT(B93,12)="@outlook.com",RIGHT(B93,12)="@hotmail.com",RIGHT(B93,9)="@live.com"),"Outlook","Domain")))</f>
        <v/>
      </c>
      <c r="F93">
        <f>IF(B93="","",IFERROR(RIGHT(B93,LEN(B93)-FIND("@",B93)),""))</f>
        <v/>
      </c>
      <c r="G93">
        <f>IF(D93="KEEP",COUNTIF($D$2:D93,"KEEP"),"")</f>
        <v/>
      </c>
      <c r="H93">
        <f>IF(D93="REMOVE",COUNTIF($D$2:D93,"REMOVE"),"")</f>
        <v/>
      </c>
      <c r="I93">
        <f>IF(E93="Gmail",COUNTIF($E$2:E93,"Gmail"),"")</f>
        <v/>
      </c>
      <c r="J93">
        <f>IF(E93="Outlook",COUNTIF($E$2:E93,"Outlook"),"")</f>
        <v/>
      </c>
      <c r="K93">
        <f>IF(E93="Domain",COUNTIF($E$2:E93,"Domain"),"")</f>
        <v/>
      </c>
    </row>
    <row r="94">
      <c r="A94" s="2" t="n"/>
      <c r="B94">
        <f>LOWER(TRIM(A94))</f>
        <v/>
      </c>
      <c r="C94">
        <f>IF(B94="","",IFERROR(INDEX('Bad Patterns'!$A$2:$A$120,MATCH(1,INDEX(--ISNUMBER(SEARCH('Bad Patterns'!$A$2:$A$120,B94)),0),0)),""))</f>
        <v/>
      </c>
      <c r="D94">
        <f>IF(B94="","",IF(C94&lt;&gt;"","REMOVE","KEEP"))</f>
        <v/>
      </c>
      <c r="E94">
        <f>IF(D94&lt;&gt;"KEEP","",IF(RIGHT(B94,10)="@gmail.com","Gmail",IF(OR(RIGHT(B94,12)="@outlook.com",RIGHT(B94,12)="@hotmail.com",RIGHT(B94,9)="@live.com"),"Outlook","Domain")))</f>
        <v/>
      </c>
      <c r="F94">
        <f>IF(B94="","",IFERROR(RIGHT(B94,LEN(B94)-FIND("@",B94)),""))</f>
        <v/>
      </c>
      <c r="G94">
        <f>IF(D94="KEEP",COUNTIF($D$2:D94,"KEEP"),"")</f>
        <v/>
      </c>
      <c r="H94">
        <f>IF(D94="REMOVE",COUNTIF($D$2:D94,"REMOVE"),"")</f>
        <v/>
      </c>
      <c r="I94">
        <f>IF(E94="Gmail",COUNTIF($E$2:E94,"Gmail"),"")</f>
        <v/>
      </c>
      <c r="J94">
        <f>IF(E94="Outlook",COUNTIF($E$2:E94,"Outlook"),"")</f>
        <v/>
      </c>
      <c r="K94">
        <f>IF(E94="Domain",COUNTIF($E$2:E94,"Domain"),"")</f>
        <v/>
      </c>
    </row>
    <row r="95">
      <c r="A95" s="2" t="n"/>
      <c r="B95">
        <f>LOWER(TRIM(A95))</f>
        <v/>
      </c>
      <c r="C95">
        <f>IF(B95="","",IFERROR(INDEX('Bad Patterns'!$A$2:$A$120,MATCH(1,INDEX(--ISNUMBER(SEARCH('Bad Patterns'!$A$2:$A$120,B95)),0),0)),""))</f>
        <v/>
      </c>
      <c r="D95">
        <f>IF(B95="","",IF(C95&lt;&gt;"","REMOVE","KEEP"))</f>
        <v/>
      </c>
      <c r="E95">
        <f>IF(D95&lt;&gt;"KEEP","",IF(RIGHT(B95,10)="@gmail.com","Gmail",IF(OR(RIGHT(B95,12)="@outlook.com",RIGHT(B95,12)="@hotmail.com",RIGHT(B95,9)="@live.com"),"Outlook","Domain")))</f>
        <v/>
      </c>
      <c r="F95">
        <f>IF(B95="","",IFERROR(RIGHT(B95,LEN(B95)-FIND("@",B95)),""))</f>
        <v/>
      </c>
      <c r="G95">
        <f>IF(D95="KEEP",COUNTIF($D$2:D95,"KEEP"),"")</f>
        <v/>
      </c>
      <c r="H95">
        <f>IF(D95="REMOVE",COUNTIF($D$2:D95,"REMOVE"),"")</f>
        <v/>
      </c>
      <c r="I95">
        <f>IF(E95="Gmail",COUNTIF($E$2:E95,"Gmail"),"")</f>
        <v/>
      </c>
      <c r="J95">
        <f>IF(E95="Outlook",COUNTIF($E$2:E95,"Outlook"),"")</f>
        <v/>
      </c>
      <c r="K95">
        <f>IF(E95="Domain",COUNTIF($E$2:E95,"Domain"),"")</f>
        <v/>
      </c>
    </row>
    <row r="96">
      <c r="A96" s="2" t="n"/>
      <c r="B96">
        <f>LOWER(TRIM(A96))</f>
        <v/>
      </c>
      <c r="C96">
        <f>IF(B96="","",IFERROR(INDEX('Bad Patterns'!$A$2:$A$120,MATCH(1,INDEX(--ISNUMBER(SEARCH('Bad Patterns'!$A$2:$A$120,B96)),0),0)),""))</f>
        <v/>
      </c>
      <c r="D96">
        <f>IF(B96="","",IF(C96&lt;&gt;"","REMOVE","KEEP"))</f>
        <v/>
      </c>
      <c r="E96">
        <f>IF(D96&lt;&gt;"KEEP","",IF(RIGHT(B96,10)="@gmail.com","Gmail",IF(OR(RIGHT(B96,12)="@outlook.com",RIGHT(B96,12)="@hotmail.com",RIGHT(B96,9)="@live.com"),"Outlook","Domain")))</f>
        <v/>
      </c>
      <c r="F96">
        <f>IF(B96="","",IFERROR(RIGHT(B96,LEN(B96)-FIND("@",B96)),""))</f>
        <v/>
      </c>
      <c r="G96">
        <f>IF(D96="KEEP",COUNTIF($D$2:D96,"KEEP"),"")</f>
        <v/>
      </c>
      <c r="H96">
        <f>IF(D96="REMOVE",COUNTIF($D$2:D96,"REMOVE"),"")</f>
        <v/>
      </c>
      <c r="I96">
        <f>IF(E96="Gmail",COUNTIF($E$2:E96,"Gmail"),"")</f>
        <v/>
      </c>
      <c r="J96">
        <f>IF(E96="Outlook",COUNTIF($E$2:E96,"Outlook"),"")</f>
        <v/>
      </c>
      <c r="K96">
        <f>IF(E96="Domain",COUNTIF($E$2:E96,"Domain"),"")</f>
        <v/>
      </c>
    </row>
    <row r="97">
      <c r="A97" s="2" t="n"/>
      <c r="B97">
        <f>LOWER(TRIM(A97))</f>
        <v/>
      </c>
      <c r="C97">
        <f>IF(B97="","",IFERROR(INDEX('Bad Patterns'!$A$2:$A$120,MATCH(1,INDEX(--ISNUMBER(SEARCH('Bad Patterns'!$A$2:$A$120,B97)),0),0)),""))</f>
        <v/>
      </c>
      <c r="D97">
        <f>IF(B97="","",IF(C97&lt;&gt;"","REMOVE","KEEP"))</f>
        <v/>
      </c>
      <c r="E97">
        <f>IF(D97&lt;&gt;"KEEP","",IF(RIGHT(B97,10)="@gmail.com","Gmail",IF(OR(RIGHT(B97,12)="@outlook.com",RIGHT(B97,12)="@hotmail.com",RIGHT(B97,9)="@live.com"),"Outlook","Domain")))</f>
        <v/>
      </c>
      <c r="F97">
        <f>IF(B97="","",IFERROR(RIGHT(B97,LEN(B97)-FIND("@",B97)),""))</f>
        <v/>
      </c>
      <c r="G97">
        <f>IF(D97="KEEP",COUNTIF($D$2:D97,"KEEP"),"")</f>
        <v/>
      </c>
      <c r="H97">
        <f>IF(D97="REMOVE",COUNTIF($D$2:D97,"REMOVE"),"")</f>
        <v/>
      </c>
      <c r="I97">
        <f>IF(E97="Gmail",COUNTIF($E$2:E97,"Gmail"),"")</f>
        <v/>
      </c>
      <c r="J97">
        <f>IF(E97="Outlook",COUNTIF($E$2:E97,"Outlook"),"")</f>
        <v/>
      </c>
      <c r="K97">
        <f>IF(E97="Domain",COUNTIF($E$2:E97,"Domain"),"")</f>
        <v/>
      </c>
    </row>
    <row r="98">
      <c r="A98" s="2" t="n"/>
      <c r="B98">
        <f>LOWER(TRIM(A98))</f>
        <v/>
      </c>
      <c r="C98">
        <f>IF(B98="","",IFERROR(INDEX('Bad Patterns'!$A$2:$A$120,MATCH(1,INDEX(--ISNUMBER(SEARCH('Bad Patterns'!$A$2:$A$120,B98)),0),0)),""))</f>
        <v/>
      </c>
      <c r="D98">
        <f>IF(B98="","",IF(C98&lt;&gt;"","REMOVE","KEEP"))</f>
        <v/>
      </c>
      <c r="E98">
        <f>IF(D98&lt;&gt;"KEEP","",IF(RIGHT(B98,10)="@gmail.com","Gmail",IF(OR(RIGHT(B98,12)="@outlook.com",RIGHT(B98,12)="@hotmail.com",RIGHT(B98,9)="@live.com"),"Outlook","Domain")))</f>
        <v/>
      </c>
      <c r="F98">
        <f>IF(B98="","",IFERROR(RIGHT(B98,LEN(B98)-FIND("@",B98)),""))</f>
        <v/>
      </c>
      <c r="G98">
        <f>IF(D98="KEEP",COUNTIF($D$2:D98,"KEEP"),"")</f>
        <v/>
      </c>
      <c r="H98">
        <f>IF(D98="REMOVE",COUNTIF($D$2:D98,"REMOVE"),"")</f>
        <v/>
      </c>
      <c r="I98">
        <f>IF(E98="Gmail",COUNTIF($E$2:E98,"Gmail"),"")</f>
        <v/>
      </c>
      <c r="J98">
        <f>IF(E98="Outlook",COUNTIF($E$2:E98,"Outlook"),"")</f>
        <v/>
      </c>
      <c r="K98">
        <f>IF(E98="Domain",COUNTIF($E$2:E98,"Domain"),"")</f>
        <v/>
      </c>
    </row>
    <row r="99">
      <c r="A99" s="2" t="n"/>
      <c r="B99">
        <f>LOWER(TRIM(A99))</f>
        <v/>
      </c>
      <c r="C99">
        <f>IF(B99="","",IFERROR(INDEX('Bad Patterns'!$A$2:$A$120,MATCH(1,INDEX(--ISNUMBER(SEARCH('Bad Patterns'!$A$2:$A$120,B99)),0),0)),""))</f>
        <v/>
      </c>
      <c r="D99">
        <f>IF(B99="","",IF(C99&lt;&gt;"","REMOVE","KEEP"))</f>
        <v/>
      </c>
      <c r="E99">
        <f>IF(D99&lt;&gt;"KEEP","",IF(RIGHT(B99,10)="@gmail.com","Gmail",IF(OR(RIGHT(B99,12)="@outlook.com",RIGHT(B99,12)="@hotmail.com",RIGHT(B99,9)="@live.com"),"Outlook","Domain")))</f>
        <v/>
      </c>
      <c r="F99">
        <f>IF(B99="","",IFERROR(RIGHT(B99,LEN(B99)-FIND("@",B99)),""))</f>
        <v/>
      </c>
      <c r="G99">
        <f>IF(D99="KEEP",COUNTIF($D$2:D99,"KEEP"),"")</f>
        <v/>
      </c>
      <c r="H99">
        <f>IF(D99="REMOVE",COUNTIF($D$2:D99,"REMOVE"),"")</f>
        <v/>
      </c>
      <c r="I99">
        <f>IF(E99="Gmail",COUNTIF($E$2:E99,"Gmail"),"")</f>
        <v/>
      </c>
      <c r="J99">
        <f>IF(E99="Outlook",COUNTIF($E$2:E99,"Outlook"),"")</f>
        <v/>
      </c>
      <c r="K99">
        <f>IF(E99="Domain",COUNTIF($E$2:E99,"Domain"),"")</f>
        <v/>
      </c>
    </row>
    <row r="100">
      <c r="A100" s="2" t="n"/>
      <c r="B100">
        <f>LOWER(TRIM(A100))</f>
        <v/>
      </c>
      <c r="C100">
        <f>IF(B100="","",IFERROR(INDEX('Bad Patterns'!$A$2:$A$120,MATCH(1,INDEX(--ISNUMBER(SEARCH('Bad Patterns'!$A$2:$A$120,B100)),0),0)),""))</f>
        <v/>
      </c>
      <c r="D100">
        <f>IF(B100="","",IF(C100&lt;&gt;"","REMOVE","KEEP"))</f>
        <v/>
      </c>
      <c r="E100">
        <f>IF(D100&lt;&gt;"KEEP","",IF(RIGHT(B100,10)="@gmail.com","Gmail",IF(OR(RIGHT(B100,12)="@outlook.com",RIGHT(B100,12)="@hotmail.com",RIGHT(B100,9)="@live.com"),"Outlook","Domain")))</f>
        <v/>
      </c>
      <c r="F100">
        <f>IF(B100="","",IFERROR(RIGHT(B100,LEN(B100)-FIND("@",B100)),""))</f>
        <v/>
      </c>
      <c r="G100">
        <f>IF(D100="KEEP",COUNTIF($D$2:D100,"KEEP"),"")</f>
        <v/>
      </c>
      <c r="H100">
        <f>IF(D100="REMOVE",COUNTIF($D$2:D100,"REMOVE"),"")</f>
        <v/>
      </c>
      <c r="I100">
        <f>IF(E100="Gmail",COUNTIF($E$2:E100,"Gmail"),"")</f>
        <v/>
      </c>
      <c r="J100">
        <f>IF(E100="Outlook",COUNTIF($E$2:E100,"Outlook"),"")</f>
        <v/>
      </c>
      <c r="K100">
        <f>IF(E100="Domain",COUNTIF($E$2:E100,"Domain"),"")</f>
        <v/>
      </c>
    </row>
    <row r="101">
      <c r="A101" s="2" t="n"/>
      <c r="B101">
        <f>LOWER(TRIM(A101))</f>
        <v/>
      </c>
      <c r="C101">
        <f>IF(B101="","",IFERROR(INDEX('Bad Patterns'!$A$2:$A$120,MATCH(1,INDEX(--ISNUMBER(SEARCH('Bad Patterns'!$A$2:$A$120,B101)),0),0)),""))</f>
        <v/>
      </c>
      <c r="D101">
        <f>IF(B101="","",IF(C101&lt;&gt;"","REMOVE","KEEP"))</f>
        <v/>
      </c>
      <c r="E101">
        <f>IF(D101&lt;&gt;"KEEP","",IF(RIGHT(B101,10)="@gmail.com","Gmail",IF(OR(RIGHT(B101,12)="@outlook.com",RIGHT(B101,12)="@hotmail.com",RIGHT(B101,9)="@live.com"),"Outlook","Domain")))</f>
        <v/>
      </c>
      <c r="F101">
        <f>IF(B101="","",IFERROR(RIGHT(B101,LEN(B101)-FIND("@",B101)),""))</f>
        <v/>
      </c>
      <c r="G101">
        <f>IF(D101="KEEP",COUNTIF($D$2:D101,"KEEP"),"")</f>
        <v/>
      </c>
      <c r="H101">
        <f>IF(D101="REMOVE",COUNTIF($D$2:D101,"REMOVE"),"")</f>
        <v/>
      </c>
      <c r="I101">
        <f>IF(E101="Gmail",COUNTIF($E$2:E101,"Gmail"),"")</f>
        <v/>
      </c>
      <c r="J101">
        <f>IF(E101="Outlook",COUNTIF($E$2:E101,"Outlook"),"")</f>
        <v/>
      </c>
      <c r="K101">
        <f>IF(E101="Domain",COUNTIF($E$2:E101,"Domain"),"")</f>
        <v/>
      </c>
    </row>
    <row r="102">
      <c r="A102" s="2" t="n"/>
      <c r="B102">
        <f>LOWER(TRIM(A102))</f>
        <v/>
      </c>
      <c r="C102">
        <f>IF(B102="","",IFERROR(INDEX('Bad Patterns'!$A$2:$A$120,MATCH(1,INDEX(--ISNUMBER(SEARCH('Bad Patterns'!$A$2:$A$120,B102)),0),0)),""))</f>
        <v/>
      </c>
      <c r="D102">
        <f>IF(B102="","",IF(C102&lt;&gt;"","REMOVE","KEEP"))</f>
        <v/>
      </c>
      <c r="E102">
        <f>IF(D102&lt;&gt;"KEEP","",IF(RIGHT(B102,10)="@gmail.com","Gmail",IF(OR(RIGHT(B102,12)="@outlook.com",RIGHT(B102,12)="@hotmail.com",RIGHT(B102,9)="@live.com"),"Outlook","Domain")))</f>
        <v/>
      </c>
      <c r="F102">
        <f>IF(B102="","",IFERROR(RIGHT(B102,LEN(B102)-FIND("@",B102)),""))</f>
        <v/>
      </c>
      <c r="G102">
        <f>IF(D102="KEEP",COUNTIF($D$2:D102,"KEEP"),"")</f>
        <v/>
      </c>
      <c r="H102">
        <f>IF(D102="REMOVE",COUNTIF($D$2:D102,"REMOVE"),"")</f>
        <v/>
      </c>
      <c r="I102">
        <f>IF(E102="Gmail",COUNTIF($E$2:E102,"Gmail"),"")</f>
        <v/>
      </c>
      <c r="J102">
        <f>IF(E102="Outlook",COUNTIF($E$2:E102,"Outlook"),"")</f>
        <v/>
      </c>
      <c r="K102">
        <f>IF(E102="Domain",COUNTIF($E$2:E102,"Domain"),"")</f>
        <v/>
      </c>
    </row>
    <row r="103">
      <c r="A103" s="2" t="n"/>
      <c r="B103">
        <f>LOWER(TRIM(A103))</f>
        <v/>
      </c>
      <c r="C103">
        <f>IF(B103="","",IFERROR(INDEX('Bad Patterns'!$A$2:$A$120,MATCH(1,INDEX(--ISNUMBER(SEARCH('Bad Patterns'!$A$2:$A$120,B103)),0),0)),""))</f>
        <v/>
      </c>
      <c r="D103">
        <f>IF(B103="","",IF(C103&lt;&gt;"","REMOVE","KEEP"))</f>
        <v/>
      </c>
      <c r="E103">
        <f>IF(D103&lt;&gt;"KEEP","",IF(RIGHT(B103,10)="@gmail.com","Gmail",IF(OR(RIGHT(B103,12)="@outlook.com",RIGHT(B103,12)="@hotmail.com",RIGHT(B103,9)="@live.com"),"Outlook","Domain")))</f>
        <v/>
      </c>
      <c r="F103">
        <f>IF(B103="","",IFERROR(RIGHT(B103,LEN(B103)-FIND("@",B103)),""))</f>
        <v/>
      </c>
      <c r="G103">
        <f>IF(D103="KEEP",COUNTIF($D$2:D103,"KEEP"),"")</f>
        <v/>
      </c>
      <c r="H103">
        <f>IF(D103="REMOVE",COUNTIF($D$2:D103,"REMOVE"),"")</f>
        <v/>
      </c>
      <c r="I103">
        <f>IF(E103="Gmail",COUNTIF($E$2:E103,"Gmail"),"")</f>
        <v/>
      </c>
      <c r="J103">
        <f>IF(E103="Outlook",COUNTIF($E$2:E103,"Outlook"),"")</f>
        <v/>
      </c>
      <c r="K103">
        <f>IF(E103="Domain",COUNTIF($E$2:E103,"Domain"),"")</f>
        <v/>
      </c>
    </row>
    <row r="104">
      <c r="A104" s="2" t="n"/>
      <c r="B104">
        <f>LOWER(TRIM(A104))</f>
        <v/>
      </c>
      <c r="C104">
        <f>IF(B104="","",IFERROR(INDEX('Bad Patterns'!$A$2:$A$120,MATCH(1,INDEX(--ISNUMBER(SEARCH('Bad Patterns'!$A$2:$A$120,B104)),0),0)),""))</f>
        <v/>
      </c>
      <c r="D104">
        <f>IF(B104="","",IF(C104&lt;&gt;"","REMOVE","KEEP"))</f>
        <v/>
      </c>
      <c r="E104">
        <f>IF(D104&lt;&gt;"KEEP","",IF(RIGHT(B104,10)="@gmail.com","Gmail",IF(OR(RIGHT(B104,12)="@outlook.com",RIGHT(B104,12)="@hotmail.com",RIGHT(B104,9)="@live.com"),"Outlook","Domain")))</f>
        <v/>
      </c>
      <c r="F104">
        <f>IF(B104="","",IFERROR(RIGHT(B104,LEN(B104)-FIND("@",B104)),""))</f>
        <v/>
      </c>
      <c r="G104">
        <f>IF(D104="KEEP",COUNTIF($D$2:D104,"KEEP"),"")</f>
        <v/>
      </c>
      <c r="H104">
        <f>IF(D104="REMOVE",COUNTIF($D$2:D104,"REMOVE"),"")</f>
        <v/>
      </c>
      <c r="I104">
        <f>IF(E104="Gmail",COUNTIF($E$2:E104,"Gmail"),"")</f>
        <v/>
      </c>
      <c r="J104">
        <f>IF(E104="Outlook",COUNTIF($E$2:E104,"Outlook"),"")</f>
        <v/>
      </c>
      <c r="K104">
        <f>IF(E104="Domain",COUNTIF($E$2:E104,"Domain"),"")</f>
        <v/>
      </c>
    </row>
    <row r="105">
      <c r="A105" s="2" t="n"/>
      <c r="B105">
        <f>LOWER(TRIM(A105))</f>
        <v/>
      </c>
      <c r="C105">
        <f>IF(B105="","",IFERROR(INDEX('Bad Patterns'!$A$2:$A$120,MATCH(1,INDEX(--ISNUMBER(SEARCH('Bad Patterns'!$A$2:$A$120,B105)),0),0)),""))</f>
        <v/>
      </c>
      <c r="D105">
        <f>IF(B105="","",IF(C105&lt;&gt;"","REMOVE","KEEP"))</f>
        <v/>
      </c>
      <c r="E105">
        <f>IF(D105&lt;&gt;"KEEP","",IF(RIGHT(B105,10)="@gmail.com","Gmail",IF(OR(RIGHT(B105,12)="@outlook.com",RIGHT(B105,12)="@hotmail.com",RIGHT(B105,9)="@live.com"),"Outlook","Domain")))</f>
        <v/>
      </c>
      <c r="F105">
        <f>IF(B105="","",IFERROR(RIGHT(B105,LEN(B105)-FIND("@",B105)),""))</f>
        <v/>
      </c>
      <c r="G105">
        <f>IF(D105="KEEP",COUNTIF($D$2:D105,"KEEP"),"")</f>
        <v/>
      </c>
      <c r="H105">
        <f>IF(D105="REMOVE",COUNTIF($D$2:D105,"REMOVE"),"")</f>
        <v/>
      </c>
      <c r="I105">
        <f>IF(E105="Gmail",COUNTIF($E$2:E105,"Gmail"),"")</f>
        <v/>
      </c>
      <c r="J105">
        <f>IF(E105="Outlook",COUNTIF($E$2:E105,"Outlook"),"")</f>
        <v/>
      </c>
      <c r="K105">
        <f>IF(E105="Domain",COUNTIF($E$2:E105,"Domain"),"")</f>
        <v/>
      </c>
    </row>
    <row r="106">
      <c r="A106" s="2" t="n"/>
      <c r="B106">
        <f>LOWER(TRIM(A106))</f>
        <v/>
      </c>
      <c r="C106">
        <f>IF(B106="","",IFERROR(INDEX('Bad Patterns'!$A$2:$A$120,MATCH(1,INDEX(--ISNUMBER(SEARCH('Bad Patterns'!$A$2:$A$120,B106)),0),0)),""))</f>
        <v/>
      </c>
      <c r="D106">
        <f>IF(B106="","",IF(C106&lt;&gt;"","REMOVE","KEEP"))</f>
        <v/>
      </c>
      <c r="E106">
        <f>IF(D106&lt;&gt;"KEEP","",IF(RIGHT(B106,10)="@gmail.com","Gmail",IF(OR(RIGHT(B106,12)="@outlook.com",RIGHT(B106,12)="@hotmail.com",RIGHT(B106,9)="@live.com"),"Outlook","Domain")))</f>
        <v/>
      </c>
      <c r="F106">
        <f>IF(B106="","",IFERROR(RIGHT(B106,LEN(B106)-FIND("@",B106)),""))</f>
        <v/>
      </c>
      <c r="G106">
        <f>IF(D106="KEEP",COUNTIF($D$2:D106,"KEEP"),"")</f>
        <v/>
      </c>
      <c r="H106">
        <f>IF(D106="REMOVE",COUNTIF($D$2:D106,"REMOVE"),"")</f>
        <v/>
      </c>
      <c r="I106">
        <f>IF(E106="Gmail",COUNTIF($E$2:E106,"Gmail"),"")</f>
        <v/>
      </c>
      <c r="J106">
        <f>IF(E106="Outlook",COUNTIF($E$2:E106,"Outlook"),"")</f>
        <v/>
      </c>
      <c r="K106">
        <f>IF(E106="Domain",COUNTIF($E$2:E106,"Domain"),"")</f>
        <v/>
      </c>
    </row>
    <row r="107">
      <c r="A107" s="2" t="n"/>
      <c r="B107">
        <f>LOWER(TRIM(A107))</f>
        <v/>
      </c>
      <c r="C107">
        <f>IF(B107="","",IFERROR(INDEX('Bad Patterns'!$A$2:$A$120,MATCH(1,INDEX(--ISNUMBER(SEARCH('Bad Patterns'!$A$2:$A$120,B107)),0),0)),""))</f>
        <v/>
      </c>
      <c r="D107">
        <f>IF(B107="","",IF(C107&lt;&gt;"","REMOVE","KEEP"))</f>
        <v/>
      </c>
      <c r="E107">
        <f>IF(D107&lt;&gt;"KEEP","",IF(RIGHT(B107,10)="@gmail.com","Gmail",IF(OR(RIGHT(B107,12)="@outlook.com",RIGHT(B107,12)="@hotmail.com",RIGHT(B107,9)="@live.com"),"Outlook","Domain")))</f>
        <v/>
      </c>
      <c r="F107">
        <f>IF(B107="","",IFERROR(RIGHT(B107,LEN(B107)-FIND("@",B107)),""))</f>
        <v/>
      </c>
      <c r="G107">
        <f>IF(D107="KEEP",COUNTIF($D$2:D107,"KEEP"),"")</f>
        <v/>
      </c>
      <c r="H107">
        <f>IF(D107="REMOVE",COUNTIF($D$2:D107,"REMOVE"),"")</f>
        <v/>
      </c>
      <c r="I107">
        <f>IF(E107="Gmail",COUNTIF($E$2:E107,"Gmail"),"")</f>
        <v/>
      </c>
      <c r="J107">
        <f>IF(E107="Outlook",COUNTIF($E$2:E107,"Outlook"),"")</f>
        <v/>
      </c>
      <c r="K107">
        <f>IF(E107="Domain",COUNTIF($E$2:E107,"Domain"),"")</f>
        <v/>
      </c>
    </row>
    <row r="108">
      <c r="A108" s="2" t="n"/>
      <c r="B108">
        <f>LOWER(TRIM(A108))</f>
        <v/>
      </c>
      <c r="C108">
        <f>IF(B108="","",IFERROR(INDEX('Bad Patterns'!$A$2:$A$120,MATCH(1,INDEX(--ISNUMBER(SEARCH('Bad Patterns'!$A$2:$A$120,B108)),0),0)),""))</f>
        <v/>
      </c>
      <c r="D108">
        <f>IF(B108="","",IF(C108&lt;&gt;"","REMOVE","KEEP"))</f>
        <v/>
      </c>
      <c r="E108">
        <f>IF(D108&lt;&gt;"KEEP","",IF(RIGHT(B108,10)="@gmail.com","Gmail",IF(OR(RIGHT(B108,12)="@outlook.com",RIGHT(B108,12)="@hotmail.com",RIGHT(B108,9)="@live.com"),"Outlook","Domain")))</f>
        <v/>
      </c>
      <c r="F108">
        <f>IF(B108="","",IFERROR(RIGHT(B108,LEN(B108)-FIND("@",B108)),""))</f>
        <v/>
      </c>
      <c r="G108">
        <f>IF(D108="KEEP",COUNTIF($D$2:D108,"KEEP"),"")</f>
        <v/>
      </c>
      <c r="H108">
        <f>IF(D108="REMOVE",COUNTIF($D$2:D108,"REMOVE"),"")</f>
        <v/>
      </c>
      <c r="I108">
        <f>IF(E108="Gmail",COUNTIF($E$2:E108,"Gmail"),"")</f>
        <v/>
      </c>
      <c r="J108">
        <f>IF(E108="Outlook",COUNTIF($E$2:E108,"Outlook"),"")</f>
        <v/>
      </c>
      <c r="K108">
        <f>IF(E108="Domain",COUNTIF($E$2:E108,"Domain"),"")</f>
        <v/>
      </c>
    </row>
    <row r="109">
      <c r="A109" s="2" t="n"/>
      <c r="B109">
        <f>LOWER(TRIM(A109))</f>
        <v/>
      </c>
      <c r="C109">
        <f>IF(B109="","",IFERROR(INDEX('Bad Patterns'!$A$2:$A$120,MATCH(1,INDEX(--ISNUMBER(SEARCH('Bad Patterns'!$A$2:$A$120,B109)),0),0)),""))</f>
        <v/>
      </c>
      <c r="D109">
        <f>IF(B109="","",IF(C109&lt;&gt;"","REMOVE","KEEP"))</f>
        <v/>
      </c>
      <c r="E109">
        <f>IF(D109&lt;&gt;"KEEP","",IF(RIGHT(B109,10)="@gmail.com","Gmail",IF(OR(RIGHT(B109,12)="@outlook.com",RIGHT(B109,12)="@hotmail.com",RIGHT(B109,9)="@live.com"),"Outlook","Domain")))</f>
        <v/>
      </c>
      <c r="F109">
        <f>IF(B109="","",IFERROR(RIGHT(B109,LEN(B109)-FIND("@",B109)),""))</f>
        <v/>
      </c>
      <c r="G109">
        <f>IF(D109="KEEP",COUNTIF($D$2:D109,"KEEP"),"")</f>
        <v/>
      </c>
      <c r="H109">
        <f>IF(D109="REMOVE",COUNTIF($D$2:D109,"REMOVE"),"")</f>
        <v/>
      </c>
      <c r="I109">
        <f>IF(E109="Gmail",COUNTIF($E$2:E109,"Gmail"),"")</f>
        <v/>
      </c>
      <c r="J109">
        <f>IF(E109="Outlook",COUNTIF($E$2:E109,"Outlook"),"")</f>
        <v/>
      </c>
      <c r="K109">
        <f>IF(E109="Domain",COUNTIF($E$2:E109,"Domain"),"")</f>
        <v/>
      </c>
    </row>
    <row r="110">
      <c r="A110" s="2" t="n"/>
      <c r="B110">
        <f>LOWER(TRIM(A110))</f>
        <v/>
      </c>
      <c r="C110">
        <f>IF(B110="","",IFERROR(INDEX('Bad Patterns'!$A$2:$A$120,MATCH(1,INDEX(--ISNUMBER(SEARCH('Bad Patterns'!$A$2:$A$120,B110)),0),0)),""))</f>
        <v/>
      </c>
      <c r="D110">
        <f>IF(B110="","",IF(C110&lt;&gt;"","REMOVE","KEEP"))</f>
        <v/>
      </c>
      <c r="E110">
        <f>IF(D110&lt;&gt;"KEEP","",IF(RIGHT(B110,10)="@gmail.com","Gmail",IF(OR(RIGHT(B110,12)="@outlook.com",RIGHT(B110,12)="@hotmail.com",RIGHT(B110,9)="@live.com"),"Outlook","Domain")))</f>
        <v/>
      </c>
      <c r="F110">
        <f>IF(B110="","",IFERROR(RIGHT(B110,LEN(B110)-FIND("@",B110)),""))</f>
        <v/>
      </c>
      <c r="G110">
        <f>IF(D110="KEEP",COUNTIF($D$2:D110,"KEEP"),"")</f>
        <v/>
      </c>
      <c r="H110">
        <f>IF(D110="REMOVE",COUNTIF($D$2:D110,"REMOVE"),"")</f>
        <v/>
      </c>
      <c r="I110">
        <f>IF(E110="Gmail",COUNTIF($E$2:E110,"Gmail"),"")</f>
        <v/>
      </c>
      <c r="J110">
        <f>IF(E110="Outlook",COUNTIF($E$2:E110,"Outlook"),"")</f>
        <v/>
      </c>
      <c r="K110">
        <f>IF(E110="Domain",COUNTIF($E$2:E110,"Domain"),"")</f>
        <v/>
      </c>
    </row>
    <row r="111">
      <c r="A111" s="2" t="n"/>
      <c r="B111">
        <f>LOWER(TRIM(A111))</f>
        <v/>
      </c>
      <c r="C111">
        <f>IF(B111="","",IFERROR(INDEX('Bad Patterns'!$A$2:$A$120,MATCH(1,INDEX(--ISNUMBER(SEARCH('Bad Patterns'!$A$2:$A$120,B111)),0),0)),""))</f>
        <v/>
      </c>
      <c r="D111">
        <f>IF(B111="","",IF(C111&lt;&gt;"","REMOVE","KEEP"))</f>
        <v/>
      </c>
      <c r="E111">
        <f>IF(D111&lt;&gt;"KEEP","",IF(RIGHT(B111,10)="@gmail.com","Gmail",IF(OR(RIGHT(B111,12)="@outlook.com",RIGHT(B111,12)="@hotmail.com",RIGHT(B111,9)="@live.com"),"Outlook","Domain")))</f>
        <v/>
      </c>
      <c r="F111">
        <f>IF(B111="","",IFERROR(RIGHT(B111,LEN(B111)-FIND("@",B111)),""))</f>
        <v/>
      </c>
      <c r="G111">
        <f>IF(D111="KEEP",COUNTIF($D$2:D111,"KEEP"),"")</f>
        <v/>
      </c>
      <c r="H111">
        <f>IF(D111="REMOVE",COUNTIF($D$2:D111,"REMOVE"),"")</f>
        <v/>
      </c>
      <c r="I111">
        <f>IF(E111="Gmail",COUNTIF($E$2:E111,"Gmail"),"")</f>
        <v/>
      </c>
      <c r="J111">
        <f>IF(E111="Outlook",COUNTIF($E$2:E111,"Outlook"),"")</f>
        <v/>
      </c>
      <c r="K111">
        <f>IF(E111="Domain",COUNTIF($E$2:E111,"Domain"),"")</f>
        <v/>
      </c>
    </row>
    <row r="112">
      <c r="A112" s="2" t="n"/>
      <c r="B112">
        <f>LOWER(TRIM(A112))</f>
        <v/>
      </c>
      <c r="C112">
        <f>IF(B112="","",IFERROR(INDEX('Bad Patterns'!$A$2:$A$120,MATCH(1,INDEX(--ISNUMBER(SEARCH('Bad Patterns'!$A$2:$A$120,B112)),0),0)),""))</f>
        <v/>
      </c>
      <c r="D112">
        <f>IF(B112="","",IF(C112&lt;&gt;"","REMOVE","KEEP"))</f>
        <v/>
      </c>
      <c r="E112">
        <f>IF(D112&lt;&gt;"KEEP","",IF(RIGHT(B112,10)="@gmail.com","Gmail",IF(OR(RIGHT(B112,12)="@outlook.com",RIGHT(B112,12)="@hotmail.com",RIGHT(B112,9)="@live.com"),"Outlook","Domain")))</f>
        <v/>
      </c>
      <c r="F112">
        <f>IF(B112="","",IFERROR(RIGHT(B112,LEN(B112)-FIND("@",B112)),""))</f>
        <v/>
      </c>
      <c r="G112">
        <f>IF(D112="KEEP",COUNTIF($D$2:D112,"KEEP"),"")</f>
        <v/>
      </c>
      <c r="H112">
        <f>IF(D112="REMOVE",COUNTIF($D$2:D112,"REMOVE"),"")</f>
        <v/>
      </c>
      <c r="I112">
        <f>IF(E112="Gmail",COUNTIF($E$2:E112,"Gmail"),"")</f>
        <v/>
      </c>
      <c r="J112">
        <f>IF(E112="Outlook",COUNTIF($E$2:E112,"Outlook"),"")</f>
        <v/>
      </c>
      <c r="K112">
        <f>IF(E112="Domain",COUNTIF($E$2:E112,"Domain"),"")</f>
        <v/>
      </c>
    </row>
    <row r="113">
      <c r="A113" s="2" t="n"/>
      <c r="B113">
        <f>LOWER(TRIM(A113))</f>
        <v/>
      </c>
      <c r="C113">
        <f>IF(B113="","",IFERROR(INDEX('Bad Patterns'!$A$2:$A$120,MATCH(1,INDEX(--ISNUMBER(SEARCH('Bad Patterns'!$A$2:$A$120,B113)),0),0)),""))</f>
        <v/>
      </c>
      <c r="D113">
        <f>IF(B113="","",IF(C113&lt;&gt;"","REMOVE","KEEP"))</f>
        <v/>
      </c>
      <c r="E113">
        <f>IF(D113&lt;&gt;"KEEP","",IF(RIGHT(B113,10)="@gmail.com","Gmail",IF(OR(RIGHT(B113,12)="@outlook.com",RIGHT(B113,12)="@hotmail.com",RIGHT(B113,9)="@live.com"),"Outlook","Domain")))</f>
        <v/>
      </c>
      <c r="F113">
        <f>IF(B113="","",IFERROR(RIGHT(B113,LEN(B113)-FIND("@",B113)),""))</f>
        <v/>
      </c>
      <c r="G113">
        <f>IF(D113="KEEP",COUNTIF($D$2:D113,"KEEP"),"")</f>
        <v/>
      </c>
      <c r="H113">
        <f>IF(D113="REMOVE",COUNTIF($D$2:D113,"REMOVE"),"")</f>
        <v/>
      </c>
      <c r="I113">
        <f>IF(E113="Gmail",COUNTIF($E$2:E113,"Gmail"),"")</f>
        <v/>
      </c>
      <c r="J113">
        <f>IF(E113="Outlook",COUNTIF($E$2:E113,"Outlook"),"")</f>
        <v/>
      </c>
      <c r="K113">
        <f>IF(E113="Domain",COUNTIF($E$2:E113,"Domain"),"")</f>
        <v/>
      </c>
    </row>
    <row r="114">
      <c r="A114" s="2" t="n"/>
      <c r="B114">
        <f>LOWER(TRIM(A114))</f>
        <v/>
      </c>
      <c r="C114">
        <f>IF(B114="","",IFERROR(INDEX('Bad Patterns'!$A$2:$A$120,MATCH(1,INDEX(--ISNUMBER(SEARCH('Bad Patterns'!$A$2:$A$120,B114)),0),0)),""))</f>
        <v/>
      </c>
      <c r="D114">
        <f>IF(B114="","",IF(C114&lt;&gt;"","REMOVE","KEEP"))</f>
        <v/>
      </c>
      <c r="E114">
        <f>IF(D114&lt;&gt;"KEEP","",IF(RIGHT(B114,10)="@gmail.com","Gmail",IF(OR(RIGHT(B114,12)="@outlook.com",RIGHT(B114,12)="@hotmail.com",RIGHT(B114,9)="@live.com"),"Outlook","Domain")))</f>
        <v/>
      </c>
      <c r="F114">
        <f>IF(B114="","",IFERROR(RIGHT(B114,LEN(B114)-FIND("@",B114)),""))</f>
        <v/>
      </c>
      <c r="G114">
        <f>IF(D114="KEEP",COUNTIF($D$2:D114,"KEEP"),"")</f>
        <v/>
      </c>
      <c r="H114">
        <f>IF(D114="REMOVE",COUNTIF($D$2:D114,"REMOVE"),"")</f>
        <v/>
      </c>
      <c r="I114">
        <f>IF(E114="Gmail",COUNTIF($E$2:E114,"Gmail"),"")</f>
        <v/>
      </c>
      <c r="J114">
        <f>IF(E114="Outlook",COUNTIF($E$2:E114,"Outlook"),"")</f>
        <v/>
      </c>
      <c r="K114">
        <f>IF(E114="Domain",COUNTIF($E$2:E114,"Domain"),"")</f>
        <v/>
      </c>
    </row>
    <row r="115">
      <c r="A115" s="2" t="n"/>
      <c r="B115">
        <f>LOWER(TRIM(A115))</f>
        <v/>
      </c>
      <c r="C115">
        <f>IF(B115="","",IFERROR(INDEX('Bad Patterns'!$A$2:$A$120,MATCH(1,INDEX(--ISNUMBER(SEARCH('Bad Patterns'!$A$2:$A$120,B115)),0),0)),""))</f>
        <v/>
      </c>
      <c r="D115">
        <f>IF(B115="","",IF(C115&lt;&gt;"","REMOVE","KEEP"))</f>
        <v/>
      </c>
      <c r="E115">
        <f>IF(D115&lt;&gt;"KEEP","",IF(RIGHT(B115,10)="@gmail.com","Gmail",IF(OR(RIGHT(B115,12)="@outlook.com",RIGHT(B115,12)="@hotmail.com",RIGHT(B115,9)="@live.com"),"Outlook","Domain")))</f>
        <v/>
      </c>
      <c r="F115">
        <f>IF(B115="","",IFERROR(RIGHT(B115,LEN(B115)-FIND("@",B115)),""))</f>
        <v/>
      </c>
      <c r="G115">
        <f>IF(D115="KEEP",COUNTIF($D$2:D115,"KEEP"),"")</f>
        <v/>
      </c>
      <c r="H115">
        <f>IF(D115="REMOVE",COUNTIF($D$2:D115,"REMOVE"),"")</f>
        <v/>
      </c>
      <c r="I115">
        <f>IF(E115="Gmail",COUNTIF($E$2:E115,"Gmail"),"")</f>
        <v/>
      </c>
      <c r="J115">
        <f>IF(E115="Outlook",COUNTIF($E$2:E115,"Outlook"),"")</f>
        <v/>
      </c>
      <c r="K115">
        <f>IF(E115="Domain",COUNTIF($E$2:E115,"Domain"),"")</f>
        <v/>
      </c>
    </row>
    <row r="116">
      <c r="A116" s="2" t="n"/>
      <c r="B116">
        <f>LOWER(TRIM(A116))</f>
        <v/>
      </c>
      <c r="C116">
        <f>IF(B116="","",IFERROR(INDEX('Bad Patterns'!$A$2:$A$120,MATCH(1,INDEX(--ISNUMBER(SEARCH('Bad Patterns'!$A$2:$A$120,B116)),0),0)),""))</f>
        <v/>
      </c>
      <c r="D116">
        <f>IF(B116="","",IF(C116&lt;&gt;"","REMOVE","KEEP"))</f>
        <v/>
      </c>
      <c r="E116">
        <f>IF(D116&lt;&gt;"KEEP","",IF(RIGHT(B116,10)="@gmail.com","Gmail",IF(OR(RIGHT(B116,12)="@outlook.com",RIGHT(B116,12)="@hotmail.com",RIGHT(B116,9)="@live.com"),"Outlook","Domain")))</f>
        <v/>
      </c>
      <c r="F116">
        <f>IF(B116="","",IFERROR(RIGHT(B116,LEN(B116)-FIND("@",B116)),""))</f>
        <v/>
      </c>
      <c r="G116">
        <f>IF(D116="KEEP",COUNTIF($D$2:D116,"KEEP"),"")</f>
        <v/>
      </c>
      <c r="H116">
        <f>IF(D116="REMOVE",COUNTIF($D$2:D116,"REMOVE"),"")</f>
        <v/>
      </c>
      <c r="I116">
        <f>IF(E116="Gmail",COUNTIF($E$2:E116,"Gmail"),"")</f>
        <v/>
      </c>
      <c r="J116">
        <f>IF(E116="Outlook",COUNTIF($E$2:E116,"Outlook"),"")</f>
        <v/>
      </c>
      <c r="K116">
        <f>IF(E116="Domain",COUNTIF($E$2:E116,"Domain"),"")</f>
        <v/>
      </c>
    </row>
    <row r="117">
      <c r="A117" s="2" t="n"/>
      <c r="B117">
        <f>LOWER(TRIM(A117))</f>
        <v/>
      </c>
      <c r="C117">
        <f>IF(B117="","",IFERROR(INDEX('Bad Patterns'!$A$2:$A$120,MATCH(1,INDEX(--ISNUMBER(SEARCH('Bad Patterns'!$A$2:$A$120,B117)),0),0)),""))</f>
        <v/>
      </c>
      <c r="D117">
        <f>IF(B117="","",IF(C117&lt;&gt;"","REMOVE","KEEP"))</f>
        <v/>
      </c>
      <c r="E117">
        <f>IF(D117&lt;&gt;"KEEP","",IF(RIGHT(B117,10)="@gmail.com","Gmail",IF(OR(RIGHT(B117,12)="@outlook.com",RIGHT(B117,12)="@hotmail.com",RIGHT(B117,9)="@live.com"),"Outlook","Domain")))</f>
        <v/>
      </c>
      <c r="F117">
        <f>IF(B117="","",IFERROR(RIGHT(B117,LEN(B117)-FIND("@",B117)),""))</f>
        <v/>
      </c>
      <c r="G117">
        <f>IF(D117="KEEP",COUNTIF($D$2:D117,"KEEP"),"")</f>
        <v/>
      </c>
      <c r="H117">
        <f>IF(D117="REMOVE",COUNTIF($D$2:D117,"REMOVE"),"")</f>
        <v/>
      </c>
      <c r="I117">
        <f>IF(E117="Gmail",COUNTIF($E$2:E117,"Gmail"),"")</f>
        <v/>
      </c>
      <c r="J117">
        <f>IF(E117="Outlook",COUNTIF($E$2:E117,"Outlook"),"")</f>
        <v/>
      </c>
      <c r="K117">
        <f>IF(E117="Domain",COUNTIF($E$2:E117,"Domain"),"")</f>
        <v/>
      </c>
    </row>
    <row r="118">
      <c r="A118" s="2" t="n"/>
      <c r="B118">
        <f>LOWER(TRIM(A118))</f>
        <v/>
      </c>
      <c r="C118">
        <f>IF(B118="","",IFERROR(INDEX('Bad Patterns'!$A$2:$A$120,MATCH(1,INDEX(--ISNUMBER(SEARCH('Bad Patterns'!$A$2:$A$120,B118)),0),0)),""))</f>
        <v/>
      </c>
      <c r="D118">
        <f>IF(B118="","",IF(C118&lt;&gt;"","REMOVE","KEEP"))</f>
        <v/>
      </c>
      <c r="E118">
        <f>IF(D118&lt;&gt;"KEEP","",IF(RIGHT(B118,10)="@gmail.com","Gmail",IF(OR(RIGHT(B118,12)="@outlook.com",RIGHT(B118,12)="@hotmail.com",RIGHT(B118,9)="@live.com"),"Outlook","Domain")))</f>
        <v/>
      </c>
      <c r="F118">
        <f>IF(B118="","",IFERROR(RIGHT(B118,LEN(B118)-FIND("@",B118)),""))</f>
        <v/>
      </c>
      <c r="G118">
        <f>IF(D118="KEEP",COUNTIF($D$2:D118,"KEEP"),"")</f>
        <v/>
      </c>
      <c r="H118">
        <f>IF(D118="REMOVE",COUNTIF($D$2:D118,"REMOVE"),"")</f>
        <v/>
      </c>
      <c r="I118">
        <f>IF(E118="Gmail",COUNTIF($E$2:E118,"Gmail"),"")</f>
        <v/>
      </c>
      <c r="J118">
        <f>IF(E118="Outlook",COUNTIF($E$2:E118,"Outlook"),"")</f>
        <v/>
      </c>
      <c r="K118">
        <f>IF(E118="Domain",COUNTIF($E$2:E118,"Domain"),"")</f>
        <v/>
      </c>
    </row>
    <row r="119">
      <c r="A119" s="2" t="n"/>
      <c r="B119">
        <f>LOWER(TRIM(A119))</f>
        <v/>
      </c>
      <c r="C119">
        <f>IF(B119="","",IFERROR(INDEX('Bad Patterns'!$A$2:$A$120,MATCH(1,INDEX(--ISNUMBER(SEARCH('Bad Patterns'!$A$2:$A$120,B119)),0),0)),""))</f>
        <v/>
      </c>
      <c r="D119">
        <f>IF(B119="","",IF(C119&lt;&gt;"","REMOVE","KEEP"))</f>
        <v/>
      </c>
      <c r="E119">
        <f>IF(D119&lt;&gt;"KEEP","",IF(RIGHT(B119,10)="@gmail.com","Gmail",IF(OR(RIGHT(B119,12)="@outlook.com",RIGHT(B119,12)="@hotmail.com",RIGHT(B119,9)="@live.com"),"Outlook","Domain")))</f>
        <v/>
      </c>
      <c r="F119">
        <f>IF(B119="","",IFERROR(RIGHT(B119,LEN(B119)-FIND("@",B119)),""))</f>
        <v/>
      </c>
      <c r="G119">
        <f>IF(D119="KEEP",COUNTIF($D$2:D119,"KEEP"),"")</f>
        <v/>
      </c>
      <c r="H119">
        <f>IF(D119="REMOVE",COUNTIF($D$2:D119,"REMOVE"),"")</f>
        <v/>
      </c>
      <c r="I119">
        <f>IF(E119="Gmail",COUNTIF($E$2:E119,"Gmail"),"")</f>
        <v/>
      </c>
      <c r="J119">
        <f>IF(E119="Outlook",COUNTIF($E$2:E119,"Outlook"),"")</f>
        <v/>
      </c>
      <c r="K119">
        <f>IF(E119="Domain",COUNTIF($E$2:E119,"Domain"),"")</f>
        <v/>
      </c>
    </row>
    <row r="120">
      <c r="A120" s="2" t="n"/>
      <c r="B120">
        <f>LOWER(TRIM(A120))</f>
        <v/>
      </c>
      <c r="C120">
        <f>IF(B120="","",IFERROR(INDEX('Bad Patterns'!$A$2:$A$120,MATCH(1,INDEX(--ISNUMBER(SEARCH('Bad Patterns'!$A$2:$A$120,B120)),0),0)),""))</f>
        <v/>
      </c>
      <c r="D120">
        <f>IF(B120="","",IF(C120&lt;&gt;"","REMOVE","KEEP"))</f>
        <v/>
      </c>
      <c r="E120">
        <f>IF(D120&lt;&gt;"KEEP","",IF(RIGHT(B120,10)="@gmail.com","Gmail",IF(OR(RIGHT(B120,12)="@outlook.com",RIGHT(B120,12)="@hotmail.com",RIGHT(B120,9)="@live.com"),"Outlook","Domain")))</f>
        <v/>
      </c>
      <c r="F120">
        <f>IF(B120="","",IFERROR(RIGHT(B120,LEN(B120)-FIND("@",B120)),""))</f>
        <v/>
      </c>
      <c r="G120">
        <f>IF(D120="KEEP",COUNTIF($D$2:D120,"KEEP"),"")</f>
        <v/>
      </c>
      <c r="H120">
        <f>IF(D120="REMOVE",COUNTIF($D$2:D120,"REMOVE"),"")</f>
        <v/>
      </c>
      <c r="I120">
        <f>IF(E120="Gmail",COUNTIF($E$2:E120,"Gmail"),"")</f>
        <v/>
      </c>
      <c r="J120">
        <f>IF(E120="Outlook",COUNTIF($E$2:E120,"Outlook"),"")</f>
        <v/>
      </c>
      <c r="K120">
        <f>IF(E120="Domain",COUNTIF($E$2:E120,"Domain"),"")</f>
        <v/>
      </c>
    </row>
    <row r="121">
      <c r="A121" s="2" t="n"/>
      <c r="B121">
        <f>LOWER(TRIM(A121))</f>
        <v/>
      </c>
      <c r="C121">
        <f>IF(B121="","",IFERROR(INDEX('Bad Patterns'!$A$2:$A$120,MATCH(1,INDEX(--ISNUMBER(SEARCH('Bad Patterns'!$A$2:$A$120,B121)),0),0)),""))</f>
        <v/>
      </c>
      <c r="D121">
        <f>IF(B121="","",IF(C121&lt;&gt;"","REMOVE","KEEP"))</f>
        <v/>
      </c>
      <c r="E121">
        <f>IF(D121&lt;&gt;"KEEP","",IF(RIGHT(B121,10)="@gmail.com","Gmail",IF(OR(RIGHT(B121,12)="@outlook.com",RIGHT(B121,12)="@hotmail.com",RIGHT(B121,9)="@live.com"),"Outlook","Domain")))</f>
        <v/>
      </c>
      <c r="F121">
        <f>IF(B121="","",IFERROR(RIGHT(B121,LEN(B121)-FIND("@",B121)),""))</f>
        <v/>
      </c>
      <c r="G121">
        <f>IF(D121="KEEP",COUNTIF($D$2:D121,"KEEP"),"")</f>
        <v/>
      </c>
      <c r="H121">
        <f>IF(D121="REMOVE",COUNTIF($D$2:D121,"REMOVE"),"")</f>
        <v/>
      </c>
      <c r="I121">
        <f>IF(E121="Gmail",COUNTIF($E$2:E121,"Gmail"),"")</f>
        <v/>
      </c>
      <c r="J121">
        <f>IF(E121="Outlook",COUNTIF($E$2:E121,"Outlook"),"")</f>
        <v/>
      </c>
      <c r="K121">
        <f>IF(E121="Domain",COUNTIF($E$2:E121,"Domain"),"")</f>
        <v/>
      </c>
    </row>
    <row r="122">
      <c r="A122" s="2" t="n"/>
      <c r="B122">
        <f>LOWER(TRIM(A122))</f>
        <v/>
      </c>
      <c r="C122">
        <f>IF(B122="","",IFERROR(INDEX('Bad Patterns'!$A$2:$A$120,MATCH(1,INDEX(--ISNUMBER(SEARCH('Bad Patterns'!$A$2:$A$120,B122)),0),0)),""))</f>
        <v/>
      </c>
      <c r="D122">
        <f>IF(B122="","",IF(C122&lt;&gt;"","REMOVE","KEEP"))</f>
        <v/>
      </c>
      <c r="E122">
        <f>IF(D122&lt;&gt;"KEEP","",IF(RIGHT(B122,10)="@gmail.com","Gmail",IF(OR(RIGHT(B122,12)="@outlook.com",RIGHT(B122,12)="@hotmail.com",RIGHT(B122,9)="@live.com"),"Outlook","Domain")))</f>
        <v/>
      </c>
      <c r="F122">
        <f>IF(B122="","",IFERROR(RIGHT(B122,LEN(B122)-FIND("@",B122)),""))</f>
        <v/>
      </c>
      <c r="G122">
        <f>IF(D122="KEEP",COUNTIF($D$2:D122,"KEEP"),"")</f>
        <v/>
      </c>
      <c r="H122">
        <f>IF(D122="REMOVE",COUNTIF($D$2:D122,"REMOVE"),"")</f>
        <v/>
      </c>
      <c r="I122">
        <f>IF(E122="Gmail",COUNTIF($E$2:E122,"Gmail"),"")</f>
        <v/>
      </c>
      <c r="J122">
        <f>IF(E122="Outlook",COUNTIF($E$2:E122,"Outlook"),"")</f>
        <v/>
      </c>
      <c r="K122">
        <f>IF(E122="Domain",COUNTIF($E$2:E122,"Domain"),"")</f>
        <v/>
      </c>
    </row>
    <row r="123">
      <c r="A123" s="2" t="n"/>
      <c r="B123">
        <f>LOWER(TRIM(A123))</f>
        <v/>
      </c>
      <c r="C123">
        <f>IF(B123="","",IFERROR(INDEX('Bad Patterns'!$A$2:$A$120,MATCH(1,INDEX(--ISNUMBER(SEARCH('Bad Patterns'!$A$2:$A$120,B123)),0),0)),""))</f>
        <v/>
      </c>
      <c r="D123">
        <f>IF(B123="","",IF(C123&lt;&gt;"","REMOVE","KEEP"))</f>
        <v/>
      </c>
      <c r="E123">
        <f>IF(D123&lt;&gt;"KEEP","",IF(RIGHT(B123,10)="@gmail.com","Gmail",IF(OR(RIGHT(B123,12)="@outlook.com",RIGHT(B123,12)="@hotmail.com",RIGHT(B123,9)="@live.com"),"Outlook","Domain")))</f>
        <v/>
      </c>
      <c r="F123">
        <f>IF(B123="","",IFERROR(RIGHT(B123,LEN(B123)-FIND("@",B123)),""))</f>
        <v/>
      </c>
      <c r="G123">
        <f>IF(D123="KEEP",COUNTIF($D$2:D123,"KEEP"),"")</f>
        <v/>
      </c>
      <c r="H123">
        <f>IF(D123="REMOVE",COUNTIF($D$2:D123,"REMOVE"),"")</f>
        <v/>
      </c>
      <c r="I123">
        <f>IF(E123="Gmail",COUNTIF($E$2:E123,"Gmail"),"")</f>
        <v/>
      </c>
      <c r="J123">
        <f>IF(E123="Outlook",COUNTIF($E$2:E123,"Outlook"),"")</f>
        <v/>
      </c>
      <c r="K123">
        <f>IF(E123="Domain",COUNTIF($E$2:E123,"Domain"),"")</f>
        <v/>
      </c>
    </row>
    <row r="124">
      <c r="A124" s="2" t="n"/>
      <c r="B124">
        <f>LOWER(TRIM(A124))</f>
        <v/>
      </c>
      <c r="C124">
        <f>IF(B124="","",IFERROR(INDEX('Bad Patterns'!$A$2:$A$120,MATCH(1,INDEX(--ISNUMBER(SEARCH('Bad Patterns'!$A$2:$A$120,B124)),0),0)),""))</f>
        <v/>
      </c>
      <c r="D124">
        <f>IF(B124="","",IF(C124&lt;&gt;"","REMOVE","KEEP"))</f>
        <v/>
      </c>
      <c r="E124">
        <f>IF(D124&lt;&gt;"KEEP","",IF(RIGHT(B124,10)="@gmail.com","Gmail",IF(OR(RIGHT(B124,12)="@outlook.com",RIGHT(B124,12)="@hotmail.com",RIGHT(B124,9)="@live.com"),"Outlook","Domain")))</f>
        <v/>
      </c>
      <c r="F124">
        <f>IF(B124="","",IFERROR(RIGHT(B124,LEN(B124)-FIND("@",B124)),""))</f>
        <v/>
      </c>
      <c r="G124">
        <f>IF(D124="KEEP",COUNTIF($D$2:D124,"KEEP"),"")</f>
        <v/>
      </c>
      <c r="H124">
        <f>IF(D124="REMOVE",COUNTIF($D$2:D124,"REMOVE"),"")</f>
        <v/>
      </c>
      <c r="I124">
        <f>IF(E124="Gmail",COUNTIF($E$2:E124,"Gmail"),"")</f>
        <v/>
      </c>
      <c r="J124">
        <f>IF(E124="Outlook",COUNTIF($E$2:E124,"Outlook"),"")</f>
        <v/>
      </c>
      <c r="K124">
        <f>IF(E124="Domain",COUNTIF($E$2:E124,"Domain"),"")</f>
        <v/>
      </c>
    </row>
    <row r="125">
      <c r="A125" s="2" t="n"/>
      <c r="B125">
        <f>LOWER(TRIM(A125))</f>
        <v/>
      </c>
      <c r="C125">
        <f>IF(B125="","",IFERROR(INDEX('Bad Patterns'!$A$2:$A$120,MATCH(1,INDEX(--ISNUMBER(SEARCH('Bad Patterns'!$A$2:$A$120,B125)),0),0)),""))</f>
        <v/>
      </c>
      <c r="D125">
        <f>IF(B125="","",IF(C125&lt;&gt;"","REMOVE","KEEP"))</f>
        <v/>
      </c>
      <c r="E125">
        <f>IF(D125&lt;&gt;"KEEP","",IF(RIGHT(B125,10)="@gmail.com","Gmail",IF(OR(RIGHT(B125,12)="@outlook.com",RIGHT(B125,12)="@hotmail.com",RIGHT(B125,9)="@live.com"),"Outlook","Domain")))</f>
        <v/>
      </c>
      <c r="F125">
        <f>IF(B125="","",IFERROR(RIGHT(B125,LEN(B125)-FIND("@",B125)),""))</f>
        <v/>
      </c>
      <c r="G125">
        <f>IF(D125="KEEP",COUNTIF($D$2:D125,"KEEP"),"")</f>
        <v/>
      </c>
      <c r="H125">
        <f>IF(D125="REMOVE",COUNTIF($D$2:D125,"REMOVE"),"")</f>
        <v/>
      </c>
      <c r="I125">
        <f>IF(E125="Gmail",COUNTIF($E$2:E125,"Gmail"),"")</f>
        <v/>
      </c>
      <c r="J125">
        <f>IF(E125="Outlook",COUNTIF($E$2:E125,"Outlook"),"")</f>
        <v/>
      </c>
      <c r="K125">
        <f>IF(E125="Domain",COUNTIF($E$2:E125,"Domain"),"")</f>
        <v/>
      </c>
    </row>
    <row r="126">
      <c r="A126" s="2" t="n"/>
      <c r="B126">
        <f>LOWER(TRIM(A126))</f>
        <v/>
      </c>
      <c r="C126">
        <f>IF(B126="","",IFERROR(INDEX('Bad Patterns'!$A$2:$A$120,MATCH(1,INDEX(--ISNUMBER(SEARCH('Bad Patterns'!$A$2:$A$120,B126)),0),0)),""))</f>
        <v/>
      </c>
      <c r="D126">
        <f>IF(B126="","",IF(C126&lt;&gt;"","REMOVE","KEEP"))</f>
        <v/>
      </c>
      <c r="E126">
        <f>IF(D126&lt;&gt;"KEEP","",IF(RIGHT(B126,10)="@gmail.com","Gmail",IF(OR(RIGHT(B126,12)="@outlook.com",RIGHT(B126,12)="@hotmail.com",RIGHT(B126,9)="@live.com"),"Outlook","Domain")))</f>
        <v/>
      </c>
      <c r="F126">
        <f>IF(B126="","",IFERROR(RIGHT(B126,LEN(B126)-FIND("@",B126)),""))</f>
        <v/>
      </c>
      <c r="G126">
        <f>IF(D126="KEEP",COUNTIF($D$2:D126,"KEEP"),"")</f>
        <v/>
      </c>
      <c r="H126">
        <f>IF(D126="REMOVE",COUNTIF($D$2:D126,"REMOVE"),"")</f>
        <v/>
      </c>
      <c r="I126">
        <f>IF(E126="Gmail",COUNTIF($E$2:E126,"Gmail"),"")</f>
        <v/>
      </c>
      <c r="J126">
        <f>IF(E126="Outlook",COUNTIF($E$2:E126,"Outlook"),"")</f>
        <v/>
      </c>
      <c r="K126">
        <f>IF(E126="Domain",COUNTIF($E$2:E126,"Domain"),"")</f>
        <v/>
      </c>
    </row>
    <row r="127">
      <c r="A127" s="2" t="n"/>
      <c r="B127">
        <f>LOWER(TRIM(A127))</f>
        <v/>
      </c>
      <c r="C127">
        <f>IF(B127="","",IFERROR(INDEX('Bad Patterns'!$A$2:$A$120,MATCH(1,INDEX(--ISNUMBER(SEARCH('Bad Patterns'!$A$2:$A$120,B127)),0),0)),""))</f>
        <v/>
      </c>
      <c r="D127">
        <f>IF(B127="","",IF(C127&lt;&gt;"","REMOVE","KEEP"))</f>
        <v/>
      </c>
      <c r="E127">
        <f>IF(D127&lt;&gt;"KEEP","",IF(RIGHT(B127,10)="@gmail.com","Gmail",IF(OR(RIGHT(B127,12)="@outlook.com",RIGHT(B127,12)="@hotmail.com",RIGHT(B127,9)="@live.com"),"Outlook","Domain")))</f>
        <v/>
      </c>
      <c r="F127">
        <f>IF(B127="","",IFERROR(RIGHT(B127,LEN(B127)-FIND("@",B127)),""))</f>
        <v/>
      </c>
      <c r="G127">
        <f>IF(D127="KEEP",COUNTIF($D$2:D127,"KEEP"),"")</f>
        <v/>
      </c>
      <c r="H127">
        <f>IF(D127="REMOVE",COUNTIF($D$2:D127,"REMOVE"),"")</f>
        <v/>
      </c>
      <c r="I127">
        <f>IF(E127="Gmail",COUNTIF($E$2:E127,"Gmail"),"")</f>
        <v/>
      </c>
      <c r="J127">
        <f>IF(E127="Outlook",COUNTIF($E$2:E127,"Outlook"),"")</f>
        <v/>
      </c>
      <c r="K127">
        <f>IF(E127="Domain",COUNTIF($E$2:E127,"Domain"),"")</f>
        <v/>
      </c>
    </row>
    <row r="128">
      <c r="A128" s="2" t="n"/>
      <c r="B128">
        <f>LOWER(TRIM(A128))</f>
        <v/>
      </c>
      <c r="C128">
        <f>IF(B128="","",IFERROR(INDEX('Bad Patterns'!$A$2:$A$120,MATCH(1,INDEX(--ISNUMBER(SEARCH('Bad Patterns'!$A$2:$A$120,B128)),0),0)),""))</f>
        <v/>
      </c>
      <c r="D128">
        <f>IF(B128="","",IF(C128&lt;&gt;"","REMOVE","KEEP"))</f>
        <v/>
      </c>
      <c r="E128">
        <f>IF(D128&lt;&gt;"KEEP","",IF(RIGHT(B128,10)="@gmail.com","Gmail",IF(OR(RIGHT(B128,12)="@outlook.com",RIGHT(B128,12)="@hotmail.com",RIGHT(B128,9)="@live.com"),"Outlook","Domain")))</f>
        <v/>
      </c>
      <c r="F128">
        <f>IF(B128="","",IFERROR(RIGHT(B128,LEN(B128)-FIND("@",B128)),""))</f>
        <v/>
      </c>
      <c r="G128">
        <f>IF(D128="KEEP",COUNTIF($D$2:D128,"KEEP"),"")</f>
        <v/>
      </c>
      <c r="H128">
        <f>IF(D128="REMOVE",COUNTIF($D$2:D128,"REMOVE"),"")</f>
        <v/>
      </c>
      <c r="I128">
        <f>IF(E128="Gmail",COUNTIF($E$2:E128,"Gmail"),"")</f>
        <v/>
      </c>
      <c r="J128">
        <f>IF(E128="Outlook",COUNTIF($E$2:E128,"Outlook"),"")</f>
        <v/>
      </c>
      <c r="K128">
        <f>IF(E128="Domain",COUNTIF($E$2:E128,"Domain"),"")</f>
        <v/>
      </c>
    </row>
    <row r="129">
      <c r="A129" s="2" t="n"/>
      <c r="B129">
        <f>LOWER(TRIM(A129))</f>
        <v/>
      </c>
      <c r="C129">
        <f>IF(B129="","",IFERROR(INDEX('Bad Patterns'!$A$2:$A$120,MATCH(1,INDEX(--ISNUMBER(SEARCH('Bad Patterns'!$A$2:$A$120,B129)),0),0)),""))</f>
        <v/>
      </c>
      <c r="D129">
        <f>IF(B129="","",IF(C129&lt;&gt;"","REMOVE","KEEP"))</f>
        <v/>
      </c>
      <c r="E129">
        <f>IF(D129&lt;&gt;"KEEP","",IF(RIGHT(B129,10)="@gmail.com","Gmail",IF(OR(RIGHT(B129,12)="@outlook.com",RIGHT(B129,12)="@hotmail.com",RIGHT(B129,9)="@live.com"),"Outlook","Domain")))</f>
        <v/>
      </c>
      <c r="F129">
        <f>IF(B129="","",IFERROR(RIGHT(B129,LEN(B129)-FIND("@",B129)),""))</f>
        <v/>
      </c>
      <c r="G129">
        <f>IF(D129="KEEP",COUNTIF($D$2:D129,"KEEP"),"")</f>
        <v/>
      </c>
      <c r="H129">
        <f>IF(D129="REMOVE",COUNTIF($D$2:D129,"REMOVE"),"")</f>
        <v/>
      </c>
      <c r="I129">
        <f>IF(E129="Gmail",COUNTIF($E$2:E129,"Gmail"),"")</f>
        <v/>
      </c>
      <c r="J129">
        <f>IF(E129="Outlook",COUNTIF($E$2:E129,"Outlook"),"")</f>
        <v/>
      </c>
      <c r="K129">
        <f>IF(E129="Domain",COUNTIF($E$2:E129,"Domain"),"")</f>
        <v/>
      </c>
    </row>
    <row r="130">
      <c r="A130" s="2" t="n"/>
      <c r="B130">
        <f>LOWER(TRIM(A130))</f>
        <v/>
      </c>
      <c r="C130">
        <f>IF(B130="","",IFERROR(INDEX('Bad Patterns'!$A$2:$A$120,MATCH(1,INDEX(--ISNUMBER(SEARCH('Bad Patterns'!$A$2:$A$120,B130)),0),0)),""))</f>
        <v/>
      </c>
      <c r="D130">
        <f>IF(B130="","",IF(C130&lt;&gt;"","REMOVE","KEEP"))</f>
        <v/>
      </c>
      <c r="E130">
        <f>IF(D130&lt;&gt;"KEEP","",IF(RIGHT(B130,10)="@gmail.com","Gmail",IF(OR(RIGHT(B130,12)="@outlook.com",RIGHT(B130,12)="@hotmail.com",RIGHT(B130,9)="@live.com"),"Outlook","Domain")))</f>
        <v/>
      </c>
      <c r="F130">
        <f>IF(B130="","",IFERROR(RIGHT(B130,LEN(B130)-FIND("@",B130)),""))</f>
        <v/>
      </c>
      <c r="G130">
        <f>IF(D130="KEEP",COUNTIF($D$2:D130,"KEEP"),"")</f>
        <v/>
      </c>
      <c r="H130">
        <f>IF(D130="REMOVE",COUNTIF($D$2:D130,"REMOVE"),"")</f>
        <v/>
      </c>
      <c r="I130">
        <f>IF(E130="Gmail",COUNTIF($E$2:E130,"Gmail"),"")</f>
        <v/>
      </c>
      <c r="J130">
        <f>IF(E130="Outlook",COUNTIF($E$2:E130,"Outlook"),"")</f>
        <v/>
      </c>
      <c r="K130">
        <f>IF(E130="Domain",COUNTIF($E$2:E130,"Domain"),"")</f>
        <v/>
      </c>
    </row>
    <row r="131">
      <c r="A131" s="2" t="n"/>
      <c r="B131">
        <f>LOWER(TRIM(A131))</f>
        <v/>
      </c>
      <c r="C131">
        <f>IF(B131="","",IFERROR(INDEX('Bad Patterns'!$A$2:$A$120,MATCH(1,INDEX(--ISNUMBER(SEARCH('Bad Patterns'!$A$2:$A$120,B131)),0),0)),""))</f>
        <v/>
      </c>
      <c r="D131">
        <f>IF(B131="","",IF(C131&lt;&gt;"","REMOVE","KEEP"))</f>
        <v/>
      </c>
      <c r="E131">
        <f>IF(D131&lt;&gt;"KEEP","",IF(RIGHT(B131,10)="@gmail.com","Gmail",IF(OR(RIGHT(B131,12)="@outlook.com",RIGHT(B131,12)="@hotmail.com",RIGHT(B131,9)="@live.com"),"Outlook","Domain")))</f>
        <v/>
      </c>
      <c r="F131">
        <f>IF(B131="","",IFERROR(RIGHT(B131,LEN(B131)-FIND("@",B131)),""))</f>
        <v/>
      </c>
      <c r="G131">
        <f>IF(D131="KEEP",COUNTIF($D$2:D131,"KEEP"),"")</f>
        <v/>
      </c>
      <c r="H131">
        <f>IF(D131="REMOVE",COUNTIF($D$2:D131,"REMOVE"),"")</f>
        <v/>
      </c>
      <c r="I131">
        <f>IF(E131="Gmail",COUNTIF($E$2:E131,"Gmail"),"")</f>
        <v/>
      </c>
      <c r="J131">
        <f>IF(E131="Outlook",COUNTIF($E$2:E131,"Outlook"),"")</f>
        <v/>
      </c>
      <c r="K131">
        <f>IF(E131="Domain",COUNTIF($E$2:E131,"Domain"),"")</f>
        <v/>
      </c>
    </row>
    <row r="132">
      <c r="A132" s="2" t="n"/>
      <c r="B132">
        <f>LOWER(TRIM(A132))</f>
        <v/>
      </c>
      <c r="C132">
        <f>IF(B132="","",IFERROR(INDEX('Bad Patterns'!$A$2:$A$120,MATCH(1,INDEX(--ISNUMBER(SEARCH('Bad Patterns'!$A$2:$A$120,B132)),0),0)),""))</f>
        <v/>
      </c>
      <c r="D132">
        <f>IF(B132="","",IF(C132&lt;&gt;"","REMOVE","KEEP"))</f>
        <v/>
      </c>
      <c r="E132">
        <f>IF(D132&lt;&gt;"KEEP","",IF(RIGHT(B132,10)="@gmail.com","Gmail",IF(OR(RIGHT(B132,12)="@outlook.com",RIGHT(B132,12)="@hotmail.com",RIGHT(B132,9)="@live.com"),"Outlook","Domain")))</f>
        <v/>
      </c>
      <c r="F132">
        <f>IF(B132="","",IFERROR(RIGHT(B132,LEN(B132)-FIND("@",B132)),""))</f>
        <v/>
      </c>
      <c r="G132">
        <f>IF(D132="KEEP",COUNTIF($D$2:D132,"KEEP"),"")</f>
        <v/>
      </c>
      <c r="H132">
        <f>IF(D132="REMOVE",COUNTIF($D$2:D132,"REMOVE"),"")</f>
        <v/>
      </c>
      <c r="I132">
        <f>IF(E132="Gmail",COUNTIF($E$2:E132,"Gmail"),"")</f>
        <v/>
      </c>
      <c r="J132">
        <f>IF(E132="Outlook",COUNTIF($E$2:E132,"Outlook"),"")</f>
        <v/>
      </c>
      <c r="K132">
        <f>IF(E132="Domain",COUNTIF($E$2:E132,"Domain"),"")</f>
        <v/>
      </c>
    </row>
    <row r="133">
      <c r="A133" s="2" t="n"/>
      <c r="B133">
        <f>LOWER(TRIM(A133))</f>
        <v/>
      </c>
      <c r="C133">
        <f>IF(B133="","",IFERROR(INDEX('Bad Patterns'!$A$2:$A$120,MATCH(1,INDEX(--ISNUMBER(SEARCH('Bad Patterns'!$A$2:$A$120,B133)),0),0)),""))</f>
        <v/>
      </c>
      <c r="D133">
        <f>IF(B133="","",IF(C133&lt;&gt;"","REMOVE","KEEP"))</f>
        <v/>
      </c>
      <c r="E133">
        <f>IF(D133&lt;&gt;"KEEP","",IF(RIGHT(B133,10)="@gmail.com","Gmail",IF(OR(RIGHT(B133,12)="@outlook.com",RIGHT(B133,12)="@hotmail.com",RIGHT(B133,9)="@live.com"),"Outlook","Domain")))</f>
        <v/>
      </c>
      <c r="F133">
        <f>IF(B133="","",IFERROR(RIGHT(B133,LEN(B133)-FIND("@",B133)),""))</f>
        <v/>
      </c>
      <c r="G133">
        <f>IF(D133="KEEP",COUNTIF($D$2:D133,"KEEP"),"")</f>
        <v/>
      </c>
      <c r="H133">
        <f>IF(D133="REMOVE",COUNTIF($D$2:D133,"REMOVE"),"")</f>
        <v/>
      </c>
      <c r="I133">
        <f>IF(E133="Gmail",COUNTIF($E$2:E133,"Gmail"),"")</f>
        <v/>
      </c>
      <c r="J133">
        <f>IF(E133="Outlook",COUNTIF($E$2:E133,"Outlook"),"")</f>
        <v/>
      </c>
      <c r="K133">
        <f>IF(E133="Domain",COUNTIF($E$2:E133,"Domain"),"")</f>
        <v/>
      </c>
    </row>
    <row r="134">
      <c r="A134" s="2" t="n"/>
      <c r="B134">
        <f>LOWER(TRIM(A134))</f>
        <v/>
      </c>
      <c r="C134">
        <f>IF(B134="","",IFERROR(INDEX('Bad Patterns'!$A$2:$A$120,MATCH(1,INDEX(--ISNUMBER(SEARCH('Bad Patterns'!$A$2:$A$120,B134)),0),0)),""))</f>
        <v/>
      </c>
      <c r="D134">
        <f>IF(B134="","",IF(C134&lt;&gt;"","REMOVE","KEEP"))</f>
        <v/>
      </c>
      <c r="E134">
        <f>IF(D134&lt;&gt;"KEEP","",IF(RIGHT(B134,10)="@gmail.com","Gmail",IF(OR(RIGHT(B134,12)="@outlook.com",RIGHT(B134,12)="@hotmail.com",RIGHT(B134,9)="@live.com"),"Outlook","Domain")))</f>
        <v/>
      </c>
      <c r="F134">
        <f>IF(B134="","",IFERROR(RIGHT(B134,LEN(B134)-FIND("@",B134)),""))</f>
        <v/>
      </c>
      <c r="G134">
        <f>IF(D134="KEEP",COUNTIF($D$2:D134,"KEEP"),"")</f>
        <v/>
      </c>
      <c r="H134">
        <f>IF(D134="REMOVE",COUNTIF($D$2:D134,"REMOVE"),"")</f>
        <v/>
      </c>
      <c r="I134">
        <f>IF(E134="Gmail",COUNTIF($E$2:E134,"Gmail"),"")</f>
        <v/>
      </c>
      <c r="J134">
        <f>IF(E134="Outlook",COUNTIF($E$2:E134,"Outlook"),"")</f>
        <v/>
      </c>
      <c r="K134">
        <f>IF(E134="Domain",COUNTIF($E$2:E134,"Domain"),"")</f>
        <v/>
      </c>
    </row>
    <row r="135">
      <c r="A135" s="2" t="n"/>
      <c r="B135">
        <f>LOWER(TRIM(A135))</f>
        <v/>
      </c>
      <c r="C135">
        <f>IF(B135="","",IFERROR(INDEX('Bad Patterns'!$A$2:$A$120,MATCH(1,INDEX(--ISNUMBER(SEARCH('Bad Patterns'!$A$2:$A$120,B135)),0),0)),""))</f>
        <v/>
      </c>
      <c r="D135">
        <f>IF(B135="","",IF(C135&lt;&gt;"","REMOVE","KEEP"))</f>
        <v/>
      </c>
      <c r="E135">
        <f>IF(D135&lt;&gt;"KEEP","",IF(RIGHT(B135,10)="@gmail.com","Gmail",IF(OR(RIGHT(B135,12)="@outlook.com",RIGHT(B135,12)="@hotmail.com",RIGHT(B135,9)="@live.com"),"Outlook","Domain")))</f>
        <v/>
      </c>
      <c r="F135">
        <f>IF(B135="","",IFERROR(RIGHT(B135,LEN(B135)-FIND("@",B135)),""))</f>
        <v/>
      </c>
      <c r="G135">
        <f>IF(D135="KEEP",COUNTIF($D$2:D135,"KEEP"),"")</f>
        <v/>
      </c>
      <c r="H135">
        <f>IF(D135="REMOVE",COUNTIF($D$2:D135,"REMOVE"),"")</f>
        <v/>
      </c>
      <c r="I135">
        <f>IF(E135="Gmail",COUNTIF($E$2:E135,"Gmail"),"")</f>
        <v/>
      </c>
      <c r="J135">
        <f>IF(E135="Outlook",COUNTIF($E$2:E135,"Outlook"),"")</f>
        <v/>
      </c>
      <c r="K135">
        <f>IF(E135="Domain",COUNTIF($E$2:E135,"Domain"),"")</f>
        <v/>
      </c>
    </row>
    <row r="136">
      <c r="A136" s="2" t="n"/>
      <c r="B136">
        <f>LOWER(TRIM(A136))</f>
        <v/>
      </c>
      <c r="C136">
        <f>IF(B136="","",IFERROR(INDEX('Bad Patterns'!$A$2:$A$120,MATCH(1,INDEX(--ISNUMBER(SEARCH('Bad Patterns'!$A$2:$A$120,B136)),0),0)),""))</f>
        <v/>
      </c>
      <c r="D136">
        <f>IF(B136="","",IF(C136&lt;&gt;"","REMOVE","KEEP"))</f>
        <v/>
      </c>
      <c r="E136">
        <f>IF(D136&lt;&gt;"KEEP","",IF(RIGHT(B136,10)="@gmail.com","Gmail",IF(OR(RIGHT(B136,12)="@outlook.com",RIGHT(B136,12)="@hotmail.com",RIGHT(B136,9)="@live.com"),"Outlook","Domain")))</f>
        <v/>
      </c>
      <c r="F136">
        <f>IF(B136="","",IFERROR(RIGHT(B136,LEN(B136)-FIND("@",B136)),""))</f>
        <v/>
      </c>
      <c r="G136">
        <f>IF(D136="KEEP",COUNTIF($D$2:D136,"KEEP"),"")</f>
        <v/>
      </c>
      <c r="H136">
        <f>IF(D136="REMOVE",COUNTIF($D$2:D136,"REMOVE"),"")</f>
        <v/>
      </c>
      <c r="I136">
        <f>IF(E136="Gmail",COUNTIF($E$2:E136,"Gmail"),"")</f>
        <v/>
      </c>
      <c r="J136">
        <f>IF(E136="Outlook",COUNTIF($E$2:E136,"Outlook"),"")</f>
        <v/>
      </c>
      <c r="K136">
        <f>IF(E136="Domain",COUNTIF($E$2:E136,"Domain"),"")</f>
        <v/>
      </c>
    </row>
    <row r="137">
      <c r="A137" s="2" t="n"/>
      <c r="B137">
        <f>LOWER(TRIM(A137))</f>
        <v/>
      </c>
      <c r="C137">
        <f>IF(B137="","",IFERROR(INDEX('Bad Patterns'!$A$2:$A$120,MATCH(1,INDEX(--ISNUMBER(SEARCH('Bad Patterns'!$A$2:$A$120,B137)),0),0)),""))</f>
        <v/>
      </c>
      <c r="D137">
        <f>IF(B137="","",IF(C137&lt;&gt;"","REMOVE","KEEP"))</f>
        <v/>
      </c>
      <c r="E137">
        <f>IF(D137&lt;&gt;"KEEP","",IF(RIGHT(B137,10)="@gmail.com","Gmail",IF(OR(RIGHT(B137,12)="@outlook.com",RIGHT(B137,12)="@hotmail.com",RIGHT(B137,9)="@live.com"),"Outlook","Domain")))</f>
        <v/>
      </c>
      <c r="F137">
        <f>IF(B137="","",IFERROR(RIGHT(B137,LEN(B137)-FIND("@",B137)),""))</f>
        <v/>
      </c>
      <c r="G137">
        <f>IF(D137="KEEP",COUNTIF($D$2:D137,"KEEP"),"")</f>
        <v/>
      </c>
      <c r="H137">
        <f>IF(D137="REMOVE",COUNTIF($D$2:D137,"REMOVE"),"")</f>
        <v/>
      </c>
      <c r="I137">
        <f>IF(E137="Gmail",COUNTIF($E$2:E137,"Gmail"),"")</f>
        <v/>
      </c>
      <c r="J137">
        <f>IF(E137="Outlook",COUNTIF($E$2:E137,"Outlook"),"")</f>
        <v/>
      </c>
      <c r="K137">
        <f>IF(E137="Domain",COUNTIF($E$2:E137,"Domain"),"")</f>
        <v/>
      </c>
    </row>
    <row r="138">
      <c r="A138" s="2" t="n"/>
      <c r="B138">
        <f>LOWER(TRIM(A138))</f>
        <v/>
      </c>
      <c r="C138">
        <f>IF(B138="","",IFERROR(INDEX('Bad Patterns'!$A$2:$A$120,MATCH(1,INDEX(--ISNUMBER(SEARCH('Bad Patterns'!$A$2:$A$120,B138)),0),0)),""))</f>
        <v/>
      </c>
      <c r="D138">
        <f>IF(B138="","",IF(C138&lt;&gt;"","REMOVE","KEEP"))</f>
        <v/>
      </c>
      <c r="E138">
        <f>IF(D138&lt;&gt;"KEEP","",IF(RIGHT(B138,10)="@gmail.com","Gmail",IF(OR(RIGHT(B138,12)="@outlook.com",RIGHT(B138,12)="@hotmail.com",RIGHT(B138,9)="@live.com"),"Outlook","Domain")))</f>
        <v/>
      </c>
      <c r="F138">
        <f>IF(B138="","",IFERROR(RIGHT(B138,LEN(B138)-FIND("@",B138)),""))</f>
        <v/>
      </c>
      <c r="G138">
        <f>IF(D138="KEEP",COUNTIF($D$2:D138,"KEEP"),"")</f>
        <v/>
      </c>
      <c r="H138">
        <f>IF(D138="REMOVE",COUNTIF($D$2:D138,"REMOVE"),"")</f>
        <v/>
      </c>
      <c r="I138">
        <f>IF(E138="Gmail",COUNTIF($E$2:E138,"Gmail"),"")</f>
        <v/>
      </c>
      <c r="J138">
        <f>IF(E138="Outlook",COUNTIF($E$2:E138,"Outlook"),"")</f>
        <v/>
      </c>
      <c r="K138">
        <f>IF(E138="Domain",COUNTIF($E$2:E138,"Domain"),"")</f>
        <v/>
      </c>
    </row>
    <row r="139">
      <c r="A139" s="2" t="n"/>
      <c r="B139">
        <f>LOWER(TRIM(A139))</f>
        <v/>
      </c>
      <c r="C139">
        <f>IF(B139="","",IFERROR(INDEX('Bad Patterns'!$A$2:$A$120,MATCH(1,INDEX(--ISNUMBER(SEARCH('Bad Patterns'!$A$2:$A$120,B139)),0),0)),""))</f>
        <v/>
      </c>
      <c r="D139">
        <f>IF(B139="","",IF(C139&lt;&gt;"","REMOVE","KEEP"))</f>
        <v/>
      </c>
      <c r="E139">
        <f>IF(D139&lt;&gt;"KEEP","",IF(RIGHT(B139,10)="@gmail.com","Gmail",IF(OR(RIGHT(B139,12)="@outlook.com",RIGHT(B139,12)="@hotmail.com",RIGHT(B139,9)="@live.com"),"Outlook","Domain")))</f>
        <v/>
      </c>
      <c r="F139">
        <f>IF(B139="","",IFERROR(RIGHT(B139,LEN(B139)-FIND("@",B139)),""))</f>
        <v/>
      </c>
      <c r="G139">
        <f>IF(D139="KEEP",COUNTIF($D$2:D139,"KEEP"),"")</f>
        <v/>
      </c>
      <c r="H139">
        <f>IF(D139="REMOVE",COUNTIF($D$2:D139,"REMOVE"),"")</f>
        <v/>
      </c>
      <c r="I139">
        <f>IF(E139="Gmail",COUNTIF($E$2:E139,"Gmail"),"")</f>
        <v/>
      </c>
      <c r="J139">
        <f>IF(E139="Outlook",COUNTIF($E$2:E139,"Outlook"),"")</f>
        <v/>
      </c>
      <c r="K139">
        <f>IF(E139="Domain",COUNTIF($E$2:E139,"Domain"),"")</f>
        <v/>
      </c>
    </row>
    <row r="140">
      <c r="A140" s="2" t="n"/>
      <c r="B140">
        <f>LOWER(TRIM(A140))</f>
        <v/>
      </c>
      <c r="C140">
        <f>IF(B140="","",IFERROR(INDEX('Bad Patterns'!$A$2:$A$120,MATCH(1,INDEX(--ISNUMBER(SEARCH('Bad Patterns'!$A$2:$A$120,B140)),0),0)),""))</f>
        <v/>
      </c>
      <c r="D140">
        <f>IF(B140="","",IF(C140&lt;&gt;"","REMOVE","KEEP"))</f>
        <v/>
      </c>
      <c r="E140">
        <f>IF(D140&lt;&gt;"KEEP","",IF(RIGHT(B140,10)="@gmail.com","Gmail",IF(OR(RIGHT(B140,12)="@outlook.com",RIGHT(B140,12)="@hotmail.com",RIGHT(B140,9)="@live.com"),"Outlook","Domain")))</f>
        <v/>
      </c>
      <c r="F140">
        <f>IF(B140="","",IFERROR(RIGHT(B140,LEN(B140)-FIND("@",B140)),""))</f>
        <v/>
      </c>
      <c r="G140">
        <f>IF(D140="KEEP",COUNTIF($D$2:D140,"KEEP"),"")</f>
        <v/>
      </c>
      <c r="H140">
        <f>IF(D140="REMOVE",COUNTIF($D$2:D140,"REMOVE"),"")</f>
        <v/>
      </c>
      <c r="I140">
        <f>IF(E140="Gmail",COUNTIF($E$2:E140,"Gmail"),"")</f>
        <v/>
      </c>
      <c r="J140">
        <f>IF(E140="Outlook",COUNTIF($E$2:E140,"Outlook"),"")</f>
        <v/>
      </c>
      <c r="K140">
        <f>IF(E140="Domain",COUNTIF($E$2:E140,"Domain"),"")</f>
        <v/>
      </c>
    </row>
    <row r="141">
      <c r="A141" s="2" t="n"/>
      <c r="B141">
        <f>LOWER(TRIM(A141))</f>
        <v/>
      </c>
      <c r="C141">
        <f>IF(B141="","",IFERROR(INDEX('Bad Patterns'!$A$2:$A$120,MATCH(1,INDEX(--ISNUMBER(SEARCH('Bad Patterns'!$A$2:$A$120,B141)),0),0)),""))</f>
        <v/>
      </c>
      <c r="D141">
        <f>IF(B141="","",IF(C141&lt;&gt;"","REMOVE","KEEP"))</f>
        <v/>
      </c>
      <c r="E141">
        <f>IF(D141&lt;&gt;"KEEP","",IF(RIGHT(B141,10)="@gmail.com","Gmail",IF(OR(RIGHT(B141,12)="@outlook.com",RIGHT(B141,12)="@hotmail.com",RIGHT(B141,9)="@live.com"),"Outlook","Domain")))</f>
        <v/>
      </c>
      <c r="F141">
        <f>IF(B141="","",IFERROR(RIGHT(B141,LEN(B141)-FIND("@",B141)),""))</f>
        <v/>
      </c>
      <c r="G141">
        <f>IF(D141="KEEP",COUNTIF($D$2:D141,"KEEP"),"")</f>
        <v/>
      </c>
      <c r="H141">
        <f>IF(D141="REMOVE",COUNTIF($D$2:D141,"REMOVE"),"")</f>
        <v/>
      </c>
      <c r="I141">
        <f>IF(E141="Gmail",COUNTIF($E$2:E141,"Gmail"),"")</f>
        <v/>
      </c>
      <c r="J141">
        <f>IF(E141="Outlook",COUNTIF($E$2:E141,"Outlook"),"")</f>
        <v/>
      </c>
      <c r="K141">
        <f>IF(E141="Domain",COUNTIF($E$2:E141,"Domain"),"")</f>
        <v/>
      </c>
    </row>
    <row r="142">
      <c r="A142" s="2" t="n"/>
      <c r="B142">
        <f>LOWER(TRIM(A142))</f>
        <v/>
      </c>
      <c r="C142">
        <f>IF(B142="","",IFERROR(INDEX('Bad Patterns'!$A$2:$A$120,MATCH(1,INDEX(--ISNUMBER(SEARCH('Bad Patterns'!$A$2:$A$120,B142)),0),0)),""))</f>
        <v/>
      </c>
      <c r="D142">
        <f>IF(B142="","",IF(C142&lt;&gt;"","REMOVE","KEEP"))</f>
        <v/>
      </c>
      <c r="E142">
        <f>IF(D142&lt;&gt;"KEEP","",IF(RIGHT(B142,10)="@gmail.com","Gmail",IF(OR(RIGHT(B142,12)="@outlook.com",RIGHT(B142,12)="@hotmail.com",RIGHT(B142,9)="@live.com"),"Outlook","Domain")))</f>
        <v/>
      </c>
      <c r="F142">
        <f>IF(B142="","",IFERROR(RIGHT(B142,LEN(B142)-FIND("@",B142)),""))</f>
        <v/>
      </c>
      <c r="G142">
        <f>IF(D142="KEEP",COUNTIF($D$2:D142,"KEEP"),"")</f>
        <v/>
      </c>
      <c r="H142">
        <f>IF(D142="REMOVE",COUNTIF($D$2:D142,"REMOVE"),"")</f>
        <v/>
      </c>
      <c r="I142">
        <f>IF(E142="Gmail",COUNTIF($E$2:E142,"Gmail"),"")</f>
        <v/>
      </c>
      <c r="J142">
        <f>IF(E142="Outlook",COUNTIF($E$2:E142,"Outlook"),"")</f>
        <v/>
      </c>
      <c r="K142">
        <f>IF(E142="Domain",COUNTIF($E$2:E142,"Domain"),"")</f>
        <v/>
      </c>
    </row>
    <row r="143">
      <c r="A143" s="2" t="n"/>
      <c r="B143">
        <f>LOWER(TRIM(A143))</f>
        <v/>
      </c>
      <c r="C143">
        <f>IF(B143="","",IFERROR(INDEX('Bad Patterns'!$A$2:$A$120,MATCH(1,INDEX(--ISNUMBER(SEARCH('Bad Patterns'!$A$2:$A$120,B143)),0),0)),""))</f>
        <v/>
      </c>
      <c r="D143">
        <f>IF(B143="","",IF(C143&lt;&gt;"","REMOVE","KEEP"))</f>
        <v/>
      </c>
      <c r="E143">
        <f>IF(D143&lt;&gt;"KEEP","",IF(RIGHT(B143,10)="@gmail.com","Gmail",IF(OR(RIGHT(B143,12)="@outlook.com",RIGHT(B143,12)="@hotmail.com",RIGHT(B143,9)="@live.com"),"Outlook","Domain")))</f>
        <v/>
      </c>
      <c r="F143">
        <f>IF(B143="","",IFERROR(RIGHT(B143,LEN(B143)-FIND("@",B143)),""))</f>
        <v/>
      </c>
      <c r="G143">
        <f>IF(D143="KEEP",COUNTIF($D$2:D143,"KEEP"),"")</f>
        <v/>
      </c>
      <c r="H143">
        <f>IF(D143="REMOVE",COUNTIF($D$2:D143,"REMOVE"),"")</f>
        <v/>
      </c>
      <c r="I143">
        <f>IF(E143="Gmail",COUNTIF($E$2:E143,"Gmail"),"")</f>
        <v/>
      </c>
      <c r="J143">
        <f>IF(E143="Outlook",COUNTIF($E$2:E143,"Outlook"),"")</f>
        <v/>
      </c>
      <c r="K143">
        <f>IF(E143="Domain",COUNTIF($E$2:E143,"Domain"),"")</f>
        <v/>
      </c>
    </row>
    <row r="144">
      <c r="A144" s="2" t="n"/>
      <c r="B144">
        <f>LOWER(TRIM(A144))</f>
        <v/>
      </c>
      <c r="C144">
        <f>IF(B144="","",IFERROR(INDEX('Bad Patterns'!$A$2:$A$120,MATCH(1,INDEX(--ISNUMBER(SEARCH('Bad Patterns'!$A$2:$A$120,B144)),0),0)),""))</f>
        <v/>
      </c>
      <c r="D144">
        <f>IF(B144="","",IF(C144&lt;&gt;"","REMOVE","KEEP"))</f>
        <v/>
      </c>
      <c r="E144">
        <f>IF(D144&lt;&gt;"KEEP","",IF(RIGHT(B144,10)="@gmail.com","Gmail",IF(OR(RIGHT(B144,12)="@outlook.com",RIGHT(B144,12)="@hotmail.com",RIGHT(B144,9)="@live.com"),"Outlook","Domain")))</f>
        <v/>
      </c>
      <c r="F144">
        <f>IF(B144="","",IFERROR(RIGHT(B144,LEN(B144)-FIND("@",B144)),""))</f>
        <v/>
      </c>
      <c r="G144">
        <f>IF(D144="KEEP",COUNTIF($D$2:D144,"KEEP"),"")</f>
        <v/>
      </c>
      <c r="H144">
        <f>IF(D144="REMOVE",COUNTIF($D$2:D144,"REMOVE"),"")</f>
        <v/>
      </c>
      <c r="I144">
        <f>IF(E144="Gmail",COUNTIF($E$2:E144,"Gmail"),"")</f>
        <v/>
      </c>
      <c r="J144">
        <f>IF(E144="Outlook",COUNTIF($E$2:E144,"Outlook"),"")</f>
        <v/>
      </c>
      <c r="K144">
        <f>IF(E144="Domain",COUNTIF($E$2:E144,"Domain"),"")</f>
        <v/>
      </c>
    </row>
    <row r="145">
      <c r="A145" s="2" t="n"/>
      <c r="B145">
        <f>LOWER(TRIM(A145))</f>
        <v/>
      </c>
      <c r="C145">
        <f>IF(B145="","",IFERROR(INDEX('Bad Patterns'!$A$2:$A$120,MATCH(1,INDEX(--ISNUMBER(SEARCH('Bad Patterns'!$A$2:$A$120,B145)),0),0)),""))</f>
        <v/>
      </c>
      <c r="D145">
        <f>IF(B145="","",IF(C145&lt;&gt;"","REMOVE","KEEP"))</f>
        <v/>
      </c>
      <c r="E145">
        <f>IF(D145&lt;&gt;"KEEP","",IF(RIGHT(B145,10)="@gmail.com","Gmail",IF(OR(RIGHT(B145,12)="@outlook.com",RIGHT(B145,12)="@hotmail.com",RIGHT(B145,9)="@live.com"),"Outlook","Domain")))</f>
        <v/>
      </c>
      <c r="F145">
        <f>IF(B145="","",IFERROR(RIGHT(B145,LEN(B145)-FIND("@",B145)),""))</f>
        <v/>
      </c>
      <c r="G145">
        <f>IF(D145="KEEP",COUNTIF($D$2:D145,"KEEP"),"")</f>
        <v/>
      </c>
      <c r="H145">
        <f>IF(D145="REMOVE",COUNTIF($D$2:D145,"REMOVE"),"")</f>
        <v/>
      </c>
      <c r="I145">
        <f>IF(E145="Gmail",COUNTIF($E$2:E145,"Gmail"),"")</f>
        <v/>
      </c>
      <c r="J145">
        <f>IF(E145="Outlook",COUNTIF($E$2:E145,"Outlook"),"")</f>
        <v/>
      </c>
      <c r="K145">
        <f>IF(E145="Domain",COUNTIF($E$2:E145,"Domain"),"")</f>
        <v/>
      </c>
    </row>
    <row r="146">
      <c r="A146" s="2" t="n"/>
      <c r="B146">
        <f>LOWER(TRIM(A146))</f>
        <v/>
      </c>
      <c r="C146">
        <f>IF(B146="","",IFERROR(INDEX('Bad Patterns'!$A$2:$A$120,MATCH(1,INDEX(--ISNUMBER(SEARCH('Bad Patterns'!$A$2:$A$120,B146)),0),0)),""))</f>
        <v/>
      </c>
      <c r="D146">
        <f>IF(B146="","",IF(C146&lt;&gt;"","REMOVE","KEEP"))</f>
        <v/>
      </c>
      <c r="E146">
        <f>IF(D146&lt;&gt;"KEEP","",IF(RIGHT(B146,10)="@gmail.com","Gmail",IF(OR(RIGHT(B146,12)="@outlook.com",RIGHT(B146,12)="@hotmail.com",RIGHT(B146,9)="@live.com"),"Outlook","Domain")))</f>
        <v/>
      </c>
      <c r="F146">
        <f>IF(B146="","",IFERROR(RIGHT(B146,LEN(B146)-FIND("@",B146)),""))</f>
        <v/>
      </c>
      <c r="G146">
        <f>IF(D146="KEEP",COUNTIF($D$2:D146,"KEEP"),"")</f>
        <v/>
      </c>
      <c r="H146">
        <f>IF(D146="REMOVE",COUNTIF($D$2:D146,"REMOVE"),"")</f>
        <v/>
      </c>
      <c r="I146">
        <f>IF(E146="Gmail",COUNTIF($E$2:E146,"Gmail"),"")</f>
        <v/>
      </c>
      <c r="J146">
        <f>IF(E146="Outlook",COUNTIF($E$2:E146,"Outlook"),"")</f>
        <v/>
      </c>
      <c r="K146">
        <f>IF(E146="Domain",COUNTIF($E$2:E146,"Domain"),"")</f>
        <v/>
      </c>
    </row>
    <row r="147">
      <c r="A147" s="2" t="n"/>
      <c r="B147">
        <f>LOWER(TRIM(A147))</f>
        <v/>
      </c>
      <c r="C147">
        <f>IF(B147="","",IFERROR(INDEX('Bad Patterns'!$A$2:$A$120,MATCH(1,INDEX(--ISNUMBER(SEARCH('Bad Patterns'!$A$2:$A$120,B147)),0),0)),""))</f>
        <v/>
      </c>
      <c r="D147">
        <f>IF(B147="","",IF(C147&lt;&gt;"","REMOVE","KEEP"))</f>
        <v/>
      </c>
      <c r="E147">
        <f>IF(D147&lt;&gt;"KEEP","",IF(RIGHT(B147,10)="@gmail.com","Gmail",IF(OR(RIGHT(B147,12)="@outlook.com",RIGHT(B147,12)="@hotmail.com",RIGHT(B147,9)="@live.com"),"Outlook","Domain")))</f>
        <v/>
      </c>
      <c r="F147">
        <f>IF(B147="","",IFERROR(RIGHT(B147,LEN(B147)-FIND("@",B147)),""))</f>
        <v/>
      </c>
      <c r="G147">
        <f>IF(D147="KEEP",COUNTIF($D$2:D147,"KEEP"),"")</f>
        <v/>
      </c>
      <c r="H147">
        <f>IF(D147="REMOVE",COUNTIF($D$2:D147,"REMOVE"),"")</f>
        <v/>
      </c>
      <c r="I147">
        <f>IF(E147="Gmail",COUNTIF($E$2:E147,"Gmail"),"")</f>
        <v/>
      </c>
      <c r="J147">
        <f>IF(E147="Outlook",COUNTIF($E$2:E147,"Outlook"),"")</f>
        <v/>
      </c>
      <c r="K147">
        <f>IF(E147="Domain",COUNTIF($E$2:E147,"Domain"),"")</f>
        <v/>
      </c>
    </row>
    <row r="148">
      <c r="A148" s="2" t="n"/>
      <c r="B148">
        <f>LOWER(TRIM(A148))</f>
        <v/>
      </c>
      <c r="C148">
        <f>IF(B148="","",IFERROR(INDEX('Bad Patterns'!$A$2:$A$120,MATCH(1,INDEX(--ISNUMBER(SEARCH('Bad Patterns'!$A$2:$A$120,B148)),0),0)),""))</f>
        <v/>
      </c>
      <c r="D148">
        <f>IF(B148="","",IF(C148&lt;&gt;"","REMOVE","KEEP"))</f>
        <v/>
      </c>
      <c r="E148">
        <f>IF(D148&lt;&gt;"KEEP","",IF(RIGHT(B148,10)="@gmail.com","Gmail",IF(OR(RIGHT(B148,12)="@outlook.com",RIGHT(B148,12)="@hotmail.com",RIGHT(B148,9)="@live.com"),"Outlook","Domain")))</f>
        <v/>
      </c>
      <c r="F148">
        <f>IF(B148="","",IFERROR(RIGHT(B148,LEN(B148)-FIND("@",B148)),""))</f>
        <v/>
      </c>
      <c r="G148">
        <f>IF(D148="KEEP",COUNTIF($D$2:D148,"KEEP"),"")</f>
        <v/>
      </c>
      <c r="H148">
        <f>IF(D148="REMOVE",COUNTIF($D$2:D148,"REMOVE"),"")</f>
        <v/>
      </c>
      <c r="I148">
        <f>IF(E148="Gmail",COUNTIF($E$2:E148,"Gmail"),"")</f>
        <v/>
      </c>
      <c r="J148">
        <f>IF(E148="Outlook",COUNTIF($E$2:E148,"Outlook"),"")</f>
        <v/>
      </c>
      <c r="K148">
        <f>IF(E148="Domain",COUNTIF($E$2:E148,"Domain"),"")</f>
        <v/>
      </c>
    </row>
    <row r="149">
      <c r="A149" s="2" t="n"/>
      <c r="B149">
        <f>LOWER(TRIM(A149))</f>
        <v/>
      </c>
      <c r="C149">
        <f>IF(B149="","",IFERROR(INDEX('Bad Patterns'!$A$2:$A$120,MATCH(1,INDEX(--ISNUMBER(SEARCH('Bad Patterns'!$A$2:$A$120,B149)),0),0)),""))</f>
        <v/>
      </c>
      <c r="D149">
        <f>IF(B149="","",IF(C149&lt;&gt;"","REMOVE","KEEP"))</f>
        <v/>
      </c>
      <c r="E149">
        <f>IF(D149&lt;&gt;"KEEP","",IF(RIGHT(B149,10)="@gmail.com","Gmail",IF(OR(RIGHT(B149,12)="@outlook.com",RIGHT(B149,12)="@hotmail.com",RIGHT(B149,9)="@live.com"),"Outlook","Domain")))</f>
        <v/>
      </c>
      <c r="F149">
        <f>IF(B149="","",IFERROR(RIGHT(B149,LEN(B149)-FIND("@",B149)),""))</f>
        <v/>
      </c>
      <c r="G149">
        <f>IF(D149="KEEP",COUNTIF($D$2:D149,"KEEP"),"")</f>
        <v/>
      </c>
      <c r="H149">
        <f>IF(D149="REMOVE",COUNTIF($D$2:D149,"REMOVE"),"")</f>
        <v/>
      </c>
      <c r="I149">
        <f>IF(E149="Gmail",COUNTIF($E$2:E149,"Gmail"),"")</f>
        <v/>
      </c>
      <c r="J149">
        <f>IF(E149="Outlook",COUNTIF($E$2:E149,"Outlook"),"")</f>
        <v/>
      </c>
      <c r="K149">
        <f>IF(E149="Domain",COUNTIF($E$2:E149,"Domain"),"")</f>
        <v/>
      </c>
    </row>
    <row r="150">
      <c r="A150" s="2" t="n"/>
      <c r="B150">
        <f>LOWER(TRIM(A150))</f>
        <v/>
      </c>
      <c r="C150">
        <f>IF(B150="","",IFERROR(INDEX('Bad Patterns'!$A$2:$A$120,MATCH(1,INDEX(--ISNUMBER(SEARCH('Bad Patterns'!$A$2:$A$120,B150)),0),0)),""))</f>
        <v/>
      </c>
      <c r="D150">
        <f>IF(B150="","",IF(C150&lt;&gt;"","REMOVE","KEEP"))</f>
        <v/>
      </c>
      <c r="E150">
        <f>IF(D150&lt;&gt;"KEEP","",IF(RIGHT(B150,10)="@gmail.com","Gmail",IF(OR(RIGHT(B150,12)="@outlook.com",RIGHT(B150,12)="@hotmail.com",RIGHT(B150,9)="@live.com"),"Outlook","Domain")))</f>
        <v/>
      </c>
      <c r="F150">
        <f>IF(B150="","",IFERROR(RIGHT(B150,LEN(B150)-FIND("@",B150)),""))</f>
        <v/>
      </c>
      <c r="G150">
        <f>IF(D150="KEEP",COUNTIF($D$2:D150,"KEEP"),"")</f>
        <v/>
      </c>
      <c r="H150">
        <f>IF(D150="REMOVE",COUNTIF($D$2:D150,"REMOVE"),"")</f>
        <v/>
      </c>
      <c r="I150">
        <f>IF(E150="Gmail",COUNTIF($E$2:E150,"Gmail"),"")</f>
        <v/>
      </c>
      <c r="J150">
        <f>IF(E150="Outlook",COUNTIF($E$2:E150,"Outlook"),"")</f>
        <v/>
      </c>
      <c r="K150">
        <f>IF(E150="Domain",COUNTIF($E$2:E150,"Domain"),"")</f>
        <v/>
      </c>
    </row>
    <row r="151">
      <c r="A151" s="2" t="n"/>
      <c r="B151">
        <f>LOWER(TRIM(A151))</f>
        <v/>
      </c>
      <c r="C151">
        <f>IF(B151="","",IFERROR(INDEX('Bad Patterns'!$A$2:$A$120,MATCH(1,INDEX(--ISNUMBER(SEARCH('Bad Patterns'!$A$2:$A$120,B151)),0),0)),""))</f>
        <v/>
      </c>
      <c r="D151">
        <f>IF(B151="","",IF(C151&lt;&gt;"","REMOVE","KEEP"))</f>
        <v/>
      </c>
      <c r="E151">
        <f>IF(D151&lt;&gt;"KEEP","",IF(RIGHT(B151,10)="@gmail.com","Gmail",IF(OR(RIGHT(B151,12)="@outlook.com",RIGHT(B151,12)="@hotmail.com",RIGHT(B151,9)="@live.com"),"Outlook","Domain")))</f>
        <v/>
      </c>
      <c r="F151">
        <f>IF(B151="","",IFERROR(RIGHT(B151,LEN(B151)-FIND("@",B151)),""))</f>
        <v/>
      </c>
      <c r="G151">
        <f>IF(D151="KEEP",COUNTIF($D$2:D151,"KEEP"),"")</f>
        <v/>
      </c>
      <c r="H151">
        <f>IF(D151="REMOVE",COUNTIF($D$2:D151,"REMOVE"),"")</f>
        <v/>
      </c>
      <c r="I151">
        <f>IF(E151="Gmail",COUNTIF($E$2:E151,"Gmail"),"")</f>
        <v/>
      </c>
      <c r="J151">
        <f>IF(E151="Outlook",COUNTIF($E$2:E151,"Outlook"),"")</f>
        <v/>
      </c>
      <c r="K151">
        <f>IF(E151="Domain",COUNTIF($E$2:E151,"Domain"),"")</f>
        <v/>
      </c>
    </row>
    <row r="152">
      <c r="A152" s="2" t="n"/>
      <c r="B152">
        <f>LOWER(TRIM(A152))</f>
        <v/>
      </c>
      <c r="C152">
        <f>IF(B152="","",IFERROR(INDEX('Bad Patterns'!$A$2:$A$120,MATCH(1,INDEX(--ISNUMBER(SEARCH('Bad Patterns'!$A$2:$A$120,B152)),0),0)),""))</f>
        <v/>
      </c>
      <c r="D152">
        <f>IF(B152="","",IF(C152&lt;&gt;"","REMOVE","KEEP"))</f>
        <v/>
      </c>
      <c r="E152">
        <f>IF(D152&lt;&gt;"KEEP","",IF(RIGHT(B152,10)="@gmail.com","Gmail",IF(OR(RIGHT(B152,12)="@outlook.com",RIGHT(B152,12)="@hotmail.com",RIGHT(B152,9)="@live.com"),"Outlook","Domain")))</f>
        <v/>
      </c>
      <c r="F152">
        <f>IF(B152="","",IFERROR(RIGHT(B152,LEN(B152)-FIND("@",B152)),""))</f>
        <v/>
      </c>
      <c r="G152">
        <f>IF(D152="KEEP",COUNTIF($D$2:D152,"KEEP"),"")</f>
        <v/>
      </c>
      <c r="H152">
        <f>IF(D152="REMOVE",COUNTIF($D$2:D152,"REMOVE"),"")</f>
        <v/>
      </c>
      <c r="I152">
        <f>IF(E152="Gmail",COUNTIF($E$2:E152,"Gmail"),"")</f>
        <v/>
      </c>
      <c r="J152">
        <f>IF(E152="Outlook",COUNTIF($E$2:E152,"Outlook"),"")</f>
        <v/>
      </c>
      <c r="K152">
        <f>IF(E152="Domain",COUNTIF($E$2:E152,"Domain"),"")</f>
        <v/>
      </c>
    </row>
    <row r="153">
      <c r="A153" s="2" t="n"/>
      <c r="B153">
        <f>LOWER(TRIM(A153))</f>
        <v/>
      </c>
      <c r="C153">
        <f>IF(B153="","",IFERROR(INDEX('Bad Patterns'!$A$2:$A$120,MATCH(1,INDEX(--ISNUMBER(SEARCH('Bad Patterns'!$A$2:$A$120,B153)),0),0)),""))</f>
        <v/>
      </c>
      <c r="D153">
        <f>IF(B153="","",IF(C153&lt;&gt;"","REMOVE","KEEP"))</f>
        <v/>
      </c>
      <c r="E153">
        <f>IF(D153&lt;&gt;"KEEP","",IF(RIGHT(B153,10)="@gmail.com","Gmail",IF(OR(RIGHT(B153,12)="@outlook.com",RIGHT(B153,12)="@hotmail.com",RIGHT(B153,9)="@live.com"),"Outlook","Domain")))</f>
        <v/>
      </c>
      <c r="F153">
        <f>IF(B153="","",IFERROR(RIGHT(B153,LEN(B153)-FIND("@",B153)),""))</f>
        <v/>
      </c>
      <c r="G153">
        <f>IF(D153="KEEP",COUNTIF($D$2:D153,"KEEP"),"")</f>
        <v/>
      </c>
      <c r="H153">
        <f>IF(D153="REMOVE",COUNTIF($D$2:D153,"REMOVE"),"")</f>
        <v/>
      </c>
      <c r="I153">
        <f>IF(E153="Gmail",COUNTIF($E$2:E153,"Gmail"),"")</f>
        <v/>
      </c>
      <c r="J153">
        <f>IF(E153="Outlook",COUNTIF($E$2:E153,"Outlook"),"")</f>
        <v/>
      </c>
      <c r="K153">
        <f>IF(E153="Domain",COUNTIF($E$2:E153,"Domain"),"")</f>
        <v/>
      </c>
    </row>
    <row r="154">
      <c r="A154" s="2" t="n"/>
      <c r="B154">
        <f>LOWER(TRIM(A154))</f>
        <v/>
      </c>
      <c r="C154">
        <f>IF(B154="","",IFERROR(INDEX('Bad Patterns'!$A$2:$A$120,MATCH(1,INDEX(--ISNUMBER(SEARCH('Bad Patterns'!$A$2:$A$120,B154)),0),0)),""))</f>
        <v/>
      </c>
      <c r="D154">
        <f>IF(B154="","",IF(C154&lt;&gt;"","REMOVE","KEEP"))</f>
        <v/>
      </c>
      <c r="E154">
        <f>IF(D154&lt;&gt;"KEEP","",IF(RIGHT(B154,10)="@gmail.com","Gmail",IF(OR(RIGHT(B154,12)="@outlook.com",RIGHT(B154,12)="@hotmail.com",RIGHT(B154,9)="@live.com"),"Outlook","Domain")))</f>
        <v/>
      </c>
      <c r="F154">
        <f>IF(B154="","",IFERROR(RIGHT(B154,LEN(B154)-FIND("@",B154)),""))</f>
        <v/>
      </c>
      <c r="G154">
        <f>IF(D154="KEEP",COUNTIF($D$2:D154,"KEEP"),"")</f>
        <v/>
      </c>
      <c r="H154">
        <f>IF(D154="REMOVE",COUNTIF($D$2:D154,"REMOVE"),"")</f>
        <v/>
      </c>
      <c r="I154">
        <f>IF(E154="Gmail",COUNTIF($E$2:E154,"Gmail"),"")</f>
        <v/>
      </c>
      <c r="J154">
        <f>IF(E154="Outlook",COUNTIF($E$2:E154,"Outlook"),"")</f>
        <v/>
      </c>
      <c r="K154">
        <f>IF(E154="Domain",COUNTIF($E$2:E154,"Domain"),"")</f>
        <v/>
      </c>
    </row>
    <row r="155">
      <c r="A155" s="2" t="n"/>
      <c r="B155">
        <f>LOWER(TRIM(A155))</f>
        <v/>
      </c>
      <c r="C155">
        <f>IF(B155="","",IFERROR(INDEX('Bad Patterns'!$A$2:$A$120,MATCH(1,INDEX(--ISNUMBER(SEARCH('Bad Patterns'!$A$2:$A$120,B155)),0),0)),""))</f>
        <v/>
      </c>
      <c r="D155">
        <f>IF(B155="","",IF(C155&lt;&gt;"","REMOVE","KEEP"))</f>
        <v/>
      </c>
      <c r="E155">
        <f>IF(D155&lt;&gt;"KEEP","",IF(RIGHT(B155,10)="@gmail.com","Gmail",IF(OR(RIGHT(B155,12)="@outlook.com",RIGHT(B155,12)="@hotmail.com",RIGHT(B155,9)="@live.com"),"Outlook","Domain")))</f>
        <v/>
      </c>
      <c r="F155">
        <f>IF(B155="","",IFERROR(RIGHT(B155,LEN(B155)-FIND("@",B155)),""))</f>
        <v/>
      </c>
      <c r="G155">
        <f>IF(D155="KEEP",COUNTIF($D$2:D155,"KEEP"),"")</f>
        <v/>
      </c>
      <c r="H155">
        <f>IF(D155="REMOVE",COUNTIF($D$2:D155,"REMOVE"),"")</f>
        <v/>
      </c>
      <c r="I155">
        <f>IF(E155="Gmail",COUNTIF($E$2:E155,"Gmail"),"")</f>
        <v/>
      </c>
      <c r="J155">
        <f>IF(E155="Outlook",COUNTIF($E$2:E155,"Outlook"),"")</f>
        <v/>
      </c>
      <c r="K155">
        <f>IF(E155="Domain",COUNTIF($E$2:E155,"Domain"),"")</f>
        <v/>
      </c>
    </row>
    <row r="156">
      <c r="A156" s="2" t="n"/>
      <c r="B156">
        <f>LOWER(TRIM(A156))</f>
        <v/>
      </c>
      <c r="C156">
        <f>IF(B156="","",IFERROR(INDEX('Bad Patterns'!$A$2:$A$120,MATCH(1,INDEX(--ISNUMBER(SEARCH('Bad Patterns'!$A$2:$A$120,B156)),0),0)),""))</f>
        <v/>
      </c>
      <c r="D156">
        <f>IF(B156="","",IF(C156&lt;&gt;"","REMOVE","KEEP"))</f>
        <v/>
      </c>
      <c r="E156">
        <f>IF(D156&lt;&gt;"KEEP","",IF(RIGHT(B156,10)="@gmail.com","Gmail",IF(OR(RIGHT(B156,12)="@outlook.com",RIGHT(B156,12)="@hotmail.com",RIGHT(B156,9)="@live.com"),"Outlook","Domain")))</f>
        <v/>
      </c>
      <c r="F156">
        <f>IF(B156="","",IFERROR(RIGHT(B156,LEN(B156)-FIND("@",B156)),""))</f>
        <v/>
      </c>
      <c r="G156">
        <f>IF(D156="KEEP",COUNTIF($D$2:D156,"KEEP"),"")</f>
        <v/>
      </c>
      <c r="H156">
        <f>IF(D156="REMOVE",COUNTIF($D$2:D156,"REMOVE"),"")</f>
        <v/>
      </c>
      <c r="I156">
        <f>IF(E156="Gmail",COUNTIF($E$2:E156,"Gmail"),"")</f>
        <v/>
      </c>
      <c r="J156">
        <f>IF(E156="Outlook",COUNTIF($E$2:E156,"Outlook"),"")</f>
        <v/>
      </c>
      <c r="K156">
        <f>IF(E156="Domain",COUNTIF($E$2:E156,"Domain"),"")</f>
        <v/>
      </c>
    </row>
    <row r="157">
      <c r="A157" s="2" t="n"/>
      <c r="B157">
        <f>LOWER(TRIM(A157))</f>
        <v/>
      </c>
      <c r="C157">
        <f>IF(B157="","",IFERROR(INDEX('Bad Patterns'!$A$2:$A$120,MATCH(1,INDEX(--ISNUMBER(SEARCH('Bad Patterns'!$A$2:$A$120,B157)),0),0)),""))</f>
        <v/>
      </c>
      <c r="D157">
        <f>IF(B157="","",IF(C157&lt;&gt;"","REMOVE","KEEP"))</f>
        <v/>
      </c>
      <c r="E157">
        <f>IF(D157&lt;&gt;"KEEP","",IF(RIGHT(B157,10)="@gmail.com","Gmail",IF(OR(RIGHT(B157,12)="@outlook.com",RIGHT(B157,12)="@hotmail.com",RIGHT(B157,9)="@live.com"),"Outlook","Domain")))</f>
        <v/>
      </c>
      <c r="F157">
        <f>IF(B157="","",IFERROR(RIGHT(B157,LEN(B157)-FIND("@",B157)),""))</f>
        <v/>
      </c>
      <c r="G157">
        <f>IF(D157="KEEP",COUNTIF($D$2:D157,"KEEP"),"")</f>
        <v/>
      </c>
      <c r="H157">
        <f>IF(D157="REMOVE",COUNTIF($D$2:D157,"REMOVE"),"")</f>
        <v/>
      </c>
      <c r="I157">
        <f>IF(E157="Gmail",COUNTIF($E$2:E157,"Gmail"),"")</f>
        <v/>
      </c>
      <c r="J157">
        <f>IF(E157="Outlook",COUNTIF($E$2:E157,"Outlook"),"")</f>
        <v/>
      </c>
      <c r="K157">
        <f>IF(E157="Domain",COUNTIF($E$2:E157,"Domain"),"")</f>
        <v/>
      </c>
    </row>
    <row r="158">
      <c r="A158" s="2" t="n"/>
      <c r="B158">
        <f>LOWER(TRIM(A158))</f>
        <v/>
      </c>
      <c r="C158">
        <f>IF(B158="","",IFERROR(INDEX('Bad Patterns'!$A$2:$A$120,MATCH(1,INDEX(--ISNUMBER(SEARCH('Bad Patterns'!$A$2:$A$120,B158)),0),0)),""))</f>
        <v/>
      </c>
      <c r="D158">
        <f>IF(B158="","",IF(C158&lt;&gt;"","REMOVE","KEEP"))</f>
        <v/>
      </c>
      <c r="E158">
        <f>IF(D158&lt;&gt;"KEEP","",IF(RIGHT(B158,10)="@gmail.com","Gmail",IF(OR(RIGHT(B158,12)="@outlook.com",RIGHT(B158,12)="@hotmail.com",RIGHT(B158,9)="@live.com"),"Outlook","Domain")))</f>
        <v/>
      </c>
      <c r="F158">
        <f>IF(B158="","",IFERROR(RIGHT(B158,LEN(B158)-FIND("@",B158)),""))</f>
        <v/>
      </c>
      <c r="G158">
        <f>IF(D158="KEEP",COUNTIF($D$2:D158,"KEEP"),"")</f>
        <v/>
      </c>
      <c r="H158">
        <f>IF(D158="REMOVE",COUNTIF($D$2:D158,"REMOVE"),"")</f>
        <v/>
      </c>
      <c r="I158">
        <f>IF(E158="Gmail",COUNTIF($E$2:E158,"Gmail"),"")</f>
        <v/>
      </c>
      <c r="J158">
        <f>IF(E158="Outlook",COUNTIF($E$2:E158,"Outlook"),"")</f>
        <v/>
      </c>
      <c r="K158">
        <f>IF(E158="Domain",COUNTIF($E$2:E158,"Domain"),"")</f>
        <v/>
      </c>
    </row>
    <row r="159">
      <c r="A159" s="2" t="n"/>
      <c r="B159">
        <f>LOWER(TRIM(A159))</f>
        <v/>
      </c>
      <c r="C159">
        <f>IF(B159="","",IFERROR(INDEX('Bad Patterns'!$A$2:$A$120,MATCH(1,INDEX(--ISNUMBER(SEARCH('Bad Patterns'!$A$2:$A$120,B159)),0),0)),""))</f>
        <v/>
      </c>
      <c r="D159">
        <f>IF(B159="","",IF(C159&lt;&gt;"","REMOVE","KEEP"))</f>
        <v/>
      </c>
      <c r="E159">
        <f>IF(D159&lt;&gt;"KEEP","",IF(RIGHT(B159,10)="@gmail.com","Gmail",IF(OR(RIGHT(B159,12)="@outlook.com",RIGHT(B159,12)="@hotmail.com",RIGHT(B159,9)="@live.com"),"Outlook","Domain")))</f>
        <v/>
      </c>
      <c r="F159">
        <f>IF(B159="","",IFERROR(RIGHT(B159,LEN(B159)-FIND("@",B159)),""))</f>
        <v/>
      </c>
      <c r="G159">
        <f>IF(D159="KEEP",COUNTIF($D$2:D159,"KEEP"),"")</f>
        <v/>
      </c>
      <c r="H159">
        <f>IF(D159="REMOVE",COUNTIF($D$2:D159,"REMOVE"),"")</f>
        <v/>
      </c>
      <c r="I159">
        <f>IF(E159="Gmail",COUNTIF($E$2:E159,"Gmail"),"")</f>
        <v/>
      </c>
      <c r="J159">
        <f>IF(E159="Outlook",COUNTIF($E$2:E159,"Outlook"),"")</f>
        <v/>
      </c>
      <c r="K159">
        <f>IF(E159="Domain",COUNTIF($E$2:E159,"Domain"),"")</f>
        <v/>
      </c>
    </row>
    <row r="160">
      <c r="A160" s="2" t="n"/>
      <c r="B160">
        <f>LOWER(TRIM(A160))</f>
        <v/>
      </c>
      <c r="C160">
        <f>IF(B160="","",IFERROR(INDEX('Bad Patterns'!$A$2:$A$120,MATCH(1,INDEX(--ISNUMBER(SEARCH('Bad Patterns'!$A$2:$A$120,B160)),0),0)),""))</f>
        <v/>
      </c>
      <c r="D160">
        <f>IF(B160="","",IF(C160&lt;&gt;"","REMOVE","KEEP"))</f>
        <v/>
      </c>
      <c r="E160">
        <f>IF(D160&lt;&gt;"KEEP","",IF(RIGHT(B160,10)="@gmail.com","Gmail",IF(OR(RIGHT(B160,12)="@outlook.com",RIGHT(B160,12)="@hotmail.com",RIGHT(B160,9)="@live.com"),"Outlook","Domain")))</f>
        <v/>
      </c>
      <c r="F160">
        <f>IF(B160="","",IFERROR(RIGHT(B160,LEN(B160)-FIND("@",B160)),""))</f>
        <v/>
      </c>
      <c r="G160">
        <f>IF(D160="KEEP",COUNTIF($D$2:D160,"KEEP"),"")</f>
        <v/>
      </c>
      <c r="H160">
        <f>IF(D160="REMOVE",COUNTIF($D$2:D160,"REMOVE"),"")</f>
        <v/>
      </c>
      <c r="I160">
        <f>IF(E160="Gmail",COUNTIF($E$2:E160,"Gmail"),"")</f>
        <v/>
      </c>
      <c r="J160">
        <f>IF(E160="Outlook",COUNTIF($E$2:E160,"Outlook"),"")</f>
        <v/>
      </c>
      <c r="K160">
        <f>IF(E160="Domain",COUNTIF($E$2:E160,"Domain"),"")</f>
        <v/>
      </c>
    </row>
    <row r="161">
      <c r="A161" s="2" t="n"/>
      <c r="B161">
        <f>LOWER(TRIM(A161))</f>
        <v/>
      </c>
      <c r="C161">
        <f>IF(B161="","",IFERROR(INDEX('Bad Patterns'!$A$2:$A$120,MATCH(1,INDEX(--ISNUMBER(SEARCH('Bad Patterns'!$A$2:$A$120,B161)),0),0)),""))</f>
        <v/>
      </c>
      <c r="D161">
        <f>IF(B161="","",IF(C161&lt;&gt;"","REMOVE","KEEP"))</f>
        <v/>
      </c>
      <c r="E161">
        <f>IF(D161&lt;&gt;"KEEP","",IF(RIGHT(B161,10)="@gmail.com","Gmail",IF(OR(RIGHT(B161,12)="@outlook.com",RIGHT(B161,12)="@hotmail.com",RIGHT(B161,9)="@live.com"),"Outlook","Domain")))</f>
        <v/>
      </c>
      <c r="F161">
        <f>IF(B161="","",IFERROR(RIGHT(B161,LEN(B161)-FIND("@",B161)),""))</f>
        <v/>
      </c>
      <c r="G161">
        <f>IF(D161="KEEP",COUNTIF($D$2:D161,"KEEP"),"")</f>
        <v/>
      </c>
      <c r="H161">
        <f>IF(D161="REMOVE",COUNTIF($D$2:D161,"REMOVE"),"")</f>
        <v/>
      </c>
      <c r="I161">
        <f>IF(E161="Gmail",COUNTIF($E$2:E161,"Gmail"),"")</f>
        <v/>
      </c>
      <c r="J161">
        <f>IF(E161="Outlook",COUNTIF($E$2:E161,"Outlook"),"")</f>
        <v/>
      </c>
      <c r="K161">
        <f>IF(E161="Domain",COUNTIF($E$2:E161,"Domain"),"")</f>
        <v/>
      </c>
    </row>
    <row r="162">
      <c r="A162" s="2" t="n"/>
      <c r="B162">
        <f>LOWER(TRIM(A162))</f>
        <v/>
      </c>
      <c r="C162">
        <f>IF(B162="","",IFERROR(INDEX('Bad Patterns'!$A$2:$A$120,MATCH(1,INDEX(--ISNUMBER(SEARCH('Bad Patterns'!$A$2:$A$120,B162)),0),0)),""))</f>
        <v/>
      </c>
      <c r="D162">
        <f>IF(B162="","",IF(C162&lt;&gt;"","REMOVE","KEEP"))</f>
        <v/>
      </c>
      <c r="E162">
        <f>IF(D162&lt;&gt;"KEEP","",IF(RIGHT(B162,10)="@gmail.com","Gmail",IF(OR(RIGHT(B162,12)="@outlook.com",RIGHT(B162,12)="@hotmail.com",RIGHT(B162,9)="@live.com"),"Outlook","Domain")))</f>
        <v/>
      </c>
      <c r="F162">
        <f>IF(B162="","",IFERROR(RIGHT(B162,LEN(B162)-FIND("@",B162)),""))</f>
        <v/>
      </c>
      <c r="G162">
        <f>IF(D162="KEEP",COUNTIF($D$2:D162,"KEEP"),"")</f>
        <v/>
      </c>
      <c r="H162">
        <f>IF(D162="REMOVE",COUNTIF($D$2:D162,"REMOVE"),"")</f>
        <v/>
      </c>
      <c r="I162">
        <f>IF(E162="Gmail",COUNTIF($E$2:E162,"Gmail"),"")</f>
        <v/>
      </c>
      <c r="J162">
        <f>IF(E162="Outlook",COUNTIF($E$2:E162,"Outlook"),"")</f>
        <v/>
      </c>
      <c r="K162">
        <f>IF(E162="Domain",COUNTIF($E$2:E162,"Domain"),"")</f>
        <v/>
      </c>
    </row>
    <row r="163">
      <c r="A163" s="2" t="n"/>
      <c r="B163">
        <f>LOWER(TRIM(A163))</f>
        <v/>
      </c>
      <c r="C163">
        <f>IF(B163="","",IFERROR(INDEX('Bad Patterns'!$A$2:$A$120,MATCH(1,INDEX(--ISNUMBER(SEARCH('Bad Patterns'!$A$2:$A$120,B163)),0),0)),""))</f>
        <v/>
      </c>
      <c r="D163">
        <f>IF(B163="","",IF(C163&lt;&gt;"","REMOVE","KEEP"))</f>
        <v/>
      </c>
      <c r="E163">
        <f>IF(D163&lt;&gt;"KEEP","",IF(RIGHT(B163,10)="@gmail.com","Gmail",IF(OR(RIGHT(B163,12)="@outlook.com",RIGHT(B163,12)="@hotmail.com",RIGHT(B163,9)="@live.com"),"Outlook","Domain")))</f>
        <v/>
      </c>
      <c r="F163">
        <f>IF(B163="","",IFERROR(RIGHT(B163,LEN(B163)-FIND("@",B163)),""))</f>
        <v/>
      </c>
      <c r="G163">
        <f>IF(D163="KEEP",COUNTIF($D$2:D163,"KEEP"),"")</f>
        <v/>
      </c>
      <c r="H163">
        <f>IF(D163="REMOVE",COUNTIF($D$2:D163,"REMOVE"),"")</f>
        <v/>
      </c>
      <c r="I163">
        <f>IF(E163="Gmail",COUNTIF($E$2:E163,"Gmail"),"")</f>
        <v/>
      </c>
      <c r="J163">
        <f>IF(E163="Outlook",COUNTIF($E$2:E163,"Outlook"),"")</f>
        <v/>
      </c>
      <c r="K163">
        <f>IF(E163="Domain",COUNTIF($E$2:E163,"Domain"),"")</f>
        <v/>
      </c>
    </row>
    <row r="164">
      <c r="A164" s="2" t="n"/>
      <c r="B164">
        <f>LOWER(TRIM(A164))</f>
        <v/>
      </c>
      <c r="C164">
        <f>IF(B164="","",IFERROR(INDEX('Bad Patterns'!$A$2:$A$120,MATCH(1,INDEX(--ISNUMBER(SEARCH('Bad Patterns'!$A$2:$A$120,B164)),0),0)),""))</f>
        <v/>
      </c>
      <c r="D164">
        <f>IF(B164="","",IF(C164&lt;&gt;"","REMOVE","KEEP"))</f>
        <v/>
      </c>
      <c r="E164">
        <f>IF(D164&lt;&gt;"KEEP","",IF(RIGHT(B164,10)="@gmail.com","Gmail",IF(OR(RIGHT(B164,12)="@outlook.com",RIGHT(B164,12)="@hotmail.com",RIGHT(B164,9)="@live.com"),"Outlook","Domain")))</f>
        <v/>
      </c>
      <c r="F164">
        <f>IF(B164="","",IFERROR(RIGHT(B164,LEN(B164)-FIND("@",B164)),""))</f>
        <v/>
      </c>
      <c r="G164">
        <f>IF(D164="KEEP",COUNTIF($D$2:D164,"KEEP"),"")</f>
        <v/>
      </c>
      <c r="H164">
        <f>IF(D164="REMOVE",COUNTIF($D$2:D164,"REMOVE"),"")</f>
        <v/>
      </c>
      <c r="I164">
        <f>IF(E164="Gmail",COUNTIF($E$2:E164,"Gmail"),"")</f>
        <v/>
      </c>
      <c r="J164">
        <f>IF(E164="Outlook",COUNTIF($E$2:E164,"Outlook"),"")</f>
        <v/>
      </c>
      <c r="K164">
        <f>IF(E164="Domain",COUNTIF($E$2:E164,"Domain"),"")</f>
        <v/>
      </c>
    </row>
    <row r="165">
      <c r="A165" s="2" t="n"/>
      <c r="B165">
        <f>LOWER(TRIM(A165))</f>
        <v/>
      </c>
      <c r="C165">
        <f>IF(B165="","",IFERROR(INDEX('Bad Patterns'!$A$2:$A$120,MATCH(1,INDEX(--ISNUMBER(SEARCH('Bad Patterns'!$A$2:$A$120,B165)),0),0)),""))</f>
        <v/>
      </c>
      <c r="D165">
        <f>IF(B165="","",IF(C165&lt;&gt;"","REMOVE","KEEP"))</f>
        <v/>
      </c>
      <c r="E165">
        <f>IF(D165&lt;&gt;"KEEP","",IF(RIGHT(B165,10)="@gmail.com","Gmail",IF(OR(RIGHT(B165,12)="@outlook.com",RIGHT(B165,12)="@hotmail.com",RIGHT(B165,9)="@live.com"),"Outlook","Domain")))</f>
        <v/>
      </c>
      <c r="F165">
        <f>IF(B165="","",IFERROR(RIGHT(B165,LEN(B165)-FIND("@",B165)),""))</f>
        <v/>
      </c>
      <c r="G165">
        <f>IF(D165="KEEP",COUNTIF($D$2:D165,"KEEP"),"")</f>
        <v/>
      </c>
      <c r="H165">
        <f>IF(D165="REMOVE",COUNTIF($D$2:D165,"REMOVE"),"")</f>
        <v/>
      </c>
      <c r="I165">
        <f>IF(E165="Gmail",COUNTIF($E$2:E165,"Gmail"),"")</f>
        <v/>
      </c>
      <c r="J165">
        <f>IF(E165="Outlook",COUNTIF($E$2:E165,"Outlook"),"")</f>
        <v/>
      </c>
      <c r="K165">
        <f>IF(E165="Domain",COUNTIF($E$2:E165,"Domain"),"")</f>
        <v/>
      </c>
    </row>
    <row r="166">
      <c r="A166" s="2" t="n"/>
      <c r="B166">
        <f>LOWER(TRIM(A166))</f>
        <v/>
      </c>
      <c r="C166">
        <f>IF(B166="","",IFERROR(INDEX('Bad Patterns'!$A$2:$A$120,MATCH(1,INDEX(--ISNUMBER(SEARCH('Bad Patterns'!$A$2:$A$120,B166)),0),0)),""))</f>
        <v/>
      </c>
      <c r="D166">
        <f>IF(B166="","",IF(C166&lt;&gt;"","REMOVE","KEEP"))</f>
        <v/>
      </c>
      <c r="E166">
        <f>IF(D166&lt;&gt;"KEEP","",IF(RIGHT(B166,10)="@gmail.com","Gmail",IF(OR(RIGHT(B166,12)="@outlook.com",RIGHT(B166,12)="@hotmail.com",RIGHT(B166,9)="@live.com"),"Outlook","Domain")))</f>
        <v/>
      </c>
      <c r="F166">
        <f>IF(B166="","",IFERROR(RIGHT(B166,LEN(B166)-FIND("@",B166)),""))</f>
        <v/>
      </c>
      <c r="G166">
        <f>IF(D166="KEEP",COUNTIF($D$2:D166,"KEEP"),"")</f>
        <v/>
      </c>
      <c r="H166">
        <f>IF(D166="REMOVE",COUNTIF($D$2:D166,"REMOVE"),"")</f>
        <v/>
      </c>
      <c r="I166">
        <f>IF(E166="Gmail",COUNTIF($E$2:E166,"Gmail"),"")</f>
        <v/>
      </c>
      <c r="J166">
        <f>IF(E166="Outlook",COUNTIF($E$2:E166,"Outlook"),"")</f>
        <v/>
      </c>
      <c r="K166">
        <f>IF(E166="Domain",COUNTIF($E$2:E166,"Domain"),"")</f>
        <v/>
      </c>
    </row>
    <row r="167">
      <c r="A167" s="2" t="n"/>
      <c r="B167">
        <f>LOWER(TRIM(A167))</f>
        <v/>
      </c>
      <c r="C167">
        <f>IF(B167="","",IFERROR(INDEX('Bad Patterns'!$A$2:$A$120,MATCH(1,INDEX(--ISNUMBER(SEARCH('Bad Patterns'!$A$2:$A$120,B167)),0),0)),""))</f>
        <v/>
      </c>
      <c r="D167">
        <f>IF(B167="","",IF(C167&lt;&gt;"","REMOVE","KEEP"))</f>
        <v/>
      </c>
      <c r="E167">
        <f>IF(D167&lt;&gt;"KEEP","",IF(RIGHT(B167,10)="@gmail.com","Gmail",IF(OR(RIGHT(B167,12)="@outlook.com",RIGHT(B167,12)="@hotmail.com",RIGHT(B167,9)="@live.com"),"Outlook","Domain")))</f>
        <v/>
      </c>
      <c r="F167">
        <f>IF(B167="","",IFERROR(RIGHT(B167,LEN(B167)-FIND("@",B167)),""))</f>
        <v/>
      </c>
      <c r="G167">
        <f>IF(D167="KEEP",COUNTIF($D$2:D167,"KEEP"),"")</f>
        <v/>
      </c>
      <c r="H167">
        <f>IF(D167="REMOVE",COUNTIF($D$2:D167,"REMOVE"),"")</f>
        <v/>
      </c>
      <c r="I167">
        <f>IF(E167="Gmail",COUNTIF($E$2:E167,"Gmail"),"")</f>
        <v/>
      </c>
      <c r="J167">
        <f>IF(E167="Outlook",COUNTIF($E$2:E167,"Outlook"),"")</f>
        <v/>
      </c>
      <c r="K167">
        <f>IF(E167="Domain",COUNTIF($E$2:E167,"Domain"),"")</f>
        <v/>
      </c>
    </row>
    <row r="168">
      <c r="A168" s="2" t="n"/>
      <c r="B168">
        <f>LOWER(TRIM(A168))</f>
        <v/>
      </c>
      <c r="C168">
        <f>IF(B168="","",IFERROR(INDEX('Bad Patterns'!$A$2:$A$120,MATCH(1,INDEX(--ISNUMBER(SEARCH('Bad Patterns'!$A$2:$A$120,B168)),0),0)),""))</f>
        <v/>
      </c>
      <c r="D168">
        <f>IF(B168="","",IF(C168&lt;&gt;"","REMOVE","KEEP"))</f>
        <v/>
      </c>
      <c r="E168">
        <f>IF(D168&lt;&gt;"KEEP","",IF(RIGHT(B168,10)="@gmail.com","Gmail",IF(OR(RIGHT(B168,12)="@outlook.com",RIGHT(B168,12)="@hotmail.com",RIGHT(B168,9)="@live.com"),"Outlook","Domain")))</f>
        <v/>
      </c>
      <c r="F168">
        <f>IF(B168="","",IFERROR(RIGHT(B168,LEN(B168)-FIND("@",B168)),""))</f>
        <v/>
      </c>
      <c r="G168">
        <f>IF(D168="KEEP",COUNTIF($D$2:D168,"KEEP"),"")</f>
        <v/>
      </c>
      <c r="H168">
        <f>IF(D168="REMOVE",COUNTIF($D$2:D168,"REMOVE"),"")</f>
        <v/>
      </c>
      <c r="I168">
        <f>IF(E168="Gmail",COUNTIF($E$2:E168,"Gmail"),"")</f>
        <v/>
      </c>
      <c r="J168">
        <f>IF(E168="Outlook",COUNTIF($E$2:E168,"Outlook"),"")</f>
        <v/>
      </c>
      <c r="K168">
        <f>IF(E168="Domain",COUNTIF($E$2:E168,"Domain"),"")</f>
        <v/>
      </c>
    </row>
    <row r="169">
      <c r="A169" s="2" t="n"/>
      <c r="B169">
        <f>LOWER(TRIM(A169))</f>
        <v/>
      </c>
      <c r="C169">
        <f>IF(B169="","",IFERROR(INDEX('Bad Patterns'!$A$2:$A$120,MATCH(1,INDEX(--ISNUMBER(SEARCH('Bad Patterns'!$A$2:$A$120,B169)),0),0)),""))</f>
        <v/>
      </c>
      <c r="D169">
        <f>IF(B169="","",IF(C169&lt;&gt;"","REMOVE","KEEP"))</f>
        <v/>
      </c>
      <c r="E169">
        <f>IF(D169&lt;&gt;"KEEP","",IF(RIGHT(B169,10)="@gmail.com","Gmail",IF(OR(RIGHT(B169,12)="@outlook.com",RIGHT(B169,12)="@hotmail.com",RIGHT(B169,9)="@live.com"),"Outlook","Domain")))</f>
        <v/>
      </c>
      <c r="F169">
        <f>IF(B169="","",IFERROR(RIGHT(B169,LEN(B169)-FIND("@",B169)),""))</f>
        <v/>
      </c>
      <c r="G169">
        <f>IF(D169="KEEP",COUNTIF($D$2:D169,"KEEP"),"")</f>
        <v/>
      </c>
      <c r="H169">
        <f>IF(D169="REMOVE",COUNTIF($D$2:D169,"REMOVE"),"")</f>
        <v/>
      </c>
      <c r="I169">
        <f>IF(E169="Gmail",COUNTIF($E$2:E169,"Gmail"),"")</f>
        <v/>
      </c>
      <c r="J169">
        <f>IF(E169="Outlook",COUNTIF($E$2:E169,"Outlook"),"")</f>
        <v/>
      </c>
      <c r="K169">
        <f>IF(E169="Domain",COUNTIF($E$2:E169,"Domain"),"")</f>
        <v/>
      </c>
    </row>
    <row r="170">
      <c r="A170" s="2" t="n"/>
      <c r="B170">
        <f>LOWER(TRIM(A170))</f>
        <v/>
      </c>
      <c r="C170">
        <f>IF(B170="","",IFERROR(INDEX('Bad Patterns'!$A$2:$A$120,MATCH(1,INDEX(--ISNUMBER(SEARCH('Bad Patterns'!$A$2:$A$120,B170)),0),0)),""))</f>
        <v/>
      </c>
      <c r="D170">
        <f>IF(B170="","",IF(C170&lt;&gt;"","REMOVE","KEEP"))</f>
        <v/>
      </c>
      <c r="E170">
        <f>IF(D170&lt;&gt;"KEEP","",IF(RIGHT(B170,10)="@gmail.com","Gmail",IF(OR(RIGHT(B170,12)="@outlook.com",RIGHT(B170,12)="@hotmail.com",RIGHT(B170,9)="@live.com"),"Outlook","Domain")))</f>
        <v/>
      </c>
      <c r="F170">
        <f>IF(B170="","",IFERROR(RIGHT(B170,LEN(B170)-FIND("@",B170)),""))</f>
        <v/>
      </c>
      <c r="G170">
        <f>IF(D170="KEEP",COUNTIF($D$2:D170,"KEEP"),"")</f>
        <v/>
      </c>
      <c r="H170">
        <f>IF(D170="REMOVE",COUNTIF($D$2:D170,"REMOVE"),"")</f>
        <v/>
      </c>
      <c r="I170">
        <f>IF(E170="Gmail",COUNTIF($E$2:E170,"Gmail"),"")</f>
        <v/>
      </c>
      <c r="J170">
        <f>IF(E170="Outlook",COUNTIF($E$2:E170,"Outlook"),"")</f>
        <v/>
      </c>
      <c r="K170">
        <f>IF(E170="Domain",COUNTIF($E$2:E170,"Domain"),"")</f>
        <v/>
      </c>
    </row>
    <row r="171">
      <c r="A171" s="2" t="n"/>
      <c r="B171">
        <f>LOWER(TRIM(A171))</f>
        <v/>
      </c>
      <c r="C171">
        <f>IF(B171="","",IFERROR(INDEX('Bad Patterns'!$A$2:$A$120,MATCH(1,INDEX(--ISNUMBER(SEARCH('Bad Patterns'!$A$2:$A$120,B171)),0),0)),""))</f>
        <v/>
      </c>
      <c r="D171">
        <f>IF(B171="","",IF(C171&lt;&gt;"","REMOVE","KEEP"))</f>
        <v/>
      </c>
      <c r="E171">
        <f>IF(D171&lt;&gt;"KEEP","",IF(RIGHT(B171,10)="@gmail.com","Gmail",IF(OR(RIGHT(B171,12)="@outlook.com",RIGHT(B171,12)="@hotmail.com",RIGHT(B171,9)="@live.com"),"Outlook","Domain")))</f>
        <v/>
      </c>
      <c r="F171">
        <f>IF(B171="","",IFERROR(RIGHT(B171,LEN(B171)-FIND("@",B171)),""))</f>
        <v/>
      </c>
      <c r="G171">
        <f>IF(D171="KEEP",COUNTIF($D$2:D171,"KEEP"),"")</f>
        <v/>
      </c>
      <c r="H171">
        <f>IF(D171="REMOVE",COUNTIF($D$2:D171,"REMOVE"),"")</f>
        <v/>
      </c>
      <c r="I171">
        <f>IF(E171="Gmail",COUNTIF($E$2:E171,"Gmail"),"")</f>
        <v/>
      </c>
      <c r="J171">
        <f>IF(E171="Outlook",COUNTIF($E$2:E171,"Outlook"),"")</f>
        <v/>
      </c>
      <c r="K171">
        <f>IF(E171="Domain",COUNTIF($E$2:E171,"Domain"),"")</f>
        <v/>
      </c>
    </row>
    <row r="172">
      <c r="A172" s="2" t="n"/>
      <c r="B172">
        <f>LOWER(TRIM(A172))</f>
        <v/>
      </c>
      <c r="C172">
        <f>IF(B172="","",IFERROR(INDEX('Bad Patterns'!$A$2:$A$120,MATCH(1,INDEX(--ISNUMBER(SEARCH('Bad Patterns'!$A$2:$A$120,B172)),0),0)),""))</f>
        <v/>
      </c>
      <c r="D172">
        <f>IF(B172="","",IF(C172&lt;&gt;"","REMOVE","KEEP"))</f>
        <v/>
      </c>
      <c r="E172">
        <f>IF(D172&lt;&gt;"KEEP","",IF(RIGHT(B172,10)="@gmail.com","Gmail",IF(OR(RIGHT(B172,12)="@outlook.com",RIGHT(B172,12)="@hotmail.com",RIGHT(B172,9)="@live.com"),"Outlook","Domain")))</f>
        <v/>
      </c>
      <c r="F172">
        <f>IF(B172="","",IFERROR(RIGHT(B172,LEN(B172)-FIND("@",B172)),""))</f>
        <v/>
      </c>
      <c r="G172">
        <f>IF(D172="KEEP",COUNTIF($D$2:D172,"KEEP"),"")</f>
        <v/>
      </c>
      <c r="H172">
        <f>IF(D172="REMOVE",COUNTIF($D$2:D172,"REMOVE"),"")</f>
        <v/>
      </c>
      <c r="I172">
        <f>IF(E172="Gmail",COUNTIF($E$2:E172,"Gmail"),"")</f>
        <v/>
      </c>
      <c r="J172">
        <f>IF(E172="Outlook",COUNTIF($E$2:E172,"Outlook"),"")</f>
        <v/>
      </c>
      <c r="K172">
        <f>IF(E172="Domain",COUNTIF($E$2:E172,"Domain"),"")</f>
        <v/>
      </c>
    </row>
    <row r="173">
      <c r="A173" s="2" t="n"/>
      <c r="B173">
        <f>LOWER(TRIM(A173))</f>
        <v/>
      </c>
      <c r="C173">
        <f>IF(B173="","",IFERROR(INDEX('Bad Patterns'!$A$2:$A$120,MATCH(1,INDEX(--ISNUMBER(SEARCH('Bad Patterns'!$A$2:$A$120,B173)),0),0)),""))</f>
        <v/>
      </c>
      <c r="D173">
        <f>IF(B173="","",IF(C173&lt;&gt;"","REMOVE","KEEP"))</f>
        <v/>
      </c>
      <c r="E173">
        <f>IF(D173&lt;&gt;"KEEP","",IF(RIGHT(B173,10)="@gmail.com","Gmail",IF(OR(RIGHT(B173,12)="@outlook.com",RIGHT(B173,12)="@hotmail.com",RIGHT(B173,9)="@live.com"),"Outlook","Domain")))</f>
        <v/>
      </c>
      <c r="F173">
        <f>IF(B173="","",IFERROR(RIGHT(B173,LEN(B173)-FIND("@",B173)),""))</f>
        <v/>
      </c>
      <c r="G173">
        <f>IF(D173="KEEP",COUNTIF($D$2:D173,"KEEP"),"")</f>
        <v/>
      </c>
      <c r="H173">
        <f>IF(D173="REMOVE",COUNTIF($D$2:D173,"REMOVE"),"")</f>
        <v/>
      </c>
      <c r="I173">
        <f>IF(E173="Gmail",COUNTIF($E$2:E173,"Gmail"),"")</f>
        <v/>
      </c>
      <c r="J173">
        <f>IF(E173="Outlook",COUNTIF($E$2:E173,"Outlook"),"")</f>
        <v/>
      </c>
      <c r="K173">
        <f>IF(E173="Domain",COUNTIF($E$2:E173,"Domain"),"")</f>
        <v/>
      </c>
    </row>
    <row r="174">
      <c r="A174" s="2" t="n"/>
      <c r="B174">
        <f>LOWER(TRIM(A174))</f>
        <v/>
      </c>
      <c r="C174">
        <f>IF(B174="","",IFERROR(INDEX('Bad Patterns'!$A$2:$A$120,MATCH(1,INDEX(--ISNUMBER(SEARCH('Bad Patterns'!$A$2:$A$120,B174)),0),0)),""))</f>
        <v/>
      </c>
      <c r="D174">
        <f>IF(B174="","",IF(C174&lt;&gt;"","REMOVE","KEEP"))</f>
        <v/>
      </c>
      <c r="E174">
        <f>IF(D174&lt;&gt;"KEEP","",IF(RIGHT(B174,10)="@gmail.com","Gmail",IF(OR(RIGHT(B174,12)="@outlook.com",RIGHT(B174,12)="@hotmail.com",RIGHT(B174,9)="@live.com"),"Outlook","Domain")))</f>
        <v/>
      </c>
      <c r="F174">
        <f>IF(B174="","",IFERROR(RIGHT(B174,LEN(B174)-FIND("@",B174)),""))</f>
        <v/>
      </c>
      <c r="G174">
        <f>IF(D174="KEEP",COUNTIF($D$2:D174,"KEEP"),"")</f>
        <v/>
      </c>
      <c r="H174">
        <f>IF(D174="REMOVE",COUNTIF($D$2:D174,"REMOVE"),"")</f>
        <v/>
      </c>
      <c r="I174">
        <f>IF(E174="Gmail",COUNTIF($E$2:E174,"Gmail"),"")</f>
        <v/>
      </c>
      <c r="J174">
        <f>IF(E174="Outlook",COUNTIF($E$2:E174,"Outlook"),"")</f>
        <v/>
      </c>
      <c r="K174">
        <f>IF(E174="Domain",COUNTIF($E$2:E174,"Domain"),"")</f>
        <v/>
      </c>
    </row>
    <row r="175">
      <c r="A175" s="2" t="n"/>
      <c r="B175">
        <f>LOWER(TRIM(A175))</f>
        <v/>
      </c>
      <c r="C175">
        <f>IF(B175="","",IFERROR(INDEX('Bad Patterns'!$A$2:$A$120,MATCH(1,INDEX(--ISNUMBER(SEARCH('Bad Patterns'!$A$2:$A$120,B175)),0),0)),""))</f>
        <v/>
      </c>
      <c r="D175">
        <f>IF(B175="","",IF(C175&lt;&gt;"","REMOVE","KEEP"))</f>
        <v/>
      </c>
      <c r="E175">
        <f>IF(D175&lt;&gt;"KEEP","",IF(RIGHT(B175,10)="@gmail.com","Gmail",IF(OR(RIGHT(B175,12)="@outlook.com",RIGHT(B175,12)="@hotmail.com",RIGHT(B175,9)="@live.com"),"Outlook","Domain")))</f>
        <v/>
      </c>
      <c r="F175">
        <f>IF(B175="","",IFERROR(RIGHT(B175,LEN(B175)-FIND("@",B175)),""))</f>
        <v/>
      </c>
      <c r="G175">
        <f>IF(D175="KEEP",COUNTIF($D$2:D175,"KEEP"),"")</f>
        <v/>
      </c>
      <c r="H175">
        <f>IF(D175="REMOVE",COUNTIF($D$2:D175,"REMOVE"),"")</f>
        <v/>
      </c>
      <c r="I175">
        <f>IF(E175="Gmail",COUNTIF($E$2:E175,"Gmail"),"")</f>
        <v/>
      </c>
      <c r="J175">
        <f>IF(E175="Outlook",COUNTIF($E$2:E175,"Outlook"),"")</f>
        <v/>
      </c>
      <c r="K175">
        <f>IF(E175="Domain",COUNTIF($E$2:E175,"Domain"),"")</f>
        <v/>
      </c>
    </row>
    <row r="176">
      <c r="A176" s="2" t="n"/>
      <c r="B176">
        <f>LOWER(TRIM(A176))</f>
        <v/>
      </c>
      <c r="C176">
        <f>IF(B176="","",IFERROR(INDEX('Bad Patterns'!$A$2:$A$120,MATCH(1,INDEX(--ISNUMBER(SEARCH('Bad Patterns'!$A$2:$A$120,B176)),0),0)),""))</f>
        <v/>
      </c>
      <c r="D176">
        <f>IF(B176="","",IF(C176&lt;&gt;"","REMOVE","KEEP"))</f>
        <v/>
      </c>
      <c r="E176">
        <f>IF(D176&lt;&gt;"KEEP","",IF(RIGHT(B176,10)="@gmail.com","Gmail",IF(OR(RIGHT(B176,12)="@outlook.com",RIGHT(B176,12)="@hotmail.com",RIGHT(B176,9)="@live.com"),"Outlook","Domain")))</f>
        <v/>
      </c>
      <c r="F176">
        <f>IF(B176="","",IFERROR(RIGHT(B176,LEN(B176)-FIND("@",B176)),""))</f>
        <v/>
      </c>
      <c r="G176">
        <f>IF(D176="KEEP",COUNTIF($D$2:D176,"KEEP"),"")</f>
        <v/>
      </c>
      <c r="H176">
        <f>IF(D176="REMOVE",COUNTIF($D$2:D176,"REMOVE"),"")</f>
        <v/>
      </c>
      <c r="I176">
        <f>IF(E176="Gmail",COUNTIF($E$2:E176,"Gmail"),"")</f>
        <v/>
      </c>
      <c r="J176">
        <f>IF(E176="Outlook",COUNTIF($E$2:E176,"Outlook"),"")</f>
        <v/>
      </c>
      <c r="K176">
        <f>IF(E176="Domain",COUNTIF($E$2:E176,"Domain"),"")</f>
        <v/>
      </c>
    </row>
    <row r="177">
      <c r="A177" s="2" t="n"/>
      <c r="B177">
        <f>LOWER(TRIM(A177))</f>
        <v/>
      </c>
      <c r="C177">
        <f>IF(B177="","",IFERROR(INDEX('Bad Patterns'!$A$2:$A$120,MATCH(1,INDEX(--ISNUMBER(SEARCH('Bad Patterns'!$A$2:$A$120,B177)),0),0)),""))</f>
        <v/>
      </c>
      <c r="D177">
        <f>IF(B177="","",IF(C177&lt;&gt;"","REMOVE","KEEP"))</f>
        <v/>
      </c>
      <c r="E177">
        <f>IF(D177&lt;&gt;"KEEP","",IF(RIGHT(B177,10)="@gmail.com","Gmail",IF(OR(RIGHT(B177,12)="@outlook.com",RIGHT(B177,12)="@hotmail.com",RIGHT(B177,9)="@live.com"),"Outlook","Domain")))</f>
        <v/>
      </c>
      <c r="F177">
        <f>IF(B177="","",IFERROR(RIGHT(B177,LEN(B177)-FIND("@",B177)),""))</f>
        <v/>
      </c>
      <c r="G177">
        <f>IF(D177="KEEP",COUNTIF($D$2:D177,"KEEP"),"")</f>
        <v/>
      </c>
      <c r="H177">
        <f>IF(D177="REMOVE",COUNTIF($D$2:D177,"REMOVE"),"")</f>
        <v/>
      </c>
      <c r="I177">
        <f>IF(E177="Gmail",COUNTIF($E$2:E177,"Gmail"),"")</f>
        <v/>
      </c>
      <c r="J177">
        <f>IF(E177="Outlook",COUNTIF($E$2:E177,"Outlook"),"")</f>
        <v/>
      </c>
      <c r="K177">
        <f>IF(E177="Domain",COUNTIF($E$2:E177,"Domain"),"")</f>
        <v/>
      </c>
    </row>
    <row r="178">
      <c r="A178" s="2" t="n"/>
      <c r="B178">
        <f>LOWER(TRIM(A178))</f>
        <v/>
      </c>
      <c r="C178">
        <f>IF(B178="","",IFERROR(INDEX('Bad Patterns'!$A$2:$A$120,MATCH(1,INDEX(--ISNUMBER(SEARCH('Bad Patterns'!$A$2:$A$120,B178)),0),0)),""))</f>
        <v/>
      </c>
      <c r="D178">
        <f>IF(B178="","",IF(C178&lt;&gt;"","REMOVE","KEEP"))</f>
        <v/>
      </c>
      <c r="E178">
        <f>IF(D178&lt;&gt;"KEEP","",IF(RIGHT(B178,10)="@gmail.com","Gmail",IF(OR(RIGHT(B178,12)="@outlook.com",RIGHT(B178,12)="@hotmail.com",RIGHT(B178,9)="@live.com"),"Outlook","Domain")))</f>
        <v/>
      </c>
      <c r="F178">
        <f>IF(B178="","",IFERROR(RIGHT(B178,LEN(B178)-FIND("@",B178)),""))</f>
        <v/>
      </c>
      <c r="G178">
        <f>IF(D178="KEEP",COUNTIF($D$2:D178,"KEEP"),"")</f>
        <v/>
      </c>
      <c r="H178">
        <f>IF(D178="REMOVE",COUNTIF($D$2:D178,"REMOVE"),"")</f>
        <v/>
      </c>
      <c r="I178">
        <f>IF(E178="Gmail",COUNTIF($E$2:E178,"Gmail"),"")</f>
        <v/>
      </c>
      <c r="J178">
        <f>IF(E178="Outlook",COUNTIF($E$2:E178,"Outlook"),"")</f>
        <v/>
      </c>
      <c r="K178">
        <f>IF(E178="Domain",COUNTIF($E$2:E178,"Domain"),"")</f>
        <v/>
      </c>
    </row>
    <row r="179">
      <c r="A179" s="2" t="n"/>
      <c r="B179">
        <f>LOWER(TRIM(A179))</f>
        <v/>
      </c>
      <c r="C179">
        <f>IF(B179="","",IFERROR(INDEX('Bad Patterns'!$A$2:$A$120,MATCH(1,INDEX(--ISNUMBER(SEARCH('Bad Patterns'!$A$2:$A$120,B179)),0),0)),""))</f>
        <v/>
      </c>
      <c r="D179">
        <f>IF(B179="","",IF(C179&lt;&gt;"","REMOVE","KEEP"))</f>
        <v/>
      </c>
      <c r="E179">
        <f>IF(D179&lt;&gt;"KEEP","",IF(RIGHT(B179,10)="@gmail.com","Gmail",IF(OR(RIGHT(B179,12)="@outlook.com",RIGHT(B179,12)="@hotmail.com",RIGHT(B179,9)="@live.com"),"Outlook","Domain")))</f>
        <v/>
      </c>
      <c r="F179">
        <f>IF(B179="","",IFERROR(RIGHT(B179,LEN(B179)-FIND("@",B179)),""))</f>
        <v/>
      </c>
      <c r="G179">
        <f>IF(D179="KEEP",COUNTIF($D$2:D179,"KEEP"),"")</f>
        <v/>
      </c>
      <c r="H179">
        <f>IF(D179="REMOVE",COUNTIF($D$2:D179,"REMOVE"),"")</f>
        <v/>
      </c>
      <c r="I179">
        <f>IF(E179="Gmail",COUNTIF($E$2:E179,"Gmail"),"")</f>
        <v/>
      </c>
      <c r="J179">
        <f>IF(E179="Outlook",COUNTIF($E$2:E179,"Outlook"),"")</f>
        <v/>
      </c>
      <c r="K179">
        <f>IF(E179="Domain",COUNTIF($E$2:E179,"Domain"),"")</f>
        <v/>
      </c>
    </row>
    <row r="180">
      <c r="A180" s="2" t="n"/>
      <c r="B180">
        <f>LOWER(TRIM(A180))</f>
        <v/>
      </c>
      <c r="C180">
        <f>IF(B180="","",IFERROR(INDEX('Bad Patterns'!$A$2:$A$120,MATCH(1,INDEX(--ISNUMBER(SEARCH('Bad Patterns'!$A$2:$A$120,B180)),0),0)),""))</f>
        <v/>
      </c>
      <c r="D180">
        <f>IF(B180="","",IF(C180&lt;&gt;"","REMOVE","KEEP"))</f>
        <v/>
      </c>
      <c r="E180">
        <f>IF(D180&lt;&gt;"KEEP","",IF(RIGHT(B180,10)="@gmail.com","Gmail",IF(OR(RIGHT(B180,12)="@outlook.com",RIGHT(B180,12)="@hotmail.com",RIGHT(B180,9)="@live.com"),"Outlook","Domain")))</f>
        <v/>
      </c>
      <c r="F180">
        <f>IF(B180="","",IFERROR(RIGHT(B180,LEN(B180)-FIND("@",B180)),""))</f>
        <v/>
      </c>
      <c r="G180">
        <f>IF(D180="KEEP",COUNTIF($D$2:D180,"KEEP"),"")</f>
        <v/>
      </c>
      <c r="H180">
        <f>IF(D180="REMOVE",COUNTIF($D$2:D180,"REMOVE"),"")</f>
        <v/>
      </c>
      <c r="I180">
        <f>IF(E180="Gmail",COUNTIF($E$2:E180,"Gmail"),"")</f>
        <v/>
      </c>
      <c r="J180">
        <f>IF(E180="Outlook",COUNTIF($E$2:E180,"Outlook"),"")</f>
        <v/>
      </c>
      <c r="K180">
        <f>IF(E180="Domain",COUNTIF($E$2:E180,"Domain"),"")</f>
        <v/>
      </c>
    </row>
    <row r="181">
      <c r="A181" s="2" t="n"/>
      <c r="B181">
        <f>LOWER(TRIM(A181))</f>
        <v/>
      </c>
      <c r="C181">
        <f>IF(B181="","",IFERROR(INDEX('Bad Patterns'!$A$2:$A$120,MATCH(1,INDEX(--ISNUMBER(SEARCH('Bad Patterns'!$A$2:$A$120,B181)),0),0)),""))</f>
        <v/>
      </c>
      <c r="D181">
        <f>IF(B181="","",IF(C181&lt;&gt;"","REMOVE","KEEP"))</f>
        <v/>
      </c>
      <c r="E181">
        <f>IF(D181&lt;&gt;"KEEP","",IF(RIGHT(B181,10)="@gmail.com","Gmail",IF(OR(RIGHT(B181,12)="@outlook.com",RIGHT(B181,12)="@hotmail.com",RIGHT(B181,9)="@live.com"),"Outlook","Domain")))</f>
        <v/>
      </c>
      <c r="F181">
        <f>IF(B181="","",IFERROR(RIGHT(B181,LEN(B181)-FIND("@",B181)),""))</f>
        <v/>
      </c>
      <c r="G181">
        <f>IF(D181="KEEP",COUNTIF($D$2:D181,"KEEP"),"")</f>
        <v/>
      </c>
      <c r="H181">
        <f>IF(D181="REMOVE",COUNTIF($D$2:D181,"REMOVE"),"")</f>
        <v/>
      </c>
      <c r="I181">
        <f>IF(E181="Gmail",COUNTIF($E$2:E181,"Gmail"),"")</f>
        <v/>
      </c>
      <c r="J181">
        <f>IF(E181="Outlook",COUNTIF($E$2:E181,"Outlook"),"")</f>
        <v/>
      </c>
      <c r="K181">
        <f>IF(E181="Domain",COUNTIF($E$2:E181,"Domain"),"")</f>
        <v/>
      </c>
    </row>
    <row r="182">
      <c r="A182" s="2" t="n"/>
      <c r="B182">
        <f>LOWER(TRIM(A182))</f>
        <v/>
      </c>
      <c r="C182">
        <f>IF(B182="","",IFERROR(INDEX('Bad Patterns'!$A$2:$A$120,MATCH(1,INDEX(--ISNUMBER(SEARCH('Bad Patterns'!$A$2:$A$120,B182)),0),0)),""))</f>
        <v/>
      </c>
      <c r="D182">
        <f>IF(B182="","",IF(C182&lt;&gt;"","REMOVE","KEEP"))</f>
        <v/>
      </c>
      <c r="E182">
        <f>IF(D182&lt;&gt;"KEEP","",IF(RIGHT(B182,10)="@gmail.com","Gmail",IF(OR(RIGHT(B182,12)="@outlook.com",RIGHT(B182,12)="@hotmail.com",RIGHT(B182,9)="@live.com"),"Outlook","Domain")))</f>
        <v/>
      </c>
      <c r="F182">
        <f>IF(B182="","",IFERROR(RIGHT(B182,LEN(B182)-FIND("@",B182)),""))</f>
        <v/>
      </c>
      <c r="G182">
        <f>IF(D182="KEEP",COUNTIF($D$2:D182,"KEEP"),"")</f>
        <v/>
      </c>
      <c r="H182">
        <f>IF(D182="REMOVE",COUNTIF($D$2:D182,"REMOVE"),"")</f>
        <v/>
      </c>
      <c r="I182">
        <f>IF(E182="Gmail",COUNTIF($E$2:E182,"Gmail"),"")</f>
        <v/>
      </c>
      <c r="J182">
        <f>IF(E182="Outlook",COUNTIF($E$2:E182,"Outlook"),"")</f>
        <v/>
      </c>
      <c r="K182">
        <f>IF(E182="Domain",COUNTIF($E$2:E182,"Domain"),"")</f>
        <v/>
      </c>
    </row>
    <row r="183">
      <c r="A183" s="2" t="n"/>
      <c r="B183">
        <f>LOWER(TRIM(A183))</f>
        <v/>
      </c>
      <c r="C183">
        <f>IF(B183="","",IFERROR(INDEX('Bad Patterns'!$A$2:$A$120,MATCH(1,INDEX(--ISNUMBER(SEARCH('Bad Patterns'!$A$2:$A$120,B183)),0),0)),""))</f>
        <v/>
      </c>
      <c r="D183">
        <f>IF(B183="","",IF(C183&lt;&gt;"","REMOVE","KEEP"))</f>
        <v/>
      </c>
      <c r="E183">
        <f>IF(D183&lt;&gt;"KEEP","",IF(RIGHT(B183,10)="@gmail.com","Gmail",IF(OR(RIGHT(B183,12)="@outlook.com",RIGHT(B183,12)="@hotmail.com",RIGHT(B183,9)="@live.com"),"Outlook","Domain")))</f>
        <v/>
      </c>
      <c r="F183">
        <f>IF(B183="","",IFERROR(RIGHT(B183,LEN(B183)-FIND("@",B183)),""))</f>
        <v/>
      </c>
      <c r="G183">
        <f>IF(D183="KEEP",COUNTIF($D$2:D183,"KEEP"),"")</f>
        <v/>
      </c>
      <c r="H183">
        <f>IF(D183="REMOVE",COUNTIF($D$2:D183,"REMOVE"),"")</f>
        <v/>
      </c>
      <c r="I183">
        <f>IF(E183="Gmail",COUNTIF($E$2:E183,"Gmail"),"")</f>
        <v/>
      </c>
      <c r="J183">
        <f>IF(E183="Outlook",COUNTIF($E$2:E183,"Outlook"),"")</f>
        <v/>
      </c>
      <c r="K183">
        <f>IF(E183="Domain",COUNTIF($E$2:E183,"Domain"),"")</f>
        <v/>
      </c>
    </row>
    <row r="184">
      <c r="A184" s="2" t="n"/>
      <c r="B184">
        <f>LOWER(TRIM(A184))</f>
        <v/>
      </c>
      <c r="C184">
        <f>IF(B184="","",IFERROR(INDEX('Bad Patterns'!$A$2:$A$120,MATCH(1,INDEX(--ISNUMBER(SEARCH('Bad Patterns'!$A$2:$A$120,B184)),0),0)),""))</f>
        <v/>
      </c>
      <c r="D184">
        <f>IF(B184="","",IF(C184&lt;&gt;"","REMOVE","KEEP"))</f>
        <v/>
      </c>
      <c r="E184">
        <f>IF(D184&lt;&gt;"KEEP","",IF(RIGHT(B184,10)="@gmail.com","Gmail",IF(OR(RIGHT(B184,12)="@outlook.com",RIGHT(B184,12)="@hotmail.com",RIGHT(B184,9)="@live.com"),"Outlook","Domain")))</f>
        <v/>
      </c>
      <c r="F184">
        <f>IF(B184="","",IFERROR(RIGHT(B184,LEN(B184)-FIND("@",B184)),""))</f>
        <v/>
      </c>
      <c r="G184">
        <f>IF(D184="KEEP",COUNTIF($D$2:D184,"KEEP"),"")</f>
        <v/>
      </c>
      <c r="H184">
        <f>IF(D184="REMOVE",COUNTIF($D$2:D184,"REMOVE"),"")</f>
        <v/>
      </c>
      <c r="I184">
        <f>IF(E184="Gmail",COUNTIF($E$2:E184,"Gmail"),"")</f>
        <v/>
      </c>
      <c r="J184">
        <f>IF(E184="Outlook",COUNTIF($E$2:E184,"Outlook"),"")</f>
        <v/>
      </c>
      <c r="K184">
        <f>IF(E184="Domain",COUNTIF($E$2:E184,"Domain"),"")</f>
        <v/>
      </c>
    </row>
    <row r="185">
      <c r="A185" s="2" t="n"/>
      <c r="B185">
        <f>LOWER(TRIM(A185))</f>
        <v/>
      </c>
      <c r="C185">
        <f>IF(B185="","",IFERROR(INDEX('Bad Patterns'!$A$2:$A$120,MATCH(1,INDEX(--ISNUMBER(SEARCH('Bad Patterns'!$A$2:$A$120,B185)),0),0)),""))</f>
        <v/>
      </c>
      <c r="D185">
        <f>IF(B185="","",IF(C185&lt;&gt;"","REMOVE","KEEP"))</f>
        <v/>
      </c>
      <c r="E185">
        <f>IF(D185&lt;&gt;"KEEP","",IF(RIGHT(B185,10)="@gmail.com","Gmail",IF(OR(RIGHT(B185,12)="@outlook.com",RIGHT(B185,12)="@hotmail.com",RIGHT(B185,9)="@live.com"),"Outlook","Domain")))</f>
        <v/>
      </c>
      <c r="F185">
        <f>IF(B185="","",IFERROR(RIGHT(B185,LEN(B185)-FIND("@",B185)),""))</f>
        <v/>
      </c>
      <c r="G185">
        <f>IF(D185="KEEP",COUNTIF($D$2:D185,"KEEP"),"")</f>
        <v/>
      </c>
      <c r="H185">
        <f>IF(D185="REMOVE",COUNTIF($D$2:D185,"REMOVE"),"")</f>
        <v/>
      </c>
      <c r="I185">
        <f>IF(E185="Gmail",COUNTIF($E$2:E185,"Gmail"),"")</f>
        <v/>
      </c>
      <c r="J185">
        <f>IF(E185="Outlook",COUNTIF($E$2:E185,"Outlook"),"")</f>
        <v/>
      </c>
      <c r="K185">
        <f>IF(E185="Domain",COUNTIF($E$2:E185,"Domain"),"")</f>
        <v/>
      </c>
    </row>
    <row r="186">
      <c r="A186" s="2" t="n"/>
      <c r="B186">
        <f>LOWER(TRIM(A186))</f>
        <v/>
      </c>
      <c r="C186">
        <f>IF(B186="","",IFERROR(INDEX('Bad Patterns'!$A$2:$A$120,MATCH(1,INDEX(--ISNUMBER(SEARCH('Bad Patterns'!$A$2:$A$120,B186)),0),0)),""))</f>
        <v/>
      </c>
      <c r="D186">
        <f>IF(B186="","",IF(C186&lt;&gt;"","REMOVE","KEEP"))</f>
        <v/>
      </c>
      <c r="E186">
        <f>IF(D186&lt;&gt;"KEEP","",IF(RIGHT(B186,10)="@gmail.com","Gmail",IF(OR(RIGHT(B186,12)="@outlook.com",RIGHT(B186,12)="@hotmail.com",RIGHT(B186,9)="@live.com"),"Outlook","Domain")))</f>
        <v/>
      </c>
      <c r="F186">
        <f>IF(B186="","",IFERROR(RIGHT(B186,LEN(B186)-FIND("@",B186)),""))</f>
        <v/>
      </c>
      <c r="G186">
        <f>IF(D186="KEEP",COUNTIF($D$2:D186,"KEEP"),"")</f>
        <v/>
      </c>
      <c r="H186">
        <f>IF(D186="REMOVE",COUNTIF($D$2:D186,"REMOVE"),"")</f>
        <v/>
      </c>
      <c r="I186">
        <f>IF(E186="Gmail",COUNTIF($E$2:E186,"Gmail"),"")</f>
        <v/>
      </c>
      <c r="J186">
        <f>IF(E186="Outlook",COUNTIF($E$2:E186,"Outlook"),"")</f>
        <v/>
      </c>
      <c r="K186">
        <f>IF(E186="Domain",COUNTIF($E$2:E186,"Domain"),"")</f>
        <v/>
      </c>
    </row>
    <row r="187">
      <c r="A187" s="2" t="n"/>
      <c r="B187">
        <f>LOWER(TRIM(A187))</f>
        <v/>
      </c>
      <c r="C187">
        <f>IF(B187="","",IFERROR(INDEX('Bad Patterns'!$A$2:$A$120,MATCH(1,INDEX(--ISNUMBER(SEARCH('Bad Patterns'!$A$2:$A$120,B187)),0),0)),""))</f>
        <v/>
      </c>
      <c r="D187">
        <f>IF(B187="","",IF(C187&lt;&gt;"","REMOVE","KEEP"))</f>
        <v/>
      </c>
      <c r="E187">
        <f>IF(D187&lt;&gt;"KEEP","",IF(RIGHT(B187,10)="@gmail.com","Gmail",IF(OR(RIGHT(B187,12)="@outlook.com",RIGHT(B187,12)="@hotmail.com",RIGHT(B187,9)="@live.com"),"Outlook","Domain")))</f>
        <v/>
      </c>
      <c r="F187">
        <f>IF(B187="","",IFERROR(RIGHT(B187,LEN(B187)-FIND("@",B187)),""))</f>
        <v/>
      </c>
      <c r="G187">
        <f>IF(D187="KEEP",COUNTIF($D$2:D187,"KEEP"),"")</f>
        <v/>
      </c>
      <c r="H187">
        <f>IF(D187="REMOVE",COUNTIF($D$2:D187,"REMOVE"),"")</f>
        <v/>
      </c>
      <c r="I187">
        <f>IF(E187="Gmail",COUNTIF($E$2:E187,"Gmail"),"")</f>
        <v/>
      </c>
      <c r="J187">
        <f>IF(E187="Outlook",COUNTIF($E$2:E187,"Outlook"),"")</f>
        <v/>
      </c>
      <c r="K187">
        <f>IF(E187="Domain",COUNTIF($E$2:E187,"Domain"),"")</f>
        <v/>
      </c>
    </row>
    <row r="188">
      <c r="A188" s="2" t="n"/>
      <c r="B188">
        <f>LOWER(TRIM(A188))</f>
        <v/>
      </c>
      <c r="C188">
        <f>IF(B188="","",IFERROR(INDEX('Bad Patterns'!$A$2:$A$120,MATCH(1,INDEX(--ISNUMBER(SEARCH('Bad Patterns'!$A$2:$A$120,B188)),0),0)),""))</f>
        <v/>
      </c>
      <c r="D188">
        <f>IF(B188="","",IF(C188&lt;&gt;"","REMOVE","KEEP"))</f>
        <v/>
      </c>
      <c r="E188">
        <f>IF(D188&lt;&gt;"KEEP","",IF(RIGHT(B188,10)="@gmail.com","Gmail",IF(OR(RIGHT(B188,12)="@outlook.com",RIGHT(B188,12)="@hotmail.com",RIGHT(B188,9)="@live.com"),"Outlook","Domain")))</f>
        <v/>
      </c>
      <c r="F188">
        <f>IF(B188="","",IFERROR(RIGHT(B188,LEN(B188)-FIND("@",B188)),""))</f>
        <v/>
      </c>
      <c r="G188">
        <f>IF(D188="KEEP",COUNTIF($D$2:D188,"KEEP"),"")</f>
        <v/>
      </c>
      <c r="H188">
        <f>IF(D188="REMOVE",COUNTIF($D$2:D188,"REMOVE"),"")</f>
        <v/>
      </c>
      <c r="I188">
        <f>IF(E188="Gmail",COUNTIF($E$2:E188,"Gmail"),"")</f>
        <v/>
      </c>
      <c r="J188">
        <f>IF(E188="Outlook",COUNTIF($E$2:E188,"Outlook"),"")</f>
        <v/>
      </c>
      <c r="K188">
        <f>IF(E188="Domain",COUNTIF($E$2:E188,"Domain"),"")</f>
        <v/>
      </c>
    </row>
    <row r="189">
      <c r="A189" s="2" t="n"/>
      <c r="B189">
        <f>LOWER(TRIM(A189))</f>
        <v/>
      </c>
      <c r="C189">
        <f>IF(B189="","",IFERROR(INDEX('Bad Patterns'!$A$2:$A$120,MATCH(1,INDEX(--ISNUMBER(SEARCH('Bad Patterns'!$A$2:$A$120,B189)),0),0)),""))</f>
        <v/>
      </c>
      <c r="D189">
        <f>IF(B189="","",IF(C189&lt;&gt;"","REMOVE","KEEP"))</f>
        <v/>
      </c>
      <c r="E189">
        <f>IF(D189&lt;&gt;"KEEP","",IF(RIGHT(B189,10)="@gmail.com","Gmail",IF(OR(RIGHT(B189,12)="@outlook.com",RIGHT(B189,12)="@hotmail.com",RIGHT(B189,9)="@live.com"),"Outlook","Domain")))</f>
        <v/>
      </c>
      <c r="F189">
        <f>IF(B189="","",IFERROR(RIGHT(B189,LEN(B189)-FIND("@",B189)),""))</f>
        <v/>
      </c>
      <c r="G189">
        <f>IF(D189="KEEP",COUNTIF($D$2:D189,"KEEP"),"")</f>
        <v/>
      </c>
      <c r="H189">
        <f>IF(D189="REMOVE",COUNTIF($D$2:D189,"REMOVE"),"")</f>
        <v/>
      </c>
      <c r="I189">
        <f>IF(E189="Gmail",COUNTIF($E$2:E189,"Gmail"),"")</f>
        <v/>
      </c>
      <c r="J189">
        <f>IF(E189="Outlook",COUNTIF($E$2:E189,"Outlook"),"")</f>
        <v/>
      </c>
      <c r="K189">
        <f>IF(E189="Domain",COUNTIF($E$2:E189,"Domain"),"")</f>
        <v/>
      </c>
    </row>
    <row r="190">
      <c r="A190" s="2" t="n"/>
      <c r="B190">
        <f>LOWER(TRIM(A190))</f>
        <v/>
      </c>
      <c r="C190">
        <f>IF(B190="","",IFERROR(INDEX('Bad Patterns'!$A$2:$A$120,MATCH(1,INDEX(--ISNUMBER(SEARCH('Bad Patterns'!$A$2:$A$120,B190)),0),0)),""))</f>
        <v/>
      </c>
      <c r="D190">
        <f>IF(B190="","",IF(C190&lt;&gt;"","REMOVE","KEEP"))</f>
        <v/>
      </c>
      <c r="E190">
        <f>IF(D190&lt;&gt;"KEEP","",IF(RIGHT(B190,10)="@gmail.com","Gmail",IF(OR(RIGHT(B190,12)="@outlook.com",RIGHT(B190,12)="@hotmail.com",RIGHT(B190,9)="@live.com"),"Outlook","Domain")))</f>
        <v/>
      </c>
      <c r="F190">
        <f>IF(B190="","",IFERROR(RIGHT(B190,LEN(B190)-FIND("@",B190)),""))</f>
        <v/>
      </c>
      <c r="G190">
        <f>IF(D190="KEEP",COUNTIF($D$2:D190,"KEEP"),"")</f>
        <v/>
      </c>
      <c r="H190">
        <f>IF(D190="REMOVE",COUNTIF($D$2:D190,"REMOVE"),"")</f>
        <v/>
      </c>
      <c r="I190">
        <f>IF(E190="Gmail",COUNTIF($E$2:E190,"Gmail"),"")</f>
        <v/>
      </c>
      <c r="J190">
        <f>IF(E190="Outlook",COUNTIF($E$2:E190,"Outlook"),"")</f>
        <v/>
      </c>
      <c r="K190">
        <f>IF(E190="Domain",COUNTIF($E$2:E190,"Domain"),"")</f>
        <v/>
      </c>
    </row>
    <row r="191">
      <c r="A191" s="2" t="n"/>
      <c r="B191">
        <f>LOWER(TRIM(A191))</f>
        <v/>
      </c>
      <c r="C191">
        <f>IF(B191="","",IFERROR(INDEX('Bad Patterns'!$A$2:$A$120,MATCH(1,INDEX(--ISNUMBER(SEARCH('Bad Patterns'!$A$2:$A$120,B191)),0),0)),""))</f>
        <v/>
      </c>
      <c r="D191">
        <f>IF(B191="","",IF(C191&lt;&gt;"","REMOVE","KEEP"))</f>
        <v/>
      </c>
      <c r="E191">
        <f>IF(D191&lt;&gt;"KEEP","",IF(RIGHT(B191,10)="@gmail.com","Gmail",IF(OR(RIGHT(B191,12)="@outlook.com",RIGHT(B191,12)="@hotmail.com",RIGHT(B191,9)="@live.com"),"Outlook","Domain")))</f>
        <v/>
      </c>
      <c r="F191">
        <f>IF(B191="","",IFERROR(RIGHT(B191,LEN(B191)-FIND("@",B191)),""))</f>
        <v/>
      </c>
      <c r="G191">
        <f>IF(D191="KEEP",COUNTIF($D$2:D191,"KEEP"),"")</f>
        <v/>
      </c>
      <c r="H191">
        <f>IF(D191="REMOVE",COUNTIF($D$2:D191,"REMOVE"),"")</f>
        <v/>
      </c>
      <c r="I191">
        <f>IF(E191="Gmail",COUNTIF($E$2:E191,"Gmail"),"")</f>
        <v/>
      </c>
      <c r="J191">
        <f>IF(E191="Outlook",COUNTIF($E$2:E191,"Outlook"),"")</f>
        <v/>
      </c>
      <c r="K191">
        <f>IF(E191="Domain",COUNTIF($E$2:E191,"Domain"),"")</f>
        <v/>
      </c>
    </row>
    <row r="192">
      <c r="A192" s="2" t="n"/>
      <c r="B192">
        <f>LOWER(TRIM(A192))</f>
        <v/>
      </c>
      <c r="C192">
        <f>IF(B192="","",IFERROR(INDEX('Bad Patterns'!$A$2:$A$120,MATCH(1,INDEX(--ISNUMBER(SEARCH('Bad Patterns'!$A$2:$A$120,B192)),0),0)),""))</f>
        <v/>
      </c>
      <c r="D192">
        <f>IF(B192="","",IF(C192&lt;&gt;"","REMOVE","KEEP"))</f>
        <v/>
      </c>
      <c r="E192">
        <f>IF(D192&lt;&gt;"KEEP","",IF(RIGHT(B192,10)="@gmail.com","Gmail",IF(OR(RIGHT(B192,12)="@outlook.com",RIGHT(B192,12)="@hotmail.com",RIGHT(B192,9)="@live.com"),"Outlook","Domain")))</f>
        <v/>
      </c>
      <c r="F192">
        <f>IF(B192="","",IFERROR(RIGHT(B192,LEN(B192)-FIND("@",B192)),""))</f>
        <v/>
      </c>
      <c r="G192">
        <f>IF(D192="KEEP",COUNTIF($D$2:D192,"KEEP"),"")</f>
        <v/>
      </c>
      <c r="H192">
        <f>IF(D192="REMOVE",COUNTIF($D$2:D192,"REMOVE"),"")</f>
        <v/>
      </c>
      <c r="I192">
        <f>IF(E192="Gmail",COUNTIF($E$2:E192,"Gmail"),"")</f>
        <v/>
      </c>
      <c r="J192">
        <f>IF(E192="Outlook",COUNTIF($E$2:E192,"Outlook"),"")</f>
        <v/>
      </c>
      <c r="K192">
        <f>IF(E192="Domain",COUNTIF($E$2:E192,"Domain"),"")</f>
        <v/>
      </c>
    </row>
    <row r="193">
      <c r="A193" s="2" t="n"/>
      <c r="B193">
        <f>LOWER(TRIM(A193))</f>
        <v/>
      </c>
      <c r="C193">
        <f>IF(B193="","",IFERROR(INDEX('Bad Patterns'!$A$2:$A$120,MATCH(1,INDEX(--ISNUMBER(SEARCH('Bad Patterns'!$A$2:$A$120,B193)),0),0)),""))</f>
        <v/>
      </c>
      <c r="D193">
        <f>IF(B193="","",IF(C193&lt;&gt;"","REMOVE","KEEP"))</f>
        <v/>
      </c>
      <c r="E193">
        <f>IF(D193&lt;&gt;"KEEP","",IF(RIGHT(B193,10)="@gmail.com","Gmail",IF(OR(RIGHT(B193,12)="@outlook.com",RIGHT(B193,12)="@hotmail.com",RIGHT(B193,9)="@live.com"),"Outlook","Domain")))</f>
        <v/>
      </c>
      <c r="F193">
        <f>IF(B193="","",IFERROR(RIGHT(B193,LEN(B193)-FIND("@",B193)),""))</f>
        <v/>
      </c>
      <c r="G193">
        <f>IF(D193="KEEP",COUNTIF($D$2:D193,"KEEP"),"")</f>
        <v/>
      </c>
      <c r="H193">
        <f>IF(D193="REMOVE",COUNTIF($D$2:D193,"REMOVE"),"")</f>
        <v/>
      </c>
      <c r="I193">
        <f>IF(E193="Gmail",COUNTIF($E$2:E193,"Gmail"),"")</f>
        <v/>
      </c>
      <c r="J193">
        <f>IF(E193="Outlook",COUNTIF($E$2:E193,"Outlook"),"")</f>
        <v/>
      </c>
      <c r="K193">
        <f>IF(E193="Domain",COUNTIF($E$2:E193,"Domain"),"")</f>
        <v/>
      </c>
    </row>
    <row r="194">
      <c r="A194" s="2" t="n"/>
      <c r="B194">
        <f>LOWER(TRIM(A194))</f>
        <v/>
      </c>
      <c r="C194">
        <f>IF(B194="","",IFERROR(INDEX('Bad Patterns'!$A$2:$A$120,MATCH(1,INDEX(--ISNUMBER(SEARCH('Bad Patterns'!$A$2:$A$120,B194)),0),0)),""))</f>
        <v/>
      </c>
      <c r="D194">
        <f>IF(B194="","",IF(C194&lt;&gt;"","REMOVE","KEEP"))</f>
        <v/>
      </c>
      <c r="E194">
        <f>IF(D194&lt;&gt;"KEEP","",IF(RIGHT(B194,10)="@gmail.com","Gmail",IF(OR(RIGHT(B194,12)="@outlook.com",RIGHT(B194,12)="@hotmail.com",RIGHT(B194,9)="@live.com"),"Outlook","Domain")))</f>
        <v/>
      </c>
      <c r="F194">
        <f>IF(B194="","",IFERROR(RIGHT(B194,LEN(B194)-FIND("@",B194)),""))</f>
        <v/>
      </c>
      <c r="G194">
        <f>IF(D194="KEEP",COUNTIF($D$2:D194,"KEEP"),"")</f>
        <v/>
      </c>
      <c r="H194">
        <f>IF(D194="REMOVE",COUNTIF($D$2:D194,"REMOVE"),"")</f>
        <v/>
      </c>
      <c r="I194">
        <f>IF(E194="Gmail",COUNTIF($E$2:E194,"Gmail"),"")</f>
        <v/>
      </c>
      <c r="J194">
        <f>IF(E194="Outlook",COUNTIF($E$2:E194,"Outlook"),"")</f>
        <v/>
      </c>
      <c r="K194">
        <f>IF(E194="Domain",COUNTIF($E$2:E194,"Domain"),"")</f>
        <v/>
      </c>
    </row>
    <row r="195">
      <c r="A195" s="2" t="n"/>
      <c r="B195">
        <f>LOWER(TRIM(A195))</f>
        <v/>
      </c>
      <c r="C195">
        <f>IF(B195="","",IFERROR(INDEX('Bad Patterns'!$A$2:$A$120,MATCH(1,INDEX(--ISNUMBER(SEARCH('Bad Patterns'!$A$2:$A$120,B195)),0),0)),""))</f>
        <v/>
      </c>
      <c r="D195">
        <f>IF(B195="","",IF(C195&lt;&gt;"","REMOVE","KEEP"))</f>
        <v/>
      </c>
      <c r="E195">
        <f>IF(D195&lt;&gt;"KEEP","",IF(RIGHT(B195,10)="@gmail.com","Gmail",IF(OR(RIGHT(B195,12)="@outlook.com",RIGHT(B195,12)="@hotmail.com",RIGHT(B195,9)="@live.com"),"Outlook","Domain")))</f>
        <v/>
      </c>
      <c r="F195">
        <f>IF(B195="","",IFERROR(RIGHT(B195,LEN(B195)-FIND("@",B195)),""))</f>
        <v/>
      </c>
      <c r="G195">
        <f>IF(D195="KEEP",COUNTIF($D$2:D195,"KEEP"),"")</f>
        <v/>
      </c>
      <c r="H195">
        <f>IF(D195="REMOVE",COUNTIF($D$2:D195,"REMOVE"),"")</f>
        <v/>
      </c>
      <c r="I195">
        <f>IF(E195="Gmail",COUNTIF($E$2:E195,"Gmail"),"")</f>
        <v/>
      </c>
      <c r="J195">
        <f>IF(E195="Outlook",COUNTIF($E$2:E195,"Outlook"),"")</f>
        <v/>
      </c>
      <c r="K195">
        <f>IF(E195="Domain",COUNTIF($E$2:E195,"Domain"),"")</f>
        <v/>
      </c>
    </row>
    <row r="196">
      <c r="A196" s="2" t="n"/>
      <c r="B196">
        <f>LOWER(TRIM(A196))</f>
        <v/>
      </c>
      <c r="C196">
        <f>IF(B196="","",IFERROR(INDEX('Bad Patterns'!$A$2:$A$120,MATCH(1,INDEX(--ISNUMBER(SEARCH('Bad Patterns'!$A$2:$A$120,B196)),0),0)),""))</f>
        <v/>
      </c>
      <c r="D196">
        <f>IF(B196="","",IF(C196&lt;&gt;"","REMOVE","KEEP"))</f>
        <v/>
      </c>
      <c r="E196">
        <f>IF(D196&lt;&gt;"KEEP","",IF(RIGHT(B196,10)="@gmail.com","Gmail",IF(OR(RIGHT(B196,12)="@outlook.com",RIGHT(B196,12)="@hotmail.com",RIGHT(B196,9)="@live.com"),"Outlook","Domain")))</f>
        <v/>
      </c>
      <c r="F196">
        <f>IF(B196="","",IFERROR(RIGHT(B196,LEN(B196)-FIND("@",B196)),""))</f>
        <v/>
      </c>
      <c r="G196">
        <f>IF(D196="KEEP",COUNTIF($D$2:D196,"KEEP"),"")</f>
        <v/>
      </c>
      <c r="H196">
        <f>IF(D196="REMOVE",COUNTIF($D$2:D196,"REMOVE"),"")</f>
        <v/>
      </c>
      <c r="I196">
        <f>IF(E196="Gmail",COUNTIF($E$2:E196,"Gmail"),"")</f>
        <v/>
      </c>
      <c r="J196">
        <f>IF(E196="Outlook",COUNTIF($E$2:E196,"Outlook"),"")</f>
        <v/>
      </c>
      <c r="K196">
        <f>IF(E196="Domain",COUNTIF($E$2:E196,"Domain"),"")</f>
        <v/>
      </c>
    </row>
    <row r="197">
      <c r="A197" s="2" t="n"/>
      <c r="B197">
        <f>LOWER(TRIM(A197))</f>
        <v/>
      </c>
      <c r="C197">
        <f>IF(B197="","",IFERROR(INDEX('Bad Patterns'!$A$2:$A$120,MATCH(1,INDEX(--ISNUMBER(SEARCH('Bad Patterns'!$A$2:$A$120,B197)),0),0)),""))</f>
        <v/>
      </c>
      <c r="D197">
        <f>IF(B197="","",IF(C197&lt;&gt;"","REMOVE","KEEP"))</f>
        <v/>
      </c>
      <c r="E197">
        <f>IF(D197&lt;&gt;"KEEP","",IF(RIGHT(B197,10)="@gmail.com","Gmail",IF(OR(RIGHT(B197,12)="@outlook.com",RIGHT(B197,12)="@hotmail.com",RIGHT(B197,9)="@live.com"),"Outlook","Domain")))</f>
        <v/>
      </c>
      <c r="F197">
        <f>IF(B197="","",IFERROR(RIGHT(B197,LEN(B197)-FIND("@",B197)),""))</f>
        <v/>
      </c>
      <c r="G197">
        <f>IF(D197="KEEP",COUNTIF($D$2:D197,"KEEP"),"")</f>
        <v/>
      </c>
      <c r="H197">
        <f>IF(D197="REMOVE",COUNTIF($D$2:D197,"REMOVE"),"")</f>
        <v/>
      </c>
      <c r="I197">
        <f>IF(E197="Gmail",COUNTIF($E$2:E197,"Gmail"),"")</f>
        <v/>
      </c>
      <c r="J197">
        <f>IF(E197="Outlook",COUNTIF($E$2:E197,"Outlook"),"")</f>
        <v/>
      </c>
      <c r="K197">
        <f>IF(E197="Domain",COUNTIF($E$2:E197,"Domain"),"")</f>
        <v/>
      </c>
    </row>
    <row r="198">
      <c r="A198" s="2" t="n"/>
      <c r="B198">
        <f>LOWER(TRIM(A198))</f>
        <v/>
      </c>
      <c r="C198">
        <f>IF(B198="","",IFERROR(INDEX('Bad Patterns'!$A$2:$A$120,MATCH(1,INDEX(--ISNUMBER(SEARCH('Bad Patterns'!$A$2:$A$120,B198)),0),0)),""))</f>
        <v/>
      </c>
      <c r="D198">
        <f>IF(B198="","",IF(C198&lt;&gt;"","REMOVE","KEEP"))</f>
        <v/>
      </c>
      <c r="E198">
        <f>IF(D198&lt;&gt;"KEEP","",IF(RIGHT(B198,10)="@gmail.com","Gmail",IF(OR(RIGHT(B198,12)="@outlook.com",RIGHT(B198,12)="@hotmail.com",RIGHT(B198,9)="@live.com"),"Outlook","Domain")))</f>
        <v/>
      </c>
      <c r="F198">
        <f>IF(B198="","",IFERROR(RIGHT(B198,LEN(B198)-FIND("@",B198)),""))</f>
        <v/>
      </c>
      <c r="G198">
        <f>IF(D198="KEEP",COUNTIF($D$2:D198,"KEEP"),"")</f>
        <v/>
      </c>
      <c r="H198">
        <f>IF(D198="REMOVE",COUNTIF($D$2:D198,"REMOVE"),"")</f>
        <v/>
      </c>
      <c r="I198">
        <f>IF(E198="Gmail",COUNTIF($E$2:E198,"Gmail"),"")</f>
        <v/>
      </c>
      <c r="J198">
        <f>IF(E198="Outlook",COUNTIF($E$2:E198,"Outlook"),"")</f>
        <v/>
      </c>
      <c r="K198">
        <f>IF(E198="Domain",COUNTIF($E$2:E198,"Domain"),"")</f>
        <v/>
      </c>
    </row>
    <row r="199">
      <c r="A199" s="2" t="n"/>
      <c r="B199">
        <f>LOWER(TRIM(A199))</f>
        <v/>
      </c>
      <c r="C199">
        <f>IF(B199="","",IFERROR(INDEX('Bad Patterns'!$A$2:$A$120,MATCH(1,INDEX(--ISNUMBER(SEARCH('Bad Patterns'!$A$2:$A$120,B199)),0),0)),""))</f>
        <v/>
      </c>
      <c r="D199">
        <f>IF(B199="","",IF(C199&lt;&gt;"","REMOVE","KEEP"))</f>
        <v/>
      </c>
      <c r="E199">
        <f>IF(D199&lt;&gt;"KEEP","",IF(RIGHT(B199,10)="@gmail.com","Gmail",IF(OR(RIGHT(B199,12)="@outlook.com",RIGHT(B199,12)="@hotmail.com",RIGHT(B199,9)="@live.com"),"Outlook","Domain")))</f>
        <v/>
      </c>
      <c r="F199">
        <f>IF(B199="","",IFERROR(RIGHT(B199,LEN(B199)-FIND("@",B199)),""))</f>
        <v/>
      </c>
      <c r="G199">
        <f>IF(D199="KEEP",COUNTIF($D$2:D199,"KEEP"),"")</f>
        <v/>
      </c>
      <c r="H199">
        <f>IF(D199="REMOVE",COUNTIF($D$2:D199,"REMOVE"),"")</f>
        <v/>
      </c>
      <c r="I199">
        <f>IF(E199="Gmail",COUNTIF($E$2:E199,"Gmail"),"")</f>
        <v/>
      </c>
      <c r="J199">
        <f>IF(E199="Outlook",COUNTIF($E$2:E199,"Outlook"),"")</f>
        <v/>
      </c>
      <c r="K199">
        <f>IF(E199="Domain",COUNTIF($E$2:E199,"Domain"),"")</f>
        <v/>
      </c>
    </row>
    <row r="200">
      <c r="A200" s="2" t="n"/>
      <c r="B200">
        <f>LOWER(TRIM(A200))</f>
        <v/>
      </c>
      <c r="C200">
        <f>IF(B200="","",IFERROR(INDEX('Bad Patterns'!$A$2:$A$120,MATCH(1,INDEX(--ISNUMBER(SEARCH('Bad Patterns'!$A$2:$A$120,B200)),0),0)),""))</f>
        <v/>
      </c>
      <c r="D200">
        <f>IF(B200="","",IF(C200&lt;&gt;"","REMOVE","KEEP"))</f>
        <v/>
      </c>
      <c r="E200">
        <f>IF(D200&lt;&gt;"KEEP","",IF(RIGHT(B200,10)="@gmail.com","Gmail",IF(OR(RIGHT(B200,12)="@outlook.com",RIGHT(B200,12)="@hotmail.com",RIGHT(B200,9)="@live.com"),"Outlook","Domain")))</f>
        <v/>
      </c>
      <c r="F200">
        <f>IF(B200="","",IFERROR(RIGHT(B200,LEN(B200)-FIND("@",B200)),""))</f>
        <v/>
      </c>
      <c r="G200">
        <f>IF(D200="KEEP",COUNTIF($D$2:D200,"KEEP"),"")</f>
        <v/>
      </c>
      <c r="H200">
        <f>IF(D200="REMOVE",COUNTIF($D$2:D200,"REMOVE"),"")</f>
        <v/>
      </c>
      <c r="I200">
        <f>IF(E200="Gmail",COUNTIF($E$2:E200,"Gmail"),"")</f>
        <v/>
      </c>
      <c r="J200">
        <f>IF(E200="Outlook",COUNTIF($E$2:E200,"Outlook"),"")</f>
        <v/>
      </c>
      <c r="K200">
        <f>IF(E200="Domain",COUNTIF($E$2:E200,"Domain"),"")</f>
        <v/>
      </c>
    </row>
    <row r="201">
      <c r="A201" s="2" t="n"/>
      <c r="B201">
        <f>LOWER(TRIM(A201))</f>
        <v/>
      </c>
      <c r="C201">
        <f>IF(B201="","",IFERROR(INDEX('Bad Patterns'!$A$2:$A$120,MATCH(1,INDEX(--ISNUMBER(SEARCH('Bad Patterns'!$A$2:$A$120,B201)),0),0)),""))</f>
        <v/>
      </c>
      <c r="D201">
        <f>IF(B201="","",IF(C201&lt;&gt;"","REMOVE","KEEP"))</f>
        <v/>
      </c>
      <c r="E201">
        <f>IF(D201&lt;&gt;"KEEP","",IF(RIGHT(B201,10)="@gmail.com","Gmail",IF(OR(RIGHT(B201,12)="@outlook.com",RIGHT(B201,12)="@hotmail.com",RIGHT(B201,9)="@live.com"),"Outlook","Domain")))</f>
        <v/>
      </c>
      <c r="F201">
        <f>IF(B201="","",IFERROR(RIGHT(B201,LEN(B201)-FIND("@",B201)),""))</f>
        <v/>
      </c>
      <c r="G201">
        <f>IF(D201="KEEP",COUNTIF($D$2:D201,"KEEP"),"")</f>
        <v/>
      </c>
      <c r="H201">
        <f>IF(D201="REMOVE",COUNTIF($D$2:D201,"REMOVE"),"")</f>
        <v/>
      </c>
      <c r="I201">
        <f>IF(E201="Gmail",COUNTIF($E$2:E201,"Gmail"),"")</f>
        <v/>
      </c>
      <c r="J201">
        <f>IF(E201="Outlook",COUNTIF($E$2:E201,"Outlook"),"")</f>
        <v/>
      </c>
      <c r="K201">
        <f>IF(E201="Domain",COUNTIF($E$2:E201,"Domain"),"")</f>
        <v/>
      </c>
    </row>
    <row r="202">
      <c r="A202" s="2" t="n"/>
      <c r="B202">
        <f>LOWER(TRIM(A202))</f>
        <v/>
      </c>
      <c r="C202">
        <f>IF(B202="","",IFERROR(INDEX('Bad Patterns'!$A$2:$A$120,MATCH(1,INDEX(--ISNUMBER(SEARCH('Bad Patterns'!$A$2:$A$120,B202)),0),0)),""))</f>
        <v/>
      </c>
      <c r="D202">
        <f>IF(B202="","",IF(C202&lt;&gt;"","REMOVE","KEEP"))</f>
        <v/>
      </c>
      <c r="E202">
        <f>IF(D202&lt;&gt;"KEEP","",IF(RIGHT(B202,10)="@gmail.com","Gmail",IF(OR(RIGHT(B202,12)="@outlook.com",RIGHT(B202,12)="@hotmail.com",RIGHT(B202,9)="@live.com"),"Outlook","Domain")))</f>
        <v/>
      </c>
      <c r="F202">
        <f>IF(B202="","",IFERROR(RIGHT(B202,LEN(B202)-FIND("@",B202)),""))</f>
        <v/>
      </c>
      <c r="G202">
        <f>IF(D202="KEEP",COUNTIF($D$2:D202,"KEEP"),"")</f>
        <v/>
      </c>
      <c r="H202">
        <f>IF(D202="REMOVE",COUNTIF($D$2:D202,"REMOVE"),"")</f>
        <v/>
      </c>
      <c r="I202">
        <f>IF(E202="Gmail",COUNTIF($E$2:E202,"Gmail"),"")</f>
        <v/>
      </c>
      <c r="J202">
        <f>IF(E202="Outlook",COUNTIF($E$2:E202,"Outlook"),"")</f>
        <v/>
      </c>
      <c r="K202">
        <f>IF(E202="Domain",COUNTIF($E$2:E202,"Domain"),"")</f>
        <v/>
      </c>
    </row>
    <row r="203">
      <c r="A203" s="2" t="n"/>
      <c r="B203">
        <f>LOWER(TRIM(A203))</f>
        <v/>
      </c>
      <c r="C203">
        <f>IF(B203="","",IFERROR(INDEX('Bad Patterns'!$A$2:$A$120,MATCH(1,INDEX(--ISNUMBER(SEARCH('Bad Patterns'!$A$2:$A$120,B203)),0),0)),""))</f>
        <v/>
      </c>
      <c r="D203">
        <f>IF(B203="","",IF(C203&lt;&gt;"","REMOVE","KEEP"))</f>
        <v/>
      </c>
      <c r="E203">
        <f>IF(D203&lt;&gt;"KEEP","",IF(RIGHT(B203,10)="@gmail.com","Gmail",IF(OR(RIGHT(B203,12)="@outlook.com",RIGHT(B203,12)="@hotmail.com",RIGHT(B203,9)="@live.com"),"Outlook","Domain")))</f>
        <v/>
      </c>
      <c r="F203">
        <f>IF(B203="","",IFERROR(RIGHT(B203,LEN(B203)-FIND("@",B203)),""))</f>
        <v/>
      </c>
      <c r="G203">
        <f>IF(D203="KEEP",COUNTIF($D$2:D203,"KEEP"),"")</f>
        <v/>
      </c>
      <c r="H203">
        <f>IF(D203="REMOVE",COUNTIF($D$2:D203,"REMOVE"),"")</f>
        <v/>
      </c>
      <c r="I203">
        <f>IF(E203="Gmail",COUNTIF($E$2:E203,"Gmail"),"")</f>
        <v/>
      </c>
      <c r="J203">
        <f>IF(E203="Outlook",COUNTIF($E$2:E203,"Outlook"),"")</f>
        <v/>
      </c>
      <c r="K203">
        <f>IF(E203="Domain",COUNTIF($E$2:E203,"Domain"),"")</f>
        <v/>
      </c>
    </row>
    <row r="204">
      <c r="A204" s="2" t="n"/>
      <c r="B204">
        <f>LOWER(TRIM(A204))</f>
        <v/>
      </c>
      <c r="C204">
        <f>IF(B204="","",IFERROR(INDEX('Bad Patterns'!$A$2:$A$120,MATCH(1,INDEX(--ISNUMBER(SEARCH('Bad Patterns'!$A$2:$A$120,B204)),0),0)),""))</f>
        <v/>
      </c>
      <c r="D204">
        <f>IF(B204="","",IF(C204&lt;&gt;"","REMOVE","KEEP"))</f>
        <v/>
      </c>
      <c r="E204">
        <f>IF(D204&lt;&gt;"KEEP","",IF(RIGHT(B204,10)="@gmail.com","Gmail",IF(OR(RIGHT(B204,12)="@outlook.com",RIGHT(B204,12)="@hotmail.com",RIGHT(B204,9)="@live.com"),"Outlook","Domain")))</f>
        <v/>
      </c>
      <c r="F204">
        <f>IF(B204="","",IFERROR(RIGHT(B204,LEN(B204)-FIND("@",B204)),""))</f>
        <v/>
      </c>
      <c r="G204">
        <f>IF(D204="KEEP",COUNTIF($D$2:D204,"KEEP"),"")</f>
        <v/>
      </c>
      <c r="H204">
        <f>IF(D204="REMOVE",COUNTIF($D$2:D204,"REMOVE"),"")</f>
        <v/>
      </c>
      <c r="I204">
        <f>IF(E204="Gmail",COUNTIF($E$2:E204,"Gmail"),"")</f>
        <v/>
      </c>
      <c r="J204">
        <f>IF(E204="Outlook",COUNTIF($E$2:E204,"Outlook"),"")</f>
        <v/>
      </c>
      <c r="K204">
        <f>IF(E204="Domain",COUNTIF($E$2:E204,"Domain"),"")</f>
        <v/>
      </c>
    </row>
    <row r="205">
      <c r="A205" s="2" t="n"/>
      <c r="B205">
        <f>LOWER(TRIM(A205))</f>
        <v/>
      </c>
      <c r="C205">
        <f>IF(B205="","",IFERROR(INDEX('Bad Patterns'!$A$2:$A$120,MATCH(1,INDEX(--ISNUMBER(SEARCH('Bad Patterns'!$A$2:$A$120,B205)),0),0)),""))</f>
        <v/>
      </c>
      <c r="D205">
        <f>IF(B205="","",IF(C205&lt;&gt;"","REMOVE","KEEP"))</f>
        <v/>
      </c>
      <c r="E205">
        <f>IF(D205&lt;&gt;"KEEP","",IF(RIGHT(B205,10)="@gmail.com","Gmail",IF(OR(RIGHT(B205,12)="@outlook.com",RIGHT(B205,12)="@hotmail.com",RIGHT(B205,9)="@live.com"),"Outlook","Domain")))</f>
        <v/>
      </c>
      <c r="F205">
        <f>IF(B205="","",IFERROR(RIGHT(B205,LEN(B205)-FIND("@",B205)),""))</f>
        <v/>
      </c>
      <c r="G205">
        <f>IF(D205="KEEP",COUNTIF($D$2:D205,"KEEP"),"")</f>
        <v/>
      </c>
      <c r="H205">
        <f>IF(D205="REMOVE",COUNTIF($D$2:D205,"REMOVE"),"")</f>
        <v/>
      </c>
      <c r="I205">
        <f>IF(E205="Gmail",COUNTIF($E$2:E205,"Gmail"),"")</f>
        <v/>
      </c>
      <c r="J205">
        <f>IF(E205="Outlook",COUNTIF($E$2:E205,"Outlook"),"")</f>
        <v/>
      </c>
      <c r="K205">
        <f>IF(E205="Domain",COUNTIF($E$2:E205,"Domain"),"")</f>
        <v/>
      </c>
    </row>
    <row r="206">
      <c r="A206" s="2" t="n"/>
      <c r="B206">
        <f>LOWER(TRIM(A206))</f>
        <v/>
      </c>
      <c r="C206">
        <f>IF(B206="","",IFERROR(INDEX('Bad Patterns'!$A$2:$A$120,MATCH(1,INDEX(--ISNUMBER(SEARCH('Bad Patterns'!$A$2:$A$120,B206)),0),0)),""))</f>
        <v/>
      </c>
      <c r="D206">
        <f>IF(B206="","",IF(C206&lt;&gt;"","REMOVE","KEEP"))</f>
        <v/>
      </c>
      <c r="E206">
        <f>IF(D206&lt;&gt;"KEEP","",IF(RIGHT(B206,10)="@gmail.com","Gmail",IF(OR(RIGHT(B206,12)="@outlook.com",RIGHT(B206,12)="@hotmail.com",RIGHT(B206,9)="@live.com"),"Outlook","Domain")))</f>
        <v/>
      </c>
      <c r="F206">
        <f>IF(B206="","",IFERROR(RIGHT(B206,LEN(B206)-FIND("@",B206)),""))</f>
        <v/>
      </c>
      <c r="G206">
        <f>IF(D206="KEEP",COUNTIF($D$2:D206,"KEEP"),"")</f>
        <v/>
      </c>
      <c r="H206">
        <f>IF(D206="REMOVE",COUNTIF($D$2:D206,"REMOVE"),"")</f>
        <v/>
      </c>
      <c r="I206">
        <f>IF(E206="Gmail",COUNTIF($E$2:E206,"Gmail"),"")</f>
        <v/>
      </c>
      <c r="J206">
        <f>IF(E206="Outlook",COUNTIF($E$2:E206,"Outlook"),"")</f>
        <v/>
      </c>
      <c r="K206">
        <f>IF(E206="Domain",COUNTIF($E$2:E206,"Domain"),"")</f>
        <v/>
      </c>
    </row>
    <row r="207">
      <c r="A207" s="2" t="n"/>
      <c r="B207">
        <f>LOWER(TRIM(A207))</f>
        <v/>
      </c>
      <c r="C207">
        <f>IF(B207="","",IFERROR(INDEX('Bad Patterns'!$A$2:$A$120,MATCH(1,INDEX(--ISNUMBER(SEARCH('Bad Patterns'!$A$2:$A$120,B207)),0),0)),""))</f>
        <v/>
      </c>
      <c r="D207">
        <f>IF(B207="","",IF(C207&lt;&gt;"","REMOVE","KEEP"))</f>
        <v/>
      </c>
      <c r="E207">
        <f>IF(D207&lt;&gt;"KEEP","",IF(RIGHT(B207,10)="@gmail.com","Gmail",IF(OR(RIGHT(B207,12)="@outlook.com",RIGHT(B207,12)="@hotmail.com",RIGHT(B207,9)="@live.com"),"Outlook","Domain")))</f>
        <v/>
      </c>
      <c r="F207">
        <f>IF(B207="","",IFERROR(RIGHT(B207,LEN(B207)-FIND("@",B207)),""))</f>
        <v/>
      </c>
      <c r="G207">
        <f>IF(D207="KEEP",COUNTIF($D$2:D207,"KEEP"),"")</f>
        <v/>
      </c>
      <c r="H207">
        <f>IF(D207="REMOVE",COUNTIF($D$2:D207,"REMOVE"),"")</f>
        <v/>
      </c>
      <c r="I207">
        <f>IF(E207="Gmail",COUNTIF($E$2:E207,"Gmail"),"")</f>
        <v/>
      </c>
      <c r="J207">
        <f>IF(E207="Outlook",COUNTIF($E$2:E207,"Outlook"),"")</f>
        <v/>
      </c>
      <c r="K207">
        <f>IF(E207="Domain",COUNTIF($E$2:E207,"Domain"),"")</f>
        <v/>
      </c>
    </row>
    <row r="208">
      <c r="A208" s="2" t="n"/>
      <c r="B208">
        <f>LOWER(TRIM(A208))</f>
        <v/>
      </c>
      <c r="C208">
        <f>IF(B208="","",IFERROR(INDEX('Bad Patterns'!$A$2:$A$120,MATCH(1,INDEX(--ISNUMBER(SEARCH('Bad Patterns'!$A$2:$A$120,B208)),0),0)),""))</f>
        <v/>
      </c>
      <c r="D208">
        <f>IF(B208="","",IF(C208&lt;&gt;"","REMOVE","KEEP"))</f>
        <v/>
      </c>
      <c r="E208">
        <f>IF(D208&lt;&gt;"KEEP","",IF(RIGHT(B208,10)="@gmail.com","Gmail",IF(OR(RIGHT(B208,12)="@outlook.com",RIGHT(B208,12)="@hotmail.com",RIGHT(B208,9)="@live.com"),"Outlook","Domain")))</f>
        <v/>
      </c>
      <c r="F208">
        <f>IF(B208="","",IFERROR(RIGHT(B208,LEN(B208)-FIND("@",B208)),""))</f>
        <v/>
      </c>
      <c r="G208">
        <f>IF(D208="KEEP",COUNTIF($D$2:D208,"KEEP"),"")</f>
        <v/>
      </c>
      <c r="H208">
        <f>IF(D208="REMOVE",COUNTIF($D$2:D208,"REMOVE"),"")</f>
        <v/>
      </c>
      <c r="I208">
        <f>IF(E208="Gmail",COUNTIF($E$2:E208,"Gmail"),"")</f>
        <v/>
      </c>
      <c r="J208">
        <f>IF(E208="Outlook",COUNTIF($E$2:E208,"Outlook"),"")</f>
        <v/>
      </c>
      <c r="K208">
        <f>IF(E208="Domain",COUNTIF($E$2:E208,"Domain"),"")</f>
        <v/>
      </c>
    </row>
    <row r="209">
      <c r="A209" s="2" t="n"/>
      <c r="B209">
        <f>LOWER(TRIM(A209))</f>
        <v/>
      </c>
      <c r="C209">
        <f>IF(B209="","",IFERROR(INDEX('Bad Patterns'!$A$2:$A$120,MATCH(1,INDEX(--ISNUMBER(SEARCH('Bad Patterns'!$A$2:$A$120,B209)),0),0)),""))</f>
        <v/>
      </c>
      <c r="D209">
        <f>IF(B209="","",IF(C209&lt;&gt;"","REMOVE","KEEP"))</f>
        <v/>
      </c>
      <c r="E209">
        <f>IF(D209&lt;&gt;"KEEP","",IF(RIGHT(B209,10)="@gmail.com","Gmail",IF(OR(RIGHT(B209,12)="@outlook.com",RIGHT(B209,12)="@hotmail.com",RIGHT(B209,9)="@live.com"),"Outlook","Domain")))</f>
        <v/>
      </c>
      <c r="F209">
        <f>IF(B209="","",IFERROR(RIGHT(B209,LEN(B209)-FIND("@",B209)),""))</f>
        <v/>
      </c>
      <c r="G209">
        <f>IF(D209="KEEP",COUNTIF($D$2:D209,"KEEP"),"")</f>
        <v/>
      </c>
      <c r="H209">
        <f>IF(D209="REMOVE",COUNTIF($D$2:D209,"REMOVE"),"")</f>
        <v/>
      </c>
      <c r="I209">
        <f>IF(E209="Gmail",COUNTIF($E$2:E209,"Gmail"),"")</f>
        <v/>
      </c>
      <c r="J209">
        <f>IF(E209="Outlook",COUNTIF($E$2:E209,"Outlook"),"")</f>
        <v/>
      </c>
      <c r="K209">
        <f>IF(E209="Domain",COUNTIF($E$2:E209,"Domain"),"")</f>
        <v/>
      </c>
    </row>
    <row r="210">
      <c r="A210" s="2" t="n"/>
      <c r="B210">
        <f>LOWER(TRIM(A210))</f>
        <v/>
      </c>
      <c r="C210">
        <f>IF(B210="","",IFERROR(INDEX('Bad Patterns'!$A$2:$A$120,MATCH(1,INDEX(--ISNUMBER(SEARCH('Bad Patterns'!$A$2:$A$120,B210)),0),0)),""))</f>
        <v/>
      </c>
      <c r="D210">
        <f>IF(B210="","",IF(C210&lt;&gt;"","REMOVE","KEEP"))</f>
        <v/>
      </c>
      <c r="E210">
        <f>IF(D210&lt;&gt;"KEEP","",IF(RIGHT(B210,10)="@gmail.com","Gmail",IF(OR(RIGHT(B210,12)="@outlook.com",RIGHT(B210,12)="@hotmail.com",RIGHT(B210,9)="@live.com"),"Outlook","Domain")))</f>
        <v/>
      </c>
      <c r="F210">
        <f>IF(B210="","",IFERROR(RIGHT(B210,LEN(B210)-FIND("@",B210)),""))</f>
        <v/>
      </c>
      <c r="G210">
        <f>IF(D210="KEEP",COUNTIF($D$2:D210,"KEEP"),"")</f>
        <v/>
      </c>
      <c r="H210">
        <f>IF(D210="REMOVE",COUNTIF($D$2:D210,"REMOVE"),"")</f>
        <v/>
      </c>
      <c r="I210">
        <f>IF(E210="Gmail",COUNTIF($E$2:E210,"Gmail"),"")</f>
        <v/>
      </c>
      <c r="J210">
        <f>IF(E210="Outlook",COUNTIF($E$2:E210,"Outlook"),"")</f>
        <v/>
      </c>
      <c r="K210">
        <f>IF(E210="Domain",COUNTIF($E$2:E210,"Domain"),"")</f>
        <v/>
      </c>
    </row>
    <row r="211">
      <c r="A211" s="2" t="n"/>
      <c r="B211">
        <f>LOWER(TRIM(A211))</f>
        <v/>
      </c>
      <c r="C211">
        <f>IF(B211="","",IFERROR(INDEX('Bad Patterns'!$A$2:$A$120,MATCH(1,INDEX(--ISNUMBER(SEARCH('Bad Patterns'!$A$2:$A$120,B211)),0),0)),""))</f>
        <v/>
      </c>
      <c r="D211">
        <f>IF(B211="","",IF(C211&lt;&gt;"","REMOVE","KEEP"))</f>
        <v/>
      </c>
      <c r="E211">
        <f>IF(D211&lt;&gt;"KEEP","",IF(RIGHT(B211,10)="@gmail.com","Gmail",IF(OR(RIGHT(B211,12)="@outlook.com",RIGHT(B211,12)="@hotmail.com",RIGHT(B211,9)="@live.com"),"Outlook","Domain")))</f>
        <v/>
      </c>
      <c r="F211">
        <f>IF(B211="","",IFERROR(RIGHT(B211,LEN(B211)-FIND("@",B211)),""))</f>
        <v/>
      </c>
      <c r="G211">
        <f>IF(D211="KEEP",COUNTIF($D$2:D211,"KEEP"),"")</f>
        <v/>
      </c>
      <c r="H211">
        <f>IF(D211="REMOVE",COUNTIF($D$2:D211,"REMOVE"),"")</f>
        <v/>
      </c>
      <c r="I211">
        <f>IF(E211="Gmail",COUNTIF($E$2:E211,"Gmail"),"")</f>
        <v/>
      </c>
      <c r="J211">
        <f>IF(E211="Outlook",COUNTIF($E$2:E211,"Outlook"),"")</f>
        <v/>
      </c>
      <c r="K211">
        <f>IF(E211="Domain",COUNTIF($E$2:E211,"Domain"),"")</f>
        <v/>
      </c>
    </row>
    <row r="212">
      <c r="A212" s="2" t="n"/>
      <c r="B212">
        <f>LOWER(TRIM(A212))</f>
        <v/>
      </c>
      <c r="C212">
        <f>IF(B212="","",IFERROR(INDEX('Bad Patterns'!$A$2:$A$120,MATCH(1,INDEX(--ISNUMBER(SEARCH('Bad Patterns'!$A$2:$A$120,B212)),0),0)),""))</f>
        <v/>
      </c>
      <c r="D212">
        <f>IF(B212="","",IF(C212&lt;&gt;"","REMOVE","KEEP"))</f>
        <v/>
      </c>
      <c r="E212">
        <f>IF(D212&lt;&gt;"KEEP","",IF(RIGHT(B212,10)="@gmail.com","Gmail",IF(OR(RIGHT(B212,12)="@outlook.com",RIGHT(B212,12)="@hotmail.com",RIGHT(B212,9)="@live.com"),"Outlook","Domain")))</f>
        <v/>
      </c>
      <c r="F212">
        <f>IF(B212="","",IFERROR(RIGHT(B212,LEN(B212)-FIND("@",B212)),""))</f>
        <v/>
      </c>
      <c r="G212">
        <f>IF(D212="KEEP",COUNTIF($D$2:D212,"KEEP"),"")</f>
        <v/>
      </c>
      <c r="H212">
        <f>IF(D212="REMOVE",COUNTIF($D$2:D212,"REMOVE"),"")</f>
        <v/>
      </c>
      <c r="I212">
        <f>IF(E212="Gmail",COUNTIF($E$2:E212,"Gmail"),"")</f>
        <v/>
      </c>
      <c r="J212">
        <f>IF(E212="Outlook",COUNTIF($E$2:E212,"Outlook"),"")</f>
        <v/>
      </c>
      <c r="K212">
        <f>IF(E212="Domain",COUNTIF($E$2:E212,"Domain"),"")</f>
        <v/>
      </c>
    </row>
    <row r="213">
      <c r="A213" s="2" t="n"/>
      <c r="B213">
        <f>LOWER(TRIM(A213))</f>
        <v/>
      </c>
      <c r="C213">
        <f>IF(B213="","",IFERROR(INDEX('Bad Patterns'!$A$2:$A$120,MATCH(1,INDEX(--ISNUMBER(SEARCH('Bad Patterns'!$A$2:$A$120,B213)),0),0)),""))</f>
        <v/>
      </c>
      <c r="D213">
        <f>IF(B213="","",IF(C213&lt;&gt;"","REMOVE","KEEP"))</f>
        <v/>
      </c>
      <c r="E213">
        <f>IF(D213&lt;&gt;"KEEP","",IF(RIGHT(B213,10)="@gmail.com","Gmail",IF(OR(RIGHT(B213,12)="@outlook.com",RIGHT(B213,12)="@hotmail.com",RIGHT(B213,9)="@live.com"),"Outlook","Domain")))</f>
        <v/>
      </c>
      <c r="F213">
        <f>IF(B213="","",IFERROR(RIGHT(B213,LEN(B213)-FIND("@",B213)),""))</f>
        <v/>
      </c>
      <c r="G213">
        <f>IF(D213="KEEP",COUNTIF($D$2:D213,"KEEP"),"")</f>
        <v/>
      </c>
      <c r="H213">
        <f>IF(D213="REMOVE",COUNTIF($D$2:D213,"REMOVE"),"")</f>
        <v/>
      </c>
      <c r="I213">
        <f>IF(E213="Gmail",COUNTIF($E$2:E213,"Gmail"),"")</f>
        <v/>
      </c>
      <c r="J213">
        <f>IF(E213="Outlook",COUNTIF($E$2:E213,"Outlook"),"")</f>
        <v/>
      </c>
      <c r="K213">
        <f>IF(E213="Domain",COUNTIF($E$2:E213,"Domain"),"")</f>
        <v/>
      </c>
    </row>
    <row r="214">
      <c r="A214" s="2" t="n"/>
      <c r="B214">
        <f>LOWER(TRIM(A214))</f>
        <v/>
      </c>
      <c r="C214">
        <f>IF(B214="","",IFERROR(INDEX('Bad Patterns'!$A$2:$A$120,MATCH(1,INDEX(--ISNUMBER(SEARCH('Bad Patterns'!$A$2:$A$120,B214)),0),0)),""))</f>
        <v/>
      </c>
      <c r="D214">
        <f>IF(B214="","",IF(C214&lt;&gt;"","REMOVE","KEEP"))</f>
        <v/>
      </c>
      <c r="E214">
        <f>IF(D214&lt;&gt;"KEEP","",IF(RIGHT(B214,10)="@gmail.com","Gmail",IF(OR(RIGHT(B214,12)="@outlook.com",RIGHT(B214,12)="@hotmail.com",RIGHT(B214,9)="@live.com"),"Outlook","Domain")))</f>
        <v/>
      </c>
      <c r="F214">
        <f>IF(B214="","",IFERROR(RIGHT(B214,LEN(B214)-FIND("@",B214)),""))</f>
        <v/>
      </c>
      <c r="G214">
        <f>IF(D214="KEEP",COUNTIF($D$2:D214,"KEEP"),"")</f>
        <v/>
      </c>
      <c r="H214">
        <f>IF(D214="REMOVE",COUNTIF($D$2:D214,"REMOVE"),"")</f>
        <v/>
      </c>
      <c r="I214">
        <f>IF(E214="Gmail",COUNTIF($E$2:E214,"Gmail"),"")</f>
        <v/>
      </c>
      <c r="J214">
        <f>IF(E214="Outlook",COUNTIF($E$2:E214,"Outlook"),"")</f>
        <v/>
      </c>
      <c r="K214">
        <f>IF(E214="Domain",COUNTIF($E$2:E214,"Domain"),"")</f>
        <v/>
      </c>
    </row>
    <row r="215">
      <c r="A215" s="2" t="n"/>
      <c r="B215">
        <f>LOWER(TRIM(A215))</f>
        <v/>
      </c>
      <c r="C215">
        <f>IF(B215="","",IFERROR(INDEX('Bad Patterns'!$A$2:$A$120,MATCH(1,INDEX(--ISNUMBER(SEARCH('Bad Patterns'!$A$2:$A$120,B215)),0),0)),""))</f>
        <v/>
      </c>
      <c r="D215">
        <f>IF(B215="","",IF(C215&lt;&gt;"","REMOVE","KEEP"))</f>
        <v/>
      </c>
      <c r="E215">
        <f>IF(D215&lt;&gt;"KEEP","",IF(RIGHT(B215,10)="@gmail.com","Gmail",IF(OR(RIGHT(B215,12)="@outlook.com",RIGHT(B215,12)="@hotmail.com",RIGHT(B215,9)="@live.com"),"Outlook","Domain")))</f>
        <v/>
      </c>
      <c r="F215">
        <f>IF(B215="","",IFERROR(RIGHT(B215,LEN(B215)-FIND("@",B215)),""))</f>
        <v/>
      </c>
      <c r="G215">
        <f>IF(D215="KEEP",COUNTIF($D$2:D215,"KEEP"),"")</f>
        <v/>
      </c>
      <c r="H215">
        <f>IF(D215="REMOVE",COUNTIF($D$2:D215,"REMOVE"),"")</f>
        <v/>
      </c>
      <c r="I215">
        <f>IF(E215="Gmail",COUNTIF($E$2:E215,"Gmail"),"")</f>
        <v/>
      </c>
      <c r="J215">
        <f>IF(E215="Outlook",COUNTIF($E$2:E215,"Outlook"),"")</f>
        <v/>
      </c>
      <c r="K215">
        <f>IF(E215="Domain",COUNTIF($E$2:E215,"Domain"),"")</f>
        <v/>
      </c>
    </row>
    <row r="216">
      <c r="A216" s="2" t="n"/>
      <c r="B216">
        <f>LOWER(TRIM(A216))</f>
        <v/>
      </c>
      <c r="C216">
        <f>IF(B216="","",IFERROR(INDEX('Bad Patterns'!$A$2:$A$120,MATCH(1,INDEX(--ISNUMBER(SEARCH('Bad Patterns'!$A$2:$A$120,B216)),0),0)),""))</f>
        <v/>
      </c>
      <c r="D216">
        <f>IF(B216="","",IF(C216&lt;&gt;"","REMOVE","KEEP"))</f>
        <v/>
      </c>
      <c r="E216">
        <f>IF(D216&lt;&gt;"KEEP","",IF(RIGHT(B216,10)="@gmail.com","Gmail",IF(OR(RIGHT(B216,12)="@outlook.com",RIGHT(B216,12)="@hotmail.com",RIGHT(B216,9)="@live.com"),"Outlook","Domain")))</f>
        <v/>
      </c>
      <c r="F216">
        <f>IF(B216="","",IFERROR(RIGHT(B216,LEN(B216)-FIND("@",B216)),""))</f>
        <v/>
      </c>
      <c r="G216">
        <f>IF(D216="KEEP",COUNTIF($D$2:D216,"KEEP"),"")</f>
        <v/>
      </c>
      <c r="H216">
        <f>IF(D216="REMOVE",COUNTIF($D$2:D216,"REMOVE"),"")</f>
        <v/>
      </c>
      <c r="I216">
        <f>IF(E216="Gmail",COUNTIF($E$2:E216,"Gmail"),"")</f>
        <v/>
      </c>
      <c r="J216">
        <f>IF(E216="Outlook",COUNTIF($E$2:E216,"Outlook"),"")</f>
        <v/>
      </c>
      <c r="K216">
        <f>IF(E216="Domain",COUNTIF($E$2:E216,"Domain"),"")</f>
        <v/>
      </c>
    </row>
    <row r="217">
      <c r="A217" s="2" t="n"/>
      <c r="B217">
        <f>LOWER(TRIM(A217))</f>
        <v/>
      </c>
      <c r="C217">
        <f>IF(B217="","",IFERROR(INDEX('Bad Patterns'!$A$2:$A$120,MATCH(1,INDEX(--ISNUMBER(SEARCH('Bad Patterns'!$A$2:$A$120,B217)),0),0)),""))</f>
        <v/>
      </c>
      <c r="D217">
        <f>IF(B217="","",IF(C217&lt;&gt;"","REMOVE","KEEP"))</f>
        <v/>
      </c>
      <c r="E217">
        <f>IF(D217&lt;&gt;"KEEP","",IF(RIGHT(B217,10)="@gmail.com","Gmail",IF(OR(RIGHT(B217,12)="@outlook.com",RIGHT(B217,12)="@hotmail.com",RIGHT(B217,9)="@live.com"),"Outlook","Domain")))</f>
        <v/>
      </c>
      <c r="F217">
        <f>IF(B217="","",IFERROR(RIGHT(B217,LEN(B217)-FIND("@",B217)),""))</f>
        <v/>
      </c>
      <c r="G217">
        <f>IF(D217="KEEP",COUNTIF($D$2:D217,"KEEP"),"")</f>
        <v/>
      </c>
      <c r="H217">
        <f>IF(D217="REMOVE",COUNTIF($D$2:D217,"REMOVE"),"")</f>
        <v/>
      </c>
      <c r="I217">
        <f>IF(E217="Gmail",COUNTIF($E$2:E217,"Gmail"),"")</f>
        <v/>
      </c>
      <c r="J217">
        <f>IF(E217="Outlook",COUNTIF($E$2:E217,"Outlook"),"")</f>
        <v/>
      </c>
      <c r="K217">
        <f>IF(E217="Domain",COUNTIF($E$2:E217,"Domain"),"")</f>
        <v/>
      </c>
    </row>
    <row r="218">
      <c r="A218" s="2" t="n"/>
      <c r="B218">
        <f>LOWER(TRIM(A218))</f>
        <v/>
      </c>
      <c r="C218">
        <f>IF(B218="","",IFERROR(INDEX('Bad Patterns'!$A$2:$A$120,MATCH(1,INDEX(--ISNUMBER(SEARCH('Bad Patterns'!$A$2:$A$120,B218)),0),0)),""))</f>
        <v/>
      </c>
      <c r="D218">
        <f>IF(B218="","",IF(C218&lt;&gt;"","REMOVE","KEEP"))</f>
        <v/>
      </c>
      <c r="E218">
        <f>IF(D218&lt;&gt;"KEEP","",IF(RIGHT(B218,10)="@gmail.com","Gmail",IF(OR(RIGHT(B218,12)="@outlook.com",RIGHT(B218,12)="@hotmail.com",RIGHT(B218,9)="@live.com"),"Outlook","Domain")))</f>
        <v/>
      </c>
      <c r="F218">
        <f>IF(B218="","",IFERROR(RIGHT(B218,LEN(B218)-FIND("@",B218)),""))</f>
        <v/>
      </c>
      <c r="G218">
        <f>IF(D218="KEEP",COUNTIF($D$2:D218,"KEEP"),"")</f>
        <v/>
      </c>
      <c r="H218">
        <f>IF(D218="REMOVE",COUNTIF($D$2:D218,"REMOVE"),"")</f>
        <v/>
      </c>
      <c r="I218">
        <f>IF(E218="Gmail",COUNTIF($E$2:E218,"Gmail"),"")</f>
        <v/>
      </c>
      <c r="J218">
        <f>IF(E218="Outlook",COUNTIF($E$2:E218,"Outlook"),"")</f>
        <v/>
      </c>
      <c r="K218">
        <f>IF(E218="Domain",COUNTIF($E$2:E218,"Domain"),"")</f>
        <v/>
      </c>
    </row>
    <row r="219">
      <c r="A219" s="2" t="n"/>
      <c r="B219">
        <f>LOWER(TRIM(A219))</f>
        <v/>
      </c>
      <c r="C219">
        <f>IF(B219="","",IFERROR(INDEX('Bad Patterns'!$A$2:$A$120,MATCH(1,INDEX(--ISNUMBER(SEARCH('Bad Patterns'!$A$2:$A$120,B219)),0),0)),""))</f>
        <v/>
      </c>
      <c r="D219">
        <f>IF(B219="","",IF(C219&lt;&gt;"","REMOVE","KEEP"))</f>
        <v/>
      </c>
      <c r="E219">
        <f>IF(D219&lt;&gt;"KEEP","",IF(RIGHT(B219,10)="@gmail.com","Gmail",IF(OR(RIGHT(B219,12)="@outlook.com",RIGHT(B219,12)="@hotmail.com",RIGHT(B219,9)="@live.com"),"Outlook","Domain")))</f>
        <v/>
      </c>
      <c r="F219">
        <f>IF(B219="","",IFERROR(RIGHT(B219,LEN(B219)-FIND("@",B219)),""))</f>
        <v/>
      </c>
      <c r="G219">
        <f>IF(D219="KEEP",COUNTIF($D$2:D219,"KEEP"),"")</f>
        <v/>
      </c>
      <c r="H219">
        <f>IF(D219="REMOVE",COUNTIF($D$2:D219,"REMOVE"),"")</f>
        <v/>
      </c>
      <c r="I219">
        <f>IF(E219="Gmail",COUNTIF($E$2:E219,"Gmail"),"")</f>
        <v/>
      </c>
      <c r="J219">
        <f>IF(E219="Outlook",COUNTIF($E$2:E219,"Outlook"),"")</f>
        <v/>
      </c>
      <c r="K219">
        <f>IF(E219="Domain",COUNTIF($E$2:E219,"Domain"),"")</f>
        <v/>
      </c>
    </row>
    <row r="220">
      <c r="A220" s="2" t="n"/>
      <c r="B220">
        <f>LOWER(TRIM(A220))</f>
        <v/>
      </c>
      <c r="C220">
        <f>IF(B220="","",IFERROR(INDEX('Bad Patterns'!$A$2:$A$120,MATCH(1,INDEX(--ISNUMBER(SEARCH('Bad Patterns'!$A$2:$A$120,B220)),0),0)),""))</f>
        <v/>
      </c>
      <c r="D220">
        <f>IF(B220="","",IF(C220&lt;&gt;"","REMOVE","KEEP"))</f>
        <v/>
      </c>
      <c r="E220">
        <f>IF(D220&lt;&gt;"KEEP","",IF(RIGHT(B220,10)="@gmail.com","Gmail",IF(OR(RIGHT(B220,12)="@outlook.com",RIGHT(B220,12)="@hotmail.com",RIGHT(B220,9)="@live.com"),"Outlook","Domain")))</f>
        <v/>
      </c>
      <c r="F220">
        <f>IF(B220="","",IFERROR(RIGHT(B220,LEN(B220)-FIND("@",B220)),""))</f>
        <v/>
      </c>
      <c r="G220">
        <f>IF(D220="KEEP",COUNTIF($D$2:D220,"KEEP"),"")</f>
        <v/>
      </c>
      <c r="H220">
        <f>IF(D220="REMOVE",COUNTIF($D$2:D220,"REMOVE"),"")</f>
        <v/>
      </c>
      <c r="I220">
        <f>IF(E220="Gmail",COUNTIF($E$2:E220,"Gmail"),"")</f>
        <v/>
      </c>
      <c r="J220">
        <f>IF(E220="Outlook",COUNTIF($E$2:E220,"Outlook"),"")</f>
        <v/>
      </c>
      <c r="K220">
        <f>IF(E220="Domain",COUNTIF($E$2:E220,"Domain"),"")</f>
        <v/>
      </c>
    </row>
    <row r="221">
      <c r="A221" s="2" t="n"/>
      <c r="B221">
        <f>LOWER(TRIM(A221))</f>
        <v/>
      </c>
      <c r="C221">
        <f>IF(B221="","",IFERROR(INDEX('Bad Patterns'!$A$2:$A$120,MATCH(1,INDEX(--ISNUMBER(SEARCH('Bad Patterns'!$A$2:$A$120,B221)),0),0)),""))</f>
        <v/>
      </c>
      <c r="D221">
        <f>IF(B221="","",IF(C221&lt;&gt;"","REMOVE","KEEP"))</f>
        <v/>
      </c>
      <c r="E221">
        <f>IF(D221&lt;&gt;"KEEP","",IF(RIGHT(B221,10)="@gmail.com","Gmail",IF(OR(RIGHT(B221,12)="@outlook.com",RIGHT(B221,12)="@hotmail.com",RIGHT(B221,9)="@live.com"),"Outlook","Domain")))</f>
        <v/>
      </c>
      <c r="F221">
        <f>IF(B221="","",IFERROR(RIGHT(B221,LEN(B221)-FIND("@",B221)),""))</f>
        <v/>
      </c>
      <c r="G221">
        <f>IF(D221="KEEP",COUNTIF($D$2:D221,"KEEP"),"")</f>
        <v/>
      </c>
      <c r="H221">
        <f>IF(D221="REMOVE",COUNTIF($D$2:D221,"REMOVE"),"")</f>
        <v/>
      </c>
      <c r="I221">
        <f>IF(E221="Gmail",COUNTIF($E$2:E221,"Gmail"),"")</f>
        <v/>
      </c>
      <c r="J221">
        <f>IF(E221="Outlook",COUNTIF($E$2:E221,"Outlook"),"")</f>
        <v/>
      </c>
      <c r="K221">
        <f>IF(E221="Domain",COUNTIF($E$2:E221,"Domain"),"")</f>
        <v/>
      </c>
    </row>
    <row r="222">
      <c r="A222" s="2" t="n"/>
      <c r="B222">
        <f>LOWER(TRIM(A222))</f>
        <v/>
      </c>
      <c r="C222">
        <f>IF(B222="","",IFERROR(INDEX('Bad Patterns'!$A$2:$A$120,MATCH(1,INDEX(--ISNUMBER(SEARCH('Bad Patterns'!$A$2:$A$120,B222)),0),0)),""))</f>
        <v/>
      </c>
      <c r="D222">
        <f>IF(B222="","",IF(C222&lt;&gt;"","REMOVE","KEEP"))</f>
        <v/>
      </c>
      <c r="E222">
        <f>IF(D222&lt;&gt;"KEEP","",IF(RIGHT(B222,10)="@gmail.com","Gmail",IF(OR(RIGHT(B222,12)="@outlook.com",RIGHT(B222,12)="@hotmail.com",RIGHT(B222,9)="@live.com"),"Outlook","Domain")))</f>
        <v/>
      </c>
      <c r="F222">
        <f>IF(B222="","",IFERROR(RIGHT(B222,LEN(B222)-FIND("@",B222)),""))</f>
        <v/>
      </c>
      <c r="G222">
        <f>IF(D222="KEEP",COUNTIF($D$2:D222,"KEEP"),"")</f>
        <v/>
      </c>
      <c r="H222">
        <f>IF(D222="REMOVE",COUNTIF($D$2:D222,"REMOVE"),"")</f>
        <v/>
      </c>
      <c r="I222">
        <f>IF(E222="Gmail",COUNTIF($E$2:E222,"Gmail"),"")</f>
        <v/>
      </c>
      <c r="J222">
        <f>IF(E222="Outlook",COUNTIF($E$2:E222,"Outlook"),"")</f>
        <v/>
      </c>
      <c r="K222">
        <f>IF(E222="Domain",COUNTIF($E$2:E222,"Domain"),"")</f>
        <v/>
      </c>
    </row>
    <row r="223">
      <c r="A223" s="2" t="n"/>
      <c r="B223">
        <f>LOWER(TRIM(A223))</f>
        <v/>
      </c>
      <c r="C223">
        <f>IF(B223="","",IFERROR(INDEX('Bad Patterns'!$A$2:$A$120,MATCH(1,INDEX(--ISNUMBER(SEARCH('Bad Patterns'!$A$2:$A$120,B223)),0),0)),""))</f>
        <v/>
      </c>
      <c r="D223">
        <f>IF(B223="","",IF(C223&lt;&gt;"","REMOVE","KEEP"))</f>
        <v/>
      </c>
      <c r="E223">
        <f>IF(D223&lt;&gt;"KEEP","",IF(RIGHT(B223,10)="@gmail.com","Gmail",IF(OR(RIGHT(B223,12)="@outlook.com",RIGHT(B223,12)="@hotmail.com",RIGHT(B223,9)="@live.com"),"Outlook","Domain")))</f>
        <v/>
      </c>
      <c r="F223">
        <f>IF(B223="","",IFERROR(RIGHT(B223,LEN(B223)-FIND("@",B223)),""))</f>
        <v/>
      </c>
      <c r="G223">
        <f>IF(D223="KEEP",COUNTIF($D$2:D223,"KEEP"),"")</f>
        <v/>
      </c>
      <c r="H223">
        <f>IF(D223="REMOVE",COUNTIF($D$2:D223,"REMOVE"),"")</f>
        <v/>
      </c>
      <c r="I223">
        <f>IF(E223="Gmail",COUNTIF($E$2:E223,"Gmail"),"")</f>
        <v/>
      </c>
      <c r="J223">
        <f>IF(E223="Outlook",COUNTIF($E$2:E223,"Outlook"),"")</f>
        <v/>
      </c>
      <c r="K223">
        <f>IF(E223="Domain",COUNTIF($E$2:E223,"Domain"),"")</f>
        <v/>
      </c>
    </row>
    <row r="224">
      <c r="A224" s="2" t="n"/>
      <c r="B224">
        <f>LOWER(TRIM(A224))</f>
        <v/>
      </c>
      <c r="C224">
        <f>IF(B224="","",IFERROR(INDEX('Bad Patterns'!$A$2:$A$120,MATCH(1,INDEX(--ISNUMBER(SEARCH('Bad Patterns'!$A$2:$A$120,B224)),0),0)),""))</f>
        <v/>
      </c>
      <c r="D224">
        <f>IF(B224="","",IF(C224&lt;&gt;"","REMOVE","KEEP"))</f>
        <v/>
      </c>
      <c r="E224">
        <f>IF(D224&lt;&gt;"KEEP","",IF(RIGHT(B224,10)="@gmail.com","Gmail",IF(OR(RIGHT(B224,12)="@outlook.com",RIGHT(B224,12)="@hotmail.com",RIGHT(B224,9)="@live.com"),"Outlook","Domain")))</f>
        <v/>
      </c>
      <c r="F224">
        <f>IF(B224="","",IFERROR(RIGHT(B224,LEN(B224)-FIND("@",B224)),""))</f>
        <v/>
      </c>
      <c r="G224">
        <f>IF(D224="KEEP",COUNTIF($D$2:D224,"KEEP"),"")</f>
        <v/>
      </c>
      <c r="H224">
        <f>IF(D224="REMOVE",COUNTIF($D$2:D224,"REMOVE"),"")</f>
        <v/>
      </c>
      <c r="I224">
        <f>IF(E224="Gmail",COUNTIF($E$2:E224,"Gmail"),"")</f>
        <v/>
      </c>
      <c r="J224">
        <f>IF(E224="Outlook",COUNTIF($E$2:E224,"Outlook"),"")</f>
        <v/>
      </c>
      <c r="K224">
        <f>IF(E224="Domain",COUNTIF($E$2:E224,"Domain"),"")</f>
        <v/>
      </c>
    </row>
    <row r="225">
      <c r="A225" s="2" t="n"/>
      <c r="B225">
        <f>LOWER(TRIM(A225))</f>
        <v/>
      </c>
      <c r="C225">
        <f>IF(B225="","",IFERROR(INDEX('Bad Patterns'!$A$2:$A$120,MATCH(1,INDEX(--ISNUMBER(SEARCH('Bad Patterns'!$A$2:$A$120,B225)),0),0)),""))</f>
        <v/>
      </c>
      <c r="D225">
        <f>IF(B225="","",IF(C225&lt;&gt;"","REMOVE","KEEP"))</f>
        <v/>
      </c>
      <c r="E225">
        <f>IF(D225&lt;&gt;"KEEP","",IF(RIGHT(B225,10)="@gmail.com","Gmail",IF(OR(RIGHT(B225,12)="@outlook.com",RIGHT(B225,12)="@hotmail.com",RIGHT(B225,9)="@live.com"),"Outlook","Domain")))</f>
        <v/>
      </c>
      <c r="F225">
        <f>IF(B225="","",IFERROR(RIGHT(B225,LEN(B225)-FIND("@",B225)),""))</f>
        <v/>
      </c>
      <c r="G225">
        <f>IF(D225="KEEP",COUNTIF($D$2:D225,"KEEP"),"")</f>
        <v/>
      </c>
      <c r="H225">
        <f>IF(D225="REMOVE",COUNTIF($D$2:D225,"REMOVE"),"")</f>
        <v/>
      </c>
      <c r="I225">
        <f>IF(E225="Gmail",COUNTIF($E$2:E225,"Gmail"),"")</f>
        <v/>
      </c>
      <c r="J225">
        <f>IF(E225="Outlook",COUNTIF($E$2:E225,"Outlook"),"")</f>
        <v/>
      </c>
      <c r="K225">
        <f>IF(E225="Domain",COUNTIF($E$2:E225,"Domain"),"")</f>
        <v/>
      </c>
    </row>
    <row r="226">
      <c r="A226" s="2" t="n"/>
      <c r="B226">
        <f>LOWER(TRIM(A226))</f>
        <v/>
      </c>
      <c r="C226">
        <f>IF(B226="","",IFERROR(INDEX('Bad Patterns'!$A$2:$A$120,MATCH(1,INDEX(--ISNUMBER(SEARCH('Bad Patterns'!$A$2:$A$120,B226)),0),0)),""))</f>
        <v/>
      </c>
      <c r="D226">
        <f>IF(B226="","",IF(C226&lt;&gt;"","REMOVE","KEEP"))</f>
        <v/>
      </c>
      <c r="E226">
        <f>IF(D226&lt;&gt;"KEEP","",IF(RIGHT(B226,10)="@gmail.com","Gmail",IF(OR(RIGHT(B226,12)="@outlook.com",RIGHT(B226,12)="@hotmail.com",RIGHT(B226,9)="@live.com"),"Outlook","Domain")))</f>
        <v/>
      </c>
      <c r="F226">
        <f>IF(B226="","",IFERROR(RIGHT(B226,LEN(B226)-FIND("@",B226)),""))</f>
        <v/>
      </c>
      <c r="G226">
        <f>IF(D226="KEEP",COUNTIF($D$2:D226,"KEEP"),"")</f>
        <v/>
      </c>
      <c r="H226">
        <f>IF(D226="REMOVE",COUNTIF($D$2:D226,"REMOVE"),"")</f>
        <v/>
      </c>
      <c r="I226">
        <f>IF(E226="Gmail",COUNTIF($E$2:E226,"Gmail"),"")</f>
        <v/>
      </c>
      <c r="J226">
        <f>IF(E226="Outlook",COUNTIF($E$2:E226,"Outlook"),"")</f>
        <v/>
      </c>
      <c r="K226">
        <f>IF(E226="Domain",COUNTIF($E$2:E226,"Domain"),"")</f>
        <v/>
      </c>
    </row>
    <row r="227">
      <c r="A227" s="2" t="n"/>
      <c r="B227">
        <f>LOWER(TRIM(A227))</f>
        <v/>
      </c>
      <c r="C227">
        <f>IF(B227="","",IFERROR(INDEX('Bad Patterns'!$A$2:$A$120,MATCH(1,INDEX(--ISNUMBER(SEARCH('Bad Patterns'!$A$2:$A$120,B227)),0),0)),""))</f>
        <v/>
      </c>
      <c r="D227">
        <f>IF(B227="","",IF(C227&lt;&gt;"","REMOVE","KEEP"))</f>
        <v/>
      </c>
      <c r="E227">
        <f>IF(D227&lt;&gt;"KEEP","",IF(RIGHT(B227,10)="@gmail.com","Gmail",IF(OR(RIGHT(B227,12)="@outlook.com",RIGHT(B227,12)="@hotmail.com",RIGHT(B227,9)="@live.com"),"Outlook","Domain")))</f>
        <v/>
      </c>
      <c r="F227">
        <f>IF(B227="","",IFERROR(RIGHT(B227,LEN(B227)-FIND("@",B227)),""))</f>
        <v/>
      </c>
      <c r="G227">
        <f>IF(D227="KEEP",COUNTIF($D$2:D227,"KEEP"),"")</f>
        <v/>
      </c>
      <c r="H227">
        <f>IF(D227="REMOVE",COUNTIF($D$2:D227,"REMOVE"),"")</f>
        <v/>
      </c>
      <c r="I227">
        <f>IF(E227="Gmail",COUNTIF($E$2:E227,"Gmail"),"")</f>
        <v/>
      </c>
      <c r="J227">
        <f>IF(E227="Outlook",COUNTIF($E$2:E227,"Outlook"),"")</f>
        <v/>
      </c>
      <c r="K227">
        <f>IF(E227="Domain",COUNTIF($E$2:E227,"Domain"),"")</f>
        <v/>
      </c>
    </row>
    <row r="228">
      <c r="A228" s="2" t="n"/>
      <c r="B228">
        <f>LOWER(TRIM(A228))</f>
        <v/>
      </c>
      <c r="C228">
        <f>IF(B228="","",IFERROR(INDEX('Bad Patterns'!$A$2:$A$120,MATCH(1,INDEX(--ISNUMBER(SEARCH('Bad Patterns'!$A$2:$A$120,B228)),0),0)),""))</f>
        <v/>
      </c>
      <c r="D228">
        <f>IF(B228="","",IF(C228&lt;&gt;"","REMOVE","KEEP"))</f>
        <v/>
      </c>
      <c r="E228">
        <f>IF(D228&lt;&gt;"KEEP","",IF(RIGHT(B228,10)="@gmail.com","Gmail",IF(OR(RIGHT(B228,12)="@outlook.com",RIGHT(B228,12)="@hotmail.com",RIGHT(B228,9)="@live.com"),"Outlook","Domain")))</f>
        <v/>
      </c>
      <c r="F228">
        <f>IF(B228="","",IFERROR(RIGHT(B228,LEN(B228)-FIND("@",B228)),""))</f>
        <v/>
      </c>
      <c r="G228">
        <f>IF(D228="KEEP",COUNTIF($D$2:D228,"KEEP"),"")</f>
        <v/>
      </c>
      <c r="H228">
        <f>IF(D228="REMOVE",COUNTIF($D$2:D228,"REMOVE"),"")</f>
        <v/>
      </c>
      <c r="I228">
        <f>IF(E228="Gmail",COUNTIF($E$2:E228,"Gmail"),"")</f>
        <v/>
      </c>
      <c r="J228">
        <f>IF(E228="Outlook",COUNTIF($E$2:E228,"Outlook"),"")</f>
        <v/>
      </c>
      <c r="K228">
        <f>IF(E228="Domain",COUNTIF($E$2:E228,"Domain"),"")</f>
        <v/>
      </c>
    </row>
    <row r="229">
      <c r="A229" s="2" t="n"/>
      <c r="B229">
        <f>LOWER(TRIM(A229))</f>
        <v/>
      </c>
      <c r="C229">
        <f>IF(B229="","",IFERROR(INDEX('Bad Patterns'!$A$2:$A$120,MATCH(1,INDEX(--ISNUMBER(SEARCH('Bad Patterns'!$A$2:$A$120,B229)),0),0)),""))</f>
        <v/>
      </c>
      <c r="D229">
        <f>IF(B229="","",IF(C229&lt;&gt;"","REMOVE","KEEP"))</f>
        <v/>
      </c>
      <c r="E229">
        <f>IF(D229&lt;&gt;"KEEP","",IF(RIGHT(B229,10)="@gmail.com","Gmail",IF(OR(RIGHT(B229,12)="@outlook.com",RIGHT(B229,12)="@hotmail.com",RIGHT(B229,9)="@live.com"),"Outlook","Domain")))</f>
        <v/>
      </c>
      <c r="F229">
        <f>IF(B229="","",IFERROR(RIGHT(B229,LEN(B229)-FIND("@",B229)),""))</f>
        <v/>
      </c>
      <c r="G229">
        <f>IF(D229="KEEP",COUNTIF($D$2:D229,"KEEP"),"")</f>
        <v/>
      </c>
      <c r="H229">
        <f>IF(D229="REMOVE",COUNTIF($D$2:D229,"REMOVE"),"")</f>
        <v/>
      </c>
      <c r="I229">
        <f>IF(E229="Gmail",COUNTIF($E$2:E229,"Gmail"),"")</f>
        <v/>
      </c>
      <c r="J229">
        <f>IF(E229="Outlook",COUNTIF($E$2:E229,"Outlook"),"")</f>
        <v/>
      </c>
      <c r="K229">
        <f>IF(E229="Domain",COUNTIF($E$2:E229,"Domain"),"")</f>
        <v/>
      </c>
    </row>
    <row r="230">
      <c r="A230" s="2" t="n"/>
      <c r="B230">
        <f>LOWER(TRIM(A230))</f>
        <v/>
      </c>
      <c r="C230">
        <f>IF(B230="","",IFERROR(INDEX('Bad Patterns'!$A$2:$A$120,MATCH(1,INDEX(--ISNUMBER(SEARCH('Bad Patterns'!$A$2:$A$120,B230)),0),0)),""))</f>
        <v/>
      </c>
      <c r="D230">
        <f>IF(B230="","",IF(C230&lt;&gt;"","REMOVE","KEEP"))</f>
        <v/>
      </c>
      <c r="E230">
        <f>IF(D230&lt;&gt;"KEEP","",IF(RIGHT(B230,10)="@gmail.com","Gmail",IF(OR(RIGHT(B230,12)="@outlook.com",RIGHT(B230,12)="@hotmail.com",RIGHT(B230,9)="@live.com"),"Outlook","Domain")))</f>
        <v/>
      </c>
      <c r="F230">
        <f>IF(B230="","",IFERROR(RIGHT(B230,LEN(B230)-FIND("@",B230)),""))</f>
        <v/>
      </c>
      <c r="G230">
        <f>IF(D230="KEEP",COUNTIF($D$2:D230,"KEEP"),"")</f>
        <v/>
      </c>
      <c r="H230">
        <f>IF(D230="REMOVE",COUNTIF($D$2:D230,"REMOVE"),"")</f>
        <v/>
      </c>
      <c r="I230">
        <f>IF(E230="Gmail",COUNTIF($E$2:E230,"Gmail"),"")</f>
        <v/>
      </c>
      <c r="J230">
        <f>IF(E230="Outlook",COUNTIF($E$2:E230,"Outlook"),"")</f>
        <v/>
      </c>
      <c r="K230">
        <f>IF(E230="Domain",COUNTIF($E$2:E230,"Domain"),"")</f>
        <v/>
      </c>
    </row>
    <row r="231">
      <c r="A231" s="2" t="n"/>
      <c r="B231">
        <f>LOWER(TRIM(A231))</f>
        <v/>
      </c>
      <c r="C231">
        <f>IF(B231="","",IFERROR(INDEX('Bad Patterns'!$A$2:$A$120,MATCH(1,INDEX(--ISNUMBER(SEARCH('Bad Patterns'!$A$2:$A$120,B231)),0),0)),""))</f>
        <v/>
      </c>
      <c r="D231">
        <f>IF(B231="","",IF(C231&lt;&gt;"","REMOVE","KEEP"))</f>
        <v/>
      </c>
      <c r="E231">
        <f>IF(D231&lt;&gt;"KEEP","",IF(RIGHT(B231,10)="@gmail.com","Gmail",IF(OR(RIGHT(B231,12)="@outlook.com",RIGHT(B231,12)="@hotmail.com",RIGHT(B231,9)="@live.com"),"Outlook","Domain")))</f>
        <v/>
      </c>
      <c r="F231">
        <f>IF(B231="","",IFERROR(RIGHT(B231,LEN(B231)-FIND("@",B231)),""))</f>
        <v/>
      </c>
      <c r="G231">
        <f>IF(D231="KEEP",COUNTIF($D$2:D231,"KEEP"),"")</f>
        <v/>
      </c>
      <c r="H231">
        <f>IF(D231="REMOVE",COUNTIF($D$2:D231,"REMOVE"),"")</f>
        <v/>
      </c>
      <c r="I231">
        <f>IF(E231="Gmail",COUNTIF($E$2:E231,"Gmail"),"")</f>
        <v/>
      </c>
      <c r="J231">
        <f>IF(E231="Outlook",COUNTIF($E$2:E231,"Outlook"),"")</f>
        <v/>
      </c>
      <c r="K231">
        <f>IF(E231="Domain",COUNTIF($E$2:E231,"Domain"),"")</f>
        <v/>
      </c>
    </row>
    <row r="232">
      <c r="A232" s="2" t="n"/>
      <c r="B232">
        <f>LOWER(TRIM(A232))</f>
        <v/>
      </c>
      <c r="C232">
        <f>IF(B232="","",IFERROR(INDEX('Bad Patterns'!$A$2:$A$120,MATCH(1,INDEX(--ISNUMBER(SEARCH('Bad Patterns'!$A$2:$A$120,B232)),0),0)),""))</f>
        <v/>
      </c>
      <c r="D232">
        <f>IF(B232="","",IF(C232&lt;&gt;"","REMOVE","KEEP"))</f>
        <v/>
      </c>
      <c r="E232">
        <f>IF(D232&lt;&gt;"KEEP","",IF(RIGHT(B232,10)="@gmail.com","Gmail",IF(OR(RIGHT(B232,12)="@outlook.com",RIGHT(B232,12)="@hotmail.com",RIGHT(B232,9)="@live.com"),"Outlook","Domain")))</f>
        <v/>
      </c>
      <c r="F232">
        <f>IF(B232="","",IFERROR(RIGHT(B232,LEN(B232)-FIND("@",B232)),""))</f>
        <v/>
      </c>
      <c r="G232">
        <f>IF(D232="KEEP",COUNTIF($D$2:D232,"KEEP"),"")</f>
        <v/>
      </c>
      <c r="H232">
        <f>IF(D232="REMOVE",COUNTIF($D$2:D232,"REMOVE"),"")</f>
        <v/>
      </c>
      <c r="I232">
        <f>IF(E232="Gmail",COUNTIF($E$2:E232,"Gmail"),"")</f>
        <v/>
      </c>
      <c r="J232">
        <f>IF(E232="Outlook",COUNTIF($E$2:E232,"Outlook"),"")</f>
        <v/>
      </c>
      <c r="K232">
        <f>IF(E232="Domain",COUNTIF($E$2:E232,"Domain"),"")</f>
        <v/>
      </c>
    </row>
    <row r="233">
      <c r="A233" s="2" t="n"/>
      <c r="B233">
        <f>LOWER(TRIM(A233))</f>
        <v/>
      </c>
      <c r="C233">
        <f>IF(B233="","",IFERROR(INDEX('Bad Patterns'!$A$2:$A$120,MATCH(1,INDEX(--ISNUMBER(SEARCH('Bad Patterns'!$A$2:$A$120,B233)),0),0)),""))</f>
        <v/>
      </c>
      <c r="D233">
        <f>IF(B233="","",IF(C233&lt;&gt;"","REMOVE","KEEP"))</f>
        <v/>
      </c>
      <c r="E233">
        <f>IF(D233&lt;&gt;"KEEP","",IF(RIGHT(B233,10)="@gmail.com","Gmail",IF(OR(RIGHT(B233,12)="@outlook.com",RIGHT(B233,12)="@hotmail.com",RIGHT(B233,9)="@live.com"),"Outlook","Domain")))</f>
        <v/>
      </c>
      <c r="F233">
        <f>IF(B233="","",IFERROR(RIGHT(B233,LEN(B233)-FIND("@",B233)),""))</f>
        <v/>
      </c>
      <c r="G233">
        <f>IF(D233="KEEP",COUNTIF($D$2:D233,"KEEP"),"")</f>
        <v/>
      </c>
      <c r="H233">
        <f>IF(D233="REMOVE",COUNTIF($D$2:D233,"REMOVE"),"")</f>
        <v/>
      </c>
      <c r="I233">
        <f>IF(E233="Gmail",COUNTIF($E$2:E233,"Gmail"),"")</f>
        <v/>
      </c>
      <c r="J233">
        <f>IF(E233="Outlook",COUNTIF($E$2:E233,"Outlook"),"")</f>
        <v/>
      </c>
      <c r="K233">
        <f>IF(E233="Domain",COUNTIF($E$2:E233,"Domain"),"")</f>
        <v/>
      </c>
    </row>
    <row r="234">
      <c r="A234" s="2" t="n"/>
      <c r="B234">
        <f>LOWER(TRIM(A234))</f>
        <v/>
      </c>
      <c r="C234">
        <f>IF(B234="","",IFERROR(INDEX('Bad Patterns'!$A$2:$A$120,MATCH(1,INDEX(--ISNUMBER(SEARCH('Bad Patterns'!$A$2:$A$120,B234)),0),0)),""))</f>
        <v/>
      </c>
      <c r="D234">
        <f>IF(B234="","",IF(C234&lt;&gt;"","REMOVE","KEEP"))</f>
        <v/>
      </c>
      <c r="E234">
        <f>IF(D234&lt;&gt;"KEEP","",IF(RIGHT(B234,10)="@gmail.com","Gmail",IF(OR(RIGHT(B234,12)="@outlook.com",RIGHT(B234,12)="@hotmail.com",RIGHT(B234,9)="@live.com"),"Outlook","Domain")))</f>
        <v/>
      </c>
      <c r="F234">
        <f>IF(B234="","",IFERROR(RIGHT(B234,LEN(B234)-FIND("@",B234)),""))</f>
        <v/>
      </c>
      <c r="G234">
        <f>IF(D234="KEEP",COUNTIF($D$2:D234,"KEEP"),"")</f>
        <v/>
      </c>
      <c r="H234">
        <f>IF(D234="REMOVE",COUNTIF($D$2:D234,"REMOVE"),"")</f>
        <v/>
      </c>
      <c r="I234">
        <f>IF(E234="Gmail",COUNTIF($E$2:E234,"Gmail"),"")</f>
        <v/>
      </c>
      <c r="J234">
        <f>IF(E234="Outlook",COUNTIF($E$2:E234,"Outlook"),"")</f>
        <v/>
      </c>
      <c r="K234">
        <f>IF(E234="Domain",COUNTIF($E$2:E234,"Domain"),"")</f>
        <v/>
      </c>
    </row>
    <row r="235">
      <c r="A235" s="2" t="n"/>
      <c r="B235">
        <f>LOWER(TRIM(A235))</f>
        <v/>
      </c>
      <c r="C235">
        <f>IF(B235="","",IFERROR(INDEX('Bad Patterns'!$A$2:$A$120,MATCH(1,INDEX(--ISNUMBER(SEARCH('Bad Patterns'!$A$2:$A$120,B235)),0),0)),""))</f>
        <v/>
      </c>
      <c r="D235">
        <f>IF(B235="","",IF(C235&lt;&gt;"","REMOVE","KEEP"))</f>
        <v/>
      </c>
      <c r="E235">
        <f>IF(D235&lt;&gt;"KEEP","",IF(RIGHT(B235,10)="@gmail.com","Gmail",IF(OR(RIGHT(B235,12)="@outlook.com",RIGHT(B235,12)="@hotmail.com",RIGHT(B235,9)="@live.com"),"Outlook","Domain")))</f>
        <v/>
      </c>
      <c r="F235">
        <f>IF(B235="","",IFERROR(RIGHT(B235,LEN(B235)-FIND("@",B235)),""))</f>
        <v/>
      </c>
      <c r="G235">
        <f>IF(D235="KEEP",COUNTIF($D$2:D235,"KEEP"),"")</f>
        <v/>
      </c>
      <c r="H235">
        <f>IF(D235="REMOVE",COUNTIF($D$2:D235,"REMOVE"),"")</f>
        <v/>
      </c>
      <c r="I235">
        <f>IF(E235="Gmail",COUNTIF($E$2:E235,"Gmail"),"")</f>
        <v/>
      </c>
      <c r="J235">
        <f>IF(E235="Outlook",COUNTIF($E$2:E235,"Outlook"),"")</f>
        <v/>
      </c>
      <c r="K235">
        <f>IF(E235="Domain",COUNTIF($E$2:E235,"Domain"),"")</f>
        <v/>
      </c>
    </row>
    <row r="236">
      <c r="A236" s="2" t="n"/>
      <c r="B236">
        <f>LOWER(TRIM(A236))</f>
        <v/>
      </c>
      <c r="C236">
        <f>IF(B236="","",IFERROR(INDEX('Bad Patterns'!$A$2:$A$120,MATCH(1,INDEX(--ISNUMBER(SEARCH('Bad Patterns'!$A$2:$A$120,B236)),0),0)),""))</f>
        <v/>
      </c>
      <c r="D236">
        <f>IF(B236="","",IF(C236&lt;&gt;"","REMOVE","KEEP"))</f>
        <v/>
      </c>
      <c r="E236">
        <f>IF(D236&lt;&gt;"KEEP","",IF(RIGHT(B236,10)="@gmail.com","Gmail",IF(OR(RIGHT(B236,12)="@outlook.com",RIGHT(B236,12)="@hotmail.com",RIGHT(B236,9)="@live.com"),"Outlook","Domain")))</f>
        <v/>
      </c>
      <c r="F236">
        <f>IF(B236="","",IFERROR(RIGHT(B236,LEN(B236)-FIND("@",B236)),""))</f>
        <v/>
      </c>
      <c r="G236">
        <f>IF(D236="KEEP",COUNTIF($D$2:D236,"KEEP"),"")</f>
        <v/>
      </c>
      <c r="H236">
        <f>IF(D236="REMOVE",COUNTIF($D$2:D236,"REMOVE"),"")</f>
        <v/>
      </c>
      <c r="I236">
        <f>IF(E236="Gmail",COUNTIF($E$2:E236,"Gmail"),"")</f>
        <v/>
      </c>
      <c r="J236">
        <f>IF(E236="Outlook",COUNTIF($E$2:E236,"Outlook"),"")</f>
        <v/>
      </c>
      <c r="K236">
        <f>IF(E236="Domain",COUNTIF($E$2:E236,"Domain"),"")</f>
        <v/>
      </c>
    </row>
    <row r="237">
      <c r="A237" s="2" t="n"/>
      <c r="B237">
        <f>LOWER(TRIM(A237))</f>
        <v/>
      </c>
      <c r="C237">
        <f>IF(B237="","",IFERROR(INDEX('Bad Patterns'!$A$2:$A$120,MATCH(1,INDEX(--ISNUMBER(SEARCH('Bad Patterns'!$A$2:$A$120,B237)),0),0)),""))</f>
        <v/>
      </c>
      <c r="D237">
        <f>IF(B237="","",IF(C237&lt;&gt;"","REMOVE","KEEP"))</f>
        <v/>
      </c>
      <c r="E237">
        <f>IF(D237&lt;&gt;"KEEP","",IF(RIGHT(B237,10)="@gmail.com","Gmail",IF(OR(RIGHT(B237,12)="@outlook.com",RIGHT(B237,12)="@hotmail.com",RIGHT(B237,9)="@live.com"),"Outlook","Domain")))</f>
        <v/>
      </c>
      <c r="F237">
        <f>IF(B237="","",IFERROR(RIGHT(B237,LEN(B237)-FIND("@",B237)),""))</f>
        <v/>
      </c>
      <c r="G237">
        <f>IF(D237="KEEP",COUNTIF($D$2:D237,"KEEP"),"")</f>
        <v/>
      </c>
      <c r="H237">
        <f>IF(D237="REMOVE",COUNTIF($D$2:D237,"REMOVE"),"")</f>
        <v/>
      </c>
      <c r="I237">
        <f>IF(E237="Gmail",COUNTIF($E$2:E237,"Gmail"),"")</f>
        <v/>
      </c>
      <c r="J237">
        <f>IF(E237="Outlook",COUNTIF($E$2:E237,"Outlook"),"")</f>
        <v/>
      </c>
      <c r="K237">
        <f>IF(E237="Domain",COUNTIF($E$2:E237,"Domain"),"")</f>
        <v/>
      </c>
    </row>
    <row r="238">
      <c r="A238" s="2" t="n"/>
      <c r="B238">
        <f>LOWER(TRIM(A238))</f>
        <v/>
      </c>
      <c r="C238">
        <f>IF(B238="","",IFERROR(INDEX('Bad Patterns'!$A$2:$A$120,MATCH(1,INDEX(--ISNUMBER(SEARCH('Bad Patterns'!$A$2:$A$120,B238)),0),0)),""))</f>
        <v/>
      </c>
      <c r="D238">
        <f>IF(B238="","",IF(C238&lt;&gt;"","REMOVE","KEEP"))</f>
        <v/>
      </c>
      <c r="E238">
        <f>IF(D238&lt;&gt;"KEEP","",IF(RIGHT(B238,10)="@gmail.com","Gmail",IF(OR(RIGHT(B238,12)="@outlook.com",RIGHT(B238,12)="@hotmail.com",RIGHT(B238,9)="@live.com"),"Outlook","Domain")))</f>
        <v/>
      </c>
      <c r="F238">
        <f>IF(B238="","",IFERROR(RIGHT(B238,LEN(B238)-FIND("@",B238)),""))</f>
        <v/>
      </c>
      <c r="G238">
        <f>IF(D238="KEEP",COUNTIF($D$2:D238,"KEEP"),"")</f>
        <v/>
      </c>
      <c r="H238">
        <f>IF(D238="REMOVE",COUNTIF($D$2:D238,"REMOVE"),"")</f>
        <v/>
      </c>
      <c r="I238">
        <f>IF(E238="Gmail",COUNTIF($E$2:E238,"Gmail"),"")</f>
        <v/>
      </c>
      <c r="J238">
        <f>IF(E238="Outlook",COUNTIF($E$2:E238,"Outlook"),"")</f>
        <v/>
      </c>
      <c r="K238">
        <f>IF(E238="Domain",COUNTIF($E$2:E238,"Domain"),"")</f>
        <v/>
      </c>
    </row>
    <row r="239">
      <c r="A239" s="2" t="n"/>
      <c r="B239">
        <f>LOWER(TRIM(A239))</f>
        <v/>
      </c>
      <c r="C239">
        <f>IF(B239="","",IFERROR(INDEX('Bad Patterns'!$A$2:$A$120,MATCH(1,INDEX(--ISNUMBER(SEARCH('Bad Patterns'!$A$2:$A$120,B239)),0),0)),""))</f>
        <v/>
      </c>
      <c r="D239">
        <f>IF(B239="","",IF(C239&lt;&gt;"","REMOVE","KEEP"))</f>
        <v/>
      </c>
      <c r="E239">
        <f>IF(D239&lt;&gt;"KEEP","",IF(RIGHT(B239,10)="@gmail.com","Gmail",IF(OR(RIGHT(B239,12)="@outlook.com",RIGHT(B239,12)="@hotmail.com",RIGHT(B239,9)="@live.com"),"Outlook","Domain")))</f>
        <v/>
      </c>
      <c r="F239">
        <f>IF(B239="","",IFERROR(RIGHT(B239,LEN(B239)-FIND("@",B239)),""))</f>
        <v/>
      </c>
      <c r="G239">
        <f>IF(D239="KEEP",COUNTIF($D$2:D239,"KEEP"),"")</f>
        <v/>
      </c>
      <c r="H239">
        <f>IF(D239="REMOVE",COUNTIF($D$2:D239,"REMOVE"),"")</f>
        <v/>
      </c>
      <c r="I239">
        <f>IF(E239="Gmail",COUNTIF($E$2:E239,"Gmail"),"")</f>
        <v/>
      </c>
      <c r="J239">
        <f>IF(E239="Outlook",COUNTIF($E$2:E239,"Outlook"),"")</f>
        <v/>
      </c>
      <c r="K239">
        <f>IF(E239="Domain",COUNTIF($E$2:E239,"Domain"),"")</f>
        <v/>
      </c>
    </row>
    <row r="240">
      <c r="A240" s="2" t="n"/>
      <c r="B240">
        <f>LOWER(TRIM(A240))</f>
        <v/>
      </c>
      <c r="C240">
        <f>IF(B240="","",IFERROR(INDEX('Bad Patterns'!$A$2:$A$120,MATCH(1,INDEX(--ISNUMBER(SEARCH('Bad Patterns'!$A$2:$A$120,B240)),0),0)),""))</f>
        <v/>
      </c>
      <c r="D240">
        <f>IF(B240="","",IF(C240&lt;&gt;"","REMOVE","KEEP"))</f>
        <v/>
      </c>
      <c r="E240">
        <f>IF(D240&lt;&gt;"KEEP","",IF(RIGHT(B240,10)="@gmail.com","Gmail",IF(OR(RIGHT(B240,12)="@outlook.com",RIGHT(B240,12)="@hotmail.com",RIGHT(B240,9)="@live.com"),"Outlook","Domain")))</f>
        <v/>
      </c>
      <c r="F240">
        <f>IF(B240="","",IFERROR(RIGHT(B240,LEN(B240)-FIND("@",B240)),""))</f>
        <v/>
      </c>
      <c r="G240">
        <f>IF(D240="KEEP",COUNTIF($D$2:D240,"KEEP"),"")</f>
        <v/>
      </c>
      <c r="H240">
        <f>IF(D240="REMOVE",COUNTIF($D$2:D240,"REMOVE"),"")</f>
        <v/>
      </c>
      <c r="I240">
        <f>IF(E240="Gmail",COUNTIF($E$2:E240,"Gmail"),"")</f>
        <v/>
      </c>
      <c r="J240">
        <f>IF(E240="Outlook",COUNTIF($E$2:E240,"Outlook"),"")</f>
        <v/>
      </c>
      <c r="K240">
        <f>IF(E240="Domain",COUNTIF($E$2:E240,"Domain"),"")</f>
        <v/>
      </c>
    </row>
    <row r="241">
      <c r="A241" s="2" t="n"/>
      <c r="B241">
        <f>LOWER(TRIM(A241))</f>
        <v/>
      </c>
      <c r="C241">
        <f>IF(B241="","",IFERROR(INDEX('Bad Patterns'!$A$2:$A$120,MATCH(1,INDEX(--ISNUMBER(SEARCH('Bad Patterns'!$A$2:$A$120,B241)),0),0)),""))</f>
        <v/>
      </c>
      <c r="D241">
        <f>IF(B241="","",IF(C241&lt;&gt;"","REMOVE","KEEP"))</f>
        <v/>
      </c>
      <c r="E241">
        <f>IF(D241&lt;&gt;"KEEP","",IF(RIGHT(B241,10)="@gmail.com","Gmail",IF(OR(RIGHT(B241,12)="@outlook.com",RIGHT(B241,12)="@hotmail.com",RIGHT(B241,9)="@live.com"),"Outlook","Domain")))</f>
        <v/>
      </c>
      <c r="F241">
        <f>IF(B241="","",IFERROR(RIGHT(B241,LEN(B241)-FIND("@",B241)),""))</f>
        <v/>
      </c>
      <c r="G241">
        <f>IF(D241="KEEP",COUNTIF($D$2:D241,"KEEP"),"")</f>
        <v/>
      </c>
      <c r="H241">
        <f>IF(D241="REMOVE",COUNTIF($D$2:D241,"REMOVE"),"")</f>
        <v/>
      </c>
      <c r="I241">
        <f>IF(E241="Gmail",COUNTIF($E$2:E241,"Gmail"),"")</f>
        <v/>
      </c>
      <c r="J241">
        <f>IF(E241="Outlook",COUNTIF($E$2:E241,"Outlook"),"")</f>
        <v/>
      </c>
      <c r="K241">
        <f>IF(E241="Domain",COUNTIF($E$2:E241,"Domain"),"")</f>
        <v/>
      </c>
    </row>
    <row r="242">
      <c r="A242" s="2" t="n"/>
      <c r="B242">
        <f>LOWER(TRIM(A242))</f>
        <v/>
      </c>
      <c r="C242">
        <f>IF(B242="","",IFERROR(INDEX('Bad Patterns'!$A$2:$A$120,MATCH(1,INDEX(--ISNUMBER(SEARCH('Bad Patterns'!$A$2:$A$120,B242)),0),0)),""))</f>
        <v/>
      </c>
      <c r="D242">
        <f>IF(B242="","",IF(C242&lt;&gt;"","REMOVE","KEEP"))</f>
        <v/>
      </c>
      <c r="E242">
        <f>IF(D242&lt;&gt;"KEEP","",IF(RIGHT(B242,10)="@gmail.com","Gmail",IF(OR(RIGHT(B242,12)="@outlook.com",RIGHT(B242,12)="@hotmail.com",RIGHT(B242,9)="@live.com"),"Outlook","Domain")))</f>
        <v/>
      </c>
      <c r="F242">
        <f>IF(B242="","",IFERROR(RIGHT(B242,LEN(B242)-FIND("@",B242)),""))</f>
        <v/>
      </c>
      <c r="G242">
        <f>IF(D242="KEEP",COUNTIF($D$2:D242,"KEEP"),"")</f>
        <v/>
      </c>
      <c r="H242">
        <f>IF(D242="REMOVE",COUNTIF($D$2:D242,"REMOVE"),"")</f>
        <v/>
      </c>
      <c r="I242">
        <f>IF(E242="Gmail",COUNTIF($E$2:E242,"Gmail"),"")</f>
        <v/>
      </c>
      <c r="J242">
        <f>IF(E242="Outlook",COUNTIF($E$2:E242,"Outlook"),"")</f>
        <v/>
      </c>
      <c r="K242">
        <f>IF(E242="Domain",COUNTIF($E$2:E242,"Domain"),"")</f>
        <v/>
      </c>
    </row>
    <row r="243">
      <c r="A243" s="2" t="n"/>
      <c r="B243">
        <f>LOWER(TRIM(A243))</f>
        <v/>
      </c>
      <c r="C243">
        <f>IF(B243="","",IFERROR(INDEX('Bad Patterns'!$A$2:$A$120,MATCH(1,INDEX(--ISNUMBER(SEARCH('Bad Patterns'!$A$2:$A$120,B243)),0),0)),""))</f>
        <v/>
      </c>
      <c r="D243">
        <f>IF(B243="","",IF(C243&lt;&gt;"","REMOVE","KEEP"))</f>
        <v/>
      </c>
      <c r="E243">
        <f>IF(D243&lt;&gt;"KEEP","",IF(RIGHT(B243,10)="@gmail.com","Gmail",IF(OR(RIGHT(B243,12)="@outlook.com",RIGHT(B243,12)="@hotmail.com",RIGHT(B243,9)="@live.com"),"Outlook","Domain")))</f>
        <v/>
      </c>
      <c r="F243">
        <f>IF(B243="","",IFERROR(RIGHT(B243,LEN(B243)-FIND("@",B243)),""))</f>
        <v/>
      </c>
      <c r="G243">
        <f>IF(D243="KEEP",COUNTIF($D$2:D243,"KEEP"),"")</f>
        <v/>
      </c>
      <c r="H243">
        <f>IF(D243="REMOVE",COUNTIF($D$2:D243,"REMOVE"),"")</f>
        <v/>
      </c>
      <c r="I243">
        <f>IF(E243="Gmail",COUNTIF($E$2:E243,"Gmail"),"")</f>
        <v/>
      </c>
      <c r="J243">
        <f>IF(E243="Outlook",COUNTIF($E$2:E243,"Outlook"),"")</f>
        <v/>
      </c>
      <c r="K243">
        <f>IF(E243="Domain",COUNTIF($E$2:E243,"Domain"),"")</f>
        <v/>
      </c>
    </row>
    <row r="244">
      <c r="A244" s="2" t="n"/>
      <c r="B244">
        <f>LOWER(TRIM(A244))</f>
        <v/>
      </c>
      <c r="C244">
        <f>IF(B244="","",IFERROR(INDEX('Bad Patterns'!$A$2:$A$120,MATCH(1,INDEX(--ISNUMBER(SEARCH('Bad Patterns'!$A$2:$A$120,B244)),0),0)),""))</f>
        <v/>
      </c>
      <c r="D244">
        <f>IF(B244="","",IF(C244&lt;&gt;"","REMOVE","KEEP"))</f>
        <v/>
      </c>
      <c r="E244">
        <f>IF(D244&lt;&gt;"KEEP","",IF(RIGHT(B244,10)="@gmail.com","Gmail",IF(OR(RIGHT(B244,12)="@outlook.com",RIGHT(B244,12)="@hotmail.com",RIGHT(B244,9)="@live.com"),"Outlook","Domain")))</f>
        <v/>
      </c>
      <c r="F244">
        <f>IF(B244="","",IFERROR(RIGHT(B244,LEN(B244)-FIND("@",B244)),""))</f>
        <v/>
      </c>
      <c r="G244">
        <f>IF(D244="KEEP",COUNTIF($D$2:D244,"KEEP"),"")</f>
        <v/>
      </c>
      <c r="H244">
        <f>IF(D244="REMOVE",COUNTIF($D$2:D244,"REMOVE"),"")</f>
        <v/>
      </c>
      <c r="I244">
        <f>IF(E244="Gmail",COUNTIF($E$2:E244,"Gmail"),"")</f>
        <v/>
      </c>
      <c r="J244">
        <f>IF(E244="Outlook",COUNTIF($E$2:E244,"Outlook"),"")</f>
        <v/>
      </c>
      <c r="K244">
        <f>IF(E244="Domain",COUNTIF($E$2:E244,"Domain"),"")</f>
        <v/>
      </c>
    </row>
    <row r="245">
      <c r="A245" s="2" t="n"/>
      <c r="B245">
        <f>LOWER(TRIM(A245))</f>
        <v/>
      </c>
      <c r="C245">
        <f>IF(B245="","",IFERROR(INDEX('Bad Patterns'!$A$2:$A$120,MATCH(1,INDEX(--ISNUMBER(SEARCH('Bad Patterns'!$A$2:$A$120,B245)),0),0)),""))</f>
        <v/>
      </c>
      <c r="D245">
        <f>IF(B245="","",IF(C245&lt;&gt;"","REMOVE","KEEP"))</f>
        <v/>
      </c>
      <c r="E245">
        <f>IF(D245&lt;&gt;"KEEP","",IF(RIGHT(B245,10)="@gmail.com","Gmail",IF(OR(RIGHT(B245,12)="@outlook.com",RIGHT(B245,12)="@hotmail.com",RIGHT(B245,9)="@live.com"),"Outlook","Domain")))</f>
        <v/>
      </c>
      <c r="F245">
        <f>IF(B245="","",IFERROR(RIGHT(B245,LEN(B245)-FIND("@",B245)),""))</f>
        <v/>
      </c>
      <c r="G245">
        <f>IF(D245="KEEP",COUNTIF($D$2:D245,"KEEP"),"")</f>
        <v/>
      </c>
      <c r="H245">
        <f>IF(D245="REMOVE",COUNTIF($D$2:D245,"REMOVE"),"")</f>
        <v/>
      </c>
      <c r="I245">
        <f>IF(E245="Gmail",COUNTIF($E$2:E245,"Gmail"),"")</f>
        <v/>
      </c>
      <c r="J245">
        <f>IF(E245="Outlook",COUNTIF($E$2:E245,"Outlook"),"")</f>
        <v/>
      </c>
      <c r="K245">
        <f>IF(E245="Domain",COUNTIF($E$2:E245,"Domain"),"")</f>
        <v/>
      </c>
    </row>
    <row r="246">
      <c r="A246" s="2" t="n"/>
      <c r="B246">
        <f>LOWER(TRIM(A246))</f>
        <v/>
      </c>
      <c r="C246">
        <f>IF(B246="","",IFERROR(INDEX('Bad Patterns'!$A$2:$A$120,MATCH(1,INDEX(--ISNUMBER(SEARCH('Bad Patterns'!$A$2:$A$120,B246)),0),0)),""))</f>
        <v/>
      </c>
      <c r="D246">
        <f>IF(B246="","",IF(C246&lt;&gt;"","REMOVE","KEEP"))</f>
        <v/>
      </c>
      <c r="E246">
        <f>IF(D246&lt;&gt;"KEEP","",IF(RIGHT(B246,10)="@gmail.com","Gmail",IF(OR(RIGHT(B246,12)="@outlook.com",RIGHT(B246,12)="@hotmail.com",RIGHT(B246,9)="@live.com"),"Outlook","Domain")))</f>
        <v/>
      </c>
      <c r="F246">
        <f>IF(B246="","",IFERROR(RIGHT(B246,LEN(B246)-FIND("@",B246)),""))</f>
        <v/>
      </c>
      <c r="G246">
        <f>IF(D246="KEEP",COUNTIF($D$2:D246,"KEEP"),"")</f>
        <v/>
      </c>
      <c r="H246">
        <f>IF(D246="REMOVE",COUNTIF($D$2:D246,"REMOVE"),"")</f>
        <v/>
      </c>
      <c r="I246">
        <f>IF(E246="Gmail",COUNTIF($E$2:E246,"Gmail"),"")</f>
        <v/>
      </c>
      <c r="J246">
        <f>IF(E246="Outlook",COUNTIF($E$2:E246,"Outlook"),"")</f>
        <v/>
      </c>
      <c r="K246">
        <f>IF(E246="Domain",COUNTIF($E$2:E246,"Domain"),"")</f>
        <v/>
      </c>
    </row>
    <row r="247">
      <c r="A247" s="2" t="n"/>
      <c r="B247">
        <f>LOWER(TRIM(A247))</f>
        <v/>
      </c>
      <c r="C247">
        <f>IF(B247="","",IFERROR(INDEX('Bad Patterns'!$A$2:$A$120,MATCH(1,INDEX(--ISNUMBER(SEARCH('Bad Patterns'!$A$2:$A$120,B247)),0),0)),""))</f>
        <v/>
      </c>
      <c r="D247">
        <f>IF(B247="","",IF(C247&lt;&gt;"","REMOVE","KEEP"))</f>
        <v/>
      </c>
      <c r="E247">
        <f>IF(D247&lt;&gt;"KEEP","",IF(RIGHT(B247,10)="@gmail.com","Gmail",IF(OR(RIGHT(B247,12)="@outlook.com",RIGHT(B247,12)="@hotmail.com",RIGHT(B247,9)="@live.com"),"Outlook","Domain")))</f>
        <v/>
      </c>
      <c r="F247">
        <f>IF(B247="","",IFERROR(RIGHT(B247,LEN(B247)-FIND("@",B247)),""))</f>
        <v/>
      </c>
      <c r="G247">
        <f>IF(D247="KEEP",COUNTIF($D$2:D247,"KEEP"),"")</f>
        <v/>
      </c>
      <c r="H247">
        <f>IF(D247="REMOVE",COUNTIF($D$2:D247,"REMOVE"),"")</f>
        <v/>
      </c>
      <c r="I247">
        <f>IF(E247="Gmail",COUNTIF($E$2:E247,"Gmail"),"")</f>
        <v/>
      </c>
      <c r="J247">
        <f>IF(E247="Outlook",COUNTIF($E$2:E247,"Outlook"),"")</f>
        <v/>
      </c>
      <c r="K247">
        <f>IF(E247="Domain",COUNTIF($E$2:E247,"Domain"),"")</f>
        <v/>
      </c>
    </row>
    <row r="248">
      <c r="A248" s="2" t="n"/>
      <c r="B248">
        <f>LOWER(TRIM(A248))</f>
        <v/>
      </c>
      <c r="C248">
        <f>IF(B248="","",IFERROR(INDEX('Bad Patterns'!$A$2:$A$120,MATCH(1,INDEX(--ISNUMBER(SEARCH('Bad Patterns'!$A$2:$A$120,B248)),0),0)),""))</f>
        <v/>
      </c>
      <c r="D248">
        <f>IF(B248="","",IF(C248&lt;&gt;"","REMOVE","KEEP"))</f>
        <v/>
      </c>
      <c r="E248">
        <f>IF(D248&lt;&gt;"KEEP","",IF(RIGHT(B248,10)="@gmail.com","Gmail",IF(OR(RIGHT(B248,12)="@outlook.com",RIGHT(B248,12)="@hotmail.com",RIGHT(B248,9)="@live.com"),"Outlook","Domain")))</f>
        <v/>
      </c>
      <c r="F248">
        <f>IF(B248="","",IFERROR(RIGHT(B248,LEN(B248)-FIND("@",B248)),""))</f>
        <v/>
      </c>
      <c r="G248">
        <f>IF(D248="KEEP",COUNTIF($D$2:D248,"KEEP"),"")</f>
        <v/>
      </c>
      <c r="H248">
        <f>IF(D248="REMOVE",COUNTIF($D$2:D248,"REMOVE"),"")</f>
        <v/>
      </c>
      <c r="I248">
        <f>IF(E248="Gmail",COUNTIF($E$2:E248,"Gmail"),"")</f>
        <v/>
      </c>
      <c r="J248">
        <f>IF(E248="Outlook",COUNTIF($E$2:E248,"Outlook"),"")</f>
        <v/>
      </c>
      <c r="K248">
        <f>IF(E248="Domain",COUNTIF($E$2:E248,"Domain"),"")</f>
        <v/>
      </c>
    </row>
    <row r="249">
      <c r="A249" s="2" t="n"/>
      <c r="B249">
        <f>LOWER(TRIM(A249))</f>
        <v/>
      </c>
      <c r="C249">
        <f>IF(B249="","",IFERROR(INDEX('Bad Patterns'!$A$2:$A$120,MATCH(1,INDEX(--ISNUMBER(SEARCH('Bad Patterns'!$A$2:$A$120,B249)),0),0)),""))</f>
        <v/>
      </c>
      <c r="D249">
        <f>IF(B249="","",IF(C249&lt;&gt;"","REMOVE","KEEP"))</f>
        <v/>
      </c>
      <c r="E249">
        <f>IF(D249&lt;&gt;"KEEP","",IF(RIGHT(B249,10)="@gmail.com","Gmail",IF(OR(RIGHT(B249,12)="@outlook.com",RIGHT(B249,12)="@hotmail.com",RIGHT(B249,9)="@live.com"),"Outlook","Domain")))</f>
        <v/>
      </c>
      <c r="F249">
        <f>IF(B249="","",IFERROR(RIGHT(B249,LEN(B249)-FIND("@",B249)),""))</f>
        <v/>
      </c>
      <c r="G249">
        <f>IF(D249="KEEP",COUNTIF($D$2:D249,"KEEP"),"")</f>
        <v/>
      </c>
      <c r="H249">
        <f>IF(D249="REMOVE",COUNTIF($D$2:D249,"REMOVE"),"")</f>
        <v/>
      </c>
      <c r="I249">
        <f>IF(E249="Gmail",COUNTIF($E$2:E249,"Gmail"),"")</f>
        <v/>
      </c>
      <c r="J249">
        <f>IF(E249="Outlook",COUNTIF($E$2:E249,"Outlook"),"")</f>
        <v/>
      </c>
      <c r="K249">
        <f>IF(E249="Domain",COUNTIF($E$2:E249,"Domain"),"")</f>
        <v/>
      </c>
    </row>
    <row r="250">
      <c r="A250" s="2" t="n"/>
      <c r="B250">
        <f>LOWER(TRIM(A250))</f>
        <v/>
      </c>
      <c r="C250">
        <f>IF(B250="","",IFERROR(INDEX('Bad Patterns'!$A$2:$A$120,MATCH(1,INDEX(--ISNUMBER(SEARCH('Bad Patterns'!$A$2:$A$120,B250)),0),0)),""))</f>
        <v/>
      </c>
      <c r="D250">
        <f>IF(B250="","",IF(C250&lt;&gt;"","REMOVE","KEEP"))</f>
        <v/>
      </c>
      <c r="E250">
        <f>IF(D250&lt;&gt;"KEEP","",IF(RIGHT(B250,10)="@gmail.com","Gmail",IF(OR(RIGHT(B250,12)="@outlook.com",RIGHT(B250,12)="@hotmail.com",RIGHT(B250,9)="@live.com"),"Outlook","Domain")))</f>
        <v/>
      </c>
      <c r="F250">
        <f>IF(B250="","",IFERROR(RIGHT(B250,LEN(B250)-FIND("@",B250)),""))</f>
        <v/>
      </c>
      <c r="G250">
        <f>IF(D250="KEEP",COUNTIF($D$2:D250,"KEEP"),"")</f>
        <v/>
      </c>
      <c r="H250">
        <f>IF(D250="REMOVE",COUNTIF($D$2:D250,"REMOVE"),"")</f>
        <v/>
      </c>
      <c r="I250">
        <f>IF(E250="Gmail",COUNTIF($E$2:E250,"Gmail"),"")</f>
        <v/>
      </c>
      <c r="J250">
        <f>IF(E250="Outlook",COUNTIF($E$2:E250,"Outlook"),"")</f>
        <v/>
      </c>
      <c r="K250">
        <f>IF(E250="Domain",COUNTIF($E$2:E250,"Domain"),"")</f>
        <v/>
      </c>
    </row>
    <row r="251">
      <c r="A251" s="2" t="n"/>
      <c r="B251">
        <f>LOWER(TRIM(A251))</f>
        <v/>
      </c>
      <c r="C251">
        <f>IF(B251="","",IFERROR(INDEX('Bad Patterns'!$A$2:$A$120,MATCH(1,INDEX(--ISNUMBER(SEARCH('Bad Patterns'!$A$2:$A$120,B251)),0),0)),""))</f>
        <v/>
      </c>
      <c r="D251">
        <f>IF(B251="","",IF(C251&lt;&gt;"","REMOVE","KEEP"))</f>
        <v/>
      </c>
      <c r="E251">
        <f>IF(D251&lt;&gt;"KEEP","",IF(RIGHT(B251,10)="@gmail.com","Gmail",IF(OR(RIGHT(B251,12)="@outlook.com",RIGHT(B251,12)="@hotmail.com",RIGHT(B251,9)="@live.com"),"Outlook","Domain")))</f>
        <v/>
      </c>
      <c r="F251">
        <f>IF(B251="","",IFERROR(RIGHT(B251,LEN(B251)-FIND("@",B251)),""))</f>
        <v/>
      </c>
      <c r="G251">
        <f>IF(D251="KEEP",COUNTIF($D$2:D251,"KEEP"),"")</f>
        <v/>
      </c>
      <c r="H251">
        <f>IF(D251="REMOVE",COUNTIF($D$2:D251,"REMOVE"),"")</f>
        <v/>
      </c>
      <c r="I251">
        <f>IF(E251="Gmail",COUNTIF($E$2:E251,"Gmail"),"")</f>
        <v/>
      </c>
      <c r="J251">
        <f>IF(E251="Outlook",COUNTIF($E$2:E251,"Outlook"),"")</f>
        <v/>
      </c>
      <c r="K251">
        <f>IF(E251="Domain",COUNTIF($E$2:E251,"Domain"),"")</f>
        <v/>
      </c>
    </row>
    <row r="252">
      <c r="A252" s="2" t="n"/>
      <c r="B252">
        <f>LOWER(TRIM(A252))</f>
        <v/>
      </c>
      <c r="C252">
        <f>IF(B252="","",IFERROR(INDEX('Bad Patterns'!$A$2:$A$120,MATCH(1,INDEX(--ISNUMBER(SEARCH('Bad Patterns'!$A$2:$A$120,B252)),0),0)),""))</f>
        <v/>
      </c>
      <c r="D252">
        <f>IF(B252="","",IF(C252&lt;&gt;"","REMOVE","KEEP"))</f>
        <v/>
      </c>
      <c r="E252">
        <f>IF(D252&lt;&gt;"KEEP","",IF(RIGHT(B252,10)="@gmail.com","Gmail",IF(OR(RIGHT(B252,12)="@outlook.com",RIGHT(B252,12)="@hotmail.com",RIGHT(B252,9)="@live.com"),"Outlook","Domain")))</f>
        <v/>
      </c>
      <c r="F252">
        <f>IF(B252="","",IFERROR(RIGHT(B252,LEN(B252)-FIND("@",B252)),""))</f>
        <v/>
      </c>
      <c r="G252">
        <f>IF(D252="KEEP",COUNTIF($D$2:D252,"KEEP"),"")</f>
        <v/>
      </c>
      <c r="H252">
        <f>IF(D252="REMOVE",COUNTIF($D$2:D252,"REMOVE"),"")</f>
        <v/>
      </c>
      <c r="I252">
        <f>IF(E252="Gmail",COUNTIF($E$2:E252,"Gmail"),"")</f>
        <v/>
      </c>
      <c r="J252">
        <f>IF(E252="Outlook",COUNTIF($E$2:E252,"Outlook"),"")</f>
        <v/>
      </c>
      <c r="K252">
        <f>IF(E252="Domain",COUNTIF($E$2:E252,"Domain"),"")</f>
        <v/>
      </c>
    </row>
    <row r="253">
      <c r="A253" s="2" t="n"/>
      <c r="B253">
        <f>LOWER(TRIM(A253))</f>
        <v/>
      </c>
      <c r="C253">
        <f>IF(B253="","",IFERROR(INDEX('Bad Patterns'!$A$2:$A$120,MATCH(1,INDEX(--ISNUMBER(SEARCH('Bad Patterns'!$A$2:$A$120,B253)),0),0)),""))</f>
        <v/>
      </c>
      <c r="D253">
        <f>IF(B253="","",IF(C253&lt;&gt;"","REMOVE","KEEP"))</f>
        <v/>
      </c>
      <c r="E253">
        <f>IF(D253&lt;&gt;"KEEP","",IF(RIGHT(B253,10)="@gmail.com","Gmail",IF(OR(RIGHT(B253,12)="@outlook.com",RIGHT(B253,12)="@hotmail.com",RIGHT(B253,9)="@live.com"),"Outlook","Domain")))</f>
        <v/>
      </c>
      <c r="F253">
        <f>IF(B253="","",IFERROR(RIGHT(B253,LEN(B253)-FIND("@",B253)),""))</f>
        <v/>
      </c>
      <c r="G253">
        <f>IF(D253="KEEP",COUNTIF($D$2:D253,"KEEP"),"")</f>
        <v/>
      </c>
      <c r="H253">
        <f>IF(D253="REMOVE",COUNTIF($D$2:D253,"REMOVE"),"")</f>
        <v/>
      </c>
      <c r="I253">
        <f>IF(E253="Gmail",COUNTIF($E$2:E253,"Gmail"),"")</f>
        <v/>
      </c>
      <c r="J253">
        <f>IF(E253="Outlook",COUNTIF($E$2:E253,"Outlook"),"")</f>
        <v/>
      </c>
      <c r="K253">
        <f>IF(E253="Domain",COUNTIF($E$2:E253,"Domain"),"")</f>
        <v/>
      </c>
    </row>
    <row r="254">
      <c r="A254" s="2" t="n"/>
      <c r="B254">
        <f>LOWER(TRIM(A254))</f>
        <v/>
      </c>
      <c r="C254">
        <f>IF(B254="","",IFERROR(INDEX('Bad Patterns'!$A$2:$A$120,MATCH(1,INDEX(--ISNUMBER(SEARCH('Bad Patterns'!$A$2:$A$120,B254)),0),0)),""))</f>
        <v/>
      </c>
      <c r="D254">
        <f>IF(B254="","",IF(C254&lt;&gt;"","REMOVE","KEEP"))</f>
        <v/>
      </c>
      <c r="E254">
        <f>IF(D254&lt;&gt;"KEEP","",IF(RIGHT(B254,10)="@gmail.com","Gmail",IF(OR(RIGHT(B254,12)="@outlook.com",RIGHT(B254,12)="@hotmail.com",RIGHT(B254,9)="@live.com"),"Outlook","Domain")))</f>
        <v/>
      </c>
      <c r="F254">
        <f>IF(B254="","",IFERROR(RIGHT(B254,LEN(B254)-FIND("@",B254)),""))</f>
        <v/>
      </c>
      <c r="G254">
        <f>IF(D254="KEEP",COUNTIF($D$2:D254,"KEEP"),"")</f>
        <v/>
      </c>
      <c r="H254">
        <f>IF(D254="REMOVE",COUNTIF($D$2:D254,"REMOVE"),"")</f>
        <v/>
      </c>
      <c r="I254">
        <f>IF(E254="Gmail",COUNTIF($E$2:E254,"Gmail"),"")</f>
        <v/>
      </c>
      <c r="J254">
        <f>IF(E254="Outlook",COUNTIF($E$2:E254,"Outlook"),"")</f>
        <v/>
      </c>
      <c r="K254">
        <f>IF(E254="Domain",COUNTIF($E$2:E254,"Domain"),"")</f>
        <v/>
      </c>
    </row>
    <row r="255">
      <c r="A255" s="2" t="n"/>
      <c r="B255">
        <f>LOWER(TRIM(A255))</f>
        <v/>
      </c>
      <c r="C255">
        <f>IF(B255="","",IFERROR(INDEX('Bad Patterns'!$A$2:$A$120,MATCH(1,INDEX(--ISNUMBER(SEARCH('Bad Patterns'!$A$2:$A$120,B255)),0),0)),""))</f>
        <v/>
      </c>
      <c r="D255">
        <f>IF(B255="","",IF(C255&lt;&gt;"","REMOVE","KEEP"))</f>
        <v/>
      </c>
      <c r="E255">
        <f>IF(D255&lt;&gt;"KEEP","",IF(RIGHT(B255,10)="@gmail.com","Gmail",IF(OR(RIGHT(B255,12)="@outlook.com",RIGHT(B255,12)="@hotmail.com",RIGHT(B255,9)="@live.com"),"Outlook","Domain")))</f>
        <v/>
      </c>
      <c r="F255">
        <f>IF(B255="","",IFERROR(RIGHT(B255,LEN(B255)-FIND("@",B255)),""))</f>
        <v/>
      </c>
      <c r="G255">
        <f>IF(D255="KEEP",COUNTIF($D$2:D255,"KEEP"),"")</f>
        <v/>
      </c>
      <c r="H255">
        <f>IF(D255="REMOVE",COUNTIF($D$2:D255,"REMOVE"),"")</f>
        <v/>
      </c>
      <c r="I255">
        <f>IF(E255="Gmail",COUNTIF($E$2:E255,"Gmail"),"")</f>
        <v/>
      </c>
      <c r="J255">
        <f>IF(E255="Outlook",COUNTIF($E$2:E255,"Outlook"),"")</f>
        <v/>
      </c>
      <c r="K255">
        <f>IF(E255="Domain",COUNTIF($E$2:E255,"Domain"),"")</f>
        <v/>
      </c>
    </row>
    <row r="256">
      <c r="A256" s="2" t="n"/>
      <c r="B256">
        <f>LOWER(TRIM(A256))</f>
        <v/>
      </c>
      <c r="C256">
        <f>IF(B256="","",IFERROR(INDEX('Bad Patterns'!$A$2:$A$120,MATCH(1,INDEX(--ISNUMBER(SEARCH('Bad Patterns'!$A$2:$A$120,B256)),0),0)),""))</f>
        <v/>
      </c>
      <c r="D256">
        <f>IF(B256="","",IF(C256&lt;&gt;"","REMOVE","KEEP"))</f>
        <v/>
      </c>
      <c r="E256">
        <f>IF(D256&lt;&gt;"KEEP","",IF(RIGHT(B256,10)="@gmail.com","Gmail",IF(OR(RIGHT(B256,12)="@outlook.com",RIGHT(B256,12)="@hotmail.com",RIGHT(B256,9)="@live.com"),"Outlook","Domain")))</f>
        <v/>
      </c>
      <c r="F256">
        <f>IF(B256="","",IFERROR(RIGHT(B256,LEN(B256)-FIND("@",B256)),""))</f>
        <v/>
      </c>
      <c r="G256">
        <f>IF(D256="KEEP",COUNTIF($D$2:D256,"KEEP"),"")</f>
        <v/>
      </c>
      <c r="H256">
        <f>IF(D256="REMOVE",COUNTIF($D$2:D256,"REMOVE"),"")</f>
        <v/>
      </c>
      <c r="I256">
        <f>IF(E256="Gmail",COUNTIF($E$2:E256,"Gmail"),"")</f>
        <v/>
      </c>
      <c r="J256">
        <f>IF(E256="Outlook",COUNTIF($E$2:E256,"Outlook"),"")</f>
        <v/>
      </c>
      <c r="K256">
        <f>IF(E256="Domain",COUNTIF($E$2:E256,"Domain"),"")</f>
        <v/>
      </c>
    </row>
    <row r="257">
      <c r="A257" s="2" t="n"/>
      <c r="B257">
        <f>LOWER(TRIM(A257))</f>
        <v/>
      </c>
      <c r="C257">
        <f>IF(B257="","",IFERROR(INDEX('Bad Patterns'!$A$2:$A$120,MATCH(1,INDEX(--ISNUMBER(SEARCH('Bad Patterns'!$A$2:$A$120,B257)),0),0)),""))</f>
        <v/>
      </c>
      <c r="D257">
        <f>IF(B257="","",IF(C257&lt;&gt;"","REMOVE","KEEP"))</f>
        <v/>
      </c>
      <c r="E257">
        <f>IF(D257&lt;&gt;"KEEP","",IF(RIGHT(B257,10)="@gmail.com","Gmail",IF(OR(RIGHT(B257,12)="@outlook.com",RIGHT(B257,12)="@hotmail.com",RIGHT(B257,9)="@live.com"),"Outlook","Domain")))</f>
        <v/>
      </c>
      <c r="F257">
        <f>IF(B257="","",IFERROR(RIGHT(B257,LEN(B257)-FIND("@",B257)),""))</f>
        <v/>
      </c>
      <c r="G257">
        <f>IF(D257="KEEP",COUNTIF($D$2:D257,"KEEP"),"")</f>
        <v/>
      </c>
      <c r="H257">
        <f>IF(D257="REMOVE",COUNTIF($D$2:D257,"REMOVE"),"")</f>
        <v/>
      </c>
      <c r="I257">
        <f>IF(E257="Gmail",COUNTIF($E$2:E257,"Gmail"),"")</f>
        <v/>
      </c>
      <c r="J257">
        <f>IF(E257="Outlook",COUNTIF($E$2:E257,"Outlook"),"")</f>
        <v/>
      </c>
      <c r="K257">
        <f>IF(E257="Domain",COUNTIF($E$2:E257,"Domain"),"")</f>
        <v/>
      </c>
    </row>
    <row r="258">
      <c r="A258" s="2" t="n"/>
      <c r="B258">
        <f>LOWER(TRIM(A258))</f>
        <v/>
      </c>
      <c r="C258">
        <f>IF(B258="","",IFERROR(INDEX('Bad Patterns'!$A$2:$A$120,MATCH(1,INDEX(--ISNUMBER(SEARCH('Bad Patterns'!$A$2:$A$120,B258)),0),0)),""))</f>
        <v/>
      </c>
      <c r="D258">
        <f>IF(B258="","",IF(C258&lt;&gt;"","REMOVE","KEEP"))</f>
        <v/>
      </c>
      <c r="E258">
        <f>IF(D258&lt;&gt;"KEEP","",IF(RIGHT(B258,10)="@gmail.com","Gmail",IF(OR(RIGHT(B258,12)="@outlook.com",RIGHT(B258,12)="@hotmail.com",RIGHT(B258,9)="@live.com"),"Outlook","Domain")))</f>
        <v/>
      </c>
      <c r="F258">
        <f>IF(B258="","",IFERROR(RIGHT(B258,LEN(B258)-FIND("@",B258)),""))</f>
        <v/>
      </c>
      <c r="G258">
        <f>IF(D258="KEEP",COUNTIF($D$2:D258,"KEEP"),"")</f>
        <v/>
      </c>
      <c r="H258">
        <f>IF(D258="REMOVE",COUNTIF($D$2:D258,"REMOVE"),"")</f>
        <v/>
      </c>
      <c r="I258">
        <f>IF(E258="Gmail",COUNTIF($E$2:E258,"Gmail"),"")</f>
        <v/>
      </c>
      <c r="J258">
        <f>IF(E258="Outlook",COUNTIF($E$2:E258,"Outlook"),"")</f>
        <v/>
      </c>
      <c r="K258">
        <f>IF(E258="Domain",COUNTIF($E$2:E258,"Domain"),"")</f>
        <v/>
      </c>
    </row>
    <row r="259">
      <c r="A259" s="2" t="n"/>
      <c r="B259">
        <f>LOWER(TRIM(A259))</f>
        <v/>
      </c>
      <c r="C259">
        <f>IF(B259="","",IFERROR(INDEX('Bad Patterns'!$A$2:$A$120,MATCH(1,INDEX(--ISNUMBER(SEARCH('Bad Patterns'!$A$2:$A$120,B259)),0),0)),""))</f>
        <v/>
      </c>
      <c r="D259">
        <f>IF(B259="","",IF(C259&lt;&gt;"","REMOVE","KEEP"))</f>
        <v/>
      </c>
      <c r="E259">
        <f>IF(D259&lt;&gt;"KEEP","",IF(RIGHT(B259,10)="@gmail.com","Gmail",IF(OR(RIGHT(B259,12)="@outlook.com",RIGHT(B259,12)="@hotmail.com",RIGHT(B259,9)="@live.com"),"Outlook","Domain")))</f>
        <v/>
      </c>
      <c r="F259">
        <f>IF(B259="","",IFERROR(RIGHT(B259,LEN(B259)-FIND("@",B259)),""))</f>
        <v/>
      </c>
      <c r="G259">
        <f>IF(D259="KEEP",COUNTIF($D$2:D259,"KEEP"),"")</f>
        <v/>
      </c>
      <c r="H259">
        <f>IF(D259="REMOVE",COUNTIF($D$2:D259,"REMOVE"),"")</f>
        <v/>
      </c>
      <c r="I259">
        <f>IF(E259="Gmail",COUNTIF($E$2:E259,"Gmail"),"")</f>
        <v/>
      </c>
      <c r="J259">
        <f>IF(E259="Outlook",COUNTIF($E$2:E259,"Outlook"),"")</f>
        <v/>
      </c>
      <c r="K259">
        <f>IF(E259="Domain",COUNTIF($E$2:E259,"Domain"),"")</f>
        <v/>
      </c>
    </row>
    <row r="260">
      <c r="A260" s="2" t="n"/>
      <c r="B260">
        <f>LOWER(TRIM(A260))</f>
        <v/>
      </c>
      <c r="C260">
        <f>IF(B260="","",IFERROR(INDEX('Bad Patterns'!$A$2:$A$120,MATCH(1,INDEX(--ISNUMBER(SEARCH('Bad Patterns'!$A$2:$A$120,B260)),0),0)),""))</f>
        <v/>
      </c>
      <c r="D260">
        <f>IF(B260="","",IF(C260&lt;&gt;"","REMOVE","KEEP"))</f>
        <v/>
      </c>
      <c r="E260">
        <f>IF(D260&lt;&gt;"KEEP","",IF(RIGHT(B260,10)="@gmail.com","Gmail",IF(OR(RIGHT(B260,12)="@outlook.com",RIGHT(B260,12)="@hotmail.com",RIGHT(B260,9)="@live.com"),"Outlook","Domain")))</f>
        <v/>
      </c>
      <c r="F260">
        <f>IF(B260="","",IFERROR(RIGHT(B260,LEN(B260)-FIND("@",B260)),""))</f>
        <v/>
      </c>
      <c r="G260">
        <f>IF(D260="KEEP",COUNTIF($D$2:D260,"KEEP"),"")</f>
        <v/>
      </c>
      <c r="H260">
        <f>IF(D260="REMOVE",COUNTIF($D$2:D260,"REMOVE"),"")</f>
        <v/>
      </c>
      <c r="I260">
        <f>IF(E260="Gmail",COUNTIF($E$2:E260,"Gmail"),"")</f>
        <v/>
      </c>
      <c r="J260">
        <f>IF(E260="Outlook",COUNTIF($E$2:E260,"Outlook"),"")</f>
        <v/>
      </c>
      <c r="K260">
        <f>IF(E260="Domain",COUNTIF($E$2:E260,"Domain"),"")</f>
        <v/>
      </c>
    </row>
    <row r="261">
      <c r="A261" s="2" t="n"/>
      <c r="B261">
        <f>LOWER(TRIM(A261))</f>
        <v/>
      </c>
      <c r="C261">
        <f>IF(B261="","",IFERROR(INDEX('Bad Patterns'!$A$2:$A$120,MATCH(1,INDEX(--ISNUMBER(SEARCH('Bad Patterns'!$A$2:$A$120,B261)),0),0)),""))</f>
        <v/>
      </c>
      <c r="D261">
        <f>IF(B261="","",IF(C261&lt;&gt;"","REMOVE","KEEP"))</f>
        <v/>
      </c>
      <c r="E261">
        <f>IF(D261&lt;&gt;"KEEP","",IF(RIGHT(B261,10)="@gmail.com","Gmail",IF(OR(RIGHT(B261,12)="@outlook.com",RIGHT(B261,12)="@hotmail.com",RIGHT(B261,9)="@live.com"),"Outlook","Domain")))</f>
        <v/>
      </c>
      <c r="F261">
        <f>IF(B261="","",IFERROR(RIGHT(B261,LEN(B261)-FIND("@",B261)),""))</f>
        <v/>
      </c>
      <c r="G261">
        <f>IF(D261="KEEP",COUNTIF($D$2:D261,"KEEP"),"")</f>
        <v/>
      </c>
      <c r="H261">
        <f>IF(D261="REMOVE",COUNTIF($D$2:D261,"REMOVE"),"")</f>
        <v/>
      </c>
      <c r="I261">
        <f>IF(E261="Gmail",COUNTIF($E$2:E261,"Gmail"),"")</f>
        <v/>
      </c>
      <c r="J261">
        <f>IF(E261="Outlook",COUNTIF($E$2:E261,"Outlook"),"")</f>
        <v/>
      </c>
      <c r="K261">
        <f>IF(E261="Domain",COUNTIF($E$2:E261,"Domain"),"")</f>
        <v/>
      </c>
    </row>
    <row r="262">
      <c r="A262" s="2" t="n"/>
      <c r="B262">
        <f>LOWER(TRIM(A262))</f>
        <v/>
      </c>
      <c r="C262">
        <f>IF(B262="","",IFERROR(INDEX('Bad Patterns'!$A$2:$A$120,MATCH(1,INDEX(--ISNUMBER(SEARCH('Bad Patterns'!$A$2:$A$120,B262)),0),0)),""))</f>
        <v/>
      </c>
      <c r="D262">
        <f>IF(B262="","",IF(C262&lt;&gt;"","REMOVE","KEEP"))</f>
        <v/>
      </c>
      <c r="E262">
        <f>IF(D262&lt;&gt;"KEEP","",IF(RIGHT(B262,10)="@gmail.com","Gmail",IF(OR(RIGHT(B262,12)="@outlook.com",RIGHT(B262,12)="@hotmail.com",RIGHT(B262,9)="@live.com"),"Outlook","Domain")))</f>
        <v/>
      </c>
      <c r="F262">
        <f>IF(B262="","",IFERROR(RIGHT(B262,LEN(B262)-FIND("@",B262)),""))</f>
        <v/>
      </c>
      <c r="G262">
        <f>IF(D262="KEEP",COUNTIF($D$2:D262,"KEEP"),"")</f>
        <v/>
      </c>
      <c r="H262">
        <f>IF(D262="REMOVE",COUNTIF($D$2:D262,"REMOVE"),"")</f>
        <v/>
      </c>
      <c r="I262">
        <f>IF(E262="Gmail",COUNTIF($E$2:E262,"Gmail"),"")</f>
        <v/>
      </c>
      <c r="J262">
        <f>IF(E262="Outlook",COUNTIF($E$2:E262,"Outlook"),"")</f>
        <v/>
      </c>
      <c r="K262">
        <f>IF(E262="Domain",COUNTIF($E$2:E262,"Domain"),"")</f>
        <v/>
      </c>
    </row>
    <row r="263">
      <c r="A263" s="2" t="n"/>
      <c r="B263">
        <f>LOWER(TRIM(A263))</f>
        <v/>
      </c>
      <c r="C263">
        <f>IF(B263="","",IFERROR(INDEX('Bad Patterns'!$A$2:$A$120,MATCH(1,INDEX(--ISNUMBER(SEARCH('Bad Patterns'!$A$2:$A$120,B263)),0),0)),""))</f>
        <v/>
      </c>
      <c r="D263">
        <f>IF(B263="","",IF(C263&lt;&gt;"","REMOVE","KEEP"))</f>
        <v/>
      </c>
      <c r="E263">
        <f>IF(D263&lt;&gt;"KEEP","",IF(RIGHT(B263,10)="@gmail.com","Gmail",IF(OR(RIGHT(B263,12)="@outlook.com",RIGHT(B263,12)="@hotmail.com",RIGHT(B263,9)="@live.com"),"Outlook","Domain")))</f>
        <v/>
      </c>
      <c r="F263">
        <f>IF(B263="","",IFERROR(RIGHT(B263,LEN(B263)-FIND("@",B263)),""))</f>
        <v/>
      </c>
      <c r="G263">
        <f>IF(D263="KEEP",COUNTIF($D$2:D263,"KEEP"),"")</f>
        <v/>
      </c>
      <c r="H263">
        <f>IF(D263="REMOVE",COUNTIF($D$2:D263,"REMOVE"),"")</f>
        <v/>
      </c>
      <c r="I263">
        <f>IF(E263="Gmail",COUNTIF($E$2:E263,"Gmail"),"")</f>
        <v/>
      </c>
      <c r="J263">
        <f>IF(E263="Outlook",COUNTIF($E$2:E263,"Outlook"),"")</f>
        <v/>
      </c>
      <c r="K263">
        <f>IF(E263="Domain",COUNTIF($E$2:E263,"Domain"),"")</f>
        <v/>
      </c>
    </row>
    <row r="264">
      <c r="A264" s="2" t="n"/>
      <c r="B264">
        <f>LOWER(TRIM(A264))</f>
        <v/>
      </c>
      <c r="C264">
        <f>IF(B264="","",IFERROR(INDEX('Bad Patterns'!$A$2:$A$120,MATCH(1,INDEX(--ISNUMBER(SEARCH('Bad Patterns'!$A$2:$A$120,B264)),0),0)),""))</f>
        <v/>
      </c>
      <c r="D264">
        <f>IF(B264="","",IF(C264&lt;&gt;"","REMOVE","KEEP"))</f>
        <v/>
      </c>
      <c r="E264">
        <f>IF(D264&lt;&gt;"KEEP","",IF(RIGHT(B264,10)="@gmail.com","Gmail",IF(OR(RIGHT(B264,12)="@outlook.com",RIGHT(B264,12)="@hotmail.com",RIGHT(B264,9)="@live.com"),"Outlook","Domain")))</f>
        <v/>
      </c>
      <c r="F264">
        <f>IF(B264="","",IFERROR(RIGHT(B264,LEN(B264)-FIND("@",B264)),""))</f>
        <v/>
      </c>
      <c r="G264">
        <f>IF(D264="KEEP",COUNTIF($D$2:D264,"KEEP"),"")</f>
        <v/>
      </c>
      <c r="H264">
        <f>IF(D264="REMOVE",COUNTIF($D$2:D264,"REMOVE"),"")</f>
        <v/>
      </c>
      <c r="I264">
        <f>IF(E264="Gmail",COUNTIF($E$2:E264,"Gmail"),"")</f>
        <v/>
      </c>
      <c r="J264">
        <f>IF(E264="Outlook",COUNTIF($E$2:E264,"Outlook"),"")</f>
        <v/>
      </c>
      <c r="K264">
        <f>IF(E264="Domain",COUNTIF($E$2:E264,"Domain"),"")</f>
        <v/>
      </c>
    </row>
    <row r="265">
      <c r="A265" s="2" t="n"/>
      <c r="B265">
        <f>LOWER(TRIM(A265))</f>
        <v/>
      </c>
      <c r="C265">
        <f>IF(B265="","",IFERROR(INDEX('Bad Patterns'!$A$2:$A$120,MATCH(1,INDEX(--ISNUMBER(SEARCH('Bad Patterns'!$A$2:$A$120,B265)),0),0)),""))</f>
        <v/>
      </c>
      <c r="D265">
        <f>IF(B265="","",IF(C265&lt;&gt;"","REMOVE","KEEP"))</f>
        <v/>
      </c>
      <c r="E265">
        <f>IF(D265&lt;&gt;"KEEP","",IF(RIGHT(B265,10)="@gmail.com","Gmail",IF(OR(RIGHT(B265,12)="@outlook.com",RIGHT(B265,12)="@hotmail.com",RIGHT(B265,9)="@live.com"),"Outlook","Domain")))</f>
        <v/>
      </c>
      <c r="F265">
        <f>IF(B265="","",IFERROR(RIGHT(B265,LEN(B265)-FIND("@",B265)),""))</f>
        <v/>
      </c>
      <c r="G265">
        <f>IF(D265="KEEP",COUNTIF($D$2:D265,"KEEP"),"")</f>
        <v/>
      </c>
      <c r="H265">
        <f>IF(D265="REMOVE",COUNTIF($D$2:D265,"REMOVE"),"")</f>
        <v/>
      </c>
      <c r="I265">
        <f>IF(E265="Gmail",COUNTIF($E$2:E265,"Gmail"),"")</f>
        <v/>
      </c>
      <c r="J265">
        <f>IF(E265="Outlook",COUNTIF($E$2:E265,"Outlook"),"")</f>
        <v/>
      </c>
      <c r="K265">
        <f>IF(E265="Domain",COUNTIF($E$2:E265,"Domain"),"")</f>
        <v/>
      </c>
    </row>
    <row r="266">
      <c r="A266" s="2" t="n"/>
      <c r="B266">
        <f>LOWER(TRIM(A266))</f>
        <v/>
      </c>
      <c r="C266">
        <f>IF(B266="","",IFERROR(INDEX('Bad Patterns'!$A$2:$A$120,MATCH(1,INDEX(--ISNUMBER(SEARCH('Bad Patterns'!$A$2:$A$120,B266)),0),0)),""))</f>
        <v/>
      </c>
      <c r="D266">
        <f>IF(B266="","",IF(C266&lt;&gt;"","REMOVE","KEEP"))</f>
        <v/>
      </c>
      <c r="E266">
        <f>IF(D266&lt;&gt;"KEEP","",IF(RIGHT(B266,10)="@gmail.com","Gmail",IF(OR(RIGHT(B266,12)="@outlook.com",RIGHT(B266,12)="@hotmail.com",RIGHT(B266,9)="@live.com"),"Outlook","Domain")))</f>
        <v/>
      </c>
      <c r="F266">
        <f>IF(B266="","",IFERROR(RIGHT(B266,LEN(B266)-FIND("@",B266)),""))</f>
        <v/>
      </c>
      <c r="G266">
        <f>IF(D266="KEEP",COUNTIF($D$2:D266,"KEEP"),"")</f>
        <v/>
      </c>
      <c r="H266">
        <f>IF(D266="REMOVE",COUNTIF($D$2:D266,"REMOVE"),"")</f>
        <v/>
      </c>
      <c r="I266">
        <f>IF(E266="Gmail",COUNTIF($E$2:E266,"Gmail"),"")</f>
        <v/>
      </c>
      <c r="J266">
        <f>IF(E266="Outlook",COUNTIF($E$2:E266,"Outlook"),"")</f>
        <v/>
      </c>
      <c r="K266">
        <f>IF(E266="Domain",COUNTIF($E$2:E266,"Domain"),"")</f>
        <v/>
      </c>
    </row>
    <row r="267">
      <c r="A267" s="2" t="n"/>
      <c r="B267">
        <f>LOWER(TRIM(A267))</f>
        <v/>
      </c>
      <c r="C267">
        <f>IF(B267="","",IFERROR(INDEX('Bad Patterns'!$A$2:$A$120,MATCH(1,INDEX(--ISNUMBER(SEARCH('Bad Patterns'!$A$2:$A$120,B267)),0),0)),""))</f>
        <v/>
      </c>
      <c r="D267">
        <f>IF(B267="","",IF(C267&lt;&gt;"","REMOVE","KEEP"))</f>
        <v/>
      </c>
      <c r="E267">
        <f>IF(D267&lt;&gt;"KEEP","",IF(RIGHT(B267,10)="@gmail.com","Gmail",IF(OR(RIGHT(B267,12)="@outlook.com",RIGHT(B267,12)="@hotmail.com",RIGHT(B267,9)="@live.com"),"Outlook","Domain")))</f>
        <v/>
      </c>
      <c r="F267">
        <f>IF(B267="","",IFERROR(RIGHT(B267,LEN(B267)-FIND("@",B267)),""))</f>
        <v/>
      </c>
      <c r="G267">
        <f>IF(D267="KEEP",COUNTIF($D$2:D267,"KEEP"),"")</f>
        <v/>
      </c>
      <c r="H267">
        <f>IF(D267="REMOVE",COUNTIF($D$2:D267,"REMOVE"),"")</f>
        <v/>
      </c>
      <c r="I267">
        <f>IF(E267="Gmail",COUNTIF($E$2:E267,"Gmail"),"")</f>
        <v/>
      </c>
      <c r="J267">
        <f>IF(E267="Outlook",COUNTIF($E$2:E267,"Outlook"),"")</f>
        <v/>
      </c>
      <c r="K267">
        <f>IF(E267="Domain",COUNTIF($E$2:E267,"Domain"),"")</f>
        <v/>
      </c>
    </row>
    <row r="268">
      <c r="A268" s="2" t="n"/>
      <c r="B268">
        <f>LOWER(TRIM(A268))</f>
        <v/>
      </c>
      <c r="C268">
        <f>IF(B268="","",IFERROR(INDEX('Bad Patterns'!$A$2:$A$120,MATCH(1,INDEX(--ISNUMBER(SEARCH('Bad Patterns'!$A$2:$A$120,B268)),0),0)),""))</f>
        <v/>
      </c>
      <c r="D268">
        <f>IF(B268="","",IF(C268&lt;&gt;"","REMOVE","KEEP"))</f>
        <v/>
      </c>
      <c r="E268">
        <f>IF(D268&lt;&gt;"KEEP","",IF(RIGHT(B268,10)="@gmail.com","Gmail",IF(OR(RIGHT(B268,12)="@outlook.com",RIGHT(B268,12)="@hotmail.com",RIGHT(B268,9)="@live.com"),"Outlook","Domain")))</f>
        <v/>
      </c>
      <c r="F268">
        <f>IF(B268="","",IFERROR(RIGHT(B268,LEN(B268)-FIND("@",B268)),""))</f>
        <v/>
      </c>
      <c r="G268">
        <f>IF(D268="KEEP",COUNTIF($D$2:D268,"KEEP"),"")</f>
        <v/>
      </c>
      <c r="H268">
        <f>IF(D268="REMOVE",COUNTIF($D$2:D268,"REMOVE"),"")</f>
        <v/>
      </c>
      <c r="I268">
        <f>IF(E268="Gmail",COUNTIF($E$2:E268,"Gmail"),"")</f>
        <v/>
      </c>
      <c r="J268">
        <f>IF(E268="Outlook",COUNTIF($E$2:E268,"Outlook"),"")</f>
        <v/>
      </c>
      <c r="K268">
        <f>IF(E268="Domain",COUNTIF($E$2:E268,"Domain"),"")</f>
        <v/>
      </c>
    </row>
    <row r="269">
      <c r="A269" s="2" t="n"/>
      <c r="B269">
        <f>LOWER(TRIM(A269))</f>
        <v/>
      </c>
      <c r="C269">
        <f>IF(B269="","",IFERROR(INDEX('Bad Patterns'!$A$2:$A$120,MATCH(1,INDEX(--ISNUMBER(SEARCH('Bad Patterns'!$A$2:$A$120,B269)),0),0)),""))</f>
        <v/>
      </c>
      <c r="D269">
        <f>IF(B269="","",IF(C269&lt;&gt;"","REMOVE","KEEP"))</f>
        <v/>
      </c>
      <c r="E269">
        <f>IF(D269&lt;&gt;"KEEP","",IF(RIGHT(B269,10)="@gmail.com","Gmail",IF(OR(RIGHT(B269,12)="@outlook.com",RIGHT(B269,12)="@hotmail.com",RIGHT(B269,9)="@live.com"),"Outlook","Domain")))</f>
        <v/>
      </c>
      <c r="F269">
        <f>IF(B269="","",IFERROR(RIGHT(B269,LEN(B269)-FIND("@",B269)),""))</f>
        <v/>
      </c>
      <c r="G269">
        <f>IF(D269="KEEP",COUNTIF($D$2:D269,"KEEP"),"")</f>
        <v/>
      </c>
      <c r="H269">
        <f>IF(D269="REMOVE",COUNTIF($D$2:D269,"REMOVE"),"")</f>
        <v/>
      </c>
      <c r="I269">
        <f>IF(E269="Gmail",COUNTIF($E$2:E269,"Gmail"),"")</f>
        <v/>
      </c>
      <c r="J269">
        <f>IF(E269="Outlook",COUNTIF($E$2:E269,"Outlook"),"")</f>
        <v/>
      </c>
      <c r="K269">
        <f>IF(E269="Domain",COUNTIF($E$2:E269,"Domain"),"")</f>
        <v/>
      </c>
    </row>
    <row r="270">
      <c r="A270" s="2" t="n"/>
      <c r="B270">
        <f>LOWER(TRIM(A270))</f>
        <v/>
      </c>
      <c r="C270">
        <f>IF(B270="","",IFERROR(INDEX('Bad Patterns'!$A$2:$A$120,MATCH(1,INDEX(--ISNUMBER(SEARCH('Bad Patterns'!$A$2:$A$120,B270)),0),0)),""))</f>
        <v/>
      </c>
      <c r="D270">
        <f>IF(B270="","",IF(C270&lt;&gt;"","REMOVE","KEEP"))</f>
        <v/>
      </c>
      <c r="E270">
        <f>IF(D270&lt;&gt;"KEEP","",IF(RIGHT(B270,10)="@gmail.com","Gmail",IF(OR(RIGHT(B270,12)="@outlook.com",RIGHT(B270,12)="@hotmail.com",RIGHT(B270,9)="@live.com"),"Outlook","Domain")))</f>
        <v/>
      </c>
      <c r="F270">
        <f>IF(B270="","",IFERROR(RIGHT(B270,LEN(B270)-FIND("@",B270)),""))</f>
        <v/>
      </c>
      <c r="G270">
        <f>IF(D270="KEEP",COUNTIF($D$2:D270,"KEEP"),"")</f>
        <v/>
      </c>
      <c r="H270">
        <f>IF(D270="REMOVE",COUNTIF($D$2:D270,"REMOVE"),"")</f>
        <v/>
      </c>
      <c r="I270">
        <f>IF(E270="Gmail",COUNTIF($E$2:E270,"Gmail"),"")</f>
        <v/>
      </c>
      <c r="J270">
        <f>IF(E270="Outlook",COUNTIF($E$2:E270,"Outlook"),"")</f>
        <v/>
      </c>
      <c r="K270">
        <f>IF(E270="Domain",COUNTIF($E$2:E270,"Domain"),"")</f>
        <v/>
      </c>
    </row>
    <row r="271">
      <c r="A271" s="2" t="n"/>
      <c r="B271">
        <f>LOWER(TRIM(A271))</f>
        <v/>
      </c>
      <c r="C271">
        <f>IF(B271="","",IFERROR(INDEX('Bad Patterns'!$A$2:$A$120,MATCH(1,INDEX(--ISNUMBER(SEARCH('Bad Patterns'!$A$2:$A$120,B271)),0),0)),""))</f>
        <v/>
      </c>
      <c r="D271">
        <f>IF(B271="","",IF(C271&lt;&gt;"","REMOVE","KEEP"))</f>
        <v/>
      </c>
      <c r="E271">
        <f>IF(D271&lt;&gt;"KEEP","",IF(RIGHT(B271,10)="@gmail.com","Gmail",IF(OR(RIGHT(B271,12)="@outlook.com",RIGHT(B271,12)="@hotmail.com",RIGHT(B271,9)="@live.com"),"Outlook","Domain")))</f>
        <v/>
      </c>
      <c r="F271">
        <f>IF(B271="","",IFERROR(RIGHT(B271,LEN(B271)-FIND("@",B271)),""))</f>
        <v/>
      </c>
      <c r="G271">
        <f>IF(D271="KEEP",COUNTIF($D$2:D271,"KEEP"),"")</f>
        <v/>
      </c>
      <c r="H271">
        <f>IF(D271="REMOVE",COUNTIF($D$2:D271,"REMOVE"),"")</f>
        <v/>
      </c>
      <c r="I271">
        <f>IF(E271="Gmail",COUNTIF($E$2:E271,"Gmail"),"")</f>
        <v/>
      </c>
      <c r="J271">
        <f>IF(E271="Outlook",COUNTIF($E$2:E271,"Outlook"),"")</f>
        <v/>
      </c>
      <c r="K271">
        <f>IF(E271="Domain",COUNTIF($E$2:E271,"Domain"),"")</f>
        <v/>
      </c>
    </row>
    <row r="272">
      <c r="A272" s="2" t="n"/>
      <c r="B272">
        <f>LOWER(TRIM(A272))</f>
        <v/>
      </c>
      <c r="C272">
        <f>IF(B272="","",IFERROR(INDEX('Bad Patterns'!$A$2:$A$120,MATCH(1,INDEX(--ISNUMBER(SEARCH('Bad Patterns'!$A$2:$A$120,B272)),0),0)),""))</f>
        <v/>
      </c>
      <c r="D272">
        <f>IF(B272="","",IF(C272&lt;&gt;"","REMOVE","KEEP"))</f>
        <v/>
      </c>
      <c r="E272">
        <f>IF(D272&lt;&gt;"KEEP","",IF(RIGHT(B272,10)="@gmail.com","Gmail",IF(OR(RIGHT(B272,12)="@outlook.com",RIGHT(B272,12)="@hotmail.com",RIGHT(B272,9)="@live.com"),"Outlook","Domain")))</f>
        <v/>
      </c>
      <c r="F272">
        <f>IF(B272="","",IFERROR(RIGHT(B272,LEN(B272)-FIND("@",B272)),""))</f>
        <v/>
      </c>
      <c r="G272">
        <f>IF(D272="KEEP",COUNTIF($D$2:D272,"KEEP"),"")</f>
        <v/>
      </c>
      <c r="H272">
        <f>IF(D272="REMOVE",COUNTIF($D$2:D272,"REMOVE"),"")</f>
        <v/>
      </c>
      <c r="I272">
        <f>IF(E272="Gmail",COUNTIF($E$2:E272,"Gmail"),"")</f>
        <v/>
      </c>
      <c r="J272">
        <f>IF(E272="Outlook",COUNTIF($E$2:E272,"Outlook"),"")</f>
        <v/>
      </c>
      <c r="K272">
        <f>IF(E272="Domain",COUNTIF($E$2:E272,"Domain"),"")</f>
        <v/>
      </c>
    </row>
    <row r="273">
      <c r="A273" s="2" t="n"/>
      <c r="B273">
        <f>LOWER(TRIM(A273))</f>
        <v/>
      </c>
      <c r="C273">
        <f>IF(B273="","",IFERROR(INDEX('Bad Patterns'!$A$2:$A$120,MATCH(1,INDEX(--ISNUMBER(SEARCH('Bad Patterns'!$A$2:$A$120,B273)),0),0)),""))</f>
        <v/>
      </c>
      <c r="D273">
        <f>IF(B273="","",IF(C273&lt;&gt;"","REMOVE","KEEP"))</f>
        <v/>
      </c>
      <c r="E273">
        <f>IF(D273&lt;&gt;"KEEP","",IF(RIGHT(B273,10)="@gmail.com","Gmail",IF(OR(RIGHT(B273,12)="@outlook.com",RIGHT(B273,12)="@hotmail.com",RIGHT(B273,9)="@live.com"),"Outlook","Domain")))</f>
        <v/>
      </c>
      <c r="F273">
        <f>IF(B273="","",IFERROR(RIGHT(B273,LEN(B273)-FIND("@",B273)),""))</f>
        <v/>
      </c>
      <c r="G273">
        <f>IF(D273="KEEP",COUNTIF($D$2:D273,"KEEP"),"")</f>
        <v/>
      </c>
      <c r="H273">
        <f>IF(D273="REMOVE",COUNTIF($D$2:D273,"REMOVE"),"")</f>
        <v/>
      </c>
      <c r="I273">
        <f>IF(E273="Gmail",COUNTIF($E$2:E273,"Gmail"),"")</f>
        <v/>
      </c>
      <c r="J273">
        <f>IF(E273="Outlook",COUNTIF($E$2:E273,"Outlook"),"")</f>
        <v/>
      </c>
      <c r="K273">
        <f>IF(E273="Domain",COUNTIF($E$2:E273,"Domain"),"")</f>
        <v/>
      </c>
    </row>
    <row r="274">
      <c r="A274" s="2" t="n"/>
      <c r="B274">
        <f>LOWER(TRIM(A274))</f>
        <v/>
      </c>
      <c r="C274">
        <f>IF(B274="","",IFERROR(INDEX('Bad Patterns'!$A$2:$A$120,MATCH(1,INDEX(--ISNUMBER(SEARCH('Bad Patterns'!$A$2:$A$120,B274)),0),0)),""))</f>
        <v/>
      </c>
      <c r="D274">
        <f>IF(B274="","",IF(C274&lt;&gt;"","REMOVE","KEEP"))</f>
        <v/>
      </c>
      <c r="E274">
        <f>IF(D274&lt;&gt;"KEEP","",IF(RIGHT(B274,10)="@gmail.com","Gmail",IF(OR(RIGHT(B274,12)="@outlook.com",RIGHT(B274,12)="@hotmail.com",RIGHT(B274,9)="@live.com"),"Outlook","Domain")))</f>
        <v/>
      </c>
      <c r="F274">
        <f>IF(B274="","",IFERROR(RIGHT(B274,LEN(B274)-FIND("@",B274)),""))</f>
        <v/>
      </c>
      <c r="G274">
        <f>IF(D274="KEEP",COUNTIF($D$2:D274,"KEEP"),"")</f>
        <v/>
      </c>
      <c r="H274">
        <f>IF(D274="REMOVE",COUNTIF($D$2:D274,"REMOVE"),"")</f>
        <v/>
      </c>
      <c r="I274">
        <f>IF(E274="Gmail",COUNTIF($E$2:E274,"Gmail"),"")</f>
        <v/>
      </c>
      <c r="J274">
        <f>IF(E274="Outlook",COUNTIF($E$2:E274,"Outlook"),"")</f>
        <v/>
      </c>
      <c r="K274">
        <f>IF(E274="Domain",COUNTIF($E$2:E274,"Domain"),"")</f>
        <v/>
      </c>
    </row>
    <row r="275">
      <c r="A275" s="2" t="n"/>
      <c r="B275">
        <f>LOWER(TRIM(A275))</f>
        <v/>
      </c>
      <c r="C275">
        <f>IF(B275="","",IFERROR(INDEX('Bad Patterns'!$A$2:$A$120,MATCH(1,INDEX(--ISNUMBER(SEARCH('Bad Patterns'!$A$2:$A$120,B275)),0),0)),""))</f>
        <v/>
      </c>
      <c r="D275">
        <f>IF(B275="","",IF(C275&lt;&gt;"","REMOVE","KEEP"))</f>
        <v/>
      </c>
      <c r="E275">
        <f>IF(D275&lt;&gt;"KEEP","",IF(RIGHT(B275,10)="@gmail.com","Gmail",IF(OR(RIGHT(B275,12)="@outlook.com",RIGHT(B275,12)="@hotmail.com",RIGHT(B275,9)="@live.com"),"Outlook","Domain")))</f>
        <v/>
      </c>
      <c r="F275">
        <f>IF(B275="","",IFERROR(RIGHT(B275,LEN(B275)-FIND("@",B275)),""))</f>
        <v/>
      </c>
      <c r="G275">
        <f>IF(D275="KEEP",COUNTIF($D$2:D275,"KEEP"),"")</f>
        <v/>
      </c>
      <c r="H275">
        <f>IF(D275="REMOVE",COUNTIF($D$2:D275,"REMOVE"),"")</f>
        <v/>
      </c>
      <c r="I275">
        <f>IF(E275="Gmail",COUNTIF($E$2:E275,"Gmail"),"")</f>
        <v/>
      </c>
      <c r="J275">
        <f>IF(E275="Outlook",COUNTIF($E$2:E275,"Outlook"),"")</f>
        <v/>
      </c>
      <c r="K275">
        <f>IF(E275="Domain",COUNTIF($E$2:E275,"Domain"),"")</f>
        <v/>
      </c>
    </row>
    <row r="276">
      <c r="A276" s="2" t="n"/>
      <c r="B276">
        <f>LOWER(TRIM(A276))</f>
        <v/>
      </c>
      <c r="C276">
        <f>IF(B276="","",IFERROR(INDEX('Bad Patterns'!$A$2:$A$120,MATCH(1,INDEX(--ISNUMBER(SEARCH('Bad Patterns'!$A$2:$A$120,B276)),0),0)),""))</f>
        <v/>
      </c>
      <c r="D276">
        <f>IF(B276="","",IF(C276&lt;&gt;"","REMOVE","KEEP"))</f>
        <v/>
      </c>
      <c r="E276">
        <f>IF(D276&lt;&gt;"KEEP","",IF(RIGHT(B276,10)="@gmail.com","Gmail",IF(OR(RIGHT(B276,12)="@outlook.com",RIGHT(B276,12)="@hotmail.com",RIGHT(B276,9)="@live.com"),"Outlook","Domain")))</f>
        <v/>
      </c>
      <c r="F276">
        <f>IF(B276="","",IFERROR(RIGHT(B276,LEN(B276)-FIND("@",B276)),""))</f>
        <v/>
      </c>
      <c r="G276">
        <f>IF(D276="KEEP",COUNTIF($D$2:D276,"KEEP"),"")</f>
        <v/>
      </c>
      <c r="H276">
        <f>IF(D276="REMOVE",COUNTIF($D$2:D276,"REMOVE"),"")</f>
        <v/>
      </c>
      <c r="I276">
        <f>IF(E276="Gmail",COUNTIF($E$2:E276,"Gmail"),"")</f>
        <v/>
      </c>
      <c r="J276">
        <f>IF(E276="Outlook",COUNTIF($E$2:E276,"Outlook"),"")</f>
        <v/>
      </c>
      <c r="K276">
        <f>IF(E276="Domain",COUNTIF($E$2:E276,"Domain"),"")</f>
        <v/>
      </c>
    </row>
    <row r="277">
      <c r="A277" s="2" t="n"/>
      <c r="B277">
        <f>LOWER(TRIM(A277))</f>
        <v/>
      </c>
      <c r="C277">
        <f>IF(B277="","",IFERROR(INDEX('Bad Patterns'!$A$2:$A$120,MATCH(1,INDEX(--ISNUMBER(SEARCH('Bad Patterns'!$A$2:$A$120,B277)),0),0)),""))</f>
        <v/>
      </c>
      <c r="D277">
        <f>IF(B277="","",IF(C277&lt;&gt;"","REMOVE","KEEP"))</f>
        <v/>
      </c>
      <c r="E277">
        <f>IF(D277&lt;&gt;"KEEP","",IF(RIGHT(B277,10)="@gmail.com","Gmail",IF(OR(RIGHT(B277,12)="@outlook.com",RIGHT(B277,12)="@hotmail.com",RIGHT(B277,9)="@live.com"),"Outlook","Domain")))</f>
        <v/>
      </c>
      <c r="F277">
        <f>IF(B277="","",IFERROR(RIGHT(B277,LEN(B277)-FIND("@",B277)),""))</f>
        <v/>
      </c>
      <c r="G277">
        <f>IF(D277="KEEP",COUNTIF($D$2:D277,"KEEP"),"")</f>
        <v/>
      </c>
      <c r="H277">
        <f>IF(D277="REMOVE",COUNTIF($D$2:D277,"REMOVE"),"")</f>
        <v/>
      </c>
      <c r="I277">
        <f>IF(E277="Gmail",COUNTIF($E$2:E277,"Gmail"),"")</f>
        <v/>
      </c>
      <c r="J277">
        <f>IF(E277="Outlook",COUNTIF($E$2:E277,"Outlook"),"")</f>
        <v/>
      </c>
      <c r="K277">
        <f>IF(E277="Domain",COUNTIF($E$2:E277,"Domain"),"")</f>
        <v/>
      </c>
    </row>
    <row r="278">
      <c r="A278" s="2" t="n"/>
      <c r="B278">
        <f>LOWER(TRIM(A278))</f>
        <v/>
      </c>
      <c r="C278">
        <f>IF(B278="","",IFERROR(INDEX('Bad Patterns'!$A$2:$A$120,MATCH(1,INDEX(--ISNUMBER(SEARCH('Bad Patterns'!$A$2:$A$120,B278)),0),0)),""))</f>
        <v/>
      </c>
      <c r="D278">
        <f>IF(B278="","",IF(C278&lt;&gt;"","REMOVE","KEEP"))</f>
        <v/>
      </c>
      <c r="E278">
        <f>IF(D278&lt;&gt;"KEEP","",IF(RIGHT(B278,10)="@gmail.com","Gmail",IF(OR(RIGHT(B278,12)="@outlook.com",RIGHT(B278,12)="@hotmail.com",RIGHT(B278,9)="@live.com"),"Outlook","Domain")))</f>
        <v/>
      </c>
      <c r="F278">
        <f>IF(B278="","",IFERROR(RIGHT(B278,LEN(B278)-FIND("@",B278)),""))</f>
        <v/>
      </c>
      <c r="G278">
        <f>IF(D278="KEEP",COUNTIF($D$2:D278,"KEEP"),"")</f>
        <v/>
      </c>
      <c r="H278">
        <f>IF(D278="REMOVE",COUNTIF($D$2:D278,"REMOVE"),"")</f>
        <v/>
      </c>
      <c r="I278">
        <f>IF(E278="Gmail",COUNTIF($E$2:E278,"Gmail"),"")</f>
        <v/>
      </c>
      <c r="J278">
        <f>IF(E278="Outlook",COUNTIF($E$2:E278,"Outlook"),"")</f>
        <v/>
      </c>
      <c r="K278">
        <f>IF(E278="Domain",COUNTIF($E$2:E278,"Domain"),"")</f>
        <v/>
      </c>
    </row>
    <row r="279">
      <c r="A279" s="2" t="n"/>
      <c r="B279">
        <f>LOWER(TRIM(A279))</f>
        <v/>
      </c>
      <c r="C279">
        <f>IF(B279="","",IFERROR(INDEX('Bad Patterns'!$A$2:$A$120,MATCH(1,INDEX(--ISNUMBER(SEARCH('Bad Patterns'!$A$2:$A$120,B279)),0),0)),""))</f>
        <v/>
      </c>
      <c r="D279">
        <f>IF(B279="","",IF(C279&lt;&gt;"","REMOVE","KEEP"))</f>
        <v/>
      </c>
      <c r="E279">
        <f>IF(D279&lt;&gt;"KEEP","",IF(RIGHT(B279,10)="@gmail.com","Gmail",IF(OR(RIGHT(B279,12)="@outlook.com",RIGHT(B279,12)="@hotmail.com",RIGHT(B279,9)="@live.com"),"Outlook","Domain")))</f>
        <v/>
      </c>
      <c r="F279">
        <f>IF(B279="","",IFERROR(RIGHT(B279,LEN(B279)-FIND("@",B279)),""))</f>
        <v/>
      </c>
      <c r="G279">
        <f>IF(D279="KEEP",COUNTIF($D$2:D279,"KEEP"),"")</f>
        <v/>
      </c>
      <c r="H279">
        <f>IF(D279="REMOVE",COUNTIF($D$2:D279,"REMOVE"),"")</f>
        <v/>
      </c>
      <c r="I279">
        <f>IF(E279="Gmail",COUNTIF($E$2:E279,"Gmail"),"")</f>
        <v/>
      </c>
      <c r="J279">
        <f>IF(E279="Outlook",COUNTIF($E$2:E279,"Outlook"),"")</f>
        <v/>
      </c>
      <c r="K279">
        <f>IF(E279="Domain",COUNTIF($E$2:E279,"Domain"),"")</f>
        <v/>
      </c>
    </row>
    <row r="280">
      <c r="A280" s="2" t="n"/>
      <c r="B280">
        <f>LOWER(TRIM(A280))</f>
        <v/>
      </c>
      <c r="C280">
        <f>IF(B280="","",IFERROR(INDEX('Bad Patterns'!$A$2:$A$120,MATCH(1,INDEX(--ISNUMBER(SEARCH('Bad Patterns'!$A$2:$A$120,B280)),0),0)),""))</f>
        <v/>
      </c>
      <c r="D280">
        <f>IF(B280="","",IF(C280&lt;&gt;"","REMOVE","KEEP"))</f>
        <v/>
      </c>
      <c r="E280">
        <f>IF(D280&lt;&gt;"KEEP","",IF(RIGHT(B280,10)="@gmail.com","Gmail",IF(OR(RIGHT(B280,12)="@outlook.com",RIGHT(B280,12)="@hotmail.com",RIGHT(B280,9)="@live.com"),"Outlook","Domain")))</f>
        <v/>
      </c>
      <c r="F280">
        <f>IF(B280="","",IFERROR(RIGHT(B280,LEN(B280)-FIND("@",B280)),""))</f>
        <v/>
      </c>
      <c r="G280">
        <f>IF(D280="KEEP",COUNTIF($D$2:D280,"KEEP"),"")</f>
        <v/>
      </c>
      <c r="H280">
        <f>IF(D280="REMOVE",COUNTIF($D$2:D280,"REMOVE"),"")</f>
        <v/>
      </c>
      <c r="I280">
        <f>IF(E280="Gmail",COUNTIF($E$2:E280,"Gmail"),"")</f>
        <v/>
      </c>
      <c r="J280">
        <f>IF(E280="Outlook",COUNTIF($E$2:E280,"Outlook"),"")</f>
        <v/>
      </c>
      <c r="K280">
        <f>IF(E280="Domain",COUNTIF($E$2:E280,"Domain"),"")</f>
        <v/>
      </c>
    </row>
    <row r="281">
      <c r="A281" s="2" t="n"/>
      <c r="B281">
        <f>LOWER(TRIM(A281))</f>
        <v/>
      </c>
      <c r="C281">
        <f>IF(B281="","",IFERROR(INDEX('Bad Patterns'!$A$2:$A$120,MATCH(1,INDEX(--ISNUMBER(SEARCH('Bad Patterns'!$A$2:$A$120,B281)),0),0)),""))</f>
        <v/>
      </c>
      <c r="D281">
        <f>IF(B281="","",IF(C281&lt;&gt;"","REMOVE","KEEP"))</f>
        <v/>
      </c>
      <c r="E281">
        <f>IF(D281&lt;&gt;"KEEP","",IF(RIGHT(B281,10)="@gmail.com","Gmail",IF(OR(RIGHT(B281,12)="@outlook.com",RIGHT(B281,12)="@hotmail.com",RIGHT(B281,9)="@live.com"),"Outlook","Domain")))</f>
        <v/>
      </c>
      <c r="F281">
        <f>IF(B281="","",IFERROR(RIGHT(B281,LEN(B281)-FIND("@",B281)),""))</f>
        <v/>
      </c>
      <c r="G281">
        <f>IF(D281="KEEP",COUNTIF($D$2:D281,"KEEP"),"")</f>
        <v/>
      </c>
      <c r="H281">
        <f>IF(D281="REMOVE",COUNTIF($D$2:D281,"REMOVE"),"")</f>
        <v/>
      </c>
      <c r="I281">
        <f>IF(E281="Gmail",COUNTIF($E$2:E281,"Gmail"),"")</f>
        <v/>
      </c>
      <c r="J281">
        <f>IF(E281="Outlook",COUNTIF($E$2:E281,"Outlook"),"")</f>
        <v/>
      </c>
      <c r="K281">
        <f>IF(E281="Domain",COUNTIF($E$2:E281,"Domain"),"")</f>
        <v/>
      </c>
    </row>
    <row r="282">
      <c r="A282" s="2" t="n"/>
      <c r="B282">
        <f>LOWER(TRIM(A282))</f>
        <v/>
      </c>
      <c r="C282">
        <f>IF(B282="","",IFERROR(INDEX('Bad Patterns'!$A$2:$A$120,MATCH(1,INDEX(--ISNUMBER(SEARCH('Bad Patterns'!$A$2:$A$120,B282)),0),0)),""))</f>
        <v/>
      </c>
      <c r="D282">
        <f>IF(B282="","",IF(C282&lt;&gt;"","REMOVE","KEEP"))</f>
        <v/>
      </c>
      <c r="E282">
        <f>IF(D282&lt;&gt;"KEEP","",IF(RIGHT(B282,10)="@gmail.com","Gmail",IF(OR(RIGHT(B282,12)="@outlook.com",RIGHT(B282,12)="@hotmail.com",RIGHT(B282,9)="@live.com"),"Outlook","Domain")))</f>
        <v/>
      </c>
      <c r="F282">
        <f>IF(B282="","",IFERROR(RIGHT(B282,LEN(B282)-FIND("@",B282)),""))</f>
        <v/>
      </c>
      <c r="G282">
        <f>IF(D282="KEEP",COUNTIF($D$2:D282,"KEEP"),"")</f>
        <v/>
      </c>
      <c r="H282">
        <f>IF(D282="REMOVE",COUNTIF($D$2:D282,"REMOVE"),"")</f>
        <v/>
      </c>
      <c r="I282">
        <f>IF(E282="Gmail",COUNTIF($E$2:E282,"Gmail"),"")</f>
        <v/>
      </c>
      <c r="J282">
        <f>IF(E282="Outlook",COUNTIF($E$2:E282,"Outlook"),"")</f>
        <v/>
      </c>
      <c r="K282">
        <f>IF(E282="Domain",COUNTIF($E$2:E282,"Domain"),"")</f>
        <v/>
      </c>
    </row>
    <row r="283">
      <c r="A283" s="2" t="n"/>
      <c r="B283">
        <f>LOWER(TRIM(A283))</f>
        <v/>
      </c>
      <c r="C283">
        <f>IF(B283="","",IFERROR(INDEX('Bad Patterns'!$A$2:$A$120,MATCH(1,INDEX(--ISNUMBER(SEARCH('Bad Patterns'!$A$2:$A$120,B283)),0),0)),""))</f>
        <v/>
      </c>
      <c r="D283">
        <f>IF(B283="","",IF(C283&lt;&gt;"","REMOVE","KEEP"))</f>
        <v/>
      </c>
      <c r="E283">
        <f>IF(D283&lt;&gt;"KEEP","",IF(RIGHT(B283,10)="@gmail.com","Gmail",IF(OR(RIGHT(B283,12)="@outlook.com",RIGHT(B283,12)="@hotmail.com",RIGHT(B283,9)="@live.com"),"Outlook","Domain")))</f>
        <v/>
      </c>
      <c r="F283">
        <f>IF(B283="","",IFERROR(RIGHT(B283,LEN(B283)-FIND("@",B283)),""))</f>
        <v/>
      </c>
      <c r="G283">
        <f>IF(D283="KEEP",COUNTIF($D$2:D283,"KEEP"),"")</f>
        <v/>
      </c>
      <c r="H283">
        <f>IF(D283="REMOVE",COUNTIF($D$2:D283,"REMOVE"),"")</f>
        <v/>
      </c>
      <c r="I283">
        <f>IF(E283="Gmail",COUNTIF($E$2:E283,"Gmail"),"")</f>
        <v/>
      </c>
      <c r="J283">
        <f>IF(E283="Outlook",COUNTIF($E$2:E283,"Outlook"),"")</f>
        <v/>
      </c>
      <c r="K283">
        <f>IF(E283="Domain",COUNTIF($E$2:E283,"Domain"),"")</f>
        <v/>
      </c>
    </row>
    <row r="284">
      <c r="A284" s="2" t="n"/>
      <c r="B284">
        <f>LOWER(TRIM(A284))</f>
        <v/>
      </c>
      <c r="C284">
        <f>IF(B284="","",IFERROR(INDEX('Bad Patterns'!$A$2:$A$120,MATCH(1,INDEX(--ISNUMBER(SEARCH('Bad Patterns'!$A$2:$A$120,B284)),0),0)),""))</f>
        <v/>
      </c>
      <c r="D284">
        <f>IF(B284="","",IF(C284&lt;&gt;"","REMOVE","KEEP"))</f>
        <v/>
      </c>
      <c r="E284">
        <f>IF(D284&lt;&gt;"KEEP","",IF(RIGHT(B284,10)="@gmail.com","Gmail",IF(OR(RIGHT(B284,12)="@outlook.com",RIGHT(B284,12)="@hotmail.com",RIGHT(B284,9)="@live.com"),"Outlook","Domain")))</f>
        <v/>
      </c>
      <c r="F284">
        <f>IF(B284="","",IFERROR(RIGHT(B284,LEN(B284)-FIND("@",B284)),""))</f>
        <v/>
      </c>
      <c r="G284">
        <f>IF(D284="KEEP",COUNTIF($D$2:D284,"KEEP"),"")</f>
        <v/>
      </c>
      <c r="H284">
        <f>IF(D284="REMOVE",COUNTIF($D$2:D284,"REMOVE"),"")</f>
        <v/>
      </c>
      <c r="I284">
        <f>IF(E284="Gmail",COUNTIF($E$2:E284,"Gmail"),"")</f>
        <v/>
      </c>
      <c r="J284">
        <f>IF(E284="Outlook",COUNTIF($E$2:E284,"Outlook"),"")</f>
        <v/>
      </c>
      <c r="K284">
        <f>IF(E284="Domain",COUNTIF($E$2:E284,"Domain"),"")</f>
        <v/>
      </c>
    </row>
    <row r="285">
      <c r="A285" s="2" t="n"/>
      <c r="B285">
        <f>LOWER(TRIM(A285))</f>
        <v/>
      </c>
      <c r="C285">
        <f>IF(B285="","",IFERROR(INDEX('Bad Patterns'!$A$2:$A$120,MATCH(1,INDEX(--ISNUMBER(SEARCH('Bad Patterns'!$A$2:$A$120,B285)),0),0)),""))</f>
        <v/>
      </c>
      <c r="D285">
        <f>IF(B285="","",IF(C285&lt;&gt;"","REMOVE","KEEP"))</f>
        <v/>
      </c>
      <c r="E285">
        <f>IF(D285&lt;&gt;"KEEP","",IF(RIGHT(B285,10)="@gmail.com","Gmail",IF(OR(RIGHT(B285,12)="@outlook.com",RIGHT(B285,12)="@hotmail.com",RIGHT(B285,9)="@live.com"),"Outlook","Domain")))</f>
        <v/>
      </c>
      <c r="F285">
        <f>IF(B285="","",IFERROR(RIGHT(B285,LEN(B285)-FIND("@",B285)),""))</f>
        <v/>
      </c>
      <c r="G285">
        <f>IF(D285="KEEP",COUNTIF($D$2:D285,"KEEP"),"")</f>
        <v/>
      </c>
      <c r="H285">
        <f>IF(D285="REMOVE",COUNTIF($D$2:D285,"REMOVE"),"")</f>
        <v/>
      </c>
      <c r="I285">
        <f>IF(E285="Gmail",COUNTIF($E$2:E285,"Gmail"),"")</f>
        <v/>
      </c>
      <c r="J285">
        <f>IF(E285="Outlook",COUNTIF($E$2:E285,"Outlook"),"")</f>
        <v/>
      </c>
      <c r="K285">
        <f>IF(E285="Domain",COUNTIF($E$2:E285,"Domain"),"")</f>
        <v/>
      </c>
    </row>
    <row r="286">
      <c r="A286" s="2" t="n"/>
      <c r="B286">
        <f>LOWER(TRIM(A286))</f>
        <v/>
      </c>
      <c r="C286">
        <f>IF(B286="","",IFERROR(INDEX('Bad Patterns'!$A$2:$A$120,MATCH(1,INDEX(--ISNUMBER(SEARCH('Bad Patterns'!$A$2:$A$120,B286)),0),0)),""))</f>
        <v/>
      </c>
      <c r="D286">
        <f>IF(B286="","",IF(C286&lt;&gt;"","REMOVE","KEEP"))</f>
        <v/>
      </c>
      <c r="E286">
        <f>IF(D286&lt;&gt;"KEEP","",IF(RIGHT(B286,10)="@gmail.com","Gmail",IF(OR(RIGHT(B286,12)="@outlook.com",RIGHT(B286,12)="@hotmail.com",RIGHT(B286,9)="@live.com"),"Outlook","Domain")))</f>
        <v/>
      </c>
      <c r="F286">
        <f>IF(B286="","",IFERROR(RIGHT(B286,LEN(B286)-FIND("@",B286)),""))</f>
        <v/>
      </c>
      <c r="G286">
        <f>IF(D286="KEEP",COUNTIF($D$2:D286,"KEEP"),"")</f>
        <v/>
      </c>
      <c r="H286">
        <f>IF(D286="REMOVE",COUNTIF($D$2:D286,"REMOVE"),"")</f>
        <v/>
      </c>
      <c r="I286">
        <f>IF(E286="Gmail",COUNTIF($E$2:E286,"Gmail"),"")</f>
        <v/>
      </c>
      <c r="J286">
        <f>IF(E286="Outlook",COUNTIF($E$2:E286,"Outlook"),"")</f>
        <v/>
      </c>
      <c r="K286">
        <f>IF(E286="Domain",COUNTIF($E$2:E286,"Domain"),"")</f>
        <v/>
      </c>
    </row>
    <row r="287">
      <c r="A287" s="2" t="n"/>
      <c r="B287">
        <f>LOWER(TRIM(A287))</f>
        <v/>
      </c>
      <c r="C287">
        <f>IF(B287="","",IFERROR(INDEX('Bad Patterns'!$A$2:$A$120,MATCH(1,INDEX(--ISNUMBER(SEARCH('Bad Patterns'!$A$2:$A$120,B287)),0),0)),""))</f>
        <v/>
      </c>
      <c r="D287">
        <f>IF(B287="","",IF(C287&lt;&gt;"","REMOVE","KEEP"))</f>
        <v/>
      </c>
      <c r="E287">
        <f>IF(D287&lt;&gt;"KEEP","",IF(RIGHT(B287,10)="@gmail.com","Gmail",IF(OR(RIGHT(B287,12)="@outlook.com",RIGHT(B287,12)="@hotmail.com",RIGHT(B287,9)="@live.com"),"Outlook","Domain")))</f>
        <v/>
      </c>
      <c r="F287">
        <f>IF(B287="","",IFERROR(RIGHT(B287,LEN(B287)-FIND("@",B287)),""))</f>
        <v/>
      </c>
      <c r="G287">
        <f>IF(D287="KEEP",COUNTIF($D$2:D287,"KEEP"),"")</f>
        <v/>
      </c>
      <c r="H287">
        <f>IF(D287="REMOVE",COUNTIF($D$2:D287,"REMOVE"),"")</f>
        <v/>
      </c>
      <c r="I287">
        <f>IF(E287="Gmail",COUNTIF($E$2:E287,"Gmail"),"")</f>
        <v/>
      </c>
      <c r="J287">
        <f>IF(E287="Outlook",COUNTIF($E$2:E287,"Outlook"),"")</f>
        <v/>
      </c>
      <c r="K287">
        <f>IF(E287="Domain",COUNTIF($E$2:E287,"Domain"),"")</f>
        <v/>
      </c>
    </row>
    <row r="288">
      <c r="A288" s="2" t="n"/>
      <c r="B288">
        <f>LOWER(TRIM(A288))</f>
        <v/>
      </c>
      <c r="C288">
        <f>IF(B288="","",IFERROR(INDEX('Bad Patterns'!$A$2:$A$120,MATCH(1,INDEX(--ISNUMBER(SEARCH('Bad Patterns'!$A$2:$A$120,B288)),0),0)),""))</f>
        <v/>
      </c>
      <c r="D288">
        <f>IF(B288="","",IF(C288&lt;&gt;"","REMOVE","KEEP"))</f>
        <v/>
      </c>
      <c r="E288">
        <f>IF(D288&lt;&gt;"KEEP","",IF(RIGHT(B288,10)="@gmail.com","Gmail",IF(OR(RIGHT(B288,12)="@outlook.com",RIGHT(B288,12)="@hotmail.com",RIGHT(B288,9)="@live.com"),"Outlook","Domain")))</f>
        <v/>
      </c>
      <c r="F288">
        <f>IF(B288="","",IFERROR(RIGHT(B288,LEN(B288)-FIND("@",B288)),""))</f>
        <v/>
      </c>
      <c r="G288">
        <f>IF(D288="KEEP",COUNTIF($D$2:D288,"KEEP"),"")</f>
        <v/>
      </c>
      <c r="H288">
        <f>IF(D288="REMOVE",COUNTIF($D$2:D288,"REMOVE"),"")</f>
        <v/>
      </c>
      <c r="I288">
        <f>IF(E288="Gmail",COUNTIF($E$2:E288,"Gmail"),"")</f>
        <v/>
      </c>
      <c r="J288">
        <f>IF(E288="Outlook",COUNTIF($E$2:E288,"Outlook"),"")</f>
        <v/>
      </c>
      <c r="K288">
        <f>IF(E288="Domain",COUNTIF($E$2:E288,"Domain"),"")</f>
        <v/>
      </c>
    </row>
    <row r="289">
      <c r="A289" s="2" t="n"/>
      <c r="B289">
        <f>LOWER(TRIM(A289))</f>
        <v/>
      </c>
      <c r="C289">
        <f>IF(B289="","",IFERROR(INDEX('Bad Patterns'!$A$2:$A$120,MATCH(1,INDEX(--ISNUMBER(SEARCH('Bad Patterns'!$A$2:$A$120,B289)),0),0)),""))</f>
        <v/>
      </c>
      <c r="D289">
        <f>IF(B289="","",IF(C289&lt;&gt;"","REMOVE","KEEP"))</f>
        <v/>
      </c>
      <c r="E289">
        <f>IF(D289&lt;&gt;"KEEP","",IF(RIGHT(B289,10)="@gmail.com","Gmail",IF(OR(RIGHT(B289,12)="@outlook.com",RIGHT(B289,12)="@hotmail.com",RIGHT(B289,9)="@live.com"),"Outlook","Domain")))</f>
        <v/>
      </c>
      <c r="F289">
        <f>IF(B289="","",IFERROR(RIGHT(B289,LEN(B289)-FIND("@",B289)),""))</f>
        <v/>
      </c>
      <c r="G289">
        <f>IF(D289="KEEP",COUNTIF($D$2:D289,"KEEP"),"")</f>
        <v/>
      </c>
      <c r="H289">
        <f>IF(D289="REMOVE",COUNTIF($D$2:D289,"REMOVE"),"")</f>
        <v/>
      </c>
      <c r="I289">
        <f>IF(E289="Gmail",COUNTIF($E$2:E289,"Gmail"),"")</f>
        <v/>
      </c>
      <c r="J289">
        <f>IF(E289="Outlook",COUNTIF($E$2:E289,"Outlook"),"")</f>
        <v/>
      </c>
      <c r="K289">
        <f>IF(E289="Domain",COUNTIF($E$2:E289,"Domain"),"")</f>
        <v/>
      </c>
    </row>
    <row r="290">
      <c r="A290" s="2" t="n"/>
      <c r="B290">
        <f>LOWER(TRIM(A290))</f>
        <v/>
      </c>
      <c r="C290">
        <f>IF(B290="","",IFERROR(INDEX('Bad Patterns'!$A$2:$A$120,MATCH(1,INDEX(--ISNUMBER(SEARCH('Bad Patterns'!$A$2:$A$120,B290)),0),0)),""))</f>
        <v/>
      </c>
      <c r="D290">
        <f>IF(B290="","",IF(C290&lt;&gt;"","REMOVE","KEEP"))</f>
        <v/>
      </c>
      <c r="E290">
        <f>IF(D290&lt;&gt;"KEEP","",IF(RIGHT(B290,10)="@gmail.com","Gmail",IF(OR(RIGHT(B290,12)="@outlook.com",RIGHT(B290,12)="@hotmail.com",RIGHT(B290,9)="@live.com"),"Outlook","Domain")))</f>
        <v/>
      </c>
      <c r="F290">
        <f>IF(B290="","",IFERROR(RIGHT(B290,LEN(B290)-FIND("@",B290)),""))</f>
        <v/>
      </c>
      <c r="G290">
        <f>IF(D290="KEEP",COUNTIF($D$2:D290,"KEEP"),"")</f>
        <v/>
      </c>
      <c r="H290">
        <f>IF(D290="REMOVE",COUNTIF($D$2:D290,"REMOVE"),"")</f>
        <v/>
      </c>
      <c r="I290">
        <f>IF(E290="Gmail",COUNTIF($E$2:E290,"Gmail"),"")</f>
        <v/>
      </c>
      <c r="J290">
        <f>IF(E290="Outlook",COUNTIF($E$2:E290,"Outlook"),"")</f>
        <v/>
      </c>
      <c r="K290">
        <f>IF(E290="Domain",COUNTIF($E$2:E290,"Domain"),"")</f>
        <v/>
      </c>
    </row>
    <row r="291">
      <c r="A291" s="2" t="n"/>
      <c r="B291">
        <f>LOWER(TRIM(A291))</f>
        <v/>
      </c>
      <c r="C291">
        <f>IF(B291="","",IFERROR(INDEX('Bad Patterns'!$A$2:$A$120,MATCH(1,INDEX(--ISNUMBER(SEARCH('Bad Patterns'!$A$2:$A$120,B291)),0),0)),""))</f>
        <v/>
      </c>
      <c r="D291">
        <f>IF(B291="","",IF(C291&lt;&gt;"","REMOVE","KEEP"))</f>
        <v/>
      </c>
      <c r="E291">
        <f>IF(D291&lt;&gt;"KEEP","",IF(RIGHT(B291,10)="@gmail.com","Gmail",IF(OR(RIGHT(B291,12)="@outlook.com",RIGHT(B291,12)="@hotmail.com",RIGHT(B291,9)="@live.com"),"Outlook","Domain")))</f>
        <v/>
      </c>
      <c r="F291">
        <f>IF(B291="","",IFERROR(RIGHT(B291,LEN(B291)-FIND("@",B291)),""))</f>
        <v/>
      </c>
      <c r="G291">
        <f>IF(D291="KEEP",COUNTIF($D$2:D291,"KEEP"),"")</f>
        <v/>
      </c>
      <c r="H291">
        <f>IF(D291="REMOVE",COUNTIF($D$2:D291,"REMOVE"),"")</f>
        <v/>
      </c>
      <c r="I291">
        <f>IF(E291="Gmail",COUNTIF($E$2:E291,"Gmail"),"")</f>
        <v/>
      </c>
      <c r="J291">
        <f>IF(E291="Outlook",COUNTIF($E$2:E291,"Outlook"),"")</f>
        <v/>
      </c>
      <c r="K291">
        <f>IF(E291="Domain",COUNTIF($E$2:E291,"Domain"),"")</f>
        <v/>
      </c>
    </row>
    <row r="292">
      <c r="A292" s="2" t="n"/>
      <c r="B292">
        <f>LOWER(TRIM(A292))</f>
        <v/>
      </c>
      <c r="C292">
        <f>IF(B292="","",IFERROR(INDEX('Bad Patterns'!$A$2:$A$120,MATCH(1,INDEX(--ISNUMBER(SEARCH('Bad Patterns'!$A$2:$A$120,B292)),0),0)),""))</f>
        <v/>
      </c>
      <c r="D292">
        <f>IF(B292="","",IF(C292&lt;&gt;"","REMOVE","KEEP"))</f>
        <v/>
      </c>
      <c r="E292">
        <f>IF(D292&lt;&gt;"KEEP","",IF(RIGHT(B292,10)="@gmail.com","Gmail",IF(OR(RIGHT(B292,12)="@outlook.com",RIGHT(B292,12)="@hotmail.com",RIGHT(B292,9)="@live.com"),"Outlook","Domain")))</f>
        <v/>
      </c>
      <c r="F292">
        <f>IF(B292="","",IFERROR(RIGHT(B292,LEN(B292)-FIND("@",B292)),""))</f>
        <v/>
      </c>
      <c r="G292">
        <f>IF(D292="KEEP",COUNTIF($D$2:D292,"KEEP"),"")</f>
        <v/>
      </c>
      <c r="H292">
        <f>IF(D292="REMOVE",COUNTIF($D$2:D292,"REMOVE"),"")</f>
        <v/>
      </c>
      <c r="I292">
        <f>IF(E292="Gmail",COUNTIF($E$2:E292,"Gmail"),"")</f>
        <v/>
      </c>
      <c r="J292">
        <f>IF(E292="Outlook",COUNTIF($E$2:E292,"Outlook"),"")</f>
        <v/>
      </c>
      <c r="K292">
        <f>IF(E292="Domain",COUNTIF($E$2:E292,"Domain"),"")</f>
        <v/>
      </c>
    </row>
    <row r="293">
      <c r="A293" s="2" t="n"/>
      <c r="B293">
        <f>LOWER(TRIM(A293))</f>
        <v/>
      </c>
      <c r="C293">
        <f>IF(B293="","",IFERROR(INDEX('Bad Patterns'!$A$2:$A$120,MATCH(1,INDEX(--ISNUMBER(SEARCH('Bad Patterns'!$A$2:$A$120,B293)),0),0)),""))</f>
        <v/>
      </c>
      <c r="D293">
        <f>IF(B293="","",IF(C293&lt;&gt;"","REMOVE","KEEP"))</f>
        <v/>
      </c>
      <c r="E293">
        <f>IF(D293&lt;&gt;"KEEP","",IF(RIGHT(B293,10)="@gmail.com","Gmail",IF(OR(RIGHT(B293,12)="@outlook.com",RIGHT(B293,12)="@hotmail.com",RIGHT(B293,9)="@live.com"),"Outlook","Domain")))</f>
        <v/>
      </c>
      <c r="F293">
        <f>IF(B293="","",IFERROR(RIGHT(B293,LEN(B293)-FIND("@",B293)),""))</f>
        <v/>
      </c>
      <c r="G293">
        <f>IF(D293="KEEP",COUNTIF($D$2:D293,"KEEP"),"")</f>
        <v/>
      </c>
      <c r="H293">
        <f>IF(D293="REMOVE",COUNTIF($D$2:D293,"REMOVE"),"")</f>
        <v/>
      </c>
      <c r="I293">
        <f>IF(E293="Gmail",COUNTIF($E$2:E293,"Gmail"),"")</f>
        <v/>
      </c>
      <c r="J293">
        <f>IF(E293="Outlook",COUNTIF($E$2:E293,"Outlook"),"")</f>
        <v/>
      </c>
      <c r="K293">
        <f>IF(E293="Domain",COUNTIF($E$2:E293,"Domain"),"")</f>
        <v/>
      </c>
    </row>
    <row r="294">
      <c r="A294" s="2" t="n"/>
      <c r="B294">
        <f>LOWER(TRIM(A294))</f>
        <v/>
      </c>
      <c r="C294">
        <f>IF(B294="","",IFERROR(INDEX('Bad Patterns'!$A$2:$A$120,MATCH(1,INDEX(--ISNUMBER(SEARCH('Bad Patterns'!$A$2:$A$120,B294)),0),0)),""))</f>
        <v/>
      </c>
      <c r="D294">
        <f>IF(B294="","",IF(C294&lt;&gt;"","REMOVE","KEEP"))</f>
        <v/>
      </c>
      <c r="E294">
        <f>IF(D294&lt;&gt;"KEEP","",IF(RIGHT(B294,10)="@gmail.com","Gmail",IF(OR(RIGHT(B294,12)="@outlook.com",RIGHT(B294,12)="@hotmail.com",RIGHT(B294,9)="@live.com"),"Outlook","Domain")))</f>
        <v/>
      </c>
      <c r="F294">
        <f>IF(B294="","",IFERROR(RIGHT(B294,LEN(B294)-FIND("@",B294)),""))</f>
        <v/>
      </c>
      <c r="G294">
        <f>IF(D294="KEEP",COUNTIF($D$2:D294,"KEEP"),"")</f>
        <v/>
      </c>
      <c r="H294">
        <f>IF(D294="REMOVE",COUNTIF($D$2:D294,"REMOVE"),"")</f>
        <v/>
      </c>
      <c r="I294">
        <f>IF(E294="Gmail",COUNTIF($E$2:E294,"Gmail"),"")</f>
        <v/>
      </c>
      <c r="J294">
        <f>IF(E294="Outlook",COUNTIF($E$2:E294,"Outlook"),"")</f>
        <v/>
      </c>
      <c r="K294">
        <f>IF(E294="Domain",COUNTIF($E$2:E294,"Domain"),"")</f>
        <v/>
      </c>
    </row>
    <row r="295">
      <c r="A295" s="2" t="n"/>
      <c r="B295">
        <f>LOWER(TRIM(A295))</f>
        <v/>
      </c>
      <c r="C295">
        <f>IF(B295="","",IFERROR(INDEX('Bad Patterns'!$A$2:$A$120,MATCH(1,INDEX(--ISNUMBER(SEARCH('Bad Patterns'!$A$2:$A$120,B295)),0),0)),""))</f>
        <v/>
      </c>
      <c r="D295">
        <f>IF(B295="","",IF(C295&lt;&gt;"","REMOVE","KEEP"))</f>
        <v/>
      </c>
      <c r="E295">
        <f>IF(D295&lt;&gt;"KEEP","",IF(RIGHT(B295,10)="@gmail.com","Gmail",IF(OR(RIGHT(B295,12)="@outlook.com",RIGHT(B295,12)="@hotmail.com",RIGHT(B295,9)="@live.com"),"Outlook","Domain")))</f>
        <v/>
      </c>
      <c r="F295">
        <f>IF(B295="","",IFERROR(RIGHT(B295,LEN(B295)-FIND("@",B295)),""))</f>
        <v/>
      </c>
      <c r="G295">
        <f>IF(D295="KEEP",COUNTIF($D$2:D295,"KEEP"),"")</f>
        <v/>
      </c>
      <c r="H295">
        <f>IF(D295="REMOVE",COUNTIF($D$2:D295,"REMOVE"),"")</f>
        <v/>
      </c>
      <c r="I295">
        <f>IF(E295="Gmail",COUNTIF($E$2:E295,"Gmail"),"")</f>
        <v/>
      </c>
      <c r="J295">
        <f>IF(E295="Outlook",COUNTIF($E$2:E295,"Outlook"),"")</f>
        <v/>
      </c>
      <c r="K295">
        <f>IF(E295="Domain",COUNTIF($E$2:E295,"Domain"),"")</f>
        <v/>
      </c>
    </row>
    <row r="296">
      <c r="A296" s="2" t="n"/>
      <c r="B296">
        <f>LOWER(TRIM(A296))</f>
        <v/>
      </c>
      <c r="C296">
        <f>IF(B296="","",IFERROR(INDEX('Bad Patterns'!$A$2:$A$120,MATCH(1,INDEX(--ISNUMBER(SEARCH('Bad Patterns'!$A$2:$A$120,B296)),0),0)),""))</f>
        <v/>
      </c>
      <c r="D296">
        <f>IF(B296="","",IF(C296&lt;&gt;"","REMOVE","KEEP"))</f>
        <v/>
      </c>
      <c r="E296">
        <f>IF(D296&lt;&gt;"KEEP","",IF(RIGHT(B296,10)="@gmail.com","Gmail",IF(OR(RIGHT(B296,12)="@outlook.com",RIGHT(B296,12)="@hotmail.com",RIGHT(B296,9)="@live.com"),"Outlook","Domain")))</f>
        <v/>
      </c>
      <c r="F296">
        <f>IF(B296="","",IFERROR(RIGHT(B296,LEN(B296)-FIND("@",B296)),""))</f>
        <v/>
      </c>
      <c r="G296">
        <f>IF(D296="KEEP",COUNTIF($D$2:D296,"KEEP"),"")</f>
        <v/>
      </c>
      <c r="H296">
        <f>IF(D296="REMOVE",COUNTIF($D$2:D296,"REMOVE"),"")</f>
        <v/>
      </c>
      <c r="I296">
        <f>IF(E296="Gmail",COUNTIF($E$2:E296,"Gmail"),"")</f>
        <v/>
      </c>
      <c r="J296">
        <f>IF(E296="Outlook",COUNTIF($E$2:E296,"Outlook"),"")</f>
        <v/>
      </c>
      <c r="K296">
        <f>IF(E296="Domain",COUNTIF($E$2:E296,"Domain"),"")</f>
        <v/>
      </c>
    </row>
    <row r="297">
      <c r="A297" s="2" t="n"/>
      <c r="B297">
        <f>LOWER(TRIM(A297))</f>
        <v/>
      </c>
      <c r="C297">
        <f>IF(B297="","",IFERROR(INDEX('Bad Patterns'!$A$2:$A$120,MATCH(1,INDEX(--ISNUMBER(SEARCH('Bad Patterns'!$A$2:$A$120,B297)),0),0)),""))</f>
        <v/>
      </c>
      <c r="D297">
        <f>IF(B297="","",IF(C297&lt;&gt;"","REMOVE","KEEP"))</f>
        <v/>
      </c>
      <c r="E297">
        <f>IF(D297&lt;&gt;"KEEP","",IF(RIGHT(B297,10)="@gmail.com","Gmail",IF(OR(RIGHT(B297,12)="@outlook.com",RIGHT(B297,12)="@hotmail.com",RIGHT(B297,9)="@live.com"),"Outlook","Domain")))</f>
        <v/>
      </c>
      <c r="F297">
        <f>IF(B297="","",IFERROR(RIGHT(B297,LEN(B297)-FIND("@",B297)),""))</f>
        <v/>
      </c>
      <c r="G297">
        <f>IF(D297="KEEP",COUNTIF($D$2:D297,"KEEP"),"")</f>
        <v/>
      </c>
      <c r="H297">
        <f>IF(D297="REMOVE",COUNTIF($D$2:D297,"REMOVE"),"")</f>
        <v/>
      </c>
      <c r="I297">
        <f>IF(E297="Gmail",COUNTIF($E$2:E297,"Gmail"),"")</f>
        <v/>
      </c>
      <c r="J297">
        <f>IF(E297="Outlook",COUNTIF($E$2:E297,"Outlook"),"")</f>
        <v/>
      </c>
      <c r="K297">
        <f>IF(E297="Domain",COUNTIF($E$2:E297,"Domain"),"")</f>
        <v/>
      </c>
    </row>
    <row r="298">
      <c r="A298" s="2" t="n"/>
      <c r="B298">
        <f>LOWER(TRIM(A298))</f>
        <v/>
      </c>
      <c r="C298">
        <f>IF(B298="","",IFERROR(INDEX('Bad Patterns'!$A$2:$A$120,MATCH(1,INDEX(--ISNUMBER(SEARCH('Bad Patterns'!$A$2:$A$120,B298)),0),0)),""))</f>
        <v/>
      </c>
      <c r="D298">
        <f>IF(B298="","",IF(C298&lt;&gt;"","REMOVE","KEEP"))</f>
        <v/>
      </c>
      <c r="E298">
        <f>IF(D298&lt;&gt;"KEEP","",IF(RIGHT(B298,10)="@gmail.com","Gmail",IF(OR(RIGHT(B298,12)="@outlook.com",RIGHT(B298,12)="@hotmail.com",RIGHT(B298,9)="@live.com"),"Outlook","Domain")))</f>
        <v/>
      </c>
      <c r="F298">
        <f>IF(B298="","",IFERROR(RIGHT(B298,LEN(B298)-FIND("@",B298)),""))</f>
        <v/>
      </c>
      <c r="G298">
        <f>IF(D298="KEEP",COUNTIF($D$2:D298,"KEEP"),"")</f>
        <v/>
      </c>
      <c r="H298">
        <f>IF(D298="REMOVE",COUNTIF($D$2:D298,"REMOVE"),"")</f>
        <v/>
      </c>
      <c r="I298">
        <f>IF(E298="Gmail",COUNTIF($E$2:E298,"Gmail"),"")</f>
        <v/>
      </c>
      <c r="J298">
        <f>IF(E298="Outlook",COUNTIF($E$2:E298,"Outlook"),"")</f>
        <v/>
      </c>
      <c r="K298">
        <f>IF(E298="Domain",COUNTIF($E$2:E298,"Domain"),"")</f>
        <v/>
      </c>
    </row>
    <row r="299">
      <c r="A299" s="2" t="n"/>
      <c r="B299">
        <f>LOWER(TRIM(A299))</f>
        <v/>
      </c>
      <c r="C299">
        <f>IF(B299="","",IFERROR(INDEX('Bad Patterns'!$A$2:$A$120,MATCH(1,INDEX(--ISNUMBER(SEARCH('Bad Patterns'!$A$2:$A$120,B299)),0),0)),""))</f>
        <v/>
      </c>
      <c r="D299">
        <f>IF(B299="","",IF(C299&lt;&gt;"","REMOVE","KEEP"))</f>
        <v/>
      </c>
      <c r="E299">
        <f>IF(D299&lt;&gt;"KEEP","",IF(RIGHT(B299,10)="@gmail.com","Gmail",IF(OR(RIGHT(B299,12)="@outlook.com",RIGHT(B299,12)="@hotmail.com",RIGHT(B299,9)="@live.com"),"Outlook","Domain")))</f>
        <v/>
      </c>
      <c r="F299">
        <f>IF(B299="","",IFERROR(RIGHT(B299,LEN(B299)-FIND("@",B299)),""))</f>
        <v/>
      </c>
      <c r="G299">
        <f>IF(D299="KEEP",COUNTIF($D$2:D299,"KEEP"),"")</f>
        <v/>
      </c>
      <c r="H299">
        <f>IF(D299="REMOVE",COUNTIF($D$2:D299,"REMOVE"),"")</f>
        <v/>
      </c>
      <c r="I299">
        <f>IF(E299="Gmail",COUNTIF($E$2:E299,"Gmail"),"")</f>
        <v/>
      </c>
      <c r="J299">
        <f>IF(E299="Outlook",COUNTIF($E$2:E299,"Outlook"),"")</f>
        <v/>
      </c>
      <c r="K299">
        <f>IF(E299="Domain",COUNTIF($E$2:E299,"Domain"),"")</f>
        <v/>
      </c>
    </row>
    <row r="300">
      <c r="A300" s="2" t="n"/>
      <c r="B300">
        <f>LOWER(TRIM(A300))</f>
        <v/>
      </c>
      <c r="C300">
        <f>IF(B300="","",IFERROR(INDEX('Bad Patterns'!$A$2:$A$120,MATCH(1,INDEX(--ISNUMBER(SEARCH('Bad Patterns'!$A$2:$A$120,B300)),0),0)),""))</f>
        <v/>
      </c>
      <c r="D300">
        <f>IF(B300="","",IF(C300&lt;&gt;"","REMOVE","KEEP"))</f>
        <v/>
      </c>
      <c r="E300">
        <f>IF(D300&lt;&gt;"KEEP","",IF(RIGHT(B300,10)="@gmail.com","Gmail",IF(OR(RIGHT(B300,12)="@outlook.com",RIGHT(B300,12)="@hotmail.com",RIGHT(B300,9)="@live.com"),"Outlook","Domain")))</f>
        <v/>
      </c>
      <c r="F300">
        <f>IF(B300="","",IFERROR(RIGHT(B300,LEN(B300)-FIND("@",B300)),""))</f>
        <v/>
      </c>
      <c r="G300">
        <f>IF(D300="KEEP",COUNTIF($D$2:D300,"KEEP"),"")</f>
        <v/>
      </c>
      <c r="H300">
        <f>IF(D300="REMOVE",COUNTIF($D$2:D300,"REMOVE"),"")</f>
        <v/>
      </c>
      <c r="I300">
        <f>IF(E300="Gmail",COUNTIF($E$2:E300,"Gmail"),"")</f>
        <v/>
      </c>
      <c r="J300">
        <f>IF(E300="Outlook",COUNTIF($E$2:E300,"Outlook"),"")</f>
        <v/>
      </c>
      <c r="K300">
        <f>IF(E300="Domain",COUNTIF($E$2:E300,"Domain"),"")</f>
        <v/>
      </c>
    </row>
    <row r="301">
      <c r="A301" s="2" t="n"/>
      <c r="B301">
        <f>LOWER(TRIM(A301))</f>
        <v/>
      </c>
      <c r="C301">
        <f>IF(B301="","",IFERROR(INDEX('Bad Patterns'!$A$2:$A$120,MATCH(1,INDEX(--ISNUMBER(SEARCH('Bad Patterns'!$A$2:$A$120,B301)),0),0)),""))</f>
        <v/>
      </c>
      <c r="D301">
        <f>IF(B301="","",IF(C301&lt;&gt;"","REMOVE","KEEP"))</f>
        <v/>
      </c>
      <c r="E301">
        <f>IF(D301&lt;&gt;"KEEP","",IF(RIGHT(B301,10)="@gmail.com","Gmail",IF(OR(RIGHT(B301,12)="@outlook.com",RIGHT(B301,12)="@hotmail.com",RIGHT(B301,9)="@live.com"),"Outlook","Domain")))</f>
        <v/>
      </c>
      <c r="F301">
        <f>IF(B301="","",IFERROR(RIGHT(B301,LEN(B301)-FIND("@",B301)),""))</f>
        <v/>
      </c>
      <c r="G301">
        <f>IF(D301="KEEP",COUNTIF($D$2:D301,"KEEP"),"")</f>
        <v/>
      </c>
      <c r="H301">
        <f>IF(D301="REMOVE",COUNTIF($D$2:D301,"REMOVE"),"")</f>
        <v/>
      </c>
      <c r="I301">
        <f>IF(E301="Gmail",COUNTIF($E$2:E301,"Gmail"),"")</f>
        <v/>
      </c>
      <c r="J301">
        <f>IF(E301="Outlook",COUNTIF($E$2:E301,"Outlook"),"")</f>
        <v/>
      </c>
      <c r="K301">
        <f>IF(E301="Domain",COUNTIF($E$2:E301,"Domain"),"")</f>
        <v/>
      </c>
    </row>
    <row r="302">
      <c r="A302" s="2" t="n"/>
      <c r="B302">
        <f>LOWER(TRIM(A302))</f>
        <v/>
      </c>
      <c r="C302">
        <f>IF(B302="","",IFERROR(INDEX('Bad Patterns'!$A$2:$A$120,MATCH(1,INDEX(--ISNUMBER(SEARCH('Bad Patterns'!$A$2:$A$120,B302)),0),0)),""))</f>
        <v/>
      </c>
      <c r="D302">
        <f>IF(B302="","",IF(C302&lt;&gt;"","REMOVE","KEEP"))</f>
        <v/>
      </c>
      <c r="E302">
        <f>IF(D302&lt;&gt;"KEEP","",IF(RIGHT(B302,10)="@gmail.com","Gmail",IF(OR(RIGHT(B302,12)="@outlook.com",RIGHT(B302,12)="@hotmail.com",RIGHT(B302,9)="@live.com"),"Outlook","Domain")))</f>
        <v/>
      </c>
      <c r="F302">
        <f>IF(B302="","",IFERROR(RIGHT(B302,LEN(B302)-FIND("@",B302)),""))</f>
        <v/>
      </c>
      <c r="G302">
        <f>IF(D302="KEEP",COUNTIF($D$2:D302,"KEEP"),"")</f>
        <v/>
      </c>
      <c r="H302">
        <f>IF(D302="REMOVE",COUNTIF($D$2:D302,"REMOVE"),"")</f>
        <v/>
      </c>
      <c r="I302">
        <f>IF(E302="Gmail",COUNTIF($E$2:E302,"Gmail"),"")</f>
        <v/>
      </c>
      <c r="J302">
        <f>IF(E302="Outlook",COUNTIF($E$2:E302,"Outlook"),"")</f>
        <v/>
      </c>
      <c r="K302">
        <f>IF(E302="Domain",COUNTIF($E$2:E302,"Domain"),"")</f>
        <v/>
      </c>
    </row>
    <row r="303">
      <c r="A303" s="2" t="n"/>
      <c r="B303">
        <f>LOWER(TRIM(A303))</f>
        <v/>
      </c>
      <c r="C303">
        <f>IF(B303="","",IFERROR(INDEX('Bad Patterns'!$A$2:$A$120,MATCH(1,INDEX(--ISNUMBER(SEARCH('Bad Patterns'!$A$2:$A$120,B303)),0),0)),""))</f>
        <v/>
      </c>
      <c r="D303">
        <f>IF(B303="","",IF(C303&lt;&gt;"","REMOVE","KEEP"))</f>
        <v/>
      </c>
      <c r="E303">
        <f>IF(D303&lt;&gt;"KEEP","",IF(RIGHT(B303,10)="@gmail.com","Gmail",IF(OR(RIGHT(B303,12)="@outlook.com",RIGHT(B303,12)="@hotmail.com",RIGHT(B303,9)="@live.com"),"Outlook","Domain")))</f>
        <v/>
      </c>
      <c r="F303">
        <f>IF(B303="","",IFERROR(RIGHT(B303,LEN(B303)-FIND("@",B303)),""))</f>
        <v/>
      </c>
      <c r="G303">
        <f>IF(D303="KEEP",COUNTIF($D$2:D303,"KEEP"),"")</f>
        <v/>
      </c>
      <c r="H303">
        <f>IF(D303="REMOVE",COUNTIF($D$2:D303,"REMOVE"),"")</f>
        <v/>
      </c>
      <c r="I303">
        <f>IF(E303="Gmail",COUNTIF($E$2:E303,"Gmail"),"")</f>
        <v/>
      </c>
      <c r="J303">
        <f>IF(E303="Outlook",COUNTIF($E$2:E303,"Outlook"),"")</f>
        <v/>
      </c>
      <c r="K303">
        <f>IF(E303="Domain",COUNTIF($E$2:E303,"Domain"),"")</f>
        <v/>
      </c>
    </row>
    <row r="304">
      <c r="A304" s="2" t="n"/>
      <c r="B304">
        <f>LOWER(TRIM(A304))</f>
        <v/>
      </c>
      <c r="C304">
        <f>IF(B304="","",IFERROR(INDEX('Bad Patterns'!$A$2:$A$120,MATCH(1,INDEX(--ISNUMBER(SEARCH('Bad Patterns'!$A$2:$A$120,B304)),0),0)),""))</f>
        <v/>
      </c>
      <c r="D304">
        <f>IF(B304="","",IF(C304&lt;&gt;"","REMOVE","KEEP"))</f>
        <v/>
      </c>
      <c r="E304">
        <f>IF(D304&lt;&gt;"KEEP","",IF(RIGHT(B304,10)="@gmail.com","Gmail",IF(OR(RIGHT(B304,12)="@outlook.com",RIGHT(B304,12)="@hotmail.com",RIGHT(B304,9)="@live.com"),"Outlook","Domain")))</f>
        <v/>
      </c>
      <c r="F304">
        <f>IF(B304="","",IFERROR(RIGHT(B304,LEN(B304)-FIND("@",B304)),""))</f>
        <v/>
      </c>
      <c r="G304">
        <f>IF(D304="KEEP",COUNTIF($D$2:D304,"KEEP"),"")</f>
        <v/>
      </c>
      <c r="H304">
        <f>IF(D304="REMOVE",COUNTIF($D$2:D304,"REMOVE"),"")</f>
        <v/>
      </c>
      <c r="I304">
        <f>IF(E304="Gmail",COUNTIF($E$2:E304,"Gmail"),"")</f>
        <v/>
      </c>
      <c r="J304">
        <f>IF(E304="Outlook",COUNTIF($E$2:E304,"Outlook"),"")</f>
        <v/>
      </c>
      <c r="K304">
        <f>IF(E304="Domain",COUNTIF($E$2:E304,"Domain"),"")</f>
        <v/>
      </c>
    </row>
    <row r="305">
      <c r="A305" s="2" t="n"/>
      <c r="B305">
        <f>LOWER(TRIM(A305))</f>
        <v/>
      </c>
      <c r="C305">
        <f>IF(B305="","",IFERROR(INDEX('Bad Patterns'!$A$2:$A$120,MATCH(1,INDEX(--ISNUMBER(SEARCH('Bad Patterns'!$A$2:$A$120,B305)),0),0)),""))</f>
        <v/>
      </c>
      <c r="D305">
        <f>IF(B305="","",IF(C305&lt;&gt;"","REMOVE","KEEP"))</f>
        <v/>
      </c>
      <c r="E305">
        <f>IF(D305&lt;&gt;"KEEP","",IF(RIGHT(B305,10)="@gmail.com","Gmail",IF(OR(RIGHT(B305,12)="@outlook.com",RIGHT(B305,12)="@hotmail.com",RIGHT(B305,9)="@live.com"),"Outlook","Domain")))</f>
        <v/>
      </c>
      <c r="F305">
        <f>IF(B305="","",IFERROR(RIGHT(B305,LEN(B305)-FIND("@",B305)),""))</f>
        <v/>
      </c>
      <c r="G305">
        <f>IF(D305="KEEP",COUNTIF($D$2:D305,"KEEP"),"")</f>
        <v/>
      </c>
      <c r="H305">
        <f>IF(D305="REMOVE",COUNTIF($D$2:D305,"REMOVE"),"")</f>
        <v/>
      </c>
      <c r="I305">
        <f>IF(E305="Gmail",COUNTIF($E$2:E305,"Gmail"),"")</f>
        <v/>
      </c>
      <c r="J305">
        <f>IF(E305="Outlook",COUNTIF($E$2:E305,"Outlook"),"")</f>
        <v/>
      </c>
      <c r="K305">
        <f>IF(E305="Domain",COUNTIF($E$2:E305,"Domain"),"")</f>
        <v/>
      </c>
    </row>
    <row r="306">
      <c r="A306" s="2" t="n"/>
      <c r="B306">
        <f>LOWER(TRIM(A306))</f>
        <v/>
      </c>
      <c r="C306">
        <f>IF(B306="","",IFERROR(INDEX('Bad Patterns'!$A$2:$A$120,MATCH(1,INDEX(--ISNUMBER(SEARCH('Bad Patterns'!$A$2:$A$120,B306)),0),0)),""))</f>
        <v/>
      </c>
      <c r="D306">
        <f>IF(B306="","",IF(C306&lt;&gt;"","REMOVE","KEEP"))</f>
        <v/>
      </c>
      <c r="E306">
        <f>IF(D306&lt;&gt;"KEEP","",IF(RIGHT(B306,10)="@gmail.com","Gmail",IF(OR(RIGHT(B306,12)="@outlook.com",RIGHT(B306,12)="@hotmail.com",RIGHT(B306,9)="@live.com"),"Outlook","Domain")))</f>
        <v/>
      </c>
      <c r="F306">
        <f>IF(B306="","",IFERROR(RIGHT(B306,LEN(B306)-FIND("@",B306)),""))</f>
        <v/>
      </c>
      <c r="G306">
        <f>IF(D306="KEEP",COUNTIF($D$2:D306,"KEEP"),"")</f>
        <v/>
      </c>
      <c r="H306">
        <f>IF(D306="REMOVE",COUNTIF($D$2:D306,"REMOVE"),"")</f>
        <v/>
      </c>
      <c r="I306">
        <f>IF(E306="Gmail",COUNTIF($E$2:E306,"Gmail"),"")</f>
        <v/>
      </c>
      <c r="J306">
        <f>IF(E306="Outlook",COUNTIF($E$2:E306,"Outlook"),"")</f>
        <v/>
      </c>
      <c r="K306">
        <f>IF(E306="Domain",COUNTIF($E$2:E306,"Domain"),"")</f>
        <v/>
      </c>
    </row>
    <row r="307">
      <c r="A307" s="2" t="n"/>
      <c r="B307">
        <f>LOWER(TRIM(A307))</f>
        <v/>
      </c>
      <c r="C307">
        <f>IF(B307="","",IFERROR(INDEX('Bad Patterns'!$A$2:$A$120,MATCH(1,INDEX(--ISNUMBER(SEARCH('Bad Patterns'!$A$2:$A$120,B307)),0),0)),""))</f>
        <v/>
      </c>
      <c r="D307">
        <f>IF(B307="","",IF(C307&lt;&gt;"","REMOVE","KEEP"))</f>
        <v/>
      </c>
      <c r="E307">
        <f>IF(D307&lt;&gt;"KEEP","",IF(RIGHT(B307,10)="@gmail.com","Gmail",IF(OR(RIGHT(B307,12)="@outlook.com",RIGHT(B307,12)="@hotmail.com",RIGHT(B307,9)="@live.com"),"Outlook","Domain")))</f>
        <v/>
      </c>
      <c r="F307">
        <f>IF(B307="","",IFERROR(RIGHT(B307,LEN(B307)-FIND("@",B307)),""))</f>
        <v/>
      </c>
      <c r="G307">
        <f>IF(D307="KEEP",COUNTIF($D$2:D307,"KEEP"),"")</f>
        <v/>
      </c>
      <c r="H307">
        <f>IF(D307="REMOVE",COUNTIF($D$2:D307,"REMOVE"),"")</f>
        <v/>
      </c>
      <c r="I307">
        <f>IF(E307="Gmail",COUNTIF($E$2:E307,"Gmail"),"")</f>
        <v/>
      </c>
      <c r="J307">
        <f>IF(E307="Outlook",COUNTIF($E$2:E307,"Outlook"),"")</f>
        <v/>
      </c>
      <c r="K307">
        <f>IF(E307="Domain",COUNTIF($E$2:E307,"Domain"),"")</f>
        <v/>
      </c>
    </row>
    <row r="308">
      <c r="A308" s="2" t="n"/>
      <c r="B308">
        <f>LOWER(TRIM(A308))</f>
        <v/>
      </c>
      <c r="C308">
        <f>IF(B308="","",IFERROR(INDEX('Bad Patterns'!$A$2:$A$120,MATCH(1,INDEX(--ISNUMBER(SEARCH('Bad Patterns'!$A$2:$A$120,B308)),0),0)),""))</f>
        <v/>
      </c>
      <c r="D308">
        <f>IF(B308="","",IF(C308&lt;&gt;"","REMOVE","KEEP"))</f>
        <v/>
      </c>
      <c r="E308">
        <f>IF(D308&lt;&gt;"KEEP","",IF(RIGHT(B308,10)="@gmail.com","Gmail",IF(OR(RIGHT(B308,12)="@outlook.com",RIGHT(B308,12)="@hotmail.com",RIGHT(B308,9)="@live.com"),"Outlook","Domain")))</f>
        <v/>
      </c>
      <c r="F308">
        <f>IF(B308="","",IFERROR(RIGHT(B308,LEN(B308)-FIND("@",B308)),""))</f>
        <v/>
      </c>
      <c r="G308">
        <f>IF(D308="KEEP",COUNTIF($D$2:D308,"KEEP"),"")</f>
        <v/>
      </c>
      <c r="H308">
        <f>IF(D308="REMOVE",COUNTIF($D$2:D308,"REMOVE"),"")</f>
        <v/>
      </c>
      <c r="I308">
        <f>IF(E308="Gmail",COUNTIF($E$2:E308,"Gmail"),"")</f>
        <v/>
      </c>
      <c r="J308">
        <f>IF(E308="Outlook",COUNTIF($E$2:E308,"Outlook"),"")</f>
        <v/>
      </c>
      <c r="K308">
        <f>IF(E308="Domain",COUNTIF($E$2:E308,"Domain"),"")</f>
        <v/>
      </c>
    </row>
    <row r="309">
      <c r="A309" s="2" t="n"/>
      <c r="B309">
        <f>LOWER(TRIM(A309))</f>
        <v/>
      </c>
      <c r="C309">
        <f>IF(B309="","",IFERROR(INDEX('Bad Patterns'!$A$2:$A$120,MATCH(1,INDEX(--ISNUMBER(SEARCH('Bad Patterns'!$A$2:$A$120,B309)),0),0)),""))</f>
        <v/>
      </c>
      <c r="D309">
        <f>IF(B309="","",IF(C309&lt;&gt;"","REMOVE","KEEP"))</f>
        <v/>
      </c>
      <c r="E309">
        <f>IF(D309&lt;&gt;"KEEP","",IF(RIGHT(B309,10)="@gmail.com","Gmail",IF(OR(RIGHT(B309,12)="@outlook.com",RIGHT(B309,12)="@hotmail.com",RIGHT(B309,9)="@live.com"),"Outlook","Domain")))</f>
        <v/>
      </c>
      <c r="F309">
        <f>IF(B309="","",IFERROR(RIGHT(B309,LEN(B309)-FIND("@",B309)),""))</f>
        <v/>
      </c>
      <c r="G309">
        <f>IF(D309="KEEP",COUNTIF($D$2:D309,"KEEP"),"")</f>
        <v/>
      </c>
      <c r="H309">
        <f>IF(D309="REMOVE",COUNTIF($D$2:D309,"REMOVE"),"")</f>
        <v/>
      </c>
      <c r="I309">
        <f>IF(E309="Gmail",COUNTIF($E$2:E309,"Gmail"),"")</f>
        <v/>
      </c>
      <c r="J309">
        <f>IF(E309="Outlook",COUNTIF($E$2:E309,"Outlook"),"")</f>
        <v/>
      </c>
      <c r="K309">
        <f>IF(E309="Domain",COUNTIF($E$2:E309,"Domain"),"")</f>
        <v/>
      </c>
    </row>
    <row r="310">
      <c r="A310" s="2" t="n"/>
      <c r="B310">
        <f>LOWER(TRIM(A310))</f>
        <v/>
      </c>
      <c r="C310">
        <f>IF(B310="","",IFERROR(INDEX('Bad Patterns'!$A$2:$A$120,MATCH(1,INDEX(--ISNUMBER(SEARCH('Bad Patterns'!$A$2:$A$120,B310)),0),0)),""))</f>
        <v/>
      </c>
      <c r="D310">
        <f>IF(B310="","",IF(C310&lt;&gt;"","REMOVE","KEEP"))</f>
        <v/>
      </c>
      <c r="E310">
        <f>IF(D310&lt;&gt;"KEEP","",IF(RIGHT(B310,10)="@gmail.com","Gmail",IF(OR(RIGHT(B310,12)="@outlook.com",RIGHT(B310,12)="@hotmail.com",RIGHT(B310,9)="@live.com"),"Outlook","Domain")))</f>
        <v/>
      </c>
      <c r="F310">
        <f>IF(B310="","",IFERROR(RIGHT(B310,LEN(B310)-FIND("@",B310)),""))</f>
        <v/>
      </c>
      <c r="G310">
        <f>IF(D310="KEEP",COUNTIF($D$2:D310,"KEEP"),"")</f>
        <v/>
      </c>
      <c r="H310">
        <f>IF(D310="REMOVE",COUNTIF($D$2:D310,"REMOVE"),"")</f>
        <v/>
      </c>
      <c r="I310">
        <f>IF(E310="Gmail",COUNTIF($E$2:E310,"Gmail"),"")</f>
        <v/>
      </c>
      <c r="J310">
        <f>IF(E310="Outlook",COUNTIF($E$2:E310,"Outlook"),"")</f>
        <v/>
      </c>
      <c r="K310">
        <f>IF(E310="Domain",COUNTIF($E$2:E310,"Domain"),"")</f>
        <v/>
      </c>
    </row>
    <row r="311">
      <c r="A311" s="2" t="n"/>
      <c r="B311">
        <f>LOWER(TRIM(A311))</f>
        <v/>
      </c>
      <c r="C311">
        <f>IF(B311="","",IFERROR(INDEX('Bad Patterns'!$A$2:$A$120,MATCH(1,INDEX(--ISNUMBER(SEARCH('Bad Patterns'!$A$2:$A$120,B311)),0),0)),""))</f>
        <v/>
      </c>
      <c r="D311">
        <f>IF(B311="","",IF(C311&lt;&gt;"","REMOVE","KEEP"))</f>
        <v/>
      </c>
      <c r="E311">
        <f>IF(D311&lt;&gt;"KEEP","",IF(RIGHT(B311,10)="@gmail.com","Gmail",IF(OR(RIGHT(B311,12)="@outlook.com",RIGHT(B311,12)="@hotmail.com",RIGHT(B311,9)="@live.com"),"Outlook","Domain")))</f>
        <v/>
      </c>
      <c r="F311">
        <f>IF(B311="","",IFERROR(RIGHT(B311,LEN(B311)-FIND("@",B311)),""))</f>
        <v/>
      </c>
      <c r="G311">
        <f>IF(D311="KEEP",COUNTIF($D$2:D311,"KEEP"),"")</f>
        <v/>
      </c>
      <c r="H311">
        <f>IF(D311="REMOVE",COUNTIF($D$2:D311,"REMOVE"),"")</f>
        <v/>
      </c>
      <c r="I311">
        <f>IF(E311="Gmail",COUNTIF($E$2:E311,"Gmail"),"")</f>
        <v/>
      </c>
      <c r="J311">
        <f>IF(E311="Outlook",COUNTIF($E$2:E311,"Outlook"),"")</f>
        <v/>
      </c>
      <c r="K311">
        <f>IF(E311="Domain",COUNTIF($E$2:E311,"Domain"),"")</f>
        <v/>
      </c>
    </row>
    <row r="312">
      <c r="A312" s="2" t="n"/>
      <c r="B312">
        <f>LOWER(TRIM(A312))</f>
        <v/>
      </c>
      <c r="C312">
        <f>IF(B312="","",IFERROR(INDEX('Bad Patterns'!$A$2:$A$120,MATCH(1,INDEX(--ISNUMBER(SEARCH('Bad Patterns'!$A$2:$A$120,B312)),0),0)),""))</f>
        <v/>
      </c>
      <c r="D312">
        <f>IF(B312="","",IF(C312&lt;&gt;"","REMOVE","KEEP"))</f>
        <v/>
      </c>
      <c r="E312">
        <f>IF(D312&lt;&gt;"KEEP","",IF(RIGHT(B312,10)="@gmail.com","Gmail",IF(OR(RIGHT(B312,12)="@outlook.com",RIGHT(B312,12)="@hotmail.com",RIGHT(B312,9)="@live.com"),"Outlook","Domain")))</f>
        <v/>
      </c>
      <c r="F312">
        <f>IF(B312="","",IFERROR(RIGHT(B312,LEN(B312)-FIND("@",B312)),""))</f>
        <v/>
      </c>
      <c r="G312">
        <f>IF(D312="KEEP",COUNTIF($D$2:D312,"KEEP"),"")</f>
        <v/>
      </c>
      <c r="H312">
        <f>IF(D312="REMOVE",COUNTIF($D$2:D312,"REMOVE"),"")</f>
        <v/>
      </c>
      <c r="I312">
        <f>IF(E312="Gmail",COUNTIF($E$2:E312,"Gmail"),"")</f>
        <v/>
      </c>
      <c r="J312">
        <f>IF(E312="Outlook",COUNTIF($E$2:E312,"Outlook"),"")</f>
        <v/>
      </c>
      <c r="K312">
        <f>IF(E312="Domain",COUNTIF($E$2:E312,"Domain"),"")</f>
        <v/>
      </c>
    </row>
    <row r="313">
      <c r="A313" s="2" t="n"/>
      <c r="B313">
        <f>LOWER(TRIM(A313))</f>
        <v/>
      </c>
      <c r="C313">
        <f>IF(B313="","",IFERROR(INDEX('Bad Patterns'!$A$2:$A$120,MATCH(1,INDEX(--ISNUMBER(SEARCH('Bad Patterns'!$A$2:$A$120,B313)),0),0)),""))</f>
        <v/>
      </c>
      <c r="D313">
        <f>IF(B313="","",IF(C313&lt;&gt;"","REMOVE","KEEP"))</f>
        <v/>
      </c>
      <c r="E313">
        <f>IF(D313&lt;&gt;"KEEP","",IF(RIGHT(B313,10)="@gmail.com","Gmail",IF(OR(RIGHT(B313,12)="@outlook.com",RIGHT(B313,12)="@hotmail.com",RIGHT(B313,9)="@live.com"),"Outlook","Domain")))</f>
        <v/>
      </c>
      <c r="F313">
        <f>IF(B313="","",IFERROR(RIGHT(B313,LEN(B313)-FIND("@",B313)),""))</f>
        <v/>
      </c>
      <c r="G313">
        <f>IF(D313="KEEP",COUNTIF($D$2:D313,"KEEP"),"")</f>
        <v/>
      </c>
      <c r="H313">
        <f>IF(D313="REMOVE",COUNTIF($D$2:D313,"REMOVE"),"")</f>
        <v/>
      </c>
      <c r="I313">
        <f>IF(E313="Gmail",COUNTIF($E$2:E313,"Gmail"),"")</f>
        <v/>
      </c>
      <c r="J313">
        <f>IF(E313="Outlook",COUNTIF($E$2:E313,"Outlook"),"")</f>
        <v/>
      </c>
      <c r="K313">
        <f>IF(E313="Domain",COUNTIF($E$2:E313,"Domain"),"")</f>
        <v/>
      </c>
    </row>
    <row r="314">
      <c r="A314" s="2" t="n"/>
      <c r="B314">
        <f>LOWER(TRIM(A314))</f>
        <v/>
      </c>
      <c r="C314">
        <f>IF(B314="","",IFERROR(INDEX('Bad Patterns'!$A$2:$A$120,MATCH(1,INDEX(--ISNUMBER(SEARCH('Bad Patterns'!$A$2:$A$120,B314)),0),0)),""))</f>
        <v/>
      </c>
      <c r="D314">
        <f>IF(B314="","",IF(C314&lt;&gt;"","REMOVE","KEEP"))</f>
        <v/>
      </c>
      <c r="E314">
        <f>IF(D314&lt;&gt;"KEEP","",IF(RIGHT(B314,10)="@gmail.com","Gmail",IF(OR(RIGHT(B314,12)="@outlook.com",RIGHT(B314,12)="@hotmail.com",RIGHT(B314,9)="@live.com"),"Outlook","Domain")))</f>
        <v/>
      </c>
      <c r="F314">
        <f>IF(B314="","",IFERROR(RIGHT(B314,LEN(B314)-FIND("@",B314)),""))</f>
        <v/>
      </c>
      <c r="G314">
        <f>IF(D314="KEEP",COUNTIF($D$2:D314,"KEEP"),"")</f>
        <v/>
      </c>
      <c r="H314">
        <f>IF(D314="REMOVE",COUNTIF($D$2:D314,"REMOVE"),"")</f>
        <v/>
      </c>
      <c r="I314">
        <f>IF(E314="Gmail",COUNTIF($E$2:E314,"Gmail"),"")</f>
        <v/>
      </c>
      <c r="J314">
        <f>IF(E314="Outlook",COUNTIF($E$2:E314,"Outlook"),"")</f>
        <v/>
      </c>
      <c r="K314">
        <f>IF(E314="Domain",COUNTIF($E$2:E314,"Domain"),"")</f>
        <v/>
      </c>
    </row>
    <row r="315">
      <c r="A315" s="2" t="n"/>
      <c r="B315">
        <f>LOWER(TRIM(A315))</f>
        <v/>
      </c>
      <c r="C315">
        <f>IF(B315="","",IFERROR(INDEX('Bad Patterns'!$A$2:$A$120,MATCH(1,INDEX(--ISNUMBER(SEARCH('Bad Patterns'!$A$2:$A$120,B315)),0),0)),""))</f>
        <v/>
      </c>
      <c r="D315">
        <f>IF(B315="","",IF(C315&lt;&gt;"","REMOVE","KEEP"))</f>
        <v/>
      </c>
      <c r="E315">
        <f>IF(D315&lt;&gt;"KEEP","",IF(RIGHT(B315,10)="@gmail.com","Gmail",IF(OR(RIGHT(B315,12)="@outlook.com",RIGHT(B315,12)="@hotmail.com",RIGHT(B315,9)="@live.com"),"Outlook","Domain")))</f>
        <v/>
      </c>
      <c r="F315">
        <f>IF(B315="","",IFERROR(RIGHT(B315,LEN(B315)-FIND("@",B315)),""))</f>
        <v/>
      </c>
      <c r="G315">
        <f>IF(D315="KEEP",COUNTIF($D$2:D315,"KEEP"),"")</f>
        <v/>
      </c>
      <c r="H315">
        <f>IF(D315="REMOVE",COUNTIF($D$2:D315,"REMOVE"),"")</f>
        <v/>
      </c>
      <c r="I315">
        <f>IF(E315="Gmail",COUNTIF($E$2:E315,"Gmail"),"")</f>
        <v/>
      </c>
      <c r="J315">
        <f>IF(E315="Outlook",COUNTIF($E$2:E315,"Outlook"),"")</f>
        <v/>
      </c>
      <c r="K315">
        <f>IF(E315="Domain",COUNTIF($E$2:E315,"Domain"),"")</f>
        <v/>
      </c>
    </row>
    <row r="316">
      <c r="A316" s="2" t="n"/>
      <c r="B316">
        <f>LOWER(TRIM(A316))</f>
        <v/>
      </c>
      <c r="C316">
        <f>IF(B316="","",IFERROR(INDEX('Bad Patterns'!$A$2:$A$120,MATCH(1,INDEX(--ISNUMBER(SEARCH('Bad Patterns'!$A$2:$A$120,B316)),0),0)),""))</f>
        <v/>
      </c>
      <c r="D316">
        <f>IF(B316="","",IF(C316&lt;&gt;"","REMOVE","KEEP"))</f>
        <v/>
      </c>
      <c r="E316">
        <f>IF(D316&lt;&gt;"KEEP","",IF(RIGHT(B316,10)="@gmail.com","Gmail",IF(OR(RIGHT(B316,12)="@outlook.com",RIGHT(B316,12)="@hotmail.com",RIGHT(B316,9)="@live.com"),"Outlook","Domain")))</f>
        <v/>
      </c>
      <c r="F316">
        <f>IF(B316="","",IFERROR(RIGHT(B316,LEN(B316)-FIND("@",B316)),""))</f>
        <v/>
      </c>
      <c r="G316">
        <f>IF(D316="KEEP",COUNTIF($D$2:D316,"KEEP"),"")</f>
        <v/>
      </c>
      <c r="H316">
        <f>IF(D316="REMOVE",COUNTIF($D$2:D316,"REMOVE"),"")</f>
        <v/>
      </c>
      <c r="I316">
        <f>IF(E316="Gmail",COUNTIF($E$2:E316,"Gmail"),"")</f>
        <v/>
      </c>
      <c r="J316">
        <f>IF(E316="Outlook",COUNTIF($E$2:E316,"Outlook"),"")</f>
        <v/>
      </c>
      <c r="K316">
        <f>IF(E316="Domain",COUNTIF($E$2:E316,"Domain"),"")</f>
        <v/>
      </c>
    </row>
    <row r="317">
      <c r="A317" s="2" t="n"/>
      <c r="B317">
        <f>LOWER(TRIM(A317))</f>
        <v/>
      </c>
      <c r="C317">
        <f>IF(B317="","",IFERROR(INDEX('Bad Patterns'!$A$2:$A$120,MATCH(1,INDEX(--ISNUMBER(SEARCH('Bad Patterns'!$A$2:$A$120,B317)),0),0)),""))</f>
        <v/>
      </c>
      <c r="D317">
        <f>IF(B317="","",IF(C317&lt;&gt;"","REMOVE","KEEP"))</f>
        <v/>
      </c>
      <c r="E317">
        <f>IF(D317&lt;&gt;"KEEP","",IF(RIGHT(B317,10)="@gmail.com","Gmail",IF(OR(RIGHT(B317,12)="@outlook.com",RIGHT(B317,12)="@hotmail.com",RIGHT(B317,9)="@live.com"),"Outlook","Domain")))</f>
        <v/>
      </c>
      <c r="F317">
        <f>IF(B317="","",IFERROR(RIGHT(B317,LEN(B317)-FIND("@",B317)),""))</f>
        <v/>
      </c>
      <c r="G317">
        <f>IF(D317="KEEP",COUNTIF($D$2:D317,"KEEP"),"")</f>
        <v/>
      </c>
      <c r="H317">
        <f>IF(D317="REMOVE",COUNTIF($D$2:D317,"REMOVE"),"")</f>
        <v/>
      </c>
      <c r="I317">
        <f>IF(E317="Gmail",COUNTIF($E$2:E317,"Gmail"),"")</f>
        <v/>
      </c>
      <c r="J317">
        <f>IF(E317="Outlook",COUNTIF($E$2:E317,"Outlook"),"")</f>
        <v/>
      </c>
      <c r="K317">
        <f>IF(E317="Domain",COUNTIF($E$2:E317,"Domain"),"")</f>
        <v/>
      </c>
    </row>
    <row r="318">
      <c r="A318" s="2" t="n"/>
      <c r="B318">
        <f>LOWER(TRIM(A318))</f>
        <v/>
      </c>
      <c r="C318">
        <f>IF(B318="","",IFERROR(INDEX('Bad Patterns'!$A$2:$A$120,MATCH(1,INDEX(--ISNUMBER(SEARCH('Bad Patterns'!$A$2:$A$120,B318)),0),0)),""))</f>
        <v/>
      </c>
      <c r="D318">
        <f>IF(B318="","",IF(C318&lt;&gt;"","REMOVE","KEEP"))</f>
        <v/>
      </c>
      <c r="E318">
        <f>IF(D318&lt;&gt;"KEEP","",IF(RIGHT(B318,10)="@gmail.com","Gmail",IF(OR(RIGHT(B318,12)="@outlook.com",RIGHT(B318,12)="@hotmail.com",RIGHT(B318,9)="@live.com"),"Outlook","Domain")))</f>
        <v/>
      </c>
      <c r="F318">
        <f>IF(B318="","",IFERROR(RIGHT(B318,LEN(B318)-FIND("@",B318)),""))</f>
        <v/>
      </c>
      <c r="G318">
        <f>IF(D318="KEEP",COUNTIF($D$2:D318,"KEEP"),"")</f>
        <v/>
      </c>
      <c r="H318">
        <f>IF(D318="REMOVE",COUNTIF($D$2:D318,"REMOVE"),"")</f>
        <v/>
      </c>
      <c r="I318">
        <f>IF(E318="Gmail",COUNTIF($E$2:E318,"Gmail"),"")</f>
        <v/>
      </c>
      <c r="J318">
        <f>IF(E318="Outlook",COUNTIF($E$2:E318,"Outlook"),"")</f>
        <v/>
      </c>
      <c r="K318">
        <f>IF(E318="Domain",COUNTIF($E$2:E318,"Domain"),"")</f>
        <v/>
      </c>
    </row>
    <row r="319">
      <c r="A319" s="2" t="n"/>
      <c r="B319">
        <f>LOWER(TRIM(A319))</f>
        <v/>
      </c>
      <c r="C319">
        <f>IF(B319="","",IFERROR(INDEX('Bad Patterns'!$A$2:$A$120,MATCH(1,INDEX(--ISNUMBER(SEARCH('Bad Patterns'!$A$2:$A$120,B319)),0),0)),""))</f>
        <v/>
      </c>
      <c r="D319">
        <f>IF(B319="","",IF(C319&lt;&gt;"","REMOVE","KEEP"))</f>
        <v/>
      </c>
      <c r="E319">
        <f>IF(D319&lt;&gt;"KEEP","",IF(RIGHT(B319,10)="@gmail.com","Gmail",IF(OR(RIGHT(B319,12)="@outlook.com",RIGHT(B319,12)="@hotmail.com",RIGHT(B319,9)="@live.com"),"Outlook","Domain")))</f>
        <v/>
      </c>
      <c r="F319">
        <f>IF(B319="","",IFERROR(RIGHT(B319,LEN(B319)-FIND("@",B319)),""))</f>
        <v/>
      </c>
      <c r="G319">
        <f>IF(D319="KEEP",COUNTIF($D$2:D319,"KEEP"),"")</f>
        <v/>
      </c>
      <c r="H319">
        <f>IF(D319="REMOVE",COUNTIF($D$2:D319,"REMOVE"),"")</f>
        <v/>
      </c>
      <c r="I319">
        <f>IF(E319="Gmail",COUNTIF($E$2:E319,"Gmail"),"")</f>
        <v/>
      </c>
      <c r="J319">
        <f>IF(E319="Outlook",COUNTIF($E$2:E319,"Outlook"),"")</f>
        <v/>
      </c>
      <c r="K319">
        <f>IF(E319="Domain",COUNTIF($E$2:E319,"Domain"),"")</f>
        <v/>
      </c>
    </row>
    <row r="320">
      <c r="A320" s="2" t="n"/>
      <c r="B320">
        <f>LOWER(TRIM(A320))</f>
        <v/>
      </c>
      <c r="C320">
        <f>IF(B320="","",IFERROR(INDEX('Bad Patterns'!$A$2:$A$120,MATCH(1,INDEX(--ISNUMBER(SEARCH('Bad Patterns'!$A$2:$A$120,B320)),0),0)),""))</f>
        <v/>
      </c>
      <c r="D320">
        <f>IF(B320="","",IF(C320&lt;&gt;"","REMOVE","KEEP"))</f>
        <v/>
      </c>
      <c r="E320">
        <f>IF(D320&lt;&gt;"KEEP","",IF(RIGHT(B320,10)="@gmail.com","Gmail",IF(OR(RIGHT(B320,12)="@outlook.com",RIGHT(B320,12)="@hotmail.com",RIGHT(B320,9)="@live.com"),"Outlook","Domain")))</f>
        <v/>
      </c>
      <c r="F320">
        <f>IF(B320="","",IFERROR(RIGHT(B320,LEN(B320)-FIND("@",B320)),""))</f>
        <v/>
      </c>
      <c r="G320">
        <f>IF(D320="KEEP",COUNTIF($D$2:D320,"KEEP"),"")</f>
        <v/>
      </c>
      <c r="H320">
        <f>IF(D320="REMOVE",COUNTIF($D$2:D320,"REMOVE"),"")</f>
        <v/>
      </c>
      <c r="I320">
        <f>IF(E320="Gmail",COUNTIF($E$2:E320,"Gmail"),"")</f>
        <v/>
      </c>
      <c r="J320">
        <f>IF(E320="Outlook",COUNTIF($E$2:E320,"Outlook"),"")</f>
        <v/>
      </c>
      <c r="K320">
        <f>IF(E320="Domain",COUNTIF($E$2:E320,"Domain"),"")</f>
        <v/>
      </c>
    </row>
    <row r="321">
      <c r="A321" s="2" t="n"/>
      <c r="B321">
        <f>LOWER(TRIM(A321))</f>
        <v/>
      </c>
      <c r="C321">
        <f>IF(B321="","",IFERROR(INDEX('Bad Patterns'!$A$2:$A$120,MATCH(1,INDEX(--ISNUMBER(SEARCH('Bad Patterns'!$A$2:$A$120,B321)),0),0)),""))</f>
        <v/>
      </c>
      <c r="D321">
        <f>IF(B321="","",IF(C321&lt;&gt;"","REMOVE","KEEP"))</f>
        <v/>
      </c>
      <c r="E321">
        <f>IF(D321&lt;&gt;"KEEP","",IF(RIGHT(B321,10)="@gmail.com","Gmail",IF(OR(RIGHT(B321,12)="@outlook.com",RIGHT(B321,12)="@hotmail.com",RIGHT(B321,9)="@live.com"),"Outlook","Domain")))</f>
        <v/>
      </c>
      <c r="F321">
        <f>IF(B321="","",IFERROR(RIGHT(B321,LEN(B321)-FIND("@",B321)),""))</f>
        <v/>
      </c>
      <c r="G321">
        <f>IF(D321="KEEP",COUNTIF($D$2:D321,"KEEP"),"")</f>
        <v/>
      </c>
      <c r="H321">
        <f>IF(D321="REMOVE",COUNTIF($D$2:D321,"REMOVE"),"")</f>
        <v/>
      </c>
      <c r="I321">
        <f>IF(E321="Gmail",COUNTIF($E$2:E321,"Gmail"),"")</f>
        <v/>
      </c>
      <c r="J321">
        <f>IF(E321="Outlook",COUNTIF($E$2:E321,"Outlook"),"")</f>
        <v/>
      </c>
      <c r="K321">
        <f>IF(E321="Domain",COUNTIF($E$2:E321,"Domain"),"")</f>
        <v/>
      </c>
    </row>
    <row r="322">
      <c r="A322" s="2" t="n"/>
      <c r="B322">
        <f>LOWER(TRIM(A322))</f>
        <v/>
      </c>
      <c r="C322">
        <f>IF(B322="","",IFERROR(INDEX('Bad Patterns'!$A$2:$A$120,MATCH(1,INDEX(--ISNUMBER(SEARCH('Bad Patterns'!$A$2:$A$120,B322)),0),0)),""))</f>
        <v/>
      </c>
      <c r="D322">
        <f>IF(B322="","",IF(C322&lt;&gt;"","REMOVE","KEEP"))</f>
        <v/>
      </c>
      <c r="E322">
        <f>IF(D322&lt;&gt;"KEEP","",IF(RIGHT(B322,10)="@gmail.com","Gmail",IF(OR(RIGHT(B322,12)="@outlook.com",RIGHT(B322,12)="@hotmail.com",RIGHT(B322,9)="@live.com"),"Outlook","Domain")))</f>
        <v/>
      </c>
      <c r="F322">
        <f>IF(B322="","",IFERROR(RIGHT(B322,LEN(B322)-FIND("@",B322)),""))</f>
        <v/>
      </c>
      <c r="G322">
        <f>IF(D322="KEEP",COUNTIF($D$2:D322,"KEEP"),"")</f>
        <v/>
      </c>
      <c r="H322">
        <f>IF(D322="REMOVE",COUNTIF($D$2:D322,"REMOVE"),"")</f>
        <v/>
      </c>
      <c r="I322">
        <f>IF(E322="Gmail",COUNTIF($E$2:E322,"Gmail"),"")</f>
        <v/>
      </c>
      <c r="J322">
        <f>IF(E322="Outlook",COUNTIF($E$2:E322,"Outlook"),"")</f>
        <v/>
      </c>
      <c r="K322">
        <f>IF(E322="Domain",COUNTIF($E$2:E322,"Domain"),"")</f>
        <v/>
      </c>
    </row>
    <row r="323">
      <c r="A323" s="2" t="n"/>
      <c r="B323">
        <f>LOWER(TRIM(A323))</f>
        <v/>
      </c>
      <c r="C323">
        <f>IF(B323="","",IFERROR(INDEX('Bad Patterns'!$A$2:$A$120,MATCH(1,INDEX(--ISNUMBER(SEARCH('Bad Patterns'!$A$2:$A$120,B323)),0),0)),""))</f>
        <v/>
      </c>
      <c r="D323">
        <f>IF(B323="","",IF(C323&lt;&gt;"","REMOVE","KEEP"))</f>
        <v/>
      </c>
      <c r="E323">
        <f>IF(D323&lt;&gt;"KEEP","",IF(RIGHT(B323,10)="@gmail.com","Gmail",IF(OR(RIGHT(B323,12)="@outlook.com",RIGHT(B323,12)="@hotmail.com",RIGHT(B323,9)="@live.com"),"Outlook","Domain")))</f>
        <v/>
      </c>
      <c r="F323">
        <f>IF(B323="","",IFERROR(RIGHT(B323,LEN(B323)-FIND("@",B323)),""))</f>
        <v/>
      </c>
      <c r="G323">
        <f>IF(D323="KEEP",COUNTIF($D$2:D323,"KEEP"),"")</f>
        <v/>
      </c>
      <c r="H323">
        <f>IF(D323="REMOVE",COUNTIF($D$2:D323,"REMOVE"),"")</f>
        <v/>
      </c>
      <c r="I323">
        <f>IF(E323="Gmail",COUNTIF($E$2:E323,"Gmail"),"")</f>
        <v/>
      </c>
      <c r="J323">
        <f>IF(E323="Outlook",COUNTIF($E$2:E323,"Outlook"),"")</f>
        <v/>
      </c>
      <c r="K323">
        <f>IF(E323="Domain",COUNTIF($E$2:E323,"Domain"),"")</f>
        <v/>
      </c>
    </row>
    <row r="324">
      <c r="A324" s="2" t="n"/>
      <c r="B324">
        <f>LOWER(TRIM(A324))</f>
        <v/>
      </c>
      <c r="C324">
        <f>IF(B324="","",IFERROR(INDEX('Bad Patterns'!$A$2:$A$120,MATCH(1,INDEX(--ISNUMBER(SEARCH('Bad Patterns'!$A$2:$A$120,B324)),0),0)),""))</f>
        <v/>
      </c>
      <c r="D324">
        <f>IF(B324="","",IF(C324&lt;&gt;"","REMOVE","KEEP"))</f>
        <v/>
      </c>
      <c r="E324">
        <f>IF(D324&lt;&gt;"KEEP","",IF(RIGHT(B324,10)="@gmail.com","Gmail",IF(OR(RIGHT(B324,12)="@outlook.com",RIGHT(B324,12)="@hotmail.com",RIGHT(B324,9)="@live.com"),"Outlook","Domain")))</f>
        <v/>
      </c>
      <c r="F324">
        <f>IF(B324="","",IFERROR(RIGHT(B324,LEN(B324)-FIND("@",B324)),""))</f>
        <v/>
      </c>
      <c r="G324">
        <f>IF(D324="KEEP",COUNTIF($D$2:D324,"KEEP"),"")</f>
        <v/>
      </c>
      <c r="H324">
        <f>IF(D324="REMOVE",COUNTIF($D$2:D324,"REMOVE"),"")</f>
        <v/>
      </c>
      <c r="I324">
        <f>IF(E324="Gmail",COUNTIF($E$2:E324,"Gmail"),"")</f>
        <v/>
      </c>
      <c r="J324">
        <f>IF(E324="Outlook",COUNTIF($E$2:E324,"Outlook"),"")</f>
        <v/>
      </c>
      <c r="K324">
        <f>IF(E324="Domain",COUNTIF($E$2:E324,"Domain"),"")</f>
        <v/>
      </c>
    </row>
    <row r="325">
      <c r="A325" s="2" t="n"/>
      <c r="B325">
        <f>LOWER(TRIM(A325))</f>
        <v/>
      </c>
      <c r="C325">
        <f>IF(B325="","",IFERROR(INDEX('Bad Patterns'!$A$2:$A$120,MATCH(1,INDEX(--ISNUMBER(SEARCH('Bad Patterns'!$A$2:$A$120,B325)),0),0)),""))</f>
        <v/>
      </c>
      <c r="D325">
        <f>IF(B325="","",IF(C325&lt;&gt;"","REMOVE","KEEP"))</f>
        <v/>
      </c>
      <c r="E325">
        <f>IF(D325&lt;&gt;"KEEP","",IF(RIGHT(B325,10)="@gmail.com","Gmail",IF(OR(RIGHT(B325,12)="@outlook.com",RIGHT(B325,12)="@hotmail.com",RIGHT(B325,9)="@live.com"),"Outlook","Domain")))</f>
        <v/>
      </c>
      <c r="F325">
        <f>IF(B325="","",IFERROR(RIGHT(B325,LEN(B325)-FIND("@",B325)),""))</f>
        <v/>
      </c>
      <c r="G325">
        <f>IF(D325="KEEP",COUNTIF($D$2:D325,"KEEP"),"")</f>
        <v/>
      </c>
      <c r="H325">
        <f>IF(D325="REMOVE",COUNTIF($D$2:D325,"REMOVE"),"")</f>
        <v/>
      </c>
      <c r="I325">
        <f>IF(E325="Gmail",COUNTIF($E$2:E325,"Gmail"),"")</f>
        <v/>
      </c>
      <c r="J325">
        <f>IF(E325="Outlook",COUNTIF($E$2:E325,"Outlook"),"")</f>
        <v/>
      </c>
      <c r="K325">
        <f>IF(E325="Domain",COUNTIF($E$2:E325,"Domain"),"")</f>
        <v/>
      </c>
    </row>
    <row r="326">
      <c r="A326" s="2" t="n"/>
      <c r="B326">
        <f>LOWER(TRIM(A326))</f>
        <v/>
      </c>
      <c r="C326">
        <f>IF(B326="","",IFERROR(INDEX('Bad Patterns'!$A$2:$A$120,MATCH(1,INDEX(--ISNUMBER(SEARCH('Bad Patterns'!$A$2:$A$120,B326)),0),0)),""))</f>
        <v/>
      </c>
      <c r="D326">
        <f>IF(B326="","",IF(C326&lt;&gt;"","REMOVE","KEEP"))</f>
        <v/>
      </c>
      <c r="E326">
        <f>IF(D326&lt;&gt;"KEEP","",IF(RIGHT(B326,10)="@gmail.com","Gmail",IF(OR(RIGHT(B326,12)="@outlook.com",RIGHT(B326,12)="@hotmail.com",RIGHT(B326,9)="@live.com"),"Outlook","Domain")))</f>
        <v/>
      </c>
      <c r="F326">
        <f>IF(B326="","",IFERROR(RIGHT(B326,LEN(B326)-FIND("@",B326)),""))</f>
        <v/>
      </c>
      <c r="G326">
        <f>IF(D326="KEEP",COUNTIF($D$2:D326,"KEEP"),"")</f>
        <v/>
      </c>
      <c r="H326">
        <f>IF(D326="REMOVE",COUNTIF($D$2:D326,"REMOVE"),"")</f>
        <v/>
      </c>
      <c r="I326">
        <f>IF(E326="Gmail",COUNTIF($E$2:E326,"Gmail"),"")</f>
        <v/>
      </c>
      <c r="J326">
        <f>IF(E326="Outlook",COUNTIF($E$2:E326,"Outlook"),"")</f>
        <v/>
      </c>
      <c r="K326">
        <f>IF(E326="Domain",COUNTIF($E$2:E326,"Domain"),"")</f>
        <v/>
      </c>
    </row>
    <row r="327">
      <c r="A327" s="2" t="n"/>
      <c r="B327">
        <f>LOWER(TRIM(A327))</f>
        <v/>
      </c>
      <c r="C327">
        <f>IF(B327="","",IFERROR(INDEX('Bad Patterns'!$A$2:$A$120,MATCH(1,INDEX(--ISNUMBER(SEARCH('Bad Patterns'!$A$2:$A$120,B327)),0),0)),""))</f>
        <v/>
      </c>
      <c r="D327">
        <f>IF(B327="","",IF(C327&lt;&gt;"","REMOVE","KEEP"))</f>
        <v/>
      </c>
      <c r="E327">
        <f>IF(D327&lt;&gt;"KEEP","",IF(RIGHT(B327,10)="@gmail.com","Gmail",IF(OR(RIGHT(B327,12)="@outlook.com",RIGHT(B327,12)="@hotmail.com",RIGHT(B327,9)="@live.com"),"Outlook","Domain")))</f>
        <v/>
      </c>
      <c r="F327">
        <f>IF(B327="","",IFERROR(RIGHT(B327,LEN(B327)-FIND("@",B327)),""))</f>
        <v/>
      </c>
      <c r="G327">
        <f>IF(D327="KEEP",COUNTIF($D$2:D327,"KEEP"),"")</f>
        <v/>
      </c>
      <c r="H327">
        <f>IF(D327="REMOVE",COUNTIF($D$2:D327,"REMOVE"),"")</f>
        <v/>
      </c>
      <c r="I327">
        <f>IF(E327="Gmail",COUNTIF($E$2:E327,"Gmail"),"")</f>
        <v/>
      </c>
      <c r="J327">
        <f>IF(E327="Outlook",COUNTIF($E$2:E327,"Outlook"),"")</f>
        <v/>
      </c>
      <c r="K327">
        <f>IF(E327="Domain",COUNTIF($E$2:E327,"Domain"),"")</f>
        <v/>
      </c>
    </row>
    <row r="328">
      <c r="A328" s="2" t="n"/>
      <c r="B328">
        <f>LOWER(TRIM(A328))</f>
        <v/>
      </c>
      <c r="C328">
        <f>IF(B328="","",IFERROR(INDEX('Bad Patterns'!$A$2:$A$120,MATCH(1,INDEX(--ISNUMBER(SEARCH('Bad Patterns'!$A$2:$A$120,B328)),0),0)),""))</f>
        <v/>
      </c>
      <c r="D328">
        <f>IF(B328="","",IF(C328&lt;&gt;"","REMOVE","KEEP"))</f>
        <v/>
      </c>
      <c r="E328">
        <f>IF(D328&lt;&gt;"KEEP","",IF(RIGHT(B328,10)="@gmail.com","Gmail",IF(OR(RIGHT(B328,12)="@outlook.com",RIGHT(B328,12)="@hotmail.com",RIGHT(B328,9)="@live.com"),"Outlook","Domain")))</f>
        <v/>
      </c>
      <c r="F328">
        <f>IF(B328="","",IFERROR(RIGHT(B328,LEN(B328)-FIND("@",B328)),""))</f>
        <v/>
      </c>
      <c r="G328">
        <f>IF(D328="KEEP",COUNTIF($D$2:D328,"KEEP"),"")</f>
        <v/>
      </c>
      <c r="H328">
        <f>IF(D328="REMOVE",COUNTIF($D$2:D328,"REMOVE"),"")</f>
        <v/>
      </c>
      <c r="I328">
        <f>IF(E328="Gmail",COUNTIF($E$2:E328,"Gmail"),"")</f>
        <v/>
      </c>
      <c r="J328">
        <f>IF(E328="Outlook",COUNTIF($E$2:E328,"Outlook"),"")</f>
        <v/>
      </c>
      <c r="K328">
        <f>IF(E328="Domain",COUNTIF($E$2:E328,"Domain"),"")</f>
        <v/>
      </c>
    </row>
    <row r="329">
      <c r="A329" s="2" t="n"/>
      <c r="B329">
        <f>LOWER(TRIM(A329))</f>
        <v/>
      </c>
      <c r="C329">
        <f>IF(B329="","",IFERROR(INDEX('Bad Patterns'!$A$2:$A$120,MATCH(1,INDEX(--ISNUMBER(SEARCH('Bad Patterns'!$A$2:$A$120,B329)),0),0)),""))</f>
        <v/>
      </c>
      <c r="D329">
        <f>IF(B329="","",IF(C329&lt;&gt;"","REMOVE","KEEP"))</f>
        <v/>
      </c>
      <c r="E329">
        <f>IF(D329&lt;&gt;"KEEP","",IF(RIGHT(B329,10)="@gmail.com","Gmail",IF(OR(RIGHT(B329,12)="@outlook.com",RIGHT(B329,12)="@hotmail.com",RIGHT(B329,9)="@live.com"),"Outlook","Domain")))</f>
        <v/>
      </c>
      <c r="F329">
        <f>IF(B329="","",IFERROR(RIGHT(B329,LEN(B329)-FIND("@",B329)),""))</f>
        <v/>
      </c>
      <c r="G329">
        <f>IF(D329="KEEP",COUNTIF($D$2:D329,"KEEP"),"")</f>
        <v/>
      </c>
      <c r="H329">
        <f>IF(D329="REMOVE",COUNTIF($D$2:D329,"REMOVE"),"")</f>
        <v/>
      </c>
      <c r="I329">
        <f>IF(E329="Gmail",COUNTIF($E$2:E329,"Gmail"),"")</f>
        <v/>
      </c>
      <c r="J329">
        <f>IF(E329="Outlook",COUNTIF($E$2:E329,"Outlook"),"")</f>
        <v/>
      </c>
      <c r="K329">
        <f>IF(E329="Domain",COUNTIF($E$2:E329,"Domain"),"")</f>
        <v/>
      </c>
    </row>
    <row r="330">
      <c r="A330" s="2" t="n"/>
      <c r="B330">
        <f>LOWER(TRIM(A330))</f>
        <v/>
      </c>
      <c r="C330">
        <f>IF(B330="","",IFERROR(INDEX('Bad Patterns'!$A$2:$A$120,MATCH(1,INDEX(--ISNUMBER(SEARCH('Bad Patterns'!$A$2:$A$120,B330)),0),0)),""))</f>
        <v/>
      </c>
      <c r="D330">
        <f>IF(B330="","",IF(C330&lt;&gt;"","REMOVE","KEEP"))</f>
        <v/>
      </c>
      <c r="E330">
        <f>IF(D330&lt;&gt;"KEEP","",IF(RIGHT(B330,10)="@gmail.com","Gmail",IF(OR(RIGHT(B330,12)="@outlook.com",RIGHT(B330,12)="@hotmail.com",RIGHT(B330,9)="@live.com"),"Outlook","Domain")))</f>
        <v/>
      </c>
      <c r="F330">
        <f>IF(B330="","",IFERROR(RIGHT(B330,LEN(B330)-FIND("@",B330)),""))</f>
        <v/>
      </c>
      <c r="G330">
        <f>IF(D330="KEEP",COUNTIF($D$2:D330,"KEEP"),"")</f>
        <v/>
      </c>
      <c r="H330">
        <f>IF(D330="REMOVE",COUNTIF($D$2:D330,"REMOVE"),"")</f>
        <v/>
      </c>
      <c r="I330">
        <f>IF(E330="Gmail",COUNTIF($E$2:E330,"Gmail"),"")</f>
        <v/>
      </c>
      <c r="J330">
        <f>IF(E330="Outlook",COUNTIF($E$2:E330,"Outlook"),"")</f>
        <v/>
      </c>
      <c r="K330">
        <f>IF(E330="Domain",COUNTIF($E$2:E330,"Domain"),"")</f>
        <v/>
      </c>
    </row>
    <row r="331">
      <c r="A331" s="2" t="n"/>
      <c r="B331">
        <f>LOWER(TRIM(A331))</f>
        <v/>
      </c>
      <c r="C331">
        <f>IF(B331="","",IFERROR(INDEX('Bad Patterns'!$A$2:$A$120,MATCH(1,INDEX(--ISNUMBER(SEARCH('Bad Patterns'!$A$2:$A$120,B331)),0),0)),""))</f>
        <v/>
      </c>
      <c r="D331">
        <f>IF(B331="","",IF(C331&lt;&gt;"","REMOVE","KEEP"))</f>
        <v/>
      </c>
      <c r="E331">
        <f>IF(D331&lt;&gt;"KEEP","",IF(RIGHT(B331,10)="@gmail.com","Gmail",IF(OR(RIGHT(B331,12)="@outlook.com",RIGHT(B331,12)="@hotmail.com",RIGHT(B331,9)="@live.com"),"Outlook","Domain")))</f>
        <v/>
      </c>
      <c r="F331">
        <f>IF(B331="","",IFERROR(RIGHT(B331,LEN(B331)-FIND("@",B331)),""))</f>
        <v/>
      </c>
      <c r="G331">
        <f>IF(D331="KEEP",COUNTIF($D$2:D331,"KEEP"),"")</f>
        <v/>
      </c>
      <c r="H331">
        <f>IF(D331="REMOVE",COUNTIF($D$2:D331,"REMOVE"),"")</f>
        <v/>
      </c>
      <c r="I331">
        <f>IF(E331="Gmail",COUNTIF($E$2:E331,"Gmail"),"")</f>
        <v/>
      </c>
      <c r="J331">
        <f>IF(E331="Outlook",COUNTIF($E$2:E331,"Outlook"),"")</f>
        <v/>
      </c>
      <c r="K331">
        <f>IF(E331="Domain",COUNTIF($E$2:E331,"Domain"),"")</f>
        <v/>
      </c>
    </row>
    <row r="332">
      <c r="A332" s="2" t="n"/>
      <c r="B332">
        <f>LOWER(TRIM(A332))</f>
        <v/>
      </c>
      <c r="C332">
        <f>IF(B332="","",IFERROR(INDEX('Bad Patterns'!$A$2:$A$120,MATCH(1,INDEX(--ISNUMBER(SEARCH('Bad Patterns'!$A$2:$A$120,B332)),0),0)),""))</f>
        <v/>
      </c>
      <c r="D332">
        <f>IF(B332="","",IF(C332&lt;&gt;"","REMOVE","KEEP"))</f>
        <v/>
      </c>
      <c r="E332">
        <f>IF(D332&lt;&gt;"KEEP","",IF(RIGHT(B332,10)="@gmail.com","Gmail",IF(OR(RIGHT(B332,12)="@outlook.com",RIGHT(B332,12)="@hotmail.com",RIGHT(B332,9)="@live.com"),"Outlook","Domain")))</f>
        <v/>
      </c>
      <c r="F332">
        <f>IF(B332="","",IFERROR(RIGHT(B332,LEN(B332)-FIND("@",B332)),""))</f>
        <v/>
      </c>
      <c r="G332">
        <f>IF(D332="KEEP",COUNTIF($D$2:D332,"KEEP"),"")</f>
        <v/>
      </c>
      <c r="H332">
        <f>IF(D332="REMOVE",COUNTIF($D$2:D332,"REMOVE"),"")</f>
        <v/>
      </c>
      <c r="I332">
        <f>IF(E332="Gmail",COUNTIF($E$2:E332,"Gmail"),"")</f>
        <v/>
      </c>
      <c r="J332">
        <f>IF(E332="Outlook",COUNTIF($E$2:E332,"Outlook"),"")</f>
        <v/>
      </c>
      <c r="K332">
        <f>IF(E332="Domain",COUNTIF($E$2:E332,"Domain"),"")</f>
        <v/>
      </c>
    </row>
    <row r="333">
      <c r="A333" s="2" t="n"/>
      <c r="B333">
        <f>LOWER(TRIM(A333))</f>
        <v/>
      </c>
      <c r="C333">
        <f>IF(B333="","",IFERROR(INDEX('Bad Patterns'!$A$2:$A$120,MATCH(1,INDEX(--ISNUMBER(SEARCH('Bad Patterns'!$A$2:$A$120,B333)),0),0)),""))</f>
        <v/>
      </c>
      <c r="D333">
        <f>IF(B333="","",IF(C333&lt;&gt;"","REMOVE","KEEP"))</f>
        <v/>
      </c>
      <c r="E333">
        <f>IF(D333&lt;&gt;"KEEP","",IF(RIGHT(B333,10)="@gmail.com","Gmail",IF(OR(RIGHT(B333,12)="@outlook.com",RIGHT(B333,12)="@hotmail.com",RIGHT(B333,9)="@live.com"),"Outlook","Domain")))</f>
        <v/>
      </c>
      <c r="F333">
        <f>IF(B333="","",IFERROR(RIGHT(B333,LEN(B333)-FIND("@",B333)),""))</f>
        <v/>
      </c>
      <c r="G333">
        <f>IF(D333="KEEP",COUNTIF($D$2:D333,"KEEP"),"")</f>
        <v/>
      </c>
      <c r="H333">
        <f>IF(D333="REMOVE",COUNTIF($D$2:D333,"REMOVE"),"")</f>
        <v/>
      </c>
      <c r="I333">
        <f>IF(E333="Gmail",COUNTIF($E$2:E333,"Gmail"),"")</f>
        <v/>
      </c>
      <c r="J333">
        <f>IF(E333="Outlook",COUNTIF($E$2:E333,"Outlook"),"")</f>
        <v/>
      </c>
      <c r="K333">
        <f>IF(E333="Domain",COUNTIF($E$2:E333,"Domain"),"")</f>
        <v/>
      </c>
    </row>
    <row r="334">
      <c r="A334" s="2" t="n"/>
      <c r="B334">
        <f>LOWER(TRIM(A334))</f>
        <v/>
      </c>
      <c r="C334">
        <f>IF(B334="","",IFERROR(INDEX('Bad Patterns'!$A$2:$A$120,MATCH(1,INDEX(--ISNUMBER(SEARCH('Bad Patterns'!$A$2:$A$120,B334)),0),0)),""))</f>
        <v/>
      </c>
      <c r="D334">
        <f>IF(B334="","",IF(C334&lt;&gt;"","REMOVE","KEEP"))</f>
        <v/>
      </c>
      <c r="E334">
        <f>IF(D334&lt;&gt;"KEEP","",IF(RIGHT(B334,10)="@gmail.com","Gmail",IF(OR(RIGHT(B334,12)="@outlook.com",RIGHT(B334,12)="@hotmail.com",RIGHT(B334,9)="@live.com"),"Outlook","Domain")))</f>
        <v/>
      </c>
      <c r="F334">
        <f>IF(B334="","",IFERROR(RIGHT(B334,LEN(B334)-FIND("@",B334)),""))</f>
        <v/>
      </c>
      <c r="G334">
        <f>IF(D334="KEEP",COUNTIF($D$2:D334,"KEEP"),"")</f>
        <v/>
      </c>
      <c r="H334">
        <f>IF(D334="REMOVE",COUNTIF($D$2:D334,"REMOVE"),"")</f>
        <v/>
      </c>
      <c r="I334">
        <f>IF(E334="Gmail",COUNTIF($E$2:E334,"Gmail"),"")</f>
        <v/>
      </c>
      <c r="J334">
        <f>IF(E334="Outlook",COUNTIF($E$2:E334,"Outlook"),"")</f>
        <v/>
      </c>
      <c r="K334">
        <f>IF(E334="Domain",COUNTIF($E$2:E334,"Domain"),"")</f>
        <v/>
      </c>
    </row>
    <row r="335">
      <c r="A335" s="2" t="n"/>
      <c r="B335">
        <f>LOWER(TRIM(A335))</f>
        <v/>
      </c>
      <c r="C335">
        <f>IF(B335="","",IFERROR(INDEX('Bad Patterns'!$A$2:$A$120,MATCH(1,INDEX(--ISNUMBER(SEARCH('Bad Patterns'!$A$2:$A$120,B335)),0),0)),""))</f>
        <v/>
      </c>
      <c r="D335">
        <f>IF(B335="","",IF(C335&lt;&gt;"","REMOVE","KEEP"))</f>
        <v/>
      </c>
      <c r="E335">
        <f>IF(D335&lt;&gt;"KEEP","",IF(RIGHT(B335,10)="@gmail.com","Gmail",IF(OR(RIGHT(B335,12)="@outlook.com",RIGHT(B335,12)="@hotmail.com",RIGHT(B335,9)="@live.com"),"Outlook","Domain")))</f>
        <v/>
      </c>
      <c r="F335">
        <f>IF(B335="","",IFERROR(RIGHT(B335,LEN(B335)-FIND("@",B335)),""))</f>
        <v/>
      </c>
      <c r="G335">
        <f>IF(D335="KEEP",COUNTIF($D$2:D335,"KEEP"),"")</f>
        <v/>
      </c>
      <c r="H335">
        <f>IF(D335="REMOVE",COUNTIF($D$2:D335,"REMOVE"),"")</f>
        <v/>
      </c>
      <c r="I335">
        <f>IF(E335="Gmail",COUNTIF($E$2:E335,"Gmail"),"")</f>
        <v/>
      </c>
      <c r="J335">
        <f>IF(E335="Outlook",COUNTIF($E$2:E335,"Outlook"),"")</f>
        <v/>
      </c>
      <c r="K335">
        <f>IF(E335="Domain",COUNTIF($E$2:E335,"Domain"),"")</f>
        <v/>
      </c>
    </row>
    <row r="336">
      <c r="A336" s="2" t="n"/>
      <c r="B336">
        <f>LOWER(TRIM(A336))</f>
        <v/>
      </c>
      <c r="C336">
        <f>IF(B336="","",IFERROR(INDEX('Bad Patterns'!$A$2:$A$120,MATCH(1,INDEX(--ISNUMBER(SEARCH('Bad Patterns'!$A$2:$A$120,B336)),0),0)),""))</f>
        <v/>
      </c>
      <c r="D336">
        <f>IF(B336="","",IF(C336&lt;&gt;"","REMOVE","KEEP"))</f>
        <v/>
      </c>
      <c r="E336">
        <f>IF(D336&lt;&gt;"KEEP","",IF(RIGHT(B336,10)="@gmail.com","Gmail",IF(OR(RIGHT(B336,12)="@outlook.com",RIGHT(B336,12)="@hotmail.com",RIGHT(B336,9)="@live.com"),"Outlook","Domain")))</f>
        <v/>
      </c>
      <c r="F336">
        <f>IF(B336="","",IFERROR(RIGHT(B336,LEN(B336)-FIND("@",B336)),""))</f>
        <v/>
      </c>
      <c r="G336">
        <f>IF(D336="KEEP",COUNTIF($D$2:D336,"KEEP"),"")</f>
        <v/>
      </c>
      <c r="H336">
        <f>IF(D336="REMOVE",COUNTIF($D$2:D336,"REMOVE"),"")</f>
        <v/>
      </c>
      <c r="I336">
        <f>IF(E336="Gmail",COUNTIF($E$2:E336,"Gmail"),"")</f>
        <v/>
      </c>
      <c r="J336">
        <f>IF(E336="Outlook",COUNTIF($E$2:E336,"Outlook"),"")</f>
        <v/>
      </c>
      <c r="K336">
        <f>IF(E336="Domain",COUNTIF($E$2:E336,"Domain"),"")</f>
        <v/>
      </c>
    </row>
    <row r="337">
      <c r="A337" s="2" t="n"/>
      <c r="B337">
        <f>LOWER(TRIM(A337))</f>
        <v/>
      </c>
      <c r="C337">
        <f>IF(B337="","",IFERROR(INDEX('Bad Patterns'!$A$2:$A$120,MATCH(1,INDEX(--ISNUMBER(SEARCH('Bad Patterns'!$A$2:$A$120,B337)),0),0)),""))</f>
        <v/>
      </c>
      <c r="D337">
        <f>IF(B337="","",IF(C337&lt;&gt;"","REMOVE","KEEP"))</f>
        <v/>
      </c>
      <c r="E337">
        <f>IF(D337&lt;&gt;"KEEP","",IF(RIGHT(B337,10)="@gmail.com","Gmail",IF(OR(RIGHT(B337,12)="@outlook.com",RIGHT(B337,12)="@hotmail.com",RIGHT(B337,9)="@live.com"),"Outlook","Domain")))</f>
        <v/>
      </c>
      <c r="F337">
        <f>IF(B337="","",IFERROR(RIGHT(B337,LEN(B337)-FIND("@",B337)),""))</f>
        <v/>
      </c>
      <c r="G337">
        <f>IF(D337="KEEP",COUNTIF($D$2:D337,"KEEP"),"")</f>
        <v/>
      </c>
      <c r="H337">
        <f>IF(D337="REMOVE",COUNTIF($D$2:D337,"REMOVE"),"")</f>
        <v/>
      </c>
      <c r="I337">
        <f>IF(E337="Gmail",COUNTIF($E$2:E337,"Gmail"),"")</f>
        <v/>
      </c>
      <c r="J337">
        <f>IF(E337="Outlook",COUNTIF($E$2:E337,"Outlook"),"")</f>
        <v/>
      </c>
      <c r="K337">
        <f>IF(E337="Domain",COUNTIF($E$2:E337,"Domain"),"")</f>
        <v/>
      </c>
    </row>
    <row r="338">
      <c r="A338" s="2" t="n"/>
      <c r="B338">
        <f>LOWER(TRIM(A338))</f>
        <v/>
      </c>
      <c r="C338">
        <f>IF(B338="","",IFERROR(INDEX('Bad Patterns'!$A$2:$A$120,MATCH(1,INDEX(--ISNUMBER(SEARCH('Bad Patterns'!$A$2:$A$120,B338)),0),0)),""))</f>
        <v/>
      </c>
      <c r="D338">
        <f>IF(B338="","",IF(C338&lt;&gt;"","REMOVE","KEEP"))</f>
        <v/>
      </c>
      <c r="E338">
        <f>IF(D338&lt;&gt;"KEEP","",IF(RIGHT(B338,10)="@gmail.com","Gmail",IF(OR(RIGHT(B338,12)="@outlook.com",RIGHT(B338,12)="@hotmail.com",RIGHT(B338,9)="@live.com"),"Outlook","Domain")))</f>
        <v/>
      </c>
      <c r="F338">
        <f>IF(B338="","",IFERROR(RIGHT(B338,LEN(B338)-FIND("@",B338)),""))</f>
        <v/>
      </c>
      <c r="G338">
        <f>IF(D338="KEEP",COUNTIF($D$2:D338,"KEEP"),"")</f>
        <v/>
      </c>
      <c r="H338">
        <f>IF(D338="REMOVE",COUNTIF($D$2:D338,"REMOVE"),"")</f>
        <v/>
      </c>
      <c r="I338">
        <f>IF(E338="Gmail",COUNTIF($E$2:E338,"Gmail"),"")</f>
        <v/>
      </c>
      <c r="J338">
        <f>IF(E338="Outlook",COUNTIF($E$2:E338,"Outlook"),"")</f>
        <v/>
      </c>
      <c r="K338">
        <f>IF(E338="Domain",COUNTIF($E$2:E338,"Domain"),"")</f>
        <v/>
      </c>
    </row>
    <row r="339">
      <c r="A339" s="2" t="n"/>
      <c r="B339">
        <f>LOWER(TRIM(A339))</f>
        <v/>
      </c>
      <c r="C339">
        <f>IF(B339="","",IFERROR(INDEX('Bad Patterns'!$A$2:$A$120,MATCH(1,INDEX(--ISNUMBER(SEARCH('Bad Patterns'!$A$2:$A$120,B339)),0),0)),""))</f>
        <v/>
      </c>
      <c r="D339">
        <f>IF(B339="","",IF(C339&lt;&gt;"","REMOVE","KEEP"))</f>
        <v/>
      </c>
      <c r="E339">
        <f>IF(D339&lt;&gt;"KEEP","",IF(RIGHT(B339,10)="@gmail.com","Gmail",IF(OR(RIGHT(B339,12)="@outlook.com",RIGHT(B339,12)="@hotmail.com",RIGHT(B339,9)="@live.com"),"Outlook","Domain")))</f>
        <v/>
      </c>
      <c r="F339">
        <f>IF(B339="","",IFERROR(RIGHT(B339,LEN(B339)-FIND("@",B339)),""))</f>
        <v/>
      </c>
      <c r="G339">
        <f>IF(D339="KEEP",COUNTIF($D$2:D339,"KEEP"),"")</f>
        <v/>
      </c>
      <c r="H339">
        <f>IF(D339="REMOVE",COUNTIF($D$2:D339,"REMOVE"),"")</f>
        <v/>
      </c>
      <c r="I339">
        <f>IF(E339="Gmail",COUNTIF($E$2:E339,"Gmail"),"")</f>
        <v/>
      </c>
      <c r="J339">
        <f>IF(E339="Outlook",COUNTIF($E$2:E339,"Outlook"),"")</f>
        <v/>
      </c>
      <c r="K339">
        <f>IF(E339="Domain",COUNTIF($E$2:E339,"Domain"),"")</f>
        <v/>
      </c>
    </row>
    <row r="340">
      <c r="A340" s="2" t="n"/>
      <c r="B340">
        <f>LOWER(TRIM(A340))</f>
        <v/>
      </c>
      <c r="C340">
        <f>IF(B340="","",IFERROR(INDEX('Bad Patterns'!$A$2:$A$120,MATCH(1,INDEX(--ISNUMBER(SEARCH('Bad Patterns'!$A$2:$A$120,B340)),0),0)),""))</f>
        <v/>
      </c>
      <c r="D340">
        <f>IF(B340="","",IF(C340&lt;&gt;"","REMOVE","KEEP"))</f>
        <v/>
      </c>
      <c r="E340">
        <f>IF(D340&lt;&gt;"KEEP","",IF(RIGHT(B340,10)="@gmail.com","Gmail",IF(OR(RIGHT(B340,12)="@outlook.com",RIGHT(B340,12)="@hotmail.com",RIGHT(B340,9)="@live.com"),"Outlook","Domain")))</f>
        <v/>
      </c>
      <c r="F340">
        <f>IF(B340="","",IFERROR(RIGHT(B340,LEN(B340)-FIND("@",B340)),""))</f>
        <v/>
      </c>
      <c r="G340">
        <f>IF(D340="KEEP",COUNTIF($D$2:D340,"KEEP"),"")</f>
        <v/>
      </c>
      <c r="H340">
        <f>IF(D340="REMOVE",COUNTIF($D$2:D340,"REMOVE"),"")</f>
        <v/>
      </c>
      <c r="I340">
        <f>IF(E340="Gmail",COUNTIF($E$2:E340,"Gmail"),"")</f>
        <v/>
      </c>
      <c r="J340">
        <f>IF(E340="Outlook",COUNTIF($E$2:E340,"Outlook"),"")</f>
        <v/>
      </c>
      <c r="K340">
        <f>IF(E340="Domain",COUNTIF($E$2:E340,"Domain"),"")</f>
        <v/>
      </c>
    </row>
    <row r="341">
      <c r="A341" s="2" t="n"/>
      <c r="B341">
        <f>LOWER(TRIM(A341))</f>
        <v/>
      </c>
      <c r="C341">
        <f>IF(B341="","",IFERROR(INDEX('Bad Patterns'!$A$2:$A$120,MATCH(1,INDEX(--ISNUMBER(SEARCH('Bad Patterns'!$A$2:$A$120,B341)),0),0)),""))</f>
        <v/>
      </c>
      <c r="D341">
        <f>IF(B341="","",IF(C341&lt;&gt;"","REMOVE","KEEP"))</f>
        <v/>
      </c>
      <c r="E341">
        <f>IF(D341&lt;&gt;"KEEP","",IF(RIGHT(B341,10)="@gmail.com","Gmail",IF(OR(RIGHT(B341,12)="@outlook.com",RIGHT(B341,12)="@hotmail.com",RIGHT(B341,9)="@live.com"),"Outlook","Domain")))</f>
        <v/>
      </c>
      <c r="F341">
        <f>IF(B341="","",IFERROR(RIGHT(B341,LEN(B341)-FIND("@",B341)),""))</f>
        <v/>
      </c>
      <c r="G341">
        <f>IF(D341="KEEP",COUNTIF($D$2:D341,"KEEP"),"")</f>
        <v/>
      </c>
      <c r="H341">
        <f>IF(D341="REMOVE",COUNTIF($D$2:D341,"REMOVE"),"")</f>
        <v/>
      </c>
      <c r="I341">
        <f>IF(E341="Gmail",COUNTIF($E$2:E341,"Gmail"),"")</f>
        <v/>
      </c>
      <c r="J341">
        <f>IF(E341="Outlook",COUNTIF($E$2:E341,"Outlook"),"")</f>
        <v/>
      </c>
      <c r="K341">
        <f>IF(E341="Domain",COUNTIF($E$2:E341,"Domain"),"")</f>
        <v/>
      </c>
    </row>
    <row r="342">
      <c r="A342" s="2" t="n"/>
      <c r="B342">
        <f>LOWER(TRIM(A342))</f>
        <v/>
      </c>
      <c r="C342">
        <f>IF(B342="","",IFERROR(INDEX('Bad Patterns'!$A$2:$A$120,MATCH(1,INDEX(--ISNUMBER(SEARCH('Bad Patterns'!$A$2:$A$120,B342)),0),0)),""))</f>
        <v/>
      </c>
      <c r="D342">
        <f>IF(B342="","",IF(C342&lt;&gt;"","REMOVE","KEEP"))</f>
        <v/>
      </c>
      <c r="E342">
        <f>IF(D342&lt;&gt;"KEEP","",IF(RIGHT(B342,10)="@gmail.com","Gmail",IF(OR(RIGHT(B342,12)="@outlook.com",RIGHT(B342,12)="@hotmail.com",RIGHT(B342,9)="@live.com"),"Outlook","Domain")))</f>
        <v/>
      </c>
      <c r="F342">
        <f>IF(B342="","",IFERROR(RIGHT(B342,LEN(B342)-FIND("@",B342)),""))</f>
        <v/>
      </c>
      <c r="G342">
        <f>IF(D342="KEEP",COUNTIF($D$2:D342,"KEEP"),"")</f>
        <v/>
      </c>
      <c r="H342">
        <f>IF(D342="REMOVE",COUNTIF($D$2:D342,"REMOVE"),"")</f>
        <v/>
      </c>
      <c r="I342">
        <f>IF(E342="Gmail",COUNTIF($E$2:E342,"Gmail"),"")</f>
        <v/>
      </c>
      <c r="J342">
        <f>IF(E342="Outlook",COUNTIF($E$2:E342,"Outlook"),"")</f>
        <v/>
      </c>
      <c r="K342">
        <f>IF(E342="Domain",COUNTIF($E$2:E342,"Domain"),"")</f>
        <v/>
      </c>
    </row>
    <row r="343">
      <c r="A343" s="2" t="n"/>
      <c r="B343">
        <f>LOWER(TRIM(A343))</f>
        <v/>
      </c>
      <c r="C343">
        <f>IF(B343="","",IFERROR(INDEX('Bad Patterns'!$A$2:$A$120,MATCH(1,INDEX(--ISNUMBER(SEARCH('Bad Patterns'!$A$2:$A$120,B343)),0),0)),""))</f>
        <v/>
      </c>
      <c r="D343">
        <f>IF(B343="","",IF(C343&lt;&gt;"","REMOVE","KEEP"))</f>
        <v/>
      </c>
      <c r="E343">
        <f>IF(D343&lt;&gt;"KEEP","",IF(RIGHT(B343,10)="@gmail.com","Gmail",IF(OR(RIGHT(B343,12)="@outlook.com",RIGHT(B343,12)="@hotmail.com",RIGHT(B343,9)="@live.com"),"Outlook","Domain")))</f>
        <v/>
      </c>
      <c r="F343">
        <f>IF(B343="","",IFERROR(RIGHT(B343,LEN(B343)-FIND("@",B343)),""))</f>
        <v/>
      </c>
      <c r="G343">
        <f>IF(D343="KEEP",COUNTIF($D$2:D343,"KEEP"),"")</f>
        <v/>
      </c>
      <c r="H343">
        <f>IF(D343="REMOVE",COUNTIF($D$2:D343,"REMOVE"),"")</f>
        <v/>
      </c>
      <c r="I343">
        <f>IF(E343="Gmail",COUNTIF($E$2:E343,"Gmail"),"")</f>
        <v/>
      </c>
      <c r="J343">
        <f>IF(E343="Outlook",COUNTIF($E$2:E343,"Outlook"),"")</f>
        <v/>
      </c>
      <c r="K343">
        <f>IF(E343="Domain",COUNTIF($E$2:E343,"Domain"),"")</f>
        <v/>
      </c>
    </row>
    <row r="344">
      <c r="A344" s="2" t="n"/>
      <c r="B344">
        <f>LOWER(TRIM(A344))</f>
        <v/>
      </c>
      <c r="C344">
        <f>IF(B344="","",IFERROR(INDEX('Bad Patterns'!$A$2:$A$120,MATCH(1,INDEX(--ISNUMBER(SEARCH('Bad Patterns'!$A$2:$A$120,B344)),0),0)),""))</f>
        <v/>
      </c>
      <c r="D344">
        <f>IF(B344="","",IF(C344&lt;&gt;"","REMOVE","KEEP"))</f>
        <v/>
      </c>
      <c r="E344">
        <f>IF(D344&lt;&gt;"KEEP","",IF(RIGHT(B344,10)="@gmail.com","Gmail",IF(OR(RIGHT(B344,12)="@outlook.com",RIGHT(B344,12)="@hotmail.com",RIGHT(B344,9)="@live.com"),"Outlook","Domain")))</f>
        <v/>
      </c>
      <c r="F344">
        <f>IF(B344="","",IFERROR(RIGHT(B344,LEN(B344)-FIND("@",B344)),""))</f>
        <v/>
      </c>
      <c r="G344">
        <f>IF(D344="KEEP",COUNTIF($D$2:D344,"KEEP"),"")</f>
        <v/>
      </c>
      <c r="H344">
        <f>IF(D344="REMOVE",COUNTIF($D$2:D344,"REMOVE"),"")</f>
        <v/>
      </c>
      <c r="I344">
        <f>IF(E344="Gmail",COUNTIF($E$2:E344,"Gmail"),"")</f>
        <v/>
      </c>
      <c r="J344">
        <f>IF(E344="Outlook",COUNTIF($E$2:E344,"Outlook"),"")</f>
        <v/>
      </c>
      <c r="K344">
        <f>IF(E344="Domain",COUNTIF($E$2:E344,"Domain"),"")</f>
        <v/>
      </c>
    </row>
    <row r="345">
      <c r="A345" s="2" t="n"/>
      <c r="B345">
        <f>LOWER(TRIM(A345))</f>
        <v/>
      </c>
      <c r="C345">
        <f>IF(B345="","",IFERROR(INDEX('Bad Patterns'!$A$2:$A$120,MATCH(1,INDEX(--ISNUMBER(SEARCH('Bad Patterns'!$A$2:$A$120,B345)),0),0)),""))</f>
        <v/>
      </c>
      <c r="D345">
        <f>IF(B345="","",IF(C345&lt;&gt;"","REMOVE","KEEP"))</f>
        <v/>
      </c>
      <c r="E345">
        <f>IF(D345&lt;&gt;"KEEP","",IF(RIGHT(B345,10)="@gmail.com","Gmail",IF(OR(RIGHT(B345,12)="@outlook.com",RIGHT(B345,12)="@hotmail.com",RIGHT(B345,9)="@live.com"),"Outlook","Domain")))</f>
        <v/>
      </c>
      <c r="F345">
        <f>IF(B345="","",IFERROR(RIGHT(B345,LEN(B345)-FIND("@",B345)),""))</f>
        <v/>
      </c>
      <c r="G345">
        <f>IF(D345="KEEP",COUNTIF($D$2:D345,"KEEP"),"")</f>
        <v/>
      </c>
      <c r="H345">
        <f>IF(D345="REMOVE",COUNTIF($D$2:D345,"REMOVE"),"")</f>
        <v/>
      </c>
      <c r="I345">
        <f>IF(E345="Gmail",COUNTIF($E$2:E345,"Gmail"),"")</f>
        <v/>
      </c>
      <c r="J345">
        <f>IF(E345="Outlook",COUNTIF($E$2:E345,"Outlook"),"")</f>
        <v/>
      </c>
      <c r="K345">
        <f>IF(E345="Domain",COUNTIF($E$2:E345,"Domain"),"")</f>
        <v/>
      </c>
    </row>
    <row r="346">
      <c r="A346" s="2" t="n"/>
      <c r="B346">
        <f>LOWER(TRIM(A346))</f>
        <v/>
      </c>
      <c r="C346">
        <f>IF(B346="","",IFERROR(INDEX('Bad Patterns'!$A$2:$A$120,MATCH(1,INDEX(--ISNUMBER(SEARCH('Bad Patterns'!$A$2:$A$120,B346)),0),0)),""))</f>
        <v/>
      </c>
      <c r="D346">
        <f>IF(B346="","",IF(C346&lt;&gt;"","REMOVE","KEEP"))</f>
        <v/>
      </c>
      <c r="E346">
        <f>IF(D346&lt;&gt;"KEEP","",IF(RIGHT(B346,10)="@gmail.com","Gmail",IF(OR(RIGHT(B346,12)="@outlook.com",RIGHT(B346,12)="@hotmail.com",RIGHT(B346,9)="@live.com"),"Outlook","Domain")))</f>
        <v/>
      </c>
      <c r="F346">
        <f>IF(B346="","",IFERROR(RIGHT(B346,LEN(B346)-FIND("@",B346)),""))</f>
        <v/>
      </c>
      <c r="G346">
        <f>IF(D346="KEEP",COUNTIF($D$2:D346,"KEEP"),"")</f>
        <v/>
      </c>
      <c r="H346">
        <f>IF(D346="REMOVE",COUNTIF($D$2:D346,"REMOVE"),"")</f>
        <v/>
      </c>
      <c r="I346">
        <f>IF(E346="Gmail",COUNTIF($E$2:E346,"Gmail"),"")</f>
        <v/>
      </c>
      <c r="J346">
        <f>IF(E346="Outlook",COUNTIF($E$2:E346,"Outlook"),"")</f>
        <v/>
      </c>
      <c r="K346">
        <f>IF(E346="Domain",COUNTIF($E$2:E346,"Domain"),"")</f>
        <v/>
      </c>
    </row>
    <row r="347">
      <c r="A347" s="2" t="n"/>
      <c r="B347">
        <f>LOWER(TRIM(A347))</f>
        <v/>
      </c>
      <c r="C347">
        <f>IF(B347="","",IFERROR(INDEX('Bad Patterns'!$A$2:$A$120,MATCH(1,INDEX(--ISNUMBER(SEARCH('Bad Patterns'!$A$2:$A$120,B347)),0),0)),""))</f>
        <v/>
      </c>
      <c r="D347">
        <f>IF(B347="","",IF(C347&lt;&gt;"","REMOVE","KEEP"))</f>
        <v/>
      </c>
      <c r="E347">
        <f>IF(D347&lt;&gt;"KEEP","",IF(RIGHT(B347,10)="@gmail.com","Gmail",IF(OR(RIGHT(B347,12)="@outlook.com",RIGHT(B347,12)="@hotmail.com",RIGHT(B347,9)="@live.com"),"Outlook","Domain")))</f>
        <v/>
      </c>
      <c r="F347">
        <f>IF(B347="","",IFERROR(RIGHT(B347,LEN(B347)-FIND("@",B347)),""))</f>
        <v/>
      </c>
      <c r="G347">
        <f>IF(D347="KEEP",COUNTIF($D$2:D347,"KEEP"),"")</f>
        <v/>
      </c>
      <c r="H347">
        <f>IF(D347="REMOVE",COUNTIF($D$2:D347,"REMOVE"),"")</f>
        <v/>
      </c>
      <c r="I347">
        <f>IF(E347="Gmail",COUNTIF($E$2:E347,"Gmail"),"")</f>
        <v/>
      </c>
      <c r="J347">
        <f>IF(E347="Outlook",COUNTIF($E$2:E347,"Outlook"),"")</f>
        <v/>
      </c>
      <c r="K347">
        <f>IF(E347="Domain",COUNTIF($E$2:E347,"Domain"),"")</f>
        <v/>
      </c>
    </row>
    <row r="348">
      <c r="A348" s="2" t="n"/>
      <c r="B348">
        <f>LOWER(TRIM(A348))</f>
        <v/>
      </c>
      <c r="C348">
        <f>IF(B348="","",IFERROR(INDEX('Bad Patterns'!$A$2:$A$120,MATCH(1,INDEX(--ISNUMBER(SEARCH('Bad Patterns'!$A$2:$A$120,B348)),0),0)),""))</f>
        <v/>
      </c>
      <c r="D348">
        <f>IF(B348="","",IF(C348&lt;&gt;"","REMOVE","KEEP"))</f>
        <v/>
      </c>
      <c r="E348">
        <f>IF(D348&lt;&gt;"KEEP","",IF(RIGHT(B348,10)="@gmail.com","Gmail",IF(OR(RIGHT(B348,12)="@outlook.com",RIGHT(B348,12)="@hotmail.com",RIGHT(B348,9)="@live.com"),"Outlook","Domain")))</f>
        <v/>
      </c>
      <c r="F348">
        <f>IF(B348="","",IFERROR(RIGHT(B348,LEN(B348)-FIND("@",B348)),""))</f>
        <v/>
      </c>
      <c r="G348">
        <f>IF(D348="KEEP",COUNTIF($D$2:D348,"KEEP"),"")</f>
        <v/>
      </c>
      <c r="H348">
        <f>IF(D348="REMOVE",COUNTIF($D$2:D348,"REMOVE"),"")</f>
        <v/>
      </c>
      <c r="I348">
        <f>IF(E348="Gmail",COUNTIF($E$2:E348,"Gmail"),"")</f>
        <v/>
      </c>
      <c r="J348">
        <f>IF(E348="Outlook",COUNTIF($E$2:E348,"Outlook"),"")</f>
        <v/>
      </c>
      <c r="K348">
        <f>IF(E348="Domain",COUNTIF($E$2:E348,"Domain"),"")</f>
        <v/>
      </c>
    </row>
    <row r="349">
      <c r="A349" s="2" t="n"/>
      <c r="B349">
        <f>LOWER(TRIM(A349))</f>
        <v/>
      </c>
      <c r="C349">
        <f>IF(B349="","",IFERROR(INDEX('Bad Patterns'!$A$2:$A$120,MATCH(1,INDEX(--ISNUMBER(SEARCH('Bad Patterns'!$A$2:$A$120,B349)),0),0)),""))</f>
        <v/>
      </c>
      <c r="D349">
        <f>IF(B349="","",IF(C349&lt;&gt;"","REMOVE","KEEP"))</f>
        <v/>
      </c>
      <c r="E349">
        <f>IF(D349&lt;&gt;"KEEP","",IF(RIGHT(B349,10)="@gmail.com","Gmail",IF(OR(RIGHT(B349,12)="@outlook.com",RIGHT(B349,12)="@hotmail.com",RIGHT(B349,9)="@live.com"),"Outlook","Domain")))</f>
        <v/>
      </c>
      <c r="F349">
        <f>IF(B349="","",IFERROR(RIGHT(B349,LEN(B349)-FIND("@",B349)),""))</f>
        <v/>
      </c>
      <c r="G349">
        <f>IF(D349="KEEP",COUNTIF($D$2:D349,"KEEP"),"")</f>
        <v/>
      </c>
      <c r="H349">
        <f>IF(D349="REMOVE",COUNTIF($D$2:D349,"REMOVE"),"")</f>
        <v/>
      </c>
      <c r="I349">
        <f>IF(E349="Gmail",COUNTIF($E$2:E349,"Gmail"),"")</f>
        <v/>
      </c>
      <c r="J349">
        <f>IF(E349="Outlook",COUNTIF($E$2:E349,"Outlook"),"")</f>
        <v/>
      </c>
      <c r="K349">
        <f>IF(E349="Domain",COUNTIF($E$2:E349,"Domain"),"")</f>
        <v/>
      </c>
    </row>
    <row r="350">
      <c r="A350" s="2" t="n"/>
      <c r="B350">
        <f>LOWER(TRIM(A350))</f>
        <v/>
      </c>
      <c r="C350">
        <f>IF(B350="","",IFERROR(INDEX('Bad Patterns'!$A$2:$A$120,MATCH(1,INDEX(--ISNUMBER(SEARCH('Bad Patterns'!$A$2:$A$120,B350)),0),0)),""))</f>
        <v/>
      </c>
      <c r="D350">
        <f>IF(B350="","",IF(C350&lt;&gt;"","REMOVE","KEEP"))</f>
        <v/>
      </c>
      <c r="E350">
        <f>IF(D350&lt;&gt;"KEEP","",IF(RIGHT(B350,10)="@gmail.com","Gmail",IF(OR(RIGHT(B350,12)="@outlook.com",RIGHT(B350,12)="@hotmail.com",RIGHT(B350,9)="@live.com"),"Outlook","Domain")))</f>
        <v/>
      </c>
      <c r="F350">
        <f>IF(B350="","",IFERROR(RIGHT(B350,LEN(B350)-FIND("@",B350)),""))</f>
        <v/>
      </c>
      <c r="G350">
        <f>IF(D350="KEEP",COUNTIF($D$2:D350,"KEEP"),"")</f>
        <v/>
      </c>
      <c r="H350">
        <f>IF(D350="REMOVE",COUNTIF($D$2:D350,"REMOVE"),"")</f>
        <v/>
      </c>
      <c r="I350">
        <f>IF(E350="Gmail",COUNTIF($E$2:E350,"Gmail"),"")</f>
        <v/>
      </c>
      <c r="J350">
        <f>IF(E350="Outlook",COUNTIF($E$2:E350,"Outlook"),"")</f>
        <v/>
      </c>
      <c r="K350">
        <f>IF(E350="Domain",COUNTIF($E$2:E350,"Domain"),"")</f>
        <v/>
      </c>
    </row>
    <row r="351">
      <c r="A351" s="2" t="n"/>
      <c r="B351">
        <f>LOWER(TRIM(A351))</f>
        <v/>
      </c>
      <c r="C351">
        <f>IF(B351="","",IFERROR(INDEX('Bad Patterns'!$A$2:$A$120,MATCH(1,INDEX(--ISNUMBER(SEARCH('Bad Patterns'!$A$2:$A$120,B351)),0),0)),""))</f>
        <v/>
      </c>
      <c r="D351">
        <f>IF(B351="","",IF(C351&lt;&gt;"","REMOVE","KEEP"))</f>
        <v/>
      </c>
      <c r="E351">
        <f>IF(D351&lt;&gt;"KEEP","",IF(RIGHT(B351,10)="@gmail.com","Gmail",IF(OR(RIGHT(B351,12)="@outlook.com",RIGHT(B351,12)="@hotmail.com",RIGHT(B351,9)="@live.com"),"Outlook","Domain")))</f>
        <v/>
      </c>
      <c r="F351">
        <f>IF(B351="","",IFERROR(RIGHT(B351,LEN(B351)-FIND("@",B351)),""))</f>
        <v/>
      </c>
      <c r="G351">
        <f>IF(D351="KEEP",COUNTIF($D$2:D351,"KEEP"),"")</f>
        <v/>
      </c>
      <c r="H351">
        <f>IF(D351="REMOVE",COUNTIF($D$2:D351,"REMOVE"),"")</f>
        <v/>
      </c>
      <c r="I351">
        <f>IF(E351="Gmail",COUNTIF($E$2:E351,"Gmail"),"")</f>
        <v/>
      </c>
      <c r="J351">
        <f>IF(E351="Outlook",COUNTIF($E$2:E351,"Outlook"),"")</f>
        <v/>
      </c>
      <c r="K351">
        <f>IF(E351="Domain",COUNTIF($E$2:E351,"Domain"),"")</f>
        <v/>
      </c>
    </row>
    <row r="352">
      <c r="A352" s="2" t="n"/>
      <c r="B352">
        <f>LOWER(TRIM(A352))</f>
        <v/>
      </c>
      <c r="C352">
        <f>IF(B352="","",IFERROR(INDEX('Bad Patterns'!$A$2:$A$120,MATCH(1,INDEX(--ISNUMBER(SEARCH('Bad Patterns'!$A$2:$A$120,B352)),0),0)),""))</f>
        <v/>
      </c>
      <c r="D352">
        <f>IF(B352="","",IF(C352&lt;&gt;"","REMOVE","KEEP"))</f>
        <v/>
      </c>
      <c r="E352">
        <f>IF(D352&lt;&gt;"KEEP","",IF(RIGHT(B352,10)="@gmail.com","Gmail",IF(OR(RIGHT(B352,12)="@outlook.com",RIGHT(B352,12)="@hotmail.com",RIGHT(B352,9)="@live.com"),"Outlook","Domain")))</f>
        <v/>
      </c>
      <c r="F352">
        <f>IF(B352="","",IFERROR(RIGHT(B352,LEN(B352)-FIND("@",B352)),""))</f>
        <v/>
      </c>
      <c r="G352">
        <f>IF(D352="KEEP",COUNTIF($D$2:D352,"KEEP"),"")</f>
        <v/>
      </c>
      <c r="H352">
        <f>IF(D352="REMOVE",COUNTIF($D$2:D352,"REMOVE"),"")</f>
        <v/>
      </c>
      <c r="I352">
        <f>IF(E352="Gmail",COUNTIF($E$2:E352,"Gmail"),"")</f>
        <v/>
      </c>
      <c r="J352">
        <f>IF(E352="Outlook",COUNTIF($E$2:E352,"Outlook"),"")</f>
        <v/>
      </c>
      <c r="K352">
        <f>IF(E352="Domain",COUNTIF($E$2:E352,"Domain"),"")</f>
        <v/>
      </c>
    </row>
    <row r="353">
      <c r="A353" s="2" t="n"/>
      <c r="B353">
        <f>LOWER(TRIM(A353))</f>
        <v/>
      </c>
      <c r="C353">
        <f>IF(B353="","",IFERROR(INDEX('Bad Patterns'!$A$2:$A$120,MATCH(1,INDEX(--ISNUMBER(SEARCH('Bad Patterns'!$A$2:$A$120,B353)),0),0)),""))</f>
        <v/>
      </c>
      <c r="D353">
        <f>IF(B353="","",IF(C353&lt;&gt;"","REMOVE","KEEP"))</f>
        <v/>
      </c>
      <c r="E353">
        <f>IF(D353&lt;&gt;"KEEP","",IF(RIGHT(B353,10)="@gmail.com","Gmail",IF(OR(RIGHT(B353,12)="@outlook.com",RIGHT(B353,12)="@hotmail.com",RIGHT(B353,9)="@live.com"),"Outlook","Domain")))</f>
        <v/>
      </c>
      <c r="F353">
        <f>IF(B353="","",IFERROR(RIGHT(B353,LEN(B353)-FIND("@",B353)),""))</f>
        <v/>
      </c>
      <c r="G353">
        <f>IF(D353="KEEP",COUNTIF($D$2:D353,"KEEP"),"")</f>
        <v/>
      </c>
      <c r="H353">
        <f>IF(D353="REMOVE",COUNTIF($D$2:D353,"REMOVE"),"")</f>
        <v/>
      </c>
      <c r="I353">
        <f>IF(E353="Gmail",COUNTIF($E$2:E353,"Gmail"),"")</f>
        <v/>
      </c>
      <c r="J353">
        <f>IF(E353="Outlook",COUNTIF($E$2:E353,"Outlook"),"")</f>
        <v/>
      </c>
      <c r="K353">
        <f>IF(E353="Domain",COUNTIF($E$2:E353,"Domain"),"")</f>
        <v/>
      </c>
    </row>
    <row r="354">
      <c r="A354" s="2" t="n"/>
      <c r="B354">
        <f>LOWER(TRIM(A354))</f>
        <v/>
      </c>
      <c r="C354">
        <f>IF(B354="","",IFERROR(INDEX('Bad Patterns'!$A$2:$A$120,MATCH(1,INDEX(--ISNUMBER(SEARCH('Bad Patterns'!$A$2:$A$120,B354)),0),0)),""))</f>
        <v/>
      </c>
      <c r="D354">
        <f>IF(B354="","",IF(C354&lt;&gt;"","REMOVE","KEEP"))</f>
        <v/>
      </c>
      <c r="E354">
        <f>IF(D354&lt;&gt;"KEEP","",IF(RIGHT(B354,10)="@gmail.com","Gmail",IF(OR(RIGHT(B354,12)="@outlook.com",RIGHT(B354,12)="@hotmail.com",RIGHT(B354,9)="@live.com"),"Outlook","Domain")))</f>
        <v/>
      </c>
      <c r="F354">
        <f>IF(B354="","",IFERROR(RIGHT(B354,LEN(B354)-FIND("@",B354)),""))</f>
        <v/>
      </c>
      <c r="G354">
        <f>IF(D354="KEEP",COUNTIF($D$2:D354,"KEEP"),"")</f>
        <v/>
      </c>
      <c r="H354">
        <f>IF(D354="REMOVE",COUNTIF($D$2:D354,"REMOVE"),"")</f>
        <v/>
      </c>
      <c r="I354">
        <f>IF(E354="Gmail",COUNTIF($E$2:E354,"Gmail"),"")</f>
        <v/>
      </c>
      <c r="J354">
        <f>IF(E354="Outlook",COUNTIF($E$2:E354,"Outlook"),"")</f>
        <v/>
      </c>
      <c r="K354">
        <f>IF(E354="Domain",COUNTIF($E$2:E354,"Domain"),"")</f>
        <v/>
      </c>
    </row>
    <row r="355">
      <c r="A355" s="2" t="n"/>
      <c r="B355">
        <f>LOWER(TRIM(A355))</f>
        <v/>
      </c>
      <c r="C355">
        <f>IF(B355="","",IFERROR(INDEX('Bad Patterns'!$A$2:$A$120,MATCH(1,INDEX(--ISNUMBER(SEARCH('Bad Patterns'!$A$2:$A$120,B355)),0),0)),""))</f>
        <v/>
      </c>
      <c r="D355">
        <f>IF(B355="","",IF(C355&lt;&gt;"","REMOVE","KEEP"))</f>
        <v/>
      </c>
      <c r="E355">
        <f>IF(D355&lt;&gt;"KEEP","",IF(RIGHT(B355,10)="@gmail.com","Gmail",IF(OR(RIGHT(B355,12)="@outlook.com",RIGHT(B355,12)="@hotmail.com",RIGHT(B355,9)="@live.com"),"Outlook","Domain")))</f>
        <v/>
      </c>
      <c r="F355">
        <f>IF(B355="","",IFERROR(RIGHT(B355,LEN(B355)-FIND("@",B355)),""))</f>
        <v/>
      </c>
      <c r="G355">
        <f>IF(D355="KEEP",COUNTIF($D$2:D355,"KEEP"),"")</f>
        <v/>
      </c>
      <c r="H355">
        <f>IF(D355="REMOVE",COUNTIF($D$2:D355,"REMOVE"),"")</f>
        <v/>
      </c>
      <c r="I355">
        <f>IF(E355="Gmail",COUNTIF($E$2:E355,"Gmail"),"")</f>
        <v/>
      </c>
      <c r="J355">
        <f>IF(E355="Outlook",COUNTIF($E$2:E355,"Outlook"),"")</f>
        <v/>
      </c>
      <c r="K355">
        <f>IF(E355="Domain",COUNTIF($E$2:E355,"Domain"),"")</f>
        <v/>
      </c>
    </row>
    <row r="356">
      <c r="A356" s="2" t="n"/>
      <c r="B356">
        <f>LOWER(TRIM(A356))</f>
        <v/>
      </c>
      <c r="C356">
        <f>IF(B356="","",IFERROR(INDEX('Bad Patterns'!$A$2:$A$120,MATCH(1,INDEX(--ISNUMBER(SEARCH('Bad Patterns'!$A$2:$A$120,B356)),0),0)),""))</f>
        <v/>
      </c>
      <c r="D356">
        <f>IF(B356="","",IF(C356&lt;&gt;"","REMOVE","KEEP"))</f>
        <v/>
      </c>
      <c r="E356">
        <f>IF(D356&lt;&gt;"KEEP","",IF(RIGHT(B356,10)="@gmail.com","Gmail",IF(OR(RIGHT(B356,12)="@outlook.com",RIGHT(B356,12)="@hotmail.com",RIGHT(B356,9)="@live.com"),"Outlook","Domain")))</f>
        <v/>
      </c>
      <c r="F356">
        <f>IF(B356="","",IFERROR(RIGHT(B356,LEN(B356)-FIND("@",B356)),""))</f>
        <v/>
      </c>
      <c r="G356">
        <f>IF(D356="KEEP",COUNTIF($D$2:D356,"KEEP"),"")</f>
        <v/>
      </c>
      <c r="H356">
        <f>IF(D356="REMOVE",COUNTIF($D$2:D356,"REMOVE"),"")</f>
        <v/>
      </c>
      <c r="I356">
        <f>IF(E356="Gmail",COUNTIF($E$2:E356,"Gmail"),"")</f>
        <v/>
      </c>
      <c r="J356">
        <f>IF(E356="Outlook",COUNTIF($E$2:E356,"Outlook"),"")</f>
        <v/>
      </c>
      <c r="K356">
        <f>IF(E356="Domain",COUNTIF($E$2:E356,"Domain"),"")</f>
        <v/>
      </c>
    </row>
    <row r="357">
      <c r="A357" s="2" t="n"/>
      <c r="B357">
        <f>LOWER(TRIM(A357))</f>
        <v/>
      </c>
      <c r="C357">
        <f>IF(B357="","",IFERROR(INDEX('Bad Patterns'!$A$2:$A$120,MATCH(1,INDEX(--ISNUMBER(SEARCH('Bad Patterns'!$A$2:$A$120,B357)),0),0)),""))</f>
        <v/>
      </c>
      <c r="D357">
        <f>IF(B357="","",IF(C357&lt;&gt;"","REMOVE","KEEP"))</f>
        <v/>
      </c>
      <c r="E357">
        <f>IF(D357&lt;&gt;"KEEP","",IF(RIGHT(B357,10)="@gmail.com","Gmail",IF(OR(RIGHT(B357,12)="@outlook.com",RIGHT(B357,12)="@hotmail.com",RIGHT(B357,9)="@live.com"),"Outlook","Domain")))</f>
        <v/>
      </c>
      <c r="F357">
        <f>IF(B357="","",IFERROR(RIGHT(B357,LEN(B357)-FIND("@",B357)),""))</f>
        <v/>
      </c>
      <c r="G357">
        <f>IF(D357="KEEP",COUNTIF($D$2:D357,"KEEP"),"")</f>
        <v/>
      </c>
      <c r="H357">
        <f>IF(D357="REMOVE",COUNTIF($D$2:D357,"REMOVE"),"")</f>
        <v/>
      </c>
      <c r="I357">
        <f>IF(E357="Gmail",COUNTIF($E$2:E357,"Gmail"),"")</f>
        <v/>
      </c>
      <c r="J357">
        <f>IF(E357="Outlook",COUNTIF($E$2:E357,"Outlook"),"")</f>
        <v/>
      </c>
      <c r="K357">
        <f>IF(E357="Domain",COUNTIF($E$2:E357,"Domain"),"")</f>
        <v/>
      </c>
    </row>
    <row r="358">
      <c r="A358" s="2" t="n"/>
      <c r="B358">
        <f>LOWER(TRIM(A358))</f>
        <v/>
      </c>
      <c r="C358">
        <f>IF(B358="","",IFERROR(INDEX('Bad Patterns'!$A$2:$A$120,MATCH(1,INDEX(--ISNUMBER(SEARCH('Bad Patterns'!$A$2:$A$120,B358)),0),0)),""))</f>
        <v/>
      </c>
      <c r="D358">
        <f>IF(B358="","",IF(C358&lt;&gt;"","REMOVE","KEEP"))</f>
        <v/>
      </c>
      <c r="E358">
        <f>IF(D358&lt;&gt;"KEEP","",IF(RIGHT(B358,10)="@gmail.com","Gmail",IF(OR(RIGHT(B358,12)="@outlook.com",RIGHT(B358,12)="@hotmail.com",RIGHT(B358,9)="@live.com"),"Outlook","Domain")))</f>
        <v/>
      </c>
      <c r="F358">
        <f>IF(B358="","",IFERROR(RIGHT(B358,LEN(B358)-FIND("@",B358)),""))</f>
        <v/>
      </c>
      <c r="G358">
        <f>IF(D358="KEEP",COUNTIF($D$2:D358,"KEEP"),"")</f>
        <v/>
      </c>
      <c r="H358">
        <f>IF(D358="REMOVE",COUNTIF($D$2:D358,"REMOVE"),"")</f>
        <v/>
      </c>
      <c r="I358">
        <f>IF(E358="Gmail",COUNTIF($E$2:E358,"Gmail"),"")</f>
        <v/>
      </c>
      <c r="J358">
        <f>IF(E358="Outlook",COUNTIF($E$2:E358,"Outlook"),"")</f>
        <v/>
      </c>
      <c r="K358">
        <f>IF(E358="Domain",COUNTIF($E$2:E358,"Domain"),"")</f>
        <v/>
      </c>
    </row>
    <row r="359">
      <c r="A359" s="2" t="n"/>
      <c r="B359">
        <f>LOWER(TRIM(A359))</f>
        <v/>
      </c>
      <c r="C359">
        <f>IF(B359="","",IFERROR(INDEX('Bad Patterns'!$A$2:$A$120,MATCH(1,INDEX(--ISNUMBER(SEARCH('Bad Patterns'!$A$2:$A$120,B359)),0),0)),""))</f>
        <v/>
      </c>
      <c r="D359">
        <f>IF(B359="","",IF(C359&lt;&gt;"","REMOVE","KEEP"))</f>
        <v/>
      </c>
      <c r="E359">
        <f>IF(D359&lt;&gt;"KEEP","",IF(RIGHT(B359,10)="@gmail.com","Gmail",IF(OR(RIGHT(B359,12)="@outlook.com",RIGHT(B359,12)="@hotmail.com",RIGHT(B359,9)="@live.com"),"Outlook","Domain")))</f>
        <v/>
      </c>
      <c r="F359">
        <f>IF(B359="","",IFERROR(RIGHT(B359,LEN(B359)-FIND("@",B359)),""))</f>
        <v/>
      </c>
      <c r="G359">
        <f>IF(D359="KEEP",COUNTIF($D$2:D359,"KEEP"),"")</f>
        <v/>
      </c>
      <c r="H359">
        <f>IF(D359="REMOVE",COUNTIF($D$2:D359,"REMOVE"),"")</f>
        <v/>
      </c>
      <c r="I359">
        <f>IF(E359="Gmail",COUNTIF($E$2:E359,"Gmail"),"")</f>
        <v/>
      </c>
      <c r="J359">
        <f>IF(E359="Outlook",COUNTIF($E$2:E359,"Outlook"),"")</f>
        <v/>
      </c>
      <c r="K359">
        <f>IF(E359="Domain",COUNTIF($E$2:E359,"Domain"),"")</f>
        <v/>
      </c>
    </row>
    <row r="360">
      <c r="A360" s="2" t="n"/>
      <c r="B360">
        <f>LOWER(TRIM(A360))</f>
        <v/>
      </c>
      <c r="C360">
        <f>IF(B360="","",IFERROR(INDEX('Bad Patterns'!$A$2:$A$120,MATCH(1,INDEX(--ISNUMBER(SEARCH('Bad Patterns'!$A$2:$A$120,B360)),0),0)),""))</f>
        <v/>
      </c>
      <c r="D360">
        <f>IF(B360="","",IF(C360&lt;&gt;"","REMOVE","KEEP"))</f>
        <v/>
      </c>
      <c r="E360">
        <f>IF(D360&lt;&gt;"KEEP","",IF(RIGHT(B360,10)="@gmail.com","Gmail",IF(OR(RIGHT(B360,12)="@outlook.com",RIGHT(B360,12)="@hotmail.com",RIGHT(B360,9)="@live.com"),"Outlook","Domain")))</f>
        <v/>
      </c>
      <c r="F360">
        <f>IF(B360="","",IFERROR(RIGHT(B360,LEN(B360)-FIND("@",B360)),""))</f>
        <v/>
      </c>
      <c r="G360">
        <f>IF(D360="KEEP",COUNTIF($D$2:D360,"KEEP"),"")</f>
        <v/>
      </c>
      <c r="H360">
        <f>IF(D360="REMOVE",COUNTIF($D$2:D360,"REMOVE"),"")</f>
        <v/>
      </c>
      <c r="I360">
        <f>IF(E360="Gmail",COUNTIF($E$2:E360,"Gmail"),"")</f>
        <v/>
      </c>
      <c r="J360">
        <f>IF(E360="Outlook",COUNTIF($E$2:E360,"Outlook"),"")</f>
        <v/>
      </c>
      <c r="K360">
        <f>IF(E360="Domain",COUNTIF($E$2:E360,"Domain"),"")</f>
        <v/>
      </c>
    </row>
    <row r="361">
      <c r="A361" s="2" t="n"/>
      <c r="B361">
        <f>LOWER(TRIM(A361))</f>
        <v/>
      </c>
      <c r="C361">
        <f>IF(B361="","",IFERROR(INDEX('Bad Patterns'!$A$2:$A$120,MATCH(1,INDEX(--ISNUMBER(SEARCH('Bad Patterns'!$A$2:$A$120,B361)),0),0)),""))</f>
        <v/>
      </c>
      <c r="D361">
        <f>IF(B361="","",IF(C361&lt;&gt;"","REMOVE","KEEP"))</f>
        <v/>
      </c>
      <c r="E361">
        <f>IF(D361&lt;&gt;"KEEP","",IF(RIGHT(B361,10)="@gmail.com","Gmail",IF(OR(RIGHT(B361,12)="@outlook.com",RIGHT(B361,12)="@hotmail.com",RIGHT(B361,9)="@live.com"),"Outlook","Domain")))</f>
        <v/>
      </c>
      <c r="F361">
        <f>IF(B361="","",IFERROR(RIGHT(B361,LEN(B361)-FIND("@",B361)),""))</f>
        <v/>
      </c>
      <c r="G361">
        <f>IF(D361="KEEP",COUNTIF($D$2:D361,"KEEP"),"")</f>
        <v/>
      </c>
      <c r="H361">
        <f>IF(D361="REMOVE",COUNTIF($D$2:D361,"REMOVE"),"")</f>
        <v/>
      </c>
      <c r="I361">
        <f>IF(E361="Gmail",COUNTIF($E$2:E361,"Gmail"),"")</f>
        <v/>
      </c>
      <c r="J361">
        <f>IF(E361="Outlook",COUNTIF($E$2:E361,"Outlook"),"")</f>
        <v/>
      </c>
      <c r="K361">
        <f>IF(E361="Domain",COUNTIF($E$2:E361,"Domain"),"")</f>
        <v/>
      </c>
    </row>
    <row r="362">
      <c r="A362" s="2" t="n"/>
      <c r="B362">
        <f>LOWER(TRIM(A362))</f>
        <v/>
      </c>
      <c r="C362">
        <f>IF(B362="","",IFERROR(INDEX('Bad Patterns'!$A$2:$A$120,MATCH(1,INDEX(--ISNUMBER(SEARCH('Bad Patterns'!$A$2:$A$120,B362)),0),0)),""))</f>
        <v/>
      </c>
      <c r="D362">
        <f>IF(B362="","",IF(C362&lt;&gt;"","REMOVE","KEEP"))</f>
        <v/>
      </c>
      <c r="E362">
        <f>IF(D362&lt;&gt;"KEEP","",IF(RIGHT(B362,10)="@gmail.com","Gmail",IF(OR(RIGHT(B362,12)="@outlook.com",RIGHT(B362,12)="@hotmail.com",RIGHT(B362,9)="@live.com"),"Outlook","Domain")))</f>
        <v/>
      </c>
      <c r="F362">
        <f>IF(B362="","",IFERROR(RIGHT(B362,LEN(B362)-FIND("@",B362)),""))</f>
        <v/>
      </c>
      <c r="G362">
        <f>IF(D362="KEEP",COUNTIF($D$2:D362,"KEEP"),"")</f>
        <v/>
      </c>
      <c r="H362">
        <f>IF(D362="REMOVE",COUNTIF($D$2:D362,"REMOVE"),"")</f>
        <v/>
      </c>
      <c r="I362">
        <f>IF(E362="Gmail",COUNTIF($E$2:E362,"Gmail"),"")</f>
        <v/>
      </c>
      <c r="J362">
        <f>IF(E362="Outlook",COUNTIF($E$2:E362,"Outlook"),"")</f>
        <v/>
      </c>
      <c r="K362">
        <f>IF(E362="Domain",COUNTIF($E$2:E362,"Domain"),"")</f>
        <v/>
      </c>
    </row>
    <row r="363">
      <c r="A363" s="2" t="n"/>
      <c r="B363">
        <f>LOWER(TRIM(A363))</f>
        <v/>
      </c>
      <c r="C363">
        <f>IF(B363="","",IFERROR(INDEX('Bad Patterns'!$A$2:$A$120,MATCH(1,INDEX(--ISNUMBER(SEARCH('Bad Patterns'!$A$2:$A$120,B363)),0),0)),""))</f>
        <v/>
      </c>
      <c r="D363">
        <f>IF(B363="","",IF(C363&lt;&gt;"","REMOVE","KEEP"))</f>
        <v/>
      </c>
      <c r="E363">
        <f>IF(D363&lt;&gt;"KEEP","",IF(RIGHT(B363,10)="@gmail.com","Gmail",IF(OR(RIGHT(B363,12)="@outlook.com",RIGHT(B363,12)="@hotmail.com",RIGHT(B363,9)="@live.com"),"Outlook","Domain")))</f>
        <v/>
      </c>
      <c r="F363">
        <f>IF(B363="","",IFERROR(RIGHT(B363,LEN(B363)-FIND("@",B363)),""))</f>
        <v/>
      </c>
      <c r="G363">
        <f>IF(D363="KEEP",COUNTIF($D$2:D363,"KEEP"),"")</f>
        <v/>
      </c>
      <c r="H363">
        <f>IF(D363="REMOVE",COUNTIF($D$2:D363,"REMOVE"),"")</f>
        <v/>
      </c>
      <c r="I363">
        <f>IF(E363="Gmail",COUNTIF($E$2:E363,"Gmail"),"")</f>
        <v/>
      </c>
      <c r="J363">
        <f>IF(E363="Outlook",COUNTIF($E$2:E363,"Outlook"),"")</f>
        <v/>
      </c>
      <c r="K363">
        <f>IF(E363="Domain",COUNTIF($E$2:E363,"Domain"),"")</f>
        <v/>
      </c>
    </row>
    <row r="364">
      <c r="A364" s="2" t="n"/>
      <c r="B364">
        <f>LOWER(TRIM(A364))</f>
        <v/>
      </c>
      <c r="C364">
        <f>IF(B364="","",IFERROR(INDEX('Bad Patterns'!$A$2:$A$120,MATCH(1,INDEX(--ISNUMBER(SEARCH('Bad Patterns'!$A$2:$A$120,B364)),0),0)),""))</f>
        <v/>
      </c>
      <c r="D364">
        <f>IF(B364="","",IF(C364&lt;&gt;"","REMOVE","KEEP"))</f>
        <v/>
      </c>
      <c r="E364">
        <f>IF(D364&lt;&gt;"KEEP","",IF(RIGHT(B364,10)="@gmail.com","Gmail",IF(OR(RIGHT(B364,12)="@outlook.com",RIGHT(B364,12)="@hotmail.com",RIGHT(B364,9)="@live.com"),"Outlook","Domain")))</f>
        <v/>
      </c>
      <c r="F364">
        <f>IF(B364="","",IFERROR(RIGHT(B364,LEN(B364)-FIND("@",B364)),""))</f>
        <v/>
      </c>
      <c r="G364">
        <f>IF(D364="KEEP",COUNTIF($D$2:D364,"KEEP"),"")</f>
        <v/>
      </c>
      <c r="H364">
        <f>IF(D364="REMOVE",COUNTIF($D$2:D364,"REMOVE"),"")</f>
        <v/>
      </c>
      <c r="I364">
        <f>IF(E364="Gmail",COUNTIF($E$2:E364,"Gmail"),"")</f>
        <v/>
      </c>
      <c r="J364">
        <f>IF(E364="Outlook",COUNTIF($E$2:E364,"Outlook"),"")</f>
        <v/>
      </c>
      <c r="K364">
        <f>IF(E364="Domain",COUNTIF($E$2:E364,"Domain"),"")</f>
        <v/>
      </c>
    </row>
    <row r="365">
      <c r="A365" s="2" t="n"/>
      <c r="B365">
        <f>LOWER(TRIM(A365))</f>
        <v/>
      </c>
      <c r="C365">
        <f>IF(B365="","",IFERROR(INDEX('Bad Patterns'!$A$2:$A$120,MATCH(1,INDEX(--ISNUMBER(SEARCH('Bad Patterns'!$A$2:$A$120,B365)),0),0)),""))</f>
        <v/>
      </c>
      <c r="D365">
        <f>IF(B365="","",IF(C365&lt;&gt;"","REMOVE","KEEP"))</f>
        <v/>
      </c>
      <c r="E365">
        <f>IF(D365&lt;&gt;"KEEP","",IF(RIGHT(B365,10)="@gmail.com","Gmail",IF(OR(RIGHT(B365,12)="@outlook.com",RIGHT(B365,12)="@hotmail.com",RIGHT(B365,9)="@live.com"),"Outlook","Domain")))</f>
        <v/>
      </c>
      <c r="F365">
        <f>IF(B365="","",IFERROR(RIGHT(B365,LEN(B365)-FIND("@",B365)),""))</f>
        <v/>
      </c>
      <c r="G365">
        <f>IF(D365="KEEP",COUNTIF($D$2:D365,"KEEP"),"")</f>
        <v/>
      </c>
      <c r="H365">
        <f>IF(D365="REMOVE",COUNTIF($D$2:D365,"REMOVE"),"")</f>
        <v/>
      </c>
      <c r="I365">
        <f>IF(E365="Gmail",COUNTIF($E$2:E365,"Gmail"),"")</f>
        <v/>
      </c>
      <c r="J365">
        <f>IF(E365="Outlook",COUNTIF($E$2:E365,"Outlook"),"")</f>
        <v/>
      </c>
      <c r="K365">
        <f>IF(E365="Domain",COUNTIF($E$2:E365,"Domain"),"")</f>
        <v/>
      </c>
    </row>
    <row r="366">
      <c r="A366" s="2" t="n"/>
      <c r="B366">
        <f>LOWER(TRIM(A366))</f>
        <v/>
      </c>
      <c r="C366">
        <f>IF(B366="","",IFERROR(INDEX('Bad Patterns'!$A$2:$A$120,MATCH(1,INDEX(--ISNUMBER(SEARCH('Bad Patterns'!$A$2:$A$120,B366)),0),0)),""))</f>
        <v/>
      </c>
      <c r="D366">
        <f>IF(B366="","",IF(C366&lt;&gt;"","REMOVE","KEEP"))</f>
        <v/>
      </c>
      <c r="E366">
        <f>IF(D366&lt;&gt;"KEEP","",IF(RIGHT(B366,10)="@gmail.com","Gmail",IF(OR(RIGHT(B366,12)="@outlook.com",RIGHT(B366,12)="@hotmail.com",RIGHT(B366,9)="@live.com"),"Outlook","Domain")))</f>
        <v/>
      </c>
      <c r="F366">
        <f>IF(B366="","",IFERROR(RIGHT(B366,LEN(B366)-FIND("@",B366)),""))</f>
        <v/>
      </c>
      <c r="G366">
        <f>IF(D366="KEEP",COUNTIF($D$2:D366,"KEEP"),"")</f>
        <v/>
      </c>
      <c r="H366">
        <f>IF(D366="REMOVE",COUNTIF($D$2:D366,"REMOVE"),"")</f>
        <v/>
      </c>
      <c r="I366">
        <f>IF(E366="Gmail",COUNTIF($E$2:E366,"Gmail"),"")</f>
        <v/>
      </c>
      <c r="J366">
        <f>IF(E366="Outlook",COUNTIF($E$2:E366,"Outlook"),"")</f>
        <v/>
      </c>
      <c r="K366">
        <f>IF(E366="Domain",COUNTIF($E$2:E366,"Domain"),"")</f>
        <v/>
      </c>
    </row>
    <row r="367">
      <c r="A367" s="2" t="n"/>
      <c r="B367">
        <f>LOWER(TRIM(A367))</f>
        <v/>
      </c>
      <c r="C367">
        <f>IF(B367="","",IFERROR(INDEX('Bad Patterns'!$A$2:$A$120,MATCH(1,INDEX(--ISNUMBER(SEARCH('Bad Patterns'!$A$2:$A$120,B367)),0),0)),""))</f>
        <v/>
      </c>
      <c r="D367">
        <f>IF(B367="","",IF(C367&lt;&gt;"","REMOVE","KEEP"))</f>
        <v/>
      </c>
      <c r="E367">
        <f>IF(D367&lt;&gt;"KEEP","",IF(RIGHT(B367,10)="@gmail.com","Gmail",IF(OR(RIGHT(B367,12)="@outlook.com",RIGHT(B367,12)="@hotmail.com",RIGHT(B367,9)="@live.com"),"Outlook","Domain")))</f>
        <v/>
      </c>
      <c r="F367">
        <f>IF(B367="","",IFERROR(RIGHT(B367,LEN(B367)-FIND("@",B367)),""))</f>
        <v/>
      </c>
      <c r="G367">
        <f>IF(D367="KEEP",COUNTIF($D$2:D367,"KEEP"),"")</f>
        <v/>
      </c>
      <c r="H367">
        <f>IF(D367="REMOVE",COUNTIF($D$2:D367,"REMOVE"),"")</f>
        <v/>
      </c>
      <c r="I367">
        <f>IF(E367="Gmail",COUNTIF($E$2:E367,"Gmail"),"")</f>
        <v/>
      </c>
      <c r="J367">
        <f>IF(E367="Outlook",COUNTIF($E$2:E367,"Outlook"),"")</f>
        <v/>
      </c>
      <c r="K367">
        <f>IF(E367="Domain",COUNTIF($E$2:E367,"Domain"),"")</f>
        <v/>
      </c>
    </row>
    <row r="368">
      <c r="A368" s="2" t="n"/>
      <c r="B368">
        <f>LOWER(TRIM(A368))</f>
        <v/>
      </c>
      <c r="C368">
        <f>IF(B368="","",IFERROR(INDEX('Bad Patterns'!$A$2:$A$120,MATCH(1,INDEX(--ISNUMBER(SEARCH('Bad Patterns'!$A$2:$A$120,B368)),0),0)),""))</f>
        <v/>
      </c>
      <c r="D368">
        <f>IF(B368="","",IF(C368&lt;&gt;"","REMOVE","KEEP"))</f>
        <v/>
      </c>
      <c r="E368">
        <f>IF(D368&lt;&gt;"KEEP","",IF(RIGHT(B368,10)="@gmail.com","Gmail",IF(OR(RIGHT(B368,12)="@outlook.com",RIGHT(B368,12)="@hotmail.com",RIGHT(B368,9)="@live.com"),"Outlook","Domain")))</f>
        <v/>
      </c>
      <c r="F368">
        <f>IF(B368="","",IFERROR(RIGHT(B368,LEN(B368)-FIND("@",B368)),""))</f>
        <v/>
      </c>
      <c r="G368">
        <f>IF(D368="KEEP",COUNTIF($D$2:D368,"KEEP"),"")</f>
        <v/>
      </c>
      <c r="H368">
        <f>IF(D368="REMOVE",COUNTIF($D$2:D368,"REMOVE"),"")</f>
        <v/>
      </c>
      <c r="I368">
        <f>IF(E368="Gmail",COUNTIF($E$2:E368,"Gmail"),"")</f>
        <v/>
      </c>
      <c r="J368">
        <f>IF(E368="Outlook",COUNTIF($E$2:E368,"Outlook"),"")</f>
        <v/>
      </c>
      <c r="K368">
        <f>IF(E368="Domain",COUNTIF($E$2:E368,"Domain"),"")</f>
        <v/>
      </c>
    </row>
    <row r="369">
      <c r="A369" s="2" t="n"/>
      <c r="B369">
        <f>LOWER(TRIM(A369))</f>
        <v/>
      </c>
      <c r="C369">
        <f>IF(B369="","",IFERROR(INDEX('Bad Patterns'!$A$2:$A$120,MATCH(1,INDEX(--ISNUMBER(SEARCH('Bad Patterns'!$A$2:$A$120,B369)),0),0)),""))</f>
        <v/>
      </c>
      <c r="D369">
        <f>IF(B369="","",IF(C369&lt;&gt;"","REMOVE","KEEP"))</f>
        <v/>
      </c>
      <c r="E369">
        <f>IF(D369&lt;&gt;"KEEP","",IF(RIGHT(B369,10)="@gmail.com","Gmail",IF(OR(RIGHT(B369,12)="@outlook.com",RIGHT(B369,12)="@hotmail.com",RIGHT(B369,9)="@live.com"),"Outlook","Domain")))</f>
        <v/>
      </c>
      <c r="F369">
        <f>IF(B369="","",IFERROR(RIGHT(B369,LEN(B369)-FIND("@",B369)),""))</f>
        <v/>
      </c>
      <c r="G369">
        <f>IF(D369="KEEP",COUNTIF($D$2:D369,"KEEP"),"")</f>
        <v/>
      </c>
      <c r="H369">
        <f>IF(D369="REMOVE",COUNTIF($D$2:D369,"REMOVE"),"")</f>
        <v/>
      </c>
      <c r="I369">
        <f>IF(E369="Gmail",COUNTIF($E$2:E369,"Gmail"),"")</f>
        <v/>
      </c>
      <c r="J369">
        <f>IF(E369="Outlook",COUNTIF($E$2:E369,"Outlook"),"")</f>
        <v/>
      </c>
      <c r="K369">
        <f>IF(E369="Domain",COUNTIF($E$2:E369,"Domain"),"")</f>
        <v/>
      </c>
    </row>
    <row r="370">
      <c r="A370" s="2" t="n"/>
      <c r="B370">
        <f>LOWER(TRIM(A370))</f>
        <v/>
      </c>
      <c r="C370">
        <f>IF(B370="","",IFERROR(INDEX('Bad Patterns'!$A$2:$A$120,MATCH(1,INDEX(--ISNUMBER(SEARCH('Bad Patterns'!$A$2:$A$120,B370)),0),0)),""))</f>
        <v/>
      </c>
      <c r="D370">
        <f>IF(B370="","",IF(C370&lt;&gt;"","REMOVE","KEEP"))</f>
        <v/>
      </c>
      <c r="E370">
        <f>IF(D370&lt;&gt;"KEEP","",IF(RIGHT(B370,10)="@gmail.com","Gmail",IF(OR(RIGHT(B370,12)="@outlook.com",RIGHT(B370,12)="@hotmail.com",RIGHT(B370,9)="@live.com"),"Outlook","Domain")))</f>
        <v/>
      </c>
      <c r="F370">
        <f>IF(B370="","",IFERROR(RIGHT(B370,LEN(B370)-FIND("@",B370)),""))</f>
        <v/>
      </c>
      <c r="G370">
        <f>IF(D370="KEEP",COUNTIF($D$2:D370,"KEEP"),"")</f>
        <v/>
      </c>
      <c r="H370">
        <f>IF(D370="REMOVE",COUNTIF($D$2:D370,"REMOVE"),"")</f>
        <v/>
      </c>
      <c r="I370">
        <f>IF(E370="Gmail",COUNTIF($E$2:E370,"Gmail"),"")</f>
        <v/>
      </c>
      <c r="J370">
        <f>IF(E370="Outlook",COUNTIF($E$2:E370,"Outlook"),"")</f>
        <v/>
      </c>
      <c r="K370">
        <f>IF(E370="Domain",COUNTIF($E$2:E370,"Domain"),"")</f>
        <v/>
      </c>
    </row>
    <row r="371">
      <c r="A371" s="2" t="n"/>
      <c r="B371">
        <f>LOWER(TRIM(A371))</f>
        <v/>
      </c>
      <c r="C371">
        <f>IF(B371="","",IFERROR(INDEX('Bad Patterns'!$A$2:$A$120,MATCH(1,INDEX(--ISNUMBER(SEARCH('Bad Patterns'!$A$2:$A$120,B371)),0),0)),""))</f>
        <v/>
      </c>
      <c r="D371">
        <f>IF(B371="","",IF(C371&lt;&gt;"","REMOVE","KEEP"))</f>
        <v/>
      </c>
      <c r="E371">
        <f>IF(D371&lt;&gt;"KEEP","",IF(RIGHT(B371,10)="@gmail.com","Gmail",IF(OR(RIGHT(B371,12)="@outlook.com",RIGHT(B371,12)="@hotmail.com",RIGHT(B371,9)="@live.com"),"Outlook","Domain")))</f>
        <v/>
      </c>
      <c r="F371">
        <f>IF(B371="","",IFERROR(RIGHT(B371,LEN(B371)-FIND("@",B371)),""))</f>
        <v/>
      </c>
      <c r="G371">
        <f>IF(D371="KEEP",COUNTIF($D$2:D371,"KEEP"),"")</f>
        <v/>
      </c>
      <c r="H371">
        <f>IF(D371="REMOVE",COUNTIF($D$2:D371,"REMOVE"),"")</f>
        <v/>
      </c>
      <c r="I371">
        <f>IF(E371="Gmail",COUNTIF($E$2:E371,"Gmail"),"")</f>
        <v/>
      </c>
      <c r="J371">
        <f>IF(E371="Outlook",COUNTIF($E$2:E371,"Outlook"),"")</f>
        <v/>
      </c>
      <c r="K371">
        <f>IF(E371="Domain",COUNTIF($E$2:E371,"Domain"),"")</f>
        <v/>
      </c>
    </row>
    <row r="372">
      <c r="A372" s="2" t="n"/>
      <c r="B372">
        <f>LOWER(TRIM(A372))</f>
        <v/>
      </c>
      <c r="C372">
        <f>IF(B372="","",IFERROR(INDEX('Bad Patterns'!$A$2:$A$120,MATCH(1,INDEX(--ISNUMBER(SEARCH('Bad Patterns'!$A$2:$A$120,B372)),0),0)),""))</f>
        <v/>
      </c>
      <c r="D372">
        <f>IF(B372="","",IF(C372&lt;&gt;"","REMOVE","KEEP"))</f>
        <v/>
      </c>
      <c r="E372">
        <f>IF(D372&lt;&gt;"KEEP","",IF(RIGHT(B372,10)="@gmail.com","Gmail",IF(OR(RIGHT(B372,12)="@outlook.com",RIGHT(B372,12)="@hotmail.com",RIGHT(B372,9)="@live.com"),"Outlook","Domain")))</f>
        <v/>
      </c>
      <c r="F372">
        <f>IF(B372="","",IFERROR(RIGHT(B372,LEN(B372)-FIND("@",B372)),""))</f>
        <v/>
      </c>
      <c r="G372">
        <f>IF(D372="KEEP",COUNTIF($D$2:D372,"KEEP"),"")</f>
        <v/>
      </c>
      <c r="H372">
        <f>IF(D372="REMOVE",COUNTIF($D$2:D372,"REMOVE"),"")</f>
        <v/>
      </c>
      <c r="I372">
        <f>IF(E372="Gmail",COUNTIF($E$2:E372,"Gmail"),"")</f>
        <v/>
      </c>
      <c r="J372">
        <f>IF(E372="Outlook",COUNTIF($E$2:E372,"Outlook"),"")</f>
        <v/>
      </c>
      <c r="K372">
        <f>IF(E372="Domain",COUNTIF($E$2:E372,"Domain"),"")</f>
        <v/>
      </c>
    </row>
    <row r="373">
      <c r="A373" s="2" t="n"/>
      <c r="B373">
        <f>LOWER(TRIM(A373))</f>
        <v/>
      </c>
      <c r="C373">
        <f>IF(B373="","",IFERROR(INDEX('Bad Patterns'!$A$2:$A$120,MATCH(1,INDEX(--ISNUMBER(SEARCH('Bad Patterns'!$A$2:$A$120,B373)),0),0)),""))</f>
        <v/>
      </c>
      <c r="D373">
        <f>IF(B373="","",IF(C373&lt;&gt;"","REMOVE","KEEP"))</f>
        <v/>
      </c>
      <c r="E373">
        <f>IF(D373&lt;&gt;"KEEP","",IF(RIGHT(B373,10)="@gmail.com","Gmail",IF(OR(RIGHT(B373,12)="@outlook.com",RIGHT(B373,12)="@hotmail.com",RIGHT(B373,9)="@live.com"),"Outlook","Domain")))</f>
        <v/>
      </c>
      <c r="F373">
        <f>IF(B373="","",IFERROR(RIGHT(B373,LEN(B373)-FIND("@",B373)),""))</f>
        <v/>
      </c>
      <c r="G373">
        <f>IF(D373="KEEP",COUNTIF($D$2:D373,"KEEP"),"")</f>
        <v/>
      </c>
      <c r="H373">
        <f>IF(D373="REMOVE",COUNTIF($D$2:D373,"REMOVE"),"")</f>
        <v/>
      </c>
      <c r="I373">
        <f>IF(E373="Gmail",COUNTIF($E$2:E373,"Gmail"),"")</f>
        <v/>
      </c>
      <c r="J373">
        <f>IF(E373="Outlook",COUNTIF($E$2:E373,"Outlook"),"")</f>
        <v/>
      </c>
      <c r="K373">
        <f>IF(E373="Domain",COUNTIF($E$2:E373,"Domain"),"")</f>
        <v/>
      </c>
    </row>
    <row r="374">
      <c r="A374" s="2" t="n"/>
      <c r="B374">
        <f>LOWER(TRIM(A374))</f>
        <v/>
      </c>
      <c r="C374">
        <f>IF(B374="","",IFERROR(INDEX('Bad Patterns'!$A$2:$A$120,MATCH(1,INDEX(--ISNUMBER(SEARCH('Bad Patterns'!$A$2:$A$120,B374)),0),0)),""))</f>
        <v/>
      </c>
      <c r="D374">
        <f>IF(B374="","",IF(C374&lt;&gt;"","REMOVE","KEEP"))</f>
        <v/>
      </c>
      <c r="E374">
        <f>IF(D374&lt;&gt;"KEEP","",IF(RIGHT(B374,10)="@gmail.com","Gmail",IF(OR(RIGHT(B374,12)="@outlook.com",RIGHT(B374,12)="@hotmail.com",RIGHT(B374,9)="@live.com"),"Outlook","Domain")))</f>
        <v/>
      </c>
      <c r="F374">
        <f>IF(B374="","",IFERROR(RIGHT(B374,LEN(B374)-FIND("@",B374)),""))</f>
        <v/>
      </c>
      <c r="G374">
        <f>IF(D374="KEEP",COUNTIF($D$2:D374,"KEEP"),"")</f>
        <v/>
      </c>
      <c r="H374">
        <f>IF(D374="REMOVE",COUNTIF($D$2:D374,"REMOVE"),"")</f>
        <v/>
      </c>
      <c r="I374">
        <f>IF(E374="Gmail",COUNTIF($E$2:E374,"Gmail"),"")</f>
        <v/>
      </c>
      <c r="J374">
        <f>IF(E374="Outlook",COUNTIF($E$2:E374,"Outlook"),"")</f>
        <v/>
      </c>
      <c r="K374">
        <f>IF(E374="Domain",COUNTIF($E$2:E374,"Domain"),"")</f>
        <v/>
      </c>
    </row>
    <row r="375">
      <c r="A375" s="2" t="n"/>
      <c r="B375">
        <f>LOWER(TRIM(A375))</f>
        <v/>
      </c>
      <c r="C375">
        <f>IF(B375="","",IFERROR(INDEX('Bad Patterns'!$A$2:$A$120,MATCH(1,INDEX(--ISNUMBER(SEARCH('Bad Patterns'!$A$2:$A$120,B375)),0),0)),""))</f>
        <v/>
      </c>
      <c r="D375">
        <f>IF(B375="","",IF(C375&lt;&gt;"","REMOVE","KEEP"))</f>
        <v/>
      </c>
      <c r="E375">
        <f>IF(D375&lt;&gt;"KEEP","",IF(RIGHT(B375,10)="@gmail.com","Gmail",IF(OR(RIGHT(B375,12)="@outlook.com",RIGHT(B375,12)="@hotmail.com",RIGHT(B375,9)="@live.com"),"Outlook","Domain")))</f>
        <v/>
      </c>
      <c r="F375">
        <f>IF(B375="","",IFERROR(RIGHT(B375,LEN(B375)-FIND("@",B375)),""))</f>
        <v/>
      </c>
      <c r="G375">
        <f>IF(D375="KEEP",COUNTIF($D$2:D375,"KEEP"),"")</f>
        <v/>
      </c>
      <c r="H375">
        <f>IF(D375="REMOVE",COUNTIF($D$2:D375,"REMOVE"),"")</f>
        <v/>
      </c>
      <c r="I375">
        <f>IF(E375="Gmail",COUNTIF($E$2:E375,"Gmail"),"")</f>
        <v/>
      </c>
      <c r="J375">
        <f>IF(E375="Outlook",COUNTIF($E$2:E375,"Outlook"),"")</f>
        <v/>
      </c>
      <c r="K375">
        <f>IF(E375="Domain",COUNTIF($E$2:E375,"Domain"),"")</f>
        <v/>
      </c>
    </row>
    <row r="376">
      <c r="A376" s="2" t="n"/>
      <c r="B376">
        <f>LOWER(TRIM(A376))</f>
        <v/>
      </c>
      <c r="C376">
        <f>IF(B376="","",IFERROR(INDEX('Bad Patterns'!$A$2:$A$120,MATCH(1,INDEX(--ISNUMBER(SEARCH('Bad Patterns'!$A$2:$A$120,B376)),0),0)),""))</f>
        <v/>
      </c>
      <c r="D376">
        <f>IF(B376="","",IF(C376&lt;&gt;"","REMOVE","KEEP"))</f>
        <v/>
      </c>
      <c r="E376">
        <f>IF(D376&lt;&gt;"KEEP","",IF(RIGHT(B376,10)="@gmail.com","Gmail",IF(OR(RIGHT(B376,12)="@outlook.com",RIGHT(B376,12)="@hotmail.com",RIGHT(B376,9)="@live.com"),"Outlook","Domain")))</f>
        <v/>
      </c>
      <c r="F376">
        <f>IF(B376="","",IFERROR(RIGHT(B376,LEN(B376)-FIND("@",B376)),""))</f>
        <v/>
      </c>
      <c r="G376">
        <f>IF(D376="KEEP",COUNTIF($D$2:D376,"KEEP"),"")</f>
        <v/>
      </c>
      <c r="H376">
        <f>IF(D376="REMOVE",COUNTIF($D$2:D376,"REMOVE"),"")</f>
        <v/>
      </c>
      <c r="I376">
        <f>IF(E376="Gmail",COUNTIF($E$2:E376,"Gmail"),"")</f>
        <v/>
      </c>
      <c r="J376">
        <f>IF(E376="Outlook",COUNTIF($E$2:E376,"Outlook"),"")</f>
        <v/>
      </c>
      <c r="K376">
        <f>IF(E376="Domain",COUNTIF($E$2:E376,"Domain"),"")</f>
        <v/>
      </c>
    </row>
    <row r="377">
      <c r="A377" s="2" t="n"/>
      <c r="B377">
        <f>LOWER(TRIM(A377))</f>
        <v/>
      </c>
      <c r="C377">
        <f>IF(B377="","",IFERROR(INDEX('Bad Patterns'!$A$2:$A$120,MATCH(1,INDEX(--ISNUMBER(SEARCH('Bad Patterns'!$A$2:$A$120,B377)),0),0)),""))</f>
        <v/>
      </c>
      <c r="D377">
        <f>IF(B377="","",IF(C377&lt;&gt;"","REMOVE","KEEP"))</f>
        <v/>
      </c>
      <c r="E377">
        <f>IF(D377&lt;&gt;"KEEP","",IF(RIGHT(B377,10)="@gmail.com","Gmail",IF(OR(RIGHT(B377,12)="@outlook.com",RIGHT(B377,12)="@hotmail.com",RIGHT(B377,9)="@live.com"),"Outlook","Domain")))</f>
        <v/>
      </c>
      <c r="F377">
        <f>IF(B377="","",IFERROR(RIGHT(B377,LEN(B377)-FIND("@",B377)),""))</f>
        <v/>
      </c>
      <c r="G377">
        <f>IF(D377="KEEP",COUNTIF($D$2:D377,"KEEP"),"")</f>
        <v/>
      </c>
      <c r="H377">
        <f>IF(D377="REMOVE",COUNTIF($D$2:D377,"REMOVE"),"")</f>
        <v/>
      </c>
      <c r="I377">
        <f>IF(E377="Gmail",COUNTIF($E$2:E377,"Gmail"),"")</f>
        <v/>
      </c>
      <c r="J377">
        <f>IF(E377="Outlook",COUNTIF($E$2:E377,"Outlook"),"")</f>
        <v/>
      </c>
      <c r="K377">
        <f>IF(E377="Domain",COUNTIF($E$2:E377,"Domain"),"")</f>
        <v/>
      </c>
    </row>
    <row r="378">
      <c r="A378" s="2" t="n"/>
      <c r="B378">
        <f>LOWER(TRIM(A378))</f>
        <v/>
      </c>
      <c r="C378">
        <f>IF(B378="","",IFERROR(INDEX('Bad Patterns'!$A$2:$A$120,MATCH(1,INDEX(--ISNUMBER(SEARCH('Bad Patterns'!$A$2:$A$120,B378)),0),0)),""))</f>
        <v/>
      </c>
      <c r="D378">
        <f>IF(B378="","",IF(C378&lt;&gt;"","REMOVE","KEEP"))</f>
        <v/>
      </c>
      <c r="E378">
        <f>IF(D378&lt;&gt;"KEEP","",IF(RIGHT(B378,10)="@gmail.com","Gmail",IF(OR(RIGHT(B378,12)="@outlook.com",RIGHT(B378,12)="@hotmail.com",RIGHT(B378,9)="@live.com"),"Outlook","Domain")))</f>
        <v/>
      </c>
      <c r="F378">
        <f>IF(B378="","",IFERROR(RIGHT(B378,LEN(B378)-FIND("@",B378)),""))</f>
        <v/>
      </c>
      <c r="G378">
        <f>IF(D378="KEEP",COUNTIF($D$2:D378,"KEEP"),"")</f>
        <v/>
      </c>
      <c r="H378">
        <f>IF(D378="REMOVE",COUNTIF($D$2:D378,"REMOVE"),"")</f>
        <v/>
      </c>
      <c r="I378">
        <f>IF(E378="Gmail",COUNTIF($E$2:E378,"Gmail"),"")</f>
        <v/>
      </c>
      <c r="J378">
        <f>IF(E378="Outlook",COUNTIF($E$2:E378,"Outlook"),"")</f>
        <v/>
      </c>
      <c r="K378">
        <f>IF(E378="Domain",COUNTIF($E$2:E378,"Domain"),"")</f>
        <v/>
      </c>
    </row>
    <row r="379">
      <c r="A379" s="2" t="n"/>
      <c r="B379">
        <f>LOWER(TRIM(A379))</f>
        <v/>
      </c>
      <c r="C379">
        <f>IF(B379="","",IFERROR(INDEX('Bad Patterns'!$A$2:$A$120,MATCH(1,INDEX(--ISNUMBER(SEARCH('Bad Patterns'!$A$2:$A$120,B379)),0),0)),""))</f>
        <v/>
      </c>
      <c r="D379">
        <f>IF(B379="","",IF(C379&lt;&gt;"","REMOVE","KEEP"))</f>
        <v/>
      </c>
      <c r="E379">
        <f>IF(D379&lt;&gt;"KEEP","",IF(RIGHT(B379,10)="@gmail.com","Gmail",IF(OR(RIGHT(B379,12)="@outlook.com",RIGHT(B379,12)="@hotmail.com",RIGHT(B379,9)="@live.com"),"Outlook","Domain")))</f>
        <v/>
      </c>
      <c r="F379">
        <f>IF(B379="","",IFERROR(RIGHT(B379,LEN(B379)-FIND("@",B379)),""))</f>
        <v/>
      </c>
      <c r="G379">
        <f>IF(D379="KEEP",COUNTIF($D$2:D379,"KEEP"),"")</f>
        <v/>
      </c>
      <c r="H379">
        <f>IF(D379="REMOVE",COUNTIF($D$2:D379,"REMOVE"),"")</f>
        <v/>
      </c>
      <c r="I379">
        <f>IF(E379="Gmail",COUNTIF($E$2:E379,"Gmail"),"")</f>
        <v/>
      </c>
      <c r="J379">
        <f>IF(E379="Outlook",COUNTIF($E$2:E379,"Outlook"),"")</f>
        <v/>
      </c>
      <c r="K379">
        <f>IF(E379="Domain",COUNTIF($E$2:E379,"Domain"),"")</f>
        <v/>
      </c>
    </row>
    <row r="380">
      <c r="A380" s="2" t="n"/>
      <c r="B380">
        <f>LOWER(TRIM(A380))</f>
        <v/>
      </c>
      <c r="C380">
        <f>IF(B380="","",IFERROR(INDEX('Bad Patterns'!$A$2:$A$120,MATCH(1,INDEX(--ISNUMBER(SEARCH('Bad Patterns'!$A$2:$A$120,B380)),0),0)),""))</f>
        <v/>
      </c>
      <c r="D380">
        <f>IF(B380="","",IF(C380&lt;&gt;"","REMOVE","KEEP"))</f>
        <v/>
      </c>
      <c r="E380">
        <f>IF(D380&lt;&gt;"KEEP","",IF(RIGHT(B380,10)="@gmail.com","Gmail",IF(OR(RIGHT(B380,12)="@outlook.com",RIGHT(B380,12)="@hotmail.com",RIGHT(B380,9)="@live.com"),"Outlook","Domain")))</f>
        <v/>
      </c>
      <c r="F380">
        <f>IF(B380="","",IFERROR(RIGHT(B380,LEN(B380)-FIND("@",B380)),""))</f>
        <v/>
      </c>
      <c r="G380">
        <f>IF(D380="KEEP",COUNTIF($D$2:D380,"KEEP"),"")</f>
        <v/>
      </c>
      <c r="H380">
        <f>IF(D380="REMOVE",COUNTIF($D$2:D380,"REMOVE"),"")</f>
        <v/>
      </c>
      <c r="I380">
        <f>IF(E380="Gmail",COUNTIF($E$2:E380,"Gmail"),"")</f>
        <v/>
      </c>
      <c r="J380">
        <f>IF(E380="Outlook",COUNTIF($E$2:E380,"Outlook"),"")</f>
        <v/>
      </c>
      <c r="K380">
        <f>IF(E380="Domain",COUNTIF($E$2:E380,"Domain"),"")</f>
        <v/>
      </c>
    </row>
    <row r="381">
      <c r="A381" s="2" t="n"/>
      <c r="B381">
        <f>LOWER(TRIM(A381))</f>
        <v/>
      </c>
      <c r="C381">
        <f>IF(B381="","",IFERROR(INDEX('Bad Patterns'!$A$2:$A$120,MATCH(1,INDEX(--ISNUMBER(SEARCH('Bad Patterns'!$A$2:$A$120,B381)),0),0)),""))</f>
        <v/>
      </c>
      <c r="D381">
        <f>IF(B381="","",IF(C381&lt;&gt;"","REMOVE","KEEP"))</f>
        <v/>
      </c>
      <c r="E381">
        <f>IF(D381&lt;&gt;"KEEP","",IF(RIGHT(B381,10)="@gmail.com","Gmail",IF(OR(RIGHT(B381,12)="@outlook.com",RIGHT(B381,12)="@hotmail.com",RIGHT(B381,9)="@live.com"),"Outlook","Domain")))</f>
        <v/>
      </c>
      <c r="F381">
        <f>IF(B381="","",IFERROR(RIGHT(B381,LEN(B381)-FIND("@",B381)),""))</f>
        <v/>
      </c>
      <c r="G381">
        <f>IF(D381="KEEP",COUNTIF($D$2:D381,"KEEP"),"")</f>
        <v/>
      </c>
      <c r="H381">
        <f>IF(D381="REMOVE",COUNTIF($D$2:D381,"REMOVE"),"")</f>
        <v/>
      </c>
      <c r="I381">
        <f>IF(E381="Gmail",COUNTIF($E$2:E381,"Gmail"),"")</f>
        <v/>
      </c>
      <c r="J381">
        <f>IF(E381="Outlook",COUNTIF($E$2:E381,"Outlook"),"")</f>
        <v/>
      </c>
      <c r="K381">
        <f>IF(E381="Domain",COUNTIF($E$2:E381,"Domain"),"")</f>
        <v/>
      </c>
    </row>
    <row r="382">
      <c r="A382" s="2" t="n"/>
      <c r="B382">
        <f>LOWER(TRIM(A382))</f>
        <v/>
      </c>
      <c r="C382">
        <f>IF(B382="","",IFERROR(INDEX('Bad Patterns'!$A$2:$A$120,MATCH(1,INDEX(--ISNUMBER(SEARCH('Bad Patterns'!$A$2:$A$120,B382)),0),0)),""))</f>
        <v/>
      </c>
      <c r="D382">
        <f>IF(B382="","",IF(C382&lt;&gt;"","REMOVE","KEEP"))</f>
        <v/>
      </c>
      <c r="E382">
        <f>IF(D382&lt;&gt;"KEEP","",IF(RIGHT(B382,10)="@gmail.com","Gmail",IF(OR(RIGHT(B382,12)="@outlook.com",RIGHT(B382,12)="@hotmail.com",RIGHT(B382,9)="@live.com"),"Outlook","Domain")))</f>
        <v/>
      </c>
      <c r="F382">
        <f>IF(B382="","",IFERROR(RIGHT(B382,LEN(B382)-FIND("@",B382)),""))</f>
        <v/>
      </c>
      <c r="G382">
        <f>IF(D382="KEEP",COUNTIF($D$2:D382,"KEEP"),"")</f>
        <v/>
      </c>
      <c r="H382">
        <f>IF(D382="REMOVE",COUNTIF($D$2:D382,"REMOVE"),"")</f>
        <v/>
      </c>
      <c r="I382">
        <f>IF(E382="Gmail",COUNTIF($E$2:E382,"Gmail"),"")</f>
        <v/>
      </c>
      <c r="J382">
        <f>IF(E382="Outlook",COUNTIF($E$2:E382,"Outlook"),"")</f>
        <v/>
      </c>
      <c r="K382">
        <f>IF(E382="Domain",COUNTIF($E$2:E382,"Domain"),"")</f>
        <v/>
      </c>
    </row>
    <row r="383">
      <c r="A383" s="2" t="n"/>
      <c r="B383">
        <f>LOWER(TRIM(A383))</f>
        <v/>
      </c>
      <c r="C383">
        <f>IF(B383="","",IFERROR(INDEX('Bad Patterns'!$A$2:$A$120,MATCH(1,INDEX(--ISNUMBER(SEARCH('Bad Patterns'!$A$2:$A$120,B383)),0),0)),""))</f>
        <v/>
      </c>
      <c r="D383">
        <f>IF(B383="","",IF(C383&lt;&gt;"","REMOVE","KEEP"))</f>
        <v/>
      </c>
      <c r="E383">
        <f>IF(D383&lt;&gt;"KEEP","",IF(RIGHT(B383,10)="@gmail.com","Gmail",IF(OR(RIGHT(B383,12)="@outlook.com",RIGHT(B383,12)="@hotmail.com",RIGHT(B383,9)="@live.com"),"Outlook","Domain")))</f>
        <v/>
      </c>
      <c r="F383">
        <f>IF(B383="","",IFERROR(RIGHT(B383,LEN(B383)-FIND("@",B383)),""))</f>
        <v/>
      </c>
      <c r="G383">
        <f>IF(D383="KEEP",COUNTIF($D$2:D383,"KEEP"),"")</f>
        <v/>
      </c>
      <c r="H383">
        <f>IF(D383="REMOVE",COUNTIF($D$2:D383,"REMOVE"),"")</f>
        <v/>
      </c>
      <c r="I383">
        <f>IF(E383="Gmail",COUNTIF($E$2:E383,"Gmail"),"")</f>
        <v/>
      </c>
      <c r="J383">
        <f>IF(E383="Outlook",COUNTIF($E$2:E383,"Outlook"),"")</f>
        <v/>
      </c>
      <c r="K383">
        <f>IF(E383="Domain",COUNTIF($E$2:E383,"Domain"),"")</f>
        <v/>
      </c>
    </row>
    <row r="384">
      <c r="A384" s="2" t="n"/>
      <c r="B384">
        <f>LOWER(TRIM(A384))</f>
        <v/>
      </c>
      <c r="C384">
        <f>IF(B384="","",IFERROR(INDEX('Bad Patterns'!$A$2:$A$120,MATCH(1,INDEX(--ISNUMBER(SEARCH('Bad Patterns'!$A$2:$A$120,B384)),0),0)),""))</f>
        <v/>
      </c>
      <c r="D384">
        <f>IF(B384="","",IF(C384&lt;&gt;"","REMOVE","KEEP"))</f>
        <v/>
      </c>
      <c r="E384">
        <f>IF(D384&lt;&gt;"KEEP","",IF(RIGHT(B384,10)="@gmail.com","Gmail",IF(OR(RIGHT(B384,12)="@outlook.com",RIGHT(B384,12)="@hotmail.com",RIGHT(B384,9)="@live.com"),"Outlook","Domain")))</f>
        <v/>
      </c>
      <c r="F384">
        <f>IF(B384="","",IFERROR(RIGHT(B384,LEN(B384)-FIND("@",B384)),""))</f>
        <v/>
      </c>
      <c r="G384">
        <f>IF(D384="KEEP",COUNTIF($D$2:D384,"KEEP"),"")</f>
        <v/>
      </c>
      <c r="H384">
        <f>IF(D384="REMOVE",COUNTIF($D$2:D384,"REMOVE"),"")</f>
        <v/>
      </c>
      <c r="I384">
        <f>IF(E384="Gmail",COUNTIF($E$2:E384,"Gmail"),"")</f>
        <v/>
      </c>
      <c r="J384">
        <f>IF(E384="Outlook",COUNTIF($E$2:E384,"Outlook"),"")</f>
        <v/>
      </c>
      <c r="K384">
        <f>IF(E384="Domain",COUNTIF($E$2:E384,"Domain"),"")</f>
        <v/>
      </c>
    </row>
    <row r="385">
      <c r="A385" s="2" t="n"/>
      <c r="B385">
        <f>LOWER(TRIM(A385))</f>
        <v/>
      </c>
      <c r="C385">
        <f>IF(B385="","",IFERROR(INDEX('Bad Patterns'!$A$2:$A$120,MATCH(1,INDEX(--ISNUMBER(SEARCH('Bad Patterns'!$A$2:$A$120,B385)),0),0)),""))</f>
        <v/>
      </c>
      <c r="D385">
        <f>IF(B385="","",IF(C385&lt;&gt;"","REMOVE","KEEP"))</f>
        <v/>
      </c>
      <c r="E385">
        <f>IF(D385&lt;&gt;"KEEP","",IF(RIGHT(B385,10)="@gmail.com","Gmail",IF(OR(RIGHT(B385,12)="@outlook.com",RIGHT(B385,12)="@hotmail.com",RIGHT(B385,9)="@live.com"),"Outlook","Domain")))</f>
        <v/>
      </c>
      <c r="F385">
        <f>IF(B385="","",IFERROR(RIGHT(B385,LEN(B385)-FIND("@",B385)),""))</f>
        <v/>
      </c>
      <c r="G385">
        <f>IF(D385="KEEP",COUNTIF($D$2:D385,"KEEP"),"")</f>
        <v/>
      </c>
      <c r="H385">
        <f>IF(D385="REMOVE",COUNTIF($D$2:D385,"REMOVE"),"")</f>
        <v/>
      </c>
      <c r="I385">
        <f>IF(E385="Gmail",COUNTIF($E$2:E385,"Gmail"),"")</f>
        <v/>
      </c>
      <c r="J385">
        <f>IF(E385="Outlook",COUNTIF($E$2:E385,"Outlook"),"")</f>
        <v/>
      </c>
      <c r="K385">
        <f>IF(E385="Domain",COUNTIF($E$2:E385,"Domain"),"")</f>
        <v/>
      </c>
    </row>
    <row r="386">
      <c r="A386" s="2" t="n"/>
      <c r="B386">
        <f>LOWER(TRIM(A386))</f>
        <v/>
      </c>
      <c r="C386">
        <f>IF(B386="","",IFERROR(INDEX('Bad Patterns'!$A$2:$A$120,MATCH(1,INDEX(--ISNUMBER(SEARCH('Bad Patterns'!$A$2:$A$120,B386)),0),0)),""))</f>
        <v/>
      </c>
      <c r="D386">
        <f>IF(B386="","",IF(C386&lt;&gt;"","REMOVE","KEEP"))</f>
        <v/>
      </c>
      <c r="E386">
        <f>IF(D386&lt;&gt;"KEEP","",IF(RIGHT(B386,10)="@gmail.com","Gmail",IF(OR(RIGHT(B386,12)="@outlook.com",RIGHT(B386,12)="@hotmail.com",RIGHT(B386,9)="@live.com"),"Outlook","Domain")))</f>
        <v/>
      </c>
      <c r="F386">
        <f>IF(B386="","",IFERROR(RIGHT(B386,LEN(B386)-FIND("@",B386)),""))</f>
        <v/>
      </c>
      <c r="G386">
        <f>IF(D386="KEEP",COUNTIF($D$2:D386,"KEEP"),"")</f>
        <v/>
      </c>
      <c r="H386">
        <f>IF(D386="REMOVE",COUNTIF($D$2:D386,"REMOVE"),"")</f>
        <v/>
      </c>
      <c r="I386">
        <f>IF(E386="Gmail",COUNTIF($E$2:E386,"Gmail"),"")</f>
        <v/>
      </c>
      <c r="J386">
        <f>IF(E386="Outlook",COUNTIF($E$2:E386,"Outlook"),"")</f>
        <v/>
      </c>
      <c r="K386">
        <f>IF(E386="Domain",COUNTIF($E$2:E386,"Domain"),"")</f>
        <v/>
      </c>
    </row>
    <row r="387">
      <c r="A387" s="2" t="n"/>
      <c r="B387">
        <f>LOWER(TRIM(A387))</f>
        <v/>
      </c>
      <c r="C387">
        <f>IF(B387="","",IFERROR(INDEX('Bad Patterns'!$A$2:$A$120,MATCH(1,INDEX(--ISNUMBER(SEARCH('Bad Patterns'!$A$2:$A$120,B387)),0),0)),""))</f>
        <v/>
      </c>
      <c r="D387">
        <f>IF(B387="","",IF(C387&lt;&gt;"","REMOVE","KEEP"))</f>
        <v/>
      </c>
      <c r="E387">
        <f>IF(D387&lt;&gt;"KEEP","",IF(RIGHT(B387,10)="@gmail.com","Gmail",IF(OR(RIGHT(B387,12)="@outlook.com",RIGHT(B387,12)="@hotmail.com",RIGHT(B387,9)="@live.com"),"Outlook","Domain")))</f>
        <v/>
      </c>
      <c r="F387">
        <f>IF(B387="","",IFERROR(RIGHT(B387,LEN(B387)-FIND("@",B387)),""))</f>
        <v/>
      </c>
      <c r="G387">
        <f>IF(D387="KEEP",COUNTIF($D$2:D387,"KEEP"),"")</f>
        <v/>
      </c>
      <c r="H387">
        <f>IF(D387="REMOVE",COUNTIF($D$2:D387,"REMOVE"),"")</f>
        <v/>
      </c>
      <c r="I387">
        <f>IF(E387="Gmail",COUNTIF($E$2:E387,"Gmail"),"")</f>
        <v/>
      </c>
      <c r="J387">
        <f>IF(E387="Outlook",COUNTIF($E$2:E387,"Outlook"),"")</f>
        <v/>
      </c>
      <c r="K387">
        <f>IF(E387="Domain",COUNTIF($E$2:E387,"Domain"),"")</f>
        <v/>
      </c>
    </row>
    <row r="388">
      <c r="A388" s="2" t="n"/>
      <c r="B388">
        <f>LOWER(TRIM(A388))</f>
        <v/>
      </c>
      <c r="C388">
        <f>IF(B388="","",IFERROR(INDEX('Bad Patterns'!$A$2:$A$120,MATCH(1,INDEX(--ISNUMBER(SEARCH('Bad Patterns'!$A$2:$A$120,B388)),0),0)),""))</f>
        <v/>
      </c>
      <c r="D388">
        <f>IF(B388="","",IF(C388&lt;&gt;"","REMOVE","KEEP"))</f>
        <v/>
      </c>
      <c r="E388">
        <f>IF(D388&lt;&gt;"KEEP","",IF(RIGHT(B388,10)="@gmail.com","Gmail",IF(OR(RIGHT(B388,12)="@outlook.com",RIGHT(B388,12)="@hotmail.com",RIGHT(B388,9)="@live.com"),"Outlook","Domain")))</f>
        <v/>
      </c>
      <c r="F388">
        <f>IF(B388="","",IFERROR(RIGHT(B388,LEN(B388)-FIND("@",B388)),""))</f>
        <v/>
      </c>
      <c r="G388">
        <f>IF(D388="KEEP",COUNTIF($D$2:D388,"KEEP"),"")</f>
        <v/>
      </c>
      <c r="H388">
        <f>IF(D388="REMOVE",COUNTIF($D$2:D388,"REMOVE"),"")</f>
        <v/>
      </c>
      <c r="I388">
        <f>IF(E388="Gmail",COUNTIF($E$2:E388,"Gmail"),"")</f>
        <v/>
      </c>
      <c r="J388">
        <f>IF(E388="Outlook",COUNTIF($E$2:E388,"Outlook"),"")</f>
        <v/>
      </c>
      <c r="K388">
        <f>IF(E388="Domain",COUNTIF($E$2:E388,"Domain"),"")</f>
        <v/>
      </c>
    </row>
    <row r="389">
      <c r="A389" s="2" t="n"/>
      <c r="B389">
        <f>LOWER(TRIM(A389))</f>
        <v/>
      </c>
      <c r="C389">
        <f>IF(B389="","",IFERROR(INDEX('Bad Patterns'!$A$2:$A$120,MATCH(1,INDEX(--ISNUMBER(SEARCH('Bad Patterns'!$A$2:$A$120,B389)),0),0)),""))</f>
        <v/>
      </c>
      <c r="D389">
        <f>IF(B389="","",IF(C389&lt;&gt;"","REMOVE","KEEP"))</f>
        <v/>
      </c>
      <c r="E389">
        <f>IF(D389&lt;&gt;"KEEP","",IF(RIGHT(B389,10)="@gmail.com","Gmail",IF(OR(RIGHT(B389,12)="@outlook.com",RIGHT(B389,12)="@hotmail.com",RIGHT(B389,9)="@live.com"),"Outlook","Domain")))</f>
        <v/>
      </c>
      <c r="F389">
        <f>IF(B389="","",IFERROR(RIGHT(B389,LEN(B389)-FIND("@",B389)),""))</f>
        <v/>
      </c>
      <c r="G389">
        <f>IF(D389="KEEP",COUNTIF($D$2:D389,"KEEP"),"")</f>
        <v/>
      </c>
      <c r="H389">
        <f>IF(D389="REMOVE",COUNTIF($D$2:D389,"REMOVE"),"")</f>
        <v/>
      </c>
      <c r="I389">
        <f>IF(E389="Gmail",COUNTIF($E$2:E389,"Gmail"),"")</f>
        <v/>
      </c>
      <c r="J389">
        <f>IF(E389="Outlook",COUNTIF($E$2:E389,"Outlook"),"")</f>
        <v/>
      </c>
      <c r="K389">
        <f>IF(E389="Domain",COUNTIF($E$2:E389,"Domain"),"")</f>
        <v/>
      </c>
    </row>
    <row r="390">
      <c r="A390" s="2" t="n"/>
      <c r="B390">
        <f>LOWER(TRIM(A390))</f>
        <v/>
      </c>
      <c r="C390">
        <f>IF(B390="","",IFERROR(INDEX('Bad Patterns'!$A$2:$A$120,MATCH(1,INDEX(--ISNUMBER(SEARCH('Bad Patterns'!$A$2:$A$120,B390)),0),0)),""))</f>
        <v/>
      </c>
      <c r="D390">
        <f>IF(B390="","",IF(C390&lt;&gt;"","REMOVE","KEEP"))</f>
        <v/>
      </c>
      <c r="E390">
        <f>IF(D390&lt;&gt;"KEEP","",IF(RIGHT(B390,10)="@gmail.com","Gmail",IF(OR(RIGHT(B390,12)="@outlook.com",RIGHT(B390,12)="@hotmail.com",RIGHT(B390,9)="@live.com"),"Outlook","Domain")))</f>
        <v/>
      </c>
      <c r="F390">
        <f>IF(B390="","",IFERROR(RIGHT(B390,LEN(B390)-FIND("@",B390)),""))</f>
        <v/>
      </c>
      <c r="G390">
        <f>IF(D390="KEEP",COUNTIF($D$2:D390,"KEEP"),"")</f>
        <v/>
      </c>
      <c r="H390">
        <f>IF(D390="REMOVE",COUNTIF($D$2:D390,"REMOVE"),"")</f>
        <v/>
      </c>
      <c r="I390">
        <f>IF(E390="Gmail",COUNTIF($E$2:E390,"Gmail"),"")</f>
        <v/>
      </c>
      <c r="J390">
        <f>IF(E390="Outlook",COUNTIF($E$2:E390,"Outlook"),"")</f>
        <v/>
      </c>
      <c r="K390">
        <f>IF(E390="Domain",COUNTIF($E$2:E390,"Domain"),"")</f>
        <v/>
      </c>
    </row>
    <row r="391">
      <c r="A391" s="2" t="n"/>
      <c r="B391">
        <f>LOWER(TRIM(A391))</f>
        <v/>
      </c>
      <c r="C391">
        <f>IF(B391="","",IFERROR(INDEX('Bad Patterns'!$A$2:$A$120,MATCH(1,INDEX(--ISNUMBER(SEARCH('Bad Patterns'!$A$2:$A$120,B391)),0),0)),""))</f>
        <v/>
      </c>
      <c r="D391">
        <f>IF(B391="","",IF(C391&lt;&gt;"","REMOVE","KEEP"))</f>
        <v/>
      </c>
      <c r="E391">
        <f>IF(D391&lt;&gt;"KEEP","",IF(RIGHT(B391,10)="@gmail.com","Gmail",IF(OR(RIGHT(B391,12)="@outlook.com",RIGHT(B391,12)="@hotmail.com",RIGHT(B391,9)="@live.com"),"Outlook","Domain")))</f>
        <v/>
      </c>
      <c r="F391">
        <f>IF(B391="","",IFERROR(RIGHT(B391,LEN(B391)-FIND("@",B391)),""))</f>
        <v/>
      </c>
      <c r="G391">
        <f>IF(D391="KEEP",COUNTIF($D$2:D391,"KEEP"),"")</f>
        <v/>
      </c>
      <c r="H391">
        <f>IF(D391="REMOVE",COUNTIF($D$2:D391,"REMOVE"),"")</f>
        <v/>
      </c>
      <c r="I391">
        <f>IF(E391="Gmail",COUNTIF($E$2:E391,"Gmail"),"")</f>
        <v/>
      </c>
      <c r="J391">
        <f>IF(E391="Outlook",COUNTIF($E$2:E391,"Outlook"),"")</f>
        <v/>
      </c>
      <c r="K391">
        <f>IF(E391="Domain",COUNTIF($E$2:E391,"Domain"),"")</f>
        <v/>
      </c>
    </row>
    <row r="392">
      <c r="A392" s="2" t="n"/>
      <c r="B392">
        <f>LOWER(TRIM(A392))</f>
        <v/>
      </c>
      <c r="C392">
        <f>IF(B392="","",IFERROR(INDEX('Bad Patterns'!$A$2:$A$120,MATCH(1,INDEX(--ISNUMBER(SEARCH('Bad Patterns'!$A$2:$A$120,B392)),0),0)),""))</f>
        <v/>
      </c>
      <c r="D392">
        <f>IF(B392="","",IF(C392&lt;&gt;"","REMOVE","KEEP"))</f>
        <v/>
      </c>
      <c r="E392">
        <f>IF(D392&lt;&gt;"KEEP","",IF(RIGHT(B392,10)="@gmail.com","Gmail",IF(OR(RIGHT(B392,12)="@outlook.com",RIGHT(B392,12)="@hotmail.com",RIGHT(B392,9)="@live.com"),"Outlook","Domain")))</f>
        <v/>
      </c>
      <c r="F392">
        <f>IF(B392="","",IFERROR(RIGHT(B392,LEN(B392)-FIND("@",B392)),""))</f>
        <v/>
      </c>
      <c r="G392">
        <f>IF(D392="KEEP",COUNTIF($D$2:D392,"KEEP"),"")</f>
        <v/>
      </c>
      <c r="H392">
        <f>IF(D392="REMOVE",COUNTIF($D$2:D392,"REMOVE"),"")</f>
        <v/>
      </c>
      <c r="I392">
        <f>IF(E392="Gmail",COUNTIF($E$2:E392,"Gmail"),"")</f>
        <v/>
      </c>
      <c r="J392">
        <f>IF(E392="Outlook",COUNTIF($E$2:E392,"Outlook"),"")</f>
        <v/>
      </c>
      <c r="K392">
        <f>IF(E392="Domain",COUNTIF($E$2:E392,"Domain"),"")</f>
        <v/>
      </c>
    </row>
    <row r="393">
      <c r="A393" s="2" t="n"/>
      <c r="B393">
        <f>LOWER(TRIM(A393))</f>
        <v/>
      </c>
      <c r="C393">
        <f>IF(B393="","",IFERROR(INDEX('Bad Patterns'!$A$2:$A$120,MATCH(1,INDEX(--ISNUMBER(SEARCH('Bad Patterns'!$A$2:$A$120,B393)),0),0)),""))</f>
        <v/>
      </c>
      <c r="D393">
        <f>IF(B393="","",IF(C393&lt;&gt;"","REMOVE","KEEP"))</f>
        <v/>
      </c>
      <c r="E393">
        <f>IF(D393&lt;&gt;"KEEP","",IF(RIGHT(B393,10)="@gmail.com","Gmail",IF(OR(RIGHT(B393,12)="@outlook.com",RIGHT(B393,12)="@hotmail.com",RIGHT(B393,9)="@live.com"),"Outlook","Domain")))</f>
        <v/>
      </c>
      <c r="F393">
        <f>IF(B393="","",IFERROR(RIGHT(B393,LEN(B393)-FIND("@",B393)),""))</f>
        <v/>
      </c>
      <c r="G393">
        <f>IF(D393="KEEP",COUNTIF($D$2:D393,"KEEP"),"")</f>
        <v/>
      </c>
      <c r="H393">
        <f>IF(D393="REMOVE",COUNTIF($D$2:D393,"REMOVE"),"")</f>
        <v/>
      </c>
      <c r="I393">
        <f>IF(E393="Gmail",COUNTIF($E$2:E393,"Gmail"),"")</f>
        <v/>
      </c>
      <c r="J393">
        <f>IF(E393="Outlook",COUNTIF($E$2:E393,"Outlook"),"")</f>
        <v/>
      </c>
      <c r="K393">
        <f>IF(E393="Domain",COUNTIF($E$2:E393,"Domain"),"")</f>
        <v/>
      </c>
    </row>
    <row r="394">
      <c r="A394" s="2" t="n"/>
      <c r="B394">
        <f>LOWER(TRIM(A394))</f>
        <v/>
      </c>
      <c r="C394">
        <f>IF(B394="","",IFERROR(INDEX('Bad Patterns'!$A$2:$A$120,MATCH(1,INDEX(--ISNUMBER(SEARCH('Bad Patterns'!$A$2:$A$120,B394)),0),0)),""))</f>
        <v/>
      </c>
      <c r="D394">
        <f>IF(B394="","",IF(C394&lt;&gt;"","REMOVE","KEEP"))</f>
        <v/>
      </c>
      <c r="E394">
        <f>IF(D394&lt;&gt;"KEEP","",IF(RIGHT(B394,10)="@gmail.com","Gmail",IF(OR(RIGHT(B394,12)="@outlook.com",RIGHT(B394,12)="@hotmail.com",RIGHT(B394,9)="@live.com"),"Outlook","Domain")))</f>
        <v/>
      </c>
      <c r="F394">
        <f>IF(B394="","",IFERROR(RIGHT(B394,LEN(B394)-FIND("@",B394)),""))</f>
        <v/>
      </c>
      <c r="G394">
        <f>IF(D394="KEEP",COUNTIF($D$2:D394,"KEEP"),"")</f>
        <v/>
      </c>
      <c r="H394">
        <f>IF(D394="REMOVE",COUNTIF($D$2:D394,"REMOVE"),"")</f>
        <v/>
      </c>
      <c r="I394">
        <f>IF(E394="Gmail",COUNTIF($E$2:E394,"Gmail"),"")</f>
        <v/>
      </c>
      <c r="J394">
        <f>IF(E394="Outlook",COUNTIF($E$2:E394,"Outlook"),"")</f>
        <v/>
      </c>
      <c r="K394">
        <f>IF(E394="Domain",COUNTIF($E$2:E394,"Domain"),"")</f>
        <v/>
      </c>
    </row>
    <row r="395">
      <c r="A395" s="2" t="n"/>
      <c r="B395">
        <f>LOWER(TRIM(A395))</f>
        <v/>
      </c>
      <c r="C395">
        <f>IF(B395="","",IFERROR(INDEX('Bad Patterns'!$A$2:$A$120,MATCH(1,INDEX(--ISNUMBER(SEARCH('Bad Patterns'!$A$2:$A$120,B395)),0),0)),""))</f>
        <v/>
      </c>
      <c r="D395">
        <f>IF(B395="","",IF(C395&lt;&gt;"","REMOVE","KEEP"))</f>
        <v/>
      </c>
      <c r="E395">
        <f>IF(D395&lt;&gt;"KEEP","",IF(RIGHT(B395,10)="@gmail.com","Gmail",IF(OR(RIGHT(B395,12)="@outlook.com",RIGHT(B395,12)="@hotmail.com",RIGHT(B395,9)="@live.com"),"Outlook","Domain")))</f>
        <v/>
      </c>
      <c r="F395">
        <f>IF(B395="","",IFERROR(RIGHT(B395,LEN(B395)-FIND("@",B395)),""))</f>
        <v/>
      </c>
      <c r="G395">
        <f>IF(D395="KEEP",COUNTIF($D$2:D395,"KEEP"),"")</f>
        <v/>
      </c>
      <c r="H395">
        <f>IF(D395="REMOVE",COUNTIF($D$2:D395,"REMOVE"),"")</f>
        <v/>
      </c>
      <c r="I395">
        <f>IF(E395="Gmail",COUNTIF($E$2:E395,"Gmail"),"")</f>
        <v/>
      </c>
      <c r="J395">
        <f>IF(E395="Outlook",COUNTIF($E$2:E395,"Outlook"),"")</f>
        <v/>
      </c>
      <c r="K395">
        <f>IF(E395="Domain",COUNTIF($E$2:E395,"Domain"),"")</f>
        <v/>
      </c>
    </row>
    <row r="396">
      <c r="A396" s="2" t="n"/>
      <c r="B396">
        <f>LOWER(TRIM(A396))</f>
        <v/>
      </c>
      <c r="C396">
        <f>IF(B396="","",IFERROR(INDEX('Bad Patterns'!$A$2:$A$120,MATCH(1,INDEX(--ISNUMBER(SEARCH('Bad Patterns'!$A$2:$A$120,B396)),0),0)),""))</f>
        <v/>
      </c>
      <c r="D396">
        <f>IF(B396="","",IF(C396&lt;&gt;"","REMOVE","KEEP"))</f>
        <v/>
      </c>
      <c r="E396">
        <f>IF(D396&lt;&gt;"KEEP","",IF(RIGHT(B396,10)="@gmail.com","Gmail",IF(OR(RIGHT(B396,12)="@outlook.com",RIGHT(B396,12)="@hotmail.com",RIGHT(B396,9)="@live.com"),"Outlook","Domain")))</f>
        <v/>
      </c>
      <c r="F396">
        <f>IF(B396="","",IFERROR(RIGHT(B396,LEN(B396)-FIND("@",B396)),""))</f>
        <v/>
      </c>
      <c r="G396">
        <f>IF(D396="KEEP",COUNTIF($D$2:D396,"KEEP"),"")</f>
        <v/>
      </c>
      <c r="H396">
        <f>IF(D396="REMOVE",COUNTIF($D$2:D396,"REMOVE"),"")</f>
        <v/>
      </c>
      <c r="I396">
        <f>IF(E396="Gmail",COUNTIF($E$2:E396,"Gmail"),"")</f>
        <v/>
      </c>
      <c r="J396">
        <f>IF(E396="Outlook",COUNTIF($E$2:E396,"Outlook"),"")</f>
        <v/>
      </c>
      <c r="K396">
        <f>IF(E396="Domain",COUNTIF($E$2:E396,"Domain"),"")</f>
        <v/>
      </c>
    </row>
    <row r="397">
      <c r="A397" s="2" t="n"/>
      <c r="B397">
        <f>LOWER(TRIM(A397))</f>
        <v/>
      </c>
      <c r="C397">
        <f>IF(B397="","",IFERROR(INDEX('Bad Patterns'!$A$2:$A$120,MATCH(1,INDEX(--ISNUMBER(SEARCH('Bad Patterns'!$A$2:$A$120,B397)),0),0)),""))</f>
        <v/>
      </c>
      <c r="D397">
        <f>IF(B397="","",IF(C397&lt;&gt;"","REMOVE","KEEP"))</f>
        <v/>
      </c>
      <c r="E397">
        <f>IF(D397&lt;&gt;"KEEP","",IF(RIGHT(B397,10)="@gmail.com","Gmail",IF(OR(RIGHT(B397,12)="@outlook.com",RIGHT(B397,12)="@hotmail.com",RIGHT(B397,9)="@live.com"),"Outlook","Domain")))</f>
        <v/>
      </c>
      <c r="F397">
        <f>IF(B397="","",IFERROR(RIGHT(B397,LEN(B397)-FIND("@",B397)),""))</f>
        <v/>
      </c>
      <c r="G397">
        <f>IF(D397="KEEP",COUNTIF($D$2:D397,"KEEP"),"")</f>
        <v/>
      </c>
      <c r="H397">
        <f>IF(D397="REMOVE",COUNTIF($D$2:D397,"REMOVE"),"")</f>
        <v/>
      </c>
      <c r="I397">
        <f>IF(E397="Gmail",COUNTIF($E$2:E397,"Gmail"),"")</f>
        <v/>
      </c>
      <c r="J397">
        <f>IF(E397="Outlook",COUNTIF($E$2:E397,"Outlook"),"")</f>
        <v/>
      </c>
      <c r="K397">
        <f>IF(E397="Domain",COUNTIF($E$2:E397,"Domain"),"")</f>
        <v/>
      </c>
    </row>
    <row r="398">
      <c r="A398" s="2" t="n"/>
      <c r="B398">
        <f>LOWER(TRIM(A398))</f>
        <v/>
      </c>
      <c r="C398">
        <f>IF(B398="","",IFERROR(INDEX('Bad Patterns'!$A$2:$A$120,MATCH(1,INDEX(--ISNUMBER(SEARCH('Bad Patterns'!$A$2:$A$120,B398)),0),0)),""))</f>
        <v/>
      </c>
      <c r="D398">
        <f>IF(B398="","",IF(C398&lt;&gt;"","REMOVE","KEEP"))</f>
        <v/>
      </c>
      <c r="E398">
        <f>IF(D398&lt;&gt;"KEEP","",IF(RIGHT(B398,10)="@gmail.com","Gmail",IF(OR(RIGHT(B398,12)="@outlook.com",RIGHT(B398,12)="@hotmail.com",RIGHT(B398,9)="@live.com"),"Outlook","Domain")))</f>
        <v/>
      </c>
      <c r="F398">
        <f>IF(B398="","",IFERROR(RIGHT(B398,LEN(B398)-FIND("@",B398)),""))</f>
        <v/>
      </c>
      <c r="G398">
        <f>IF(D398="KEEP",COUNTIF($D$2:D398,"KEEP"),"")</f>
        <v/>
      </c>
      <c r="H398">
        <f>IF(D398="REMOVE",COUNTIF($D$2:D398,"REMOVE"),"")</f>
        <v/>
      </c>
      <c r="I398">
        <f>IF(E398="Gmail",COUNTIF($E$2:E398,"Gmail"),"")</f>
        <v/>
      </c>
      <c r="J398">
        <f>IF(E398="Outlook",COUNTIF($E$2:E398,"Outlook"),"")</f>
        <v/>
      </c>
      <c r="K398">
        <f>IF(E398="Domain",COUNTIF($E$2:E398,"Domain"),"")</f>
        <v/>
      </c>
    </row>
    <row r="399">
      <c r="A399" s="2" t="n"/>
      <c r="B399">
        <f>LOWER(TRIM(A399))</f>
        <v/>
      </c>
      <c r="C399">
        <f>IF(B399="","",IFERROR(INDEX('Bad Patterns'!$A$2:$A$120,MATCH(1,INDEX(--ISNUMBER(SEARCH('Bad Patterns'!$A$2:$A$120,B399)),0),0)),""))</f>
        <v/>
      </c>
      <c r="D399">
        <f>IF(B399="","",IF(C399&lt;&gt;"","REMOVE","KEEP"))</f>
        <v/>
      </c>
      <c r="E399">
        <f>IF(D399&lt;&gt;"KEEP","",IF(RIGHT(B399,10)="@gmail.com","Gmail",IF(OR(RIGHT(B399,12)="@outlook.com",RIGHT(B399,12)="@hotmail.com",RIGHT(B399,9)="@live.com"),"Outlook","Domain")))</f>
        <v/>
      </c>
      <c r="F399">
        <f>IF(B399="","",IFERROR(RIGHT(B399,LEN(B399)-FIND("@",B399)),""))</f>
        <v/>
      </c>
      <c r="G399">
        <f>IF(D399="KEEP",COUNTIF($D$2:D399,"KEEP"),"")</f>
        <v/>
      </c>
      <c r="H399">
        <f>IF(D399="REMOVE",COUNTIF($D$2:D399,"REMOVE"),"")</f>
        <v/>
      </c>
      <c r="I399">
        <f>IF(E399="Gmail",COUNTIF($E$2:E399,"Gmail"),"")</f>
        <v/>
      </c>
      <c r="J399">
        <f>IF(E399="Outlook",COUNTIF($E$2:E399,"Outlook"),"")</f>
        <v/>
      </c>
      <c r="K399">
        <f>IF(E399="Domain",COUNTIF($E$2:E399,"Domain"),"")</f>
        <v/>
      </c>
    </row>
    <row r="400">
      <c r="A400" s="2" t="n"/>
      <c r="B400">
        <f>LOWER(TRIM(A400))</f>
        <v/>
      </c>
      <c r="C400">
        <f>IF(B400="","",IFERROR(INDEX('Bad Patterns'!$A$2:$A$120,MATCH(1,INDEX(--ISNUMBER(SEARCH('Bad Patterns'!$A$2:$A$120,B400)),0),0)),""))</f>
        <v/>
      </c>
      <c r="D400">
        <f>IF(B400="","",IF(C400&lt;&gt;"","REMOVE","KEEP"))</f>
        <v/>
      </c>
      <c r="E400">
        <f>IF(D400&lt;&gt;"KEEP","",IF(RIGHT(B400,10)="@gmail.com","Gmail",IF(OR(RIGHT(B400,12)="@outlook.com",RIGHT(B400,12)="@hotmail.com",RIGHT(B400,9)="@live.com"),"Outlook","Domain")))</f>
        <v/>
      </c>
      <c r="F400">
        <f>IF(B400="","",IFERROR(RIGHT(B400,LEN(B400)-FIND("@",B400)),""))</f>
        <v/>
      </c>
      <c r="G400">
        <f>IF(D400="KEEP",COUNTIF($D$2:D400,"KEEP"),"")</f>
        <v/>
      </c>
      <c r="H400">
        <f>IF(D400="REMOVE",COUNTIF($D$2:D400,"REMOVE"),"")</f>
        <v/>
      </c>
      <c r="I400">
        <f>IF(E400="Gmail",COUNTIF($E$2:E400,"Gmail"),"")</f>
        <v/>
      </c>
      <c r="J400">
        <f>IF(E400="Outlook",COUNTIF($E$2:E400,"Outlook"),"")</f>
        <v/>
      </c>
      <c r="K400">
        <f>IF(E400="Domain",COUNTIF($E$2:E400,"Domain"),"")</f>
        <v/>
      </c>
    </row>
    <row r="401">
      <c r="A401" s="2" t="n"/>
      <c r="B401">
        <f>LOWER(TRIM(A401))</f>
        <v/>
      </c>
      <c r="C401">
        <f>IF(B401="","",IFERROR(INDEX('Bad Patterns'!$A$2:$A$120,MATCH(1,INDEX(--ISNUMBER(SEARCH('Bad Patterns'!$A$2:$A$120,B401)),0),0)),""))</f>
        <v/>
      </c>
      <c r="D401">
        <f>IF(B401="","",IF(C401&lt;&gt;"","REMOVE","KEEP"))</f>
        <v/>
      </c>
      <c r="E401">
        <f>IF(D401&lt;&gt;"KEEP","",IF(RIGHT(B401,10)="@gmail.com","Gmail",IF(OR(RIGHT(B401,12)="@outlook.com",RIGHT(B401,12)="@hotmail.com",RIGHT(B401,9)="@live.com"),"Outlook","Domain")))</f>
        <v/>
      </c>
      <c r="F401">
        <f>IF(B401="","",IFERROR(RIGHT(B401,LEN(B401)-FIND("@",B401)),""))</f>
        <v/>
      </c>
      <c r="G401">
        <f>IF(D401="KEEP",COUNTIF($D$2:D401,"KEEP"),"")</f>
        <v/>
      </c>
      <c r="H401">
        <f>IF(D401="REMOVE",COUNTIF($D$2:D401,"REMOVE"),"")</f>
        <v/>
      </c>
      <c r="I401">
        <f>IF(E401="Gmail",COUNTIF($E$2:E401,"Gmail"),"")</f>
        <v/>
      </c>
      <c r="J401">
        <f>IF(E401="Outlook",COUNTIF($E$2:E401,"Outlook"),"")</f>
        <v/>
      </c>
      <c r="K401">
        <f>IF(E401="Domain",COUNTIF($E$2:E401,"Domain"),"")</f>
        <v/>
      </c>
    </row>
    <row r="402">
      <c r="A402" s="2" t="n"/>
      <c r="B402">
        <f>LOWER(TRIM(A402))</f>
        <v/>
      </c>
      <c r="C402">
        <f>IF(B402="","",IFERROR(INDEX('Bad Patterns'!$A$2:$A$120,MATCH(1,INDEX(--ISNUMBER(SEARCH('Bad Patterns'!$A$2:$A$120,B402)),0),0)),""))</f>
        <v/>
      </c>
      <c r="D402">
        <f>IF(B402="","",IF(C402&lt;&gt;"","REMOVE","KEEP"))</f>
        <v/>
      </c>
      <c r="E402">
        <f>IF(D402&lt;&gt;"KEEP","",IF(RIGHT(B402,10)="@gmail.com","Gmail",IF(OR(RIGHT(B402,12)="@outlook.com",RIGHT(B402,12)="@hotmail.com",RIGHT(B402,9)="@live.com"),"Outlook","Domain")))</f>
        <v/>
      </c>
      <c r="F402">
        <f>IF(B402="","",IFERROR(RIGHT(B402,LEN(B402)-FIND("@",B402)),""))</f>
        <v/>
      </c>
      <c r="G402">
        <f>IF(D402="KEEP",COUNTIF($D$2:D402,"KEEP"),"")</f>
        <v/>
      </c>
      <c r="H402">
        <f>IF(D402="REMOVE",COUNTIF($D$2:D402,"REMOVE"),"")</f>
        <v/>
      </c>
      <c r="I402">
        <f>IF(E402="Gmail",COUNTIF($E$2:E402,"Gmail"),"")</f>
        <v/>
      </c>
      <c r="J402">
        <f>IF(E402="Outlook",COUNTIF($E$2:E402,"Outlook"),"")</f>
        <v/>
      </c>
      <c r="K402">
        <f>IF(E402="Domain",COUNTIF($E$2:E402,"Domain"),"")</f>
        <v/>
      </c>
    </row>
    <row r="403">
      <c r="A403" s="2" t="n"/>
      <c r="B403">
        <f>LOWER(TRIM(A403))</f>
        <v/>
      </c>
      <c r="C403">
        <f>IF(B403="","",IFERROR(INDEX('Bad Patterns'!$A$2:$A$120,MATCH(1,INDEX(--ISNUMBER(SEARCH('Bad Patterns'!$A$2:$A$120,B403)),0),0)),""))</f>
        <v/>
      </c>
      <c r="D403">
        <f>IF(B403="","",IF(C403&lt;&gt;"","REMOVE","KEEP"))</f>
        <v/>
      </c>
      <c r="E403">
        <f>IF(D403&lt;&gt;"KEEP","",IF(RIGHT(B403,10)="@gmail.com","Gmail",IF(OR(RIGHT(B403,12)="@outlook.com",RIGHT(B403,12)="@hotmail.com",RIGHT(B403,9)="@live.com"),"Outlook","Domain")))</f>
        <v/>
      </c>
      <c r="F403">
        <f>IF(B403="","",IFERROR(RIGHT(B403,LEN(B403)-FIND("@",B403)),""))</f>
        <v/>
      </c>
      <c r="G403">
        <f>IF(D403="KEEP",COUNTIF($D$2:D403,"KEEP"),"")</f>
        <v/>
      </c>
      <c r="H403">
        <f>IF(D403="REMOVE",COUNTIF($D$2:D403,"REMOVE"),"")</f>
        <v/>
      </c>
      <c r="I403">
        <f>IF(E403="Gmail",COUNTIF($E$2:E403,"Gmail"),"")</f>
        <v/>
      </c>
      <c r="J403">
        <f>IF(E403="Outlook",COUNTIF($E$2:E403,"Outlook"),"")</f>
        <v/>
      </c>
      <c r="K403">
        <f>IF(E403="Domain",COUNTIF($E$2:E403,"Domain"),"")</f>
        <v/>
      </c>
    </row>
    <row r="404">
      <c r="A404" s="2" t="n"/>
      <c r="B404">
        <f>LOWER(TRIM(A404))</f>
        <v/>
      </c>
      <c r="C404">
        <f>IF(B404="","",IFERROR(INDEX('Bad Patterns'!$A$2:$A$120,MATCH(1,INDEX(--ISNUMBER(SEARCH('Bad Patterns'!$A$2:$A$120,B404)),0),0)),""))</f>
        <v/>
      </c>
      <c r="D404">
        <f>IF(B404="","",IF(C404&lt;&gt;"","REMOVE","KEEP"))</f>
        <v/>
      </c>
      <c r="E404">
        <f>IF(D404&lt;&gt;"KEEP","",IF(RIGHT(B404,10)="@gmail.com","Gmail",IF(OR(RIGHT(B404,12)="@outlook.com",RIGHT(B404,12)="@hotmail.com",RIGHT(B404,9)="@live.com"),"Outlook","Domain")))</f>
        <v/>
      </c>
      <c r="F404">
        <f>IF(B404="","",IFERROR(RIGHT(B404,LEN(B404)-FIND("@",B404)),""))</f>
        <v/>
      </c>
      <c r="G404">
        <f>IF(D404="KEEP",COUNTIF($D$2:D404,"KEEP"),"")</f>
        <v/>
      </c>
      <c r="H404">
        <f>IF(D404="REMOVE",COUNTIF($D$2:D404,"REMOVE"),"")</f>
        <v/>
      </c>
      <c r="I404">
        <f>IF(E404="Gmail",COUNTIF($E$2:E404,"Gmail"),"")</f>
        <v/>
      </c>
      <c r="J404">
        <f>IF(E404="Outlook",COUNTIF($E$2:E404,"Outlook"),"")</f>
        <v/>
      </c>
      <c r="K404">
        <f>IF(E404="Domain",COUNTIF($E$2:E404,"Domain"),"")</f>
        <v/>
      </c>
    </row>
    <row r="405">
      <c r="A405" s="2" t="n"/>
      <c r="B405">
        <f>LOWER(TRIM(A405))</f>
        <v/>
      </c>
      <c r="C405">
        <f>IF(B405="","",IFERROR(INDEX('Bad Patterns'!$A$2:$A$120,MATCH(1,INDEX(--ISNUMBER(SEARCH('Bad Patterns'!$A$2:$A$120,B405)),0),0)),""))</f>
        <v/>
      </c>
      <c r="D405">
        <f>IF(B405="","",IF(C405&lt;&gt;"","REMOVE","KEEP"))</f>
        <v/>
      </c>
      <c r="E405">
        <f>IF(D405&lt;&gt;"KEEP","",IF(RIGHT(B405,10)="@gmail.com","Gmail",IF(OR(RIGHT(B405,12)="@outlook.com",RIGHT(B405,12)="@hotmail.com",RIGHT(B405,9)="@live.com"),"Outlook","Domain")))</f>
        <v/>
      </c>
      <c r="F405">
        <f>IF(B405="","",IFERROR(RIGHT(B405,LEN(B405)-FIND("@",B405)),""))</f>
        <v/>
      </c>
      <c r="G405">
        <f>IF(D405="KEEP",COUNTIF($D$2:D405,"KEEP"),"")</f>
        <v/>
      </c>
      <c r="H405">
        <f>IF(D405="REMOVE",COUNTIF($D$2:D405,"REMOVE"),"")</f>
        <v/>
      </c>
      <c r="I405">
        <f>IF(E405="Gmail",COUNTIF($E$2:E405,"Gmail"),"")</f>
        <v/>
      </c>
      <c r="J405">
        <f>IF(E405="Outlook",COUNTIF($E$2:E405,"Outlook"),"")</f>
        <v/>
      </c>
      <c r="K405">
        <f>IF(E405="Domain",COUNTIF($E$2:E405,"Domain"),"")</f>
        <v/>
      </c>
    </row>
    <row r="406">
      <c r="A406" s="2" t="n"/>
      <c r="B406">
        <f>LOWER(TRIM(A406))</f>
        <v/>
      </c>
      <c r="C406">
        <f>IF(B406="","",IFERROR(INDEX('Bad Patterns'!$A$2:$A$120,MATCH(1,INDEX(--ISNUMBER(SEARCH('Bad Patterns'!$A$2:$A$120,B406)),0),0)),""))</f>
        <v/>
      </c>
      <c r="D406">
        <f>IF(B406="","",IF(C406&lt;&gt;"","REMOVE","KEEP"))</f>
        <v/>
      </c>
      <c r="E406">
        <f>IF(D406&lt;&gt;"KEEP","",IF(RIGHT(B406,10)="@gmail.com","Gmail",IF(OR(RIGHT(B406,12)="@outlook.com",RIGHT(B406,12)="@hotmail.com",RIGHT(B406,9)="@live.com"),"Outlook","Domain")))</f>
        <v/>
      </c>
      <c r="F406">
        <f>IF(B406="","",IFERROR(RIGHT(B406,LEN(B406)-FIND("@",B406)),""))</f>
        <v/>
      </c>
      <c r="G406">
        <f>IF(D406="KEEP",COUNTIF($D$2:D406,"KEEP"),"")</f>
        <v/>
      </c>
      <c r="H406">
        <f>IF(D406="REMOVE",COUNTIF($D$2:D406,"REMOVE"),"")</f>
        <v/>
      </c>
      <c r="I406">
        <f>IF(E406="Gmail",COUNTIF($E$2:E406,"Gmail"),"")</f>
        <v/>
      </c>
      <c r="J406">
        <f>IF(E406="Outlook",COUNTIF($E$2:E406,"Outlook"),"")</f>
        <v/>
      </c>
      <c r="K406">
        <f>IF(E406="Domain",COUNTIF($E$2:E406,"Domain"),"")</f>
        <v/>
      </c>
    </row>
    <row r="407">
      <c r="A407" s="2" t="n"/>
      <c r="B407">
        <f>LOWER(TRIM(A407))</f>
        <v/>
      </c>
      <c r="C407">
        <f>IF(B407="","",IFERROR(INDEX('Bad Patterns'!$A$2:$A$120,MATCH(1,INDEX(--ISNUMBER(SEARCH('Bad Patterns'!$A$2:$A$120,B407)),0),0)),""))</f>
        <v/>
      </c>
      <c r="D407">
        <f>IF(B407="","",IF(C407&lt;&gt;"","REMOVE","KEEP"))</f>
        <v/>
      </c>
      <c r="E407">
        <f>IF(D407&lt;&gt;"KEEP","",IF(RIGHT(B407,10)="@gmail.com","Gmail",IF(OR(RIGHT(B407,12)="@outlook.com",RIGHT(B407,12)="@hotmail.com",RIGHT(B407,9)="@live.com"),"Outlook","Domain")))</f>
        <v/>
      </c>
      <c r="F407">
        <f>IF(B407="","",IFERROR(RIGHT(B407,LEN(B407)-FIND("@",B407)),""))</f>
        <v/>
      </c>
      <c r="G407">
        <f>IF(D407="KEEP",COUNTIF($D$2:D407,"KEEP"),"")</f>
        <v/>
      </c>
      <c r="H407">
        <f>IF(D407="REMOVE",COUNTIF($D$2:D407,"REMOVE"),"")</f>
        <v/>
      </c>
      <c r="I407">
        <f>IF(E407="Gmail",COUNTIF($E$2:E407,"Gmail"),"")</f>
        <v/>
      </c>
      <c r="J407">
        <f>IF(E407="Outlook",COUNTIF($E$2:E407,"Outlook"),"")</f>
        <v/>
      </c>
      <c r="K407">
        <f>IF(E407="Domain",COUNTIF($E$2:E407,"Domain"),"")</f>
        <v/>
      </c>
    </row>
    <row r="408">
      <c r="A408" s="2" t="n"/>
      <c r="B408">
        <f>LOWER(TRIM(A408))</f>
        <v/>
      </c>
      <c r="C408">
        <f>IF(B408="","",IFERROR(INDEX('Bad Patterns'!$A$2:$A$120,MATCH(1,INDEX(--ISNUMBER(SEARCH('Bad Patterns'!$A$2:$A$120,B408)),0),0)),""))</f>
        <v/>
      </c>
      <c r="D408">
        <f>IF(B408="","",IF(C408&lt;&gt;"","REMOVE","KEEP"))</f>
        <v/>
      </c>
      <c r="E408">
        <f>IF(D408&lt;&gt;"KEEP","",IF(RIGHT(B408,10)="@gmail.com","Gmail",IF(OR(RIGHT(B408,12)="@outlook.com",RIGHT(B408,12)="@hotmail.com",RIGHT(B408,9)="@live.com"),"Outlook","Domain")))</f>
        <v/>
      </c>
      <c r="F408">
        <f>IF(B408="","",IFERROR(RIGHT(B408,LEN(B408)-FIND("@",B408)),""))</f>
        <v/>
      </c>
      <c r="G408">
        <f>IF(D408="KEEP",COUNTIF($D$2:D408,"KEEP"),"")</f>
        <v/>
      </c>
      <c r="H408">
        <f>IF(D408="REMOVE",COUNTIF($D$2:D408,"REMOVE"),"")</f>
        <v/>
      </c>
      <c r="I408">
        <f>IF(E408="Gmail",COUNTIF($E$2:E408,"Gmail"),"")</f>
        <v/>
      </c>
      <c r="J408">
        <f>IF(E408="Outlook",COUNTIF($E$2:E408,"Outlook"),"")</f>
        <v/>
      </c>
      <c r="K408">
        <f>IF(E408="Domain",COUNTIF($E$2:E408,"Domain"),"")</f>
        <v/>
      </c>
    </row>
    <row r="409">
      <c r="A409" s="2" t="n"/>
      <c r="B409">
        <f>LOWER(TRIM(A409))</f>
        <v/>
      </c>
      <c r="C409">
        <f>IF(B409="","",IFERROR(INDEX('Bad Patterns'!$A$2:$A$120,MATCH(1,INDEX(--ISNUMBER(SEARCH('Bad Patterns'!$A$2:$A$120,B409)),0),0)),""))</f>
        <v/>
      </c>
      <c r="D409">
        <f>IF(B409="","",IF(C409&lt;&gt;"","REMOVE","KEEP"))</f>
        <v/>
      </c>
      <c r="E409">
        <f>IF(D409&lt;&gt;"KEEP","",IF(RIGHT(B409,10)="@gmail.com","Gmail",IF(OR(RIGHT(B409,12)="@outlook.com",RIGHT(B409,12)="@hotmail.com",RIGHT(B409,9)="@live.com"),"Outlook","Domain")))</f>
        <v/>
      </c>
      <c r="F409">
        <f>IF(B409="","",IFERROR(RIGHT(B409,LEN(B409)-FIND("@",B409)),""))</f>
        <v/>
      </c>
      <c r="G409">
        <f>IF(D409="KEEP",COUNTIF($D$2:D409,"KEEP"),"")</f>
        <v/>
      </c>
      <c r="H409">
        <f>IF(D409="REMOVE",COUNTIF($D$2:D409,"REMOVE"),"")</f>
        <v/>
      </c>
      <c r="I409">
        <f>IF(E409="Gmail",COUNTIF($E$2:E409,"Gmail"),"")</f>
        <v/>
      </c>
      <c r="J409">
        <f>IF(E409="Outlook",COUNTIF($E$2:E409,"Outlook"),"")</f>
        <v/>
      </c>
      <c r="K409">
        <f>IF(E409="Domain",COUNTIF($E$2:E409,"Domain"),"")</f>
        <v/>
      </c>
    </row>
    <row r="410">
      <c r="A410" s="2" t="n"/>
      <c r="B410">
        <f>LOWER(TRIM(A410))</f>
        <v/>
      </c>
      <c r="C410">
        <f>IF(B410="","",IFERROR(INDEX('Bad Patterns'!$A$2:$A$120,MATCH(1,INDEX(--ISNUMBER(SEARCH('Bad Patterns'!$A$2:$A$120,B410)),0),0)),""))</f>
        <v/>
      </c>
      <c r="D410">
        <f>IF(B410="","",IF(C410&lt;&gt;"","REMOVE","KEEP"))</f>
        <v/>
      </c>
      <c r="E410">
        <f>IF(D410&lt;&gt;"KEEP","",IF(RIGHT(B410,10)="@gmail.com","Gmail",IF(OR(RIGHT(B410,12)="@outlook.com",RIGHT(B410,12)="@hotmail.com",RIGHT(B410,9)="@live.com"),"Outlook","Domain")))</f>
        <v/>
      </c>
      <c r="F410">
        <f>IF(B410="","",IFERROR(RIGHT(B410,LEN(B410)-FIND("@",B410)),""))</f>
        <v/>
      </c>
      <c r="G410">
        <f>IF(D410="KEEP",COUNTIF($D$2:D410,"KEEP"),"")</f>
        <v/>
      </c>
      <c r="H410">
        <f>IF(D410="REMOVE",COUNTIF($D$2:D410,"REMOVE"),"")</f>
        <v/>
      </c>
      <c r="I410">
        <f>IF(E410="Gmail",COUNTIF($E$2:E410,"Gmail"),"")</f>
        <v/>
      </c>
      <c r="J410">
        <f>IF(E410="Outlook",COUNTIF($E$2:E410,"Outlook"),"")</f>
        <v/>
      </c>
      <c r="K410">
        <f>IF(E410="Domain",COUNTIF($E$2:E410,"Domain"),"")</f>
        <v/>
      </c>
    </row>
    <row r="411">
      <c r="A411" s="2" t="n"/>
      <c r="B411">
        <f>LOWER(TRIM(A411))</f>
        <v/>
      </c>
      <c r="C411">
        <f>IF(B411="","",IFERROR(INDEX('Bad Patterns'!$A$2:$A$120,MATCH(1,INDEX(--ISNUMBER(SEARCH('Bad Patterns'!$A$2:$A$120,B411)),0),0)),""))</f>
        <v/>
      </c>
      <c r="D411">
        <f>IF(B411="","",IF(C411&lt;&gt;"","REMOVE","KEEP"))</f>
        <v/>
      </c>
      <c r="E411">
        <f>IF(D411&lt;&gt;"KEEP","",IF(RIGHT(B411,10)="@gmail.com","Gmail",IF(OR(RIGHT(B411,12)="@outlook.com",RIGHT(B411,12)="@hotmail.com",RIGHT(B411,9)="@live.com"),"Outlook","Domain")))</f>
        <v/>
      </c>
      <c r="F411">
        <f>IF(B411="","",IFERROR(RIGHT(B411,LEN(B411)-FIND("@",B411)),""))</f>
        <v/>
      </c>
      <c r="G411">
        <f>IF(D411="KEEP",COUNTIF($D$2:D411,"KEEP"),"")</f>
        <v/>
      </c>
      <c r="H411">
        <f>IF(D411="REMOVE",COUNTIF($D$2:D411,"REMOVE"),"")</f>
        <v/>
      </c>
      <c r="I411">
        <f>IF(E411="Gmail",COUNTIF($E$2:E411,"Gmail"),"")</f>
        <v/>
      </c>
      <c r="J411">
        <f>IF(E411="Outlook",COUNTIF($E$2:E411,"Outlook"),"")</f>
        <v/>
      </c>
      <c r="K411">
        <f>IF(E411="Domain",COUNTIF($E$2:E411,"Domain"),"")</f>
        <v/>
      </c>
    </row>
    <row r="412">
      <c r="A412" s="2" t="n"/>
      <c r="B412">
        <f>LOWER(TRIM(A412))</f>
        <v/>
      </c>
      <c r="C412">
        <f>IF(B412="","",IFERROR(INDEX('Bad Patterns'!$A$2:$A$120,MATCH(1,INDEX(--ISNUMBER(SEARCH('Bad Patterns'!$A$2:$A$120,B412)),0),0)),""))</f>
        <v/>
      </c>
      <c r="D412">
        <f>IF(B412="","",IF(C412&lt;&gt;"","REMOVE","KEEP"))</f>
        <v/>
      </c>
      <c r="E412">
        <f>IF(D412&lt;&gt;"KEEP","",IF(RIGHT(B412,10)="@gmail.com","Gmail",IF(OR(RIGHT(B412,12)="@outlook.com",RIGHT(B412,12)="@hotmail.com",RIGHT(B412,9)="@live.com"),"Outlook","Domain")))</f>
        <v/>
      </c>
      <c r="F412">
        <f>IF(B412="","",IFERROR(RIGHT(B412,LEN(B412)-FIND("@",B412)),""))</f>
        <v/>
      </c>
      <c r="G412">
        <f>IF(D412="KEEP",COUNTIF($D$2:D412,"KEEP"),"")</f>
        <v/>
      </c>
      <c r="H412">
        <f>IF(D412="REMOVE",COUNTIF($D$2:D412,"REMOVE"),"")</f>
        <v/>
      </c>
      <c r="I412">
        <f>IF(E412="Gmail",COUNTIF($E$2:E412,"Gmail"),"")</f>
        <v/>
      </c>
      <c r="J412">
        <f>IF(E412="Outlook",COUNTIF($E$2:E412,"Outlook"),"")</f>
        <v/>
      </c>
      <c r="K412">
        <f>IF(E412="Domain",COUNTIF($E$2:E412,"Domain"),"")</f>
        <v/>
      </c>
    </row>
    <row r="413">
      <c r="A413" s="2" t="n"/>
      <c r="B413">
        <f>LOWER(TRIM(A413))</f>
        <v/>
      </c>
      <c r="C413">
        <f>IF(B413="","",IFERROR(INDEX('Bad Patterns'!$A$2:$A$120,MATCH(1,INDEX(--ISNUMBER(SEARCH('Bad Patterns'!$A$2:$A$120,B413)),0),0)),""))</f>
        <v/>
      </c>
      <c r="D413">
        <f>IF(B413="","",IF(C413&lt;&gt;"","REMOVE","KEEP"))</f>
        <v/>
      </c>
      <c r="E413">
        <f>IF(D413&lt;&gt;"KEEP","",IF(RIGHT(B413,10)="@gmail.com","Gmail",IF(OR(RIGHT(B413,12)="@outlook.com",RIGHT(B413,12)="@hotmail.com",RIGHT(B413,9)="@live.com"),"Outlook","Domain")))</f>
        <v/>
      </c>
      <c r="F413">
        <f>IF(B413="","",IFERROR(RIGHT(B413,LEN(B413)-FIND("@",B413)),""))</f>
        <v/>
      </c>
      <c r="G413">
        <f>IF(D413="KEEP",COUNTIF($D$2:D413,"KEEP"),"")</f>
        <v/>
      </c>
      <c r="H413">
        <f>IF(D413="REMOVE",COUNTIF($D$2:D413,"REMOVE"),"")</f>
        <v/>
      </c>
      <c r="I413">
        <f>IF(E413="Gmail",COUNTIF($E$2:E413,"Gmail"),"")</f>
        <v/>
      </c>
      <c r="J413">
        <f>IF(E413="Outlook",COUNTIF($E$2:E413,"Outlook"),"")</f>
        <v/>
      </c>
      <c r="K413">
        <f>IF(E413="Domain",COUNTIF($E$2:E413,"Domain"),"")</f>
        <v/>
      </c>
    </row>
    <row r="414">
      <c r="A414" s="2" t="n"/>
      <c r="B414">
        <f>LOWER(TRIM(A414))</f>
        <v/>
      </c>
      <c r="C414">
        <f>IF(B414="","",IFERROR(INDEX('Bad Patterns'!$A$2:$A$120,MATCH(1,INDEX(--ISNUMBER(SEARCH('Bad Patterns'!$A$2:$A$120,B414)),0),0)),""))</f>
        <v/>
      </c>
      <c r="D414">
        <f>IF(B414="","",IF(C414&lt;&gt;"","REMOVE","KEEP"))</f>
        <v/>
      </c>
      <c r="E414">
        <f>IF(D414&lt;&gt;"KEEP","",IF(RIGHT(B414,10)="@gmail.com","Gmail",IF(OR(RIGHT(B414,12)="@outlook.com",RIGHT(B414,12)="@hotmail.com",RIGHT(B414,9)="@live.com"),"Outlook","Domain")))</f>
        <v/>
      </c>
      <c r="F414">
        <f>IF(B414="","",IFERROR(RIGHT(B414,LEN(B414)-FIND("@",B414)),""))</f>
        <v/>
      </c>
      <c r="G414">
        <f>IF(D414="KEEP",COUNTIF($D$2:D414,"KEEP"),"")</f>
        <v/>
      </c>
      <c r="H414">
        <f>IF(D414="REMOVE",COUNTIF($D$2:D414,"REMOVE"),"")</f>
        <v/>
      </c>
      <c r="I414">
        <f>IF(E414="Gmail",COUNTIF($E$2:E414,"Gmail"),"")</f>
        <v/>
      </c>
      <c r="J414">
        <f>IF(E414="Outlook",COUNTIF($E$2:E414,"Outlook"),"")</f>
        <v/>
      </c>
      <c r="K414">
        <f>IF(E414="Domain",COUNTIF($E$2:E414,"Domain"),"")</f>
        <v/>
      </c>
    </row>
    <row r="415">
      <c r="A415" s="2" t="n"/>
      <c r="B415">
        <f>LOWER(TRIM(A415))</f>
        <v/>
      </c>
      <c r="C415">
        <f>IF(B415="","",IFERROR(INDEX('Bad Patterns'!$A$2:$A$120,MATCH(1,INDEX(--ISNUMBER(SEARCH('Bad Patterns'!$A$2:$A$120,B415)),0),0)),""))</f>
        <v/>
      </c>
      <c r="D415">
        <f>IF(B415="","",IF(C415&lt;&gt;"","REMOVE","KEEP"))</f>
        <v/>
      </c>
      <c r="E415">
        <f>IF(D415&lt;&gt;"KEEP","",IF(RIGHT(B415,10)="@gmail.com","Gmail",IF(OR(RIGHT(B415,12)="@outlook.com",RIGHT(B415,12)="@hotmail.com",RIGHT(B415,9)="@live.com"),"Outlook","Domain")))</f>
        <v/>
      </c>
      <c r="F415">
        <f>IF(B415="","",IFERROR(RIGHT(B415,LEN(B415)-FIND("@",B415)),""))</f>
        <v/>
      </c>
      <c r="G415">
        <f>IF(D415="KEEP",COUNTIF($D$2:D415,"KEEP"),"")</f>
        <v/>
      </c>
      <c r="H415">
        <f>IF(D415="REMOVE",COUNTIF($D$2:D415,"REMOVE"),"")</f>
        <v/>
      </c>
      <c r="I415">
        <f>IF(E415="Gmail",COUNTIF($E$2:E415,"Gmail"),"")</f>
        <v/>
      </c>
      <c r="J415">
        <f>IF(E415="Outlook",COUNTIF($E$2:E415,"Outlook"),"")</f>
        <v/>
      </c>
      <c r="K415">
        <f>IF(E415="Domain",COUNTIF($E$2:E415,"Domain"),"")</f>
        <v/>
      </c>
    </row>
    <row r="416">
      <c r="A416" s="2" t="n"/>
      <c r="B416">
        <f>LOWER(TRIM(A416))</f>
        <v/>
      </c>
      <c r="C416">
        <f>IF(B416="","",IFERROR(INDEX('Bad Patterns'!$A$2:$A$120,MATCH(1,INDEX(--ISNUMBER(SEARCH('Bad Patterns'!$A$2:$A$120,B416)),0),0)),""))</f>
        <v/>
      </c>
      <c r="D416">
        <f>IF(B416="","",IF(C416&lt;&gt;"","REMOVE","KEEP"))</f>
        <v/>
      </c>
      <c r="E416">
        <f>IF(D416&lt;&gt;"KEEP","",IF(RIGHT(B416,10)="@gmail.com","Gmail",IF(OR(RIGHT(B416,12)="@outlook.com",RIGHT(B416,12)="@hotmail.com",RIGHT(B416,9)="@live.com"),"Outlook","Domain")))</f>
        <v/>
      </c>
      <c r="F416">
        <f>IF(B416="","",IFERROR(RIGHT(B416,LEN(B416)-FIND("@",B416)),""))</f>
        <v/>
      </c>
      <c r="G416">
        <f>IF(D416="KEEP",COUNTIF($D$2:D416,"KEEP"),"")</f>
        <v/>
      </c>
      <c r="H416">
        <f>IF(D416="REMOVE",COUNTIF($D$2:D416,"REMOVE"),"")</f>
        <v/>
      </c>
      <c r="I416">
        <f>IF(E416="Gmail",COUNTIF($E$2:E416,"Gmail"),"")</f>
        <v/>
      </c>
      <c r="J416">
        <f>IF(E416="Outlook",COUNTIF($E$2:E416,"Outlook"),"")</f>
        <v/>
      </c>
      <c r="K416">
        <f>IF(E416="Domain",COUNTIF($E$2:E416,"Domain"),"")</f>
        <v/>
      </c>
    </row>
    <row r="417">
      <c r="A417" s="2" t="n"/>
      <c r="B417">
        <f>LOWER(TRIM(A417))</f>
        <v/>
      </c>
      <c r="C417">
        <f>IF(B417="","",IFERROR(INDEX('Bad Patterns'!$A$2:$A$120,MATCH(1,INDEX(--ISNUMBER(SEARCH('Bad Patterns'!$A$2:$A$120,B417)),0),0)),""))</f>
        <v/>
      </c>
      <c r="D417">
        <f>IF(B417="","",IF(C417&lt;&gt;"","REMOVE","KEEP"))</f>
        <v/>
      </c>
      <c r="E417">
        <f>IF(D417&lt;&gt;"KEEP","",IF(RIGHT(B417,10)="@gmail.com","Gmail",IF(OR(RIGHT(B417,12)="@outlook.com",RIGHT(B417,12)="@hotmail.com",RIGHT(B417,9)="@live.com"),"Outlook","Domain")))</f>
        <v/>
      </c>
      <c r="F417">
        <f>IF(B417="","",IFERROR(RIGHT(B417,LEN(B417)-FIND("@",B417)),""))</f>
        <v/>
      </c>
      <c r="G417">
        <f>IF(D417="KEEP",COUNTIF($D$2:D417,"KEEP"),"")</f>
        <v/>
      </c>
      <c r="H417">
        <f>IF(D417="REMOVE",COUNTIF($D$2:D417,"REMOVE"),"")</f>
        <v/>
      </c>
      <c r="I417">
        <f>IF(E417="Gmail",COUNTIF($E$2:E417,"Gmail"),"")</f>
        <v/>
      </c>
      <c r="J417">
        <f>IF(E417="Outlook",COUNTIF($E$2:E417,"Outlook"),"")</f>
        <v/>
      </c>
      <c r="K417">
        <f>IF(E417="Domain",COUNTIF($E$2:E417,"Domain"),"")</f>
        <v/>
      </c>
    </row>
    <row r="418">
      <c r="A418" s="2" t="n"/>
      <c r="B418">
        <f>LOWER(TRIM(A418))</f>
        <v/>
      </c>
      <c r="C418">
        <f>IF(B418="","",IFERROR(INDEX('Bad Patterns'!$A$2:$A$120,MATCH(1,INDEX(--ISNUMBER(SEARCH('Bad Patterns'!$A$2:$A$120,B418)),0),0)),""))</f>
        <v/>
      </c>
      <c r="D418">
        <f>IF(B418="","",IF(C418&lt;&gt;"","REMOVE","KEEP"))</f>
        <v/>
      </c>
      <c r="E418">
        <f>IF(D418&lt;&gt;"KEEP","",IF(RIGHT(B418,10)="@gmail.com","Gmail",IF(OR(RIGHT(B418,12)="@outlook.com",RIGHT(B418,12)="@hotmail.com",RIGHT(B418,9)="@live.com"),"Outlook","Domain")))</f>
        <v/>
      </c>
      <c r="F418">
        <f>IF(B418="","",IFERROR(RIGHT(B418,LEN(B418)-FIND("@",B418)),""))</f>
        <v/>
      </c>
      <c r="G418">
        <f>IF(D418="KEEP",COUNTIF($D$2:D418,"KEEP"),"")</f>
        <v/>
      </c>
      <c r="H418">
        <f>IF(D418="REMOVE",COUNTIF($D$2:D418,"REMOVE"),"")</f>
        <v/>
      </c>
      <c r="I418">
        <f>IF(E418="Gmail",COUNTIF($E$2:E418,"Gmail"),"")</f>
        <v/>
      </c>
      <c r="J418">
        <f>IF(E418="Outlook",COUNTIF($E$2:E418,"Outlook"),"")</f>
        <v/>
      </c>
      <c r="K418">
        <f>IF(E418="Domain",COUNTIF($E$2:E418,"Domain"),"")</f>
        <v/>
      </c>
    </row>
    <row r="419">
      <c r="A419" s="2" t="n"/>
      <c r="B419">
        <f>LOWER(TRIM(A419))</f>
        <v/>
      </c>
      <c r="C419">
        <f>IF(B419="","",IFERROR(INDEX('Bad Patterns'!$A$2:$A$120,MATCH(1,INDEX(--ISNUMBER(SEARCH('Bad Patterns'!$A$2:$A$120,B419)),0),0)),""))</f>
        <v/>
      </c>
      <c r="D419">
        <f>IF(B419="","",IF(C419&lt;&gt;"","REMOVE","KEEP"))</f>
        <v/>
      </c>
      <c r="E419">
        <f>IF(D419&lt;&gt;"KEEP","",IF(RIGHT(B419,10)="@gmail.com","Gmail",IF(OR(RIGHT(B419,12)="@outlook.com",RIGHT(B419,12)="@hotmail.com",RIGHT(B419,9)="@live.com"),"Outlook","Domain")))</f>
        <v/>
      </c>
      <c r="F419">
        <f>IF(B419="","",IFERROR(RIGHT(B419,LEN(B419)-FIND("@",B419)),""))</f>
        <v/>
      </c>
      <c r="G419">
        <f>IF(D419="KEEP",COUNTIF($D$2:D419,"KEEP"),"")</f>
        <v/>
      </c>
      <c r="H419">
        <f>IF(D419="REMOVE",COUNTIF($D$2:D419,"REMOVE"),"")</f>
        <v/>
      </c>
      <c r="I419">
        <f>IF(E419="Gmail",COUNTIF($E$2:E419,"Gmail"),"")</f>
        <v/>
      </c>
      <c r="J419">
        <f>IF(E419="Outlook",COUNTIF($E$2:E419,"Outlook"),"")</f>
        <v/>
      </c>
      <c r="K419">
        <f>IF(E419="Domain",COUNTIF($E$2:E419,"Domain"),"")</f>
        <v/>
      </c>
    </row>
    <row r="420">
      <c r="A420" s="2" t="n"/>
      <c r="B420">
        <f>LOWER(TRIM(A420))</f>
        <v/>
      </c>
      <c r="C420">
        <f>IF(B420="","",IFERROR(INDEX('Bad Patterns'!$A$2:$A$120,MATCH(1,INDEX(--ISNUMBER(SEARCH('Bad Patterns'!$A$2:$A$120,B420)),0),0)),""))</f>
        <v/>
      </c>
      <c r="D420">
        <f>IF(B420="","",IF(C420&lt;&gt;"","REMOVE","KEEP"))</f>
        <v/>
      </c>
      <c r="E420">
        <f>IF(D420&lt;&gt;"KEEP","",IF(RIGHT(B420,10)="@gmail.com","Gmail",IF(OR(RIGHT(B420,12)="@outlook.com",RIGHT(B420,12)="@hotmail.com",RIGHT(B420,9)="@live.com"),"Outlook","Domain")))</f>
        <v/>
      </c>
      <c r="F420">
        <f>IF(B420="","",IFERROR(RIGHT(B420,LEN(B420)-FIND("@",B420)),""))</f>
        <v/>
      </c>
      <c r="G420">
        <f>IF(D420="KEEP",COUNTIF($D$2:D420,"KEEP"),"")</f>
        <v/>
      </c>
      <c r="H420">
        <f>IF(D420="REMOVE",COUNTIF($D$2:D420,"REMOVE"),"")</f>
        <v/>
      </c>
      <c r="I420">
        <f>IF(E420="Gmail",COUNTIF($E$2:E420,"Gmail"),"")</f>
        <v/>
      </c>
      <c r="J420">
        <f>IF(E420="Outlook",COUNTIF($E$2:E420,"Outlook"),"")</f>
        <v/>
      </c>
      <c r="K420">
        <f>IF(E420="Domain",COUNTIF($E$2:E420,"Domain"),"")</f>
        <v/>
      </c>
    </row>
    <row r="421">
      <c r="A421" s="2" t="n"/>
      <c r="B421">
        <f>LOWER(TRIM(A421))</f>
        <v/>
      </c>
      <c r="C421">
        <f>IF(B421="","",IFERROR(INDEX('Bad Patterns'!$A$2:$A$120,MATCH(1,INDEX(--ISNUMBER(SEARCH('Bad Patterns'!$A$2:$A$120,B421)),0),0)),""))</f>
        <v/>
      </c>
      <c r="D421">
        <f>IF(B421="","",IF(C421&lt;&gt;"","REMOVE","KEEP"))</f>
        <v/>
      </c>
      <c r="E421">
        <f>IF(D421&lt;&gt;"KEEP","",IF(RIGHT(B421,10)="@gmail.com","Gmail",IF(OR(RIGHT(B421,12)="@outlook.com",RIGHT(B421,12)="@hotmail.com",RIGHT(B421,9)="@live.com"),"Outlook","Domain")))</f>
        <v/>
      </c>
      <c r="F421">
        <f>IF(B421="","",IFERROR(RIGHT(B421,LEN(B421)-FIND("@",B421)),""))</f>
        <v/>
      </c>
      <c r="G421">
        <f>IF(D421="KEEP",COUNTIF($D$2:D421,"KEEP"),"")</f>
        <v/>
      </c>
      <c r="H421">
        <f>IF(D421="REMOVE",COUNTIF($D$2:D421,"REMOVE"),"")</f>
        <v/>
      </c>
      <c r="I421">
        <f>IF(E421="Gmail",COUNTIF($E$2:E421,"Gmail"),"")</f>
        <v/>
      </c>
      <c r="J421">
        <f>IF(E421="Outlook",COUNTIF($E$2:E421,"Outlook"),"")</f>
        <v/>
      </c>
      <c r="K421">
        <f>IF(E421="Domain",COUNTIF($E$2:E421,"Domain"),"")</f>
        <v/>
      </c>
    </row>
    <row r="422">
      <c r="A422" s="2" t="n"/>
      <c r="B422">
        <f>LOWER(TRIM(A422))</f>
        <v/>
      </c>
      <c r="C422">
        <f>IF(B422="","",IFERROR(INDEX('Bad Patterns'!$A$2:$A$120,MATCH(1,INDEX(--ISNUMBER(SEARCH('Bad Patterns'!$A$2:$A$120,B422)),0),0)),""))</f>
        <v/>
      </c>
      <c r="D422">
        <f>IF(B422="","",IF(C422&lt;&gt;"","REMOVE","KEEP"))</f>
        <v/>
      </c>
      <c r="E422">
        <f>IF(D422&lt;&gt;"KEEP","",IF(RIGHT(B422,10)="@gmail.com","Gmail",IF(OR(RIGHT(B422,12)="@outlook.com",RIGHT(B422,12)="@hotmail.com",RIGHT(B422,9)="@live.com"),"Outlook","Domain")))</f>
        <v/>
      </c>
      <c r="F422">
        <f>IF(B422="","",IFERROR(RIGHT(B422,LEN(B422)-FIND("@",B422)),""))</f>
        <v/>
      </c>
      <c r="G422">
        <f>IF(D422="KEEP",COUNTIF($D$2:D422,"KEEP"),"")</f>
        <v/>
      </c>
      <c r="H422">
        <f>IF(D422="REMOVE",COUNTIF($D$2:D422,"REMOVE"),"")</f>
        <v/>
      </c>
      <c r="I422">
        <f>IF(E422="Gmail",COUNTIF($E$2:E422,"Gmail"),"")</f>
        <v/>
      </c>
      <c r="J422">
        <f>IF(E422="Outlook",COUNTIF($E$2:E422,"Outlook"),"")</f>
        <v/>
      </c>
      <c r="K422">
        <f>IF(E422="Domain",COUNTIF($E$2:E422,"Domain"),"")</f>
        <v/>
      </c>
    </row>
    <row r="423">
      <c r="A423" s="2" t="n"/>
      <c r="B423">
        <f>LOWER(TRIM(A423))</f>
        <v/>
      </c>
      <c r="C423">
        <f>IF(B423="","",IFERROR(INDEX('Bad Patterns'!$A$2:$A$120,MATCH(1,INDEX(--ISNUMBER(SEARCH('Bad Patterns'!$A$2:$A$120,B423)),0),0)),""))</f>
        <v/>
      </c>
      <c r="D423">
        <f>IF(B423="","",IF(C423&lt;&gt;"","REMOVE","KEEP"))</f>
        <v/>
      </c>
      <c r="E423">
        <f>IF(D423&lt;&gt;"KEEP","",IF(RIGHT(B423,10)="@gmail.com","Gmail",IF(OR(RIGHT(B423,12)="@outlook.com",RIGHT(B423,12)="@hotmail.com",RIGHT(B423,9)="@live.com"),"Outlook","Domain")))</f>
        <v/>
      </c>
      <c r="F423">
        <f>IF(B423="","",IFERROR(RIGHT(B423,LEN(B423)-FIND("@",B423)),""))</f>
        <v/>
      </c>
      <c r="G423">
        <f>IF(D423="KEEP",COUNTIF($D$2:D423,"KEEP"),"")</f>
        <v/>
      </c>
      <c r="H423">
        <f>IF(D423="REMOVE",COUNTIF($D$2:D423,"REMOVE"),"")</f>
        <v/>
      </c>
      <c r="I423">
        <f>IF(E423="Gmail",COUNTIF($E$2:E423,"Gmail"),"")</f>
        <v/>
      </c>
      <c r="J423">
        <f>IF(E423="Outlook",COUNTIF($E$2:E423,"Outlook"),"")</f>
        <v/>
      </c>
      <c r="K423">
        <f>IF(E423="Domain",COUNTIF($E$2:E423,"Domain"),"")</f>
        <v/>
      </c>
    </row>
    <row r="424">
      <c r="A424" s="2" t="n"/>
      <c r="B424">
        <f>LOWER(TRIM(A424))</f>
        <v/>
      </c>
      <c r="C424">
        <f>IF(B424="","",IFERROR(INDEX('Bad Patterns'!$A$2:$A$120,MATCH(1,INDEX(--ISNUMBER(SEARCH('Bad Patterns'!$A$2:$A$120,B424)),0),0)),""))</f>
        <v/>
      </c>
      <c r="D424">
        <f>IF(B424="","",IF(C424&lt;&gt;"","REMOVE","KEEP"))</f>
        <v/>
      </c>
      <c r="E424">
        <f>IF(D424&lt;&gt;"KEEP","",IF(RIGHT(B424,10)="@gmail.com","Gmail",IF(OR(RIGHT(B424,12)="@outlook.com",RIGHT(B424,12)="@hotmail.com",RIGHT(B424,9)="@live.com"),"Outlook","Domain")))</f>
        <v/>
      </c>
      <c r="F424">
        <f>IF(B424="","",IFERROR(RIGHT(B424,LEN(B424)-FIND("@",B424)),""))</f>
        <v/>
      </c>
      <c r="G424">
        <f>IF(D424="KEEP",COUNTIF($D$2:D424,"KEEP"),"")</f>
        <v/>
      </c>
      <c r="H424">
        <f>IF(D424="REMOVE",COUNTIF($D$2:D424,"REMOVE"),"")</f>
        <v/>
      </c>
      <c r="I424">
        <f>IF(E424="Gmail",COUNTIF($E$2:E424,"Gmail"),"")</f>
        <v/>
      </c>
      <c r="J424">
        <f>IF(E424="Outlook",COUNTIF($E$2:E424,"Outlook"),"")</f>
        <v/>
      </c>
      <c r="K424">
        <f>IF(E424="Domain",COUNTIF($E$2:E424,"Domain"),"")</f>
        <v/>
      </c>
    </row>
    <row r="425">
      <c r="A425" s="2" t="n"/>
      <c r="B425">
        <f>LOWER(TRIM(A425))</f>
        <v/>
      </c>
      <c r="C425">
        <f>IF(B425="","",IFERROR(INDEX('Bad Patterns'!$A$2:$A$120,MATCH(1,INDEX(--ISNUMBER(SEARCH('Bad Patterns'!$A$2:$A$120,B425)),0),0)),""))</f>
        <v/>
      </c>
      <c r="D425">
        <f>IF(B425="","",IF(C425&lt;&gt;"","REMOVE","KEEP"))</f>
        <v/>
      </c>
      <c r="E425">
        <f>IF(D425&lt;&gt;"KEEP","",IF(RIGHT(B425,10)="@gmail.com","Gmail",IF(OR(RIGHT(B425,12)="@outlook.com",RIGHT(B425,12)="@hotmail.com",RIGHT(B425,9)="@live.com"),"Outlook","Domain")))</f>
        <v/>
      </c>
      <c r="F425">
        <f>IF(B425="","",IFERROR(RIGHT(B425,LEN(B425)-FIND("@",B425)),""))</f>
        <v/>
      </c>
      <c r="G425">
        <f>IF(D425="KEEP",COUNTIF($D$2:D425,"KEEP"),"")</f>
        <v/>
      </c>
      <c r="H425">
        <f>IF(D425="REMOVE",COUNTIF($D$2:D425,"REMOVE"),"")</f>
        <v/>
      </c>
      <c r="I425">
        <f>IF(E425="Gmail",COUNTIF($E$2:E425,"Gmail"),"")</f>
        <v/>
      </c>
      <c r="J425">
        <f>IF(E425="Outlook",COUNTIF($E$2:E425,"Outlook"),"")</f>
        <v/>
      </c>
      <c r="K425">
        <f>IF(E425="Domain",COUNTIF($E$2:E425,"Domain"),"")</f>
        <v/>
      </c>
    </row>
    <row r="426">
      <c r="A426" s="2" t="n"/>
      <c r="B426">
        <f>LOWER(TRIM(A426))</f>
        <v/>
      </c>
      <c r="C426">
        <f>IF(B426="","",IFERROR(INDEX('Bad Patterns'!$A$2:$A$120,MATCH(1,INDEX(--ISNUMBER(SEARCH('Bad Patterns'!$A$2:$A$120,B426)),0),0)),""))</f>
        <v/>
      </c>
      <c r="D426">
        <f>IF(B426="","",IF(C426&lt;&gt;"","REMOVE","KEEP"))</f>
        <v/>
      </c>
      <c r="E426">
        <f>IF(D426&lt;&gt;"KEEP","",IF(RIGHT(B426,10)="@gmail.com","Gmail",IF(OR(RIGHT(B426,12)="@outlook.com",RIGHT(B426,12)="@hotmail.com",RIGHT(B426,9)="@live.com"),"Outlook","Domain")))</f>
        <v/>
      </c>
      <c r="F426">
        <f>IF(B426="","",IFERROR(RIGHT(B426,LEN(B426)-FIND("@",B426)),""))</f>
        <v/>
      </c>
      <c r="G426">
        <f>IF(D426="KEEP",COUNTIF($D$2:D426,"KEEP"),"")</f>
        <v/>
      </c>
      <c r="H426">
        <f>IF(D426="REMOVE",COUNTIF($D$2:D426,"REMOVE"),"")</f>
        <v/>
      </c>
      <c r="I426">
        <f>IF(E426="Gmail",COUNTIF($E$2:E426,"Gmail"),"")</f>
        <v/>
      </c>
      <c r="J426">
        <f>IF(E426="Outlook",COUNTIF($E$2:E426,"Outlook"),"")</f>
        <v/>
      </c>
      <c r="K426">
        <f>IF(E426="Domain",COUNTIF($E$2:E426,"Domain"),"")</f>
        <v/>
      </c>
    </row>
    <row r="427">
      <c r="A427" s="2" t="n"/>
      <c r="B427">
        <f>LOWER(TRIM(A427))</f>
        <v/>
      </c>
      <c r="C427">
        <f>IF(B427="","",IFERROR(INDEX('Bad Patterns'!$A$2:$A$120,MATCH(1,INDEX(--ISNUMBER(SEARCH('Bad Patterns'!$A$2:$A$120,B427)),0),0)),""))</f>
        <v/>
      </c>
      <c r="D427">
        <f>IF(B427="","",IF(C427&lt;&gt;"","REMOVE","KEEP"))</f>
        <v/>
      </c>
      <c r="E427">
        <f>IF(D427&lt;&gt;"KEEP","",IF(RIGHT(B427,10)="@gmail.com","Gmail",IF(OR(RIGHT(B427,12)="@outlook.com",RIGHT(B427,12)="@hotmail.com",RIGHT(B427,9)="@live.com"),"Outlook","Domain")))</f>
        <v/>
      </c>
      <c r="F427">
        <f>IF(B427="","",IFERROR(RIGHT(B427,LEN(B427)-FIND("@",B427)),""))</f>
        <v/>
      </c>
      <c r="G427">
        <f>IF(D427="KEEP",COUNTIF($D$2:D427,"KEEP"),"")</f>
        <v/>
      </c>
      <c r="H427">
        <f>IF(D427="REMOVE",COUNTIF($D$2:D427,"REMOVE"),"")</f>
        <v/>
      </c>
      <c r="I427">
        <f>IF(E427="Gmail",COUNTIF($E$2:E427,"Gmail"),"")</f>
        <v/>
      </c>
      <c r="J427">
        <f>IF(E427="Outlook",COUNTIF($E$2:E427,"Outlook"),"")</f>
        <v/>
      </c>
      <c r="K427">
        <f>IF(E427="Domain",COUNTIF($E$2:E427,"Domain"),"")</f>
        <v/>
      </c>
    </row>
    <row r="428">
      <c r="A428" s="2" t="n"/>
      <c r="B428">
        <f>LOWER(TRIM(A428))</f>
        <v/>
      </c>
      <c r="C428">
        <f>IF(B428="","",IFERROR(INDEX('Bad Patterns'!$A$2:$A$120,MATCH(1,INDEX(--ISNUMBER(SEARCH('Bad Patterns'!$A$2:$A$120,B428)),0),0)),""))</f>
        <v/>
      </c>
      <c r="D428">
        <f>IF(B428="","",IF(C428&lt;&gt;"","REMOVE","KEEP"))</f>
        <v/>
      </c>
      <c r="E428">
        <f>IF(D428&lt;&gt;"KEEP","",IF(RIGHT(B428,10)="@gmail.com","Gmail",IF(OR(RIGHT(B428,12)="@outlook.com",RIGHT(B428,12)="@hotmail.com",RIGHT(B428,9)="@live.com"),"Outlook","Domain")))</f>
        <v/>
      </c>
      <c r="F428">
        <f>IF(B428="","",IFERROR(RIGHT(B428,LEN(B428)-FIND("@",B428)),""))</f>
        <v/>
      </c>
      <c r="G428">
        <f>IF(D428="KEEP",COUNTIF($D$2:D428,"KEEP"),"")</f>
        <v/>
      </c>
      <c r="H428">
        <f>IF(D428="REMOVE",COUNTIF($D$2:D428,"REMOVE"),"")</f>
        <v/>
      </c>
      <c r="I428">
        <f>IF(E428="Gmail",COUNTIF($E$2:E428,"Gmail"),"")</f>
        <v/>
      </c>
      <c r="J428">
        <f>IF(E428="Outlook",COUNTIF($E$2:E428,"Outlook"),"")</f>
        <v/>
      </c>
      <c r="K428">
        <f>IF(E428="Domain",COUNTIF($E$2:E428,"Domain"),"")</f>
        <v/>
      </c>
    </row>
    <row r="429">
      <c r="A429" s="2" t="n"/>
      <c r="B429">
        <f>LOWER(TRIM(A429))</f>
        <v/>
      </c>
      <c r="C429">
        <f>IF(B429="","",IFERROR(INDEX('Bad Patterns'!$A$2:$A$120,MATCH(1,INDEX(--ISNUMBER(SEARCH('Bad Patterns'!$A$2:$A$120,B429)),0),0)),""))</f>
        <v/>
      </c>
      <c r="D429">
        <f>IF(B429="","",IF(C429&lt;&gt;"","REMOVE","KEEP"))</f>
        <v/>
      </c>
      <c r="E429">
        <f>IF(D429&lt;&gt;"KEEP","",IF(RIGHT(B429,10)="@gmail.com","Gmail",IF(OR(RIGHT(B429,12)="@outlook.com",RIGHT(B429,12)="@hotmail.com",RIGHT(B429,9)="@live.com"),"Outlook","Domain")))</f>
        <v/>
      </c>
      <c r="F429">
        <f>IF(B429="","",IFERROR(RIGHT(B429,LEN(B429)-FIND("@",B429)),""))</f>
        <v/>
      </c>
      <c r="G429">
        <f>IF(D429="KEEP",COUNTIF($D$2:D429,"KEEP"),"")</f>
        <v/>
      </c>
      <c r="H429">
        <f>IF(D429="REMOVE",COUNTIF($D$2:D429,"REMOVE"),"")</f>
        <v/>
      </c>
      <c r="I429">
        <f>IF(E429="Gmail",COUNTIF($E$2:E429,"Gmail"),"")</f>
        <v/>
      </c>
      <c r="J429">
        <f>IF(E429="Outlook",COUNTIF($E$2:E429,"Outlook"),"")</f>
        <v/>
      </c>
      <c r="K429">
        <f>IF(E429="Domain",COUNTIF($E$2:E429,"Domain"),"")</f>
        <v/>
      </c>
    </row>
    <row r="430">
      <c r="A430" s="2" t="n"/>
      <c r="B430">
        <f>LOWER(TRIM(A430))</f>
        <v/>
      </c>
      <c r="C430">
        <f>IF(B430="","",IFERROR(INDEX('Bad Patterns'!$A$2:$A$120,MATCH(1,INDEX(--ISNUMBER(SEARCH('Bad Patterns'!$A$2:$A$120,B430)),0),0)),""))</f>
        <v/>
      </c>
      <c r="D430">
        <f>IF(B430="","",IF(C430&lt;&gt;"","REMOVE","KEEP"))</f>
        <v/>
      </c>
      <c r="E430">
        <f>IF(D430&lt;&gt;"KEEP","",IF(RIGHT(B430,10)="@gmail.com","Gmail",IF(OR(RIGHT(B430,12)="@outlook.com",RIGHT(B430,12)="@hotmail.com",RIGHT(B430,9)="@live.com"),"Outlook","Domain")))</f>
        <v/>
      </c>
      <c r="F430">
        <f>IF(B430="","",IFERROR(RIGHT(B430,LEN(B430)-FIND("@",B430)),""))</f>
        <v/>
      </c>
      <c r="G430">
        <f>IF(D430="KEEP",COUNTIF($D$2:D430,"KEEP"),"")</f>
        <v/>
      </c>
      <c r="H430">
        <f>IF(D430="REMOVE",COUNTIF($D$2:D430,"REMOVE"),"")</f>
        <v/>
      </c>
      <c r="I430">
        <f>IF(E430="Gmail",COUNTIF($E$2:E430,"Gmail"),"")</f>
        <v/>
      </c>
      <c r="J430">
        <f>IF(E430="Outlook",COUNTIF($E$2:E430,"Outlook"),"")</f>
        <v/>
      </c>
      <c r="K430">
        <f>IF(E430="Domain",COUNTIF($E$2:E430,"Domain"),"")</f>
        <v/>
      </c>
    </row>
    <row r="431">
      <c r="A431" s="2" t="n"/>
      <c r="B431">
        <f>LOWER(TRIM(A431))</f>
        <v/>
      </c>
      <c r="C431">
        <f>IF(B431="","",IFERROR(INDEX('Bad Patterns'!$A$2:$A$120,MATCH(1,INDEX(--ISNUMBER(SEARCH('Bad Patterns'!$A$2:$A$120,B431)),0),0)),""))</f>
        <v/>
      </c>
      <c r="D431">
        <f>IF(B431="","",IF(C431&lt;&gt;"","REMOVE","KEEP"))</f>
        <v/>
      </c>
      <c r="E431">
        <f>IF(D431&lt;&gt;"KEEP","",IF(RIGHT(B431,10)="@gmail.com","Gmail",IF(OR(RIGHT(B431,12)="@outlook.com",RIGHT(B431,12)="@hotmail.com",RIGHT(B431,9)="@live.com"),"Outlook","Domain")))</f>
        <v/>
      </c>
      <c r="F431">
        <f>IF(B431="","",IFERROR(RIGHT(B431,LEN(B431)-FIND("@",B431)),""))</f>
        <v/>
      </c>
      <c r="G431">
        <f>IF(D431="KEEP",COUNTIF($D$2:D431,"KEEP"),"")</f>
        <v/>
      </c>
      <c r="H431">
        <f>IF(D431="REMOVE",COUNTIF($D$2:D431,"REMOVE"),"")</f>
        <v/>
      </c>
      <c r="I431">
        <f>IF(E431="Gmail",COUNTIF($E$2:E431,"Gmail"),"")</f>
        <v/>
      </c>
      <c r="J431">
        <f>IF(E431="Outlook",COUNTIF($E$2:E431,"Outlook"),"")</f>
        <v/>
      </c>
      <c r="K431">
        <f>IF(E431="Domain",COUNTIF($E$2:E431,"Domain"),"")</f>
        <v/>
      </c>
    </row>
    <row r="432">
      <c r="A432" s="2" t="n"/>
      <c r="B432">
        <f>LOWER(TRIM(A432))</f>
        <v/>
      </c>
      <c r="C432">
        <f>IF(B432="","",IFERROR(INDEX('Bad Patterns'!$A$2:$A$120,MATCH(1,INDEX(--ISNUMBER(SEARCH('Bad Patterns'!$A$2:$A$120,B432)),0),0)),""))</f>
        <v/>
      </c>
      <c r="D432">
        <f>IF(B432="","",IF(C432&lt;&gt;"","REMOVE","KEEP"))</f>
        <v/>
      </c>
      <c r="E432">
        <f>IF(D432&lt;&gt;"KEEP","",IF(RIGHT(B432,10)="@gmail.com","Gmail",IF(OR(RIGHT(B432,12)="@outlook.com",RIGHT(B432,12)="@hotmail.com",RIGHT(B432,9)="@live.com"),"Outlook","Domain")))</f>
        <v/>
      </c>
      <c r="F432">
        <f>IF(B432="","",IFERROR(RIGHT(B432,LEN(B432)-FIND("@",B432)),""))</f>
        <v/>
      </c>
      <c r="G432">
        <f>IF(D432="KEEP",COUNTIF($D$2:D432,"KEEP"),"")</f>
        <v/>
      </c>
      <c r="H432">
        <f>IF(D432="REMOVE",COUNTIF($D$2:D432,"REMOVE"),"")</f>
        <v/>
      </c>
      <c r="I432">
        <f>IF(E432="Gmail",COUNTIF($E$2:E432,"Gmail"),"")</f>
        <v/>
      </c>
      <c r="J432">
        <f>IF(E432="Outlook",COUNTIF($E$2:E432,"Outlook"),"")</f>
        <v/>
      </c>
      <c r="K432">
        <f>IF(E432="Domain",COUNTIF($E$2:E432,"Domain"),"")</f>
        <v/>
      </c>
    </row>
    <row r="433">
      <c r="A433" s="2" t="n"/>
      <c r="B433">
        <f>LOWER(TRIM(A433))</f>
        <v/>
      </c>
      <c r="C433">
        <f>IF(B433="","",IFERROR(INDEX('Bad Patterns'!$A$2:$A$120,MATCH(1,INDEX(--ISNUMBER(SEARCH('Bad Patterns'!$A$2:$A$120,B433)),0),0)),""))</f>
        <v/>
      </c>
      <c r="D433">
        <f>IF(B433="","",IF(C433&lt;&gt;"","REMOVE","KEEP"))</f>
        <v/>
      </c>
      <c r="E433">
        <f>IF(D433&lt;&gt;"KEEP","",IF(RIGHT(B433,10)="@gmail.com","Gmail",IF(OR(RIGHT(B433,12)="@outlook.com",RIGHT(B433,12)="@hotmail.com",RIGHT(B433,9)="@live.com"),"Outlook","Domain")))</f>
        <v/>
      </c>
      <c r="F433">
        <f>IF(B433="","",IFERROR(RIGHT(B433,LEN(B433)-FIND("@",B433)),""))</f>
        <v/>
      </c>
      <c r="G433">
        <f>IF(D433="KEEP",COUNTIF($D$2:D433,"KEEP"),"")</f>
        <v/>
      </c>
      <c r="H433">
        <f>IF(D433="REMOVE",COUNTIF($D$2:D433,"REMOVE"),"")</f>
        <v/>
      </c>
      <c r="I433">
        <f>IF(E433="Gmail",COUNTIF($E$2:E433,"Gmail"),"")</f>
        <v/>
      </c>
      <c r="J433">
        <f>IF(E433="Outlook",COUNTIF($E$2:E433,"Outlook"),"")</f>
        <v/>
      </c>
      <c r="K433">
        <f>IF(E433="Domain",COUNTIF($E$2:E433,"Domain"),"")</f>
        <v/>
      </c>
    </row>
    <row r="434">
      <c r="A434" s="2" t="n"/>
      <c r="B434">
        <f>LOWER(TRIM(A434))</f>
        <v/>
      </c>
      <c r="C434">
        <f>IF(B434="","",IFERROR(INDEX('Bad Patterns'!$A$2:$A$120,MATCH(1,INDEX(--ISNUMBER(SEARCH('Bad Patterns'!$A$2:$A$120,B434)),0),0)),""))</f>
        <v/>
      </c>
      <c r="D434">
        <f>IF(B434="","",IF(C434&lt;&gt;"","REMOVE","KEEP"))</f>
        <v/>
      </c>
      <c r="E434">
        <f>IF(D434&lt;&gt;"KEEP","",IF(RIGHT(B434,10)="@gmail.com","Gmail",IF(OR(RIGHT(B434,12)="@outlook.com",RIGHT(B434,12)="@hotmail.com",RIGHT(B434,9)="@live.com"),"Outlook","Domain")))</f>
        <v/>
      </c>
      <c r="F434">
        <f>IF(B434="","",IFERROR(RIGHT(B434,LEN(B434)-FIND("@",B434)),""))</f>
        <v/>
      </c>
      <c r="G434">
        <f>IF(D434="KEEP",COUNTIF($D$2:D434,"KEEP"),"")</f>
        <v/>
      </c>
      <c r="H434">
        <f>IF(D434="REMOVE",COUNTIF($D$2:D434,"REMOVE"),"")</f>
        <v/>
      </c>
      <c r="I434">
        <f>IF(E434="Gmail",COUNTIF($E$2:E434,"Gmail"),"")</f>
        <v/>
      </c>
      <c r="J434">
        <f>IF(E434="Outlook",COUNTIF($E$2:E434,"Outlook"),"")</f>
        <v/>
      </c>
      <c r="K434">
        <f>IF(E434="Domain",COUNTIF($E$2:E434,"Domain"),"")</f>
        <v/>
      </c>
    </row>
    <row r="435">
      <c r="A435" s="2" t="n"/>
      <c r="B435">
        <f>LOWER(TRIM(A435))</f>
        <v/>
      </c>
      <c r="C435">
        <f>IF(B435="","",IFERROR(INDEX('Bad Patterns'!$A$2:$A$120,MATCH(1,INDEX(--ISNUMBER(SEARCH('Bad Patterns'!$A$2:$A$120,B435)),0),0)),""))</f>
        <v/>
      </c>
      <c r="D435">
        <f>IF(B435="","",IF(C435&lt;&gt;"","REMOVE","KEEP"))</f>
        <v/>
      </c>
      <c r="E435">
        <f>IF(D435&lt;&gt;"KEEP","",IF(RIGHT(B435,10)="@gmail.com","Gmail",IF(OR(RIGHT(B435,12)="@outlook.com",RIGHT(B435,12)="@hotmail.com",RIGHT(B435,9)="@live.com"),"Outlook","Domain")))</f>
        <v/>
      </c>
      <c r="F435">
        <f>IF(B435="","",IFERROR(RIGHT(B435,LEN(B435)-FIND("@",B435)),""))</f>
        <v/>
      </c>
      <c r="G435">
        <f>IF(D435="KEEP",COUNTIF($D$2:D435,"KEEP"),"")</f>
        <v/>
      </c>
      <c r="H435">
        <f>IF(D435="REMOVE",COUNTIF($D$2:D435,"REMOVE"),"")</f>
        <v/>
      </c>
      <c r="I435">
        <f>IF(E435="Gmail",COUNTIF($E$2:E435,"Gmail"),"")</f>
        <v/>
      </c>
      <c r="J435">
        <f>IF(E435="Outlook",COUNTIF($E$2:E435,"Outlook"),"")</f>
        <v/>
      </c>
      <c r="K435">
        <f>IF(E435="Domain",COUNTIF($E$2:E435,"Domain"),"")</f>
        <v/>
      </c>
    </row>
    <row r="436">
      <c r="A436" s="2" t="n"/>
      <c r="B436">
        <f>LOWER(TRIM(A436))</f>
        <v/>
      </c>
      <c r="C436">
        <f>IF(B436="","",IFERROR(INDEX('Bad Patterns'!$A$2:$A$120,MATCH(1,INDEX(--ISNUMBER(SEARCH('Bad Patterns'!$A$2:$A$120,B436)),0),0)),""))</f>
        <v/>
      </c>
      <c r="D436">
        <f>IF(B436="","",IF(C436&lt;&gt;"","REMOVE","KEEP"))</f>
        <v/>
      </c>
      <c r="E436">
        <f>IF(D436&lt;&gt;"KEEP","",IF(RIGHT(B436,10)="@gmail.com","Gmail",IF(OR(RIGHT(B436,12)="@outlook.com",RIGHT(B436,12)="@hotmail.com",RIGHT(B436,9)="@live.com"),"Outlook","Domain")))</f>
        <v/>
      </c>
      <c r="F436">
        <f>IF(B436="","",IFERROR(RIGHT(B436,LEN(B436)-FIND("@",B436)),""))</f>
        <v/>
      </c>
      <c r="G436">
        <f>IF(D436="KEEP",COUNTIF($D$2:D436,"KEEP"),"")</f>
        <v/>
      </c>
      <c r="H436">
        <f>IF(D436="REMOVE",COUNTIF($D$2:D436,"REMOVE"),"")</f>
        <v/>
      </c>
      <c r="I436">
        <f>IF(E436="Gmail",COUNTIF($E$2:E436,"Gmail"),"")</f>
        <v/>
      </c>
      <c r="J436">
        <f>IF(E436="Outlook",COUNTIF($E$2:E436,"Outlook"),"")</f>
        <v/>
      </c>
      <c r="K436">
        <f>IF(E436="Domain",COUNTIF($E$2:E436,"Domain"),"")</f>
        <v/>
      </c>
    </row>
    <row r="437">
      <c r="A437" s="2" t="n"/>
      <c r="B437">
        <f>LOWER(TRIM(A437))</f>
        <v/>
      </c>
      <c r="C437">
        <f>IF(B437="","",IFERROR(INDEX('Bad Patterns'!$A$2:$A$120,MATCH(1,INDEX(--ISNUMBER(SEARCH('Bad Patterns'!$A$2:$A$120,B437)),0),0)),""))</f>
        <v/>
      </c>
      <c r="D437">
        <f>IF(B437="","",IF(C437&lt;&gt;"","REMOVE","KEEP"))</f>
        <v/>
      </c>
      <c r="E437">
        <f>IF(D437&lt;&gt;"KEEP","",IF(RIGHT(B437,10)="@gmail.com","Gmail",IF(OR(RIGHT(B437,12)="@outlook.com",RIGHT(B437,12)="@hotmail.com",RIGHT(B437,9)="@live.com"),"Outlook","Domain")))</f>
        <v/>
      </c>
      <c r="F437">
        <f>IF(B437="","",IFERROR(RIGHT(B437,LEN(B437)-FIND("@",B437)),""))</f>
        <v/>
      </c>
      <c r="G437">
        <f>IF(D437="KEEP",COUNTIF($D$2:D437,"KEEP"),"")</f>
        <v/>
      </c>
      <c r="H437">
        <f>IF(D437="REMOVE",COUNTIF($D$2:D437,"REMOVE"),"")</f>
        <v/>
      </c>
      <c r="I437">
        <f>IF(E437="Gmail",COUNTIF($E$2:E437,"Gmail"),"")</f>
        <v/>
      </c>
      <c r="J437">
        <f>IF(E437="Outlook",COUNTIF($E$2:E437,"Outlook"),"")</f>
        <v/>
      </c>
      <c r="K437">
        <f>IF(E437="Domain",COUNTIF($E$2:E437,"Domain"),"")</f>
        <v/>
      </c>
    </row>
    <row r="438">
      <c r="A438" s="2" t="n"/>
      <c r="B438">
        <f>LOWER(TRIM(A438))</f>
        <v/>
      </c>
      <c r="C438">
        <f>IF(B438="","",IFERROR(INDEX('Bad Patterns'!$A$2:$A$120,MATCH(1,INDEX(--ISNUMBER(SEARCH('Bad Patterns'!$A$2:$A$120,B438)),0),0)),""))</f>
        <v/>
      </c>
      <c r="D438">
        <f>IF(B438="","",IF(C438&lt;&gt;"","REMOVE","KEEP"))</f>
        <v/>
      </c>
      <c r="E438">
        <f>IF(D438&lt;&gt;"KEEP","",IF(RIGHT(B438,10)="@gmail.com","Gmail",IF(OR(RIGHT(B438,12)="@outlook.com",RIGHT(B438,12)="@hotmail.com",RIGHT(B438,9)="@live.com"),"Outlook","Domain")))</f>
        <v/>
      </c>
      <c r="F438">
        <f>IF(B438="","",IFERROR(RIGHT(B438,LEN(B438)-FIND("@",B438)),""))</f>
        <v/>
      </c>
      <c r="G438">
        <f>IF(D438="KEEP",COUNTIF($D$2:D438,"KEEP"),"")</f>
        <v/>
      </c>
      <c r="H438">
        <f>IF(D438="REMOVE",COUNTIF($D$2:D438,"REMOVE"),"")</f>
        <v/>
      </c>
      <c r="I438">
        <f>IF(E438="Gmail",COUNTIF($E$2:E438,"Gmail"),"")</f>
        <v/>
      </c>
      <c r="J438">
        <f>IF(E438="Outlook",COUNTIF($E$2:E438,"Outlook"),"")</f>
        <v/>
      </c>
      <c r="K438">
        <f>IF(E438="Domain",COUNTIF($E$2:E438,"Domain"),"")</f>
        <v/>
      </c>
    </row>
    <row r="439">
      <c r="A439" s="2" t="n"/>
      <c r="B439">
        <f>LOWER(TRIM(A439))</f>
        <v/>
      </c>
      <c r="C439">
        <f>IF(B439="","",IFERROR(INDEX('Bad Patterns'!$A$2:$A$120,MATCH(1,INDEX(--ISNUMBER(SEARCH('Bad Patterns'!$A$2:$A$120,B439)),0),0)),""))</f>
        <v/>
      </c>
      <c r="D439">
        <f>IF(B439="","",IF(C439&lt;&gt;"","REMOVE","KEEP"))</f>
        <v/>
      </c>
      <c r="E439">
        <f>IF(D439&lt;&gt;"KEEP","",IF(RIGHT(B439,10)="@gmail.com","Gmail",IF(OR(RIGHT(B439,12)="@outlook.com",RIGHT(B439,12)="@hotmail.com",RIGHT(B439,9)="@live.com"),"Outlook","Domain")))</f>
        <v/>
      </c>
      <c r="F439">
        <f>IF(B439="","",IFERROR(RIGHT(B439,LEN(B439)-FIND("@",B439)),""))</f>
        <v/>
      </c>
      <c r="G439">
        <f>IF(D439="KEEP",COUNTIF($D$2:D439,"KEEP"),"")</f>
        <v/>
      </c>
      <c r="H439">
        <f>IF(D439="REMOVE",COUNTIF($D$2:D439,"REMOVE"),"")</f>
        <v/>
      </c>
      <c r="I439">
        <f>IF(E439="Gmail",COUNTIF($E$2:E439,"Gmail"),"")</f>
        <v/>
      </c>
      <c r="J439">
        <f>IF(E439="Outlook",COUNTIF($E$2:E439,"Outlook"),"")</f>
        <v/>
      </c>
      <c r="K439">
        <f>IF(E439="Domain",COUNTIF($E$2:E439,"Domain"),"")</f>
        <v/>
      </c>
    </row>
    <row r="440">
      <c r="A440" s="2" t="n"/>
      <c r="B440">
        <f>LOWER(TRIM(A440))</f>
        <v/>
      </c>
      <c r="C440">
        <f>IF(B440="","",IFERROR(INDEX('Bad Patterns'!$A$2:$A$120,MATCH(1,INDEX(--ISNUMBER(SEARCH('Bad Patterns'!$A$2:$A$120,B440)),0),0)),""))</f>
        <v/>
      </c>
      <c r="D440">
        <f>IF(B440="","",IF(C440&lt;&gt;"","REMOVE","KEEP"))</f>
        <v/>
      </c>
      <c r="E440">
        <f>IF(D440&lt;&gt;"KEEP","",IF(RIGHT(B440,10)="@gmail.com","Gmail",IF(OR(RIGHT(B440,12)="@outlook.com",RIGHT(B440,12)="@hotmail.com",RIGHT(B440,9)="@live.com"),"Outlook","Domain")))</f>
        <v/>
      </c>
      <c r="F440">
        <f>IF(B440="","",IFERROR(RIGHT(B440,LEN(B440)-FIND("@",B440)),""))</f>
        <v/>
      </c>
      <c r="G440">
        <f>IF(D440="KEEP",COUNTIF($D$2:D440,"KEEP"),"")</f>
        <v/>
      </c>
      <c r="H440">
        <f>IF(D440="REMOVE",COUNTIF($D$2:D440,"REMOVE"),"")</f>
        <v/>
      </c>
      <c r="I440">
        <f>IF(E440="Gmail",COUNTIF($E$2:E440,"Gmail"),"")</f>
        <v/>
      </c>
      <c r="J440">
        <f>IF(E440="Outlook",COUNTIF($E$2:E440,"Outlook"),"")</f>
        <v/>
      </c>
      <c r="K440">
        <f>IF(E440="Domain",COUNTIF($E$2:E440,"Domain"),"")</f>
        <v/>
      </c>
    </row>
    <row r="441">
      <c r="A441" s="2" t="n"/>
      <c r="B441">
        <f>LOWER(TRIM(A441))</f>
        <v/>
      </c>
      <c r="C441">
        <f>IF(B441="","",IFERROR(INDEX('Bad Patterns'!$A$2:$A$120,MATCH(1,INDEX(--ISNUMBER(SEARCH('Bad Patterns'!$A$2:$A$120,B441)),0),0)),""))</f>
        <v/>
      </c>
      <c r="D441">
        <f>IF(B441="","",IF(C441&lt;&gt;"","REMOVE","KEEP"))</f>
        <v/>
      </c>
      <c r="E441">
        <f>IF(D441&lt;&gt;"KEEP","",IF(RIGHT(B441,10)="@gmail.com","Gmail",IF(OR(RIGHT(B441,12)="@outlook.com",RIGHT(B441,12)="@hotmail.com",RIGHT(B441,9)="@live.com"),"Outlook","Domain")))</f>
        <v/>
      </c>
      <c r="F441">
        <f>IF(B441="","",IFERROR(RIGHT(B441,LEN(B441)-FIND("@",B441)),""))</f>
        <v/>
      </c>
      <c r="G441">
        <f>IF(D441="KEEP",COUNTIF($D$2:D441,"KEEP"),"")</f>
        <v/>
      </c>
      <c r="H441">
        <f>IF(D441="REMOVE",COUNTIF($D$2:D441,"REMOVE"),"")</f>
        <v/>
      </c>
      <c r="I441">
        <f>IF(E441="Gmail",COUNTIF($E$2:E441,"Gmail"),"")</f>
        <v/>
      </c>
      <c r="J441">
        <f>IF(E441="Outlook",COUNTIF($E$2:E441,"Outlook"),"")</f>
        <v/>
      </c>
      <c r="K441">
        <f>IF(E441="Domain",COUNTIF($E$2:E441,"Domain"),"")</f>
        <v/>
      </c>
    </row>
    <row r="442">
      <c r="A442" s="2" t="n"/>
      <c r="B442">
        <f>LOWER(TRIM(A442))</f>
        <v/>
      </c>
      <c r="C442">
        <f>IF(B442="","",IFERROR(INDEX('Bad Patterns'!$A$2:$A$120,MATCH(1,INDEX(--ISNUMBER(SEARCH('Bad Patterns'!$A$2:$A$120,B442)),0),0)),""))</f>
        <v/>
      </c>
      <c r="D442">
        <f>IF(B442="","",IF(C442&lt;&gt;"","REMOVE","KEEP"))</f>
        <v/>
      </c>
      <c r="E442">
        <f>IF(D442&lt;&gt;"KEEP","",IF(RIGHT(B442,10)="@gmail.com","Gmail",IF(OR(RIGHT(B442,12)="@outlook.com",RIGHT(B442,12)="@hotmail.com",RIGHT(B442,9)="@live.com"),"Outlook","Domain")))</f>
        <v/>
      </c>
      <c r="F442">
        <f>IF(B442="","",IFERROR(RIGHT(B442,LEN(B442)-FIND("@",B442)),""))</f>
        <v/>
      </c>
      <c r="G442">
        <f>IF(D442="KEEP",COUNTIF($D$2:D442,"KEEP"),"")</f>
        <v/>
      </c>
      <c r="H442">
        <f>IF(D442="REMOVE",COUNTIF($D$2:D442,"REMOVE"),"")</f>
        <v/>
      </c>
      <c r="I442">
        <f>IF(E442="Gmail",COUNTIF($E$2:E442,"Gmail"),"")</f>
        <v/>
      </c>
      <c r="J442">
        <f>IF(E442="Outlook",COUNTIF($E$2:E442,"Outlook"),"")</f>
        <v/>
      </c>
      <c r="K442">
        <f>IF(E442="Domain",COUNTIF($E$2:E442,"Domain"),"")</f>
        <v/>
      </c>
    </row>
    <row r="443">
      <c r="A443" s="2" t="n"/>
      <c r="B443">
        <f>LOWER(TRIM(A443))</f>
        <v/>
      </c>
      <c r="C443">
        <f>IF(B443="","",IFERROR(INDEX('Bad Patterns'!$A$2:$A$120,MATCH(1,INDEX(--ISNUMBER(SEARCH('Bad Patterns'!$A$2:$A$120,B443)),0),0)),""))</f>
        <v/>
      </c>
      <c r="D443">
        <f>IF(B443="","",IF(C443&lt;&gt;"","REMOVE","KEEP"))</f>
        <v/>
      </c>
      <c r="E443">
        <f>IF(D443&lt;&gt;"KEEP","",IF(RIGHT(B443,10)="@gmail.com","Gmail",IF(OR(RIGHT(B443,12)="@outlook.com",RIGHT(B443,12)="@hotmail.com",RIGHT(B443,9)="@live.com"),"Outlook","Domain")))</f>
        <v/>
      </c>
      <c r="F443">
        <f>IF(B443="","",IFERROR(RIGHT(B443,LEN(B443)-FIND("@",B443)),""))</f>
        <v/>
      </c>
      <c r="G443">
        <f>IF(D443="KEEP",COUNTIF($D$2:D443,"KEEP"),"")</f>
        <v/>
      </c>
      <c r="H443">
        <f>IF(D443="REMOVE",COUNTIF($D$2:D443,"REMOVE"),"")</f>
        <v/>
      </c>
      <c r="I443">
        <f>IF(E443="Gmail",COUNTIF($E$2:E443,"Gmail"),"")</f>
        <v/>
      </c>
      <c r="J443">
        <f>IF(E443="Outlook",COUNTIF($E$2:E443,"Outlook"),"")</f>
        <v/>
      </c>
      <c r="K443">
        <f>IF(E443="Domain",COUNTIF($E$2:E443,"Domain"),"")</f>
        <v/>
      </c>
    </row>
    <row r="444">
      <c r="A444" s="2" t="n"/>
      <c r="B444">
        <f>LOWER(TRIM(A444))</f>
        <v/>
      </c>
      <c r="C444">
        <f>IF(B444="","",IFERROR(INDEX('Bad Patterns'!$A$2:$A$120,MATCH(1,INDEX(--ISNUMBER(SEARCH('Bad Patterns'!$A$2:$A$120,B444)),0),0)),""))</f>
        <v/>
      </c>
      <c r="D444">
        <f>IF(B444="","",IF(C444&lt;&gt;"","REMOVE","KEEP"))</f>
        <v/>
      </c>
      <c r="E444">
        <f>IF(D444&lt;&gt;"KEEP","",IF(RIGHT(B444,10)="@gmail.com","Gmail",IF(OR(RIGHT(B444,12)="@outlook.com",RIGHT(B444,12)="@hotmail.com",RIGHT(B444,9)="@live.com"),"Outlook","Domain")))</f>
        <v/>
      </c>
      <c r="F444">
        <f>IF(B444="","",IFERROR(RIGHT(B444,LEN(B444)-FIND("@",B444)),""))</f>
        <v/>
      </c>
      <c r="G444">
        <f>IF(D444="KEEP",COUNTIF($D$2:D444,"KEEP"),"")</f>
        <v/>
      </c>
      <c r="H444">
        <f>IF(D444="REMOVE",COUNTIF($D$2:D444,"REMOVE"),"")</f>
        <v/>
      </c>
      <c r="I444">
        <f>IF(E444="Gmail",COUNTIF($E$2:E444,"Gmail"),"")</f>
        <v/>
      </c>
      <c r="J444">
        <f>IF(E444="Outlook",COUNTIF($E$2:E444,"Outlook"),"")</f>
        <v/>
      </c>
      <c r="K444">
        <f>IF(E444="Domain",COUNTIF($E$2:E444,"Domain"),"")</f>
        <v/>
      </c>
    </row>
    <row r="445">
      <c r="A445" s="2" t="n"/>
      <c r="B445">
        <f>LOWER(TRIM(A445))</f>
        <v/>
      </c>
      <c r="C445">
        <f>IF(B445="","",IFERROR(INDEX('Bad Patterns'!$A$2:$A$120,MATCH(1,INDEX(--ISNUMBER(SEARCH('Bad Patterns'!$A$2:$A$120,B445)),0),0)),""))</f>
        <v/>
      </c>
      <c r="D445">
        <f>IF(B445="","",IF(C445&lt;&gt;"","REMOVE","KEEP"))</f>
        <v/>
      </c>
      <c r="E445">
        <f>IF(D445&lt;&gt;"KEEP","",IF(RIGHT(B445,10)="@gmail.com","Gmail",IF(OR(RIGHT(B445,12)="@outlook.com",RIGHT(B445,12)="@hotmail.com",RIGHT(B445,9)="@live.com"),"Outlook","Domain")))</f>
        <v/>
      </c>
      <c r="F445">
        <f>IF(B445="","",IFERROR(RIGHT(B445,LEN(B445)-FIND("@",B445)),""))</f>
        <v/>
      </c>
      <c r="G445">
        <f>IF(D445="KEEP",COUNTIF($D$2:D445,"KEEP"),"")</f>
        <v/>
      </c>
      <c r="H445">
        <f>IF(D445="REMOVE",COUNTIF($D$2:D445,"REMOVE"),"")</f>
        <v/>
      </c>
      <c r="I445">
        <f>IF(E445="Gmail",COUNTIF($E$2:E445,"Gmail"),"")</f>
        <v/>
      </c>
      <c r="J445">
        <f>IF(E445="Outlook",COUNTIF($E$2:E445,"Outlook"),"")</f>
        <v/>
      </c>
      <c r="K445">
        <f>IF(E445="Domain",COUNTIF($E$2:E445,"Domain"),"")</f>
        <v/>
      </c>
    </row>
    <row r="446">
      <c r="A446" s="2" t="n"/>
      <c r="B446">
        <f>LOWER(TRIM(A446))</f>
        <v/>
      </c>
      <c r="C446">
        <f>IF(B446="","",IFERROR(INDEX('Bad Patterns'!$A$2:$A$120,MATCH(1,INDEX(--ISNUMBER(SEARCH('Bad Patterns'!$A$2:$A$120,B446)),0),0)),""))</f>
        <v/>
      </c>
      <c r="D446">
        <f>IF(B446="","",IF(C446&lt;&gt;"","REMOVE","KEEP"))</f>
        <v/>
      </c>
      <c r="E446">
        <f>IF(D446&lt;&gt;"KEEP","",IF(RIGHT(B446,10)="@gmail.com","Gmail",IF(OR(RIGHT(B446,12)="@outlook.com",RIGHT(B446,12)="@hotmail.com",RIGHT(B446,9)="@live.com"),"Outlook","Domain")))</f>
        <v/>
      </c>
      <c r="F446">
        <f>IF(B446="","",IFERROR(RIGHT(B446,LEN(B446)-FIND("@",B446)),""))</f>
        <v/>
      </c>
      <c r="G446">
        <f>IF(D446="KEEP",COUNTIF($D$2:D446,"KEEP"),"")</f>
        <v/>
      </c>
      <c r="H446">
        <f>IF(D446="REMOVE",COUNTIF($D$2:D446,"REMOVE"),"")</f>
        <v/>
      </c>
      <c r="I446">
        <f>IF(E446="Gmail",COUNTIF($E$2:E446,"Gmail"),"")</f>
        <v/>
      </c>
      <c r="J446">
        <f>IF(E446="Outlook",COUNTIF($E$2:E446,"Outlook"),"")</f>
        <v/>
      </c>
      <c r="K446">
        <f>IF(E446="Domain",COUNTIF($E$2:E446,"Domain"),"")</f>
        <v/>
      </c>
    </row>
    <row r="447">
      <c r="A447" s="2" t="n"/>
      <c r="B447">
        <f>LOWER(TRIM(A447))</f>
        <v/>
      </c>
      <c r="C447">
        <f>IF(B447="","",IFERROR(INDEX('Bad Patterns'!$A$2:$A$120,MATCH(1,INDEX(--ISNUMBER(SEARCH('Bad Patterns'!$A$2:$A$120,B447)),0),0)),""))</f>
        <v/>
      </c>
      <c r="D447">
        <f>IF(B447="","",IF(C447&lt;&gt;"","REMOVE","KEEP"))</f>
        <v/>
      </c>
      <c r="E447">
        <f>IF(D447&lt;&gt;"KEEP","",IF(RIGHT(B447,10)="@gmail.com","Gmail",IF(OR(RIGHT(B447,12)="@outlook.com",RIGHT(B447,12)="@hotmail.com",RIGHT(B447,9)="@live.com"),"Outlook","Domain")))</f>
        <v/>
      </c>
      <c r="F447">
        <f>IF(B447="","",IFERROR(RIGHT(B447,LEN(B447)-FIND("@",B447)),""))</f>
        <v/>
      </c>
      <c r="G447">
        <f>IF(D447="KEEP",COUNTIF($D$2:D447,"KEEP"),"")</f>
        <v/>
      </c>
      <c r="H447">
        <f>IF(D447="REMOVE",COUNTIF($D$2:D447,"REMOVE"),"")</f>
        <v/>
      </c>
      <c r="I447">
        <f>IF(E447="Gmail",COUNTIF($E$2:E447,"Gmail"),"")</f>
        <v/>
      </c>
      <c r="J447">
        <f>IF(E447="Outlook",COUNTIF($E$2:E447,"Outlook"),"")</f>
        <v/>
      </c>
      <c r="K447">
        <f>IF(E447="Domain",COUNTIF($E$2:E447,"Domain"),"")</f>
        <v/>
      </c>
    </row>
    <row r="448">
      <c r="A448" s="2" t="n"/>
      <c r="B448">
        <f>LOWER(TRIM(A448))</f>
        <v/>
      </c>
      <c r="C448">
        <f>IF(B448="","",IFERROR(INDEX('Bad Patterns'!$A$2:$A$120,MATCH(1,INDEX(--ISNUMBER(SEARCH('Bad Patterns'!$A$2:$A$120,B448)),0),0)),""))</f>
        <v/>
      </c>
      <c r="D448">
        <f>IF(B448="","",IF(C448&lt;&gt;"","REMOVE","KEEP"))</f>
        <v/>
      </c>
      <c r="E448">
        <f>IF(D448&lt;&gt;"KEEP","",IF(RIGHT(B448,10)="@gmail.com","Gmail",IF(OR(RIGHT(B448,12)="@outlook.com",RIGHT(B448,12)="@hotmail.com",RIGHT(B448,9)="@live.com"),"Outlook","Domain")))</f>
        <v/>
      </c>
      <c r="F448">
        <f>IF(B448="","",IFERROR(RIGHT(B448,LEN(B448)-FIND("@",B448)),""))</f>
        <v/>
      </c>
      <c r="G448">
        <f>IF(D448="KEEP",COUNTIF($D$2:D448,"KEEP"),"")</f>
        <v/>
      </c>
      <c r="H448">
        <f>IF(D448="REMOVE",COUNTIF($D$2:D448,"REMOVE"),"")</f>
        <v/>
      </c>
      <c r="I448">
        <f>IF(E448="Gmail",COUNTIF($E$2:E448,"Gmail"),"")</f>
        <v/>
      </c>
      <c r="J448">
        <f>IF(E448="Outlook",COUNTIF($E$2:E448,"Outlook"),"")</f>
        <v/>
      </c>
      <c r="K448">
        <f>IF(E448="Domain",COUNTIF($E$2:E448,"Domain"),"")</f>
        <v/>
      </c>
    </row>
    <row r="449">
      <c r="A449" s="2" t="n"/>
      <c r="B449">
        <f>LOWER(TRIM(A449))</f>
        <v/>
      </c>
      <c r="C449">
        <f>IF(B449="","",IFERROR(INDEX('Bad Patterns'!$A$2:$A$120,MATCH(1,INDEX(--ISNUMBER(SEARCH('Bad Patterns'!$A$2:$A$120,B449)),0),0)),""))</f>
        <v/>
      </c>
      <c r="D449">
        <f>IF(B449="","",IF(C449&lt;&gt;"","REMOVE","KEEP"))</f>
        <v/>
      </c>
      <c r="E449">
        <f>IF(D449&lt;&gt;"KEEP","",IF(RIGHT(B449,10)="@gmail.com","Gmail",IF(OR(RIGHT(B449,12)="@outlook.com",RIGHT(B449,12)="@hotmail.com",RIGHT(B449,9)="@live.com"),"Outlook","Domain")))</f>
        <v/>
      </c>
      <c r="F449">
        <f>IF(B449="","",IFERROR(RIGHT(B449,LEN(B449)-FIND("@",B449)),""))</f>
        <v/>
      </c>
      <c r="G449">
        <f>IF(D449="KEEP",COUNTIF($D$2:D449,"KEEP"),"")</f>
        <v/>
      </c>
      <c r="H449">
        <f>IF(D449="REMOVE",COUNTIF($D$2:D449,"REMOVE"),"")</f>
        <v/>
      </c>
      <c r="I449">
        <f>IF(E449="Gmail",COUNTIF($E$2:E449,"Gmail"),"")</f>
        <v/>
      </c>
      <c r="J449">
        <f>IF(E449="Outlook",COUNTIF($E$2:E449,"Outlook"),"")</f>
        <v/>
      </c>
      <c r="K449">
        <f>IF(E449="Domain",COUNTIF($E$2:E449,"Domain"),"")</f>
        <v/>
      </c>
    </row>
    <row r="450">
      <c r="A450" s="2" t="n"/>
      <c r="B450">
        <f>LOWER(TRIM(A450))</f>
        <v/>
      </c>
      <c r="C450">
        <f>IF(B450="","",IFERROR(INDEX('Bad Patterns'!$A$2:$A$120,MATCH(1,INDEX(--ISNUMBER(SEARCH('Bad Patterns'!$A$2:$A$120,B450)),0),0)),""))</f>
        <v/>
      </c>
      <c r="D450">
        <f>IF(B450="","",IF(C450&lt;&gt;"","REMOVE","KEEP"))</f>
        <v/>
      </c>
      <c r="E450">
        <f>IF(D450&lt;&gt;"KEEP","",IF(RIGHT(B450,10)="@gmail.com","Gmail",IF(OR(RIGHT(B450,12)="@outlook.com",RIGHT(B450,12)="@hotmail.com",RIGHT(B450,9)="@live.com"),"Outlook","Domain")))</f>
        <v/>
      </c>
      <c r="F450">
        <f>IF(B450="","",IFERROR(RIGHT(B450,LEN(B450)-FIND("@",B450)),""))</f>
        <v/>
      </c>
      <c r="G450">
        <f>IF(D450="KEEP",COUNTIF($D$2:D450,"KEEP"),"")</f>
        <v/>
      </c>
      <c r="H450">
        <f>IF(D450="REMOVE",COUNTIF($D$2:D450,"REMOVE"),"")</f>
        <v/>
      </c>
      <c r="I450">
        <f>IF(E450="Gmail",COUNTIF($E$2:E450,"Gmail"),"")</f>
        <v/>
      </c>
      <c r="J450">
        <f>IF(E450="Outlook",COUNTIF($E$2:E450,"Outlook"),"")</f>
        <v/>
      </c>
      <c r="K450">
        <f>IF(E450="Domain",COUNTIF($E$2:E450,"Domain"),"")</f>
        <v/>
      </c>
    </row>
    <row r="451">
      <c r="A451" s="2" t="n"/>
      <c r="B451">
        <f>LOWER(TRIM(A451))</f>
        <v/>
      </c>
      <c r="C451">
        <f>IF(B451="","",IFERROR(INDEX('Bad Patterns'!$A$2:$A$120,MATCH(1,INDEX(--ISNUMBER(SEARCH('Bad Patterns'!$A$2:$A$120,B451)),0),0)),""))</f>
        <v/>
      </c>
      <c r="D451">
        <f>IF(B451="","",IF(C451&lt;&gt;"","REMOVE","KEEP"))</f>
        <v/>
      </c>
      <c r="E451">
        <f>IF(D451&lt;&gt;"KEEP","",IF(RIGHT(B451,10)="@gmail.com","Gmail",IF(OR(RIGHT(B451,12)="@outlook.com",RIGHT(B451,12)="@hotmail.com",RIGHT(B451,9)="@live.com"),"Outlook","Domain")))</f>
        <v/>
      </c>
      <c r="F451">
        <f>IF(B451="","",IFERROR(RIGHT(B451,LEN(B451)-FIND("@",B451)),""))</f>
        <v/>
      </c>
      <c r="G451">
        <f>IF(D451="KEEP",COUNTIF($D$2:D451,"KEEP"),"")</f>
        <v/>
      </c>
      <c r="H451">
        <f>IF(D451="REMOVE",COUNTIF($D$2:D451,"REMOVE"),"")</f>
        <v/>
      </c>
      <c r="I451">
        <f>IF(E451="Gmail",COUNTIF($E$2:E451,"Gmail"),"")</f>
        <v/>
      </c>
      <c r="J451">
        <f>IF(E451="Outlook",COUNTIF($E$2:E451,"Outlook"),"")</f>
        <v/>
      </c>
      <c r="K451">
        <f>IF(E451="Domain",COUNTIF($E$2:E451,"Domain"),"")</f>
        <v/>
      </c>
    </row>
    <row r="452">
      <c r="A452" s="2" t="n"/>
      <c r="B452">
        <f>LOWER(TRIM(A452))</f>
        <v/>
      </c>
      <c r="C452">
        <f>IF(B452="","",IFERROR(INDEX('Bad Patterns'!$A$2:$A$120,MATCH(1,INDEX(--ISNUMBER(SEARCH('Bad Patterns'!$A$2:$A$120,B452)),0),0)),""))</f>
        <v/>
      </c>
      <c r="D452">
        <f>IF(B452="","",IF(C452&lt;&gt;"","REMOVE","KEEP"))</f>
        <v/>
      </c>
      <c r="E452">
        <f>IF(D452&lt;&gt;"KEEP","",IF(RIGHT(B452,10)="@gmail.com","Gmail",IF(OR(RIGHT(B452,12)="@outlook.com",RIGHT(B452,12)="@hotmail.com",RIGHT(B452,9)="@live.com"),"Outlook","Domain")))</f>
        <v/>
      </c>
      <c r="F452">
        <f>IF(B452="","",IFERROR(RIGHT(B452,LEN(B452)-FIND("@",B452)),""))</f>
        <v/>
      </c>
      <c r="G452">
        <f>IF(D452="KEEP",COUNTIF($D$2:D452,"KEEP"),"")</f>
        <v/>
      </c>
      <c r="H452">
        <f>IF(D452="REMOVE",COUNTIF($D$2:D452,"REMOVE"),"")</f>
        <v/>
      </c>
      <c r="I452">
        <f>IF(E452="Gmail",COUNTIF($E$2:E452,"Gmail"),"")</f>
        <v/>
      </c>
      <c r="J452">
        <f>IF(E452="Outlook",COUNTIF($E$2:E452,"Outlook"),"")</f>
        <v/>
      </c>
      <c r="K452">
        <f>IF(E452="Domain",COUNTIF($E$2:E452,"Domain"),"")</f>
        <v/>
      </c>
    </row>
    <row r="453">
      <c r="A453" s="2" t="n"/>
      <c r="B453">
        <f>LOWER(TRIM(A453))</f>
        <v/>
      </c>
      <c r="C453">
        <f>IF(B453="","",IFERROR(INDEX('Bad Patterns'!$A$2:$A$120,MATCH(1,INDEX(--ISNUMBER(SEARCH('Bad Patterns'!$A$2:$A$120,B453)),0),0)),""))</f>
        <v/>
      </c>
      <c r="D453">
        <f>IF(B453="","",IF(C453&lt;&gt;"","REMOVE","KEEP"))</f>
        <v/>
      </c>
      <c r="E453">
        <f>IF(D453&lt;&gt;"KEEP","",IF(RIGHT(B453,10)="@gmail.com","Gmail",IF(OR(RIGHT(B453,12)="@outlook.com",RIGHT(B453,12)="@hotmail.com",RIGHT(B453,9)="@live.com"),"Outlook","Domain")))</f>
        <v/>
      </c>
      <c r="F453">
        <f>IF(B453="","",IFERROR(RIGHT(B453,LEN(B453)-FIND("@",B453)),""))</f>
        <v/>
      </c>
      <c r="G453">
        <f>IF(D453="KEEP",COUNTIF($D$2:D453,"KEEP"),"")</f>
        <v/>
      </c>
      <c r="H453">
        <f>IF(D453="REMOVE",COUNTIF($D$2:D453,"REMOVE"),"")</f>
        <v/>
      </c>
      <c r="I453">
        <f>IF(E453="Gmail",COUNTIF($E$2:E453,"Gmail"),"")</f>
        <v/>
      </c>
      <c r="J453">
        <f>IF(E453="Outlook",COUNTIF($E$2:E453,"Outlook"),"")</f>
        <v/>
      </c>
      <c r="K453">
        <f>IF(E453="Domain",COUNTIF($E$2:E453,"Domain"),"")</f>
        <v/>
      </c>
    </row>
    <row r="454">
      <c r="A454" s="2" t="n"/>
      <c r="B454">
        <f>LOWER(TRIM(A454))</f>
        <v/>
      </c>
      <c r="C454">
        <f>IF(B454="","",IFERROR(INDEX('Bad Patterns'!$A$2:$A$120,MATCH(1,INDEX(--ISNUMBER(SEARCH('Bad Patterns'!$A$2:$A$120,B454)),0),0)),""))</f>
        <v/>
      </c>
      <c r="D454">
        <f>IF(B454="","",IF(C454&lt;&gt;"","REMOVE","KEEP"))</f>
        <v/>
      </c>
      <c r="E454">
        <f>IF(D454&lt;&gt;"KEEP","",IF(RIGHT(B454,10)="@gmail.com","Gmail",IF(OR(RIGHT(B454,12)="@outlook.com",RIGHT(B454,12)="@hotmail.com",RIGHT(B454,9)="@live.com"),"Outlook","Domain")))</f>
        <v/>
      </c>
      <c r="F454">
        <f>IF(B454="","",IFERROR(RIGHT(B454,LEN(B454)-FIND("@",B454)),""))</f>
        <v/>
      </c>
      <c r="G454">
        <f>IF(D454="KEEP",COUNTIF($D$2:D454,"KEEP"),"")</f>
        <v/>
      </c>
      <c r="H454">
        <f>IF(D454="REMOVE",COUNTIF($D$2:D454,"REMOVE"),"")</f>
        <v/>
      </c>
      <c r="I454">
        <f>IF(E454="Gmail",COUNTIF($E$2:E454,"Gmail"),"")</f>
        <v/>
      </c>
      <c r="J454">
        <f>IF(E454="Outlook",COUNTIF($E$2:E454,"Outlook"),"")</f>
        <v/>
      </c>
      <c r="K454">
        <f>IF(E454="Domain",COUNTIF($E$2:E454,"Domain"),"")</f>
        <v/>
      </c>
    </row>
    <row r="455">
      <c r="A455" s="2" t="n"/>
      <c r="B455">
        <f>LOWER(TRIM(A455))</f>
        <v/>
      </c>
      <c r="C455">
        <f>IF(B455="","",IFERROR(INDEX('Bad Patterns'!$A$2:$A$120,MATCH(1,INDEX(--ISNUMBER(SEARCH('Bad Patterns'!$A$2:$A$120,B455)),0),0)),""))</f>
        <v/>
      </c>
      <c r="D455">
        <f>IF(B455="","",IF(C455&lt;&gt;"","REMOVE","KEEP"))</f>
        <v/>
      </c>
      <c r="E455">
        <f>IF(D455&lt;&gt;"KEEP","",IF(RIGHT(B455,10)="@gmail.com","Gmail",IF(OR(RIGHT(B455,12)="@outlook.com",RIGHT(B455,12)="@hotmail.com",RIGHT(B455,9)="@live.com"),"Outlook","Domain")))</f>
        <v/>
      </c>
      <c r="F455">
        <f>IF(B455="","",IFERROR(RIGHT(B455,LEN(B455)-FIND("@",B455)),""))</f>
        <v/>
      </c>
      <c r="G455">
        <f>IF(D455="KEEP",COUNTIF($D$2:D455,"KEEP"),"")</f>
        <v/>
      </c>
      <c r="H455">
        <f>IF(D455="REMOVE",COUNTIF($D$2:D455,"REMOVE"),"")</f>
        <v/>
      </c>
      <c r="I455">
        <f>IF(E455="Gmail",COUNTIF($E$2:E455,"Gmail"),"")</f>
        <v/>
      </c>
      <c r="J455">
        <f>IF(E455="Outlook",COUNTIF($E$2:E455,"Outlook"),"")</f>
        <v/>
      </c>
      <c r="K455">
        <f>IF(E455="Domain",COUNTIF($E$2:E455,"Domain"),"")</f>
        <v/>
      </c>
    </row>
    <row r="456">
      <c r="A456" s="2" t="n"/>
      <c r="B456">
        <f>LOWER(TRIM(A456))</f>
        <v/>
      </c>
      <c r="C456">
        <f>IF(B456="","",IFERROR(INDEX('Bad Patterns'!$A$2:$A$120,MATCH(1,INDEX(--ISNUMBER(SEARCH('Bad Patterns'!$A$2:$A$120,B456)),0),0)),""))</f>
        <v/>
      </c>
      <c r="D456">
        <f>IF(B456="","",IF(C456&lt;&gt;"","REMOVE","KEEP"))</f>
        <v/>
      </c>
      <c r="E456">
        <f>IF(D456&lt;&gt;"KEEP","",IF(RIGHT(B456,10)="@gmail.com","Gmail",IF(OR(RIGHT(B456,12)="@outlook.com",RIGHT(B456,12)="@hotmail.com",RIGHT(B456,9)="@live.com"),"Outlook","Domain")))</f>
        <v/>
      </c>
      <c r="F456">
        <f>IF(B456="","",IFERROR(RIGHT(B456,LEN(B456)-FIND("@",B456)),""))</f>
        <v/>
      </c>
      <c r="G456">
        <f>IF(D456="KEEP",COUNTIF($D$2:D456,"KEEP"),"")</f>
        <v/>
      </c>
      <c r="H456">
        <f>IF(D456="REMOVE",COUNTIF($D$2:D456,"REMOVE"),"")</f>
        <v/>
      </c>
      <c r="I456">
        <f>IF(E456="Gmail",COUNTIF($E$2:E456,"Gmail"),"")</f>
        <v/>
      </c>
      <c r="J456">
        <f>IF(E456="Outlook",COUNTIF($E$2:E456,"Outlook"),"")</f>
        <v/>
      </c>
      <c r="K456">
        <f>IF(E456="Domain",COUNTIF($E$2:E456,"Domain"),"")</f>
        <v/>
      </c>
    </row>
    <row r="457">
      <c r="A457" s="2" t="n"/>
      <c r="B457">
        <f>LOWER(TRIM(A457))</f>
        <v/>
      </c>
      <c r="C457">
        <f>IF(B457="","",IFERROR(INDEX('Bad Patterns'!$A$2:$A$120,MATCH(1,INDEX(--ISNUMBER(SEARCH('Bad Patterns'!$A$2:$A$120,B457)),0),0)),""))</f>
        <v/>
      </c>
      <c r="D457">
        <f>IF(B457="","",IF(C457&lt;&gt;"","REMOVE","KEEP"))</f>
        <v/>
      </c>
      <c r="E457">
        <f>IF(D457&lt;&gt;"KEEP","",IF(RIGHT(B457,10)="@gmail.com","Gmail",IF(OR(RIGHT(B457,12)="@outlook.com",RIGHT(B457,12)="@hotmail.com",RIGHT(B457,9)="@live.com"),"Outlook","Domain")))</f>
        <v/>
      </c>
      <c r="F457">
        <f>IF(B457="","",IFERROR(RIGHT(B457,LEN(B457)-FIND("@",B457)),""))</f>
        <v/>
      </c>
      <c r="G457">
        <f>IF(D457="KEEP",COUNTIF($D$2:D457,"KEEP"),"")</f>
        <v/>
      </c>
      <c r="H457">
        <f>IF(D457="REMOVE",COUNTIF($D$2:D457,"REMOVE"),"")</f>
        <v/>
      </c>
      <c r="I457">
        <f>IF(E457="Gmail",COUNTIF($E$2:E457,"Gmail"),"")</f>
        <v/>
      </c>
      <c r="J457">
        <f>IF(E457="Outlook",COUNTIF($E$2:E457,"Outlook"),"")</f>
        <v/>
      </c>
      <c r="K457">
        <f>IF(E457="Domain",COUNTIF($E$2:E457,"Domain"),"")</f>
        <v/>
      </c>
    </row>
    <row r="458">
      <c r="A458" s="2" t="n"/>
      <c r="B458">
        <f>LOWER(TRIM(A458))</f>
        <v/>
      </c>
      <c r="C458">
        <f>IF(B458="","",IFERROR(INDEX('Bad Patterns'!$A$2:$A$120,MATCH(1,INDEX(--ISNUMBER(SEARCH('Bad Patterns'!$A$2:$A$120,B458)),0),0)),""))</f>
        <v/>
      </c>
      <c r="D458">
        <f>IF(B458="","",IF(C458&lt;&gt;"","REMOVE","KEEP"))</f>
        <v/>
      </c>
      <c r="E458">
        <f>IF(D458&lt;&gt;"KEEP","",IF(RIGHT(B458,10)="@gmail.com","Gmail",IF(OR(RIGHT(B458,12)="@outlook.com",RIGHT(B458,12)="@hotmail.com",RIGHT(B458,9)="@live.com"),"Outlook","Domain")))</f>
        <v/>
      </c>
      <c r="F458">
        <f>IF(B458="","",IFERROR(RIGHT(B458,LEN(B458)-FIND("@",B458)),""))</f>
        <v/>
      </c>
      <c r="G458">
        <f>IF(D458="KEEP",COUNTIF($D$2:D458,"KEEP"),"")</f>
        <v/>
      </c>
      <c r="H458">
        <f>IF(D458="REMOVE",COUNTIF($D$2:D458,"REMOVE"),"")</f>
        <v/>
      </c>
      <c r="I458">
        <f>IF(E458="Gmail",COUNTIF($E$2:E458,"Gmail"),"")</f>
        <v/>
      </c>
      <c r="J458">
        <f>IF(E458="Outlook",COUNTIF($E$2:E458,"Outlook"),"")</f>
        <v/>
      </c>
      <c r="K458">
        <f>IF(E458="Domain",COUNTIF($E$2:E458,"Domain"),"")</f>
        <v/>
      </c>
    </row>
    <row r="459">
      <c r="A459" s="2" t="n"/>
      <c r="B459">
        <f>LOWER(TRIM(A459))</f>
        <v/>
      </c>
      <c r="C459">
        <f>IF(B459="","",IFERROR(INDEX('Bad Patterns'!$A$2:$A$120,MATCH(1,INDEX(--ISNUMBER(SEARCH('Bad Patterns'!$A$2:$A$120,B459)),0),0)),""))</f>
        <v/>
      </c>
      <c r="D459">
        <f>IF(B459="","",IF(C459&lt;&gt;"","REMOVE","KEEP"))</f>
        <v/>
      </c>
      <c r="E459">
        <f>IF(D459&lt;&gt;"KEEP","",IF(RIGHT(B459,10)="@gmail.com","Gmail",IF(OR(RIGHT(B459,12)="@outlook.com",RIGHT(B459,12)="@hotmail.com",RIGHT(B459,9)="@live.com"),"Outlook","Domain")))</f>
        <v/>
      </c>
      <c r="F459">
        <f>IF(B459="","",IFERROR(RIGHT(B459,LEN(B459)-FIND("@",B459)),""))</f>
        <v/>
      </c>
      <c r="G459">
        <f>IF(D459="KEEP",COUNTIF($D$2:D459,"KEEP"),"")</f>
        <v/>
      </c>
      <c r="H459">
        <f>IF(D459="REMOVE",COUNTIF($D$2:D459,"REMOVE"),"")</f>
        <v/>
      </c>
      <c r="I459">
        <f>IF(E459="Gmail",COUNTIF($E$2:E459,"Gmail"),"")</f>
        <v/>
      </c>
      <c r="J459">
        <f>IF(E459="Outlook",COUNTIF($E$2:E459,"Outlook"),"")</f>
        <v/>
      </c>
      <c r="K459">
        <f>IF(E459="Domain",COUNTIF($E$2:E459,"Domain"),"")</f>
        <v/>
      </c>
    </row>
    <row r="460">
      <c r="A460" s="2" t="n"/>
      <c r="B460">
        <f>LOWER(TRIM(A460))</f>
        <v/>
      </c>
      <c r="C460">
        <f>IF(B460="","",IFERROR(INDEX('Bad Patterns'!$A$2:$A$120,MATCH(1,INDEX(--ISNUMBER(SEARCH('Bad Patterns'!$A$2:$A$120,B460)),0),0)),""))</f>
        <v/>
      </c>
      <c r="D460">
        <f>IF(B460="","",IF(C460&lt;&gt;"","REMOVE","KEEP"))</f>
        <v/>
      </c>
      <c r="E460">
        <f>IF(D460&lt;&gt;"KEEP","",IF(RIGHT(B460,10)="@gmail.com","Gmail",IF(OR(RIGHT(B460,12)="@outlook.com",RIGHT(B460,12)="@hotmail.com",RIGHT(B460,9)="@live.com"),"Outlook","Domain")))</f>
        <v/>
      </c>
      <c r="F460">
        <f>IF(B460="","",IFERROR(RIGHT(B460,LEN(B460)-FIND("@",B460)),""))</f>
        <v/>
      </c>
      <c r="G460">
        <f>IF(D460="KEEP",COUNTIF($D$2:D460,"KEEP"),"")</f>
        <v/>
      </c>
      <c r="H460">
        <f>IF(D460="REMOVE",COUNTIF($D$2:D460,"REMOVE"),"")</f>
        <v/>
      </c>
      <c r="I460">
        <f>IF(E460="Gmail",COUNTIF($E$2:E460,"Gmail"),"")</f>
        <v/>
      </c>
      <c r="J460">
        <f>IF(E460="Outlook",COUNTIF($E$2:E460,"Outlook"),"")</f>
        <v/>
      </c>
      <c r="K460">
        <f>IF(E460="Domain",COUNTIF($E$2:E460,"Domain"),"")</f>
        <v/>
      </c>
    </row>
    <row r="461">
      <c r="A461" s="2" t="n"/>
      <c r="B461">
        <f>LOWER(TRIM(A461))</f>
        <v/>
      </c>
      <c r="C461">
        <f>IF(B461="","",IFERROR(INDEX('Bad Patterns'!$A$2:$A$120,MATCH(1,INDEX(--ISNUMBER(SEARCH('Bad Patterns'!$A$2:$A$120,B461)),0),0)),""))</f>
        <v/>
      </c>
      <c r="D461">
        <f>IF(B461="","",IF(C461&lt;&gt;"","REMOVE","KEEP"))</f>
        <v/>
      </c>
      <c r="E461">
        <f>IF(D461&lt;&gt;"KEEP","",IF(RIGHT(B461,10)="@gmail.com","Gmail",IF(OR(RIGHT(B461,12)="@outlook.com",RIGHT(B461,12)="@hotmail.com",RIGHT(B461,9)="@live.com"),"Outlook","Domain")))</f>
        <v/>
      </c>
      <c r="F461">
        <f>IF(B461="","",IFERROR(RIGHT(B461,LEN(B461)-FIND("@",B461)),""))</f>
        <v/>
      </c>
      <c r="G461">
        <f>IF(D461="KEEP",COUNTIF($D$2:D461,"KEEP"),"")</f>
        <v/>
      </c>
      <c r="H461">
        <f>IF(D461="REMOVE",COUNTIF($D$2:D461,"REMOVE"),"")</f>
        <v/>
      </c>
      <c r="I461">
        <f>IF(E461="Gmail",COUNTIF($E$2:E461,"Gmail"),"")</f>
        <v/>
      </c>
      <c r="J461">
        <f>IF(E461="Outlook",COUNTIF($E$2:E461,"Outlook"),"")</f>
        <v/>
      </c>
      <c r="K461">
        <f>IF(E461="Domain",COUNTIF($E$2:E461,"Domain"),"")</f>
        <v/>
      </c>
    </row>
    <row r="462">
      <c r="A462" s="2" t="n"/>
      <c r="B462">
        <f>LOWER(TRIM(A462))</f>
        <v/>
      </c>
      <c r="C462">
        <f>IF(B462="","",IFERROR(INDEX('Bad Patterns'!$A$2:$A$120,MATCH(1,INDEX(--ISNUMBER(SEARCH('Bad Patterns'!$A$2:$A$120,B462)),0),0)),""))</f>
        <v/>
      </c>
      <c r="D462">
        <f>IF(B462="","",IF(C462&lt;&gt;"","REMOVE","KEEP"))</f>
        <v/>
      </c>
      <c r="E462">
        <f>IF(D462&lt;&gt;"KEEP","",IF(RIGHT(B462,10)="@gmail.com","Gmail",IF(OR(RIGHT(B462,12)="@outlook.com",RIGHT(B462,12)="@hotmail.com",RIGHT(B462,9)="@live.com"),"Outlook","Domain")))</f>
        <v/>
      </c>
      <c r="F462">
        <f>IF(B462="","",IFERROR(RIGHT(B462,LEN(B462)-FIND("@",B462)),""))</f>
        <v/>
      </c>
      <c r="G462">
        <f>IF(D462="KEEP",COUNTIF($D$2:D462,"KEEP"),"")</f>
        <v/>
      </c>
      <c r="H462">
        <f>IF(D462="REMOVE",COUNTIF($D$2:D462,"REMOVE"),"")</f>
        <v/>
      </c>
      <c r="I462">
        <f>IF(E462="Gmail",COUNTIF($E$2:E462,"Gmail"),"")</f>
        <v/>
      </c>
      <c r="J462">
        <f>IF(E462="Outlook",COUNTIF($E$2:E462,"Outlook"),"")</f>
        <v/>
      </c>
      <c r="K462">
        <f>IF(E462="Domain",COUNTIF($E$2:E462,"Domain"),"")</f>
        <v/>
      </c>
    </row>
    <row r="463">
      <c r="A463" s="2" t="n"/>
      <c r="B463">
        <f>LOWER(TRIM(A463))</f>
        <v/>
      </c>
      <c r="C463">
        <f>IF(B463="","",IFERROR(INDEX('Bad Patterns'!$A$2:$A$120,MATCH(1,INDEX(--ISNUMBER(SEARCH('Bad Patterns'!$A$2:$A$120,B463)),0),0)),""))</f>
        <v/>
      </c>
      <c r="D463">
        <f>IF(B463="","",IF(C463&lt;&gt;"","REMOVE","KEEP"))</f>
        <v/>
      </c>
      <c r="E463">
        <f>IF(D463&lt;&gt;"KEEP","",IF(RIGHT(B463,10)="@gmail.com","Gmail",IF(OR(RIGHT(B463,12)="@outlook.com",RIGHT(B463,12)="@hotmail.com",RIGHT(B463,9)="@live.com"),"Outlook","Domain")))</f>
        <v/>
      </c>
      <c r="F463">
        <f>IF(B463="","",IFERROR(RIGHT(B463,LEN(B463)-FIND("@",B463)),""))</f>
        <v/>
      </c>
      <c r="G463">
        <f>IF(D463="KEEP",COUNTIF($D$2:D463,"KEEP"),"")</f>
        <v/>
      </c>
      <c r="H463">
        <f>IF(D463="REMOVE",COUNTIF($D$2:D463,"REMOVE"),"")</f>
        <v/>
      </c>
      <c r="I463">
        <f>IF(E463="Gmail",COUNTIF($E$2:E463,"Gmail"),"")</f>
        <v/>
      </c>
      <c r="J463">
        <f>IF(E463="Outlook",COUNTIF($E$2:E463,"Outlook"),"")</f>
        <v/>
      </c>
      <c r="K463">
        <f>IF(E463="Domain",COUNTIF($E$2:E463,"Domain"),"")</f>
        <v/>
      </c>
    </row>
    <row r="464">
      <c r="A464" s="2" t="n"/>
      <c r="B464">
        <f>LOWER(TRIM(A464))</f>
        <v/>
      </c>
      <c r="C464">
        <f>IF(B464="","",IFERROR(INDEX('Bad Patterns'!$A$2:$A$120,MATCH(1,INDEX(--ISNUMBER(SEARCH('Bad Patterns'!$A$2:$A$120,B464)),0),0)),""))</f>
        <v/>
      </c>
      <c r="D464">
        <f>IF(B464="","",IF(C464&lt;&gt;"","REMOVE","KEEP"))</f>
        <v/>
      </c>
      <c r="E464">
        <f>IF(D464&lt;&gt;"KEEP","",IF(RIGHT(B464,10)="@gmail.com","Gmail",IF(OR(RIGHT(B464,12)="@outlook.com",RIGHT(B464,12)="@hotmail.com",RIGHT(B464,9)="@live.com"),"Outlook","Domain")))</f>
        <v/>
      </c>
      <c r="F464">
        <f>IF(B464="","",IFERROR(RIGHT(B464,LEN(B464)-FIND("@",B464)),""))</f>
        <v/>
      </c>
      <c r="G464">
        <f>IF(D464="KEEP",COUNTIF($D$2:D464,"KEEP"),"")</f>
        <v/>
      </c>
      <c r="H464">
        <f>IF(D464="REMOVE",COUNTIF($D$2:D464,"REMOVE"),"")</f>
        <v/>
      </c>
      <c r="I464">
        <f>IF(E464="Gmail",COUNTIF($E$2:E464,"Gmail"),"")</f>
        <v/>
      </c>
      <c r="J464">
        <f>IF(E464="Outlook",COUNTIF($E$2:E464,"Outlook"),"")</f>
        <v/>
      </c>
      <c r="K464">
        <f>IF(E464="Domain",COUNTIF($E$2:E464,"Domain"),"")</f>
        <v/>
      </c>
    </row>
    <row r="465">
      <c r="A465" s="2" t="n"/>
      <c r="B465">
        <f>LOWER(TRIM(A465))</f>
        <v/>
      </c>
      <c r="C465">
        <f>IF(B465="","",IFERROR(INDEX('Bad Patterns'!$A$2:$A$120,MATCH(1,INDEX(--ISNUMBER(SEARCH('Bad Patterns'!$A$2:$A$120,B465)),0),0)),""))</f>
        <v/>
      </c>
      <c r="D465">
        <f>IF(B465="","",IF(C465&lt;&gt;"","REMOVE","KEEP"))</f>
        <v/>
      </c>
      <c r="E465">
        <f>IF(D465&lt;&gt;"KEEP","",IF(RIGHT(B465,10)="@gmail.com","Gmail",IF(OR(RIGHT(B465,12)="@outlook.com",RIGHT(B465,12)="@hotmail.com",RIGHT(B465,9)="@live.com"),"Outlook","Domain")))</f>
        <v/>
      </c>
      <c r="F465">
        <f>IF(B465="","",IFERROR(RIGHT(B465,LEN(B465)-FIND("@",B465)),""))</f>
        <v/>
      </c>
      <c r="G465">
        <f>IF(D465="KEEP",COUNTIF($D$2:D465,"KEEP"),"")</f>
        <v/>
      </c>
      <c r="H465">
        <f>IF(D465="REMOVE",COUNTIF($D$2:D465,"REMOVE"),"")</f>
        <v/>
      </c>
      <c r="I465">
        <f>IF(E465="Gmail",COUNTIF($E$2:E465,"Gmail"),"")</f>
        <v/>
      </c>
      <c r="J465">
        <f>IF(E465="Outlook",COUNTIF($E$2:E465,"Outlook"),"")</f>
        <v/>
      </c>
      <c r="K465">
        <f>IF(E465="Domain",COUNTIF($E$2:E465,"Domain"),"")</f>
        <v/>
      </c>
    </row>
    <row r="466">
      <c r="A466" s="2" t="n"/>
      <c r="B466">
        <f>LOWER(TRIM(A466))</f>
        <v/>
      </c>
      <c r="C466">
        <f>IF(B466="","",IFERROR(INDEX('Bad Patterns'!$A$2:$A$120,MATCH(1,INDEX(--ISNUMBER(SEARCH('Bad Patterns'!$A$2:$A$120,B466)),0),0)),""))</f>
        <v/>
      </c>
      <c r="D466">
        <f>IF(B466="","",IF(C466&lt;&gt;"","REMOVE","KEEP"))</f>
        <v/>
      </c>
      <c r="E466">
        <f>IF(D466&lt;&gt;"KEEP","",IF(RIGHT(B466,10)="@gmail.com","Gmail",IF(OR(RIGHT(B466,12)="@outlook.com",RIGHT(B466,12)="@hotmail.com",RIGHT(B466,9)="@live.com"),"Outlook","Domain")))</f>
        <v/>
      </c>
      <c r="F466">
        <f>IF(B466="","",IFERROR(RIGHT(B466,LEN(B466)-FIND("@",B466)),""))</f>
        <v/>
      </c>
      <c r="G466">
        <f>IF(D466="KEEP",COUNTIF($D$2:D466,"KEEP"),"")</f>
        <v/>
      </c>
      <c r="H466">
        <f>IF(D466="REMOVE",COUNTIF($D$2:D466,"REMOVE"),"")</f>
        <v/>
      </c>
      <c r="I466">
        <f>IF(E466="Gmail",COUNTIF($E$2:E466,"Gmail"),"")</f>
        <v/>
      </c>
      <c r="J466">
        <f>IF(E466="Outlook",COUNTIF($E$2:E466,"Outlook"),"")</f>
        <v/>
      </c>
      <c r="K466">
        <f>IF(E466="Domain",COUNTIF($E$2:E466,"Domain"),"")</f>
        <v/>
      </c>
    </row>
    <row r="467">
      <c r="A467" s="2" t="n"/>
      <c r="B467">
        <f>LOWER(TRIM(A467))</f>
        <v/>
      </c>
      <c r="C467">
        <f>IF(B467="","",IFERROR(INDEX('Bad Patterns'!$A$2:$A$120,MATCH(1,INDEX(--ISNUMBER(SEARCH('Bad Patterns'!$A$2:$A$120,B467)),0),0)),""))</f>
        <v/>
      </c>
      <c r="D467">
        <f>IF(B467="","",IF(C467&lt;&gt;"","REMOVE","KEEP"))</f>
        <v/>
      </c>
      <c r="E467">
        <f>IF(D467&lt;&gt;"KEEP","",IF(RIGHT(B467,10)="@gmail.com","Gmail",IF(OR(RIGHT(B467,12)="@outlook.com",RIGHT(B467,12)="@hotmail.com",RIGHT(B467,9)="@live.com"),"Outlook","Domain")))</f>
        <v/>
      </c>
      <c r="F467">
        <f>IF(B467="","",IFERROR(RIGHT(B467,LEN(B467)-FIND("@",B467)),""))</f>
        <v/>
      </c>
      <c r="G467">
        <f>IF(D467="KEEP",COUNTIF($D$2:D467,"KEEP"),"")</f>
        <v/>
      </c>
      <c r="H467">
        <f>IF(D467="REMOVE",COUNTIF($D$2:D467,"REMOVE"),"")</f>
        <v/>
      </c>
      <c r="I467">
        <f>IF(E467="Gmail",COUNTIF($E$2:E467,"Gmail"),"")</f>
        <v/>
      </c>
      <c r="J467">
        <f>IF(E467="Outlook",COUNTIF($E$2:E467,"Outlook"),"")</f>
        <v/>
      </c>
      <c r="K467">
        <f>IF(E467="Domain",COUNTIF($E$2:E467,"Domain"),"")</f>
        <v/>
      </c>
    </row>
    <row r="468">
      <c r="A468" s="2" t="n"/>
      <c r="B468">
        <f>LOWER(TRIM(A468))</f>
        <v/>
      </c>
      <c r="C468">
        <f>IF(B468="","",IFERROR(INDEX('Bad Patterns'!$A$2:$A$120,MATCH(1,INDEX(--ISNUMBER(SEARCH('Bad Patterns'!$A$2:$A$120,B468)),0),0)),""))</f>
        <v/>
      </c>
      <c r="D468">
        <f>IF(B468="","",IF(C468&lt;&gt;"","REMOVE","KEEP"))</f>
        <v/>
      </c>
      <c r="E468">
        <f>IF(D468&lt;&gt;"KEEP","",IF(RIGHT(B468,10)="@gmail.com","Gmail",IF(OR(RIGHT(B468,12)="@outlook.com",RIGHT(B468,12)="@hotmail.com",RIGHT(B468,9)="@live.com"),"Outlook","Domain")))</f>
        <v/>
      </c>
      <c r="F468">
        <f>IF(B468="","",IFERROR(RIGHT(B468,LEN(B468)-FIND("@",B468)),""))</f>
        <v/>
      </c>
      <c r="G468">
        <f>IF(D468="KEEP",COUNTIF($D$2:D468,"KEEP"),"")</f>
        <v/>
      </c>
      <c r="H468">
        <f>IF(D468="REMOVE",COUNTIF($D$2:D468,"REMOVE"),"")</f>
        <v/>
      </c>
      <c r="I468">
        <f>IF(E468="Gmail",COUNTIF($E$2:E468,"Gmail"),"")</f>
        <v/>
      </c>
      <c r="J468">
        <f>IF(E468="Outlook",COUNTIF($E$2:E468,"Outlook"),"")</f>
        <v/>
      </c>
      <c r="K468">
        <f>IF(E468="Domain",COUNTIF($E$2:E468,"Domain"),"")</f>
        <v/>
      </c>
    </row>
    <row r="469">
      <c r="A469" s="2" t="n"/>
      <c r="B469">
        <f>LOWER(TRIM(A469))</f>
        <v/>
      </c>
      <c r="C469">
        <f>IF(B469="","",IFERROR(INDEX('Bad Patterns'!$A$2:$A$120,MATCH(1,INDEX(--ISNUMBER(SEARCH('Bad Patterns'!$A$2:$A$120,B469)),0),0)),""))</f>
        <v/>
      </c>
      <c r="D469">
        <f>IF(B469="","",IF(C469&lt;&gt;"","REMOVE","KEEP"))</f>
        <v/>
      </c>
      <c r="E469">
        <f>IF(D469&lt;&gt;"KEEP","",IF(RIGHT(B469,10)="@gmail.com","Gmail",IF(OR(RIGHT(B469,12)="@outlook.com",RIGHT(B469,12)="@hotmail.com",RIGHT(B469,9)="@live.com"),"Outlook","Domain")))</f>
        <v/>
      </c>
      <c r="F469">
        <f>IF(B469="","",IFERROR(RIGHT(B469,LEN(B469)-FIND("@",B469)),""))</f>
        <v/>
      </c>
      <c r="G469">
        <f>IF(D469="KEEP",COUNTIF($D$2:D469,"KEEP"),"")</f>
        <v/>
      </c>
      <c r="H469">
        <f>IF(D469="REMOVE",COUNTIF($D$2:D469,"REMOVE"),"")</f>
        <v/>
      </c>
      <c r="I469">
        <f>IF(E469="Gmail",COUNTIF($E$2:E469,"Gmail"),"")</f>
        <v/>
      </c>
      <c r="J469">
        <f>IF(E469="Outlook",COUNTIF($E$2:E469,"Outlook"),"")</f>
        <v/>
      </c>
      <c r="K469">
        <f>IF(E469="Domain",COUNTIF($E$2:E469,"Domain"),"")</f>
        <v/>
      </c>
    </row>
    <row r="470">
      <c r="A470" s="2" t="n"/>
      <c r="B470">
        <f>LOWER(TRIM(A470))</f>
        <v/>
      </c>
      <c r="C470">
        <f>IF(B470="","",IFERROR(INDEX('Bad Patterns'!$A$2:$A$120,MATCH(1,INDEX(--ISNUMBER(SEARCH('Bad Patterns'!$A$2:$A$120,B470)),0),0)),""))</f>
        <v/>
      </c>
      <c r="D470">
        <f>IF(B470="","",IF(C470&lt;&gt;"","REMOVE","KEEP"))</f>
        <v/>
      </c>
      <c r="E470">
        <f>IF(D470&lt;&gt;"KEEP","",IF(RIGHT(B470,10)="@gmail.com","Gmail",IF(OR(RIGHT(B470,12)="@outlook.com",RIGHT(B470,12)="@hotmail.com",RIGHT(B470,9)="@live.com"),"Outlook","Domain")))</f>
        <v/>
      </c>
      <c r="F470">
        <f>IF(B470="","",IFERROR(RIGHT(B470,LEN(B470)-FIND("@",B470)),""))</f>
        <v/>
      </c>
      <c r="G470">
        <f>IF(D470="KEEP",COUNTIF($D$2:D470,"KEEP"),"")</f>
        <v/>
      </c>
      <c r="H470">
        <f>IF(D470="REMOVE",COUNTIF($D$2:D470,"REMOVE"),"")</f>
        <v/>
      </c>
      <c r="I470">
        <f>IF(E470="Gmail",COUNTIF($E$2:E470,"Gmail"),"")</f>
        <v/>
      </c>
      <c r="J470">
        <f>IF(E470="Outlook",COUNTIF($E$2:E470,"Outlook"),"")</f>
        <v/>
      </c>
      <c r="K470">
        <f>IF(E470="Domain",COUNTIF($E$2:E470,"Domain"),"")</f>
        <v/>
      </c>
    </row>
    <row r="471">
      <c r="A471" s="2" t="n"/>
      <c r="B471">
        <f>LOWER(TRIM(A471))</f>
        <v/>
      </c>
      <c r="C471">
        <f>IF(B471="","",IFERROR(INDEX('Bad Patterns'!$A$2:$A$120,MATCH(1,INDEX(--ISNUMBER(SEARCH('Bad Patterns'!$A$2:$A$120,B471)),0),0)),""))</f>
        <v/>
      </c>
      <c r="D471">
        <f>IF(B471="","",IF(C471&lt;&gt;"","REMOVE","KEEP"))</f>
        <v/>
      </c>
      <c r="E471">
        <f>IF(D471&lt;&gt;"KEEP","",IF(RIGHT(B471,10)="@gmail.com","Gmail",IF(OR(RIGHT(B471,12)="@outlook.com",RIGHT(B471,12)="@hotmail.com",RIGHT(B471,9)="@live.com"),"Outlook","Domain")))</f>
        <v/>
      </c>
      <c r="F471">
        <f>IF(B471="","",IFERROR(RIGHT(B471,LEN(B471)-FIND("@",B471)),""))</f>
        <v/>
      </c>
      <c r="G471">
        <f>IF(D471="KEEP",COUNTIF($D$2:D471,"KEEP"),"")</f>
        <v/>
      </c>
      <c r="H471">
        <f>IF(D471="REMOVE",COUNTIF($D$2:D471,"REMOVE"),"")</f>
        <v/>
      </c>
      <c r="I471">
        <f>IF(E471="Gmail",COUNTIF($E$2:E471,"Gmail"),"")</f>
        <v/>
      </c>
      <c r="J471">
        <f>IF(E471="Outlook",COUNTIF($E$2:E471,"Outlook"),"")</f>
        <v/>
      </c>
      <c r="K471">
        <f>IF(E471="Domain",COUNTIF($E$2:E471,"Domain"),"")</f>
        <v/>
      </c>
    </row>
    <row r="472">
      <c r="A472" s="2" t="n"/>
      <c r="B472">
        <f>LOWER(TRIM(A472))</f>
        <v/>
      </c>
      <c r="C472">
        <f>IF(B472="","",IFERROR(INDEX('Bad Patterns'!$A$2:$A$120,MATCH(1,INDEX(--ISNUMBER(SEARCH('Bad Patterns'!$A$2:$A$120,B472)),0),0)),""))</f>
        <v/>
      </c>
      <c r="D472">
        <f>IF(B472="","",IF(C472&lt;&gt;"","REMOVE","KEEP"))</f>
        <v/>
      </c>
      <c r="E472">
        <f>IF(D472&lt;&gt;"KEEP","",IF(RIGHT(B472,10)="@gmail.com","Gmail",IF(OR(RIGHT(B472,12)="@outlook.com",RIGHT(B472,12)="@hotmail.com",RIGHT(B472,9)="@live.com"),"Outlook","Domain")))</f>
        <v/>
      </c>
      <c r="F472">
        <f>IF(B472="","",IFERROR(RIGHT(B472,LEN(B472)-FIND("@",B472)),""))</f>
        <v/>
      </c>
      <c r="G472">
        <f>IF(D472="KEEP",COUNTIF($D$2:D472,"KEEP"),"")</f>
        <v/>
      </c>
      <c r="H472">
        <f>IF(D472="REMOVE",COUNTIF($D$2:D472,"REMOVE"),"")</f>
        <v/>
      </c>
      <c r="I472">
        <f>IF(E472="Gmail",COUNTIF($E$2:E472,"Gmail"),"")</f>
        <v/>
      </c>
      <c r="J472">
        <f>IF(E472="Outlook",COUNTIF($E$2:E472,"Outlook"),"")</f>
        <v/>
      </c>
      <c r="K472">
        <f>IF(E472="Domain",COUNTIF($E$2:E472,"Domain"),"")</f>
        <v/>
      </c>
    </row>
    <row r="473">
      <c r="A473" s="2" t="n"/>
      <c r="B473">
        <f>LOWER(TRIM(A473))</f>
        <v/>
      </c>
      <c r="C473">
        <f>IF(B473="","",IFERROR(INDEX('Bad Patterns'!$A$2:$A$120,MATCH(1,INDEX(--ISNUMBER(SEARCH('Bad Patterns'!$A$2:$A$120,B473)),0),0)),""))</f>
        <v/>
      </c>
      <c r="D473">
        <f>IF(B473="","",IF(C473&lt;&gt;"","REMOVE","KEEP"))</f>
        <v/>
      </c>
      <c r="E473">
        <f>IF(D473&lt;&gt;"KEEP","",IF(RIGHT(B473,10)="@gmail.com","Gmail",IF(OR(RIGHT(B473,12)="@outlook.com",RIGHT(B473,12)="@hotmail.com",RIGHT(B473,9)="@live.com"),"Outlook","Domain")))</f>
        <v/>
      </c>
      <c r="F473">
        <f>IF(B473="","",IFERROR(RIGHT(B473,LEN(B473)-FIND("@",B473)),""))</f>
        <v/>
      </c>
      <c r="G473">
        <f>IF(D473="KEEP",COUNTIF($D$2:D473,"KEEP"),"")</f>
        <v/>
      </c>
      <c r="H473">
        <f>IF(D473="REMOVE",COUNTIF($D$2:D473,"REMOVE"),"")</f>
        <v/>
      </c>
      <c r="I473">
        <f>IF(E473="Gmail",COUNTIF($E$2:E473,"Gmail"),"")</f>
        <v/>
      </c>
      <c r="J473">
        <f>IF(E473="Outlook",COUNTIF($E$2:E473,"Outlook"),"")</f>
        <v/>
      </c>
      <c r="K473">
        <f>IF(E473="Domain",COUNTIF($E$2:E473,"Domain"),"")</f>
        <v/>
      </c>
    </row>
    <row r="474">
      <c r="A474" s="2" t="n"/>
      <c r="B474">
        <f>LOWER(TRIM(A474))</f>
        <v/>
      </c>
      <c r="C474">
        <f>IF(B474="","",IFERROR(INDEX('Bad Patterns'!$A$2:$A$120,MATCH(1,INDEX(--ISNUMBER(SEARCH('Bad Patterns'!$A$2:$A$120,B474)),0),0)),""))</f>
        <v/>
      </c>
      <c r="D474">
        <f>IF(B474="","",IF(C474&lt;&gt;"","REMOVE","KEEP"))</f>
        <v/>
      </c>
      <c r="E474">
        <f>IF(D474&lt;&gt;"KEEP","",IF(RIGHT(B474,10)="@gmail.com","Gmail",IF(OR(RIGHT(B474,12)="@outlook.com",RIGHT(B474,12)="@hotmail.com",RIGHT(B474,9)="@live.com"),"Outlook","Domain")))</f>
        <v/>
      </c>
      <c r="F474">
        <f>IF(B474="","",IFERROR(RIGHT(B474,LEN(B474)-FIND("@",B474)),""))</f>
        <v/>
      </c>
      <c r="G474">
        <f>IF(D474="KEEP",COUNTIF($D$2:D474,"KEEP"),"")</f>
        <v/>
      </c>
      <c r="H474">
        <f>IF(D474="REMOVE",COUNTIF($D$2:D474,"REMOVE"),"")</f>
        <v/>
      </c>
      <c r="I474">
        <f>IF(E474="Gmail",COUNTIF($E$2:E474,"Gmail"),"")</f>
        <v/>
      </c>
      <c r="J474">
        <f>IF(E474="Outlook",COUNTIF($E$2:E474,"Outlook"),"")</f>
        <v/>
      </c>
      <c r="K474">
        <f>IF(E474="Domain",COUNTIF($E$2:E474,"Domain"),"")</f>
        <v/>
      </c>
    </row>
    <row r="475">
      <c r="A475" s="2" t="n"/>
      <c r="B475">
        <f>LOWER(TRIM(A475))</f>
        <v/>
      </c>
      <c r="C475">
        <f>IF(B475="","",IFERROR(INDEX('Bad Patterns'!$A$2:$A$120,MATCH(1,INDEX(--ISNUMBER(SEARCH('Bad Patterns'!$A$2:$A$120,B475)),0),0)),""))</f>
        <v/>
      </c>
      <c r="D475">
        <f>IF(B475="","",IF(C475&lt;&gt;"","REMOVE","KEEP"))</f>
        <v/>
      </c>
      <c r="E475">
        <f>IF(D475&lt;&gt;"KEEP","",IF(RIGHT(B475,10)="@gmail.com","Gmail",IF(OR(RIGHT(B475,12)="@outlook.com",RIGHT(B475,12)="@hotmail.com",RIGHT(B475,9)="@live.com"),"Outlook","Domain")))</f>
        <v/>
      </c>
      <c r="F475">
        <f>IF(B475="","",IFERROR(RIGHT(B475,LEN(B475)-FIND("@",B475)),""))</f>
        <v/>
      </c>
      <c r="G475">
        <f>IF(D475="KEEP",COUNTIF($D$2:D475,"KEEP"),"")</f>
        <v/>
      </c>
      <c r="H475">
        <f>IF(D475="REMOVE",COUNTIF($D$2:D475,"REMOVE"),"")</f>
        <v/>
      </c>
      <c r="I475">
        <f>IF(E475="Gmail",COUNTIF($E$2:E475,"Gmail"),"")</f>
        <v/>
      </c>
      <c r="J475">
        <f>IF(E475="Outlook",COUNTIF($E$2:E475,"Outlook"),"")</f>
        <v/>
      </c>
      <c r="K475">
        <f>IF(E475="Domain",COUNTIF($E$2:E475,"Domain"),"")</f>
        <v/>
      </c>
    </row>
    <row r="476">
      <c r="A476" s="2" t="n"/>
      <c r="B476">
        <f>LOWER(TRIM(A476))</f>
        <v/>
      </c>
      <c r="C476">
        <f>IF(B476="","",IFERROR(INDEX('Bad Patterns'!$A$2:$A$120,MATCH(1,INDEX(--ISNUMBER(SEARCH('Bad Patterns'!$A$2:$A$120,B476)),0),0)),""))</f>
        <v/>
      </c>
      <c r="D476">
        <f>IF(B476="","",IF(C476&lt;&gt;"","REMOVE","KEEP"))</f>
        <v/>
      </c>
      <c r="E476">
        <f>IF(D476&lt;&gt;"KEEP","",IF(RIGHT(B476,10)="@gmail.com","Gmail",IF(OR(RIGHT(B476,12)="@outlook.com",RIGHT(B476,12)="@hotmail.com",RIGHT(B476,9)="@live.com"),"Outlook","Domain")))</f>
        <v/>
      </c>
      <c r="F476">
        <f>IF(B476="","",IFERROR(RIGHT(B476,LEN(B476)-FIND("@",B476)),""))</f>
        <v/>
      </c>
      <c r="G476">
        <f>IF(D476="KEEP",COUNTIF($D$2:D476,"KEEP"),"")</f>
        <v/>
      </c>
      <c r="H476">
        <f>IF(D476="REMOVE",COUNTIF($D$2:D476,"REMOVE"),"")</f>
        <v/>
      </c>
      <c r="I476">
        <f>IF(E476="Gmail",COUNTIF($E$2:E476,"Gmail"),"")</f>
        <v/>
      </c>
      <c r="J476">
        <f>IF(E476="Outlook",COUNTIF($E$2:E476,"Outlook"),"")</f>
        <v/>
      </c>
      <c r="K476">
        <f>IF(E476="Domain",COUNTIF($E$2:E476,"Domain"),"")</f>
        <v/>
      </c>
    </row>
    <row r="477">
      <c r="A477" s="2" t="n"/>
      <c r="B477">
        <f>LOWER(TRIM(A477))</f>
        <v/>
      </c>
      <c r="C477">
        <f>IF(B477="","",IFERROR(INDEX('Bad Patterns'!$A$2:$A$120,MATCH(1,INDEX(--ISNUMBER(SEARCH('Bad Patterns'!$A$2:$A$120,B477)),0),0)),""))</f>
        <v/>
      </c>
      <c r="D477">
        <f>IF(B477="","",IF(C477&lt;&gt;"","REMOVE","KEEP"))</f>
        <v/>
      </c>
      <c r="E477">
        <f>IF(D477&lt;&gt;"KEEP","",IF(RIGHT(B477,10)="@gmail.com","Gmail",IF(OR(RIGHT(B477,12)="@outlook.com",RIGHT(B477,12)="@hotmail.com",RIGHT(B477,9)="@live.com"),"Outlook","Domain")))</f>
        <v/>
      </c>
      <c r="F477">
        <f>IF(B477="","",IFERROR(RIGHT(B477,LEN(B477)-FIND("@",B477)),""))</f>
        <v/>
      </c>
      <c r="G477">
        <f>IF(D477="KEEP",COUNTIF($D$2:D477,"KEEP"),"")</f>
        <v/>
      </c>
      <c r="H477">
        <f>IF(D477="REMOVE",COUNTIF($D$2:D477,"REMOVE"),"")</f>
        <v/>
      </c>
      <c r="I477">
        <f>IF(E477="Gmail",COUNTIF($E$2:E477,"Gmail"),"")</f>
        <v/>
      </c>
      <c r="J477">
        <f>IF(E477="Outlook",COUNTIF($E$2:E477,"Outlook"),"")</f>
        <v/>
      </c>
      <c r="K477">
        <f>IF(E477="Domain",COUNTIF($E$2:E477,"Domain"),"")</f>
        <v/>
      </c>
    </row>
    <row r="478">
      <c r="A478" s="2" t="n"/>
      <c r="B478">
        <f>LOWER(TRIM(A478))</f>
        <v/>
      </c>
      <c r="C478">
        <f>IF(B478="","",IFERROR(INDEX('Bad Patterns'!$A$2:$A$120,MATCH(1,INDEX(--ISNUMBER(SEARCH('Bad Patterns'!$A$2:$A$120,B478)),0),0)),""))</f>
        <v/>
      </c>
      <c r="D478">
        <f>IF(B478="","",IF(C478&lt;&gt;"","REMOVE","KEEP"))</f>
        <v/>
      </c>
      <c r="E478">
        <f>IF(D478&lt;&gt;"KEEP","",IF(RIGHT(B478,10)="@gmail.com","Gmail",IF(OR(RIGHT(B478,12)="@outlook.com",RIGHT(B478,12)="@hotmail.com",RIGHT(B478,9)="@live.com"),"Outlook","Domain")))</f>
        <v/>
      </c>
      <c r="F478">
        <f>IF(B478="","",IFERROR(RIGHT(B478,LEN(B478)-FIND("@",B478)),""))</f>
        <v/>
      </c>
      <c r="G478">
        <f>IF(D478="KEEP",COUNTIF($D$2:D478,"KEEP"),"")</f>
        <v/>
      </c>
      <c r="H478">
        <f>IF(D478="REMOVE",COUNTIF($D$2:D478,"REMOVE"),"")</f>
        <v/>
      </c>
      <c r="I478">
        <f>IF(E478="Gmail",COUNTIF($E$2:E478,"Gmail"),"")</f>
        <v/>
      </c>
      <c r="J478">
        <f>IF(E478="Outlook",COUNTIF($E$2:E478,"Outlook"),"")</f>
        <v/>
      </c>
      <c r="K478">
        <f>IF(E478="Domain",COUNTIF($E$2:E478,"Domain"),"")</f>
        <v/>
      </c>
    </row>
    <row r="479">
      <c r="A479" s="2" t="n"/>
      <c r="B479">
        <f>LOWER(TRIM(A479))</f>
        <v/>
      </c>
      <c r="C479">
        <f>IF(B479="","",IFERROR(INDEX('Bad Patterns'!$A$2:$A$120,MATCH(1,INDEX(--ISNUMBER(SEARCH('Bad Patterns'!$A$2:$A$120,B479)),0),0)),""))</f>
        <v/>
      </c>
      <c r="D479">
        <f>IF(B479="","",IF(C479&lt;&gt;"","REMOVE","KEEP"))</f>
        <v/>
      </c>
      <c r="E479">
        <f>IF(D479&lt;&gt;"KEEP","",IF(RIGHT(B479,10)="@gmail.com","Gmail",IF(OR(RIGHT(B479,12)="@outlook.com",RIGHT(B479,12)="@hotmail.com",RIGHT(B479,9)="@live.com"),"Outlook","Domain")))</f>
        <v/>
      </c>
      <c r="F479">
        <f>IF(B479="","",IFERROR(RIGHT(B479,LEN(B479)-FIND("@",B479)),""))</f>
        <v/>
      </c>
      <c r="G479">
        <f>IF(D479="KEEP",COUNTIF($D$2:D479,"KEEP"),"")</f>
        <v/>
      </c>
      <c r="H479">
        <f>IF(D479="REMOVE",COUNTIF($D$2:D479,"REMOVE"),"")</f>
        <v/>
      </c>
      <c r="I479">
        <f>IF(E479="Gmail",COUNTIF($E$2:E479,"Gmail"),"")</f>
        <v/>
      </c>
      <c r="J479">
        <f>IF(E479="Outlook",COUNTIF($E$2:E479,"Outlook"),"")</f>
        <v/>
      </c>
      <c r="K479">
        <f>IF(E479="Domain",COUNTIF($E$2:E479,"Domain"),"")</f>
        <v/>
      </c>
    </row>
    <row r="480">
      <c r="A480" s="2" t="n"/>
      <c r="B480">
        <f>LOWER(TRIM(A480))</f>
        <v/>
      </c>
      <c r="C480">
        <f>IF(B480="","",IFERROR(INDEX('Bad Patterns'!$A$2:$A$120,MATCH(1,INDEX(--ISNUMBER(SEARCH('Bad Patterns'!$A$2:$A$120,B480)),0),0)),""))</f>
        <v/>
      </c>
      <c r="D480">
        <f>IF(B480="","",IF(C480&lt;&gt;"","REMOVE","KEEP"))</f>
        <v/>
      </c>
      <c r="E480">
        <f>IF(D480&lt;&gt;"KEEP","",IF(RIGHT(B480,10)="@gmail.com","Gmail",IF(OR(RIGHT(B480,12)="@outlook.com",RIGHT(B480,12)="@hotmail.com",RIGHT(B480,9)="@live.com"),"Outlook","Domain")))</f>
        <v/>
      </c>
      <c r="F480">
        <f>IF(B480="","",IFERROR(RIGHT(B480,LEN(B480)-FIND("@",B480)),""))</f>
        <v/>
      </c>
      <c r="G480">
        <f>IF(D480="KEEP",COUNTIF($D$2:D480,"KEEP"),"")</f>
        <v/>
      </c>
      <c r="H480">
        <f>IF(D480="REMOVE",COUNTIF($D$2:D480,"REMOVE"),"")</f>
        <v/>
      </c>
      <c r="I480">
        <f>IF(E480="Gmail",COUNTIF($E$2:E480,"Gmail"),"")</f>
        <v/>
      </c>
      <c r="J480">
        <f>IF(E480="Outlook",COUNTIF($E$2:E480,"Outlook"),"")</f>
        <v/>
      </c>
      <c r="K480">
        <f>IF(E480="Domain",COUNTIF($E$2:E480,"Domain"),"")</f>
        <v/>
      </c>
    </row>
    <row r="481">
      <c r="A481" s="2" t="n"/>
      <c r="B481">
        <f>LOWER(TRIM(A481))</f>
        <v/>
      </c>
      <c r="C481">
        <f>IF(B481="","",IFERROR(INDEX('Bad Patterns'!$A$2:$A$120,MATCH(1,INDEX(--ISNUMBER(SEARCH('Bad Patterns'!$A$2:$A$120,B481)),0),0)),""))</f>
        <v/>
      </c>
      <c r="D481">
        <f>IF(B481="","",IF(C481&lt;&gt;"","REMOVE","KEEP"))</f>
        <v/>
      </c>
      <c r="E481">
        <f>IF(D481&lt;&gt;"KEEP","",IF(RIGHT(B481,10)="@gmail.com","Gmail",IF(OR(RIGHT(B481,12)="@outlook.com",RIGHT(B481,12)="@hotmail.com",RIGHT(B481,9)="@live.com"),"Outlook","Domain")))</f>
        <v/>
      </c>
      <c r="F481">
        <f>IF(B481="","",IFERROR(RIGHT(B481,LEN(B481)-FIND("@",B481)),""))</f>
        <v/>
      </c>
      <c r="G481">
        <f>IF(D481="KEEP",COUNTIF($D$2:D481,"KEEP"),"")</f>
        <v/>
      </c>
      <c r="H481">
        <f>IF(D481="REMOVE",COUNTIF($D$2:D481,"REMOVE"),"")</f>
        <v/>
      </c>
      <c r="I481">
        <f>IF(E481="Gmail",COUNTIF($E$2:E481,"Gmail"),"")</f>
        <v/>
      </c>
      <c r="J481">
        <f>IF(E481="Outlook",COUNTIF($E$2:E481,"Outlook"),"")</f>
        <v/>
      </c>
      <c r="K481">
        <f>IF(E481="Domain",COUNTIF($E$2:E481,"Domain"),"")</f>
        <v/>
      </c>
    </row>
    <row r="482">
      <c r="A482" s="2" t="n"/>
      <c r="B482">
        <f>LOWER(TRIM(A482))</f>
        <v/>
      </c>
      <c r="C482">
        <f>IF(B482="","",IFERROR(INDEX('Bad Patterns'!$A$2:$A$120,MATCH(1,INDEX(--ISNUMBER(SEARCH('Bad Patterns'!$A$2:$A$120,B482)),0),0)),""))</f>
        <v/>
      </c>
      <c r="D482">
        <f>IF(B482="","",IF(C482&lt;&gt;"","REMOVE","KEEP"))</f>
        <v/>
      </c>
      <c r="E482">
        <f>IF(D482&lt;&gt;"KEEP","",IF(RIGHT(B482,10)="@gmail.com","Gmail",IF(OR(RIGHT(B482,12)="@outlook.com",RIGHT(B482,12)="@hotmail.com",RIGHT(B482,9)="@live.com"),"Outlook","Domain")))</f>
        <v/>
      </c>
      <c r="F482">
        <f>IF(B482="","",IFERROR(RIGHT(B482,LEN(B482)-FIND("@",B482)),""))</f>
        <v/>
      </c>
      <c r="G482">
        <f>IF(D482="KEEP",COUNTIF($D$2:D482,"KEEP"),"")</f>
        <v/>
      </c>
      <c r="H482">
        <f>IF(D482="REMOVE",COUNTIF($D$2:D482,"REMOVE"),"")</f>
        <v/>
      </c>
      <c r="I482">
        <f>IF(E482="Gmail",COUNTIF($E$2:E482,"Gmail"),"")</f>
        <v/>
      </c>
      <c r="J482">
        <f>IF(E482="Outlook",COUNTIF($E$2:E482,"Outlook"),"")</f>
        <v/>
      </c>
      <c r="K482">
        <f>IF(E482="Domain",COUNTIF($E$2:E482,"Domain"),"")</f>
        <v/>
      </c>
    </row>
    <row r="483">
      <c r="A483" s="2" t="n"/>
      <c r="B483">
        <f>LOWER(TRIM(A483))</f>
        <v/>
      </c>
      <c r="C483">
        <f>IF(B483="","",IFERROR(INDEX('Bad Patterns'!$A$2:$A$120,MATCH(1,INDEX(--ISNUMBER(SEARCH('Bad Patterns'!$A$2:$A$120,B483)),0),0)),""))</f>
        <v/>
      </c>
      <c r="D483">
        <f>IF(B483="","",IF(C483&lt;&gt;"","REMOVE","KEEP"))</f>
        <v/>
      </c>
      <c r="E483">
        <f>IF(D483&lt;&gt;"KEEP","",IF(RIGHT(B483,10)="@gmail.com","Gmail",IF(OR(RIGHT(B483,12)="@outlook.com",RIGHT(B483,12)="@hotmail.com",RIGHT(B483,9)="@live.com"),"Outlook","Domain")))</f>
        <v/>
      </c>
      <c r="F483">
        <f>IF(B483="","",IFERROR(RIGHT(B483,LEN(B483)-FIND("@",B483)),""))</f>
        <v/>
      </c>
      <c r="G483">
        <f>IF(D483="KEEP",COUNTIF($D$2:D483,"KEEP"),"")</f>
        <v/>
      </c>
      <c r="H483">
        <f>IF(D483="REMOVE",COUNTIF($D$2:D483,"REMOVE"),"")</f>
        <v/>
      </c>
      <c r="I483">
        <f>IF(E483="Gmail",COUNTIF($E$2:E483,"Gmail"),"")</f>
        <v/>
      </c>
      <c r="J483">
        <f>IF(E483="Outlook",COUNTIF($E$2:E483,"Outlook"),"")</f>
        <v/>
      </c>
      <c r="K483">
        <f>IF(E483="Domain",COUNTIF($E$2:E483,"Domain"),"")</f>
        <v/>
      </c>
    </row>
    <row r="484">
      <c r="A484" s="2" t="n"/>
      <c r="B484">
        <f>LOWER(TRIM(A484))</f>
        <v/>
      </c>
      <c r="C484">
        <f>IF(B484="","",IFERROR(INDEX('Bad Patterns'!$A$2:$A$120,MATCH(1,INDEX(--ISNUMBER(SEARCH('Bad Patterns'!$A$2:$A$120,B484)),0),0)),""))</f>
        <v/>
      </c>
      <c r="D484">
        <f>IF(B484="","",IF(C484&lt;&gt;"","REMOVE","KEEP"))</f>
        <v/>
      </c>
      <c r="E484">
        <f>IF(D484&lt;&gt;"KEEP","",IF(RIGHT(B484,10)="@gmail.com","Gmail",IF(OR(RIGHT(B484,12)="@outlook.com",RIGHT(B484,12)="@hotmail.com",RIGHT(B484,9)="@live.com"),"Outlook","Domain")))</f>
        <v/>
      </c>
      <c r="F484">
        <f>IF(B484="","",IFERROR(RIGHT(B484,LEN(B484)-FIND("@",B484)),""))</f>
        <v/>
      </c>
      <c r="G484">
        <f>IF(D484="KEEP",COUNTIF($D$2:D484,"KEEP"),"")</f>
        <v/>
      </c>
      <c r="H484">
        <f>IF(D484="REMOVE",COUNTIF($D$2:D484,"REMOVE"),"")</f>
        <v/>
      </c>
      <c r="I484">
        <f>IF(E484="Gmail",COUNTIF($E$2:E484,"Gmail"),"")</f>
        <v/>
      </c>
      <c r="J484">
        <f>IF(E484="Outlook",COUNTIF($E$2:E484,"Outlook"),"")</f>
        <v/>
      </c>
      <c r="K484">
        <f>IF(E484="Domain",COUNTIF($E$2:E484,"Domain"),"")</f>
        <v/>
      </c>
    </row>
    <row r="485">
      <c r="A485" s="2" t="n"/>
      <c r="B485">
        <f>LOWER(TRIM(A485))</f>
        <v/>
      </c>
      <c r="C485">
        <f>IF(B485="","",IFERROR(INDEX('Bad Patterns'!$A$2:$A$120,MATCH(1,INDEX(--ISNUMBER(SEARCH('Bad Patterns'!$A$2:$A$120,B485)),0),0)),""))</f>
        <v/>
      </c>
      <c r="D485">
        <f>IF(B485="","",IF(C485&lt;&gt;"","REMOVE","KEEP"))</f>
        <v/>
      </c>
      <c r="E485">
        <f>IF(D485&lt;&gt;"KEEP","",IF(RIGHT(B485,10)="@gmail.com","Gmail",IF(OR(RIGHT(B485,12)="@outlook.com",RIGHT(B485,12)="@hotmail.com",RIGHT(B485,9)="@live.com"),"Outlook","Domain")))</f>
        <v/>
      </c>
      <c r="F485">
        <f>IF(B485="","",IFERROR(RIGHT(B485,LEN(B485)-FIND("@",B485)),""))</f>
        <v/>
      </c>
      <c r="G485">
        <f>IF(D485="KEEP",COUNTIF($D$2:D485,"KEEP"),"")</f>
        <v/>
      </c>
      <c r="H485">
        <f>IF(D485="REMOVE",COUNTIF($D$2:D485,"REMOVE"),"")</f>
        <v/>
      </c>
      <c r="I485">
        <f>IF(E485="Gmail",COUNTIF($E$2:E485,"Gmail"),"")</f>
        <v/>
      </c>
      <c r="J485">
        <f>IF(E485="Outlook",COUNTIF($E$2:E485,"Outlook"),"")</f>
        <v/>
      </c>
      <c r="K485">
        <f>IF(E485="Domain",COUNTIF($E$2:E485,"Domain"),"")</f>
        <v/>
      </c>
    </row>
    <row r="486">
      <c r="A486" s="2" t="n"/>
      <c r="B486">
        <f>LOWER(TRIM(A486))</f>
        <v/>
      </c>
      <c r="C486">
        <f>IF(B486="","",IFERROR(INDEX('Bad Patterns'!$A$2:$A$120,MATCH(1,INDEX(--ISNUMBER(SEARCH('Bad Patterns'!$A$2:$A$120,B486)),0),0)),""))</f>
        <v/>
      </c>
      <c r="D486">
        <f>IF(B486="","",IF(C486&lt;&gt;"","REMOVE","KEEP"))</f>
        <v/>
      </c>
      <c r="E486">
        <f>IF(D486&lt;&gt;"KEEP","",IF(RIGHT(B486,10)="@gmail.com","Gmail",IF(OR(RIGHT(B486,12)="@outlook.com",RIGHT(B486,12)="@hotmail.com",RIGHT(B486,9)="@live.com"),"Outlook","Domain")))</f>
        <v/>
      </c>
      <c r="F486">
        <f>IF(B486="","",IFERROR(RIGHT(B486,LEN(B486)-FIND("@",B486)),""))</f>
        <v/>
      </c>
      <c r="G486">
        <f>IF(D486="KEEP",COUNTIF($D$2:D486,"KEEP"),"")</f>
        <v/>
      </c>
      <c r="H486">
        <f>IF(D486="REMOVE",COUNTIF($D$2:D486,"REMOVE"),"")</f>
        <v/>
      </c>
      <c r="I486">
        <f>IF(E486="Gmail",COUNTIF($E$2:E486,"Gmail"),"")</f>
        <v/>
      </c>
      <c r="J486">
        <f>IF(E486="Outlook",COUNTIF($E$2:E486,"Outlook"),"")</f>
        <v/>
      </c>
      <c r="K486">
        <f>IF(E486="Domain",COUNTIF($E$2:E486,"Domain"),"")</f>
        <v/>
      </c>
    </row>
    <row r="487">
      <c r="A487" s="2" t="n"/>
      <c r="B487">
        <f>LOWER(TRIM(A487))</f>
        <v/>
      </c>
      <c r="C487">
        <f>IF(B487="","",IFERROR(INDEX('Bad Patterns'!$A$2:$A$120,MATCH(1,INDEX(--ISNUMBER(SEARCH('Bad Patterns'!$A$2:$A$120,B487)),0),0)),""))</f>
        <v/>
      </c>
      <c r="D487">
        <f>IF(B487="","",IF(C487&lt;&gt;"","REMOVE","KEEP"))</f>
        <v/>
      </c>
      <c r="E487">
        <f>IF(D487&lt;&gt;"KEEP","",IF(RIGHT(B487,10)="@gmail.com","Gmail",IF(OR(RIGHT(B487,12)="@outlook.com",RIGHT(B487,12)="@hotmail.com",RIGHT(B487,9)="@live.com"),"Outlook","Domain")))</f>
        <v/>
      </c>
      <c r="F487">
        <f>IF(B487="","",IFERROR(RIGHT(B487,LEN(B487)-FIND("@",B487)),""))</f>
        <v/>
      </c>
      <c r="G487">
        <f>IF(D487="KEEP",COUNTIF($D$2:D487,"KEEP"),"")</f>
        <v/>
      </c>
      <c r="H487">
        <f>IF(D487="REMOVE",COUNTIF($D$2:D487,"REMOVE"),"")</f>
        <v/>
      </c>
      <c r="I487">
        <f>IF(E487="Gmail",COUNTIF($E$2:E487,"Gmail"),"")</f>
        <v/>
      </c>
      <c r="J487">
        <f>IF(E487="Outlook",COUNTIF($E$2:E487,"Outlook"),"")</f>
        <v/>
      </c>
      <c r="K487">
        <f>IF(E487="Domain",COUNTIF($E$2:E487,"Domain"),"")</f>
        <v/>
      </c>
    </row>
    <row r="488">
      <c r="A488" s="2" t="n"/>
      <c r="B488">
        <f>LOWER(TRIM(A488))</f>
        <v/>
      </c>
      <c r="C488">
        <f>IF(B488="","",IFERROR(INDEX('Bad Patterns'!$A$2:$A$120,MATCH(1,INDEX(--ISNUMBER(SEARCH('Bad Patterns'!$A$2:$A$120,B488)),0),0)),""))</f>
        <v/>
      </c>
      <c r="D488">
        <f>IF(B488="","",IF(C488&lt;&gt;"","REMOVE","KEEP"))</f>
        <v/>
      </c>
      <c r="E488">
        <f>IF(D488&lt;&gt;"KEEP","",IF(RIGHT(B488,10)="@gmail.com","Gmail",IF(OR(RIGHT(B488,12)="@outlook.com",RIGHT(B488,12)="@hotmail.com",RIGHT(B488,9)="@live.com"),"Outlook","Domain")))</f>
        <v/>
      </c>
      <c r="F488">
        <f>IF(B488="","",IFERROR(RIGHT(B488,LEN(B488)-FIND("@",B488)),""))</f>
        <v/>
      </c>
      <c r="G488">
        <f>IF(D488="KEEP",COUNTIF($D$2:D488,"KEEP"),"")</f>
        <v/>
      </c>
      <c r="H488">
        <f>IF(D488="REMOVE",COUNTIF($D$2:D488,"REMOVE"),"")</f>
        <v/>
      </c>
      <c r="I488">
        <f>IF(E488="Gmail",COUNTIF($E$2:E488,"Gmail"),"")</f>
        <v/>
      </c>
      <c r="J488">
        <f>IF(E488="Outlook",COUNTIF($E$2:E488,"Outlook"),"")</f>
        <v/>
      </c>
      <c r="K488">
        <f>IF(E488="Domain",COUNTIF($E$2:E488,"Domain"),"")</f>
        <v/>
      </c>
    </row>
    <row r="489">
      <c r="A489" s="2" t="n"/>
      <c r="B489">
        <f>LOWER(TRIM(A489))</f>
        <v/>
      </c>
      <c r="C489">
        <f>IF(B489="","",IFERROR(INDEX('Bad Patterns'!$A$2:$A$120,MATCH(1,INDEX(--ISNUMBER(SEARCH('Bad Patterns'!$A$2:$A$120,B489)),0),0)),""))</f>
        <v/>
      </c>
      <c r="D489">
        <f>IF(B489="","",IF(C489&lt;&gt;"","REMOVE","KEEP"))</f>
        <v/>
      </c>
      <c r="E489">
        <f>IF(D489&lt;&gt;"KEEP","",IF(RIGHT(B489,10)="@gmail.com","Gmail",IF(OR(RIGHT(B489,12)="@outlook.com",RIGHT(B489,12)="@hotmail.com",RIGHT(B489,9)="@live.com"),"Outlook","Domain")))</f>
        <v/>
      </c>
      <c r="F489">
        <f>IF(B489="","",IFERROR(RIGHT(B489,LEN(B489)-FIND("@",B489)),""))</f>
        <v/>
      </c>
      <c r="G489">
        <f>IF(D489="KEEP",COUNTIF($D$2:D489,"KEEP"),"")</f>
        <v/>
      </c>
      <c r="H489">
        <f>IF(D489="REMOVE",COUNTIF($D$2:D489,"REMOVE"),"")</f>
        <v/>
      </c>
      <c r="I489">
        <f>IF(E489="Gmail",COUNTIF($E$2:E489,"Gmail"),"")</f>
        <v/>
      </c>
      <c r="J489">
        <f>IF(E489="Outlook",COUNTIF($E$2:E489,"Outlook"),"")</f>
        <v/>
      </c>
      <c r="K489">
        <f>IF(E489="Domain",COUNTIF($E$2:E489,"Domain"),"")</f>
        <v/>
      </c>
    </row>
    <row r="490">
      <c r="A490" s="2" t="n"/>
      <c r="B490">
        <f>LOWER(TRIM(A490))</f>
        <v/>
      </c>
      <c r="C490">
        <f>IF(B490="","",IFERROR(INDEX('Bad Patterns'!$A$2:$A$120,MATCH(1,INDEX(--ISNUMBER(SEARCH('Bad Patterns'!$A$2:$A$120,B490)),0),0)),""))</f>
        <v/>
      </c>
      <c r="D490">
        <f>IF(B490="","",IF(C490&lt;&gt;"","REMOVE","KEEP"))</f>
        <v/>
      </c>
      <c r="E490">
        <f>IF(D490&lt;&gt;"KEEP","",IF(RIGHT(B490,10)="@gmail.com","Gmail",IF(OR(RIGHT(B490,12)="@outlook.com",RIGHT(B490,12)="@hotmail.com",RIGHT(B490,9)="@live.com"),"Outlook","Domain")))</f>
        <v/>
      </c>
      <c r="F490">
        <f>IF(B490="","",IFERROR(RIGHT(B490,LEN(B490)-FIND("@",B490)),""))</f>
        <v/>
      </c>
      <c r="G490">
        <f>IF(D490="KEEP",COUNTIF($D$2:D490,"KEEP"),"")</f>
        <v/>
      </c>
      <c r="H490">
        <f>IF(D490="REMOVE",COUNTIF($D$2:D490,"REMOVE"),"")</f>
        <v/>
      </c>
      <c r="I490">
        <f>IF(E490="Gmail",COUNTIF($E$2:E490,"Gmail"),"")</f>
        <v/>
      </c>
      <c r="J490">
        <f>IF(E490="Outlook",COUNTIF($E$2:E490,"Outlook"),"")</f>
        <v/>
      </c>
      <c r="K490">
        <f>IF(E490="Domain",COUNTIF($E$2:E490,"Domain"),"")</f>
        <v/>
      </c>
    </row>
    <row r="491">
      <c r="A491" s="2" t="n"/>
      <c r="B491">
        <f>LOWER(TRIM(A491))</f>
        <v/>
      </c>
      <c r="C491">
        <f>IF(B491="","",IFERROR(INDEX('Bad Patterns'!$A$2:$A$120,MATCH(1,INDEX(--ISNUMBER(SEARCH('Bad Patterns'!$A$2:$A$120,B491)),0),0)),""))</f>
        <v/>
      </c>
      <c r="D491">
        <f>IF(B491="","",IF(C491&lt;&gt;"","REMOVE","KEEP"))</f>
        <v/>
      </c>
      <c r="E491">
        <f>IF(D491&lt;&gt;"KEEP","",IF(RIGHT(B491,10)="@gmail.com","Gmail",IF(OR(RIGHT(B491,12)="@outlook.com",RIGHT(B491,12)="@hotmail.com",RIGHT(B491,9)="@live.com"),"Outlook","Domain")))</f>
        <v/>
      </c>
      <c r="F491">
        <f>IF(B491="","",IFERROR(RIGHT(B491,LEN(B491)-FIND("@",B491)),""))</f>
        <v/>
      </c>
      <c r="G491">
        <f>IF(D491="KEEP",COUNTIF($D$2:D491,"KEEP"),"")</f>
        <v/>
      </c>
      <c r="H491">
        <f>IF(D491="REMOVE",COUNTIF($D$2:D491,"REMOVE"),"")</f>
        <v/>
      </c>
      <c r="I491">
        <f>IF(E491="Gmail",COUNTIF($E$2:E491,"Gmail"),"")</f>
        <v/>
      </c>
      <c r="J491">
        <f>IF(E491="Outlook",COUNTIF($E$2:E491,"Outlook"),"")</f>
        <v/>
      </c>
      <c r="K491">
        <f>IF(E491="Domain",COUNTIF($E$2:E491,"Domain"),"")</f>
        <v/>
      </c>
    </row>
    <row r="492">
      <c r="A492" s="2" t="n"/>
      <c r="B492">
        <f>LOWER(TRIM(A492))</f>
        <v/>
      </c>
      <c r="C492">
        <f>IF(B492="","",IFERROR(INDEX('Bad Patterns'!$A$2:$A$120,MATCH(1,INDEX(--ISNUMBER(SEARCH('Bad Patterns'!$A$2:$A$120,B492)),0),0)),""))</f>
        <v/>
      </c>
      <c r="D492">
        <f>IF(B492="","",IF(C492&lt;&gt;"","REMOVE","KEEP"))</f>
        <v/>
      </c>
      <c r="E492">
        <f>IF(D492&lt;&gt;"KEEP","",IF(RIGHT(B492,10)="@gmail.com","Gmail",IF(OR(RIGHT(B492,12)="@outlook.com",RIGHT(B492,12)="@hotmail.com",RIGHT(B492,9)="@live.com"),"Outlook","Domain")))</f>
        <v/>
      </c>
      <c r="F492">
        <f>IF(B492="","",IFERROR(RIGHT(B492,LEN(B492)-FIND("@",B492)),""))</f>
        <v/>
      </c>
      <c r="G492">
        <f>IF(D492="KEEP",COUNTIF($D$2:D492,"KEEP"),"")</f>
        <v/>
      </c>
      <c r="H492">
        <f>IF(D492="REMOVE",COUNTIF($D$2:D492,"REMOVE"),"")</f>
        <v/>
      </c>
      <c r="I492">
        <f>IF(E492="Gmail",COUNTIF($E$2:E492,"Gmail"),"")</f>
        <v/>
      </c>
      <c r="J492">
        <f>IF(E492="Outlook",COUNTIF($E$2:E492,"Outlook"),"")</f>
        <v/>
      </c>
      <c r="K492">
        <f>IF(E492="Domain",COUNTIF($E$2:E492,"Domain"),"")</f>
        <v/>
      </c>
    </row>
    <row r="493">
      <c r="A493" s="2" t="n"/>
      <c r="B493">
        <f>LOWER(TRIM(A493))</f>
        <v/>
      </c>
      <c r="C493">
        <f>IF(B493="","",IFERROR(INDEX('Bad Patterns'!$A$2:$A$120,MATCH(1,INDEX(--ISNUMBER(SEARCH('Bad Patterns'!$A$2:$A$120,B493)),0),0)),""))</f>
        <v/>
      </c>
      <c r="D493">
        <f>IF(B493="","",IF(C493&lt;&gt;"","REMOVE","KEEP"))</f>
        <v/>
      </c>
      <c r="E493">
        <f>IF(D493&lt;&gt;"KEEP","",IF(RIGHT(B493,10)="@gmail.com","Gmail",IF(OR(RIGHT(B493,12)="@outlook.com",RIGHT(B493,12)="@hotmail.com",RIGHT(B493,9)="@live.com"),"Outlook","Domain")))</f>
        <v/>
      </c>
      <c r="F493">
        <f>IF(B493="","",IFERROR(RIGHT(B493,LEN(B493)-FIND("@",B493)),""))</f>
        <v/>
      </c>
      <c r="G493">
        <f>IF(D493="KEEP",COUNTIF($D$2:D493,"KEEP"),"")</f>
        <v/>
      </c>
      <c r="H493">
        <f>IF(D493="REMOVE",COUNTIF($D$2:D493,"REMOVE"),"")</f>
        <v/>
      </c>
      <c r="I493">
        <f>IF(E493="Gmail",COUNTIF($E$2:E493,"Gmail"),"")</f>
        <v/>
      </c>
      <c r="J493">
        <f>IF(E493="Outlook",COUNTIF($E$2:E493,"Outlook"),"")</f>
        <v/>
      </c>
      <c r="K493">
        <f>IF(E493="Domain",COUNTIF($E$2:E493,"Domain"),"")</f>
        <v/>
      </c>
    </row>
    <row r="494">
      <c r="A494" s="2" t="n"/>
      <c r="B494">
        <f>LOWER(TRIM(A494))</f>
        <v/>
      </c>
      <c r="C494">
        <f>IF(B494="","",IFERROR(INDEX('Bad Patterns'!$A$2:$A$120,MATCH(1,INDEX(--ISNUMBER(SEARCH('Bad Patterns'!$A$2:$A$120,B494)),0),0)),""))</f>
        <v/>
      </c>
      <c r="D494">
        <f>IF(B494="","",IF(C494&lt;&gt;"","REMOVE","KEEP"))</f>
        <v/>
      </c>
      <c r="E494">
        <f>IF(D494&lt;&gt;"KEEP","",IF(RIGHT(B494,10)="@gmail.com","Gmail",IF(OR(RIGHT(B494,12)="@outlook.com",RIGHT(B494,12)="@hotmail.com",RIGHT(B494,9)="@live.com"),"Outlook","Domain")))</f>
        <v/>
      </c>
      <c r="F494">
        <f>IF(B494="","",IFERROR(RIGHT(B494,LEN(B494)-FIND("@",B494)),""))</f>
        <v/>
      </c>
      <c r="G494">
        <f>IF(D494="KEEP",COUNTIF($D$2:D494,"KEEP"),"")</f>
        <v/>
      </c>
      <c r="H494">
        <f>IF(D494="REMOVE",COUNTIF($D$2:D494,"REMOVE"),"")</f>
        <v/>
      </c>
      <c r="I494">
        <f>IF(E494="Gmail",COUNTIF($E$2:E494,"Gmail"),"")</f>
        <v/>
      </c>
      <c r="J494">
        <f>IF(E494="Outlook",COUNTIF($E$2:E494,"Outlook"),"")</f>
        <v/>
      </c>
      <c r="K494">
        <f>IF(E494="Domain",COUNTIF($E$2:E494,"Domain"),"")</f>
        <v/>
      </c>
    </row>
    <row r="495">
      <c r="A495" s="2" t="n"/>
      <c r="B495">
        <f>LOWER(TRIM(A495))</f>
        <v/>
      </c>
      <c r="C495">
        <f>IF(B495="","",IFERROR(INDEX('Bad Patterns'!$A$2:$A$120,MATCH(1,INDEX(--ISNUMBER(SEARCH('Bad Patterns'!$A$2:$A$120,B495)),0),0)),""))</f>
        <v/>
      </c>
      <c r="D495">
        <f>IF(B495="","",IF(C495&lt;&gt;"","REMOVE","KEEP"))</f>
        <v/>
      </c>
      <c r="E495">
        <f>IF(D495&lt;&gt;"KEEP","",IF(RIGHT(B495,10)="@gmail.com","Gmail",IF(OR(RIGHT(B495,12)="@outlook.com",RIGHT(B495,12)="@hotmail.com",RIGHT(B495,9)="@live.com"),"Outlook","Domain")))</f>
        <v/>
      </c>
      <c r="F495">
        <f>IF(B495="","",IFERROR(RIGHT(B495,LEN(B495)-FIND("@",B495)),""))</f>
        <v/>
      </c>
      <c r="G495">
        <f>IF(D495="KEEP",COUNTIF($D$2:D495,"KEEP"),"")</f>
        <v/>
      </c>
      <c r="H495">
        <f>IF(D495="REMOVE",COUNTIF($D$2:D495,"REMOVE"),"")</f>
        <v/>
      </c>
      <c r="I495">
        <f>IF(E495="Gmail",COUNTIF($E$2:E495,"Gmail"),"")</f>
        <v/>
      </c>
      <c r="J495">
        <f>IF(E495="Outlook",COUNTIF($E$2:E495,"Outlook"),"")</f>
        <v/>
      </c>
      <c r="K495">
        <f>IF(E495="Domain",COUNTIF($E$2:E495,"Domain"),"")</f>
        <v/>
      </c>
    </row>
    <row r="496">
      <c r="A496" s="2" t="n"/>
      <c r="B496">
        <f>LOWER(TRIM(A496))</f>
        <v/>
      </c>
      <c r="C496">
        <f>IF(B496="","",IFERROR(INDEX('Bad Patterns'!$A$2:$A$120,MATCH(1,INDEX(--ISNUMBER(SEARCH('Bad Patterns'!$A$2:$A$120,B496)),0),0)),""))</f>
        <v/>
      </c>
      <c r="D496">
        <f>IF(B496="","",IF(C496&lt;&gt;"","REMOVE","KEEP"))</f>
        <v/>
      </c>
      <c r="E496">
        <f>IF(D496&lt;&gt;"KEEP","",IF(RIGHT(B496,10)="@gmail.com","Gmail",IF(OR(RIGHT(B496,12)="@outlook.com",RIGHT(B496,12)="@hotmail.com",RIGHT(B496,9)="@live.com"),"Outlook","Domain")))</f>
        <v/>
      </c>
      <c r="F496">
        <f>IF(B496="","",IFERROR(RIGHT(B496,LEN(B496)-FIND("@",B496)),""))</f>
        <v/>
      </c>
      <c r="G496">
        <f>IF(D496="KEEP",COUNTIF($D$2:D496,"KEEP"),"")</f>
        <v/>
      </c>
      <c r="H496">
        <f>IF(D496="REMOVE",COUNTIF($D$2:D496,"REMOVE"),"")</f>
        <v/>
      </c>
      <c r="I496">
        <f>IF(E496="Gmail",COUNTIF($E$2:E496,"Gmail"),"")</f>
        <v/>
      </c>
      <c r="J496">
        <f>IF(E496="Outlook",COUNTIF($E$2:E496,"Outlook"),"")</f>
        <v/>
      </c>
      <c r="K496">
        <f>IF(E496="Domain",COUNTIF($E$2:E496,"Domain"),"")</f>
        <v/>
      </c>
    </row>
    <row r="497">
      <c r="A497" s="2" t="n"/>
      <c r="B497">
        <f>LOWER(TRIM(A497))</f>
        <v/>
      </c>
      <c r="C497">
        <f>IF(B497="","",IFERROR(INDEX('Bad Patterns'!$A$2:$A$120,MATCH(1,INDEX(--ISNUMBER(SEARCH('Bad Patterns'!$A$2:$A$120,B497)),0),0)),""))</f>
        <v/>
      </c>
      <c r="D497">
        <f>IF(B497="","",IF(C497&lt;&gt;"","REMOVE","KEEP"))</f>
        <v/>
      </c>
      <c r="E497">
        <f>IF(D497&lt;&gt;"KEEP","",IF(RIGHT(B497,10)="@gmail.com","Gmail",IF(OR(RIGHT(B497,12)="@outlook.com",RIGHT(B497,12)="@hotmail.com",RIGHT(B497,9)="@live.com"),"Outlook","Domain")))</f>
        <v/>
      </c>
      <c r="F497">
        <f>IF(B497="","",IFERROR(RIGHT(B497,LEN(B497)-FIND("@",B497)),""))</f>
        <v/>
      </c>
      <c r="G497">
        <f>IF(D497="KEEP",COUNTIF($D$2:D497,"KEEP"),"")</f>
        <v/>
      </c>
      <c r="H497">
        <f>IF(D497="REMOVE",COUNTIF($D$2:D497,"REMOVE"),"")</f>
        <v/>
      </c>
      <c r="I497">
        <f>IF(E497="Gmail",COUNTIF($E$2:E497,"Gmail"),"")</f>
        <v/>
      </c>
      <c r="J497">
        <f>IF(E497="Outlook",COUNTIF($E$2:E497,"Outlook"),"")</f>
        <v/>
      </c>
      <c r="K497">
        <f>IF(E497="Domain",COUNTIF($E$2:E497,"Domain"),"")</f>
        <v/>
      </c>
    </row>
    <row r="498">
      <c r="A498" s="2" t="n"/>
      <c r="B498">
        <f>LOWER(TRIM(A498))</f>
        <v/>
      </c>
      <c r="C498">
        <f>IF(B498="","",IFERROR(INDEX('Bad Patterns'!$A$2:$A$120,MATCH(1,INDEX(--ISNUMBER(SEARCH('Bad Patterns'!$A$2:$A$120,B498)),0),0)),""))</f>
        <v/>
      </c>
      <c r="D498">
        <f>IF(B498="","",IF(C498&lt;&gt;"","REMOVE","KEEP"))</f>
        <v/>
      </c>
      <c r="E498">
        <f>IF(D498&lt;&gt;"KEEP","",IF(RIGHT(B498,10)="@gmail.com","Gmail",IF(OR(RIGHT(B498,12)="@outlook.com",RIGHT(B498,12)="@hotmail.com",RIGHT(B498,9)="@live.com"),"Outlook","Domain")))</f>
        <v/>
      </c>
      <c r="F498">
        <f>IF(B498="","",IFERROR(RIGHT(B498,LEN(B498)-FIND("@",B498)),""))</f>
        <v/>
      </c>
      <c r="G498">
        <f>IF(D498="KEEP",COUNTIF($D$2:D498,"KEEP"),"")</f>
        <v/>
      </c>
      <c r="H498">
        <f>IF(D498="REMOVE",COUNTIF($D$2:D498,"REMOVE"),"")</f>
        <v/>
      </c>
      <c r="I498">
        <f>IF(E498="Gmail",COUNTIF($E$2:E498,"Gmail"),"")</f>
        <v/>
      </c>
      <c r="J498">
        <f>IF(E498="Outlook",COUNTIF($E$2:E498,"Outlook"),"")</f>
        <v/>
      </c>
      <c r="K498">
        <f>IF(E498="Domain",COUNTIF($E$2:E498,"Domain"),"")</f>
        <v/>
      </c>
    </row>
    <row r="499">
      <c r="A499" s="2" t="n"/>
      <c r="B499">
        <f>LOWER(TRIM(A499))</f>
        <v/>
      </c>
      <c r="C499">
        <f>IF(B499="","",IFERROR(INDEX('Bad Patterns'!$A$2:$A$120,MATCH(1,INDEX(--ISNUMBER(SEARCH('Bad Patterns'!$A$2:$A$120,B499)),0),0)),""))</f>
        <v/>
      </c>
      <c r="D499">
        <f>IF(B499="","",IF(C499&lt;&gt;"","REMOVE","KEEP"))</f>
        <v/>
      </c>
      <c r="E499">
        <f>IF(D499&lt;&gt;"KEEP","",IF(RIGHT(B499,10)="@gmail.com","Gmail",IF(OR(RIGHT(B499,12)="@outlook.com",RIGHT(B499,12)="@hotmail.com",RIGHT(B499,9)="@live.com"),"Outlook","Domain")))</f>
        <v/>
      </c>
      <c r="F499">
        <f>IF(B499="","",IFERROR(RIGHT(B499,LEN(B499)-FIND("@",B499)),""))</f>
        <v/>
      </c>
      <c r="G499">
        <f>IF(D499="KEEP",COUNTIF($D$2:D499,"KEEP"),"")</f>
        <v/>
      </c>
      <c r="H499">
        <f>IF(D499="REMOVE",COUNTIF($D$2:D499,"REMOVE"),"")</f>
        <v/>
      </c>
      <c r="I499">
        <f>IF(E499="Gmail",COUNTIF($E$2:E499,"Gmail"),"")</f>
        <v/>
      </c>
      <c r="J499">
        <f>IF(E499="Outlook",COUNTIF($E$2:E499,"Outlook"),"")</f>
        <v/>
      </c>
      <c r="K499">
        <f>IF(E499="Domain",COUNTIF($E$2:E499,"Domain"),"")</f>
        <v/>
      </c>
    </row>
    <row r="500">
      <c r="A500" s="2" t="n"/>
      <c r="B500">
        <f>LOWER(TRIM(A500))</f>
        <v/>
      </c>
      <c r="C500">
        <f>IF(B500="","",IFERROR(INDEX('Bad Patterns'!$A$2:$A$120,MATCH(1,INDEX(--ISNUMBER(SEARCH('Bad Patterns'!$A$2:$A$120,B500)),0),0)),""))</f>
        <v/>
      </c>
      <c r="D500">
        <f>IF(B500="","",IF(C500&lt;&gt;"","REMOVE","KEEP"))</f>
        <v/>
      </c>
      <c r="E500">
        <f>IF(D500&lt;&gt;"KEEP","",IF(RIGHT(B500,10)="@gmail.com","Gmail",IF(OR(RIGHT(B500,12)="@outlook.com",RIGHT(B500,12)="@hotmail.com",RIGHT(B500,9)="@live.com"),"Outlook","Domain")))</f>
        <v/>
      </c>
      <c r="F500">
        <f>IF(B500="","",IFERROR(RIGHT(B500,LEN(B500)-FIND("@",B500)),""))</f>
        <v/>
      </c>
      <c r="G500">
        <f>IF(D500="KEEP",COUNTIF($D$2:D500,"KEEP"),"")</f>
        <v/>
      </c>
      <c r="H500">
        <f>IF(D500="REMOVE",COUNTIF($D$2:D500,"REMOVE"),"")</f>
        <v/>
      </c>
      <c r="I500">
        <f>IF(E500="Gmail",COUNTIF($E$2:E500,"Gmail"),"")</f>
        <v/>
      </c>
      <c r="J500">
        <f>IF(E500="Outlook",COUNTIF($E$2:E500,"Outlook"),"")</f>
        <v/>
      </c>
      <c r="K500">
        <f>IF(E500="Domain",COUNTIF($E$2:E500,"Domain"),"")</f>
        <v/>
      </c>
    </row>
    <row r="501">
      <c r="A501" s="2" t="n"/>
      <c r="B501">
        <f>LOWER(TRIM(A501))</f>
        <v/>
      </c>
      <c r="C501">
        <f>IF(B501="","",IFERROR(INDEX('Bad Patterns'!$A$2:$A$120,MATCH(1,INDEX(--ISNUMBER(SEARCH('Bad Patterns'!$A$2:$A$120,B501)),0),0)),""))</f>
        <v/>
      </c>
      <c r="D501">
        <f>IF(B501="","",IF(C501&lt;&gt;"","REMOVE","KEEP"))</f>
        <v/>
      </c>
      <c r="E501">
        <f>IF(D501&lt;&gt;"KEEP","",IF(RIGHT(B501,10)="@gmail.com","Gmail",IF(OR(RIGHT(B501,12)="@outlook.com",RIGHT(B501,12)="@hotmail.com",RIGHT(B501,9)="@live.com"),"Outlook","Domain")))</f>
        <v/>
      </c>
      <c r="F501">
        <f>IF(B501="","",IFERROR(RIGHT(B501,LEN(B501)-FIND("@",B501)),""))</f>
        <v/>
      </c>
      <c r="G501">
        <f>IF(D501="KEEP",COUNTIF($D$2:D501,"KEEP"),"")</f>
        <v/>
      </c>
      <c r="H501">
        <f>IF(D501="REMOVE",COUNTIF($D$2:D501,"REMOVE"),"")</f>
        <v/>
      </c>
      <c r="I501">
        <f>IF(E501="Gmail",COUNTIF($E$2:E501,"Gmail"),"")</f>
        <v/>
      </c>
      <c r="J501">
        <f>IF(E501="Outlook",COUNTIF($E$2:E501,"Outlook"),"")</f>
        <v/>
      </c>
      <c r="K501">
        <f>IF(E501="Domain",COUNTIF($E$2:E501,"Domain"),"")</f>
        <v/>
      </c>
    </row>
    <row r="502">
      <c r="A502" s="2" t="n"/>
      <c r="B502">
        <f>LOWER(TRIM(A502))</f>
        <v/>
      </c>
      <c r="C502">
        <f>IF(B502="","",IFERROR(INDEX('Bad Patterns'!$A$2:$A$120,MATCH(1,INDEX(--ISNUMBER(SEARCH('Bad Patterns'!$A$2:$A$120,B502)),0),0)),""))</f>
        <v/>
      </c>
      <c r="D502">
        <f>IF(B502="","",IF(C502&lt;&gt;"","REMOVE","KEEP"))</f>
        <v/>
      </c>
      <c r="E502">
        <f>IF(D502&lt;&gt;"KEEP","",IF(RIGHT(B502,10)="@gmail.com","Gmail",IF(OR(RIGHT(B502,12)="@outlook.com",RIGHT(B502,12)="@hotmail.com",RIGHT(B502,9)="@live.com"),"Outlook","Domain")))</f>
        <v/>
      </c>
      <c r="F502">
        <f>IF(B502="","",IFERROR(RIGHT(B502,LEN(B502)-FIND("@",B502)),""))</f>
        <v/>
      </c>
      <c r="G502">
        <f>IF(D502="KEEP",COUNTIF($D$2:D502,"KEEP"),"")</f>
        <v/>
      </c>
      <c r="H502">
        <f>IF(D502="REMOVE",COUNTIF($D$2:D502,"REMOVE"),"")</f>
        <v/>
      </c>
      <c r="I502">
        <f>IF(E502="Gmail",COUNTIF($E$2:E502,"Gmail"),"")</f>
        <v/>
      </c>
      <c r="J502">
        <f>IF(E502="Outlook",COUNTIF($E$2:E502,"Outlook"),"")</f>
        <v/>
      </c>
      <c r="K502">
        <f>IF(E502="Domain",COUNTIF($E$2:E502,"Domain"),"")</f>
        <v/>
      </c>
    </row>
    <row r="503">
      <c r="A503" s="2" t="n"/>
      <c r="B503">
        <f>LOWER(TRIM(A503))</f>
        <v/>
      </c>
      <c r="C503">
        <f>IF(B503="","",IFERROR(INDEX('Bad Patterns'!$A$2:$A$120,MATCH(1,INDEX(--ISNUMBER(SEARCH('Bad Patterns'!$A$2:$A$120,B503)),0),0)),""))</f>
        <v/>
      </c>
      <c r="D503">
        <f>IF(B503="","",IF(C503&lt;&gt;"","REMOVE","KEEP"))</f>
        <v/>
      </c>
      <c r="E503">
        <f>IF(D503&lt;&gt;"KEEP","",IF(RIGHT(B503,10)="@gmail.com","Gmail",IF(OR(RIGHT(B503,12)="@outlook.com",RIGHT(B503,12)="@hotmail.com",RIGHT(B503,9)="@live.com"),"Outlook","Domain")))</f>
        <v/>
      </c>
      <c r="F503">
        <f>IF(B503="","",IFERROR(RIGHT(B503,LEN(B503)-FIND("@",B503)),""))</f>
        <v/>
      </c>
      <c r="G503">
        <f>IF(D503="KEEP",COUNTIF($D$2:D503,"KEEP"),"")</f>
        <v/>
      </c>
      <c r="H503">
        <f>IF(D503="REMOVE",COUNTIF($D$2:D503,"REMOVE"),"")</f>
        <v/>
      </c>
      <c r="I503">
        <f>IF(E503="Gmail",COUNTIF($E$2:E503,"Gmail"),"")</f>
        <v/>
      </c>
      <c r="J503">
        <f>IF(E503="Outlook",COUNTIF($E$2:E503,"Outlook"),"")</f>
        <v/>
      </c>
      <c r="K503">
        <f>IF(E503="Domain",COUNTIF($E$2:E503,"Domain"),"")</f>
        <v/>
      </c>
    </row>
    <row r="504">
      <c r="A504" s="2" t="n"/>
      <c r="B504">
        <f>LOWER(TRIM(A504))</f>
        <v/>
      </c>
      <c r="C504">
        <f>IF(B504="","",IFERROR(INDEX('Bad Patterns'!$A$2:$A$120,MATCH(1,INDEX(--ISNUMBER(SEARCH('Bad Patterns'!$A$2:$A$120,B504)),0),0)),""))</f>
        <v/>
      </c>
      <c r="D504">
        <f>IF(B504="","",IF(C504&lt;&gt;"","REMOVE","KEEP"))</f>
        <v/>
      </c>
      <c r="E504">
        <f>IF(D504&lt;&gt;"KEEP","",IF(RIGHT(B504,10)="@gmail.com","Gmail",IF(OR(RIGHT(B504,12)="@outlook.com",RIGHT(B504,12)="@hotmail.com",RIGHT(B504,9)="@live.com"),"Outlook","Domain")))</f>
        <v/>
      </c>
      <c r="F504">
        <f>IF(B504="","",IFERROR(RIGHT(B504,LEN(B504)-FIND("@",B504)),""))</f>
        <v/>
      </c>
      <c r="G504">
        <f>IF(D504="KEEP",COUNTIF($D$2:D504,"KEEP"),"")</f>
        <v/>
      </c>
      <c r="H504">
        <f>IF(D504="REMOVE",COUNTIF($D$2:D504,"REMOVE"),"")</f>
        <v/>
      </c>
      <c r="I504">
        <f>IF(E504="Gmail",COUNTIF($E$2:E504,"Gmail"),"")</f>
        <v/>
      </c>
      <c r="J504">
        <f>IF(E504="Outlook",COUNTIF($E$2:E504,"Outlook"),"")</f>
        <v/>
      </c>
      <c r="K504">
        <f>IF(E504="Domain",COUNTIF($E$2:E504,"Domain"),"")</f>
        <v/>
      </c>
    </row>
    <row r="505">
      <c r="A505" s="2" t="n"/>
      <c r="B505">
        <f>LOWER(TRIM(A505))</f>
        <v/>
      </c>
      <c r="C505">
        <f>IF(B505="","",IFERROR(INDEX('Bad Patterns'!$A$2:$A$120,MATCH(1,INDEX(--ISNUMBER(SEARCH('Bad Patterns'!$A$2:$A$120,B505)),0),0)),""))</f>
        <v/>
      </c>
      <c r="D505">
        <f>IF(B505="","",IF(C505&lt;&gt;"","REMOVE","KEEP"))</f>
        <v/>
      </c>
      <c r="E505">
        <f>IF(D505&lt;&gt;"KEEP","",IF(RIGHT(B505,10)="@gmail.com","Gmail",IF(OR(RIGHT(B505,12)="@outlook.com",RIGHT(B505,12)="@hotmail.com",RIGHT(B505,9)="@live.com"),"Outlook","Domain")))</f>
        <v/>
      </c>
      <c r="F505">
        <f>IF(B505="","",IFERROR(RIGHT(B505,LEN(B505)-FIND("@",B505)),""))</f>
        <v/>
      </c>
      <c r="G505">
        <f>IF(D505="KEEP",COUNTIF($D$2:D505,"KEEP"),"")</f>
        <v/>
      </c>
      <c r="H505">
        <f>IF(D505="REMOVE",COUNTIF($D$2:D505,"REMOVE"),"")</f>
        <v/>
      </c>
      <c r="I505">
        <f>IF(E505="Gmail",COUNTIF($E$2:E505,"Gmail"),"")</f>
        <v/>
      </c>
      <c r="J505">
        <f>IF(E505="Outlook",COUNTIF($E$2:E505,"Outlook"),"")</f>
        <v/>
      </c>
      <c r="K505">
        <f>IF(E505="Domain",COUNTIF($E$2:E505,"Domain"),"")</f>
        <v/>
      </c>
    </row>
    <row r="506">
      <c r="A506" s="2" t="n"/>
      <c r="B506">
        <f>LOWER(TRIM(A506))</f>
        <v/>
      </c>
      <c r="C506">
        <f>IF(B506="","",IFERROR(INDEX('Bad Patterns'!$A$2:$A$120,MATCH(1,INDEX(--ISNUMBER(SEARCH('Bad Patterns'!$A$2:$A$120,B506)),0),0)),""))</f>
        <v/>
      </c>
      <c r="D506">
        <f>IF(B506="","",IF(C506&lt;&gt;"","REMOVE","KEEP"))</f>
        <v/>
      </c>
      <c r="E506">
        <f>IF(D506&lt;&gt;"KEEP","",IF(RIGHT(B506,10)="@gmail.com","Gmail",IF(OR(RIGHT(B506,12)="@outlook.com",RIGHT(B506,12)="@hotmail.com",RIGHT(B506,9)="@live.com"),"Outlook","Domain")))</f>
        <v/>
      </c>
      <c r="F506">
        <f>IF(B506="","",IFERROR(RIGHT(B506,LEN(B506)-FIND("@",B506)),""))</f>
        <v/>
      </c>
      <c r="G506">
        <f>IF(D506="KEEP",COUNTIF($D$2:D506,"KEEP"),"")</f>
        <v/>
      </c>
      <c r="H506">
        <f>IF(D506="REMOVE",COUNTIF($D$2:D506,"REMOVE"),"")</f>
        <v/>
      </c>
      <c r="I506">
        <f>IF(E506="Gmail",COUNTIF($E$2:E506,"Gmail"),"")</f>
        <v/>
      </c>
      <c r="J506">
        <f>IF(E506="Outlook",COUNTIF($E$2:E506,"Outlook"),"")</f>
        <v/>
      </c>
      <c r="K506">
        <f>IF(E506="Domain",COUNTIF($E$2:E506,"Domain"),"")</f>
        <v/>
      </c>
    </row>
    <row r="507">
      <c r="A507" s="2" t="n"/>
      <c r="B507">
        <f>LOWER(TRIM(A507))</f>
        <v/>
      </c>
      <c r="C507">
        <f>IF(B507="","",IFERROR(INDEX('Bad Patterns'!$A$2:$A$120,MATCH(1,INDEX(--ISNUMBER(SEARCH('Bad Patterns'!$A$2:$A$120,B507)),0),0)),""))</f>
        <v/>
      </c>
      <c r="D507">
        <f>IF(B507="","",IF(C507&lt;&gt;"","REMOVE","KEEP"))</f>
        <v/>
      </c>
      <c r="E507">
        <f>IF(D507&lt;&gt;"KEEP","",IF(RIGHT(B507,10)="@gmail.com","Gmail",IF(OR(RIGHT(B507,12)="@outlook.com",RIGHT(B507,12)="@hotmail.com",RIGHT(B507,9)="@live.com"),"Outlook","Domain")))</f>
        <v/>
      </c>
      <c r="F507">
        <f>IF(B507="","",IFERROR(RIGHT(B507,LEN(B507)-FIND("@",B507)),""))</f>
        <v/>
      </c>
      <c r="G507">
        <f>IF(D507="KEEP",COUNTIF($D$2:D507,"KEEP"),"")</f>
        <v/>
      </c>
      <c r="H507">
        <f>IF(D507="REMOVE",COUNTIF($D$2:D507,"REMOVE"),"")</f>
        <v/>
      </c>
      <c r="I507">
        <f>IF(E507="Gmail",COUNTIF($E$2:E507,"Gmail"),"")</f>
        <v/>
      </c>
      <c r="J507">
        <f>IF(E507="Outlook",COUNTIF($E$2:E507,"Outlook"),"")</f>
        <v/>
      </c>
      <c r="K507">
        <f>IF(E507="Domain",COUNTIF($E$2:E507,"Domain"),"")</f>
        <v/>
      </c>
    </row>
    <row r="508">
      <c r="A508" s="2" t="n"/>
      <c r="B508">
        <f>LOWER(TRIM(A508))</f>
        <v/>
      </c>
      <c r="C508">
        <f>IF(B508="","",IFERROR(INDEX('Bad Patterns'!$A$2:$A$120,MATCH(1,INDEX(--ISNUMBER(SEARCH('Bad Patterns'!$A$2:$A$120,B508)),0),0)),""))</f>
        <v/>
      </c>
      <c r="D508">
        <f>IF(B508="","",IF(C508&lt;&gt;"","REMOVE","KEEP"))</f>
        <v/>
      </c>
      <c r="E508">
        <f>IF(D508&lt;&gt;"KEEP","",IF(RIGHT(B508,10)="@gmail.com","Gmail",IF(OR(RIGHT(B508,12)="@outlook.com",RIGHT(B508,12)="@hotmail.com",RIGHT(B508,9)="@live.com"),"Outlook","Domain")))</f>
        <v/>
      </c>
      <c r="F508">
        <f>IF(B508="","",IFERROR(RIGHT(B508,LEN(B508)-FIND("@",B508)),""))</f>
        <v/>
      </c>
      <c r="G508">
        <f>IF(D508="KEEP",COUNTIF($D$2:D508,"KEEP"),"")</f>
        <v/>
      </c>
      <c r="H508">
        <f>IF(D508="REMOVE",COUNTIF($D$2:D508,"REMOVE"),"")</f>
        <v/>
      </c>
      <c r="I508">
        <f>IF(E508="Gmail",COUNTIF($E$2:E508,"Gmail"),"")</f>
        <v/>
      </c>
      <c r="J508">
        <f>IF(E508="Outlook",COUNTIF($E$2:E508,"Outlook"),"")</f>
        <v/>
      </c>
      <c r="K508">
        <f>IF(E508="Domain",COUNTIF($E$2:E508,"Domain"),"")</f>
        <v/>
      </c>
    </row>
    <row r="509">
      <c r="A509" s="2" t="n"/>
      <c r="B509">
        <f>LOWER(TRIM(A509))</f>
        <v/>
      </c>
      <c r="C509">
        <f>IF(B509="","",IFERROR(INDEX('Bad Patterns'!$A$2:$A$120,MATCH(1,INDEX(--ISNUMBER(SEARCH('Bad Patterns'!$A$2:$A$120,B509)),0),0)),""))</f>
        <v/>
      </c>
      <c r="D509">
        <f>IF(B509="","",IF(C509&lt;&gt;"","REMOVE","KEEP"))</f>
        <v/>
      </c>
      <c r="E509">
        <f>IF(D509&lt;&gt;"KEEP","",IF(RIGHT(B509,10)="@gmail.com","Gmail",IF(OR(RIGHT(B509,12)="@outlook.com",RIGHT(B509,12)="@hotmail.com",RIGHT(B509,9)="@live.com"),"Outlook","Domain")))</f>
        <v/>
      </c>
      <c r="F509">
        <f>IF(B509="","",IFERROR(RIGHT(B509,LEN(B509)-FIND("@",B509)),""))</f>
        <v/>
      </c>
      <c r="G509">
        <f>IF(D509="KEEP",COUNTIF($D$2:D509,"KEEP"),"")</f>
        <v/>
      </c>
      <c r="H509">
        <f>IF(D509="REMOVE",COUNTIF($D$2:D509,"REMOVE"),"")</f>
        <v/>
      </c>
      <c r="I509">
        <f>IF(E509="Gmail",COUNTIF($E$2:E509,"Gmail"),"")</f>
        <v/>
      </c>
      <c r="J509">
        <f>IF(E509="Outlook",COUNTIF($E$2:E509,"Outlook"),"")</f>
        <v/>
      </c>
      <c r="K509">
        <f>IF(E509="Domain",COUNTIF($E$2:E509,"Domain"),"")</f>
        <v/>
      </c>
    </row>
    <row r="510">
      <c r="A510" s="2" t="n"/>
      <c r="B510">
        <f>LOWER(TRIM(A510))</f>
        <v/>
      </c>
      <c r="C510">
        <f>IF(B510="","",IFERROR(INDEX('Bad Patterns'!$A$2:$A$120,MATCH(1,INDEX(--ISNUMBER(SEARCH('Bad Patterns'!$A$2:$A$120,B510)),0),0)),""))</f>
        <v/>
      </c>
      <c r="D510">
        <f>IF(B510="","",IF(C510&lt;&gt;"","REMOVE","KEEP"))</f>
        <v/>
      </c>
      <c r="E510">
        <f>IF(D510&lt;&gt;"KEEP","",IF(RIGHT(B510,10)="@gmail.com","Gmail",IF(OR(RIGHT(B510,12)="@outlook.com",RIGHT(B510,12)="@hotmail.com",RIGHT(B510,9)="@live.com"),"Outlook","Domain")))</f>
        <v/>
      </c>
      <c r="F510">
        <f>IF(B510="","",IFERROR(RIGHT(B510,LEN(B510)-FIND("@",B510)),""))</f>
        <v/>
      </c>
      <c r="G510">
        <f>IF(D510="KEEP",COUNTIF($D$2:D510,"KEEP"),"")</f>
        <v/>
      </c>
      <c r="H510">
        <f>IF(D510="REMOVE",COUNTIF($D$2:D510,"REMOVE"),"")</f>
        <v/>
      </c>
      <c r="I510">
        <f>IF(E510="Gmail",COUNTIF($E$2:E510,"Gmail"),"")</f>
        <v/>
      </c>
      <c r="J510">
        <f>IF(E510="Outlook",COUNTIF($E$2:E510,"Outlook"),"")</f>
        <v/>
      </c>
      <c r="K510">
        <f>IF(E510="Domain",COUNTIF($E$2:E510,"Domain"),"")</f>
        <v/>
      </c>
    </row>
    <row r="511">
      <c r="A511" s="2" t="n"/>
      <c r="B511">
        <f>LOWER(TRIM(A511))</f>
        <v/>
      </c>
      <c r="C511">
        <f>IF(B511="","",IFERROR(INDEX('Bad Patterns'!$A$2:$A$120,MATCH(1,INDEX(--ISNUMBER(SEARCH('Bad Patterns'!$A$2:$A$120,B511)),0),0)),""))</f>
        <v/>
      </c>
      <c r="D511">
        <f>IF(B511="","",IF(C511&lt;&gt;"","REMOVE","KEEP"))</f>
        <v/>
      </c>
      <c r="E511">
        <f>IF(D511&lt;&gt;"KEEP","",IF(RIGHT(B511,10)="@gmail.com","Gmail",IF(OR(RIGHT(B511,12)="@outlook.com",RIGHT(B511,12)="@hotmail.com",RIGHT(B511,9)="@live.com"),"Outlook","Domain")))</f>
        <v/>
      </c>
      <c r="F511">
        <f>IF(B511="","",IFERROR(RIGHT(B511,LEN(B511)-FIND("@",B511)),""))</f>
        <v/>
      </c>
      <c r="G511">
        <f>IF(D511="KEEP",COUNTIF($D$2:D511,"KEEP"),"")</f>
        <v/>
      </c>
      <c r="H511">
        <f>IF(D511="REMOVE",COUNTIF($D$2:D511,"REMOVE"),"")</f>
        <v/>
      </c>
      <c r="I511">
        <f>IF(E511="Gmail",COUNTIF($E$2:E511,"Gmail"),"")</f>
        <v/>
      </c>
      <c r="J511">
        <f>IF(E511="Outlook",COUNTIF($E$2:E511,"Outlook"),"")</f>
        <v/>
      </c>
      <c r="K511">
        <f>IF(E511="Domain",COUNTIF($E$2:E511,"Domain"),"")</f>
        <v/>
      </c>
    </row>
    <row r="512">
      <c r="A512" s="2" t="n"/>
      <c r="B512">
        <f>LOWER(TRIM(A512))</f>
        <v/>
      </c>
      <c r="C512">
        <f>IF(B512="","",IFERROR(INDEX('Bad Patterns'!$A$2:$A$120,MATCH(1,INDEX(--ISNUMBER(SEARCH('Bad Patterns'!$A$2:$A$120,B512)),0),0)),""))</f>
        <v/>
      </c>
      <c r="D512">
        <f>IF(B512="","",IF(C512&lt;&gt;"","REMOVE","KEEP"))</f>
        <v/>
      </c>
      <c r="E512">
        <f>IF(D512&lt;&gt;"KEEP","",IF(RIGHT(B512,10)="@gmail.com","Gmail",IF(OR(RIGHT(B512,12)="@outlook.com",RIGHT(B512,12)="@hotmail.com",RIGHT(B512,9)="@live.com"),"Outlook","Domain")))</f>
        <v/>
      </c>
      <c r="F512">
        <f>IF(B512="","",IFERROR(RIGHT(B512,LEN(B512)-FIND("@",B512)),""))</f>
        <v/>
      </c>
      <c r="G512">
        <f>IF(D512="KEEP",COUNTIF($D$2:D512,"KEEP"),"")</f>
        <v/>
      </c>
      <c r="H512">
        <f>IF(D512="REMOVE",COUNTIF($D$2:D512,"REMOVE"),"")</f>
        <v/>
      </c>
      <c r="I512">
        <f>IF(E512="Gmail",COUNTIF($E$2:E512,"Gmail"),"")</f>
        <v/>
      </c>
      <c r="J512">
        <f>IF(E512="Outlook",COUNTIF($E$2:E512,"Outlook"),"")</f>
        <v/>
      </c>
      <c r="K512">
        <f>IF(E512="Domain",COUNTIF($E$2:E512,"Domain"),"")</f>
        <v/>
      </c>
    </row>
    <row r="513">
      <c r="A513" s="2" t="n"/>
      <c r="B513">
        <f>LOWER(TRIM(A513))</f>
        <v/>
      </c>
      <c r="C513">
        <f>IF(B513="","",IFERROR(INDEX('Bad Patterns'!$A$2:$A$120,MATCH(1,INDEX(--ISNUMBER(SEARCH('Bad Patterns'!$A$2:$A$120,B513)),0),0)),""))</f>
        <v/>
      </c>
      <c r="D513">
        <f>IF(B513="","",IF(C513&lt;&gt;"","REMOVE","KEEP"))</f>
        <v/>
      </c>
      <c r="E513">
        <f>IF(D513&lt;&gt;"KEEP","",IF(RIGHT(B513,10)="@gmail.com","Gmail",IF(OR(RIGHT(B513,12)="@outlook.com",RIGHT(B513,12)="@hotmail.com",RIGHT(B513,9)="@live.com"),"Outlook","Domain")))</f>
        <v/>
      </c>
      <c r="F513">
        <f>IF(B513="","",IFERROR(RIGHT(B513,LEN(B513)-FIND("@",B513)),""))</f>
        <v/>
      </c>
      <c r="G513">
        <f>IF(D513="KEEP",COUNTIF($D$2:D513,"KEEP"),"")</f>
        <v/>
      </c>
      <c r="H513">
        <f>IF(D513="REMOVE",COUNTIF($D$2:D513,"REMOVE"),"")</f>
        <v/>
      </c>
      <c r="I513">
        <f>IF(E513="Gmail",COUNTIF($E$2:E513,"Gmail"),"")</f>
        <v/>
      </c>
      <c r="J513">
        <f>IF(E513="Outlook",COUNTIF($E$2:E513,"Outlook"),"")</f>
        <v/>
      </c>
      <c r="K513">
        <f>IF(E513="Domain",COUNTIF($E$2:E513,"Domain"),"")</f>
        <v/>
      </c>
    </row>
    <row r="514">
      <c r="A514" s="2" t="n"/>
      <c r="B514">
        <f>LOWER(TRIM(A514))</f>
        <v/>
      </c>
      <c r="C514">
        <f>IF(B514="","",IFERROR(INDEX('Bad Patterns'!$A$2:$A$120,MATCH(1,INDEX(--ISNUMBER(SEARCH('Bad Patterns'!$A$2:$A$120,B514)),0),0)),""))</f>
        <v/>
      </c>
      <c r="D514">
        <f>IF(B514="","",IF(C514&lt;&gt;"","REMOVE","KEEP"))</f>
        <v/>
      </c>
      <c r="E514">
        <f>IF(D514&lt;&gt;"KEEP","",IF(RIGHT(B514,10)="@gmail.com","Gmail",IF(OR(RIGHT(B514,12)="@outlook.com",RIGHT(B514,12)="@hotmail.com",RIGHT(B514,9)="@live.com"),"Outlook","Domain")))</f>
        <v/>
      </c>
      <c r="F514">
        <f>IF(B514="","",IFERROR(RIGHT(B514,LEN(B514)-FIND("@",B514)),""))</f>
        <v/>
      </c>
      <c r="G514">
        <f>IF(D514="KEEP",COUNTIF($D$2:D514,"KEEP"),"")</f>
        <v/>
      </c>
      <c r="H514">
        <f>IF(D514="REMOVE",COUNTIF($D$2:D514,"REMOVE"),"")</f>
        <v/>
      </c>
      <c r="I514">
        <f>IF(E514="Gmail",COUNTIF($E$2:E514,"Gmail"),"")</f>
        <v/>
      </c>
      <c r="J514">
        <f>IF(E514="Outlook",COUNTIF($E$2:E514,"Outlook"),"")</f>
        <v/>
      </c>
      <c r="K514">
        <f>IF(E514="Domain",COUNTIF($E$2:E514,"Domain"),"")</f>
        <v/>
      </c>
    </row>
    <row r="515">
      <c r="A515" s="2" t="n"/>
      <c r="B515">
        <f>LOWER(TRIM(A515))</f>
        <v/>
      </c>
      <c r="C515">
        <f>IF(B515="","",IFERROR(INDEX('Bad Patterns'!$A$2:$A$120,MATCH(1,INDEX(--ISNUMBER(SEARCH('Bad Patterns'!$A$2:$A$120,B515)),0),0)),""))</f>
        <v/>
      </c>
      <c r="D515">
        <f>IF(B515="","",IF(C515&lt;&gt;"","REMOVE","KEEP"))</f>
        <v/>
      </c>
      <c r="E515">
        <f>IF(D515&lt;&gt;"KEEP","",IF(RIGHT(B515,10)="@gmail.com","Gmail",IF(OR(RIGHT(B515,12)="@outlook.com",RIGHT(B515,12)="@hotmail.com",RIGHT(B515,9)="@live.com"),"Outlook","Domain")))</f>
        <v/>
      </c>
      <c r="F515">
        <f>IF(B515="","",IFERROR(RIGHT(B515,LEN(B515)-FIND("@",B515)),""))</f>
        <v/>
      </c>
      <c r="G515">
        <f>IF(D515="KEEP",COUNTIF($D$2:D515,"KEEP"),"")</f>
        <v/>
      </c>
      <c r="H515">
        <f>IF(D515="REMOVE",COUNTIF($D$2:D515,"REMOVE"),"")</f>
        <v/>
      </c>
      <c r="I515">
        <f>IF(E515="Gmail",COUNTIF($E$2:E515,"Gmail"),"")</f>
        <v/>
      </c>
      <c r="J515">
        <f>IF(E515="Outlook",COUNTIF($E$2:E515,"Outlook"),"")</f>
        <v/>
      </c>
      <c r="K515">
        <f>IF(E515="Domain",COUNTIF($E$2:E515,"Domain"),"")</f>
        <v/>
      </c>
    </row>
    <row r="516">
      <c r="A516" s="2" t="n"/>
      <c r="B516">
        <f>LOWER(TRIM(A516))</f>
        <v/>
      </c>
      <c r="C516">
        <f>IF(B516="","",IFERROR(INDEX('Bad Patterns'!$A$2:$A$120,MATCH(1,INDEX(--ISNUMBER(SEARCH('Bad Patterns'!$A$2:$A$120,B516)),0),0)),""))</f>
        <v/>
      </c>
      <c r="D516">
        <f>IF(B516="","",IF(C516&lt;&gt;"","REMOVE","KEEP"))</f>
        <v/>
      </c>
      <c r="E516">
        <f>IF(D516&lt;&gt;"KEEP","",IF(RIGHT(B516,10)="@gmail.com","Gmail",IF(OR(RIGHT(B516,12)="@outlook.com",RIGHT(B516,12)="@hotmail.com",RIGHT(B516,9)="@live.com"),"Outlook","Domain")))</f>
        <v/>
      </c>
      <c r="F516">
        <f>IF(B516="","",IFERROR(RIGHT(B516,LEN(B516)-FIND("@",B516)),""))</f>
        <v/>
      </c>
      <c r="G516">
        <f>IF(D516="KEEP",COUNTIF($D$2:D516,"KEEP"),"")</f>
        <v/>
      </c>
      <c r="H516">
        <f>IF(D516="REMOVE",COUNTIF($D$2:D516,"REMOVE"),"")</f>
        <v/>
      </c>
      <c r="I516">
        <f>IF(E516="Gmail",COUNTIF($E$2:E516,"Gmail"),"")</f>
        <v/>
      </c>
      <c r="J516">
        <f>IF(E516="Outlook",COUNTIF($E$2:E516,"Outlook"),"")</f>
        <v/>
      </c>
      <c r="K516">
        <f>IF(E516="Domain",COUNTIF($E$2:E516,"Domain"),"")</f>
        <v/>
      </c>
    </row>
    <row r="517">
      <c r="A517" s="2" t="n"/>
      <c r="B517">
        <f>LOWER(TRIM(A517))</f>
        <v/>
      </c>
      <c r="C517">
        <f>IF(B517="","",IFERROR(INDEX('Bad Patterns'!$A$2:$A$120,MATCH(1,INDEX(--ISNUMBER(SEARCH('Bad Patterns'!$A$2:$A$120,B517)),0),0)),""))</f>
        <v/>
      </c>
      <c r="D517">
        <f>IF(B517="","",IF(C517&lt;&gt;"","REMOVE","KEEP"))</f>
        <v/>
      </c>
      <c r="E517">
        <f>IF(D517&lt;&gt;"KEEP","",IF(RIGHT(B517,10)="@gmail.com","Gmail",IF(OR(RIGHT(B517,12)="@outlook.com",RIGHT(B517,12)="@hotmail.com",RIGHT(B517,9)="@live.com"),"Outlook","Domain")))</f>
        <v/>
      </c>
      <c r="F517">
        <f>IF(B517="","",IFERROR(RIGHT(B517,LEN(B517)-FIND("@",B517)),""))</f>
        <v/>
      </c>
      <c r="G517">
        <f>IF(D517="KEEP",COUNTIF($D$2:D517,"KEEP"),"")</f>
        <v/>
      </c>
      <c r="H517">
        <f>IF(D517="REMOVE",COUNTIF($D$2:D517,"REMOVE"),"")</f>
        <v/>
      </c>
      <c r="I517">
        <f>IF(E517="Gmail",COUNTIF($E$2:E517,"Gmail"),"")</f>
        <v/>
      </c>
      <c r="J517">
        <f>IF(E517="Outlook",COUNTIF($E$2:E517,"Outlook"),"")</f>
        <v/>
      </c>
      <c r="K517">
        <f>IF(E517="Domain",COUNTIF($E$2:E517,"Domain"),"")</f>
        <v/>
      </c>
    </row>
    <row r="518">
      <c r="A518" s="2" t="n"/>
      <c r="B518">
        <f>LOWER(TRIM(A518))</f>
        <v/>
      </c>
      <c r="C518">
        <f>IF(B518="","",IFERROR(INDEX('Bad Patterns'!$A$2:$A$120,MATCH(1,INDEX(--ISNUMBER(SEARCH('Bad Patterns'!$A$2:$A$120,B518)),0),0)),""))</f>
        <v/>
      </c>
      <c r="D518">
        <f>IF(B518="","",IF(C518&lt;&gt;"","REMOVE","KEEP"))</f>
        <v/>
      </c>
      <c r="E518">
        <f>IF(D518&lt;&gt;"KEEP","",IF(RIGHT(B518,10)="@gmail.com","Gmail",IF(OR(RIGHT(B518,12)="@outlook.com",RIGHT(B518,12)="@hotmail.com",RIGHT(B518,9)="@live.com"),"Outlook","Domain")))</f>
        <v/>
      </c>
      <c r="F518">
        <f>IF(B518="","",IFERROR(RIGHT(B518,LEN(B518)-FIND("@",B518)),""))</f>
        <v/>
      </c>
      <c r="G518">
        <f>IF(D518="KEEP",COUNTIF($D$2:D518,"KEEP"),"")</f>
        <v/>
      </c>
      <c r="H518">
        <f>IF(D518="REMOVE",COUNTIF($D$2:D518,"REMOVE"),"")</f>
        <v/>
      </c>
      <c r="I518">
        <f>IF(E518="Gmail",COUNTIF($E$2:E518,"Gmail"),"")</f>
        <v/>
      </c>
      <c r="J518">
        <f>IF(E518="Outlook",COUNTIF($E$2:E518,"Outlook"),"")</f>
        <v/>
      </c>
      <c r="K518">
        <f>IF(E518="Domain",COUNTIF($E$2:E518,"Domain"),"")</f>
        <v/>
      </c>
    </row>
    <row r="519">
      <c r="A519" s="2" t="n"/>
      <c r="B519">
        <f>LOWER(TRIM(A519))</f>
        <v/>
      </c>
      <c r="C519">
        <f>IF(B519="","",IFERROR(INDEX('Bad Patterns'!$A$2:$A$120,MATCH(1,INDEX(--ISNUMBER(SEARCH('Bad Patterns'!$A$2:$A$120,B519)),0),0)),""))</f>
        <v/>
      </c>
      <c r="D519">
        <f>IF(B519="","",IF(C519&lt;&gt;"","REMOVE","KEEP"))</f>
        <v/>
      </c>
      <c r="E519">
        <f>IF(D519&lt;&gt;"KEEP","",IF(RIGHT(B519,10)="@gmail.com","Gmail",IF(OR(RIGHT(B519,12)="@outlook.com",RIGHT(B519,12)="@hotmail.com",RIGHT(B519,9)="@live.com"),"Outlook","Domain")))</f>
        <v/>
      </c>
      <c r="F519">
        <f>IF(B519="","",IFERROR(RIGHT(B519,LEN(B519)-FIND("@",B519)),""))</f>
        <v/>
      </c>
      <c r="G519">
        <f>IF(D519="KEEP",COUNTIF($D$2:D519,"KEEP"),"")</f>
        <v/>
      </c>
      <c r="H519">
        <f>IF(D519="REMOVE",COUNTIF($D$2:D519,"REMOVE"),"")</f>
        <v/>
      </c>
      <c r="I519">
        <f>IF(E519="Gmail",COUNTIF($E$2:E519,"Gmail"),"")</f>
        <v/>
      </c>
      <c r="J519">
        <f>IF(E519="Outlook",COUNTIF($E$2:E519,"Outlook"),"")</f>
        <v/>
      </c>
      <c r="K519">
        <f>IF(E519="Domain",COUNTIF($E$2:E519,"Domain"),"")</f>
        <v/>
      </c>
    </row>
    <row r="520">
      <c r="A520" s="2" t="n"/>
      <c r="B520">
        <f>LOWER(TRIM(A520))</f>
        <v/>
      </c>
      <c r="C520">
        <f>IF(B520="","",IFERROR(INDEX('Bad Patterns'!$A$2:$A$120,MATCH(1,INDEX(--ISNUMBER(SEARCH('Bad Patterns'!$A$2:$A$120,B520)),0),0)),""))</f>
        <v/>
      </c>
      <c r="D520">
        <f>IF(B520="","",IF(C520&lt;&gt;"","REMOVE","KEEP"))</f>
        <v/>
      </c>
      <c r="E520">
        <f>IF(D520&lt;&gt;"KEEP","",IF(RIGHT(B520,10)="@gmail.com","Gmail",IF(OR(RIGHT(B520,12)="@outlook.com",RIGHT(B520,12)="@hotmail.com",RIGHT(B520,9)="@live.com"),"Outlook","Domain")))</f>
        <v/>
      </c>
      <c r="F520">
        <f>IF(B520="","",IFERROR(RIGHT(B520,LEN(B520)-FIND("@",B520)),""))</f>
        <v/>
      </c>
      <c r="G520">
        <f>IF(D520="KEEP",COUNTIF($D$2:D520,"KEEP"),"")</f>
        <v/>
      </c>
      <c r="H520">
        <f>IF(D520="REMOVE",COUNTIF($D$2:D520,"REMOVE"),"")</f>
        <v/>
      </c>
      <c r="I520">
        <f>IF(E520="Gmail",COUNTIF($E$2:E520,"Gmail"),"")</f>
        <v/>
      </c>
      <c r="J520">
        <f>IF(E520="Outlook",COUNTIF($E$2:E520,"Outlook"),"")</f>
        <v/>
      </c>
      <c r="K520">
        <f>IF(E520="Domain",COUNTIF($E$2:E520,"Domain"),"")</f>
        <v/>
      </c>
    </row>
    <row r="521">
      <c r="A521" s="2" t="n"/>
      <c r="B521">
        <f>LOWER(TRIM(A521))</f>
        <v/>
      </c>
      <c r="C521">
        <f>IF(B521="","",IFERROR(INDEX('Bad Patterns'!$A$2:$A$120,MATCH(1,INDEX(--ISNUMBER(SEARCH('Bad Patterns'!$A$2:$A$120,B521)),0),0)),""))</f>
        <v/>
      </c>
      <c r="D521">
        <f>IF(B521="","",IF(C521&lt;&gt;"","REMOVE","KEEP"))</f>
        <v/>
      </c>
      <c r="E521">
        <f>IF(D521&lt;&gt;"KEEP","",IF(RIGHT(B521,10)="@gmail.com","Gmail",IF(OR(RIGHT(B521,12)="@outlook.com",RIGHT(B521,12)="@hotmail.com",RIGHT(B521,9)="@live.com"),"Outlook","Domain")))</f>
        <v/>
      </c>
      <c r="F521">
        <f>IF(B521="","",IFERROR(RIGHT(B521,LEN(B521)-FIND("@",B521)),""))</f>
        <v/>
      </c>
      <c r="G521">
        <f>IF(D521="KEEP",COUNTIF($D$2:D521,"KEEP"),"")</f>
        <v/>
      </c>
      <c r="H521">
        <f>IF(D521="REMOVE",COUNTIF($D$2:D521,"REMOVE"),"")</f>
        <v/>
      </c>
      <c r="I521">
        <f>IF(E521="Gmail",COUNTIF($E$2:E521,"Gmail"),"")</f>
        <v/>
      </c>
      <c r="J521">
        <f>IF(E521="Outlook",COUNTIF($E$2:E521,"Outlook"),"")</f>
        <v/>
      </c>
      <c r="K521">
        <f>IF(E521="Domain",COUNTIF($E$2:E521,"Domain"),"")</f>
        <v/>
      </c>
    </row>
    <row r="522">
      <c r="A522" s="2" t="n"/>
      <c r="B522">
        <f>LOWER(TRIM(A522))</f>
        <v/>
      </c>
      <c r="C522">
        <f>IF(B522="","",IFERROR(INDEX('Bad Patterns'!$A$2:$A$120,MATCH(1,INDEX(--ISNUMBER(SEARCH('Bad Patterns'!$A$2:$A$120,B522)),0),0)),""))</f>
        <v/>
      </c>
      <c r="D522">
        <f>IF(B522="","",IF(C522&lt;&gt;"","REMOVE","KEEP"))</f>
        <v/>
      </c>
      <c r="E522">
        <f>IF(D522&lt;&gt;"KEEP","",IF(RIGHT(B522,10)="@gmail.com","Gmail",IF(OR(RIGHT(B522,12)="@outlook.com",RIGHT(B522,12)="@hotmail.com",RIGHT(B522,9)="@live.com"),"Outlook","Domain")))</f>
        <v/>
      </c>
      <c r="F522">
        <f>IF(B522="","",IFERROR(RIGHT(B522,LEN(B522)-FIND("@",B522)),""))</f>
        <v/>
      </c>
      <c r="G522">
        <f>IF(D522="KEEP",COUNTIF($D$2:D522,"KEEP"),"")</f>
        <v/>
      </c>
      <c r="H522">
        <f>IF(D522="REMOVE",COUNTIF($D$2:D522,"REMOVE"),"")</f>
        <v/>
      </c>
      <c r="I522">
        <f>IF(E522="Gmail",COUNTIF($E$2:E522,"Gmail"),"")</f>
        <v/>
      </c>
      <c r="J522">
        <f>IF(E522="Outlook",COUNTIF($E$2:E522,"Outlook"),"")</f>
        <v/>
      </c>
      <c r="K522">
        <f>IF(E522="Domain",COUNTIF($E$2:E522,"Domain"),"")</f>
        <v/>
      </c>
    </row>
    <row r="523">
      <c r="A523" s="2" t="n"/>
      <c r="B523">
        <f>LOWER(TRIM(A523))</f>
        <v/>
      </c>
      <c r="C523">
        <f>IF(B523="","",IFERROR(INDEX('Bad Patterns'!$A$2:$A$120,MATCH(1,INDEX(--ISNUMBER(SEARCH('Bad Patterns'!$A$2:$A$120,B523)),0),0)),""))</f>
        <v/>
      </c>
      <c r="D523">
        <f>IF(B523="","",IF(C523&lt;&gt;"","REMOVE","KEEP"))</f>
        <v/>
      </c>
      <c r="E523">
        <f>IF(D523&lt;&gt;"KEEP","",IF(RIGHT(B523,10)="@gmail.com","Gmail",IF(OR(RIGHT(B523,12)="@outlook.com",RIGHT(B523,12)="@hotmail.com",RIGHT(B523,9)="@live.com"),"Outlook","Domain")))</f>
        <v/>
      </c>
      <c r="F523">
        <f>IF(B523="","",IFERROR(RIGHT(B523,LEN(B523)-FIND("@",B523)),""))</f>
        <v/>
      </c>
      <c r="G523">
        <f>IF(D523="KEEP",COUNTIF($D$2:D523,"KEEP"),"")</f>
        <v/>
      </c>
      <c r="H523">
        <f>IF(D523="REMOVE",COUNTIF($D$2:D523,"REMOVE"),"")</f>
        <v/>
      </c>
      <c r="I523">
        <f>IF(E523="Gmail",COUNTIF($E$2:E523,"Gmail"),"")</f>
        <v/>
      </c>
      <c r="J523">
        <f>IF(E523="Outlook",COUNTIF($E$2:E523,"Outlook"),"")</f>
        <v/>
      </c>
      <c r="K523">
        <f>IF(E523="Domain",COUNTIF($E$2:E523,"Domain"),"")</f>
        <v/>
      </c>
    </row>
    <row r="524">
      <c r="A524" s="2" t="n"/>
      <c r="B524">
        <f>LOWER(TRIM(A524))</f>
        <v/>
      </c>
      <c r="C524">
        <f>IF(B524="","",IFERROR(INDEX('Bad Patterns'!$A$2:$A$120,MATCH(1,INDEX(--ISNUMBER(SEARCH('Bad Patterns'!$A$2:$A$120,B524)),0),0)),""))</f>
        <v/>
      </c>
      <c r="D524">
        <f>IF(B524="","",IF(C524&lt;&gt;"","REMOVE","KEEP"))</f>
        <v/>
      </c>
      <c r="E524">
        <f>IF(D524&lt;&gt;"KEEP","",IF(RIGHT(B524,10)="@gmail.com","Gmail",IF(OR(RIGHT(B524,12)="@outlook.com",RIGHT(B524,12)="@hotmail.com",RIGHT(B524,9)="@live.com"),"Outlook","Domain")))</f>
        <v/>
      </c>
      <c r="F524">
        <f>IF(B524="","",IFERROR(RIGHT(B524,LEN(B524)-FIND("@",B524)),""))</f>
        <v/>
      </c>
      <c r="G524">
        <f>IF(D524="KEEP",COUNTIF($D$2:D524,"KEEP"),"")</f>
        <v/>
      </c>
      <c r="H524">
        <f>IF(D524="REMOVE",COUNTIF($D$2:D524,"REMOVE"),"")</f>
        <v/>
      </c>
      <c r="I524">
        <f>IF(E524="Gmail",COUNTIF($E$2:E524,"Gmail"),"")</f>
        <v/>
      </c>
      <c r="J524">
        <f>IF(E524="Outlook",COUNTIF($E$2:E524,"Outlook"),"")</f>
        <v/>
      </c>
      <c r="K524">
        <f>IF(E524="Domain",COUNTIF($E$2:E524,"Domain"),"")</f>
        <v/>
      </c>
    </row>
    <row r="525">
      <c r="A525" s="2" t="n"/>
      <c r="B525">
        <f>LOWER(TRIM(A525))</f>
        <v/>
      </c>
      <c r="C525">
        <f>IF(B525="","",IFERROR(INDEX('Bad Patterns'!$A$2:$A$120,MATCH(1,INDEX(--ISNUMBER(SEARCH('Bad Patterns'!$A$2:$A$120,B525)),0),0)),""))</f>
        <v/>
      </c>
      <c r="D525">
        <f>IF(B525="","",IF(C525&lt;&gt;"","REMOVE","KEEP"))</f>
        <v/>
      </c>
      <c r="E525">
        <f>IF(D525&lt;&gt;"KEEP","",IF(RIGHT(B525,10)="@gmail.com","Gmail",IF(OR(RIGHT(B525,12)="@outlook.com",RIGHT(B525,12)="@hotmail.com",RIGHT(B525,9)="@live.com"),"Outlook","Domain")))</f>
        <v/>
      </c>
      <c r="F525">
        <f>IF(B525="","",IFERROR(RIGHT(B525,LEN(B525)-FIND("@",B525)),""))</f>
        <v/>
      </c>
      <c r="G525">
        <f>IF(D525="KEEP",COUNTIF($D$2:D525,"KEEP"),"")</f>
        <v/>
      </c>
      <c r="H525">
        <f>IF(D525="REMOVE",COUNTIF($D$2:D525,"REMOVE"),"")</f>
        <v/>
      </c>
      <c r="I525">
        <f>IF(E525="Gmail",COUNTIF($E$2:E525,"Gmail"),"")</f>
        <v/>
      </c>
      <c r="J525">
        <f>IF(E525="Outlook",COUNTIF($E$2:E525,"Outlook"),"")</f>
        <v/>
      </c>
      <c r="K525">
        <f>IF(E525="Domain",COUNTIF($E$2:E525,"Domain"),"")</f>
        <v/>
      </c>
    </row>
    <row r="526">
      <c r="A526" s="2" t="n"/>
      <c r="B526">
        <f>LOWER(TRIM(A526))</f>
        <v/>
      </c>
      <c r="C526">
        <f>IF(B526="","",IFERROR(INDEX('Bad Patterns'!$A$2:$A$120,MATCH(1,INDEX(--ISNUMBER(SEARCH('Bad Patterns'!$A$2:$A$120,B526)),0),0)),""))</f>
        <v/>
      </c>
      <c r="D526">
        <f>IF(B526="","",IF(C526&lt;&gt;"","REMOVE","KEEP"))</f>
        <v/>
      </c>
      <c r="E526">
        <f>IF(D526&lt;&gt;"KEEP","",IF(RIGHT(B526,10)="@gmail.com","Gmail",IF(OR(RIGHT(B526,12)="@outlook.com",RIGHT(B526,12)="@hotmail.com",RIGHT(B526,9)="@live.com"),"Outlook","Domain")))</f>
        <v/>
      </c>
      <c r="F526">
        <f>IF(B526="","",IFERROR(RIGHT(B526,LEN(B526)-FIND("@",B526)),""))</f>
        <v/>
      </c>
      <c r="G526">
        <f>IF(D526="KEEP",COUNTIF($D$2:D526,"KEEP"),"")</f>
        <v/>
      </c>
      <c r="H526">
        <f>IF(D526="REMOVE",COUNTIF($D$2:D526,"REMOVE"),"")</f>
        <v/>
      </c>
      <c r="I526">
        <f>IF(E526="Gmail",COUNTIF($E$2:E526,"Gmail"),"")</f>
        <v/>
      </c>
      <c r="J526">
        <f>IF(E526="Outlook",COUNTIF($E$2:E526,"Outlook"),"")</f>
        <v/>
      </c>
      <c r="K526">
        <f>IF(E526="Domain",COUNTIF($E$2:E526,"Domain"),"")</f>
        <v/>
      </c>
    </row>
    <row r="527">
      <c r="A527" s="2" t="n"/>
      <c r="B527">
        <f>LOWER(TRIM(A527))</f>
        <v/>
      </c>
      <c r="C527">
        <f>IF(B527="","",IFERROR(INDEX('Bad Patterns'!$A$2:$A$120,MATCH(1,INDEX(--ISNUMBER(SEARCH('Bad Patterns'!$A$2:$A$120,B527)),0),0)),""))</f>
        <v/>
      </c>
      <c r="D527">
        <f>IF(B527="","",IF(C527&lt;&gt;"","REMOVE","KEEP"))</f>
        <v/>
      </c>
      <c r="E527">
        <f>IF(D527&lt;&gt;"KEEP","",IF(RIGHT(B527,10)="@gmail.com","Gmail",IF(OR(RIGHT(B527,12)="@outlook.com",RIGHT(B527,12)="@hotmail.com",RIGHT(B527,9)="@live.com"),"Outlook","Domain")))</f>
        <v/>
      </c>
      <c r="F527">
        <f>IF(B527="","",IFERROR(RIGHT(B527,LEN(B527)-FIND("@",B527)),""))</f>
        <v/>
      </c>
      <c r="G527">
        <f>IF(D527="KEEP",COUNTIF($D$2:D527,"KEEP"),"")</f>
        <v/>
      </c>
      <c r="H527">
        <f>IF(D527="REMOVE",COUNTIF($D$2:D527,"REMOVE"),"")</f>
        <v/>
      </c>
      <c r="I527">
        <f>IF(E527="Gmail",COUNTIF($E$2:E527,"Gmail"),"")</f>
        <v/>
      </c>
      <c r="J527">
        <f>IF(E527="Outlook",COUNTIF($E$2:E527,"Outlook"),"")</f>
        <v/>
      </c>
      <c r="K527">
        <f>IF(E527="Domain",COUNTIF($E$2:E527,"Domain"),"")</f>
        <v/>
      </c>
    </row>
    <row r="528">
      <c r="A528" s="2" t="n"/>
      <c r="B528">
        <f>LOWER(TRIM(A528))</f>
        <v/>
      </c>
      <c r="C528">
        <f>IF(B528="","",IFERROR(INDEX('Bad Patterns'!$A$2:$A$120,MATCH(1,INDEX(--ISNUMBER(SEARCH('Bad Patterns'!$A$2:$A$120,B528)),0),0)),""))</f>
        <v/>
      </c>
      <c r="D528">
        <f>IF(B528="","",IF(C528&lt;&gt;"","REMOVE","KEEP"))</f>
        <v/>
      </c>
      <c r="E528">
        <f>IF(D528&lt;&gt;"KEEP","",IF(RIGHT(B528,10)="@gmail.com","Gmail",IF(OR(RIGHT(B528,12)="@outlook.com",RIGHT(B528,12)="@hotmail.com",RIGHT(B528,9)="@live.com"),"Outlook","Domain")))</f>
        <v/>
      </c>
      <c r="F528">
        <f>IF(B528="","",IFERROR(RIGHT(B528,LEN(B528)-FIND("@",B528)),""))</f>
        <v/>
      </c>
      <c r="G528">
        <f>IF(D528="KEEP",COUNTIF($D$2:D528,"KEEP"),"")</f>
        <v/>
      </c>
      <c r="H528">
        <f>IF(D528="REMOVE",COUNTIF($D$2:D528,"REMOVE"),"")</f>
        <v/>
      </c>
      <c r="I528">
        <f>IF(E528="Gmail",COUNTIF($E$2:E528,"Gmail"),"")</f>
        <v/>
      </c>
      <c r="J528">
        <f>IF(E528="Outlook",COUNTIF($E$2:E528,"Outlook"),"")</f>
        <v/>
      </c>
      <c r="K528">
        <f>IF(E528="Domain",COUNTIF($E$2:E528,"Domain"),"")</f>
        <v/>
      </c>
    </row>
    <row r="529">
      <c r="A529" s="2" t="n"/>
      <c r="B529">
        <f>LOWER(TRIM(A529))</f>
        <v/>
      </c>
      <c r="C529">
        <f>IF(B529="","",IFERROR(INDEX('Bad Patterns'!$A$2:$A$120,MATCH(1,INDEX(--ISNUMBER(SEARCH('Bad Patterns'!$A$2:$A$120,B529)),0),0)),""))</f>
        <v/>
      </c>
      <c r="D529">
        <f>IF(B529="","",IF(C529&lt;&gt;"","REMOVE","KEEP"))</f>
        <v/>
      </c>
      <c r="E529">
        <f>IF(D529&lt;&gt;"KEEP","",IF(RIGHT(B529,10)="@gmail.com","Gmail",IF(OR(RIGHT(B529,12)="@outlook.com",RIGHT(B529,12)="@hotmail.com",RIGHT(B529,9)="@live.com"),"Outlook","Domain")))</f>
        <v/>
      </c>
      <c r="F529">
        <f>IF(B529="","",IFERROR(RIGHT(B529,LEN(B529)-FIND("@",B529)),""))</f>
        <v/>
      </c>
      <c r="G529">
        <f>IF(D529="KEEP",COUNTIF($D$2:D529,"KEEP"),"")</f>
        <v/>
      </c>
      <c r="H529">
        <f>IF(D529="REMOVE",COUNTIF($D$2:D529,"REMOVE"),"")</f>
        <v/>
      </c>
      <c r="I529">
        <f>IF(E529="Gmail",COUNTIF($E$2:E529,"Gmail"),"")</f>
        <v/>
      </c>
      <c r="J529">
        <f>IF(E529="Outlook",COUNTIF($E$2:E529,"Outlook"),"")</f>
        <v/>
      </c>
      <c r="K529">
        <f>IF(E529="Domain",COUNTIF($E$2:E529,"Domain"),"")</f>
        <v/>
      </c>
    </row>
    <row r="530">
      <c r="A530" s="2" t="n"/>
      <c r="B530">
        <f>LOWER(TRIM(A530))</f>
        <v/>
      </c>
      <c r="C530">
        <f>IF(B530="","",IFERROR(INDEX('Bad Patterns'!$A$2:$A$120,MATCH(1,INDEX(--ISNUMBER(SEARCH('Bad Patterns'!$A$2:$A$120,B530)),0),0)),""))</f>
        <v/>
      </c>
      <c r="D530">
        <f>IF(B530="","",IF(C530&lt;&gt;"","REMOVE","KEEP"))</f>
        <v/>
      </c>
      <c r="E530">
        <f>IF(D530&lt;&gt;"KEEP","",IF(RIGHT(B530,10)="@gmail.com","Gmail",IF(OR(RIGHT(B530,12)="@outlook.com",RIGHT(B530,12)="@hotmail.com",RIGHT(B530,9)="@live.com"),"Outlook","Domain")))</f>
        <v/>
      </c>
      <c r="F530">
        <f>IF(B530="","",IFERROR(RIGHT(B530,LEN(B530)-FIND("@",B530)),""))</f>
        <v/>
      </c>
      <c r="G530">
        <f>IF(D530="KEEP",COUNTIF($D$2:D530,"KEEP"),"")</f>
        <v/>
      </c>
      <c r="H530">
        <f>IF(D530="REMOVE",COUNTIF($D$2:D530,"REMOVE"),"")</f>
        <v/>
      </c>
      <c r="I530">
        <f>IF(E530="Gmail",COUNTIF($E$2:E530,"Gmail"),"")</f>
        <v/>
      </c>
      <c r="J530">
        <f>IF(E530="Outlook",COUNTIF($E$2:E530,"Outlook"),"")</f>
        <v/>
      </c>
      <c r="K530">
        <f>IF(E530="Domain",COUNTIF($E$2:E530,"Domain"),"")</f>
        <v/>
      </c>
    </row>
    <row r="531">
      <c r="A531" s="2" t="n"/>
      <c r="B531">
        <f>LOWER(TRIM(A531))</f>
        <v/>
      </c>
      <c r="C531">
        <f>IF(B531="","",IFERROR(INDEX('Bad Patterns'!$A$2:$A$120,MATCH(1,INDEX(--ISNUMBER(SEARCH('Bad Patterns'!$A$2:$A$120,B531)),0),0)),""))</f>
        <v/>
      </c>
      <c r="D531">
        <f>IF(B531="","",IF(C531&lt;&gt;"","REMOVE","KEEP"))</f>
        <v/>
      </c>
      <c r="E531">
        <f>IF(D531&lt;&gt;"KEEP","",IF(RIGHT(B531,10)="@gmail.com","Gmail",IF(OR(RIGHT(B531,12)="@outlook.com",RIGHT(B531,12)="@hotmail.com",RIGHT(B531,9)="@live.com"),"Outlook","Domain")))</f>
        <v/>
      </c>
      <c r="F531">
        <f>IF(B531="","",IFERROR(RIGHT(B531,LEN(B531)-FIND("@",B531)),""))</f>
        <v/>
      </c>
      <c r="G531">
        <f>IF(D531="KEEP",COUNTIF($D$2:D531,"KEEP"),"")</f>
        <v/>
      </c>
      <c r="H531">
        <f>IF(D531="REMOVE",COUNTIF($D$2:D531,"REMOVE"),"")</f>
        <v/>
      </c>
      <c r="I531">
        <f>IF(E531="Gmail",COUNTIF($E$2:E531,"Gmail"),"")</f>
        <v/>
      </c>
      <c r="J531">
        <f>IF(E531="Outlook",COUNTIF($E$2:E531,"Outlook"),"")</f>
        <v/>
      </c>
      <c r="K531">
        <f>IF(E531="Domain",COUNTIF($E$2:E531,"Domain"),"")</f>
        <v/>
      </c>
    </row>
    <row r="532">
      <c r="A532" s="2" t="n"/>
      <c r="B532">
        <f>LOWER(TRIM(A532))</f>
        <v/>
      </c>
      <c r="C532">
        <f>IF(B532="","",IFERROR(INDEX('Bad Patterns'!$A$2:$A$120,MATCH(1,INDEX(--ISNUMBER(SEARCH('Bad Patterns'!$A$2:$A$120,B532)),0),0)),""))</f>
        <v/>
      </c>
      <c r="D532">
        <f>IF(B532="","",IF(C532&lt;&gt;"","REMOVE","KEEP"))</f>
        <v/>
      </c>
      <c r="E532">
        <f>IF(D532&lt;&gt;"KEEP","",IF(RIGHT(B532,10)="@gmail.com","Gmail",IF(OR(RIGHT(B532,12)="@outlook.com",RIGHT(B532,12)="@hotmail.com",RIGHT(B532,9)="@live.com"),"Outlook","Domain")))</f>
        <v/>
      </c>
      <c r="F532">
        <f>IF(B532="","",IFERROR(RIGHT(B532,LEN(B532)-FIND("@",B532)),""))</f>
        <v/>
      </c>
      <c r="G532">
        <f>IF(D532="KEEP",COUNTIF($D$2:D532,"KEEP"),"")</f>
        <v/>
      </c>
      <c r="H532">
        <f>IF(D532="REMOVE",COUNTIF($D$2:D532,"REMOVE"),"")</f>
        <v/>
      </c>
      <c r="I532">
        <f>IF(E532="Gmail",COUNTIF($E$2:E532,"Gmail"),"")</f>
        <v/>
      </c>
      <c r="J532">
        <f>IF(E532="Outlook",COUNTIF($E$2:E532,"Outlook"),"")</f>
        <v/>
      </c>
      <c r="K532">
        <f>IF(E532="Domain",COUNTIF($E$2:E532,"Domain"),"")</f>
        <v/>
      </c>
    </row>
    <row r="533">
      <c r="A533" s="2" t="n"/>
      <c r="B533">
        <f>LOWER(TRIM(A533))</f>
        <v/>
      </c>
      <c r="C533">
        <f>IF(B533="","",IFERROR(INDEX('Bad Patterns'!$A$2:$A$120,MATCH(1,INDEX(--ISNUMBER(SEARCH('Bad Patterns'!$A$2:$A$120,B533)),0),0)),""))</f>
        <v/>
      </c>
      <c r="D533">
        <f>IF(B533="","",IF(C533&lt;&gt;"","REMOVE","KEEP"))</f>
        <v/>
      </c>
      <c r="E533">
        <f>IF(D533&lt;&gt;"KEEP","",IF(RIGHT(B533,10)="@gmail.com","Gmail",IF(OR(RIGHT(B533,12)="@outlook.com",RIGHT(B533,12)="@hotmail.com",RIGHT(B533,9)="@live.com"),"Outlook","Domain")))</f>
        <v/>
      </c>
      <c r="F533">
        <f>IF(B533="","",IFERROR(RIGHT(B533,LEN(B533)-FIND("@",B533)),""))</f>
        <v/>
      </c>
      <c r="G533">
        <f>IF(D533="KEEP",COUNTIF($D$2:D533,"KEEP"),"")</f>
        <v/>
      </c>
      <c r="H533">
        <f>IF(D533="REMOVE",COUNTIF($D$2:D533,"REMOVE"),"")</f>
        <v/>
      </c>
      <c r="I533">
        <f>IF(E533="Gmail",COUNTIF($E$2:E533,"Gmail"),"")</f>
        <v/>
      </c>
      <c r="J533">
        <f>IF(E533="Outlook",COUNTIF($E$2:E533,"Outlook"),"")</f>
        <v/>
      </c>
      <c r="K533">
        <f>IF(E533="Domain",COUNTIF($E$2:E533,"Domain"),"")</f>
        <v/>
      </c>
    </row>
    <row r="534">
      <c r="A534" s="2" t="n"/>
      <c r="B534">
        <f>LOWER(TRIM(A534))</f>
        <v/>
      </c>
      <c r="C534">
        <f>IF(B534="","",IFERROR(INDEX('Bad Patterns'!$A$2:$A$120,MATCH(1,INDEX(--ISNUMBER(SEARCH('Bad Patterns'!$A$2:$A$120,B534)),0),0)),""))</f>
        <v/>
      </c>
      <c r="D534">
        <f>IF(B534="","",IF(C534&lt;&gt;"","REMOVE","KEEP"))</f>
        <v/>
      </c>
      <c r="E534">
        <f>IF(D534&lt;&gt;"KEEP","",IF(RIGHT(B534,10)="@gmail.com","Gmail",IF(OR(RIGHT(B534,12)="@outlook.com",RIGHT(B534,12)="@hotmail.com",RIGHT(B534,9)="@live.com"),"Outlook","Domain")))</f>
        <v/>
      </c>
      <c r="F534">
        <f>IF(B534="","",IFERROR(RIGHT(B534,LEN(B534)-FIND("@",B534)),""))</f>
        <v/>
      </c>
      <c r="G534">
        <f>IF(D534="KEEP",COUNTIF($D$2:D534,"KEEP"),"")</f>
        <v/>
      </c>
      <c r="H534">
        <f>IF(D534="REMOVE",COUNTIF($D$2:D534,"REMOVE"),"")</f>
        <v/>
      </c>
      <c r="I534">
        <f>IF(E534="Gmail",COUNTIF($E$2:E534,"Gmail"),"")</f>
        <v/>
      </c>
      <c r="J534">
        <f>IF(E534="Outlook",COUNTIF($E$2:E534,"Outlook"),"")</f>
        <v/>
      </c>
      <c r="K534">
        <f>IF(E534="Domain",COUNTIF($E$2:E534,"Domain"),"")</f>
        <v/>
      </c>
    </row>
    <row r="535">
      <c r="A535" s="2" t="n"/>
      <c r="B535">
        <f>LOWER(TRIM(A535))</f>
        <v/>
      </c>
      <c r="C535">
        <f>IF(B535="","",IFERROR(INDEX('Bad Patterns'!$A$2:$A$120,MATCH(1,INDEX(--ISNUMBER(SEARCH('Bad Patterns'!$A$2:$A$120,B535)),0),0)),""))</f>
        <v/>
      </c>
      <c r="D535">
        <f>IF(B535="","",IF(C535&lt;&gt;"","REMOVE","KEEP"))</f>
        <v/>
      </c>
      <c r="E535">
        <f>IF(D535&lt;&gt;"KEEP","",IF(RIGHT(B535,10)="@gmail.com","Gmail",IF(OR(RIGHT(B535,12)="@outlook.com",RIGHT(B535,12)="@hotmail.com",RIGHT(B535,9)="@live.com"),"Outlook","Domain")))</f>
        <v/>
      </c>
      <c r="F535">
        <f>IF(B535="","",IFERROR(RIGHT(B535,LEN(B535)-FIND("@",B535)),""))</f>
        <v/>
      </c>
      <c r="G535">
        <f>IF(D535="KEEP",COUNTIF($D$2:D535,"KEEP"),"")</f>
        <v/>
      </c>
      <c r="H535">
        <f>IF(D535="REMOVE",COUNTIF($D$2:D535,"REMOVE"),"")</f>
        <v/>
      </c>
      <c r="I535">
        <f>IF(E535="Gmail",COUNTIF($E$2:E535,"Gmail"),"")</f>
        <v/>
      </c>
      <c r="J535">
        <f>IF(E535="Outlook",COUNTIF($E$2:E535,"Outlook"),"")</f>
        <v/>
      </c>
      <c r="K535">
        <f>IF(E535="Domain",COUNTIF($E$2:E535,"Domain"),"")</f>
        <v/>
      </c>
    </row>
    <row r="536">
      <c r="A536" s="2" t="n"/>
      <c r="B536">
        <f>LOWER(TRIM(A536))</f>
        <v/>
      </c>
      <c r="C536">
        <f>IF(B536="","",IFERROR(INDEX('Bad Patterns'!$A$2:$A$120,MATCH(1,INDEX(--ISNUMBER(SEARCH('Bad Patterns'!$A$2:$A$120,B536)),0),0)),""))</f>
        <v/>
      </c>
      <c r="D536">
        <f>IF(B536="","",IF(C536&lt;&gt;"","REMOVE","KEEP"))</f>
        <v/>
      </c>
      <c r="E536">
        <f>IF(D536&lt;&gt;"KEEP","",IF(RIGHT(B536,10)="@gmail.com","Gmail",IF(OR(RIGHT(B536,12)="@outlook.com",RIGHT(B536,12)="@hotmail.com",RIGHT(B536,9)="@live.com"),"Outlook","Domain")))</f>
        <v/>
      </c>
      <c r="F536">
        <f>IF(B536="","",IFERROR(RIGHT(B536,LEN(B536)-FIND("@",B536)),""))</f>
        <v/>
      </c>
      <c r="G536">
        <f>IF(D536="KEEP",COUNTIF($D$2:D536,"KEEP"),"")</f>
        <v/>
      </c>
      <c r="H536">
        <f>IF(D536="REMOVE",COUNTIF($D$2:D536,"REMOVE"),"")</f>
        <v/>
      </c>
      <c r="I536">
        <f>IF(E536="Gmail",COUNTIF($E$2:E536,"Gmail"),"")</f>
        <v/>
      </c>
      <c r="J536">
        <f>IF(E536="Outlook",COUNTIF($E$2:E536,"Outlook"),"")</f>
        <v/>
      </c>
      <c r="K536">
        <f>IF(E536="Domain",COUNTIF($E$2:E536,"Domain"),"")</f>
        <v/>
      </c>
    </row>
    <row r="537">
      <c r="A537" s="2" t="n"/>
      <c r="B537">
        <f>LOWER(TRIM(A537))</f>
        <v/>
      </c>
      <c r="C537">
        <f>IF(B537="","",IFERROR(INDEX('Bad Patterns'!$A$2:$A$120,MATCH(1,INDEX(--ISNUMBER(SEARCH('Bad Patterns'!$A$2:$A$120,B537)),0),0)),""))</f>
        <v/>
      </c>
      <c r="D537">
        <f>IF(B537="","",IF(C537&lt;&gt;"","REMOVE","KEEP"))</f>
        <v/>
      </c>
      <c r="E537">
        <f>IF(D537&lt;&gt;"KEEP","",IF(RIGHT(B537,10)="@gmail.com","Gmail",IF(OR(RIGHT(B537,12)="@outlook.com",RIGHT(B537,12)="@hotmail.com",RIGHT(B537,9)="@live.com"),"Outlook","Domain")))</f>
        <v/>
      </c>
      <c r="F537">
        <f>IF(B537="","",IFERROR(RIGHT(B537,LEN(B537)-FIND("@",B537)),""))</f>
        <v/>
      </c>
      <c r="G537">
        <f>IF(D537="KEEP",COUNTIF($D$2:D537,"KEEP"),"")</f>
        <v/>
      </c>
      <c r="H537">
        <f>IF(D537="REMOVE",COUNTIF($D$2:D537,"REMOVE"),"")</f>
        <v/>
      </c>
      <c r="I537">
        <f>IF(E537="Gmail",COUNTIF($E$2:E537,"Gmail"),"")</f>
        <v/>
      </c>
      <c r="J537">
        <f>IF(E537="Outlook",COUNTIF($E$2:E537,"Outlook"),"")</f>
        <v/>
      </c>
      <c r="K537">
        <f>IF(E537="Domain",COUNTIF($E$2:E537,"Domain"),"")</f>
        <v/>
      </c>
    </row>
    <row r="538">
      <c r="A538" s="2" t="n"/>
      <c r="B538">
        <f>LOWER(TRIM(A538))</f>
        <v/>
      </c>
      <c r="C538">
        <f>IF(B538="","",IFERROR(INDEX('Bad Patterns'!$A$2:$A$120,MATCH(1,INDEX(--ISNUMBER(SEARCH('Bad Patterns'!$A$2:$A$120,B538)),0),0)),""))</f>
        <v/>
      </c>
      <c r="D538">
        <f>IF(B538="","",IF(C538&lt;&gt;"","REMOVE","KEEP"))</f>
        <v/>
      </c>
      <c r="E538">
        <f>IF(D538&lt;&gt;"KEEP","",IF(RIGHT(B538,10)="@gmail.com","Gmail",IF(OR(RIGHT(B538,12)="@outlook.com",RIGHT(B538,12)="@hotmail.com",RIGHT(B538,9)="@live.com"),"Outlook","Domain")))</f>
        <v/>
      </c>
      <c r="F538">
        <f>IF(B538="","",IFERROR(RIGHT(B538,LEN(B538)-FIND("@",B538)),""))</f>
        <v/>
      </c>
      <c r="G538">
        <f>IF(D538="KEEP",COUNTIF($D$2:D538,"KEEP"),"")</f>
        <v/>
      </c>
      <c r="H538">
        <f>IF(D538="REMOVE",COUNTIF($D$2:D538,"REMOVE"),"")</f>
        <v/>
      </c>
      <c r="I538">
        <f>IF(E538="Gmail",COUNTIF($E$2:E538,"Gmail"),"")</f>
        <v/>
      </c>
      <c r="J538">
        <f>IF(E538="Outlook",COUNTIF($E$2:E538,"Outlook"),"")</f>
        <v/>
      </c>
      <c r="K538">
        <f>IF(E538="Domain",COUNTIF($E$2:E538,"Domain"),"")</f>
        <v/>
      </c>
    </row>
    <row r="539">
      <c r="A539" s="2" t="n"/>
      <c r="B539">
        <f>LOWER(TRIM(A539))</f>
        <v/>
      </c>
      <c r="C539">
        <f>IF(B539="","",IFERROR(INDEX('Bad Patterns'!$A$2:$A$120,MATCH(1,INDEX(--ISNUMBER(SEARCH('Bad Patterns'!$A$2:$A$120,B539)),0),0)),""))</f>
        <v/>
      </c>
      <c r="D539">
        <f>IF(B539="","",IF(C539&lt;&gt;"","REMOVE","KEEP"))</f>
        <v/>
      </c>
      <c r="E539">
        <f>IF(D539&lt;&gt;"KEEP","",IF(RIGHT(B539,10)="@gmail.com","Gmail",IF(OR(RIGHT(B539,12)="@outlook.com",RIGHT(B539,12)="@hotmail.com",RIGHT(B539,9)="@live.com"),"Outlook","Domain")))</f>
        <v/>
      </c>
      <c r="F539">
        <f>IF(B539="","",IFERROR(RIGHT(B539,LEN(B539)-FIND("@",B539)),""))</f>
        <v/>
      </c>
      <c r="G539">
        <f>IF(D539="KEEP",COUNTIF($D$2:D539,"KEEP"),"")</f>
        <v/>
      </c>
      <c r="H539">
        <f>IF(D539="REMOVE",COUNTIF($D$2:D539,"REMOVE"),"")</f>
        <v/>
      </c>
      <c r="I539">
        <f>IF(E539="Gmail",COUNTIF($E$2:E539,"Gmail"),"")</f>
        <v/>
      </c>
      <c r="J539">
        <f>IF(E539="Outlook",COUNTIF($E$2:E539,"Outlook"),"")</f>
        <v/>
      </c>
      <c r="K539">
        <f>IF(E539="Domain",COUNTIF($E$2:E539,"Domain"),"")</f>
        <v/>
      </c>
    </row>
    <row r="540">
      <c r="A540" s="2" t="n"/>
      <c r="B540">
        <f>LOWER(TRIM(A540))</f>
        <v/>
      </c>
      <c r="C540">
        <f>IF(B540="","",IFERROR(INDEX('Bad Patterns'!$A$2:$A$120,MATCH(1,INDEX(--ISNUMBER(SEARCH('Bad Patterns'!$A$2:$A$120,B540)),0),0)),""))</f>
        <v/>
      </c>
      <c r="D540">
        <f>IF(B540="","",IF(C540&lt;&gt;"","REMOVE","KEEP"))</f>
        <v/>
      </c>
      <c r="E540">
        <f>IF(D540&lt;&gt;"KEEP","",IF(RIGHT(B540,10)="@gmail.com","Gmail",IF(OR(RIGHT(B540,12)="@outlook.com",RIGHT(B540,12)="@hotmail.com",RIGHT(B540,9)="@live.com"),"Outlook","Domain")))</f>
        <v/>
      </c>
      <c r="F540">
        <f>IF(B540="","",IFERROR(RIGHT(B540,LEN(B540)-FIND("@",B540)),""))</f>
        <v/>
      </c>
      <c r="G540">
        <f>IF(D540="KEEP",COUNTIF($D$2:D540,"KEEP"),"")</f>
        <v/>
      </c>
      <c r="H540">
        <f>IF(D540="REMOVE",COUNTIF($D$2:D540,"REMOVE"),"")</f>
        <v/>
      </c>
      <c r="I540">
        <f>IF(E540="Gmail",COUNTIF($E$2:E540,"Gmail"),"")</f>
        <v/>
      </c>
      <c r="J540">
        <f>IF(E540="Outlook",COUNTIF($E$2:E540,"Outlook"),"")</f>
        <v/>
      </c>
      <c r="K540">
        <f>IF(E540="Domain",COUNTIF($E$2:E540,"Domain"),"")</f>
        <v/>
      </c>
    </row>
    <row r="541">
      <c r="A541" s="2" t="n"/>
      <c r="B541">
        <f>LOWER(TRIM(A541))</f>
        <v/>
      </c>
      <c r="C541">
        <f>IF(B541="","",IFERROR(INDEX('Bad Patterns'!$A$2:$A$120,MATCH(1,INDEX(--ISNUMBER(SEARCH('Bad Patterns'!$A$2:$A$120,B541)),0),0)),""))</f>
        <v/>
      </c>
      <c r="D541">
        <f>IF(B541="","",IF(C541&lt;&gt;"","REMOVE","KEEP"))</f>
        <v/>
      </c>
      <c r="E541">
        <f>IF(D541&lt;&gt;"KEEP","",IF(RIGHT(B541,10)="@gmail.com","Gmail",IF(OR(RIGHT(B541,12)="@outlook.com",RIGHT(B541,12)="@hotmail.com",RIGHT(B541,9)="@live.com"),"Outlook","Domain")))</f>
        <v/>
      </c>
      <c r="F541">
        <f>IF(B541="","",IFERROR(RIGHT(B541,LEN(B541)-FIND("@",B541)),""))</f>
        <v/>
      </c>
      <c r="G541">
        <f>IF(D541="KEEP",COUNTIF($D$2:D541,"KEEP"),"")</f>
        <v/>
      </c>
      <c r="H541">
        <f>IF(D541="REMOVE",COUNTIF($D$2:D541,"REMOVE"),"")</f>
        <v/>
      </c>
      <c r="I541">
        <f>IF(E541="Gmail",COUNTIF($E$2:E541,"Gmail"),"")</f>
        <v/>
      </c>
      <c r="J541">
        <f>IF(E541="Outlook",COUNTIF($E$2:E541,"Outlook"),"")</f>
        <v/>
      </c>
      <c r="K541">
        <f>IF(E541="Domain",COUNTIF($E$2:E541,"Domain"),"")</f>
        <v/>
      </c>
    </row>
    <row r="542">
      <c r="A542" s="2" t="n"/>
      <c r="B542">
        <f>LOWER(TRIM(A542))</f>
        <v/>
      </c>
      <c r="C542">
        <f>IF(B542="","",IFERROR(INDEX('Bad Patterns'!$A$2:$A$120,MATCH(1,INDEX(--ISNUMBER(SEARCH('Bad Patterns'!$A$2:$A$120,B542)),0),0)),""))</f>
        <v/>
      </c>
      <c r="D542">
        <f>IF(B542="","",IF(C542&lt;&gt;"","REMOVE","KEEP"))</f>
        <v/>
      </c>
      <c r="E542">
        <f>IF(D542&lt;&gt;"KEEP","",IF(RIGHT(B542,10)="@gmail.com","Gmail",IF(OR(RIGHT(B542,12)="@outlook.com",RIGHT(B542,12)="@hotmail.com",RIGHT(B542,9)="@live.com"),"Outlook","Domain")))</f>
        <v/>
      </c>
      <c r="F542">
        <f>IF(B542="","",IFERROR(RIGHT(B542,LEN(B542)-FIND("@",B542)),""))</f>
        <v/>
      </c>
      <c r="G542">
        <f>IF(D542="KEEP",COUNTIF($D$2:D542,"KEEP"),"")</f>
        <v/>
      </c>
      <c r="H542">
        <f>IF(D542="REMOVE",COUNTIF($D$2:D542,"REMOVE"),"")</f>
        <v/>
      </c>
      <c r="I542">
        <f>IF(E542="Gmail",COUNTIF($E$2:E542,"Gmail"),"")</f>
        <v/>
      </c>
      <c r="J542">
        <f>IF(E542="Outlook",COUNTIF($E$2:E542,"Outlook"),"")</f>
        <v/>
      </c>
      <c r="K542">
        <f>IF(E542="Domain",COUNTIF($E$2:E542,"Domain"),"")</f>
        <v/>
      </c>
    </row>
    <row r="543">
      <c r="A543" s="2" t="n"/>
      <c r="B543">
        <f>LOWER(TRIM(A543))</f>
        <v/>
      </c>
      <c r="C543">
        <f>IF(B543="","",IFERROR(INDEX('Bad Patterns'!$A$2:$A$120,MATCH(1,INDEX(--ISNUMBER(SEARCH('Bad Patterns'!$A$2:$A$120,B543)),0),0)),""))</f>
        <v/>
      </c>
      <c r="D543">
        <f>IF(B543="","",IF(C543&lt;&gt;"","REMOVE","KEEP"))</f>
        <v/>
      </c>
      <c r="E543">
        <f>IF(D543&lt;&gt;"KEEP","",IF(RIGHT(B543,10)="@gmail.com","Gmail",IF(OR(RIGHT(B543,12)="@outlook.com",RIGHT(B543,12)="@hotmail.com",RIGHT(B543,9)="@live.com"),"Outlook","Domain")))</f>
        <v/>
      </c>
      <c r="F543">
        <f>IF(B543="","",IFERROR(RIGHT(B543,LEN(B543)-FIND("@",B543)),""))</f>
        <v/>
      </c>
      <c r="G543">
        <f>IF(D543="KEEP",COUNTIF($D$2:D543,"KEEP"),"")</f>
        <v/>
      </c>
      <c r="H543">
        <f>IF(D543="REMOVE",COUNTIF($D$2:D543,"REMOVE"),"")</f>
        <v/>
      </c>
      <c r="I543">
        <f>IF(E543="Gmail",COUNTIF($E$2:E543,"Gmail"),"")</f>
        <v/>
      </c>
      <c r="J543">
        <f>IF(E543="Outlook",COUNTIF($E$2:E543,"Outlook"),"")</f>
        <v/>
      </c>
      <c r="K543">
        <f>IF(E543="Domain",COUNTIF($E$2:E543,"Domain"),"")</f>
        <v/>
      </c>
    </row>
    <row r="544">
      <c r="A544" s="2" t="n"/>
      <c r="B544">
        <f>LOWER(TRIM(A544))</f>
        <v/>
      </c>
      <c r="C544">
        <f>IF(B544="","",IFERROR(INDEX('Bad Patterns'!$A$2:$A$120,MATCH(1,INDEX(--ISNUMBER(SEARCH('Bad Patterns'!$A$2:$A$120,B544)),0),0)),""))</f>
        <v/>
      </c>
      <c r="D544">
        <f>IF(B544="","",IF(C544&lt;&gt;"","REMOVE","KEEP"))</f>
        <v/>
      </c>
      <c r="E544">
        <f>IF(D544&lt;&gt;"KEEP","",IF(RIGHT(B544,10)="@gmail.com","Gmail",IF(OR(RIGHT(B544,12)="@outlook.com",RIGHT(B544,12)="@hotmail.com",RIGHT(B544,9)="@live.com"),"Outlook","Domain")))</f>
        <v/>
      </c>
      <c r="F544">
        <f>IF(B544="","",IFERROR(RIGHT(B544,LEN(B544)-FIND("@",B544)),""))</f>
        <v/>
      </c>
      <c r="G544">
        <f>IF(D544="KEEP",COUNTIF($D$2:D544,"KEEP"),"")</f>
        <v/>
      </c>
      <c r="H544">
        <f>IF(D544="REMOVE",COUNTIF($D$2:D544,"REMOVE"),"")</f>
        <v/>
      </c>
      <c r="I544">
        <f>IF(E544="Gmail",COUNTIF($E$2:E544,"Gmail"),"")</f>
        <v/>
      </c>
      <c r="J544">
        <f>IF(E544="Outlook",COUNTIF($E$2:E544,"Outlook"),"")</f>
        <v/>
      </c>
      <c r="K544">
        <f>IF(E544="Domain",COUNTIF($E$2:E544,"Domain"),"")</f>
        <v/>
      </c>
    </row>
    <row r="545">
      <c r="A545" s="2" t="n"/>
      <c r="B545">
        <f>LOWER(TRIM(A545))</f>
        <v/>
      </c>
      <c r="C545">
        <f>IF(B545="","",IFERROR(INDEX('Bad Patterns'!$A$2:$A$120,MATCH(1,INDEX(--ISNUMBER(SEARCH('Bad Patterns'!$A$2:$A$120,B545)),0),0)),""))</f>
        <v/>
      </c>
      <c r="D545">
        <f>IF(B545="","",IF(C545&lt;&gt;"","REMOVE","KEEP"))</f>
        <v/>
      </c>
      <c r="E545">
        <f>IF(D545&lt;&gt;"KEEP","",IF(RIGHT(B545,10)="@gmail.com","Gmail",IF(OR(RIGHT(B545,12)="@outlook.com",RIGHT(B545,12)="@hotmail.com",RIGHT(B545,9)="@live.com"),"Outlook","Domain")))</f>
        <v/>
      </c>
      <c r="F545">
        <f>IF(B545="","",IFERROR(RIGHT(B545,LEN(B545)-FIND("@",B545)),""))</f>
        <v/>
      </c>
      <c r="G545">
        <f>IF(D545="KEEP",COUNTIF($D$2:D545,"KEEP"),"")</f>
        <v/>
      </c>
      <c r="H545">
        <f>IF(D545="REMOVE",COUNTIF($D$2:D545,"REMOVE"),"")</f>
        <v/>
      </c>
      <c r="I545">
        <f>IF(E545="Gmail",COUNTIF($E$2:E545,"Gmail"),"")</f>
        <v/>
      </c>
      <c r="J545">
        <f>IF(E545="Outlook",COUNTIF($E$2:E545,"Outlook"),"")</f>
        <v/>
      </c>
      <c r="K545">
        <f>IF(E545="Domain",COUNTIF($E$2:E545,"Domain"),"")</f>
        <v/>
      </c>
    </row>
    <row r="546">
      <c r="A546" s="2" t="n"/>
      <c r="B546">
        <f>LOWER(TRIM(A546))</f>
        <v/>
      </c>
      <c r="C546">
        <f>IF(B546="","",IFERROR(INDEX('Bad Patterns'!$A$2:$A$120,MATCH(1,INDEX(--ISNUMBER(SEARCH('Bad Patterns'!$A$2:$A$120,B546)),0),0)),""))</f>
        <v/>
      </c>
      <c r="D546">
        <f>IF(B546="","",IF(C546&lt;&gt;"","REMOVE","KEEP"))</f>
        <v/>
      </c>
      <c r="E546">
        <f>IF(D546&lt;&gt;"KEEP","",IF(RIGHT(B546,10)="@gmail.com","Gmail",IF(OR(RIGHT(B546,12)="@outlook.com",RIGHT(B546,12)="@hotmail.com",RIGHT(B546,9)="@live.com"),"Outlook","Domain")))</f>
        <v/>
      </c>
      <c r="F546">
        <f>IF(B546="","",IFERROR(RIGHT(B546,LEN(B546)-FIND("@",B546)),""))</f>
        <v/>
      </c>
      <c r="G546">
        <f>IF(D546="KEEP",COUNTIF($D$2:D546,"KEEP"),"")</f>
        <v/>
      </c>
      <c r="H546">
        <f>IF(D546="REMOVE",COUNTIF($D$2:D546,"REMOVE"),"")</f>
        <v/>
      </c>
      <c r="I546">
        <f>IF(E546="Gmail",COUNTIF($E$2:E546,"Gmail"),"")</f>
        <v/>
      </c>
      <c r="J546">
        <f>IF(E546="Outlook",COUNTIF($E$2:E546,"Outlook"),"")</f>
        <v/>
      </c>
      <c r="K546">
        <f>IF(E546="Domain",COUNTIF($E$2:E546,"Domain"),"")</f>
        <v/>
      </c>
    </row>
    <row r="547">
      <c r="A547" s="2" t="n"/>
      <c r="B547">
        <f>LOWER(TRIM(A547))</f>
        <v/>
      </c>
      <c r="C547">
        <f>IF(B547="","",IFERROR(INDEX('Bad Patterns'!$A$2:$A$120,MATCH(1,INDEX(--ISNUMBER(SEARCH('Bad Patterns'!$A$2:$A$120,B547)),0),0)),""))</f>
        <v/>
      </c>
      <c r="D547">
        <f>IF(B547="","",IF(C547&lt;&gt;"","REMOVE","KEEP"))</f>
        <v/>
      </c>
      <c r="E547">
        <f>IF(D547&lt;&gt;"KEEP","",IF(RIGHT(B547,10)="@gmail.com","Gmail",IF(OR(RIGHT(B547,12)="@outlook.com",RIGHT(B547,12)="@hotmail.com",RIGHT(B547,9)="@live.com"),"Outlook","Domain")))</f>
        <v/>
      </c>
      <c r="F547">
        <f>IF(B547="","",IFERROR(RIGHT(B547,LEN(B547)-FIND("@",B547)),""))</f>
        <v/>
      </c>
      <c r="G547">
        <f>IF(D547="KEEP",COUNTIF($D$2:D547,"KEEP"),"")</f>
        <v/>
      </c>
      <c r="H547">
        <f>IF(D547="REMOVE",COUNTIF($D$2:D547,"REMOVE"),"")</f>
        <v/>
      </c>
      <c r="I547">
        <f>IF(E547="Gmail",COUNTIF($E$2:E547,"Gmail"),"")</f>
        <v/>
      </c>
      <c r="J547">
        <f>IF(E547="Outlook",COUNTIF($E$2:E547,"Outlook"),"")</f>
        <v/>
      </c>
      <c r="K547">
        <f>IF(E547="Domain",COUNTIF($E$2:E547,"Domain"),"")</f>
        <v/>
      </c>
    </row>
    <row r="548">
      <c r="A548" s="2" t="n"/>
      <c r="B548">
        <f>LOWER(TRIM(A548))</f>
        <v/>
      </c>
      <c r="C548">
        <f>IF(B548="","",IFERROR(INDEX('Bad Patterns'!$A$2:$A$120,MATCH(1,INDEX(--ISNUMBER(SEARCH('Bad Patterns'!$A$2:$A$120,B548)),0),0)),""))</f>
        <v/>
      </c>
      <c r="D548">
        <f>IF(B548="","",IF(C548&lt;&gt;"","REMOVE","KEEP"))</f>
        <v/>
      </c>
      <c r="E548">
        <f>IF(D548&lt;&gt;"KEEP","",IF(RIGHT(B548,10)="@gmail.com","Gmail",IF(OR(RIGHT(B548,12)="@outlook.com",RIGHT(B548,12)="@hotmail.com",RIGHT(B548,9)="@live.com"),"Outlook","Domain")))</f>
        <v/>
      </c>
      <c r="F548">
        <f>IF(B548="","",IFERROR(RIGHT(B548,LEN(B548)-FIND("@",B548)),""))</f>
        <v/>
      </c>
      <c r="G548">
        <f>IF(D548="KEEP",COUNTIF($D$2:D548,"KEEP"),"")</f>
        <v/>
      </c>
      <c r="H548">
        <f>IF(D548="REMOVE",COUNTIF($D$2:D548,"REMOVE"),"")</f>
        <v/>
      </c>
      <c r="I548">
        <f>IF(E548="Gmail",COUNTIF($E$2:E548,"Gmail"),"")</f>
        <v/>
      </c>
      <c r="J548">
        <f>IF(E548="Outlook",COUNTIF($E$2:E548,"Outlook"),"")</f>
        <v/>
      </c>
      <c r="K548">
        <f>IF(E548="Domain",COUNTIF($E$2:E548,"Domain"),"")</f>
        <v/>
      </c>
    </row>
    <row r="549">
      <c r="A549" s="2" t="n"/>
      <c r="B549">
        <f>LOWER(TRIM(A549))</f>
        <v/>
      </c>
      <c r="C549">
        <f>IF(B549="","",IFERROR(INDEX('Bad Patterns'!$A$2:$A$120,MATCH(1,INDEX(--ISNUMBER(SEARCH('Bad Patterns'!$A$2:$A$120,B549)),0),0)),""))</f>
        <v/>
      </c>
      <c r="D549">
        <f>IF(B549="","",IF(C549&lt;&gt;"","REMOVE","KEEP"))</f>
        <v/>
      </c>
      <c r="E549">
        <f>IF(D549&lt;&gt;"KEEP","",IF(RIGHT(B549,10)="@gmail.com","Gmail",IF(OR(RIGHT(B549,12)="@outlook.com",RIGHT(B549,12)="@hotmail.com",RIGHT(B549,9)="@live.com"),"Outlook","Domain")))</f>
        <v/>
      </c>
      <c r="F549">
        <f>IF(B549="","",IFERROR(RIGHT(B549,LEN(B549)-FIND("@",B549)),""))</f>
        <v/>
      </c>
      <c r="G549">
        <f>IF(D549="KEEP",COUNTIF($D$2:D549,"KEEP"),"")</f>
        <v/>
      </c>
      <c r="H549">
        <f>IF(D549="REMOVE",COUNTIF($D$2:D549,"REMOVE"),"")</f>
        <v/>
      </c>
      <c r="I549">
        <f>IF(E549="Gmail",COUNTIF($E$2:E549,"Gmail"),"")</f>
        <v/>
      </c>
      <c r="J549">
        <f>IF(E549="Outlook",COUNTIF($E$2:E549,"Outlook"),"")</f>
        <v/>
      </c>
      <c r="K549">
        <f>IF(E549="Domain",COUNTIF($E$2:E549,"Domain"),"")</f>
        <v/>
      </c>
    </row>
    <row r="550">
      <c r="A550" s="2" t="n"/>
      <c r="B550">
        <f>LOWER(TRIM(A550))</f>
        <v/>
      </c>
      <c r="C550">
        <f>IF(B550="","",IFERROR(INDEX('Bad Patterns'!$A$2:$A$120,MATCH(1,INDEX(--ISNUMBER(SEARCH('Bad Patterns'!$A$2:$A$120,B550)),0),0)),""))</f>
        <v/>
      </c>
      <c r="D550">
        <f>IF(B550="","",IF(C550&lt;&gt;"","REMOVE","KEEP"))</f>
        <v/>
      </c>
      <c r="E550">
        <f>IF(D550&lt;&gt;"KEEP","",IF(RIGHT(B550,10)="@gmail.com","Gmail",IF(OR(RIGHT(B550,12)="@outlook.com",RIGHT(B550,12)="@hotmail.com",RIGHT(B550,9)="@live.com"),"Outlook","Domain")))</f>
        <v/>
      </c>
      <c r="F550">
        <f>IF(B550="","",IFERROR(RIGHT(B550,LEN(B550)-FIND("@",B550)),""))</f>
        <v/>
      </c>
      <c r="G550">
        <f>IF(D550="KEEP",COUNTIF($D$2:D550,"KEEP"),"")</f>
        <v/>
      </c>
      <c r="H550">
        <f>IF(D550="REMOVE",COUNTIF($D$2:D550,"REMOVE"),"")</f>
        <v/>
      </c>
      <c r="I550">
        <f>IF(E550="Gmail",COUNTIF($E$2:E550,"Gmail"),"")</f>
        <v/>
      </c>
      <c r="J550">
        <f>IF(E550="Outlook",COUNTIF($E$2:E550,"Outlook"),"")</f>
        <v/>
      </c>
      <c r="K550">
        <f>IF(E550="Domain",COUNTIF($E$2:E550,"Domain"),"")</f>
        <v/>
      </c>
    </row>
    <row r="551">
      <c r="A551" s="2" t="n"/>
      <c r="B551">
        <f>LOWER(TRIM(A551))</f>
        <v/>
      </c>
      <c r="C551">
        <f>IF(B551="","",IFERROR(INDEX('Bad Patterns'!$A$2:$A$120,MATCH(1,INDEX(--ISNUMBER(SEARCH('Bad Patterns'!$A$2:$A$120,B551)),0),0)),""))</f>
        <v/>
      </c>
      <c r="D551">
        <f>IF(B551="","",IF(C551&lt;&gt;"","REMOVE","KEEP"))</f>
        <v/>
      </c>
      <c r="E551">
        <f>IF(D551&lt;&gt;"KEEP","",IF(RIGHT(B551,10)="@gmail.com","Gmail",IF(OR(RIGHT(B551,12)="@outlook.com",RIGHT(B551,12)="@hotmail.com",RIGHT(B551,9)="@live.com"),"Outlook","Domain")))</f>
        <v/>
      </c>
      <c r="F551">
        <f>IF(B551="","",IFERROR(RIGHT(B551,LEN(B551)-FIND("@",B551)),""))</f>
        <v/>
      </c>
      <c r="G551">
        <f>IF(D551="KEEP",COUNTIF($D$2:D551,"KEEP"),"")</f>
        <v/>
      </c>
      <c r="H551">
        <f>IF(D551="REMOVE",COUNTIF($D$2:D551,"REMOVE"),"")</f>
        <v/>
      </c>
      <c r="I551">
        <f>IF(E551="Gmail",COUNTIF($E$2:E551,"Gmail"),"")</f>
        <v/>
      </c>
      <c r="J551">
        <f>IF(E551="Outlook",COUNTIF($E$2:E551,"Outlook"),"")</f>
        <v/>
      </c>
      <c r="K551">
        <f>IF(E551="Domain",COUNTIF($E$2:E551,"Domain"),"")</f>
        <v/>
      </c>
    </row>
    <row r="552">
      <c r="A552" s="2" t="n"/>
      <c r="B552">
        <f>LOWER(TRIM(A552))</f>
        <v/>
      </c>
      <c r="C552">
        <f>IF(B552="","",IFERROR(INDEX('Bad Patterns'!$A$2:$A$120,MATCH(1,INDEX(--ISNUMBER(SEARCH('Bad Patterns'!$A$2:$A$120,B552)),0),0)),""))</f>
        <v/>
      </c>
      <c r="D552">
        <f>IF(B552="","",IF(C552&lt;&gt;"","REMOVE","KEEP"))</f>
        <v/>
      </c>
      <c r="E552">
        <f>IF(D552&lt;&gt;"KEEP","",IF(RIGHT(B552,10)="@gmail.com","Gmail",IF(OR(RIGHT(B552,12)="@outlook.com",RIGHT(B552,12)="@hotmail.com",RIGHT(B552,9)="@live.com"),"Outlook","Domain")))</f>
        <v/>
      </c>
      <c r="F552">
        <f>IF(B552="","",IFERROR(RIGHT(B552,LEN(B552)-FIND("@",B552)),""))</f>
        <v/>
      </c>
      <c r="G552">
        <f>IF(D552="KEEP",COUNTIF($D$2:D552,"KEEP"),"")</f>
        <v/>
      </c>
      <c r="H552">
        <f>IF(D552="REMOVE",COUNTIF($D$2:D552,"REMOVE"),"")</f>
        <v/>
      </c>
      <c r="I552">
        <f>IF(E552="Gmail",COUNTIF($E$2:E552,"Gmail"),"")</f>
        <v/>
      </c>
      <c r="J552">
        <f>IF(E552="Outlook",COUNTIF($E$2:E552,"Outlook"),"")</f>
        <v/>
      </c>
      <c r="K552">
        <f>IF(E552="Domain",COUNTIF($E$2:E552,"Domain"),"")</f>
        <v/>
      </c>
    </row>
    <row r="553">
      <c r="A553" s="2" t="n"/>
      <c r="B553">
        <f>LOWER(TRIM(A553))</f>
        <v/>
      </c>
      <c r="C553">
        <f>IF(B553="","",IFERROR(INDEX('Bad Patterns'!$A$2:$A$120,MATCH(1,INDEX(--ISNUMBER(SEARCH('Bad Patterns'!$A$2:$A$120,B553)),0),0)),""))</f>
        <v/>
      </c>
      <c r="D553">
        <f>IF(B553="","",IF(C553&lt;&gt;"","REMOVE","KEEP"))</f>
        <v/>
      </c>
      <c r="E553">
        <f>IF(D553&lt;&gt;"KEEP","",IF(RIGHT(B553,10)="@gmail.com","Gmail",IF(OR(RIGHT(B553,12)="@outlook.com",RIGHT(B553,12)="@hotmail.com",RIGHT(B553,9)="@live.com"),"Outlook","Domain")))</f>
        <v/>
      </c>
      <c r="F553">
        <f>IF(B553="","",IFERROR(RIGHT(B553,LEN(B553)-FIND("@",B553)),""))</f>
        <v/>
      </c>
      <c r="G553">
        <f>IF(D553="KEEP",COUNTIF($D$2:D553,"KEEP"),"")</f>
        <v/>
      </c>
      <c r="H553">
        <f>IF(D553="REMOVE",COUNTIF($D$2:D553,"REMOVE"),"")</f>
        <v/>
      </c>
      <c r="I553">
        <f>IF(E553="Gmail",COUNTIF($E$2:E553,"Gmail"),"")</f>
        <v/>
      </c>
      <c r="J553">
        <f>IF(E553="Outlook",COUNTIF($E$2:E553,"Outlook"),"")</f>
        <v/>
      </c>
      <c r="K553">
        <f>IF(E553="Domain",COUNTIF($E$2:E553,"Domain"),"")</f>
        <v/>
      </c>
    </row>
    <row r="554">
      <c r="A554" s="2" t="n"/>
      <c r="B554">
        <f>LOWER(TRIM(A554))</f>
        <v/>
      </c>
      <c r="C554">
        <f>IF(B554="","",IFERROR(INDEX('Bad Patterns'!$A$2:$A$120,MATCH(1,INDEX(--ISNUMBER(SEARCH('Bad Patterns'!$A$2:$A$120,B554)),0),0)),""))</f>
        <v/>
      </c>
      <c r="D554">
        <f>IF(B554="","",IF(C554&lt;&gt;"","REMOVE","KEEP"))</f>
        <v/>
      </c>
      <c r="E554">
        <f>IF(D554&lt;&gt;"KEEP","",IF(RIGHT(B554,10)="@gmail.com","Gmail",IF(OR(RIGHT(B554,12)="@outlook.com",RIGHT(B554,12)="@hotmail.com",RIGHT(B554,9)="@live.com"),"Outlook","Domain")))</f>
        <v/>
      </c>
      <c r="F554">
        <f>IF(B554="","",IFERROR(RIGHT(B554,LEN(B554)-FIND("@",B554)),""))</f>
        <v/>
      </c>
      <c r="G554">
        <f>IF(D554="KEEP",COUNTIF($D$2:D554,"KEEP"),"")</f>
        <v/>
      </c>
      <c r="H554">
        <f>IF(D554="REMOVE",COUNTIF($D$2:D554,"REMOVE"),"")</f>
        <v/>
      </c>
      <c r="I554">
        <f>IF(E554="Gmail",COUNTIF($E$2:E554,"Gmail"),"")</f>
        <v/>
      </c>
      <c r="J554">
        <f>IF(E554="Outlook",COUNTIF($E$2:E554,"Outlook"),"")</f>
        <v/>
      </c>
      <c r="K554">
        <f>IF(E554="Domain",COUNTIF($E$2:E554,"Domain"),"")</f>
        <v/>
      </c>
    </row>
    <row r="555">
      <c r="A555" s="2" t="n"/>
      <c r="B555">
        <f>LOWER(TRIM(A555))</f>
        <v/>
      </c>
      <c r="C555">
        <f>IF(B555="","",IFERROR(INDEX('Bad Patterns'!$A$2:$A$120,MATCH(1,INDEX(--ISNUMBER(SEARCH('Bad Patterns'!$A$2:$A$120,B555)),0),0)),""))</f>
        <v/>
      </c>
      <c r="D555">
        <f>IF(B555="","",IF(C555&lt;&gt;"","REMOVE","KEEP"))</f>
        <v/>
      </c>
      <c r="E555">
        <f>IF(D555&lt;&gt;"KEEP","",IF(RIGHT(B555,10)="@gmail.com","Gmail",IF(OR(RIGHT(B555,12)="@outlook.com",RIGHT(B555,12)="@hotmail.com",RIGHT(B555,9)="@live.com"),"Outlook","Domain")))</f>
        <v/>
      </c>
      <c r="F555">
        <f>IF(B555="","",IFERROR(RIGHT(B555,LEN(B555)-FIND("@",B555)),""))</f>
        <v/>
      </c>
      <c r="G555">
        <f>IF(D555="KEEP",COUNTIF($D$2:D555,"KEEP"),"")</f>
        <v/>
      </c>
      <c r="H555">
        <f>IF(D555="REMOVE",COUNTIF($D$2:D555,"REMOVE"),"")</f>
        <v/>
      </c>
      <c r="I555">
        <f>IF(E555="Gmail",COUNTIF($E$2:E555,"Gmail"),"")</f>
        <v/>
      </c>
      <c r="J555">
        <f>IF(E555="Outlook",COUNTIF($E$2:E555,"Outlook"),"")</f>
        <v/>
      </c>
      <c r="K555">
        <f>IF(E555="Domain",COUNTIF($E$2:E555,"Domain"),"")</f>
        <v/>
      </c>
    </row>
    <row r="556">
      <c r="A556" s="2" t="n"/>
      <c r="B556">
        <f>LOWER(TRIM(A556))</f>
        <v/>
      </c>
      <c r="C556">
        <f>IF(B556="","",IFERROR(INDEX('Bad Patterns'!$A$2:$A$120,MATCH(1,INDEX(--ISNUMBER(SEARCH('Bad Patterns'!$A$2:$A$120,B556)),0),0)),""))</f>
        <v/>
      </c>
      <c r="D556">
        <f>IF(B556="","",IF(C556&lt;&gt;"","REMOVE","KEEP"))</f>
        <v/>
      </c>
      <c r="E556">
        <f>IF(D556&lt;&gt;"KEEP","",IF(RIGHT(B556,10)="@gmail.com","Gmail",IF(OR(RIGHT(B556,12)="@outlook.com",RIGHT(B556,12)="@hotmail.com",RIGHT(B556,9)="@live.com"),"Outlook","Domain")))</f>
        <v/>
      </c>
      <c r="F556">
        <f>IF(B556="","",IFERROR(RIGHT(B556,LEN(B556)-FIND("@",B556)),""))</f>
        <v/>
      </c>
      <c r="G556">
        <f>IF(D556="KEEP",COUNTIF($D$2:D556,"KEEP"),"")</f>
        <v/>
      </c>
      <c r="H556">
        <f>IF(D556="REMOVE",COUNTIF($D$2:D556,"REMOVE"),"")</f>
        <v/>
      </c>
      <c r="I556">
        <f>IF(E556="Gmail",COUNTIF($E$2:E556,"Gmail"),"")</f>
        <v/>
      </c>
      <c r="J556">
        <f>IF(E556="Outlook",COUNTIF($E$2:E556,"Outlook"),"")</f>
        <v/>
      </c>
      <c r="K556">
        <f>IF(E556="Domain",COUNTIF($E$2:E556,"Domain"),"")</f>
        <v/>
      </c>
    </row>
    <row r="557">
      <c r="A557" s="2" t="n"/>
      <c r="B557">
        <f>LOWER(TRIM(A557))</f>
        <v/>
      </c>
      <c r="C557">
        <f>IF(B557="","",IFERROR(INDEX('Bad Patterns'!$A$2:$A$120,MATCH(1,INDEX(--ISNUMBER(SEARCH('Bad Patterns'!$A$2:$A$120,B557)),0),0)),""))</f>
        <v/>
      </c>
      <c r="D557">
        <f>IF(B557="","",IF(C557&lt;&gt;"","REMOVE","KEEP"))</f>
        <v/>
      </c>
      <c r="E557">
        <f>IF(D557&lt;&gt;"KEEP","",IF(RIGHT(B557,10)="@gmail.com","Gmail",IF(OR(RIGHT(B557,12)="@outlook.com",RIGHT(B557,12)="@hotmail.com",RIGHT(B557,9)="@live.com"),"Outlook","Domain")))</f>
        <v/>
      </c>
      <c r="F557">
        <f>IF(B557="","",IFERROR(RIGHT(B557,LEN(B557)-FIND("@",B557)),""))</f>
        <v/>
      </c>
      <c r="G557">
        <f>IF(D557="KEEP",COUNTIF($D$2:D557,"KEEP"),"")</f>
        <v/>
      </c>
      <c r="H557">
        <f>IF(D557="REMOVE",COUNTIF($D$2:D557,"REMOVE"),"")</f>
        <v/>
      </c>
      <c r="I557">
        <f>IF(E557="Gmail",COUNTIF($E$2:E557,"Gmail"),"")</f>
        <v/>
      </c>
      <c r="J557">
        <f>IF(E557="Outlook",COUNTIF($E$2:E557,"Outlook"),"")</f>
        <v/>
      </c>
      <c r="K557">
        <f>IF(E557="Domain",COUNTIF($E$2:E557,"Domain"),"")</f>
        <v/>
      </c>
    </row>
    <row r="558">
      <c r="A558" s="2" t="n"/>
      <c r="B558">
        <f>LOWER(TRIM(A558))</f>
        <v/>
      </c>
      <c r="C558">
        <f>IF(B558="","",IFERROR(INDEX('Bad Patterns'!$A$2:$A$120,MATCH(1,INDEX(--ISNUMBER(SEARCH('Bad Patterns'!$A$2:$A$120,B558)),0),0)),""))</f>
        <v/>
      </c>
      <c r="D558">
        <f>IF(B558="","",IF(C558&lt;&gt;"","REMOVE","KEEP"))</f>
        <v/>
      </c>
      <c r="E558">
        <f>IF(D558&lt;&gt;"KEEP","",IF(RIGHT(B558,10)="@gmail.com","Gmail",IF(OR(RIGHT(B558,12)="@outlook.com",RIGHT(B558,12)="@hotmail.com",RIGHT(B558,9)="@live.com"),"Outlook","Domain")))</f>
        <v/>
      </c>
      <c r="F558">
        <f>IF(B558="","",IFERROR(RIGHT(B558,LEN(B558)-FIND("@",B558)),""))</f>
        <v/>
      </c>
      <c r="G558">
        <f>IF(D558="KEEP",COUNTIF($D$2:D558,"KEEP"),"")</f>
        <v/>
      </c>
      <c r="H558">
        <f>IF(D558="REMOVE",COUNTIF($D$2:D558,"REMOVE"),"")</f>
        <v/>
      </c>
      <c r="I558">
        <f>IF(E558="Gmail",COUNTIF($E$2:E558,"Gmail"),"")</f>
        <v/>
      </c>
      <c r="J558">
        <f>IF(E558="Outlook",COUNTIF($E$2:E558,"Outlook"),"")</f>
        <v/>
      </c>
      <c r="K558">
        <f>IF(E558="Domain",COUNTIF($E$2:E558,"Domain"),"")</f>
        <v/>
      </c>
    </row>
    <row r="559">
      <c r="A559" s="2" t="n"/>
      <c r="B559">
        <f>LOWER(TRIM(A559))</f>
        <v/>
      </c>
      <c r="C559">
        <f>IF(B559="","",IFERROR(INDEX('Bad Patterns'!$A$2:$A$120,MATCH(1,INDEX(--ISNUMBER(SEARCH('Bad Patterns'!$A$2:$A$120,B559)),0),0)),""))</f>
        <v/>
      </c>
      <c r="D559">
        <f>IF(B559="","",IF(C559&lt;&gt;"","REMOVE","KEEP"))</f>
        <v/>
      </c>
      <c r="E559">
        <f>IF(D559&lt;&gt;"KEEP","",IF(RIGHT(B559,10)="@gmail.com","Gmail",IF(OR(RIGHT(B559,12)="@outlook.com",RIGHT(B559,12)="@hotmail.com",RIGHT(B559,9)="@live.com"),"Outlook","Domain")))</f>
        <v/>
      </c>
      <c r="F559">
        <f>IF(B559="","",IFERROR(RIGHT(B559,LEN(B559)-FIND("@",B559)),""))</f>
        <v/>
      </c>
      <c r="G559">
        <f>IF(D559="KEEP",COUNTIF($D$2:D559,"KEEP"),"")</f>
        <v/>
      </c>
      <c r="H559">
        <f>IF(D559="REMOVE",COUNTIF($D$2:D559,"REMOVE"),"")</f>
        <v/>
      </c>
      <c r="I559">
        <f>IF(E559="Gmail",COUNTIF($E$2:E559,"Gmail"),"")</f>
        <v/>
      </c>
      <c r="J559">
        <f>IF(E559="Outlook",COUNTIF($E$2:E559,"Outlook"),"")</f>
        <v/>
      </c>
      <c r="K559">
        <f>IF(E559="Domain",COUNTIF($E$2:E559,"Domain"),"")</f>
        <v/>
      </c>
    </row>
    <row r="560">
      <c r="A560" s="2" t="n"/>
      <c r="B560">
        <f>LOWER(TRIM(A560))</f>
        <v/>
      </c>
      <c r="C560">
        <f>IF(B560="","",IFERROR(INDEX('Bad Patterns'!$A$2:$A$120,MATCH(1,INDEX(--ISNUMBER(SEARCH('Bad Patterns'!$A$2:$A$120,B560)),0),0)),""))</f>
        <v/>
      </c>
      <c r="D560">
        <f>IF(B560="","",IF(C560&lt;&gt;"","REMOVE","KEEP"))</f>
        <v/>
      </c>
      <c r="E560">
        <f>IF(D560&lt;&gt;"KEEP","",IF(RIGHT(B560,10)="@gmail.com","Gmail",IF(OR(RIGHT(B560,12)="@outlook.com",RIGHT(B560,12)="@hotmail.com",RIGHT(B560,9)="@live.com"),"Outlook","Domain")))</f>
        <v/>
      </c>
      <c r="F560">
        <f>IF(B560="","",IFERROR(RIGHT(B560,LEN(B560)-FIND("@",B560)),""))</f>
        <v/>
      </c>
      <c r="G560">
        <f>IF(D560="KEEP",COUNTIF($D$2:D560,"KEEP"),"")</f>
        <v/>
      </c>
      <c r="H560">
        <f>IF(D560="REMOVE",COUNTIF($D$2:D560,"REMOVE"),"")</f>
        <v/>
      </c>
      <c r="I560">
        <f>IF(E560="Gmail",COUNTIF($E$2:E560,"Gmail"),"")</f>
        <v/>
      </c>
      <c r="J560">
        <f>IF(E560="Outlook",COUNTIF($E$2:E560,"Outlook"),"")</f>
        <v/>
      </c>
      <c r="K560">
        <f>IF(E560="Domain",COUNTIF($E$2:E560,"Domain"),"")</f>
        <v/>
      </c>
    </row>
    <row r="561">
      <c r="A561" s="2" t="n"/>
      <c r="B561">
        <f>LOWER(TRIM(A561))</f>
        <v/>
      </c>
      <c r="C561">
        <f>IF(B561="","",IFERROR(INDEX('Bad Patterns'!$A$2:$A$120,MATCH(1,INDEX(--ISNUMBER(SEARCH('Bad Patterns'!$A$2:$A$120,B561)),0),0)),""))</f>
        <v/>
      </c>
      <c r="D561">
        <f>IF(B561="","",IF(C561&lt;&gt;"","REMOVE","KEEP"))</f>
        <v/>
      </c>
      <c r="E561">
        <f>IF(D561&lt;&gt;"KEEP","",IF(RIGHT(B561,10)="@gmail.com","Gmail",IF(OR(RIGHT(B561,12)="@outlook.com",RIGHT(B561,12)="@hotmail.com",RIGHT(B561,9)="@live.com"),"Outlook","Domain")))</f>
        <v/>
      </c>
      <c r="F561">
        <f>IF(B561="","",IFERROR(RIGHT(B561,LEN(B561)-FIND("@",B561)),""))</f>
        <v/>
      </c>
      <c r="G561">
        <f>IF(D561="KEEP",COUNTIF($D$2:D561,"KEEP"),"")</f>
        <v/>
      </c>
      <c r="H561">
        <f>IF(D561="REMOVE",COUNTIF($D$2:D561,"REMOVE"),"")</f>
        <v/>
      </c>
      <c r="I561">
        <f>IF(E561="Gmail",COUNTIF($E$2:E561,"Gmail"),"")</f>
        <v/>
      </c>
      <c r="J561">
        <f>IF(E561="Outlook",COUNTIF($E$2:E561,"Outlook"),"")</f>
        <v/>
      </c>
      <c r="K561">
        <f>IF(E561="Domain",COUNTIF($E$2:E561,"Domain"),"")</f>
        <v/>
      </c>
    </row>
    <row r="562">
      <c r="A562" s="2" t="n"/>
      <c r="B562">
        <f>LOWER(TRIM(A562))</f>
        <v/>
      </c>
      <c r="C562">
        <f>IF(B562="","",IFERROR(INDEX('Bad Patterns'!$A$2:$A$120,MATCH(1,INDEX(--ISNUMBER(SEARCH('Bad Patterns'!$A$2:$A$120,B562)),0),0)),""))</f>
        <v/>
      </c>
      <c r="D562">
        <f>IF(B562="","",IF(C562&lt;&gt;"","REMOVE","KEEP"))</f>
        <v/>
      </c>
      <c r="E562">
        <f>IF(D562&lt;&gt;"KEEP","",IF(RIGHT(B562,10)="@gmail.com","Gmail",IF(OR(RIGHT(B562,12)="@outlook.com",RIGHT(B562,12)="@hotmail.com",RIGHT(B562,9)="@live.com"),"Outlook","Domain")))</f>
        <v/>
      </c>
      <c r="F562">
        <f>IF(B562="","",IFERROR(RIGHT(B562,LEN(B562)-FIND("@",B562)),""))</f>
        <v/>
      </c>
      <c r="G562">
        <f>IF(D562="KEEP",COUNTIF($D$2:D562,"KEEP"),"")</f>
        <v/>
      </c>
      <c r="H562">
        <f>IF(D562="REMOVE",COUNTIF($D$2:D562,"REMOVE"),"")</f>
        <v/>
      </c>
      <c r="I562">
        <f>IF(E562="Gmail",COUNTIF($E$2:E562,"Gmail"),"")</f>
        <v/>
      </c>
      <c r="J562">
        <f>IF(E562="Outlook",COUNTIF($E$2:E562,"Outlook"),"")</f>
        <v/>
      </c>
      <c r="K562">
        <f>IF(E562="Domain",COUNTIF($E$2:E562,"Domain"),"")</f>
        <v/>
      </c>
    </row>
    <row r="563">
      <c r="A563" s="2" t="n"/>
      <c r="B563">
        <f>LOWER(TRIM(A563))</f>
        <v/>
      </c>
      <c r="C563">
        <f>IF(B563="","",IFERROR(INDEX('Bad Patterns'!$A$2:$A$120,MATCH(1,INDEX(--ISNUMBER(SEARCH('Bad Patterns'!$A$2:$A$120,B563)),0),0)),""))</f>
        <v/>
      </c>
      <c r="D563">
        <f>IF(B563="","",IF(C563&lt;&gt;"","REMOVE","KEEP"))</f>
        <v/>
      </c>
      <c r="E563">
        <f>IF(D563&lt;&gt;"KEEP","",IF(RIGHT(B563,10)="@gmail.com","Gmail",IF(OR(RIGHT(B563,12)="@outlook.com",RIGHT(B563,12)="@hotmail.com",RIGHT(B563,9)="@live.com"),"Outlook","Domain")))</f>
        <v/>
      </c>
      <c r="F563">
        <f>IF(B563="","",IFERROR(RIGHT(B563,LEN(B563)-FIND("@",B563)),""))</f>
        <v/>
      </c>
      <c r="G563">
        <f>IF(D563="KEEP",COUNTIF($D$2:D563,"KEEP"),"")</f>
        <v/>
      </c>
      <c r="H563">
        <f>IF(D563="REMOVE",COUNTIF($D$2:D563,"REMOVE"),"")</f>
        <v/>
      </c>
      <c r="I563">
        <f>IF(E563="Gmail",COUNTIF($E$2:E563,"Gmail"),"")</f>
        <v/>
      </c>
      <c r="J563">
        <f>IF(E563="Outlook",COUNTIF($E$2:E563,"Outlook"),"")</f>
        <v/>
      </c>
      <c r="K563">
        <f>IF(E563="Domain",COUNTIF($E$2:E563,"Domain"),"")</f>
        <v/>
      </c>
    </row>
    <row r="564">
      <c r="A564" s="2" t="n"/>
      <c r="B564">
        <f>LOWER(TRIM(A564))</f>
        <v/>
      </c>
      <c r="C564">
        <f>IF(B564="","",IFERROR(INDEX('Bad Patterns'!$A$2:$A$120,MATCH(1,INDEX(--ISNUMBER(SEARCH('Bad Patterns'!$A$2:$A$120,B564)),0),0)),""))</f>
        <v/>
      </c>
      <c r="D564">
        <f>IF(B564="","",IF(C564&lt;&gt;"","REMOVE","KEEP"))</f>
        <v/>
      </c>
      <c r="E564">
        <f>IF(D564&lt;&gt;"KEEP","",IF(RIGHT(B564,10)="@gmail.com","Gmail",IF(OR(RIGHT(B564,12)="@outlook.com",RIGHT(B564,12)="@hotmail.com",RIGHT(B564,9)="@live.com"),"Outlook","Domain")))</f>
        <v/>
      </c>
      <c r="F564">
        <f>IF(B564="","",IFERROR(RIGHT(B564,LEN(B564)-FIND("@",B564)),""))</f>
        <v/>
      </c>
      <c r="G564">
        <f>IF(D564="KEEP",COUNTIF($D$2:D564,"KEEP"),"")</f>
        <v/>
      </c>
      <c r="H564">
        <f>IF(D564="REMOVE",COUNTIF($D$2:D564,"REMOVE"),"")</f>
        <v/>
      </c>
      <c r="I564">
        <f>IF(E564="Gmail",COUNTIF($E$2:E564,"Gmail"),"")</f>
        <v/>
      </c>
      <c r="J564">
        <f>IF(E564="Outlook",COUNTIF($E$2:E564,"Outlook"),"")</f>
        <v/>
      </c>
      <c r="K564">
        <f>IF(E564="Domain",COUNTIF($E$2:E564,"Domain"),"")</f>
        <v/>
      </c>
    </row>
    <row r="565">
      <c r="A565" s="2" t="n"/>
      <c r="B565">
        <f>LOWER(TRIM(A565))</f>
        <v/>
      </c>
      <c r="C565">
        <f>IF(B565="","",IFERROR(INDEX('Bad Patterns'!$A$2:$A$120,MATCH(1,INDEX(--ISNUMBER(SEARCH('Bad Patterns'!$A$2:$A$120,B565)),0),0)),""))</f>
        <v/>
      </c>
      <c r="D565">
        <f>IF(B565="","",IF(C565&lt;&gt;"","REMOVE","KEEP"))</f>
        <v/>
      </c>
      <c r="E565">
        <f>IF(D565&lt;&gt;"KEEP","",IF(RIGHT(B565,10)="@gmail.com","Gmail",IF(OR(RIGHT(B565,12)="@outlook.com",RIGHT(B565,12)="@hotmail.com",RIGHT(B565,9)="@live.com"),"Outlook","Domain")))</f>
        <v/>
      </c>
      <c r="F565">
        <f>IF(B565="","",IFERROR(RIGHT(B565,LEN(B565)-FIND("@",B565)),""))</f>
        <v/>
      </c>
      <c r="G565">
        <f>IF(D565="KEEP",COUNTIF($D$2:D565,"KEEP"),"")</f>
        <v/>
      </c>
      <c r="H565">
        <f>IF(D565="REMOVE",COUNTIF($D$2:D565,"REMOVE"),"")</f>
        <v/>
      </c>
      <c r="I565">
        <f>IF(E565="Gmail",COUNTIF($E$2:E565,"Gmail"),"")</f>
        <v/>
      </c>
      <c r="J565">
        <f>IF(E565="Outlook",COUNTIF($E$2:E565,"Outlook"),"")</f>
        <v/>
      </c>
      <c r="K565">
        <f>IF(E565="Domain",COUNTIF($E$2:E565,"Domain"),"")</f>
        <v/>
      </c>
    </row>
    <row r="566">
      <c r="A566" s="2" t="n"/>
      <c r="B566">
        <f>LOWER(TRIM(A566))</f>
        <v/>
      </c>
      <c r="C566">
        <f>IF(B566="","",IFERROR(INDEX('Bad Patterns'!$A$2:$A$120,MATCH(1,INDEX(--ISNUMBER(SEARCH('Bad Patterns'!$A$2:$A$120,B566)),0),0)),""))</f>
        <v/>
      </c>
      <c r="D566">
        <f>IF(B566="","",IF(C566&lt;&gt;"","REMOVE","KEEP"))</f>
        <v/>
      </c>
      <c r="E566">
        <f>IF(D566&lt;&gt;"KEEP","",IF(RIGHT(B566,10)="@gmail.com","Gmail",IF(OR(RIGHT(B566,12)="@outlook.com",RIGHT(B566,12)="@hotmail.com",RIGHT(B566,9)="@live.com"),"Outlook","Domain")))</f>
        <v/>
      </c>
      <c r="F566">
        <f>IF(B566="","",IFERROR(RIGHT(B566,LEN(B566)-FIND("@",B566)),""))</f>
        <v/>
      </c>
      <c r="G566">
        <f>IF(D566="KEEP",COUNTIF($D$2:D566,"KEEP"),"")</f>
        <v/>
      </c>
      <c r="H566">
        <f>IF(D566="REMOVE",COUNTIF($D$2:D566,"REMOVE"),"")</f>
        <v/>
      </c>
      <c r="I566">
        <f>IF(E566="Gmail",COUNTIF($E$2:E566,"Gmail"),"")</f>
        <v/>
      </c>
      <c r="J566">
        <f>IF(E566="Outlook",COUNTIF($E$2:E566,"Outlook"),"")</f>
        <v/>
      </c>
      <c r="K566">
        <f>IF(E566="Domain",COUNTIF($E$2:E566,"Domain"),"")</f>
        <v/>
      </c>
    </row>
    <row r="567">
      <c r="A567" s="2" t="n"/>
      <c r="B567">
        <f>LOWER(TRIM(A567))</f>
        <v/>
      </c>
      <c r="C567">
        <f>IF(B567="","",IFERROR(INDEX('Bad Patterns'!$A$2:$A$120,MATCH(1,INDEX(--ISNUMBER(SEARCH('Bad Patterns'!$A$2:$A$120,B567)),0),0)),""))</f>
        <v/>
      </c>
      <c r="D567">
        <f>IF(B567="","",IF(C567&lt;&gt;"","REMOVE","KEEP"))</f>
        <v/>
      </c>
      <c r="E567">
        <f>IF(D567&lt;&gt;"KEEP","",IF(RIGHT(B567,10)="@gmail.com","Gmail",IF(OR(RIGHT(B567,12)="@outlook.com",RIGHT(B567,12)="@hotmail.com",RIGHT(B567,9)="@live.com"),"Outlook","Domain")))</f>
        <v/>
      </c>
      <c r="F567">
        <f>IF(B567="","",IFERROR(RIGHT(B567,LEN(B567)-FIND("@",B567)),""))</f>
        <v/>
      </c>
      <c r="G567">
        <f>IF(D567="KEEP",COUNTIF($D$2:D567,"KEEP"),"")</f>
        <v/>
      </c>
      <c r="H567">
        <f>IF(D567="REMOVE",COUNTIF($D$2:D567,"REMOVE"),"")</f>
        <v/>
      </c>
      <c r="I567">
        <f>IF(E567="Gmail",COUNTIF($E$2:E567,"Gmail"),"")</f>
        <v/>
      </c>
      <c r="J567">
        <f>IF(E567="Outlook",COUNTIF($E$2:E567,"Outlook"),"")</f>
        <v/>
      </c>
      <c r="K567">
        <f>IF(E567="Domain",COUNTIF($E$2:E567,"Domain"),"")</f>
        <v/>
      </c>
    </row>
    <row r="568">
      <c r="A568" s="2" t="n"/>
      <c r="B568">
        <f>LOWER(TRIM(A568))</f>
        <v/>
      </c>
      <c r="C568">
        <f>IF(B568="","",IFERROR(INDEX('Bad Patterns'!$A$2:$A$120,MATCH(1,INDEX(--ISNUMBER(SEARCH('Bad Patterns'!$A$2:$A$120,B568)),0),0)),""))</f>
        <v/>
      </c>
      <c r="D568">
        <f>IF(B568="","",IF(C568&lt;&gt;"","REMOVE","KEEP"))</f>
        <v/>
      </c>
      <c r="E568">
        <f>IF(D568&lt;&gt;"KEEP","",IF(RIGHT(B568,10)="@gmail.com","Gmail",IF(OR(RIGHT(B568,12)="@outlook.com",RIGHT(B568,12)="@hotmail.com",RIGHT(B568,9)="@live.com"),"Outlook","Domain")))</f>
        <v/>
      </c>
      <c r="F568">
        <f>IF(B568="","",IFERROR(RIGHT(B568,LEN(B568)-FIND("@",B568)),""))</f>
        <v/>
      </c>
      <c r="G568">
        <f>IF(D568="KEEP",COUNTIF($D$2:D568,"KEEP"),"")</f>
        <v/>
      </c>
      <c r="H568">
        <f>IF(D568="REMOVE",COUNTIF($D$2:D568,"REMOVE"),"")</f>
        <v/>
      </c>
      <c r="I568">
        <f>IF(E568="Gmail",COUNTIF($E$2:E568,"Gmail"),"")</f>
        <v/>
      </c>
      <c r="J568">
        <f>IF(E568="Outlook",COUNTIF($E$2:E568,"Outlook"),"")</f>
        <v/>
      </c>
      <c r="K568">
        <f>IF(E568="Domain",COUNTIF($E$2:E568,"Domain"),"")</f>
        <v/>
      </c>
    </row>
    <row r="569">
      <c r="A569" s="2" t="n"/>
      <c r="B569">
        <f>LOWER(TRIM(A569))</f>
        <v/>
      </c>
      <c r="C569">
        <f>IF(B569="","",IFERROR(INDEX('Bad Patterns'!$A$2:$A$120,MATCH(1,INDEX(--ISNUMBER(SEARCH('Bad Patterns'!$A$2:$A$120,B569)),0),0)),""))</f>
        <v/>
      </c>
      <c r="D569">
        <f>IF(B569="","",IF(C569&lt;&gt;"","REMOVE","KEEP"))</f>
        <v/>
      </c>
      <c r="E569">
        <f>IF(D569&lt;&gt;"KEEP","",IF(RIGHT(B569,10)="@gmail.com","Gmail",IF(OR(RIGHT(B569,12)="@outlook.com",RIGHT(B569,12)="@hotmail.com",RIGHT(B569,9)="@live.com"),"Outlook","Domain")))</f>
        <v/>
      </c>
      <c r="F569">
        <f>IF(B569="","",IFERROR(RIGHT(B569,LEN(B569)-FIND("@",B569)),""))</f>
        <v/>
      </c>
      <c r="G569">
        <f>IF(D569="KEEP",COUNTIF($D$2:D569,"KEEP"),"")</f>
        <v/>
      </c>
      <c r="H569">
        <f>IF(D569="REMOVE",COUNTIF($D$2:D569,"REMOVE"),"")</f>
        <v/>
      </c>
      <c r="I569">
        <f>IF(E569="Gmail",COUNTIF($E$2:E569,"Gmail"),"")</f>
        <v/>
      </c>
      <c r="J569">
        <f>IF(E569="Outlook",COUNTIF($E$2:E569,"Outlook"),"")</f>
        <v/>
      </c>
      <c r="K569">
        <f>IF(E569="Domain",COUNTIF($E$2:E569,"Domain"),"")</f>
        <v/>
      </c>
    </row>
    <row r="570">
      <c r="A570" s="2" t="n"/>
      <c r="B570">
        <f>LOWER(TRIM(A570))</f>
        <v/>
      </c>
      <c r="C570">
        <f>IF(B570="","",IFERROR(INDEX('Bad Patterns'!$A$2:$A$120,MATCH(1,INDEX(--ISNUMBER(SEARCH('Bad Patterns'!$A$2:$A$120,B570)),0),0)),""))</f>
        <v/>
      </c>
      <c r="D570">
        <f>IF(B570="","",IF(C570&lt;&gt;"","REMOVE","KEEP"))</f>
        <v/>
      </c>
      <c r="E570">
        <f>IF(D570&lt;&gt;"KEEP","",IF(RIGHT(B570,10)="@gmail.com","Gmail",IF(OR(RIGHT(B570,12)="@outlook.com",RIGHT(B570,12)="@hotmail.com",RIGHT(B570,9)="@live.com"),"Outlook","Domain")))</f>
        <v/>
      </c>
      <c r="F570">
        <f>IF(B570="","",IFERROR(RIGHT(B570,LEN(B570)-FIND("@",B570)),""))</f>
        <v/>
      </c>
      <c r="G570">
        <f>IF(D570="KEEP",COUNTIF($D$2:D570,"KEEP"),"")</f>
        <v/>
      </c>
      <c r="H570">
        <f>IF(D570="REMOVE",COUNTIF($D$2:D570,"REMOVE"),"")</f>
        <v/>
      </c>
      <c r="I570">
        <f>IF(E570="Gmail",COUNTIF($E$2:E570,"Gmail"),"")</f>
        <v/>
      </c>
      <c r="J570">
        <f>IF(E570="Outlook",COUNTIF($E$2:E570,"Outlook"),"")</f>
        <v/>
      </c>
      <c r="K570">
        <f>IF(E570="Domain",COUNTIF($E$2:E570,"Domain"),"")</f>
        <v/>
      </c>
    </row>
    <row r="571">
      <c r="A571" s="2" t="n"/>
      <c r="B571">
        <f>LOWER(TRIM(A571))</f>
        <v/>
      </c>
      <c r="C571">
        <f>IF(B571="","",IFERROR(INDEX('Bad Patterns'!$A$2:$A$120,MATCH(1,INDEX(--ISNUMBER(SEARCH('Bad Patterns'!$A$2:$A$120,B571)),0),0)),""))</f>
        <v/>
      </c>
      <c r="D571">
        <f>IF(B571="","",IF(C571&lt;&gt;"","REMOVE","KEEP"))</f>
        <v/>
      </c>
      <c r="E571">
        <f>IF(D571&lt;&gt;"KEEP","",IF(RIGHT(B571,10)="@gmail.com","Gmail",IF(OR(RIGHT(B571,12)="@outlook.com",RIGHT(B571,12)="@hotmail.com",RIGHT(B571,9)="@live.com"),"Outlook","Domain")))</f>
        <v/>
      </c>
      <c r="F571">
        <f>IF(B571="","",IFERROR(RIGHT(B571,LEN(B571)-FIND("@",B571)),""))</f>
        <v/>
      </c>
      <c r="G571">
        <f>IF(D571="KEEP",COUNTIF($D$2:D571,"KEEP"),"")</f>
        <v/>
      </c>
      <c r="H571">
        <f>IF(D571="REMOVE",COUNTIF($D$2:D571,"REMOVE"),"")</f>
        <v/>
      </c>
      <c r="I571">
        <f>IF(E571="Gmail",COUNTIF($E$2:E571,"Gmail"),"")</f>
        <v/>
      </c>
      <c r="J571">
        <f>IF(E571="Outlook",COUNTIF($E$2:E571,"Outlook"),"")</f>
        <v/>
      </c>
      <c r="K571">
        <f>IF(E571="Domain",COUNTIF($E$2:E571,"Domain"),"")</f>
        <v/>
      </c>
    </row>
    <row r="572">
      <c r="A572" s="2" t="n"/>
      <c r="B572">
        <f>LOWER(TRIM(A572))</f>
        <v/>
      </c>
      <c r="C572">
        <f>IF(B572="","",IFERROR(INDEX('Bad Patterns'!$A$2:$A$120,MATCH(1,INDEX(--ISNUMBER(SEARCH('Bad Patterns'!$A$2:$A$120,B572)),0),0)),""))</f>
        <v/>
      </c>
      <c r="D572">
        <f>IF(B572="","",IF(C572&lt;&gt;"","REMOVE","KEEP"))</f>
        <v/>
      </c>
      <c r="E572">
        <f>IF(D572&lt;&gt;"KEEP","",IF(RIGHT(B572,10)="@gmail.com","Gmail",IF(OR(RIGHT(B572,12)="@outlook.com",RIGHT(B572,12)="@hotmail.com",RIGHT(B572,9)="@live.com"),"Outlook","Domain")))</f>
        <v/>
      </c>
      <c r="F572">
        <f>IF(B572="","",IFERROR(RIGHT(B572,LEN(B572)-FIND("@",B572)),""))</f>
        <v/>
      </c>
      <c r="G572">
        <f>IF(D572="KEEP",COUNTIF($D$2:D572,"KEEP"),"")</f>
        <v/>
      </c>
      <c r="H572">
        <f>IF(D572="REMOVE",COUNTIF($D$2:D572,"REMOVE"),"")</f>
        <v/>
      </c>
      <c r="I572">
        <f>IF(E572="Gmail",COUNTIF($E$2:E572,"Gmail"),"")</f>
        <v/>
      </c>
      <c r="J572">
        <f>IF(E572="Outlook",COUNTIF($E$2:E572,"Outlook"),"")</f>
        <v/>
      </c>
      <c r="K572">
        <f>IF(E572="Domain",COUNTIF($E$2:E572,"Domain"),"")</f>
        <v/>
      </c>
    </row>
    <row r="573">
      <c r="A573" s="2" t="n"/>
      <c r="B573">
        <f>LOWER(TRIM(A573))</f>
        <v/>
      </c>
      <c r="C573">
        <f>IF(B573="","",IFERROR(INDEX('Bad Patterns'!$A$2:$A$120,MATCH(1,INDEX(--ISNUMBER(SEARCH('Bad Patterns'!$A$2:$A$120,B573)),0),0)),""))</f>
        <v/>
      </c>
      <c r="D573">
        <f>IF(B573="","",IF(C573&lt;&gt;"","REMOVE","KEEP"))</f>
        <v/>
      </c>
      <c r="E573">
        <f>IF(D573&lt;&gt;"KEEP","",IF(RIGHT(B573,10)="@gmail.com","Gmail",IF(OR(RIGHT(B573,12)="@outlook.com",RIGHT(B573,12)="@hotmail.com",RIGHT(B573,9)="@live.com"),"Outlook","Domain")))</f>
        <v/>
      </c>
      <c r="F573">
        <f>IF(B573="","",IFERROR(RIGHT(B573,LEN(B573)-FIND("@",B573)),""))</f>
        <v/>
      </c>
      <c r="G573">
        <f>IF(D573="KEEP",COUNTIF($D$2:D573,"KEEP"),"")</f>
        <v/>
      </c>
      <c r="H573">
        <f>IF(D573="REMOVE",COUNTIF($D$2:D573,"REMOVE"),"")</f>
        <v/>
      </c>
      <c r="I573">
        <f>IF(E573="Gmail",COUNTIF($E$2:E573,"Gmail"),"")</f>
        <v/>
      </c>
      <c r="J573">
        <f>IF(E573="Outlook",COUNTIF($E$2:E573,"Outlook"),"")</f>
        <v/>
      </c>
      <c r="K573">
        <f>IF(E573="Domain",COUNTIF($E$2:E573,"Domain"),"")</f>
        <v/>
      </c>
    </row>
    <row r="574">
      <c r="A574" s="2" t="n"/>
      <c r="B574">
        <f>LOWER(TRIM(A574))</f>
        <v/>
      </c>
      <c r="C574">
        <f>IF(B574="","",IFERROR(INDEX('Bad Patterns'!$A$2:$A$120,MATCH(1,INDEX(--ISNUMBER(SEARCH('Bad Patterns'!$A$2:$A$120,B574)),0),0)),""))</f>
        <v/>
      </c>
      <c r="D574">
        <f>IF(B574="","",IF(C574&lt;&gt;"","REMOVE","KEEP"))</f>
        <v/>
      </c>
      <c r="E574">
        <f>IF(D574&lt;&gt;"KEEP","",IF(RIGHT(B574,10)="@gmail.com","Gmail",IF(OR(RIGHT(B574,12)="@outlook.com",RIGHT(B574,12)="@hotmail.com",RIGHT(B574,9)="@live.com"),"Outlook","Domain")))</f>
        <v/>
      </c>
      <c r="F574">
        <f>IF(B574="","",IFERROR(RIGHT(B574,LEN(B574)-FIND("@",B574)),""))</f>
        <v/>
      </c>
      <c r="G574">
        <f>IF(D574="KEEP",COUNTIF($D$2:D574,"KEEP"),"")</f>
        <v/>
      </c>
      <c r="H574">
        <f>IF(D574="REMOVE",COUNTIF($D$2:D574,"REMOVE"),"")</f>
        <v/>
      </c>
      <c r="I574">
        <f>IF(E574="Gmail",COUNTIF($E$2:E574,"Gmail"),"")</f>
        <v/>
      </c>
      <c r="J574">
        <f>IF(E574="Outlook",COUNTIF($E$2:E574,"Outlook"),"")</f>
        <v/>
      </c>
      <c r="K574">
        <f>IF(E574="Domain",COUNTIF($E$2:E574,"Domain"),"")</f>
        <v/>
      </c>
    </row>
    <row r="575">
      <c r="A575" s="2" t="n"/>
      <c r="B575">
        <f>LOWER(TRIM(A575))</f>
        <v/>
      </c>
      <c r="C575">
        <f>IF(B575="","",IFERROR(INDEX('Bad Patterns'!$A$2:$A$120,MATCH(1,INDEX(--ISNUMBER(SEARCH('Bad Patterns'!$A$2:$A$120,B575)),0),0)),""))</f>
        <v/>
      </c>
      <c r="D575">
        <f>IF(B575="","",IF(C575&lt;&gt;"","REMOVE","KEEP"))</f>
        <v/>
      </c>
      <c r="E575">
        <f>IF(D575&lt;&gt;"KEEP","",IF(RIGHT(B575,10)="@gmail.com","Gmail",IF(OR(RIGHT(B575,12)="@outlook.com",RIGHT(B575,12)="@hotmail.com",RIGHT(B575,9)="@live.com"),"Outlook","Domain")))</f>
        <v/>
      </c>
      <c r="F575">
        <f>IF(B575="","",IFERROR(RIGHT(B575,LEN(B575)-FIND("@",B575)),""))</f>
        <v/>
      </c>
      <c r="G575">
        <f>IF(D575="KEEP",COUNTIF($D$2:D575,"KEEP"),"")</f>
        <v/>
      </c>
      <c r="H575">
        <f>IF(D575="REMOVE",COUNTIF($D$2:D575,"REMOVE"),"")</f>
        <v/>
      </c>
      <c r="I575">
        <f>IF(E575="Gmail",COUNTIF($E$2:E575,"Gmail"),"")</f>
        <v/>
      </c>
      <c r="J575">
        <f>IF(E575="Outlook",COUNTIF($E$2:E575,"Outlook"),"")</f>
        <v/>
      </c>
      <c r="K575">
        <f>IF(E575="Domain",COUNTIF($E$2:E575,"Domain"),"")</f>
        <v/>
      </c>
    </row>
    <row r="576">
      <c r="A576" s="2" t="n"/>
      <c r="B576">
        <f>LOWER(TRIM(A576))</f>
        <v/>
      </c>
      <c r="C576">
        <f>IF(B576="","",IFERROR(INDEX('Bad Patterns'!$A$2:$A$120,MATCH(1,INDEX(--ISNUMBER(SEARCH('Bad Patterns'!$A$2:$A$120,B576)),0),0)),""))</f>
        <v/>
      </c>
      <c r="D576">
        <f>IF(B576="","",IF(C576&lt;&gt;"","REMOVE","KEEP"))</f>
        <v/>
      </c>
      <c r="E576">
        <f>IF(D576&lt;&gt;"KEEP","",IF(RIGHT(B576,10)="@gmail.com","Gmail",IF(OR(RIGHT(B576,12)="@outlook.com",RIGHT(B576,12)="@hotmail.com",RIGHT(B576,9)="@live.com"),"Outlook","Domain")))</f>
        <v/>
      </c>
      <c r="F576">
        <f>IF(B576="","",IFERROR(RIGHT(B576,LEN(B576)-FIND("@",B576)),""))</f>
        <v/>
      </c>
      <c r="G576">
        <f>IF(D576="KEEP",COUNTIF($D$2:D576,"KEEP"),"")</f>
        <v/>
      </c>
      <c r="H576">
        <f>IF(D576="REMOVE",COUNTIF($D$2:D576,"REMOVE"),"")</f>
        <v/>
      </c>
      <c r="I576">
        <f>IF(E576="Gmail",COUNTIF($E$2:E576,"Gmail"),"")</f>
        <v/>
      </c>
      <c r="J576">
        <f>IF(E576="Outlook",COUNTIF($E$2:E576,"Outlook"),"")</f>
        <v/>
      </c>
      <c r="K576">
        <f>IF(E576="Domain",COUNTIF($E$2:E576,"Domain"),"")</f>
        <v/>
      </c>
    </row>
    <row r="577">
      <c r="A577" s="2" t="n"/>
      <c r="B577">
        <f>LOWER(TRIM(A577))</f>
        <v/>
      </c>
      <c r="C577">
        <f>IF(B577="","",IFERROR(INDEX('Bad Patterns'!$A$2:$A$120,MATCH(1,INDEX(--ISNUMBER(SEARCH('Bad Patterns'!$A$2:$A$120,B577)),0),0)),""))</f>
        <v/>
      </c>
      <c r="D577">
        <f>IF(B577="","",IF(C577&lt;&gt;"","REMOVE","KEEP"))</f>
        <v/>
      </c>
      <c r="E577">
        <f>IF(D577&lt;&gt;"KEEP","",IF(RIGHT(B577,10)="@gmail.com","Gmail",IF(OR(RIGHT(B577,12)="@outlook.com",RIGHT(B577,12)="@hotmail.com",RIGHT(B577,9)="@live.com"),"Outlook","Domain")))</f>
        <v/>
      </c>
      <c r="F577">
        <f>IF(B577="","",IFERROR(RIGHT(B577,LEN(B577)-FIND("@",B577)),""))</f>
        <v/>
      </c>
      <c r="G577">
        <f>IF(D577="KEEP",COUNTIF($D$2:D577,"KEEP"),"")</f>
        <v/>
      </c>
      <c r="H577">
        <f>IF(D577="REMOVE",COUNTIF($D$2:D577,"REMOVE"),"")</f>
        <v/>
      </c>
      <c r="I577">
        <f>IF(E577="Gmail",COUNTIF($E$2:E577,"Gmail"),"")</f>
        <v/>
      </c>
      <c r="J577">
        <f>IF(E577="Outlook",COUNTIF($E$2:E577,"Outlook"),"")</f>
        <v/>
      </c>
      <c r="K577">
        <f>IF(E577="Domain",COUNTIF($E$2:E577,"Domain"),"")</f>
        <v/>
      </c>
    </row>
    <row r="578">
      <c r="A578" s="2" t="n"/>
      <c r="B578">
        <f>LOWER(TRIM(A578))</f>
        <v/>
      </c>
      <c r="C578">
        <f>IF(B578="","",IFERROR(INDEX('Bad Patterns'!$A$2:$A$120,MATCH(1,INDEX(--ISNUMBER(SEARCH('Bad Patterns'!$A$2:$A$120,B578)),0),0)),""))</f>
        <v/>
      </c>
      <c r="D578">
        <f>IF(B578="","",IF(C578&lt;&gt;"","REMOVE","KEEP"))</f>
        <v/>
      </c>
      <c r="E578">
        <f>IF(D578&lt;&gt;"KEEP","",IF(RIGHT(B578,10)="@gmail.com","Gmail",IF(OR(RIGHT(B578,12)="@outlook.com",RIGHT(B578,12)="@hotmail.com",RIGHT(B578,9)="@live.com"),"Outlook","Domain")))</f>
        <v/>
      </c>
      <c r="F578">
        <f>IF(B578="","",IFERROR(RIGHT(B578,LEN(B578)-FIND("@",B578)),""))</f>
        <v/>
      </c>
      <c r="G578">
        <f>IF(D578="KEEP",COUNTIF($D$2:D578,"KEEP"),"")</f>
        <v/>
      </c>
      <c r="H578">
        <f>IF(D578="REMOVE",COUNTIF($D$2:D578,"REMOVE"),"")</f>
        <v/>
      </c>
      <c r="I578">
        <f>IF(E578="Gmail",COUNTIF($E$2:E578,"Gmail"),"")</f>
        <v/>
      </c>
      <c r="J578">
        <f>IF(E578="Outlook",COUNTIF($E$2:E578,"Outlook"),"")</f>
        <v/>
      </c>
      <c r="K578">
        <f>IF(E578="Domain",COUNTIF($E$2:E578,"Domain"),"")</f>
        <v/>
      </c>
    </row>
    <row r="579">
      <c r="A579" s="2" t="n"/>
      <c r="B579">
        <f>LOWER(TRIM(A579))</f>
        <v/>
      </c>
      <c r="C579">
        <f>IF(B579="","",IFERROR(INDEX('Bad Patterns'!$A$2:$A$120,MATCH(1,INDEX(--ISNUMBER(SEARCH('Bad Patterns'!$A$2:$A$120,B579)),0),0)),""))</f>
        <v/>
      </c>
      <c r="D579">
        <f>IF(B579="","",IF(C579&lt;&gt;"","REMOVE","KEEP"))</f>
        <v/>
      </c>
      <c r="E579">
        <f>IF(D579&lt;&gt;"KEEP","",IF(RIGHT(B579,10)="@gmail.com","Gmail",IF(OR(RIGHT(B579,12)="@outlook.com",RIGHT(B579,12)="@hotmail.com",RIGHT(B579,9)="@live.com"),"Outlook","Domain")))</f>
        <v/>
      </c>
      <c r="F579">
        <f>IF(B579="","",IFERROR(RIGHT(B579,LEN(B579)-FIND("@",B579)),""))</f>
        <v/>
      </c>
      <c r="G579">
        <f>IF(D579="KEEP",COUNTIF($D$2:D579,"KEEP"),"")</f>
        <v/>
      </c>
      <c r="H579">
        <f>IF(D579="REMOVE",COUNTIF($D$2:D579,"REMOVE"),"")</f>
        <v/>
      </c>
      <c r="I579">
        <f>IF(E579="Gmail",COUNTIF($E$2:E579,"Gmail"),"")</f>
        <v/>
      </c>
      <c r="J579">
        <f>IF(E579="Outlook",COUNTIF($E$2:E579,"Outlook"),"")</f>
        <v/>
      </c>
      <c r="K579">
        <f>IF(E579="Domain",COUNTIF($E$2:E579,"Domain"),"")</f>
        <v/>
      </c>
    </row>
    <row r="580">
      <c r="A580" s="2" t="n"/>
      <c r="B580">
        <f>LOWER(TRIM(A580))</f>
        <v/>
      </c>
      <c r="C580">
        <f>IF(B580="","",IFERROR(INDEX('Bad Patterns'!$A$2:$A$120,MATCH(1,INDEX(--ISNUMBER(SEARCH('Bad Patterns'!$A$2:$A$120,B580)),0),0)),""))</f>
        <v/>
      </c>
      <c r="D580">
        <f>IF(B580="","",IF(C580&lt;&gt;"","REMOVE","KEEP"))</f>
        <v/>
      </c>
      <c r="E580">
        <f>IF(D580&lt;&gt;"KEEP","",IF(RIGHT(B580,10)="@gmail.com","Gmail",IF(OR(RIGHT(B580,12)="@outlook.com",RIGHT(B580,12)="@hotmail.com",RIGHT(B580,9)="@live.com"),"Outlook","Domain")))</f>
        <v/>
      </c>
      <c r="F580">
        <f>IF(B580="","",IFERROR(RIGHT(B580,LEN(B580)-FIND("@",B580)),""))</f>
        <v/>
      </c>
      <c r="G580">
        <f>IF(D580="KEEP",COUNTIF($D$2:D580,"KEEP"),"")</f>
        <v/>
      </c>
      <c r="H580">
        <f>IF(D580="REMOVE",COUNTIF($D$2:D580,"REMOVE"),"")</f>
        <v/>
      </c>
      <c r="I580">
        <f>IF(E580="Gmail",COUNTIF($E$2:E580,"Gmail"),"")</f>
        <v/>
      </c>
      <c r="J580">
        <f>IF(E580="Outlook",COUNTIF($E$2:E580,"Outlook"),"")</f>
        <v/>
      </c>
      <c r="K580">
        <f>IF(E580="Domain",COUNTIF($E$2:E580,"Domain"),"")</f>
        <v/>
      </c>
    </row>
    <row r="581">
      <c r="A581" s="2" t="n"/>
      <c r="B581">
        <f>LOWER(TRIM(A581))</f>
        <v/>
      </c>
      <c r="C581">
        <f>IF(B581="","",IFERROR(INDEX('Bad Patterns'!$A$2:$A$120,MATCH(1,INDEX(--ISNUMBER(SEARCH('Bad Patterns'!$A$2:$A$120,B581)),0),0)),""))</f>
        <v/>
      </c>
      <c r="D581">
        <f>IF(B581="","",IF(C581&lt;&gt;"","REMOVE","KEEP"))</f>
        <v/>
      </c>
      <c r="E581">
        <f>IF(D581&lt;&gt;"KEEP","",IF(RIGHT(B581,10)="@gmail.com","Gmail",IF(OR(RIGHT(B581,12)="@outlook.com",RIGHT(B581,12)="@hotmail.com",RIGHT(B581,9)="@live.com"),"Outlook","Domain")))</f>
        <v/>
      </c>
      <c r="F581">
        <f>IF(B581="","",IFERROR(RIGHT(B581,LEN(B581)-FIND("@",B581)),""))</f>
        <v/>
      </c>
      <c r="G581">
        <f>IF(D581="KEEP",COUNTIF($D$2:D581,"KEEP"),"")</f>
        <v/>
      </c>
      <c r="H581">
        <f>IF(D581="REMOVE",COUNTIF($D$2:D581,"REMOVE"),"")</f>
        <v/>
      </c>
      <c r="I581">
        <f>IF(E581="Gmail",COUNTIF($E$2:E581,"Gmail"),"")</f>
        <v/>
      </c>
      <c r="J581">
        <f>IF(E581="Outlook",COUNTIF($E$2:E581,"Outlook"),"")</f>
        <v/>
      </c>
      <c r="K581">
        <f>IF(E581="Domain",COUNTIF($E$2:E581,"Domain"),"")</f>
        <v/>
      </c>
    </row>
    <row r="582">
      <c r="A582" s="2" t="n"/>
      <c r="B582">
        <f>LOWER(TRIM(A582))</f>
        <v/>
      </c>
      <c r="C582">
        <f>IF(B582="","",IFERROR(INDEX('Bad Patterns'!$A$2:$A$120,MATCH(1,INDEX(--ISNUMBER(SEARCH('Bad Patterns'!$A$2:$A$120,B582)),0),0)),""))</f>
        <v/>
      </c>
      <c r="D582">
        <f>IF(B582="","",IF(C582&lt;&gt;"","REMOVE","KEEP"))</f>
        <v/>
      </c>
      <c r="E582">
        <f>IF(D582&lt;&gt;"KEEP","",IF(RIGHT(B582,10)="@gmail.com","Gmail",IF(OR(RIGHT(B582,12)="@outlook.com",RIGHT(B582,12)="@hotmail.com",RIGHT(B582,9)="@live.com"),"Outlook","Domain")))</f>
        <v/>
      </c>
      <c r="F582">
        <f>IF(B582="","",IFERROR(RIGHT(B582,LEN(B582)-FIND("@",B582)),""))</f>
        <v/>
      </c>
      <c r="G582">
        <f>IF(D582="KEEP",COUNTIF($D$2:D582,"KEEP"),"")</f>
        <v/>
      </c>
      <c r="H582">
        <f>IF(D582="REMOVE",COUNTIF($D$2:D582,"REMOVE"),"")</f>
        <v/>
      </c>
      <c r="I582">
        <f>IF(E582="Gmail",COUNTIF($E$2:E582,"Gmail"),"")</f>
        <v/>
      </c>
      <c r="J582">
        <f>IF(E582="Outlook",COUNTIF($E$2:E582,"Outlook"),"")</f>
        <v/>
      </c>
      <c r="K582">
        <f>IF(E582="Domain",COUNTIF($E$2:E582,"Domain"),"")</f>
        <v/>
      </c>
    </row>
    <row r="583">
      <c r="A583" s="2" t="n"/>
      <c r="B583">
        <f>LOWER(TRIM(A583))</f>
        <v/>
      </c>
      <c r="C583">
        <f>IF(B583="","",IFERROR(INDEX('Bad Patterns'!$A$2:$A$120,MATCH(1,INDEX(--ISNUMBER(SEARCH('Bad Patterns'!$A$2:$A$120,B583)),0),0)),""))</f>
        <v/>
      </c>
      <c r="D583">
        <f>IF(B583="","",IF(C583&lt;&gt;"","REMOVE","KEEP"))</f>
        <v/>
      </c>
      <c r="E583">
        <f>IF(D583&lt;&gt;"KEEP","",IF(RIGHT(B583,10)="@gmail.com","Gmail",IF(OR(RIGHT(B583,12)="@outlook.com",RIGHT(B583,12)="@hotmail.com",RIGHT(B583,9)="@live.com"),"Outlook","Domain")))</f>
        <v/>
      </c>
      <c r="F583">
        <f>IF(B583="","",IFERROR(RIGHT(B583,LEN(B583)-FIND("@",B583)),""))</f>
        <v/>
      </c>
      <c r="G583">
        <f>IF(D583="KEEP",COUNTIF($D$2:D583,"KEEP"),"")</f>
        <v/>
      </c>
      <c r="H583">
        <f>IF(D583="REMOVE",COUNTIF($D$2:D583,"REMOVE"),"")</f>
        <v/>
      </c>
      <c r="I583">
        <f>IF(E583="Gmail",COUNTIF($E$2:E583,"Gmail"),"")</f>
        <v/>
      </c>
      <c r="J583">
        <f>IF(E583="Outlook",COUNTIF($E$2:E583,"Outlook"),"")</f>
        <v/>
      </c>
      <c r="K583">
        <f>IF(E583="Domain",COUNTIF($E$2:E583,"Domain"),"")</f>
        <v/>
      </c>
    </row>
    <row r="584">
      <c r="A584" s="2" t="n"/>
      <c r="B584">
        <f>LOWER(TRIM(A584))</f>
        <v/>
      </c>
      <c r="C584">
        <f>IF(B584="","",IFERROR(INDEX('Bad Patterns'!$A$2:$A$120,MATCH(1,INDEX(--ISNUMBER(SEARCH('Bad Patterns'!$A$2:$A$120,B584)),0),0)),""))</f>
        <v/>
      </c>
      <c r="D584">
        <f>IF(B584="","",IF(C584&lt;&gt;"","REMOVE","KEEP"))</f>
        <v/>
      </c>
      <c r="E584">
        <f>IF(D584&lt;&gt;"KEEP","",IF(RIGHT(B584,10)="@gmail.com","Gmail",IF(OR(RIGHT(B584,12)="@outlook.com",RIGHT(B584,12)="@hotmail.com",RIGHT(B584,9)="@live.com"),"Outlook","Domain")))</f>
        <v/>
      </c>
      <c r="F584">
        <f>IF(B584="","",IFERROR(RIGHT(B584,LEN(B584)-FIND("@",B584)),""))</f>
        <v/>
      </c>
      <c r="G584">
        <f>IF(D584="KEEP",COUNTIF($D$2:D584,"KEEP"),"")</f>
        <v/>
      </c>
      <c r="H584">
        <f>IF(D584="REMOVE",COUNTIF($D$2:D584,"REMOVE"),"")</f>
        <v/>
      </c>
      <c r="I584">
        <f>IF(E584="Gmail",COUNTIF($E$2:E584,"Gmail"),"")</f>
        <v/>
      </c>
      <c r="J584">
        <f>IF(E584="Outlook",COUNTIF($E$2:E584,"Outlook"),"")</f>
        <v/>
      </c>
      <c r="K584">
        <f>IF(E584="Domain",COUNTIF($E$2:E584,"Domain"),"")</f>
        <v/>
      </c>
    </row>
    <row r="585">
      <c r="A585" s="2" t="n"/>
      <c r="B585">
        <f>LOWER(TRIM(A585))</f>
        <v/>
      </c>
      <c r="C585">
        <f>IF(B585="","",IFERROR(INDEX('Bad Patterns'!$A$2:$A$120,MATCH(1,INDEX(--ISNUMBER(SEARCH('Bad Patterns'!$A$2:$A$120,B585)),0),0)),""))</f>
        <v/>
      </c>
      <c r="D585">
        <f>IF(B585="","",IF(C585&lt;&gt;"","REMOVE","KEEP"))</f>
        <v/>
      </c>
      <c r="E585">
        <f>IF(D585&lt;&gt;"KEEP","",IF(RIGHT(B585,10)="@gmail.com","Gmail",IF(OR(RIGHT(B585,12)="@outlook.com",RIGHT(B585,12)="@hotmail.com",RIGHT(B585,9)="@live.com"),"Outlook","Domain")))</f>
        <v/>
      </c>
      <c r="F585">
        <f>IF(B585="","",IFERROR(RIGHT(B585,LEN(B585)-FIND("@",B585)),""))</f>
        <v/>
      </c>
      <c r="G585">
        <f>IF(D585="KEEP",COUNTIF($D$2:D585,"KEEP"),"")</f>
        <v/>
      </c>
      <c r="H585">
        <f>IF(D585="REMOVE",COUNTIF($D$2:D585,"REMOVE"),"")</f>
        <v/>
      </c>
      <c r="I585">
        <f>IF(E585="Gmail",COUNTIF($E$2:E585,"Gmail"),"")</f>
        <v/>
      </c>
      <c r="J585">
        <f>IF(E585="Outlook",COUNTIF($E$2:E585,"Outlook"),"")</f>
        <v/>
      </c>
      <c r="K585">
        <f>IF(E585="Domain",COUNTIF($E$2:E585,"Domain"),"")</f>
        <v/>
      </c>
    </row>
    <row r="586">
      <c r="A586" s="2" t="n"/>
      <c r="B586">
        <f>LOWER(TRIM(A586))</f>
        <v/>
      </c>
      <c r="C586">
        <f>IF(B586="","",IFERROR(INDEX('Bad Patterns'!$A$2:$A$120,MATCH(1,INDEX(--ISNUMBER(SEARCH('Bad Patterns'!$A$2:$A$120,B586)),0),0)),""))</f>
        <v/>
      </c>
      <c r="D586">
        <f>IF(B586="","",IF(C586&lt;&gt;"","REMOVE","KEEP"))</f>
        <v/>
      </c>
      <c r="E586">
        <f>IF(D586&lt;&gt;"KEEP","",IF(RIGHT(B586,10)="@gmail.com","Gmail",IF(OR(RIGHT(B586,12)="@outlook.com",RIGHT(B586,12)="@hotmail.com",RIGHT(B586,9)="@live.com"),"Outlook","Domain")))</f>
        <v/>
      </c>
      <c r="F586">
        <f>IF(B586="","",IFERROR(RIGHT(B586,LEN(B586)-FIND("@",B586)),""))</f>
        <v/>
      </c>
      <c r="G586">
        <f>IF(D586="KEEP",COUNTIF($D$2:D586,"KEEP"),"")</f>
        <v/>
      </c>
      <c r="H586">
        <f>IF(D586="REMOVE",COUNTIF($D$2:D586,"REMOVE"),"")</f>
        <v/>
      </c>
      <c r="I586">
        <f>IF(E586="Gmail",COUNTIF($E$2:E586,"Gmail"),"")</f>
        <v/>
      </c>
      <c r="J586">
        <f>IF(E586="Outlook",COUNTIF($E$2:E586,"Outlook"),"")</f>
        <v/>
      </c>
      <c r="K586">
        <f>IF(E586="Domain",COUNTIF($E$2:E586,"Domain"),"")</f>
        <v/>
      </c>
    </row>
    <row r="587">
      <c r="A587" s="2" t="n"/>
      <c r="B587">
        <f>LOWER(TRIM(A587))</f>
        <v/>
      </c>
      <c r="C587">
        <f>IF(B587="","",IFERROR(INDEX('Bad Patterns'!$A$2:$A$120,MATCH(1,INDEX(--ISNUMBER(SEARCH('Bad Patterns'!$A$2:$A$120,B587)),0),0)),""))</f>
        <v/>
      </c>
      <c r="D587">
        <f>IF(B587="","",IF(C587&lt;&gt;"","REMOVE","KEEP"))</f>
        <v/>
      </c>
      <c r="E587">
        <f>IF(D587&lt;&gt;"KEEP","",IF(RIGHT(B587,10)="@gmail.com","Gmail",IF(OR(RIGHT(B587,12)="@outlook.com",RIGHT(B587,12)="@hotmail.com",RIGHT(B587,9)="@live.com"),"Outlook","Domain")))</f>
        <v/>
      </c>
      <c r="F587">
        <f>IF(B587="","",IFERROR(RIGHT(B587,LEN(B587)-FIND("@",B587)),""))</f>
        <v/>
      </c>
      <c r="G587">
        <f>IF(D587="KEEP",COUNTIF($D$2:D587,"KEEP"),"")</f>
        <v/>
      </c>
      <c r="H587">
        <f>IF(D587="REMOVE",COUNTIF($D$2:D587,"REMOVE"),"")</f>
        <v/>
      </c>
      <c r="I587">
        <f>IF(E587="Gmail",COUNTIF($E$2:E587,"Gmail"),"")</f>
        <v/>
      </c>
      <c r="J587">
        <f>IF(E587="Outlook",COUNTIF($E$2:E587,"Outlook"),"")</f>
        <v/>
      </c>
      <c r="K587">
        <f>IF(E587="Domain",COUNTIF($E$2:E587,"Domain"),"")</f>
        <v/>
      </c>
    </row>
    <row r="588">
      <c r="A588" s="2" t="n"/>
      <c r="B588">
        <f>LOWER(TRIM(A588))</f>
        <v/>
      </c>
      <c r="C588">
        <f>IF(B588="","",IFERROR(INDEX('Bad Patterns'!$A$2:$A$120,MATCH(1,INDEX(--ISNUMBER(SEARCH('Bad Patterns'!$A$2:$A$120,B588)),0),0)),""))</f>
        <v/>
      </c>
      <c r="D588">
        <f>IF(B588="","",IF(C588&lt;&gt;"","REMOVE","KEEP"))</f>
        <v/>
      </c>
      <c r="E588">
        <f>IF(D588&lt;&gt;"KEEP","",IF(RIGHT(B588,10)="@gmail.com","Gmail",IF(OR(RIGHT(B588,12)="@outlook.com",RIGHT(B588,12)="@hotmail.com",RIGHT(B588,9)="@live.com"),"Outlook","Domain")))</f>
        <v/>
      </c>
      <c r="F588">
        <f>IF(B588="","",IFERROR(RIGHT(B588,LEN(B588)-FIND("@",B588)),""))</f>
        <v/>
      </c>
      <c r="G588">
        <f>IF(D588="KEEP",COUNTIF($D$2:D588,"KEEP"),"")</f>
        <v/>
      </c>
      <c r="H588">
        <f>IF(D588="REMOVE",COUNTIF($D$2:D588,"REMOVE"),"")</f>
        <v/>
      </c>
      <c r="I588">
        <f>IF(E588="Gmail",COUNTIF($E$2:E588,"Gmail"),"")</f>
        <v/>
      </c>
      <c r="J588">
        <f>IF(E588="Outlook",COUNTIF($E$2:E588,"Outlook"),"")</f>
        <v/>
      </c>
      <c r="K588">
        <f>IF(E588="Domain",COUNTIF($E$2:E588,"Domain"),"")</f>
        <v/>
      </c>
    </row>
    <row r="589">
      <c r="A589" s="2" t="n"/>
      <c r="B589">
        <f>LOWER(TRIM(A589))</f>
        <v/>
      </c>
      <c r="C589">
        <f>IF(B589="","",IFERROR(INDEX('Bad Patterns'!$A$2:$A$120,MATCH(1,INDEX(--ISNUMBER(SEARCH('Bad Patterns'!$A$2:$A$120,B589)),0),0)),""))</f>
        <v/>
      </c>
      <c r="D589">
        <f>IF(B589="","",IF(C589&lt;&gt;"","REMOVE","KEEP"))</f>
        <v/>
      </c>
      <c r="E589">
        <f>IF(D589&lt;&gt;"KEEP","",IF(RIGHT(B589,10)="@gmail.com","Gmail",IF(OR(RIGHT(B589,12)="@outlook.com",RIGHT(B589,12)="@hotmail.com",RIGHT(B589,9)="@live.com"),"Outlook","Domain")))</f>
        <v/>
      </c>
      <c r="F589">
        <f>IF(B589="","",IFERROR(RIGHT(B589,LEN(B589)-FIND("@",B589)),""))</f>
        <v/>
      </c>
      <c r="G589">
        <f>IF(D589="KEEP",COUNTIF($D$2:D589,"KEEP"),"")</f>
        <v/>
      </c>
      <c r="H589">
        <f>IF(D589="REMOVE",COUNTIF($D$2:D589,"REMOVE"),"")</f>
        <v/>
      </c>
      <c r="I589">
        <f>IF(E589="Gmail",COUNTIF($E$2:E589,"Gmail"),"")</f>
        <v/>
      </c>
      <c r="J589">
        <f>IF(E589="Outlook",COUNTIF($E$2:E589,"Outlook"),"")</f>
        <v/>
      </c>
      <c r="K589">
        <f>IF(E589="Domain",COUNTIF($E$2:E589,"Domain"),"")</f>
        <v/>
      </c>
    </row>
    <row r="590">
      <c r="A590" s="2" t="n"/>
      <c r="B590">
        <f>LOWER(TRIM(A590))</f>
        <v/>
      </c>
      <c r="C590">
        <f>IF(B590="","",IFERROR(INDEX('Bad Patterns'!$A$2:$A$120,MATCH(1,INDEX(--ISNUMBER(SEARCH('Bad Patterns'!$A$2:$A$120,B590)),0),0)),""))</f>
        <v/>
      </c>
      <c r="D590">
        <f>IF(B590="","",IF(C590&lt;&gt;"","REMOVE","KEEP"))</f>
        <v/>
      </c>
      <c r="E590">
        <f>IF(D590&lt;&gt;"KEEP","",IF(RIGHT(B590,10)="@gmail.com","Gmail",IF(OR(RIGHT(B590,12)="@outlook.com",RIGHT(B590,12)="@hotmail.com",RIGHT(B590,9)="@live.com"),"Outlook","Domain")))</f>
        <v/>
      </c>
      <c r="F590">
        <f>IF(B590="","",IFERROR(RIGHT(B590,LEN(B590)-FIND("@",B590)),""))</f>
        <v/>
      </c>
      <c r="G590">
        <f>IF(D590="KEEP",COUNTIF($D$2:D590,"KEEP"),"")</f>
        <v/>
      </c>
      <c r="H590">
        <f>IF(D590="REMOVE",COUNTIF($D$2:D590,"REMOVE"),"")</f>
        <v/>
      </c>
      <c r="I590">
        <f>IF(E590="Gmail",COUNTIF($E$2:E590,"Gmail"),"")</f>
        <v/>
      </c>
      <c r="J590">
        <f>IF(E590="Outlook",COUNTIF($E$2:E590,"Outlook"),"")</f>
        <v/>
      </c>
      <c r="K590">
        <f>IF(E590="Domain",COUNTIF($E$2:E590,"Domain"),"")</f>
        <v/>
      </c>
    </row>
    <row r="591">
      <c r="A591" s="2" t="n"/>
      <c r="B591">
        <f>LOWER(TRIM(A591))</f>
        <v/>
      </c>
      <c r="C591">
        <f>IF(B591="","",IFERROR(INDEX('Bad Patterns'!$A$2:$A$120,MATCH(1,INDEX(--ISNUMBER(SEARCH('Bad Patterns'!$A$2:$A$120,B591)),0),0)),""))</f>
        <v/>
      </c>
      <c r="D591">
        <f>IF(B591="","",IF(C591&lt;&gt;"","REMOVE","KEEP"))</f>
        <v/>
      </c>
      <c r="E591">
        <f>IF(D591&lt;&gt;"KEEP","",IF(RIGHT(B591,10)="@gmail.com","Gmail",IF(OR(RIGHT(B591,12)="@outlook.com",RIGHT(B591,12)="@hotmail.com",RIGHT(B591,9)="@live.com"),"Outlook","Domain")))</f>
        <v/>
      </c>
      <c r="F591">
        <f>IF(B591="","",IFERROR(RIGHT(B591,LEN(B591)-FIND("@",B591)),""))</f>
        <v/>
      </c>
      <c r="G591">
        <f>IF(D591="KEEP",COUNTIF($D$2:D591,"KEEP"),"")</f>
        <v/>
      </c>
      <c r="H591">
        <f>IF(D591="REMOVE",COUNTIF($D$2:D591,"REMOVE"),"")</f>
        <v/>
      </c>
      <c r="I591">
        <f>IF(E591="Gmail",COUNTIF($E$2:E591,"Gmail"),"")</f>
        <v/>
      </c>
      <c r="J591">
        <f>IF(E591="Outlook",COUNTIF($E$2:E591,"Outlook"),"")</f>
        <v/>
      </c>
      <c r="K591">
        <f>IF(E591="Domain",COUNTIF($E$2:E591,"Domain"),"")</f>
        <v/>
      </c>
    </row>
    <row r="592">
      <c r="A592" s="2" t="n"/>
      <c r="B592">
        <f>LOWER(TRIM(A592))</f>
        <v/>
      </c>
      <c r="C592">
        <f>IF(B592="","",IFERROR(INDEX('Bad Patterns'!$A$2:$A$120,MATCH(1,INDEX(--ISNUMBER(SEARCH('Bad Patterns'!$A$2:$A$120,B592)),0),0)),""))</f>
        <v/>
      </c>
      <c r="D592">
        <f>IF(B592="","",IF(C592&lt;&gt;"","REMOVE","KEEP"))</f>
        <v/>
      </c>
      <c r="E592">
        <f>IF(D592&lt;&gt;"KEEP","",IF(RIGHT(B592,10)="@gmail.com","Gmail",IF(OR(RIGHT(B592,12)="@outlook.com",RIGHT(B592,12)="@hotmail.com",RIGHT(B592,9)="@live.com"),"Outlook","Domain")))</f>
        <v/>
      </c>
      <c r="F592">
        <f>IF(B592="","",IFERROR(RIGHT(B592,LEN(B592)-FIND("@",B592)),""))</f>
        <v/>
      </c>
      <c r="G592">
        <f>IF(D592="KEEP",COUNTIF($D$2:D592,"KEEP"),"")</f>
        <v/>
      </c>
      <c r="H592">
        <f>IF(D592="REMOVE",COUNTIF($D$2:D592,"REMOVE"),"")</f>
        <v/>
      </c>
      <c r="I592">
        <f>IF(E592="Gmail",COUNTIF($E$2:E592,"Gmail"),"")</f>
        <v/>
      </c>
      <c r="J592">
        <f>IF(E592="Outlook",COUNTIF($E$2:E592,"Outlook"),"")</f>
        <v/>
      </c>
      <c r="K592">
        <f>IF(E592="Domain",COUNTIF($E$2:E592,"Domain"),"")</f>
        <v/>
      </c>
    </row>
    <row r="593">
      <c r="A593" s="2" t="n"/>
      <c r="B593">
        <f>LOWER(TRIM(A593))</f>
        <v/>
      </c>
      <c r="C593">
        <f>IF(B593="","",IFERROR(INDEX('Bad Patterns'!$A$2:$A$120,MATCH(1,INDEX(--ISNUMBER(SEARCH('Bad Patterns'!$A$2:$A$120,B593)),0),0)),""))</f>
        <v/>
      </c>
      <c r="D593">
        <f>IF(B593="","",IF(C593&lt;&gt;"","REMOVE","KEEP"))</f>
        <v/>
      </c>
      <c r="E593">
        <f>IF(D593&lt;&gt;"KEEP","",IF(RIGHT(B593,10)="@gmail.com","Gmail",IF(OR(RIGHT(B593,12)="@outlook.com",RIGHT(B593,12)="@hotmail.com",RIGHT(B593,9)="@live.com"),"Outlook","Domain")))</f>
        <v/>
      </c>
      <c r="F593">
        <f>IF(B593="","",IFERROR(RIGHT(B593,LEN(B593)-FIND("@",B593)),""))</f>
        <v/>
      </c>
      <c r="G593">
        <f>IF(D593="KEEP",COUNTIF($D$2:D593,"KEEP"),"")</f>
        <v/>
      </c>
      <c r="H593">
        <f>IF(D593="REMOVE",COUNTIF($D$2:D593,"REMOVE"),"")</f>
        <v/>
      </c>
      <c r="I593">
        <f>IF(E593="Gmail",COUNTIF($E$2:E593,"Gmail"),"")</f>
        <v/>
      </c>
      <c r="J593">
        <f>IF(E593="Outlook",COUNTIF($E$2:E593,"Outlook"),"")</f>
        <v/>
      </c>
      <c r="K593">
        <f>IF(E593="Domain",COUNTIF($E$2:E593,"Domain"),"")</f>
        <v/>
      </c>
    </row>
    <row r="594">
      <c r="A594" s="2" t="n"/>
      <c r="B594">
        <f>LOWER(TRIM(A594))</f>
        <v/>
      </c>
      <c r="C594">
        <f>IF(B594="","",IFERROR(INDEX('Bad Patterns'!$A$2:$A$120,MATCH(1,INDEX(--ISNUMBER(SEARCH('Bad Patterns'!$A$2:$A$120,B594)),0),0)),""))</f>
        <v/>
      </c>
      <c r="D594">
        <f>IF(B594="","",IF(C594&lt;&gt;"","REMOVE","KEEP"))</f>
        <v/>
      </c>
      <c r="E594">
        <f>IF(D594&lt;&gt;"KEEP","",IF(RIGHT(B594,10)="@gmail.com","Gmail",IF(OR(RIGHT(B594,12)="@outlook.com",RIGHT(B594,12)="@hotmail.com",RIGHT(B594,9)="@live.com"),"Outlook","Domain")))</f>
        <v/>
      </c>
      <c r="F594">
        <f>IF(B594="","",IFERROR(RIGHT(B594,LEN(B594)-FIND("@",B594)),""))</f>
        <v/>
      </c>
      <c r="G594">
        <f>IF(D594="KEEP",COUNTIF($D$2:D594,"KEEP"),"")</f>
        <v/>
      </c>
      <c r="H594">
        <f>IF(D594="REMOVE",COUNTIF($D$2:D594,"REMOVE"),"")</f>
        <v/>
      </c>
      <c r="I594">
        <f>IF(E594="Gmail",COUNTIF($E$2:E594,"Gmail"),"")</f>
        <v/>
      </c>
      <c r="J594">
        <f>IF(E594="Outlook",COUNTIF($E$2:E594,"Outlook"),"")</f>
        <v/>
      </c>
      <c r="K594">
        <f>IF(E594="Domain",COUNTIF($E$2:E594,"Domain"),"")</f>
        <v/>
      </c>
    </row>
    <row r="595">
      <c r="A595" s="2" t="n"/>
      <c r="B595">
        <f>LOWER(TRIM(A595))</f>
        <v/>
      </c>
      <c r="C595">
        <f>IF(B595="","",IFERROR(INDEX('Bad Patterns'!$A$2:$A$120,MATCH(1,INDEX(--ISNUMBER(SEARCH('Bad Patterns'!$A$2:$A$120,B595)),0),0)),""))</f>
        <v/>
      </c>
      <c r="D595">
        <f>IF(B595="","",IF(C595&lt;&gt;"","REMOVE","KEEP"))</f>
        <v/>
      </c>
      <c r="E595">
        <f>IF(D595&lt;&gt;"KEEP","",IF(RIGHT(B595,10)="@gmail.com","Gmail",IF(OR(RIGHT(B595,12)="@outlook.com",RIGHT(B595,12)="@hotmail.com",RIGHT(B595,9)="@live.com"),"Outlook","Domain")))</f>
        <v/>
      </c>
      <c r="F595">
        <f>IF(B595="","",IFERROR(RIGHT(B595,LEN(B595)-FIND("@",B595)),""))</f>
        <v/>
      </c>
      <c r="G595">
        <f>IF(D595="KEEP",COUNTIF($D$2:D595,"KEEP"),"")</f>
        <v/>
      </c>
      <c r="H595">
        <f>IF(D595="REMOVE",COUNTIF($D$2:D595,"REMOVE"),"")</f>
        <v/>
      </c>
      <c r="I595">
        <f>IF(E595="Gmail",COUNTIF($E$2:E595,"Gmail"),"")</f>
        <v/>
      </c>
      <c r="J595">
        <f>IF(E595="Outlook",COUNTIF($E$2:E595,"Outlook"),"")</f>
        <v/>
      </c>
      <c r="K595">
        <f>IF(E595="Domain",COUNTIF($E$2:E595,"Domain"),"")</f>
        <v/>
      </c>
    </row>
    <row r="596">
      <c r="A596" s="2" t="n"/>
      <c r="B596">
        <f>LOWER(TRIM(A596))</f>
        <v/>
      </c>
      <c r="C596">
        <f>IF(B596="","",IFERROR(INDEX('Bad Patterns'!$A$2:$A$120,MATCH(1,INDEX(--ISNUMBER(SEARCH('Bad Patterns'!$A$2:$A$120,B596)),0),0)),""))</f>
        <v/>
      </c>
      <c r="D596">
        <f>IF(B596="","",IF(C596&lt;&gt;"","REMOVE","KEEP"))</f>
        <v/>
      </c>
      <c r="E596">
        <f>IF(D596&lt;&gt;"KEEP","",IF(RIGHT(B596,10)="@gmail.com","Gmail",IF(OR(RIGHT(B596,12)="@outlook.com",RIGHT(B596,12)="@hotmail.com",RIGHT(B596,9)="@live.com"),"Outlook","Domain")))</f>
        <v/>
      </c>
      <c r="F596">
        <f>IF(B596="","",IFERROR(RIGHT(B596,LEN(B596)-FIND("@",B596)),""))</f>
        <v/>
      </c>
      <c r="G596">
        <f>IF(D596="KEEP",COUNTIF($D$2:D596,"KEEP"),"")</f>
        <v/>
      </c>
      <c r="H596">
        <f>IF(D596="REMOVE",COUNTIF($D$2:D596,"REMOVE"),"")</f>
        <v/>
      </c>
      <c r="I596">
        <f>IF(E596="Gmail",COUNTIF($E$2:E596,"Gmail"),"")</f>
        <v/>
      </c>
      <c r="J596">
        <f>IF(E596="Outlook",COUNTIF($E$2:E596,"Outlook"),"")</f>
        <v/>
      </c>
      <c r="K596">
        <f>IF(E596="Domain",COUNTIF($E$2:E596,"Domain"),"")</f>
        <v/>
      </c>
    </row>
    <row r="597">
      <c r="A597" s="2" t="n"/>
      <c r="B597">
        <f>LOWER(TRIM(A597))</f>
        <v/>
      </c>
      <c r="C597">
        <f>IF(B597="","",IFERROR(INDEX('Bad Patterns'!$A$2:$A$120,MATCH(1,INDEX(--ISNUMBER(SEARCH('Bad Patterns'!$A$2:$A$120,B597)),0),0)),""))</f>
        <v/>
      </c>
      <c r="D597">
        <f>IF(B597="","",IF(C597&lt;&gt;"","REMOVE","KEEP"))</f>
        <v/>
      </c>
      <c r="E597">
        <f>IF(D597&lt;&gt;"KEEP","",IF(RIGHT(B597,10)="@gmail.com","Gmail",IF(OR(RIGHT(B597,12)="@outlook.com",RIGHT(B597,12)="@hotmail.com",RIGHT(B597,9)="@live.com"),"Outlook","Domain")))</f>
        <v/>
      </c>
      <c r="F597">
        <f>IF(B597="","",IFERROR(RIGHT(B597,LEN(B597)-FIND("@",B597)),""))</f>
        <v/>
      </c>
      <c r="G597">
        <f>IF(D597="KEEP",COUNTIF($D$2:D597,"KEEP"),"")</f>
        <v/>
      </c>
      <c r="H597">
        <f>IF(D597="REMOVE",COUNTIF($D$2:D597,"REMOVE"),"")</f>
        <v/>
      </c>
      <c r="I597">
        <f>IF(E597="Gmail",COUNTIF($E$2:E597,"Gmail"),"")</f>
        <v/>
      </c>
      <c r="J597">
        <f>IF(E597="Outlook",COUNTIF($E$2:E597,"Outlook"),"")</f>
        <v/>
      </c>
      <c r="K597">
        <f>IF(E597="Domain",COUNTIF($E$2:E597,"Domain"),"")</f>
        <v/>
      </c>
    </row>
    <row r="598">
      <c r="A598" s="2" t="n"/>
      <c r="B598">
        <f>LOWER(TRIM(A598))</f>
        <v/>
      </c>
      <c r="C598">
        <f>IF(B598="","",IFERROR(INDEX('Bad Patterns'!$A$2:$A$120,MATCH(1,INDEX(--ISNUMBER(SEARCH('Bad Patterns'!$A$2:$A$120,B598)),0),0)),""))</f>
        <v/>
      </c>
      <c r="D598">
        <f>IF(B598="","",IF(C598&lt;&gt;"","REMOVE","KEEP"))</f>
        <v/>
      </c>
      <c r="E598">
        <f>IF(D598&lt;&gt;"KEEP","",IF(RIGHT(B598,10)="@gmail.com","Gmail",IF(OR(RIGHT(B598,12)="@outlook.com",RIGHT(B598,12)="@hotmail.com",RIGHT(B598,9)="@live.com"),"Outlook","Domain")))</f>
        <v/>
      </c>
      <c r="F598">
        <f>IF(B598="","",IFERROR(RIGHT(B598,LEN(B598)-FIND("@",B598)),""))</f>
        <v/>
      </c>
      <c r="G598">
        <f>IF(D598="KEEP",COUNTIF($D$2:D598,"KEEP"),"")</f>
        <v/>
      </c>
      <c r="H598">
        <f>IF(D598="REMOVE",COUNTIF($D$2:D598,"REMOVE"),"")</f>
        <v/>
      </c>
      <c r="I598">
        <f>IF(E598="Gmail",COUNTIF($E$2:E598,"Gmail"),"")</f>
        <v/>
      </c>
      <c r="J598">
        <f>IF(E598="Outlook",COUNTIF($E$2:E598,"Outlook"),"")</f>
        <v/>
      </c>
      <c r="K598">
        <f>IF(E598="Domain",COUNTIF($E$2:E598,"Domain"),"")</f>
        <v/>
      </c>
    </row>
    <row r="599">
      <c r="A599" s="2" t="n"/>
      <c r="B599">
        <f>LOWER(TRIM(A599))</f>
        <v/>
      </c>
      <c r="C599">
        <f>IF(B599="","",IFERROR(INDEX('Bad Patterns'!$A$2:$A$120,MATCH(1,INDEX(--ISNUMBER(SEARCH('Bad Patterns'!$A$2:$A$120,B599)),0),0)),""))</f>
        <v/>
      </c>
      <c r="D599">
        <f>IF(B599="","",IF(C599&lt;&gt;"","REMOVE","KEEP"))</f>
        <v/>
      </c>
      <c r="E599">
        <f>IF(D599&lt;&gt;"KEEP","",IF(RIGHT(B599,10)="@gmail.com","Gmail",IF(OR(RIGHT(B599,12)="@outlook.com",RIGHT(B599,12)="@hotmail.com",RIGHT(B599,9)="@live.com"),"Outlook","Domain")))</f>
        <v/>
      </c>
      <c r="F599">
        <f>IF(B599="","",IFERROR(RIGHT(B599,LEN(B599)-FIND("@",B599)),""))</f>
        <v/>
      </c>
      <c r="G599">
        <f>IF(D599="KEEP",COUNTIF($D$2:D599,"KEEP"),"")</f>
        <v/>
      </c>
      <c r="H599">
        <f>IF(D599="REMOVE",COUNTIF($D$2:D599,"REMOVE"),"")</f>
        <v/>
      </c>
      <c r="I599">
        <f>IF(E599="Gmail",COUNTIF($E$2:E599,"Gmail"),"")</f>
        <v/>
      </c>
      <c r="J599">
        <f>IF(E599="Outlook",COUNTIF($E$2:E599,"Outlook"),"")</f>
        <v/>
      </c>
      <c r="K599">
        <f>IF(E599="Domain",COUNTIF($E$2:E599,"Domain"),"")</f>
        <v/>
      </c>
    </row>
    <row r="600">
      <c r="A600" s="2" t="n"/>
      <c r="B600">
        <f>LOWER(TRIM(A600))</f>
        <v/>
      </c>
      <c r="C600">
        <f>IF(B600="","",IFERROR(INDEX('Bad Patterns'!$A$2:$A$120,MATCH(1,INDEX(--ISNUMBER(SEARCH('Bad Patterns'!$A$2:$A$120,B600)),0),0)),""))</f>
        <v/>
      </c>
      <c r="D600">
        <f>IF(B600="","",IF(C600&lt;&gt;"","REMOVE","KEEP"))</f>
        <v/>
      </c>
      <c r="E600">
        <f>IF(D600&lt;&gt;"KEEP","",IF(RIGHT(B600,10)="@gmail.com","Gmail",IF(OR(RIGHT(B600,12)="@outlook.com",RIGHT(B600,12)="@hotmail.com",RIGHT(B600,9)="@live.com"),"Outlook","Domain")))</f>
        <v/>
      </c>
      <c r="F600">
        <f>IF(B600="","",IFERROR(RIGHT(B600,LEN(B600)-FIND("@",B600)),""))</f>
        <v/>
      </c>
      <c r="G600">
        <f>IF(D600="KEEP",COUNTIF($D$2:D600,"KEEP"),"")</f>
        <v/>
      </c>
      <c r="H600">
        <f>IF(D600="REMOVE",COUNTIF($D$2:D600,"REMOVE"),"")</f>
        <v/>
      </c>
      <c r="I600">
        <f>IF(E600="Gmail",COUNTIF($E$2:E600,"Gmail"),"")</f>
        <v/>
      </c>
      <c r="J600">
        <f>IF(E600="Outlook",COUNTIF($E$2:E600,"Outlook"),"")</f>
        <v/>
      </c>
      <c r="K600">
        <f>IF(E600="Domain",COUNTIF($E$2:E600,"Domain"),"")</f>
        <v/>
      </c>
    </row>
    <row r="601">
      <c r="A601" s="2" t="n"/>
      <c r="B601">
        <f>LOWER(TRIM(A601))</f>
        <v/>
      </c>
      <c r="C601">
        <f>IF(B601="","",IFERROR(INDEX('Bad Patterns'!$A$2:$A$120,MATCH(1,INDEX(--ISNUMBER(SEARCH('Bad Patterns'!$A$2:$A$120,B601)),0),0)),""))</f>
        <v/>
      </c>
      <c r="D601">
        <f>IF(B601="","",IF(C601&lt;&gt;"","REMOVE","KEEP"))</f>
        <v/>
      </c>
      <c r="E601">
        <f>IF(D601&lt;&gt;"KEEP","",IF(RIGHT(B601,10)="@gmail.com","Gmail",IF(OR(RIGHT(B601,12)="@outlook.com",RIGHT(B601,12)="@hotmail.com",RIGHT(B601,9)="@live.com"),"Outlook","Domain")))</f>
        <v/>
      </c>
      <c r="F601">
        <f>IF(B601="","",IFERROR(RIGHT(B601,LEN(B601)-FIND("@",B601)),""))</f>
        <v/>
      </c>
      <c r="G601">
        <f>IF(D601="KEEP",COUNTIF($D$2:D601,"KEEP"),"")</f>
        <v/>
      </c>
      <c r="H601">
        <f>IF(D601="REMOVE",COUNTIF($D$2:D601,"REMOVE"),"")</f>
        <v/>
      </c>
      <c r="I601">
        <f>IF(E601="Gmail",COUNTIF($E$2:E601,"Gmail"),"")</f>
        <v/>
      </c>
      <c r="J601">
        <f>IF(E601="Outlook",COUNTIF($E$2:E601,"Outlook"),"")</f>
        <v/>
      </c>
      <c r="K601">
        <f>IF(E601="Domain",COUNTIF($E$2:E601,"Domain"),"")</f>
        <v/>
      </c>
    </row>
    <row r="602">
      <c r="A602" s="2" t="n"/>
      <c r="B602">
        <f>LOWER(TRIM(A602))</f>
        <v/>
      </c>
      <c r="C602">
        <f>IF(B602="","",IFERROR(INDEX('Bad Patterns'!$A$2:$A$120,MATCH(1,INDEX(--ISNUMBER(SEARCH('Bad Patterns'!$A$2:$A$120,B602)),0),0)),""))</f>
        <v/>
      </c>
      <c r="D602">
        <f>IF(B602="","",IF(C602&lt;&gt;"","REMOVE","KEEP"))</f>
        <v/>
      </c>
      <c r="E602">
        <f>IF(D602&lt;&gt;"KEEP","",IF(RIGHT(B602,10)="@gmail.com","Gmail",IF(OR(RIGHT(B602,12)="@outlook.com",RIGHT(B602,12)="@hotmail.com",RIGHT(B602,9)="@live.com"),"Outlook","Domain")))</f>
        <v/>
      </c>
      <c r="F602">
        <f>IF(B602="","",IFERROR(RIGHT(B602,LEN(B602)-FIND("@",B602)),""))</f>
        <v/>
      </c>
      <c r="G602">
        <f>IF(D602="KEEP",COUNTIF($D$2:D602,"KEEP"),"")</f>
        <v/>
      </c>
      <c r="H602">
        <f>IF(D602="REMOVE",COUNTIF($D$2:D602,"REMOVE"),"")</f>
        <v/>
      </c>
      <c r="I602">
        <f>IF(E602="Gmail",COUNTIF($E$2:E602,"Gmail"),"")</f>
        <v/>
      </c>
      <c r="J602">
        <f>IF(E602="Outlook",COUNTIF($E$2:E602,"Outlook"),"")</f>
        <v/>
      </c>
      <c r="K602">
        <f>IF(E602="Domain",COUNTIF($E$2:E602,"Domain"),"")</f>
        <v/>
      </c>
    </row>
    <row r="603">
      <c r="A603" s="2" t="n"/>
      <c r="B603">
        <f>LOWER(TRIM(A603))</f>
        <v/>
      </c>
      <c r="C603">
        <f>IF(B603="","",IFERROR(INDEX('Bad Patterns'!$A$2:$A$120,MATCH(1,INDEX(--ISNUMBER(SEARCH('Bad Patterns'!$A$2:$A$120,B603)),0),0)),""))</f>
        <v/>
      </c>
      <c r="D603">
        <f>IF(B603="","",IF(C603&lt;&gt;"","REMOVE","KEEP"))</f>
        <v/>
      </c>
      <c r="E603">
        <f>IF(D603&lt;&gt;"KEEP","",IF(RIGHT(B603,10)="@gmail.com","Gmail",IF(OR(RIGHT(B603,12)="@outlook.com",RIGHT(B603,12)="@hotmail.com",RIGHT(B603,9)="@live.com"),"Outlook","Domain")))</f>
        <v/>
      </c>
      <c r="F603">
        <f>IF(B603="","",IFERROR(RIGHT(B603,LEN(B603)-FIND("@",B603)),""))</f>
        <v/>
      </c>
      <c r="G603">
        <f>IF(D603="KEEP",COUNTIF($D$2:D603,"KEEP"),"")</f>
        <v/>
      </c>
      <c r="H603">
        <f>IF(D603="REMOVE",COUNTIF($D$2:D603,"REMOVE"),"")</f>
        <v/>
      </c>
      <c r="I603">
        <f>IF(E603="Gmail",COUNTIF($E$2:E603,"Gmail"),"")</f>
        <v/>
      </c>
      <c r="J603">
        <f>IF(E603="Outlook",COUNTIF($E$2:E603,"Outlook"),"")</f>
        <v/>
      </c>
      <c r="K603">
        <f>IF(E603="Domain",COUNTIF($E$2:E603,"Domain"),"")</f>
        <v/>
      </c>
    </row>
    <row r="604">
      <c r="A604" s="2" t="n"/>
      <c r="B604">
        <f>LOWER(TRIM(A604))</f>
        <v/>
      </c>
      <c r="C604">
        <f>IF(B604="","",IFERROR(INDEX('Bad Patterns'!$A$2:$A$120,MATCH(1,INDEX(--ISNUMBER(SEARCH('Bad Patterns'!$A$2:$A$120,B604)),0),0)),""))</f>
        <v/>
      </c>
      <c r="D604">
        <f>IF(B604="","",IF(C604&lt;&gt;"","REMOVE","KEEP"))</f>
        <v/>
      </c>
      <c r="E604">
        <f>IF(D604&lt;&gt;"KEEP","",IF(RIGHT(B604,10)="@gmail.com","Gmail",IF(OR(RIGHT(B604,12)="@outlook.com",RIGHT(B604,12)="@hotmail.com",RIGHT(B604,9)="@live.com"),"Outlook","Domain")))</f>
        <v/>
      </c>
      <c r="F604">
        <f>IF(B604="","",IFERROR(RIGHT(B604,LEN(B604)-FIND("@",B604)),""))</f>
        <v/>
      </c>
      <c r="G604">
        <f>IF(D604="KEEP",COUNTIF($D$2:D604,"KEEP"),"")</f>
        <v/>
      </c>
      <c r="H604">
        <f>IF(D604="REMOVE",COUNTIF($D$2:D604,"REMOVE"),"")</f>
        <v/>
      </c>
      <c r="I604">
        <f>IF(E604="Gmail",COUNTIF($E$2:E604,"Gmail"),"")</f>
        <v/>
      </c>
      <c r="J604">
        <f>IF(E604="Outlook",COUNTIF($E$2:E604,"Outlook"),"")</f>
        <v/>
      </c>
      <c r="K604">
        <f>IF(E604="Domain",COUNTIF($E$2:E604,"Domain"),"")</f>
        <v/>
      </c>
    </row>
    <row r="605">
      <c r="A605" s="2" t="n"/>
      <c r="B605">
        <f>LOWER(TRIM(A605))</f>
        <v/>
      </c>
      <c r="C605">
        <f>IF(B605="","",IFERROR(INDEX('Bad Patterns'!$A$2:$A$120,MATCH(1,INDEX(--ISNUMBER(SEARCH('Bad Patterns'!$A$2:$A$120,B605)),0),0)),""))</f>
        <v/>
      </c>
      <c r="D605">
        <f>IF(B605="","",IF(C605&lt;&gt;"","REMOVE","KEEP"))</f>
        <v/>
      </c>
      <c r="E605">
        <f>IF(D605&lt;&gt;"KEEP","",IF(RIGHT(B605,10)="@gmail.com","Gmail",IF(OR(RIGHT(B605,12)="@outlook.com",RIGHT(B605,12)="@hotmail.com",RIGHT(B605,9)="@live.com"),"Outlook","Domain")))</f>
        <v/>
      </c>
      <c r="F605">
        <f>IF(B605="","",IFERROR(RIGHT(B605,LEN(B605)-FIND("@",B605)),""))</f>
        <v/>
      </c>
      <c r="G605">
        <f>IF(D605="KEEP",COUNTIF($D$2:D605,"KEEP"),"")</f>
        <v/>
      </c>
      <c r="H605">
        <f>IF(D605="REMOVE",COUNTIF($D$2:D605,"REMOVE"),"")</f>
        <v/>
      </c>
      <c r="I605">
        <f>IF(E605="Gmail",COUNTIF($E$2:E605,"Gmail"),"")</f>
        <v/>
      </c>
      <c r="J605">
        <f>IF(E605="Outlook",COUNTIF($E$2:E605,"Outlook"),"")</f>
        <v/>
      </c>
      <c r="K605">
        <f>IF(E605="Domain",COUNTIF($E$2:E605,"Domain"),"")</f>
        <v/>
      </c>
    </row>
    <row r="606">
      <c r="A606" s="2" t="n"/>
      <c r="B606">
        <f>LOWER(TRIM(A606))</f>
        <v/>
      </c>
      <c r="C606">
        <f>IF(B606="","",IFERROR(INDEX('Bad Patterns'!$A$2:$A$120,MATCH(1,INDEX(--ISNUMBER(SEARCH('Bad Patterns'!$A$2:$A$120,B606)),0),0)),""))</f>
        <v/>
      </c>
      <c r="D606">
        <f>IF(B606="","",IF(C606&lt;&gt;"","REMOVE","KEEP"))</f>
        <v/>
      </c>
      <c r="E606">
        <f>IF(D606&lt;&gt;"KEEP","",IF(RIGHT(B606,10)="@gmail.com","Gmail",IF(OR(RIGHT(B606,12)="@outlook.com",RIGHT(B606,12)="@hotmail.com",RIGHT(B606,9)="@live.com"),"Outlook","Domain")))</f>
        <v/>
      </c>
      <c r="F606">
        <f>IF(B606="","",IFERROR(RIGHT(B606,LEN(B606)-FIND("@",B606)),""))</f>
        <v/>
      </c>
      <c r="G606">
        <f>IF(D606="KEEP",COUNTIF($D$2:D606,"KEEP"),"")</f>
        <v/>
      </c>
      <c r="H606">
        <f>IF(D606="REMOVE",COUNTIF($D$2:D606,"REMOVE"),"")</f>
        <v/>
      </c>
      <c r="I606">
        <f>IF(E606="Gmail",COUNTIF($E$2:E606,"Gmail"),"")</f>
        <v/>
      </c>
      <c r="J606">
        <f>IF(E606="Outlook",COUNTIF($E$2:E606,"Outlook"),"")</f>
        <v/>
      </c>
      <c r="K606">
        <f>IF(E606="Domain",COUNTIF($E$2:E606,"Domain"),"")</f>
        <v/>
      </c>
    </row>
    <row r="607">
      <c r="A607" s="2" t="n"/>
      <c r="B607">
        <f>LOWER(TRIM(A607))</f>
        <v/>
      </c>
      <c r="C607">
        <f>IF(B607="","",IFERROR(INDEX('Bad Patterns'!$A$2:$A$120,MATCH(1,INDEX(--ISNUMBER(SEARCH('Bad Patterns'!$A$2:$A$120,B607)),0),0)),""))</f>
        <v/>
      </c>
      <c r="D607">
        <f>IF(B607="","",IF(C607&lt;&gt;"","REMOVE","KEEP"))</f>
        <v/>
      </c>
      <c r="E607">
        <f>IF(D607&lt;&gt;"KEEP","",IF(RIGHT(B607,10)="@gmail.com","Gmail",IF(OR(RIGHT(B607,12)="@outlook.com",RIGHT(B607,12)="@hotmail.com",RIGHT(B607,9)="@live.com"),"Outlook","Domain")))</f>
        <v/>
      </c>
      <c r="F607">
        <f>IF(B607="","",IFERROR(RIGHT(B607,LEN(B607)-FIND("@",B607)),""))</f>
        <v/>
      </c>
      <c r="G607">
        <f>IF(D607="KEEP",COUNTIF($D$2:D607,"KEEP"),"")</f>
        <v/>
      </c>
      <c r="H607">
        <f>IF(D607="REMOVE",COUNTIF($D$2:D607,"REMOVE"),"")</f>
        <v/>
      </c>
      <c r="I607">
        <f>IF(E607="Gmail",COUNTIF($E$2:E607,"Gmail"),"")</f>
        <v/>
      </c>
      <c r="J607">
        <f>IF(E607="Outlook",COUNTIF($E$2:E607,"Outlook"),"")</f>
        <v/>
      </c>
      <c r="K607">
        <f>IF(E607="Domain",COUNTIF($E$2:E607,"Domain"),"")</f>
        <v/>
      </c>
    </row>
    <row r="608">
      <c r="A608" s="2" t="n"/>
      <c r="B608">
        <f>LOWER(TRIM(A608))</f>
        <v/>
      </c>
      <c r="C608">
        <f>IF(B608="","",IFERROR(INDEX('Bad Patterns'!$A$2:$A$120,MATCH(1,INDEX(--ISNUMBER(SEARCH('Bad Patterns'!$A$2:$A$120,B608)),0),0)),""))</f>
        <v/>
      </c>
      <c r="D608">
        <f>IF(B608="","",IF(C608&lt;&gt;"","REMOVE","KEEP"))</f>
        <v/>
      </c>
      <c r="E608">
        <f>IF(D608&lt;&gt;"KEEP","",IF(RIGHT(B608,10)="@gmail.com","Gmail",IF(OR(RIGHT(B608,12)="@outlook.com",RIGHT(B608,12)="@hotmail.com",RIGHT(B608,9)="@live.com"),"Outlook","Domain")))</f>
        <v/>
      </c>
      <c r="F608">
        <f>IF(B608="","",IFERROR(RIGHT(B608,LEN(B608)-FIND("@",B608)),""))</f>
        <v/>
      </c>
      <c r="G608">
        <f>IF(D608="KEEP",COUNTIF($D$2:D608,"KEEP"),"")</f>
        <v/>
      </c>
      <c r="H608">
        <f>IF(D608="REMOVE",COUNTIF($D$2:D608,"REMOVE"),"")</f>
        <v/>
      </c>
      <c r="I608">
        <f>IF(E608="Gmail",COUNTIF($E$2:E608,"Gmail"),"")</f>
        <v/>
      </c>
      <c r="J608">
        <f>IF(E608="Outlook",COUNTIF($E$2:E608,"Outlook"),"")</f>
        <v/>
      </c>
      <c r="K608">
        <f>IF(E608="Domain",COUNTIF($E$2:E608,"Domain"),"")</f>
        <v/>
      </c>
    </row>
    <row r="609">
      <c r="A609" s="2" t="n"/>
      <c r="B609">
        <f>LOWER(TRIM(A609))</f>
        <v/>
      </c>
      <c r="C609">
        <f>IF(B609="","",IFERROR(INDEX('Bad Patterns'!$A$2:$A$120,MATCH(1,INDEX(--ISNUMBER(SEARCH('Bad Patterns'!$A$2:$A$120,B609)),0),0)),""))</f>
        <v/>
      </c>
      <c r="D609">
        <f>IF(B609="","",IF(C609&lt;&gt;"","REMOVE","KEEP"))</f>
        <v/>
      </c>
      <c r="E609">
        <f>IF(D609&lt;&gt;"KEEP","",IF(RIGHT(B609,10)="@gmail.com","Gmail",IF(OR(RIGHT(B609,12)="@outlook.com",RIGHT(B609,12)="@hotmail.com",RIGHT(B609,9)="@live.com"),"Outlook","Domain")))</f>
        <v/>
      </c>
      <c r="F609">
        <f>IF(B609="","",IFERROR(RIGHT(B609,LEN(B609)-FIND("@",B609)),""))</f>
        <v/>
      </c>
      <c r="G609">
        <f>IF(D609="KEEP",COUNTIF($D$2:D609,"KEEP"),"")</f>
        <v/>
      </c>
      <c r="H609">
        <f>IF(D609="REMOVE",COUNTIF($D$2:D609,"REMOVE"),"")</f>
        <v/>
      </c>
      <c r="I609">
        <f>IF(E609="Gmail",COUNTIF($E$2:E609,"Gmail"),"")</f>
        <v/>
      </c>
      <c r="J609">
        <f>IF(E609="Outlook",COUNTIF($E$2:E609,"Outlook"),"")</f>
        <v/>
      </c>
      <c r="K609">
        <f>IF(E609="Domain",COUNTIF($E$2:E609,"Domain"),"")</f>
        <v/>
      </c>
    </row>
    <row r="610">
      <c r="A610" s="2" t="n"/>
      <c r="B610">
        <f>LOWER(TRIM(A610))</f>
        <v/>
      </c>
      <c r="C610">
        <f>IF(B610="","",IFERROR(INDEX('Bad Patterns'!$A$2:$A$120,MATCH(1,INDEX(--ISNUMBER(SEARCH('Bad Patterns'!$A$2:$A$120,B610)),0),0)),""))</f>
        <v/>
      </c>
      <c r="D610">
        <f>IF(B610="","",IF(C610&lt;&gt;"","REMOVE","KEEP"))</f>
        <v/>
      </c>
      <c r="E610">
        <f>IF(D610&lt;&gt;"KEEP","",IF(RIGHT(B610,10)="@gmail.com","Gmail",IF(OR(RIGHT(B610,12)="@outlook.com",RIGHT(B610,12)="@hotmail.com",RIGHT(B610,9)="@live.com"),"Outlook","Domain")))</f>
        <v/>
      </c>
      <c r="F610">
        <f>IF(B610="","",IFERROR(RIGHT(B610,LEN(B610)-FIND("@",B610)),""))</f>
        <v/>
      </c>
      <c r="G610">
        <f>IF(D610="KEEP",COUNTIF($D$2:D610,"KEEP"),"")</f>
        <v/>
      </c>
      <c r="H610">
        <f>IF(D610="REMOVE",COUNTIF($D$2:D610,"REMOVE"),"")</f>
        <v/>
      </c>
      <c r="I610">
        <f>IF(E610="Gmail",COUNTIF($E$2:E610,"Gmail"),"")</f>
        <v/>
      </c>
      <c r="J610">
        <f>IF(E610="Outlook",COUNTIF($E$2:E610,"Outlook"),"")</f>
        <v/>
      </c>
      <c r="K610">
        <f>IF(E610="Domain",COUNTIF($E$2:E610,"Domain"),"")</f>
        <v/>
      </c>
    </row>
    <row r="611">
      <c r="A611" s="2" t="n"/>
      <c r="B611">
        <f>LOWER(TRIM(A611))</f>
        <v/>
      </c>
      <c r="C611">
        <f>IF(B611="","",IFERROR(INDEX('Bad Patterns'!$A$2:$A$120,MATCH(1,INDEX(--ISNUMBER(SEARCH('Bad Patterns'!$A$2:$A$120,B611)),0),0)),""))</f>
        <v/>
      </c>
      <c r="D611">
        <f>IF(B611="","",IF(C611&lt;&gt;"","REMOVE","KEEP"))</f>
        <v/>
      </c>
      <c r="E611">
        <f>IF(D611&lt;&gt;"KEEP","",IF(RIGHT(B611,10)="@gmail.com","Gmail",IF(OR(RIGHT(B611,12)="@outlook.com",RIGHT(B611,12)="@hotmail.com",RIGHT(B611,9)="@live.com"),"Outlook","Domain")))</f>
        <v/>
      </c>
      <c r="F611">
        <f>IF(B611="","",IFERROR(RIGHT(B611,LEN(B611)-FIND("@",B611)),""))</f>
        <v/>
      </c>
      <c r="G611">
        <f>IF(D611="KEEP",COUNTIF($D$2:D611,"KEEP"),"")</f>
        <v/>
      </c>
      <c r="H611">
        <f>IF(D611="REMOVE",COUNTIF($D$2:D611,"REMOVE"),"")</f>
        <v/>
      </c>
      <c r="I611">
        <f>IF(E611="Gmail",COUNTIF($E$2:E611,"Gmail"),"")</f>
        <v/>
      </c>
      <c r="J611">
        <f>IF(E611="Outlook",COUNTIF($E$2:E611,"Outlook"),"")</f>
        <v/>
      </c>
      <c r="K611">
        <f>IF(E611="Domain",COUNTIF($E$2:E611,"Domain"),"")</f>
        <v/>
      </c>
    </row>
    <row r="612">
      <c r="A612" s="2" t="n"/>
      <c r="B612">
        <f>LOWER(TRIM(A612))</f>
        <v/>
      </c>
      <c r="C612">
        <f>IF(B612="","",IFERROR(INDEX('Bad Patterns'!$A$2:$A$120,MATCH(1,INDEX(--ISNUMBER(SEARCH('Bad Patterns'!$A$2:$A$120,B612)),0),0)),""))</f>
        <v/>
      </c>
      <c r="D612">
        <f>IF(B612="","",IF(C612&lt;&gt;"","REMOVE","KEEP"))</f>
        <v/>
      </c>
      <c r="E612">
        <f>IF(D612&lt;&gt;"KEEP","",IF(RIGHT(B612,10)="@gmail.com","Gmail",IF(OR(RIGHT(B612,12)="@outlook.com",RIGHT(B612,12)="@hotmail.com",RIGHT(B612,9)="@live.com"),"Outlook","Domain")))</f>
        <v/>
      </c>
      <c r="F612">
        <f>IF(B612="","",IFERROR(RIGHT(B612,LEN(B612)-FIND("@",B612)),""))</f>
        <v/>
      </c>
      <c r="G612">
        <f>IF(D612="KEEP",COUNTIF($D$2:D612,"KEEP"),"")</f>
        <v/>
      </c>
      <c r="H612">
        <f>IF(D612="REMOVE",COUNTIF($D$2:D612,"REMOVE"),"")</f>
        <v/>
      </c>
      <c r="I612">
        <f>IF(E612="Gmail",COUNTIF($E$2:E612,"Gmail"),"")</f>
        <v/>
      </c>
      <c r="J612">
        <f>IF(E612="Outlook",COUNTIF($E$2:E612,"Outlook"),"")</f>
        <v/>
      </c>
      <c r="K612">
        <f>IF(E612="Domain",COUNTIF($E$2:E612,"Domain"),"")</f>
        <v/>
      </c>
    </row>
    <row r="613">
      <c r="A613" s="2" t="n"/>
      <c r="B613">
        <f>LOWER(TRIM(A613))</f>
        <v/>
      </c>
      <c r="C613">
        <f>IF(B613="","",IFERROR(INDEX('Bad Patterns'!$A$2:$A$120,MATCH(1,INDEX(--ISNUMBER(SEARCH('Bad Patterns'!$A$2:$A$120,B613)),0),0)),""))</f>
        <v/>
      </c>
      <c r="D613">
        <f>IF(B613="","",IF(C613&lt;&gt;"","REMOVE","KEEP"))</f>
        <v/>
      </c>
      <c r="E613">
        <f>IF(D613&lt;&gt;"KEEP","",IF(RIGHT(B613,10)="@gmail.com","Gmail",IF(OR(RIGHT(B613,12)="@outlook.com",RIGHT(B613,12)="@hotmail.com",RIGHT(B613,9)="@live.com"),"Outlook","Domain")))</f>
        <v/>
      </c>
      <c r="F613">
        <f>IF(B613="","",IFERROR(RIGHT(B613,LEN(B613)-FIND("@",B613)),""))</f>
        <v/>
      </c>
      <c r="G613">
        <f>IF(D613="KEEP",COUNTIF($D$2:D613,"KEEP"),"")</f>
        <v/>
      </c>
      <c r="H613">
        <f>IF(D613="REMOVE",COUNTIF($D$2:D613,"REMOVE"),"")</f>
        <v/>
      </c>
      <c r="I613">
        <f>IF(E613="Gmail",COUNTIF($E$2:E613,"Gmail"),"")</f>
        <v/>
      </c>
      <c r="J613">
        <f>IF(E613="Outlook",COUNTIF($E$2:E613,"Outlook"),"")</f>
        <v/>
      </c>
      <c r="K613">
        <f>IF(E613="Domain",COUNTIF($E$2:E613,"Domain"),"")</f>
        <v/>
      </c>
    </row>
    <row r="614">
      <c r="A614" s="2" t="n"/>
      <c r="B614">
        <f>LOWER(TRIM(A614))</f>
        <v/>
      </c>
      <c r="C614">
        <f>IF(B614="","",IFERROR(INDEX('Bad Patterns'!$A$2:$A$120,MATCH(1,INDEX(--ISNUMBER(SEARCH('Bad Patterns'!$A$2:$A$120,B614)),0),0)),""))</f>
        <v/>
      </c>
      <c r="D614">
        <f>IF(B614="","",IF(C614&lt;&gt;"","REMOVE","KEEP"))</f>
        <v/>
      </c>
      <c r="E614">
        <f>IF(D614&lt;&gt;"KEEP","",IF(RIGHT(B614,10)="@gmail.com","Gmail",IF(OR(RIGHT(B614,12)="@outlook.com",RIGHT(B614,12)="@hotmail.com",RIGHT(B614,9)="@live.com"),"Outlook","Domain")))</f>
        <v/>
      </c>
      <c r="F614">
        <f>IF(B614="","",IFERROR(RIGHT(B614,LEN(B614)-FIND("@",B614)),""))</f>
        <v/>
      </c>
      <c r="G614">
        <f>IF(D614="KEEP",COUNTIF($D$2:D614,"KEEP"),"")</f>
        <v/>
      </c>
      <c r="H614">
        <f>IF(D614="REMOVE",COUNTIF($D$2:D614,"REMOVE"),"")</f>
        <v/>
      </c>
      <c r="I614">
        <f>IF(E614="Gmail",COUNTIF($E$2:E614,"Gmail"),"")</f>
        <v/>
      </c>
      <c r="J614">
        <f>IF(E614="Outlook",COUNTIF($E$2:E614,"Outlook"),"")</f>
        <v/>
      </c>
      <c r="K614">
        <f>IF(E614="Domain",COUNTIF($E$2:E614,"Domain"),"")</f>
        <v/>
      </c>
    </row>
    <row r="615">
      <c r="A615" s="2" t="n"/>
      <c r="B615">
        <f>LOWER(TRIM(A615))</f>
        <v/>
      </c>
      <c r="C615">
        <f>IF(B615="","",IFERROR(INDEX('Bad Patterns'!$A$2:$A$120,MATCH(1,INDEX(--ISNUMBER(SEARCH('Bad Patterns'!$A$2:$A$120,B615)),0),0)),""))</f>
        <v/>
      </c>
      <c r="D615">
        <f>IF(B615="","",IF(C615&lt;&gt;"","REMOVE","KEEP"))</f>
        <v/>
      </c>
      <c r="E615">
        <f>IF(D615&lt;&gt;"KEEP","",IF(RIGHT(B615,10)="@gmail.com","Gmail",IF(OR(RIGHT(B615,12)="@outlook.com",RIGHT(B615,12)="@hotmail.com",RIGHT(B615,9)="@live.com"),"Outlook","Domain")))</f>
        <v/>
      </c>
      <c r="F615">
        <f>IF(B615="","",IFERROR(RIGHT(B615,LEN(B615)-FIND("@",B615)),""))</f>
        <v/>
      </c>
      <c r="G615">
        <f>IF(D615="KEEP",COUNTIF($D$2:D615,"KEEP"),"")</f>
        <v/>
      </c>
      <c r="H615">
        <f>IF(D615="REMOVE",COUNTIF($D$2:D615,"REMOVE"),"")</f>
        <v/>
      </c>
      <c r="I615">
        <f>IF(E615="Gmail",COUNTIF($E$2:E615,"Gmail"),"")</f>
        <v/>
      </c>
      <c r="J615">
        <f>IF(E615="Outlook",COUNTIF($E$2:E615,"Outlook"),"")</f>
        <v/>
      </c>
      <c r="K615">
        <f>IF(E615="Domain",COUNTIF($E$2:E615,"Domain"),"")</f>
        <v/>
      </c>
    </row>
    <row r="616">
      <c r="A616" s="2" t="n"/>
      <c r="B616">
        <f>LOWER(TRIM(A616))</f>
        <v/>
      </c>
      <c r="C616">
        <f>IF(B616="","",IFERROR(INDEX('Bad Patterns'!$A$2:$A$120,MATCH(1,INDEX(--ISNUMBER(SEARCH('Bad Patterns'!$A$2:$A$120,B616)),0),0)),""))</f>
        <v/>
      </c>
      <c r="D616">
        <f>IF(B616="","",IF(C616&lt;&gt;"","REMOVE","KEEP"))</f>
        <v/>
      </c>
      <c r="E616">
        <f>IF(D616&lt;&gt;"KEEP","",IF(RIGHT(B616,10)="@gmail.com","Gmail",IF(OR(RIGHT(B616,12)="@outlook.com",RIGHT(B616,12)="@hotmail.com",RIGHT(B616,9)="@live.com"),"Outlook","Domain")))</f>
        <v/>
      </c>
      <c r="F616">
        <f>IF(B616="","",IFERROR(RIGHT(B616,LEN(B616)-FIND("@",B616)),""))</f>
        <v/>
      </c>
      <c r="G616">
        <f>IF(D616="KEEP",COUNTIF($D$2:D616,"KEEP"),"")</f>
        <v/>
      </c>
      <c r="H616">
        <f>IF(D616="REMOVE",COUNTIF($D$2:D616,"REMOVE"),"")</f>
        <v/>
      </c>
      <c r="I616">
        <f>IF(E616="Gmail",COUNTIF($E$2:E616,"Gmail"),"")</f>
        <v/>
      </c>
      <c r="J616">
        <f>IF(E616="Outlook",COUNTIF($E$2:E616,"Outlook"),"")</f>
        <v/>
      </c>
      <c r="K616">
        <f>IF(E616="Domain",COUNTIF($E$2:E616,"Domain"),"")</f>
        <v/>
      </c>
    </row>
    <row r="617">
      <c r="A617" s="2" t="n"/>
      <c r="B617">
        <f>LOWER(TRIM(A617))</f>
        <v/>
      </c>
      <c r="C617">
        <f>IF(B617="","",IFERROR(INDEX('Bad Patterns'!$A$2:$A$120,MATCH(1,INDEX(--ISNUMBER(SEARCH('Bad Patterns'!$A$2:$A$120,B617)),0),0)),""))</f>
        <v/>
      </c>
      <c r="D617">
        <f>IF(B617="","",IF(C617&lt;&gt;"","REMOVE","KEEP"))</f>
        <v/>
      </c>
      <c r="E617">
        <f>IF(D617&lt;&gt;"KEEP","",IF(RIGHT(B617,10)="@gmail.com","Gmail",IF(OR(RIGHT(B617,12)="@outlook.com",RIGHT(B617,12)="@hotmail.com",RIGHT(B617,9)="@live.com"),"Outlook","Domain")))</f>
        <v/>
      </c>
      <c r="F617">
        <f>IF(B617="","",IFERROR(RIGHT(B617,LEN(B617)-FIND("@",B617)),""))</f>
        <v/>
      </c>
      <c r="G617">
        <f>IF(D617="KEEP",COUNTIF($D$2:D617,"KEEP"),"")</f>
        <v/>
      </c>
      <c r="H617">
        <f>IF(D617="REMOVE",COUNTIF($D$2:D617,"REMOVE"),"")</f>
        <v/>
      </c>
      <c r="I617">
        <f>IF(E617="Gmail",COUNTIF($E$2:E617,"Gmail"),"")</f>
        <v/>
      </c>
      <c r="J617">
        <f>IF(E617="Outlook",COUNTIF($E$2:E617,"Outlook"),"")</f>
        <v/>
      </c>
      <c r="K617">
        <f>IF(E617="Domain",COUNTIF($E$2:E617,"Domain"),"")</f>
        <v/>
      </c>
    </row>
    <row r="618">
      <c r="A618" s="2" t="n"/>
      <c r="B618">
        <f>LOWER(TRIM(A618))</f>
        <v/>
      </c>
      <c r="C618">
        <f>IF(B618="","",IFERROR(INDEX('Bad Patterns'!$A$2:$A$120,MATCH(1,INDEX(--ISNUMBER(SEARCH('Bad Patterns'!$A$2:$A$120,B618)),0),0)),""))</f>
        <v/>
      </c>
      <c r="D618">
        <f>IF(B618="","",IF(C618&lt;&gt;"","REMOVE","KEEP"))</f>
        <v/>
      </c>
      <c r="E618">
        <f>IF(D618&lt;&gt;"KEEP","",IF(RIGHT(B618,10)="@gmail.com","Gmail",IF(OR(RIGHT(B618,12)="@outlook.com",RIGHT(B618,12)="@hotmail.com",RIGHT(B618,9)="@live.com"),"Outlook","Domain")))</f>
        <v/>
      </c>
      <c r="F618">
        <f>IF(B618="","",IFERROR(RIGHT(B618,LEN(B618)-FIND("@",B618)),""))</f>
        <v/>
      </c>
      <c r="G618">
        <f>IF(D618="KEEP",COUNTIF($D$2:D618,"KEEP"),"")</f>
        <v/>
      </c>
      <c r="H618">
        <f>IF(D618="REMOVE",COUNTIF($D$2:D618,"REMOVE"),"")</f>
        <v/>
      </c>
      <c r="I618">
        <f>IF(E618="Gmail",COUNTIF($E$2:E618,"Gmail"),"")</f>
        <v/>
      </c>
      <c r="J618">
        <f>IF(E618="Outlook",COUNTIF($E$2:E618,"Outlook"),"")</f>
        <v/>
      </c>
      <c r="K618">
        <f>IF(E618="Domain",COUNTIF($E$2:E618,"Domain"),"")</f>
        <v/>
      </c>
    </row>
    <row r="619">
      <c r="A619" s="2" t="n"/>
      <c r="B619">
        <f>LOWER(TRIM(A619))</f>
        <v/>
      </c>
      <c r="C619">
        <f>IF(B619="","",IFERROR(INDEX('Bad Patterns'!$A$2:$A$120,MATCH(1,INDEX(--ISNUMBER(SEARCH('Bad Patterns'!$A$2:$A$120,B619)),0),0)),""))</f>
        <v/>
      </c>
      <c r="D619">
        <f>IF(B619="","",IF(C619&lt;&gt;"","REMOVE","KEEP"))</f>
        <v/>
      </c>
      <c r="E619">
        <f>IF(D619&lt;&gt;"KEEP","",IF(RIGHT(B619,10)="@gmail.com","Gmail",IF(OR(RIGHT(B619,12)="@outlook.com",RIGHT(B619,12)="@hotmail.com",RIGHT(B619,9)="@live.com"),"Outlook","Domain")))</f>
        <v/>
      </c>
      <c r="F619">
        <f>IF(B619="","",IFERROR(RIGHT(B619,LEN(B619)-FIND("@",B619)),""))</f>
        <v/>
      </c>
      <c r="G619">
        <f>IF(D619="KEEP",COUNTIF($D$2:D619,"KEEP"),"")</f>
        <v/>
      </c>
      <c r="H619">
        <f>IF(D619="REMOVE",COUNTIF($D$2:D619,"REMOVE"),"")</f>
        <v/>
      </c>
      <c r="I619">
        <f>IF(E619="Gmail",COUNTIF($E$2:E619,"Gmail"),"")</f>
        <v/>
      </c>
      <c r="J619">
        <f>IF(E619="Outlook",COUNTIF($E$2:E619,"Outlook"),"")</f>
        <v/>
      </c>
      <c r="K619">
        <f>IF(E619="Domain",COUNTIF($E$2:E619,"Domain"),"")</f>
        <v/>
      </c>
    </row>
    <row r="620">
      <c r="A620" s="2" t="n"/>
      <c r="B620">
        <f>LOWER(TRIM(A620))</f>
        <v/>
      </c>
      <c r="C620">
        <f>IF(B620="","",IFERROR(INDEX('Bad Patterns'!$A$2:$A$120,MATCH(1,INDEX(--ISNUMBER(SEARCH('Bad Patterns'!$A$2:$A$120,B620)),0),0)),""))</f>
        <v/>
      </c>
      <c r="D620">
        <f>IF(B620="","",IF(C620&lt;&gt;"","REMOVE","KEEP"))</f>
        <v/>
      </c>
      <c r="E620">
        <f>IF(D620&lt;&gt;"KEEP","",IF(RIGHT(B620,10)="@gmail.com","Gmail",IF(OR(RIGHT(B620,12)="@outlook.com",RIGHT(B620,12)="@hotmail.com",RIGHT(B620,9)="@live.com"),"Outlook","Domain")))</f>
        <v/>
      </c>
      <c r="F620">
        <f>IF(B620="","",IFERROR(RIGHT(B620,LEN(B620)-FIND("@",B620)),""))</f>
        <v/>
      </c>
      <c r="G620">
        <f>IF(D620="KEEP",COUNTIF($D$2:D620,"KEEP"),"")</f>
        <v/>
      </c>
      <c r="H620">
        <f>IF(D620="REMOVE",COUNTIF($D$2:D620,"REMOVE"),"")</f>
        <v/>
      </c>
      <c r="I620">
        <f>IF(E620="Gmail",COUNTIF($E$2:E620,"Gmail"),"")</f>
        <v/>
      </c>
      <c r="J620">
        <f>IF(E620="Outlook",COUNTIF($E$2:E620,"Outlook"),"")</f>
        <v/>
      </c>
      <c r="K620">
        <f>IF(E620="Domain",COUNTIF($E$2:E620,"Domain"),"")</f>
        <v/>
      </c>
    </row>
    <row r="621">
      <c r="A621" s="2" t="n"/>
      <c r="B621">
        <f>LOWER(TRIM(A621))</f>
        <v/>
      </c>
      <c r="C621">
        <f>IF(B621="","",IFERROR(INDEX('Bad Patterns'!$A$2:$A$120,MATCH(1,INDEX(--ISNUMBER(SEARCH('Bad Patterns'!$A$2:$A$120,B621)),0),0)),""))</f>
        <v/>
      </c>
      <c r="D621">
        <f>IF(B621="","",IF(C621&lt;&gt;"","REMOVE","KEEP"))</f>
        <v/>
      </c>
      <c r="E621">
        <f>IF(D621&lt;&gt;"KEEP","",IF(RIGHT(B621,10)="@gmail.com","Gmail",IF(OR(RIGHT(B621,12)="@outlook.com",RIGHT(B621,12)="@hotmail.com",RIGHT(B621,9)="@live.com"),"Outlook","Domain")))</f>
        <v/>
      </c>
      <c r="F621">
        <f>IF(B621="","",IFERROR(RIGHT(B621,LEN(B621)-FIND("@",B621)),""))</f>
        <v/>
      </c>
      <c r="G621">
        <f>IF(D621="KEEP",COUNTIF($D$2:D621,"KEEP"),"")</f>
        <v/>
      </c>
      <c r="H621">
        <f>IF(D621="REMOVE",COUNTIF($D$2:D621,"REMOVE"),"")</f>
        <v/>
      </c>
      <c r="I621">
        <f>IF(E621="Gmail",COUNTIF($E$2:E621,"Gmail"),"")</f>
        <v/>
      </c>
      <c r="J621">
        <f>IF(E621="Outlook",COUNTIF($E$2:E621,"Outlook"),"")</f>
        <v/>
      </c>
      <c r="K621">
        <f>IF(E621="Domain",COUNTIF($E$2:E621,"Domain"),"")</f>
        <v/>
      </c>
    </row>
    <row r="622">
      <c r="A622" s="2" t="n"/>
      <c r="B622">
        <f>LOWER(TRIM(A622))</f>
        <v/>
      </c>
      <c r="C622">
        <f>IF(B622="","",IFERROR(INDEX('Bad Patterns'!$A$2:$A$120,MATCH(1,INDEX(--ISNUMBER(SEARCH('Bad Patterns'!$A$2:$A$120,B622)),0),0)),""))</f>
        <v/>
      </c>
      <c r="D622">
        <f>IF(B622="","",IF(C622&lt;&gt;"","REMOVE","KEEP"))</f>
        <v/>
      </c>
      <c r="E622">
        <f>IF(D622&lt;&gt;"KEEP","",IF(RIGHT(B622,10)="@gmail.com","Gmail",IF(OR(RIGHT(B622,12)="@outlook.com",RIGHT(B622,12)="@hotmail.com",RIGHT(B622,9)="@live.com"),"Outlook","Domain")))</f>
        <v/>
      </c>
      <c r="F622">
        <f>IF(B622="","",IFERROR(RIGHT(B622,LEN(B622)-FIND("@",B622)),""))</f>
        <v/>
      </c>
      <c r="G622">
        <f>IF(D622="KEEP",COUNTIF($D$2:D622,"KEEP"),"")</f>
        <v/>
      </c>
      <c r="H622">
        <f>IF(D622="REMOVE",COUNTIF($D$2:D622,"REMOVE"),"")</f>
        <v/>
      </c>
      <c r="I622">
        <f>IF(E622="Gmail",COUNTIF($E$2:E622,"Gmail"),"")</f>
        <v/>
      </c>
      <c r="J622">
        <f>IF(E622="Outlook",COUNTIF($E$2:E622,"Outlook"),"")</f>
        <v/>
      </c>
      <c r="K622">
        <f>IF(E622="Domain",COUNTIF($E$2:E622,"Domain"),"")</f>
        <v/>
      </c>
    </row>
    <row r="623">
      <c r="A623" s="2" t="n"/>
      <c r="B623">
        <f>LOWER(TRIM(A623))</f>
        <v/>
      </c>
      <c r="C623">
        <f>IF(B623="","",IFERROR(INDEX('Bad Patterns'!$A$2:$A$120,MATCH(1,INDEX(--ISNUMBER(SEARCH('Bad Patterns'!$A$2:$A$120,B623)),0),0)),""))</f>
        <v/>
      </c>
      <c r="D623">
        <f>IF(B623="","",IF(C623&lt;&gt;"","REMOVE","KEEP"))</f>
        <v/>
      </c>
      <c r="E623">
        <f>IF(D623&lt;&gt;"KEEP","",IF(RIGHT(B623,10)="@gmail.com","Gmail",IF(OR(RIGHT(B623,12)="@outlook.com",RIGHT(B623,12)="@hotmail.com",RIGHT(B623,9)="@live.com"),"Outlook","Domain")))</f>
        <v/>
      </c>
      <c r="F623">
        <f>IF(B623="","",IFERROR(RIGHT(B623,LEN(B623)-FIND("@",B623)),""))</f>
        <v/>
      </c>
      <c r="G623">
        <f>IF(D623="KEEP",COUNTIF($D$2:D623,"KEEP"),"")</f>
        <v/>
      </c>
      <c r="H623">
        <f>IF(D623="REMOVE",COUNTIF($D$2:D623,"REMOVE"),"")</f>
        <v/>
      </c>
      <c r="I623">
        <f>IF(E623="Gmail",COUNTIF($E$2:E623,"Gmail"),"")</f>
        <v/>
      </c>
      <c r="J623">
        <f>IF(E623="Outlook",COUNTIF($E$2:E623,"Outlook"),"")</f>
        <v/>
      </c>
      <c r="K623">
        <f>IF(E623="Domain",COUNTIF($E$2:E623,"Domain"),"")</f>
        <v/>
      </c>
    </row>
    <row r="624">
      <c r="A624" s="2" t="n"/>
      <c r="B624">
        <f>LOWER(TRIM(A624))</f>
        <v/>
      </c>
      <c r="C624">
        <f>IF(B624="","",IFERROR(INDEX('Bad Patterns'!$A$2:$A$120,MATCH(1,INDEX(--ISNUMBER(SEARCH('Bad Patterns'!$A$2:$A$120,B624)),0),0)),""))</f>
        <v/>
      </c>
      <c r="D624">
        <f>IF(B624="","",IF(C624&lt;&gt;"","REMOVE","KEEP"))</f>
        <v/>
      </c>
      <c r="E624">
        <f>IF(D624&lt;&gt;"KEEP","",IF(RIGHT(B624,10)="@gmail.com","Gmail",IF(OR(RIGHT(B624,12)="@outlook.com",RIGHT(B624,12)="@hotmail.com",RIGHT(B624,9)="@live.com"),"Outlook","Domain")))</f>
        <v/>
      </c>
      <c r="F624">
        <f>IF(B624="","",IFERROR(RIGHT(B624,LEN(B624)-FIND("@",B624)),""))</f>
        <v/>
      </c>
      <c r="G624">
        <f>IF(D624="KEEP",COUNTIF($D$2:D624,"KEEP"),"")</f>
        <v/>
      </c>
      <c r="H624">
        <f>IF(D624="REMOVE",COUNTIF($D$2:D624,"REMOVE"),"")</f>
        <v/>
      </c>
      <c r="I624">
        <f>IF(E624="Gmail",COUNTIF($E$2:E624,"Gmail"),"")</f>
        <v/>
      </c>
      <c r="J624">
        <f>IF(E624="Outlook",COUNTIF($E$2:E624,"Outlook"),"")</f>
        <v/>
      </c>
      <c r="K624">
        <f>IF(E624="Domain",COUNTIF($E$2:E624,"Domain"),"")</f>
        <v/>
      </c>
    </row>
    <row r="625">
      <c r="A625" s="2" t="n"/>
      <c r="B625">
        <f>LOWER(TRIM(A625))</f>
        <v/>
      </c>
      <c r="C625">
        <f>IF(B625="","",IFERROR(INDEX('Bad Patterns'!$A$2:$A$120,MATCH(1,INDEX(--ISNUMBER(SEARCH('Bad Patterns'!$A$2:$A$120,B625)),0),0)),""))</f>
        <v/>
      </c>
      <c r="D625">
        <f>IF(B625="","",IF(C625&lt;&gt;"","REMOVE","KEEP"))</f>
        <v/>
      </c>
      <c r="E625">
        <f>IF(D625&lt;&gt;"KEEP","",IF(RIGHT(B625,10)="@gmail.com","Gmail",IF(OR(RIGHT(B625,12)="@outlook.com",RIGHT(B625,12)="@hotmail.com",RIGHT(B625,9)="@live.com"),"Outlook","Domain")))</f>
        <v/>
      </c>
      <c r="F625">
        <f>IF(B625="","",IFERROR(RIGHT(B625,LEN(B625)-FIND("@",B625)),""))</f>
        <v/>
      </c>
      <c r="G625">
        <f>IF(D625="KEEP",COUNTIF($D$2:D625,"KEEP"),"")</f>
        <v/>
      </c>
      <c r="H625">
        <f>IF(D625="REMOVE",COUNTIF($D$2:D625,"REMOVE"),"")</f>
        <v/>
      </c>
      <c r="I625">
        <f>IF(E625="Gmail",COUNTIF($E$2:E625,"Gmail"),"")</f>
        <v/>
      </c>
      <c r="J625">
        <f>IF(E625="Outlook",COUNTIF($E$2:E625,"Outlook"),"")</f>
        <v/>
      </c>
      <c r="K625">
        <f>IF(E625="Domain",COUNTIF($E$2:E625,"Domain"),"")</f>
        <v/>
      </c>
    </row>
    <row r="626">
      <c r="A626" s="2" t="n"/>
      <c r="B626">
        <f>LOWER(TRIM(A626))</f>
        <v/>
      </c>
      <c r="C626">
        <f>IF(B626="","",IFERROR(INDEX('Bad Patterns'!$A$2:$A$120,MATCH(1,INDEX(--ISNUMBER(SEARCH('Bad Patterns'!$A$2:$A$120,B626)),0),0)),""))</f>
        <v/>
      </c>
      <c r="D626">
        <f>IF(B626="","",IF(C626&lt;&gt;"","REMOVE","KEEP"))</f>
        <v/>
      </c>
      <c r="E626">
        <f>IF(D626&lt;&gt;"KEEP","",IF(RIGHT(B626,10)="@gmail.com","Gmail",IF(OR(RIGHT(B626,12)="@outlook.com",RIGHT(B626,12)="@hotmail.com",RIGHT(B626,9)="@live.com"),"Outlook","Domain")))</f>
        <v/>
      </c>
      <c r="F626">
        <f>IF(B626="","",IFERROR(RIGHT(B626,LEN(B626)-FIND("@",B626)),""))</f>
        <v/>
      </c>
      <c r="G626">
        <f>IF(D626="KEEP",COUNTIF($D$2:D626,"KEEP"),"")</f>
        <v/>
      </c>
      <c r="H626">
        <f>IF(D626="REMOVE",COUNTIF($D$2:D626,"REMOVE"),"")</f>
        <v/>
      </c>
      <c r="I626">
        <f>IF(E626="Gmail",COUNTIF($E$2:E626,"Gmail"),"")</f>
        <v/>
      </c>
      <c r="J626">
        <f>IF(E626="Outlook",COUNTIF($E$2:E626,"Outlook"),"")</f>
        <v/>
      </c>
      <c r="K626">
        <f>IF(E626="Domain",COUNTIF($E$2:E626,"Domain"),"")</f>
        <v/>
      </c>
    </row>
    <row r="627">
      <c r="A627" s="2" t="n"/>
      <c r="B627">
        <f>LOWER(TRIM(A627))</f>
        <v/>
      </c>
      <c r="C627">
        <f>IF(B627="","",IFERROR(INDEX('Bad Patterns'!$A$2:$A$120,MATCH(1,INDEX(--ISNUMBER(SEARCH('Bad Patterns'!$A$2:$A$120,B627)),0),0)),""))</f>
        <v/>
      </c>
      <c r="D627">
        <f>IF(B627="","",IF(C627&lt;&gt;"","REMOVE","KEEP"))</f>
        <v/>
      </c>
      <c r="E627">
        <f>IF(D627&lt;&gt;"KEEP","",IF(RIGHT(B627,10)="@gmail.com","Gmail",IF(OR(RIGHT(B627,12)="@outlook.com",RIGHT(B627,12)="@hotmail.com",RIGHT(B627,9)="@live.com"),"Outlook","Domain")))</f>
        <v/>
      </c>
      <c r="F627">
        <f>IF(B627="","",IFERROR(RIGHT(B627,LEN(B627)-FIND("@",B627)),""))</f>
        <v/>
      </c>
      <c r="G627">
        <f>IF(D627="KEEP",COUNTIF($D$2:D627,"KEEP"),"")</f>
        <v/>
      </c>
      <c r="H627">
        <f>IF(D627="REMOVE",COUNTIF($D$2:D627,"REMOVE"),"")</f>
        <v/>
      </c>
      <c r="I627">
        <f>IF(E627="Gmail",COUNTIF($E$2:E627,"Gmail"),"")</f>
        <v/>
      </c>
      <c r="J627">
        <f>IF(E627="Outlook",COUNTIF($E$2:E627,"Outlook"),"")</f>
        <v/>
      </c>
      <c r="K627">
        <f>IF(E627="Domain",COUNTIF($E$2:E627,"Domain"),"")</f>
        <v/>
      </c>
    </row>
    <row r="628">
      <c r="A628" s="2" t="n"/>
      <c r="B628">
        <f>LOWER(TRIM(A628))</f>
        <v/>
      </c>
      <c r="C628">
        <f>IF(B628="","",IFERROR(INDEX('Bad Patterns'!$A$2:$A$120,MATCH(1,INDEX(--ISNUMBER(SEARCH('Bad Patterns'!$A$2:$A$120,B628)),0),0)),""))</f>
        <v/>
      </c>
      <c r="D628">
        <f>IF(B628="","",IF(C628&lt;&gt;"","REMOVE","KEEP"))</f>
        <v/>
      </c>
      <c r="E628">
        <f>IF(D628&lt;&gt;"KEEP","",IF(RIGHT(B628,10)="@gmail.com","Gmail",IF(OR(RIGHT(B628,12)="@outlook.com",RIGHT(B628,12)="@hotmail.com",RIGHT(B628,9)="@live.com"),"Outlook","Domain")))</f>
        <v/>
      </c>
      <c r="F628">
        <f>IF(B628="","",IFERROR(RIGHT(B628,LEN(B628)-FIND("@",B628)),""))</f>
        <v/>
      </c>
      <c r="G628">
        <f>IF(D628="KEEP",COUNTIF($D$2:D628,"KEEP"),"")</f>
        <v/>
      </c>
      <c r="H628">
        <f>IF(D628="REMOVE",COUNTIF($D$2:D628,"REMOVE"),"")</f>
        <v/>
      </c>
      <c r="I628">
        <f>IF(E628="Gmail",COUNTIF($E$2:E628,"Gmail"),"")</f>
        <v/>
      </c>
      <c r="J628">
        <f>IF(E628="Outlook",COUNTIF($E$2:E628,"Outlook"),"")</f>
        <v/>
      </c>
      <c r="K628">
        <f>IF(E628="Domain",COUNTIF($E$2:E628,"Domain"),"")</f>
        <v/>
      </c>
    </row>
    <row r="629">
      <c r="A629" s="2" t="n"/>
      <c r="B629">
        <f>LOWER(TRIM(A629))</f>
        <v/>
      </c>
      <c r="C629">
        <f>IF(B629="","",IFERROR(INDEX('Bad Patterns'!$A$2:$A$120,MATCH(1,INDEX(--ISNUMBER(SEARCH('Bad Patterns'!$A$2:$A$120,B629)),0),0)),""))</f>
        <v/>
      </c>
      <c r="D629">
        <f>IF(B629="","",IF(C629&lt;&gt;"","REMOVE","KEEP"))</f>
        <v/>
      </c>
      <c r="E629">
        <f>IF(D629&lt;&gt;"KEEP","",IF(RIGHT(B629,10)="@gmail.com","Gmail",IF(OR(RIGHT(B629,12)="@outlook.com",RIGHT(B629,12)="@hotmail.com",RIGHT(B629,9)="@live.com"),"Outlook","Domain")))</f>
        <v/>
      </c>
      <c r="F629">
        <f>IF(B629="","",IFERROR(RIGHT(B629,LEN(B629)-FIND("@",B629)),""))</f>
        <v/>
      </c>
      <c r="G629">
        <f>IF(D629="KEEP",COUNTIF($D$2:D629,"KEEP"),"")</f>
        <v/>
      </c>
      <c r="H629">
        <f>IF(D629="REMOVE",COUNTIF($D$2:D629,"REMOVE"),"")</f>
        <v/>
      </c>
      <c r="I629">
        <f>IF(E629="Gmail",COUNTIF($E$2:E629,"Gmail"),"")</f>
        <v/>
      </c>
      <c r="J629">
        <f>IF(E629="Outlook",COUNTIF($E$2:E629,"Outlook"),"")</f>
        <v/>
      </c>
      <c r="K629">
        <f>IF(E629="Domain",COUNTIF($E$2:E629,"Domain"),"")</f>
        <v/>
      </c>
    </row>
    <row r="630">
      <c r="A630" s="2" t="n"/>
      <c r="B630">
        <f>LOWER(TRIM(A630))</f>
        <v/>
      </c>
      <c r="C630">
        <f>IF(B630="","",IFERROR(INDEX('Bad Patterns'!$A$2:$A$120,MATCH(1,INDEX(--ISNUMBER(SEARCH('Bad Patterns'!$A$2:$A$120,B630)),0),0)),""))</f>
        <v/>
      </c>
      <c r="D630">
        <f>IF(B630="","",IF(C630&lt;&gt;"","REMOVE","KEEP"))</f>
        <v/>
      </c>
      <c r="E630">
        <f>IF(D630&lt;&gt;"KEEP","",IF(RIGHT(B630,10)="@gmail.com","Gmail",IF(OR(RIGHT(B630,12)="@outlook.com",RIGHT(B630,12)="@hotmail.com",RIGHT(B630,9)="@live.com"),"Outlook","Domain")))</f>
        <v/>
      </c>
      <c r="F630">
        <f>IF(B630="","",IFERROR(RIGHT(B630,LEN(B630)-FIND("@",B630)),""))</f>
        <v/>
      </c>
      <c r="G630">
        <f>IF(D630="KEEP",COUNTIF($D$2:D630,"KEEP"),"")</f>
        <v/>
      </c>
      <c r="H630">
        <f>IF(D630="REMOVE",COUNTIF($D$2:D630,"REMOVE"),"")</f>
        <v/>
      </c>
      <c r="I630">
        <f>IF(E630="Gmail",COUNTIF($E$2:E630,"Gmail"),"")</f>
        <v/>
      </c>
      <c r="J630">
        <f>IF(E630="Outlook",COUNTIF($E$2:E630,"Outlook"),"")</f>
        <v/>
      </c>
      <c r="K630">
        <f>IF(E630="Domain",COUNTIF($E$2:E630,"Domain"),"")</f>
        <v/>
      </c>
    </row>
    <row r="631">
      <c r="A631" s="2" t="n"/>
      <c r="B631">
        <f>LOWER(TRIM(A631))</f>
        <v/>
      </c>
      <c r="C631">
        <f>IF(B631="","",IFERROR(INDEX('Bad Patterns'!$A$2:$A$120,MATCH(1,INDEX(--ISNUMBER(SEARCH('Bad Patterns'!$A$2:$A$120,B631)),0),0)),""))</f>
        <v/>
      </c>
      <c r="D631">
        <f>IF(B631="","",IF(C631&lt;&gt;"","REMOVE","KEEP"))</f>
        <v/>
      </c>
      <c r="E631">
        <f>IF(D631&lt;&gt;"KEEP","",IF(RIGHT(B631,10)="@gmail.com","Gmail",IF(OR(RIGHT(B631,12)="@outlook.com",RIGHT(B631,12)="@hotmail.com",RIGHT(B631,9)="@live.com"),"Outlook","Domain")))</f>
        <v/>
      </c>
      <c r="F631">
        <f>IF(B631="","",IFERROR(RIGHT(B631,LEN(B631)-FIND("@",B631)),""))</f>
        <v/>
      </c>
      <c r="G631">
        <f>IF(D631="KEEP",COUNTIF($D$2:D631,"KEEP"),"")</f>
        <v/>
      </c>
      <c r="H631">
        <f>IF(D631="REMOVE",COUNTIF($D$2:D631,"REMOVE"),"")</f>
        <v/>
      </c>
      <c r="I631">
        <f>IF(E631="Gmail",COUNTIF($E$2:E631,"Gmail"),"")</f>
        <v/>
      </c>
      <c r="J631">
        <f>IF(E631="Outlook",COUNTIF($E$2:E631,"Outlook"),"")</f>
        <v/>
      </c>
      <c r="K631">
        <f>IF(E631="Domain",COUNTIF($E$2:E631,"Domain"),"")</f>
        <v/>
      </c>
    </row>
    <row r="632">
      <c r="A632" s="2" t="n"/>
      <c r="B632">
        <f>LOWER(TRIM(A632))</f>
        <v/>
      </c>
      <c r="C632">
        <f>IF(B632="","",IFERROR(INDEX('Bad Patterns'!$A$2:$A$120,MATCH(1,INDEX(--ISNUMBER(SEARCH('Bad Patterns'!$A$2:$A$120,B632)),0),0)),""))</f>
        <v/>
      </c>
      <c r="D632">
        <f>IF(B632="","",IF(C632&lt;&gt;"","REMOVE","KEEP"))</f>
        <v/>
      </c>
      <c r="E632">
        <f>IF(D632&lt;&gt;"KEEP","",IF(RIGHT(B632,10)="@gmail.com","Gmail",IF(OR(RIGHT(B632,12)="@outlook.com",RIGHT(B632,12)="@hotmail.com",RIGHT(B632,9)="@live.com"),"Outlook","Domain")))</f>
        <v/>
      </c>
      <c r="F632">
        <f>IF(B632="","",IFERROR(RIGHT(B632,LEN(B632)-FIND("@",B632)),""))</f>
        <v/>
      </c>
      <c r="G632">
        <f>IF(D632="KEEP",COUNTIF($D$2:D632,"KEEP"),"")</f>
        <v/>
      </c>
      <c r="H632">
        <f>IF(D632="REMOVE",COUNTIF($D$2:D632,"REMOVE"),"")</f>
        <v/>
      </c>
      <c r="I632">
        <f>IF(E632="Gmail",COUNTIF($E$2:E632,"Gmail"),"")</f>
        <v/>
      </c>
      <c r="J632">
        <f>IF(E632="Outlook",COUNTIF($E$2:E632,"Outlook"),"")</f>
        <v/>
      </c>
      <c r="K632">
        <f>IF(E632="Domain",COUNTIF($E$2:E632,"Domain"),"")</f>
        <v/>
      </c>
    </row>
    <row r="633">
      <c r="A633" s="2" t="n"/>
      <c r="B633">
        <f>LOWER(TRIM(A633))</f>
        <v/>
      </c>
      <c r="C633">
        <f>IF(B633="","",IFERROR(INDEX('Bad Patterns'!$A$2:$A$120,MATCH(1,INDEX(--ISNUMBER(SEARCH('Bad Patterns'!$A$2:$A$120,B633)),0),0)),""))</f>
        <v/>
      </c>
      <c r="D633">
        <f>IF(B633="","",IF(C633&lt;&gt;"","REMOVE","KEEP"))</f>
        <v/>
      </c>
      <c r="E633">
        <f>IF(D633&lt;&gt;"KEEP","",IF(RIGHT(B633,10)="@gmail.com","Gmail",IF(OR(RIGHT(B633,12)="@outlook.com",RIGHT(B633,12)="@hotmail.com",RIGHT(B633,9)="@live.com"),"Outlook","Domain")))</f>
        <v/>
      </c>
      <c r="F633">
        <f>IF(B633="","",IFERROR(RIGHT(B633,LEN(B633)-FIND("@",B633)),""))</f>
        <v/>
      </c>
      <c r="G633">
        <f>IF(D633="KEEP",COUNTIF($D$2:D633,"KEEP"),"")</f>
        <v/>
      </c>
      <c r="H633">
        <f>IF(D633="REMOVE",COUNTIF($D$2:D633,"REMOVE"),"")</f>
        <v/>
      </c>
      <c r="I633">
        <f>IF(E633="Gmail",COUNTIF($E$2:E633,"Gmail"),"")</f>
        <v/>
      </c>
      <c r="J633">
        <f>IF(E633="Outlook",COUNTIF($E$2:E633,"Outlook"),"")</f>
        <v/>
      </c>
      <c r="K633">
        <f>IF(E633="Domain",COUNTIF($E$2:E633,"Domain"),"")</f>
        <v/>
      </c>
    </row>
    <row r="634">
      <c r="A634" s="2" t="n"/>
      <c r="B634">
        <f>LOWER(TRIM(A634))</f>
        <v/>
      </c>
      <c r="C634">
        <f>IF(B634="","",IFERROR(INDEX('Bad Patterns'!$A$2:$A$120,MATCH(1,INDEX(--ISNUMBER(SEARCH('Bad Patterns'!$A$2:$A$120,B634)),0),0)),""))</f>
        <v/>
      </c>
      <c r="D634">
        <f>IF(B634="","",IF(C634&lt;&gt;"","REMOVE","KEEP"))</f>
        <v/>
      </c>
      <c r="E634">
        <f>IF(D634&lt;&gt;"KEEP","",IF(RIGHT(B634,10)="@gmail.com","Gmail",IF(OR(RIGHT(B634,12)="@outlook.com",RIGHT(B634,12)="@hotmail.com",RIGHT(B634,9)="@live.com"),"Outlook","Domain")))</f>
        <v/>
      </c>
      <c r="F634">
        <f>IF(B634="","",IFERROR(RIGHT(B634,LEN(B634)-FIND("@",B634)),""))</f>
        <v/>
      </c>
      <c r="G634">
        <f>IF(D634="KEEP",COUNTIF($D$2:D634,"KEEP"),"")</f>
        <v/>
      </c>
      <c r="H634">
        <f>IF(D634="REMOVE",COUNTIF($D$2:D634,"REMOVE"),"")</f>
        <v/>
      </c>
      <c r="I634">
        <f>IF(E634="Gmail",COUNTIF($E$2:E634,"Gmail"),"")</f>
        <v/>
      </c>
      <c r="J634">
        <f>IF(E634="Outlook",COUNTIF($E$2:E634,"Outlook"),"")</f>
        <v/>
      </c>
      <c r="K634">
        <f>IF(E634="Domain",COUNTIF($E$2:E634,"Domain"),"")</f>
        <v/>
      </c>
    </row>
    <row r="635">
      <c r="A635" s="2" t="n"/>
      <c r="B635">
        <f>LOWER(TRIM(A635))</f>
        <v/>
      </c>
      <c r="C635">
        <f>IF(B635="","",IFERROR(INDEX('Bad Patterns'!$A$2:$A$120,MATCH(1,INDEX(--ISNUMBER(SEARCH('Bad Patterns'!$A$2:$A$120,B635)),0),0)),""))</f>
        <v/>
      </c>
      <c r="D635">
        <f>IF(B635="","",IF(C635&lt;&gt;"","REMOVE","KEEP"))</f>
        <v/>
      </c>
      <c r="E635">
        <f>IF(D635&lt;&gt;"KEEP","",IF(RIGHT(B635,10)="@gmail.com","Gmail",IF(OR(RIGHT(B635,12)="@outlook.com",RIGHT(B635,12)="@hotmail.com",RIGHT(B635,9)="@live.com"),"Outlook","Domain")))</f>
        <v/>
      </c>
      <c r="F635">
        <f>IF(B635="","",IFERROR(RIGHT(B635,LEN(B635)-FIND("@",B635)),""))</f>
        <v/>
      </c>
      <c r="G635">
        <f>IF(D635="KEEP",COUNTIF($D$2:D635,"KEEP"),"")</f>
        <v/>
      </c>
      <c r="H635">
        <f>IF(D635="REMOVE",COUNTIF($D$2:D635,"REMOVE"),"")</f>
        <v/>
      </c>
      <c r="I635">
        <f>IF(E635="Gmail",COUNTIF($E$2:E635,"Gmail"),"")</f>
        <v/>
      </c>
      <c r="J635">
        <f>IF(E635="Outlook",COUNTIF($E$2:E635,"Outlook"),"")</f>
        <v/>
      </c>
      <c r="K635">
        <f>IF(E635="Domain",COUNTIF($E$2:E635,"Domain"),"")</f>
        <v/>
      </c>
    </row>
    <row r="636">
      <c r="A636" s="2" t="n"/>
      <c r="B636">
        <f>LOWER(TRIM(A636))</f>
        <v/>
      </c>
      <c r="C636">
        <f>IF(B636="","",IFERROR(INDEX('Bad Patterns'!$A$2:$A$120,MATCH(1,INDEX(--ISNUMBER(SEARCH('Bad Patterns'!$A$2:$A$120,B636)),0),0)),""))</f>
        <v/>
      </c>
      <c r="D636">
        <f>IF(B636="","",IF(C636&lt;&gt;"","REMOVE","KEEP"))</f>
        <v/>
      </c>
      <c r="E636">
        <f>IF(D636&lt;&gt;"KEEP","",IF(RIGHT(B636,10)="@gmail.com","Gmail",IF(OR(RIGHT(B636,12)="@outlook.com",RIGHT(B636,12)="@hotmail.com",RIGHT(B636,9)="@live.com"),"Outlook","Domain")))</f>
        <v/>
      </c>
      <c r="F636">
        <f>IF(B636="","",IFERROR(RIGHT(B636,LEN(B636)-FIND("@",B636)),""))</f>
        <v/>
      </c>
      <c r="G636">
        <f>IF(D636="KEEP",COUNTIF($D$2:D636,"KEEP"),"")</f>
        <v/>
      </c>
      <c r="H636">
        <f>IF(D636="REMOVE",COUNTIF($D$2:D636,"REMOVE"),"")</f>
        <v/>
      </c>
      <c r="I636">
        <f>IF(E636="Gmail",COUNTIF($E$2:E636,"Gmail"),"")</f>
        <v/>
      </c>
      <c r="J636">
        <f>IF(E636="Outlook",COUNTIF($E$2:E636,"Outlook"),"")</f>
        <v/>
      </c>
      <c r="K636">
        <f>IF(E636="Domain",COUNTIF($E$2:E636,"Domain"),"")</f>
        <v/>
      </c>
    </row>
    <row r="637">
      <c r="A637" s="2" t="n"/>
      <c r="B637">
        <f>LOWER(TRIM(A637))</f>
        <v/>
      </c>
      <c r="C637">
        <f>IF(B637="","",IFERROR(INDEX('Bad Patterns'!$A$2:$A$120,MATCH(1,INDEX(--ISNUMBER(SEARCH('Bad Patterns'!$A$2:$A$120,B637)),0),0)),""))</f>
        <v/>
      </c>
      <c r="D637">
        <f>IF(B637="","",IF(C637&lt;&gt;"","REMOVE","KEEP"))</f>
        <v/>
      </c>
      <c r="E637">
        <f>IF(D637&lt;&gt;"KEEP","",IF(RIGHT(B637,10)="@gmail.com","Gmail",IF(OR(RIGHT(B637,12)="@outlook.com",RIGHT(B637,12)="@hotmail.com",RIGHT(B637,9)="@live.com"),"Outlook","Domain")))</f>
        <v/>
      </c>
      <c r="F637">
        <f>IF(B637="","",IFERROR(RIGHT(B637,LEN(B637)-FIND("@",B637)),""))</f>
        <v/>
      </c>
      <c r="G637">
        <f>IF(D637="KEEP",COUNTIF($D$2:D637,"KEEP"),"")</f>
        <v/>
      </c>
      <c r="H637">
        <f>IF(D637="REMOVE",COUNTIF($D$2:D637,"REMOVE"),"")</f>
        <v/>
      </c>
      <c r="I637">
        <f>IF(E637="Gmail",COUNTIF($E$2:E637,"Gmail"),"")</f>
        <v/>
      </c>
      <c r="J637">
        <f>IF(E637="Outlook",COUNTIF($E$2:E637,"Outlook"),"")</f>
        <v/>
      </c>
      <c r="K637">
        <f>IF(E637="Domain",COUNTIF($E$2:E637,"Domain"),"")</f>
        <v/>
      </c>
    </row>
    <row r="638">
      <c r="A638" s="2" t="n"/>
      <c r="B638">
        <f>LOWER(TRIM(A638))</f>
        <v/>
      </c>
      <c r="C638">
        <f>IF(B638="","",IFERROR(INDEX('Bad Patterns'!$A$2:$A$120,MATCH(1,INDEX(--ISNUMBER(SEARCH('Bad Patterns'!$A$2:$A$120,B638)),0),0)),""))</f>
        <v/>
      </c>
      <c r="D638">
        <f>IF(B638="","",IF(C638&lt;&gt;"","REMOVE","KEEP"))</f>
        <v/>
      </c>
      <c r="E638">
        <f>IF(D638&lt;&gt;"KEEP","",IF(RIGHT(B638,10)="@gmail.com","Gmail",IF(OR(RIGHT(B638,12)="@outlook.com",RIGHT(B638,12)="@hotmail.com",RIGHT(B638,9)="@live.com"),"Outlook","Domain")))</f>
        <v/>
      </c>
      <c r="F638">
        <f>IF(B638="","",IFERROR(RIGHT(B638,LEN(B638)-FIND("@",B638)),""))</f>
        <v/>
      </c>
      <c r="G638">
        <f>IF(D638="KEEP",COUNTIF($D$2:D638,"KEEP"),"")</f>
        <v/>
      </c>
      <c r="H638">
        <f>IF(D638="REMOVE",COUNTIF($D$2:D638,"REMOVE"),"")</f>
        <v/>
      </c>
      <c r="I638">
        <f>IF(E638="Gmail",COUNTIF($E$2:E638,"Gmail"),"")</f>
        <v/>
      </c>
      <c r="J638">
        <f>IF(E638="Outlook",COUNTIF($E$2:E638,"Outlook"),"")</f>
        <v/>
      </c>
      <c r="K638">
        <f>IF(E638="Domain",COUNTIF($E$2:E638,"Domain"),"")</f>
        <v/>
      </c>
    </row>
    <row r="639">
      <c r="A639" s="2" t="n"/>
      <c r="B639">
        <f>LOWER(TRIM(A639))</f>
        <v/>
      </c>
      <c r="C639">
        <f>IF(B639="","",IFERROR(INDEX('Bad Patterns'!$A$2:$A$120,MATCH(1,INDEX(--ISNUMBER(SEARCH('Bad Patterns'!$A$2:$A$120,B639)),0),0)),""))</f>
        <v/>
      </c>
      <c r="D639">
        <f>IF(B639="","",IF(C639&lt;&gt;"","REMOVE","KEEP"))</f>
        <v/>
      </c>
      <c r="E639">
        <f>IF(D639&lt;&gt;"KEEP","",IF(RIGHT(B639,10)="@gmail.com","Gmail",IF(OR(RIGHT(B639,12)="@outlook.com",RIGHT(B639,12)="@hotmail.com",RIGHT(B639,9)="@live.com"),"Outlook","Domain")))</f>
        <v/>
      </c>
      <c r="F639">
        <f>IF(B639="","",IFERROR(RIGHT(B639,LEN(B639)-FIND("@",B639)),""))</f>
        <v/>
      </c>
      <c r="G639">
        <f>IF(D639="KEEP",COUNTIF($D$2:D639,"KEEP"),"")</f>
        <v/>
      </c>
      <c r="H639">
        <f>IF(D639="REMOVE",COUNTIF($D$2:D639,"REMOVE"),"")</f>
        <v/>
      </c>
      <c r="I639">
        <f>IF(E639="Gmail",COUNTIF($E$2:E639,"Gmail"),"")</f>
        <v/>
      </c>
      <c r="J639">
        <f>IF(E639="Outlook",COUNTIF($E$2:E639,"Outlook"),"")</f>
        <v/>
      </c>
      <c r="K639">
        <f>IF(E639="Domain",COUNTIF($E$2:E639,"Domain"),"")</f>
        <v/>
      </c>
    </row>
    <row r="640">
      <c r="A640" s="2" t="n"/>
      <c r="B640">
        <f>LOWER(TRIM(A640))</f>
        <v/>
      </c>
      <c r="C640">
        <f>IF(B640="","",IFERROR(INDEX('Bad Patterns'!$A$2:$A$120,MATCH(1,INDEX(--ISNUMBER(SEARCH('Bad Patterns'!$A$2:$A$120,B640)),0),0)),""))</f>
        <v/>
      </c>
      <c r="D640">
        <f>IF(B640="","",IF(C640&lt;&gt;"","REMOVE","KEEP"))</f>
        <v/>
      </c>
      <c r="E640">
        <f>IF(D640&lt;&gt;"KEEP","",IF(RIGHT(B640,10)="@gmail.com","Gmail",IF(OR(RIGHT(B640,12)="@outlook.com",RIGHT(B640,12)="@hotmail.com",RIGHT(B640,9)="@live.com"),"Outlook","Domain")))</f>
        <v/>
      </c>
      <c r="F640">
        <f>IF(B640="","",IFERROR(RIGHT(B640,LEN(B640)-FIND("@",B640)),""))</f>
        <v/>
      </c>
      <c r="G640">
        <f>IF(D640="KEEP",COUNTIF($D$2:D640,"KEEP"),"")</f>
        <v/>
      </c>
      <c r="H640">
        <f>IF(D640="REMOVE",COUNTIF($D$2:D640,"REMOVE"),"")</f>
        <v/>
      </c>
      <c r="I640">
        <f>IF(E640="Gmail",COUNTIF($E$2:E640,"Gmail"),"")</f>
        <v/>
      </c>
      <c r="J640">
        <f>IF(E640="Outlook",COUNTIF($E$2:E640,"Outlook"),"")</f>
        <v/>
      </c>
      <c r="K640">
        <f>IF(E640="Domain",COUNTIF($E$2:E640,"Domain"),"")</f>
        <v/>
      </c>
    </row>
    <row r="641">
      <c r="A641" s="2" t="n"/>
      <c r="B641">
        <f>LOWER(TRIM(A641))</f>
        <v/>
      </c>
      <c r="C641">
        <f>IF(B641="","",IFERROR(INDEX('Bad Patterns'!$A$2:$A$120,MATCH(1,INDEX(--ISNUMBER(SEARCH('Bad Patterns'!$A$2:$A$120,B641)),0),0)),""))</f>
        <v/>
      </c>
      <c r="D641">
        <f>IF(B641="","",IF(C641&lt;&gt;"","REMOVE","KEEP"))</f>
        <v/>
      </c>
      <c r="E641">
        <f>IF(D641&lt;&gt;"KEEP","",IF(RIGHT(B641,10)="@gmail.com","Gmail",IF(OR(RIGHT(B641,12)="@outlook.com",RIGHT(B641,12)="@hotmail.com",RIGHT(B641,9)="@live.com"),"Outlook","Domain")))</f>
        <v/>
      </c>
      <c r="F641">
        <f>IF(B641="","",IFERROR(RIGHT(B641,LEN(B641)-FIND("@",B641)),""))</f>
        <v/>
      </c>
      <c r="G641">
        <f>IF(D641="KEEP",COUNTIF($D$2:D641,"KEEP"),"")</f>
        <v/>
      </c>
      <c r="H641">
        <f>IF(D641="REMOVE",COUNTIF($D$2:D641,"REMOVE"),"")</f>
        <v/>
      </c>
      <c r="I641">
        <f>IF(E641="Gmail",COUNTIF($E$2:E641,"Gmail"),"")</f>
        <v/>
      </c>
      <c r="J641">
        <f>IF(E641="Outlook",COUNTIF($E$2:E641,"Outlook"),"")</f>
        <v/>
      </c>
      <c r="K641">
        <f>IF(E641="Domain",COUNTIF($E$2:E641,"Domain"),"")</f>
        <v/>
      </c>
    </row>
    <row r="642">
      <c r="A642" s="2" t="n"/>
      <c r="B642">
        <f>LOWER(TRIM(A642))</f>
        <v/>
      </c>
      <c r="C642">
        <f>IF(B642="","",IFERROR(INDEX('Bad Patterns'!$A$2:$A$120,MATCH(1,INDEX(--ISNUMBER(SEARCH('Bad Patterns'!$A$2:$A$120,B642)),0),0)),""))</f>
        <v/>
      </c>
      <c r="D642">
        <f>IF(B642="","",IF(C642&lt;&gt;"","REMOVE","KEEP"))</f>
        <v/>
      </c>
      <c r="E642">
        <f>IF(D642&lt;&gt;"KEEP","",IF(RIGHT(B642,10)="@gmail.com","Gmail",IF(OR(RIGHT(B642,12)="@outlook.com",RIGHT(B642,12)="@hotmail.com",RIGHT(B642,9)="@live.com"),"Outlook","Domain")))</f>
        <v/>
      </c>
      <c r="F642">
        <f>IF(B642="","",IFERROR(RIGHT(B642,LEN(B642)-FIND("@",B642)),""))</f>
        <v/>
      </c>
      <c r="G642">
        <f>IF(D642="KEEP",COUNTIF($D$2:D642,"KEEP"),"")</f>
        <v/>
      </c>
      <c r="H642">
        <f>IF(D642="REMOVE",COUNTIF($D$2:D642,"REMOVE"),"")</f>
        <v/>
      </c>
      <c r="I642">
        <f>IF(E642="Gmail",COUNTIF($E$2:E642,"Gmail"),"")</f>
        <v/>
      </c>
      <c r="J642">
        <f>IF(E642="Outlook",COUNTIF($E$2:E642,"Outlook"),"")</f>
        <v/>
      </c>
      <c r="K642">
        <f>IF(E642="Domain",COUNTIF($E$2:E642,"Domain"),"")</f>
        <v/>
      </c>
    </row>
    <row r="643">
      <c r="A643" s="2" t="n"/>
      <c r="B643">
        <f>LOWER(TRIM(A643))</f>
        <v/>
      </c>
      <c r="C643">
        <f>IF(B643="","",IFERROR(INDEX('Bad Patterns'!$A$2:$A$120,MATCH(1,INDEX(--ISNUMBER(SEARCH('Bad Patterns'!$A$2:$A$120,B643)),0),0)),""))</f>
        <v/>
      </c>
      <c r="D643">
        <f>IF(B643="","",IF(C643&lt;&gt;"","REMOVE","KEEP"))</f>
        <v/>
      </c>
      <c r="E643">
        <f>IF(D643&lt;&gt;"KEEP","",IF(RIGHT(B643,10)="@gmail.com","Gmail",IF(OR(RIGHT(B643,12)="@outlook.com",RIGHT(B643,12)="@hotmail.com",RIGHT(B643,9)="@live.com"),"Outlook","Domain")))</f>
        <v/>
      </c>
      <c r="F643">
        <f>IF(B643="","",IFERROR(RIGHT(B643,LEN(B643)-FIND("@",B643)),""))</f>
        <v/>
      </c>
      <c r="G643">
        <f>IF(D643="KEEP",COUNTIF($D$2:D643,"KEEP"),"")</f>
        <v/>
      </c>
      <c r="H643">
        <f>IF(D643="REMOVE",COUNTIF($D$2:D643,"REMOVE"),"")</f>
        <v/>
      </c>
      <c r="I643">
        <f>IF(E643="Gmail",COUNTIF($E$2:E643,"Gmail"),"")</f>
        <v/>
      </c>
      <c r="J643">
        <f>IF(E643="Outlook",COUNTIF($E$2:E643,"Outlook"),"")</f>
        <v/>
      </c>
      <c r="K643">
        <f>IF(E643="Domain",COUNTIF($E$2:E643,"Domain"),"")</f>
        <v/>
      </c>
    </row>
    <row r="644">
      <c r="A644" s="2" t="n"/>
      <c r="B644">
        <f>LOWER(TRIM(A644))</f>
        <v/>
      </c>
      <c r="C644">
        <f>IF(B644="","",IFERROR(INDEX('Bad Patterns'!$A$2:$A$120,MATCH(1,INDEX(--ISNUMBER(SEARCH('Bad Patterns'!$A$2:$A$120,B644)),0),0)),""))</f>
        <v/>
      </c>
      <c r="D644">
        <f>IF(B644="","",IF(C644&lt;&gt;"","REMOVE","KEEP"))</f>
        <v/>
      </c>
      <c r="E644">
        <f>IF(D644&lt;&gt;"KEEP","",IF(RIGHT(B644,10)="@gmail.com","Gmail",IF(OR(RIGHT(B644,12)="@outlook.com",RIGHT(B644,12)="@hotmail.com",RIGHT(B644,9)="@live.com"),"Outlook","Domain")))</f>
        <v/>
      </c>
      <c r="F644">
        <f>IF(B644="","",IFERROR(RIGHT(B644,LEN(B644)-FIND("@",B644)),""))</f>
        <v/>
      </c>
      <c r="G644">
        <f>IF(D644="KEEP",COUNTIF($D$2:D644,"KEEP"),"")</f>
        <v/>
      </c>
      <c r="H644">
        <f>IF(D644="REMOVE",COUNTIF($D$2:D644,"REMOVE"),"")</f>
        <v/>
      </c>
      <c r="I644">
        <f>IF(E644="Gmail",COUNTIF($E$2:E644,"Gmail"),"")</f>
        <v/>
      </c>
      <c r="J644">
        <f>IF(E644="Outlook",COUNTIF($E$2:E644,"Outlook"),"")</f>
        <v/>
      </c>
      <c r="K644">
        <f>IF(E644="Domain",COUNTIF($E$2:E644,"Domain"),"")</f>
        <v/>
      </c>
    </row>
    <row r="645">
      <c r="A645" s="2" t="n"/>
      <c r="B645">
        <f>LOWER(TRIM(A645))</f>
        <v/>
      </c>
      <c r="C645">
        <f>IF(B645="","",IFERROR(INDEX('Bad Patterns'!$A$2:$A$120,MATCH(1,INDEX(--ISNUMBER(SEARCH('Bad Patterns'!$A$2:$A$120,B645)),0),0)),""))</f>
        <v/>
      </c>
      <c r="D645">
        <f>IF(B645="","",IF(C645&lt;&gt;"","REMOVE","KEEP"))</f>
        <v/>
      </c>
      <c r="E645">
        <f>IF(D645&lt;&gt;"KEEP","",IF(RIGHT(B645,10)="@gmail.com","Gmail",IF(OR(RIGHT(B645,12)="@outlook.com",RIGHT(B645,12)="@hotmail.com",RIGHT(B645,9)="@live.com"),"Outlook","Domain")))</f>
        <v/>
      </c>
      <c r="F645">
        <f>IF(B645="","",IFERROR(RIGHT(B645,LEN(B645)-FIND("@",B645)),""))</f>
        <v/>
      </c>
      <c r="G645">
        <f>IF(D645="KEEP",COUNTIF($D$2:D645,"KEEP"),"")</f>
        <v/>
      </c>
      <c r="H645">
        <f>IF(D645="REMOVE",COUNTIF($D$2:D645,"REMOVE"),"")</f>
        <v/>
      </c>
      <c r="I645">
        <f>IF(E645="Gmail",COUNTIF($E$2:E645,"Gmail"),"")</f>
        <v/>
      </c>
      <c r="J645">
        <f>IF(E645="Outlook",COUNTIF($E$2:E645,"Outlook"),"")</f>
        <v/>
      </c>
      <c r="K645">
        <f>IF(E645="Domain",COUNTIF($E$2:E645,"Domain"),"")</f>
        <v/>
      </c>
    </row>
    <row r="646">
      <c r="A646" s="2" t="n"/>
      <c r="B646">
        <f>LOWER(TRIM(A646))</f>
        <v/>
      </c>
      <c r="C646">
        <f>IF(B646="","",IFERROR(INDEX('Bad Patterns'!$A$2:$A$120,MATCH(1,INDEX(--ISNUMBER(SEARCH('Bad Patterns'!$A$2:$A$120,B646)),0),0)),""))</f>
        <v/>
      </c>
      <c r="D646">
        <f>IF(B646="","",IF(C646&lt;&gt;"","REMOVE","KEEP"))</f>
        <v/>
      </c>
      <c r="E646">
        <f>IF(D646&lt;&gt;"KEEP","",IF(RIGHT(B646,10)="@gmail.com","Gmail",IF(OR(RIGHT(B646,12)="@outlook.com",RIGHT(B646,12)="@hotmail.com",RIGHT(B646,9)="@live.com"),"Outlook","Domain")))</f>
        <v/>
      </c>
      <c r="F646">
        <f>IF(B646="","",IFERROR(RIGHT(B646,LEN(B646)-FIND("@",B646)),""))</f>
        <v/>
      </c>
      <c r="G646">
        <f>IF(D646="KEEP",COUNTIF($D$2:D646,"KEEP"),"")</f>
        <v/>
      </c>
      <c r="H646">
        <f>IF(D646="REMOVE",COUNTIF($D$2:D646,"REMOVE"),"")</f>
        <v/>
      </c>
      <c r="I646">
        <f>IF(E646="Gmail",COUNTIF($E$2:E646,"Gmail"),"")</f>
        <v/>
      </c>
      <c r="J646">
        <f>IF(E646="Outlook",COUNTIF($E$2:E646,"Outlook"),"")</f>
        <v/>
      </c>
      <c r="K646">
        <f>IF(E646="Domain",COUNTIF($E$2:E646,"Domain"),"")</f>
        <v/>
      </c>
    </row>
    <row r="647">
      <c r="A647" s="2" t="n"/>
      <c r="B647">
        <f>LOWER(TRIM(A647))</f>
        <v/>
      </c>
      <c r="C647">
        <f>IF(B647="","",IFERROR(INDEX('Bad Patterns'!$A$2:$A$120,MATCH(1,INDEX(--ISNUMBER(SEARCH('Bad Patterns'!$A$2:$A$120,B647)),0),0)),""))</f>
        <v/>
      </c>
      <c r="D647">
        <f>IF(B647="","",IF(C647&lt;&gt;"","REMOVE","KEEP"))</f>
        <v/>
      </c>
      <c r="E647">
        <f>IF(D647&lt;&gt;"KEEP","",IF(RIGHT(B647,10)="@gmail.com","Gmail",IF(OR(RIGHT(B647,12)="@outlook.com",RIGHT(B647,12)="@hotmail.com",RIGHT(B647,9)="@live.com"),"Outlook","Domain")))</f>
        <v/>
      </c>
      <c r="F647">
        <f>IF(B647="","",IFERROR(RIGHT(B647,LEN(B647)-FIND("@",B647)),""))</f>
        <v/>
      </c>
      <c r="G647">
        <f>IF(D647="KEEP",COUNTIF($D$2:D647,"KEEP"),"")</f>
        <v/>
      </c>
      <c r="H647">
        <f>IF(D647="REMOVE",COUNTIF($D$2:D647,"REMOVE"),"")</f>
        <v/>
      </c>
      <c r="I647">
        <f>IF(E647="Gmail",COUNTIF($E$2:E647,"Gmail"),"")</f>
        <v/>
      </c>
      <c r="J647">
        <f>IF(E647="Outlook",COUNTIF($E$2:E647,"Outlook"),"")</f>
        <v/>
      </c>
      <c r="K647">
        <f>IF(E647="Domain",COUNTIF($E$2:E647,"Domain"),"")</f>
        <v/>
      </c>
    </row>
    <row r="648">
      <c r="A648" s="2" t="n"/>
      <c r="B648">
        <f>LOWER(TRIM(A648))</f>
        <v/>
      </c>
      <c r="C648">
        <f>IF(B648="","",IFERROR(INDEX('Bad Patterns'!$A$2:$A$120,MATCH(1,INDEX(--ISNUMBER(SEARCH('Bad Patterns'!$A$2:$A$120,B648)),0),0)),""))</f>
        <v/>
      </c>
      <c r="D648">
        <f>IF(B648="","",IF(C648&lt;&gt;"","REMOVE","KEEP"))</f>
        <v/>
      </c>
      <c r="E648">
        <f>IF(D648&lt;&gt;"KEEP","",IF(RIGHT(B648,10)="@gmail.com","Gmail",IF(OR(RIGHT(B648,12)="@outlook.com",RIGHT(B648,12)="@hotmail.com",RIGHT(B648,9)="@live.com"),"Outlook","Domain")))</f>
        <v/>
      </c>
      <c r="F648">
        <f>IF(B648="","",IFERROR(RIGHT(B648,LEN(B648)-FIND("@",B648)),""))</f>
        <v/>
      </c>
      <c r="G648">
        <f>IF(D648="KEEP",COUNTIF($D$2:D648,"KEEP"),"")</f>
        <v/>
      </c>
      <c r="H648">
        <f>IF(D648="REMOVE",COUNTIF($D$2:D648,"REMOVE"),"")</f>
        <v/>
      </c>
      <c r="I648">
        <f>IF(E648="Gmail",COUNTIF($E$2:E648,"Gmail"),"")</f>
        <v/>
      </c>
      <c r="J648">
        <f>IF(E648="Outlook",COUNTIF($E$2:E648,"Outlook"),"")</f>
        <v/>
      </c>
      <c r="K648">
        <f>IF(E648="Domain",COUNTIF($E$2:E648,"Domain"),"")</f>
        <v/>
      </c>
    </row>
    <row r="649">
      <c r="A649" s="2" t="n"/>
      <c r="B649">
        <f>LOWER(TRIM(A649))</f>
        <v/>
      </c>
      <c r="C649">
        <f>IF(B649="","",IFERROR(INDEX('Bad Patterns'!$A$2:$A$120,MATCH(1,INDEX(--ISNUMBER(SEARCH('Bad Patterns'!$A$2:$A$120,B649)),0),0)),""))</f>
        <v/>
      </c>
      <c r="D649">
        <f>IF(B649="","",IF(C649&lt;&gt;"","REMOVE","KEEP"))</f>
        <v/>
      </c>
      <c r="E649">
        <f>IF(D649&lt;&gt;"KEEP","",IF(RIGHT(B649,10)="@gmail.com","Gmail",IF(OR(RIGHT(B649,12)="@outlook.com",RIGHT(B649,12)="@hotmail.com",RIGHT(B649,9)="@live.com"),"Outlook","Domain")))</f>
        <v/>
      </c>
      <c r="F649">
        <f>IF(B649="","",IFERROR(RIGHT(B649,LEN(B649)-FIND("@",B649)),""))</f>
        <v/>
      </c>
      <c r="G649">
        <f>IF(D649="KEEP",COUNTIF($D$2:D649,"KEEP"),"")</f>
        <v/>
      </c>
      <c r="H649">
        <f>IF(D649="REMOVE",COUNTIF($D$2:D649,"REMOVE"),"")</f>
        <v/>
      </c>
      <c r="I649">
        <f>IF(E649="Gmail",COUNTIF($E$2:E649,"Gmail"),"")</f>
        <v/>
      </c>
      <c r="J649">
        <f>IF(E649="Outlook",COUNTIF($E$2:E649,"Outlook"),"")</f>
        <v/>
      </c>
      <c r="K649">
        <f>IF(E649="Domain",COUNTIF($E$2:E649,"Domain"),"")</f>
        <v/>
      </c>
    </row>
    <row r="650">
      <c r="A650" s="2" t="n"/>
      <c r="B650">
        <f>LOWER(TRIM(A650))</f>
        <v/>
      </c>
      <c r="C650">
        <f>IF(B650="","",IFERROR(INDEX('Bad Patterns'!$A$2:$A$120,MATCH(1,INDEX(--ISNUMBER(SEARCH('Bad Patterns'!$A$2:$A$120,B650)),0),0)),""))</f>
        <v/>
      </c>
      <c r="D650">
        <f>IF(B650="","",IF(C650&lt;&gt;"","REMOVE","KEEP"))</f>
        <v/>
      </c>
      <c r="E650">
        <f>IF(D650&lt;&gt;"KEEP","",IF(RIGHT(B650,10)="@gmail.com","Gmail",IF(OR(RIGHT(B650,12)="@outlook.com",RIGHT(B650,12)="@hotmail.com",RIGHT(B650,9)="@live.com"),"Outlook","Domain")))</f>
        <v/>
      </c>
      <c r="F650">
        <f>IF(B650="","",IFERROR(RIGHT(B650,LEN(B650)-FIND("@",B650)),""))</f>
        <v/>
      </c>
      <c r="G650">
        <f>IF(D650="KEEP",COUNTIF($D$2:D650,"KEEP"),"")</f>
        <v/>
      </c>
      <c r="H650">
        <f>IF(D650="REMOVE",COUNTIF($D$2:D650,"REMOVE"),"")</f>
        <v/>
      </c>
      <c r="I650">
        <f>IF(E650="Gmail",COUNTIF($E$2:E650,"Gmail"),"")</f>
        <v/>
      </c>
      <c r="J650">
        <f>IF(E650="Outlook",COUNTIF($E$2:E650,"Outlook"),"")</f>
        <v/>
      </c>
      <c r="K650">
        <f>IF(E650="Domain",COUNTIF($E$2:E650,"Domain"),"")</f>
        <v/>
      </c>
    </row>
    <row r="651">
      <c r="A651" s="2" t="n"/>
      <c r="B651">
        <f>LOWER(TRIM(A651))</f>
        <v/>
      </c>
      <c r="C651">
        <f>IF(B651="","",IFERROR(INDEX('Bad Patterns'!$A$2:$A$120,MATCH(1,INDEX(--ISNUMBER(SEARCH('Bad Patterns'!$A$2:$A$120,B651)),0),0)),""))</f>
        <v/>
      </c>
      <c r="D651">
        <f>IF(B651="","",IF(C651&lt;&gt;"","REMOVE","KEEP"))</f>
        <v/>
      </c>
      <c r="E651">
        <f>IF(D651&lt;&gt;"KEEP","",IF(RIGHT(B651,10)="@gmail.com","Gmail",IF(OR(RIGHT(B651,12)="@outlook.com",RIGHT(B651,12)="@hotmail.com",RIGHT(B651,9)="@live.com"),"Outlook","Domain")))</f>
        <v/>
      </c>
      <c r="F651">
        <f>IF(B651="","",IFERROR(RIGHT(B651,LEN(B651)-FIND("@",B651)),""))</f>
        <v/>
      </c>
      <c r="G651">
        <f>IF(D651="KEEP",COUNTIF($D$2:D651,"KEEP"),"")</f>
        <v/>
      </c>
      <c r="H651">
        <f>IF(D651="REMOVE",COUNTIF($D$2:D651,"REMOVE"),"")</f>
        <v/>
      </c>
      <c r="I651">
        <f>IF(E651="Gmail",COUNTIF($E$2:E651,"Gmail"),"")</f>
        <v/>
      </c>
      <c r="J651">
        <f>IF(E651="Outlook",COUNTIF($E$2:E651,"Outlook"),"")</f>
        <v/>
      </c>
      <c r="K651">
        <f>IF(E651="Domain",COUNTIF($E$2:E651,"Domain"),"")</f>
        <v/>
      </c>
    </row>
    <row r="652">
      <c r="A652" s="2" t="n"/>
      <c r="B652">
        <f>LOWER(TRIM(A652))</f>
        <v/>
      </c>
      <c r="C652">
        <f>IF(B652="","",IFERROR(INDEX('Bad Patterns'!$A$2:$A$120,MATCH(1,INDEX(--ISNUMBER(SEARCH('Bad Patterns'!$A$2:$A$120,B652)),0),0)),""))</f>
        <v/>
      </c>
      <c r="D652">
        <f>IF(B652="","",IF(C652&lt;&gt;"","REMOVE","KEEP"))</f>
        <v/>
      </c>
      <c r="E652">
        <f>IF(D652&lt;&gt;"KEEP","",IF(RIGHT(B652,10)="@gmail.com","Gmail",IF(OR(RIGHT(B652,12)="@outlook.com",RIGHT(B652,12)="@hotmail.com",RIGHT(B652,9)="@live.com"),"Outlook","Domain")))</f>
        <v/>
      </c>
      <c r="F652">
        <f>IF(B652="","",IFERROR(RIGHT(B652,LEN(B652)-FIND("@",B652)),""))</f>
        <v/>
      </c>
      <c r="G652">
        <f>IF(D652="KEEP",COUNTIF($D$2:D652,"KEEP"),"")</f>
        <v/>
      </c>
      <c r="H652">
        <f>IF(D652="REMOVE",COUNTIF($D$2:D652,"REMOVE"),"")</f>
        <v/>
      </c>
      <c r="I652">
        <f>IF(E652="Gmail",COUNTIF($E$2:E652,"Gmail"),"")</f>
        <v/>
      </c>
      <c r="J652">
        <f>IF(E652="Outlook",COUNTIF($E$2:E652,"Outlook"),"")</f>
        <v/>
      </c>
      <c r="K652">
        <f>IF(E652="Domain",COUNTIF($E$2:E652,"Domain"),"")</f>
        <v/>
      </c>
    </row>
    <row r="653">
      <c r="A653" s="2" t="n"/>
      <c r="B653">
        <f>LOWER(TRIM(A653))</f>
        <v/>
      </c>
      <c r="C653">
        <f>IF(B653="","",IFERROR(INDEX('Bad Patterns'!$A$2:$A$120,MATCH(1,INDEX(--ISNUMBER(SEARCH('Bad Patterns'!$A$2:$A$120,B653)),0),0)),""))</f>
        <v/>
      </c>
      <c r="D653">
        <f>IF(B653="","",IF(C653&lt;&gt;"","REMOVE","KEEP"))</f>
        <v/>
      </c>
      <c r="E653">
        <f>IF(D653&lt;&gt;"KEEP","",IF(RIGHT(B653,10)="@gmail.com","Gmail",IF(OR(RIGHT(B653,12)="@outlook.com",RIGHT(B653,12)="@hotmail.com",RIGHT(B653,9)="@live.com"),"Outlook","Domain")))</f>
        <v/>
      </c>
      <c r="F653">
        <f>IF(B653="","",IFERROR(RIGHT(B653,LEN(B653)-FIND("@",B653)),""))</f>
        <v/>
      </c>
      <c r="G653">
        <f>IF(D653="KEEP",COUNTIF($D$2:D653,"KEEP"),"")</f>
        <v/>
      </c>
      <c r="H653">
        <f>IF(D653="REMOVE",COUNTIF($D$2:D653,"REMOVE"),"")</f>
        <v/>
      </c>
      <c r="I653">
        <f>IF(E653="Gmail",COUNTIF($E$2:E653,"Gmail"),"")</f>
        <v/>
      </c>
      <c r="J653">
        <f>IF(E653="Outlook",COUNTIF($E$2:E653,"Outlook"),"")</f>
        <v/>
      </c>
      <c r="K653">
        <f>IF(E653="Domain",COUNTIF($E$2:E653,"Domain"),"")</f>
        <v/>
      </c>
    </row>
    <row r="654">
      <c r="A654" s="2" t="n"/>
      <c r="B654">
        <f>LOWER(TRIM(A654))</f>
        <v/>
      </c>
      <c r="C654">
        <f>IF(B654="","",IFERROR(INDEX('Bad Patterns'!$A$2:$A$120,MATCH(1,INDEX(--ISNUMBER(SEARCH('Bad Patterns'!$A$2:$A$120,B654)),0),0)),""))</f>
        <v/>
      </c>
      <c r="D654">
        <f>IF(B654="","",IF(C654&lt;&gt;"","REMOVE","KEEP"))</f>
        <v/>
      </c>
      <c r="E654">
        <f>IF(D654&lt;&gt;"KEEP","",IF(RIGHT(B654,10)="@gmail.com","Gmail",IF(OR(RIGHT(B654,12)="@outlook.com",RIGHT(B654,12)="@hotmail.com",RIGHT(B654,9)="@live.com"),"Outlook","Domain")))</f>
        <v/>
      </c>
      <c r="F654">
        <f>IF(B654="","",IFERROR(RIGHT(B654,LEN(B654)-FIND("@",B654)),""))</f>
        <v/>
      </c>
      <c r="G654">
        <f>IF(D654="KEEP",COUNTIF($D$2:D654,"KEEP"),"")</f>
        <v/>
      </c>
      <c r="H654">
        <f>IF(D654="REMOVE",COUNTIF($D$2:D654,"REMOVE"),"")</f>
        <v/>
      </c>
      <c r="I654">
        <f>IF(E654="Gmail",COUNTIF($E$2:E654,"Gmail"),"")</f>
        <v/>
      </c>
      <c r="J654">
        <f>IF(E654="Outlook",COUNTIF($E$2:E654,"Outlook"),"")</f>
        <v/>
      </c>
      <c r="K654">
        <f>IF(E654="Domain",COUNTIF($E$2:E654,"Domain"),"")</f>
        <v/>
      </c>
    </row>
    <row r="655">
      <c r="A655" s="2" t="n"/>
      <c r="B655">
        <f>LOWER(TRIM(A655))</f>
        <v/>
      </c>
      <c r="C655">
        <f>IF(B655="","",IFERROR(INDEX('Bad Patterns'!$A$2:$A$120,MATCH(1,INDEX(--ISNUMBER(SEARCH('Bad Patterns'!$A$2:$A$120,B655)),0),0)),""))</f>
        <v/>
      </c>
      <c r="D655">
        <f>IF(B655="","",IF(C655&lt;&gt;"","REMOVE","KEEP"))</f>
        <v/>
      </c>
      <c r="E655">
        <f>IF(D655&lt;&gt;"KEEP","",IF(RIGHT(B655,10)="@gmail.com","Gmail",IF(OR(RIGHT(B655,12)="@outlook.com",RIGHT(B655,12)="@hotmail.com",RIGHT(B655,9)="@live.com"),"Outlook","Domain")))</f>
        <v/>
      </c>
      <c r="F655">
        <f>IF(B655="","",IFERROR(RIGHT(B655,LEN(B655)-FIND("@",B655)),""))</f>
        <v/>
      </c>
      <c r="G655">
        <f>IF(D655="KEEP",COUNTIF($D$2:D655,"KEEP"),"")</f>
        <v/>
      </c>
      <c r="H655">
        <f>IF(D655="REMOVE",COUNTIF($D$2:D655,"REMOVE"),"")</f>
        <v/>
      </c>
      <c r="I655">
        <f>IF(E655="Gmail",COUNTIF($E$2:E655,"Gmail"),"")</f>
        <v/>
      </c>
      <c r="J655">
        <f>IF(E655="Outlook",COUNTIF($E$2:E655,"Outlook"),"")</f>
        <v/>
      </c>
      <c r="K655">
        <f>IF(E655="Domain",COUNTIF($E$2:E655,"Domain"),"")</f>
        <v/>
      </c>
    </row>
    <row r="656">
      <c r="A656" s="2" t="n"/>
      <c r="B656">
        <f>LOWER(TRIM(A656))</f>
        <v/>
      </c>
      <c r="C656">
        <f>IF(B656="","",IFERROR(INDEX('Bad Patterns'!$A$2:$A$120,MATCH(1,INDEX(--ISNUMBER(SEARCH('Bad Patterns'!$A$2:$A$120,B656)),0),0)),""))</f>
        <v/>
      </c>
      <c r="D656">
        <f>IF(B656="","",IF(C656&lt;&gt;"","REMOVE","KEEP"))</f>
        <v/>
      </c>
      <c r="E656">
        <f>IF(D656&lt;&gt;"KEEP","",IF(RIGHT(B656,10)="@gmail.com","Gmail",IF(OR(RIGHT(B656,12)="@outlook.com",RIGHT(B656,12)="@hotmail.com",RIGHT(B656,9)="@live.com"),"Outlook","Domain")))</f>
        <v/>
      </c>
      <c r="F656">
        <f>IF(B656="","",IFERROR(RIGHT(B656,LEN(B656)-FIND("@",B656)),""))</f>
        <v/>
      </c>
      <c r="G656">
        <f>IF(D656="KEEP",COUNTIF($D$2:D656,"KEEP"),"")</f>
        <v/>
      </c>
      <c r="H656">
        <f>IF(D656="REMOVE",COUNTIF($D$2:D656,"REMOVE"),"")</f>
        <v/>
      </c>
      <c r="I656">
        <f>IF(E656="Gmail",COUNTIF($E$2:E656,"Gmail"),"")</f>
        <v/>
      </c>
      <c r="J656">
        <f>IF(E656="Outlook",COUNTIF($E$2:E656,"Outlook"),"")</f>
        <v/>
      </c>
      <c r="K656">
        <f>IF(E656="Domain",COUNTIF($E$2:E656,"Domain"),"")</f>
        <v/>
      </c>
    </row>
    <row r="657">
      <c r="A657" s="2" t="n"/>
      <c r="B657">
        <f>LOWER(TRIM(A657))</f>
        <v/>
      </c>
      <c r="C657">
        <f>IF(B657="","",IFERROR(INDEX('Bad Patterns'!$A$2:$A$120,MATCH(1,INDEX(--ISNUMBER(SEARCH('Bad Patterns'!$A$2:$A$120,B657)),0),0)),""))</f>
        <v/>
      </c>
      <c r="D657">
        <f>IF(B657="","",IF(C657&lt;&gt;"","REMOVE","KEEP"))</f>
        <v/>
      </c>
      <c r="E657">
        <f>IF(D657&lt;&gt;"KEEP","",IF(RIGHT(B657,10)="@gmail.com","Gmail",IF(OR(RIGHT(B657,12)="@outlook.com",RIGHT(B657,12)="@hotmail.com",RIGHT(B657,9)="@live.com"),"Outlook","Domain")))</f>
        <v/>
      </c>
      <c r="F657">
        <f>IF(B657="","",IFERROR(RIGHT(B657,LEN(B657)-FIND("@",B657)),""))</f>
        <v/>
      </c>
      <c r="G657">
        <f>IF(D657="KEEP",COUNTIF($D$2:D657,"KEEP"),"")</f>
        <v/>
      </c>
      <c r="H657">
        <f>IF(D657="REMOVE",COUNTIF($D$2:D657,"REMOVE"),"")</f>
        <v/>
      </c>
      <c r="I657">
        <f>IF(E657="Gmail",COUNTIF($E$2:E657,"Gmail"),"")</f>
        <v/>
      </c>
      <c r="J657">
        <f>IF(E657="Outlook",COUNTIF($E$2:E657,"Outlook"),"")</f>
        <v/>
      </c>
      <c r="K657">
        <f>IF(E657="Domain",COUNTIF($E$2:E657,"Domain"),"")</f>
        <v/>
      </c>
    </row>
    <row r="658">
      <c r="A658" s="2" t="n"/>
      <c r="B658">
        <f>LOWER(TRIM(A658))</f>
        <v/>
      </c>
      <c r="C658">
        <f>IF(B658="","",IFERROR(INDEX('Bad Patterns'!$A$2:$A$120,MATCH(1,INDEX(--ISNUMBER(SEARCH('Bad Patterns'!$A$2:$A$120,B658)),0),0)),""))</f>
        <v/>
      </c>
      <c r="D658">
        <f>IF(B658="","",IF(C658&lt;&gt;"","REMOVE","KEEP"))</f>
        <v/>
      </c>
      <c r="E658">
        <f>IF(D658&lt;&gt;"KEEP","",IF(RIGHT(B658,10)="@gmail.com","Gmail",IF(OR(RIGHT(B658,12)="@outlook.com",RIGHT(B658,12)="@hotmail.com",RIGHT(B658,9)="@live.com"),"Outlook","Domain")))</f>
        <v/>
      </c>
      <c r="F658">
        <f>IF(B658="","",IFERROR(RIGHT(B658,LEN(B658)-FIND("@",B658)),""))</f>
        <v/>
      </c>
      <c r="G658">
        <f>IF(D658="KEEP",COUNTIF($D$2:D658,"KEEP"),"")</f>
        <v/>
      </c>
      <c r="H658">
        <f>IF(D658="REMOVE",COUNTIF($D$2:D658,"REMOVE"),"")</f>
        <v/>
      </c>
      <c r="I658">
        <f>IF(E658="Gmail",COUNTIF($E$2:E658,"Gmail"),"")</f>
        <v/>
      </c>
      <c r="J658">
        <f>IF(E658="Outlook",COUNTIF($E$2:E658,"Outlook"),"")</f>
        <v/>
      </c>
      <c r="K658">
        <f>IF(E658="Domain",COUNTIF($E$2:E658,"Domain"),"")</f>
        <v/>
      </c>
    </row>
    <row r="659">
      <c r="A659" s="2" t="n"/>
      <c r="B659">
        <f>LOWER(TRIM(A659))</f>
        <v/>
      </c>
      <c r="C659">
        <f>IF(B659="","",IFERROR(INDEX('Bad Patterns'!$A$2:$A$120,MATCH(1,INDEX(--ISNUMBER(SEARCH('Bad Patterns'!$A$2:$A$120,B659)),0),0)),""))</f>
        <v/>
      </c>
      <c r="D659">
        <f>IF(B659="","",IF(C659&lt;&gt;"","REMOVE","KEEP"))</f>
        <v/>
      </c>
      <c r="E659">
        <f>IF(D659&lt;&gt;"KEEP","",IF(RIGHT(B659,10)="@gmail.com","Gmail",IF(OR(RIGHT(B659,12)="@outlook.com",RIGHT(B659,12)="@hotmail.com",RIGHT(B659,9)="@live.com"),"Outlook","Domain")))</f>
        <v/>
      </c>
      <c r="F659">
        <f>IF(B659="","",IFERROR(RIGHT(B659,LEN(B659)-FIND("@",B659)),""))</f>
        <v/>
      </c>
      <c r="G659">
        <f>IF(D659="KEEP",COUNTIF($D$2:D659,"KEEP"),"")</f>
        <v/>
      </c>
      <c r="H659">
        <f>IF(D659="REMOVE",COUNTIF($D$2:D659,"REMOVE"),"")</f>
        <v/>
      </c>
      <c r="I659">
        <f>IF(E659="Gmail",COUNTIF($E$2:E659,"Gmail"),"")</f>
        <v/>
      </c>
      <c r="J659">
        <f>IF(E659="Outlook",COUNTIF($E$2:E659,"Outlook"),"")</f>
        <v/>
      </c>
      <c r="K659">
        <f>IF(E659="Domain",COUNTIF($E$2:E659,"Domain"),"")</f>
        <v/>
      </c>
    </row>
    <row r="660">
      <c r="A660" s="2" t="n"/>
      <c r="B660">
        <f>LOWER(TRIM(A660))</f>
        <v/>
      </c>
      <c r="C660">
        <f>IF(B660="","",IFERROR(INDEX('Bad Patterns'!$A$2:$A$120,MATCH(1,INDEX(--ISNUMBER(SEARCH('Bad Patterns'!$A$2:$A$120,B660)),0),0)),""))</f>
        <v/>
      </c>
      <c r="D660">
        <f>IF(B660="","",IF(C660&lt;&gt;"","REMOVE","KEEP"))</f>
        <v/>
      </c>
      <c r="E660">
        <f>IF(D660&lt;&gt;"KEEP","",IF(RIGHT(B660,10)="@gmail.com","Gmail",IF(OR(RIGHT(B660,12)="@outlook.com",RIGHT(B660,12)="@hotmail.com",RIGHT(B660,9)="@live.com"),"Outlook","Domain")))</f>
        <v/>
      </c>
      <c r="F660">
        <f>IF(B660="","",IFERROR(RIGHT(B660,LEN(B660)-FIND("@",B660)),""))</f>
        <v/>
      </c>
      <c r="G660">
        <f>IF(D660="KEEP",COUNTIF($D$2:D660,"KEEP"),"")</f>
        <v/>
      </c>
      <c r="H660">
        <f>IF(D660="REMOVE",COUNTIF($D$2:D660,"REMOVE"),"")</f>
        <v/>
      </c>
      <c r="I660">
        <f>IF(E660="Gmail",COUNTIF($E$2:E660,"Gmail"),"")</f>
        <v/>
      </c>
      <c r="J660">
        <f>IF(E660="Outlook",COUNTIF($E$2:E660,"Outlook"),"")</f>
        <v/>
      </c>
      <c r="K660">
        <f>IF(E660="Domain",COUNTIF($E$2:E660,"Domain"),"")</f>
        <v/>
      </c>
    </row>
    <row r="661">
      <c r="A661" s="2" t="n"/>
      <c r="B661">
        <f>LOWER(TRIM(A661))</f>
        <v/>
      </c>
      <c r="C661">
        <f>IF(B661="","",IFERROR(INDEX('Bad Patterns'!$A$2:$A$120,MATCH(1,INDEX(--ISNUMBER(SEARCH('Bad Patterns'!$A$2:$A$120,B661)),0),0)),""))</f>
        <v/>
      </c>
      <c r="D661">
        <f>IF(B661="","",IF(C661&lt;&gt;"","REMOVE","KEEP"))</f>
        <v/>
      </c>
      <c r="E661">
        <f>IF(D661&lt;&gt;"KEEP","",IF(RIGHT(B661,10)="@gmail.com","Gmail",IF(OR(RIGHT(B661,12)="@outlook.com",RIGHT(B661,12)="@hotmail.com",RIGHT(B661,9)="@live.com"),"Outlook","Domain")))</f>
        <v/>
      </c>
      <c r="F661">
        <f>IF(B661="","",IFERROR(RIGHT(B661,LEN(B661)-FIND("@",B661)),""))</f>
        <v/>
      </c>
      <c r="G661">
        <f>IF(D661="KEEP",COUNTIF($D$2:D661,"KEEP"),"")</f>
        <v/>
      </c>
      <c r="H661">
        <f>IF(D661="REMOVE",COUNTIF($D$2:D661,"REMOVE"),"")</f>
        <v/>
      </c>
      <c r="I661">
        <f>IF(E661="Gmail",COUNTIF($E$2:E661,"Gmail"),"")</f>
        <v/>
      </c>
      <c r="J661">
        <f>IF(E661="Outlook",COUNTIF($E$2:E661,"Outlook"),"")</f>
        <v/>
      </c>
      <c r="K661">
        <f>IF(E661="Domain",COUNTIF($E$2:E661,"Domain"),"")</f>
        <v/>
      </c>
    </row>
    <row r="662">
      <c r="A662" s="2" t="n"/>
      <c r="B662">
        <f>LOWER(TRIM(A662))</f>
        <v/>
      </c>
      <c r="C662">
        <f>IF(B662="","",IFERROR(INDEX('Bad Patterns'!$A$2:$A$120,MATCH(1,INDEX(--ISNUMBER(SEARCH('Bad Patterns'!$A$2:$A$120,B662)),0),0)),""))</f>
        <v/>
      </c>
      <c r="D662">
        <f>IF(B662="","",IF(C662&lt;&gt;"","REMOVE","KEEP"))</f>
        <v/>
      </c>
      <c r="E662">
        <f>IF(D662&lt;&gt;"KEEP","",IF(RIGHT(B662,10)="@gmail.com","Gmail",IF(OR(RIGHT(B662,12)="@outlook.com",RIGHT(B662,12)="@hotmail.com",RIGHT(B662,9)="@live.com"),"Outlook","Domain")))</f>
        <v/>
      </c>
      <c r="F662">
        <f>IF(B662="","",IFERROR(RIGHT(B662,LEN(B662)-FIND("@",B662)),""))</f>
        <v/>
      </c>
      <c r="G662">
        <f>IF(D662="KEEP",COUNTIF($D$2:D662,"KEEP"),"")</f>
        <v/>
      </c>
      <c r="H662">
        <f>IF(D662="REMOVE",COUNTIF($D$2:D662,"REMOVE"),"")</f>
        <v/>
      </c>
      <c r="I662">
        <f>IF(E662="Gmail",COUNTIF($E$2:E662,"Gmail"),"")</f>
        <v/>
      </c>
      <c r="J662">
        <f>IF(E662="Outlook",COUNTIF($E$2:E662,"Outlook"),"")</f>
        <v/>
      </c>
      <c r="K662">
        <f>IF(E662="Domain",COUNTIF($E$2:E662,"Domain"),"")</f>
        <v/>
      </c>
    </row>
    <row r="663">
      <c r="A663" s="2" t="n"/>
      <c r="B663">
        <f>LOWER(TRIM(A663))</f>
        <v/>
      </c>
      <c r="C663">
        <f>IF(B663="","",IFERROR(INDEX('Bad Patterns'!$A$2:$A$120,MATCH(1,INDEX(--ISNUMBER(SEARCH('Bad Patterns'!$A$2:$A$120,B663)),0),0)),""))</f>
        <v/>
      </c>
      <c r="D663">
        <f>IF(B663="","",IF(C663&lt;&gt;"","REMOVE","KEEP"))</f>
        <v/>
      </c>
      <c r="E663">
        <f>IF(D663&lt;&gt;"KEEP","",IF(RIGHT(B663,10)="@gmail.com","Gmail",IF(OR(RIGHT(B663,12)="@outlook.com",RIGHT(B663,12)="@hotmail.com",RIGHT(B663,9)="@live.com"),"Outlook","Domain")))</f>
        <v/>
      </c>
      <c r="F663">
        <f>IF(B663="","",IFERROR(RIGHT(B663,LEN(B663)-FIND("@",B663)),""))</f>
        <v/>
      </c>
      <c r="G663">
        <f>IF(D663="KEEP",COUNTIF($D$2:D663,"KEEP"),"")</f>
        <v/>
      </c>
      <c r="H663">
        <f>IF(D663="REMOVE",COUNTIF($D$2:D663,"REMOVE"),"")</f>
        <v/>
      </c>
      <c r="I663">
        <f>IF(E663="Gmail",COUNTIF($E$2:E663,"Gmail"),"")</f>
        <v/>
      </c>
      <c r="J663">
        <f>IF(E663="Outlook",COUNTIF($E$2:E663,"Outlook"),"")</f>
        <v/>
      </c>
      <c r="K663">
        <f>IF(E663="Domain",COUNTIF($E$2:E663,"Domain"),"")</f>
        <v/>
      </c>
    </row>
    <row r="664">
      <c r="A664" s="2" t="n"/>
      <c r="B664">
        <f>LOWER(TRIM(A664))</f>
        <v/>
      </c>
      <c r="C664">
        <f>IF(B664="","",IFERROR(INDEX('Bad Patterns'!$A$2:$A$120,MATCH(1,INDEX(--ISNUMBER(SEARCH('Bad Patterns'!$A$2:$A$120,B664)),0),0)),""))</f>
        <v/>
      </c>
      <c r="D664">
        <f>IF(B664="","",IF(C664&lt;&gt;"","REMOVE","KEEP"))</f>
        <v/>
      </c>
      <c r="E664">
        <f>IF(D664&lt;&gt;"KEEP","",IF(RIGHT(B664,10)="@gmail.com","Gmail",IF(OR(RIGHT(B664,12)="@outlook.com",RIGHT(B664,12)="@hotmail.com",RIGHT(B664,9)="@live.com"),"Outlook","Domain")))</f>
        <v/>
      </c>
      <c r="F664">
        <f>IF(B664="","",IFERROR(RIGHT(B664,LEN(B664)-FIND("@",B664)),""))</f>
        <v/>
      </c>
      <c r="G664">
        <f>IF(D664="KEEP",COUNTIF($D$2:D664,"KEEP"),"")</f>
        <v/>
      </c>
      <c r="H664">
        <f>IF(D664="REMOVE",COUNTIF($D$2:D664,"REMOVE"),"")</f>
        <v/>
      </c>
      <c r="I664">
        <f>IF(E664="Gmail",COUNTIF($E$2:E664,"Gmail"),"")</f>
        <v/>
      </c>
      <c r="J664">
        <f>IF(E664="Outlook",COUNTIF($E$2:E664,"Outlook"),"")</f>
        <v/>
      </c>
      <c r="K664">
        <f>IF(E664="Domain",COUNTIF($E$2:E664,"Domain"),"")</f>
        <v/>
      </c>
    </row>
    <row r="665">
      <c r="A665" s="2" t="n"/>
      <c r="B665">
        <f>LOWER(TRIM(A665))</f>
        <v/>
      </c>
      <c r="C665">
        <f>IF(B665="","",IFERROR(INDEX('Bad Patterns'!$A$2:$A$120,MATCH(1,INDEX(--ISNUMBER(SEARCH('Bad Patterns'!$A$2:$A$120,B665)),0),0)),""))</f>
        <v/>
      </c>
      <c r="D665">
        <f>IF(B665="","",IF(C665&lt;&gt;"","REMOVE","KEEP"))</f>
        <v/>
      </c>
      <c r="E665">
        <f>IF(D665&lt;&gt;"KEEP","",IF(RIGHT(B665,10)="@gmail.com","Gmail",IF(OR(RIGHT(B665,12)="@outlook.com",RIGHT(B665,12)="@hotmail.com",RIGHT(B665,9)="@live.com"),"Outlook","Domain")))</f>
        <v/>
      </c>
      <c r="F665">
        <f>IF(B665="","",IFERROR(RIGHT(B665,LEN(B665)-FIND("@",B665)),""))</f>
        <v/>
      </c>
      <c r="G665">
        <f>IF(D665="KEEP",COUNTIF($D$2:D665,"KEEP"),"")</f>
        <v/>
      </c>
      <c r="H665">
        <f>IF(D665="REMOVE",COUNTIF($D$2:D665,"REMOVE"),"")</f>
        <v/>
      </c>
      <c r="I665">
        <f>IF(E665="Gmail",COUNTIF($E$2:E665,"Gmail"),"")</f>
        <v/>
      </c>
      <c r="J665">
        <f>IF(E665="Outlook",COUNTIF($E$2:E665,"Outlook"),"")</f>
        <v/>
      </c>
      <c r="K665">
        <f>IF(E665="Domain",COUNTIF($E$2:E665,"Domain"),"")</f>
        <v/>
      </c>
    </row>
    <row r="666">
      <c r="A666" s="2" t="n"/>
      <c r="B666">
        <f>LOWER(TRIM(A666))</f>
        <v/>
      </c>
      <c r="C666">
        <f>IF(B666="","",IFERROR(INDEX('Bad Patterns'!$A$2:$A$120,MATCH(1,INDEX(--ISNUMBER(SEARCH('Bad Patterns'!$A$2:$A$120,B666)),0),0)),""))</f>
        <v/>
      </c>
      <c r="D666">
        <f>IF(B666="","",IF(C666&lt;&gt;"","REMOVE","KEEP"))</f>
        <v/>
      </c>
      <c r="E666">
        <f>IF(D666&lt;&gt;"KEEP","",IF(RIGHT(B666,10)="@gmail.com","Gmail",IF(OR(RIGHT(B666,12)="@outlook.com",RIGHT(B666,12)="@hotmail.com",RIGHT(B666,9)="@live.com"),"Outlook","Domain")))</f>
        <v/>
      </c>
      <c r="F666">
        <f>IF(B666="","",IFERROR(RIGHT(B666,LEN(B666)-FIND("@",B666)),""))</f>
        <v/>
      </c>
      <c r="G666">
        <f>IF(D666="KEEP",COUNTIF($D$2:D666,"KEEP"),"")</f>
        <v/>
      </c>
      <c r="H666">
        <f>IF(D666="REMOVE",COUNTIF($D$2:D666,"REMOVE"),"")</f>
        <v/>
      </c>
      <c r="I666">
        <f>IF(E666="Gmail",COUNTIF($E$2:E666,"Gmail"),"")</f>
        <v/>
      </c>
      <c r="J666">
        <f>IF(E666="Outlook",COUNTIF($E$2:E666,"Outlook"),"")</f>
        <v/>
      </c>
      <c r="K666">
        <f>IF(E666="Domain",COUNTIF($E$2:E666,"Domain"),"")</f>
        <v/>
      </c>
    </row>
    <row r="667">
      <c r="A667" s="2" t="n"/>
      <c r="B667">
        <f>LOWER(TRIM(A667))</f>
        <v/>
      </c>
      <c r="C667">
        <f>IF(B667="","",IFERROR(INDEX('Bad Patterns'!$A$2:$A$120,MATCH(1,INDEX(--ISNUMBER(SEARCH('Bad Patterns'!$A$2:$A$120,B667)),0),0)),""))</f>
        <v/>
      </c>
      <c r="D667">
        <f>IF(B667="","",IF(C667&lt;&gt;"","REMOVE","KEEP"))</f>
        <v/>
      </c>
      <c r="E667">
        <f>IF(D667&lt;&gt;"KEEP","",IF(RIGHT(B667,10)="@gmail.com","Gmail",IF(OR(RIGHT(B667,12)="@outlook.com",RIGHT(B667,12)="@hotmail.com",RIGHT(B667,9)="@live.com"),"Outlook","Domain")))</f>
        <v/>
      </c>
      <c r="F667">
        <f>IF(B667="","",IFERROR(RIGHT(B667,LEN(B667)-FIND("@",B667)),""))</f>
        <v/>
      </c>
      <c r="G667">
        <f>IF(D667="KEEP",COUNTIF($D$2:D667,"KEEP"),"")</f>
        <v/>
      </c>
      <c r="H667">
        <f>IF(D667="REMOVE",COUNTIF($D$2:D667,"REMOVE"),"")</f>
        <v/>
      </c>
      <c r="I667">
        <f>IF(E667="Gmail",COUNTIF($E$2:E667,"Gmail"),"")</f>
        <v/>
      </c>
      <c r="J667">
        <f>IF(E667="Outlook",COUNTIF($E$2:E667,"Outlook"),"")</f>
        <v/>
      </c>
      <c r="K667">
        <f>IF(E667="Domain",COUNTIF($E$2:E667,"Domain"),"")</f>
        <v/>
      </c>
    </row>
    <row r="668">
      <c r="A668" s="2" t="n"/>
      <c r="B668">
        <f>LOWER(TRIM(A668))</f>
        <v/>
      </c>
      <c r="C668">
        <f>IF(B668="","",IFERROR(INDEX('Bad Patterns'!$A$2:$A$120,MATCH(1,INDEX(--ISNUMBER(SEARCH('Bad Patterns'!$A$2:$A$120,B668)),0),0)),""))</f>
        <v/>
      </c>
      <c r="D668">
        <f>IF(B668="","",IF(C668&lt;&gt;"","REMOVE","KEEP"))</f>
        <v/>
      </c>
      <c r="E668">
        <f>IF(D668&lt;&gt;"KEEP","",IF(RIGHT(B668,10)="@gmail.com","Gmail",IF(OR(RIGHT(B668,12)="@outlook.com",RIGHT(B668,12)="@hotmail.com",RIGHT(B668,9)="@live.com"),"Outlook","Domain")))</f>
        <v/>
      </c>
      <c r="F668">
        <f>IF(B668="","",IFERROR(RIGHT(B668,LEN(B668)-FIND("@",B668)),""))</f>
        <v/>
      </c>
      <c r="G668">
        <f>IF(D668="KEEP",COUNTIF($D$2:D668,"KEEP"),"")</f>
        <v/>
      </c>
      <c r="H668">
        <f>IF(D668="REMOVE",COUNTIF($D$2:D668,"REMOVE"),"")</f>
        <v/>
      </c>
      <c r="I668">
        <f>IF(E668="Gmail",COUNTIF($E$2:E668,"Gmail"),"")</f>
        <v/>
      </c>
      <c r="J668">
        <f>IF(E668="Outlook",COUNTIF($E$2:E668,"Outlook"),"")</f>
        <v/>
      </c>
      <c r="K668">
        <f>IF(E668="Domain",COUNTIF($E$2:E668,"Domain"),"")</f>
        <v/>
      </c>
    </row>
    <row r="669">
      <c r="A669" s="2" t="n"/>
      <c r="B669">
        <f>LOWER(TRIM(A669))</f>
        <v/>
      </c>
      <c r="C669">
        <f>IF(B669="","",IFERROR(INDEX('Bad Patterns'!$A$2:$A$120,MATCH(1,INDEX(--ISNUMBER(SEARCH('Bad Patterns'!$A$2:$A$120,B669)),0),0)),""))</f>
        <v/>
      </c>
      <c r="D669">
        <f>IF(B669="","",IF(C669&lt;&gt;"","REMOVE","KEEP"))</f>
        <v/>
      </c>
      <c r="E669">
        <f>IF(D669&lt;&gt;"KEEP","",IF(RIGHT(B669,10)="@gmail.com","Gmail",IF(OR(RIGHT(B669,12)="@outlook.com",RIGHT(B669,12)="@hotmail.com",RIGHT(B669,9)="@live.com"),"Outlook","Domain")))</f>
        <v/>
      </c>
      <c r="F669">
        <f>IF(B669="","",IFERROR(RIGHT(B669,LEN(B669)-FIND("@",B669)),""))</f>
        <v/>
      </c>
      <c r="G669">
        <f>IF(D669="KEEP",COUNTIF($D$2:D669,"KEEP"),"")</f>
        <v/>
      </c>
      <c r="H669">
        <f>IF(D669="REMOVE",COUNTIF($D$2:D669,"REMOVE"),"")</f>
        <v/>
      </c>
      <c r="I669">
        <f>IF(E669="Gmail",COUNTIF($E$2:E669,"Gmail"),"")</f>
        <v/>
      </c>
      <c r="J669">
        <f>IF(E669="Outlook",COUNTIF($E$2:E669,"Outlook"),"")</f>
        <v/>
      </c>
      <c r="K669">
        <f>IF(E669="Domain",COUNTIF($E$2:E669,"Domain"),"")</f>
        <v/>
      </c>
    </row>
    <row r="670">
      <c r="A670" s="2" t="n"/>
      <c r="B670">
        <f>LOWER(TRIM(A670))</f>
        <v/>
      </c>
      <c r="C670">
        <f>IF(B670="","",IFERROR(INDEX('Bad Patterns'!$A$2:$A$120,MATCH(1,INDEX(--ISNUMBER(SEARCH('Bad Patterns'!$A$2:$A$120,B670)),0),0)),""))</f>
        <v/>
      </c>
      <c r="D670">
        <f>IF(B670="","",IF(C670&lt;&gt;"","REMOVE","KEEP"))</f>
        <v/>
      </c>
      <c r="E670">
        <f>IF(D670&lt;&gt;"KEEP","",IF(RIGHT(B670,10)="@gmail.com","Gmail",IF(OR(RIGHT(B670,12)="@outlook.com",RIGHT(B670,12)="@hotmail.com",RIGHT(B670,9)="@live.com"),"Outlook","Domain")))</f>
        <v/>
      </c>
      <c r="F670">
        <f>IF(B670="","",IFERROR(RIGHT(B670,LEN(B670)-FIND("@",B670)),""))</f>
        <v/>
      </c>
      <c r="G670">
        <f>IF(D670="KEEP",COUNTIF($D$2:D670,"KEEP"),"")</f>
        <v/>
      </c>
      <c r="H670">
        <f>IF(D670="REMOVE",COUNTIF($D$2:D670,"REMOVE"),"")</f>
        <v/>
      </c>
      <c r="I670">
        <f>IF(E670="Gmail",COUNTIF($E$2:E670,"Gmail"),"")</f>
        <v/>
      </c>
      <c r="J670">
        <f>IF(E670="Outlook",COUNTIF($E$2:E670,"Outlook"),"")</f>
        <v/>
      </c>
      <c r="K670">
        <f>IF(E670="Domain",COUNTIF($E$2:E670,"Domain"),"")</f>
        <v/>
      </c>
    </row>
    <row r="671">
      <c r="A671" s="2" t="n"/>
      <c r="B671">
        <f>LOWER(TRIM(A671))</f>
        <v/>
      </c>
      <c r="C671">
        <f>IF(B671="","",IFERROR(INDEX('Bad Patterns'!$A$2:$A$120,MATCH(1,INDEX(--ISNUMBER(SEARCH('Bad Patterns'!$A$2:$A$120,B671)),0),0)),""))</f>
        <v/>
      </c>
      <c r="D671">
        <f>IF(B671="","",IF(C671&lt;&gt;"","REMOVE","KEEP"))</f>
        <v/>
      </c>
      <c r="E671">
        <f>IF(D671&lt;&gt;"KEEP","",IF(RIGHT(B671,10)="@gmail.com","Gmail",IF(OR(RIGHT(B671,12)="@outlook.com",RIGHT(B671,12)="@hotmail.com",RIGHT(B671,9)="@live.com"),"Outlook","Domain")))</f>
        <v/>
      </c>
      <c r="F671">
        <f>IF(B671="","",IFERROR(RIGHT(B671,LEN(B671)-FIND("@",B671)),""))</f>
        <v/>
      </c>
      <c r="G671">
        <f>IF(D671="KEEP",COUNTIF($D$2:D671,"KEEP"),"")</f>
        <v/>
      </c>
      <c r="H671">
        <f>IF(D671="REMOVE",COUNTIF($D$2:D671,"REMOVE"),"")</f>
        <v/>
      </c>
      <c r="I671">
        <f>IF(E671="Gmail",COUNTIF($E$2:E671,"Gmail"),"")</f>
        <v/>
      </c>
      <c r="J671">
        <f>IF(E671="Outlook",COUNTIF($E$2:E671,"Outlook"),"")</f>
        <v/>
      </c>
      <c r="K671">
        <f>IF(E671="Domain",COUNTIF($E$2:E671,"Domain"),"")</f>
        <v/>
      </c>
    </row>
    <row r="672">
      <c r="A672" s="2" t="n"/>
      <c r="B672">
        <f>LOWER(TRIM(A672))</f>
        <v/>
      </c>
      <c r="C672">
        <f>IF(B672="","",IFERROR(INDEX('Bad Patterns'!$A$2:$A$120,MATCH(1,INDEX(--ISNUMBER(SEARCH('Bad Patterns'!$A$2:$A$120,B672)),0),0)),""))</f>
        <v/>
      </c>
      <c r="D672">
        <f>IF(B672="","",IF(C672&lt;&gt;"","REMOVE","KEEP"))</f>
        <v/>
      </c>
      <c r="E672">
        <f>IF(D672&lt;&gt;"KEEP","",IF(RIGHT(B672,10)="@gmail.com","Gmail",IF(OR(RIGHT(B672,12)="@outlook.com",RIGHT(B672,12)="@hotmail.com",RIGHT(B672,9)="@live.com"),"Outlook","Domain")))</f>
        <v/>
      </c>
      <c r="F672">
        <f>IF(B672="","",IFERROR(RIGHT(B672,LEN(B672)-FIND("@",B672)),""))</f>
        <v/>
      </c>
      <c r="G672">
        <f>IF(D672="KEEP",COUNTIF($D$2:D672,"KEEP"),"")</f>
        <v/>
      </c>
      <c r="H672">
        <f>IF(D672="REMOVE",COUNTIF($D$2:D672,"REMOVE"),"")</f>
        <v/>
      </c>
      <c r="I672">
        <f>IF(E672="Gmail",COUNTIF($E$2:E672,"Gmail"),"")</f>
        <v/>
      </c>
      <c r="J672">
        <f>IF(E672="Outlook",COUNTIF($E$2:E672,"Outlook"),"")</f>
        <v/>
      </c>
      <c r="K672">
        <f>IF(E672="Domain",COUNTIF($E$2:E672,"Domain"),"")</f>
        <v/>
      </c>
    </row>
    <row r="673">
      <c r="A673" s="2" t="n"/>
      <c r="B673">
        <f>LOWER(TRIM(A673))</f>
        <v/>
      </c>
      <c r="C673">
        <f>IF(B673="","",IFERROR(INDEX('Bad Patterns'!$A$2:$A$120,MATCH(1,INDEX(--ISNUMBER(SEARCH('Bad Patterns'!$A$2:$A$120,B673)),0),0)),""))</f>
        <v/>
      </c>
      <c r="D673">
        <f>IF(B673="","",IF(C673&lt;&gt;"","REMOVE","KEEP"))</f>
        <v/>
      </c>
      <c r="E673">
        <f>IF(D673&lt;&gt;"KEEP","",IF(RIGHT(B673,10)="@gmail.com","Gmail",IF(OR(RIGHT(B673,12)="@outlook.com",RIGHT(B673,12)="@hotmail.com",RIGHT(B673,9)="@live.com"),"Outlook","Domain")))</f>
        <v/>
      </c>
      <c r="F673">
        <f>IF(B673="","",IFERROR(RIGHT(B673,LEN(B673)-FIND("@",B673)),""))</f>
        <v/>
      </c>
      <c r="G673">
        <f>IF(D673="KEEP",COUNTIF($D$2:D673,"KEEP"),"")</f>
        <v/>
      </c>
      <c r="H673">
        <f>IF(D673="REMOVE",COUNTIF($D$2:D673,"REMOVE"),"")</f>
        <v/>
      </c>
      <c r="I673">
        <f>IF(E673="Gmail",COUNTIF($E$2:E673,"Gmail"),"")</f>
        <v/>
      </c>
      <c r="J673">
        <f>IF(E673="Outlook",COUNTIF($E$2:E673,"Outlook"),"")</f>
        <v/>
      </c>
      <c r="K673">
        <f>IF(E673="Domain",COUNTIF($E$2:E673,"Domain"),"")</f>
        <v/>
      </c>
    </row>
    <row r="674">
      <c r="A674" s="2" t="n"/>
      <c r="B674">
        <f>LOWER(TRIM(A674))</f>
        <v/>
      </c>
      <c r="C674">
        <f>IF(B674="","",IFERROR(INDEX('Bad Patterns'!$A$2:$A$120,MATCH(1,INDEX(--ISNUMBER(SEARCH('Bad Patterns'!$A$2:$A$120,B674)),0),0)),""))</f>
        <v/>
      </c>
      <c r="D674">
        <f>IF(B674="","",IF(C674&lt;&gt;"","REMOVE","KEEP"))</f>
        <v/>
      </c>
      <c r="E674">
        <f>IF(D674&lt;&gt;"KEEP","",IF(RIGHT(B674,10)="@gmail.com","Gmail",IF(OR(RIGHT(B674,12)="@outlook.com",RIGHT(B674,12)="@hotmail.com",RIGHT(B674,9)="@live.com"),"Outlook","Domain")))</f>
        <v/>
      </c>
      <c r="F674">
        <f>IF(B674="","",IFERROR(RIGHT(B674,LEN(B674)-FIND("@",B674)),""))</f>
        <v/>
      </c>
      <c r="G674">
        <f>IF(D674="KEEP",COUNTIF($D$2:D674,"KEEP"),"")</f>
        <v/>
      </c>
      <c r="H674">
        <f>IF(D674="REMOVE",COUNTIF($D$2:D674,"REMOVE"),"")</f>
        <v/>
      </c>
      <c r="I674">
        <f>IF(E674="Gmail",COUNTIF($E$2:E674,"Gmail"),"")</f>
        <v/>
      </c>
      <c r="J674">
        <f>IF(E674="Outlook",COUNTIF($E$2:E674,"Outlook"),"")</f>
        <v/>
      </c>
      <c r="K674">
        <f>IF(E674="Domain",COUNTIF($E$2:E674,"Domain"),"")</f>
        <v/>
      </c>
    </row>
    <row r="675">
      <c r="A675" s="2" t="n"/>
      <c r="B675">
        <f>LOWER(TRIM(A675))</f>
        <v/>
      </c>
      <c r="C675">
        <f>IF(B675="","",IFERROR(INDEX('Bad Patterns'!$A$2:$A$120,MATCH(1,INDEX(--ISNUMBER(SEARCH('Bad Patterns'!$A$2:$A$120,B675)),0),0)),""))</f>
        <v/>
      </c>
      <c r="D675">
        <f>IF(B675="","",IF(C675&lt;&gt;"","REMOVE","KEEP"))</f>
        <v/>
      </c>
      <c r="E675">
        <f>IF(D675&lt;&gt;"KEEP","",IF(RIGHT(B675,10)="@gmail.com","Gmail",IF(OR(RIGHT(B675,12)="@outlook.com",RIGHT(B675,12)="@hotmail.com",RIGHT(B675,9)="@live.com"),"Outlook","Domain")))</f>
        <v/>
      </c>
      <c r="F675">
        <f>IF(B675="","",IFERROR(RIGHT(B675,LEN(B675)-FIND("@",B675)),""))</f>
        <v/>
      </c>
      <c r="G675">
        <f>IF(D675="KEEP",COUNTIF($D$2:D675,"KEEP"),"")</f>
        <v/>
      </c>
      <c r="H675">
        <f>IF(D675="REMOVE",COUNTIF($D$2:D675,"REMOVE"),"")</f>
        <v/>
      </c>
      <c r="I675">
        <f>IF(E675="Gmail",COUNTIF($E$2:E675,"Gmail"),"")</f>
        <v/>
      </c>
      <c r="J675">
        <f>IF(E675="Outlook",COUNTIF($E$2:E675,"Outlook"),"")</f>
        <v/>
      </c>
      <c r="K675">
        <f>IF(E675="Domain",COUNTIF($E$2:E675,"Domain"),"")</f>
        <v/>
      </c>
    </row>
    <row r="676">
      <c r="A676" s="2" t="n"/>
      <c r="B676">
        <f>LOWER(TRIM(A676))</f>
        <v/>
      </c>
      <c r="C676">
        <f>IF(B676="","",IFERROR(INDEX('Bad Patterns'!$A$2:$A$120,MATCH(1,INDEX(--ISNUMBER(SEARCH('Bad Patterns'!$A$2:$A$120,B676)),0),0)),""))</f>
        <v/>
      </c>
      <c r="D676">
        <f>IF(B676="","",IF(C676&lt;&gt;"","REMOVE","KEEP"))</f>
        <v/>
      </c>
      <c r="E676">
        <f>IF(D676&lt;&gt;"KEEP","",IF(RIGHT(B676,10)="@gmail.com","Gmail",IF(OR(RIGHT(B676,12)="@outlook.com",RIGHT(B676,12)="@hotmail.com",RIGHT(B676,9)="@live.com"),"Outlook","Domain")))</f>
        <v/>
      </c>
      <c r="F676">
        <f>IF(B676="","",IFERROR(RIGHT(B676,LEN(B676)-FIND("@",B676)),""))</f>
        <v/>
      </c>
      <c r="G676">
        <f>IF(D676="KEEP",COUNTIF($D$2:D676,"KEEP"),"")</f>
        <v/>
      </c>
      <c r="H676">
        <f>IF(D676="REMOVE",COUNTIF($D$2:D676,"REMOVE"),"")</f>
        <v/>
      </c>
      <c r="I676">
        <f>IF(E676="Gmail",COUNTIF($E$2:E676,"Gmail"),"")</f>
        <v/>
      </c>
      <c r="J676">
        <f>IF(E676="Outlook",COUNTIF($E$2:E676,"Outlook"),"")</f>
        <v/>
      </c>
      <c r="K676">
        <f>IF(E676="Domain",COUNTIF($E$2:E676,"Domain"),"")</f>
        <v/>
      </c>
    </row>
    <row r="677">
      <c r="A677" s="2" t="n"/>
      <c r="B677">
        <f>LOWER(TRIM(A677))</f>
        <v/>
      </c>
      <c r="C677">
        <f>IF(B677="","",IFERROR(INDEX('Bad Patterns'!$A$2:$A$120,MATCH(1,INDEX(--ISNUMBER(SEARCH('Bad Patterns'!$A$2:$A$120,B677)),0),0)),""))</f>
        <v/>
      </c>
      <c r="D677">
        <f>IF(B677="","",IF(C677&lt;&gt;"","REMOVE","KEEP"))</f>
        <v/>
      </c>
      <c r="E677">
        <f>IF(D677&lt;&gt;"KEEP","",IF(RIGHT(B677,10)="@gmail.com","Gmail",IF(OR(RIGHT(B677,12)="@outlook.com",RIGHT(B677,12)="@hotmail.com",RIGHT(B677,9)="@live.com"),"Outlook","Domain")))</f>
        <v/>
      </c>
      <c r="F677">
        <f>IF(B677="","",IFERROR(RIGHT(B677,LEN(B677)-FIND("@",B677)),""))</f>
        <v/>
      </c>
      <c r="G677">
        <f>IF(D677="KEEP",COUNTIF($D$2:D677,"KEEP"),"")</f>
        <v/>
      </c>
      <c r="H677">
        <f>IF(D677="REMOVE",COUNTIF($D$2:D677,"REMOVE"),"")</f>
        <v/>
      </c>
      <c r="I677">
        <f>IF(E677="Gmail",COUNTIF($E$2:E677,"Gmail"),"")</f>
        <v/>
      </c>
      <c r="J677">
        <f>IF(E677="Outlook",COUNTIF($E$2:E677,"Outlook"),"")</f>
        <v/>
      </c>
      <c r="K677">
        <f>IF(E677="Domain",COUNTIF($E$2:E677,"Domain"),"")</f>
        <v/>
      </c>
    </row>
    <row r="678">
      <c r="A678" s="2" t="n"/>
      <c r="B678">
        <f>LOWER(TRIM(A678))</f>
        <v/>
      </c>
      <c r="C678">
        <f>IF(B678="","",IFERROR(INDEX('Bad Patterns'!$A$2:$A$120,MATCH(1,INDEX(--ISNUMBER(SEARCH('Bad Patterns'!$A$2:$A$120,B678)),0),0)),""))</f>
        <v/>
      </c>
      <c r="D678">
        <f>IF(B678="","",IF(C678&lt;&gt;"","REMOVE","KEEP"))</f>
        <v/>
      </c>
      <c r="E678">
        <f>IF(D678&lt;&gt;"KEEP","",IF(RIGHT(B678,10)="@gmail.com","Gmail",IF(OR(RIGHT(B678,12)="@outlook.com",RIGHT(B678,12)="@hotmail.com",RIGHT(B678,9)="@live.com"),"Outlook","Domain")))</f>
        <v/>
      </c>
      <c r="F678">
        <f>IF(B678="","",IFERROR(RIGHT(B678,LEN(B678)-FIND("@",B678)),""))</f>
        <v/>
      </c>
      <c r="G678">
        <f>IF(D678="KEEP",COUNTIF($D$2:D678,"KEEP"),"")</f>
        <v/>
      </c>
      <c r="H678">
        <f>IF(D678="REMOVE",COUNTIF($D$2:D678,"REMOVE"),"")</f>
        <v/>
      </c>
      <c r="I678">
        <f>IF(E678="Gmail",COUNTIF($E$2:E678,"Gmail"),"")</f>
        <v/>
      </c>
      <c r="J678">
        <f>IF(E678="Outlook",COUNTIF($E$2:E678,"Outlook"),"")</f>
        <v/>
      </c>
      <c r="K678">
        <f>IF(E678="Domain",COUNTIF($E$2:E678,"Domain"),"")</f>
        <v/>
      </c>
    </row>
    <row r="679">
      <c r="A679" s="2" t="n"/>
      <c r="B679">
        <f>LOWER(TRIM(A679))</f>
        <v/>
      </c>
      <c r="C679">
        <f>IF(B679="","",IFERROR(INDEX('Bad Patterns'!$A$2:$A$120,MATCH(1,INDEX(--ISNUMBER(SEARCH('Bad Patterns'!$A$2:$A$120,B679)),0),0)),""))</f>
        <v/>
      </c>
      <c r="D679">
        <f>IF(B679="","",IF(C679&lt;&gt;"","REMOVE","KEEP"))</f>
        <v/>
      </c>
      <c r="E679">
        <f>IF(D679&lt;&gt;"KEEP","",IF(RIGHT(B679,10)="@gmail.com","Gmail",IF(OR(RIGHT(B679,12)="@outlook.com",RIGHT(B679,12)="@hotmail.com",RIGHT(B679,9)="@live.com"),"Outlook","Domain")))</f>
        <v/>
      </c>
      <c r="F679">
        <f>IF(B679="","",IFERROR(RIGHT(B679,LEN(B679)-FIND("@",B679)),""))</f>
        <v/>
      </c>
      <c r="G679">
        <f>IF(D679="KEEP",COUNTIF($D$2:D679,"KEEP"),"")</f>
        <v/>
      </c>
      <c r="H679">
        <f>IF(D679="REMOVE",COUNTIF($D$2:D679,"REMOVE"),"")</f>
        <v/>
      </c>
      <c r="I679">
        <f>IF(E679="Gmail",COUNTIF($E$2:E679,"Gmail"),"")</f>
        <v/>
      </c>
      <c r="J679">
        <f>IF(E679="Outlook",COUNTIF($E$2:E679,"Outlook"),"")</f>
        <v/>
      </c>
      <c r="K679">
        <f>IF(E679="Domain",COUNTIF($E$2:E679,"Domain"),"")</f>
        <v/>
      </c>
    </row>
    <row r="680">
      <c r="A680" s="2" t="n"/>
      <c r="B680">
        <f>LOWER(TRIM(A680))</f>
        <v/>
      </c>
      <c r="C680">
        <f>IF(B680="","",IFERROR(INDEX('Bad Patterns'!$A$2:$A$120,MATCH(1,INDEX(--ISNUMBER(SEARCH('Bad Patterns'!$A$2:$A$120,B680)),0),0)),""))</f>
        <v/>
      </c>
      <c r="D680">
        <f>IF(B680="","",IF(C680&lt;&gt;"","REMOVE","KEEP"))</f>
        <v/>
      </c>
      <c r="E680">
        <f>IF(D680&lt;&gt;"KEEP","",IF(RIGHT(B680,10)="@gmail.com","Gmail",IF(OR(RIGHT(B680,12)="@outlook.com",RIGHT(B680,12)="@hotmail.com",RIGHT(B680,9)="@live.com"),"Outlook","Domain")))</f>
        <v/>
      </c>
      <c r="F680">
        <f>IF(B680="","",IFERROR(RIGHT(B680,LEN(B680)-FIND("@",B680)),""))</f>
        <v/>
      </c>
      <c r="G680">
        <f>IF(D680="KEEP",COUNTIF($D$2:D680,"KEEP"),"")</f>
        <v/>
      </c>
      <c r="H680">
        <f>IF(D680="REMOVE",COUNTIF($D$2:D680,"REMOVE"),"")</f>
        <v/>
      </c>
      <c r="I680">
        <f>IF(E680="Gmail",COUNTIF($E$2:E680,"Gmail"),"")</f>
        <v/>
      </c>
      <c r="J680">
        <f>IF(E680="Outlook",COUNTIF($E$2:E680,"Outlook"),"")</f>
        <v/>
      </c>
      <c r="K680">
        <f>IF(E680="Domain",COUNTIF($E$2:E680,"Domain"),"")</f>
        <v/>
      </c>
    </row>
    <row r="681">
      <c r="A681" s="2" t="n"/>
      <c r="B681">
        <f>LOWER(TRIM(A681))</f>
        <v/>
      </c>
      <c r="C681">
        <f>IF(B681="","",IFERROR(INDEX('Bad Patterns'!$A$2:$A$120,MATCH(1,INDEX(--ISNUMBER(SEARCH('Bad Patterns'!$A$2:$A$120,B681)),0),0)),""))</f>
        <v/>
      </c>
      <c r="D681">
        <f>IF(B681="","",IF(C681&lt;&gt;"","REMOVE","KEEP"))</f>
        <v/>
      </c>
      <c r="E681">
        <f>IF(D681&lt;&gt;"KEEP","",IF(RIGHT(B681,10)="@gmail.com","Gmail",IF(OR(RIGHT(B681,12)="@outlook.com",RIGHT(B681,12)="@hotmail.com",RIGHT(B681,9)="@live.com"),"Outlook","Domain")))</f>
        <v/>
      </c>
      <c r="F681">
        <f>IF(B681="","",IFERROR(RIGHT(B681,LEN(B681)-FIND("@",B681)),""))</f>
        <v/>
      </c>
      <c r="G681">
        <f>IF(D681="KEEP",COUNTIF($D$2:D681,"KEEP"),"")</f>
        <v/>
      </c>
      <c r="H681">
        <f>IF(D681="REMOVE",COUNTIF($D$2:D681,"REMOVE"),"")</f>
        <v/>
      </c>
      <c r="I681">
        <f>IF(E681="Gmail",COUNTIF($E$2:E681,"Gmail"),"")</f>
        <v/>
      </c>
      <c r="J681">
        <f>IF(E681="Outlook",COUNTIF($E$2:E681,"Outlook"),"")</f>
        <v/>
      </c>
      <c r="K681">
        <f>IF(E681="Domain",COUNTIF($E$2:E681,"Domain"),"")</f>
        <v/>
      </c>
    </row>
    <row r="682">
      <c r="A682" s="2" t="n"/>
      <c r="B682">
        <f>LOWER(TRIM(A682))</f>
        <v/>
      </c>
      <c r="C682">
        <f>IF(B682="","",IFERROR(INDEX('Bad Patterns'!$A$2:$A$120,MATCH(1,INDEX(--ISNUMBER(SEARCH('Bad Patterns'!$A$2:$A$120,B682)),0),0)),""))</f>
        <v/>
      </c>
      <c r="D682">
        <f>IF(B682="","",IF(C682&lt;&gt;"","REMOVE","KEEP"))</f>
        <v/>
      </c>
      <c r="E682">
        <f>IF(D682&lt;&gt;"KEEP","",IF(RIGHT(B682,10)="@gmail.com","Gmail",IF(OR(RIGHT(B682,12)="@outlook.com",RIGHT(B682,12)="@hotmail.com",RIGHT(B682,9)="@live.com"),"Outlook","Domain")))</f>
        <v/>
      </c>
      <c r="F682">
        <f>IF(B682="","",IFERROR(RIGHT(B682,LEN(B682)-FIND("@",B682)),""))</f>
        <v/>
      </c>
      <c r="G682">
        <f>IF(D682="KEEP",COUNTIF($D$2:D682,"KEEP"),"")</f>
        <v/>
      </c>
      <c r="H682">
        <f>IF(D682="REMOVE",COUNTIF($D$2:D682,"REMOVE"),"")</f>
        <v/>
      </c>
      <c r="I682">
        <f>IF(E682="Gmail",COUNTIF($E$2:E682,"Gmail"),"")</f>
        <v/>
      </c>
      <c r="J682">
        <f>IF(E682="Outlook",COUNTIF($E$2:E682,"Outlook"),"")</f>
        <v/>
      </c>
      <c r="K682">
        <f>IF(E682="Domain",COUNTIF($E$2:E682,"Domain"),"")</f>
        <v/>
      </c>
    </row>
    <row r="683">
      <c r="A683" s="2" t="n"/>
      <c r="B683">
        <f>LOWER(TRIM(A683))</f>
        <v/>
      </c>
      <c r="C683">
        <f>IF(B683="","",IFERROR(INDEX('Bad Patterns'!$A$2:$A$120,MATCH(1,INDEX(--ISNUMBER(SEARCH('Bad Patterns'!$A$2:$A$120,B683)),0),0)),""))</f>
        <v/>
      </c>
      <c r="D683">
        <f>IF(B683="","",IF(C683&lt;&gt;"","REMOVE","KEEP"))</f>
        <v/>
      </c>
      <c r="E683">
        <f>IF(D683&lt;&gt;"KEEP","",IF(RIGHT(B683,10)="@gmail.com","Gmail",IF(OR(RIGHT(B683,12)="@outlook.com",RIGHT(B683,12)="@hotmail.com",RIGHT(B683,9)="@live.com"),"Outlook","Domain")))</f>
        <v/>
      </c>
      <c r="F683">
        <f>IF(B683="","",IFERROR(RIGHT(B683,LEN(B683)-FIND("@",B683)),""))</f>
        <v/>
      </c>
      <c r="G683">
        <f>IF(D683="KEEP",COUNTIF($D$2:D683,"KEEP"),"")</f>
        <v/>
      </c>
      <c r="H683">
        <f>IF(D683="REMOVE",COUNTIF($D$2:D683,"REMOVE"),"")</f>
        <v/>
      </c>
      <c r="I683">
        <f>IF(E683="Gmail",COUNTIF($E$2:E683,"Gmail"),"")</f>
        <v/>
      </c>
      <c r="J683">
        <f>IF(E683="Outlook",COUNTIF($E$2:E683,"Outlook"),"")</f>
        <v/>
      </c>
      <c r="K683">
        <f>IF(E683="Domain",COUNTIF($E$2:E683,"Domain"),"")</f>
        <v/>
      </c>
    </row>
    <row r="684">
      <c r="A684" s="2" t="n"/>
      <c r="B684">
        <f>LOWER(TRIM(A684))</f>
        <v/>
      </c>
      <c r="C684">
        <f>IF(B684="","",IFERROR(INDEX('Bad Patterns'!$A$2:$A$120,MATCH(1,INDEX(--ISNUMBER(SEARCH('Bad Patterns'!$A$2:$A$120,B684)),0),0)),""))</f>
        <v/>
      </c>
      <c r="D684">
        <f>IF(B684="","",IF(C684&lt;&gt;"","REMOVE","KEEP"))</f>
        <v/>
      </c>
      <c r="E684">
        <f>IF(D684&lt;&gt;"KEEP","",IF(RIGHT(B684,10)="@gmail.com","Gmail",IF(OR(RIGHT(B684,12)="@outlook.com",RIGHT(B684,12)="@hotmail.com",RIGHT(B684,9)="@live.com"),"Outlook","Domain")))</f>
        <v/>
      </c>
      <c r="F684">
        <f>IF(B684="","",IFERROR(RIGHT(B684,LEN(B684)-FIND("@",B684)),""))</f>
        <v/>
      </c>
      <c r="G684">
        <f>IF(D684="KEEP",COUNTIF($D$2:D684,"KEEP"),"")</f>
        <v/>
      </c>
      <c r="H684">
        <f>IF(D684="REMOVE",COUNTIF($D$2:D684,"REMOVE"),"")</f>
        <v/>
      </c>
      <c r="I684">
        <f>IF(E684="Gmail",COUNTIF($E$2:E684,"Gmail"),"")</f>
        <v/>
      </c>
      <c r="J684">
        <f>IF(E684="Outlook",COUNTIF($E$2:E684,"Outlook"),"")</f>
        <v/>
      </c>
      <c r="K684">
        <f>IF(E684="Domain",COUNTIF($E$2:E684,"Domain"),"")</f>
        <v/>
      </c>
    </row>
    <row r="685">
      <c r="A685" s="2" t="n"/>
      <c r="B685">
        <f>LOWER(TRIM(A685))</f>
        <v/>
      </c>
      <c r="C685">
        <f>IF(B685="","",IFERROR(INDEX('Bad Patterns'!$A$2:$A$120,MATCH(1,INDEX(--ISNUMBER(SEARCH('Bad Patterns'!$A$2:$A$120,B685)),0),0)),""))</f>
        <v/>
      </c>
      <c r="D685">
        <f>IF(B685="","",IF(C685&lt;&gt;"","REMOVE","KEEP"))</f>
        <v/>
      </c>
      <c r="E685">
        <f>IF(D685&lt;&gt;"KEEP","",IF(RIGHT(B685,10)="@gmail.com","Gmail",IF(OR(RIGHT(B685,12)="@outlook.com",RIGHT(B685,12)="@hotmail.com",RIGHT(B685,9)="@live.com"),"Outlook","Domain")))</f>
        <v/>
      </c>
      <c r="F685">
        <f>IF(B685="","",IFERROR(RIGHT(B685,LEN(B685)-FIND("@",B685)),""))</f>
        <v/>
      </c>
      <c r="G685">
        <f>IF(D685="KEEP",COUNTIF($D$2:D685,"KEEP"),"")</f>
        <v/>
      </c>
      <c r="H685">
        <f>IF(D685="REMOVE",COUNTIF($D$2:D685,"REMOVE"),"")</f>
        <v/>
      </c>
      <c r="I685">
        <f>IF(E685="Gmail",COUNTIF($E$2:E685,"Gmail"),"")</f>
        <v/>
      </c>
      <c r="J685">
        <f>IF(E685="Outlook",COUNTIF($E$2:E685,"Outlook"),"")</f>
        <v/>
      </c>
      <c r="K685">
        <f>IF(E685="Domain",COUNTIF($E$2:E685,"Domain"),"")</f>
        <v/>
      </c>
    </row>
    <row r="686">
      <c r="A686" s="2" t="n"/>
      <c r="B686">
        <f>LOWER(TRIM(A686))</f>
        <v/>
      </c>
      <c r="C686">
        <f>IF(B686="","",IFERROR(INDEX('Bad Patterns'!$A$2:$A$120,MATCH(1,INDEX(--ISNUMBER(SEARCH('Bad Patterns'!$A$2:$A$120,B686)),0),0)),""))</f>
        <v/>
      </c>
      <c r="D686">
        <f>IF(B686="","",IF(C686&lt;&gt;"","REMOVE","KEEP"))</f>
        <v/>
      </c>
      <c r="E686">
        <f>IF(D686&lt;&gt;"KEEP","",IF(RIGHT(B686,10)="@gmail.com","Gmail",IF(OR(RIGHT(B686,12)="@outlook.com",RIGHT(B686,12)="@hotmail.com",RIGHT(B686,9)="@live.com"),"Outlook","Domain")))</f>
        <v/>
      </c>
      <c r="F686">
        <f>IF(B686="","",IFERROR(RIGHT(B686,LEN(B686)-FIND("@",B686)),""))</f>
        <v/>
      </c>
      <c r="G686">
        <f>IF(D686="KEEP",COUNTIF($D$2:D686,"KEEP"),"")</f>
        <v/>
      </c>
      <c r="H686">
        <f>IF(D686="REMOVE",COUNTIF($D$2:D686,"REMOVE"),"")</f>
        <v/>
      </c>
      <c r="I686">
        <f>IF(E686="Gmail",COUNTIF($E$2:E686,"Gmail"),"")</f>
        <v/>
      </c>
      <c r="J686">
        <f>IF(E686="Outlook",COUNTIF($E$2:E686,"Outlook"),"")</f>
        <v/>
      </c>
      <c r="K686">
        <f>IF(E686="Domain",COUNTIF($E$2:E686,"Domain"),"")</f>
        <v/>
      </c>
    </row>
    <row r="687">
      <c r="A687" s="2" t="n"/>
      <c r="B687">
        <f>LOWER(TRIM(A687))</f>
        <v/>
      </c>
      <c r="C687">
        <f>IF(B687="","",IFERROR(INDEX('Bad Patterns'!$A$2:$A$120,MATCH(1,INDEX(--ISNUMBER(SEARCH('Bad Patterns'!$A$2:$A$120,B687)),0),0)),""))</f>
        <v/>
      </c>
      <c r="D687">
        <f>IF(B687="","",IF(C687&lt;&gt;"","REMOVE","KEEP"))</f>
        <v/>
      </c>
      <c r="E687">
        <f>IF(D687&lt;&gt;"KEEP","",IF(RIGHT(B687,10)="@gmail.com","Gmail",IF(OR(RIGHT(B687,12)="@outlook.com",RIGHT(B687,12)="@hotmail.com",RIGHT(B687,9)="@live.com"),"Outlook","Domain")))</f>
        <v/>
      </c>
      <c r="F687">
        <f>IF(B687="","",IFERROR(RIGHT(B687,LEN(B687)-FIND("@",B687)),""))</f>
        <v/>
      </c>
      <c r="G687">
        <f>IF(D687="KEEP",COUNTIF($D$2:D687,"KEEP"),"")</f>
        <v/>
      </c>
      <c r="H687">
        <f>IF(D687="REMOVE",COUNTIF($D$2:D687,"REMOVE"),"")</f>
        <v/>
      </c>
      <c r="I687">
        <f>IF(E687="Gmail",COUNTIF($E$2:E687,"Gmail"),"")</f>
        <v/>
      </c>
      <c r="J687">
        <f>IF(E687="Outlook",COUNTIF($E$2:E687,"Outlook"),"")</f>
        <v/>
      </c>
      <c r="K687">
        <f>IF(E687="Domain",COUNTIF($E$2:E687,"Domain"),"")</f>
        <v/>
      </c>
    </row>
    <row r="688">
      <c r="A688" s="2" t="n"/>
      <c r="B688">
        <f>LOWER(TRIM(A688))</f>
        <v/>
      </c>
      <c r="C688">
        <f>IF(B688="","",IFERROR(INDEX('Bad Patterns'!$A$2:$A$120,MATCH(1,INDEX(--ISNUMBER(SEARCH('Bad Patterns'!$A$2:$A$120,B688)),0),0)),""))</f>
        <v/>
      </c>
      <c r="D688">
        <f>IF(B688="","",IF(C688&lt;&gt;"","REMOVE","KEEP"))</f>
        <v/>
      </c>
      <c r="E688">
        <f>IF(D688&lt;&gt;"KEEP","",IF(RIGHT(B688,10)="@gmail.com","Gmail",IF(OR(RIGHT(B688,12)="@outlook.com",RIGHT(B688,12)="@hotmail.com",RIGHT(B688,9)="@live.com"),"Outlook","Domain")))</f>
        <v/>
      </c>
      <c r="F688">
        <f>IF(B688="","",IFERROR(RIGHT(B688,LEN(B688)-FIND("@",B688)),""))</f>
        <v/>
      </c>
      <c r="G688">
        <f>IF(D688="KEEP",COUNTIF($D$2:D688,"KEEP"),"")</f>
        <v/>
      </c>
      <c r="H688">
        <f>IF(D688="REMOVE",COUNTIF($D$2:D688,"REMOVE"),"")</f>
        <v/>
      </c>
      <c r="I688">
        <f>IF(E688="Gmail",COUNTIF($E$2:E688,"Gmail"),"")</f>
        <v/>
      </c>
      <c r="J688">
        <f>IF(E688="Outlook",COUNTIF($E$2:E688,"Outlook"),"")</f>
        <v/>
      </c>
      <c r="K688">
        <f>IF(E688="Domain",COUNTIF($E$2:E688,"Domain"),"")</f>
        <v/>
      </c>
    </row>
    <row r="689">
      <c r="A689" s="2" t="n"/>
      <c r="B689">
        <f>LOWER(TRIM(A689))</f>
        <v/>
      </c>
      <c r="C689">
        <f>IF(B689="","",IFERROR(INDEX('Bad Patterns'!$A$2:$A$120,MATCH(1,INDEX(--ISNUMBER(SEARCH('Bad Patterns'!$A$2:$A$120,B689)),0),0)),""))</f>
        <v/>
      </c>
      <c r="D689">
        <f>IF(B689="","",IF(C689&lt;&gt;"","REMOVE","KEEP"))</f>
        <v/>
      </c>
      <c r="E689">
        <f>IF(D689&lt;&gt;"KEEP","",IF(RIGHT(B689,10)="@gmail.com","Gmail",IF(OR(RIGHT(B689,12)="@outlook.com",RIGHT(B689,12)="@hotmail.com",RIGHT(B689,9)="@live.com"),"Outlook","Domain")))</f>
        <v/>
      </c>
      <c r="F689">
        <f>IF(B689="","",IFERROR(RIGHT(B689,LEN(B689)-FIND("@",B689)),""))</f>
        <v/>
      </c>
      <c r="G689">
        <f>IF(D689="KEEP",COUNTIF($D$2:D689,"KEEP"),"")</f>
        <v/>
      </c>
      <c r="H689">
        <f>IF(D689="REMOVE",COUNTIF($D$2:D689,"REMOVE"),"")</f>
        <v/>
      </c>
      <c r="I689">
        <f>IF(E689="Gmail",COUNTIF($E$2:E689,"Gmail"),"")</f>
        <v/>
      </c>
      <c r="J689">
        <f>IF(E689="Outlook",COUNTIF($E$2:E689,"Outlook"),"")</f>
        <v/>
      </c>
      <c r="K689">
        <f>IF(E689="Domain",COUNTIF($E$2:E689,"Domain"),"")</f>
        <v/>
      </c>
    </row>
    <row r="690">
      <c r="A690" s="2" t="n"/>
      <c r="B690">
        <f>LOWER(TRIM(A690))</f>
        <v/>
      </c>
      <c r="C690">
        <f>IF(B690="","",IFERROR(INDEX('Bad Patterns'!$A$2:$A$120,MATCH(1,INDEX(--ISNUMBER(SEARCH('Bad Patterns'!$A$2:$A$120,B690)),0),0)),""))</f>
        <v/>
      </c>
      <c r="D690">
        <f>IF(B690="","",IF(C690&lt;&gt;"","REMOVE","KEEP"))</f>
        <v/>
      </c>
      <c r="E690">
        <f>IF(D690&lt;&gt;"KEEP","",IF(RIGHT(B690,10)="@gmail.com","Gmail",IF(OR(RIGHT(B690,12)="@outlook.com",RIGHT(B690,12)="@hotmail.com",RIGHT(B690,9)="@live.com"),"Outlook","Domain")))</f>
        <v/>
      </c>
      <c r="F690">
        <f>IF(B690="","",IFERROR(RIGHT(B690,LEN(B690)-FIND("@",B690)),""))</f>
        <v/>
      </c>
      <c r="G690">
        <f>IF(D690="KEEP",COUNTIF($D$2:D690,"KEEP"),"")</f>
        <v/>
      </c>
      <c r="H690">
        <f>IF(D690="REMOVE",COUNTIF($D$2:D690,"REMOVE"),"")</f>
        <v/>
      </c>
      <c r="I690">
        <f>IF(E690="Gmail",COUNTIF($E$2:E690,"Gmail"),"")</f>
        <v/>
      </c>
      <c r="J690">
        <f>IF(E690="Outlook",COUNTIF($E$2:E690,"Outlook"),"")</f>
        <v/>
      </c>
      <c r="K690">
        <f>IF(E690="Domain",COUNTIF($E$2:E690,"Domain"),"")</f>
        <v/>
      </c>
    </row>
    <row r="691">
      <c r="A691" s="2" t="n"/>
      <c r="B691">
        <f>LOWER(TRIM(A691))</f>
        <v/>
      </c>
      <c r="C691">
        <f>IF(B691="","",IFERROR(INDEX('Bad Patterns'!$A$2:$A$120,MATCH(1,INDEX(--ISNUMBER(SEARCH('Bad Patterns'!$A$2:$A$120,B691)),0),0)),""))</f>
        <v/>
      </c>
      <c r="D691">
        <f>IF(B691="","",IF(C691&lt;&gt;"","REMOVE","KEEP"))</f>
        <v/>
      </c>
      <c r="E691">
        <f>IF(D691&lt;&gt;"KEEP","",IF(RIGHT(B691,10)="@gmail.com","Gmail",IF(OR(RIGHT(B691,12)="@outlook.com",RIGHT(B691,12)="@hotmail.com",RIGHT(B691,9)="@live.com"),"Outlook","Domain")))</f>
        <v/>
      </c>
      <c r="F691">
        <f>IF(B691="","",IFERROR(RIGHT(B691,LEN(B691)-FIND("@",B691)),""))</f>
        <v/>
      </c>
      <c r="G691">
        <f>IF(D691="KEEP",COUNTIF($D$2:D691,"KEEP"),"")</f>
        <v/>
      </c>
      <c r="H691">
        <f>IF(D691="REMOVE",COUNTIF($D$2:D691,"REMOVE"),"")</f>
        <v/>
      </c>
      <c r="I691">
        <f>IF(E691="Gmail",COUNTIF($E$2:E691,"Gmail"),"")</f>
        <v/>
      </c>
      <c r="J691">
        <f>IF(E691="Outlook",COUNTIF($E$2:E691,"Outlook"),"")</f>
        <v/>
      </c>
      <c r="K691">
        <f>IF(E691="Domain",COUNTIF($E$2:E691,"Domain"),"")</f>
        <v/>
      </c>
    </row>
    <row r="692">
      <c r="A692" s="2" t="n"/>
      <c r="B692">
        <f>LOWER(TRIM(A692))</f>
        <v/>
      </c>
      <c r="C692">
        <f>IF(B692="","",IFERROR(INDEX('Bad Patterns'!$A$2:$A$120,MATCH(1,INDEX(--ISNUMBER(SEARCH('Bad Patterns'!$A$2:$A$120,B692)),0),0)),""))</f>
        <v/>
      </c>
      <c r="D692">
        <f>IF(B692="","",IF(C692&lt;&gt;"","REMOVE","KEEP"))</f>
        <v/>
      </c>
      <c r="E692">
        <f>IF(D692&lt;&gt;"KEEP","",IF(RIGHT(B692,10)="@gmail.com","Gmail",IF(OR(RIGHT(B692,12)="@outlook.com",RIGHT(B692,12)="@hotmail.com",RIGHT(B692,9)="@live.com"),"Outlook","Domain")))</f>
        <v/>
      </c>
      <c r="F692">
        <f>IF(B692="","",IFERROR(RIGHT(B692,LEN(B692)-FIND("@",B692)),""))</f>
        <v/>
      </c>
      <c r="G692">
        <f>IF(D692="KEEP",COUNTIF($D$2:D692,"KEEP"),"")</f>
        <v/>
      </c>
      <c r="H692">
        <f>IF(D692="REMOVE",COUNTIF($D$2:D692,"REMOVE"),"")</f>
        <v/>
      </c>
      <c r="I692">
        <f>IF(E692="Gmail",COUNTIF($E$2:E692,"Gmail"),"")</f>
        <v/>
      </c>
      <c r="J692">
        <f>IF(E692="Outlook",COUNTIF($E$2:E692,"Outlook"),"")</f>
        <v/>
      </c>
      <c r="K692">
        <f>IF(E692="Domain",COUNTIF($E$2:E692,"Domain"),"")</f>
        <v/>
      </c>
    </row>
    <row r="693">
      <c r="A693" s="2" t="n"/>
      <c r="B693">
        <f>LOWER(TRIM(A693))</f>
        <v/>
      </c>
      <c r="C693">
        <f>IF(B693="","",IFERROR(INDEX('Bad Patterns'!$A$2:$A$120,MATCH(1,INDEX(--ISNUMBER(SEARCH('Bad Patterns'!$A$2:$A$120,B693)),0),0)),""))</f>
        <v/>
      </c>
      <c r="D693">
        <f>IF(B693="","",IF(C693&lt;&gt;"","REMOVE","KEEP"))</f>
        <v/>
      </c>
      <c r="E693">
        <f>IF(D693&lt;&gt;"KEEP","",IF(RIGHT(B693,10)="@gmail.com","Gmail",IF(OR(RIGHT(B693,12)="@outlook.com",RIGHT(B693,12)="@hotmail.com",RIGHT(B693,9)="@live.com"),"Outlook","Domain")))</f>
        <v/>
      </c>
      <c r="F693">
        <f>IF(B693="","",IFERROR(RIGHT(B693,LEN(B693)-FIND("@",B693)),""))</f>
        <v/>
      </c>
      <c r="G693">
        <f>IF(D693="KEEP",COUNTIF($D$2:D693,"KEEP"),"")</f>
        <v/>
      </c>
      <c r="H693">
        <f>IF(D693="REMOVE",COUNTIF($D$2:D693,"REMOVE"),"")</f>
        <v/>
      </c>
      <c r="I693">
        <f>IF(E693="Gmail",COUNTIF($E$2:E693,"Gmail"),"")</f>
        <v/>
      </c>
      <c r="J693">
        <f>IF(E693="Outlook",COUNTIF($E$2:E693,"Outlook"),"")</f>
        <v/>
      </c>
      <c r="K693">
        <f>IF(E693="Domain",COUNTIF($E$2:E693,"Domain"),"")</f>
        <v/>
      </c>
    </row>
    <row r="694">
      <c r="A694" s="2" t="n"/>
      <c r="B694">
        <f>LOWER(TRIM(A694))</f>
        <v/>
      </c>
      <c r="C694">
        <f>IF(B694="","",IFERROR(INDEX('Bad Patterns'!$A$2:$A$120,MATCH(1,INDEX(--ISNUMBER(SEARCH('Bad Patterns'!$A$2:$A$120,B694)),0),0)),""))</f>
        <v/>
      </c>
      <c r="D694">
        <f>IF(B694="","",IF(C694&lt;&gt;"","REMOVE","KEEP"))</f>
        <v/>
      </c>
      <c r="E694">
        <f>IF(D694&lt;&gt;"KEEP","",IF(RIGHT(B694,10)="@gmail.com","Gmail",IF(OR(RIGHT(B694,12)="@outlook.com",RIGHT(B694,12)="@hotmail.com",RIGHT(B694,9)="@live.com"),"Outlook","Domain")))</f>
        <v/>
      </c>
      <c r="F694">
        <f>IF(B694="","",IFERROR(RIGHT(B694,LEN(B694)-FIND("@",B694)),""))</f>
        <v/>
      </c>
      <c r="G694">
        <f>IF(D694="KEEP",COUNTIF($D$2:D694,"KEEP"),"")</f>
        <v/>
      </c>
      <c r="H694">
        <f>IF(D694="REMOVE",COUNTIF($D$2:D694,"REMOVE"),"")</f>
        <v/>
      </c>
      <c r="I694">
        <f>IF(E694="Gmail",COUNTIF($E$2:E694,"Gmail"),"")</f>
        <v/>
      </c>
      <c r="J694">
        <f>IF(E694="Outlook",COUNTIF($E$2:E694,"Outlook"),"")</f>
        <v/>
      </c>
      <c r="K694">
        <f>IF(E694="Domain",COUNTIF($E$2:E694,"Domain"),"")</f>
        <v/>
      </c>
    </row>
    <row r="695">
      <c r="A695" s="2" t="n"/>
      <c r="B695">
        <f>LOWER(TRIM(A695))</f>
        <v/>
      </c>
      <c r="C695">
        <f>IF(B695="","",IFERROR(INDEX('Bad Patterns'!$A$2:$A$120,MATCH(1,INDEX(--ISNUMBER(SEARCH('Bad Patterns'!$A$2:$A$120,B695)),0),0)),""))</f>
        <v/>
      </c>
      <c r="D695">
        <f>IF(B695="","",IF(C695&lt;&gt;"","REMOVE","KEEP"))</f>
        <v/>
      </c>
      <c r="E695">
        <f>IF(D695&lt;&gt;"KEEP","",IF(RIGHT(B695,10)="@gmail.com","Gmail",IF(OR(RIGHT(B695,12)="@outlook.com",RIGHT(B695,12)="@hotmail.com",RIGHT(B695,9)="@live.com"),"Outlook","Domain")))</f>
        <v/>
      </c>
      <c r="F695">
        <f>IF(B695="","",IFERROR(RIGHT(B695,LEN(B695)-FIND("@",B695)),""))</f>
        <v/>
      </c>
      <c r="G695">
        <f>IF(D695="KEEP",COUNTIF($D$2:D695,"KEEP"),"")</f>
        <v/>
      </c>
      <c r="H695">
        <f>IF(D695="REMOVE",COUNTIF($D$2:D695,"REMOVE"),"")</f>
        <v/>
      </c>
      <c r="I695">
        <f>IF(E695="Gmail",COUNTIF($E$2:E695,"Gmail"),"")</f>
        <v/>
      </c>
      <c r="J695">
        <f>IF(E695="Outlook",COUNTIF($E$2:E695,"Outlook"),"")</f>
        <v/>
      </c>
      <c r="K695">
        <f>IF(E695="Domain",COUNTIF($E$2:E695,"Domain"),"")</f>
        <v/>
      </c>
    </row>
    <row r="696">
      <c r="A696" s="2" t="n"/>
      <c r="B696">
        <f>LOWER(TRIM(A696))</f>
        <v/>
      </c>
      <c r="C696">
        <f>IF(B696="","",IFERROR(INDEX('Bad Patterns'!$A$2:$A$120,MATCH(1,INDEX(--ISNUMBER(SEARCH('Bad Patterns'!$A$2:$A$120,B696)),0),0)),""))</f>
        <v/>
      </c>
      <c r="D696">
        <f>IF(B696="","",IF(C696&lt;&gt;"","REMOVE","KEEP"))</f>
        <v/>
      </c>
      <c r="E696">
        <f>IF(D696&lt;&gt;"KEEP","",IF(RIGHT(B696,10)="@gmail.com","Gmail",IF(OR(RIGHT(B696,12)="@outlook.com",RIGHT(B696,12)="@hotmail.com",RIGHT(B696,9)="@live.com"),"Outlook","Domain")))</f>
        <v/>
      </c>
      <c r="F696">
        <f>IF(B696="","",IFERROR(RIGHT(B696,LEN(B696)-FIND("@",B696)),""))</f>
        <v/>
      </c>
      <c r="G696">
        <f>IF(D696="KEEP",COUNTIF($D$2:D696,"KEEP"),"")</f>
        <v/>
      </c>
      <c r="H696">
        <f>IF(D696="REMOVE",COUNTIF($D$2:D696,"REMOVE"),"")</f>
        <v/>
      </c>
      <c r="I696">
        <f>IF(E696="Gmail",COUNTIF($E$2:E696,"Gmail"),"")</f>
        <v/>
      </c>
      <c r="J696">
        <f>IF(E696="Outlook",COUNTIF($E$2:E696,"Outlook"),"")</f>
        <v/>
      </c>
      <c r="K696">
        <f>IF(E696="Domain",COUNTIF($E$2:E696,"Domain"),"")</f>
        <v/>
      </c>
    </row>
    <row r="697">
      <c r="A697" s="2" t="n"/>
      <c r="B697">
        <f>LOWER(TRIM(A697))</f>
        <v/>
      </c>
      <c r="C697">
        <f>IF(B697="","",IFERROR(INDEX('Bad Patterns'!$A$2:$A$120,MATCH(1,INDEX(--ISNUMBER(SEARCH('Bad Patterns'!$A$2:$A$120,B697)),0),0)),""))</f>
        <v/>
      </c>
      <c r="D697">
        <f>IF(B697="","",IF(C697&lt;&gt;"","REMOVE","KEEP"))</f>
        <v/>
      </c>
      <c r="E697">
        <f>IF(D697&lt;&gt;"KEEP","",IF(RIGHT(B697,10)="@gmail.com","Gmail",IF(OR(RIGHT(B697,12)="@outlook.com",RIGHT(B697,12)="@hotmail.com",RIGHT(B697,9)="@live.com"),"Outlook","Domain")))</f>
        <v/>
      </c>
      <c r="F697">
        <f>IF(B697="","",IFERROR(RIGHT(B697,LEN(B697)-FIND("@",B697)),""))</f>
        <v/>
      </c>
      <c r="G697">
        <f>IF(D697="KEEP",COUNTIF($D$2:D697,"KEEP"),"")</f>
        <v/>
      </c>
      <c r="H697">
        <f>IF(D697="REMOVE",COUNTIF($D$2:D697,"REMOVE"),"")</f>
        <v/>
      </c>
      <c r="I697">
        <f>IF(E697="Gmail",COUNTIF($E$2:E697,"Gmail"),"")</f>
        <v/>
      </c>
      <c r="J697">
        <f>IF(E697="Outlook",COUNTIF($E$2:E697,"Outlook"),"")</f>
        <v/>
      </c>
      <c r="K697">
        <f>IF(E697="Domain",COUNTIF($E$2:E697,"Domain"),"")</f>
        <v/>
      </c>
    </row>
    <row r="698">
      <c r="A698" s="2" t="n"/>
      <c r="B698">
        <f>LOWER(TRIM(A698))</f>
        <v/>
      </c>
      <c r="C698">
        <f>IF(B698="","",IFERROR(INDEX('Bad Patterns'!$A$2:$A$120,MATCH(1,INDEX(--ISNUMBER(SEARCH('Bad Patterns'!$A$2:$A$120,B698)),0),0)),""))</f>
        <v/>
      </c>
      <c r="D698">
        <f>IF(B698="","",IF(C698&lt;&gt;"","REMOVE","KEEP"))</f>
        <v/>
      </c>
      <c r="E698">
        <f>IF(D698&lt;&gt;"KEEP","",IF(RIGHT(B698,10)="@gmail.com","Gmail",IF(OR(RIGHT(B698,12)="@outlook.com",RIGHT(B698,12)="@hotmail.com",RIGHT(B698,9)="@live.com"),"Outlook","Domain")))</f>
        <v/>
      </c>
      <c r="F698">
        <f>IF(B698="","",IFERROR(RIGHT(B698,LEN(B698)-FIND("@",B698)),""))</f>
        <v/>
      </c>
      <c r="G698">
        <f>IF(D698="KEEP",COUNTIF($D$2:D698,"KEEP"),"")</f>
        <v/>
      </c>
      <c r="H698">
        <f>IF(D698="REMOVE",COUNTIF($D$2:D698,"REMOVE"),"")</f>
        <v/>
      </c>
      <c r="I698">
        <f>IF(E698="Gmail",COUNTIF($E$2:E698,"Gmail"),"")</f>
        <v/>
      </c>
      <c r="J698">
        <f>IF(E698="Outlook",COUNTIF($E$2:E698,"Outlook"),"")</f>
        <v/>
      </c>
      <c r="K698">
        <f>IF(E698="Domain",COUNTIF($E$2:E698,"Domain"),"")</f>
        <v/>
      </c>
    </row>
    <row r="699">
      <c r="A699" s="2" t="n"/>
      <c r="B699">
        <f>LOWER(TRIM(A699))</f>
        <v/>
      </c>
      <c r="C699">
        <f>IF(B699="","",IFERROR(INDEX('Bad Patterns'!$A$2:$A$120,MATCH(1,INDEX(--ISNUMBER(SEARCH('Bad Patterns'!$A$2:$A$120,B699)),0),0)),""))</f>
        <v/>
      </c>
      <c r="D699">
        <f>IF(B699="","",IF(C699&lt;&gt;"","REMOVE","KEEP"))</f>
        <v/>
      </c>
      <c r="E699">
        <f>IF(D699&lt;&gt;"KEEP","",IF(RIGHT(B699,10)="@gmail.com","Gmail",IF(OR(RIGHT(B699,12)="@outlook.com",RIGHT(B699,12)="@hotmail.com",RIGHT(B699,9)="@live.com"),"Outlook","Domain")))</f>
        <v/>
      </c>
      <c r="F699">
        <f>IF(B699="","",IFERROR(RIGHT(B699,LEN(B699)-FIND("@",B699)),""))</f>
        <v/>
      </c>
      <c r="G699">
        <f>IF(D699="KEEP",COUNTIF($D$2:D699,"KEEP"),"")</f>
        <v/>
      </c>
      <c r="H699">
        <f>IF(D699="REMOVE",COUNTIF($D$2:D699,"REMOVE"),"")</f>
        <v/>
      </c>
      <c r="I699">
        <f>IF(E699="Gmail",COUNTIF($E$2:E699,"Gmail"),"")</f>
        <v/>
      </c>
      <c r="J699">
        <f>IF(E699="Outlook",COUNTIF($E$2:E699,"Outlook"),"")</f>
        <v/>
      </c>
      <c r="K699">
        <f>IF(E699="Domain",COUNTIF($E$2:E699,"Domain"),"")</f>
        <v/>
      </c>
    </row>
    <row r="700">
      <c r="A700" s="2" t="n"/>
      <c r="B700">
        <f>LOWER(TRIM(A700))</f>
        <v/>
      </c>
      <c r="C700">
        <f>IF(B700="","",IFERROR(INDEX('Bad Patterns'!$A$2:$A$120,MATCH(1,INDEX(--ISNUMBER(SEARCH('Bad Patterns'!$A$2:$A$120,B700)),0),0)),""))</f>
        <v/>
      </c>
      <c r="D700">
        <f>IF(B700="","",IF(C700&lt;&gt;"","REMOVE","KEEP"))</f>
        <v/>
      </c>
      <c r="E700">
        <f>IF(D700&lt;&gt;"KEEP","",IF(RIGHT(B700,10)="@gmail.com","Gmail",IF(OR(RIGHT(B700,12)="@outlook.com",RIGHT(B700,12)="@hotmail.com",RIGHT(B700,9)="@live.com"),"Outlook","Domain")))</f>
        <v/>
      </c>
      <c r="F700">
        <f>IF(B700="","",IFERROR(RIGHT(B700,LEN(B700)-FIND("@",B700)),""))</f>
        <v/>
      </c>
      <c r="G700">
        <f>IF(D700="KEEP",COUNTIF($D$2:D700,"KEEP"),"")</f>
        <v/>
      </c>
      <c r="H700">
        <f>IF(D700="REMOVE",COUNTIF($D$2:D700,"REMOVE"),"")</f>
        <v/>
      </c>
      <c r="I700">
        <f>IF(E700="Gmail",COUNTIF($E$2:E700,"Gmail"),"")</f>
        <v/>
      </c>
      <c r="J700">
        <f>IF(E700="Outlook",COUNTIF($E$2:E700,"Outlook"),"")</f>
        <v/>
      </c>
      <c r="K700">
        <f>IF(E700="Domain",COUNTIF($E$2:E700,"Domain"),"")</f>
        <v/>
      </c>
    </row>
    <row r="701">
      <c r="A701" s="2" t="n"/>
      <c r="B701">
        <f>LOWER(TRIM(A701))</f>
        <v/>
      </c>
      <c r="C701">
        <f>IF(B701="","",IFERROR(INDEX('Bad Patterns'!$A$2:$A$120,MATCH(1,INDEX(--ISNUMBER(SEARCH('Bad Patterns'!$A$2:$A$120,B701)),0),0)),""))</f>
        <v/>
      </c>
      <c r="D701">
        <f>IF(B701="","",IF(C701&lt;&gt;"","REMOVE","KEEP"))</f>
        <v/>
      </c>
      <c r="E701">
        <f>IF(D701&lt;&gt;"KEEP","",IF(RIGHT(B701,10)="@gmail.com","Gmail",IF(OR(RIGHT(B701,12)="@outlook.com",RIGHT(B701,12)="@hotmail.com",RIGHT(B701,9)="@live.com"),"Outlook","Domain")))</f>
        <v/>
      </c>
      <c r="F701">
        <f>IF(B701="","",IFERROR(RIGHT(B701,LEN(B701)-FIND("@",B701)),""))</f>
        <v/>
      </c>
      <c r="G701">
        <f>IF(D701="KEEP",COUNTIF($D$2:D701,"KEEP"),"")</f>
        <v/>
      </c>
      <c r="H701">
        <f>IF(D701="REMOVE",COUNTIF($D$2:D701,"REMOVE"),"")</f>
        <v/>
      </c>
      <c r="I701">
        <f>IF(E701="Gmail",COUNTIF($E$2:E701,"Gmail"),"")</f>
        <v/>
      </c>
      <c r="J701">
        <f>IF(E701="Outlook",COUNTIF($E$2:E701,"Outlook"),"")</f>
        <v/>
      </c>
      <c r="K701">
        <f>IF(E701="Domain",COUNTIF($E$2:E701,"Domain"),"")</f>
        <v/>
      </c>
    </row>
    <row r="702">
      <c r="A702" s="2" t="n"/>
      <c r="B702">
        <f>LOWER(TRIM(A702))</f>
        <v/>
      </c>
      <c r="C702">
        <f>IF(B702="","",IFERROR(INDEX('Bad Patterns'!$A$2:$A$120,MATCH(1,INDEX(--ISNUMBER(SEARCH('Bad Patterns'!$A$2:$A$120,B702)),0),0)),""))</f>
        <v/>
      </c>
      <c r="D702">
        <f>IF(B702="","",IF(C702&lt;&gt;"","REMOVE","KEEP"))</f>
        <v/>
      </c>
      <c r="E702">
        <f>IF(D702&lt;&gt;"KEEP","",IF(RIGHT(B702,10)="@gmail.com","Gmail",IF(OR(RIGHT(B702,12)="@outlook.com",RIGHT(B702,12)="@hotmail.com",RIGHT(B702,9)="@live.com"),"Outlook","Domain")))</f>
        <v/>
      </c>
      <c r="F702">
        <f>IF(B702="","",IFERROR(RIGHT(B702,LEN(B702)-FIND("@",B702)),""))</f>
        <v/>
      </c>
      <c r="G702">
        <f>IF(D702="KEEP",COUNTIF($D$2:D702,"KEEP"),"")</f>
        <v/>
      </c>
      <c r="H702">
        <f>IF(D702="REMOVE",COUNTIF($D$2:D702,"REMOVE"),"")</f>
        <v/>
      </c>
      <c r="I702">
        <f>IF(E702="Gmail",COUNTIF($E$2:E702,"Gmail"),"")</f>
        <v/>
      </c>
      <c r="J702">
        <f>IF(E702="Outlook",COUNTIF($E$2:E702,"Outlook"),"")</f>
        <v/>
      </c>
      <c r="K702">
        <f>IF(E702="Domain",COUNTIF($E$2:E702,"Domain"),"")</f>
        <v/>
      </c>
    </row>
    <row r="703">
      <c r="A703" s="2" t="n"/>
      <c r="B703">
        <f>LOWER(TRIM(A703))</f>
        <v/>
      </c>
      <c r="C703">
        <f>IF(B703="","",IFERROR(INDEX('Bad Patterns'!$A$2:$A$120,MATCH(1,INDEX(--ISNUMBER(SEARCH('Bad Patterns'!$A$2:$A$120,B703)),0),0)),""))</f>
        <v/>
      </c>
      <c r="D703">
        <f>IF(B703="","",IF(C703&lt;&gt;"","REMOVE","KEEP"))</f>
        <v/>
      </c>
      <c r="E703">
        <f>IF(D703&lt;&gt;"KEEP","",IF(RIGHT(B703,10)="@gmail.com","Gmail",IF(OR(RIGHT(B703,12)="@outlook.com",RIGHT(B703,12)="@hotmail.com",RIGHT(B703,9)="@live.com"),"Outlook","Domain")))</f>
        <v/>
      </c>
      <c r="F703">
        <f>IF(B703="","",IFERROR(RIGHT(B703,LEN(B703)-FIND("@",B703)),""))</f>
        <v/>
      </c>
      <c r="G703">
        <f>IF(D703="KEEP",COUNTIF($D$2:D703,"KEEP"),"")</f>
        <v/>
      </c>
      <c r="H703">
        <f>IF(D703="REMOVE",COUNTIF($D$2:D703,"REMOVE"),"")</f>
        <v/>
      </c>
      <c r="I703">
        <f>IF(E703="Gmail",COUNTIF($E$2:E703,"Gmail"),"")</f>
        <v/>
      </c>
      <c r="J703">
        <f>IF(E703="Outlook",COUNTIF($E$2:E703,"Outlook"),"")</f>
        <v/>
      </c>
      <c r="K703">
        <f>IF(E703="Domain",COUNTIF($E$2:E703,"Domain"),"")</f>
        <v/>
      </c>
    </row>
    <row r="704">
      <c r="A704" s="2" t="n"/>
      <c r="B704">
        <f>LOWER(TRIM(A704))</f>
        <v/>
      </c>
      <c r="C704">
        <f>IF(B704="","",IFERROR(INDEX('Bad Patterns'!$A$2:$A$120,MATCH(1,INDEX(--ISNUMBER(SEARCH('Bad Patterns'!$A$2:$A$120,B704)),0),0)),""))</f>
        <v/>
      </c>
      <c r="D704">
        <f>IF(B704="","",IF(C704&lt;&gt;"","REMOVE","KEEP"))</f>
        <v/>
      </c>
      <c r="E704">
        <f>IF(D704&lt;&gt;"KEEP","",IF(RIGHT(B704,10)="@gmail.com","Gmail",IF(OR(RIGHT(B704,12)="@outlook.com",RIGHT(B704,12)="@hotmail.com",RIGHT(B704,9)="@live.com"),"Outlook","Domain")))</f>
        <v/>
      </c>
      <c r="F704">
        <f>IF(B704="","",IFERROR(RIGHT(B704,LEN(B704)-FIND("@",B704)),""))</f>
        <v/>
      </c>
      <c r="G704">
        <f>IF(D704="KEEP",COUNTIF($D$2:D704,"KEEP"),"")</f>
        <v/>
      </c>
      <c r="H704">
        <f>IF(D704="REMOVE",COUNTIF($D$2:D704,"REMOVE"),"")</f>
        <v/>
      </c>
      <c r="I704">
        <f>IF(E704="Gmail",COUNTIF($E$2:E704,"Gmail"),"")</f>
        <v/>
      </c>
      <c r="J704">
        <f>IF(E704="Outlook",COUNTIF($E$2:E704,"Outlook"),"")</f>
        <v/>
      </c>
      <c r="K704">
        <f>IF(E704="Domain",COUNTIF($E$2:E704,"Domain"),"")</f>
        <v/>
      </c>
    </row>
    <row r="705">
      <c r="A705" s="2" t="n"/>
      <c r="B705">
        <f>LOWER(TRIM(A705))</f>
        <v/>
      </c>
      <c r="C705">
        <f>IF(B705="","",IFERROR(INDEX('Bad Patterns'!$A$2:$A$120,MATCH(1,INDEX(--ISNUMBER(SEARCH('Bad Patterns'!$A$2:$A$120,B705)),0),0)),""))</f>
        <v/>
      </c>
      <c r="D705">
        <f>IF(B705="","",IF(C705&lt;&gt;"","REMOVE","KEEP"))</f>
        <v/>
      </c>
      <c r="E705">
        <f>IF(D705&lt;&gt;"KEEP","",IF(RIGHT(B705,10)="@gmail.com","Gmail",IF(OR(RIGHT(B705,12)="@outlook.com",RIGHT(B705,12)="@hotmail.com",RIGHT(B705,9)="@live.com"),"Outlook","Domain")))</f>
        <v/>
      </c>
      <c r="F705">
        <f>IF(B705="","",IFERROR(RIGHT(B705,LEN(B705)-FIND("@",B705)),""))</f>
        <v/>
      </c>
      <c r="G705">
        <f>IF(D705="KEEP",COUNTIF($D$2:D705,"KEEP"),"")</f>
        <v/>
      </c>
      <c r="H705">
        <f>IF(D705="REMOVE",COUNTIF($D$2:D705,"REMOVE"),"")</f>
        <v/>
      </c>
      <c r="I705">
        <f>IF(E705="Gmail",COUNTIF($E$2:E705,"Gmail"),"")</f>
        <v/>
      </c>
      <c r="J705">
        <f>IF(E705="Outlook",COUNTIF($E$2:E705,"Outlook"),"")</f>
        <v/>
      </c>
      <c r="K705">
        <f>IF(E705="Domain",COUNTIF($E$2:E705,"Domain"),"")</f>
        <v/>
      </c>
    </row>
    <row r="706">
      <c r="A706" s="2" t="n"/>
      <c r="B706">
        <f>LOWER(TRIM(A706))</f>
        <v/>
      </c>
      <c r="C706">
        <f>IF(B706="","",IFERROR(INDEX('Bad Patterns'!$A$2:$A$120,MATCH(1,INDEX(--ISNUMBER(SEARCH('Bad Patterns'!$A$2:$A$120,B706)),0),0)),""))</f>
        <v/>
      </c>
      <c r="D706">
        <f>IF(B706="","",IF(C706&lt;&gt;"","REMOVE","KEEP"))</f>
        <v/>
      </c>
      <c r="E706">
        <f>IF(D706&lt;&gt;"KEEP","",IF(RIGHT(B706,10)="@gmail.com","Gmail",IF(OR(RIGHT(B706,12)="@outlook.com",RIGHT(B706,12)="@hotmail.com",RIGHT(B706,9)="@live.com"),"Outlook","Domain")))</f>
        <v/>
      </c>
      <c r="F706">
        <f>IF(B706="","",IFERROR(RIGHT(B706,LEN(B706)-FIND("@",B706)),""))</f>
        <v/>
      </c>
      <c r="G706">
        <f>IF(D706="KEEP",COUNTIF($D$2:D706,"KEEP"),"")</f>
        <v/>
      </c>
      <c r="H706">
        <f>IF(D706="REMOVE",COUNTIF($D$2:D706,"REMOVE"),"")</f>
        <v/>
      </c>
      <c r="I706">
        <f>IF(E706="Gmail",COUNTIF($E$2:E706,"Gmail"),"")</f>
        <v/>
      </c>
      <c r="J706">
        <f>IF(E706="Outlook",COUNTIF($E$2:E706,"Outlook"),"")</f>
        <v/>
      </c>
      <c r="K706">
        <f>IF(E706="Domain",COUNTIF($E$2:E706,"Domain"),"")</f>
        <v/>
      </c>
    </row>
    <row r="707">
      <c r="A707" s="2" t="n"/>
      <c r="B707">
        <f>LOWER(TRIM(A707))</f>
        <v/>
      </c>
      <c r="C707">
        <f>IF(B707="","",IFERROR(INDEX('Bad Patterns'!$A$2:$A$120,MATCH(1,INDEX(--ISNUMBER(SEARCH('Bad Patterns'!$A$2:$A$120,B707)),0),0)),""))</f>
        <v/>
      </c>
      <c r="D707">
        <f>IF(B707="","",IF(C707&lt;&gt;"","REMOVE","KEEP"))</f>
        <v/>
      </c>
      <c r="E707">
        <f>IF(D707&lt;&gt;"KEEP","",IF(RIGHT(B707,10)="@gmail.com","Gmail",IF(OR(RIGHT(B707,12)="@outlook.com",RIGHT(B707,12)="@hotmail.com",RIGHT(B707,9)="@live.com"),"Outlook","Domain")))</f>
        <v/>
      </c>
      <c r="F707">
        <f>IF(B707="","",IFERROR(RIGHT(B707,LEN(B707)-FIND("@",B707)),""))</f>
        <v/>
      </c>
      <c r="G707">
        <f>IF(D707="KEEP",COUNTIF($D$2:D707,"KEEP"),"")</f>
        <v/>
      </c>
      <c r="H707">
        <f>IF(D707="REMOVE",COUNTIF($D$2:D707,"REMOVE"),"")</f>
        <v/>
      </c>
      <c r="I707">
        <f>IF(E707="Gmail",COUNTIF($E$2:E707,"Gmail"),"")</f>
        <v/>
      </c>
      <c r="J707">
        <f>IF(E707="Outlook",COUNTIF($E$2:E707,"Outlook"),"")</f>
        <v/>
      </c>
      <c r="K707">
        <f>IF(E707="Domain",COUNTIF($E$2:E707,"Domain"),"")</f>
        <v/>
      </c>
    </row>
    <row r="708">
      <c r="A708" s="2" t="n"/>
      <c r="B708">
        <f>LOWER(TRIM(A708))</f>
        <v/>
      </c>
      <c r="C708">
        <f>IF(B708="","",IFERROR(INDEX('Bad Patterns'!$A$2:$A$120,MATCH(1,INDEX(--ISNUMBER(SEARCH('Bad Patterns'!$A$2:$A$120,B708)),0),0)),""))</f>
        <v/>
      </c>
      <c r="D708">
        <f>IF(B708="","",IF(C708&lt;&gt;"","REMOVE","KEEP"))</f>
        <v/>
      </c>
      <c r="E708">
        <f>IF(D708&lt;&gt;"KEEP","",IF(RIGHT(B708,10)="@gmail.com","Gmail",IF(OR(RIGHT(B708,12)="@outlook.com",RIGHT(B708,12)="@hotmail.com",RIGHT(B708,9)="@live.com"),"Outlook","Domain")))</f>
        <v/>
      </c>
      <c r="F708">
        <f>IF(B708="","",IFERROR(RIGHT(B708,LEN(B708)-FIND("@",B708)),""))</f>
        <v/>
      </c>
      <c r="G708">
        <f>IF(D708="KEEP",COUNTIF($D$2:D708,"KEEP"),"")</f>
        <v/>
      </c>
      <c r="H708">
        <f>IF(D708="REMOVE",COUNTIF($D$2:D708,"REMOVE"),"")</f>
        <v/>
      </c>
      <c r="I708">
        <f>IF(E708="Gmail",COUNTIF($E$2:E708,"Gmail"),"")</f>
        <v/>
      </c>
      <c r="J708">
        <f>IF(E708="Outlook",COUNTIF($E$2:E708,"Outlook"),"")</f>
        <v/>
      </c>
      <c r="K708">
        <f>IF(E708="Domain",COUNTIF($E$2:E708,"Domain"),"")</f>
        <v/>
      </c>
    </row>
    <row r="709">
      <c r="A709" s="2" t="n"/>
      <c r="B709">
        <f>LOWER(TRIM(A709))</f>
        <v/>
      </c>
      <c r="C709">
        <f>IF(B709="","",IFERROR(INDEX('Bad Patterns'!$A$2:$A$120,MATCH(1,INDEX(--ISNUMBER(SEARCH('Bad Patterns'!$A$2:$A$120,B709)),0),0)),""))</f>
        <v/>
      </c>
      <c r="D709">
        <f>IF(B709="","",IF(C709&lt;&gt;"","REMOVE","KEEP"))</f>
        <v/>
      </c>
      <c r="E709">
        <f>IF(D709&lt;&gt;"KEEP","",IF(RIGHT(B709,10)="@gmail.com","Gmail",IF(OR(RIGHT(B709,12)="@outlook.com",RIGHT(B709,12)="@hotmail.com",RIGHT(B709,9)="@live.com"),"Outlook","Domain")))</f>
        <v/>
      </c>
      <c r="F709">
        <f>IF(B709="","",IFERROR(RIGHT(B709,LEN(B709)-FIND("@",B709)),""))</f>
        <v/>
      </c>
      <c r="G709">
        <f>IF(D709="KEEP",COUNTIF($D$2:D709,"KEEP"),"")</f>
        <v/>
      </c>
      <c r="H709">
        <f>IF(D709="REMOVE",COUNTIF($D$2:D709,"REMOVE"),"")</f>
        <v/>
      </c>
      <c r="I709">
        <f>IF(E709="Gmail",COUNTIF($E$2:E709,"Gmail"),"")</f>
        <v/>
      </c>
      <c r="J709">
        <f>IF(E709="Outlook",COUNTIF($E$2:E709,"Outlook"),"")</f>
        <v/>
      </c>
      <c r="K709">
        <f>IF(E709="Domain",COUNTIF($E$2:E709,"Domain"),"")</f>
        <v/>
      </c>
    </row>
    <row r="710">
      <c r="A710" s="2" t="n"/>
      <c r="B710">
        <f>LOWER(TRIM(A710))</f>
        <v/>
      </c>
      <c r="C710">
        <f>IF(B710="","",IFERROR(INDEX('Bad Patterns'!$A$2:$A$120,MATCH(1,INDEX(--ISNUMBER(SEARCH('Bad Patterns'!$A$2:$A$120,B710)),0),0)),""))</f>
        <v/>
      </c>
      <c r="D710">
        <f>IF(B710="","",IF(C710&lt;&gt;"","REMOVE","KEEP"))</f>
        <v/>
      </c>
      <c r="E710">
        <f>IF(D710&lt;&gt;"KEEP","",IF(RIGHT(B710,10)="@gmail.com","Gmail",IF(OR(RIGHT(B710,12)="@outlook.com",RIGHT(B710,12)="@hotmail.com",RIGHT(B710,9)="@live.com"),"Outlook","Domain")))</f>
        <v/>
      </c>
      <c r="F710">
        <f>IF(B710="","",IFERROR(RIGHT(B710,LEN(B710)-FIND("@",B710)),""))</f>
        <v/>
      </c>
      <c r="G710">
        <f>IF(D710="KEEP",COUNTIF($D$2:D710,"KEEP"),"")</f>
        <v/>
      </c>
      <c r="H710">
        <f>IF(D710="REMOVE",COUNTIF($D$2:D710,"REMOVE"),"")</f>
        <v/>
      </c>
      <c r="I710">
        <f>IF(E710="Gmail",COUNTIF($E$2:E710,"Gmail"),"")</f>
        <v/>
      </c>
      <c r="J710">
        <f>IF(E710="Outlook",COUNTIF($E$2:E710,"Outlook"),"")</f>
        <v/>
      </c>
      <c r="K710">
        <f>IF(E710="Domain",COUNTIF($E$2:E710,"Domain"),"")</f>
        <v/>
      </c>
    </row>
    <row r="711">
      <c r="A711" s="2" t="n"/>
      <c r="B711">
        <f>LOWER(TRIM(A711))</f>
        <v/>
      </c>
      <c r="C711">
        <f>IF(B711="","",IFERROR(INDEX('Bad Patterns'!$A$2:$A$120,MATCH(1,INDEX(--ISNUMBER(SEARCH('Bad Patterns'!$A$2:$A$120,B711)),0),0)),""))</f>
        <v/>
      </c>
      <c r="D711">
        <f>IF(B711="","",IF(C711&lt;&gt;"","REMOVE","KEEP"))</f>
        <v/>
      </c>
      <c r="E711">
        <f>IF(D711&lt;&gt;"KEEP","",IF(RIGHT(B711,10)="@gmail.com","Gmail",IF(OR(RIGHT(B711,12)="@outlook.com",RIGHT(B711,12)="@hotmail.com",RIGHT(B711,9)="@live.com"),"Outlook","Domain")))</f>
        <v/>
      </c>
      <c r="F711">
        <f>IF(B711="","",IFERROR(RIGHT(B711,LEN(B711)-FIND("@",B711)),""))</f>
        <v/>
      </c>
      <c r="G711">
        <f>IF(D711="KEEP",COUNTIF($D$2:D711,"KEEP"),"")</f>
        <v/>
      </c>
      <c r="H711">
        <f>IF(D711="REMOVE",COUNTIF($D$2:D711,"REMOVE"),"")</f>
        <v/>
      </c>
      <c r="I711">
        <f>IF(E711="Gmail",COUNTIF($E$2:E711,"Gmail"),"")</f>
        <v/>
      </c>
      <c r="J711">
        <f>IF(E711="Outlook",COUNTIF($E$2:E711,"Outlook"),"")</f>
        <v/>
      </c>
      <c r="K711">
        <f>IF(E711="Domain",COUNTIF($E$2:E711,"Domain"),"")</f>
        <v/>
      </c>
    </row>
    <row r="712">
      <c r="A712" s="2" t="n"/>
      <c r="B712">
        <f>LOWER(TRIM(A712))</f>
        <v/>
      </c>
      <c r="C712">
        <f>IF(B712="","",IFERROR(INDEX('Bad Patterns'!$A$2:$A$120,MATCH(1,INDEX(--ISNUMBER(SEARCH('Bad Patterns'!$A$2:$A$120,B712)),0),0)),""))</f>
        <v/>
      </c>
      <c r="D712">
        <f>IF(B712="","",IF(C712&lt;&gt;"","REMOVE","KEEP"))</f>
        <v/>
      </c>
      <c r="E712">
        <f>IF(D712&lt;&gt;"KEEP","",IF(RIGHT(B712,10)="@gmail.com","Gmail",IF(OR(RIGHT(B712,12)="@outlook.com",RIGHT(B712,12)="@hotmail.com",RIGHT(B712,9)="@live.com"),"Outlook","Domain")))</f>
        <v/>
      </c>
      <c r="F712">
        <f>IF(B712="","",IFERROR(RIGHT(B712,LEN(B712)-FIND("@",B712)),""))</f>
        <v/>
      </c>
      <c r="G712">
        <f>IF(D712="KEEP",COUNTIF($D$2:D712,"KEEP"),"")</f>
        <v/>
      </c>
      <c r="H712">
        <f>IF(D712="REMOVE",COUNTIF($D$2:D712,"REMOVE"),"")</f>
        <v/>
      </c>
      <c r="I712">
        <f>IF(E712="Gmail",COUNTIF($E$2:E712,"Gmail"),"")</f>
        <v/>
      </c>
      <c r="J712">
        <f>IF(E712="Outlook",COUNTIF($E$2:E712,"Outlook"),"")</f>
        <v/>
      </c>
      <c r="K712">
        <f>IF(E712="Domain",COUNTIF($E$2:E712,"Domain"),"")</f>
        <v/>
      </c>
    </row>
    <row r="713">
      <c r="A713" s="2" t="n"/>
      <c r="B713">
        <f>LOWER(TRIM(A713))</f>
        <v/>
      </c>
      <c r="C713">
        <f>IF(B713="","",IFERROR(INDEX('Bad Patterns'!$A$2:$A$120,MATCH(1,INDEX(--ISNUMBER(SEARCH('Bad Patterns'!$A$2:$A$120,B713)),0),0)),""))</f>
        <v/>
      </c>
      <c r="D713">
        <f>IF(B713="","",IF(C713&lt;&gt;"","REMOVE","KEEP"))</f>
        <v/>
      </c>
      <c r="E713">
        <f>IF(D713&lt;&gt;"KEEP","",IF(RIGHT(B713,10)="@gmail.com","Gmail",IF(OR(RIGHT(B713,12)="@outlook.com",RIGHT(B713,12)="@hotmail.com",RIGHT(B713,9)="@live.com"),"Outlook","Domain")))</f>
        <v/>
      </c>
      <c r="F713">
        <f>IF(B713="","",IFERROR(RIGHT(B713,LEN(B713)-FIND("@",B713)),""))</f>
        <v/>
      </c>
      <c r="G713">
        <f>IF(D713="KEEP",COUNTIF($D$2:D713,"KEEP"),"")</f>
        <v/>
      </c>
      <c r="H713">
        <f>IF(D713="REMOVE",COUNTIF($D$2:D713,"REMOVE"),"")</f>
        <v/>
      </c>
      <c r="I713">
        <f>IF(E713="Gmail",COUNTIF($E$2:E713,"Gmail"),"")</f>
        <v/>
      </c>
      <c r="J713">
        <f>IF(E713="Outlook",COUNTIF($E$2:E713,"Outlook"),"")</f>
        <v/>
      </c>
      <c r="K713">
        <f>IF(E713="Domain",COUNTIF($E$2:E713,"Domain"),"")</f>
        <v/>
      </c>
    </row>
    <row r="714">
      <c r="A714" s="2" t="n"/>
      <c r="B714">
        <f>LOWER(TRIM(A714))</f>
        <v/>
      </c>
      <c r="C714">
        <f>IF(B714="","",IFERROR(INDEX('Bad Patterns'!$A$2:$A$120,MATCH(1,INDEX(--ISNUMBER(SEARCH('Bad Patterns'!$A$2:$A$120,B714)),0),0)),""))</f>
        <v/>
      </c>
      <c r="D714">
        <f>IF(B714="","",IF(C714&lt;&gt;"","REMOVE","KEEP"))</f>
        <v/>
      </c>
      <c r="E714">
        <f>IF(D714&lt;&gt;"KEEP","",IF(RIGHT(B714,10)="@gmail.com","Gmail",IF(OR(RIGHT(B714,12)="@outlook.com",RIGHT(B714,12)="@hotmail.com",RIGHT(B714,9)="@live.com"),"Outlook","Domain")))</f>
        <v/>
      </c>
      <c r="F714">
        <f>IF(B714="","",IFERROR(RIGHT(B714,LEN(B714)-FIND("@",B714)),""))</f>
        <v/>
      </c>
      <c r="G714">
        <f>IF(D714="KEEP",COUNTIF($D$2:D714,"KEEP"),"")</f>
        <v/>
      </c>
      <c r="H714">
        <f>IF(D714="REMOVE",COUNTIF($D$2:D714,"REMOVE"),"")</f>
        <v/>
      </c>
      <c r="I714">
        <f>IF(E714="Gmail",COUNTIF($E$2:E714,"Gmail"),"")</f>
        <v/>
      </c>
      <c r="J714">
        <f>IF(E714="Outlook",COUNTIF($E$2:E714,"Outlook"),"")</f>
        <v/>
      </c>
      <c r="K714">
        <f>IF(E714="Domain",COUNTIF($E$2:E714,"Domain"),"")</f>
        <v/>
      </c>
    </row>
    <row r="715">
      <c r="A715" s="2" t="n"/>
      <c r="B715">
        <f>LOWER(TRIM(A715))</f>
        <v/>
      </c>
      <c r="C715">
        <f>IF(B715="","",IFERROR(INDEX('Bad Patterns'!$A$2:$A$120,MATCH(1,INDEX(--ISNUMBER(SEARCH('Bad Patterns'!$A$2:$A$120,B715)),0),0)),""))</f>
        <v/>
      </c>
      <c r="D715">
        <f>IF(B715="","",IF(C715&lt;&gt;"","REMOVE","KEEP"))</f>
        <v/>
      </c>
      <c r="E715">
        <f>IF(D715&lt;&gt;"KEEP","",IF(RIGHT(B715,10)="@gmail.com","Gmail",IF(OR(RIGHT(B715,12)="@outlook.com",RIGHT(B715,12)="@hotmail.com",RIGHT(B715,9)="@live.com"),"Outlook","Domain")))</f>
        <v/>
      </c>
      <c r="F715">
        <f>IF(B715="","",IFERROR(RIGHT(B715,LEN(B715)-FIND("@",B715)),""))</f>
        <v/>
      </c>
      <c r="G715">
        <f>IF(D715="KEEP",COUNTIF($D$2:D715,"KEEP"),"")</f>
        <v/>
      </c>
      <c r="H715">
        <f>IF(D715="REMOVE",COUNTIF($D$2:D715,"REMOVE"),"")</f>
        <v/>
      </c>
      <c r="I715">
        <f>IF(E715="Gmail",COUNTIF($E$2:E715,"Gmail"),"")</f>
        <v/>
      </c>
      <c r="J715">
        <f>IF(E715="Outlook",COUNTIF($E$2:E715,"Outlook"),"")</f>
        <v/>
      </c>
      <c r="K715">
        <f>IF(E715="Domain",COUNTIF($E$2:E715,"Domain"),"")</f>
        <v/>
      </c>
    </row>
    <row r="716">
      <c r="A716" s="2" t="n"/>
      <c r="B716">
        <f>LOWER(TRIM(A716))</f>
        <v/>
      </c>
      <c r="C716">
        <f>IF(B716="","",IFERROR(INDEX('Bad Patterns'!$A$2:$A$120,MATCH(1,INDEX(--ISNUMBER(SEARCH('Bad Patterns'!$A$2:$A$120,B716)),0),0)),""))</f>
        <v/>
      </c>
      <c r="D716">
        <f>IF(B716="","",IF(C716&lt;&gt;"","REMOVE","KEEP"))</f>
        <v/>
      </c>
      <c r="E716">
        <f>IF(D716&lt;&gt;"KEEP","",IF(RIGHT(B716,10)="@gmail.com","Gmail",IF(OR(RIGHT(B716,12)="@outlook.com",RIGHT(B716,12)="@hotmail.com",RIGHT(B716,9)="@live.com"),"Outlook","Domain")))</f>
        <v/>
      </c>
      <c r="F716">
        <f>IF(B716="","",IFERROR(RIGHT(B716,LEN(B716)-FIND("@",B716)),""))</f>
        <v/>
      </c>
      <c r="G716">
        <f>IF(D716="KEEP",COUNTIF($D$2:D716,"KEEP"),"")</f>
        <v/>
      </c>
      <c r="H716">
        <f>IF(D716="REMOVE",COUNTIF($D$2:D716,"REMOVE"),"")</f>
        <v/>
      </c>
      <c r="I716">
        <f>IF(E716="Gmail",COUNTIF($E$2:E716,"Gmail"),"")</f>
        <v/>
      </c>
      <c r="J716">
        <f>IF(E716="Outlook",COUNTIF($E$2:E716,"Outlook"),"")</f>
        <v/>
      </c>
      <c r="K716">
        <f>IF(E716="Domain",COUNTIF($E$2:E716,"Domain"),"")</f>
        <v/>
      </c>
    </row>
    <row r="717">
      <c r="A717" s="2" t="n"/>
      <c r="B717">
        <f>LOWER(TRIM(A717))</f>
        <v/>
      </c>
      <c r="C717">
        <f>IF(B717="","",IFERROR(INDEX('Bad Patterns'!$A$2:$A$120,MATCH(1,INDEX(--ISNUMBER(SEARCH('Bad Patterns'!$A$2:$A$120,B717)),0),0)),""))</f>
        <v/>
      </c>
      <c r="D717">
        <f>IF(B717="","",IF(C717&lt;&gt;"","REMOVE","KEEP"))</f>
        <v/>
      </c>
      <c r="E717">
        <f>IF(D717&lt;&gt;"KEEP","",IF(RIGHT(B717,10)="@gmail.com","Gmail",IF(OR(RIGHT(B717,12)="@outlook.com",RIGHT(B717,12)="@hotmail.com",RIGHT(B717,9)="@live.com"),"Outlook","Domain")))</f>
        <v/>
      </c>
      <c r="F717">
        <f>IF(B717="","",IFERROR(RIGHT(B717,LEN(B717)-FIND("@",B717)),""))</f>
        <v/>
      </c>
      <c r="G717">
        <f>IF(D717="KEEP",COUNTIF($D$2:D717,"KEEP"),"")</f>
        <v/>
      </c>
      <c r="H717">
        <f>IF(D717="REMOVE",COUNTIF($D$2:D717,"REMOVE"),"")</f>
        <v/>
      </c>
      <c r="I717">
        <f>IF(E717="Gmail",COUNTIF($E$2:E717,"Gmail"),"")</f>
        <v/>
      </c>
      <c r="J717">
        <f>IF(E717="Outlook",COUNTIF($E$2:E717,"Outlook"),"")</f>
        <v/>
      </c>
      <c r="K717">
        <f>IF(E717="Domain",COUNTIF($E$2:E717,"Domain"),"")</f>
        <v/>
      </c>
    </row>
    <row r="718">
      <c r="A718" s="2" t="n"/>
      <c r="B718">
        <f>LOWER(TRIM(A718))</f>
        <v/>
      </c>
      <c r="C718">
        <f>IF(B718="","",IFERROR(INDEX('Bad Patterns'!$A$2:$A$120,MATCH(1,INDEX(--ISNUMBER(SEARCH('Bad Patterns'!$A$2:$A$120,B718)),0),0)),""))</f>
        <v/>
      </c>
      <c r="D718">
        <f>IF(B718="","",IF(C718&lt;&gt;"","REMOVE","KEEP"))</f>
        <v/>
      </c>
      <c r="E718">
        <f>IF(D718&lt;&gt;"KEEP","",IF(RIGHT(B718,10)="@gmail.com","Gmail",IF(OR(RIGHT(B718,12)="@outlook.com",RIGHT(B718,12)="@hotmail.com",RIGHT(B718,9)="@live.com"),"Outlook","Domain")))</f>
        <v/>
      </c>
      <c r="F718">
        <f>IF(B718="","",IFERROR(RIGHT(B718,LEN(B718)-FIND("@",B718)),""))</f>
        <v/>
      </c>
      <c r="G718">
        <f>IF(D718="KEEP",COUNTIF($D$2:D718,"KEEP"),"")</f>
        <v/>
      </c>
      <c r="H718">
        <f>IF(D718="REMOVE",COUNTIF($D$2:D718,"REMOVE"),"")</f>
        <v/>
      </c>
      <c r="I718">
        <f>IF(E718="Gmail",COUNTIF($E$2:E718,"Gmail"),"")</f>
        <v/>
      </c>
      <c r="J718">
        <f>IF(E718="Outlook",COUNTIF($E$2:E718,"Outlook"),"")</f>
        <v/>
      </c>
      <c r="K718">
        <f>IF(E718="Domain",COUNTIF($E$2:E718,"Domain"),"")</f>
        <v/>
      </c>
    </row>
    <row r="719">
      <c r="A719" s="2" t="n"/>
      <c r="B719">
        <f>LOWER(TRIM(A719))</f>
        <v/>
      </c>
      <c r="C719">
        <f>IF(B719="","",IFERROR(INDEX('Bad Patterns'!$A$2:$A$120,MATCH(1,INDEX(--ISNUMBER(SEARCH('Bad Patterns'!$A$2:$A$120,B719)),0),0)),""))</f>
        <v/>
      </c>
      <c r="D719">
        <f>IF(B719="","",IF(C719&lt;&gt;"","REMOVE","KEEP"))</f>
        <v/>
      </c>
      <c r="E719">
        <f>IF(D719&lt;&gt;"KEEP","",IF(RIGHT(B719,10)="@gmail.com","Gmail",IF(OR(RIGHT(B719,12)="@outlook.com",RIGHT(B719,12)="@hotmail.com",RIGHT(B719,9)="@live.com"),"Outlook","Domain")))</f>
        <v/>
      </c>
      <c r="F719">
        <f>IF(B719="","",IFERROR(RIGHT(B719,LEN(B719)-FIND("@",B719)),""))</f>
        <v/>
      </c>
      <c r="G719">
        <f>IF(D719="KEEP",COUNTIF($D$2:D719,"KEEP"),"")</f>
        <v/>
      </c>
      <c r="H719">
        <f>IF(D719="REMOVE",COUNTIF($D$2:D719,"REMOVE"),"")</f>
        <v/>
      </c>
      <c r="I719">
        <f>IF(E719="Gmail",COUNTIF($E$2:E719,"Gmail"),"")</f>
        <v/>
      </c>
      <c r="J719">
        <f>IF(E719="Outlook",COUNTIF($E$2:E719,"Outlook"),"")</f>
        <v/>
      </c>
      <c r="K719">
        <f>IF(E719="Domain",COUNTIF($E$2:E719,"Domain"),"")</f>
        <v/>
      </c>
    </row>
    <row r="720">
      <c r="A720" s="2" t="n"/>
      <c r="B720">
        <f>LOWER(TRIM(A720))</f>
        <v/>
      </c>
      <c r="C720">
        <f>IF(B720="","",IFERROR(INDEX('Bad Patterns'!$A$2:$A$120,MATCH(1,INDEX(--ISNUMBER(SEARCH('Bad Patterns'!$A$2:$A$120,B720)),0),0)),""))</f>
        <v/>
      </c>
      <c r="D720">
        <f>IF(B720="","",IF(C720&lt;&gt;"","REMOVE","KEEP"))</f>
        <v/>
      </c>
      <c r="E720">
        <f>IF(D720&lt;&gt;"KEEP","",IF(RIGHT(B720,10)="@gmail.com","Gmail",IF(OR(RIGHT(B720,12)="@outlook.com",RIGHT(B720,12)="@hotmail.com",RIGHT(B720,9)="@live.com"),"Outlook","Domain")))</f>
        <v/>
      </c>
      <c r="F720">
        <f>IF(B720="","",IFERROR(RIGHT(B720,LEN(B720)-FIND("@",B720)),""))</f>
        <v/>
      </c>
      <c r="G720">
        <f>IF(D720="KEEP",COUNTIF($D$2:D720,"KEEP"),"")</f>
        <v/>
      </c>
      <c r="H720">
        <f>IF(D720="REMOVE",COUNTIF($D$2:D720,"REMOVE"),"")</f>
        <v/>
      </c>
      <c r="I720">
        <f>IF(E720="Gmail",COUNTIF($E$2:E720,"Gmail"),"")</f>
        <v/>
      </c>
      <c r="J720">
        <f>IF(E720="Outlook",COUNTIF($E$2:E720,"Outlook"),"")</f>
        <v/>
      </c>
      <c r="K720">
        <f>IF(E720="Domain",COUNTIF($E$2:E720,"Domain"),"")</f>
        <v/>
      </c>
    </row>
    <row r="721">
      <c r="A721" s="2" t="n"/>
      <c r="B721">
        <f>LOWER(TRIM(A721))</f>
        <v/>
      </c>
      <c r="C721">
        <f>IF(B721="","",IFERROR(INDEX('Bad Patterns'!$A$2:$A$120,MATCH(1,INDEX(--ISNUMBER(SEARCH('Bad Patterns'!$A$2:$A$120,B721)),0),0)),""))</f>
        <v/>
      </c>
      <c r="D721">
        <f>IF(B721="","",IF(C721&lt;&gt;"","REMOVE","KEEP"))</f>
        <v/>
      </c>
      <c r="E721">
        <f>IF(D721&lt;&gt;"KEEP","",IF(RIGHT(B721,10)="@gmail.com","Gmail",IF(OR(RIGHT(B721,12)="@outlook.com",RIGHT(B721,12)="@hotmail.com",RIGHT(B721,9)="@live.com"),"Outlook","Domain")))</f>
        <v/>
      </c>
      <c r="F721">
        <f>IF(B721="","",IFERROR(RIGHT(B721,LEN(B721)-FIND("@",B721)),""))</f>
        <v/>
      </c>
      <c r="G721">
        <f>IF(D721="KEEP",COUNTIF($D$2:D721,"KEEP"),"")</f>
        <v/>
      </c>
      <c r="H721">
        <f>IF(D721="REMOVE",COUNTIF($D$2:D721,"REMOVE"),"")</f>
        <v/>
      </c>
      <c r="I721">
        <f>IF(E721="Gmail",COUNTIF($E$2:E721,"Gmail"),"")</f>
        <v/>
      </c>
      <c r="J721">
        <f>IF(E721="Outlook",COUNTIF($E$2:E721,"Outlook"),"")</f>
        <v/>
      </c>
      <c r="K721">
        <f>IF(E721="Domain",COUNTIF($E$2:E721,"Domain"),"")</f>
        <v/>
      </c>
    </row>
    <row r="722">
      <c r="A722" s="2" t="n"/>
      <c r="B722">
        <f>LOWER(TRIM(A722))</f>
        <v/>
      </c>
      <c r="C722">
        <f>IF(B722="","",IFERROR(INDEX('Bad Patterns'!$A$2:$A$120,MATCH(1,INDEX(--ISNUMBER(SEARCH('Bad Patterns'!$A$2:$A$120,B722)),0),0)),""))</f>
        <v/>
      </c>
      <c r="D722">
        <f>IF(B722="","",IF(C722&lt;&gt;"","REMOVE","KEEP"))</f>
        <v/>
      </c>
      <c r="E722">
        <f>IF(D722&lt;&gt;"KEEP","",IF(RIGHT(B722,10)="@gmail.com","Gmail",IF(OR(RIGHT(B722,12)="@outlook.com",RIGHT(B722,12)="@hotmail.com",RIGHT(B722,9)="@live.com"),"Outlook","Domain")))</f>
        <v/>
      </c>
      <c r="F722">
        <f>IF(B722="","",IFERROR(RIGHT(B722,LEN(B722)-FIND("@",B722)),""))</f>
        <v/>
      </c>
      <c r="G722">
        <f>IF(D722="KEEP",COUNTIF($D$2:D722,"KEEP"),"")</f>
        <v/>
      </c>
      <c r="H722">
        <f>IF(D722="REMOVE",COUNTIF($D$2:D722,"REMOVE"),"")</f>
        <v/>
      </c>
      <c r="I722">
        <f>IF(E722="Gmail",COUNTIF($E$2:E722,"Gmail"),"")</f>
        <v/>
      </c>
      <c r="J722">
        <f>IF(E722="Outlook",COUNTIF($E$2:E722,"Outlook"),"")</f>
        <v/>
      </c>
      <c r="K722">
        <f>IF(E722="Domain",COUNTIF($E$2:E722,"Domain"),"")</f>
        <v/>
      </c>
    </row>
    <row r="723">
      <c r="A723" s="2" t="n"/>
      <c r="B723">
        <f>LOWER(TRIM(A723))</f>
        <v/>
      </c>
      <c r="C723">
        <f>IF(B723="","",IFERROR(INDEX('Bad Patterns'!$A$2:$A$120,MATCH(1,INDEX(--ISNUMBER(SEARCH('Bad Patterns'!$A$2:$A$120,B723)),0),0)),""))</f>
        <v/>
      </c>
      <c r="D723">
        <f>IF(B723="","",IF(C723&lt;&gt;"","REMOVE","KEEP"))</f>
        <v/>
      </c>
      <c r="E723">
        <f>IF(D723&lt;&gt;"KEEP","",IF(RIGHT(B723,10)="@gmail.com","Gmail",IF(OR(RIGHT(B723,12)="@outlook.com",RIGHT(B723,12)="@hotmail.com",RIGHT(B723,9)="@live.com"),"Outlook","Domain")))</f>
        <v/>
      </c>
      <c r="F723">
        <f>IF(B723="","",IFERROR(RIGHT(B723,LEN(B723)-FIND("@",B723)),""))</f>
        <v/>
      </c>
      <c r="G723">
        <f>IF(D723="KEEP",COUNTIF($D$2:D723,"KEEP"),"")</f>
        <v/>
      </c>
      <c r="H723">
        <f>IF(D723="REMOVE",COUNTIF($D$2:D723,"REMOVE"),"")</f>
        <v/>
      </c>
      <c r="I723">
        <f>IF(E723="Gmail",COUNTIF($E$2:E723,"Gmail"),"")</f>
        <v/>
      </c>
      <c r="J723">
        <f>IF(E723="Outlook",COUNTIF($E$2:E723,"Outlook"),"")</f>
        <v/>
      </c>
      <c r="K723">
        <f>IF(E723="Domain",COUNTIF($E$2:E723,"Domain"),"")</f>
        <v/>
      </c>
    </row>
    <row r="724">
      <c r="A724" s="2" t="n"/>
      <c r="B724">
        <f>LOWER(TRIM(A724))</f>
        <v/>
      </c>
      <c r="C724">
        <f>IF(B724="","",IFERROR(INDEX('Bad Patterns'!$A$2:$A$120,MATCH(1,INDEX(--ISNUMBER(SEARCH('Bad Patterns'!$A$2:$A$120,B724)),0),0)),""))</f>
        <v/>
      </c>
      <c r="D724">
        <f>IF(B724="","",IF(C724&lt;&gt;"","REMOVE","KEEP"))</f>
        <v/>
      </c>
      <c r="E724">
        <f>IF(D724&lt;&gt;"KEEP","",IF(RIGHT(B724,10)="@gmail.com","Gmail",IF(OR(RIGHT(B724,12)="@outlook.com",RIGHT(B724,12)="@hotmail.com",RIGHT(B724,9)="@live.com"),"Outlook","Domain")))</f>
        <v/>
      </c>
      <c r="F724">
        <f>IF(B724="","",IFERROR(RIGHT(B724,LEN(B724)-FIND("@",B724)),""))</f>
        <v/>
      </c>
      <c r="G724">
        <f>IF(D724="KEEP",COUNTIF($D$2:D724,"KEEP"),"")</f>
        <v/>
      </c>
      <c r="H724">
        <f>IF(D724="REMOVE",COUNTIF($D$2:D724,"REMOVE"),"")</f>
        <v/>
      </c>
      <c r="I724">
        <f>IF(E724="Gmail",COUNTIF($E$2:E724,"Gmail"),"")</f>
        <v/>
      </c>
      <c r="J724">
        <f>IF(E724="Outlook",COUNTIF($E$2:E724,"Outlook"),"")</f>
        <v/>
      </c>
      <c r="K724">
        <f>IF(E724="Domain",COUNTIF($E$2:E724,"Domain"),"")</f>
        <v/>
      </c>
    </row>
    <row r="725">
      <c r="A725" s="2" t="n"/>
      <c r="B725">
        <f>LOWER(TRIM(A725))</f>
        <v/>
      </c>
      <c r="C725">
        <f>IF(B725="","",IFERROR(INDEX('Bad Patterns'!$A$2:$A$120,MATCH(1,INDEX(--ISNUMBER(SEARCH('Bad Patterns'!$A$2:$A$120,B725)),0),0)),""))</f>
        <v/>
      </c>
      <c r="D725">
        <f>IF(B725="","",IF(C725&lt;&gt;"","REMOVE","KEEP"))</f>
        <v/>
      </c>
      <c r="E725">
        <f>IF(D725&lt;&gt;"KEEP","",IF(RIGHT(B725,10)="@gmail.com","Gmail",IF(OR(RIGHT(B725,12)="@outlook.com",RIGHT(B725,12)="@hotmail.com",RIGHT(B725,9)="@live.com"),"Outlook","Domain")))</f>
        <v/>
      </c>
      <c r="F725">
        <f>IF(B725="","",IFERROR(RIGHT(B725,LEN(B725)-FIND("@",B725)),""))</f>
        <v/>
      </c>
      <c r="G725">
        <f>IF(D725="KEEP",COUNTIF($D$2:D725,"KEEP"),"")</f>
        <v/>
      </c>
      <c r="H725">
        <f>IF(D725="REMOVE",COUNTIF($D$2:D725,"REMOVE"),"")</f>
        <v/>
      </c>
      <c r="I725">
        <f>IF(E725="Gmail",COUNTIF($E$2:E725,"Gmail"),"")</f>
        <v/>
      </c>
      <c r="J725">
        <f>IF(E725="Outlook",COUNTIF($E$2:E725,"Outlook"),"")</f>
        <v/>
      </c>
      <c r="K725">
        <f>IF(E725="Domain",COUNTIF($E$2:E725,"Domain"),"")</f>
        <v/>
      </c>
    </row>
    <row r="726">
      <c r="A726" s="2" t="n"/>
      <c r="B726">
        <f>LOWER(TRIM(A726))</f>
        <v/>
      </c>
      <c r="C726">
        <f>IF(B726="","",IFERROR(INDEX('Bad Patterns'!$A$2:$A$120,MATCH(1,INDEX(--ISNUMBER(SEARCH('Bad Patterns'!$A$2:$A$120,B726)),0),0)),""))</f>
        <v/>
      </c>
      <c r="D726">
        <f>IF(B726="","",IF(C726&lt;&gt;"","REMOVE","KEEP"))</f>
        <v/>
      </c>
      <c r="E726">
        <f>IF(D726&lt;&gt;"KEEP","",IF(RIGHT(B726,10)="@gmail.com","Gmail",IF(OR(RIGHT(B726,12)="@outlook.com",RIGHT(B726,12)="@hotmail.com",RIGHT(B726,9)="@live.com"),"Outlook","Domain")))</f>
        <v/>
      </c>
      <c r="F726">
        <f>IF(B726="","",IFERROR(RIGHT(B726,LEN(B726)-FIND("@",B726)),""))</f>
        <v/>
      </c>
      <c r="G726">
        <f>IF(D726="KEEP",COUNTIF($D$2:D726,"KEEP"),"")</f>
        <v/>
      </c>
      <c r="H726">
        <f>IF(D726="REMOVE",COUNTIF($D$2:D726,"REMOVE"),"")</f>
        <v/>
      </c>
      <c r="I726">
        <f>IF(E726="Gmail",COUNTIF($E$2:E726,"Gmail"),"")</f>
        <v/>
      </c>
      <c r="J726">
        <f>IF(E726="Outlook",COUNTIF($E$2:E726,"Outlook"),"")</f>
        <v/>
      </c>
      <c r="K726">
        <f>IF(E726="Domain",COUNTIF($E$2:E726,"Domain"),"")</f>
        <v/>
      </c>
    </row>
    <row r="727">
      <c r="A727" s="2" t="n"/>
      <c r="B727">
        <f>LOWER(TRIM(A727))</f>
        <v/>
      </c>
      <c r="C727">
        <f>IF(B727="","",IFERROR(INDEX('Bad Patterns'!$A$2:$A$120,MATCH(1,INDEX(--ISNUMBER(SEARCH('Bad Patterns'!$A$2:$A$120,B727)),0),0)),""))</f>
        <v/>
      </c>
      <c r="D727">
        <f>IF(B727="","",IF(C727&lt;&gt;"","REMOVE","KEEP"))</f>
        <v/>
      </c>
      <c r="E727">
        <f>IF(D727&lt;&gt;"KEEP","",IF(RIGHT(B727,10)="@gmail.com","Gmail",IF(OR(RIGHT(B727,12)="@outlook.com",RIGHT(B727,12)="@hotmail.com",RIGHT(B727,9)="@live.com"),"Outlook","Domain")))</f>
        <v/>
      </c>
      <c r="F727">
        <f>IF(B727="","",IFERROR(RIGHT(B727,LEN(B727)-FIND("@",B727)),""))</f>
        <v/>
      </c>
      <c r="G727">
        <f>IF(D727="KEEP",COUNTIF($D$2:D727,"KEEP"),"")</f>
        <v/>
      </c>
      <c r="H727">
        <f>IF(D727="REMOVE",COUNTIF($D$2:D727,"REMOVE"),"")</f>
        <v/>
      </c>
      <c r="I727">
        <f>IF(E727="Gmail",COUNTIF($E$2:E727,"Gmail"),"")</f>
        <v/>
      </c>
      <c r="J727">
        <f>IF(E727="Outlook",COUNTIF($E$2:E727,"Outlook"),"")</f>
        <v/>
      </c>
      <c r="K727">
        <f>IF(E727="Domain",COUNTIF($E$2:E727,"Domain"),"")</f>
        <v/>
      </c>
    </row>
    <row r="728">
      <c r="A728" s="2" t="n"/>
      <c r="B728">
        <f>LOWER(TRIM(A728))</f>
        <v/>
      </c>
      <c r="C728">
        <f>IF(B728="","",IFERROR(INDEX('Bad Patterns'!$A$2:$A$120,MATCH(1,INDEX(--ISNUMBER(SEARCH('Bad Patterns'!$A$2:$A$120,B728)),0),0)),""))</f>
        <v/>
      </c>
      <c r="D728">
        <f>IF(B728="","",IF(C728&lt;&gt;"","REMOVE","KEEP"))</f>
        <v/>
      </c>
      <c r="E728">
        <f>IF(D728&lt;&gt;"KEEP","",IF(RIGHT(B728,10)="@gmail.com","Gmail",IF(OR(RIGHT(B728,12)="@outlook.com",RIGHT(B728,12)="@hotmail.com",RIGHT(B728,9)="@live.com"),"Outlook","Domain")))</f>
        <v/>
      </c>
      <c r="F728">
        <f>IF(B728="","",IFERROR(RIGHT(B728,LEN(B728)-FIND("@",B728)),""))</f>
        <v/>
      </c>
      <c r="G728">
        <f>IF(D728="KEEP",COUNTIF($D$2:D728,"KEEP"),"")</f>
        <v/>
      </c>
      <c r="H728">
        <f>IF(D728="REMOVE",COUNTIF($D$2:D728,"REMOVE"),"")</f>
        <v/>
      </c>
      <c r="I728">
        <f>IF(E728="Gmail",COUNTIF($E$2:E728,"Gmail"),"")</f>
        <v/>
      </c>
      <c r="J728">
        <f>IF(E728="Outlook",COUNTIF($E$2:E728,"Outlook"),"")</f>
        <v/>
      </c>
      <c r="K728">
        <f>IF(E728="Domain",COUNTIF($E$2:E728,"Domain"),"")</f>
        <v/>
      </c>
    </row>
    <row r="729">
      <c r="A729" s="2" t="n"/>
      <c r="B729">
        <f>LOWER(TRIM(A729))</f>
        <v/>
      </c>
      <c r="C729">
        <f>IF(B729="","",IFERROR(INDEX('Bad Patterns'!$A$2:$A$120,MATCH(1,INDEX(--ISNUMBER(SEARCH('Bad Patterns'!$A$2:$A$120,B729)),0),0)),""))</f>
        <v/>
      </c>
      <c r="D729">
        <f>IF(B729="","",IF(C729&lt;&gt;"","REMOVE","KEEP"))</f>
        <v/>
      </c>
      <c r="E729">
        <f>IF(D729&lt;&gt;"KEEP","",IF(RIGHT(B729,10)="@gmail.com","Gmail",IF(OR(RIGHT(B729,12)="@outlook.com",RIGHT(B729,12)="@hotmail.com",RIGHT(B729,9)="@live.com"),"Outlook","Domain")))</f>
        <v/>
      </c>
      <c r="F729">
        <f>IF(B729="","",IFERROR(RIGHT(B729,LEN(B729)-FIND("@",B729)),""))</f>
        <v/>
      </c>
      <c r="G729">
        <f>IF(D729="KEEP",COUNTIF($D$2:D729,"KEEP"),"")</f>
        <v/>
      </c>
      <c r="H729">
        <f>IF(D729="REMOVE",COUNTIF($D$2:D729,"REMOVE"),"")</f>
        <v/>
      </c>
      <c r="I729">
        <f>IF(E729="Gmail",COUNTIF($E$2:E729,"Gmail"),"")</f>
        <v/>
      </c>
      <c r="J729">
        <f>IF(E729="Outlook",COUNTIF($E$2:E729,"Outlook"),"")</f>
        <v/>
      </c>
      <c r="K729">
        <f>IF(E729="Domain",COUNTIF($E$2:E729,"Domain"),"")</f>
        <v/>
      </c>
    </row>
    <row r="730">
      <c r="A730" s="2" t="n"/>
      <c r="B730">
        <f>LOWER(TRIM(A730))</f>
        <v/>
      </c>
      <c r="C730">
        <f>IF(B730="","",IFERROR(INDEX('Bad Patterns'!$A$2:$A$120,MATCH(1,INDEX(--ISNUMBER(SEARCH('Bad Patterns'!$A$2:$A$120,B730)),0),0)),""))</f>
        <v/>
      </c>
      <c r="D730">
        <f>IF(B730="","",IF(C730&lt;&gt;"","REMOVE","KEEP"))</f>
        <v/>
      </c>
      <c r="E730">
        <f>IF(D730&lt;&gt;"KEEP","",IF(RIGHT(B730,10)="@gmail.com","Gmail",IF(OR(RIGHT(B730,12)="@outlook.com",RIGHT(B730,12)="@hotmail.com",RIGHT(B730,9)="@live.com"),"Outlook","Domain")))</f>
        <v/>
      </c>
      <c r="F730">
        <f>IF(B730="","",IFERROR(RIGHT(B730,LEN(B730)-FIND("@",B730)),""))</f>
        <v/>
      </c>
      <c r="G730">
        <f>IF(D730="KEEP",COUNTIF($D$2:D730,"KEEP"),"")</f>
        <v/>
      </c>
      <c r="H730">
        <f>IF(D730="REMOVE",COUNTIF($D$2:D730,"REMOVE"),"")</f>
        <v/>
      </c>
      <c r="I730">
        <f>IF(E730="Gmail",COUNTIF($E$2:E730,"Gmail"),"")</f>
        <v/>
      </c>
      <c r="J730">
        <f>IF(E730="Outlook",COUNTIF($E$2:E730,"Outlook"),"")</f>
        <v/>
      </c>
      <c r="K730">
        <f>IF(E730="Domain",COUNTIF($E$2:E730,"Domain"),"")</f>
        <v/>
      </c>
    </row>
    <row r="731">
      <c r="A731" s="2" t="n"/>
      <c r="B731">
        <f>LOWER(TRIM(A731))</f>
        <v/>
      </c>
      <c r="C731">
        <f>IF(B731="","",IFERROR(INDEX('Bad Patterns'!$A$2:$A$120,MATCH(1,INDEX(--ISNUMBER(SEARCH('Bad Patterns'!$A$2:$A$120,B731)),0),0)),""))</f>
        <v/>
      </c>
      <c r="D731">
        <f>IF(B731="","",IF(C731&lt;&gt;"","REMOVE","KEEP"))</f>
        <v/>
      </c>
      <c r="E731">
        <f>IF(D731&lt;&gt;"KEEP","",IF(RIGHT(B731,10)="@gmail.com","Gmail",IF(OR(RIGHT(B731,12)="@outlook.com",RIGHT(B731,12)="@hotmail.com",RIGHT(B731,9)="@live.com"),"Outlook","Domain")))</f>
        <v/>
      </c>
      <c r="F731">
        <f>IF(B731="","",IFERROR(RIGHT(B731,LEN(B731)-FIND("@",B731)),""))</f>
        <v/>
      </c>
      <c r="G731">
        <f>IF(D731="KEEP",COUNTIF($D$2:D731,"KEEP"),"")</f>
        <v/>
      </c>
      <c r="H731">
        <f>IF(D731="REMOVE",COUNTIF($D$2:D731,"REMOVE"),"")</f>
        <v/>
      </c>
      <c r="I731">
        <f>IF(E731="Gmail",COUNTIF($E$2:E731,"Gmail"),"")</f>
        <v/>
      </c>
      <c r="J731">
        <f>IF(E731="Outlook",COUNTIF($E$2:E731,"Outlook"),"")</f>
        <v/>
      </c>
      <c r="K731">
        <f>IF(E731="Domain",COUNTIF($E$2:E731,"Domain"),"")</f>
        <v/>
      </c>
    </row>
    <row r="732">
      <c r="A732" s="2" t="n"/>
      <c r="B732">
        <f>LOWER(TRIM(A732))</f>
        <v/>
      </c>
      <c r="C732">
        <f>IF(B732="","",IFERROR(INDEX('Bad Patterns'!$A$2:$A$120,MATCH(1,INDEX(--ISNUMBER(SEARCH('Bad Patterns'!$A$2:$A$120,B732)),0),0)),""))</f>
        <v/>
      </c>
      <c r="D732">
        <f>IF(B732="","",IF(C732&lt;&gt;"","REMOVE","KEEP"))</f>
        <v/>
      </c>
      <c r="E732">
        <f>IF(D732&lt;&gt;"KEEP","",IF(RIGHT(B732,10)="@gmail.com","Gmail",IF(OR(RIGHT(B732,12)="@outlook.com",RIGHT(B732,12)="@hotmail.com",RIGHT(B732,9)="@live.com"),"Outlook","Domain")))</f>
        <v/>
      </c>
      <c r="F732">
        <f>IF(B732="","",IFERROR(RIGHT(B732,LEN(B732)-FIND("@",B732)),""))</f>
        <v/>
      </c>
      <c r="G732">
        <f>IF(D732="KEEP",COUNTIF($D$2:D732,"KEEP"),"")</f>
        <v/>
      </c>
      <c r="H732">
        <f>IF(D732="REMOVE",COUNTIF($D$2:D732,"REMOVE"),"")</f>
        <v/>
      </c>
      <c r="I732">
        <f>IF(E732="Gmail",COUNTIF($E$2:E732,"Gmail"),"")</f>
        <v/>
      </c>
      <c r="J732">
        <f>IF(E732="Outlook",COUNTIF($E$2:E732,"Outlook"),"")</f>
        <v/>
      </c>
      <c r="K732">
        <f>IF(E732="Domain",COUNTIF($E$2:E732,"Domain"),"")</f>
        <v/>
      </c>
    </row>
    <row r="733">
      <c r="A733" s="2" t="n"/>
      <c r="B733">
        <f>LOWER(TRIM(A733))</f>
        <v/>
      </c>
      <c r="C733">
        <f>IF(B733="","",IFERROR(INDEX('Bad Patterns'!$A$2:$A$120,MATCH(1,INDEX(--ISNUMBER(SEARCH('Bad Patterns'!$A$2:$A$120,B733)),0),0)),""))</f>
        <v/>
      </c>
      <c r="D733">
        <f>IF(B733="","",IF(C733&lt;&gt;"","REMOVE","KEEP"))</f>
        <v/>
      </c>
      <c r="E733">
        <f>IF(D733&lt;&gt;"KEEP","",IF(RIGHT(B733,10)="@gmail.com","Gmail",IF(OR(RIGHT(B733,12)="@outlook.com",RIGHT(B733,12)="@hotmail.com",RIGHT(B733,9)="@live.com"),"Outlook","Domain")))</f>
        <v/>
      </c>
      <c r="F733">
        <f>IF(B733="","",IFERROR(RIGHT(B733,LEN(B733)-FIND("@",B733)),""))</f>
        <v/>
      </c>
      <c r="G733">
        <f>IF(D733="KEEP",COUNTIF($D$2:D733,"KEEP"),"")</f>
        <v/>
      </c>
      <c r="H733">
        <f>IF(D733="REMOVE",COUNTIF($D$2:D733,"REMOVE"),"")</f>
        <v/>
      </c>
      <c r="I733">
        <f>IF(E733="Gmail",COUNTIF($E$2:E733,"Gmail"),"")</f>
        <v/>
      </c>
      <c r="J733">
        <f>IF(E733="Outlook",COUNTIF($E$2:E733,"Outlook"),"")</f>
        <v/>
      </c>
      <c r="K733">
        <f>IF(E733="Domain",COUNTIF($E$2:E733,"Domain"),"")</f>
        <v/>
      </c>
    </row>
    <row r="734">
      <c r="A734" s="2" t="n"/>
      <c r="B734">
        <f>LOWER(TRIM(A734))</f>
        <v/>
      </c>
      <c r="C734">
        <f>IF(B734="","",IFERROR(INDEX('Bad Patterns'!$A$2:$A$120,MATCH(1,INDEX(--ISNUMBER(SEARCH('Bad Patterns'!$A$2:$A$120,B734)),0),0)),""))</f>
        <v/>
      </c>
      <c r="D734">
        <f>IF(B734="","",IF(C734&lt;&gt;"","REMOVE","KEEP"))</f>
        <v/>
      </c>
      <c r="E734">
        <f>IF(D734&lt;&gt;"KEEP","",IF(RIGHT(B734,10)="@gmail.com","Gmail",IF(OR(RIGHT(B734,12)="@outlook.com",RIGHT(B734,12)="@hotmail.com",RIGHT(B734,9)="@live.com"),"Outlook","Domain")))</f>
        <v/>
      </c>
      <c r="F734">
        <f>IF(B734="","",IFERROR(RIGHT(B734,LEN(B734)-FIND("@",B734)),""))</f>
        <v/>
      </c>
      <c r="G734">
        <f>IF(D734="KEEP",COUNTIF($D$2:D734,"KEEP"),"")</f>
        <v/>
      </c>
      <c r="H734">
        <f>IF(D734="REMOVE",COUNTIF($D$2:D734,"REMOVE"),"")</f>
        <v/>
      </c>
      <c r="I734">
        <f>IF(E734="Gmail",COUNTIF($E$2:E734,"Gmail"),"")</f>
        <v/>
      </c>
      <c r="J734">
        <f>IF(E734="Outlook",COUNTIF($E$2:E734,"Outlook"),"")</f>
        <v/>
      </c>
      <c r="K734">
        <f>IF(E734="Domain",COUNTIF($E$2:E734,"Domain"),"")</f>
        <v/>
      </c>
    </row>
    <row r="735">
      <c r="A735" s="2" t="n"/>
      <c r="B735">
        <f>LOWER(TRIM(A735))</f>
        <v/>
      </c>
      <c r="C735">
        <f>IF(B735="","",IFERROR(INDEX('Bad Patterns'!$A$2:$A$120,MATCH(1,INDEX(--ISNUMBER(SEARCH('Bad Patterns'!$A$2:$A$120,B735)),0),0)),""))</f>
        <v/>
      </c>
      <c r="D735">
        <f>IF(B735="","",IF(C735&lt;&gt;"","REMOVE","KEEP"))</f>
        <v/>
      </c>
      <c r="E735">
        <f>IF(D735&lt;&gt;"KEEP","",IF(RIGHT(B735,10)="@gmail.com","Gmail",IF(OR(RIGHT(B735,12)="@outlook.com",RIGHT(B735,12)="@hotmail.com",RIGHT(B735,9)="@live.com"),"Outlook","Domain")))</f>
        <v/>
      </c>
      <c r="F735">
        <f>IF(B735="","",IFERROR(RIGHT(B735,LEN(B735)-FIND("@",B735)),""))</f>
        <v/>
      </c>
      <c r="G735">
        <f>IF(D735="KEEP",COUNTIF($D$2:D735,"KEEP"),"")</f>
        <v/>
      </c>
      <c r="H735">
        <f>IF(D735="REMOVE",COUNTIF($D$2:D735,"REMOVE"),"")</f>
        <v/>
      </c>
      <c r="I735">
        <f>IF(E735="Gmail",COUNTIF($E$2:E735,"Gmail"),"")</f>
        <v/>
      </c>
      <c r="J735">
        <f>IF(E735="Outlook",COUNTIF($E$2:E735,"Outlook"),"")</f>
        <v/>
      </c>
      <c r="K735">
        <f>IF(E735="Domain",COUNTIF($E$2:E735,"Domain"),"")</f>
        <v/>
      </c>
    </row>
    <row r="736">
      <c r="A736" s="2" t="n"/>
      <c r="B736">
        <f>LOWER(TRIM(A736))</f>
        <v/>
      </c>
      <c r="C736">
        <f>IF(B736="","",IFERROR(INDEX('Bad Patterns'!$A$2:$A$120,MATCH(1,INDEX(--ISNUMBER(SEARCH('Bad Patterns'!$A$2:$A$120,B736)),0),0)),""))</f>
        <v/>
      </c>
      <c r="D736">
        <f>IF(B736="","",IF(C736&lt;&gt;"","REMOVE","KEEP"))</f>
        <v/>
      </c>
      <c r="E736">
        <f>IF(D736&lt;&gt;"KEEP","",IF(RIGHT(B736,10)="@gmail.com","Gmail",IF(OR(RIGHT(B736,12)="@outlook.com",RIGHT(B736,12)="@hotmail.com",RIGHT(B736,9)="@live.com"),"Outlook","Domain")))</f>
        <v/>
      </c>
      <c r="F736">
        <f>IF(B736="","",IFERROR(RIGHT(B736,LEN(B736)-FIND("@",B736)),""))</f>
        <v/>
      </c>
      <c r="G736">
        <f>IF(D736="KEEP",COUNTIF($D$2:D736,"KEEP"),"")</f>
        <v/>
      </c>
      <c r="H736">
        <f>IF(D736="REMOVE",COUNTIF($D$2:D736,"REMOVE"),"")</f>
        <v/>
      </c>
      <c r="I736">
        <f>IF(E736="Gmail",COUNTIF($E$2:E736,"Gmail"),"")</f>
        <v/>
      </c>
      <c r="J736">
        <f>IF(E736="Outlook",COUNTIF($E$2:E736,"Outlook"),"")</f>
        <v/>
      </c>
      <c r="K736">
        <f>IF(E736="Domain",COUNTIF($E$2:E736,"Domain"),"")</f>
        <v/>
      </c>
    </row>
    <row r="737">
      <c r="A737" s="2" t="n"/>
      <c r="B737">
        <f>LOWER(TRIM(A737))</f>
        <v/>
      </c>
      <c r="C737">
        <f>IF(B737="","",IFERROR(INDEX('Bad Patterns'!$A$2:$A$120,MATCH(1,INDEX(--ISNUMBER(SEARCH('Bad Patterns'!$A$2:$A$120,B737)),0),0)),""))</f>
        <v/>
      </c>
      <c r="D737">
        <f>IF(B737="","",IF(C737&lt;&gt;"","REMOVE","KEEP"))</f>
        <v/>
      </c>
      <c r="E737">
        <f>IF(D737&lt;&gt;"KEEP","",IF(RIGHT(B737,10)="@gmail.com","Gmail",IF(OR(RIGHT(B737,12)="@outlook.com",RIGHT(B737,12)="@hotmail.com",RIGHT(B737,9)="@live.com"),"Outlook","Domain")))</f>
        <v/>
      </c>
      <c r="F737">
        <f>IF(B737="","",IFERROR(RIGHT(B737,LEN(B737)-FIND("@",B737)),""))</f>
        <v/>
      </c>
      <c r="G737">
        <f>IF(D737="KEEP",COUNTIF($D$2:D737,"KEEP"),"")</f>
        <v/>
      </c>
      <c r="H737">
        <f>IF(D737="REMOVE",COUNTIF($D$2:D737,"REMOVE"),"")</f>
        <v/>
      </c>
      <c r="I737">
        <f>IF(E737="Gmail",COUNTIF($E$2:E737,"Gmail"),"")</f>
        <v/>
      </c>
      <c r="J737">
        <f>IF(E737="Outlook",COUNTIF($E$2:E737,"Outlook"),"")</f>
        <v/>
      </c>
      <c r="K737">
        <f>IF(E737="Domain",COUNTIF($E$2:E737,"Domain"),"")</f>
        <v/>
      </c>
    </row>
    <row r="738">
      <c r="A738" s="2" t="n"/>
      <c r="B738">
        <f>LOWER(TRIM(A738))</f>
        <v/>
      </c>
      <c r="C738">
        <f>IF(B738="","",IFERROR(INDEX('Bad Patterns'!$A$2:$A$120,MATCH(1,INDEX(--ISNUMBER(SEARCH('Bad Patterns'!$A$2:$A$120,B738)),0),0)),""))</f>
        <v/>
      </c>
      <c r="D738">
        <f>IF(B738="","",IF(C738&lt;&gt;"","REMOVE","KEEP"))</f>
        <v/>
      </c>
      <c r="E738">
        <f>IF(D738&lt;&gt;"KEEP","",IF(RIGHT(B738,10)="@gmail.com","Gmail",IF(OR(RIGHT(B738,12)="@outlook.com",RIGHT(B738,12)="@hotmail.com",RIGHT(B738,9)="@live.com"),"Outlook","Domain")))</f>
        <v/>
      </c>
      <c r="F738">
        <f>IF(B738="","",IFERROR(RIGHT(B738,LEN(B738)-FIND("@",B738)),""))</f>
        <v/>
      </c>
      <c r="G738">
        <f>IF(D738="KEEP",COUNTIF($D$2:D738,"KEEP"),"")</f>
        <v/>
      </c>
      <c r="H738">
        <f>IF(D738="REMOVE",COUNTIF($D$2:D738,"REMOVE"),"")</f>
        <v/>
      </c>
      <c r="I738">
        <f>IF(E738="Gmail",COUNTIF($E$2:E738,"Gmail"),"")</f>
        <v/>
      </c>
      <c r="J738">
        <f>IF(E738="Outlook",COUNTIF($E$2:E738,"Outlook"),"")</f>
        <v/>
      </c>
      <c r="K738">
        <f>IF(E738="Domain",COUNTIF($E$2:E738,"Domain"),"")</f>
        <v/>
      </c>
    </row>
    <row r="739">
      <c r="A739" s="2" t="n"/>
      <c r="B739">
        <f>LOWER(TRIM(A739))</f>
        <v/>
      </c>
      <c r="C739">
        <f>IF(B739="","",IFERROR(INDEX('Bad Patterns'!$A$2:$A$120,MATCH(1,INDEX(--ISNUMBER(SEARCH('Bad Patterns'!$A$2:$A$120,B739)),0),0)),""))</f>
        <v/>
      </c>
      <c r="D739">
        <f>IF(B739="","",IF(C739&lt;&gt;"","REMOVE","KEEP"))</f>
        <v/>
      </c>
      <c r="E739">
        <f>IF(D739&lt;&gt;"KEEP","",IF(RIGHT(B739,10)="@gmail.com","Gmail",IF(OR(RIGHT(B739,12)="@outlook.com",RIGHT(B739,12)="@hotmail.com",RIGHT(B739,9)="@live.com"),"Outlook","Domain")))</f>
        <v/>
      </c>
      <c r="F739">
        <f>IF(B739="","",IFERROR(RIGHT(B739,LEN(B739)-FIND("@",B739)),""))</f>
        <v/>
      </c>
      <c r="G739">
        <f>IF(D739="KEEP",COUNTIF($D$2:D739,"KEEP"),"")</f>
        <v/>
      </c>
      <c r="H739">
        <f>IF(D739="REMOVE",COUNTIF($D$2:D739,"REMOVE"),"")</f>
        <v/>
      </c>
      <c r="I739">
        <f>IF(E739="Gmail",COUNTIF($E$2:E739,"Gmail"),"")</f>
        <v/>
      </c>
      <c r="J739">
        <f>IF(E739="Outlook",COUNTIF($E$2:E739,"Outlook"),"")</f>
        <v/>
      </c>
      <c r="K739">
        <f>IF(E739="Domain",COUNTIF($E$2:E739,"Domain"),"")</f>
        <v/>
      </c>
    </row>
    <row r="740">
      <c r="A740" s="2" t="n"/>
      <c r="B740">
        <f>LOWER(TRIM(A740))</f>
        <v/>
      </c>
      <c r="C740">
        <f>IF(B740="","",IFERROR(INDEX('Bad Patterns'!$A$2:$A$120,MATCH(1,INDEX(--ISNUMBER(SEARCH('Bad Patterns'!$A$2:$A$120,B740)),0),0)),""))</f>
        <v/>
      </c>
      <c r="D740">
        <f>IF(B740="","",IF(C740&lt;&gt;"","REMOVE","KEEP"))</f>
        <v/>
      </c>
      <c r="E740">
        <f>IF(D740&lt;&gt;"KEEP","",IF(RIGHT(B740,10)="@gmail.com","Gmail",IF(OR(RIGHT(B740,12)="@outlook.com",RIGHT(B740,12)="@hotmail.com",RIGHT(B740,9)="@live.com"),"Outlook","Domain")))</f>
        <v/>
      </c>
      <c r="F740">
        <f>IF(B740="","",IFERROR(RIGHT(B740,LEN(B740)-FIND("@",B740)),""))</f>
        <v/>
      </c>
      <c r="G740">
        <f>IF(D740="KEEP",COUNTIF($D$2:D740,"KEEP"),"")</f>
        <v/>
      </c>
      <c r="H740">
        <f>IF(D740="REMOVE",COUNTIF($D$2:D740,"REMOVE"),"")</f>
        <v/>
      </c>
      <c r="I740">
        <f>IF(E740="Gmail",COUNTIF($E$2:E740,"Gmail"),"")</f>
        <v/>
      </c>
      <c r="J740">
        <f>IF(E740="Outlook",COUNTIF($E$2:E740,"Outlook"),"")</f>
        <v/>
      </c>
      <c r="K740">
        <f>IF(E740="Domain",COUNTIF($E$2:E740,"Domain"),"")</f>
        <v/>
      </c>
    </row>
    <row r="741">
      <c r="A741" s="2" t="n"/>
      <c r="B741">
        <f>LOWER(TRIM(A741))</f>
        <v/>
      </c>
      <c r="C741">
        <f>IF(B741="","",IFERROR(INDEX('Bad Patterns'!$A$2:$A$120,MATCH(1,INDEX(--ISNUMBER(SEARCH('Bad Patterns'!$A$2:$A$120,B741)),0),0)),""))</f>
        <v/>
      </c>
      <c r="D741">
        <f>IF(B741="","",IF(C741&lt;&gt;"","REMOVE","KEEP"))</f>
        <v/>
      </c>
      <c r="E741">
        <f>IF(D741&lt;&gt;"KEEP","",IF(RIGHT(B741,10)="@gmail.com","Gmail",IF(OR(RIGHT(B741,12)="@outlook.com",RIGHT(B741,12)="@hotmail.com",RIGHT(B741,9)="@live.com"),"Outlook","Domain")))</f>
        <v/>
      </c>
      <c r="F741">
        <f>IF(B741="","",IFERROR(RIGHT(B741,LEN(B741)-FIND("@",B741)),""))</f>
        <v/>
      </c>
      <c r="G741">
        <f>IF(D741="KEEP",COUNTIF($D$2:D741,"KEEP"),"")</f>
        <v/>
      </c>
      <c r="H741">
        <f>IF(D741="REMOVE",COUNTIF($D$2:D741,"REMOVE"),"")</f>
        <v/>
      </c>
      <c r="I741">
        <f>IF(E741="Gmail",COUNTIF($E$2:E741,"Gmail"),"")</f>
        <v/>
      </c>
      <c r="J741">
        <f>IF(E741="Outlook",COUNTIF($E$2:E741,"Outlook"),"")</f>
        <v/>
      </c>
      <c r="K741">
        <f>IF(E741="Domain",COUNTIF($E$2:E741,"Domain"),"")</f>
        <v/>
      </c>
    </row>
    <row r="742">
      <c r="A742" s="2" t="n"/>
      <c r="B742">
        <f>LOWER(TRIM(A742))</f>
        <v/>
      </c>
      <c r="C742">
        <f>IF(B742="","",IFERROR(INDEX('Bad Patterns'!$A$2:$A$120,MATCH(1,INDEX(--ISNUMBER(SEARCH('Bad Patterns'!$A$2:$A$120,B742)),0),0)),""))</f>
        <v/>
      </c>
      <c r="D742">
        <f>IF(B742="","",IF(C742&lt;&gt;"","REMOVE","KEEP"))</f>
        <v/>
      </c>
      <c r="E742">
        <f>IF(D742&lt;&gt;"KEEP","",IF(RIGHT(B742,10)="@gmail.com","Gmail",IF(OR(RIGHT(B742,12)="@outlook.com",RIGHT(B742,12)="@hotmail.com",RIGHT(B742,9)="@live.com"),"Outlook","Domain")))</f>
        <v/>
      </c>
      <c r="F742">
        <f>IF(B742="","",IFERROR(RIGHT(B742,LEN(B742)-FIND("@",B742)),""))</f>
        <v/>
      </c>
      <c r="G742">
        <f>IF(D742="KEEP",COUNTIF($D$2:D742,"KEEP"),"")</f>
        <v/>
      </c>
      <c r="H742">
        <f>IF(D742="REMOVE",COUNTIF($D$2:D742,"REMOVE"),"")</f>
        <v/>
      </c>
      <c r="I742">
        <f>IF(E742="Gmail",COUNTIF($E$2:E742,"Gmail"),"")</f>
        <v/>
      </c>
      <c r="J742">
        <f>IF(E742="Outlook",COUNTIF($E$2:E742,"Outlook"),"")</f>
        <v/>
      </c>
      <c r="K742">
        <f>IF(E742="Domain",COUNTIF($E$2:E742,"Domain"),"")</f>
        <v/>
      </c>
    </row>
    <row r="743">
      <c r="A743" s="2" t="n"/>
      <c r="B743">
        <f>LOWER(TRIM(A743))</f>
        <v/>
      </c>
      <c r="C743">
        <f>IF(B743="","",IFERROR(INDEX('Bad Patterns'!$A$2:$A$120,MATCH(1,INDEX(--ISNUMBER(SEARCH('Bad Patterns'!$A$2:$A$120,B743)),0),0)),""))</f>
        <v/>
      </c>
      <c r="D743">
        <f>IF(B743="","",IF(C743&lt;&gt;"","REMOVE","KEEP"))</f>
        <v/>
      </c>
      <c r="E743">
        <f>IF(D743&lt;&gt;"KEEP","",IF(RIGHT(B743,10)="@gmail.com","Gmail",IF(OR(RIGHT(B743,12)="@outlook.com",RIGHT(B743,12)="@hotmail.com",RIGHT(B743,9)="@live.com"),"Outlook","Domain")))</f>
        <v/>
      </c>
      <c r="F743">
        <f>IF(B743="","",IFERROR(RIGHT(B743,LEN(B743)-FIND("@",B743)),""))</f>
        <v/>
      </c>
      <c r="G743">
        <f>IF(D743="KEEP",COUNTIF($D$2:D743,"KEEP"),"")</f>
        <v/>
      </c>
      <c r="H743">
        <f>IF(D743="REMOVE",COUNTIF($D$2:D743,"REMOVE"),"")</f>
        <v/>
      </c>
      <c r="I743">
        <f>IF(E743="Gmail",COUNTIF($E$2:E743,"Gmail"),"")</f>
        <v/>
      </c>
      <c r="J743">
        <f>IF(E743="Outlook",COUNTIF($E$2:E743,"Outlook"),"")</f>
        <v/>
      </c>
      <c r="K743">
        <f>IF(E743="Domain",COUNTIF($E$2:E743,"Domain"),"")</f>
        <v/>
      </c>
    </row>
    <row r="744">
      <c r="A744" s="2" t="n"/>
      <c r="B744">
        <f>LOWER(TRIM(A744))</f>
        <v/>
      </c>
      <c r="C744">
        <f>IF(B744="","",IFERROR(INDEX('Bad Patterns'!$A$2:$A$120,MATCH(1,INDEX(--ISNUMBER(SEARCH('Bad Patterns'!$A$2:$A$120,B744)),0),0)),""))</f>
        <v/>
      </c>
      <c r="D744">
        <f>IF(B744="","",IF(C744&lt;&gt;"","REMOVE","KEEP"))</f>
        <v/>
      </c>
      <c r="E744">
        <f>IF(D744&lt;&gt;"KEEP","",IF(RIGHT(B744,10)="@gmail.com","Gmail",IF(OR(RIGHT(B744,12)="@outlook.com",RIGHT(B744,12)="@hotmail.com",RIGHT(B744,9)="@live.com"),"Outlook","Domain")))</f>
        <v/>
      </c>
      <c r="F744">
        <f>IF(B744="","",IFERROR(RIGHT(B744,LEN(B744)-FIND("@",B744)),""))</f>
        <v/>
      </c>
      <c r="G744">
        <f>IF(D744="KEEP",COUNTIF($D$2:D744,"KEEP"),"")</f>
        <v/>
      </c>
      <c r="H744">
        <f>IF(D744="REMOVE",COUNTIF($D$2:D744,"REMOVE"),"")</f>
        <v/>
      </c>
      <c r="I744">
        <f>IF(E744="Gmail",COUNTIF($E$2:E744,"Gmail"),"")</f>
        <v/>
      </c>
      <c r="J744">
        <f>IF(E744="Outlook",COUNTIF($E$2:E744,"Outlook"),"")</f>
        <v/>
      </c>
      <c r="K744">
        <f>IF(E744="Domain",COUNTIF($E$2:E744,"Domain"),"")</f>
        <v/>
      </c>
    </row>
    <row r="745">
      <c r="A745" s="2" t="n"/>
      <c r="B745">
        <f>LOWER(TRIM(A745))</f>
        <v/>
      </c>
      <c r="C745">
        <f>IF(B745="","",IFERROR(INDEX('Bad Patterns'!$A$2:$A$120,MATCH(1,INDEX(--ISNUMBER(SEARCH('Bad Patterns'!$A$2:$A$120,B745)),0),0)),""))</f>
        <v/>
      </c>
      <c r="D745">
        <f>IF(B745="","",IF(C745&lt;&gt;"","REMOVE","KEEP"))</f>
        <v/>
      </c>
      <c r="E745">
        <f>IF(D745&lt;&gt;"KEEP","",IF(RIGHT(B745,10)="@gmail.com","Gmail",IF(OR(RIGHT(B745,12)="@outlook.com",RIGHT(B745,12)="@hotmail.com",RIGHT(B745,9)="@live.com"),"Outlook","Domain")))</f>
        <v/>
      </c>
      <c r="F745">
        <f>IF(B745="","",IFERROR(RIGHT(B745,LEN(B745)-FIND("@",B745)),""))</f>
        <v/>
      </c>
      <c r="G745">
        <f>IF(D745="KEEP",COUNTIF($D$2:D745,"KEEP"),"")</f>
        <v/>
      </c>
      <c r="H745">
        <f>IF(D745="REMOVE",COUNTIF($D$2:D745,"REMOVE"),"")</f>
        <v/>
      </c>
      <c r="I745">
        <f>IF(E745="Gmail",COUNTIF($E$2:E745,"Gmail"),"")</f>
        <v/>
      </c>
      <c r="J745">
        <f>IF(E745="Outlook",COUNTIF($E$2:E745,"Outlook"),"")</f>
        <v/>
      </c>
      <c r="K745">
        <f>IF(E745="Domain",COUNTIF($E$2:E745,"Domain"),"")</f>
        <v/>
      </c>
    </row>
    <row r="746">
      <c r="A746" s="2" t="n"/>
      <c r="B746">
        <f>LOWER(TRIM(A746))</f>
        <v/>
      </c>
      <c r="C746">
        <f>IF(B746="","",IFERROR(INDEX('Bad Patterns'!$A$2:$A$120,MATCH(1,INDEX(--ISNUMBER(SEARCH('Bad Patterns'!$A$2:$A$120,B746)),0),0)),""))</f>
        <v/>
      </c>
      <c r="D746">
        <f>IF(B746="","",IF(C746&lt;&gt;"","REMOVE","KEEP"))</f>
        <v/>
      </c>
      <c r="E746">
        <f>IF(D746&lt;&gt;"KEEP","",IF(RIGHT(B746,10)="@gmail.com","Gmail",IF(OR(RIGHT(B746,12)="@outlook.com",RIGHT(B746,12)="@hotmail.com",RIGHT(B746,9)="@live.com"),"Outlook","Domain")))</f>
        <v/>
      </c>
      <c r="F746">
        <f>IF(B746="","",IFERROR(RIGHT(B746,LEN(B746)-FIND("@",B746)),""))</f>
        <v/>
      </c>
      <c r="G746">
        <f>IF(D746="KEEP",COUNTIF($D$2:D746,"KEEP"),"")</f>
        <v/>
      </c>
      <c r="H746">
        <f>IF(D746="REMOVE",COUNTIF($D$2:D746,"REMOVE"),"")</f>
        <v/>
      </c>
      <c r="I746">
        <f>IF(E746="Gmail",COUNTIF($E$2:E746,"Gmail"),"")</f>
        <v/>
      </c>
      <c r="J746">
        <f>IF(E746="Outlook",COUNTIF($E$2:E746,"Outlook"),"")</f>
        <v/>
      </c>
      <c r="K746">
        <f>IF(E746="Domain",COUNTIF($E$2:E746,"Domain"),"")</f>
        <v/>
      </c>
    </row>
    <row r="747">
      <c r="A747" s="2" t="n"/>
      <c r="B747">
        <f>LOWER(TRIM(A747))</f>
        <v/>
      </c>
      <c r="C747">
        <f>IF(B747="","",IFERROR(INDEX('Bad Patterns'!$A$2:$A$120,MATCH(1,INDEX(--ISNUMBER(SEARCH('Bad Patterns'!$A$2:$A$120,B747)),0),0)),""))</f>
        <v/>
      </c>
      <c r="D747">
        <f>IF(B747="","",IF(C747&lt;&gt;"","REMOVE","KEEP"))</f>
        <v/>
      </c>
      <c r="E747">
        <f>IF(D747&lt;&gt;"KEEP","",IF(RIGHT(B747,10)="@gmail.com","Gmail",IF(OR(RIGHT(B747,12)="@outlook.com",RIGHT(B747,12)="@hotmail.com",RIGHT(B747,9)="@live.com"),"Outlook","Domain")))</f>
        <v/>
      </c>
      <c r="F747">
        <f>IF(B747="","",IFERROR(RIGHT(B747,LEN(B747)-FIND("@",B747)),""))</f>
        <v/>
      </c>
      <c r="G747">
        <f>IF(D747="KEEP",COUNTIF($D$2:D747,"KEEP"),"")</f>
        <v/>
      </c>
      <c r="H747">
        <f>IF(D747="REMOVE",COUNTIF($D$2:D747,"REMOVE"),"")</f>
        <v/>
      </c>
      <c r="I747">
        <f>IF(E747="Gmail",COUNTIF($E$2:E747,"Gmail"),"")</f>
        <v/>
      </c>
      <c r="J747">
        <f>IF(E747="Outlook",COUNTIF($E$2:E747,"Outlook"),"")</f>
        <v/>
      </c>
      <c r="K747">
        <f>IF(E747="Domain",COUNTIF($E$2:E747,"Domain"),"")</f>
        <v/>
      </c>
    </row>
    <row r="748">
      <c r="A748" s="2" t="n"/>
      <c r="B748">
        <f>LOWER(TRIM(A748))</f>
        <v/>
      </c>
      <c r="C748">
        <f>IF(B748="","",IFERROR(INDEX('Bad Patterns'!$A$2:$A$120,MATCH(1,INDEX(--ISNUMBER(SEARCH('Bad Patterns'!$A$2:$A$120,B748)),0),0)),""))</f>
        <v/>
      </c>
      <c r="D748">
        <f>IF(B748="","",IF(C748&lt;&gt;"","REMOVE","KEEP"))</f>
        <v/>
      </c>
      <c r="E748">
        <f>IF(D748&lt;&gt;"KEEP","",IF(RIGHT(B748,10)="@gmail.com","Gmail",IF(OR(RIGHT(B748,12)="@outlook.com",RIGHT(B748,12)="@hotmail.com",RIGHT(B748,9)="@live.com"),"Outlook","Domain")))</f>
        <v/>
      </c>
      <c r="F748">
        <f>IF(B748="","",IFERROR(RIGHT(B748,LEN(B748)-FIND("@",B748)),""))</f>
        <v/>
      </c>
      <c r="G748">
        <f>IF(D748="KEEP",COUNTIF($D$2:D748,"KEEP"),"")</f>
        <v/>
      </c>
      <c r="H748">
        <f>IF(D748="REMOVE",COUNTIF($D$2:D748,"REMOVE"),"")</f>
        <v/>
      </c>
      <c r="I748">
        <f>IF(E748="Gmail",COUNTIF($E$2:E748,"Gmail"),"")</f>
        <v/>
      </c>
      <c r="J748">
        <f>IF(E748="Outlook",COUNTIF($E$2:E748,"Outlook"),"")</f>
        <v/>
      </c>
      <c r="K748">
        <f>IF(E748="Domain",COUNTIF($E$2:E748,"Domain"),"")</f>
        <v/>
      </c>
    </row>
    <row r="749">
      <c r="A749" s="2" t="n"/>
      <c r="B749">
        <f>LOWER(TRIM(A749))</f>
        <v/>
      </c>
      <c r="C749">
        <f>IF(B749="","",IFERROR(INDEX('Bad Patterns'!$A$2:$A$120,MATCH(1,INDEX(--ISNUMBER(SEARCH('Bad Patterns'!$A$2:$A$120,B749)),0),0)),""))</f>
        <v/>
      </c>
      <c r="D749">
        <f>IF(B749="","",IF(C749&lt;&gt;"","REMOVE","KEEP"))</f>
        <v/>
      </c>
      <c r="E749">
        <f>IF(D749&lt;&gt;"KEEP","",IF(RIGHT(B749,10)="@gmail.com","Gmail",IF(OR(RIGHT(B749,12)="@outlook.com",RIGHT(B749,12)="@hotmail.com",RIGHT(B749,9)="@live.com"),"Outlook","Domain")))</f>
        <v/>
      </c>
      <c r="F749">
        <f>IF(B749="","",IFERROR(RIGHT(B749,LEN(B749)-FIND("@",B749)),""))</f>
        <v/>
      </c>
      <c r="G749">
        <f>IF(D749="KEEP",COUNTIF($D$2:D749,"KEEP"),"")</f>
        <v/>
      </c>
      <c r="H749">
        <f>IF(D749="REMOVE",COUNTIF($D$2:D749,"REMOVE"),"")</f>
        <v/>
      </c>
      <c r="I749">
        <f>IF(E749="Gmail",COUNTIF($E$2:E749,"Gmail"),"")</f>
        <v/>
      </c>
      <c r="J749">
        <f>IF(E749="Outlook",COUNTIF($E$2:E749,"Outlook"),"")</f>
        <v/>
      </c>
      <c r="K749">
        <f>IF(E749="Domain",COUNTIF($E$2:E749,"Domain"),"")</f>
        <v/>
      </c>
    </row>
    <row r="750">
      <c r="A750" s="2" t="n"/>
      <c r="B750">
        <f>LOWER(TRIM(A750))</f>
        <v/>
      </c>
      <c r="C750">
        <f>IF(B750="","",IFERROR(INDEX('Bad Patterns'!$A$2:$A$120,MATCH(1,INDEX(--ISNUMBER(SEARCH('Bad Patterns'!$A$2:$A$120,B750)),0),0)),""))</f>
        <v/>
      </c>
      <c r="D750">
        <f>IF(B750="","",IF(C750&lt;&gt;"","REMOVE","KEEP"))</f>
        <v/>
      </c>
      <c r="E750">
        <f>IF(D750&lt;&gt;"KEEP","",IF(RIGHT(B750,10)="@gmail.com","Gmail",IF(OR(RIGHT(B750,12)="@outlook.com",RIGHT(B750,12)="@hotmail.com",RIGHT(B750,9)="@live.com"),"Outlook","Domain")))</f>
        <v/>
      </c>
      <c r="F750">
        <f>IF(B750="","",IFERROR(RIGHT(B750,LEN(B750)-FIND("@",B750)),""))</f>
        <v/>
      </c>
      <c r="G750">
        <f>IF(D750="KEEP",COUNTIF($D$2:D750,"KEEP"),"")</f>
        <v/>
      </c>
      <c r="H750">
        <f>IF(D750="REMOVE",COUNTIF($D$2:D750,"REMOVE"),"")</f>
        <v/>
      </c>
      <c r="I750">
        <f>IF(E750="Gmail",COUNTIF($E$2:E750,"Gmail"),"")</f>
        <v/>
      </c>
      <c r="J750">
        <f>IF(E750="Outlook",COUNTIF($E$2:E750,"Outlook"),"")</f>
        <v/>
      </c>
      <c r="K750">
        <f>IF(E750="Domain",COUNTIF($E$2:E750,"Domain"),"")</f>
        <v/>
      </c>
    </row>
    <row r="751">
      <c r="A751" s="2" t="n"/>
      <c r="B751">
        <f>LOWER(TRIM(A751))</f>
        <v/>
      </c>
      <c r="C751">
        <f>IF(B751="","",IFERROR(INDEX('Bad Patterns'!$A$2:$A$120,MATCH(1,INDEX(--ISNUMBER(SEARCH('Bad Patterns'!$A$2:$A$120,B751)),0),0)),""))</f>
        <v/>
      </c>
      <c r="D751">
        <f>IF(B751="","",IF(C751&lt;&gt;"","REMOVE","KEEP"))</f>
        <v/>
      </c>
      <c r="E751">
        <f>IF(D751&lt;&gt;"KEEP","",IF(RIGHT(B751,10)="@gmail.com","Gmail",IF(OR(RIGHT(B751,12)="@outlook.com",RIGHT(B751,12)="@hotmail.com",RIGHT(B751,9)="@live.com"),"Outlook","Domain")))</f>
        <v/>
      </c>
      <c r="F751">
        <f>IF(B751="","",IFERROR(RIGHT(B751,LEN(B751)-FIND("@",B751)),""))</f>
        <v/>
      </c>
      <c r="G751">
        <f>IF(D751="KEEP",COUNTIF($D$2:D751,"KEEP"),"")</f>
        <v/>
      </c>
      <c r="H751">
        <f>IF(D751="REMOVE",COUNTIF($D$2:D751,"REMOVE"),"")</f>
        <v/>
      </c>
      <c r="I751">
        <f>IF(E751="Gmail",COUNTIF($E$2:E751,"Gmail"),"")</f>
        <v/>
      </c>
      <c r="J751">
        <f>IF(E751="Outlook",COUNTIF($E$2:E751,"Outlook"),"")</f>
        <v/>
      </c>
      <c r="K751">
        <f>IF(E751="Domain",COUNTIF($E$2:E751,"Domain"),"")</f>
        <v/>
      </c>
    </row>
    <row r="752">
      <c r="A752" s="2" t="n"/>
      <c r="B752">
        <f>LOWER(TRIM(A752))</f>
        <v/>
      </c>
      <c r="C752">
        <f>IF(B752="","",IFERROR(INDEX('Bad Patterns'!$A$2:$A$120,MATCH(1,INDEX(--ISNUMBER(SEARCH('Bad Patterns'!$A$2:$A$120,B752)),0),0)),""))</f>
        <v/>
      </c>
      <c r="D752">
        <f>IF(B752="","",IF(C752&lt;&gt;"","REMOVE","KEEP"))</f>
        <v/>
      </c>
      <c r="E752">
        <f>IF(D752&lt;&gt;"KEEP","",IF(RIGHT(B752,10)="@gmail.com","Gmail",IF(OR(RIGHT(B752,12)="@outlook.com",RIGHT(B752,12)="@hotmail.com",RIGHT(B752,9)="@live.com"),"Outlook","Domain")))</f>
        <v/>
      </c>
      <c r="F752">
        <f>IF(B752="","",IFERROR(RIGHT(B752,LEN(B752)-FIND("@",B752)),""))</f>
        <v/>
      </c>
      <c r="G752">
        <f>IF(D752="KEEP",COUNTIF($D$2:D752,"KEEP"),"")</f>
        <v/>
      </c>
      <c r="H752">
        <f>IF(D752="REMOVE",COUNTIF($D$2:D752,"REMOVE"),"")</f>
        <v/>
      </c>
      <c r="I752">
        <f>IF(E752="Gmail",COUNTIF($E$2:E752,"Gmail"),"")</f>
        <v/>
      </c>
      <c r="J752">
        <f>IF(E752="Outlook",COUNTIF($E$2:E752,"Outlook"),"")</f>
        <v/>
      </c>
      <c r="K752">
        <f>IF(E752="Domain",COUNTIF($E$2:E752,"Domain"),"")</f>
        <v/>
      </c>
    </row>
    <row r="753">
      <c r="A753" s="2" t="n"/>
      <c r="B753">
        <f>LOWER(TRIM(A753))</f>
        <v/>
      </c>
      <c r="C753">
        <f>IF(B753="","",IFERROR(INDEX('Bad Patterns'!$A$2:$A$120,MATCH(1,INDEX(--ISNUMBER(SEARCH('Bad Patterns'!$A$2:$A$120,B753)),0),0)),""))</f>
        <v/>
      </c>
      <c r="D753">
        <f>IF(B753="","",IF(C753&lt;&gt;"","REMOVE","KEEP"))</f>
        <v/>
      </c>
      <c r="E753">
        <f>IF(D753&lt;&gt;"KEEP","",IF(RIGHT(B753,10)="@gmail.com","Gmail",IF(OR(RIGHT(B753,12)="@outlook.com",RIGHT(B753,12)="@hotmail.com",RIGHT(B753,9)="@live.com"),"Outlook","Domain")))</f>
        <v/>
      </c>
      <c r="F753">
        <f>IF(B753="","",IFERROR(RIGHT(B753,LEN(B753)-FIND("@",B753)),""))</f>
        <v/>
      </c>
      <c r="G753">
        <f>IF(D753="KEEP",COUNTIF($D$2:D753,"KEEP"),"")</f>
        <v/>
      </c>
      <c r="H753">
        <f>IF(D753="REMOVE",COUNTIF($D$2:D753,"REMOVE"),"")</f>
        <v/>
      </c>
      <c r="I753">
        <f>IF(E753="Gmail",COUNTIF($E$2:E753,"Gmail"),"")</f>
        <v/>
      </c>
      <c r="J753">
        <f>IF(E753="Outlook",COUNTIF($E$2:E753,"Outlook"),"")</f>
        <v/>
      </c>
      <c r="K753">
        <f>IF(E753="Domain",COUNTIF($E$2:E753,"Domain"),"")</f>
        <v/>
      </c>
    </row>
    <row r="754">
      <c r="A754" s="2" t="n"/>
      <c r="B754">
        <f>LOWER(TRIM(A754))</f>
        <v/>
      </c>
      <c r="C754">
        <f>IF(B754="","",IFERROR(INDEX('Bad Patterns'!$A$2:$A$120,MATCH(1,INDEX(--ISNUMBER(SEARCH('Bad Patterns'!$A$2:$A$120,B754)),0),0)),""))</f>
        <v/>
      </c>
      <c r="D754">
        <f>IF(B754="","",IF(C754&lt;&gt;"","REMOVE","KEEP"))</f>
        <v/>
      </c>
      <c r="E754">
        <f>IF(D754&lt;&gt;"KEEP","",IF(RIGHT(B754,10)="@gmail.com","Gmail",IF(OR(RIGHT(B754,12)="@outlook.com",RIGHT(B754,12)="@hotmail.com",RIGHT(B754,9)="@live.com"),"Outlook","Domain")))</f>
        <v/>
      </c>
      <c r="F754">
        <f>IF(B754="","",IFERROR(RIGHT(B754,LEN(B754)-FIND("@",B754)),""))</f>
        <v/>
      </c>
      <c r="G754">
        <f>IF(D754="KEEP",COUNTIF($D$2:D754,"KEEP"),"")</f>
        <v/>
      </c>
      <c r="H754">
        <f>IF(D754="REMOVE",COUNTIF($D$2:D754,"REMOVE"),"")</f>
        <v/>
      </c>
      <c r="I754">
        <f>IF(E754="Gmail",COUNTIF($E$2:E754,"Gmail"),"")</f>
        <v/>
      </c>
      <c r="J754">
        <f>IF(E754="Outlook",COUNTIF($E$2:E754,"Outlook"),"")</f>
        <v/>
      </c>
      <c r="K754">
        <f>IF(E754="Domain",COUNTIF($E$2:E754,"Domain"),"")</f>
        <v/>
      </c>
    </row>
    <row r="755">
      <c r="A755" s="2" t="n"/>
      <c r="B755">
        <f>LOWER(TRIM(A755))</f>
        <v/>
      </c>
      <c r="C755">
        <f>IF(B755="","",IFERROR(INDEX('Bad Patterns'!$A$2:$A$120,MATCH(1,INDEX(--ISNUMBER(SEARCH('Bad Patterns'!$A$2:$A$120,B755)),0),0)),""))</f>
        <v/>
      </c>
      <c r="D755">
        <f>IF(B755="","",IF(C755&lt;&gt;"","REMOVE","KEEP"))</f>
        <v/>
      </c>
      <c r="E755">
        <f>IF(D755&lt;&gt;"KEEP","",IF(RIGHT(B755,10)="@gmail.com","Gmail",IF(OR(RIGHT(B755,12)="@outlook.com",RIGHT(B755,12)="@hotmail.com",RIGHT(B755,9)="@live.com"),"Outlook","Domain")))</f>
        <v/>
      </c>
      <c r="F755">
        <f>IF(B755="","",IFERROR(RIGHT(B755,LEN(B755)-FIND("@",B755)),""))</f>
        <v/>
      </c>
      <c r="G755">
        <f>IF(D755="KEEP",COUNTIF($D$2:D755,"KEEP"),"")</f>
        <v/>
      </c>
      <c r="H755">
        <f>IF(D755="REMOVE",COUNTIF($D$2:D755,"REMOVE"),"")</f>
        <v/>
      </c>
      <c r="I755">
        <f>IF(E755="Gmail",COUNTIF($E$2:E755,"Gmail"),"")</f>
        <v/>
      </c>
      <c r="J755">
        <f>IF(E755="Outlook",COUNTIF($E$2:E755,"Outlook"),"")</f>
        <v/>
      </c>
      <c r="K755">
        <f>IF(E755="Domain",COUNTIF($E$2:E755,"Domain"),"")</f>
        <v/>
      </c>
    </row>
    <row r="756">
      <c r="A756" s="2" t="n"/>
      <c r="B756">
        <f>LOWER(TRIM(A756))</f>
        <v/>
      </c>
      <c r="C756">
        <f>IF(B756="","",IFERROR(INDEX('Bad Patterns'!$A$2:$A$120,MATCH(1,INDEX(--ISNUMBER(SEARCH('Bad Patterns'!$A$2:$A$120,B756)),0),0)),""))</f>
        <v/>
      </c>
      <c r="D756">
        <f>IF(B756="","",IF(C756&lt;&gt;"","REMOVE","KEEP"))</f>
        <v/>
      </c>
      <c r="E756">
        <f>IF(D756&lt;&gt;"KEEP","",IF(RIGHT(B756,10)="@gmail.com","Gmail",IF(OR(RIGHT(B756,12)="@outlook.com",RIGHT(B756,12)="@hotmail.com",RIGHT(B756,9)="@live.com"),"Outlook","Domain")))</f>
        <v/>
      </c>
      <c r="F756">
        <f>IF(B756="","",IFERROR(RIGHT(B756,LEN(B756)-FIND("@",B756)),""))</f>
        <v/>
      </c>
      <c r="G756">
        <f>IF(D756="KEEP",COUNTIF($D$2:D756,"KEEP"),"")</f>
        <v/>
      </c>
      <c r="H756">
        <f>IF(D756="REMOVE",COUNTIF($D$2:D756,"REMOVE"),"")</f>
        <v/>
      </c>
      <c r="I756">
        <f>IF(E756="Gmail",COUNTIF($E$2:E756,"Gmail"),"")</f>
        <v/>
      </c>
      <c r="J756">
        <f>IF(E756="Outlook",COUNTIF($E$2:E756,"Outlook"),"")</f>
        <v/>
      </c>
      <c r="K756">
        <f>IF(E756="Domain",COUNTIF($E$2:E756,"Domain"),"")</f>
        <v/>
      </c>
    </row>
    <row r="757">
      <c r="A757" s="2" t="n"/>
      <c r="B757">
        <f>LOWER(TRIM(A757))</f>
        <v/>
      </c>
      <c r="C757">
        <f>IF(B757="","",IFERROR(INDEX('Bad Patterns'!$A$2:$A$120,MATCH(1,INDEX(--ISNUMBER(SEARCH('Bad Patterns'!$A$2:$A$120,B757)),0),0)),""))</f>
        <v/>
      </c>
      <c r="D757">
        <f>IF(B757="","",IF(C757&lt;&gt;"","REMOVE","KEEP"))</f>
        <v/>
      </c>
      <c r="E757">
        <f>IF(D757&lt;&gt;"KEEP","",IF(RIGHT(B757,10)="@gmail.com","Gmail",IF(OR(RIGHT(B757,12)="@outlook.com",RIGHT(B757,12)="@hotmail.com",RIGHT(B757,9)="@live.com"),"Outlook","Domain")))</f>
        <v/>
      </c>
      <c r="F757">
        <f>IF(B757="","",IFERROR(RIGHT(B757,LEN(B757)-FIND("@",B757)),""))</f>
        <v/>
      </c>
      <c r="G757">
        <f>IF(D757="KEEP",COUNTIF($D$2:D757,"KEEP"),"")</f>
        <v/>
      </c>
      <c r="H757">
        <f>IF(D757="REMOVE",COUNTIF($D$2:D757,"REMOVE"),"")</f>
        <v/>
      </c>
      <c r="I757">
        <f>IF(E757="Gmail",COUNTIF($E$2:E757,"Gmail"),"")</f>
        <v/>
      </c>
      <c r="J757">
        <f>IF(E757="Outlook",COUNTIF($E$2:E757,"Outlook"),"")</f>
        <v/>
      </c>
      <c r="K757">
        <f>IF(E757="Domain",COUNTIF($E$2:E757,"Domain"),"")</f>
        <v/>
      </c>
    </row>
    <row r="758">
      <c r="A758" s="2" t="n"/>
      <c r="B758">
        <f>LOWER(TRIM(A758))</f>
        <v/>
      </c>
      <c r="C758">
        <f>IF(B758="","",IFERROR(INDEX('Bad Patterns'!$A$2:$A$120,MATCH(1,INDEX(--ISNUMBER(SEARCH('Bad Patterns'!$A$2:$A$120,B758)),0),0)),""))</f>
        <v/>
      </c>
      <c r="D758">
        <f>IF(B758="","",IF(C758&lt;&gt;"","REMOVE","KEEP"))</f>
        <v/>
      </c>
      <c r="E758">
        <f>IF(D758&lt;&gt;"KEEP","",IF(RIGHT(B758,10)="@gmail.com","Gmail",IF(OR(RIGHT(B758,12)="@outlook.com",RIGHT(B758,12)="@hotmail.com",RIGHT(B758,9)="@live.com"),"Outlook","Domain")))</f>
        <v/>
      </c>
      <c r="F758">
        <f>IF(B758="","",IFERROR(RIGHT(B758,LEN(B758)-FIND("@",B758)),""))</f>
        <v/>
      </c>
      <c r="G758">
        <f>IF(D758="KEEP",COUNTIF($D$2:D758,"KEEP"),"")</f>
        <v/>
      </c>
      <c r="H758">
        <f>IF(D758="REMOVE",COUNTIF($D$2:D758,"REMOVE"),"")</f>
        <v/>
      </c>
      <c r="I758">
        <f>IF(E758="Gmail",COUNTIF($E$2:E758,"Gmail"),"")</f>
        <v/>
      </c>
      <c r="J758">
        <f>IF(E758="Outlook",COUNTIF($E$2:E758,"Outlook"),"")</f>
        <v/>
      </c>
      <c r="K758">
        <f>IF(E758="Domain",COUNTIF($E$2:E758,"Domain"),"")</f>
        <v/>
      </c>
    </row>
    <row r="759">
      <c r="A759" s="2" t="n"/>
      <c r="B759">
        <f>LOWER(TRIM(A759))</f>
        <v/>
      </c>
      <c r="C759">
        <f>IF(B759="","",IFERROR(INDEX('Bad Patterns'!$A$2:$A$120,MATCH(1,INDEX(--ISNUMBER(SEARCH('Bad Patterns'!$A$2:$A$120,B759)),0),0)),""))</f>
        <v/>
      </c>
      <c r="D759">
        <f>IF(B759="","",IF(C759&lt;&gt;"","REMOVE","KEEP"))</f>
        <v/>
      </c>
      <c r="E759">
        <f>IF(D759&lt;&gt;"KEEP","",IF(RIGHT(B759,10)="@gmail.com","Gmail",IF(OR(RIGHT(B759,12)="@outlook.com",RIGHT(B759,12)="@hotmail.com",RIGHT(B759,9)="@live.com"),"Outlook","Domain")))</f>
        <v/>
      </c>
      <c r="F759">
        <f>IF(B759="","",IFERROR(RIGHT(B759,LEN(B759)-FIND("@",B759)),""))</f>
        <v/>
      </c>
      <c r="G759">
        <f>IF(D759="KEEP",COUNTIF($D$2:D759,"KEEP"),"")</f>
        <v/>
      </c>
      <c r="H759">
        <f>IF(D759="REMOVE",COUNTIF($D$2:D759,"REMOVE"),"")</f>
        <v/>
      </c>
      <c r="I759">
        <f>IF(E759="Gmail",COUNTIF($E$2:E759,"Gmail"),"")</f>
        <v/>
      </c>
      <c r="J759">
        <f>IF(E759="Outlook",COUNTIF($E$2:E759,"Outlook"),"")</f>
        <v/>
      </c>
      <c r="K759">
        <f>IF(E759="Domain",COUNTIF($E$2:E759,"Domain"),"")</f>
        <v/>
      </c>
    </row>
    <row r="760">
      <c r="A760" s="2" t="n"/>
      <c r="B760">
        <f>LOWER(TRIM(A760))</f>
        <v/>
      </c>
      <c r="C760">
        <f>IF(B760="","",IFERROR(INDEX('Bad Patterns'!$A$2:$A$120,MATCH(1,INDEX(--ISNUMBER(SEARCH('Bad Patterns'!$A$2:$A$120,B760)),0),0)),""))</f>
        <v/>
      </c>
      <c r="D760">
        <f>IF(B760="","",IF(C760&lt;&gt;"","REMOVE","KEEP"))</f>
        <v/>
      </c>
      <c r="E760">
        <f>IF(D760&lt;&gt;"KEEP","",IF(RIGHT(B760,10)="@gmail.com","Gmail",IF(OR(RIGHT(B760,12)="@outlook.com",RIGHT(B760,12)="@hotmail.com",RIGHT(B760,9)="@live.com"),"Outlook","Domain")))</f>
        <v/>
      </c>
      <c r="F760">
        <f>IF(B760="","",IFERROR(RIGHT(B760,LEN(B760)-FIND("@",B760)),""))</f>
        <v/>
      </c>
      <c r="G760">
        <f>IF(D760="KEEP",COUNTIF($D$2:D760,"KEEP"),"")</f>
        <v/>
      </c>
      <c r="H760">
        <f>IF(D760="REMOVE",COUNTIF($D$2:D760,"REMOVE"),"")</f>
        <v/>
      </c>
      <c r="I760">
        <f>IF(E760="Gmail",COUNTIF($E$2:E760,"Gmail"),"")</f>
        <v/>
      </c>
      <c r="J760">
        <f>IF(E760="Outlook",COUNTIF($E$2:E760,"Outlook"),"")</f>
        <v/>
      </c>
      <c r="K760">
        <f>IF(E760="Domain",COUNTIF($E$2:E760,"Domain"),"")</f>
        <v/>
      </c>
    </row>
    <row r="761">
      <c r="A761" s="2" t="n"/>
      <c r="B761">
        <f>LOWER(TRIM(A761))</f>
        <v/>
      </c>
      <c r="C761">
        <f>IF(B761="","",IFERROR(INDEX('Bad Patterns'!$A$2:$A$120,MATCH(1,INDEX(--ISNUMBER(SEARCH('Bad Patterns'!$A$2:$A$120,B761)),0),0)),""))</f>
        <v/>
      </c>
      <c r="D761">
        <f>IF(B761="","",IF(C761&lt;&gt;"","REMOVE","KEEP"))</f>
        <v/>
      </c>
      <c r="E761">
        <f>IF(D761&lt;&gt;"KEEP","",IF(RIGHT(B761,10)="@gmail.com","Gmail",IF(OR(RIGHT(B761,12)="@outlook.com",RIGHT(B761,12)="@hotmail.com",RIGHT(B761,9)="@live.com"),"Outlook","Domain")))</f>
        <v/>
      </c>
      <c r="F761">
        <f>IF(B761="","",IFERROR(RIGHT(B761,LEN(B761)-FIND("@",B761)),""))</f>
        <v/>
      </c>
      <c r="G761">
        <f>IF(D761="KEEP",COUNTIF($D$2:D761,"KEEP"),"")</f>
        <v/>
      </c>
      <c r="H761">
        <f>IF(D761="REMOVE",COUNTIF($D$2:D761,"REMOVE"),"")</f>
        <v/>
      </c>
      <c r="I761">
        <f>IF(E761="Gmail",COUNTIF($E$2:E761,"Gmail"),"")</f>
        <v/>
      </c>
      <c r="J761">
        <f>IF(E761="Outlook",COUNTIF($E$2:E761,"Outlook"),"")</f>
        <v/>
      </c>
      <c r="K761">
        <f>IF(E761="Domain",COUNTIF($E$2:E761,"Domain"),"")</f>
        <v/>
      </c>
    </row>
    <row r="762">
      <c r="A762" s="2" t="n"/>
      <c r="B762">
        <f>LOWER(TRIM(A762))</f>
        <v/>
      </c>
      <c r="C762">
        <f>IF(B762="","",IFERROR(INDEX('Bad Patterns'!$A$2:$A$120,MATCH(1,INDEX(--ISNUMBER(SEARCH('Bad Patterns'!$A$2:$A$120,B762)),0),0)),""))</f>
        <v/>
      </c>
      <c r="D762">
        <f>IF(B762="","",IF(C762&lt;&gt;"","REMOVE","KEEP"))</f>
        <v/>
      </c>
      <c r="E762">
        <f>IF(D762&lt;&gt;"KEEP","",IF(RIGHT(B762,10)="@gmail.com","Gmail",IF(OR(RIGHT(B762,12)="@outlook.com",RIGHT(B762,12)="@hotmail.com",RIGHT(B762,9)="@live.com"),"Outlook","Domain")))</f>
        <v/>
      </c>
      <c r="F762">
        <f>IF(B762="","",IFERROR(RIGHT(B762,LEN(B762)-FIND("@",B762)),""))</f>
        <v/>
      </c>
      <c r="G762">
        <f>IF(D762="KEEP",COUNTIF($D$2:D762,"KEEP"),"")</f>
        <v/>
      </c>
      <c r="H762">
        <f>IF(D762="REMOVE",COUNTIF($D$2:D762,"REMOVE"),"")</f>
        <v/>
      </c>
      <c r="I762">
        <f>IF(E762="Gmail",COUNTIF($E$2:E762,"Gmail"),"")</f>
        <v/>
      </c>
      <c r="J762">
        <f>IF(E762="Outlook",COUNTIF($E$2:E762,"Outlook"),"")</f>
        <v/>
      </c>
      <c r="K762">
        <f>IF(E762="Domain",COUNTIF($E$2:E762,"Domain"),"")</f>
        <v/>
      </c>
    </row>
    <row r="763">
      <c r="A763" s="2" t="n"/>
      <c r="B763">
        <f>LOWER(TRIM(A763))</f>
        <v/>
      </c>
      <c r="C763">
        <f>IF(B763="","",IFERROR(INDEX('Bad Patterns'!$A$2:$A$120,MATCH(1,INDEX(--ISNUMBER(SEARCH('Bad Patterns'!$A$2:$A$120,B763)),0),0)),""))</f>
        <v/>
      </c>
      <c r="D763">
        <f>IF(B763="","",IF(C763&lt;&gt;"","REMOVE","KEEP"))</f>
        <v/>
      </c>
      <c r="E763">
        <f>IF(D763&lt;&gt;"KEEP","",IF(RIGHT(B763,10)="@gmail.com","Gmail",IF(OR(RIGHT(B763,12)="@outlook.com",RIGHT(B763,12)="@hotmail.com",RIGHT(B763,9)="@live.com"),"Outlook","Domain")))</f>
        <v/>
      </c>
      <c r="F763">
        <f>IF(B763="","",IFERROR(RIGHT(B763,LEN(B763)-FIND("@",B763)),""))</f>
        <v/>
      </c>
      <c r="G763">
        <f>IF(D763="KEEP",COUNTIF($D$2:D763,"KEEP"),"")</f>
        <v/>
      </c>
      <c r="H763">
        <f>IF(D763="REMOVE",COUNTIF($D$2:D763,"REMOVE"),"")</f>
        <v/>
      </c>
      <c r="I763">
        <f>IF(E763="Gmail",COUNTIF($E$2:E763,"Gmail"),"")</f>
        <v/>
      </c>
      <c r="J763">
        <f>IF(E763="Outlook",COUNTIF($E$2:E763,"Outlook"),"")</f>
        <v/>
      </c>
      <c r="K763">
        <f>IF(E763="Domain",COUNTIF($E$2:E763,"Domain"),"")</f>
        <v/>
      </c>
    </row>
    <row r="764">
      <c r="A764" s="2" t="n"/>
      <c r="B764">
        <f>LOWER(TRIM(A764))</f>
        <v/>
      </c>
      <c r="C764">
        <f>IF(B764="","",IFERROR(INDEX('Bad Patterns'!$A$2:$A$120,MATCH(1,INDEX(--ISNUMBER(SEARCH('Bad Patterns'!$A$2:$A$120,B764)),0),0)),""))</f>
        <v/>
      </c>
      <c r="D764">
        <f>IF(B764="","",IF(C764&lt;&gt;"","REMOVE","KEEP"))</f>
        <v/>
      </c>
      <c r="E764">
        <f>IF(D764&lt;&gt;"KEEP","",IF(RIGHT(B764,10)="@gmail.com","Gmail",IF(OR(RIGHT(B764,12)="@outlook.com",RIGHT(B764,12)="@hotmail.com",RIGHT(B764,9)="@live.com"),"Outlook","Domain")))</f>
        <v/>
      </c>
      <c r="F764">
        <f>IF(B764="","",IFERROR(RIGHT(B764,LEN(B764)-FIND("@",B764)),""))</f>
        <v/>
      </c>
      <c r="G764">
        <f>IF(D764="KEEP",COUNTIF($D$2:D764,"KEEP"),"")</f>
        <v/>
      </c>
      <c r="H764">
        <f>IF(D764="REMOVE",COUNTIF($D$2:D764,"REMOVE"),"")</f>
        <v/>
      </c>
      <c r="I764">
        <f>IF(E764="Gmail",COUNTIF($E$2:E764,"Gmail"),"")</f>
        <v/>
      </c>
      <c r="J764">
        <f>IF(E764="Outlook",COUNTIF($E$2:E764,"Outlook"),"")</f>
        <v/>
      </c>
      <c r="K764">
        <f>IF(E764="Domain",COUNTIF($E$2:E764,"Domain"),"")</f>
        <v/>
      </c>
    </row>
    <row r="765">
      <c r="A765" s="2" t="n"/>
      <c r="B765">
        <f>LOWER(TRIM(A765))</f>
        <v/>
      </c>
      <c r="C765">
        <f>IF(B765="","",IFERROR(INDEX('Bad Patterns'!$A$2:$A$120,MATCH(1,INDEX(--ISNUMBER(SEARCH('Bad Patterns'!$A$2:$A$120,B765)),0),0)),""))</f>
        <v/>
      </c>
      <c r="D765">
        <f>IF(B765="","",IF(C765&lt;&gt;"","REMOVE","KEEP"))</f>
        <v/>
      </c>
      <c r="E765">
        <f>IF(D765&lt;&gt;"KEEP","",IF(RIGHT(B765,10)="@gmail.com","Gmail",IF(OR(RIGHT(B765,12)="@outlook.com",RIGHT(B765,12)="@hotmail.com",RIGHT(B765,9)="@live.com"),"Outlook","Domain")))</f>
        <v/>
      </c>
      <c r="F765">
        <f>IF(B765="","",IFERROR(RIGHT(B765,LEN(B765)-FIND("@",B765)),""))</f>
        <v/>
      </c>
      <c r="G765">
        <f>IF(D765="KEEP",COUNTIF($D$2:D765,"KEEP"),"")</f>
        <v/>
      </c>
      <c r="H765">
        <f>IF(D765="REMOVE",COUNTIF($D$2:D765,"REMOVE"),"")</f>
        <v/>
      </c>
      <c r="I765">
        <f>IF(E765="Gmail",COUNTIF($E$2:E765,"Gmail"),"")</f>
        <v/>
      </c>
      <c r="J765">
        <f>IF(E765="Outlook",COUNTIF($E$2:E765,"Outlook"),"")</f>
        <v/>
      </c>
      <c r="K765">
        <f>IF(E765="Domain",COUNTIF($E$2:E765,"Domain"),"")</f>
        <v/>
      </c>
    </row>
    <row r="766">
      <c r="A766" s="2" t="n"/>
      <c r="B766">
        <f>LOWER(TRIM(A766))</f>
        <v/>
      </c>
      <c r="C766">
        <f>IF(B766="","",IFERROR(INDEX('Bad Patterns'!$A$2:$A$120,MATCH(1,INDEX(--ISNUMBER(SEARCH('Bad Patterns'!$A$2:$A$120,B766)),0),0)),""))</f>
        <v/>
      </c>
      <c r="D766">
        <f>IF(B766="","",IF(C766&lt;&gt;"","REMOVE","KEEP"))</f>
        <v/>
      </c>
      <c r="E766">
        <f>IF(D766&lt;&gt;"KEEP","",IF(RIGHT(B766,10)="@gmail.com","Gmail",IF(OR(RIGHT(B766,12)="@outlook.com",RIGHT(B766,12)="@hotmail.com",RIGHT(B766,9)="@live.com"),"Outlook","Domain")))</f>
        <v/>
      </c>
      <c r="F766">
        <f>IF(B766="","",IFERROR(RIGHT(B766,LEN(B766)-FIND("@",B766)),""))</f>
        <v/>
      </c>
      <c r="G766">
        <f>IF(D766="KEEP",COUNTIF($D$2:D766,"KEEP"),"")</f>
        <v/>
      </c>
      <c r="H766">
        <f>IF(D766="REMOVE",COUNTIF($D$2:D766,"REMOVE"),"")</f>
        <v/>
      </c>
      <c r="I766">
        <f>IF(E766="Gmail",COUNTIF($E$2:E766,"Gmail"),"")</f>
        <v/>
      </c>
      <c r="J766">
        <f>IF(E766="Outlook",COUNTIF($E$2:E766,"Outlook"),"")</f>
        <v/>
      </c>
      <c r="K766">
        <f>IF(E766="Domain",COUNTIF($E$2:E766,"Domain"),"")</f>
        <v/>
      </c>
    </row>
    <row r="767">
      <c r="A767" s="2" t="n"/>
      <c r="B767">
        <f>LOWER(TRIM(A767))</f>
        <v/>
      </c>
      <c r="C767">
        <f>IF(B767="","",IFERROR(INDEX('Bad Patterns'!$A$2:$A$120,MATCH(1,INDEX(--ISNUMBER(SEARCH('Bad Patterns'!$A$2:$A$120,B767)),0),0)),""))</f>
        <v/>
      </c>
      <c r="D767">
        <f>IF(B767="","",IF(C767&lt;&gt;"","REMOVE","KEEP"))</f>
        <v/>
      </c>
      <c r="E767">
        <f>IF(D767&lt;&gt;"KEEP","",IF(RIGHT(B767,10)="@gmail.com","Gmail",IF(OR(RIGHT(B767,12)="@outlook.com",RIGHT(B767,12)="@hotmail.com",RIGHT(B767,9)="@live.com"),"Outlook","Domain")))</f>
        <v/>
      </c>
      <c r="F767">
        <f>IF(B767="","",IFERROR(RIGHT(B767,LEN(B767)-FIND("@",B767)),""))</f>
        <v/>
      </c>
      <c r="G767">
        <f>IF(D767="KEEP",COUNTIF($D$2:D767,"KEEP"),"")</f>
        <v/>
      </c>
      <c r="H767">
        <f>IF(D767="REMOVE",COUNTIF($D$2:D767,"REMOVE"),"")</f>
        <v/>
      </c>
      <c r="I767">
        <f>IF(E767="Gmail",COUNTIF($E$2:E767,"Gmail"),"")</f>
        <v/>
      </c>
      <c r="J767">
        <f>IF(E767="Outlook",COUNTIF($E$2:E767,"Outlook"),"")</f>
        <v/>
      </c>
      <c r="K767">
        <f>IF(E767="Domain",COUNTIF($E$2:E767,"Domain"),"")</f>
        <v/>
      </c>
    </row>
    <row r="768">
      <c r="A768" s="2" t="n"/>
      <c r="B768">
        <f>LOWER(TRIM(A768))</f>
        <v/>
      </c>
      <c r="C768">
        <f>IF(B768="","",IFERROR(INDEX('Bad Patterns'!$A$2:$A$120,MATCH(1,INDEX(--ISNUMBER(SEARCH('Bad Patterns'!$A$2:$A$120,B768)),0),0)),""))</f>
        <v/>
      </c>
      <c r="D768">
        <f>IF(B768="","",IF(C768&lt;&gt;"","REMOVE","KEEP"))</f>
        <v/>
      </c>
      <c r="E768">
        <f>IF(D768&lt;&gt;"KEEP","",IF(RIGHT(B768,10)="@gmail.com","Gmail",IF(OR(RIGHT(B768,12)="@outlook.com",RIGHT(B768,12)="@hotmail.com",RIGHT(B768,9)="@live.com"),"Outlook","Domain")))</f>
        <v/>
      </c>
      <c r="F768">
        <f>IF(B768="","",IFERROR(RIGHT(B768,LEN(B768)-FIND("@",B768)),""))</f>
        <v/>
      </c>
      <c r="G768">
        <f>IF(D768="KEEP",COUNTIF($D$2:D768,"KEEP"),"")</f>
        <v/>
      </c>
      <c r="H768">
        <f>IF(D768="REMOVE",COUNTIF($D$2:D768,"REMOVE"),"")</f>
        <v/>
      </c>
      <c r="I768">
        <f>IF(E768="Gmail",COUNTIF($E$2:E768,"Gmail"),"")</f>
        <v/>
      </c>
      <c r="J768">
        <f>IF(E768="Outlook",COUNTIF($E$2:E768,"Outlook"),"")</f>
        <v/>
      </c>
      <c r="K768">
        <f>IF(E768="Domain",COUNTIF($E$2:E768,"Domain"),"")</f>
        <v/>
      </c>
    </row>
    <row r="769">
      <c r="A769" s="2" t="n"/>
      <c r="B769">
        <f>LOWER(TRIM(A769))</f>
        <v/>
      </c>
      <c r="C769">
        <f>IF(B769="","",IFERROR(INDEX('Bad Patterns'!$A$2:$A$120,MATCH(1,INDEX(--ISNUMBER(SEARCH('Bad Patterns'!$A$2:$A$120,B769)),0),0)),""))</f>
        <v/>
      </c>
      <c r="D769">
        <f>IF(B769="","",IF(C769&lt;&gt;"","REMOVE","KEEP"))</f>
        <v/>
      </c>
      <c r="E769">
        <f>IF(D769&lt;&gt;"KEEP","",IF(RIGHT(B769,10)="@gmail.com","Gmail",IF(OR(RIGHT(B769,12)="@outlook.com",RIGHT(B769,12)="@hotmail.com",RIGHT(B769,9)="@live.com"),"Outlook","Domain")))</f>
        <v/>
      </c>
      <c r="F769">
        <f>IF(B769="","",IFERROR(RIGHT(B769,LEN(B769)-FIND("@",B769)),""))</f>
        <v/>
      </c>
      <c r="G769">
        <f>IF(D769="KEEP",COUNTIF($D$2:D769,"KEEP"),"")</f>
        <v/>
      </c>
      <c r="H769">
        <f>IF(D769="REMOVE",COUNTIF($D$2:D769,"REMOVE"),"")</f>
        <v/>
      </c>
      <c r="I769">
        <f>IF(E769="Gmail",COUNTIF($E$2:E769,"Gmail"),"")</f>
        <v/>
      </c>
      <c r="J769">
        <f>IF(E769="Outlook",COUNTIF($E$2:E769,"Outlook"),"")</f>
        <v/>
      </c>
      <c r="K769">
        <f>IF(E769="Domain",COUNTIF($E$2:E769,"Domain"),"")</f>
        <v/>
      </c>
    </row>
    <row r="770">
      <c r="A770" s="2" t="n"/>
      <c r="B770">
        <f>LOWER(TRIM(A770))</f>
        <v/>
      </c>
      <c r="C770">
        <f>IF(B770="","",IFERROR(INDEX('Bad Patterns'!$A$2:$A$120,MATCH(1,INDEX(--ISNUMBER(SEARCH('Bad Patterns'!$A$2:$A$120,B770)),0),0)),""))</f>
        <v/>
      </c>
      <c r="D770">
        <f>IF(B770="","",IF(C770&lt;&gt;"","REMOVE","KEEP"))</f>
        <v/>
      </c>
      <c r="E770">
        <f>IF(D770&lt;&gt;"KEEP","",IF(RIGHT(B770,10)="@gmail.com","Gmail",IF(OR(RIGHT(B770,12)="@outlook.com",RIGHT(B770,12)="@hotmail.com",RIGHT(B770,9)="@live.com"),"Outlook","Domain")))</f>
        <v/>
      </c>
      <c r="F770">
        <f>IF(B770="","",IFERROR(RIGHT(B770,LEN(B770)-FIND("@",B770)),""))</f>
        <v/>
      </c>
      <c r="G770">
        <f>IF(D770="KEEP",COUNTIF($D$2:D770,"KEEP"),"")</f>
        <v/>
      </c>
      <c r="H770">
        <f>IF(D770="REMOVE",COUNTIF($D$2:D770,"REMOVE"),"")</f>
        <v/>
      </c>
      <c r="I770">
        <f>IF(E770="Gmail",COUNTIF($E$2:E770,"Gmail"),"")</f>
        <v/>
      </c>
      <c r="J770">
        <f>IF(E770="Outlook",COUNTIF($E$2:E770,"Outlook"),"")</f>
        <v/>
      </c>
      <c r="K770">
        <f>IF(E770="Domain",COUNTIF($E$2:E770,"Domain"),"")</f>
        <v/>
      </c>
    </row>
    <row r="771">
      <c r="A771" s="2" t="n"/>
      <c r="B771">
        <f>LOWER(TRIM(A771))</f>
        <v/>
      </c>
      <c r="C771">
        <f>IF(B771="","",IFERROR(INDEX('Bad Patterns'!$A$2:$A$120,MATCH(1,INDEX(--ISNUMBER(SEARCH('Bad Patterns'!$A$2:$A$120,B771)),0),0)),""))</f>
        <v/>
      </c>
      <c r="D771">
        <f>IF(B771="","",IF(C771&lt;&gt;"","REMOVE","KEEP"))</f>
        <v/>
      </c>
      <c r="E771">
        <f>IF(D771&lt;&gt;"KEEP","",IF(RIGHT(B771,10)="@gmail.com","Gmail",IF(OR(RIGHT(B771,12)="@outlook.com",RIGHT(B771,12)="@hotmail.com",RIGHT(B771,9)="@live.com"),"Outlook","Domain")))</f>
        <v/>
      </c>
      <c r="F771">
        <f>IF(B771="","",IFERROR(RIGHT(B771,LEN(B771)-FIND("@",B771)),""))</f>
        <v/>
      </c>
      <c r="G771">
        <f>IF(D771="KEEP",COUNTIF($D$2:D771,"KEEP"),"")</f>
        <v/>
      </c>
      <c r="H771">
        <f>IF(D771="REMOVE",COUNTIF($D$2:D771,"REMOVE"),"")</f>
        <v/>
      </c>
      <c r="I771">
        <f>IF(E771="Gmail",COUNTIF($E$2:E771,"Gmail"),"")</f>
        <v/>
      </c>
      <c r="J771">
        <f>IF(E771="Outlook",COUNTIF($E$2:E771,"Outlook"),"")</f>
        <v/>
      </c>
      <c r="K771">
        <f>IF(E771="Domain",COUNTIF($E$2:E771,"Domain"),"")</f>
        <v/>
      </c>
    </row>
    <row r="772">
      <c r="A772" s="2" t="n"/>
      <c r="B772">
        <f>LOWER(TRIM(A772))</f>
        <v/>
      </c>
      <c r="C772">
        <f>IF(B772="","",IFERROR(INDEX('Bad Patterns'!$A$2:$A$120,MATCH(1,INDEX(--ISNUMBER(SEARCH('Bad Patterns'!$A$2:$A$120,B772)),0),0)),""))</f>
        <v/>
      </c>
      <c r="D772">
        <f>IF(B772="","",IF(C772&lt;&gt;"","REMOVE","KEEP"))</f>
        <v/>
      </c>
      <c r="E772">
        <f>IF(D772&lt;&gt;"KEEP","",IF(RIGHT(B772,10)="@gmail.com","Gmail",IF(OR(RIGHT(B772,12)="@outlook.com",RIGHT(B772,12)="@hotmail.com",RIGHT(B772,9)="@live.com"),"Outlook","Domain")))</f>
        <v/>
      </c>
      <c r="F772">
        <f>IF(B772="","",IFERROR(RIGHT(B772,LEN(B772)-FIND("@",B772)),""))</f>
        <v/>
      </c>
      <c r="G772">
        <f>IF(D772="KEEP",COUNTIF($D$2:D772,"KEEP"),"")</f>
        <v/>
      </c>
      <c r="H772">
        <f>IF(D772="REMOVE",COUNTIF($D$2:D772,"REMOVE"),"")</f>
        <v/>
      </c>
      <c r="I772">
        <f>IF(E772="Gmail",COUNTIF($E$2:E772,"Gmail"),"")</f>
        <v/>
      </c>
      <c r="J772">
        <f>IF(E772="Outlook",COUNTIF($E$2:E772,"Outlook"),"")</f>
        <v/>
      </c>
      <c r="K772">
        <f>IF(E772="Domain",COUNTIF($E$2:E772,"Domain"),"")</f>
        <v/>
      </c>
    </row>
    <row r="773">
      <c r="A773" s="2" t="n"/>
      <c r="B773">
        <f>LOWER(TRIM(A773))</f>
        <v/>
      </c>
      <c r="C773">
        <f>IF(B773="","",IFERROR(INDEX('Bad Patterns'!$A$2:$A$120,MATCH(1,INDEX(--ISNUMBER(SEARCH('Bad Patterns'!$A$2:$A$120,B773)),0),0)),""))</f>
        <v/>
      </c>
      <c r="D773">
        <f>IF(B773="","",IF(C773&lt;&gt;"","REMOVE","KEEP"))</f>
        <v/>
      </c>
      <c r="E773">
        <f>IF(D773&lt;&gt;"KEEP","",IF(RIGHT(B773,10)="@gmail.com","Gmail",IF(OR(RIGHT(B773,12)="@outlook.com",RIGHT(B773,12)="@hotmail.com",RIGHT(B773,9)="@live.com"),"Outlook","Domain")))</f>
        <v/>
      </c>
      <c r="F773">
        <f>IF(B773="","",IFERROR(RIGHT(B773,LEN(B773)-FIND("@",B773)),""))</f>
        <v/>
      </c>
      <c r="G773">
        <f>IF(D773="KEEP",COUNTIF($D$2:D773,"KEEP"),"")</f>
        <v/>
      </c>
      <c r="H773">
        <f>IF(D773="REMOVE",COUNTIF($D$2:D773,"REMOVE"),"")</f>
        <v/>
      </c>
      <c r="I773">
        <f>IF(E773="Gmail",COUNTIF($E$2:E773,"Gmail"),"")</f>
        <v/>
      </c>
      <c r="J773">
        <f>IF(E773="Outlook",COUNTIF($E$2:E773,"Outlook"),"")</f>
        <v/>
      </c>
      <c r="K773">
        <f>IF(E773="Domain",COUNTIF($E$2:E773,"Domain"),"")</f>
        <v/>
      </c>
    </row>
    <row r="774">
      <c r="A774" s="2" t="n"/>
      <c r="B774">
        <f>LOWER(TRIM(A774))</f>
        <v/>
      </c>
      <c r="C774">
        <f>IF(B774="","",IFERROR(INDEX('Bad Patterns'!$A$2:$A$120,MATCH(1,INDEX(--ISNUMBER(SEARCH('Bad Patterns'!$A$2:$A$120,B774)),0),0)),""))</f>
        <v/>
      </c>
      <c r="D774">
        <f>IF(B774="","",IF(C774&lt;&gt;"","REMOVE","KEEP"))</f>
        <v/>
      </c>
      <c r="E774">
        <f>IF(D774&lt;&gt;"KEEP","",IF(RIGHT(B774,10)="@gmail.com","Gmail",IF(OR(RIGHT(B774,12)="@outlook.com",RIGHT(B774,12)="@hotmail.com",RIGHT(B774,9)="@live.com"),"Outlook","Domain")))</f>
        <v/>
      </c>
      <c r="F774">
        <f>IF(B774="","",IFERROR(RIGHT(B774,LEN(B774)-FIND("@",B774)),""))</f>
        <v/>
      </c>
      <c r="G774">
        <f>IF(D774="KEEP",COUNTIF($D$2:D774,"KEEP"),"")</f>
        <v/>
      </c>
      <c r="H774">
        <f>IF(D774="REMOVE",COUNTIF($D$2:D774,"REMOVE"),"")</f>
        <v/>
      </c>
      <c r="I774">
        <f>IF(E774="Gmail",COUNTIF($E$2:E774,"Gmail"),"")</f>
        <v/>
      </c>
      <c r="J774">
        <f>IF(E774="Outlook",COUNTIF($E$2:E774,"Outlook"),"")</f>
        <v/>
      </c>
      <c r="K774">
        <f>IF(E774="Domain",COUNTIF($E$2:E774,"Domain"),"")</f>
        <v/>
      </c>
    </row>
    <row r="775">
      <c r="A775" s="2" t="n"/>
      <c r="B775">
        <f>LOWER(TRIM(A775))</f>
        <v/>
      </c>
      <c r="C775">
        <f>IF(B775="","",IFERROR(INDEX('Bad Patterns'!$A$2:$A$120,MATCH(1,INDEX(--ISNUMBER(SEARCH('Bad Patterns'!$A$2:$A$120,B775)),0),0)),""))</f>
        <v/>
      </c>
      <c r="D775">
        <f>IF(B775="","",IF(C775&lt;&gt;"","REMOVE","KEEP"))</f>
        <v/>
      </c>
      <c r="E775">
        <f>IF(D775&lt;&gt;"KEEP","",IF(RIGHT(B775,10)="@gmail.com","Gmail",IF(OR(RIGHT(B775,12)="@outlook.com",RIGHT(B775,12)="@hotmail.com",RIGHT(B775,9)="@live.com"),"Outlook","Domain")))</f>
        <v/>
      </c>
      <c r="F775">
        <f>IF(B775="","",IFERROR(RIGHT(B775,LEN(B775)-FIND("@",B775)),""))</f>
        <v/>
      </c>
      <c r="G775">
        <f>IF(D775="KEEP",COUNTIF($D$2:D775,"KEEP"),"")</f>
        <v/>
      </c>
      <c r="H775">
        <f>IF(D775="REMOVE",COUNTIF($D$2:D775,"REMOVE"),"")</f>
        <v/>
      </c>
      <c r="I775">
        <f>IF(E775="Gmail",COUNTIF($E$2:E775,"Gmail"),"")</f>
        <v/>
      </c>
      <c r="J775">
        <f>IF(E775="Outlook",COUNTIF($E$2:E775,"Outlook"),"")</f>
        <v/>
      </c>
      <c r="K775">
        <f>IF(E775="Domain",COUNTIF($E$2:E775,"Domain"),"")</f>
        <v/>
      </c>
    </row>
    <row r="776">
      <c r="A776" s="2" t="n"/>
      <c r="B776">
        <f>LOWER(TRIM(A776))</f>
        <v/>
      </c>
      <c r="C776">
        <f>IF(B776="","",IFERROR(INDEX('Bad Patterns'!$A$2:$A$120,MATCH(1,INDEX(--ISNUMBER(SEARCH('Bad Patterns'!$A$2:$A$120,B776)),0),0)),""))</f>
        <v/>
      </c>
      <c r="D776">
        <f>IF(B776="","",IF(C776&lt;&gt;"","REMOVE","KEEP"))</f>
        <v/>
      </c>
      <c r="E776">
        <f>IF(D776&lt;&gt;"KEEP","",IF(RIGHT(B776,10)="@gmail.com","Gmail",IF(OR(RIGHT(B776,12)="@outlook.com",RIGHT(B776,12)="@hotmail.com",RIGHT(B776,9)="@live.com"),"Outlook","Domain")))</f>
        <v/>
      </c>
      <c r="F776">
        <f>IF(B776="","",IFERROR(RIGHT(B776,LEN(B776)-FIND("@",B776)),""))</f>
        <v/>
      </c>
      <c r="G776">
        <f>IF(D776="KEEP",COUNTIF($D$2:D776,"KEEP"),"")</f>
        <v/>
      </c>
      <c r="H776">
        <f>IF(D776="REMOVE",COUNTIF($D$2:D776,"REMOVE"),"")</f>
        <v/>
      </c>
      <c r="I776">
        <f>IF(E776="Gmail",COUNTIF($E$2:E776,"Gmail"),"")</f>
        <v/>
      </c>
      <c r="J776">
        <f>IF(E776="Outlook",COUNTIF($E$2:E776,"Outlook"),"")</f>
        <v/>
      </c>
      <c r="K776">
        <f>IF(E776="Domain",COUNTIF($E$2:E776,"Domain"),"")</f>
        <v/>
      </c>
    </row>
    <row r="777">
      <c r="A777" s="2" t="n"/>
      <c r="B777">
        <f>LOWER(TRIM(A777))</f>
        <v/>
      </c>
      <c r="C777">
        <f>IF(B777="","",IFERROR(INDEX('Bad Patterns'!$A$2:$A$120,MATCH(1,INDEX(--ISNUMBER(SEARCH('Bad Patterns'!$A$2:$A$120,B777)),0),0)),""))</f>
        <v/>
      </c>
      <c r="D777">
        <f>IF(B777="","",IF(C777&lt;&gt;"","REMOVE","KEEP"))</f>
        <v/>
      </c>
      <c r="E777">
        <f>IF(D777&lt;&gt;"KEEP","",IF(RIGHT(B777,10)="@gmail.com","Gmail",IF(OR(RIGHT(B777,12)="@outlook.com",RIGHT(B777,12)="@hotmail.com",RIGHT(B777,9)="@live.com"),"Outlook","Domain")))</f>
        <v/>
      </c>
      <c r="F777">
        <f>IF(B777="","",IFERROR(RIGHT(B777,LEN(B777)-FIND("@",B777)),""))</f>
        <v/>
      </c>
      <c r="G777">
        <f>IF(D777="KEEP",COUNTIF($D$2:D777,"KEEP"),"")</f>
        <v/>
      </c>
      <c r="H777">
        <f>IF(D777="REMOVE",COUNTIF($D$2:D777,"REMOVE"),"")</f>
        <v/>
      </c>
      <c r="I777">
        <f>IF(E777="Gmail",COUNTIF($E$2:E777,"Gmail"),"")</f>
        <v/>
      </c>
      <c r="J777">
        <f>IF(E777="Outlook",COUNTIF($E$2:E777,"Outlook"),"")</f>
        <v/>
      </c>
      <c r="K777">
        <f>IF(E777="Domain",COUNTIF($E$2:E777,"Domain"),"")</f>
        <v/>
      </c>
    </row>
    <row r="778">
      <c r="A778" s="2" t="n"/>
      <c r="B778">
        <f>LOWER(TRIM(A778))</f>
        <v/>
      </c>
      <c r="C778">
        <f>IF(B778="","",IFERROR(INDEX('Bad Patterns'!$A$2:$A$120,MATCH(1,INDEX(--ISNUMBER(SEARCH('Bad Patterns'!$A$2:$A$120,B778)),0),0)),""))</f>
        <v/>
      </c>
      <c r="D778">
        <f>IF(B778="","",IF(C778&lt;&gt;"","REMOVE","KEEP"))</f>
        <v/>
      </c>
      <c r="E778">
        <f>IF(D778&lt;&gt;"KEEP","",IF(RIGHT(B778,10)="@gmail.com","Gmail",IF(OR(RIGHT(B778,12)="@outlook.com",RIGHT(B778,12)="@hotmail.com",RIGHT(B778,9)="@live.com"),"Outlook","Domain")))</f>
        <v/>
      </c>
      <c r="F778">
        <f>IF(B778="","",IFERROR(RIGHT(B778,LEN(B778)-FIND("@",B778)),""))</f>
        <v/>
      </c>
      <c r="G778">
        <f>IF(D778="KEEP",COUNTIF($D$2:D778,"KEEP"),"")</f>
        <v/>
      </c>
      <c r="H778">
        <f>IF(D778="REMOVE",COUNTIF($D$2:D778,"REMOVE"),"")</f>
        <v/>
      </c>
      <c r="I778">
        <f>IF(E778="Gmail",COUNTIF($E$2:E778,"Gmail"),"")</f>
        <v/>
      </c>
      <c r="J778">
        <f>IF(E778="Outlook",COUNTIF($E$2:E778,"Outlook"),"")</f>
        <v/>
      </c>
      <c r="K778">
        <f>IF(E778="Domain",COUNTIF($E$2:E778,"Domain"),"")</f>
        <v/>
      </c>
    </row>
    <row r="779">
      <c r="A779" s="2" t="n"/>
      <c r="B779">
        <f>LOWER(TRIM(A779))</f>
        <v/>
      </c>
      <c r="C779">
        <f>IF(B779="","",IFERROR(INDEX('Bad Patterns'!$A$2:$A$120,MATCH(1,INDEX(--ISNUMBER(SEARCH('Bad Patterns'!$A$2:$A$120,B779)),0),0)),""))</f>
        <v/>
      </c>
      <c r="D779">
        <f>IF(B779="","",IF(C779&lt;&gt;"","REMOVE","KEEP"))</f>
        <v/>
      </c>
      <c r="E779">
        <f>IF(D779&lt;&gt;"KEEP","",IF(RIGHT(B779,10)="@gmail.com","Gmail",IF(OR(RIGHT(B779,12)="@outlook.com",RIGHT(B779,12)="@hotmail.com",RIGHT(B779,9)="@live.com"),"Outlook","Domain")))</f>
        <v/>
      </c>
      <c r="F779">
        <f>IF(B779="","",IFERROR(RIGHT(B779,LEN(B779)-FIND("@",B779)),""))</f>
        <v/>
      </c>
      <c r="G779">
        <f>IF(D779="KEEP",COUNTIF($D$2:D779,"KEEP"),"")</f>
        <v/>
      </c>
      <c r="H779">
        <f>IF(D779="REMOVE",COUNTIF($D$2:D779,"REMOVE"),"")</f>
        <v/>
      </c>
      <c r="I779">
        <f>IF(E779="Gmail",COUNTIF($E$2:E779,"Gmail"),"")</f>
        <v/>
      </c>
      <c r="J779">
        <f>IF(E779="Outlook",COUNTIF($E$2:E779,"Outlook"),"")</f>
        <v/>
      </c>
      <c r="K779">
        <f>IF(E779="Domain",COUNTIF($E$2:E779,"Domain"),"")</f>
        <v/>
      </c>
    </row>
    <row r="780">
      <c r="A780" s="2" t="n"/>
      <c r="B780">
        <f>LOWER(TRIM(A780))</f>
        <v/>
      </c>
      <c r="C780">
        <f>IF(B780="","",IFERROR(INDEX('Bad Patterns'!$A$2:$A$120,MATCH(1,INDEX(--ISNUMBER(SEARCH('Bad Patterns'!$A$2:$A$120,B780)),0),0)),""))</f>
        <v/>
      </c>
      <c r="D780">
        <f>IF(B780="","",IF(C780&lt;&gt;"","REMOVE","KEEP"))</f>
        <v/>
      </c>
      <c r="E780">
        <f>IF(D780&lt;&gt;"KEEP","",IF(RIGHT(B780,10)="@gmail.com","Gmail",IF(OR(RIGHT(B780,12)="@outlook.com",RIGHT(B780,12)="@hotmail.com",RIGHT(B780,9)="@live.com"),"Outlook","Domain")))</f>
        <v/>
      </c>
      <c r="F780">
        <f>IF(B780="","",IFERROR(RIGHT(B780,LEN(B780)-FIND("@",B780)),""))</f>
        <v/>
      </c>
      <c r="G780">
        <f>IF(D780="KEEP",COUNTIF($D$2:D780,"KEEP"),"")</f>
        <v/>
      </c>
      <c r="H780">
        <f>IF(D780="REMOVE",COUNTIF($D$2:D780,"REMOVE"),"")</f>
        <v/>
      </c>
      <c r="I780">
        <f>IF(E780="Gmail",COUNTIF($E$2:E780,"Gmail"),"")</f>
        <v/>
      </c>
      <c r="J780">
        <f>IF(E780="Outlook",COUNTIF($E$2:E780,"Outlook"),"")</f>
        <v/>
      </c>
      <c r="K780">
        <f>IF(E780="Domain",COUNTIF($E$2:E780,"Domain"),"")</f>
        <v/>
      </c>
    </row>
    <row r="781">
      <c r="A781" s="2" t="n"/>
      <c r="B781">
        <f>LOWER(TRIM(A781))</f>
        <v/>
      </c>
      <c r="C781">
        <f>IF(B781="","",IFERROR(INDEX('Bad Patterns'!$A$2:$A$120,MATCH(1,INDEX(--ISNUMBER(SEARCH('Bad Patterns'!$A$2:$A$120,B781)),0),0)),""))</f>
        <v/>
      </c>
      <c r="D781">
        <f>IF(B781="","",IF(C781&lt;&gt;"","REMOVE","KEEP"))</f>
        <v/>
      </c>
      <c r="E781">
        <f>IF(D781&lt;&gt;"KEEP","",IF(RIGHT(B781,10)="@gmail.com","Gmail",IF(OR(RIGHT(B781,12)="@outlook.com",RIGHT(B781,12)="@hotmail.com",RIGHT(B781,9)="@live.com"),"Outlook","Domain")))</f>
        <v/>
      </c>
      <c r="F781">
        <f>IF(B781="","",IFERROR(RIGHT(B781,LEN(B781)-FIND("@",B781)),""))</f>
        <v/>
      </c>
      <c r="G781">
        <f>IF(D781="KEEP",COUNTIF($D$2:D781,"KEEP"),"")</f>
        <v/>
      </c>
      <c r="H781">
        <f>IF(D781="REMOVE",COUNTIF($D$2:D781,"REMOVE"),"")</f>
        <v/>
      </c>
      <c r="I781">
        <f>IF(E781="Gmail",COUNTIF($E$2:E781,"Gmail"),"")</f>
        <v/>
      </c>
      <c r="J781">
        <f>IF(E781="Outlook",COUNTIF($E$2:E781,"Outlook"),"")</f>
        <v/>
      </c>
      <c r="K781">
        <f>IF(E781="Domain",COUNTIF($E$2:E781,"Domain"),"")</f>
        <v/>
      </c>
    </row>
    <row r="782">
      <c r="A782" s="2" t="n"/>
      <c r="B782">
        <f>LOWER(TRIM(A782))</f>
        <v/>
      </c>
      <c r="C782">
        <f>IF(B782="","",IFERROR(INDEX('Bad Patterns'!$A$2:$A$120,MATCH(1,INDEX(--ISNUMBER(SEARCH('Bad Patterns'!$A$2:$A$120,B782)),0),0)),""))</f>
        <v/>
      </c>
      <c r="D782">
        <f>IF(B782="","",IF(C782&lt;&gt;"","REMOVE","KEEP"))</f>
        <v/>
      </c>
      <c r="E782">
        <f>IF(D782&lt;&gt;"KEEP","",IF(RIGHT(B782,10)="@gmail.com","Gmail",IF(OR(RIGHT(B782,12)="@outlook.com",RIGHT(B782,12)="@hotmail.com",RIGHT(B782,9)="@live.com"),"Outlook","Domain")))</f>
        <v/>
      </c>
      <c r="F782">
        <f>IF(B782="","",IFERROR(RIGHT(B782,LEN(B782)-FIND("@",B782)),""))</f>
        <v/>
      </c>
      <c r="G782">
        <f>IF(D782="KEEP",COUNTIF($D$2:D782,"KEEP"),"")</f>
        <v/>
      </c>
      <c r="H782">
        <f>IF(D782="REMOVE",COUNTIF($D$2:D782,"REMOVE"),"")</f>
        <v/>
      </c>
      <c r="I782">
        <f>IF(E782="Gmail",COUNTIF($E$2:E782,"Gmail"),"")</f>
        <v/>
      </c>
      <c r="J782">
        <f>IF(E782="Outlook",COUNTIF($E$2:E782,"Outlook"),"")</f>
        <v/>
      </c>
      <c r="K782">
        <f>IF(E782="Domain",COUNTIF($E$2:E782,"Domain"),"")</f>
        <v/>
      </c>
    </row>
    <row r="783">
      <c r="A783" s="2" t="n"/>
      <c r="B783">
        <f>LOWER(TRIM(A783))</f>
        <v/>
      </c>
      <c r="C783">
        <f>IF(B783="","",IFERROR(INDEX('Bad Patterns'!$A$2:$A$120,MATCH(1,INDEX(--ISNUMBER(SEARCH('Bad Patterns'!$A$2:$A$120,B783)),0),0)),""))</f>
        <v/>
      </c>
      <c r="D783">
        <f>IF(B783="","",IF(C783&lt;&gt;"","REMOVE","KEEP"))</f>
        <v/>
      </c>
      <c r="E783">
        <f>IF(D783&lt;&gt;"KEEP","",IF(RIGHT(B783,10)="@gmail.com","Gmail",IF(OR(RIGHT(B783,12)="@outlook.com",RIGHT(B783,12)="@hotmail.com",RIGHT(B783,9)="@live.com"),"Outlook","Domain")))</f>
        <v/>
      </c>
      <c r="F783">
        <f>IF(B783="","",IFERROR(RIGHT(B783,LEN(B783)-FIND("@",B783)),""))</f>
        <v/>
      </c>
      <c r="G783">
        <f>IF(D783="KEEP",COUNTIF($D$2:D783,"KEEP"),"")</f>
        <v/>
      </c>
      <c r="H783">
        <f>IF(D783="REMOVE",COUNTIF($D$2:D783,"REMOVE"),"")</f>
        <v/>
      </c>
      <c r="I783">
        <f>IF(E783="Gmail",COUNTIF($E$2:E783,"Gmail"),"")</f>
        <v/>
      </c>
      <c r="J783">
        <f>IF(E783="Outlook",COUNTIF($E$2:E783,"Outlook"),"")</f>
        <v/>
      </c>
      <c r="K783">
        <f>IF(E783="Domain",COUNTIF($E$2:E783,"Domain"),"")</f>
        <v/>
      </c>
    </row>
    <row r="784">
      <c r="A784" s="2" t="n"/>
      <c r="B784">
        <f>LOWER(TRIM(A784))</f>
        <v/>
      </c>
      <c r="C784">
        <f>IF(B784="","",IFERROR(INDEX('Bad Patterns'!$A$2:$A$120,MATCH(1,INDEX(--ISNUMBER(SEARCH('Bad Patterns'!$A$2:$A$120,B784)),0),0)),""))</f>
        <v/>
      </c>
      <c r="D784">
        <f>IF(B784="","",IF(C784&lt;&gt;"","REMOVE","KEEP"))</f>
        <v/>
      </c>
      <c r="E784">
        <f>IF(D784&lt;&gt;"KEEP","",IF(RIGHT(B784,10)="@gmail.com","Gmail",IF(OR(RIGHT(B784,12)="@outlook.com",RIGHT(B784,12)="@hotmail.com",RIGHT(B784,9)="@live.com"),"Outlook","Domain")))</f>
        <v/>
      </c>
      <c r="F784">
        <f>IF(B784="","",IFERROR(RIGHT(B784,LEN(B784)-FIND("@",B784)),""))</f>
        <v/>
      </c>
      <c r="G784">
        <f>IF(D784="KEEP",COUNTIF($D$2:D784,"KEEP"),"")</f>
        <v/>
      </c>
      <c r="H784">
        <f>IF(D784="REMOVE",COUNTIF($D$2:D784,"REMOVE"),"")</f>
        <v/>
      </c>
      <c r="I784">
        <f>IF(E784="Gmail",COUNTIF($E$2:E784,"Gmail"),"")</f>
        <v/>
      </c>
      <c r="J784">
        <f>IF(E784="Outlook",COUNTIF($E$2:E784,"Outlook"),"")</f>
        <v/>
      </c>
      <c r="K784">
        <f>IF(E784="Domain",COUNTIF($E$2:E784,"Domain"),"")</f>
        <v/>
      </c>
    </row>
    <row r="785">
      <c r="A785" s="2" t="n"/>
      <c r="B785">
        <f>LOWER(TRIM(A785))</f>
        <v/>
      </c>
      <c r="C785">
        <f>IF(B785="","",IFERROR(INDEX('Bad Patterns'!$A$2:$A$120,MATCH(1,INDEX(--ISNUMBER(SEARCH('Bad Patterns'!$A$2:$A$120,B785)),0),0)),""))</f>
        <v/>
      </c>
      <c r="D785">
        <f>IF(B785="","",IF(C785&lt;&gt;"","REMOVE","KEEP"))</f>
        <v/>
      </c>
      <c r="E785">
        <f>IF(D785&lt;&gt;"KEEP","",IF(RIGHT(B785,10)="@gmail.com","Gmail",IF(OR(RIGHT(B785,12)="@outlook.com",RIGHT(B785,12)="@hotmail.com",RIGHT(B785,9)="@live.com"),"Outlook","Domain")))</f>
        <v/>
      </c>
      <c r="F785">
        <f>IF(B785="","",IFERROR(RIGHT(B785,LEN(B785)-FIND("@",B785)),""))</f>
        <v/>
      </c>
      <c r="G785">
        <f>IF(D785="KEEP",COUNTIF($D$2:D785,"KEEP"),"")</f>
        <v/>
      </c>
      <c r="H785">
        <f>IF(D785="REMOVE",COUNTIF($D$2:D785,"REMOVE"),"")</f>
        <v/>
      </c>
      <c r="I785">
        <f>IF(E785="Gmail",COUNTIF($E$2:E785,"Gmail"),"")</f>
        <v/>
      </c>
      <c r="J785">
        <f>IF(E785="Outlook",COUNTIF($E$2:E785,"Outlook"),"")</f>
        <v/>
      </c>
      <c r="K785">
        <f>IF(E785="Domain",COUNTIF($E$2:E785,"Domain"),"")</f>
        <v/>
      </c>
    </row>
    <row r="786">
      <c r="A786" s="2" t="n"/>
      <c r="B786">
        <f>LOWER(TRIM(A786))</f>
        <v/>
      </c>
      <c r="C786">
        <f>IF(B786="","",IFERROR(INDEX('Bad Patterns'!$A$2:$A$120,MATCH(1,INDEX(--ISNUMBER(SEARCH('Bad Patterns'!$A$2:$A$120,B786)),0),0)),""))</f>
        <v/>
      </c>
      <c r="D786">
        <f>IF(B786="","",IF(C786&lt;&gt;"","REMOVE","KEEP"))</f>
        <v/>
      </c>
      <c r="E786">
        <f>IF(D786&lt;&gt;"KEEP","",IF(RIGHT(B786,10)="@gmail.com","Gmail",IF(OR(RIGHT(B786,12)="@outlook.com",RIGHT(B786,12)="@hotmail.com",RIGHT(B786,9)="@live.com"),"Outlook","Domain")))</f>
        <v/>
      </c>
      <c r="F786">
        <f>IF(B786="","",IFERROR(RIGHT(B786,LEN(B786)-FIND("@",B786)),""))</f>
        <v/>
      </c>
      <c r="G786">
        <f>IF(D786="KEEP",COUNTIF($D$2:D786,"KEEP"),"")</f>
        <v/>
      </c>
      <c r="H786">
        <f>IF(D786="REMOVE",COUNTIF($D$2:D786,"REMOVE"),"")</f>
        <v/>
      </c>
      <c r="I786">
        <f>IF(E786="Gmail",COUNTIF($E$2:E786,"Gmail"),"")</f>
        <v/>
      </c>
      <c r="J786">
        <f>IF(E786="Outlook",COUNTIF($E$2:E786,"Outlook"),"")</f>
        <v/>
      </c>
      <c r="K786">
        <f>IF(E786="Domain",COUNTIF($E$2:E786,"Domain"),"")</f>
        <v/>
      </c>
    </row>
    <row r="787">
      <c r="A787" s="2" t="n"/>
      <c r="B787">
        <f>LOWER(TRIM(A787))</f>
        <v/>
      </c>
      <c r="C787">
        <f>IF(B787="","",IFERROR(INDEX('Bad Patterns'!$A$2:$A$120,MATCH(1,INDEX(--ISNUMBER(SEARCH('Bad Patterns'!$A$2:$A$120,B787)),0),0)),""))</f>
        <v/>
      </c>
      <c r="D787">
        <f>IF(B787="","",IF(C787&lt;&gt;"","REMOVE","KEEP"))</f>
        <v/>
      </c>
      <c r="E787">
        <f>IF(D787&lt;&gt;"KEEP","",IF(RIGHT(B787,10)="@gmail.com","Gmail",IF(OR(RIGHT(B787,12)="@outlook.com",RIGHT(B787,12)="@hotmail.com",RIGHT(B787,9)="@live.com"),"Outlook","Domain")))</f>
        <v/>
      </c>
      <c r="F787">
        <f>IF(B787="","",IFERROR(RIGHT(B787,LEN(B787)-FIND("@",B787)),""))</f>
        <v/>
      </c>
      <c r="G787">
        <f>IF(D787="KEEP",COUNTIF($D$2:D787,"KEEP"),"")</f>
        <v/>
      </c>
      <c r="H787">
        <f>IF(D787="REMOVE",COUNTIF($D$2:D787,"REMOVE"),"")</f>
        <v/>
      </c>
      <c r="I787">
        <f>IF(E787="Gmail",COUNTIF($E$2:E787,"Gmail"),"")</f>
        <v/>
      </c>
      <c r="J787">
        <f>IF(E787="Outlook",COUNTIF($E$2:E787,"Outlook"),"")</f>
        <v/>
      </c>
      <c r="K787">
        <f>IF(E787="Domain",COUNTIF($E$2:E787,"Domain"),"")</f>
        <v/>
      </c>
    </row>
    <row r="788">
      <c r="A788" s="2" t="n"/>
      <c r="B788">
        <f>LOWER(TRIM(A788))</f>
        <v/>
      </c>
      <c r="C788">
        <f>IF(B788="","",IFERROR(INDEX('Bad Patterns'!$A$2:$A$120,MATCH(1,INDEX(--ISNUMBER(SEARCH('Bad Patterns'!$A$2:$A$120,B788)),0),0)),""))</f>
        <v/>
      </c>
      <c r="D788">
        <f>IF(B788="","",IF(C788&lt;&gt;"","REMOVE","KEEP"))</f>
        <v/>
      </c>
      <c r="E788">
        <f>IF(D788&lt;&gt;"KEEP","",IF(RIGHT(B788,10)="@gmail.com","Gmail",IF(OR(RIGHT(B788,12)="@outlook.com",RIGHT(B788,12)="@hotmail.com",RIGHT(B788,9)="@live.com"),"Outlook","Domain")))</f>
        <v/>
      </c>
      <c r="F788">
        <f>IF(B788="","",IFERROR(RIGHT(B788,LEN(B788)-FIND("@",B788)),""))</f>
        <v/>
      </c>
      <c r="G788">
        <f>IF(D788="KEEP",COUNTIF($D$2:D788,"KEEP"),"")</f>
        <v/>
      </c>
      <c r="H788">
        <f>IF(D788="REMOVE",COUNTIF($D$2:D788,"REMOVE"),"")</f>
        <v/>
      </c>
      <c r="I788">
        <f>IF(E788="Gmail",COUNTIF($E$2:E788,"Gmail"),"")</f>
        <v/>
      </c>
      <c r="J788">
        <f>IF(E788="Outlook",COUNTIF($E$2:E788,"Outlook"),"")</f>
        <v/>
      </c>
      <c r="K788">
        <f>IF(E788="Domain",COUNTIF($E$2:E788,"Domain"),"")</f>
        <v/>
      </c>
    </row>
    <row r="789">
      <c r="A789" s="2" t="n"/>
      <c r="B789">
        <f>LOWER(TRIM(A789))</f>
        <v/>
      </c>
      <c r="C789">
        <f>IF(B789="","",IFERROR(INDEX('Bad Patterns'!$A$2:$A$120,MATCH(1,INDEX(--ISNUMBER(SEARCH('Bad Patterns'!$A$2:$A$120,B789)),0),0)),""))</f>
        <v/>
      </c>
      <c r="D789">
        <f>IF(B789="","",IF(C789&lt;&gt;"","REMOVE","KEEP"))</f>
        <v/>
      </c>
      <c r="E789">
        <f>IF(D789&lt;&gt;"KEEP","",IF(RIGHT(B789,10)="@gmail.com","Gmail",IF(OR(RIGHT(B789,12)="@outlook.com",RIGHT(B789,12)="@hotmail.com",RIGHT(B789,9)="@live.com"),"Outlook","Domain")))</f>
        <v/>
      </c>
      <c r="F789">
        <f>IF(B789="","",IFERROR(RIGHT(B789,LEN(B789)-FIND("@",B789)),""))</f>
        <v/>
      </c>
      <c r="G789">
        <f>IF(D789="KEEP",COUNTIF($D$2:D789,"KEEP"),"")</f>
        <v/>
      </c>
      <c r="H789">
        <f>IF(D789="REMOVE",COUNTIF($D$2:D789,"REMOVE"),"")</f>
        <v/>
      </c>
      <c r="I789">
        <f>IF(E789="Gmail",COUNTIF($E$2:E789,"Gmail"),"")</f>
        <v/>
      </c>
      <c r="J789">
        <f>IF(E789="Outlook",COUNTIF($E$2:E789,"Outlook"),"")</f>
        <v/>
      </c>
      <c r="K789">
        <f>IF(E789="Domain",COUNTIF($E$2:E789,"Domain"),"")</f>
        <v/>
      </c>
    </row>
    <row r="790">
      <c r="A790" s="2" t="n"/>
      <c r="B790">
        <f>LOWER(TRIM(A790))</f>
        <v/>
      </c>
      <c r="C790">
        <f>IF(B790="","",IFERROR(INDEX('Bad Patterns'!$A$2:$A$120,MATCH(1,INDEX(--ISNUMBER(SEARCH('Bad Patterns'!$A$2:$A$120,B790)),0),0)),""))</f>
        <v/>
      </c>
      <c r="D790">
        <f>IF(B790="","",IF(C790&lt;&gt;"","REMOVE","KEEP"))</f>
        <v/>
      </c>
      <c r="E790">
        <f>IF(D790&lt;&gt;"KEEP","",IF(RIGHT(B790,10)="@gmail.com","Gmail",IF(OR(RIGHT(B790,12)="@outlook.com",RIGHT(B790,12)="@hotmail.com",RIGHT(B790,9)="@live.com"),"Outlook","Domain")))</f>
        <v/>
      </c>
      <c r="F790">
        <f>IF(B790="","",IFERROR(RIGHT(B790,LEN(B790)-FIND("@",B790)),""))</f>
        <v/>
      </c>
      <c r="G790">
        <f>IF(D790="KEEP",COUNTIF($D$2:D790,"KEEP"),"")</f>
        <v/>
      </c>
      <c r="H790">
        <f>IF(D790="REMOVE",COUNTIF($D$2:D790,"REMOVE"),"")</f>
        <v/>
      </c>
      <c r="I790">
        <f>IF(E790="Gmail",COUNTIF($E$2:E790,"Gmail"),"")</f>
        <v/>
      </c>
      <c r="J790">
        <f>IF(E790="Outlook",COUNTIF($E$2:E790,"Outlook"),"")</f>
        <v/>
      </c>
      <c r="K790">
        <f>IF(E790="Domain",COUNTIF($E$2:E790,"Domain"),"")</f>
        <v/>
      </c>
    </row>
    <row r="791">
      <c r="A791" s="2" t="n"/>
      <c r="B791">
        <f>LOWER(TRIM(A791))</f>
        <v/>
      </c>
      <c r="C791">
        <f>IF(B791="","",IFERROR(INDEX('Bad Patterns'!$A$2:$A$120,MATCH(1,INDEX(--ISNUMBER(SEARCH('Bad Patterns'!$A$2:$A$120,B791)),0),0)),""))</f>
        <v/>
      </c>
      <c r="D791">
        <f>IF(B791="","",IF(C791&lt;&gt;"","REMOVE","KEEP"))</f>
        <v/>
      </c>
      <c r="E791">
        <f>IF(D791&lt;&gt;"KEEP","",IF(RIGHT(B791,10)="@gmail.com","Gmail",IF(OR(RIGHT(B791,12)="@outlook.com",RIGHT(B791,12)="@hotmail.com",RIGHT(B791,9)="@live.com"),"Outlook","Domain")))</f>
        <v/>
      </c>
      <c r="F791">
        <f>IF(B791="","",IFERROR(RIGHT(B791,LEN(B791)-FIND("@",B791)),""))</f>
        <v/>
      </c>
      <c r="G791">
        <f>IF(D791="KEEP",COUNTIF($D$2:D791,"KEEP"),"")</f>
        <v/>
      </c>
      <c r="H791">
        <f>IF(D791="REMOVE",COUNTIF($D$2:D791,"REMOVE"),"")</f>
        <v/>
      </c>
      <c r="I791">
        <f>IF(E791="Gmail",COUNTIF($E$2:E791,"Gmail"),"")</f>
        <v/>
      </c>
      <c r="J791">
        <f>IF(E791="Outlook",COUNTIF($E$2:E791,"Outlook"),"")</f>
        <v/>
      </c>
      <c r="K791">
        <f>IF(E791="Domain",COUNTIF($E$2:E791,"Domain"),"")</f>
        <v/>
      </c>
    </row>
    <row r="792">
      <c r="A792" s="2" t="n"/>
      <c r="B792">
        <f>LOWER(TRIM(A792))</f>
        <v/>
      </c>
      <c r="C792">
        <f>IF(B792="","",IFERROR(INDEX('Bad Patterns'!$A$2:$A$120,MATCH(1,INDEX(--ISNUMBER(SEARCH('Bad Patterns'!$A$2:$A$120,B792)),0),0)),""))</f>
        <v/>
      </c>
      <c r="D792">
        <f>IF(B792="","",IF(C792&lt;&gt;"","REMOVE","KEEP"))</f>
        <v/>
      </c>
      <c r="E792">
        <f>IF(D792&lt;&gt;"KEEP","",IF(RIGHT(B792,10)="@gmail.com","Gmail",IF(OR(RIGHT(B792,12)="@outlook.com",RIGHT(B792,12)="@hotmail.com",RIGHT(B792,9)="@live.com"),"Outlook","Domain")))</f>
        <v/>
      </c>
      <c r="F792">
        <f>IF(B792="","",IFERROR(RIGHT(B792,LEN(B792)-FIND("@",B792)),""))</f>
        <v/>
      </c>
      <c r="G792">
        <f>IF(D792="KEEP",COUNTIF($D$2:D792,"KEEP"),"")</f>
        <v/>
      </c>
      <c r="H792">
        <f>IF(D792="REMOVE",COUNTIF($D$2:D792,"REMOVE"),"")</f>
        <v/>
      </c>
      <c r="I792">
        <f>IF(E792="Gmail",COUNTIF($E$2:E792,"Gmail"),"")</f>
        <v/>
      </c>
      <c r="J792">
        <f>IF(E792="Outlook",COUNTIF($E$2:E792,"Outlook"),"")</f>
        <v/>
      </c>
      <c r="K792">
        <f>IF(E792="Domain",COUNTIF($E$2:E792,"Domain"),"")</f>
        <v/>
      </c>
    </row>
    <row r="793">
      <c r="A793" s="2" t="n"/>
      <c r="B793">
        <f>LOWER(TRIM(A793))</f>
        <v/>
      </c>
      <c r="C793">
        <f>IF(B793="","",IFERROR(INDEX('Bad Patterns'!$A$2:$A$120,MATCH(1,INDEX(--ISNUMBER(SEARCH('Bad Patterns'!$A$2:$A$120,B793)),0),0)),""))</f>
        <v/>
      </c>
      <c r="D793">
        <f>IF(B793="","",IF(C793&lt;&gt;"","REMOVE","KEEP"))</f>
        <v/>
      </c>
      <c r="E793">
        <f>IF(D793&lt;&gt;"KEEP","",IF(RIGHT(B793,10)="@gmail.com","Gmail",IF(OR(RIGHT(B793,12)="@outlook.com",RIGHT(B793,12)="@hotmail.com",RIGHT(B793,9)="@live.com"),"Outlook","Domain")))</f>
        <v/>
      </c>
      <c r="F793">
        <f>IF(B793="","",IFERROR(RIGHT(B793,LEN(B793)-FIND("@",B793)),""))</f>
        <v/>
      </c>
      <c r="G793">
        <f>IF(D793="KEEP",COUNTIF($D$2:D793,"KEEP"),"")</f>
        <v/>
      </c>
      <c r="H793">
        <f>IF(D793="REMOVE",COUNTIF($D$2:D793,"REMOVE"),"")</f>
        <v/>
      </c>
      <c r="I793">
        <f>IF(E793="Gmail",COUNTIF($E$2:E793,"Gmail"),"")</f>
        <v/>
      </c>
      <c r="J793">
        <f>IF(E793="Outlook",COUNTIF($E$2:E793,"Outlook"),"")</f>
        <v/>
      </c>
      <c r="K793">
        <f>IF(E793="Domain",COUNTIF($E$2:E793,"Domain"),"")</f>
        <v/>
      </c>
    </row>
    <row r="794">
      <c r="A794" s="2" t="n"/>
      <c r="B794">
        <f>LOWER(TRIM(A794))</f>
        <v/>
      </c>
      <c r="C794">
        <f>IF(B794="","",IFERROR(INDEX('Bad Patterns'!$A$2:$A$120,MATCH(1,INDEX(--ISNUMBER(SEARCH('Bad Patterns'!$A$2:$A$120,B794)),0),0)),""))</f>
        <v/>
      </c>
      <c r="D794">
        <f>IF(B794="","",IF(C794&lt;&gt;"","REMOVE","KEEP"))</f>
        <v/>
      </c>
      <c r="E794">
        <f>IF(D794&lt;&gt;"KEEP","",IF(RIGHT(B794,10)="@gmail.com","Gmail",IF(OR(RIGHT(B794,12)="@outlook.com",RIGHT(B794,12)="@hotmail.com",RIGHT(B794,9)="@live.com"),"Outlook","Domain")))</f>
        <v/>
      </c>
      <c r="F794">
        <f>IF(B794="","",IFERROR(RIGHT(B794,LEN(B794)-FIND("@",B794)),""))</f>
        <v/>
      </c>
      <c r="G794">
        <f>IF(D794="KEEP",COUNTIF($D$2:D794,"KEEP"),"")</f>
        <v/>
      </c>
      <c r="H794">
        <f>IF(D794="REMOVE",COUNTIF($D$2:D794,"REMOVE"),"")</f>
        <v/>
      </c>
      <c r="I794">
        <f>IF(E794="Gmail",COUNTIF($E$2:E794,"Gmail"),"")</f>
        <v/>
      </c>
      <c r="J794">
        <f>IF(E794="Outlook",COUNTIF($E$2:E794,"Outlook"),"")</f>
        <v/>
      </c>
      <c r="K794">
        <f>IF(E794="Domain",COUNTIF($E$2:E794,"Domain"),"")</f>
        <v/>
      </c>
    </row>
    <row r="795">
      <c r="A795" s="2" t="n"/>
      <c r="B795">
        <f>LOWER(TRIM(A795))</f>
        <v/>
      </c>
      <c r="C795">
        <f>IF(B795="","",IFERROR(INDEX('Bad Patterns'!$A$2:$A$120,MATCH(1,INDEX(--ISNUMBER(SEARCH('Bad Patterns'!$A$2:$A$120,B795)),0),0)),""))</f>
        <v/>
      </c>
      <c r="D795">
        <f>IF(B795="","",IF(C795&lt;&gt;"","REMOVE","KEEP"))</f>
        <v/>
      </c>
      <c r="E795">
        <f>IF(D795&lt;&gt;"KEEP","",IF(RIGHT(B795,10)="@gmail.com","Gmail",IF(OR(RIGHT(B795,12)="@outlook.com",RIGHT(B795,12)="@hotmail.com",RIGHT(B795,9)="@live.com"),"Outlook","Domain")))</f>
        <v/>
      </c>
      <c r="F795">
        <f>IF(B795="","",IFERROR(RIGHT(B795,LEN(B795)-FIND("@",B795)),""))</f>
        <v/>
      </c>
      <c r="G795">
        <f>IF(D795="KEEP",COUNTIF($D$2:D795,"KEEP"),"")</f>
        <v/>
      </c>
      <c r="H795">
        <f>IF(D795="REMOVE",COUNTIF($D$2:D795,"REMOVE"),"")</f>
        <v/>
      </c>
      <c r="I795">
        <f>IF(E795="Gmail",COUNTIF($E$2:E795,"Gmail"),"")</f>
        <v/>
      </c>
      <c r="J795">
        <f>IF(E795="Outlook",COUNTIF($E$2:E795,"Outlook"),"")</f>
        <v/>
      </c>
      <c r="K795">
        <f>IF(E795="Domain",COUNTIF($E$2:E795,"Domain"),"")</f>
        <v/>
      </c>
    </row>
    <row r="796">
      <c r="A796" s="2" t="n"/>
      <c r="B796">
        <f>LOWER(TRIM(A796))</f>
        <v/>
      </c>
      <c r="C796">
        <f>IF(B796="","",IFERROR(INDEX('Bad Patterns'!$A$2:$A$120,MATCH(1,INDEX(--ISNUMBER(SEARCH('Bad Patterns'!$A$2:$A$120,B796)),0),0)),""))</f>
        <v/>
      </c>
      <c r="D796">
        <f>IF(B796="","",IF(C796&lt;&gt;"","REMOVE","KEEP"))</f>
        <v/>
      </c>
      <c r="E796">
        <f>IF(D796&lt;&gt;"KEEP","",IF(RIGHT(B796,10)="@gmail.com","Gmail",IF(OR(RIGHT(B796,12)="@outlook.com",RIGHT(B796,12)="@hotmail.com",RIGHT(B796,9)="@live.com"),"Outlook","Domain")))</f>
        <v/>
      </c>
      <c r="F796">
        <f>IF(B796="","",IFERROR(RIGHT(B796,LEN(B796)-FIND("@",B796)),""))</f>
        <v/>
      </c>
      <c r="G796">
        <f>IF(D796="KEEP",COUNTIF($D$2:D796,"KEEP"),"")</f>
        <v/>
      </c>
      <c r="H796">
        <f>IF(D796="REMOVE",COUNTIF($D$2:D796,"REMOVE"),"")</f>
        <v/>
      </c>
      <c r="I796">
        <f>IF(E796="Gmail",COUNTIF($E$2:E796,"Gmail"),"")</f>
        <v/>
      </c>
      <c r="J796">
        <f>IF(E796="Outlook",COUNTIF($E$2:E796,"Outlook"),"")</f>
        <v/>
      </c>
      <c r="K796">
        <f>IF(E796="Domain",COUNTIF($E$2:E796,"Domain"),"")</f>
        <v/>
      </c>
    </row>
    <row r="797">
      <c r="A797" s="2" t="n"/>
      <c r="B797">
        <f>LOWER(TRIM(A797))</f>
        <v/>
      </c>
      <c r="C797">
        <f>IF(B797="","",IFERROR(INDEX('Bad Patterns'!$A$2:$A$120,MATCH(1,INDEX(--ISNUMBER(SEARCH('Bad Patterns'!$A$2:$A$120,B797)),0),0)),""))</f>
        <v/>
      </c>
      <c r="D797">
        <f>IF(B797="","",IF(C797&lt;&gt;"","REMOVE","KEEP"))</f>
        <v/>
      </c>
      <c r="E797">
        <f>IF(D797&lt;&gt;"KEEP","",IF(RIGHT(B797,10)="@gmail.com","Gmail",IF(OR(RIGHT(B797,12)="@outlook.com",RIGHT(B797,12)="@hotmail.com",RIGHT(B797,9)="@live.com"),"Outlook","Domain")))</f>
        <v/>
      </c>
      <c r="F797">
        <f>IF(B797="","",IFERROR(RIGHT(B797,LEN(B797)-FIND("@",B797)),""))</f>
        <v/>
      </c>
      <c r="G797">
        <f>IF(D797="KEEP",COUNTIF($D$2:D797,"KEEP"),"")</f>
        <v/>
      </c>
      <c r="H797">
        <f>IF(D797="REMOVE",COUNTIF($D$2:D797,"REMOVE"),"")</f>
        <v/>
      </c>
      <c r="I797">
        <f>IF(E797="Gmail",COUNTIF($E$2:E797,"Gmail"),"")</f>
        <v/>
      </c>
      <c r="J797">
        <f>IF(E797="Outlook",COUNTIF($E$2:E797,"Outlook"),"")</f>
        <v/>
      </c>
      <c r="K797">
        <f>IF(E797="Domain",COUNTIF($E$2:E797,"Domain"),"")</f>
        <v/>
      </c>
    </row>
    <row r="798">
      <c r="A798" s="2" t="n"/>
      <c r="B798">
        <f>LOWER(TRIM(A798))</f>
        <v/>
      </c>
      <c r="C798">
        <f>IF(B798="","",IFERROR(INDEX('Bad Patterns'!$A$2:$A$120,MATCH(1,INDEX(--ISNUMBER(SEARCH('Bad Patterns'!$A$2:$A$120,B798)),0),0)),""))</f>
        <v/>
      </c>
      <c r="D798">
        <f>IF(B798="","",IF(C798&lt;&gt;"","REMOVE","KEEP"))</f>
        <v/>
      </c>
      <c r="E798">
        <f>IF(D798&lt;&gt;"KEEP","",IF(RIGHT(B798,10)="@gmail.com","Gmail",IF(OR(RIGHT(B798,12)="@outlook.com",RIGHT(B798,12)="@hotmail.com",RIGHT(B798,9)="@live.com"),"Outlook","Domain")))</f>
        <v/>
      </c>
      <c r="F798">
        <f>IF(B798="","",IFERROR(RIGHT(B798,LEN(B798)-FIND("@",B798)),""))</f>
        <v/>
      </c>
      <c r="G798">
        <f>IF(D798="KEEP",COUNTIF($D$2:D798,"KEEP"),"")</f>
        <v/>
      </c>
      <c r="H798">
        <f>IF(D798="REMOVE",COUNTIF($D$2:D798,"REMOVE"),"")</f>
        <v/>
      </c>
      <c r="I798">
        <f>IF(E798="Gmail",COUNTIF($E$2:E798,"Gmail"),"")</f>
        <v/>
      </c>
      <c r="J798">
        <f>IF(E798="Outlook",COUNTIF($E$2:E798,"Outlook"),"")</f>
        <v/>
      </c>
      <c r="K798">
        <f>IF(E798="Domain",COUNTIF($E$2:E798,"Domain"),"")</f>
        <v/>
      </c>
    </row>
    <row r="799">
      <c r="A799" s="2" t="n"/>
      <c r="B799">
        <f>LOWER(TRIM(A799))</f>
        <v/>
      </c>
      <c r="C799">
        <f>IF(B799="","",IFERROR(INDEX('Bad Patterns'!$A$2:$A$120,MATCH(1,INDEX(--ISNUMBER(SEARCH('Bad Patterns'!$A$2:$A$120,B799)),0),0)),""))</f>
        <v/>
      </c>
      <c r="D799">
        <f>IF(B799="","",IF(C799&lt;&gt;"","REMOVE","KEEP"))</f>
        <v/>
      </c>
      <c r="E799">
        <f>IF(D799&lt;&gt;"KEEP","",IF(RIGHT(B799,10)="@gmail.com","Gmail",IF(OR(RIGHT(B799,12)="@outlook.com",RIGHT(B799,12)="@hotmail.com",RIGHT(B799,9)="@live.com"),"Outlook","Domain")))</f>
        <v/>
      </c>
      <c r="F799">
        <f>IF(B799="","",IFERROR(RIGHT(B799,LEN(B799)-FIND("@",B799)),""))</f>
        <v/>
      </c>
      <c r="G799">
        <f>IF(D799="KEEP",COUNTIF($D$2:D799,"KEEP"),"")</f>
        <v/>
      </c>
      <c r="H799">
        <f>IF(D799="REMOVE",COUNTIF($D$2:D799,"REMOVE"),"")</f>
        <v/>
      </c>
      <c r="I799">
        <f>IF(E799="Gmail",COUNTIF($E$2:E799,"Gmail"),"")</f>
        <v/>
      </c>
      <c r="J799">
        <f>IF(E799="Outlook",COUNTIF($E$2:E799,"Outlook"),"")</f>
        <v/>
      </c>
      <c r="K799">
        <f>IF(E799="Domain",COUNTIF($E$2:E799,"Domain"),"")</f>
        <v/>
      </c>
    </row>
    <row r="800">
      <c r="A800" s="2" t="n"/>
      <c r="B800">
        <f>LOWER(TRIM(A800))</f>
        <v/>
      </c>
      <c r="C800">
        <f>IF(B800="","",IFERROR(INDEX('Bad Patterns'!$A$2:$A$120,MATCH(1,INDEX(--ISNUMBER(SEARCH('Bad Patterns'!$A$2:$A$120,B800)),0),0)),""))</f>
        <v/>
      </c>
      <c r="D800">
        <f>IF(B800="","",IF(C800&lt;&gt;"","REMOVE","KEEP"))</f>
        <v/>
      </c>
      <c r="E800">
        <f>IF(D800&lt;&gt;"KEEP","",IF(RIGHT(B800,10)="@gmail.com","Gmail",IF(OR(RIGHT(B800,12)="@outlook.com",RIGHT(B800,12)="@hotmail.com",RIGHT(B800,9)="@live.com"),"Outlook","Domain")))</f>
        <v/>
      </c>
      <c r="F800">
        <f>IF(B800="","",IFERROR(RIGHT(B800,LEN(B800)-FIND("@",B800)),""))</f>
        <v/>
      </c>
      <c r="G800">
        <f>IF(D800="KEEP",COUNTIF($D$2:D800,"KEEP"),"")</f>
        <v/>
      </c>
      <c r="H800">
        <f>IF(D800="REMOVE",COUNTIF($D$2:D800,"REMOVE"),"")</f>
        <v/>
      </c>
      <c r="I800">
        <f>IF(E800="Gmail",COUNTIF($E$2:E800,"Gmail"),"")</f>
        <v/>
      </c>
      <c r="J800">
        <f>IF(E800="Outlook",COUNTIF($E$2:E800,"Outlook"),"")</f>
        <v/>
      </c>
      <c r="K800">
        <f>IF(E800="Domain",COUNTIF($E$2:E800,"Domain"),"")</f>
        <v/>
      </c>
    </row>
    <row r="801">
      <c r="A801" s="2" t="n"/>
      <c r="B801">
        <f>LOWER(TRIM(A801))</f>
        <v/>
      </c>
      <c r="C801">
        <f>IF(B801="","",IFERROR(INDEX('Bad Patterns'!$A$2:$A$120,MATCH(1,INDEX(--ISNUMBER(SEARCH('Bad Patterns'!$A$2:$A$120,B801)),0),0)),""))</f>
        <v/>
      </c>
      <c r="D801">
        <f>IF(B801="","",IF(C801&lt;&gt;"","REMOVE","KEEP"))</f>
        <v/>
      </c>
      <c r="E801">
        <f>IF(D801&lt;&gt;"KEEP","",IF(RIGHT(B801,10)="@gmail.com","Gmail",IF(OR(RIGHT(B801,12)="@outlook.com",RIGHT(B801,12)="@hotmail.com",RIGHT(B801,9)="@live.com"),"Outlook","Domain")))</f>
        <v/>
      </c>
      <c r="F801">
        <f>IF(B801="","",IFERROR(RIGHT(B801,LEN(B801)-FIND("@",B801)),""))</f>
        <v/>
      </c>
      <c r="G801">
        <f>IF(D801="KEEP",COUNTIF($D$2:D801,"KEEP"),"")</f>
        <v/>
      </c>
      <c r="H801">
        <f>IF(D801="REMOVE",COUNTIF($D$2:D801,"REMOVE"),"")</f>
        <v/>
      </c>
      <c r="I801">
        <f>IF(E801="Gmail",COUNTIF($E$2:E801,"Gmail"),"")</f>
        <v/>
      </c>
      <c r="J801">
        <f>IF(E801="Outlook",COUNTIF($E$2:E801,"Outlook"),"")</f>
        <v/>
      </c>
      <c r="K801">
        <f>IF(E801="Domain",COUNTIF($E$2:E801,"Domain"),"")</f>
        <v/>
      </c>
    </row>
    <row r="802">
      <c r="A802" s="2" t="n"/>
      <c r="B802">
        <f>LOWER(TRIM(A802))</f>
        <v/>
      </c>
      <c r="C802">
        <f>IF(B802="","",IFERROR(INDEX('Bad Patterns'!$A$2:$A$120,MATCH(1,INDEX(--ISNUMBER(SEARCH('Bad Patterns'!$A$2:$A$120,B802)),0),0)),""))</f>
        <v/>
      </c>
      <c r="D802">
        <f>IF(B802="","",IF(C802&lt;&gt;"","REMOVE","KEEP"))</f>
        <v/>
      </c>
      <c r="E802">
        <f>IF(D802&lt;&gt;"KEEP","",IF(RIGHT(B802,10)="@gmail.com","Gmail",IF(OR(RIGHT(B802,12)="@outlook.com",RIGHT(B802,12)="@hotmail.com",RIGHT(B802,9)="@live.com"),"Outlook","Domain")))</f>
        <v/>
      </c>
      <c r="F802">
        <f>IF(B802="","",IFERROR(RIGHT(B802,LEN(B802)-FIND("@",B802)),""))</f>
        <v/>
      </c>
      <c r="G802">
        <f>IF(D802="KEEP",COUNTIF($D$2:D802,"KEEP"),"")</f>
        <v/>
      </c>
      <c r="H802">
        <f>IF(D802="REMOVE",COUNTIF($D$2:D802,"REMOVE"),"")</f>
        <v/>
      </c>
      <c r="I802">
        <f>IF(E802="Gmail",COUNTIF($E$2:E802,"Gmail"),"")</f>
        <v/>
      </c>
      <c r="J802">
        <f>IF(E802="Outlook",COUNTIF($E$2:E802,"Outlook"),"")</f>
        <v/>
      </c>
      <c r="K802">
        <f>IF(E802="Domain",COUNTIF($E$2:E802,"Domain"),"")</f>
        <v/>
      </c>
    </row>
    <row r="803">
      <c r="A803" s="2" t="n"/>
      <c r="B803">
        <f>LOWER(TRIM(A803))</f>
        <v/>
      </c>
      <c r="C803">
        <f>IF(B803="","",IFERROR(INDEX('Bad Patterns'!$A$2:$A$120,MATCH(1,INDEX(--ISNUMBER(SEARCH('Bad Patterns'!$A$2:$A$120,B803)),0),0)),""))</f>
        <v/>
      </c>
      <c r="D803">
        <f>IF(B803="","",IF(C803&lt;&gt;"","REMOVE","KEEP"))</f>
        <v/>
      </c>
      <c r="E803">
        <f>IF(D803&lt;&gt;"KEEP","",IF(RIGHT(B803,10)="@gmail.com","Gmail",IF(OR(RIGHT(B803,12)="@outlook.com",RIGHT(B803,12)="@hotmail.com",RIGHT(B803,9)="@live.com"),"Outlook","Domain")))</f>
        <v/>
      </c>
      <c r="F803">
        <f>IF(B803="","",IFERROR(RIGHT(B803,LEN(B803)-FIND("@",B803)),""))</f>
        <v/>
      </c>
      <c r="G803">
        <f>IF(D803="KEEP",COUNTIF($D$2:D803,"KEEP"),"")</f>
        <v/>
      </c>
      <c r="H803">
        <f>IF(D803="REMOVE",COUNTIF($D$2:D803,"REMOVE"),"")</f>
        <v/>
      </c>
      <c r="I803">
        <f>IF(E803="Gmail",COUNTIF($E$2:E803,"Gmail"),"")</f>
        <v/>
      </c>
      <c r="J803">
        <f>IF(E803="Outlook",COUNTIF($E$2:E803,"Outlook"),"")</f>
        <v/>
      </c>
      <c r="K803">
        <f>IF(E803="Domain",COUNTIF($E$2:E803,"Domain"),"")</f>
        <v/>
      </c>
    </row>
    <row r="804">
      <c r="A804" s="2" t="n"/>
      <c r="B804">
        <f>LOWER(TRIM(A804))</f>
        <v/>
      </c>
      <c r="C804">
        <f>IF(B804="","",IFERROR(INDEX('Bad Patterns'!$A$2:$A$120,MATCH(1,INDEX(--ISNUMBER(SEARCH('Bad Patterns'!$A$2:$A$120,B804)),0),0)),""))</f>
        <v/>
      </c>
      <c r="D804">
        <f>IF(B804="","",IF(C804&lt;&gt;"","REMOVE","KEEP"))</f>
        <v/>
      </c>
      <c r="E804">
        <f>IF(D804&lt;&gt;"KEEP","",IF(RIGHT(B804,10)="@gmail.com","Gmail",IF(OR(RIGHT(B804,12)="@outlook.com",RIGHT(B804,12)="@hotmail.com",RIGHT(B804,9)="@live.com"),"Outlook","Domain")))</f>
        <v/>
      </c>
      <c r="F804">
        <f>IF(B804="","",IFERROR(RIGHT(B804,LEN(B804)-FIND("@",B804)),""))</f>
        <v/>
      </c>
      <c r="G804">
        <f>IF(D804="KEEP",COUNTIF($D$2:D804,"KEEP"),"")</f>
        <v/>
      </c>
      <c r="H804">
        <f>IF(D804="REMOVE",COUNTIF($D$2:D804,"REMOVE"),"")</f>
        <v/>
      </c>
      <c r="I804">
        <f>IF(E804="Gmail",COUNTIF($E$2:E804,"Gmail"),"")</f>
        <v/>
      </c>
      <c r="J804">
        <f>IF(E804="Outlook",COUNTIF($E$2:E804,"Outlook"),"")</f>
        <v/>
      </c>
      <c r="K804">
        <f>IF(E804="Domain",COUNTIF($E$2:E804,"Domain"),"")</f>
        <v/>
      </c>
    </row>
    <row r="805">
      <c r="A805" s="2" t="n"/>
      <c r="B805">
        <f>LOWER(TRIM(A805))</f>
        <v/>
      </c>
      <c r="C805">
        <f>IF(B805="","",IFERROR(INDEX('Bad Patterns'!$A$2:$A$120,MATCH(1,INDEX(--ISNUMBER(SEARCH('Bad Patterns'!$A$2:$A$120,B805)),0),0)),""))</f>
        <v/>
      </c>
      <c r="D805">
        <f>IF(B805="","",IF(C805&lt;&gt;"","REMOVE","KEEP"))</f>
        <v/>
      </c>
      <c r="E805">
        <f>IF(D805&lt;&gt;"KEEP","",IF(RIGHT(B805,10)="@gmail.com","Gmail",IF(OR(RIGHT(B805,12)="@outlook.com",RIGHT(B805,12)="@hotmail.com",RIGHT(B805,9)="@live.com"),"Outlook","Domain")))</f>
        <v/>
      </c>
      <c r="F805">
        <f>IF(B805="","",IFERROR(RIGHT(B805,LEN(B805)-FIND("@",B805)),""))</f>
        <v/>
      </c>
      <c r="G805">
        <f>IF(D805="KEEP",COUNTIF($D$2:D805,"KEEP"),"")</f>
        <v/>
      </c>
      <c r="H805">
        <f>IF(D805="REMOVE",COUNTIF($D$2:D805,"REMOVE"),"")</f>
        <v/>
      </c>
      <c r="I805">
        <f>IF(E805="Gmail",COUNTIF($E$2:E805,"Gmail"),"")</f>
        <v/>
      </c>
      <c r="J805">
        <f>IF(E805="Outlook",COUNTIF($E$2:E805,"Outlook"),"")</f>
        <v/>
      </c>
      <c r="K805">
        <f>IF(E805="Domain",COUNTIF($E$2:E805,"Domain"),"")</f>
        <v/>
      </c>
    </row>
    <row r="806">
      <c r="A806" s="2" t="n"/>
      <c r="B806">
        <f>LOWER(TRIM(A806))</f>
        <v/>
      </c>
      <c r="C806">
        <f>IF(B806="","",IFERROR(INDEX('Bad Patterns'!$A$2:$A$120,MATCH(1,INDEX(--ISNUMBER(SEARCH('Bad Patterns'!$A$2:$A$120,B806)),0),0)),""))</f>
        <v/>
      </c>
      <c r="D806">
        <f>IF(B806="","",IF(C806&lt;&gt;"","REMOVE","KEEP"))</f>
        <v/>
      </c>
      <c r="E806">
        <f>IF(D806&lt;&gt;"KEEP","",IF(RIGHT(B806,10)="@gmail.com","Gmail",IF(OR(RIGHT(B806,12)="@outlook.com",RIGHT(B806,12)="@hotmail.com",RIGHT(B806,9)="@live.com"),"Outlook","Domain")))</f>
        <v/>
      </c>
      <c r="F806">
        <f>IF(B806="","",IFERROR(RIGHT(B806,LEN(B806)-FIND("@",B806)),""))</f>
        <v/>
      </c>
      <c r="G806">
        <f>IF(D806="KEEP",COUNTIF($D$2:D806,"KEEP"),"")</f>
        <v/>
      </c>
      <c r="H806">
        <f>IF(D806="REMOVE",COUNTIF($D$2:D806,"REMOVE"),"")</f>
        <v/>
      </c>
      <c r="I806">
        <f>IF(E806="Gmail",COUNTIF($E$2:E806,"Gmail"),"")</f>
        <v/>
      </c>
      <c r="J806">
        <f>IF(E806="Outlook",COUNTIF($E$2:E806,"Outlook"),"")</f>
        <v/>
      </c>
      <c r="K806">
        <f>IF(E806="Domain",COUNTIF($E$2:E806,"Domain"),"")</f>
        <v/>
      </c>
    </row>
    <row r="807">
      <c r="A807" s="2" t="n"/>
      <c r="B807">
        <f>LOWER(TRIM(A807))</f>
        <v/>
      </c>
      <c r="C807">
        <f>IF(B807="","",IFERROR(INDEX('Bad Patterns'!$A$2:$A$120,MATCH(1,INDEX(--ISNUMBER(SEARCH('Bad Patterns'!$A$2:$A$120,B807)),0),0)),""))</f>
        <v/>
      </c>
      <c r="D807">
        <f>IF(B807="","",IF(C807&lt;&gt;"","REMOVE","KEEP"))</f>
        <v/>
      </c>
      <c r="E807">
        <f>IF(D807&lt;&gt;"KEEP","",IF(RIGHT(B807,10)="@gmail.com","Gmail",IF(OR(RIGHT(B807,12)="@outlook.com",RIGHT(B807,12)="@hotmail.com",RIGHT(B807,9)="@live.com"),"Outlook","Domain")))</f>
        <v/>
      </c>
      <c r="F807">
        <f>IF(B807="","",IFERROR(RIGHT(B807,LEN(B807)-FIND("@",B807)),""))</f>
        <v/>
      </c>
      <c r="G807">
        <f>IF(D807="KEEP",COUNTIF($D$2:D807,"KEEP"),"")</f>
        <v/>
      </c>
      <c r="H807">
        <f>IF(D807="REMOVE",COUNTIF($D$2:D807,"REMOVE"),"")</f>
        <v/>
      </c>
      <c r="I807">
        <f>IF(E807="Gmail",COUNTIF($E$2:E807,"Gmail"),"")</f>
        <v/>
      </c>
      <c r="J807">
        <f>IF(E807="Outlook",COUNTIF($E$2:E807,"Outlook"),"")</f>
        <v/>
      </c>
      <c r="K807">
        <f>IF(E807="Domain",COUNTIF($E$2:E807,"Domain"),"")</f>
        <v/>
      </c>
    </row>
    <row r="808">
      <c r="A808" s="2" t="n"/>
      <c r="B808">
        <f>LOWER(TRIM(A808))</f>
        <v/>
      </c>
      <c r="C808">
        <f>IF(B808="","",IFERROR(INDEX('Bad Patterns'!$A$2:$A$120,MATCH(1,INDEX(--ISNUMBER(SEARCH('Bad Patterns'!$A$2:$A$120,B808)),0),0)),""))</f>
        <v/>
      </c>
      <c r="D808">
        <f>IF(B808="","",IF(C808&lt;&gt;"","REMOVE","KEEP"))</f>
        <v/>
      </c>
      <c r="E808">
        <f>IF(D808&lt;&gt;"KEEP","",IF(RIGHT(B808,10)="@gmail.com","Gmail",IF(OR(RIGHT(B808,12)="@outlook.com",RIGHT(B808,12)="@hotmail.com",RIGHT(B808,9)="@live.com"),"Outlook","Domain")))</f>
        <v/>
      </c>
      <c r="F808">
        <f>IF(B808="","",IFERROR(RIGHT(B808,LEN(B808)-FIND("@",B808)),""))</f>
        <v/>
      </c>
      <c r="G808">
        <f>IF(D808="KEEP",COUNTIF($D$2:D808,"KEEP"),"")</f>
        <v/>
      </c>
      <c r="H808">
        <f>IF(D808="REMOVE",COUNTIF($D$2:D808,"REMOVE"),"")</f>
        <v/>
      </c>
      <c r="I808">
        <f>IF(E808="Gmail",COUNTIF($E$2:E808,"Gmail"),"")</f>
        <v/>
      </c>
      <c r="J808">
        <f>IF(E808="Outlook",COUNTIF($E$2:E808,"Outlook"),"")</f>
        <v/>
      </c>
      <c r="K808">
        <f>IF(E808="Domain",COUNTIF($E$2:E808,"Domain"),"")</f>
        <v/>
      </c>
    </row>
    <row r="809">
      <c r="A809" s="2" t="n"/>
      <c r="B809">
        <f>LOWER(TRIM(A809))</f>
        <v/>
      </c>
      <c r="C809">
        <f>IF(B809="","",IFERROR(INDEX('Bad Patterns'!$A$2:$A$120,MATCH(1,INDEX(--ISNUMBER(SEARCH('Bad Patterns'!$A$2:$A$120,B809)),0),0)),""))</f>
        <v/>
      </c>
      <c r="D809">
        <f>IF(B809="","",IF(C809&lt;&gt;"","REMOVE","KEEP"))</f>
        <v/>
      </c>
      <c r="E809">
        <f>IF(D809&lt;&gt;"KEEP","",IF(RIGHT(B809,10)="@gmail.com","Gmail",IF(OR(RIGHT(B809,12)="@outlook.com",RIGHT(B809,12)="@hotmail.com",RIGHT(B809,9)="@live.com"),"Outlook","Domain")))</f>
        <v/>
      </c>
      <c r="F809">
        <f>IF(B809="","",IFERROR(RIGHT(B809,LEN(B809)-FIND("@",B809)),""))</f>
        <v/>
      </c>
      <c r="G809">
        <f>IF(D809="KEEP",COUNTIF($D$2:D809,"KEEP"),"")</f>
        <v/>
      </c>
      <c r="H809">
        <f>IF(D809="REMOVE",COUNTIF($D$2:D809,"REMOVE"),"")</f>
        <v/>
      </c>
      <c r="I809">
        <f>IF(E809="Gmail",COUNTIF($E$2:E809,"Gmail"),"")</f>
        <v/>
      </c>
      <c r="J809">
        <f>IF(E809="Outlook",COUNTIF($E$2:E809,"Outlook"),"")</f>
        <v/>
      </c>
      <c r="K809">
        <f>IF(E809="Domain",COUNTIF($E$2:E809,"Domain"),"")</f>
        <v/>
      </c>
    </row>
    <row r="810">
      <c r="A810" s="2" t="n"/>
      <c r="B810">
        <f>LOWER(TRIM(A810))</f>
        <v/>
      </c>
      <c r="C810">
        <f>IF(B810="","",IFERROR(INDEX('Bad Patterns'!$A$2:$A$120,MATCH(1,INDEX(--ISNUMBER(SEARCH('Bad Patterns'!$A$2:$A$120,B810)),0),0)),""))</f>
        <v/>
      </c>
      <c r="D810">
        <f>IF(B810="","",IF(C810&lt;&gt;"","REMOVE","KEEP"))</f>
        <v/>
      </c>
      <c r="E810">
        <f>IF(D810&lt;&gt;"KEEP","",IF(RIGHT(B810,10)="@gmail.com","Gmail",IF(OR(RIGHT(B810,12)="@outlook.com",RIGHT(B810,12)="@hotmail.com",RIGHT(B810,9)="@live.com"),"Outlook","Domain")))</f>
        <v/>
      </c>
      <c r="F810">
        <f>IF(B810="","",IFERROR(RIGHT(B810,LEN(B810)-FIND("@",B810)),""))</f>
        <v/>
      </c>
      <c r="G810">
        <f>IF(D810="KEEP",COUNTIF($D$2:D810,"KEEP"),"")</f>
        <v/>
      </c>
      <c r="H810">
        <f>IF(D810="REMOVE",COUNTIF($D$2:D810,"REMOVE"),"")</f>
        <v/>
      </c>
      <c r="I810">
        <f>IF(E810="Gmail",COUNTIF($E$2:E810,"Gmail"),"")</f>
        <v/>
      </c>
      <c r="J810">
        <f>IF(E810="Outlook",COUNTIF($E$2:E810,"Outlook"),"")</f>
        <v/>
      </c>
      <c r="K810">
        <f>IF(E810="Domain",COUNTIF($E$2:E810,"Domain"),"")</f>
        <v/>
      </c>
    </row>
    <row r="811">
      <c r="A811" s="2" t="n"/>
      <c r="B811">
        <f>LOWER(TRIM(A811))</f>
        <v/>
      </c>
      <c r="C811">
        <f>IF(B811="","",IFERROR(INDEX('Bad Patterns'!$A$2:$A$120,MATCH(1,INDEX(--ISNUMBER(SEARCH('Bad Patterns'!$A$2:$A$120,B811)),0),0)),""))</f>
        <v/>
      </c>
      <c r="D811">
        <f>IF(B811="","",IF(C811&lt;&gt;"","REMOVE","KEEP"))</f>
        <v/>
      </c>
      <c r="E811">
        <f>IF(D811&lt;&gt;"KEEP","",IF(RIGHT(B811,10)="@gmail.com","Gmail",IF(OR(RIGHT(B811,12)="@outlook.com",RIGHT(B811,12)="@hotmail.com",RIGHT(B811,9)="@live.com"),"Outlook","Domain")))</f>
        <v/>
      </c>
      <c r="F811">
        <f>IF(B811="","",IFERROR(RIGHT(B811,LEN(B811)-FIND("@",B811)),""))</f>
        <v/>
      </c>
      <c r="G811">
        <f>IF(D811="KEEP",COUNTIF($D$2:D811,"KEEP"),"")</f>
        <v/>
      </c>
      <c r="H811">
        <f>IF(D811="REMOVE",COUNTIF($D$2:D811,"REMOVE"),"")</f>
        <v/>
      </c>
      <c r="I811">
        <f>IF(E811="Gmail",COUNTIF($E$2:E811,"Gmail"),"")</f>
        <v/>
      </c>
      <c r="J811">
        <f>IF(E811="Outlook",COUNTIF($E$2:E811,"Outlook"),"")</f>
        <v/>
      </c>
      <c r="K811">
        <f>IF(E811="Domain",COUNTIF($E$2:E811,"Domain"),"")</f>
        <v/>
      </c>
    </row>
    <row r="812">
      <c r="A812" s="2" t="n"/>
      <c r="B812">
        <f>LOWER(TRIM(A812))</f>
        <v/>
      </c>
      <c r="C812">
        <f>IF(B812="","",IFERROR(INDEX('Bad Patterns'!$A$2:$A$120,MATCH(1,INDEX(--ISNUMBER(SEARCH('Bad Patterns'!$A$2:$A$120,B812)),0),0)),""))</f>
        <v/>
      </c>
      <c r="D812">
        <f>IF(B812="","",IF(C812&lt;&gt;"","REMOVE","KEEP"))</f>
        <v/>
      </c>
      <c r="E812">
        <f>IF(D812&lt;&gt;"KEEP","",IF(RIGHT(B812,10)="@gmail.com","Gmail",IF(OR(RIGHT(B812,12)="@outlook.com",RIGHT(B812,12)="@hotmail.com",RIGHT(B812,9)="@live.com"),"Outlook","Domain")))</f>
        <v/>
      </c>
      <c r="F812">
        <f>IF(B812="","",IFERROR(RIGHT(B812,LEN(B812)-FIND("@",B812)),""))</f>
        <v/>
      </c>
      <c r="G812">
        <f>IF(D812="KEEP",COUNTIF($D$2:D812,"KEEP"),"")</f>
        <v/>
      </c>
      <c r="H812">
        <f>IF(D812="REMOVE",COUNTIF($D$2:D812,"REMOVE"),"")</f>
        <v/>
      </c>
      <c r="I812">
        <f>IF(E812="Gmail",COUNTIF($E$2:E812,"Gmail"),"")</f>
        <v/>
      </c>
      <c r="J812">
        <f>IF(E812="Outlook",COUNTIF($E$2:E812,"Outlook"),"")</f>
        <v/>
      </c>
      <c r="K812">
        <f>IF(E812="Domain",COUNTIF($E$2:E812,"Domain"),"")</f>
        <v/>
      </c>
    </row>
    <row r="813">
      <c r="A813" s="2" t="n"/>
      <c r="B813">
        <f>LOWER(TRIM(A813))</f>
        <v/>
      </c>
      <c r="C813">
        <f>IF(B813="","",IFERROR(INDEX('Bad Patterns'!$A$2:$A$120,MATCH(1,INDEX(--ISNUMBER(SEARCH('Bad Patterns'!$A$2:$A$120,B813)),0),0)),""))</f>
        <v/>
      </c>
      <c r="D813">
        <f>IF(B813="","",IF(C813&lt;&gt;"","REMOVE","KEEP"))</f>
        <v/>
      </c>
      <c r="E813">
        <f>IF(D813&lt;&gt;"KEEP","",IF(RIGHT(B813,10)="@gmail.com","Gmail",IF(OR(RIGHT(B813,12)="@outlook.com",RIGHT(B813,12)="@hotmail.com",RIGHT(B813,9)="@live.com"),"Outlook","Domain")))</f>
        <v/>
      </c>
      <c r="F813">
        <f>IF(B813="","",IFERROR(RIGHT(B813,LEN(B813)-FIND("@",B813)),""))</f>
        <v/>
      </c>
      <c r="G813">
        <f>IF(D813="KEEP",COUNTIF($D$2:D813,"KEEP"),"")</f>
        <v/>
      </c>
      <c r="H813">
        <f>IF(D813="REMOVE",COUNTIF($D$2:D813,"REMOVE"),"")</f>
        <v/>
      </c>
      <c r="I813">
        <f>IF(E813="Gmail",COUNTIF($E$2:E813,"Gmail"),"")</f>
        <v/>
      </c>
      <c r="J813">
        <f>IF(E813="Outlook",COUNTIF($E$2:E813,"Outlook"),"")</f>
        <v/>
      </c>
      <c r="K813">
        <f>IF(E813="Domain",COUNTIF($E$2:E813,"Domain"),"")</f>
        <v/>
      </c>
    </row>
    <row r="814">
      <c r="A814" s="2" t="n"/>
      <c r="B814">
        <f>LOWER(TRIM(A814))</f>
        <v/>
      </c>
      <c r="C814">
        <f>IF(B814="","",IFERROR(INDEX('Bad Patterns'!$A$2:$A$120,MATCH(1,INDEX(--ISNUMBER(SEARCH('Bad Patterns'!$A$2:$A$120,B814)),0),0)),""))</f>
        <v/>
      </c>
      <c r="D814">
        <f>IF(B814="","",IF(C814&lt;&gt;"","REMOVE","KEEP"))</f>
        <v/>
      </c>
      <c r="E814">
        <f>IF(D814&lt;&gt;"KEEP","",IF(RIGHT(B814,10)="@gmail.com","Gmail",IF(OR(RIGHT(B814,12)="@outlook.com",RIGHT(B814,12)="@hotmail.com",RIGHT(B814,9)="@live.com"),"Outlook","Domain")))</f>
        <v/>
      </c>
      <c r="F814">
        <f>IF(B814="","",IFERROR(RIGHT(B814,LEN(B814)-FIND("@",B814)),""))</f>
        <v/>
      </c>
      <c r="G814">
        <f>IF(D814="KEEP",COUNTIF($D$2:D814,"KEEP"),"")</f>
        <v/>
      </c>
      <c r="H814">
        <f>IF(D814="REMOVE",COUNTIF($D$2:D814,"REMOVE"),"")</f>
        <v/>
      </c>
      <c r="I814">
        <f>IF(E814="Gmail",COUNTIF($E$2:E814,"Gmail"),"")</f>
        <v/>
      </c>
      <c r="J814">
        <f>IF(E814="Outlook",COUNTIF($E$2:E814,"Outlook"),"")</f>
        <v/>
      </c>
      <c r="K814">
        <f>IF(E814="Domain",COUNTIF($E$2:E814,"Domain"),"")</f>
        <v/>
      </c>
    </row>
    <row r="815">
      <c r="A815" s="2" t="n"/>
      <c r="B815">
        <f>LOWER(TRIM(A815))</f>
        <v/>
      </c>
      <c r="C815">
        <f>IF(B815="","",IFERROR(INDEX('Bad Patterns'!$A$2:$A$120,MATCH(1,INDEX(--ISNUMBER(SEARCH('Bad Patterns'!$A$2:$A$120,B815)),0),0)),""))</f>
        <v/>
      </c>
      <c r="D815">
        <f>IF(B815="","",IF(C815&lt;&gt;"","REMOVE","KEEP"))</f>
        <v/>
      </c>
      <c r="E815">
        <f>IF(D815&lt;&gt;"KEEP","",IF(RIGHT(B815,10)="@gmail.com","Gmail",IF(OR(RIGHT(B815,12)="@outlook.com",RIGHT(B815,12)="@hotmail.com",RIGHT(B815,9)="@live.com"),"Outlook","Domain")))</f>
        <v/>
      </c>
      <c r="F815">
        <f>IF(B815="","",IFERROR(RIGHT(B815,LEN(B815)-FIND("@",B815)),""))</f>
        <v/>
      </c>
      <c r="G815">
        <f>IF(D815="KEEP",COUNTIF($D$2:D815,"KEEP"),"")</f>
        <v/>
      </c>
      <c r="H815">
        <f>IF(D815="REMOVE",COUNTIF($D$2:D815,"REMOVE"),"")</f>
        <v/>
      </c>
      <c r="I815">
        <f>IF(E815="Gmail",COUNTIF($E$2:E815,"Gmail"),"")</f>
        <v/>
      </c>
      <c r="J815">
        <f>IF(E815="Outlook",COUNTIF($E$2:E815,"Outlook"),"")</f>
        <v/>
      </c>
      <c r="K815">
        <f>IF(E815="Domain",COUNTIF($E$2:E815,"Domain"),"")</f>
        <v/>
      </c>
    </row>
    <row r="816">
      <c r="A816" s="2" t="n"/>
      <c r="B816">
        <f>LOWER(TRIM(A816))</f>
        <v/>
      </c>
      <c r="C816">
        <f>IF(B816="","",IFERROR(INDEX('Bad Patterns'!$A$2:$A$120,MATCH(1,INDEX(--ISNUMBER(SEARCH('Bad Patterns'!$A$2:$A$120,B816)),0),0)),""))</f>
        <v/>
      </c>
      <c r="D816">
        <f>IF(B816="","",IF(C816&lt;&gt;"","REMOVE","KEEP"))</f>
        <v/>
      </c>
      <c r="E816">
        <f>IF(D816&lt;&gt;"KEEP","",IF(RIGHT(B816,10)="@gmail.com","Gmail",IF(OR(RIGHT(B816,12)="@outlook.com",RIGHT(B816,12)="@hotmail.com",RIGHT(B816,9)="@live.com"),"Outlook","Domain")))</f>
        <v/>
      </c>
      <c r="F816">
        <f>IF(B816="","",IFERROR(RIGHT(B816,LEN(B816)-FIND("@",B816)),""))</f>
        <v/>
      </c>
      <c r="G816">
        <f>IF(D816="KEEP",COUNTIF($D$2:D816,"KEEP"),"")</f>
        <v/>
      </c>
      <c r="H816">
        <f>IF(D816="REMOVE",COUNTIF($D$2:D816,"REMOVE"),"")</f>
        <v/>
      </c>
      <c r="I816">
        <f>IF(E816="Gmail",COUNTIF($E$2:E816,"Gmail"),"")</f>
        <v/>
      </c>
      <c r="J816">
        <f>IF(E816="Outlook",COUNTIF($E$2:E816,"Outlook"),"")</f>
        <v/>
      </c>
      <c r="K816">
        <f>IF(E816="Domain",COUNTIF($E$2:E816,"Domain"),"")</f>
        <v/>
      </c>
    </row>
    <row r="817">
      <c r="A817" s="2" t="n"/>
      <c r="B817">
        <f>LOWER(TRIM(A817))</f>
        <v/>
      </c>
      <c r="C817">
        <f>IF(B817="","",IFERROR(INDEX('Bad Patterns'!$A$2:$A$120,MATCH(1,INDEX(--ISNUMBER(SEARCH('Bad Patterns'!$A$2:$A$120,B817)),0),0)),""))</f>
        <v/>
      </c>
      <c r="D817">
        <f>IF(B817="","",IF(C817&lt;&gt;"","REMOVE","KEEP"))</f>
        <v/>
      </c>
      <c r="E817">
        <f>IF(D817&lt;&gt;"KEEP","",IF(RIGHT(B817,10)="@gmail.com","Gmail",IF(OR(RIGHT(B817,12)="@outlook.com",RIGHT(B817,12)="@hotmail.com",RIGHT(B817,9)="@live.com"),"Outlook","Domain")))</f>
        <v/>
      </c>
      <c r="F817">
        <f>IF(B817="","",IFERROR(RIGHT(B817,LEN(B817)-FIND("@",B817)),""))</f>
        <v/>
      </c>
      <c r="G817">
        <f>IF(D817="KEEP",COUNTIF($D$2:D817,"KEEP"),"")</f>
        <v/>
      </c>
      <c r="H817">
        <f>IF(D817="REMOVE",COUNTIF($D$2:D817,"REMOVE"),"")</f>
        <v/>
      </c>
      <c r="I817">
        <f>IF(E817="Gmail",COUNTIF($E$2:E817,"Gmail"),"")</f>
        <v/>
      </c>
      <c r="J817">
        <f>IF(E817="Outlook",COUNTIF($E$2:E817,"Outlook"),"")</f>
        <v/>
      </c>
      <c r="K817">
        <f>IF(E817="Domain",COUNTIF($E$2:E817,"Domain"),"")</f>
        <v/>
      </c>
    </row>
    <row r="818">
      <c r="A818" s="2" t="n"/>
      <c r="B818">
        <f>LOWER(TRIM(A818))</f>
        <v/>
      </c>
      <c r="C818">
        <f>IF(B818="","",IFERROR(INDEX('Bad Patterns'!$A$2:$A$120,MATCH(1,INDEX(--ISNUMBER(SEARCH('Bad Patterns'!$A$2:$A$120,B818)),0),0)),""))</f>
        <v/>
      </c>
      <c r="D818">
        <f>IF(B818="","",IF(C818&lt;&gt;"","REMOVE","KEEP"))</f>
        <v/>
      </c>
      <c r="E818">
        <f>IF(D818&lt;&gt;"KEEP","",IF(RIGHT(B818,10)="@gmail.com","Gmail",IF(OR(RIGHT(B818,12)="@outlook.com",RIGHT(B818,12)="@hotmail.com",RIGHT(B818,9)="@live.com"),"Outlook","Domain")))</f>
        <v/>
      </c>
      <c r="F818">
        <f>IF(B818="","",IFERROR(RIGHT(B818,LEN(B818)-FIND("@",B818)),""))</f>
        <v/>
      </c>
      <c r="G818">
        <f>IF(D818="KEEP",COUNTIF($D$2:D818,"KEEP"),"")</f>
        <v/>
      </c>
      <c r="H818">
        <f>IF(D818="REMOVE",COUNTIF($D$2:D818,"REMOVE"),"")</f>
        <v/>
      </c>
      <c r="I818">
        <f>IF(E818="Gmail",COUNTIF($E$2:E818,"Gmail"),"")</f>
        <v/>
      </c>
      <c r="J818">
        <f>IF(E818="Outlook",COUNTIF($E$2:E818,"Outlook"),"")</f>
        <v/>
      </c>
      <c r="K818">
        <f>IF(E818="Domain",COUNTIF($E$2:E818,"Domain"),"")</f>
        <v/>
      </c>
    </row>
    <row r="819">
      <c r="A819" s="2" t="n"/>
      <c r="B819">
        <f>LOWER(TRIM(A819))</f>
        <v/>
      </c>
      <c r="C819">
        <f>IF(B819="","",IFERROR(INDEX('Bad Patterns'!$A$2:$A$120,MATCH(1,INDEX(--ISNUMBER(SEARCH('Bad Patterns'!$A$2:$A$120,B819)),0),0)),""))</f>
        <v/>
      </c>
      <c r="D819">
        <f>IF(B819="","",IF(C819&lt;&gt;"","REMOVE","KEEP"))</f>
        <v/>
      </c>
      <c r="E819">
        <f>IF(D819&lt;&gt;"KEEP","",IF(RIGHT(B819,10)="@gmail.com","Gmail",IF(OR(RIGHT(B819,12)="@outlook.com",RIGHT(B819,12)="@hotmail.com",RIGHT(B819,9)="@live.com"),"Outlook","Domain")))</f>
        <v/>
      </c>
      <c r="F819">
        <f>IF(B819="","",IFERROR(RIGHT(B819,LEN(B819)-FIND("@",B819)),""))</f>
        <v/>
      </c>
      <c r="G819">
        <f>IF(D819="KEEP",COUNTIF($D$2:D819,"KEEP"),"")</f>
        <v/>
      </c>
      <c r="H819">
        <f>IF(D819="REMOVE",COUNTIF($D$2:D819,"REMOVE"),"")</f>
        <v/>
      </c>
      <c r="I819">
        <f>IF(E819="Gmail",COUNTIF($E$2:E819,"Gmail"),"")</f>
        <v/>
      </c>
      <c r="J819">
        <f>IF(E819="Outlook",COUNTIF($E$2:E819,"Outlook"),"")</f>
        <v/>
      </c>
      <c r="K819">
        <f>IF(E819="Domain",COUNTIF($E$2:E819,"Domain"),"")</f>
        <v/>
      </c>
    </row>
    <row r="820">
      <c r="A820" s="2" t="n"/>
      <c r="B820">
        <f>LOWER(TRIM(A820))</f>
        <v/>
      </c>
      <c r="C820">
        <f>IF(B820="","",IFERROR(INDEX('Bad Patterns'!$A$2:$A$120,MATCH(1,INDEX(--ISNUMBER(SEARCH('Bad Patterns'!$A$2:$A$120,B820)),0),0)),""))</f>
        <v/>
      </c>
      <c r="D820">
        <f>IF(B820="","",IF(C820&lt;&gt;"","REMOVE","KEEP"))</f>
        <v/>
      </c>
      <c r="E820">
        <f>IF(D820&lt;&gt;"KEEP","",IF(RIGHT(B820,10)="@gmail.com","Gmail",IF(OR(RIGHT(B820,12)="@outlook.com",RIGHT(B820,12)="@hotmail.com",RIGHT(B820,9)="@live.com"),"Outlook","Domain")))</f>
        <v/>
      </c>
      <c r="F820">
        <f>IF(B820="","",IFERROR(RIGHT(B820,LEN(B820)-FIND("@",B820)),""))</f>
        <v/>
      </c>
      <c r="G820">
        <f>IF(D820="KEEP",COUNTIF($D$2:D820,"KEEP"),"")</f>
        <v/>
      </c>
      <c r="H820">
        <f>IF(D820="REMOVE",COUNTIF($D$2:D820,"REMOVE"),"")</f>
        <v/>
      </c>
      <c r="I820">
        <f>IF(E820="Gmail",COUNTIF($E$2:E820,"Gmail"),"")</f>
        <v/>
      </c>
      <c r="J820">
        <f>IF(E820="Outlook",COUNTIF($E$2:E820,"Outlook"),"")</f>
        <v/>
      </c>
      <c r="K820">
        <f>IF(E820="Domain",COUNTIF($E$2:E820,"Domain"),"")</f>
        <v/>
      </c>
    </row>
    <row r="821">
      <c r="A821" s="2" t="n"/>
      <c r="B821">
        <f>LOWER(TRIM(A821))</f>
        <v/>
      </c>
      <c r="C821">
        <f>IF(B821="","",IFERROR(INDEX('Bad Patterns'!$A$2:$A$120,MATCH(1,INDEX(--ISNUMBER(SEARCH('Bad Patterns'!$A$2:$A$120,B821)),0),0)),""))</f>
        <v/>
      </c>
      <c r="D821">
        <f>IF(B821="","",IF(C821&lt;&gt;"","REMOVE","KEEP"))</f>
        <v/>
      </c>
      <c r="E821">
        <f>IF(D821&lt;&gt;"KEEP","",IF(RIGHT(B821,10)="@gmail.com","Gmail",IF(OR(RIGHT(B821,12)="@outlook.com",RIGHT(B821,12)="@hotmail.com",RIGHT(B821,9)="@live.com"),"Outlook","Domain")))</f>
        <v/>
      </c>
      <c r="F821">
        <f>IF(B821="","",IFERROR(RIGHT(B821,LEN(B821)-FIND("@",B821)),""))</f>
        <v/>
      </c>
      <c r="G821">
        <f>IF(D821="KEEP",COUNTIF($D$2:D821,"KEEP"),"")</f>
        <v/>
      </c>
      <c r="H821">
        <f>IF(D821="REMOVE",COUNTIF($D$2:D821,"REMOVE"),"")</f>
        <v/>
      </c>
      <c r="I821">
        <f>IF(E821="Gmail",COUNTIF($E$2:E821,"Gmail"),"")</f>
        <v/>
      </c>
      <c r="J821">
        <f>IF(E821="Outlook",COUNTIF($E$2:E821,"Outlook"),"")</f>
        <v/>
      </c>
      <c r="K821">
        <f>IF(E821="Domain",COUNTIF($E$2:E821,"Domain"),"")</f>
        <v/>
      </c>
    </row>
    <row r="822">
      <c r="A822" s="2" t="n"/>
      <c r="B822">
        <f>LOWER(TRIM(A822))</f>
        <v/>
      </c>
      <c r="C822">
        <f>IF(B822="","",IFERROR(INDEX('Bad Patterns'!$A$2:$A$120,MATCH(1,INDEX(--ISNUMBER(SEARCH('Bad Patterns'!$A$2:$A$120,B822)),0),0)),""))</f>
        <v/>
      </c>
      <c r="D822">
        <f>IF(B822="","",IF(C822&lt;&gt;"","REMOVE","KEEP"))</f>
        <v/>
      </c>
      <c r="E822">
        <f>IF(D822&lt;&gt;"KEEP","",IF(RIGHT(B822,10)="@gmail.com","Gmail",IF(OR(RIGHT(B822,12)="@outlook.com",RIGHT(B822,12)="@hotmail.com",RIGHT(B822,9)="@live.com"),"Outlook","Domain")))</f>
        <v/>
      </c>
      <c r="F822">
        <f>IF(B822="","",IFERROR(RIGHT(B822,LEN(B822)-FIND("@",B822)),""))</f>
        <v/>
      </c>
      <c r="G822">
        <f>IF(D822="KEEP",COUNTIF($D$2:D822,"KEEP"),"")</f>
        <v/>
      </c>
      <c r="H822">
        <f>IF(D822="REMOVE",COUNTIF($D$2:D822,"REMOVE"),"")</f>
        <v/>
      </c>
      <c r="I822">
        <f>IF(E822="Gmail",COUNTIF($E$2:E822,"Gmail"),"")</f>
        <v/>
      </c>
      <c r="J822">
        <f>IF(E822="Outlook",COUNTIF($E$2:E822,"Outlook"),"")</f>
        <v/>
      </c>
      <c r="K822">
        <f>IF(E822="Domain",COUNTIF($E$2:E822,"Domain"),"")</f>
        <v/>
      </c>
    </row>
    <row r="823">
      <c r="A823" s="2" t="n"/>
      <c r="B823">
        <f>LOWER(TRIM(A823))</f>
        <v/>
      </c>
      <c r="C823">
        <f>IF(B823="","",IFERROR(INDEX('Bad Patterns'!$A$2:$A$120,MATCH(1,INDEX(--ISNUMBER(SEARCH('Bad Patterns'!$A$2:$A$120,B823)),0),0)),""))</f>
        <v/>
      </c>
      <c r="D823">
        <f>IF(B823="","",IF(C823&lt;&gt;"","REMOVE","KEEP"))</f>
        <v/>
      </c>
      <c r="E823">
        <f>IF(D823&lt;&gt;"KEEP","",IF(RIGHT(B823,10)="@gmail.com","Gmail",IF(OR(RIGHT(B823,12)="@outlook.com",RIGHT(B823,12)="@hotmail.com",RIGHT(B823,9)="@live.com"),"Outlook","Domain")))</f>
        <v/>
      </c>
      <c r="F823">
        <f>IF(B823="","",IFERROR(RIGHT(B823,LEN(B823)-FIND("@",B823)),""))</f>
        <v/>
      </c>
      <c r="G823">
        <f>IF(D823="KEEP",COUNTIF($D$2:D823,"KEEP"),"")</f>
        <v/>
      </c>
      <c r="H823">
        <f>IF(D823="REMOVE",COUNTIF($D$2:D823,"REMOVE"),"")</f>
        <v/>
      </c>
      <c r="I823">
        <f>IF(E823="Gmail",COUNTIF($E$2:E823,"Gmail"),"")</f>
        <v/>
      </c>
      <c r="J823">
        <f>IF(E823="Outlook",COUNTIF($E$2:E823,"Outlook"),"")</f>
        <v/>
      </c>
      <c r="K823">
        <f>IF(E823="Domain",COUNTIF($E$2:E823,"Domain"),"")</f>
        <v/>
      </c>
    </row>
    <row r="824">
      <c r="A824" s="2" t="n"/>
      <c r="B824">
        <f>LOWER(TRIM(A824))</f>
        <v/>
      </c>
      <c r="C824">
        <f>IF(B824="","",IFERROR(INDEX('Bad Patterns'!$A$2:$A$120,MATCH(1,INDEX(--ISNUMBER(SEARCH('Bad Patterns'!$A$2:$A$120,B824)),0),0)),""))</f>
        <v/>
      </c>
      <c r="D824">
        <f>IF(B824="","",IF(C824&lt;&gt;"","REMOVE","KEEP"))</f>
        <v/>
      </c>
      <c r="E824">
        <f>IF(D824&lt;&gt;"KEEP","",IF(RIGHT(B824,10)="@gmail.com","Gmail",IF(OR(RIGHT(B824,12)="@outlook.com",RIGHT(B824,12)="@hotmail.com",RIGHT(B824,9)="@live.com"),"Outlook","Domain")))</f>
        <v/>
      </c>
      <c r="F824">
        <f>IF(B824="","",IFERROR(RIGHT(B824,LEN(B824)-FIND("@",B824)),""))</f>
        <v/>
      </c>
      <c r="G824">
        <f>IF(D824="KEEP",COUNTIF($D$2:D824,"KEEP"),"")</f>
        <v/>
      </c>
      <c r="H824">
        <f>IF(D824="REMOVE",COUNTIF($D$2:D824,"REMOVE"),"")</f>
        <v/>
      </c>
      <c r="I824">
        <f>IF(E824="Gmail",COUNTIF($E$2:E824,"Gmail"),"")</f>
        <v/>
      </c>
      <c r="J824">
        <f>IF(E824="Outlook",COUNTIF($E$2:E824,"Outlook"),"")</f>
        <v/>
      </c>
      <c r="K824">
        <f>IF(E824="Domain",COUNTIF($E$2:E824,"Domain"),"")</f>
        <v/>
      </c>
    </row>
    <row r="825">
      <c r="A825" s="2" t="n"/>
      <c r="B825">
        <f>LOWER(TRIM(A825))</f>
        <v/>
      </c>
      <c r="C825">
        <f>IF(B825="","",IFERROR(INDEX('Bad Patterns'!$A$2:$A$120,MATCH(1,INDEX(--ISNUMBER(SEARCH('Bad Patterns'!$A$2:$A$120,B825)),0),0)),""))</f>
        <v/>
      </c>
      <c r="D825">
        <f>IF(B825="","",IF(C825&lt;&gt;"","REMOVE","KEEP"))</f>
        <v/>
      </c>
      <c r="E825">
        <f>IF(D825&lt;&gt;"KEEP","",IF(RIGHT(B825,10)="@gmail.com","Gmail",IF(OR(RIGHT(B825,12)="@outlook.com",RIGHT(B825,12)="@hotmail.com",RIGHT(B825,9)="@live.com"),"Outlook","Domain")))</f>
        <v/>
      </c>
      <c r="F825">
        <f>IF(B825="","",IFERROR(RIGHT(B825,LEN(B825)-FIND("@",B825)),""))</f>
        <v/>
      </c>
      <c r="G825">
        <f>IF(D825="KEEP",COUNTIF($D$2:D825,"KEEP"),"")</f>
        <v/>
      </c>
      <c r="H825">
        <f>IF(D825="REMOVE",COUNTIF($D$2:D825,"REMOVE"),"")</f>
        <v/>
      </c>
      <c r="I825">
        <f>IF(E825="Gmail",COUNTIF($E$2:E825,"Gmail"),"")</f>
        <v/>
      </c>
      <c r="J825">
        <f>IF(E825="Outlook",COUNTIF($E$2:E825,"Outlook"),"")</f>
        <v/>
      </c>
      <c r="K825">
        <f>IF(E825="Domain",COUNTIF($E$2:E825,"Domain"),"")</f>
        <v/>
      </c>
    </row>
    <row r="826">
      <c r="A826" s="2" t="n"/>
      <c r="B826">
        <f>LOWER(TRIM(A826))</f>
        <v/>
      </c>
      <c r="C826">
        <f>IF(B826="","",IFERROR(INDEX('Bad Patterns'!$A$2:$A$120,MATCH(1,INDEX(--ISNUMBER(SEARCH('Bad Patterns'!$A$2:$A$120,B826)),0),0)),""))</f>
        <v/>
      </c>
      <c r="D826">
        <f>IF(B826="","",IF(C826&lt;&gt;"","REMOVE","KEEP"))</f>
        <v/>
      </c>
      <c r="E826">
        <f>IF(D826&lt;&gt;"KEEP","",IF(RIGHT(B826,10)="@gmail.com","Gmail",IF(OR(RIGHT(B826,12)="@outlook.com",RIGHT(B826,12)="@hotmail.com",RIGHT(B826,9)="@live.com"),"Outlook","Domain")))</f>
        <v/>
      </c>
      <c r="F826">
        <f>IF(B826="","",IFERROR(RIGHT(B826,LEN(B826)-FIND("@",B826)),""))</f>
        <v/>
      </c>
      <c r="G826">
        <f>IF(D826="KEEP",COUNTIF($D$2:D826,"KEEP"),"")</f>
        <v/>
      </c>
      <c r="H826">
        <f>IF(D826="REMOVE",COUNTIF($D$2:D826,"REMOVE"),"")</f>
        <v/>
      </c>
      <c r="I826">
        <f>IF(E826="Gmail",COUNTIF($E$2:E826,"Gmail"),"")</f>
        <v/>
      </c>
      <c r="J826">
        <f>IF(E826="Outlook",COUNTIF($E$2:E826,"Outlook"),"")</f>
        <v/>
      </c>
      <c r="K826">
        <f>IF(E826="Domain",COUNTIF($E$2:E826,"Domain"),"")</f>
        <v/>
      </c>
    </row>
    <row r="827">
      <c r="A827" s="2" t="n"/>
      <c r="B827">
        <f>LOWER(TRIM(A827))</f>
        <v/>
      </c>
      <c r="C827">
        <f>IF(B827="","",IFERROR(INDEX('Bad Patterns'!$A$2:$A$120,MATCH(1,INDEX(--ISNUMBER(SEARCH('Bad Patterns'!$A$2:$A$120,B827)),0),0)),""))</f>
        <v/>
      </c>
      <c r="D827">
        <f>IF(B827="","",IF(C827&lt;&gt;"","REMOVE","KEEP"))</f>
        <v/>
      </c>
      <c r="E827">
        <f>IF(D827&lt;&gt;"KEEP","",IF(RIGHT(B827,10)="@gmail.com","Gmail",IF(OR(RIGHT(B827,12)="@outlook.com",RIGHT(B827,12)="@hotmail.com",RIGHT(B827,9)="@live.com"),"Outlook","Domain")))</f>
        <v/>
      </c>
      <c r="F827">
        <f>IF(B827="","",IFERROR(RIGHT(B827,LEN(B827)-FIND("@",B827)),""))</f>
        <v/>
      </c>
      <c r="G827">
        <f>IF(D827="KEEP",COUNTIF($D$2:D827,"KEEP"),"")</f>
        <v/>
      </c>
      <c r="H827">
        <f>IF(D827="REMOVE",COUNTIF($D$2:D827,"REMOVE"),"")</f>
        <v/>
      </c>
      <c r="I827">
        <f>IF(E827="Gmail",COUNTIF($E$2:E827,"Gmail"),"")</f>
        <v/>
      </c>
      <c r="J827">
        <f>IF(E827="Outlook",COUNTIF($E$2:E827,"Outlook"),"")</f>
        <v/>
      </c>
      <c r="K827">
        <f>IF(E827="Domain",COUNTIF($E$2:E827,"Domain"),"")</f>
        <v/>
      </c>
    </row>
    <row r="828">
      <c r="A828" s="2" t="n"/>
      <c r="B828">
        <f>LOWER(TRIM(A828))</f>
        <v/>
      </c>
      <c r="C828">
        <f>IF(B828="","",IFERROR(INDEX('Bad Patterns'!$A$2:$A$120,MATCH(1,INDEX(--ISNUMBER(SEARCH('Bad Patterns'!$A$2:$A$120,B828)),0),0)),""))</f>
        <v/>
      </c>
      <c r="D828">
        <f>IF(B828="","",IF(C828&lt;&gt;"","REMOVE","KEEP"))</f>
        <v/>
      </c>
      <c r="E828">
        <f>IF(D828&lt;&gt;"KEEP","",IF(RIGHT(B828,10)="@gmail.com","Gmail",IF(OR(RIGHT(B828,12)="@outlook.com",RIGHT(B828,12)="@hotmail.com",RIGHT(B828,9)="@live.com"),"Outlook","Domain")))</f>
        <v/>
      </c>
      <c r="F828">
        <f>IF(B828="","",IFERROR(RIGHT(B828,LEN(B828)-FIND("@",B828)),""))</f>
        <v/>
      </c>
      <c r="G828">
        <f>IF(D828="KEEP",COUNTIF($D$2:D828,"KEEP"),"")</f>
        <v/>
      </c>
      <c r="H828">
        <f>IF(D828="REMOVE",COUNTIF($D$2:D828,"REMOVE"),"")</f>
        <v/>
      </c>
      <c r="I828">
        <f>IF(E828="Gmail",COUNTIF($E$2:E828,"Gmail"),"")</f>
        <v/>
      </c>
      <c r="J828">
        <f>IF(E828="Outlook",COUNTIF($E$2:E828,"Outlook"),"")</f>
        <v/>
      </c>
      <c r="K828">
        <f>IF(E828="Domain",COUNTIF($E$2:E828,"Domain"),"")</f>
        <v/>
      </c>
    </row>
    <row r="829">
      <c r="A829" s="2" t="n"/>
      <c r="B829">
        <f>LOWER(TRIM(A829))</f>
        <v/>
      </c>
      <c r="C829">
        <f>IF(B829="","",IFERROR(INDEX('Bad Patterns'!$A$2:$A$120,MATCH(1,INDEX(--ISNUMBER(SEARCH('Bad Patterns'!$A$2:$A$120,B829)),0),0)),""))</f>
        <v/>
      </c>
      <c r="D829">
        <f>IF(B829="","",IF(C829&lt;&gt;"","REMOVE","KEEP"))</f>
        <v/>
      </c>
      <c r="E829">
        <f>IF(D829&lt;&gt;"KEEP","",IF(RIGHT(B829,10)="@gmail.com","Gmail",IF(OR(RIGHT(B829,12)="@outlook.com",RIGHT(B829,12)="@hotmail.com",RIGHT(B829,9)="@live.com"),"Outlook","Domain")))</f>
        <v/>
      </c>
      <c r="F829">
        <f>IF(B829="","",IFERROR(RIGHT(B829,LEN(B829)-FIND("@",B829)),""))</f>
        <v/>
      </c>
      <c r="G829">
        <f>IF(D829="KEEP",COUNTIF($D$2:D829,"KEEP"),"")</f>
        <v/>
      </c>
      <c r="H829">
        <f>IF(D829="REMOVE",COUNTIF($D$2:D829,"REMOVE"),"")</f>
        <v/>
      </c>
      <c r="I829">
        <f>IF(E829="Gmail",COUNTIF($E$2:E829,"Gmail"),"")</f>
        <v/>
      </c>
      <c r="J829">
        <f>IF(E829="Outlook",COUNTIF($E$2:E829,"Outlook"),"")</f>
        <v/>
      </c>
      <c r="K829">
        <f>IF(E829="Domain",COUNTIF($E$2:E829,"Domain"),"")</f>
        <v/>
      </c>
    </row>
    <row r="830">
      <c r="A830" s="2" t="n"/>
      <c r="B830">
        <f>LOWER(TRIM(A830))</f>
        <v/>
      </c>
      <c r="C830">
        <f>IF(B830="","",IFERROR(INDEX('Bad Patterns'!$A$2:$A$120,MATCH(1,INDEX(--ISNUMBER(SEARCH('Bad Patterns'!$A$2:$A$120,B830)),0),0)),""))</f>
        <v/>
      </c>
      <c r="D830">
        <f>IF(B830="","",IF(C830&lt;&gt;"","REMOVE","KEEP"))</f>
        <v/>
      </c>
      <c r="E830">
        <f>IF(D830&lt;&gt;"KEEP","",IF(RIGHT(B830,10)="@gmail.com","Gmail",IF(OR(RIGHT(B830,12)="@outlook.com",RIGHT(B830,12)="@hotmail.com",RIGHT(B830,9)="@live.com"),"Outlook","Domain")))</f>
        <v/>
      </c>
      <c r="F830">
        <f>IF(B830="","",IFERROR(RIGHT(B830,LEN(B830)-FIND("@",B830)),""))</f>
        <v/>
      </c>
      <c r="G830">
        <f>IF(D830="KEEP",COUNTIF($D$2:D830,"KEEP"),"")</f>
        <v/>
      </c>
      <c r="H830">
        <f>IF(D830="REMOVE",COUNTIF($D$2:D830,"REMOVE"),"")</f>
        <v/>
      </c>
      <c r="I830">
        <f>IF(E830="Gmail",COUNTIF($E$2:E830,"Gmail"),"")</f>
        <v/>
      </c>
      <c r="J830">
        <f>IF(E830="Outlook",COUNTIF($E$2:E830,"Outlook"),"")</f>
        <v/>
      </c>
      <c r="K830">
        <f>IF(E830="Domain",COUNTIF($E$2:E830,"Domain"),"")</f>
        <v/>
      </c>
    </row>
    <row r="831">
      <c r="A831" s="2" t="n"/>
      <c r="B831">
        <f>LOWER(TRIM(A831))</f>
        <v/>
      </c>
      <c r="C831">
        <f>IF(B831="","",IFERROR(INDEX('Bad Patterns'!$A$2:$A$120,MATCH(1,INDEX(--ISNUMBER(SEARCH('Bad Patterns'!$A$2:$A$120,B831)),0),0)),""))</f>
        <v/>
      </c>
      <c r="D831">
        <f>IF(B831="","",IF(C831&lt;&gt;"","REMOVE","KEEP"))</f>
        <v/>
      </c>
      <c r="E831">
        <f>IF(D831&lt;&gt;"KEEP","",IF(RIGHT(B831,10)="@gmail.com","Gmail",IF(OR(RIGHT(B831,12)="@outlook.com",RIGHT(B831,12)="@hotmail.com",RIGHT(B831,9)="@live.com"),"Outlook","Domain")))</f>
        <v/>
      </c>
      <c r="F831">
        <f>IF(B831="","",IFERROR(RIGHT(B831,LEN(B831)-FIND("@",B831)),""))</f>
        <v/>
      </c>
      <c r="G831">
        <f>IF(D831="KEEP",COUNTIF($D$2:D831,"KEEP"),"")</f>
        <v/>
      </c>
      <c r="H831">
        <f>IF(D831="REMOVE",COUNTIF($D$2:D831,"REMOVE"),"")</f>
        <v/>
      </c>
      <c r="I831">
        <f>IF(E831="Gmail",COUNTIF($E$2:E831,"Gmail"),"")</f>
        <v/>
      </c>
      <c r="J831">
        <f>IF(E831="Outlook",COUNTIF($E$2:E831,"Outlook"),"")</f>
        <v/>
      </c>
      <c r="K831">
        <f>IF(E831="Domain",COUNTIF($E$2:E831,"Domain"),"")</f>
        <v/>
      </c>
    </row>
    <row r="832">
      <c r="A832" s="2" t="n"/>
      <c r="B832">
        <f>LOWER(TRIM(A832))</f>
        <v/>
      </c>
      <c r="C832">
        <f>IF(B832="","",IFERROR(INDEX('Bad Patterns'!$A$2:$A$120,MATCH(1,INDEX(--ISNUMBER(SEARCH('Bad Patterns'!$A$2:$A$120,B832)),0),0)),""))</f>
        <v/>
      </c>
      <c r="D832">
        <f>IF(B832="","",IF(C832&lt;&gt;"","REMOVE","KEEP"))</f>
        <v/>
      </c>
      <c r="E832">
        <f>IF(D832&lt;&gt;"KEEP","",IF(RIGHT(B832,10)="@gmail.com","Gmail",IF(OR(RIGHT(B832,12)="@outlook.com",RIGHT(B832,12)="@hotmail.com",RIGHT(B832,9)="@live.com"),"Outlook","Domain")))</f>
        <v/>
      </c>
      <c r="F832">
        <f>IF(B832="","",IFERROR(RIGHT(B832,LEN(B832)-FIND("@",B832)),""))</f>
        <v/>
      </c>
      <c r="G832">
        <f>IF(D832="KEEP",COUNTIF($D$2:D832,"KEEP"),"")</f>
        <v/>
      </c>
      <c r="H832">
        <f>IF(D832="REMOVE",COUNTIF($D$2:D832,"REMOVE"),"")</f>
        <v/>
      </c>
      <c r="I832">
        <f>IF(E832="Gmail",COUNTIF($E$2:E832,"Gmail"),"")</f>
        <v/>
      </c>
      <c r="J832">
        <f>IF(E832="Outlook",COUNTIF($E$2:E832,"Outlook"),"")</f>
        <v/>
      </c>
      <c r="K832">
        <f>IF(E832="Domain",COUNTIF($E$2:E832,"Domain"),"")</f>
        <v/>
      </c>
    </row>
    <row r="833">
      <c r="A833" s="2" t="n"/>
      <c r="B833">
        <f>LOWER(TRIM(A833))</f>
        <v/>
      </c>
      <c r="C833">
        <f>IF(B833="","",IFERROR(INDEX('Bad Patterns'!$A$2:$A$120,MATCH(1,INDEX(--ISNUMBER(SEARCH('Bad Patterns'!$A$2:$A$120,B833)),0),0)),""))</f>
        <v/>
      </c>
      <c r="D833">
        <f>IF(B833="","",IF(C833&lt;&gt;"","REMOVE","KEEP"))</f>
        <v/>
      </c>
      <c r="E833">
        <f>IF(D833&lt;&gt;"KEEP","",IF(RIGHT(B833,10)="@gmail.com","Gmail",IF(OR(RIGHT(B833,12)="@outlook.com",RIGHT(B833,12)="@hotmail.com",RIGHT(B833,9)="@live.com"),"Outlook","Domain")))</f>
        <v/>
      </c>
      <c r="F833">
        <f>IF(B833="","",IFERROR(RIGHT(B833,LEN(B833)-FIND("@",B833)),""))</f>
        <v/>
      </c>
      <c r="G833">
        <f>IF(D833="KEEP",COUNTIF($D$2:D833,"KEEP"),"")</f>
        <v/>
      </c>
      <c r="H833">
        <f>IF(D833="REMOVE",COUNTIF($D$2:D833,"REMOVE"),"")</f>
        <v/>
      </c>
      <c r="I833">
        <f>IF(E833="Gmail",COUNTIF($E$2:E833,"Gmail"),"")</f>
        <v/>
      </c>
      <c r="J833">
        <f>IF(E833="Outlook",COUNTIF($E$2:E833,"Outlook"),"")</f>
        <v/>
      </c>
      <c r="K833">
        <f>IF(E833="Domain",COUNTIF($E$2:E833,"Domain"),"")</f>
        <v/>
      </c>
    </row>
    <row r="834">
      <c r="A834" s="2" t="n"/>
      <c r="B834">
        <f>LOWER(TRIM(A834))</f>
        <v/>
      </c>
      <c r="C834">
        <f>IF(B834="","",IFERROR(INDEX('Bad Patterns'!$A$2:$A$120,MATCH(1,INDEX(--ISNUMBER(SEARCH('Bad Patterns'!$A$2:$A$120,B834)),0),0)),""))</f>
        <v/>
      </c>
      <c r="D834">
        <f>IF(B834="","",IF(C834&lt;&gt;"","REMOVE","KEEP"))</f>
        <v/>
      </c>
      <c r="E834">
        <f>IF(D834&lt;&gt;"KEEP","",IF(RIGHT(B834,10)="@gmail.com","Gmail",IF(OR(RIGHT(B834,12)="@outlook.com",RIGHT(B834,12)="@hotmail.com",RIGHT(B834,9)="@live.com"),"Outlook","Domain")))</f>
        <v/>
      </c>
      <c r="F834">
        <f>IF(B834="","",IFERROR(RIGHT(B834,LEN(B834)-FIND("@",B834)),""))</f>
        <v/>
      </c>
      <c r="G834">
        <f>IF(D834="KEEP",COUNTIF($D$2:D834,"KEEP"),"")</f>
        <v/>
      </c>
      <c r="H834">
        <f>IF(D834="REMOVE",COUNTIF($D$2:D834,"REMOVE"),"")</f>
        <v/>
      </c>
      <c r="I834">
        <f>IF(E834="Gmail",COUNTIF($E$2:E834,"Gmail"),"")</f>
        <v/>
      </c>
      <c r="J834">
        <f>IF(E834="Outlook",COUNTIF($E$2:E834,"Outlook"),"")</f>
        <v/>
      </c>
      <c r="K834">
        <f>IF(E834="Domain",COUNTIF($E$2:E834,"Domain"),"")</f>
        <v/>
      </c>
    </row>
    <row r="835">
      <c r="A835" s="2" t="n"/>
      <c r="B835">
        <f>LOWER(TRIM(A835))</f>
        <v/>
      </c>
      <c r="C835">
        <f>IF(B835="","",IFERROR(INDEX('Bad Patterns'!$A$2:$A$120,MATCH(1,INDEX(--ISNUMBER(SEARCH('Bad Patterns'!$A$2:$A$120,B835)),0),0)),""))</f>
        <v/>
      </c>
      <c r="D835">
        <f>IF(B835="","",IF(C835&lt;&gt;"","REMOVE","KEEP"))</f>
        <v/>
      </c>
      <c r="E835">
        <f>IF(D835&lt;&gt;"KEEP","",IF(RIGHT(B835,10)="@gmail.com","Gmail",IF(OR(RIGHT(B835,12)="@outlook.com",RIGHT(B835,12)="@hotmail.com",RIGHT(B835,9)="@live.com"),"Outlook","Domain")))</f>
        <v/>
      </c>
      <c r="F835">
        <f>IF(B835="","",IFERROR(RIGHT(B835,LEN(B835)-FIND("@",B835)),""))</f>
        <v/>
      </c>
      <c r="G835">
        <f>IF(D835="KEEP",COUNTIF($D$2:D835,"KEEP"),"")</f>
        <v/>
      </c>
      <c r="H835">
        <f>IF(D835="REMOVE",COUNTIF($D$2:D835,"REMOVE"),"")</f>
        <v/>
      </c>
      <c r="I835">
        <f>IF(E835="Gmail",COUNTIF($E$2:E835,"Gmail"),"")</f>
        <v/>
      </c>
      <c r="J835">
        <f>IF(E835="Outlook",COUNTIF($E$2:E835,"Outlook"),"")</f>
        <v/>
      </c>
      <c r="K835">
        <f>IF(E835="Domain",COUNTIF($E$2:E835,"Domain"),"")</f>
        <v/>
      </c>
    </row>
    <row r="836">
      <c r="A836" s="2" t="n"/>
      <c r="B836">
        <f>LOWER(TRIM(A836))</f>
        <v/>
      </c>
      <c r="C836">
        <f>IF(B836="","",IFERROR(INDEX('Bad Patterns'!$A$2:$A$120,MATCH(1,INDEX(--ISNUMBER(SEARCH('Bad Patterns'!$A$2:$A$120,B836)),0),0)),""))</f>
        <v/>
      </c>
      <c r="D836">
        <f>IF(B836="","",IF(C836&lt;&gt;"","REMOVE","KEEP"))</f>
        <v/>
      </c>
      <c r="E836">
        <f>IF(D836&lt;&gt;"KEEP","",IF(RIGHT(B836,10)="@gmail.com","Gmail",IF(OR(RIGHT(B836,12)="@outlook.com",RIGHT(B836,12)="@hotmail.com",RIGHT(B836,9)="@live.com"),"Outlook","Domain")))</f>
        <v/>
      </c>
      <c r="F836">
        <f>IF(B836="","",IFERROR(RIGHT(B836,LEN(B836)-FIND("@",B836)),""))</f>
        <v/>
      </c>
      <c r="G836">
        <f>IF(D836="KEEP",COUNTIF($D$2:D836,"KEEP"),"")</f>
        <v/>
      </c>
      <c r="H836">
        <f>IF(D836="REMOVE",COUNTIF($D$2:D836,"REMOVE"),"")</f>
        <v/>
      </c>
      <c r="I836">
        <f>IF(E836="Gmail",COUNTIF($E$2:E836,"Gmail"),"")</f>
        <v/>
      </c>
      <c r="J836">
        <f>IF(E836="Outlook",COUNTIF($E$2:E836,"Outlook"),"")</f>
        <v/>
      </c>
      <c r="K836">
        <f>IF(E836="Domain",COUNTIF($E$2:E836,"Domain"),"")</f>
        <v/>
      </c>
    </row>
    <row r="837">
      <c r="A837" s="2" t="n"/>
      <c r="B837">
        <f>LOWER(TRIM(A837))</f>
        <v/>
      </c>
      <c r="C837">
        <f>IF(B837="","",IFERROR(INDEX('Bad Patterns'!$A$2:$A$120,MATCH(1,INDEX(--ISNUMBER(SEARCH('Bad Patterns'!$A$2:$A$120,B837)),0),0)),""))</f>
        <v/>
      </c>
      <c r="D837">
        <f>IF(B837="","",IF(C837&lt;&gt;"","REMOVE","KEEP"))</f>
        <v/>
      </c>
      <c r="E837">
        <f>IF(D837&lt;&gt;"KEEP","",IF(RIGHT(B837,10)="@gmail.com","Gmail",IF(OR(RIGHT(B837,12)="@outlook.com",RIGHT(B837,12)="@hotmail.com",RIGHT(B837,9)="@live.com"),"Outlook","Domain")))</f>
        <v/>
      </c>
      <c r="F837">
        <f>IF(B837="","",IFERROR(RIGHT(B837,LEN(B837)-FIND("@",B837)),""))</f>
        <v/>
      </c>
      <c r="G837">
        <f>IF(D837="KEEP",COUNTIF($D$2:D837,"KEEP"),"")</f>
        <v/>
      </c>
      <c r="H837">
        <f>IF(D837="REMOVE",COUNTIF($D$2:D837,"REMOVE"),"")</f>
        <v/>
      </c>
      <c r="I837">
        <f>IF(E837="Gmail",COUNTIF($E$2:E837,"Gmail"),"")</f>
        <v/>
      </c>
      <c r="J837">
        <f>IF(E837="Outlook",COUNTIF($E$2:E837,"Outlook"),"")</f>
        <v/>
      </c>
      <c r="K837">
        <f>IF(E837="Domain",COUNTIF($E$2:E837,"Domain"),"")</f>
        <v/>
      </c>
    </row>
    <row r="838">
      <c r="A838" s="2" t="n"/>
      <c r="B838">
        <f>LOWER(TRIM(A838))</f>
        <v/>
      </c>
      <c r="C838">
        <f>IF(B838="","",IFERROR(INDEX('Bad Patterns'!$A$2:$A$120,MATCH(1,INDEX(--ISNUMBER(SEARCH('Bad Patterns'!$A$2:$A$120,B838)),0),0)),""))</f>
        <v/>
      </c>
      <c r="D838">
        <f>IF(B838="","",IF(C838&lt;&gt;"","REMOVE","KEEP"))</f>
        <v/>
      </c>
      <c r="E838">
        <f>IF(D838&lt;&gt;"KEEP","",IF(RIGHT(B838,10)="@gmail.com","Gmail",IF(OR(RIGHT(B838,12)="@outlook.com",RIGHT(B838,12)="@hotmail.com",RIGHT(B838,9)="@live.com"),"Outlook","Domain")))</f>
        <v/>
      </c>
      <c r="F838">
        <f>IF(B838="","",IFERROR(RIGHT(B838,LEN(B838)-FIND("@",B838)),""))</f>
        <v/>
      </c>
      <c r="G838">
        <f>IF(D838="KEEP",COUNTIF($D$2:D838,"KEEP"),"")</f>
        <v/>
      </c>
      <c r="H838">
        <f>IF(D838="REMOVE",COUNTIF($D$2:D838,"REMOVE"),"")</f>
        <v/>
      </c>
      <c r="I838">
        <f>IF(E838="Gmail",COUNTIF($E$2:E838,"Gmail"),"")</f>
        <v/>
      </c>
      <c r="J838">
        <f>IF(E838="Outlook",COUNTIF($E$2:E838,"Outlook"),"")</f>
        <v/>
      </c>
      <c r="K838">
        <f>IF(E838="Domain",COUNTIF($E$2:E838,"Domain"),"")</f>
        <v/>
      </c>
    </row>
    <row r="839">
      <c r="A839" s="2" t="n"/>
      <c r="B839">
        <f>LOWER(TRIM(A839))</f>
        <v/>
      </c>
      <c r="C839">
        <f>IF(B839="","",IFERROR(INDEX('Bad Patterns'!$A$2:$A$120,MATCH(1,INDEX(--ISNUMBER(SEARCH('Bad Patterns'!$A$2:$A$120,B839)),0),0)),""))</f>
        <v/>
      </c>
      <c r="D839">
        <f>IF(B839="","",IF(C839&lt;&gt;"","REMOVE","KEEP"))</f>
        <v/>
      </c>
      <c r="E839">
        <f>IF(D839&lt;&gt;"KEEP","",IF(RIGHT(B839,10)="@gmail.com","Gmail",IF(OR(RIGHT(B839,12)="@outlook.com",RIGHT(B839,12)="@hotmail.com",RIGHT(B839,9)="@live.com"),"Outlook","Domain")))</f>
        <v/>
      </c>
      <c r="F839">
        <f>IF(B839="","",IFERROR(RIGHT(B839,LEN(B839)-FIND("@",B839)),""))</f>
        <v/>
      </c>
      <c r="G839">
        <f>IF(D839="KEEP",COUNTIF($D$2:D839,"KEEP"),"")</f>
        <v/>
      </c>
      <c r="H839">
        <f>IF(D839="REMOVE",COUNTIF($D$2:D839,"REMOVE"),"")</f>
        <v/>
      </c>
      <c r="I839">
        <f>IF(E839="Gmail",COUNTIF($E$2:E839,"Gmail"),"")</f>
        <v/>
      </c>
      <c r="J839">
        <f>IF(E839="Outlook",COUNTIF($E$2:E839,"Outlook"),"")</f>
        <v/>
      </c>
      <c r="K839">
        <f>IF(E839="Domain",COUNTIF($E$2:E839,"Domain"),"")</f>
        <v/>
      </c>
    </row>
    <row r="840">
      <c r="A840" s="2" t="n"/>
      <c r="B840">
        <f>LOWER(TRIM(A840))</f>
        <v/>
      </c>
      <c r="C840">
        <f>IF(B840="","",IFERROR(INDEX('Bad Patterns'!$A$2:$A$120,MATCH(1,INDEX(--ISNUMBER(SEARCH('Bad Patterns'!$A$2:$A$120,B840)),0),0)),""))</f>
        <v/>
      </c>
      <c r="D840">
        <f>IF(B840="","",IF(C840&lt;&gt;"","REMOVE","KEEP"))</f>
        <v/>
      </c>
      <c r="E840">
        <f>IF(D840&lt;&gt;"KEEP","",IF(RIGHT(B840,10)="@gmail.com","Gmail",IF(OR(RIGHT(B840,12)="@outlook.com",RIGHT(B840,12)="@hotmail.com",RIGHT(B840,9)="@live.com"),"Outlook","Domain")))</f>
        <v/>
      </c>
      <c r="F840">
        <f>IF(B840="","",IFERROR(RIGHT(B840,LEN(B840)-FIND("@",B840)),""))</f>
        <v/>
      </c>
      <c r="G840">
        <f>IF(D840="KEEP",COUNTIF($D$2:D840,"KEEP"),"")</f>
        <v/>
      </c>
      <c r="H840">
        <f>IF(D840="REMOVE",COUNTIF($D$2:D840,"REMOVE"),"")</f>
        <v/>
      </c>
      <c r="I840">
        <f>IF(E840="Gmail",COUNTIF($E$2:E840,"Gmail"),"")</f>
        <v/>
      </c>
      <c r="J840">
        <f>IF(E840="Outlook",COUNTIF($E$2:E840,"Outlook"),"")</f>
        <v/>
      </c>
      <c r="K840">
        <f>IF(E840="Domain",COUNTIF($E$2:E840,"Domain"),"")</f>
        <v/>
      </c>
    </row>
    <row r="841">
      <c r="A841" s="2" t="n"/>
      <c r="B841">
        <f>LOWER(TRIM(A841))</f>
        <v/>
      </c>
      <c r="C841">
        <f>IF(B841="","",IFERROR(INDEX('Bad Patterns'!$A$2:$A$120,MATCH(1,INDEX(--ISNUMBER(SEARCH('Bad Patterns'!$A$2:$A$120,B841)),0),0)),""))</f>
        <v/>
      </c>
      <c r="D841">
        <f>IF(B841="","",IF(C841&lt;&gt;"","REMOVE","KEEP"))</f>
        <v/>
      </c>
      <c r="E841">
        <f>IF(D841&lt;&gt;"KEEP","",IF(RIGHT(B841,10)="@gmail.com","Gmail",IF(OR(RIGHT(B841,12)="@outlook.com",RIGHT(B841,12)="@hotmail.com",RIGHT(B841,9)="@live.com"),"Outlook","Domain")))</f>
        <v/>
      </c>
      <c r="F841">
        <f>IF(B841="","",IFERROR(RIGHT(B841,LEN(B841)-FIND("@",B841)),""))</f>
        <v/>
      </c>
      <c r="G841">
        <f>IF(D841="KEEP",COUNTIF($D$2:D841,"KEEP"),"")</f>
        <v/>
      </c>
      <c r="H841">
        <f>IF(D841="REMOVE",COUNTIF($D$2:D841,"REMOVE"),"")</f>
        <v/>
      </c>
      <c r="I841">
        <f>IF(E841="Gmail",COUNTIF($E$2:E841,"Gmail"),"")</f>
        <v/>
      </c>
      <c r="J841">
        <f>IF(E841="Outlook",COUNTIF($E$2:E841,"Outlook"),"")</f>
        <v/>
      </c>
      <c r="K841">
        <f>IF(E841="Domain",COUNTIF($E$2:E841,"Domain"),"")</f>
        <v/>
      </c>
    </row>
    <row r="842">
      <c r="A842" s="2" t="n"/>
      <c r="B842">
        <f>LOWER(TRIM(A842))</f>
        <v/>
      </c>
      <c r="C842">
        <f>IF(B842="","",IFERROR(INDEX('Bad Patterns'!$A$2:$A$120,MATCH(1,INDEX(--ISNUMBER(SEARCH('Bad Patterns'!$A$2:$A$120,B842)),0),0)),""))</f>
        <v/>
      </c>
      <c r="D842">
        <f>IF(B842="","",IF(C842&lt;&gt;"","REMOVE","KEEP"))</f>
        <v/>
      </c>
      <c r="E842">
        <f>IF(D842&lt;&gt;"KEEP","",IF(RIGHT(B842,10)="@gmail.com","Gmail",IF(OR(RIGHT(B842,12)="@outlook.com",RIGHT(B842,12)="@hotmail.com",RIGHT(B842,9)="@live.com"),"Outlook","Domain")))</f>
        <v/>
      </c>
      <c r="F842">
        <f>IF(B842="","",IFERROR(RIGHT(B842,LEN(B842)-FIND("@",B842)),""))</f>
        <v/>
      </c>
      <c r="G842">
        <f>IF(D842="KEEP",COUNTIF($D$2:D842,"KEEP"),"")</f>
        <v/>
      </c>
      <c r="H842">
        <f>IF(D842="REMOVE",COUNTIF($D$2:D842,"REMOVE"),"")</f>
        <v/>
      </c>
      <c r="I842">
        <f>IF(E842="Gmail",COUNTIF($E$2:E842,"Gmail"),"")</f>
        <v/>
      </c>
      <c r="J842">
        <f>IF(E842="Outlook",COUNTIF($E$2:E842,"Outlook"),"")</f>
        <v/>
      </c>
      <c r="K842">
        <f>IF(E842="Domain",COUNTIF($E$2:E842,"Domain"),"")</f>
        <v/>
      </c>
    </row>
    <row r="843">
      <c r="A843" s="2" t="n"/>
      <c r="B843">
        <f>LOWER(TRIM(A843))</f>
        <v/>
      </c>
      <c r="C843">
        <f>IF(B843="","",IFERROR(INDEX('Bad Patterns'!$A$2:$A$120,MATCH(1,INDEX(--ISNUMBER(SEARCH('Bad Patterns'!$A$2:$A$120,B843)),0),0)),""))</f>
        <v/>
      </c>
      <c r="D843">
        <f>IF(B843="","",IF(C843&lt;&gt;"","REMOVE","KEEP"))</f>
        <v/>
      </c>
      <c r="E843">
        <f>IF(D843&lt;&gt;"KEEP","",IF(RIGHT(B843,10)="@gmail.com","Gmail",IF(OR(RIGHT(B843,12)="@outlook.com",RIGHT(B843,12)="@hotmail.com",RIGHT(B843,9)="@live.com"),"Outlook","Domain")))</f>
        <v/>
      </c>
      <c r="F843">
        <f>IF(B843="","",IFERROR(RIGHT(B843,LEN(B843)-FIND("@",B843)),""))</f>
        <v/>
      </c>
      <c r="G843">
        <f>IF(D843="KEEP",COUNTIF($D$2:D843,"KEEP"),"")</f>
        <v/>
      </c>
      <c r="H843">
        <f>IF(D843="REMOVE",COUNTIF($D$2:D843,"REMOVE"),"")</f>
        <v/>
      </c>
      <c r="I843">
        <f>IF(E843="Gmail",COUNTIF($E$2:E843,"Gmail"),"")</f>
        <v/>
      </c>
      <c r="J843">
        <f>IF(E843="Outlook",COUNTIF($E$2:E843,"Outlook"),"")</f>
        <v/>
      </c>
      <c r="K843">
        <f>IF(E843="Domain",COUNTIF($E$2:E843,"Domain"),"")</f>
        <v/>
      </c>
    </row>
    <row r="844">
      <c r="A844" s="2" t="n"/>
      <c r="B844">
        <f>LOWER(TRIM(A844))</f>
        <v/>
      </c>
      <c r="C844">
        <f>IF(B844="","",IFERROR(INDEX('Bad Patterns'!$A$2:$A$120,MATCH(1,INDEX(--ISNUMBER(SEARCH('Bad Patterns'!$A$2:$A$120,B844)),0),0)),""))</f>
        <v/>
      </c>
      <c r="D844">
        <f>IF(B844="","",IF(C844&lt;&gt;"","REMOVE","KEEP"))</f>
        <v/>
      </c>
      <c r="E844">
        <f>IF(D844&lt;&gt;"KEEP","",IF(RIGHT(B844,10)="@gmail.com","Gmail",IF(OR(RIGHT(B844,12)="@outlook.com",RIGHT(B844,12)="@hotmail.com",RIGHT(B844,9)="@live.com"),"Outlook","Domain")))</f>
        <v/>
      </c>
      <c r="F844">
        <f>IF(B844="","",IFERROR(RIGHT(B844,LEN(B844)-FIND("@",B844)),""))</f>
        <v/>
      </c>
      <c r="G844">
        <f>IF(D844="KEEP",COUNTIF($D$2:D844,"KEEP"),"")</f>
        <v/>
      </c>
      <c r="H844">
        <f>IF(D844="REMOVE",COUNTIF($D$2:D844,"REMOVE"),"")</f>
        <v/>
      </c>
      <c r="I844">
        <f>IF(E844="Gmail",COUNTIF($E$2:E844,"Gmail"),"")</f>
        <v/>
      </c>
      <c r="J844">
        <f>IF(E844="Outlook",COUNTIF($E$2:E844,"Outlook"),"")</f>
        <v/>
      </c>
      <c r="K844">
        <f>IF(E844="Domain",COUNTIF($E$2:E844,"Domain"),"")</f>
        <v/>
      </c>
    </row>
    <row r="845">
      <c r="A845" s="2" t="n"/>
      <c r="B845">
        <f>LOWER(TRIM(A845))</f>
        <v/>
      </c>
      <c r="C845">
        <f>IF(B845="","",IFERROR(INDEX('Bad Patterns'!$A$2:$A$120,MATCH(1,INDEX(--ISNUMBER(SEARCH('Bad Patterns'!$A$2:$A$120,B845)),0),0)),""))</f>
        <v/>
      </c>
      <c r="D845">
        <f>IF(B845="","",IF(C845&lt;&gt;"","REMOVE","KEEP"))</f>
        <v/>
      </c>
      <c r="E845">
        <f>IF(D845&lt;&gt;"KEEP","",IF(RIGHT(B845,10)="@gmail.com","Gmail",IF(OR(RIGHT(B845,12)="@outlook.com",RIGHT(B845,12)="@hotmail.com",RIGHT(B845,9)="@live.com"),"Outlook","Domain")))</f>
        <v/>
      </c>
      <c r="F845">
        <f>IF(B845="","",IFERROR(RIGHT(B845,LEN(B845)-FIND("@",B845)),""))</f>
        <v/>
      </c>
      <c r="G845">
        <f>IF(D845="KEEP",COUNTIF($D$2:D845,"KEEP"),"")</f>
        <v/>
      </c>
      <c r="H845">
        <f>IF(D845="REMOVE",COUNTIF($D$2:D845,"REMOVE"),"")</f>
        <v/>
      </c>
      <c r="I845">
        <f>IF(E845="Gmail",COUNTIF($E$2:E845,"Gmail"),"")</f>
        <v/>
      </c>
      <c r="J845">
        <f>IF(E845="Outlook",COUNTIF($E$2:E845,"Outlook"),"")</f>
        <v/>
      </c>
      <c r="K845">
        <f>IF(E845="Domain",COUNTIF($E$2:E845,"Domain"),"")</f>
        <v/>
      </c>
    </row>
    <row r="846">
      <c r="A846" s="2" t="n"/>
      <c r="B846">
        <f>LOWER(TRIM(A846))</f>
        <v/>
      </c>
      <c r="C846">
        <f>IF(B846="","",IFERROR(INDEX('Bad Patterns'!$A$2:$A$120,MATCH(1,INDEX(--ISNUMBER(SEARCH('Bad Patterns'!$A$2:$A$120,B846)),0),0)),""))</f>
        <v/>
      </c>
      <c r="D846">
        <f>IF(B846="","",IF(C846&lt;&gt;"","REMOVE","KEEP"))</f>
        <v/>
      </c>
      <c r="E846">
        <f>IF(D846&lt;&gt;"KEEP","",IF(RIGHT(B846,10)="@gmail.com","Gmail",IF(OR(RIGHT(B846,12)="@outlook.com",RIGHT(B846,12)="@hotmail.com",RIGHT(B846,9)="@live.com"),"Outlook","Domain")))</f>
        <v/>
      </c>
      <c r="F846">
        <f>IF(B846="","",IFERROR(RIGHT(B846,LEN(B846)-FIND("@",B846)),""))</f>
        <v/>
      </c>
      <c r="G846">
        <f>IF(D846="KEEP",COUNTIF($D$2:D846,"KEEP"),"")</f>
        <v/>
      </c>
      <c r="H846">
        <f>IF(D846="REMOVE",COUNTIF($D$2:D846,"REMOVE"),"")</f>
        <v/>
      </c>
      <c r="I846">
        <f>IF(E846="Gmail",COUNTIF($E$2:E846,"Gmail"),"")</f>
        <v/>
      </c>
      <c r="J846">
        <f>IF(E846="Outlook",COUNTIF($E$2:E846,"Outlook"),"")</f>
        <v/>
      </c>
      <c r="K846">
        <f>IF(E846="Domain",COUNTIF($E$2:E846,"Domain"),"")</f>
        <v/>
      </c>
    </row>
    <row r="847">
      <c r="A847" s="2" t="n"/>
      <c r="B847">
        <f>LOWER(TRIM(A847))</f>
        <v/>
      </c>
      <c r="C847">
        <f>IF(B847="","",IFERROR(INDEX('Bad Patterns'!$A$2:$A$120,MATCH(1,INDEX(--ISNUMBER(SEARCH('Bad Patterns'!$A$2:$A$120,B847)),0),0)),""))</f>
        <v/>
      </c>
      <c r="D847">
        <f>IF(B847="","",IF(C847&lt;&gt;"","REMOVE","KEEP"))</f>
        <v/>
      </c>
      <c r="E847">
        <f>IF(D847&lt;&gt;"KEEP","",IF(RIGHT(B847,10)="@gmail.com","Gmail",IF(OR(RIGHT(B847,12)="@outlook.com",RIGHT(B847,12)="@hotmail.com",RIGHT(B847,9)="@live.com"),"Outlook","Domain")))</f>
        <v/>
      </c>
      <c r="F847">
        <f>IF(B847="","",IFERROR(RIGHT(B847,LEN(B847)-FIND("@",B847)),""))</f>
        <v/>
      </c>
      <c r="G847">
        <f>IF(D847="KEEP",COUNTIF($D$2:D847,"KEEP"),"")</f>
        <v/>
      </c>
      <c r="H847">
        <f>IF(D847="REMOVE",COUNTIF($D$2:D847,"REMOVE"),"")</f>
        <v/>
      </c>
      <c r="I847">
        <f>IF(E847="Gmail",COUNTIF($E$2:E847,"Gmail"),"")</f>
        <v/>
      </c>
      <c r="J847">
        <f>IF(E847="Outlook",COUNTIF($E$2:E847,"Outlook"),"")</f>
        <v/>
      </c>
      <c r="K847">
        <f>IF(E847="Domain",COUNTIF($E$2:E847,"Domain"),"")</f>
        <v/>
      </c>
    </row>
    <row r="848">
      <c r="A848" s="2" t="n"/>
      <c r="B848">
        <f>LOWER(TRIM(A848))</f>
        <v/>
      </c>
      <c r="C848">
        <f>IF(B848="","",IFERROR(INDEX('Bad Patterns'!$A$2:$A$120,MATCH(1,INDEX(--ISNUMBER(SEARCH('Bad Patterns'!$A$2:$A$120,B848)),0),0)),""))</f>
        <v/>
      </c>
      <c r="D848">
        <f>IF(B848="","",IF(C848&lt;&gt;"","REMOVE","KEEP"))</f>
        <v/>
      </c>
      <c r="E848">
        <f>IF(D848&lt;&gt;"KEEP","",IF(RIGHT(B848,10)="@gmail.com","Gmail",IF(OR(RIGHT(B848,12)="@outlook.com",RIGHT(B848,12)="@hotmail.com",RIGHT(B848,9)="@live.com"),"Outlook","Domain")))</f>
        <v/>
      </c>
      <c r="F848">
        <f>IF(B848="","",IFERROR(RIGHT(B848,LEN(B848)-FIND("@",B848)),""))</f>
        <v/>
      </c>
      <c r="G848">
        <f>IF(D848="KEEP",COUNTIF($D$2:D848,"KEEP"),"")</f>
        <v/>
      </c>
      <c r="H848">
        <f>IF(D848="REMOVE",COUNTIF($D$2:D848,"REMOVE"),"")</f>
        <v/>
      </c>
      <c r="I848">
        <f>IF(E848="Gmail",COUNTIF($E$2:E848,"Gmail"),"")</f>
        <v/>
      </c>
      <c r="J848">
        <f>IF(E848="Outlook",COUNTIF($E$2:E848,"Outlook"),"")</f>
        <v/>
      </c>
      <c r="K848">
        <f>IF(E848="Domain",COUNTIF($E$2:E848,"Domain"),"")</f>
        <v/>
      </c>
    </row>
    <row r="849">
      <c r="A849" s="2" t="n"/>
      <c r="B849">
        <f>LOWER(TRIM(A849))</f>
        <v/>
      </c>
      <c r="C849">
        <f>IF(B849="","",IFERROR(INDEX('Bad Patterns'!$A$2:$A$120,MATCH(1,INDEX(--ISNUMBER(SEARCH('Bad Patterns'!$A$2:$A$120,B849)),0),0)),""))</f>
        <v/>
      </c>
      <c r="D849">
        <f>IF(B849="","",IF(C849&lt;&gt;"","REMOVE","KEEP"))</f>
        <v/>
      </c>
      <c r="E849">
        <f>IF(D849&lt;&gt;"KEEP","",IF(RIGHT(B849,10)="@gmail.com","Gmail",IF(OR(RIGHT(B849,12)="@outlook.com",RIGHT(B849,12)="@hotmail.com",RIGHT(B849,9)="@live.com"),"Outlook","Domain")))</f>
        <v/>
      </c>
      <c r="F849">
        <f>IF(B849="","",IFERROR(RIGHT(B849,LEN(B849)-FIND("@",B849)),""))</f>
        <v/>
      </c>
      <c r="G849">
        <f>IF(D849="KEEP",COUNTIF($D$2:D849,"KEEP"),"")</f>
        <v/>
      </c>
      <c r="H849">
        <f>IF(D849="REMOVE",COUNTIF($D$2:D849,"REMOVE"),"")</f>
        <v/>
      </c>
      <c r="I849">
        <f>IF(E849="Gmail",COUNTIF($E$2:E849,"Gmail"),"")</f>
        <v/>
      </c>
      <c r="J849">
        <f>IF(E849="Outlook",COUNTIF($E$2:E849,"Outlook"),"")</f>
        <v/>
      </c>
      <c r="K849">
        <f>IF(E849="Domain",COUNTIF($E$2:E849,"Domain"),"")</f>
        <v/>
      </c>
    </row>
    <row r="850">
      <c r="A850" s="2" t="n"/>
      <c r="B850">
        <f>LOWER(TRIM(A850))</f>
        <v/>
      </c>
      <c r="C850">
        <f>IF(B850="","",IFERROR(INDEX('Bad Patterns'!$A$2:$A$120,MATCH(1,INDEX(--ISNUMBER(SEARCH('Bad Patterns'!$A$2:$A$120,B850)),0),0)),""))</f>
        <v/>
      </c>
      <c r="D850">
        <f>IF(B850="","",IF(C850&lt;&gt;"","REMOVE","KEEP"))</f>
        <v/>
      </c>
      <c r="E850">
        <f>IF(D850&lt;&gt;"KEEP","",IF(RIGHT(B850,10)="@gmail.com","Gmail",IF(OR(RIGHT(B850,12)="@outlook.com",RIGHT(B850,12)="@hotmail.com",RIGHT(B850,9)="@live.com"),"Outlook","Domain")))</f>
        <v/>
      </c>
      <c r="F850">
        <f>IF(B850="","",IFERROR(RIGHT(B850,LEN(B850)-FIND("@",B850)),""))</f>
        <v/>
      </c>
      <c r="G850">
        <f>IF(D850="KEEP",COUNTIF($D$2:D850,"KEEP"),"")</f>
        <v/>
      </c>
      <c r="H850">
        <f>IF(D850="REMOVE",COUNTIF($D$2:D850,"REMOVE"),"")</f>
        <v/>
      </c>
      <c r="I850">
        <f>IF(E850="Gmail",COUNTIF($E$2:E850,"Gmail"),"")</f>
        <v/>
      </c>
      <c r="J850">
        <f>IF(E850="Outlook",COUNTIF($E$2:E850,"Outlook"),"")</f>
        <v/>
      </c>
      <c r="K850">
        <f>IF(E850="Domain",COUNTIF($E$2:E850,"Domain"),"")</f>
        <v/>
      </c>
    </row>
    <row r="851">
      <c r="A851" s="2" t="n"/>
      <c r="B851">
        <f>LOWER(TRIM(A851))</f>
        <v/>
      </c>
      <c r="C851">
        <f>IF(B851="","",IFERROR(INDEX('Bad Patterns'!$A$2:$A$120,MATCH(1,INDEX(--ISNUMBER(SEARCH('Bad Patterns'!$A$2:$A$120,B851)),0),0)),""))</f>
        <v/>
      </c>
      <c r="D851">
        <f>IF(B851="","",IF(C851&lt;&gt;"","REMOVE","KEEP"))</f>
        <v/>
      </c>
      <c r="E851">
        <f>IF(D851&lt;&gt;"KEEP","",IF(RIGHT(B851,10)="@gmail.com","Gmail",IF(OR(RIGHT(B851,12)="@outlook.com",RIGHT(B851,12)="@hotmail.com",RIGHT(B851,9)="@live.com"),"Outlook","Domain")))</f>
        <v/>
      </c>
      <c r="F851">
        <f>IF(B851="","",IFERROR(RIGHT(B851,LEN(B851)-FIND("@",B851)),""))</f>
        <v/>
      </c>
      <c r="G851">
        <f>IF(D851="KEEP",COUNTIF($D$2:D851,"KEEP"),"")</f>
        <v/>
      </c>
      <c r="H851">
        <f>IF(D851="REMOVE",COUNTIF($D$2:D851,"REMOVE"),"")</f>
        <v/>
      </c>
      <c r="I851">
        <f>IF(E851="Gmail",COUNTIF($E$2:E851,"Gmail"),"")</f>
        <v/>
      </c>
      <c r="J851">
        <f>IF(E851="Outlook",COUNTIF($E$2:E851,"Outlook"),"")</f>
        <v/>
      </c>
      <c r="K851">
        <f>IF(E851="Domain",COUNTIF($E$2:E851,"Domain"),"")</f>
        <v/>
      </c>
    </row>
    <row r="852">
      <c r="A852" s="2" t="n"/>
      <c r="B852">
        <f>LOWER(TRIM(A852))</f>
        <v/>
      </c>
      <c r="C852">
        <f>IF(B852="","",IFERROR(INDEX('Bad Patterns'!$A$2:$A$120,MATCH(1,INDEX(--ISNUMBER(SEARCH('Bad Patterns'!$A$2:$A$120,B852)),0),0)),""))</f>
        <v/>
      </c>
      <c r="D852">
        <f>IF(B852="","",IF(C852&lt;&gt;"","REMOVE","KEEP"))</f>
        <v/>
      </c>
      <c r="E852">
        <f>IF(D852&lt;&gt;"KEEP","",IF(RIGHT(B852,10)="@gmail.com","Gmail",IF(OR(RIGHT(B852,12)="@outlook.com",RIGHT(B852,12)="@hotmail.com",RIGHT(B852,9)="@live.com"),"Outlook","Domain")))</f>
        <v/>
      </c>
      <c r="F852">
        <f>IF(B852="","",IFERROR(RIGHT(B852,LEN(B852)-FIND("@",B852)),""))</f>
        <v/>
      </c>
      <c r="G852">
        <f>IF(D852="KEEP",COUNTIF($D$2:D852,"KEEP"),"")</f>
        <v/>
      </c>
      <c r="H852">
        <f>IF(D852="REMOVE",COUNTIF($D$2:D852,"REMOVE"),"")</f>
        <v/>
      </c>
      <c r="I852">
        <f>IF(E852="Gmail",COUNTIF($E$2:E852,"Gmail"),"")</f>
        <v/>
      </c>
      <c r="J852">
        <f>IF(E852="Outlook",COUNTIF($E$2:E852,"Outlook"),"")</f>
        <v/>
      </c>
      <c r="K852">
        <f>IF(E852="Domain",COUNTIF($E$2:E852,"Domain"),"")</f>
        <v/>
      </c>
    </row>
    <row r="853">
      <c r="A853" s="2" t="n"/>
      <c r="B853">
        <f>LOWER(TRIM(A853))</f>
        <v/>
      </c>
      <c r="C853">
        <f>IF(B853="","",IFERROR(INDEX('Bad Patterns'!$A$2:$A$120,MATCH(1,INDEX(--ISNUMBER(SEARCH('Bad Patterns'!$A$2:$A$120,B853)),0),0)),""))</f>
        <v/>
      </c>
      <c r="D853">
        <f>IF(B853="","",IF(C853&lt;&gt;"","REMOVE","KEEP"))</f>
        <v/>
      </c>
      <c r="E853">
        <f>IF(D853&lt;&gt;"KEEP","",IF(RIGHT(B853,10)="@gmail.com","Gmail",IF(OR(RIGHT(B853,12)="@outlook.com",RIGHT(B853,12)="@hotmail.com",RIGHT(B853,9)="@live.com"),"Outlook","Domain")))</f>
        <v/>
      </c>
      <c r="F853">
        <f>IF(B853="","",IFERROR(RIGHT(B853,LEN(B853)-FIND("@",B853)),""))</f>
        <v/>
      </c>
      <c r="G853">
        <f>IF(D853="KEEP",COUNTIF($D$2:D853,"KEEP"),"")</f>
        <v/>
      </c>
      <c r="H853">
        <f>IF(D853="REMOVE",COUNTIF($D$2:D853,"REMOVE"),"")</f>
        <v/>
      </c>
      <c r="I853">
        <f>IF(E853="Gmail",COUNTIF($E$2:E853,"Gmail"),"")</f>
        <v/>
      </c>
      <c r="J853">
        <f>IF(E853="Outlook",COUNTIF($E$2:E853,"Outlook"),"")</f>
        <v/>
      </c>
      <c r="K853">
        <f>IF(E853="Domain",COUNTIF($E$2:E853,"Domain"),"")</f>
        <v/>
      </c>
    </row>
    <row r="854">
      <c r="A854" s="2" t="n"/>
      <c r="B854">
        <f>LOWER(TRIM(A854))</f>
        <v/>
      </c>
      <c r="C854">
        <f>IF(B854="","",IFERROR(INDEX('Bad Patterns'!$A$2:$A$120,MATCH(1,INDEX(--ISNUMBER(SEARCH('Bad Patterns'!$A$2:$A$120,B854)),0),0)),""))</f>
        <v/>
      </c>
      <c r="D854">
        <f>IF(B854="","",IF(C854&lt;&gt;"","REMOVE","KEEP"))</f>
        <v/>
      </c>
      <c r="E854">
        <f>IF(D854&lt;&gt;"KEEP","",IF(RIGHT(B854,10)="@gmail.com","Gmail",IF(OR(RIGHT(B854,12)="@outlook.com",RIGHT(B854,12)="@hotmail.com",RIGHT(B854,9)="@live.com"),"Outlook","Domain")))</f>
        <v/>
      </c>
      <c r="F854">
        <f>IF(B854="","",IFERROR(RIGHT(B854,LEN(B854)-FIND("@",B854)),""))</f>
        <v/>
      </c>
      <c r="G854">
        <f>IF(D854="KEEP",COUNTIF($D$2:D854,"KEEP"),"")</f>
        <v/>
      </c>
      <c r="H854">
        <f>IF(D854="REMOVE",COUNTIF($D$2:D854,"REMOVE"),"")</f>
        <v/>
      </c>
      <c r="I854">
        <f>IF(E854="Gmail",COUNTIF($E$2:E854,"Gmail"),"")</f>
        <v/>
      </c>
      <c r="J854">
        <f>IF(E854="Outlook",COUNTIF($E$2:E854,"Outlook"),"")</f>
        <v/>
      </c>
      <c r="K854">
        <f>IF(E854="Domain",COUNTIF($E$2:E854,"Domain"),"")</f>
        <v/>
      </c>
    </row>
    <row r="855">
      <c r="A855" s="2" t="n"/>
      <c r="B855">
        <f>LOWER(TRIM(A855))</f>
        <v/>
      </c>
      <c r="C855">
        <f>IF(B855="","",IFERROR(INDEX('Bad Patterns'!$A$2:$A$120,MATCH(1,INDEX(--ISNUMBER(SEARCH('Bad Patterns'!$A$2:$A$120,B855)),0),0)),""))</f>
        <v/>
      </c>
      <c r="D855">
        <f>IF(B855="","",IF(C855&lt;&gt;"","REMOVE","KEEP"))</f>
        <v/>
      </c>
      <c r="E855">
        <f>IF(D855&lt;&gt;"KEEP","",IF(RIGHT(B855,10)="@gmail.com","Gmail",IF(OR(RIGHT(B855,12)="@outlook.com",RIGHT(B855,12)="@hotmail.com",RIGHT(B855,9)="@live.com"),"Outlook","Domain")))</f>
        <v/>
      </c>
      <c r="F855">
        <f>IF(B855="","",IFERROR(RIGHT(B855,LEN(B855)-FIND("@",B855)),""))</f>
        <v/>
      </c>
      <c r="G855">
        <f>IF(D855="KEEP",COUNTIF($D$2:D855,"KEEP"),"")</f>
        <v/>
      </c>
      <c r="H855">
        <f>IF(D855="REMOVE",COUNTIF($D$2:D855,"REMOVE"),"")</f>
        <v/>
      </c>
      <c r="I855">
        <f>IF(E855="Gmail",COUNTIF($E$2:E855,"Gmail"),"")</f>
        <v/>
      </c>
      <c r="J855">
        <f>IF(E855="Outlook",COUNTIF($E$2:E855,"Outlook"),"")</f>
        <v/>
      </c>
      <c r="K855">
        <f>IF(E855="Domain",COUNTIF($E$2:E855,"Domain"),"")</f>
        <v/>
      </c>
    </row>
    <row r="856">
      <c r="A856" s="2" t="n"/>
      <c r="B856">
        <f>LOWER(TRIM(A856))</f>
        <v/>
      </c>
      <c r="C856">
        <f>IF(B856="","",IFERROR(INDEX('Bad Patterns'!$A$2:$A$120,MATCH(1,INDEX(--ISNUMBER(SEARCH('Bad Patterns'!$A$2:$A$120,B856)),0),0)),""))</f>
        <v/>
      </c>
      <c r="D856">
        <f>IF(B856="","",IF(C856&lt;&gt;"","REMOVE","KEEP"))</f>
        <v/>
      </c>
      <c r="E856">
        <f>IF(D856&lt;&gt;"KEEP","",IF(RIGHT(B856,10)="@gmail.com","Gmail",IF(OR(RIGHT(B856,12)="@outlook.com",RIGHT(B856,12)="@hotmail.com",RIGHT(B856,9)="@live.com"),"Outlook","Domain")))</f>
        <v/>
      </c>
      <c r="F856">
        <f>IF(B856="","",IFERROR(RIGHT(B856,LEN(B856)-FIND("@",B856)),""))</f>
        <v/>
      </c>
      <c r="G856">
        <f>IF(D856="KEEP",COUNTIF($D$2:D856,"KEEP"),"")</f>
        <v/>
      </c>
      <c r="H856">
        <f>IF(D856="REMOVE",COUNTIF($D$2:D856,"REMOVE"),"")</f>
        <v/>
      </c>
      <c r="I856">
        <f>IF(E856="Gmail",COUNTIF($E$2:E856,"Gmail"),"")</f>
        <v/>
      </c>
      <c r="J856">
        <f>IF(E856="Outlook",COUNTIF($E$2:E856,"Outlook"),"")</f>
        <v/>
      </c>
      <c r="K856">
        <f>IF(E856="Domain",COUNTIF($E$2:E856,"Domain"),"")</f>
        <v/>
      </c>
    </row>
    <row r="857">
      <c r="A857" s="2" t="n"/>
      <c r="B857">
        <f>LOWER(TRIM(A857))</f>
        <v/>
      </c>
      <c r="C857">
        <f>IF(B857="","",IFERROR(INDEX('Bad Patterns'!$A$2:$A$120,MATCH(1,INDEX(--ISNUMBER(SEARCH('Bad Patterns'!$A$2:$A$120,B857)),0),0)),""))</f>
        <v/>
      </c>
      <c r="D857">
        <f>IF(B857="","",IF(C857&lt;&gt;"","REMOVE","KEEP"))</f>
        <v/>
      </c>
      <c r="E857">
        <f>IF(D857&lt;&gt;"KEEP","",IF(RIGHT(B857,10)="@gmail.com","Gmail",IF(OR(RIGHT(B857,12)="@outlook.com",RIGHT(B857,12)="@hotmail.com",RIGHT(B857,9)="@live.com"),"Outlook","Domain")))</f>
        <v/>
      </c>
      <c r="F857">
        <f>IF(B857="","",IFERROR(RIGHT(B857,LEN(B857)-FIND("@",B857)),""))</f>
        <v/>
      </c>
      <c r="G857">
        <f>IF(D857="KEEP",COUNTIF($D$2:D857,"KEEP"),"")</f>
        <v/>
      </c>
      <c r="H857">
        <f>IF(D857="REMOVE",COUNTIF($D$2:D857,"REMOVE"),"")</f>
        <v/>
      </c>
      <c r="I857">
        <f>IF(E857="Gmail",COUNTIF($E$2:E857,"Gmail"),"")</f>
        <v/>
      </c>
      <c r="J857">
        <f>IF(E857="Outlook",COUNTIF($E$2:E857,"Outlook"),"")</f>
        <v/>
      </c>
      <c r="K857">
        <f>IF(E857="Domain",COUNTIF($E$2:E857,"Domain"),"")</f>
        <v/>
      </c>
    </row>
    <row r="858">
      <c r="A858" s="2" t="n"/>
      <c r="B858">
        <f>LOWER(TRIM(A858))</f>
        <v/>
      </c>
      <c r="C858">
        <f>IF(B858="","",IFERROR(INDEX('Bad Patterns'!$A$2:$A$120,MATCH(1,INDEX(--ISNUMBER(SEARCH('Bad Patterns'!$A$2:$A$120,B858)),0),0)),""))</f>
        <v/>
      </c>
      <c r="D858">
        <f>IF(B858="","",IF(C858&lt;&gt;"","REMOVE","KEEP"))</f>
        <v/>
      </c>
      <c r="E858">
        <f>IF(D858&lt;&gt;"KEEP","",IF(RIGHT(B858,10)="@gmail.com","Gmail",IF(OR(RIGHT(B858,12)="@outlook.com",RIGHT(B858,12)="@hotmail.com",RIGHT(B858,9)="@live.com"),"Outlook","Domain")))</f>
        <v/>
      </c>
      <c r="F858">
        <f>IF(B858="","",IFERROR(RIGHT(B858,LEN(B858)-FIND("@",B858)),""))</f>
        <v/>
      </c>
      <c r="G858">
        <f>IF(D858="KEEP",COUNTIF($D$2:D858,"KEEP"),"")</f>
        <v/>
      </c>
      <c r="H858">
        <f>IF(D858="REMOVE",COUNTIF($D$2:D858,"REMOVE"),"")</f>
        <v/>
      </c>
      <c r="I858">
        <f>IF(E858="Gmail",COUNTIF($E$2:E858,"Gmail"),"")</f>
        <v/>
      </c>
      <c r="J858">
        <f>IF(E858="Outlook",COUNTIF($E$2:E858,"Outlook"),"")</f>
        <v/>
      </c>
      <c r="K858">
        <f>IF(E858="Domain",COUNTIF($E$2:E858,"Domain"),"")</f>
        <v/>
      </c>
    </row>
    <row r="859">
      <c r="A859" s="2" t="n"/>
      <c r="B859">
        <f>LOWER(TRIM(A859))</f>
        <v/>
      </c>
      <c r="C859">
        <f>IF(B859="","",IFERROR(INDEX('Bad Patterns'!$A$2:$A$120,MATCH(1,INDEX(--ISNUMBER(SEARCH('Bad Patterns'!$A$2:$A$120,B859)),0),0)),""))</f>
        <v/>
      </c>
      <c r="D859">
        <f>IF(B859="","",IF(C859&lt;&gt;"","REMOVE","KEEP"))</f>
        <v/>
      </c>
      <c r="E859">
        <f>IF(D859&lt;&gt;"KEEP","",IF(RIGHT(B859,10)="@gmail.com","Gmail",IF(OR(RIGHT(B859,12)="@outlook.com",RIGHT(B859,12)="@hotmail.com",RIGHT(B859,9)="@live.com"),"Outlook","Domain")))</f>
        <v/>
      </c>
      <c r="F859">
        <f>IF(B859="","",IFERROR(RIGHT(B859,LEN(B859)-FIND("@",B859)),""))</f>
        <v/>
      </c>
      <c r="G859">
        <f>IF(D859="KEEP",COUNTIF($D$2:D859,"KEEP"),"")</f>
        <v/>
      </c>
      <c r="H859">
        <f>IF(D859="REMOVE",COUNTIF($D$2:D859,"REMOVE"),"")</f>
        <v/>
      </c>
      <c r="I859">
        <f>IF(E859="Gmail",COUNTIF($E$2:E859,"Gmail"),"")</f>
        <v/>
      </c>
      <c r="J859">
        <f>IF(E859="Outlook",COUNTIF($E$2:E859,"Outlook"),"")</f>
        <v/>
      </c>
      <c r="K859">
        <f>IF(E859="Domain",COUNTIF($E$2:E859,"Domain"),"")</f>
        <v/>
      </c>
    </row>
    <row r="860">
      <c r="A860" s="2" t="n"/>
      <c r="B860">
        <f>LOWER(TRIM(A860))</f>
        <v/>
      </c>
      <c r="C860">
        <f>IF(B860="","",IFERROR(INDEX('Bad Patterns'!$A$2:$A$120,MATCH(1,INDEX(--ISNUMBER(SEARCH('Bad Patterns'!$A$2:$A$120,B860)),0),0)),""))</f>
        <v/>
      </c>
      <c r="D860">
        <f>IF(B860="","",IF(C860&lt;&gt;"","REMOVE","KEEP"))</f>
        <v/>
      </c>
      <c r="E860">
        <f>IF(D860&lt;&gt;"KEEP","",IF(RIGHT(B860,10)="@gmail.com","Gmail",IF(OR(RIGHT(B860,12)="@outlook.com",RIGHT(B860,12)="@hotmail.com",RIGHT(B860,9)="@live.com"),"Outlook","Domain")))</f>
        <v/>
      </c>
      <c r="F860">
        <f>IF(B860="","",IFERROR(RIGHT(B860,LEN(B860)-FIND("@",B860)),""))</f>
        <v/>
      </c>
      <c r="G860">
        <f>IF(D860="KEEP",COUNTIF($D$2:D860,"KEEP"),"")</f>
        <v/>
      </c>
      <c r="H860">
        <f>IF(D860="REMOVE",COUNTIF($D$2:D860,"REMOVE"),"")</f>
        <v/>
      </c>
      <c r="I860">
        <f>IF(E860="Gmail",COUNTIF($E$2:E860,"Gmail"),"")</f>
        <v/>
      </c>
      <c r="J860">
        <f>IF(E860="Outlook",COUNTIF($E$2:E860,"Outlook"),"")</f>
        <v/>
      </c>
      <c r="K860">
        <f>IF(E860="Domain",COUNTIF($E$2:E860,"Domain"),"")</f>
        <v/>
      </c>
    </row>
    <row r="861">
      <c r="A861" s="2" t="n"/>
      <c r="B861">
        <f>LOWER(TRIM(A861))</f>
        <v/>
      </c>
      <c r="C861">
        <f>IF(B861="","",IFERROR(INDEX('Bad Patterns'!$A$2:$A$120,MATCH(1,INDEX(--ISNUMBER(SEARCH('Bad Patterns'!$A$2:$A$120,B861)),0),0)),""))</f>
        <v/>
      </c>
      <c r="D861">
        <f>IF(B861="","",IF(C861&lt;&gt;"","REMOVE","KEEP"))</f>
        <v/>
      </c>
      <c r="E861">
        <f>IF(D861&lt;&gt;"KEEP","",IF(RIGHT(B861,10)="@gmail.com","Gmail",IF(OR(RIGHT(B861,12)="@outlook.com",RIGHT(B861,12)="@hotmail.com",RIGHT(B861,9)="@live.com"),"Outlook","Domain")))</f>
        <v/>
      </c>
      <c r="F861">
        <f>IF(B861="","",IFERROR(RIGHT(B861,LEN(B861)-FIND("@",B861)),""))</f>
        <v/>
      </c>
      <c r="G861">
        <f>IF(D861="KEEP",COUNTIF($D$2:D861,"KEEP"),"")</f>
        <v/>
      </c>
      <c r="H861">
        <f>IF(D861="REMOVE",COUNTIF($D$2:D861,"REMOVE"),"")</f>
        <v/>
      </c>
      <c r="I861">
        <f>IF(E861="Gmail",COUNTIF($E$2:E861,"Gmail"),"")</f>
        <v/>
      </c>
      <c r="J861">
        <f>IF(E861="Outlook",COUNTIF($E$2:E861,"Outlook"),"")</f>
        <v/>
      </c>
      <c r="K861">
        <f>IF(E861="Domain",COUNTIF($E$2:E861,"Domain"),"")</f>
        <v/>
      </c>
    </row>
    <row r="862">
      <c r="A862" s="2" t="n"/>
      <c r="B862">
        <f>LOWER(TRIM(A862))</f>
        <v/>
      </c>
      <c r="C862">
        <f>IF(B862="","",IFERROR(INDEX('Bad Patterns'!$A$2:$A$120,MATCH(1,INDEX(--ISNUMBER(SEARCH('Bad Patterns'!$A$2:$A$120,B862)),0),0)),""))</f>
        <v/>
      </c>
      <c r="D862">
        <f>IF(B862="","",IF(C862&lt;&gt;"","REMOVE","KEEP"))</f>
        <v/>
      </c>
      <c r="E862">
        <f>IF(D862&lt;&gt;"KEEP","",IF(RIGHT(B862,10)="@gmail.com","Gmail",IF(OR(RIGHT(B862,12)="@outlook.com",RIGHT(B862,12)="@hotmail.com",RIGHT(B862,9)="@live.com"),"Outlook","Domain")))</f>
        <v/>
      </c>
      <c r="F862">
        <f>IF(B862="","",IFERROR(RIGHT(B862,LEN(B862)-FIND("@",B862)),""))</f>
        <v/>
      </c>
      <c r="G862">
        <f>IF(D862="KEEP",COUNTIF($D$2:D862,"KEEP"),"")</f>
        <v/>
      </c>
      <c r="H862">
        <f>IF(D862="REMOVE",COUNTIF($D$2:D862,"REMOVE"),"")</f>
        <v/>
      </c>
      <c r="I862">
        <f>IF(E862="Gmail",COUNTIF($E$2:E862,"Gmail"),"")</f>
        <v/>
      </c>
      <c r="J862">
        <f>IF(E862="Outlook",COUNTIF($E$2:E862,"Outlook"),"")</f>
        <v/>
      </c>
      <c r="K862">
        <f>IF(E862="Domain",COUNTIF($E$2:E862,"Domain"),"")</f>
        <v/>
      </c>
    </row>
    <row r="863">
      <c r="A863" s="2" t="n"/>
      <c r="B863">
        <f>LOWER(TRIM(A863))</f>
        <v/>
      </c>
      <c r="C863">
        <f>IF(B863="","",IFERROR(INDEX('Bad Patterns'!$A$2:$A$120,MATCH(1,INDEX(--ISNUMBER(SEARCH('Bad Patterns'!$A$2:$A$120,B863)),0),0)),""))</f>
        <v/>
      </c>
      <c r="D863">
        <f>IF(B863="","",IF(C863&lt;&gt;"","REMOVE","KEEP"))</f>
        <v/>
      </c>
      <c r="E863">
        <f>IF(D863&lt;&gt;"KEEP","",IF(RIGHT(B863,10)="@gmail.com","Gmail",IF(OR(RIGHT(B863,12)="@outlook.com",RIGHT(B863,12)="@hotmail.com",RIGHT(B863,9)="@live.com"),"Outlook","Domain")))</f>
        <v/>
      </c>
      <c r="F863">
        <f>IF(B863="","",IFERROR(RIGHT(B863,LEN(B863)-FIND("@",B863)),""))</f>
        <v/>
      </c>
      <c r="G863">
        <f>IF(D863="KEEP",COUNTIF($D$2:D863,"KEEP"),"")</f>
        <v/>
      </c>
      <c r="H863">
        <f>IF(D863="REMOVE",COUNTIF($D$2:D863,"REMOVE"),"")</f>
        <v/>
      </c>
      <c r="I863">
        <f>IF(E863="Gmail",COUNTIF($E$2:E863,"Gmail"),"")</f>
        <v/>
      </c>
      <c r="J863">
        <f>IF(E863="Outlook",COUNTIF($E$2:E863,"Outlook"),"")</f>
        <v/>
      </c>
      <c r="K863">
        <f>IF(E863="Domain",COUNTIF($E$2:E863,"Domain"),"")</f>
        <v/>
      </c>
    </row>
    <row r="864">
      <c r="A864" s="2" t="n"/>
      <c r="B864">
        <f>LOWER(TRIM(A864))</f>
        <v/>
      </c>
      <c r="C864">
        <f>IF(B864="","",IFERROR(INDEX('Bad Patterns'!$A$2:$A$120,MATCH(1,INDEX(--ISNUMBER(SEARCH('Bad Patterns'!$A$2:$A$120,B864)),0),0)),""))</f>
        <v/>
      </c>
      <c r="D864">
        <f>IF(B864="","",IF(C864&lt;&gt;"","REMOVE","KEEP"))</f>
        <v/>
      </c>
      <c r="E864">
        <f>IF(D864&lt;&gt;"KEEP","",IF(RIGHT(B864,10)="@gmail.com","Gmail",IF(OR(RIGHT(B864,12)="@outlook.com",RIGHT(B864,12)="@hotmail.com",RIGHT(B864,9)="@live.com"),"Outlook","Domain")))</f>
        <v/>
      </c>
      <c r="F864">
        <f>IF(B864="","",IFERROR(RIGHT(B864,LEN(B864)-FIND("@",B864)),""))</f>
        <v/>
      </c>
      <c r="G864">
        <f>IF(D864="KEEP",COUNTIF($D$2:D864,"KEEP"),"")</f>
        <v/>
      </c>
      <c r="H864">
        <f>IF(D864="REMOVE",COUNTIF($D$2:D864,"REMOVE"),"")</f>
        <v/>
      </c>
      <c r="I864">
        <f>IF(E864="Gmail",COUNTIF($E$2:E864,"Gmail"),"")</f>
        <v/>
      </c>
      <c r="J864">
        <f>IF(E864="Outlook",COUNTIF($E$2:E864,"Outlook"),"")</f>
        <v/>
      </c>
      <c r="K864">
        <f>IF(E864="Domain",COUNTIF($E$2:E864,"Domain"),"")</f>
        <v/>
      </c>
    </row>
    <row r="865">
      <c r="A865" s="2" t="n"/>
      <c r="B865">
        <f>LOWER(TRIM(A865))</f>
        <v/>
      </c>
      <c r="C865">
        <f>IF(B865="","",IFERROR(INDEX('Bad Patterns'!$A$2:$A$120,MATCH(1,INDEX(--ISNUMBER(SEARCH('Bad Patterns'!$A$2:$A$120,B865)),0),0)),""))</f>
        <v/>
      </c>
      <c r="D865">
        <f>IF(B865="","",IF(C865&lt;&gt;"","REMOVE","KEEP"))</f>
        <v/>
      </c>
      <c r="E865">
        <f>IF(D865&lt;&gt;"KEEP","",IF(RIGHT(B865,10)="@gmail.com","Gmail",IF(OR(RIGHT(B865,12)="@outlook.com",RIGHT(B865,12)="@hotmail.com",RIGHT(B865,9)="@live.com"),"Outlook","Domain")))</f>
        <v/>
      </c>
      <c r="F865">
        <f>IF(B865="","",IFERROR(RIGHT(B865,LEN(B865)-FIND("@",B865)),""))</f>
        <v/>
      </c>
      <c r="G865">
        <f>IF(D865="KEEP",COUNTIF($D$2:D865,"KEEP"),"")</f>
        <v/>
      </c>
      <c r="H865">
        <f>IF(D865="REMOVE",COUNTIF($D$2:D865,"REMOVE"),"")</f>
        <v/>
      </c>
      <c r="I865">
        <f>IF(E865="Gmail",COUNTIF($E$2:E865,"Gmail"),"")</f>
        <v/>
      </c>
      <c r="J865">
        <f>IF(E865="Outlook",COUNTIF($E$2:E865,"Outlook"),"")</f>
        <v/>
      </c>
      <c r="K865">
        <f>IF(E865="Domain",COUNTIF($E$2:E865,"Domain"),"")</f>
        <v/>
      </c>
    </row>
    <row r="866">
      <c r="A866" s="2" t="n"/>
      <c r="B866">
        <f>LOWER(TRIM(A866))</f>
        <v/>
      </c>
      <c r="C866">
        <f>IF(B866="","",IFERROR(INDEX('Bad Patterns'!$A$2:$A$120,MATCH(1,INDEX(--ISNUMBER(SEARCH('Bad Patterns'!$A$2:$A$120,B866)),0),0)),""))</f>
        <v/>
      </c>
      <c r="D866">
        <f>IF(B866="","",IF(C866&lt;&gt;"","REMOVE","KEEP"))</f>
        <v/>
      </c>
      <c r="E866">
        <f>IF(D866&lt;&gt;"KEEP","",IF(RIGHT(B866,10)="@gmail.com","Gmail",IF(OR(RIGHT(B866,12)="@outlook.com",RIGHT(B866,12)="@hotmail.com",RIGHT(B866,9)="@live.com"),"Outlook","Domain")))</f>
        <v/>
      </c>
      <c r="F866">
        <f>IF(B866="","",IFERROR(RIGHT(B866,LEN(B866)-FIND("@",B866)),""))</f>
        <v/>
      </c>
      <c r="G866">
        <f>IF(D866="KEEP",COUNTIF($D$2:D866,"KEEP"),"")</f>
        <v/>
      </c>
      <c r="H866">
        <f>IF(D866="REMOVE",COUNTIF($D$2:D866,"REMOVE"),"")</f>
        <v/>
      </c>
      <c r="I866">
        <f>IF(E866="Gmail",COUNTIF($E$2:E866,"Gmail"),"")</f>
        <v/>
      </c>
      <c r="J866">
        <f>IF(E866="Outlook",COUNTIF($E$2:E866,"Outlook"),"")</f>
        <v/>
      </c>
      <c r="K866">
        <f>IF(E866="Domain",COUNTIF($E$2:E866,"Domain"),"")</f>
        <v/>
      </c>
    </row>
    <row r="867">
      <c r="A867" s="2" t="n"/>
      <c r="B867">
        <f>LOWER(TRIM(A867))</f>
        <v/>
      </c>
      <c r="C867">
        <f>IF(B867="","",IFERROR(INDEX('Bad Patterns'!$A$2:$A$120,MATCH(1,INDEX(--ISNUMBER(SEARCH('Bad Patterns'!$A$2:$A$120,B867)),0),0)),""))</f>
        <v/>
      </c>
      <c r="D867">
        <f>IF(B867="","",IF(C867&lt;&gt;"","REMOVE","KEEP"))</f>
        <v/>
      </c>
      <c r="E867">
        <f>IF(D867&lt;&gt;"KEEP","",IF(RIGHT(B867,10)="@gmail.com","Gmail",IF(OR(RIGHT(B867,12)="@outlook.com",RIGHT(B867,12)="@hotmail.com",RIGHT(B867,9)="@live.com"),"Outlook","Domain")))</f>
        <v/>
      </c>
      <c r="F867">
        <f>IF(B867="","",IFERROR(RIGHT(B867,LEN(B867)-FIND("@",B867)),""))</f>
        <v/>
      </c>
      <c r="G867">
        <f>IF(D867="KEEP",COUNTIF($D$2:D867,"KEEP"),"")</f>
        <v/>
      </c>
      <c r="H867">
        <f>IF(D867="REMOVE",COUNTIF($D$2:D867,"REMOVE"),"")</f>
        <v/>
      </c>
      <c r="I867">
        <f>IF(E867="Gmail",COUNTIF($E$2:E867,"Gmail"),"")</f>
        <v/>
      </c>
      <c r="J867">
        <f>IF(E867="Outlook",COUNTIF($E$2:E867,"Outlook"),"")</f>
        <v/>
      </c>
      <c r="K867">
        <f>IF(E867="Domain",COUNTIF($E$2:E867,"Domain"),"")</f>
        <v/>
      </c>
    </row>
    <row r="868">
      <c r="A868" s="2" t="n"/>
      <c r="B868">
        <f>LOWER(TRIM(A868))</f>
        <v/>
      </c>
      <c r="C868">
        <f>IF(B868="","",IFERROR(INDEX('Bad Patterns'!$A$2:$A$120,MATCH(1,INDEX(--ISNUMBER(SEARCH('Bad Patterns'!$A$2:$A$120,B868)),0),0)),""))</f>
        <v/>
      </c>
      <c r="D868">
        <f>IF(B868="","",IF(C868&lt;&gt;"","REMOVE","KEEP"))</f>
        <v/>
      </c>
      <c r="E868">
        <f>IF(D868&lt;&gt;"KEEP","",IF(RIGHT(B868,10)="@gmail.com","Gmail",IF(OR(RIGHT(B868,12)="@outlook.com",RIGHT(B868,12)="@hotmail.com",RIGHT(B868,9)="@live.com"),"Outlook","Domain")))</f>
        <v/>
      </c>
      <c r="F868">
        <f>IF(B868="","",IFERROR(RIGHT(B868,LEN(B868)-FIND("@",B868)),""))</f>
        <v/>
      </c>
      <c r="G868">
        <f>IF(D868="KEEP",COUNTIF($D$2:D868,"KEEP"),"")</f>
        <v/>
      </c>
      <c r="H868">
        <f>IF(D868="REMOVE",COUNTIF($D$2:D868,"REMOVE"),"")</f>
        <v/>
      </c>
      <c r="I868">
        <f>IF(E868="Gmail",COUNTIF($E$2:E868,"Gmail"),"")</f>
        <v/>
      </c>
      <c r="J868">
        <f>IF(E868="Outlook",COUNTIF($E$2:E868,"Outlook"),"")</f>
        <v/>
      </c>
      <c r="K868">
        <f>IF(E868="Domain",COUNTIF($E$2:E868,"Domain"),"")</f>
        <v/>
      </c>
    </row>
    <row r="869">
      <c r="A869" s="2" t="n"/>
      <c r="B869">
        <f>LOWER(TRIM(A869))</f>
        <v/>
      </c>
      <c r="C869">
        <f>IF(B869="","",IFERROR(INDEX('Bad Patterns'!$A$2:$A$120,MATCH(1,INDEX(--ISNUMBER(SEARCH('Bad Patterns'!$A$2:$A$120,B869)),0),0)),""))</f>
        <v/>
      </c>
      <c r="D869">
        <f>IF(B869="","",IF(C869&lt;&gt;"","REMOVE","KEEP"))</f>
        <v/>
      </c>
      <c r="E869">
        <f>IF(D869&lt;&gt;"KEEP","",IF(RIGHT(B869,10)="@gmail.com","Gmail",IF(OR(RIGHT(B869,12)="@outlook.com",RIGHT(B869,12)="@hotmail.com",RIGHT(B869,9)="@live.com"),"Outlook","Domain")))</f>
        <v/>
      </c>
      <c r="F869">
        <f>IF(B869="","",IFERROR(RIGHT(B869,LEN(B869)-FIND("@",B869)),""))</f>
        <v/>
      </c>
      <c r="G869">
        <f>IF(D869="KEEP",COUNTIF($D$2:D869,"KEEP"),"")</f>
        <v/>
      </c>
      <c r="H869">
        <f>IF(D869="REMOVE",COUNTIF($D$2:D869,"REMOVE"),"")</f>
        <v/>
      </c>
      <c r="I869">
        <f>IF(E869="Gmail",COUNTIF($E$2:E869,"Gmail"),"")</f>
        <v/>
      </c>
      <c r="J869">
        <f>IF(E869="Outlook",COUNTIF($E$2:E869,"Outlook"),"")</f>
        <v/>
      </c>
      <c r="K869">
        <f>IF(E869="Domain",COUNTIF($E$2:E869,"Domain"),"")</f>
        <v/>
      </c>
    </row>
    <row r="870">
      <c r="A870" s="2" t="n"/>
      <c r="B870">
        <f>LOWER(TRIM(A870))</f>
        <v/>
      </c>
      <c r="C870">
        <f>IF(B870="","",IFERROR(INDEX('Bad Patterns'!$A$2:$A$120,MATCH(1,INDEX(--ISNUMBER(SEARCH('Bad Patterns'!$A$2:$A$120,B870)),0),0)),""))</f>
        <v/>
      </c>
      <c r="D870">
        <f>IF(B870="","",IF(C870&lt;&gt;"","REMOVE","KEEP"))</f>
        <v/>
      </c>
      <c r="E870">
        <f>IF(D870&lt;&gt;"KEEP","",IF(RIGHT(B870,10)="@gmail.com","Gmail",IF(OR(RIGHT(B870,12)="@outlook.com",RIGHT(B870,12)="@hotmail.com",RIGHT(B870,9)="@live.com"),"Outlook","Domain")))</f>
        <v/>
      </c>
      <c r="F870">
        <f>IF(B870="","",IFERROR(RIGHT(B870,LEN(B870)-FIND("@",B870)),""))</f>
        <v/>
      </c>
      <c r="G870">
        <f>IF(D870="KEEP",COUNTIF($D$2:D870,"KEEP"),"")</f>
        <v/>
      </c>
      <c r="H870">
        <f>IF(D870="REMOVE",COUNTIF($D$2:D870,"REMOVE"),"")</f>
        <v/>
      </c>
      <c r="I870">
        <f>IF(E870="Gmail",COUNTIF($E$2:E870,"Gmail"),"")</f>
        <v/>
      </c>
      <c r="J870">
        <f>IF(E870="Outlook",COUNTIF($E$2:E870,"Outlook"),"")</f>
        <v/>
      </c>
      <c r="K870">
        <f>IF(E870="Domain",COUNTIF($E$2:E870,"Domain"),"")</f>
        <v/>
      </c>
    </row>
    <row r="871">
      <c r="A871" s="2" t="n"/>
      <c r="B871">
        <f>LOWER(TRIM(A871))</f>
        <v/>
      </c>
      <c r="C871">
        <f>IF(B871="","",IFERROR(INDEX('Bad Patterns'!$A$2:$A$120,MATCH(1,INDEX(--ISNUMBER(SEARCH('Bad Patterns'!$A$2:$A$120,B871)),0),0)),""))</f>
        <v/>
      </c>
      <c r="D871">
        <f>IF(B871="","",IF(C871&lt;&gt;"","REMOVE","KEEP"))</f>
        <v/>
      </c>
      <c r="E871">
        <f>IF(D871&lt;&gt;"KEEP","",IF(RIGHT(B871,10)="@gmail.com","Gmail",IF(OR(RIGHT(B871,12)="@outlook.com",RIGHT(B871,12)="@hotmail.com",RIGHT(B871,9)="@live.com"),"Outlook","Domain")))</f>
        <v/>
      </c>
      <c r="F871">
        <f>IF(B871="","",IFERROR(RIGHT(B871,LEN(B871)-FIND("@",B871)),""))</f>
        <v/>
      </c>
      <c r="G871">
        <f>IF(D871="KEEP",COUNTIF($D$2:D871,"KEEP"),"")</f>
        <v/>
      </c>
      <c r="H871">
        <f>IF(D871="REMOVE",COUNTIF($D$2:D871,"REMOVE"),"")</f>
        <v/>
      </c>
      <c r="I871">
        <f>IF(E871="Gmail",COUNTIF($E$2:E871,"Gmail"),"")</f>
        <v/>
      </c>
      <c r="J871">
        <f>IF(E871="Outlook",COUNTIF($E$2:E871,"Outlook"),"")</f>
        <v/>
      </c>
      <c r="K871">
        <f>IF(E871="Domain",COUNTIF($E$2:E871,"Domain"),"")</f>
        <v/>
      </c>
    </row>
    <row r="872">
      <c r="A872" s="2" t="n"/>
      <c r="B872">
        <f>LOWER(TRIM(A872))</f>
        <v/>
      </c>
      <c r="C872">
        <f>IF(B872="","",IFERROR(INDEX('Bad Patterns'!$A$2:$A$120,MATCH(1,INDEX(--ISNUMBER(SEARCH('Bad Patterns'!$A$2:$A$120,B872)),0),0)),""))</f>
        <v/>
      </c>
      <c r="D872">
        <f>IF(B872="","",IF(C872&lt;&gt;"","REMOVE","KEEP"))</f>
        <v/>
      </c>
      <c r="E872">
        <f>IF(D872&lt;&gt;"KEEP","",IF(RIGHT(B872,10)="@gmail.com","Gmail",IF(OR(RIGHT(B872,12)="@outlook.com",RIGHT(B872,12)="@hotmail.com",RIGHT(B872,9)="@live.com"),"Outlook","Domain")))</f>
        <v/>
      </c>
      <c r="F872">
        <f>IF(B872="","",IFERROR(RIGHT(B872,LEN(B872)-FIND("@",B872)),""))</f>
        <v/>
      </c>
      <c r="G872">
        <f>IF(D872="KEEP",COUNTIF($D$2:D872,"KEEP"),"")</f>
        <v/>
      </c>
      <c r="H872">
        <f>IF(D872="REMOVE",COUNTIF($D$2:D872,"REMOVE"),"")</f>
        <v/>
      </c>
      <c r="I872">
        <f>IF(E872="Gmail",COUNTIF($E$2:E872,"Gmail"),"")</f>
        <v/>
      </c>
      <c r="J872">
        <f>IF(E872="Outlook",COUNTIF($E$2:E872,"Outlook"),"")</f>
        <v/>
      </c>
      <c r="K872">
        <f>IF(E872="Domain",COUNTIF($E$2:E872,"Domain"),"")</f>
        <v/>
      </c>
    </row>
    <row r="873">
      <c r="A873" s="2" t="n"/>
      <c r="B873">
        <f>LOWER(TRIM(A873))</f>
        <v/>
      </c>
      <c r="C873">
        <f>IF(B873="","",IFERROR(INDEX('Bad Patterns'!$A$2:$A$120,MATCH(1,INDEX(--ISNUMBER(SEARCH('Bad Patterns'!$A$2:$A$120,B873)),0),0)),""))</f>
        <v/>
      </c>
      <c r="D873">
        <f>IF(B873="","",IF(C873&lt;&gt;"","REMOVE","KEEP"))</f>
        <v/>
      </c>
      <c r="E873">
        <f>IF(D873&lt;&gt;"KEEP","",IF(RIGHT(B873,10)="@gmail.com","Gmail",IF(OR(RIGHT(B873,12)="@outlook.com",RIGHT(B873,12)="@hotmail.com",RIGHT(B873,9)="@live.com"),"Outlook","Domain")))</f>
        <v/>
      </c>
      <c r="F873">
        <f>IF(B873="","",IFERROR(RIGHT(B873,LEN(B873)-FIND("@",B873)),""))</f>
        <v/>
      </c>
      <c r="G873">
        <f>IF(D873="KEEP",COUNTIF($D$2:D873,"KEEP"),"")</f>
        <v/>
      </c>
      <c r="H873">
        <f>IF(D873="REMOVE",COUNTIF($D$2:D873,"REMOVE"),"")</f>
        <v/>
      </c>
      <c r="I873">
        <f>IF(E873="Gmail",COUNTIF($E$2:E873,"Gmail"),"")</f>
        <v/>
      </c>
      <c r="J873">
        <f>IF(E873="Outlook",COUNTIF($E$2:E873,"Outlook"),"")</f>
        <v/>
      </c>
      <c r="K873">
        <f>IF(E873="Domain",COUNTIF($E$2:E873,"Domain"),"")</f>
        <v/>
      </c>
    </row>
    <row r="874">
      <c r="A874" s="2" t="n"/>
      <c r="B874">
        <f>LOWER(TRIM(A874))</f>
        <v/>
      </c>
      <c r="C874">
        <f>IF(B874="","",IFERROR(INDEX('Bad Patterns'!$A$2:$A$120,MATCH(1,INDEX(--ISNUMBER(SEARCH('Bad Patterns'!$A$2:$A$120,B874)),0),0)),""))</f>
        <v/>
      </c>
      <c r="D874">
        <f>IF(B874="","",IF(C874&lt;&gt;"","REMOVE","KEEP"))</f>
        <v/>
      </c>
      <c r="E874">
        <f>IF(D874&lt;&gt;"KEEP","",IF(RIGHT(B874,10)="@gmail.com","Gmail",IF(OR(RIGHT(B874,12)="@outlook.com",RIGHT(B874,12)="@hotmail.com",RIGHT(B874,9)="@live.com"),"Outlook","Domain")))</f>
        <v/>
      </c>
      <c r="F874">
        <f>IF(B874="","",IFERROR(RIGHT(B874,LEN(B874)-FIND("@",B874)),""))</f>
        <v/>
      </c>
      <c r="G874">
        <f>IF(D874="KEEP",COUNTIF($D$2:D874,"KEEP"),"")</f>
        <v/>
      </c>
      <c r="H874">
        <f>IF(D874="REMOVE",COUNTIF($D$2:D874,"REMOVE"),"")</f>
        <v/>
      </c>
      <c r="I874">
        <f>IF(E874="Gmail",COUNTIF($E$2:E874,"Gmail"),"")</f>
        <v/>
      </c>
      <c r="J874">
        <f>IF(E874="Outlook",COUNTIF($E$2:E874,"Outlook"),"")</f>
        <v/>
      </c>
      <c r="K874">
        <f>IF(E874="Domain",COUNTIF($E$2:E874,"Domain"),"")</f>
        <v/>
      </c>
    </row>
    <row r="875">
      <c r="A875" s="2" t="n"/>
      <c r="B875">
        <f>LOWER(TRIM(A875))</f>
        <v/>
      </c>
      <c r="C875">
        <f>IF(B875="","",IFERROR(INDEX('Bad Patterns'!$A$2:$A$120,MATCH(1,INDEX(--ISNUMBER(SEARCH('Bad Patterns'!$A$2:$A$120,B875)),0),0)),""))</f>
        <v/>
      </c>
      <c r="D875">
        <f>IF(B875="","",IF(C875&lt;&gt;"","REMOVE","KEEP"))</f>
        <v/>
      </c>
      <c r="E875">
        <f>IF(D875&lt;&gt;"KEEP","",IF(RIGHT(B875,10)="@gmail.com","Gmail",IF(OR(RIGHT(B875,12)="@outlook.com",RIGHT(B875,12)="@hotmail.com",RIGHT(B875,9)="@live.com"),"Outlook","Domain")))</f>
        <v/>
      </c>
      <c r="F875">
        <f>IF(B875="","",IFERROR(RIGHT(B875,LEN(B875)-FIND("@",B875)),""))</f>
        <v/>
      </c>
      <c r="G875">
        <f>IF(D875="KEEP",COUNTIF($D$2:D875,"KEEP"),"")</f>
        <v/>
      </c>
      <c r="H875">
        <f>IF(D875="REMOVE",COUNTIF($D$2:D875,"REMOVE"),"")</f>
        <v/>
      </c>
      <c r="I875">
        <f>IF(E875="Gmail",COUNTIF($E$2:E875,"Gmail"),"")</f>
        <v/>
      </c>
      <c r="J875">
        <f>IF(E875="Outlook",COUNTIF($E$2:E875,"Outlook"),"")</f>
        <v/>
      </c>
      <c r="K875">
        <f>IF(E875="Domain",COUNTIF($E$2:E875,"Domain"),"")</f>
        <v/>
      </c>
    </row>
    <row r="876">
      <c r="A876" s="2" t="n"/>
      <c r="B876">
        <f>LOWER(TRIM(A876))</f>
        <v/>
      </c>
      <c r="C876">
        <f>IF(B876="","",IFERROR(INDEX('Bad Patterns'!$A$2:$A$120,MATCH(1,INDEX(--ISNUMBER(SEARCH('Bad Patterns'!$A$2:$A$120,B876)),0),0)),""))</f>
        <v/>
      </c>
      <c r="D876">
        <f>IF(B876="","",IF(C876&lt;&gt;"","REMOVE","KEEP"))</f>
        <v/>
      </c>
      <c r="E876">
        <f>IF(D876&lt;&gt;"KEEP","",IF(RIGHT(B876,10)="@gmail.com","Gmail",IF(OR(RIGHT(B876,12)="@outlook.com",RIGHT(B876,12)="@hotmail.com",RIGHT(B876,9)="@live.com"),"Outlook","Domain")))</f>
        <v/>
      </c>
      <c r="F876">
        <f>IF(B876="","",IFERROR(RIGHT(B876,LEN(B876)-FIND("@",B876)),""))</f>
        <v/>
      </c>
      <c r="G876">
        <f>IF(D876="KEEP",COUNTIF($D$2:D876,"KEEP"),"")</f>
        <v/>
      </c>
      <c r="H876">
        <f>IF(D876="REMOVE",COUNTIF($D$2:D876,"REMOVE"),"")</f>
        <v/>
      </c>
      <c r="I876">
        <f>IF(E876="Gmail",COUNTIF($E$2:E876,"Gmail"),"")</f>
        <v/>
      </c>
      <c r="J876">
        <f>IF(E876="Outlook",COUNTIF($E$2:E876,"Outlook"),"")</f>
        <v/>
      </c>
      <c r="K876">
        <f>IF(E876="Domain",COUNTIF($E$2:E876,"Domain"),"")</f>
        <v/>
      </c>
    </row>
    <row r="877">
      <c r="A877" s="2" t="n"/>
      <c r="B877">
        <f>LOWER(TRIM(A877))</f>
        <v/>
      </c>
      <c r="C877">
        <f>IF(B877="","",IFERROR(INDEX('Bad Patterns'!$A$2:$A$120,MATCH(1,INDEX(--ISNUMBER(SEARCH('Bad Patterns'!$A$2:$A$120,B877)),0),0)),""))</f>
        <v/>
      </c>
      <c r="D877">
        <f>IF(B877="","",IF(C877&lt;&gt;"","REMOVE","KEEP"))</f>
        <v/>
      </c>
      <c r="E877">
        <f>IF(D877&lt;&gt;"KEEP","",IF(RIGHT(B877,10)="@gmail.com","Gmail",IF(OR(RIGHT(B877,12)="@outlook.com",RIGHT(B877,12)="@hotmail.com",RIGHT(B877,9)="@live.com"),"Outlook","Domain")))</f>
        <v/>
      </c>
      <c r="F877">
        <f>IF(B877="","",IFERROR(RIGHT(B877,LEN(B877)-FIND("@",B877)),""))</f>
        <v/>
      </c>
      <c r="G877">
        <f>IF(D877="KEEP",COUNTIF($D$2:D877,"KEEP"),"")</f>
        <v/>
      </c>
      <c r="H877">
        <f>IF(D877="REMOVE",COUNTIF($D$2:D877,"REMOVE"),"")</f>
        <v/>
      </c>
      <c r="I877">
        <f>IF(E877="Gmail",COUNTIF($E$2:E877,"Gmail"),"")</f>
        <v/>
      </c>
      <c r="J877">
        <f>IF(E877="Outlook",COUNTIF($E$2:E877,"Outlook"),"")</f>
        <v/>
      </c>
      <c r="K877">
        <f>IF(E877="Domain",COUNTIF($E$2:E877,"Domain"),"")</f>
        <v/>
      </c>
    </row>
    <row r="878">
      <c r="A878" s="2" t="n"/>
      <c r="B878">
        <f>LOWER(TRIM(A878))</f>
        <v/>
      </c>
      <c r="C878">
        <f>IF(B878="","",IFERROR(INDEX('Bad Patterns'!$A$2:$A$120,MATCH(1,INDEX(--ISNUMBER(SEARCH('Bad Patterns'!$A$2:$A$120,B878)),0),0)),""))</f>
        <v/>
      </c>
      <c r="D878">
        <f>IF(B878="","",IF(C878&lt;&gt;"","REMOVE","KEEP"))</f>
        <v/>
      </c>
      <c r="E878">
        <f>IF(D878&lt;&gt;"KEEP","",IF(RIGHT(B878,10)="@gmail.com","Gmail",IF(OR(RIGHT(B878,12)="@outlook.com",RIGHT(B878,12)="@hotmail.com",RIGHT(B878,9)="@live.com"),"Outlook","Domain")))</f>
        <v/>
      </c>
      <c r="F878">
        <f>IF(B878="","",IFERROR(RIGHT(B878,LEN(B878)-FIND("@",B878)),""))</f>
        <v/>
      </c>
      <c r="G878">
        <f>IF(D878="KEEP",COUNTIF($D$2:D878,"KEEP"),"")</f>
        <v/>
      </c>
      <c r="H878">
        <f>IF(D878="REMOVE",COUNTIF($D$2:D878,"REMOVE"),"")</f>
        <v/>
      </c>
      <c r="I878">
        <f>IF(E878="Gmail",COUNTIF($E$2:E878,"Gmail"),"")</f>
        <v/>
      </c>
      <c r="J878">
        <f>IF(E878="Outlook",COUNTIF($E$2:E878,"Outlook"),"")</f>
        <v/>
      </c>
      <c r="K878">
        <f>IF(E878="Domain",COUNTIF($E$2:E878,"Domain"),"")</f>
        <v/>
      </c>
    </row>
    <row r="879">
      <c r="A879" s="2" t="n"/>
      <c r="B879">
        <f>LOWER(TRIM(A879))</f>
        <v/>
      </c>
      <c r="C879">
        <f>IF(B879="","",IFERROR(INDEX('Bad Patterns'!$A$2:$A$120,MATCH(1,INDEX(--ISNUMBER(SEARCH('Bad Patterns'!$A$2:$A$120,B879)),0),0)),""))</f>
        <v/>
      </c>
      <c r="D879">
        <f>IF(B879="","",IF(C879&lt;&gt;"","REMOVE","KEEP"))</f>
        <v/>
      </c>
      <c r="E879">
        <f>IF(D879&lt;&gt;"KEEP","",IF(RIGHT(B879,10)="@gmail.com","Gmail",IF(OR(RIGHT(B879,12)="@outlook.com",RIGHT(B879,12)="@hotmail.com",RIGHT(B879,9)="@live.com"),"Outlook","Domain")))</f>
        <v/>
      </c>
      <c r="F879">
        <f>IF(B879="","",IFERROR(RIGHT(B879,LEN(B879)-FIND("@",B879)),""))</f>
        <v/>
      </c>
      <c r="G879">
        <f>IF(D879="KEEP",COUNTIF($D$2:D879,"KEEP"),"")</f>
        <v/>
      </c>
      <c r="H879">
        <f>IF(D879="REMOVE",COUNTIF($D$2:D879,"REMOVE"),"")</f>
        <v/>
      </c>
      <c r="I879">
        <f>IF(E879="Gmail",COUNTIF($E$2:E879,"Gmail"),"")</f>
        <v/>
      </c>
      <c r="J879">
        <f>IF(E879="Outlook",COUNTIF($E$2:E879,"Outlook"),"")</f>
        <v/>
      </c>
      <c r="K879">
        <f>IF(E879="Domain",COUNTIF($E$2:E879,"Domain"),"")</f>
        <v/>
      </c>
    </row>
    <row r="880">
      <c r="A880" s="2" t="n"/>
      <c r="B880">
        <f>LOWER(TRIM(A880))</f>
        <v/>
      </c>
      <c r="C880">
        <f>IF(B880="","",IFERROR(INDEX('Bad Patterns'!$A$2:$A$120,MATCH(1,INDEX(--ISNUMBER(SEARCH('Bad Patterns'!$A$2:$A$120,B880)),0),0)),""))</f>
        <v/>
      </c>
      <c r="D880">
        <f>IF(B880="","",IF(C880&lt;&gt;"","REMOVE","KEEP"))</f>
        <v/>
      </c>
      <c r="E880">
        <f>IF(D880&lt;&gt;"KEEP","",IF(RIGHT(B880,10)="@gmail.com","Gmail",IF(OR(RIGHT(B880,12)="@outlook.com",RIGHT(B880,12)="@hotmail.com",RIGHT(B880,9)="@live.com"),"Outlook","Domain")))</f>
        <v/>
      </c>
      <c r="F880">
        <f>IF(B880="","",IFERROR(RIGHT(B880,LEN(B880)-FIND("@",B880)),""))</f>
        <v/>
      </c>
      <c r="G880">
        <f>IF(D880="KEEP",COUNTIF($D$2:D880,"KEEP"),"")</f>
        <v/>
      </c>
      <c r="H880">
        <f>IF(D880="REMOVE",COUNTIF($D$2:D880,"REMOVE"),"")</f>
        <v/>
      </c>
      <c r="I880">
        <f>IF(E880="Gmail",COUNTIF($E$2:E880,"Gmail"),"")</f>
        <v/>
      </c>
      <c r="J880">
        <f>IF(E880="Outlook",COUNTIF($E$2:E880,"Outlook"),"")</f>
        <v/>
      </c>
      <c r="K880">
        <f>IF(E880="Domain",COUNTIF($E$2:E880,"Domain"),"")</f>
        <v/>
      </c>
    </row>
    <row r="881">
      <c r="A881" s="2" t="n"/>
      <c r="B881">
        <f>LOWER(TRIM(A881))</f>
        <v/>
      </c>
      <c r="C881">
        <f>IF(B881="","",IFERROR(INDEX('Bad Patterns'!$A$2:$A$120,MATCH(1,INDEX(--ISNUMBER(SEARCH('Bad Patterns'!$A$2:$A$120,B881)),0),0)),""))</f>
        <v/>
      </c>
      <c r="D881">
        <f>IF(B881="","",IF(C881&lt;&gt;"","REMOVE","KEEP"))</f>
        <v/>
      </c>
      <c r="E881">
        <f>IF(D881&lt;&gt;"KEEP","",IF(RIGHT(B881,10)="@gmail.com","Gmail",IF(OR(RIGHT(B881,12)="@outlook.com",RIGHT(B881,12)="@hotmail.com",RIGHT(B881,9)="@live.com"),"Outlook","Domain")))</f>
        <v/>
      </c>
      <c r="F881">
        <f>IF(B881="","",IFERROR(RIGHT(B881,LEN(B881)-FIND("@",B881)),""))</f>
        <v/>
      </c>
      <c r="G881">
        <f>IF(D881="KEEP",COUNTIF($D$2:D881,"KEEP"),"")</f>
        <v/>
      </c>
      <c r="H881">
        <f>IF(D881="REMOVE",COUNTIF($D$2:D881,"REMOVE"),"")</f>
        <v/>
      </c>
      <c r="I881">
        <f>IF(E881="Gmail",COUNTIF($E$2:E881,"Gmail"),"")</f>
        <v/>
      </c>
      <c r="J881">
        <f>IF(E881="Outlook",COUNTIF($E$2:E881,"Outlook"),"")</f>
        <v/>
      </c>
      <c r="K881">
        <f>IF(E881="Domain",COUNTIF($E$2:E881,"Domain"),"")</f>
        <v/>
      </c>
    </row>
    <row r="882">
      <c r="A882" s="2" t="n"/>
      <c r="B882">
        <f>LOWER(TRIM(A882))</f>
        <v/>
      </c>
      <c r="C882">
        <f>IF(B882="","",IFERROR(INDEX('Bad Patterns'!$A$2:$A$120,MATCH(1,INDEX(--ISNUMBER(SEARCH('Bad Patterns'!$A$2:$A$120,B882)),0),0)),""))</f>
        <v/>
      </c>
      <c r="D882">
        <f>IF(B882="","",IF(C882&lt;&gt;"","REMOVE","KEEP"))</f>
        <v/>
      </c>
      <c r="E882">
        <f>IF(D882&lt;&gt;"KEEP","",IF(RIGHT(B882,10)="@gmail.com","Gmail",IF(OR(RIGHT(B882,12)="@outlook.com",RIGHT(B882,12)="@hotmail.com",RIGHT(B882,9)="@live.com"),"Outlook","Domain")))</f>
        <v/>
      </c>
      <c r="F882">
        <f>IF(B882="","",IFERROR(RIGHT(B882,LEN(B882)-FIND("@",B882)),""))</f>
        <v/>
      </c>
      <c r="G882">
        <f>IF(D882="KEEP",COUNTIF($D$2:D882,"KEEP"),"")</f>
        <v/>
      </c>
      <c r="H882">
        <f>IF(D882="REMOVE",COUNTIF($D$2:D882,"REMOVE"),"")</f>
        <v/>
      </c>
      <c r="I882">
        <f>IF(E882="Gmail",COUNTIF($E$2:E882,"Gmail"),"")</f>
        <v/>
      </c>
      <c r="J882">
        <f>IF(E882="Outlook",COUNTIF($E$2:E882,"Outlook"),"")</f>
        <v/>
      </c>
      <c r="K882">
        <f>IF(E882="Domain",COUNTIF($E$2:E882,"Domain"),"")</f>
        <v/>
      </c>
    </row>
    <row r="883">
      <c r="A883" s="2" t="n"/>
      <c r="B883">
        <f>LOWER(TRIM(A883))</f>
        <v/>
      </c>
      <c r="C883">
        <f>IF(B883="","",IFERROR(INDEX('Bad Patterns'!$A$2:$A$120,MATCH(1,INDEX(--ISNUMBER(SEARCH('Bad Patterns'!$A$2:$A$120,B883)),0),0)),""))</f>
        <v/>
      </c>
      <c r="D883">
        <f>IF(B883="","",IF(C883&lt;&gt;"","REMOVE","KEEP"))</f>
        <v/>
      </c>
      <c r="E883">
        <f>IF(D883&lt;&gt;"KEEP","",IF(RIGHT(B883,10)="@gmail.com","Gmail",IF(OR(RIGHT(B883,12)="@outlook.com",RIGHT(B883,12)="@hotmail.com",RIGHT(B883,9)="@live.com"),"Outlook","Domain")))</f>
        <v/>
      </c>
      <c r="F883">
        <f>IF(B883="","",IFERROR(RIGHT(B883,LEN(B883)-FIND("@",B883)),""))</f>
        <v/>
      </c>
      <c r="G883">
        <f>IF(D883="KEEP",COUNTIF($D$2:D883,"KEEP"),"")</f>
        <v/>
      </c>
      <c r="H883">
        <f>IF(D883="REMOVE",COUNTIF($D$2:D883,"REMOVE"),"")</f>
        <v/>
      </c>
      <c r="I883">
        <f>IF(E883="Gmail",COUNTIF($E$2:E883,"Gmail"),"")</f>
        <v/>
      </c>
      <c r="J883">
        <f>IF(E883="Outlook",COUNTIF($E$2:E883,"Outlook"),"")</f>
        <v/>
      </c>
      <c r="K883">
        <f>IF(E883="Domain",COUNTIF($E$2:E883,"Domain"),"")</f>
        <v/>
      </c>
    </row>
    <row r="884">
      <c r="A884" s="2" t="n"/>
      <c r="B884">
        <f>LOWER(TRIM(A884))</f>
        <v/>
      </c>
      <c r="C884">
        <f>IF(B884="","",IFERROR(INDEX('Bad Patterns'!$A$2:$A$120,MATCH(1,INDEX(--ISNUMBER(SEARCH('Bad Patterns'!$A$2:$A$120,B884)),0),0)),""))</f>
        <v/>
      </c>
      <c r="D884">
        <f>IF(B884="","",IF(C884&lt;&gt;"","REMOVE","KEEP"))</f>
        <v/>
      </c>
      <c r="E884">
        <f>IF(D884&lt;&gt;"KEEP","",IF(RIGHT(B884,10)="@gmail.com","Gmail",IF(OR(RIGHT(B884,12)="@outlook.com",RIGHT(B884,12)="@hotmail.com",RIGHT(B884,9)="@live.com"),"Outlook","Domain")))</f>
        <v/>
      </c>
      <c r="F884">
        <f>IF(B884="","",IFERROR(RIGHT(B884,LEN(B884)-FIND("@",B884)),""))</f>
        <v/>
      </c>
      <c r="G884">
        <f>IF(D884="KEEP",COUNTIF($D$2:D884,"KEEP"),"")</f>
        <v/>
      </c>
      <c r="H884">
        <f>IF(D884="REMOVE",COUNTIF($D$2:D884,"REMOVE"),"")</f>
        <v/>
      </c>
      <c r="I884">
        <f>IF(E884="Gmail",COUNTIF($E$2:E884,"Gmail"),"")</f>
        <v/>
      </c>
      <c r="J884">
        <f>IF(E884="Outlook",COUNTIF($E$2:E884,"Outlook"),"")</f>
        <v/>
      </c>
      <c r="K884">
        <f>IF(E884="Domain",COUNTIF($E$2:E884,"Domain"),"")</f>
        <v/>
      </c>
    </row>
    <row r="885">
      <c r="A885" s="2" t="n"/>
      <c r="B885">
        <f>LOWER(TRIM(A885))</f>
        <v/>
      </c>
      <c r="C885">
        <f>IF(B885="","",IFERROR(INDEX('Bad Patterns'!$A$2:$A$120,MATCH(1,INDEX(--ISNUMBER(SEARCH('Bad Patterns'!$A$2:$A$120,B885)),0),0)),""))</f>
        <v/>
      </c>
      <c r="D885">
        <f>IF(B885="","",IF(C885&lt;&gt;"","REMOVE","KEEP"))</f>
        <v/>
      </c>
      <c r="E885">
        <f>IF(D885&lt;&gt;"KEEP","",IF(RIGHT(B885,10)="@gmail.com","Gmail",IF(OR(RIGHT(B885,12)="@outlook.com",RIGHT(B885,12)="@hotmail.com",RIGHT(B885,9)="@live.com"),"Outlook","Domain")))</f>
        <v/>
      </c>
      <c r="F885">
        <f>IF(B885="","",IFERROR(RIGHT(B885,LEN(B885)-FIND("@",B885)),""))</f>
        <v/>
      </c>
      <c r="G885">
        <f>IF(D885="KEEP",COUNTIF($D$2:D885,"KEEP"),"")</f>
        <v/>
      </c>
      <c r="H885">
        <f>IF(D885="REMOVE",COUNTIF($D$2:D885,"REMOVE"),"")</f>
        <v/>
      </c>
      <c r="I885">
        <f>IF(E885="Gmail",COUNTIF($E$2:E885,"Gmail"),"")</f>
        <v/>
      </c>
      <c r="J885">
        <f>IF(E885="Outlook",COUNTIF($E$2:E885,"Outlook"),"")</f>
        <v/>
      </c>
      <c r="K885">
        <f>IF(E885="Domain",COUNTIF($E$2:E885,"Domain"),"")</f>
        <v/>
      </c>
    </row>
    <row r="886">
      <c r="A886" s="2" t="n"/>
      <c r="B886">
        <f>LOWER(TRIM(A886))</f>
        <v/>
      </c>
      <c r="C886">
        <f>IF(B886="","",IFERROR(INDEX('Bad Patterns'!$A$2:$A$120,MATCH(1,INDEX(--ISNUMBER(SEARCH('Bad Patterns'!$A$2:$A$120,B886)),0),0)),""))</f>
        <v/>
      </c>
      <c r="D886">
        <f>IF(B886="","",IF(C886&lt;&gt;"","REMOVE","KEEP"))</f>
        <v/>
      </c>
      <c r="E886">
        <f>IF(D886&lt;&gt;"KEEP","",IF(RIGHT(B886,10)="@gmail.com","Gmail",IF(OR(RIGHT(B886,12)="@outlook.com",RIGHT(B886,12)="@hotmail.com",RIGHT(B886,9)="@live.com"),"Outlook","Domain")))</f>
        <v/>
      </c>
      <c r="F886">
        <f>IF(B886="","",IFERROR(RIGHT(B886,LEN(B886)-FIND("@",B886)),""))</f>
        <v/>
      </c>
      <c r="G886">
        <f>IF(D886="KEEP",COUNTIF($D$2:D886,"KEEP"),"")</f>
        <v/>
      </c>
      <c r="H886">
        <f>IF(D886="REMOVE",COUNTIF($D$2:D886,"REMOVE"),"")</f>
        <v/>
      </c>
      <c r="I886">
        <f>IF(E886="Gmail",COUNTIF($E$2:E886,"Gmail"),"")</f>
        <v/>
      </c>
      <c r="J886">
        <f>IF(E886="Outlook",COUNTIF($E$2:E886,"Outlook"),"")</f>
        <v/>
      </c>
      <c r="K886">
        <f>IF(E886="Domain",COUNTIF($E$2:E886,"Domain"),"")</f>
        <v/>
      </c>
    </row>
    <row r="887">
      <c r="A887" s="2" t="n"/>
      <c r="B887">
        <f>LOWER(TRIM(A887))</f>
        <v/>
      </c>
      <c r="C887">
        <f>IF(B887="","",IFERROR(INDEX('Bad Patterns'!$A$2:$A$120,MATCH(1,INDEX(--ISNUMBER(SEARCH('Bad Patterns'!$A$2:$A$120,B887)),0),0)),""))</f>
        <v/>
      </c>
      <c r="D887">
        <f>IF(B887="","",IF(C887&lt;&gt;"","REMOVE","KEEP"))</f>
        <v/>
      </c>
      <c r="E887">
        <f>IF(D887&lt;&gt;"KEEP","",IF(RIGHT(B887,10)="@gmail.com","Gmail",IF(OR(RIGHT(B887,12)="@outlook.com",RIGHT(B887,12)="@hotmail.com",RIGHT(B887,9)="@live.com"),"Outlook","Domain")))</f>
        <v/>
      </c>
      <c r="F887">
        <f>IF(B887="","",IFERROR(RIGHT(B887,LEN(B887)-FIND("@",B887)),""))</f>
        <v/>
      </c>
      <c r="G887">
        <f>IF(D887="KEEP",COUNTIF($D$2:D887,"KEEP"),"")</f>
        <v/>
      </c>
      <c r="H887">
        <f>IF(D887="REMOVE",COUNTIF($D$2:D887,"REMOVE"),"")</f>
        <v/>
      </c>
      <c r="I887">
        <f>IF(E887="Gmail",COUNTIF($E$2:E887,"Gmail"),"")</f>
        <v/>
      </c>
      <c r="J887">
        <f>IF(E887="Outlook",COUNTIF($E$2:E887,"Outlook"),"")</f>
        <v/>
      </c>
      <c r="K887">
        <f>IF(E887="Domain",COUNTIF($E$2:E887,"Domain"),"")</f>
        <v/>
      </c>
    </row>
    <row r="888">
      <c r="A888" s="2" t="n"/>
      <c r="B888">
        <f>LOWER(TRIM(A888))</f>
        <v/>
      </c>
      <c r="C888">
        <f>IF(B888="","",IFERROR(INDEX('Bad Patterns'!$A$2:$A$120,MATCH(1,INDEX(--ISNUMBER(SEARCH('Bad Patterns'!$A$2:$A$120,B888)),0),0)),""))</f>
        <v/>
      </c>
      <c r="D888">
        <f>IF(B888="","",IF(C888&lt;&gt;"","REMOVE","KEEP"))</f>
        <v/>
      </c>
      <c r="E888">
        <f>IF(D888&lt;&gt;"KEEP","",IF(RIGHT(B888,10)="@gmail.com","Gmail",IF(OR(RIGHT(B888,12)="@outlook.com",RIGHT(B888,12)="@hotmail.com",RIGHT(B888,9)="@live.com"),"Outlook","Domain")))</f>
        <v/>
      </c>
      <c r="F888">
        <f>IF(B888="","",IFERROR(RIGHT(B888,LEN(B888)-FIND("@",B888)),""))</f>
        <v/>
      </c>
      <c r="G888">
        <f>IF(D888="KEEP",COUNTIF($D$2:D888,"KEEP"),"")</f>
        <v/>
      </c>
      <c r="H888">
        <f>IF(D888="REMOVE",COUNTIF($D$2:D888,"REMOVE"),"")</f>
        <v/>
      </c>
      <c r="I888">
        <f>IF(E888="Gmail",COUNTIF($E$2:E888,"Gmail"),"")</f>
        <v/>
      </c>
      <c r="J888">
        <f>IF(E888="Outlook",COUNTIF($E$2:E888,"Outlook"),"")</f>
        <v/>
      </c>
      <c r="K888">
        <f>IF(E888="Domain",COUNTIF($E$2:E888,"Domain"),"")</f>
        <v/>
      </c>
    </row>
    <row r="889">
      <c r="A889" s="2" t="n"/>
      <c r="B889">
        <f>LOWER(TRIM(A889))</f>
        <v/>
      </c>
      <c r="C889">
        <f>IF(B889="","",IFERROR(INDEX('Bad Patterns'!$A$2:$A$120,MATCH(1,INDEX(--ISNUMBER(SEARCH('Bad Patterns'!$A$2:$A$120,B889)),0),0)),""))</f>
        <v/>
      </c>
      <c r="D889">
        <f>IF(B889="","",IF(C889&lt;&gt;"","REMOVE","KEEP"))</f>
        <v/>
      </c>
      <c r="E889">
        <f>IF(D889&lt;&gt;"KEEP","",IF(RIGHT(B889,10)="@gmail.com","Gmail",IF(OR(RIGHT(B889,12)="@outlook.com",RIGHT(B889,12)="@hotmail.com",RIGHT(B889,9)="@live.com"),"Outlook","Domain")))</f>
        <v/>
      </c>
      <c r="F889">
        <f>IF(B889="","",IFERROR(RIGHT(B889,LEN(B889)-FIND("@",B889)),""))</f>
        <v/>
      </c>
      <c r="G889">
        <f>IF(D889="KEEP",COUNTIF($D$2:D889,"KEEP"),"")</f>
        <v/>
      </c>
      <c r="H889">
        <f>IF(D889="REMOVE",COUNTIF($D$2:D889,"REMOVE"),"")</f>
        <v/>
      </c>
      <c r="I889">
        <f>IF(E889="Gmail",COUNTIF($E$2:E889,"Gmail"),"")</f>
        <v/>
      </c>
      <c r="J889">
        <f>IF(E889="Outlook",COUNTIF($E$2:E889,"Outlook"),"")</f>
        <v/>
      </c>
      <c r="K889">
        <f>IF(E889="Domain",COUNTIF($E$2:E889,"Domain"),"")</f>
        <v/>
      </c>
    </row>
    <row r="890">
      <c r="A890" s="2" t="n"/>
      <c r="B890">
        <f>LOWER(TRIM(A890))</f>
        <v/>
      </c>
      <c r="C890">
        <f>IF(B890="","",IFERROR(INDEX('Bad Patterns'!$A$2:$A$120,MATCH(1,INDEX(--ISNUMBER(SEARCH('Bad Patterns'!$A$2:$A$120,B890)),0),0)),""))</f>
        <v/>
      </c>
      <c r="D890">
        <f>IF(B890="","",IF(C890&lt;&gt;"","REMOVE","KEEP"))</f>
        <v/>
      </c>
      <c r="E890">
        <f>IF(D890&lt;&gt;"KEEP","",IF(RIGHT(B890,10)="@gmail.com","Gmail",IF(OR(RIGHT(B890,12)="@outlook.com",RIGHT(B890,12)="@hotmail.com",RIGHT(B890,9)="@live.com"),"Outlook","Domain")))</f>
        <v/>
      </c>
      <c r="F890">
        <f>IF(B890="","",IFERROR(RIGHT(B890,LEN(B890)-FIND("@",B890)),""))</f>
        <v/>
      </c>
      <c r="G890">
        <f>IF(D890="KEEP",COUNTIF($D$2:D890,"KEEP"),"")</f>
        <v/>
      </c>
      <c r="H890">
        <f>IF(D890="REMOVE",COUNTIF($D$2:D890,"REMOVE"),"")</f>
        <v/>
      </c>
      <c r="I890">
        <f>IF(E890="Gmail",COUNTIF($E$2:E890,"Gmail"),"")</f>
        <v/>
      </c>
      <c r="J890">
        <f>IF(E890="Outlook",COUNTIF($E$2:E890,"Outlook"),"")</f>
        <v/>
      </c>
      <c r="K890">
        <f>IF(E890="Domain",COUNTIF($E$2:E890,"Domain"),"")</f>
        <v/>
      </c>
    </row>
    <row r="891">
      <c r="A891" s="2" t="n"/>
      <c r="B891">
        <f>LOWER(TRIM(A891))</f>
        <v/>
      </c>
      <c r="C891">
        <f>IF(B891="","",IFERROR(INDEX('Bad Patterns'!$A$2:$A$120,MATCH(1,INDEX(--ISNUMBER(SEARCH('Bad Patterns'!$A$2:$A$120,B891)),0),0)),""))</f>
        <v/>
      </c>
      <c r="D891">
        <f>IF(B891="","",IF(C891&lt;&gt;"","REMOVE","KEEP"))</f>
        <v/>
      </c>
      <c r="E891">
        <f>IF(D891&lt;&gt;"KEEP","",IF(RIGHT(B891,10)="@gmail.com","Gmail",IF(OR(RIGHT(B891,12)="@outlook.com",RIGHT(B891,12)="@hotmail.com",RIGHT(B891,9)="@live.com"),"Outlook","Domain")))</f>
        <v/>
      </c>
      <c r="F891">
        <f>IF(B891="","",IFERROR(RIGHT(B891,LEN(B891)-FIND("@",B891)),""))</f>
        <v/>
      </c>
      <c r="G891">
        <f>IF(D891="KEEP",COUNTIF($D$2:D891,"KEEP"),"")</f>
        <v/>
      </c>
      <c r="H891">
        <f>IF(D891="REMOVE",COUNTIF($D$2:D891,"REMOVE"),"")</f>
        <v/>
      </c>
      <c r="I891">
        <f>IF(E891="Gmail",COUNTIF($E$2:E891,"Gmail"),"")</f>
        <v/>
      </c>
      <c r="J891">
        <f>IF(E891="Outlook",COUNTIF($E$2:E891,"Outlook"),"")</f>
        <v/>
      </c>
      <c r="K891">
        <f>IF(E891="Domain",COUNTIF($E$2:E891,"Domain"),"")</f>
        <v/>
      </c>
    </row>
    <row r="892">
      <c r="A892" s="2" t="n"/>
      <c r="B892">
        <f>LOWER(TRIM(A892))</f>
        <v/>
      </c>
      <c r="C892">
        <f>IF(B892="","",IFERROR(INDEX('Bad Patterns'!$A$2:$A$120,MATCH(1,INDEX(--ISNUMBER(SEARCH('Bad Patterns'!$A$2:$A$120,B892)),0),0)),""))</f>
        <v/>
      </c>
      <c r="D892">
        <f>IF(B892="","",IF(C892&lt;&gt;"","REMOVE","KEEP"))</f>
        <v/>
      </c>
      <c r="E892">
        <f>IF(D892&lt;&gt;"KEEP","",IF(RIGHT(B892,10)="@gmail.com","Gmail",IF(OR(RIGHT(B892,12)="@outlook.com",RIGHT(B892,12)="@hotmail.com",RIGHT(B892,9)="@live.com"),"Outlook","Domain")))</f>
        <v/>
      </c>
      <c r="F892">
        <f>IF(B892="","",IFERROR(RIGHT(B892,LEN(B892)-FIND("@",B892)),""))</f>
        <v/>
      </c>
      <c r="G892">
        <f>IF(D892="KEEP",COUNTIF($D$2:D892,"KEEP"),"")</f>
        <v/>
      </c>
      <c r="H892">
        <f>IF(D892="REMOVE",COUNTIF($D$2:D892,"REMOVE"),"")</f>
        <v/>
      </c>
      <c r="I892">
        <f>IF(E892="Gmail",COUNTIF($E$2:E892,"Gmail"),"")</f>
        <v/>
      </c>
      <c r="J892">
        <f>IF(E892="Outlook",COUNTIF($E$2:E892,"Outlook"),"")</f>
        <v/>
      </c>
      <c r="K892">
        <f>IF(E892="Domain",COUNTIF($E$2:E892,"Domain"),"")</f>
        <v/>
      </c>
    </row>
    <row r="893">
      <c r="A893" s="2" t="n"/>
      <c r="B893">
        <f>LOWER(TRIM(A893))</f>
        <v/>
      </c>
      <c r="C893">
        <f>IF(B893="","",IFERROR(INDEX('Bad Patterns'!$A$2:$A$120,MATCH(1,INDEX(--ISNUMBER(SEARCH('Bad Patterns'!$A$2:$A$120,B893)),0),0)),""))</f>
        <v/>
      </c>
      <c r="D893">
        <f>IF(B893="","",IF(C893&lt;&gt;"","REMOVE","KEEP"))</f>
        <v/>
      </c>
      <c r="E893">
        <f>IF(D893&lt;&gt;"KEEP","",IF(RIGHT(B893,10)="@gmail.com","Gmail",IF(OR(RIGHT(B893,12)="@outlook.com",RIGHT(B893,12)="@hotmail.com",RIGHT(B893,9)="@live.com"),"Outlook","Domain")))</f>
        <v/>
      </c>
      <c r="F893">
        <f>IF(B893="","",IFERROR(RIGHT(B893,LEN(B893)-FIND("@",B893)),""))</f>
        <v/>
      </c>
      <c r="G893">
        <f>IF(D893="KEEP",COUNTIF($D$2:D893,"KEEP"),"")</f>
        <v/>
      </c>
      <c r="H893">
        <f>IF(D893="REMOVE",COUNTIF($D$2:D893,"REMOVE"),"")</f>
        <v/>
      </c>
      <c r="I893">
        <f>IF(E893="Gmail",COUNTIF($E$2:E893,"Gmail"),"")</f>
        <v/>
      </c>
      <c r="J893">
        <f>IF(E893="Outlook",COUNTIF($E$2:E893,"Outlook"),"")</f>
        <v/>
      </c>
      <c r="K893">
        <f>IF(E893="Domain",COUNTIF($E$2:E893,"Domain"),"")</f>
        <v/>
      </c>
    </row>
    <row r="894">
      <c r="A894" s="2" t="n"/>
      <c r="B894">
        <f>LOWER(TRIM(A894))</f>
        <v/>
      </c>
      <c r="C894">
        <f>IF(B894="","",IFERROR(INDEX('Bad Patterns'!$A$2:$A$120,MATCH(1,INDEX(--ISNUMBER(SEARCH('Bad Patterns'!$A$2:$A$120,B894)),0),0)),""))</f>
        <v/>
      </c>
      <c r="D894">
        <f>IF(B894="","",IF(C894&lt;&gt;"","REMOVE","KEEP"))</f>
        <v/>
      </c>
      <c r="E894">
        <f>IF(D894&lt;&gt;"KEEP","",IF(RIGHT(B894,10)="@gmail.com","Gmail",IF(OR(RIGHT(B894,12)="@outlook.com",RIGHT(B894,12)="@hotmail.com",RIGHT(B894,9)="@live.com"),"Outlook","Domain")))</f>
        <v/>
      </c>
      <c r="F894">
        <f>IF(B894="","",IFERROR(RIGHT(B894,LEN(B894)-FIND("@",B894)),""))</f>
        <v/>
      </c>
      <c r="G894">
        <f>IF(D894="KEEP",COUNTIF($D$2:D894,"KEEP"),"")</f>
        <v/>
      </c>
      <c r="H894">
        <f>IF(D894="REMOVE",COUNTIF($D$2:D894,"REMOVE"),"")</f>
        <v/>
      </c>
      <c r="I894">
        <f>IF(E894="Gmail",COUNTIF($E$2:E894,"Gmail"),"")</f>
        <v/>
      </c>
      <c r="J894">
        <f>IF(E894="Outlook",COUNTIF($E$2:E894,"Outlook"),"")</f>
        <v/>
      </c>
      <c r="K894">
        <f>IF(E894="Domain",COUNTIF($E$2:E894,"Domain"),"")</f>
        <v/>
      </c>
    </row>
    <row r="895">
      <c r="A895" s="2" t="n"/>
      <c r="B895">
        <f>LOWER(TRIM(A895))</f>
        <v/>
      </c>
      <c r="C895">
        <f>IF(B895="","",IFERROR(INDEX('Bad Patterns'!$A$2:$A$120,MATCH(1,INDEX(--ISNUMBER(SEARCH('Bad Patterns'!$A$2:$A$120,B895)),0),0)),""))</f>
        <v/>
      </c>
      <c r="D895">
        <f>IF(B895="","",IF(C895&lt;&gt;"","REMOVE","KEEP"))</f>
        <v/>
      </c>
      <c r="E895">
        <f>IF(D895&lt;&gt;"KEEP","",IF(RIGHT(B895,10)="@gmail.com","Gmail",IF(OR(RIGHT(B895,12)="@outlook.com",RIGHT(B895,12)="@hotmail.com",RIGHT(B895,9)="@live.com"),"Outlook","Domain")))</f>
        <v/>
      </c>
      <c r="F895">
        <f>IF(B895="","",IFERROR(RIGHT(B895,LEN(B895)-FIND("@",B895)),""))</f>
        <v/>
      </c>
      <c r="G895">
        <f>IF(D895="KEEP",COUNTIF($D$2:D895,"KEEP"),"")</f>
        <v/>
      </c>
      <c r="H895">
        <f>IF(D895="REMOVE",COUNTIF($D$2:D895,"REMOVE"),"")</f>
        <v/>
      </c>
      <c r="I895">
        <f>IF(E895="Gmail",COUNTIF($E$2:E895,"Gmail"),"")</f>
        <v/>
      </c>
      <c r="J895">
        <f>IF(E895="Outlook",COUNTIF($E$2:E895,"Outlook"),"")</f>
        <v/>
      </c>
      <c r="K895">
        <f>IF(E895="Domain",COUNTIF($E$2:E895,"Domain"),"")</f>
        <v/>
      </c>
    </row>
    <row r="896">
      <c r="A896" s="2" t="n"/>
      <c r="B896">
        <f>LOWER(TRIM(A896))</f>
        <v/>
      </c>
      <c r="C896">
        <f>IF(B896="","",IFERROR(INDEX('Bad Patterns'!$A$2:$A$120,MATCH(1,INDEX(--ISNUMBER(SEARCH('Bad Patterns'!$A$2:$A$120,B896)),0),0)),""))</f>
        <v/>
      </c>
      <c r="D896">
        <f>IF(B896="","",IF(C896&lt;&gt;"","REMOVE","KEEP"))</f>
        <v/>
      </c>
      <c r="E896">
        <f>IF(D896&lt;&gt;"KEEP","",IF(RIGHT(B896,10)="@gmail.com","Gmail",IF(OR(RIGHT(B896,12)="@outlook.com",RIGHT(B896,12)="@hotmail.com",RIGHT(B896,9)="@live.com"),"Outlook","Domain")))</f>
        <v/>
      </c>
      <c r="F896">
        <f>IF(B896="","",IFERROR(RIGHT(B896,LEN(B896)-FIND("@",B896)),""))</f>
        <v/>
      </c>
      <c r="G896">
        <f>IF(D896="KEEP",COUNTIF($D$2:D896,"KEEP"),"")</f>
        <v/>
      </c>
      <c r="H896">
        <f>IF(D896="REMOVE",COUNTIF($D$2:D896,"REMOVE"),"")</f>
        <v/>
      </c>
      <c r="I896">
        <f>IF(E896="Gmail",COUNTIF($E$2:E896,"Gmail"),"")</f>
        <v/>
      </c>
      <c r="J896">
        <f>IF(E896="Outlook",COUNTIF($E$2:E896,"Outlook"),"")</f>
        <v/>
      </c>
      <c r="K896">
        <f>IF(E896="Domain",COUNTIF($E$2:E896,"Domain"),"")</f>
        <v/>
      </c>
    </row>
    <row r="897">
      <c r="A897" s="2" t="n"/>
      <c r="B897">
        <f>LOWER(TRIM(A897))</f>
        <v/>
      </c>
      <c r="C897">
        <f>IF(B897="","",IFERROR(INDEX('Bad Patterns'!$A$2:$A$120,MATCH(1,INDEX(--ISNUMBER(SEARCH('Bad Patterns'!$A$2:$A$120,B897)),0),0)),""))</f>
        <v/>
      </c>
      <c r="D897">
        <f>IF(B897="","",IF(C897&lt;&gt;"","REMOVE","KEEP"))</f>
        <v/>
      </c>
      <c r="E897">
        <f>IF(D897&lt;&gt;"KEEP","",IF(RIGHT(B897,10)="@gmail.com","Gmail",IF(OR(RIGHT(B897,12)="@outlook.com",RIGHT(B897,12)="@hotmail.com",RIGHT(B897,9)="@live.com"),"Outlook","Domain")))</f>
        <v/>
      </c>
      <c r="F897">
        <f>IF(B897="","",IFERROR(RIGHT(B897,LEN(B897)-FIND("@",B897)),""))</f>
        <v/>
      </c>
      <c r="G897">
        <f>IF(D897="KEEP",COUNTIF($D$2:D897,"KEEP"),"")</f>
        <v/>
      </c>
      <c r="H897">
        <f>IF(D897="REMOVE",COUNTIF($D$2:D897,"REMOVE"),"")</f>
        <v/>
      </c>
      <c r="I897">
        <f>IF(E897="Gmail",COUNTIF($E$2:E897,"Gmail"),"")</f>
        <v/>
      </c>
      <c r="J897">
        <f>IF(E897="Outlook",COUNTIF($E$2:E897,"Outlook"),"")</f>
        <v/>
      </c>
      <c r="K897">
        <f>IF(E897="Domain",COUNTIF($E$2:E897,"Domain"),"")</f>
        <v/>
      </c>
    </row>
    <row r="898">
      <c r="A898" s="2" t="n"/>
      <c r="B898">
        <f>LOWER(TRIM(A898))</f>
        <v/>
      </c>
      <c r="C898">
        <f>IF(B898="","",IFERROR(INDEX('Bad Patterns'!$A$2:$A$120,MATCH(1,INDEX(--ISNUMBER(SEARCH('Bad Patterns'!$A$2:$A$120,B898)),0),0)),""))</f>
        <v/>
      </c>
      <c r="D898">
        <f>IF(B898="","",IF(C898&lt;&gt;"","REMOVE","KEEP"))</f>
        <v/>
      </c>
      <c r="E898">
        <f>IF(D898&lt;&gt;"KEEP","",IF(RIGHT(B898,10)="@gmail.com","Gmail",IF(OR(RIGHT(B898,12)="@outlook.com",RIGHT(B898,12)="@hotmail.com",RIGHT(B898,9)="@live.com"),"Outlook","Domain")))</f>
        <v/>
      </c>
      <c r="F898">
        <f>IF(B898="","",IFERROR(RIGHT(B898,LEN(B898)-FIND("@",B898)),""))</f>
        <v/>
      </c>
      <c r="G898">
        <f>IF(D898="KEEP",COUNTIF($D$2:D898,"KEEP"),"")</f>
        <v/>
      </c>
      <c r="H898">
        <f>IF(D898="REMOVE",COUNTIF($D$2:D898,"REMOVE"),"")</f>
        <v/>
      </c>
      <c r="I898">
        <f>IF(E898="Gmail",COUNTIF($E$2:E898,"Gmail"),"")</f>
        <v/>
      </c>
      <c r="J898">
        <f>IF(E898="Outlook",COUNTIF($E$2:E898,"Outlook"),"")</f>
        <v/>
      </c>
      <c r="K898">
        <f>IF(E898="Domain",COUNTIF($E$2:E898,"Domain"),"")</f>
        <v/>
      </c>
    </row>
    <row r="899">
      <c r="A899" s="2" t="n"/>
      <c r="B899">
        <f>LOWER(TRIM(A899))</f>
        <v/>
      </c>
      <c r="C899">
        <f>IF(B899="","",IFERROR(INDEX('Bad Patterns'!$A$2:$A$120,MATCH(1,INDEX(--ISNUMBER(SEARCH('Bad Patterns'!$A$2:$A$120,B899)),0),0)),""))</f>
        <v/>
      </c>
      <c r="D899">
        <f>IF(B899="","",IF(C899&lt;&gt;"","REMOVE","KEEP"))</f>
        <v/>
      </c>
      <c r="E899">
        <f>IF(D899&lt;&gt;"KEEP","",IF(RIGHT(B899,10)="@gmail.com","Gmail",IF(OR(RIGHT(B899,12)="@outlook.com",RIGHT(B899,12)="@hotmail.com",RIGHT(B899,9)="@live.com"),"Outlook","Domain")))</f>
        <v/>
      </c>
      <c r="F899">
        <f>IF(B899="","",IFERROR(RIGHT(B899,LEN(B899)-FIND("@",B899)),""))</f>
        <v/>
      </c>
      <c r="G899">
        <f>IF(D899="KEEP",COUNTIF($D$2:D899,"KEEP"),"")</f>
        <v/>
      </c>
      <c r="H899">
        <f>IF(D899="REMOVE",COUNTIF($D$2:D899,"REMOVE"),"")</f>
        <v/>
      </c>
      <c r="I899">
        <f>IF(E899="Gmail",COUNTIF($E$2:E899,"Gmail"),"")</f>
        <v/>
      </c>
      <c r="J899">
        <f>IF(E899="Outlook",COUNTIF($E$2:E899,"Outlook"),"")</f>
        <v/>
      </c>
      <c r="K899">
        <f>IF(E899="Domain",COUNTIF($E$2:E899,"Domain"),"")</f>
        <v/>
      </c>
    </row>
    <row r="900">
      <c r="A900" s="2" t="n"/>
      <c r="B900">
        <f>LOWER(TRIM(A900))</f>
        <v/>
      </c>
      <c r="C900">
        <f>IF(B900="","",IFERROR(INDEX('Bad Patterns'!$A$2:$A$120,MATCH(1,INDEX(--ISNUMBER(SEARCH('Bad Patterns'!$A$2:$A$120,B900)),0),0)),""))</f>
        <v/>
      </c>
      <c r="D900">
        <f>IF(B900="","",IF(C900&lt;&gt;"","REMOVE","KEEP"))</f>
        <v/>
      </c>
      <c r="E900">
        <f>IF(D900&lt;&gt;"KEEP","",IF(RIGHT(B900,10)="@gmail.com","Gmail",IF(OR(RIGHT(B900,12)="@outlook.com",RIGHT(B900,12)="@hotmail.com",RIGHT(B900,9)="@live.com"),"Outlook","Domain")))</f>
        <v/>
      </c>
      <c r="F900">
        <f>IF(B900="","",IFERROR(RIGHT(B900,LEN(B900)-FIND("@",B900)),""))</f>
        <v/>
      </c>
      <c r="G900">
        <f>IF(D900="KEEP",COUNTIF($D$2:D900,"KEEP"),"")</f>
        <v/>
      </c>
      <c r="H900">
        <f>IF(D900="REMOVE",COUNTIF($D$2:D900,"REMOVE"),"")</f>
        <v/>
      </c>
      <c r="I900">
        <f>IF(E900="Gmail",COUNTIF($E$2:E900,"Gmail"),"")</f>
        <v/>
      </c>
      <c r="J900">
        <f>IF(E900="Outlook",COUNTIF($E$2:E900,"Outlook"),"")</f>
        <v/>
      </c>
      <c r="K900">
        <f>IF(E900="Domain",COUNTIF($E$2:E900,"Domain"),"")</f>
        <v/>
      </c>
    </row>
    <row r="901">
      <c r="A901" s="2" t="n"/>
      <c r="B901">
        <f>LOWER(TRIM(A901))</f>
        <v/>
      </c>
      <c r="C901">
        <f>IF(B901="","",IFERROR(INDEX('Bad Patterns'!$A$2:$A$120,MATCH(1,INDEX(--ISNUMBER(SEARCH('Bad Patterns'!$A$2:$A$120,B901)),0),0)),""))</f>
        <v/>
      </c>
      <c r="D901">
        <f>IF(B901="","",IF(C901&lt;&gt;"","REMOVE","KEEP"))</f>
        <v/>
      </c>
      <c r="E901">
        <f>IF(D901&lt;&gt;"KEEP","",IF(RIGHT(B901,10)="@gmail.com","Gmail",IF(OR(RIGHT(B901,12)="@outlook.com",RIGHT(B901,12)="@hotmail.com",RIGHT(B901,9)="@live.com"),"Outlook","Domain")))</f>
        <v/>
      </c>
      <c r="F901">
        <f>IF(B901="","",IFERROR(RIGHT(B901,LEN(B901)-FIND("@",B901)),""))</f>
        <v/>
      </c>
      <c r="G901">
        <f>IF(D901="KEEP",COUNTIF($D$2:D901,"KEEP"),"")</f>
        <v/>
      </c>
      <c r="H901">
        <f>IF(D901="REMOVE",COUNTIF($D$2:D901,"REMOVE"),"")</f>
        <v/>
      </c>
      <c r="I901">
        <f>IF(E901="Gmail",COUNTIF($E$2:E901,"Gmail"),"")</f>
        <v/>
      </c>
      <c r="J901">
        <f>IF(E901="Outlook",COUNTIF($E$2:E901,"Outlook"),"")</f>
        <v/>
      </c>
      <c r="K901">
        <f>IF(E901="Domain",COUNTIF($E$2:E901,"Domain"),"")</f>
        <v/>
      </c>
    </row>
    <row r="902">
      <c r="A902" s="2" t="n"/>
      <c r="B902">
        <f>LOWER(TRIM(A902))</f>
        <v/>
      </c>
      <c r="C902">
        <f>IF(B902="","",IFERROR(INDEX('Bad Patterns'!$A$2:$A$120,MATCH(1,INDEX(--ISNUMBER(SEARCH('Bad Patterns'!$A$2:$A$120,B902)),0),0)),""))</f>
        <v/>
      </c>
      <c r="D902">
        <f>IF(B902="","",IF(C902&lt;&gt;"","REMOVE","KEEP"))</f>
        <v/>
      </c>
      <c r="E902">
        <f>IF(D902&lt;&gt;"KEEP","",IF(RIGHT(B902,10)="@gmail.com","Gmail",IF(OR(RIGHT(B902,12)="@outlook.com",RIGHT(B902,12)="@hotmail.com",RIGHT(B902,9)="@live.com"),"Outlook","Domain")))</f>
        <v/>
      </c>
      <c r="F902">
        <f>IF(B902="","",IFERROR(RIGHT(B902,LEN(B902)-FIND("@",B902)),""))</f>
        <v/>
      </c>
      <c r="G902">
        <f>IF(D902="KEEP",COUNTIF($D$2:D902,"KEEP"),"")</f>
        <v/>
      </c>
      <c r="H902">
        <f>IF(D902="REMOVE",COUNTIF($D$2:D902,"REMOVE"),"")</f>
        <v/>
      </c>
      <c r="I902">
        <f>IF(E902="Gmail",COUNTIF($E$2:E902,"Gmail"),"")</f>
        <v/>
      </c>
      <c r="J902">
        <f>IF(E902="Outlook",COUNTIF($E$2:E902,"Outlook"),"")</f>
        <v/>
      </c>
      <c r="K902">
        <f>IF(E902="Domain",COUNTIF($E$2:E902,"Domain"),"")</f>
        <v/>
      </c>
    </row>
    <row r="903">
      <c r="A903" s="2" t="n"/>
      <c r="B903">
        <f>LOWER(TRIM(A903))</f>
        <v/>
      </c>
      <c r="C903">
        <f>IF(B903="","",IFERROR(INDEX('Bad Patterns'!$A$2:$A$120,MATCH(1,INDEX(--ISNUMBER(SEARCH('Bad Patterns'!$A$2:$A$120,B903)),0),0)),""))</f>
        <v/>
      </c>
      <c r="D903">
        <f>IF(B903="","",IF(C903&lt;&gt;"","REMOVE","KEEP"))</f>
        <v/>
      </c>
      <c r="E903">
        <f>IF(D903&lt;&gt;"KEEP","",IF(RIGHT(B903,10)="@gmail.com","Gmail",IF(OR(RIGHT(B903,12)="@outlook.com",RIGHT(B903,12)="@hotmail.com",RIGHT(B903,9)="@live.com"),"Outlook","Domain")))</f>
        <v/>
      </c>
      <c r="F903">
        <f>IF(B903="","",IFERROR(RIGHT(B903,LEN(B903)-FIND("@",B903)),""))</f>
        <v/>
      </c>
      <c r="G903">
        <f>IF(D903="KEEP",COUNTIF($D$2:D903,"KEEP"),"")</f>
        <v/>
      </c>
      <c r="H903">
        <f>IF(D903="REMOVE",COUNTIF($D$2:D903,"REMOVE"),"")</f>
        <v/>
      </c>
      <c r="I903">
        <f>IF(E903="Gmail",COUNTIF($E$2:E903,"Gmail"),"")</f>
        <v/>
      </c>
      <c r="J903">
        <f>IF(E903="Outlook",COUNTIF($E$2:E903,"Outlook"),"")</f>
        <v/>
      </c>
      <c r="K903">
        <f>IF(E903="Domain",COUNTIF($E$2:E903,"Domain"),"")</f>
        <v/>
      </c>
    </row>
    <row r="904">
      <c r="A904" s="2" t="n"/>
      <c r="B904">
        <f>LOWER(TRIM(A904))</f>
        <v/>
      </c>
      <c r="C904">
        <f>IF(B904="","",IFERROR(INDEX('Bad Patterns'!$A$2:$A$120,MATCH(1,INDEX(--ISNUMBER(SEARCH('Bad Patterns'!$A$2:$A$120,B904)),0),0)),""))</f>
        <v/>
      </c>
      <c r="D904">
        <f>IF(B904="","",IF(C904&lt;&gt;"","REMOVE","KEEP"))</f>
        <v/>
      </c>
      <c r="E904">
        <f>IF(D904&lt;&gt;"KEEP","",IF(RIGHT(B904,10)="@gmail.com","Gmail",IF(OR(RIGHT(B904,12)="@outlook.com",RIGHT(B904,12)="@hotmail.com",RIGHT(B904,9)="@live.com"),"Outlook","Domain")))</f>
        <v/>
      </c>
      <c r="F904">
        <f>IF(B904="","",IFERROR(RIGHT(B904,LEN(B904)-FIND("@",B904)),""))</f>
        <v/>
      </c>
      <c r="G904">
        <f>IF(D904="KEEP",COUNTIF($D$2:D904,"KEEP"),"")</f>
        <v/>
      </c>
      <c r="H904">
        <f>IF(D904="REMOVE",COUNTIF($D$2:D904,"REMOVE"),"")</f>
        <v/>
      </c>
      <c r="I904">
        <f>IF(E904="Gmail",COUNTIF($E$2:E904,"Gmail"),"")</f>
        <v/>
      </c>
      <c r="J904">
        <f>IF(E904="Outlook",COUNTIF($E$2:E904,"Outlook"),"")</f>
        <v/>
      </c>
      <c r="K904">
        <f>IF(E904="Domain",COUNTIF($E$2:E904,"Domain"),"")</f>
        <v/>
      </c>
    </row>
    <row r="905">
      <c r="A905" s="2" t="n"/>
      <c r="B905">
        <f>LOWER(TRIM(A905))</f>
        <v/>
      </c>
      <c r="C905">
        <f>IF(B905="","",IFERROR(INDEX('Bad Patterns'!$A$2:$A$120,MATCH(1,INDEX(--ISNUMBER(SEARCH('Bad Patterns'!$A$2:$A$120,B905)),0),0)),""))</f>
        <v/>
      </c>
      <c r="D905">
        <f>IF(B905="","",IF(C905&lt;&gt;"","REMOVE","KEEP"))</f>
        <v/>
      </c>
      <c r="E905">
        <f>IF(D905&lt;&gt;"KEEP","",IF(RIGHT(B905,10)="@gmail.com","Gmail",IF(OR(RIGHT(B905,12)="@outlook.com",RIGHT(B905,12)="@hotmail.com",RIGHT(B905,9)="@live.com"),"Outlook","Domain")))</f>
        <v/>
      </c>
      <c r="F905">
        <f>IF(B905="","",IFERROR(RIGHT(B905,LEN(B905)-FIND("@",B905)),""))</f>
        <v/>
      </c>
      <c r="G905">
        <f>IF(D905="KEEP",COUNTIF($D$2:D905,"KEEP"),"")</f>
        <v/>
      </c>
      <c r="H905">
        <f>IF(D905="REMOVE",COUNTIF($D$2:D905,"REMOVE"),"")</f>
        <v/>
      </c>
      <c r="I905">
        <f>IF(E905="Gmail",COUNTIF($E$2:E905,"Gmail"),"")</f>
        <v/>
      </c>
      <c r="J905">
        <f>IF(E905="Outlook",COUNTIF($E$2:E905,"Outlook"),"")</f>
        <v/>
      </c>
      <c r="K905">
        <f>IF(E905="Domain",COUNTIF($E$2:E905,"Domain"),"")</f>
        <v/>
      </c>
    </row>
    <row r="906">
      <c r="A906" s="2" t="n"/>
      <c r="B906">
        <f>LOWER(TRIM(A906))</f>
        <v/>
      </c>
      <c r="C906">
        <f>IF(B906="","",IFERROR(INDEX('Bad Patterns'!$A$2:$A$120,MATCH(1,INDEX(--ISNUMBER(SEARCH('Bad Patterns'!$A$2:$A$120,B906)),0),0)),""))</f>
        <v/>
      </c>
      <c r="D906">
        <f>IF(B906="","",IF(C906&lt;&gt;"","REMOVE","KEEP"))</f>
        <v/>
      </c>
      <c r="E906">
        <f>IF(D906&lt;&gt;"KEEP","",IF(RIGHT(B906,10)="@gmail.com","Gmail",IF(OR(RIGHT(B906,12)="@outlook.com",RIGHT(B906,12)="@hotmail.com",RIGHT(B906,9)="@live.com"),"Outlook","Domain")))</f>
        <v/>
      </c>
      <c r="F906">
        <f>IF(B906="","",IFERROR(RIGHT(B906,LEN(B906)-FIND("@",B906)),""))</f>
        <v/>
      </c>
      <c r="G906">
        <f>IF(D906="KEEP",COUNTIF($D$2:D906,"KEEP"),"")</f>
        <v/>
      </c>
      <c r="H906">
        <f>IF(D906="REMOVE",COUNTIF($D$2:D906,"REMOVE"),"")</f>
        <v/>
      </c>
      <c r="I906">
        <f>IF(E906="Gmail",COUNTIF($E$2:E906,"Gmail"),"")</f>
        <v/>
      </c>
      <c r="J906">
        <f>IF(E906="Outlook",COUNTIF($E$2:E906,"Outlook"),"")</f>
        <v/>
      </c>
      <c r="K906">
        <f>IF(E906="Domain",COUNTIF($E$2:E906,"Domain"),"")</f>
        <v/>
      </c>
    </row>
    <row r="907">
      <c r="A907" s="2" t="n"/>
      <c r="B907">
        <f>LOWER(TRIM(A907))</f>
        <v/>
      </c>
      <c r="C907">
        <f>IF(B907="","",IFERROR(INDEX('Bad Patterns'!$A$2:$A$120,MATCH(1,INDEX(--ISNUMBER(SEARCH('Bad Patterns'!$A$2:$A$120,B907)),0),0)),""))</f>
        <v/>
      </c>
      <c r="D907">
        <f>IF(B907="","",IF(C907&lt;&gt;"","REMOVE","KEEP"))</f>
        <v/>
      </c>
      <c r="E907">
        <f>IF(D907&lt;&gt;"KEEP","",IF(RIGHT(B907,10)="@gmail.com","Gmail",IF(OR(RIGHT(B907,12)="@outlook.com",RIGHT(B907,12)="@hotmail.com",RIGHT(B907,9)="@live.com"),"Outlook","Domain")))</f>
        <v/>
      </c>
      <c r="F907">
        <f>IF(B907="","",IFERROR(RIGHT(B907,LEN(B907)-FIND("@",B907)),""))</f>
        <v/>
      </c>
      <c r="G907">
        <f>IF(D907="KEEP",COUNTIF($D$2:D907,"KEEP"),"")</f>
        <v/>
      </c>
      <c r="H907">
        <f>IF(D907="REMOVE",COUNTIF($D$2:D907,"REMOVE"),"")</f>
        <v/>
      </c>
      <c r="I907">
        <f>IF(E907="Gmail",COUNTIF($E$2:E907,"Gmail"),"")</f>
        <v/>
      </c>
      <c r="J907">
        <f>IF(E907="Outlook",COUNTIF($E$2:E907,"Outlook"),"")</f>
        <v/>
      </c>
      <c r="K907">
        <f>IF(E907="Domain",COUNTIF($E$2:E907,"Domain"),"")</f>
        <v/>
      </c>
    </row>
    <row r="908">
      <c r="A908" s="2" t="n"/>
      <c r="B908">
        <f>LOWER(TRIM(A908))</f>
        <v/>
      </c>
      <c r="C908">
        <f>IF(B908="","",IFERROR(INDEX('Bad Patterns'!$A$2:$A$120,MATCH(1,INDEX(--ISNUMBER(SEARCH('Bad Patterns'!$A$2:$A$120,B908)),0),0)),""))</f>
        <v/>
      </c>
      <c r="D908">
        <f>IF(B908="","",IF(C908&lt;&gt;"","REMOVE","KEEP"))</f>
        <v/>
      </c>
      <c r="E908">
        <f>IF(D908&lt;&gt;"KEEP","",IF(RIGHT(B908,10)="@gmail.com","Gmail",IF(OR(RIGHT(B908,12)="@outlook.com",RIGHT(B908,12)="@hotmail.com",RIGHT(B908,9)="@live.com"),"Outlook","Domain")))</f>
        <v/>
      </c>
      <c r="F908">
        <f>IF(B908="","",IFERROR(RIGHT(B908,LEN(B908)-FIND("@",B908)),""))</f>
        <v/>
      </c>
      <c r="G908">
        <f>IF(D908="KEEP",COUNTIF($D$2:D908,"KEEP"),"")</f>
        <v/>
      </c>
      <c r="H908">
        <f>IF(D908="REMOVE",COUNTIF($D$2:D908,"REMOVE"),"")</f>
        <v/>
      </c>
      <c r="I908">
        <f>IF(E908="Gmail",COUNTIF($E$2:E908,"Gmail"),"")</f>
        <v/>
      </c>
      <c r="J908">
        <f>IF(E908="Outlook",COUNTIF($E$2:E908,"Outlook"),"")</f>
        <v/>
      </c>
      <c r="K908">
        <f>IF(E908="Domain",COUNTIF($E$2:E908,"Domain"),"")</f>
        <v/>
      </c>
    </row>
    <row r="909">
      <c r="A909" s="2" t="n"/>
      <c r="B909">
        <f>LOWER(TRIM(A909))</f>
        <v/>
      </c>
      <c r="C909">
        <f>IF(B909="","",IFERROR(INDEX('Bad Patterns'!$A$2:$A$120,MATCH(1,INDEX(--ISNUMBER(SEARCH('Bad Patterns'!$A$2:$A$120,B909)),0),0)),""))</f>
        <v/>
      </c>
      <c r="D909">
        <f>IF(B909="","",IF(C909&lt;&gt;"","REMOVE","KEEP"))</f>
        <v/>
      </c>
      <c r="E909">
        <f>IF(D909&lt;&gt;"KEEP","",IF(RIGHT(B909,10)="@gmail.com","Gmail",IF(OR(RIGHT(B909,12)="@outlook.com",RIGHT(B909,12)="@hotmail.com",RIGHT(B909,9)="@live.com"),"Outlook","Domain")))</f>
        <v/>
      </c>
      <c r="F909">
        <f>IF(B909="","",IFERROR(RIGHT(B909,LEN(B909)-FIND("@",B909)),""))</f>
        <v/>
      </c>
      <c r="G909">
        <f>IF(D909="KEEP",COUNTIF($D$2:D909,"KEEP"),"")</f>
        <v/>
      </c>
      <c r="H909">
        <f>IF(D909="REMOVE",COUNTIF($D$2:D909,"REMOVE"),"")</f>
        <v/>
      </c>
      <c r="I909">
        <f>IF(E909="Gmail",COUNTIF($E$2:E909,"Gmail"),"")</f>
        <v/>
      </c>
      <c r="J909">
        <f>IF(E909="Outlook",COUNTIF($E$2:E909,"Outlook"),"")</f>
        <v/>
      </c>
      <c r="K909">
        <f>IF(E909="Domain",COUNTIF($E$2:E909,"Domain"),"")</f>
        <v/>
      </c>
    </row>
    <row r="910">
      <c r="A910" s="2" t="n"/>
      <c r="B910">
        <f>LOWER(TRIM(A910))</f>
        <v/>
      </c>
      <c r="C910">
        <f>IF(B910="","",IFERROR(INDEX('Bad Patterns'!$A$2:$A$120,MATCH(1,INDEX(--ISNUMBER(SEARCH('Bad Patterns'!$A$2:$A$120,B910)),0),0)),""))</f>
        <v/>
      </c>
      <c r="D910">
        <f>IF(B910="","",IF(C910&lt;&gt;"","REMOVE","KEEP"))</f>
        <v/>
      </c>
      <c r="E910">
        <f>IF(D910&lt;&gt;"KEEP","",IF(RIGHT(B910,10)="@gmail.com","Gmail",IF(OR(RIGHT(B910,12)="@outlook.com",RIGHT(B910,12)="@hotmail.com",RIGHT(B910,9)="@live.com"),"Outlook","Domain")))</f>
        <v/>
      </c>
      <c r="F910">
        <f>IF(B910="","",IFERROR(RIGHT(B910,LEN(B910)-FIND("@",B910)),""))</f>
        <v/>
      </c>
      <c r="G910">
        <f>IF(D910="KEEP",COUNTIF($D$2:D910,"KEEP"),"")</f>
        <v/>
      </c>
      <c r="H910">
        <f>IF(D910="REMOVE",COUNTIF($D$2:D910,"REMOVE"),"")</f>
        <v/>
      </c>
      <c r="I910">
        <f>IF(E910="Gmail",COUNTIF($E$2:E910,"Gmail"),"")</f>
        <v/>
      </c>
      <c r="J910">
        <f>IF(E910="Outlook",COUNTIF($E$2:E910,"Outlook"),"")</f>
        <v/>
      </c>
      <c r="K910">
        <f>IF(E910="Domain",COUNTIF($E$2:E910,"Domain"),"")</f>
        <v/>
      </c>
    </row>
    <row r="911">
      <c r="A911" s="2" t="n"/>
      <c r="B911">
        <f>LOWER(TRIM(A911))</f>
        <v/>
      </c>
      <c r="C911">
        <f>IF(B911="","",IFERROR(INDEX('Bad Patterns'!$A$2:$A$120,MATCH(1,INDEX(--ISNUMBER(SEARCH('Bad Patterns'!$A$2:$A$120,B911)),0),0)),""))</f>
        <v/>
      </c>
      <c r="D911">
        <f>IF(B911="","",IF(C911&lt;&gt;"","REMOVE","KEEP"))</f>
        <v/>
      </c>
      <c r="E911">
        <f>IF(D911&lt;&gt;"KEEP","",IF(RIGHT(B911,10)="@gmail.com","Gmail",IF(OR(RIGHT(B911,12)="@outlook.com",RIGHT(B911,12)="@hotmail.com",RIGHT(B911,9)="@live.com"),"Outlook","Domain")))</f>
        <v/>
      </c>
      <c r="F911">
        <f>IF(B911="","",IFERROR(RIGHT(B911,LEN(B911)-FIND("@",B911)),""))</f>
        <v/>
      </c>
      <c r="G911">
        <f>IF(D911="KEEP",COUNTIF($D$2:D911,"KEEP"),"")</f>
        <v/>
      </c>
      <c r="H911">
        <f>IF(D911="REMOVE",COUNTIF($D$2:D911,"REMOVE"),"")</f>
        <v/>
      </c>
      <c r="I911">
        <f>IF(E911="Gmail",COUNTIF($E$2:E911,"Gmail"),"")</f>
        <v/>
      </c>
      <c r="J911">
        <f>IF(E911="Outlook",COUNTIF($E$2:E911,"Outlook"),"")</f>
        <v/>
      </c>
      <c r="K911">
        <f>IF(E911="Domain",COUNTIF($E$2:E911,"Domain"),"")</f>
        <v/>
      </c>
    </row>
    <row r="912">
      <c r="A912" s="2" t="n"/>
      <c r="B912">
        <f>LOWER(TRIM(A912))</f>
        <v/>
      </c>
      <c r="C912">
        <f>IF(B912="","",IFERROR(INDEX('Bad Patterns'!$A$2:$A$120,MATCH(1,INDEX(--ISNUMBER(SEARCH('Bad Patterns'!$A$2:$A$120,B912)),0),0)),""))</f>
        <v/>
      </c>
      <c r="D912">
        <f>IF(B912="","",IF(C912&lt;&gt;"","REMOVE","KEEP"))</f>
        <v/>
      </c>
      <c r="E912">
        <f>IF(D912&lt;&gt;"KEEP","",IF(RIGHT(B912,10)="@gmail.com","Gmail",IF(OR(RIGHT(B912,12)="@outlook.com",RIGHT(B912,12)="@hotmail.com",RIGHT(B912,9)="@live.com"),"Outlook","Domain")))</f>
        <v/>
      </c>
      <c r="F912">
        <f>IF(B912="","",IFERROR(RIGHT(B912,LEN(B912)-FIND("@",B912)),""))</f>
        <v/>
      </c>
      <c r="G912">
        <f>IF(D912="KEEP",COUNTIF($D$2:D912,"KEEP"),"")</f>
        <v/>
      </c>
      <c r="H912">
        <f>IF(D912="REMOVE",COUNTIF($D$2:D912,"REMOVE"),"")</f>
        <v/>
      </c>
      <c r="I912">
        <f>IF(E912="Gmail",COUNTIF($E$2:E912,"Gmail"),"")</f>
        <v/>
      </c>
      <c r="J912">
        <f>IF(E912="Outlook",COUNTIF($E$2:E912,"Outlook"),"")</f>
        <v/>
      </c>
      <c r="K912">
        <f>IF(E912="Domain",COUNTIF($E$2:E912,"Domain"),"")</f>
        <v/>
      </c>
    </row>
    <row r="913">
      <c r="A913" s="2" t="n"/>
      <c r="B913">
        <f>LOWER(TRIM(A913))</f>
        <v/>
      </c>
      <c r="C913">
        <f>IF(B913="","",IFERROR(INDEX('Bad Patterns'!$A$2:$A$120,MATCH(1,INDEX(--ISNUMBER(SEARCH('Bad Patterns'!$A$2:$A$120,B913)),0),0)),""))</f>
        <v/>
      </c>
      <c r="D913">
        <f>IF(B913="","",IF(C913&lt;&gt;"","REMOVE","KEEP"))</f>
        <v/>
      </c>
      <c r="E913">
        <f>IF(D913&lt;&gt;"KEEP","",IF(RIGHT(B913,10)="@gmail.com","Gmail",IF(OR(RIGHT(B913,12)="@outlook.com",RIGHT(B913,12)="@hotmail.com",RIGHT(B913,9)="@live.com"),"Outlook","Domain")))</f>
        <v/>
      </c>
      <c r="F913">
        <f>IF(B913="","",IFERROR(RIGHT(B913,LEN(B913)-FIND("@",B913)),""))</f>
        <v/>
      </c>
      <c r="G913">
        <f>IF(D913="KEEP",COUNTIF($D$2:D913,"KEEP"),"")</f>
        <v/>
      </c>
      <c r="H913">
        <f>IF(D913="REMOVE",COUNTIF($D$2:D913,"REMOVE"),"")</f>
        <v/>
      </c>
      <c r="I913">
        <f>IF(E913="Gmail",COUNTIF($E$2:E913,"Gmail"),"")</f>
        <v/>
      </c>
      <c r="J913">
        <f>IF(E913="Outlook",COUNTIF($E$2:E913,"Outlook"),"")</f>
        <v/>
      </c>
      <c r="K913">
        <f>IF(E913="Domain",COUNTIF($E$2:E913,"Domain"),"")</f>
        <v/>
      </c>
    </row>
    <row r="914">
      <c r="A914" s="2" t="n"/>
      <c r="B914">
        <f>LOWER(TRIM(A914))</f>
        <v/>
      </c>
      <c r="C914">
        <f>IF(B914="","",IFERROR(INDEX('Bad Patterns'!$A$2:$A$120,MATCH(1,INDEX(--ISNUMBER(SEARCH('Bad Patterns'!$A$2:$A$120,B914)),0),0)),""))</f>
        <v/>
      </c>
      <c r="D914">
        <f>IF(B914="","",IF(C914&lt;&gt;"","REMOVE","KEEP"))</f>
        <v/>
      </c>
      <c r="E914">
        <f>IF(D914&lt;&gt;"KEEP","",IF(RIGHT(B914,10)="@gmail.com","Gmail",IF(OR(RIGHT(B914,12)="@outlook.com",RIGHT(B914,12)="@hotmail.com",RIGHT(B914,9)="@live.com"),"Outlook","Domain")))</f>
        <v/>
      </c>
      <c r="F914">
        <f>IF(B914="","",IFERROR(RIGHT(B914,LEN(B914)-FIND("@",B914)),""))</f>
        <v/>
      </c>
      <c r="G914">
        <f>IF(D914="KEEP",COUNTIF($D$2:D914,"KEEP"),"")</f>
        <v/>
      </c>
      <c r="H914">
        <f>IF(D914="REMOVE",COUNTIF($D$2:D914,"REMOVE"),"")</f>
        <v/>
      </c>
      <c r="I914">
        <f>IF(E914="Gmail",COUNTIF($E$2:E914,"Gmail"),"")</f>
        <v/>
      </c>
      <c r="J914">
        <f>IF(E914="Outlook",COUNTIF($E$2:E914,"Outlook"),"")</f>
        <v/>
      </c>
      <c r="K914">
        <f>IF(E914="Domain",COUNTIF($E$2:E914,"Domain"),"")</f>
        <v/>
      </c>
    </row>
    <row r="915">
      <c r="A915" s="2" t="n"/>
      <c r="B915">
        <f>LOWER(TRIM(A915))</f>
        <v/>
      </c>
      <c r="C915">
        <f>IF(B915="","",IFERROR(INDEX('Bad Patterns'!$A$2:$A$120,MATCH(1,INDEX(--ISNUMBER(SEARCH('Bad Patterns'!$A$2:$A$120,B915)),0),0)),""))</f>
        <v/>
      </c>
      <c r="D915">
        <f>IF(B915="","",IF(C915&lt;&gt;"","REMOVE","KEEP"))</f>
        <v/>
      </c>
      <c r="E915">
        <f>IF(D915&lt;&gt;"KEEP","",IF(RIGHT(B915,10)="@gmail.com","Gmail",IF(OR(RIGHT(B915,12)="@outlook.com",RIGHT(B915,12)="@hotmail.com",RIGHT(B915,9)="@live.com"),"Outlook","Domain")))</f>
        <v/>
      </c>
      <c r="F915">
        <f>IF(B915="","",IFERROR(RIGHT(B915,LEN(B915)-FIND("@",B915)),""))</f>
        <v/>
      </c>
      <c r="G915">
        <f>IF(D915="KEEP",COUNTIF($D$2:D915,"KEEP"),"")</f>
        <v/>
      </c>
      <c r="H915">
        <f>IF(D915="REMOVE",COUNTIF($D$2:D915,"REMOVE"),"")</f>
        <v/>
      </c>
      <c r="I915">
        <f>IF(E915="Gmail",COUNTIF($E$2:E915,"Gmail"),"")</f>
        <v/>
      </c>
      <c r="J915">
        <f>IF(E915="Outlook",COUNTIF($E$2:E915,"Outlook"),"")</f>
        <v/>
      </c>
      <c r="K915">
        <f>IF(E915="Domain",COUNTIF($E$2:E915,"Domain"),"")</f>
        <v/>
      </c>
    </row>
    <row r="916">
      <c r="A916" s="2" t="n"/>
      <c r="B916">
        <f>LOWER(TRIM(A916))</f>
        <v/>
      </c>
      <c r="C916">
        <f>IF(B916="","",IFERROR(INDEX('Bad Patterns'!$A$2:$A$120,MATCH(1,INDEX(--ISNUMBER(SEARCH('Bad Patterns'!$A$2:$A$120,B916)),0),0)),""))</f>
        <v/>
      </c>
      <c r="D916">
        <f>IF(B916="","",IF(C916&lt;&gt;"","REMOVE","KEEP"))</f>
        <v/>
      </c>
      <c r="E916">
        <f>IF(D916&lt;&gt;"KEEP","",IF(RIGHT(B916,10)="@gmail.com","Gmail",IF(OR(RIGHT(B916,12)="@outlook.com",RIGHT(B916,12)="@hotmail.com",RIGHT(B916,9)="@live.com"),"Outlook","Domain")))</f>
        <v/>
      </c>
      <c r="F916">
        <f>IF(B916="","",IFERROR(RIGHT(B916,LEN(B916)-FIND("@",B916)),""))</f>
        <v/>
      </c>
      <c r="G916">
        <f>IF(D916="KEEP",COUNTIF($D$2:D916,"KEEP"),"")</f>
        <v/>
      </c>
      <c r="H916">
        <f>IF(D916="REMOVE",COUNTIF($D$2:D916,"REMOVE"),"")</f>
        <v/>
      </c>
      <c r="I916">
        <f>IF(E916="Gmail",COUNTIF($E$2:E916,"Gmail"),"")</f>
        <v/>
      </c>
      <c r="J916">
        <f>IF(E916="Outlook",COUNTIF($E$2:E916,"Outlook"),"")</f>
        <v/>
      </c>
      <c r="K916">
        <f>IF(E916="Domain",COUNTIF($E$2:E916,"Domain"),"")</f>
        <v/>
      </c>
    </row>
    <row r="917">
      <c r="A917" s="2" t="n"/>
      <c r="B917">
        <f>LOWER(TRIM(A917))</f>
        <v/>
      </c>
      <c r="C917">
        <f>IF(B917="","",IFERROR(INDEX('Bad Patterns'!$A$2:$A$120,MATCH(1,INDEX(--ISNUMBER(SEARCH('Bad Patterns'!$A$2:$A$120,B917)),0),0)),""))</f>
        <v/>
      </c>
      <c r="D917">
        <f>IF(B917="","",IF(C917&lt;&gt;"","REMOVE","KEEP"))</f>
        <v/>
      </c>
      <c r="E917">
        <f>IF(D917&lt;&gt;"KEEP","",IF(RIGHT(B917,10)="@gmail.com","Gmail",IF(OR(RIGHT(B917,12)="@outlook.com",RIGHT(B917,12)="@hotmail.com",RIGHT(B917,9)="@live.com"),"Outlook","Domain")))</f>
        <v/>
      </c>
      <c r="F917">
        <f>IF(B917="","",IFERROR(RIGHT(B917,LEN(B917)-FIND("@",B917)),""))</f>
        <v/>
      </c>
      <c r="G917">
        <f>IF(D917="KEEP",COUNTIF($D$2:D917,"KEEP"),"")</f>
        <v/>
      </c>
      <c r="H917">
        <f>IF(D917="REMOVE",COUNTIF($D$2:D917,"REMOVE"),"")</f>
        <v/>
      </c>
      <c r="I917">
        <f>IF(E917="Gmail",COUNTIF($E$2:E917,"Gmail"),"")</f>
        <v/>
      </c>
      <c r="J917">
        <f>IF(E917="Outlook",COUNTIF($E$2:E917,"Outlook"),"")</f>
        <v/>
      </c>
      <c r="K917">
        <f>IF(E917="Domain",COUNTIF($E$2:E917,"Domain"),"")</f>
        <v/>
      </c>
    </row>
    <row r="918">
      <c r="A918" s="2" t="n"/>
      <c r="B918">
        <f>LOWER(TRIM(A918))</f>
        <v/>
      </c>
      <c r="C918">
        <f>IF(B918="","",IFERROR(INDEX('Bad Patterns'!$A$2:$A$120,MATCH(1,INDEX(--ISNUMBER(SEARCH('Bad Patterns'!$A$2:$A$120,B918)),0),0)),""))</f>
        <v/>
      </c>
      <c r="D918">
        <f>IF(B918="","",IF(C918&lt;&gt;"","REMOVE","KEEP"))</f>
        <v/>
      </c>
      <c r="E918">
        <f>IF(D918&lt;&gt;"KEEP","",IF(RIGHT(B918,10)="@gmail.com","Gmail",IF(OR(RIGHT(B918,12)="@outlook.com",RIGHT(B918,12)="@hotmail.com",RIGHT(B918,9)="@live.com"),"Outlook","Domain")))</f>
        <v/>
      </c>
      <c r="F918">
        <f>IF(B918="","",IFERROR(RIGHT(B918,LEN(B918)-FIND("@",B918)),""))</f>
        <v/>
      </c>
      <c r="G918">
        <f>IF(D918="KEEP",COUNTIF($D$2:D918,"KEEP"),"")</f>
        <v/>
      </c>
      <c r="H918">
        <f>IF(D918="REMOVE",COUNTIF($D$2:D918,"REMOVE"),"")</f>
        <v/>
      </c>
      <c r="I918">
        <f>IF(E918="Gmail",COUNTIF($E$2:E918,"Gmail"),"")</f>
        <v/>
      </c>
      <c r="J918">
        <f>IF(E918="Outlook",COUNTIF($E$2:E918,"Outlook"),"")</f>
        <v/>
      </c>
      <c r="K918">
        <f>IF(E918="Domain",COUNTIF($E$2:E918,"Domain"),"")</f>
        <v/>
      </c>
    </row>
    <row r="919">
      <c r="A919" s="2" t="n"/>
      <c r="B919">
        <f>LOWER(TRIM(A919))</f>
        <v/>
      </c>
      <c r="C919">
        <f>IF(B919="","",IFERROR(INDEX('Bad Patterns'!$A$2:$A$120,MATCH(1,INDEX(--ISNUMBER(SEARCH('Bad Patterns'!$A$2:$A$120,B919)),0),0)),""))</f>
        <v/>
      </c>
      <c r="D919">
        <f>IF(B919="","",IF(C919&lt;&gt;"","REMOVE","KEEP"))</f>
        <v/>
      </c>
      <c r="E919">
        <f>IF(D919&lt;&gt;"KEEP","",IF(RIGHT(B919,10)="@gmail.com","Gmail",IF(OR(RIGHT(B919,12)="@outlook.com",RIGHT(B919,12)="@hotmail.com",RIGHT(B919,9)="@live.com"),"Outlook","Domain")))</f>
        <v/>
      </c>
      <c r="F919">
        <f>IF(B919="","",IFERROR(RIGHT(B919,LEN(B919)-FIND("@",B919)),""))</f>
        <v/>
      </c>
      <c r="G919">
        <f>IF(D919="KEEP",COUNTIF($D$2:D919,"KEEP"),"")</f>
        <v/>
      </c>
      <c r="H919">
        <f>IF(D919="REMOVE",COUNTIF($D$2:D919,"REMOVE"),"")</f>
        <v/>
      </c>
      <c r="I919">
        <f>IF(E919="Gmail",COUNTIF($E$2:E919,"Gmail"),"")</f>
        <v/>
      </c>
      <c r="J919">
        <f>IF(E919="Outlook",COUNTIF($E$2:E919,"Outlook"),"")</f>
        <v/>
      </c>
      <c r="K919">
        <f>IF(E919="Domain",COUNTIF($E$2:E919,"Domain"),"")</f>
        <v/>
      </c>
    </row>
    <row r="920">
      <c r="A920" s="2" t="n"/>
      <c r="B920">
        <f>LOWER(TRIM(A920))</f>
        <v/>
      </c>
      <c r="C920">
        <f>IF(B920="","",IFERROR(INDEX('Bad Patterns'!$A$2:$A$120,MATCH(1,INDEX(--ISNUMBER(SEARCH('Bad Patterns'!$A$2:$A$120,B920)),0),0)),""))</f>
        <v/>
      </c>
      <c r="D920">
        <f>IF(B920="","",IF(C920&lt;&gt;"","REMOVE","KEEP"))</f>
        <v/>
      </c>
      <c r="E920">
        <f>IF(D920&lt;&gt;"KEEP","",IF(RIGHT(B920,10)="@gmail.com","Gmail",IF(OR(RIGHT(B920,12)="@outlook.com",RIGHT(B920,12)="@hotmail.com",RIGHT(B920,9)="@live.com"),"Outlook","Domain")))</f>
        <v/>
      </c>
      <c r="F920">
        <f>IF(B920="","",IFERROR(RIGHT(B920,LEN(B920)-FIND("@",B920)),""))</f>
        <v/>
      </c>
      <c r="G920">
        <f>IF(D920="KEEP",COUNTIF($D$2:D920,"KEEP"),"")</f>
        <v/>
      </c>
      <c r="H920">
        <f>IF(D920="REMOVE",COUNTIF($D$2:D920,"REMOVE"),"")</f>
        <v/>
      </c>
      <c r="I920">
        <f>IF(E920="Gmail",COUNTIF($E$2:E920,"Gmail"),"")</f>
        <v/>
      </c>
      <c r="J920">
        <f>IF(E920="Outlook",COUNTIF($E$2:E920,"Outlook"),"")</f>
        <v/>
      </c>
      <c r="K920">
        <f>IF(E920="Domain",COUNTIF($E$2:E920,"Domain"),"")</f>
        <v/>
      </c>
    </row>
    <row r="921">
      <c r="A921" s="2" t="n"/>
      <c r="B921">
        <f>LOWER(TRIM(A921))</f>
        <v/>
      </c>
      <c r="C921">
        <f>IF(B921="","",IFERROR(INDEX('Bad Patterns'!$A$2:$A$120,MATCH(1,INDEX(--ISNUMBER(SEARCH('Bad Patterns'!$A$2:$A$120,B921)),0),0)),""))</f>
        <v/>
      </c>
      <c r="D921">
        <f>IF(B921="","",IF(C921&lt;&gt;"","REMOVE","KEEP"))</f>
        <v/>
      </c>
      <c r="E921">
        <f>IF(D921&lt;&gt;"KEEP","",IF(RIGHT(B921,10)="@gmail.com","Gmail",IF(OR(RIGHT(B921,12)="@outlook.com",RIGHT(B921,12)="@hotmail.com",RIGHT(B921,9)="@live.com"),"Outlook","Domain")))</f>
        <v/>
      </c>
      <c r="F921">
        <f>IF(B921="","",IFERROR(RIGHT(B921,LEN(B921)-FIND("@",B921)),""))</f>
        <v/>
      </c>
      <c r="G921">
        <f>IF(D921="KEEP",COUNTIF($D$2:D921,"KEEP"),"")</f>
        <v/>
      </c>
      <c r="H921">
        <f>IF(D921="REMOVE",COUNTIF($D$2:D921,"REMOVE"),"")</f>
        <v/>
      </c>
      <c r="I921">
        <f>IF(E921="Gmail",COUNTIF($E$2:E921,"Gmail"),"")</f>
        <v/>
      </c>
      <c r="J921">
        <f>IF(E921="Outlook",COUNTIF($E$2:E921,"Outlook"),"")</f>
        <v/>
      </c>
      <c r="K921">
        <f>IF(E921="Domain",COUNTIF($E$2:E921,"Domain"),"")</f>
        <v/>
      </c>
    </row>
    <row r="922">
      <c r="A922" s="2" t="n"/>
      <c r="B922">
        <f>LOWER(TRIM(A922))</f>
        <v/>
      </c>
      <c r="C922">
        <f>IF(B922="","",IFERROR(INDEX('Bad Patterns'!$A$2:$A$120,MATCH(1,INDEX(--ISNUMBER(SEARCH('Bad Patterns'!$A$2:$A$120,B922)),0),0)),""))</f>
        <v/>
      </c>
      <c r="D922">
        <f>IF(B922="","",IF(C922&lt;&gt;"","REMOVE","KEEP"))</f>
        <v/>
      </c>
      <c r="E922">
        <f>IF(D922&lt;&gt;"KEEP","",IF(RIGHT(B922,10)="@gmail.com","Gmail",IF(OR(RIGHT(B922,12)="@outlook.com",RIGHT(B922,12)="@hotmail.com",RIGHT(B922,9)="@live.com"),"Outlook","Domain")))</f>
        <v/>
      </c>
      <c r="F922">
        <f>IF(B922="","",IFERROR(RIGHT(B922,LEN(B922)-FIND("@",B922)),""))</f>
        <v/>
      </c>
      <c r="G922">
        <f>IF(D922="KEEP",COUNTIF($D$2:D922,"KEEP"),"")</f>
        <v/>
      </c>
      <c r="H922">
        <f>IF(D922="REMOVE",COUNTIF($D$2:D922,"REMOVE"),"")</f>
        <v/>
      </c>
      <c r="I922">
        <f>IF(E922="Gmail",COUNTIF($E$2:E922,"Gmail"),"")</f>
        <v/>
      </c>
      <c r="J922">
        <f>IF(E922="Outlook",COUNTIF($E$2:E922,"Outlook"),"")</f>
        <v/>
      </c>
      <c r="K922">
        <f>IF(E922="Domain",COUNTIF($E$2:E922,"Domain"),"")</f>
        <v/>
      </c>
    </row>
    <row r="923">
      <c r="A923" s="2" t="n"/>
      <c r="B923">
        <f>LOWER(TRIM(A923))</f>
        <v/>
      </c>
      <c r="C923">
        <f>IF(B923="","",IFERROR(INDEX('Bad Patterns'!$A$2:$A$120,MATCH(1,INDEX(--ISNUMBER(SEARCH('Bad Patterns'!$A$2:$A$120,B923)),0),0)),""))</f>
        <v/>
      </c>
      <c r="D923">
        <f>IF(B923="","",IF(C923&lt;&gt;"","REMOVE","KEEP"))</f>
        <v/>
      </c>
      <c r="E923">
        <f>IF(D923&lt;&gt;"KEEP","",IF(RIGHT(B923,10)="@gmail.com","Gmail",IF(OR(RIGHT(B923,12)="@outlook.com",RIGHT(B923,12)="@hotmail.com",RIGHT(B923,9)="@live.com"),"Outlook","Domain")))</f>
        <v/>
      </c>
      <c r="F923">
        <f>IF(B923="","",IFERROR(RIGHT(B923,LEN(B923)-FIND("@",B923)),""))</f>
        <v/>
      </c>
      <c r="G923">
        <f>IF(D923="KEEP",COUNTIF($D$2:D923,"KEEP"),"")</f>
        <v/>
      </c>
      <c r="H923">
        <f>IF(D923="REMOVE",COUNTIF($D$2:D923,"REMOVE"),"")</f>
        <v/>
      </c>
      <c r="I923">
        <f>IF(E923="Gmail",COUNTIF($E$2:E923,"Gmail"),"")</f>
        <v/>
      </c>
      <c r="J923">
        <f>IF(E923="Outlook",COUNTIF($E$2:E923,"Outlook"),"")</f>
        <v/>
      </c>
      <c r="K923">
        <f>IF(E923="Domain",COUNTIF($E$2:E923,"Domain"),"")</f>
        <v/>
      </c>
    </row>
    <row r="924">
      <c r="A924" s="2" t="n"/>
      <c r="B924">
        <f>LOWER(TRIM(A924))</f>
        <v/>
      </c>
      <c r="C924">
        <f>IF(B924="","",IFERROR(INDEX('Bad Patterns'!$A$2:$A$120,MATCH(1,INDEX(--ISNUMBER(SEARCH('Bad Patterns'!$A$2:$A$120,B924)),0),0)),""))</f>
        <v/>
      </c>
      <c r="D924">
        <f>IF(B924="","",IF(C924&lt;&gt;"","REMOVE","KEEP"))</f>
        <v/>
      </c>
      <c r="E924">
        <f>IF(D924&lt;&gt;"KEEP","",IF(RIGHT(B924,10)="@gmail.com","Gmail",IF(OR(RIGHT(B924,12)="@outlook.com",RIGHT(B924,12)="@hotmail.com",RIGHT(B924,9)="@live.com"),"Outlook","Domain")))</f>
        <v/>
      </c>
      <c r="F924">
        <f>IF(B924="","",IFERROR(RIGHT(B924,LEN(B924)-FIND("@",B924)),""))</f>
        <v/>
      </c>
      <c r="G924">
        <f>IF(D924="KEEP",COUNTIF($D$2:D924,"KEEP"),"")</f>
        <v/>
      </c>
      <c r="H924">
        <f>IF(D924="REMOVE",COUNTIF($D$2:D924,"REMOVE"),"")</f>
        <v/>
      </c>
      <c r="I924">
        <f>IF(E924="Gmail",COUNTIF($E$2:E924,"Gmail"),"")</f>
        <v/>
      </c>
      <c r="J924">
        <f>IF(E924="Outlook",COUNTIF($E$2:E924,"Outlook"),"")</f>
        <v/>
      </c>
      <c r="K924">
        <f>IF(E924="Domain",COUNTIF($E$2:E924,"Domain"),"")</f>
        <v/>
      </c>
    </row>
    <row r="925">
      <c r="A925" s="2" t="n"/>
      <c r="B925">
        <f>LOWER(TRIM(A925))</f>
        <v/>
      </c>
      <c r="C925">
        <f>IF(B925="","",IFERROR(INDEX('Bad Patterns'!$A$2:$A$120,MATCH(1,INDEX(--ISNUMBER(SEARCH('Bad Patterns'!$A$2:$A$120,B925)),0),0)),""))</f>
        <v/>
      </c>
      <c r="D925">
        <f>IF(B925="","",IF(C925&lt;&gt;"","REMOVE","KEEP"))</f>
        <v/>
      </c>
      <c r="E925">
        <f>IF(D925&lt;&gt;"KEEP","",IF(RIGHT(B925,10)="@gmail.com","Gmail",IF(OR(RIGHT(B925,12)="@outlook.com",RIGHT(B925,12)="@hotmail.com",RIGHT(B925,9)="@live.com"),"Outlook","Domain")))</f>
        <v/>
      </c>
      <c r="F925">
        <f>IF(B925="","",IFERROR(RIGHT(B925,LEN(B925)-FIND("@",B925)),""))</f>
        <v/>
      </c>
      <c r="G925">
        <f>IF(D925="KEEP",COUNTIF($D$2:D925,"KEEP"),"")</f>
        <v/>
      </c>
      <c r="H925">
        <f>IF(D925="REMOVE",COUNTIF($D$2:D925,"REMOVE"),"")</f>
        <v/>
      </c>
      <c r="I925">
        <f>IF(E925="Gmail",COUNTIF($E$2:E925,"Gmail"),"")</f>
        <v/>
      </c>
      <c r="J925">
        <f>IF(E925="Outlook",COUNTIF($E$2:E925,"Outlook"),"")</f>
        <v/>
      </c>
      <c r="K925">
        <f>IF(E925="Domain",COUNTIF($E$2:E925,"Domain"),"")</f>
        <v/>
      </c>
    </row>
    <row r="926">
      <c r="A926" s="2" t="n"/>
      <c r="B926">
        <f>LOWER(TRIM(A926))</f>
        <v/>
      </c>
      <c r="C926">
        <f>IF(B926="","",IFERROR(INDEX('Bad Patterns'!$A$2:$A$120,MATCH(1,INDEX(--ISNUMBER(SEARCH('Bad Patterns'!$A$2:$A$120,B926)),0),0)),""))</f>
        <v/>
      </c>
      <c r="D926">
        <f>IF(B926="","",IF(C926&lt;&gt;"","REMOVE","KEEP"))</f>
        <v/>
      </c>
      <c r="E926">
        <f>IF(D926&lt;&gt;"KEEP","",IF(RIGHT(B926,10)="@gmail.com","Gmail",IF(OR(RIGHT(B926,12)="@outlook.com",RIGHT(B926,12)="@hotmail.com",RIGHT(B926,9)="@live.com"),"Outlook","Domain")))</f>
        <v/>
      </c>
      <c r="F926">
        <f>IF(B926="","",IFERROR(RIGHT(B926,LEN(B926)-FIND("@",B926)),""))</f>
        <v/>
      </c>
      <c r="G926">
        <f>IF(D926="KEEP",COUNTIF($D$2:D926,"KEEP"),"")</f>
        <v/>
      </c>
      <c r="H926">
        <f>IF(D926="REMOVE",COUNTIF($D$2:D926,"REMOVE"),"")</f>
        <v/>
      </c>
      <c r="I926">
        <f>IF(E926="Gmail",COUNTIF($E$2:E926,"Gmail"),"")</f>
        <v/>
      </c>
      <c r="J926">
        <f>IF(E926="Outlook",COUNTIF($E$2:E926,"Outlook"),"")</f>
        <v/>
      </c>
      <c r="K926">
        <f>IF(E926="Domain",COUNTIF($E$2:E926,"Domain"),"")</f>
        <v/>
      </c>
    </row>
    <row r="927">
      <c r="A927" s="2" t="n"/>
      <c r="B927">
        <f>LOWER(TRIM(A927))</f>
        <v/>
      </c>
      <c r="C927">
        <f>IF(B927="","",IFERROR(INDEX('Bad Patterns'!$A$2:$A$120,MATCH(1,INDEX(--ISNUMBER(SEARCH('Bad Patterns'!$A$2:$A$120,B927)),0),0)),""))</f>
        <v/>
      </c>
      <c r="D927">
        <f>IF(B927="","",IF(C927&lt;&gt;"","REMOVE","KEEP"))</f>
        <v/>
      </c>
      <c r="E927">
        <f>IF(D927&lt;&gt;"KEEP","",IF(RIGHT(B927,10)="@gmail.com","Gmail",IF(OR(RIGHT(B927,12)="@outlook.com",RIGHT(B927,12)="@hotmail.com",RIGHT(B927,9)="@live.com"),"Outlook","Domain")))</f>
        <v/>
      </c>
      <c r="F927">
        <f>IF(B927="","",IFERROR(RIGHT(B927,LEN(B927)-FIND("@",B927)),""))</f>
        <v/>
      </c>
      <c r="G927">
        <f>IF(D927="KEEP",COUNTIF($D$2:D927,"KEEP"),"")</f>
        <v/>
      </c>
      <c r="H927">
        <f>IF(D927="REMOVE",COUNTIF($D$2:D927,"REMOVE"),"")</f>
        <v/>
      </c>
      <c r="I927">
        <f>IF(E927="Gmail",COUNTIF($E$2:E927,"Gmail"),"")</f>
        <v/>
      </c>
      <c r="J927">
        <f>IF(E927="Outlook",COUNTIF($E$2:E927,"Outlook"),"")</f>
        <v/>
      </c>
      <c r="K927">
        <f>IF(E927="Domain",COUNTIF($E$2:E927,"Domain"),"")</f>
        <v/>
      </c>
    </row>
    <row r="928">
      <c r="A928" s="2" t="n"/>
      <c r="B928">
        <f>LOWER(TRIM(A928))</f>
        <v/>
      </c>
      <c r="C928">
        <f>IF(B928="","",IFERROR(INDEX('Bad Patterns'!$A$2:$A$120,MATCH(1,INDEX(--ISNUMBER(SEARCH('Bad Patterns'!$A$2:$A$120,B928)),0),0)),""))</f>
        <v/>
      </c>
      <c r="D928">
        <f>IF(B928="","",IF(C928&lt;&gt;"","REMOVE","KEEP"))</f>
        <v/>
      </c>
      <c r="E928">
        <f>IF(D928&lt;&gt;"KEEP","",IF(RIGHT(B928,10)="@gmail.com","Gmail",IF(OR(RIGHT(B928,12)="@outlook.com",RIGHT(B928,12)="@hotmail.com",RIGHT(B928,9)="@live.com"),"Outlook","Domain")))</f>
        <v/>
      </c>
      <c r="F928">
        <f>IF(B928="","",IFERROR(RIGHT(B928,LEN(B928)-FIND("@",B928)),""))</f>
        <v/>
      </c>
      <c r="G928">
        <f>IF(D928="KEEP",COUNTIF($D$2:D928,"KEEP"),"")</f>
        <v/>
      </c>
      <c r="H928">
        <f>IF(D928="REMOVE",COUNTIF($D$2:D928,"REMOVE"),"")</f>
        <v/>
      </c>
      <c r="I928">
        <f>IF(E928="Gmail",COUNTIF($E$2:E928,"Gmail"),"")</f>
        <v/>
      </c>
      <c r="J928">
        <f>IF(E928="Outlook",COUNTIF($E$2:E928,"Outlook"),"")</f>
        <v/>
      </c>
      <c r="K928">
        <f>IF(E928="Domain",COUNTIF($E$2:E928,"Domain"),"")</f>
        <v/>
      </c>
    </row>
    <row r="929">
      <c r="A929" s="2" t="n"/>
      <c r="B929">
        <f>LOWER(TRIM(A929))</f>
        <v/>
      </c>
      <c r="C929">
        <f>IF(B929="","",IFERROR(INDEX('Bad Patterns'!$A$2:$A$120,MATCH(1,INDEX(--ISNUMBER(SEARCH('Bad Patterns'!$A$2:$A$120,B929)),0),0)),""))</f>
        <v/>
      </c>
      <c r="D929">
        <f>IF(B929="","",IF(C929&lt;&gt;"","REMOVE","KEEP"))</f>
        <v/>
      </c>
      <c r="E929">
        <f>IF(D929&lt;&gt;"KEEP","",IF(RIGHT(B929,10)="@gmail.com","Gmail",IF(OR(RIGHT(B929,12)="@outlook.com",RIGHT(B929,12)="@hotmail.com",RIGHT(B929,9)="@live.com"),"Outlook","Domain")))</f>
        <v/>
      </c>
      <c r="F929">
        <f>IF(B929="","",IFERROR(RIGHT(B929,LEN(B929)-FIND("@",B929)),""))</f>
        <v/>
      </c>
      <c r="G929">
        <f>IF(D929="KEEP",COUNTIF($D$2:D929,"KEEP"),"")</f>
        <v/>
      </c>
      <c r="H929">
        <f>IF(D929="REMOVE",COUNTIF($D$2:D929,"REMOVE"),"")</f>
        <v/>
      </c>
      <c r="I929">
        <f>IF(E929="Gmail",COUNTIF($E$2:E929,"Gmail"),"")</f>
        <v/>
      </c>
      <c r="J929">
        <f>IF(E929="Outlook",COUNTIF($E$2:E929,"Outlook"),"")</f>
        <v/>
      </c>
      <c r="K929">
        <f>IF(E929="Domain",COUNTIF($E$2:E929,"Domain"),"")</f>
        <v/>
      </c>
    </row>
    <row r="930">
      <c r="A930" s="2" t="n"/>
      <c r="B930">
        <f>LOWER(TRIM(A930))</f>
        <v/>
      </c>
      <c r="C930">
        <f>IF(B930="","",IFERROR(INDEX('Bad Patterns'!$A$2:$A$120,MATCH(1,INDEX(--ISNUMBER(SEARCH('Bad Patterns'!$A$2:$A$120,B930)),0),0)),""))</f>
        <v/>
      </c>
      <c r="D930">
        <f>IF(B930="","",IF(C930&lt;&gt;"","REMOVE","KEEP"))</f>
        <v/>
      </c>
      <c r="E930">
        <f>IF(D930&lt;&gt;"KEEP","",IF(RIGHT(B930,10)="@gmail.com","Gmail",IF(OR(RIGHT(B930,12)="@outlook.com",RIGHT(B930,12)="@hotmail.com",RIGHT(B930,9)="@live.com"),"Outlook","Domain")))</f>
        <v/>
      </c>
      <c r="F930">
        <f>IF(B930="","",IFERROR(RIGHT(B930,LEN(B930)-FIND("@",B930)),""))</f>
        <v/>
      </c>
      <c r="G930">
        <f>IF(D930="KEEP",COUNTIF($D$2:D930,"KEEP"),"")</f>
        <v/>
      </c>
      <c r="H930">
        <f>IF(D930="REMOVE",COUNTIF($D$2:D930,"REMOVE"),"")</f>
        <v/>
      </c>
      <c r="I930">
        <f>IF(E930="Gmail",COUNTIF($E$2:E930,"Gmail"),"")</f>
        <v/>
      </c>
      <c r="J930">
        <f>IF(E930="Outlook",COUNTIF($E$2:E930,"Outlook"),"")</f>
        <v/>
      </c>
      <c r="K930">
        <f>IF(E930="Domain",COUNTIF($E$2:E930,"Domain"),"")</f>
        <v/>
      </c>
    </row>
    <row r="931">
      <c r="A931" s="2" t="n"/>
      <c r="B931">
        <f>LOWER(TRIM(A931))</f>
        <v/>
      </c>
      <c r="C931">
        <f>IF(B931="","",IFERROR(INDEX('Bad Patterns'!$A$2:$A$120,MATCH(1,INDEX(--ISNUMBER(SEARCH('Bad Patterns'!$A$2:$A$120,B931)),0),0)),""))</f>
        <v/>
      </c>
      <c r="D931">
        <f>IF(B931="","",IF(C931&lt;&gt;"","REMOVE","KEEP"))</f>
        <v/>
      </c>
      <c r="E931">
        <f>IF(D931&lt;&gt;"KEEP","",IF(RIGHT(B931,10)="@gmail.com","Gmail",IF(OR(RIGHT(B931,12)="@outlook.com",RIGHT(B931,12)="@hotmail.com",RIGHT(B931,9)="@live.com"),"Outlook","Domain")))</f>
        <v/>
      </c>
      <c r="F931">
        <f>IF(B931="","",IFERROR(RIGHT(B931,LEN(B931)-FIND("@",B931)),""))</f>
        <v/>
      </c>
      <c r="G931">
        <f>IF(D931="KEEP",COUNTIF($D$2:D931,"KEEP"),"")</f>
        <v/>
      </c>
      <c r="H931">
        <f>IF(D931="REMOVE",COUNTIF($D$2:D931,"REMOVE"),"")</f>
        <v/>
      </c>
      <c r="I931">
        <f>IF(E931="Gmail",COUNTIF($E$2:E931,"Gmail"),"")</f>
        <v/>
      </c>
      <c r="J931">
        <f>IF(E931="Outlook",COUNTIF($E$2:E931,"Outlook"),"")</f>
        <v/>
      </c>
      <c r="K931">
        <f>IF(E931="Domain",COUNTIF($E$2:E931,"Domain"),"")</f>
        <v/>
      </c>
    </row>
    <row r="932">
      <c r="A932" s="2" t="n"/>
      <c r="B932">
        <f>LOWER(TRIM(A932))</f>
        <v/>
      </c>
      <c r="C932">
        <f>IF(B932="","",IFERROR(INDEX('Bad Patterns'!$A$2:$A$120,MATCH(1,INDEX(--ISNUMBER(SEARCH('Bad Patterns'!$A$2:$A$120,B932)),0),0)),""))</f>
        <v/>
      </c>
      <c r="D932">
        <f>IF(B932="","",IF(C932&lt;&gt;"","REMOVE","KEEP"))</f>
        <v/>
      </c>
      <c r="E932">
        <f>IF(D932&lt;&gt;"KEEP","",IF(RIGHT(B932,10)="@gmail.com","Gmail",IF(OR(RIGHT(B932,12)="@outlook.com",RIGHT(B932,12)="@hotmail.com",RIGHT(B932,9)="@live.com"),"Outlook","Domain")))</f>
        <v/>
      </c>
      <c r="F932">
        <f>IF(B932="","",IFERROR(RIGHT(B932,LEN(B932)-FIND("@",B932)),""))</f>
        <v/>
      </c>
      <c r="G932">
        <f>IF(D932="KEEP",COUNTIF($D$2:D932,"KEEP"),"")</f>
        <v/>
      </c>
      <c r="H932">
        <f>IF(D932="REMOVE",COUNTIF($D$2:D932,"REMOVE"),"")</f>
        <v/>
      </c>
      <c r="I932">
        <f>IF(E932="Gmail",COUNTIF($E$2:E932,"Gmail"),"")</f>
        <v/>
      </c>
      <c r="J932">
        <f>IF(E932="Outlook",COUNTIF($E$2:E932,"Outlook"),"")</f>
        <v/>
      </c>
      <c r="K932">
        <f>IF(E932="Domain",COUNTIF($E$2:E932,"Domain"),"")</f>
        <v/>
      </c>
    </row>
    <row r="933">
      <c r="A933" s="2" t="n"/>
      <c r="B933">
        <f>LOWER(TRIM(A933))</f>
        <v/>
      </c>
      <c r="C933">
        <f>IF(B933="","",IFERROR(INDEX('Bad Patterns'!$A$2:$A$120,MATCH(1,INDEX(--ISNUMBER(SEARCH('Bad Patterns'!$A$2:$A$120,B933)),0),0)),""))</f>
        <v/>
      </c>
      <c r="D933">
        <f>IF(B933="","",IF(C933&lt;&gt;"","REMOVE","KEEP"))</f>
        <v/>
      </c>
      <c r="E933">
        <f>IF(D933&lt;&gt;"KEEP","",IF(RIGHT(B933,10)="@gmail.com","Gmail",IF(OR(RIGHT(B933,12)="@outlook.com",RIGHT(B933,12)="@hotmail.com",RIGHT(B933,9)="@live.com"),"Outlook","Domain")))</f>
        <v/>
      </c>
      <c r="F933">
        <f>IF(B933="","",IFERROR(RIGHT(B933,LEN(B933)-FIND("@",B933)),""))</f>
        <v/>
      </c>
      <c r="G933">
        <f>IF(D933="KEEP",COUNTIF($D$2:D933,"KEEP"),"")</f>
        <v/>
      </c>
      <c r="H933">
        <f>IF(D933="REMOVE",COUNTIF($D$2:D933,"REMOVE"),"")</f>
        <v/>
      </c>
      <c r="I933">
        <f>IF(E933="Gmail",COUNTIF($E$2:E933,"Gmail"),"")</f>
        <v/>
      </c>
      <c r="J933">
        <f>IF(E933="Outlook",COUNTIF($E$2:E933,"Outlook"),"")</f>
        <v/>
      </c>
      <c r="K933">
        <f>IF(E933="Domain",COUNTIF($E$2:E933,"Domain"),"")</f>
        <v/>
      </c>
    </row>
    <row r="934">
      <c r="A934" s="2" t="n"/>
      <c r="B934">
        <f>LOWER(TRIM(A934))</f>
        <v/>
      </c>
      <c r="C934">
        <f>IF(B934="","",IFERROR(INDEX('Bad Patterns'!$A$2:$A$120,MATCH(1,INDEX(--ISNUMBER(SEARCH('Bad Patterns'!$A$2:$A$120,B934)),0),0)),""))</f>
        <v/>
      </c>
      <c r="D934">
        <f>IF(B934="","",IF(C934&lt;&gt;"","REMOVE","KEEP"))</f>
        <v/>
      </c>
      <c r="E934">
        <f>IF(D934&lt;&gt;"KEEP","",IF(RIGHT(B934,10)="@gmail.com","Gmail",IF(OR(RIGHT(B934,12)="@outlook.com",RIGHT(B934,12)="@hotmail.com",RIGHT(B934,9)="@live.com"),"Outlook","Domain")))</f>
        <v/>
      </c>
      <c r="F934">
        <f>IF(B934="","",IFERROR(RIGHT(B934,LEN(B934)-FIND("@",B934)),""))</f>
        <v/>
      </c>
      <c r="G934">
        <f>IF(D934="KEEP",COUNTIF($D$2:D934,"KEEP"),"")</f>
        <v/>
      </c>
      <c r="H934">
        <f>IF(D934="REMOVE",COUNTIF($D$2:D934,"REMOVE"),"")</f>
        <v/>
      </c>
      <c r="I934">
        <f>IF(E934="Gmail",COUNTIF($E$2:E934,"Gmail"),"")</f>
        <v/>
      </c>
      <c r="J934">
        <f>IF(E934="Outlook",COUNTIF($E$2:E934,"Outlook"),"")</f>
        <v/>
      </c>
      <c r="K934">
        <f>IF(E934="Domain",COUNTIF($E$2:E934,"Domain"),"")</f>
        <v/>
      </c>
    </row>
    <row r="935">
      <c r="A935" s="2" t="n"/>
      <c r="B935">
        <f>LOWER(TRIM(A935))</f>
        <v/>
      </c>
      <c r="C935">
        <f>IF(B935="","",IFERROR(INDEX('Bad Patterns'!$A$2:$A$120,MATCH(1,INDEX(--ISNUMBER(SEARCH('Bad Patterns'!$A$2:$A$120,B935)),0),0)),""))</f>
        <v/>
      </c>
      <c r="D935">
        <f>IF(B935="","",IF(C935&lt;&gt;"","REMOVE","KEEP"))</f>
        <v/>
      </c>
      <c r="E935">
        <f>IF(D935&lt;&gt;"KEEP","",IF(RIGHT(B935,10)="@gmail.com","Gmail",IF(OR(RIGHT(B935,12)="@outlook.com",RIGHT(B935,12)="@hotmail.com",RIGHT(B935,9)="@live.com"),"Outlook","Domain")))</f>
        <v/>
      </c>
      <c r="F935">
        <f>IF(B935="","",IFERROR(RIGHT(B935,LEN(B935)-FIND("@",B935)),""))</f>
        <v/>
      </c>
      <c r="G935">
        <f>IF(D935="KEEP",COUNTIF($D$2:D935,"KEEP"),"")</f>
        <v/>
      </c>
      <c r="H935">
        <f>IF(D935="REMOVE",COUNTIF($D$2:D935,"REMOVE"),"")</f>
        <v/>
      </c>
      <c r="I935">
        <f>IF(E935="Gmail",COUNTIF($E$2:E935,"Gmail"),"")</f>
        <v/>
      </c>
      <c r="J935">
        <f>IF(E935="Outlook",COUNTIF($E$2:E935,"Outlook"),"")</f>
        <v/>
      </c>
      <c r="K935">
        <f>IF(E935="Domain",COUNTIF($E$2:E935,"Domain"),"")</f>
        <v/>
      </c>
    </row>
    <row r="936">
      <c r="A936" s="2" t="n"/>
      <c r="B936">
        <f>LOWER(TRIM(A936))</f>
        <v/>
      </c>
      <c r="C936">
        <f>IF(B936="","",IFERROR(INDEX('Bad Patterns'!$A$2:$A$120,MATCH(1,INDEX(--ISNUMBER(SEARCH('Bad Patterns'!$A$2:$A$120,B936)),0),0)),""))</f>
        <v/>
      </c>
      <c r="D936">
        <f>IF(B936="","",IF(C936&lt;&gt;"","REMOVE","KEEP"))</f>
        <v/>
      </c>
      <c r="E936">
        <f>IF(D936&lt;&gt;"KEEP","",IF(RIGHT(B936,10)="@gmail.com","Gmail",IF(OR(RIGHT(B936,12)="@outlook.com",RIGHT(B936,12)="@hotmail.com",RIGHT(B936,9)="@live.com"),"Outlook","Domain")))</f>
        <v/>
      </c>
      <c r="F936">
        <f>IF(B936="","",IFERROR(RIGHT(B936,LEN(B936)-FIND("@",B936)),""))</f>
        <v/>
      </c>
      <c r="G936">
        <f>IF(D936="KEEP",COUNTIF($D$2:D936,"KEEP"),"")</f>
        <v/>
      </c>
      <c r="H936">
        <f>IF(D936="REMOVE",COUNTIF($D$2:D936,"REMOVE"),"")</f>
        <v/>
      </c>
      <c r="I936">
        <f>IF(E936="Gmail",COUNTIF($E$2:E936,"Gmail"),"")</f>
        <v/>
      </c>
      <c r="J936">
        <f>IF(E936="Outlook",COUNTIF($E$2:E936,"Outlook"),"")</f>
        <v/>
      </c>
      <c r="K936">
        <f>IF(E936="Domain",COUNTIF($E$2:E936,"Domain"),"")</f>
        <v/>
      </c>
    </row>
    <row r="937">
      <c r="A937" s="2" t="n"/>
      <c r="B937">
        <f>LOWER(TRIM(A937))</f>
        <v/>
      </c>
      <c r="C937">
        <f>IF(B937="","",IFERROR(INDEX('Bad Patterns'!$A$2:$A$120,MATCH(1,INDEX(--ISNUMBER(SEARCH('Bad Patterns'!$A$2:$A$120,B937)),0),0)),""))</f>
        <v/>
      </c>
      <c r="D937">
        <f>IF(B937="","",IF(C937&lt;&gt;"","REMOVE","KEEP"))</f>
        <v/>
      </c>
      <c r="E937">
        <f>IF(D937&lt;&gt;"KEEP","",IF(RIGHT(B937,10)="@gmail.com","Gmail",IF(OR(RIGHT(B937,12)="@outlook.com",RIGHT(B937,12)="@hotmail.com",RIGHT(B937,9)="@live.com"),"Outlook","Domain")))</f>
        <v/>
      </c>
      <c r="F937">
        <f>IF(B937="","",IFERROR(RIGHT(B937,LEN(B937)-FIND("@",B937)),""))</f>
        <v/>
      </c>
      <c r="G937">
        <f>IF(D937="KEEP",COUNTIF($D$2:D937,"KEEP"),"")</f>
        <v/>
      </c>
      <c r="H937">
        <f>IF(D937="REMOVE",COUNTIF($D$2:D937,"REMOVE"),"")</f>
        <v/>
      </c>
      <c r="I937">
        <f>IF(E937="Gmail",COUNTIF($E$2:E937,"Gmail"),"")</f>
        <v/>
      </c>
      <c r="J937">
        <f>IF(E937="Outlook",COUNTIF($E$2:E937,"Outlook"),"")</f>
        <v/>
      </c>
      <c r="K937">
        <f>IF(E937="Domain",COUNTIF($E$2:E937,"Domain"),"")</f>
        <v/>
      </c>
    </row>
    <row r="938">
      <c r="A938" s="2" t="n"/>
      <c r="B938">
        <f>LOWER(TRIM(A938))</f>
        <v/>
      </c>
      <c r="C938">
        <f>IF(B938="","",IFERROR(INDEX('Bad Patterns'!$A$2:$A$120,MATCH(1,INDEX(--ISNUMBER(SEARCH('Bad Patterns'!$A$2:$A$120,B938)),0),0)),""))</f>
        <v/>
      </c>
      <c r="D938">
        <f>IF(B938="","",IF(C938&lt;&gt;"","REMOVE","KEEP"))</f>
        <v/>
      </c>
      <c r="E938">
        <f>IF(D938&lt;&gt;"KEEP","",IF(RIGHT(B938,10)="@gmail.com","Gmail",IF(OR(RIGHT(B938,12)="@outlook.com",RIGHT(B938,12)="@hotmail.com",RIGHT(B938,9)="@live.com"),"Outlook","Domain")))</f>
        <v/>
      </c>
      <c r="F938">
        <f>IF(B938="","",IFERROR(RIGHT(B938,LEN(B938)-FIND("@",B938)),""))</f>
        <v/>
      </c>
      <c r="G938">
        <f>IF(D938="KEEP",COUNTIF($D$2:D938,"KEEP"),"")</f>
        <v/>
      </c>
      <c r="H938">
        <f>IF(D938="REMOVE",COUNTIF($D$2:D938,"REMOVE"),"")</f>
        <v/>
      </c>
      <c r="I938">
        <f>IF(E938="Gmail",COUNTIF($E$2:E938,"Gmail"),"")</f>
        <v/>
      </c>
      <c r="J938">
        <f>IF(E938="Outlook",COUNTIF($E$2:E938,"Outlook"),"")</f>
        <v/>
      </c>
      <c r="K938">
        <f>IF(E938="Domain",COUNTIF($E$2:E938,"Domain"),"")</f>
        <v/>
      </c>
    </row>
    <row r="939">
      <c r="A939" s="2" t="n"/>
      <c r="B939">
        <f>LOWER(TRIM(A939))</f>
        <v/>
      </c>
      <c r="C939">
        <f>IF(B939="","",IFERROR(INDEX('Bad Patterns'!$A$2:$A$120,MATCH(1,INDEX(--ISNUMBER(SEARCH('Bad Patterns'!$A$2:$A$120,B939)),0),0)),""))</f>
        <v/>
      </c>
      <c r="D939">
        <f>IF(B939="","",IF(C939&lt;&gt;"","REMOVE","KEEP"))</f>
        <v/>
      </c>
      <c r="E939">
        <f>IF(D939&lt;&gt;"KEEP","",IF(RIGHT(B939,10)="@gmail.com","Gmail",IF(OR(RIGHT(B939,12)="@outlook.com",RIGHT(B939,12)="@hotmail.com",RIGHT(B939,9)="@live.com"),"Outlook","Domain")))</f>
        <v/>
      </c>
      <c r="F939">
        <f>IF(B939="","",IFERROR(RIGHT(B939,LEN(B939)-FIND("@",B939)),""))</f>
        <v/>
      </c>
      <c r="G939">
        <f>IF(D939="KEEP",COUNTIF($D$2:D939,"KEEP"),"")</f>
        <v/>
      </c>
      <c r="H939">
        <f>IF(D939="REMOVE",COUNTIF($D$2:D939,"REMOVE"),"")</f>
        <v/>
      </c>
      <c r="I939">
        <f>IF(E939="Gmail",COUNTIF($E$2:E939,"Gmail"),"")</f>
        <v/>
      </c>
      <c r="J939">
        <f>IF(E939="Outlook",COUNTIF($E$2:E939,"Outlook"),"")</f>
        <v/>
      </c>
      <c r="K939">
        <f>IF(E939="Domain",COUNTIF($E$2:E939,"Domain"),"")</f>
        <v/>
      </c>
    </row>
    <row r="940">
      <c r="A940" s="2" t="n"/>
      <c r="B940">
        <f>LOWER(TRIM(A940))</f>
        <v/>
      </c>
      <c r="C940">
        <f>IF(B940="","",IFERROR(INDEX('Bad Patterns'!$A$2:$A$120,MATCH(1,INDEX(--ISNUMBER(SEARCH('Bad Patterns'!$A$2:$A$120,B940)),0),0)),""))</f>
        <v/>
      </c>
      <c r="D940">
        <f>IF(B940="","",IF(C940&lt;&gt;"","REMOVE","KEEP"))</f>
        <v/>
      </c>
      <c r="E940">
        <f>IF(D940&lt;&gt;"KEEP","",IF(RIGHT(B940,10)="@gmail.com","Gmail",IF(OR(RIGHT(B940,12)="@outlook.com",RIGHT(B940,12)="@hotmail.com",RIGHT(B940,9)="@live.com"),"Outlook","Domain")))</f>
        <v/>
      </c>
      <c r="F940">
        <f>IF(B940="","",IFERROR(RIGHT(B940,LEN(B940)-FIND("@",B940)),""))</f>
        <v/>
      </c>
      <c r="G940">
        <f>IF(D940="KEEP",COUNTIF($D$2:D940,"KEEP"),"")</f>
        <v/>
      </c>
      <c r="H940">
        <f>IF(D940="REMOVE",COUNTIF($D$2:D940,"REMOVE"),"")</f>
        <v/>
      </c>
      <c r="I940">
        <f>IF(E940="Gmail",COUNTIF($E$2:E940,"Gmail"),"")</f>
        <v/>
      </c>
      <c r="J940">
        <f>IF(E940="Outlook",COUNTIF($E$2:E940,"Outlook"),"")</f>
        <v/>
      </c>
      <c r="K940">
        <f>IF(E940="Domain",COUNTIF($E$2:E940,"Domain"),"")</f>
        <v/>
      </c>
    </row>
    <row r="941">
      <c r="A941" s="2" t="n"/>
      <c r="B941">
        <f>LOWER(TRIM(A941))</f>
        <v/>
      </c>
      <c r="C941">
        <f>IF(B941="","",IFERROR(INDEX('Bad Patterns'!$A$2:$A$120,MATCH(1,INDEX(--ISNUMBER(SEARCH('Bad Patterns'!$A$2:$A$120,B941)),0),0)),""))</f>
        <v/>
      </c>
      <c r="D941">
        <f>IF(B941="","",IF(C941&lt;&gt;"","REMOVE","KEEP"))</f>
        <v/>
      </c>
      <c r="E941">
        <f>IF(D941&lt;&gt;"KEEP","",IF(RIGHT(B941,10)="@gmail.com","Gmail",IF(OR(RIGHT(B941,12)="@outlook.com",RIGHT(B941,12)="@hotmail.com",RIGHT(B941,9)="@live.com"),"Outlook","Domain")))</f>
        <v/>
      </c>
      <c r="F941">
        <f>IF(B941="","",IFERROR(RIGHT(B941,LEN(B941)-FIND("@",B941)),""))</f>
        <v/>
      </c>
      <c r="G941">
        <f>IF(D941="KEEP",COUNTIF($D$2:D941,"KEEP"),"")</f>
        <v/>
      </c>
      <c r="H941">
        <f>IF(D941="REMOVE",COUNTIF($D$2:D941,"REMOVE"),"")</f>
        <v/>
      </c>
      <c r="I941">
        <f>IF(E941="Gmail",COUNTIF($E$2:E941,"Gmail"),"")</f>
        <v/>
      </c>
      <c r="J941">
        <f>IF(E941="Outlook",COUNTIF($E$2:E941,"Outlook"),"")</f>
        <v/>
      </c>
      <c r="K941">
        <f>IF(E941="Domain",COUNTIF($E$2:E941,"Domain"),"")</f>
        <v/>
      </c>
    </row>
    <row r="942">
      <c r="A942" s="2" t="n"/>
      <c r="B942">
        <f>LOWER(TRIM(A942))</f>
        <v/>
      </c>
      <c r="C942">
        <f>IF(B942="","",IFERROR(INDEX('Bad Patterns'!$A$2:$A$120,MATCH(1,INDEX(--ISNUMBER(SEARCH('Bad Patterns'!$A$2:$A$120,B942)),0),0)),""))</f>
        <v/>
      </c>
      <c r="D942">
        <f>IF(B942="","",IF(C942&lt;&gt;"","REMOVE","KEEP"))</f>
        <v/>
      </c>
      <c r="E942">
        <f>IF(D942&lt;&gt;"KEEP","",IF(RIGHT(B942,10)="@gmail.com","Gmail",IF(OR(RIGHT(B942,12)="@outlook.com",RIGHT(B942,12)="@hotmail.com",RIGHT(B942,9)="@live.com"),"Outlook","Domain")))</f>
        <v/>
      </c>
      <c r="F942">
        <f>IF(B942="","",IFERROR(RIGHT(B942,LEN(B942)-FIND("@",B942)),""))</f>
        <v/>
      </c>
      <c r="G942">
        <f>IF(D942="KEEP",COUNTIF($D$2:D942,"KEEP"),"")</f>
        <v/>
      </c>
      <c r="H942">
        <f>IF(D942="REMOVE",COUNTIF($D$2:D942,"REMOVE"),"")</f>
        <v/>
      </c>
      <c r="I942">
        <f>IF(E942="Gmail",COUNTIF($E$2:E942,"Gmail"),"")</f>
        <v/>
      </c>
      <c r="J942">
        <f>IF(E942="Outlook",COUNTIF($E$2:E942,"Outlook"),"")</f>
        <v/>
      </c>
      <c r="K942">
        <f>IF(E942="Domain",COUNTIF($E$2:E942,"Domain"),"")</f>
        <v/>
      </c>
    </row>
    <row r="943">
      <c r="A943" s="2" t="n"/>
      <c r="B943">
        <f>LOWER(TRIM(A943))</f>
        <v/>
      </c>
      <c r="C943">
        <f>IF(B943="","",IFERROR(INDEX('Bad Patterns'!$A$2:$A$120,MATCH(1,INDEX(--ISNUMBER(SEARCH('Bad Patterns'!$A$2:$A$120,B943)),0),0)),""))</f>
        <v/>
      </c>
      <c r="D943">
        <f>IF(B943="","",IF(C943&lt;&gt;"","REMOVE","KEEP"))</f>
        <v/>
      </c>
      <c r="E943">
        <f>IF(D943&lt;&gt;"KEEP","",IF(RIGHT(B943,10)="@gmail.com","Gmail",IF(OR(RIGHT(B943,12)="@outlook.com",RIGHT(B943,12)="@hotmail.com",RIGHT(B943,9)="@live.com"),"Outlook","Domain")))</f>
        <v/>
      </c>
      <c r="F943">
        <f>IF(B943="","",IFERROR(RIGHT(B943,LEN(B943)-FIND("@",B943)),""))</f>
        <v/>
      </c>
      <c r="G943">
        <f>IF(D943="KEEP",COUNTIF($D$2:D943,"KEEP"),"")</f>
        <v/>
      </c>
      <c r="H943">
        <f>IF(D943="REMOVE",COUNTIF($D$2:D943,"REMOVE"),"")</f>
        <v/>
      </c>
      <c r="I943">
        <f>IF(E943="Gmail",COUNTIF($E$2:E943,"Gmail"),"")</f>
        <v/>
      </c>
      <c r="J943">
        <f>IF(E943="Outlook",COUNTIF($E$2:E943,"Outlook"),"")</f>
        <v/>
      </c>
      <c r="K943">
        <f>IF(E943="Domain",COUNTIF($E$2:E943,"Domain"),"")</f>
        <v/>
      </c>
    </row>
    <row r="944">
      <c r="A944" s="2" t="n"/>
      <c r="B944">
        <f>LOWER(TRIM(A944))</f>
        <v/>
      </c>
      <c r="C944">
        <f>IF(B944="","",IFERROR(INDEX('Bad Patterns'!$A$2:$A$120,MATCH(1,INDEX(--ISNUMBER(SEARCH('Bad Patterns'!$A$2:$A$120,B944)),0),0)),""))</f>
        <v/>
      </c>
      <c r="D944">
        <f>IF(B944="","",IF(C944&lt;&gt;"","REMOVE","KEEP"))</f>
        <v/>
      </c>
      <c r="E944">
        <f>IF(D944&lt;&gt;"KEEP","",IF(RIGHT(B944,10)="@gmail.com","Gmail",IF(OR(RIGHT(B944,12)="@outlook.com",RIGHT(B944,12)="@hotmail.com",RIGHT(B944,9)="@live.com"),"Outlook","Domain")))</f>
        <v/>
      </c>
      <c r="F944">
        <f>IF(B944="","",IFERROR(RIGHT(B944,LEN(B944)-FIND("@",B944)),""))</f>
        <v/>
      </c>
      <c r="G944">
        <f>IF(D944="KEEP",COUNTIF($D$2:D944,"KEEP"),"")</f>
        <v/>
      </c>
      <c r="H944">
        <f>IF(D944="REMOVE",COUNTIF($D$2:D944,"REMOVE"),"")</f>
        <v/>
      </c>
      <c r="I944">
        <f>IF(E944="Gmail",COUNTIF($E$2:E944,"Gmail"),"")</f>
        <v/>
      </c>
      <c r="J944">
        <f>IF(E944="Outlook",COUNTIF($E$2:E944,"Outlook"),"")</f>
        <v/>
      </c>
      <c r="K944">
        <f>IF(E944="Domain",COUNTIF($E$2:E944,"Domain"),"")</f>
        <v/>
      </c>
    </row>
    <row r="945">
      <c r="A945" s="2" t="n"/>
      <c r="B945">
        <f>LOWER(TRIM(A945))</f>
        <v/>
      </c>
      <c r="C945">
        <f>IF(B945="","",IFERROR(INDEX('Bad Patterns'!$A$2:$A$120,MATCH(1,INDEX(--ISNUMBER(SEARCH('Bad Patterns'!$A$2:$A$120,B945)),0),0)),""))</f>
        <v/>
      </c>
      <c r="D945">
        <f>IF(B945="","",IF(C945&lt;&gt;"","REMOVE","KEEP"))</f>
        <v/>
      </c>
      <c r="E945">
        <f>IF(D945&lt;&gt;"KEEP","",IF(RIGHT(B945,10)="@gmail.com","Gmail",IF(OR(RIGHT(B945,12)="@outlook.com",RIGHT(B945,12)="@hotmail.com",RIGHT(B945,9)="@live.com"),"Outlook","Domain")))</f>
        <v/>
      </c>
      <c r="F945">
        <f>IF(B945="","",IFERROR(RIGHT(B945,LEN(B945)-FIND("@",B945)),""))</f>
        <v/>
      </c>
      <c r="G945">
        <f>IF(D945="KEEP",COUNTIF($D$2:D945,"KEEP"),"")</f>
        <v/>
      </c>
      <c r="H945">
        <f>IF(D945="REMOVE",COUNTIF($D$2:D945,"REMOVE"),"")</f>
        <v/>
      </c>
      <c r="I945">
        <f>IF(E945="Gmail",COUNTIF($E$2:E945,"Gmail"),"")</f>
        <v/>
      </c>
      <c r="J945">
        <f>IF(E945="Outlook",COUNTIF($E$2:E945,"Outlook"),"")</f>
        <v/>
      </c>
      <c r="K945">
        <f>IF(E945="Domain",COUNTIF($E$2:E945,"Domain"),"")</f>
        <v/>
      </c>
    </row>
    <row r="946">
      <c r="A946" s="2" t="n"/>
      <c r="B946">
        <f>LOWER(TRIM(A946))</f>
        <v/>
      </c>
      <c r="C946">
        <f>IF(B946="","",IFERROR(INDEX('Bad Patterns'!$A$2:$A$120,MATCH(1,INDEX(--ISNUMBER(SEARCH('Bad Patterns'!$A$2:$A$120,B946)),0),0)),""))</f>
        <v/>
      </c>
      <c r="D946">
        <f>IF(B946="","",IF(C946&lt;&gt;"","REMOVE","KEEP"))</f>
        <v/>
      </c>
      <c r="E946">
        <f>IF(D946&lt;&gt;"KEEP","",IF(RIGHT(B946,10)="@gmail.com","Gmail",IF(OR(RIGHT(B946,12)="@outlook.com",RIGHT(B946,12)="@hotmail.com",RIGHT(B946,9)="@live.com"),"Outlook","Domain")))</f>
        <v/>
      </c>
      <c r="F946">
        <f>IF(B946="","",IFERROR(RIGHT(B946,LEN(B946)-FIND("@",B946)),""))</f>
        <v/>
      </c>
      <c r="G946">
        <f>IF(D946="KEEP",COUNTIF($D$2:D946,"KEEP"),"")</f>
        <v/>
      </c>
      <c r="H946">
        <f>IF(D946="REMOVE",COUNTIF($D$2:D946,"REMOVE"),"")</f>
        <v/>
      </c>
      <c r="I946">
        <f>IF(E946="Gmail",COUNTIF($E$2:E946,"Gmail"),"")</f>
        <v/>
      </c>
      <c r="J946">
        <f>IF(E946="Outlook",COUNTIF($E$2:E946,"Outlook"),"")</f>
        <v/>
      </c>
      <c r="K946">
        <f>IF(E946="Domain",COUNTIF($E$2:E946,"Domain"),"")</f>
        <v/>
      </c>
    </row>
    <row r="947">
      <c r="A947" s="2" t="n"/>
      <c r="B947">
        <f>LOWER(TRIM(A947))</f>
        <v/>
      </c>
      <c r="C947">
        <f>IF(B947="","",IFERROR(INDEX('Bad Patterns'!$A$2:$A$120,MATCH(1,INDEX(--ISNUMBER(SEARCH('Bad Patterns'!$A$2:$A$120,B947)),0),0)),""))</f>
        <v/>
      </c>
      <c r="D947">
        <f>IF(B947="","",IF(C947&lt;&gt;"","REMOVE","KEEP"))</f>
        <v/>
      </c>
      <c r="E947">
        <f>IF(D947&lt;&gt;"KEEP","",IF(RIGHT(B947,10)="@gmail.com","Gmail",IF(OR(RIGHT(B947,12)="@outlook.com",RIGHT(B947,12)="@hotmail.com",RIGHT(B947,9)="@live.com"),"Outlook","Domain")))</f>
        <v/>
      </c>
      <c r="F947">
        <f>IF(B947="","",IFERROR(RIGHT(B947,LEN(B947)-FIND("@",B947)),""))</f>
        <v/>
      </c>
      <c r="G947">
        <f>IF(D947="KEEP",COUNTIF($D$2:D947,"KEEP"),"")</f>
        <v/>
      </c>
      <c r="H947">
        <f>IF(D947="REMOVE",COUNTIF($D$2:D947,"REMOVE"),"")</f>
        <v/>
      </c>
      <c r="I947">
        <f>IF(E947="Gmail",COUNTIF($E$2:E947,"Gmail"),"")</f>
        <v/>
      </c>
      <c r="J947">
        <f>IF(E947="Outlook",COUNTIF($E$2:E947,"Outlook"),"")</f>
        <v/>
      </c>
      <c r="K947">
        <f>IF(E947="Domain",COUNTIF($E$2:E947,"Domain"),"")</f>
        <v/>
      </c>
    </row>
    <row r="948">
      <c r="A948" s="2" t="n"/>
      <c r="B948">
        <f>LOWER(TRIM(A948))</f>
        <v/>
      </c>
      <c r="C948">
        <f>IF(B948="","",IFERROR(INDEX('Bad Patterns'!$A$2:$A$120,MATCH(1,INDEX(--ISNUMBER(SEARCH('Bad Patterns'!$A$2:$A$120,B948)),0),0)),""))</f>
        <v/>
      </c>
      <c r="D948">
        <f>IF(B948="","",IF(C948&lt;&gt;"","REMOVE","KEEP"))</f>
        <v/>
      </c>
      <c r="E948">
        <f>IF(D948&lt;&gt;"KEEP","",IF(RIGHT(B948,10)="@gmail.com","Gmail",IF(OR(RIGHT(B948,12)="@outlook.com",RIGHT(B948,12)="@hotmail.com",RIGHT(B948,9)="@live.com"),"Outlook","Domain")))</f>
        <v/>
      </c>
      <c r="F948">
        <f>IF(B948="","",IFERROR(RIGHT(B948,LEN(B948)-FIND("@",B948)),""))</f>
        <v/>
      </c>
      <c r="G948">
        <f>IF(D948="KEEP",COUNTIF($D$2:D948,"KEEP"),"")</f>
        <v/>
      </c>
      <c r="H948">
        <f>IF(D948="REMOVE",COUNTIF($D$2:D948,"REMOVE"),"")</f>
        <v/>
      </c>
      <c r="I948">
        <f>IF(E948="Gmail",COUNTIF($E$2:E948,"Gmail"),"")</f>
        <v/>
      </c>
      <c r="J948">
        <f>IF(E948="Outlook",COUNTIF($E$2:E948,"Outlook"),"")</f>
        <v/>
      </c>
      <c r="K948">
        <f>IF(E948="Domain",COUNTIF($E$2:E948,"Domain"),"")</f>
        <v/>
      </c>
    </row>
    <row r="949">
      <c r="A949" s="2" t="n"/>
      <c r="B949">
        <f>LOWER(TRIM(A949))</f>
        <v/>
      </c>
      <c r="C949">
        <f>IF(B949="","",IFERROR(INDEX('Bad Patterns'!$A$2:$A$120,MATCH(1,INDEX(--ISNUMBER(SEARCH('Bad Patterns'!$A$2:$A$120,B949)),0),0)),""))</f>
        <v/>
      </c>
      <c r="D949">
        <f>IF(B949="","",IF(C949&lt;&gt;"","REMOVE","KEEP"))</f>
        <v/>
      </c>
      <c r="E949">
        <f>IF(D949&lt;&gt;"KEEP","",IF(RIGHT(B949,10)="@gmail.com","Gmail",IF(OR(RIGHT(B949,12)="@outlook.com",RIGHT(B949,12)="@hotmail.com",RIGHT(B949,9)="@live.com"),"Outlook","Domain")))</f>
        <v/>
      </c>
      <c r="F949">
        <f>IF(B949="","",IFERROR(RIGHT(B949,LEN(B949)-FIND("@",B949)),""))</f>
        <v/>
      </c>
      <c r="G949">
        <f>IF(D949="KEEP",COUNTIF($D$2:D949,"KEEP"),"")</f>
        <v/>
      </c>
      <c r="H949">
        <f>IF(D949="REMOVE",COUNTIF($D$2:D949,"REMOVE"),"")</f>
        <v/>
      </c>
      <c r="I949">
        <f>IF(E949="Gmail",COUNTIF($E$2:E949,"Gmail"),"")</f>
        <v/>
      </c>
      <c r="J949">
        <f>IF(E949="Outlook",COUNTIF($E$2:E949,"Outlook"),"")</f>
        <v/>
      </c>
      <c r="K949">
        <f>IF(E949="Domain",COUNTIF($E$2:E949,"Domain"),"")</f>
        <v/>
      </c>
    </row>
    <row r="950">
      <c r="A950" s="2" t="n"/>
      <c r="B950">
        <f>LOWER(TRIM(A950))</f>
        <v/>
      </c>
      <c r="C950">
        <f>IF(B950="","",IFERROR(INDEX('Bad Patterns'!$A$2:$A$120,MATCH(1,INDEX(--ISNUMBER(SEARCH('Bad Patterns'!$A$2:$A$120,B950)),0),0)),""))</f>
        <v/>
      </c>
      <c r="D950">
        <f>IF(B950="","",IF(C950&lt;&gt;"","REMOVE","KEEP"))</f>
        <v/>
      </c>
      <c r="E950">
        <f>IF(D950&lt;&gt;"KEEP","",IF(RIGHT(B950,10)="@gmail.com","Gmail",IF(OR(RIGHT(B950,12)="@outlook.com",RIGHT(B950,12)="@hotmail.com",RIGHT(B950,9)="@live.com"),"Outlook","Domain")))</f>
        <v/>
      </c>
      <c r="F950">
        <f>IF(B950="","",IFERROR(RIGHT(B950,LEN(B950)-FIND("@",B950)),""))</f>
        <v/>
      </c>
      <c r="G950">
        <f>IF(D950="KEEP",COUNTIF($D$2:D950,"KEEP"),"")</f>
        <v/>
      </c>
      <c r="H950">
        <f>IF(D950="REMOVE",COUNTIF($D$2:D950,"REMOVE"),"")</f>
        <v/>
      </c>
      <c r="I950">
        <f>IF(E950="Gmail",COUNTIF($E$2:E950,"Gmail"),"")</f>
        <v/>
      </c>
      <c r="J950">
        <f>IF(E950="Outlook",COUNTIF($E$2:E950,"Outlook"),"")</f>
        <v/>
      </c>
      <c r="K950">
        <f>IF(E950="Domain",COUNTIF($E$2:E950,"Domain"),"")</f>
        <v/>
      </c>
    </row>
    <row r="951">
      <c r="A951" s="2" t="n"/>
      <c r="B951">
        <f>LOWER(TRIM(A951))</f>
        <v/>
      </c>
      <c r="C951">
        <f>IF(B951="","",IFERROR(INDEX('Bad Patterns'!$A$2:$A$120,MATCH(1,INDEX(--ISNUMBER(SEARCH('Bad Patterns'!$A$2:$A$120,B951)),0),0)),""))</f>
        <v/>
      </c>
      <c r="D951">
        <f>IF(B951="","",IF(C951&lt;&gt;"","REMOVE","KEEP"))</f>
        <v/>
      </c>
      <c r="E951">
        <f>IF(D951&lt;&gt;"KEEP","",IF(RIGHT(B951,10)="@gmail.com","Gmail",IF(OR(RIGHT(B951,12)="@outlook.com",RIGHT(B951,12)="@hotmail.com",RIGHT(B951,9)="@live.com"),"Outlook","Domain")))</f>
        <v/>
      </c>
      <c r="F951">
        <f>IF(B951="","",IFERROR(RIGHT(B951,LEN(B951)-FIND("@",B951)),""))</f>
        <v/>
      </c>
      <c r="G951">
        <f>IF(D951="KEEP",COUNTIF($D$2:D951,"KEEP"),"")</f>
        <v/>
      </c>
      <c r="H951">
        <f>IF(D951="REMOVE",COUNTIF($D$2:D951,"REMOVE"),"")</f>
        <v/>
      </c>
      <c r="I951">
        <f>IF(E951="Gmail",COUNTIF($E$2:E951,"Gmail"),"")</f>
        <v/>
      </c>
      <c r="J951">
        <f>IF(E951="Outlook",COUNTIF($E$2:E951,"Outlook"),"")</f>
        <v/>
      </c>
      <c r="K951">
        <f>IF(E951="Domain",COUNTIF($E$2:E951,"Domain"),"")</f>
        <v/>
      </c>
    </row>
    <row r="952">
      <c r="A952" s="2" t="n"/>
      <c r="B952">
        <f>LOWER(TRIM(A952))</f>
        <v/>
      </c>
      <c r="C952">
        <f>IF(B952="","",IFERROR(INDEX('Bad Patterns'!$A$2:$A$120,MATCH(1,INDEX(--ISNUMBER(SEARCH('Bad Patterns'!$A$2:$A$120,B952)),0),0)),""))</f>
        <v/>
      </c>
      <c r="D952">
        <f>IF(B952="","",IF(C952&lt;&gt;"","REMOVE","KEEP"))</f>
        <v/>
      </c>
      <c r="E952">
        <f>IF(D952&lt;&gt;"KEEP","",IF(RIGHT(B952,10)="@gmail.com","Gmail",IF(OR(RIGHT(B952,12)="@outlook.com",RIGHT(B952,12)="@hotmail.com",RIGHT(B952,9)="@live.com"),"Outlook","Domain")))</f>
        <v/>
      </c>
      <c r="F952">
        <f>IF(B952="","",IFERROR(RIGHT(B952,LEN(B952)-FIND("@",B952)),""))</f>
        <v/>
      </c>
      <c r="G952">
        <f>IF(D952="KEEP",COUNTIF($D$2:D952,"KEEP"),"")</f>
        <v/>
      </c>
      <c r="H952">
        <f>IF(D952="REMOVE",COUNTIF($D$2:D952,"REMOVE"),"")</f>
        <v/>
      </c>
      <c r="I952">
        <f>IF(E952="Gmail",COUNTIF($E$2:E952,"Gmail"),"")</f>
        <v/>
      </c>
      <c r="J952">
        <f>IF(E952="Outlook",COUNTIF($E$2:E952,"Outlook"),"")</f>
        <v/>
      </c>
      <c r="K952">
        <f>IF(E952="Domain",COUNTIF($E$2:E952,"Domain"),"")</f>
        <v/>
      </c>
    </row>
    <row r="953">
      <c r="A953" s="2" t="n"/>
      <c r="B953">
        <f>LOWER(TRIM(A953))</f>
        <v/>
      </c>
      <c r="C953">
        <f>IF(B953="","",IFERROR(INDEX('Bad Patterns'!$A$2:$A$120,MATCH(1,INDEX(--ISNUMBER(SEARCH('Bad Patterns'!$A$2:$A$120,B953)),0),0)),""))</f>
        <v/>
      </c>
      <c r="D953">
        <f>IF(B953="","",IF(C953&lt;&gt;"","REMOVE","KEEP"))</f>
        <v/>
      </c>
      <c r="E953">
        <f>IF(D953&lt;&gt;"KEEP","",IF(RIGHT(B953,10)="@gmail.com","Gmail",IF(OR(RIGHT(B953,12)="@outlook.com",RIGHT(B953,12)="@hotmail.com",RIGHT(B953,9)="@live.com"),"Outlook","Domain")))</f>
        <v/>
      </c>
      <c r="F953">
        <f>IF(B953="","",IFERROR(RIGHT(B953,LEN(B953)-FIND("@",B953)),""))</f>
        <v/>
      </c>
      <c r="G953">
        <f>IF(D953="KEEP",COUNTIF($D$2:D953,"KEEP"),"")</f>
        <v/>
      </c>
      <c r="H953">
        <f>IF(D953="REMOVE",COUNTIF($D$2:D953,"REMOVE"),"")</f>
        <v/>
      </c>
      <c r="I953">
        <f>IF(E953="Gmail",COUNTIF($E$2:E953,"Gmail"),"")</f>
        <v/>
      </c>
      <c r="J953">
        <f>IF(E953="Outlook",COUNTIF($E$2:E953,"Outlook"),"")</f>
        <v/>
      </c>
      <c r="K953">
        <f>IF(E953="Domain",COUNTIF($E$2:E953,"Domain"),"")</f>
        <v/>
      </c>
    </row>
    <row r="954">
      <c r="A954" s="2" t="n"/>
      <c r="B954">
        <f>LOWER(TRIM(A954))</f>
        <v/>
      </c>
      <c r="C954">
        <f>IF(B954="","",IFERROR(INDEX('Bad Patterns'!$A$2:$A$120,MATCH(1,INDEX(--ISNUMBER(SEARCH('Bad Patterns'!$A$2:$A$120,B954)),0),0)),""))</f>
        <v/>
      </c>
      <c r="D954">
        <f>IF(B954="","",IF(C954&lt;&gt;"","REMOVE","KEEP"))</f>
        <v/>
      </c>
      <c r="E954">
        <f>IF(D954&lt;&gt;"KEEP","",IF(RIGHT(B954,10)="@gmail.com","Gmail",IF(OR(RIGHT(B954,12)="@outlook.com",RIGHT(B954,12)="@hotmail.com",RIGHT(B954,9)="@live.com"),"Outlook","Domain")))</f>
        <v/>
      </c>
      <c r="F954">
        <f>IF(B954="","",IFERROR(RIGHT(B954,LEN(B954)-FIND("@",B954)),""))</f>
        <v/>
      </c>
      <c r="G954">
        <f>IF(D954="KEEP",COUNTIF($D$2:D954,"KEEP"),"")</f>
        <v/>
      </c>
      <c r="H954">
        <f>IF(D954="REMOVE",COUNTIF($D$2:D954,"REMOVE"),"")</f>
        <v/>
      </c>
      <c r="I954">
        <f>IF(E954="Gmail",COUNTIF($E$2:E954,"Gmail"),"")</f>
        <v/>
      </c>
      <c r="J954">
        <f>IF(E954="Outlook",COUNTIF($E$2:E954,"Outlook"),"")</f>
        <v/>
      </c>
      <c r="K954">
        <f>IF(E954="Domain",COUNTIF($E$2:E954,"Domain"),"")</f>
        <v/>
      </c>
    </row>
    <row r="955">
      <c r="A955" s="2" t="n"/>
      <c r="B955">
        <f>LOWER(TRIM(A955))</f>
        <v/>
      </c>
      <c r="C955">
        <f>IF(B955="","",IFERROR(INDEX('Bad Patterns'!$A$2:$A$120,MATCH(1,INDEX(--ISNUMBER(SEARCH('Bad Patterns'!$A$2:$A$120,B955)),0),0)),""))</f>
        <v/>
      </c>
      <c r="D955">
        <f>IF(B955="","",IF(C955&lt;&gt;"","REMOVE","KEEP"))</f>
        <v/>
      </c>
      <c r="E955">
        <f>IF(D955&lt;&gt;"KEEP","",IF(RIGHT(B955,10)="@gmail.com","Gmail",IF(OR(RIGHT(B955,12)="@outlook.com",RIGHT(B955,12)="@hotmail.com",RIGHT(B955,9)="@live.com"),"Outlook","Domain")))</f>
        <v/>
      </c>
      <c r="F955">
        <f>IF(B955="","",IFERROR(RIGHT(B955,LEN(B955)-FIND("@",B955)),""))</f>
        <v/>
      </c>
      <c r="G955">
        <f>IF(D955="KEEP",COUNTIF($D$2:D955,"KEEP"),"")</f>
        <v/>
      </c>
      <c r="H955">
        <f>IF(D955="REMOVE",COUNTIF($D$2:D955,"REMOVE"),"")</f>
        <v/>
      </c>
      <c r="I955">
        <f>IF(E955="Gmail",COUNTIF($E$2:E955,"Gmail"),"")</f>
        <v/>
      </c>
      <c r="J955">
        <f>IF(E955="Outlook",COUNTIF($E$2:E955,"Outlook"),"")</f>
        <v/>
      </c>
      <c r="K955">
        <f>IF(E955="Domain",COUNTIF($E$2:E955,"Domain"),"")</f>
        <v/>
      </c>
    </row>
    <row r="956">
      <c r="A956" s="2" t="n"/>
      <c r="B956">
        <f>LOWER(TRIM(A956))</f>
        <v/>
      </c>
      <c r="C956">
        <f>IF(B956="","",IFERROR(INDEX('Bad Patterns'!$A$2:$A$120,MATCH(1,INDEX(--ISNUMBER(SEARCH('Bad Patterns'!$A$2:$A$120,B956)),0),0)),""))</f>
        <v/>
      </c>
      <c r="D956">
        <f>IF(B956="","",IF(C956&lt;&gt;"","REMOVE","KEEP"))</f>
        <v/>
      </c>
      <c r="E956">
        <f>IF(D956&lt;&gt;"KEEP","",IF(RIGHT(B956,10)="@gmail.com","Gmail",IF(OR(RIGHT(B956,12)="@outlook.com",RIGHT(B956,12)="@hotmail.com",RIGHT(B956,9)="@live.com"),"Outlook","Domain")))</f>
        <v/>
      </c>
      <c r="F956">
        <f>IF(B956="","",IFERROR(RIGHT(B956,LEN(B956)-FIND("@",B956)),""))</f>
        <v/>
      </c>
      <c r="G956">
        <f>IF(D956="KEEP",COUNTIF($D$2:D956,"KEEP"),"")</f>
        <v/>
      </c>
      <c r="H956">
        <f>IF(D956="REMOVE",COUNTIF($D$2:D956,"REMOVE"),"")</f>
        <v/>
      </c>
      <c r="I956">
        <f>IF(E956="Gmail",COUNTIF($E$2:E956,"Gmail"),"")</f>
        <v/>
      </c>
      <c r="J956">
        <f>IF(E956="Outlook",COUNTIF($E$2:E956,"Outlook"),"")</f>
        <v/>
      </c>
      <c r="K956">
        <f>IF(E956="Domain",COUNTIF($E$2:E956,"Domain"),"")</f>
        <v/>
      </c>
    </row>
    <row r="957">
      <c r="A957" s="2" t="n"/>
      <c r="B957">
        <f>LOWER(TRIM(A957))</f>
        <v/>
      </c>
      <c r="C957">
        <f>IF(B957="","",IFERROR(INDEX('Bad Patterns'!$A$2:$A$120,MATCH(1,INDEX(--ISNUMBER(SEARCH('Bad Patterns'!$A$2:$A$120,B957)),0),0)),""))</f>
        <v/>
      </c>
      <c r="D957">
        <f>IF(B957="","",IF(C957&lt;&gt;"","REMOVE","KEEP"))</f>
        <v/>
      </c>
      <c r="E957">
        <f>IF(D957&lt;&gt;"KEEP","",IF(RIGHT(B957,10)="@gmail.com","Gmail",IF(OR(RIGHT(B957,12)="@outlook.com",RIGHT(B957,12)="@hotmail.com",RIGHT(B957,9)="@live.com"),"Outlook","Domain")))</f>
        <v/>
      </c>
      <c r="F957">
        <f>IF(B957="","",IFERROR(RIGHT(B957,LEN(B957)-FIND("@",B957)),""))</f>
        <v/>
      </c>
      <c r="G957">
        <f>IF(D957="KEEP",COUNTIF($D$2:D957,"KEEP"),"")</f>
        <v/>
      </c>
      <c r="H957">
        <f>IF(D957="REMOVE",COUNTIF($D$2:D957,"REMOVE"),"")</f>
        <v/>
      </c>
      <c r="I957">
        <f>IF(E957="Gmail",COUNTIF($E$2:E957,"Gmail"),"")</f>
        <v/>
      </c>
      <c r="J957">
        <f>IF(E957="Outlook",COUNTIF($E$2:E957,"Outlook"),"")</f>
        <v/>
      </c>
      <c r="K957">
        <f>IF(E957="Domain",COUNTIF($E$2:E957,"Domain"),"")</f>
        <v/>
      </c>
    </row>
    <row r="958">
      <c r="A958" s="2" t="n"/>
      <c r="B958">
        <f>LOWER(TRIM(A958))</f>
        <v/>
      </c>
      <c r="C958">
        <f>IF(B958="","",IFERROR(INDEX('Bad Patterns'!$A$2:$A$120,MATCH(1,INDEX(--ISNUMBER(SEARCH('Bad Patterns'!$A$2:$A$120,B958)),0),0)),""))</f>
        <v/>
      </c>
      <c r="D958">
        <f>IF(B958="","",IF(C958&lt;&gt;"","REMOVE","KEEP"))</f>
        <v/>
      </c>
      <c r="E958">
        <f>IF(D958&lt;&gt;"KEEP","",IF(RIGHT(B958,10)="@gmail.com","Gmail",IF(OR(RIGHT(B958,12)="@outlook.com",RIGHT(B958,12)="@hotmail.com",RIGHT(B958,9)="@live.com"),"Outlook","Domain")))</f>
        <v/>
      </c>
      <c r="F958">
        <f>IF(B958="","",IFERROR(RIGHT(B958,LEN(B958)-FIND("@",B958)),""))</f>
        <v/>
      </c>
      <c r="G958">
        <f>IF(D958="KEEP",COUNTIF($D$2:D958,"KEEP"),"")</f>
        <v/>
      </c>
      <c r="H958">
        <f>IF(D958="REMOVE",COUNTIF($D$2:D958,"REMOVE"),"")</f>
        <v/>
      </c>
      <c r="I958">
        <f>IF(E958="Gmail",COUNTIF($E$2:E958,"Gmail"),"")</f>
        <v/>
      </c>
      <c r="J958">
        <f>IF(E958="Outlook",COUNTIF($E$2:E958,"Outlook"),"")</f>
        <v/>
      </c>
      <c r="K958">
        <f>IF(E958="Domain",COUNTIF($E$2:E958,"Domain"),"")</f>
        <v/>
      </c>
    </row>
    <row r="959">
      <c r="A959" s="2" t="n"/>
      <c r="B959">
        <f>LOWER(TRIM(A959))</f>
        <v/>
      </c>
      <c r="C959">
        <f>IF(B959="","",IFERROR(INDEX('Bad Patterns'!$A$2:$A$120,MATCH(1,INDEX(--ISNUMBER(SEARCH('Bad Patterns'!$A$2:$A$120,B959)),0),0)),""))</f>
        <v/>
      </c>
      <c r="D959">
        <f>IF(B959="","",IF(C959&lt;&gt;"","REMOVE","KEEP"))</f>
        <v/>
      </c>
      <c r="E959">
        <f>IF(D959&lt;&gt;"KEEP","",IF(RIGHT(B959,10)="@gmail.com","Gmail",IF(OR(RIGHT(B959,12)="@outlook.com",RIGHT(B959,12)="@hotmail.com",RIGHT(B959,9)="@live.com"),"Outlook","Domain")))</f>
        <v/>
      </c>
      <c r="F959">
        <f>IF(B959="","",IFERROR(RIGHT(B959,LEN(B959)-FIND("@",B959)),""))</f>
        <v/>
      </c>
      <c r="G959">
        <f>IF(D959="KEEP",COUNTIF($D$2:D959,"KEEP"),"")</f>
        <v/>
      </c>
      <c r="H959">
        <f>IF(D959="REMOVE",COUNTIF($D$2:D959,"REMOVE"),"")</f>
        <v/>
      </c>
      <c r="I959">
        <f>IF(E959="Gmail",COUNTIF($E$2:E959,"Gmail"),"")</f>
        <v/>
      </c>
      <c r="J959">
        <f>IF(E959="Outlook",COUNTIF($E$2:E959,"Outlook"),"")</f>
        <v/>
      </c>
      <c r="K959">
        <f>IF(E959="Domain",COUNTIF($E$2:E959,"Domain"),"")</f>
        <v/>
      </c>
    </row>
    <row r="960">
      <c r="A960" s="2" t="n"/>
      <c r="B960">
        <f>LOWER(TRIM(A960))</f>
        <v/>
      </c>
      <c r="C960">
        <f>IF(B960="","",IFERROR(INDEX('Bad Patterns'!$A$2:$A$120,MATCH(1,INDEX(--ISNUMBER(SEARCH('Bad Patterns'!$A$2:$A$120,B960)),0),0)),""))</f>
        <v/>
      </c>
      <c r="D960">
        <f>IF(B960="","",IF(C960&lt;&gt;"","REMOVE","KEEP"))</f>
        <v/>
      </c>
      <c r="E960">
        <f>IF(D960&lt;&gt;"KEEP","",IF(RIGHT(B960,10)="@gmail.com","Gmail",IF(OR(RIGHT(B960,12)="@outlook.com",RIGHT(B960,12)="@hotmail.com",RIGHT(B960,9)="@live.com"),"Outlook","Domain")))</f>
        <v/>
      </c>
      <c r="F960">
        <f>IF(B960="","",IFERROR(RIGHT(B960,LEN(B960)-FIND("@",B960)),""))</f>
        <v/>
      </c>
      <c r="G960">
        <f>IF(D960="KEEP",COUNTIF($D$2:D960,"KEEP"),"")</f>
        <v/>
      </c>
      <c r="H960">
        <f>IF(D960="REMOVE",COUNTIF($D$2:D960,"REMOVE"),"")</f>
        <v/>
      </c>
      <c r="I960">
        <f>IF(E960="Gmail",COUNTIF($E$2:E960,"Gmail"),"")</f>
        <v/>
      </c>
      <c r="J960">
        <f>IF(E960="Outlook",COUNTIF($E$2:E960,"Outlook"),"")</f>
        <v/>
      </c>
      <c r="K960">
        <f>IF(E960="Domain",COUNTIF($E$2:E960,"Domain"),"")</f>
        <v/>
      </c>
    </row>
    <row r="961">
      <c r="A961" s="2" t="n"/>
      <c r="B961">
        <f>LOWER(TRIM(A961))</f>
        <v/>
      </c>
      <c r="C961">
        <f>IF(B961="","",IFERROR(INDEX('Bad Patterns'!$A$2:$A$120,MATCH(1,INDEX(--ISNUMBER(SEARCH('Bad Patterns'!$A$2:$A$120,B961)),0),0)),""))</f>
        <v/>
      </c>
      <c r="D961">
        <f>IF(B961="","",IF(C961&lt;&gt;"","REMOVE","KEEP"))</f>
        <v/>
      </c>
      <c r="E961">
        <f>IF(D961&lt;&gt;"KEEP","",IF(RIGHT(B961,10)="@gmail.com","Gmail",IF(OR(RIGHT(B961,12)="@outlook.com",RIGHT(B961,12)="@hotmail.com",RIGHT(B961,9)="@live.com"),"Outlook","Domain")))</f>
        <v/>
      </c>
      <c r="F961">
        <f>IF(B961="","",IFERROR(RIGHT(B961,LEN(B961)-FIND("@",B961)),""))</f>
        <v/>
      </c>
      <c r="G961">
        <f>IF(D961="KEEP",COUNTIF($D$2:D961,"KEEP"),"")</f>
        <v/>
      </c>
      <c r="H961">
        <f>IF(D961="REMOVE",COUNTIF($D$2:D961,"REMOVE"),"")</f>
        <v/>
      </c>
      <c r="I961">
        <f>IF(E961="Gmail",COUNTIF($E$2:E961,"Gmail"),"")</f>
        <v/>
      </c>
      <c r="J961">
        <f>IF(E961="Outlook",COUNTIF($E$2:E961,"Outlook"),"")</f>
        <v/>
      </c>
      <c r="K961">
        <f>IF(E961="Domain",COUNTIF($E$2:E961,"Domain"),"")</f>
        <v/>
      </c>
    </row>
    <row r="962">
      <c r="A962" s="2" t="n"/>
      <c r="B962">
        <f>LOWER(TRIM(A962))</f>
        <v/>
      </c>
      <c r="C962">
        <f>IF(B962="","",IFERROR(INDEX('Bad Patterns'!$A$2:$A$120,MATCH(1,INDEX(--ISNUMBER(SEARCH('Bad Patterns'!$A$2:$A$120,B962)),0),0)),""))</f>
        <v/>
      </c>
      <c r="D962">
        <f>IF(B962="","",IF(C962&lt;&gt;"","REMOVE","KEEP"))</f>
        <v/>
      </c>
      <c r="E962">
        <f>IF(D962&lt;&gt;"KEEP","",IF(RIGHT(B962,10)="@gmail.com","Gmail",IF(OR(RIGHT(B962,12)="@outlook.com",RIGHT(B962,12)="@hotmail.com",RIGHT(B962,9)="@live.com"),"Outlook","Domain")))</f>
        <v/>
      </c>
      <c r="F962">
        <f>IF(B962="","",IFERROR(RIGHT(B962,LEN(B962)-FIND("@",B962)),""))</f>
        <v/>
      </c>
      <c r="G962">
        <f>IF(D962="KEEP",COUNTIF($D$2:D962,"KEEP"),"")</f>
        <v/>
      </c>
      <c r="H962">
        <f>IF(D962="REMOVE",COUNTIF($D$2:D962,"REMOVE"),"")</f>
        <v/>
      </c>
      <c r="I962">
        <f>IF(E962="Gmail",COUNTIF($E$2:E962,"Gmail"),"")</f>
        <v/>
      </c>
      <c r="J962">
        <f>IF(E962="Outlook",COUNTIF($E$2:E962,"Outlook"),"")</f>
        <v/>
      </c>
      <c r="K962">
        <f>IF(E962="Domain",COUNTIF($E$2:E962,"Domain"),"")</f>
        <v/>
      </c>
    </row>
    <row r="963">
      <c r="A963" s="2" t="n"/>
      <c r="B963">
        <f>LOWER(TRIM(A963))</f>
        <v/>
      </c>
      <c r="C963">
        <f>IF(B963="","",IFERROR(INDEX('Bad Patterns'!$A$2:$A$120,MATCH(1,INDEX(--ISNUMBER(SEARCH('Bad Patterns'!$A$2:$A$120,B963)),0),0)),""))</f>
        <v/>
      </c>
      <c r="D963">
        <f>IF(B963="","",IF(C963&lt;&gt;"","REMOVE","KEEP"))</f>
        <v/>
      </c>
      <c r="E963">
        <f>IF(D963&lt;&gt;"KEEP","",IF(RIGHT(B963,10)="@gmail.com","Gmail",IF(OR(RIGHT(B963,12)="@outlook.com",RIGHT(B963,12)="@hotmail.com",RIGHT(B963,9)="@live.com"),"Outlook","Domain")))</f>
        <v/>
      </c>
      <c r="F963">
        <f>IF(B963="","",IFERROR(RIGHT(B963,LEN(B963)-FIND("@",B963)),""))</f>
        <v/>
      </c>
      <c r="G963">
        <f>IF(D963="KEEP",COUNTIF($D$2:D963,"KEEP"),"")</f>
        <v/>
      </c>
      <c r="H963">
        <f>IF(D963="REMOVE",COUNTIF($D$2:D963,"REMOVE"),"")</f>
        <v/>
      </c>
      <c r="I963">
        <f>IF(E963="Gmail",COUNTIF($E$2:E963,"Gmail"),"")</f>
        <v/>
      </c>
      <c r="J963">
        <f>IF(E963="Outlook",COUNTIF($E$2:E963,"Outlook"),"")</f>
        <v/>
      </c>
      <c r="K963">
        <f>IF(E963="Domain",COUNTIF($E$2:E963,"Domain"),"")</f>
        <v/>
      </c>
    </row>
    <row r="964">
      <c r="A964" s="2" t="n"/>
      <c r="B964">
        <f>LOWER(TRIM(A964))</f>
        <v/>
      </c>
      <c r="C964">
        <f>IF(B964="","",IFERROR(INDEX('Bad Patterns'!$A$2:$A$120,MATCH(1,INDEX(--ISNUMBER(SEARCH('Bad Patterns'!$A$2:$A$120,B964)),0),0)),""))</f>
        <v/>
      </c>
      <c r="D964">
        <f>IF(B964="","",IF(C964&lt;&gt;"","REMOVE","KEEP"))</f>
        <v/>
      </c>
      <c r="E964">
        <f>IF(D964&lt;&gt;"KEEP","",IF(RIGHT(B964,10)="@gmail.com","Gmail",IF(OR(RIGHT(B964,12)="@outlook.com",RIGHT(B964,12)="@hotmail.com",RIGHT(B964,9)="@live.com"),"Outlook","Domain")))</f>
        <v/>
      </c>
      <c r="F964">
        <f>IF(B964="","",IFERROR(RIGHT(B964,LEN(B964)-FIND("@",B964)),""))</f>
        <v/>
      </c>
      <c r="G964">
        <f>IF(D964="KEEP",COUNTIF($D$2:D964,"KEEP"),"")</f>
        <v/>
      </c>
      <c r="H964">
        <f>IF(D964="REMOVE",COUNTIF($D$2:D964,"REMOVE"),"")</f>
        <v/>
      </c>
      <c r="I964">
        <f>IF(E964="Gmail",COUNTIF($E$2:E964,"Gmail"),"")</f>
        <v/>
      </c>
      <c r="J964">
        <f>IF(E964="Outlook",COUNTIF($E$2:E964,"Outlook"),"")</f>
        <v/>
      </c>
      <c r="K964">
        <f>IF(E964="Domain",COUNTIF($E$2:E964,"Domain"),"")</f>
        <v/>
      </c>
    </row>
    <row r="965">
      <c r="A965" s="2" t="n"/>
      <c r="B965">
        <f>LOWER(TRIM(A965))</f>
        <v/>
      </c>
      <c r="C965">
        <f>IF(B965="","",IFERROR(INDEX('Bad Patterns'!$A$2:$A$120,MATCH(1,INDEX(--ISNUMBER(SEARCH('Bad Patterns'!$A$2:$A$120,B965)),0),0)),""))</f>
        <v/>
      </c>
      <c r="D965">
        <f>IF(B965="","",IF(C965&lt;&gt;"","REMOVE","KEEP"))</f>
        <v/>
      </c>
      <c r="E965">
        <f>IF(D965&lt;&gt;"KEEP","",IF(RIGHT(B965,10)="@gmail.com","Gmail",IF(OR(RIGHT(B965,12)="@outlook.com",RIGHT(B965,12)="@hotmail.com",RIGHT(B965,9)="@live.com"),"Outlook","Domain")))</f>
        <v/>
      </c>
      <c r="F965">
        <f>IF(B965="","",IFERROR(RIGHT(B965,LEN(B965)-FIND("@",B965)),""))</f>
        <v/>
      </c>
      <c r="G965">
        <f>IF(D965="KEEP",COUNTIF($D$2:D965,"KEEP"),"")</f>
        <v/>
      </c>
      <c r="H965">
        <f>IF(D965="REMOVE",COUNTIF($D$2:D965,"REMOVE"),"")</f>
        <v/>
      </c>
      <c r="I965">
        <f>IF(E965="Gmail",COUNTIF($E$2:E965,"Gmail"),"")</f>
        <v/>
      </c>
      <c r="J965">
        <f>IF(E965="Outlook",COUNTIF($E$2:E965,"Outlook"),"")</f>
        <v/>
      </c>
      <c r="K965">
        <f>IF(E965="Domain",COUNTIF($E$2:E965,"Domain"),"")</f>
        <v/>
      </c>
    </row>
    <row r="966">
      <c r="A966" s="2" t="n"/>
      <c r="B966">
        <f>LOWER(TRIM(A966))</f>
        <v/>
      </c>
      <c r="C966">
        <f>IF(B966="","",IFERROR(INDEX('Bad Patterns'!$A$2:$A$120,MATCH(1,INDEX(--ISNUMBER(SEARCH('Bad Patterns'!$A$2:$A$120,B966)),0),0)),""))</f>
        <v/>
      </c>
      <c r="D966">
        <f>IF(B966="","",IF(C966&lt;&gt;"","REMOVE","KEEP"))</f>
        <v/>
      </c>
      <c r="E966">
        <f>IF(D966&lt;&gt;"KEEP","",IF(RIGHT(B966,10)="@gmail.com","Gmail",IF(OR(RIGHT(B966,12)="@outlook.com",RIGHT(B966,12)="@hotmail.com",RIGHT(B966,9)="@live.com"),"Outlook","Domain")))</f>
        <v/>
      </c>
      <c r="F966">
        <f>IF(B966="","",IFERROR(RIGHT(B966,LEN(B966)-FIND("@",B966)),""))</f>
        <v/>
      </c>
      <c r="G966">
        <f>IF(D966="KEEP",COUNTIF($D$2:D966,"KEEP"),"")</f>
        <v/>
      </c>
      <c r="H966">
        <f>IF(D966="REMOVE",COUNTIF($D$2:D966,"REMOVE"),"")</f>
        <v/>
      </c>
      <c r="I966">
        <f>IF(E966="Gmail",COUNTIF($E$2:E966,"Gmail"),"")</f>
        <v/>
      </c>
      <c r="J966">
        <f>IF(E966="Outlook",COUNTIF($E$2:E966,"Outlook"),"")</f>
        <v/>
      </c>
      <c r="K966">
        <f>IF(E966="Domain",COUNTIF($E$2:E966,"Domain"),"")</f>
        <v/>
      </c>
    </row>
    <row r="967">
      <c r="A967" s="2" t="n"/>
      <c r="B967">
        <f>LOWER(TRIM(A967))</f>
        <v/>
      </c>
      <c r="C967">
        <f>IF(B967="","",IFERROR(INDEX('Bad Patterns'!$A$2:$A$120,MATCH(1,INDEX(--ISNUMBER(SEARCH('Bad Patterns'!$A$2:$A$120,B967)),0),0)),""))</f>
        <v/>
      </c>
      <c r="D967">
        <f>IF(B967="","",IF(C967&lt;&gt;"","REMOVE","KEEP"))</f>
        <v/>
      </c>
      <c r="E967">
        <f>IF(D967&lt;&gt;"KEEP","",IF(RIGHT(B967,10)="@gmail.com","Gmail",IF(OR(RIGHT(B967,12)="@outlook.com",RIGHT(B967,12)="@hotmail.com",RIGHT(B967,9)="@live.com"),"Outlook","Domain")))</f>
        <v/>
      </c>
      <c r="F967">
        <f>IF(B967="","",IFERROR(RIGHT(B967,LEN(B967)-FIND("@",B967)),""))</f>
        <v/>
      </c>
      <c r="G967">
        <f>IF(D967="KEEP",COUNTIF($D$2:D967,"KEEP"),"")</f>
        <v/>
      </c>
      <c r="H967">
        <f>IF(D967="REMOVE",COUNTIF($D$2:D967,"REMOVE"),"")</f>
        <v/>
      </c>
      <c r="I967">
        <f>IF(E967="Gmail",COUNTIF($E$2:E967,"Gmail"),"")</f>
        <v/>
      </c>
      <c r="J967">
        <f>IF(E967="Outlook",COUNTIF($E$2:E967,"Outlook"),"")</f>
        <v/>
      </c>
      <c r="K967">
        <f>IF(E967="Domain",COUNTIF($E$2:E967,"Domain"),"")</f>
        <v/>
      </c>
    </row>
    <row r="968">
      <c r="A968" s="2" t="n"/>
      <c r="B968">
        <f>LOWER(TRIM(A968))</f>
        <v/>
      </c>
      <c r="C968">
        <f>IF(B968="","",IFERROR(INDEX('Bad Patterns'!$A$2:$A$120,MATCH(1,INDEX(--ISNUMBER(SEARCH('Bad Patterns'!$A$2:$A$120,B968)),0),0)),""))</f>
        <v/>
      </c>
      <c r="D968">
        <f>IF(B968="","",IF(C968&lt;&gt;"","REMOVE","KEEP"))</f>
        <v/>
      </c>
      <c r="E968">
        <f>IF(D968&lt;&gt;"KEEP","",IF(RIGHT(B968,10)="@gmail.com","Gmail",IF(OR(RIGHT(B968,12)="@outlook.com",RIGHT(B968,12)="@hotmail.com",RIGHT(B968,9)="@live.com"),"Outlook","Domain")))</f>
        <v/>
      </c>
      <c r="F968">
        <f>IF(B968="","",IFERROR(RIGHT(B968,LEN(B968)-FIND("@",B968)),""))</f>
        <v/>
      </c>
      <c r="G968">
        <f>IF(D968="KEEP",COUNTIF($D$2:D968,"KEEP"),"")</f>
        <v/>
      </c>
      <c r="H968">
        <f>IF(D968="REMOVE",COUNTIF($D$2:D968,"REMOVE"),"")</f>
        <v/>
      </c>
      <c r="I968">
        <f>IF(E968="Gmail",COUNTIF($E$2:E968,"Gmail"),"")</f>
        <v/>
      </c>
      <c r="J968">
        <f>IF(E968="Outlook",COUNTIF($E$2:E968,"Outlook"),"")</f>
        <v/>
      </c>
      <c r="K968">
        <f>IF(E968="Domain",COUNTIF($E$2:E968,"Domain"),"")</f>
        <v/>
      </c>
    </row>
    <row r="969">
      <c r="A969" s="2" t="n"/>
      <c r="B969">
        <f>LOWER(TRIM(A969))</f>
        <v/>
      </c>
      <c r="C969">
        <f>IF(B969="","",IFERROR(INDEX('Bad Patterns'!$A$2:$A$120,MATCH(1,INDEX(--ISNUMBER(SEARCH('Bad Patterns'!$A$2:$A$120,B969)),0),0)),""))</f>
        <v/>
      </c>
      <c r="D969">
        <f>IF(B969="","",IF(C969&lt;&gt;"","REMOVE","KEEP"))</f>
        <v/>
      </c>
      <c r="E969">
        <f>IF(D969&lt;&gt;"KEEP","",IF(RIGHT(B969,10)="@gmail.com","Gmail",IF(OR(RIGHT(B969,12)="@outlook.com",RIGHT(B969,12)="@hotmail.com",RIGHT(B969,9)="@live.com"),"Outlook","Domain")))</f>
        <v/>
      </c>
      <c r="F969">
        <f>IF(B969="","",IFERROR(RIGHT(B969,LEN(B969)-FIND("@",B969)),""))</f>
        <v/>
      </c>
      <c r="G969">
        <f>IF(D969="KEEP",COUNTIF($D$2:D969,"KEEP"),"")</f>
        <v/>
      </c>
      <c r="H969">
        <f>IF(D969="REMOVE",COUNTIF($D$2:D969,"REMOVE"),"")</f>
        <v/>
      </c>
      <c r="I969">
        <f>IF(E969="Gmail",COUNTIF($E$2:E969,"Gmail"),"")</f>
        <v/>
      </c>
      <c r="J969">
        <f>IF(E969="Outlook",COUNTIF($E$2:E969,"Outlook"),"")</f>
        <v/>
      </c>
      <c r="K969">
        <f>IF(E969="Domain",COUNTIF($E$2:E969,"Domain"),"")</f>
        <v/>
      </c>
    </row>
    <row r="970">
      <c r="A970" s="2" t="n"/>
      <c r="B970">
        <f>LOWER(TRIM(A970))</f>
        <v/>
      </c>
      <c r="C970">
        <f>IF(B970="","",IFERROR(INDEX('Bad Patterns'!$A$2:$A$120,MATCH(1,INDEX(--ISNUMBER(SEARCH('Bad Patterns'!$A$2:$A$120,B970)),0),0)),""))</f>
        <v/>
      </c>
      <c r="D970">
        <f>IF(B970="","",IF(C970&lt;&gt;"","REMOVE","KEEP"))</f>
        <v/>
      </c>
      <c r="E970">
        <f>IF(D970&lt;&gt;"KEEP","",IF(RIGHT(B970,10)="@gmail.com","Gmail",IF(OR(RIGHT(B970,12)="@outlook.com",RIGHT(B970,12)="@hotmail.com",RIGHT(B970,9)="@live.com"),"Outlook","Domain")))</f>
        <v/>
      </c>
      <c r="F970">
        <f>IF(B970="","",IFERROR(RIGHT(B970,LEN(B970)-FIND("@",B970)),""))</f>
        <v/>
      </c>
      <c r="G970">
        <f>IF(D970="KEEP",COUNTIF($D$2:D970,"KEEP"),"")</f>
        <v/>
      </c>
      <c r="H970">
        <f>IF(D970="REMOVE",COUNTIF($D$2:D970,"REMOVE"),"")</f>
        <v/>
      </c>
      <c r="I970">
        <f>IF(E970="Gmail",COUNTIF($E$2:E970,"Gmail"),"")</f>
        <v/>
      </c>
      <c r="J970">
        <f>IF(E970="Outlook",COUNTIF($E$2:E970,"Outlook"),"")</f>
        <v/>
      </c>
      <c r="K970">
        <f>IF(E970="Domain",COUNTIF($E$2:E970,"Domain"),"")</f>
        <v/>
      </c>
    </row>
    <row r="971">
      <c r="A971" s="2" t="n"/>
      <c r="B971">
        <f>LOWER(TRIM(A971))</f>
        <v/>
      </c>
      <c r="C971">
        <f>IF(B971="","",IFERROR(INDEX('Bad Patterns'!$A$2:$A$120,MATCH(1,INDEX(--ISNUMBER(SEARCH('Bad Patterns'!$A$2:$A$120,B971)),0),0)),""))</f>
        <v/>
      </c>
      <c r="D971">
        <f>IF(B971="","",IF(C971&lt;&gt;"","REMOVE","KEEP"))</f>
        <v/>
      </c>
      <c r="E971">
        <f>IF(D971&lt;&gt;"KEEP","",IF(RIGHT(B971,10)="@gmail.com","Gmail",IF(OR(RIGHT(B971,12)="@outlook.com",RIGHT(B971,12)="@hotmail.com",RIGHT(B971,9)="@live.com"),"Outlook","Domain")))</f>
        <v/>
      </c>
      <c r="F971">
        <f>IF(B971="","",IFERROR(RIGHT(B971,LEN(B971)-FIND("@",B971)),""))</f>
        <v/>
      </c>
      <c r="G971">
        <f>IF(D971="KEEP",COUNTIF($D$2:D971,"KEEP"),"")</f>
        <v/>
      </c>
      <c r="H971">
        <f>IF(D971="REMOVE",COUNTIF($D$2:D971,"REMOVE"),"")</f>
        <v/>
      </c>
      <c r="I971">
        <f>IF(E971="Gmail",COUNTIF($E$2:E971,"Gmail"),"")</f>
        <v/>
      </c>
      <c r="J971">
        <f>IF(E971="Outlook",COUNTIF($E$2:E971,"Outlook"),"")</f>
        <v/>
      </c>
      <c r="K971">
        <f>IF(E971="Domain",COUNTIF($E$2:E971,"Domain"),"")</f>
        <v/>
      </c>
    </row>
    <row r="972">
      <c r="A972" s="2" t="n"/>
      <c r="B972">
        <f>LOWER(TRIM(A972))</f>
        <v/>
      </c>
      <c r="C972">
        <f>IF(B972="","",IFERROR(INDEX('Bad Patterns'!$A$2:$A$120,MATCH(1,INDEX(--ISNUMBER(SEARCH('Bad Patterns'!$A$2:$A$120,B972)),0),0)),""))</f>
        <v/>
      </c>
      <c r="D972">
        <f>IF(B972="","",IF(C972&lt;&gt;"","REMOVE","KEEP"))</f>
        <v/>
      </c>
      <c r="E972">
        <f>IF(D972&lt;&gt;"KEEP","",IF(RIGHT(B972,10)="@gmail.com","Gmail",IF(OR(RIGHT(B972,12)="@outlook.com",RIGHT(B972,12)="@hotmail.com",RIGHT(B972,9)="@live.com"),"Outlook","Domain")))</f>
        <v/>
      </c>
      <c r="F972">
        <f>IF(B972="","",IFERROR(RIGHT(B972,LEN(B972)-FIND("@",B972)),""))</f>
        <v/>
      </c>
      <c r="G972">
        <f>IF(D972="KEEP",COUNTIF($D$2:D972,"KEEP"),"")</f>
        <v/>
      </c>
      <c r="H972">
        <f>IF(D972="REMOVE",COUNTIF($D$2:D972,"REMOVE"),"")</f>
        <v/>
      </c>
      <c r="I972">
        <f>IF(E972="Gmail",COUNTIF($E$2:E972,"Gmail"),"")</f>
        <v/>
      </c>
      <c r="J972">
        <f>IF(E972="Outlook",COUNTIF($E$2:E972,"Outlook"),"")</f>
        <v/>
      </c>
      <c r="K972">
        <f>IF(E972="Domain",COUNTIF($E$2:E972,"Domain"),"")</f>
        <v/>
      </c>
    </row>
    <row r="973">
      <c r="A973" s="2" t="n"/>
      <c r="B973">
        <f>LOWER(TRIM(A973))</f>
        <v/>
      </c>
      <c r="C973">
        <f>IF(B973="","",IFERROR(INDEX('Bad Patterns'!$A$2:$A$120,MATCH(1,INDEX(--ISNUMBER(SEARCH('Bad Patterns'!$A$2:$A$120,B973)),0),0)),""))</f>
        <v/>
      </c>
      <c r="D973">
        <f>IF(B973="","",IF(C973&lt;&gt;"","REMOVE","KEEP"))</f>
        <v/>
      </c>
      <c r="E973">
        <f>IF(D973&lt;&gt;"KEEP","",IF(RIGHT(B973,10)="@gmail.com","Gmail",IF(OR(RIGHT(B973,12)="@outlook.com",RIGHT(B973,12)="@hotmail.com",RIGHT(B973,9)="@live.com"),"Outlook","Domain")))</f>
        <v/>
      </c>
      <c r="F973">
        <f>IF(B973="","",IFERROR(RIGHT(B973,LEN(B973)-FIND("@",B973)),""))</f>
        <v/>
      </c>
      <c r="G973">
        <f>IF(D973="KEEP",COUNTIF($D$2:D973,"KEEP"),"")</f>
        <v/>
      </c>
      <c r="H973">
        <f>IF(D973="REMOVE",COUNTIF($D$2:D973,"REMOVE"),"")</f>
        <v/>
      </c>
      <c r="I973">
        <f>IF(E973="Gmail",COUNTIF($E$2:E973,"Gmail"),"")</f>
        <v/>
      </c>
      <c r="J973">
        <f>IF(E973="Outlook",COUNTIF($E$2:E973,"Outlook"),"")</f>
        <v/>
      </c>
      <c r="K973">
        <f>IF(E973="Domain",COUNTIF($E$2:E973,"Domain"),"")</f>
        <v/>
      </c>
    </row>
    <row r="974">
      <c r="A974" s="2" t="n"/>
      <c r="B974">
        <f>LOWER(TRIM(A974))</f>
        <v/>
      </c>
      <c r="C974">
        <f>IF(B974="","",IFERROR(INDEX('Bad Patterns'!$A$2:$A$120,MATCH(1,INDEX(--ISNUMBER(SEARCH('Bad Patterns'!$A$2:$A$120,B974)),0),0)),""))</f>
        <v/>
      </c>
      <c r="D974">
        <f>IF(B974="","",IF(C974&lt;&gt;"","REMOVE","KEEP"))</f>
        <v/>
      </c>
      <c r="E974">
        <f>IF(D974&lt;&gt;"KEEP","",IF(RIGHT(B974,10)="@gmail.com","Gmail",IF(OR(RIGHT(B974,12)="@outlook.com",RIGHT(B974,12)="@hotmail.com",RIGHT(B974,9)="@live.com"),"Outlook","Domain")))</f>
        <v/>
      </c>
      <c r="F974">
        <f>IF(B974="","",IFERROR(RIGHT(B974,LEN(B974)-FIND("@",B974)),""))</f>
        <v/>
      </c>
      <c r="G974">
        <f>IF(D974="KEEP",COUNTIF($D$2:D974,"KEEP"),"")</f>
        <v/>
      </c>
      <c r="H974">
        <f>IF(D974="REMOVE",COUNTIF($D$2:D974,"REMOVE"),"")</f>
        <v/>
      </c>
      <c r="I974">
        <f>IF(E974="Gmail",COUNTIF($E$2:E974,"Gmail"),"")</f>
        <v/>
      </c>
      <c r="J974">
        <f>IF(E974="Outlook",COUNTIF($E$2:E974,"Outlook"),"")</f>
        <v/>
      </c>
      <c r="K974">
        <f>IF(E974="Domain",COUNTIF($E$2:E974,"Domain"),"")</f>
        <v/>
      </c>
    </row>
    <row r="975">
      <c r="A975" s="2" t="n"/>
      <c r="B975">
        <f>LOWER(TRIM(A975))</f>
        <v/>
      </c>
      <c r="C975">
        <f>IF(B975="","",IFERROR(INDEX('Bad Patterns'!$A$2:$A$120,MATCH(1,INDEX(--ISNUMBER(SEARCH('Bad Patterns'!$A$2:$A$120,B975)),0),0)),""))</f>
        <v/>
      </c>
      <c r="D975">
        <f>IF(B975="","",IF(C975&lt;&gt;"","REMOVE","KEEP"))</f>
        <v/>
      </c>
      <c r="E975">
        <f>IF(D975&lt;&gt;"KEEP","",IF(RIGHT(B975,10)="@gmail.com","Gmail",IF(OR(RIGHT(B975,12)="@outlook.com",RIGHT(B975,12)="@hotmail.com",RIGHT(B975,9)="@live.com"),"Outlook","Domain")))</f>
        <v/>
      </c>
      <c r="F975">
        <f>IF(B975="","",IFERROR(RIGHT(B975,LEN(B975)-FIND("@",B975)),""))</f>
        <v/>
      </c>
      <c r="G975">
        <f>IF(D975="KEEP",COUNTIF($D$2:D975,"KEEP"),"")</f>
        <v/>
      </c>
      <c r="H975">
        <f>IF(D975="REMOVE",COUNTIF($D$2:D975,"REMOVE"),"")</f>
        <v/>
      </c>
      <c r="I975">
        <f>IF(E975="Gmail",COUNTIF($E$2:E975,"Gmail"),"")</f>
        <v/>
      </c>
      <c r="J975">
        <f>IF(E975="Outlook",COUNTIF($E$2:E975,"Outlook"),"")</f>
        <v/>
      </c>
      <c r="K975">
        <f>IF(E975="Domain",COUNTIF($E$2:E975,"Domain"),"")</f>
        <v/>
      </c>
    </row>
    <row r="976">
      <c r="A976" s="2" t="n"/>
      <c r="B976">
        <f>LOWER(TRIM(A976))</f>
        <v/>
      </c>
      <c r="C976">
        <f>IF(B976="","",IFERROR(INDEX('Bad Patterns'!$A$2:$A$120,MATCH(1,INDEX(--ISNUMBER(SEARCH('Bad Patterns'!$A$2:$A$120,B976)),0),0)),""))</f>
        <v/>
      </c>
      <c r="D976">
        <f>IF(B976="","",IF(C976&lt;&gt;"","REMOVE","KEEP"))</f>
        <v/>
      </c>
      <c r="E976">
        <f>IF(D976&lt;&gt;"KEEP","",IF(RIGHT(B976,10)="@gmail.com","Gmail",IF(OR(RIGHT(B976,12)="@outlook.com",RIGHT(B976,12)="@hotmail.com",RIGHT(B976,9)="@live.com"),"Outlook","Domain")))</f>
        <v/>
      </c>
      <c r="F976">
        <f>IF(B976="","",IFERROR(RIGHT(B976,LEN(B976)-FIND("@",B976)),""))</f>
        <v/>
      </c>
      <c r="G976">
        <f>IF(D976="KEEP",COUNTIF($D$2:D976,"KEEP"),"")</f>
        <v/>
      </c>
      <c r="H976">
        <f>IF(D976="REMOVE",COUNTIF($D$2:D976,"REMOVE"),"")</f>
        <v/>
      </c>
      <c r="I976">
        <f>IF(E976="Gmail",COUNTIF($E$2:E976,"Gmail"),"")</f>
        <v/>
      </c>
      <c r="J976">
        <f>IF(E976="Outlook",COUNTIF($E$2:E976,"Outlook"),"")</f>
        <v/>
      </c>
      <c r="K976">
        <f>IF(E976="Domain",COUNTIF($E$2:E976,"Domain"),"")</f>
        <v/>
      </c>
    </row>
    <row r="977">
      <c r="A977" s="2" t="n"/>
      <c r="B977">
        <f>LOWER(TRIM(A977))</f>
        <v/>
      </c>
      <c r="C977">
        <f>IF(B977="","",IFERROR(INDEX('Bad Patterns'!$A$2:$A$120,MATCH(1,INDEX(--ISNUMBER(SEARCH('Bad Patterns'!$A$2:$A$120,B977)),0),0)),""))</f>
        <v/>
      </c>
      <c r="D977">
        <f>IF(B977="","",IF(C977&lt;&gt;"","REMOVE","KEEP"))</f>
        <v/>
      </c>
      <c r="E977">
        <f>IF(D977&lt;&gt;"KEEP","",IF(RIGHT(B977,10)="@gmail.com","Gmail",IF(OR(RIGHT(B977,12)="@outlook.com",RIGHT(B977,12)="@hotmail.com",RIGHT(B977,9)="@live.com"),"Outlook","Domain")))</f>
        <v/>
      </c>
      <c r="F977">
        <f>IF(B977="","",IFERROR(RIGHT(B977,LEN(B977)-FIND("@",B977)),""))</f>
        <v/>
      </c>
      <c r="G977">
        <f>IF(D977="KEEP",COUNTIF($D$2:D977,"KEEP"),"")</f>
        <v/>
      </c>
      <c r="H977">
        <f>IF(D977="REMOVE",COUNTIF($D$2:D977,"REMOVE"),"")</f>
        <v/>
      </c>
      <c r="I977">
        <f>IF(E977="Gmail",COUNTIF($E$2:E977,"Gmail"),"")</f>
        <v/>
      </c>
      <c r="J977">
        <f>IF(E977="Outlook",COUNTIF($E$2:E977,"Outlook"),"")</f>
        <v/>
      </c>
      <c r="K977">
        <f>IF(E977="Domain",COUNTIF($E$2:E977,"Domain"),"")</f>
        <v/>
      </c>
    </row>
    <row r="978">
      <c r="A978" s="2" t="n"/>
      <c r="B978">
        <f>LOWER(TRIM(A978))</f>
        <v/>
      </c>
      <c r="C978">
        <f>IF(B978="","",IFERROR(INDEX('Bad Patterns'!$A$2:$A$120,MATCH(1,INDEX(--ISNUMBER(SEARCH('Bad Patterns'!$A$2:$A$120,B978)),0),0)),""))</f>
        <v/>
      </c>
      <c r="D978">
        <f>IF(B978="","",IF(C978&lt;&gt;"","REMOVE","KEEP"))</f>
        <v/>
      </c>
      <c r="E978">
        <f>IF(D978&lt;&gt;"KEEP","",IF(RIGHT(B978,10)="@gmail.com","Gmail",IF(OR(RIGHT(B978,12)="@outlook.com",RIGHT(B978,12)="@hotmail.com",RIGHT(B978,9)="@live.com"),"Outlook","Domain")))</f>
        <v/>
      </c>
      <c r="F978">
        <f>IF(B978="","",IFERROR(RIGHT(B978,LEN(B978)-FIND("@",B978)),""))</f>
        <v/>
      </c>
      <c r="G978">
        <f>IF(D978="KEEP",COUNTIF($D$2:D978,"KEEP"),"")</f>
        <v/>
      </c>
      <c r="H978">
        <f>IF(D978="REMOVE",COUNTIF($D$2:D978,"REMOVE"),"")</f>
        <v/>
      </c>
      <c r="I978">
        <f>IF(E978="Gmail",COUNTIF($E$2:E978,"Gmail"),"")</f>
        <v/>
      </c>
      <c r="J978">
        <f>IF(E978="Outlook",COUNTIF($E$2:E978,"Outlook"),"")</f>
        <v/>
      </c>
      <c r="K978">
        <f>IF(E978="Domain",COUNTIF($E$2:E978,"Domain"),"")</f>
        <v/>
      </c>
    </row>
    <row r="979">
      <c r="A979" s="2" t="n"/>
      <c r="B979">
        <f>LOWER(TRIM(A979))</f>
        <v/>
      </c>
      <c r="C979">
        <f>IF(B979="","",IFERROR(INDEX('Bad Patterns'!$A$2:$A$120,MATCH(1,INDEX(--ISNUMBER(SEARCH('Bad Patterns'!$A$2:$A$120,B979)),0),0)),""))</f>
        <v/>
      </c>
      <c r="D979">
        <f>IF(B979="","",IF(C979&lt;&gt;"","REMOVE","KEEP"))</f>
        <v/>
      </c>
      <c r="E979">
        <f>IF(D979&lt;&gt;"KEEP","",IF(RIGHT(B979,10)="@gmail.com","Gmail",IF(OR(RIGHT(B979,12)="@outlook.com",RIGHT(B979,12)="@hotmail.com",RIGHT(B979,9)="@live.com"),"Outlook","Domain")))</f>
        <v/>
      </c>
      <c r="F979">
        <f>IF(B979="","",IFERROR(RIGHT(B979,LEN(B979)-FIND("@",B979)),""))</f>
        <v/>
      </c>
      <c r="G979">
        <f>IF(D979="KEEP",COUNTIF($D$2:D979,"KEEP"),"")</f>
        <v/>
      </c>
      <c r="H979">
        <f>IF(D979="REMOVE",COUNTIF($D$2:D979,"REMOVE"),"")</f>
        <v/>
      </c>
      <c r="I979">
        <f>IF(E979="Gmail",COUNTIF($E$2:E979,"Gmail"),"")</f>
        <v/>
      </c>
      <c r="J979">
        <f>IF(E979="Outlook",COUNTIF($E$2:E979,"Outlook"),"")</f>
        <v/>
      </c>
      <c r="K979">
        <f>IF(E979="Domain",COUNTIF($E$2:E979,"Domain"),"")</f>
        <v/>
      </c>
    </row>
    <row r="980">
      <c r="A980" s="2" t="n"/>
      <c r="B980">
        <f>LOWER(TRIM(A980))</f>
        <v/>
      </c>
      <c r="C980">
        <f>IF(B980="","",IFERROR(INDEX('Bad Patterns'!$A$2:$A$120,MATCH(1,INDEX(--ISNUMBER(SEARCH('Bad Patterns'!$A$2:$A$120,B980)),0),0)),""))</f>
        <v/>
      </c>
      <c r="D980">
        <f>IF(B980="","",IF(C980&lt;&gt;"","REMOVE","KEEP"))</f>
        <v/>
      </c>
      <c r="E980">
        <f>IF(D980&lt;&gt;"KEEP","",IF(RIGHT(B980,10)="@gmail.com","Gmail",IF(OR(RIGHT(B980,12)="@outlook.com",RIGHT(B980,12)="@hotmail.com",RIGHT(B980,9)="@live.com"),"Outlook","Domain")))</f>
        <v/>
      </c>
      <c r="F980">
        <f>IF(B980="","",IFERROR(RIGHT(B980,LEN(B980)-FIND("@",B980)),""))</f>
        <v/>
      </c>
      <c r="G980">
        <f>IF(D980="KEEP",COUNTIF($D$2:D980,"KEEP"),"")</f>
        <v/>
      </c>
      <c r="H980">
        <f>IF(D980="REMOVE",COUNTIF($D$2:D980,"REMOVE"),"")</f>
        <v/>
      </c>
      <c r="I980">
        <f>IF(E980="Gmail",COUNTIF($E$2:E980,"Gmail"),"")</f>
        <v/>
      </c>
      <c r="J980">
        <f>IF(E980="Outlook",COUNTIF($E$2:E980,"Outlook"),"")</f>
        <v/>
      </c>
      <c r="K980">
        <f>IF(E980="Domain",COUNTIF($E$2:E980,"Domain"),"")</f>
        <v/>
      </c>
    </row>
    <row r="981">
      <c r="A981" s="2" t="n"/>
      <c r="B981">
        <f>LOWER(TRIM(A981))</f>
        <v/>
      </c>
      <c r="C981">
        <f>IF(B981="","",IFERROR(INDEX('Bad Patterns'!$A$2:$A$120,MATCH(1,INDEX(--ISNUMBER(SEARCH('Bad Patterns'!$A$2:$A$120,B981)),0),0)),""))</f>
        <v/>
      </c>
      <c r="D981">
        <f>IF(B981="","",IF(C981&lt;&gt;"","REMOVE","KEEP"))</f>
        <v/>
      </c>
      <c r="E981">
        <f>IF(D981&lt;&gt;"KEEP","",IF(RIGHT(B981,10)="@gmail.com","Gmail",IF(OR(RIGHT(B981,12)="@outlook.com",RIGHT(B981,12)="@hotmail.com",RIGHT(B981,9)="@live.com"),"Outlook","Domain")))</f>
        <v/>
      </c>
      <c r="F981">
        <f>IF(B981="","",IFERROR(RIGHT(B981,LEN(B981)-FIND("@",B981)),""))</f>
        <v/>
      </c>
      <c r="G981">
        <f>IF(D981="KEEP",COUNTIF($D$2:D981,"KEEP"),"")</f>
        <v/>
      </c>
      <c r="H981">
        <f>IF(D981="REMOVE",COUNTIF($D$2:D981,"REMOVE"),"")</f>
        <v/>
      </c>
      <c r="I981">
        <f>IF(E981="Gmail",COUNTIF($E$2:E981,"Gmail"),"")</f>
        <v/>
      </c>
      <c r="J981">
        <f>IF(E981="Outlook",COUNTIF($E$2:E981,"Outlook"),"")</f>
        <v/>
      </c>
      <c r="K981">
        <f>IF(E981="Domain",COUNTIF($E$2:E981,"Domain"),"")</f>
        <v/>
      </c>
    </row>
    <row r="982">
      <c r="A982" s="2" t="n"/>
      <c r="B982">
        <f>LOWER(TRIM(A982))</f>
        <v/>
      </c>
      <c r="C982">
        <f>IF(B982="","",IFERROR(INDEX('Bad Patterns'!$A$2:$A$120,MATCH(1,INDEX(--ISNUMBER(SEARCH('Bad Patterns'!$A$2:$A$120,B982)),0),0)),""))</f>
        <v/>
      </c>
      <c r="D982">
        <f>IF(B982="","",IF(C982&lt;&gt;"","REMOVE","KEEP"))</f>
        <v/>
      </c>
      <c r="E982">
        <f>IF(D982&lt;&gt;"KEEP","",IF(RIGHT(B982,10)="@gmail.com","Gmail",IF(OR(RIGHT(B982,12)="@outlook.com",RIGHT(B982,12)="@hotmail.com",RIGHT(B982,9)="@live.com"),"Outlook","Domain")))</f>
        <v/>
      </c>
      <c r="F982">
        <f>IF(B982="","",IFERROR(RIGHT(B982,LEN(B982)-FIND("@",B982)),""))</f>
        <v/>
      </c>
      <c r="G982">
        <f>IF(D982="KEEP",COUNTIF($D$2:D982,"KEEP"),"")</f>
        <v/>
      </c>
      <c r="H982">
        <f>IF(D982="REMOVE",COUNTIF($D$2:D982,"REMOVE"),"")</f>
        <v/>
      </c>
      <c r="I982">
        <f>IF(E982="Gmail",COUNTIF($E$2:E982,"Gmail"),"")</f>
        <v/>
      </c>
      <c r="J982">
        <f>IF(E982="Outlook",COUNTIF($E$2:E982,"Outlook"),"")</f>
        <v/>
      </c>
      <c r="K982">
        <f>IF(E982="Domain",COUNTIF($E$2:E982,"Domain"),"")</f>
        <v/>
      </c>
    </row>
    <row r="983">
      <c r="A983" s="2" t="n"/>
      <c r="B983">
        <f>LOWER(TRIM(A983))</f>
        <v/>
      </c>
      <c r="C983">
        <f>IF(B983="","",IFERROR(INDEX('Bad Patterns'!$A$2:$A$120,MATCH(1,INDEX(--ISNUMBER(SEARCH('Bad Patterns'!$A$2:$A$120,B983)),0),0)),""))</f>
        <v/>
      </c>
      <c r="D983">
        <f>IF(B983="","",IF(C983&lt;&gt;"","REMOVE","KEEP"))</f>
        <v/>
      </c>
      <c r="E983">
        <f>IF(D983&lt;&gt;"KEEP","",IF(RIGHT(B983,10)="@gmail.com","Gmail",IF(OR(RIGHT(B983,12)="@outlook.com",RIGHT(B983,12)="@hotmail.com",RIGHT(B983,9)="@live.com"),"Outlook","Domain")))</f>
        <v/>
      </c>
      <c r="F983">
        <f>IF(B983="","",IFERROR(RIGHT(B983,LEN(B983)-FIND("@",B983)),""))</f>
        <v/>
      </c>
      <c r="G983">
        <f>IF(D983="KEEP",COUNTIF($D$2:D983,"KEEP"),"")</f>
        <v/>
      </c>
      <c r="H983">
        <f>IF(D983="REMOVE",COUNTIF($D$2:D983,"REMOVE"),"")</f>
        <v/>
      </c>
      <c r="I983">
        <f>IF(E983="Gmail",COUNTIF($E$2:E983,"Gmail"),"")</f>
        <v/>
      </c>
      <c r="J983">
        <f>IF(E983="Outlook",COUNTIF($E$2:E983,"Outlook"),"")</f>
        <v/>
      </c>
      <c r="K983">
        <f>IF(E983="Domain",COUNTIF($E$2:E983,"Domain"),"")</f>
        <v/>
      </c>
    </row>
    <row r="984">
      <c r="A984" s="2" t="n"/>
      <c r="B984">
        <f>LOWER(TRIM(A984))</f>
        <v/>
      </c>
      <c r="C984">
        <f>IF(B984="","",IFERROR(INDEX('Bad Patterns'!$A$2:$A$120,MATCH(1,INDEX(--ISNUMBER(SEARCH('Bad Patterns'!$A$2:$A$120,B984)),0),0)),""))</f>
        <v/>
      </c>
      <c r="D984">
        <f>IF(B984="","",IF(C984&lt;&gt;"","REMOVE","KEEP"))</f>
        <v/>
      </c>
      <c r="E984">
        <f>IF(D984&lt;&gt;"KEEP","",IF(RIGHT(B984,10)="@gmail.com","Gmail",IF(OR(RIGHT(B984,12)="@outlook.com",RIGHT(B984,12)="@hotmail.com",RIGHT(B984,9)="@live.com"),"Outlook","Domain")))</f>
        <v/>
      </c>
      <c r="F984">
        <f>IF(B984="","",IFERROR(RIGHT(B984,LEN(B984)-FIND("@",B984)),""))</f>
        <v/>
      </c>
      <c r="G984">
        <f>IF(D984="KEEP",COUNTIF($D$2:D984,"KEEP"),"")</f>
        <v/>
      </c>
      <c r="H984">
        <f>IF(D984="REMOVE",COUNTIF($D$2:D984,"REMOVE"),"")</f>
        <v/>
      </c>
      <c r="I984">
        <f>IF(E984="Gmail",COUNTIF($E$2:E984,"Gmail"),"")</f>
        <v/>
      </c>
      <c r="J984">
        <f>IF(E984="Outlook",COUNTIF($E$2:E984,"Outlook"),"")</f>
        <v/>
      </c>
      <c r="K984">
        <f>IF(E984="Domain",COUNTIF($E$2:E984,"Domain"),"")</f>
        <v/>
      </c>
    </row>
    <row r="985">
      <c r="A985" s="2" t="n"/>
      <c r="B985">
        <f>LOWER(TRIM(A985))</f>
        <v/>
      </c>
      <c r="C985">
        <f>IF(B985="","",IFERROR(INDEX('Bad Patterns'!$A$2:$A$120,MATCH(1,INDEX(--ISNUMBER(SEARCH('Bad Patterns'!$A$2:$A$120,B985)),0),0)),""))</f>
        <v/>
      </c>
      <c r="D985">
        <f>IF(B985="","",IF(C985&lt;&gt;"","REMOVE","KEEP"))</f>
        <v/>
      </c>
      <c r="E985">
        <f>IF(D985&lt;&gt;"KEEP","",IF(RIGHT(B985,10)="@gmail.com","Gmail",IF(OR(RIGHT(B985,12)="@outlook.com",RIGHT(B985,12)="@hotmail.com",RIGHT(B985,9)="@live.com"),"Outlook","Domain")))</f>
        <v/>
      </c>
      <c r="F985">
        <f>IF(B985="","",IFERROR(RIGHT(B985,LEN(B985)-FIND("@",B985)),""))</f>
        <v/>
      </c>
      <c r="G985">
        <f>IF(D985="KEEP",COUNTIF($D$2:D985,"KEEP"),"")</f>
        <v/>
      </c>
      <c r="H985">
        <f>IF(D985="REMOVE",COUNTIF($D$2:D985,"REMOVE"),"")</f>
        <v/>
      </c>
      <c r="I985">
        <f>IF(E985="Gmail",COUNTIF($E$2:E985,"Gmail"),"")</f>
        <v/>
      </c>
      <c r="J985">
        <f>IF(E985="Outlook",COUNTIF($E$2:E985,"Outlook"),"")</f>
        <v/>
      </c>
      <c r="K985">
        <f>IF(E985="Domain",COUNTIF($E$2:E985,"Domain"),"")</f>
        <v/>
      </c>
    </row>
    <row r="986">
      <c r="A986" s="2" t="n"/>
      <c r="B986">
        <f>LOWER(TRIM(A986))</f>
        <v/>
      </c>
      <c r="C986">
        <f>IF(B986="","",IFERROR(INDEX('Bad Patterns'!$A$2:$A$120,MATCH(1,INDEX(--ISNUMBER(SEARCH('Bad Patterns'!$A$2:$A$120,B986)),0),0)),""))</f>
        <v/>
      </c>
      <c r="D986">
        <f>IF(B986="","",IF(C986&lt;&gt;"","REMOVE","KEEP"))</f>
        <v/>
      </c>
      <c r="E986">
        <f>IF(D986&lt;&gt;"KEEP","",IF(RIGHT(B986,10)="@gmail.com","Gmail",IF(OR(RIGHT(B986,12)="@outlook.com",RIGHT(B986,12)="@hotmail.com",RIGHT(B986,9)="@live.com"),"Outlook","Domain")))</f>
        <v/>
      </c>
      <c r="F986">
        <f>IF(B986="","",IFERROR(RIGHT(B986,LEN(B986)-FIND("@",B986)),""))</f>
        <v/>
      </c>
      <c r="G986">
        <f>IF(D986="KEEP",COUNTIF($D$2:D986,"KEEP"),"")</f>
        <v/>
      </c>
      <c r="H986">
        <f>IF(D986="REMOVE",COUNTIF($D$2:D986,"REMOVE"),"")</f>
        <v/>
      </c>
      <c r="I986">
        <f>IF(E986="Gmail",COUNTIF($E$2:E986,"Gmail"),"")</f>
        <v/>
      </c>
      <c r="J986">
        <f>IF(E986="Outlook",COUNTIF($E$2:E986,"Outlook"),"")</f>
        <v/>
      </c>
      <c r="K986">
        <f>IF(E986="Domain",COUNTIF($E$2:E986,"Domain"),"")</f>
        <v/>
      </c>
    </row>
    <row r="987">
      <c r="A987" s="2" t="n"/>
      <c r="B987">
        <f>LOWER(TRIM(A987))</f>
        <v/>
      </c>
      <c r="C987">
        <f>IF(B987="","",IFERROR(INDEX('Bad Patterns'!$A$2:$A$120,MATCH(1,INDEX(--ISNUMBER(SEARCH('Bad Patterns'!$A$2:$A$120,B987)),0),0)),""))</f>
        <v/>
      </c>
      <c r="D987">
        <f>IF(B987="","",IF(C987&lt;&gt;"","REMOVE","KEEP"))</f>
        <v/>
      </c>
      <c r="E987">
        <f>IF(D987&lt;&gt;"KEEP","",IF(RIGHT(B987,10)="@gmail.com","Gmail",IF(OR(RIGHT(B987,12)="@outlook.com",RIGHT(B987,12)="@hotmail.com",RIGHT(B987,9)="@live.com"),"Outlook","Domain")))</f>
        <v/>
      </c>
      <c r="F987">
        <f>IF(B987="","",IFERROR(RIGHT(B987,LEN(B987)-FIND("@",B987)),""))</f>
        <v/>
      </c>
      <c r="G987">
        <f>IF(D987="KEEP",COUNTIF($D$2:D987,"KEEP"),"")</f>
        <v/>
      </c>
      <c r="H987">
        <f>IF(D987="REMOVE",COUNTIF($D$2:D987,"REMOVE"),"")</f>
        <v/>
      </c>
      <c r="I987">
        <f>IF(E987="Gmail",COUNTIF($E$2:E987,"Gmail"),"")</f>
        <v/>
      </c>
      <c r="J987">
        <f>IF(E987="Outlook",COUNTIF($E$2:E987,"Outlook"),"")</f>
        <v/>
      </c>
      <c r="K987">
        <f>IF(E987="Domain",COUNTIF($E$2:E987,"Domain"),"")</f>
        <v/>
      </c>
    </row>
    <row r="988">
      <c r="A988" s="2" t="n"/>
      <c r="B988">
        <f>LOWER(TRIM(A988))</f>
        <v/>
      </c>
      <c r="C988">
        <f>IF(B988="","",IFERROR(INDEX('Bad Patterns'!$A$2:$A$120,MATCH(1,INDEX(--ISNUMBER(SEARCH('Bad Patterns'!$A$2:$A$120,B988)),0),0)),""))</f>
        <v/>
      </c>
      <c r="D988">
        <f>IF(B988="","",IF(C988&lt;&gt;"","REMOVE","KEEP"))</f>
        <v/>
      </c>
      <c r="E988">
        <f>IF(D988&lt;&gt;"KEEP","",IF(RIGHT(B988,10)="@gmail.com","Gmail",IF(OR(RIGHT(B988,12)="@outlook.com",RIGHT(B988,12)="@hotmail.com",RIGHT(B988,9)="@live.com"),"Outlook","Domain")))</f>
        <v/>
      </c>
      <c r="F988">
        <f>IF(B988="","",IFERROR(RIGHT(B988,LEN(B988)-FIND("@",B988)),""))</f>
        <v/>
      </c>
      <c r="G988">
        <f>IF(D988="KEEP",COUNTIF($D$2:D988,"KEEP"),"")</f>
        <v/>
      </c>
      <c r="H988">
        <f>IF(D988="REMOVE",COUNTIF($D$2:D988,"REMOVE"),"")</f>
        <v/>
      </c>
      <c r="I988">
        <f>IF(E988="Gmail",COUNTIF($E$2:E988,"Gmail"),"")</f>
        <v/>
      </c>
      <c r="J988">
        <f>IF(E988="Outlook",COUNTIF($E$2:E988,"Outlook"),"")</f>
        <v/>
      </c>
      <c r="K988">
        <f>IF(E988="Domain",COUNTIF($E$2:E988,"Domain"),"")</f>
        <v/>
      </c>
    </row>
    <row r="989">
      <c r="A989" s="2" t="n"/>
      <c r="B989">
        <f>LOWER(TRIM(A989))</f>
        <v/>
      </c>
      <c r="C989">
        <f>IF(B989="","",IFERROR(INDEX('Bad Patterns'!$A$2:$A$120,MATCH(1,INDEX(--ISNUMBER(SEARCH('Bad Patterns'!$A$2:$A$120,B989)),0),0)),""))</f>
        <v/>
      </c>
      <c r="D989">
        <f>IF(B989="","",IF(C989&lt;&gt;"","REMOVE","KEEP"))</f>
        <v/>
      </c>
      <c r="E989">
        <f>IF(D989&lt;&gt;"KEEP","",IF(RIGHT(B989,10)="@gmail.com","Gmail",IF(OR(RIGHT(B989,12)="@outlook.com",RIGHT(B989,12)="@hotmail.com",RIGHT(B989,9)="@live.com"),"Outlook","Domain")))</f>
        <v/>
      </c>
      <c r="F989">
        <f>IF(B989="","",IFERROR(RIGHT(B989,LEN(B989)-FIND("@",B989)),""))</f>
        <v/>
      </c>
      <c r="G989">
        <f>IF(D989="KEEP",COUNTIF($D$2:D989,"KEEP"),"")</f>
        <v/>
      </c>
      <c r="H989">
        <f>IF(D989="REMOVE",COUNTIF($D$2:D989,"REMOVE"),"")</f>
        <v/>
      </c>
      <c r="I989">
        <f>IF(E989="Gmail",COUNTIF($E$2:E989,"Gmail"),"")</f>
        <v/>
      </c>
      <c r="J989">
        <f>IF(E989="Outlook",COUNTIF($E$2:E989,"Outlook"),"")</f>
        <v/>
      </c>
      <c r="K989">
        <f>IF(E989="Domain",COUNTIF($E$2:E989,"Domain"),"")</f>
        <v/>
      </c>
    </row>
    <row r="990">
      <c r="A990" s="2" t="n"/>
      <c r="B990">
        <f>LOWER(TRIM(A990))</f>
        <v/>
      </c>
      <c r="C990">
        <f>IF(B990="","",IFERROR(INDEX('Bad Patterns'!$A$2:$A$120,MATCH(1,INDEX(--ISNUMBER(SEARCH('Bad Patterns'!$A$2:$A$120,B990)),0),0)),""))</f>
        <v/>
      </c>
      <c r="D990">
        <f>IF(B990="","",IF(C990&lt;&gt;"","REMOVE","KEEP"))</f>
        <v/>
      </c>
      <c r="E990">
        <f>IF(D990&lt;&gt;"KEEP","",IF(RIGHT(B990,10)="@gmail.com","Gmail",IF(OR(RIGHT(B990,12)="@outlook.com",RIGHT(B990,12)="@hotmail.com",RIGHT(B990,9)="@live.com"),"Outlook","Domain")))</f>
        <v/>
      </c>
      <c r="F990">
        <f>IF(B990="","",IFERROR(RIGHT(B990,LEN(B990)-FIND("@",B990)),""))</f>
        <v/>
      </c>
      <c r="G990">
        <f>IF(D990="KEEP",COUNTIF($D$2:D990,"KEEP"),"")</f>
        <v/>
      </c>
      <c r="H990">
        <f>IF(D990="REMOVE",COUNTIF($D$2:D990,"REMOVE"),"")</f>
        <v/>
      </c>
      <c r="I990">
        <f>IF(E990="Gmail",COUNTIF($E$2:E990,"Gmail"),"")</f>
        <v/>
      </c>
      <c r="J990">
        <f>IF(E990="Outlook",COUNTIF($E$2:E990,"Outlook"),"")</f>
        <v/>
      </c>
      <c r="K990">
        <f>IF(E990="Domain",COUNTIF($E$2:E990,"Domain"),"")</f>
        <v/>
      </c>
    </row>
    <row r="991">
      <c r="A991" s="2" t="n"/>
      <c r="B991">
        <f>LOWER(TRIM(A991))</f>
        <v/>
      </c>
      <c r="C991">
        <f>IF(B991="","",IFERROR(INDEX('Bad Patterns'!$A$2:$A$120,MATCH(1,INDEX(--ISNUMBER(SEARCH('Bad Patterns'!$A$2:$A$120,B991)),0),0)),""))</f>
        <v/>
      </c>
      <c r="D991">
        <f>IF(B991="","",IF(C991&lt;&gt;"","REMOVE","KEEP"))</f>
        <v/>
      </c>
      <c r="E991">
        <f>IF(D991&lt;&gt;"KEEP","",IF(RIGHT(B991,10)="@gmail.com","Gmail",IF(OR(RIGHT(B991,12)="@outlook.com",RIGHT(B991,12)="@hotmail.com",RIGHT(B991,9)="@live.com"),"Outlook","Domain")))</f>
        <v/>
      </c>
      <c r="F991">
        <f>IF(B991="","",IFERROR(RIGHT(B991,LEN(B991)-FIND("@",B991)),""))</f>
        <v/>
      </c>
      <c r="G991">
        <f>IF(D991="KEEP",COUNTIF($D$2:D991,"KEEP"),"")</f>
        <v/>
      </c>
      <c r="H991">
        <f>IF(D991="REMOVE",COUNTIF($D$2:D991,"REMOVE"),"")</f>
        <v/>
      </c>
      <c r="I991">
        <f>IF(E991="Gmail",COUNTIF($E$2:E991,"Gmail"),"")</f>
        <v/>
      </c>
      <c r="J991">
        <f>IF(E991="Outlook",COUNTIF($E$2:E991,"Outlook"),"")</f>
        <v/>
      </c>
      <c r="K991">
        <f>IF(E991="Domain",COUNTIF($E$2:E991,"Domain"),"")</f>
        <v/>
      </c>
    </row>
    <row r="992">
      <c r="A992" s="2" t="n"/>
      <c r="B992">
        <f>LOWER(TRIM(A992))</f>
        <v/>
      </c>
      <c r="C992">
        <f>IF(B992="","",IFERROR(INDEX('Bad Patterns'!$A$2:$A$120,MATCH(1,INDEX(--ISNUMBER(SEARCH('Bad Patterns'!$A$2:$A$120,B992)),0),0)),""))</f>
        <v/>
      </c>
      <c r="D992">
        <f>IF(B992="","",IF(C992&lt;&gt;"","REMOVE","KEEP"))</f>
        <v/>
      </c>
      <c r="E992">
        <f>IF(D992&lt;&gt;"KEEP","",IF(RIGHT(B992,10)="@gmail.com","Gmail",IF(OR(RIGHT(B992,12)="@outlook.com",RIGHT(B992,12)="@hotmail.com",RIGHT(B992,9)="@live.com"),"Outlook","Domain")))</f>
        <v/>
      </c>
      <c r="F992">
        <f>IF(B992="","",IFERROR(RIGHT(B992,LEN(B992)-FIND("@",B992)),""))</f>
        <v/>
      </c>
      <c r="G992">
        <f>IF(D992="KEEP",COUNTIF($D$2:D992,"KEEP"),"")</f>
        <v/>
      </c>
      <c r="H992">
        <f>IF(D992="REMOVE",COUNTIF($D$2:D992,"REMOVE"),"")</f>
        <v/>
      </c>
      <c r="I992">
        <f>IF(E992="Gmail",COUNTIF($E$2:E992,"Gmail"),"")</f>
        <v/>
      </c>
      <c r="J992">
        <f>IF(E992="Outlook",COUNTIF($E$2:E992,"Outlook"),"")</f>
        <v/>
      </c>
      <c r="K992">
        <f>IF(E992="Domain",COUNTIF($E$2:E992,"Domain"),"")</f>
        <v/>
      </c>
    </row>
    <row r="993">
      <c r="A993" s="2" t="n"/>
      <c r="B993">
        <f>LOWER(TRIM(A993))</f>
        <v/>
      </c>
      <c r="C993">
        <f>IF(B993="","",IFERROR(INDEX('Bad Patterns'!$A$2:$A$120,MATCH(1,INDEX(--ISNUMBER(SEARCH('Bad Patterns'!$A$2:$A$120,B993)),0),0)),""))</f>
        <v/>
      </c>
      <c r="D993">
        <f>IF(B993="","",IF(C993&lt;&gt;"","REMOVE","KEEP"))</f>
        <v/>
      </c>
      <c r="E993">
        <f>IF(D993&lt;&gt;"KEEP","",IF(RIGHT(B993,10)="@gmail.com","Gmail",IF(OR(RIGHT(B993,12)="@outlook.com",RIGHT(B993,12)="@hotmail.com",RIGHT(B993,9)="@live.com"),"Outlook","Domain")))</f>
        <v/>
      </c>
      <c r="F993">
        <f>IF(B993="","",IFERROR(RIGHT(B993,LEN(B993)-FIND("@",B993)),""))</f>
        <v/>
      </c>
      <c r="G993">
        <f>IF(D993="KEEP",COUNTIF($D$2:D993,"KEEP"),"")</f>
        <v/>
      </c>
      <c r="H993">
        <f>IF(D993="REMOVE",COUNTIF($D$2:D993,"REMOVE"),"")</f>
        <v/>
      </c>
      <c r="I993">
        <f>IF(E993="Gmail",COUNTIF($E$2:E993,"Gmail"),"")</f>
        <v/>
      </c>
      <c r="J993">
        <f>IF(E993="Outlook",COUNTIF($E$2:E993,"Outlook"),"")</f>
        <v/>
      </c>
      <c r="K993">
        <f>IF(E993="Domain",COUNTIF($E$2:E993,"Domain"),"")</f>
        <v/>
      </c>
    </row>
    <row r="994">
      <c r="A994" s="2" t="n"/>
      <c r="B994">
        <f>LOWER(TRIM(A994))</f>
        <v/>
      </c>
      <c r="C994">
        <f>IF(B994="","",IFERROR(INDEX('Bad Patterns'!$A$2:$A$120,MATCH(1,INDEX(--ISNUMBER(SEARCH('Bad Patterns'!$A$2:$A$120,B994)),0),0)),""))</f>
        <v/>
      </c>
      <c r="D994">
        <f>IF(B994="","",IF(C994&lt;&gt;"","REMOVE","KEEP"))</f>
        <v/>
      </c>
      <c r="E994">
        <f>IF(D994&lt;&gt;"KEEP","",IF(RIGHT(B994,10)="@gmail.com","Gmail",IF(OR(RIGHT(B994,12)="@outlook.com",RIGHT(B994,12)="@hotmail.com",RIGHT(B994,9)="@live.com"),"Outlook","Domain")))</f>
        <v/>
      </c>
      <c r="F994">
        <f>IF(B994="","",IFERROR(RIGHT(B994,LEN(B994)-FIND("@",B994)),""))</f>
        <v/>
      </c>
      <c r="G994">
        <f>IF(D994="KEEP",COUNTIF($D$2:D994,"KEEP"),"")</f>
        <v/>
      </c>
      <c r="H994">
        <f>IF(D994="REMOVE",COUNTIF($D$2:D994,"REMOVE"),"")</f>
        <v/>
      </c>
      <c r="I994">
        <f>IF(E994="Gmail",COUNTIF($E$2:E994,"Gmail"),"")</f>
        <v/>
      </c>
      <c r="J994">
        <f>IF(E994="Outlook",COUNTIF($E$2:E994,"Outlook"),"")</f>
        <v/>
      </c>
      <c r="K994">
        <f>IF(E994="Domain",COUNTIF($E$2:E994,"Domain"),"")</f>
        <v/>
      </c>
    </row>
    <row r="995">
      <c r="A995" s="2" t="n"/>
      <c r="B995">
        <f>LOWER(TRIM(A995))</f>
        <v/>
      </c>
      <c r="C995">
        <f>IF(B995="","",IFERROR(INDEX('Bad Patterns'!$A$2:$A$120,MATCH(1,INDEX(--ISNUMBER(SEARCH('Bad Patterns'!$A$2:$A$120,B995)),0),0)),""))</f>
        <v/>
      </c>
      <c r="D995">
        <f>IF(B995="","",IF(C995&lt;&gt;"","REMOVE","KEEP"))</f>
        <v/>
      </c>
      <c r="E995">
        <f>IF(D995&lt;&gt;"KEEP","",IF(RIGHT(B995,10)="@gmail.com","Gmail",IF(OR(RIGHT(B995,12)="@outlook.com",RIGHT(B995,12)="@hotmail.com",RIGHT(B995,9)="@live.com"),"Outlook","Domain")))</f>
        <v/>
      </c>
      <c r="F995">
        <f>IF(B995="","",IFERROR(RIGHT(B995,LEN(B995)-FIND("@",B995)),""))</f>
        <v/>
      </c>
      <c r="G995">
        <f>IF(D995="KEEP",COUNTIF($D$2:D995,"KEEP"),"")</f>
        <v/>
      </c>
      <c r="H995">
        <f>IF(D995="REMOVE",COUNTIF($D$2:D995,"REMOVE"),"")</f>
        <v/>
      </c>
      <c r="I995">
        <f>IF(E995="Gmail",COUNTIF($E$2:E995,"Gmail"),"")</f>
        <v/>
      </c>
      <c r="J995">
        <f>IF(E995="Outlook",COUNTIF($E$2:E995,"Outlook"),"")</f>
        <v/>
      </c>
      <c r="K995">
        <f>IF(E995="Domain",COUNTIF($E$2:E995,"Domain"),"")</f>
        <v/>
      </c>
    </row>
    <row r="996">
      <c r="A996" s="2" t="n"/>
      <c r="B996">
        <f>LOWER(TRIM(A996))</f>
        <v/>
      </c>
      <c r="C996">
        <f>IF(B996="","",IFERROR(INDEX('Bad Patterns'!$A$2:$A$120,MATCH(1,INDEX(--ISNUMBER(SEARCH('Bad Patterns'!$A$2:$A$120,B996)),0),0)),""))</f>
        <v/>
      </c>
      <c r="D996">
        <f>IF(B996="","",IF(C996&lt;&gt;"","REMOVE","KEEP"))</f>
        <v/>
      </c>
      <c r="E996">
        <f>IF(D996&lt;&gt;"KEEP","",IF(RIGHT(B996,10)="@gmail.com","Gmail",IF(OR(RIGHT(B996,12)="@outlook.com",RIGHT(B996,12)="@hotmail.com",RIGHT(B996,9)="@live.com"),"Outlook","Domain")))</f>
        <v/>
      </c>
      <c r="F996">
        <f>IF(B996="","",IFERROR(RIGHT(B996,LEN(B996)-FIND("@",B996)),""))</f>
        <v/>
      </c>
      <c r="G996">
        <f>IF(D996="KEEP",COUNTIF($D$2:D996,"KEEP"),"")</f>
        <v/>
      </c>
      <c r="H996">
        <f>IF(D996="REMOVE",COUNTIF($D$2:D996,"REMOVE"),"")</f>
        <v/>
      </c>
      <c r="I996">
        <f>IF(E996="Gmail",COUNTIF($E$2:E996,"Gmail"),"")</f>
        <v/>
      </c>
      <c r="J996">
        <f>IF(E996="Outlook",COUNTIF($E$2:E996,"Outlook"),"")</f>
        <v/>
      </c>
      <c r="K996">
        <f>IF(E996="Domain",COUNTIF($E$2:E996,"Domain"),"")</f>
        <v/>
      </c>
    </row>
    <row r="997">
      <c r="A997" s="2" t="n"/>
      <c r="B997">
        <f>LOWER(TRIM(A997))</f>
        <v/>
      </c>
      <c r="C997">
        <f>IF(B997="","",IFERROR(INDEX('Bad Patterns'!$A$2:$A$120,MATCH(1,INDEX(--ISNUMBER(SEARCH('Bad Patterns'!$A$2:$A$120,B997)),0),0)),""))</f>
        <v/>
      </c>
      <c r="D997">
        <f>IF(B997="","",IF(C997&lt;&gt;"","REMOVE","KEEP"))</f>
        <v/>
      </c>
      <c r="E997">
        <f>IF(D997&lt;&gt;"KEEP","",IF(RIGHT(B997,10)="@gmail.com","Gmail",IF(OR(RIGHT(B997,12)="@outlook.com",RIGHT(B997,12)="@hotmail.com",RIGHT(B997,9)="@live.com"),"Outlook","Domain")))</f>
        <v/>
      </c>
      <c r="F997">
        <f>IF(B997="","",IFERROR(RIGHT(B997,LEN(B997)-FIND("@",B997)),""))</f>
        <v/>
      </c>
      <c r="G997">
        <f>IF(D997="KEEP",COUNTIF($D$2:D997,"KEEP"),"")</f>
        <v/>
      </c>
      <c r="H997">
        <f>IF(D997="REMOVE",COUNTIF($D$2:D997,"REMOVE"),"")</f>
        <v/>
      </c>
      <c r="I997">
        <f>IF(E997="Gmail",COUNTIF($E$2:E997,"Gmail"),"")</f>
        <v/>
      </c>
      <c r="J997">
        <f>IF(E997="Outlook",COUNTIF($E$2:E997,"Outlook"),"")</f>
        <v/>
      </c>
      <c r="K997">
        <f>IF(E997="Domain",COUNTIF($E$2:E997,"Domain"),"")</f>
        <v/>
      </c>
    </row>
    <row r="998">
      <c r="A998" s="2" t="n"/>
      <c r="B998">
        <f>LOWER(TRIM(A998))</f>
        <v/>
      </c>
      <c r="C998">
        <f>IF(B998="","",IFERROR(INDEX('Bad Patterns'!$A$2:$A$120,MATCH(1,INDEX(--ISNUMBER(SEARCH('Bad Patterns'!$A$2:$A$120,B998)),0),0)),""))</f>
        <v/>
      </c>
      <c r="D998">
        <f>IF(B998="","",IF(C998&lt;&gt;"","REMOVE","KEEP"))</f>
        <v/>
      </c>
      <c r="E998">
        <f>IF(D998&lt;&gt;"KEEP","",IF(RIGHT(B998,10)="@gmail.com","Gmail",IF(OR(RIGHT(B998,12)="@outlook.com",RIGHT(B998,12)="@hotmail.com",RIGHT(B998,9)="@live.com"),"Outlook","Domain")))</f>
        <v/>
      </c>
      <c r="F998">
        <f>IF(B998="","",IFERROR(RIGHT(B998,LEN(B998)-FIND("@",B998)),""))</f>
        <v/>
      </c>
      <c r="G998">
        <f>IF(D998="KEEP",COUNTIF($D$2:D998,"KEEP"),"")</f>
        <v/>
      </c>
      <c r="H998">
        <f>IF(D998="REMOVE",COUNTIF($D$2:D998,"REMOVE"),"")</f>
        <v/>
      </c>
      <c r="I998">
        <f>IF(E998="Gmail",COUNTIF($E$2:E998,"Gmail"),"")</f>
        <v/>
      </c>
      <c r="J998">
        <f>IF(E998="Outlook",COUNTIF($E$2:E998,"Outlook"),"")</f>
        <v/>
      </c>
      <c r="K998">
        <f>IF(E998="Domain",COUNTIF($E$2:E998,"Domain"),"")</f>
        <v/>
      </c>
    </row>
    <row r="999">
      <c r="A999" s="2" t="n"/>
      <c r="B999">
        <f>LOWER(TRIM(A999))</f>
        <v/>
      </c>
      <c r="C999">
        <f>IF(B999="","",IFERROR(INDEX('Bad Patterns'!$A$2:$A$120,MATCH(1,INDEX(--ISNUMBER(SEARCH('Bad Patterns'!$A$2:$A$120,B999)),0),0)),""))</f>
        <v/>
      </c>
      <c r="D999">
        <f>IF(B999="","",IF(C999&lt;&gt;"","REMOVE","KEEP"))</f>
        <v/>
      </c>
      <c r="E999">
        <f>IF(D999&lt;&gt;"KEEP","",IF(RIGHT(B999,10)="@gmail.com","Gmail",IF(OR(RIGHT(B999,12)="@outlook.com",RIGHT(B999,12)="@hotmail.com",RIGHT(B999,9)="@live.com"),"Outlook","Domain")))</f>
        <v/>
      </c>
      <c r="F999">
        <f>IF(B999="","",IFERROR(RIGHT(B999,LEN(B999)-FIND("@",B999)),""))</f>
        <v/>
      </c>
      <c r="G999">
        <f>IF(D999="KEEP",COUNTIF($D$2:D999,"KEEP"),"")</f>
        <v/>
      </c>
      <c r="H999">
        <f>IF(D999="REMOVE",COUNTIF($D$2:D999,"REMOVE"),"")</f>
        <v/>
      </c>
      <c r="I999">
        <f>IF(E999="Gmail",COUNTIF($E$2:E999,"Gmail"),"")</f>
        <v/>
      </c>
      <c r="J999">
        <f>IF(E999="Outlook",COUNTIF($E$2:E999,"Outlook"),"")</f>
        <v/>
      </c>
      <c r="K999">
        <f>IF(E999="Domain",COUNTIF($E$2:E999,"Domain"),"")</f>
        <v/>
      </c>
    </row>
    <row r="1000">
      <c r="A1000" s="2" t="n"/>
      <c r="B1000">
        <f>LOWER(TRIM(A1000))</f>
        <v/>
      </c>
      <c r="C1000">
        <f>IF(B1000="","",IFERROR(INDEX('Bad Patterns'!$A$2:$A$120,MATCH(1,INDEX(--ISNUMBER(SEARCH('Bad Patterns'!$A$2:$A$120,B1000)),0),0)),""))</f>
        <v/>
      </c>
      <c r="D1000">
        <f>IF(B1000="","",IF(C1000&lt;&gt;"","REMOVE","KEEP"))</f>
        <v/>
      </c>
      <c r="E1000">
        <f>IF(D1000&lt;&gt;"KEEP","",IF(RIGHT(B1000,10)="@gmail.com","Gmail",IF(OR(RIGHT(B1000,12)="@outlook.com",RIGHT(B1000,12)="@hotmail.com",RIGHT(B1000,9)="@live.com"),"Outlook","Domain")))</f>
        <v/>
      </c>
      <c r="F1000">
        <f>IF(B1000="","",IFERROR(RIGHT(B1000,LEN(B1000)-FIND("@",B1000)),""))</f>
        <v/>
      </c>
      <c r="G1000">
        <f>IF(D1000="KEEP",COUNTIF($D$2:D1000,"KEEP"),"")</f>
        <v/>
      </c>
      <c r="H1000">
        <f>IF(D1000="REMOVE",COUNTIF($D$2:D1000,"REMOVE"),"")</f>
        <v/>
      </c>
      <c r="I1000">
        <f>IF(E1000="Gmail",COUNTIF($E$2:E1000,"Gmail"),"")</f>
        <v/>
      </c>
      <c r="J1000">
        <f>IF(E1000="Outlook",COUNTIF($E$2:E1000,"Outlook"),"")</f>
        <v/>
      </c>
      <c r="K1000">
        <f>IF(E1000="Domain",COUNTIF($E$2:E1000,"Domain"),"")</f>
        <v/>
      </c>
    </row>
    <row r="1001">
      <c r="A1001" s="2" t="n"/>
      <c r="B1001">
        <f>LOWER(TRIM(A1001))</f>
        <v/>
      </c>
      <c r="C1001">
        <f>IF(B1001="","",IFERROR(INDEX('Bad Patterns'!$A$2:$A$120,MATCH(1,INDEX(--ISNUMBER(SEARCH('Bad Patterns'!$A$2:$A$120,B1001)),0),0)),""))</f>
        <v/>
      </c>
      <c r="D1001">
        <f>IF(B1001="","",IF(C1001&lt;&gt;"","REMOVE","KEEP"))</f>
        <v/>
      </c>
      <c r="E1001">
        <f>IF(D1001&lt;&gt;"KEEP","",IF(RIGHT(B1001,10)="@gmail.com","Gmail",IF(OR(RIGHT(B1001,12)="@outlook.com",RIGHT(B1001,12)="@hotmail.com",RIGHT(B1001,9)="@live.com"),"Outlook","Domain")))</f>
        <v/>
      </c>
      <c r="F1001">
        <f>IF(B1001="","",IFERROR(RIGHT(B1001,LEN(B1001)-FIND("@",B1001)),""))</f>
        <v/>
      </c>
      <c r="G1001">
        <f>IF(D1001="KEEP",COUNTIF($D$2:D1001,"KEEP"),"")</f>
        <v/>
      </c>
      <c r="H1001">
        <f>IF(D1001="REMOVE",COUNTIF($D$2:D1001,"REMOVE"),"")</f>
        <v/>
      </c>
      <c r="I1001">
        <f>IF(E1001="Gmail",COUNTIF($E$2:E1001,"Gmail"),"")</f>
        <v/>
      </c>
      <c r="J1001">
        <f>IF(E1001="Outlook",COUNTIF($E$2:E1001,"Outlook"),"")</f>
        <v/>
      </c>
      <c r="K1001">
        <f>IF(E1001="Domain",COUNTIF($E$2:E1001,"Domain"),"")</f>
        <v/>
      </c>
    </row>
    <row r="1002">
      <c r="A1002" s="2" t="n"/>
      <c r="B1002">
        <f>LOWER(TRIM(A1002))</f>
        <v/>
      </c>
      <c r="C1002">
        <f>IF(B1002="","",IFERROR(INDEX('Bad Patterns'!$A$2:$A$120,MATCH(1,INDEX(--ISNUMBER(SEARCH('Bad Patterns'!$A$2:$A$120,B1002)),0),0)),""))</f>
        <v/>
      </c>
      <c r="D1002">
        <f>IF(B1002="","",IF(C1002&lt;&gt;"","REMOVE","KEEP"))</f>
        <v/>
      </c>
      <c r="E1002">
        <f>IF(D1002&lt;&gt;"KEEP","",IF(RIGHT(B1002,10)="@gmail.com","Gmail",IF(OR(RIGHT(B1002,12)="@outlook.com",RIGHT(B1002,12)="@hotmail.com",RIGHT(B1002,9)="@live.com"),"Outlook","Domain")))</f>
        <v/>
      </c>
      <c r="F1002">
        <f>IF(B1002="","",IFERROR(RIGHT(B1002,LEN(B1002)-FIND("@",B1002)),""))</f>
        <v/>
      </c>
      <c r="G1002">
        <f>IF(D1002="KEEP",COUNTIF($D$2:D1002,"KEEP"),"")</f>
        <v/>
      </c>
      <c r="H1002">
        <f>IF(D1002="REMOVE",COUNTIF($D$2:D1002,"REMOVE"),"")</f>
        <v/>
      </c>
      <c r="I1002">
        <f>IF(E1002="Gmail",COUNTIF($E$2:E1002,"Gmail"),"")</f>
        <v/>
      </c>
      <c r="J1002">
        <f>IF(E1002="Outlook",COUNTIF($E$2:E1002,"Outlook"),"")</f>
        <v/>
      </c>
      <c r="K1002">
        <f>IF(E1002="Domain",COUNTIF($E$2:E1002,"Domain"),"")</f>
        <v/>
      </c>
    </row>
    <row r="1003">
      <c r="A1003" s="2" t="n"/>
      <c r="B1003">
        <f>LOWER(TRIM(A1003))</f>
        <v/>
      </c>
      <c r="C1003">
        <f>IF(B1003="","",IFERROR(INDEX('Bad Patterns'!$A$2:$A$120,MATCH(1,INDEX(--ISNUMBER(SEARCH('Bad Patterns'!$A$2:$A$120,B1003)),0),0)),""))</f>
        <v/>
      </c>
      <c r="D1003">
        <f>IF(B1003="","",IF(C1003&lt;&gt;"","REMOVE","KEEP"))</f>
        <v/>
      </c>
      <c r="E1003">
        <f>IF(D1003&lt;&gt;"KEEP","",IF(RIGHT(B1003,10)="@gmail.com","Gmail",IF(OR(RIGHT(B1003,12)="@outlook.com",RIGHT(B1003,12)="@hotmail.com",RIGHT(B1003,9)="@live.com"),"Outlook","Domain")))</f>
        <v/>
      </c>
      <c r="F1003">
        <f>IF(B1003="","",IFERROR(RIGHT(B1003,LEN(B1003)-FIND("@",B1003)),""))</f>
        <v/>
      </c>
      <c r="G1003">
        <f>IF(D1003="KEEP",COUNTIF($D$2:D1003,"KEEP"),"")</f>
        <v/>
      </c>
      <c r="H1003">
        <f>IF(D1003="REMOVE",COUNTIF($D$2:D1003,"REMOVE"),"")</f>
        <v/>
      </c>
      <c r="I1003">
        <f>IF(E1003="Gmail",COUNTIF($E$2:E1003,"Gmail"),"")</f>
        <v/>
      </c>
      <c r="J1003">
        <f>IF(E1003="Outlook",COUNTIF($E$2:E1003,"Outlook"),"")</f>
        <v/>
      </c>
      <c r="K1003">
        <f>IF(E1003="Domain",COUNTIF($E$2:E1003,"Domain"),"")</f>
        <v/>
      </c>
    </row>
    <row r="1004">
      <c r="A1004" s="2" t="n"/>
      <c r="B1004">
        <f>LOWER(TRIM(A1004))</f>
        <v/>
      </c>
      <c r="C1004">
        <f>IF(B1004="","",IFERROR(INDEX('Bad Patterns'!$A$2:$A$120,MATCH(1,INDEX(--ISNUMBER(SEARCH('Bad Patterns'!$A$2:$A$120,B1004)),0),0)),""))</f>
        <v/>
      </c>
      <c r="D1004">
        <f>IF(B1004="","",IF(C1004&lt;&gt;"","REMOVE","KEEP"))</f>
        <v/>
      </c>
      <c r="E1004">
        <f>IF(D1004&lt;&gt;"KEEP","",IF(RIGHT(B1004,10)="@gmail.com","Gmail",IF(OR(RIGHT(B1004,12)="@outlook.com",RIGHT(B1004,12)="@hotmail.com",RIGHT(B1004,9)="@live.com"),"Outlook","Domain")))</f>
        <v/>
      </c>
      <c r="F1004">
        <f>IF(B1004="","",IFERROR(RIGHT(B1004,LEN(B1004)-FIND("@",B1004)),""))</f>
        <v/>
      </c>
      <c r="G1004">
        <f>IF(D1004="KEEP",COUNTIF($D$2:D1004,"KEEP"),"")</f>
        <v/>
      </c>
      <c r="H1004">
        <f>IF(D1004="REMOVE",COUNTIF($D$2:D1004,"REMOVE"),"")</f>
        <v/>
      </c>
      <c r="I1004">
        <f>IF(E1004="Gmail",COUNTIF($E$2:E1004,"Gmail"),"")</f>
        <v/>
      </c>
      <c r="J1004">
        <f>IF(E1004="Outlook",COUNTIF($E$2:E1004,"Outlook"),"")</f>
        <v/>
      </c>
      <c r="K1004">
        <f>IF(E1004="Domain",COUNTIF($E$2:E1004,"Domain"),"")</f>
        <v/>
      </c>
    </row>
    <row r="1005">
      <c r="A1005" s="2" t="n"/>
      <c r="B1005">
        <f>LOWER(TRIM(A1005))</f>
        <v/>
      </c>
      <c r="C1005">
        <f>IF(B1005="","",IFERROR(INDEX('Bad Patterns'!$A$2:$A$120,MATCH(1,INDEX(--ISNUMBER(SEARCH('Bad Patterns'!$A$2:$A$120,B1005)),0),0)),""))</f>
        <v/>
      </c>
      <c r="D1005">
        <f>IF(B1005="","",IF(C1005&lt;&gt;"","REMOVE","KEEP"))</f>
        <v/>
      </c>
      <c r="E1005">
        <f>IF(D1005&lt;&gt;"KEEP","",IF(RIGHT(B1005,10)="@gmail.com","Gmail",IF(OR(RIGHT(B1005,12)="@outlook.com",RIGHT(B1005,12)="@hotmail.com",RIGHT(B1005,9)="@live.com"),"Outlook","Domain")))</f>
        <v/>
      </c>
      <c r="F1005">
        <f>IF(B1005="","",IFERROR(RIGHT(B1005,LEN(B1005)-FIND("@",B1005)),""))</f>
        <v/>
      </c>
      <c r="G1005">
        <f>IF(D1005="KEEP",COUNTIF($D$2:D1005,"KEEP"),"")</f>
        <v/>
      </c>
      <c r="H1005">
        <f>IF(D1005="REMOVE",COUNTIF($D$2:D1005,"REMOVE"),"")</f>
        <v/>
      </c>
      <c r="I1005">
        <f>IF(E1005="Gmail",COUNTIF($E$2:E1005,"Gmail"),"")</f>
        <v/>
      </c>
      <c r="J1005">
        <f>IF(E1005="Outlook",COUNTIF($E$2:E1005,"Outlook"),"")</f>
        <v/>
      </c>
      <c r="K1005">
        <f>IF(E1005="Domain",COUNTIF($E$2:E1005,"Domain"),"")</f>
        <v/>
      </c>
    </row>
    <row r="1006">
      <c r="A1006" s="2" t="n"/>
      <c r="B1006">
        <f>LOWER(TRIM(A1006))</f>
        <v/>
      </c>
      <c r="C1006">
        <f>IF(B1006="","",IFERROR(INDEX('Bad Patterns'!$A$2:$A$120,MATCH(1,INDEX(--ISNUMBER(SEARCH('Bad Patterns'!$A$2:$A$120,B1006)),0),0)),""))</f>
        <v/>
      </c>
      <c r="D1006">
        <f>IF(B1006="","",IF(C1006&lt;&gt;"","REMOVE","KEEP"))</f>
        <v/>
      </c>
      <c r="E1006">
        <f>IF(D1006&lt;&gt;"KEEP","",IF(RIGHT(B1006,10)="@gmail.com","Gmail",IF(OR(RIGHT(B1006,12)="@outlook.com",RIGHT(B1006,12)="@hotmail.com",RIGHT(B1006,9)="@live.com"),"Outlook","Domain")))</f>
        <v/>
      </c>
      <c r="F1006">
        <f>IF(B1006="","",IFERROR(RIGHT(B1006,LEN(B1006)-FIND("@",B1006)),""))</f>
        <v/>
      </c>
      <c r="G1006">
        <f>IF(D1006="KEEP",COUNTIF($D$2:D1006,"KEEP"),"")</f>
        <v/>
      </c>
      <c r="H1006">
        <f>IF(D1006="REMOVE",COUNTIF($D$2:D1006,"REMOVE"),"")</f>
        <v/>
      </c>
      <c r="I1006">
        <f>IF(E1006="Gmail",COUNTIF($E$2:E1006,"Gmail"),"")</f>
        <v/>
      </c>
      <c r="J1006">
        <f>IF(E1006="Outlook",COUNTIF($E$2:E1006,"Outlook"),"")</f>
        <v/>
      </c>
      <c r="K1006">
        <f>IF(E1006="Domain",COUNTIF($E$2:E1006,"Domain"),"")</f>
        <v/>
      </c>
    </row>
    <row r="1007">
      <c r="A1007" s="2" t="n"/>
      <c r="B1007">
        <f>LOWER(TRIM(A1007))</f>
        <v/>
      </c>
      <c r="C1007">
        <f>IF(B1007="","",IFERROR(INDEX('Bad Patterns'!$A$2:$A$120,MATCH(1,INDEX(--ISNUMBER(SEARCH('Bad Patterns'!$A$2:$A$120,B1007)),0),0)),""))</f>
        <v/>
      </c>
      <c r="D1007">
        <f>IF(B1007="","",IF(C1007&lt;&gt;"","REMOVE","KEEP"))</f>
        <v/>
      </c>
      <c r="E1007">
        <f>IF(D1007&lt;&gt;"KEEP","",IF(RIGHT(B1007,10)="@gmail.com","Gmail",IF(OR(RIGHT(B1007,12)="@outlook.com",RIGHT(B1007,12)="@hotmail.com",RIGHT(B1007,9)="@live.com"),"Outlook","Domain")))</f>
        <v/>
      </c>
      <c r="F1007">
        <f>IF(B1007="","",IFERROR(RIGHT(B1007,LEN(B1007)-FIND("@",B1007)),""))</f>
        <v/>
      </c>
      <c r="G1007">
        <f>IF(D1007="KEEP",COUNTIF($D$2:D1007,"KEEP"),"")</f>
        <v/>
      </c>
      <c r="H1007">
        <f>IF(D1007="REMOVE",COUNTIF($D$2:D1007,"REMOVE"),"")</f>
        <v/>
      </c>
      <c r="I1007">
        <f>IF(E1007="Gmail",COUNTIF($E$2:E1007,"Gmail"),"")</f>
        <v/>
      </c>
      <c r="J1007">
        <f>IF(E1007="Outlook",COUNTIF($E$2:E1007,"Outlook"),"")</f>
        <v/>
      </c>
      <c r="K1007">
        <f>IF(E1007="Domain",COUNTIF($E$2:E1007,"Domain"),"")</f>
        <v/>
      </c>
    </row>
    <row r="1008">
      <c r="A1008" s="2" t="n"/>
      <c r="B1008">
        <f>LOWER(TRIM(A1008))</f>
        <v/>
      </c>
      <c r="C1008">
        <f>IF(B1008="","",IFERROR(INDEX('Bad Patterns'!$A$2:$A$120,MATCH(1,INDEX(--ISNUMBER(SEARCH('Bad Patterns'!$A$2:$A$120,B1008)),0),0)),""))</f>
        <v/>
      </c>
      <c r="D1008">
        <f>IF(B1008="","",IF(C1008&lt;&gt;"","REMOVE","KEEP"))</f>
        <v/>
      </c>
      <c r="E1008">
        <f>IF(D1008&lt;&gt;"KEEP","",IF(RIGHT(B1008,10)="@gmail.com","Gmail",IF(OR(RIGHT(B1008,12)="@outlook.com",RIGHT(B1008,12)="@hotmail.com",RIGHT(B1008,9)="@live.com"),"Outlook","Domain")))</f>
        <v/>
      </c>
      <c r="F1008">
        <f>IF(B1008="","",IFERROR(RIGHT(B1008,LEN(B1008)-FIND("@",B1008)),""))</f>
        <v/>
      </c>
      <c r="G1008">
        <f>IF(D1008="KEEP",COUNTIF($D$2:D1008,"KEEP"),"")</f>
        <v/>
      </c>
      <c r="H1008">
        <f>IF(D1008="REMOVE",COUNTIF($D$2:D1008,"REMOVE"),"")</f>
        <v/>
      </c>
      <c r="I1008">
        <f>IF(E1008="Gmail",COUNTIF($E$2:E1008,"Gmail"),"")</f>
        <v/>
      </c>
      <c r="J1008">
        <f>IF(E1008="Outlook",COUNTIF($E$2:E1008,"Outlook"),"")</f>
        <v/>
      </c>
      <c r="K1008">
        <f>IF(E1008="Domain",COUNTIF($E$2:E1008,"Domain"),"")</f>
        <v/>
      </c>
    </row>
    <row r="1009">
      <c r="A1009" s="2" t="n"/>
      <c r="B1009">
        <f>LOWER(TRIM(A1009))</f>
        <v/>
      </c>
      <c r="C1009">
        <f>IF(B1009="","",IFERROR(INDEX('Bad Patterns'!$A$2:$A$120,MATCH(1,INDEX(--ISNUMBER(SEARCH('Bad Patterns'!$A$2:$A$120,B1009)),0),0)),""))</f>
        <v/>
      </c>
      <c r="D1009">
        <f>IF(B1009="","",IF(C1009&lt;&gt;"","REMOVE","KEEP"))</f>
        <v/>
      </c>
      <c r="E1009">
        <f>IF(D1009&lt;&gt;"KEEP","",IF(RIGHT(B1009,10)="@gmail.com","Gmail",IF(OR(RIGHT(B1009,12)="@outlook.com",RIGHT(B1009,12)="@hotmail.com",RIGHT(B1009,9)="@live.com"),"Outlook","Domain")))</f>
        <v/>
      </c>
      <c r="F1009">
        <f>IF(B1009="","",IFERROR(RIGHT(B1009,LEN(B1009)-FIND("@",B1009)),""))</f>
        <v/>
      </c>
      <c r="G1009">
        <f>IF(D1009="KEEP",COUNTIF($D$2:D1009,"KEEP"),"")</f>
        <v/>
      </c>
      <c r="H1009">
        <f>IF(D1009="REMOVE",COUNTIF($D$2:D1009,"REMOVE"),"")</f>
        <v/>
      </c>
      <c r="I1009">
        <f>IF(E1009="Gmail",COUNTIF($E$2:E1009,"Gmail"),"")</f>
        <v/>
      </c>
      <c r="J1009">
        <f>IF(E1009="Outlook",COUNTIF($E$2:E1009,"Outlook"),"")</f>
        <v/>
      </c>
      <c r="K1009">
        <f>IF(E1009="Domain",COUNTIF($E$2:E1009,"Domain"),"")</f>
        <v/>
      </c>
    </row>
    <row r="1010">
      <c r="A1010" s="2" t="n"/>
      <c r="B1010">
        <f>LOWER(TRIM(A1010))</f>
        <v/>
      </c>
      <c r="C1010">
        <f>IF(B1010="","",IFERROR(INDEX('Bad Patterns'!$A$2:$A$120,MATCH(1,INDEX(--ISNUMBER(SEARCH('Bad Patterns'!$A$2:$A$120,B1010)),0),0)),""))</f>
        <v/>
      </c>
      <c r="D1010">
        <f>IF(B1010="","",IF(C1010&lt;&gt;"","REMOVE","KEEP"))</f>
        <v/>
      </c>
      <c r="E1010">
        <f>IF(D1010&lt;&gt;"KEEP","",IF(RIGHT(B1010,10)="@gmail.com","Gmail",IF(OR(RIGHT(B1010,12)="@outlook.com",RIGHT(B1010,12)="@hotmail.com",RIGHT(B1010,9)="@live.com"),"Outlook","Domain")))</f>
        <v/>
      </c>
      <c r="F1010">
        <f>IF(B1010="","",IFERROR(RIGHT(B1010,LEN(B1010)-FIND("@",B1010)),""))</f>
        <v/>
      </c>
      <c r="G1010">
        <f>IF(D1010="KEEP",COUNTIF($D$2:D1010,"KEEP"),"")</f>
        <v/>
      </c>
      <c r="H1010">
        <f>IF(D1010="REMOVE",COUNTIF($D$2:D1010,"REMOVE"),"")</f>
        <v/>
      </c>
      <c r="I1010">
        <f>IF(E1010="Gmail",COUNTIF($E$2:E1010,"Gmail"),"")</f>
        <v/>
      </c>
      <c r="J1010">
        <f>IF(E1010="Outlook",COUNTIF($E$2:E1010,"Outlook"),"")</f>
        <v/>
      </c>
      <c r="K1010">
        <f>IF(E1010="Domain",COUNTIF($E$2:E1010,"Domain"),"")</f>
        <v/>
      </c>
    </row>
    <row r="1011">
      <c r="A1011" s="2" t="n"/>
      <c r="B1011">
        <f>LOWER(TRIM(A1011))</f>
        <v/>
      </c>
      <c r="C1011">
        <f>IF(B1011="","",IFERROR(INDEX('Bad Patterns'!$A$2:$A$120,MATCH(1,INDEX(--ISNUMBER(SEARCH('Bad Patterns'!$A$2:$A$120,B1011)),0),0)),""))</f>
        <v/>
      </c>
      <c r="D1011">
        <f>IF(B1011="","",IF(C1011&lt;&gt;"","REMOVE","KEEP"))</f>
        <v/>
      </c>
      <c r="E1011">
        <f>IF(D1011&lt;&gt;"KEEP","",IF(RIGHT(B1011,10)="@gmail.com","Gmail",IF(OR(RIGHT(B1011,12)="@outlook.com",RIGHT(B1011,12)="@hotmail.com",RIGHT(B1011,9)="@live.com"),"Outlook","Domain")))</f>
        <v/>
      </c>
      <c r="F1011">
        <f>IF(B1011="","",IFERROR(RIGHT(B1011,LEN(B1011)-FIND("@",B1011)),""))</f>
        <v/>
      </c>
      <c r="G1011">
        <f>IF(D1011="KEEP",COUNTIF($D$2:D1011,"KEEP"),"")</f>
        <v/>
      </c>
      <c r="H1011">
        <f>IF(D1011="REMOVE",COUNTIF($D$2:D1011,"REMOVE"),"")</f>
        <v/>
      </c>
      <c r="I1011">
        <f>IF(E1011="Gmail",COUNTIF($E$2:E1011,"Gmail"),"")</f>
        <v/>
      </c>
      <c r="J1011">
        <f>IF(E1011="Outlook",COUNTIF($E$2:E1011,"Outlook"),"")</f>
        <v/>
      </c>
      <c r="K1011">
        <f>IF(E1011="Domain",COUNTIF($E$2:E1011,"Domain"),"")</f>
        <v/>
      </c>
    </row>
    <row r="1012">
      <c r="A1012" s="2" t="n"/>
      <c r="B1012">
        <f>LOWER(TRIM(A1012))</f>
        <v/>
      </c>
      <c r="C1012">
        <f>IF(B1012="","",IFERROR(INDEX('Bad Patterns'!$A$2:$A$120,MATCH(1,INDEX(--ISNUMBER(SEARCH('Bad Patterns'!$A$2:$A$120,B1012)),0),0)),""))</f>
        <v/>
      </c>
      <c r="D1012">
        <f>IF(B1012="","",IF(C1012&lt;&gt;"","REMOVE","KEEP"))</f>
        <v/>
      </c>
      <c r="E1012">
        <f>IF(D1012&lt;&gt;"KEEP","",IF(RIGHT(B1012,10)="@gmail.com","Gmail",IF(OR(RIGHT(B1012,12)="@outlook.com",RIGHT(B1012,12)="@hotmail.com",RIGHT(B1012,9)="@live.com"),"Outlook","Domain")))</f>
        <v/>
      </c>
      <c r="F1012">
        <f>IF(B1012="","",IFERROR(RIGHT(B1012,LEN(B1012)-FIND("@",B1012)),""))</f>
        <v/>
      </c>
      <c r="G1012">
        <f>IF(D1012="KEEP",COUNTIF($D$2:D1012,"KEEP"),"")</f>
        <v/>
      </c>
      <c r="H1012">
        <f>IF(D1012="REMOVE",COUNTIF($D$2:D1012,"REMOVE"),"")</f>
        <v/>
      </c>
      <c r="I1012">
        <f>IF(E1012="Gmail",COUNTIF($E$2:E1012,"Gmail"),"")</f>
        <v/>
      </c>
      <c r="J1012">
        <f>IF(E1012="Outlook",COUNTIF($E$2:E1012,"Outlook"),"")</f>
        <v/>
      </c>
      <c r="K1012">
        <f>IF(E1012="Domain",COUNTIF($E$2:E1012,"Domain"),"")</f>
        <v/>
      </c>
    </row>
    <row r="1013">
      <c r="A1013" s="2" t="n"/>
      <c r="B1013">
        <f>LOWER(TRIM(A1013))</f>
        <v/>
      </c>
      <c r="C1013">
        <f>IF(B1013="","",IFERROR(INDEX('Bad Patterns'!$A$2:$A$120,MATCH(1,INDEX(--ISNUMBER(SEARCH('Bad Patterns'!$A$2:$A$120,B1013)),0),0)),""))</f>
        <v/>
      </c>
      <c r="D1013">
        <f>IF(B1013="","",IF(C1013&lt;&gt;"","REMOVE","KEEP"))</f>
        <v/>
      </c>
      <c r="E1013">
        <f>IF(D1013&lt;&gt;"KEEP","",IF(RIGHT(B1013,10)="@gmail.com","Gmail",IF(OR(RIGHT(B1013,12)="@outlook.com",RIGHT(B1013,12)="@hotmail.com",RIGHT(B1013,9)="@live.com"),"Outlook","Domain")))</f>
        <v/>
      </c>
      <c r="F1013">
        <f>IF(B1013="","",IFERROR(RIGHT(B1013,LEN(B1013)-FIND("@",B1013)),""))</f>
        <v/>
      </c>
      <c r="G1013">
        <f>IF(D1013="KEEP",COUNTIF($D$2:D1013,"KEEP"),"")</f>
        <v/>
      </c>
      <c r="H1013">
        <f>IF(D1013="REMOVE",COUNTIF($D$2:D1013,"REMOVE"),"")</f>
        <v/>
      </c>
      <c r="I1013">
        <f>IF(E1013="Gmail",COUNTIF($E$2:E1013,"Gmail"),"")</f>
        <v/>
      </c>
      <c r="J1013">
        <f>IF(E1013="Outlook",COUNTIF($E$2:E1013,"Outlook"),"")</f>
        <v/>
      </c>
      <c r="K1013">
        <f>IF(E1013="Domain",COUNTIF($E$2:E1013,"Domain"),"")</f>
        <v/>
      </c>
    </row>
    <row r="1014">
      <c r="A1014" s="2" t="n"/>
      <c r="B1014">
        <f>LOWER(TRIM(A1014))</f>
        <v/>
      </c>
      <c r="C1014">
        <f>IF(B1014="","",IFERROR(INDEX('Bad Patterns'!$A$2:$A$120,MATCH(1,INDEX(--ISNUMBER(SEARCH('Bad Patterns'!$A$2:$A$120,B1014)),0),0)),""))</f>
        <v/>
      </c>
      <c r="D1014">
        <f>IF(B1014="","",IF(C1014&lt;&gt;"","REMOVE","KEEP"))</f>
        <v/>
      </c>
      <c r="E1014">
        <f>IF(D1014&lt;&gt;"KEEP","",IF(RIGHT(B1014,10)="@gmail.com","Gmail",IF(OR(RIGHT(B1014,12)="@outlook.com",RIGHT(B1014,12)="@hotmail.com",RIGHT(B1014,9)="@live.com"),"Outlook","Domain")))</f>
        <v/>
      </c>
      <c r="F1014">
        <f>IF(B1014="","",IFERROR(RIGHT(B1014,LEN(B1014)-FIND("@",B1014)),""))</f>
        <v/>
      </c>
      <c r="G1014">
        <f>IF(D1014="KEEP",COUNTIF($D$2:D1014,"KEEP"),"")</f>
        <v/>
      </c>
      <c r="H1014">
        <f>IF(D1014="REMOVE",COUNTIF($D$2:D1014,"REMOVE"),"")</f>
        <v/>
      </c>
      <c r="I1014">
        <f>IF(E1014="Gmail",COUNTIF($E$2:E1014,"Gmail"),"")</f>
        <v/>
      </c>
      <c r="J1014">
        <f>IF(E1014="Outlook",COUNTIF($E$2:E1014,"Outlook"),"")</f>
        <v/>
      </c>
      <c r="K1014">
        <f>IF(E1014="Domain",COUNTIF($E$2:E1014,"Domain"),"")</f>
        <v/>
      </c>
    </row>
    <row r="1015">
      <c r="A1015" s="2" t="n"/>
      <c r="B1015">
        <f>LOWER(TRIM(A1015))</f>
        <v/>
      </c>
      <c r="C1015">
        <f>IF(B1015="","",IFERROR(INDEX('Bad Patterns'!$A$2:$A$120,MATCH(1,INDEX(--ISNUMBER(SEARCH('Bad Patterns'!$A$2:$A$120,B1015)),0),0)),""))</f>
        <v/>
      </c>
      <c r="D1015">
        <f>IF(B1015="","",IF(C1015&lt;&gt;"","REMOVE","KEEP"))</f>
        <v/>
      </c>
      <c r="E1015">
        <f>IF(D1015&lt;&gt;"KEEP","",IF(RIGHT(B1015,10)="@gmail.com","Gmail",IF(OR(RIGHT(B1015,12)="@outlook.com",RIGHT(B1015,12)="@hotmail.com",RIGHT(B1015,9)="@live.com"),"Outlook","Domain")))</f>
        <v/>
      </c>
      <c r="F1015">
        <f>IF(B1015="","",IFERROR(RIGHT(B1015,LEN(B1015)-FIND("@",B1015)),""))</f>
        <v/>
      </c>
      <c r="G1015">
        <f>IF(D1015="KEEP",COUNTIF($D$2:D1015,"KEEP"),"")</f>
        <v/>
      </c>
      <c r="H1015">
        <f>IF(D1015="REMOVE",COUNTIF($D$2:D1015,"REMOVE"),"")</f>
        <v/>
      </c>
      <c r="I1015">
        <f>IF(E1015="Gmail",COUNTIF($E$2:E1015,"Gmail"),"")</f>
        <v/>
      </c>
      <c r="J1015">
        <f>IF(E1015="Outlook",COUNTIF($E$2:E1015,"Outlook"),"")</f>
        <v/>
      </c>
      <c r="K1015">
        <f>IF(E1015="Domain",COUNTIF($E$2:E1015,"Domain"),"")</f>
        <v/>
      </c>
    </row>
    <row r="1016">
      <c r="A1016" s="2" t="n"/>
      <c r="B1016">
        <f>LOWER(TRIM(A1016))</f>
        <v/>
      </c>
      <c r="C1016">
        <f>IF(B1016="","",IFERROR(INDEX('Bad Patterns'!$A$2:$A$120,MATCH(1,INDEX(--ISNUMBER(SEARCH('Bad Patterns'!$A$2:$A$120,B1016)),0),0)),""))</f>
        <v/>
      </c>
      <c r="D1016">
        <f>IF(B1016="","",IF(C1016&lt;&gt;"","REMOVE","KEEP"))</f>
        <v/>
      </c>
      <c r="E1016">
        <f>IF(D1016&lt;&gt;"KEEP","",IF(RIGHT(B1016,10)="@gmail.com","Gmail",IF(OR(RIGHT(B1016,12)="@outlook.com",RIGHT(B1016,12)="@hotmail.com",RIGHT(B1016,9)="@live.com"),"Outlook","Domain")))</f>
        <v/>
      </c>
      <c r="F1016">
        <f>IF(B1016="","",IFERROR(RIGHT(B1016,LEN(B1016)-FIND("@",B1016)),""))</f>
        <v/>
      </c>
      <c r="G1016">
        <f>IF(D1016="KEEP",COUNTIF($D$2:D1016,"KEEP"),"")</f>
        <v/>
      </c>
      <c r="H1016">
        <f>IF(D1016="REMOVE",COUNTIF($D$2:D1016,"REMOVE"),"")</f>
        <v/>
      </c>
      <c r="I1016">
        <f>IF(E1016="Gmail",COUNTIF($E$2:E1016,"Gmail"),"")</f>
        <v/>
      </c>
      <c r="J1016">
        <f>IF(E1016="Outlook",COUNTIF($E$2:E1016,"Outlook"),"")</f>
        <v/>
      </c>
      <c r="K1016">
        <f>IF(E1016="Domain",COUNTIF($E$2:E1016,"Domain"),"")</f>
        <v/>
      </c>
    </row>
    <row r="1017">
      <c r="A1017" s="2" t="n"/>
      <c r="B1017">
        <f>LOWER(TRIM(A1017))</f>
        <v/>
      </c>
      <c r="C1017">
        <f>IF(B1017="","",IFERROR(INDEX('Bad Patterns'!$A$2:$A$120,MATCH(1,INDEX(--ISNUMBER(SEARCH('Bad Patterns'!$A$2:$A$120,B1017)),0),0)),""))</f>
        <v/>
      </c>
      <c r="D1017">
        <f>IF(B1017="","",IF(C1017&lt;&gt;"","REMOVE","KEEP"))</f>
        <v/>
      </c>
      <c r="E1017">
        <f>IF(D1017&lt;&gt;"KEEP","",IF(RIGHT(B1017,10)="@gmail.com","Gmail",IF(OR(RIGHT(B1017,12)="@outlook.com",RIGHT(B1017,12)="@hotmail.com",RIGHT(B1017,9)="@live.com"),"Outlook","Domain")))</f>
        <v/>
      </c>
      <c r="F1017">
        <f>IF(B1017="","",IFERROR(RIGHT(B1017,LEN(B1017)-FIND("@",B1017)),""))</f>
        <v/>
      </c>
      <c r="G1017">
        <f>IF(D1017="KEEP",COUNTIF($D$2:D1017,"KEEP"),"")</f>
        <v/>
      </c>
      <c r="H1017">
        <f>IF(D1017="REMOVE",COUNTIF($D$2:D1017,"REMOVE"),"")</f>
        <v/>
      </c>
      <c r="I1017">
        <f>IF(E1017="Gmail",COUNTIF($E$2:E1017,"Gmail"),"")</f>
        <v/>
      </c>
      <c r="J1017">
        <f>IF(E1017="Outlook",COUNTIF($E$2:E1017,"Outlook"),"")</f>
        <v/>
      </c>
      <c r="K1017">
        <f>IF(E1017="Domain",COUNTIF($E$2:E1017,"Domain"),"")</f>
        <v/>
      </c>
    </row>
    <row r="1018">
      <c r="A1018" s="2" t="n"/>
      <c r="B1018">
        <f>LOWER(TRIM(A1018))</f>
        <v/>
      </c>
      <c r="C1018">
        <f>IF(B1018="","",IFERROR(INDEX('Bad Patterns'!$A$2:$A$120,MATCH(1,INDEX(--ISNUMBER(SEARCH('Bad Patterns'!$A$2:$A$120,B1018)),0),0)),""))</f>
        <v/>
      </c>
      <c r="D1018">
        <f>IF(B1018="","",IF(C1018&lt;&gt;"","REMOVE","KEEP"))</f>
        <v/>
      </c>
      <c r="E1018">
        <f>IF(D1018&lt;&gt;"KEEP","",IF(RIGHT(B1018,10)="@gmail.com","Gmail",IF(OR(RIGHT(B1018,12)="@outlook.com",RIGHT(B1018,12)="@hotmail.com",RIGHT(B1018,9)="@live.com"),"Outlook","Domain")))</f>
        <v/>
      </c>
      <c r="F1018">
        <f>IF(B1018="","",IFERROR(RIGHT(B1018,LEN(B1018)-FIND("@",B1018)),""))</f>
        <v/>
      </c>
      <c r="G1018">
        <f>IF(D1018="KEEP",COUNTIF($D$2:D1018,"KEEP"),"")</f>
        <v/>
      </c>
      <c r="H1018">
        <f>IF(D1018="REMOVE",COUNTIF($D$2:D1018,"REMOVE"),"")</f>
        <v/>
      </c>
      <c r="I1018">
        <f>IF(E1018="Gmail",COUNTIF($E$2:E1018,"Gmail"),"")</f>
        <v/>
      </c>
      <c r="J1018">
        <f>IF(E1018="Outlook",COUNTIF($E$2:E1018,"Outlook"),"")</f>
        <v/>
      </c>
      <c r="K1018">
        <f>IF(E1018="Domain",COUNTIF($E$2:E1018,"Domain"),"")</f>
        <v/>
      </c>
    </row>
    <row r="1019">
      <c r="A1019" s="2" t="n"/>
      <c r="B1019">
        <f>LOWER(TRIM(A1019))</f>
        <v/>
      </c>
      <c r="C1019">
        <f>IF(B1019="","",IFERROR(INDEX('Bad Patterns'!$A$2:$A$120,MATCH(1,INDEX(--ISNUMBER(SEARCH('Bad Patterns'!$A$2:$A$120,B1019)),0),0)),""))</f>
        <v/>
      </c>
      <c r="D1019">
        <f>IF(B1019="","",IF(C1019&lt;&gt;"","REMOVE","KEEP"))</f>
        <v/>
      </c>
      <c r="E1019">
        <f>IF(D1019&lt;&gt;"KEEP","",IF(RIGHT(B1019,10)="@gmail.com","Gmail",IF(OR(RIGHT(B1019,12)="@outlook.com",RIGHT(B1019,12)="@hotmail.com",RIGHT(B1019,9)="@live.com"),"Outlook","Domain")))</f>
        <v/>
      </c>
      <c r="F1019">
        <f>IF(B1019="","",IFERROR(RIGHT(B1019,LEN(B1019)-FIND("@",B1019)),""))</f>
        <v/>
      </c>
      <c r="G1019">
        <f>IF(D1019="KEEP",COUNTIF($D$2:D1019,"KEEP"),"")</f>
        <v/>
      </c>
      <c r="H1019">
        <f>IF(D1019="REMOVE",COUNTIF($D$2:D1019,"REMOVE"),"")</f>
        <v/>
      </c>
      <c r="I1019">
        <f>IF(E1019="Gmail",COUNTIF($E$2:E1019,"Gmail"),"")</f>
        <v/>
      </c>
      <c r="J1019">
        <f>IF(E1019="Outlook",COUNTIF($E$2:E1019,"Outlook"),"")</f>
        <v/>
      </c>
      <c r="K1019">
        <f>IF(E1019="Domain",COUNTIF($E$2:E1019,"Domain"),"")</f>
        <v/>
      </c>
    </row>
    <row r="1020">
      <c r="A1020" s="2" t="n"/>
      <c r="B1020">
        <f>LOWER(TRIM(A1020))</f>
        <v/>
      </c>
      <c r="C1020">
        <f>IF(B1020="","",IFERROR(INDEX('Bad Patterns'!$A$2:$A$120,MATCH(1,INDEX(--ISNUMBER(SEARCH('Bad Patterns'!$A$2:$A$120,B1020)),0),0)),""))</f>
        <v/>
      </c>
      <c r="D1020">
        <f>IF(B1020="","",IF(C1020&lt;&gt;"","REMOVE","KEEP"))</f>
        <v/>
      </c>
      <c r="E1020">
        <f>IF(D1020&lt;&gt;"KEEP","",IF(RIGHT(B1020,10)="@gmail.com","Gmail",IF(OR(RIGHT(B1020,12)="@outlook.com",RIGHT(B1020,12)="@hotmail.com",RIGHT(B1020,9)="@live.com"),"Outlook","Domain")))</f>
        <v/>
      </c>
      <c r="F1020">
        <f>IF(B1020="","",IFERROR(RIGHT(B1020,LEN(B1020)-FIND("@",B1020)),""))</f>
        <v/>
      </c>
      <c r="G1020">
        <f>IF(D1020="KEEP",COUNTIF($D$2:D1020,"KEEP"),"")</f>
        <v/>
      </c>
      <c r="H1020">
        <f>IF(D1020="REMOVE",COUNTIF($D$2:D1020,"REMOVE"),"")</f>
        <v/>
      </c>
      <c r="I1020">
        <f>IF(E1020="Gmail",COUNTIF($E$2:E1020,"Gmail"),"")</f>
        <v/>
      </c>
      <c r="J1020">
        <f>IF(E1020="Outlook",COUNTIF($E$2:E1020,"Outlook"),"")</f>
        <v/>
      </c>
      <c r="K1020">
        <f>IF(E1020="Domain",COUNTIF($E$2:E1020,"Domain"),"")</f>
        <v/>
      </c>
    </row>
    <row r="1021">
      <c r="A1021" s="2" t="n"/>
      <c r="B1021">
        <f>LOWER(TRIM(A1021))</f>
        <v/>
      </c>
      <c r="C1021">
        <f>IF(B1021="","",IFERROR(INDEX('Bad Patterns'!$A$2:$A$120,MATCH(1,INDEX(--ISNUMBER(SEARCH('Bad Patterns'!$A$2:$A$120,B1021)),0),0)),""))</f>
        <v/>
      </c>
      <c r="D1021">
        <f>IF(B1021="","",IF(C1021&lt;&gt;"","REMOVE","KEEP"))</f>
        <v/>
      </c>
      <c r="E1021">
        <f>IF(D1021&lt;&gt;"KEEP","",IF(RIGHT(B1021,10)="@gmail.com","Gmail",IF(OR(RIGHT(B1021,12)="@outlook.com",RIGHT(B1021,12)="@hotmail.com",RIGHT(B1021,9)="@live.com"),"Outlook","Domain")))</f>
        <v/>
      </c>
      <c r="F1021">
        <f>IF(B1021="","",IFERROR(RIGHT(B1021,LEN(B1021)-FIND("@",B1021)),""))</f>
        <v/>
      </c>
      <c r="G1021">
        <f>IF(D1021="KEEP",COUNTIF($D$2:D1021,"KEEP"),"")</f>
        <v/>
      </c>
      <c r="H1021">
        <f>IF(D1021="REMOVE",COUNTIF($D$2:D1021,"REMOVE"),"")</f>
        <v/>
      </c>
      <c r="I1021">
        <f>IF(E1021="Gmail",COUNTIF($E$2:E1021,"Gmail"),"")</f>
        <v/>
      </c>
      <c r="J1021">
        <f>IF(E1021="Outlook",COUNTIF($E$2:E1021,"Outlook"),"")</f>
        <v/>
      </c>
      <c r="K1021">
        <f>IF(E1021="Domain",COUNTIF($E$2:E1021,"Domain"),"")</f>
        <v/>
      </c>
    </row>
    <row r="1022">
      <c r="A1022" s="2" t="n"/>
      <c r="B1022">
        <f>LOWER(TRIM(A1022))</f>
        <v/>
      </c>
      <c r="C1022">
        <f>IF(B1022="","",IFERROR(INDEX('Bad Patterns'!$A$2:$A$120,MATCH(1,INDEX(--ISNUMBER(SEARCH('Bad Patterns'!$A$2:$A$120,B1022)),0),0)),""))</f>
        <v/>
      </c>
      <c r="D1022">
        <f>IF(B1022="","",IF(C1022&lt;&gt;"","REMOVE","KEEP"))</f>
        <v/>
      </c>
      <c r="E1022">
        <f>IF(D1022&lt;&gt;"KEEP","",IF(RIGHT(B1022,10)="@gmail.com","Gmail",IF(OR(RIGHT(B1022,12)="@outlook.com",RIGHT(B1022,12)="@hotmail.com",RIGHT(B1022,9)="@live.com"),"Outlook","Domain")))</f>
        <v/>
      </c>
      <c r="F1022">
        <f>IF(B1022="","",IFERROR(RIGHT(B1022,LEN(B1022)-FIND("@",B1022)),""))</f>
        <v/>
      </c>
      <c r="G1022">
        <f>IF(D1022="KEEP",COUNTIF($D$2:D1022,"KEEP"),"")</f>
        <v/>
      </c>
      <c r="H1022">
        <f>IF(D1022="REMOVE",COUNTIF($D$2:D1022,"REMOVE"),"")</f>
        <v/>
      </c>
      <c r="I1022">
        <f>IF(E1022="Gmail",COUNTIF($E$2:E1022,"Gmail"),"")</f>
        <v/>
      </c>
      <c r="J1022">
        <f>IF(E1022="Outlook",COUNTIF($E$2:E1022,"Outlook"),"")</f>
        <v/>
      </c>
      <c r="K1022">
        <f>IF(E1022="Domain",COUNTIF($E$2:E1022,"Domain"),"")</f>
        <v/>
      </c>
    </row>
    <row r="1023">
      <c r="A1023" s="2" t="n"/>
      <c r="B1023">
        <f>LOWER(TRIM(A1023))</f>
        <v/>
      </c>
      <c r="C1023">
        <f>IF(B1023="","",IFERROR(INDEX('Bad Patterns'!$A$2:$A$120,MATCH(1,INDEX(--ISNUMBER(SEARCH('Bad Patterns'!$A$2:$A$120,B1023)),0),0)),""))</f>
        <v/>
      </c>
      <c r="D1023">
        <f>IF(B1023="","",IF(C1023&lt;&gt;"","REMOVE","KEEP"))</f>
        <v/>
      </c>
      <c r="E1023">
        <f>IF(D1023&lt;&gt;"KEEP","",IF(RIGHT(B1023,10)="@gmail.com","Gmail",IF(OR(RIGHT(B1023,12)="@outlook.com",RIGHT(B1023,12)="@hotmail.com",RIGHT(B1023,9)="@live.com"),"Outlook","Domain")))</f>
        <v/>
      </c>
      <c r="F1023">
        <f>IF(B1023="","",IFERROR(RIGHT(B1023,LEN(B1023)-FIND("@",B1023)),""))</f>
        <v/>
      </c>
      <c r="G1023">
        <f>IF(D1023="KEEP",COUNTIF($D$2:D1023,"KEEP"),"")</f>
        <v/>
      </c>
      <c r="H1023">
        <f>IF(D1023="REMOVE",COUNTIF($D$2:D1023,"REMOVE"),"")</f>
        <v/>
      </c>
      <c r="I1023">
        <f>IF(E1023="Gmail",COUNTIF($E$2:E1023,"Gmail"),"")</f>
        <v/>
      </c>
      <c r="J1023">
        <f>IF(E1023="Outlook",COUNTIF($E$2:E1023,"Outlook"),"")</f>
        <v/>
      </c>
      <c r="K1023">
        <f>IF(E1023="Domain",COUNTIF($E$2:E1023,"Domain"),"")</f>
        <v/>
      </c>
    </row>
    <row r="1024">
      <c r="A1024" s="2" t="n"/>
      <c r="B1024">
        <f>LOWER(TRIM(A1024))</f>
        <v/>
      </c>
      <c r="C1024">
        <f>IF(B1024="","",IFERROR(INDEX('Bad Patterns'!$A$2:$A$120,MATCH(1,INDEX(--ISNUMBER(SEARCH('Bad Patterns'!$A$2:$A$120,B1024)),0),0)),""))</f>
        <v/>
      </c>
      <c r="D1024">
        <f>IF(B1024="","",IF(C1024&lt;&gt;"","REMOVE","KEEP"))</f>
        <v/>
      </c>
      <c r="E1024">
        <f>IF(D1024&lt;&gt;"KEEP","",IF(RIGHT(B1024,10)="@gmail.com","Gmail",IF(OR(RIGHT(B1024,12)="@outlook.com",RIGHT(B1024,12)="@hotmail.com",RIGHT(B1024,9)="@live.com"),"Outlook","Domain")))</f>
        <v/>
      </c>
      <c r="F1024">
        <f>IF(B1024="","",IFERROR(RIGHT(B1024,LEN(B1024)-FIND("@",B1024)),""))</f>
        <v/>
      </c>
      <c r="G1024">
        <f>IF(D1024="KEEP",COUNTIF($D$2:D1024,"KEEP"),"")</f>
        <v/>
      </c>
      <c r="H1024">
        <f>IF(D1024="REMOVE",COUNTIF($D$2:D1024,"REMOVE"),"")</f>
        <v/>
      </c>
      <c r="I1024">
        <f>IF(E1024="Gmail",COUNTIF($E$2:E1024,"Gmail"),"")</f>
        <v/>
      </c>
      <c r="J1024">
        <f>IF(E1024="Outlook",COUNTIF($E$2:E1024,"Outlook"),"")</f>
        <v/>
      </c>
      <c r="K1024">
        <f>IF(E1024="Domain",COUNTIF($E$2:E1024,"Domain"),"")</f>
        <v/>
      </c>
    </row>
    <row r="1025">
      <c r="A1025" s="2" t="n"/>
      <c r="B1025">
        <f>LOWER(TRIM(A1025))</f>
        <v/>
      </c>
      <c r="C1025">
        <f>IF(B1025="","",IFERROR(INDEX('Bad Patterns'!$A$2:$A$120,MATCH(1,INDEX(--ISNUMBER(SEARCH('Bad Patterns'!$A$2:$A$120,B1025)),0),0)),""))</f>
        <v/>
      </c>
      <c r="D1025">
        <f>IF(B1025="","",IF(C1025&lt;&gt;"","REMOVE","KEEP"))</f>
        <v/>
      </c>
      <c r="E1025">
        <f>IF(D1025&lt;&gt;"KEEP","",IF(RIGHT(B1025,10)="@gmail.com","Gmail",IF(OR(RIGHT(B1025,12)="@outlook.com",RIGHT(B1025,12)="@hotmail.com",RIGHT(B1025,9)="@live.com"),"Outlook","Domain")))</f>
        <v/>
      </c>
      <c r="F1025">
        <f>IF(B1025="","",IFERROR(RIGHT(B1025,LEN(B1025)-FIND("@",B1025)),""))</f>
        <v/>
      </c>
      <c r="G1025">
        <f>IF(D1025="KEEP",COUNTIF($D$2:D1025,"KEEP"),"")</f>
        <v/>
      </c>
      <c r="H1025">
        <f>IF(D1025="REMOVE",COUNTIF($D$2:D1025,"REMOVE"),"")</f>
        <v/>
      </c>
      <c r="I1025">
        <f>IF(E1025="Gmail",COUNTIF($E$2:E1025,"Gmail"),"")</f>
        <v/>
      </c>
      <c r="J1025">
        <f>IF(E1025="Outlook",COUNTIF($E$2:E1025,"Outlook"),"")</f>
        <v/>
      </c>
      <c r="K1025">
        <f>IF(E1025="Domain",COUNTIF($E$2:E1025,"Domain"),"")</f>
        <v/>
      </c>
    </row>
    <row r="1026">
      <c r="A1026" s="2" t="n"/>
      <c r="B1026">
        <f>LOWER(TRIM(A1026))</f>
        <v/>
      </c>
      <c r="C1026">
        <f>IF(B1026="","",IFERROR(INDEX('Bad Patterns'!$A$2:$A$120,MATCH(1,INDEX(--ISNUMBER(SEARCH('Bad Patterns'!$A$2:$A$120,B1026)),0),0)),""))</f>
        <v/>
      </c>
      <c r="D1026">
        <f>IF(B1026="","",IF(C1026&lt;&gt;"","REMOVE","KEEP"))</f>
        <v/>
      </c>
      <c r="E1026">
        <f>IF(D1026&lt;&gt;"KEEP","",IF(RIGHT(B1026,10)="@gmail.com","Gmail",IF(OR(RIGHT(B1026,12)="@outlook.com",RIGHT(B1026,12)="@hotmail.com",RIGHT(B1026,9)="@live.com"),"Outlook","Domain")))</f>
        <v/>
      </c>
      <c r="F1026">
        <f>IF(B1026="","",IFERROR(RIGHT(B1026,LEN(B1026)-FIND("@",B1026)),""))</f>
        <v/>
      </c>
      <c r="G1026">
        <f>IF(D1026="KEEP",COUNTIF($D$2:D1026,"KEEP"),"")</f>
        <v/>
      </c>
      <c r="H1026">
        <f>IF(D1026="REMOVE",COUNTIF($D$2:D1026,"REMOVE"),"")</f>
        <v/>
      </c>
      <c r="I1026">
        <f>IF(E1026="Gmail",COUNTIF($E$2:E1026,"Gmail"),"")</f>
        <v/>
      </c>
      <c r="J1026">
        <f>IF(E1026="Outlook",COUNTIF($E$2:E1026,"Outlook"),"")</f>
        <v/>
      </c>
      <c r="K1026">
        <f>IF(E1026="Domain",COUNTIF($E$2:E1026,"Domain"),"")</f>
        <v/>
      </c>
    </row>
    <row r="1027">
      <c r="A1027" s="2" t="n"/>
      <c r="B1027">
        <f>LOWER(TRIM(A1027))</f>
        <v/>
      </c>
      <c r="C1027">
        <f>IF(B1027="","",IFERROR(INDEX('Bad Patterns'!$A$2:$A$120,MATCH(1,INDEX(--ISNUMBER(SEARCH('Bad Patterns'!$A$2:$A$120,B1027)),0),0)),""))</f>
        <v/>
      </c>
      <c r="D1027">
        <f>IF(B1027="","",IF(C1027&lt;&gt;"","REMOVE","KEEP"))</f>
        <v/>
      </c>
      <c r="E1027">
        <f>IF(D1027&lt;&gt;"KEEP","",IF(RIGHT(B1027,10)="@gmail.com","Gmail",IF(OR(RIGHT(B1027,12)="@outlook.com",RIGHT(B1027,12)="@hotmail.com",RIGHT(B1027,9)="@live.com"),"Outlook","Domain")))</f>
        <v/>
      </c>
      <c r="F1027">
        <f>IF(B1027="","",IFERROR(RIGHT(B1027,LEN(B1027)-FIND("@",B1027)),""))</f>
        <v/>
      </c>
      <c r="G1027">
        <f>IF(D1027="KEEP",COUNTIF($D$2:D1027,"KEEP"),"")</f>
        <v/>
      </c>
      <c r="H1027">
        <f>IF(D1027="REMOVE",COUNTIF($D$2:D1027,"REMOVE"),"")</f>
        <v/>
      </c>
      <c r="I1027">
        <f>IF(E1027="Gmail",COUNTIF($E$2:E1027,"Gmail"),"")</f>
        <v/>
      </c>
      <c r="J1027">
        <f>IF(E1027="Outlook",COUNTIF($E$2:E1027,"Outlook"),"")</f>
        <v/>
      </c>
      <c r="K1027">
        <f>IF(E1027="Domain",COUNTIF($E$2:E1027,"Domain"),"")</f>
        <v/>
      </c>
    </row>
    <row r="1028">
      <c r="A1028" s="2" t="n"/>
      <c r="B1028">
        <f>LOWER(TRIM(A1028))</f>
        <v/>
      </c>
      <c r="C1028">
        <f>IF(B1028="","",IFERROR(INDEX('Bad Patterns'!$A$2:$A$120,MATCH(1,INDEX(--ISNUMBER(SEARCH('Bad Patterns'!$A$2:$A$120,B1028)),0),0)),""))</f>
        <v/>
      </c>
      <c r="D1028">
        <f>IF(B1028="","",IF(C1028&lt;&gt;"","REMOVE","KEEP"))</f>
        <v/>
      </c>
      <c r="E1028">
        <f>IF(D1028&lt;&gt;"KEEP","",IF(RIGHT(B1028,10)="@gmail.com","Gmail",IF(OR(RIGHT(B1028,12)="@outlook.com",RIGHT(B1028,12)="@hotmail.com",RIGHT(B1028,9)="@live.com"),"Outlook","Domain")))</f>
        <v/>
      </c>
      <c r="F1028">
        <f>IF(B1028="","",IFERROR(RIGHT(B1028,LEN(B1028)-FIND("@",B1028)),""))</f>
        <v/>
      </c>
      <c r="G1028">
        <f>IF(D1028="KEEP",COUNTIF($D$2:D1028,"KEEP"),"")</f>
        <v/>
      </c>
      <c r="H1028">
        <f>IF(D1028="REMOVE",COUNTIF($D$2:D1028,"REMOVE"),"")</f>
        <v/>
      </c>
      <c r="I1028">
        <f>IF(E1028="Gmail",COUNTIF($E$2:E1028,"Gmail"),"")</f>
        <v/>
      </c>
      <c r="J1028">
        <f>IF(E1028="Outlook",COUNTIF($E$2:E1028,"Outlook"),"")</f>
        <v/>
      </c>
      <c r="K1028">
        <f>IF(E1028="Domain",COUNTIF($E$2:E1028,"Domain"),"")</f>
        <v/>
      </c>
    </row>
    <row r="1029">
      <c r="A1029" s="2" t="n"/>
      <c r="B1029">
        <f>LOWER(TRIM(A1029))</f>
        <v/>
      </c>
      <c r="C1029">
        <f>IF(B1029="","",IFERROR(INDEX('Bad Patterns'!$A$2:$A$120,MATCH(1,INDEX(--ISNUMBER(SEARCH('Bad Patterns'!$A$2:$A$120,B1029)),0),0)),""))</f>
        <v/>
      </c>
      <c r="D1029">
        <f>IF(B1029="","",IF(C1029&lt;&gt;"","REMOVE","KEEP"))</f>
        <v/>
      </c>
      <c r="E1029">
        <f>IF(D1029&lt;&gt;"KEEP","",IF(RIGHT(B1029,10)="@gmail.com","Gmail",IF(OR(RIGHT(B1029,12)="@outlook.com",RIGHT(B1029,12)="@hotmail.com",RIGHT(B1029,9)="@live.com"),"Outlook","Domain")))</f>
        <v/>
      </c>
      <c r="F1029">
        <f>IF(B1029="","",IFERROR(RIGHT(B1029,LEN(B1029)-FIND("@",B1029)),""))</f>
        <v/>
      </c>
      <c r="G1029">
        <f>IF(D1029="KEEP",COUNTIF($D$2:D1029,"KEEP"),"")</f>
        <v/>
      </c>
      <c r="H1029">
        <f>IF(D1029="REMOVE",COUNTIF($D$2:D1029,"REMOVE"),"")</f>
        <v/>
      </c>
      <c r="I1029">
        <f>IF(E1029="Gmail",COUNTIF($E$2:E1029,"Gmail"),"")</f>
        <v/>
      </c>
      <c r="J1029">
        <f>IF(E1029="Outlook",COUNTIF($E$2:E1029,"Outlook"),"")</f>
        <v/>
      </c>
      <c r="K1029">
        <f>IF(E1029="Domain",COUNTIF($E$2:E1029,"Domain"),"")</f>
        <v/>
      </c>
    </row>
    <row r="1030">
      <c r="A1030" s="2" t="n"/>
      <c r="B1030">
        <f>LOWER(TRIM(A1030))</f>
        <v/>
      </c>
      <c r="C1030">
        <f>IF(B1030="","",IFERROR(INDEX('Bad Patterns'!$A$2:$A$120,MATCH(1,INDEX(--ISNUMBER(SEARCH('Bad Patterns'!$A$2:$A$120,B1030)),0),0)),""))</f>
        <v/>
      </c>
      <c r="D1030">
        <f>IF(B1030="","",IF(C1030&lt;&gt;"","REMOVE","KEEP"))</f>
        <v/>
      </c>
      <c r="E1030">
        <f>IF(D1030&lt;&gt;"KEEP","",IF(RIGHT(B1030,10)="@gmail.com","Gmail",IF(OR(RIGHT(B1030,12)="@outlook.com",RIGHT(B1030,12)="@hotmail.com",RIGHT(B1030,9)="@live.com"),"Outlook","Domain")))</f>
        <v/>
      </c>
      <c r="F1030">
        <f>IF(B1030="","",IFERROR(RIGHT(B1030,LEN(B1030)-FIND("@",B1030)),""))</f>
        <v/>
      </c>
      <c r="G1030">
        <f>IF(D1030="KEEP",COUNTIF($D$2:D1030,"KEEP"),"")</f>
        <v/>
      </c>
      <c r="H1030">
        <f>IF(D1030="REMOVE",COUNTIF($D$2:D1030,"REMOVE"),"")</f>
        <v/>
      </c>
      <c r="I1030">
        <f>IF(E1030="Gmail",COUNTIF($E$2:E1030,"Gmail"),"")</f>
        <v/>
      </c>
      <c r="J1030">
        <f>IF(E1030="Outlook",COUNTIF($E$2:E1030,"Outlook"),"")</f>
        <v/>
      </c>
      <c r="K1030">
        <f>IF(E1030="Domain",COUNTIF($E$2:E1030,"Domain"),"")</f>
        <v/>
      </c>
    </row>
    <row r="1031">
      <c r="A1031" s="2" t="n"/>
      <c r="B1031">
        <f>LOWER(TRIM(A1031))</f>
        <v/>
      </c>
      <c r="C1031">
        <f>IF(B1031="","",IFERROR(INDEX('Bad Patterns'!$A$2:$A$120,MATCH(1,INDEX(--ISNUMBER(SEARCH('Bad Patterns'!$A$2:$A$120,B1031)),0),0)),""))</f>
        <v/>
      </c>
      <c r="D1031">
        <f>IF(B1031="","",IF(C1031&lt;&gt;"","REMOVE","KEEP"))</f>
        <v/>
      </c>
      <c r="E1031">
        <f>IF(D1031&lt;&gt;"KEEP","",IF(RIGHT(B1031,10)="@gmail.com","Gmail",IF(OR(RIGHT(B1031,12)="@outlook.com",RIGHT(B1031,12)="@hotmail.com",RIGHT(B1031,9)="@live.com"),"Outlook","Domain")))</f>
        <v/>
      </c>
      <c r="F1031">
        <f>IF(B1031="","",IFERROR(RIGHT(B1031,LEN(B1031)-FIND("@",B1031)),""))</f>
        <v/>
      </c>
      <c r="G1031">
        <f>IF(D1031="KEEP",COUNTIF($D$2:D1031,"KEEP"),"")</f>
        <v/>
      </c>
      <c r="H1031">
        <f>IF(D1031="REMOVE",COUNTIF($D$2:D1031,"REMOVE"),"")</f>
        <v/>
      </c>
      <c r="I1031">
        <f>IF(E1031="Gmail",COUNTIF($E$2:E1031,"Gmail"),"")</f>
        <v/>
      </c>
      <c r="J1031">
        <f>IF(E1031="Outlook",COUNTIF($E$2:E1031,"Outlook"),"")</f>
        <v/>
      </c>
      <c r="K1031">
        <f>IF(E1031="Domain",COUNTIF($E$2:E1031,"Domain"),"")</f>
        <v/>
      </c>
    </row>
    <row r="1032">
      <c r="A1032" s="2" t="n"/>
      <c r="B1032">
        <f>LOWER(TRIM(A1032))</f>
        <v/>
      </c>
      <c r="C1032">
        <f>IF(B1032="","",IFERROR(INDEX('Bad Patterns'!$A$2:$A$120,MATCH(1,INDEX(--ISNUMBER(SEARCH('Bad Patterns'!$A$2:$A$120,B1032)),0),0)),""))</f>
        <v/>
      </c>
      <c r="D1032">
        <f>IF(B1032="","",IF(C1032&lt;&gt;"","REMOVE","KEEP"))</f>
        <v/>
      </c>
      <c r="E1032">
        <f>IF(D1032&lt;&gt;"KEEP","",IF(RIGHT(B1032,10)="@gmail.com","Gmail",IF(OR(RIGHT(B1032,12)="@outlook.com",RIGHT(B1032,12)="@hotmail.com",RIGHT(B1032,9)="@live.com"),"Outlook","Domain")))</f>
        <v/>
      </c>
      <c r="F1032">
        <f>IF(B1032="","",IFERROR(RIGHT(B1032,LEN(B1032)-FIND("@",B1032)),""))</f>
        <v/>
      </c>
      <c r="G1032">
        <f>IF(D1032="KEEP",COUNTIF($D$2:D1032,"KEEP"),"")</f>
        <v/>
      </c>
      <c r="H1032">
        <f>IF(D1032="REMOVE",COUNTIF($D$2:D1032,"REMOVE"),"")</f>
        <v/>
      </c>
      <c r="I1032">
        <f>IF(E1032="Gmail",COUNTIF($E$2:E1032,"Gmail"),"")</f>
        <v/>
      </c>
      <c r="J1032">
        <f>IF(E1032="Outlook",COUNTIF($E$2:E1032,"Outlook"),"")</f>
        <v/>
      </c>
      <c r="K1032">
        <f>IF(E1032="Domain",COUNTIF($E$2:E1032,"Domain"),"")</f>
        <v/>
      </c>
    </row>
    <row r="1033">
      <c r="A1033" s="2" t="n"/>
      <c r="B1033">
        <f>LOWER(TRIM(A1033))</f>
        <v/>
      </c>
      <c r="C1033">
        <f>IF(B1033="","",IFERROR(INDEX('Bad Patterns'!$A$2:$A$120,MATCH(1,INDEX(--ISNUMBER(SEARCH('Bad Patterns'!$A$2:$A$120,B1033)),0),0)),""))</f>
        <v/>
      </c>
      <c r="D1033">
        <f>IF(B1033="","",IF(C1033&lt;&gt;"","REMOVE","KEEP"))</f>
        <v/>
      </c>
      <c r="E1033">
        <f>IF(D1033&lt;&gt;"KEEP","",IF(RIGHT(B1033,10)="@gmail.com","Gmail",IF(OR(RIGHT(B1033,12)="@outlook.com",RIGHT(B1033,12)="@hotmail.com",RIGHT(B1033,9)="@live.com"),"Outlook","Domain")))</f>
        <v/>
      </c>
      <c r="F1033">
        <f>IF(B1033="","",IFERROR(RIGHT(B1033,LEN(B1033)-FIND("@",B1033)),""))</f>
        <v/>
      </c>
      <c r="G1033">
        <f>IF(D1033="KEEP",COUNTIF($D$2:D1033,"KEEP"),"")</f>
        <v/>
      </c>
      <c r="H1033">
        <f>IF(D1033="REMOVE",COUNTIF($D$2:D1033,"REMOVE"),"")</f>
        <v/>
      </c>
      <c r="I1033">
        <f>IF(E1033="Gmail",COUNTIF($E$2:E1033,"Gmail"),"")</f>
        <v/>
      </c>
      <c r="J1033">
        <f>IF(E1033="Outlook",COUNTIF($E$2:E1033,"Outlook"),"")</f>
        <v/>
      </c>
      <c r="K1033">
        <f>IF(E1033="Domain",COUNTIF($E$2:E1033,"Domain"),"")</f>
        <v/>
      </c>
    </row>
    <row r="1034">
      <c r="A1034" s="2" t="n"/>
      <c r="B1034">
        <f>LOWER(TRIM(A1034))</f>
        <v/>
      </c>
      <c r="C1034">
        <f>IF(B1034="","",IFERROR(INDEX('Bad Patterns'!$A$2:$A$120,MATCH(1,INDEX(--ISNUMBER(SEARCH('Bad Patterns'!$A$2:$A$120,B1034)),0),0)),""))</f>
        <v/>
      </c>
      <c r="D1034">
        <f>IF(B1034="","",IF(C1034&lt;&gt;"","REMOVE","KEEP"))</f>
        <v/>
      </c>
      <c r="E1034">
        <f>IF(D1034&lt;&gt;"KEEP","",IF(RIGHT(B1034,10)="@gmail.com","Gmail",IF(OR(RIGHT(B1034,12)="@outlook.com",RIGHT(B1034,12)="@hotmail.com",RIGHT(B1034,9)="@live.com"),"Outlook","Domain")))</f>
        <v/>
      </c>
      <c r="F1034">
        <f>IF(B1034="","",IFERROR(RIGHT(B1034,LEN(B1034)-FIND("@",B1034)),""))</f>
        <v/>
      </c>
      <c r="G1034">
        <f>IF(D1034="KEEP",COUNTIF($D$2:D1034,"KEEP"),"")</f>
        <v/>
      </c>
      <c r="H1034">
        <f>IF(D1034="REMOVE",COUNTIF($D$2:D1034,"REMOVE"),"")</f>
        <v/>
      </c>
      <c r="I1034">
        <f>IF(E1034="Gmail",COUNTIF($E$2:E1034,"Gmail"),"")</f>
        <v/>
      </c>
      <c r="J1034">
        <f>IF(E1034="Outlook",COUNTIF($E$2:E1034,"Outlook"),"")</f>
        <v/>
      </c>
      <c r="K1034">
        <f>IF(E1034="Domain",COUNTIF($E$2:E1034,"Domain"),"")</f>
        <v/>
      </c>
    </row>
    <row r="1035">
      <c r="A1035" s="2" t="n"/>
      <c r="B1035">
        <f>LOWER(TRIM(A1035))</f>
        <v/>
      </c>
      <c r="C1035">
        <f>IF(B1035="","",IFERROR(INDEX('Bad Patterns'!$A$2:$A$120,MATCH(1,INDEX(--ISNUMBER(SEARCH('Bad Patterns'!$A$2:$A$120,B1035)),0),0)),""))</f>
        <v/>
      </c>
      <c r="D1035">
        <f>IF(B1035="","",IF(C1035&lt;&gt;"","REMOVE","KEEP"))</f>
        <v/>
      </c>
      <c r="E1035">
        <f>IF(D1035&lt;&gt;"KEEP","",IF(RIGHT(B1035,10)="@gmail.com","Gmail",IF(OR(RIGHT(B1035,12)="@outlook.com",RIGHT(B1035,12)="@hotmail.com",RIGHT(B1035,9)="@live.com"),"Outlook","Domain")))</f>
        <v/>
      </c>
      <c r="F1035">
        <f>IF(B1035="","",IFERROR(RIGHT(B1035,LEN(B1035)-FIND("@",B1035)),""))</f>
        <v/>
      </c>
      <c r="G1035">
        <f>IF(D1035="KEEP",COUNTIF($D$2:D1035,"KEEP"),"")</f>
        <v/>
      </c>
      <c r="H1035">
        <f>IF(D1035="REMOVE",COUNTIF($D$2:D1035,"REMOVE"),"")</f>
        <v/>
      </c>
      <c r="I1035">
        <f>IF(E1035="Gmail",COUNTIF($E$2:E1035,"Gmail"),"")</f>
        <v/>
      </c>
      <c r="J1035">
        <f>IF(E1035="Outlook",COUNTIF($E$2:E1035,"Outlook"),"")</f>
        <v/>
      </c>
      <c r="K1035">
        <f>IF(E1035="Domain",COUNTIF($E$2:E1035,"Domain"),"")</f>
        <v/>
      </c>
    </row>
    <row r="1036">
      <c r="A1036" s="2" t="n"/>
      <c r="B1036">
        <f>LOWER(TRIM(A1036))</f>
        <v/>
      </c>
      <c r="C1036">
        <f>IF(B1036="","",IFERROR(INDEX('Bad Patterns'!$A$2:$A$120,MATCH(1,INDEX(--ISNUMBER(SEARCH('Bad Patterns'!$A$2:$A$120,B1036)),0),0)),""))</f>
        <v/>
      </c>
      <c r="D1036">
        <f>IF(B1036="","",IF(C1036&lt;&gt;"","REMOVE","KEEP"))</f>
        <v/>
      </c>
      <c r="E1036">
        <f>IF(D1036&lt;&gt;"KEEP","",IF(RIGHT(B1036,10)="@gmail.com","Gmail",IF(OR(RIGHT(B1036,12)="@outlook.com",RIGHT(B1036,12)="@hotmail.com",RIGHT(B1036,9)="@live.com"),"Outlook","Domain")))</f>
        <v/>
      </c>
      <c r="F1036">
        <f>IF(B1036="","",IFERROR(RIGHT(B1036,LEN(B1036)-FIND("@",B1036)),""))</f>
        <v/>
      </c>
      <c r="G1036">
        <f>IF(D1036="KEEP",COUNTIF($D$2:D1036,"KEEP"),"")</f>
        <v/>
      </c>
      <c r="H1036">
        <f>IF(D1036="REMOVE",COUNTIF($D$2:D1036,"REMOVE"),"")</f>
        <v/>
      </c>
      <c r="I1036">
        <f>IF(E1036="Gmail",COUNTIF($E$2:E1036,"Gmail"),"")</f>
        <v/>
      </c>
      <c r="J1036">
        <f>IF(E1036="Outlook",COUNTIF($E$2:E1036,"Outlook"),"")</f>
        <v/>
      </c>
      <c r="K1036">
        <f>IF(E1036="Domain",COUNTIF($E$2:E1036,"Domain"),"")</f>
        <v/>
      </c>
    </row>
    <row r="1037">
      <c r="A1037" s="2" t="n"/>
      <c r="B1037">
        <f>LOWER(TRIM(A1037))</f>
        <v/>
      </c>
      <c r="C1037">
        <f>IF(B1037="","",IFERROR(INDEX('Bad Patterns'!$A$2:$A$120,MATCH(1,INDEX(--ISNUMBER(SEARCH('Bad Patterns'!$A$2:$A$120,B1037)),0),0)),""))</f>
        <v/>
      </c>
      <c r="D1037">
        <f>IF(B1037="","",IF(C1037&lt;&gt;"","REMOVE","KEEP"))</f>
        <v/>
      </c>
      <c r="E1037">
        <f>IF(D1037&lt;&gt;"KEEP","",IF(RIGHT(B1037,10)="@gmail.com","Gmail",IF(OR(RIGHT(B1037,12)="@outlook.com",RIGHT(B1037,12)="@hotmail.com",RIGHT(B1037,9)="@live.com"),"Outlook","Domain")))</f>
        <v/>
      </c>
      <c r="F1037">
        <f>IF(B1037="","",IFERROR(RIGHT(B1037,LEN(B1037)-FIND("@",B1037)),""))</f>
        <v/>
      </c>
      <c r="G1037">
        <f>IF(D1037="KEEP",COUNTIF($D$2:D1037,"KEEP"),"")</f>
        <v/>
      </c>
      <c r="H1037">
        <f>IF(D1037="REMOVE",COUNTIF($D$2:D1037,"REMOVE"),"")</f>
        <v/>
      </c>
      <c r="I1037">
        <f>IF(E1037="Gmail",COUNTIF($E$2:E1037,"Gmail"),"")</f>
        <v/>
      </c>
      <c r="J1037">
        <f>IF(E1037="Outlook",COUNTIF($E$2:E1037,"Outlook"),"")</f>
        <v/>
      </c>
      <c r="K1037">
        <f>IF(E1037="Domain",COUNTIF($E$2:E1037,"Domain"),"")</f>
        <v/>
      </c>
    </row>
    <row r="1038">
      <c r="A1038" s="2" t="n"/>
      <c r="B1038">
        <f>LOWER(TRIM(A1038))</f>
        <v/>
      </c>
      <c r="C1038">
        <f>IF(B1038="","",IFERROR(INDEX('Bad Patterns'!$A$2:$A$120,MATCH(1,INDEX(--ISNUMBER(SEARCH('Bad Patterns'!$A$2:$A$120,B1038)),0),0)),""))</f>
        <v/>
      </c>
      <c r="D1038">
        <f>IF(B1038="","",IF(C1038&lt;&gt;"","REMOVE","KEEP"))</f>
        <v/>
      </c>
      <c r="E1038">
        <f>IF(D1038&lt;&gt;"KEEP","",IF(RIGHT(B1038,10)="@gmail.com","Gmail",IF(OR(RIGHT(B1038,12)="@outlook.com",RIGHT(B1038,12)="@hotmail.com",RIGHT(B1038,9)="@live.com"),"Outlook","Domain")))</f>
        <v/>
      </c>
      <c r="F1038">
        <f>IF(B1038="","",IFERROR(RIGHT(B1038,LEN(B1038)-FIND("@",B1038)),""))</f>
        <v/>
      </c>
      <c r="G1038">
        <f>IF(D1038="KEEP",COUNTIF($D$2:D1038,"KEEP"),"")</f>
        <v/>
      </c>
      <c r="H1038">
        <f>IF(D1038="REMOVE",COUNTIF($D$2:D1038,"REMOVE"),"")</f>
        <v/>
      </c>
      <c r="I1038">
        <f>IF(E1038="Gmail",COUNTIF($E$2:E1038,"Gmail"),"")</f>
        <v/>
      </c>
      <c r="J1038">
        <f>IF(E1038="Outlook",COUNTIF($E$2:E1038,"Outlook"),"")</f>
        <v/>
      </c>
      <c r="K1038">
        <f>IF(E1038="Domain",COUNTIF($E$2:E1038,"Domain"),"")</f>
        <v/>
      </c>
    </row>
    <row r="1039">
      <c r="A1039" s="2" t="n"/>
      <c r="B1039">
        <f>LOWER(TRIM(A1039))</f>
        <v/>
      </c>
      <c r="C1039">
        <f>IF(B1039="","",IFERROR(INDEX('Bad Patterns'!$A$2:$A$120,MATCH(1,INDEX(--ISNUMBER(SEARCH('Bad Patterns'!$A$2:$A$120,B1039)),0),0)),""))</f>
        <v/>
      </c>
      <c r="D1039">
        <f>IF(B1039="","",IF(C1039&lt;&gt;"","REMOVE","KEEP"))</f>
        <v/>
      </c>
      <c r="E1039">
        <f>IF(D1039&lt;&gt;"KEEP","",IF(RIGHT(B1039,10)="@gmail.com","Gmail",IF(OR(RIGHT(B1039,12)="@outlook.com",RIGHT(B1039,12)="@hotmail.com",RIGHT(B1039,9)="@live.com"),"Outlook","Domain")))</f>
        <v/>
      </c>
      <c r="F1039">
        <f>IF(B1039="","",IFERROR(RIGHT(B1039,LEN(B1039)-FIND("@",B1039)),""))</f>
        <v/>
      </c>
      <c r="G1039">
        <f>IF(D1039="KEEP",COUNTIF($D$2:D1039,"KEEP"),"")</f>
        <v/>
      </c>
      <c r="H1039">
        <f>IF(D1039="REMOVE",COUNTIF($D$2:D1039,"REMOVE"),"")</f>
        <v/>
      </c>
      <c r="I1039">
        <f>IF(E1039="Gmail",COUNTIF($E$2:E1039,"Gmail"),"")</f>
        <v/>
      </c>
      <c r="J1039">
        <f>IF(E1039="Outlook",COUNTIF($E$2:E1039,"Outlook"),"")</f>
        <v/>
      </c>
      <c r="K1039">
        <f>IF(E1039="Domain",COUNTIF($E$2:E1039,"Domain"),"")</f>
        <v/>
      </c>
    </row>
    <row r="1040">
      <c r="A1040" s="2" t="n"/>
      <c r="B1040">
        <f>LOWER(TRIM(A1040))</f>
        <v/>
      </c>
      <c r="C1040">
        <f>IF(B1040="","",IFERROR(INDEX('Bad Patterns'!$A$2:$A$120,MATCH(1,INDEX(--ISNUMBER(SEARCH('Bad Patterns'!$A$2:$A$120,B1040)),0),0)),""))</f>
        <v/>
      </c>
      <c r="D1040">
        <f>IF(B1040="","",IF(C1040&lt;&gt;"","REMOVE","KEEP"))</f>
        <v/>
      </c>
      <c r="E1040">
        <f>IF(D1040&lt;&gt;"KEEP","",IF(RIGHT(B1040,10)="@gmail.com","Gmail",IF(OR(RIGHT(B1040,12)="@outlook.com",RIGHT(B1040,12)="@hotmail.com",RIGHT(B1040,9)="@live.com"),"Outlook","Domain")))</f>
        <v/>
      </c>
      <c r="F1040">
        <f>IF(B1040="","",IFERROR(RIGHT(B1040,LEN(B1040)-FIND("@",B1040)),""))</f>
        <v/>
      </c>
      <c r="G1040">
        <f>IF(D1040="KEEP",COUNTIF($D$2:D1040,"KEEP"),"")</f>
        <v/>
      </c>
      <c r="H1040">
        <f>IF(D1040="REMOVE",COUNTIF($D$2:D1040,"REMOVE"),"")</f>
        <v/>
      </c>
      <c r="I1040">
        <f>IF(E1040="Gmail",COUNTIF($E$2:E1040,"Gmail"),"")</f>
        <v/>
      </c>
      <c r="J1040">
        <f>IF(E1040="Outlook",COUNTIF($E$2:E1040,"Outlook"),"")</f>
        <v/>
      </c>
      <c r="K1040">
        <f>IF(E1040="Domain",COUNTIF($E$2:E1040,"Domain"),"")</f>
        <v/>
      </c>
    </row>
    <row r="1041">
      <c r="A1041" s="2" t="n"/>
      <c r="B1041">
        <f>LOWER(TRIM(A1041))</f>
        <v/>
      </c>
      <c r="C1041">
        <f>IF(B1041="","",IFERROR(INDEX('Bad Patterns'!$A$2:$A$120,MATCH(1,INDEX(--ISNUMBER(SEARCH('Bad Patterns'!$A$2:$A$120,B1041)),0),0)),""))</f>
        <v/>
      </c>
      <c r="D1041">
        <f>IF(B1041="","",IF(C1041&lt;&gt;"","REMOVE","KEEP"))</f>
        <v/>
      </c>
      <c r="E1041">
        <f>IF(D1041&lt;&gt;"KEEP","",IF(RIGHT(B1041,10)="@gmail.com","Gmail",IF(OR(RIGHT(B1041,12)="@outlook.com",RIGHT(B1041,12)="@hotmail.com",RIGHT(B1041,9)="@live.com"),"Outlook","Domain")))</f>
        <v/>
      </c>
      <c r="F1041">
        <f>IF(B1041="","",IFERROR(RIGHT(B1041,LEN(B1041)-FIND("@",B1041)),""))</f>
        <v/>
      </c>
      <c r="G1041">
        <f>IF(D1041="KEEP",COUNTIF($D$2:D1041,"KEEP"),"")</f>
        <v/>
      </c>
      <c r="H1041">
        <f>IF(D1041="REMOVE",COUNTIF($D$2:D1041,"REMOVE"),"")</f>
        <v/>
      </c>
      <c r="I1041">
        <f>IF(E1041="Gmail",COUNTIF($E$2:E1041,"Gmail"),"")</f>
        <v/>
      </c>
      <c r="J1041">
        <f>IF(E1041="Outlook",COUNTIF($E$2:E1041,"Outlook"),"")</f>
        <v/>
      </c>
      <c r="K1041">
        <f>IF(E1041="Domain",COUNTIF($E$2:E1041,"Domain"),"")</f>
        <v/>
      </c>
    </row>
    <row r="1042">
      <c r="A1042" s="2" t="n"/>
      <c r="B1042">
        <f>LOWER(TRIM(A1042))</f>
        <v/>
      </c>
      <c r="C1042">
        <f>IF(B1042="","",IFERROR(INDEX('Bad Patterns'!$A$2:$A$120,MATCH(1,INDEX(--ISNUMBER(SEARCH('Bad Patterns'!$A$2:$A$120,B1042)),0),0)),""))</f>
        <v/>
      </c>
      <c r="D1042">
        <f>IF(B1042="","",IF(C1042&lt;&gt;"","REMOVE","KEEP"))</f>
        <v/>
      </c>
      <c r="E1042">
        <f>IF(D1042&lt;&gt;"KEEP","",IF(RIGHT(B1042,10)="@gmail.com","Gmail",IF(OR(RIGHT(B1042,12)="@outlook.com",RIGHT(B1042,12)="@hotmail.com",RIGHT(B1042,9)="@live.com"),"Outlook","Domain")))</f>
        <v/>
      </c>
      <c r="F1042">
        <f>IF(B1042="","",IFERROR(RIGHT(B1042,LEN(B1042)-FIND("@",B1042)),""))</f>
        <v/>
      </c>
      <c r="G1042">
        <f>IF(D1042="KEEP",COUNTIF($D$2:D1042,"KEEP"),"")</f>
        <v/>
      </c>
      <c r="H1042">
        <f>IF(D1042="REMOVE",COUNTIF($D$2:D1042,"REMOVE"),"")</f>
        <v/>
      </c>
      <c r="I1042">
        <f>IF(E1042="Gmail",COUNTIF($E$2:E1042,"Gmail"),"")</f>
        <v/>
      </c>
      <c r="J1042">
        <f>IF(E1042="Outlook",COUNTIF($E$2:E1042,"Outlook"),"")</f>
        <v/>
      </c>
      <c r="K1042">
        <f>IF(E1042="Domain",COUNTIF($E$2:E1042,"Domain"),"")</f>
        <v/>
      </c>
    </row>
    <row r="1043">
      <c r="A1043" s="2" t="n"/>
      <c r="B1043">
        <f>LOWER(TRIM(A1043))</f>
        <v/>
      </c>
      <c r="C1043">
        <f>IF(B1043="","",IFERROR(INDEX('Bad Patterns'!$A$2:$A$120,MATCH(1,INDEX(--ISNUMBER(SEARCH('Bad Patterns'!$A$2:$A$120,B1043)),0),0)),""))</f>
        <v/>
      </c>
      <c r="D1043">
        <f>IF(B1043="","",IF(C1043&lt;&gt;"","REMOVE","KEEP"))</f>
        <v/>
      </c>
      <c r="E1043">
        <f>IF(D1043&lt;&gt;"KEEP","",IF(RIGHT(B1043,10)="@gmail.com","Gmail",IF(OR(RIGHT(B1043,12)="@outlook.com",RIGHT(B1043,12)="@hotmail.com",RIGHT(B1043,9)="@live.com"),"Outlook","Domain")))</f>
        <v/>
      </c>
      <c r="F1043">
        <f>IF(B1043="","",IFERROR(RIGHT(B1043,LEN(B1043)-FIND("@",B1043)),""))</f>
        <v/>
      </c>
      <c r="G1043">
        <f>IF(D1043="KEEP",COUNTIF($D$2:D1043,"KEEP"),"")</f>
        <v/>
      </c>
      <c r="H1043">
        <f>IF(D1043="REMOVE",COUNTIF($D$2:D1043,"REMOVE"),"")</f>
        <v/>
      </c>
      <c r="I1043">
        <f>IF(E1043="Gmail",COUNTIF($E$2:E1043,"Gmail"),"")</f>
        <v/>
      </c>
      <c r="J1043">
        <f>IF(E1043="Outlook",COUNTIF($E$2:E1043,"Outlook"),"")</f>
        <v/>
      </c>
      <c r="K1043">
        <f>IF(E1043="Domain",COUNTIF($E$2:E1043,"Domain"),"")</f>
        <v/>
      </c>
    </row>
    <row r="1044">
      <c r="A1044" s="2" t="n"/>
      <c r="B1044">
        <f>LOWER(TRIM(A1044))</f>
        <v/>
      </c>
      <c r="C1044">
        <f>IF(B1044="","",IFERROR(INDEX('Bad Patterns'!$A$2:$A$120,MATCH(1,INDEX(--ISNUMBER(SEARCH('Bad Patterns'!$A$2:$A$120,B1044)),0),0)),""))</f>
        <v/>
      </c>
      <c r="D1044">
        <f>IF(B1044="","",IF(C1044&lt;&gt;"","REMOVE","KEEP"))</f>
        <v/>
      </c>
      <c r="E1044">
        <f>IF(D1044&lt;&gt;"KEEP","",IF(RIGHT(B1044,10)="@gmail.com","Gmail",IF(OR(RIGHT(B1044,12)="@outlook.com",RIGHT(B1044,12)="@hotmail.com",RIGHT(B1044,9)="@live.com"),"Outlook","Domain")))</f>
        <v/>
      </c>
      <c r="F1044">
        <f>IF(B1044="","",IFERROR(RIGHT(B1044,LEN(B1044)-FIND("@",B1044)),""))</f>
        <v/>
      </c>
      <c r="G1044">
        <f>IF(D1044="KEEP",COUNTIF($D$2:D1044,"KEEP"),"")</f>
        <v/>
      </c>
      <c r="H1044">
        <f>IF(D1044="REMOVE",COUNTIF($D$2:D1044,"REMOVE"),"")</f>
        <v/>
      </c>
      <c r="I1044">
        <f>IF(E1044="Gmail",COUNTIF($E$2:E1044,"Gmail"),"")</f>
        <v/>
      </c>
      <c r="J1044">
        <f>IF(E1044="Outlook",COUNTIF($E$2:E1044,"Outlook"),"")</f>
        <v/>
      </c>
      <c r="K1044">
        <f>IF(E1044="Domain",COUNTIF($E$2:E1044,"Domain"),"")</f>
        <v/>
      </c>
    </row>
    <row r="1045">
      <c r="A1045" s="2" t="n"/>
      <c r="B1045">
        <f>LOWER(TRIM(A1045))</f>
        <v/>
      </c>
      <c r="C1045">
        <f>IF(B1045="","",IFERROR(INDEX('Bad Patterns'!$A$2:$A$120,MATCH(1,INDEX(--ISNUMBER(SEARCH('Bad Patterns'!$A$2:$A$120,B1045)),0),0)),""))</f>
        <v/>
      </c>
      <c r="D1045">
        <f>IF(B1045="","",IF(C1045&lt;&gt;"","REMOVE","KEEP"))</f>
        <v/>
      </c>
      <c r="E1045">
        <f>IF(D1045&lt;&gt;"KEEP","",IF(RIGHT(B1045,10)="@gmail.com","Gmail",IF(OR(RIGHT(B1045,12)="@outlook.com",RIGHT(B1045,12)="@hotmail.com",RIGHT(B1045,9)="@live.com"),"Outlook","Domain")))</f>
        <v/>
      </c>
      <c r="F1045">
        <f>IF(B1045="","",IFERROR(RIGHT(B1045,LEN(B1045)-FIND("@",B1045)),""))</f>
        <v/>
      </c>
      <c r="G1045">
        <f>IF(D1045="KEEP",COUNTIF($D$2:D1045,"KEEP"),"")</f>
        <v/>
      </c>
      <c r="H1045">
        <f>IF(D1045="REMOVE",COUNTIF($D$2:D1045,"REMOVE"),"")</f>
        <v/>
      </c>
      <c r="I1045">
        <f>IF(E1045="Gmail",COUNTIF($E$2:E1045,"Gmail"),"")</f>
        <v/>
      </c>
      <c r="J1045">
        <f>IF(E1045="Outlook",COUNTIF($E$2:E1045,"Outlook"),"")</f>
        <v/>
      </c>
      <c r="K1045">
        <f>IF(E1045="Domain",COUNTIF($E$2:E1045,"Domain"),"")</f>
        <v/>
      </c>
    </row>
    <row r="1046">
      <c r="A1046" s="2" t="n"/>
      <c r="B1046">
        <f>LOWER(TRIM(A1046))</f>
        <v/>
      </c>
      <c r="C1046">
        <f>IF(B1046="","",IFERROR(INDEX('Bad Patterns'!$A$2:$A$120,MATCH(1,INDEX(--ISNUMBER(SEARCH('Bad Patterns'!$A$2:$A$120,B1046)),0),0)),""))</f>
        <v/>
      </c>
      <c r="D1046">
        <f>IF(B1046="","",IF(C1046&lt;&gt;"","REMOVE","KEEP"))</f>
        <v/>
      </c>
      <c r="E1046">
        <f>IF(D1046&lt;&gt;"KEEP","",IF(RIGHT(B1046,10)="@gmail.com","Gmail",IF(OR(RIGHT(B1046,12)="@outlook.com",RIGHT(B1046,12)="@hotmail.com",RIGHT(B1046,9)="@live.com"),"Outlook","Domain")))</f>
        <v/>
      </c>
      <c r="F1046">
        <f>IF(B1046="","",IFERROR(RIGHT(B1046,LEN(B1046)-FIND("@",B1046)),""))</f>
        <v/>
      </c>
      <c r="G1046">
        <f>IF(D1046="KEEP",COUNTIF($D$2:D1046,"KEEP"),"")</f>
        <v/>
      </c>
      <c r="H1046">
        <f>IF(D1046="REMOVE",COUNTIF($D$2:D1046,"REMOVE"),"")</f>
        <v/>
      </c>
      <c r="I1046">
        <f>IF(E1046="Gmail",COUNTIF($E$2:E1046,"Gmail"),"")</f>
        <v/>
      </c>
      <c r="J1046">
        <f>IF(E1046="Outlook",COUNTIF($E$2:E1046,"Outlook"),"")</f>
        <v/>
      </c>
      <c r="K1046">
        <f>IF(E1046="Domain",COUNTIF($E$2:E1046,"Domain"),"")</f>
        <v/>
      </c>
    </row>
    <row r="1047">
      <c r="A1047" s="2" t="n"/>
      <c r="B1047">
        <f>LOWER(TRIM(A1047))</f>
        <v/>
      </c>
      <c r="C1047">
        <f>IF(B1047="","",IFERROR(INDEX('Bad Patterns'!$A$2:$A$120,MATCH(1,INDEX(--ISNUMBER(SEARCH('Bad Patterns'!$A$2:$A$120,B1047)),0),0)),""))</f>
        <v/>
      </c>
      <c r="D1047">
        <f>IF(B1047="","",IF(C1047&lt;&gt;"","REMOVE","KEEP"))</f>
        <v/>
      </c>
      <c r="E1047">
        <f>IF(D1047&lt;&gt;"KEEP","",IF(RIGHT(B1047,10)="@gmail.com","Gmail",IF(OR(RIGHT(B1047,12)="@outlook.com",RIGHT(B1047,12)="@hotmail.com",RIGHT(B1047,9)="@live.com"),"Outlook","Domain")))</f>
        <v/>
      </c>
      <c r="F1047">
        <f>IF(B1047="","",IFERROR(RIGHT(B1047,LEN(B1047)-FIND("@",B1047)),""))</f>
        <v/>
      </c>
      <c r="G1047">
        <f>IF(D1047="KEEP",COUNTIF($D$2:D1047,"KEEP"),"")</f>
        <v/>
      </c>
      <c r="H1047">
        <f>IF(D1047="REMOVE",COUNTIF($D$2:D1047,"REMOVE"),"")</f>
        <v/>
      </c>
      <c r="I1047">
        <f>IF(E1047="Gmail",COUNTIF($E$2:E1047,"Gmail"),"")</f>
        <v/>
      </c>
      <c r="J1047">
        <f>IF(E1047="Outlook",COUNTIF($E$2:E1047,"Outlook"),"")</f>
        <v/>
      </c>
      <c r="K1047">
        <f>IF(E1047="Domain",COUNTIF($E$2:E1047,"Domain"),"")</f>
        <v/>
      </c>
    </row>
    <row r="1048">
      <c r="A1048" s="2" t="n"/>
      <c r="B1048">
        <f>LOWER(TRIM(A1048))</f>
        <v/>
      </c>
      <c r="C1048">
        <f>IF(B1048="","",IFERROR(INDEX('Bad Patterns'!$A$2:$A$120,MATCH(1,INDEX(--ISNUMBER(SEARCH('Bad Patterns'!$A$2:$A$120,B1048)),0),0)),""))</f>
        <v/>
      </c>
      <c r="D1048">
        <f>IF(B1048="","",IF(C1048&lt;&gt;"","REMOVE","KEEP"))</f>
        <v/>
      </c>
      <c r="E1048">
        <f>IF(D1048&lt;&gt;"KEEP","",IF(RIGHT(B1048,10)="@gmail.com","Gmail",IF(OR(RIGHT(B1048,12)="@outlook.com",RIGHT(B1048,12)="@hotmail.com",RIGHT(B1048,9)="@live.com"),"Outlook","Domain")))</f>
        <v/>
      </c>
      <c r="F1048">
        <f>IF(B1048="","",IFERROR(RIGHT(B1048,LEN(B1048)-FIND("@",B1048)),""))</f>
        <v/>
      </c>
      <c r="G1048">
        <f>IF(D1048="KEEP",COUNTIF($D$2:D1048,"KEEP"),"")</f>
        <v/>
      </c>
      <c r="H1048">
        <f>IF(D1048="REMOVE",COUNTIF($D$2:D1048,"REMOVE"),"")</f>
        <v/>
      </c>
      <c r="I1048">
        <f>IF(E1048="Gmail",COUNTIF($E$2:E1048,"Gmail"),"")</f>
        <v/>
      </c>
      <c r="J1048">
        <f>IF(E1048="Outlook",COUNTIF($E$2:E1048,"Outlook"),"")</f>
        <v/>
      </c>
      <c r="K1048">
        <f>IF(E1048="Domain",COUNTIF($E$2:E1048,"Domain"),"")</f>
        <v/>
      </c>
    </row>
    <row r="1049">
      <c r="A1049" s="2" t="n"/>
      <c r="B1049">
        <f>LOWER(TRIM(A1049))</f>
        <v/>
      </c>
      <c r="C1049">
        <f>IF(B1049="","",IFERROR(INDEX('Bad Patterns'!$A$2:$A$120,MATCH(1,INDEX(--ISNUMBER(SEARCH('Bad Patterns'!$A$2:$A$120,B1049)),0),0)),""))</f>
        <v/>
      </c>
      <c r="D1049">
        <f>IF(B1049="","",IF(C1049&lt;&gt;"","REMOVE","KEEP"))</f>
        <v/>
      </c>
      <c r="E1049">
        <f>IF(D1049&lt;&gt;"KEEP","",IF(RIGHT(B1049,10)="@gmail.com","Gmail",IF(OR(RIGHT(B1049,12)="@outlook.com",RIGHT(B1049,12)="@hotmail.com",RIGHT(B1049,9)="@live.com"),"Outlook","Domain")))</f>
        <v/>
      </c>
      <c r="F1049">
        <f>IF(B1049="","",IFERROR(RIGHT(B1049,LEN(B1049)-FIND("@",B1049)),""))</f>
        <v/>
      </c>
      <c r="G1049">
        <f>IF(D1049="KEEP",COUNTIF($D$2:D1049,"KEEP"),"")</f>
        <v/>
      </c>
      <c r="H1049">
        <f>IF(D1049="REMOVE",COUNTIF($D$2:D1049,"REMOVE"),"")</f>
        <v/>
      </c>
      <c r="I1049">
        <f>IF(E1049="Gmail",COUNTIF($E$2:E1049,"Gmail"),"")</f>
        <v/>
      </c>
      <c r="J1049">
        <f>IF(E1049="Outlook",COUNTIF($E$2:E1049,"Outlook"),"")</f>
        <v/>
      </c>
      <c r="K1049">
        <f>IF(E1049="Domain",COUNTIF($E$2:E1049,"Domain"),"")</f>
        <v/>
      </c>
    </row>
    <row r="1050">
      <c r="A1050" s="2" t="n"/>
      <c r="B1050">
        <f>LOWER(TRIM(A1050))</f>
        <v/>
      </c>
      <c r="C1050">
        <f>IF(B1050="","",IFERROR(INDEX('Bad Patterns'!$A$2:$A$120,MATCH(1,INDEX(--ISNUMBER(SEARCH('Bad Patterns'!$A$2:$A$120,B1050)),0),0)),""))</f>
        <v/>
      </c>
      <c r="D1050">
        <f>IF(B1050="","",IF(C1050&lt;&gt;"","REMOVE","KEEP"))</f>
        <v/>
      </c>
      <c r="E1050">
        <f>IF(D1050&lt;&gt;"KEEP","",IF(RIGHT(B1050,10)="@gmail.com","Gmail",IF(OR(RIGHT(B1050,12)="@outlook.com",RIGHT(B1050,12)="@hotmail.com",RIGHT(B1050,9)="@live.com"),"Outlook","Domain")))</f>
        <v/>
      </c>
      <c r="F1050">
        <f>IF(B1050="","",IFERROR(RIGHT(B1050,LEN(B1050)-FIND("@",B1050)),""))</f>
        <v/>
      </c>
      <c r="G1050">
        <f>IF(D1050="KEEP",COUNTIF($D$2:D1050,"KEEP"),"")</f>
        <v/>
      </c>
      <c r="H1050">
        <f>IF(D1050="REMOVE",COUNTIF($D$2:D1050,"REMOVE"),"")</f>
        <v/>
      </c>
      <c r="I1050">
        <f>IF(E1050="Gmail",COUNTIF($E$2:E1050,"Gmail"),"")</f>
        <v/>
      </c>
      <c r="J1050">
        <f>IF(E1050="Outlook",COUNTIF($E$2:E1050,"Outlook"),"")</f>
        <v/>
      </c>
      <c r="K1050">
        <f>IF(E1050="Domain",COUNTIF($E$2:E1050,"Domain"),"")</f>
        <v/>
      </c>
    </row>
    <row r="1051">
      <c r="A1051" s="2" t="n"/>
      <c r="B1051">
        <f>LOWER(TRIM(A1051))</f>
        <v/>
      </c>
      <c r="C1051">
        <f>IF(B1051="","",IFERROR(INDEX('Bad Patterns'!$A$2:$A$120,MATCH(1,INDEX(--ISNUMBER(SEARCH('Bad Patterns'!$A$2:$A$120,B1051)),0),0)),""))</f>
        <v/>
      </c>
      <c r="D1051">
        <f>IF(B1051="","",IF(C1051&lt;&gt;"","REMOVE","KEEP"))</f>
        <v/>
      </c>
      <c r="E1051">
        <f>IF(D1051&lt;&gt;"KEEP","",IF(RIGHT(B1051,10)="@gmail.com","Gmail",IF(OR(RIGHT(B1051,12)="@outlook.com",RIGHT(B1051,12)="@hotmail.com",RIGHT(B1051,9)="@live.com"),"Outlook","Domain")))</f>
        <v/>
      </c>
      <c r="F1051">
        <f>IF(B1051="","",IFERROR(RIGHT(B1051,LEN(B1051)-FIND("@",B1051)),""))</f>
        <v/>
      </c>
      <c r="G1051">
        <f>IF(D1051="KEEP",COUNTIF($D$2:D1051,"KEEP"),"")</f>
        <v/>
      </c>
      <c r="H1051">
        <f>IF(D1051="REMOVE",COUNTIF($D$2:D1051,"REMOVE"),"")</f>
        <v/>
      </c>
      <c r="I1051">
        <f>IF(E1051="Gmail",COUNTIF($E$2:E1051,"Gmail"),"")</f>
        <v/>
      </c>
      <c r="J1051">
        <f>IF(E1051="Outlook",COUNTIF($E$2:E1051,"Outlook"),"")</f>
        <v/>
      </c>
      <c r="K1051">
        <f>IF(E1051="Domain",COUNTIF($E$2:E1051,"Domain"),"")</f>
        <v/>
      </c>
    </row>
    <row r="1052">
      <c r="A1052" s="2" t="n"/>
      <c r="B1052">
        <f>LOWER(TRIM(A1052))</f>
        <v/>
      </c>
      <c r="C1052">
        <f>IF(B1052="","",IFERROR(INDEX('Bad Patterns'!$A$2:$A$120,MATCH(1,INDEX(--ISNUMBER(SEARCH('Bad Patterns'!$A$2:$A$120,B1052)),0),0)),""))</f>
        <v/>
      </c>
      <c r="D1052">
        <f>IF(B1052="","",IF(C1052&lt;&gt;"","REMOVE","KEEP"))</f>
        <v/>
      </c>
      <c r="E1052">
        <f>IF(D1052&lt;&gt;"KEEP","",IF(RIGHT(B1052,10)="@gmail.com","Gmail",IF(OR(RIGHT(B1052,12)="@outlook.com",RIGHT(B1052,12)="@hotmail.com",RIGHT(B1052,9)="@live.com"),"Outlook","Domain")))</f>
        <v/>
      </c>
      <c r="F1052">
        <f>IF(B1052="","",IFERROR(RIGHT(B1052,LEN(B1052)-FIND("@",B1052)),""))</f>
        <v/>
      </c>
      <c r="G1052">
        <f>IF(D1052="KEEP",COUNTIF($D$2:D1052,"KEEP"),"")</f>
        <v/>
      </c>
      <c r="H1052">
        <f>IF(D1052="REMOVE",COUNTIF($D$2:D1052,"REMOVE"),"")</f>
        <v/>
      </c>
      <c r="I1052">
        <f>IF(E1052="Gmail",COUNTIF($E$2:E1052,"Gmail"),"")</f>
        <v/>
      </c>
      <c r="J1052">
        <f>IF(E1052="Outlook",COUNTIF($E$2:E1052,"Outlook"),"")</f>
        <v/>
      </c>
      <c r="K1052">
        <f>IF(E1052="Domain",COUNTIF($E$2:E1052,"Domain"),"")</f>
        <v/>
      </c>
    </row>
    <row r="1053">
      <c r="A1053" s="2" t="n"/>
      <c r="B1053">
        <f>LOWER(TRIM(A1053))</f>
        <v/>
      </c>
      <c r="C1053">
        <f>IF(B1053="","",IFERROR(INDEX('Bad Patterns'!$A$2:$A$120,MATCH(1,INDEX(--ISNUMBER(SEARCH('Bad Patterns'!$A$2:$A$120,B1053)),0),0)),""))</f>
        <v/>
      </c>
      <c r="D1053">
        <f>IF(B1053="","",IF(C1053&lt;&gt;"","REMOVE","KEEP"))</f>
        <v/>
      </c>
      <c r="E1053">
        <f>IF(D1053&lt;&gt;"KEEP","",IF(RIGHT(B1053,10)="@gmail.com","Gmail",IF(OR(RIGHT(B1053,12)="@outlook.com",RIGHT(B1053,12)="@hotmail.com",RIGHT(B1053,9)="@live.com"),"Outlook","Domain")))</f>
        <v/>
      </c>
      <c r="F1053">
        <f>IF(B1053="","",IFERROR(RIGHT(B1053,LEN(B1053)-FIND("@",B1053)),""))</f>
        <v/>
      </c>
      <c r="G1053">
        <f>IF(D1053="KEEP",COUNTIF($D$2:D1053,"KEEP"),"")</f>
        <v/>
      </c>
      <c r="H1053">
        <f>IF(D1053="REMOVE",COUNTIF($D$2:D1053,"REMOVE"),"")</f>
        <v/>
      </c>
      <c r="I1053">
        <f>IF(E1053="Gmail",COUNTIF($E$2:E1053,"Gmail"),"")</f>
        <v/>
      </c>
      <c r="J1053">
        <f>IF(E1053="Outlook",COUNTIF($E$2:E1053,"Outlook"),"")</f>
        <v/>
      </c>
      <c r="K1053">
        <f>IF(E1053="Domain",COUNTIF($E$2:E1053,"Domain"),"")</f>
        <v/>
      </c>
    </row>
    <row r="1054">
      <c r="A1054" s="2" t="n"/>
      <c r="B1054">
        <f>LOWER(TRIM(A1054))</f>
        <v/>
      </c>
      <c r="C1054">
        <f>IF(B1054="","",IFERROR(INDEX('Bad Patterns'!$A$2:$A$120,MATCH(1,INDEX(--ISNUMBER(SEARCH('Bad Patterns'!$A$2:$A$120,B1054)),0),0)),""))</f>
        <v/>
      </c>
      <c r="D1054">
        <f>IF(B1054="","",IF(C1054&lt;&gt;"","REMOVE","KEEP"))</f>
        <v/>
      </c>
      <c r="E1054">
        <f>IF(D1054&lt;&gt;"KEEP","",IF(RIGHT(B1054,10)="@gmail.com","Gmail",IF(OR(RIGHT(B1054,12)="@outlook.com",RIGHT(B1054,12)="@hotmail.com",RIGHT(B1054,9)="@live.com"),"Outlook","Domain")))</f>
        <v/>
      </c>
      <c r="F1054">
        <f>IF(B1054="","",IFERROR(RIGHT(B1054,LEN(B1054)-FIND("@",B1054)),""))</f>
        <v/>
      </c>
      <c r="G1054">
        <f>IF(D1054="KEEP",COUNTIF($D$2:D1054,"KEEP"),"")</f>
        <v/>
      </c>
      <c r="H1054">
        <f>IF(D1054="REMOVE",COUNTIF($D$2:D1054,"REMOVE"),"")</f>
        <v/>
      </c>
      <c r="I1054">
        <f>IF(E1054="Gmail",COUNTIF($E$2:E1054,"Gmail"),"")</f>
        <v/>
      </c>
      <c r="J1054">
        <f>IF(E1054="Outlook",COUNTIF($E$2:E1054,"Outlook"),"")</f>
        <v/>
      </c>
      <c r="K1054">
        <f>IF(E1054="Domain",COUNTIF($E$2:E1054,"Domain"),"")</f>
        <v/>
      </c>
    </row>
    <row r="1055">
      <c r="A1055" s="2" t="n"/>
      <c r="B1055">
        <f>LOWER(TRIM(A1055))</f>
        <v/>
      </c>
      <c r="C1055">
        <f>IF(B1055="","",IFERROR(INDEX('Bad Patterns'!$A$2:$A$120,MATCH(1,INDEX(--ISNUMBER(SEARCH('Bad Patterns'!$A$2:$A$120,B1055)),0),0)),""))</f>
        <v/>
      </c>
      <c r="D1055">
        <f>IF(B1055="","",IF(C1055&lt;&gt;"","REMOVE","KEEP"))</f>
        <v/>
      </c>
      <c r="E1055">
        <f>IF(D1055&lt;&gt;"KEEP","",IF(RIGHT(B1055,10)="@gmail.com","Gmail",IF(OR(RIGHT(B1055,12)="@outlook.com",RIGHT(B1055,12)="@hotmail.com",RIGHT(B1055,9)="@live.com"),"Outlook","Domain")))</f>
        <v/>
      </c>
      <c r="F1055">
        <f>IF(B1055="","",IFERROR(RIGHT(B1055,LEN(B1055)-FIND("@",B1055)),""))</f>
        <v/>
      </c>
      <c r="G1055">
        <f>IF(D1055="KEEP",COUNTIF($D$2:D1055,"KEEP"),"")</f>
        <v/>
      </c>
      <c r="H1055">
        <f>IF(D1055="REMOVE",COUNTIF($D$2:D1055,"REMOVE"),"")</f>
        <v/>
      </c>
      <c r="I1055">
        <f>IF(E1055="Gmail",COUNTIF($E$2:E1055,"Gmail"),"")</f>
        <v/>
      </c>
      <c r="J1055">
        <f>IF(E1055="Outlook",COUNTIF($E$2:E1055,"Outlook"),"")</f>
        <v/>
      </c>
      <c r="K1055">
        <f>IF(E1055="Domain",COUNTIF($E$2:E1055,"Domain"),"")</f>
        <v/>
      </c>
    </row>
    <row r="1056">
      <c r="A1056" s="2" t="n"/>
      <c r="B1056">
        <f>LOWER(TRIM(A1056))</f>
        <v/>
      </c>
      <c r="C1056">
        <f>IF(B1056="","",IFERROR(INDEX('Bad Patterns'!$A$2:$A$120,MATCH(1,INDEX(--ISNUMBER(SEARCH('Bad Patterns'!$A$2:$A$120,B1056)),0),0)),""))</f>
        <v/>
      </c>
      <c r="D1056">
        <f>IF(B1056="","",IF(C1056&lt;&gt;"","REMOVE","KEEP"))</f>
        <v/>
      </c>
      <c r="E1056">
        <f>IF(D1056&lt;&gt;"KEEP","",IF(RIGHT(B1056,10)="@gmail.com","Gmail",IF(OR(RIGHT(B1056,12)="@outlook.com",RIGHT(B1056,12)="@hotmail.com",RIGHT(B1056,9)="@live.com"),"Outlook","Domain")))</f>
        <v/>
      </c>
      <c r="F1056">
        <f>IF(B1056="","",IFERROR(RIGHT(B1056,LEN(B1056)-FIND("@",B1056)),""))</f>
        <v/>
      </c>
      <c r="G1056">
        <f>IF(D1056="KEEP",COUNTIF($D$2:D1056,"KEEP"),"")</f>
        <v/>
      </c>
      <c r="H1056">
        <f>IF(D1056="REMOVE",COUNTIF($D$2:D1056,"REMOVE"),"")</f>
        <v/>
      </c>
      <c r="I1056">
        <f>IF(E1056="Gmail",COUNTIF($E$2:E1056,"Gmail"),"")</f>
        <v/>
      </c>
      <c r="J1056">
        <f>IF(E1056="Outlook",COUNTIF($E$2:E1056,"Outlook"),"")</f>
        <v/>
      </c>
      <c r="K1056">
        <f>IF(E1056="Domain",COUNTIF($E$2:E1056,"Domain"),"")</f>
        <v/>
      </c>
    </row>
    <row r="1057">
      <c r="A1057" s="2" t="n"/>
      <c r="B1057">
        <f>LOWER(TRIM(A1057))</f>
        <v/>
      </c>
      <c r="C1057">
        <f>IF(B1057="","",IFERROR(INDEX('Bad Patterns'!$A$2:$A$120,MATCH(1,INDEX(--ISNUMBER(SEARCH('Bad Patterns'!$A$2:$A$120,B1057)),0),0)),""))</f>
        <v/>
      </c>
      <c r="D1057">
        <f>IF(B1057="","",IF(C1057&lt;&gt;"","REMOVE","KEEP"))</f>
        <v/>
      </c>
      <c r="E1057">
        <f>IF(D1057&lt;&gt;"KEEP","",IF(RIGHT(B1057,10)="@gmail.com","Gmail",IF(OR(RIGHT(B1057,12)="@outlook.com",RIGHT(B1057,12)="@hotmail.com",RIGHT(B1057,9)="@live.com"),"Outlook","Domain")))</f>
        <v/>
      </c>
      <c r="F1057">
        <f>IF(B1057="","",IFERROR(RIGHT(B1057,LEN(B1057)-FIND("@",B1057)),""))</f>
        <v/>
      </c>
      <c r="G1057">
        <f>IF(D1057="KEEP",COUNTIF($D$2:D1057,"KEEP"),"")</f>
        <v/>
      </c>
      <c r="H1057">
        <f>IF(D1057="REMOVE",COUNTIF($D$2:D1057,"REMOVE"),"")</f>
        <v/>
      </c>
      <c r="I1057">
        <f>IF(E1057="Gmail",COUNTIF($E$2:E1057,"Gmail"),"")</f>
        <v/>
      </c>
      <c r="J1057">
        <f>IF(E1057="Outlook",COUNTIF($E$2:E1057,"Outlook"),"")</f>
        <v/>
      </c>
      <c r="K1057">
        <f>IF(E1057="Domain",COUNTIF($E$2:E1057,"Domain"),"")</f>
        <v/>
      </c>
    </row>
    <row r="1058">
      <c r="A1058" s="2" t="n"/>
      <c r="B1058">
        <f>LOWER(TRIM(A1058))</f>
        <v/>
      </c>
      <c r="C1058">
        <f>IF(B1058="","",IFERROR(INDEX('Bad Patterns'!$A$2:$A$120,MATCH(1,INDEX(--ISNUMBER(SEARCH('Bad Patterns'!$A$2:$A$120,B1058)),0),0)),""))</f>
        <v/>
      </c>
      <c r="D1058">
        <f>IF(B1058="","",IF(C1058&lt;&gt;"","REMOVE","KEEP"))</f>
        <v/>
      </c>
      <c r="E1058">
        <f>IF(D1058&lt;&gt;"KEEP","",IF(RIGHT(B1058,10)="@gmail.com","Gmail",IF(OR(RIGHT(B1058,12)="@outlook.com",RIGHT(B1058,12)="@hotmail.com",RIGHT(B1058,9)="@live.com"),"Outlook","Domain")))</f>
        <v/>
      </c>
      <c r="F1058">
        <f>IF(B1058="","",IFERROR(RIGHT(B1058,LEN(B1058)-FIND("@",B1058)),""))</f>
        <v/>
      </c>
      <c r="G1058">
        <f>IF(D1058="KEEP",COUNTIF($D$2:D1058,"KEEP"),"")</f>
        <v/>
      </c>
      <c r="H1058">
        <f>IF(D1058="REMOVE",COUNTIF($D$2:D1058,"REMOVE"),"")</f>
        <v/>
      </c>
      <c r="I1058">
        <f>IF(E1058="Gmail",COUNTIF($E$2:E1058,"Gmail"),"")</f>
        <v/>
      </c>
      <c r="J1058">
        <f>IF(E1058="Outlook",COUNTIF($E$2:E1058,"Outlook"),"")</f>
        <v/>
      </c>
      <c r="K1058">
        <f>IF(E1058="Domain",COUNTIF($E$2:E1058,"Domain"),"")</f>
        <v/>
      </c>
    </row>
    <row r="1059">
      <c r="A1059" s="2" t="n"/>
      <c r="B1059">
        <f>LOWER(TRIM(A1059))</f>
        <v/>
      </c>
      <c r="C1059">
        <f>IF(B1059="","",IFERROR(INDEX('Bad Patterns'!$A$2:$A$120,MATCH(1,INDEX(--ISNUMBER(SEARCH('Bad Patterns'!$A$2:$A$120,B1059)),0),0)),""))</f>
        <v/>
      </c>
      <c r="D1059">
        <f>IF(B1059="","",IF(C1059&lt;&gt;"","REMOVE","KEEP"))</f>
        <v/>
      </c>
      <c r="E1059">
        <f>IF(D1059&lt;&gt;"KEEP","",IF(RIGHT(B1059,10)="@gmail.com","Gmail",IF(OR(RIGHT(B1059,12)="@outlook.com",RIGHT(B1059,12)="@hotmail.com",RIGHT(B1059,9)="@live.com"),"Outlook","Domain")))</f>
        <v/>
      </c>
      <c r="F1059">
        <f>IF(B1059="","",IFERROR(RIGHT(B1059,LEN(B1059)-FIND("@",B1059)),""))</f>
        <v/>
      </c>
      <c r="G1059">
        <f>IF(D1059="KEEP",COUNTIF($D$2:D1059,"KEEP"),"")</f>
        <v/>
      </c>
      <c r="H1059">
        <f>IF(D1059="REMOVE",COUNTIF($D$2:D1059,"REMOVE"),"")</f>
        <v/>
      </c>
      <c r="I1059">
        <f>IF(E1059="Gmail",COUNTIF($E$2:E1059,"Gmail"),"")</f>
        <v/>
      </c>
      <c r="J1059">
        <f>IF(E1059="Outlook",COUNTIF($E$2:E1059,"Outlook"),"")</f>
        <v/>
      </c>
      <c r="K1059">
        <f>IF(E1059="Domain",COUNTIF($E$2:E1059,"Domain"),"")</f>
        <v/>
      </c>
    </row>
    <row r="1060">
      <c r="A1060" s="2" t="n"/>
      <c r="B1060">
        <f>LOWER(TRIM(A1060))</f>
        <v/>
      </c>
      <c r="C1060">
        <f>IF(B1060="","",IFERROR(INDEX('Bad Patterns'!$A$2:$A$120,MATCH(1,INDEX(--ISNUMBER(SEARCH('Bad Patterns'!$A$2:$A$120,B1060)),0),0)),""))</f>
        <v/>
      </c>
      <c r="D1060">
        <f>IF(B1060="","",IF(C1060&lt;&gt;"","REMOVE","KEEP"))</f>
        <v/>
      </c>
      <c r="E1060">
        <f>IF(D1060&lt;&gt;"KEEP","",IF(RIGHT(B1060,10)="@gmail.com","Gmail",IF(OR(RIGHT(B1060,12)="@outlook.com",RIGHT(B1060,12)="@hotmail.com",RIGHT(B1060,9)="@live.com"),"Outlook","Domain")))</f>
        <v/>
      </c>
      <c r="F1060">
        <f>IF(B1060="","",IFERROR(RIGHT(B1060,LEN(B1060)-FIND("@",B1060)),""))</f>
        <v/>
      </c>
      <c r="G1060">
        <f>IF(D1060="KEEP",COUNTIF($D$2:D1060,"KEEP"),"")</f>
        <v/>
      </c>
      <c r="H1060">
        <f>IF(D1060="REMOVE",COUNTIF($D$2:D1060,"REMOVE"),"")</f>
        <v/>
      </c>
      <c r="I1060">
        <f>IF(E1060="Gmail",COUNTIF($E$2:E1060,"Gmail"),"")</f>
        <v/>
      </c>
      <c r="J1060">
        <f>IF(E1060="Outlook",COUNTIF($E$2:E1060,"Outlook"),"")</f>
        <v/>
      </c>
      <c r="K1060">
        <f>IF(E1060="Domain",COUNTIF($E$2:E1060,"Domain"),"")</f>
        <v/>
      </c>
    </row>
    <row r="1061">
      <c r="A1061" s="2" t="n"/>
      <c r="B1061">
        <f>LOWER(TRIM(A1061))</f>
        <v/>
      </c>
      <c r="C1061">
        <f>IF(B1061="","",IFERROR(INDEX('Bad Patterns'!$A$2:$A$120,MATCH(1,INDEX(--ISNUMBER(SEARCH('Bad Patterns'!$A$2:$A$120,B1061)),0),0)),""))</f>
        <v/>
      </c>
      <c r="D1061">
        <f>IF(B1061="","",IF(C1061&lt;&gt;"","REMOVE","KEEP"))</f>
        <v/>
      </c>
      <c r="E1061">
        <f>IF(D1061&lt;&gt;"KEEP","",IF(RIGHT(B1061,10)="@gmail.com","Gmail",IF(OR(RIGHT(B1061,12)="@outlook.com",RIGHT(B1061,12)="@hotmail.com",RIGHT(B1061,9)="@live.com"),"Outlook","Domain")))</f>
        <v/>
      </c>
      <c r="F1061">
        <f>IF(B1061="","",IFERROR(RIGHT(B1061,LEN(B1061)-FIND("@",B1061)),""))</f>
        <v/>
      </c>
      <c r="G1061">
        <f>IF(D1061="KEEP",COUNTIF($D$2:D1061,"KEEP"),"")</f>
        <v/>
      </c>
      <c r="H1061">
        <f>IF(D1061="REMOVE",COUNTIF($D$2:D1061,"REMOVE"),"")</f>
        <v/>
      </c>
      <c r="I1061">
        <f>IF(E1061="Gmail",COUNTIF($E$2:E1061,"Gmail"),"")</f>
        <v/>
      </c>
      <c r="J1061">
        <f>IF(E1061="Outlook",COUNTIF($E$2:E1061,"Outlook"),"")</f>
        <v/>
      </c>
      <c r="K1061">
        <f>IF(E1061="Domain",COUNTIF($E$2:E1061,"Domain"),"")</f>
        <v/>
      </c>
    </row>
    <row r="1062">
      <c r="A1062" s="2" t="n"/>
      <c r="B1062">
        <f>LOWER(TRIM(A1062))</f>
        <v/>
      </c>
      <c r="C1062">
        <f>IF(B1062="","",IFERROR(INDEX('Bad Patterns'!$A$2:$A$120,MATCH(1,INDEX(--ISNUMBER(SEARCH('Bad Patterns'!$A$2:$A$120,B1062)),0),0)),""))</f>
        <v/>
      </c>
      <c r="D1062">
        <f>IF(B1062="","",IF(C1062&lt;&gt;"","REMOVE","KEEP"))</f>
        <v/>
      </c>
      <c r="E1062">
        <f>IF(D1062&lt;&gt;"KEEP","",IF(RIGHT(B1062,10)="@gmail.com","Gmail",IF(OR(RIGHT(B1062,12)="@outlook.com",RIGHT(B1062,12)="@hotmail.com",RIGHT(B1062,9)="@live.com"),"Outlook","Domain")))</f>
        <v/>
      </c>
      <c r="F1062">
        <f>IF(B1062="","",IFERROR(RIGHT(B1062,LEN(B1062)-FIND("@",B1062)),""))</f>
        <v/>
      </c>
      <c r="G1062">
        <f>IF(D1062="KEEP",COUNTIF($D$2:D1062,"KEEP"),"")</f>
        <v/>
      </c>
      <c r="H1062">
        <f>IF(D1062="REMOVE",COUNTIF($D$2:D1062,"REMOVE"),"")</f>
        <v/>
      </c>
      <c r="I1062">
        <f>IF(E1062="Gmail",COUNTIF($E$2:E1062,"Gmail"),"")</f>
        <v/>
      </c>
      <c r="J1062">
        <f>IF(E1062="Outlook",COUNTIF($E$2:E1062,"Outlook"),"")</f>
        <v/>
      </c>
      <c r="K1062">
        <f>IF(E1062="Domain",COUNTIF($E$2:E1062,"Domain"),"")</f>
        <v/>
      </c>
    </row>
    <row r="1063">
      <c r="A1063" s="2" t="n"/>
      <c r="B1063">
        <f>LOWER(TRIM(A1063))</f>
        <v/>
      </c>
      <c r="C1063">
        <f>IF(B1063="","",IFERROR(INDEX('Bad Patterns'!$A$2:$A$120,MATCH(1,INDEX(--ISNUMBER(SEARCH('Bad Patterns'!$A$2:$A$120,B1063)),0),0)),""))</f>
        <v/>
      </c>
      <c r="D1063">
        <f>IF(B1063="","",IF(C1063&lt;&gt;"","REMOVE","KEEP"))</f>
        <v/>
      </c>
      <c r="E1063">
        <f>IF(D1063&lt;&gt;"KEEP","",IF(RIGHT(B1063,10)="@gmail.com","Gmail",IF(OR(RIGHT(B1063,12)="@outlook.com",RIGHT(B1063,12)="@hotmail.com",RIGHT(B1063,9)="@live.com"),"Outlook","Domain")))</f>
        <v/>
      </c>
      <c r="F1063">
        <f>IF(B1063="","",IFERROR(RIGHT(B1063,LEN(B1063)-FIND("@",B1063)),""))</f>
        <v/>
      </c>
      <c r="G1063">
        <f>IF(D1063="KEEP",COUNTIF($D$2:D1063,"KEEP"),"")</f>
        <v/>
      </c>
      <c r="H1063">
        <f>IF(D1063="REMOVE",COUNTIF($D$2:D1063,"REMOVE"),"")</f>
        <v/>
      </c>
      <c r="I1063">
        <f>IF(E1063="Gmail",COUNTIF($E$2:E1063,"Gmail"),"")</f>
        <v/>
      </c>
      <c r="J1063">
        <f>IF(E1063="Outlook",COUNTIF($E$2:E1063,"Outlook"),"")</f>
        <v/>
      </c>
      <c r="K1063">
        <f>IF(E1063="Domain",COUNTIF($E$2:E1063,"Domain"),"")</f>
        <v/>
      </c>
    </row>
    <row r="1064">
      <c r="A1064" s="2" t="n"/>
      <c r="B1064">
        <f>LOWER(TRIM(A1064))</f>
        <v/>
      </c>
      <c r="C1064">
        <f>IF(B1064="","",IFERROR(INDEX('Bad Patterns'!$A$2:$A$120,MATCH(1,INDEX(--ISNUMBER(SEARCH('Bad Patterns'!$A$2:$A$120,B1064)),0),0)),""))</f>
        <v/>
      </c>
      <c r="D1064">
        <f>IF(B1064="","",IF(C1064&lt;&gt;"","REMOVE","KEEP"))</f>
        <v/>
      </c>
      <c r="E1064">
        <f>IF(D1064&lt;&gt;"KEEP","",IF(RIGHT(B1064,10)="@gmail.com","Gmail",IF(OR(RIGHT(B1064,12)="@outlook.com",RIGHT(B1064,12)="@hotmail.com",RIGHT(B1064,9)="@live.com"),"Outlook","Domain")))</f>
        <v/>
      </c>
      <c r="F1064">
        <f>IF(B1064="","",IFERROR(RIGHT(B1064,LEN(B1064)-FIND("@",B1064)),""))</f>
        <v/>
      </c>
      <c r="G1064">
        <f>IF(D1064="KEEP",COUNTIF($D$2:D1064,"KEEP"),"")</f>
        <v/>
      </c>
      <c r="H1064">
        <f>IF(D1064="REMOVE",COUNTIF($D$2:D1064,"REMOVE"),"")</f>
        <v/>
      </c>
      <c r="I1064">
        <f>IF(E1064="Gmail",COUNTIF($E$2:E1064,"Gmail"),"")</f>
        <v/>
      </c>
      <c r="J1064">
        <f>IF(E1064="Outlook",COUNTIF($E$2:E1064,"Outlook"),"")</f>
        <v/>
      </c>
      <c r="K1064">
        <f>IF(E1064="Domain",COUNTIF($E$2:E1064,"Domain"),"")</f>
        <v/>
      </c>
    </row>
    <row r="1065">
      <c r="A1065" s="2" t="n"/>
      <c r="B1065">
        <f>LOWER(TRIM(A1065))</f>
        <v/>
      </c>
      <c r="C1065">
        <f>IF(B1065="","",IFERROR(INDEX('Bad Patterns'!$A$2:$A$120,MATCH(1,INDEX(--ISNUMBER(SEARCH('Bad Patterns'!$A$2:$A$120,B1065)),0),0)),""))</f>
        <v/>
      </c>
      <c r="D1065">
        <f>IF(B1065="","",IF(C1065&lt;&gt;"","REMOVE","KEEP"))</f>
        <v/>
      </c>
      <c r="E1065">
        <f>IF(D1065&lt;&gt;"KEEP","",IF(RIGHT(B1065,10)="@gmail.com","Gmail",IF(OR(RIGHT(B1065,12)="@outlook.com",RIGHT(B1065,12)="@hotmail.com",RIGHT(B1065,9)="@live.com"),"Outlook","Domain")))</f>
        <v/>
      </c>
      <c r="F1065">
        <f>IF(B1065="","",IFERROR(RIGHT(B1065,LEN(B1065)-FIND("@",B1065)),""))</f>
        <v/>
      </c>
      <c r="G1065">
        <f>IF(D1065="KEEP",COUNTIF($D$2:D1065,"KEEP"),"")</f>
        <v/>
      </c>
      <c r="H1065">
        <f>IF(D1065="REMOVE",COUNTIF($D$2:D1065,"REMOVE"),"")</f>
        <v/>
      </c>
      <c r="I1065">
        <f>IF(E1065="Gmail",COUNTIF($E$2:E1065,"Gmail"),"")</f>
        <v/>
      </c>
      <c r="J1065">
        <f>IF(E1065="Outlook",COUNTIF($E$2:E1065,"Outlook"),"")</f>
        <v/>
      </c>
      <c r="K1065">
        <f>IF(E1065="Domain",COUNTIF($E$2:E1065,"Domain"),"")</f>
        <v/>
      </c>
    </row>
    <row r="1066">
      <c r="A1066" s="2" t="n"/>
      <c r="B1066">
        <f>LOWER(TRIM(A1066))</f>
        <v/>
      </c>
      <c r="C1066">
        <f>IF(B1066="","",IFERROR(INDEX('Bad Patterns'!$A$2:$A$120,MATCH(1,INDEX(--ISNUMBER(SEARCH('Bad Patterns'!$A$2:$A$120,B1066)),0),0)),""))</f>
        <v/>
      </c>
      <c r="D1066">
        <f>IF(B1066="","",IF(C1066&lt;&gt;"","REMOVE","KEEP"))</f>
        <v/>
      </c>
      <c r="E1066">
        <f>IF(D1066&lt;&gt;"KEEP","",IF(RIGHT(B1066,10)="@gmail.com","Gmail",IF(OR(RIGHT(B1066,12)="@outlook.com",RIGHT(B1066,12)="@hotmail.com",RIGHT(B1066,9)="@live.com"),"Outlook","Domain")))</f>
        <v/>
      </c>
      <c r="F1066">
        <f>IF(B1066="","",IFERROR(RIGHT(B1066,LEN(B1066)-FIND("@",B1066)),""))</f>
        <v/>
      </c>
      <c r="G1066">
        <f>IF(D1066="KEEP",COUNTIF($D$2:D1066,"KEEP"),"")</f>
        <v/>
      </c>
      <c r="H1066">
        <f>IF(D1066="REMOVE",COUNTIF($D$2:D1066,"REMOVE"),"")</f>
        <v/>
      </c>
      <c r="I1066">
        <f>IF(E1066="Gmail",COUNTIF($E$2:E1066,"Gmail"),"")</f>
        <v/>
      </c>
      <c r="J1066">
        <f>IF(E1066="Outlook",COUNTIF($E$2:E1066,"Outlook"),"")</f>
        <v/>
      </c>
      <c r="K1066">
        <f>IF(E1066="Domain",COUNTIF($E$2:E1066,"Domain"),"")</f>
        <v/>
      </c>
    </row>
    <row r="1067">
      <c r="A1067" s="2" t="n"/>
      <c r="B1067">
        <f>LOWER(TRIM(A1067))</f>
        <v/>
      </c>
      <c r="C1067">
        <f>IF(B1067="","",IFERROR(INDEX('Bad Patterns'!$A$2:$A$120,MATCH(1,INDEX(--ISNUMBER(SEARCH('Bad Patterns'!$A$2:$A$120,B1067)),0),0)),""))</f>
        <v/>
      </c>
      <c r="D1067">
        <f>IF(B1067="","",IF(C1067&lt;&gt;"","REMOVE","KEEP"))</f>
        <v/>
      </c>
      <c r="E1067">
        <f>IF(D1067&lt;&gt;"KEEP","",IF(RIGHT(B1067,10)="@gmail.com","Gmail",IF(OR(RIGHT(B1067,12)="@outlook.com",RIGHT(B1067,12)="@hotmail.com",RIGHT(B1067,9)="@live.com"),"Outlook","Domain")))</f>
        <v/>
      </c>
      <c r="F1067">
        <f>IF(B1067="","",IFERROR(RIGHT(B1067,LEN(B1067)-FIND("@",B1067)),""))</f>
        <v/>
      </c>
      <c r="G1067">
        <f>IF(D1067="KEEP",COUNTIF($D$2:D1067,"KEEP"),"")</f>
        <v/>
      </c>
      <c r="H1067">
        <f>IF(D1067="REMOVE",COUNTIF($D$2:D1067,"REMOVE"),"")</f>
        <v/>
      </c>
      <c r="I1067">
        <f>IF(E1067="Gmail",COUNTIF($E$2:E1067,"Gmail"),"")</f>
        <v/>
      </c>
      <c r="J1067">
        <f>IF(E1067="Outlook",COUNTIF($E$2:E1067,"Outlook"),"")</f>
        <v/>
      </c>
      <c r="K1067">
        <f>IF(E1067="Domain",COUNTIF($E$2:E1067,"Domain"),"")</f>
        <v/>
      </c>
    </row>
    <row r="1068">
      <c r="A1068" s="2" t="n"/>
      <c r="B1068">
        <f>LOWER(TRIM(A1068))</f>
        <v/>
      </c>
      <c r="C1068">
        <f>IF(B1068="","",IFERROR(INDEX('Bad Patterns'!$A$2:$A$120,MATCH(1,INDEX(--ISNUMBER(SEARCH('Bad Patterns'!$A$2:$A$120,B1068)),0),0)),""))</f>
        <v/>
      </c>
      <c r="D1068">
        <f>IF(B1068="","",IF(C1068&lt;&gt;"","REMOVE","KEEP"))</f>
        <v/>
      </c>
      <c r="E1068">
        <f>IF(D1068&lt;&gt;"KEEP","",IF(RIGHT(B1068,10)="@gmail.com","Gmail",IF(OR(RIGHT(B1068,12)="@outlook.com",RIGHT(B1068,12)="@hotmail.com",RIGHT(B1068,9)="@live.com"),"Outlook","Domain")))</f>
        <v/>
      </c>
      <c r="F1068">
        <f>IF(B1068="","",IFERROR(RIGHT(B1068,LEN(B1068)-FIND("@",B1068)),""))</f>
        <v/>
      </c>
      <c r="G1068">
        <f>IF(D1068="KEEP",COUNTIF($D$2:D1068,"KEEP"),"")</f>
        <v/>
      </c>
      <c r="H1068">
        <f>IF(D1068="REMOVE",COUNTIF($D$2:D1068,"REMOVE"),"")</f>
        <v/>
      </c>
      <c r="I1068">
        <f>IF(E1068="Gmail",COUNTIF($E$2:E1068,"Gmail"),"")</f>
        <v/>
      </c>
      <c r="J1068">
        <f>IF(E1068="Outlook",COUNTIF($E$2:E1068,"Outlook"),"")</f>
        <v/>
      </c>
      <c r="K1068">
        <f>IF(E1068="Domain",COUNTIF($E$2:E1068,"Domain"),"")</f>
        <v/>
      </c>
    </row>
    <row r="1069">
      <c r="A1069" s="2" t="n"/>
      <c r="B1069">
        <f>LOWER(TRIM(A1069))</f>
        <v/>
      </c>
      <c r="C1069">
        <f>IF(B1069="","",IFERROR(INDEX('Bad Patterns'!$A$2:$A$120,MATCH(1,INDEX(--ISNUMBER(SEARCH('Bad Patterns'!$A$2:$A$120,B1069)),0),0)),""))</f>
        <v/>
      </c>
      <c r="D1069">
        <f>IF(B1069="","",IF(C1069&lt;&gt;"","REMOVE","KEEP"))</f>
        <v/>
      </c>
      <c r="E1069">
        <f>IF(D1069&lt;&gt;"KEEP","",IF(RIGHT(B1069,10)="@gmail.com","Gmail",IF(OR(RIGHT(B1069,12)="@outlook.com",RIGHT(B1069,12)="@hotmail.com",RIGHT(B1069,9)="@live.com"),"Outlook","Domain")))</f>
        <v/>
      </c>
      <c r="F1069">
        <f>IF(B1069="","",IFERROR(RIGHT(B1069,LEN(B1069)-FIND("@",B1069)),""))</f>
        <v/>
      </c>
      <c r="G1069">
        <f>IF(D1069="KEEP",COUNTIF($D$2:D1069,"KEEP"),"")</f>
        <v/>
      </c>
      <c r="H1069">
        <f>IF(D1069="REMOVE",COUNTIF($D$2:D1069,"REMOVE"),"")</f>
        <v/>
      </c>
      <c r="I1069">
        <f>IF(E1069="Gmail",COUNTIF($E$2:E1069,"Gmail"),"")</f>
        <v/>
      </c>
      <c r="J1069">
        <f>IF(E1069="Outlook",COUNTIF($E$2:E1069,"Outlook"),"")</f>
        <v/>
      </c>
      <c r="K1069">
        <f>IF(E1069="Domain",COUNTIF($E$2:E1069,"Domain"),"")</f>
        <v/>
      </c>
    </row>
    <row r="1070">
      <c r="A1070" s="2" t="n"/>
      <c r="B1070">
        <f>LOWER(TRIM(A1070))</f>
        <v/>
      </c>
      <c r="C1070">
        <f>IF(B1070="","",IFERROR(INDEX('Bad Patterns'!$A$2:$A$120,MATCH(1,INDEX(--ISNUMBER(SEARCH('Bad Patterns'!$A$2:$A$120,B1070)),0),0)),""))</f>
        <v/>
      </c>
      <c r="D1070">
        <f>IF(B1070="","",IF(C1070&lt;&gt;"","REMOVE","KEEP"))</f>
        <v/>
      </c>
      <c r="E1070">
        <f>IF(D1070&lt;&gt;"KEEP","",IF(RIGHT(B1070,10)="@gmail.com","Gmail",IF(OR(RIGHT(B1070,12)="@outlook.com",RIGHT(B1070,12)="@hotmail.com",RIGHT(B1070,9)="@live.com"),"Outlook","Domain")))</f>
        <v/>
      </c>
      <c r="F1070">
        <f>IF(B1070="","",IFERROR(RIGHT(B1070,LEN(B1070)-FIND("@",B1070)),""))</f>
        <v/>
      </c>
      <c r="G1070">
        <f>IF(D1070="KEEP",COUNTIF($D$2:D1070,"KEEP"),"")</f>
        <v/>
      </c>
      <c r="H1070">
        <f>IF(D1070="REMOVE",COUNTIF($D$2:D1070,"REMOVE"),"")</f>
        <v/>
      </c>
      <c r="I1070">
        <f>IF(E1070="Gmail",COUNTIF($E$2:E1070,"Gmail"),"")</f>
        <v/>
      </c>
      <c r="J1070">
        <f>IF(E1070="Outlook",COUNTIF($E$2:E1070,"Outlook"),"")</f>
        <v/>
      </c>
      <c r="K1070">
        <f>IF(E1070="Domain",COUNTIF($E$2:E1070,"Domain"),"")</f>
        <v/>
      </c>
    </row>
    <row r="1071">
      <c r="A1071" s="2" t="n"/>
      <c r="B1071">
        <f>LOWER(TRIM(A1071))</f>
        <v/>
      </c>
      <c r="C1071">
        <f>IF(B1071="","",IFERROR(INDEX('Bad Patterns'!$A$2:$A$120,MATCH(1,INDEX(--ISNUMBER(SEARCH('Bad Patterns'!$A$2:$A$120,B1071)),0),0)),""))</f>
        <v/>
      </c>
      <c r="D1071">
        <f>IF(B1071="","",IF(C1071&lt;&gt;"","REMOVE","KEEP"))</f>
        <v/>
      </c>
      <c r="E1071">
        <f>IF(D1071&lt;&gt;"KEEP","",IF(RIGHT(B1071,10)="@gmail.com","Gmail",IF(OR(RIGHT(B1071,12)="@outlook.com",RIGHT(B1071,12)="@hotmail.com",RIGHT(B1071,9)="@live.com"),"Outlook","Domain")))</f>
        <v/>
      </c>
      <c r="F1071">
        <f>IF(B1071="","",IFERROR(RIGHT(B1071,LEN(B1071)-FIND("@",B1071)),""))</f>
        <v/>
      </c>
      <c r="G1071">
        <f>IF(D1071="KEEP",COUNTIF($D$2:D1071,"KEEP"),"")</f>
        <v/>
      </c>
      <c r="H1071">
        <f>IF(D1071="REMOVE",COUNTIF($D$2:D1071,"REMOVE"),"")</f>
        <v/>
      </c>
      <c r="I1071">
        <f>IF(E1071="Gmail",COUNTIF($E$2:E1071,"Gmail"),"")</f>
        <v/>
      </c>
      <c r="J1071">
        <f>IF(E1071="Outlook",COUNTIF($E$2:E1071,"Outlook"),"")</f>
        <v/>
      </c>
      <c r="K1071">
        <f>IF(E1071="Domain",COUNTIF($E$2:E1071,"Domain"),"")</f>
        <v/>
      </c>
    </row>
    <row r="1072">
      <c r="A1072" s="2" t="n"/>
      <c r="B1072">
        <f>LOWER(TRIM(A1072))</f>
        <v/>
      </c>
      <c r="C1072">
        <f>IF(B1072="","",IFERROR(INDEX('Bad Patterns'!$A$2:$A$120,MATCH(1,INDEX(--ISNUMBER(SEARCH('Bad Patterns'!$A$2:$A$120,B1072)),0),0)),""))</f>
        <v/>
      </c>
      <c r="D1072">
        <f>IF(B1072="","",IF(C1072&lt;&gt;"","REMOVE","KEEP"))</f>
        <v/>
      </c>
      <c r="E1072">
        <f>IF(D1072&lt;&gt;"KEEP","",IF(RIGHT(B1072,10)="@gmail.com","Gmail",IF(OR(RIGHT(B1072,12)="@outlook.com",RIGHT(B1072,12)="@hotmail.com",RIGHT(B1072,9)="@live.com"),"Outlook","Domain")))</f>
        <v/>
      </c>
      <c r="F1072">
        <f>IF(B1072="","",IFERROR(RIGHT(B1072,LEN(B1072)-FIND("@",B1072)),""))</f>
        <v/>
      </c>
      <c r="G1072">
        <f>IF(D1072="KEEP",COUNTIF($D$2:D1072,"KEEP"),"")</f>
        <v/>
      </c>
      <c r="H1072">
        <f>IF(D1072="REMOVE",COUNTIF($D$2:D1072,"REMOVE"),"")</f>
        <v/>
      </c>
      <c r="I1072">
        <f>IF(E1072="Gmail",COUNTIF($E$2:E1072,"Gmail"),"")</f>
        <v/>
      </c>
      <c r="J1072">
        <f>IF(E1072="Outlook",COUNTIF($E$2:E1072,"Outlook"),"")</f>
        <v/>
      </c>
      <c r="K1072">
        <f>IF(E1072="Domain",COUNTIF($E$2:E1072,"Domain"),"")</f>
        <v/>
      </c>
    </row>
    <row r="1073">
      <c r="A1073" s="2" t="n"/>
      <c r="B1073">
        <f>LOWER(TRIM(A1073))</f>
        <v/>
      </c>
      <c r="C1073">
        <f>IF(B1073="","",IFERROR(INDEX('Bad Patterns'!$A$2:$A$120,MATCH(1,INDEX(--ISNUMBER(SEARCH('Bad Patterns'!$A$2:$A$120,B1073)),0),0)),""))</f>
        <v/>
      </c>
      <c r="D1073">
        <f>IF(B1073="","",IF(C1073&lt;&gt;"","REMOVE","KEEP"))</f>
        <v/>
      </c>
      <c r="E1073">
        <f>IF(D1073&lt;&gt;"KEEP","",IF(RIGHT(B1073,10)="@gmail.com","Gmail",IF(OR(RIGHT(B1073,12)="@outlook.com",RIGHT(B1073,12)="@hotmail.com",RIGHT(B1073,9)="@live.com"),"Outlook","Domain")))</f>
        <v/>
      </c>
      <c r="F1073">
        <f>IF(B1073="","",IFERROR(RIGHT(B1073,LEN(B1073)-FIND("@",B1073)),""))</f>
        <v/>
      </c>
      <c r="G1073">
        <f>IF(D1073="KEEP",COUNTIF($D$2:D1073,"KEEP"),"")</f>
        <v/>
      </c>
      <c r="H1073">
        <f>IF(D1073="REMOVE",COUNTIF($D$2:D1073,"REMOVE"),"")</f>
        <v/>
      </c>
      <c r="I1073">
        <f>IF(E1073="Gmail",COUNTIF($E$2:E1073,"Gmail"),"")</f>
        <v/>
      </c>
      <c r="J1073">
        <f>IF(E1073="Outlook",COUNTIF($E$2:E1073,"Outlook"),"")</f>
        <v/>
      </c>
      <c r="K1073">
        <f>IF(E1073="Domain",COUNTIF($E$2:E1073,"Domain"),"")</f>
        <v/>
      </c>
    </row>
    <row r="1074">
      <c r="A1074" s="2" t="n"/>
      <c r="B1074">
        <f>LOWER(TRIM(A1074))</f>
        <v/>
      </c>
      <c r="C1074">
        <f>IF(B1074="","",IFERROR(INDEX('Bad Patterns'!$A$2:$A$120,MATCH(1,INDEX(--ISNUMBER(SEARCH('Bad Patterns'!$A$2:$A$120,B1074)),0),0)),""))</f>
        <v/>
      </c>
      <c r="D1074">
        <f>IF(B1074="","",IF(C1074&lt;&gt;"","REMOVE","KEEP"))</f>
        <v/>
      </c>
      <c r="E1074">
        <f>IF(D1074&lt;&gt;"KEEP","",IF(RIGHT(B1074,10)="@gmail.com","Gmail",IF(OR(RIGHT(B1074,12)="@outlook.com",RIGHT(B1074,12)="@hotmail.com",RIGHT(B1074,9)="@live.com"),"Outlook","Domain")))</f>
        <v/>
      </c>
      <c r="F1074">
        <f>IF(B1074="","",IFERROR(RIGHT(B1074,LEN(B1074)-FIND("@",B1074)),""))</f>
        <v/>
      </c>
      <c r="G1074">
        <f>IF(D1074="KEEP",COUNTIF($D$2:D1074,"KEEP"),"")</f>
        <v/>
      </c>
      <c r="H1074">
        <f>IF(D1074="REMOVE",COUNTIF($D$2:D1074,"REMOVE"),"")</f>
        <v/>
      </c>
      <c r="I1074">
        <f>IF(E1074="Gmail",COUNTIF($E$2:E1074,"Gmail"),"")</f>
        <v/>
      </c>
      <c r="J1074">
        <f>IF(E1074="Outlook",COUNTIF($E$2:E1074,"Outlook"),"")</f>
        <v/>
      </c>
      <c r="K1074">
        <f>IF(E1074="Domain",COUNTIF($E$2:E1074,"Domain"),"")</f>
        <v/>
      </c>
    </row>
    <row r="1075">
      <c r="A1075" s="2" t="n"/>
      <c r="B1075">
        <f>LOWER(TRIM(A1075))</f>
        <v/>
      </c>
      <c r="C1075">
        <f>IF(B1075="","",IFERROR(INDEX('Bad Patterns'!$A$2:$A$120,MATCH(1,INDEX(--ISNUMBER(SEARCH('Bad Patterns'!$A$2:$A$120,B1075)),0),0)),""))</f>
        <v/>
      </c>
      <c r="D1075">
        <f>IF(B1075="","",IF(C1075&lt;&gt;"","REMOVE","KEEP"))</f>
        <v/>
      </c>
      <c r="E1075">
        <f>IF(D1075&lt;&gt;"KEEP","",IF(RIGHT(B1075,10)="@gmail.com","Gmail",IF(OR(RIGHT(B1075,12)="@outlook.com",RIGHT(B1075,12)="@hotmail.com",RIGHT(B1075,9)="@live.com"),"Outlook","Domain")))</f>
        <v/>
      </c>
      <c r="F1075">
        <f>IF(B1075="","",IFERROR(RIGHT(B1075,LEN(B1075)-FIND("@",B1075)),""))</f>
        <v/>
      </c>
      <c r="G1075">
        <f>IF(D1075="KEEP",COUNTIF($D$2:D1075,"KEEP"),"")</f>
        <v/>
      </c>
      <c r="H1075">
        <f>IF(D1075="REMOVE",COUNTIF($D$2:D1075,"REMOVE"),"")</f>
        <v/>
      </c>
      <c r="I1075">
        <f>IF(E1075="Gmail",COUNTIF($E$2:E1075,"Gmail"),"")</f>
        <v/>
      </c>
      <c r="J1075">
        <f>IF(E1075="Outlook",COUNTIF($E$2:E1075,"Outlook"),"")</f>
        <v/>
      </c>
      <c r="K1075">
        <f>IF(E1075="Domain",COUNTIF($E$2:E1075,"Domain"),"")</f>
        <v/>
      </c>
    </row>
    <row r="1076">
      <c r="A1076" s="2" t="n"/>
      <c r="B1076">
        <f>LOWER(TRIM(A1076))</f>
        <v/>
      </c>
      <c r="C1076">
        <f>IF(B1076="","",IFERROR(INDEX('Bad Patterns'!$A$2:$A$120,MATCH(1,INDEX(--ISNUMBER(SEARCH('Bad Patterns'!$A$2:$A$120,B1076)),0),0)),""))</f>
        <v/>
      </c>
      <c r="D1076">
        <f>IF(B1076="","",IF(C1076&lt;&gt;"","REMOVE","KEEP"))</f>
        <v/>
      </c>
      <c r="E1076">
        <f>IF(D1076&lt;&gt;"KEEP","",IF(RIGHT(B1076,10)="@gmail.com","Gmail",IF(OR(RIGHT(B1076,12)="@outlook.com",RIGHT(B1076,12)="@hotmail.com",RIGHT(B1076,9)="@live.com"),"Outlook","Domain")))</f>
        <v/>
      </c>
      <c r="F1076">
        <f>IF(B1076="","",IFERROR(RIGHT(B1076,LEN(B1076)-FIND("@",B1076)),""))</f>
        <v/>
      </c>
      <c r="G1076">
        <f>IF(D1076="KEEP",COUNTIF($D$2:D1076,"KEEP"),"")</f>
        <v/>
      </c>
      <c r="H1076">
        <f>IF(D1076="REMOVE",COUNTIF($D$2:D1076,"REMOVE"),"")</f>
        <v/>
      </c>
      <c r="I1076">
        <f>IF(E1076="Gmail",COUNTIF($E$2:E1076,"Gmail"),"")</f>
        <v/>
      </c>
      <c r="J1076">
        <f>IF(E1076="Outlook",COUNTIF($E$2:E1076,"Outlook"),"")</f>
        <v/>
      </c>
      <c r="K1076">
        <f>IF(E1076="Domain",COUNTIF($E$2:E1076,"Domain"),"")</f>
        <v/>
      </c>
    </row>
    <row r="1077">
      <c r="A1077" s="2" t="n"/>
      <c r="B1077">
        <f>LOWER(TRIM(A1077))</f>
        <v/>
      </c>
      <c r="C1077">
        <f>IF(B1077="","",IFERROR(INDEX('Bad Patterns'!$A$2:$A$120,MATCH(1,INDEX(--ISNUMBER(SEARCH('Bad Patterns'!$A$2:$A$120,B1077)),0),0)),""))</f>
        <v/>
      </c>
      <c r="D1077">
        <f>IF(B1077="","",IF(C1077&lt;&gt;"","REMOVE","KEEP"))</f>
        <v/>
      </c>
      <c r="E1077">
        <f>IF(D1077&lt;&gt;"KEEP","",IF(RIGHT(B1077,10)="@gmail.com","Gmail",IF(OR(RIGHT(B1077,12)="@outlook.com",RIGHT(B1077,12)="@hotmail.com",RIGHT(B1077,9)="@live.com"),"Outlook","Domain")))</f>
        <v/>
      </c>
      <c r="F1077">
        <f>IF(B1077="","",IFERROR(RIGHT(B1077,LEN(B1077)-FIND("@",B1077)),""))</f>
        <v/>
      </c>
      <c r="G1077">
        <f>IF(D1077="KEEP",COUNTIF($D$2:D1077,"KEEP"),"")</f>
        <v/>
      </c>
      <c r="H1077">
        <f>IF(D1077="REMOVE",COUNTIF($D$2:D1077,"REMOVE"),"")</f>
        <v/>
      </c>
      <c r="I1077">
        <f>IF(E1077="Gmail",COUNTIF($E$2:E1077,"Gmail"),"")</f>
        <v/>
      </c>
      <c r="J1077">
        <f>IF(E1077="Outlook",COUNTIF($E$2:E1077,"Outlook"),"")</f>
        <v/>
      </c>
      <c r="K1077">
        <f>IF(E1077="Domain",COUNTIF($E$2:E1077,"Domain"),"")</f>
        <v/>
      </c>
    </row>
    <row r="1078">
      <c r="A1078" s="2" t="n"/>
      <c r="B1078">
        <f>LOWER(TRIM(A1078))</f>
        <v/>
      </c>
      <c r="C1078">
        <f>IF(B1078="","",IFERROR(INDEX('Bad Patterns'!$A$2:$A$120,MATCH(1,INDEX(--ISNUMBER(SEARCH('Bad Patterns'!$A$2:$A$120,B1078)),0),0)),""))</f>
        <v/>
      </c>
      <c r="D1078">
        <f>IF(B1078="","",IF(C1078&lt;&gt;"","REMOVE","KEEP"))</f>
        <v/>
      </c>
      <c r="E1078">
        <f>IF(D1078&lt;&gt;"KEEP","",IF(RIGHT(B1078,10)="@gmail.com","Gmail",IF(OR(RIGHT(B1078,12)="@outlook.com",RIGHT(B1078,12)="@hotmail.com",RIGHT(B1078,9)="@live.com"),"Outlook","Domain")))</f>
        <v/>
      </c>
      <c r="F1078">
        <f>IF(B1078="","",IFERROR(RIGHT(B1078,LEN(B1078)-FIND("@",B1078)),""))</f>
        <v/>
      </c>
      <c r="G1078">
        <f>IF(D1078="KEEP",COUNTIF($D$2:D1078,"KEEP"),"")</f>
        <v/>
      </c>
      <c r="H1078">
        <f>IF(D1078="REMOVE",COUNTIF($D$2:D1078,"REMOVE"),"")</f>
        <v/>
      </c>
      <c r="I1078">
        <f>IF(E1078="Gmail",COUNTIF($E$2:E1078,"Gmail"),"")</f>
        <v/>
      </c>
      <c r="J1078">
        <f>IF(E1078="Outlook",COUNTIF($E$2:E1078,"Outlook"),"")</f>
        <v/>
      </c>
      <c r="K1078">
        <f>IF(E1078="Domain",COUNTIF($E$2:E1078,"Domain"),"")</f>
        <v/>
      </c>
    </row>
    <row r="1079">
      <c r="A1079" s="2" t="n"/>
      <c r="B1079">
        <f>LOWER(TRIM(A1079))</f>
        <v/>
      </c>
      <c r="C1079">
        <f>IF(B1079="","",IFERROR(INDEX('Bad Patterns'!$A$2:$A$120,MATCH(1,INDEX(--ISNUMBER(SEARCH('Bad Patterns'!$A$2:$A$120,B1079)),0),0)),""))</f>
        <v/>
      </c>
      <c r="D1079">
        <f>IF(B1079="","",IF(C1079&lt;&gt;"","REMOVE","KEEP"))</f>
        <v/>
      </c>
      <c r="E1079">
        <f>IF(D1079&lt;&gt;"KEEP","",IF(RIGHT(B1079,10)="@gmail.com","Gmail",IF(OR(RIGHT(B1079,12)="@outlook.com",RIGHT(B1079,12)="@hotmail.com",RIGHT(B1079,9)="@live.com"),"Outlook","Domain")))</f>
        <v/>
      </c>
      <c r="F1079">
        <f>IF(B1079="","",IFERROR(RIGHT(B1079,LEN(B1079)-FIND("@",B1079)),""))</f>
        <v/>
      </c>
      <c r="G1079">
        <f>IF(D1079="KEEP",COUNTIF($D$2:D1079,"KEEP"),"")</f>
        <v/>
      </c>
      <c r="H1079">
        <f>IF(D1079="REMOVE",COUNTIF($D$2:D1079,"REMOVE"),"")</f>
        <v/>
      </c>
      <c r="I1079">
        <f>IF(E1079="Gmail",COUNTIF($E$2:E1079,"Gmail"),"")</f>
        <v/>
      </c>
      <c r="J1079">
        <f>IF(E1079="Outlook",COUNTIF($E$2:E1079,"Outlook"),"")</f>
        <v/>
      </c>
      <c r="K1079">
        <f>IF(E1079="Domain",COUNTIF($E$2:E1079,"Domain"),"")</f>
        <v/>
      </c>
    </row>
    <row r="1080">
      <c r="A1080" s="2" t="n"/>
      <c r="B1080">
        <f>LOWER(TRIM(A1080))</f>
        <v/>
      </c>
      <c r="C1080">
        <f>IF(B1080="","",IFERROR(INDEX('Bad Patterns'!$A$2:$A$120,MATCH(1,INDEX(--ISNUMBER(SEARCH('Bad Patterns'!$A$2:$A$120,B1080)),0),0)),""))</f>
        <v/>
      </c>
      <c r="D1080">
        <f>IF(B1080="","",IF(C1080&lt;&gt;"","REMOVE","KEEP"))</f>
        <v/>
      </c>
      <c r="E1080">
        <f>IF(D1080&lt;&gt;"KEEP","",IF(RIGHT(B1080,10)="@gmail.com","Gmail",IF(OR(RIGHT(B1080,12)="@outlook.com",RIGHT(B1080,12)="@hotmail.com",RIGHT(B1080,9)="@live.com"),"Outlook","Domain")))</f>
        <v/>
      </c>
      <c r="F1080">
        <f>IF(B1080="","",IFERROR(RIGHT(B1080,LEN(B1080)-FIND("@",B1080)),""))</f>
        <v/>
      </c>
      <c r="G1080">
        <f>IF(D1080="KEEP",COUNTIF($D$2:D1080,"KEEP"),"")</f>
        <v/>
      </c>
      <c r="H1080">
        <f>IF(D1080="REMOVE",COUNTIF($D$2:D1080,"REMOVE"),"")</f>
        <v/>
      </c>
      <c r="I1080">
        <f>IF(E1080="Gmail",COUNTIF($E$2:E1080,"Gmail"),"")</f>
        <v/>
      </c>
      <c r="J1080">
        <f>IF(E1080="Outlook",COUNTIF($E$2:E1080,"Outlook"),"")</f>
        <v/>
      </c>
      <c r="K1080">
        <f>IF(E1080="Domain",COUNTIF($E$2:E1080,"Domain"),"")</f>
        <v/>
      </c>
    </row>
    <row r="1081">
      <c r="A1081" s="2" t="n"/>
      <c r="B1081">
        <f>LOWER(TRIM(A1081))</f>
        <v/>
      </c>
      <c r="C1081">
        <f>IF(B1081="","",IFERROR(INDEX('Bad Patterns'!$A$2:$A$120,MATCH(1,INDEX(--ISNUMBER(SEARCH('Bad Patterns'!$A$2:$A$120,B1081)),0),0)),""))</f>
        <v/>
      </c>
      <c r="D1081">
        <f>IF(B1081="","",IF(C1081&lt;&gt;"","REMOVE","KEEP"))</f>
        <v/>
      </c>
      <c r="E1081">
        <f>IF(D1081&lt;&gt;"KEEP","",IF(RIGHT(B1081,10)="@gmail.com","Gmail",IF(OR(RIGHT(B1081,12)="@outlook.com",RIGHT(B1081,12)="@hotmail.com",RIGHT(B1081,9)="@live.com"),"Outlook","Domain")))</f>
        <v/>
      </c>
      <c r="F1081">
        <f>IF(B1081="","",IFERROR(RIGHT(B1081,LEN(B1081)-FIND("@",B1081)),""))</f>
        <v/>
      </c>
      <c r="G1081">
        <f>IF(D1081="KEEP",COUNTIF($D$2:D1081,"KEEP"),"")</f>
        <v/>
      </c>
      <c r="H1081">
        <f>IF(D1081="REMOVE",COUNTIF($D$2:D1081,"REMOVE"),"")</f>
        <v/>
      </c>
      <c r="I1081">
        <f>IF(E1081="Gmail",COUNTIF($E$2:E1081,"Gmail"),"")</f>
        <v/>
      </c>
      <c r="J1081">
        <f>IF(E1081="Outlook",COUNTIF($E$2:E1081,"Outlook"),"")</f>
        <v/>
      </c>
      <c r="K1081">
        <f>IF(E1081="Domain",COUNTIF($E$2:E1081,"Domain"),"")</f>
        <v/>
      </c>
    </row>
    <row r="1082">
      <c r="A1082" s="2" t="n"/>
      <c r="B1082">
        <f>LOWER(TRIM(A1082))</f>
        <v/>
      </c>
      <c r="C1082">
        <f>IF(B1082="","",IFERROR(INDEX('Bad Patterns'!$A$2:$A$120,MATCH(1,INDEX(--ISNUMBER(SEARCH('Bad Patterns'!$A$2:$A$120,B1082)),0),0)),""))</f>
        <v/>
      </c>
      <c r="D1082">
        <f>IF(B1082="","",IF(C1082&lt;&gt;"","REMOVE","KEEP"))</f>
        <v/>
      </c>
      <c r="E1082">
        <f>IF(D1082&lt;&gt;"KEEP","",IF(RIGHT(B1082,10)="@gmail.com","Gmail",IF(OR(RIGHT(B1082,12)="@outlook.com",RIGHT(B1082,12)="@hotmail.com",RIGHT(B1082,9)="@live.com"),"Outlook","Domain")))</f>
        <v/>
      </c>
      <c r="F1082">
        <f>IF(B1082="","",IFERROR(RIGHT(B1082,LEN(B1082)-FIND("@",B1082)),""))</f>
        <v/>
      </c>
      <c r="G1082">
        <f>IF(D1082="KEEP",COUNTIF($D$2:D1082,"KEEP"),"")</f>
        <v/>
      </c>
      <c r="H1082">
        <f>IF(D1082="REMOVE",COUNTIF($D$2:D1082,"REMOVE"),"")</f>
        <v/>
      </c>
      <c r="I1082">
        <f>IF(E1082="Gmail",COUNTIF($E$2:E1082,"Gmail"),"")</f>
        <v/>
      </c>
      <c r="J1082">
        <f>IF(E1082="Outlook",COUNTIF($E$2:E1082,"Outlook"),"")</f>
        <v/>
      </c>
      <c r="K1082">
        <f>IF(E1082="Domain",COUNTIF($E$2:E1082,"Domain"),"")</f>
        <v/>
      </c>
    </row>
    <row r="1083">
      <c r="A1083" s="2" t="n"/>
      <c r="B1083">
        <f>LOWER(TRIM(A1083))</f>
        <v/>
      </c>
      <c r="C1083">
        <f>IF(B1083="","",IFERROR(INDEX('Bad Patterns'!$A$2:$A$120,MATCH(1,INDEX(--ISNUMBER(SEARCH('Bad Patterns'!$A$2:$A$120,B1083)),0),0)),""))</f>
        <v/>
      </c>
      <c r="D1083">
        <f>IF(B1083="","",IF(C1083&lt;&gt;"","REMOVE","KEEP"))</f>
        <v/>
      </c>
      <c r="E1083">
        <f>IF(D1083&lt;&gt;"KEEP","",IF(RIGHT(B1083,10)="@gmail.com","Gmail",IF(OR(RIGHT(B1083,12)="@outlook.com",RIGHT(B1083,12)="@hotmail.com",RIGHT(B1083,9)="@live.com"),"Outlook","Domain")))</f>
        <v/>
      </c>
      <c r="F1083">
        <f>IF(B1083="","",IFERROR(RIGHT(B1083,LEN(B1083)-FIND("@",B1083)),""))</f>
        <v/>
      </c>
      <c r="G1083">
        <f>IF(D1083="KEEP",COUNTIF($D$2:D1083,"KEEP"),"")</f>
        <v/>
      </c>
      <c r="H1083">
        <f>IF(D1083="REMOVE",COUNTIF($D$2:D1083,"REMOVE"),"")</f>
        <v/>
      </c>
      <c r="I1083">
        <f>IF(E1083="Gmail",COUNTIF($E$2:E1083,"Gmail"),"")</f>
        <v/>
      </c>
      <c r="J1083">
        <f>IF(E1083="Outlook",COUNTIF($E$2:E1083,"Outlook"),"")</f>
        <v/>
      </c>
      <c r="K1083">
        <f>IF(E1083="Domain",COUNTIF($E$2:E1083,"Domain"),"")</f>
        <v/>
      </c>
    </row>
    <row r="1084">
      <c r="A1084" s="2" t="n"/>
      <c r="B1084">
        <f>LOWER(TRIM(A1084))</f>
        <v/>
      </c>
      <c r="C1084">
        <f>IF(B1084="","",IFERROR(INDEX('Bad Patterns'!$A$2:$A$120,MATCH(1,INDEX(--ISNUMBER(SEARCH('Bad Patterns'!$A$2:$A$120,B1084)),0),0)),""))</f>
        <v/>
      </c>
      <c r="D1084">
        <f>IF(B1084="","",IF(C1084&lt;&gt;"","REMOVE","KEEP"))</f>
        <v/>
      </c>
      <c r="E1084">
        <f>IF(D1084&lt;&gt;"KEEP","",IF(RIGHT(B1084,10)="@gmail.com","Gmail",IF(OR(RIGHT(B1084,12)="@outlook.com",RIGHT(B1084,12)="@hotmail.com",RIGHT(B1084,9)="@live.com"),"Outlook","Domain")))</f>
        <v/>
      </c>
      <c r="F1084">
        <f>IF(B1084="","",IFERROR(RIGHT(B1084,LEN(B1084)-FIND("@",B1084)),""))</f>
        <v/>
      </c>
      <c r="G1084">
        <f>IF(D1084="KEEP",COUNTIF($D$2:D1084,"KEEP"),"")</f>
        <v/>
      </c>
      <c r="H1084">
        <f>IF(D1084="REMOVE",COUNTIF($D$2:D1084,"REMOVE"),"")</f>
        <v/>
      </c>
      <c r="I1084">
        <f>IF(E1084="Gmail",COUNTIF($E$2:E1084,"Gmail"),"")</f>
        <v/>
      </c>
      <c r="J1084">
        <f>IF(E1084="Outlook",COUNTIF($E$2:E1084,"Outlook"),"")</f>
        <v/>
      </c>
      <c r="K1084">
        <f>IF(E1084="Domain",COUNTIF($E$2:E1084,"Domain"),"")</f>
        <v/>
      </c>
    </row>
    <row r="1085">
      <c r="A1085" s="2" t="n"/>
      <c r="B1085">
        <f>LOWER(TRIM(A1085))</f>
        <v/>
      </c>
      <c r="C1085">
        <f>IF(B1085="","",IFERROR(INDEX('Bad Patterns'!$A$2:$A$120,MATCH(1,INDEX(--ISNUMBER(SEARCH('Bad Patterns'!$A$2:$A$120,B1085)),0),0)),""))</f>
        <v/>
      </c>
      <c r="D1085">
        <f>IF(B1085="","",IF(C1085&lt;&gt;"","REMOVE","KEEP"))</f>
        <v/>
      </c>
      <c r="E1085">
        <f>IF(D1085&lt;&gt;"KEEP","",IF(RIGHT(B1085,10)="@gmail.com","Gmail",IF(OR(RIGHT(B1085,12)="@outlook.com",RIGHT(B1085,12)="@hotmail.com",RIGHT(B1085,9)="@live.com"),"Outlook","Domain")))</f>
        <v/>
      </c>
      <c r="F1085">
        <f>IF(B1085="","",IFERROR(RIGHT(B1085,LEN(B1085)-FIND("@",B1085)),""))</f>
        <v/>
      </c>
      <c r="G1085">
        <f>IF(D1085="KEEP",COUNTIF($D$2:D1085,"KEEP"),"")</f>
        <v/>
      </c>
      <c r="H1085">
        <f>IF(D1085="REMOVE",COUNTIF($D$2:D1085,"REMOVE"),"")</f>
        <v/>
      </c>
      <c r="I1085">
        <f>IF(E1085="Gmail",COUNTIF($E$2:E1085,"Gmail"),"")</f>
        <v/>
      </c>
      <c r="J1085">
        <f>IF(E1085="Outlook",COUNTIF($E$2:E1085,"Outlook"),"")</f>
        <v/>
      </c>
      <c r="K1085">
        <f>IF(E1085="Domain",COUNTIF($E$2:E1085,"Domain"),"")</f>
        <v/>
      </c>
    </row>
    <row r="1086">
      <c r="A1086" s="2" t="n"/>
      <c r="B1086">
        <f>LOWER(TRIM(A1086))</f>
        <v/>
      </c>
      <c r="C1086">
        <f>IF(B1086="","",IFERROR(INDEX('Bad Patterns'!$A$2:$A$120,MATCH(1,INDEX(--ISNUMBER(SEARCH('Bad Patterns'!$A$2:$A$120,B1086)),0),0)),""))</f>
        <v/>
      </c>
      <c r="D1086">
        <f>IF(B1086="","",IF(C1086&lt;&gt;"","REMOVE","KEEP"))</f>
        <v/>
      </c>
      <c r="E1086">
        <f>IF(D1086&lt;&gt;"KEEP","",IF(RIGHT(B1086,10)="@gmail.com","Gmail",IF(OR(RIGHT(B1086,12)="@outlook.com",RIGHT(B1086,12)="@hotmail.com",RIGHT(B1086,9)="@live.com"),"Outlook","Domain")))</f>
        <v/>
      </c>
      <c r="F1086">
        <f>IF(B1086="","",IFERROR(RIGHT(B1086,LEN(B1086)-FIND("@",B1086)),""))</f>
        <v/>
      </c>
      <c r="G1086">
        <f>IF(D1086="KEEP",COUNTIF($D$2:D1086,"KEEP"),"")</f>
        <v/>
      </c>
      <c r="H1086">
        <f>IF(D1086="REMOVE",COUNTIF($D$2:D1086,"REMOVE"),"")</f>
        <v/>
      </c>
      <c r="I1086">
        <f>IF(E1086="Gmail",COUNTIF($E$2:E1086,"Gmail"),"")</f>
        <v/>
      </c>
      <c r="J1086">
        <f>IF(E1086="Outlook",COUNTIF($E$2:E1086,"Outlook"),"")</f>
        <v/>
      </c>
      <c r="K1086">
        <f>IF(E1086="Domain",COUNTIF($E$2:E1086,"Domain"),"")</f>
        <v/>
      </c>
    </row>
    <row r="1087">
      <c r="A1087" s="2" t="n"/>
      <c r="B1087">
        <f>LOWER(TRIM(A1087))</f>
        <v/>
      </c>
      <c r="C1087">
        <f>IF(B1087="","",IFERROR(INDEX('Bad Patterns'!$A$2:$A$120,MATCH(1,INDEX(--ISNUMBER(SEARCH('Bad Patterns'!$A$2:$A$120,B1087)),0),0)),""))</f>
        <v/>
      </c>
      <c r="D1087">
        <f>IF(B1087="","",IF(C1087&lt;&gt;"","REMOVE","KEEP"))</f>
        <v/>
      </c>
      <c r="E1087">
        <f>IF(D1087&lt;&gt;"KEEP","",IF(RIGHT(B1087,10)="@gmail.com","Gmail",IF(OR(RIGHT(B1087,12)="@outlook.com",RIGHT(B1087,12)="@hotmail.com",RIGHT(B1087,9)="@live.com"),"Outlook","Domain")))</f>
        <v/>
      </c>
      <c r="F1087">
        <f>IF(B1087="","",IFERROR(RIGHT(B1087,LEN(B1087)-FIND("@",B1087)),""))</f>
        <v/>
      </c>
      <c r="G1087">
        <f>IF(D1087="KEEP",COUNTIF($D$2:D1087,"KEEP"),"")</f>
        <v/>
      </c>
      <c r="H1087">
        <f>IF(D1087="REMOVE",COUNTIF($D$2:D1087,"REMOVE"),"")</f>
        <v/>
      </c>
      <c r="I1087">
        <f>IF(E1087="Gmail",COUNTIF($E$2:E1087,"Gmail"),"")</f>
        <v/>
      </c>
      <c r="J1087">
        <f>IF(E1087="Outlook",COUNTIF($E$2:E1087,"Outlook"),"")</f>
        <v/>
      </c>
      <c r="K1087">
        <f>IF(E1087="Domain",COUNTIF($E$2:E1087,"Domain"),"")</f>
        <v/>
      </c>
    </row>
    <row r="1088">
      <c r="A1088" s="2" t="n"/>
      <c r="B1088">
        <f>LOWER(TRIM(A1088))</f>
        <v/>
      </c>
      <c r="C1088">
        <f>IF(B1088="","",IFERROR(INDEX('Bad Patterns'!$A$2:$A$120,MATCH(1,INDEX(--ISNUMBER(SEARCH('Bad Patterns'!$A$2:$A$120,B1088)),0),0)),""))</f>
        <v/>
      </c>
      <c r="D1088">
        <f>IF(B1088="","",IF(C1088&lt;&gt;"","REMOVE","KEEP"))</f>
        <v/>
      </c>
      <c r="E1088">
        <f>IF(D1088&lt;&gt;"KEEP","",IF(RIGHT(B1088,10)="@gmail.com","Gmail",IF(OR(RIGHT(B1088,12)="@outlook.com",RIGHT(B1088,12)="@hotmail.com",RIGHT(B1088,9)="@live.com"),"Outlook","Domain")))</f>
        <v/>
      </c>
      <c r="F1088">
        <f>IF(B1088="","",IFERROR(RIGHT(B1088,LEN(B1088)-FIND("@",B1088)),""))</f>
        <v/>
      </c>
      <c r="G1088">
        <f>IF(D1088="KEEP",COUNTIF($D$2:D1088,"KEEP"),"")</f>
        <v/>
      </c>
      <c r="H1088">
        <f>IF(D1088="REMOVE",COUNTIF($D$2:D1088,"REMOVE"),"")</f>
        <v/>
      </c>
      <c r="I1088">
        <f>IF(E1088="Gmail",COUNTIF($E$2:E1088,"Gmail"),"")</f>
        <v/>
      </c>
      <c r="J1088">
        <f>IF(E1088="Outlook",COUNTIF($E$2:E1088,"Outlook"),"")</f>
        <v/>
      </c>
      <c r="K1088">
        <f>IF(E1088="Domain",COUNTIF($E$2:E1088,"Domain"),"")</f>
        <v/>
      </c>
    </row>
    <row r="1089">
      <c r="A1089" s="2" t="n"/>
      <c r="B1089">
        <f>LOWER(TRIM(A1089))</f>
        <v/>
      </c>
      <c r="C1089">
        <f>IF(B1089="","",IFERROR(INDEX('Bad Patterns'!$A$2:$A$120,MATCH(1,INDEX(--ISNUMBER(SEARCH('Bad Patterns'!$A$2:$A$120,B1089)),0),0)),""))</f>
        <v/>
      </c>
      <c r="D1089">
        <f>IF(B1089="","",IF(C1089&lt;&gt;"","REMOVE","KEEP"))</f>
        <v/>
      </c>
      <c r="E1089">
        <f>IF(D1089&lt;&gt;"KEEP","",IF(RIGHT(B1089,10)="@gmail.com","Gmail",IF(OR(RIGHT(B1089,12)="@outlook.com",RIGHT(B1089,12)="@hotmail.com",RIGHT(B1089,9)="@live.com"),"Outlook","Domain")))</f>
        <v/>
      </c>
      <c r="F1089">
        <f>IF(B1089="","",IFERROR(RIGHT(B1089,LEN(B1089)-FIND("@",B1089)),""))</f>
        <v/>
      </c>
      <c r="G1089">
        <f>IF(D1089="KEEP",COUNTIF($D$2:D1089,"KEEP"),"")</f>
        <v/>
      </c>
      <c r="H1089">
        <f>IF(D1089="REMOVE",COUNTIF($D$2:D1089,"REMOVE"),"")</f>
        <v/>
      </c>
      <c r="I1089">
        <f>IF(E1089="Gmail",COUNTIF($E$2:E1089,"Gmail"),"")</f>
        <v/>
      </c>
      <c r="J1089">
        <f>IF(E1089="Outlook",COUNTIF($E$2:E1089,"Outlook"),"")</f>
        <v/>
      </c>
      <c r="K1089">
        <f>IF(E1089="Domain",COUNTIF($E$2:E1089,"Domain"),"")</f>
        <v/>
      </c>
    </row>
    <row r="1090">
      <c r="A1090" s="2" t="n"/>
      <c r="B1090">
        <f>LOWER(TRIM(A1090))</f>
        <v/>
      </c>
      <c r="C1090">
        <f>IF(B1090="","",IFERROR(INDEX('Bad Patterns'!$A$2:$A$120,MATCH(1,INDEX(--ISNUMBER(SEARCH('Bad Patterns'!$A$2:$A$120,B1090)),0),0)),""))</f>
        <v/>
      </c>
      <c r="D1090">
        <f>IF(B1090="","",IF(C1090&lt;&gt;"","REMOVE","KEEP"))</f>
        <v/>
      </c>
      <c r="E1090">
        <f>IF(D1090&lt;&gt;"KEEP","",IF(RIGHT(B1090,10)="@gmail.com","Gmail",IF(OR(RIGHT(B1090,12)="@outlook.com",RIGHT(B1090,12)="@hotmail.com",RIGHT(B1090,9)="@live.com"),"Outlook","Domain")))</f>
        <v/>
      </c>
      <c r="F1090">
        <f>IF(B1090="","",IFERROR(RIGHT(B1090,LEN(B1090)-FIND("@",B1090)),""))</f>
        <v/>
      </c>
      <c r="G1090">
        <f>IF(D1090="KEEP",COUNTIF($D$2:D1090,"KEEP"),"")</f>
        <v/>
      </c>
      <c r="H1090">
        <f>IF(D1090="REMOVE",COUNTIF($D$2:D1090,"REMOVE"),"")</f>
        <v/>
      </c>
      <c r="I1090">
        <f>IF(E1090="Gmail",COUNTIF($E$2:E1090,"Gmail"),"")</f>
        <v/>
      </c>
      <c r="J1090">
        <f>IF(E1090="Outlook",COUNTIF($E$2:E1090,"Outlook"),"")</f>
        <v/>
      </c>
      <c r="K1090">
        <f>IF(E1090="Domain",COUNTIF($E$2:E1090,"Domain"),"")</f>
        <v/>
      </c>
    </row>
    <row r="1091">
      <c r="A1091" s="2" t="n"/>
      <c r="B1091">
        <f>LOWER(TRIM(A1091))</f>
        <v/>
      </c>
      <c r="C1091">
        <f>IF(B1091="","",IFERROR(INDEX('Bad Patterns'!$A$2:$A$120,MATCH(1,INDEX(--ISNUMBER(SEARCH('Bad Patterns'!$A$2:$A$120,B1091)),0),0)),""))</f>
        <v/>
      </c>
      <c r="D1091">
        <f>IF(B1091="","",IF(C1091&lt;&gt;"","REMOVE","KEEP"))</f>
        <v/>
      </c>
      <c r="E1091">
        <f>IF(D1091&lt;&gt;"KEEP","",IF(RIGHT(B1091,10)="@gmail.com","Gmail",IF(OR(RIGHT(B1091,12)="@outlook.com",RIGHT(B1091,12)="@hotmail.com",RIGHT(B1091,9)="@live.com"),"Outlook","Domain")))</f>
        <v/>
      </c>
      <c r="F1091">
        <f>IF(B1091="","",IFERROR(RIGHT(B1091,LEN(B1091)-FIND("@",B1091)),""))</f>
        <v/>
      </c>
      <c r="G1091">
        <f>IF(D1091="KEEP",COUNTIF($D$2:D1091,"KEEP"),"")</f>
        <v/>
      </c>
      <c r="H1091">
        <f>IF(D1091="REMOVE",COUNTIF($D$2:D1091,"REMOVE"),"")</f>
        <v/>
      </c>
      <c r="I1091">
        <f>IF(E1091="Gmail",COUNTIF($E$2:E1091,"Gmail"),"")</f>
        <v/>
      </c>
      <c r="J1091">
        <f>IF(E1091="Outlook",COUNTIF($E$2:E1091,"Outlook"),"")</f>
        <v/>
      </c>
      <c r="K1091">
        <f>IF(E1091="Domain",COUNTIF($E$2:E1091,"Domain"),"")</f>
        <v/>
      </c>
    </row>
    <row r="1092">
      <c r="A1092" s="2" t="n"/>
      <c r="B1092">
        <f>LOWER(TRIM(A1092))</f>
        <v/>
      </c>
      <c r="C1092">
        <f>IF(B1092="","",IFERROR(INDEX('Bad Patterns'!$A$2:$A$120,MATCH(1,INDEX(--ISNUMBER(SEARCH('Bad Patterns'!$A$2:$A$120,B1092)),0),0)),""))</f>
        <v/>
      </c>
      <c r="D1092">
        <f>IF(B1092="","",IF(C1092&lt;&gt;"","REMOVE","KEEP"))</f>
        <v/>
      </c>
      <c r="E1092">
        <f>IF(D1092&lt;&gt;"KEEP","",IF(RIGHT(B1092,10)="@gmail.com","Gmail",IF(OR(RIGHT(B1092,12)="@outlook.com",RIGHT(B1092,12)="@hotmail.com",RIGHT(B1092,9)="@live.com"),"Outlook","Domain")))</f>
        <v/>
      </c>
      <c r="F1092">
        <f>IF(B1092="","",IFERROR(RIGHT(B1092,LEN(B1092)-FIND("@",B1092)),""))</f>
        <v/>
      </c>
      <c r="G1092">
        <f>IF(D1092="KEEP",COUNTIF($D$2:D1092,"KEEP"),"")</f>
        <v/>
      </c>
      <c r="H1092">
        <f>IF(D1092="REMOVE",COUNTIF($D$2:D1092,"REMOVE"),"")</f>
        <v/>
      </c>
      <c r="I1092">
        <f>IF(E1092="Gmail",COUNTIF($E$2:E1092,"Gmail"),"")</f>
        <v/>
      </c>
      <c r="J1092">
        <f>IF(E1092="Outlook",COUNTIF($E$2:E1092,"Outlook"),"")</f>
        <v/>
      </c>
      <c r="K1092">
        <f>IF(E1092="Domain",COUNTIF($E$2:E1092,"Domain"),"")</f>
        <v/>
      </c>
    </row>
    <row r="1093">
      <c r="A1093" s="2" t="n"/>
      <c r="B1093">
        <f>LOWER(TRIM(A1093))</f>
        <v/>
      </c>
      <c r="C1093">
        <f>IF(B1093="","",IFERROR(INDEX('Bad Patterns'!$A$2:$A$120,MATCH(1,INDEX(--ISNUMBER(SEARCH('Bad Patterns'!$A$2:$A$120,B1093)),0),0)),""))</f>
        <v/>
      </c>
      <c r="D1093">
        <f>IF(B1093="","",IF(C1093&lt;&gt;"","REMOVE","KEEP"))</f>
        <v/>
      </c>
      <c r="E1093">
        <f>IF(D1093&lt;&gt;"KEEP","",IF(RIGHT(B1093,10)="@gmail.com","Gmail",IF(OR(RIGHT(B1093,12)="@outlook.com",RIGHT(B1093,12)="@hotmail.com",RIGHT(B1093,9)="@live.com"),"Outlook","Domain")))</f>
        <v/>
      </c>
      <c r="F1093">
        <f>IF(B1093="","",IFERROR(RIGHT(B1093,LEN(B1093)-FIND("@",B1093)),""))</f>
        <v/>
      </c>
      <c r="G1093">
        <f>IF(D1093="KEEP",COUNTIF($D$2:D1093,"KEEP"),"")</f>
        <v/>
      </c>
      <c r="H1093">
        <f>IF(D1093="REMOVE",COUNTIF($D$2:D1093,"REMOVE"),"")</f>
        <v/>
      </c>
      <c r="I1093">
        <f>IF(E1093="Gmail",COUNTIF($E$2:E1093,"Gmail"),"")</f>
        <v/>
      </c>
      <c r="J1093">
        <f>IF(E1093="Outlook",COUNTIF($E$2:E1093,"Outlook"),"")</f>
        <v/>
      </c>
      <c r="K1093">
        <f>IF(E1093="Domain",COUNTIF($E$2:E1093,"Domain"),"")</f>
        <v/>
      </c>
    </row>
    <row r="1094">
      <c r="A1094" s="2" t="n"/>
      <c r="B1094">
        <f>LOWER(TRIM(A1094))</f>
        <v/>
      </c>
      <c r="C1094">
        <f>IF(B1094="","",IFERROR(INDEX('Bad Patterns'!$A$2:$A$120,MATCH(1,INDEX(--ISNUMBER(SEARCH('Bad Patterns'!$A$2:$A$120,B1094)),0),0)),""))</f>
        <v/>
      </c>
      <c r="D1094">
        <f>IF(B1094="","",IF(C1094&lt;&gt;"","REMOVE","KEEP"))</f>
        <v/>
      </c>
      <c r="E1094">
        <f>IF(D1094&lt;&gt;"KEEP","",IF(RIGHT(B1094,10)="@gmail.com","Gmail",IF(OR(RIGHT(B1094,12)="@outlook.com",RIGHT(B1094,12)="@hotmail.com",RIGHT(B1094,9)="@live.com"),"Outlook","Domain")))</f>
        <v/>
      </c>
      <c r="F1094">
        <f>IF(B1094="","",IFERROR(RIGHT(B1094,LEN(B1094)-FIND("@",B1094)),""))</f>
        <v/>
      </c>
      <c r="G1094">
        <f>IF(D1094="KEEP",COUNTIF($D$2:D1094,"KEEP"),"")</f>
        <v/>
      </c>
      <c r="H1094">
        <f>IF(D1094="REMOVE",COUNTIF($D$2:D1094,"REMOVE"),"")</f>
        <v/>
      </c>
      <c r="I1094">
        <f>IF(E1094="Gmail",COUNTIF($E$2:E1094,"Gmail"),"")</f>
        <v/>
      </c>
      <c r="J1094">
        <f>IF(E1094="Outlook",COUNTIF($E$2:E1094,"Outlook"),"")</f>
        <v/>
      </c>
      <c r="K1094">
        <f>IF(E1094="Domain",COUNTIF($E$2:E1094,"Domain"),"")</f>
        <v/>
      </c>
    </row>
    <row r="1095">
      <c r="A1095" s="2" t="n"/>
      <c r="B1095">
        <f>LOWER(TRIM(A1095))</f>
        <v/>
      </c>
      <c r="C1095">
        <f>IF(B1095="","",IFERROR(INDEX('Bad Patterns'!$A$2:$A$120,MATCH(1,INDEX(--ISNUMBER(SEARCH('Bad Patterns'!$A$2:$A$120,B1095)),0),0)),""))</f>
        <v/>
      </c>
      <c r="D1095">
        <f>IF(B1095="","",IF(C1095&lt;&gt;"","REMOVE","KEEP"))</f>
        <v/>
      </c>
      <c r="E1095">
        <f>IF(D1095&lt;&gt;"KEEP","",IF(RIGHT(B1095,10)="@gmail.com","Gmail",IF(OR(RIGHT(B1095,12)="@outlook.com",RIGHT(B1095,12)="@hotmail.com",RIGHT(B1095,9)="@live.com"),"Outlook","Domain")))</f>
        <v/>
      </c>
      <c r="F1095">
        <f>IF(B1095="","",IFERROR(RIGHT(B1095,LEN(B1095)-FIND("@",B1095)),""))</f>
        <v/>
      </c>
      <c r="G1095">
        <f>IF(D1095="KEEP",COUNTIF($D$2:D1095,"KEEP"),"")</f>
        <v/>
      </c>
      <c r="H1095">
        <f>IF(D1095="REMOVE",COUNTIF($D$2:D1095,"REMOVE"),"")</f>
        <v/>
      </c>
      <c r="I1095">
        <f>IF(E1095="Gmail",COUNTIF($E$2:E1095,"Gmail"),"")</f>
        <v/>
      </c>
      <c r="J1095">
        <f>IF(E1095="Outlook",COUNTIF($E$2:E1095,"Outlook"),"")</f>
        <v/>
      </c>
      <c r="K1095">
        <f>IF(E1095="Domain",COUNTIF($E$2:E1095,"Domain"),"")</f>
        <v/>
      </c>
    </row>
    <row r="1096">
      <c r="A1096" s="2" t="n"/>
      <c r="B1096">
        <f>LOWER(TRIM(A1096))</f>
        <v/>
      </c>
      <c r="C1096">
        <f>IF(B1096="","",IFERROR(INDEX('Bad Patterns'!$A$2:$A$120,MATCH(1,INDEX(--ISNUMBER(SEARCH('Bad Patterns'!$A$2:$A$120,B1096)),0),0)),""))</f>
        <v/>
      </c>
      <c r="D1096">
        <f>IF(B1096="","",IF(C1096&lt;&gt;"","REMOVE","KEEP"))</f>
        <v/>
      </c>
      <c r="E1096">
        <f>IF(D1096&lt;&gt;"KEEP","",IF(RIGHT(B1096,10)="@gmail.com","Gmail",IF(OR(RIGHT(B1096,12)="@outlook.com",RIGHT(B1096,12)="@hotmail.com",RIGHT(B1096,9)="@live.com"),"Outlook","Domain")))</f>
        <v/>
      </c>
      <c r="F1096">
        <f>IF(B1096="","",IFERROR(RIGHT(B1096,LEN(B1096)-FIND("@",B1096)),""))</f>
        <v/>
      </c>
      <c r="G1096">
        <f>IF(D1096="KEEP",COUNTIF($D$2:D1096,"KEEP"),"")</f>
        <v/>
      </c>
      <c r="H1096">
        <f>IF(D1096="REMOVE",COUNTIF($D$2:D1096,"REMOVE"),"")</f>
        <v/>
      </c>
      <c r="I1096">
        <f>IF(E1096="Gmail",COUNTIF($E$2:E1096,"Gmail"),"")</f>
        <v/>
      </c>
      <c r="J1096">
        <f>IF(E1096="Outlook",COUNTIF($E$2:E1096,"Outlook"),"")</f>
        <v/>
      </c>
      <c r="K1096">
        <f>IF(E1096="Domain",COUNTIF($E$2:E1096,"Domain"),"")</f>
        <v/>
      </c>
    </row>
    <row r="1097">
      <c r="A1097" s="2" t="n"/>
      <c r="B1097">
        <f>LOWER(TRIM(A1097))</f>
        <v/>
      </c>
      <c r="C1097">
        <f>IF(B1097="","",IFERROR(INDEX('Bad Patterns'!$A$2:$A$120,MATCH(1,INDEX(--ISNUMBER(SEARCH('Bad Patterns'!$A$2:$A$120,B1097)),0),0)),""))</f>
        <v/>
      </c>
      <c r="D1097">
        <f>IF(B1097="","",IF(C1097&lt;&gt;"","REMOVE","KEEP"))</f>
        <v/>
      </c>
      <c r="E1097">
        <f>IF(D1097&lt;&gt;"KEEP","",IF(RIGHT(B1097,10)="@gmail.com","Gmail",IF(OR(RIGHT(B1097,12)="@outlook.com",RIGHT(B1097,12)="@hotmail.com",RIGHT(B1097,9)="@live.com"),"Outlook","Domain")))</f>
        <v/>
      </c>
      <c r="F1097">
        <f>IF(B1097="","",IFERROR(RIGHT(B1097,LEN(B1097)-FIND("@",B1097)),""))</f>
        <v/>
      </c>
      <c r="G1097">
        <f>IF(D1097="KEEP",COUNTIF($D$2:D1097,"KEEP"),"")</f>
        <v/>
      </c>
      <c r="H1097">
        <f>IF(D1097="REMOVE",COUNTIF($D$2:D1097,"REMOVE"),"")</f>
        <v/>
      </c>
      <c r="I1097">
        <f>IF(E1097="Gmail",COUNTIF($E$2:E1097,"Gmail"),"")</f>
        <v/>
      </c>
      <c r="J1097">
        <f>IF(E1097="Outlook",COUNTIF($E$2:E1097,"Outlook"),"")</f>
        <v/>
      </c>
      <c r="K1097">
        <f>IF(E1097="Domain",COUNTIF($E$2:E1097,"Domain"),"")</f>
        <v/>
      </c>
    </row>
    <row r="1098">
      <c r="A1098" s="2" t="n"/>
      <c r="B1098">
        <f>LOWER(TRIM(A1098))</f>
        <v/>
      </c>
      <c r="C1098">
        <f>IF(B1098="","",IFERROR(INDEX('Bad Patterns'!$A$2:$A$120,MATCH(1,INDEX(--ISNUMBER(SEARCH('Bad Patterns'!$A$2:$A$120,B1098)),0),0)),""))</f>
        <v/>
      </c>
      <c r="D1098">
        <f>IF(B1098="","",IF(C1098&lt;&gt;"","REMOVE","KEEP"))</f>
        <v/>
      </c>
      <c r="E1098">
        <f>IF(D1098&lt;&gt;"KEEP","",IF(RIGHT(B1098,10)="@gmail.com","Gmail",IF(OR(RIGHT(B1098,12)="@outlook.com",RIGHT(B1098,12)="@hotmail.com",RIGHT(B1098,9)="@live.com"),"Outlook","Domain")))</f>
        <v/>
      </c>
      <c r="F1098">
        <f>IF(B1098="","",IFERROR(RIGHT(B1098,LEN(B1098)-FIND("@",B1098)),""))</f>
        <v/>
      </c>
      <c r="G1098">
        <f>IF(D1098="KEEP",COUNTIF($D$2:D1098,"KEEP"),"")</f>
        <v/>
      </c>
      <c r="H1098">
        <f>IF(D1098="REMOVE",COUNTIF($D$2:D1098,"REMOVE"),"")</f>
        <v/>
      </c>
      <c r="I1098">
        <f>IF(E1098="Gmail",COUNTIF($E$2:E1098,"Gmail"),"")</f>
        <v/>
      </c>
      <c r="J1098">
        <f>IF(E1098="Outlook",COUNTIF($E$2:E1098,"Outlook"),"")</f>
        <v/>
      </c>
      <c r="K1098">
        <f>IF(E1098="Domain",COUNTIF($E$2:E1098,"Domain"),"")</f>
        <v/>
      </c>
    </row>
    <row r="1099">
      <c r="A1099" s="2" t="n"/>
      <c r="B1099">
        <f>LOWER(TRIM(A1099))</f>
        <v/>
      </c>
      <c r="C1099">
        <f>IF(B1099="","",IFERROR(INDEX('Bad Patterns'!$A$2:$A$120,MATCH(1,INDEX(--ISNUMBER(SEARCH('Bad Patterns'!$A$2:$A$120,B1099)),0),0)),""))</f>
        <v/>
      </c>
      <c r="D1099">
        <f>IF(B1099="","",IF(C1099&lt;&gt;"","REMOVE","KEEP"))</f>
        <v/>
      </c>
      <c r="E1099">
        <f>IF(D1099&lt;&gt;"KEEP","",IF(RIGHT(B1099,10)="@gmail.com","Gmail",IF(OR(RIGHT(B1099,12)="@outlook.com",RIGHT(B1099,12)="@hotmail.com",RIGHT(B1099,9)="@live.com"),"Outlook","Domain")))</f>
        <v/>
      </c>
      <c r="F1099">
        <f>IF(B1099="","",IFERROR(RIGHT(B1099,LEN(B1099)-FIND("@",B1099)),""))</f>
        <v/>
      </c>
      <c r="G1099">
        <f>IF(D1099="KEEP",COUNTIF($D$2:D1099,"KEEP"),"")</f>
        <v/>
      </c>
      <c r="H1099">
        <f>IF(D1099="REMOVE",COUNTIF($D$2:D1099,"REMOVE"),"")</f>
        <v/>
      </c>
      <c r="I1099">
        <f>IF(E1099="Gmail",COUNTIF($E$2:E1099,"Gmail"),"")</f>
        <v/>
      </c>
      <c r="J1099">
        <f>IF(E1099="Outlook",COUNTIF($E$2:E1099,"Outlook"),"")</f>
        <v/>
      </c>
      <c r="K1099">
        <f>IF(E1099="Domain",COUNTIF($E$2:E1099,"Domain"),"")</f>
        <v/>
      </c>
    </row>
    <row r="1100">
      <c r="A1100" s="2" t="n"/>
      <c r="B1100">
        <f>LOWER(TRIM(A1100))</f>
        <v/>
      </c>
      <c r="C1100">
        <f>IF(B1100="","",IFERROR(INDEX('Bad Patterns'!$A$2:$A$120,MATCH(1,INDEX(--ISNUMBER(SEARCH('Bad Patterns'!$A$2:$A$120,B1100)),0),0)),""))</f>
        <v/>
      </c>
      <c r="D1100">
        <f>IF(B1100="","",IF(C1100&lt;&gt;"","REMOVE","KEEP"))</f>
        <v/>
      </c>
      <c r="E1100">
        <f>IF(D1100&lt;&gt;"KEEP","",IF(RIGHT(B1100,10)="@gmail.com","Gmail",IF(OR(RIGHT(B1100,12)="@outlook.com",RIGHT(B1100,12)="@hotmail.com",RIGHT(B1100,9)="@live.com"),"Outlook","Domain")))</f>
        <v/>
      </c>
      <c r="F1100">
        <f>IF(B1100="","",IFERROR(RIGHT(B1100,LEN(B1100)-FIND("@",B1100)),""))</f>
        <v/>
      </c>
      <c r="G1100">
        <f>IF(D1100="KEEP",COUNTIF($D$2:D1100,"KEEP"),"")</f>
        <v/>
      </c>
      <c r="H1100">
        <f>IF(D1100="REMOVE",COUNTIF($D$2:D1100,"REMOVE"),"")</f>
        <v/>
      </c>
      <c r="I1100">
        <f>IF(E1100="Gmail",COUNTIF($E$2:E1100,"Gmail"),"")</f>
        <v/>
      </c>
      <c r="J1100">
        <f>IF(E1100="Outlook",COUNTIF($E$2:E1100,"Outlook"),"")</f>
        <v/>
      </c>
      <c r="K1100">
        <f>IF(E1100="Domain",COUNTIF($E$2:E1100,"Domain"),"")</f>
        <v/>
      </c>
    </row>
    <row r="1101">
      <c r="A1101" s="2" t="n"/>
      <c r="B1101">
        <f>LOWER(TRIM(A1101))</f>
        <v/>
      </c>
      <c r="C1101">
        <f>IF(B1101="","",IFERROR(INDEX('Bad Patterns'!$A$2:$A$120,MATCH(1,INDEX(--ISNUMBER(SEARCH('Bad Patterns'!$A$2:$A$120,B1101)),0),0)),""))</f>
        <v/>
      </c>
      <c r="D1101">
        <f>IF(B1101="","",IF(C1101&lt;&gt;"","REMOVE","KEEP"))</f>
        <v/>
      </c>
      <c r="E1101">
        <f>IF(D1101&lt;&gt;"KEEP","",IF(RIGHT(B1101,10)="@gmail.com","Gmail",IF(OR(RIGHT(B1101,12)="@outlook.com",RIGHT(B1101,12)="@hotmail.com",RIGHT(B1101,9)="@live.com"),"Outlook","Domain")))</f>
        <v/>
      </c>
      <c r="F1101">
        <f>IF(B1101="","",IFERROR(RIGHT(B1101,LEN(B1101)-FIND("@",B1101)),""))</f>
        <v/>
      </c>
      <c r="G1101">
        <f>IF(D1101="KEEP",COUNTIF($D$2:D1101,"KEEP"),"")</f>
        <v/>
      </c>
      <c r="H1101">
        <f>IF(D1101="REMOVE",COUNTIF($D$2:D1101,"REMOVE"),"")</f>
        <v/>
      </c>
      <c r="I1101">
        <f>IF(E1101="Gmail",COUNTIF($E$2:E1101,"Gmail"),"")</f>
        <v/>
      </c>
      <c r="J1101">
        <f>IF(E1101="Outlook",COUNTIF($E$2:E1101,"Outlook"),"")</f>
        <v/>
      </c>
      <c r="K1101">
        <f>IF(E1101="Domain",COUNTIF($E$2:E1101,"Domain"),"")</f>
        <v/>
      </c>
    </row>
    <row r="1102">
      <c r="A1102" s="2" t="n"/>
      <c r="B1102">
        <f>LOWER(TRIM(A1102))</f>
        <v/>
      </c>
      <c r="C1102">
        <f>IF(B1102="","",IFERROR(INDEX('Bad Patterns'!$A$2:$A$120,MATCH(1,INDEX(--ISNUMBER(SEARCH('Bad Patterns'!$A$2:$A$120,B1102)),0),0)),""))</f>
        <v/>
      </c>
      <c r="D1102">
        <f>IF(B1102="","",IF(C1102&lt;&gt;"","REMOVE","KEEP"))</f>
        <v/>
      </c>
      <c r="E1102">
        <f>IF(D1102&lt;&gt;"KEEP","",IF(RIGHT(B1102,10)="@gmail.com","Gmail",IF(OR(RIGHT(B1102,12)="@outlook.com",RIGHT(B1102,12)="@hotmail.com",RIGHT(B1102,9)="@live.com"),"Outlook","Domain")))</f>
        <v/>
      </c>
      <c r="F1102">
        <f>IF(B1102="","",IFERROR(RIGHT(B1102,LEN(B1102)-FIND("@",B1102)),""))</f>
        <v/>
      </c>
      <c r="G1102">
        <f>IF(D1102="KEEP",COUNTIF($D$2:D1102,"KEEP"),"")</f>
        <v/>
      </c>
      <c r="H1102">
        <f>IF(D1102="REMOVE",COUNTIF($D$2:D1102,"REMOVE"),"")</f>
        <v/>
      </c>
      <c r="I1102">
        <f>IF(E1102="Gmail",COUNTIF($E$2:E1102,"Gmail"),"")</f>
        <v/>
      </c>
      <c r="J1102">
        <f>IF(E1102="Outlook",COUNTIF($E$2:E1102,"Outlook"),"")</f>
        <v/>
      </c>
      <c r="K1102">
        <f>IF(E1102="Domain",COUNTIF($E$2:E1102,"Domain"),"")</f>
        <v/>
      </c>
    </row>
    <row r="1103">
      <c r="A1103" s="2" t="n"/>
      <c r="B1103">
        <f>LOWER(TRIM(A1103))</f>
        <v/>
      </c>
      <c r="C1103">
        <f>IF(B1103="","",IFERROR(INDEX('Bad Patterns'!$A$2:$A$120,MATCH(1,INDEX(--ISNUMBER(SEARCH('Bad Patterns'!$A$2:$A$120,B1103)),0),0)),""))</f>
        <v/>
      </c>
      <c r="D1103">
        <f>IF(B1103="","",IF(C1103&lt;&gt;"","REMOVE","KEEP"))</f>
        <v/>
      </c>
      <c r="E1103">
        <f>IF(D1103&lt;&gt;"KEEP","",IF(RIGHT(B1103,10)="@gmail.com","Gmail",IF(OR(RIGHT(B1103,12)="@outlook.com",RIGHT(B1103,12)="@hotmail.com",RIGHT(B1103,9)="@live.com"),"Outlook","Domain")))</f>
        <v/>
      </c>
      <c r="F1103">
        <f>IF(B1103="","",IFERROR(RIGHT(B1103,LEN(B1103)-FIND("@",B1103)),""))</f>
        <v/>
      </c>
      <c r="G1103">
        <f>IF(D1103="KEEP",COUNTIF($D$2:D1103,"KEEP"),"")</f>
        <v/>
      </c>
      <c r="H1103">
        <f>IF(D1103="REMOVE",COUNTIF($D$2:D1103,"REMOVE"),"")</f>
        <v/>
      </c>
      <c r="I1103">
        <f>IF(E1103="Gmail",COUNTIF($E$2:E1103,"Gmail"),"")</f>
        <v/>
      </c>
      <c r="J1103">
        <f>IF(E1103="Outlook",COUNTIF($E$2:E1103,"Outlook"),"")</f>
        <v/>
      </c>
      <c r="K1103">
        <f>IF(E1103="Domain",COUNTIF($E$2:E1103,"Domain"),"")</f>
        <v/>
      </c>
    </row>
    <row r="1104">
      <c r="A1104" s="2" t="n"/>
      <c r="B1104">
        <f>LOWER(TRIM(A1104))</f>
        <v/>
      </c>
      <c r="C1104">
        <f>IF(B1104="","",IFERROR(INDEX('Bad Patterns'!$A$2:$A$120,MATCH(1,INDEX(--ISNUMBER(SEARCH('Bad Patterns'!$A$2:$A$120,B1104)),0),0)),""))</f>
        <v/>
      </c>
      <c r="D1104">
        <f>IF(B1104="","",IF(C1104&lt;&gt;"","REMOVE","KEEP"))</f>
        <v/>
      </c>
      <c r="E1104">
        <f>IF(D1104&lt;&gt;"KEEP","",IF(RIGHT(B1104,10)="@gmail.com","Gmail",IF(OR(RIGHT(B1104,12)="@outlook.com",RIGHT(B1104,12)="@hotmail.com",RIGHT(B1104,9)="@live.com"),"Outlook","Domain")))</f>
        <v/>
      </c>
      <c r="F1104">
        <f>IF(B1104="","",IFERROR(RIGHT(B1104,LEN(B1104)-FIND("@",B1104)),""))</f>
        <v/>
      </c>
      <c r="G1104">
        <f>IF(D1104="KEEP",COUNTIF($D$2:D1104,"KEEP"),"")</f>
        <v/>
      </c>
      <c r="H1104">
        <f>IF(D1104="REMOVE",COUNTIF($D$2:D1104,"REMOVE"),"")</f>
        <v/>
      </c>
      <c r="I1104">
        <f>IF(E1104="Gmail",COUNTIF($E$2:E1104,"Gmail"),"")</f>
        <v/>
      </c>
      <c r="J1104">
        <f>IF(E1104="Outlook",COUNTIF($E$2:E1104,"Outlook"),"")</f>
        <v/>
      </c>
      <c r="K1104">
        <f>IF(E1104="Domain",COUNTIF($E$2:E1104,"Domain"),"")</f>
        <v/>
      </c>
    </row>
    <row r="1105">
      <c r="A1105" s="2" t="n"/>
      <c r="B1105">
        <f>LOWER(TRIM(A1105))</f>
        <v/>
      </c>
      <c r="C1105">
        <f>IF(B1105="","",IFERROR(INDEX('Bad Patterns'!$A$2:$A$120,MATCH(1,INDEX(--ISNUMBER(SEARCH('Bad Patterns'!$A$2:$A$120,B1105)),0),0)),""))</f>
        <v/>
      </c>
      <c r="D1105">
        <f>IF(B1105="","",IF(C1105&lt;&gt;"","REMOVE","KEEP"))</f>
        <v/>
      </c>
      <c r="E1105">
        <f>IF(D1105&lt;&gt;"KEEP","",IF(RIGHT(B1105,10)="@gmail.com","Gmail",IF(OR(RIGHT(B1105,12)="@outlook.com",RIGHT(B1105,12)="@hotmail.com",RIGHT(B1105,9)="@live.com"),"Outlook","Domain")))</f>
        <v/>
      </c>
      <c r="F1105">
        <f>IF(B1105="","",IFERROR(RIGHT(B1105,LEN(B1105)-FIND("@",B1105)),""))</f>
        <v/>
      </c>
      <c r="G1105">
        <f>IF(D1105="KEEP",COUNTIF($D$2:D1105,"KEEP"),"")</f>
        <v/>
      </c>
      <c r="H1105">
        <f>IF(D1105="REMOVE",COUNTIF($D$2:D1105,"REMOVE"),"")</f>
        <v/>
      </c>
      <c r="I1105">
        <f>IF(E1105="Gmail",COUNTIF($E$2:E1105,"Gmail"),"")</f>
        <v/>
      </c>
      <c r="J1105">
        <f>IF(E1105="Outlook",COUNTIF($E$2:E1105,"Outlook"),"")</f>
        <v/>
      </c>
      <c r="K1105">
        <f>IF(E1105="Domain",COUNTIF($E$2:E1105,"Domain"),"")</f>
        <v/>
      </c>
    </row>
    <row r="1106">
      <c r="A1106" s="2" t="n"/>
      <c r="B1106">
        <f>LOWER(TRIM(A1106))</f>
        <v/>
      </c>
      <c r="C1106">
        <f>IF(B1106="","",IFERROR(INDEX('Bad Patterns'!$A$2:$A$120,MATCH(1,INDEX(--ISNUMBER(SEARCH('Bad Patterns'!$A$2:$A$120,B1106)),0),0)),""))</f>
        <v/>
      </c>
      <c r="D1106">
        <f>IF(B1106="","",IF(C1106&lt;&gt;"","REMOVE","KEEP"))</f>
        <v/>
      </c>
      <c r="E1106">
        <f>IF(D1106&lt;&gt;"KEEP","",IF(RIGHT(B1106,10)="@gmail.com","Gmail",IF(OR(RIGHT(B1106,12)="@outlook.com",RIGHT(B1106,12)="@hotmail.com",RIGHT(B1106,9)="@live.com"),"Outlook","Domain")))</f>
        <v/>
      </c>
      <c r="F1106">
        <f>IF(B1106="","",IFERROR(RIGHT(B1106,LEN(B1106)-FIND("@",B1106)),""))</f>
        <v/>
      </c>
      <c r="G1106">
        <f>IF(D1106="KEEP",COUNTIF($D$2:D1106,"KEEP"),"")</f>
        <v/>
      </c>
      <c r="H1106">
        <f>IF(D1106="REMOVE",COUNTIF($D$2:D1106,"REMOVE"),"")</f>
        <v/>
      </c>
      <c r="I1106">
        <f>IF(E1106="Gmail",COUNTIF($E$2:E1106,"Gmail"),"")</f>
        <v/>
      </c>
      <c r="J1106">
        <f>IF(E1106="Outlook",COUNTIF($E$2:E1106,"Outlook"),"")</f>
        <v/>
      </c>
      <c r="K1106">
        <f>IF(E1106="Domain",COUNTIF($E$2:E1106,"Domain"),"")</f>
        <v/>
      </c>
    </row>
    <row r="1107">
      <c r="A1107" s="2" t="n"/>
      <c r="B1107">
        <f>LOWER(TRIM(A1107))</f>
        <v/>
      </c>
      <c r="C1107">
        <f>IF(B1107="","",IFERROR(INDEX('Bad Patterns'!$A$2:$A$120,MATCH(1,INDEX(--ISNUMBER(SEARCH('Bad Patterns'!$A$2:$A$120,B1107)),0),0)),""))</f>
        <v/>
      </c>
      <c r="D1107">
        <f>IF(B1107="","",IF(C1107&lt;&gt;"","REMOVE","KEEP"))</f>
        <v/>
      </c>
      <c r="E1107">
        <f>IF(D1107&lt;&gt;"KEEP","",IF(RIGHT(B1107,10)="@gmail.com","Gmail",IF(OR(RIGHT(B1107,12)="@outlook.com",RIGHT(B1107,12)="@hotmail.com",RIGHT(B1107,9)="@live.com"),"Outlook","Domain")))</f>
        <v/>
      </c>
      <c r="F1107">
        <f>IF(B1107="","",IFERROR(RIGHT(B1107,LEN(B1107)-FIND("@",B1107)),""))</f>
        <v/>
      </c>
      <c r="G1107">
        <f>IF(D1107="KEEP",COUNTIF($D$2:D1107,"KEEP"),"")</f>
        <v/>
      </c>
      <c r="H1107">
        <f>IF(D1107="REMOVE",COUNTIF($D$2:D1107,"REMOVE"),"")</f>
        <v/>
      </c>
      <c r="I1107">
        <f>IF(E1107="Gmail",COUNTIF($E$2:E1107,"Gmail"),"")</f>
        <v/>
      </c>
      <c r="J1107">
        <f>IF(E1107="Outlook",COUNTIF($E$2:E1107,"Outlook"),"")</f>
        <v/>
      </c>
      <c r="K1107">
        <f>IF(E1107="Domain",COUNTIF($E$2:E1107,"Domain"),"")</f>
        <v/>
      </c>
    </row>
    <row r="1108">
      <c r="A1108" s="2" t="n"/>
      <c r="B1108">
        <f>LOWER(TRIM(A1108))</f>
        <v/>
      </c>
      <c r="C1108">
        <f>IF(B1108="","",IFERROR(INDEX('Bad Patterns'!$A$2:$A$120,MATCH(1,INDEX(--ISNUMBER(SEARCH('Bad Patterns'!$A$2:$A$120,B1108)),0),0)),""))</f>
        <v/>
      </c>
      <c r="D1108">
        <f>IF(B1108="","",IF(C1108&lt;&gt;"","REMOVE","KEEP"))</f>
        <v/>
      </c>
      <c r="E1108">
        <f>IF(D1108&lt;&gt;"KEEP","",IF(RIGHT(B1108,10)="@gmail.com","Gmail",IF(OR(RIGHT(B1108,12)="@outlook.com",RIGHT(B1108,12)="@hotmail.com",RIGHT(B1108,9)="@live.com"),"Outlook","Domain")))</f>
        <v/>
      </c>
      <c r="F1108">
        <f>IF(B1108="","",IFERROR(RIGHT(B1108,LEN(B1108)-FIND("@",B1108)),""))</f>
        <v/>
      </c>
      <c r="G1108">
        <f>IF(D1108="KEEP",COUNTIF($D$2:D1108,"KEEP"),"")</f>
        <v/>
      </c>
      <c r="H1108">
        <f>IF(D1108="REMOVE",COUNTIF($D$2:D1108,"REMOVE"),"")</f>
        <v/>
      </c>
      <c r="I1108">
        <f>IF(E1108="Gmail",COUNTIF($E$2:E1108,"Gmail"),"")</f>
        <v/>
      </c>
      <c r="J1108">
        <f>IF(E1108="Outlook",COUNTIF($E$2:E1108,"Outlook"),"")</f>
        <v/>
      </c>
      <c r="K1108">
        <f>IF(E1108="Domain",COUNTIF($E$2:E1108,"Domain"),"")</f>
        <v/>
      </c>
    </row>
    <row r="1109">
      <c r="A1109" s="2" t="n"/>
      <c r="B1109">
        <f>LOWER(TRIM(A1109))</f>
        <v/>
      </c>
      <c r="C1109">
        <f>IF(B1109="","",IFERROR(INDEX('Bad Patterns'!$A$2:$A$120,MATCH(1,INDEX(--ISNUMBER(SEARCH('Bad Patterns'!$A$2:$A$120,B1109)),0),0)),""))</f>
        <v/>
      </c>
      <c r="D1109">
        <f>IF(B1109="","",IF(C1109&lt;&gt;"","REMOVE","KEEP"))</f>
        <v/>
      </c>
      <c r="E1109">
        <f>IF(D1109&lt;&gt;"KEEP","",IF(RIGHT(B1109,10)="@gmail.com","Gmail",IF(OR(RIGHT(B1109,12)="@outlook.com",RIGHT(B1109,12)="@hotmail.com",RIGHT(B1109,9)="@live.com"),"Outlook","Domain")))</f>
        <v/>
      </c>
      <c r="F1109">
        <f>IF(B1109="","",IFERROR(RIGHT(B1109,LEN(B1109)-FIND("@",B1109)),""))</f>
        <v/>
      </c>
      <c r="G1109">
        <f>IF(D1109="KEEP",COUNTIF($D$2:D1109,"KEEP"),"")</f>
        <v/>
      </c>
      <c r="H1109">
        <f>IF(D1109="REMOVE",COUNTIF($D$2:D1109,"REMOVE"),"")</f>
        <v/>
      </c>
      <c r="I1109">
        <f>IF(E1109="Gmail",COUNTIF($E$2:E1109,"Gmail"),"")</f>
        <v/>
      </c>
      <c r="J1109">
        <f>IF(E1109="Outlook",COUNTIF($E$2:E1109,"Outlook"),"")</f>
        <v/>
      </c>
      <c r="K1109">
        <f>IF(E1109="Domain",COUNTIF($E$2:E1109,"Domain"),"")</f>
        <v/>
      </c>
    </row>
    <row r="1110">
      <c r="A1110" s="2" t="n"/>
      <c r="B1110">
        <f>LOWER(TRIM(A1110))</f>
        <v/>
      </c>
      <c r="C1110">
        <f>IF(B1110="","",IFERROR(INDEX('Bad Patterns'!$A$2:$A$120,MATCH(1,INDEX(--ISNUMBER(SEARCH('Bad Patterns'!$A$2:$A$120,B1110)),0),0)),""))</f>
        <v/>
      </c>
      <c r="D1110">
        <f>IF(B1110="","",IF(C1110&lt;&gt;"","REMOVE","KEEP"))</f>
        <v/>
      </c>
      <c r="E1110">
        <f>IF(D1110&lt;&gt;"KEEP","",IF(RIGHT(B1110,10)="@gmail.com","Gmail",IF(OR(RIGHT(B1110,12)="@outlook.com",RIGHT(B1110,12)="@hotmail.com",RIGHT(B1110,9)="@live.com"),"Outlook","Domain")))</f>
        <v/>
      </c>
      <c r="F1110">
        <f>IF(B1110="","",IFERROR(RIGHT(B1110,LEN(B1110)-FIND("@",B1110)),""))</f>
        <v/>
      </c>
      <c r="G1110">
        <f>IF(D1110="KEEP",COUNTIF($D$2:D1110,"KEEP"),"")</f>
        <v/>
      </c>
      <c r="H1110">
        <f>IF(D1110="REMOVE",COUNTIF($D$2:D1110,"REMOVE"),"")</f>
        <v/>
      </c>
      <c r="I1110">
        <f>IF(E1110="Gmail",COUNTIF($E$2:E1110,"Gmail"),"")</f>
        <v/>
      </c>
      <c r="J1110">
        <f>IF(E1110="Outlook",COUNTIF($E$2:E1110,"Outlook"),"")</f>
        <v/>
      </c>
      <c r="K1110">
        <f>IF(E1110="Domain",COUNTIF($E$2:E1110,"Domain"),"")</f>
        <v/>
      </c>
    </row>
    <row r="1111">
      <c r="A1111" s="2" t="n"/>
      <c r="B1111">
        <f>LOWER(TRIM(A1111))</f>
        <v/>
      </c>
      <c r="C1111">
        <f>IF(B1111="","",IFERROR(INDEX('Bad Patterns'!$A$2:$A$120,MATCH(1,INDEX(--ISNUMBER(SEARCH('Bad Patterns'!$A$2:$A$120,B1111)),0),0)),""))</f>
        <v/>
      </c>
      <c r="D1111">
        <f>IF(B1111="","",IF(C1111&lt;&gt;"","REMOVE","KEEP"))</f>
        <v/>
      </c>
      <c r="E1111">
        <f>IF(D1111&lt;&gt;"KEEP","",IF(RIGHT(B1111,10)="@gmail.com","Gmail",IF(OR(RIGHT(B1111,12)="@outlook.com",RIGHT(B1111,12)="@hotmail.com",RIGHT(B1111,9)="@live.com"),"Outlook","Domain")))</f>
        <v/>
      </c>
      <c r="F1111">
        <f>IF(B1111="","",IFERROR(RIGHT(B1111,LEN(B1111)-FIND("@",B1111)),""))</f>
        <v/>
      </c>
      <c r="G1111">
        <f>IF(D1111="KEEP",COUNTIF($D$2:D1111,"KEEP"),"")</f>
        <v/>
      </c>
      <c r="H1111">
        <f>IF(D1111="REMOVE",COUNTIF($D$2:D1111,"REMOVE"),"")</f>
        <v/>
      </c>
      <c r="I1111">
        <f>IF(E1111="Gmail",COUNTIF($E$2:E1111,"Gmail"),"")</f>
        <v/>
      </c>
      <c r="J1111">
        <f>IF(E1111="Outlook",COUNTIF($E$2:E1111,"Outlook"),"")</f>
        <v/>
      </c>
      <c r="K1111">
        <f>IF(E1111="Domain",COUNTIF($E$2:E1111,"Domain"),"")</f>
        <v/>
      </c>
    </row>
    <row r="1112">
      <c r="A1112" s="2" t="n"/>
      <c r="B1112">
        <f>LOWER(TRIM(A1112))</f>
        <v/>
      </c>
      <c r="C1112">
        <f>IF(B1112="","",IFERROR(INDEX('Bad Patterns'!$A$2:$A$120,MATCH(1,INDEX(--ISNUMBER(SEARCH('Bad Patterns'!$A$2:$A$120,B1112)),0),0)),""))</f>
        <v/>
      </c>
      <c r="D1112">
        <f>IF(B1112="","",IF(C1112&lt;&gt;"","REMOVE","KEEP"))</f>
        <v/>
      </c>
      <c r="E1112">
        <f>IF(D1112&lt;&gt;"KEEP","",IF(RIGHT(B1112,10)="@gmail.com","Gmail",IF(OR(RIGHT(B1112,12)="@outlook.com",RIGHT(B1112,12)="@hotmail.com",RIGHT(B1112,9)="@live.com"),"Outlook","Domain")))</f>
        <v/>
      </c>
      <c r="F1112">
        <f>IF(B1112="","",IFERROR(RIGHT(B1112,LEN(B1112)-FIND("@",B1112)),""))</f>
        <v/>
      </c>
      <c r="G1112">
        <f>IF(D1112="KEEP",COUNTIF($D$2:D1112,"KEEP"),"")</f>
        <v/>
      </c>
      <c r="H1112">
        <f>IF(D1112="REMOVE",COUNTIF($D$2:D1112,"REMOVE"),"")</f>
        <v/>
      </c>
      <c r="I1112">
        <f>IF(E1112="Gmail",COUNTIF($E$2:E1112,"Gmail"),"")</f>
        <v/>
      </c>
      <c r="J1112">
        <f>IF(E1112="Outlook",COUNTIF($E$2:E1112,"Outlook"),"")</f>
        <v/>
      </c>
      <c r="K1112">
        <f>IF(E1112="Domain",COUNTIF($E$2:E1112,"Domain"),"")</f>
        <v/>
      </c>
    </row>
    <row r="1113">
      <c r="A1113" s="2" t="n"/>
      <c r="B1113">
        <f>LOWER(TRIM(A1113))</f>
        <v/>
      </c>
      <c r="C1113">
        <f>IF(B1113="","",IFERROR(INDEX('Bad Patterns'!$A$2:$A$120,MATCH(1,INDEX(--ISNUMBER(SEARCH('Bad Patterns'!$A$2:$A$120,B1113)),0),0)),""))</f>
        <v/>
      </c>
      <c r="D1113">
        <f>IF(B1113="","",IF(C1113&lt;&gt;"","REMOVE","KEEP"))</f>
        <v/>
      </c>
      <c r="E1113">
        <f>IF(D1113&lt;&gt;"KEEP","",IF(RIGHT(B1113,10)="@gmail.com","Gmail",IF(OR(RIGHT(B1113,12)="@outlook.com",RIGHT(B1113,12)="@hotmail.com",RIGHT(B1113,9)="@live.com"),"Outlook","Domain")))</f>
        <v/>
      </c>
      <c r="F1113">
        <f>IF(B1113="","",IFERROR(RIGHT(B1113,LEN(B1113)-FIND("@",B1113)),""))</f>
        <v/>
      </c>
      <c r="G1113">
        <f>IF(D1113="KEEP",COUNTIF($D$2:D1113,"KEEP"),"")</f>
        <v/>
      </c>
      <c r="H1113">
        <f>IF(D1113="REMOVE",COUNTIF($D$2:D1113,"REMOVE"),"")</f>
        <v/>
      </c>
      <c r="I1113">
        <f>IF(E1113="Gmail",COUNTIF($E$2:E1113,"Gmail"),"")</f>
        <v/>
      </c>
      <c r="J1113">
        <f>IF(E1113="Outlook",COUNTIF($E$2:E1113,"Outlook"),"")</f>
        <v/>
      </c>
      <c r="K1113">
        <f>IF(E1113="Domain",COUNTIF($E$2:E1113,"Domain"),"")</f>
        <v/>
      </c>
    </row>
    <row r="1114">
      <c r="A1114" s="2" t="n"/>
      <c r="B1114">
        <f>LOWER(TRIM(A1114))</f>
        <v/>
      </c>
      <c r="C1114">
        <f>IF(B1114="","",IFERROR(INDEX('Bad Patterns'!$A$2:$A$120,MATCH(1,INDEX(--ISNUMBER(SEARCH('Bad Patterns'!$A$2:$A$120,B1114)),0),0)),""))</f>
        <v/>
      </c>
      <c r="D1114">
        <f>IF(B1114="","",IF(C1114&lt;&gt;"","REMOVE","KEEP"))</f>
        <v/>
      </c>
      <c r="E1114">
        <f>IF(D1114&lt;&gt;"KEEP","",IF(RIGHT(B1114,10)="@gmail.com","Gmail",IF(OR(RIGHT(B1114,12)="@outlook.com",RIGHT(B1114,12)="@hotmail.com",RIGHT(B1114,9)="@live.com"),"Outlook","Domain")))</f>
        <v/>
      </c>
      <c r="F1114">
        <f>IF(B1114="","",IFERROR(RIGHT(B1114,LEN(B1114)-FIND("@",B1114)),""))</f>
        <v/>
      </c>
      <c r="G1114">
        <f>IF(D1114="KEEP",COUNTIF($D$2:D1114,"KEEP"),"")</f>
        <v/>
      </c>
      <c r="H1114">
        <f>IF(D1114="REMOVE",COUNTIF($D$2:D1114,"REMOVE"),"")</f>
        <v/>
      </c>
      <c r="I1114">
        <f>IF(E1114="Gmail",COUNTIF($E$2:E1114,"Gmail"),"")</f>
        <v/>
      </c>
      <c r="J1114">
        <f>IF(E1114="Outlook",COUNTIF($E$2:E1114,"Outlook"),"")</f>
        <v/>
      </c>
      <c r="K1114">
        <f>IF(E1114="Domain",COUNTIF($E$2:E1114,"Domain"),"")</f>
        <v/>
      </c>
    </row>
    <row r="1115">
      <c r="A1115" s="2" t="n"/>
      <c r="B1115">
        <f>LOWER(TRIM(A1115))</f>
        <v/>
      </c>
      <c r="C1115">
        <f>IF(B1115="","",IFERROR(INDEX('Bad Patterns'!$A$2:$A$120,MATCH(1,INDEX(--ISNUMBER(SEARCH('Bad Patterns'!$A$2:$A$120,B1115)),0),0)),""))</f>
        <v/>
      </c>
      <c r="D1115">
        <f>IF(B1115="","",IF(C1115&lt;&gt;"","REMOVE","KEEP"))</f>
        <v/>
      </c>
      <c r="E1115">
        <f>IF(D1115&lt;&gt;"KEEP","",IF(RIGHT(B1115,10)="@gmail.com","Gmail",IF(OR(RIGHT(B1115,12)="@outlook.com",RIGHT(B1115,12)="@hotmail.com",RIGHT(B1115,9)="@live.com"),"Outlook","Domain")))</f>
        <v/>
      </c>
      <c r="F1115">
        <f>IF(B1115="","",IFERROR(RIGHT(B1115,LEN(B1115)-FIND("@",B1115)),""))</f>
        <v/>
      </c>
      <c r="G1115">
        <f>IF(D1115="KEEP",COUNTIF($D$2:D1115,"KEEP"),"")</f>
        <v/>
      </c>
      <c r="H1115">
        <f>IF(D1115="REMOVE",COUNTIF($D$2:D1115,"REMOVE"),"")</f>
        <v/>
      </c>
      <c r="I1115">
        <f>IF(E1115="Gmail",COUNTIF($E$2:E1115,"Gmail"),"")</f>
        <v/>
      </c>
      <c r="J1115">
        <f>IF(E1115="Outlook",COUNTIF($E$2:E1115,"Outlook"),"")</f>
        <v/>
      </c>
      <c r="K1115">
        <f>IF(E1115="Domain",COUNTIF($E$2:E1115,"Domain"),"")</f>
        <v/>
      </c>
    </row>
    <row r="1116">
      <c r="A1116" s="2" t="n"/>
      <c r="B1116">
        <f>LOWER(TRIM(A1116))</f>
        <v/>
      </c>
      <c r="C1116">
        <f>IF(B1116="","",IFERROR(INDEX('Bad Patterns'!$A$2:$A$120,MATCH(1,INDEX(--ISNUMBER(SEARCH('Bad Patterns'!$A$2:$A$120,B1116)),0),0)),""))</f>
        <v/>
      </c>
      <c r="D1116">
        <f>IF(B1116="","",IF(C1116&lt;&gt;"","REMOVE","KEEP"))</f>
        <v/>
      </c>
      <c r="E1116">
        <f>IF(D1116&lt;&gt;"KEEP","",IF(RIGHT(B1116,10)="@gmail.com","Gmail",IF(OR(RIGHT(B1116,12)="@outlook.com",RIGHT(B1116,12)="@hotmail.com",RIGHT(B1116,9)="@live.com"),"Outlook","Domain")))</f>
        <v/>
      </c>
      <c r="F1116">
        <f>IF(B1116="","",IFERROR(RIGHT(B1116,LEN(B1116)-FIND("@",B1116)),""))</f>
        <v/>
      </c>
      <c r="G1116">
        <f>IF(D1116="KEEP",COUNTIF($D$2:D1116,"KEEP"),"")</f>
        <v/>
      </c>
      <c r="H1116">
        <f>IF(D1116="REMOVE",COUNTIF($D$2:D1116,"REMOVE"),"")</f>
        <v/>
      </c>
      <c r="I1116">
        <f>IF(E1116="Gmail",COUNTIF($E$2:E1116,"Gmail"),"")</f>
        <v/>
      </c>
      <c r="J1116">
        <f>IF(E1116="Outlook",COUNTIF($E$2:E1116,"Outlook"),"")</f>
        <v/>
      </c>
      <c r="K1116">
        <f>IF(E1116="Domain",COUNTIF($E$2:E1116,"Domain"),"")</f>
        <v/>
      </c>
    </row>
    <row r="1117">
      <c r="A1117" s="2" t="n"/>
      <c r="B1117">
        <f>LOWER(TRIM(A1117))</f>
        <v/>
      </c>
      <c r="C1117">
        <f>IF(B1117="","",IFERROR(INDEX('Bad Patterns'!$A$2:$A$120,MATCH(1,INDEX(--ISNUMBER(SEARCH('Bad Patterns'!$A$2:$A$120,B1117)),0),0)),""))</f>
        <v/>
      </c>
      <c r="D1117">
        <f>IF(B1117="","",IF(C1117&lt;&gt;"","REMOVE","KEEP"))</f>
        <v/>
      </c>
      <c r="E1117">
        <f>IF(D1117&lt;&gt;"KEEP","",IF(RIGHT(B1117,10)="@gmail.com","Gmail",IF(OR(RIGHT(B1117,12)="@outlook.com",RIGHT(B1117,12)="@hotmail.com",RIGHT(B1117,9)="@live.com"),"Outlook","Domain")))</f>
        <v/>
      </c>
      <c r="F1117">
        <f>IF(B1117="","",IFERROR(RIGHT(B1117,LEN(B1117)-FIND("@",B1117)),""))</f>
        <v/>
      </c>
      <c r="G1117">
        <f>IF(D1117="KEEP",COUNTIF($D$2:D1117,"KEEP"),"")</f>
        <v/>
      </c>
      <c r="H1117">
        <f>IF(D1117="REMOVE",COUNTIF($D$2:D1117,"REMOVE"),"")</f>
        <v/>
      </c>
      <c r="I1117">
        <f>IF(E1117="Gmail",COUNTIF($E$2:E1117,"Gmail"),"")</f>
        <v/>
      </c>
      <c r="J1117">
        <f>IF(E1117="Outlook",COUNTIF($E$2:E1117,"Outlook"),"")</f>
        <v/>
      </c>
      <c r="K1117">
        <f>IF(E1117="Domain",COUNTIF($E$2:E1117,"Domain"),"")</f>
        <v/>
      </c>
    </row>
    <row r="1118">
      <c r="A1118" s="2" t="n"/>
      <c r="B1118">
        <f>LOWER(TRIM(A1118))</f>
        <v/>
      </c>
      <c r="C1118">
        <f>IF(B1118="","",IFERROR(INDEX('Bad Patterns'!$A$2:$A$120,MATCH(1,INDEX(--ISNUMBER(SEARCH('Bad Patterns'!$A$2:$A$120,B1118)),0),0)),""))</f>
        <v/>
      </c>
      <c r="D1118">
        <f>IF(B1118="","",IF(C1118&lt;&gt;"","REMOVE","KEEP"))</f>
        <v/>
      </c>
      <c r="E1118">
        <f>IF(D1118&lt;&gt;"KEEP","",IF(RIGHT(B1118,10)="@gmail.com","Gmail",IF(OR(RIGHT(B1118,12)="@outlook.com",RIGHT(B1118,12)="@hotmail.com",RIGHT(B1118,9)="@live.com"),"Outlook","Domain")))</f>
        <v/>
      </c>
      <c r="F1118">
        <f>IF(B1118="","",IFERROR(RIGHT(B1118,LEN(B1118)-FIND("@",B1118)),""))</f>
        <v/>
      </c>
      <c r="G1118">
        <f>IF(D1118="KEEP",COUNTIF($D$2:D1118,"KEEP"),"")</f>
        <v/>
      </c>
      <c r="H1118">
        <f>IF(D1118="REMOVE",COUNTIF($D$2:D1118,"REMOVE"),"")</f>
        <v/>
      </c>
      <c r="I1118">
        <f>IF(E1118="Gmail",COUNTIF($E$2:E1118,"Gmail"),"")</f>
        <v/>
      </c>
      <c r="J1118">
        <f>IF(E1118="Outlook",COUNTIF($E$2:E1118,"Outlook"),"")</f>
        <v/>
      </c>
      <c r="K1118">
        <f>IF(E1118="Domain",COUNTIF($E$2:E1118,"Domain"),"")</f>
        <v/>
      </c>
    </row>
    <row r="1119">
      <c r="A1119" s="2" t="n"/>
      <c r="B1119">
        <f>LOWER(TRIM(A1119))</f>
        <v/>
      </c>
      <c r="C1119">
        <f>IF(B1119="","",IFERROR(INDEX('Bad Patterns'!$A$2:$A$120,MATCH(1,INDEX(--ISNUMBER(SEARCH('Bad Patterns'!$A$2:$A$120,B1119)),0),0)),""))</f>
        <v/>
      </c>
      <c r="D1119">
        <f>IF(B1119="","",IF(C1119&lt;&gt;"","REMOVE","KEEP"))</f>
        <v/>
      </c>
      <c r="E1119">
        <f>IF(D1119&lt;&gt;"KEEP","",IF(RIGHT(B1119,10)="@gmail.com","Gmail",IF(OR(RIGHT(B1119,12)="@outlook.com",RIGHT(B1119,12)="@hotmail.com",RIGHT(B1119,9)="@live.com"),"Outlook","Domain")))</f>
        <v/>
      </c>
      <c r="F1119">
        <f>IF(B1119="","",IFERROR(RIGHT(B1119,LEN(B1119)-FIND("@",B1119)),""))</f>
        <v/>
      </c>
      <c r="G1119">
        <f>IF(D1119="KEEP",COUNTIF($D$2:D1119,"KEEP"),"")</f>
        <v/>
      </c>
      <c r="H1119">
        <f>IF(D1119="REMOVE",COUNTIF($D$2:D1119,"REMOVE"),"")</f>
        <v/>
      </c>
      <c r="I1119">
        <f>IF(E1119="Gmail",COUNTIF($E$2:E1119,"Gmail"),"")</f>
        <v/>
      </c>
      <c r="J1119">
        <f>IF(E1119="Outlook",COUNTIF($E$2:E1119,"Outlook"),"")</f>
        <v/>
      </c>
      <c r="K1119">
        <f>IF(E1119="Domain",COUNTIF($E$2:E1119,"Domain"),"")</f>
        <v/>
      </c>
    </row>
    <row r="1120">
      <c r="A1120" s="2" t="n"/>
      <c r="B1120">
        <f>LOWER(TRIM(A1120))</f>
        <v/>
      </c>
      <c r="C1120">
        <f>IF(B1120="","",IFERROR(INDEX('Bad Patterns'!$A$2:$A$120,MATCH(1,INDEX(--ISNUMBER(SEARCH('Bad Patterns'!$A$2:$A$120,B1120)),0),0)),""))</f>
        <v/>
      </c>
      <c r="D1120">
        <f>IF(B1120="","",IF(C1120&lt;&gt;"","REMOVE","KEEP"))</f>
        <v/>
      </c>
      <c r="E1120">
        <f>IF(D1120&lt;&gt;"KEEP","",IF(RIGHT(B1120,10)="@gmail.com","Gmail",IF(OR(RIGHT(B1120,12)="@outlook.com",RIGHT(B1120,12)="@hotmail.com",RIGHT(B1120,9)="@live.com"),"Outlook","Domain")))</f>
        <v/>
      </c>
      <c r="F1120">
        <f>IF(B1120="","",IFERROR(RIGHT(B1120,LEN(B1120)-FIND("@",B1120)),""))</f>
        <v/>
      </c>
      <c r="G1120">
        <f>IF(D1120="KEEP",COUNTIF($D$2:D1120,"KEEP"),"")</f>
        <v/>
      </c>
      <c r="H1120">
        <f>IF(D1120="REMOVE",COUNTIF($D$2:D1120,"REMOVE"),"")</f>
        <v/>
      </c>
      <c r="I1120">
        <f>IF(E1120="Gmail",COUNTIF($E$2:E1120,"Gmail"),"")</f>
        <v/>
      </c>
      <c r="J1120">
        <f>IF(E1120="Outlook",COUNTIF($E$2:E1120,"Outlook"),"")</f>
        <v/>
      </c>
      <c r="K1120">
        <f>IF(E1120="Domain",COUNTIF($E$2:E1120,"Domain"),"")</f>
        <v/>
      </c>
    </row>
    <row r="1121">
      <c r="A1121" s="2" t="n"/>
      <c r="B1121">
        <f>LOWER(TRIM(A1121))</f>
        <v/>
      </c>
      <c r="C1121">
        <f>IF(B1121="","",IFERROR(INDEX('Bad Patterns'!$A$2:$A$120,MATCH(1,INDEX(--ISNUMBER(SEARCH('Bad Patterns'!$A$2:$A$120,B1121)),0),0)),""))</f>
        <v/>
      </c>
      <c r="D1121">
        <f>IF(B1121="","",IF(C1121&lt;&gt;"","REMOVE","KEEP"))</f>
        <v/>
      </c>
      <c r="E1121">
        <f>IF(D1121&lt;&gt;"KEEP","",IF(RIGHT(B1121,10)="@gmail.com","Gmail",IF(OR(RIGHT(B1121,12)="@outlook.com",RIGHT(B1121,12)="@hotmail.com",RIGHT(B1121,9)="@live.com"),"Outlook","Domain")))</f>
        <v/>
      </c>
      <c r="F1121">
        <f>IF(B1121="","",IFERROR(RIGHT(B1121,LEN(B1121)-FIND("@",B1121)),""))</f>
        <v/>
      </c>
      <c r="G1121">
        <f>IF(D1121="KEEP",COUNTIF($D$2:D1121,"KEEP"),"")</f>
        <v/>
      </c>
      <c r="H1121">
        <f>IF(D1121="REMOVE",COUNTIF($D$2:D1121,"REMOVE"),"")</f>
        <v/>
      </c>
      <c r="I1121">
        <f>IF(E1121="Gmail",COUNTIF($E$2:E1121,"Gmail"),"")</f>
        <v/>
      </c>
      <c r="J1121">
        <f>IF(E1121="Outlook",COUNTIF($E$2:E1121,"Outlook"),"")</f>
        <v/>
      </c>
      <c r="K1121">
        <f>IF(E1121="Domain",COUNTIF($E$2:E1121,"Domain"),"")</f>
        <v/>
      </c>
    </row>
    <row r="1122">
      <c r="A1122" s="2" t="n"/>
      <c r="B1122">
        <f>LOWER(TRIM(A1122))</f>
        <v/>
      </c>
      <c r="C1122">
        <f>IF(B1122="","",IFERROR(INDEX('Bad Patterns'!$A$2:$A$120,MATCH(1,INDEX(--ISNUMBER(SEARCH('Bad Patterns'!$A$2:$A$120,B1122)),0),0)),""))</f>
        <v/>
      </c>
      <c r="D1122">
        <f>IF(B1122="","",IF(C1122&lt;&gt;"","REMOVE","KEEP"))</f>
        <v/>
      </c>
      <c r="E1122">
        <f>IF(D1122&lt;&gt;"KEEP","",IF(RIGHT(B1122,10)="@gmail.com","Gmail",IF(OR(RIGHT(B1122,12)="@outlook.com",RIGHT(B1122,12)="@hotmail.com",RIGHT(B1122,9)="@live.com"),"Outlook","Domain")))</f>
        <v/>
      </c>
      <c r="F1122">
        <f>IF(B1122="","",IFERROR(RIGHT(B1122,LEN(B1122)-FIND("@",B1122)),""))</f>
        <v/>
      </c>
      <c r="G1122">
        <f>IF(D1122="KEEP",COUNTIF($D$2:D1122,"KEEP"),"")</f>
        <v/>
      </c>
      <c r="H1122">
        <f>IF(D1122="REMOVE",COUNTIF($D$2:D1122,"REMOVE"),"")</f>
        <v/>
      </c>
      <c r="I1122">
        <f>IF(E1122="Gmail",COUNTIF($E$2:E1122,"Gmail"),"")</f>
        <v/>
      </c>
      <c r="J1122">
        <f>IF(E1122="Outlook",COUNTIF($E$2:E1122,"Outlook"),"")</f>
        <v/>
      </c>
      <c r="K1122">
        <f>IF(E1122="Domain",COUNTIF($E$2:E1122,"Domain"),"")</f>
        <v/>
      </c>
    </row>
    <row r="1123">
      <c r="A1123" s="2" t="n"/>
      <c r="B1123">
        <f>LOWER(TRIM(A1123))</f>
        <v/>
      </c>
      <c r="C1123">
        <f>IF(B1123="","",IFERROR(INDEX('Bad Patterns'!$A$2:$A$120,MATCH(1,INDEX(--ISNUMBER(SEARCH('Bad Patterns'!$A$2:$A$120,B1123)),0),0)),""))</f>
        <v/>
      </c>
      <c r="D1123">
        <f>IF(B1123="","",IF(C1123&lt;&gt;"","REMOVE","KEEP"))</f>
        <v/>
      </c>
      <c r="E1123">
        <f>IF(D1123&lt;&gt;"KEEP","",IF(RIGHT(B1123,10)="@gmail.com","Gmail",IF(OR(RIGHT(B1123,12)="@outlook.com",RIGHT(B1123,12)="@hotmail.com",RIGHT(B1123,9)="@live.com"),"Outlook","Domain")))</f>
        <v/>
      </c>
      <c r="F1123">
        <f>IF(B1123="","",IFERROR(RIGHT(B1123,LEN(B1123)-FIND("@",B1123)),""))</f>
        <v/>
      </c>
      <c r="G1123">
        <f>IF(D1123="KEEP",COUNTIF($D$2:D1123,"KEEP"),"")</f>
        <v/>
      </c>
      <c r="H1123">
        <f>IF(D1123="REMOVE",COUNTIF($D$2:D1123,"REMOVE"),"")</f>
        <v/>
      </c>
      <c r="I1123">
        <f>IF(E1123="Gmail",COUNTIF($E$2:E1123,"Gmail"),"")</f>
        <v/>
      </c>
      <c r="J1123">
        <f>IF(E1123="Outlook",COUNTIF($E$2:E1123,"Outlook"),"")</f>
        <v/>
      </c>
      <c r="K1123">
        <f>IF(E1123="Domain",COUNTIF($E$2:E1123,"Domain"),"")</f>
        <v/>
      </c>
    </row>
    <row r="1124">
      <c r="A1124" s="2" t="n"/>
      <c r="B1124">
        <f>LOWER(TRIM(A1124))</f>
        <v/>
      </c>
      <c r="C1124">
        <f>IF(B1124="","",IFERROR(INDEX('Bad Patterns'!$A$2:$A$120,MATCH(1,INDEX(--ISNUMBER(SEARCH('Bad Patterns'!$A$2:$A$120,B1124)),0),0)),""))</f>
        <v/>
      </c>
      <c r="D1124">
        <f>IF(B1124="","",IF(C1124&lt;&gt;"","REMOVE","KEEP"))</f>
        <v/>
      </c>
      <c r="E1124">
        <f>IF(D1124&lt;&gt;"KEEP","",IF(RIGHT(B1124,10)="@gmail.com","Gmail",IF(OR(RIGHT(B1124,12)="@outlook.com",RIGHT(B1124,12)="@hotmail.com",RIGHT(B1124,9)="@live.com"),"Outlook","Domain")))</f>
        <v/>
      </c>
      <c r="F1124">
        <f>IF(B1124="","",IFERROR(RIGHT(B1124,LEN(B1124)-FIND("@",B1124)),""))</f>
        <v/>
      </c>
      <c r="G1124">
        <f>IF(D1124="KEEP",COUNTIF($D$2:D1124,"KEEP"),"")</f>
        <v/>
      </c>
      <c r="H1124">
        <f>IF(D1124="REMOVE",COUNTIF($D$2:D1124,"REMOVE"),"")</f>
        <v/>
      </c>
      <c r="I1124">
        <f>IF(E1124="Gmail",COUNTIF($E$2:E1124,"Gmail"),"")</f>
        <v/>
      </c>
      <c r="J1124">
        <f>IF(E1124="Outlook",COUNTIF($E$2:E1124,"Outlook"),"")</f>
        <v/>
      </c>
      <c r="K1124">
        <f>IF(E1124="Domain",COUNTIF($E$2:E1124,"Domain"),"")</f>
        <v/>
      </c>
    </row>
    <row r="1125">
      <c r="A1125" s="2" t="n"/>
      <c r="B1125">
        <f>LOWER(TRIM(A1125))</f>
        <v/>
      </c>
      <c r="C1125">
        <f>IF(B1125="","",IFERROR(INDEX('Bad Patterns'!$A$2:$A$120,MATCH(1,INDEX(--ISNUMBER(SEARCH('Bad Patterns'!$A$2:$A$120,B1125)),0),0)),""))</f>
        <v/>
      </c>
      <c r="D1125">
        <f>IF(B1125="","",IF(C1125&lt;&gt;"","REMOVE","KEEP"))</f>
        <v/>
      </c>
      <c r="E1125">
        <f>IF(D1125&lt;&gt;"KEEP","",IF(RIGHT(B1125,10)="@gmail.com","Gmail",IF(OR(RIGHT(B1125,12)="@outlook.com",RIGHT(B1125,12)="@hotmail.com",RIGHT(B1125,9)="@live.com"),"Outlook","Domain")))</f>
        <v/>
      </c>
      <c r="F1125">
        <f>IF(B1125="","",IFERROR(RIGHT(B1125,LEN(B1125)-FIND("@",B1125)),""))</f>
        <v/>
      </c>
      <c r="G1125">
        <f>IF(D1125="KEEP",COUNTIF($D$2:D1125,"KEEP"),"")</f>
        <v/>
      </c>
      <c r="H1125">
        <f>IF(D1125="REMOVE",COUNTIF($D$2:D1125,"REMOVE"),"")</f>
        <v/>
      </c>
      <c r="I1125">
        <f>IF(E1125="Gmail",COUNTIF($E$2:E1125,"Gmail"),"")</f>
        <v/>
      </c>
      <c r="J1125">
        <f>IF(E1125="Outlook",COUNTIF($E$2:E1125,"Outlook"),"")</f>
        <v/>
      </c>
      <c r="K1125">
        <f>IF(E1125="Domain",COUNTIF($E$2:E1125,"Domain"),"")</f>
        <v/>
      </c>
    </row>
    <row r="1126">
      <c r="A1126" s="2" t="n"/>
      <c r="B1126">
        <f>LOWER(TRIM(A1126))</f>
        <v/>
      </c>
      <c r="C1126">
        <f>IF(B1126="","",IFERROR(INDEX('Bad Patterns'!$A$2:$A$120,MATCH(1,INDEX(--ISNUMBER(SEARCH('Bad Patterns'!$A$2:$A$120,B1126)),0),0)),""))</f>
        <v/>
      </c>
      <c r="D1126">
        <f>IF(B1126="","",IF(C1126&lt;&gt;"","REMOVE","KEEP"))</f>
        <v/>
      </c>
      <c r="E1126">
        <f>IF(D1126&lt;&gt;"KEEP","",IF(RIGHT(B1126,10)="@gmail.com","Gmail",IF(OR(RIGHT(B1126,12)="@outlook.com",RIGHT(B1126,12)="@hotmail.com",RIGHT(B1126,9)="@live.com"),"Outlook","Domain")))</f>
        <v/>
      </c>
      <c r="F1126">
        <f>IF(B1126="","",IFERROR(RIGHT(B1126,LEN(B1126)-FIND("@",B1126)),""))</f>
        <v/>
      </c>
      <c r="G1126">
        <f>IF(D1126="KEEP",COUNTIF($D$2:D1126,"KEEP"),"")</f>
        <v/>
      </c>
      <c r="H1126">
        <f>IF(D1126="REMOVE",COUNTIF($D$2:D1126,"REMOVE"),"")</f>
        <v/>
      </c>
      <c r="I1126">
        <f>IF(E1126="Gmail",COUNTIF($E$2:E1126,"Gmail"),"")</f>
        <v/>
      </c>
      <c r="J1126">
        <f>IF(E1126="Outlook",COUNTIF($E$2:E1126,"Outlook"),"")</f>
        <v/>
      </c>
      <c r="K1126">
        <f>IF(E1126="Domain",COUNTIF($E$2:E1126,"Domain"),"")</f>
        <v/>
      </c>
    </row>
    <row r="1127">
      <c r="A1127" s="2" t="n"/>
      <c r="B1127">
        <f>LOWER(TRIM(A1127))</f>
        <v/>
      </c>
      <c r="C1127">
        <f>IF(B1127="","",IFERROR(INDEX('Bad Patterns'!$A$2:$A$120,MATCH(1,INDEX(--ISNUMBER(SEARCH('Bad Patterns'!$A$2:$A$120,B1127)),0),0)),""))</f>
        <v/>
      </c>
      <c r="D1127">
        <f>IF(B1127="","",IF(C1127&lt;&gt;"","REMOVE","KEEP"))</f>
        <v/>
      </c>
      <c r="E1127">
        <f>IF(D1127&lt;&gt;"KEEP","",IF(RIGHT(B1127,10)="@gmail.com","Gmail",IF(OR(RIGHT(B1127,12)="@outlook.com",RIGHT(B1127,12)="@hotmail.com",RIGHT(B1127,9)="@live.com"),"Outlook","Domain")))</f>
        <v/>
      </c>
      <c r="F1127">
        <f>IF(B1127="","",IFERROR(RIGHT(B1127,LEN(B1127)-FIND("@",B1127)),""))</f>
        <v/>
      </c>
      <c r="G1127">
        <f>IF(D1127="KEEP",COUNTIF($D$2:D1127,"KEEP"),"")</f>
        <v/>
      </c>
      <c r="H1127">
        <f>IF(D1127="REMOVE",COUNTIF($D$2:D1127,"REMOVE"),"")</f>
        <v/>
      </c>
      <c r="I1127">
        <f>IF(E1127="Gmail",COUNTIF($E$2:E1127,"Gmail"),"")</f>
        <v/>
      </c>
      <c r="J1127">
        <f>IF(E1127="Outlook",COUNTIF($E$2:E1127,"Outlook"),"")</f>
        <v/>
      </c>
      <c r="K1127">
        <f>IF(E1127="Domain",COUNTIF($E$2:E1127,"Domain"),"")</f>
        <v/>
      </c>
    </row>
    <row r="1128">
      <c r="A1128" s="2" t="n"/>
      <c r="B1128">
        <f>LOWER(TRIM(A1128))</f>
        <v/>
      </c>
      <c r="C1128">
        <f>IF(B1128="","",IFERROR(INDEX('Bad Patterns'!$A$2:$A$120,MATCH(1,INDEX(--ISNUMBER(SEARCH('Bad Patterns'!$A$2:$A$120,B1128)),0),0)),""))</f>
        <v/>
      </c>
      <c r="D1128">
        <f>IF(B1128="","",IF(C1128&lt;&gt;"","REMOVE","KEEP"))</f>
        <v/>
      </c>
      <c r="E1128">
        <f>IF(D1128&lt;&gt;"KEEP","",IF(RIGHT(B1128,10)="@gmail.com","Gmail",IF(OR(RIGHT(B1128,12)="@outlook.com",RIGHT(B1128,12)="@hotmail.com",RIGHT(B1128,9)="@live.com"),"Outlook","Domain")))</f>
        <v/>
      </c>
      <c r="F1128">
        <f>IF(B1128="","",IFERROR(RIGHT(B1128,LEN(B1128)-FIND("@",B1128)),""))</f>
        <v/>
      </c>
      <c r="G1128">
        <f>IF(D1128="KEEP",COUNTIF($D$2:D1128,"KEEP"),"")</f>
        <v/>
      </c>
      <c r="H1128">
        <f>IF(D1128="REMOVE",COUNTIF($D$2:D1128,"REMOVE"),"")</f>
        <v/>
      </c>
      <c r="I1128">
        <f>IF(E1128="Gmail",COUNTIF($E$2:E1128,"Gmail"),"")</f>
        <v/>
      </c>
      <c r="J1128">
        <f>IF(E1128="Outlook",COUNTIF($E$2:E1128,"Outlook"),"")</f>
        <v/>
      </c>
      <c r="K1128">
        <f>IF(E1128="Domain",COUNTIF($E$2:E1128,"Domain"),"")</f>
        <v/>
      </c>
    </row>
    <row r="1129">
      <c r="A1129" s="2" t="n"/>
      <c r="B1129">
        <f>LOWER(TRIM(A1129))</f>
        <v/>
      </c>
      <c r="C1129">
        <f>IF(B1129="","",IFERROR(INDEX('Bad Patterns'!$A$2:$A$120,MATCH(1,INDEX(--ISNUMBER(SEARCH('Bad Patterns'!$A$2:$A$120,B1129)),0),0)),""))</f>
        <v/>
      </c>
      <c r="D1129">
        <f>IF(B1129="","",IF(C1129&lt;&gt;"","REMOVE","KEEP"))</f>
        <v/>
      </c>
      <c r="E1129">
        <f>IF(D1129&lt;&gt;"KEEP","",IF(RIGHT(B1129,10)="@gmail.com","Gmail",IF(OR(RIGHT(B1129,12)="@outlook.com",RIGHT(B1129,12)="@hotmail.com",RIGHT(B1129,9)="@live.com"),"Outlook","Domain")))</f>
        <v/>
      </c>
      <c r="F1129">
        <f>IF(B1129="","",IFERROR(RIGHT(B1129,LEN(B1129)-FIND("@",B1129)),""))</f>
        <v/>
      </c>
      <c r="G1129">
        <f>IF(D1129="KEEP",COUNTIF($D$2:D1129,"KEEP"),"")</f>
        <v/>
      </c>
      <c r="H1129">
        <f>IF(D1129="REMOVE",COUNTIF($D$2:D1129,"REMOVE"),"")</f>
        <v/>
      </c>
      <c r="I1129">
        <f>IF(E1129="Gmail",COUNTIF($E$2:E1129,"Gmail"),"")</f>
        <v/>
      </c>
      <c r="J1129">
        <f>IF(E1129="Outlook",COUNTIF($E$2:E1129,"Outlook"),"")</f>
        <v/>
      </c>
      <c r="K1129">
        <f>IF(E1129="Domain",COUNTIF($E$2:E1129,"Domain"),"")</f>
        <v/>
      </c>
    </row>
    <row r="1130">
      <c r="A1130" s="2" t="n"/>
      <c r="B1130">
        <f>LOWER(TRIM(A1130))</f>
        <v/>
      </c>
      <c r="C1130">
        <f>IF(B1130="","",IFERROR(INDEX('Bad Patterns'!$A$2:$A$120,MATCH(1,INDEX(--ISNUMBER(SEARCH('Bad Patterns'!$A$2:$A$120,B1130)),0),0)),""))</f>
        <v/>
      </c>
      <c r="D1130">
        <f>IF(B1130="","",IF(C1130&lt;&gt;"","REMOVE","KEEP"))</f>
        <v/>
      </c>
      <c r="E1130">
        <f>IF(D1130&lt;&gt;"KEEP","",IF(RIGHT(B1130,10)="@gmail.com","Gmail",IF(OR(RIGHT(B1130,12)="@outlook.com",RIGHT(B1130,12)="@hotmail.com",RIGHT(B1130,9)="@live.com"),"Outlook","Domain")))</f>
        <v/>
      </c>
      <c r="F1130">
        <f>IF(B1130="","",IFERROR(RIGHT(B1130,LEN(B1130)-FIND("@",B1130)),""))</f>
        <v/>
      </c>
      <c r="G1130">
        <f>IF(D1130="KEEP",COUNTIF($D$2:D1130,"KEEP"),"")</f>
        <v/>
      </c>
      <c r="H1130">
        <f>IF(D1130="REMOVE",COUNTIF($D$2:D1130,"REMOVE"),"")</f>
        <v/>
      </c>
      <c r="I1130">
        <f>IF(E1130="Gmail",COUNTIF($E$2:E1130,"Gmail"),"")</f>
        <v/>
      </c>
      <c r="J1130">
        <f>IF(E1130="Outlook",COUNTIF($E$2:E1130,"Outlook"),"")</f>
        <v/>
      </c>
      <c r="K1130">
        <f>IF(E1130="Domain",COUNTIF($E$2:E1130,"Domain"),"")</f>
        <v/>
      </c>
    </row>
    <row r="1131">
      <c r="A1131" s="2" t="n"/>
      <c r="B1131">
        <f>LOWER(TRIM(A1131))</f>
        <v/>
      </c>
      <c r="C1131">
        <f>IF(B1131="","",IFERROR(INDEX('Bad Patterns'!$A$2:$A$120,MATCH(1,INDEX(--ISNUMBER(SEARCH('Bad Patterns'!$A$2:$A$120,B1131)),0),0)),""))</f>
        <v/>
      </c>
      <c r="D1131">
        <f>IF(B1131="","",IF(C1131&lt;&gt;"","REMOVE","KEEP"))</f>
        <v/>
      </c>
      <c r="E1131">
        <f>IF(D1131&lt;&gt;"KEEP","",IF(RIGHT(B1131,10)="@gmail.com","Gmail",IF(OR(RIGHT(B1131,12)="@outlook.com",RIGHT(B1131,12)="@hotmail.com",RIGHT(B1131,9)="@live.com"),"Outlook","Domain")))</f>
        <v/>
      </c>
      <c r="F1131">
        <f>IF(B1131="","",IFERROR(RIGHT(B1131,LEN(B1131)-FIND("@",B1131)),""))</f>
        <v/>
      </c>
      <c r="G1131">
        <f>IF(D1131="KEEP",COUNTIF($D$2:D1131,"KEEP"),"")</f>
        <v/>
      </c>
      <c r="H1131">
        <f>IF(D1131="REMOVE",COUNTIF($D$2:D1131,"REMOVE"),"")</f>
        <v/>
      </c>
      <c r="I1131">
        <f>IF(E1131="Gmail",COUNTIF($E$2:E1131,"Gmail"),"")</f>
        <v/>
      </c>
      <c r="J1131">
        <f>IF(E1131="Outlook",COUNTIF($E$2:E1131,"Outlook"),"")</f>
        <v/>
      </c>
      <c r="K1131">
        <f>IF(E1131="Domain",COUNTIF($E$2:E1131,"Domain"),"")</f>
        <v/>
      </c>
    </row>
    <row r="1132">
      <c r="A1132" s="2" t="n"/>
      <c r="B1132">
        <f>LOWER(TRIM(A1132))</f>
        <v/>
      </c>
      <c r="C1132">
        <f>IF(B1132="","",IFERROR(INDEX('Bad Patterns'!$A$2:$A$120,MATCH(1,INDEX(--ISNUMBER(SEARCH('Bad Patterns'!$A$2:$A$120,B1132)),0),0)),""))</f>
        <v/>
      </c>
      <c r="D1132">
        <f>IF(B1132="","",IF(C1132&lt;&gt;"","REMOVE","KEEP"))</f>
        <v/>
      </c>
      <c r="E1132">
        <f>IF(D1132&lt;&gt;"KEEP","",IF(RIGHT(B1132,10)="@gmail.com","Gmail",IF(OR(RIGHT(B1132,12)="@outlook.com",RIGHT(B1132,12)="@hotmail.com",RIGHT(B1132,9)="@live.com"),"Outlook","Domain")))</f>
        <v/>
      </c>
      <c r="F1132">
        <f>IF(B1132="","",IFERROR(RIGHT(B1132,LEN(B1132)-FIND("@",B1132)),""))</f>
        <v/>
      </c>
      <c r="G1132">
        <f>IF(D1132="KEEP",COUNTIF($D$2:D1132,"KEEP"),"")</f>
        <v/>
      </c>
      <c r="H1132">
        <f>IF(D1132="REMOVE",COUNTIF($D$2:D1132,"REMOVE"),"")</f>
        <v/>
      </c>
      <c r="I1132">
        <f>IF(E1132="Gmail",COUNTIF($E$2:E1132,"Gmail"),"")</f>
        <v/>
      </c>
      <c r="J1132">
        <f>IF(E1132="Outlook",COUNTIF($E$2:E1132,"Outlook"),"")</f>
        <v/>
      </c>
      <c r="K1132">
        <f>IF(E1132="Domain",COUNTIF($E$2:E1132,"Domain"),"")</f>
        <v/>
      </c>
    </row>
    <row r="1133">
      <c r="A1133" s="2" t="n"/>
      <c r="B1133">
        <f>LOWER(TRIM(A1133))</f>
        <v/>
      </c>
      <c r="C1133">
        <f>IF(B1133="","",IFERROR(INDEX('Bad Patterns'!$A$2:$A$120,MATCH(1,INDEX(--ISNUMBER(SEARCH('Bad Patterns'!$A$2:$A$120,B1133)),0),0)),""))</f>
        <v/>
      </c>
      <c r="D1133">
        <f>IF(B1133="","",IF(C1133&lt;&gt;"","REMOVE","KEEP"))</f>
        <v/>
      </c>
      <c r="E1133">
        <f>IF(D1133&lt;&gt;"KEEP","",IF(RIGHT(B1133,10)="@gmail.com","Gmail",IF(OR(RIGHT(B1133,12)="@outlook.com",RIGHT(B1133,12)="@hotmail.com",RIGHT(B1133,9)="@live.com"),"Outlook","Domain")))</f>
        <v/>
      </c>
      <c r="F1133">
        <f>IF(B1133="","",IFERROR(RIGHT(B1133,LEN(B1133)-FIND("@",B1133)),""))</f>
        <v/>
      </c>
      <c r="G1133">
        <f>IF(D1133="KEEP",COUNTIF($D$2:D1133,"KEEP"),"")</f>
        <v/>
      </c>
      <c r="H1133">
        <f>IF(D1133="REMOVE",COUNTIF($D$2:D1133,"REMOVE"),"")</f>
        <v/>
      </c>
      <c r="I1133">
        <f>IF(E1133="Gmail",COUNTIF($E$2:E1133,"Gmail"),"")</f>
        <v/>
      </c>
      <c r="J1133">
        <f>IF(E1133="Outlook",COUNTIF($E$2:E1133,"Outlook"),"")</f>
        <v/>
      </c>
      <c r="K1133">
        <f>IF(E1133="Domain",COUNTIF($E$2:E1133,"Domain"),"")</f>
        <v/>
      </c>
    </row>
    <row r="1134">
      <c r="A1134" s="2" t="n"/>
      <c r="B1134">
        <f>LOWER(TRIM(A1134))</f>
        <v/>
      </c>
      <c r="C1134">
        <f>IF(B1134="","",IFERROR(INDEX('Bad Patterns'!$A$2:$A$120,MATCH(1,INDEX(--ISNUMBER(SEARCH('Bad Patterns'!$A$2:$A$120,B1134)),0),0)),""))</f>
        <v/>
      </c>
      <c r="D1134">
        <f>IF(B1134="","",IF(C1134&lt;&gt;"","REMOVE","KEEP"))</f>
        <v/>
      </c>
      <c r="E1134">
        <f>IF(D1134&lt;&gt;"KEEP","",IF(RIGHT(B1134,10)="@gmail.com","Gmail",IF(OR(RIGHT(B1134,12)="@outlook.com",RIGHT(B1134,12)="@hotmail.com",RIGHT(B1134,9)="@live.com"),"Outlook","Domain")))</f>
        <v/>
      </c>
      <c r="F1134">
        <f>IF(B1134="","",IFERROR(RIGHT(B1134,LEN(B1134)-FIND("@",B1134)),""))</f>
        <v/>
      </c>
      <c r="G1134">
        <f>IF(D1134="KEEP",COUNTIF($D$2:D1134,"KEEP"),"")</f>
        <v/>
      </c>
      <c r="H1134">
        <f>IF(D1134="REMOVE",COUNTIF($D$2:D1134,"REMOVE"),"")</f>
        <v/>
      </c>
      <c r="I1134">
        <f>IF(E1134="Gmail",COUNTIF($E$2:E1134,"Gmail"),"")</f>
        <v/>
      </c>
      <c r="J1134">
        <f>IF(E1134="Outlook",COUNTIF($E$2:E1134,"Outlook"),"")</f>
        <v/>
      </c>
      <c r="K1134">
        <f>IF(E1134="Domain",COUNTIF($E$2:E1134,"Domain"),"")</f>
        <v/>
      </c>
    </row>
    <row r="1135">
      <c r="A1135" s="2" t="n"/>
      <c r="B1135">
        <f>LOWER(TRIM(A1135))</f>
        <v/>
      </c>
      <c r="C1135">
        <f>IF(B1135="","",IFERROR(INDEX('Bad Patterns'!$A$2:$A$120,MATCH(1,INDEX(--ISNUMBER(SEARCH('Bad Patterns'!$A$2:$A$120,B1135)),0),0)),""))</f>
        <v/>
      </c>
      <c r="D1135">
        <f>IF(B1135="","",IF(C1135&lt;&gt;"","REMOVE","KEEP"))</f>
        <v/>
      </c>
      <c r="E1135">
        <f>IF(D1135&lt;&gt;"KEEP","",IF(RIGHT(B1135,10)="@gmail.com","Gmail",IF(OR(RIGHT(B1135,12)="@outlook.com",RIGHT(B1135,12)="@hotmail.com",RIGHT(B1135,9)="@live.com"),"Outlook","Domain")))</f>
        <v/>
      </c>
      <c r="F1135">
        <f>IF(B1135="","",IFERROR(RIGHT(B1135,LEN(B1135)-FIND("@",B1135)),""))</f>
        <v/>
      </c>
      <c r="G1135">
        <f>IF(D1135="KEEP",COUNTIF($D$2:D1135,"KEEP"),"")</f>
        <v/>
      </c>
      <c r="H1135">
        <f>IF(D1135="REMOVE",COUNTIF($D$2:D1135,"REMOVE"),"")</f>
        <v/>
      </c>
      <c r="I1135">
        <f>IF(E1135="Gmail",COUNTIF($E$2:E1135,"Gmail"),"")</f>
        <v/>
      </c>
      <c r="J1135">
        <f>IF(E1135="Outlook",COUNTIF($E$2:E1135,"Outlook"),"")</f>
        <v/>
      </c>
      <c r="K1135">
        <f>IF(E1135="Domain",COUNTIF($E$2:E1135,"Domain"),"")</f>
        <v/>
      </c>
    </row>
    <row r="1136">
      <c r="A1136" s="2" t="n"/>
      <c r="B1136">
        <f>LOWER(TRIM(A1136))</f>
        <v/>
      </c>
      <c r="C1136">
        <f>IF(B1136="","",IFERROR(INDEX('Bad Patterns'!$A$2:$A$120,MATCH(1,INDEX(--ISNUMBER(SEARCH('Bad Patterns'!$A$2:$A$120,B1136)),0),0)),""))</f>
        <v/>
      </c>
      <c r="D1136">
        <f>IF(B1136="","",IF(C1136&lt;&gt;"","REMOVE","KEEP"))</f>
        <v/>
      </c>
      <c r="E1136">
        <f>IF(D1136&lt;&gt;"KEEP","",IF(RIGHT(B1136,10)="@gmail.com","Gmail",IF(OR(RIGHT(B1136,12)="@outlook.com",RIGHT(B1136,12)="@hotmail.com",RIGHT(B1136,9)="@live.com"),"Outlook","Domain")))</f>
        <v/>
      </c>
      <c r="F1136">
        <f>IF(B1136="","",IFERROR(RIGHT(B1136,LEN(B1136)-FIND("@",B1136)),""))</f>
        <v/>
      </c>
      <c r="G1136">
        <f>IF(D1136="KEEP",COUNTIF($D$2:D1136,"KEEP"),"")</f>
        <v/>
      </c>
      <c r="H1136">
        <f>IF(D1136="REMOVE",COUNTIF($D$2:D1136,"REMOVE"),"")</f>
        <v/>
      </c>
      <c r="I1136">
        <f>IF(E1136="Gmail",COUNTIF($E$2:E1136,"Gmail"),"")</f>
        <v/>
      </c>
      <c r="J1136">
        <f>IF(E1136="Outlook",COUNTIF($E$2:E1136,"Outlook"),"")</f>
        <v/>
      </c>
      <c r="K1136">
        <f>IF(E1136="Domain",COUNTIF($E$2:E1136,"Domain"),"")</f>
        <v/>
      </c>
    </row>
    <row r="1137">
      <c r="A1137" s="2" t="n"/>
      <c r="B1137">
        <f>LOWER(TRIM(A1137))</f>
        <v/>
      </c>
      <c r="C1137">
        <f>IF(B1137="","",IFERROR(INDEX('Bad Patterns'!$A$2:$A$120,MATCH(1,INDEX(--ISNUMBER(SEARCH('Bad Patterns'!$A$2:$A$120,B1137)),0),0)),""))</f>
        <v/>
      </c>
      <c r="D1137">
        <f>IF(B1137="","",IF(C1137&lt;&gt;"","REMOVE","KEEP"))</f>
        <v/>
      </c>
      <c r="E1137">
        <f>IF(D1137&lt;&gt;"KEEP","",IF(RIGHT(B1137,10)="@gmail.com","Gmail",IF(OR(RIGHT(B1137,12)="@outlook.com",RIGHT(B1137,12)="@hotmail.com",RIGHT(B1137,9)="@live.com"),"Outlook","Domain")))</f>
        <v/>
      </c>
      <c r="F1137">
        <f>IF(B1137="","",IFERROR(RIGHT(B1137,LEN(B1137)-FIND("@",B1137)),""))</f>
        <v/>
      </c>
      <c r="G1137">
        <f>IF(D1137="KEEP",COUNTIF($D$2:D1137,"KEEP"),"")</f>
        <v/>
      </c>
      <c r="H1137">
        <f>IF(D1137="REMOVE",COUNTIF($D$2:D1137,"REMOVE"),"")</f>
        <v/>
      </c>
      <c r="I1137">
        <f>IF(E1137="Gmail",COUNTIF($E$2:E1137,"Gmail"),"")</f>
        <v/>
      </c>
      <c r="J1137">
        <f>IF(E1137="Outlook",COUNTIF($E$2:E1137,"Outlook"),"")</f>
        <v/>
      </c>
      <c r="K1137">
        <f>IF(E1137="Domain",COUNTIF($E$2:E1137,"Domain"),"")</f>
        <v/>
      </c>
    </row>
    <row r="1138">
      <c r="A1138" s="2" t="n"/>
      <c r="B1138">
        <f>LOWER(TRIM(A1138))</f>
        <v/>
      </c>
      <c r="C1138">
        <f>IF(B1138="","",IFERROR(INDEX('Bad Patterns'!$A$2:$A$120,MATCH(1,INDEX(--ISNUMBER(SEARCH('Bad Patterns'!$A$2:$A$120,B1138)),0),0)),""))</f>
        <v/>
      </c>
      <c r="D1138">
        <f>IF(B1138="","",IF(C1138&lt;&gt;"","REMOVE","KEEP"))</f>
        <v/>
      </c>
      <c r="E1138">
        <f>IF(D1138&lt;&gt;"KEEP","",IF(RIGHT(B1138,10)="@gmail.com","Gmail",IF(OR(RIGHT(B1138,12)="@outlook.com",RIGHT(B1138,12)="@hotmail.com",RIGHT(B1138,9)="@live.com"),"Outlook","Domain")))</f>
        <v/>
      </c>
      <c r="F1138">
        <f>IF(B1138="","",IFERROR(RIGHT(B1138,LEN(B1138)-FIND("@",B1138)),""))</f>
        <v/>
      </c>
      <c r="G1138">
        <f>IF(D1138="KEEP",COUNTIF($D$2:D1138,"KEEP"),"")</f>
        <v/>
      </c>
      <c r="H1138">
        <f>IF(D1138="REMOVE",COUNTIF($D$2:D1138,"REMOVE"),"")</f>
        <v/>
      </c>
      <c r="I1138">
        <f>IF(E1138="Gmail",COUNTIF($E$2:E1138,"Gmail"),"")</f>
        <v/>
      </c>
      <c r="J1138">
        <f>IF(E1138="Outlook",COUNTIF($E$2:E1138,"Outlook"),"")</f>
        <v/>
      </c>
      <c r="K1138">
        <f>IF(E1138="Domain",COUNTIF($E$2:E1138,"Domain"),"")</f>
        <v/>
      </c>
    </row>
    <row r="1139">
      <c r="A1139" s="2" t="n"/>
      <c r="B1139">
        <f>LOWER(TRIM(A1139))</f>
        <v/>
      </c>
      <c r="C1139">
        <f>IF(B1139="","",IFERROR(INDEX('Bad Patterns'!$A$2:$A$120,MATCH(1,INDEX(--ISNUMBER(SEARCH('Bad Patterns'!$A$2:$A$120,B1139)),0),0)),""))</f>
        <v/>
      </c>
      <c r="D1139">
        <f>IF(B1139="","",IF(C1139&lt;&gt;"","REMOVE","KEEP"))</f>
        <v/>
      </c>
      <c r="E1139">
        <f>IF(D1139&lt;&gt;"KEEP","",IF(RIGHT(B1139,10)="@gmail.com","Gmail",IF(OR(RIGHT(B1139,12)="@outlook.com",RIGHT(B1139,12)="@hotmail.com",RIGHT(B1139,9)="@live.com"),"Outlook","Domain")))</f>
        <v/>
      </c>
      <c r="F1139">
        <f>IF(B1139="","",IFERROR(RIGHT(B1139,LEN(B1139)-FIND("@",B1139)),""))</f>
        <v/>
      </c>
      <c r="G1139">
        <f>IF(D1139="KEEP",COUNTIF($D$2:D1139,"KEEP"),"")</f>
        <v/>
      </c>
      <c r="H1139">
        <f>IF(D1139="REMOVE",COUNTIF($D$2:D1139,"REMOVE"),"")</f>
        <v/>
      </c>
      <c r="I1139">
        <f>IF(E1139="Gmail",COUNTIF($E$2:E1139,"Gmail"),"")</f>
        <v/>
      </c>
      <c r="J1139">
        <f>IF(E1139="Outlook",COUNTIF($E$2:E1139,"Outlook"),"")</f>
        <v/>
      </c>
      <c r="K1139">
        <f>IF(E1139="Domain",COUNTIF($E$2:E1139,"Domain"),"")</f>
        <v/>
      </c>
    </row>
    <row r="1140">
      <c r="A1140" s="2" t="n"/>
      <c r="B1140">
        <f>LOWER(TRIM(A1140))</f>
        <v/>
      </c>
      <c r="C1140">
        <f>IF(B1140="","",IFERROR(INDEX('Bad Patterns'!$A$2:$A$120,MATCH(1,INDEX(--ISNUMBER(SEARCH('Bad Patterns'!$A$2:$A$120,B1140)),0),0)),""))</f>
        <v/>
      </c>
      <c r="D1140">
        <f>IF(B1140="","",IF(C1140&lt;&gt;"","REMOVE","KEEP"))</f>
        <v/>
      </c>
      <c r="E1140">
        <f>IF(D1140&lt;&gt;"KEEP","",IF(RIGHT(B1140,10)="@gmail.com","Gmail",IF(OR(RIGHT(B1140,12)="@outlook.com",RIGHT(B1140,12)="@hotmail.com",RIGHT(B1140,9)="@live.com"),"Outlook","Domain")))</f>
        <v/>
      </c>
      <c r="F1140">
        <f>IF(B1140="","",IFERROR(RIGHT(B1140,LEN(B1140)-FIND("@",B1140)),""))</f>
        <v/>
      </c>
      <c r="G1140">
        <f>IF(D1140="KEEP",COUNTIF($D$2:D1140,"KEEP"),"")</f>
        <v/>
      </c>
      <c r="H1140">
        <f>IF(D1140="REMOVE",COUNTIF($D$2:D1140,"REMOVE"),"")</f>
        <v/>
      </c>
      <c r="I1140">
        <f>IF(E1140="Gmail",COUNTIF($E$2:E1140,"Gmail"),"")</f>
        <v/>
      </c>
      <c r="J1140">
        <f>IF(E1140="Outlook",COUNTIF($E$2:E1140,"Outlook"),"")</f>
        <v/>
      </c>
      <c r="K1140">
        <f>IF(E1140="Domain",COUNTIF($E$2:E1140,"Domain"),"")</f>
        <v/>
      </c>
    </row>
    <row r="1141">
      <c r="A1141" s="2" t="n"/>
      <c r="B1141">
        <f>LOWER(TRIM(A1141))</f>
        <v/>
      </c>
      <c r="C1141">
        <f>IF(B1141="","",IFERROR(INDEX('Bad Patterns'!$A$2:$A$120,MATCH(1,INDEX(--ISNUMBER(SEARCH('Bad Patterns'!$A$2:$A$120,B1141)),0),0)),""))</f>
        <v/>
      </c>
      <c r="D1141">
        <f>IF(B1141="","",IF(C1141&lt;&gt;"","REMOVE","KEEP"))</f>
        <v/>
      </c>
      <c r="E1141">
        <f>IF(D1141&lt;&gt;"KEEP","",IF(RIGHT(B1141,10)="@gmail.com","Gmail",IF(OR(RIGHT(B1141,12)="@outlook.com",RIGHT(B1141,12)="@hotmail.com",RIGHT(B1141,9)="@live.com"),"Outlook","Domain")))</f>
        <v/>
      </c>
      <c r="F1141">
        <f>IF(B1141="","",IFERROR(RIGHT(B1141,LEN(B1141)-FIND("@",B1141)),""))</f>
        <v/>
      </c>
      <c r="G1141">
        <f>IF(D1141="KEEP",COUNTIF($D$2:D1141,"KEEP"),"")</f>
        <v/>
      </c>
      <c r="H1141">
        <f>IF(D1141="REMOVE",COUNTIF($D$2:D1141,"REMOVE"),"")</f>
        <v/>
      </c>
      <c r="I1141">
        <f>IF(E1141="Gmail",COUNTIF($E$2:E1141,"Gmail"),"")</f>
        <v/>
      </c>
      <c r="J1141">
        <f>IF(E1141="Outlook",COUNTIF($E$2:E1141,"Outlook"),"")</f>
        <v/>
      </c>
      <c r="K1141">
        <f>IF(E1141="Domain",COUNTIF($E$2:E1141,"Domain"),"")</f>
        <v/>
      </c>
    </row>
    <row r="1142">
      <c r="A1142" s="2" t="n"/>
      <c r="B1142">
        <f>LOWER(TRIM(A1142))</f>
        <v/>
      </c>
      <c r="C1142">
        <f>IF(B1142="","",IFERROR(INDEX('Bad Patterns'!$A$2:$A$120,MATCH(1,INDEX(--ISNUMBER(SEARCH('Bad Patterns'!$A$2:$A$120,B1142)),0),0)),""))</f>
        <v/>
      </c>
      <c r="D1142">
        <f>IF(B1142="","",IF(C1142&lt;&gt;"","REMOVE","KEEP"))</f>
        <v/>
      </c>
      <c r="E1142">
        <f>IF(D1142&lt;&gt;"KEEP","",IF(RIGHT(B1142,10)="@gmail.com","Gmail",IF(OR(RIGHT(B1142,12)="@outlook.com",RIGHT(B1142,12)="@hotmail.com",RIGHT(B1142,9)="@live.com"),"Outlook","Domain")))</f>
        <v/>
      </c>
      <c r="F1142">
        <f>IF(B1142="","",IFERROR(RIGHT(B1142,LEN(B1142)-FIND("@",B1142)),""))</f>
        <v/>
      </c>
      <c r="G1142">
        <f>IF(D1142="KEEP",COUNTIF($D$2:D1142,"KEEP"),"")</f>
        <v/>
      </c>
      <c r="H1142">
        <f>IF(D1142="REMOVE",COUNTIF($D$2:D1142,"REMOVE"),"")</f>
        <v/>
      </c>
      <c r="I1142">
        <f>IF(E1142="Gmail",COUNTIF($E$2:E1142,"Gmail"),"")</f>
        <v/>
      </c>
      <c r="J1142">
        <f>IF(E1142="Outlook",COUNTIF($E$2:E1142,"Outlook"),"")</f>
        <v/>
      </c>
      <c r="K1142">
        <f>IF(E1142="Domain",COUNTIF($E$2:E1142,"Domain"),"")</f>
        <v/>
      </c>
    </row>
    <row r="1143">
      <c r="A1143" s="2" t="n"/>
      <c r="B1143">
        <f>LOWER(TRIM(A1143))</f>
        <v/>
      </c>
      <c r="C1143">
        <f>IF(B1143="","",IFERROR(INDEX('Bad Patterns'!$A$2:$A$120,MATCH(1,INDEX(--ISNUMBER(SEARCH('Bad Patterns'!$A$2:$A$120,B1143)),0),0)),""))</f>
        <v/>
      </c>
      <c r="D1143">
        <f>IF(B1143="","",IF(C1143&lt;&gt;"","REMOVE","KEEP"))</f>
        <v/>
      </c>
      <c r="E1143">
        <f>IF(D1143&lt;&gt;"KEEP","",IF(RIGHT(B1143,10)="@gmail.com","Gmail",IF(OR(RIGHT(B1143,12)="@outlook.com",RIGHT(B1143,12)="@hotmail.com",RIGHT(B1143,9)="@live.com"),"Outlook","Domain")))</f>
        <v/>
      </c>
      <c r="F1143">
        <f>IF(B1143="","",IFERROR(RIGHT(B1143,LEN(B1143)-FIND("@",B1143)),""))</f>
        <v/>
      </c>
      <c r="G1143">
        <f>IF(D1143="KEEP",COUNTIF($D$2:D1143,"KEEP"),"")</f>
        <v/>
      </c>
      <c r="H1143">
        <f>IF(D1143="REMOVE",COUNTIF($D$2:D1143,"REMOVE"),"")</f>
        <v/>
      </c>
      <c r="I1143">
        <f>IF(E1143="Gmail",COUNTIF($E$2:E1143,"Gmail"),"")</f>
        <v/>
      </c>
      <c r="J1143">
        <f>IF(E1143="Outlook",COUNTIF($E$2:E1143,"Outlook"),"")</f>
        <v/>
      </c>
      <c r="K1143">
        <f>IF(E1143="Domain",COUNTIF($E$2:E1143,"Domain"),"")</f>
        <v/>
      </c>
    </row>
    <row r="1144">
      <c r="A1144" s="2" t="n"/>
      <c r="B1144">
        <f>LOWER(TRIM(A1144))</f>
        <v/>
      </c>
      <c r="C1144">
        <f>IF(B1144="","",IFERROR(INDEX('Bad Patterns'!$A$2:$A$120,MATCH(1,INDEX(--ISNUMBER(SEARCH('Bad Patterns'!$A$2:$A$120,B1144)),0),0)),""))</f>
        <v/>
      </c>
      <c r="D1144">
        <f>IF(B1144="","",IF(C1144&lt;&gt;"","REMOVE","KEEP"))</f>
        <v/>
      </c>
      <c r="E1144">
        <f>IF(D1144&lt;&gt;"KEEP","",IF(RIGHT(B1144,10)="@gmail.com","Gmail",IF(OR(RIGHT(B1144,12)="@outlook.com",RIGHT(B1144,12)="@hotmail.com",RIGHT(B1144,9)="@live.com"),"Outlook","Domain")))</f>
        <v/>
      </c>
      <c r="F1144">
        <f>IF(B1144="","",IFERROR(RIGHT(B1144,LEN(B1144)-FIND("@",B1144)),""))</f>
        <v/>
      </c>
      <c r="G1144">
        <f>IF(D1144="KEEP",COUNTIF($D$2:D1144,"KEEP"),"")</f>
        <v/>
      </c>
      <c r="H1144">
        <f>IF(D1144="REMOVE",COUNTIF($D$2:D1144,"REMOVE"),"")</f>
        <v/>
      </c>
      <c r="I1144">
        <f>IF(E1144="Gmail",COUNTIF($E$2:E1144,"Gmail"),"")</f>
        <v/>
      </c>
      <c r="J1144">
        <f>IF(E1144="Outlook",COUNTIF($E$2:E1144,"Outlook"),"")</f>
        <v/>
      </c>
      <c r="K1144">
        <f>IF(E1144="Domain",COUNTIF($E$2:E1144,"Domain"),"")</f>
        <v/>
      </c>
    </row>
    <row r="1145">
      <c r="A1145" s="2" t="n"/>
      <c r="B1145">
        <f>LOWER(TRIM(A1145))</f>
        <v/>
      </c>
      <c r="C1145">
        <f>IF(B1145="","",IFERROR(INDEX('Bad Patterns'!$A$2:$A$120,MATCH(1,INDEX(--ISNUMBER(SEARCH('Bad Patterns'!$A$2:$A$120,B1145)),0),0)),""))</f>
        <v/>
      </c>
      <c r="D1145">
        <f>IF(B1145="","",IF(C1145&lt;&gt;"","REMOVE","KEEP"))</f>
        <v/>
      </c>
      <c r="E1145">
        <f>IF(D1145&lt;&gt;"KEEP","",IF(RIGHT(B1145,10)="@gmail.com","Gmail",IF(OR(RIGHT(B1145,12)="@outlook.com",RIGHT(B1145,12)="@hotmail.com",RIGHT(B1145,9)="@live.com"),"Outlook","Domain")))</f>
        <v/>
      </c>
      <c r="F1145">
        <f>IF(B1145="","",IFERROR(RIGHT(B1145,LEN(B1145)-FIND("@",B1145)),""))</f>
        <v/>
      </c>
      <c r="G1145">
        <f>IF(D1145="KEEP",COUNTIF($D$2:D1145,"KEEP"),"")</f>
        <v/>
      </c>
      <c r="H1145">
        <f>IF(D1145="REMOVE",COUNTIF($D$2:D1145,"REMOVE"),"")</f>
        <v/>
      </c>
      <c r="I1145">
        <f>IF(E1145="Gmail",COUNTIF($E$2:E1145,"Gmail"),"")</f>
        <v/>
      </c>
      <c r="J1145">
        <f>IF(E1145="Outlook",COUNTIF($E$2:E1145,"Outlook"),"")</f>
        <v/>
      </c>
      <c r="K1145">
        <f>IF(E1145="Domain",COUNTIF($E$2:E1145,"Domain"),"")</f>
        <v/>
      </c>
    </row>
    <row r="1146">
      <c r="A1146" s="2" t="n"/>
      <c r="B1146">
        <f>LOWER(TRIM(A1146))</f>
        <v/>
      </c>
      <c r="C1146">
        <f>IF(B1146="","",IFERROR(INDEX('Bad Patterns'!$A$2:$A$120,MATCH(1,INDEX(--ISNUMBER(SEARCH('Bad Patterns'!$A$2:$A$120,B1146)),0),0)),""))</f>
        <v/>
      </c>
      <c r="D1146">
        <f>IF(B1146="","",IF(C1146&lt;&gt;"","REMOVE","KEEP"))</f>
        <v/>
      </c>
      <c r="E1146">
        <f>IF(D1146&lt;&gt;"KEEP","",IF(RIGHT(B1146,10)="@gmail.com","Gmail",IF(OR(RIGHT(B1146,12)="@outlook.com",RIGHT(B1146,12)="@hotmail.com",RIGHT(B1146,9)="@live.com"),"Outlook","Domain")))</f>
        <v/>
      </c>
      <c r="F1146">
        <f>IF(B1146="","",IFERROR(RIGHT(B1146,LEN(B1146)-FIND("@",B1146)),""))</f>
        <v/>
      </c>
      <c r="G1146">
        <f>IF(D1146="KEEP",COUNTIF($D$2:D1146,"KEEP"),"")</f>
        <v/>
      </c>
      <c r="H1146">
        <f>IF(D1146="REMOVE",COUNTIF($D$2:D1146,"REMOVE"),"")</f>
        <v/>
      </c>
      <c r="I1146">
        <f>IF(E1146="Gmail",COUNTIF($E$2:E1146,"Gmail"),"")</f>
        <v/>
      </c>
      <c r="J1146">
        <f>IF(E1146="Outlook",COUNTIF($E$2:E1146,"Outlook"),"")</f>
        <v/>
      </c>
      <c r="K1146">
        <f>IF(E1146="Domain",COUNTIF($E$2:E1146,"Domain"),"")</f>
        <v/>
      </c>
    </row>
    <row r="1147">
      <c r="A1147" s="2" t="n"/>
      <c r="B1147">
        <f>LOWER(TRIM(A1147))</f>
        <v/>
      </c>
      <c r="C1147">
        <f>IF(B1147="","",IFERROR(INDEX('Bad Patterns'!$A$2:$A$120,MATCH(1,INDEX(--ISNUMBER(SEARCH('Bad Patterns'!$A$2:$A$120,B1147)),0),0)),""))</f>
        <v/>
      </c>
      <c r="D1147">
        <f>IF(B1147="","",IF(C1147&lt;&gt;"","REMOVE","KEEP"))</f>
        <v/>
      </c>
      <c r="E1147">
        <f>IF(D1147&lt;&gt;"KEEP","",IF(RIGHT(B1147,10)="@gmail.com","Gmail",IF(OR(RIGHT(B1147,12)="@outlook.com",RIGHT(B1147,12)="@hotmail.com",RIGHT(B1147,9)="@live.com"),"Outlook","Domain")))</f>
        <v/>
      </c>
      <c r="F1147">
        <f>IF(B1147="","",IFERROR(RIGHT(B1147,LEN(B1147)-FIND("@",B1147)),""))</f>
        <v/>
      </c>
      <c r="G1147">
        <f>IF(D1147="KEEP",COUNTIF($D$2:D1147,"KEEP"),"")</f>
        <v/>
      </c>
      <c r="H1147">
        <f>IF(D1147="REMOVE",COUNTIF($D$2:D1147,"REMOVE"),"")</f>
        <v/>
      </c>
      <c r="I1147">
        <f>IF(E1147="Gmail",COUNTIF($E$2:E1147,"Gmail"),"")</f>
        <v/>
      </c>
      <c r="J1147">
        <f>IF(E1147="Outlook",COUNTIF($E$2:E1147,"Outlook"),"")</f>
        <v/>
      </c>
      <c r="K1147">
        <f>IF(E1147="Domain",COUNTIF($E$2:E1147,"Domain"),"")</f>
        <v/>
      </c>
    </row>
    <row r="1148">
      <c r="A1148" s="2" t="n"/>
      <c r="B1148">
        <f>LOWER(TRIM(A1148))</f>
        <v/>
      </c>
      <c r="C1148">
        <f>IF(B1148="","",IFERROR(INDEX('Bad Patterns'!$A$2:$A$120,MATCH(1,INDEX(--ISNUMBER(SEARCH('Bad Patterns'!$A$2:$A$120,B1148)),0),0)),""))</f>
        <v/>
      </c>
      <c r="D1148">
        <f>IF(B1148="","",IF(C1148&lt;&gt;"","REMOVE","KEEP"))</f>
        <v/>
      </c>
      <c r="E1148">
        <f>IF(D1148&lt;&gt;"KEEP","",IF(RIGHT(B1148,10)="@gmail.com","Gmail",IF(OR(RIGHT(B1148,12)="@outlook.com",RIGHT(B1148,12)="@hotmail.com",RIGHT(B1148,9)="@live.com"),"Outlook","Domain")))</f>
        <v/>
      </c>
      <c r="F1148">
        <f>IF(B1148="","",IFERROR(RIGHT(B1148,LEN(B1148)-FIND("@",B1148)),""))</f>
        <v/>
      </c>
      <c r="G1148">
        <f>IF(D1148="KEEP",COUNTIF($D$2:D1148,"KEEP"),"")</f>
        <v/>
      </c>
      <c r="H1148">
        <f>IF(D1148="REMOVE",COUNTIF($D$2:D1148,"REMOVE"),"")</f>
        <v/>
      </c>
      <c r="I1148">
        <f>IF(E1148="Gmail",COUNTIF($E$2:E1148,"Gmail"),"")</f>
        <v/>
      </c>
      <c r="J1148">
        <f>IF(E1148="Outlook",COUNTIF($E$2:E1148,"Outlook"),"")</f>
        <v/>
      </c>
      <c r="K1148">
        <f>IF(E1148="Domain",COUNTIF($E$2:E1148,"Domain"),"")</f>
        <v/>
      </c>
    </row>
    <row r="1149">
      <c r="A1149" s="2" t="n"/>
      <c r="B1149">
        <f>LOWER(TRIM(A1149))</f>
        <v/>
      </c>
      <c r="C1149">
        <f>IF(B1149="","",IFERROR(INDEX('Bad Patterns'!$A$2:$A$120,MATCH(1,INDEX(--ISNUMBER(SEARCH('Bad Patterns'!$A$2:$A$120,B1149)),0),0)),""))</f>
        <v/>
      </c>
      <c r="D1149">
        <f>IF(B1149="","",IF(C1149&lt;&gt;"","REMOVE","KEEP"))</f>
        <v/>
      </c>
      <c r="E1149">
        <f>IF(D1149&lt;&gt;"KEEP","",IF(RIGHT(B1149,10)="@gmail.com","Gmail",IF(OR(RIGHT(B1149,12)="@outlook.com",RIGHT(B1149,12)="@hotmail.com",RIGHT(B1149,9)="@live.com"),"Outlook","Domain")))</f>
        <v/>
      </c>
      <c r="F1149">
        <f>IF(B1149="","",IFERROR(RIGHT(B1149,LEN(B1149)-FIND("@",B1149)),""))</f>
        <v/>
      </c>
      <c r="G1149">
        <f>IF(D1149="KEEP",COUNTIF($D$2:D1149,"KEEP"),"")</f>
        <v/>
      </c>
      <c r="H1149">
        <f>IF(D1149="REMOVE",COUNTIF($D$2:D1149,"REMOVE"),"")</f>
        <v/>
      </c>
      <c r="I1149">
        <f>IF(E1149="Gmail",COUNTIF($E$2:E1149,"Gmail"),"")</f>
        <v/>
      </c>
      <c r="J1149">
        <f>IF(E1149="Outlook",COUNTIF($E$2:E1149,"Outlook"),"")</f>
        <v/>
      </c>
      <c r="K1149">
        <f>IF(E1149="Domain",COUNTIF($E$2:E1149,"Domain"),"")</f>
        <v/>
      </c>
    </row>
    <row r="1150">
      <c r="A1150" s="2" t="n"/>
      <c r="B1150">
        <f>LOWER(TRIM(A1150))</f>
        <v/>
      </c>
      <c r="C1150">
        <f>IF(B1150="","",IFERROR(INDEX('Bad Patterns'!$A$2:$A$120,MATCH(1,INDEX(--ISNUMBER(SEARCH('Bad Patterns'!$A$2:$A$120,B1150)),0),0)),""))</f>
        <v/>
      </c>
      <c r="D1150">
        <f>IF(B1150="","",IF(C1150&lt;&gt;"","REMOVE","KEEP"))</f>
        <v/>
      </c>
      <c r="E1150">
        <f>IF(D1150&lt;&gt;"KEEP","",IF(RIGHT(B1150,10)="@gmail.com","Gmail",IF(OR(RIGHT(B1150,12)="@outlook.com",RIGHT(B1150,12)="@hotmail.com",RIGHT(B1150,9)="@live.com"),"Outlook","Domain")))</f>
        <v/>
      </c>
      <c r="F1150">
        <f>IF(B1150="","",IFERROR(RIGHT(B1150,LEN(B1150)-FIND("@",B1150)),""))</f>
        <v/>
      </c>
      <c r="G1150">
        <f>IF(D1150="KEEP",COUNTIF($D$2:D1150,"KEEP"),"")</f>
        <v/>
      </c>
      <c r="H1150">
        <f>IF(D1150="REMOVE",COUNTIF($D$2:D1150,"REMOVE"),"")</f>
        <v/>
      </c>
      <c r="I1150">
        <f>IF(E1150="Gmail",COUNTIF($E$2:E1150,"Gmail"),"")</f>
        <v/>
      </c>
      <c r="J1150">
        <f>IF(E1150="Outlook",COUNTIF($E$2:E1150,"Outlook"),"")</f>
        <v/>
      </c>
      <c r="K1150">
        <f>IF(E1150="Domain",COUNTIF($E$2:E1150,"Domain"),"")</f>
        <v/>
      </c>
    </row>
    <row r="1151">
      <c r="A1151" s="2" t="n"/>
      <c r="B1151">
        <f>LOWER(TRIM(A1151))</f>
        <v/>
      </c>
      <c r="C1151">
        <f>IF(B1151="","",IFERROR(INDEX('Bad Patterns'!$A$2:$A$120,MATCH(1,INDEX(--ISNUMBER(SEARCH('Bad Patterns'!$A$2:$A$120,B1151)),0),0)),""))</f>
        <v/>
      </c>
      <c r="D1151">
        <f>IF(B1151="","",IF(C1151&lt;&gt;"","REMOVE","KEEP"))</f>
        <v/>
      </c>
      <c r="E1151">
        <f>IF(D1151&lt;&gt;"KEEP","",IF(RIGHT(B1151,10)="@gmail.com","Gmail",IF(OR(RIGHT(B1151,12)="@outlook.com",RIGHT(B1151,12)="@hotmail.com",RIGHT(B1151,9)="@live.com"),"Outlook","Domain")))</f>
        <v/>
      </c>
      <c r="F1151">
        <f>IF(B1151="","",IFERROR(RIGHT(B1151,LEN(B1151)-FIND("@",B1151)),""))</f>
        <v/>
      </c>
      <c r="G1151">
        <f>IF(D1151="KEEP",COUNTIF($D$2:D1151,"KEEP"),"")</f>
        <v/>
      </c>
      <c r="H1151">
        <f>IF(D1151="REMOVE",COUNTIF($D$2:D1151,"REMOVE"),"")</f>
        <v/>
      </c>
      <c r="I1151">
        <f>IF(E1151="Gmail",COUNTIF($E$2:E1151,"Gmail"),"")</f>
        <v/>
      </c>
      <c r="J1151">
        <f>IF(E1151="Outlook",COUNTIF($E$2:E1151,"Outlook"),"")</f>
        <v/>
      </c>
      <c r="K1151">
        <f>IF(E1151="Domain",COUNTIF($E$2:E1151,"Domain"),"")</f>
        <v/>
      </c>
    </row>
    <row r="1152">
      <c r="A1152" s="2" t="n"/>
      <c r="B1152">
        <f>LOWER(TRIM(A1152))</f>
        <v/>
      </c>
      <c r="C1152">
        <f>IF(B1152="","",IFERROR(INDEX('Bad Patterns'!$A$2:$A$120,MATCH(1,INDEX(--ISNUMBER(SEARCH('Bad Patterns'!$A$2:$A$120,B1152)),0),0)),""))</f>
        <v/>
      </c>
      <c r="D1152">
        <f>IF(B1152="","",IF(C1152&lt;&gt;"","REMOVE","KEEP"))</f>
        <v/>
      </c>
      <c r="E1152">
        <f>IF(D1152&lt;&gt;"KEEP","",IF(RIGHT(B1152,10)="@gmail.com","Gmail",IF(OR(RIGHT(B1152,12)="@outlook.com",RIGHT(B1152,12)="@hotmail.com",RIGHT(B1152,9)="@live.com"),"Outlook","Domain")))</f>
        <v/>
      </c>
      <c r="F1152">
        <f>IF(B1152="","",IFERROR(RIGHT(B1152,LEN(B1152)-FIND("@",B1152)),""))</f>
        <v/>
      </c>
      <c r="G1152">
        <f>IF(D1152="KEEP",COUNTIF($D$2:D1152,"KEEP"),"")</f>
        <v/>
      </c>
      <c r="H1152">
        <f>IF(D1152="REMOVE",COUNTIF($D$2:D1152,"REMOVE"),"")</f>
        <v/>
      </c>
      <c r="I1152">
        <f>IF(E1152="Gmail",COUNTIF($E$2:E1152,"Gmail"),"")</f>
        <v/>
      </c>
      <c r="J1152">
        <f>IF(E1152="Outlook",COUNTIF($E$2:E1152,"Outlook"),"")</f>
        <v/>
      </c>
      <c r="K1152">
        <f>IF(E1152="Domain",COUNTIF($E$2:E1152,"Domain"),"")</f>
        <v/>
      </c>
    </row>
    <row r="1153">
      <c r="A1153" s="2" t="n"/>
      <c r="B1153">
        <f>LOWER(TRIM(A1153))</f>
        <v/>
      </c>
      <c r="C1153">
        <f>IF(B1153="","",IFERROR(INDEX('Bad Patterns'!$A$2:$A$120,MATCH(1,INDEX(--ISNUMBER(SEARCH('Bad Patterns'!$A$2:$A$120,B1153)),0),0)),""))</f>
        <v/>
      </c>
      <c r="D1153">
        <f>IF(B1153="","",IF(C1153&lt;&gt;"","REMOVE","KEEP"))</f>
        <v/>
      </c>
      <c r="E1153">
        <f>IF(D1153&lt;&gt;"KEEP","",IF(RIGHT(B1153,10)="@gmail.com","Gmail",IF(OR(RIGHT(B1153,12)="@outlook.com",RIGHT(B1153,12)="@hotmail.com",RIGHT(B1153,9)="@live.com"),"Outlook","Domain")))</f>
        <v/>
      </c>
      <c r="F1153">
        <f>IF(B1153="","",IFERROR(RIGHT(B1153,LEN(B1153)-FIND("@",B1153)),""))</f>
        <v/>
      </c>
      <c r="G1153">
        <f>IF(D1153="KEEP",COUNTIF($D$2:D1153,"KEEP"),"")</f>
        <v/>
      </c>
      <c r="H1153">
        <f>IF(D1153="REMOVE",COUNTIF($D$2:D1153,"REMOVE"),"")</f>
        <v/>
      </c>
      <c r="I1153">
        <f>IF(E1153="Gmail",COUNTIF($E$2:E1153,"Gmail"),"")</f>
        <v/>
      </c>
      <c r="J1153">
        <f>IF(E1153="Outlook",COUNTIF($E$2:E1153,"Outlook"),"")</f>
        <v/>
      </c>
      <c r="K1153">
        <f>IF(E1153="Domain",COUNTIF($E$2:E1153,"Domain"),"")</f>
        <v/>
      </c>
    </row>
    <row r="1154">
      <c r="A1154" s="2" t="n"/>
      <c r="B1154">
        <f>LOWER(TRIM(A1154))</f>
        <v/>
      </c>
      <c r="C1154">
        <f>IF(B1154="","",IFERROR(INDEX('Bad Patterns'!$A$2:$A$120,MATCH(1,INDEX(--ISNUMBER(SEARCH('Bad Patterns'!$A$2:$A$120,B1154)),0),0)),""))</f>
        <v/>
      </c>
      <c r="D1154">
        <f>IF(B1154="","",IF(C1154&lt;&gt;"","REMOVE","KEEP"))</f>
        <v/>
      </c>
      <c r="E1154">
        <f>IF(D1154&lt;&gt;"KEEP","",IF(RIGHT(B1154,10)="@gmail.com","Gmail",IF(OR(RIGHT(B1154,12)="@outlook.com",RIGHT(B1154,12)="@hotmail.com",RIGHT(B1154,9)="@live.com"),"Outlook","Domain")))</f>
        <v/>
      </c>
      <c r="F1154">
        <f>IF(B1154="","",IFERROR(RIGHT(B1154,LEN(B1154)-FIND("@",B1154)),""))</f>
        <v/>
      </c>
      <c r="G1154">
        <f>IF(D1154="KEEP",COUNTIF($D$2:D1154,"KEEP"),"")</f>
        <v/>
      </c>
      <c r="H1154">
        <f>IF(D1154="REMOVE",COUNTIF($D$2:D1154,"REMOVE"),"")</f>
        <v/>
      </c>
      <c r="I1154">
        <f>IF(E1154="Gmail",COUNTIF($E$2:E1154,"Gmail"),"")</f>
        <v/>
      </c>
      <c r="J1154">
        <f>IF(E1154="Outlook",COUNTIF($E$2:E1154,"Outlook"),"")</f>
        <v/>
      </c>
      <c r="K1154">
        <f>IF(E1154="Domain",COUNTIF($E$2:E1154,"Domain"),"")</f>
        <v/>
      </c>
    </row>
    <row r="1155">
      <c r="A1155" s="2" t="n"/>
      <c r="B1155">
        <f>LOWER(TRIM(A1155))</f>
        <v/>
      </c>
      <c r="C1155">
        <f>IF(B1155="","",IFERROR(INDEX('Bad Patterns'!$A$2:$A$120,MATCH(1,INDEX(--ISNUMBER(SEARCH('Bad Patterns'!$A$2:$A$120,B1155)),0),0)),""))</f>
        <v/>
      </c>
      <c r="D1155">
        <f>IF(B1155="","",IF(C1155&lt;&gt;"","REMOVE","KEEP"))</f>
        <v/>
      </c>
      <c r="E1155">
        <f>IF(D1155&lt;&gt;"KEEP","",IF(RIGHT(B1155,10)="@gmail.com","Gmail",IF(OR(RIGHT(B1155,12)="@outlook.com",RIGHT(B1155,12)="@hotmail.com",RIGHT(B1155,9)="@live.com"),"Outlook","Domain")))</f>
        <v/>
      </c>
      <c r="F1155">
        <f>IF(B1155="","",IFERROR(RIGHT(B1155,LEN(B1155)-FIND("@",B1155)),""))</f>
        <v/>
      </c>
      <c r="G1155">
        <f>IF(D1155="KEEP",COUNTIF($D$2:D1155,"KEEP"),"")</f>
        <v/>
      </c>
      <c r="H1155">
        <f>IF(D1155="REMOVE",COUNTIF($D$2:D1155,"REMOVE"),"")</f>
        <v/>
      </c>
      <c r="I1155">
        <f>IF(E1155="Gmail",COUNTIF($E$2:E1155,"Gmail"),"")</f>
        <v/>
      </c>
      <c r="J1155">
        <f>IF(E1155="Outlook",COUNTIF($E$2:E1155,"Outlook"),"")</f>
        <v/>
      </c>
      <c r="K1155">
        <f>IF(E1155="Domain",COUNTIF($E$2:E1155,"Domain"),"")</f>
        <v/>
      </c>
    </row>
    <row r="1156">
      <c r="A1156" s="2" t="n"/>
      <c r="B1156">
        <f>LOWER(TRIM(A1156))</f>
        <v/>
      </c>
      <c r="C1156">
        <f>IF(B1156="","",IFERROR(INDEX('Bad Patterns'!$A$2:$A$120,MATCH(1,INDEX(--ISNUMBER(SEARCH('Bad Patterns'!$A$2:$A$120,B1156)),0),0)),""))</f>
        <v/>
      </c>
      <c r="D1156">
        <f>IF(B1156="","",IF(C1156&lt;&gt;"","REMOVE","KEEP"))</f>
        <v/>
      </c>
      <c r="E1156">
        <f>IF(D1156&lt;&gt;"KEEP","",IF(RIGHT(B1156,10)="@gmail.com","Gmail",IF(OR(RIGHT(B1156,12)="@outlook.com",RIGHT(B1156,12)="@hotmail.com",RIGHT(B1156,9)="@live.com"),"Outlook","Domain")))</f>
        <v/>
      </c>
      <c r="F1156">
        <f>IF(B1156="","",IFERROR(RIGHT(B1156,LEN(B1156)-FIND("@",B1156)),""))</f>
        <v/>
      </c>
      <c r="G1156">
        <f>IF(D1156="KEEP",COUNTIF($D$2:D1156,"KEEP"),"")</f>
        <v/>
      </c>
      <c r="H1156">
        <f>IF(D1156="REMOVE",COUNTIF($D$2:D1156,"REMOVE"),"")</f>
        <v/>
      </c>
      <c r="I1156">
        <f>IF(E1156="Gmail",COUNTIF($E$2:E1156,"Gmail"),"")</f>
        <v/>
      </c>
      <c r="J1156">
        <f>IF(E1156="Outlook",COUNTIF($E$2:E1156,"Outlook"),"")</f>
        <v/>
      </c>
      <c r="K1156">
        <f>IF(E1156="Domain",COUNTIF($E$2:E1156,"Domain"),"")</f>
        <v/>
      </c>
    </row>
    <row r="1157">
      <c r="A1157" s="2" t="n"/>
      <c r="B1157">
        <f>LOWER(TRIM(A1157))</f>
        <v/>
      </c>
      <c r="C1157">
        <f>IF(B1157="","",IFERROR(INDEX('Bad Patterns'!$A$2:$A$120,MATCH(1,INDEX(--ISNUMBER(SEARCH('Bad Patterns'!$A$2:$A$120,B1157)),0),0)),""))</f>
        <v/>
      </c>
      <c r="D1157">
        <f>IF(B1157="","",IF(C1157&lt;&gt;"","REMOVE","KEEP"))</f>
        <v/>
      </c>
      <c r="E1157">
        <f>IF(D1157&lt;&gt;"KEEP","",IF(RIGHT(B1157,10)="@gmail.com","Gmail",IF(OR(RIGHT(B1157,12)="@outlook.com",RIGHT(B1157,12)="@hotmail.com",RIGHT(B1157,9)="@live.com"),"Outlook","Domain")))</f>
        <v/>
      </c>
      <c r="F1157">
        <f>IF(B1157="","",IFERROR(RIGHT(B1157,LEN(B1157)-FIND("@",B1157)),""))</f>
        <v/>
      </c>
      <c r="G1157">
        <f>IF(D1157="KEEP",COUNTIF($D$2:D1157,"KEEP"),"")</f>
        <v/>
      </c>
      <c r="H1157">
        <f>IF(D1157="REMOVE",COUNTIF($D$2:D1157,"REMOVE"),"")</f>
        <v/>
      </c>
      <c r="I1157">
        <f>IF(E1157="Gmail",COUNTIF($E$2:E1157,"Gmail"),"")</f>
        <v/>
      </c>
      <c r="J1157">
        <f>IF(E1157="Outlook",COUNTIF($E$2:E1157,"Outlook"),"")</f>
        <v/>
      </c>
      <c r="K1157">
        <f>IF(E1157="Domain",COUNTIF($E$2:E1157,"Domain"),"")</f>
        <v/>
      </c>
    </row>
    <row r="1158">
      <c r="A1158" s="2" t="n"/>
      <c r="B1158">
        <f>LOWER(TRIM(A1158))</f>
        <v/>
      </c>
      <c r="C1158">
        <f>IF(B1158="","",IFERROR(INDEX('Bad Patterns'!$A$2:$A$120,MATCH(1,INDEX(--ISNUMBER(SEARCH('Bad Patterns'!$A$2:$A$120,B1158)),0),0)),""))</f>
        <v/>
      </c>
      <c r="D1158">
        <f>IF(B1158="","",IF(C1158&lt;&gt;"","REMOVE","KEEP"))</f>
        <v/>
      </c>
      <c r="E1158">
        <f>IF(D1158&lt;&gt;"KEEP","",IF(RIGHT(B1158,10)="@gmail.com","Gmail",IF(OR(RIGHT(B1158,12)="@outlook.com",RIGHT(B1158,12)="@hotmail.com",RIGHT(B1158,9)="@live.com"),"Outlook","Domain")))</f>
        <v/>
      </c>
      <c r="F1158">
        <f>IF(B1158="","",IFERROR(RIGHT(B1158,LEN(B1158)-FIND("@",B1158)),""))</f>
        <v/>
      </c>
      <c r="G1158">
        <f>IF(D1158="KEEP",COUNTIF($D$2:D1158,"KEEP"),"")</f>
        <v/>
      </c>
      <c r="H1158">
        <f>IF(D1158="REMOVE",COUNTIF($D$2:D1158,"REMOVE"),"")</f>
        <v/>
      </c>
      <c r="I1158">
        <f>IF(E1158="Gmail",COUNTIF($E$2:E1158,"Gmail"),"")</f>
        <v/>
      </c>
      <c r="J1158">
        <f>IF(E1158="Outlook",COUNTIF($E$2:E1158,"Outlook"),"")</f>
        <v/>
      </c>
      <c r="K1158">
        <f>IF(E1158="Domain",COUNTIF($E$2:E1158,"Domain"),"")</f>
        <v/>
      </c>
    </row>
    <row r="1159">
      <c r="A1159" s="2" t="n"/>
      <c r="B1159">
        <f>LOWER(TRIM(A1159))</f>
        <v/>
      </c>
      <c r="C1159">
        <f>IF(B1159="","",IFERROR(INDEX('Bad Patterns'!$A$2:$A$120,MATCH(1,INDEX(--ISNUMBER(SEARCH('Bad Patterns'!$A$2:$A$120,B1159)),0),0)),""))</f>
        <v/>
      </c>
      <c r="D1159">
        <f>IF(B1159="","",IF(C1159&lt;&gt;"","REMOVE","KEEP"))</f>
        <v/>
      </c>
      <c r="E1159">
        <f>IF(D1159&lt;&gt;"KEEP","",IF(RIGHT(B1159,10)="@gmail.com","Gmail",IF(OR(RIGHT(B1159,12)="@outlook.com",RIGHT(B1159,12)="@hotmail.com",RIGHT(B1159,9)="@live.com"),"Outlook","Domain")))</f>
        <v/>
      </c>
      <c r="F1159">
        <f>IF(B1159="","",IFERROR(RIGHT(B1159,LEN(B1159)-FIND("@",B1159)),""))</f>
        <v/>
      </c>
      <c r="G1159">
        <f>IF(D1159="KEEP",COUNTIF($D$2:D1159,"KEEP"),"")</f>
        <v/>
      </c>
      <c r="H1159">
        <f>IF(D1159="REMOVE",COUNTIF($D$2:D1159,"REMOVE"),"")</f>
        <v/>
      </c>
      <c r="I1159">
        <f>IF(E1159="Gmail",COUNTIF($E$2:E1159,"Gmail"),"")</f>
        <v/>
      </c>
      <c r="J1159">
        <f>IF(E1159="Outlook",COUNTIF($E$2:E1159,"Outlook"),"")</f>
        <v/>
      </c>
      <c r="K1159">
        <f>IF(E1159="Domain",COUNTIF($E$2:E1159,"Domain"),"")</f>
        <v/>
      </c>
    </row>
    <row r="1160">
      <c r="A1160" s="2" t="n"/>
      <c r="B1160">
        <f>LOWER(TRIM(A1160))</f>
        <v/>
      </c>
      <c r="C1160">
        <f>IF(B1160="","",IFERROR(INDEX('Bad Patterns'!$A$2:$A$120,MATCH(1,INDEX(--ISNUMBER(SEARCH('Bad Patterns'!$A$2:$A$120,B1160)),0),0)),""))</f>
        <v/>
      </c>
      <c r="D1160">
        <f>IF(B1160="","",IF(C1160&lt;&gt;"","REMOVE","KEEP"))</f>
        <v/>
      </c>
      <c r="E1160">
        <f>IF(D1160&lt;&gt;"KEEP","",IF(RIGHT(B1160,10)="@gmail.com","Gmail",IF(OR(RIGHT(B1160,12)="@outlook.com",RIGHT(B1160,12)="@hotmail.com",RIGHT(B1160,9)="@live.com"),"Outlook","Domain")))</f>
        <v/>
      </c>
      <c r="F1160">
        <f>IF(B1160="","",IFERROR(RIGHT(B1160,LEN(B1160)-FIND("@",B1160)),""))</f>
        <v/>
      </c>
      <c r="G1160">
        <f>IF(D1160="KEEP",COUNTIF($D$2:D1160,"KEEP"),"")</f>
        <v/>
      </c>
      <c r="H1160">
        <f>IF(D1160="REMOVE",COUNTIF($D$2:D1160,"REMOVE"),"")</f>
        <v/>
      </c>
      <c r="I1160">
        <f>IF(E1160="Gmail",COUNTIF($E$2:E1160,"Gmail"),"")</f>
        <v/>
      </c>
      <c r="J1160">
        <f>IF(E1160="Outlook",COUNTIF($E$2:E1160,"Outlook"),"")</f>
        <v/>
      </c>
      <c r="K1160">
        <f>IF(E1160="Domain",COUNTIF($E$2:E1160,"Domain"),"")</f>
        <v/>
      </c>
    </row>
    <row r="1161">
      <c r="A1161" s="2" t="n"/>
      <c r="B1161">
        <f>LOWER(TRIM(A1161))</f>
        <v/>
      </c>
      <c r="C1161">
        <f>IF(B1161="","",IFERROR(INDEX('Bad Patterns'!$A$2:$A$120,MATCH(1,INDEX(--ISNUMBER(SEARCH('Bad Patterns'!$A$2:$A$120,B1161)),0),0)),""))</f>
        <v/>
      </c>
      <c r="D1161">
        <f>IF(B1161="","",IF(C1161&lt;&gt;"","REMOVE","KEEP"))</f>
        <v/>
      </c>
      <c r="E1161">
        <f>IF(D1161&lt;&gt;"KEEP","",IF(RIGHT(B1161,10)="@gmail.com","Gmail",IF(OR(RIGHT(B1161,12)="@outlook.com",RIGHT(B1161,12)="@hotmail.com",RIGHT(B1161,9)="@live.com"),"Outlook","Domain")))</f>
        <v/>
      </c>
      <c r="F1161">
        <f>IF(B1161="","",IFERROR(RIGHT(B1161,LEN(B1161)-FIND("@",B1161)),""))</f>
        <v/>
      </c>
      <c r="G1161">
        <f>IF(D1161="KEEP",COUNTIF($D$2:D1161,"KEEP"),"")</f>
        <v/>
      </c>
      <c r="H1161">
        <f>IF(D1161="REMOVE",COUNTIF($D$2:D1161,"REMOVE"),"")</f>
        <v/>
      </c>
      <c r="I1161">
        <f>IF(E1161="Gmail",COUNTIF($E$2:E1161,"Gmail"),"")</f>
        <v/>
      </c>
      <c r="J1161">
        <f>IF(E1161="Outlook",COUNTIF($E$2:E1161,"Outlook"),"")</f>
        <v/>
      </c>
      <c r="K1161">
        <f>IF(E1161="Domain",COUNTIF($E$2:E1161,"Domain"),"")</f>
        <v/>
      </c>
    </row>
    <row r="1162">
      <c r="A1162" s="2" t="n"/>
      <c r="B1162">
        <f>LOWER(TRIM(A1162))</f>
        <v/>
      </c>
      <c r="C1162">
        <f>IF(B1162="","",IFERROR(INDEX('Bad Patterns'!$A$2:$A$120,MATCH(1,INDEX(--ISNUMBER(SEARCH('Bad Patterns'!$A$2:$A$120,B1162)),0),0)),""))</f>
        <v/>
      </c>
      <c r="D1162">
        <f>IF(B1162="","",IF(C1162&lt;&gt;"","REMOVE","KEEP"))</f>
        <v/>
      </c>
      <c r="E1162">
        <f>IF(D1162&lt;&gt;"KEEP","",IF(RIGHT(B1162,10)="@gmail.com","Gmail",IF(OR(RIGHT(B1162,12)="@outlook.com",RIGHT(B1162,12)="@hotmail.com",RIGHT(B1162,9)="@live.com"),"Outlook","Domain")))</f>
        <v/>
      </c>
      <c r="F1162">
        <f>IF(B1162="","",IFERROR(RIGHT(B1162,LEN(B1162)-FIND("@",B1162)),""))</f>
        <v/>
      </c>
      <c r="G1162">
        <f>IF(D1162="KEEP",COUNTIF($D$2:D1162,"KEEP"),"")</f>
        <v/>
      </c>
      <c r="H1162">
        <f>IF(D1162="REMOVE",COUNTIF($D$2:D1162,"REMOVE"),"")</f>
        <v/>
      </c>
      <c r="I1162">
        <f>IF(E1162="Gmail",COUNTIF($E$2:E1162,"Gmail"),"")</f>
        <v/>
      </c>
      <c r="J1162">
        <f>IF(E1162="Outlook",COUNTIF($E$2:E1162,"Outlook"),"")</f>
        <v/>
      </c>
      <c r="K1162">
        <f>IF(E1162="Domain",COUNTIF($E$2:E1162,"Domain"),"")</f>
        <v/>
      </c>
    </row>
    <row r="1163">
      <c r="A1163" s="2" t="n"/>
      <c r="B1163">
        <f>LOWER(TRIM(A1163))</f>
        <v/>
      </c>
      <c r="C1163">
        <f>IF(B1163="","",IFERROR(INDEX('Bad Patterns'!$A$2:$A$120,MATCH(1,INDEX(--ISNUMBER(SEARCH('Bad Patterns'!$A$2:$A$120,B1163)),0),0)),""))</f>
        <v/>
      </c>
      <c r="D1163">
        <f>IF(B1163="","",IF(C1163&lt;&gt;"","REMOVE","KEEP"))</f>
        <v/>
      </c>
      <c r="E1163">
        <f>IF(D1163&lt;&gt;"KEEP","",IF(RIGHT(B1163,10)="@gmail.com","Gmail",IF(OR(RIGHT(B1163,12)="@outlook.com",RIGHT(B1163,12)="@hotmail.com",RIGHT(B1163,9)="@live.com"),"Outlook","Domain")))</f>
        <v/>
      </c>
      <c r="F1163">
        <f>IF(B1163="","",IFERROR(RIGHT(B1163,LEN(B1163)-FIND("@",B1163)),""))</f>
        <v/>
      </c>
      <c r="G1163">
        <f>IF(D1163="KEEP",COUNTIF($D$2:D1163,"KEEP"),"")</f>
        <v/>
      </c>
      <c r="H1163">
        <f>IF(D1163="REMOVE",COUNTIF($D$2:D1163,"REMOVE"),"")</f>
        <v/>
      </c>
      <c r="I1163">
        <f>IF(E1163="Gmail",COUNTIF($E$2:E1163,"Gmail"),"")</f>
        <v/>
      </c>
      <c r="J1163">
        <f>IF(E1163="Outlook",COUNTIF($E$2:E1163,"Outlook"),"")</f>
        <v/>
      </c>
      <c r="K1163">
        <f>IF(E1163="Domain",COUNTIF($E$2:E1163,"Domain"),"")</f>
        <v/>
      </c>
    </row>
    <row r="1164">
      <c r="A1164" s="2" t="n"/>
      <c r="B1164">
        <f>LOWER(TRIM(A1164))</f>
        <v/>
      </c>
      <c r="C1164">
        <f>IF(B1164="","",IFERROR(INDEX('Bad Patterns'!$A$2:$A$120,MATCH(1,INDEX(--ISNUMBER(SEARCH('Bad Patterns'!$A$2:$A$120,B1164)),0),0)),""))</f>
        <v/>
      </c>
      <c r="D1164">
        <f>IF(B1164="","",IF(C1164&lt;&gt;"","REMOVE","KEEP"))</f>
        <v/>
      </c>
      <c r="E1164">
        <f>IF(D1164&lt;&gt;"KEEP","",IF(RIGHT(B1164,10)="@gmail.com","Gmail",IF(OR(RIGHT(B1164,12)="@outlook.com",RIGHT(B1164,12)="@hotmail.com",RIGHT(B1164,9)="@live.com"),"Outlook","Domain")))</f>
        <v/>
      </c>
      <c r="F1164">
        <f>IF(B1164="","",IFERROR(RIGHT(B1164,LEN(B1164)-FIND("@",B1164)),""))</f>
        <v/>
      </c>
      <c r="G1164">
        <f>IF(D1164="KEEP",COUNTIF($D$2:D1164,"KEEP"),"")</f>
        <v/>
      </c>
      <c r="H1164">
        <f>IF(D1164="REMOVE",COUNTIF($D$2:D1164,"REMOVE"),"")</f>
        <v/>
      </c>
      <c r="I1164">
        <f>IF(E1164="Gmail",COUNTIF($E$2:E1164,"Gmail"),"")</f>
        <v/>
      </c>
      <c r="J1164">
        <f>IF(E1164="Outlook",COUNTIF($E$2:E1164,"Outlook"),"")</f>
        <v/>
      </c>
      <c r="K1164">
        <f>IF(E1164="Domain",COUNTIF($E$2:E1164,"Domain"),"")</f>
        <v/>
      </c>
    </row>
    <row r="1165">
      <c r="A1165" s="2" t="n"/>
      <c r="B1165">
        <f>LOWER(TRIM(A1165))</f>
        <v/>
      </c>
      <c r="C1165">
        <f>IF(B1165="","",IFERROR(INDEX('Bad Patterns'!$A$2:$A$120,MATCH(1,INDEX(--ISNUMBER(SEARCH('Bad Patterns'!$A$2:$A$120,B1165)),0),0)),""))</f>
        <v/>
      </c>
      <c r="D1165">
        <f>IF(B1165="","",IF(C1165&lt;&gt;"","REMOVE","KEEP"))</f>
        <v/>
      </c>
      <c r="E1165">
        <f>IF(D1165&lt;&gt;"KEEP","",IF(RIGHT(B1165,10)="@gmail.com","Gmail",IF(OR(RIGHT(B1165,12)="@outlook.com",RIGHT(B1165,12)="@hotmail.com",RIGHT(B1165,9)="@live.com"),"Outlook","Domain")))</f>
        <v/>
      </c>
      <c r="F1165">
        <f>IF(B1165="","",IFERROR(RIGHT(B1165,LEN(B1165)-FIND("@",B1165)),""))</f>
        <v/>
      </c>
      <c r="G1165">
        <f>IF(D1165="KEEP",COUNTIF($D$2:D1165,"KEEP"),"")</f>
        <v/>
      </c>
      <c r="H1165">
        <f>IF(D1165="REMOVE",COUNTIF($D$2:D1165,"REMOVE"),"")</f>
        <v/>
      </c>
      <c r="I1165">
        <f>IF(E1165="Gmail",COUNTIF($E$2:E1165,"Gmail"),"")</f>
        <v/>
      </c>
      <c r="J1165">
        <f>IF(E1165="Outlook",COUNTIF($E$2:E1165,"Outlook"),"")</f>
        <v/>
      </c>
      <c r="K1165">
        <f>IF(E1165="Domain",COUNTIF($E$2:E1165,"Domain"),"")</f>
        <v/>
      </c>
    </row>
    <row r="1166">
      <c r="A1166" s="2" t="n"/>
      <c r="B1166">
        <f>LOWER(TRIM(A1166))</f>
        <v/>
      </c>
      <c r="C1166">
        <f>IF(B1166="","",IFERROR(INDEX('Bad Patterns'!$A$2:$A$120,MATCH(1,INDEX(--ISNUMBER(SEARCH('Bad Patterns'!$A$2:$A$120,B1166)),0),0)),""))</f>
        <v/>
      </c>
      <c r="D1166">
        <f>IF(B1166="","",IF(C1166&lt;&gt;"","REMOVE","KEEP"))</f>
        <v/>
      </c>
      <c r="E1166">
        <f>IF(D1166&lt;&gt;"KEEP","",IF(RIGHT(B1166,10)="@gmail.com","Gmail",IF(OR(RIGHT(B1166,12)="@outlook.com",RIGHT(B1166,12)="@hotmail.com",RIGHT(B1166,9)="@live.com"),"Outlook","Domain")))</f>
        <v/>
      </c>
      <c r="F1166">
        <f>IF(B1166="","",IFERROR(RIGHT(B1166,LEN(B1166)-FIND("@",B1166)),""))</f>
        <v/>
      </c>
      <c r="G1166">
        <f>IF(D1166="KEEP",COUNTIF($D$2:D1166,"KEEP"),"")</f>
        <v/>
      </c>
      <c r="H1166">
        <f>IF(D1166="REMOVE",COUNTIF($D$2:D1166,"REMOVE"),"")</f>
        <v/>
      </c>
      <c r="I1166">
        <f>IF(E1166="Gmail",COUNTIF($E$2:E1166,"Gmail"),"")</f>
        <v/>
      </c>
      <c r="J1166">
        <f>IF(E1166="Outlook",COUNTIF($E$2:E1166,"Outlook"),"")</f>
        <v/>
      </c>
      <c r="K1166">
        <f>IF(E1166="Domain",COUNTIF($E$2:E1166,"Domain"),"")</f>
        <v/>
      </c>
    </row>
    <row r="1167">
      <c r="A1167" s="2" t="n"/>
      <c r="B1167">
        <f>LOWER(TRIM(A1167))</f>
        <v/>
      </c>
      <c r="C1167">
        <f>IF(B1167="","",IFERROR(INDEX('Bad Patterns'!$A$2:$A$120,MATCH(1,INDEX(--ISNUMBER(SEARCH('Bad Patterns'!$A$2:$A$120,B1167)),0),0)),""))</f>
        <v/>
      </c>
      <c r="D1167">
        <f>IF(B1167="","",IF(C1167&lt;&gt;"","REMOVE","KEEP"))</f>
        <v/>
      </c>
      <c r="E1167">
        <f>IF(D1167&lt;&gt;"KEEP","",IF(RIGHT(B1167,10)="@gmail.com","Gmail",IF(OR(RIGHT(B1167,12)="@outlook.com",RIGHT(B1167,12)="@hotmail.com",RIGHT(B1167,9)="@live.com"),"Outlook","Domain")))</f>
        <v/>
      </c>
      <c r="F1167">
        <f>IF(B1167="","",IFERROR(RIGHT(B1167,LEN(B1167)-FIND("@",B1167)),""))</f>
        <v/>
      </c>
      <c r="G1167">
        <f>IF(D1167="KEEP",COUNTIF($D$2:D1167,"KEEP"),"")</f>
        <v/>
      </c>
      <c r="H1167">
        <f>IF(D1167="REMOVE",COUNTIF($D$2:D1167,"REMOVE"),"")</f>
        <v/>
      </c>
      <c r="I1167">
        <f>IF(E1167="Gmail",COUNTIF($E$2:E1167,"Gmail"),"")</f>
        <v/>
      </c>
      <c r="J1167">
        <f>IF(E1167="Outlook",COUNTIF($E$2:E1167,"Outlook"),"")</f>
        <v/>
      </c>
      <c r="K1167">
        <f>IF(E1167="Domain",COUNTIF($E$2:E1167,"Domain"),"")</f>
        <v/>
      </c>
    </row>
    <row r="1168">
      <c r="A1168" s="2" t="n"/>
      <c r="B1168">
        <f>LOWER(TRIM(A1168))</f>
        <v/>
      </c>
      <c r="C1168">
        <f>IF(B1168="","",IFERROR(INDEX('Bad Patterns'!$A$2:$A$120,MATCH(1,INDEX(--ISNUMBER(SEARCH('Bad Patterns'!$A$2:$A$120,B1168)),0),0)),""))</f>
        <v/>
      </c>
      <c r="D1168">
        <f>IF(B1168="","",IF(C1168&lt;&gt;"","REMOVE","KEEP"))</f>
        <v/>
      </c>
      <c r="E1168">
        <f>IF(D1168&lt;&gt;"KEEP","",IF(RIGHT(B1168,10)="@gmail.com","Gmail",IF(OR(RIGHT(B1168,12)="@outlook.com",RIGHT(B1168,12)="@hotmail.com",RIGHT(B1168,9)="@live.com"),"Outlook","Domain")))</f>
        <v/>
      </c>
      <c r="F1168">
        <f>IF(B1168="","",IFERROR(RIGHT(B1168,LEN(B1168)-FIND("@",B1168)),""))</f>
        <v/>
      </c>
      <c r="G1168">
        <f>IF(D1168="KEEP",COUNTIF($D$2:D1168,"KEEP"),"")</f>
        <v/>
      </c>
      <c r="H1168">
        <f>IF(D1168="REMOVE",COUNTIF($D$2:D1168,"REMOVE"),"")</f>
        <v/>
      </c>
      <c r="I1168">
        <f>IF(E1168="Gmail",COUNTIF($E$2:E1168,"Gmail"),"")</f>
        <v/>
      </c>
      <c r="J1168">
        <f>IF(E1168="Outlook",COUNTIF($E$2:E1168,"Outlook"),"")</f>
        <v/>
      </c>
      <c r="K1168">
        <f>IF(E1168="Domain",COUNTIF($E$2:E1168,"Domain"),"")</f>
        <v/>
      </c>
    </row>
    <row r="1169">
      <c r="A1169" s="2" t="n"/>
      <c r="B1169">
        <f>LOWER(TRIM(A1169))</f>
        <v/>
      </c>
      <c r="C1169">
        <f>IF(B1169="","",IFERROR(INDEX('Bad Patterns'!$A$2:$A$120,MATCH(1,INDEX(--ISNUMBER(SEARCH('Bad Patterns'!$A$2:$A$120,B1169)),0),0)),""))</f>
        <v/>
      </c>
      <c r="D1169">
        <f>IF(B1169="","",IF(C1169&lt;&gt;"","REMOVE","KEEP"))</f>
        <v/>
      </c>
      <c r="E1169">
        <f>IF(D1169&lt;&gt;"KEEP","",IF(RIGHT(B1169,10)="@gmail.com","Gmail",IF(OR(RIGHT(B1169,12)="@outlook.com",RIGHT(B1169,12)="@hotmail.com",RIGHT(B1169,9)="@live.com"),"Outlook","Domain")))</f>
        <v/>
      </c>
      <c r="F1169">
        <f>IF(B1169="","",IFERROR(RIGHT(B1169,LEN(B1169)-FIND("@",B1169)),""))</f>
        <v/>
      </c>
      <c r="G1169">
        <f>IF(D1169="KEEP",COUNTIF($D$2:D1169,"KEEP"),"")</f>
        <v/>
      </c>
      <c r="H1169">
        <f>IF(D1169="REMOVE",COUNTIF($D$2:D1169,"REMOVE"),"")</f>
        <v/>
      </c>
      <c r="I1169">
        <f>IF(E1169="Gmail",COUNTIF($E$2:E1169,"Gmail"),"")</f>
        <v/>
      </c>
      <c r="J1169">
        <f>IF(E1169="Outlook",COUNTIF($E$2:E1169,"Outlook"),"")</f>
        <v/>
      </c>
      <c r="K1169">
        <f>IF(E1169="Domain",COUNTIF($E$2:E1169,"Domain"),"")</f>
        <v/>
      </c>
    </row>
    <row r="1170">
      <c r="A1170" s="2" t="n"/>
      <c r="B1170">
        <f>LOWER(TRIM(A1170))</f>
        <v/>
      </c>
      <c r="C1170">
        <f>IF(B1170="","",IFERROR(INDEX('Bad Patterns'!$A$2:$A$120,MATCH(1,INDEX(--ISNUMBER(SEARCH('Bad Patterns'!$A$2:$A$120,B1170)),0),0)),""))</f>
        <v/>
      </c>
      <c r="D1170">
        <f>IF(B1170="","",IF(C1170&lt;&gt;"","REMOVE","KEEP"))</f>
        <v/>
      </c>
      <c r="E1170">
        <f>IF(D1170&lt;&gt;"KEEP","",IF(RIGHT(B1170,10)="@gmail.com","Gmail",IF(OR(RIGHT(B1170,12)="@outlook.com",RIGHT(B1170,12)="@hotmail.com",RIGHT(B1170,9)="@live.com"),"Outlook","Domain")))</f>
        <v/>
      </c>
      <c r="F1170">
        <f>IF(B1170="","",IFERROR(RIGHT(B1170,LEN(B1170)-FIND("@",B1170)),""))</f>
        <v/>
      </c>
      <c r="G1170">
        <f>IF(D1170="KEEP",COUNTIF($D$2:D1170,"KEEP"),"")</f>
        <v/>
      </c>
      <c r="H1170">
        <f>IF(D1170="REMOVE",COUNTIF($D$2:D1170,"REMOVE"),"")</f>
        <v/>
      </c>
      <c r="I1170">
        <f>IF(E1170="Gmail",COUNTIF($E$2:E1170,"Gmail"),"")</f>
        <v/>
      </c>
      <c r="J1170">
        <f>IF(E1170="Outlook",COUNTIF($E$2:E1170,"Outlook"),"")</f>
        <v/>
      </c>
      <c r="K1170">
        <f>IF(E1170="Domain",COUNTIF($E$2:E1170,"Domain"),"")</f>
        <v/>
      </c>
    </row>
    <row r="1171">
      <c r="A1171" s="2" t="n"/>
      <c r="B1171">
        <f>LOWER(TRIM(A1171))</f>
        <v/>
      </c>
      <c r="C1171">
        <f>IF(B1171="","",IFERROR(INDEX('Bad Patterns'!$A$2:$A$120,MATCH(1,INDEX(--ISNUMBER(SEARCH('Bad Patterns'!$A$2:$A$120,B1171)),0),0)),""))</f>
        <v/>
      </c>
      <c r="D1171">
        <f>IF(B1171="","",IF(C1171&lt;&gt;"","REMOVE","KEEP"))</f>
        <v/>
      </c>
      <c r="E1171">
        <f>IF(D1171&lt;&gt;"KEEP","",IF(RIGHT(B1171,10)="@gmail.com","Gmail",IF(OR(RIGHT(B1171,12)="@outlook.com",RIGHT(B1171,12)="@hotmail.com",RIGHT(B1171,9)="@live.com"),"Outlook","Domain")))</f>
        <v/>
      </c>
      <c r="F1171">
        <f>IF(B1171="","",IFERROR(RIGHT(B1171,LEN(B1171)-FIND("@",B1171)),""))</f>
        <v/>
      </c>
      <c r="G1171">
        <f>IF(D1171="KEEP",COUNTIF($D$2:D1171,"KEEP"),"")</f>
        <v/>
      </c>
      <c r="H1171">
        <f>IF(D1171="REMOVE",COUNTIF($D$2:D1171,"REMOVE"),"")</f>
        <v/>
      </c>
      <c r="I1171">
        <f>IF(E1171="Gmail",COUNTIF($E$2:E1171,"Gmail"),"")</f>
        <v/>
      </c>
      <c r="J1171">
        <f>IF(E1171="Outlook",COUNTIF($E$2:E1171,"Outlook"),"")</f>
        <v/>
      </c>
      <c r="K1171">
        <f>IF(E1171="Domain",COUNTIF($E$2:E1171,"Domain"),"")</f>
        <v/>
      </c>
    </row>
    <row r="1172">
      <c r="A1172" s="2" t="n"/>
      <c r="B1172">
        <f>LOWER(TRIM(A1172))</f>
        <v/>
      </c>
      <c r="C1172">
        <f>IF(B1172="","",IFERROR(INDEX('Bad Patterns'!$A$2:$A$120,MATCH(1,INDEX(--ISNUMBER(SEARCH('Bad Patterns'!$A$2:$A$120,B1172)),0),0)),""))</f>
        <v/>
      </c>
      <c r="D1172">
        <f>IF(B1172="","",IF(C1172&lt;&gt;"","REMOVE","KEEP"))</f>
        <v/>
      </c>
      <c r="E1172">
        <f>IF(D1172&lt;&gt;"KEEP","",IF(RIGHT(B1172,10)="@gmail.com","Gmail",IF(OR(RIGHT(B1172,12)="@outlook.com",RIGHT(B1172,12)="@hotmail.com",RIGHT(B1172,9)="@live.com"),"Outlook","Domain")))</f>
        <v/>
      </c>
      <c r="F1172">
        <f>IF(B1172="","",IFERROR(RIGHT(B1172,LEN(B1172)-FIND("@",B1172)),""))</f>
        <v/>
      </c>
      <c r="G1172">
        <f>IF(D1172="KEEP",COUNTIF($D$2:D1172,"KEEP"),"")</f>
        <v/>
      </c>
      <c r="H1172">
        <f>IF(D1172="REMOVE",COUNTIF($D$2:D1172,"REMOVE"),"")</f>
        <v/>
      </c>
      <c r="I1172">
        <f>IF(E1172="Gmail",COUNTIF($E$2:E1172,"Gmail"),"")</f>
        <v/>
      </c>
      <c r="J1172">
        <f>IF(E1172="Outlook",COUNTIF($E$2:E1172,"Outlook"),"")</f>
        <v/>
      </c>
      <c r="K1172">
        <f>IF(E1172="Domain",COUNTIF($E$2:E1172,"Domain"),"")</f>
        <v/>
      </c>
    </row>
    <row r="1173">
      <c r="A1173" s="2" t="n"/>
      <c r="B1173">
        <f>LOWER(TRIM(A1173))</f>
        <v/>
      </c>
      <c r="C1173">
        <f>IF(B1173="","",IFERROR(INDEX('Bad Patterns'!$A$2:$A$120,MATCH(1,INDEX(--ISNUMBER(SEARCH('Bad Patterns'!$A$2:$A$120,B1173)),0),0)),""))</f>
        <v/>
      </c>
      <c r="D1173">
        <f>IF(B1173="","",IF(C1173&lt;&gt;"","REMOVE","KEEP"))</f>
        <v/>
      </c>
      <c r="E1173">
        <f>IF(D1173&lt;&gt;"KEEP","",IF(RIGHT(B1173,10)="@gmail.com","Gmail",IF(OR(RIGHT(B1173,12)="@outlook.com",RIGHT(B1173,12)="@hotmail.com",RIGHT(B1173,9)="@live.com"),"Outlook","Domain")))</f>
        <v/>
      </c>
      <c r="F1173">
        <f>IF(B1173="","",IFERROR(RIGHT(B1173,LEN(B1173)-FIND("@",B1173)),""))</f>
        <v/>
      </c>
      <c r="G1173">
        <f>IF(D1173="KEEP",COUNTIF($D$2:D1173,"KEEP"),"")</f>
        <v/>
      </c>
      <c r="H1173">
        <f>IF(D1173="REMOVE",COUNTIF($D$2:D1173,"REMOVE"),"")</f>
        <v/>
      </c>
      <c r="I1173">
        <f>IF(E1173="Gmail",COUNTIF($E$2:E1173,"Gmail"),"")</f>
        <v/>
      </c>
      <c r="J1173">
        <f>IF(E1173="Outlook",COUNTIF($E$2:E1173,"Outlook"),"")</f>
        <v/>
      </c>
      <c r="K1173">
        <f>IF(E1173="Domain",COUNTIF($E$2:E1173,"Domain"),"")</f>
        <v/>
      </c>
    </row>
    <row r="1174">
      <c r="A1174" s="2" t="n"/>
      <c r="B1174">
        <f>LOWER(TRIM(A1174))</f>
        <v/>
      </c>
      <c r="C1174">
        <f>IF(B1174="","",IFERROR(INDEX('Bad Patterns'!$A$2:$A$120,MATCH(1,INDEX(--ISNUMBER(SEARCH('Bad Patterns'!$A$2:$A$120,B1174)),0),0)),""))</f>
        <v/>
      </c>
      <c r="D1174">
        <f>IF(B1174="","",IF(C1174&lt;&gt;"","REMOVE","KEEP"))</f>
        <v/>
      </c>
      <c r="E1174">
        <f>IF(D1174&lt;&gt;"KEEP","",IF(RIGHT(B1174,10)="@gmail.com","Gmail",IF(OR(RIGHT(B1174,12)="@outlook.com",RIGHT(B1174,12)="@hotmail.com",RIGHT(B1174,9)="@live.com"),"Outlook","Domain")))</f>
        <v/>
      </c>
      <c r="F1174">
        <f>IF(B1174="","",IFERROR(RIGHT(B1174,LEN(B1174)-FIND("@",B1174)),""))</f>
        <v/>
      </c>
      <c r="G1174">
        <f>IF(D1174="KEEP",COUNTIF($D$2:D1174,"KEEP"),"")</f>
        <v/>
      </c>
      <c r="H1174">
        <f>IF(D1174="REMOVE",COUNTIF($D$2:D1174,"REMOVE"),"")</f>
        <v/>
      </c>
      <c r="I1174">
        <f>IF(E1174="Gmail",COUNTIF($E$2:E1174,"Gmail"),"")</f>
        <v/>
      </c>
      <c r="J1174">
        <f>IF(E1174="Outlook",COUNTIF($E$2:E1174,"Outlook"),"")</f>
        <v/>
      </c>
      <c r="K1174">
        <f>IF(E1174="Domain",COUNTIF($E$2:E1174,"Domain"),"")</f>
        <v/>
      </c>
    </row>
    <row r="1175">
      <c r="A1175" s="2" t="n"/>
      <c r="B1175">
        <f>LOWER(TRIM(A1175))</f>
        <v/>
      </c>
      <c r="C1175">
        <f>IF(B1175="","",IFERROR(INDEX('Bad Patterns'!$A$2:$A$120,MATCH(1,INDEX(--ISNUMBER(SEARCH('Bad Patterns'!$A$2:$A$120,B1175)),0),0)),""))</f>
        <v/>
      </c>
      <c r="D1175">
        <f>IF(B1175="","",IF(C1175&lt;&gt;"","REMOVE","KEEP"))</f>
        <v/>
      </c>
      <c r="E1175">
        <f>IF(D1175&lt;&gt;"KEEP","",IF(RIGHT(B1175,10)="@gmail.com","Gmail",IF(OR(RIGHT(B1175,12)="@outlook.com",RIGHT(B1175,12)="@hotmail.com",RIGHT(B1175,9)="@live.com"),"Outlook","Domain")))</f>
        <v/>
      </c>
      <c r="F1175">
        <f>IF(B1175="","",IFERROR(RIGHT(B1175,LEN(B1175)-FIND("@",B1175)),""))</f>
        <v/>
      </c>
      <c r="G1175">
        <f>IF(D1175="KEEP",COUNTIF($D$2:D1175,"KEEP"),"")</f>
        <v/>
      </c>
      <c r="H1175">
        <f>IF(D1175="REMOVE",COUNTIF($D$2:D1175,"REMOVE"),"")</f>
        <v/>
      </c>
      <c r="I1175">
        <f>IF(E1175="Gmail",COUNTIF($E$2:E1175,"Gmail"),"")</f>
        <v/>
      </c>
      <c r="J1175">
        <f>IF(E1175="Outlook",COUNTIF($E$2:E1175,"Outlook"),"")</f>
        <v/>
      </c>
      <c r="K1175">
        <f>IF(E1175="Domain",COUNTIF($E$2:E1175,"Domain"),"")</f>
        <v/>
      </c>
    </row>
    <row r="1176">
      <c r="A1176" s="2" t="n"/>
      <c r="B1176">
        <f>LOWER(TRIM(A1176))</f>
        <v/>
      </c>
      <c r="C1176">
        <f>IF(B1176="","",IFERROR(INDEX('Bad Patterns'!$A$2:$A$120,MATCH(1,INDEX(--ISNUMBER(SEARCH('Bad Patterns'!$A$2:$A$120,B1176)),0),0)),""))</f>
        <v/>
      </c>
      <c r="D1176">
        <f>IF(B1176="","",IF(C1176&lt;&gt;"","REMOVE","KEEP"))</f>
        <v/>
      </c>
      <c r="E1176">
        <f>IF(D1176&lt;&gt;"KEEP","",IF(RIGHT(B1176,10)="@gmail.com","Gmail",IF(OR(RIGHT(B1176,12)="@outlook.com",RIGHT(B1176,12)="@hotmail.com",RIGHT(B1176,9)="@live.com"),"Outlook","Domain")))</f>
        <v/>
      </c>
      <c r="F1176">
        <f>IF(B1176="","",IFERROR(RIGHT(B1176,LEN(B1176)-FIND("@",B1176)),""))</f>
        <v/>
      </c>
      <c r="G1176">
        <f>IF(D1176="KEEP",COUNTIF($D$2:D1176,"KEEP"),"")</f>
        <v/>
      </c>
      <c r="H1176">
        <f>IF(D1176="REMOVE",COUNTIF($D$2:D1176,"REMOVE"),"")</f>
        <v/>
      </c>
      <c r="I1176">
        <f>IF(E1176="Gmail",COUNTIF($E$2:E1176,"Gmail"),"")</f>
        <v/>
      </c>
      <c r="J1176">
        <f>IF(E1176="Outlook",COUNTIF($E$2:E1176,"Outlook"),"")</f>
        <v/>
      </c>
      <c r="K1176">
        <f>IF(E1176="Domain",COUNTIF($E$2:E1176,"Domain"),"")</f>
        <v/>
      </c>
    </row>
    <row r="1177">
      <c r="A1177" s="2" t="n"/>
      <c r="B1177">
        <f>LOWER(TRIM(A1177))</f>
        <v/>
      </c>
      <c r="C1177">
        <f>IF(B1177="","",IFERROR(INDEX('Bad Patterns'!$A$2:$A$120,MATCH(1,INDEX(--ISNUMBER(SEARCH('Bad Patterns'!$A$2:$A$120,B1177)),0),0)),""))</f>
        <v/>
      </c>
      <c r="D1177">
        <f>IF(B1177="","",IF(C1177&lt;&gt;"","REMOVE","KEEP"))</f>
        <v/>
      </c>
      <c r="E1177">
        <f>IF(D1177&lt;&gt;"KEEP","",IF(RIGHT(B1177,10)="@gmail.com","Gmail",IF(OR(RIGHT(B1177,12)="@outlook.com",RIGHT(B1177,12)="@hotmail.com",RIGHT(B1177,9)="@live.com"),"Outlook","Domain")))</f>
        <v/>
      </c>
      <c r="F1177">
        <f>IF(B1177="","",IFERROR(RIGHT(B1177,LEN(B1177)-FIND("@",B1177)),""))</f>
        <v/>
      </c>
      <c r="G1177">
        <f>IF(D1177="KEEP",COUNTIF($D$2:D1177,"KEEP"),"")</f>
        <v/>
      </c>
      <c r="H1177">
        <f>IF(D1177="REMOVE",COUNTIF($D$2:D1177,"REMOVE"),"")</f>
        <v/>
      </c>
      <c r="I1177">
        <f>IF(E1177="Gmail",COUNTIF($E$2:E1177,"Gmail"),"")</f>
        <v/>
      </c>
      <c r="J1177">
        <f>IF(E1177="Outlook",COUNTIF($E$2:E1177,"Outlook"),"")</f>
        <v/>
      </c>
      <c r="K1177">
        <f>IF(E1177="Domain",COUNTIF($E$2:E1177,"Domain"),"")</f>
        <v/>
      </c>
    </row>
    <row r="1178">
      <c r="A1178" s="2" t="n"/>
      <c r="B1178">
        <f>LOWER(TRIM(A1178))</f>
        <v/>
      </c>
      <c r="C1178">
        <f>IF(B1178="","",IFERROR(INDEX('Bad Patterns'!$A$2:$A$120,MATCH(1,INDEX(--ISNUMBER(SEARCH('Bad Patterns'!$A$2:$A$120,B1178)),0),0)),""))</f>
        <v/>
      </c>
      <c r="D1178">
        <f>IF(B1178="","",IF(C1178&lt;&gt;"","REMOVE","KEEP"))</f>
        <v/>
      </c>
      <c r="E1178">
        <f>IF(D1178&lt;&gt;"KEEP","",IF(RIGHT(B1178,10)="@gmail.com","Gmail",IF(OR(RIGHT(B1178,12)="@outlook.com",RIGHT(B1178,12)="@hotmail.com",RIGHT(B1178,9)="@live.com"),"Outlook","Domain")))</f>
        <v/>
      </c>
      <c r="F1178">
        <f>IF(B1178="","",IFERROR(RIGHT(B1178,LEN(B1178)-FIND("@",B1178)),""))</f>
        <v/>
      </c>
      <c r="G1178">
        <f>IF(D1178="KEEP",COUNTIF($D$2:D1178,"KEEP"),"")</f>
        <v/>
      </c>
      <c r="H1178">
        <f>IF(D1178="REMOVE",COUNTIF($D$2:D1178,"REMOVE"),"")</f>
        <v/>
      </c>
      <c r="I1178">
        <f>IF(E1178="Gmail",COUNTIF($E$2:E1178,"Gmail"),"")</f>
        <v/>
      </c>
      <c r="J1178">
        <f>IF(E1178="Outlook",COUNTIF($E$2:E1178,"Outlook"),"")</f>
        <v/>
      </c>
      <c r="K1178">
        <f>IF(E1178="Domain",COUNTIF($E$2:E1178,"Domain"),"")</f>
        <v/>
      </c>
    </row>
    <row r="1179">
      <c r="A1179" s="2" t="n"/>
      <c r="B1179">
        <f>LOWER(TRIM(A1179))</f>
        <v/>
      </c>
      <c r="C1179">
        <f>IF(B1179="","",IFERROR(INDEX('Bad Patterns'!$A$2:$A$120,MATCH(1,INDEX(--ISNUMBER(SEARCH('Bad Patterns'!$A$2:$A$120,B1179)),0),0)),""))</f>
        <v/>
      </c>
      <c r="D1179">
        <f>IF(B1179="","",IF(C1179&lt;&gt;"","REMOVE","KEEP"))</f>
        <v/>
      </c>
      <c r="E1179">
        <f>IF(D1179&lt;&gt;"KEEP","",IF(RIGHT(B1179,10)="@gmail.com","Gmail",IF(OR(RIGHT(B1179,12)="@outlook.com",RIGHT(B1179,12)="@hotmail.com",RIGHT(B1179,9)="@live.com"),"Outlook","Domain")))</f>
        <v/>
      </c>
      <c r="F1179">
        <f>IF(B1179="","",IFERROR(RIGHT(B1179,LEN(B1179)-FIND("@",B1179)),""))</f>
        <v/>
      </c>
      <c r="G1179">
        <f>IF(D1179="KEEP",COUNTIF($D$2:D1179,"KEEP"),"")</f>
        <v/>
      </c>
      <c r="H1179">
        <f>IF(D1179="REMOVE",COUNTIF($D$2:D1179,"REMOVE"),"")</f>
        <v/>
      </c>
      <c r="I1179">
        <f>IF(E1179="Gmail",COUNTIF($E$2:E1179,"Gmail"),"")</f>
        <v/>
      </c>
      <c r="J1179">
        <f>IF(E1179="Outlook",COUNTIF($E$2:E1179,"Outlook"),"")</f>
        <v/>
      </c>
      <c r="K1179">
        <f>IF(E1179="Domain",COUNTIF($E$2:E1179,"Domain"),"")</f>
        <v/>
      </c>
    </row>
    <row r="1180">
      <c r="A1180" s="2" t="n"/>
      <c r="B1180">
        <f>LOWER(TRIM(A1180))</f>
        <v/>
      </c>
      <c r="C1180">
        <f>IF(B1180="","",IFERROR(INDEX('Bad Patterns'!$A$2:$A$120,MATCH(1,INDEX(--ISNUMBER(SEARCH('Bad Patterns'!$A$2:$A$120,B1180)),0),0)),""))</f>
        <v/>
      </c>
      <c r="D1180">
        <f>IF(B1180="","",IF(C1180&lt;&gt;"","REMOVE","KEEP"))</f>
        <v/>
      </c>
      <c r="E1180">
        <f>IF(D1180&lt;&gt;"KEEP","",IF(RIGHT(B1180,10)="@gmail.com","Gmail",IF(OR(RIGHT(B1180,12)="@outlook.com",RIGHT(B1180,12)="@hotmail.com",RIGHT(B1180,9)="@live.com"),"Outlook","Domain")))</f>
        <v/>
      </c>
      <c r="F1180">
        <f>IF(B1180="","",IFERROR(RIGHT(B1180,LEN(B1180)-FIND("@",B1180)),""))</f>
        <v/>
      </c>
      <c r="G1180">
        <f>IF(D1180="KEEP",COUNTIF($D$2:D1180,"KEEP"),"")</f>
        <v/>
      </c>
      <c r="H1180">
        <f>IF(D1180="REMOVE",COUNTIF($D$2:D1180,"REMOVE"),"")</f>
        <v/>
      </c>
      <c r="I1180">
        <f>IF(E1180="Gmail",COUNTIF($E$2:E1180,"Gmail"),"")</f>
        <v/>
      </c>
      <c r="J1180">
        <f>IF(E1180="Outlook",COUNTIF($E$2:E1180,"Outlook"),"")</f>
        <v/>
      </c>
      <c r="K1180">
        <f>IF(E1180="Domain",COUNTIF($E$2:E1180,"Domain"),"")</f>
        <v/>
      </c>
    </row>
    <row r="1181">
      <c r="A1181" s="2" t="n"/>
      <c r="B1181">
        <f>LOWER(TRIM(A1181))</f>
        <v/>
      </c>
      <c r="C1181">
        <f>IF(B1181="","",IFERROR(INDEX('Bad Patterns'!$A$2:$A$120,MATCH(1,INDEX(--ISNUMBER(SEARCH('Bad Patterns'!$A$2:$A$120,B1181)),0),0)),""))</f>
        <v/>
      </c>
      <c r="D1181">
        <f>IF(B1181="","",IF(C1181&lt;&gt;"","REMOVE","KEEP"))</f>
        <v/>
      </c>
      <c r="E1181">
        <f>IF(D1181&lt;&gt;"KEEP","",IF(RIGHT(B1181,10)="@gmail.com","Gmail",IF(OR(RIGHT(B1181,12)="@outlook.com",RIGHT(B1181,12)="@hotmail.com",RIGHT(B1181,9)="@live.com"),"Outlook","Domain")))</f>
        <v/>
      </c>
      <c r="F1181">
        <f>IF(B1181="","",IFERROR(RIGHT(B1181,LEN(B1181)-FIND("@",B1181)),""))</f>
        <v/>
      </c>
      <c r="G1181">
        <f>IF(D1181="KEEP",COUNTIF($D$2:D1181,"KEEP"),"")</f>
        <v/>
      </c>
      <c r="H1181">
        <f>IF(D1181="REMOVE",COUNTIF($D$2:D1181,"REMOVE"),"")</f>
        <v/>
      </c>
      <c r="I1181">
        <f>IF(E1181="Gmail",COUNTIF($E$2:E1181,"Gmail"),"")</f>
        <v/>
      </c>
      <c r="J1181">
        <f>IF(E1181="Outlook",COUNTIF($E$2:E1181,"Outlook"),"")</f>
        <v/>
      </c>
      <c r="K1181">
        <f>IF(E1181="Domain",COUNTIF($E$2:E1181,"Domain"),"")</f>
        <v/>
      </c>
    </row>
    <row r="1182">
      <c r="A1182" s="2" t="n"/>
      <c r="B1182">
        <f>LOWER(TRIM(A1182))</f>
        <v/>
      </c>
      <c r="C1182">
        <f>IF(B1182="","",IFERROR(INDEX('Bad Patterns'!$A$2:$A$120,MATCH(1,INDEX(--ISNUMBER(SEARCH('Bad Patterns'!$A$2:$A$120,B1182)),0),0)),""))</f>
        <v/>
      </c>
      <c r="D1182">
        <f>IF(B1182="","",IF(C1182&lt;&gt;"","REMOVE","KEEP"))</f>
        <v/>
      </c>
      <c r="E1182">
        <f>IF(D1182&lt;&gt;"KEEP","",IF(RIGHT(B1182,10)="@gmail.com","Gmail",IF(OR(RIGHT(B1182,12)="@outlook.com",RIGHT(B1182,12)="@hotmail.com",RIGHT(B1182,9)="@live.com"),"Outlook","Domain")))</f>
        <v/>
      </c>
      <c r="F1182">
        <f>IF(B1182="","",IFERROR(RIGHT(B1182,LEN(B1182)-FIND("@",B1182)),""))</f>
        <v/>
      </c>
      <c r="G1182">
        <f>IF(D1182="KEEP",COUNTIF($D$2:D1182,"KEEP"),"")</f>
        <v/>
      </c>
      <c r="H1182">
        <f>IF(D1182="REMOVE",COUNTIF($D$2:D1182,"REMOVE"),"")</f>
        <v/>
      </c>
      <c r="I1182">
        <f>IF(E1182="Gmail",COUNTIF($E$2:E1182,"Gmail"),"")</f>
        <v/>
      </c>
      <c r="J1182">
        <f>IF(E1182="Outlook",COUNTIF($E$2:E1182,"Outlook"),"")</f>
        <v/>
      </c>
      <c r="K1182">
        <f>IF(E1182="Domain",COUNTIF($E$2:E1182,"Domain"),"")</f>
        <v/>
      </c>
    </row>
    <row r="1183">
      <c r="A1183" s="2" t="n"/>
      <c r="B1183">
        <f>LOWER(TRIM(A1183))</f>
        <v/>
      </c>
      <c r="C1183">
        <f>IF(B1183="","",IFERROR(INDEX('Bad Patterns'!$A$2:$A$120,MATCH(1,INDEX(--ISNUMBER(SEARCH('Bad Patterns'!$A$2:$A$120,B1183)),0),0)),""))</f>
        <v/>
      </c>
      <c r="D1183">
        <f>IF(B1183="","",IF(C1183&lt;&gt;"","REMOVE","KEEP"))</f>
        <v/>
      </c>
      <c r="E1183">
        <f>IF(D1183&lt;&gt;"KEEP","",IF(RIGHT(B1183,10)="@gmail.com","Gmail",IF(OR(RIGHT(B1183,12)="@outlook.com",RIGHT(B1183,12)="@hotmail.com",RIGHT(B1183,9)="@live.com"),"Outlook","Domain")))</f>
        <v/>
      </c>
      <c r="F1183">
        <f>IF(B1183="","",IFERROR(RIGHT(B1183,LEN(B1183)-FIND("@",B1183)),""))</f>
        <v/>
      </c>
      <c r="G1183">
        <f>IF(D1183="KEEP",COUNTIF($D$2:D1183,"KEEP"),"")</f>
        <v/>
      </c>
      <c r="H1183">
        <f>IF(D1183="REMOVE",COUNTIF($D$2:D1183,"REMOVE"),"")</f>
        <v/>
      </c>
      <c r="I1183">
        <f>IF(E1183="Gmail",COUNTIF($E$2:E1183,"Gmail"),"")</f>
        <v/>
      </c>
      <c r="J1183">
        <f>IF(E1183="Outlook",COUNTIF($E$2:E1183,"Outlook"),"")</f>
        <v/>
      </c>
      <c r="K1183">
        <f>IF(E1183="Domain",COUNTIF($E$2:E1183,"Domain"),"")</f>
        <v/>
      </c>
    </row>
    <row r="1184">
      <c r="A1184" s="2" t="n"/>
      <c r="B1184">
        <f>LOWER(TRIM(A1184))</f>
        <v/>
      </c>
      <c r="C1184">
        <f>IF(B1184="","",IFERROR(INDEX('Bad Patterns'!$A$2:$A$120,MATCH(1,INDEX(--ISNUMBER(SEARCH('Bad Patterns'!$A$2:$A$120,B1184)),0),0)),""))</f>
        <v/>
      </c>
      <c r="D1184">
        <f>IF(B1184="","",IF(C1184&lt;&gt;"","REMOVE","KEEP"))</f>
        <v/>
      </c>
      <c r="E1184">
        <f>IF(D1184&lt;&gt;"KEEP","",IF(RIGHT(B1184,10)="@gmail.com","Gmail",IF(OR(RIGHT(B1184,12)="@outlook.com",RIGHT(B1184,12)="@hotmail.com",RIGHT(B1184,9)="@live.com"),"Outlook","Domain")))</f>
        <v/>
      </c>
      <c r="F1184">
        <f>IF(B1184="","",IFERROR(RIGHT(B1184,LEN(B1184)-FIND("@",B1184)),""))</f>
        <v/>
      </c>
      <c r="G1184">
        <f>IF(D1184="KEEP",COUNTIF($D$2:D1184,"KEEP"),"")</f>
        <v/>
      </c>
      <c r="H1184">
        <f>IF(D1184="REMOVE",COUNTIF($D$2:D1184,"REMOVE"),"")</f>
        <v/>
      </c>
      <c r="I1184">
        <f>IF(E1184="Gmail",COUNTIF($E$2:E1184,"Gmail"),"")</f>
        <v/>
      </c>
      <c r="J1184">
        <f>IF(E1184="Outlook",COUNTIF($E$2:E1184,"Outlook"),"")</f>
        <v/>
      </c>
      <c r="K1184">
        <f>IF(E1184="Domain",COUNTIF($E$2:E1184,"Domain"),"")</f>
        <v/>
      </c>
    </row>
    <row r="1185">
      <c r="A1185" s="2" t="n"/>
      <c r="B1185">
        <f>LOWER(TRIM(A1185))</f>
        <v/>
      </c>
      <c r="C1185">
        <f>IF(B1185="","",IFERROR(INDEX('Bad Patterns'!$A$2:$A$120,MATCH(1,INDEX(--ISNUMBER(SEARCH('Bad Patterns'!$A$2:$A$120,B1185)),0),0)),""))</f>
        <v/>
      </c>
      <c r="D1185">
        <f>IF(B1185="","",IF(C1185&lt;&gt;"","REMOVE","KEEP"))</f>
        <v/>
      </c>
      <c r="E1185">
        <f>IF(D1185&lt;&gt;"KEEP","",IF(RIGHT(B1185,10)="@gmail.com","Gmail",IF(OR(RIGHT(B1185,12)="@outlook.com",RIGHT(B1185,12)="@hotmail.com",RIGHT(B1185,9)="@live.com"),"Outlook","Domain")))</f>
        <v/>
      </c>
      <c r="F1185">
        <f>IF(B1185="","",IFERROR(RIGHT(B1185,LEN(B1185)-FIND("@",B1185)),""))</f>
        <v/>
      </c>
      <c r="G1185">
        <f>IF(D1185="KEEP",COUNTIF($D$2:D1185,"KEEP"),"")</f>
        <v/>
      </c>
      <c r="H1185">
        <f>IF(D1185="REMOVE",COUNTIF($D$2:D1185,"REMOVE"),"")</f>
        <v/>
      </c>
      <c r="I1185">
        <f>IF(E1185="Gmail",COUNTIF($E$2:E1185,"Gmail"),"")</f>
        <v/>
      </c>
      <c r="J1185">
        <f>IF(E1185="Outlook",COUNTIF($E$2:E1185,"Outlook"),"")</f>
        <v/>
      </c>
      <c r="K1185">
        <f>IF(E1185="Domain",COUNTIF($E$2:E1185,"Domain"),"")</f>
        <v/>
      </c>
    </row>
    <row r="1186">
      <c r="A1186" s="2" t="n"/>
      <c r="B1186">
        <f>LOWER(TRIM(A1186))</f>
        <v/>
      </c>
      <c r="C1186">
        <f>IF(B1186="","",IFERROR(INDEX('Bad Patterns'!$A$2:$A$120,MATCH(1,INDEX(--ISNUMBER(SEARCH('Bad Patterns'!$A$2:$A$120,B1186)),0),0)),""))</f>
        <v/>
      </c>
      <c r="D1186">
        <f>IF(B1186="","",IF(C1186&lt;&gt;"","REMOVE","KEEP"))</f>
        <v/>
      </c>
      <c r="E1186">
        <f>IF(D1186&lt;&gt;"KEEP","",IF(RIGHT(B1186,10)="@gmail.com","Gmail",IF(OR(RIGHT(B1186,12)="@outlook.com",RIGHT(B1186,12)="@hotmail.com",RIGHT(B1186,9)="@live.com"),"Outlook","Domain")))</f>
        <v/>
      </c>
      <c r="F1186">
        <f>IF(B1186="","",IFERROR(RIGHT(B1186,LEN(B1186)-FIND("@",B1186)),""))</f>
        <v/>
      </c>
      <c r="G1186">
        <f>IF(D1186="KEEP",COUNTIF($D$2:D1186,"KEEP"),"")</f>
        <v/>
      </c>
      <c r="H1186">
        <f>IF(D1186="REMOVE",COUNTIF($D$2:D1186,"REMOVE"),"")</f>
        <v/>
      </c>
      <c r="I1186">
        <f>IF(E1186="Gmail",COUNTIF($E$2:E1186,"Gmail"),"")</f>
        <v/>
      </c>
      <c r="J1186">
        <f>IF(E1186="Outlook",COUNTIF($E$2:E1186,"Outlook"),"")</f>
        <v/>
      </c>
      <c r="K1186">
        <f>IF(E1186="Domain",COUNTIF($E$2:E1186,"Domain"),"")</f>
        <v/>
      </c>
    </row>
    <row r="1187">
      <c r="A1187" s="2" t="n"/>
      <c r="B1187">
        <f>LOWER(TRIM(A1187))</f>
        <v/>
      </c>
      <c r="C1187">
        <f>IF(B1187="","",IFERROR(INDEX('Bad Patterns'!$A$2:$A$120,MATCH(1,INDEX(--ISNUMBER(SEARCH('Bad Patterns'!$A$2:$A$120,B1187)),0),0)),""))</f>
        <v/>
      </c>
      <c r="D1187">
        <f>IF(B1187="","",IF(C1187&lt;&gt;"","REMOVE","KEEP"))</f>
        <v/>
      </c>
      <c r="E1187">
        <f>IF(D1187&lt;&gt;"KEEP","",IF(RIGHT(B1187,10)="@gmail.com","Gmail",IF(OR(RIGHT(B1187,12)="@outlook.com",RIGHT(B1187,12)="@hotmail.com",RIGHT(B1187,9)="@live.com"),"Outlook","Domain")))</f>
        <v/>
      </c>
      <c r="F1187">
        <f>IF(B1187="","",IFERROR(RIGHT(B1187,LEN(B1187)-FIND("@",B1187)),""))</f>
        <v/>
      </c>
      <c r="G1187">
        <f>IF(D1187="KEEP",COUNTIF($D$2:D1187,"KEEP"),"")</f>
        <v/>
      </c>
      <c r="H1187">
        <f>IF(D1187="REMOVE",COUNTIF($D$2:D1187,"REMOVE"),"")</f>
        <v/>
      </c>
      <c r="I1187">
        <f>IF(E1187="Gmail",COUNTIF($E$2:E1187,"Gmail"),"")</f>
        <v/>
      </c>
      <c r="J1187">
        <f>IF(E1187="Outlook",COUNTIF($E$2:E1187,"Outlook"),"")</f>
        <v/>
      </c>
      <c r="K1187">
        <f>IF(E1187="Domain",COUNTIF($E$2:E1187,"Domain"),"")</f>
        <v/>
      </c>
    </row>
    <row r="1188">
      <c r="A1188" s="2" t="n"/>
      <c r="B1188">
        <f>LOWER(TRIM(A1188))</f>
        <v/>
      </c>
      <c r="C1188">
        <f>IF(B1188="","",IFERROR(INDEX('Bad Patterns'!$A$2:$A$120,MATCH(1,INDEX(--ISNUMBER(SEARCH('Bad Patterns'!$A$2:$A$120,B1188)),0),0)),""))</f>
        <v/>
      </c>
      <c r="D1188">
        <f>IF(B1188="","",IF(C1188&lt;&gt;"","REMOVE","KEEP"))</f>
        <v/>
      </c>
      <c r="E1188">
        <f>IF(D1188&lt;&gt;"KEEP","",IF(RIGHT(B1188,10)="@gmail.com","Gmail",IF(OR(RIGHT(B1188,12)="@outlook.com",RIGHT(B1188,12)="@hotmail.com",RIGHT(B1188,9)="@live.com"),"Outlook","Domain")))</f>
        <v/>
      </c>
      <c r="F1188">
        <f>IF(B1188="","",IFERROR(RIGHT(B1188,LEN(B1188)-FIND("@",B1188)),""))</f>
        <v/>
      </c>
      <c r="G1188">
        <f>IF(D1188="KEEP",COUNTIF($D$2:D1188,"KEEP"),"")</f>
        <v/>
      </c>
      <c r="H1188">
        <f>IF(D1188="REMOVE",COUNTIF($D$2:D1188,"REMOVE"),"")</f>
        <v/>
      </c>
      <c r="I1188">
        <f>IF(E1188="Gmail",COUNTIF($E$2:E1188,"Gmail"),"")</f>
        <v/>
      </c>
      <c r="J1188">
        <f>IF(E1188="Outlook",COUNTIF($E$2:E1188,"Outlook"),"")</f>
        <v/>
      </c>
      <c r="K1188">
        <f>IF(E1188="Domain",COUNTIF($E$2:E1188,"Domain"),"")</f>
        <v/>
      </c>
    </row>
    <row r="1189">
      <c r="A1189" s="2" t="n"/>
      <c r="B1189">
        <f>LOWER(TRIM(A1189))</f>
        <v/>
      </c>
      <c r="C1189">
        <f>IF(B1189="","",IFERROR(INDEX('Bad Patterns'!$A$2:$A$120,MATCH(1,INDEX(--ISNUMBER(SEARCH('Bad Patterns'!$A$2:$A$120,B1189)),0),0)),""))</f>
        <v/>
      </c>
      <c r="D1189">
        <f>IF(B1189="","",IF(C1189&lt;&gt;"","REMOVE","KEEP"))</f>
        <v/>
      </c>
      <c r="E1189">
        <f>IF(D1189&lt;&gt;"KEEP","",IF(RIGHT(B1189,10)="@gmail.com","Gmail",IF(OR(RIGHT(B1189,12)="@outlook.com",RIGHT(B1189,12)="@hotmail.com",RIGHT(B1189,9)="@live.com"),"Outlook","Domain")))</f>
        <v/>
      </c>
      <c r="F1189">
        <f>IF(B1189="","",IFERROR(RIGHT(B1189,LEN(B1189)-FIND("@",B1189)),""))</f>
        <v/>
      </c>
      <c r="G1189">
        <f>IF(D1189="KEEP",COUNTIF($D$2:D1189,"KEEP"),"")</f>
        <v/>
      </c>
      <c r="H1189">
        <f>IF(D1189="REMOVE",COUNTIF($D$2:D1189,"REMOVE"),"")</f>
        <v/>
      </c>
      <c r="I1189">
        <f>IF(E1189="Gmail",COUNTIF($E$2:E1189,"Gmail"),"")</f>
        <v/>
      </c>
      <c r="J1189">
        <f>IF(E1189="Outlook",COUNTIF($E$2:E1189,"Outlook"),"")</f>
        <v/>
      </c>
      <c r="K1189">
        <f>IF(E1189="Domain",COUNTIF($E$2:E1189,"Domain"),"")</f>
        <v/>
      </c>
    </row>
    <row r="1190">
      <c r="A1190" s="2" t="n"/>
      <c r="B1190">
        <f>LOWER(TRIM(A1190))</f>
        <v/>
      </c>
      <c r="C1190">
        <f>IF(B1190="","",IFERROR(INDEX('Bad Patterns'!$A$2:$A$120,MATCH(1,INDEX(--ISNUMBER(SEARCH('Bad Patterns'!$A$2:$A$120,B1190)),0),0)),""))</f>
        <v/>
      </c>
      <c r="D1190">
        <f>IF(B1190="","",IF(C1190&lt;&gt;"","REMOVE","KEEP"))</f>
        <v/>
      </c>
      <c r="E1190">
        <f>IF(D1190&lt;&gt;"KEEP","",IF(RIGHT(B1190,10)="@gmail.com","Gmail",IF(OR(RIGHT(B1190,12)="@outlook.com",RIGHT(B1190,12)="@hotmail.com",RIGHT(B1190,9)="@live.com"),"Outlook","Domain")))</f>
        <v/>
      </c>
      <c r="F1190">
        <f>IF(B1190="","",IFERROR(RIGHT(B1190,LEN(B1190)-FIND("@",B1190)),""))</f>
        <v/>
      </c>
      <c r="G1190">
        <f>IF(D1190="KEEP",COUNTIF($D$2:D1190,"KEEP"),"")</f>
        <v/>
      </c>
      <c r="H1190">
        <f>IF(D1190="REMOVE",COUNTIF($D$2:D1190,"REMOVE"),"")</f>
        <v/>
      </c>
      <c r="I1190">
        <f>IF(E1190="Gmail",COUNTIF($E$2:E1190,"Gmail"),"")</f>
        <v/>
      </c>
      <c r="J1190">
        <f>IF(E1190="Outlook",COUNTIF($E$2:E1190,"Outlook"),"")</f>
        <v/>
      </c>
      <c r="K1190">
        <f>IF(E1190="Domain",COUNTIF($E$2:E1190,"Domain"),"")</f>
        <v/>
      </c>
    </row>
    <row r="1191">
      <c r="A1191" s="2" t="n"/>
      <c r="B1191">
        <f>LOWER(TRIM(A1191))</f>
        <v/>
      </c>
      <c r="C1191">
        <f>IF(B1191="","",IFERROR(INDEX('Bad Patterns'!$A$2:$A$120,MATCH(1,INDEX(--ISNUMBER(SEARCH('Bad Patterns'!$A$2:$A$120,B1191)),0),0)),""))</f>
        <v/>
      </c>
      <c r="D1191">
        <f>IF(B1191="","",IF(C1191&lt;&gt;"","REMOVE","KEEP"))</f>
        <v/>
      </c>
      <c r="E1191">
        <f>IF(D1191&lt;&gt;"KEEP","",IF(RIGHT(B1191,10)="@gmail.com","Gmail",IF(OR(RIGHT(B1191,12)="@outlook.com",RIGHT(B1191,12)="@hotmail.com",RIGHT(B1191,9)="@live.com"),"Outlook","Domain")))</f>
        <v/>
      </c>
      <c r="F1191">
        <f>IF(B1191="","",IFERROR(RIGHT(B1191,LEN(B1191)-FIND("@",B1191)),""))</f>
        <v/>
      </c>
      <c r="G1191">
        <f>IF(D1191="KEEP",COUNTIF($D$2:D1191,"KEEP"),"")</f>
        <v/>
      </c>
      <c r="H1191">
        <f>IF(D1191="REMOVE",COUNTIF($D$2:D1191,"REMOVE"),"")</f>
        <v/>
      </c>
      <c r="I1191">
        <f>IF(E1191="Gmail",COUNTIF($E$2:E1191,"Gmail"),"")</f>
        <v/>
      </c>
      <c r="J1191">
        <f>IF(E1191="Outlook",COUNTIF($E$2:E1191,"Outlook"),"")</f>
        <v/>
      </c>
      <c r="K1191">
        <f>IF(E1191="Domain",COUNTIF($E$2:E1191,"Domain"),"")</f>
        <v/>
      </c>
    </row>
    <row r="1192">
      <c r="A1192" s="2" t="n"/>
      <c r="B1192">
        <f>LOWER(TRIM(A1192))</f>
        <v/>
      </c>
      <c r="C1192">
        <f>IF(B1192="","",IFERROR(INDEX('Bad Patterns'!$A$2:$A$120,MATCH(1,INDEX(--ISNUMBER(SEARCH('Bad Patterns'!$A$2:$A$120,B1192)),0),0)),""))</f>
        <v/>
      </c>
      <c r="D1192">
        <f>IF(B1192="","",IF(C1192&lt;&gt;"","REMOVE","KEEP"))</f>
        <v/>
      </c>
      <c r="E1192">
        <f>IF(D1192&lt;&gt;"KEEP","",IF(RIGHT(B1192,10)="@gmail.com","Gmail",IF(OR(RIGHT(B1192,12)="@outlook.com",RIGHT(B1192,12)="@hotmail.com",RIGHT(B1192,9)="@live.com"),"Outlook","Domain")))</f>
        <v/>
      </c>
      <c r="F1192">
        <f>IF(B1192="","",IFERROR(RIGHT(B1192,LEN(B1192)-FIND("@",B1192)),""))</f>
        <v/>
      </c>
      <c r="G1192">
        <f>IF(D1192="KEEP",COUNTIF($D$2:D1192,"KEEP"),"")</f>
        <v/>
      </c>
      <c r="H1192">
        <f>IF(D1192="REMOVE",COUNTIF($D$2:D1192,"REMOVE"),"")</f>
        <v/>
      </c>
      <c r="I1192">
        <f>IF(E1192="Gmail",COUNTIF($E$2:E1192,"Gmail"),"")</f>
        <v/>
      </c>
      <c r="J1192">
        <f>IF(E1192="Outlook",COUNTIF($E$2:E1192,"Outlook"),"")</f>
        <v/>
      </c>
      <c r="K1192">
        <f>IF(E1192="Domain",COUNTIF($E$2:E1192,"Domain"),"")</f>
        <v/>
      </c>
    </row>
    <row r="1193">
      <c r="A1193" s="2" t="n"/>
      <c r="B1193">
        <f>LOWER(TRIM(A1193))</f>
        <v/>
      </c>
      <c r="C1193">
        <f>IF(B1193="","",IFERROR(INDEX('Bad Patterns'!$A$2:$A$120,MATCH(1,INDEX(--ISNUMBER(SEARCH('Bad Patterns'!$A$2:$A$120,B1193)),0),0)),""))</f>
        <v/>
      </c>
      <c r="D1193">
        <f>IF(B1193="","",IF(C1193&lt;&gt;"","REMOVE","KEEP"))</f>
        <v/>
      </c>
      <c r="E1193">
        <f>IF(D1193&lt;&gt;"KEEP","",IF(RIGHT(B1193,10)="@gmail.com","Gmail",IF(OR(RIGHT(B1193,12)="@outlook.com",RIGHT(B1193,12)="@hotmail.com",RIGHT(B1193,9)="@live.com"),"Outlook","Domain")))</f>
        <v/>
      </c>
      <c r="F1193">
        <f>IF(B1193="","",IFERROR(RIGHT(B1193,LEN(B1193)-FIND("@",B1193)),""))</f>
        <v/>
      </c>
      <c r="G1193">
        <f>IF(D1193="KEEP",COUNTIF($D$2:D1193,"KEEP"),"")</f>
        <v/>
      </c>
      <c r="H1193">
        <f>IF(D1193="REMOVE",COUNTIF($D$2:D1193,"REMOVE"),"")</f>
        <v/>
      </c>
      <c r="I1193">
        <f>IF(E1193="Gmail",COUNTIF($E$2:E1193,"Gmail"),"")</f>
        <v/>
      </c>
      <c r="J1193">
        <f>IF(E1193="Outlook",COUNTIF($E$2:E1193,"Outlook"),"")</f>
        <v/>
      </c>
      <c r="K1193">
        <f>IF(E1193="Domain",COUNTIF($E$2:E1193,"Domain"),"")</f>
        <v/>
      </c>
    </row>
    <row r="1194">
      <c r="A1194" s="2" t="n"/>
      <c r="B1194">
        <f>LOWER(TRIM(A1194))</f>
        <v/>
      </c>
      <c r="C1194">
        <f>IF(B1194="","",IFERROR(INDEX('Bad Patterns'!$A$2:$A$120,MATCH(1,INDEX(--ISNUMBER(SEARCH('Bad Patterns'!$A$2:$A$120,B1194)),0),0)),""))</f>
        <v/>
      </c>
      <c r="D1194">
        <f>IF(B1194="","",IF(C1194&lt;&gt;"","REMOVE","KEEP"))</f>
        <v/>
      </c>
      <c r="E1194">
        <f>IF(D1194&lt;&gt;"KEEP","",IF(RIGHT(B1194,10)="@gmail.com","Gmail",IF(OR(RIGHT(B1194,12)="@outlook.com",RIGHT(B1194,12)="@hotmail.com",RIGHT(B1194,9)="@live.com"),"Outlook","Domain")))</f>
        <v/>
      </c>
      <c r="F1194">
        <f>IF(B1194="","",IFERROR(RIGHT(B1194,LEN(B1194)-FIND("@",B1194)),""))</f>
        <v/>
      </c>
      <c r="G1194">
        <f>IF(D1194="KEEP",COUNTIF($D$2:D1194,"KEEP"),"")</f>
        <v/>
      </c>
      <c r="H1194">
        <f>IF(D1194="REMOVE",COUNTIF($D$2:D1194,"REMOVE"),"")</f>
        <v/>
      </c>
      <c r="I1194">
        <f>IF(E1194="Gmail",COUNTIF($E$2:E1194,"Gmail"),"")</f>
        <v/>
      </c>
      <c r="J1194">
        <f>IF(E1194="Outlook",COUNTIF($E$2:E1194,"Outlook"),"")</f>
        <v/>
      </c>
      <c r="K1194">
        <f>IF(E1194="Domain",COUNTIF($E$2:E1194,"Domain"),"")</f>
        <v/>
      </c>
    </row>
    <row r="1195">
      <c r="A1195" s="2" t="n"/>
      <c r="B1195">
        <f>LOWER(TRIM(A1195))</f>
        <v/>
      </c>
      <c r="C1195">
        <f>IF(B1195="","",IFERROR(INDEX('Bad Patterns'!$A$2:$A$120,MATCH(1,INDEX(--ISNUMBER(SEARCH('Bad Patterns'!$A$2:$A$120,B1195)),0),0)),""))</f>
        <v/>
      </c>
      <c r="D1195">
        <f>IF(B1195="","",IF(C1195&lt;&gt;"","REMOVE","KEEP"))</f>
        <v/>
      </c>
      <c r="E1195">
        <f>IF(D1195&lt;&gt;"KEEP","",IF(RIGHT(B1195,10)="@gmail.com","Gmail",IF(OR(RIGHT(B1195,12)="@outlook.com",RIGHT(B1195,12)="@hotmail.com",RIGHT(B1195,9)="@live.com"),"Outlook","Domain")))</f>
        <v/>
      </c>
      <c r="F1195">
        <f>IF(B1195="","",IFERROR(RIGHT(B1195,LEN(B1195)-FIND("@",B1195)),""))</f>
        <v/>
      </c>
      <c r="G1195">
        <f>IF(D1195="KEEP",COUNTIF($D$2:D1195,"KEEP"),"")</f>
        <v/>
      </c>
      <c r="H1195">
        <f>IF(D1195="REMOVE",COUNTIF($D$2:D1195,"REMOVE"),"")</f>
        <v/>
      </c>
      <c r="I1195">
        <f>IF(E1195="Gmail",COUNTIF($E$2:E1195,"Gmail"),"")</f>
        <v/>
      </c>
      <c r="J1195">
        <f>IF(E1195="Outlook",COUNTIF($E$2:E1195,"Outlook"),"")</f>
        <v/>
      </c>
      <c r="K1195">
        <f>IF(E1195="Domain",COUNTIF($E$2:E1195,"Domain"),"")</f>
        <v/>
      </c>
    </row>
    <row r="1196">
      <c r="A1196" s="2" t="n"/>
      <c r="B1196">
        <f>LOWER(TRIM(A1196))</f>
        <v/>
      </c>
      <c r="C1196">
        <f>IF(B1196="","",IFERROR(INDEX('Bad Patterns'!$A$2:$A$120,MATCH(1,INDEX(--ISNUMBER(SEARCH('Bad Patterns'!$A$2:$A$120,B1196)),0),0)),""))</f>
        <v/>
      </c>
      <c r="D1196">
        <f>IF(B1196="","",IF(C1196&lt;&gt;"","REMOVE","KEEP"))</f>
        <v/>
      </c>
      <c r="E1196">
        <f>IF(D1196&lt;&gt;"KEEP","",IF(RIGHT(B1196,10)="@gmail.com","Gmail",IF(OR(RIGHT(B1196,12)="@outlook.com",RIGHT(B1196,12)="@hotmail.com",RIGHT(B1196,9)="@live.com"),"Outlook","Domain")))</f>
        <v/>
      </c>
      <c r="F1196">
        <f>IF(B1196="","",IFERROR(RIGHT(B1196,LEN(B1196)-FIND("@",B1196)),""))</f>
        <v/>
      </c>
      <c r="G1196">
        <f>IF(D1196="KEEP",COUNTIF($D$2:D1196,"KEEP"),"")</f>
        <v/>
      </c>
      <c r="H1196">
        <f>IF(D1196="REMOVE",COUNTIF($D$2:D1196,"REMOVE"),"")</f>
        <v/>
      </c>
      <c r="I1196">
        <f>IF(E1196="Gmail",COUNTIF($E$2:E1196,"Gmail"),"")</f>
        <v/>
      </c>
      <c r="J1196">
        <f>IF(E1196="Outlook",COUNTIF($E$2:E1196,"Outlook"),"")</f>
        <v/>
      </c>
      <c r="K1196">
        <f>IF(E1196="Domain",COUNTIF($E$2:E1196,"Domain"),"")</f>
        <v/>
      </c>
    </row>
    <row r="1197">
      <c r="A1197" s="2" t="n"/>
      <c r="B1197">
        <f>LOWER(TRIM(A1197))</f>
        <v/>
      </c>
      <c r="C1197">
        <f>IF(B1197="","",IFERROR(INDEX('Bad Patterns'!$A$2:$A$120,MATCH(1,INDEX(--ISNUMBER(SEARCH('Bad Patterns'!$A$2:$A$120,B1197)),0),0)),""))</f>
        <v/>
      </c>
      <c r="D1197">
        <f>IF(B1197="","",IF(C1197&lt;&gt;"","REMOVE","KEEP"))</f>
        <v/>
      </c>
      <c r="E1197">
        <f>IF(D1197&lt;&gt;"KEEP","",IF(RIGHT(B1197,10)="@gmail.com","Gmail",IF(OR(RIGHT(B1197,12)="@outlook.com",RIGHT(B1197,12)="@hotmail.com",RIGHT(B1197,9)="@live.com"),"Outlook","Domain")))</f>
        <v/>
      </c>
      <c r="F1197">
        <f>IF(B1197="","",IFERROR(RIGHT(B1197,LEN(B1197)-FIND("@",B1197)),""))</f>
        <v/>
      </c>
      <c r="G1197">
        <f>IF(D1197="KEEP",COUNTIF($D$2:D1197,"KEEP"),"")</f>
        <v/>
      </c>
      <c r="H1197">
        <f>IF(D1197="REMOVE",COUNTIF($D$2:D1197,"REMOVE"),"")</f>
        <v/>
      </c>
      <c r="I1197">
        <f>IF(E1197="Gmail",COUNTIF($E$2:E1197,"Gmail"),"")</f>
        <v/>
      </c>
      <c r="J1197">
        <f>IF(E1197="Outlook",COUNTIF($E$2:E1197,"Outlook"),"")</f>
        <v/>
      </c>
      <c r="K1197">
        <f>IF(E1197="Domain",COUNTIF($E$2:E1197,"Domain"),"")</f>
        <v/>
      </c>
    </row>
    <row r="1198">
      <c r="A1198" s="2" t="n"/>
      <c r="B1198">
        <f>LOWER(TRIM(A1198))</f>
        <v/>
      </c>
      <c r="C1198">
        <f>IF(B1198="","",IFERROR(INDEX('Bad Patterns'!$A$2:$A$120,MATCH(1,INDEX(--ISNUMBER(SEARCH('Bad Patterns'!$A$2:$A$120,B1198)),0),0)),""))</f>
        <v/>
      </c>
      <c r="D1198">
        <f>IF(B1198="","",IF(C1198&lt;&gt;"","REMOVE","KEEP"))</f>
        <v/>
      </c>
      <c r="E1198">
        <f>IF(D1198&lt;&gt;"KEEP","",IF(RIGHT(B1198,10)="@gmail.com","Gmail",IF(OR(RIGHT(B1198,12)="@outlook.com",RIGHT(B1198,12)="@hotmail.com",RIGHT(B1198,9)="@live.com"),"Outlook","Domain")))</f>
        <v/>
      </c>
      <c r="F1198">
        <f>IF(B1198="","",IFERROR(RIGHT(B1198,LEN(B1198)-FIND("@",B1198)),""))</f>
        <v/>
      </c>
      <c r="G1198">
        <f>IF(D1198="KEEP",COUNTIF($D$2:D1198,"KEEP"),"")</f>
        <v/>
      </c>
      <c r="H1198">
        <f>IF(D1198="REMOVE",COUNTIF($D$2:D1198,"REMOVE"),"")</f>
        <v/>
      </c>
      <c r="I1198">
        <f>IF(E1198="Gmail",COUNTIF($E$2:E1198,"Gmail"),"")</f>
        <v/>
      </c>
      <c r="J1198">
        <f>IF(E1198="Outlook",COUNTIF($E$2:E1198,"Outlook"),"")</f>
        <v/>
      </c>
      <c r="K1198">
        <f>IF(E1198="Domain",COUNTIF($E$2:E1198,"Domain"),"")</f>
        <v/>
      </c>
    </row>
    <row r="1199">
      <c r="A1199" s="2" t="n"/>
      <c r="B1199">
        <f>LOWER(TRIM(A1199))</f>
        <v/>
      </c>
      <c r="C1199">
        <f>IF(B1199="","",IFERROR(INDEX('Bad Patterns'!$A$2:$A$120,MATCH(1,INDEX(--ISNUMBER(SEARCH('Bad Patterns'!$A$2:$A$120,B1199)),0),0)),""))</f>
        <v/>
      </c>
      <c r="D1199">
        <f>IF(B1199="","",IF(C1199&lt;&gt;"","REMOVE","KEEP"))</f>
        <v/>
      </c>
      <c r="E1199">
        <f>IF(D1199&lt;&gt;"KEEP","",IF(RIGHT(B1199,10)="@gmail.com","Gmail",IF(OR(RIGHT(B1199,12)="@outlook.com",RIGHT(B1199,12)="@hotmail.com",RIGHT(B1199,9)="@live.com"),"Outlook","Domain")))</f>
        <v/>
      </c>
      <c r="F1199">
        <f>IF(B1199="","",IFERROR(RIGHT(B1199,LEN(B1199)-FIND("@",B1199)),""))</f>
        <v/>
      </c>
      <c r="G1199">
        <f>IF(D1199="KEEP",COUNTIF($D$2:D1199,"KEEP"),"")</f>
        <v/>
      </c>
      <c r="H1199">
        <f>IF(D1199="REMOVE",COUNTIF($D$2:D1199,"REMOVE"),"")</f>
        <v/>
      </c>
      <c r="I1199">
        <f>IF(E1199="Gmail",COUNTIF($E$2:E1199,"Gmail"),"")</f>
        <v/>
      </c>
      <c r="J1199">
        <f>IF(E1199="Outlook",COUNTIF($E$2:E1199,"Outlook"),"")</f>
        <v/>
      </c>
      <c r="K1199">
        <f>IF(E1199="Domain",COUNTIF($E$2:E1199,"Domain"),"")</f>
        <v/>
      </c>
    </row>
    <row r="1200">
      <c r="A1200" s="2" t="n"/>
      <c r="B1200">
        <f>LOWER(TRIM(A1200))</f>
        <v/>
      </c>
      <c r="C1200">
        <f>IF(B1200="","",IFERROR(INDEX('Bad Patterns'!$A$2:$A$120,MATCH(1,INDEX(--ISNUMBER(SEARCH('Bad Patterns'!$A$2:$A$120,B1200)),0),0)),""))</f>
        <v/>
      </c>
      <c r="D1200">
        <f>IF(B1200="","",IF(C1200&lt;&gt;"","REMOVE","KEEP"))</f>
        <v/>
      </c>
      <c r="E1200">
        <f>IF(D1200&lt;&gt;"KEEP","",IF(RIGHT(B1200,10)="@gmail.com","Gmail",IF(OR(RIGHT(B1200,12)="@outlook.com",RIGHT(B1200,12)="@hotmail.com",RIGHT(B1200,9)="@live.com"),"Outlook","Domain")))</f>
        <v/>
      </c>
      <c r="F1200">
        <f>IF(B1200="","",IFERROR(RIGHT(B1200,LEN(B1200)-FIND("@",B1200)),""))</f>
        <v/>
      </c>
      <c r="G1200">
        <f>IF(D1200="KEEP",COUNTIF($D$2:D1200,"KEEP"),"")</f>
        <v/>
      </c>
      <c r="H1200">
        <f>IF(D1200="REMOVE",COUNTIF($D$2:D1200,"REMOVE"),"")</f>
        <v/>
      </c>
      <c r="I1200">
        <f>IF(E1200="Gmail",COUNTIF($E$2:E1200,"Gmail"),"")</f>
        <v/>
      </c>
      <c r="J1200">
        <f>IF(E1200="Outlook",COUNTIF($E$2:E1200,"Outlook"),"")</f>
        <v/>
      </c>
      <c r="K1200">
        <f>IF(E1200="Domain",COUNTIF($E$2:E1200,"Domain"),"")</f>
        <v/>
      </c>
    </row>
    <row r="1201">
      <c r="A1201" s="2" t="n"/>
      <c r="B1201">
        <f>LOWER(TRIM(A1201))</f>
        <v/>
      </c>
      <c r="C1201">
        <f>IF(B1201="","",IFERROR(INDEX('Bad Patterns'!$A$2:$A$120,MATCH(1,INDEX(--ISNUMBER(SEARCH('Bad Patterns'!$A$2:$A$120,B1201)),0),0)),""))</f>
        <v/>
      </c>
      <c r="D1201">
        <f>IF(B1201="","",IF(C1201&lt;&gt;"","REMOVE","KEEP"))</f>
        <v/>
      </c>
      <c r="E1201">
        <f>IF(D1201&lt;&gt;"KEEP","",IF(RIGHT(B1201,10)="@gmail.com","Gmail",IF(OR(RIGHT(B1201,12)="@outlook.com",RIGHT(B1201,12)="@hotmail.com",RIGHT(B1201,9)="@live.com"),"Outlook","Domain")))</f>
        <v/>
      </c>
      <c r="F1201">
        <f>IF(B1201="","",IFERROR(RIGHT(B1201,LEN(B1201)-FIND("@",B1201)),""))</f>
        <v/>
      </c>
      <c r="G1201">
        <f>IF(D1201="KEEP",COUNTIF($D$2:D1201,"KEEP"),"")</f>
        <v/>
      </c>
      <c r="H1201">
        <f>IF(D1201="REMOVE",COUNTIF($D$2:D1201,"REMOVE"),"")</f>
        <v/>
      </c>
      <c r="I1201">
        <f>IF(E1201="Gmail",COUNTIF($E$2:E1201,"Gmail"),"")</f>
        <v/>
      </c>
      <c r="J1201">
        <f>IF(E1201="Outlook",COUNTIF($E$2:E1201,"Outlook"),"")</f>
        <v/>
      </c>
      <c r="K1201">
        <f>IF(E1201="Domain",COUNTIF($E$2:E1201,"Domain"),"")</f>
        <v/>
      </c>
    </row>
    <row r="1202">
      <c r="A1202" s="2" t="n"/>
      <c r="B1202">
        <f>LOWER(TRIM(A1202))</f>
        <v/>
      </c>
      <c r="C1202">
        <f>IF(B1202="","",IFERROR(INDEX('Bad Patterns'!$A$2:$A$120,MATCH(1,INDEX(--ISNUMBER(SEARCH('Bad Patterns'!$A$2:$A$120,B1202)),0),0)),""))</f>
        <v/>
      </c>
      <c r="D1202">
        <f>IF(B1202="","",IF(C1202&lt;&gt;"","REMOVE","KEEP"))</f>
        <v/>
      </c>
      <c r="E1202">
        <f>IF(D1202&lt;&gt;"KEEP","",IF(RIGHT(B1202,10)="@gmail.com","Gmail",IF(OR(RIGHT(B1202,12)="@outlook.com",RIGHT(B1202,12)="@hotmail.com",RIGHT(B1202,9)="@live.com"),"Outlook","Domain")))</f>
        <v/>
      </c>
      <c r="F1202">
        <f>IF(B1202="","",IFERROR(RIGHT(B1202,LEN(B1202)-FIND("@",B1202)),""))</f>
        <v/>
      </c>
      <c r="G1202">
        <f>IF(D1202="KEEP",COUNTIF($D$2:D1202,"KEEP"),"")</f>
        <v/>
      </c>
      <c r="H1202">
        <f>IF(D1202="REMOVE",COUNTIF($D$2:D1202,"REMOVE"),"")</f>
        <v/>
      </c>
      <c r="I1202">
        <f>IF(E1202="Gmail",COUNTIF($E$2:E1202,"Gmail"),"")</f>
        <v/>
      </c>
      <c r="J1202">
        <f>IF(E1202="Outlook",COUNTIF($E$2:E1202,"Outlook"),"")</f>
        <v/>
      </c>
      <c r="K1202">
        <f>IF(E1202="Domain",COUNTIF($E$2:E1202,"Domain"),"")</f>
        <v/>
      </c>
    </row>
    <row r="1203">
      <c r="A1203" s="2" t="n"/>
      <c r="B1203">
        <f>LOWER(TRIM(A1203))</f>
        <v/>
      </c>
      <c r="C1203">
        <f>IF(B1203="","",IFERROR(INDEX('Bad Patterns'!$A$2:$A$120,MATCH(1,INDEX(--ISNUMBER(SEARCH('Bad Patterns'!$A$2:$A$120,B1203)),0),0)),""))</f>
        <v/>
      </c>
      <c r="D1203">
        <f>IF(B1203="","",IF(C1203&lt;&gt;"","REMOVE","KEEP"))</f>
        <v/>
      </c>
      <c r="E1203">
        <f>IF(D1203&lt;&gt;"KEEP","",IF(RIGHT(B1203,10)="@gmail.com","Gmail",IF(OR(RIGHT(B1203,12)="@outlook.com",RIGHT(B1203,12)="@hotmail.com",RIGHT(B1203,9)="@live.com"),"Outlook","Domain")))</f>
        <v/>
      </c>
      <c r="F1203">
        <f>IF(B1203="","",IFERROR(RIGHT(B1203,LEN(B1203)-FIND("@",B1203)),""))</f>
        <v/>
      </c>
      <c r="G1203">
        <f>IF(D1203="KEEP",COUNTIF($D$2:D1203,"KEEP"),"")</f>
        <v/>
      </c>
      <c r="H1203">
        <f>IF(D1203="REMOVE",COUNTIF($D$2:D1203,"REMOVE"),"")</f>
        <v/>
      </c>
      <c r="I1203">
        <f>IF(E1203="Gmail",COUNTIF($E$2:E1203,"Gmail"),"")</f>
        <v/>
      </c>
      <c r="J1203">
        <f>IF(E1203="Outlook",COUNTIF($E$2:E1203,"Outlook"),"")</f>
        <v/>
      </c>
      <c r="K1203">
        <f>IF(E1203="Domain",COUNTIF($E$2:E1203,"Domain"),"")</f>
        <v/>
      </c>
    </row>
    <row r="1204">
      <c r="A1204" s="2" t="n"/>
      <c r="B1204">
        <f>LOWER(TRIM(A1204))</f>
        <v/>
      </c>
      <c r="C1204">
        <f>IF(B1204="","",IFERROR(INDEX('Bad Patterns'!$A$2:$A$120,MATCH(1,INDEX(--ISNUMBER(SEARCH('Bad Patterns'!$A$2:$A$120,B1204)),0),0)),""))</f>
        <v/>
      </c>
      <c r="D1204">
        <f>IF(B1204="","",IF(C1204&lt;&gt;"","REMOVE","KEEP"))</f>
        <v/>
      </c>
      <c r="E1204">
        <f>IF(D1204&lt;&gt;"KEEP","",IF(RIGHT(B1204,10)="@gmail.com","Gmail",IF(OR(RIGHT(B1204,12)="@outlook.com",RIGHT(B1204,12)="@hotmail.com",RIGHT(B1204,9)="@live.com"),"Outlook","Domain")))</f>
        <v/>
      </c>
      <c r="F1204">
        <f>IF(B1204="","",IFERROR(RIGHT(B1204,LEN(B1204)-FIND("@",B1204)),""))</f>
        <v/>
      </c>
      <c r="G1204">
        <f>IF(D1204="KEEP",COUNTIF($D$2:D1204,"KEEP"),"")</f>
        <v/>
      </c>
      <c r="H1204">
        <f>IF(D1204="REMOVE",COUNTIF($D$2:D1204,"REMOVE"),"")</f>
        <v/>
      </c>
      <c r="I1204">
        <f>IF(E1204="Gmail",COUNTIF($E$2:E1204,"Gmail"),"")</f>
        <v/>
      </c>
      <c r="J1204">
        <f>IF(E1204="Outlook",COUNTIF($E$2:E1204,"Outlook"),"")</f>
        <v/>
      </c>
      <c r="K1204">
        <f>IF(E1204="Domain",COUNTIF($E$2:E1204,"Domain"),"")</f>
        <v/>
      </c>
    </row>
    <row r="1205">
      <c r="A1205" s="2" t="n"/>
      <c r="B1205">
        <f>LOWER(TRIM(A1205))</f>
        <v/>
      </c>
      <c r="C1205">
        <f>IF(B1205="","",IFERROR(INDEX('Bad Patterns'!$A$2:$A$120,MATCH(1,INDEX(--ISNUMBER(SEARCH('Bad Patterns'!$A$2:$A$120,B1205)),0),0)),""))</f>
        <v/>
      </c>
      <c r="D1205">
        <f>IF(B1205="","",IF(C1205&lt;&gt;"","REMOVE","KEEP"))</f>
        <v/>
      </c>
      <c r="E1205">
        <f>IF(D1205&lt;&gt;"KEEP","",IF(RIGHT(B1205,10)="@gmail.com","Gmail",IF(OR(RIGHT(B1205,12)="@outlook.com",RIGHT(B1205,12)="@hotmail.com",RIGHT(B1205,9)="@live.com"),"Outlook","Domain")))</f>
        <v/>
      </c>
      <c r="F1205">
        <f>IF(B1205="","",IFERROR(RIGHT(B1205,LEN(B1205)-FIND("@",B1205)),""))</f>
        <v/>
      </c>
      <c r="G1205">
        <f>IF(D1205="KEEP",COUNTIF($D$2:D1205,"KEEP"),"")</f>
        <v/>
      </c>
      <c r="H1205">
        <f>IF(D1205="REMOVE",COUNTIF($D$2:D1205,"REMOVE"),"")</f>
        <v/>
      </c>
      <c r="I1205">
        <f>IF(E1205="Gmail",COUNTIF($E$2:E1205,"Gmail"),"")</f>
        <v/>
      </c>
      <c r="J1205">
        <f>IF(E1205="Outlook",COUNTIF($E$2:E1205,"Outlook"),"")</f>
        <v/>
      </c>
      <c r="K1205">
        <f>IF(E1205="Domain",COUNTIF($E$2:E1205,"Domain"),"")</f>
        <v/>
      </c>
    </row>
    <row r="1206">
      <c r="A1206" s="2" t="n"/>
      <c r="B1206">
        <f>LOWER(TRIM(A1206))</f>
        <v/>
      </c>
      <c r="C1206">
        <f>IF(B1206="","",IFERROR(INDEX('Bad Patterns'!$A$2:$A$120,MATCH(1,INDEX(--ISNUMBER(SEARCH('Bad Patterns'!$A$2:$A$120,B1206)),0),0)),""))</f>
        <v/>
      </c>
      <c r="D1206">
        <f>IF(B1206="","",IF(C1206&lt;&gt;"","REMOVE","KEEP"))</f>
        <v/>
      </c>
      <c r="E1206">
        <f>IF(D1206&lt;&gt;"KEEP","",IF(RIGHT(B1206,10)="@gmail.com","Gmail",IF(OR(RIGHT(B1206,12)="@outlook.com",RIGHT(B1206,12)="@hotmail.com",RIGHT(B1206,9)="@live.com"),"Outlook","Domain")))</f>
        <v/>
      </c>
      <c r="F1206">
        <f>IF(B1206="","",IFERROR(RIGHT(B1206,LEN(B1206)-FIND("@",B1206)),""))</f>
        <v/>
      </c>
      <c r="G1206">
        <f>IF(D1206="KEEP",COUNTIF($D$2:D1206,"KEEP"),"")</f>
        <v/>
      </c>
      <c r="H1206">
        <f>IF(D1206="REMOVE",COUNTIF($D$2:D1206,"REMOVE"),"")</f>
        <v/>
      </c>
      <c r="I1206">
        <f>IF(E1206="Gmail",COUNTIF($E$2:E1206,"Gmail"),"")</f>
        <v/>
      </c>
      <c r="J1206">
        <f>IF(E1206="Outlook",COUNTIF($E$2:E1206,"Outlook"),"")</f>
        <v/>
      </c>
      <c r="K1206">
        <f>IF(E1206="Domain",COUNTIF($E$2:E1206,"Domain"),"")</f>
        <v/>
      </c>
    </row>
    <row r="1207">
      <c r="A1207" s="2" t="n"/>
      <c r="B1207">
        <f>LOWER(TRIM(A1207))</f>
        <v/>
      </c>
      <c r="C1207">
        <f>IF(B1207="","",IFERROR(INDEX('Bad Patterns'!$A$2:$A$120,MATCH(1,INDEX(--ISNUMBER(SEARCH('Bad Patterns'!$A$2:$A$120,B1207)),0),0)),""))</f>
        <v/>
      </c>
      <c r="D1207">
        <f>IF(B1207="","",IF(C1207&lt;&gt;"","REMOVE","KEEP"))</f>
        <v/>
      </c>
      <c r="E1207">
        <f>IF(D1207&lt;&gt;"KEEP","",IF(RIGHT(B1207,10)="@gmail.com","Gmail",IF(OR(RIGHT(B1207,12)="@outlook.com",RIGHT(B1207,12)="@hotmail.com",RIGHT(B1207,9)="@live.com"),"Outlook","Domain")))</f>
        <v/>
      </c>
      <c r="F1207">
        <f>IF(B1207="","",IFERROR(RIGHT(B1207,LEN(B1207)-FIND("@",B1207)),""))</f>
        <v/>
      </c>
      <c r="G1207">
        <f>IF(D1207="KEEP",COUNTIF($D$2:D1207,"KEEP"),"")</f>
        <v/>
      </c>
      <c r="H1207">
        <f>IF(D1207="REMOVE",COUNTIF($D$2:D1207,"REMOVE"),"")</f>
        <v/>
      </c>
      <c r="I1207">
        <f>IF(E1207="Gmail",COUNTIF($E$2:E1207,"Gmail"),"")</f>
        <v/>
      </c>
      <c r="J1207">
        <f>IF(E1207="Outlook",COUNTIF($E$2:E1207,"Outlook"),"")</f>
        <v/>
      </c>
      <c r="K1207">
        <f>IF(E1207="Domain",COUNTIF($E$2:E1207,"Domain"),"")</f>
        <v/>
      </c>
    </row>
    <row r="1208">
      <c r="A1208" s="2" t="n"/>
      <c r="B1208">
        <f>LOWER(TRIM(A1208))</f>
        <v/>
      </c>
      <c r="C1208">
        <f>IF(B1208="","",IFERROR(INDEX('Bad Patterns'!$A$2:$A$120,MATCH(1,INDEX(--ISNUMBER(SEARCH('Bad Patterns'!$A$2:$A$120,B1208)),0),0)),""))</f>
        <v/>
      </c>
      <c r="D1208">
        <f>IF(B1208="","",IF(C1208&lt;&gt;"","REMOVE","KEEP"))</f>
        <v/>
      </c>
      <c r="E1208">
        <f>IF(D1208&lt;&gt;"KEEP","",IF(RIGHT(B1208,10)="@gmail.com","Gmail",IF(OR(RIGHT(B1208,12)="@outlook.com",RIGHT(B1208,12)="@hotmail.com",RIGHT(B1208,9)="@live.com"),"Outlook","Domain")))</f>
        <v/>
      </c>
      <c r="F1208">
        <f>IF(B1208="","",IFERROR(RIGHT(B1208,LEN(B1208)-FIND("@",B1208)),""))</f>
        <v/>
      </c>
      <c r="G1208">
        <f>IF(D1208="KEEP",COUNTIF($D$2:D1208,"KEEP"),"")</f>
        <v/>
      </c>
      <c r="H1208">
        <f>IF(D1208="REMOVE",COUNTIF($D$2:D1208,"REMOVE"),"")</f>
        <v/>
      </c>
      <c r="I1208">
        <f>IF(E1208="Gmail",COUNTIF($E$2:E1208,"Gmail"),"")</f>
        <v/>
      </c>
      <c r="J1208">
        <f>IF(E1208="Outlook",COUNTIF($E$2:E1208,"Outlook"),"")</f>
        <v/>
      </c>
      <c r="K1208">
        <f>IF(E1208="Domain",COUNTIF($E$2:E1208,"Domain"),"")</f>
        <v/>
      </c>
    </row>
    <row r="1209">
      <c r="A1209" s="2" t="n"/>
      <c r="B1209">
        <f>LOWER(TRIM(A1209))</f>
        <v/>
      </c>
      <c r="C1209">
        <f>IF(B1209="","",IFERROR(INDEX('Bad Patterns'!$A$2:$A$120,MATCH(1,INDEX(--ISNUMBER(SEARCH('Bad Patterns'!$A$2:$A$120,B1209)),0),0)),""))</f>
        <v/>
      </c>
      <c r="D1209">
        <f>IF(B1209="","",IF(C1209&lt;&gt;"","REMOVE","KEEP"))</f>
        <v/>
      </c>
      <c r="E1209">
        <f>IF(D1209&lt;&gt;"KEEP","",IF(RIGHT(B1209,10)="@gmail.com","Gmail",IF(OR(RIGHT(B1209,12)="@outlook.com",RIGHT(B1209,12)="@hotmail.com",RIGHT(B1209,9)="@live.com"),"Outlook","Domain")))</f>
        <v/>
      </c>
      <c r="F1209">
        <f>IF(B1209="","",IFERROR(RIGHT(B1209,LEN(B1209)-FIND("@",B1209)),""))</f>
        <v/>
      </c>
      <c r="G1209">
        <f>IF(D1209="KEEP",COUNTIF($D$2:D1209,"KEEP"),"")</f>
        <v/>
      </c>
      <c r="H1209">
        <f>IF(D1209="REMOVE",COUNTIF($D$2:D1209,"REMOVE"),"")</f>
        <v/>
      </c>
      <c r="I1209">
        <f>IF(E1209="Gmail",COUNTIF($E$2:E1209,"Gmail"),"")</f>
        <v/>
      </c>
      <c r="J1209">
        <f>IF(E1209="Outlook",COUNTIF($E$2:E1209,"Outlook"),"")</f>
        <v/>
      </c>
      <c r="K1209">
        <f>IF(E1209="Domain",COUNTIF($E$2:E1209,"Domain"),"")</f>
        <v/>
      </c>
    </row>
    <row r="1210">
      <c r="A1210" s="2" t="n"/>
      <c r="B1210">
        <f>LOWER(TRIM(A1210))</f>
        <v/>
      </c>
      <c r="C1210">
        <f>IF(B1210="","",IFERROR(INDEX('Bad Patterns'!$A$2:$A$120,MATCH(1,INDEX(--ISNUMBER(SEARCH('Bad Patterns'!$A$2:$A$120,B1210)),0),0)),""))</f>
        <v/>
      </c>
      <c r="D1210">
        <f>IF(B1210="","",IF(C1210&lt;&gt;"","REMOVE","KEEP"))</f>
        <v/>
      </c>
      <c r="E1210">
        <f>IF(D1210&lt;&gt;"KEEP","",IF(RIGHT(B1210,10)="@gmail.com","Gmail",IF(OR(RIGHT(B1210,12)="@outlook.com",RIGHT(B1210,12)="@hotmail.com",RIGHT(B1210,9)="@live.com"),"Outlook","Domain")))</f>
        <v/>
      </c>
      <c r="F1210">
        <f>IF(B1210="","",IFERROR(RIGHT(B1210,LEN(B1210)-FIND("@",B1210)),""))</f>
        <v/>
      </c>
      <c r="G1210">
        <f>IF(D1210="KEEP",COUNTIF($D$2:D1210,"KEEP"),"")</f>
        <v/>
      </c>
      <c r="H1210">
        <f>IF(D1210="REMOVE",COUNTIF($D$2:D1210,"REMOVE"),"")</f>
        <v/>
      </c>
      <c r="I1210">
        <f>IF(E1210="Gmail",COUNTIF($E$2:E1210,"Gmail"),"")</f>
        <v/>
      </c>
      <c r="J1210">
        <f>IF(E1210="Outlook",COUNTIF($E$2:E1210,"Outlook"),"")</f>
        <v/>
      </c>
      <c r="K1210">
        <f>IF(E1210="Domain",COUNTIF($E$2:E1210,"Domain"),"")</f>
        <v/>
      </c>
    </row>
    <row r="1211">
      <c r="A1211" s="2" t="n"/>
      <c r="B1211">
        <f>LOWER(TRIM(A1211))</f>
        <v/>
      </c>
      <c r="C1211">
        <f>IF(B1211="","",IFERROR(INDEX('Bad Patterns'!$A$2:$A$120,MATCH(1,INDEX(--ISNUMBER(SEARCH('Bad Patterns'!$A$2:$A$120,B1211)),0),0)),""))</f>
        <v/>
      </c>
      <c r="D1211">
        <f>IF(B1211="","",IF(C1211&lt;&gt;"","REMOVE","KEEP"))</f>
        <v/>
      </c>
      <c r="E1211">
        <f>IF(D1211&lt;&gt;"KEEP","",IF(RIGHT(B1211,10)="@gmail.com","Gmail",IF(OR(RIGHT(B1211,12)="@outlook.com",RIGHT(B1211,12)="@hotmail.com",RIGHT(B1211,9)="@live.com"),"Outlook","Domain")))</f>
        <v/>
      </c>
      <c r="F1211">
        <f>IF(B1211="","",IFERROR(RIGHT(B1211,LEN(B1211)-FIND("@",B1211)),""))</f>
        <v/>
      </c>
      <c r="G1211">
        <f>IF(D1211="KEEP",COUNTIF($D$2:D1211,"KEEP"),"")</f>
        <v/>
      </c>
      <c r="H1211">
        <f>IF(D1211="REMOVE",COUNTIF($D$2:D1211,"REMOVE"),"")</f>
        <v/>
      </c>
      <c r="I1211">
        <f>IF(E1211="Gmail",COUNTIF($E$2:E1211,"Gmail"),"")</f>
        <v/>
      </c>
      <c r="J1211">
        <f>IF(E1211="Outlook",COUNTIF($E$2:E1211,"Outlook"),"")</f>
        <v/>
      </c>
      <c r="K1211">
        <f>IF(E1211="Domain",COUNTIF($E$2:E1211,"Domain"),"")</f>
        <v/>
      </c>
    </row>
    <row r="1212">
      <c r="A1212" s="2" t="n"/>
      <c r="B1212">
        <f>LOWER(TRIM(A1212))</f>
        <v/>
      </c>
      <c r="C1212">
        <f>IF(B1212="","",IFERROR(INDEX('Bad Patterns'!$A$2:$A$120,MATCH(1,INDEX(--ISNUMBER(SEARCH('Bad Patterns'!$A$2:$A$120,B1212)),0),0)),""))</f>
        <v/>
      </c>
      <c r="D1212">
        <f>IF(B1212="","",IF(C1212&lt;&gt;"","REMOVE","KEEP"))</f>
        <v/>
      </c>
      <c r="E1212">
        <f>IF(D1212&lt;&gt;"KEEP","",IF(RIGHT(B1212,10)="@gmail.com","Gmail",IF(OR(RIGHT(B1212,12)="@outlook.com",RIGHT(B1212,12)="@hotmail.com",RIGHT(B1212,9)="@live.com"),"Outlook","Domain")))</f>
        <v/>
      </c>
      <c r="F1212">
        <f>IF(B1212="","",IFERROR(RIGHT(B1212,LEN(B1212)-FIND("@",B1212)),""))</f>
        <v/>
      </c>
      <c r="G1212">
        <f>IF(D1212="KEEP",COUNTIF($D$2:D1212,"KEEP"),"")</f>
        <v/>
      </c>
      <c r="H1212">
        <f>IF(D1212="REMOVE",COUNTIF($D$2:D1212,"REMOVE"),"")</f>
        <v/>
      </c>
      <c r="I1212">
        <f>IF(E1212="Gmail",COUNTIF($E$2:E1212,"Gmail"),"")</f>
        <v/>
      </c>
      <c r="J1212">
        <f>IF(E1212="Outlook",COUNTIF($E$2:E1212,"Outlook"),"")</f>
        <v/>
      </c>
      <c r="K1212">
        <f>IF(E1212="Domain",COUNTIF($E$2:E1212,"Domain"),"")</f>
        <v/>
      </c>
    </row>
    <row r="1213">
      <c r="A1213" s="2" t="n"/>
      <c r="B1213">
        <f>LOWER(TRIM(A1213))</f>
        <v/>
      </c>
      <c r="C1213">
        <f>IF(B1213="","",IFERROR(INDEX('Bad Patterns'!$A$2:$A$120,MATCH(1,INDEX(--ISNUMBER(SEARCH('Bad Patterns'!$A$2:$A$120,B1213)),0),0)),""))</f>
        <v/>
      </c>
      <c r="D1213">
        <f>IF(B1213="","",IF(C1213&lt;&gt;"","REMOVE","KEEP"))</f>
        <v/>
      </c>
      <c r="E1213">
        <f>IF(D1213&lt;&gt;"KEEP","",IF(RIGHT(B1213,10)="@gmail.com","Gmail",IF(OR(RIGHT(B1213,12)="@outlook.com",RIGHT(B1213,12)="@hotmail.com",RIGHT(B1213,9)="@live.com"),"Outlook","Domain")))</f>
        <v/>
      </c>
      <c r="F1213">
        <f>IF(B1213="","",IFERROR(RIGHT(B1213,LEN(B1213)-FIND("@",B1213)),""))</f>
        <v/>
      </c>
      <c r="G1213">
        <f>IF(D1213="KEEP",COUNTIF($D$2:D1213,"KEEP"),"")</f>
        <v/>
      </c>
      <c r="H1213">
        <f>IF(D1213="REMOVE",COUNTIF($D$2:D1213,"REMOVE"),"")</f>
        <v/>
      </c>
      <c r="I1213">
        <f>IF(E1213="Gmail",COUNTIF($E$2:E1213,"Gmail"),"")</f>
        <v/>
      </c>
      <c r="J1213">
        <f>IF(E1213="Outlook",COUNTIF($E$2:E1213,"Outlook"),"")</f>
        <v/>
      </c>
      <c r="K1213">
        <f>IF(E1213="Domain",COUNTIF($E$2:E1213,"Domain"),"")</f>
        <v/>
      </c>
    </row>
    <row r="1214">
      <c r="A1214" s="2" t="n"/>
      <c r="B1214">
        <f>LOWER(TRIM(A1214))</f>
        <v/>
      </c>
      <c r="C1214">
        <f>IF(B1214="","",IFERROR(INDEX('Bad Patterns'!$A$2:$A$120,MATCH(1,INDEX(--ISNUMBER(SEARCH('Bad Patterns'!$A$2:$A$120,B1214)),0),0)),""))</f>
        <v/>
      </c>
      <c r="D1214">
        <f>IF(B1214="","",IF(C1214&lt;&gt;"","REMOVE","KEEP"))</f>
        <v/>
      </c>
      <c r="E1214">
        <f>IF(D1214&lt;&gt;"KEEP","",IF(RIGHT(B1214,10)="@gmail.com","Gmail",IF(OR(RIGHT(B1214,12)="@outlook.com",RIGHT(B1214,12)="@hotmail.com",RIGHT(B1214,9)="@live.com"),"Outlook","Domain")))</f>
        <v/>
      </c>
      <c r="F1214">
        <f>IF(B1214="","",IFERROR(RIGHT(B1214,LEN(B1214)-FIND("@",B1214)),""))</f>
        <v/>
      </c>
      <c r="G1214">
        <f>IF(D1214="KEEP",COUNTIF($D$2:D1214,"KEEP"),"")</f>
        <v/>
      </c>
      <c r="H1214">
        <f>IF(D1214="REMOVE",COUNTIF($D$2:D1214,"REMOVE"),"")</f>
        <v/>
      </c>
      <c r="I1214">
        <f>IF(E1214="Gmail",COUNTIF($E$2:E1214,"Gmail"),"")</f>
        <v/>
      </c>
      <c r="J1214">
        <f>IF(E1214="Outlook",COUNTIF($E$2:E1214,"Outlook"),"")</f>
        <v/>
      </c>
      <c r="K1214">
        <f>IF(E1214="Domain",COUNTIF($E$2:E1214,"Domain"),"")</f>
        <v/>
      </c>
    </row>
    <row r="1215">
      <c r="A1215" s="2" t="n"/>
      <c r="B1215">
        <f>LOWER(TRIM(A1215))</f>
        <v/>
      </c>
      <c r="C1215">
        <f>IF(B1215="","",IFERROR(INDEX('Bad Patterns'!$A$2:$A$120,MATCH(1,INDEX(--ISNUMBER(SEARCH('Bad Patterns'!$A$2:$A$120,B1215)),0),0)),""))</f>
        <v/>
      </c>
      <c r="D1215">
        <f>IF(B1215="","",IF(C1215&lt;&gt;"","REMOVE","KEEP"))</f>
        <v/>
      </c>
      <c r="E1215">
        <f>IF(D1215&lt;&gt;"KEEP","",IF(RIGHT(B1215,10)="@gmail.com","Gmail",IF(OR(RIGHT(B1215,12)="@outlook.com",RIGHT(B1215,12)="@hotmail.com",RIGHT(B1215,9)="@live.com"),"Outlook","Domain")))</f>
        <v/>
      </c>
      <c r="F1215">
        <f>IF(B1215="","",IFERROR(RIGHT(B1215,LEN(B1215)-FIND("@",B1215)),""))</f>
        <v/>
      </c>
      <c r="G1215">
        <f>IF(D1215="KEEP",COUNTIF($D$2:D1215,"KEEP"),"")</f>
        <v/>
      </c>
      <c r="H1215">
        <f>IF(D1215="REMOVE",COUNTIF($D$2:D1215,"REMOVE"),"")</f>
        <v/>
      </c>
      <c r="I1215">
        <f>IF(E1215="Gmail",COUNTIF($E$2:E1215,"Gmail"),"")</f>
        <v/>
      </c>
      <c r="J1215">
        <f>IF(E1215="Outlook",COUNTIF($E$2:E1215,"Outlook"),"")</f>
        <v/>
      </c>
      <c r="K1215">
        <f>IF(E1215="Domain",COUNTIF($E$2:E1215,"Domain"),"")</f>
        <v/>
      </c>
    </row>
    <row r="1216">
      <c r="A1216" s="2" t="n"/>
      <c r="B1216">
        <f>LOWER(TRIM(A1216))</f>
        <v/>
      </c>
      <c r="C1216">
        <f>IF(B1216="","",IFERROR(INDEX('Bad Patterns'!$A$2:$A$120,MATCH(1,INDEX(--ISNUMBER(SEARCH('Bad Patterns'!$A$2:$A$120,B1216)),0),0)),""))</f>
        <v/>
      </c>
      <c r="D1216">
        <f>IF(B1216="","",IF(C1216&lt;&gt;"","REMOVE","KEEP"))</f>
        <v/>
      </c>
      <c r="E1216">
        <f>IF(D1216&lt;&gt;"KEEP","",IF(RIGHT(B1216,10)="@gmail.com","Gmail",IF(OR(RIGHT(B1216,12)="@outlook.com",RIGHT(B1216,12)="@hotmail.com",RIGHT(B1216,9)="@live.com"),"Outlook","Domain")))</f>
        <v/>
      </c>
      <c r="F1216">
        <f>IF(B1216="","",IFERROR(RIGHT(B1216,LEN(B1216)-FIND("@",B1216)),""))</f>
        <v/>
      </c>
      <c r="G1216">
        <f>IF(D1216="KEEP",COUNTIF($D$2:D1216,"KEEP"),"")</f>
        <v/>
      </c>
      <c r="H1216">
        <f>IF(D1216="REMOVE",COUNTIF($D$2:D1216,"REMOVE"),"")</f>
        <v/>
      </c>
      <c r="I1216">
        <f>IF(E1216="Gmail",COUNTIF($E$2:E1216,"Gmail"),"")</f>
        <v/>
      </c>
      <c r="J1216">
        <f>IF(E1216="Outlook",COUNTIF($E$2:E1216,"Outlook"),"")</f>
        <v/>
      </c>
      <c r="K1216">
        <f>IF(E1216="Domain",COUNTIF($E$2:E1216,"Domain"),"")</f>
        <v/>
      </c>
    </row>
    <row r="1217">
      <c r="A1217" s="2" t="n"/>
      <c r="B1217">
        <f>LOWER(TRIM(A1217))</f>
        <v/>
      </c>
      <c r="C1217">
        <f>IF(B1217="","",IFERROR(INDEX('Bad Patterns'!$A$2:$A$120,MATCH(1,INDEX(--ISNUMBER(SEARCH('Bad Patterns'!$A$2:$A$120,B1217)),0),0)),""))</f>
        <v/>
      </c>
      <c r="D1217">
        <f>IF(B1217="","",IF(C1217&lt;&gt;"","REMOVE","KEEP"))</f>
        <v/>
      </c>
      <c r="E1217">
        <f>IF(D1217&lt;&gt;"KEEP","",IF(RIGHT(B1217,10)="@gmail.com","Gmail",IF(OR(RIGHT(B1217,12)="@outlook.com",RIGHT(B1217,12)="@hotmail.com",RIGHT(B1217,9)="@live.com"),"Outlook","Domain")))</f>
        <v/>
      </c>
      <c r="F1217">
        <f>IF(B1217="","",IFERROR(RIGHT(B1217,LEN(B1217)-FIND("@",B1217)),""))</f>
        <v/>
      </c>
      <c r="G1217">
        <f>IF(D1217="KEEP",COUNTIF($D$2:D1217,"KEEP"),"")</f>
        <v/>
      </c>
      <c r="H1217">
        <f>IF(D1217="REMOVE",COUNTIF($D$2:D1217,"REMOVE"),"")</f>
        <v/>
      </c>
      <c r="I1217">
        <f>IF(E1217="Gmail",COUNTIF($E$2:E1217,"Gmail"),"")</f>
        <v/>
      </c>
      <c r="J1217">
        <f>IF(E1217="Outlook",COUNTIF($E$2:E1217,"Outlook"),"")</f>
        <v/>
      </c>
      <c r="K1217">
        <f>IF(E1217="Domain",COUNTIF($E$2:E1217,"Domain"),"")</f>
        <v/>
      </c>
    </row>
    <row r="1218">
      <c r="A1218" s="2" t="n"/>
      <c r="B1218">
        <f>LOWER(TRIM(A1218))</f>
        <v/>
      </c>
      <c r="C1218">
        <f>IF(B1218="","",IFERROR(INDEX('Bad Patterns'!$A$2:$A$120,MATCH(1,INDEX(--ISNUMBER(SEARCH('Bad Patterns'!$A$2:$A$120,B1218)),0),0)),""))</f>
        <v/>
      </c>
      <c r="D1218">
        <f>IF(B1218="","",IF(C1218&lt;&gt;"","REMOVE","KEEP"))</f>
        <v/>
      </c>
      <c r="E1218">
        <f>IF(D1218&lt;&gt;"KEEP","",IF(RIGHT(B1218,10)="@gmail.com","Gmail",IF(OR(RIGHT(B1218,12)="@outlook.com",RIGHT(B1218,12)="@hotmail.com",RIGHT(B1218,9)="@live.com"),"Outlook","Domain")))</f>
        <v/>
      </c>
      <c r="F1218">
        <f>IF(B1218="","",IFERROR(RIGHT(B1218,LEN(B1218)-FIND("@",B1218)),""))</f>
        <v/>
      </c>
      <c r="G1218">
        <f>IF(D1218="KEEP",COUNTIF($D$2:D1218,"KEEP"),"")</f>
        <v/>
      </c>
      <c r="H1218">
        <f>IF(D1218="REMOVE",COUNTIF($D$2:D1218,"REMOVE"),"")</f>
        <v/>
      </c>
      <c r="I1218">
        <f>IF(E1218="Gmail",COUNTIF($E$2:E1218,"Gmail"),"")</f>
        <v/>
      </c>
      <c r="J1218">
        <f>IF(E1218="Outlook",COUNTIF($E$2:E1218,"Outlook"),"")</f>
        <v/>
      </c>
      <c r="K1218">
        <f>IF(E1218="Domain",COUNTIF($E$2:E1218,"Domain"),"")</f>
        <v/>
      </c>
    </row>
    <row r="1219">
      <c r="A1219" s="2" t="n"/>
      <c r="B1219">
        <f>LOWER(TRIM(A1219))</f>
        <v/>
      </c>
      <c r="C1219">
        <f>IF(B1219="","",IFERROR(INDEX('Bad Patterns'!$A$2:$A$120,MATCH(1,INDEX(--ISNUMBER(SEARCH('Bad Patterns'!$A$2:$A$120,B1219)),0),0)),""))</f>
        <v/>
      </c>
      <c r="D1219">
        <f>IF(B1219="","",IF(C1219&lt;&gt;"","REMOVE","KEEP"))</f>
        <v/>
      </c>
      <c r="E1219">
        <f>IF(D1219&lt;&gt;"KEEP","",IF(RIGHT(B1219,10)="@gmail.com","Gmail",IF(OR(RIGHT(B1219,12)="@outlook.com",RIGHT(B1219,12)="@hotmail.com",RIGHT(B1219,9)="@live.com"),"Outlook","Domain")))</f>
        <v/>
      </c>
      <c r="F1219">
        <f>IF(B1219="","",IFERROR(RIGHT(B1219,LEN(B1219)-FIND("@",B1219)),""))</f>
        <v/>
      </c>
      <c r="G1219">
        <f>IF(D1219="KEEP",COUNTIF($D$2:D1219,"KEEP"),"")</f>
        <v/>
      </c>
      <c r="H1219">
        <f>IF(D1219="REMOVE",COUNTIF($D$2:D1219,"REMOVE"),"")</f>
        <v/>
      </c>
      <c r="I1219">
        <f>IF(E1219="Gmail",COUNTIF($E$2:E1219,"Gmail"),"")</f>
        <v/>
      </c>
      <c r="J1219">
        <f>IF(E1219="Outlook",COUNTIF($E$2:E1219,"Outlook"),"")</f>
        <v/>
      </c>
      <c r="K1219">
        <f>IF(E1219="Domain",COUNTIF($E$2:E1219,"Domain"),"")</f>
        <v/>
      </c>
    </row>
    <row r="1220">
      <c r="A1220" s="2" t="n"/>
      <c r="B1220">
        <f>LOWER(TRIM(A1220))</f>
        <v/>
      </c>
      <c r="C1220">
        <f>IF(B1220="","",IFERROR(INDEX('Bad Patterns'!$A$2:$A$120,MATCH(1,INDEX(--ISNUMBER(SEARCH('Bad Patterns'!$A$2:$A$120,B1220)),0),0)),""))</f>
        <v/>
      </c>
      <c r="D1220">
        <f>IF(B1220="","",IF(C1220&lt;&gt;"","REMOVE","KEEP"))</f>
        <v/>
      </c>
      <c r="E1220">
        <f>IF(D1220&lt;&gt;"KEEP","",IF(RIGHT(B1220,10)="@gmail.com","Gmail",IF(OR(RIGHT(B1220,12)="@outlook.com",RIGHT(B1220,12)="@hotmail.com",RIGHT(B1220,9)="@live.com"),"Outlook","Domain")))</f>
        <v/>
      </c>
      <c r="F1220">
        <f>IF(B1220="","",IFERROR(RIGHT(B1220,LEN(B1220)-FIND("@",B1220)),""))</f>
        <v/>
      </c>
      <c r="G1220">
        <f>IF(D1220="KEEP",COUNTIF($D$2:D1220,"KEEP"),"")</f>
        <v/>
      </c>
      <c r="H1220">
        <f>IF(D1220="REMOVE",COUNTIF($D$2:D1220,"REMOVE"),"")</f>
        <v/>
      </c>
      <c r="I1220">
        <f>IF(E1220="Gmail",COUNTIF($E$2:E1220,"Gmail"),"")</f>
        <v/>
      </c>
      <c r="J1220">
        <f>IF(E1220="Outlook",COUNTIF($E$2:E1220,"Outlook"),"")</f>
        <v/>
      </c>
      <c r="K1220">
        <f>IF(E1220="Domain",COUNTIF($E$2:E1220,"Domain"),"")</f>
        <v/>
      </c>
    </row>
    <row r="1221">
      <c r="A1221" s="2" t="n"/>
      <c r="B1221">
        <f>LOWER(TRIM(A1221))</f>
        <v/>
      </c>
      <c r="C1221">
        <f>IF(B1221="","",IFERROR(INDEX('Bad Patterns'!$A$2:$A$120,MATCH(1,INDEX(--ISNUMBER(SEARCH('Bad Patterns'!$A$2:$A$120,B1221)),0),0)),""))</f>
        <v/>
      </c>
      <c r="D1221">
        <f>IF(B1221="","",IF(C1221&lt;&gt;"","REMOVE","KEEP"))</f>
        <v/>
      </c>
      <c r="E1221">
        <f>IF(D1221&lt;&gt;"KEEP","",IF(RIGHT(B1221,10)="@gmail.com","Gmail",IF(OR(RIGHT(B1221,12)="@outlook.com",RIGHT(B1221,12)="@hotmail.com",RIGHT(B1221,9)="@live.com"),"Outlook","Domain")))</f>
        <v/>
      </c>
      <c r="F1221">
        <f>IF(B1221="","",IFERROR(RIGHT(B1221,LEN(B1221)-FIND("@",B1221)),""))</f>
        <v/>
      </c>
      <c r="G1221">
        <f>IF(D1221="KEEP",COUNTIF($D$2:D1221,"KEEP"),"")</f>
        <v/>
      </c>
      <c r="H1221">
        <f>IF(D1221="REMOVE",COUNTIF($D$2:D1221,"REMOVE"),"")</f>
        <v/>
      </c>
      <c r="I1221">
        <f>IF(E1221="Gmail",COUNTIF($E$2:E1221,"Gmail"),"")</f>
        <v/>
      </c>
      <c r="J1221">
        <f>IF(E1221="Outlook",COUNTIF($E$2:E1221,"Outlook"),"")</f>
        <v/>
      </c>
      <c r="K1221">
        <f>IF(E1221="Domain",COUNTIF($E$2:E1221,"Domain"),"")</f>
        <v/>
      </c>
    </row>
    <row r="1222">
      <c r="A1222" s="2" t="n"/>
      <c r="B1222">
        <f>LOWER(TRIM(A1222))</f>
        <v/>
      </c>
      <c r="C1222">
        <f>IF(B1222="","",IFERROR(INDEX('Bad Patterns'!$A$2:$A$120,MATCH(1,INDEX(--ISNUMBER(SEARCH('Bad Patterns'!$A$2:$A$120,B1222)),0),0)),""))</f>
        <v/>
      </c>
      <c r="D1222">
        <f>IF(B1222="","",IF(C1222&lt;&gt;"","REMOVE","KEEP"))</f>
        <v/>
      </c>
      <c r="E1222">
        <f>IF(D1222&lt;&gt;"KEEP","",IF(RIGHT(B1222,10)="@gmail.com","Gmail",IF(OR(RIGHT(B1222,12)="@outlook.com",RIGHT(B1222,12)="@hotmail.com",RIGHT(B1222,9)="@live.com"),"Outlook","Domain")))</f>
        <v/>
      </c>
      <c r="F1222">
        <f>IF(B1222="","",IFERROR(RIGHT(B1222,LEN(B1222)-FIND("@",B1222)),""))</f>
        <v/>
      </c>
      <c r="G1222">
        <f>IF(D1222="KEEP",COUNTIF($D$2:D1222,"KEEP"),"")</f>
        <v/>
      </c>
      <c r="H1222">
        <f>IF(D1222="REMOVE",COUNTIF($D$2:D1222,"REMOVE"),"")</f>
        <v/>
      </c>
      <c r="I1222">
        <f>IF(E1222="Gmail",COUNTIF($E$2:E1222,"Gmail"),"")</f>
        <v/>
      </c>
      <c r="J1222">
        <f>IF(E1222="Outlook",COUNTIF($E$2:E1222,"Outlook"),"")</f>
        <v/>
      </c>
      <c r="K1222">
        <f>IF(E1222="Domain",COUNTIF($E$2:E1222,"Domain"),"")</f>
        <v/>
      </c>
    </row>
    <row r="1223">
      <c r="A1223" s="2" t="n"/>
      <c r="B1223">
        <f>LOWER(TRIM(A1223))</f>
        <v/>
      </c>
      <c r="C1223">
        <f>IF(B1223="","",IFERROR(INDEX('Bad Patterns'!$A$2:$A$120,MATCH(1,INDEX(--ISNUMBER(SEARCH('Bad Patterns'!$A$2:$A$120,B1223)),0),0)),""))</f>
        <v/>
      </c>
      <c r="D1223">
        <f>IF(B1223="","",IF(C1223&lt;&gt;"","REMOVE","KEEP"))</f>
        <v/>
      </c>
      <c r="E1223">
        <f>IF(D1223&lt;&gt;"KEEP","",IF(RIGHT(B1223,10)="@gmail.com","Gmail",IF(OR(RIGHT(B1223,12)="@outlook.com",RIGHT(B1223,12)="@hotmail.com",RIGHT(B1223,9)="@live.com"),"Outlook","Domain")))</f>
        <v/>
      </c>
      <c r="F1223">
        <f>IF(B1223="","",IFERROR(RIGHT(B1223,LEN(B1223)-FIND("@",B1223)),""))</f>
        <v/>
      </c>
      <c r="G1223">
        <f>IF(D1223="KEEP",COUNTIF($D$2:D1223,"KEEP"),"")</f>
        <v/>
      </c>
      <c r="H1223">
        <f>IF(D1223="REMOVE",COUNTIF($D$2:D1223,"REMOVE"),"")</f>
        <v/>
      </c>
      <c r="I1223">
        <f>IF(E1223="Gmail",COUNTIF($E$2:E1223,"Gmail"),"")</f>
        <v/>
      </c>
      <c r="J1223">
        <f>IF(E1223="Outlook",COUNTIF($E$2:E1223,"Outlook"),"")</f>
        <v/>
      </c>
      <c r="K1223">
        <f>IF(E1223="Domain",COUNTIF($E$2:E1223,"Domain"),"")</f>
        <v/>
      </c>
    </row>
    <row r="1224">
      <c r="A1224" s="2" t="n"/>
      <c r="B1224">
        <f>LOWER(TRIM(A1224))</f>
        <v/>
      </c>
      <c r="C1224">
        <f>IF(B1224="","",IFERROR(INDEX('Bad Patterns'!$A$2:$A$120,MATCH(1,INDEX(--ISNUMBER(SEARCH('Bad Patterns'!$A$2:$A$120,B1224)),0),0)),""))</f>
        <v/>
      </c>
      <c r="D1224">
        <f>IF(B1224="","",IF(C1224&lt;&gt;"","REMOVE","KEEP"))</f>
        <v/>
      </c>
      <c r="E1224">
        <f>IF(D1224&lt;&gt;"KEEP","",IF(RIGHT(B1224,10)="@gmail.com","Gmail",IF(OR(RIGHT(B1224,12)="@outlook.com",RIGHT(B1224,12)="@hotmail.com",RIGHT(B1224,9)="@live.com"),"Outlook","Domain")))</f>
        <v/>
      </c>
      <c r="F1224">
        <f>IF(B1224="","",IFERROR(RIGHT(B1224,LEN(B1224)-FIND("@",B1224)),""))</f>
        <v/>
      </c>
      <c r="G1224">
        <f>IF(D1224="KEEP",COUNTIF($D$2:D1224,"KEEP"),"")</f>
        <v/>
      </c>
      <c r="H1224">
        <f>IF(D1224="REMOVE",COUNTIF($D$2:D1224,"REMOVE"),"")</f>
        <v/>
      </c>
      <c r="I1224">
        <f>IF(E1224="Gmail",COUNTIF($E$2:E1224,"Gmail"),"")</f>
        <v/>
      </c>
      <c r="J1224">
        <f>IF(E1224="Outlook",COUNTIF($E$2:E1224,"Outlook"),"")</f>
        <v/>
      </c>
      <c r="K1224">
        <f>IF(E1224="Domain",COUNTIF($E$2:E1224,"Domain"),"")</f>
        <v/>
      </c>
    </row>
    <row r="1225">
      <c r="A1225" s="2" t="n"/>
      <c r="B1225">
        <f>LOWER(TRIM(A1225))</f>
        <v/>
      </c>
      <c r="C1225">
        <f>IF(B1225="","",IFERROR(INDEX('Bad Patterns'!$A$2:$A$120,MATCH(1,INDEX(--ISNUMBER(SEARCH('Bad Patterns'!$A$2:$A$120,B1225)),0),0)),""))</f>
        <v/>
      </c>
      <c r="D1225">
        <f>IF(B1225="","",IF(C1225&lt;&gt;"","REMOVE","KEEP"))</f>
        <v/>
      </c>
      <c r="E1225">
        <f>IF(D1225&lt;&gt;"KEEP","",IF(RIGHT(B1225,10)="@gmail.com","Gmail",IF(OR(RIGHT(B1225,12)="@outlook.com",RIGHT(B1225,12)="@hotmail.com",RIGHT(B1225,9)="@live.com"),"Outlook","Domain")))</f>
        <v/>
      </c>
      <c r="F1225">
        <f>IF(B1225="","",IFERROR(RIGHT(B1225,LEN(B1225)-FIND("@",B1225)),""))</f>
        <v/>
      </c>
      <c r="G1225">
        <f>IF(D1225="KEEP",COUNTIF($D$2:D1225,"KEEP"),"")</f>
        <v/>
      </c>
      <c r="H1225">
        <f>IF(D1225="REMOVE",COUNTIF($D$2:D1225,"REMOVE"),"")</f>
        <v/>
      </c>
      <c r="I1225">
        <f>IF(E1225="Gmail",COUNTIF($E$2:E1225,"Gmail"),"")</f>
        <v/>
      </c>
      <c r="J1225">
        <f>IF(E1225="Outlook",COUNTIF($E$2:E1225,"Outlook"),"")</f>
        <v/>
      </c>
      <c r="K1225">
        <f>IF(E1225="Domain",COUNTIF($E$2:E1225,"Domain"),"")</f>
        <v/>
      </c>
    </row>
    <row r="1226">
      <c r="A1226" s="2" t="n"/>
      <c r="B1226">
        <f>LOWER(TRIM(A1226))</f>
        <v/>
      </c>
      <c r="C1226">
        <f>IF(B1226="","",IFERROR(INDEX('Bad Patterns'!$A$2:$A$120,MATCH(1,INDEX(--ISNUMBER(SEARCH('Bad Patterns'!$A$2:$A$120,B1226)),0),0)),""))</f>
        <v/>
      </c>
      <c r="D1226">
        <f>IF(B1226="","",IF(C1226&lt;&gt;"","REMOVE","KEEP"))</f>
        <v/>
      </c>
      <c r="E1226">
        <f>IF(D1226&lt;&gt;"KEEP","",IF(RIGHT(B1226,10)="@gmail.com","Gmail",IF(OR(RIGHT(B1226,12)="@outlook.com",RIGHT(B1226,12)="@hotmail.com",RIGHT(B1226,9)="@live.com"),"Outlook","Domain")))</f>
        <v/>
      </c>
      <c r="F1226">
        <f>IF(B1226="","",IFERROR(RIGHT(B1226,LEN(B1226)-FIND("@",B1226)),""))</f>
        <v/>
      </c>
      <c r="G1226">
        <f>IF(D1226="KEEP",COUNTIF($D$2:D1226,"KEEP"),"")</f>
        <v/>
      </c>
      <c r="H1226">
        <f>IF(D1226="REMOVE",COUNTIF($D$2:D1226,"REMOVE"),"")</f>
        <v/>
      </c>
      <c r="I1226">
        <f>IF(E1226="Gmail",COUNTIF($E$2:E1226,"Gmail"),"")</f>
        <v/>
      </c>
      <c r="J1226">
        <f>IF(E1226="Outlook",COUNTIF($E$2:E1226,"Outlook"),"")</f>
        <v/>
      </c>
      <c r="K1226">
        <f>IF(E1226="Domain",COUNTIF($E$2:E1226,"Domain"),"")</f>
        <v/>
      </c>
    </row>
    <row r="1227">
      <c r="A1227" s="2" t="n"/>
      <c r="B1227">
        <f>LOWER(TRIM(A1227))</f>
        <v/>
      </c>
      <c r="C1227">
        <f>IF(B1227="","",IFERROR(INDEX('Bad Patterns'!$A$2:$A$120,MATCH(1,INDEX(--ISNUMBER(SEARCH('Bad Patterns'!$A$2:$A$120,B1227)),0),0)),""))</f>
        <v/>
      </c>
      <c r="D1227">
        <f>IF(B1227="","",IF(C1227&lt;&gt;"","REMOVE","KEEP"))</f>
        <v/>
      </c>
      <c r="E1227">
        <f>IF(D1227&lt;&gt;"KEEP","",IF(RIGHT(B1227,10)="@gmail.com","Gmail",IF(OR(RIGHT(B1227,12)="@outlook.com",RIGHT(B1227,12)="@hotmail.com",RIGHT(B1227,9)="@live.com"),"Outlook","Domain")))</f>
        <v/>
      </c>
      <c r="F1227">
        <f>IF(B1227="","",IFERROR(RIGHT(B1227,LEN(B1227)-FIND("@",B1227)),""))</f>
        <v/>
      </c>
      <c r="G1227">
        <f>IF(D1227="KEEP",COUNTIF($D$2:D1227,"KEEP"),"")</f>
        <v/>
      </c>
      <c r="H1227">
        <f>IF(D1227="REMOVE",COUNTIF($D$2:D1227,"REMOVE"),"")</f>
        <v/>
      </c>
      <c r="I1227">
        <f>IF(E1227="Gmail",COUNTIF($E$2:E1227,"Gmail"),"")</f>
        <v/>
      </c>
      <c r="J1227">
        <f>IF(E1227="Outlook",COUNTIF($E$2:E1227,"Outlook"),"")</f>
        <v/>
      </c>
      <c r="K1227">
        <f>IF(E1227="Domain",COUNTIF($E$2:E1227,"Domain"),"")</f>
        <v/>
      </c>
    </row>
    <row r="1228">
      <c r="A1228" s="2" t="n"/>
      <c r="B1228">
        <f>LOWER(TRIM(A1228))</f>
        <v/>
      </c>
      <c r="C1228">
        <f>IF(B1228="","",IFERROR(INDEX('Bad Patterns'!$A$2:$A$120,MATCH(1,INDEX(--ISNUMBER(SEARCH('Bad Patterns'!$A$2:$A$120,B1228)),0),0)),""))</f>
        <v/>
      </c>
      <c r="D1228">
        <f>IF(B1228="","",IF(C1228&lt;&gt;"","REMOVE","KEEP"))</f>
        <v/>
      </c>
      <c r="E1228">
        <f>IF(D1228&lt;&gt;"KEEP","",IF(RIGHT(B1228,10)="@gmail.com","Gmail",IF(OR(RIGHT(B1228,12)="@outlook.com",RIGHT(B1228,12)="@hotmail.com",RIGHT(B1228,9)="@live.com"),"Outlook","Domain")))</f>
        <v/>
      </c>
      <c r="F1228">
        <f>IF(B1228="","",IFERROR(RIGHT(B1228,LEN(B1228)-FIND("@",B1228)),""))</f>
        <v/>
      </c>
      <c r="G1228">
        <f>IF(D1228="KEEP",COUNTIF($D$2:D1228,"KEEP"),"")</f>
        <v/>
      </c>
      <c r="H1228">
        <f>IF(D1228="REMOVE",COUNTIF($D$2:D1228,"REMOVE"),"")</f>
        <v/>
      </c>
      <c r="I1228">
        <f>IF(E1228="Gmail",COUNTIF($E$2:E1228,"Gmail"),"")</f>
        <v/>
      </c>
      <c r="J1228">
        <f>IF(E1228="Outlook",COUNTIF($E$2:E1228,"Outlook"),"")</f>
        <v/>
      </c>
      <c r="K1228">
        <f>IF(E1228="Domain",COUNTIF($E$2:E1228,"Domain"),"")</f>
        <v/>
      </c>
    </row>
    <row r="1229">
      <c r="A1229" s="2" t="n"/>
      <c r="B1229">
        <f>LOWER(TRIM(A1229))</f>
        <v/>
      </c>
      <c r="C1229">
        <f>IF(B1229="","",IFERROR(INDEX('Bad Patterns'!$A$2:$A$120,MATCH(1,INDEX(--ISNUMBER(SEARCH('Bad Patterns'!$A$2:$A$120,B1229)),0),0)),""))</f>
        <v/>
      </c>
      <c r="D1229">
        <f>IF(B1229="","",IF(C1229&lt;&gt;"","REMOVE","KEEP"))</f>
        <v/>
      </c>
      <c r="E1229">
        <f>IF(D1229&lt;&gt;"KEEP","",IF(RIGHT(B1229,10)="@gmail.com","Gmail",IF(OR(RIGHT(B1229,12)="@outlook.com",RIGHT(B1229,12)="@hotmail.com",RIGHT(B1229,9)="@live.com"),"Outlook","Domain")))</f>
        <v/>
      </c>
      <c r="F1229">
        <f>IF(B1229="","",IFERROR(RIGHT(B1229,LEN(B1229)-FIND("@",B1229)),""))</f>
        <v/>
      </c>
      <c r="G1229">
        <f>IF(D1229="KEEP",COUNTIF($D$2:D1229,"KEEP"),"")</f>
        <v/>
      </c>
      <c r="H1229">
        <f>IF(D1229="REMOVE",COUNTIF($D$2:D1229,"REMOVE"),"")</f>
        <v/>
      </c>
      <c r="I1229">
        <f>IF(E1229="Gmail",COUNTIF($E$2:E1229,"Gmail"),"")</f>
        <v/>
      </c>
      <c r="J1229">
        <f>IF(E1229="Outlook",COUNTIF($E$2:E1229,"Outlook"),"")</f>
        <v/>
      </c>
      <c r="K1229">
        <f>IF(E1229="Domain",COUNTIF($E$2:E1229,"Domain"),"")</f>
        <v/>
      </c>
    </row>
    <row r="1230">
      <c r="A1230" s="2" t="n"/>
      <c r="B1230">
        <f>LOWER(TRIM(A1230))</f>
        <v/>
      </c>
      <c r="C1230">
        <f>IF(B1230="","",IFERROR(INDEX('Bad Patterns'!$A$2:$A$120,MATCH(1,INDEX(--ISNUMBER(SEARCH('Bad Patterns'!$A$2:$A$120,B1230)),0),0)),""))</f>
        <v/>
      </c>
      <c r="D1230">
        <f>IF(B1230="","",IF(C1230&lt;&gt;"","REMOVE","KEEP"))</f>
        <v/>
      </c>
      <c r="E1230">
        <f>IF(D1230&lt;&gt;"KEEP","",IF(RIGHT(B1230,10)="@gmail.com","Gmail",IF(OR(RIGHT(B1230,12)="@outlook.com",RIGHT(B1230,12)="@hotmail.com",RIGHT(B1230,9)="@live.com"),"Outlook","Domain")))</f>
        <v/>
      </c>
      <c r="F1230">
        <f>IF(B1230="","",IFERROR(RIGHT(B1230,LEN(B1230)-FIND("@",B1230)),""))</f>
        <v/>
      </c>
      <c r="G1230">
        <f>IF(D1230="KEEP",COUNTIF($D$2:D1230,"KEEP"),"")</f>
        <v/>
      </c>
      <c r="H1230">
        <f>IF(D1230="REMOVE",COUNTIF($D$2:D1230,"REMOVE"),"")</f>
        <v/>
      </c>
      <c r="I1230">
        <f>IF(E1230="Gmail",COUNTIF($E$2:E1230,"Gmail"),"")</f>
        <v/>
      </c>
      <c r="J1230">
        <f>IF(E1230="Outlook",COUNTIF($E$2:E1230,"Outlook"),"")</f>
        <v/>
      </c>
      <c r="K1230">
        <f>IF(E1230="Domain",COUNTIF($E$2:E1230,"Domain"),"")</f>
        <v/>
      </c>
    </row>
    <row r="1231">
      <c r="A1231" s="2" t="n"/>
      <c r="B1231">
        <f>LOWER(TRIM(A1231))</f>
        <v/>
      </c>
      <c r="C1231">
        <f>IF(B1231="","",IFERROR(INDEX('Bad Patterns'!$A$2:$A$120,MATCH(1,INDEX(--ISNUMBER(SEARCH('Bad Patterns'!$A$2:$A$120,B1231)),0),0)),""))</f>
        <v/>
      </c>
      <c r="D1231">
        <f>IF(B1231="","",IF(C1231&lt;&gt;"","REMOVE","KEEP"))</f>
        <v/>
      </c>
      <c r="E1231">
        <f>IF(D1231&lt;&gt;"KEEP","",IF(RIGHT(B1231,10)="@gmail.com","Gmail",IF(OR(RIGHT(B1231,12)="@outlook.com",RIGHT(B1231,12)="@hotmail.com",RIGHT(B1231,9)="@live.com"),"Outlook","Domain")))</f>
        <v/>
      </c>
      <c r="F1231">
        <f>IF(B1231="","",IFERROR(RIGHT(B1231,LEN(B1231)-FIND("@",B1231)),""))</f>
        <v/>
      </c>
      <c r="G1231">
        <f>IF(D1231="KEEP",COUNTIF($D$2:D1231,"KEEP"),"")</f>
        <v/>
      </c>
      <c r="H1231">
        <f>IF(D1231="REMOVE",COUNTIF($D$2:D1231,"REMOVE"),"")</f>
        <v/>
      </c>
      <c r="I1231">
        <f>IF(E1231="Gmail",COUNTIF($E$2:E1231,"Gmail"),"")</f>
        <v/>
      </c>
      <c r="J1231">
        <f>IF(E1231="Outlook",COUNTIF($E$2:E1231,"Outlook"),"")</f>
        <v/>
      </c>
      <c r="K1231">
        <f>IF(E1231="Domain",COUNTIF($E$2:E1231,"Domain"),"")</f>
        <v/>
      </c>
    </row>
    <row r="1232">
      <c r="A1232" s="2" t="n"/>
      <c r="B1232">
        <f>LOWER(TRIM(A1232))</f>
        <v/>
      </c>
      <c r="C1232">
        <f>IF(B1232="","",IFERROR(INDEX('Bad Patterns'!$A$2:$A$120,MATCH(1,INDEX(--ISNUMBER(SEARCH('Bad Patterns'!$A$2:$A$120,B1232)),0),0)),""))</f>
        <v/>
      </c>
      <c r="D1232">
        <f>IF(B1232="","",IF(C1232&lt;&gt;"","REMOVE","KEEP"))</f>
        <v/>
      </c>
      <c r="E1232">
        <f>IF(D1232&lt;&gt;"KEEP","",IF(RIGHT(B1232,10)="@gmail.com","Gmail",IF(OR(RIGHT(B1232,12)="@outlook.com",RIGHT(B1232,12)="@hotmail.com",RIGHT(B1232,9)="@live.com"),"Outlook","Domain")))</f>
        <v/>
      </c>
      <c r="F1232">
        <f>IF(B1232="","",IFERROR(RIGHT(B1232,LEN(B1232)-FIND("@",B1232)),""))</f>
        <v/>
      </c>
      <c r="G1232">
        <f>IF(D1232="KEEP",COUNTIF($D$2:D1232,"KEEP"),"")</f>
        <v/>
      </c>
      <c r="H1232">
        <f>IF(D1232="REMOVE",COUNTIF($D$2:D1232,"REMOVE"),"")</f>
        <v/>
      </c>
      <c r="I1232">
        <f>IF(E1232="Gmail",COUNTIF($E$2:E1232,"Gmail"),"")</f>
        <v/>
      </c>
      <c r="J1232">
        <f>IF(E1232="Outlook",COUNTIF($E$2:E1232,"Outlook"),"")</f>
        <v/>
      </c>
      <c r="K1232">
        <f>IF(E1232="Domain",COUNTIF($E$2:E1232,"Domain"),"")</f>
        <v/>
      </c>
    </row>
    <row r="1233">
      <c r="A1233" s="2" t="n"/>
      <c r="B1233">
        <f>LOWER(TRIM(A1233))</f>
        <v/>
      </c>
      <c r="C1233">
        <f>IF(B1233="","",IFERROR(INDEX('Bad Patterns'!$A$2:$A$120,MATCH(1,INDEX(--ISNUMBER(SEARCH('Bad Patterns'!$A$2:$A$120,B1233)),0),0)),""))</f>
        <v/>
      </c>
      <c r="D1233">
        <f>IF(B1233="","",IF(C1233&lt;&gt;"","REMOVE","KEEP"))</f>
        <v/>
      </c>
      <c r="E1233">
        <f>IF(D1233&lt;&gt;"KEEP","",IF(RIGHT(B1233,10)="@gmail.com","Gmail",IF(OR(RIGHT(B1233,12)="@outlook.com",RIGHT(B1233,12)="@hotmail.com",RIGHT(B1233,9)="@live.com"),"Outlook","Domain")))</f>
        <v/>
      </c>
      <c r="F1233">
        <f>IF(B1233="","",IFERROR(RIGHT(B1233,LEN(B1233)-FIND("@",B1233)),""))</f>
        <v/>
      </c>
      <c r="G1233">
        <f>IF(D1233="KEEP",COUNTIF($D$2:D1233,"KEEP"),"")</f>
        <v/>
      </c>
      <c r="H1233">
        <f>IF(D1233="REMOVE",COUNTIF($D$2:D1233,"REMOVE"),"")</f>
        <v/>
      </c>
      <c r="I1233">
        <f>IF(E1233="Gmail",COUNTIF($E$2:E1233,"Gmail"),"")</f>
        <v/>
      </c>
      <c r="J1233">
        <f>IF(E1233="Outlook",COUNTIF($E$2:E1233,"Outlook"),"")</f>
        <v/>
      </c>
      <c r="K1233">
        <f>IF(E1233="Domain",COUNTIF($E$2:E1233,"Domain"),"")</f>
        <v/>
      </c>
    </row>
    <row r="1234">
      <c r="A1234" s="2" t="n"/>
      <c r="B1234">
        <f>LOWER(TRIM(A1234))</f>
        <v/>
      </c>
      <c r="C1234">
        <f>IF(B1234="","",IFERROR(INDEX('Bad Patterns'!$A$2:$A$120,MATCH(1,INDEX(--ISNUMBER(SEARCH('Bad Patterns'!$A$2:$A$120,B1234)),0),0)),""))</f>
        <v/>
      </c>
      <c r="D1234">
        <f>IF(B1234="","",IF(C1234&lt;&gt;"","REMOVE","KEEP"))</f>
        <v/>
      </c>
      <c r="E1234">
        <f>IF(D1234&lt;&gt;"KEEP","",IF(RIGHT(B1234,10)="@gmail.com","Gmail",IF(OR(RIGHT(B1234,12)="@outlook.com",RIGHT(B1234,12)="@hotmail.com",RIGHT(B1234,9)="@live.com"),"Outlook","Domain")))</f>
        <v/>
      </c>
      <c r="F1234">
        <f>IF(B1234="","",IFERROR(RIGHT(B1234,LEN(B1234)-FIND("@",B1234)),""))</f>
        <v/>
      </c>
      <c r="G1234">
        <f>IF(D1234="KEEP",COUNTIF($D$2:D1234,"KEEP"),"")</f>
        <v/>
      </c>
      <c r="H1234">
        <f>IF(D1234="REMOVE",COUNTIF($D$2:D1234,"REMOVE"),"")</f>
        <v/>
      </c>
      <c r="I1234">
        <f>IF(E1234="Gmail",COUNTIF($E$2:E1234,"Gmail"),"")</f>
        <v/>
      </c>
      <c r="J1234">
        <f>IF(E1234="Outlook",COUNTIF($E$2:E1234,"Outlook"),"")</f>
        <v/>
      </c>
      <c r="K1234">
        <f>IF(E1234="Domain",COUNTIF($E$2:E1234,"Domain"),"")</f>
        <v/>
      </c>
    </row>
    <row r="1235">
      <c r="A1235" s="2" t="n"/>
      <c r="B1235">
        <f>LOWER(TRIM(A1235))</f>
        <v/>
      </c>
      <c r="C1235">
        <f>IF(B1235="","",IFERROR(INDEX('Bad Patterns'!$A$2:$A$120,MATCH(1,INDEX(--ISNUMBER(SEARCH('Bad Patterns'!$A$2:$A$120,B1235)),0),0)),""))</f>
        <v/>
      </c>
      <c r="D1235">
        <f>IF(B1235="","",IF(C1235&lt;&gt;"","REMOVE","KEEP"))</f>
        <v/>
      </c>
      <c r="E1235">
        <f>IF(D1235&lt;&gt;"KEEP","",IF(RIGHT(B1235,10)="@gmail.com","Gmail",IF(OR(RIGHT(B1235,12)="@outlook.com",RIGHT(B1235,12)="@hotmail.com",RIGHT(B1235,9)="@live.com"),"Outlook","Domain")))</f>
        <v/>
      </c>
      <c r="F1235">
        <f>IF(B1235="","",IFERROR(RIGHT(B1235,LEN(B1235)-FIND("@",B1235)),""))</f>
        <v/>
      </c>
      <c r="G1235">
        <f>IF(D1235="KEEP",COUNTIF($D$2:D1235,"KEEP"),"")</f>
        <v/>
      </c>
      <c r="H1235">
        <f>IF(D1235="REMOVE",COUNTIF($D$2:D1235,"REMOVE"),"")</f>
        <v/>
      </c>
      <c r="I1235">
        <f>IF(E1235="Gmail",COUNTIF($E$2:E1235,"Gmail"),"")</f>
        <v/>
      </c>
      <c r="J1235">
        <f>IF(E1235="Outlook",COUNTIF($E$2:E1235,"Outlook"),"")</f>
        <v/>
      </c>
      <c r="K1235">
        <f>IF(E1235="Domain",COUNTIF($E$2:E1235,"Domain"),"")</f>
        <v/>
      </c>
    </row>
    <row r="1236">
      <c r="A1236" s="2" t="n"/>
      <c r="B1236">
        <f>LOWER(TRIM(A1236))</f>
        <v/>
      </c>
      <c r="C1236">
        <f>IF(B1236="","",IFERROR(INDEX('Bad Patterns'!$A$2:$A$120,MATCH(1,INDEX(--ISNUMBER(SEARCH('Bad Patterns'!$A$2:$A$120,B1236)),0),0)),""))</f>
        <v/>
      </c>
      <c r="D1236">
        <f>IF(B1236="","",IF(C1236&lt;&gt;"","REMOVE","KEEP"))</f>
        <v/>
      </c>
      <c r="E1236">
        <f>IF(D1236&lt;&gt;"KEEP","",IF(RIGHT(B1236,10)="@gmail.com","Gmail",IF(OR(RIGHT(B1236,12)="@outlook.com",RIGHT(B1236,12)="@hotmail.com",RIGHT(B1236,9)="@live.com"),"Outlook","Domain")))</f>
        <v/>
      </c>
      <c r="F1236">
        <f>IF(B1236="","",IFERROR(RIGHT(B1236,LEN(B1236)-FIND("@",B1236)),""))</f>
        <v/>
      </c>
      <c r="G1236">
        <f>IF(D1236="KEEP",COUNTIF($D$2:D1236,"KEEP"),"")</f>
        <v/>
      </c>
      <c r="H1236">
        <f>IF(D1236="REMOVE",COUNTIF($D$2:D1236,"REMOVE"),"")</f>
        <v/>
      </c>
      <c r="I1236">
        <f>IF(E1236="Gmail",COUNTIF($E$2:E1236,"Gmail"),"")</f>
        <v/>
      </c>
      <c r="J1236">
        <f>IF(E1236="Outlook",COUNTIF($E$2:E1236,"Outlook"),"")</f>
        <v/>
      </c>
      <c r="K1236">
        <f>IF(E1236="Domain",COUNTIF($E$2:E1236,"Domain"),"")</f>
        <v/>
      </c>
    </row>
    <row r="1237">
      <c r="A1237" s="2" t="n"/>
      <c r="B1237">
        <f>LOWER(TRIM(A1237))</f>
        <v/>
      </c>
      <c r="C1237">
        <f>IF(B1237="","",IFERROR(INDEX('Bad Patterns'!$A$2:$A$120,MATCH(1,INDEX(--ISNUMBER(SEARCH('Bad Patterns'!$A$2:$A$120,B1237)),0),0)),""))</f>
        <v/>
      </c>
      <c r="D1237">
        <f>IF(B1237="","",IF(C1237&lt;&gt;"","REMOVE","KEEP"))</f>
        <v/>
      </c>
      <c r="E1237">
        <f>IF(D1237&lt;&gt;"KEEP","",IF(RIGHT(B1237,10)="@gmail.com","Gmail",IF(OR(RIGHT(B1237,12)="@outlook.com",RIGHT(B1237,12)="@hotmail.com",RIGHT(B1237,9)="@live.com"),"Outlook","Domain")))</f>
        <v/>
      </c>
      <c r="F1237">
        <f>IF(B1237="","",IFERROR(RIGHT(B1237,LEN(B1237)-FIND("@",B1237)),""))</f>
        <v/>
      </c>
      <c r="G1237">
        <f>IF(D1237="KEEP",COUNTIF($D$2:D1237,"KEEP"),"")</f>
        <v/>
      </c>
      <c r="H1237">
        <f>IF(D1237="REMOVE",COUNTIF($D$2:D1237,"REMOVE"),"")</f>
        <v/>
      </c>
      <c r="I1237">
        <f>IF(E1237="Gmail",COUNTIF($E$2:E1237,"Gmail"),"")</f>
        <v/>
      </c>
      <c r="J1237">
        <f>IF(E1237="Outlook",COUNTIF($E$2:E1237,"Outlook"),"")</f>
        <v/>
      </c>
      <c r="K1237">
        <f>IF(E1237="Domain",COUNTIF($E$2:E1237,"Domain"),"")</f>
        <v/>
      </c>
    </row>
    <row r="1238">
      <c r="A1238" s="2" t="n"/>
      <c r="B1238">
        <f>LOWER(TRIM(A1238))</f>
        <v/>
      </c>
      <c r="C1238">
        <f>IF(B1238="","",IFERROR(INDEX('Bad Patterns'!$A$2:$A$120,MATCH(1,INDEX(--ISNUMBER(SEARCH('Bad Patterns'!$A$2:$A$120,B1238)),0),0)),""))</f>
        <v/>
      </c>
      <c r="D1238">
        <f>IF(B1238="","",IF(C1238&lt;&gt;"","REMOVE","KEEP"))</f>
        <v/>
      </c>
      <c r="E1238">
        <f>IF(D1238&lt;&gt;"KEEP","",IF(RIGHT(B1238,10)="@gmail.com","Gmail",IF(OR(RIGHT(B1238,12)="@outlook.com",RIGHT(B1238,12)="@hotmail.com",RIGHT(B1238,9)="@live.com"),"Outlook","Domain")))</f>
        <v/>
      </c>
      <c r="F1238">
        <f>IF(B1238="","",IFERROR(RIGHT(B1238,LEN(B1238)-FIND("@",B1238)),""))</f>
        <v/>
      </c>
      <c r="G1238">
        <f>IF(D1238="KEEP",COUNTIF($D$2:D1238,"KEEP"),"")</f>
        <v/>
      </c>
      <c r="H1238">
        <f>IF(D1238="REMOVE",COUNTIF($D$2:D1238,"REMOVE"),"")</f>
        <v/>
      </c>
      <c r="I1238">
        <f>IF(E1238="Gmail",COUNTIF($E$2:E1238,"Gmail"),"")</f>
        <v/>
      </c>
      <c r="J1238">
        <f>IF(E1238="Outlook",COUNTIF($E$2:E1238,"Outlook"),"")</f>
        <v/>
      </c>
      <c r="K1238">
        <f>IF(E1238="Domain",COUNTIF($E$2:E1238,"Domain"),"")</f>
        <v/>
      </c>
    </row>
    <row r="1239">
      <c r="A1239" s="2" t="n"/>
      <c r="B1239">
        <f>LOWER(TRIM(A1239))</f>
        <v/>
      </c>
      <c r="C1239">
        <f>IF(B1239="","",IFERROR(INDEX('Bad Patterns'!$A$2:$A$120,MATCH(1,INDEX(--ISNUMBER(SEARCH('Bad Patterns'!$A$2:$A$120,B1239)),0),0)),""))</f>
        <v/>
      </c>
      <c r="D1239">
        <f>IF(B1239="","",IF(C1239&lt;&gt;"","REMOVE","KEEP"))</f>
        <v/>
      </c>
      <c r="E1239">
        <f>IF(D1239&lt;&gt;"KEEP","",IF(RIGHT(B1239,10)="@gmail.com","Gmail",IF(OR(RIGHT(B1239,12)="@outlook.com",RIGHT(B1239,12)="@hotmail.com",RIGHT(B1239,9)="@live.com"),"Outlook","Domain")))</f>
        <v/>
      </c>
      <c r="F1239">
        <f>IF(B1239="","",IFERROR(RIGHT(B1239,LEN(B1239)-FIND("@",B1239)),""))</f>
        <v/>
      </c>
      <c r="G1239">
        <f>IF(D1239="KEEP",COUNTIF($D$2:D1239,"KEEP"),"")</f>
        <v/>
      </c>
      <c r="H1239">
        <f>IF(D1239="REMOVE",COUNTIF($D$2:D1239,"REMOVE"),"")</f>
        <v/>
      </c>
      <c r="I1239">
        <f>IF(E1239="Gmail",COUNTIF($E$2:E1239,"Gmail"),"")</f>
        <v/>
      </c>
      <c r="J1239">
        <f>IF(E1239="Outlook",COUNTIF($E$2:E1239,"Outlook"),"")</f>
        <v/>
      </c>
      <c r="K1239">
        <f>IF(E1239="Domain",COUNTIF($E$2:E1239,"Domain"),"")</f>
        <v/>
      </c>
    </row>
    <row r="1240">
      <c r="A1240" s="2" t="n"/>
      <c r="B1240">
        <f>LOWER(TRIM(A1240))</f>
        <v/>
      </c>
      <c r="C1240">
        <f>IF(B1240="","",IFERROR(INDEX('Bad Patterns'!$A$2:$A$120,MATCH(1,INDEX(--ISNUMBER(SEARCH('Bad Patterns'!$A$2:$A$120,B1240)),0),0)),""))</f>
        <v/>
      </c>
      <c r="D1240">
        <f>IF(B1240="","",IF(C1240&lt;&gt;"","REMOVE","KEEP"))</f>
        <v/>
      </c>
      <c r="E1240">
        <f>IF(D1240&lt;&gt;"KEEP","",IF(RIGHT(B1240,10)="@gmail.com","Gmail",IF(OR(RIGHT(B1240,12)="@outlook.com",RIGHT(B1240,12)="@hotmail.com",RIGHT(B1240,9)="@live.com"),"Outlook","Domain")))</f>
        <v/>
      </c>
      <c r="F1240">
        <f>IF(B1240="","",IFERROR(RIGHT(B1240,LEN(B1240)-FIND("@",B1240)),""))</f>
        <v/>
      </c>
      <c r="G1240">
        <f>IF(D1240="KEEP",COUNTIF($D$2:D1240,"KEEP"),"")</f>
        <v/>
      </c>
      <c r="H1240">
        <f>IF(D1240="REMOVE",COUNTIF($D$2:D1240,"REMOVE"),"")</f>
        <v/>
      </c>
      <c r="I1240">
        <f>IF(E1240="Gmail",COUNTIF($E$2:E1240,"Gmail"),"")</f>
        <v/>
      </c>
      <c r="J1240">
        <f>IF(E1240="Outlook",COUNTIF($E$2:E1240,"Outlook"),"")</f>
        <v/>
      </c>
      <c r="K1240">
        <f>IF(E1240="Domain",COUNTIF($E$2:E1240,"Domain"),"")</f>
        <v/>
      </c>
    </row>
    <row r="1241">
      <c r="A1241" s="2" t="n"/>
      <c r="B1241">
        <f>LOWER(TRIM(A1241))</f>
        <v/>
      </c>
      <c r="C1241">
        <f>IF(B1241="","",IFERROR(INDEX('Bad Patterns'!$A$2:$A$120,MATCH(1,INDEX(--ISNUMBER(SEARCH('Bad Patterns'!$A$2:$A$120,B1241)),0),0)),""))</f>
        <v/>
      </c>
      <c r="D1241">
        <f>IF(B1241="","",IF(C1241&lt;&gt;"","REMOVE","KEEP"))</f>
        <v/>
      </c>
      <c r="E1241">
        <f>IF(D1241&lt;&gt;"KEEP","",IF(RIGHT(B1241,10)="@gmail.com","Gmail",IF(OR(RIGHT(B1241,12)="@outlook.com",RIGHT(B1241,12)="@hotmail.com",RIGHT(B1241,9)="@live.com"),"Outlook","Domain")))</f>
        <v/>
      </c>
      <c r="F1241">
        <f>IF(B1241="","",IFERROR(RIGHT(B1241,LEN(B1241)-FIND("@",B1241)),""))</f>
        <v/>
      </c>
      <c r="G1241">
        <f>IF(D1241="KEEP",COUNTIF($D$2:D1241,"KEEP"),"")</f>
        <v/>
      </c>
      <c r="H1241">
        <f>IF(D1241="REMOVE",COUNTIF($D$2:D1241,"REMOVE"),"")</f>
        <v/>
      </c>
      <c r="I1241">
        <f>IF(E1241="Gmail",COUNTIF($E$2:E1241,"Gmail"),"")</f>
        <v/>
      </c>
      <c r="J1241">
        <f>IF(E1241="Outlook",COUNTIF($E$2:E1241,"Outlook"),"")</f>
        <v/>
      </c>
      <c r="K1241">
        <f>IF(E1241="Domain",COUNTIF($E$2:E1241,"Domain"),"")</f>
        <v/>
      </c>
    </row>
    <row r="1242">
      <c r="A1242" s="2" t="n"/>
      <c r="B1242">
        <f>LOWER(TRIM(A1242))</f>
        <v/>
      </c>
      <c r="C1242">
        <f>IF(B1242="","",IFERROR(INDEX('Bad Patterns'!$A$2:$A$120,MATCH(1,INDEX(--ISNUMBER(SEARCH('Bad Patterns'!$A$2:$A$120,B1242)),0),0)),""))</f>
        <v/>
      </c>
      <c r="D1242">
        <f>IF(B1242="","",IF(C1242&lt;&gt;"","REMOVE","KEEP"))</f>
        <v/>
      </c>
      <c r="E1242">
        <f>IF(D1242&lt;&gt;"KEEP","",IF(RIGHT(B1242,10)="@gmail.com","Gmail",IF(OR(RIGHT(B1242,12)="@outlook.com",RIGHT(B1242,12)="@hotmail.com",RIGHT(B1242,9)="@live.com"),"Outlook","Domain")))</f>
        <v/>
      </c>
      <c r="F1242">
        <f>IF(B1242="","",IFERROR(RIGHT(B1242,LEN(B1242)-FIND("@",B1242)),""))</f>
        <v/>
      </c>
      <c r="G1242">
        <f>IF(D1242="KEEP",COUNTIF($D$2:D1242,"KEEP"),"")</f>
        <v/>
      </c>
      <c r="H1242">
        <f>IF(D1242="REMOVE",COUNTIF($D$2:D1242,"REMOVE"),"")</f>
        <v/>
      </c>
      <c r="I1242">
        <f>IF(E1242="Gmail",COUNTIF($E$2:E1242,"Gmail"),"")</f>
        <v/>
      </c>
      <c r="J1242">
        <f>IF(E1242="Outlook",COUNTIF($E$2:E1242,"Outlook"),"")</f>
        <v/>
      </c>
      <c r="K1242">
        <f>IF(E1242="Domain",COUNTIF($E$2:E1242,"Domain"),"")</f>
        <v/>
      </c>
    </row>
    <row r="1243">
      <c r="A1243" s="2" t="n"/>
      <c r="B1243">
        <f>LOWER(TRIM(A1243))</f>
        <v/>
      </c>
      <c r="C1243">
        <f>IF(B1243="","",IFERROR(INDEX('Bad Patterns'!$A$2:$A$120,MATCH(1,INDEX(--ISNUMBER(SEARCH('Bad Patterns'!$A$2:$A$120,B1243)),0),0)),""))</f>
        <v/>
      </c>
      <c r="D1243">
        <f>IF(B1243="","",IF(C1243&lt;&gt;"","REMOVE","KEEP"))</f>
        <v/>
      </c>
      <c r="E1243">
        <f>IF(D1243&lt;&gt;"KEEP","",IF(RIGHT(B1243,10)="@gmail.com","Gmail",IF(OR(RIGHT(B1243,12)="@outlook.com",RIGHT(B1243,12)="@hotmail.com",RIGHT(B1243,9)="@live.com"),"Outlook","Domain")))</f>
        <v/>
      </c>
      <c r="F1243">
        <f>IF(B1243="","",IFERROR(RIGHT(B1243,LEN(B1243)-FIND("@",B1243)),""))</f>
        <v/>
      </c>
      <c r="G1243">
        <f>IF(D1243="KEEP",COUNTIF($D$2:D1243,"KEEP"),"")</f>
        <v/>
      </c>
      <c r="H1243">
        <f>IF(D1243="REMOVE",COUNTIF($D$2:D1243,"REMOVE"),"")</f>
        <v/>
      </c>
      <c r="I1243">
        <f>IF(E1243="Gmail",COUNTIF($E$2:E1243,"Gmail"),"")</f>
        <v/>
      </c>
      <c r="J1243">
        <f>IF(E1243="Outlook",COUNTIF($E$2:E1243,"Outlook"),"")</f>
        <v/>
      </c>
      <c r="K1243">
        <f>IF(E1243="Domain",COUNTIF($E$2:E1243,"Domain"),"")</f>
        <v/>
      </c>
    </row>
    <row r="1244">
      <c r="A1244" s="2" t="n"/>
      <c r="B1244">
        <f>LOWER(TRIM(A1244))</f>
        <v/>
      </c>
      <c r="C1244">
        <f>IF(B1244="","",IFERROR(INDEX('Bad Patterns'!$A$2:$A$120,MATCH(1,INDEX(--ISNUMBER(SEARCH('Bad Patterns'!$A$2:$A$120,B1244)),0),0)),""))</f>
        <v/>
      </c>
      <c r="D1244">
        <f>IF(B1244="","",IF(C1244&lt;&gt;"","REMOVE","KEEP"))</f>
        <v/>
      </c>
      <c r="E1244">
        <f>IF(D1244&lt;&gt;"KEEP","",IF(RIGHT(B1244,10)="@gmail.com","Gmail",IF(OR(RIGHT(B1244,12)="@outlook.com",RIGHT(B1244,12)="@hotmail.com",RIGHT(B1244,9)="@live.com"),"Outlook","Domain")))</f>
        <v/>
      </c>
      <c r="F1244">
        <f>IF(B1244="","",IFERROR(RIGHT(B1244,LEN(B1244)-FIND("@",B1244)),""))</f>
        <v/>
      </c>
      <c r="G1244">
        <f>IF(D1244="KEEP",COUNTIF($D$2:D1244,"KEEP"),"")</f>
        <v/>
      </c>
      <c r="H1244">
        <f>IF(D1244="REMOVE",COUNTIF($D$2:D1244,"REMOVE"),"")</f>
        <v/>
      </c>
      <c r="I1244">
        <f>IF(E1244="Gmail",COUNTIF($E$2:E1244,"Gmail"),"")</f>
        <v/>
      </c>
      <c r="J1244">
        <f>IF(E1244="Outlook",COUNTIF($E$2:E1244,"Outlook"),"")</f>
        <v/>
      </c>
      <c r="K1244">
        <f>IF(E1244="Domain",COUNTIF($E$2:E1244,"Domain"),"")</f>
        <v/>
      </c>
    </row>
    <row r="1245">
      <c r="A1245" s="2" t="n"/>
      <c r="B1245">
        <f>LOWER(TRIM(A1245))</f>
        <v/>
      </c>
      <c r="C1245">
        <f>IF(B1245="","",IFERROR(INDEX('Bad Patterns'!$A$2:$A$120,MATCH(1,INDEX(--ISNUMBER(SEARCH('Bad Patterns'!$A$2:$A$120,B1245)),0),0)),""))</f>
        <v/>
      </c>
      <c r="D1245">
        <f>IF(B1245="","",IF(C1245&lt;&gt;"","REMOVE","KEEP"))</f>
        <v/>
      </c>
      <c r="E1245">
        <f>IF(D1245&lt;&gt;"KEEP","",IF(RIGHT(B1245,10)="@gmail.com","Gmail",IF(OR(RIGHT(B1245,12)="@outlook.com",RIGHT(B1245,12)="@hotmail.com",RIGHT(B1245,9)="@live.com"),"Outlook","Domain")))</f>
        <v/>
      </c>
      <c r="F1245">
        <f>IF(B1245="","",IFERROR(RIGHT(B1245,LEN(B1245)-FIND("@",B1245)),""))</f>
        <v/>
      </c>
      <c r="G1245">
        <f>IF(D1245="KEEP",COUNTIF($D$2:D1245,"KEEP"),"")</f>
        <v/>
      </c>
      <c r="H1245">
        <f>IF(D1245="REMOVE",COUNTIF($D$2:D1245,"REMOVE"),"")</f>
        <v/>
      </c>
      <c r="I1245">
        <f>IF(E1245="Gmail",COUNTIF($E$2:E1245,"Gmail"),"")</f>
        <v/>
      </c>
      <c r="J1245">
        <f>IF(E1245="Outlook",COUNTIF($E$2:E1245,"Outlook"),"")</f>
        <v/>
      </c>
      <c r="K1245">
        <f>IF(E1245="Domain",COUNTIF($E$2:E1245,"Domain"),"")</f>
        <v/>
      </c>
    </row>
    <row r="1246">
      <c r="A1246" s="2" t="n"/>
      <c r="B1246">
        <f>LOWER(TRIM(A1246))</f>
        <v/>
      </c>
      <c r="C1246">
        <f>IF(B1246="","",IFERROR(INDEX('Bad Patterns'!$A$2:$A$120,MATCH(1,INDEX(--ISNUMBER(SEARCH('Bad Patterns'!$A$2:$A$120,B1246)),0),0)),""))</f>
        <v/>
      </c>
      <c r="D1246">
        <f>IF(B1246="","",IF(C1246&lt;&gt;"","REMOVE","KEEP"))</f>
        <v/>
      </c>
      <c r="E1246">
        <f>IF(D1246&lt;&gt;"KEEP","",IF(RIGHT(B1246,10)="@gmail.com","Gmail",IF(OR(RIGHT(B1246,12)="@outlook.com",RIGHT(B1246,12)="@hotmail.com",RIGHT(B1246,9)="@live.com"),"Outlook","Domain")))</f>
        <v/>
      </c>
      <c r="F1246">
        <f>IF(B1246="","",IFERROR(RIGHT(B1246,LEN(B1246)-FIND("@",B1246)),""))</f>
        <v/>
      </c>
      <c r="G1246">
        <f>IF(D1246="KEEP",COUNTIF($D$2:D1246,"KEEP"),"")</f>
        <v/>
      </c>
      <c r="H1246">
        <f>IF(D1246="REMOVE",COUNTIF($D$2:D1246,"REMOVE"),"")</f>
        <v/>
      </c>
      <c r="I1246">
        <f>IF(E1246="Gmail",COUNTIF($E$2:E1246,"Gmail"),"")</f>
        <v/>
      </c>
      <c r="J1246">
        <f>IF(E1246="Outlook",COUNTIF($E$2:E1246,"Outlook"),"")</f>
        <v/>
      </c>
      <c r="K1246">
        <f>IF(E1246="Domain",COUNTIF($E$2:E1246,"Domain"),"")</f>
        <v/>
      </c>
    </row>
    <row r="1247">
      <c r="A1247" s="2" t="n"/>
      <c r="B1247">
        <f>LOWER(TRIM(A1247))</f>
        <v/>
      </c>
      <c r="C1247">
        <f>IF(B1247="","",IFERROR(INDEX('Bad Patterns'!$A$2:$A$120,MATCH(1,INDEX(--ISNUMBER(SEARCH('Bad Patterns'!$A$2:$A$120,B1247)),0),0)),""))</f>
        <v/>
      </c>
      <c r="D1247">
        <f>IF(B1247="","",IF(C1247&lt;&gt;"","REMOVE","KEEP"))</f>
        <v/>
      </c>
      <c r="E1247">
        <f>IF(D1247&lt;&gt;"KEEP","",IF(RIGHT(B1247,10)="@gmail.com","Gmail",IF(OR(RIGHT(B1247,12)="@outlook.com",RIGHT(B1247,12)="@hotmail.com",RIGHT(B1247,9)="@live.com"),"Outlook","Domain")))</f>
        <v/>
      </c>
      <c r="F1247">
        <f>IF(B1247="","",IFERROR(RIGHT(B1247,LEN(B1247)-FIND("@",B1247)),""))</f>
        <v/>
      </c>
      <c r="G1247">
        <f>IF(D1247="KEEP",COUNTIF($D$2:D1247,"KEEP"),"")</f>
        <v/>
      </c>
      <c r="H1247">
        <f>IF(D1247="REMOVE",COUNTIF($D$2:D1247,"REMOVE"),"")</f>
        <v/>
      </c>
      <c r="I1247">
        <f>IF(E1247="Gmail",COUNTIF($E$2:E1247,"Gmail"),"")</f>
        <v/>
      </c>
      <c r="J1247">
        <f>IF(E1247="Outlook",COUNTIF($E$2:E1247,"Outlook"),"")</f>
        <v/>
      </c>
      <c r="K1247">
        <f>IF(E1247="Domain",COUNTIF($E$2:E1247,"Domain"),"")</f>
        <v/>
      </c>
    </row>
    <row r="1248">
      <c r="A1248" s="2" t="n"/>
      <c r="B1248">
        <f>LOWER(TRIM(A1248))</f>
        <v/>
      </c>
      <c r="C1248">
        <f>IF(B1248="","",IFERROR(INDEX('Bad Patterns'!$A$2:$A$120,MATCH(1,INDEX(--ISNUMBER(SEARCH('Bad Patterns'!$A$2:$A$120,B1248)),0),0)),""))</f>
        <v/>
      </c>
      <c r="D1248">
        <f>IF(B1248="","",IF(C1248&lt;&gt;"","REMOVE","KEEP"))</f>
        <v/>
      </c>
      <c r="E1248">
        <f>IF(D1248&lt;&gt;"KEEP","",IF(RIGHT(B1248,10)="@gmail.com","Gmail",IF(OR(RIGHT(B1248,12)="@outlook.com",RIGHT(B1248,12)="@hotmail.com",RIGHT(B1248,9)="@live.com"),"Outlook","Domain")))</f>
        <v/>
      </c>
      <c r="F1248">
        <f>IF(B1248="","",IFERROR(RIGHT(B1248,LEN(B1248)-FIND("@",B1248)),""))</f>
        <v/>
      </c>
      <c r="G1248">
        <f>IF(D1248="KEEP",COUNTIF($D$2:D1248,"KEEP"),"")</f>
        <v/>
      </c>
      <c r="H1248">
        <f>IF(D1248="REMOVE",COUNTIF($D$2:D1248,"REMOVE"),"")</f>
        <v/>
      </c>
      <c r="I1248">
        <f>IF(E1248="Gmail",COUNTIF($E$2:E1248,"Gmail"),"")</f>
        <v/>
      </c>
      <c r="J1248">
        <f>IF(E1248="Outlook",COUNTIF($E$2:E1248,"Outlook"),"")</f>
        <v/>
      </c>
      <c r="K1248">
        <f>IF(E1248="Domain",COUNTIF($E$2:E1248,"Domain"),"")</f>
        <v/>
      </c>
    </row>
    <row r="1249">
      <c r="A1249" s="2" t="n"/>
      <c r="B1249">
        <f>LOWER(TRIM(A1249))</f>
        <v/>
      </c>
      <c r="C1249">
        <f>IF(B1249="","",IFERROR(INDEX('Bad Patterns'!$A$2:$A$120,MATCH(1,INDEX(--ISNUMBER(SEARCH('Bad Patterns'!$A$2:$A$120,B1249)),0),0)),""))</f>
        <v/>
      </c>
      <c r="D1249">
        <f>IF(B1249="","",IF(C1249&lt;&gt;"","REMOVE","KEEP"))</f>
        <v/>
      </c>
      <c r="E1249">
        <f>IF(D1249&lt;&gt;"KEEP","",IF(RIGHT(B1249,10)="@gmail.com","Gmail",IF(OR(RIGHT(B1249,12)="@outlook.com",RIGHT(B1249,12)="@hotmail.com",RIGHT(B1249,9)="@live.com"),"Outlook","Domain")))</f>
        <v/>
      </c>
      <c r="F1249">
        <f>IF(B1249="","",IFERROR(RIGHT(B1249,LEN(B1249)-FIND("@",B1249)),""))</f>
        <v/>
      </c>
      <c r="G1249">
        <f>IF(D1249="KEEP",COUNTIF($D$2:D1249,"KEEP"),"")</f>
        <v/>
      </c>
      <c r="H1249">
        <f>IF(D1249="REMOVE",COUNTIF($D$2:D1249,"REMOVE"),"")</f>
        <v/>
      </c>
      <c r="I1249">
        <f>IF(E1249="Gmail",COUNTIF($E$2:E1249,"Gmail"),"")</f>
        <v/>
      </c>
      <c r="J1249">
        <f>IF(E1249="Outlook",COUNTIF($E$2:E1249,"Outlook"),"")</f>
        <v/>
      </c>
      <c r="K1249">
        <f>IF(E1249="Domain",COUNTIF($E$2:E1249,"Domain"),"")</f>
        <v/>
      </c>
    </row>
    <row r="1250">
      <c r="A1250" s="2" t="n"/>
      <c r="B1250">
        <f>LOWER(TRIM(A1250))</f>
        <v/>
      </c>
      <c r="C1250">
        <f>IF(B1250="","",IFERROR(INDEX('Bad Patterns'!$A$2:$A$120,MATCH(1,INDEX(--ISNUMBER(SEARCH('Bad Patterns'!$A$2:$A$120,B1250)),0),0)),""))</f>
        <v/>
      </c>
      <c r="D1250">
        <f>IF(B1250="","",IF(C1250&lt;&gt;"","REMOVE","KEEP"))</f>
        <v/>
      </c>
      <c r="E1250">
        <f>IF(D1250&lt;&gt;"KEEP","",IF(RIGHT(B1250,10)="@gmail.com","Gmail",IF(OR(RIGHT(B1250,12)="@outlook.com",RIGHT(B1250,12)="@hotmail.com",RIGHT(B1250,9)="@live.com"),"Outlook","Domain")))</f>
        <v/>
      </c>
      <c r="F1250">
        <f>IF(B1250="","",IFERROR(RIGHT(B1250,LEN(B1250)-FIND("@",B1250)),""))</f>
        <v/>
      </c>
      <c r="G1250">
        <f>IF(D1250="KEEP",COUNTIF($D$2:D1250,"KEEP"),"")</f>
        <v/>
      </c>
      <c r="H1250">
        <f>IF(D1250="REMOVE",COUNTIF($D$2:D1250,"REMOVE"),"")</f>
        <v/>
      </c>
      <c r="I1250">
        <f>IF(E1250="Gmail",COUNTIF($E$2:E1250,"Gmail"),"")</f>
        <v/>
      </c>
      <c r="J1250">
        <f>IF(E1250="Outlook",COUNTIF($E$2:E1250,"Outlook"),"")</f>
        <v/>
      </c>
      <c r="K1250">
        <f>IF(E1250="Domain",COUNTIF($E$2:E1250,"Domain"),"")</f>
        <v/>
      </c>
    </row>
    <row r="1251">
      <c r="A1251" s="2" t="n"/>
      <c r="B1251">
        <f>LOWER(TRIM(A1251))</f>
        <v/>
      </c>
      <c r="C1251">
        <f>IF(B1251="","",IFERROR(INDEX('Bad Patterns'!$A$2:$A$120,MATCH(1,INDEX(--ISNUMBER(SEARCH('Bad Patterns'!$A$2:$A$120,B1251)),0),0)),""))</f>
        <v/>
      </c>
      <c r="D1251">
        <f>IF(B1251="","",IF(C1251&lt;&gt;"","REMOVE","KEEP"))</f>
        <v/>
      </c>
      <c r="E1251">
        <f>IF(D1251&lt;&gt;"KEEP","",IF(RIGHT(B1251,10)="@gmail.com","Gmail",IF(OR(RIGHT(B1251,12)="@outlook.com",RIGHT(B1251,12)="@hotmail.com",RIGHT(B1251,9)="@live.com"),"Outlook","Domain")))</f>
        <v/>
      </c>
      <c r="F1251">
        <f>IF(B1251="","",IFERROR(RIGHT(B1251,LEN(B1251)-FIND("@",B1251)),""))</f>
        <v/>
      </c>
      <c r="G1251">
        <f>IF(D1251="KEEP",COUNTIF($D$2:D1251,"KEEP"),"")</f>
        <v/>
      </c>
      <c r="H1251">
        <f>IF(D1251="REMOVE",COUNTIF($D$2:D1251,"REMOVE"),"")</f>
        <v/>
      </c>
      <c r="I1251">
        <f>IF(E1251="Gmail",COUNTIF($E$2:E1251,"Gmail"),"")</f>
        <v/>
      </c>
      <c r="J1251">
        <f>IF(E1251="Outlook",COUNTIF($E$2:E1251,"Outlook"),"")</f>
        <v/>
      </c>
      <c r="K1251">
        <f>IF(E1251="Domain",COUNTIF($E$2:E1251,"Domain"),"")</f>
        <v/>
      </c>
    </row>
    <row r="1252">
      <c r="A1252" s="2" t="n"/>
      <c r="B1252">
        <f>LOWER(TRIM(A1252))</f>
        <v/>
      </c>
      <c r="C1252">
        <f>IF(B1252="","",IFERROR(INDEX('Bad Patterns'!$A$2:$A$120,MATCH(1,INDEX(--ISNUMBER(SEARCH('Bad Patterns'!$A$2:$A$120,B1252)),0),0)),""))</f>
        <v/>
      </c>
      <c r="D1252">
        <f>IF(B1252="","",IF(C1252&lt;&gt;"","REMOVE","KEEP"))</f>
        <v/>
      </c>
      <c r="E1252">
        <f>IF(D1252&lt;&gt;"KEEP","",IF(RIGHT(B1252,10)="@gmail.com","Gmail",IF(OR(RIGHT(B1252,12)="@outlook.com",RIGHT(B1252,12)="@hotmail.com",RIGHT(B1252,9)="@live.com"),"Outlook","Domain")))</f>
        <v/>
      </c>
      <c r="F1252">
        <f>IF(B1252="","",IFERROR(RIGHT(B1252,LEN(B1252)-FIND("@",B1252)),""))</f>
        <v/>
      </c>
      <c r="G1252">
        <f>IF(D1252="KEEP",COUNTIF($D$2:D1252,"KEEP"),"")</f>
        <v/>
      </c>
      <c r="H1252">
        <f>IF(D1252="REMOVE",COUNTIF($D$2:D1252,"REMOVE"),"")</f>
        <v/>
      </c>
      <c r="I1252">
        <f>IF(E1252="Gmail",COUNTIF($E$2:E1252,"Gmail"),"")</f>
        <v/>
      </c>
      <c r="J1252">
        <f>IF(E1252="Outlook",COUNTIF($E$2:E1252,"Outlook"),"")</f>
        <v/>
      </c>
      <c r="K1252">
        <f>IF(E1252="Domain",COUNTIF($E$2:E1252,"Domain"),"")</f>
        <v/>
      </c>
    </row>
    <row r="1253">
      <c r="A1253" s="2" t="n"/>
      <c r="B1253">
        <f>LOWER(TRIM(A1253))</f>
        <v/>
      </c>
      <c r="C1253">
        <f>IF(B1253="","",IFERROR(INDEX('Bad Patterns'!$A$2:$A$120,MATCH(1,INDEX(--ISNUMBER(SEARCH('Bad Patterns'!$A$2:$A$120,B1253)),0),0)),""))</f>
        <v/>
      </c>
      <c r="D1253">
        <f>IF(B1253="","",IF(C1253&lt;&gt;"","REMOVE","KEEP"))</f>
        <v/>
      </c>
      <c r="E1253">
        <f>IF(D1253&lt;&gt;"KEEP","",IF(RIGHT(B1253,10)="@gmail.com","Gmail",IF(OR(RIGHT(B1253,12)="@outlook.com",RIGHT(B1253,12)="@hotmail.com",RIGHT(B1253,9)="@live.com"),"Outlook","Domain")))</f>
        <v/>
      </c>
      <c r="F1253">
        <f>IF(B1253="","",IFERROR(RIGHT(B1253,LEN(B1253)-FIND("@",B1253)),""))</f>
        <v/>
      </c>
      <c r="G1253">
        <f>IF(D1253="KEEP",COUNTIF($D$2:D1253,"KEEP"),"")</f>
        <v/>
      </c>
      <c r="H1253">
        <f>IF(D1253="REMOVE",COUNTIF($D$2:D1253,"REMOVE"),"")</f>
        <v/>
      </c>
      <c r="I1253">
        <f>IF(E1253="Gmail",COUNTIF($E$2:E1253,"Gmail"),"")</f>
        <v/>
      </c>
      <c r="J1253">
        <f>IF(E1253="Outlook",COUNTIF($E$2:E1253,"Outlook"),"")</f>
        <v/>
      </c>
      <c r="K1253">
        <f>IF(E1253="Domain",COUNTIF($E$2:E1253,"Domain"),"")</f>
        <v/>
      </c>
    </row>
    <row r="1254">
      <c r="A1254" s="2" t="n"/>
      <c r="B1254">
        <f>LOWER(TRIM(A1254))</f>
        <v/>
      </c>
      <c r="C1254">
        <f>IF(B1254="","",IFERROR(INDEX('Bad Patterns'!$A$2:$A$120,MATCH(1,INDEX(--ISNUMBER(SEARCH('Bad Patterns'!$A$2:$A$120,B1254)),0),0)),""))</f>
        <v/>
      </c>
      <c r="D1254">
        <f>IF(B1254="","",IF(C1254&lt;&gt;"","REMOVE","KEEP"))</f>
        <v/>
      </c>
      <c r="E1254">
        <f>IF(D1254&lt;&gt;"KEEP","",IF(RIGHT(B1254,10)="@gmail.com","Gmail",IF(OR(RIGHT(B1254,12)="@outlook.com",RIGHT(B1254,12)="@hotmail.com",RIGHT(B1254,9)="@live.com"),"Outlook","Domain")))</f>
        <v/>
      </c>
      <c r="F1254">
        <f>IF(B1254="","",IFERROR(RIGHT(B1254,LEN(B1254)-FIND("@",B1254)),""))</f>
        <v/>
      </c>
      <c r="G1254">
        <f>IF(D1254="KEEP",COUNTIF($D$2:D1254,"KEEP"),"")</f>
        <v/>
      </c>
      <c r="H1254">
        <f>IF(D1254="REMOVE",COUNTIF($D$2:D1254,"REMOVE"),"")</f>
        <v/>
      </c>
      <c r="I1254">
        <f>IF(E1254="Gmail",COUNTIF($E$2:E1254,"Gmail"),"")</f>
        <v/>
      </c>
      <c r="J1254">
        <f>IF(E1254="Outlook",COUNTIF($E$2:E1254,"Outlook"),"")</f>
        <v/>
      </c>
      <c r="K1254">
        <f>IF(E1254="Domain",COUNTIF($E$2:E1254,"Domain"),"")</f>
        <v/>
      </c>
    </row>
    <row r="1255">
      <c r="A1255" s="2" t="n"/>
      <c r="B1255">
        <f>LOWER(TRIM(A1255))</f>
        <v/>
      </c>
      <c r="C1255">
        <f>IF(B1255="","",IFERROR(INDEX('Bad Patterns'!$A$2:$A$120,MATCH(1,INDEX(--ISNUMBER(SEARCH('Bad Patterns'!$A$2:$A$120,B1255)),0),0)),""))</f>
        <v/>
      </c>
      <c r="D1255">
        <f>IF(B1255="","",IF(C1255&lt;&gt;"","REMOVE","KEEP"))</f>
        <v/>
      </c>
      <c r="E1255">
        <f>IF(D1255&lt;&gt;"KEEP","",IF(RIGHT(B1255,10)="@gmail.com","Gmail",IF(OR(RIGHT(B1255,12)="@outlook.com",RIGHT(B1255,12)="@hotmail.com",RIGHT(B1255,9)="@live.com"),"Outlook","Domain")))</f>
        <v/>
      </c>
      <c r="F1255">
        <f>IF(B1255="","",IFERROR(RIGHT(B1255,LEN(B1255)-FIND("@",B1255)),""))</f>
        <v/>
      </c>
      <c r="G1255">
        <f>IF(D1255="KEEP",COUNTIF($D$2:D1255,"KEEP"),"")</f>
        <v/>
      </c>
      <c r="H1255">
        <f>IF(D1255="REMOVE",COUNTIF($D$2:D1255,"REMOVE"),"")</f>
        <v/>
      </c>
      <c r="I1255">
        <f>IF(E1255="Gmail",COUNTIF($E$2:E1255,"Gmail"),"")</f>
        <v/>
      </c>
      <c r="J1255">
        <f>IF(E1255="Outlook",COUNTIF($E$2:E1255,"Outlook"),"")</f>
        <v/>
      </c>
      <c r="K1255">
        <f>IF(E1255="Domain",COUNTIF($E$2:E1255,"Domain"),"")</f>
        <v/>
      </c>
    </row>
    <row r="1256">
      <c r="A1256" s="2" t="n"/>
      <c r="B1256">
        <f>LOWER(TRIM(A1256))</f>
        <v/>
      </c>
      <c r="C1256">
        <f>IF(B1256="","",IFERROR(INDEX('Bad Patterns'!$A$2:$A$120,MATCH(1,INDEX(--ISNUMBER(SEARCH('Bad Patterns'!$A$2:$A$120,B1256)),0),0)),""))</f>
        <v/>
      </c>
      <c r="D1256">
        <f>IF(B1256="","",IF(C1256&lt;&gt;"","REMOVE","KEEP"))</f>
        <v/>
      </c>
      <c r="E1256">
        <f>IF(D1256&lt;&gt;"KEEP","",IF(RIGHT(B1256,10)="@gmail.com","Gmail",IF(OR(RIGHT(B1256,12)="@outlook.com",RIGHT(B1256,12)="@hotmail.com",RIGHT(B1256,9)="@live.com"),"Outlook","Domain")))</f>
        <v/>
      </c>
      <c r="F1256">
        <f>IF(B1256="","",IFERROR(RIGHT(B1256,LEN(B1256)-FIND("@",B1256)),""))</f>
        <v/>
      </c>
      <c r="G1256">
        <f>IF(D1256="KEEP",COUNTIF($D$2:D1256,"KEEP"),"")</f>
        <v/>
      </c>
      <c r="H1256">
        <f>IF(D1256="REMOVE",COUNTIF($D$2:D1256,"REMOVE"),"")</f>
        <v/>
      </c>
      <c r="I1256">
        <f>IF(E1256="Gmail",COUNTIF($E$2:E1256,"Gmail"),"")</f>
        <v/>
      </c>
      <c r="J1256">
        <f>IF(E1256="Outlook",COUNTIF($E$2:E1256,"Outlook"),"")</f>
        <v/>
      </c>
      <c r="K1256">
        <f>IF(E1256="Domain",COUNTIF($E$2:E1256,"Domain"),"")</f>
        <v/>
      </c>
    </row>
    <row r="1257">
      <c r="A1257" s="2" t="n"/>
      <c r="B1257">
        <f>LOWER(TRIM(A1257))</f>
        <v/>
      </c>
      <c r="C1257">
        <f>IF(B1257="","",IFERROR(INDEX('Bad Patterns'!$A$2:$A$120,MATCH(1,INDEX(--ISNUMBER(SEARCH('Bad Patterns'!$A$2:$A$120,B1257)),0),0)),""))</f>
        <v/>
      </c>
      <c r="D1257">
        <f>IF(B1257="","",IF(C1257&lt;&gt;"","REMOVE","KEEP"))</f>
        <v/>
      </c>
      <c r="E1257">
        <f>IF(D1257&lt;&gt;"KEEP","",IF(RIGHT(B1257,10)="@gmail.com","Gmail",IF(OR(RIGHT(B1257,12)="@outlook.com",RIGHT(B1257,12)="@hotmail.com",RIGHT(B1257,9)="@live.com"),"Outlook","Domain")))</f>
        <v/>
      </c>
      <c r="F1257">
        <f>IF(B1257="","",IFERROR(RIGHT(B1257,LEN(B1257)-FIND("@",B1257)),""))</f>
        <v/>
      </c>
      <c r="G1257">
        <f>IF(D1257="KEEP",COUNTIF($D$2:D1257,"KEEP"),"")</f>
        <v/>
      </c>
      <c r="H1257">
        <f>IF(D1257="REMOVE",COUNTIF($D$2:D1257,"REMOVE"),"")</f>
        <v/>
      </c>
      <c r="I1257">
        <f>IF(E1257="Gmail",COUNTIF($E$2:E1257,"Gmail"),"")</f>
        <v/>
      </c>
      <c r="J1257">
        <f>IF(E1257="Outlook",COUNTIF($E$2:E1257,"Outlook"),"")</f>
        <v/>
      </c>
      <c r="K1257">
        <f>IF(E1257="Domain",COUNTIF($E$2:E1257,"Domain"),"")</f>
        <v/>
      </c>
    </row>
    <row r="1258">
      <c r="A1258" s="2" t="n"/>
      <c r="B1258">
        <f>LOWER(TRIM(A1258))</f>
        <v/>
      </c>
      <c r="C1258">
        <f>IF(B1258="","",IFERROR(INDEX('Bad Patterns'!$A$2:$A$120,MATCH(1,INDEX(--ISNUMBER(SEARCH('Bad Patterns'!$A$2:$A$120,B1258)),0),0)),""))</f>
        <v/>
      </c>
      <c r="D1258">
        <f>IF(B1258="","",IF(C1258&lt;&gt;"","REMOVE","KEEP"))</f>
        <v/>
      </c>
      <c r="E1258">
        <f>IF(D1258&lt;&gt;"KEEP","",IF(RIGHT(B1258,10)="@gmail.com","Gmail",IF(OR(RIGHT(B1258,12)="@outlook.com",RIGHT(B1258,12)="@hotmail.com",RIGHT(B1258,9)="@live.com"),"Outlook","Domain")))</f>
        <v/>
      </c>
      <c r="F1258">
        <f>IF(B1258="","",IFERROR(RIGHT(B1258,LEN(B1258)-FIND("@",B1258)),""))</f>
        <v/>
      </c>
      <c r="G1258">
        <f>IF(D1258="KEEP",COUNTIF($D$2:D1258,"KEEP"),"")</f>
        <v/>
      </c>
      <c r="H1258">
        <f>IF(D1258="REMOVE",COUNTIF($D$2:D1258,"REMOVE"),"")</f>
        <v/>
      </c>
      <c r="I1258">
        <f>IF(E1258="Gmail",COUNTIF($E$2:E1258,"Gmail"),"")</f>
        <v/>
      </c>
      <c r="J1258">
        <f>IF(E1258="Outlook",COUNTIF($E$2:E1258,"Outlook"),"")</f>
        <v/>
      </c>
      <c r="K1258">
        <f>IF(E1258="Domain",COUNTIF($E$2:E1258,"Domain"),"")</f>
        <v/>
      </c>
    </row>
    <row r="1259">
      <c r="A1259" s="2" t="n"/>
      <c r="B1259">
        <f>LOWER(TRIM(A1259))</f>
        <v/>
      </c>
      <c r="C1259">
        <f>IF(B1259="","",IFERROR(INDEX('Bad Patterns'!$A$2:$A$120,MATCH(1,INDEX(--ISNUMBER(SEARCH('Bad Patterns'!$A$2:$A$120,B1259)),0),0)),""))</f>
        <v/>
      </c>
      <c r="D1259">
        <f>IF(B1259="","",IF(C1259&lt;&gt;"","REMOVE","KEEP"))</f>
        <v/>
      </c>
      <c r="E1259">
        <f>IF(D1259&lt;&gt;"KEEP","",IF(RIGHT(B1259,10)="@gmail.com","Gmail",IF(OR(RIGHT(B1259,12)="@outlook.com",RIGHT(B1259,12)="@hotmail.com",RIGHT(B1259,9)="@live.com"),"Outlook","Domain")))</f>
        <v/>
      </c>
      <c r="F1259">
        <f>IF(B1259="","",IFERROR(RIGHT(B1259,LEN(B1259)-FIND("@",B1259)),""))</f>
        <v/>
      </c>
      <c r="G1259">
        <f>IF(D1259="KEEP",COUNTIF($D$2:D1259,"KEEP"),"")</f>
        <v/>
      </c>
      <c r="H1259">
        <f>IF(D1259="REMOVE",COUNTIF($D$2:D1259,"REMOVE"),"")</f>
        <v/>
      </c>
      <c r="I1259">
        <f>IF(E1259="Gmail",COUNTIF($E$2:E1259,"Gmail"),"")</f>
        <v/>
      </c>
      <c r="J1259">
        <f>IF(E1259="Outlook",COUNTIF($E$2:E1259,"Outlook"),"")</f>
        <v/>
      </c>
      <c r="K1259">
        <f>IF(E1259="Domain",COUNTIF($E$2:E1259,"Domain"),"")</f>
        <v/>
      </c>
    </row>
    <row r="1260">
      <c r="A1260" s="2" t="n"/>
      <c r="B1260">
        <f>LOWER(TRIM(A1260))</f>
        <v/>
      </c>
      <c r="C1260">
        <f>IF(B1260="","",IFERROR(INDEX('Bad Patterns'!$A$2:$A$120,MATCH(1,INDEX(--ISNUMBER(SEARCH('Bad Patterns'!$A$2:$A$120,B1260)),0),0)),""))</f>
        <v/>
      </c>
      <c r="D1260">
        <f>IF(B1260="","",IF(C1260&lt;&gt;"","REMOVE","KEEP"))</f>
        <v/>
      </c>
      <c r="E1260">
        <f>IF(D1260&lt;&gt;"KEEP","",IF(RIGHT(B1260,10)="@gmail.com","Gmail",IF(OR(RIGHT(B1260,12)="@outlook.com",RIGHT(B1260,12)="@hotmail.com",RIGHT(B1260,9)="@live.com"),"Outlook","Domain")))</f>
        <v/>
      </c>
      <c r="F1260">
        <f>IF(B1260="","",IFERROR(RIGHT(B1260,LEN(B1260)-FIND("@",B1260)),""))</f>
        <v/>
      </c>
      <c r="G1260">
        <f>IF(D1260="KEEP",COUNTIF($D$2:D1260,"KEEP"),"")</f>
        <v/>
      </c>
      <c r="H1260">
        <f>IF(D1260="REMOVE",COUNTIF($D$2:D1260,"REMOVE"),"")</f>
        <v/>
      </c>
      <c r="I1260">
        <f>IF(E1260="Gmail",COUNTIF($E$2:E1260,"Gmail"),"")</f>
        <v/>
      </c>
      <c r="J1260">
        <f>IF(E1260="Outlook",COUNTIF($E$2:E1260,"Outlook"),"")</f>
        <v/>
      </c>
      <c r="K1260">
        <f>IF(E1260="Domain",COUNTIF($E$2:E1260,"Domain"),"")</f>
        <v/>
      </c>
    </row>
    <row r="1261">
      <c r="A1261" s="2" t="n"/>
      <c r="B1261">
        <f>LOWER(TRIM(A1261))</f>
        <v/>
      </c>
      <c r="C1261">
        <f>IF(B1261="","",IFERROR(INDEX('Bad Patterns'!$A$2:$A$120,MATCH(1,INDEX(--ISNUMBER(SEARCH('Bad Patterns'!$A$2:$A$120,B1261)),0),0)),""))</f>
        <v/>
      </c>
      <c r="D1261">
        <f>IF(B1261="","",IF(C1261&lt;&gt;"","REMOVE","KEEP"))</f>
        <v/>
      </c>
      <c r="E1261">
        <f>IF(D1261&lt;&gt;"KEEP","",IF(RIGHT(B1261,10)="@gmail.com","Gmail",IF(OR(RIGHT(B1261,12)="@outlook.com",RIGHT(B1261,12)="@hotmail.com",RIGHT(B1261,9)="@live.com"),"Outlook","Domain")))</f>
        <v/>
      </c>
      <c r="F1261">
        <f>IF(B1261="","",IFERROR(RIGHT(B1261,LEN(B1261)-FIND("@",B1261)),""))</f>
        <v/>
      </c>
      <c r="G1261">
        <f>IF(D1261="KEEP",COUNTIF($D$2:D1261,"KEEP"),"")</f>
        <v/>
      </c>
      <c r="H1261">
        <f>IF(D1261="REMOVE",COUNTIF($D$2:D1261,"REMOVE"),"")</f>
        <v/>
      </c>
      <c r="I1261">
        <f>IF(E1261="Gmail",COUNTIF($E$2:E1261,"Gmail"),"")</f>
        <v/>
      </c>
      <c r="J1261">
        <f>IF(E1261="Outlook",COUNTIF($E$2:E1261,"Outlook"),"")</f>
        <v/>
      </c>
      <c r="K1261">
        <f>IF(E1261="Domain",COUNTIF($E$2:E1261,"Domain"),"")</f>
        <v/>
      </c>
    </row>
    <row r="1262">
      <c r="A1262" s="2" t="n"/>
      <c r="B1262">
        <f>LOWER(TRIM(A1262))</f>
        <v/>
      </c>
      <c r="C1262">
        <f>IF(B1262="","",IFERROR(INDEX('Bad Patterns'!$A$2:$A$120,MATCH(1,INDEX(--ISNUMBER(SEARCH('Bad Patterns'!$A$2:$A$120,B1262)),0),0)),""))</f>
        <v/>
      </c>
      <c r="D1262">
        <f>IF(B1262="","",IF(C1262&lt;&gt;"","REMOVE","KEEP"))</f>
        <v/>
      </c>
      <c r="E1262">
        <f>IF(D1262&lt;&gt;"KEEP","",IF(RIGHT(B1262,10)="@gmail.com","Gmail",IF(OR(RIGHT(B1262,12)="@outlook.com",RIGHT(B1262,12)="@hotmail.com",RIGHT(B1262,9)="@live.com"),"Outlook","Domain")))</f>
        <v/>
      </c>
      <c r="F1262">
        <f>IF(B1262="","",IFERROR(RIGHT(B1262,LEN(B1262)-FIND("@",B1262)),""))</f>
        <v/>
      </c>
      <c r="G1262">
        <f>IF(D1262="KEEP",COUNTIF($D$2:D1262,"KEEP"),"")</f>
        <v/>
      </c>
      <c r="H1262">
        <f>IF(D1262="REMOVE",COUNTIF($D$2:D1262,"REMOVE"),"")</f>
        <v/>
      </c>
      <c r="I1262">
        <f>IF(E1262="Gmail",COUNTIF($E$2:E1262,"Gmail"),"")</f>
        <v/>
      </c>
      <c r="J1262">
        <f>IF(E1262="Outlook",COUNTIF($E$2:E1262,"Outlook"),"")</f>
        <v/>
      </c>
      <c r="K1262">
        <f>IF(E1262="Domain",COUNTIF($E$2:E1262,"Domain"),"")</f>
        <v/>
      </c>
    </row>
    <row r="1263">
      <c r="A1263" s="2" t="n"/>
      <c r="B1263">
        <f>LOWER(TRIM(A1263))</f>
        <v/>
      </c>
      <c r="C1263">
        <f>IF(B1263="","",IFERROR(INDEX('Bad Patterns'!$A$2:$A$120,MATCH(1,INDEX(--ISNUMBER(SEARCH('Bad Patterns'!$A$2:$A$120,B1263)),0),0)),""))</f>
        <v/>
      </c>
      <c r="D1263">
        <f>IF(B1263="","",IF(C1263&lt;&gt;"","REMOVE","KEEP"))</f>
        <v/>
      </c>
      <c r="E1263">
        <f>IF(D1263&lt;&gt;"KEEP","",IF(RIGHT(B1263,10)="@gmail.com","Gmail",IF(OR(RIGHT(B1263,12)="@outlook.com",RIGHT(B1263,12)="@hotmail.com",RIGHT(B1263,9)="@live.com"),"Outlook","Domain")))</f>
        <v/>
      </c>
      <c r="F1263">
        <f>IF(B1263="","",IFERROR(RIGHT(B1263,LEN(B1263)-FIND("@",B1263)),""))</f>
        <v/>
      </c>
      <c r="G1263">
        <f>IF(D1263="KEEP",COUNTIF($D$2:D1263,"KEEP"),"")</f>
        <v/>
      </c>
      <c r="H1263">
        <f>IF(D1263="REMOVE",COUNTIF($D$2:D1263,"REMOVE"),"")</f>
        <v/>
      </c>
      <c r="I1263">
        <f>IF(E1263="Gmail",COUNTIF($E$2:E1263,"Gmail"),"")</f>
        <v/>
      </c>
      <c r="J1263">
        <f>IF(E1263="Outlook",COUNTIF($E$2:E1263,"Outlook"),"")</f>
        <v/>
      </c>
      <c r="K1263">
        <f>IF(E1263="Domain",COUNTIF($E$2:E1263,"Domain"),"")</f>
        <v/>
      </c>
    </row>
    <row r="1264">
      <c r="A1264" s="2" t="n"/>
      <c r="B1264">
        <f>LOWER(TRIM(A1264))</f>
        <v/>
      </c>
      <c r="C1264">
        <f>IF(B1264="","",IFERROR(INDEX('Bad Patterns'!$A$2:$A$120,MATCH(1,INDEX(--ISNUMBER(SEARCH('Bad Patterns'!$A$2:$A$120,B1264)),0),0)),""))</f>
        <v/>
      </c>
      <c r="D1264">
        <f>IF(B1264="","",IF(C1264&lt;&gt;"","REMOVE","KEEP"))</f>
        <v/>
      </c>
      <c r="E1264">
        <f>IF(D1264&lt;&gt;"KEEP","",IF(RIGHT(B1264,10)="@gmail.com","Gmail",IF(OR(RIGHT(B1264,12)="@outlook.com",RIGHT(B1264,12)="@hotmail.com",RIGHT(B1264,9)="@live.com"),"Outlook","Domain")))</f>
        <v/>
      </c>
      <c r="F1264">
        <f>IF(B1264="","",IFERROR(RIGHT(B1264,LEN(B1264)-FIND("@",B1264)),""))</f>
        <v/>
      </c>
      <c r="G1264">
        <f>IF(D1264="KEEP",COUNTIF($D$2:D1264,"KEEP"),"")</f>
        <v/>
      </c>
      <c r="H1264">
        <f>IF(D1264="REMOVE",COUNTIF($D$2:D1264,"REMOVE"),"")</f>
        <v/>
      </c>
      <c r="I1264">
        <f>IF(E1264="Gmail",COUNTIF($E$2:E1264,"Gmail"),"")</f>
        <v/>
      </c>
      <c r="J1264">
        <f>IF(E1264="Outlook",COUNTIF($E$2:E1264,"Outlook"),"")</f>
        <v/>
      </c>
      <c r="K1264">
        <f>IF(E1264="Domain",COUNTIF($E$2:E1264,"Domain"),"")</f>
        <v/>
      </c>
    </row>
    <row r="1265">
      <c r="A1265" s="2" t="n"/>
      <c r="B1265">
        <f>LOWER(TRIM(A1265))</f>
        <v/>
      </c>
      <c r="C1265">
        <f>IF(B1265="","",IFERROR(INDEX('Bad Patterns'!$A$2:$A$120,MATCH(1,INDEX(--ISNUMBER(SEARCH('Bad Patterns'!$A$2:$A$120,B1265)),0),0)),""))</f>
        <v/>
      </c>
      <c r="D1265">
        <f>IF(B1265="","",IF(C1265&lt;&gt;"","REMOVE","KEEP"))</f>
        <v/>
      </c>
      <c r="E1265">
        <f>IF(D1265&lt;&gt;"KEEP","",IF(RIGHT(B1265,10)="@gmail.com","Gmail",IF(OR(RIGHT(B1265,12)="@outlook.com",RIGHT(B1265,12)="@hotmail.com",RIGHT(B1265,9)="@live.com"),"Outlook","Domain")))</f>
        <v/>
      </c>
      <c r="F1265">
        <f>IF(B1265="","",IFERROR(RIGHT(B1265,LEN(B1265)-FIND("@",B1265)),""))</f>
        <v/>
      </c>
      <c r="G1265">
        <f>IF(D1265="KEEP",COUNTIF($D$2:D1265,"KEEP"),"")</f>
        <v/>
      </c>
      <c r="H1265">
        <f>IF(D1265="REMOVE",COUNTIF($D$2:D1265,"REMOVE"),"")</f>
        <v/>
      </c>
      <c r="I1265">
        <f>IF(E1265="Gmail",COUNTIF($E$2:E1265,"Gmail"),"")</f>
        <v/>
      </c>
      <c r="J1265">
        <f>IF(E1265="Outlook",COUNTIF($E$2:E1265,"Outlook"),"")</f>
        <v/>
      </c>
      <c r="K1265">
        <f>IF(E1265="Domain",COUNTIF($E$2:E1265,"Domain"),"")</f>
        <v/>
      </c>
    </row>
    <row r="1266">
      <c r="A1266" s="2" t="n"/>
      <c r="B1266">
        <f>LOWER(TRIM(A1266))</f>
        <v/>
      </c>
      <c r="C1266">
        <f>IF(B1266="","",IFERROR(INDEX('Bad Patterns'!$A$2:$A$120,MATCH(1,INDEX(--ISNUMBER(SEARCH('Bad Patterns'!$A$2:$A$120,B1266)),0),0)),""))</f>
        <v/>
      </c>
      <c r="D1266">
        <f>IF(B1266="","",IF(C1266&lt;&gt;"","REMOVE","KEEP"))</f>
        <v/>
      </c>
      <c r="E1266">
        <f>IF(D1266&lt;&gt;"KEEP","",IF(RIGHT(B1266,10)="@gmail.com","Gmail",IF(OR(RIGHT(B1266,12)="@outlook.com",RIGHT(B1266,12)="@hotmail.com",RIGHT(B1266,9)="@live.com"),"Outlook","Domain")))</f>
        <v/>
      </c>
      <c r="F1266">
        <f>IF(B1266="","",IFERROR(RIGHT(B1266,LEN(B1266)-FIND("@",B1266)),""))</f>
        <v/>
      </c>
      <c r="G1266">
        <f>IF(D1266="KEEP",COUNTIF($D$2:D1266,"KEEP"),"")</f>
        <v/>
      </c>
      <c r="H1266">
        <f>IF(D1266="REMOVE",COUNTIF($D$2:D1266,"REMOVE"),"")</f>
        <v/>
      </c>
      <c r="I1266">
        <f>IF(E1266="Gmail",COUNTIF($E$2:E1266,"Gmail"),"")</f>
        <v/>
      </c>
      <c r="J1266">
        <f>IF(E1266="Outlook",COUNTIF($E$2:E1266,"Outlook"),"")</f>
        <v/>
      </c>
      <c r="K1266">
        <f>IF(E1266="Domain",COUNTIF($E$2:E1266,"Domain"),"")</f>
        <v/>
      </c>
    </row>
    <row r="1267">
      <c r="A1267" s="2" t="n"/>
      <c r="B1267">
        <f>LOWER(TRIM(A1267))</f>
        <v/>
      </c>
      <c r="C1267">
        <f>IF(B1267="","",IFERROR(INDEX('Bad Patterns'!$A$2:$A$120,MATCH(1,INDEX(--ISNUMBER(SEARCH('Bad Patterns'!$A$2:$A$120,B1267)),0),0)),""))</f>
        <v/>
      </c>
      <c r="D1267">
        <f>IF(B1267="","",IF(C1267&lt;&gt;"","REMOVE","KEEP"))</f>
        <v/>
      </c>
      <c r="E1267">
        <f>IF(D1267&lt;&gt;"KEEP","",IF(RIGHT(B1267,10)="@gmail.com","Gmail",IF(OR(RIGHT(B1267,12)="@outlook.com",RIGHT(B1267,12)="@hotmail.com",RIGHT(B1267,9)="@live.com"),"Outlook","Domain")))</f>
        <v/>
      </c>
      <c r="F1267">
        <f>IF(B1267="","",IFERROR(RIGHT(B1267,LEN(B1267)-FIND("@",B1267)),""))</f>
        <v/>
      </c>
      <c r="G1267">
        <f>IF(D1267="KEEP",COUNTIF($D$2:D1267,"KEEP"),"")</f>
        <v/>
      </c>
      <c r="H1267">
        <f>IF(D1267="REMOVE",COUNTIF($D$2:D1267,"REMOVE"),"")</f>
        <v/>
      </c>
      <c r="I1267">
        <f>IF(E1267="Gmail",COUNTIF($E$2:E1267,"Gmail"),"")</f>
        <v/>
      </c>
      <c r="J1267">
        <f>IF(E1267="Outlook",COUNTIF($E$2:E1267,"Outlook"),"")</f>
        <v/>
      </c>
      <c r="K1267">
        <f>IF(E1267="Domain",COUNTIF($E$2:E1267,"Domain"),"")</f>
        <v/>
      </c>
    </row>
    <row r="1268">
      <c r="A1268" s="2" t="n"/>
      <c r="B1268">
        <f>LOWER(TRIM(A1268))</f>
        <v/>
      </c>
      <c r="C1268">
        <f>IF(B1268="","",IFERROR(INDEX('Bad Patterns'!$A$2:$A$120,MATCH(1,INDEX(--ISNUMBER(SEARCH('Bad Patterns'!$A$2:$A$120,B1268)),0),0)),""))</f>
        <v/>
      </c>
      <c r="D1268">
        <f>IF(B1268="","",IF(C1268&lt;&gt;"","REMOVE","KEEP"))</f>
        <v/>
      </c>
      <c r="E1268">
        <f>IF(D1268&lt;&gt;"KEEP","",IF(RIGHT(B1268,10)="@gmail.com","Gmail",IF(OR(RIGHT(B1268,12)="@outlook.com",RIGHT(B1268,12)="@hotmail.com",RIGHT(B1268,9)="@live.com"),"Outlook","Domain")))</f>
        <v/>
      </c>
      <c r="F1268">
        <f>IF(B1268="","",IFERROR(RIGHT(B1268,LEN(B1268)-FIND("@",B1268)),""))</f>
        <v/>
      </c>
      <c r="G1268">
        <f>IF(D1268="KEEP",COUNTIF($D$2:D1268,"KEEP"),"")</f>
        <v/>
      </c>
      <c r="H1268">
        <f>IF(D1268="REMOVE",COUNTIF($D$2:D1268,"REMOVE"),"")</f>
        <v/>
      </c>
      <c r="I1268">
        <f>IF(E1268="Gmail",COUNTIF($E$2:E1268,"Gmail"),"")</f>
        <v/>
      </c>
      <c r="J1268">
        <f>IF(E1268="Outlook",COUNTIF($E$2:E1268,"Outlook"),"")</f>
        <v/>
      </c>
      <c r="K1268">
        <f>IF(E1268="Domain",COUNTIF($E$2:E1268,"Domain"),"")</f>
        <v/>
      </c>
    </row>
    <row r="1269">
      <c r="A1269" s="2" t="n"/>
      <c r="B1269">
        <f>LOWER(TRIM(A1269))</f>
        <v/>
      </c>
      <c r="C1269">
        <f>IF(B1269="","",IFERROR(INDEX('Bad Patterns'!$A$2:$A$120,MATCH(1,INDEX(--ISNUMBER(SEARCH('Bad Patterns'!$A$2:$A$120,B1269)),0),0)),""))</f>
        <v/>
      </c>
      <c r="D1269">
        <f>IF(B1269="","",IF(C1269&lt;&gt;"","REMOVE","KEEP"))</f>
        <v/>
      </c>
      <c r="E1269">
        <f>IF(D1269&lt;&gt;"KEEP","",IF(RIGHT(B1269,10)="@gmail.com","Gmail",IF(OR(RIGHT(B1269,12)="@outlook.com",RIGHT(B1269,12)="@hotmail.com",RIGHT(B1269,9)="@live.com"),"Outlook","Domain")))</f>
        <v/>
      </c>
      <c r="F1269">
        <f>IF(B1269="","",IFERROR(RIGHT(B1269,LEN(B1269)-FIND("@",B1269)),""))</f>
        <v/>
      </c>
      <c r="G1269">
        <f>IF(D1269="KEEP",COUNTIF($D$2:D1269,"KEEP"),"")</f>
        <v/>
      </c>
      <c r="H1269">
        <f>IF(D1269="REMOVE",COUNTIF($D$2:D1269,"REMOVE"),"")</f>
        <v/>
      </c>
      <c r="I1269">
        <f>IF(E1269="Gmail",COUNTIF($E$2:E1269,"Gmail"),"")</f>
        <v/>
      </c>
      <c r="J1269">
        <f>IF(E1269="Outlook",COUNTIF($E$2:E1269,"Outlook"),"")</f>
        <v/>
      </c>
      <c r="K1269">
        <f>IF(E1269="Domain",COUNTIF($E$2:E1269,"Domain"),"")</f>
        <v/>
      </c>
    </row>
    <row r="1270">
      <c r="A1270" s="2" t="n"/>
      <c r="B1270">
        <f>LOWER(TRIM(A1270))</f>
        <v/>
      </c>
      <c r="C1270">
        <f>IF(B1270="","",IFERROR(INDEX('Bad Patterns'!$A$2:$A$120,MATCH(1,INDEX(--ISNUMBER(SEARCH('Bad Patterns'!$A$2:$A$120,B1270)),0),0)),""))</f>
        <v/>
      </c>
      <c r="D1270">
        <f>IF(B1270="","",IF(C1270&lt;&gt;"","REMOVE","KEEP"))</f>
        <v/>
      </c>
      <c r="E1270">
        <f>IF(D1270&lt;&gt;"KEEP","",IF(RIGHT(B1270,10)="@gmail.com","Gmail",IF(OR(RIGHT(B1270,12)="@outlook.com",RIGHT(B1270,12)="@hotmail.com",RIGHT(B1270,9)="@live.com"),"Outlook","Domain")))</f>
        <v/>
      </c>
      <c r="F1270">
        <f>IF(B1270="","",IFERROR(RIGHT(B1270,LEN(B1270)-FIND("@",B1270)),""))</f>
        <v/>
      </c>
      <c r="G1270">
        <f>IF(D1270="KEEP",COUNTIF($D$2:D1270,"KEEP"),"")</f>
        <v/>
      </c>
      <c r="H1270">
        <f>IF(D1270="REMOVE",COUNTIF($D$2:D1270,"REMOVE"),"")</f>
        <v/>
      </c>
      <c r="I1270">
        <f>IF(E1270="Gmail",COUNTIF($E$2:E1270,"Gmail"),"")</f>
        <v/>
      </c>
      <c r="J1270">
        <f>IF(E1270="Outlook",COUNTIF($E$2:E1270,"Outlook"),"")</f>
        <v/>
      </c>
      <c r="K1270">
        <f>IF(E1270="Domain",COUNTIF($E$2:E1270,"Domain"),"")</f>
        <v/>
      </c>
    </row>
    <row r="1271">
      <c r="A1271" s="2" t="n"/>
      <c r="B1271">
        <f>LOWER(TRIM(A1271))</f>
        <v/>
      </c>
      <c r="C1271">
        <f>IF(B1271="","",IFERROR(INDEX('Bad Patterns'!$A$2:$A$120,MATCH(1,INDEX(--ISNUMBER(SEARCH('Bad Patterns'!$A$2:$A$120,B1271)),0),0)),""))</f>
        <v/>
      </c>
      <c r="D1271">
        <f>IF(B1271="","",IF(C1271&lt;&gt;"","REMOVE","KEEP"))</f>
        <v/>
      </c>
      <c r="E1271">
        <f>IF(D1271&lt;&gt;"KEEP","",IF(RIGHT(B1271,10)="@gmail.com","Gmail",IF(OR(RIGHT(B1271,12)="@outlook.com",RIGHT(B1271,12)="@hotmail.com",RIGHT(B1271,9)="@live.com"),"Outlook","Domain")))</f>
        <v/>
      </c>
      <c r="F1271">
        <f>IF(B1271="","",IFERROR(RIGHT(B1271,LEN(B1271)-FIND("@",B1271)),""))</f>
        <v/>
      </c>
      <c r="G1271">
        <f>IF(D1271="KEEP",COUNTIF($D$2:D1271,"KEEP"),"")</f>
        <v/>
      </c>
      <c r="H1271">
        <f>IF(D1271="REMOVE",COUNTIF($D$2:D1271,"REMOVE"),"")</f>
        <v/>
      </c>
      <c r="I1271">
        <f>IF(E1271="Gmail",COUNTIF($E$2:E1271,"Gmail"),"")</f>
        <v/>
      </c>
      <c r="J1271">
        <f>IF(E1271="Outlook",COUNTIF($E$2:E1271,"Outlook"),"")</f>
        <v/>
      </c>
      <c r="K1271">
        <f>IF(E1271="Domain",COUNTIF($E$2:E1271,"Domain"),"")</f>
        <v/>
      </c>
    </row>
    <row r="1272">
      <c r="A1272" s="2" t="n"/>
      <c r="B1272">
        <f>LOWER(TRIM(A1272))</f>
        <v/>
      </c>
      <c r="C1272">
        <f>IF(B1272="","",IFERROR(INDEX('Bad Patterns'!$A$2:$A$120,MATCH(1,INDEX(--ISNUMBER(SEARCH('Bad Patterns'!$A$2:$A$120,B1272)),0),0)),""))</f>
        <v/>
      </c>
      <c r="D1272">
        <f>IF(B1272="","",IF(C1272&lt;&gt;"","REMOVE","KEEP"))</f>
        <v/>
      </c>
      <c r="E1272">
        <f>IF(D1272&lt;&gt;"KEEP","",IF(RIGHT(B1272,10)="@gmail.com","Gmail",IF(OR(RIGHT(B1272,12)="@outlook.com",RIGHT(B1272,12)="@hotmail.com",RIGHT(B1272,9)="@live.com"),"Outlook","Domain")))</f>
        <v/>
      </c>
      <c r="F1272">
        <f>IF(B1272="","",IFERROR(RIGHT(B1272,LEN(B1272)-FIND("@",B1272)),""))</f>
        <v/>
      </c>
      <c r="G1272">
        <f>IF(D1272="KEEP",COUNTIF($D$2:D1272,"KEEP"),"")</f>
        <v/>
      </c>
      <c r="H1272">
        <f>IF(D1272="REMOVE",COUNTIF($D$2:D1272,"REMOVE"),"")</f>
        <v/>
      </c>
      <c r="I1272">
        <f>IF(E1272="Gmail",COUNTIF($E$2:E1272,"Gmail"),"")</f>
        <v/>
      </c>
      <c r="J1272">
        <f>IF(E1272="Outlook",COUNTIF($E$2:E1272,"Outlook"),"")</f>
        <v/>
      </c>
      <c r="K1272">
        <f>IF(E1272="Domain",COUNTIF($E$2:E1272,"Domain"),"")</f>
        <v/>
      </c>
    </row>
    <row r="1273">
      <c r="A1273" s="2" t="n"/>
      <c r="B1273">
        <f>LOWER(TRIM(A1273))</f>
        <v/>
      </c>
      <c r="C1273">
        <f>IF(B1273="","",IFERROR(INDEX('Bad Patterns'!$A$2:$A$120,MATCH(1,INDEX(--ISNUMBER(SEARCH('Bad Patterns'!$A$2:$A$120,B1273)),0),0)),""))</f>
        <v/>
      </c>
      <c r="D1273">
        <f>IF(B1273="","",IF(C1273&lt;&gt;"","REMOVE","KEEP"))</f>
        <v/>
      </c>
      <c r="E1273">
        <f>IF(D1273&lt;&gt;"KEEP","",IF(RIGHT(B1273,10)="@gmail.com","Gmail",IF(OR(RIGHT(B1273,12)="@outlook.com",RIGHT(B1273,12)="@hotmail.com",RIGHT(B1273,9)="@live.com"),"Outlook","Domain")))</f>
        <v/>
      </c>
      <c r="F1273">
        <f>IF(B1273="","",IFERROR(RIGHT(B1273,LEN(B1273)-FIND("@",B1273)),""))</f>
        <v/>
      </c>
      <c r="G1273">
        <f>IF(D1273="KEEP",COUNTIF($D$2:D1273,"KEEP"),"")</f>
        <v/>
      </c>
      <c r="H1273">
        <f>IF(D1273="REMOVE",COUNTIF($D$2:D1273,"REMOVE"),"")</f>
        <v/>
      </c>
      <c r="I1273">
        <f>IF(E1273="Gmail",COUNTIF($E$2:E1273,"Gmail"),"")</f>
        <v/>
      </c>
      <c r="J1273">
        <f>IF(E1273="Outlook",COUNTIF($E$2:E1273,"Outlook"),"")</f>
        <v/>
      </c>
      <c r="K1273">
        <f>IF(E1273="Domain",COUNTIF($E$2:E1273,"Domain"),"")</f>
        <v/>
      </c>
    </row>
    <row r="1274">
      <c r="A1274" s="2" t="n"/>
      <c r="B1274">
        <f>LOWER(TRIM(A1274))</f>
        <v/>
      </c>
      <c r="C1274">
        <f>IF(B1274="","",IFERROR(INDEX('Bad Patterns'!$A$2:$A$120,MATCH(1,INDEX(--ISNUMBER(SEARCH('Bad Patterns'!$A$2:$A$120,B1274)),0),0)),""))</f>
        <v/>
      </c>
      <c r="D1274">
        <f>IF(B1274="","",IF(C1274&lt;&gt;"","REMOVE","KEEP"))</f>
        <v/>
      </c>
      <c r="E1274">
        <f>IF(D1274&lt;&gt;"KEEP","",IF(RIGHT(B1274,10)="@gmail.com","Gmail",IF(OR(RIGHT(B1274,12)="@outlook.com",RIGHT(B1274,12)="@hotmail.com",RIGHT(B1274,9)="@live.com"),"Outlook","Domain")))</f>
        <v/>
      </c>
      <c r="F1274">
        <f>IF(B1274="","",IFERROR(RIGHT(B1274,LEN(B1274)-FIND("@",B1274)),""))</f>
        <v/>
      </c>
      <c r="G1274">
        <f>IF(D1274="KEEP",COUNTIF($D$2:D1274,"KEEP"),"")</f>
        <v/>
      </c>
      <c r="H1274">
        <f>IF(D1274="REMOVE",COUNTIF($D$2:D1274,"REMOVE"),"")</f>
        <v/>
      </c>
      <c r="I1274">
        <f>IF(E1274="Gmail",COUNTIF($E$2:E1274,"Gmail"),"")</f>
        <v/>
      </c>
      <c r="J1274">
        <f>IF(E1274="Outlook",COUNTIF($E$2:E1274,"Outlook"),"")</f>
        <v/>
      </c>
      <c r="K1274">
        <f>IF(E1274="Domain",COUNTIF($E$2:E1274,"Domain"),"")</f>
        <v/>
      </c>
    </row>
    <row r="1275">
      <c r="A1275" s="2" t="n"/>
      <c r="B1275">
        <f>LOWER(TRIM(A1275))</f>
        <v/>
      </c>
      <c r="C1275">
        <f>IF(B1275="","",IFERROR(INDEX('Bad Patterns'!$A$2:$A$120,MATCH(1,INDEX(--ISNUMBER(SEARCH('Bad Patterns'!$A$2:$A$120,B1275)),0),0)),""))</f>
        <v/>
      </c>
      <c r="D1275">
        <f>IF(B1275="","",IF(C1275&lt;&gt;"","REMOVE","KEEP"))</f>
        <v/>
      </c>
      <c r="E1275">
        <f>IF(D1275&lt;&gt;"KEEP","",IF(RIGHT(B1275,10)="@gmail.com","Gmail",IF(OR(RIGHT(B1275,12)="@outlook.com",RIGHT(B1275,12)="@hotmail.com",RIGHT(B1275,9)="@live.com"),"Outlook","Domain")))</f>
        <v/>
      </c>
      <c r="F1275">
        <f>IF(B1275="","",IFERROR(RIGHT(B1275,LEN(B1275)-FIND("@",B1275)),""))</f>
        <v/>
      </c>
      <c r="G1275">
        <f>IF(D1275="KEEP",COUNTIF($D$2:D1275,"KEEP"),"")</f>
        <v/>
      </c>
      <c r="H1275">
        <f>IF(D1275="REMOVE",COUNTIF($D$2:D1275,"REMOVE"),"")</f>
        <v/>
      </c>
      <c r="I1275">
        <f>IF(E1275="Gmail",COUNTIF($E$2:E1275,"Gmail"),"")</f>
        <v/>
      </c>
      <c r="J1275">
        <f>IF(E1275="Outlook",COUNTIF($E$2:E1275,"Outlook"),"")</f>
        <v/>
      </c>
      <c r="K1275">
        <f>IF(E1275="Domain",COUNTIF($E$2:E1275,"Domain"),"")</f>
        <v/>
      </c>
    </row>
    <row r="1276">
      <c r="A1276" s="2" t="n"/>
      <c r="B1276">
        <f>LOWER(TRIM(A1276))</f>
        <v/>
      </c>
      <c r="C1276">
        <f>IF(B1276="","",IFERROR(INDEX('Bad Patterns'!$A$2:$A$120,MATCH(1,INDEX(--ISNUMBER(SEARCH('Bad Patterns'!$A$2:$A$120,B1276)),0),0)),""))</f>
        <v/>
      </c>
      <c r="D1276">
        <f>IF(B1276="","",IF(C1276&lt;&gt;"","REMOVE","KEEP"))</f>
        <v/>
      </c>
      <c r="E1276">
        <f>IF(D1276&lt;&gt;"KEEP","",IF(RIGHT(B1276,10)="@gmail.com","Gmail",IF(OR(RIGHT(B1276,12)="@outlook.com",RIGHT(B1276,12)="@hotmail.com",RIGHT(B1276,9)="@live.com"),"Outlook","Domain")))</f>
        <v/>
      </c>
      <c r="F1276">
        <f>IF(B1276="","",IFERROR(RIGHT(B1276,LEN(B1276)-FIND("@",B1276)),""))</f>
        <v/>
      </c>
      <c r="G1276">
        <f>IF(D1276="KEEP",COUNTIF($D$2:D1276,"KEEP"),"")</f>
        <v/>
      </c>
      <c r="H1276">
        <f>IF(D1276="REMOVE",COUNTIF($D$2:D1276,"REMOVE"),"")</f>
        <v/>
      </c>
      <c r="I1276">
        <f>IF(E1276="Gmail",COUNTIF($E$2:E1276,"Gmail"),"")</f>
        <v/>
      </c>
      <c r="J1276">
        <f>IF(E1276="Outlook",COUNTIF($E$2:E1276,"Outlook"),"")</f>
        <v/>
      </c>
      <c r="K1276">
        <f>IF(E1276="Domain",COUNTIF($E$2:E1276,"Domain"),"")</f>
        <v/>
      </c>
    </row>
    <row r="1277">
      <c r="A1277" s="2" t="n"/>
      <c r="B1277">
        <f>LOWER(TRIM(A1277))</f>
        <v/>
      </c>
      <c r="C1277">
        <f>IF(B1277="","",IFERROR(INDEX('Bad Patterns'!$A$2:$A$120,MATCH(1,INDEX(--ISNUMBER(SEARCH('Bad Patterns'!$A$2:$A$120,B1277)),0),0)),""))</f>
        <v/>
      </c>
      <c r="D1277">
        <f>IF(B1277="","",IF(C1277&lt;&gt;"","REMOVE","KEEP"))</f>
        <v/>
      </c>
      <c r="E1277">
        <f>IF(D1277&lt;&gt;"KEEP","",IF(RIGHT(B1277,10)="@gmail.com","Gmail",IF(OR(RIGHT(B1277,12)="@outlook.com",RIGHT(B1277,12)="@hotmail.com",RIGHT(B1277,9)="@live.com"),"Outlook","Domain")))</f>
        <v/>
      </c>
      <c r="F1277">
        <f>IF(B1277="","",IFERROR(RIGHT(B1277,LEN(B1277)-FIND("@",B1277)),""))</f>
        <v/>
      </c>
      <c r="G1277">
        <f>IF(D1277="KEEP",COUNTIF($D$2:D1277,"KEEP"),"")</f>
        <v/>
      </c>
      <c r="H1277">
        <f>IF(D1277="REMOVE",COUNTIF($D$2:D1277,"REMOVE"),"")</f>
        <v/>
      </c>
      <c r="I1277">
        <f>IF(E1277="Gmail",COUNTIF($E$2:E1277,"Gmail"),"")</f>
        <v/>
      </c>
      <c r="J1277">
        <f>IF(E1277="Outlook",COUNTIF($E$2:E1277,"Outlook"),"")</f>
        <v/>
      </c>
      <c r="K1277">
        <f>IF(E1277="Domain",COUNTIF($E$2:E1277,"Domain"),"")</f>
        <v/>
      </c>
    </row>
    <row r="1278">
      <c r="A1278" s="2" t="n"/>
      <c r="B1278">
        <f>LOWER(TRIM(A1278))</f>
        <v/>
      </c>
      <c r="C1278">
        <f>IF(B1278="","",IFERROR(INDEX('Bad Patterns'!$A$2:$A$120,MATCH(1,INDEX(--ISNUMBER(SEARCH('Bad Patterns'!$A$2:$A$120,B1278)),0),0)),""))</f>
        <v/>
      </c>
      <c r="D1278">
        <f>IF(B1278="","",IF(C1278&lt;&gt;"","REMOVE","KEEP"))</f>
        <v/>
      </c>
      <c r="E1278">
        <f>IF(D1278&lt;&gt;"KEEP","",IF(RIGHT(B1278,10)="@gmail.com","Gmail",IF(OR(RIGHT(B1278,12)="@outlook.com",RIGHT(B1278,12)="@hotmail.com",RIGHT(B1278,9)="@live.com"),"Outlook","Domain")))</f>
        <v/>
      </c>
      <c r="F1278">
        <f>IF(B1278="","",IFERROR(RIGHT(B1278,LEN(B1278)-FIND("@",B1278)),""))</f>
        <v/>
      </c>
      <c r="G1278">
        <f>IF(D1278="KEEP",COUNTIF($D$2:D1278,"KEEP"),"")</f>
        <v/>
      </c>
      <c r="H1278">
        <f>IF(D1278="REMOVE",COUNTIF($D$2:D1278,"REMOVE"),"")</f>
        <v/>
      </c>
      <c r="I1278">
        <f>IF(E1278="Gmail",COUNTIF($E$2:E1278,"Gmail"),"")</f>
        <v/>
      </c>
      <c r="J1278">
        <f>IF(E1278="Outlook",COUNTIF($E$2:E1278,"Outlook"),"")</f>
        <v/>
      </c>
      <c r="K1278">
        <f>IF(E1278="Domain",COUNTIF($E$2:E1278,"Domain"),"")</f>
        <v/>
      </c>
    </row>
    <row r="1279">
      <c r="A1279" s="2" t="n"/>
      <c r="B1279">
        <f>LOWER(TRIM(A1279))</f>
        <v/>
      </c>
      <c r="C1279">
        <f>IF(B1279="","",IFERROR(INDEX('Bad Patterns'!$A$2:$A$120,MATCH(1,INDEX(--ISNUMBER(SEARCH('Bad Patterns'!$A$2:$A$120,B1279)),0),0)),""))</f>
        <v/>
      </c>
      <c r="D1279">
        <f>IF(B1279="","",IF(C1279&lt;&gt;"","REMOVE","KEEP"))</f>
        <v/>
      </c>
      <c r="E1279">
        <f>IF(D1279&lt;&gt;"KEEP","",IF(RIGHT(B1279,10)="@gmail.com","Gmail",IF(OR(RIGHT(B1279,12)="@outlook.com",RIGHT(B1279,12)="@hotmail.com",RIGHT(B1279,9)="@live.com"),"Outlook","Domain")))</f>
        <v/>
      </c>
      <c r="F1279">
        <f>IF(B1279="","",IFERROR(RIGHT(B1279,LEN(B1279)-FIND("@",B1279)),""))</f>
        <v/>
      </c>
      <c r="G1279">
        <f>IF(D1279="KEEP",COUNTIF($D$2:D1279,"KEEP"),"")</f>
        <v/>
      </c>
      <c r="H1279">
        <f>IF(D1279="REMOVE",COUNTIF($D$2:D1279,"REMOVE"),"")</f>
        <v/>
      </c>
      <c r="I1279">
        <f>IF(E1279="Gmail",COUNTIF($E$2:E1279,"Gmail"),"")</f>
        <v/>
      </c>
      <c r="J1279">
        <f>IF(E1279="Outlook",COUNTIF($E$2:E1279,"Outlook"),"")</f>
        <v/>
      </c>
      <c r="K1279">
        <f>IF(E1279="Domain",COUNTIF($E$2:E1279,"Domain"),"")</f>
        <v/>
      </c>
    </row>
    <row r="1280">
      <c r="A1280" s="2" t="n"/>
      <c r="B1280">
        <f>LOWER(TRIM(A1280))</f>
        <v/>
      </c>
      <c r="C1280">
        <f>IF(B1280="","",IFERROR(INDEX('Bad Patterns'!$A$2:$A$120,MATCH(1,INDEX(--ISNUMBER(SEARCH('Bad Patterns'!$A$2:$A$120,B1280)),0),0)),""))</f>
        <v/>
      </c>
      <c r="D1280">
        <f>IF(B1280="","",IF(C1280&lt;&gt;"","REMOVE","KEEP"))</f>
        <v/>
      </c>
      <c r="E1280">
        <f>IF(D1280&lt;&gt;"KEEP","",IF(RIGHT(B1280,10)="@gmail.com","Gmail",IF(OR(RIGHT(B1280,12)="@outlook.com",RIGHT(B1280,12)="@hotmail.com",RIGHT(B1280,9)="@live.com"),"Outlook","Domain")))</f>
        <v/>
      </c>
      <c r="F1280">
        <f>IF(B1280="","",IFERROR(RIGHT(B1280,LEN(B1280)-FIND("@",B1280)),""))</f>
        <v/>
      </c>
      <c r="G1280">
        <f>IF(D1280="KEEP",COUNTIF($D$2:D1280,"KEEP"),"")</f>
        <v/>
      </c>
      <c r="H1280">
        <f>IF(D1280="REMOVE",COUNTIF($D$2:D1280,"REMOVE"),"")</f>
        <v/>
      </c>
      <c r="I1280">
        <f>IF(E1280="Gmail",COUNTIF($E$2:E1280,"Gmail"),"")</f>
        <v/>
      </c>
      <c r="J1280">
        <f>IF(E1280="Outlook",COUNTIF($E$2:E1280,"Outlook"),"")</f>
        <v/>
      </c>
      <c r="K1280">
        <f>IF(E1280="Domain",COUNTIF($E$2:E1280,"Domain"),"")</f>
        <v/>
      </c>
    </row>
    <row r="1281">
      <c r="A1281" s="2" t="n"/>
      <c r="B1281">
        <f>LOWER(TRIM(A1281))</f>
        <v/>
      </c>
      <c r="C1281">
        <f>IF(B1281="","",IFERROR(INDEX('Bad Patterns'!$A$2:$A$120,MATCH(1,INDEX(--ISNUMBER(SEARCH('Bad Patterns'!$A$2:$A$120,B1281)),0),0)),""))</f>
        <v/>
      </c>
      <c r="D1281">
        <f>IF(B1281="","",IF(C1281&lt;&gt;"","REMOVE","KEEP"))</f>
        <v/>
      </c>
      <c r="E1281">
        <f>IF(D1281&lt;&gt;"KEEP","",IF(RIGHT(B1281,10)="@gmail.com","Gmail",IF(OR(RIGHT(B1281,12)="@outlook.com",RIGHT(B1281,12)="@hotmail.com",RIGHT(B1281,9)="@live.com"),"Outlook","Domain")))</f>
        <v/>
      </c>
      <c r="F1281">
        <f>IF(B1281="","",IFERROR(RIGHT(B1281,LEN(B1281)-FIND("@",B1281)),""))</f>
        <v/>
      </c>
      <c r="G1281">
        <f>IF(D1281="KEEP",COUNTIF($D$2:D1281,"KEEP"),"")</f>
        <v/>
      </c>
      <c r="H1281">
        <f>IF(D1281="REMOVE",COUNTIF($D$2:D1281,"REMOVE"),"")</f>
        <v/>
      </c>
      <c r="I1281">
        <f>IF(E1281="Gmail",COUNTIF($E$2:E1281,"Gmail"),"")</f>
        <v/>
      </c>
      <c r="J1281">
        <f>IF(E1281="Outlook",COUNTIF($E$2:E1281,"Outlook"),"")</f>
        <v/>
      </c>
      <c r="K1281">
        <f>IF(E1281="Domain",COUNTIF($E$2:E1281,"Domain"),"")</f>
        <v/>
      </c>
    </row>
    <row r="1282">
      <c r="A1282" s="2" t="n"/>
      <c r="B1282">
        <f>LOWER(TRIM(A1282))</f>
        <v/>
      </c>
      <c r="C1282">
        <f>IF(B1282="","",IFERROR(INDEX('Bad Patterns'!$A$2:$A$120,MATCH(1,INDEX(--ISNUMBER(SEARCH('Bad Patterns'!$A$2:$A$120,B1282)),0),0)),""))</f>
        <v/>
      </c>
      <c r="D1282">
        <f>IF(B1282="","",IF(C1282&lt;&gt;"","REMOVE","KEEP"))</f>
        <v/>
      </c>
      <c r="E1282">
        <f>IF(D1282&lt;&gt;"KEEP","",IF(RIGHT(B1282,10)="@gmail.com","Gmail",IF(OR(RIGHT(B1282,12)="@outlook.com",RIGHT(B1282,12)="@hotmail.com",RIGHT(B1282,9)="@live.com"),"Outlook","Domain")))</f>
        <v/>
      </c>
      <c r="F1282">
        <f>IF(B1282="","",IFERROR(RIGHT(B1282,LEN(B1282)-FIND("@",B1282)),""))</f>
        <v/>
      </c>
      <c r="G1282">
        <f>IF(D1282="KEEP",COUNTIF($D$2:D1282,"KEEP"),"")</f>
        <v/>
      </c>
      <c r="H1282">
        <f>IF(D1282="REMOVE",COUNTIF($D$2:D1282,"REMOVE"),"")</f>
        <v/>
      </c>
      <c r="I1282">
        <f>IF(E1282="Gmail",COUNTIF($E$2:E1282,"Gmail"),"")</f>
        <v/>
      </c>
      <c r="J1282">
        <f>IF(E1282="Outlook",COUNTIF($E$2:E1282,"Outlook"),"")</f>
        <v/>
      </c>
      <c r="K1282">
        <f>IF(E1282="Domain",COUNTIF($E$2:E1282,"Domain"),"")</f>
        <v/>
      </c>
    </row>
    <row r="1283">
      <c r="A1283" s="2" t="n"/>
      <c r="B1283">
        <f>LOWER(TRIM(A1283))</f>
        <v/>
      </c>
      <c r="C1283">
        <f>IF(B1283="","",IFERROR(INDEX('Bad Patterns'!$A$2:$A$120,MATCH(1,INDEX(--ISNUMBER(SEARCH('Bad Patterns'!$A$2:$A$120,B1283)),0),0)),""))</f>
        <v/>
      </c>
      <c r="D1283">
        <f>IF(B1283="","",IF(C1283&lt;&gt;"","REMOVE","KEEP"))</f>
        <v/>
      </c>
      <c r="E1283">
        <f>IF(D1283&lt;&gt;"KEEP","",IF(RIGHT(B1283,10)="@gmail.com","Gmail",IF(OR(RIGHT(B1283,12)="@outlook.com",RIGHT(B1283,12)="@hotmail.com",RIGHT(B1283,9)="@live.com"),"Outlook","Domain")))</f>
        <v/>
      </c>
      <c r="F1283">
        <f>IF(B1283="","",IFERROR(RIGHT(B1283,LEN(B1283)-FIND("@",B1283)),""))</f>
        <v/>
      </c>
      <c r="G1283">
        <f>IF(D1283="KEEP",COUNTIF($D$2:D1283,"KEEP"),"")</f>
        <v/>
      </c>
      <c r="H1283">
        <f>IF(D1283="REMOVE",COUNTIF($D$2:D1283,"REMOVE"),"")</f>
        <v/>
      </c>
      <c r="I1283">
        <f>IF(E1283="Gmail",COUNTIF($E$2:E1283,"Gmail"),"")</f>
        <v/>
      </c>
      <c r="J1283">
        <f>IF(E1283="Outlook",COUNTIF($E$2:E1283,"Outlook"),"")</f>
        <v/>
      </c>
      <c r="K1283">
        <f>IF(E1283="Domain",COUNTIF($E$2:E1283,"Domain"),"")</f>
        <v/>
      </c>
    </row>
    <row r="1284">
      <c r="A1284" s="2" t="n"/>
      <c r="B1284">
        <f>LOWER(TRIM(A1284))</f>
        <v/>
      </c>
      <c r="C1284">
        <f>IF(B1284="","",IFERROR(INDEX('Bad Patterns'!$A$2:$A$120,MATCH(1,INDEX(--ISNUMBER(SEARCH('Bad Patterns'!$A$2:$A$120,B1284)),0),0)),""))</f>
        <v/>
      </c>
      <c r="D1284">
        <f>IF(B1284="","",IF(C1284&lt;&gt;"","REMOVE","KEEP"))</f>
        <v/>
      </c>
      <c r="E1284">
        <f>IF(D1284&lt;&gt;"KEEP","",IF(RIGHT(B1284,10)="@gmail.com","Gmail",IF(OR(RIGHT(B1284,12)="@outlook.com",RIGHT(B1284,12)="@hotmail.com",RIGHT(B1284,9)="@live.com"),"Outlook","Domain")))</f>
        <v/>
      </c>
      <c r="F1284">
        <f>IF(B1284="","",IFERROR(RIGHT(B1284,LEN(B1284)-FIND("@",B1284)),""))</f>
        <v/>
      </c>
      <c r="G1284">
        <f>IF(D1284="KEEP",COUNTIF($D$2:D1284,"KEEP"),"")</f>
        <v/>
      </c>
      <c r="H1284">
        <f>IF(D1284="REMOVE",COUNTIF($D$2:D1284,"REMOVE"),"")</f>
        <v/>
      </c>
      <c r="I1284">
        <f>IF(E1284="Gmail",COUNTIF($E$2:E1284,"Gmail"),"")</f>
        <v/>
      </c>
      <c r="J1284">
        <f>IF(E1284="Outlook",COUNTIF($E$2:E1284,"Outlook"),"")</f>
        <v/>
      </c>
      <c r="K1284">
        <f>IF(E1284="Domain",COUNTIF($E$2:E1284,"Domain"),"")</f>
        <v/>
      </c>
    </row>
    <row r="1285">
      <c r="A1285" s="2" t="n"/>
      <c r="B1285">
        <f>LOWER(TRIM(A1285))</f>
        <v/>
      </c>
      <c r="C1285">
        <f>IF(B1285="","",IFERROR(INDEX('Bad Patterns'!$A$2:$A$120,MATCH(1,INDEX(--ISNUMBER(SEARCH('Bad Patterns'!$A$2:$A$120,B1285)),0),0)),""))</f>
        <v/>
      </c>
      <c r="D1285">
        <f>IF(B1285="","",IF(C1285&lt;&gt;"","REMOVE","KEEP"))</f>
        <v/>
      </c>
      <c r="E1285">
        <f>IF(D1285&lt;&gt;"KEEP","",IF(RIGHT(B1285,10)="@gmail.com","Gmail",IF(OR(RIGHT(B1285,12)="@outlook.com",RIGHT(B1285,12)="@hotmail.com",RIGHT(B1285,9)="@live.com"),"Outlook","Domain")))</f>
        <v/>
      </c>
      <c r="F1285">
        <f>IF(B1285="","",IFERROR(RIGHT(B1285,LEN(B1285)-FIND("@",B1285)),""))</f>
        <v/>
      </c>
      <c r="G1285">
        <f>IF(D1285="KEEP",COUNTIF($D$2:D1285,"KEEP"),"")</f>
        <v/>
      </c>
      <c r="H1285">
        <f>IF(D1285="REMOVE",COUNTIF($D$2:D1285,"REMOVE"),"")</f>
        <v/>
      </c>
      <c r="I1285">
        <f>IF(E1285="Gmail",COUNTIF($E$2:E1285,"Gmail"),"")</f>
        <v/>
      </c>
      <c r="J1285">
        <f>IF(E1285="Outlook",COUNTIF($E$2:E1285,"Outlook"),"")</f>
        <v/>
      </c>
      <c r="K1285">
        <f>IF(E1285="Domain",COUNTIF($E$2:E1285,"Domain"),"")</f>
        <v/>
      </c>
    </row>
    <row r="1286">
      <c r="A1286" s="2" t="n"/>
      <c r="B1286">
        <f>LOWER(TRIM(A1286))</f>
        <v/>
      </c>
      <c r="C1286">
        <f>IF(B1286="","",IFERROR(INDEX('Bad Patterns'!$A$2:$A$120,MATCH(1,INDEX(--ISNUMBER(SEARCH('Bad Patterns'!$A$2:$A$120,B1286)),0),0)),""))</f>
        <v/>
      </c>
      <c r="D1286">
        <f>IF(B1286="","",IF(C1286&lt;&gt;"","REMOVE","KEEP"))</f>
        <v/>
      </c>
      <c r="E1286">
        <f>IF(D1286&lt;&gt;"KEEP","",IF(RIGHT(B1286,10)="@gmail.com","Gmail",IF(OR(RIGHT(B1286,12)="@outlook.com",RIGHT(B1286,12)="@hotmail.com",RIGHT(B1286,9)="@live.com"),"Outlook","Domain")))</f>
        <v/>
      </c>
      <c r="F1286">
        <f>IF(B1286="","",IFERROR(RIGHT(B1286,LEN(B1286)-FIND("@",B1286)),""))</f>
        <v/>
      </c>
      <c r="G1286">
        <f>IF(D1286="KEEP",COUNTIF($D$2:D1286,"KEEP"),"")</f>
        <v/>
      </c>
      <c r="H1286">
        <f>IF(D1286="REMOVE",COUNTIF($D$2:D1286,"REMOVE"),"")</f>
        <v/>
      </c>
      <c r="I1286">
        <f>IF(E1286="Gmail",COUNTIF($E$2:E1286,"Gmail"),"")</f>
        <v/>
      </c>
      <c r="J1286">
        <f>IF(E1286="Outlook",COUNTIF($E$2:E1286,"Outlook"),"")</f>
        <v/>
      </c>
      <c r="K1286">
        <f>IF(E1286="Domain",COUNTIF($E$2:E1286,"Domain"),"")</f>
        <v/>
      </c>
    </row>
    <row r="1287">
      <c r="A1287" s="2" t="n"/>
      <c r="B1287">
        <f>LOWER(TRIM(A1287))</f>
        <v/>
      </c>
      <c r="C1287">
        <f>IF(B1287="","",IFERROR(INDEX('Bad Patterns'!$A$2:$A$120,MATCH(1,INDEX(--ISNUMBER(SEARCH('Bad Patterns'!$A$2:$A$120,B1287)),0),0)),""))</f>
        <v/>
      </c>
      <c r="D1287">
        <f>IF(B1287="","",IF(C1287&lt;&gt;"","REMOVE","KEEP"))</f>
        <v/>
      </c>
      <c r="E1287">
        <f>IF(D1287&lt;&gt;"KEEP","",IF(RIGHT(B1287,10)="@gmail.com","Gmail",IF(OR(RIGHT(B1287,12)="@outlook.com",RIGHT(B1287,12)="@hotmail.com",RIGHT(B1287,9)="@live.com"),"Outlook","Domain")))</f>
        <v/>
      </c>
      <c r="F1287">
        <f>IF(B1287="","",IFERROR(RIGHT(B1287,LEN(B1287)-FIND("@",B1287)),""))</f>
        <v/>
      </c>
      <c r="G1287">
        <f>IF(D1287="KEEP",COUNTIF($D$2:D1287,"KEEP"),"")</f>
        <v/>
      </c>
      <c r="H1287">
        <f>IF(D1287="REMOVE",COUNTIF($D$2:D1287,"REMOVE"),"")</f>
        <v/>
      </c>
      <c r="I1287">
        <f>IF(E1287="Gmail",COUNTIF($E$2:E1287,"Gmail"),"")</f>
        <v/>
      </c>
      <c r="J1287">
        <f>IF(E1287="Outlook",COUNTIF($E$2:E1287,"Outlook"),"")</f>
        <v/>
      </c>
      <c r="K1287">
        <f>IF(E1287="Domain",COUNTIF($E$2:E1287,"Domain"),"")</f>
        <v/>
      </c>
    </row>
    <row r="1288">
      <c r="A1288" s="2" t="n"/>
      <c r="B1288">
        <f>LOWER(TRIM(A1288))</f>
        <v/>
      </c>
      <c r="C1288">
        <f>IF(B1288="","",IFERROR(INDEX('Bad Patterns'!$A$2:$A$120,MATCH(1,INDEX(--ISNUMBER(SEARCH('Bad Patterns'!$A$2:$A$120,B1288)),0),0)),""))</f>
        <v/>
      </c>
      <c r="D1288">
        <f>IF(B1288="","",IF(C1288&lt;&gt;"","REMOVE","KEEP"))</f>
        <v/>
      </c>
      <c r="E1288">
        <f>IF(D1288&lt;&gt;"KEEP","",IF(RIGHT(B1288,10)="@gmail.com","Gmail",IF(OR(RIGHT(B1288,12)="@outlook.com",RIGHT(B1288,12)="@hotmail.com",RIGHT(B1288,9)="@live.com"),"Outlook","Domain")))</f>
        <v/>
      </c>
      <c r="F1288">
        <f>IF(B1288="","",IFERROR(RIGHT(B1288,LEN(B1288)-FIND("@",B1288)),""))</f>
        <v/>
      </c>
      <c r="G1288">
        <f>IF(D1288="KEEP",COUNTIF($D$2:D1288,"KEEP"),"")</f>
        <v/>
      </c>
      <c r="H1288">
        <f>IF(D1288="REMOVE",COUNTIF($D$2:D1288,"REMOVE"),"")</f>
        <v/>
      </c>
      <c r="I1288">
        <f>IF(E1288="Gmail",COUNTIF($E$2:E1288,"Gmail"),"")</f>
        <v/>
      </c>
      <c r="J1288">
        <f>IF(E1288="Outlook",COUNTIF($E$2:E1288,"Outlook"),"")</f>
        <v/>
      </c>
      <c r="K1288">
        <f>IF(E1288="Domain",COUNTIF($E$2:E1288,"Domain"),"")</f>
        <v/>
      </c>
    </row>
    <row r="1289">
      <c r="A1289" s="2" t="n"/>
      <c r="B1289">
        <f>LOWER(TRIM(A1289))</f>
        <v/>
      </c>
      <c r="C1289">
        <f>IF(B1289="","",IFERROR(INDEX('Bad Patterns'!$A$2:$A$120,MATCH(1,INDEX(--ISNUMBER(SEARCH('Bad Patterns'!$A$2:$A$120,B1289)),0),0)),""))</f>
        <v/>
      </c>
      <c r="D1289">
        <f>IF(B1289="","",IF(C1289&lt;&gt;"","REMOVE","KEEP"))</f>
        <v/>
      </c>
      <c r="E1289">
        <f>IF(D1289&lt;&gt;"KEEP","",IF(RIGHT(B1289,10)="@gmail.com","Gmail",IF(OR(RIGHT(B1289,12)="@outlook.com",RIGHT(B1289,12)="@hotmail.com",RIGHT(B1289,9)="@live.com"),"Outlook","Domain")))</f>
        <v/>
      </c>
      <c r="F1289">
        <f>IF(B1289="","",IFERROR(RIGHT(B1289,LEN(B1289)-FIND("@",B1289)),""))</f>
        <v/>
      </c>
      <c r="G1289">
        <f>IF(D1289="KEEP",COUNTIF($D$2:D1289,"KEEP"),"")</f>
        <v/>
      </c>
      <c r="H1289">
        <f>IF(D1289="REMOVE",COUNTIF($D$2:D1289,"REMOVE"),"")</f>
        <v/>
      </c>
      <c r="I1289">
        <f>IF(E1289="Gmail",COUNTIF($E$2:E1289,"Gmail"),"")</f>
        <v/>
      </c>
      <c r="J1289">
        <f>IF(E1289="Outlook",COUNTIF($E$2:E1289,"Outlook"),"")</f>
        <v/>
      </c>
      <c r="K1289">
        <f>IF(E1289="Domain",COUNTIF($E$2:E1289,"Domain"),"")</f>
        <v/>
      </c>
    </row>
    <row r="1290">
      <c r="A1290" s="2" t="n"/>
      <c r="B1290">
        <f>LOWER(TRIM(A1290))</f>
        <v/>
      </c>
      <c r="C1290">
        <f>IF(B1290="","",IFERROR(INDEX('Bad Patterns'!$A$2:$A$120,MATCH(1,INDEX(--ISNUMBER(SEARCH('Bad Patterns'!$A$2:$A$120,B1290)),0),0)),""))</f>
        <v/>
      </c>
      <c r="D1290">
        <f>IF(B1290="","",IF(C1290&lt;&gt;"","REMOVE","KEEP"))</f>
        <v/>
      </c>
      <c r="E1290">
        <f>IF(D1290&lt;&gt;"KEEP","",IF(RIGHT(B1290,10)="@gmail.com","Gmail",IF(OR(RIGHT(B1290,12)="@outlook.com",RIGHT(B1290,12)="@hotmail.com",RIGHT(B1290,9)="@live.com"),"Outlook","Domain")))</f>
        <v/>
      </c>
      <c r="F1290">
        <f>IF(B1290="","",IFERROR(RIGHT(B1290,LEN(B1290)-FIND("@",B1290)),""))</f>
        <v/>
      </c>
      <c r="G1290">
        <f>IF(D1290="KEEP",COUNTIF($D$2:D1290,"KEEP"),"")</f>
        <v/>
      </c>
      <c r="H1290">
        <f>IF(D1290="REMOVE",COUNTIF($D$2:D1290,"REMOVE"),"")</f>
        <v/>
      </c>
      <c r="I1290">
        <f>IF(E1290="Gmail",COUNTIF($E$2:E1290,"Gmail"),"")</f>
        <v/>
      </c>
      <c r="J1290">
        <f>IF(E1290="Outlook",COUNTIF($E$2:E1290,"Outlook"),"")</f>
        <v/>
      </c>
      <c r="K1290">
        <f>IF(E1290="Domain",COUNTIF($E$2:E1290,"Domain"),"")</f>
        <v/>
      </c>
    </row>
    <row r="1291">
      <c r="A1291" s="2" t="n"/>
      <c r="B1291">
        <f>LOWER(TRIM(A1291))</f>
        <v/>
      </c>
      <c r="C1291">
        <f>IF(B1291="","",IFERROR(INDEX('Bad Patterns'!$A$2:$A$120,MATCH(1,INDEX(--ISNUMBER(SEARCH('Bad Patterns'!$A$2:$A$120,B1291)),0),0)),""))</f>
        <v/>
      </c>
      <c r="D1291">
        <f>IF(B1291="","",IF(C1291&lt;&gt;"","REMOVE","KEEP"))</f>
        <v/>
      </c>
      <c r="E1291">
        <f>IF(D1291&lt;&gt;"KEEP","",IF(RIGHT(B1291,10)="@gmail.com","Gmail",IF(OR(RIGHT(B1291,12)="@outlook.com",RIGHT(B1291,12)="@hotmail.com",RIGHT(B1291,9)="@live.com"),"Outlook","Domain")))</f>
        <v/>
      </c>
      <c r="F1291">
        <f>IF(B1291="","",IFERROR(RIGHT(B1291,LEN(B1291)-FIND("@",B1291)),""))</f>
        <v/>
      </c>
      <c r="G1291">
        <f>IF(D1291="KEEP",COUNTIF($D$2:D1291,"KEEP"),"")</f>
        <v/>
      </c>
      <c r="H1291">
        <f>IF(D1291="REMOVE",COUNTIF($D$2:D1291,"REMOVE"),"")</f>
        <v/>
      </c>
      <c r="I1291">
        <f>IF(E1291="Gmail",COUNTIF($E$2:E1291,"Gmail"),"")</f>
        <v/>
      </c>
      <c r="J1291">
        <f>IF(E1291="Outlook",COUNTIF($E$2:E1291,"Outlook"),"")</f>
        <v/>
      </c>
      <c r="K1291">
        <f>IF(E1291="Domain",COUNTIF($E$2:E1291,"Domain"),"")</f>
        <v/>
      </c>
    </row>
    <row r="1292">
      <c r="A1292" s="2" t="n"/>
      <c r="B1292">
        <f>LOWER(TRIM(A1292))</f>
        <v/>
      </c>
      <c r="C1292">
        <f>IF(B1292="","",IFERROR(INDEX('Bad Patterns'!$A$2:$A$120,MATCH(1,INDEX(--ISNUMBER(SEARCH('Bad Patterns'!$A$2:$A$120,B1292)),0),0)),""))</f>
        <v/>
      </c>
      <c r="D1292">
        <f>IF(B1292="","",IF(C1292&lt;&gt;"","REMOVE","KEEP"))</f>
        <v/>
      </c>
      <c r="E1292">
        <f>IF(D1292&lt;&gt;"KEEP","",IF(RIGHT(B1292,10)="@gmail.com","Gmail",IF(OR(RIGHT(B1292,12)="@outlook.com",RIGHT(B1292,12)="@hotmail.com",RIGHT(B1292,9)="@live.com"),"Outlook","Domain")))</f>
        <v/>
      </c>
      <c r="F1292">
        <f>IF(B1292="","",IFERROR(RIGHT(B1292,LEN(B1292)-FIND("@",B1292)),""))</f>
        <v/>
      </c>
      <c r="G1292">
        <f>IF(D1292="KEEP",COUNTIF($D$2:D1292,"KEEP"),"")</f>
        <v/>
      </c>
      <c r="H1292">
        <f>IF(D1292="REMOVE",COUNTIF($D$2:D1292,"REMOVE"),"")</f>
        <v/>
      </c>
      <c r="I1292">
        <f>IF(E1292="Gmail",COUNTIF($E$2:E1292,"Gmail"),"")</f>
        <v/>
      </c>
      <c r="J1292">
        <f>IF(E1292="Outlook",COUNTIF($E$2:E1292,"Outlook"),"")</f>
        <v/>
      </c>
      <c r="K1292">
        <f>IF(E1292="Domain",COUNTIF($E$2:E1292,"Domain"),"")</f>
        <v/>
      </c>
    </row>
    <row r="1293">
      <c r="A1293" s="2" t="n"/>
      <c r="B1293">
        <f>LOWER(TRIM(A1293))</f>
        <v/>
      </c>
      <c r="C1293">
        <f>IF(B1293="","",IFERROR(INDEX('Bad Patterns'!$A$2:$A$120,MATCH(1,INDEX(--ISNUMBER(SEARCH('Bad Patterns'!$A$2:$A$120,B1293)),0),0)),""))</f>
        <v/>
      </c>
      <c r="D1293">
        <f>IF(B1293="","",IF(C1293&lt;&gt;"","REMOVE","KEEP"))</f>
        <v/>
      </c>
      <c r="E1293">
        <f>IF(D1293&lt;&gt;"KEEP","",IF(RIGHT(B1293,10)="@gmail.com","Gmail",IF(OR(RIGHT(B1293,12)="@outlook.com",RIGHT(B1293,12)="@hotmail.com",RIGHT(B1293,9)="@live.com"),"Outlook","Domain")))</f>
        <v/>
      </c>
      <c r="F1293">
        <f>IF(B1293="","",IFERROR(RIGHT(B1293,LEN(B1293)-FIND("@",B1293)),""))</f>
        <v/>
      </c>
      <c r="G1293">
        <f>IF(D1293="KEEP",COUNTIF($D$2:D1293,"KEEP"),"")</f>
        <v/>
      </c>
      <c r="H1293">
        <f>IF(D1293="REMOVE",COUNTIF($D$2:D1293,"REMOVE"),"")</f>
        <v/>
      </c>
      <c r="I1293">
        <f>IF(E1293="Gmail",COUNTIF($E$2:E1293,"Gmail"),"")</f>
        <v/>
      </c>
      <c r="J1293">
        <f>IF(E1293="Outlook",COUNTIF($E$2:E1293,"Outlook"),"")</f>
        <v/>
      </c>
      <c r="K1293">
        <f>IF(E1293="Domain",COUNTIF($E$2:E1293,"Domain"),"")</f>
        <v/>
      </c>
    </row>
    <row r="1294">
      <c r="A1294" s="2" t="n"/>
      <c r="B1294">
        <f>LOWER(TRIM(A1294))</f>
        <v/>
      </c>
      <c r="C1294">
        <f>IF(B1294="","",IFERROR(INDEX('Bad Patterns'!$A$2:$A$120,MATCH(1,INDEX(--ISNUMBER(SEARCH('Bad Patterns'!$A$2:$A$120,B1294)),0),0)),""))</f>
        <v/>
      </c>
      <c r="D1294">
        <f>IF(B1294="","",IF(C1294&lt;&gt;"","REMOVE","KEEP"))</f>
        <v/>
      </c>
      <c r="E1294">
        <f>IF(D1294&lt;&gt;"KEEP","",IF(RIGHT(B1294,10)="@gmail.com","Gmail",IF(OR(RIGHT(B1294,12)="@outlook.com",RIGHT(B1294,12)="@hotmail.com",RIGHT(B1294,9)="@live.com"),"Outlook","Domain")))</f>
        <v/>
      </c>
      <c r="F1294">
        <f>IF(B1294="","",IFERROR(RIGHT(B1294,LEN(B1294)-FIND("@",B1294)),""))</f>
        <v/>
      </c>
      <c r="G1294">
        <f>IF(D1294="KEEP",COUNTIF($D$2:D1294,"KEEP"),"")</f>
        <v/>
      </c>
      <c r="H1294">
        <f>IF(D1294="REMOVE",COUNTIF($D$2:D1294,"REMOVE"),"")</f>
        <v/>
      </c>
      <c r="I1294">
        <f>IF(E1294="Gmail",COUNTIF($E$2:E1294,"Gmail"),"")</f>
        <v/>
      </c>
      <c r="J1294">
        <f>IF(E1294="Outlook",COUNTIF($E$2:E1294,"Outlook"),"")</f>
        <v/>
      </c>
      <c r="K1294">
        <f>IF(E1294="Domain",COUNTIF($E$2:E1294,"Domain"),"")</f>
        <v/>
      </c>
    </row>
    <row r="1295">
      <c r="A1295" s="2" t="n"/>
      <c r="B1295">
        <f>LOWER(TRIM(A1295))</f>
        <v/>
      </c>
      <c r="C1295">
        <f>IF(B1295="","",IFERROR(INDEX('Bad Patterns'!$A$2:$A$120,MATCH(1,INDEX(--ISNUMBER(SEARCH('Bad Patterns'!$A$2:$A$120,B1295)),0),0)),""))</f>
        <v/>
      </c>
      <c r="D1295">
        <f>IF(B1295="","",IF(C1295&lt;&gt;"","REMOVE","KEEP"))</f>
        <v/>
      </c>
      <c r="E1295">
        <f>IF(D1295&lt;&gt;"KEEP","",IF(RIGHT(B1295,10)="@gmail.com","Gmail",IF(OR(RIGHT(B1295,12)="@outlook.com",RIGHT(B1295,12)="@hotmail.com",RIGHT(B1295,9)="@live.com"),"Outlook","Domain")))</f>
        <v/>
      </c>
      <c r="F1295">
        <f>IF(B1295="","",IFERROR(RIGHT(B1295,LEN(B1295)-FIND("@",B1295)),""))</f>
        <v/>
      </c>
      <c r="G1295">
        <f>IF(D1295="KEEP",COUNTIF($D$2:D1295,"KEEP"),"")</f>
        <v/>
      </c>
      <c r="H1295">
        <f>IF(D1295="REMOVE",COUNTIF($D$2:D1295,"REMOVE"),"")</f>
        <v/>
      </c>
      <c r="I1295">
        <f>IF(E1295="Gmail",COUNTIF($E$2:E1295,"Gmail"),"")</f>
        <v/>
      </c>
      <c r="J1295">
        <f>IF(E1295="Outlook",COUNTIF($E$2:E1295,"Outlook"),"")</f>
        <v/>
      </c>
      <c r="K1295">
        <f>IF(E1295="Domain",COUNTIF($E$2:E1295,"Domain"),"")</f>
        <v/>
      </c>
    </row>
    <row r="1296">
      <c r="A1296" s="2" t="n"/>
      <c r="B1296">
        <f>LOWER(TRIM(A1296))</f>
        <v/>
      </c>
      <c r="C1296">
        <f>IF(B1296="","",IFERROR(INDEX('Bad Patterns'!$A$2:$A$120,MATCH(1,INDEX(--ISNUMBER(SEARCH('Bad Patterns'!$A$2:$A$120,B1296)),0),0)),""))</f>
        <v/>
      </c>
      <c r="D1296">
        <f>IF(B1296="","",IF(C1296&lt;&gt;"","REMOVE","KEEP"))</f>
        <v/>
      </c>
      <c r="E1296">
        <f>IF(D1296&lt;&gt;"KEEP","",IF(RIGHT(B1296,10)="@gmail.com","Gmail",IF(OR(RIGHT(B1296,12)="@outlook.com",RIGHT(B1296,12)="@hotmail.com",RIGHT(B1296,9)="@live.com"),"Outlook","Domain")))</f>
        <v/>
      </c>
      <c r="F1296">
        <f>IF(B1296="","",IFERROR(RIGHT(B1296,LEN(B1296)-FIND("@",B1296)),""))</f>
        <v/>
      </c>
      <c r="G1296">
        <f>IF(D1296="KEEP",COUNTIF($D$2:D1296,"KEEP"),"")</f>
        <v/>
      </c>
      <c r="H1296">
        <f>IF(D1296="REMOVE",COUNTIF($D$2:D1296,"REMOVE"),"")</f>
        <v/>
      </c>
      <c r="I1296">
        <f>IF(E1296="Gmail",COUNTIF($E$2:E1296,"Gmail"),"")</f>
        <v/>
      </c>
      <c r="J1296">
        <f>IF(E1296="Outlook",COUNTIF($E$2:E1296,"Outlook"),"")</f>
        <v/>
      </c>
      <c r="K1296">
        <f>IF(E1296="Domain",COUNTIF($E$2:E1296,"Domain"),"")</f>
        <v/>
      </c>
    </row>
    <row r="1297">
      <c r="A1297" s="2" t="n"/>
      <c r="B1297">
        <f>LOWER(TRIM(A1297))</f>
        <v/>
      </c>
      <c r="C1297">
        <f>IF(B1297="","",IFERROR(INDEX('Bad Patterns'!$A$2:$A$120,MATCH(1,INDEX(--ISNUMBER(SEARCH('Bad Patterns'!$A$2:$A$120,B1297)),0),0)),""))</f>
        <v/>
      </c>
      <c r="D1297">
        <f>IF(B1297="","",IF(C1297&lt;&gt;"","REMOVE","KEEP"))</f>
        <v/>
      </c>
      <c r="E1297">
        <f>IF(D1297&lt;&gt;"KEEP","",IF(RIGHT(B1297,10)="@gmail.com","Gmail",IF(OR(RIGHT(B1297,12)="@outlook.com",RIGHT(B1297,12)="@hotmail.com",RIGHT(B1297,9)="@live.com"),"Outlook","Domain")))</f>
        <v/>
      </c>
      <c r="F1297">
        <f>IF(B1297="","",IFERROR(RIGHT(B1297,LEN(B1297)-FIND("@",B1297)),""))</f>
        <v/>
      </c>
      <c r="G1297">
        <f>IF(D1297="KEEP",COUNTIF($D$2:D1297,"KEEP"),"")</f>
        <v/>
      </c>
      <c r="H1297">
        <f>IF(D1297="REMOVE",COUNTIF($D$2:D1297,"REMOVE"),"")</f>
        <v/>
      </c>
      <c r="I1297">
        <f>IF(E1297="Gmail",COUNTIF($E$2:E1297,"Gmail"),"")</f>
        <v/>
      </c>
      <c r="J1297">
        <f>IF(E1297="Outlook",COUNTIF($E$2:E1297,"Outlook"),"")</f>
        <v/>
      </c>
      <c r="K1297">
        <f>IF(E1297="Domain",COUNTIF($E$2:E1297,"Domain"),"")</f>
        <v/>
      </c>
    </row>
    <row r="1298">
      <c r="A1298" s="2" t="n"/>
      <c r="B1298">
        <f>LOWER(TRIM(A1298))</f>
        <v/>
      </c>
      <c r="C1298">
        <f>IF(B1298="","",IFERROR(INDEX('Bad Patterns'!$A$2:$A$120,MATCH(1,INDEX(--ISNUMBER(SEARCH('Bad Patterns'!$A$2:$A$120,B1298)),0),0)),""))</f>
        <v/>
      </c>
      <c r="D1298">
        <f>IF(B1298="","",IF(C1298&lt;&gt;"","REMOVE","KEEP"))</f>
        <v/>
      </c>
      <c r="E1298">
        <f>IF(D1298&lt;&gt;"KEEP","",IF(RIGHT(B1298,10)="@gmail.com","Gmail",IF(OR(RIGHT(B1298,12)="@outlook.com",RIGHT(B1298,12)="@hotmail.com",RIGHT(B1298,9)="@live.com"),"Outlook","Domain")))</f>
        <v/>
      </c>
      <c r="F1298">
        <f>IF(B1298="","",IFERROR(RIGHT(B1298,LEN(B1298)-FIND("@",B1298)),""))</f>
        <v/>
      </c>
      <c r="G1298">
        <f>IF(D1298="KEEP",COUNTIF($D$2:D1298,"KEEP"),"")</f>
        <v/>
      </c>
      <c r="H1298">
        <f>IF(D1298="REMOVE",COUNTIF($D$2:D1298,"REMOVE"),"")</f>
        <v/>
      </c>
      <c r="I1298">
        <f>IF(E1298="Gmail",COUNTIF($E$2:E1298,"Gmail"),"")</f>
        <v/>
      </c>
      <c r="J1298">
        <f>IF(E1298="Outlook",COUNTIF($E$2:E1298,"Outlook"),"")</f>
        <v/>
      </c>
      <c r="K1298">
        <f>IF(E1298="Domain",COUNTIF($E$2:E1298,"Domain"),"")</f>
        <v/>
      </c>
    </row>
    <row r="1299">
      <c r="A1299" s="2" t="n"/>
      <c r="B1299">
        <f>LOWER(TRIM(A1299))</f>
        <v/>
      </c>
      <c r="C1299">
        <f>IF(B1299="","",IFERROR(INDEX('Bad Patterns'!$A$2:$A$120,MATCH(1,INDEX(--ISNUMBER(SEARCH('Bad Patterns'!$A$2:$A$120,B1299)),0),0)),""))</f>
        <v/>
      </c>
      <c r="D1299">
        <f>IF(B1299="","",IF(C1299&lt;&gt;"","REMOVE","KEEP"))</f>
        <v/>
      </c>
      <c r="E1299">
        <f>IF(D1299&lt;&gt;"KEEP","",IF(RIGHT(B1299,10)="@gmail.com","Gmail",IF(OR(RIGHT(B1299,12)="@outlook.com",RIGHT(B1299,12)="@hotmail.com",RIGHT(B1299,9)="@live.com"),"Outlook","Domain")))</f>
        <v/>
      </c>
      <c r="F1299">
        <f>IF(B1299="","",IFERROR(RIGHT(B1299,LEN(B1299)-FIND("@",B1299)),""))</f>
        <v/>
      </c>
      <c r="G1299">
        <f>IF(D1299="KEEP",COUNTIF($D$2:D1299,"KEEP"),"")</f>
        <v/>
      </c>
      <c r="H1299">
        <f>IF(D1299="REMOVE",COUNTIF($D$2:D1299,"REMOVE"),"")</f>
        <v/>
      </c>
      <c r="I1299">
        <f>IF(E1299="Gmail",COUNTIF($E$2:E1299,"Gmail"),"")</f>
        <v/>
      </c>
      <c r="J1299">
        <f>IF(E1299="Outlook",COUNTIF($E$2:E1299,"Outlook"),"")</f>
        <v/>
      </c>
      <c r="K1299">
        <f>IF(E1299="Domain",COUNTIF($E$2:E1299,"Domain"),"")</f>
        <v/>
      </c>
    </row>
    <row r="1300">
      <c r="A1300" s="2" t="n"/>
      <c r="B1300">
        <f>LOWER(TRIM(A1300))</f>
        <v/>
      </c>
      <c r="C1300">
        <f>IF(B1300="","",IFERROR(INDEX('Bad Patterns'!$A$2:$A$120,MATCH(1,INDEX(--ISNUMBER(SEARCH('Bad Patterns'!$A$2:$A$120,B1300)),0),0)),""))</f>
        <v/>
      </c>
      <c r="D1300">
        <f>IF(B1300="","",IF(C1300&lt;&gt;"","REMOVE","KEEP"))</f>
        <v/>
      </c>
      <c r="E1300">
        <f>IF(D1300&lt;&gt;"KEEP","",IF(RIGHT(B1300,10)="@gmail.com","Gmail",IF(OR(RIGHT(B1300,12)="@outlook.com",RIGHT(B1300,12)="@hotmail.com",RIGHT(B1300,9)="@live.com"),"Outlook","Domain")))</f>
        <v/>
      </c>
      <c r="F1300">
        <f>IF(B1300="","",IFERROR(RIGHT(B1300,LEN(B1300)-FIND("@",B1300)),""))</f>
        <v/>
      </c>
      <c r="G1300">
        <f>IF(D1300="KEEP",COUNTIF($D$2:D1300,"KEEP"),"")</f>
        <v/>
      </c>
      <c r="H1300">
        <f>IF(D1300="REMOVE",COUNTIF($D$2:D1300,"REMOVE"),"")</f>
        <v/>
      </c>
      <c r="I1300">
        <f>IF(E1300="Gmail",COUNTIF($E$2:E1300,"Gmail"),"")</f>
        <v/>
      </c>
      <c r="J1300">
        <f>IF(E1300="Outlook",COUNTIF($E$2:E1300,"Outlook"),"")</f>
        <v/>
      </c>
      <c r="K1300">
        <f>IF(E1300="Domain",COUNTIF($E$2:E1300,"Domain"),"")</f>
        <v/>
      </c>
    </row>
    <row r="1301">
      <c r="A1301" s="2" t="n"/>
      <c r="B1301">
        <f>LOWER(TRIM(A1301))</f>
        <v/>
      </c>
      <c r="C1301">
        <f>IF(B1301="","",IFERROR(INDEX('Bad Patterns'!$A$2:$A$120,MATCH(1,INDEX(--ISNUMBER(SEARCH('Bad Patterns'!$A$2:$A$120,B1301)),0),0)),""))</f>
        <v/>
      </c>
      <c r="D1301">
        <f>IF(B1301="","",IF(C1301&lt;&gt;"","REMOVE","KEEP"))</f>
        <v/>
      </c>
      <c r="E1301">
        <f>IF(D1301&lt;&gt;"KEEP","",IF(RIGHT(B1301,10)="@gmail.com","Gmail",IF(OR(RIGHT(B1301,12)="@outlook.com",RIGHT(B1301,12)="@hotmail.com",RIGHT(B1301,9)="@live.com"),"Outlook","Domain")))</f>
        <v/>
      </c>
      <c r="F1301">
        <f>IF(B1301="","",IFERROR(RIGHT(B1301,LEN(B1301)-FIND("@",B1301)),""))</f>
        <v/>
      </c>
      <c r="G1301">
        <f>IF(D1301="KEEP",COUNTIF($D$2:D1301,"KEEP"),"")</f>
        <v/>
      </c>
      <c r="H1301">
        <f>IF(D1301="REMOVE",COUNTIF($D$2:D1301,"REMOVE"),"")</f>
        <v/>
      </c>
      <c r="I1301">
        <f>IF(E1301="Gmail",COUNTIF($E$2:E1301,"Gmail"),"")</f>
        <v/>
      </c>
      <c r="J1301">
        <f>IF(E1301="Outlook",COUNTIF($E$2:E1301,"Outlook"),"")</f>
        <v/>
      </c>
      <c r="K1301">
        <f>IF(E1301="Domain",COUNTIF($E$2:E1301,"Domain"),"")</f>
        <v/>
      </c>
    </row>
    <row r="1302">
      <c r="A1302" s="2" t="n"/>
      <c r="B1302">
        <f>LOWER(TRIM(A1302))</f>
        <v/>
      </c>
      <c r="C1302">
        <f>IF(B1302="","",IFERROR(INDEX('Bad Patterns'!$A$2:$A$120,MATCH(1,INDEX(--ISNUMBER(SEARCH('Bad Patterns'!$A$2:$A$120,B1302)),0),0)),""))</f>
        <v/>
      </c>
      <c r="D1302">
        <f>IF(B1302="","",IF(C1302&lt;&gt;"","REMOVE","KEEP"))</f>
        <v/>
      </c>
      <c r="E1302">
        <f>IF(D1302&lt;&gt;"KEEP","",IF(RIGHT(B1302,10)="@gmail.com","Gmail",IF(OR(RIGHT(B1302,12)="@outlook.com",RIGHT(B1302,12)="@hotmail.com",RIGHT(B1302,9)="@live.com"),"Outlook","Domain")))</f>
        <v/>
      </c>
      <c r="F1302">
        <f>IF(B1302="","",IFERROR(RIGHT(B1302,LEN(B1302)-FIND("@",B1302)),""))</f>
        <v/>
      </c>
      <c r="G1302">
        <f>IF(D1302="KEEP",COUNTIF($D$2:D1302,"KEEP"),"")</f>
        <v/>
      </c>
      <c r="H1302">
        <f>IF(D1302="REMOVE",COUNTIF($D$2:D1302,"REMOVE"),"")</f>
        <v/>
      </c>
      <c r="I1302">
        <f>IF(E1302="Gmail",COUNTIF($E$2:E1302,"Gmail"),"")</f>
        <v/>
      </c>
      <c r="J1302">
        <f>IF(E1302="Outlook",COUNTIF($E$2:E1302,"Outlook"),"")</f>
        <v/>
      </c>
      <c r="K1302">
        <f>IF(E1302="Domain",COUNTIF($E$2:E1302,"Domain"),"")</f>
        <v/>
      </c>
    </row>
    <row r="1303">
      <c r="A1303" s="2" t="n"/>
      <c r="B1303">
        <f>LOWER(TRIM(A1303))</f>
        <v/>
      </c>
      <c r="C1303">
        <f>IF(B1303="","",IFERROR(INDEX('Bad Patterns'!$A$2:$A$120,MATCH(1,INDEX(--ISNUMBER(SEARCH('Bad Patterns'!$A$2:$A$120,B1303)),0),0)),""))</f>
        <v/>
      </c>
      <c r="D1303">
        <f>IF(B1303="","",IF(C1303&lt;&gt;"","REMOVE","KEEP"))</f>
        <v/>
      </c>
      <c r="E1303">
        <f>IF(D1303&lt;&gt;"KEEP","",IF(RIGHT(B1303,10)="@gmail.com","Gmail",IF(OR(RIGHT(B1303,12)="@outlook.com",RIGHT(B1303,12)="@hotmail.com",RIGHT(B1303,9)="@live.com"),"Outlook","Domain")))</f>
        <v/>
      </c>
      <c r="F1303">
        <f>IF(B1303="","",IFERROR(RIGHT(B1303,LEN(B1303)-FIND("@",B1303)),""))</f>
        <v/>
      </c>
      <c r="G1303">
        <f>IF(D1303="KEEP",COUNTIF($D$2:D1303,"KEEP"),"")</f>
        <v/>
      </c>
      <c r="H1303">
        <f>IF(D1303="REMOVE",COUNTIF($D$2:D1303,"REMOVE"),"")</f>
        <v/>
      </c>
      <c r="I1303">
        <f>IF(E1303="Gmail",COUNTIF($E$2:E1303,"Gmail"),"")</f>
        <v/>
      </c>
      <c r="J1303">
        <f>IF(E1303="Outlook",COUNTIF($E$2:E1303,"Outlook"),"")</f>
        <v/>
      </c>
      <c r="K1303">
        <f>IF(E1303="Domain",COUNTIF($E$2:E1303,"Domain"),"")</f>
        <v/>
      </c>
    </row>
    <row r="1304">
      <c r="A1304" s="2" t="n"/>
      <c r="B1304">
        <f>LOWER(TRIM(A1304))</f>
        <v/>
      </c>
      <c r="C1304">
        <f>IF(B1304="","",IFERROR(INDEX('Bad Patterns'!$A$2:$A$120,MATCH(1,INDEX(--ISNUMBER(SEARCH('Bad Patterns'!$A$2:$A$120,B1304)),0),0)),""))</f>
        <v/>
      </c>
      <c r="D1304">
        <f>IF(B1304="","",IF(C1304&lt;&gt;"","REMOVE","KEEP"))</f>
        <v/>
      </c>
      <c r="E1304">
        <f>IF(D1304&lt;&gt;"KEEP","",IF(RIGHT(B1304,10)="@gmail.com","Gmail",IF(OR(RIGHT(B1304,12)="@outlook.com",RIGHT(B1304,12)="@hotmail.com",RIGHT(B1304,9)="@live.com"),"Outlook","Domain")))</f>
        <v/>
      </c>
      <c r="F1304">
        <f>IF(B1304="","",IFERROR(RIGHT(B1304,LEN(B1304)-FIND("@",B1304)),""))</f>
        <v/>
      </c>
      <c r="G1304">
        <f>IF(D1304="KEEP",COUNTIF($D$2:D1304,"KEEP"),"")</f>
        <v/>
      </c>
      <c r="H1304">
        <f>IF(D1304="REMOVE",COUNTIF($D$2:D1304,"REMOVE"),"")</f>
        <v/>
      </c>
      <c r="I1304">
        <f>IF(E1304="Gmail",COUNTIF($E$2:E1304,"Gmail"),"")</f>
        <v/>
      </c>
      <c r="J1304">
        <f>IF(E1304="Outlook",COUNTIF($E$2:E1304,"Outlook"),"")</f>
        <v/>
      </c>
      <c r="K1304">
        <f>IF(E1304="Domain",COUNTIF($E$2:E1304,"Domain"),"")</f>
        <v/>
      </c>
    </row>
    <row r="1305">
      <c r="A1305" s="2" t="n"/>
      <c r="B1305">
        <f>LOWER(TRIM(A1305))</f>
        <v/>
      </c>
      <c r="C1305">
        <f>IF(B1305="","",IFERROR(INDEX('Bad Patterns'!$A$2:$A$120,MATCH(1,INDEX(--ISNUMBER(SEARCH('Bad Patterns'!$A$2:$A$120,B1305)),0),0)),""))</f>
        <v/>
      </c>
      <c r="D1305">
        <f>IF(B1305="","",IF(C1305&lt;&gt;"","REMOVE","KEEP"))</f>
        <v/>
      </c>
      <c r="E1305">
        <f>IF(D1305&lt;&gt;"KEEP","",IF(RIGHT(B1305,10)="@gmail.com","Gmail",IF(OR(RIGHT(B1305,12)="@outlook.com",RIGHT(B1305,12)="@hotmail.com",RIGHT(B1305,9)="@live.com"),"Outlook","Domain")))</f>
        <v/>
      </c>
      <c r="F1305">
        <f>IF(B1305="","",IFERROR(RIGHT(B1305,LEN(B1305)-FIND("@",B1305)),""))</f>
        <v/>
      </c>
      <c r="G1305">
        <f>IF(D1305="KEEP",COUNTIF($D$2:D1305,"KEEP"),"")</f>
        <v/>
      </c>
      <c r="H1305">
        <f>IF(D1305="REMOVE",COUNTIF($D$2:D1305,"REMOVE"),"")</f>
        <v/>
      </c>
      <c r="I1305">
        <f>IF(E1305="Gmail",COUNTIF($E$2:E1305,"Gmail"),"")</f>
        <v/>
      </c>
      <c r="J1305">
        <f>IF(E1305="Outlook",COUNTIF($E$2:E1305,"Outlook"),"")</f>
        <v/>
      </c>
      <c r="K1305">
        <f>IF(E1305="Domain",COUNTIF($E$2:E1305,"Domain"),"")</f>
        <v/>
      </c>
    </row>
    <row r="1306">
      <c r="A1306" s="2" t="n"/>
      <c r="B1306">
        <f>LOWER(TRIM(A1306))</f>
        <v/>
      </c>
      <c r="C1306">
        <f>IF(B1306="","",IFERROR(INDEX('Bad Patterns'!$A$2:$A$120,MATCH(1,INDEX(--ISNUMBER(SEARCH('Bad Patterns'!$A$2:$A$120,B1306)),0),0)),""))</f>
        <v/>
      </c>
      <c r="D1306">
        <f>IF(B1306="","",IF(C1306&lt;&gt;"","REMOVE","KEEP"))</f>
        <v/>
      </c>
      <c r="E1306">
        <f>IF(D1306&lt;&gt;"KEEP","",IF(RIGHT(B1306,10)="@gmail.com","Gmail",IF(OR(RIGHT(B1306,12)="@outlook.com",RIGHT(B1306,12)="@hotmail.com",RIGHT(B1306,9)="@live.com"),"Outlook","Domain")))</f>
        <v/>
      </c>
      <c r="F1306">
        <f>IF(B1306="","",IFERROR(RIGHT(B1306,LEN(B1306)-FIND("@",B1306)),""))</f>
        <v/>
      </c>
      <c r="G1306">
        <f>IF(D1306="KEEP",COUNTIF($D$2:D1306,"KEEP"),"")</f>
        <v/>
      </c>
      <c r="H1306">
        <f>IF(D1306="REMOVE",COUNTIF($D$2:D1306,"REMOVE"),"")</f>
        <v/>
      </c>
      <c r="I1306">
        <f>IF(E1306="Gmail",COUNTIF($E$2:E1306,"Gmail"),"")</f>
        <v/>
      </c>
      <c r="J1306">
        <f>IF(E1306="Outlook",COUNTIF($E$2:E1306,"Outlook"),"")</f>
        <v/>
      </c>
      <c r="K1306">
        <f>IF(E1306="Domain",COUNTIF($E$2:E1306,"Domain"),"")</f>
        <v/>
      </c>
    </row>
    <row r="1307">
      <c r="A1307" s="2" t="n"/>
      <c r="B1307">
        <f>LOWER(TRIM(A1307))</f>
        <v/>
      </c>
      <c r="C1307">
        <f>IF(B1307="","",IFERROR(INDEX('Bad Patterns'!$A$2:$A$120,MATCH(1,INDEX(--ISNUMBER(SEARCH('Bad Patterns'!$A$2:$A$120,B1307)),0),0)),""))</f>
        <v/>
      </c>
      <c r="D1307">
        <f>IF(B1307="","",IF(C1307&lt;&gt;"","REMOVE","KEEP"))</f>
        <v/>
      </c>
      <c r="E1307">
        <f>IF(D1307&lt;&gt;"KEEP","",IF(RIGHT(B1307,10)="@gmail.com","Gmail",IF(OR(RIGHT(B1307,12)="@outlook.com",RIGHT(B1307,12)="@hotmail.com",RIGHT(B1307,9)="@live.com"),"Outlook","Domain")))</f>
        <v/>
      </c>
      <c r="F1307">
        <f>IF(B1307="","",IFERROR(RIGHT(B1307,LEN(B1307)-FIND("@",B1307)),""))</f>
        <v/>
      </c>
      <c r="G1307">
        <f>IF(D1307="KEEP",COUNTIF($D$2:D1307,"KEEP"),"")</f>
        <v/>
      </c>
      <c r="H1307">
        <f>IF(D1307="REMOVE",COUNTIF($D$2:D1307,"REMOVE"),"")</f>
        <v/>
      </c>
      <c r="I1307">
        <f>IF(E1307="Gmail",COUNTIF($E$2:E1307,"Gmail"),"")</f>
        <v/>
      </c>
      <c r="J1307">
        <f>IF(E1307="Outlook",COUNTIF($E$2:E1307,"Outlook"),"")</f>
        <v/>
      </c>
      <c r="K1307">
        <f>IF(E1307="Domain",COUNTIF($E$2:E1307,"Domain"),"")</f>
        <v/>
      </c>
    </row>
    <row r="1308">
      <c r="A1308" s="2" t="n"/>
      <c r="B1308">
        <f>LOWER(TRIM(A1308))</f>
        <v/>
      </c>
      <c r="C1308">
        <f>IF(B1308="","",IFERROR(INDEX('Bad Patterns'!$A$2:$A$120,MATCH(1,INDEX(--ISNUMBER(SEARCH('Bad Patterns'!$A$2:$A$120,B1308)),0),0)),""))</f>
        <v/>
      </c>
      <c r="D1308">
        <f>IF(B1308="","",IF(C1308&lt;&gt;"","REMOVE","KEEP"))</f>
        <v/>
      </c>
      <c r="E1308">
        <f>IF(D1308&lt;&gt;"KEEP","",IF(RIGHT(B1308,10)="@gmail.com","Gmail",IF(OR(RIGHT(B1308,12)="@outlook.com",RIGHT(B1308,12)="@hotmail.com",RIGHT(B1308,9)="@live.com"),"Outlook","Domain")))</f>
        <v/>
      </c>
      <c r="F1308">
        <f>IF(B1308="","",IFERROR(RIGHT(B1308,LEN(B1308)-FIND("@",B1308)),""))</f>
        <v/>
      </c>
      <c r="G1308">
        <f>IF(D1308="KEEP",COUNTIF($D$2:D1308,"KEEP"),"")</f>
        <v/>
      </c>
      <c r="H1308">
        <f>IF(D1308="REMOVE",COUNTIF($D$2:D1308,"REMOVE"),"")</f>
        <v/>
      </c>
      <c r="I1308">
        <f>IF(E1308="Gmail",COUNTIF($E$2:E1308,"Gmail"),"")</f>
        <v/>
      </c>
      <c r="J1308">
        <f>IF(E1308="Outlook",COUNTIF($E$2:E1308,"Outlook"),"")</f>
        <v/>
      </c>
      <c r="K1308">
        <f>IF(E1308="Domain",COUNTIF($E$2:E1308,"Domain"),"")</f>
        <v/>
      </c>
    </row>
    <row r="1309">
      <c r="A1309" s="2" t="n"/>
      <c r="B1309">
        <f>LOWER(TRIM(A1309))</f>
        <v/>
      </c>
      <c r="C1309">
        <f>IF(B1309="","",IFERROR(INDEX('Bad Patterns'!$A$2:$A$120,MATCH(1,INDEX(--ISNUMBER(SEARCH('Bad Patterns'!$A$2:$A$120,B1309)),0),0)),""))</f>
        <v/>
      </c>
      <c r="D1309">
        <f>IF(B1309="","",IF(C1309&lt;&gt;"","REMOVE","KEEP"))</f>
        <v/>
      </c>
      <c r="E1309">
        <f>IF(D1309&lt;&gt;"KEEP","",IF(RIGHT(B1309,10)="@gmail.com","Gmail",IF(OR(RIGHT(B1309,12)="@outlook.com",RIGHT(B1309,12)="@hotmail.com",RIGHT(B1309,9)="@live.com"),"Outlook","Domain")))</f>
        <v/>
      </c>
      <c r="F1309">
        <f>IF(B1309="","",IFERROR(RIGHT(B1309,LEN(B1309)-FIND("@",B1309)),""))</f>
        <v/>
      </c>
      <c r="G1309">
        <f>IF(D1309="KEEP",COUNTIF($D$2:D1309,"KEEP"),"")</f>
        <v/>
      </c>
      <c r="H1309">
        <f>IF(D1309="REMOVE",COUNTIF($D$2:D1309,"REMOVE"),"")</f>
        <v/>
      </c>
      <c r="I1309">
        <f>IF(E1309="Gmail",COUNTIF($E$2:E1309,"Gmail"),"")</f>
        <v/>
      </c>
      <c r="J1309">
        <f>IF(E1309="Outlook",COUNTIF($E$2:E1309,"Outlook"),"")</f>
        <v/>
      </c>
      <c r="K1309">
        <f>IF(E1309="Domain",COUNTIF($E$2:E1309,"Domain"),"")</f>
        <v/>
      </c>
    </row>
    <row r="1310">
      <c r="A1310" s="2" t="n"/>
      <c r="B1310">
        <f>LOWER(TRIM(A1310))</f>
        <v/>
      </c>
      <c r="C1310">
        <f>IF(B1310="","",IFERROR(INDEX('Bad Patterns'!$A$2:$A$120,MATCH(1,INDEX(--ISNUMBER(SEARCH('Bad Patterns'!$A$2:$A$120,B1310)),0),0)),""))</f>
        <v/>
      </c>
      <c r="D1310">
        <f>IF(B1310="","",IF(C1310&lt;&gt;"","REMOVE","KEEP"))</f>
        <v/>
      </c>
      <c r="E1310">
        <f>IF(D1310&lt;&gt;"KEEP","",IF(RIGHT(B1310,10)="@gmail.com","Gmail",IF(OR(RIGHT(B1310,12)="@outlook.com",RIGHT(B1310,12)="@hotmail.com",RIGHT(B1310,9)="@live.com"),"Outlook","Domain")))</f>
        <v/>
      </c>
      <c r="F1310">
        <f>IF(B1310="","",IFERROR(RIGHT(B1310,LEN(B1310)-FIND("@",B1310)),""))</f>
        <v/>
      </c>
      <c r="G1310">
        <f>IF(D1310="KEEP",COUNTIF($D$2:D1310,"KEEP"),"")</f>
        <v/>
      </c>
      <c r="H1310">
        <f>IF(D1310="REMOVE",COUNTIF($D$2:D1310,"REMOVE"),"")</f>
        <v/>
      </c>
      <c r="I1310">
        <f>IF(E1310="Gmail",COUNTIF($E$2:E1310,"Gmail"),"")</f>
        <v/>
      </c>
      <c r="J1310">
        <f>IF(E1310="Outlook",COUNTIF($E$2:E1310,"Outlook"),"")</f>
        <v/>
      </c>
      <c r="K1310">
        <f>IF(E1310="Domain",COUNTIF($E$2:E1310,"Domain"),"")</f>
        <v/>
      </c>
    </row>
    <row r="1311">
      <c r="A1311" s="2" t="n"/>
      <c r="B1311">
        <f>LOWER(TRIM(A1311))</f>
        <v/>
      </c>
      <c r="C1311">
        <f>IF(B1311="","",IFERROR(INDEX('Bad Patterns'!$A$2:$A$120,MATCH(1,INDEX(--ISNUMBER(SEARCH('Bad Patterns'!$A$2:$A$120,B1311)),0),0)),""))</f>
        <v/>
      </c>
      <c r="D1311">
        <f>IF(B1311="","",IF(C1311&lt;&gt;"","REMOVE","KEEP"))</f>
        <v/>
      </c>
      <c r="E1311">
        <f>IF(D1311&lt;&gt;"KEEP","",IF(RIGHT(B1311,10)="@gmail.com","Gmail",IF(OR(RIGHT(B1311,12)="@outlook.com",RIGHT(B1311,12)="@hotmail.com",RIGHT(B1311,9)="@live.com"),"Outlook","Domain")))</f>
        <v/>
      </c>
      <c r="F1311">
        <f>IF(B1311="","",IFERROR(RIGHT(B1311,LEN(B1311)-FIND("@",B1311)),""))</f>
        <v/>
      </c>
      <c r="G1311">
        <f>IF(D1311="KEEP",COUNTIF($D$2:D1311,"KEEP"),"")</f>
        <v/>
      </c>
      <c r="H1311">
        <f>IF(D1311="REMOVE",COUNTIF($D$2:D1311,"REMOVE"),"")</f>
        <v/>
      </c>
      <c r="I1311">
        <f>IF(E1311="Gmail",COUNTIF($E$2:E1311,"Gmail"),"")</f>
        <v/>
      </c>
      <c r="J1311">
        <f>IF(E1311="Outlook",COUNTIF($E$2:E1311,"Outlook"),"")</f>
        <v/>
      </c>
      <c r="K1311">
        <f>IF(E1311="Domain",COUNTIF($E$2:E1311,"Domain"),"")</f>
        <v/>
      </c>
    </row>
    <row r="1312">
      <c r="A1312" s="2" t="n"/>
      <c r="B1312">
        <f>LOWER(TRIM(A1312))</f>
        <v/>
      </c>
      <c r="C1312">
        <f>IF(B1312="","",IFERROR(INDEX('Bad Patterns'!$A$2:$A$120,MATCH(1,INDEX(--ISNUMBER(SEARCH('Bad Patterns'!$A$2:$A$120,B1312)),0),0)),""))</f>
        <v/>
      </c>
      <c r="D1312">
        <f>IF(B1312="","",IF(C1312&lt;&gt;"","REMOVE","KEEP"))</f>
        <v/>
      </c>
      <c r="E1312">
        <f>IF(D1312&lt;&gt;"KEEP","",IF(RIGHT(B1312,10)="@gmail.com","Gmail",IF(OR(RIGHT(B1312,12)="@outlook.com",RIGHT(B1312,12)="@hotmail.com",RIGHT(B1312,9)="@live.com"),"Outlook","Domain")))</f>
        <v/>
      </c>
      <c r="F1312">
        <f>IF(B1312="","",IFERROR(RIGHT(B1312,LEN(B1312)-FIND("@",B1312)),""))</f>
        <v/>
      </c>
      <c r="G1312">
        <f>IF(D1312="KEEP",COUNTIF($D$2:D1312,"KEEP"),"")</f>
        <v/>
      </c>
      <c r="H1312">
        <f>IF(D1312="REMOVE",COUNTIF($D$2:D1312,"REMOVE"),"")</f>
        <v/>
      </c>
      <c r="I1312">
        <f>IF(E1312="Gmail",COUNTIF($E$2:E1312,"Gmail"),"")</f>
        <v/>
      </c>
      <c r="J1312">
        <f>IF(E1312="Outlook",COUNTIF($E$2:E1312,"Outlook"),"")</f>
        <v/>
      </c>
      <c r="K1312">
        <f>IF(E1312="Domain",COUNTIF($E$2:E1312,"Domain"),"")</f>
        <v/>
      </c>
    </row>
    <row r="1313">
      <c r="A1313" s="2" t="n"/>
      <c r="B1313">
        <f>LOWER(TRIM(A1313))</f>
        <v/>
      </c>
      <c r="C1313">
        <f>IF(B1313="","",IFERROR(INDEX('Bad Patterns'!$A$2:$A$120,MATCH(1,INDEX(--ISNUMBER(SEARCH('Bad Patterns'!$A$2:$A$120,B1313)),0),0)),""))</f>
        <v/>
      </c>
      <c r="D1313">
        <f>IF(B1313="","",IF(C1313&lt;&gt;"","REMOVE","KEEP"))</f>
        <v/>
      </c>
      <c r="E1313">
        <f>IF(D1313&lt;&gt;"KEEP","",IF(RIGHT(B1313,10)="@gmail.com","Gmail",IF(OR(RIGHT(B1313,12)="@outlook.com",RIGHT(B1313,12)="@hotmail.com",RIGHT(B1313,9)="@live.com"),"Outlook","Domain")))</f>
        <v/>
      </c>
      <c r="F1313">
        <f>IF(B1313="","",IFERROR(RIGHT(B1313,LEN(B1313)-FIND("@",B1313)),""))</f>
        <v/>
      </c>
      <c r="G1313">
        <f>IF(D1313="KEEP",COUNTIF($D$2:D1313,"KEEP"),"")</f>
        <v/>
      </c>
      <c r="H1313">
        <f>IF(D1313="REMOVE",COUNTIF($D$2:D1313,"REMOVE"),"")</f>
        <v/>
      </c>
      <c r="I1313">
        <f>IF(E1313="Gmail",COUNTIF($E$2:E1313,"Gmail"),"")</f>
        <v/>
      </c>
      <c r="J1313">
        <f>IF(E1313="Outlook",COUNTIF($E$2:E1313,"Outlook"),"")</f>
        <v/>
      </c>
      <c r="K1313">
        <f>IF(E1313="Domain",COUNTIF($E$2:E1313,"Domain"),"")</f>
        <v/>
      </c>
    </row>
    <row r="1314">
      <c r="A1314" s="2" t="n"/>
      <c r="B1314">
        <f>LOWER(TRIM(A1314))</f>
        <v/>
      </c>
      <c r="C1314">
        <f>IF(B1314="","",IFERROR(INDEX('Bad Patterns'!$A$2:$A$120,MATCH(1,INDEX(--ISNUMBER(SEARCH('Bad Patterns'!$A$2:$A$120,B1314)),0),0)),""))</f>
        <v/>
      </c>
      <c r="D1314">
        <f>IF(B1314="","",IF(C1314&lt;&gt;"","REMOVE","KEEP"))</f>
        <v/>
      </c>
      <c r="E1314">
        <f>IF(D1314&lt;&gt;"KEEP","",IF(RIGHT(B1314,10)="@gmail.com","Gmail",IF(OR(RIGHT(B1314,12)="@outlook.com",RIGHT(B1314,12)="@hotmail.com",RIGHT(B1314,9)="@live.com"),"Outlook","Domain")))</f>
        <v/>
      </c>
      <c r="F1314">
        <f>IF(B1314="","",IFERROR(RIGHT(B1314,LEN(B1314)-FIND("@",B1314)),""))</f>
        <v/>
      </c>
      <c r="G1314">
        <f>IF(D1314="KEEP",COUNTIF($D$2:D1314,"KEEP"),"")</f>
        <v/>
      </c>
      <c r="H1314">
        <f>IF(D1314="REMOVE",COUNTIF($D$2:D1314,"REMOVE"),"")</f>
        <v/>
      </c>
      <c r="I1314">
        <f>IF(E1314="Gmail",COUNTIF($E$2:E1314,"Gmail"),"")</f>
        <v/>
      </c>
      <c r="J1314">
        <f>IF(E1314="Outlook",COUNTIF($E$2:E1314,"Outlook"),"")</f>
        <v/>
      </c>
      <c r="K1314">
        <f>IF(E1314="Domain",COUNTIF($E$2:E1314,"Domain"),"")</f>
        <v/>
      </c>
    </row>
    <row r="1315">
      <c r="A1315" s="2" t="n"/>
      <c r="B1315">
        <f>LOWER(TRIM(A1315))</f>
        <v/>
      </c>
      <c r="C1315">
        <f>IF(B1315="","",IFERROR(INDEX('Bad Patterns'!$A$2:$A$120,MATCH(1,INDEX(--ISNUMBER(SEARCH('Bad Patterns'!$A$2:$A$120,B1315)),0),0)),""))</f>
        <v/>
      </c>
      <c r="D1315">
        <f>IF(B1315="","",IF(C1315&lt;&gt;"","REMOVE","KEEP"))</f>
        <v/>
      </c>
      <c r="E1315">
        <f>IF(D1315&lt;&gt;"KEEP","",IF(RIGHT(B1315,10)="@gmail.com","Gmail",IF(OR(RIGHT(B1315,12)="@outlook.com",RIGHT(B1315,12)="@hotmail.com",RIGHT(B1315,9)="@live.com"),"Outlook","Domain")))</f>
        <v/>
      </c>
      <c r="F1315">
        <f>IF(B1315="","",IFERROR(RIGHT(B1315,LEN(B1315)-FIND("@",B1315)),""))</f>
        <v/>
      </c>
      <c r="G1315">
        <f>IF(D1315="KEEP",COUNTIF($D$2:D1315,"KEEP"),"")</f>
        <v/>
      </c>
      <c r="H1315">
        <f>IF(D1315="REMOVE",COUNTIF($D$2:D1315,"REMOVE"),"")</f>
        <v/>
      </c>
      <c r="I1315">
        <f>IF(E1315="Gmail",COUNTIF($E$2:E1315,"Gmail"),"")</f>
        <v/>
      </c>
      <c r="J1315">
        <f>IF(E1315="Outlook",COUNTIF($E$2:E1315,"Outlook"),"")</f>
        <v/>
      </c>
      <c r="K1315">
        <f>IF(E1315="Domain",COUNTIF($E$2:E1315,"Domain"),"")</f>
        <v/>
      </c>
    </row>
    <row r="1316">
      <c r="A1316" s="2" t="n"/>
      <c r="B1316">
        <f>LOWER(TRIM(A1316))</f>
        <v/>
      </c>
      <c r="C1316">
        <f>IF(B1316="","",IFERROR(INDEX('Bad Patterns'!$A$2:$A$120,MATCH(1,INDEX(--ISNUMBER(SEARCH('Bad Patterns'!$A$2:$A$120,B1316)),0),0)),""))</f>
        <v/>
      </c>
      <c r="D1316">
        <f>IF(B1316="","",IF(C1316&lt;&gt;"","REMOVE","KEEP"))</f>
        <v/>
      </c>
      <c r="E1316">
        <f>IF(D1316&lt;&gt;"KEEP","",IF(RIGHT(B1316,10)="@gmail.com","Gmail",IF(OR(RIGHT(B1316,12)="@outlook.com",RIGHT(B1316,12)="@hotmail.com",RIGHT(B1316,9)="@live.com"),"Outlook","Domain")))</f>
        <v/>
      </c>
      <c r="F1316">
        <f>IF(B1316="","",IFERROR(RIGHT(B1316,LEN(B1316)-FIND("@",B1316)),""))</f>
        <v/>
      </c>
      <c r="G1316">
        <f>IF(D1316="KEEP",COUNTIF($D$2:D1316,"KEEP"),"")</f>
        <v/>
      </c>
      <c r="H1316">
        <f>IF(D1316="REMOVE",COUNTIF($D$2:D1316,"REMOVE"),"")</f>
        <v/>
      </c>
      <c r="I1316">
        <f>IF(E1316="Gmail",COUNTIF($E$2:E1316,"Gmail"),"")</f>
        <v/>
      </c>
      <c r="J1316">
        <f>IF(E1316="Outlook",COUNTIF($E$2:E1316,"Outlook"),"")</f>
        <v/>
      </c>
      <c r="K1316">
        <f>IF(E1316="Domain",COUNTIF($E$2:E1316,"Domain"),"")</f>
        <v/>
      </c>
    </row>
    <row r="1317">
      <c r="A1317" s="2" t="n"/>
      <c r="B1317">
        <f>LOWER(TRIM(A1317))</f>
        <v/>
      </c>
      <c r="C1317">
        <f>IF(B1317="","",IFERROR(INDEX('Bad Patterns'!$A$2:$A$120,MATCH(1,INDEX(--ISNUMBER(SEARCH('Bad Patterns'!$A$2:$A$120,B1317)),0),0)),""))</f>
        <v/>
      </c>
      <c r="D1317">
        <f>IF(B1317="","",IF(C1317&lt;&gt;"","REMOVE","KEEP"))</f>
        <v/>
      </c>
      <c r="E1317">
        <f>IF(D1317&lt;&gt;"KEEP","",IF(RIGHT(B1317,10)="@gmail.com","Gmail",IF(OR(RIGHT(B1317,12)="@outlook.com",RIGHT(B1317,12)="@hotmail.com",RIGHT(B1317,9)="@live.com"),"Outlook","Domain")))</f>
        <v/>
      </c>
      <c r="F1317">
        <f>IF(B1317="","",IFERROR(RIGHT(B1317,LEN(B1317)-FIND("@",B1317)),""))</f>
        <v/>
      </c>
      <c r="G1317">
        <f>IF(D1317="KEEP",COUNTIF($D$2:D1317,"KEEP"),"")</f>
        <v/>
      </c>
      <c r="H1317">
        <f>IF(D1317="REMOVE",COUNTIF($D$2:D1317,"REMOVE"),"")</f>
        <v/>
      </c>
      <c r="I1317">
        <f>IF(E1317="Gmail",COUNTIF($E$2:E1317,"Gmail"),"")</f>
        <v/>
      </c>
      <c r="J1317">
        <f>IF(E1317="Outlook",COUNTIF($E$2:E1317,"Outlook"),"")</f>
        <v/>
      </c>
      <c r="K1317">
        <f>IF(E1317="Domain",COUNTIF($E$2:E1317,"Domain"),"")</f>
        <v/>
      </c>
    </row>
    <row r="1318">
      <c r="A1318" s="2" t="n"/>
      <c r="B1318">
        <f>LOWER(TRIM(A1318))</f>
        <v/>
      </c>
      <c r="C1318">
        <f>IF(B1318="","",IFERROR(INDEX('Bad Patterns'!$A$2:$A$120,MATCH(1,INDEX(--ISNUMBER(SEARCH('Bad Patterns'!$A$2:$A$120,B1318)),0),0)),""))</f>
        <v/>
      </c>
      <c r="D1318">
        <f>IF(B1318="","",IF(C1318&lt;&gt;"","REMOVE","KEEP"))</f>
        <v/>
      </c>
      <c r="E1318">
        <f>IF(D1318&lt;&gt;"KEEP","",IF(RIGHT(B1318,10)="@gmail.com","Gmail",IF(OR(RIGHT(B1318,12)="@outlook.com",RIGHT(B1318,12)="@hotmail.com",RIGHT(B1318,9)="@live.com"),"Outlook","Domain")))</f>
        <v/>
      </c>
      <c r="F1318">
        <f>IF(B1318="","",IFERROR(RIGHT(B1318,LEN(B1318)-FIND("@",B1318)),""))</f>
        <v/>
      </c>
      <c r="G1318">
        <f>IF(D1318="KEEP",COUNTIF($D$2:D1318,"KEEP"),"")</f>
        <v/>
      </c>
      <c r="H1318">
        <f>IF(D1318="REMOVE",COUNTIF($D$2:D1318,"REMOVE"),"")</f>
        <v/>
      </c>
      <c r="I1318">
        <f>IF(E1318="Gmail",COUNTIF($E$2:E1318,"Gmail"),"")</f>
        <v/>
      </c>
      <c r="J1318">
        <f>IF(E1318="Outlook",COUNTIF($E$2:E1318,"Outlook"),"")</f>
        <v/>
      </c>
      <c r="K1318">
        <f>IF(E1318="Domain",COUNTIF($E$2:E1318,"Domain"),"")</f>
        <v/>
      </c>
    </row>
    <row r="1319">
      <c r="A1319" s="2" t="n"/>
      <c r="B1319">
        <f>LOWER(TRIM(A1319))</f>
        <v/>
      </c>
      <c r="C1319">
        <f>IF(B1319="","",IFERROR(INDEX('Bad Patterns'!$A$2:$A$120,MATCH(1,INDEX(--ISNUMBER(SEARCH('Bad Patterns'!$A$2:$A$120,B1319)),0),0)),""))</f>
        <v/>
      </c>
      <c r="D1319">
        <f>IF(B1319="","",IF(C1319&lt;&gt;"","REMOVE","KEEP"))</f>
        <v/>
      </c>
      <c r="E1319">
        <f>IF(D1319&lt;&gt;"KEEP","",IF(RIGHT(B1319,10)="@gmail.com","Gmail",IF(OR(RIGHT(B1319,12)="@outlook.com",RIGHT(B1319,12)="@hotmail.com",RIGHT(B1319,9)="@live.com"),"Outlook","Domain")))</f>
        <v/>
      </c>
      <c r="F1319">
        <f>IF(B1319="","",IFERROR(RIGHT(B1319,LEN(B1319)-FIND("@",B1319)),""))</f>
        <v/>
      </c>
      <c r="G1319">
        <f>IF(D1319="KEEP",COUNTIF($D$2:D1319,"KEEP"),"")</f>
        <v/>
      </c>
      <c r="H1319">
        <f>IF(D1319="REMOVE",COUNTIF($D$2:D1319,"REMOVE"),"")</f>
        <v/>
      </c>
      <c r="I1319">
        <f>IF(E1319="Gmail",COUNTIF($E$2:E1319,"Gmail"),"")</f>
        <v/>
      </c>
      <c r="J1319">
        <f>IF(E1319="Outlook",COUNTIF($E$2:E1319,"Outlook"),"")</f>
        <v/>
      </c>
      <c r="K1319">
        <f>IF(E1319="Domain",COUNTIF($E$2:E1319,"Domain"),"")</f>
        <v/>
      </c>
    </row>
    <row r="1320">
      <c r="A1320" s="2" t="n"/>
      <c r="B1320">
        <f>LOWER(TRIM(A1320))</f>
        <v/>
      </c>
      <c r="C1320">
        <f>IF(B1320="","",IFERROR(INDEX('Bad Patterns'!$A$2:$A$120,MATCH(1,INDEX(--ISNUMBER(SEARCH('Bad Patterns'!$A$2:$A$120,B1320)),0),0)),""))</f>
        <v/>
      </c>
      <c r="D1320">
        <f>IF(B1320="","",IF(C1320&lt;&gt;"","REMOVE","KEEP"))</f>
        <v/>
      </c>
      <c r="E1320">
        <f>IF(D1320&lt;&gt;"KEEP","",IF(RIGHT(B1320,10)="@gmail.com","Gmail",IF(OR(RIGHT(B1320,12)="@outlook.com",RIGHT(B1320,12)="@hotmail.com",RIGHT(B1320,9)="@live.com"),"Outlook","Domain")))</f>
        <v/>
      </c>
      <c r="F1320">
        <f>IF(B1320="","",IFERROR(RIGHT(B1320,LEN(B1320)-FIND("@",B1320)),""))</f>
        <v/>
      </c>
      <c r="G1320">
        <f>IF(D1320="KEEP",COUNTIF($D$2:D1320,"KEEP"),"")</f>
        <v/>
      </c>
      <c r="H1320">
        <f>IF(D1320="REMOVE",COUNTIF($D$2:D1320,"REMOVE"),"")</f>
        <v/>
      </c>
      <c r="I1320">
        <f>IF(E1320="Gmail",COUNTIF($E$2:E1320,"Gmail"),"")</f>
        <v/>
      </c>
      <c r="J1320">
        <f>IF(E1320="Outlook",COUNTIF($E$2:E1320,"Outlook"),"")</f>
        <v/>
      </c>
      <c r="K1320">
        <f>IF(E1320="Domain",COUNTIF($E$2:E1320,"Domain"),"")</f>
        <v/>
      </c>
    </row>
    <row r="1321">
      <c r="A1321" s="2" t="n"/>
      <c r="B1321">
        <f>LOWER(TRIM(A1321))</f>
        <v/>
      </c>
      <c r="C1321">
        <f>IF(B1321="","",IFERROR(INDEX('Bad Patterns'!$A$2:$A$120,MATCH(1,INDEX(--ISNUMBER(SEARCH('Bad Patterns'!$A$2:$A$120,B1321)),0),0)),""))</f>
        <v/>
      </c>
      <c r="D1321">
        <f>IF(B1321="","",IF(C1321&lt;&gt;"","REMOVE","KEEP"))</f>
        <v/>
      </c>
      <c r="E1321">
        <f>IF(D1321&lt;&gt;"KEEP","",IF(RIGHT(B1321,10)="@gmail.com","Gmail",IF(OR(RIGHT(B1321,12)="@outlook.com",RIGHT(B1321,12)="@hotmail.com",RIGHT(B1321,9)="@live.com"),"Outlook","Domain")))</f>
        <v/>
      </c>
      <c r="F1321">
        <f>IF(B1321="","",IFERROR(RIGHT(B1321,LEN(B1321)-FIND("@",B1321)),""))</f>
        <v/>
      </c>
      <c r="G1321">
        <f>IF(D1321="KEEP",COUNTIF($D$2:D1321,"KEEP"),"")</f>
        <v/>
      </c>
      <c r="H1321">
        <f>IF(D1321="REMOVE",COUNTIF($D$2:D1321,"REMOVE"),"")</f>
        <v/>
      </c>
      <c r="I1321">
        <f>IF(E1321="Gmail",COUNTIF($E$2:E1321,"Gmail"),"")</f>
        <v/>
      </c>
      <c r="J1321">
        <f>IF(E1321="Outlook",COUNTIF($E$2:E1321,"Outlook"),"")</f>
        <v/>
      </c>
      <c r="K1321">
        <f>IF(E1321="Domain",COUNTIF($E$2:E1321,"Domain"),"")</f>
        <v/>
      </c>
    </row>
    <row r="1322">
      <c r="A1322" s="2" t="n"/>
      <c r="B1322">
        <f>LOWER(TRIM(A1322))</f>
        <v/>
      </c>
      <c r="C1322">
        <f>IF(B1322="","",IFERROR(INDEX('Bad Patterns'!$A$2:$A$120,MATCH(1,INDEX(--ISNUMBER(SEARCH('Bad Patterns'!$A$2:$A$120,B1322)),0),0)),""))</f>
        <v/>
      </c>
      <c r="D1322">
        <f>IF(B1322="","",IF(C1322&lt;&gt;"","REMOVE","KEEP"))</f>
        <v/>
      </c>
      <c r="E1322">
        <f>IF(D1322&lt;&gt;"KEEP","",IF(RIGHT(B1322,10)="@gmail.com","Gmail",IF(OR(RIGHT(B1322,12)="@outlook.com",RIGHT(B1322,12)="@hotmail.com",RIGHT(B1322,9)="@live.com"),"Outlook","Domain")))</f>
        <v/>
      </c>
      <c r="F1322">
        <f>IF(B1322="","",IFERROR(RIGHT(B1322,LEN(B1322)-FIND("@",B1322)),""))</f>
        <v/>
      </c>
      <c r="G1322">
        <f>IF(D1322="KEEP",COUNTIF($D$2:D1322,"KEEP"),"")</f>
        <v/>
      </c>
      <c r="H1322">
        <f>IF(D1322="REMOVE",COUNTIF($D$2:D1322,"REMOVE"),"")</f>
        <v/>
      </c>
      <c r="I1322">
        <f>IF(E1322="Gmail",COUNTIF($E$2:E1322,"Gmail"),"")</f>
        <v/>
      </c>
      <c r="J1322">
        <f>IF(E1322="Outlook",COUNTIF($E$2:E1322,"Outlook"),"")</f>
        <v/>
      </c>
      <c r="K1322">
        <f>IF(E1322="Domain",COUNTIF($E$2:E1322,"Domain"),"")</f>
        <v/>
      </c>
    </row>
    <row r="1323">
      <c r="A1323" s="2" t="n"/>
      <c r="B1323">
        <f>LOWER(TRIM(A1323))</f>
        <v/>
      </c>
      <c r="C1323">
        <f>IF(B1323="","",IFERROR(INDEX('Bad Patterns'!$A$2:$A$120,MATCH(1,INDEX(--ISNUMBER(SEARCH('Bad Patterns'!$A$2:$A$120,B1323)),0),0)),""))</f>
        <v/>
      </c>
      <c r="D1323">
        <f>IF(B1323="","",IF(C1323&lt;&gt;"","REMOVE","KEEP"))</f>
        <v/>
      </c>
      <c r="E1323">
        <f>IF(D1323&lt;&gt;"KEEP","",IF(RIGHT(B1323,10)="@gmail.com","Gmail",IF(OR(RIGHT(B1323,12)="@outlook.com",RIGHT(B1323,12)="@hotmail.com",RIGHT(B1323,9)="@live.com"),"Outlook","Domain")))</f>
        <v/>
      </c>
      <c r="F1323">
        <f>IF(B1323="","",IFERROR(RIGHT(B1323,LEN(B1323)-FIND("@",B1323)),""))</f>
        <v/>
      </c>
      <c r="G1323">
        <f>IF(D1323="KEEP",COUNTIF($D$2:D1323,"KEEP"),"")</f>
        <v/>
      </c>
      <c r="H1323">
        <f>IF(D1323="REMOVE",COUNTIF($D$2:D1323,"REMOVE"),"")</f>
        <v/>
      </c>
      <c r="I1323">
        <f>IF(E1323="Gmail",COUNTIF($E$2:E1323,"Gmail"),"")</f>
        <v/>
      </c>
      <c r="J1323">
        <f>IF(E1323="Outlook",COUNTIF($E$2:E1323,"Outlook"),"")</f>
        <v/>
      </c>
      <c r="K1323">
        <f>IF(E1323="Domain",COUNTIF($E$2:E1323,"Domain"),"")</f>
        <v/>
      </c>
    </row>
    <row r="1324">
      <c r="A1324" s="2" t="n"/>
      <c r="B1324">
        <f>LOWER(TRIM(A1324))</f>
        <v/>
      </c>
      <c r="C1324">
        <f>IF(B1324="","",IFERROR(INDEX('Bad Patterns'!$A$2:$A$120,MATCH(1,INDEX(--ISNUMBER(SEARCH('Bad Patterns'!$A$2:$A$120,B1324)),0),0)),""))</f>
        <v/>
      </c>
      <c r="D1324">
        <f>IF(B1324="","",IF(C1324&lt;&gt;"","REMOVE","KEEP"))</f>
        <v/>
      </c>
      <c r="E1324">
        <f>IF(D1324&lt;&gt;"KEEP","",IF(RIGHT(B1324,10)="@gmail.com","Gmail",IF(OR(RIGHT(B1324,12)="@outlook.com",RIGHT(B1324,12)="@hotmail.com",RIGHT(B1324,9)="@live.com"),"Outlook","Domain")))</f>
        <v/>
      </c>
      <c r="F1324">
        <f>IF(B1324="","",IFERROR(RIGHT(B1324,LEN(B1324)-FIND("@",B1324)),""))</f>
        <v/>
      </c>
      <c r="G1324">
        <f>IF(D1324="KEEP",COUNTIF($D$2:D1324,"KEEP"),"")</f>
        <v/>
      </c>
      <c r="H1324">
        <f>IF(D1324="REMOVE",COUNTIF($D$2:D1324,"REMOVE"),"")</f>
        <v/>
      </c>
      <c r="I1324">
        <f>IF(E1324="Gmail",COUNTIF($E$2:E1324,"Gmail"),"")</f>
        <v/>
      </c>
      <c r="J1324">
        <f>IF(E1324="Outlook",COUNTIF($E$2:E1324,"Outlook"),"")</f>
        <v/>
      </c>
      <c r="K1324">
        <f>IF(E1324="Domain",COUNTIF($E$2:E1324,"Domain"),"")</f>
        <v/>
      </c>
    </row>
    <row r="1325">
      <c r="A1325" s="2" t="n"/>
      <c r="B1325">
        <f>LOWER(TRIM(A1325))</f>
        <v/>
      </c>
      <c r="C1325">
        <f>IF(B1325="","",IFERROR(INDEX('Bad Patterns'!$A$2:$A$120,MATCH(1,INDEX(--ISNUMBER(SEARCH('Bad Patterns'!$A$2:$A$120,B1325)),0),0)),""))</f>
        <v/>
      </c>
      <c r="D1325">
        <f>IF(B1325="","",IF(C1325&lt;&gt;"","REMOVE","KEEP"))</f>
        <v/>
      </c>
      <c r="E1325">
        <f>IF(D1325&lt;&gt;"KEEP","",IF(RIGHT(B1325,10)="@gmail.com","Gmail",IF(OR(RIGHT(B1325,12)="@outlook.com",RIGHT(B1325,12)="@hotmail.com",RIGHT(B1325,9)="@live.com"),"Outlook","Domain")))</f>
        <v/>
      </c>
      <c r="F1325">
        <f>IF(B1325="","",IFERROR(RIGHT(B1325,LEN(B1325)-FIND("@",B1325)),""))</f>
        <v/>
      </c>
      <c r="G1325">
        <f>IF(D1325="KEEP",COUNTIF($D$2:D1325,"KEEP"),"")</f>
        <v/>
      </c>
      <c r="H1325">
        <f>IF(D1325="REMOVE",COUNTIF($D$2:D1325,"REMOVE"),"")</f>
        <v/>
      </c>
      <c r="I1325">
        <f>IF(E1325="Gmail",COUNTIF($E$2:E1325,"Gmail"),"")</f>
        <v/>
      </c>
      <c r="J1325">
        <f>IF(E1325="Outlook",COUNTIF($E$2:E1325,"Outlook"),"")</f>
        <v/>
      </c>
      <c r="K1325">
        <f>IF(E1325="Domain",COUNTIF($E$2:E1325,"Domain"),"")</f>
        <v/>
      </c>
    </row>
    <row r="1326">
      <c r="A1326" s="2" t="n"/>
      <c r="B1326">
        <f>LOWER(TRIM(A1326))</f>
        <v/>
      </c>
      <c r="C1326">
        <f>IF(B1326="","",IFERROR(INDEX('Bad Patterns'!$A$2:$A$120,MATCH(1,INDEX(--ISNUMBER(SEARCH('Bad Patterns'!$A$2:$A$120,B1326)),0),0)),""))</f>
        <v/>
      </c>
      <c r="D1326">
        <f>IF(B1326="","",IF(C1326&lt;&gt;"","REMOVE","KEEP"))</f>
        <v/>
      </c>
      <c r="E1326">
        <f>IF(D1326&lt;&gt;"KEEP","",IF(RIGHT(B1326,10)="@gmail.com","Gmail",IF(OR(RIGHT(B1326,12)="@outlook.com",RIGHT(B1326,12)="@hotmail.com",RIGHT(B1326,9)="@live.com"),"Outlook","Domain")))</f>
        <v/>
      </c>
      <c r="F1326">
        <f>IF(B1326="","",IFERROR(RIGHT(B1326,LEN(B1326)-FIND("@",B1326)),""))</f>
        <v/>
      </c>
      <c r="G1326">
        <f>IF(D1326="KEEP",COUNTIF($D$2:D1326,"KEEP"),"")</f>
        <v/>
      </c>
      <c r="H1326">
        <f>IF(D1326="REMOVE",COUNTIF($D$2:D1326,"REMOVE"),"")</f>
        <v/>
      </c>
      <c r="I1326">
        <f>IF(E1326="Gmail",COUNTIF($E$2:E1326,"Gmail"),"")</f>
        <v/>
      </c>
      <c r="J1326">
        <f>IF(E1326="Outlook",COUNTIF($E$2:E1326,"Outlook"),"")</f>
        <v/>
      </c>
      <c r="K1326">
        <f>IF(E1326="Domain",COUNTIF($E$2:E1326,"Domain"),"")</f>
        <v/>
      </c>
    </row>
    <row r="1327">
      <c r="A1327" s="2" t="n"/>
      <c r="B1327">
        <f>LOWER(TRIM(A1327))</f>
        <v/>
      </c>
      <c r="C1327">
        <f>IF(B1327="","",IFERROR(INDEX('Bad Patterns'!$A$2:$A$120,MATCH(1,INDEX(--ISNUMBER(SEARCH('Bad Patterns'!$A$2:$A$120,B1327)),0),0)),""))</f>
        <v/>
      </c>
      <c r="D1327">
        <f>IF(B1327="","",IF(C1327&lt;&gt;"","REMOVE","KEEP"))</f>
        <v/>
      </c>
      <c r="E1327">
        <f>IF(D1327&lt;&gt;"KEEP","",IF(RIGHT(B1327,10)="@gmail.com","Gmail",IF(OR(RIGHT(B1327,12)="@outlook.com",RIGHT(B1327,12)="@hotmail.com",RIGHT(B1327,9)="@live.com"),"Outlook","Domain")))</f>
        <v/>
      </c>
      <c r="F1327">
        <f>IF(B1327="","",IFERROR(RIGHT(B1327,LEN(B1327)-FIND("@",B1327)),""))</f>
        <v/>
      </c>
      <c r="G1327">
        <f>IF(D1327="KEEP",COUNTIF($D$2:D1327,"KEEP"),"")</f>
        <v/>
      </c>
      <c r="H1327">
        <f>IF(D1327="REMOVE",COUNTIF($D$2:D1327,"REMOVE"),"")</f>
        <v/>
      </c>
      <c r="I1327">
        <f>IF(E1327="Gmail",COUNTIF($E$2:E1327,"Gmail"),"")</f>
        <v/>
      </c>
      <c r="J1327">
        <f>IF(E1327="Outlook",COUNTIF($E$2:E1327,"Outlook"),"")</f>
        <v/>
      </c>
      <c r="K1327">
        <f>IF(E1327="Domain",COUNTIF($E$2:E1327,"Domain"),"")</f>
        <v/>
      </c>
    </row>
    <row r="1328">
      <c r="A1328" s="2" t="n"/>
      <c r="B1328">
        <f>LOWER(TRIM(A1328))</f>
        <v/>
      </c>
      <c r="C1328">
        <f>IF(B1328="","",IFERROR(INDEX('Bad Patterns'!$A$2:$A$120,MATCH(1,INDEX(--ISNUMBER(SEARCH('Bad Patterns'!$A$2:$A$120,B1328)),0),0)),""))</f>
        <v/>
      </c>
      <c r="D1328">
        <f>IF(B1328="","",IF(C1328&lt;&gt;"","REMOVE","KEEP"))</f>
        <v/>
      </c>
      <c r="E1328">
        <f>IF(D1328&lt;&gt;"KEEP","",IF(RIGHT(B1328,10)="@gmail.com","Gmail",IF(OR(RIGHT(B1328,12)="@outlook.com",RIGHT(B1328,12)="@hotmail.com",RIGHT(B1328,9)="@live.com"),"Outlook","Domain")))</f>
        <v/>
      </c>
      <c r="F1328">
        <f>IF(B1328="","",IFERROR(RIGHT(B1328,LEN(B1328)-FIND("@",B1328)),""))</f>
        <v/>
      </c>
      <c r="G1328">
        <f>IF(D1328="KEEP",COUNTIF($D$2:D1328,"KEEP"),"")</f>
        <v/>
      </c>
      <c r="H1328">
        <f>IF(D1328="REMOVE",COUNTIF($D$2:D1328,"REMOVE"),"")</f>
        <v/>
      </c>
      <c r="I1328">
        <f>IF(E1328="Gmail",COUNTIF($E$2:E1328,"Gmail"),"")</f>
        <v/>
      </c>
      <c r="J1328">
        <f>IF(E1328="Outlook",COUNTIF($E$2:E1328,"Outlook"),"")</f>
        <v/>
      </c>
      <c r="K1328">
        <f>IF(E1328="Domain",COUNTIF($E$2:E1328,"Domain"),"")</f>
        <v/>
      </c>
    </row>
    <row r="1329">
      <c r="A1329" s="2" t="n"/>
      <c r="B1329">
        <f>LOWER(TRIM(A1329))</f>
        <v/>
      </c>
      <c r="C1329">
        <f>IF(B1329="","",IFERROR(INDEX('Bad Patterns'!$A$2:$A$120,MATCH(1,INDEX(--ISNUMBER(SEARCH('Bad Patterns'!$A$2:$A$120,B1329)),0),0)),""))</f>
        <v/>
      </c>
      <c r="D1329">
        <f>IF(B1329="","",IF(C1329&lt;&gt;"","REMOVE","KEEP"))</f>
        <v/>
      </c>
      <c r="E1329">
        <f>IF(D1329&lt;&gt;"KEEP","",IF(RIGHT(B1329,10)="@gmail.com","Gmail",IF(OR(RIGHT(B1329,12)="@outlook.com",RIGHT(B1329,12)="@hotmail.com",RIGHT(B1329,9)="@live.com"),"Outlook","Domain")))</f>
        <v/>
      </c>
      <c r="F1329">
        <f>IF(B1329="","",IFERROR(RIGHT(B1329,LEN(B1329)-FIND("@",B1329)),""))</f>
        <v/>
      </c>
      <c r="G1329">
        <f>IF(D1329="KEEP",COUNTIF($D$2:D1329,"KEEP"),"")</f>
        <v/>
      </c>
      <c r="H1329">
        <f>IF(D1329="REMOVE",COUNTIF($D$2:D1329,"REMOVE"),"")</f>
        <v/>
      </c>
      <c r="I1329">
        <f>IF(E1329="Gmail",COUNTIF($E$2:E1329,"Gmail"),"")</f>
        <v/>
      </c>
      <c r="J1329">
        <f>IF(E1329="Outlook",COUNTIF($E$2:E1329,"Outlook"),"")</f>
        <v/>
      </c>
      <c r="K1329">
        <f>IF(E1329="Domain",COUNTIF($E$2:E1329,"Domain"),"")</f>
        <v/>
      </c>
    </row>
    <row r="1330">
      <c r="A1330" s="2" t="n"/>
      <c r="B1330">
        <f>LOWER(TRIM(A1330))</f>
        <v/>
      </c>
      <c r="C1330">
        <f>IF(B1330="","",IFERROR(INDEX('Bad Patterns'!$A$2:$A$120,MATCH(1,INDEX(--ISNUMBER(SEARCH('Bad Patterns'!$A$2:$A$120,B1330)),0),0)),""))</f>
        <v/>
      </c>
      <c r="D1330">
        <f>IF(B1330="","",IF(C1330&lt;&gt;"","REMOVE","KEEP"))</f>
        <v/>
      </c>
      <c r="E1330">
        <f>IF(D1330&lt;&gt;"KEEP","",IF(RIGHT(B1330,10)="@gmail.com","Gmail",IF(OR(RIGHT(B1330,12)="@outlook.com",RIGHT(B1330,12)="@hotmail.com",RIGHT(B1330,9)="@live.com"),"Outlook","Domain")))</f>
        <v/>
      </c>
      <c r="F1330">
        <f>IF(B1330="","",IFERROR(RIGHT(B1330,LEN(B1330)-FIND("@",B1330)),""))</f>
        <v/>
      </c>
      <c r="G1330">
        <f>IF(D1330="KEEP",COUNTIF($D$2:D1330,"KEEP"),"")</f>
        <v/>
      </c>
      <c r="H1330">
        <f>IF(D1330="REMOVE",COUNTIF($D$2:D1330,"REMOVE"),"")</f>
        <v/>
      </c>
      <c r="I1330">
        <f>IF(E1330="Gmail",COUNTIF($E$2:E1330,"Gmail"),"")</f>
        <v/>
      </c>
      <c r="J1330">
        <f>IF(E1330="Outlook",COUNTIF($E$2:E1330,"Outlook"),"")</f>
        <v/>
      </c>
      <c r="K1330">
        <f>IF(E1330="Domain",COUNTIF($E$2:E1330,"Domain"),"")</f>
        <v/>
      </c>
    </row>
    <row r="1331">
      <c r="A1331" s="2" t="n"/>
      <c r="B1331">
        <f>LOWER(TRIM(A1331))</f>
        <v/>
      </c>
      <c r="C1331">
        <f>IF(B1331="","",IFERROR(INDEX('Bad Patterns'!$A$2:$A$120,MATCH(1,INDEX(--ISNUMBER(SEARCH('Bad Patterns'!$A$2:$A$120,B1331)),0),0)),""))</f>
        <v/>
      </c>
      <c r="D1331">
        <f>IF(B1331="","",IF(C1331&lt;&gt;"","REMOVE","KEEP"))</f>
        <v/>
      </c>
      <c r="E1331">
        <f>IF(D1331&lt;&gt;"KEEP","",IF(RIGHT(B1331,10)="@gmail.com","Gmail",IF(OR(RIGHT(B1331,12)="@outlook.com",RIGHT(B1331,12)="@hotmail.com",RIGHT(B1331,9)="@live.com"),"Outlook","Domain")))</f>
        <v/>
      </c>
      <c r="F1331">
        <f>IF(B1331="","",IFERROR(RIGHT(B1331,LEN(B1331)-FIND("@",B1331)),""))</f>
        <v/>
      </c>
      <c r="G1331">
        <f>IF(D1331="KEEP",COUNTIF($D$2:D1331,"KEEP"),"")</f>
        <v/>
      </c>
      <c r="H1331">
        <f>IF(D1331="REMOVE",COUNTIF($D$2:D1331,"REMOVE"),"")</f>
        <v/>
      </c>
      <c r="I1331">
        <f>IF(E1331="Gmail",COUNTIF($E$2:E1331,"Gmail"),"")</f>
        <v/>
      </c>
      <c r="J1331">
        <f>IF(E1331="Outlook",COUNTIF($E$2:E1331,"Outlook"),"")</f>
        <v/>
      </c>
      <c r="K1331">
        <f>IF(E1331="Domain",COUNTIF($E$2:E1331,"Domain"),"")</f>
        <v/>
      </c>
    </row>
    <row r="1332">
      <c r="A1332" s="2" t="n"/>
      <c r="B1332">
        <f>LOWER(TRIM(A1332))</f>
        <v/>
      </c>
      <c r="C1332">
        <f>IF(B1332="","",IFERROR(INDEX('Bad Patterns'!$A$2:$A$120,MATCH(1,INDEX(--ISNUMBER(SEARCH('Bad Patterns'!$A$2:$A$120,B1332)),0),0)),""))</f>
        <v/>
      </c>
      <c r="D1332">
        <f>IF(B1332="","",IF(C1332&lt;&gt;"","REMOVE","KEEP"))</f>
        <v/>
      </c>
      <c r="E1332">
        <f>IF(D1332&lt;&gt;"KEEP","",IF(RIGHT(B1332,10)="@gmail.com","Gmail",IF(OR(RIGHT(B1332,12)="@outlook.com",RIGHT(B1332,12)="@hotmail.com",RIGHT(B1332,9)="@live.com"),"Outlook","Domain")))</f>
        <v/>
      </c>
      <c r="F1332">
        <f>IF(B1332="","",IFERROR(RIGHT(B1332,LEN(B1332)-FIND("@",B1332)),""))</f>
        <v/>
      </c>
      <c r="G1332">
        <f>IF(D1332="KEEP",COUNTIF($D$2:D1332,"KEEP"),"")</f>
        <v/>
      </c>
      <c r="H1332">
        <f>IF(D1332="REMOVE",COUNTIF($D$2:D1332,"REMOVE"),"")</f>
        <v/>
      </c>
      <c r="I1332">
        <f>IF(E1332="Gmail",COUNTIF($E$2:E1332,"Gmail"),"")</f>
        <v/>
      </c>
      <c r="J1332">
        <f>IF(E1332="Outlook",COUNTIF($E$2:E1332,"Outlook"),"")</f>
        <v/>
      </c>
      <c r="K1332">
        <f>IF(E1332="Domain",COUNTIF($E$2:E1332,"Domain"),"")</f>
        <v/>
      </c>
    </row>
    <row r="1333">
      <c r="A1333" s="2" t="n"/>
      <c r="B1333">
        <f>LOWER(TRIM(A1333))</f>
        <v/>
      </c>
      <c r="C1333">
        <f>IF(B1333="","",IFERROR(INDEX('Bad Patterns'!$A$2:$A$120,MATCH(1,INDEX(--ISNUMBER(SEARCH('Bad Patterns'!$A$2:$A$120,B1333)),0),0)),""))</f>
        <v/>
      </c>
      <c r="D1333">
        <f>IF(B1333="","",IF(C1333&lt;&gt;"","REMOVE","KEEP"))</f>
        <v/>
      </c>
      <c r="E1333">
        <f>IF(D1333&lt;&gt;"KEEP","",IF(RIGHT(B1333,10)="@gmail.com","Gmail",IF(OR(RIGHT(B1333,12)="@outlook.com",RIGHT(B1333,12)="@hotmail.com",RIGHT(B1333,9)="@live.com"),"Outlook","Domain")))</f>
        <v/>
      </c>
      <c r="F1333">
        <f>IF(B1333="","",IFERROR(RIGHT(B1333,LEN(B1333)-FIND("@",B1333)),""))</f>
        <v/>
      </c>
      <c r="G1333">
        <f>IF(D1333="KEEP",COUNTIF($D$2:D1333,"KEEP"),"")</f>
        <v/>
      </c>
      <c r="H1333">
        <f>IF(D1333="REMOVE",COUNTIF($D$2:D1333,"REMOVE"),"")</f>
        <v/>
      </c>
      <c r="I1333">
        <f>IF(E1333="Gmail",COUNTIF($E$2:E1333,"Gmail"),"")</f>
        <v/>
      </c>
      <c r="J1333">
        <f>IF(E1333="Outlook",COUNTIF($E$2:E1333,"Outlook"),"")</f>
        <v/>
      </c>
      <c r="K1333">
        <f>IF(E1333="Domain",COUNTIF($E$2:E1333,"Domain"),"")</f>
        <v/>
      </c>
    </row>
    <row r="1334">
      <c r="A1334" s="2" t="n"/>
      <c r="B1334">
        <f>LOWER(TRIM(A1334))</f>
        <v/>
      </c>
      <c r="C1334">
        <f>IF(B1334="","",IFERROR(INDEX('Bad Patterns'!$A$2:$A$120,MATCH(1,INDEX(--ISNUMBER(SEARCH('Bad Patterns'!$A$2:$A$120,B1334)),0),0)),""))</f>
        <v/>
      </c>
      <c r="D1334">
        <f>IF(B1334="","",IF(C1334&lt;&gt;"","REMOVE","KEEP"))</f>
        <v/>
      </c>
      <c r="E1334">
        <f>IF(D1334&lt;&gt;"KEEP","",IF(RIGHT(B1334,10)="@gmail.com","Gmail",IF(OR(RIGHT(B1334,12)="@outlook.com",RIGHT(B1334,12)="@hotmail.com",RIGHT(B1334,9)="@live.com"),"Outlook","Domain")))</f>
        <v/>
      </c>
      <c r="F1334">
        <f>IF(B1334="","",IFERROR(RIGHT(B1334,LEN(B1334)-FIND("@",B1334)),""))</f>
        <v/>
      </c>
      <c r="G1334">
        <f>IF(D1334="KEEP",COUNTIF($D$2:D1334,"KEEP"),"")</f>
        <v/>
      </c>
      <c r="H1334">
        <f>IF(D1334="REMOVE",COUNTIF($D$2:D1334,"REMOVE"),"")</f>
        <v/>
      </c>
      <c r="I1334">
        <f>IF(E1334="Gmail",COUNTIF($E$2:E1334,"Gmail"),"")</f>
        <v/>
      </c>
      <c r="J1334">
        <f>IF(E1334="Outlook",COUNTIF($E$2:E1334,"Outlook"),"")</f>
        <v/>
      </c>
      <c r="K1334">
        <f>IF(E1334="Domain",COUNTIF($E$2:E1334,"Domain"),"")</f>
        <v/>
      </c>
    </row>
    <row r="1335">
      <c r="A1335" s="2" t="n"/>
      <c r="B1335">
        <f>LOWER(TRIM(A1335))</f>
        <v/>
      </c>
      <c r="C1335">
        <f>IF(B1335="","",IFERROR(INDEX('Bad Patterns'!$A$2:$A$120,MATCH(1,INDEX(--ISNUMBER(SEARCH('Bad Patterns'!$A$2:$A$120,B1335)),0),0)),""))</f>
        <v/>
      </c>
      <c r="D1335">
        <f>IF(B1335="","",IF(C1335&lt;&gt;"","REMOVE","KEEP"))</f>
        <v/>
      </c>
      <c r="E1335">
        <f>IF(D1335&lt;&gt;"KEEP","",IF(RIGHT(B1335,10)="@gmail.com","Gmail",IF(OR(RIGHT(B1335,12)="@outlook.com",RIGHT(B1335,12)="@hotmail.com",RIGHT(B1335,9)="@live.com"),"Outlook","Domain")))</f>
        <v/>
      </c>
      <c r="F1335">
        <f>IF(B1335="","",IFERROR(RIGHT(B1335,LEN(B1335)-FIND("@",B1335)),""))</f>
        <v/>
      </c>
      <c r="G1335">
        <f>IF(D1335="KEEP",COUNTIF($D$2:D1335,"KEEP"),"")</f>
        <v/>
      </c>
      <c r="H1335">
        <f>IF(D1335="REMOVE",COUNTIF($D$2:D1335,"REMOVE"),"")</f>
        <v/>
      </c>
      <c r="I1335">
        <f>IF(E1335="Gmail",COUNTIF($E$2:E1335,"Gmail"),"")</f>
        <v/>
      </c>
      <c r="J1335">
        <f>IF(E1335="Outlook",COUNTIF($E$2:E1335,"Outlook"),"")</f>
        <v/>
      </c>
      <c r="K1335">
        <f>IF(E1335="Domain",COUNTIF($E$2:E1335,"Domain"),"")</f>
        <v/>
      </c>
    </row>
    <row r="1336">
      <c r="A1336" s="2" t="n"/>
      <c r="B1336">
        <f>LOWER(TRIM(A1336))</f>
        <v/>
      </c>
      <c r="C1336">
        <f>IF(B1336="","",IFERROR(INDEX('Bad Patterns'!$A$2:$A$120,MATCH(1,INDEX(--ISNUMBER(SEARCH('Bad Patterns'!$A$2:$A$120,B1336)),0),0)),""))</f>
        <v/>
      </c>
      <c r="D1336">
        <f>IF(B1336="","",IF(C1336&lt;&gt;"","REMOVE","KEEP"))</f>
        <v/>
      </c>
      <c r="E1336">
        <f>IF(D1336&lt;&gt;"KEEP","",IF(RIGHT(B1336,10)="@gmail.com","Gmail",IF(OR(RIGHT(B1336,12)="@outlook.com",RIGHT(B1336,12)="@hotmail.com",RIGHT(B1336,9)="@live.com"),"Outlook","Domain")))</f>
        <v/>
      </c>
      <c r="F1336">
        <f>IF(B1336="","",IFERROR(RIGHT(B1336,LEN(B1336)-FIND("@",B1336)),""))</f>
        <v/>
      </c>
      <c r="G1336">
        <f>IF(D1336="KEEP",COUNTIF($D$2:D1336,"KEEP"),"")</f>
        <v/>
      </c>
      <c r="H1336">
        <f>IF(D1336="REMOVE",COUNTIF($D$2:D1336,"REMOVE"),"")</f>
        <v/>
      </c>
      <c r="I1336">
        <f>IF(E1336="Gmail",COUNTIF($E$2:E1336,"Gmail"),"")</f>
        <v/>
      </c>
      <c r="J1336">
        <f>IF(E1336="Outlook",COUNTIF($E$2:E1336,"Outlook"),"")</f>
        <v/>
      </c>
      <c r="K1336">
        <f>IF(E1336="Domain",COUNTIF($E$2:E1336,"Domain"),"")</f>
        <v/>
      </c>
    </row>
    <row r="1337">
      <c r="A1337" s="2" t="n"/>
      <c r="B1337">
        <f>LOWER(TRIM(A1337))</f>
        <v/>
      </c>
      <c r="C1337">
        <f>IF(B1337="","",IFERROR(INDEX('Bad Patterns'!$A$2:$A$120,MATCH(1,INDEX(--ISNUMBER(SEARCH('Bad Patterns'!$A$2:$A$120,B1337)),0),0)),""))</f>
        <v/>
      </c>
      <c r="D1337">
        <f>IF(B1337="","",IF(C1337&lt;&gt;"","REMOVE","KEEP"))</f>
        <v/>
      </c>
      <c r="E1337">
        <f>IF(D1337&lt;&gt;"KEEP","",IF(RIGHT(B1337,10)="@gmail.com","Gmail",IF(OR(RIGHT(B1337,12)="@outlook.com",RIGHT(B1337,12)="@hotmail.com",RIGHT(B1337,9)="@live.com"),"Outlook","Domain")))</f>
        <v/>
      </c>
      <c r="F1337">
        <f>IF(B1337="","",IFERROR(RIGHT(B1337,LEN(B1337)-FIND("@",B1337)),""))</f>
        <v/>
      </c>
      <c r="G1337">
        <f>IF(D1337="KEEP",COUNTIF($D$2:D1337,"KEEP"),"")</f>
        <v/>
      </c>
      <c r="H1337">
        <f>IF(D1337="REMOVE",COUNTIF($D$2:D1337,"REMOVE"),"")</f>
        <v/>
      </c>
      <c r="I1337">
        <f>IF(E1337="Gmail",COUNTIF($E$2:E1337,"Gmail"),"")</f>
        <v/>
      </c>
      <c r="J1337">
        <f>IF(E1337="Outlook",COUNTIF($E$2:E1337,"Outlook"),"")</f>
        <v/>
      </c>
      <c r="K1337">
        <f>IF(E1337="Domain",COUNTIF($E$2:E1337,"Domain"),"")</f>
        <v/>
      </c>
    </row>
    <row r="1338">
      <c r="A1338" s="2" t="n"/>
      <c r="B1338">
        <f>LOWER(TRIM(A1338))</f>
        <v/>
      </c>
      <c r="C1338">
        <f>IF(B1338="","",IFERROR(INDEX('Bad Patterns'!$A$2:$A$120,MATCH(1,INDEX(--ISNUMBER(SEARCH('Bad Patterns'!$A$2:$A$120,B1338)),0),0)),""))</f>
        <v/>
      </c>
      <c r="D1338">
        <f>IF(B1338="","",IF(C1338&lt;&gt;"","REMOVE","KEEP"))</f>
        <v/>
      </c>
      <c r="E1338">
        <f>IF(D1338&lt;&gt;"KEEP","",IF(RIGHT(B1338,10)="@gmail.com","Gmail",IF(OR(RIGHT(B1338,12)="@outlook.com",RIGHT(B1338,12)="@hotmail.com",RIGHT(B1338,9)="@live.com"),"Outlook","Domain")))</f>
        <v/>
      </c>
      <c r="F1338">
        <f>IF(B1338="","",IFERROR(RIGHT(B1338,LEN(B1338)-FIND("@",B1338)),""))</f>
        <v/>
      </c>
      <c r="G1338">
        <f>IF(D1338="KEEP",COUNTIF($D$2:D1338,"KEEP"),"")</f>
        <v/>
      </c>
      <c r="H1338">
        <f>IF(D1338="REMOVE",COUNTIF($D$2:D1338,"REMOVE"),"")</f>
        <v/>
      </c>
      <c r="I1338">
        <f>IF(E1338="Gmail",COUNTIF($E$2:E1338,"Gmail"),"")</f>
        <v/>
      </c>
      <c r="J1338">
        <f>IF(E1338="Outlook",COUNTIF($E$2:E1338,"Outlook"),"")</f>
        <v/>
      </c>
      <c r="K1338">
        <f>IF(E1338="Domain",COUNTIF($E$2:E1338,"Domain"),"")</f>
        <v/>
      </c>
    </row>
    <row r="1339">
      <c r="A1339" s="2" t="n"/>
      <c r="B1339">
        <f>LOWER(TRIM(A1339))</f>
        <v/>
      </c>
      <c r="C1339">
        <f>IF(B1339="","",IFERROR(INDEX('Bad Patterns'!$A$2:$A$120,MATCH(1,INDEX(--ISNUMBER(SEARCH('Bad Patterns'!$A$2:$A$120,B1339)),0),0)),""))</f>
        <v/>
      </c>
      <c r="D1339">
        <f>IF(B1339="","",IF(C1339&lt;&gt;"","REMOVE","KEEP"))</f>
        <v/>
      </c>
      <c r="E1339">
        <f>IF(D1339&lt;&gt;"KEEP","",IF(RIGHT(B1339,10)="@gmail.com","Gmail",IF(OR(RIGHT(B1339,12)="@outlook.com",RIGHT(B1339,12)="@hotmail.com",RIGHT(B1339,9)="@live.com"),"Outlook","Domain")))</f>
        <v/>
      </c>
      <c r="F1339">
        <f>IF(B1339="","",IFERROR(RIGHT(B1339,LEN(B1339)-FIND("@",B1339)),""))</f>
        <v/>
      </c>
      <c r="G1339">
        <f>IF(D1339="KEEP",COUNTIF($D$2:D1339,"KEEP"),"")</f>
        <v/>
      </c>
      <c r="H1339">
        <f>IF(D1339="REMOVE",COUNTIF($D$2:D1339,"REMOVE"),"")</f>
        <v/>
      </c>
      <c r="I1339">
        <f>IF(E1339="Gmail",COUNTIF($E$2:E1339,"Gmail"),"")</f>
        <v/>
      </c>
      <c r="J1339">
        <f>IF(E1339="Outlook",COUNTIF($E$2:E1339,"Outlook"),"")</f>
        <v/>
      </c>
      <c r="K1339">
        <f>IF(E1339="Domain",COUNTIF($E$2:E1339,"Domain"),"")</f>
        <v/>
      </c>
    </row>
    <row r="1340">
      <c r="A1340" s="2" t="n"/>
      <c r="B1340">
        <f>LOWER(TRIM(A1340))</f>
        <v/>
      </c>
      <c r="C1340">
        <f>IF(B1340="","",IFERROR(INDEX('Bad Patterns'!$A$2:$A$120,MATCH(1,INDEX(--ISNUMBER(SEARCH('Bad Patterns'!$A$2:$A$120,B1340)),0),0)),""))</f>
        <v/>
      </c>
      <c r="D1340">
        <f>IF(B1340="","",IF(C1340&lt;&gt;"","REMOVE","KEEP"))</f>
        <v/>
      </c>
      <c r="E1340">
        <f>IF(D1340&lt;&gt;"KEEP","",IF(RIGHT(B1340,10)="@gmail.com","Gmail",IF(OR(RIGHT(B1340,12)="@outlook.com",RIGHT(B1340,12)="@hotmail.com",RIGHT(B1340,9)="@live.com"),"Outlook","Domain")))</f>
        <v/>
      </c>
      <c r="F1340">
        <f>IF(B1340="","",IFERROR(RIGHT(B1340,LEN(B1340)-FIND("@",B1340)),""))</f>
        <v/>
      </c>
      <c r="G1340">
        <f>IF(D1340="KEEP",COUNTIF($D$2:D1340,"KEEP"),"")</f>
        <v/>
      </c>
      <c r="H1340">
        <f>IF(D1340="REMOVE",COUNTIF($D$2:D1340,"REMOVE"),"")</f>
        <v/>
      </c>
      <c r="I1340">
        <f>IF(E1340="Gmail",COUNTIF($E$2:E1340,"Gmail"),"")</f>
        <v/>
      </c>
      <c r="J1340">
        <f>IF(E1340="Outlook",COUNTIF($E$2:E1340,"Outlook"),"")</f>
        <v/>
      </c>
      <c r="K1340">
        <f>IF(E1340="Domain",COUNTIF($E$2:E1340,"Domain"),"")</f>
        <v/>
      </c>
    </row>
    <row r="1341">
      <c r="A1341" s="2" t="n"/>
      <c r="B1341">
        <f>LOWER(TRIM(A1341))</f>
        <v/>
      </c>
      <c r="C1341">
        <f>IF(B1341="","",IFERROR(INDEX('Bad Patterns'!$A$2:$A$120,MATCH(1,INDEX(--ISNUMBER(SEARCH('Bad Patterns'!$A$2:$A$120,B1341)),0),0)),""))</f>
        <v/>
      </c>
      <c r="D1341">
        <f>IF(B1341="","",IF(C1341&lt;&gt;"","REMOVE","KEEP"))</f>
        <v/>
      </c>
      <c r="E1341">
        <f>IF(D1341&lt;&gt;"KEEP","",IF(RIGHT(B1341,10)="@gmail.com","Gmail",IF(OR(RIGHT(B1341,12)="@outlook.com",RIGHT(B1341,12)="@hotmail.com",RIGHT(B1341,9)="@live.com"),"Outlook","Domain")))</f>
        <v/>
      </c>
      <c r="F1341">
        <f>IF(B1341="","",IFERROR(RIGHT(B1341,LEN(B1341)-FIND("@",B1341)),""))</f>
        <v/>
      </c>
      <c r="G1341">
        <f>IF(D1341="KEEP",COUNTIF($D$2:D1341,"KEEP"),"")</f>
        <v/>
      </c>
      <c r="H1341">
        <f>IF(D1341="REMOVE",COUNTIF($D$2:D1341,"REMOVE"),"")</f>
        <v/>
      </c>
      <c r="I1341">
        <f>IF(E1341="Gmail",COUNTIF($E$2:E1341,"Gmail"),"")</f>
        <v/>
      </c>
      <c r="J1341">
        <f>IF(E1341="Outlook",COUNTIF($E$2:E1341,"Outlook"),"")</f>
        <v/>
      </c>
      <c r="K1341">
        <f>IF(E1341="Domain",COUNTIF($E$2:E1341,"Domain"),"")</f>
        <v/>
      </c>
    </row>
    <row r="1342">
      <c r="A1342" s="2" t="n"/>
      <c r="B1342">
        <f>LOWER(TRIM(A1342))</f>
        <v/>
      </c>
      <c r="C1342">
        <f>IF(B1342="","",IFERROR(INDEX('Bad Patterns'!$A$2:$A$120,MATCH(1,INDEX(--ISNUMBER(SEARCH('Bad Patterns'!$A$2:$A$120,B1342)),0),0)),""))</f>
        <v/>
      </c>
      <c r="D1342">
        <f>IF(B1342="","",IF(C1342&lt;&gt;"","REMOVE","KEEP"))</f>
        <v/>
      </c>
      <c r="E1342">
        <f>IF(D1342&lt;&gt;"KEEP","",IF(RIGHT(B1342,10)="@gmail.com","Gmail",IF(OR(RIGHT(B1342,12)="@outlook.com",RIGHT(B1342,12)="@hotmail.com",RIGHT(B1342,9)="@live.com"),"Outlook","Domain")))</f>
        <v/>
      </c>
      <c r="F1342">
        <f>IF(B1342="","",IFERROR(RIGHT(B1342,LEN(B1342)-FIND("@",B1342)),""))</f>
        <v/>
      </c>
      <c r="G1342">
        <f>IF(D1342="KEEP",COUNTIF($D$2:D1342,"KEEP"),"")</f>
        <v/>
      </c>
      <c r="H1342">
        <f>IF(D1342="REMOVE",COUNTIF($D$2:D1342,"REMOVE"),"")</f>
        <v/>
      </c>
      <c r="I1342">
        <f>IF(E1342="Gmail",COUNTIF($E$2:E1342,"Gmail"),"")</f>
        <v/>
      </c>
      <c r="J1342">
        <f>IF(E1342="Outlook",COUNTIF($E$2:E1342,"Outlook"),"")</f>
        <v/>
      </c>
      <c r="K1342">
        <f>IF(E1342="Domain",COUNTIF($E$2:E1342,"Domain"),"")</f>
        <v/>
      </c>
    </row>
    <row r="1343">
      <c r="A1343" s="2" t="n"/>
      <c r="B1343">
        <f>LOWER(TRIM(A1343))</f>
        <v/>
      </c>
      <c r="C1343">
        <f>IF(B1343="","",IFERROR(INDEX('Bad Patterns'!$A$2:$A$120,MATCH(1,INDEX(--ISNUMBER(SEARCH('Bad Patterns'!$A$2:$A$120,B1343)),0),0)),""))</f>
        <v/>
      </c>
      <c r="D1343">
        <f>IF(B1343="","",IF(C1343&lt;&gt;"","REMOVE","KEEP"))</f>
        <v/>
      </c>
      <c r="E1343">
        <f>IF(D1343&lt;&gt;"KEEP","",IF(RIGHT(B1343,10)="@gmail.com","Gmail",IF(OR(RIGHT(B1343,12)="@outlook.com",RIGHT(B1343,12)="@hotmail.com",RIGHT(B1343,9)="@live.com"),"Outlook","Domain")))</f>
        <v/>
      </c>
      <c r="F1343">
        <f>IF(B1343="","",IFERROR(RIGHT(B1343,LEN(B1343)-FIND("@",B1343)),""))</f>
        <v/>
      </c>
      <c r="G1343">
        <f>IF(D1343="KEEP",COUNTIF($D$2:D1343,"KEEP"),"")</f>
        <v/>
      </c>
      <c r="H1343">
        <f>IF(D1343="REMOVE",COUNTIF($D$2:D1343,"REMOVE"),"")</f>
        <v/>
      </c>
      <c r="I1343">
        <f>IF(E1343="Gmail",COUNTIF($E$2:E1343,"Gmail"),"")</f>
        <v/>
      </c>
      <c r="J1343">
        <f>IF(E1343="Outlook",COUNTIF($E$2:E1343,"Outlook"),"")</f>
        <v/>
      </c>
      <c r="K1343">
        <f>IF(E1343="Domain",COUNTIF($E$2:E1343,"Domain"),"")</f>
        <v/>
      </c>
    </row>
    <row r="1344">
      <c r="A1344" s="2" t="n"/>
      <c r="B1344">
        <f>LOWER(TRIM(A1344))</f>
        <v/>
      </c>
      <c r="C1344">
        <f>IF(B1344="","",IFERROR(INDEX('Bad Patterns'!$A$2:$A$120,MATCH(1,INDEX(--ISNUMBER(SEARCH('Bad Patterns'!$A$2:$A$120,B1344)),0),0)),""))</f>
        <v/>
      </c>
      <c r="D1344">
        <f>IF(B1344="","",IF(C1344&lt;&gt;"","REMOVE","KEEP"))</f>
        <v/>
      </c>
      <c r="E1344">
        <f>IF(D1344&lt;&gt;"KEEP","",IF(RIGHT(B1344,10)="@gmail.com","Gmail",IF(OR(RIGHT(B1344,12)="@outlook.com",RIGHT(B1344,12)="@hotmail.com",RIGHT(B1344,9)="@live.com"),"Outlook","Domain")))</f>
        <v/>
      </c>
      <c r="F1344">
        <f>IF(B1344="","",IFERROR(RIGHT(B1344,LEN(B1344)-FIND("@",B1344)),""))</f>
        <v/>
      </c>
      <c r="G1344">
        <f>IF(D1344="KEEP",COUNTIF($D$2:D1344,"KEEP"),"")</f>
        <v/>
      </c>
      <c r="H1344">
        <f>IF(D1344="REMOVE",COUNTIF($D$2:D1344,"REMOVE"),"")</f>
        <v/>
      </c>
      <c r="I1344">
        <f>IF(E1344="Gmail",COUNTIF($E$2:E1344,"Gmail"),"")</f>
        <v/>
      </c>
      <c r="J1344">
        <f>IF(E1344="Outlook",COUNTIF($E$2:E1344,"Outlook"),"")</f>
        <v/>
      </c>
      <c r="K1344">
        <f>IF(E1344="Domain",COUNTIF($E$2:E1344,"Domain"),"")</f>
        <v/>
      </c>
    </row>
    <row r="1345">
      <c r="A1345" s="2" t="n"/>
      <c r="B1345">
        <f>LOWER(TRIM(A1345))</f>
        <v/>
      </c>
      <c r="C1345">
        <f>IF(B1345="","",IFERROR(INDEX('Bad Patterns'!$A$2:$A$120,MATCH(1,INDEX(--ISNUMBER(SEARCH('Bad Patterns'!$A$2:$A$120,B1345)),0),0)),""))</f>
        <v/>
      </c>
      <c r="D1345">
        <f>IF(B1345="","",IF(C1345&lt;&gt;"","REMOVE","KEEP"))</f>
        <v/>
      </c>
      <c r="E1345">
        <f>IF(D1345&lt;&gt;"KEEP","",IF(RIGHT(B1345,10)="@gmail.com","Gmail",IF(OR(RIGHT(B1345,12)="@outlook.com",RIGHT(B1345,12)="@hotmail.com",RIGHT(B1345,9)="@live.com"),"Outlook","Domain")))</f>
        <v/>
      </c>
      <c r="F1345">
        <f>IF(B1345="","",IFERROR(RIGHT(B1345,LEN(B1345)-FIND("@",B1345)),""))</f>
        <v/>
      </c>
      <c r="G1345">
        <f>IF(D1345="KEEP",COUNTIF($D$2:D1345,"KEEP"),"")</f>
        <v/>
      </c>
      <c r="H1345">
        <f>IF(D1345="REMOVE",COUNTIF($D$2:D1345,"REMOVE"),"")</f>
        <v/>
      </c>
      <c r="I1345">
        <f>IF(E1345="Gmail",COUNTIF($E$2:E1345,"Gmail"),"")</f>
        <v/>
      </c>
      <c r="J1345">
        <f>IF(E1345="Outlook",COUNTIF($E$2:E1345,"Outlook"),"")</f>
        <v/>
      </c>
      <c r="K1345">
        <f>IF(E1345="Domain",COUNTIF($E$2:E1345,"Domain"),"")</f>
        <v/>
      </c>
    </row>
    <row r="1346">
      <c r="A1346" s="2" t="n"/>
      <c r="B1346">
        <f>LOWER(TRIM(A1346))</f>
        <v/>
      </c>
      <c r="C1346">
        <f>IF(B1346="","",IFERROR(INDEX('Bad Patterns'!$A$2:$A$120,MATCH(1,INDEX(--ISNUMBER(SEARCH('Bad Patterns'!$A$2:$A$120,B1346)),0),0)),""))</f>
        <v/>
      </c>
      <c r="D1346">
        <f>IF(B1346="","",IF(C1346&lt;&gt;"","REMOVE","KEEP"))</f>
        <v/>
      </c>
      <c r="E1346">
        <f>IF(D1346&lt;&gt;"KEEP","",IF(RIGHT(B1346,10)="@gmail.com","Gmail",IF(OR(RIGHT(B1346,12)="@outlook.com",RIGHT(B1346,12)="@hotmail.com",RIGHT(B1346,9)="@live.com"),"Outlook","Domain")))</f>
        <v/>
      </c>
      <c r="F1346">
        <f>IF(B1346="","",IFERROR(RIGHT(B1346,LEN(B1346)-FIND("@",B1346)),""))</f>
        <v/>
      </c>
      <c r="G1346">
        <f>IF(D1346="KEEP",COUNTIF($D$2:D1346,"KEEP"),"")</f>
        <v/>
      </c>
      <c r="H1346">
        <f>IF(D1346="REMOVE",COUNTIF($D$2:D1346,"REMOVE"),"")</f>
        <v/>
      </c>
      <c r="I1346">
        <f>IF(E1346="Gmail",COUNTIF($E$2:E1346,"Gmail"),"")</f>
        <v/>
      </c>
      <c r="J1346">
        <f>IF(E1346="Outlook",COUNTIF($E$2:E1346,"Outlook"),"")</f>
        <v/>
      </c>
      <c r="K1346">
        <f>IF(E1346="Domain",COUNTIF($E$2:E1346,"Domain"),"")</f>
        <v/>
      </c>
    </row>
    <row r="1347">
      <c r="A1347" s="2" t="n"/>
      <c r="B1347">
        <f>LOWER(TRIM(A1347))</f>
        <v/>
      </c>
      <c r="C1347">
        <f>IF(B1347="","",IFERROR(INDEX('Bad Patterns'!$A$2:$A$120,MATCH(1,INDEX(--ISNUMBER(SEARCH('Bad Patterns'!$A$2:$A$120,B1347)),0),0)),""))</f>
        <v/>
      </c>
      <c r="D1347">
        <f>IF(B1347="","",IF(C1347&lt;&gt;"","REMOVE","KEEP"))</f>
        <v/>
      </c>
      <c r="E1347">
        <f>IF(D1347&lt;&gt;"KEEP","",IF(RIGHT(B1347,10)="@gmail.com","Gmail",IF(OR(RIGHT(B1347,12)="@outlook.com",RIGHT(B1347,12)="@hotmail.com",RIGHT(B1347,9)="@live.com"),"Outlook","Domain")))</f>
        <v/>
      </c>
      <c r="F1347">
        <f>IF(B1347="","",IFERROR(RIGHT(B1347,LEN(B1347)-FIND("@",B1347)),""))</f>
        <v/>
      </c>
      <c r="G1347">
        <f>IF(D1347="KEEP",COUNTIF($D$2:D1347,"KEEP"),"")</f>
        <v/>
      </c>
      <c r="H1347">
        <f>IF(D1347="REMOVE",COUNTIF($D$2:D1347,"REMOVE"),"")</f>
        <v/>
      </c>
      <c r="I1347">
        <f>IF(E1347="Gmail",COUNTIF($E$2:E1347,"Gmail"),"")</f>
        <v/>
      </c>
      <c r="J1347">
        <f>IF(E1347="Outlook",COUNTIF($E$2:E1347,"Outlook"),"")</f>
        <v/>
      </c>
      <c r="K1347">
        <f>IF(E1347="Domain",COUNTIF($E$2:E1347,"Domain"),"")</f>
        <v/>
      </c>
    </row>
    <row r="1348">
      <c r="A1348" s="2" t="n"/>
      <c r="B1348">
        <f>LOWER(TRIM(A1348))</f>
        <v/>
      </c>
      <c r="C1348">
        <f>IF(B1348="","",IFERROR(INDEX('Bad Patterns'!$A$2:$A$120,MATCH(1,INDEX(--ISNUMBER(SEARCH('Bad Patterns'!$A$2:$A$120,B1348)),0),0)),""))</f>
        <v/>
      </c>
      <c r="D1348">
        <f>IF(B1348="","",IF(C1348&lt;&gt;"","REMOVE","KEEP"))</f>
        <v/>
      </c>
      <c r="E1348">
        <f>IF(D1348&lt;&gt;"KEEP","",IF(RIGHT(B1348,10)="@gmail.com","Gmail",IF(OR(RIGHT(B1348,12)="@outlook.com",RIGHT(B1348,12)="@hotmail.com",RIGHT(B1348,9)="@live.com"),"Outlook","Domain")))</f>
        <v/>
      </c>
      <c r="F1348">
        <f>IF(B1348="","",IFERROR(RIGHT(B1348,LEN(B1348)-FIND("@",B1348)),""))</f>
        <v/>
      </c>
      <c r="G1348">
        <f>IF(D1348="KEEP",COUNTIF($D$2:D1348,"KEEP"),"")</f>
        <v/>
      </c>
      <c r="H1348">
        <f>IF(D1348="REMOVE",COUNTIF($D$2:D1348,"REMOVE"),"")</f>
        <v/>
      </c>
      <c r="I1348">
        <f>IF(E1348="Gmail",COUNTIF($E$2:E1348,"Gmail"),"")</f>
        <v/>
      </c>
      <c r="J1348">
        <f>IF(E1348="Outlook",COUNTIF($E$2:E1348,"Outlook"),"")</f>
        <v/>
      </c>
      <c r="K1348">
        <f>IF(E1348="Domain",COUNTIF($E$2:E1348,"Domain"),"")</f>
        <v/>
      </c>
    </row>
    <row r="1349">
      <c r="A1349" s="2" t="n"/>
      <c r="B1349">
        <f>LOWER(TRIM(A1349))</f>
        <v/>
      </c>
      <c r="C1349">
        <f>IF(B1349="","",IFERROR(INDEX('Bad Patterns'!$A$2:$A$120,MATCH(1,INDEX(--ISNUMBER(SEARCH('Bad Patterns'!$A$2:$A$120,B1349)),0),0)),""))</f>
        <v/>
      </c>
      <c r="D1349">
        <f>IF(B1349="","",IF(C1349&lt;&gt;"","REMOVE","KEEP"))</f>
        <v/>
      </c>
      <c r="E1349">
        <f>IF(D1349&lt;&gt;"KEEP","",IF(RIGHT(B1349,10)="@gmail.com","Gmail",IF(OR(RIGHT(B1349,12)="@outlook.com",RIGHT(B1349,12)="@hotmail.com",RIGHT(B1349,9)="@live.com"),"Outlook","Domain")))</f>
        <v/>
      </c>
      <c r="F1349">
        <f>IF(B1349="","",IFERROR(RIGHT(B1349,LEN(B1349)-FIND("@",B1349)),""))</f>
        <v/>
      </c>
      <c r="G1349">
        <f>IF(D1349="KEEP",COUNTIF($D$2:D1349,"KEEP"),"")</f>
        <v/>
      </c>
      <c r="H1349">
        <f>IF(D1349="REMOVE",COUNTIF($D$2:D1349,"REMOVE"),"")</f>
        <v/>
      </c>
      <c r="I1349">
        <f>IF(E1349="Gmail",COUNTIF($E$2:E1349,"Gmail"),"")</f>
        <v/>
      </c>
      <c r="J1349">
        <f>IF(E1349="Outlook",COUNTIF($E$2:E1349,"Outlook"),"")</f>
        <v/>
      </c>
      <c r="K1349">
        <f>IF(E1349="Domain",COUNTIF($E$2:E1349,"Domain"),"")</f>
        <v/>
      </c>
    </row>
    <row r="1350">
      <c r="A1350" s="2" t="n"/>
      <c r="B1350">
        <f>LOWER(TRIM(A1350))</f>
        <v/>
      </c>
      <c r="C1350">
        <f>IF(B1350="","",IFERROR(INDEX('Bad Patterns'!$A$2:$A$120,MATCH(1,INDEX(--ISNUMBER(SEARCH('Bad Patterns'!$A$2:$A$120,B1350)),0),0)),""))</f>
        <v/>
      </c>
      <c r="D1350">
        <f>IF(B1350="","",IF(C1350&lt;&gt;"","REMOVE","KEEP"))</f>
        <v/>
      </c>
      <c r="E1350">
        <f>IF(D1350&lt;&gt;"KEEP","",IF(RIGHT(B1350,10)="@gmail.com","Gmail",IF(OR(RIGHT(B1350,12)="@outlook.com",RIGHT(B1350,12)="@hotmail.com",RIGHT(B1350,9)="@live.com"),"Outlook","Domain")))</f>
        <v/>
      </c>
      <c r="F1350">
        <f>IF(B1350="","",IFERROR(RIGHT(B1350,LEN(B1350)-FIND("@",B1350)),""))</f>
        <v/>
      </c>
      <c r="G1350">
        <f>IF(D1350="KEEP",COUNTIF($D$2:D1350,"KEEP"),"")</f>
        <v/>
      </c>
      <c r="H1350">
        <f>IF(D1350="REMOVE",COUNTIF($D$2:D1350,"REMOVE"),"")</f>
        <v/>
      </c>
      <c r="I1350">
        <f>IF(E1350="Gmail",COUNTIF($E$2:E1350,"Gmail"),"")</f>
        <v/>
      </c>
      <c r="J1350">
        <f>IF(E1350="Outlook",COUNTIF($E$2:E1350,"Outlook"),"")</f>
        <v/>
      </c>
      <c r="K1350">
        <f>IF(E1350="Domain",COUNTIF($E$2:E1350,"Domain"),"")</f>
        <v/>
      </c>
    </row>
    <row r="1351">
      <c r="A1351" s="2" t="n"/>
      <c r="B1351">
        <f>LOWER(TRIM(A1351))</f>
        <v/>
      </c>
      <c r="C1351">
        <f>IF(B1351="","",IFERROR(INDEX('Bad Patterns'!$A$2:$A$120,MATCH(1,INDEX(--ISNUMBER(SEARCH('Bad Patterns'!$A$2:$A$120,B1351)),0),0)),""))</f>
        <v/>
      </c>
      <c r="D1351">
        <f>IF(B1351="","",IF(C1351&lt;&gt;"","REMOVE","KEEP"))</f>
        <v/>
      </c>
      <c r="E1351">
        <f>IF(D1351&lt;&gt;"KEEP","",IF(RIGHT(B1351,10)="@gmail.com","Gmail",IF(OR(RIGHT(B1351,12)="@outlook.com",RIGHT(B1351,12)="@hotmail.com",RIGHT(B1351,9)="@live.com"),"Outlook","Domain")))</f>
        <v/>
      </c>
      <c r="F1351">
        <f>IF(B1351="","",IFERROR(RIGHT(B1351,LEN(B1351)-FIND("@",B1351)),""))</f>
        <v/>
      </c>
      <c r="G1351">
        <f>IF(D1351="KEEP",COUNTIF($D$2:D1351,"KEEP"),"")</f>
        <v/>
      </c>
      <c r="H1351">
        <f>IF(D1351="REMOVE",COUNTIF($D$2:D1351,"REMOVE"),"")</f>
        <v/>
      </c>
      <c r="I1351">
        <f>IF(E1351="Gmail",COUNTIF($E$2:E1351,"Gmail"),"")</f>
        <v/>
      </c>
      <c r="J1351">
        <f>IF(E1351="Outlook",COUNTIF($E$2:E1351,"Outlook"),"")</f>
        <v/>
      </c>
      <c r="K1351">
        <f>IF(E1351="Domain",COUNTIF($E$2:E1351,"Domain"),"")</f>
        <v/>
      </c>
    </row>
    <row r="1352">
      <c r="A1352" s="2" t="n"/>
      <c r="B1352">
        <f>LOWER(TRIM(A1352))</f>
        <v/>
      </c>
      <c r="C1352">
        <f>IF(B1352="","",IFERROR(INDEX('Bad Patterns'!$A$2:$A$120,MATCH(1,INDEX(--ISNUMBER(SEARCH('Bad Patterns'!$A$2:$A$120,B1352)),0),0)),""))</f>
        <v/>
      </c>
      <c r="D1352">
        <f>IF(B1352="","",IF(C1352&lt;&gt;"","REMOVE","KEEP"))</f>
        <v/>
      </c>
      <c r="E1352">
        <f>IF(D1352&lt;&gt;"KEEP","",IF(RIGHT(B1352,10)="@gmail.com","Gmail",IF(OR(RIGHT(B1352,12)="@outlook.com",RIGHT(B1352,12)="@hotmail.com",RIGHT(B1352,9)="@live.com"),"Outlook","Domain")))</f>
        <v/>
      </c>
      <c r="F1352">
        <f>IF(B1352="","",IFERROR(RIGHT(B1352,LEN(B1352)-FIND("@",B1352)),""))</f>
        <v/>
      </c>
      <c r="G1352">
        <f>IF(D1352="KEEP",COUNTIF($D$2:D1352,"KEEP"),"")</f>
        <v/>
      </c>
      <c r="H1352">
        <f>IF(D1352="REMOVE",COUNTIF($D$2:D1352,"REMOVE"),"")</f>
        <v/>
      </c>
      <c r="I1352">
        <f>IF(E1352="Gmail",COUNTIF($E$2:E1352,"Gmail"),"")</f>
        <v/>
      </c>
      <c r="J1352">
        <f>IF(E1352="Outlook",COUNTIF($E$2:E1352,"Outlook"),"")</f>
        <v/>
      </c>
      <c r="K1352">
        <f>IF(E1352="Domain",COUNTIF($E$2:E1352,"Domain"),"")</f>
        <v/>
      </c>
    </row>
    <row r="1353">
      <c r="A1353" s="2" t="n"/>
      <c r="B1353">
        <f>LOWER(TRIM(A1353))</f>
        <v/>
      </c>
      <c r="C1353">
        <f>IF(B1353="","",IFERROR(INDEX('Bad Patterns'!$A$2:$A$120,MATCH(1,INDEX(--ISNUMBER(SEARCH('Bad Patterns'!$A$2:$A$120,B1353)),0),0)),""))</f>
        <v/>
      </c>
      <c r="D1353">
        <f>IF(B1353="","",IF(C1353&lt;&gt;"","REMOVE","KEEP"))</f>
        <v/>
      </c>
      <c r="E1353">
        <f>IF(D1353&lt;&gt;"KEEP","",IF(RIGHT(B1353,10)="@gmail.com","Gmail",IF(OR(RIGHT(B1353,12)="@outlook.com",RIGHT(B1353,12)="@hotmail.com",RIGHT(B1353,9)="@live.com"),"Outlook","Domain")))</f>
        <v/>
      </c>
      <c r="F1353">
        <f>IF(B1353="","",IFERROR(RIGHT(B1353,LEN(B1353)-FIND("@",B1353)),""))</f>
        <v/>
      </c>
      <c r="G1353">
        <f>IF(D1353="KEEP",COUNTIF($D$2:D1353,"KEEP"),"")</f>
        <v/>
      </c>
      <c r="H1353">
        <f>IF(D1353="REMOVE",COUNTIF($D$2:D1353,"REMOVE"),"")</f>
        <v/>
      </c>
      <c r="I1353">
        <f>IF(E1353="Gmail",COUNTIF($E$2:E1353,"Gmail"),"")</f>
        <v/>
      </c>
      <c r="J1353">
        <f>IF(E1353="Outlook",COUNTIF($E$2:E1353,"Outlook"),"")</f>
        <v/>
      </c>
      <c r="K1353">
        <f>IF(E1353="Domain",COUNTIF($E$2:E1353,"Domain"),"")</f>
        <v/>
      </c>
    </row>
    <row r="1354">
      <c r="A1354" s="2" t="n"/>
      <c r="B1354">
        <f>LOWER(TRIM(A1354))</f>
        <v/>
      </c>
      <c r="C1354">
        <f>IF(B1354="","",IFERROR(INDEX('Bad Patterns'!$A$2:$A$120,MATCH(1,INDEX(--ISNUMBER(SEARCH('Bad Patterns'!$A$2:$A$120,B1354)),0),0)),""))</f>
        <v/>
      </c>
      <c r="D1354">
        <f>IF(B1354="","",IF(C1354&lt;&gt;"","REMOVE","KEEP"))</f>
        <v/>
      </c>
      <c r="E1354">
        <f>IF(D1354&lt;&gt;"KEEP","",IF(RIGHT(B1354,10)="@gmail.com","Gmail",IF(OR(RIGHT(B1354,12)="@outlook.com",RIGHT(B1354,12)="@hotmail.com",RIGHT(B1354,9)="@live.com"),"Outlook","Domain")))</f>
        <v/>
      </c>
      <c r="F1354">
        <f>IF(B1354="","",IFERROR(RIGHT(B1354,LEN(B1354)-FIND("@",B1354)),""))</f>
        <v/>
      </c>
      <c r="G1354">
        <f>IF(D1354="KEEP",COUNTIF($D$2:D1354,"KEEP"),"")</f>
        <v/>
      </c>
      <c r="H1354">
        <f>IF(D1354="REMOVE",COUNTIF($D$2:D1354,"REMOVE"),"")</f>
        <v/>
      </c>
      <c r="I1354">
        <f>IF(E1354="Gmail",COUNTIF($E$2:E1354,"Gmail"),"")</f>
        <v/>
      </c>
      <c r="J1354">
        <f>IF(E1354="Outlook",COUNTIF($E$2:E1354,"Outlook"),"")</f>
        <v/>
      </c>
      <c r="K1354">
        <f>IF(E1354="Domain",COUNTIF($E$2:E1354,"Domain"),"")</f>
        <v/>
      </c>
    </row>
    <row r="1355">
      <c r="A1355" s="2" t="n"/>
      <c r="B1355">
        <f>LOWER(TRIM(A1355))</f>
        <v/>
      </c>
      <c r="C1355">
        <f>IF(B1355="","",IFERROR(INDEX('Bad Patterns'!$A$2:$A$120,MATCH(1,INDEX(--ISNUMBER(SEARCH('Bad Patterns'!$A$2:$A$120,B1355)),0),0)),""))</f>
        <v/>
      </c>
      <c r="D1355">
        <f>IF(B1355="","",IF(C1355&lt;&gt;"","REMOVE","KEEP"))</f>
        <v/>
      </c>
      <c r="E1355">
        <f>IF(D1355&lt;&gt;"KEEP","",IF(RIGHT(B1355,10)="@gmail.com","Gmail",IF(OR(RIGHT(B1355,12)="@outlook.com",RIGHT(B1355,12)="@hotmail.com",RIGHT(B1355,9)="@live.com"),"Outlook","Domain")))</f>
        <v/>
      </c>
      <c r="F1355">
        <f>IF(B1355="","",IFERROR(RIGHT(B1355,LEN(B1355)-FIND("@",B1355)),""))</f>
        <v/>
      </c>
      <c r="G1355">
        <f>IF(D1355="KEEP",COUNTIF($D$2:D1355,"KEEP"),"")</f>
        <v/>
      </c>
      <c r="H1355">
        <f>IF(D1355="REMOVE",COUNTIF($D$2:D1355,"REMOVE"),"")</f>
        <v/>
      </c>
      <c r="I1355">
        <f>IF(E1355="Gmail",COUNTIF($E$2:E1355,"Gmail"),"")</f>
        <v/>
      </c>
      <c r="J1355">
        <f>IF(E1355="Outlook",COUNTIF($E$2:E1355,"Outlook"),"")</f>
        <v/>
      </c>
      <c r="K1355">
        <f>IF(E1355="Domain",COUNTIF($E$2:E1355,"Domain"),"")</f>
        <v/>
      </c>
    </row>
    <row r="1356">
      <c r="A1356" s="2" t="n"/>
      <c r="B1356">
        <f>LOWER(TRIM(A1356))</f>
        <v/>
      </c>
      <c r="C1356">
        <f>IF(B1356="","",IFERROR(INDEX('Bad Patterns'!$A$2:$A$120,MATCH(1,INDEX(--ISNUMBER(SEARCH('Bad Patterns'!$A$2:$A$120,B1356)),0),0)),""))</f>
        <v/>
      </c>
      <c r="D1356">
        <f>IF(B1356="","",IF(C1356&lt;&gt;"","REMOVE","KEEP"))</f>
        <v/>
      </c>
      <c r="E1356">
        <f>IF(D1356&lt;&gt;"KEEP","",IF(RIGHT(B1356,10)="@gmail.com","Gmail",IF(OR(RIGHT(B1356,12)="@outlook.com",RIGHT(B1356,12)="@hotmail.com",RIGHT(B1356,9)="@live.com"),"Outlook","Domain")))</f>
        <v/>
      </c>
      <c r="F1356">
        <f>IF(B1356="","",IFERROR(RIGHT(B1356,LEN(B1356)-FIND("@",B1356)),""))</f>
        <v/>
      </c>
      <c r="G1356">
        <f>IF(D1356="KEEP",COUNTIF($D$2:D1356,"KEEP"),"")</f>
        <v/>
      </c>
      <c r="H1356">
        <f>IF(D1356="REMOVE",COUNTIF($D$2:D1356,"REMOVE"),"")</f>
        <v/>
      </c>
      <c r="I1356">
        <f>IF(E1356="Gmail",COUNTIF($E$2:E1356,"Gmail"),"")</f>
        <v/>
      </c>
      <c r="J1356">
        <f>IF(E1356="Outlook",COUNTIF($E$2:E1356,"Outlook"),"")</f>
        <v/>
      </c>
      <c r="K1356">
        <f>IF(E1356="Domain",COUNTIF($E$2:E1356,"Domain"),"")</f>
        <v/>
      </c>
    </row>
    <row r="1357">
      <c r="A1357" s="2" t="n"/>
      <c r="B1357">
        <f>LOWER(TRIM(A1357))</f>
        <v/>
      </c>
      <c r="C1357">
        <f>IF(B1357="","",IFERROR(INDEX('Bad Patterns'!$A$2:$A$120,MATCH(1,INDEX(--ISNUMBER(SEARCH('Bad Patterns'!$A$2:$A$120,B1357)),0),0)),""))</f>
        <v/>
      </c>
      <c r="D1357">
        <f>IF(B1357="","",IF(C1357&lt;&gt;"","REMOVE","KEEP"))</f>
        <v/>
      </c>
      <c r="E1357">
        <f>IF(D1357&lt;&gt;"KEEP","",IF(RIGHT(B1357,10)="@gmail.com","Gmail",IF(OR(RIGHT(B1357,12)="@outlook.com",RIGHT(B1357,12)="@hotmail.com",RIGHT(B1357,9)="@live.com"),"Outlook","Domain")))</f>
        <v/>
      </c>
      <c r="F1357">
        <f>IF(B1357="","",IFERROR(RIGHT(B1357,LEN(B1357)-FIND("@",B1357)),""))</f>
        <v/>
      </c>
      <c r="G1357">
        <f>IF(D1357="KEEP",COUNTIF($D$2:D1357,"KEEP"),"")</f>
        <v/>
      </c>
      <c r="H1357">
        <f>IF(D1357="REMOVE",COUNTIF($D$2:D1357,"REMOVE"),"")</f>
        <v/>
      </c>
      <c r="I1357">
        <f>IF(E1357="Gmail",COUNTIF($E$2:E1357,"Gmail"),"")</f>
        <v/>
      </c>
      <c r="J1357">
        <f>IF(E1357="Outlook",COUNTIF($E$2:E1357,"Outlook"),"")</f>
        <v/>
      </c>
      <c r="K1357">
        <f>IF(E1357="Domain",COUNTIF($E$2:E1357,"Domain"),"")</f>
        <v/>
      </c>
    </row>
    <row r="1358">
      <c r="A1358" s="2" t="n"/>
      <c r="B1358">
        <f>LOWER(TRIM(A1358))</f>
        <v/>
      </c>
      <c r="C1358">
        <f>IF(B1358="","",IFERROR(INDEX('Bad Patterns'!$A$2:$A$120,MATCH(1,INDEX(--ISNUMBER(SEARCH('Bad Patterns'!$A$2:$A$120,B1358)),0),0)),""))</f>
        <v/>
      </c>
      <c r="D1358">
        <f>IF(B1358="","",IF(C1358&lt;&gt;"","REMOVE","KEEP"))</f>
        <v/>
      </c>
      <c r="E1358">
        <f>IF(D1358&lt;&gt;"KEEP","",IF(RIGHT(B1358,10)="@gmail.com","Gmail",IF(OR(RIGHT(B1358,12)="@outlook.com",RIGHT(B1358,12)="@hotmail.com",RIGHT(B1358,9)="@live.com"),"Outlook","Domain")))</f>
        <v/>
      </c>
      <c r="F1358">
        <f>IF(B1358="","",IFERROR(RIGHT(B1358,LEN(B1358)-FIND("@",B1358)),""))</f>
        <v/>
      </c>
      <c r="G1358">
        <f>IF(D1358="KEEP",COUNTIF($D$2:D1358,"KEEP"),"")</f>
        <v/>
      </c>
      <c r="H1358">
        <f>IF(D1358="REMOVE",COUNTIF($D$2:D1358,"REMOVE"),"")</f>
        <v/>
      </c>
      <c r="I1358">
        <f>IF(E1358="Gmail",COUNTIF($E$2:E1358,"Gmail"),"")</f>
        <v/>
      </c>
      <c r="J1358">
        <f>IF(E1358="Outlook",COUNTIF($E$2:E1358,"Outlook"),"")</f>
        <v/>
      </c>
      <c r="K1358">
        <f>IF(E1358="Domain",COUNTIF($E$2:E1358,"Domain"),"")</f>
        <v/>
      </c>
    </row>
    <row r="1359">
      <c r="A1359" s="2" t="n"/>
      <c r="B1359">
        <f>LOWER(TRIM(A1359))</f>
        <v/>
      </c>
      <c r="C1359">
        <f>IF(B1359="","",IFERROR(INDEX('Bad Patterns'!$A$2:$A$120,MATCH(1,INDEX(--ISNUMBER(SEARCH('Bad Patterns'!$A$2:$A$120,B1359)),0),0)),""))</f>
        <v/>
      </c>
      <c r="D1359">
        <f>IF(B1359="","",IF(C1359&lt;&gt;"","REMOVE","KEEP"))</f>
        <v/>
      </c>
      <c r="E1359">
        <f>IF(D1359&lt;&gt;"KEEP","",IF(RIGHT(B1359,10)="@gmail.com","Gmail",IF(OR(RIGHT(B1359,12)="@outlook.com",RIGHT(B1359,12)="@hotmail.com",RIGHT(B1359,9)="@live.com"),"Outlook","Domain")))</f>
        <v/>
      </c>
      <c r="F1359">
        <f>IF(B1359="","",IFERROR(RIGHT(B1359,LEN(B1359)-FIND("@",B1359)),""))</f>
        <v/>
      </c>
      <c r="G1359">
        <f>IF(D1359="KEEP",COUNTIF($D$2:D1359,"KEEP"),"")</f>
        <v/>
      </c>
      <c r="H1359">
        <f>IF(D1359="REMOVE",COUNTIF($D$2:D1359,"REMOVE"),"")</f>
        <v/>
      </c>
      <c r="I1359">
        <f>IF(E1359="Gmail",COUNTIF($E$2:E1359,"Gmail"),"")</f>
        <v/>
      </c>
      <c r="J1359">
        <f>IF(E1359="Outlook",COUNTIF($E$2:E1359,"Outlook"),"")</f>
        <v/>
      </c>
      <c r="K1359">
        <f>IF(E1359="Domain",COUNTIF($E$2:E1359,"Domain"),"")</f>
        <v/>
      </c>
    </row>
    <row r="1360">
      <c r="A1360" s="2" t="n"/>
      <c r="B1360">
        <f>LOWER(TRIM(A1360))</f>
        <v/>
      </c>
      <c r="C1360">
        <f>IF(B1360="","",IFERROR(INDEX('Bad Patterns'!$A$2:$A$120,MATCH(1,INDEX(--ISNUMBER(SEARCH('Bad Patterns'!$A$2:$A$120,B1360)),0),0)),""))</f>
        <v/>
      </c>
      <c r="D1360">
        <f>IF(B1360="","",IF(C1360&lt;&gt;"","REMOVE","KEEP"))</f>
        <v/>
      </c>
      <c r="E1360">
        <f>IF(D1360&lt;&gt;"KEEP","",IF(RIGHT(B1360,10)="@gmail.com","Gmail",IF(OR(RIGHT(B1360,12)="@outlook.com",RIGHT(B1360,12)="@hotmail.com",RIGHT(B1360,9)="@live.com"),"Outlook","Domain")))</f>
        <v/>
      </c>
      <c r="F1360">
        <f>IF(B1360="","",IFERROR(RIGHT(B1360,LEN(B1360)-FIND("@",B1360)),""))</f>
        <v/>
      </c>
      <c r="G1360">
        <f>IF(D1360="KEEP",COUNTIF($D$2:D1360,"KEEP"),"")</f>
        <v/>
      </c>
      <c r="H1360">
        <f>IF(D1360="REMOVE",COUNTIF($D$2:D1360,"REMOVE"),"")</f>
        <v/>
      </c>
      <c r="I1360">
        <f>IF(E1360="Gmail",COUNTIF($E$2:E1360,"Gmail"),"")</f>
        <v/>
      </c>
      <c r="J1360">
        <f>IF(E1360="Outlook",COUNTIF($E$2:E1360,"Outlook"),"")</f>
        <v/>
      </c>
      <c r="K1360">
        <f>IF(E1360="Domain",COUNTIF($E$2:E1360,"Domain"),"")</f>
        <v/>
      </c>
    </row>
    <row r="1361">
      <c r="A1361" s="2" t="n"/>
      <c r="B1361">
        <f>LOWER(TRIM(A1361))</f>
        <v/>
      </c>
      <c r="C1361">
        <f>IF(B1361="","",IFERROR(INDEX('Bad Patterns'!$A$2:$A$120,MATCH(1,INDEX(--ISNUMBER(SEARCH('Bad Patterns'!$A$2:$A$120,B1361)),0),0)),""))</f>
        <v/>
      </c>
      <c r="D1361">
        <f>IF(B1361="","",IF(C1361&lt;&gt;"","REMOVE","KEEP"))</f>
        <v/>
      </c>
      <c r="E1361">
        <f>IF(D1361&lt;&gt;"KEEP","",IF(RIGHT(B1361,10)="@gmail.com","Gmail",IF(OR(RIGHT(B1361,12)="@outlook.com",RIGHT(B1361,12)="@hotmail.com",RIGHT(B1361,9)="@live.com"),"Outlook","Domain")))</f>
        <v/>
      </c>
      <c r="F1361">
        <f>IF(B1361="","",IFERROR(RIGHT(B1361,LEN(B1361)-FIND("@",B1361)),""))</f>
        <v/>
      </c>
      <c r="G1361">
        <f>IF(D1361="KEEP",COUNTIF($D$2:D1361,"KEEP"),"")</f>
        <v/>
      </c>
      <c r="H1361">
        <f>IF(D1361="REMOVE",COUNTIF($D$2:D1361,"REMOVE"),"")</f>
        <v/>
      </c>
      <c r="I1361">
        <f>IF(E1361="Gmail",COUNTIF($E$2:E1361,"Gmail"),"")</f>
        <v/>
      </c>
      <c r="J1361">
        <f>IF(E1361="Outlook",COUNTIF($E$2:E1361,"Outlook"),"")</f>
        <v/>
      </c>
      <c r="K1361">
        <f>IF(E1361="Domain",COUNTIF($E$2:E1361,"Domain"),"")</f>
        <v/>
      </c>
    </row>
    <row r="1362">
      <c r="A1362" s="2" t="n"/>
      <c r="B1362">
        <f>LOWER(TRIM(A1362))</f>
        <v/>
      </c>
      <c r="C1362">
        <f>IF(B1362="","",IFERROR(INDEX('Bad Patterns'!$A$2:$A$120,MATCH(1,INDEX(--ISNUMBER(SEARCH('Bad Patterns'!$A$2:$A$120,B1362)),0),0)),""))</f>
        <v/>
      </c>
      <c r="D1362">
        <f>IF(B1362="","",IF(C1362&lt;&gt;"","REMOVE","KEEP"))</f>
        <v/>
      </c>
      <c r="E1362">
        <f>IF(D1362&lt;&gt;"KEEP","",IF(RIGHT(B1362,10)="@gmail.com","Gmail",IF(OR(RIGHT(B1362,12)="@outlook.com",RIGHT(B1362,12)="@hotmail.com",RIGHT(B1362,9)="@live.com"),"Outlook","Domain")))</f>
        <v/>
      </c>
      <c r="F1362">
        <f>IF(B1362="","",IFERROR(RIGHT(B1362,LEN(B1362)-FIND("@",B1362)),""))</f>
        <v/>
      </c>
      <c r="G1362">
        <f>IF(D1362="KEEP",COUNTIF($D$2:D1362,"KEEP"),"")</f>
        <v/>
      </c>
      <c r="H1362">
        <f>IF(D1362="REMOVE",COUNTIF($D$2:D1362,"REMOVE"),"")</f>
        <v/>
      </c>
      <c r="I1362">
        <f>IF(E1362="Gmail",COUNTIF($E$2:E1362,"Gmail"),"")</f>
        <v/>
      </c>
      <c r="J1362">
        <f>IF(E1362="Outlook",COUNTIF($E$2:E1362,"Outlook"),"")</f>
        <v/>
      </c>
      <c r="K1362">
        <f>IF(E1362="Domain",COUNTIF($E$2:E1362,"Domain"),"")</f>
        <v/>
      </c>
    </row>
    <row r="1363">
      <c r="A1363" s="2" t="n"/>
      <c r="B1363">
        <f>LOWER(TRIM(A1363))</f>
        <v/>
      </c>
      <c r="C1363">
        <f>IF(B1363="","",IFERROR(INDEX('Bad Patterns'!$A$2:$A$120,MATCH(1,INDEX(--ISNUMBER(SEARCH('Bad Patterns'!$A$2:$A$120,B1363)),0),0)),""))</f>
        <v/>
      </c>
      <c r="D1363">
        <f>IF(B1363="","",IF(C1363&lt;&gt;"","REMOVE","KEEP"))</f>
        <v/>
      </c>
      <c r="E1363">
        <f>IF(D1363&lt;&gt;"KEEP","",IF(RIGHT(B1363,10)="@gmail.com","Gmail",IF(OR(RIGHT(B1363,12)="@outlook.com",RIGHT(B1363,12)="@hotmail.com",RIGHT(B1363,9)="@live.com"),"Outlook","Domain")))</f>
        <v/>
      </c>
      <c r="F1363">
        <f>IF(B1363="","",IFERROR(RIGHT(B1363,LEN(B1363)-FIND("@",B1363)),""))</f>
        <v/>
      </c>
      <c r="G1363">
        <f>IF(D1363="KEEP",COUNTIF($D$2:D1363,"KEEP"),"")</f>
        <v/>
      </c>
      <c r="H1363">
        <f>IF(D1363="REMOVE",COUNTIF($D$2:D1363,"REMOVE"),"")</f>
        <v/>
      </c>
      <c r="I1363">
        <f>IF(E1363="Gmail",COUNTIF($E$2:E1363,"Gmail"),"")</f>
        <v/>
      </c>
      <c r="J1363">
        <f>IF(E1363="Outlook",COUNTIF($E$2:E1363,"Outlook"),"")</f>
        <v/>
      </c>
      <c r="K1363">
        <f>IF(E1363="Domain",COUNTIF($E$2:E1363,"Domain"),"")</f>
        <v/>
      </c>
    </row>
    <row r="1364">
      <c r="A1364" s="2" t="n"/>
      <c r="B1364">
        <f>LOWER(TRIM(A1364))</f>
        <v/>
      </c>
      <c r="C1364">
        <f>IF(B1364="","",IFERROR(INDEX('Bad Patterns'!$A$2:$A$120,MATCH(1,INDEX(--ISNUMBER(SEARCH('Bad Patterns'!$A$2:$A$120,B1364)),0),0)),""))</f>
        <v/>
      </c>
      <c r="D1364">
        <f>IF(B1364="","",IF(C1364&lt;&gt;"","REMOVE","KEEP"))</f>
        <v/>
      </c>
      <c r="E1364">
        <f>IF(D1364&lt;&gt;"KEEP","",IF(RIGHT(B1364,10)="@gmail.com","Gmail",IF(OR(RIGHT(B1364,12)="@outlook.com",RIGHT(B1364,12)="@hotmail.com",RIGHT(B1364,9)="@live.com"),"Outlook","Domain")))</f>
        <v/>
      </c>
      <c r="F1364">
        <f>IF(B1364="","",IFERROR(RIGHT(B1364,LEN(B1364)-FIND("@",B1364)),""))</f>
        <v/>
      </c>
      <c r="G1364">
        <f>IF(D1364="KEEP",COUNTIF($D$2:D1364,"KEEP"),"")</f>
        <v/>
      </c>
      <c r="H1364">
        <f>IF(D1364="REMOVE",COUNTIF($D$2:D1364,"REMOVE"),"")</f>
        <v/>
      </c>
      <c r="I1364">
        <f>IF(E1364="Gmail",COUNTIF($E$2:E1364,"Gmail"),"")</f>
        <v/>
      </c>
      <c r="J1364">
        <f>IF(E1364="Outlook",COUNTIF($E$2:E1364,"Outlook"),"")</f>
        <v/>
      </c>
      <c r="K1364">
        <f>IF(E1364="Domain",COUNTIF($E$2:E1364,"Domain"),"")</f>
        <v/>
      </c>
    </row>
    <row r="1365">
      <c r="A1365" s="2" t="n"/>
      <c r="B1365">
        <f>LOWER(TRIM(A1365))</f>
        <v/>
      </c>
      <c r="C1365">
        <f>IF(B1365="","",IFERROR(INDEX('Bad Patterns'!$A$2:$A$120,MATCH(1,INDEX(--ISNUMBER(SEARCH('Bad Patterns'!$A$2:$A$120,B1365)),0),0)),""))</f>
        <v/>
      </c>
      <c r="D1365">
        <f>IF(B1365="","",IF(C1365&lt;&gt;"","REMOVE","KEEP"))</f>
        <v/>
      </c>
      <c r="E1365">
        <f>IF(D1365&lt;&gt;"KEEP","",IF(RIGHT(B1365,10)="@gmail.com","Gmail",IF(OR(RIGHT(B1365,12)="@outlook.com",RIGHT(B1365,12)="@hotmail.com",RIGHT(B1365,9)="@live.com"),"Outlook","Domain")))</f>
        <v/>
      </c>
      <c r="F1365">
        <f>IF(B1365="","",IFERROR(RIGHT(B1365,LEN(B1365)-FIND("@",B1365)),""))</f>
        <v/>
      </c>
      <c r="G1365">
        <f>IF(D1365="KEEP",COUNTIF($D$2:D1365,"KEEP"),"")</f>
        <v/>
      </c>
      <c r="H1365">
        <f>IF(D1365="REMOVE",COUNTIF($D$2:D1365,"REMOVE"),"")</f>
        <v/>
      </c>
      <c r="I1365">
        <f>IF(E1365="Gmail",COUNTIF($E$2:E1365,"Gmail"),"")</f>
        <v/>
      </c>
      <c r="J1365">
        <f>IF(E1365="Outlook",COUNTIF($E$2:E1365,"Outlook"),"")</f>
        <v/>
      </c>
      <c r="K1365">
        <f>IF(E1365="Domain",COUNTIF($E$2:E1365,"Domain"),"")</f>
        <v/>
      </c>
    </row>
    <row r="1366">
      <c r="A1366" s="2" t="n"/>
      <c r="B1366">
        <f>LOWER(TRIM(A1366))</f>
        <v/>
      </c>
      <c r="C1366">
        <f>IF(B1366="","",IFERROR(INDEX('Bad Patterns'!$A$2:$A$120,MATCH(1,INDEX(--ISNUMBER(SEARCH('Bad Patterns'!$A$2:$A$120,B1366)),0),0)),""))</f>
        <v/>
      </c>
      <c r="D1366">
        <f>IF(B1366="","",IF(C1366&lt;&gt;"","REMOVE","KEEP"))</f>
        <v/>
      </c>
      <c r="E1366">
        <f>IF(D1366&lt;&gt;"KEEP","",IF(RIGHT(B1366,10)="@gmail.com","Gmail",IF(OR(RIGHT(B1366,12)="@outlook.com",RIGHT(B1366,12)="@hotmail.com",RIGHT(B1366,9)="@live.com"),"Outlook","Domain")))</f>
        <v/>
      </c>
      <c r="F1366">
        <f>IF(B1366="","",IFERROR(RIGHT(B1366,LEN(B1366)-FIND("@",B1366)),""))</f>
        <v/>
      </c>
      <c r="G1366">
        <f>IF(D1366="KEEP",COUNTIF($D$2:D1366,"KEEP"),"")</f>
        <v/>
      </c>
      <c r="H1366">
        <f>IF(D1366="REMOVE",COUNTIF($D$2:D1366,"REMOVE"),"")</f>
        <v/>
      </c>
      <c r="I1366">
        <f>IF(E1366="Gmail",COUNTIF($E$2:E1366,"Gmail"),"")</f>
        <v/>
      </c>
      <c r="J1366">
        <f>IF(E1366="Outlook",COUNTIF($E$2:E1366,"Outlook"),"")</f>
        <v/>
      </c>
      <c r="K1366">
        <f>IF(E1366="Domain",COUNTIF($E$2:E1366,"Domain"),"")</f>
        <v/>
      </c>
    </row>
    <row r="1367">
      <c r="A1367" s="2" t="n"/>
      <c r="B1367">
        <f>LOWER(TRIM(A1367))</f>
        <v/>
      </c>
      <c r="C1367">
        <f>IF(B1367="","",IFERROR(INDEX('Bad Patterns'!$A$2:$A$120,MATCH(1,INDEX(--ISNUMBER(SEARCH('Bad Patterns'!$A$2:$A$120,B1367)),0),0)),""))</f>
        <v/>
      </c>
      <c r="D1367">
        <f>IF(B1367="","",IF(C1367&lt;&gt;"","REMOVE","KEEP"))</f>
        <v/>
      </c>
      <c r="E1367">
        <f>IF(D1367&lt;&gt;"KEEP","",IF(RIGHT(B1367,10)="@gmail.com","Gmail",IF(OR(RIGHT(B1367,12)="@outlook.com",RIGHT(B1367,12)="@hotmail.com",RIGHT(B1367,9)="@live.com"),"Outlook","Domain")))</f>
        <v/>
      </c>
      <c r="F1367">
        <f>IF(B1367="","",IFERROR(RIGHT(B1367,LEN(B1367)-FIND("@",B1367)),""))</f>
        <v/>
      </c>
      <c r="G1367">
        <f>IF(D1367="KEEP",COUNTIF($D$2:D1367,"KEEP"),"")</f>
        <v/>
      </c>
      <c r="H1367">
        <f>IF(D1367="REMOVE",COUNTIF($D$2:D1367,"REMOVE"),"")</f>
        <v/>
      </c>
      <c r="I1367">
        <f>IF(E1367="Gmail",COUNTIF($E$2:E1367,"Gmail"),"")</f>
        <v/>
      </c>
      <c r="J1367">
        <f>IF(E1367="Outlook",COUNTIF($E$2:E1367,"Outlook"),"")</f>
        <v/>
      </c>
      <c r="K1367">
        <f>IF(E1367="Domain",COUNTIF($E$2:E1367,"Domain"),"")</f>
        <v/>
      </c>
    </row>
    <row r="1368">
      <c r="A1368" s="2" t="n"/>
      <c r="B1368">
        <f>LOWER(TRIM(A1368))</f>
        <v/>
      </c>
      <c r="C1368">
        <f>IF(B1368="","",IFERROR(INDEX('Bad Patterns'!$A$2:$A$120,MATCH(1,INDEX(--ISNUMBER(SEARCH('Bad Patterns'!$A$2:$A$120,B1368)),0),0)),""))</f>
        <v/>
      </c>
      <c r="D1368">
        <f>IF(B1368="","",IF(C1368&lt;&gt;"","REMOVE","KEEP"))</f>
        <v/>
      </c>
      <c r="E1368">
        <f>IF(D1368&lt;&gt;"KEEP","",IF(RIGHT(B1368,10)="@gmail.com","Gmail",IF(OR(RIGHT(B1368,12)="@outlook.com",RIGHT(B1368,12)="@hotmail.com",RIGHT(B1368,9)="@live.com"),"Outlook","Domain")))</f>
        <v/>
      </c>
      <c r="F1368">
        <f>IF(B1368="","",IFERROR(RIGHT(B1368,LEN(B1368)-FIND("@",B1368)),""))</f>
        <v/>
      </c>
      <c r="G1368">
        <f>IF(D1368="KEEP",COUNTIF($D$2:D1368,"KEEP"),"")</f>
        <v/>
      </c>
      <c r="H1368">
        <f>IF(D1368="REMOVE",COUNTIF($D$2:D1368,"REMOVE"),"")</f>
        <v/>
      </c>
      <c r="I1368">
        <f>IF(E1368="Gmail",COUNTIF($E$2:E1368,"Gmail"),"")</f>
        <v/>
      </c>
      <c r="J1368">
        <f>IF(E1368="Outlook",COUNTIF($E$2:E1368,"Outlook"),"")</f>
        <v/>
      </c>
      <c r="K1368">
        <f>IF(E1368="Domain",COUNTIF($E$2:E1368,"Domain"),"")</f>
        <v/>
      </c>
    </row>
    <row r="1369">
      <c r="A1369" s="2" t="n"/>
      <c r="B1369">
        <f>LOWER(TRIM(A1369))</f>
        <v/>
      </c>
      <c r="C1369">
        <f>IF(B1369="","",IFERROR(INDEX('Bad Patterns'!$A$2:$A$120,MATCH(1,INDEX(--ISNUMBER(SEARCH('Bad Patterns'!$A$2:$A$120,B1369)),0),0)),""))</f>
        <v/>
      </c>
      <c r="D1369">
        <f>IF(B1369="","",IF(C1369&lt;&gt;"","REMOVE","KEEP"))</f>
        <v/>
      </c>
      <c r="E1369">
        <f>IF(D1369&lt;&gt;"KEEP","",IF(RIGHT(B1369,10)="@gmail.com","Gmail",IF(OR(RIGHT(B1369,12)="@outlook.com",RIGHT(B1369,12)="@hotmail.com",RIGHT(B1369,9)="@live.com"),"Outlook","Domain")))</f>
        <v/>
      </c>
      <c r="F1369">
        <f>IF(B1369="","",IFERROR(RIGHT(B1369,LEN(B1369)-FIND("@",B1369)),""))</f>
        <v/>
      </c>
      <c r="G1369">
        <f>IF(D1369="KEEP",COUNTIF($D$2:D1369,"KEEP"),"")</f>
        <v/>
      </c>
      <c r="H1369">
        <f>IF(D1369="REMOVE",COUNTIF($D$2:D1369,"REMOVE"),"")</f>
        <v/>
      </c>
      <c r="I1369">
        <f>IF(E1369="Gmail",COUNTIF($E$2:E1369,"Gmail"),"")</f>
        <v/>
      </c>
      <c r="J1369">
        <f>IF(E1369="Outlook",COUNTIF($E$2:E1369,"Outlook"),"")</f>
        <v/>
      </c>
      <c r="K1369">
        <f>IF(E1369="Domain",COUNTIF($E$2:E1369,"Domain"),"")</f>
        <v/>
      </c>
    </row>
    <row r="1370">
      <c r="A1370" s="2" t="n"/>
      <c r="B1370">
        <f>LOWER(TRIM(A1370))</f>
        <v/>
      </c>
      <c r="C1370">
        <f>IF(B1370="","",IFERROR(INDEX('Bad Patterns'!$A$2:$A$120,MATCH(1,INDEX(--ISNUMBER(SEARCH('Bad Patterns'!$A$2:$A$120,B1370)),0),0)),""))</f>
        <v/>
      </c>
      <c r="D1370">
        <f>IF(B1370="","",IF(C1370&lt;&gt;"","REMOVE","KEEP"))</f>
        <v/>
      </c>
      <c r="E1370">
        <f>IF(D1370&lt;&gt;"KEEP","",IF(RIGHT(B1370,10)="@gmail.com","Gmail",IF(OR(RIGHT(B1370,12)="@outlook.com",RIGHT(B1370,12)="@hotmail.com",RIGHT(B1370,9)="@live.com"),"Outlook","Domain")))</f>
        <v/>
      </c>
      <c r="F1370">
        <f>IF(B1370="","",IFERROR(RIGHT(B1370,LEN(B1370)-FIND("@",B1370)),""))</f>
        <v/>
      </c>
      <c r="G1370">
        <f>IF(D1370="KEEP",COUNTIF($D$2:D1370,"KEEP"),"")</f>
        <v/>
      </c>
      <c r="H1370">
        <f>IF(D1370="REMOVE",COUNTIF($D$2:D1370,"REMOVE"),"")</f>
        <v/>
      </c>
      <c r="I1370">
        <f>IF(E1370="Gmail",COUNTIF($E$2:E1370,"Gmail"),"")</f>
        <v/>
      </c>
      <c r="J1370">
        <f>IF(E1370="Outlook",COUNTIF($E$2:E1370,"Outlook"),"")</f>
        <v/>
      </c>
      <c r="K1370">
        <f>IF(E1370="Domain",COUNTIF($E$2:E1370,"Domain"),"")</f>
        <v/>
      </c>
    </row>
    <row r="1371">
      <c r="A1371" s="2" t="n"/>
      <c r="B1371">
        <f>LOWER(TRIM(A1371))</f>
        <v/>
      </c>
      <c r="C1371">
        <f>IF(B1371="","",IFERROR(INDEX('Bad Patterns'!$A$2:$A$120,MATCH(1,INDEX(--ISNUMBER(SEARCH('Bad Patterns'!$A$2:$A$120,B1371)),0),0)),""))</f>
        <v/>
      </c>
      <c r="D1371">
        <f>IF(B1371="","",IF(C1371&lt;&gt;"","REMOVE","KEEP"))</f>
        <v/>
      </c>
      <c r="E1371">
        <f>IF(D1371&lt;&gt;"KEEP","",IF(RIGHT(B1371,10)="@gmail.com","Gmail",IF(OR(RIGHT(B1371,12)="@outlook.com",RIGHT(B1371,12)="@hotmail.com",RIGHT(B1371,9)="@live.com"),"Outlook","Domain")))</f>
        <v/>
      </c>
      <c r="F1371">
        <f>IF(B1371="","",IFERROR(RIGHT(B1371,LEN(B1371)-FIND("@",B1371)),""))</f>
        <v/>
      </c>
      <c r="G1371">
        <f>IF(D1371="KEEP",COUNTIF($D$2:D1371,"KEEP"),"")</f>
        <v/>
      </c>
      <c r="H1371">
        <f>IF(D1371="REMOVE",COUNTIF($D$2:D1371,"REMOVE"),"")</f>
        <v/>
      </c>
      <c r="I1371">
        <f>IF(E1371="Gmail",COUNTIF($E$2:E1371,"Gmail"),"")</f>
        <v/>
      </c>
      <c r="J1371">
        <f>IF(E1371="Outlook",COUNTIF($E$2:E1371,"Outlook"),"")</f>
        <v/>
      </c>
      <c r="K1371">
        <f>IF(E1371="Domain",COUNTIF($E$2:E1371,"Domain"),"")</f>
        <v/>
      </c>
    </row>
    <row r="1372">
      <c r="A1372" s="2" t="n"/>
      <c r="B1372">
        <f>LOWER(TRIM(A1372))</f>
        <v/>
      </c>
      <c r="C1372">
        <f>IF(B1372="","",IFERROR(INDEX('Bad Patterns'!$A$2:$A$120,MATCH(1,INDEX(--ISNUMBER(SEARCH('Bad Patterns'!$A$2:$A$120,B1372)),0),0)),""))</f>
        <v/>
      </c>
      <c r="D1372">
        <f>IF(B1372="","",IF(C1372&lt;&gt;"","REMOVE","KEEP"))</f>
        <v/>
      </c>
      <c r="E1372">
        <f>IF(D1372&lt;&gt;"KEEP","",IF(RIGHT(B1372,10)="@gmail.com","Gmail",IF(OR(RIGHT(B1372,12)="@outlook.com",RIGHT(B1372,12)="@hotmail.com",RIGHT(B1372,9)="@live.com"),"Outlook","Domain")))</f>
        <v/>
      </c>
      <c r="F1372">
        <f>IF(B1372="","",IFERROR(RIGHT(B1372,LEN(B1372)-FIND("@",B1372)),""))</f>
        <v/>
      </c>
      <c r="G1372">
        <f>IF(D1372="KEEP",COUNTIF($D$2:D1372,"KEEP"),"")</f>
        <v/>
      </c>
      <c r="H1372">
        <f>IF(D1372="REMOVE",COUNTIF($D$2:D1372,"REMOVE"),"")</f>
        <v/>
      </c>
      <c r="I1372">
        <f>IF(E1372="Gmail",COUNTIF($E$2:E1372,"Gmail"),"")</f>
        <v/>
      </c>
      <c r="J1372">
        <f>IF(E1372="Outlook",COUNTIF($E$2:E1372,"Outlook"),"")</f>
        <v/>
      </c>
      <c r="K1372">
        <f>IF(E1372="Domain",COUNTIF($E$2:E1372,"Domain"),"")</f>
        <v/>
      </c>
    </row>
    <row r="1373">
      <c r="A1373" s="2" t="n"/>
      <c r="B1373">
        <f>LOWER(TRIM(A1373))</f>
        <v/>
      </c>
      <c r="C1373">
        <f>IF(B1373="","",IFERROR(INDEX('Bad Patterns'!$A$2:$A$120,MATCH(1,INDEX(--ISNUMBER(SEARCH('Bad Patterns'!$A$2:$A$120,B1373)),0),0)),""))</f>
        <v/>
      </c>
      <c r="D1373">
        <f>IF(B1373="","",IF(C1373&lt;&gt;"","REMOVE","KEEP"))</f>
        <v/>
      </c>
      <c r="E1373">
        <f>IF(D1373&lt;&gt;"KEEP","",IF(RIGHT(B1373,10)="@gmail.com","Gmail",IF(OR(RIGHT(B1373,12)="@outlook.com",RIGHT(B1373,12)="@hotmail.com",RIGHT(B1373,9)="@live.com"),"Outlook","Domain")))</f>
        <v/>
      </c>
      <c r="F1373">
        <f>IF(B1373="","",IFERROR(RIGHT(B1373,LEN(B1373)-FIND("@",B1373)),""))</f>
        <v/>
      </c>
      <c r="G1373">
        <f>IF(D1373="KEEP",COUNTIF($D$2:D1373,"KEEP"),"")</f>
        <v/>
      </c>
      <c r="H1373">
        <f>IF(D1373="REMOVE",COUNTIF($D$2:D1373,"REMOVE"),"")</f>
        <v/>
      </c>
      <c r="I1373">
        <f>IF(E1373="Gmail",COUNTIF($E$2:E1373,"Gmail"),"")</f>
        <v/>
      </c>
      <c r="J1373">
        <f>IF(E1373="Outlook",COUNTIF($E$2:E1373,"Outlook"),"")</f>
        <v/>
      </c>
      <c r="K1373">
        <f>IF(E1373="Domain",COUNTIF($E$2:E1373,"Domain"),"")</f>
        <v/>
      </c>
    </row>
    <row r="1374">
      <c r="A1374" s="2" t="n"/>
      <c r="B1374">
        <f>LOWER(TRIM(A1374))</f>
        <v/>
      </c>
      <c r="C1374">
        <f>IF(B1374="","",IFERROR(INDEX('Bad Patterns'!$A$2:$A$120,MATCH(1,INDEX(--ISNUMBER(SEARCH('Bad Patterns'!$A$2:$A$120,B1374)),0),0)),""))</f>
        <v/>
      </c>
      <c r="D1374">
        <f>IF(B1374="","",IF(C1374&lt;&gt;"","REMOVE","KEEP"))</f>
        <v/>
      </c>
      <c r="E1374">
        <f>IF(D1374&lt;&gt;"KEEP","",IF(RIGHT(B1374,10)="@gmail.com","Gmail",IF(OR(RIGHT(B1374,12)="@outlook.com",RIGHT(B1374,12)="@hotmail.com",RIGHT(B1374,9)="@live.com"),"Outlook","Domain")))</f>
        <v/>
      </c>
      <c r="F1374">
        <f>IF(B1374="","",IFERROR(RIGHT(B1374,LEN(B1374)-FIND("@",B1374)),""))</f>
        <v/>
      </c>
      <c r="G1374">
        <f>IF(D1374="KEEP",COUNTIF($D$2:D1374,"KEEP"),"")</f>
        <v/>
      </c>
      <c r="H1374">
        <f>IF(D1374="REMOVE",COUNTIF($D$2:D1374,"REMOVE"),"")</f>
        <v/>
      </c>
      <c r="I1374">
        <f>IF(E1374="Gmail",COUNTIF($E$2:E1374,"Gmail"),"")</f>
        <v/>
      </c>
      <c r="J1374">
        <f>IF(E1374="Outlook",COUNTIF($E$2:E1374,"Outlook"),"")</f>
        <v/>
      </c>
      <c r="K1374">
        <f>IF(E1374="Domain",COUNTIF($E$2:E1374,"Domain"),"")</f>
        <v/>
      </c>
    </row>
    <row r="1375">
      <c r="A1375" s="2" t="n"/>
      <c r="B1375">
        <f>LOWER(TRIM(A1375))</f>
        <v/>
      </c>
      <c r="C1375">
        <f>IF(B1375="","",IFERROR(INDEX('Bad Patterns'!$A$2:$A$120,MATCH(1,INDEX(--ISNUMBER(SEARCH('Bad Patterns'!$A$2:$A$120,B1375)),0),0)),""))</f>
        <v/>
      </c>
      <c r="D1375">
        <f>IF(B1375="","",IF(C1375&lt;&gt;"","REMOVE","KEEP"))</f>
        <v/>
      </c>
      <c r="E1375">
        <f>IF(D1375&lt;&gt;"KEEP","",IF(RIGHT(B1375,10)="@gmail.com","Gmail",IF(OR(RIGHT(B1375,12)="@outlook.com",RIGHT(B1375,12)="@hotmail.com",RIGHT(B1375,9)="@live.com"),"Outlook","Domain")))</f>
        <v/>
      </c>
      <c r="F1375">
        <f>IF(B1375="","",IFERROR(RIGHT(B1375,LEN(B1375)-FIND("@",B1375)),""))</f>
        <v/>
      </c>
      <c r="G1375">
        <f>IF(D1375="KEEP",COUNTIF($D$2:D1375,"KEEP"),"")</f>
        <v/>
      </c>
      <c r="H1375">
        <f>IF(D1375="REMOVE",COUNTIF($D$2:D1375,"REMOVE"),"")</f>
        <v/>
      </c>
      <c r="I1375">
        <f>IF(E1375="Gmail",COUNTIF($E$2:E1375,"Gmail"),"")</f>
        <v/>
      </c>
      <c r="J1375">
        <f>IF(E1375="Outlook",COUNTIF($E$2:E1375,"Outlook"),"")</f>
        <v/>
      </c>
      <c r="K1375">
        <f>IF(E1375="Domain",COUNTIF($E$2:E1375,"Domain"),"")</f>
        <v/>
      </c>
    </row>
    <row r="1376">
      <c r="A1376" s="2" t="n"/>
      <c r="B1376">
        <f>LOWER(TRIM(A1376))</f>
        <v/>
      </c>
      <c r="C1376">
        <f>IF(B1376="","",IFERROR(INDEX('Bad Patterns'!$A$2:$A$120,MATCH(1,INDEX(--ISNUMBER(SEARCH('Bad Patterns'!$A$2:$A$120,B1376)),0),0)),""))</f>
        <v/>
      </c>
      <c r="D1376">
        <f>IF(B1376="","",IF(C1376&lt;&gt;"","REMOVE","KEEP"))</f>
        <v/>
      </c>
      <c r="E1376">
        <f>IF(D1376&lt;&gt;"KEEP","",IF(RIGHT(B1376,10)="@gmail.com","Gmail",IF(OR(RIGHT(B1376,12)="@outlook.com",RIGHT(B1376,12)="@hotmail.com",RIGHT(B1376,9)="@live.com"),"Outlook","Domain")))</f>
        <v/>
      </c>
      <c r="F1376">
        <f>IF(B1376="","",IFERROR(RIGHT(B1376,LEN(B1376)-FIND("@",B1376)),""))</f>
        <v/>
      </c>
      <c r="G1376">
        <f>IF(D1376="KEEP",COUNTIF($D$2:D1376,"KEEP"),"")</f>
        <v/>
      </c>
      <c r="H1376">
        <f>IF(D1376="REMOVE",COUNTIF($D$2:D1376,"REMOVE"),"")</f>
        <v/>
      </c>
      <c r="I1376">
        <f>IF(E1376="Gmail",COUNTIF($E$2:E1376,"Gmail"),"")</f>
        <v/>
      </c>
      <c r="J1376">
        <f>IF(E1376="Outlook",COUNTIF($E$2:E1376,"Outlook"),"")</f>
        <v/>
      </c>
      <c r="K1376">
        <f>IF(E1376="Domain",COUNTIF($E$2:E1376,"Domain"),"")</f>
        <v/>
      </c>
    </row>
    <row r="1377">
      <c r="A1377" s="2" t="n"/>
      <c r="B1377">
        <f>LOWER(TRIM(A1377))</f>
        <v/>
      </c>
      <c r="C1377">
        <f>IF(B1377="","",IFERROR(INDEX('Bad Patterns'!$A$2:$A$120,MATCH(1,INDEX(--ISNUMBER(SEARCH('Bad Patterns'!$A$2:$A$120,B1377)),0),0)),""))</f>
        <v/>
      </c>
      <c r="D1377">
        <f>IF(B1377="","",IF(C1377&lt;&gt;"","REMOVE","KEEP"))</f>
        <v/>
      </c>
      <c r="E1377">
        <f>IF(D1377&lt;&gt;"KEEP","",IF(RIGHT(B1377,10)="@gmail.com","Gmail",IF(OR(RIGHT(B1377,12)="@outlook.com",RIGHT(B1377,12)="@hotmail.com",RIGHT(B1377,9)="@live.com"),"Outlook","Domain")))</f>
        <v/>
      </c>
      <c r="F1377">
        <f>IF(B1377="","",IFERROR(RIGHT(B1377,LEN(B1377)-FIND("@",B1377)),""))</f>
        <v/>
      </c>
      <c r="G1377">
        <f>IF(D1377="KEEP",COUNTIF($D$2:D1377,"KEEP"),"")</f>
        <v/>
      </c>
      <c r="H1377">
        <f>IF(D1377="REMOVE",COUNTIF($D$2:D1377,"REMOVE"),"")</f>
        <v/>
      </c>
      <c r="I1377">
        <f>IF(E1377="Gmail",COUNTIF($E$2:E1377,"Gmail"),"")</f>
        <v/>
      </c>
      <c r="J1377">
        <f>IF(E1377="Outlook",COUNTIF($E$2:E1377,"Outlook"),"")</f>
        <v/>
      </c>
      <c r="K1377">
        <f>IF(E1377="Domain",COUNTIF($E$2:E1377,"Domain"),"")</f>
        <v/>
      </c>
    </row>
    <row r="1378">
      <c r="A1378" s="2" t="n"/>
      <c r="B1378">
        <f>LOWER(TRIM(A1378))</f>
        <v/>
      </c>
      <c r="C1378">
        <f>IF(B1378="","",IFERROR(INDEX('Bad Patterns'!$A$2:$A$120,MATCH(1,INDEX(--ISNUMBER(SEARCH('Bad Patterns'!$A$2:$A$120,B1378)),0),0)),""))</f>
        <v/>
      </c>
      <c r="D1378">
        <f>IF(B1378="","",IF(C1378&lt;&gt;"","REMOVE","KEEP"))</f>
        <v/>
      </c>
      <c r="E1378">
        <f>IF(D1378&lt;&gt;"KEEP","",IF(RIGHT(B1378,10)="@gmail.com","Gmail",IF(OR(RIGHT(B1378,12)="@outlook.com",RIGHT(B1378,12)="@hotmail.com",RIGHT(B1378,9)="@live.com"),"Outlook","Domain")))</f>
        <v/>
      </c>
      <c r="F1378">
        <f>IF(B1378="","",IFERROR(RIGHT(B1378,LEN(B1378)-FIND("@",B1378)),""))</f>
        <v/>
      </c>
      <c r="G1378">
        <f>IF(D1378="KEEP",COUNTIF($D$2:D1378,"KEEP"),"")</f>
        <v/>
      </c>
      <c r="H1378">
        <f>IF(D1378="REMOVE",COUNTIF($D$2:D1378,"REMOVE"),"")</f>
        <v/>
      </c>
      <c r="I1378">
        <f>IF(E1378="Gmail",COUNTIF($E$2:E1378,"Gmail"),"")</f>
        <v/>
      </c>
      <c r="J1378">
        <f>IF(E1378="Outlook",COUNTIF($E$2:E1378,"Outlook"),"")</f>
        <v/>
      </c>
      <c r="K1378">
        <f>IF(E1378="Domain",COUNTIF($E$2:E1378,"Domain"),"")</f>
        <v/>
      </c>
    </row>
    <row r="1379">
      <c r="A1379" s="2" t="n"/>
      <c r="B1379">
        <f>LOWER(TRIM(A1379))</f>
        <v/>
      </c>
      <c r="C1379">
        <f>IF(B1379="","",IFERROR(INDEX('Bad Patterns'!$A$2:$A$120,MATCH(1,INDEX(--ISNUMBER(SEARCH('Bad Patterns'!$A$2:$A$120,B1379)),0),0)),""))</f>
        <v/>
      </c>
      <c r="D1379">
        <f>IF(B1379="","",IF(C1379&lt;&gt;"","REMOVE","KEEP"))</f>
        <v/>
      </c>
      <c r="E1379">
        <f>IF(D1379&lt;&gt;"KEEP","",IF(RIGHT(B1379,10)="@gmail.com","Gmail",IF(OR(RIGHT(B1379,12)="@outlook.com",RIGHT(B1379,12)="@hotmail.com",RIGHT(B1379,9)="@live.com"),"Outlook","Domain")))</f>
        <v/>
      </c>
      <c r="F1379">
        <f>IF(B1379="","",IFERROR(RIGHT(B1379,LEN(B1379)-FIND("@",B1379)),""))</f>
        <v/>
      </c>
      <c r="G1379">
        <f>IF(D1379="KEEP",COUNTIF($D$2:D1379,"KEEP"),"")</f>
        <v/>
      </c>
      <c r="H1379">
        <f>IF(D1379="REMOVE",COUNTIF($D$2:D1379,"REMOVE"),"")</f>
        <v/>
      </c>
      <c r="I1379">
        <f>IF(E1379="Gmail",COUNTIF($E$2:E1379,"Gmail"),"")</f>
        <v/>
      </c>
      <c r="J1379">
        <f>IF(E1379="Outlook",COUNTIF($E$2:E1379,"Outlook"),"")</f>
        <v/>
      </c>
      <c r="K1379">
        <f>IF(E1379="Domain",COUNTIF($E$2:E1379,"Domain"),"")</f>
        <v/>
      </c>
    </row>
    <row r="1380">
      <c r="A1380" s="2" t="n"/>
      <c r="B1380">
        <f>LOWER(TRIM(A1380))</f>
        <v/>
      </c>
      <c r="C1380">
        <f>IF(B1380="","",IFERROR(INDEX('Bad Patterns'!$A$2:$A$120,MATCH(1,INDEX(--ISNUMBER(SEARCH('Bad Patterns'!$A$2:$A$120,B1380)),0),0)),""))</f>
        <v/>
      </c>
      <c r="D1380">
        <f>IF(B1380="","",IF(C1380&lt;&gt;"","REMOVE","KEEP"))</f>
        <v/>
      </c>
      <c r="E1380">
        <f>IF(D1380&lt;&gt;"KEEP","",IF(RIGHT(B1380,10)="@gmail.com","Gmail",IF(OR(RIGHT(B1380,12)="@outlook.com",RIGHT(B1380,12)="@hotmail.com",RIGHT(B1380,9)="@live.com"),"Outlook","Domain")))</f>
        <v/>
      </c>
      <c r="F1380">
        <f>IF(B1380="","",IFERROR(RIGHT(B1380,LEN(B1380)-FIND("@",B1380)),""))</f>
        <v/>
      </c>
      <c r="G1380">
        <f>IF(D1380="KEEP",COUNTIF($D$2:D1380,"KEEP"),"")</f>
        <v/>
      </c>
      <c r="H1380">
        <f>IF(D1380="REMOVE",COUNTIF($D$2:D1380,"REMOVE"),"")</f>
        <v/>
      </c>
      <c r="I1380">
        <f>IF(E1380="Gmail",COUNTIF($E$2:E1380,"Gmail"),"")</f>
        <v/>
      </c>
      <c r="J1380">
        <f>IF(E1380="Outlook",COUNTIF($E$2:E1380,"Outlook"),"")</f>
        <v/>
      </c>
      <c r="K1380">
        <f>IF(E1380="Domain",COUNTIF($E$2:E1380,"Domain"),"")</f>
        <v/>
      </c>
    </row>
    <row r="1381">
      <c r="A1381" s="2" t="n"/>
      <c r="B1381">
        <f>LOWER(TRIM(A1381))</f>
        <v/>
      </c>
      <c r="C1381">
        <f>IF(B1381="","",IFERROR(INDEX('Bad Patterns'!$A$2:$A$120,MATCH(1,INDEX(--ISNUMBER(SEARCH('Bad Patterns'!$A$2:$A$120,B1381)),0),0)),""))</f>
        <v/>
      </c>
      <c r="D1381">
        <f>IF(B1381="","",IF(C1381&lt;&gt;"","REMOVE","KEEP"))</f>
        <v/>
      </c>
      <c r="E1381">
        <f>IF(D1381&lt;&gt;"KEEP","",IF(RIGHT(B1381,10)="@gmail.com","Gmail",IF(OR(RIGHT(B1381,12)="@outlook.com",RIGHT(B1381,12)="@hotmail.com",RIGHT(B1381,9)="@live.com"),"Outlook","Domain")))</f>
        <v/>
      </c>
      <c r="F1381">
        <f>IF(B1381="","",IFERROR(RIGHT(B1381,LEN(B1381)-FIND("@",B1381)),""))</f>
        <v/>
      </c>
      <c r="G1381">
        <f>IF(D1381="KEEP",COUNTIF($D$2:D1381,"KEEP"),"")</f>
        <v/>
      </c>
      <c r="H1381">
        <f>IF(D1381="REMOVE",COUNTIF($D$2:D1381,"REMOVE"),"")</f>
        <v/>
      </c>
      <c r="I1381">
        <f>IF(E1381="Gmail",COUNTIF($E$2:E1381,"Gmail"),"")</f>
        <v/>
      </c>
      <c r="J1381">
        <f>IF(E1381="Outlook",COUNTIF($E$2:E1381,"Outlook"),"")</f>
        <v/>
      </c>
      <c r="K1381">
        <f>IF(E1381="Domain",COUNTIF($E$2:E1381,"Domain"),"")</f>
        <v/>
      </c>
    </row>
    <row r="1382">
      <c r="A1382" s="2" t="n"/>
      <c r="B1382">
        <f>LOWER(TRIM(A1382))</f>
        <v/>
      </c>
      <c r="C1382">
        <f>IF(B1382="","",IFERROR(INDEX('Bad Patterns'!$A$2:$A$120,MATCH(1,INDEX(--ISNUMBER(SEARCH('Bad Patterns'!$A$2:$A$120,B1382)),0),0)),""))</f>
        <v/>
      </c>
      <c r="D1382">
        <f>IF(B1382="","",IF(C1382&lt;&gt;"","REMOVE","KEEP"))</f>
        <v/>
      </c>
      <c r="E1382">
        <f>IF(D1382&lt;&gt;"KEEP","",IF(RIGHT(B1382,10)="@gmail.com","Gmail",IF(OR(RIGHT(B1382,12)="@outlook.com",RIGHT(B1382,12)="@hotmail.com",RIGHT(B1382,9)="@live.com"),"Outlook","Domain")))</f>
        <v/>
      </c>
      <c r="F1382">
        <f>IF(B1382="","",IFERROR(RIGHT(B1382,LEN(B1382)-FIND("@",B1382)),""))</f>
        <v/>
      </c>
      <c r="G1382">
        <f>IF(D1382="KEEP",COUNTIF($D$2:D1382,"KEEP"),"")</f>
        <v/>
      </c>
      <c r="H1382">
        <f>IF(D1382="REMOVE",COUNTIF($D$2:D1382,"REMOVE"),"")</f>
        <v/>
      </c>
      <c r="I1382">
        <f>IF(E1382="Gmail",COUNTIF($E$2:E1382,"Gmail"),"")</f>
        <v/>
      </c>
      <c r="J1382">
        <f>IF(E1382="Outlook",COUNTIF($E$2:E1382,"Outlook"),"")</f>
        <v/>
      </c>
      <c r="K1382">
        <f>IF(E1382="Domain",COUNTIF($E$2:E1382,"Domain"),"")</f>
        <v/>
      </c>
    </row>
    <row r="1383">
      <c r="A1383" s="2" t="n"/>
      <c r="B1383">
        <f>LOWER(TRIM(A1383))</f>
        <v/>
      </c>
      <c r="C1383">
        <f>IF(B1383="","",IFERROR(INDEX('Bad Patterns'!$A$2:$A$120,MATCH(1,INDEX(--ISNUMBER(SEARCH('Bad Patterns'!$A$2:$A$120,B1383)),0),0)),""))</f>
        <v/>
      </c>
      <c r="D1383">
        <f>IF(B1383="","",IF(C1383&lt;&gt;"","REMOVE","KEEP"))</f>
        <v/>
      </c>
      <c r="E1383">
        <f>IF(D1383&lt;&gt;"KEEP","",IF(RIGHT(B1383,10)="@gmail.com","Gmail",IF(OR(RIGHT(B1383,12)="@outlook.com",RIGHT(B1383,12)="@hotmail.com",RIGHT(B1383,9)="@live.com"),"Outlook","Domain")))</f>
        <v/>
      </c>
      <c r="F1383">
        <f>IF(B1383="","",IFERROR(RIGHT(B1383,LEN(B1383)-FIND("@",B1383)),""))</f>
        <v/>
      </c>
      <c r="G1383">
        <f>IF(D1383="KEEP",COUNTIF($D$2:D1383,"KEEP"),"")</f>
        <v/>
      </c>
      <c r="H1383">
        <f>IF(D1383="REMOVE",COUNTIF($D$2:D1383,"REMOVE"),"")</f>
        <v/>
      </c>
      <c r="I1383">
        <f>IF(E1383="Gmail",COUNTIF($E$2:E1383,"Gmail"),"")</f>
        <v/>
      </c>
      <c r="J1383">
        <f>IF(E1383="Outlook",COUNTIF($E$2:E1383,"Outlook"),"")</f>
        <v/>
      </c>
      <c r="K1383">
        <f>IF(E1383="Domain",COUNTIF($E$2:E1383,"Domain"),"")</f>
        <v/>
      </c>
    </row>
    <row r="1384">
      <c r="A1384" s="2" t="n"/>
      <c r="B1384">
        <f>LOWER(TRIM(A1384))</f>
        <v/>
      </c>
      <c r="C1384">
        <f>IF(B1384="","",IFERROR(INDEX('Bad Patterns'!$A$2:$A$120,MATCH(1,INDEX(--ISNUMBER(SEARCH('Bad Patterns'!$A$2:$A$120,B1384)),0),0)),""))</f>
        <v/>
      </c>
      <c r="D1384">
        <f>IF(B1384="","",IF(C1384&lt;&gt;"","REMOVE","KEEP"))</f>
        <v/>
      </c>
      <c r="E1384">
        <f>IF(D1384&lt;&gt;"KEEP","",IF(RIGHT(B1384,10)="@gmail.com","Gmail",IF(OR(RIGHT(B1384,12)="@outlook.com",RIGHT(B1384,12)="@hotmail.com",RIGHT(B1384,9)="@live.com"),"Outlook","Domain")))</f>
        <v/>
      </c>
      <c r="F1384">
        <f>IF(B1384="","",IFERROR(RIGHT(B1384,LEN(B1384)-FIND("@",B1384)),""))</f>
        <v/>
      </c>
      <c r="G1384">
        <f>IF(D1384="KEEP",COUNTIF($D$2:D1384,"KEEP"),"")</f>
        <v/>
      </c>
      <c r="H1384">
        <f>IF(D1384="REMOVE",COUNTIF($D$2:D1384,"REMOVE"),"")</f>
        <v/>
      </c>
      <c r="I1384">
        <f>IF(E1384="Gmail",COUNTIF($E$2:E1384,"Gmail"),"")</f>
        <v/>
      </c>
      <c r="J1384">
        <f>IF(E1384="Outlook",COUNTIF($E$2:E1384,"Outlook"),"")</f>
        <v/>
      </c>
      <c r="K1384">
        <f>IF(E1384="Domain",COUNTIF($E$2:E1384,"Domain"),"")</f>
        <v/>
      </c>
    </row>
    <row r="1385">
      <c r="A1385" s="2" t="n"/>
      <c r="B1385">
        <f>LOWER(TRIM(A1385))</f>
        <v/>
      </c>
      <c r="C1385">
        <f>IF(B1385="","",IFERROR(INDEX('Bad Patterns'!$A$2:$A$120,MATCH(1,INDEX(--ISNUMBER(SEARCH('Bad Patterns'!$A$2:$A$120,B1385)),0),0)),""))</f>
        <v/>
      </c>
      <c r="D1385">
        <f>IF(B1385="","",IF(C1385&lt;&gt;"","REMOVE","KEEP"))</f>
        <v/>
      </c>
      <c r="E1385">
        <f>IF(D1385&lt;&gt;"KEEP","",IF(RIGHT(B1385,10)="@gmail.com","Gmail",IF(OR(RIGHT(B1385,12)="@outlook.com",RIGHT(B1385,12)="@hotmail.com",RIGHT(B1385,9)="@live.com"),"Outlook","Domain")))</f>
        <v/>
      </c>
      <c r="F1385">
        <f>IF(B1385="","",IFERROR(RIGHT(B1385,LEN(B1385)-FIND("@",B1385)),""))</f>
        <v/>
      </c>
      <c r="G1385">
        <f>IF(D1385="KEEP",COUNTIF($D$2:D1385,"KEEP"),"")</f>
        <v/>
      </c>
      <c r="H1385">
        <f>IF(D1385="REMOVE",COUNTIF($D$2:D1385,"REMOVE"),"")</f>
        <v/>
      </c>
      <c r="I1385">
        <f>IF(E1385="Gmail",COUNTIF($E$2:E1385,"Gmail"),"")</f>
        <v/>
      </c>
      <c r="J1385">
        <f>IF(E1385="Outlook",COUNTIF($E$2:E1385,"Outlook"),"")</f>
        <v/>
      </c>
      <c r="K1385">
        <f>IF(E1385="Domain",COUNTIF($E$2:E1385,"Domain"),"")</f>
        <v/>
      </c>
    </row>
    <row r="1386">
      <c r="A1386" s="2" t="n"/>
      <c r="B1386">
        <f>LOWER(TRIM(A1386))</f>
        <v/>
      </c>
      <c r="C1386">
        <f>IF(B1386="","",IFERROR(INDEX('Bad Patterns'!$A$2:$A$120,MATCH(1,INDEX(--ISNUMBER(SEARCH('Bad Patterns'!$A$2:$A$120,B1386)),0),0)),""))</f>
        <v/>
      </c>
      <c r="D1386">
        <f>IF(B1386="","",IF(C1386&lt;&gt;"","REMOVE","KEEP"))</f>
        <v/>
      </c>
      <c r="E1386">
        <f>IF(D1386&lt;&gt;"KEEP","",IF(RIGHT(B1386,10)="@gmail.com","Gmail",IF(OR(RIGHT(B1386,12)="@outlook.com",RIGHT(B1386,12)="@hotmail.com",RIGHT(B1386,9)="@live.com"),"Outlook","Domain")))</f>
        <v/>
      </c>
      <c r="F1386">
        <f>IF(B1386="","",IFERROR(RIGHT(B1386,LEN(B1386)-FIND("@",B1386)),""))</f>
        <v/>
      </c>
      <c r="G1386">
        <f>IF(D1386="KEEP",COUNTIF($D$2:D1386,"KEEP"),"")</f>
        <v/>
      </c>
      <c r="H1386">
        <f>IF(D1386="REMOVE",COUNTIF($D$2:D1386,"REMOVE"),"")</f>
        <v/>
      </c>
      <c r="I1386">
        <f>IF(E1386="Gmail",COUNTIF($E$2:E1386,"Gmail"),"")</f>
        <v/>
      </c>
      <c r="J1386">
        <f>IF(E1386="Outlook",COUNTIF($E$2:E1386,"Outlook"),"")</f>
        <v/>
      </c>
      <c r="K1386">
        <f>IF(E1386="Domain",COUNTIF($E$2:E1386,"Domain"),"")</f>
        <v/>
      </c>
    </row>
    <row r="1387">
      <c r="A1387" s="2" t="n"/>
      <c r="B1387">
        <f>LOWER(TRIM(A1387))</f>
        <v/>
      </c>
      <c r="C1387">
        <f>IF(B1387="","",IFERROR(INDEX('Bad Patterns'!$A$2:$A$120,MATCH(1,INDEX(--ISNUMBER(SEARCH('Bad Patterns'!$A$2:$A$120,B1387)),0),0)),""))</f>
        <v/>
      </c>
      <c r="D1387">
        <f>IF(B1387="","",IF(C1387&lt;&gt;"","REMOVE","KEEP"))</f>
        <v/>
      </c>
      <c r="E1387">
        <f>IF(D1387&lt;&gt;"KEEP","",IF(RIGHT(B1387,10)="@gmail.com","Gmail",IF(OR(RIGHT(B1387,12)="@outlook.com",RIGHT(B1387,12)="@hotmail.com",RIGHT(B1387,9)="@live.com"),"Outlook","Domain")))</f>
        <v/>
      </c>
      <c r="F1387">
        <f>IF(B1387="","",IFERROR(RIGHT(B1387,LEN(B1387)-FIND("@",B1387)),""))</f>
        <v/>
      </c>
      <c r="G1387">
        <f>IF(D1387="KEEP",COUNTIF($D$2:D1387,"KEEP"),"")</f>
        <v/>
      </c>
      <c r="H1387">
        <f>IF(D1387="REMOVE",COUNTIF($D$2:D1387,"REMOVE"),"")</f>
        <v/>
      </c>
      <c r="I1387">
        <f>IF(E1387="Gmail",COUNTIF($E$2:E1387,"Gmail"),"")</f>
        <v/>
      </c>
      <c r="J1387">
        <f>IF(E1387="Outlook",COUNTIF($E$2:E1387,"Outlook"),"")</f>
        <v/>
      </c>
      <c r="K1387">
        <f>IF(E1387="Domain",COUNTIF($E$2:E1387,"Domain"),"")</f>
        <v/>
      </c>
    </row>
    <row r="1388">
      <c r="A1388" s="2" t="n"/>
      <c r="B1388">
        <f>LOWER(TRIM(A1388))</f>
        <v/>
      </c>
      <c r="C1388">
        <f>IF(B1388="","",IFERROR(INDEX('Bad Patterns'!$A$2:$A$120,MATCH(1,INDEX(--ISNUMBER(SEARCH('Bad Patterns'!$A$2:$A$120,B1388)),0),0)),""))</f>
        <v/>
      </c>
      <c r="D1388">
        <f>IF(B1388="","",IF(C1388&lt;&gt;"","REMOVE","KEEP"))</f>
        <v/>
      </c>
      <c r="E1388">
        <f>IF(D1388&lt;&gt;"KEEP","",IF(RIGHT(B1388,10)="@gmail.com","Gmail",IF(OR(RIGHT(B1388,12)="@outlook.com",RIGHT(B1388,12)="@hotmail.com",RIGHT(B1388,9)="@live.com"),"Outlook","Domain")))</f>
        <v/>
      </c>
      <c r="F1388">
        <f>IF(B1388="","",IFERROR(RIGHT(B1388,LEN(B1388)-FIND("@",B1388)),""))</f>
        <v/>
      </c>
      <c r="G1388">
        <f>IF(D1388="KEEP",COUNTIF($D$2:D1388,"KEEP"),"")</f>
        <v/>
      </c>
      <c r="H1388">
        <f>IF(D1388="REMOVE",COUNTIF($D$2:D1388,"REMOVE"),"")</f>
        <v/>
      </c>
      <c r="I1388">
        <f>IF(E1388="Gmail",COUNTIF($E$2:E1388,"Gmail"),"")</f>
        <v/>
      </c>
      <c r="J1388">
        <f>IF(E1388="Outlook",COUNTIF($E$2:E1388,"Outlook"),"")</f>
        <v/>
      </c>
      <c r="K1388">
        <f>IF(E1388="Domain",COUNTIF($E$2:E1388,"Domain"),"")</f>
        <v/>
      </c>
    </row>
    <row r="1389">
      <c r="A1389" s="2" t="n"/>
      <c r="B1389">
        <f>LOWER(TRIM(A1389))</f>
        <v/>
      </c>
      <c r="C1389">
        <f>IF(B1389="","",IFERROR(INDEX('Bad Patterns'!$A$2:$A$120,MATCH(1,INDEX(--ISNUMBER(SEARCH('Bad Patterns'!$A$2:$A$120,B1389)),0),0)),""))</f>
        <v/>
      </c>
      <c r="D1389">
        <f>IF(B1389="","",IF(C1389&lt;&gt;"","REMOVE","KEEP"))</f>
        <v/>
      </c>
      <c r="E1389">
        <f>IF(D1389&lt;&gt;"KEEP","",IF(RIGHT(B1389,10)="@gmail.com","Gmail",IF(OR(RIGHT(B1389,12)="@outlook.com",RIGHT(B1389,12)="@hotmail.com",RIGHT(B1389,9)="@live.com"),"Outlook","Domain")))</f>
        <v/>
      </c>
      <c r="F1389">
        <f>IF(B1389="","",IFERROR(RIGHT(B1389,LEN(B1389)-FIND("@",B1389)),""))</f>
        <v/>
      </c>
      <c r="G1389">
        <f>IF(D1389="KEEP",COUNTIF($D$2:D1389,"KEEP"),"")</f>
        <v/>
      </c>
      <c r="H1389">
        <f>IF(D1389="REMOVE",COUNTIF($D$2:D1389,"REMOVE"),"")</f>
        <v/>
      </c>
      <c r="I1389">
        <f>IF(E1389="Gmail",COUNTIF($E$2:E1389,"Gmail"),"")</f>
        <v/>
      </c>
      <c r="J1389">
        <f>IF(E1389="Outlook",COUNTIF($E$2:E1389,"Outlook"),"")</f>
        <v/>
      </c>
      <c r="K1389">
        <f>IF(E1389="Domain",COUNTIF($E$2:E1389,"Domain"),"")</f>
        <v/>
      </c>
    </row>
    <row r="1390">
      <c r="A1390" s="2" t="n"/>
      <c r="B1390">
        <f>LOWER(TRIM(A1390))</f>
        <v/>
      </c>
      <c r="C1390">
        <f>IF(B1390="","",IFERROR(INDEX('Bad Patterns'!$A$2:$A$120,MATCH(1,INDEX(--ISNUMBER(SEARCH('Bad Patterns'!$A$2:$A$120,B1390)),0),0)),""))</f>
        <v/>
      </c>
      <c r="D1390">
        <f>IF(B1390="","",IF(C1390&lt;&gt;"","REMOVE","KEEP"))</f>
        <v/>
      </c>
      <c r="E1390">
        <f>IF(D1390&lt;&gt;"KEEP","",IF(RIGHT(B1390,10)="@gmail.com","Gmail",IF(OR(RIGHT(B1390,12)="@outlook.com",RIGHT(B1390,12)="@hotmail.com",RIGHT(B1390,9)="@live.com"),"Outlook","Domain")))</f>
        <v/>
      </c>
      <c r="F1390">
        <f>IF(B1390="","",IFERROR(RIGHT(B1390,LEN(B1390)-FIND("@",B1390)),""))</f>
        <v/>
      </c>
      <c r="G1390">
        <f>IF(D1390="KEEP",COUNTIF($D$2:D1390,"KEEP"),"")</f>
        <v/>
      </c>
      <c r="H1390">
        <f>IF(D1390="REMOVE",COUNTIF($D$2:D1390,"REMOVE"),"")</f>
        <v/>
      </c>
      <c r="I1390">
        <f>IF(E1390="Gmail",COUNTIF($E$2:E1390,"Gmail"),"")</f>
        <v/>
      </c>
      <c r="J1390">
        <f>IF(E1390="Outlook",COUNTIF($E$2:E1390,"Outlook"),"")</f>
        <v/>
      </c>
      <c r="K1390">
        <f>IF(E1390="Domain",COUNTIF($E$2:E1390,"Domain"),"")</f>
        <v/>
      </c>
    </row>
    <row r="1391">
      <c r="A1391" s="2" t="n"/>
      <c r="B1391">
        <f>LOWER(TRIM(A1391))</f>
        <v/>
      </c>
      <c r="C1391">
        <f>IF(B1391="","",IFERROR(INDEX('Bad Patterns'!$A$2:$A$120,MATCH(1,INDEX(--ISNUMBER(SEARCH('Bad Patterns'!$A$2:$A$120,B1391)),0),0)),""))</f>
        <v/>
      </c>
      <c r="D1391">
        <f>IF(B1391="","",IF(C1391&lt;&gt;"","REMOVE","KEEP"))</f>
        <v/>
      </c>
      <c r="E1391">
        <f>IF(D1391&lt;&gt;"KEEP","",IF(RIGHT(B1391,10)="@gmail.com","Gmail",IF(OR(RIGHT(B1391,12)="@outlook.com",RIGHT(B1391,12)="@hotmail.com",RIGHT(B1391,9)="@live.com"),"Outlook","Domain")))</f>
        <v/>
      </c>
      <c r="F1391">
        <f>IF(B1391="","",IFERROR(RIGHT(B1391,LEN(B1391)-FIND("@",B1391)),""))</f>
        <v/>
      </c>
      <c r="G1391">
        <f>IF(D1391="KEEP",COUNTIF($D$2:D1391,"KEEP"),"")</f>
        <v/>
      </c>
      <c r="H1391">
        <f>IF(D1391="REMOVE",COUNTIF($D$2:D1391,"REMOVE"),"")</f>
        <v/>
      </c>
      <c r="I1391">
        <f>IF(E1391="Gmail",COUNTIF($E$2:E1391,"Gmail"),"")</f>
        <v/>
      </c>
      <c r="J1391">
        <f>IF(E1391="Outlook",COUNTIF($E$2:E1391,"Outlook"),"")</f>
        <v/>
      </c>
      <c r="K1391">
        <f>IF(E1391="Domain",COUNTIF($E$2:E1391,"Domain"),"")</f>
        <v/>
      </c>
    </row>
    <row r="1392">
      <c r="A1392" s="2" t="n"/>
      <c r="B1392">
        <f>LOWER(TRIM(A1392))</f>
        <v/>
      </c>
      <c r="C1392">
        <f>IF(B1392="","",IFERROR(INDEX('Bad Patterns'!$A$2:$A$120,MATCH(1,INDEX(--ISNUMBER(SEARCH('Bad Patterns'!$A$2:$A$120,B1392)),0),0)),""))</f>
        <v/>
      </c>
      <c r="D1392">
        <f>IF(B1392="","",IF(C1392&lt;&gt;"","REMOVE","KEEP"))</f>
        <v/>
      </c>
      <c r="E1392">
        <f>IF(D1392&lt;&gt;"KEEP","",IF(RIGHT(B1392,10)="@gmail.com","Gmail",IF(OR(RIGHT(B1392,12)="@outlook.com",RIGHT(B1392,12)="@hotmail.com",RIGHT(B1392,9)="@live.com"),"Outlook","Domain")))</f>
        <v/>
      </c>
      <c r="F1392">
        <f>IF(B1392="","",IFERROR(RIGHT(B1392,LEN(B1392)-FIND("@",B1392)),""))</f>
        <v/>
      </c>
      <c r="G1392">
        <f>IF(D1392="KEEP",COUNTIF($D$2:D1392,"KEEP"),"")</f>
        <v/>
      </c>
      <c r="H1392">
        <f>IF(D1392="REMOVE",COUNTIF($D$2:D1392,"REMOVE"),"")</f>
        <v/>
      </c>
      <c r="I1392">
        <f>IF(E1392="Gmail",COUNTIF($E$2:E1392,"Gmail"),"")</f>
        <v/>
      </c>
      <c r="J1392">
        <f>IF(E1392="Outlook",COUNTIF($E$2:E1392,"Outlook"),"")</f>
        <v/>
      </c>
      <c r="K1392">
        <f>IF(E1392="Domain",COUNTIF($E$2:E1392,"Domain"),"")</f>
        <v/>
      </c>
    </row>
    <row r="1393">
      <c r="A1393" s="2" t="n"/>
      <c r="B1393">
        <f>LOWER(TRIM(A1393))</f>
        <v/>
      </c>
      <c r="C1393">
        <f>IF(B1393="","",IFERROR(INDEX('Bad Patterns'!$A$2:$A$120,MATCH(1,INDEX(--ISNUMBER(SEARCH('Bad Patterns'!$A$2:$A$120,B1393)),0),0)),""))</f>
        <v/>
      </c>
      <c r="D1393">
        <f>IF(B1393="","",IF(C1393&lt;&gt;"","REMOVE","KEEP"))</f>
        <v/>
      </c>
      <c r="E1393">
        <f>IF(D1393&lt;&gt;"KEEP","",IF(RIGHT(B1393,10)="@gmail.com","Gmail",IF(OR(RIGHT(B1393,12)="@outlook.com",RIGHT(B1393,12)="@hotmail.com",RIGHT(B1393,9)="@live.com"),"Outlook","Domain")))</f>
        <v/>
      </c>
      <c r="F1393">
        <f>IF(B1393="","",IFERROR(RIGHT(B1393,LEN(B1393)-FIND("@",B1393)),""))</f>
        <v/>
      </c>
      <c r="G1393">
        <f>IF(D1393="KEEP",COUNTIF($D$2:D1393,"KEEP"),"")</f>
        <v/>
      </c>
      <c r="H1393">
        <f>IF(D1393="REMOVE",COUNTIF($D$2:D1393,"REMOVE"),"")</f>
        <v/>
      </c>
      <c r="I1393">
        <f>IF(E1393="Gmail",COUNTIF($E$2:E1393,"Gmail"),"")</f>
        <v/>
      </c>
      <c r="J1393">
        <f>IF(E1393="Outlook",COUNTIF($E$2:E1393,"Outlook"),"")</f>
        <v/>
      </c>
      <c r="K1393">
        <f>IF(E1393="Domain",COUNTIF($E$2:E1393,"Domain"),"")</f>
        <v/>
      </c>
    </row>
    <row r="1394">
      <c r="A1394" s="2" t="n"/>
      <c r="B1394">
        <f>LOWER(TRIM(A1394))</f>
        <v/>
      </c>
      <c r="C1394">
        <f>IF(B1394="","",IFERROR(INDEX('Bad Patterns'!$A$2:$A$120,MATCH(1,INDEX(--ISNUMBER(SEARCH('Bad Patterns'!$A$2:$A$120,B1394)),0),0)),""))</f>
        <v/>
      </c>
      <c r="D1394">
        <f>IF(B1394="","",IF(C1394&lt;&gt;"","REMOVE","KEEP"))</f>
        <v/>
      </c>
      <c r="E1394">
        <f>IF(D1394&lt;&gt;"KEEP","",IF(RIGHT(B1394,10)="@gmail.com","Gmail",IF(OR(RIGHT(B1394,12)="@outlook.com",RIGHT(B1394,12)="@hotmail.com",RIGHT(B1394,9)="@live.com"),"Outlook","Domain")))</f>
        <v/>
      </c>
      <c r="F1394">
        <f>IF(B1394="","",IFERROR(RIGHT(B1394,LEN(B1394)-FIND("@",B1394)),""))</f>
        <v/>
      </c>
      <c r="G1394">
        <f>IF(D1394="KEEP",COUNTIF($D$2:D1394,"KEEP"),"")</f>
        <v/>
      </c>
      <c r="H1394">
        <f>IF(D1394="REMOVE",COUNTIF($D$2:D1394,"REMOVE"),"")</f>
        <v/>
      </c>
      <c r="I1394">
        <f>IF(E1394="Gmail",COUNTIF($E$2:E1394,"Gmail"),"")</f>
        <v/>
      </c>
      <c r="J1394">
        <f>IF(E1394="Outlook",COUNTIF($E$2:E1394,"Outlook"),"")</f>
        <v/>
      </c>
      <c r="K1394">
        <f>IF(E1394="Domain",COUNTIF($E$2:E1394,"Domain"),"")</f>
        <v/>
      </c>
    </row>
    <row r="1395">
      <c r="A1395" s="2" t="n"/>
      <c r="B1395">
        <f>LOWER(TRIM(A1395))</f>
        <v/>
      </c>
      <c r="C1395">
        <f>IF(B1395="","",IFERROR(INDEX('Bad Patterns'!$A$2:$A$120,MATCH(1,INDEX(--ISNUMBER(SEARCH('Bad Patterns'!$A$2:$A$120,B1395)),0),0)),""))</f>
        <v/>
      </c>
      <c r="D1395">
        <f>IF(B1395="","",IF(C1395&lt;&gt;"","REMOVE","KEEP"))</f>
        <v/>
      </c>
      <c r="E1395">
        <f>IF(D1395&lt;&gt;"KEEP","",IF(RIGHT(B1395,10)="@gmail.com","Gmail",IF(OR(RIGHT(B1395,12)="@outlook.com",RIGHT(B1395,12)="@hotmail.com",RIGHT(B1395,9)="@live.com"),"Outlook","Domain")))</f>
        <v/>
      </c>
      <c r="F1395">
        <f>IF(B1395="","",IFERROR(RIGHT(B1395,LEN(B1395)-FIND("@",B1395)),""))</f>
        <v/>
      </c>
      <c r="G1395">
        <f>IF(D1395="KEEP",COUNTIF($D$2:D1395,"KEEP"),"")</f>
        <v/>
      </c>
      <c r="H1395">
        <f>IF(D1395="REMOVE",COUNTIF($D$2:D1395,"REMOVE"),"")</f>
        <v/>
      </c>
      <c r="I1395">
        <f>IF(E1395="Gmail",COUNTIF($E$2:E1395,"Gmail"),"")</f>
        <v/>
      </c>
      <c r="J1395">
        <f>IF(E1395="Outlook",COUNTIF($E$2:E1395,"Outlook"),"")</f>
        <v/>
      </c>
      <c r="K1395">
        <f>IF(E1395="Domain",COUNTIF($E$2:E1395,"Domain"),"")</f>
        <v/>
      </c>
    </row>
    <row r="1396">
      <c r="A1396" s="2" t="n"/>
      <c r="B1396">
        <f>LOWER(TRIM(A1396))</f>
        <v/>
      </c>
      <c r="C1396">
        <f>IF(B1396="","",IFERROR(INDEX('Bad Patterns'!$A$2:$A$120,MATCH(1,INDEX(--ISNUMBER(SEARCH('Bad Patterns'!$A$2:$A$120,B1396)),0),0)),""))</f>
        <v/>
      </c>
      <c r="D1396">
        <f>IF(B1396="","",IF(C1396&lt;&gt;"","REMOVE","KEEP"))</f>
        <v/>
      </c>
      <c r="E1396">
        <f>IF(D1396&lt;&gt;"KEEP","",IF(RIGHT(B1396,10)="@gmail.com","Gmail",IF(OR(RIGHT(B1396,12)="@outlook.com",RIGHT(B1396,12)="@hotmail.com",RIGHT(B1396,9)="@live.com"),"Outlook","Domain")))</f>
        <v/>
      </c>
      <c r="F1396">
        <f>IF(B1396="","",IFERROR(RIGHT(B1396,LEN(B1396)-FIND("@",B1396)),""))</f>
        <v/>
      </c>
      <c r="G1396">
        <f>IF(D1396="KEEP",COUNTIF($D$2:D1396,"KEEP"),"")</f>
        <v/>
      </c>
      <c r="H1396">
        <f>IF(D1396="REMOVE",COUNTIF($D$2:D1396,"REMOVE"),"")</f>
        <v/>
      </c>
      <c r="I1396">
        <f>IF(E1396="Gmail",COUNTIF($E$2:E1396,"Gmail"),"")</f>
        <v/>
      </c>
      <c r="J1396">
        <f>IF(E1396="Outlook",COUNTIF($E$2:E1396,"Outlook"),"")</f>
        <v/>
      </c>
      <c r="K1396">
        <f>IF(E1396="Domain",COUNTIF($E$2:E1396,"Domain"),"")</f>
        <v/>
      </c>
    </row>
    <row r="1397">
      <c r="A1397" s="2" t="n"/>
      <c r="B1397">
        <f>LOWER(TRIM(A1397))</f>
        <v/>
      </c>
      <c r="C1397">
        <f>IF(B1397="","",IFERROR(INDEX('Bad Patterns'!$A$2:$A$120,MATCH(1,INDEX(--ISNUMBER(SEARCH('Bad Patterns'!$A$2:$A$120,B1397)),0),0)),""))</f>
        <v/>
      </c>
      <c r="D1397">
        <f>IF(B1397="","",IF(C1397&lt;&gt;"","REMOVE","KEEP"))</f>
        <v/>
      </c>
      <c r="E1397">
        <f>IF(D1397&lt;&gt;"KEEP","",IF(RIGHT(B1397,10)="@gmail.com","Gmail",IF(OR(RIGHT(B1397,12)="@outlook.com",RIGHT(B1397,12)="@hotmail.com",RIGHT(B1397,9)="@live.com"),"Outlook","Domain")))</f>
        <v/>
      </c>
      <c r="F1397">
        <f>IF(B1397="","",IFERROR(RIGHT(B1397,LEN(B1397)-FIND("@",B1397)),""))</f>
        <v/>
      </c>
      <c r="G1397">
        <f>IF(D1397="KEEP",COUNTIF($D$2:D1397,"KEEP"),"")</f>
        <v/>
      </c>
      <c r="H1397">
        <f>IF(D1397="REMOVE",COUNTIF($D$2:D1397,"REMOVE"),"")</f>
        <v/>
      </c>
      <c r="I1397">
        <f>IF(E1397="Gmail",COUNTIF($E$2:E1397,"Gmail"),"")</f>
        <v/>
      </c>
      <c r="J1397">
        <f>IF(E1397="Outlook",COUNTIF($E$2:E1397,"Outlook"),"")</f>
        <v/>
      </c>
      <c r="K1397">
        <f>IF(E1397="Domain",COUNTIF($E$2:E1397,"Domain"),"")</f>
        <v/>
      </c>
    </row>
    <row r="1398">
      <c r="A1398" s="2" t="n"/>
      <c r="B1398">
        <f>LOWER(TRIM(A1398))</f>
        <v/>
      </c>
      <c r="C1398">
        <f>IF(B1398="","",IFERROR(INDEX('Bad Patterns'!$A$2:$A$120,MATCH(1,INDEX(--ISNUMBER(SEARCH('Bad Patterns'!$A$2:$A$120,B1398)),0),0)),""))</f>
        <v/>
      </c>
      <c r="D1398">
        <f>IF(B1398="","",IF(C1398&lt;&gt;"","REMOVE","KEEP"))</f>
        <v/>
      </c>
      <c r="E1398">
        <f>IF(D1398&lt;&gt;"KEEP","",IF(RIGHT(B1398,10)="@gmail.com","Gmail",IF(OR(RIGHT(B1398,12)="@outlook.com",RIGHT(B1398,12)="@hotmail.com",RIGHT(B1398,9)="@live.com"),"Outlook","Domain")))</f>
        <v/>
      </c>
      <c r="F1398">
        <f>IF(B1398="","",IFERROR(RIGHT(B1398,LEN(B1398)-FIND("@",B1398)),""))</f>
        <v/>
      </c>
      <c r="G1398">
        <f>IF(D1398="KEEP",COUNTIF($D$2:D1398,"KEEP"),"")</f>
        <v/>
      </c>
      <c r="H1398">
        <f>IF(D1398="REMOVE",COUNTIF($D$2:D1398,"REMOVE"),"")</f>
        <v/>
      </c>
      <c r="I1398">
        <f>IF(E1398="Gmail",COUNTIF($E$2:E1398,"Gmail"),"")</f>
        <v/>
      </c>
      <c r="J1398">
        <f>IF(E1398="Outlook",COUNTIF($E$2:E1398,"Outlook"),"")</f>
        <v/>
      </c>
      <c r="K1398">
        <f>IF(E1398="Domain",COUNTIF($E$2:E1398,"Domain"),"")</f>
        <v/>
      </c>
    </row>
    <row r="1399">
      <c r="A1399" s="2" t="n"/>
      <c r="B1399">
        <f>LOWER(TRIM(A1399))</f>
        <v/>
      </c>
      <c r="C1399">
        <f>IF(B1399="","",IFERROR(INDEX('Bad Patterns'!$A$2:$A$120,MATCH(1,INDEX(--ISNUMBER(SEARCH('Bad Patterns'!$A$2:$A$120,B1399)),0),0)),""))</f>
        <v/>
      </c>
      <c r="D1399">
        <f>IF(B1399="","",IF(C1399&lt;&gt;"","REMOVE","KEEP"))</f>
        <v/>
      </c>
      <c r="E1399">
        <f>IF(D1399&lt;&gt;"KEEP","",IF(RIGHT(B1399,10)="@gmail.com","Gmail",IF(OR(RIGHT(B1399,12)="@outlook.com",RIGHT(B1399,12)="@hotmail.com",RIGHT(B1399,9)="@live.com"),"Outlook","Domain")))</f>
        <v/>
      </c>
      <c r="F1399">
        <f>IF(B1399="","",IFERROR(RIGHT(B1399,LEN(B1399)-FIND("@",B1399)),""))</f>
        <v/>
      </c>
      <c r="G1399">
        <f>IF(D1399="KEEP",COUNTIF($D$2:D1399,"KEEP"),"")</f>
        <v/>
      </c>
      <c r="H1399">
        <f>IF(D1399="REMOVE",COUNTIF($D$2:D1399,"REMOVE"),"")</f>
        <v/>
      </c>
      <c r="I1399">
        <f>IF(E1399="Gmail",COUNTIF($E$2:E1399,"Gmail"),"")</f>
        <v/>
      </c>
      <c r="J1399">
        <f>IF(E1399="Outlook",COUNTIF($E$2:E1399,"Outlook"),"")</f>
        <v/>
      </c>
      <c r="K1399">
        <f>IF(E1399="Domain",COUNTIF($E$2:E1399,"Domain"),"")</f>
        <v/>
      </c>
    </row>
    <row r="1400">
      <c r="A1400" s="2" t="n"/>
      <c r="B1400">
        <f>LOWER(TRIM(A1400))</f>
        <v/>
      </c>
      <c r="C1400">
        <f>IF(B1400="","",IFERROR(INDEX('Bad Patterns'!$A$2:$A$120,MATCH(1,INDEX(--ISNUMBER(SEARCH('Bad Patterns'!$A$2:$A$120,B1400)),0),0)),""))</f>
        <v/>
      </c>
      <c r="D1400">
        <f>IF(B1400="","",IF(C1400&lt;&gt;"","REMOVE","KEEP"))</f>
        <v/>
      </c>
      <c r="E1400">
        <f>IF(D1400&lt;&gt;"KEEP","",IF(RIGHT(B1400,10)="@gmail.com","Gmail",IF(OR(RIGHT(B1400,12)="@outlook.com",RIGHT(B1400,12)="@hotmail.com",RIGHT(B1400,9)="@live.com"),"Outlook","Domain")))</f>
        <v/>
      </c>
      <c r="F1400">
        <f>IF(B1400="","",IFERROR(RIGHT(B1400,LEN(B1400)-FIND("@",B1400)),""))</f>
        <v/>
      </c>
      <c r="G1400">
        <f>IF(D1400="KEEP",COUNTIF($D$2:D1400,"KEEP"),"")</f>
        <v/>
      </c>
      <c r="H1400">
        <f>IF(D1400="REMOVE",COUNTIF($D$2:D1400,"REMOVE"),"")</f>
        <v/>
      </c>
      <c r="I1400">
        <f>IF(E1400="Gmail",COUNTIF($E$2:E1400,"Gmail"),"")</f>
        <v/>
      </c>
      <c r="J1400">
        <f>IF(E1400="Outlook",COUNTIF($E$2:E1400,"Outlook"),"")</f>
        <v/>
      </c>
      <c r="K1400">
        <f>IF(E1400="Domain",COUNTIF($E$2:E1400,"Domain"),"")</f>
        <v/>
      </c>
    </row>
    <row r="1401">
      <c r="A1401" s="2" t="n"/>
      <c r="B1401">
        <f>LOWER(TRIM(A1401))</f>
        <v/>
      </c>
      <c r="C1401">
        <f>IF(B1401="","",IFERROR(INDEX('Bad Patterns'!$A$2:$A$120,MATCH(1,INDEX(--ISNUMBER(SEARCH('Bad Patterns'!$A$2:$A$120,B1401)),0),0)),""))</f>
        <v/>
      </c>
      <c r="D1401">
        <f>IF(B1401="","",IF(C1401&lt;&gt;"","REMOVE","KEEP"))</f>
        <v/>
      </c>
      <c r="E1401">
        <f>IF(D1401&lt;&gt;"KEEP","",IF(RIGHT(B1401,10)="@gmail.com","Gmail",IF(OR(RIGHT(B1401,12)="@outlook.com",RIGHT(B1401,12)="@hotmail.com",RIGHT(B1401,9)="@live.com"),"Outlook","Domain")))</f>
        <v/>
      </c>
      <c r="F1401">
        <f>IF(B1401="","",IFERROR(RIGHT(B1401,LEN(B1401)-FIND("@",B1401)),""))</f>
        <v/>
      </c>
      <c r="G1401">
        <f>IF(D1401="KEEP",COUNTIF($D$2:D1401,"KEEP"),"")</f>
        <v/>
      </c>
      <c r="H1401">
        <f>IF(D1401="REMOVE",COUNTIF($D$2:D1401,"REMOVE"),"")</f>
        <v/>
      </c>
      <c r="I1401">
        <f>IF(E1401="Gmail",COUNTIF($E$2:E1401,"Gmail"),"")</f>
        <v/>
      </c>
      <c r="J1401">
        <f>IF(E1401="Outlook",COUNTIF($E$2:E1401,"Outlook"),"")</f>
        <v/>
      </c>
      <c r="K1401">
        <f>IF(E1401="Domain",COUNTIF($E$2:E1401,"Domain"),"")</f>
        <v/>
      </c>
    </row>
    <row r="1402">
      <c r="A1402" s="2" t="n"/>
      <c r="B1402">
        <f>LOWER(TRIM(A1402))</f>
        <v/>
      </c>
      <c r="C1402">
        <f>IF(B1402="","",IFERROR(INDEX('Bad Patterns'!$A$2:$A$120,MATCH(1,INDEX(--ISNUMBER(SEARCH('Bad Patterns'!$A$2:$A$120,B1402)),0),0)),""))</f>
        <v/>
      </c>
      <c r="D1402">
        <f>IF(B1402="","",IF(C1402&lt;&gt;"","REMOVE","KEEP"))</f>
        <v/>
      </c>
      <c r="E1402">
        <f>IF(D1402&lt;&gt;"KEEP","",IF(RIGHT(B1402,10)="@gmail.com","Gmail",IF(OR(RIGHT(B1402,12)="@outlook.com",RIGHT(B1402,12)="@hotmail.com",RIGHT(B1402,9)="@live.com"),"Outlook","Domain")))</f>
        <v/>
      </c>
      <c r="F1402">
        <f>IF(B1402="","",IFERROR(RIGHT(B1402,LEN(B1402)-FIND("@",B1402)),""))</f>
        <v/>
      </c>
      <c r="G1402">
        <f>IF(D1402="KEEP",COUNTIF($D$2:D1402,"KEEP"),"")</f>
        <v/>
      </c>
      <c r="H1402">
        <f>IF(D1402="REMOVE",COUNTIF($D$2:D1402,"REMOVE"),"")</f>
        <v/>
      </c>
      <c r="I1402">
        <f>IF(E1402="Gmail",COUNTIF($E$2:E1402,"Gmail"),"")</f>
        <v/>
      </c>
      <c r="J1402">
        <f>IF(E1402="Outlook",COUNTIF($E$2:E1402,"Outlook"),"")</f>
        <v/>
      </c>
      <c r="K1402">
        <f>IF(E1402="Domain",COUNTIF($E$2:E1402,"Domain"),"")</f>
        <v/>
      </c>
    </row>
    <row r="1403">
      <c r="A1403" s="2" t="n"/>
      <c r="B1403">
        <f>LOWER(TRIM(A1403))</f>
        <v/>
      </c>
      <c r="C1403">
        <f>IF(B1403="","",IFERROR(INDEX('Bad Patterns'!$A$2:$A$120,MATCH(1,INDEX(--ISNUMBER(SEARCH('Bad Patterns'!$A$2:$A$120,B1403)),0),0)),""))</f>
        <v/>
      </c>
      <c r="D1403">
        <f>IF(B1403="","",IF(C1403&lt;&gt;"","REMOVE","KEEP"))</f>
        <v/>
      </c>
      <c r="E1403">
        <f>IF(D1403&lt;&gt;"KEEP","",IF(RIGHT(B1403,10)="@gmail.com","Gmail",IF(OR(RIGHT(B1403,12)="@outlook.com",RIGHT(B1403,12)="@hotmail.com",RIGHT(B1403,9)="@live.com"),"Outlook","Domain")))</f>
        <v/>
      </c>
      <c r="F1403">
        <f>IF(B1403="","",IFERROR(RIGHT(B1403,LEN(B1403)-FIND("@",B1403)),""))</f>
        <v/>
      </c>
      <c r="G1403">
        <f>IF(D1403="KEEP",COUNTIF($D$2:D1403,"KEEP"),"")</f>
        <v/>
      </c>
      <c r="H1403">
        <f>IF(D1403="REMOVE",COUNTIF($D$2:D1403,"REMOVE"),"")</f>
        <v/>
      </c>
      <c r="I1403">
        <f>IF(E1403="Gmail",COUNTIF($E$2:E1403,"Gmail"),"")</f>
        <v/>
      </c>
      <c r="J1403">
        <f>IF(E1403="Outlook",COUNTIF($E$2:E1403,"Outlook"),"")</f>
        <v/>
      </c>
      <c r="K1403">
        <f>IF(E1403="Domain",COUNTIF($E$2:E1403,"Domain"),"")</f>
        <v/>
      </c>
    </row>
    <row r="1404">
      <c r="A1404" s="2" t="n"/>
      <c r="B1404">
        <f>LOWER(TRIM(A1404))</f>
        <v/>
      </c>
      <c r="C1404">
        <f>IF(B1404="","",IFERROR(INDEX('Bad Patterns'!$A$2:$A$120,MATCH(1,INDEX(--ISNUMBER(SEARCH('Bad Patterns'!$A$2:$A$120,B1404)),0),0)),""))</f>
        <v/>
      </c>
      <c r="D1404">
        <f>IF(B1404="","",IF(C1404&lt;&gt;"","REMOVE","KEEP"))</f>
        <v/>
      </c>
      <c r="E1404">
        <f>IF(D1404&lt;&gt;"KEEP","",IF(RIGHT(B1404,10)="@gmail.com","Gmail",IF(OR(RIGHT(B1404,12)="@outlook.com",RIGHT(B1404,12)="@hotmail.com",RIGHT(B1404,9)="@live.com"),"Outlook","Domain")))</f>
        <v/>
      </c>
      <c r="F1404">
        <f>IF(B1404="","",IFERROR(RIGHT(B1404,LEN(B1404)-FIND("@",B1404)),""))</f>
        <v/>
      </c>
      <c r="G1404">
        <f>IF(D1404="KEEP",COUNTIF($D$2:D1404,"KEEP"),"")</f>
        <v/>
      </c>
      <c r="H1404">
        <f>IF(D1404="REMOVE",COUNTIF($D$2:D1404,"REMOVE"),"")</f>
        <v/>
      </c>
      <c r="I1404">
        <f>IF(E1404="Gmail",COUNTIF($E$2:E1404,"Gmail"),"")</f>
        <v/>
      </c>
      <c r="J1404">
        <f>IF(E1404="Outlook",COUNTIF($E$2:E1404,"Outlook"),"")</f>
        <v/>
      </c>
      <c r="K1404">
        <f>IF(E1404="Domain",COUNTIF($E$2:E1404,"Domain"),"")</f>
        <v/>
      </c>
    </row>
    <row r="1405">
      <c r="A1405" s="2" t="n"/>
      <c r="B1405">
        <f>LOWER(TRIM(A1405))</f>
        <v/>
      </c>
      <c r="C1405">
        <f>IF(B1405="","",IFERROR(INDEX('Bad Patterns'!$A$2:$A$120,MATCH(1,INDEX(--ISNUMBER(SEARCH('Bad Patterns'!$A$2:$A$120,B1405)),0),0)),""))</f>
        <v/>
      </c>
      <c r="D1405">
        <f>IF(B1405="","",IF(C1405&lt;&gt;"","REMOVE","KEEP"))</f>
        <v/>
      </c>
      <c r="E1405">
        <f>IF(D1405&lt;&gt;"KEEP","",IF(RIGHT(B1405,10)="@gmail.com","Gmail",IF(OR(RIGHT(B1405,12)="@outlook.com",RIGHT(B1405,12)="@hotmail.com",RIGHT(B1405,9)="@live.com"),"Outlook","Domain")))</f>
        <v/>
      </c>
      <c r="F1405">
        <f>IF(B1405="","",IFERROR(RIGHT(B1405,LEN(B1405)-FIND("@",B1405)),""))</f>
        <v/>
      </c>
      <c r="G1405">
        <f>IF(D1405="KEEP",COUNTIF($D$2:D1405,"KEEP"),"")</f>
        <v/>
      </c>
      <c r="H1405">
        <f>IF(D1405="REMOVE",COUNTIF($D$2:D1405,"REMOVE"),"")</f>
        <v/>
      </c>
      <c r="I1405">
        <f>IF(E1405="Gmail",COUNTIF($E$2:E1405,"Gmail"),"")</f>
        <v/>
      </c>
      <c r="J1405">
        <f>IF(E1405="Outlook",COUNTIF($E$2:E1405,"Outlook"),"")</f>
        <v/>
      </c>
      <c r="K1405">
        <f>IF(E1405="Domain",COUNTIF($E$2:E1405,"Domain"),"")</f>
        <v/>
      </c>
    </row>
    <row r="1406">
      <c r="A1406" s="2" t="n"/>
      <c r="B1406">
        <f>LOWER(TRIM(A1406))</f>
        <v/>
      </c>
      <c r="C1406">
        <f>IF(B1406="","",IFERROR(INDEX('Bad Patterns'!$A$2:$A$120,MATCH(1,INDEX(--ISNUMBER(SEARCH('Bad Patterns'!$A$2:$A$120,B1406)),0),0)),""))</f>
        <v/>
      </c>
      <c r="D1406">
        <f>IF(B1406="","",IF(C1406&lt;&gt;"","REMOVE","KEEP"))</f>
        <v/>
      </c>
      <c r="E1406">
        <f>IF(D1406&lt;&gt;"KEEP","",IF(RIGHT(B1406,10)="@gmail.com","Gmail",IF(OR(RIGHT(B1406,12)="@outlook.com",RIGHT(B1406,12)="@hotmail.com",RIGHT(B1406,9)="@live.com"),"Outlook","Domain")))</f>
        <v/>
      </c>
      <c r="F1406">
        <f>IF(B1406="","",IFERROR(RIGHT(B1406,LEN(B1406)-FIND("@",B1406)),""))</f>
        <v/>
      </c>
      <c r="G1406">
        <f>IF(D1406="KEEP",COUNTIF($D$2:D1406,"KEEP"),"")</f>
        <v/>
      </c>
      <c r="H1406">
        <f>IF(D1406="REMOVE",COUNTIF($D$2:D1406,"REMOVE"),"")</f>
        <v/>
      </c>
      <c r="I1406">
        <f>IF(E1406="Gmail",COUNTIF($E$2:E1406,"Gmail"),"")</f>
        <v/>
      </c>
      <c r="J1406">
        <f>IF(E1406="Outlook",COUNTIF($E$2:E1406,"Outlook"),"")</f>
        <v/>
      </c>
      <c r="K1406">
        <f>IF(E1406="Domain",COUNTIF($E$2:E1406,"Domain"),"")</f>
        <v/>
      </c>
    </row>
    <row r="1407">
      <c r="A1407" s="2" t="n"/>
      <c r="B1407">
        <f>LOWER(TRIM(A1407))</f>
        <v/>
      </c>
      <c r="C1407">
        <f>IF(B1407="","",IFERROR(INDEX('Bad Patterns'!$A$2:$A$120,MATCH(1,INDEX(--ISNUMBER(SEARCH('Bad Patterns'!$A$2:$A$120,B1407)),0),0)),""))</f>
        <v/>
      </c>
      <c r="D1407">
        <f>IF(B1407="","",IF(C1407&lt;&gt;"","REMOVE","KEEP"))</f>
        <v/>
      </c>
      <c r="E1407">
        <f>IF(D1407&lt;&gt;"KEEP","",IF(RIGHT(B1407,10)="@gmail.com","Gmail",IF(OR(RIGHT(B1407,12)="@outlook.com",RIGHT(B1407,12)="@hotmail.com",RIGHT(B1407,9)="@live.com"),"Outlook","Domain")))</f>
        <v/>
      </c>
      <c r="F1407">
        <f>IF(B1407="","",IFERROR(RIGHT(B1407,LEN(B1407)-FIND("@",B1407)),""))</f>
        <v/>
      </c>
      <c r="G1407">
        <f>IF(D1407="KEEP",COUNTIF($D$2:D1407,"KEEP"),"")</f>
        <v/>
      </c>
      <c r="H1407">
        <f>IF(D1407="REMOVE",COUNTIF($D$2:D1407,"REMOVE"),"")</f>
        <v/>
      </c>
      <c r="I1407">
        <f>IF(E1407="Gmail",COUNTIF($E$2:E1407,"Gmail"),"")</f>
        <v/>
      </c>
      <c r="J1407">
        <f>IF(E1407="Outlook",COUNTIF($E$2:E1407,"Outlook"),"")</f>
        <v/>
      </c>
      <c r="K1407">
        <f>IF(E1407="Domain",COUNTIF($E$2:E1407,"Domain"),"")</f>
        <v/>
      </c>
    </row>
    <row r="1408">
      <c r="A1408" s="2" t="n"/>
      <c r="B1408">
        <f>LOWER(TRIM(A1408))</f>
        <v/>
      </c>
      <c r="C1408">
        <f>IF(B1408="","",IFERROR(INDEX('Bad Patterns'!$A$2:$A$120,MATCH(1,INDEX(--ISNUMBER(SEARCH('Bad Patterns'!$A$2:$A$120,B1408)),0),0)),""))</f>
        <v/>
      </c>
      <c r="D1408">
        <f>IF(B1408="","",IF(C1408&lt;&gt;"","REMOVE","KEEP"))</f>
        <v/>
      </c>
      <c r="E1408">
        <f>IF(D1408&lt;&gt;"KEEP","",IF(RIGHT(B1408,10)="@gmail.com","Gmail",IF(OR(RIGHT(B1408,12)="@outlook.com",RIGHT(B1408,12)="@hotmail.com",RIGHT(B1408,9)="@live.com"),"Outlook","Domain")))</f>
        <v/>
      </c>
      <c r="F1408">
        <f>IF(B1408="","",IFERROR(RIGHT(B1408,LEN(B1408)-FIND("@",B1408)),""))</f>
        <v/>
      </c>
      <c r="G1408">
        <f>IF(D1408="KEEP",COUNTIF($D$2:D1408,"KEEP"),"")</f>
        <v/>
      </c>
      <c r="H1408">
        <f>IF(D1408="REMOVE",COUNTIF($D$2:D1408,"REMOVE"),"")</f>
        <v/>
      </c>
      <c r="I1408">
        <f>IF(E1408="Gmail",COUNTIF($E$2:E1408,"Gmail"),"")</f>
        <v/>
      </c>
      <c r="J1408">
        <f>IF(E1408="Outlook",COUNTIF($E$2:E1408,"Outlook"),"")</f>
        <v/>
      </c>
      <c r="K1408">
        <f>IF(E1408="Domain",COUNTIF($E$2:E1408,"Domain"),"")</f>
        <v/>
      </c>
    </row>
    <row r="1409">
      <c r="A1409" s="2" t="n"/>
      <c r="B1409">
        <f>LOWER(TRIM(A1409))</f>
        <v/>
      </c>
      <c r="C1409">
        <f>IF(B1409="","",IFERROR(INDEX('Bad Patterns'!$A$2:$A$120,MATCH(1,INDEX(--ISNUMBER(SEARCH('Bad Patterns'!$A$2:$A$120,B1409)),0),0)),""))</f>
        <v/>
      </c>
      <c r="D1409">
        <f>IF(B1409="","",IF(C1409&lt;&gt;"","REMOVE","KEEP"))</f>
        <v/>
      </c>
      <c r="E1409">
        <f>IF(D1409&lt;&gt;"KEEP","",IF(RIGHT(B1409,10)="@gmail.com","Gmail",IF(OR(RIGHT(B1409,12)="@outlook.com",RIGHT(B1409,12)="@hotmail.com",RIGHT(B1409,9)="@live.com"),"Outlook","Domain")))</f>
        <v/>
      </c>
      <c r="F1409">
        <f>IF(B1409="","",IFERROR(RIGHT(B1409,LEN(B1409)-FIND("@",B1409)),""))</f>
        <v/>
      </c>
      <c r="G1409">
        <f>IF(D1409="KEEP",COUNTIF($D$2:D1409,"KEEP"),"")</f>
        <v/>
      </c>
      <c r="H1409">
        <f>IF(D1409="REMOVE",COUNTIF($D$2:D1409,"REMOVE"),"")</f>
        <v/>
      </c>
      <c r="I1409">
        <f>IF(E1409="Gmail",COUNTIF($E$2:E1409,"Gmail"),"")</f>
        <v/>
      </c>
      <c r="J1409">
        <f>IF(E1409="Outlook",COUNTIF($E$2:E1409,"Outlook"),"")</f>
        <v/>
      </c>
      <c r="K1409">
        <f>IF(E1409="Domain",COUNTIF($E$2:E1409,"Domain"),"")</f>
        <v/>
      </c>
    </row>
    <row r="1410">
      <c r="A1410" s="2" t="n"/>
      <c r="B1410">
        <f>LOWER(TRIM(A1410))</f>
        <v/>
      </c>
      <c r="C1410">
        <f>IF(B1410="","",IFERROR(INDEX('Bad Patterns'!$A$2:$A$120,MATCH(1,INDEX(--ISNUMBER(SEARCH('Bad Patterns'!$A$2:$A$120,B1410)),0),0)),""))</f>
        <v/>
      </c>
      <c r="D1410">
        <f>IF(B1410="","",IF(C1410&lt;&gt;"","REMOVE","KEEP"))</f>
        <v/>
      </c>
      <c r="E1410">
        <f>IF(D1410&lt;&gt;"KEEP","",IF(RIGHT(B1410,10)="@gmail.com","Gmail",IF(OR(RIGHT(B1410,12)="@outlook.com",RIGHT(B1410,12)="@hotmail.com",RIGHT(B1410,9)="@live.com"),"Outlook","Domain")))</f>
        <v/>
      </c>
      <c r="F1410">
        <f>IF(B1410="","",IFERROR(RIGHT(B1410,LEN(B1410)-FIND("@",B1410)),""))</f>
        <v/>
      </c>
      <c r="G1410">
        <f>IF(D1410="KEEP",COUNTIF($D$2:D1410,"KEEP"),"")</f>
        <v/>
      </c>
      <c r="H1410">
        <f>IF(D1410="REMOVE",COUNTIF($D$2:D1410,"REMOVE"),"")</f>
        <v/>
      </c>
      <c r="I1410">
        <f>IF(E1410="Gmail",COUNTIF($E$2:E1410,"Gmail"),"")</f>
        <v/>
      </c>
      <c r="J1410">
        <f>IF(E1410="Outlook",COUNTIF($E$2:E1410,"Outlook"),"")</f>
        <v/>
      </c>
      <c r="K1410">
        <f>IF(E1410="Domain",COUNTIF($E$2:E1410,"Domain"),"")</f>
        <v/>
      </c>
    </row>
    <row r="1411">
      <c r="A1411" s="2" t="n"/>
      <c r="B1411">
        <f>LOWER(TRIM(A1411))</f>
        <v/>
      </c>
      <c r="C1411">
        <f>IF(B1411="","",IFERROR(INDEX('Bad Patterns'!$A$2:$A$120,MATCH(1,INDEX(--ISNUMBER(SEARCH('Bad Patterns'!$A$2:$A$120,B1411)),0),0)),""))</f>
        <v/>
      </c>
      <c r="D1411">
        <f>IF(B1411="","",IF(C1411&lt;&gt;"","REMOVE","KEEP"))</f>
        <v/>
      </c>
      <c r="E1411">
        <f>IF(D1411&lt;&gt;"KEEP","",IF(RIGHT(B1411,10)="@gmail.com","Gmail",IF(OR(RIGHT(B1411,12)="@outlook.com",RIGHT(B1411,12)="@hotmail.com",RIGHT(B1411,9)="@live.com"),"Outlook","Domain")))</f>
        <v/>
      </c>
      <c r="F1411">
        <f>IF(B1411="","",IFERROR(RIGHT(B1411,LEN(B1411)-FIND("@",B1411)),""))</f>
        <v/>
      </c>
      <c r="G1411">
        <f>IF(D1411="KEEP",COUNTIF($D$2:D1411,"KEEP"),"")</f>
        <v/>
      </c>
      <c r="H1411">
        <f>IF(D1411="REMOVE",COUNTIF($D$2:D1411,"REMOVE"),"")</f>
        <v/>
      </c>
      <c r="I1411">
        <f>IF(E1411="Gmail",COUNTIF($E$2:E1411,"Gmail"),"")</f>
        <v/>
      </c>
      <c r="J1411">
        <f>IF(E1411="Outlook",COUNTIF($E$2:E1411,"Outlook"),"")</f>
        <v/>
      </c>
      <c r="K1411">
        <f>IF(E1411="Domain",COUNTIF($E$2:E1411,"Domain"),"")</f>
        <v/>
      </c>
    </row>
    <row r="1412">
      <c r="A1412" s="2" t="n"/>
      <c r="B1412">
        <f>LOWER(TRIM(A1412))</f>
        <v/>
      </c>
      <c r="C1412">
        <f>IF(B1412="","",IFERROR(INDEX('Bad Patterns'!$A$2:$A$120,MATCH(1,INDEX(--ISNUMBER(SEARCH('Bad Patterns'!$A$2:$A$120,B1412)),0),0)),""))</f>
        <v/>
      </c>
      <c r="D1412">
        <f>IF(B1412="","",IF(C1412&lt;&gt;"","REMOVE","KEEP"))</f>
        <v/>
      </c>
      <c r="E1412">
        <f>IF(D1412&lt;&gt;"KEEP","",IF(RIGHT(B1412,10)="@gmail.com","Gmail",IF(OR(RIGHT(B1412,12)="@outlook.com",RIGHT(B1412,12)="@hotmail.com",RIGHT(B1412,9)="@live.com"),"Outlook","Domain")))</f>
        <v/>
      </c>
      <c r="F1412">
        <f>IF(B1412="","",IFERROR(RIGHT(B1412,LEN(B1412)-FIND("@",B1412)),""))</f>
        <v/>
      </c>
      <c r="G1412">
        <f>IF(D1412="KEEP",COUNTIF($D$2:D1412,"KEEP"),"")</f>
        <v/>
      </c>
      <c r="H1412">
        <f>IF(D1412="REMOVE",COUNTIF($D$2:D1412,"REMOVE"),"")</f>
        <v/>
      </c>
      <c r="I1412">
        <f>IF(E1412="Gmail",COUNTIF($E$2:E1412,"Gmail"),"")</f>
        <v/>
      </c>
      <c r="J1412">
        <f>IF(E1412="Outlook",COUNTIF($E$2:E1412,"Outlook"),"")</f>
        <v/>
      </c>
      <c r="K1412">
        <f>IF(E1412="Domain",COUNTIF($E$2:E1412,"Domain"),"")</f>
        <v/>
      </c>
    </row>
    <row r="1413">
      <c r="A1413" s="2" t="n"/>
      <c r="B1413">
        <f>LOWER(TRIM(A1413))</f>
        <v/>
      </c>
      <c r="C1413">
        <f>IF(B1413="","",IFERROR(INDEX('Bad Patterns'!$A$2:$A$120,MATCH(1,INDEX(--ISNUMBER(SEARCH('Bad Patterns'!$A$2:$A$120,B1413)),0),0)),""))</f>
        <v/>
      </c>
      <c r="D1413">
        <f>IF(B1413="","",IF(C1413&lt;&gt;"","REMOVE","KEEP"))</f>
        <v/>
      </c>
      <c r="E1413">
        <f>IF(D1413&lt;&gt;"KEEP","",IF(RIGHT(B1413,10)="@gmail.com","Gmail",IF(OR(RIGHT(B1413,12)="@outlook.com",RIGHT(B1413,12)="@hotmail.com",RIGHT(B1413,9)="@live.com"),"Outlook","Domain")))</f>
        <v/>
      </c>
      <c r="F1413">
        <f>IF(B1413="","",IFERROR(RIGHT(B1413,LEN(B1413)-FIND("@",B1413)),""))</f>
        <v/>
      </c>
      <c r="G1413">
        <f>IF(D1413="KEEP",COUNTIF($D$2:D1413,"KEEP"),"")</f>
        <v/>
      </c>
      <c r="H1413">
        <f>IF(D1413="REMOVE",COUNTIF($D$2:D1413,"REMOVE"),"")</f>
        <v/>
      </c>
      <c r="I1413">
        <f>IF(E1413="Gmail",COUNTIF($E$2:E1413,"Gmail"),"")</f>
        <v/>
      </c>
      <c r="J1413">
        <f>IF(E1413="Outlook",COUNTIF($E$2:E1413,"Outlook"),"")</f>
        <v/>
      </c>
      <c r="K1413">
        <f>IF(E1413="Domain",COUNTIF($E$2:E1413,"Domain"),"")</f>
        <v/>
      </c>
    </row>
    <row r="1414">
      <c r="A1414" s="2" t="n"/>
      <c r="B1414">
        <f>LOWER(TRIM(A1414))</f>
        <v/>
      </c>
      <c r="C1414">
        <f>IF(B1414="","",IFERROR(INDEX('Bad Patterns'!$A$2:$A$120,MATCH(1,INDEX(--ISNUMBER(SEARCH('Bad Patterns'!$A$2:$A$120,B1414)),0),0)),""))</f>
        <v/>
      </c>
      <c r="D1414">
        <f>IF(B1414="","",IF(C1414&lt;&gt;"","REMOVE","KEEP"))</f>
        <v/>
      </c>
      <c r="E1414">
        <f>IF(D1414&lt;&gt;"KEEP","",IF(RIGHT(B1414,10)="@gmail.com","Gmail",IF(OR(RIGHT(B1414,12)="@outlook.com",RIGHT(B1414,12)="@hotmail.com",RIGHT(B1414,9)="@live.com"),"Outlook","Domain")))</f>
        <v/>
      </c>
      <c r="F1414">
        <f>IF(B1414="","",IFERROR(RIGHT(B1414,LEN(B1414)-FIND("@",B1414)),""))</f>
        <v/>
      </c>
      <c r="G1414">
        <f>IF(D1414="KEEP",COUNTIF($D$2:D1414,"KEEP"),"")</f>
        <v/>
      </c>
      <c r="H1414">
        <f>IF(D1414="REMOVE",COUNTIF($D$2:D1414,"REMOVE"),"")</f>
        <v/>
      </c>
      <c r="I1414">
        <f>IF(E1414="Gmail",COUNTIF($E$2:E1414,"Gmail"),"")</f>
        <v/>
      </c>
      <c r="J1414">
        <f>IF(E1414="Outlook",COUNTIF($E$2:E1414,"Outlook"),"")</f>
        <v/>
      </c>
      <c r="K1414">
        <f>IF(E1414="Domain",COUNTIF($E$2:E1414,"Domain"),"")</f>
        <v/>
      </c>
    </row>
    <row r="1415">
      <c r="A1415" s="2" t="n"/>
      <c r="B1415">
        <f>LOWER(TRIM(A1415))</f>
        <v/>
      </c>
      <c r="C1415">
        <f>IF(B1415="","",IFERROR(INDEX('Bad Patterns'!$A$2:$A$120,MATCH(1,INDEX(--ISNUMBER(SEARCH('Bad Patterns'!$A$2:$A$120,B1415)),0),0)),""))</f>
        <v/>
      </c>
      <c r="D1415">
        <f>IF(B1415="","",IF(C1415&lt;&gt;"","REMOVE","KEEP"))</f>
        <v/>
      </c>
      <c r="E1415">
        <f>IF(D1415&lt;&gt;"KEEP","",IF(RIGHT(B1415,10)="@gmail.com","Gmail",IF(OR(RIGHT(B1415,12)="@outlook.com",RIGHT(B1415,12)="@hotmail.com",RIGHT(B1415,9)="@live.com"),"Outlook","Domain")))</f>
        <v/>
      </c>
      <c r="F1415">
        <f>IF(B1415="","",IFERROR(RIGHT(B1415,LEN(B1415)-FIND("@",B1415)),""))</f>
        <v/>
      </c>
      <c r="G1415">
        <f>IF(D1415="KEEP",COUNTIF($D$2:D1415,"KEEP"),"")</f>
        <v/>
      </c>
      <c r="H1415">
        <f>IF(D1415="REMOVE",COUNTIF($D$2:D1415,"REMOVE"),"")</f>
        <v/>
      </c>
      <c r="I1415">
        <f>IF(E1415="Gmail",COUNTIF($E$2:E1415,"Gmail"),"")</f>
        <v/>
      </c>
      <c r="J1415">
        <f>IF(E1415="Outlook",COUNTIF($E$2:E1415,"Outlook"),"")</f>
        <v/>
      </c>
      <c r="K1415">
        <f>IF(E1415="Domain",COUNTIF($E$2:E1415,"Domain"),"")</f>
        <v/>
      </c>
    </row>
    <row r="1416">
      <c r="A1416" s="2" t="n"/>
      <c r="B1416">
        <f>LOWER(TRIM(A1416))</f>
        <v/>
      </c>
      <c r="C1416">
        <f>IF(B1416="","",IFERROR(INDEX('Bad Patterns'!$A$2:$A$120,MATCH(1,INDEX(--ISNUMBER(SEARCH('Bad Patterns'!$A$2:$A$120,B1416)),0),0)),""))</f>
        <v/>
      </c>
      <c r="D1416">
        <f>IF(B1416="","",IF(C1416&lt;&gt;"","REMOVE","KEEP"))</f>
        <v/>
      </c>
      <c r="E1416">
        <f>IF(D1416&lt;&gt;"KEEP","",IF(RIGHT(B1416,10)="@gmail.com","Gmail",IF(OR(RIGHT(B1416,12)="@outlook.com",RIGHT(B1416,12)="@hotmail.com",RIGHT(B1416,9)="@live.com"),"Outlook","Domain")))</f>
        <v/>
      </c>
      <c r="F1416">
        <f>IF(B1416="","",IFERROR(RIGHT(B1416,LEN(B1416)-FIND("@",B1416)),""))</f>
        <v/>
      </c>
      <c r="G1416">
        <f>IF(D1416="KEEP",COUNTIF($D$2:D1416,"KEEP"),"")</f>
        <v/>
      </c>
      <c r="H1416">
        <f>IF(D1416="REMOVE",COUNTIF($D$2:D1416,"REMOVE"),"")</f>
        <v/>
      </c>
      <c r="I1416">
        <f>IF(E1416="Gmail",COUNTIF($E$2:E1416,"Gmail"),"")</f>
        <v/>
      </c>
      <c r="J1416">
        <f>IF(E1416="Outlook",COUNTIF($E$2:E1416,"Outlook"),"")</f>
        <v/>
      </c>
      <c r="K1416">
        <f>IF(E1416="Domain",COUNTIF($E$2:E1416,"Domain"),"")</f>
        <v/>
      </c>
    </row>
    <row r="1417">
      <c r="A1417" s="2" t="n"/>
      <c r="B1417">
        <f>LOWER(TRIM(A1417))</f>
        <v/>
      </c>
      <c r="C1417">
        <f>IF(B1417="","",IFERROR(INDEX('Bad Patterns'!$A$2:$A$120,MATCH(1,INDEX(--ISNUMBER(SEARCH('Bad Patterns'!$A$2:$A$120,B1417)),0),0)),""))</f>
        <v/>
      </c>
      <c r="D1417">
        <f>IF(B1417="","",IF(C1417&lt;&gt;"","REMOVE","KEEP"))</f>
        <v/>
      </c>
      <c r="E1417">
        <f>IF(D1417&lt;&gt;"KEEP","",IF(RIGHT(B1417,10)="@gmail.com","Gmail",IF(OR(RIGHT(B1417,12)="@outlook.com",RIGHT(B1417,12)="@hotmail.com",RIGHT(B1417,9)="@live.com"),"Outlook","Domain")))</f>
        <v/>
      </c>
      <c r="F1417">
        <f>IF(B1417="","",IFERROR(RIGHT(B1417,LEN(B1417)-FIND("@",B1417)),""))</f>
        <v/>
      </c>
      <c r="G1417">
        <f>IF(D1417="KEEP",COUNTIF($D$2:D1417,"KEEP"),"")</f>
        <v/>
      </c>
      <c r="H1417">
        <f>IF(D1417="REMOVE",COUNTIF($D$2:D1417,"REMOVE"),"")</f>
        <v/>
      </c>
      <c r="I1417">
        <f>IF(E1417="Gmail",COUNTIF($E$2:E1417,"Gmail"),"")</f>
        <v/>
      </c>
      <c r="J1417">
        <f>IF(E1417="Outlook",COUNTIF($E$2:E1417,"Outlook"),"")</f>
        <v/>
      </c>
      <c r="K1417">
        <f>IF(E1417="Domain",COUNTIF($E$2:E1417,"Domain"),"")</f>
        <v/>
      </c>
    </row>
    <row r="1418">
      <c r="A1418" s="2" t="n"/>
      <c r="B1418">
        <f>LOWER(TRIM(A1418))</f>
        <v/>
      </c>
      <c r="C1418">
        <f>IF(B1418="","",IFERROR(INDEX('Bad Patterns'!$A$2:$A$120,MATCH(1,INDEX(--ISNUMBER(SEARCH('Bad Patterns'!$A$2:$A$120,B1418)),0),0)),""))</f>
        <v/>
      </c>
      <c r="D1418">
        <f>IF(B1418="","",IF(C1418&lt;&gt;"","REMOVE","KEEP"))</f>
        <v/>
      </c>
      <c r="E1418">
        <f>IF(D1418&lt;&gt;"KEEP","",IF(RIGHT(B1418,10)="@gmail.com","Gmail",IF(OR(RIGHT(B1418,12)="@outlook.com",RIGHT(B1418,12)="@hotmail.com",RIGHT(B1418,9)="@live.com"),"Outlook","Domain")))</f>
        <v/>
      </c>
      <c r="F1418">
        <f>IF(B1418="","",IFERROR(RIGHT(B1418,LEN(B1418)-FIND("@",B1418)),""))</f>
        <v/>
      </c>
      <c r="G1418">
        <f>IF(D1418="KEEP",COUNTIF($D$2:D1418,"KEEP"),"")</f>
        <v/>
      </c>
      <c r="H1418">
        <f>IF(D1418="REMOVE",COUNTIF($D$2:D1418,"REMOVE"),"")</f>
        <v/>
      </c>
      <c r="I1418">
        <f>IF(E1418="Gmail",COUNTIF($E$2:E1418,"Gmail"),"")</f>
        <v/>
      </c>
      <c r="J1418">
        <f>IF(E1418="Outlook",COUNTIF($E$2:E1418,"Outlook"),"")</f>
        <v/>
      </c>
      <c r="K1418">
        <f>IF(E1418="Domain",COUNTIF($E$2:E1418,"Domain"),"")</f>
        <v/>
      </c>
    </row>
    <row r="1419">
      <c r="A1419" s="2" t="n"/>
      <c r="B1419">
        <f>LOWER(TRIM(A1419))</f>
        <v/>
      </c>
      <c r="C1419">
        <f>IF(B1419="","",IFERROR(INDEX('Bad Patterns'!$A$2:$A$120,MATCH(1,INDEX(--ISNUMBER(SEARCH('Bad Patterns'!$A$2:$A$120,B1419)),0),0)),""))</f>
        <v/>
      </c>
      <c r="D1419">
        <f>IF(B1419="","",IF(C1419&lt;&gt;"","REMOVE","KEEP"))</f>
        <v/>
      </c>
      <c r="E1419">
        <f>IF(D1419&lt;&gt;"KEEP","",IF(RIGHT(B1419,10)="@gmail.com","Gmail",IF(OR(RIGHT(B1419,12)="@outlook.com",RIGHT(B1419,12)="@hotmail.com",RIGHT(B1419,9)="@live.com"),"Outlook","Domain")))</f>
        <v/>
      </c>
      <c r="F1419">
        <f>IF(B1419="","",IFERROR(RIGHT(B1419,LEN(B1419)-FIND("@",B1419)),""))</f>
        <v/>
      </c>
      <c r="G1419">
        <f>IF(D1419="KEEP",COUNTIF($D$2:D1419,"KEEP"),"")</f>
        <v/>
      </c>
      <c r="H1419">
        <f>IF(D1419="REMOVE",COUNTIF($D$2:D1419,"REMOVE"),"")</f>
        <v/>
      </c>
      <c r="I1419">
        <f>IF(E1419="Gmail",COUNTIF($E$2:E1419,"Gmail"),"")</f>
        <v/>
      </c>
      <c r="J1419">
        <f>IF(E1419="Outlook",COUNTIF($E$2:E1419,"Outlook"),"")</f>
        <v/>
      </c>
      <c r="K1419">
        <f>IF(E1419="Domain",COUNTIF($E$2:E1419,"Domain"),"")</f>
        <v/>
      </c>
    </row>
    <row r="1420">
      <c r="A1420" s="2" t="n"/>
      <c r="B1420">
        <f>LOWER(TRIM(A1420))</f>
        <v/>
      </c>
      <c r="C1420">
        <f>IF(B1420="","",IFERROR(INDEX('Bad Patterns'!$A$2:$A$120,MATCH(1,INDEX(--ISNUMBER(SEARCH('Bad Patterns'!$A$2:$A$120,B1420)),0),0)),""))</f>
        <v/>
      </c>
      <c r="D1420">
        <f>IF(B1420="","",IF(C1420&lt;&gt;"","REMOVE","KEEP"))</f>
        <v/>
      </c>
      <c r="E1420">
        <f>IF(D1420&lt;&gt;"KEEP","",IF(RIGHT(B1420,10)="@gmail.com","Gmail",IF(OR(RIGHT(B1420,12)="@outlook.com",RIGHT(B1420,12)="@hotmail.com",RIGHT(B1420,9)="@live.com"),"Outlook","Domain")))</f>
        <v/>
      </c>
      <c r="F1420">
        <f>IF(B1420="","",IFERROR(RIGHT(B1420,LEN(B1420)-FIND("@",B1420)),""))</f>
        <v/>
      </c>
      <c r="G1420">
        <f>IF(D1420="KEEP",COUNTIF($D$2:D1420,"KEEP"),"")</f>
        <v/>
      </c>
      <c r="H1420">
        <f>IF(D1420="REMOVE",COUNTIF($D$2:D1420,"REMOVE"),"")</f>
        <v/>
      </c>
      <c r="I1420">
        <f>IF(E1420="Gmail",COUNTIF($E$2:E1420,"Gmail"),"")</f>
        <v/>
      </c>
      <c r="J1420">
        <f>IF(E1420="Outlook",COUNTIF($E$2:E1420,"Outlook"),"")</f>
        <v/>
      </c>
      <c r="K1420">
        <f>IF(E1420="Domain",COUNTIF($E$2:E1420,"Domain"),"")</f>
        <v/>
      </c>
    </row>
    <row r="1421">
      <c r="A1421" s="2" t="n"/>
      <c r="B1421">
        <f>LOWER(TRIM(A1421))</f>
        <v/>
      </c>
      <c r="C1421">
        <f>IF(B1421="","",IFERROR(INDEX('Bad Patterns'!$A$2:$A$120,MATCH(1,INDEX(--ISNUMBER(SEARCH('Bad Patterns'!$A$2:$A$120,B1421)),0),0)),""))</f>
        <v/>
      </c>
      <c r="D1421">
        <f>IF(B1421="","",IF(C1421&lt;&gt;"","REMOVE","KEEP"))</f>
        <v/>
      </c>
      <c r="E1421">
        <f>IF(D1421&lt;&gt;"KEEP","",IF(RIGHT(B1421,10)="@gmail.com","Gmail",IF(OR(RIGHT(B1421,12)="@outlook.com",RIGHT(B1421,12)="@hotmail.com",RIGHT(B1421,9)="@live.com"),"Outlook","Domain")))</f>
        <v/>
      </c>
      <c r="F1421">
        <f>IF(B1421="","",IFERROR(RIGHT(B1421,LEN(B1421)-FIND("@",B1421)),""))</f>
        <v/>
      </c>
      <c r="G1421">
        <f>IF(D1421="KEEP",COUNTIF($D$2:D1421,"KEEP"),"")</f>
        <v/>
      </c>
      <c r="H1421">
        <f>IF(D1421="REMOVE",COUNTIF($D$2:D1421,"REMOVE"),"")</f>
        <v/>
      </c>
      <c r="I1421">
        <f>IF(E1421="Gmail",COUNTIF($E$2:E1421,"Gmail"),"")</f>
        <v/>
      </c>
      <c r="J1421">
        <f>IF(E1421="Outlook",COUNTIF($E$2:E1421,"Outlook"),"")</f>
        <v/>
      </c>
      <c r="K1421">
        <f>IF(E1421="Domain",COUNTIF($E$2:E1421,"Domain"),"")</f>
        <v/>
      </c>
    </row>
    <row r="1422">
      <c r="A1422" s="2" t="n"/>
      <c r="B1422">
        <f>LOWER(TRIM(A1422))</f>
        <v/>
      </c>
      <c r="C1422">
        <f>IF(B1422="","",IFERROR(INDEX('Bad Patterns'!$A$2:$A$120,MATCH(1,INDEX(--ISNUMBER(SEARCH('Bad Patterns'!$A$2:$A$120,B1422)),0),0)),""))</f>
        <v/>
      </c>
      <c r="D1422">
        <f>IF(B1422="","",IF(C1422&lt;&gt;"","REMOVE","KEEP"))</f>
        <v/>
      </c>
      <c r="E1422">
        <f>IF(D1422&lt;&gt;"KEEP","",IF(RIGHT(B1422,10)="@gmail.com","Gmail",IF(OR(RIGHT(B1422,12)="@outlook.com",RIGHT(B1422,12)="@hotmail.com",RIGHT(B1422,9)="@live.com"),"Outlook","Domain")))</f>
        <v/>
      </c>
      <c r="F1422">
        <f>IF(B1422="","",IFERROR(RIGHT(B1422,LEN(B1422)-FIND("@",B1422)),""))</f>
        <v/>
      </c>
      <c r="G1422">
        <f>IF(D1422="KEEP",COUNTIF($D$2:D1422,"KEEP"),"")</f>
        <v/>
      </c>
      <c r="H1422">
        <f>IF(D1422="REMOVE",COUNTIF($D$2:D1422,"REMOVE"),"")</f>
        <v/>
      </c>
      <c r="I1422">
        <f>IF(E1422="Gmail",COUNTIF($E$2:E1422,"Gmail"),"")</f>
        <v/>
      </c>
      <c r="J1422">
        <f>IF(E1422="Outlook",COUNTIF($E$2:E1422,"Outlook"),"")</f>
        <v/>
      </c>
      <c r="K1422">
        <f>IF(E1422="Domain",COUNTIF($E$2:E1422,"Domain"),"")</f>
        <v/>
      </c>
    </row>
    <row r="1423">
      <c r="A1423" s="2" t="n"/>
      <c r="B1423">
        <f>LOWER(TRIM(A1423))</f>
        <v/>
      </c>
      <c r="C1423">
        <f>IF(B1423="","",IFERROR(INDEX('Bad Patterns'!$A$2:$A$120,MATCH(1,INDEX(--ISNUMBER(SEARCH('Bad Patterns'!$A$2:$A$120,B1423)),0),0)),""))</f>
        <v/>
      </c>
      <c r="D1423">
        <f>IF(B1423="","",IF(C1423&lt;&gt;"","REMOVE","KEEP"))</f>
        <v/>
      </c>
      <c r="E1423">
        <f>IF(D1423&lt;&gt;"KEEP","",IF(RIGHT(B1423,10)="@gmail.com","Gmail",IF(OR(RIGHT(B1423,12)="@outlook.com",RIGHT(B1423,12)="@hotmail.com",RIGHT(B1423,9)="@live.com"),"Outlook","Domain")))</f>
        <v/>
      </c>
      <c r="F1423">
        <f>IF(B1423="","",IFERROR(RIGHT(B1423,LEN(B1423)-FIND("@",B1423)),""))</f>
        <v/>
      </c>
      <c r="G1423">
        <f>IF(D1423="KEEP",COUNTIF($D$2:D1423,"KEEP"),"")</f>
        <v/>
      </c>
      <c r="H1423">
        <f>IF(D1423="REMOVE",COUNTIF($D$2:D1423,"REMOVE"),"")</f>
        <v/>
      </c>
      <c r="I1423">
        <f>IF(E1423="Gmail",COUNTIF($E$2:E1423,"Gmail"),"")</f>
        <v/>
      </c>
      <c r="J1423">
        <f>IF(E1423="Outlook",COUNTIF($E$2:E1423,"Outlook"),"")</f>
        <v/>
      </c>
      <c r="K1423">
        <f>IF(E1423="Domain",COUNTIF($E$2:E1423,"Domain"),"")</f>
        <v/>
      </c>
    </row>
    <row r="1424">
      <c r="A1424" s="2" t="n"/>
      <c r="B1424">
        <f>LOWER(TRIM(A1424))</f>
        <v/>
      </c>
      <c r="C1424">
        <f>IF(B1424="","",IFERROR(INDEX('Bad Patterns'!$A$2:$A$120,MATCH(1,INDEX(--ISNUMBER(SEARCH('Bad Patterns'!$A$2:$A$120,B1424)),0),0)),""))</f>
        <v/>
      </c>
      <c r="D1424">
        <f>IF(B1424="","",IF(C1424&lt;&gt;"","REMOVE","KEEP"))</f>
        <v/>
      </c>
      <c r="E1424">
        <f>IF(D1424&lt;&gt;"KEEP","",IF(RIGHT(B1424,10)="@gmail.com","Gmail",IF(OR(RIGHT(B1424,12)="@outlook.com",RIGHT(B1424,12)="@hotmail.com",RIGHT(B1424,9)="@live.com"),"Outlook","Domain")))</f>
        <v/>
      </c>
      <c r="F1424">
        <f>IF(B1424="","",IFERROR(RIGHT(B1424,LEN(B1424)-FIND("@",B1424)),""))</f>
        <v/>
      </c>
      <c r="G1424">
        <f>IF(D1424="KEEP",COUNTIF($D$2:D1424,"KEEP"),"")</f>
        <v/>
      </c>
      <c r="H1424">
        <f>IF(D1424="REMOVE",COUNTIF($D$2:D1424,"REMOVE"),"")</f>
        <v/>
      </c>
      <c r="I1424">
        <f>IF(E1424="Gmail",COUNTIF($E$2:E1424,"Gmail"),"")</f>
        <v/>
      </c>
      <c r="J1424">
        <f>IF(E1424="Outlook",COUNTIF($E$2:E1424,"Outlook"),"")</f>
        <v/>
      </c>
      <c r="K1424">
        <f>IF(E1424="Domain",COUNTIF($E$2:E1424,"Domain"),"")</f>
        <v/>
      </c>
    </row>
    <row r="1425">
      <c r="A1425" s="2" t="n"/>
      <c r="B1425">
        <f>LOWER(TRIM(A1425))</f>
        <v/>
      </c>
      <c r="C1425">
        <f>IF(B1425="","",IFERROR(INDEX('Bad Patterns'!$A$2:$A$120,MATCH(1,INDEX(--ISNUMBER(SEARCH('Bad Patterns'!$A$2:$A$120,B1425)),0),0)),""))</f>
        <v/>
      </c>
      <c r="D1425">
        <f>IF(B1425="","",IF(C1425&lt;&gt;"","REMOVE","KEEP"))</f>
        <v/>
      </c>
      <c r="E1425">
        <f>IF(D1425&lt;&gt;"KEEP","",IF(RIGHT(B1425,10)="@gmail.com","Gmail",IF(OR(RIGHT(B1425,12)="@outlook.com",RIGHT(B1425,12)="@hotmail.com",RIGHT(B1425,9)="@live.com"),"Outlook","Domain")))</f>
        <v/>
      </c>
      <c r="F1425">
        <f>IF(B1425="","",IFERROR(RIGHT(B1425,LEN(B1425)-FIND("@",B1425)),""))</f>
        <v/>
      </c>
      <c r="G1425">
        <f>IF(D1425="KEEP",COUNTIF($D$2:D1425,"KEEP"),"")</f>
        <v/>
      </c>
      <c r="H1425">
        <f>IF(D1425="REMOVE",COUNTIF($D$2:D1425,"REMOVE"),"")</f>
        <v/>
      </c>
      <c r="I1425">
        <f>IF(E1425="Gmail",COUNTIF($E$2:E1425,"Gmail"),"")</f>
        <v/>
      </c>
      <c r="J1425">
        <f>IF(E1425="Outlook",COUNTIF($E$2:E1425,"Outlook"),"")</f>
        <v/>
      </c>
      <c r="K1425">
        <f>IF(E1425="Domain",COUNTIF($E$2:E1425,"Domain"),"")</f>
        <v/>
      </c>
    </row>
    <row r="1426">
      <c r="A1426" s="2" t="n"/>
      <c r="B1426">
        <f>LOWER(TRIM(A1426))</f>
        <v/>
      </c>
      <c r="C1426">
        <f>IF(B1426="","",IFERROR(INDEX('Bad Patterns'!$A$2:$A$120,MATCH(1,INDEX(--ISNUMBER(SEARCH('Bad Patterns'!$A$2:$A$120,B1426)),0),0)),""))</f>
        <v/>
      </c>
      <c r="D1426">
        <f>IF(B1426="","",IF(C1426&lt;&gt;"","REMOVE","KEEP"))</f>
        <v/>
      </c>
      <c r="E1426">
        <f>IF(D1426&lt;&gt;"KEEP","",IF(RIGHT(B1426,10)="@gmail.com","Gmail",IF(OR(RIGHT(B1426,12)="@outlook.com",RIGHT(B1426,12)="@hotmail.com",RIGHT(B1426,9)="@live.com"),"Outlook","Domain")))</f>
        <v/>
      </c>
      <c r="F1426">
        <f>IF(B1426="","",IFERROR(RIGHT(B1426,LEN(B1426)-FIND("@",B1426)),""))</f>
        <v/>
      </c>
      <c r="G1426">
        <f>IF(D1426="KEEP",COUNTIF($D$2:D1426,"KEEP"),"")</f>
        <v/>
      </c>
      <c r="H1426">
        <f>IF(D1426="REMOVE",COUNTIF($D$2:D1426,"REMOVE"),"")</f>
        <v/>
      </c>
      <c r="I1426">
        <f>IF(E1426="Gmail",COUNTIF($E$2:E1426,"Gmail"),"")</f>
        <v/>
      </c>
      <c r="J1426">
        <f>IF(E1426="Outlook",COUNTIF($E$2:E1426,"Outlook"),"")</f>
        <v/>
      </c>
      <c r="K1426">
        <f>IF(E1426="Domain",COUNTIF($E$2:E1426,"Domain"),"")</f>
        <v/>
      </c>
    </row>
    <row r="1427">
      <c r="A1427" s="2" t="n"/>
      <c r="B1427">
        <f>LOWER(TRIM(A1427))</f>
        <v/>
      </c>
      <c r="C1427">
        <f>IF(B1427="","",IFERROR(INDEX('Bad Patterns'!$A$2:$A$120,MATCH(1,INDEX(--ISNUMBER(SEARCH('Bad Patterns'!$A$2:$A$120,B1427)),0),0)),""))</f>
        <v/>
      </c>
      <c r="D1427">
        <f>IF(B1427="","",IF(C1427&lt;&gt;"","REMOVE","KEEP"))</f>
        <v/>
      </c>
      <c r="E1427">
        <f>IF(D1427&lt;&gt;"KEEP","",IF(RIGHT(B1427,10)="@gmail.com","Gmail",IF(OR(RIGHT(B1427,12)="@outlook.com",RIGHT(B1427,12)="@hotmail.com",RIGHT(B1427,9)="@live.com"),"Outlook","Domain")))</f>
        <v/>
      </c>
      <c r="F1427">
        <f>IF(B1427="","",IFERROR(RIGHT(B1427,LEN(B1427)-FIND("@",B1427)),""))</f>
        <v/>
      </c>
      <c r="G1427">
        <f>IF(D1427="KEEP",COUNTIF($D$2:D1427,"KEEP"),"")</f>
        <v/>
      </c>
      <c r="H1427">
        <f>IF(D1427="REMOVE",COUNTIF($D$2:D1427,"REMOVE"),"")</f>
        <v/>
      </c>
      <c r="I1427">
        <f>IF(E1427="Gmail",COUNTIF($E$2:E1427,"Gmail"),"")</f>
        <v/>
      </c>
      <c r="J1427">
        <f>IF(E1427="Outlook",COUNTIF($E$2:E1427,"Outlook"),"")</f>
        <v/>
      </c>
      <c r="K1427">
        <f>IF(E1427="Domain",COUNTIF($E$2:E1427,"Domain"),"")</f>
        <v/>
      </c>
    </row>
    <row r="1428">
      <c r="A1428" s="2" t="n"/>
      <c r="B1428">
        <f>LOWER(TRIM(A1428))</f>
        <v/>
      </c>
      <c r="C1428">
        <f>IF(B1428="","",IFERROR(INDEX('Bad Patterns'!$A$2:$A$120,MATCH(1,INDEX(--ISNUMBER(SEARCH('Bad Patterns'!$A$2:$A$120,B1428)),0),0)),""))</f>
        <v/>
      </c>
      <c r="D1428">
        <f>IF(B1428="","",IF(C1428&lt;&gt;"","REMOVE","KEEP"))</f>
        <v/>
      </c>
      <c r="E1428">
        <f>IF(D1428&lt;&gt;"KEEP","",IF(RIGHT(B1428,10)="@gmail.com","Gmail",IF(OR(RIGHT(B1428,12)="@outlook.com",RIGHT(B1428,12)="@hotmail.com",RIGHT(B1428,9)="@live.com"),"Outlook","Domain")))</f>
        <v/>
      </c>
      <c r="F1428">
        <f>IF(B1428="","",IFERROR(RIGHT(B1428,LEN(B1428)-FIND("@",B1428)),""))</f>
        <v/>
      </c>
      <c r="G1428">
        <f>IF(D1428="KEEP",COUNTIF($D$2:D1428,"KEEP"),"")</f>
        <v/>
      </c>
      <c r="H1428">
        <f>IF(D1428="REMOVE",COUNTIF($D$2:D1428,"REMOVE"),"")</f>
        <v/>
      </c>
      <c r="I1428">
        <f>IF(E1428="Gmail",COUNTIF($E$2:E1428,"Gmail"),"")</f>
        <v/>
      </c>
      <c r="J1428">
        <f>IF(E1428="Outlook",COUNTIF($E$2:E1428,"Outlook"),"")</f>
        <v/>
      </c>
      <c r="K1428">
        <f>IF(E1428="Domain",COUNTIF($E$2:E1428,"Domain"),"")</f>
        <v/>
      </c>
    </row>
    <row r="1429">
      <c r="A1429" s="2" t="n"/>
      <c r="B1429">
        <f>LOWER(TRIM(A1429))</f>
        <v/>
      </c>
      <c r="C1429">
        <f>IF(B1429="","",IFERROR(INDEX('Bad Patterns'!$A$2:$A$120,MATCH(1,INDEX(--ISNUMBER(SEARCH('Bad Patterns'!$A$2:$A$120,B1429)),0),0)),""))</f>
        <v/>
      </c>
      <c r="D1429">
        <f>IF(B1429="","",IF(C1429&lt;&gt;"","REMOVE","KEEP"))</f>
        <v/>
      </c>
      <c r="E1429">
        <f>IF(D1429&lt;&gt;"KEEP","",IF(RIGHT(B1429,10)="@gmail.com","Gmail",IF(OR(RIGHT(B1429,12)="@outlook.com",RIGHT(B1429,12)="@hotmail.com",RIGHT(B1429,9)="@live.com"),"Outlook","Domain")))</f>
        <v/>
      </c>
      <c r="F1429">
        <f>IF(B1429="","",IFERROR(RIGHT(B1429,LEN(B1429)-FIND("@",B1429)),""))</f>
        <v/>
      </c>
      <c r="G1429">
        <f>IF(D1429="KEEP",COUNTIF($D$2:D1429,"KEEP"),"")</f>
        <v/>
      </c>
      <c r="H1429">
        <f>IF(D1429="REMOVE",COUNTIF($D$2:D1429,"REMOVE"),"")</f>
        <v/>
      </c>
      <c r="I1429">
        <f>IF(E1429="Gmail",COUNTIF($E$2:E1429,"Gmail"),"")</f>
        <v/>
      </c>
      <c r="J1429">
        <f>IF(E1429="Outlook",COUNTIF($E$2:E1429,"Outlook"),"")</f>
        <v/>
      </c>
      <c r="K1429">
        <f>IF(E1429="Domain",COUNTIF($E$2:E1429,"Domain"),"")</f>
        <v/>
      </c>
    </row>
    <row r="1430">
      <c r="A1430" s="2" t="n"/>
      <c r="B1430">
        <f>LOWER(TRIM(A1430))</f>
        <v/>
      </c>
      <c r="C1430">
        <f>IF(B1430="","",IFERROR(INDEX('Bad Patterns'!$A$2:$A$120,MATCH(1,INDEX(--ISNUMBER(SEARCH('Bad Patterns'!$A$2:$A$120,B1430)),0),0)),""))</f>
        <v/>
      </c>
      <c r="D1430">
        <f>IF(B1430="","",IF(C1430&lt;&gt;"","REMOVE","KEEP"))</f>
        <v/>
      </c>
      <c r="E1430">
        <f>IF(D1430&lt;&gt;"KEEP","",IF(RIGHT(B1430,10)="@gmail.com","Gmail",IF(OR(RIGHT(B1430,12)="@outlook.com",RIGHT(B1430,12)="@hotmail.com",RIGHT(B1430,9)="@live.com"),"Outlook","Domain")))</f>
        <v/>
      </c>
      <c r="F1430">
        <f>IF(B1430="","",IFERROR(RIGHT(B1430,LEN(B1430)-FIND("@",B1430)),""))</f>
        <v/>
      </c>
      <c r="G1430">
        <f>IF(D1430="KEEP",COUNTIF($D$2:D1430,"KEEP"),"")</f>
        <v/>
      </c>
      <c r="H1430">
        <f>IF(D1430="REMOVE",COUNTIF($D$2:D1430,"REMOVE"),"")</f>
        <v/>
      </c>
      <c r="I1430">
        <f>IF(E1430="Gmail",COUNTIF($E$2:E1430,"Gmail"),"")</f>
        <v/>
      </c>
      <c r="J1430">
        <f>IF(E1430="Outlook",COUNTIF($E$2:E1430,"Outlook"),"")</f>
        <v/>
      </c>
      <c r="K1430">
        <f>IF(E1430="Domain",COUNTIF($E$2:E1430,"Domain"),"")</f>
        <v/>
      </c>
    </row>
    <row r="1431">
      <c r="A1431" s="2" t="n"/>
      <c r="B1431">
        <f>LOWER(TRIM(A1431))</f>
        <v/>
      </c>
      <c r="C1431">
        <f>IF(B1431="","",IFERROR(INDEX('Bad Patterns'!$A$2:$A$120,MATCH(1,INDEX(--ISNUMBER(SEARCH('Bad Patterns'!$A$2:$A$120,B1431)),0),0)),""))</f>
        <v/>
      </c>
      <c r="D1431">
        <f>IF(B1431="","",IF(C1431&lt;&gt;"","REMOVE","KEEP"))</f>
        <v/>
      </c>
      <c r="E1431">
        <f>IF(D1431&lt;&gt;"KEEP","",IF(RIGHT(B1431,10)="@gmail.com","Gmail",IF(OR(RIGHT(B1431,12)="@outlook.com",RIGHT(B1431,12)="@hotmail.com",RIGHT(B1431,9)="@live.com"),"Outlook","Domain")))</f>
        <v/>
      </c>
      <c r="F1431">
        <f>IF(B1431="","",IFERROR(RIGHT(B1431,LEN(B1431)-FIND("@",B1431)),""))</f>
        <v/>
      </c>
      <c r="G1431">
        <f>IF(D1431="KEEP",COUNTIF($D$2:D1431,"KEEP"),"")</f>
        <v/>
      </c>
      <c r="H1431">
        <f>IF(D1431="REMOVE",COUNTIF($D$2:D1431,"REMOVE"),"")</f>
        <v/>
      </c>
      <c r="I1431">
        <f>IF(E1431="Gmail",COUNTIF($E$2:E1431,"Gmail"),"")</f>
        <v/>
      </c>
      <c r="J1431">
        <f>IF(E1431="Outlook",COUNTIF($E$2:E1431,"Outlook"),"")</f>
        <v/>
      </c>
      <c r="K1431">
        <f>IF(E1431="Domain",COUNTIF($E$2:E1431,"Domain"),"")</f>
        <v/>
      </c>
    </row>
    <row r="1432">
      <c r="A1432" s="2" t="n"/>
      <c r="B1432">
        <f>LOWER(TRIM(A1432))</f>
        <v/>
      </c>
      <c r="C1432">
        <f>IF(B1432="","",IFERROR(INDEX('Bad Patterns'!$A$2:$A$120,MATCH(1,INDEX(--ISNUMBER(SEARCH('Bad Patterns'!$A$2:$A$120,B1432)),0),0)),""))</f>
        <v/>
      </c>
      <c r="D1432">
        <f>IF(B1432="","",IF(C1432&lt;&gt;"","REMOVE","KEEP"))</f>
        <v/>
      </c>
      <c r="E1432">
        <f>IF(D1432&lt;&gt;"KEEP","",IF(RIGHT(B1432,10)="@gmail.com","Gmail",IF(OR(RIGHT(B1432,12)="@outlook.com",RIGHT(B1432,12)="@hotmail.com",RIGHT(B1432,9)="@live.com"),"Outlook","Domain")))</f>
        <v/>
      </c>
      <c r="F1432">
        <f>IF(B1432="","",IFERROR(RIGHT(B1432,LEN(B1432)-FIND("@",B1432)),""))</f>
        <v/>
      </c>
      <c r="G1432">
        <f>IF(D1432="KEEP",COUNTIF($D$2:D1432,"KEEP"),"")</f>
        <v/>
      </c>
      <c r="H1432">
        <f>IF(D1432="REMOVE",COUNTIF($D$2:D1432,"REMOVE"),"")</f>
        <v/>
      </c>
      <c r="I1432">
        <f>IF(E1432="Gmail",COUNTIF($E$2:E1432,"Gmail"),"")</f>
        <v/>
      </c>
      <c r="J1432">
        <f>IF(E1432="Outlook",COUNTIF($E$2:E1432,"Outlook"),"")</f>
        <v/>
      </c>
      <c r="K1432">
        <f>IF(E1432="Domain",COUNTIF($E$2:E1432,"Domain"),"")</f>
        <v/>
      </c>
    </row>
    <row r="1433">
      <c r="A1433" s="2" t="n"/>
      <c r="B1433">
        <f>LOWER(TRIM(A1433))</f>
        <v/>
      </c>
      <c r="C1433">
        <f>IF(B1433="","",IFERROR(INDEX('Bad Patterns'!$A$2:$A$120,MATCH(1,INDEX(--ISNUMBER(SEARCH('Bad Patterns'!$A$2:$A$120,B1433)),0),0)),""))</f>
        <v/>
      </c>
      <c r="D1433">
        <f>IF(B1433="","",IF(C1433&lt;&gt;"","REMOVE","KEEP"))</f>
        <v/>
      </c>
      <c r="E1433">
        <f>IF(D1433&lt;&gt;"KEEP","",IF(RIGHT(B1433,10)="@gmail.com","Gmail",IF(OR(RIGHT(B1433,12)="@outlook.com",RIGHT(B1433,12)="@hotmail.com",RIGHT(B1433,9)="@live.com"),"Outlook","Domain")))</f>
        <v/>
      </c>
      <c r="F1433">
        <f>IF(B1433="","",IFERROR(RIGHT(B1433,LEN(B1433)-FIND("@",B1433)),""))</f>
        <v/>
      </c>
      <c r="G1433">
        <f>IF(D1433="KEEP",COUNTIF($D$2:D1433,"KEEP"),"")</f>
        <v/>
      </c>
      <c r="H1433">
        <f>IF(D1433="REMOVE",COUNTIF($D$2:D1433,"REMOVE"),"")</f>
        <v/>
      </c>
      <c r="I1433">
        <f>IF(E1433="Gmail",COUNTIF($E$2:E1433,"Gmail"),"")</f>
        <v/>
      </c>
      <c r="J1433">
        <f>IF(E1433="Outlook",COUNTIF($E$2:E1433,"Outlook"),"")</f>
        <v/>
      </c>
      <c r="K1433">
        <f>IF(E1433="Domain",COUNTIF($E$2:E1433,"Domain"),"")</f>
        <v/>
      </c>
    </row>
    <row r="1434">
      <c r="A1434" s="2" t="n"/>
      <c r="B1434">
        <f>LOWER(TRIM(A1434))</f>
        <v/>
      </c>
      <c r="C1434">
        <f>IF(B1434="","",IFERROR(INDEX('Bad Patterns'!$A$2:$A$120,MATCH(1,INDEX(--ISNUMBER(SEARCH('Bad Patterns'!$A$2:$A$120,B1434)),0),0)),""))</f>
        <v/>
      </c>
      <c r="D1434">
        <f>IF(B1434="","",IF(C1434&lt;&gt;"","REMOVE","KEEP"))</f>
        <v/>
      </c>
      <c r="E1434">
        <f>IF(D1434&lt;&gt;"KEEP","",IF(RIGHT(B1434,10)="@gmail.com","Gmail",IF(OR(RIGHT(B1434,12)="@outlook.com",RIGHT(B1434,12)="@hotmail.com",RIGHT(B1434,9)="@live.com"),"Outlook","Domain")))</f>
        <v/>
      </c>
      <c r="F1434">
        <f>IF(B1434="","",IFERROR(RIGHT(B1434,LEN(B1434)-FIND("@",B1434)),""))</f>
        <v/>
      </c>
      <c r="G1434">
        <f>IF(D1434="KEEP",COUNTIF($D$2:D1434,"KEEP"),"")</f>
        <v/>
      </c>
      <c r="H1434">
        <f>IF(D1434="REMOVE",COUNTIF($D$2:D1434,"REMOVE"),"")</f>
        <v/>
      </c>
      <c r="I1434">
        <f>IF(E1434="Gmail",COUNTIF($E$2:E1434,"Gmail"),"")</f>
        <v/>
      </c>
      <c r="J1434">
        <f>IF(E1434="Outlook",COUNTIF($E$2:E1434,"Outlook"),"")</f>
        <v/>
      </c>
      <c r="K1434">
        <f>IF(E1434="Domain",COUNTIF($E$2:E1434,"Domain"),"")</f>
        <v/>
      </c>
    </row>
    <row r="1435">
      <c r="A1435" s="2" t="n"/>
      <c r="B1435">
        <f>LOWER(TRIM(A1435))</f>
        <v/>
      </c>
      <c r="C1435">
        <f>IF(B1435="","",IFERROR(INDEX('Bad Patterns'!$A$2:$A$120,MATCH(1,INDEX(--ISNUMBER(SEARCH('Bad Patterns'!$A$2:$A$120,B1435)),0),0)),""))</f>
        <v/>
      </c>
      <c r="D1435">
        <f>IF(B1435="","",IF(C1435&lt;&gt;"","REMOVE","KEEP"))</f>
        <v/>
      </c>
      <c r="E1435">
        <f>IF(D1435&lt;&gt;"KEEP","",IF(RIGHT(B1435,10)="@gmail.com","Gmail",IF(OR(RIGHT(B1435,12)="@outlook.com",RIGHT(B1435,12)="@hotmail.com",RIGHT(B1435,9)="@live.com"),"Outlook","Domain")))</f>
        <v/>
      </c>
      <c r="F1435">
        <f>IF(B1435="","",IFERROR(RIGHT(B1435,LEN(B1435)-FIND("@",B1435)),""))</f>
        <v/>
      </c>
      <c r="G1435">
        <f>IF(D1435="KEEP",COUNTIF($D$2:D1435,"KEEP"),"")</f>
        <v/>
      </c>
      <c r="H1435">
        <f>IF(D1435="REMOVE",COUNTIF($D$2:D1435,"REMOVE"),"")</f>
        <v/>
      </c>
      <c r="I1435">
        <f>IF(E1435="Gmail",COUNTIF($E$2:E1435,"Gmail"),"")</f>
        <v/>
      </c>
      <c r="J1435">
        <f>IF(E1435="Outlook",COUNTIF($E$2:E1435,"Outlook"),"")</f>
        <v/>
      </c>
      <c r="K1435">
        <f>IF(E1435="Domain",COUNTIF($E$2:E1435,"Domain"),"")</f>
        <v/>
      </c>
    </row>
    <row r="1436">
      <c r="A1436" s="2" t="n"/>
      <c r="B1436">
        <f>LOWER(TRIM(A1436))</f>
        <v/>
      </c>
      <c r="C1436">
        <f>IF(B1436="","",IFERROR(INDEX('Bad Patterns'!$A$2:$A$120,MATCH(1,INDEX(--ISNUMBER(SEARCH('Bad Patterns'!$A$2:$A$120,B1436)),0),0)),""))</f>
        <v/>
      </c>
      <c r="D1436">
        <f>IF(B1436="","",IF(C1436&lt;&gt;"","REMOVE","KEEP"))</f>
        <v/>
      </c>
      <c r="E1436">
        <f>IF(D1436&lt;&gt;"KEEP","",IF(RIGHT(B1436,10)="@gmail.com","Gmail",IF(OR(RIGHT(B1436,12)="@outlook.com",RIGHT(B1436,12)="@hotmail.com",RIGHT(B1436,9)="@live.com"),"Outlook","Domain")))</f>
        <v/>
      </c>
      <c r="F1436">
        <f>IF(B1436="","",IFERROR(RIGHT(B1436,LEN(B1436)-FIND("@",B1436)),""))</f>
        <v/>
      </c>
      <c r="G1436">
        <f>IF(D1436="KEEP",COUNTIF($D$2:D1436,"KEEP"),"")</f>
        <v/>
      </c>
      <c r="H1436">
        <f>IF(D1436="REMOVE",COUNTIF($D$2:D1436,"REMOVE"),"")</f>
        <v/>
      </c>
      <c r="I1436">
        <f>IF(E1436="Gmail",COUNTIF($E$2:E1436,"Gmail"),"")</f>
        <v/>
      </c>
      <c r="J1436">
        <f>IF(E1436="Outlook",COUNTIF($E$2:E1436,"Outlook"),"")</f>
        <v/>
      </c>
      <c r="K1436">
        <f>IF(E1436="Domain",COUNTIF($E$2:E1436,"Domain"),"")</f>
        <v/>
      </c>
    </row>
    <row r="1437">
      <c r="A1437" s="2" t="n"/>
      <c r="B1437">
        <f>LOWER(TRIM(A1437))</f>
        <v/>
      </c>
      <c r="C1437">
        <f>IF(B1437="","",IFERROR(INDEX('Bad Patterns'!$A$2:$A$120,MATCH(1,INDEX(--ISNUMBER(SEARCH('Bad Patterns'!$A$2:$A$120,B1437)),0),0)),""))</f>
        <v/>
      </c>
      <c r="D1437">
        <f>IF(B1437="","",IF(C1437&lt;&gt;"","REMOVE","KEEP"))</f>
        <v/>
      </c>
      <c r="E1437">
        <f>IF(D1437&lt;&gt;"KEEP","",IF(RIGHT(B1437,10)="@gmail.com","Gmail",IF(OR(RIGHT(B1437,12)="@outlook.com",RIGHT(B1437,12)="@hotmail.com",RIGHT(B1437,9)="@live.com"),"Outlook","Domain")))</f>
        <v/>
      </c>
      <c r="F1437">
        <f>IF(B1437="","",IFERROR(RIGHT(B1437,LEN(B1437)-FIND("@",B1437)),""))</f>
        <v/>
      </c>
      <c r="G1437">
        <f>IF(D1437="KEEP",COUNTIF($D$2:D1437,"KEEP"),"")</f>
        <v/>
      </c>
      <c r="H1437">
        <f>IF(D1437="REMOVE",COUNTIF($D$2:D1437,"REMOVE"),"")</f>
        <v/>
      </c>
      <c r="I1437">
        <f>IF(E1437="Gmail",COUNTIF($E$2:E1437,"Gmail"),"")</f>
        <v/>
      </c>
      <c r="J1437">
        <f>IF(E1437="Outlook",COUNTIF($E$2:E1437,"Outlook"),"")</f>
        <v/>
      </c>
      <c r="K1437">
        <f>IF(E1437="Domain",COUNTIF($E$2:E1437,"Domain"),"")</f>
        <v/>
      </c>
    </row>
    <row r="1438">
      <c r="A1438" s="2" t="n"/>
      <c r="B1438">
        <f>LOWER(TRIM(A1438))</f>
        <v/>
      </c>
      <c r="C1438">
        <f>IF(B1438="","",IFERROR(INDEX('Bad Patterns'!$A$2:$A$120,MATCH(1,INDEX(--ISNUMBER(SEARCH('Bad Patterns'!$A$2:$A$120,B1438)),0),0)),""))</f>
        <v/>
      </c>
      <c r="D1438">
        <f>IF(B1438="","",IF(C1438&lt;&gt;"","REMOVE","KEEP"))</f>
        <v/>
      </c>
      <c r="E1438">
        <f>IF(D1438&lt;&gt;"KEEP","",IF(RIGHT(B1438,10)="@gmail.com","Gmail",IF(OR(RIGHT(B1438,12)="@outlook.com",RIGHT(B1438,12)="@hotmail.com",RIGHT(B1438,9)="@live.com"),"Outlook","Domain")))</f>
        <v/>
      </c>
      <c r="F1438">
        <f>IF(B1438="","",IFERROR(RIGHT(B1438,LEN(B1438)-FIND("@",B1438)),""))</f>
        <v/>
      </c>
      <c r="G1438">
        <f>IF(D1438="KEEP",COUNTIF($D$2:D1438,"KEEP"),"")</f>
        <v/>
      </c>
      <c r="H1438">
        <f>IF(D1438="REMOVE",COUNTIF($D$2:D1438,"REMOVE"),"")</f>
        <v/>
      </c>
      <c r="I1438">
        <f>IF(E1438="Gmail",COUNTIF($E$2:E1438,"Gmail"),"")</f>
        <v/>
      </c>
      <c r="J1438">
        <f>IF(E1438="Outlook",COUNTIF($E$2:E1438,"Outlook"),"")</f>
        <v/>
      </c>
      <c r="K1438">
        <f>IF(E1438="Domain",COUNTIF($E$2:E1438,"Domain"),"")</f>
        <v/>
      </c>
    </row>
    <row r="1439">
      <c r="A1439" s="2" t="n"/>
      <c r="B1439">
        <f>LOWER(TRIM(A1439))</f>
        <v/>
      </c>
      <c r="C1439">
        <f>IF(B1439="","",IFERROR(INDEX('Bad Patterns'!$A$2:$A$120,MATCH(1,INDEX(--ISNUMBER(SEARCH('Bad Patterns'!$A$2:$A$120,B1439)),0),0)),""))</f>
        <v/>
      </c>
      <c r="D1439">
        <f>IF(B1439="","",IF(C1439&lt;&gt;"","REMOVE","KEEP"))</f>
        <v/>
      </c>
      <c r="E1439">
        <f>IF(D1439&lt;&gt;"KEEP","",IF(RIGHT(B1439,10)="@gmail.com","Gmail",IF(OR(RIGHT(B1439,12)="@outlook.com",RIGHT(B1439,12)="@hotmail.com",RIGHT(B1439,9)="@live.com"),"Outlook","Domain")))</f>
        <v/>
      </c>
      <c r="F1439">
        <f>IF(B1439="","",IFERROR(RIGHT(B1439,LEN(B1439)-FIND("@",B1439)),""))</f>
        <v/>
      </c>
      <c r="G1439">
        <f>IF(D1439="KEEP",COUNTIF($D$2:D1439,"KEEP"),"")</f>
        <v/>
      </c>
      <c r="H1439">
        <f>IF(D1439="REMOVE",COUNTIF($D$2:D1439,"REMOVE"),"")</f>
        <v/>
      </c>
      <c r="I1439">
        <f>IF(E1439="Gmail",COUNTIF($E$2:E1439,"Gmail"),"")</f>
        <v/>
      </c>
      <c r="J1439">
        <f>IF(E1439="Outlook",COUNTIF($E$2:E1439,"Outlook"),"")</f>
        <v/>
      </c>
      <c r="K1439">
        <f>IF(E1439="Domain",COUNTIF($E$2:E1439,"Domain"),"")</f>
        <v/>
      </c>
    </row>
    <row r="1440">
      <c r="A1440" s="2" t="n"/>
      <c r="B1440">
        <f>LOWER(TRIM(A1440))</f>
        <v/>
      </c>
      <c r="C1440">
        <f>IF(B1440="","",IFERROR(INDEX('Bad Patterns'!$A$2:$A$120,MATCH(1,INDEX(--ISNUMBER(SEARCH('Bad Patterns'!$A$2:$A$120,B1440)),0),0)),""))</f>
        <v/>
      </c>
      <c r="D1440">
        <f>IF(B1440="","",IF(C1440&lt;&gt;"","REMOVE","KEEP"))</f>
        <v/>
      </c>
      <c r="E1440">
        <f>IF(D1440&lt;&gt;"KEEP","",IF(RIGHT(B1440,10)="@gmail.com","Gmail",IF(OR(RIGHT(B1440,12)="@outlook.com",RIGHT(B1440,12)="@hotmail.com",RIGHT(B1440,9)="@live.com"),"Outlook","Domain")))</f>
        <v/>
      </c>
      <c r="F1440">
        <f>IF(B1440="","",IFERROR(RIGHT(B1440,LEN(B1440)-FIND("@",B1440)),""))</f>
        <v/>
      </c>
      <c r="G1440">
        <f>IF(D1440="KEEP",COUNTIF($D$2:D1440,"KEEP"),"")</f>
        <v/>
      </c>
      <c r="H1440">
        <f>IF(D1440="REMOVE",COUNTIF($D$2:D1440,"REMOVE"),"")</f>
        <v/>
      </c>
      <c r="I1440">
        <f>IF(E1440="Gmail",COUNTIF($E$2:E1440,"Gmail"),"")</f>
        <v/>
      </c>
      <c r="J1440">
        <f>IF(E1440="Outlook",COUNTIF($E$2:E1440,"Outlook"),"")</f>
        <v/>
      </c>
      <c r="K1440">
        <f>IF(E1440="Domain",COUNTIF($E$2:E1440,"Domain"),"")</f>
        <v/>
      </c>
    </row>
    <row r="1441">
      <c r="A1441" s="2" t="n"/>
      <c r="B1441">
        <f>LOWER(TRIM(A1441))</f>
        <v/>
      </c>
      <c r="C1441">
        <f>IF(B1441="","",IFERROR(INDEX('Bad Patterns'!$A$2:$A$120,MATCH(1,INDEX(--ISNUMBER(SEARCH('Bad Patterns'!$A$2:$A$120,B1441)),0),0)),""))</f>
        <v/>
      </c>
      <c r="D1441">
        <f>IF(B1441="","",IF(C1441&lt;&gt;"","REMOVE","KEEP"))</f>
        <v/>
      </c>
      <c r="E1441">
        <f>IF(D1441&lt;&gt;"KEEP","",IF(RIGHT(B1441,10)="@gmail.com","Gmail",IF(OR(RIGHT(B1441,12)="@outlook.com",RIGHT(B1441,12)="@hotmail.com",RIGHT(B1441,9)="@live.com"),"Outlook","Domain")))</f>
        <v/>
      </c>
      <c r="F1441">
        <f>IF(B1441="","",IFERROR(RIGHT(B1441,LEN(B1441)-FIND("@",B1441)),""))</f>
        <v/>
      </c>
      <c r="G1441">
        <f>IF(D1441="KEEP",COUNTIF($D$2:D1441,"KEEP"),"")</f>
        <v/>
      </c>
      <c r="H1441">
        <f>IF(D1441="REMOVE",COUNTIF($D$2:D1441,"REMOVE"),"")</f>
        <v/>
      </c>
      <c r="I1441">
        <f>IF(E1441="Gmail",COUNTIF($E$2:E1441,"Gmail"),"")</f>
        <v/>
      </c>
      <c r="J1441">
        <f>IF(E1441="Outlook",COUNTIF($E$2:E1441,"Outlook"),"")</f>
        <v/>
      </c>
      <c r="K1441">
        <f>IF(E1441="Domain",COUNTIF($E$2:E1441,"Domain"),"")</f>
        <v/>
      </c>
    </row>
    <row r="1442">
      <c r="A1442" s="2" t="n"/>
      <c r="B1442">
        <f>LOWER(TRIM(A1442))</f>
        <v/>
      </c>
      <c r="C1442">
        <f>IF(B1442="","",IFERROR(INDEX('Bad Patterns'!$A$2:$A$120,MATCH(1,INDEX(--ISNUMBER(SEARCH('Bad Patterns'!$A$2:$A$120,B1442)),0),0)),""))</f>
        <v/>
      </c>
      <c r="D1442">
        <f>IF(B1442="","",IF(C1442&lt;&gt;"","REMOVE","KEEP"))</f>
        <v/>
      </c>
      <c r="E1442">
        <f>IF(D1442&lt;&gt;"KEEP","",IF(RIGHT(B1442,10)="@gmail.com","Gmail",IF(OR(RIGHT(B1442,12)="@outlook.com",RIGHT(B1442,12)="@hotmail.com",RIGHT(B1442,9)="@live.com"),"Outlook","Domain")))</f>
        <v/>
      </c>
      <c r="F1442">
        <f>IF(B1442="","",IFERROR(RIGHT(B1442,LEN(B1442)-FIND("@",B1442)),""))</f>
        <v/>
      </c>
      <c r="G1442">
        <f>IF(D1442="KEEP",COUNTIF($D$2:D1442,"KEEP"),"")</f>
        <v/>
      </c>
      <c r="H1442">
        <f>IF(D1442="REMOVE",COUNTIF($D$2:D1442,"REMOVE"),"")</f>
        <v/>
      </c>
      <c r="I1442">
        <f>IF(E1442="Gmail",COUNTIF($E$2:E1442,"Gmail"),"")</f>
        <v/>
      </c>
      <c r="J1442">
        <f>IF(E1442="Outlook",COUNTIF($E$2:E1442,"Outlook"),"")</f>
        <v/>
      </c>
      <c r="K1442">
        <f>IF(E1442="Domain",COUNTIF($E$2:E1442,"Domain"),"")</f>
        <v/>
      </c>
    </row>
    <row r="1443">
      <c r="A1443" s="2" t="n"/>
      <c r="B1443">
        <f>LOWER(TRIM(A1443))</f>
        <v/>
      </c>
      <c r="C1443">
        <f>IF(B1443="","",IFERROR(INDEX('Bad Patterns'!$A$2:$A$120,MATCH(1,INDEX(--ISNUMBER(SEARCH('Bad Patterns'!$A$2:$A$120,B1443)),0),0)),""))</f>
        <v/>
      </c>
      <c r="D1443">
        <f>IF(B1443="","",IF(C1443&lt;&gt;"","REMOVE","KEEP"))</f>
        <v/>
      </c>
      <c r="E1443">
        <f>IF(D1443&lt;&gt;"KEEP","",IF(RIGHT(B1443,10)="@gmail.com","Gmail",IF(OR(RIGHT(B1443,12)="@outlook.com",RIGHT(B1443,12)="@hotmail.com",RIGHT(B1443,9)="@live.com"),"Outlook","Domain")))</f>
        <v/>
      </c>
      <c r="F1443">
        <f>IF(B1443="","",IFERROR(RIGHT(B1443,LEN(B1443)-FIND("@",B1443)),""))</f>
        <v/>
      </c>
      <c r="G1443">
        <f>IF(D1443="KEEP",COUNTIF($D$2:D1443,"KEEP"),"")</f>
        <v/>
      </c>
      <c r="H1443">
        <f>IF(D1443="REMOVE",COUNTIF($D$2:D1443,"REMOVE"),"")</f>
        <v/>
      </c>
      <c r="I1443">
        <f>IF(E1443="Gmail",COUNTIF($E$2:E1443,"Gmail"),"")</f>
        <v/>
      </c>
      <c r="J1443">
        <f>IF(E1443="Outlook",COUNTIF($E$2:E1443,"Outlook"),"")</f>
        <v/>
      </c>
      <c r="K1443">
        <f>IF(E1443="Domain",COUNTIF($E$2:E1443,"Domain"),"")</f>
        <v/>
      </c>
    </row>
    <row r="1444">
      <c r="A1444" s="2" t="n"/>
      <c r="B1444">
        <f>LOWER(TRIM(A1444))</f>
        <v/>
      </c>
      <c r="C1444">
        <f>IF(B1444="","",IFERROR(INDEX('Bad Patterns'!$A$2:$A$120,MATCH(1,INDEX(--ISNUMBER(SEARCH('Bad Patterns'!$A$2:$A$120,B1444)),0),0)),""))</f>
        <v/>
      </c>
      <c r="D1444">
        <f>IF(B1444="","",IF(C1444&lt;&gt;"","REMOVE","KEEP"))</f>
        <v/>
      </c>
      <c r="E1444">
        <f>IF(D1444&lt;&gt;"KEEP","",IF(RIGHT(B1444,10)="@gmail.com","Gmail",IF(OR(RIGHT(B1444,12)="@outlook.com",RIGHT(B1444,12)="@hotmail.com",RIGHT(B1444,9)="@live.com"),"Outlook","Domain")))</f>
        <v/>
      </c>
      <c r="F1444">
        <f>IF(B1444="","",IFERROR(RIGHT(B1444,LEN(B1444)-FIND("@",B1444)),""))</f>
        <v/>
      </c>
      <c r="G1444">
        <f>IF(D1444="KEEP",COUNTIF($D$2:D1444,"KEEP"),"")</f>
        <v/>
      </c>
      <c r="H1444">
        <f>IF(D1444="REMOVE",COUNTIF($D$2:D1444,"REMOVE"),"")</f>
        <v/>
      </c>
      <c r="I1444">
        <f>IF(E1444="Gmail",COUNTIF($E$2:E1444,"Gmail"),"")</f>
        <v/>
      </c>
      <c r="J1444">
        <f>IF(E1444="Outlook",COUNTIF($E$2:E1444,"Outlook"),"")</f>
        <v/>
      </c>
      <c r="K1444">
        <f>IF(E1444="Domain",COUNTIF($E$2:E1444,"Domain"),"")</f>
        <v/>
      </c>
    </row>
    <row r="1445">
      <c r="A1445" s="2" t="n"/>
      <c r="B1445">
        <f>LOWER(TRIM(A1445))</f>
        <v/>
      </c>
      <c r="C1445">
        <f>IF(B1445="","",IFERROR(INDEX('Bad Patterns'!$A$2:$A$120,MATCH(1,INDEX(--ISNUMBER(SEARCH('Bad Patterns'!$A$2:$A$120,B1445)),0),0)),""))</f>
        <v/>
      </c>
      <c r="D1445">
        <f>IF(B1445="","",IF(C1445&lt;&gt;"","REMOVE","KEEP"))</f>
        <v/>
      </c>
      <c r="E1445">
        <f>IF(D1445&lt;&gt;"KEEP","",IF(RIGHT(B1445,10)="@gmail.com","Gmail",IF(OR(RIGHT(B1445,12)="@outlook.com",RIGHT(B1445,12)="@hotmail.com",RIGHT(B1445,9)="@live.com"),"Outlook","Domain")))</f>
        <v/>
      </c>
      <c r="F1445">
        <f>IF(B1445="","",IFERROR(RIGHT(B1445,LEN(B1445)-FIND("@",B1445)),""))</f>
        <v/>
      </c>
      <c r="G1445">
        <f>IF(D1445="KEEP",COUNTIF($D$2:D1445,"KEEP"),"")</f>
        <v/>
      </c>
      <c r="H1445">
        <f>IF(D1445="REMOVE",COUNTIF($D$2:D1445,"REMOVE"),"")</f>
        <v/>
      </c>
      <c r="I1445">
        <f>IF(E1445="Gmail",COUNTIF($E$2:E1445,"Gmail"),"")</f>
        <v/>
      </c>
      <c r="J1445">
        <f>IF(E1445="Outlook",COUNTIF($E$2:E1445,"Outlook"),"")</f>
        <v/>
      </c>
      <c r="K1445">
        <f>IF(E1445="Domain",COUNTIF($E$2:E1445,"Domain"),"")</f>
        <v/>
      </c>
    </row>
    <row r="1446">
      <c r="A1446" s="2" t="n"/>
      <c r="B1446">
        <f>LOWER(TRIM(A1446))</f>
        <v/>
      </c>
      <c r="C1446">
        <f>IF(B1446="","",IFERROR(INDEX('Bad Patterns'!$A$2:$A$120,MATCH(1,INDEX(--ISNUMBER(SEARCH('Bad Patterns'!$A$2:$A$120,B1446)),0),0)),""))</f>
        <v/>
      </c>
      <c r="D1446">
        <f>IF(B1446="","",IF(C1446&lt;&gt;"","REMOVE","KEEP"))</f>
        <v/>
      </c>
      <c r="E1446">
        <f>IF(D1446&lt;&gt;"KEEP","",IF(RIGHT(B1446,10)="@gmail.com","Gmail",IF(OR(RIGHT(B1446,12)="@outlook.com",RIGHT(B1446,12)="@hotmail.com",RIGHT(B1446,9)="@live.com"),"Outlook","Domain")))</f>
        <v/>
      </c>
      <c r="F1446">
        <f>IF(B1446="","",IFERROR(RIGHT(B1446,LEN(B1446)-FIND("@",B1446)),""))</f>
        <v/>
      </c>
      <c r="G1446">
        <f>IF(D1446="KEEP",COUNTIF($D$2:D1446,"KEEP"),"")</f>
        <v/>
      </c>
      <c r="H1446">
        <f>IF(D1446="REMOVE",COUNTIF($D$2:D1446,"REMOVE"),"")</f>
        <v/>
      </c>
      <c r="I1446">
        <f>IF(E1446="Gmail",COUNTIF($E$2:E1446,"Gmail"),"")</f>
        <v/>
      </c>
      <c r="J1446">
        <f>IF(E1446="Outlook",COUNTIF($E$2:E1446,"Outlook"),"")</f>
        <v/>
      </c>
      <c r="K1446">
        <f>IF(E1446="Domain",COUNTIF($E$2:E1446,"Domain"),"")</f>
        <v/>
      </c>
    </row>
    <row r="1447">
      <c r="A1447" s="2" t="n"/>
      <c r="B1447">
        <f>LOWER(TRIM(A1447))</f>
        <v/>
      </c>
      <c r="C1447">
        <f>IF(B1447="","",IFERROR(INDEX('Bad Patterns'!$A$2:$A$120,MATCH(1,INDEX(--ISNUMBER(SEARCH('Bad Patterns'!$A$2:$A$120,B1447)),0),0)),""))</f>
        <v/>
      </c>
      <c r="D1447">
        <f>IF(B1447="","",IF(C1447&lt;&gt;"","REMOVE","KEEP"))</f>
        <v/>
      </c>
      <c r="E1447">
        <f>IF(D1447&lt;&gt;"KEEP","",IF(RIGHT(B1447,10)="@gmail.com","Gmail",IF(OR(RIGHT(B1447,12)="@outlook.com",RIGHT(B1447,12)="@hotmail.com",RIGHT(B1447,9)="@live.com"),"Outlook","Domain")))</f>
        <v/>
      </c>
      <c r="F1447">
        <f>IF(B1447="","",IFERROR(RIGHT(B1447,LEN(B1447)-FIND("@",B1447)),""))</f>
        <v/>
      </c>
      <c r="G1447">
        <f>IF(D1447="KEEP",COUNTIF($D$2:D1447,"KEEP"),"")</f>
        <v/>
      </c>
      <c r="H1447">
        <f>IF(D1447="REMOVE",COUNTIF($D$2:D1447,"REMOVE"),"")</f>
        <v/>
      </c>
      <c r="I1447">
        <f>IF(E1447="Gmail",COUNTIF($E$2:E1447,"Gmail"),"")</f>
        <v/>
      </c>
      <c r="J1447">
        <f>IF(E1447="Outlook",COUNTIF($E$2:E1447,"Outlook"),"")</f>
        <v/>
      </c>
      <c r="K1447">
        <f>IF(E1447="Domain",COUNTIF($E$2:E1447,"Domain"),"")</f>
        <v/>
      </c>
    </row>
    <row r="1448">
      <c r="A1448" s="2" t="n"/>
      <c r="B1448">
        <f>LOWER(TRIM(A1448))</f>
        <v/>
      </c>
      <c r="C1448">
        <f>IF(B1448="","",IFERROR(INDEX('Bad Patterns'!$A$2:$A$120,MATCH(1,INDEX(--ISNUMBER(SEARCH('Bad Patterns'!$A$2:$A$120,B1448)),0),0)),""))</f>
        <v/>
      </c>
      <c r="D1448">
        <f>IF(B1448="","",IF(C1448&lt;&gt;"","REMOVE","KEEP"))</f>
        <v/>
      </c>
      <c r="E1448">
        <f>IF(D1448&lt;&gt;"KEEP","",IF(RIGHT(B1448,10)="@gmail.com","Gmail",IF(OR(RIGHT(B1448,12)="@outlook.com",RIGHT(B1448,12)="@hotmail.com",RIGHT(B1448,9)="@live.com"),"Outlook","Domain")))</f>
        <v/>
      </c>
      <c r="F1448">
        <f>IF(B1448="","",IFERROR(RIGHT(B1448,LEN(B1448)-FIND("@",B1448)),""))</f>
        <v/>
      </c>
      <c r="G1448">
        <f>IF(D1448="KEEP",COUNTIF($D$2:D1448,"KEEP"),"")</f>
        <v/>
      </c>
      <c r="H1448">
        <f>IF(D1448="REMOVE",COUNTIF($D$2:D1448,"REMOVE"),"")</f>
        <v/>
      </c>
      <c r="I1448">
        <f>IF(E1448="Gmail",COUNTIF($E$2:E1448,"Gmail"),"")</f>
        <v/>
      </c>
      <c r="J1448">
        <f>IF(E1448="Outlook",COUNTIF($E$2:E1448,"Outlook"),"")</f>
        <v/>
      </c>
      <c r="K1448">
        <f>IF(E1448="Domain",COUNTIF($E$2:E1448,"Domain"),"")</f>
        <v/>
      </c>
    </row>
    <row r="1449">
      <c r="A1449" s="2" t="n"/>
      <c r="B1449">
        <f>LOWER(TRIM(A1449))</f>
        <v/>
      </c>
      <c r="C1449">
        <f>IF(B1449="","",IFERROR(INDEX('Bad Patterns'!$A$2:$A$120,MATCH(1,INDEX(--ISNUMBER(SEARCH('Bad Patterns'!$A$2:$A$120,B1449)),0),0)),""))</f>
        <v/>
      </c>
      <c r="D1449">
        <f>IF(B1449="","",IF(C1449&lt;&gt;"","REMOVE","KEEP"))</f>
        <v/>
      </c>
      <c r="E1449">
        <f>IF(D1449&lt;&gt;"KEEP","",IF(RIGHT(B1449,10)="@gmail.com","Gmail",IF(OR(RIGHT(B1449,12)="@outlook.com",RIGHT(B1449,12)="@hotmail.com",RIGHT(B1449,9)="@live.com"),"Outlook","Domain")))</f>
        <v/>
      </c>
      <c r="F1449">
        <f>IF(B1449="","",IFERROR(RIGHT(B1449,LEN(B1449)-FIND("@",B1449)),""))</f>
        <v/>
      </c>
      <c r="G1449">
        <f>IF(D1449="KEEP",COUNTIF($D$2:D1449,"KEEP"),"")</f>
        <v/>
      </c>
      <c r="H1449">
        <f>IF(D1449="REMOVE",COUNTIF($D$2:D1449,"REMOVE"),"")</f>
        <v/>
      </c>
      <c r="I1449">
        <f>IF(E1449="Gmail",COUNTIF($E$2:E1449,"Gmail"),"")</f>
        <v/>
      </c>
      <c r="J1449">
        <f>IF(E1449="Outlook",COUNTIF($E$2:E1449,"Outlook"),"")</f>
        <v/>
      </c>
      <c r="K1449">
        <f>IF(E1449="Domain",COUNTIF($E$2:E1449,"Domain"),"")</f>
        <v/>
      </c>
    </row>
    <row r="1450">
      <c r="A1450" s="2" t="n"/>
      <c r="B1450">
        <f>LOWER(TRIM(A1450))</f>
        <v/>
      </c>
      <c r="C1450">
        <f>IF(B1450="","",IFERROR(INDEX('Bad Patterns'!$A$2:$A$120,MATCH(1,INDEX(--ISNUMBER(SEARCH('Bad Patterns'!$A$2:$A$120,B1450)),0),0)),""))</f>
        <v/>
      </c>
      <c r="D1450">
        <f>IF(B1450="","",IF(C1450&lt;&gt;"","REMOVE","KEEP"))</f>
        <v/>
      </c>
      <c r="E1450">
        <f>IF(D1450&lt;&gt;"KEEP","",IF(RIGHT(B1450,10)="@gmail.com","Gmail",IF(OR(RIGHT(B1450,12)="@outlook.com",RIGHT(B1450,12)="@hotmail.com",RIGHT(B1450,9)="@live.com"),"Outlook","Domain")))</f>
        <v/>
      </c>
      <c r="F1450">
        <f>IF(B1450="","",IFERROR(RIGHT(B1450,LEN(B1450)-FIND("@",B1450)),""))</f>
        <v/>
      </c>
      <c r="G1450">
        <f>IF(D1450="KEEP",COUNTIF($D$2:D1450,"KEEP"),"")</f>
        <v/>
      </c>
      <c r="H1450">
        <f>IF(D1450="REMOVE",COUNTIF($D$2:D1450,"REMOVE"),"")</f>
        <v/>
      </c>
      <c r="I1450">
        <f>IF(E1450="Gmail",COUNTIF($E$2:E1450,"Gmail"),"")</f>
        <v/>
      </c>
      <c r="J1450">
        <f>IF(E1450="Outlook",COUNTIF($E$2:E1450,"Outlook"),"")</f>
        <v/>
      </c>
      <c r="K1450">
        <f>IF(E1450="Domain",COUNTIF($E$2:E1450,"Domain"),"")</f>
        <v/>
      </c>
    </row>
    <row r="1451">
      <c r="A1451" s="2" t="n"/>
      <c r="B1451">
        <f>LOWER(TRIM(A1451))</f>
        <v/>
      </c>
      <c r="C1451">
        <f>IF(B1451="","",IFERROR(INDEX('Bad Patterns'!$A$2:$A$120,MATCH(1,INDEX(--ISNUMBER(SEARCH('Bad Patterns'!$A$2:$A$120,B1451)),0),0)),""))</f>
        <v/>
      </c>
      <c r="D1451">
        <f>IF(B1451="","",IF(C1451&lt;&gt;"","REMOVE","KEEP"))</f>
        <v/>
      </c>
      <c r="E1451">
        <f>IF(D1451&lt;&gt;"KEEP","",IF(RIGHT(B1451,10)="@gmail.com","Gmail",IF(OR(RIGHT(B1451,12)="@outlook.com",RIGHT(B1451,12)="@hotmail.com",RIGHT(B1451,9)="@live.com"),"Outlook","Domain")))</f>
        <v/>
      </c>
      <c r="F1451">
        <f>IF(B1451="","",IFERROR(RIGHT(B1451,LEN(B1451)-FIND("@",B1451)),""))</f>
        <v/>
      </c>
      <c r="G1451">
        <f>IF(D1451="KEEP",COUNTIF($D$2:D1451,"KEEP"),"")</f>
        <v/>
      </c>
      <c r="H1451">
        <f>IF(D1451="REMOVE",COUNTIF($D$2:D1451,"REMOVE"),"")</f>
        <v/>
      </c>
      <c r="I1451">
        <f>IF(E1451="Gmail",COUNTIF($E$2:E1451,"Gmail"),"")</f>
        <v/>
      </c>
      <c r="J1451">
        <f>IF(E1451="Outlook",COUNTIF($E$2:E1451,"Outlook"),"")</f>
        <v/>
      </c>
      <c r="K1451">
        <f>IF(E1451="Domain",COUNTIF($E$2:E1451,"Domain"),"")</f>
        <v/>
      </c>
    </row>
    <row r="1452">
      <c r="A1452" s="2" t="n"/>
      <c r="B1452">
        <f>LOWER(TRIM(A1452))</f>
        <v/>
      </c>
      <c r="C1452">
        <f>IF(B1452="","",IFERROR(INDEX('Bad Patterns'!$A$2:$A$120,MATCH(1,INDEX(--ISNUMBER(SEARCH('Bad Patterns'!$A$2:$A$120,B1452)),0),0)),""))</f>
        <v/>
      </c>
      <c r="D1452">
        <f>IF(B1452="","",IF(C1452&lt;&gt;"","REMOVE","KEEP"))</f>
        <v/>
      </c>
      <c r="E1452">
        <f>IF(D1452&lt;&gt;"KEEP","",IF(RIGHT(B1452,10)="@gmail.com","Gmail",IF(OR(RIGHT(B1452,12)="@outlook.com",RIGHT(B1452,12)="@hotmail.com",RIGHT(B1452,9)="@live.com"),"Outlook","Domain")))</f>
        <v/>
      </c>
      <c r="F1452">
        <f>IF(B1452="","",IFERROR(RIGHT(B1452,LEN(B1452)-FIND("@",B1452)),""))</f>
        <v/>
      </c>
      <c r="G1452">
        <f>IF(D1452="KEEP",COUNTIF($D$2:D1452,"KEEP"),"")</f>
        <v/>
      </c>
      <c r="H1452">
        <f>IF(D1452="REMOVE",COUNTIF($D$2:D1452,"REMOVE"),"")</f>
        <v/>
      </c>
      <c r="I1452">
        <f>IF(E1452="Gmail",COUNTIF($E$2:E1452,"Gmail"),"")</f>
        <v/>
      </c>
      <c r="J1452">
        <f>IF(E1452="Outlook",COUNTIF($E$2:E1452,"Outlook"),"")</f>
        <v/>
      </c>
      <c r="K1452">
        <f>IF(E1452="Domain",COUNTIF($E$2:E1452,"Domain"),"")</f>
        <v/>
      </c>
    </row>
    <row r="1453">
      <c r="A1453" s="2" t="n"/>
      <c r="B1453">
        <f>LOWER(TRIM(A1453))</f>
        <v/>
      </c>
      <c r="C1453">
        <f>IF(B1453="","",IFERROR(INDEX('Bad Patterns'!$A$2:$A$120,MATCH(1,INDEX(--ISNUMBER(SEARCH('Bad Patterns'!$A$2:$A$120,B1453)),0),0)),""))</f>
        <v/>
      </c>
      <c r="D1453">
        <f>IF(B1453="","",IF(C1453&lt;&gt;"","REMOVE","KEEP"))</f>
        <v/>
      </c>
      <c r="E1453">
        <f>IF(D1453&lt;&gt;"KEEP","",IF(RIGHT(B1453,10)="@gmail.com","Gmail",IF(OR(RIGHT(B1453,12)="@outlook.com",RIGHT(B1453,12)="@hotmail.com",RIGHT(B1453,9)="@live.com"),"Outlook","Domain")))</f>
        <v/>
      </c>
      <c r="F1453">
        <f>IF(B1453="","",IFERROR(RIGHT(B1453,LEN(B1453)-FIND("@",B1453)),""))</f>
        <v/>
      </c>
      <c r="G1453">
        <f>IF(D1453="KEEP",COUNTIF($D$2:D1453,"KEEP"),"")</f>
        <v/>
      </c>
      <c r="H1453">
        <f>IF(D1453="REMOVE",COUNTIF($D$2:D1453,"REMOVE"),"")</f>
        <v/>
      </c>
      <c r="I1453">
        <f>IF(E1453="Gmail",COUNTIF($E$2:E1453,"Gmail"),"")</f>
        <v/>
      </c>
      <c r="J1453">
        <f>IF(E1453="Outlook",COUNTIF($E$2:E1453,"Outlook"),"")</f>
        <v/>
      </c>
      <c r="K1453">
        <f>IF(E1453="Domain",COUNTIF($E$2:E1453,"Domain"),"")</f>
        <v/>
      </c>
    </row>
    <row r="1454">
      <c r="A1454" s="2" t="n"/>
      <c r="B1454">
        <f>LOWER(TRIM(A1454))</f>
        <v/>
      </c>
      <c r="C1454">
        <f>IF(B1454="","",IFERROR(INDEX('Bad Patterns'!$A$2:$A$120,MATCH(1,INDEX(--ISNUMBER(SEARCH('Bad Patterns'!$A$2:$A$120,B1454)),0),0)),""))</f>
        <v/>
      </c>
      <c r="D1454">
        <f>IF(B1454="","",IF(C1454&lt;&gt;"","REMOVE","KEEP"))</f>
        <v/>
      </c>
      <c r="E1454">
        <f>IF(D1454&lt;&gt;"KEEP","",IF(RIGHT(B1454,10)="@gmail.com","Gmail",IF(OR(RIGHT(B1454,12)="@outlook.com",RIGHT(B1454,12)="@hotmail.com",RIGHT(B1454,9)="@live.com"),"Outlook","Domain")))</f>
        <v/>
      </c>
      <c r="F1454">
        <f>IF(B1454="","",IFERROR(RIGHT(B1454,LEN(B1454)-FIND("@",B1454)),""))</f>
        <v/>
      </c>
      <c r="G1454">
        <f>IF(D1454="KEEP",COUNTIF($D$2:D1454,"KEEP"),"")</f>
        <v/>
      </c>
      <c r="H1454">
        <f>IF(D1454="REMOVE",COUNTIF($D$2:D1454,"REMOVE"),"")</f>
        <v/>
      </c>
      <c r="I1454">
        <f>IF(E1454="Gmail",COUNTIF($E$2:E1454,"Gmail"),"")</f>
        <v/>
      </c>
      <c r="J1454">
        <f>IF(E1454="Outlook",COUNTIF($E$2:E1454,"Outlook"),"")</f>
        <v/>
      </c>
      <c r="K1454">
        <f>IF(E1454="Domain",COUNTIF($E$2:E1454,"Domain"),"")</f>
        <v/>
      </c>
    </row>
    <row r="1455">
      <c r="A1455" s="2" t="n"/>
      <c r="B1455">
        <f>LOWER(TRIM(A1455))</f>
        <v/>
      </c>
      <c r="C1455">
        <f>IF(B1455="","",IFERROR(INDEX('Bad Patterns'!$A$2:$A$120,MATCH(1,INDEX(--ISNUMBER(SEARCH('Bad Patterns'!$A$2:$A$120,B1455)),0),0)),""))</f>
        <v/>
      </c>
      <c r="D1455">
        <f>IF(B1455="","",IF(C1455&lt;&gt;"","REMOVE","KEEP"))</f>
        <v/>
      </c>
      <c r="E1455">
        <f>IF(D1455&lt;&gt;"KEEP","",IF(RIGHT(B1455,10)="@gmail.com","Gmail",IF(OR(RIGHT(B1455,12)="@outlook.com",RIGHT(B1455,12)="@hotmail.com",RIGHT(B1455,9)="@live.com"),"Outlook","Domain")))</f>
        <v/>
      </c>
      <c r="F1455">
        <f>IF(B1455="","",IFERROR(RIGHT(B1455,LEN(B1455)-FIND("@",B1455)),""))</f>
        <v/>
      </c>
      <c r="G1455">
        <f>IF(D1455="KEEP",COUNTIF($D$2:D1455,"KEEP"),"")</f>
        <v/>
      </c>
      <c r="H1455">
        <f>IF(D1455="REMOVE",COUNTIF($D$2:D1455,"REMOVE"),"")</f>
        <v/>
      </c>
      <c r="I1455">
        <f>IF(E1455="Gmail",COUNTIF($E$2:E1455,"Gmail"),"")</f>
        <v/>
      </c>
      <c r="J1455">
        <f>IF(E1455="Outlook",COUNTIF($E$2:E1455,"Outlook"),"")</f>
        <v/>
      </c>
      <c r="K1455">
        <f>IF(E1455="Domain",COUNTIF($E$2:E1455,"Domain"),"")</f>
        <v/>
      </c>
    </row>
    <row r="1456">
      <c r="A1456" s="2" t="n"/>
      <c r="B1456">
        <f>LOWER(TRIM(A1456))</f>
        <v/>
      </c>
      <c r="C1456">
        <f>IF(B1456="","",IFERROR(INDEX('Bad Patterns'!$A$2:$A$120,MATCH(1,INDEX(--ISNUMBER(SEARCH('Bad Patterns'!$A$2:$A$120,B1456)),0),0)),""))</f>
        <v/>
      </c>
      <c r="D1456">
        <f>IF(B1456="","",IF(C1456&lt;&gt;"","REMOVE","KEEP"))</f>
        <v/>
      </c>
      <c r="E1456">
        <f>IF(D1456&lt;&gt;"KEEP","",IF(RIGHT(B1456,10)="@gmail.com","Gmail",IF(OR(RIGHT(B1456,12)="@outlook.com",RIGHT(B1456,12)="@hotmail.com",RIGHT(B1456,9)="@live.com"),"Outlook","Domain")))</f>
        <v/>
      </c>
      <c r="F1456">
        <f>IF(B1456="","",IFERROR(RIGHT(B1456,LEN(B1456)-FIND("@",B1456)),""))</f>
        <v/>
      </c>
      <c r="G1456">
        <f>IF(D1456="KEEP",COUNTIF($D$2:D1456,"KEEP"),"")</f>
        <v/>
      </c>
      <c r="H1456">
        <f>IF(D1456="REMOVE",COUNTIF($D$2:D1456,"REMOVE"),"")</f>
        <v/>
      </c>
      <c r="I1456">
        <f>IF(E1456="Gmail",COUNTIF($E$2:E1456,"Gmail"),"")</f>
        <v/>
      </c>
      <c r="J1456">
        <f>IF(E1456="Outlook",COUNTIF($E$2:E1456,"Outlook"),"")</f>
        <v/>
      </c>
      <c r="K1456">
        <f>IF(E1456="Domain",COUNTIF($E$2:E1456,"Domain"),"")</f>
        <v/>
      </c>
    </row>
    <row r="1457">
      <c r="A1457" s="2" t="n"/>
      <c r="B1457">
        <f>LOWER(TRIM(A1457))</f>
        <v/>
      </c>
      <c r="C1457">
        <f>IF(B1457="","",IFERROR(INDEX('Bad Patterns'!$A$2:$A$120,MATCH(1,INDEX(--ISNUMBER(SEARCH('Bad Patterns'!$A$2:$A$120,B1457)),0),0)),""))</f>
        <v/>
      </c>
      <c r="D1457">
        <f>IF(B1457="","",IF(C1457&lt;&gt;"","REMOVE","KEEP"))</f>
        <v/>
      </c>
      <c r="E1457">
        <f>IF(D1457&lt;&gt;"KEEP","",IF(RIGHT(B1457,10)="@gmail.com","Gmail",IF(OR(RIGHT(B1457,12)="@outlook.com",RIGHT(B1457,12)="@hotmail.com",RIGHT(B1457,9)="@live.com"),"Outlook","Domain")))</f>
        <v/>
      </c>
      <c r="F1457">
        <f>IF(B1457="","",IFERROR(RIGHT(B1457,LEN(B1457)-FIND("@",B1457)),""))</f>
        <v/>
      </c>
      <c r="G1457">
        <f>IF(D1457="KEEP",COUNTIF($D$2:D1457,"KEEP"),"")</f>
        <v/>
      </c>
      <c r="H1457">
        <f>IF(D1457="REMOVE",COUNTIF($D$2:D1457,"REMOVE"),"")</f>
        <v/>
      </c>
      <c r="I1457">
        <f>IF(E1457="Gmail",COUNTIF($E$2:E1457,"Gmail"),"")</f>
        <v/>
      </c>
      <c r="J1457">
        <f>IF(E1457="Outlook",COUNTIF($E$2:E1457,"Outlook"),"")</f>
        <v/>
      </c>
      <c r="K1457">
        <f>IF(E1457="Domain",COUNTIF($E$2:E1457,"Domain"),"")</f>
        <v/>
      </c>
    </row>
    <row r="1458">
      <c r="A1458" s="2" t="n"/>
      <c r="B1458">
        <f>LOWER(TRIM(A1458))</f>
        <v/>
      </c>
      <c r="C1458">
        <f>IF(B1458="","",IFERROR(INDEX('Bad Patterns'!$A$2:$A$120,MATCH(1,INDEX(--ISNUMBER(SEARCH('Bad Patterns'!$A$2:$A$120,B1458)),0),0)),""))</f>
        <v/>
      </c>
      <c r="D1458">
        <f>IF(B1458="","",IF(C1458&lt;&gt;"","REMOVE","KEEP"))</f>
        <v/>
      </c>
      <c r="E1458">
        <f>IF(D1458&lt;&gt;"KEEP","",IF(RIGHT(B1458,10)="@gmail.com","Gmail",IF(OR(RIGHT(B1458,12)="@outlook.com",RIGHT(B1458,12)="@hotmail.com",RIGHT(B1458,9)="@live.com"),"Outlook","Domain")))</f>
        <v/>
      </c>
      <c r="F1458">
        <f>IF(B1458="","",IFERROR(RIGHT(B1458,LEN(B1458)-FIND("@",B1458)),""))</f>
        <v/>
      </c>
      <c r="G1458">
        <f>IF(D1458="KEEP",COUNTIF($D$2:D1458,"KEEP"),"")</f>
        <v/>
      </c>
      <c r="H1458">
        <f>IF(D1458="REMOVE",COUNTIF($D$2:D1458,"REMOVE"),"")</f>
        <v/>
      </c>
      <c r="I1458">
        <f>IF(E1458="Gmail",COUNTIF($E$2:E1458,"Gmail"),"")</f>
        <v/>
      </c>
      <c r="J1458">
        <f>IF(E1458="Outlook",COUNTIF($E$2:E1458,"Outlook"),"")</f>
        <v/>
      </c>
      <c r="K1458">
        <f>IF(E1458="Domain",COUNTIF($E$2:E1458,"Domain"),"")</f>
        <v/>
      </c>
    </row>
    <row r="1459">
      <c r="A1459" s="2" t="n"/>
      <c r="B1459">
        <f>LOWER(TRIM(A1459))</f>
        <v/>
      </c>
      <c r="C1459">
        <f>IF(B1459="","",IFERROR(INDEX('Bad Patterns'!$A$2:$A$120,MATCH(1,INDEX(--ISNUMBER(SEARCH('Bad Patterns'!$A$2:$A$120,B1459)),0),0)),""))</f>
        <v/>
      </c>
      <c r="D1459">
        <f>IF(B1459="","",IF(C1459&lt;&gt;"","REMOVE","KEEP"))</f>
        <v/>
      </c>
      <c r="E1459">
        <f>IF(D1459&lt;&gt;"KEEP","",IF(RIGHT(B1459,10)="@gmail.com","Gmail",IF(OR(RIGHT(B1459,12)="@outlook.com",RIGHT(B1459,12)="@hotmail.com",RIGHT(B1459,9)="@live.com"),"Outlook","Domain")))</f>
        <v/>
      </c>
      <c r="F1459">
        <f>IF(B1459="","",IFERROR(RIGHT(B1459,LEN(B1459)-FIND("@",B1459)),""))</f>
        <v/>
      </c>
      <c r="G1459">
        <f>IF(D1459="KEEP",COUNTIF($D$2:D1459,"KEEP"),"")</f>
        <v/>
      </c>
      <c r="H1459">
        <f>IF(D1459="REMOVE",COUNTIF($D$2:D1459,"REMOVE"),"")</f>
        <v/>
      </c>
      <c r="I1459">
        <f>IF(E1459="Gmail",COUNTIF($E$2:E1459,"Gmail"),"")</f>
        <v/>
      </c>
      <c r="J1459">
        <f>IF(E1459="Outlook",COUNTIF($E$2:E1459,"Outlook"),"")</f>
        <v/>
      </c>
      <c r="K1459">
        <f>IF(E1459="Domain",COUNTIF($E$2:E1459,"Domain"),"")</f>
        <v/>
      </c>
    </row>
    <row r="1460">
      <c r="A1460" s="2" t="n"/>
      <c r="B1460">
        <f>LOWER(TRIM(A1460))</f>
        <v/>
      </c>
      <c r="C1460">
        <f>IF(B1460="","",IFERROR(INDEX('Bad Patterns'!$A$2:$A$120,MATCH(1,INDEX(--ISNUMBER(SEARCH('Bad Patterns'!$A$2:$A$120,B1460)),0),0)),""))</f>
        <v/>
      </c>
      <c r="D1460">
        <f>IF(B1460="","",IF(C1460&lt;&gt;"","REMOVE","KEEP"))</f>
        <v/>
      </c>
      <c r="E1460">
        <f>IF(D1460&lt;&gt;"KEEP","",IF(RIGHT(B1460,10)="@gmail.com","Gmail",IF(OR(RIGHT(B1460,12)="@outlook.com",RIGHT(B1460,12)="@hotmail.com",RIGHT(B1460,9)="@live.com"),"Outlook","Domain")))</f>
        <v/>
      </c>
      <c r="F1460">
        <f>IF(B1460="","",IFERROR(RIGHT(B1460,LEN(B1460)-FIND("@",B1460)),""))</f>
        <v/>
      </c>
      <c r="G1460">
        <f>IF(D1460="KEEP",COUNTIF($D$2:D1460,"KEEP"),"")</f>
        <v/>
      </c>
      <c r="H1460">
        <f>IF(D1460="REMOVE",COUNTIF($D$2:D1460,"REMOVE"),"")</f>
        <v/>
      </c>
      <c r="I1460">
        <f>IF(E1460="Gmail",COUNTIF($E$2:E1460,"Gmail"),"")</f>
        <v/>
      </c>
      <c r="J1460">
        <f>IF(E1460="Outlook",COUNTIF($E$2:E1460,"Outlook"),"")</f>
        <v/>
      </c>
      <c r="K1460">
        <f>IF(E1460="Domain",COUNTIF($E$2:E1460,"Domain"),"")</f>
        <v/>
      </c>
    </row>
    <row r="1461">
      <c r="A1461" s="2" t="n"/>
      <c r="B1461">
        <f>LOWER(TRIM(A1461))</f>
        <v/>
      </c>
      <c r="C1461">
        <f>IF(B1461="","",IFERROR(INDEX('Bad Patterns'!$A$2:$A$120,MATCH(1,INDEX(--ISNUMBER(SEARCH('Bad Patterns'!$A$2:$A$120,B1461)),0),0)),""))</f>
        <v/>
      </c>
      <c r="D1461">
        <f>IF(B1461="","",IF(C1461&lt;&gt;"","REMOVE","KEEP"))</f>
        <v/>
      </c>
      <c r="E1461">
        <f>IF(D1461&lt;&gt;"KEEP","",IF(RIGHT(B1461,10)="@gmail.com","Gmail",IF(OR(RIGHT(B1461,12)="@outlook.com",RIGHT(B1461,12)="@hotmail.com",RIGHT(B1461,9)="@live.com"),"Outlook","Domain")))</f>
        <v/>
      </c>
      <c r="F1461">
        <f>IF(B1461="","",IFERROR(RIGHT(B1461,LEN(B1461)-FIND("@",B1461)),""))</f>
        <v/>
      </c>
      <c r="G1461">
        <f>IF(D1461="KEEP",COUNTIF($D$2:D1461,"KEEP"),"")</f>
        <v/>
      </c>
      <c r="H1461">
        <f>IF(D1461="REMOVE",COUNTIF($D$2:D1461,"REMOVE"),"")</f>
        <v/>
      </c>
      <c r="I1461">
        <f>IF(E1461="Gmail",COUNTIF($E$2:E1461,"Gmail"),"")</f>
        <v/>
      </c>
      <c r="J1461">
        <f>IF(E1461="Outlook",COUNTIF($E$2:E1461,"Outlook"),"")</f>
        <v/>
      </c>
      <c r="K1461">
        <f>IF(E1461="Domain",COUNTIF($E$2:E1461,"Domain"),"")</f>
        <v/>
      </c>
    </row>
    <row r="1462">
      <c r="A1462" s="2" t="n"/>
      <c r="B1462">
        <f>LOWER(TRIM(A1462))</f>
        <v/>
      </c>
      <c r="C1462">
        <f>IF(B1462="","",IFERROR(INDEX('Bad Patterns'!$A$2:$A$120,MATCH(1,INDEX(--ISNUMBER(SEARCH('Bad Patterns'!$A$2:$A$120,B1462)),0),0)),""))</f>
        <v/>
      </c>
      <c r="D1462">
        <f>IF(B1462="","",IF(C1462&lt;&gt;"","REMOVE","KEEP"))</f>
        <v/>
      </c>
      <c r="E1462">
        <f>IF(D1462&lt;&gt;"KEEP","",IF(RIGHT(B1462,10)="@gmail.com","Gmail",IF(OR(RIGHT(B1462,12)="@outlook.com",RIGHT(B1462,12)="@hotmail.com",RIGHT(B1462,9)="@live.com"),"Outlook","Domain")))</f>
        <v/>
      </c>
      <c r="F1462">
        <f>IF(B1462="","",IFERROR(RIGHT(B1462,LEN(B1462)-FIND("@",B1462)),""))</f>
        <v/>
      </c>
      <c r="G1462">
        <f>IF(D1462="KEEP",COUNTIF($D$2:D1462,"KEEP"),"")</f>
        <v/>
      </c>
      <c r="H1462">
        <f>IF(D1462="REMOVE",COUNTIF($D$2:D1462,"REMOVE"),"")</f>
        <v/>
      </c>
      <c r="I1462">
        <f>IF(E1462="Gmail",COUNTIF($E$2:E1462,"Gmail"),"")</f>
        <v/>
      </c>
      <c r="J1462">
        <f>IF(E1462="Outlook",COUNTIF($E$2:E1462,"Outlook"),"")</f>
        <v/>
      </c>
      <c r="K1462">
        <f>IF(E1462="Domain",COUNTIF($E$2:E1462,"Domain"),"")</f>
        <v/>
      </c>
    </row>
    <row r="1463">
      <c r="A1463" s="2" t="n"/>
      <c r="B1463">
        <f>LOWER(TRIM(A1463))</f>
        <v/>
      </c>
      <c r="C1463">
        <f>IF(B1463="","",IFERROR(INDEX('Bad Patterns'!$A$2:$A$120,MATCH(1,INDEX(--ISNUMBER(SEARCH('Bad Patterns'!$A$2:$A$120,B1463)),0),0)),""))</f>
        <v/>
      </c>
      <c r="D1463">
        <f>IF(B1463="","",IF(C1463&lt;&gt;"","REMOVE","KEEP"))</f>
        <v/>
      </c>
      <c r="E1463">
        <f>IF(D1463&lt;&gt;"KEEP","",IF(RIGHT(B1463,10)="@gmail.com","Gmail",IF(OR(RIGHT(B1463,12)="@outlook.com",RIGHT(B1463,12)="@hotmail.com",RIGHT(B1463,9)="@live.com"),"Outlook","Domain")))</f>
        <v/>
      </c>
      <c r="F1463">
        <f>IF(B1463="","",IFERROR(RIGHT(B1463,LEN(B1463)-FIND("@",B1463)),""))</f>
        <v/>
      </c>
      <c r="G1463">
        <f>IF(D1463="KEEP",COUNTIF($D$2:D1463,"KEEP"),"")</f>
        <v/>
      </c>
      <c r="H1463">
        <f>IF(D1463="REMOVE",COUNTIF($D$2:D1463,"REMOVE"),"")</f>
        <v/>
      </c>
      <c r="I1463">
        <f>IF(E1463="Gmail",COUNTIF($E$2:E1463,"Gmail"),"")</f>
        <v/>
      </c>
      <c r="J1463">
        <f>IF(E1463="Outlook",COUNTIF($E$2:E1463,"Outlook"),"")</f>
        <v/>
      </c>
      <c r="K1463">
        <f>IF(E1463="Domain",COUNTIF($E$2:E1463,"Domain"),"")</f>
        <v/>
      </c>
    </row>
    <row r="1464">
      <c r="A1464" s="2" t="n"/>
      <c r="B1464">
        <f>LOWER(TRIM(A1464))</f>
        <v/>
      </c>
      <c r="C1464">
        <f>IF(B1464="","",IFERROR(INDEX('Bad Patterns'!$A$2:$A$120,MATCH(1,INDEX(--ISNUMBER(SEARCH('Bad Patterns'!$A$2:$A$120,B1464)),0),0)),""))</f>
        <v/>
      </c>
      <c r="D1464">
        <f>IF(B1464="","",IF(C1464&lt;&gt;"","REMOVE","KEEP"))</f>
        <v/>
      </c>
      <c r="E1464">
        <f>IF(D1464&lt;&gt;"KEEP","",IF(RIGHT(B1464,10)="@gmail.com","Gmail",IF(OR(RIGHT(B1464,12)="@outlook.com",RIGHT(B1464,12)="@hotmail.com",RIGHT(B1464,9)="@live.com"),"Outlook","Domain")))</f>
        <v/>
      </c>
      <c r="F1464">
        <f>IF(B1464="","",IFERROR(RIGHT(B1464,LEN(B1464)-FIND("@",B1464)),""))</f>
        <v/>
      </c>
      <c r="G1464">
        <f>IF(D1464="KEEP",COUNTIF($D$2:D1464,"KEEP"),"")</f>
        <v/>
      </c>
      <c r="H1464">
        <f>IF(D1464="REMOVE",COUNTIF($D$2:D1464,"REMOVE"),"")</f>
        <v/>
      </c>
      <c r="I1464">
        <f>IF(E1464="Gmail",COUNTIF($E$2:E1464,"Gmail"),"")</f>
        <v/>
      </c>
      <c r="J1464">
        <f>IF(E1464="Outlook",COUNTIF($E$2:E1464,"Outlook"),"")</f>
        <v/>
      </c>
      <c r="K1464">
        <f>IF(E1464="Domain",COUNTIF($E$2:E1464,"Domain"),"")</f>
        <v/>
      </c>
    </row>
    <row r="1465">
      <c r="A1465" s="2" t="n"/>
      <c r="B1465">
        <f>LOWER(TRIM(A1465))</f>
        <v/>
      </c>
      <c r="C1465">
        <f>IF(B1465="","",IFERROR(INDEX('Bad Patterns'!$A$2:$A$120,MATCH(1,INDEX(--ISNUMBER(SEARCH('Bad Patterns'!$A$2:$A$120,B1465)),0),0)),""))</f>
        <v/>
      </c>
      <c r="D1465">
        <f>IF(B1465="","",IF(C1465&lt;&gt;"","REMOVE","KEEP"))</f>
        <v/>
      </c>
      <c r="E1465">
        <f>IF(D1465&lt;&gt;"KEEP","",IF(RIGHT(B1465,10)="@gmail.com","Gmail",IF(OR(RIGHT(B1465,12)="@outlook.com",RIGHT(B1465,12)="@hotmail.com",RIGHT(B1465,9)="@live.com"),"Outlook","Domain")))</f>
        <v/>
      </c>
      <c r="F1465">
        <f>IF(B1465="","",IFERROR(RIGHT(B1465,LEN(B1465)-FIND("@",B1465)),""))</f>
        <v/>
      </c>
      <c r="G1465">
        <f>IF(D1465="KEEP",COUNTIF($D$2:D1465,"KEEP"),"")</f>
        <v/>
      </c>
      <c r="H1465">
        <f>IF(D1465="REMOVE",COUNTIF($D$2:D1465,"REMOVE"),"")</f>
        <v/>
      </c>
      <c r="I1465">
        <f>IF(E1465="Gmail",COUNTIF($E$2:E1465,"Gmail"),"")</f>
        <v/>
      </c>
      <c r="J1465">
        <f>IF(E1465="Outlook",COUNTIF($E$2:E1465,"Outlook"),"")</f>
        <v/>
      </c>
      <c r="K1465">
        <f>IF(E1465="Domain",COUNTIF($E$2:E1465,"Domain"),"")</f>
        <v/>
      </c>
    </row>
    <row r="1466">
      <c r="A1466" s="2" t="n"/>
      <c r="B1466">
        <f>LOWER(TRIM(A1466))</f>
        <v/>
      </c>
      <c r="C1466">
        <f>IF(B1466="","",IFERROR(INDEX('Bad Patterns'!$A$2:$A$120,MATCH(1,INDEX(--ISNUMBER(SEARCH('Bad Patterns'!$A$2:$A$120,B1466)),0),0)),""))</f>
        <v/>
      </c>
      <c r="D1466">
        <f>IF(B1466="","",IF(C1466&lt;&gt;"","REMOVE","KEEP"))</f>
        <v/>
      </c>
      <c r="E1466">
        <f>IF(D1466&lt;&gt;"KEEP","",IF(RIGHT(B1466,10)="@gmail.com","Gmail",IF(OR(RIGHT(B1466,12)="@outlook.com",RIGHT(B1466,12)="@hotmail.com",RIGHT(B1466,9)="@live.com"),"Outlook","Domain")))</f>
        <v/>
      </c>
      <c r="F1466">
        <f>IF(B1466="","",IFERROR(RIGHT(B1466,LEN(B1466)-FIND("@",B1466)),""))</f>
        <v/>
      </c>
      <c r="G1466">
        <f>IF(D1466="KEEP",COUNTIF($D$2:D1466,"KEEP"),"")</f>
        <v/>
      </c>
      <c r="H1466">
        <f>IF(D1466="REMOVE",COUNTIF($D$2:D1466,"REMOVE"),"")</f>
        <v/>
      </c>
      <c r="I1466">
        <f>IF(E1466="Gmail",COUNTIF($E$2:E1466,"Gmail"),"")</f>
        <v/>
      </c>
      <c r="J1466">
        <f>IF(E1466="Outlook",COUNTIF($E$2:E1466,"Outlook"),"")</f>
        <v/>
      </c>
      <c r="K1466">
        <f>IF(E1466="Domain",COUNTIF($E$2:E1466,"Domain"),"")</f>
        <v/>
      </c>
    </row>
    <row r="1467">
      <c r="A1467" s="2" t="n"/>
      <c r="B1467">
        <f>LOWER(TRIM(A1467))</f>
        <v/>
      </c>
      <c r="C1467">
        <f>IF(B1467="","",IFERROR(INDEX('Bad Patterns'!$A$2:$A$120,MATCH(1,INDEX(--ISNUMBER(SEARCH('Bad Patterns'!$A$2:$A$120,B1467)),0),0)),""))</f>
        <v/>
      </c>
      <c r="D1467">
        <f>IF(B1467="","",IF(C1467&lt;&gt;"","REMOVE","KEEP"))</f>
        <v/>
      </c>
      <c r="E1467">
        <f>IF(D1467&lt;&gt;"KEEP","",IF(RIGHT(B1467,10)="@gmail.com","Gmail",IF(OR(RIGHT(B1467,12)="@outlook.com",RIGHT(B1467,12)="@hotmail.com",RIGHT(B1467,9)="@live.com"),"Outlook","Domain")))</f>
        <v/>
      </c>
      <c r="F1467">
        <f>IF(B1467="","",IFERROR(RIGHT(B1467,LEN(B1467)-FIND("@",B1467)),""))</f>
        <v/>
      </c>
      <c r="G1467">
        <f>IF(D1467="KEEP",COUNTIF($D$2:D1467,"KEEP"),"")</f>
        <v/>
      </c>
      <c r="H1467">
        <f>IF(D1467="REMOVE",COUNTIF($D$2:D1467,"REMOVE"),"")</f>
        <v/>
      </c>
      <c r="I1467">
        <f>IF(E1467="Gmail",COUNTIF($E$2:E1467,"Gmail"),"")</f>
        <v/>
      </c>
      <c r="J1467">
        <f>IF(E1467="Outlook",COUNTIF($E$2:E1467,"Outlook"),"")</f>
        <v/>
      </c>
      <c r="K1467">
        <f>IF(E1467="Domain",COUNTIF($E$2:E1467,"Domain"),"")</f>
        <v/>
      </c>
    </row>
    <row r="1468">
      <c r="A1468" s="2" t="n"/>
      <c r="B1468">
        <f>LOWER(TRIM(A1468))</f>
        <v/>
      </c>
      <c r="C1468">
        <f>IF(B1468="","",IFERROR(INDEX('Bad Patterns'!$A$2:$A$120,MATCH(1,INDEX(--ISNUMBER(SEARCH('Bad Patterns'!$A$2:$A$120,B1468)),0),0)),""))</f>
        <v/>
      </c>
      <c r="D1468">
        <f>IF(B1468="","",IF(C1468&lt;&gt;"","REMOVE","KEEP"))</f>
        <v/>
      </c>
      <c r="E1468">
        <f>IF(D1468&lt;&gt;"KEEP","",IF(RIGHT(B1468,10)="@gmail.com","Gmail",IF(OR(RIGHT(B1468,12)="@outlook.com",RIGHT(B1468,12)="@hotmail.com",RIGHT(B1468,9)="@live.com"),"Outlook","Domain")))</f>
        <v/>
      </c>
      <c r="F1468">
        <f>IF(B1468="","",IFERROR(RIGHT(B1468,LEN(B1468)-FIND("@",B1468)),""))</f>
        <v/>
      </c>
      <c r="G1468">
        <f>IF(D1468="KEEP",COUNTIF($D$2:D1468,"KEEP"),"")</f>
        <v/>
      </c>
      <c r="H1468">
        <f>IF(D1468="REMOVE",COUNTIF($D$2:D1468,"REMOVE"),"")</f>
        <v/>
      </c>
      <c r="I1468">
        <f>IF(E1468="Gmail",COUNTIF($E$2:E1468,"Gmail"),"")</f>
        <v/>
      </c>
      <c r="J1468">
        <f>IF(E1468="Outlook",COUNTIF($E$2:E1468,"Outlook"),"")</f>
        <v/>
      </c>
      <c r="K1468">
        <f>IF(E1468="Domain",COUNTIF($E$2:E1468,"Domain"),"")</f>
        <v/>
      </c>
    </row>
    <row r="1469">
      <c r="A1469" s="2" t="n"/>
      <c r="B1469">
        <f>LOWER(TRIM(A1469))</f>
        <v/>
      </c>
      <c r="C1469">
        <f>IF(B1469="","",IFERROR(INDEX('Bad Patterns'!$A$2:$A$120,MATCH(1,INDEX(--ISNUMBER(SEARCH('Bad Patterns'!$A$2:$A$120,B1469)),0),0)),""))</f>
        <v/>
      </c>
      <c r="D1469">
        <f>IF(B1469="","",IF(C1469&lt;&gt;"","REMOVE","KEEP"))</f>
        <v/>
      </c>
      <c r="E1469">
        <f>IF(D1469&lt;&gt;"KEEP","",IF(RIGHT(B1469,10)="@gmail.com","Gmail",IF(OR(RIGHT(B1469,12)="@outlook.com",RIGHT(B1469,12)="@hotmail.com",RIGHT(B1469,9)="@live.com"),"Outlook","Domain")))</f>
        <v/>
      </c>
      <c r="F1469">
        <f>IF(B1469="","",IFERROR(RIGHT(B1469,LEN(B1469)-FIND("@",B1469)),""))</f>
        <v/>
      </c>
      <c r="G1469">
        <f>IF(D1469="KEEP",COUNTIF($D$2:D1469,"KEEP"),"")</f>
        <v/>
      </c>
      <c r="H1469">
        <f>IF(D1469="REMOVE",COUNTIF($D$2:D1469,"REMOVE"),"")</f>
        <v/>
      </c>
      <c r="I1469">
        <f>IF(E1469="Gmail",COUNTIF($E$2:E1469,"Gmail"),"")</f>
        <v/>
      </c>
      <c r="J1469">
        <f>IF(E1469="Outlook",COUNTIF($E$2:E1469,"Outlook"),"")</f>
        <v/>
      </c>
      <c r="K1469">
        <f>IF(E1469="Domain",COUNTIF($E$2:E1469,"Domain"),"")</f>
        <v/>
      </c>
    </row>
    <row r="1470">
      <c r="A1470" s="2" t="n"/>
      <c r="B1470">
        <f>LOWER(TRIM(A1470))</f>
        <v/>
      </c>
      <c r="C1470">
        <f>IF(B1470="","",IFERROR(INDEX('Bad Patterns'!$A$2:$A$120,MATCH(1,INDEX(--ISNUMBER(SEARCH('Bad Patterns'!$A$2:$A$120,B1470)),0),0)),""))</f>
        <v/>
      </c>
      <c r="D1470">
        <f>IF(B1470="","",IF(C1470&lt;&gt;"","REMOVE","KEEP"))</f>
        <v/>
      </c>
      <c r="E1470">
        <f>IF(D1470&lt;&gt;"KEEP","",IF(RIGHT(B1470,10)="@gmail.com","Gmail",IF(OR(RIGHT(B1470,12)="@outlook.com",RIGHT(B1470,12)="@hotmail.com",RIGHT(B1470,9)="@live.com"),"Outlook","Domain")))</f>
        <v/>
      </c>
      <c r="F1470">
        <f>IF(B1470="","",IFERROR(RIGHT(B1470,LEN(B1470)-FIND("@",B1470)),""))</f>
        <v/>
      </c>
      <c r="G1470">
        <f>IF(D1470="KEEP",COUNTIF($D$2:D1470,"KEEP"),"")</f>
        <v/>
      </c>
      <c r="H1470">
        <f>IF(D1470="REMOVE",COUNTIF($D$2:D1470,"REMOVE"),"")</f>
        <v/>
      </c>
      <c r="I1470">
        <f>IF(E1470="Gmail",COUNTIF($E$2:E1470,"Gmail"),"")</f>
        <v/>
      </c>
      <c r="J1470">
        <f>IF(E1470="Outlook",COUNTIF($E$2:E1470,"Outlook"),"")</f>
        <v/>
      </c>
      <c r="K1470">
        <f>IF(E1470="Domain",COUNTIF($E$2:E1470,"Domain"),"")</f>
        <v/>
      </c>
    </row>
    <row r="1471">
      <c r="A1471" s="2" t="n"/>
      <c r="B1471">
        <f>LOWER(TRIM(A1471))</f>
        <v/>
      </c>
      <c r="C1471">
        <f>IF(B1471="","",IFERROR(INDEX('Bad Patterns'!$A$2:$A$120,MATCH(1,INDEX(--ISNUMBER(SEARCH('Bad Patterns'!$A$2:$A$120,B1471)),0),0)),""))</f>
        <v/>
      </c>
      <c r="D1471">
        <f>IF(B1471="","",IF(C1471&lt;&gt;"","REMOVE","KEEP"))</f>
        <v/>
      </c>
      <c r="E1471">
        <f>IF(D1471&lt;&gt;"KEEP","",IF(RIGHT(B1471,10)="@gmail.com","Gmail",IF(OR(RIGHT(B1471,12)="@outlook.com",RIGHT(B1471,12)="@hotmail.com",RIGHT(B1471,9)="@live.com"),"Outlook","Domain")))</f>
        <v/>
      </c>
      <c r="F1471">
        <f>IF(B1471="","",IFERROR(RIGHT(B1471,LEN(B1471)-FIND("@",B1471)),""))</f>
        <v/>
      </c>
      <c r="G1471">
        <f>IF(D1471="KEEP",COUNTIF($D$2:D1471,"KEEP"),"")</f>
        <v/>
      </c>
      <c r="H1471">
        <f>IF(D1471="REMOVE",COUNTIF($D$2:D1471,"REMOVE"),"")</f>
        <v/>
      </c>
      <c r="I1471">
        <f>IF(E1471="Gmail",COUNTIF($E$2:E1471,"Gmail"),"")</f>
        <v/>
      </c>
      <c r="J1471">
        <f>IF(E1471="Outlook",COUNTIF($E$2:E1471,"Outlook"),"")</f>
        <v/>
      </c>
      <c r="K1471">
        <f>IF(E1471="Domain",COUNTIF($E$2:E1471,"Domain"),"")</f>
        <v/>
      </c>
    </row>
    <row r="1472">
      <c r="A1472" s="2" t="n"/>
      <c r="B1472">
        <f>LOWER(TRIM(A1472))</f>
        <v/>
      </c>
      <c r="C1472">
        <f>IF(B1472="","",IFERROR(INDEX('Bad Patterns'!$A$2:$A$120,MATCH(1,INDEX(--ISNUMBER(SEARCH('Bad Patterns'!$A$2:$A$120,B1472)),0),0)),""))</f>
        <v/>
      </c>
      <c r="D1472">
        <f>IF(B1472="","",IF(C1472&lt;&gt;"","REMOVE","KEEP"))</f>
        <v/>
      </c>
      <c r="E1472">
        <f>IF(D1472&lt;&gt;"KEEP","",IF(RIGHT(B1472,10)="@gmail.com","Gmail",IF(OR(RIGHT(B1472,12)="@outlook.com",RIGHT(B1472,12)="@hotmail.com",RIGHT(B1472,9)="@live.com"),"Outlook","Domain")))</f>
        <v/>
      </c>
      <c r="F1472">
        <f>IF(B1472="","",IFERROR(RIGHT(B1472,LEN(B1472)-FIND("@",B1472)),""))</f>
        <v/>
      </c>
      <c r="G1472">
        <f>IF(D1472="KEEP",COUNTIF($D$2:D1472,"KEEP"),"")</f>
        <v/>
      </c>
      <c r="H1472">
        <f>IF(D1472="REMOVE",COUNTIF($D$2:D1472,"REMOVE"),"")</f>
        <v/>
      </c>
      <c r="I1472">
        <f>IF(E1472="Gmail",COUNTIF($E$2:E1472,"Gmail"),"")</f>
        <v/>
      </c>
      <c r="J1472">
        <f>IF(E1472="Outlook",COUNTIF($E$2:E1472,"Outlook"),"")</f>
        <v/>
      </c>
      <c r="K1472">
        <f>IF(E1472="Domain",COUNTIF($E$2:E1472,"Domain"),"")</f>
        <v/>
      </c>
    </row>
    <row r="1473">
      <c r="A1473" s="2" t="n"/>
      <c r="B1473">
        <f>LOWER(TRIM(A1473))</f>
        <v/>
      </c>
      <c r="C1473">
        <f>IF(B1473="","",IFERROR(INDEX('Bad Patterns'!$A$2:$A$120,MATCH(1,INDEX(--ISNUMBER(SEARCH('Bad Patterns'!$A$2:$A$120,B1473)),0),0)),""))</f>
        <v/>
      </c>
      <c r="D1473">
        <f>IF(B1473="","",IF(C1473&lt;&gt;"","REMOVE","KEEP"))</f>
        <v/>
      </c>
      <c r="E1473">
        <f>IF(D1473&lt;&gt;"KEEP","",IF(RIGHT(B1473,10)="@gmail.com","Gmail",IF(OR(RIGHT(B1473,12)="@outlook.com",RIGHT(B1473,12)="@hotmail.com",RIGHT(B1473,9)="@live.com"),"Outlook","Domain")))</f>
        <v/>
      </c>
      <c r="F1473">
        <f>IF(B1473="","",IFERROR(RIGHT(B1473,LEN(B1473)-FIND("@",B1473)),""))</f>
        <v/>
      </c>
      <c r="G1473">
        <f>IF(D1473="KEEP",COUNTIF($D$2:D1473,"KEEP"),"")</f>
        <v/>
      </c>
      <c r="H1473">
        <f>IF(D1473="REMOVE",COUNTIF($D$2:D1473,"REMOVE"),"")</f>
        <v/>
      </c>
      <c r="I1473">
        <f>IF(E1473="Gmail",COUNTIF($E$2:E1473,"Gmail"),"")</f>
        <v/>
      </c>
      <c r="J1473">
        <f>IF(E1473="Outlook",COUNTIF($E$2:E1473,"Outlook"),"")</f>
        <v/>
      </c>
      <c r="K1473">
        <f>IF(E1473="Domain",COUNTIF($E$2:E1473,"Domain"),"")</f>
        <v/>
      </c>
    </row>
    <row r="1474">
      <c r="A1474" s="2" t="n"/>
      <c r="B1474">
        <f>LOWER(TRIM(A1474))</f>
        <v/>
      </c>
      <c r="C1474">
        <f>IF(B1474="","",IFERROR(INDEX('Bad Patterns'!$A$2:$A$120,MATCH(1,INDEX(--ISNUMBER(SEARCH('Bad Patterns'!$A$2:$A$120,B1474)),0),0)),""))</f>
        <v/>
      </c>
      <c r="D1474">
        <f>IF(B1474="","",IF(C1474&lt;&gt;"","REMOVE","KEEP"))</f>
        <v/>
      </c>
      <c r="E1474">
        <f>IF(D1474&lt;&gt;"KEEP","",IF(RIGHT(B1474,10)="@gmail.com","Gmail",IF(OR(RIGHT(B1474,12)="@outlook.com",RIGHT(B1474,12)="@hotmail.com",RIGHT(B1474,9)="@live.com"),"Outlook","Domain")))</f>
        <v/>
      </c>
      <c r="F1474">
        <f>IF(B1474="","",IFERROR(RIGHT(B1474,LEN(B1474)-FIND("@",B1474)),""))</f>
        <v/>
      </c>
      <c r="G1474">
        <f>IF(D1474="KEEP",COUNTIF($D$2:D1474,"KEEP"),"")</f>
        <v/>
      </c>
      <c r="H1474">
        <f>IF(D1474="REMOVE",COUNTIF($D$2:D1474,"REMOVE"),"")</f>
        <v/>
      </c>
      <c r="I1474">
        <f>IF(E1474="Gmail",COUNTIF($E$2:E1474,"Gmail"),"")</f>
        <v/>
      </c>
      <c r="J1474">
        <f>IF(E1474="Outlook",COUNTIF($E$2:E1474,"Outlook"),"")</f>
        <v/>
      </c>
      <c r="K1474">
        <f>IF(E1474="Domain",COUNTIF($E$2:E1474,"Domain"),"")</f>
        <v/>
      </c>
    </row>
    <row r="1475">
      <c r="A1475" s="2" t="n"/>
      <c r="B1475">
        <f>LOWER(TRIM(A1475))</f>
        <v/>
      </c>
      <c r="C1475">
        <f>IF(B1475="","",IFERROR(INDEX('Bad Patterns'!$A$2:$A$120,MATCH(1,INDEX(--ISNUMBER(SEARCH('Bad Patterns'!$A$2:$A$120,B1475)),0),0)),""))</f>
        <v/>
      </c>
      <c r="D1475">
        <f>IF(B1475="","",IF(C1475&lt;&gt;"","REMOVE","KEEP"))</f>
        <v/>
      </c>
      <c r="E1475">
        <f>IF(D1475&lt;&gt;"KEEP","",IF(RIGHT(B1475,10)="@gmail.com","Gmail",IF(OR(RIGHT(B1475,12)="@outlook.com",RIGHT(B1475,12)="@hotmail.com",RIGHT(B1475,9)="@live.com"),"Outlook","Domain")))</f>
        <v/>
      </c>
      <c r="F1475">
        <f>IF(B1475="","",IFERROR(RIGHT(B1475,LEN(B1475)-FIND("@",B1475)),""))</f>
        <v/>
      </c>
      <c r="G1475">
        <f>IF(D1475="KEEP",COUNTIF($D$2:D1475,"KEEP"),"")</f>
        <v/>
      </c>
      <c r="H1475">
        <f>IF(D1475="REMOVE",COUNTIF($D$2:D1475,"REMOVE"),"")</f>
        <v/>
      </c>
      <c r="I1475">
        <f>IF(E1475="Gmail",COUNTIF($E$2:E1475,"Gmail"),"")</f>
        <v/>
      </c>
      <c r="J1475">
        <f>IF(E1475="Outlook",COUNTIF($E$2:E1475,"Outlook"),"")</f>
        <v/>
      </c>
      <c r="K1475">
        <f>IF(E1475="Domain",COUNTIF($E$2:E1475,"Domain"),"")</f>
        <v/>
      </c>
    </row>
    <row r="1476">
      <c r="A1476" s="2" t="n"/>
      <c r="B1476">
        <f>LOWER(TRIM(A1476))</f>
        <v/>
      </c>
      <c r="C1476">
        <f>IF(B1476="","",IFERROR(INDEX('Bad Patterns'!$A$2:$A$120,MATCH(1,INDEX(--ISNUMBER(SEARCH('Bad Patterns'!$A$2:$A$120,B1476)),0),0)),""))</f>
        <v/>
      </c>
      <c r="D1476">
        <f>IF(B1476="","",IF(C1476&lt;&gt;"","REMOVE","KEEP"))</f>
        <v/>
      </c>
      <c r="E1476">
        <f>IF(D1476&lt;&gt;"KEEP","",IF(RIGHT(B1476,10)="@gmail.com","Gmail",IF(OR(RIGHT(B1476,12)="@outlook.com",RIGHT(B1476,12)="@hotmail.com",RIGHT(B1476,9)="@live.com"),"Outlook","Domain")))</f>
        <v/>
      </c>
      <c r="F1476">
        <f>IF(B1476="","",IFERROR(RIGHT(B1476,LEN(B1476)-FIND("@",B1476)),""))</f>
        <v/>
      </c>
      <c r="G1476">
        <f>IF(D1476="KEEP",COUNTIF($D$2:D1476,"KEEP"),"")</f>
        <v/>
      </c>
      <c r="H1476">
        <f>IF(D1476="REMOVE",COUNTIF($D$2:D1476,"REMOVE"),"")</f>
        <v/>
      </c>
      <c r="I1476">
        <f>IF(E1476="Gmail",COUNTIF($E$2:E1476,"Gmail"),"")</f>
        <v/>
      </c>
      <c r="J1476">
        <f>IF(E1476="Outlook",COUNTIF($E$2:E1476,"Outlook"),"")</f>
        <v/>
      </c>
      <c r="K1476">
        <f>IF(E1476="Domain",COUNTIF($E$2:E1476,"Domain"),"")</f>
        <v/>
      </c>
    </row>
    <row r="1477">
      <c r="A1477" s="2" t="n"/>
      <c r="B1477">
        <f>LOWER(TRIM(A1477))</f>
        <v/>
      </c>
      <c r="C1477">
        <f>IF(B1477="","",IFERROR(INDEX('Bad Patterns'!$A$2:$A$120,MATCH(1,INDEX(--ISNUMBER(SEARCH('Bad Patterns'!$A$2:$A$120,B1477)),0),0)),""))</f>
        <v/>
      </c>
      <c r="D1477">
        <f>IF(B1477="","",IF(C1477&lt;&gt;"","REMOVE","KEEP"))</f>
        <v/>
      </c>
      <c r="E1477">
        <f>IF(D1477&lt;&gt;"KEEP","",IF(RIGHT(B1477,10)="@gmail.com","Gmail",IF(OR(RIGHT(B1477,12)="@outlook.com",RIGHT(B1477,12)="@hotmail.com",RIGHT(B1477,9)="@live.com"),"Outlook","Domain")))</f>
        <v/>
      </c>
      <c r="F1477">
        <f>IF(B1477="","",IFERROR(RIGHT(B1477,LEN(B1477)-FIND("@",B1477)),""))</f>
        <v/>
      </c>
      <c r="G1477">
        <f>IF(D1477="KEEP",COUNTIF($D$2:D1477,"KEEP"),"")</f>
        <v/>
      </c>
      <c r="H1477">
        <f>IF(D1477="REMOVE",COUNTIF($D$2:D1477,"REMOVE"),"")</f>
        <v/>
      </c>
      <c r="I1477">
        <f>IF(E1477="Gmail",COUNTIF($E$2:E1477,"Gmail"),"")</f>
        <v/>
      </c>
      <c r="J1477">
        <f>IF(E1477="Outlook",COUNTIF($E$2:E1477,"Outlook"),"")</f>
        <v/>
      </c>
      <c r="K1477">
        <f>IF(E1477="Domain",COUNTIF($E$2:E1477,"Domain"),"")</f>
        <v/>
      </c>
    </row>
    <row r="1478">
      <c r="A1478" s="2" t="n"/>
      <c r="B1478">
        <f>LOWER(TRIM(A1478))</f>
        <v/>
      </c>
      <c r="C1478">
        <f>IF(B1478="","",IFERROR(INDEX('Bad Patterns'!$A$2:$A$120,MATCH(1,INDEX(--ISNUMBER(SEARCH('Bad Patterns'!$A$2:$A$120,B1478)),0),0)),""))</f>
        <v/>
      </c>
      <c r="D1478">
        <f>IF(B1478="","",IF(C1478&lt;&gt;"","REMOVE","KEEP"))</f>
        <v/>
      </c>
      <c r="E1478">
        <f>IF(D1478&lt;&gt;"KEEP","",IF(RIGHT(B1478,10)="@gmail.com","Gmail",IF(OR(RIGHT(B1478,12)="@outlook.com",RIGHT(B1478,12)="@hotmail.com",RIGHT(B1478,9)="@live.com"),"Outlook","Domain")))</f>
        <v/>
      </c>
      <c r="F1478">
        <f>IF(B1478="","",IFERROR(RIGHT(B1478,LEN(B1478)-FIND("@",B1478)),""))</f>
        <v/>
      </c>
      <c r="G1478">
        <f>IF(D1478="KEEP",COUNTIF($D$2:D1478,"KEEP"),"")</f>
        <v/>
      </c>
      <c r="H1478">
        <f>IF(D1478="REMOVE",COUNTIF($D$2:D1478,"REMOVE"),"")</f>
        <v/>
      </c>
      <c r="I1478">
        <f>IF(E1478="Gmail",COUNTIF($E$2:E1478,"Gmail"),"")</f>
        <v/>
      </c>
      <c r="J1478">
        <f>IF(E1478="Outlook",COUNTIF($E$2:E1478,"Outlook"),"")</f>
        <v/>
      </c>
      <c r="K1478">
        <f>IF(E1478="Domain",COUNTIF($E$2:E1478,"Domain"),"")</f>
        <v/>
      </c>
    </row>
    <row r="1479">
      <c r="A1479" s="2" t="n"/>
      <c r="B1479">
        <f>LOWER(TRIM(A1479))</f>
        <v/>
      </c>
      <c r="C1479">
        <f>IF(B1479="","",IFERROR(INDEX('Bad Patterns'!$A$2:$A$120,MATCH(1,INDEX(--ISNUMBER(SEARCH('Bad Patterns'!$A$2:$A$120,B1479)),0),0)),""))</f>
        <v/>
      </c>
      <c r="D1479">
        <f>IF(B1479="","",IF(C1479&lt;&gt;"","REMOVE","KEEP"))</f>
        <v/>
      </c>
      <c r="E1479">
        <f>IF(D1479&lt;&gt;"KEEP","",IF(RIGHT(B1479,10)="@gmail.com","Gmail",IF(OR(RIGHT(B1479,12)="@outlook.com",RIGHT(B1479,12)="@hotmail.com",RIGHT(B1479,9)="@live.com"),"Outlook","Domain")))</f>
        <v/>
      </c>
      <c r="F1479">
        <f>IF(B1479="","",IFERROR(RIGHT(B1479,LEN(B1479)-FIND("@",B1479)),""))</f>
        <v/>
      </c>
      <c r="G1479">
        <f>IF(D1479="KEEP",COUNTIF($D$2:D1479,"KEEP"),"")</f>
        <v/>
      </c>
      <c r="H1479">
        <f>IF(D1479="REMOVE",COUNTIF($D$2:D1479,"REMOVE"),"")</f>
        <v/>
      </c>
      <c r="I1479">
        <f>IF(E1479="Gmail",COUNTIF($E$2:E1479,"Gmail"),"")</f>
        <v/>
      </c>
      <c r="J1479">
        <f>IF(E1479="Outlook",COUNTIF($E$2:E1479,"Outlook"),"")</f>
        <v/>
      </c>
      <c r="K1479">
        <f>IF(E1479="Domain",COUNTIF($E$2:E1479,"Domain"),"")</f>
        <v/>
      </c>
    </row>
    <row r="1480">
      <c r="A1480" s="2" t="n"/>
      <c r="B1480">
        <f>LOWER(TRIM(A1480))</f>
        <v/>
      </c>
      <c r="C1480">
        <f>IF(B1480="","",IFERROR(INDEX('Bad Patterns'!$A$2:$A$120,MATCH(1,INDEX(--ISNUMBER(SEARCH('Bad Patterns'!$A$2:$A$120,B1480)),0),0)),""))</f>
        <v/>
      </c>
      <c r="D1480">
        <f>IF(B1480="","",IF(C1480&lt;&gt;"","REMOVE","KEEP"))</f>
        <v/>
      </c>
      <c r="E1480">
        <f>IF(D1480&lt;&gt;"KEEP","",IF(RIGHT(B1480,10)="@gmail.com","Gmail",IF(OR(RIGHT(B1480,12)="@outlook.com",RIGHT(B1480,12)="@hotmail.com",RIGHT(B1480,9)="@live.com"),"Outlook","Domain")))</f>
        <v/>
      </c>
      <c r="F1480">
        <f>IF(B1480="","",IFERROR(RIGHT(B1480,LEN(B1480)-FIND("@",B1480)),""))</f>
        <v/>
      </c>
      <c r="G1480">
        <f>IF(D1480="KEEP",COUNTIF($D$2:D1480,"KEEP"),"")</f>
        <v/>
      </c>
      <c r="H1480">
        <f>IF(D1480="REMOVE",COUNTIF($D$2:D1480,"REMOVE"),"")</f>
        <v/>
      </c>
      <c r="I1480">
        <f>IF(E1480="Gmail",COUNTIF($E$2:E1480,"Gmail"),"")</f>
        <v/>
      </c>
      <c r="J1480">
        <f>IF(E1480="Outlook",COUNTIF($E$2:E1480,"Outlook"),"")</f>
        <v/>
      </c>
      <c r="K1480">
        <f>IF(E1480="Domain",COUNTIF($E$2:E1480,"Domain"),"")</f>
        <v/>
      </c>
    </row>
    <row r="1481">
      <c r="A1481" s="2" t="n"/>
      <c r="B1481">
        <f>LOWER(TRIM(A1481))</f>
        <v/>
      </c>
      <c r="C1481">
        <f>IF(B1481="","",IFERROR(INDEX('Bad Patterns'!$A$2:$A$120,MATCH(1,INDEX(--ISNUMBER(SEARCH('Bad Patterns'!$A$2:$A$120,B1481)),0),0)),""))</f>
        <v/>
      </c>
      <c r="D1481">
        <f>IF(B1481="","",IF(C1481&lt;&gt;"","REMOVE","KEEP"))</f>
        <v/>
      </c>
      <c r="E1481">
        <f>IF(D1481&lt;&gt;"KEEP","",IF(RIGHT(B1481,10)="@gmail.com","Gmail",IF(OR(RIGHT(B1481,12)="@outlook.com",RIGHT(B1481,12)="@hotmail.com",RIGHT(B1481,9)="@live.com"),"Outlook","Domain")))</f>
        <v/>
      </c>
      <c r="F1481">
        <f>IF(B1481="","",IFERROR(RIGHT(B1481,LEN(B1481)-FIND("@",B1481)),""))</f>
        <v/>
      </c>
      <c r="G1481">
        <f>IF(D1481="KEEP",COUNTIF($D$2:D1481,"KEEP"),"")</f>
        <v/>
      </c>
      <c r="H1481">
        <f>IF(D1481="REMOVE",COUNTIF($D$2:D1481,"REMOVE"),"")</f>
        <v/>
      </c>
      <c r="I1481">
        <f>IF(E1481="Gmail",COUNTIF($E$2:E1481,"Gmail"),"")</f>
        <v/>
      </c>
      <c r="J1481">
        <f>IF(E1481="Outlook",COUNTIF($E$2:E1481,"Outlook"),"")</f>
        <v/>
      </c>
      <c r="K1481">
        <f>IF(E1481="Domain",COUNTIF($E$2:E1481,"Domain"),"")</f>
        <v/>
      </c>
    </row>
    <row r="1482">
      <c r="A1482" s="2" t="n"/>
      <c r="B1482">
        <f>LOWER(TRIM(A1482))</f>
        <v/>
      </c>
      <c r="C1482">
        <f>IF(B1482="","",IFERROR(INDEX('Bad Patterns'!$A$2:$A$120,MATCH(1,INDEX(--ISNUMBER(SEARCH('Bad Patterns'!$A$2:$A$120,B1482)),0),0)),""))</f>
        <v/>
      </c>
      <c r="D1482">
        <f>IF(B1482="","",IF(C1482&lt;&gt;"","REMOVE","KEEP"))</f>
        <v/>
      </c>
      <c r="E1482">
        <f>IF(D1482&lt;&gt;"KEEP","",IF(RIGHT(B1482,10)="@gmail.com","Gmail",IF(OR(RIGHT(B1482,12)="@outlook.com",RIGHT(B1482,12)="@hotmail.com",RIGHT(B1482,9)="@live.com"),"Outlook","Domain")))</f>
        <v/>
      </c>
      <c r="F1482">
        <f>IF(B1482="","",IFERROR(RIGHT(B1482,LEN(B1482)-FIND("@",B1482)),""))</f>
        <v/>
      </c>
      <c r="G1482">
        <f>IF(D1482="KEEP",COUNTIF($D$2:D1482,"KEEP"),"")</f>
        <v/>
      </c>
      <c r="H1482">
        <f>IF(D1482="REMOVE",COUNTIF($D$2:D1482,"REMOVE"),"")</f>
        <v/>
      </c>
      <c r="I1482">
        <f>IF(E1482="Gmail",COUNTIF($E$2:E1482,"Gmail"),"")</f>
        <v/>
      </c>
      <c r="J1482">
        <f>IF(E1482="Outlook",COUNTIF($E$2:E1482,"Outlook"),"")</f>
        <v/>
      </c>
      <c r="K1482">
        <f>IF(E1482="Domain",COUNTIF($E$2:E1482,"Domain"),"")</f>
        <v/>
      </c>
    </row>
    <row r="1483">
      <c r="A1483" s="2" t="n"/>
      <c r="B1483">
        <f>LOWER(TRIM(A1483))</f>
        <v/>
      </c>
      <c r="C1483">
        <f>IF(B1483="","",IFERROR(INDEX('Bad Patterns'!$A$2:$A$120,MATCH(1,INDEX(--ISNUMBER(SEARCH('Bad Patterns'!$A$2:$A$120,B1483)),0),0)),""))</f>
        <v/>
      </c>
      <c r="D1483">
        <f>IF(B1483="","",IF(C1483&lt;&gt;"","REMOVE","KEEP"))</f>
        <v/>
      </c>
      <c r="E1483">
        <f>IF(D1483&lt;&gt;"KEEP","",IF(RIGHT(B1483,10)="@gmail.com","Gmail",IF(OR(RIGHT(B1483,12)="@outlook.com",RIGHT(B1483,12)="@hotmail.com",RIGHT(B1483,9)="@live.com"),"Outlook","Domain")))</f>
        <v/>
      </c>
      <c r="F1483">
        <f>IF(B1483="","",IFERROR(RIGHT(B1483,LEN(B1483)-FIND("@",B1483)),""))</f>
        <v/>
      </c>
      <c r="G1483">
        <f>IF(D1483="KEEP",COUNTIF($D$2:D1483,"KEEP"),"")</f>
        <v/>
      </c>
      <c r="H1483">
        <f>IF(D1483="REMOVE",COUNTIF($D$2:D1483,"REMOVE"),"")</f>
        <v/>
      </c>
      <c r="I1483">
        <f>IF(E1483="Gmail",COUNTIF($E$2:E1483,"Gmail"),"")</f>
        <v/>
      </c>
      <c r="J1483">
        <f>IF(E1483="Outlook",COUNTIF($E$2:E1483,"Outlook"),"")</f>
        <v/>
      </c>
      <c r="K1483">
        <f>IF(E1483="Domain",COUNTIF($E$2:E1483,"Domain"),"")</f>
        <v/>
      </c>
    </row>
    <row r="1484">
      <c r="A1484" s="2" t="n"/>
      <c r="B1484">
        <f>LOWER(TRIM(A1484))</f>
        <v/>
      </c>
      <c r="C1484">
        <f>IF(B1484="","",IFERROR(INDEX('Bad Patterns'!$A$2:$A$120,MATCH(1,INDEX(--ISNUMBER(SEARCH('Bad Patterns'!$A$2:$A$120,B1484)),0),0)),""))</f>
        <v/>
      </c>
      <c r="D1484">
        <f>IF(B1484="","",IF(C1484&lt;&gt;"","REMOVE","KEEP"))</f>
        <v/>
      </c>
      <c r="E1484">
        <f>IF(D1484&lt;&gt;"KEEP","",IF(RIGHT(B1484,10)="@gmail.com","Gmail",IF(OR(RIGHT(B1484,12)="@outlook.com",RIGHT(B1484,12)="@hotmail.com",RIGHT(B1484,9)="@live.com"),"Outlook","Domain")))</f>
        <v/>
      </c>
      <c r="F1484">
        <f>IF(B1484="","",IFERROR(RIGHT(B1484,LEN(B1484)-FIND("@",B1484)),""))</f>
        <v/>
      </c>
      <c r="G1484">
        <f>IF(D1484="KEEP",COUNTIF($D$2:D1484,"KEEP"),"")</f>
        <v/>
      </c>
      <c r="H1484">
        <f>IF(D1484="REMOVE",COUNTIF($D$2:D1484,"REMOVE"),"")</f>
        <v/>
      </c>
      <c r="I1484">
        <f>IF(E1484="Gmail",COUNTIF($E$2:E1484,"Gmail"),"")</f>
        <v/>
      </c>
      <c r="J1484">
        <f>IF(E1484="Outlook",COUNTIF($E$2:E1484,"Outlook"),"")</f>
        <v/>
      </c>
      <c r="K1484">
        <f>IF(E1484="Domain",COUNTIF($E$2:E1484,"Domain"),"")</f>
        <v/>
      </c>
    </row>
    <row r="1485">
      <c r="A1485" s="2" t="n"/>
      <c r="B1485">
        <f>LOWER(TRIM(A1485))</f>
        <v/>
      </c>
      <c r="C1485">
        <f>IF(B1485="","",IFERROR(INDEX('Bad Patterns'!$A$2:$A$120,MATCH(1,INDEX(--ISNUMBER(SEARCH('Bad Patterns'!$A$2:$A$120,B1485)),0),0)),""))</f>
        <v/>
      </c>
      <c r="D1485">
        <f>IF(B1485="","",IF(C1485&lt;&gt;"","REMOVE","KEEP"))</f>
        <v/>
      </c>
      <c r="E1485">
        <f>IF(D1485&lt;&gt;"KEEP","",IF(RIGHT(B1485,10)="@gmail.com","Gmail",IF(OR(RIGHT(B1485,12)="@outlook.com",RIGHT(B1485,12)="@hotmail.com",RIGHT(B1485,9)="@live.com"),"Outlook","Domain")))</f>
        <v/>
      </c>
      <c r="F1485">
        <f>IF(B1485="","",IFERROR(RIGHT(B1485,LEN(B1485)-FIND("@",B1485)),""))</f>
        <v/>
      </c>
      <c r="G1485">
        <f>IF(D1485="KEEP",COUNTIF($D$2:D1485,"KEEP"),"")</f>
        <v/>
      </c>
      <c r="H1485">
        <f>IF(D1485="REMOVE",COUNTIF($D$2:D1485,"REMOVE"),"")</f>
        <v/>
      </c>
      <c r="I1485">
        <f>IF(E1485="Gmail",COUNTIF($E$2:E1485,"Gmail"),"")</f>
        <v/>
      </c>
      <c r="J1485">
        <f>IF(E1485="Outlook",COUNTIF($E$2:E1485,"Outlook"),"")</f>
        <v/>
      </c>
      <c r="K1485">
        <f>IF(E1485="Domain",COUNTIF($E$2:E1485,"Domain"),"")</f>
        <v/>
      </c>
    </row>
    <row r="1486">
      <c r="A1486" s="2" t="n"/>
      <c r="B1486">
        <f>LOWER(TRIM(A1486))</f>
        <v/>
      </c>
      <c r="C1486">
        <f>IF(B1486="","",IFERROR(INDEX('Bad Patterns'!$A$2:$A$120,MATCH(1,INDEX(--ISNUMBER(SEARCH('Bad Patterns'!$A$2:$A$120,B1486)),0),0)),""))</f>
        <v/>
      </c>
      <c r="D1486">
        <f>IF(B1486="","",IF(C1486&lt;&gt;"","REMOVE","KEEP"))</f>
        <v/>
      </c>
      <c r="E1486">
        <f>IF(D1486&lt;&gt;"KEEP","",IF(RIGHT(B1486,10)="@gmail.com","Gmail",IF(OR(RIGHT(B1486,12)="@outlook.com",RIGHT(B1486,12)="@hotmail.com",RIGHT(B1486,9)="@live.com"),"Outlook","Domain")))</f>
        <v/>
      </c>
      <c r="F1486">
        <f>IF(B1486="","",IFERROR(RIGHT(B1486,LEN(B1486)-FIND("@",B1486)),""))</f>
        <v/>
      </c>
      <c r="G1486">
        <f>IF(D1486="KEEP",COUNTIF($D$2:D1486,"KEEP"),"")</f>
        <v/>
      </c>
      <c r="H1486">
        <f>IF(D1486="REMOVE",COUNTIF($D$2:D1486,"REMOVE"),"")</f>
        <v/>
      </c>
      <c r="I1486">
        <f>IF(E1486="Gmail",COUNTIF($E$2:E1486,"Gmail"),"")</f>
        <v/>
      </c>
      <c r="J1486">
        <f>IF(E1486="Outlook",COUNTIF($E$2:E1486,"Outlook"),"")</f>
        <v/>
      </c>
      <c r="K1486">
        <f>IF(E1486="Domain",COUNTIF($E$2:E1486,"Domain"),"")</f>
        <v/>
      </c>
    </row>
    <row r="1487">
      <c r="A1487" s="2" t="n"/>
      <c r="B1487">
        <f>LOWER(TRIM(A1487))</f>
        <v/>
      </c>
      <c r="C1487">
        <f>IF(B1487="","",IFERROR(INDEX('Bad Patterns'!$A$2:$A$120,MATCH(1,INDEX(--ISNUMBER(SEARCH('Bad Patterns'!$A$2:$A$120,B1487)),0),0)),""))</f>
        <v/>
      </c>
      <c r="D1487">
        <f>IF(B1487="","",IF(C1487&lt;&gt;"","REMOVE","KEEP"))</f>
        <v/>
      </c>
      <c r="E1487">
        <f>IF(D1487&lt;&gt;"KEEP","",IF(RIGHT(B1487,10)="@gmail.com","Gmail",IF(OR(RIGHT(B1487,12)="@outlook.com",RIGHT(B1487,12)="@hotmail.com",RIGHT(B1487,9)="@live.com"),"Outlook","Domain")))</f>
        <v/>
      </c>
      <c r="F1487">
        <f>IF(B1487="","",IFERROR(RIGHT(B1487,LEN(B1487)-FIND("@",B1487)),""))</f>
        <v/>
      </c>
      <c r="G1487">
        <f>IF(D1487="KEEP",COUNTIF($D$2:D1487,"KEEP"),"")</f>
        <v/>
      </c>
      <c r="H1487">
        <f>IF(D1487="REMOVE",COUNTIF($D$2:D1487,"REMOVE"),"")</f>
        <v/>
      </c>
      <c r="I1487">
        <f>IF(E1487="Gmail",COUNTIF($E$2:E1487,"Gmail"),"")</f>
        <v/>
      </c>
      <c r="J1487">
        <f>IF(E1487="Outlook",COUNTIF($E$2:E1487,"Outlook"),"")</f>
        <v/>
      </c>
      <c r="K1487">
        <f>IF(E1487="Domain",COUNTIF($E$2:E1487,"Domain"),"")</f>
        <v/>
      </c>
    </row>
    <row r="1488">
      <c r="A1488" s="2" t="n"/>
      <c r="B1488">
        <f>LOWER(TRIM(A1488))</f>
        <v/>
      </c>
      <c r="C1488">
        <f>IF(B1488="","",IFERROR(INDEX('Bad Patterns'!$A$2:$A$120,MATCH(1,INDEX(--ISNUMBER(SEARCH('Bad Patterns'!$A$2:$A$120,B1488)),0),0)),""))</f>
        <v/>
      </c>
      <c r="D1488">
        <f>IF(B1488="","",IF(C1488&lt;&gt;"","REMOVE","KEEP"))</f>
        <v/>
      </c>
      <c r="E1488">
        <f>IF(D1488&lt;&gt;"KEEP","",IF(RIGHT(B1488,10)="@gmail.com","Gmail",IF(OR(RIGHT(B1488,12)="@outlook.com",RIGHT(B1488,12)="@hotmail.com",RIGHT(B1488,9)="@live.com"),"Outlook","Domain")))</f>
        <v/>
      </c>
      <c r="F1488">
        <f>IF(B1488="","",IFERROR(RIGHT(B1488,LEN(B1488)-FIND("@",B1488)),""))</f>
        <v/>
      </c>
      <c r="G1488">
        <f>IF(D1488="KEEP",COUNTIF($D$2:D1488,"KEEP"),"")</f>
        <v/>
      </c>
      <c r="H1488">
        <f>IF(D1488="REMOVE",COUNTIF($D$2:D1488,"REMOVE"),"")</f>
        <v/>
      </c>
      <c r="I1488">
        <f>IF(E1488="Gmail",COUNTIF($E$2:E1488,"Gmail"),"")</f>
        <v/>
      </c>
      <c r="J1488">
        <f>IF(E1488="Outlook",COUNTIF($E$2:E1488,"Outlook"),"")</f>
        <v/>
      </c>
      <c r="K1488">
        <f>IF(E1488="Domain",COUNTIF($E$2:E1488,"Domain"),"")</f>
        <v/>
      </c>
    </row>
    <row r="1489">
      <c r="A1489" s="2" t="n"/>
      <c r="B1489">
        <f>LOWER(TRIM(A1489))</f>
        <v/>
      </c>
      <c r="C1489">
        <f>IF(B1489="","",IFERROR(INDEX('Bad Patterns'!$A$2:$A$120,MATCH(1,INDEX(--ISNUMBER(SEARCH('Bad Patterns'!$A$2:$A$120,B1489)),0),0)),""))</f>
        <v/>
      </c>
      <c r="D1489">
        <f>IF(B1489="","",IF(C1489&lt;&gt;"","REMOVE","KEEP"))</f>
        <v/>
      </c>
      <c r="E1489">
        <f>IF(D1489&lt;&gt;"KEEP","",IF(RIGHT(B1489,10)="@gmail.com","Gmail",IF(OR(RIGHT(B1489,12)="@outlook.com",RIGHT(B1489,12)="@hotmail.com",RIGHT(B1489,9)="@live.com"),"Outlook","Domain")))</f>
        <v/>
      </c>
      <c r="F1489">
        <f>IF(B1489="","",IFERROR(RIGHT(B1489,LEN(B1489)-FIND("@",B1489)),""))</f>
        <v/>
      </c>
      <c r="G1489">
        <f>IF(D1489="KEEP",COUNTIF($D$2:D1489,"KEEP"),"")</f>
        <v/>
      </c>
      <c r="H1489">
        <f>IF(D1489="REMOVE",COUNTIF($D$2:D1489,"REMOVE"),"")</f>
        <v/>
      </c>
      <c r="I1489">
        <f>IF(E1489="Gmail",COUNTIF($E$2:E1489,"Gmail"),"")</f>
        <v/>
      </c>
      <c r="J1489">
        <f>IF(E1489="Outlook",COUNTIF($E$2:E1489,"Outlook"),"")</f>
        <v/>
      </c>
      <c r="K1489">
        <f>IF(E1489="Domain",COUNTIF($E$2:E1489,"Domain"),"")</f>
        <v/>
      </c>
    </row>
    <row r="1490">
      <c r="A1490" s="2" t="n"/>
      <c r="B1490">
        <f>LOWER(TRIM(A1490))</f>
        <v/>
      </c>
      <c r="C1490">
        <f>IF(B1490="","",IFERROR(INDEX('Bad Patterns'!$A$2:$A$120,MATCH(1,INDEX(--ISNUMBER(SEARCH('Bad Patterns'!$A$2:$A$120,B1490)),0),0)),""))</f>
        <v/>
      </c>
      <c r="D1490">
        <f>IF(B1490="","",IF(C1490&lt;&gt;"","REMOVE","KEEP"))</f>
        <v/>
      </c>
      <c r="E1490">
        <f>IF(D1490&lt;&gt;"KEEP","",IF(RIGHT(B1490,10)="@gmail.com","Gmail",IF(OR(RIGHT(B1490,12)="@outlook.com",RIGHT(B1490,12)="@hotmail.com",RIGHT(B1490,9)="@live.com"),"Outlook","Domain")))</f>
        <v/>
      </c>
      <c r="F1490">
        <f>IF(B1490="","",IFERROR(RIGHT(B1490,LEN(B1490)-FIND("@",B1490)),""))</f>
        <v/>
      </c>
      <c r="G1490">
        <f>IF(D1490="KEEP",COUNTIF($D$2:D1490,"KEEP"),"")</f>
        <v/>
      </c>
      <c r="H1490">
        <f>IF(D1490="REMOVE",COUNTIF($D$2:D1490,"REMOVE"),"")</f>
        <v/>
      </c>
      <c r="I1490">
        <f>IF(E1490="Gmail",COUNTIF($E$2:E1490,"Gmail"),"")</f>
        <v/>
      </c>
      <c r="J1490">
        <f>IF(E1490="Outlook",COUNTIF($E$2:E1490,"Outlook"),"")</f>
        <v/>
      </c>
      <c r="K1490">
        <f>IF(E1490="Domain",COUNTIF($E$2:E1490,"Domain"),"")</f>
        <v/>
      </c>
    </row>
    <row r="1491">
      <c r="A1491" s="2" t="n"/>
      <c r="B1491">
        <f>LOWER(TRIM(A1491))</f>
        <v/>
      </c>
      <c r="C1491">
        <f>IF(B1491="","",IFERROR(INDEX('Bad Patterns'!$A$2:$A$120,MATCH(1,INDEX(--ISNUMBER(SEARCH('Bad Patterns'!$A$2:$A$120,B1491)),0),0)),""))</f>
        <v/>
      </c>
      <c r="D1491">
        <f>IF(B1491="","",IF(C1491&lt;&gt;"","REMOVE","KEEP"))</f>
        <v/>
      </c>
      <c r="E1491">
        <f>IF(D1491&lt;&gt;"KEEP","",IF(RIGHT(B1491,10)="@gmail.com","Gmail",IF(OR(RIGHT(B1491,12)="@outlook.com",RIGHT(B1491,12)="@hotmail.com",RIGHT(B1491,9)="@live.com"),"Outlook","Domain")))</f>
        <v/>
      </c>
      <c r="F1491">
        <f>IF(B1491="","",IFERROR(RIGHT(B1491,LEN(B1491)-FIND("@",B1491)),""))</f>
        <v/>
      </c>
      <c r="G1491">
        <f>IF(D1491="KEEP",COUNTIF($D$2:D1491,"KEEP"),"")</f>
        <v/>
      </c>
      <c r="H1491">
        <f>IF(D1491="REMOVE",COUNTIF($D$2:D1491,"REMOVE"),"")</f>
        <v/>
      </c>
      <c r="I1491">
        <f>IF(E1491="Gmail",COUNTIF($E$2:E1491,"Gmail"),"")</f>
        <v/>
      </c>
      <c r="J1491">
        <f>IF(E1491="Outlook",COUNTIF($E$2:E1491,"Outlook"),"")</f>
        <v/>
      </c>
      <c r="K1491">
        <f>IF(E1491="Domain",COUNTIF($E$2:E1491,"Domain"),"")</f>
        <v/>
      </c>
    </row>
    <row r="1492">
      <c r="A1492" s="2" t="n"/>
      <c r="B1492">
        <f>LOWER(TRIM(A1492))</f>
        <v/>
      </c>
      <c r="C1492">
        <f>IF(B1492="","",IFERROR(INDEX('Bad Patterns'!$A$2:$A$120,MATCH(1,INDEX(--ISNUMBER(SEARCH('Bad Patterns'!$A$2:$A$120,B1492)),0),0)),""))</f>
        <v/>
      </c>
      <c r="D1492">
        <f>IF(B1492="","",IF(C1492&lt;&gt;"","REMOVE","KEEP"))</f>
        <v/>
      </c>
      <c r="E1492">
        <f>IF(D1492&lt;&gt;"KEEP","",IF(RIGHT(B1492,10)="@gmail.com","Gmail",IF(OR(RIGHT(B1492,12)="@outlook.com",RIGHT(B1492,12)="@hotmail.com",RIGHT(B1492,9)="@live.com"),"Outlook","Domain")))</f>
        <v/>
      </c>
      <c r="F1492">
        <f>IF(B1492="","",IFERROR(RIGHT(B1492,LEN(B1492)-FIND("@",B1492)),""))</f>
        <v/>
      </c>
      <c r="G1492">
        <f>IF(D1492="KEEP",COUNTIF($D$2:D1492,"KEEP"),"")</f>
        <v/>
      </c>
      <c r="H1492">
        <f>IF(D1492="REMOVE",COUNTIF($D$2:D1492,"REMOVE"),"")</f>
        <v/>
      </c>
      <c r="I1492">
        <f>IF(E1492="Gmail",COUNTIF($E$2:E1492,"Gmail"),"")</f>
        <v/>
      </c>
      <c r="J1492">
        <f>IF(E1492="Outlook",COUNTIF($E$2:E1492,"Outlook"),"")</f>
        <v/>
      </c>
      <c r="K1492">
        <f>IF(E1492="Domain",COUNTIF($E$2:E1492,"Domain"),"")</f>
        <v/>
      </c>
    </row>
    <row r="1493">
      <c r="A1493" s="2" t="n"/>
      <c r="B1493">
        <f>LOWER(TRIM(A1493))</f>
        <v/>
      </c>
      <c r="C1493">
        <f>IF(B1493="","",IFERROR(INDEX('Bad Patterns'!$A$2:$A$120,MATCH(1,INDEX(--ISNUMBER(SEARCH('Bad Patterns'!$A$2:$A$120,B1493)),0),0)),""))</f>
        <v/>
      </c>
      <c r="D1493">
        <f>IF(B1493="","",IF(C1493&lt;&gt;"","REMOVE","KEEP"))</f>
        <v/>
      </c>
      <c r="E1493">
        <f>IF(D1493&lt;&gt;"KEEP","",IF(RIGHT(B1493,10)="@gmail.com","Gmail",IF(OR(RIGHT(B1493,12)="@outlook.com",RIGHT(B1493,12)="@hotmail.com",RIGHT(B1493,9)="@live.com"),"Outlook","Domain")))</f>
        <v/>
      </c>
      <c r="F1493">
        <f>IF(B1493="","",IFERROR(RIGHT(B1493,LEN(B1493)-FIND("@",B1493)),""))</f>
        <v/>
      </c>
      <c r="G1493">
        <f>IF(D1493="KEEP",COUNTIF($D$2:D1493,"KEEP"),"")</f>
        <v/>
      </c>
      <c r="H1493">
        <f>IF(D1493="REMOVE",COUNTIF($D$2:D1493,"REMOVE"),"")</f>
        <v/>
      </c>
      <c r="I1493">
        <f>IF(E1493="Gmail",COUNTIF($E$2:E1493,"Gmail"),"")</f>
        <v/>
      </c>
      <c r="J1493">
        <f>IF(E1493="Outlook",COUNTIF($E$2:E1493,"Outlook"),"")</f>
        <v/>
      </c>
      <c r="K1493">
        <f>IF(E1493="Domain",COUNTIF($E$2:E1493,"Domain"),"")</f>
        <v/>
      </c>
    </row>
    <row r="1494">
      <c r="A1494" s="2" t="n"/>
      <c r="B1494">
        <f>LOWER(TRIM(A1494))</f>
        <v/>
      </c>
      <c r="C1494">
        <f>IF(B1494="","",IFERROR(INDEX('Bad Patterns'!$A$2:$A$120,MATCH(1,INDEX(--ISNUMBER(SEARCH('Bad Patterns'!$A$2:$A$120,B1494)),0),0)),""))</f>
        <v/>
      </c>
      <c r="D1494">
        <f>IF(B1494="","",IF(C1494&lt;&gt;"","REMOVE","KEEP"))</f>
        <v/>
      </c>
      <c r="E1494">
        <f>IF(D1494&lt;&gt;"KEEP","",IF(RIGHT(B1494,10)="@gmail.com","Gmail",IF(OR(RIGHT(B1494,12)="@outlook.com",RIGHT(B1494,12)="@hotmail.com",RIGHT(B1494,9)="@live.com"),"Outlook","Domain")))</f>
        <v/>
      </c>
      <c r="F1494">
        <f>IF(B1494="","",IFERROR(RIGHT(B1494,LEN(B1494)-FIND("@",B1494)),""))</f>
        <v/>
      </c>
      <c r="G1494">
        <f>IF(D1494="KEEP",COUNTIF($D$2:D1494,"KEEP"),"")</f>
        <v/>
      </c>
      <c r="H1494">
        <f>IF(D1494="REMOVE",COUNTIF($D$2:D1494,"REMOVE"),"")</f>
        <v/>
      </c>
      <c r="I1494">
        <f>IF(E1494="Gmail",COUNTIF($E$2:E1494,"Gmail"),"")</f>
        <v/>
      </c>
      <c r="J1494">
        <f>IF(E1494="Outlook",COUNTIF($E$2:E1494,"Outlook"),"")</f>
        <v/>
      </c>
      <c r="K1494">
        <f>IF(E1494="Domain",COUNTIF($E$2:E1494,"Domain"),"")</f>
        <v/>
      </c>
    </row>
    <row r="1495">
      <c r="A1495" s="2" t="n"/>
      <c r="B1495">
        <f>LOWER(TRIM(A1495))</f>
        <v/>
      </c>
      <c r="C1495">
        <f>IF(B1495="","",IFERROR(INDEX('Bad Patterns'!$A$2:$A$120,MATCH(1,INDEX(--ISNUMBER(SEARCH('Bad Patterns'!$A$2:$A$120,B1495)),0),0)),""))</f>
        <v/>
      </c>
      <c r="D1495">
        <f>IF(B1495="","",IF(C1495&lt;&gt;"","REMOVE","KEEP"))</f>
        <v/>
      </c>
      <c r="E1495">
        <f>IF(D1495&lt;&gt;"KEEP","",IF(RIGHT(B1495,10)="@gmail.com","Gmail",IF(OR(RIGHT(B1495,12)="@outlook.com",RIGHT(B1495,12)="@hotmail.com",RIGHT(B1495,9)="@live.com"),"Outlook","Domain")))</f>
        <v/>
      </c>
      <c r="F1495">
        <f>IF(B1495="","",IFERROR(RIGHT(B1495,LEN(B1495)-FIND("@",B1495)),""))</f>
        <v/>
      </c>
      <c r="G1495">
        <f>IF(D1495="KEEP",COUNTIF($D$2:D1495,"KEEP"),"")</f>
        <v/>
      </c>
      <c r="H1495">
        <f>IF(D1495="REMOVE",COUNTIF($D$2:D1495,"REMOVE"),"")</f>
        <v/>
      </c>
      <c r="I1495">
        <f>IF(E1495="Gmail",COUNTIF($E$2:E1495,"Gmail"),"")</f>
        <v/>
      </c>
      <c r="J1495">
        <f>IF(E1495="Outlook",COUNTIF($E$2:E1495,"Outlook"),"")</f>
        <v/>
      </c>
      <c r="K1495">
        <f>IF(E1495="Domain",COUNTIF($E$2:E1495,"Domain"),"")</f>
        <v/>
      </c>
    </row>
    <row r="1496">
      <c r="A1496" s="2" t="n"/>
      <c r="B1496">
        <f>LOWER(TRIM(A1496))</f>
        <v/>
      </c>
      <c r="C1496">
        <f>IF(B1496="","",IFERROR(INDEX('Bad Patterns'!$A$2:$A$120,MATCH(1,INDEX(--ISNUMBER(SEARCH('Bad Patterns'!$A$2:$A$120,B1496)),0),0)),""))</f>
        <v/>
      </c>
      <c r="D1496">
        <f>IF(B1496="","",IF(C1496&lt;&gt;"","REMOVE","KEEP"))</f>
        <v/>
      </c>
      <c r="E1496">
        <f>IF(D1496&lt;&gt;"KEEP","",IF(RIGHT(B1496,10)="@gmail.com","Gmail",IF(OR(RIGHT(B1496,12)="@outlook.com",RIGHT(B1496,12)="@hotmail.com",RIGHT(B1496,9)="@live.com"),"Outlook","Domain")))</f>
        <v/>
      </c>
      <c r="F1496">
        <f>IF(B1496="","",IFERROR(RIGHT(B1496,LEN(B1496)-FIND("@",B1496)),""))</f>
        <v/>
      </c>
      <c r="G1496">
        <f>IF(D1496="KEEP",COUNTIF($D$2:D1496,"KEEP"),"")</f>
        <v/>
      </c>
      <c r="H1496">
        <f>IF(D1496="REMOVE",COUNTIF($D$2:D1496,"REMOVE"),"")</f>
        <v/>
      </c>
      <c r="I1496">
        <f>IF(E1496="Gmail",COUNTIF($E$2:E1496,"Gmail"),"")</f>
        <v/>
      </c>
      <c r="J1496">
        <f>IF(E1496="Outlook",COUNTIF($E$2:E1496,"Outlook"),"")</f>
        <v/>
      </c>
      <c r="K1496">
        <f>IF(E1496="Domain",COUNTIF($E$2:E1496,"Domain"),"")</f>
        <v/>
      </c>
    </row>
    <row r="1497">
      <c r="A1497" s="2" t="n"/>
      <c r="B1497">
        <f>LOWER(TRIM(A1497))</f>
        <v/>
      </c>
      <c r="C1497">
        <f>IF(B1497="","",IFERROR(INDEX('Bad Patterns'!$A$2:$A$120,MATCH(1,INDEX(--ISNUMBER(SEARCH('Bad Patterns'!$A$2:$A$120,B1497)),0),0)),""))</f>
        <v/>
      </c>
      <c r="D1497">
        <f>IF(B1497="","",IF(C1497&lt;&gt;"","REMOVE","KEEP"))</f>
        <v/>
      </c>
      <c r="E1497">
        <f>IF(D1497&lt;&gt;"KEEP","",IF(RIGHT(B1497,10)="@gmail.com","Gmail",IF(OR(RIGHT(B1497,12)="@outlook.com",RIGHT(B1497,12)="@hotmail.com",RIGHT(B1497,9)="@live.com"),"Outlook","Domain")))</f>
        <v/>
      </c>
      <c r="F1497">
        <f>IF(B1497="","",IFERROR(RIGHT(B1497,LEN(B1497)-FIND("@",B1497)),""))</f>
        <v/>
      </c>
      <c r="G1497">
        <f>IF(D1497="KEEP",COUNTIF($D$2:D1497,"KEEP"),"")</f>
        <v/>
      </c>
      <c r="H1497">
        <f>IF(D1497="REMOVE",COUNTIF($D$2:D1497,"REMOVE"),"")</f>
        <v/>
      </c>
      <c r="I1497">
        <f>IF(E1497="Gmail",COUNTIF($E$2:E1497,"Gmail"),"")</f>
        <v/>
      </c>
      <c r="J1497">
        <f>IF(E1497="Outlook",COUNTIF($E$2:E1497,"Outlook"),"")</f>
        <v/>
      </c>
      <c r="K1497">
        <f>IF(E1497="Domain",COUNTIF($E$2:E1497,"Domain"),"")</f>
        <v/>
      </c>
    </row>
    <row r="1498">
      <c r="A1498" s="2" t="n"/>
      <c r="B1498">
        <f>LOWER(TRIM(A1498))</f>
        <v/>
      </c>
      <c r="C1498">
        <f>IF(B1498="","",IFERROR(INDEX('Bad Patterns'!$A$2:$A$120,MATCH(1,INDEX(--ISNUMBER(SEARCH('Bad Patterns'!$A$2:$A$120,B1498)),0),0)),""))</f>
        <v/>
      </c>
      <c r="D1498">
        <f>IF(B1498="","",IF(C1498&lt;&gt;"","REMOVE","KEEP"))</f>
        <v/>
      </c>
      <c r="E1498">
        <f>IF(D1498&lt;&gt;"KEEP","",IF(RIGHT(B1498,10)="@gmail.com","Gmail",IF(OR(RIGHT(B1498,12)="@outlook.com",RIGHT(B1498,12)="@hotmail.com",RIGHT(B1498,9)="@live.com"),"Outlook","Domain")))</f>
        <v/>
      </c>
      <c r="F1498">
        <f>IF(B1498="","",IFERROR(RIGHT(B1498,LEN(B1498)-FIND("@",B1498)),""))</f>
        <v/>
      </c>
      <c r="G1498">
        <f>IF(D1498="KEEP",COUNTIF($D$2:D1498,"KEEP"),"")</f>
        <v/>
      </c>
      <c r="H1498">
        <f>IF(D1498="REMOVE",COUNTIF($D$2:D1498,"REMOVE"),"")</f>
        <v/>
      </c>
      <c r="I1498">
        <f>IF(E1498="Gmail",COUNTIF($E$2:E1498,"Gmail"),"")</f>
        <v/>
      </c>
      <c r="J1498">
        <f>IF(E1498="Outlook",COUNTIF($E$2:E1498,"Outlook"),"")</f>
        <v/>
      </c>
      <c r="K1498">
        <f>IF(E1498="Domain",COUNTIF($E$2:E1498,"Domain"),"")</f>
        <v/>
      </c>
    </row>
    <row r="1499">
      <c r="A1499" s="2" t="n"/>
      <c r="B1499">
        <f>LOWER(TRIM(A1499))</f>
        <v/>
      </c>
      <c r="C1499">
        <f>IF(B1499="","",IFERROR(INDEX('Bad Patterns'!$A$2:$A$120,MATCH(1,INDEX(--ISNUMBER(SEARCH('Bad Patterns'!$A$2:$A$120,B1499)),0),0)),""))</f>
        <v/>
      </c>
      <c r="D1499">
        <f>IF(B1499="","",IF(C1499&lt;&gt;"","REMOVE","KEEP"))</f>
        <v/>
      </c>
      <c r="E1499">
        <f>IF(D1499&lt;&gt;"KEEP","",IF(RIGHT(B1499,10)="@gmail.com","Gmail",IF(OR(RIGHT(B1499,12)="@outlook.com",RIGHT(B1499,12)="@hotmail.com",RIGHT(B1499,9)="@live.com"),"Outlook","Domain")))</f>
        <v/>
      </c>
      <c r="F1499">
        <f>IF(B1499="","",IFERROR(RIGHT(B1499,LEN(B1499)-FIND("@",B1499)),""))</f>
        <v/>
      </c>
      <c r="G1499">
        <f>IF(D1499="KEEP",COUNTIF($D$2:D1499,"KEEP"),"")</f>
        <v/>
      </c>
      <c r="H1499">
        <f>IF(D1499="REMOVE",COUNTIF($D$2:D1499,"REMOVE"),"")</f>
        <v/>
      </c>
      <c r="I1499">
        <f>IF(E1499="Gmail",COUNTIF($E$2:E1499,"Gmail"),"")</f>
        <v/>
      </c>
      <c r="J1499">
        <f>IF(E1499="Outlook",COUNTIF($E$2:E1499,"Outlook"),"")</f>
        <v/>
      </c>
      <c r="K1499">
        <f>IF(E1499="Domain",COUNTIF($E$2:E1499,"Domain"),"")</f>
        <v/>
      </c>
    </row>
    <row r="1500">
      <c r="A1500" s="2" t="n"/>
      <c r="B1500">
        <f>LOWER(TRIM(A1500))</f>
        <v/>
      </c>
      <c r="C1500">
        <f>IF(B1500="","",IFERROR(INDEX('Bad Patterns'!$A$2:$A$120,MATCH(1,INDEX(--ISNUMBER(SEARCH('Bad Patterns'!$A$2:$A$120,B1500)),0),0)),""))</f>
        <v/>
      </c>
      <c r="D1500">
        <f>IF(B1500="","",IF(C1500&lt;&gt;"","REMOVE","KEEP"))</f>
        <v/>
      </c>
      <c r="E1500">
        <f>IF(D1500&lt;&gt;"KEEP","",IF(RIGHT(B1500,10)="@gmail.com","Gmail",IF(OR(RIGHT(B1500,12)="@outlook.com",RIGHT(B1500,12)="@hotmail.com",RIGHT(B1500,9)="@live.com"),"Outlook","Domain")))</f>
        <v/>
      </c>
      <c r="F1500">
        <f>IF(B1500="","",IFERROR(RIGHT(B1500,LEN(B1500)-FIND("@",B1500)),""))</f>
        <v/>
      </c>
      <c r="G1500">
        <f>IF(D1500="KEEP",COUNTIF($D$2:D1500,"KEEP"),"")</f>
        <v/>
      </c>
      <c r="H1500">
        <f>IF(D1500="REMOVE",COUNTIF($D$2:D1500,"REMOVE"),"")</f>
        <v/>
      </c>
      <c r="I1500">
        <f>IF(E1500="Gmail",COUNTIF($E$2:E1500,"Gmail"),"")</f>
        <v/>
      </c>
      <c r="J1500">
        <f>IF(E1500="Outlook",COUNTIF($E$2:E1500,"Outlook"),"")</f>
        <v/>
      </c>
      <c r="K1500">
        <f>IF(E1500="Domain",COUNTIF($E$2:E1500,"Domain"),"")</f>
        <v/>
      </c>
    </row>
    <row r="1501">
      <c r="A1501" s="2" t="n"/>
      <c r="B1501">
        <f>LOWER(TRIM(A1501))</f>
        <v/>
      </c>
      <c r="C1501">
        <f>IF(B1501="","",IFERROR(INDEX('Bad Patterns'!$A$2:$A$120,MATCH(1,INDEX(--ISNUMBER(SEARCH('Bad Patterns'!$A$2:$A$120,B1501)),0),0)),""))</f>
        <v/>
      </c>
      <c r="D1501">
        <f>IF(B1501="","",IF(C1501&lt;&gt;"","REMOVE","KEEP"))</f>
        <v/>
      </c>
      <c r="E1501">
        <f>IF(D1501&lt;&gt;"KEEP","",IF(RIGHT(B1501,10)="@gmail.com","Gmail",IF(OR(RIGHT(B1501,12)="@outlook.com",RIGHT(B1501,12)="@hotmail.com",RIGHT(B1501,9)="@live.com"),"Outlook","Domain")))</f>
        <v/>
      </c>
      <c r="F1501">
        <f>IF(B1501="","",IFERROR(RIGHT(B1501,LEN(B1501)-FIND("@",B1501)),""))</f>
        <v/>
      </c>
      <c r="G1501">
        <f>IF(D1501="KEEP",COUNTIF($D$2:D1501,"KEEP"),"")</f>
        <v/>
      </c>
      <c r="H1501">
        <f>IF(D1501="REMOVE",COUNTIF($D$2:D1501,"REMOVE"),"")</f>
        <v/>
      </c>
      <c r="I1501">
        <f>IF(E1501="Gmail",COUNTIF($E$2:E1501,"Gmail"),"")</f>
        <v/>
      </c>
      <c r="J1501">
        <f>IF(E1501="Outlook",COUNTIF($E$2:E1501,"Outlook"),"")</f>
        <v/>
      </c>
      <c r="K1501">
        <f>IF(E1501="Domain",COUNTIF($E$2:E1501,"Domain"),"")</f>
        <v/>
      </c>
    </row>
    <row r="1502">
      <c r="A1502" s="2" t="n"/>
      <c r="B1502">
        <f>LOWER(TRIM(A1502))</f>
        <v/>
      </c>
      <c r="C1502">
        <f>IF(B1502="","",IFERROR(INDEX('Bad Patterns'!$A$2:$A$120,MATCH(1,INDEX(--ISNUMBER(SEARCH('Bad Patterns'!$A$2:$A$120,B1502)),0),0)),""))</f>
        <v/>
      </c>
      <c r="D1502">
        <f>IF(B1502="","",IF(C1502&lt;&gt;"","REMOVE","KEEP"))</f>
        <v/>
      </c>
      <c r="E1502">
        <f>IF(D1502&lt;&gt;"KEEP","",IF(RIGHT(B1502,10)="@gmail.com","Gmail",IF(OR(RIGHT(B1502,12)="@outlook.com",RIGHT(B1502,12)="@hotmail.com",RIGHT(B1502,9)="@live.com"),"Outlook","Domain")))</f>
        <v/>
      </c>
      <c r="F1502">
        <f>IF(B1502="","",IFERROR(RIGHT(B1502,LEN(B1502)-FIND("@",B1502)),""))</f>
        <v/>
      </c>
      <c r="G1502">
        <f>IF(D1502="KEEP",COUNTIF($D$2:D1502,"KEEP"),"")</f>
        <v/>
      </c>
      <c r="H1502">
        <f>IF(D1502="REMOVE",COUNTIF($D$2:D1502,"REMOVE"),"")</f>
        <v/>
      </c>
      <c r="I1502">
        <f>IF(E1502="Gmail",COUNTIF($E$2:E1502,"Gmail"),"")</f>
        <v/>
      </c>
      <c r="J1502">
        <f>IF(E1502="Outlook",COUNTIF($E$2:E1502,"Outlook"),"")</f>
        <v/>
      </c>
      <c r="K1502">
        <f>IF(E1502="Domain",COUNTIF($E$2:E1502,"Domain"),"")</f>
        <v/>
      </c>
    </row>
    <row r="1503">
      <c r="A1503" s="2" t="n"/>
      <c r="B1503">
        <f>LOWER(TRIM(A1503))</f>
        <v/>
      </c>
      <c r="C1503">
        <f>IF(B1503="","",IFERROR(INDEX('Bad Patterns'!$A$2:$A$120,MATCH(1,INDEX(--ISNUMBER(SEARCH('Bad Patterns'!$A$2:$A$120,B1503)),0),0)),""))</f>
        <v/>
      </c>
      <c r="D1503">
        <f>IF(B1503="","",IF(C1503&lt;&gt;"","REMOVE","KEEP"))</f>
        <v/>
      </c>
      <c r="E1503">
        <f>IF(D1503&lt;&gt;"KEEP","",IF(RIGHT(B1503,10)="@gmail.com","Gmail",IF(OR(RIGHT(B1503,12)="@outlook.com",RIGHT(B1503,12)="@hotmail.com",RIGHT(B1503,9)="@live.com"),"Outlook","Domain")))</f>
        <v/>
      </c>
      <c r="F1503">
        <f>IF(B1503="","",IFERROR(RIGHT(B1503,LEN(B1503)-FIND("@",B1503)),""))</f>
        <v/>
      </c>
      <c r="G1503">
        <f>IF(D1503="KEEP",COUNTIF($D$2:D1503,"KEEP"),"")</f>
        <v/>
      </c>
      <c r="H1503">
        <f>IF(D1503="REMOVE",COUNTIF($D$2:D1503,"REMOVE"),"")</f>
        <v/>
      </c>
      <c r="I1503">
        <f>IF(E1503="Gmail",COUNTIF($E$2:E1503,"Gmail"),"")</f>
        <v/>
      </c>
      <c r="J1503">
        <f>IF(E1503="Outlook",COUNTIF($E$2:E1503,"Outlook"),"")</f>
        <v/>
      </c>
      <c r="K1503">
        <f>IF(E1503="Domain",COUNTIF($E$2:E1503,"Domain"),"")</f>
        <v/>
      </c>
    </row>
    <row r="1504">
      <c r="A1504" s="2" t="n"/>
      <c r="B1504">
        <f>LOWER(TRIM(A1504))</f>
        <v/>
      </c>
      <c r="C1504">
        <f>IF(B1504="","",IFERROR(INDEX('Bad Patterns'!$A$2:$A$120,MATCH(1,INDEX(--ISNUMBER(SEARCH('Bad Patterns'!$A$2:$A$120,B1504)),0),0)),""))</f>
        <v/>
      </c>
      <c r="D1504">
        <f>IF(B1504="","",IF(C1504&lt;&gt;"","REMOVE","KEEP"))</f>
        <v/>
      </c>
      <c r="E1504">
        <f>IF(D1504&lt;&gt;"KEEP","",IF(RIGHT(B1504,10)="@gmail.com","Gmail",IF(OR(RIGHT(B1504,12)="@outlook.com",RIGHT(B1504,12)="@hotmail.com",RIGHT(B1504,9)="@live.com"),"Outlook","Domain")))</f>
        <v/>
      </c>
      <c r="F1504">
        <f>IF(B1504="","",IFERROR(RIGHT(B1504,LEN(B1504)-FIND("@",B1504)),""))</f>
        <v/>
      </c>
      <c r="G1504">
        <f>IF(D1504="KEEP",COUNTIF($D$2:D1504,"KEEP"),"")</f>
        <v/>
      </c>
      <c r="H1504">
        <f>IF(D1504="REMOVE",COUNTIF($D$2:D1504,"REMOVE"),"")</f>
        <v/>
      </c>
      <c r="I1504">
        <f>IF(E1504="Gmail",COUNTIF($E$2:E1504,"Gmail"),"")</f>
        <v/>
      </c>
      <c r="J1504">
        <f>IF(E1504="Outlook",COUNTIF($E$2:E1504,"Outlook"),"")</f>
        <v/>
      </c>
      <c r="K1504">
        <f>IF(E1504="Domain",COUNTIF($E$2:E1504,"Domain"),"")</f>
        <v/>
      </c>
    </row>
    <row r="1505">
      <c r="A1505" s="2" t="n"/>
      <c r="B1505">
        <f>LOWER(TRIM(A1505))</f>
        <v/>
      </c>
      <c r="C1505">
        <f>IF(B1505="","",IFERROR(INDEX('Bad Patterns'!$A$2:$A$120,MATCH(1,INDEX(--ISNUMBER(SEARCH('Bad Patterns'!$A$2:$A$120,B1505)),0),0)),""))</f>
        <v/>
      </c>
      <c r="D1505">
        <f>IF(B1505="","",IF(C1505&lt;&gt;"","REMOVE","KEEP"))</f>
        <v/>
      </c>
      <c r="E1505">
        <f>IF(D1505&lt;&gt;"KEEP","",IF(RIGHT(B1505,10)="@gmail.com","Gmail",IF(OR(RIGHT(B1505,12)="@outlook.com",RIGHT(B1505,12)="@hotmail.com",RIGHT(B1505,9)="@live.com"),"Outlook","Domain")))</f>
        <v/>
      </c>
      <c r="F1505">
        <f>IF(B1505="","",IFERROR(RIGHT(B1505,LEN(B1505)-FIND("@",B1505)),""))</f>
        <v/>
      </c>
      <c r="G1505">
        <f>IF(D1505="KEEP",COUNTIF($D$2:D1505,"KEEP"),"")</f>
        <v/>
      </c>
      <c r="H1505">
        <f>IF(D1505="REMOVE",COUNTIF($D$2:D1505,"REMOVE"),"")</f>
        <v/>
      </c>
      <c r="I1505">
        <f>IF(E1505="Gmail",COUNTIF($E$2:E1505,"Gmail"),"")</f>
        <v/>
      </c>
      <c r="J1505">
        <f>IF(E1505="Outlook",COUNTIF($E$2:E1505,"Outlook"),"")</f>
        <v/>
      </c>
      <c r="K1505">
        <f>IF(E1505="Domain",COUNTIF($E$2:E1505,"Domain"),"")</f>
        <v/>
      </c>
    </row>
    <row r="1506">
      <c r="A1506" s="2" t="n"/>
      <c r="B1506">
        <f>LOWER(TRIM(A1506))</f>
        <v/>
      </c>
      <c r="C1506">
        <f>IF(B1506="","",IFERROR(INDEX('Bad Patterns'!$A$2:$A$120,MATCH(1,INDEX(--ISNUMBER(SEARCH('Bad Patterns'!$A$2:$A$120,B1506)),0),0)),""))</f>
        <v/>
      </c>
      <c r="D1506">
        <f>IF(B1506="","",IF(C1506&lt;&gt;"","REMOVE","KEEP"))</f>
        <v/>
      </c>
      <c r="E1506">
        <f>IF(D1506&lt;&gt;"KEEP","",IF(RIGHT(B1506,10)="@gmail.com","Gmail",IF(OR(RIGHT(B1506,12)="@outlook.com",RIGHT(B1506,12)="@hotmail.com",RIGHT(B1506,9)="@live.com"),"Outlook","Domain")))</f>
        <v/>
      </c>
      <c r="F1506">
        <f>IF(B1506="","",IFERROR(RIGHT(B1506,LEN(B1506)-FIND("@",B1506)),""))</f>
        <v/>
      </c>
      <c r="G1506">
        <f>IF(D1506="KEEP",COUNTIF($D$2:D1506,"KEEP"),"")</f>
        <v/>
      </c>
      <c r="H1506">
        <f>IF(D1506="REMOVE",COUNTIF($D$2:D1506,"REMOVE"),"")</f>
        <v/>
      </c>
      <c r="I1506">
        <f>IF(E1506="Gmail",COUNTIF($E$2:E1506,"Gmail"),"")</f>
        <v/>
      </c>
      <c r="J1506">
        <f>IF(E1506="Outlook",COUNTIF($E$2:E1506,"Outlook"),"")</f>
        <v/>
      </c>
      <c r="K1506">
        <f>IF(E1506="Domain",COUNTIF($E$2:E1506,"Domain"),"")</f>
        <v/>
      </c>
    </row>
    <row r="1507">
      <c r="A1507" s="2" t="n"/>
      <c r="B1507">
        <f>LOWER(TRIM(A1507))</f>
        <v/>
      </c>
      <c r="C1507">
        <f>IF(B1507="","",IFERROR(INDEX('Bad Patterns'!$A$2:$A$120,MATCH(1,INDEX(--ISNUMBER(SEARCH('Bad Patterns'!$A$2:$A$120,B1507)),0),0)),""))</f>
        <v/>
      </c>
      <c r="D1507">
        <f>IF(B1507="","",IF(C1507&lt;&gt;"","REMOVE","KEEP"))</f>
        <v/>
      </c>
      <c r="E1507">
        <f>IF(D1507&lt;&gt;"KEEP","",IF(RIGHT(B1507,10)="@gmail.com","Gmail",IF(OR(RIGHT(B1507,12)="@outlook.com",RIGHT(B1507,12)="@hotmail.com",RIGHT(B1507,9)="@live.com"),"Outlook","Domain")))</f>
        <v/>
      </c>
      <c r="F1507">
        <f>IF(B1507="","",IFERROR(RIGHT(B1507,LEN(B1507)-FIND("@",B1507)),""))</f>
        <v/>
      </c>
      <c r="G1507">
        <f>IF(D1507="KEEP",COUNTIF($D$2:D1507,"KEEP"),"")</f>
        <v/>
      </c>
      <c r="H1507">
        <f>IF(D1507="REMOVE",COUNTIF($D$2:D1507,"REMOVE"),"")</f>
        <v/>
      </c>
      <c r="I1507">
        <f>IF(E1507="Gmail",COUNTIF($E$2:E1507,"Gmail"),"")</f>
        <v/>
      </c>
      <c r="J1507">
        <f>IF(E1507="Outlook",COUNTIF($E$2:E1507,"Outlook"),"")</f>
        <v/>
      </c>
      <c r="K1507">
        <f>IF(E1507="Domain",COUNTIF($E$2:E1507,"Domain"),"")</f>
        <v/>
      </c>
    </row>
    <row r="1508">
      <c r="A1508" s="2" t="n"/>
      <c r="B1508">
        <f>LOWER(TRIM(A1508))</f>
        <v/>
      </c>
      <c r="C1508">
        <f>IF(B1508="","",IFERROR(INDEX('Bad Patterns'!$A$2:$A$120,MATCH(1,INDEX(--ISNUMBER(SEARCH('Bad Patterns'!$A$2:$A$120,B1508)),0),0)),""))</f>
        <v/>
      </c>
      <c r="D1508">
        <f>IF(B1508="","",IF(C1508&lt;&gt;"","REMOVE","KEEP"))</f>
        <v/>
      </c>
      <c r="E1508">
        <f>IF(D1508&lt;&gt;"KEEP","",IF(RIGHT(B1508,10)="@gmail.com","Gmail",IF(OR(RIGHT(B1508,12)="@outlook.com",RIGHT(B1508,12)="@hotmail.com",RIGHT(B1508,9)="@live.com"),"Outlook","Domain")))</f>
        <v/>
      </c>
      <c r="F1508">
        <f>IF(B1508="","",IFERROR(RIGHT(B1508,LEN(B1508)-FIND("@",B1508)),""))</f>
        <v/>
      </c>
      <c r="G1508">
        <f>IF(D1508="KEEP",COUNTIF($D$2:D1508,"KEEP"),"")</f>
        <v/>
      </c>
      <c r="H1508">
        <f>IF(D1508="REMOVE",COUNTIF($D$2:D1508,"REMOVE"),"")</f>
        <v/>
      </c>
      <c r="I1508">
        <f>IF(E1508="Gmail",COUNTIF($E$2:E1508,"Gmail"),"")</f>
        <v/>
      </c>
      <c r="J1508">
        <f>IF(E1508="Outlook",COUNTIF($E$2:E1508,"Outlook"),"")</f>
        <v/>
      </c>
      <c r="K1508">
        <f>IF(E1508="Domain",COUNTIF($E$2:E1508,"Domain"),"")</f>
        <v/>
      </c>
    </row>
    <row r="1509">
      <c r="A1509" s="2" t="n"/>
      <c r="B1509">
        <f>LOWER(TRIM(A1509))</f>
        <v/>
      </c>
      <c r="C1509">
        <f>IF(B1509="","",IFERROR(INDEX('Bad Patterns'!$A$2:$A$120,MATCH(1,INDEX(--ISNUMBER(SEARCH('Bad Patterns'!$A$2:$A$120,B1509)),0),0)),""))</f>
        <v/>
      </c>
      <c r="D1509">
        <f>IF(B1509="","",IF(C1509&lt;&gt;"","REMOVE","KEEP"))</f>
        <v/>
      </c>
      <c r="E1509">
        <f>IF(D1509&lt;&gt;"KEEP","",IF(RIGHT(B1509,10)="@gmail.com","Gmail",IF(OR(RIGHT(B1509,12)="@outlook.com",RIGHT(B1509,12)="@hotmail.com",RIGHT(B1509,9)="@live.com"),"Outlook","Domain")))</f>
        <v/>
      </c>
      <c r="F1509">
        <f>IF(B1509="","",IFERROR(RIGHT(B1509,LEN(B1509)-FIND("@",B1509)),""))</f>
        <v/>
      </c>
      <c r="G1509">
        <f>IF(D1509="KEEP",COUNTIF($D$2:D1509,"KEEP"),"")</f>
        <v/>
      </c>
      <c r="H1509">
        <f>IF(D1509="REMOVE",COUNTIF($D$2:D1509,"REMOVE"),"")</f>
        <v/>
      </c>
      <c r="I1509">
        <f>IF(E1509="Gmail",COUNTIF($E$2:E1509,"Gmail"),"")</f>
        <v/>
      </c>
      <c r="J1509">
        <f>IF(E1509="Outlook",COUNTIF($E$2:E1509,"Outlook"),"")</f>
        <v/>
      </c>
      <c r="K1509">
        <f>IF(E1509="Domain",COUNTIF($E$2:E1509,"Domain"),"")</f>
        <v/>
      </c>
    </row>
    <row r="1510">
      <c r="A1510" s="2" t="n"/>
      <c r="B1510">
        <f>LOWER(TRIM(A1510))</f>
        <v/>
      </c>
      <c r="C1510">
        <f>IF(B1510="","",IFERROR(INDEX('Bad Patterns'!$A$2:$A$120,MATCH(1,INDEX(--ISNUMBER(SEARCH('Bad Patterns'!$A$2:$A$120,B1510)),0),0)),""))</f>
        <v/>
      </c>
      <c r="D1510">
        <f>IF(B1510="","",IF(C1510&lt;&gt;"","REMOVE","KEEP"))</f>
        <v/>
      </c>
      <c r="E1510">
        <f>IF(D1510&lt;&gt;"KEEP","",IF(RIGHT(B1510,10)="@gmail.com","Gmail",IF(OR(RIGHT(B1510,12)="@outlook.com",RIGHT(B1510,12)="@hotmail.com",RIGHT(B1510,9)="@live.com"),"Outlook","Domain")))</f>
        <v/>
      </c>
      <c r="F1510">
        <f>IF(B1510="","",IFERROR(RIGHT(B1510,LEN(B1510)-FIND("@",B1510)),""))</f>
        <v/>
      </c>
      <c r="G1510">
        <f>IF(D1510="KEEP",COUNTIF($D$2:D1510,"KEEP"),"")</f>
        <v/>
      </c>
      <c r="H1510">
        <f>IF(D1510="REMOVE",COUNTIF($D$2:D1510,"REMOVE"),"")</f>
        <v/>
      </c>
      <c r="I1510">
        <f>IF(E1510="Gmail",COUNTIF($E$2:E1510,"Gmail"),"")</f>
        <v/>
      </c>
      <c r="J1510">
        <f>IF(E1510="Outlook",COUNTIF($E$2:E1510,"Outlook"),"")</f>
        <v/>
      </c>
      <c r="K1510">
        <f>IF(E1510="Domain",COUNTIF($E$2:E1510,"Domain"),"")</f>
        <v/>
      </c>
    </row>
    <row r="1511">
      <c r="A1511" s="2" t="n"/>
      <c r="B1511">
        <f>LOWER(TRIM(A1511))</f>
        <v/>
      </c>
      <c r="C1511">
        <f>IF(B1511="","",IFERROR(INDEX('Bad Patterns'!$A$2:$A$120,MATCH(1,INDEX(--ISNUMBER(SEARCH('Bad Patterns'!$A$2:$A$120,B1511)),0),0)),""))</f>
        <v/>
      </c>
      <c r="D1511">
        <f>IF(B1511="","",IF(C1511&lt;&gt;"","REMOVE","KEEP"))</f>
        <v/>
      </c>
      <c r="E1511">
        <f>IF(D1511&lt;&gt;"KEEP","",IF(RIGHT(B1511,10)="@gmail.com","Gmail",IF(OR(RIGHT(B1511,12)="@outlook.com",RIGHT(B1511,12)="@hotmail.com",RIGHT(B1511,9)="@live.com"),"Outlook","Domain")))</f>
        <v/>
      </c>
      <c r="F1511">
        <f>IF(B1511="","",IFERROR(RIGHT(B1511,LEN(B1511)-FIND("@",B1511)),""))</f>
        <v/>
      </c>
      <c r="G1511">
        <f>IF(D1511="KEEP",COUNTIF($D$2:D1511,"KEEP"),"")</f>
        <v/>
      </c>
      <c r="H1511">
        <f>IF(D1511="REMOVE",COUNTIF($D$2:D1511,"REMOVE"),"")</f>
        <v/>
      </c>
      <c r="I1511">
        <f>IF(E1511="Gmail",COUNTIF($E$2:E1511,"Gmail"),"")</f>
        <v/>
      </c>
      <c r="J1511">
        <f>IF(E1511="Outlook",COUNTIF($E$2:E1511,"Outlook"),"")</f>
        <v/>
      </c>
      <c r="K1511">
        <f>IF(E1511="Domain",COUNTIF($E$2:E1511,"Domain"),"")</f>
        <v/>
      </c>
    </row>
    <row r="1512">
      <c r="A1512" s="2" t="n"/>
      <c r="B1512">
        <f>LOWER(TRIM(A1512))</f>
        <v/>
      </c>
      <c r="C1512">
        <f>IF(B1512="","",IFERROR(INDEX('Bad Patterns'!$A$2:$A$120,MATCH(1,INDEX(--ISNUMBER(SEARCH('Bad Patterns'!$A$2:$A$120,B1512)),0),0)),""))</f>
        <v/>
      </c>
      <c r="D1512">
        <f>IF(B1512="","",IF(C1512&lt;&gt;"","REMOVE","KEEP"))</f>
        <v/>
      </c>
      <c r="E1512">
        <f>IF(D1512&lt;&gt;"KEEP","",IF(RIGHT(B1512,10)="@gmail.com","Gmail",IF(OR(RIGHT(B1512,12)="@outlook.com",RIGHT(B1512,12)="@hotmail.com",RIGHT(B1512,9)="@live.com"),"Outlook","Domain")))</f>
        <v/>
      </c>
      <c r="F1512">
        <f>IF(B1512="","",IFERROR(RIGHT(B1512,LEN(B1512)-FIND("@",B1512)),""))</f>
        <v/>
      </c>
      <c r="G1512">
        <f>IF(D1512="KEEP",COUNTIF($D$2:D1512,"KEEP"),"")</f>
        <v/>
      </c>
      <c r="H1512">
        <f>IF(D1512="REMOVE",COUNTIF($D$2:D1512,"REMOVE"),"")</f>
        <v/>
      </c>
      <c r="I1512">
        <f>IF(E1512="Gmail",COUNTIF($E$2:E1512,"Gmail"),"")</f>
        <v/>
      </c>
      <c r="J1512">
        <f>IF(E1512="Outlook",COUNTIF($E$2:E1512,"Outlook"),"")</f>
        <v/>
      </c>
      <c r="K1512">
        <f>IF(E1512="Domain",COUNTIF($E$2:E1512,"Domain"),"")</f>
        <v/>
      </c>
    </row>
    <row r="1513">
      <c r="A1513" s="2" t="n"/>
      <c r="B1513">
        <f>LOWER(TRIM(A1513))</f>
        <v/>
      </c>
      <c r="C1513">
        <f>IF(B1513="","",IFERROR(INDEX('Bad Patterns'!$A$2:$A$120,MATCH(1,INDEX(--ISNUMBER(SEARCH('Bad Patterns'!$A$2:$A$120,B1513)),0),0)),""))</f>
        <v/>
      </c>
      <c r="D1513">
        <f>IF(B1513="","",IF(C1513&lt;&gt;"","REMOVE","KEEP"))</f>
        <v/>
      </c>
      <c r="E1513">
        <f>IF(D1513&lt;&gt;"KEEP","",IF(RIGHT(B1513,10)="@gmail.com","Gmail",IF(OR(RIGHT(B1513,12)="@outlook.com",RIGHT(B1513,12)="@hotmail.com",RIGHT(B1513,9)="@live.com"),"Outlook","Domain")))</f>
        <v/>
      </c>
      <c r="F1513">
        <f>IF(B1513="","",IFERROR(RIGHT(B1513,LEN(B1513)-FIND("@",B1513)),""))</f>
        <v/>
      </c>
      <c r="G1513">
        <f>IF(D1513="KEEP",COUNTIF($D$2:D1513,"KEEP"),"")</f>
        <v/>
      </c>
      <c r="H1513">
        <f>IF(D1513="REMOVE",COUNTIF($D$2:D1513,"REMOVE"),"")</f>
        <v/>
      </c>
      <c r="I1513">
        <f>IF(E1513="Gmail",COUNTIF($E$2:E1513,"Gmail"),"")</f>
        <v/>
      </c>
      <c r="J1513">
        <f>IF(E1513="Outlook",COUNTIF($E$2:E1513,"Outlook"),"")</f>
        <v/>
      </c>
      <c r="K1513">
        <f>IF(E1513="Domain",COUNTIF($E$2:E1513,"Domain"),"")</f>
        <v/>
      </c>
    </row>
    <row r="1514">
      <c r="A1514" s="2" t="n"/>
      <c r="B1514">
        <f>LOWER(TRIM(A1514))</f>
        <v/>
      </c>
      <c r="C1514">
        <f>IF(B1514="","",IFERROR(INDEX('Bad Patterns'!$A$2:$A$120,MATCH(1,INDEX(--ISNUMBER(SEARCH('Bad Patterns'!$A$2:$A$120,B1514)),0),0)),""))</f>
        <v/>
      </c>
      <c r="D1514">
        <f>IF(B1514="","",IF(C1514&lt;&gt;"","REMOVE","KEEP"))</f>
        <v/>
      </c>
      <c r="E1514">
        <f>IF(D1514&lt;&gt;"KEEP","",IF(RIGHT(B1514,10)="@gmail.com","Gmail",IF(OR(RIGHT(B1514,12)="@outlook.com",RIGHT(B1514,12)="@hotmail.com",RIGHT(B1514,9)="@live.com"),"Outlook","Domain")))</f>
        <v/>
      </c>
      <c r="F1514">
        <f>IF(B1514="","",IFERROR(RIGHT(B1514,LEN(B1514)-FIND("@",B1514)),""))</f>
        <v/>
      </c>
      <c r="G1514">
        <f>IF(D1514="KEEP",COUNTIF($D$2:D1514,"KEEP"),"")</f>
        <v/>
      </c>
      <c r="H1514">
        <f>IF(D1514="REMOVE",COUNTIF($D$2:D1514,"REMOVE"),"")</f>
        <v/>
      </c>
      <c r="I1514">
        <f>IF(E1514="Gmail",COUNTIF($E$2:E1514,"Gmail"),"")</f>
        <v/>
      </c>
      <c r="J1514">
        <f>IF(E1514="Outlook",COUNTIF($E$2:E1514,"Outlook"),"")</f>
        <v/>
      </c>
      <c r="K1514">
        <f>IF(E1514="Domain",COUNTIF($E$2:E1514,"Domain"),"")</f>
        <v/>
      </c>
    </row>
    <row r="1515">
      <c r="A1515" s="2" t="n"/>
      <c r="B1515">
        <f>LOWER(TRIM(A1515))</f>
        <v/>
      </c>
      <c r="C1515">
        <f>IF(B1515="","",IFERROR(INDEX('Bad Patterns'!$A$2:$A$120,MATCH(1,INDEX(--ISNUMBER(SEARCH('Bad Patterns'!$A$2:$A$120,B1515)),0),0)),""))</f>
        <v/>
      </c>
      <c r="D1515">
        <f>IF(B1515="","",IF(C1515&lt;&gt;"","REMOVE","KEEP"))</f>
        <v/>
      </c>
      <c r="E1515">
        <f>IF(D1515&lt;&gt;"KEEP","",IF(RIGHT(B1515,10)="@gmail.com","Gmail",IF(OR(RIGHT(B1515,12)="@outlook.com",RIGHT(B1515,12)="@hotmail.com",RIGHT(B1515,9)="@live.com"),"Outlook","Domain")))</f>
        <v/>
      </c>
      <c r="F1515">
        <f>IF(B1515="","",IFERROR(RIGHT(B1515,LEN(B1515)-FIND("@",B1515)),""))</f>
        <v/>
      </c>
      <c r="G1515">
        <f>IF(D1515="KEEP",COUNTIF($D$2:D1515,"KEEP"),"")</f>
        <v/>
      </c>
      <c r="H1515">
        <f>IF(D1515="REMOVE",COUNTIF($D$2:D1515,"REMOVE"),"")</f>
        <v/>
      </c>
      <c r="I1515">
        <f>IF(E1515="Gmail",COUNTIF($E$2:E1515,"Gmail"),"")</f>
        <v/>
      </c>
      <c r="J1515">
        <f>IF(E1515="Outlook",COUNTIF($E$2:E1515,"Outlook"),"")</f>
        <v/>
      </c>
      <c r="K1515">
        <f>IF(E1515="Domain",COUNTIF($E$2:E1515,"Domain"),"")</f>
        <v/>
      </c>
    </row>
    <row r="1516">
      <c r="A1516" s="2" t="n"/>
      <c r="B1516">
        <f>LOWER(TRIM(A1516))</f>
        <v/>
      </c>
      <c r="C1516">
        <f>IF(B1516="","",IFERROR(INDEX('Bad Patterns'!$A$2:$A$120,MATCH(1,INDEX(--ISNUMBER(SEARCH('Bad Patterns'!$A$2:$A$120,B1516)),0),0)),""))</f>
        <v/>
      </c>
      <c r="D1516">
        <f>IF(B1516="","",IF(C1516&lt;&gt;"","REMOVE","KEEP"))</f>
        <v/>
      </c>
      <c r="E1516">
        <f>IF(D1516&lt;&gt;"KEEP","",IF(RIGHT(B1516,10)="@gmail.com","Gmail",IF(OR(RIGHT(B1516,12)="@outlook.com",RIGHT(B1516,12)="@hotmail.com",RIGHT(B1516,9)="@live.com"),"Outlook","Domain")))</f>
        <v/>
      </c>
      <c r="F1516">
        <f>IF(B1516="","",IFERROR(RIGHT(B1516,LEN(B1516)-FIND("@",B1516)),""))</f>
        <v/>
      </c>
      <c r="G1516">
        <f>IF(D1516="KEEP",COUNTIF($D$2:D1516,"KEEP"),"")</f>
        <v/>
      </c>
      <c r="H1516">
        <f>IF(D1516="REMOVE",COUNTIF($D$2:D1516,"REMOVE"),"")</f>
        <v/>
      </c>
      <c r="I1516">
        <f>IF(E1516="Gmail",COUNTIF($E$2:E1516,"Gmail"),"")</f>
        <v/>
      </c>
      <c r="J1516">
        <f>IF(E1516="Outlook",COUNTIF($E$2:E1516,"Outlook"),"")</f>
        <v/>
      </c>
      <c r="K1516">
        <f>IF(E1516="Domain",COUNTIF($E$2:E1516,"Domain"),"")</f>
        <v/>
      </c>
    </row>
    <row r="1517">
      <c r="A1517" s="2" t="n"/>
      <c r="B1517">
        <f>LOWER(TRIM(A1517))</f>
        <v/>
      </c>
      <c r="C1517">
        <f>IF(B1517="","",IFERROR(INDEX('Bad Patterns'!$A$2:$A$120,MATCH(1,INDEX(--ISNUMBER(SEARCH('Bad Patterns'!$A$2:$A$120,B1517)),0),0)),""))</f>
        <v/>
      </c>
      <c r="D1517">
        <f>IF(B1517="","",IF(C1517&lt;&gt;"","REMOVE","KEEP"))</f>
        <v/>
      </c>
      <c r="E1517">
        <f>IF(D1517&lt;&gt;"KEEP","",IF(RIGHT(B1517,10)="@gmail.com","Gmail",IF(OR(RIGHT(B1517,12)="@outlook.com",RIGHT(B1517,12)="@hotmail.com",RIGHT(B1517,9)="@live.com"),"Outlook","Domain")))</f>
        <v/>
      </c>
      <c r="F1517">
        <f>IF(B1517="","",IFERROR(RIGHT(B1517,LEN(B1517)-FIND("@",B1517)),""))</f>
        <v/>
      </c>
      <c r="G1517">
        <f>IF(D1517="KEEP",COUNTIF($D$2:D1517,"KEEP"),"")</f>
        <v/>
      </c>
      <c r="H1517">
        <f>IF(D1517="REMOVE",COUNTIF($D$2:D1517,"REMOVE"),"")</f>
        <v/>
      </c>
      <c r="I1517">
        <f>IF(E1517="Gmail",COUNTIF($E$2:E1517,"Gmail"),"")</f>
        <v/>
      </c>
      <c r="J1517">
        <f>IF(E1517="Outlook",COUNTIF($E$2:E1517,"Outlook"),"")</f>
        <v/>
      </c>
      <c r="K1517">
        <f>IF(E1517="Domain",COUNTIF($E$2:E1517,"Domain"),"")</f>
        <v/>
      </c>
    </row>
    <row r="1518">
      <c r="A1518" s="2" t="n"/>
      <c r="B1518">
        <f>LOWER(TRIM(A1518))</f>
        <v/>
      </c>
      <c r="C1518">
        <f>IF(B1518="","",IFERROR(INDEX('Bad Patterns'!$A$2:$A$120,MATCH(1,INDEX(--ISNUMBER(SEARCH('Bad Patterns'!$A$2:$A$120,B1518)),0),0)),""))</f>
        <v/>
      </c>
      <c r="D1518">
        <f>IF(B1518="","",IF(C1518&lt;&gt;"","REMOVE","KEEP"))</f>
        <v/>
      </c>
      <c r="E1518">
        <f>IF(D1518&lt;&gt;"KEEP","",IF(RIGHT(B1518,10)="@gmail.com","Gmail",IF(OR(RIGHT(B1518,12)="@outlook.com",RIGHT(B1518,12)="@hotmail.com",RIGHT(B1518,9)="@live.com"),"Outlook","Domain")))</f>
        <v/>
      </c>
      <c r="F1518">
        <f>IF(B1518="","",IFERROR(RIGHT(B1518,LEN(B1518)-FIND("@",B1518)),""))</f>
        <v/>
      </c>
      <c r="G1518">
        <f>IF(D1518="KEEP",COUNTIF($D$2:D1518,"KEEP"),"")</f>
        <v/>
      </c>
      <c r="H1518">
        <f>IF(D1518="REMOVE",COUNTIF($D$2:D1518,"REMOVE"),"")</f>
        <v/>
      </c>
      <c r="I1518">
        <f>IF(E1518="Gmail",COUNTIF($E$2:E1518,"Gmail"),"")</f>
        <v/>
      </c>
      <c r="J1518">
        <f>IF(E1518="Outlook",COUNTIF($E$2:E1518,"Outlook"),"")</f>
        <v/>
      </c>
      <c r="K1518">
        <f>IF(E1518="Domain",COUNTIF($E$2:E1518,"Domain"),"")</f>
        <v/>
      </c>
    </row>
    <row r="1519">
      <c r="A1519" s="2" t="n"/>
      <c r="B1519">
        <f>LOWER(TRIM(A1519))</f>
        <v/>
      </c>
      <c r="C1519">
        <f>IF(B1519="","",IFERROR(INDEX('Bad Patterns'!$A$2:$A$120,MATCH(1,INDEX(--ISNUMBER(SEARCH('Bad Patterns'!$A$2:$A$120,B1519)),0),0)),""))</f>
        <v/>
      </c>
      <c r="D1519">
        <f>IF(B1519="","",IF(C1519&lt;&gt;"","REMOVE","KEEP"))</f>
        <v/>
      </c>
      <c r="E1519">
        <f>IF(D1519&lt;&gt;"KEEP","",IF(RIGHT(B1519,10)="@gmail.com","Gmail",IF(OR(RIGHT(B1519,12)="@outlook.com",RIGHT(B1519,12)="@hotmail.com",RIGHT(B1519,9)="@live.com"),"Outlook","Domain")))</f>
        <v/>
      </c>
      <c r="F1519">
        <f>IF(B1519="","",IFERROR(RIGHT(B1519,LEN(B1519)-FIND("@",B1519)),""))</f>
        <v/>
      </c>
      <c r="G1519">
        <f>IF(D1519="KEEP",COUNTIF($D$2:D1519,"KEEP"),"")</f>
        <v/>
      </c>
      <c r="H1519">
        <f>IF(D1519="REMOVE",COUNTIF($D$2:D1519,"REMOVE"),"")</f>
        <v/>
      </c>
      <c r="I1519">
        <f>IF(E1519="Gmail",COUNTIF($E$2:E1519,"Gmail"),"")</f>
        <v/>
      </c>
      <c r="J1519">
        <f>IF(E1519="Outlook",COUNTIF($E$2:E1519,"Outlook"),"")</f>
        <v/>
      </c>
      <c r="K1519">
        <f>IF(E1519="Domain",COUNTIF($E$2:E1519,"Domain"),"")</f>
        <v/>
      </c>
    </row>
    <row r="1520">
      <c r="A1520" s="2" t="n"/>
      <c r="B1520">
        <f>LOWER(TRIM(A1520))</f>
        <v/>
      </c>
      <c r="C1520">
        <f>IF(B1520="","",IFERROR(INDEX('Bad Patterns'!$A$2:$A$120,MATCH(1,INDEX(--ISNUMBER(SEARCH('Bad Patterns'!$A$2:$A$120,B1520)),0),0)),""))</f>
        <v/>
      </c>
      <c r="D1520">
        <f>IF(B1520="","",IF(C1520&lt;&gt;"","REMOVE","KEEP"))</f>
        <v/>
      </c>
      <c r="E1520">
        <f>IF(D1520&lt;&gt;"KEEP","",IF(RIGHT(B1520,10)="@gmail.com","Gmail",IF(OR(RIGHT(B1520,12)="@outlook.com",RIGHT(B1520,12)="@hotmail.com",RIGHT(B1520,9)="@live.com"),"Outlook","Domain")))</f>
        <v/>
      </c>
      <c r="F1520">
        <f>IF(B1520="","",IFERROR(RIGHT(B1520,LEN(B1520)-FIND("@",B1520)),""))</f>
        <v/>
      </c>
      <c r="G1520">
        <f>IF(D1520="KEEP",COUNTIF($D$2:D1520,"KEEP"),"")</f>
        <v/>
      </c>
      <c r="H1520">
        <f>IF(D1520="REMOVE",COUNTIF($D$2:D1520,"REMOVE"),"")</f>
        <v/>
      </c>
      <c r="I1520">
        <f>IF(E1520="Gmail",COUNTIF($E$2:E1520,"Gmail"),"")</f>
        <v/>
      </c>
      <c r="J1520">
        <f>IF(E1520="Outlook",COUNTIF($E$2:E1520,"Outlook"),"")</f>
        <v/>
      </c>
      <c r="K1520">
        <f>IF(E1520="Domain",COUNTIF($E$2:E1520,"Domain"),"")</f>
        <v/>
      </c>
    </row>
    <row r="1521">
      <c r="A1521" s="2" t="n"/>
      <c r="B1521">
        <f>LOWER(TRIM(A1521))</f>
        <v/>
      </c>
      <c r="C1521">
        <f>IF(B1521="","",IFERROR(INDEX('Bad Patterns'!$A$2:$A$120,MATCH(1,INDEX(--ISNUMBER(SEARCH('Bad Patterns'!$A$2:$A$120,B1521)),0),0)),""))</f>
        <v/>
      </c>
      <c r="D1521">
        <f>IF(B1521="","",IF(C1521&lt;&gt;"","REMOVE","KEEP"))</f>
        <v/>
      </c>
      <c r="E1521">
        <f>IF(D1521&lt;&gt;"KEEP","",IF(RIGHT(B1521,10)="@gmail.com","Gmail",IF(OR(RIGHT(B1521,12)="@outlook.com",RIGHT(B1521,12)="@hotmail.com",RIGHT(B1521,9)="@live.com"),"Outlook","Domain")))</f>
        <v/>
      </c>
      <c r="F1521">
        <f>IF(B1521="","",IFERROR(RIGHT(B1521,LEN(B1521)-FIND("@",B1521)),""))</f>
        <v/>
      </c>
      <c r="G1521">
        <f>IF(D1521="KEEP",COUNTIF($D$2:D1521,"KEEP"),"")</f>
        <v/>
      </c>
      <c r="H1521">
        <f>IF(D1521="REMOVE",COUNTIF($D$2:D1521,"REMOVE"),"")</f>
        <v/>
      </c>
      <c r="I1521">
        <f>IF(E1521="Gmail",COUNTIF($E$2:E1521,"Gmail"),"")</f>
        <v/>
      </c>
      <c r="J1521">
        <f>IF(E1521="Outlook",COUNTIF($E$2:E1521,"Outlook"),"")</f>
        <v/>
      </c>
      <c r="K1521">
        <f>IF(E1521="Domain",COUNTIF($E$2:E1521,"Domain"),"")</f>
        <v/>
      </c>
    </row>
    <row r="1522">
      <c r="A1522" s="2" t="n"/>
      <c r="B1522">
        <f>LOWER(TRIM(A1522))</f>
        <v/>
      </c>
      <c r="C1522">
        <f>IF(B1522="","",IFERROR(INDEX('Bad Patterns'!$A$2:$A$120,MATCH(1,INDEX(--ISNUMBER(SEARCH('Bad Patterns'!$A$2:$A$120,B1522)),0),0)),""))</f>
        <v/>
      </c>
      <c r="D1522">
        <f>IF(B1522="","",IF(C1522&lt;&gt;"","REMOVE","KEEP"))</f>
        <v/>
      </c>
      <c r="E1522">
        <f>IF(D1522&lt;&gt;"KEEP","",IF(RIGHT(B1522,10)="@gmail.com","Gmail",IF(OR(RIGHT(B1522,12)="@outlook.com",RIGHT(B1522,12)="@hotmail.com",RIGHT(B1522,9)="@live.com"),"Outlook","Domain")))</f>
        <v/>
      </c>
      <c r="F1522">
        <f>IF(B1522="","",IFERROR(RIGHT(B1522,LEN(B1522)-FIND("@",B1522)),""))</f>
        <v/>
      </c>
      <c r="G1522">
        <f>IF(D1522="KEEP",COUNTIF($D$2:D1522,"KEEP"),"")</f>
        <v/>
      </c>
      <c r="H1522">
        <f>IF(D1522="REMOVE",COUNTIF($D$2:D1522,"REMOVE"),"")</f>
        <v/>
      </c>
      <c r="I1522">
        <f>IF(E1522="Gmail",COUNTIF($E$2:E1522,"Gmail"),"")</f>
        <v/>
      </c>
      <c r="J1522">
        <f>IF(E1522="Outlook",COUNTIF($E$2:E1522,"Outlook"),"")</f>
        <v/>
      </c>
      <c r="K1522">
        <f>IF(E1522="Domain",COUNTIF($E$2:E1522,"Domain"),"")</f>
        <v/>
      </c>
    </row>
    <row r="1523">
      <c r="A1523" s="2" t="n"/>
      <c r="B1523">
        <f>LOWER(TRIM(A1523))</f>
        <v/>
      </c>
      <c r="C1523">
        <f>IF(B1523="","",IFERROR(INDEX('Bad Patterns'!$A$2:$A$120,MATCH(1,INDEX(--ISNUMBER(SEARCH('Bad Patterns'!$A$2:$A$120,B1523)),0),0)),""))</f>
        <v/>
      </c>
      <c r="D1523">
        <f>IF(B1523="","",IF(C1523&lt;&gt;"","REMOVE","KEEP"))</f>
        <v/>
      </c>
      <c r="E1523">
        <f>IF(D1523&lt;&gt;"KEEP","",IF(RIGHT(B1523,10)="@gmail.com","Gmail",IF(OR(RIGHT(B1523,12)="@outlook.com",RIGHT(B1523,12)="@hotmail.com",RIGHT(B1523,9)="@live.com"),"Outlook","Domain")))</f>
        <v/>
      </c>
      <c r="F1523">
        <f>IF(B1523="","",IFERROR(RIGHT(B1523,LEN(B1523)-FIND("@",B1523)),""))</f>
        <v/>
      </c>
      <c r="G1523">
        <f>IF(D1523="KEEP",COUNTIF($D$2:D1523,"KEEP"),"")</f>
        <v/>
      </c>
      <c r="H1523">
        <f>IF(D1523="REMOVE",COUNTIF($D$2:D1523,"REMOVE"),"")</f>
        <v/>
      </c>
      <c r="I1523">
        <f>IF(E1523="Gmail",COUNTIF($E$2:E1523,"Gmail"),"")</f>
        <v/>
      </c>
      <c r="J1523">
        <f>IF(E1523="Outlook",COUNTIF($E$2:E1523,"Outlook"),"")</f>
        <v/>
      </c>
      <c r="K1523">
        <f>IF(E1523="Domain",COUNTIF($E$2:E1523,"Domain"),"")</f>
        <v/>
      </c>
    </row>
    <row r="1524">
      <c r="A1524" s="2" t="n"/>
      <c r="B1524">
        <f>LOWER(TRIM(A1524))</f>
        <v/>
      </c>
      <c r="C1524">
        <f>IF(B1524="","",IFERROR(INDEX('Bad Patterns'!$A$2:$A$120,MATCH(1,INDEX(--ISNUMBER(SEARCH('Bad Patterns'!$A$2:$A$120,B1524)),0),0)),""))</f>
        <v/>
      </c>
      <c r="D1524">
        <f>IF(B1524="","",IF(C1524&lt;&gt;"","REMOVE","KEEP"))</f>
        <v/>
      </c>
      <c r="E1524">
        <f>IF(D1524&lt;&gt;"KEEP","",IF(RIGHT(B1524,10)="@gmail.com","Gmail",IF(OR(RIGHT(B1524,12)="@outlook.com",RIGHT(B1524,12)="@hotmail.com",RIGHT(B1524,9)="@live.com"),"Outlook","Domain")))</f>
        <v/>
      </c>
      <c r="F1524">
        <f>IF(B1524="","",IFERROR(RIGHT(B1524,LEN(B1524)-FIND("@",B1524)),""))</f>
        <v/>
      </c>
      <c r="G1524">
        <f>IF(D1524="KEEP",COUNTIF($D$2:D1524,"KEEP"),"")</f>
        <v/>
      </c>
      <c r="H1524">
        <f>IF(D1524="REMOVE",COUNTIF($D$2:D1524,"REMOVE"),"")</f>
        <v/>
      </c>
      <c r="I1524">
        <f>IF(E1524="Gmail",COUNTIF($E$2:E1524,"Gmail"),"")</f>
        <v/>
      </c>
      <c r="J1524">
        <f>IF(E1524="Outlook",COUNTIF($E$2:E1524,"Outlook"),"")</f>
        <v/>
      </c>
      <c r="K1524">
        <f>IF(E1524="Domain",COUNTIF($E$2:E1524,"Domain"),"")</f>
        <v/>
      </c>
    </row>
    <row r="1525">
      <c r="A1525" s="2" t="n"/>
      <c r="B1525">
        <f>LOWER(TRIM(A1525))</f>
        <v/>
      </c>
      <c r="C1525">
        <f>IF(B1525="","",IFERROR(INDEX('Bad Patterns'!$A$2:$A$120,MATCH(1,INDEX(--ISNUMBER(SEARCH('Bad Patterns'!$A$2:$A$120,B1525)),0),0)),""))</f>
        <v/>
      </c>
      <c r="D1525">
        <f>IF(B1525="","",IF(C1525&lt;&gt;"","REMOVE","KEEP"))</f>
        <v/>
      </c>
      <c r="E1525">
        <f>IF(D1525&lt;&gt;"KEEP","",IF(RIGHT(B1525,10)="@gmail.com","Gmail",IF(OR(RIGHT(B1525,12)="@outlook.com",RIGHT(B1525,12)="@hotmail.com",RIGHT(B1525,9)="@live.com"),"Outlook","Domain")))</f>
        <v/>
      </c>
      <c r="F1525">
        <f>IF(B1525="","",IFERROR(RIGHT(B1525,LEN(B1525)-FIND("@",B1525)),""))</f>
        <v/>
      </c>
      <c r="G1525">
        <f>IF(D1525="KEEP",COUNTIF($D$2:D1525,"KEEP"),"")</f>
        <v/>
      </c>
      <c r="H1525">
        <f>IF(D1525="REMOVE",COUNTIF($D$2:D1525,"REMOVE"),"")</f>
        <v/>
      </c>
      <c r="I1525">
        <f>IF(E1525="Gmail",COUNTIF($E$2:E1525,"Gmail"),"")</f>
        <v/>
      </c>
      <c r="J1525">
        <f>IF(E1525="Outlook",COUNTIF($E$2:E1525,"Outlook"),"")</f>
        <v/>
      </c>
      <c r="K1525">
        <f>IF(E1525="Domain",COUNTIF($E$2:E1525,"Domain"),"")</f>
        <v/>
      </c>
    </row>
    <row r="1526">
      <c r="A1526" s="2" t="n"/>
      <c r="B1526">
        <f>LOWER(TRIM(A1526))</f>
        <v/>
      </c>
      <c r="C1526">
        <f>IF(B1526="","",IFERROR(INDEX('Bad Patterns'!$A$2:$A$120,MATCH(1,INDEX(--ISNUMBER(SEARCH('Bad Patterns'!$A$2:$A$120,B1526)),0),0)),""))</f>
        <v/>
      </c>
      <c r="D1526">
        <f>IF(B1526="","",IF(C1526&lt;&gt;"","REMOVE","KEEP"))</f>
        <v/>
      </c>
      <c r="E1526">
        <f>IF(D1526&lt;&gt;"KEEP","",IF(RIGHT(B1526,10)="@gmail.com","Gmail",IF(OR(RIGHT(B1526,12)="@outlook.com",RIGHT(B1526,12)="@hotmail.com",RIGHT(B1526,9)="@live.com"),"Outlook","Domain")))</f>
        <v/>
      </c>
      <c r="F1526">
        <f>IF(B1526="","",IFERROR(RIGHT(B1526,LEN(B1526)-FIND("@",B1526)),""))</f>
        <v/>
      </c>
      <c r="G1526">
        <f>IF(D1526="KEEP",COUNTIF($D$2:D1526,"KEEP"),"")</f>
        <v/>
      </c>
      <c r="H1526">
        <f>IF(D1526="REMOVE",COUNTIF($D$2:D1526,"REMOVE"),"")</f>
        <v/>
      </c>
      <c r="I1526">
        <f>IF(E1526="Gmail",COUNTIF($E$2:E1526,"Gmail"),"")</f>
        <v/>
      </c>
      <c r="J1526">
        <f>IF(E1526="Outlook",COUNTIF($E$2:E1526,"Outlook"),"")</f>
        <v/>
      </c>
      <c r="K1526">
        <f>IF(E1526="Domain",COUNTIF($E$2:E1526,"Domain"),"")</f>
        <v/>
      </c>
    </row>
    <row r="1527">
      <c r="A1527" s="2" t="n"/>
      <c r="B1527">
        <f>LOWER(TRIM(A1527))</f>
        <v/>
      </c>
      <c r="C1527">
        <f>IF(B1527="","",IFERROR(INDEX('Bad Patterns'!$A$2:$A$120,MATCH(1,INDEX(--ISNUMBER(SEARCH('Bad Patterns'!$A$2:$A$120,B1527)),0),0)),""))</f>
        <v/>
      </c>
      <c r="D1527">
        <f>IF(B1527="","",IF(C1527&lt;&gt;"","REMOVE","KEEP"))</f>
        <v/>
      </c>
      <c r="E1527">
        <f>IF(D1527&lt;&gt;"KEEP","",IF(RIGHT(B1527,10)="@gmail.com","Gmail",IF(OR(RIGHT(B1527,12)="@outlook.com",RIGHT(B1527,12)="@hotmail.com",RIGHT(B1527,9)="@live.com"),"Outlook","Domain")))</f>
        <v/>
      </c>
      <c r="F1527">
        <f>IF(B1527="","",IFERROR(RIGHT(B1527,LEN(B1527)-FIND("@",B1527)),""))</f>
        <v/>
      </c>
      <c r="G1527">
        <f>IF(D1527="KEEP",COUNTIF($D$2:D1527,"KEEP"),"")</f>
        <v/>
      </c>
      <c r="H1527">
        <f>IF(D1527="REMOVE",COUNTIF($D$2:D1527,"REMOVE"),"")</f>
        <v/>
      </c>
      <c r="I1527">
        <f>IF(E1527="Gmail",COUNTIF($E$2:E1527,"Gmail"),"")</f>
        <v/>
      </c>
      <c r="J1527">
        <f>IF(E1527="Outlook",COUNTIF($E$2:E1527,"Outlook"),"")</f>
        <v/>
      </c>
      <c r="K1527">
        <f>IF(E1527="Domain",COUNTIF($E$2:E1527,"Domain"),"")</f>
        <v/>
      </c>
    </row>
    <row r="1528">
      <c r="A1528" s="2" t="n"/>
      <c r="B1528">
        <f>LOWER(TRIM(A1528))</f>
        <v/>
      </c>
      <c r="C1528">
        <f>IF(B1528="","",IFERROR(INDEX('Bad Patterns'!$A$2:$A$120,MATCH(1,INDEX(--ISNUMBER(SEARCH('Bad Patterns'!$A$2:$A$120,B1528)),0),0)),""))</f>
        <v/>
      </c>
      <c r="D1528">
        <f>IF(B1528="","",IF(C1528&lt;&gt;"","REMOVE","KEEP"))</f>
        <v/>
      </c>
      <c r="E1528">
        <f>IF(D1528&lt;&gt;"KEEP","",IF(RIGHT(B1528,10)="@gmail.com","Gmail",IF(OR(RIGHT(B1528,12)="@outlook.com",RIGHT(B1528,12)="@hotmail.com",RIGHT(B1528,9)="@live.com"),"Outlook","Domain")))</f>
        <v/>
      </c>
      <c r="F1528">
        <f>IF(B1528="","",IFERROR(RIGHT(B1528,LEN(B1528)-FIND("@",B1528)),""))</f>
        <v/>
      </c>
      <c r="G1528">
        <f>IF(D1528="KEEP",COUNTIF($D$2:D1528,"KEEP"),"")</f>
        <v/>
      </c>
      <c r="H1528">
        <f>IF(D1528="REMOVE",COUNTIF($D$2:D1528,"REMOVE"),"")</f>
        <v/>
      </c>
      <c r="I1528">
        <f>IF(E1528="Gmail",COUNTIF($E$2:E1528,"Gmail"),"")</f>
        <v/>
      </c>
      <c r="J1528">
        <f>IF(E1528="Outlook",COUNTIF($E$2:E1528,"Outlook"),"")</f>
        <v/>
      </c>
      <c r="K1528">
        <f>IF(E1528="Domain",COUNTIF($E$2:E1528,"Domain"),"")</f>
        <v/>
      </c>
    </row>
    <row r="1529">
      <c r="A1529" s="2" t="n"/>
      <c r="B1529">
        <f>LOWER(TRIM(A1529))</f>
        <v/>
      </c>
      <c r="C1529">
        <f>IF(B1529="","",IFERROR(INDEX('Bad Patterns'!$A$2:$A$120,MATCH(1,INDEX(--ISNUMBER(SEARCH('Bad Patterns'!$A$2:$A$120,B1529)),0),0)),""))</f>
        <v/>
      </c>
      <c r="D1529">
        <f>IF(B1529="","",IF(C1529&lt;&gt;"","REMOVE","KEEP"))</f>
        <v/>
      </c>
      <c r="E1529">
        <f>IF(D1529&lt;&gt;"KEEP","",IF(RIGHT(B1529,10)="@gmail.com","Gmail",IF(OR(RIGHT(B1529,12)="@outlook.com",RIGHT(B1529,12)="@hotmail.com",RIGHT(B1529,9)="@live.com"),"Outlook","Domain")))</f>
        <v/>
      </c>
      <c r="F1529">
        <f>IF(B1529="","",IFERROR(RIGHT(B1529,LEN(B1529)-FIND("@",B1529)),""))</f>
        <v/>
      </c>
      <c r="G1529">
        <f>IF(D1529="KEEP",COUNTIF($D$2:D1529,"KEEP"),"")</f>
        <v/>
      </c>
      <c r="H1529">
        <f>IF(D1529="REMOVE",COUNTIF($D$2:D1529,"REMOVE"),"")</f>
        <v/>
      </c>
      <c r="I1529">
        <f>IF(E1529="Gmail",COUNTIF($E$2:E1529,"Gmail"),"")</f>
        <v/>
      </c>
      <c r="J1529">
        <f>IF(E1529="Outlook",COUNTIF($E$2:E1529,"Outlook"),"")</f>
        <v/>
      </c>
      <c r="K1529">
        <f>IF(E1529="Domain",COUNTIF($E$2:E1529,"Domain"),"")</f>
        <v/>
      </c>
    </row>
    <row r="1530">
      <c r="A1530" s="2" t="n"/>
      <c r="B1530">
        <f>LOWER(TRIM(A1530))</f>
        <v/>
      </c>
      <c r="C1530">
        <f>IF(B1530="","",IFERROR(INDEX('Bad Patterns'!$A$2:$A$120,MATCH(1,INDEX(--ISNUMBER(SEARCH('Bad Patterns'!$A$2:$A$120,B1530)),0),0)),""))</f>
        <v/>
      </c>
      <c r="D1530">
        <f>IF(B1530="","",IF(C1530&lt;&gt;"","REMOVE","KEEP"))</f>
        <v/>
      </c>
      <c r="E1530">
        <f>IF(D1530&lt;&gt;"KEEP","",IF(RIGHT(B1530,10)="@gmail.com","Gmail",IF(OR(RIGHT(B1530,12)="@outlook.com",RIGHT(B1530,12)="@hotmail.com",RIGHT(B1530,9)="@live.com"),"Outlook","Domain")))</f>
        <v/>
      </c>
      <c r="F1530">
        <f>IF(B1530="","",IFERROR(RIGHT(B1530,LEN(B1530)-FIND("@",B1530)),""))</f>
        <v/>
      </c>
      <c r="G1530">
        <f>IF(D1530="KEEP",COUNTIF($D$2:D1530,"KEEP"),"")</f>
        <v/>
      </c>
      <c r="H1530">
        <f>IF(D1530="REMOVE",COUNTIF($D$2:D1530,"REMOVE"),"")</f>
        <v/>
      </c>
      <c r="I1530">
        <f>IF(E1530="Gmail",COUNTIF($E$2:E1530,"Gmail"),"")</f>
        <v/>
      </c>
      <c r="J1530">
        <f>IF(E1530="Outlook",COUNTIF($E$2:E1530,"Outlook"),"")</f>
        <v/>
      </c>
      <c r="K1530">
        <f>IF(E1530="Domain",COUNTIF($E$2:E1530,"Domain"),"")</f>
        <v/>
      </c>
    </row>
    <row r="1531">
      <c r="A1531" s="2" t="n"/>
      <c r="B1531">
        <f>LOWER(TRIM(A1531))</f>
        <v/>
      </c>
      <c r="C1531">
        <f>IF(B1531="","",IFERROR(INDEX('Bad Patterns'!$A$2:$A$120,MATCH(1,INDEX(--ISNUMBER(SEARCH('Bad Patterns'!$A$2:$A$120,B1531)),0),0)),""))</f>
        <v/>
      </c>
      <c r="D1531">
        <f>IF(B1531="","",IF(C1531&lt;&gt;"","REMOVE","KEEP"))</f>
        <v/>
      </c>
      <c r="E1531">
        <f>IF(D1531&lt;&gt;"KEEP","",IF(RIGHT(B1531,10)="@gmail.com","Gmail",IF(OR(RIGHT(B1531,12)="@outlook.com",RIGHT(B1531,12)="@hotmail.com",RIGHT(B1531,9)="@live.com"),"Outlook","Domain")))</f>
        <v/>
      </c>
      <c r="F1531">
        <f>IF(B1531="","",IFERROR(RIGHT(B1531,LEN(B1531)-FIND("@",B1531)),""))</f>
        <v/>
      </c>
      <c r="G1531">
        <f>IF(D1531="KEEP",COUNTIF($D$2:D1531,"KEEP"),"")</f>
        <v/>
      </c>
      <c r="H1531">
        <f>IF(D1531="REMOVE",COUNTIF($D$2:D1531,"REMOVE"),"")</f>
        <v/>
      </c>
      <c r="I1531">
        <f>IF(E1531="Gmail",COUNTIF($E$2:E1531,"Gmail"),"")</f>
        <v/>
      </c>
      <c r="J1531">
        <f>IF(E1531="Outlook",COUNTIF($E$2:E1531,"Outlook"),"")</f>
        <v/>
      </c>
      <c r="K1531">
        <f>IF(E1531="Domain",COUNTIF($E$2:E1531,"Domain"),"")</f>
        <v/>
      </c>
    </row>
    <row r="1532">
      <c r="A1532" s="2" t="n"/>
      <c r="B1532">
        <f>LOWER(TRIM(A1532))</f>
        <v/>
      </c>
      <c r="C1532">
        <f>IF(B1532="","",IFERROR(INDEX('Bad Patterns'!$A$2:$A$120,MATCH(1,INDEX(--ISNUMBER(SEARCH('Bad Patterns'!$A$2:$A$120,B1532)),0),0)),""))</f>
        <v/>
      </c>
      <c r="D1532">
        <f>IF(B1532="","",IF(C1532&lt;&gt;"","REMOVE","KEEP"))</f>
        <v/>
      </c>
      <c r="E1532">
        <f>IF(D1532&lt;&gt;"KEEP","",IF(RIGHT(B1532,10)="@gmail.com","Gmail",IF(OR(RIGHT(B1532,12)="@outlook.com",RIGHT(B1532,12)="@hotmail.com",RIGHT(B1532,9)="@live.com"),"Outlook","Domain")))</f>
        <v/>
      </c>
      <c r="F1532">
        <f>IF(B1532="","",IFERROR(RIGHT(B1532,LEN(B1532)-FIND("@",B1532)),""))</f>
        <v/>
      </c>
      <c r="G1532">
        <f>IF(D1532="KEEP",COUNTIF($D$2:D1532,"KEEP"),"")</f>
        <v/>
      </c>
      <c r="H1532">
        <f>IF(D1532="REMOVE",COUNTIF($D$2:D1532,"REMOVE"),"")</f>
        <v/>
      </c>
      <c r="I1532">
        <f>IF(E1532="Gmail",COUNTIF($E$2:E1532,"Gmail"),"")</f>
        <v/>
      </c>
      <c r="J1532">
        <f>IF(E1532="Outlook",COUNTIF($E$2:E1532,"Outlook"),"")</f>
        <v/>
      </c>
      <c r="K1532">
        <f>IF(E1532="Domain",COUNTIF($E$2:E1532,"Domain"),"")</f>
        <v/>
      </c>
    </row>
    <row r="1533">
      <c r="A1533" s="2" t="n"/>
      <c r="B1533">
        <f>LOWER(TRIM(A1533))</f>
        <v/>
      </c>
      <c r="C1533">
        <f>IF(B1533="","",IFERROR(INDEX('Bad Patterns'!$A$2:$A$120,MATCH(1,INDEX(--ISNUMBER(SEARCH('Bad Patterns'!$A$2:$A$120,B1533)),0),0)),""))</f>
        <v/>
      </c>
      <c r="D1533">
        <f>IF(B1533="","",IF(C1533&lt;&gt;"","REMOVE","KEEP"))</f>
        <v/>
      </c>
      <c r="E1533">
        <f>IF(D1533&lt;&gt;"KEEP","",IF(RIGHT(B1533,10)="@gmail.com","Gmail",IF(OR(RIGHT(B1533,12)="@outlook.com",RIGHT(B1533,12)="@hotmail.com",RIGHT(B1533,9)="@live.com"),"Outlook","Domain")))</f>
        <v/>
      </c>
      <c r="F1533">
        <f>IF(B1533="","",IFERROR(RIGHT(B1533,LEN(B1533)-FIND("@",B1533)),""))</f>
        <v/>
      </c>
      <c r="G1533">
        <f>IF(D1533="KEEP",COUNTIF($D$2:D1533,"KEEP"),"")</f>
        <v/>
      </c>
      <c r="H1533">
        <f>IF(D1533="REMOVE",COUNTIF($D$2:D1533,"REMOVE"),"")</f>
        <v/>
      </c>
      <c r="I1533">
        <f>IF(E1533="Gmail",COUNTIF($E$2:E1533,"Gmail"),"")</f>
        <v/>
      </c>
      <c r="J1533">
        <f>IF(E1533="Outlook",COUNTIF($E$2:E1533,"Outlook"),"")</f>
        <v/>
      </c>
      <c r="K1533">
        <f>IF(E1533="Domain",COUNTIF($E$2:E1533,"Domain"),"")</f>
        <v/>
      </c>
    </row>
    <row r="1534">
      <c r="A1534" s="2" t="n"/>
      <c r="B1534">
        <f>LOWER(TRIM(A1534))</f>
        <v/>
      </c>
      <c r="C1534">
        <f>IF(B1534="","",IFERROR(INDEX('Bad Patterns'!$A$2:$A$120,MATCH(1,INDEX(--ISNUMBER(SEARCH('Bad Patterns'!$A$2:$A$120,B1534)),0),0)),""))</f>
        <v/>
      </c>
      <c r="D1534">
        <f>IF(B1534="","",IF(C1534&lt;&gt;"","REMOVE","KEEP"))</f>
        <v/>
      </c>
      <c r="E1534">
        <f>IF(D1534&lt;&gt;"KEEP","",IF(RIGHT(B1534,10)="@gmail.com","Gmail",IF(OR(RIGHT(B1534,12)="@outlook.com",RIGHT(B1534,12)="@hotmail.com",RIGHT(B1534,9)="@live.com"),"Outlook","Domain")))</f>
        <v/>
      </c>
      <c r="F1534">
        <f>IF(B1534="","",IFERROR(RIGHT(B1534,LEN(B1534)-FIND("@",B1534)),""))</f>
        <v/>
      </c>
      <c r="G1534">
        <f>IF(D1534="KEEP",COUNTIF($D$2:D1534,"KEEP"),"")</f>
        <v/>
      </c>
      <c r="H1534">
        <f>IF(D1534="REMOVE",COUNTIF($D$2:D1534,"REMOVE"),"")</f>
        <v/>
      </c>
      <c r="I1534">
        <f>IF(E1534="Gmail",COUNTIF($E$2:E1534,"Gmail"),"")</f>
        <v/>
      </c>
      <c r="J1534">
        <f>IF(E1534="Outlook",COUNTIF($E$2:E1534,"Outlook"),"")</f>
        <v/>
      </c>
      <c r="K1534">
        <f>IF(E1534="Domain",COUNTIF($E$2:E1534,"Domain"),"")</f>
        <v/>
      </c>
    </row>
    <row r="1535">
      <c r="A1535" s="2" t="n"/>
      <c r="B1535">
        <f>LOWER(TRIM(A1535))</f>
        <v/>
      </c>
      <c r="C1535">
        <f>IF(B1535="","",IFERROR(INDEX('Bad Patterns'!$A$2:$A$120,MATCH(1,INDEX(--ISNUMBER(SEARCH('Bad Patterns'!$A$2:$A$120,B1535)),0),0)),""))</f>
        <v/>
      </c>
      <c r="D1535">
        <f>IF(B1535="","",IF(C1535&lt;&gt;"","REMOVE","KEEP"))</f>
        <v/>
      </c>
      <c r="E1535">
        <f>IF(D1535&lt;&gt;"KEEP","",IF(RIGHT(B1535,10)="@gmail.com","Gmail",IF(OR(RIGHT(B1535,12)="@outlook.com",RIGHT(B1535,12)="@hotmail.com",RIGHT(B1535,9)="@live.com"),"Outlook","Domain")))</f>
        <v/>
      </c>
      <c r="F1535">
        <f>IF(B1535="","",IFERROR(RIGHT(B1535,LEN(B1535)-FIND("@",B1535)),""))</f>
        <v/>
      </c>
      <c r="G1535">
        <f>IF(D1535="KEEP",COUNTIF($D$2:D1535,"KEEP"),"")</f>
        <v/>
      </c>
      <c r="H1535">
        <f>IF(D1535="REMOVE",COUNTIF($D$2:D1535,"REMOVE"),"")</f>
        <v/>
      </c>
      <c r="I1535">
        <f>IF(E1535="Gmail",COUNTIF($E$2:E1535,"Gmail"),"")</f>
        <v/>
      </c>
      <c r="J1535">
        <f>IF(E1535="Outlook",COUNTIF($E$2:E1535,"Outlook"),"")</f>
        <v/>
      </c>
      <c r="K1535">
        <f>IF(E1535="Domain",COUNTIF($E$2:E1535,"Domain"),"")</f>
        <v/>
      </c>
    </row>
    <row r="1536">
      <c r="A1536" s="2" t="n"/>
      <c r="B1536">
        <f>LOWER(TRIM(A1536))</f>
        <v/>
      </c>
      <c r="C1536">
        <f>IF(B1536="","",IFERROR(INDEX('Bad Patterns'!$A$2:$A$120,MATCH(1,INDEX(--ISNUMBER(SEARCH('Bad Patterns'!$A$2:$A$120,B1536)),0),0)),""))</f>
        <v/>
      </c>
      <c r="D1536">
        <f>IF(B1536="","",IF(C1536&lt;&gt;"","REMOVE","KEEP"))</f>
        <v/>
      </c>
      <c r="E1536">
        <f>IF(D1536&lt;&gt;"KEEP","",IF(RIGHT(B1536,10)="@gmail.com","Gmail",IF(OR(RIGHT(B1536,12)="@outlook.com",RIGHT(B1536,12)="@hotmail.com",RIGHT(B1536,9)="@live.com"),"Outlook","Domain")))</f>
        <v/>
      </c>
      <c r="F1536">
        <f>IF(B1536="","",IFERROR(RIGHT(B1536,LEN(B1536)-FIND("@",B1536)),""))</f>
        <v/>
      </c>
      <c r="G1536">
        <f>IF(D1536="KEEP",COUNTIF($D$2:D1536,"KEEP"),"")</f>
        <v/>
      </c>
      <c r="H1536">
        <f>IF(D1536="REMOVE",COUNTIF($D$2:D1536,"REMOVE"),"")</f>
        <v/>
      </c>
      <c r="I1536">
        <f>IF(E1536="Gmail",COUNTIF($E$2:E1536,"Gmail"),"")</f>
        <v/>
      </c>
      <c r="J1536">
        <f>IF(E1536="Outlook",COUNTIF($E$2:E1536,"Outlook"),"")</f>
        <v/>
      </c>
      <c r="K1536">
        <f>IF(E1536="Domain",COUNTIF($E$2:E1536,"Domain"),"")</f>
        <v/>
      </c>
    </row>
    <row r="1537">
      <c r="A1537" s="2" t="n"/>
      <c r="B1537">
        <f>LOWER(TRIM(A1537))</f>
        <v/>
      </c>
      <c r="C1537">
        <f>IF(B1537="","",IFERROR(INDEX('Bad Patterns'!$A$2:$A$120,MATCH(1,INDEX(--ISNUMBER(SEARCH('Bad Patterns'!$A$2:$A$120,B1537)),0),0)),""))</f>
        <v/>
      </c>
      <c r="D1537">
        <f>IF(B1537="","",IF(C1537&lt;&gt;"","REMOVE","KEEP"))</f>
        <v/>
      </c>
      <c r="E1537">
        <f>IF(D1537&lt;&gt;"KEEP","",IF(RIGHT(B1537,10)="@gmail.com","Gmail",IF(OR(RIGHT(B1537,12)="@outlook.com",RIGHT(B1537,12)="@hotmail.com",RIGHT(B1537,9)="@live.com"),"Outlook","Domain")))</f>
        <v/>
      </c>
      <c r="F1537">
        <f>IF(B1537="","",IFERROR(RIGHT(B1537,LEN(B1537)-FIND("@",B1537)),""))</f>
        <v/>
      </c>
      <c r="G1537">
        <f>IF(D1537="KEEP",COUNTIF($D$2:D1537,"KEEP"),"")</f>
        <v/>
      </c>
      <c r="H1537">
        <f>IF(D1537="REMOVE",COUNTIF($D$2:D1537,"REMOVE"),"")</f>
        <v/>
      </c>
      <c r="I1537">
        <f>IF(E1537="Gmail",COUNTIF($E$2:E1537,"Gmail"),"")</f>
        <v/>
      </c>
      <c r="J1537">
        <f>IF(E1537="Outlook",COUNTIF($E$2:E1537,"Outlook"),"")</f>
        <v/>
      </c>
      <c r="K1537">
        <f>IF(E1537="Domain",COUNTIF($E$2:E1537,"Domain"),"")</f>
        <v/>
      </c>
    </row>
    <row r="1538">
      <c r="A1538" s="2" t="n"/>
      <c r="B1538">
        <f>LOWER(TRIM(A1538))</f>
        <v/>
      </c>
      <c r="C1538">
        <f>IF(B1538="","",IFERROR(INDEX('Bad Patterns'!$A$2:$A$120,MATCH(1,INDEX(--ISNUMBER(SEARCH('Bad Patterns'!$A$2:$A$120,B1538)),0),0)),""))</f>
        <v/>
      </c>
      <c r="D1538">
        <f>IF(B1538="","",IF(C1538&lt;&gt;"","REMOVE","KEEP"))</f>
        <v/>
      </c>
      <c r="E1538">
        <f>IF(D1538&lt;&gt;"KEEP","",IF(RIGHT(B1538,10)="@gmail.com","Gmail",IF(OR(RIGHT(B1538,12)="@outlook.com",RIGHT(B1538,12)="@hotmail.com",RIGHT(B1538,9)="@live.com"),"Outlook","Domain")))</f>
        <v/>
      </c>
      <c r="F1538">
        <f>IF(B1538="","",IFERROR(RIGHT(B1538,LEN(B1538)-FIND("@",B1538)),""))</f>
        <v/>
      </c>
      <c r="G1538">
        <f>IF(D1538="KEEP",COUNTIF($D$2:D1538,"KEEP"),"")</f>
        <v/>
      </c>
      <c r="H1538">
        <f>IF(D1538="REMOVE",COUNTIF($D$2:D1538,"REMOVE"),"")</f>
        <v/>
      </c>
      <c r="I1538">
        <f>IF(E1538="Gmail",COUNTIF($E$2:E1538,"Gmail"),"")</f>
        <v/>
      </c>
      <c r="J1538">
        <f>IF(E1538="Outlook",COUNTIF($E$2:E1538,"Outlook"),"")</f>
        <v/>
      </c>
      <c r="K1538">
        <f>IF(E1538="Domain",COUNTIF($E$2:E1538,"Domain"),"")</f>
        <v/>
      </c>
    </row>
    <row r="1539">
      <c r="A1539" s="2" t="n"/>
      <c r="B1539">
        <f>LOWER(TRIM(A1539))</f>
        <v/>
      </c>
      <c r="C1539">
        <f>IF(B1539="","",IFERROR(INDEX('Bad Patterns'!$A$2:$A$120,MATCH(1,INDEX(--ISNUMBER(SEARCH('Bad Patterns'!$A$2:$A$120,B1539)),0),0)),""))</f>
        <v/>
      </c>
      <c r="D1539">
        <f>IF(B1539="","",IF(C1539&lt;&gt;"","REMOVE","KEEP"))</f>
        <v/>
      </c>
      <c r="E1539">
        <f>IF(D1539&lt;&gt;"KEEP","",IF(RIGHT(B1539,10)="@gmail.com","Gmail",IF(OR(RIGHT(B1539,12)="@outlook.com",RIGHT(B1539,12)="@hotmail.com",RIGHT(B1539,9)="@live.com"),"Outlook","Domain")))</f>
        <v/>
      </c>
      <c r="F1539">
        <f>IF(B1539="","",IFERROR(RIGHT(B1539,LEN(B1539)-FIND("@",B1539)),""))</f>
        <v/>
      </c>
      <c r="G1539">
        <f>IF(D1539="KEEP",COUNTIF($D$2:D1539,"KEEP"),"")</f>
        <v/>
      </c>
      <c r="H1539">
        <f>IF(D1539="REMOVE",COUNTIF($D$2:D1539,"REMOVE"),"")</f>
        <v/>
      </c>
      <c r="I1539">
        <f>IF(E1539="Gmail",COUNTIF($E$2:E1539,"Gmail"),"")</f>
        <v/>
      </c>
      <c r="J1539">
        <f>IF(E1539="Outlook",COUNTIF($E$2:E1539,"Outlook"),"")</f>
        <v/>
      </c>
      <c r="K1539">
        <f>IF(E1539="Domain",COUNTIF($E$2:E1539,"Domain"),"")</f>
        <v/>
      </c>
    </row>
    <row r="1540">
      <c r="A1540" s="2" t="n"/>
      <c r="B1540">
        <f>LOWER(TRIM(A1540))</f>
        <v/>
      </c>
      <c r="C1540">
        <f>IF(B1540="","",IFERROR(INDEX('Bad Patterns'!$A$2:$A$120,MATCH(1,INDEX(--ISNUMBER(SEARCH('Bad Patterns'!$A$2:$A$120,B1540)),0),0)),""))</f>
        <v/>
      </c>
      <c r="D1540">
        <f>IF(B1540="","",IF(C1540&lt;&gt;"","REMOVE","KEEP"))</f>
        <v/>
      </c>
      <c r="E1540">
        <f>IF(D1540&lt;&gt;"KEEP","",IF(RIGHT(B1540,10)="@gmail.com","Gmail",IF(OR(RIGHT(B1540,12)="@outlook.com",RIGHT(B1540,12)="@hotmail.com",RIGHT(B1540,9)="@live.com"),"Outlook","Domain")))</f>
        <v/>
      </c>
      <c r="F1540">
        <f>IF(B1540="","",IFERROR(RIGHT(B1540,LEN(B1540)-FIND("@",B1540)),""))</f>
        <v/>
      </c>
      <c r="G1540">
        <f>IF(D1540="KEEP",COUNTIF($D$2:D1540,"KEEP"),"")</f>
        <v/>
      </c>
      <c r="H1540">
        <f>IF(D1540="REMOVE",COUNTIF($D$2:D1540,"REMOVE"),"")</f>
        <v/>
      </c>
      <c r="I1540">
        <f>IF(E1540="Gmail",COUNTIF($E$2:E1540,"Gmail"),"")</f>
        <v/>
      </c>
      <c r="J1540">
        <f>IF(E1540="Outlook",COUNTIF($E$2:E1540,"Outlook"),"")</f>
        <v/>
      </c>
      <c r="K1540">
        <f>IF(E1540="Domain",COUNTIF($E$2:E1540,"Domain"),"")</f>
        <v/>
      </c>
    </row>
    <row r="1541">
      <c r="A1541" s="2" t="n"/>
      <c r="B1541">
        <f>LOWER(TRIM(A1541))</f>
        <v/>
      </c>
      <c r="C1541">
        <f>IF(B1541="","",IFERROR(INDEX('Bad Patterns'!$A$2:$A$120,MATCH(1,INDEX(--ISNUMBER(SEARCH('Bad Patterns'!$A$2:$A$120,B1541)),0),0)),""))</f>
        <v/>
      </c>
      <c r="D1541">
        <f>IF(B1541="","",IF(C1541&lt;&gt;"","REMOVE","KEEP"))</f>
        <v/>
      </c>
      <c r="E1541">
        <f>IF(D1541&lt;&gt;"KEEP","",IF(RIGHT(B1541,10)="@gmail.com","Gmail",IF(OR(RIGHT(B1541,12)="@outlook.com",RIGHT(B1541,12)="@hotmail.com",RIGHT(B1541,9)="@live.com"),"Outlook","Domain")))</f>
        <v/>
      </c>
      <c r="F1541">
        <f>IF(B1541="","",IFERROR(RIGHT(B1541,LEN(B1541)-FIND("@",B1541)),""))</f>
        <v/>
      </c>
      <c r="G1541">
        <f>IF(D1541="KEEP",COUNTIF($D$2:D1541,"KEEP"),"")</f>
        <v/>
      </c>
      <c r="H1541">
        <f>IF(D1541="REMOVE",COUNTIF($D$2:D1541,"REMOVE"),"")</f>
        <v/>
      </c>
      <c r="I1541">
        <f>IF(E1541="Gmail",COUNTIF($E$2:E1541,"Gmail"),"")</f>
        <v/>
      </c>
      <c r="J1541">
        <f>IF(E1541="Outlook",COUNTIF($E$2:E1541,"Outlook"),"")</f>
        <v/>
      </c>
      <c r="K1541">
        <f>IF(E1541="Domain",COUNTIF($E$2:E1541,"Domain"),"")</f>
        <v/>
      </c>
    </row>
    <row r="1542">
      <c r="A1542" s="2" t="n"/>
      <c r="B1542">
        <f>LOWER(TRIM(A1542))</f>
        <v/>
      </c>
      <c r="C1542">
        <f>IF(B1542="","",IFERROR(INDEX('Bad Patterns'!$A$2:$A$120,MATCH(1,INDEX(--ISNUMBER(SEARCH('Bad Patterns'!$A$2:$A$120,B1542)),0),0)),""))</f>
        <v/>
      </c>
      <c r="D1542">
        <f>IF(B1542="","",IF(C1542&lt;&gt;"","REMOVE","KEEP"))</f>
        <v/>
      </c>
      <c r="E1542">
        <f>IF(D1542&lt;&gt;"KEEP","",IF(RIGHT(B1542,10)="@gmail.com","Gmail",IF(OR(RIGHT(B1542,12)="@outlook.com",RIGHT(B1542,12)="@hotmail.com",RIGHT(B1542,9)="@live.com"),"Outlook","Domain")))</f>
        <v/>
      </c>
      <c r="F1542">
        <f>IF(B1542="","",IFERROR(RIGHT(B1542,LEN(B1542)-FIND("@",B1542)),""))</f>
        <v/>
      </c>
      <c r="G1542">
        <f>IF(D1542="KEEP",COUNTIF($D$2:D1542,"KEEP"),"")</f>
        <v/>
      </c>
      <c r="H1542">
        <f>IF(D1542="REMOVE",COUNTIF($D$2:D1542,"REMOVE"),"")</f>
        <v/>
      </c>
      <c r="I1542">
        <f>IF(E1542="Gmail",COUNTIF($E$2:E1542,"Gmail"),"")</f>
        <v/>
      </c>
      <c r="J1542">
        <f>IF(E1542="Outlook",COUNTIF($E$2:E1542,"Outlook"),"")</f>
        <v/>
      </c>
      <c r="K1542">
        <f>IF(E1542="Domain",COUNTIF($E$2:E1542,"Domain"),"")</f>
        <v/>
      </c>
    </row>
    <row r="1543">
      <c r="A1543" s="2" t="n"/>
      <c r="B1543">
        <f>LOWER(TRIM(A1543))</f>
        <v/>
      </c>
      <c r="C1543">
        <f>IF(B1543="","",IFERROR(INDEX('Bad Patterns'!$A$2:$A$120,MATCH(1,INDEX(--ISNUMBER(SEARCH('Bad Patterns'!$A$2:$A$120,B1543)),0),0)),""))</f>
        <v/>
      </c>
      <c r="D1543">
        <f>IF(B1543="","",IF(C1543&lt;&gt;"","REMOVE","KEEP"))</f>
        <v/>
      </c>
      <c r="E1543">
        <f>IF(D1543&lt;&gt;"KEEP","",IF(RIGHT(B1543,10)="@gmail.com","Gmail",IF(OR(RIGHT(B1543,12)="@outlook.com",RIGHT(B1543,12)="@hotmail.com",RIGHT(B1543,9)="@live.com"),"Outlook","Domain")))</f>
        <v/>
      </c>
      <c r="F1543">
        <f>IF(B1543="","",IFERROR(RIGHT(B1543,LEN(B1543)-FIND("@",B1543)),""))</f>
        <v/>
      </c>
      <c r="G1543">
        <f>IF(D1543="KEEP",COUNTIF($D$2:D1543,"KEEP"),"")</f>
        <v/>
      </c>
      <c r="H1543">
        <f>IF(D1543="REMOVE",COUNTIF($D$2:D1543,"REMOVE"),"")</f>
        <v/>
      </c>
      <c r="I1543">
        <f>IF(E1543="Gmail",COUNTIF($E$2:E1543,"Gmail"),"")</f>
        <v/>
      </c>
      <c r="J1543">
        <f>IF(E1543="Outlook",COUNTIF($E$2:E1543,"Outlook"),"")</f>
        <v/>
      </c>
      <c r="K1543">
        <f>IF(E1543="Domain",COUNTIF($E$2:E1543,"Domain"),"")</f>
        <v/>
      </c>
    </row>
    <row r="1544">
      <c r="A1544" s="2" t="n"/>
      <c r="B1544">
        <f>LOWER(TRIM(A1544))</f>
        <v/>
      </c>
      <c r="C1544">
        <f>IF(B1544="","",IFERROR(INDEX('Bad Patterns'!$A$2:$A$120,MATCH(1,INDEX(--ISNUMBER(SEARCH('Bad Patterns'!$A$2:$A$120,B1544)),0),0)),""))</f>
        <v/>
      </c>
      <c r="D1544">
        <f>IF(B1544="","",IF(C1544&lt;&gt;"","REMOVE","KEEP"))</f>
        <v/>
      </c>
      <c r="E1544">
        <f>IF(D1544&lt;&gt;"KEEP","",IF(RIGHT(B1544,10)="@gmail.com","Gmail",IF(OR(RIGHT(B1544,12)="@outlook.com",RIGHT(B1544,12)="@hotmail.com",RIGHT(B1544,9)="@live.com"),"Outlook","Domain")))</f>
        <v/>
      </c>
      <c r="F1544">
        <f>IF(B1544="","",IFERROR(RIGHT(B1544,LEN(B1544)-FIND("@",B1544)),""))</f>
        <v/>
      </c>
      <c r="G1544">
        <f>IF(D1544="KEEP",COUNTIF($D$2:D1544,"KEEP"),"")</f>
        <v/>
      </c>
      <c r="H1544">
        <f>IF(D1544="REMOVE",COUNTIF($D$2:D1544,"REMOVE"),"")</f>
        <v/>
      </c>
      <c r="I1544">
        <f>IF(E1544="Gmail",COUNTIF($E$2:E1544,"Gmail"),"")</f>
        <v/>
      </c>
      <c r="J1544">
        <f>IF(E1544="Outlook",COUNTIF($E$2:E1544,"Outlook"),"")</f>
        <v/>
      </c>
      <c r="K1544">
        <f>IF(E1544="Domain",COUNTIF($E$2:E1544,"Domain"),"")</f>
        <v/>
      </c>
    </row>
    <row r="1545">
      <c r="A1545" s="2" t="n"/>
      <c r="B1545">
        <f>LOWER(TRIM(A1545))</f>
        <v/>
      </c>
      <c r="C1545">
        <f>IF(B1545="","",IFERROR(INDEX('Bad Patterns'!$A$2:$A$120,MATCH(1,INDEX(--ISNUMBER(SEARCH('Bad Patterns'!$A$2:$A$120,B1545)),0),0)),""))</f>
        <v/>
      </c>
      <c r="D1545">
        <f>IF(B1545="","",IF(C1545&lt;&gt;"","REMOVE","KEEP"))</f>
        <v/>
      </c>
      <c r="E1545">
        <f>IF(D1545&lt;&gt;"KEEP","",IF(RIGHT(B1545,10)="@gmail.com","Gmail",IF(OR(RIGHT(B1545,12)="@outlook.com",RIGHT(B1545,12)="@hotmail.com",RIGHT(B1545,9)="@live.com"),"Outlook","Domain")))</f>
        <v/>
      </c>
      <c r="F1545">
        <f>IF(B1545="","",IFERROR(RIGHT(B1545,LEN(B1545)-FIND("@",B1545)),""))</f>
        <v/>
      </c>
      <c r="G1545">
        <f>IF(D1545="KEEP",COUNTIF($D$2:D1545,"KEEP"),"")</f>
        <v/>
      </c>
      <c r="H1545">
        <f>IF(D1545="REMOVE",COUNTIF($D$2:D1545,"REMOVE"),"")</f>
        <v/>
      </c>
      <c r="I1545">
        <f>IF(E1545="Gmail",COUNTIF($E$2:E1545,"Gmail"),"")</f>
        <v/>
      </c>
      <c r="J1545">
        <f>IF(E1545="Outlook",COUNTIF($E$2:E1545,"Outlook"),"")</f>
        <v/>
      </c>
      <c r="K1545">
        <f>IF(E1545="Domain",COUNTIF($E$2:E1545,"Domain"),"")</f>
        <v/>
      </c>
    </row>
    <row r="1546">
      <c r="A1546" s="2" t="n"/>
      <c r="B1546">
        <f>LOWER(TRIM(A1546))</f>
        <v/>
      </c>
      <c r="C1546">
        <f>IF(B1546="","",IFERROR(INDEX('Bad Patterns'!$A$2:$A$120,MATCH(1,INDEX(--ISNUMBER(SEARCH('Bad Patterns'!$A$2:$A$120,B1546)),0),0)),""))</f>
        <v/>
      </c>
      <c r="D1546">
        <f>IF(B1546="","",IF(C1546&lt;&gt;"","REMOVE","KEEP"))</f>
        <v/>
      </c>
      <c r="E1546">
        <f>IF(D1546&lt;&gt;"KEEP","",IF(RIGHT(B1546,10)="@gmail.com","Gmail",IF(OR(RIGHT(B1546,12)="@outlook.com",RIGHT(B1546,12)="@hotmail.com",RIGHT(B1546,9)="@live.com"),"Outlook","Domain")))</f>
        <v/>
      </c>
      <c r="F1546">
        <f>IF(B1546="","",IFERROR(RIGHT(B1546,LEN(B1546)-FIND("@",B1546)),""))</f>
        <v/>
      </c>
      <c r="G1546">
        <f>IF(D1546="KEEP",COUNTIF($D$2:D1546,"KEEP"),"")</f>
        <v/>
      </c>
      <c r="H1546">
        <f>IF(D1546="REMOVE",COUNTIF($D$2:D1546,"REMOVE"),"")</f>
        <v/>
      </c>
      <c r="I1546">
        <f>IF(E1546="Gmail",COUNTIF($E$2:E1546,"Gmail"),"")</f>
        <v/>
      </c>
      <c r="J1546">
        <f>IF(E1546="Outlook",COUNTIF($E$2:E1546,"Outlook"),"")</f>
        <v/>
      </c>
      <c r="K1546">
        <f>IF(E1546="Domain",COUNTIF($E$2:E1546,"Domain"),"")</f>
        <v/>
      </c>
    </row>
    <row r="1547">
      <c r="A1547" s="2" t="n"/>
      <c r="B1547">
        <f>LOWER(TRIM(A1547))</f>
        <v/>
      </c>
      <c r="C1547">
        <f>IF(B1547="","",IFERROR(INDEX('Bad Patterns'!$A$2:$A$120,MATCH(1,INDEX(--ISNUMBER(SEARCH('Bad Patterns'!$A$2:$A$120,B1547)),0),0)),""))</f>
        <v/>
      </c>
      <c r="D1547">
        <f>IF(B1547="","",IF(C1547&lt;&gt;"","REMOVE","KEEP"))</f>
        <v/>
      </c>
      <c r="E1547">
        <f>IF(D1547&lt;&gt;"KEEP","",IF(RIGHT(B1547,10)="@gmail.com","Gmail",IF(OR(RIGHT(B1547,12)="@outlook.com",RIGHT(B1547,12)="@hotmail.com",RIGHT(B1547,9)="@live.com"),"Outlook","Domain")))</f>
        <v/>
      </c>
      <c r="F1547">
        <f>IF(B1547="","",IFERROR(RIGHT(B1547,LEN(B1547)-FIND("@",B1547)),""))</f>
        <v/>
      </c>
      <c r="G1547">
        <f>IF(D1547="KEEP",COUNTIF($D$2:D1547,"KEEP"),"")</f>
        <v/>
      </c>
      <c r="H1547">
        <f>IF(D1547="REMOVE",COUNTIF($D$2:D1547,"REMOVE"),"")</f>
        <v/>
      </c>
      <c r="I1547">
        <f>IF(E1547="Gmail",COUNTIF($E$2:E1547,"Gmail"),"")</f>
        <v/>
      </c>
      <c r="J1547">
        <f>IF(E1547="Outlook",COUNTIF($E$2:E1547,"Outlook"),"")</f>
        <v/>
      </c>
      <c r="K1547">
        <f>IF(E1547="Domain",COUNTIF($E$2:E1547,"Domain"),"")</f>
        <v/>
      </c>
    </row>
    <row r="1548">
      <c r="A1548" s="2" t="n"/>
      <c r="B1548">
        <f>LOWER(TRIM(A1548))</f>
        <v/>
      </c>
      <c r="C1548">
        <f>IF(B1548="","",IFERROR(INDEX('Bad Patterns'!$A$2:$A$120,MATCH(1,INDEX(--ISNUMBER(SEARCH('Bad Patterns'!$A$2:$A$120,B1548)),0),0)),""))</f>
        <v/>
      </c>
      <c r="D1548">
        <f>IF(B1548="","",IF(C1548&lt;&gt;"","REMOVE","KEEP"))</f>
        <v/>
      </c>
      <c r="E1548">
        <f>IF(D1548&lt;&gt;"KEEP","",IF(RIGHT(B1548,10)="@gmail.com","Gmail",IF(OR(RIGHT(B1548,12)="@outlook.com",RIGHT(B1548,12)="@hotmail.com",RIGHT(B1548,9)="@live.com"),"Outlook","Domain")))</f>
        <v/>
      </c>
      <c r="F1548">
        <f>IF(B1548="","",IFERROR(RIGHT(B1548,LEN(B1548)-FIND("@",B1548)),""))</f>
        <v/>
      </c>
      <c r="G1548">
        <f>IF(D1548="KEEP",COUNTIF($D$2:D1548,"KEEP"),"")</f>
        <v/>
      </c>
      <c r="H1548">
        <f>IF(D1548="REMOVE",COUNTIF($D$2:D1548,"REMOVE"),"")</f>
        <v/>
      </c>
      <c r="I1548">
        <f>IF(E1548="Gmail",COUNTIF($E$2:E1548,"Gmail"),"")</f>
        <v/>
      </c>
      <c r="J1548">
        <f>IF(E1548="Outlook",COUNTIF($E$2:E1548,"Outlook"),"")</f>
        <v/>
      </c>
      <c r="K1548">
        <f>IF(E1548="Domain",COUNTIF($E$2:E1548,"Domain"),"")</f>
        <v/>
      </c>
    </row>
    <row r="1549">
      <c r="A1549" s="2" t="n"/>
      <c r="B1549">
        <f>LOWER(TRIM(A1549))</f>
        <v/>
      </c>
      <c r="C1549">
        <f>IF(B1549="","",IFERROR(INDEX('Bad Patterns'!$A$2:$A$120,MATCH(1,INDEX(--ISNUMBER(SEARCH('Bad Patterns'!$A$2:$A$120,B1549)),0),0)),""))</f>
        <v/>
      </c>
      <c r="D1549">
        <f>IF(B1549="","",IF(C1549&lt;&gt;"","REMOVE","KEEP"))</f>
        <v/>
      </c>
      <c r="E1549">
        <f>IF(D1549&lt;&gt;"KEEP","",IF(RIGHT(B1549,10)="@gmail.com","Gmail",IF(OR(RIGHT(B1549,12)="@outlook.com",RIGHT(B1549,12)="@hotmail.com",RIGHT(B1549,9)="@live.com"),"Outlook","Domain")))</f>
        <v/>
      </c>
      <c r="F1549">
        <f>IF(B1549="","",IFERROR(RIGHT(B1549,LEN(B1549)-FIND("@",B1549)),""))</f>
        <v/>
      </c>
      <c r="G1549">
        <f>IF(D1549="KEEP",COUNTIF($D$2:D1549,"KEEP"),"")</f>
        <v/>
      </c>
      <c r="H1549">
        <f>IF(D1549="REMOVE",COUNTIF($D$2:D1549,"REMOVE"),"")</f>
        <v/>
      </c>
      <c r="I1549">
        <f>IF(E1549="Gmail",COUNTIF($E$2:E1549,"Gmail"),"")</f>
        <v/>
      </c>
      <c r="J1549">
        <f>IF(E1549="Outlook",COUNTIF($E$2:E1549,"Outlook"),"")</f>
        <v/>
      </c>
      <c r="K1549">
        <f>IF(E1549="Domain",COUNTIF($E$2:E1549,"Domain"),"")</f>
        <v/>
      </c>
    </row>
    <row r="1550">
      <c r="A1550" s="2" t="n"/>
      <c r="B1550">
        <f>LOWER(TRIM(A1550))</f>
        <v/>
      </c>
      <c r="C1550">
        <f>IF(B1550="","",IFERROR(INDEX('Bad Patterns'!$A$2:$A$120,MATCH(1,INDEX(--ISNUMBER(SEARCH('Bad Patterns'!$A$2:$A$120,B1550)),0),0)),""))</f>
        <v/>
      </c>
      <c r="D1550">
        <f>IF(B1550="","",IF(C1550&lt;&gt;"","REMOVE","KEEP"))</f>
        <v/>
      </c>
      <c r="E1550">
        <f>IF(D1550&lt;&gt;"KEEP","",IF(RIGHT(B1550,10)="@gmail.com","Gmail",IF(OR(RIGHT(B1550,12)="@outlook.com",RIGHT(B1550,12)="@hotmail.com",RIGHT(B1550,9)="@live.com"),"Outlook","Domain")))</f>
        <v/>
      </c>
      <c r="F1550">
        <f>IF(B1550="","",IFERROR(RIGHT(B1550,LEN(B1550)-FIND("@",B1550)),""))</f>
        <v/>
      </c>
      <c r="G1550">
        <f>IF(D1550="KEEP",COUNTIF($D$2:D1550,"KEEP"),"")</f>
        <v/>
      </c>
      <c r="H1550">
        <f>IF(D1550="REMOVE",COUNTIF($D$2:D1550,"REMOVE"),"")</f>
        <v/>
      </c>
      <c r="I1550">
        <f>IF(E1550="Gmail",COUNTIF($E$2:E1550,"Gmail"),"")</f>
        <v/>
      </c>
      <c r="J1550">
        <f>IF(E1550="Outlook",COUNTIF($E$2:E1550,"Outlook"),"")</f>
        <v/>
      </c>
      <c r="K1550">
        <f>IF(E1550="Domain",COUNTIF($E$2:E1550,"Domain"),"")</f>
        <v/>
      </c>
    </row>
    <row r="1551">
      <c r="A1551" s="2" t="n"/>
      <c r="B1551">
        <f>LOWER(TRIM(A1551))</f>
        <v/>
      </c>
      <c r="C1551">
        <f>IF(B1551="","",IFERROR(INDEX('Bad Patterns'!$A$2:$A$120,MATCH(1,INDEX(--ISNUMBER(SEARCH('Bad Patterns'!$A$2:$A$120,B1551)),0),0)),""))</f>
        <v/>
      </c>
      <c r="D1551">
        <f>IF(B1551="","",IF(C1551&lt;&gt;"","REMOVE","KEEP"))</f>
        <v/>
      </c>
      <c r="E1551">
        <f>IF(D1551&lt;&gt;"KEEP","",IF(RIGHT(B1551,10)="@gmail.com","Gmail",IF(OR(RIGHT(B1551,12)="@outlook.com",RIGHT(B1551,12)="@hotmail.com",RIGHT(B1551,9)="@live.com"),"Outlook","Domain")))</f>
        <v/>
      </c>
      <c r="F1551">
        <f>IF(B1551="","",IFERROR(RIGHT(B1551,LEN(B1551)-FIND("@",B1551)),""))</f>
        <v/>
      </c>
      <c r="G1551">
        <f>IF(D1551="KEEP",COUNTIF($D$2:D1551,"KEEP"),"")</f>
        <v/>
      </c>
      <c r="H1551">
        <f>IF(D1551="REMOVE",COUNTIF($D$2:D1551,"REMOVE"),"")</f>
        <v/>
      </c>
      <c r="I1551">
        <f>IF(E1551="Gmail",COUNTIF($E$2:E1551,"Gmail"),"")</f>
        <v/>
      </c>
      <c r="J1551">
        <f>IF(E1551="Outlook",COUNTIF($E$2:E1551,"Outlook"),"")</f>
        <v/>
      </c>
      <c r="K1551">
        <f>IF(E1551="Domain",COUNTIF($E$2:E1551,"Domain"),"")</f>
        <v/>
      </c>
    </row>
    <row r="1552">
      <c r="A1552" s="2" t="n"/>
      <c r="B1552">
        <f>LOWER(TRIM(A1552))</f>
        <v/>
      </c>
      <c r="C1552">
        <f>IF(B1552="","",IFERROR(INDEX('Bad Patterns'!$A$2:$A$120,MATCH(1,INDEX(--ISNUMBER(SEARCH('Bad Patterns'!$A$2:$A$120,B1552)),0),0)),""))</f>
        <v/>
      </c>
      <c r="D1552">
        <f>IF(B1552="","",IF(C1552&lt;&gt;"","REMOVE","KEEP"))</f>
        <v/>
      </c>
      <c r="E1552">
        <f>IF(D1552&lt;&gt;"KEEP","",IF(RIGHT(B1552,10)="@gmail.com","Gmail",IF(OR(RIGHT(B1552,12)="@outlook.com",RIGHT(B1552,12)="@hotmail.com",RIGHT(B1552,9)="@live.com"),"Outlook","Domain")))</f>
        <v/>
      </c>
      <c r="F1552">
        <f>IF(B1552="","",IFERROR(RIGHT(B1552,LEN(B1552)-FIND("@",B1552)),""))</f>
        <v/>
      </c>
      <c r="G1552">
        <f>IF(D1552="KEEP",COUNTIF($D$2:D1552,"KEEP"),"")</f>
        <v/>
      </c>
      <c r="H1552">
        <f>IF(D1552="REMOVE",COUNTIF($D$2:D1552,"REMOVE"),"")</f>
        <v/>
      </c>
      <c r="I1552">
        <f>IF(E1552="Gmail",COUNTIF($E$2:E1552,"Gmail"),"")</f>
        <v/>
      </c>
      <c r="J1552">
        <f>IF(E1552="Outlook",COUNTIF($E$2:E1552,"Outlook"),"")</f>
        <v/>
      </c>
      <c r="K1552">
        <f>IF(E1552="Domain",COUNTIF($E$2:E1552,"Domain"),"")</f>
        <v/>
      </c>
    </row>
    <row r="1553">
      <c r="A1553" s="2" t="n"/>
      <c r="B1553">
        <f>LOWER(TRIM(A1553))</f>
        <v/>
      </c>
      <c r="C1553">
        <f>IF(B1553="","",IFERROR(INDEX('Bad Patterns'!$A$2:$A$120,MATCH(1,INDEX(--ISNUMBER(SEARCH('Bad Patterns'!$A$2:$A$120,B1553)),0),0)),""))</f>
        <v/>
      </c>
      <c r="D1553">
        <f>IF(B1553="","",IF(C1553&lt;&gt;"","REMOVE","KEEP"))</f>
        <v/>
      </c>
      <c r="E1553">
        <f>IF(D1553&lt;&gt;"KEEP","",IF(RIGHT(B1553,10)="@gmail.com","Gmail",IF(OR(RIGHT(B1553,12)="@outlook.com",RIGHT(B1553,12)="@hotmail.com",RIGHT(B1553,9)="@live.com"),"Outlook","Domain")))</f>
        <v/>
      </c>
      <c r="F1553">
        <f>IF(B1553="","",IFERROR(RIGHT(B1553,LEN(B1553)-FIND("@",B1553)),""))</f>
        <v/>
      </c>
      <c r="G1553">
        <f>IF(D1553="KEEP",COUNTIF($D$2:D1553,"KEEP"),"")</f>
        <v/>
      </c>
      <c r="H1553">
        <f>IF(D1553="REMOVE",COUNTIF($D$2:D1553,"REMOVE"),"")</f>
        <v/>
      </c>
      <c r="I1553">
        <f>IF(E1553="Gmail",COUNTIF($E$2:E1553,"Gmail"),"")</f>
        <v/>
      </c>
      <c r="J1553">
        <f>IF(E1553="Outlook",COUNTIF($E$2:E1553,"Outlook"),"")</f>
        <v/>
      </c>
      <c r="K1553">
        <f>IF(E1553="Domain",COUNTIF($E$2:E1553,"Domain"),"")</f>
        <v/>
      </c>
    </row>
    <row r="1554">
      <c r="A1554" s="2" t="n"/>
      <c r="B1554">
        <f>LOWER(TRIM(A1554))</f>
        <v/>
      </c>
      <c r="C1554">
        <f>IF(B1554="","",IFERROR(INDEX('Bad Patterns'!$A$2:$A$120,MATCH(1,INDEX(--ISNUMBER(SEARCH('Bad Patterns'!$A$2:$A$120,B1554)),0),0)),""))</f>
        <v/>
      </c>
      <c r="D1554">
        <f>IF(B1554="","",IF(C1554&lt;&gt;"","REMOVE","KEEP"))</f>
        <v/>
      </c>
      <c r="E1554">
        <f>IF(D1554&lt;&gt;"KEEP","",IF(RIGHT(B1554,10)="@gmail.com","Gmail",IF(OR(RIGHT(B1554,12)="@outlook.com",RIGHT(B1554,12)="@hotmail.com",RIGHT(B1554,9)="@live.com"),"Outlook","Domain")))</f>
        <v/>
      </c>
      <c r="F1554">
        <f>IF(B1554="","",IFERROR(RIGHT(B1554,LEN(B1554)-FIND("@",B1554)),""))</f>
        <v/>
      </c>
      <c r="G1554">
        <f>IF(D1554="KEEP",COUNTIF($D$2:D1554,"KEEP"),"")</f>
        <v/>
      </c>
      <c r="H1554">
        <f>IF(D1554="REMOVE",COUNTIF($D$2:D1554,"REMOVE"),"")</f>
        <v/>
      </c>
      <c r="I1554">
        <f>IF(E1554="Gmail",COUNTIF($E$2:E1554,"Gmail"),"")</f>
        <v/>
      </c>
      <c r="J1554">
        <f>IF(E1554="Outlook",COUNTIF($E$2:E1554,"Outlook"),"")</f>
        <v/>
      </c>
      <c r="K1554">
        <f>IF(E1554="Domain",COUNTIF($E$2:E1554,"Domain"),"")</f>
        <v/>
      </c>
    </row>
    <row r="1555">
      <c r="A1555" s="2" t="n"/>
      <c r="B1555">
        <f>LOWER(TRIM(A1555))</f>
        <v/>
      </c>
      <c r="C1555">
        <f>IF(B1555="","",IFERROR(INDEX('Bad Patterns'!$A$2:$A$120,MATCH(1,INDEX(--ISNUMBER(SEARCH('Bad Patterns'!$A$2:$A$120,B1555)),0),0)),""))</f>
        <v/>
      </c>
      <c r="D1555">
        <f>IF(B1555="","",IF(C1555&lt;&gt;"","REMOVE","KEEP"))</f>
        <v/>
      </c>
      <c r="E1555">
        <f>IF(D1555&lt;&gt;"KEEP","",IF(RIGHT(B1555,10)="@gmail.com","Gmail",IF(OR(RIGHT(B1555,12)="@outlook.com",RIGHT(B1555,12)="@hotmail.com",RIGHT(B1555,9)="@live.com"),"Outlook","Domain")))</f>
        <v/>
      </c>
      <c r="F1555">
        <f>IF(B1555="","",IFERROR(RIGHT(B1555,LEN(B1555)-FIND("@",B1555)),""))</f>
        <v/>
      </c>
      <c r="G1555">
        <f>IF(D1555="KEEP",COUNTIF($D$2:D1555,"KEEP"),"")</f>
        <v/>
      </c>
      <c r="H1555">
        <f>IF(D1555="REMOVE",COUNTIF($D$2:D1555,"REMOVE"),"")</f>
        <v/>
      </c>
      <c r="I1555">
        <f>IF(E1555="Gmail",COUNTIF($E$2:E1555,"Gmail"),"")</f>
        <v/>
      </c>
      <c r="J1555">
        <f>IF(E1555="Outlook",COUNTIF($E$2:E1555,"Outlook"),"")</f>
        <v/>
      </c>
      <c r="K1555">
        <f>IF(E1555="Domain",COUNTIF($E$2:E1555,"Domain"),"")</f>
        <v/>
      </c>
    </row>
    <row r="1556">
      <c r="A1556" s="2" t="n"/>
      <c r="B1556">
        <f>LOWER(TRIM(A1556))</f>
        <v/>
      </c>
      <c r="C1556">
        <f>IF(B1556="","",IFERROR(INDEX('Bad Patterns'!$A$2:$A$120,MATCH(1,INDEX(--ISNUMBER(SEARCH('Bad Patterns'!$A$2:$A$120,B1556)),0),0)),""))</f>
        <v/>
      </c>
      <c r="D1556">
        <f>IF(B1556="","",IF(C1556&lt;&gt;"","REMOVE","KEEP"))</f>
        <v/>
      </c>
      <c r="E1556">
        <f>IF(D1556&lt;&gt;"KEEP","",IF(RIGHT(B1556,10)="@gmail.com","Gmail",IF(OR(RIGHT(B1556,12)="@outlook.com",RIGHT(B1556,12)="@hotmail.com",RIGHT(B1556,9)="@live.com"),"Outlook","Domain")))</f>
        <v/>
      </c>
      <c r="F1556">
        <f>IF(B1556="","",IFERROR(RIGHT(B1556,LEN(B1556)-FIND("@",B1556)),""))</f>
        <v/>
      </c>
      <c r="G1556">
        <f>IF(D1556="KEEP",COUNTIF($D$2:D1556,"KEEP"),"")</f>
        <v/>
      </c>
      <c r="H1556">
        <f>IF(D1556="REMOVE",COUNTIF($D$2:D1556,"REMOVE"),"")</f>
        <v/>
      </c>
      <c r="I1556">
        <f>IF(E1556="Gmail",COUNTIF($E$2:E1556,"Gmail"),"")</f>
        <v/>
      </c>
      <c r="J1556">
        <f>IF(E1556="Outlook",COUNTIF($E$2:E1556,"Outlook"),"")</f>
        <v/>
      </c>
      <c r="K1556">
        <f>IF(E1556="Domain",COUNTIF($E$2:E1556,"Domain"),"")</f>
        <v/>
      </c>
    </row>
    <row r="1557">
      <c r="A1557" s="2" t="n"/>
      <c r="B1557">
        <f>LOWER(TRIM(A1557))</f>
        <v/>
      </c>
      <c r="C1557">
        <f>IF(B1557="","",IFERROR(INDEX('Bad Patterns'!$A$2:$A$120,MATCH(1,INDEX(--ISNUMBER(SEARCH('Bad Patterns'!$A$2:$A$120,B1557)),0),0)),""))</f>
        <v/>
      </c>
      <c r="D1557">
        <f>IF(B1557="","",IF(C1557&lt;&gt;"","REMOVE","KEEP"))</f>
        <v/>
      </c>
      <c r="E1557">
        <f>IF(D1557&lt;&gt;"KEEP","",IF(RIGHT(B1557,10)="@gmail.com","Gmail",IF(OR(RIGHT(B1557,12)="@outlook.com",RIGHT(B1557,12)="@hotmail.com",RIGHT(B1557,9)="@live.com"),"Outlook","Domain")))</f>
        <v/>
      </c>
      <c r="F1557">
        <f>IF(B1557="","",IFERROR(RIGHT(B1557,LEN(B1557)-FIND("@",B1557)),""))</f>
        <v/>
      </c>
      <c r="G1557">
        <f>IF(D1557="KEEP",COUNTIF($D$2:D1557,"KEEP"),"")</f>
        <v/>
      </c>
      <c r="H1557">
        <f>IF(D1557="REMOVE",COUNTIF($D$2:D1557,"REMOVE"),"")</f>
        <v/>
      </c>
      <c r="I1557">
        <f>IF(E1557="Gmail",COUNTIF($E$2:E1557,"Gmail"),"")</f>
        <v/>
      </c>
      <c r="J1557">
        <f>IF(E1557="Outlook",COUNTIF($E$2:E1557,"Outlook"),"")</f>
        <v/>
      </c>
      <c r="K1557">
        <f>IF(E1557="Domain",COUNTIF($E$2:E1557,"Domain"),"")</f>
        <v/>
      </c>
    </row>
    <row r="1558">
      <c r="A1558" s="2" t="n"/>
      <c r="B1558">
        <f>LOWER(TRIM(A1558))</f>
        <v/>
      </c>
      <c r="C1558">
        <f>IF(B1558="","",IFERROR(INDEX('Bad Patterns'!$A$2:$A$120,MATCH(1,INDEX(--ISNUMBER(SEARCH('Bad Patterns'!$A$2:$A$120,B1558)),0),0)),""))</f>
        <v/>
      </c>
      <c r="D1558">
        <f>IF(B1558="","",IF(C1558&lt;&gt;"","REMOVE","KEEP"))</f>
        <v/>
      </c>
      <c r="E1558">
        <f>IF(D1558&lt;&gt;"KEEP","",IF(RIGHT(B1558,10)="@gmail.com","Gmail",IF(OR(RIGHT(B1558,12)="@outlook.com",RIGHT(B1558,12)="@hotmail.com",RIGHT(B1558,9)="@live.com"),"Outlook","Domain")))</f>
        <v/>
      </c>
      <c r="F1558">
        <f>IF(B1558="","",IFERROR(RIGHT(B1558,LEN(B1558)-FIND("@",B1558)),""))</f>
        <v/>
      </c>
      <c r="G1558">
        <f>IF(D1558="KEEP",COUNTIF($D$2:D1558,"KEEP"),"")</f>
        <v/>
      </c>
      <c r="H1558">
        <f>IF(D1558="REMOVE",COUNTIF($D$2:D1558,"REMOVE"),"")</f>
        <v/>
      </c>
      <c r="I1558">
        <f>IF(E1558="Gmail",COUNTIF($E$2:E1558,"Gmail"),"")</f>
        <v/>
      </c>
      <c r="J1558">
        <f>IF(E1558="Outlook",COUNTIF($E$2:E1558,"Outlook"),"")</f>
        <v/>
      </c>
      <c r="K1558">
        <f>IF(E1558="Domain",COUNTIF($E$2:E1558,"Domain"),"")</f>
        <v/>
      </c>
    </row>
    <row r="1559">
      <c r="A1559" s="2" t="n"/>
      <c r="B1559">
        <f>LOWER(TRIM(A1559))</f>
        <v/>
      </c>
      <c r="C1559">
        <f>IF(B1559="","",IFERROR(INDEX('Bad Patterns'!$A$2:$A$120,MATCH(1,INDEX(--ISNUMBER(SEARCH('Bad Patterns'!$A$2:$A$120,B1559)),0),0)),""))</f>
        <v/>
      </c>
      <c r="D1559">
        <f>IF(B1559="","",IF(C1559&lt;&gt;"","REMOVE","KEEP"))</f>
        <v/>
      </c>
      <c r="E1559">
        <f>IF(D1559&lt;&gt;"KEEP","",IF(RIGHT(B1559,10)="@gmail.com","Gmail",IF(OR(RIGHT(B1559,12)="@outlook.com",RIGHT(B1559,12)="@hotmail.com",RIGHT(B1559,9)="@live.com"),"Outlook","Domain")))</f>
        <v/>
      </c>
      <c r="F1559">
        <f>IF(B1559="","",IFERROR(RIGHT(B1559,LEN(B1559)-FIND("@",B1559)),""))</f>
        <v/>
      </c>
      <c r="G1559">
        <f>IF(D1559="KEEP",COUNTIF($D$2:D1559,"KEEP"),"")</f>
        <v/>
      </c>
      <c r="H1559">
        <f>IF(D1559="REMOVE",COUNTIF($D$2:D1559,"REMOVE"),"")</f>
        <v/>
      </c>
      <c r="I1559">
        <f>IF(E1559="Gmail",COUNTIF($E$2:E1559,"Gmail"),"")</f>
        <v/>
      </c>
      <c r="J1559">
        <f>IF(E1559="Outlook",COUNTIF($E$2:E1559,"Outlook"),"")</f>
        <v/>
      </c>
      <c r="K1559">
        <f>IF(E1559="Domain",COUNTIF($E$2:E1559,"Domain"),"")</f>
        <v/>
      </c>
    </row>
    <row r="1560">
      <c r="A1560" s="2" t="n"/>
      <c r="B1560">
        <f>LOWER(TRIM(A1560))</f>
        <v/>
      </c>
      <c r="C1560">
        <f>IF(B1560="","",IFERROR(INDEX('Bad Patterns'!$A$2:$A$120,MATCH(1,INDEX(--ISNUMBER(SEARCH('Bad Patterns'!$A$2:$A$120,B1560)),0),0)),""))</f>
        <v/>
      </c>
      <c r="D1560">
        <f>IF(B1560="","",IF(C1560&lt;&gt;"","REMOVE","KEEP"))</f>
        <v/>
      </c>
      <c r="E1560">
        <f>IF(D1560&lt;&gt;"KEEP","",IF(RIGHT(B1560,10)="@gmail.com","Gmail",IF(OR(RIGHT(B1560,12)="@outlook.com",RIGHT(B1560,12)="@hotmail.com",RIGHT(B1560,9)="@live.com"),"Outlook","Domain")))</f>
        <v/>
      </c>
      <c r="F1560">
        <f>IF(B1560="","",IFERROR(RIGHT(B1560,LEN(B1560)-FIND("@",B1560)),""))</f>
        <v/>
      </c>
      <c r="G1560">
        <f>IF(D1560="KEEP",COUNTIF($D$2:D1560,"KEEP"),"")</f>
        <v/>
      </c>
      <c r="H1560">
        <f>IF(D1560="REMOVE",COUNTIF($D$2:D1560,"REMOVE"),"")</f>
        <v/>
      </c>
      <c r="I1560">
        <f>IF(E1560="Gmail",COUNTIF($E$2:E1560,"Gmail"),"")</f>
        <v/>
      </c>
      <c r="J1560">
        <f>IF(E1560="Outlook",COUNTIF($E$2:E1560,"Outlook"),"")</f>
        <v/>
      </c>
      <c r="K1560">
        <f>IF(E1560="Domain",COUNTIF($E$2:E1560,"Domain"),"")</f>
        <v/>
      </c>
    </row>
    <row r="1561">
      <c r="A1561" s="2" t="n"/>
      <c r="B1561">
        <f>LOWER(TRIM(A1561))</f>
        <v/>
      </c>
      <c r="C1561">
        <f>IF(B1561="","",IFERROR(INDEX('Bad Patterns'!$A$2:$A$120,MATCH(1,INDEX(--ISNUMBER(SEARCH('Bad Patterns'!$A$2:$A$120,B1561)),0),0)),""))</f>
        <v/>
      </c>
      <c r="D1561">
        <f>IF(B1561="","",IF(C1561&lt;&gt;"","REMOVE","KEEP"))</f>
        <v/>
      </c>
      <c r="E1561">
        <f>IF(D1561&lt;&gt;"KEEP","",IF(RIGHT(B1561,10)="@gmail.com","Gmail",IF(OR(RIGHT(B1561,12)="@outlook.com",RIGHT(B1561,12)="@hotmail.com",RIGHT(B1561,9)="@live.com"),"Outlook","Domain")))</f>
        <v/>
      </c>
      <c r="F1561">
        <f>IF(B1561="","",IFERROR(RIGHT(B1561,LEN(B1561)-FIND("@",B1561)),""))</f>
        <v/>
      </c>
      <c r="G1561">
        <f>IF(D1561="KEEP",COUNTIF($D$2:D1561,"KEEP"),"")</f>
        <v/>
      </c>
      <c r="H1561">
        <f>IF(D1561="REMOVE",COUNTIF($D$2:D1561,"REMOVE"),"")</f>
        <v/>
      </c>
      <c r="I1561">
        <f>IF(E1561="Gmail",COUNTIF($E$2:E1561,"Gmail"),"")</f>
        <v/>
      </c>
      <c r="J1561">
        <f>IF(E1561="Outlook",COUNTIF($E$2:E1561,"Outlook"),"")</f>
        <v/>
      </c>
      <c r="K1561">
        <f>IF(E1561="Domain",COUNTIF($E$2:E1561,"Domain"),"")</f>
        <v/>
      </c>
    </row>
    <row r="1562">
      <c r="A1562" s="2" t="n"/>
      <c r="B1562">
        <f>LOWER(TRIM(A1562))</f>
        <v/>
      </c>
      <c r="C1562">
        <f>IF(B1562="","",IFERROR(INDEX('Bad Patterns'!$A$2:$A$120,MATCH(1,INDEX(--ISNUMBER(SEARCH('Bad Patterns'!$A$2:$A$120,B1562)),0),0)),""))</f>
        <v/>
      </c>
      <c r="D1562">
        <f>IF(B1562="","",IF(C1562&lt;&gt;"","REMOVE","KEEP"))</f>
        <v/>
      </c>
      <c r="E1562">
        <f>IF(D1562&lt;&gt;"KEEP","",IF(RIGHT(B1562,10)="@gmail.com","Gmail",IF(OR(RIGHT(B1562,12)="@outlook.com",RIGHT(B1562,12)="@hotmail.com",RIGHT(B1562,9)="@live.com"),"Outlook","Domain")))</f>
        <v/>
      </c>
      <c r="F1562">
        <f>IF(B1562="","",IFERROR(RIGHT(B1562,LEN(B1562)-FIND("@",B1562)),""))</f>
        <v/>
      </c>
      <c r="G1562">
        <f>IF(D1562="KEEP",COUNTIF($D$2:D1562,"KEEP"),"")</f>
        <v/>
      </c>
      <c r="H1562">
        <f>IF(D1562="REMOVE",COUNTIF($D$2:D1562,"REMOVE"),"")</f>
        <v/>
      </c>
      <c r="I1562">
        <f>IF(E1562="Gmail",COUNTIF($E$2:E1562,"Gmail"),"")</f>
        <v/>
      </c>
      <c r="J1562">
        <f>IF(E1562="Outlook",COUNTIF($E$2:E1562,"Outlook"),"")</f>
        <v/>
      </c>
      <c r="K1562">
        <f>IF(E1562="Domain",COUNTIF($E$2:E1562,"Domain"),"")</f>
        <v/>
      </c>
    </row>
    <row r="1563">
      <c r="A1563" s="2" t="n"/>
      <c r="B1563">
        <f>LOWER(TRIM(A1563))</f>
        <v/>
      </c>
      <c r="C1563">
        <f>IF(B1563="","",IFERROR(INDEX('Bad Patterns'!$A$2:$A$120,MATCH(1,INDEX(--ISNUMBER(SEARCH('Bad Patterns'!$A$2:$A$120,B1563)),0),0)),""))</f>
        <v/>
      </c>
      <c r="D1563">
        <f>IF(B1563="","",IF(C1563&lt;&gt;"","REMOVE","KEEP"))</f>
        <v/>
      </c>
      <c r="E1563">
        <f>IF(D1563&lt;&gt;"KEEP","",IF(RIGHT(B1563,10)="@gmail.com","Gmail",IF(OR(RIGHT(B1563,12)="@outlook.com",RIGHT(B1563,12)="@hotmail.com",RIGHT(B1563,9)="@live.com"),"Outlook","Domain")))</f>
        <v/>
      </c>
      <c r="F1563">
        <f>IF(B1563="","",IFERROR(RIGHT(B1563,LEN(B1563)-FIND("@",B1563)),""))</f>
        <v/>
      </c>
      <c r="G1563">
        <f>IF(D1563="KEEP",COUNTIF($D$2:D1563,"KEEP"),"")</f>
        <v/>
      </c>
      <c r="H1563">
        <f>IF(D1563="REMOVE",COUNTIF($D$2:D1563,"REMOVE"),"")</f>
        <v/>
      </c>
      <c r="I1563">
        <f>IF(E1563="Gmail",COUNTIF($E$2:E1563,"Gmail"),"")</f>
        <v/>
      </c>
      <c r="J1563">
        <f>IF(E1563="Outlook",COUNTIF($E$2:E1563,"Outlook"),"")</f>
        <v/>
      </c>
      <c r="K1563">
        <f>IF(E1563="Domain",COUNTIF($E$2:E1563,"Domain"),"")</f>
        <v/>
      </c>
    </row>
    <row r="1564">
      <c r="A1564" s="2" t="n"/>
      <c r="B1564">
        <f>LOWER(TRIM(A1564))</f>
        <v/>
      </c>
      <c r="C1564">
        <f>IF(B1564="","",IFERROR(INDEX('Bad Patterns'!$A$2:$A$120,MATCH(1,INDEX(--ISNUMBER(SEARCH('Bad Patterns'!$A$2:$A$120,B1564)),0),0)),""))</f>
        <v/>
      </c>
      <c r="D1564">
        <f>IF(B1564="","",IF(C1564&lt;&gt;"","REMOVE","KEEP"))</f>
        <v/>
      </c>
      <c r="E1564">
        <f>IF(D1564&lt;&gt;"KEEP","",IF(RIGHT(B1564,10)="@gmail.com","Gmail",IF(OR(RIGHT(B1564,12)="@outlook.com",RIGHT(B1564,12)="@hotmail.com",RIGHT(B1564,9)="@live.com"),"Outlook","Domain")))</f>
        <v/>
      </c>
      <c r="F1564">
        <f>IF(B1564="","",IFERROR(RIGHT(B1564,LEN(B1564)-FIND("@",B1564)),""))</f>
        <v/>
      </c>
      <c r="G1564">
        <f>IF(D1564="KEEP",COUNTIF($D$2:D1564,"KEEP"),"")</f>
        <v/>
      </c>
      <c r="H1564">
        <f>IF(D1564="REMOVE",COUNTIF($D$2:D1564,"REMOVE"),"")</f>
        <v/>
      </c>
      <c r="I1564">
        <f>IF(E1564="Gmail",COUNTIF($E$2:E1564,"Gmail"),"")</f>
        <v/>
      </c>
      <c r="J1564">
        <f>IF(E1564="Outlook",COUNTIF($E$2:E1564,"Outlook"),"")</f>
        <v/>
      </c>
      <c r="K1564">
        <f>IF(E1564="Domain",COUNTIF($E$2:E1564,"Domain"),"")</f>
        <v/>
      </c>
    </row>
    <row r="1565">
      <c r="A1565" s="2" t="n"/>
      <c r="B1565">
        <f>LOWER(TRIM(A1565))</f>
        <v/>
      </c>
      <c r="C1565">
        <f>IF(B1565="","",IFERROR(INDEX('Bad Patterns'!$A$2:$A$120,MATCH(1,INDEX(--ISNUMBER(SEARCH('Bad Patterns'!$A$2:$A$120,B1565)),0),0)),""))</f>
        <v/>
      </c>
      <c r="D1565">
        <f>IF(B1565="","",IF(C1565&lt;&gt;"","REMOVE","KEEP"))</f>
        <v/>
      </c>
      <c r="E1565">
        <f>IF(D1565&lt;&gt;"KEEP","",IF(RIGHT(B1565,10)="@gmail.com","Gmail",IF(OR(RIGHT(B1565,12)="@outlook.com",RIGHT(B1565,12)="@hotmail.com",RIGHT(B1565,9)="@live.com"),"Outlook","Domain")))</f>
        <v/>
      </c>
      <c r="F1565">
        <f>IF(B1565="","",IFERROR(RIGHT(B1565,LEN(B1565)-FIND("@",B1565)),""))</f>
        <v/>
      </c>
      <c r="G1565">
        <f>IF(D1565="KEEP",COUNTIF($D$2:D1565,"KEEP"),"")</f>
        <v/>
      </c>
      <c r="H1565">
        <f>IF(D1565="REMOVE",COUNTIF($D$2:D1565,"REMOVE"),"")</f>
        <v/>
      </c>
      <c r="I1565">
        <f>IF(E1565="Gmail",COUNTIF($E$2:E1565,"Gmail"),"")</f>
        <v/>
      </c>
      <c r="J1565">
        <f>IF(E1565="Outlook",COUNTIF($E$2:E1565,"Outlook"),"")</f>
        <v/>
      </c>
      <c r="K1565">
        <f>IF(E1565="Domain",COUNTIF($E$2:E1565,"Domain"),"")</f>
        <v/>
      </c>
    </row>
    <row r="1566">
      <c r="A1566" s="2" t="n"/>
      <c r="B1566">
        <f>LOWER(TRIM(A1566))</f>
        <v/>
      </c>
      <c r="C1566">
        <f>IF(B1566="","",IFERROR(INDEX('Bad Patterns'!$A$2:$A$120,MATCH(1,INDEX(--ISNUMBER(SEARCH('Bad Patterns'!$A$2:$A$120,B1566)),0),0)),""))</f>
        <v/>
      </c>
      <c r="D1566">
        <f>IF(B1566="","",IF(C1566&lt;&gt;"","REMOVE","KEEP"))</f>
        <v/>
      </c>
      <c r="E1566">
        <f>IF(D1566&lt;&gt;"KEEP","",IF(RIGHT(B1566,10)="@gmail.com","Gmail",IF(OR(RIGHT(B1566,12)="@outlook.com",RIGHT(B1566,12)="@hotmail.com",RIGHT(B1566,9)="@live.com"),"Outlook","Domain")))</f>
        <v/>
      </c>
      <c r="F1566">
        <f>IF(B1566="","",IFERROR(RIGHT(B1566,LEN(B1566)-FIND("@",B1566)),""))</f>
        <v/>
      </c>
      <c r="G1566">
        <f>IF(D1566="KEEP",COUNTIF($D$2:D1566,"KEEP"),"")</f>
        <v/>
      </c>
      <c r="H1566">
        <f>IF(D1566="REMOVE",COUNTIF($D$2:D1566,"REMOVE"),"")</f>
        <v/>
      </c>
      <c r="I1566">
        <f>IF(E1566="Gmail",COUNTIF($E$2:E1566,"Gmail"),"")</f>
        <v/>
      </c>
      <c r="J1566">
        <f>IF(E1566="Outlook",COUNTIF($E$2:E1566,"Outlook"),"")</f>
        <v/>
      </c>
      <c r="K1566">
        <f>IF(E1566="Domain",COUNTIF($E$2:E1566,"Domain"),"")</f>
        <v/>
      </c>
    </row>
    <row r="1567">
      <c r="A1567" s="2" t="n"/>
      <c r="B1567">
        <f>LOWER(TRIM(A1567))</f>
        <v/>
      </c>
      <c r="C1567">
        <f>IF(B1567="","",IFERROR(INDEX('Bad Patterns'!$A$2:$A$120,MATCH(1,INDEX(--ISNUMBER(SEARCH('Bad Patterns'!$A$2:$A$120,B1567)),0),0)),""))</f>
        <v/>
      </c>
      <c r="D1567">
        <f>IF(B1567="","",IF(C1567&lt;&gt;"","REMOVE","KEEP"))</f>
        <v/>
      </c>
      <c r="E1567">
        <f>IF(D1567&lt;&gt;"KEEP","",IF(RIGHT(B1567,10)="@gmail.com","Gmail",IF(OR(RIGHT(B1567,12)="@outlook.com",RIGHT(B1567,12)="@hotmail.com",RIGHT(B1567,9)="@live.com"),"Outlook","Domain")))</f>
        <v/>
      </c>
      <c r="F1567">
        <f>IF(B1567="","",IFERROR(RIGHT(B1567,LEN(B1567)-FIND("@",B1567)),""))</f>
        <v/>
      </c>
      <c r="G1567">
        <f>IF(D1567="KEEP",COUNTIF($D$2:D1567,"KEEP"),"")</f>
        <v/>
      </c>
      <c r="H1567">
        <f>IF(D1567="REMOVE",COUNTIF($D$2:D1567,"REMOVE"),"")</f>
        <v/>
      </c>
      <c r="I1567">
        <f>IF(E1567="Gmail",COUNTIF($E$2:E1567,"Gmail"),"")</f>
        <v/>
      </c>
      <c r="J1567">
        <f>IF(E1567="Outlook",COUNTIF($E$2:E1567,"Outlook"),"")</f>
        <v/>
      </c>
      <c r="K1567">
        <f>IF(E1567="Domain",COUNTIF($E$2:E1567,"Domain"),"")</f>
        <v/>
      </c>
    </row>
    <row r="1568">
      <c r="A1568" s="2" t="n"/>
      <c r="B1568">
        <f>LOWER(TRIM(A1568))</f>
        <v/>
      </c>
      <c r="C1568">
        <f>IF(B1568="","",IFERROR(INDEX('Bad Patterns'!$A$2:$A$120,MATCH(1,INDEX(--ISNUMBER(SEARCH('Bad Patterns'!$A$2:$A$120,B1568)),0),0)),""))</f>
        <v/>
      </c>
      <c r="D1568">
        <f>IF(B1568="","",IF(C1568&lt;&gt;"","REMOVE","KEEP"))</f>
        <v/>
      </c>
      <c r="E1568">
        <f>IF(D1568&lt;&gt;"KEEP","",IF(RIGHT(B1568,10)="@gmail.com","Gmail",IF(OR(RIGHT(B1568,12)="@outlook.com",RIGHT(B1568,12)="@hotmail.com",RIGHT(B1568,9)="@live.com"),"Outlook","Domain")))</f>
        <v/>
      </c>
      <c r="F1568">
        <f>IF(B1568="","",IFERROR(RIGHT(B1568,LEN(B1568)-FIND("@",B1568)),""))</f>
        <v/>
      </c>
      <c r="G1568">
        <f>IF(D1568="KEEP",COUNTIF($D$2:D1568,"KEEP"),"")</f>
        <v/>
      </c>
      <c r="H1568">
        <f>IF(D1568="REMOVE",COUNTIF($D$2:D1568,"REMOVE"),"")</f>
        <v/>
      </c>
      <c r="I1568">
        <f>IF(E1568="Gmail",COUNTIF($E$2:E1568,"Gmail"),"")</f>
        <v/>
      </c>
      <c r="J1568">
        <f>IF(E1568="Outlook",COUNTIF($E$2:E1568,"Outlook"),"")</f>
        <v/>
      </c>
      <c r="K1568">
        <f>IF(E1568="Domain",COUNTIF($E$2:E1568,"Domain"),"")</f>
        <v/>
      </c>
    </row>
    <row r="1569">
      <c r="A1569" s="2" t="n"/>
      <c r="B1569">
        <f>LOWER(TRIM(A1569))</f>
        <v/>
      </c>
      <c r="C1569">
        <f>IF(B1569="","",IFERROR(INDEX('Bad Patterns'!$A$2:$A$120,MATCH(1,INDEX(--ISNUMBER(SEARCH('Bad Patterns'!$A$2:$A$120,B1569)),0),0)),""))</f>
        <v/>
      </c>
      <c r="D1569">
        <f>IF(B1569="","",IF(C1569&lt;&gt;"","REMOVE","KEEP"))</f>
        <v/>
      </c>
      <c r="E1569">
        <f>IF(D1569&lt;&gt;"KEEP","",IF(RIGHT(B1569,10)="@gmail.com","Gmail",IF(OR(RIGHT(B1569,12)="@outlook.com",RIGHT(B1569,12)="@hotmail.com",RIGHT(B1569,9)="@live.com"),"Outlook","Domain")))</f>
        <v/>
      </c>
      <c r="F1569">
        <f>IF(B1569="","",IFERROR(RIGHT(B1569,LEN(B1569)-FIND("@",B1569)),""))</f>
        <v/>
      </c>
      <c r="G1569">
        <f>IF(D1569="KEEP",COUNTIF($D$2:D1569,"KEEP"),"")</f>
        <v/>
      </c>
      <c r="H1569">
        <f>IF(D1569="REMOVE",COUNTIF($D$2:D1569,"REMOVE"),"")</f>
        <v/>
      </c>
      <c r="I1569">
        <f>IF(E1569="Gmail",COUNTIF($E$2:E1569,"Gmail"),"")</f>
        <v/>
      </c>
      <c r="J1569">
        <f>IF(E1569="Outlook",COUNTIF($E$2:E1569,"Outlook"),"")</f>
        <v/>
      </c>
      <c r="K1569">
        <f>IF(E1569="Domain",COUNTIF($E$2:E1569,"Domain"),"")</f>
        <v/>
      </c>
    </row>
    <row r="1570">
      <c r="A1570" s="2" t="n"/>
      <c r="B1570">
        <f>LOWER(TRIM(A1570))</f>
        <v/>
      </c>
      <c r="C1570">
        <f>IF(B1570="","",IFERROR(INDEX('Bad Patterns'!$A$2:$A$120,MATCH(1,INDEX(--ISNUMBER(SEARCH('Bad Patterns'!$A$2:$A$120,B1570)),0),0)),""))</f>
        <v/>
      </c>
      <c r="D1570">
        <f>IF(B1570="","",IF(C1570&lt;&gt;"","REMOVE","KEEP"))</f>
        <v/>
      </c>
      <c r="E1570">
        <f>IF(D1570&lt;&gt;"KEEP","",IF(RIGHT(B1570,10)="@gmail.com","Gmail",IF(OR(RIGHT(B1570,12)="@outlook.com",RIGHT(B1570,12)="@hotmail.com",RIGHT(B1570,9)="@live.com"),"Outlook","Domain")))</f>
        <v/>
      </c>
      <c r="F1570">
        <f>IF(B1570="","",IFERROR(RIGHT(B1570,LEN(B1570)-FIND("@",B1570)),""))</f>
        <v/>
      </c>
      <c r="G1570">
        <f>IF(D1570="KEEP",COUNTIF($D$2:D1570,"KEEP"),"")</f>
        <v/>
      </c>
      <c r="H1570">
        <f>IF(D1570="REMOVE",COUNTIF($D$2:D1570,"REMOVE"),"")</f>
        <v/>
      </c>
      <c r="I1570">
        <f>IF(E1570="Gmail",COUNTIF($E$2:E1570,"Gmail"),"")</f>
        <v/>
      </c>
      <c r="J1570">
        <f>IF(E1570="Outlook",COUNTIF($E$2:E1570,"Outlook"),"")</f>
        <v/>
      </c>
      <c r="K1570">
        <f>IF(E1570="Domain",COUNTIF($E$2:E1570,"Domain"),"")</f>
        <v/>
      </c>
    </row>
    <row r="1571">
      <c r="A1571" s="2" t="n"/>
      <c r="B1571">
        <f>LOWER(TRIM(A1571))</f>
        <v/>
      </c>
      <c r="C1571">
        <f>IF(B1571="","",IFERROR(INDEX('Bad Patterns'!$A$2:$A$120,MATCH(1,INDEX(--ISNUMBER(SEARCH('Bad Patterns'!$A$2:$A$120,B1571)),0),0)),""))</f>
        <v/>
      </c>
      <c r="D1571">
        <f>IF(B1571="","",IF(C1571&lt;&gt;"","REMOVE","KEEP"))</f>
        <v/>
      </c>
      <c r="E1571">
        <f>IF(D1571&lt;&gt;"KEEP","",IF(RIGHT(B1571,10)="@gmail.com","Gmail",IF(OR(RIGHT(B1571,12)="@outlook.com",RIGHT(B1571,12)="@hotmail.com",RIGHT(B1571,9)="@live.com"),"Outlook","Domain")))</f>
        <v/>
      </c>
      <c r="F1571">
        <f>IF(B1571="","",IFERROR(RIGHT(B1571,LEN(B1571)-FIND("@",B1571)),""))</f>
        <v/>
      </c>
      <c r="G1571">
        <f>IF(D1571="KEEP",COUNTIF($D$2:D1571,"KEEP"),"")</f>
        <v/>
      </c>
      <c r="H1571">
        <f>IF(D1571="REMOVE",COUNTIF($D$2:D1571,"REMOVE"),"")</f>
        <v/>
      </c>
      <c r="I1571">
        <f>IF(E1571="Gmail",COUNTIF($E$2:E1571,"Gmail"),"")</f>
        <v/>
      </c>
      <c r="J1571">
        <f>IF(E1571="Outlook",COUNTIF($E$2:E1571,"Outlook"),"")</f>
        <v/>
      </c>
      <c r="K1571">
        <f>IF(E1571="Domain",COUNTIF($E$2:E1571,"Domain"),"")</f>
        <v/>
      </c>
    </row>
    <row r="1572">
      <c r="A1572" s="2" t="n"/>
      <c r="B1572">
        <f>LOWER(TRIM(A1572))</f>
        <v/>
      </c>
      <c r="C1572">
        <f>IF(B1572="","",IFERROR(INDEX('Bad Patterns'!$A$2:$A$120,MATCH(1,INDEX(--ISNUMBER(SEARCH('Bad Patterns'!$A$2:$A$120,B1572)),0),0)),""))</f>
        <v/>
      </c>
      <c r="D1572">
        <f>IF(B1572="","",IF(C1572&lt;&gt;"","REMOVE","KEEP"))</f>
        <v/>
      </c>
      <c r="E1572">
        <f>IF(D1572&lt;&gt;"KEEP","",IF(RIGHT(B1572,10)="@gmail.com","Gmail",IF(OR(RIGHT(B1572,12)="@outlook.com",RIGHT(B1572,12)="@hotmail.com",RIGHT(B1572,9)="@live.com"),"Outlook","Domain")))</f>
        <v/>
      </c>
      <c r="F1572">
        <f>IF(B1572="","",IFERROR(RIGHT(B1572,LEN(B1572)-FIND("@",B1572)),""))</f>
        <v/>
      </c>
      <c r="G1572">
        <f>IF(D1572="KEEP",COUNTIF($D$2:D1572,"KEEP"),"")</f>
        <v/>
      </c>
      <c r="H1572">
        <f>IF(D1572="REMOVE",COUNTIF($D$2:D1572,"REMOVE"),"")</f>
        <v/>
      </c>
      <c r="I1572">
        <f>IF(E1572="Gmail",COUNTIF($E$2:E1572,"Gmail"),"")</f>
        <v/>
      </c>
      <c r="J1572">
        <f>IF(E1572="Outlook",COUNTIF($E$2:E1572,"Outlook"),"")</f>
        <v/>
      </c>
      <c r="K1572">
        <f>IF(E1572="Domain",COUNTIF($E$2:E1572,"Domain"),"")</f>
        <v/>
      </c>
    </row>
    <row r="1573">
      <c r="A1573" s="2" t="n"/>
      <c r="B1573">
        <f>LOWER(TRIM(A1573))</f>
        <v/>
      </c>
      <c r="C1573">
        <f>IF(B1573="","",IFERROR(INDEX('Bad Patterns'!$A$2:$A$120,MATCH(1,INDEX(--ISNUMBER(SEARCH('Bad Patterns'!$A$2:$A$120,B1573)),0),0)),""))</f>
        <v/>
      </c>
      <c r="D1573">
        <f>IF(B1573="","",IF(C1573&lt;&gt;"","REMOVE","KEEP"))</f>
        <v/>
      </c>
      <c r="E1573">
        <f>IF(D1573&lt;&gt;"KEEP","",IF(RIGHT(B1573,10)="@gmail.com","Gmail",IF(OR(RIGHT(B1573,12)="@outlook.com",RIGHT(B1573,12)="@hotmail.com",RIGHT(B1573,9)="@live.com"),"Outlook","Domain")))</f>
        <v/>
      </c>
      <c r="F1573">
        <f>IF(B1573="","",IFERROR(RIGHT(B1573,LEN(B1573)-FIND("@",B1573)),""))</f>
        <v/>
      </c>
      <c r="G1573">
        <f>IF(D1573="KEEP",COUNTIF($D$2:D1573,"KEEP"),"")</f>
        <v/>
      </c>
      <c r="H1573">
        <f>IF(D1573="REMOVE",COUNTIF($D$2:D1573,"REMOVE"),"")</f>
        <v/>
      </c>
      <c r="I1573">
        <f>IF(E1573="Gmail",COUNTIF($E$2:E1573,"Gmail"),"")</f>
        <v/>
      </c>
      <c r="J1573">
        <f>IF(E1573="Outlook",COUNTIF($E$2:E1573,"Outlook"),"")</f>
        <v/>
      </c>
      <c r="K1573">
        <f>IF(E1573="Domain",COUNTIF($E$2:E1573,"Domain"),"")</f>
        <v/>
      </c>
    </row>
    <row r="1574">
      <c r="A1574" s="2" t="n"/>
      <c r="B1574">
        <f>LOWER(TRIM(A1574))</f>
        <v/>
      </c>
      <c r="C1574">
        <f>IF(B1574="","",IFERROR(INDEX('Bad Patterns'!$A$2:$A$120,MATCH(1,INDEX(--ISNUMBER(SEARCH('Bad Patterns'!$A$2:$A$120,B1574)),0),0)),""))</f>
        <v/>
      </c>
      <c r="D1574">
        <f>IF(B1574="","",IF(C1574&lt;&gt;"","REMOVE","KEEP"))</f>
        <v/>
      </c>
      <c r="E1574">
        <f>IF(D1574&lt;&gt;"KEEP","",IF(RIGHT(B1574,10)="@gmail.com","Gmail",IF(OR(RIGHT(B1574,12)="@outlook.com",RIGHT(B1574,12)="@hotmail.com",RIGHT(B1574,9)="@live.com"),"Outlook","Domain")))</f>
        <v/>
      </c>
      <c r="F1574">
        <f>IF(B1574="","",IFERROR(RIGHT(B1574,LEN(B1574)-FIND("@",B1574)),""))</f>
        <v/>
      </c>
      <c r="G1574">
        <f>IF(D1574="KEEP",COUNTIF($D$2:D1574,"KEEP"),"")</f>
        <v/>
      </c>
      <c r="H1574">
        <f>IF(D1574="REMOVE",COUNTIF($D$2:D1574,"REMOVE"),"")</f>
        <v/>
      </c>
      <c r="I1574">
        <f>IF(E1574="Gmail",COUNTIF($E$2:E1574,"Gmail"),"")</f>
        <v/>
      </c>
      <c r="J1574">
        <f>IF(E1574="Outlook",COUNTIF($E$2:E1574,"Outlook"),"")</f>
        <v/>
      </c>
      <c r="K1574">
        <f>IF(E1574="Domain",COUNTIF($E$2:E1574,"Domain"),"")</f>
        <v/>
      </c>
    </row>
    <row r="1575">
      <c r="A1575" s="2" t="n"/>
      <c r="B1575">
        <f>LOWER(TRIM(A1575))</f>
        <v/>
      </c>
      <c r="C1575">
        <f>IF(B1575="","",IFERROR(INDEX('Bad Patterns'!$A$2:$A$120,MATCH(1,INDEX(--ISNUMBER(SEARCH('Bad Patterns'!$A$2:$A$120,B1575)),0),0)),""))</f>
        <v/>
      </c>
      <c r="D1575">
        <f>IF(B1575="","",IF(C1575&lt;&gt;"","REMOVE","KEEP"))</f>
        <v/>
      </c>
      <c r="E1575">
        <f>IF(D1575&lt;&gt;"KEEP","",IF(RIGHT(B1575,10)="@gmail.com","Gmail",IF(OR(RIGHT(B1575,12)="@outlook.com",RIGHT(B1575,12)="@hotmail.com",RIGHT(B1575,9)="@live.com"),"Outlook","Domain")))</f>
        <v/>
      </c>
      <c r="F1575">
        <f>IF(B1575="","",IFERROR(RIGHT(B1575,LEN(B1575)-FIND("@",B1575)),""))</f>
        <v/>
      </c>
      <c r="G1575">
        <f>IF(D1575="KEEP",COUNTIF($D$2:D1575,"KEEP"),"")</f>
        <v/>
      </c>
      <c r="H1575">
        <f>IF(D1575="REMOVE",COUNTIF($D$2:D1575,"REMOVE"),"")</f>
        <v/>
      </c>
      <c r="I1575">
        <f>IF(E1575="Gmail",COUNTIF($E$2:E1575,"Gmail"),"")</f>
        <v/>
      </c>
      <c r="J1575">
        <f>IF(E1575="Outlook",COUNTIF($E$2:E1575,"Outlook"),"")</f>
        <v/>
      </c>
      <c r="K1575">
        <f>IF(E1575="Domain",COUNTIF($E$2:E1575,"Domain"),"")</f>
        <v/>
      </c>
    </row>
    <row r="1576">
      <c r="A1576" s="2" t="n"/>
      <c r="B1576">
        <f>LOWER(TRIM(A1576))</f>
        <v/>
      </c>
      <c r="C1576">
        <f>IF(B1576="","",IFERROR(INDEX('Bad Patterns'!$A$2:$A$120,MATCH(1,INDEX(--ISNUMBER(SEARCH('Bad Patterns'!$A$2:$A$120,B1576)),0),0)),""))</f>
        <v/>
      </c>
      <c r="D1576">
        <f>IF(B1576="","",IF(C1576&lt;&gt;"","REMOVE","KEEP"))</f>
        <v/>
      </c>
      <c r="E1576">
        <f>IF(D1576&lt;&gt;"KEEP","",IF(RIGHT(B1576,10)="@gmail.com","Gmail",IF(OR(RIGHT(B1576,12)="@outlook.com",RIGHT(B1576,12)="@hotmail.com",RIGHT(B1576,9)="@live.com"),"Outlook","Domain")))</f>
        <v/>
      </c>
      <c r="F1576">
        <f>IF(B1576="","",IFERROR(RIGHT(B1576,LEN(B1576)-FIND("@",B1576)),""))</f>
        <v/>
      </c>
      <c r="G1576">
        <f>IF(D1576="KEEP",COUNTIF($D$2:D1576,"KEEP"),"")</f>
        <v/>
      </c>
      <c r="H1576">
        <f>IF(D1576="REMOVE",COUNTIF($D$2:D1576,"REMOVE"),"")</f>
        <v/>
      </c>
      <c r="I1576">
        <f>IF(E1576="Gmail",COUNTIF($E$2:E1576,"Gmail"),"")</f>
        <v/>
      </c>
      <c r="J1576">
        <f>IF(E1576="Outlook",COUNTIF($E$2:E1576,"Outlook"),"")</f>
        <v/>
      </c>
      <c r="K1576">
        <f>IF(E1576="Domain",COUNTIF($E$2:E1576,"Domain"),"")</f>
        <v/>
      </c>
    </row>
    <row r="1577">
      <c r="A1577" s="2" t="n"/>
      <c r="B1577">
        <f>LOWER(TRIM(A1577))</f>
        <v/>
      </c>
      <c r="C1577">
        <f>IF(B1577="","",IFERROR(INDEX('Bad Patterns'!$A$2:$A$120,MATCH(1,INDEX(--ISNUMBER(SEARCH('Bad Patterns'!$A$2:$A$120,B1577)),0),0)),""))</f>
        <v/>
      </c>
      <c r="D1577">
        <f>IF(B1577="","",IF(C1577&lt;&gt;"","REMOVE","KEEP"))</f>
        <v/>
      </c>
      <c r="E1577">
        <f>IF(D1577&lt;&gt;"KEEP","",IF(RIGHT(B1577,10)="@gmail.com","Gmail",IF(OR(RIGHT(B1577,12)="@outlook.com",RIGHT(B1577,12)="@hotmail.com",RIGHT(B1577,9)="@live.com"),"Outlook","Domain")))</f>
        <v/>
      </c>
      <c r="F1577">
        <f>IF(B1577="","",IFERROR(RIGHT(B1577,LEN(B1577)-FIND("@",B1577)),""))</f>
        <v/>
      </c>
      <c r="G1577">
        <f>IF(D1577="KEEP",COUNTIF($D$2:D1577,"KEEP"),"")</f>
        <v/>
      </c>
      <c r="H1577">
        <f>IF(D1577="REMOVE",COUNTIF($D$2:D1577,"REMOVE"),"")</f>
        <v/>
      </c>
      <c r="I1577">
        <f>IF(E1577="Gmail",COUNTIF($E$2:E1577,"Gmail"),"")</f>
        <v/>
      </c>
      <c r="J1577">
        <f>IF(E1577="Outlook",COUNTIF($E$2:E1577,"Outlook"),"")</f>
        <v/>
      </c>
      <c r="K1577">
        <f>IF(E1577="Domain",COUNTIF($E$2:E1577,"Domain"),"")</f>
        <v/>
      </c>
    </row>
    <row r="1578">
      <c r="A1578" s="2" t="n"/>
      <c r="B1578">
        <f>LOWER(TRIM(A1578))</f>
        <v/>
      </c>
      <c r="C1578">
        <f>IF(B1578="","",IFERROR(INDEX('Bad Patterns'!$A$2:$A$120,MATCH(1,INDEX(--ISNUMBER(SEARCH('Bad Patterns'!$A$2:$A$120,B1578)),0),0)),""))</f>
        <v/>
      </c>
      <c r="D1578">
        <f>IF(B1578="","",IF(C1578&lt;&gt;"","REMOVE","KEEP"))</f>
        <v/>
      </c>
      <c r="E1578">
        <f>IF(D1578&lt;&gt;"KEEP","",IF(RIGHT(B1578,10)="@gmail.com","Gmail",IF(OR(RIGHT(B1578,12)="@outlook.com",RIGHT(B1578,12)="@hotmail.com",RIGHT(B1578,9)="@live.com"),"Outlook","Domain")))</f>
        <v/>
      </c>
      <c r="F1578">
        <f>IF(B1578="","",IFERROR(RIGHT(B1578,LEN(B1578)-FIND("@",B1578)),""))</f>
        <v/>
      </c>
      <c r="G1578">
        <f>IF(D1578="KEEP",COUNTIF($D$2:D1578,"KEEP"),"")</f>
        <v/>
      </c>
      <c r="H1578">
        <f>IF(D1578="REMOVE",COUNTIF($D$2:D1578,"REMOVE"),"")</f>
        <v/>
      </c>
      <c r="I1578">
        <f>IF(E1578="Gmail",COUNTIF($E$2:E1578,"Gmail"),"")</f>
        <v/>
      </c>
      <c r="J1578">
        <f>IF(E1578="Outlook",COUNTIF($E$2:E1578,"Outlook"),"")</f>
        <v/>
      </c>
      <c r="K1578">
        <f>IF(E1578="Domain",COUNTIF($E$2:E1578,"Domain"),"")</f>
        <v/>
      </c>
    </row>
    <row r="1579">
      <c r="A1579" s="2" t="n"/>
      <c r="B1579">
        <f>LOWER(TRIM(A1579))</f>
        <v/>
      </c>
      <c r="C1579">
        <f>IF(B1579="","",IFERROR(INDEX('Bad Patterns'!$A$2:$A$120,MATCH(1,INDEX(--ISNUMBER(SEARCH('Bad Patterns'!$A$2:$A$120,B1579)),0),0)),""))</f>
        <v/>
      </c>
      <c r="D1579">
        <f>IF(B1579="","",IF(C1579&lt;&gt;"","REMOVE","KEEP"))</f>
        <v/>
      </c>
      <c r="E1579">
        <f>IF(D1579&lt;&gt;"KEEP","",IF(RIGHT(B1579,10)="@gmail.com","Gmail",IF(OR(RIGHT(B1579,12)="@outlook.com",RIGHT(B1579,12)="@hotmail.com",RIGHT(B1579,9)="@live.com"),"Outlook","Domain")))</f>
        <v/>
      </c>
      <c r="F1579">
        <f>IF(B1579="","",IFERROR(RIGHT(B1579,LEN(B1579)-FIND("@",B1579)),""))</f>
        <v/>
      </c>
      <c r="G1579">
        <f>IF(D1579="KEEP",COUNTIF($D$2:D1579,"KEEP"),"")</f>
        <v/>
      </c>
      <c r="H1579">
        <f>IF(D1579="REMOVE",COUNTIF($D$2:D1579,"REMOVE"),"")</f>
        <v/>
      </c>
      <c r="I1579">
        <f>IF(E1579="Gmail",COUNTIF($E$2:E1579,"Gmail"),"")</f>
        <v/>
      </c>
      <c r="J1579">
        <f>IF(E1579="Outlook",COUNTIF($E$2:E1579,"Outlook"),"")</f>
        <v/>
      </c>
      <c r="K1579">
        <f>IF(E1579="Domain",COUNTIF($E$2:E1579,"Domain"),"")</f>
        <v/>
      </c>
    </row>
    <row r="1580">
      <c r="A1580" s="2" t="n"/>
      <c r="B1580">
        <f>LOWER(TRIM(A1580))</f>
        <v/>
      </c>
      <c r="C1580">
        <f>IF(B1580="","",IFERROR(INDEX('Bad Patterns'!$A$2:$A$120,MATCH(1,INDEX(--ISNUMBER(SEARCH('Bad Patterns'!$A$2:$A$120,B1580)),0),0)),""))</f>
        <v/>
      </c>
      <c r="D1580">
        <f>IF(B1580="","",IF(C1580&lt;&gt;"","REMOVE","KEEP"))</f>
        <v/>
      </c>
      <c r="E1580">
        <f>IF(D1580&lt;&gt;"KEEP","",IF(RIGHT(B1580,10)="@gmail.com","Gmail",IF(OR(RIGHT(B1580,12)="@outlook.com",RIGHT(B1580,12)="@hotmail.com",RIGHT(B1580,9)="@live.com"),"Outlook","Domain")))</f>
        <v/>
      </c>
      <c r="F1580">
        <f>IF(B1580="","",IFERROR(RIGHT(B1580,LEN(B1580)-FIND("@",B1580)),""))</f>
        <v/>
      </c>
      <c r="G1580">
        <f>IF(D1580="KEEP",COUNTIF($D$2:D1580,"KEEP"),"")</f>
        <v/>
      </c>
      <c r="H1580">
        <f>IF(D1580="REMOVE",COUNTIF($D$2:D1580,"REMOVE"),"")</f>
        <v/>
      </c>
      <c r="I1580">
        <f>IF(E1580="Gmail",COUNTIF($E$2:E1580,"Gmail"),"")</f>
        <v/>
      </c>
      <c r="J1580">
        <f>IF(E1580="Outlook",COUNTIF($E$2:E1580,"Outlook"),"")</f>
        <v/>
      </c>
      <c r="K1580">
        <f>IF(E1580="Domain",COUNTIF($E$2:E1580,"Domain"),"")</f>
        <v/>
      </c>
    </row>
    <row r="1581">
      <c r="A1581" s="2" t="n"/>
      <c r="B1581">
        <f>LOWER(TRIM(A1581))</f>
        <v/>
      </c>
      <c r="C1581">
        <f>IF(B1581="","",IFERROR(INDEX('Bad Patterns'!$A$2:$A$120,MATCH(1,INDEX(--ISNUMBER(SEARCH('Bad Patterns'!$A$2:$A$120,B1581)),0),0)),""))</f>
        <v/>
      </c>
      <c r="D1581">
        <f>IF(B1581="","",IF(C1581&lt;&gt;"","REMOVE","KEEP"))</f>
        <v/>
      </c>
      <c r="E1581">
        <f>IF(D1581&lt;&gt;"KEEP","",IF(RIGHT(B1581,10)="@gmail.com","Gmail",IF(OR(RIGHT(B1581,12)="@outlook.com",RIGHT(B1581,12)="@hotmail.com",RIGHT(B1581,9)="@live.com"),"Outlook","Domain")))</f>
        <v/>
      </c>
      <c r="F1581">
        <f>IF(B1581="","",IFERROR(RIGHT(B1581,LEN(B1581)-FIND("@",B1581)),""))</f>
        <v/>
      </c>
      <c r="G1581">
        <f>IF(D1581="KEEP",COUNTIF($D$2:D1581,"KEEP"),"")</f>
        <v/>
      </c>
      <c r="H1581">
        <f>IF(D1581="REMOVE",COUNTIF($D$2:D1581,"REMOVE"),"")</f>
        <v/>
      </c>
      <c r="I1581">
        <f>IF(E1581="Gmail",COUNTIF($E$2:E1581,"Gmail"),"")</f>
        <v/>
      </c>
      <c r="J1581">
        <f>IF(E1581="Outlook",COUNTIF($E$2:E1581,"Outlook"),"")</f>
        <v/>
      </c>
      <c r="K1581">
        <f>IF(E1581="Domain",COUNTIF($E$2:E1581,"Domain"),"")</f>
        <v/>
      </c>
    </row>
    <row r="1582">
      <c r="A1582" s="2" t="n"/>
      <c r="B1582">
        <f>LOWER(TRIM(A1582))</f>
        <v/>
      </c>
      <c r="C1582">
        <f>IF(B1582="","",IFERROR(INDEX('Bad Patterns'!$A$2:$A$120,MATCH(1,INDEX(--ISNUMBER(SEARCH('Bad Patterns'!$A$2:$A$120,B1582)),0),0)),""))</f>
        <v/>
      </c>
      <c r="D1582">
        <f>IF(B1582="","",IF(C1582&lt;&gt;"","REMOVE","KEEP"))</f>
        <v/>
      </c>
      <c r="E1582">
        <f>IF(D1582&lt;&gt;"KEEP","",IF(RIGHT(B1582,10)="@gmail.com","Gmail",IF(OR(RIGHT(B1582,12)="@outlook.com",RIGHT(B1582,12)="@hotmail.com",RIGHT(B1582,9)="@live.com"),"Outlook","Domain")))</f>
        <v/>
      </c>
      <c r="F1582">
        <f>IF(B1582="","",IFERROR(RIGHT(B1582,LEN(B1582)-FIND("@",B1582)),""))</f>
        <v/>
      </c>
      <c r="G1582">
        <f>IF(D1582="KEEP",COUNTIF($D$2:D1582,"KEEP"),"")</f>
        <v/>
      </c>
      <c r="H1582">
        <f>IF(D1582="REMOVE",COUNTIF($D$2:D1582,"REMOVE"),"")</f>
        <v/>
      </c>
      <c r="I1582">
        <f>IF(E1582="Gmail",COUNTIF($E$2:E1582,"Gmail"),"")</f>
        <v/>
      </c>
      <c r="J1582">
        <f>IF(E1582="Outlook",COUNTIF($E$2:E1582,"Outlook"),"")</f>
        <v/>
      </c>
      <c r="K1582">
        <f>IF(E1582="Domain",COUNTIF($E$2:E1582,"Domain"),"")</f>
        <v/>
      </c>
    </row>
    <row r="1583">
      <c r="A1583" s="2" t="n"/>
      <c r="B1583">
        <f>LOWER(TRIM(A1583))</f>
        <v/>
      </c>
      <c r="C1583">
        <f>IF(B1583="","",IFERROR(INDEX('Bad Patterns'!$A$2:$A$120,MATCH(1,INDEX(--ISNUMBER(SEARCH('Bad Patterns'!$A$2:$A$120,B1583)),0),0)),""))</f>
        <v/>
      </c>
      <c r="D1583">
        <f>IF(B1583="","",IF(C1583&lt;&gt;"","REMOVE","KEEP"))</f>
        <v/>
      </c>
      <c r="E1583">
        <f>IF(D1583&lt;&gt;"KEEP","",IF(RIGHT(B1583,10)="@gmail.com","Gmail",IF(OR(RIGHT(B1583,12)="@outlook.com",RIGHT(B1583,12)="@hotmail.com",RIGHT(B1583,9)="@live.com"),"Outlook","Domain")))</f>
        <v/>
      </c>
      <c r="F1583">
        <f>IF(B1583="","",IFERROR(RIGHT(B1583,LEN(B1583)-FIND("@",B1583)),""))</f>
        <v/>
      </c>
      <c r="G1583">
        <f>IF(D1583="KEEP",COUNTIF($D$2:D1583,"KEEP"),"")</f>
        <v/>
      </c>
      <c r="H1583">
        <f>IF(D1583="REMOVE",COUNTIF($D$2:D1583,"REMOVE"),"")</f>
        <v/>
      </c>
      <c r="I1583">
        <f>IF(E1583="Gmail",COUNTIF($E$2:E1583,"Gmail"),"")</f>
        <v/>
      </c>
      <c r="J1583">
        <f>IF(E1583="Outlook",COUNTIF($E$2:E1583,"Outlook"),"")</f>
        <v/>
      </c>
      <c r="K1583">
        <f>IF(E1583="Domain",COUNTIF($E$2:E1583,"Domain"),"")</f>
        <v/>
      </c>
    </row>
    <row r="1584">
      <c r="A1584" s="2" t="n"/>
      <c r="B1584">
        <f>LOWER(TRIM(A1584))</f>
        <v/>
      </c>
      <c r="C1584">
        <f>IF(B1584="","",IFERROR(INDEX('Bad Patterns'!$A$2:$A$120,MATCH(1,INDEX(--ISNUMBER(SEARCH('Bad Patterns'!$A$2:$A$120,B1584)),0),0)),""))</f>
        <v/>
      </c>
      <c r="D1584">
        <f>IF(B1584="","",IF(C1584&lt;&gt;"","REMOVE","KEEP"))</f>
        <v/>
      </c>
      <c r="E1584">
        <f>IF(D1584&lt;&gt;"KEEP","",IF(RIGHT(B1584,10)="@gmail.com","Gmail",IF(OR(RIGHT(B1584,12)="@outlook.com",RIGHT(B1584,12)="@hotmail.com",RIGHT(B1584,9)="@live.com"),"Outlook","Domain")))</f>
        <v/>
      </c>
      <c r="F1584">
        <f>IF(B1584="","",IFERROR(RIGHT(B1584,LEN(B1584)-FIND("@",B1584)),""))</f>
        <v/>
      </c>
      <c r="G1584">
        <f>IF(D1584="KEEP",COUNTIF($D$2:D1584,"KEEP"),"")</f>
        <v/>
      </c>
      <c r="H1584">
        <f>IF(D1584="REMOVE",COUNTIF($D$2:D1584,"REMOVE"),"")</f>
        <v/>
      </c>
      <c r="I1584">
        <f>IF(E1584="Gmail",COUNTIF($E$2:E1584,"Gmail"),"")</f>
        <v/>
      </c>
      <c r="J1584">
        <f>IF(E1584="Outlook",COUNTIF($E$2:E1584,"Outlook"),"")</f>
        <v/>
      </c>
      <c r="K1584">
        <f>IF(E1584="Domain",COUNTIF($E$2:E1584,"Domain"),"")</f>
        <v/>
      </c>
    </row>
    <row r="1585">
      <c r="A1585" s="2" t="n"/>
      <c r="B1585">
        <f>LOWER(TRIM(A1585))</f>
        <v/>
      </c>
      <c r="C1585">
        <f>IF(B1585="","",IFERROR(INDEX('Bad Patterns'!$A$2:$A$120,MATCH(1,INDEX(--ISNUMBER(SEARCH('Bad Patterns'!$A$2:$A$120,B1585)),0),0)),""))</f>
        <v/>
      </c>
      <c r="D1585">
        <f>IF(B1585="","",IF(C1585&lt;&gt;"","REMOVE","KEEP"))</f>
        <v/>
      </c>
      <c r="E1585">
        <f>IF(D1585&lt;&gt;"KEEP","",IF(RIGHT(B1585,10)="@gmail.com","Gmail",IF(OR(RIGHT(B1585,12)="@outlook.com",RIGHT(B1585,12)="@hotmail.com",RIGHT(B1585,9)="@live.com"),"Outlook","Domain")))</f>
        <v/>
      </c>
      <c r="F1585">
        <f>IF(B1585="","",IFERROR(RIGHT(B1585,LEN(B1585)-FIND("@",B1585)),""))</f>
        <v/>
      </c>
      <c r="G1585">
        <f>IF(D1585="KEEP",COUNTIF($D$2:D1585,"KEEP"),"")</f>
        <v/>
      </c>
      <c r="H1585">
        <f>IF(D1585="REMOVE",COUNTIF($D$2:D1585,"REMOVE"),"")</f>
        <v/>
      </c>
      <c r="I1585">
        <f>IF(E1585="Gmail",COUNTIF($E$2:E1585,"Gmail"),"")</f>
        <v/>
      </c>
      <c r="J1585">
        <f>IF(E1585="Outlook",COUNTIF($E$2:E1585,"Outlook"),"")</f>
        <v/>
      </c>
      <c r="K1585">
        <f>IF(E1585="Domain",COUNTIF($E$2:E1585,"Domain"),"")</f>
        <v/>
      </c>
    </row>
    <row r="1586">
      <c r="A1586" s="2" t="n"/>
      <c r="B1586">
        <f>LOWER(TRIM(A1586))</f>
        <v/>
      </c>
      <c r="C1586">
        <f>IF(B1586="","",IFERROR(INDEX('Bad Patterns'!$A$2:$A$120,MATCH(1,INDEX(--ISNUMBER(SEARCH('Bad Patterns'!$A$2:$A$120,B1586)),0),0)),""))</f>
        <v/>
      </c>
      <c r="D1586">
        <f>IF(B1586="","",IF(C1586&lt;&gt;"","REMOVE","KEEP"))</f>
        <v/>
      </c>
      <c r="E1586">
        <f>IF(D1586&lt;&gt;"KEEP","",IF(RIGHT(B1586,10)="@gmail.com","Gmail",IF(OR(RIGHT(B1586,12)="@outlook.com",RIGHT(B1586,12)="@hotmail.com",RIGHT(B1586,9)="@live.com"),"Outlook","Domain")))</f>
        <v/>
      </c>
      <c r="F1586">
        <f>IF(B1586="","",IFERROR(RIGHT(B1586,LEN(B1586)-FIND("@",B1586)),""))</f>
        <v/>
      </c>
      <c r="G1586">
        <f>IF(D1586="KEEP",COUNTIF($D$2:D1586,"KEEP"),"")</f>
        <v/>
      </c>
      <c r="H1586">
        <f>IF(D1586="REMOVE",COUNTIF($D$2:D1586,"REMOVE"),"")</f>
        <v/>
      </c>
      <c r="I1586">
        <f>IF(E1586="Gmail",COUNTIF($E$2:E1586,"Gmail"),"")</f>
        <v/>
      </c>
      <c r="J1586">
        <f>IF(E1586="Outlook",COUNTIF($E$2:E1586,"Outlook"),"")</f>
        <v/>
      </c>
      <c r="K1586">
        <f>IF(E1586="Domain",COUNTIF($E$2:E1586,"Domain"),"")</f>
        <v/>
      </c>
    </row>
    <row r="1587">
      <c r="A1587" s="2" t="n"/>
      <c r="B1587">
        <f>LOWER(TRIM(A1587))</f>
        <v/>
      </c>
      <c r="C1587">
        <f>IF(B1587="","",IFERROR(INDEX('Bad Patterns'!$A$2:$A$120,MATCH(1,INDEX(--ISNUMBER(SEARCH('Bad Patterns'!$A$2:$A$120,B1587)),0),0)),""))</f>
        <v/>
      </c>
      <c r="D1587">
        <f>IF(B1587="","",IF(C1587&lt;&gt;"","REMOVE","KEEP"))</f>
        <v/>
      </c>
      <c r="E1587">
        <f>IF(D1587&lt;&gt;"KEEP","",IF(RIGHT(B1587,10)="@gmail.com","Gmail",IF(OR(RIGHT(B1587,12)="@outlook.com",RIGHT(B1587,12)="@hotmail.com",RIGHT(B1587,9)="@live.com"),"Outlook","Domain")))</f>
        <v/>
      </c>
      <c r="F1587">
        <f>IF(B1587="","",IFERROR(RIGHT(B1587,LEN(B1587)-FIND("@",B1587)),""))</f>
        <v/>
      </c>
      <c r="G1587">
        <f>IF(D1587="KEEP",COUNTIF($D$2:D1587,"KEEP"),"")</f>
        <v/>
      </c>
      <c r="H1587">
        <f>IF(D1587="REMOVE",COUNTIF($D$2:D1587,"REMOVE"),"")</f>
        <v/>
      </c>
      <c r="I1587">
        <f>IF(E1587="Gmail",COUNTIF($E$2:E1587,"Gmail"),"")</f>
        <v/>
      </c>
      <c r="J1587">
        <f>IF(E1587="Outlook",COUNTIF($E$2:E1587,"Outlook"),"")</f>
        <v/>
      </c>
      <c r="K1587">
        <f>IF(E1587="Domain",COUNTIF($E$2:E1587,"Domain"),"")</f>
        <v/>
      </c>
    </row>
    <row r="1588">
      <c r="A1588" s="2" t="n"/>
      <c r="B1588">
        <f>LOWER(TRIM(A1588))</f>
        <v/>
      </c>
      <c r="C1588">
        <f>IF(B1588="","",IFERROR(INDEX('Bad Patterns'!$A$2:$A$120,MATCH(1,INDEX(--ISNUMBER(SEARCH('Bad Patterns'!$A$2:$A$120,B1588)),0),0)),""))</f>
        <v/>
      </c>
      <c r="D1588">
        <f>IF(B1588="","",IF(C1588&lt;&gt;"","REMOVE","KEEP"))</f>
        <v/>
      </c>
      <c r="E1588">
        <f>IF(D1588&lt;&gt;"KEEP","",IF(RIGHT(B1588,10)="@gmail.com","Gmail",IF(OR(RIGHT(B1588,12)="@outlook.com",RIGHT(B1588,12)="@hotmail.com",RIGHT(B1588,9)="@live.com"),"Outlook","Domain")))</f>
        <v/>
      </c>
      <c r="F1588">
        <f>IF(B1588="","",IFERROR(RIGHT(B1588,LEN(B1588)-FIND("@",B1588)),""))</f>
        <v/>
      </c>
      <c r="G1588">
        <f>IF(D1588="KEEP",COUNTIF($D$2:D1588,"KEEP"),"")</f>
        <v/>
      </c>
      <c r="H1588">
        <f>IF(D1588="REMOVE",COUNTIF($D$2:D1588,"REMOVE"),"")</f>
        <v/>
      </c>
      <c r="I1588">
        <f>IF(E1588="Gmail",COUNTIF($E$2:E1588,"Gmail"),"")</f>
        <v/>
      </c>
      <c r="J1588">
        <f>IF(E1588="Outlook",COUNTIF($E$2:E1588,"Outlook"),"")</f>
        <v/>
      </c>
      <c r="K1588">
        <f>IF(E1588="Domain",COUNTIF($E$2:E1588,"Domain"),"")</f>
        <v/>
      </c>
    </row>
    <row r="1589">
      <c r="A1589" s="2" t="n"/>
      <c r="B1589">
        <f>LOWER(TRIM(A1589))</f>
        <v/>
      </c>
      <c r="C1589">
        <f>IF(B1589="","",IFERROR(INDEX('Bad Patterns'!$A$2:$A$120,MATCH(1,INDEX(--ISNUMBER(SEARCH('Bad Patterns'!$A$2:$A$120,B1589)),0),0)),""))</f>
        <v/>
      </c>
      <c r="D1589">
        <f>IF(B1589="","",IF(C1589&lt;&gt;"","REMOVE","KEEP"))</f>
        <v/>
      </c>
      <c r="E1589">
        <f>IF(D1589&lt;&gt;"KEEP","",IF(RIGHT(B1589,10)="@gmail.com","Gmail",IF(OR(RIGHT(B1589,12)="@outlook.com",RIGHT(B1589,12)="@hotmail.com",RIGHT(B1589,9)="@live.com"),"Outlook","Domain")))</f>
        <v/>
      </c>
      <c r="F1589">
        <f>IF(B1589="","",IFERROR(RIGHT(B1589,LEN(B1589)-FIND("@",B1589)),""))</f>
        <v/>
      </c>
      <c r="G1589">
        <f>IF(D1589="KEEP",COUNTIF($D$2:D1589,"KEEP"),"")</f>
        <v/>
      </c>
      <c r="H1589">
        <f>IF(D1589="REMOVE",COUNTIF($D$2:D1589,"REMOVE"),"")</f>
        <v/>
      </c>
      <c r="I1589">
        <f>IF(E1589="Gmail",COUNTIF($E$2:E1589,"Gmail"),"")</f>
        <v/>
      </c>
      <c r="J1589">
        <f>IF(E1589="Outlook",COUNTIF($E$2:E1589,"Outlook"),"")</f>
        <v/>
      </c>
      <c r="K1589">
        <f>IF(E1589="Domain",COUNTIF($E$2:E1589,"Domain"),"")</f>
        <v/>
      </c>
    </row>
    <row r="1590">
      <c r="A1590" s="2" t="n"/>
      <c r="B1590">
        <f>LOWER(TRIM(A1590))</f>
        <v/>
      </c>
      <c r="C1590">
        <f>IF(B1590="","",IFERROR(INDEX('Bad Patterns'!$A$2:$A$120,MATCH(1,INDEX(--ISNUMBER(SEARCH('Bad Patterns'!$A$2:$A$120,B1590)),0),0)),""))</f>
        <v/>
      </c>
      <c r="D1590">
        <f>IF(B1590="","",IF(C1590&lt;&gt;"","REMOVE","KEEP"))</f>
        <v/>
      </c>
      <c r="E1590">
        <f>IF(D1590&lt;&gt;"KEEP","",IF(RIGHT(B1590,10)="@gmail.com","Gmail",IF(OR(RIGHT(B1590,12)="@outlook.com",RIGHT(B1590,12)="@hotmail.com",RIGHT(B1590,9)="@live.com"),"Outlook","Domain")))</f>
        <v/>
      </c>
      <c r="F1590">
        <f>IF(B1590="","",IFERROR(RIGHT(B1590,LEN(B1590)-FIND("@",B1590)),""))</f>
        <v/>
      </c>
      <c r="G1590">
        <f>IF(D1590="KEEP",COUNTIF($D$2:D1590,"KEEP"),"")</f>
        <v/>
      </c>
      <c r="H1590">
        <f>IF(D1590="REMOVE",COUNTIF($D$2:D1590,"REMOVE"),"")</f>
        <v/>
      </c>
      <c r="I1590">
        <f>IF(E1590="Gmail",COUNTIF($E$2:E1590,"Gmail"),"")</f>
        <v/>
      </c>
      <c r="J1590">
        <f>IF(E1590="Outlook",COUNTIF($E$2:E1590,"Outlook"),"")</f>
        <v/>
      </c>
      <c r="K1590">
        <f>IF(E1590="Domain",COUNTIF($E$2:E1590,"Domain"),"")</f>
        <v/>
      </c>
    </row>
    <row r="1591">
      <c r="A1591" s="2" t="n"/>
      <c r="B1591">
        <f>LOWER(TRIM(A1591))</f>
        <v/>
      </c>
      <c r="C1591">
        <f>IF(B1591="","",IFERROR(INDEX('Bad Patterns'!$A$2:$A$120,MATCH(1,INDEX(--ISNUMBER(SEARCH('Bad Patterns'!$A$2:$A$120,B1591)),0),0)),""))</f>
        <v/>
      </c>
      <c r="D1591">
        <f>IF(B1591="","",IF(C1591&lt;&gt;"","REMOVE","KEEP"))</f>
        <v/>
      </c>
      <c r="E1591">
        <f>IF(D1591&lt;&gt;"KEEP","",IF(RIGHT(B1591,10)="@gmail.com","Gmail",IF(OR(RIGHT(B1591,12)="@outlook.com",RIGHT(B1591,12)="@hotmail.com",RIGHT(B1591,9)="@live.com"),"Outlook","Domain")))</f>
        <v/>
      </c>
      <c r="F1591">
        <f>IF(B1591="","",IFERROR(RIGHT(B1591,LEN(B1591)-FIND("@",B1591)),""))</f>
        <v/>
      </c>
      <c r="G1591">
        <f>IF(D1591="KEEP",COUNTIF($D$2:D1591,"KEEP"),"")</f>
        <v/>
      </c>
      <c r="H1591">
        <f>IF(D1591="REMOVE",COUNTIF($D$2:D1591,"REMOVE"),"")</f>
        <v/>
      </c>
      <c r="I1591">
        <f>IF(E1591="Gmail",COUNTIF($E$2:E1591,"Gmail"),"")</f>
        <v/>
      </c>
      <c r="J1591">
        <f>IF(E1591="Outlook",COUNTIF($E$2:E1591,"Outlook"),"")</f>
        <v/>
      </c>
      <c r="K1591">
        <f>IF(E1591="Domain",COUNTIF($E$2:E1591,"Domain"),"")</f>
        <v/>
      </c>
    </row>
    <row r="1592">
      <c r="A1592" s="2" t="n"/>
      <c r="B1592">
        <f>LOWER(TRIM(A1592))</f>
        <v/>
      </c>
      <c r="C1592">
        <f>IF(B1592="","",IFERROR(INDEX('Bad Patterns'!$A$2:$A$120,MATCH(1,INDEX(--ISNUMBER(SEARCH('Bad Patterns'!$A$2:$A$120,B1592)),0),0)),""))</f>
        <v/>
      </c>
      <c r="D1592">
        <f>IF(B1592="","",IF(C1592&lt;&gt;"","REMOVE","KEEP"))</f>
        <v/>
      </c>
      <c r="E1592">
        <f>IF(D1592&lt;&gt;"KEEP","",IF(RIGHT(B1592,10)="@gmail.com","Gmail",IF(OR(RIGHT(B1592,12)="@outlook.com",RIGHT(B1592,12)="@hotmail.com",RIGHT(B1592,9)="@live.com"),"Outlook","Domain")))</f>
        <v/>
      </c>
      <c r="F1592">
        <f>IF(B1592="","",IFERROR(RIGHT(B1592,LEN(B1592)-FIND("@",B1592)),""))</f>
        <v/>
      </c>
      <c r="G1592">
        <f>IF(D1592="KEEP",COUNTIF($D$2:D1592,"KEEP"),"")</f>
        <v/>
      </c>
      <c r="H1592">
        <f>IF(D1592="REMOVE",COUNTIF($D$2:D1592,"REMOVE"),"")</f>
        <v/>
      </c>
      <c r="I1592">
        <f>IF(E1592="Gmail",COUNTIF($E$2:E1592,"Gmail"),"")</f>
        <v/>
      </c>
      <c r="J1592">
        <f>IF(E1592="Outlook",COUNTIF($E$2:E1592,"Outlook"),"")</f>
        <v/>
      </c>
      <c r="K1592">
        <f>IF(E1592="Domain",COUNTIF($E$2:E1592,"Domain"),"")</f>
        <v/>
      </c>
    </row>
    <row r="1593">
      <c r="A1593" s="2" t="n"/>
      <c r="B1593">
        <f>LOWER(TRIM(A1593))</f>
        <v/>
      </c>
      <c r="C1593">
        <f>IF(B1593="","",IFERROR(INDEX('Bad Patterns'!$A$2:$A$120,MATCH(1,INDEX(--ISNUMBER(SEARCH('Bad Patterns'!$A$2:$A$120,B1593)),0),0)),""))</f>
        <v/>
      </c>
      <c r="D1593">
        <f>IF(B1593="","",IF(C1593&lt;&gt;"","REMOVE","KEEP"))</f>
        <v/>
      </c>
      <c r="E1593">
        <f>IF(D1593&lt;&gt;"KEEP","",IF(RIGHT(B1593,10)="@gmail.com","Gmail",IF(OR(RIGHT(B1593,12)="@outlook.com",RIGHT(B1593,12)="@hotmail.com",RIGHT(B1593,9)="@live.com"),"Outlook","Domain")))</f>
        <v/>
      </c>
      <c r="F1593">
        <f>IF(B1593="","",IFERROR(RIGHT(B1593,LEN(B1593)-FIND("@",B1593)),""))</f>
        <v/>
      </c>
      <c r="G1593">
        <f>IF(D1593="KEEP",COUNTIF($D$2:D1593,"KEEP"),"")</f>
        <v/>
      </c>
      <c r="H1593">
        <f>IF(D1593="REMOVE",COUNTIF($D$2:D1593,"REMOVE"),"")</f>
        <v/>
      </c>
      <c r="I1593">
        <f>IF(E1593="Gmail",COUNTIF($E$2:E1593,"Gmail"),"")</f>
        <v/>
      </c>
      <c r="J1593">
        <f>IF(E1593="Outlook",COUNTIF($E$2:E1593,"Outlook"),"")</f>
        <v/>
      </c>
      <c r="K1593">
        <f>IF(E1593="Domain",COUNTIF($E$2:E1593,"Domain"),"")</f>
        <v/>
      </c>
    </row>
    <row r="1594">
      <c r="A1594" s="2" t="n"/>
      <c r="B1594">
        <f>LOWER(TRIM(A1594))</f>
        <v/>
      </c>
      <c r="C1594">
        <f>IF(B1594="","",IFERROR(INDEX('Bad Patterns'!$A$2:$A$120,MATCH(1,INDEX(--ISNUMBER(SEARCH('Bad Patterns'!$A$2:$A$120,B1594)),0),0)),""))</f>
        <v/>
      </c>
      <c r="D1594">
        <f>IF(B1594="","",IF(C1594&lt;&gt;"","REMOVE","KEEP"))</f>
        <v/>
      </c>
      <c r="E1594">
        <f>IF(D1594&lt;&gt;"KEEP","",IF(RIGHT(B1594,10)="@gmail.com","Gmail",IF(OR(RIGHT(B1594,12)="@outlook.com",RIGHT(B1594,12)="@hotmail.com",RIGHT(B1594,9)="@live.com"),"Outlook","Domain")))</f>
        <v/>
      </c>
      <c r="F1594">
        <f>IF(B1594="","",IFERROR(RIGHT(B1594,LEN(B1594)-FIND("@",B1594)),""))</f>
        <v/>
      </c>
      <c r="G1594">
        <f>IF(D1594="KEEP",COUNTIF($D$2:D1594,"KEEP"),"")</f>
        <v/>
      </c>
      <c r="H1594">
        <f>IF(D1594="REMOVE",COUNTIF($D$2:D1594,"REMOVE"),"")</f>
        <v/>
      </c>
      <c r="I1594">
        <f>IF(E1594="Gmail",COUNTIF($E$2:E1594,"Gmail"),"")</f>
        <v/>
      </c>
      <c r="J1594">
        <f>IF(E1594="Outlook",COUNTIF($E$2:E1594,"Outlook"),"")</f>
        <v/>
      </c>
      <c r="K1594">
        <f>IF(E1594="Domain",COUNTIF($E$2:E1594,"Domain"),"")</f>
        <v/>
      </c>
    </row>
    <row r="1595">
      <c r="A1595" s="2" t="n"/>
      <c r="B1595">
        <f>LOWER(TRIM(A1595))</f>
        <v/>
      </c>
      <c r="C1595">
        <f>IF(B1595="","",IFERROR(INDEX('Bad Patterns'!$A$2:$A$120,MATCH(1,INDEX(--ISNUMBER(SEARCH('Bad Patterns'!$A$2:$A$120,B1595)),0),0)),""))</f>
        <v/>
      </c>
      <c r="D1595">
        <f>IF(B1595="","",IF(C1595&lt;&gt;"","REMOVE","KEEP"))</f>
        <v/>
      </c>
      <c r="E1595">
        <f>IF(D1595&lt;&gt;"KEEP","",IF(RIGHT(B1595,10)="@gmail.com","Gmail",IF(OR(RIGHT(B1595,12)="@outlook.com",RIGHT(B1595,12)="@hotmail.com",RIGHT(B1595,9)="@live.com"),"Outlook","Domain")))</f>
        <v/>
      </c>
      <c r="F1595">
        <f>IF(B1595="","",IFERROR(RIGHT(B1595,LEN(B1595)-FIND("@",B1595)),""))</f>
        <v/>
      </c>
      <c r="G1595">
        <f>IF(D1595="KEEP",COUNTIF($D$2:D1595,"KEEP"),"")</f>
        <v/>
      </c>
      <c r="H1595">
        <f>IF(D1595="REMOVE",COUNTIF($D$2:D1595,"REMOVE"),"")</f>
        <v/>
      </c>
      <c r="I1595">
        <f>IF(E1595="Gmail",COUNTIF($E$2:E1595,"Gmail"),"")</f>
        <v/>
      </c>
      <c r="J1595">
        <f>IF(E1595="Outlook",COUNTIF($E$2:E1595,"Outlook"),"")</f>
        <v/>
      </c>
      <c r="K1595">
        <f>IF(E1595="Domain",COUNTIF($E$2:E1595,"Domain"),"")</f>
        <v/>
      </c>
    </row>
    <row r="1596">
      <c r="A1596" s="2" t="n"/>
      <c r="B1596">
        <f>LOWER(TRIM(A1596))</f>
        <v/>
      </c>
      <c r="C1596">
        <f>IF(B1596="","",IFERROR(INDEX('Bad Patterns'!$A$2:$A$120,MATCH(1,INDEX(--ISNUMBER(SEARCH('Bad Patterns'!$A$2:$A$120,B1596)),0),0)),""))</f>
        <v/>
      </c>
      <c r="D1596">
        <f>IF(B1596="","",IF(C1596&lt;&gt;"","REMOVE","KEEP"))</f>
        <v/>
      </c>
      <c r="E1596">
        <f>IF(D1596&lt;&gt;"KEEP","",IF(RIGHT(B1596,10)="@gmail.com","Gmail",IF(OR(RIGHT(B1596,12)="@outlook.com",RIGHT(B1596,12)="@hotmail.com",RIGHT(B1596,9)="@live.com"),"Outlook","Domain")))</f>
        <v/>
      </c>
      <c r="F1596">
        <f>IF(B1596="","",IFERROR(RIGHT(B1596,LEN(B1596)-FIND("@",B1596)),""))</f>
        <v/>
      </c>
      <c r="G1596">
        <f>IF(D1596="KEEP",COUNTIF($D$2:D1596,"KEEP"),"")</f>
        <v/>
      </c>
      <c r="H1596">
        <f>IF(D1596="REMOVE",COUNTIF($D$2:D1596,"REMOVE"),"")</f>
        <v/>
      </c>
      <c r="I1596">
        <f>IF(E1596="Gmail",COUNTIF($E$2:E1596,"Gmail"),"")</f>
        <v/>
      </c>
      <c r="J1596">
        <f>IF(E1596="Outlook",COUNTIF($E$2:E1596,"Outlook"),"")</f>
        <v/>
      </c>
      <c r="K1596">
        <f>IF(E1596="Domain",COUNTIF($E$2:E1596,"Domain"),"")</f>
        <v/>
      </c>
    </row>
    <row r="1597">
      <c r="A1597" s="2" t="n"/>
      <c r="B1597">
        <f>LOWER(TRIM(A1597))</f>
        <v/>
      </c>
      <c r="C1597">
        <f>IF(B1597="","",IFERROR(INDEX('Bad Patterns'!$A$2:$A$120,MATCH(1,INDEX(--ISNUMBER(SEARCH('Bad Patterns'!$A$2:$A$120,B1597)),0),0)),""))</f>
        <v/>
      </c>
      <c r="D1597">
        <f>IF(B1597="","",IF(C1597&lt;&gt;"","REMOVE","KEEP"))</f>
        <v/>
      </c>
      <c r="E1597">
        <f>IF(D1597&lt;&gt;"KEEP","",IF(RIGHT(B1597,10)="@gmail.com","Gmail",IF(OR(RIGHT(B1597,12)="@outlook.com",RIGHT(B1597,12)="@hotmail.com",RIGHT(B1597,9)="@live.com"),"Outlook","Domain")))</f>
        <v/>
      </c>
      <c r="F1597">
        <f>IF(B1597="","",IFERROR(RIGHT(B1597,LEN(B1597)-FIND("@",B1597)),""))</f>
        <v/>
      </c>
      <c r="G1597">
        <f>IF(D1597="KEEP",COUNTIF($D$2:D1597,"KEEP"),"")</f>
        <v/>
      </c>
      <c r="H1597">
        <f>IF(D1597="REMOVE",COUNTIF($D$2:D1597,"REMOVE"),"")</f>
        <v/>
      </c>
      <c r="I1597">
        <f>IF(E1597="Gmail",COUNTIF($E$2:E1597,"Gmail"),"")</f>
        <v/>
      </c>
      <c r="J1597">
        <f>IF(E1597="Outlook",COUNTIF($E$2:E1597,"Outlook"),"")</f>
        <v/>
      </c>
      <c r="K1597">
        <f>IF(E1597="Domain",COUNTIF($E$2:E1597,"Domain"),"")</f>
        <v/>
      </c>
    </row>
    <row r="1598">
      <c r="A1598" s="2" t="n"/>
      <c r="B1598">
        <f>LOWER(TRIM(A1598))</f>
        <v/>
      </c>
      <c r="C1598">
        <f>IF(B1598="","",IFERROR(INDEX('Bad Patterns'!$A$2:$A$120,MATCH(1,INDEX(--ISNUMBER(SEARCH('Bad Patterns'!$A$2:$A$120,B1598)),0),0)),""))</f>
        <v/>
      </c>
      <c r="D1598">
        <f>IF(B1598="","",IF(C1598&lt;&gt;"","REMOVE","KEEP"))</f>
        <v/>
      </c>
      <c r="E1598">
        <f>IF(D1598&lt;&gt;"KEEP","",IF(RIGHT(B1598,10)="@gmail.com","Gmail",IF(OR(RIGHT(B1598,12)="@outlook.com",RIGHT(B1598,12)="@hotmail.com",RIGHT(B1598,9)="@live.com"),"Outlook","Domain")))</f>
        <v/>
      </c>
      <c r="F1598">
        <f>IF(B1598="","",IFERROR(RIGHT(B1598,LEN(B1598)-FIND("@",B1598)),""))</f>
        <v/>
      </c>
      <c r="G1598">
        <f>IF(D1598="KEEP",COUNTIF($D$2:D1598,"KEEP"),"")</f>
        <v/>
      </c>
      <c r="H1598">
        <f>IF(D1598="REMOVE",COUNTIF($D$2:D1598,"REMOVE"),"")</f>
        <v/>
      </c>
      <c r="I1598">
        <f>IF(E1598="Gmail",COUNTIF($E$2:E1598,"Gmail"),"")</f>
        <v/>
      </c>
      <c r="J1598">
        <f>IF(E1598="Outlook",COUNTIF($E$2:E1598,"Outlook"),"")</f>
        <v/>
      </c>
      <c r="K1598">
        <f>IF(E1598="Domain",COUNTIF($E$2:E1598,"Domain"),"")</f>
        <v/>
      </c>
    </row>
    <row r="1599">
      <c r="A1599" s="2" t="n"/>
      <c r="B1599">
        <f>LOWER(TRIM(A1599))</f>
        <v/>
      </c>
      <c r="C1599">
        <f>IF(B1599="","",IFERROR(INDEX('Bad Patterns'!$A$2:$A$120,MATCH(1,INDEX(--ISNUMBER(SEARCH('Bad Patterns'!$A$2:$A$120,B1599)),0),0)),""))</f>
        <v/>
      </c>
      <c r="D1599">
        <f>IF(B1599="","",IF(C1599&lt;&gt;"","REMOVE","KEEP"))</f>
        <v/>
      </c>
      <c r="E1599">
        <f>IF(D1599&lt;&gt;"KEEP","",IF(RIGHT(B1599,10)="@gmail.com","Gmail",IF(OR(RIGHT(B1599,12)="@outlook.com",RIGHT(B1599,12)="@hotmail.com",RIGHT(B1599,9)="@live.com"),"Outlook","Domain")))</f>
        <v/>
      </c>
      <c r="F1599">
        <f>IF(B1599="","",IFERROR(RIGHT(B1599,LEN(B1599)-FIND("@",B1599)),""))</f>
        <v/>
      </c>
      <c r="G1599">
        <f>IF(D1599="KEEP",COUNTIF($D$2:D1599,"KEEP"),"")</f>
        <v/>
      </c>
      <c r="H1599">
        <f>IF(D1599="REMOVE",COUNTIF($D$2:D1599,"REMOVE"),"")</f>
        <v/>
      </c>
      <c r="I1599">
        <f>IF(E1599="Gmail",COUNTIF($E$2:E1599,"Gmail"),"")</f>
        <v/>
      </c>
      <c r="J1599">
        <f>IF(E1599="Outlook",COUNTIF($E$2:E1599,"Outlook"),"")</f>
        <v/>
      </c>
      <c r="K1599">
        <f>IF(E1599="Domain",COUNTIF($E$2:E1599,"Domain"),"")</f>
        <v/>
      </c>
    </row>
    <row r="1600">
      <c r="A1600" s="2" t="n"/>
      <c r="B1600">
        <f>LOWER(TRIM(A1600))</f>
        <v/>
      </c>
      <c r="C1600">
        <f>IF(B1600="","",IFERROR(INDEX('Bad Patterns'!$A$2:$A$120,MATCH(1,INDEX(--ISNUMBER(SEARCH('Bad Patterns'!$A$2:$A$120,B1600)),0),0)),""))</f>
        <v/>
      </c>
      <c r="D1600">
        <f>IF(B1600="","",IF(C1600&lt;&gt;"","REMOVE","KEEP"))</f>
        <v/>
      </c>
      <c r="E1600">
        <f>IF(D1600&lt;&gt;"KEEP","",IF(RIGHT(B1600,10)="@gmail.com","Gmail",IF(OR(RIGHT(B1600,12)="@outlook.com",RIGHT(B1600,12)="@hotmail.com",RIGHT(B1600,9)="@live.com"),"Outlook","Domain")))</f>
        <v/>
      </c>
      <c r="F1600">
        <f>IF(B1600="","",IFERROR(RIGHT(B1600,LEN(B1600)-FIND("@",B1600)),""))</f>
        <v/>
      </c>
      <c r="G1600">
        <f>IF(D1600="KEEP",COUNTIF($D$2:D1600,"KEEP"),"")</f>
        <v/>
      </c>
      <c r="H1600">
        <f>IF(D1600="REMOVE",COUNTIF($D$2:D1600,"REMOVE"),"")</f>
        <v/>
      </c>
      <c r="I1600">
        <f>IF(E1600="Gmail",COUNTIF($E$2:E1600,"Gmail"),"")</f>
        <v/>
      </c>
      <c r="J1600">
        <f>IF(E1600="Outlook",COUNTIF($E$2:E1600,"Outlook"),"")</f>
        <v/>
      </c>
      <c r="K1600">
        <f>IF(E1600="Domain",COUNTIF($E$2:E1600,"Domain"),"")</f>
        <v/>
      </c>
    </row>
    <row r="1601">
      <c r="A1601" s="2" t="n"/>
      <c r="B1601">
        <f>LOWER(TRIM(A1601))</f>
        <v/>
      </c>
      <c r="C1601">
        <f>IF(B1601="","",IFERROR(INDEX('Bad Patterns'!$A$2:$A$120,MATCH(1,INDEX(--ISNUMBER(SEARCH('Bad Patterns'!$A$2:$A$120,B1601)),0),0)),""))</f>
        <v/>
      </c>
      <c r="D1601">
        <f>IF(B1601="","",IF(C1601&lt;&gt;"","REMOVE","KEEP"))</f>
        <v/>
      </c>
      <c r="E1601">
        <f>IF(D1601&lt;&gt;"KEEP","",IF(RIGHT(B1601,10)="@gmail.com","Gmail",IF(OR(RIGHT(B1601,12)="@outlook.com",RIGHT(B1601,12)="@hotmail.com",RIGHT(B1601,9)="@live.com"),"Outlook","Domain")))</f>
        <v/>
      </c>
      <c r="F1601">
        <f>IF(B1601="","",IFERROR(RIGHT(B1601,LEN(B1601)-FIND("@",B1601)),""))</f>
        <v/>
      </c>
      <c r="G1601">
        <f>IF(D1601="KEEP",COUNTIF($D$2:D1601,"KEEP"),"")</f>
        <v/>
      </c>
      <c r="H1601">
        <f>IF(D1601="REMOVE",COUNTIF($D$2:D1601,"REMOVE"),"")</f>
        <v/>
      </c>
      <c r="I1601">
        <f>IF(E1601="Gmail",COUNTIF($E$2:E1601,"Gmail"),"")</f>
        <v/>
      </c>
      <c r="J1601">
        <f>IF(E1601="Outlook",COUNTIF($E$2:E1601,"Outlook"),"")</f>
        <v/>
      </c>
      <c r="K1601">
        <f>IF(E1601="Domain",COUNTIF($E$2:E1601,"Domain"),"")</f>
        <v/>
      </c>
    </row>
    <row r="1602">
      <c r="A1602" s="2" t="n"/>
      <c r="B1602">
        <f>LOWER(TRIM(A1602))</f>
        <v/>
      </c>
      <c r="C1602">
        <f>IF(B1602="","",IFERROR(INDEX('Bad Patterns'!$A$2:$A$120,MATCH(1,INDEX(--ISNUMBER(SEARCH('Bad Patterns'!$A$2:$A$120,B1602)),0),0)),""))</f>
        <v/>
      </c>
      <c r="D1602">
        <f>IF(B1602="","",IF(C1602&lt;&gt;"","REMOVE","KEEP"))</f>
        <v/>
      </c>
      <c r="E1602">
        <f>IF(D1602&lt;&gt;"KEEP","",IF(RIGHT(B1602,10)="@gmail.com","Gmail",IF(OR(RIGHT(B1602,12)="@outlook.com",RIGHT(B1602,12)="@hotmail.com",RIGHT(B1602,9)="@live.com"),"Outlook","Domain")))</f>
        <v/>
      </c>
      <c r="F1602">
        <f>IF(B1602="","",IFERROR(RIGHT(B1602,LEN(B1602)-FIND("@",B1602)),""))</f>
        <v/>
      </c>
      <c r="G1602">
        <f>IF(D1602="KEEP",COUNTIF($D$2:D1602,"KEEP"),"")</f>
        <v/>
      </c>
      <c r="H1602">
        <f>IF(D1602="REMOVE",COUNTIF($D$2:D1602,"REMOVE"),"")</f>
        <v/>
      </c>
      <c r="I1602">
        <f>IF(E1602="Gmail",COUNTIF($E$2:E1602,"Gmail"),"")</f>
        <v/>
      </c>
      <c r="J1602">
        <f>IF(E1602="Outlook",COUNTIF($E$2:E1602,"Outlook"),"")</f>
        <v/>
      </c>
      <c r="K1602">
        <f>IF(E1602="Domain",COUNTIF($E$2:E1602,"Domain"),"")</f>
        <v/>
      </c>
    </row>
    <row r="1603">
      <c r="A1603" s="2" t="n"/>
      <c r="B1603">
        <f>LOWER(TRIM(A1603))</f>
        <v/>
      </c>
      <c r="C1603">
        <f>IF(B1603="","",IFERROR(INDEX('Bad Patterns'!$A$2:$A$120,MATCH(1,INDEX(--ISNUMBER(SEARCH('Bad Patterns'!$A$2:$A$120,B1603)),0),0)),""))</f>
        <v/>
      </c>
      <c r="D1603">
        <f>IF(B1603="","",IF(C1603&lt;&gt;"","REMOVE","KEEP"))</f>
        <v/>
      </c>
      <c r="E1603">
        <f>IF(D1603&lt;&gt;"KEEP","",IF(RIGHT(B1603,10)="@gmail.com","Gmail",IF(OR(RIGHT(B1603,12)="@outlook.com",RIGHT(B1603,12)="@hotmail.com",RIGHT(B1603,9)="@live.com"),"Outlook","Domain")))</f>
        <v/>
      </c>
      <c r="F1603">
        <f>IF(B1603="","",IFERROR(RIGHT(B1603,LEN(B1603)-FIND("@",B1603)),""))</f>
        <v/>
      </c>
      <c r="G1603">
        <f>IF(D1603="KEEP",COUNTIF($D$2:D1603,"KEEP"),"")</f>
        <v/>
      </c>
      <c r="H1603">
        <f>IF(D1603="REMOVE",COUNTIF($D$2:D1603,"REMOVE"),"")</f>
        <v/>
      </c>
      <c r="I1603">
        <f>IF(E1603="Gmail",COUNTIF($E$2:E1603,"Gmail"),"")</f>
        <v/>
      </c>
      <c r="J1603">
        <f>IF(E1603="Outlook",COUNTIF($E$2:E1603,"Outlook"),"")</f>
        <v/>
      </c>
      <c r="K1603">
        <f>IF(E1603="Domain",COUNTIF($E$2:E1603,"Domain"),"")</f>
        <v/>
      </c>
    </row>
    <row r="1604">
      <c r="A1604" s="2" t="n"/>
      <c r="B1604">
        <f>LOWER(TRIM(A1604))</f>
        <v/>
      </c>
      <c r="C1604">
        <f>IF(B1604="","",IFERROR(INDEX('Bad Patterns'!$A$2:$A$120,MATCH(1,INDEX(--ISNUMBER(SEARCH('Bad Patterns'!$A$2:$A$120,B1604)),0),0)),""))</f>
        <v/>
      </c>
      <c r="D1604">
        <f>IF(B1604="","",IF(C1604&lt;&gt;"","REMOVE","KEEP"))</f>
        <v/>
      </c>
      <c r="E1604">
        <f>IF(D1604&lt;&gt;"KEEP","",IF(RIGHT(B1604,10)="@gmail.com","Gmail",IF(OR(RIGHT(B1604,12)="@outlook.com",RIGHT(B1604,12)="@hotmail.com",RIGHT(B1604,9)="@live.com"),"Outlook","Domain")))</f>
        <v/>
      </c>
      <c r="F1604">
        <f>IF(B1604="","",IFERROR(RIGHT(B1604,LEN(B1604)-FIND("@",B1604)),""))</f>
        <v/>
      </c>
      <c r="G1604">
        <f>IF(D1604="KEEP",COUNTIF($D$2:D1604,"KEEP"),"")</f>
        <v/>
      </c>
      <c r="H1604">
        <f>IF(D1604="REMOVE",COUNTIF($D$2:D1604,"REMOVE"),"")</f>
        <v/>
      </c>
      <c r="I1604">
        <f>IF(E1604="Gmail",COUNTIF($E$2:E1604,"Gmail"),"")</f>
        <v/>
      </c>
      <c r="J1604">
        <f>IF(E1604="Outlook",COUNTIF($E$2:E1604,"Outlook"),"")</f>
        <v/>
      </c>
      <c r="K1604">
        <f>IF(E1604="Domain",COUNTIF($E$2:E1604,"Domain"),"")</f>
        <v/>
      </c>
    </row>
    <row r="1605">
      <c r="A1605" s="2" t="n"/>
      <c r="B1605">
        <f>LOWER(TRIM(A1605))</f>
        <v/>
      </c>
      <c r="C1605">
        <f>IF(B1605="","",IFERROR(INDEX('Bad Patterns'!$A$2:$A$120,MATCH(1,INDEX(--ISNUMBER(SEARCH('Bad Patterns'!$A$2:$A$120,B1605)),0),0)),""))</f>
        <v/>
      </c>
      <c r="D1605">
        <f>IF(B1605="","",IF(C1605&lt;&gt;"","REMOVE","KEEP"))</f>
        <v/>
      </c>
      <c r="E1605">
        <f>IF(D1605&lt;&gt;"KEEP","",IF(RIGHT(B1605,10)="@gmail.com","Gmail",IF(OR(RIGHT(B1605,12)="@outlook.com",RIGHT(B1605,12)="@hotmail.com",RIGHT(B1605,9)="@live.com"),"Outlook","Domain")))</f>
        <v/>
      </c>
      <c r="F1605">
        <f>IF(B1605="","",IFERROR(RIGHT(B1605,LEN(B1605)-FIND("@",B1605)),""))</f>
        <v/>
      </c>
      <c r="G1605">
        <f>IF(D1605="KEEP",COUNTIF($D$2:D1605,"KEEP"),"")</f>
        <v/>
      </c>
      <c r="H1605">
        <f>IF(D1605="REMOVE",COUNTIF($D$2:D1605,"REMOVE"),"")</f>
        <v/>
      </c>
      <c r="I1605">
        <f>IF(E1605="Gmail",COUNTIF($E$2:E1605,"Gmail"),"")</f>
        <v/>
      </c>
      <c r="J1605">
        <f>IF(E1605="Outlook",COUNTIF($E$2:E1605,"Outlook"),"")</f>
        <v/>
      </c>
      <c r="K1605">
        <f>IF(E1605="Domain",COUNTIF($E$2:E1605,"Domain"),"")</f>
        <v/>
      </c>
    </row>
    <row r="1606">
      <c r="A1606" s="2" t="n"/>
      <c r="B1606">
        <f>LOWER(TRIM(A1606))</f>
        <v/>
      </c>
      <c r="C1606">
        <f>IF(B1606="","",IFERROR(INDEX('Bad Patterns'!$A$2:$A$120,MATCH(1,INDEX(--ISNUMBER(SEARCH('Bad Patterns'!$A$2:$A$120,B1606)),0),0)),""))</f>
        <v/>
      </c>
      <c r="D1606">
        <f>IF(B1606="","",IF(C1606&lt;&gt;"","REMOVE","KEEP"))</f>
        <v/>
      </c>
      <c r="E1606">
        <f>IF(D1606&lt;&gt;"KEEP","",IF(RIGHT(B1606,10)="@gmail.com","Gmail",IF(OR(RIGHT(B1606,12)="@outlook.com",RIGHT(B1606,12)="@hotmail.com",RIGHT(B1606,9)="@live.com"),"Outlook","Domain")))</f>
        <v/>
      </c>
      <c r="F1606">
        <f>IF(B1606="","",IFERROR(RIGHT(B1606,LEN(B1606)-FIND("@",B1606)),""))</f>
        <v/>
      </c>
      <c r="G1606">
        <f>IF(D1606="KEEP",COUNTIF($D$2:D1606,"KEEP"),"")</f>
        <v/>
      </c>
      <c r="H1606">
        <f>IF(D1606="REMOVE",COUNTIF($D$2:D1606,"REMOVE"),"")</f>
        <v/>
      </c>
      <c r="I1606">
        <f>IF(E1606="Gmail",COUNTIF($E$2:E1606,"Gmail"),"")</f>
        <v/>
      </c>
      <c r="J1606">
        <f>IF(E1606="Outlook",COUNTIF($E$2:E1606,"Outlook"),"")</f>
        <v/>
      </c>
      <c r="K1606">
        <f>IF(E1606="Domain",COUNTIF($E$2:E1606,"Domain"),"")</f>
        <v/>
      </c>
    </row>
    <row r="1607">
      <c r="A1607" s="2" t="n"/>
      <c r="B1607">
        <f>LOWER(TRIM(A1607))</f>
        <v/>
      </c>
      <c r="C1607">
        <f>IF(B1607="","",IFERROR(INDEX('Bad Patterns'!$A$2:$A$120,MATCH(1,INDEX(--ISNUMBER(SEARCH('Bad Patterns'!$A$2:$A$120,B1607)),0),0)),""))</f>
        <v/>
      </c>
      <c r="D1607">
        <f>IF(B1607="","",IF(C1607&lt;&gt;"","REMOVE","KEEP"))</f>
        <v/>
      </c>
      <c r="E1607">
        <f>IF(D1607&lt;&gt;"KEEP","",IF(RIGHT(B1607,10)="@gmail.com","Gmail",IF(OR(RIGHT(B1607,12)="@outlook.com",RIGHT(B1607,12)="@hotmail.com",RIGHT(B1607,9)="@live.com"),"Outlook","Domain")))</f>
        <v/>
      </c>
      <c r="F1607">
        <f>IF(B1607="","",IFERROR(RIGHT(B1607,LEN(B1607)-FIND("@",B1607)),""))</f>
        <v/>
      </c>
      <c r="G1607">
        <f>IF(D1607="KEEP",COUNTIF($D$2:D1607,"KEEP"),"")</f>
        <v/>
      </c>
      <c r="H1607">
        <f>IF(D1607="REMOVE",COUNTIF($D$2:D1607,"REMOVE"),"")</f>
        <v/>
      </c>
      <c r="I1607">
        <f>IF(E1607="Gmail",COUNTIF($E$2:E1607,"Gmail"),"")</f>
        <v/>
      </c>
      <c r="J1607">
        <f>IF(E1607="Outlook",COUNTIF($E$2:E1607,"Outlook"),"")</f>
        <v/>
      </c>
      <c r="K1607">
        <f>IF(E1607="Domain",COUNTIF($E$2:E1607,"Domain"),"")</f>
        <v/>
      </c>
    </row>
    <row r="1608">
      <c r="A1608" s="2" t="n"/>
      <c r="B1608">
        <f>LOWER(TRIM(A1608))</f>
        <v/>
      </c>
      <c r="C1608">
        <f>IF(B1608="","",IFERROR(INDEX('Bad Patterns'!$A$2:$A$120,MATCH(1,INDEX(--ISNUMBER(SEARCH('Bad Patterns'!$A$2:$A$120,B1608)),0),0)),""))</f>
        <v/>
      </c>
      <c r="D1608">
        <f>IF(B1608="","",IF(C1608&lt;&gt;"","REMOVE","KEEP"))</f>
        <v/>
      </c>
      <c r="E1608">
        <f>IF(D1608&lt;&gt;"KEEP","",IF(RIGHT(B1608,10)="@gmail.com","Gmail",IF(OR(RIGHT(B1608,12)="@outlook.com",RIGHT(B1608,12)="@hotmail.com",RIGHT(B1608,9)="@live.com"),"Outlook","Domain")))</f>
        <v/>
      </c>
      <c r="F1608">
        <f>IF(B1608="","",IFERROR(RIGHT(B1608,LEN(B1608)-FIND("@",B1608)),""))</f>
        <v/>
      </c>
      <c r="G1608">
        <f>IF(D1608="KEEP",COUNTIF($D$2:D1608,"KEEP"),"")</f>
        <v/>
      </c>
      <c r="H1608">
        <f>IF(D1608="REMOVE",COUNTIF($D$2:D1608,"REMOVE"),"")</f>
        <v/>
      </c>
      <c r="I1608">
        <f>IF(E1608="Gmail",COUNTIF($E$2:E1608,"Gmail"),"")</f>
        <v/>
      </c>
      <c r="J1608">
        <f>IF(E1608="Outlook",COUNTIF($E$2:E1608,"Outlook"),"")</f>
        <v/>
      </c>
      <c r="K1608">
        <f>IF(E1608="Domain",COUNTIF($E$2:E1608,"Domain"),"")</f>
        <v/>
      </c>
    </row>
    <row r="1609">
      <c r="A1609" s="2" t="n"/>
      <c r="B1609">
        <f>LOWER(TRIM(A1609))</f>
        <v/>
      </c>
      <c r="C1609">
        <f>IF(B1609="","",IFERROR(INDEX('Bad Patterns'!$A$2:$A$120,MATCH(1,INDEX(--ISNUMBER(SEARCH('Bad Patterns'!$A$2:$A$120,B1609)),0),0)),""))</f>
        <v/>
      </c>
      <c r="D1609">
        <f>IF(B1609="","",IF(C1609&lt;&gt;"","REMOVE","KEEP"))</f>
        <v/>
      </c>
      <c r="E1609">
        <f>IF(D1609&lt;&gt;"KEEP","",IF(RIGHT(B1609,10)="@gmail.com","Gmail",IF(OR(RIGHT(B1609,12)="@outlook.com",RIGHT(B1609,12)="@hotmail.com",RIGHT(B1609,9)="@live.com"),"Outlook","Domain")))</f>
        <v/>
      </c>
      <c r="F1609">
        <f>IF(B1609="","",IFERROR(RIGHT(B1609,LEN(B1609)-FIND("@",B1609)),""))</f>
        <v/>
      </c>
      <c r="G1609">
        <f>IF(D1609="KEEP",COUNTIF($D$2:D1609,"KEEP"),"")</f>
        <v/>
      </c>
      <c r="H1609">
        <f>IF(D1609="REMOVE",COUNTIF($D$2:D1609,"REMOVE"),"")</f>
        <v/>
      </c>
      <c r="I1609">
        <f>IF(E1609="Gmail",COUNTIF($E$2:E1609,"Gmail"),"")</f>
        <v/>
      </c>
      <c r="J1609">
        <f>IF(E1609="Outlook",COUNTIF($E$2:E1609,"Outlook"),"")</f>
        <v/>
      </c>
      <c r="K1609">
        <f>IF(E1609="Domain",COUNTIF($E$2:E1609,"Domain"),"")</f>
        <v/>
      </c>
    </row>
    <row r="1610">
      <c r="A1610" s="2" t="n"/>
      <c r="B1610">
        <f>LOWER(TRIM(A1610))</f>
        <v/>
      </c>
      <c r="C1610">
        <f>IF(B1610="","",IFERROR(INDEX('Bad Patterns'!$A$2:$A$120,MATCH(1,INDEX(--ISNUMBER(SEARCH('Bad Patterns'!$A$2:$A$120,B1610)),0),0)),""))</f>
        <v/>
      </c>
      <c r="D1610">
        <f>IF(B1610="","",IF(C1610&lt;&gt;"","REMOVE","KEEP"))</f>
        <v/>
      </c>
      <c r="E1610">
        <f>IF(D1610&lt;&gt;"KEEP","",IF(RIGHT(B1610,10)="@gmail.com","Gmail",IF(OR(RIGHT(B1610,12)="@outlook.com",RIGHT(B1610,12)="@hotmail.com",RIGHT(B1610,9)="@live.com"),"Outlook","Domain")))</f>
        <v/>
      </c>
      <c r="F1610">
        <f>IF(B1610="","",IFERROR(RIGHT(B1610,LEN(B1610)-FIND("@",B1610)),""))</f>
        <v/>
      </c>
      <c r="G1610">
        <f>IF(D1610="KEEP",COUNTIF($D$2:D1610,"KEEP"),"")</f>
        <v/>
      </c>
      <c r="H1610">
        <f>IF(D1610="REMOVE",COUNTIF($D$2:D1610,"REMOVE"),"")</f>
        <v/>
      </c>
      <c r="I1610">
        <f>IF(E1610="Gmail",COUNTIF($E$2:E1610,"Gmail"),"")</f>
        <v/>
      </c>
      <c r="J1610">
        <f>IF(E1610="Outlook",COUNTIF($E$2:E1610,"Outlook"),"")</f>
        <v/>
      </c>
      <c r="K1610">
        <f>IF(E1610="Domain",COUNTIF($E$2:E1610,"Domain"),"")</f>
        <v/>
      </c>
    </row>
    <row r="1611">
      <c r="A1611" s="2" t="n"/>
      <c r="B1611">
        <f>LOWER(TRIM(A1611))</f>
        <v/>
      </c>
      <c r="C1611">
        <f>IF(B1611="","",IFERROR(INDEX('Bad Patterns'!$A$2:$A$120,MATCH(1,INDEX(--ISNUMBER(SEARCH('Bad Patterns'!$A$2:$A$120,B1611)),0),0)),""))</f>
        <v/>
      </c>
      <c r="D1611">
        <f>IF(B1611="","",IF(C1611&lt;&gt;"","REMOVE","KEEP"))</f>
        <v/>
      </c>
      <c r="E1611">
        <f>IF(D1611&lt;&gt;"KEEP","",IF(RIGHT(B1611,10)="@gmail.com","Gmail",IF(OR(RIGHT(B1611,12)="@outlook.com",RIGHT(B1611,12)="@hotmail.com",RIGHT(B1611,9)="@live.com"),"Outlook","Domain")))</f>
        <v/>
      </c>
      <c r="F1611">
        <f>IF(B1611="","",IFERROR(RIGHT(B1611,LEN(B1611)-FIND("@",B1611)),""))</f>
        <v/>
      </c>
      <c r="G1611">
        <f>IF(D1611="KEEP",COUNTIF($D$2:D1611,"KEEP"),"")</f>
        <v/>
      </c>
      <c r="H1611">
        <f>IF(D1611="REMOVE",COUNTIF($D$2:D1611,"REMOVE"),"")</f>
        <v/>
      </c>
      <c r="I1611">
        <f>IF(E1611="Gmail",COUNTIF($E$2:E1611,"Gmail"),"")</f>
        <v/>
      </c>
      <c r="J1611">
        <f>IF(E1611="Outlook",COUNTIF($E$2:E1611,"Outlook"),"")</f>
        <v/>
      </c>
      <c r="K1611">
        <f>IF(E1611="Domain",COUNTIF($E$2:E1611,"Domain"),"")</f>
        <v/>
      </c>
    </row>
    <row r="1612">
      <c r="A1612" s="2" t="n"/>
      <c r="B1612">
        <f>LOWER(TRIM(A1612))</f>
        <v/>
      </c>
      <c r="C1612">
        <f>IF(B1612="","",IFERROR(INDEX('Bad Patterns'!$A$2:$A$120,MATCH(1,INDEX(--ISNUMBER(SEARCH('Bad Patterns'!$A$2:$A$120,B1612)),0),0)),""))</f>
        <v/>
      </c>
      <c r="D1612">
        <f>IF(B1612="","",IF(C1612&lt;&gt;"","REMOVE","KEEP"))</f>
        <v/>
      </c>
      <c r="E1612">
        <f>IF(D1612&lt;&gt;"KEEP","",IF(RIGHT(B1612,10)="@gmail.com","Gmail",IF(OR(RIGHT(B1612,12)="@outlook.com",RIGHT(B1612,12)="@hotmail.com",RIGHT(B1612,9)="@live.com"),"Outlook","Domain")))</f>
        <v/>
      </c>
      <c r="F1612">
        <f>IF(B1612="","",IFERROR(RIGHT(B1612,LEN(B1612)-FIND("@",B1612)),""))</f>
        <v/>
      </c>
      <c r="G1612">
        <f>IF(D1612="KEEP",COUNTIF($D$2:D1612,"KEEP"),"")</f>
        <v/>
      </c>
      <c r="H1612">
        <f>IF(D1612="REMOVE",COUNTIF($D$2:D1612,"REMOVE"),"")</f>
        <v/>
      </c>
      <c r="I1612">
        <f>IF(E1612="Gmail",COUNTIF($E$2:E1612,"Gmail"),"")</f>
        <v/>
      </c>
      <c r="J1612">
        <f>IF(E1612="Outlook",COUNTIF($E$2:E1612,"Outlook"),"")</f>
        <v/>
      </c>
      <c r="K1612">
        <f>IF(E1612="Domain",COUNTIF($E$2:E1612,"Domain"),"")</f>
        <v/>
      </c>
    </row>
    <row r="1613">
      <c r="A1613" s="2" t="n"/>
      <c r="B1613">
        <f>LOWER(TRIM(A1613))</f>
        <v/>
      </c>
      <c r="C1613">
        <f>IF(B1613="","",IFERROR(INDEX('Bad Patterns'!$A$2:$A$120,MATCH(1,INDEX(--ISNUMBER(SEARCH('Bad Patterns'!$A$2:$A$120,B1613)),0),0)),""))</f>
        <v/>
      </c>
      <c r="D1613">
        <f>IF(B1613="","",IF(C1613&lt;&gt;"","REMOVE","KEEP"))</f>
        <v/>
      </c>
      <c r="E1613">
        <f>IF(D1613&lt;&gt;"KEEP","",IF(RIGHT(B1613,10)="@gmail.com","Gmail",IF(OR(RIGHT(B1613,12)="@outlook.com",RIGHT(B1613,12)="@hotmail.com",RIGHT(B1613,9)="@live.com"),"Outlook","Domain")))</f>
        <v/>
      </c>
      <c r="F1613">
        <f>IF(B1613="","",IFERROR(RIGHT(B1613,LEN(B1613)-FIND("@",B1613)),""))</f>
        <v/>
      </c>
      <c r="G1613">
        <f>IF(D1613="KEEP",COUNTIF($D$2:D1613,"KEEP"),"")</f>
        <v/>
      </c>
      <c r="H1613">
        <f>IF(D1613="REMOVE",COUNTIF($D$2:D1613,"REMOVE"),"")</f>
        <v/>
      </c>
      <c r="I1613">
        <f>IF(E1613="Gmail",COUNTIF($E$2:E1613,"Gmail"),"")</f>
        <v/>
      </c>
      <c r="J1613">
        <f>IF(E1613="Outlook",COUNTIF($E$2:E1613,"Outlook"),"")</f>
        <v/>
      </c>
      <c r="K1613">
        <f>IF(E1613="Domain",COUNTIF($E$2:E1613,"Domain"),"")</f>
        <v/>
      </c>
    </row>
    <row r="1614">
      <c r="A1614" s="2" t="n"/>
      <c r="B1614">
        <f>LOWER(TRIM(A1614))</f>
        <v/>
      </c>
      <c r="C1614">
        <f>IF(B1614="","",IFERROR(INDEX('Bad Patterns'!$A$2:$A$120,MATCH(1,INDEX(--ISNUMBER(SEARCH('Bad Patterns'!$A$2:$A$120,B1614)),0),0)),""))</f>
        <v/>
      </c>
      <c r="D1614">
        <f>IF(B1614="","",IF(C1614&lt;&gt;"","REMOVE","KEEP"))</f>
        <v/>
      </c>
      <c r="E1614">
        <f>IF(D1614&lt;&gt;"KEEP","",IF(RIGHT(B1614,10)="@gmail.com","Gmail",IF(OR(RIGHT(B1614,12)="@outlook.com",RIGHT(B1614,12)="@hotmail.com",RIGHT(B1614,9)="@live.com"),"Outlook","Domain")))</f>
        <v/>
      </c>
      <c r="F1614">
        <f>IF(B1614="","",IFERROR(RIGHT(B1614,LEN(B1614)-FIND("@",B1614)),""))</f>
        <v/>
      </c>
      <c r="G1614">
        <f>IF(D1614="KEEP",COUNTIF($D$2:D1614,"KEEP"),"")</f>
        <v/>
      </c>
      <c r="H1614">
        <f>IF(D1614="REMOVE",COUNTIF($D$2:D1614,"REMOVE"),"")</f>
        <v/>
      </c>
      <c r="I1614">
        <f>IF(E1614="Gmail",COUNTIF($E$2:E1614,"Gmail"),"")</f>
        <v/>
      </c>
      <c r="J1614">
        <f>IF(E1614="Outlook",COUNTIF($E$2:E1614,"Outlook"),"")</f>
        <v/>
      </c>
      <c r="K1614">
        <f>IF(E1614="Domain",COUNTIF($E$2:E1614,"Domain"),"")</f>
        <v/>
      </c>
    </row>
    <row r="1615">
      <c r="A1615" s="2" t="n"/>
      <c r="B1615">
        <f>LOWER(TRIM(A1615))</f>
        <v/>
      </c>
      <c r="C1615">
        <f>IF(B1615="","",IFERROR(INDEX('Bad Patterns'!$A$2:$A$120,MATCH(1,INDEX(--ISNUMBER(SEARCH('Bad Patterns'!$A$2:$A$120,B1615)),0),0)),""))</f>
        <v/>
      </c>
      <c r="D1615">
        <f>IF(B1615="","",IF(C1615&lt;&gt;"","REMOVE","KEEP"))</f>
        <v/>
      </c>
      <c r="E1615">
        <f>IF(D1615&lt;&gt;"KEEP","",IF(RIGHT(B1615,10)="@gmail.com","Gmail",IF(OR(RIGHT(B1615,12)="@outlook.com",RIGHT(B1615,12)="@hotmail.com",RIGHT(B1615,9)="@live.com"),"Outlook","Domain")))</f>
        <v/>
      </c>
      <c r="F1615">
        <f>IF(B1615="","",IFERROR(RIGHT(B1615,LEN(B1615)-FIND("@",B1615)),""))</f>
        <v/>
      </c>
      <c r="G1615">
        <f>IF(D1615="KEEP",COUNTIF($D$2:D1615,"KEEP"),"")</f>
        <v/>
      </c>
      <c r="H1615">
        <f>IF(D1615="REMOVE",COUNTIF($D$2:D1615,"REMOVE"),"")</f>
        <v/>
      </c>
      <c r="I1615">
        <f>IF(E1615="Gmail",COUNTIF($E$2:E1615,"Gmail"),"")</f>
        <v/>
      </c>
      <c r="J1615">
        <f>IF(E1615="Outlook",COUNTIF($E$2:E1615,"Outlook"),"")</f>
        <v/>
      </c>
      <c r="K1615">
        <f>IF(E1615="Domain",COUNTIF($E$2:E1615,"Domain"),"")</f>
        <v/>
      </c>
    </row>
    <row r="1616">
      <c r="A1616" s="2" t="n"/>
      <c r="B1616">
        <f>LOWER(TRIM(A1616))</f>
        <v/>
      </c>
      <c r="C1616">
        <f>IF(B1616="","",IFERROR(INDEX('Bad Patterns'!$A$2:$A$120,MATCH(1,INDEX(--ISNUMBER(SEARCH('Bad Patterns'!$A$2:$A$120,B1616)),0),0)),""))</f>
        <v/>
      </c>
      <c r="D1616">
        <f>IF(B1616="","",IF(C1616&lt;&gt;"","REMOVE","KEEP"))</f>
        <v/>
      </c>
      <c r="E1616">
        <f>IF(D1616&lt;&gt;"KEEP","",IF(RIGHT(B1616,10)="@gmail.com","Gmail",IF(OR(RIGHT(B1616,12)="@outlook.com",RIGHT(B1616,12)="@hotmail.com",RIGHT(B1616,9)="@live.com"),"Outlook","Domain")))</f>
        <v/>
      </c>
      <c r="F1616">
        <f>IF(B1616="","",IFERROR(RIGHT(B1616,LEN(B1616)-FIND("@",B1616)),""))</f>
        <v/>
      </c>
      <c r="G1616">
        <f>IF(D1616="KEEP",COUNTIF($D$2:D1616,"KEEP"),"")</f>
        <v/>
      </c>
      <c r="H1616">
        <f>IF(D1616="REMOVE",COUNTIF($D$2:D1616,"REMOVE"),"")</f>
        <v/>
      </c>
      <c r="I1616">
        <f>IF(E1616="Gmail",COUNTIF($E$2:E1616,"Gmail"),"")</f>
        <v/>
      </c>
      <c r="J1616">
        <f>IF(E1616="Outlook",COUNTIF($E$2:E1616,"Outlook"),"")</f>
        <v/>
      </c>
      <c r="K1616">
        <f>IF(E1616="Domain",COUNTIF($E$2:E1616,"Domain"),"")</f>
        <v/>
      </c>
    </row>
    <row r="1617">
      <c r="A1617" s="2" t="n"/>
      <c r="B1617">
        <f>LOWER(TRIM(A1617))</f>
        <v/>
      </c>
      <c r="C1617">
        <f>IF(B1617="","",IFERROR(INDEX('Bad Patterns'!$A$2:$A$120,MATCH(1,INDEX(--ISNUMBER(SEARCH('Bad Patterns'!$A$2:$A$120,B1617)),0),0)),""))</f>
        <v/>
      </c>
      <c r="D1617">
        <f>IF(B1617="","",IF(C1617&lt;&gt;"","REMOVE","KEEP"))</f>
        <v/>
      </c>
      <c r="E1617">
        <f>IF(D1617&lt;&gt;"KEEP","",IF(RIGHT(B1617,10)="@gmail.com","Gmail",IF(OR(RIGHT(B1617,12)="@outlook.com",RIGHT(B1617,12)="@hotmail.com",RIGHT(B1617,9)="@live.com"),"Outlook","Domain")))</f>
        <v/>
      </c>
      <c r="F1617">
        <f>IF(B1617="","",IFERROR(RIGHT(B1617,LEN(B1617)-FIND("@",B1617)),""))</f>
        <v/>
      </c>
      <c r="G1617">
        <f>IF(D1617="KEEP",COUNTIF($D$2:D1617,"KEEP"),"")</f>
        <v/>
      </c>
      <c r="H1617">
        <f>IF(D1617="REMOVE",COUNTIF($D$2:D1617,"REMOVE"),"")</f>
        <v/>
      </c>
      <c r="I1617">
        <f>IF(E1617="Gmail",COUNTIF($E$2:E1617,"Gmail"),"")</f>
        <v/>
      </c>
      <c r="J1617">
        <f>IF(E1617="Outlook",COUNTIF($E$2:E1617,"Outlook"),"")</f>
        <v/>
      </c>
      <c r="K1617">
        <f>IF(E1617="Domain",COUNTIF($E$2:E1617,"Domain"),"")</f>
        <v/>
      </c>
    </row>
    <row r="1618">
      <c r="A1618" s="2" t="n"/>
      <c r="B1618">
        <f>LOWER(TRIM(A1618))</f>
        <v/>
      </c>
      <c r="C1618">
        <f>IF(B1618="","",IFERROR(INDEX('Bad Patterns'!$A$2:$A$120,MATCH(1,INDEX(--ISNUMBER(SEARCH('Bad Patterns'!$A$2:$A$120,B1618)),0),0)),""))</f>
        <v/>
      </c>
      <c r="D1618">
        <f>IF(B1618="","",IF(C1618&lt;&gt;"","REMOVE","KEEP"))</f>
        <v/>
      </c>
      <c r="E1618">
        <f>IF(D1618&lt;&gt;"KEEP","",IF(RIGHT(B1618,10)="@gmail.com","Gmail",IF(OR(RIGHT(B1618,12)="@outlook.com",RIGHT(B1618,12)="@hotmail.com",RIGHT(B1618,9)="@live.com"),"Outlook","Domain")))</f>
        <v/>
      </c>
      <c r="F1618">
        <f>IF(B1618="","",IFERROR(RIGHT(B1618,LEN(B1618)-FIND("@",B1618)),""))</f>
        <v/>
      </c>
      <c r="G1618">
        <f>IF(D1618="KEEP",COUNTIF($D$2:D1618,"KEEP"),"")</f>
        <v/>
      </c>
      <c r="H1618">
        <f>IF(D1618="REMOVE",COUNTIF($D$2:D1618,"REMOVE"),"")</f>
        <v/>
      </c>
      <c r="I1618">
        <f>IF(E1618="Gmail",COUNTIF($E$2:E1618,"Gmail"),"")</f>
        <v/>
      </c>
      <c r="J1618">
        <f>IF(E1618="Outlook",COUNTIF($E$2:E1618,"Outlook"),"")</f>
        <v/>
      </c>
      <c r="K1618">
        <f>IF(E1618="Domain",COUNTIF($E$2:E1618,"Domain"),"")</f>
        <v/>
      </c>
    </row>
    <row r="1619">
      <c r="A1619" s="2" t="n"/>
      <c r="B1619">
        <f>LOWER(TRIM(A1619))</f>
        <v/>
      </c>
      <c r="C1619">
        <f>IF(B1619="","",IFERROR(INDEX('Bad Patterns'!$A$2:$A$120,MATCH(1,INDEX(--ISNUMBER(SEARCH('Bad Patterns'!$A$2:$A$120,B1619)),0),0)),""))</f>
        <v/>
      </c>
      <c r="D1619">
        <f>IF(B1619="","",IF(C1619&lt;&gt;"","REMOVE","KEEP"))</f>
        <v/>
      </c>
      <c r="E1619">
        <f>IF(D1619&lt;&gt;"KEEP","",IF(RIGHT(B1619,10)="@gmail.com","Gmail",IF(OR(RIGHT(B1619,12)="@outlook.com",RIGHT(B1619,12)="@hotmail.com",RIGHT(B1619,9)="@live.com"),"Outlook","Domain")))</f>
        <v/>
      </c>
      <c r="F1619">
        <f>IF(B1619="","",IFERROR(RIGHT(B1619,LEN(B1619)-FIND("@",B1619)),""))</f>
        <v/>
      </c>
      <c r="G1619">
        <f>IF(D1619="KEEP",COUNTIF($D$2:D1619,"KEEP"),"")</f>
        <v/>
      </c>
      <c r="H1619">
        <f>IF(D1619="REMOVE",COUNTIF($D$2:D1619,"REMOVE"),"")</f>
        <v/>
      </c>
      <c r="I1619">
        <f>IF(E1619="Gmail",COUNTIF($E$2:E1619,"Gmail"),"")</f>
        <v/>
      </c>
      <c r="J1619">
        <f>IF(E1619="Outlook",COUNTIF($E$2:E1619,"Outlook"),"")</f>
        <v/>
      </c>
      <c r="K1619">
        <f>IF(E1619="Domain",COUNTIF($E$2:E1619,"Domain"),"")</f>
        <v/>
      </c>
    </row>
    <row r="1620">
      <c r="A1620" s="2" t="n"/>
      <c r="B1620">
        <f>LOWER(TRIM(A1620))</f>
        <v/>
      </c>
      <c r="C1620">
        <f>IF(B1620="","",IFERROR(INDEX('Bad Patterns'!$A$2:$A$120,MATCH(1,INDEX(--ISNUMBER(SEARCH('Bad Patterns'!$A$2:$A$120,B1620)),0),0)),""))</f>
        <v/>
      </c>
      <c r="D1620">
        <f>IF(B1620="","",IF(C1620&lt;&gt;"","REMOVE","KEEP"))</f>
        <v/>
      </c>
      <c r="E1620">
        <f>IF(D1620&lt;&gt;"KEEP","",IF(RIGHT(B1620,10)="@gmail.com","Gmail",IF(OR(RIGHT(B1620,12)="@outlook.com",RIGHT(B1620,12)="@hotmail.com",RIGHT(B1620,9)="@live.com"),"Outlook","Domain")))</f>
        <v/>
      </c>
      <c r="F1620">
        <f>IF(B1620="","",IFERROR(RIGHT(B1620,LEN(B1620)-FIND("@",B1620)),""))</f>
        <v/>
      </c>
      <c r="G1620">
        <f>IF(D1620="KEEP",COUNTIF($D$2:D1620,"KEEP"),"")</f>
        <v/>
      </c>
      <c r="H1620">
        <f>IF(D1620="REMOVE",COUNTIF($D$2:D1620,"REMOVE"),"")</f>
        <v/>
      </c>
      <c r="I1620">
        <f>IF(E1620="Gmail",COUNTIF($E$2:E1620,"Gmail"),"")</f>
        <v/>
      </c>
      <c r="J1620">
        <f>IF(E1620="Outlook",COUNTIF($E$2:E1620,"Outlook"),"")</f>
        <v/>
      </c>
      <c r="K1620">
        <f>IF(E1620="Domain",COUNTIF($E$2:E1620,"Domain"),"")</f>
        <v/>
      </c>
    </row>
    <row r="1621">
      <c r="A1621" s="2" t="n"/>
      <c r="B1621">
        <f>LOWER(TRIM(A1621))</f>
        <v/>
      </c>
      <c r="C1621">
        <f>IF(B1621="","",IFERROR(INDEX('Bad Patterns'!$A$2:$A$120,MATCH(1,INDEX(--ISNUMBER(SEARCH('Bad Patterns'!$A$2:$A$120,B1621)),0),0)),""))</f>
        <v/>
      </c>
      <c r="D1621">
        <f>IF(B1621="","",IF(C1621&lt;&gt;"","REMOVE","KEEP"))</f>
        <v/>
      </c>
      <c r="E1621">
        <f>IF(D1621&lt;&gt;"KEEP","",IF(RIGHT(B1621,10)="@gmail.com","Gmail",IF(OR(RIGHT(B1621,12)="@outlook.com",RIGHT(B1621,12)="@hotmail.com",RIGHT(B1621,9)="@live.com"),"Outlook","Domain")))</f>
        <v/>
      </c>
      <c r="F1621">
        <f>IF(B1621="","",IFERROR(RIGHT(B1621,LEN(B1621)-FIND("@",B1621)),""))</f>
        <v/>
      </c>
      <c r="G1621">
        <f>IF(D1621="KEEP",COUNTIF($D$2:D1621,"KEEP"),"")</f>
        <v/>
      </c>
      <c r="H1621">
        <f>IF(D1621="REMOVE",COUNTIF($D$2:D1621,"REMOVE"),"")</f>
        <v/>
      </c>
      <c r="I1621">
        <f>IF(E1621="Gmail",COUNTIF($E$2:E1621,"Gmail"),"")</f>
        <v/>
      </c>
      <c r="J1621">
        <f>IF(E1621="Outlook",COUNTIF($E$2:E1621,"Outlook"),"")</f>
        <v/>
      </c>
      <c r="K1621">
        <f>IF(E1621="Domain",COUNTIF($E$2:E1621,"Domain"),"")</f>
        <v/>
      </c>
    </row>
    <row r="1622">
      <c r="A1622" s="2" t="n"/>
      <c r="B1622">
        <f>LOWER(TRIM(A1622))</f>
        <v/>
      </c>
      <c r="C1622">
        <f>IF(B1622="","",IFERROR(INDEX('Bad Patterns'!$A$2:$A$120,MATCH(1,INDEX(--ISNUMBER(SEARCH('Bad Patterns'!$A$2:$A$120,B1622)),0),0)),""))</f>
        <v/>
      </c>
      <c r="D1622">
        <f>IF(B1622="","",IF(C1622&lt;&gt;"","REMOVE","KEEP"))</f>
        <v/>
      </c>
      <c r="E1622">
        <f>IF(D1622&lt;&gt;"KEEP","",IF(RIGHT(B1622,10)="@gmail.com","Gmail",IF(OR(RIGHT(B1622,12)="@outlook.com",RIGHT(B1622,12)="@hotmail.com",RIGHT(B1622,9)="@live.com"),"Outlook","Domain")))</f>
        <v/>
      </c>
      <c r="F1622">
        <f>IF(B1622="","",IFERROR(RIGHT(B1622,LEN(B1622)-FIND("@",B1622)),""))</f>
        <v/>
      </c>
      <c r="G1622">
        <f>IF(D1622="KEEP",COUNTIF($D$2:D1622,"KEEP"),"")</f>
        <v/>
      </c>
      <c r="H1622">
        <f>IF(D1622="REMOVE",COUNTIF($D$2:D1622,"REMOVE"),"")</f>
        <v/>
      </c>
      <c r="I1622">
        <f>IF(E1622="Gmail",COUNTIF($E$2:E1622,"Gmail"),"")</f>
        <v/>
      </c>
      <c r="J1622">
        <f>IF(E1622="Outlook",COUNTIF($E$2:E1622,"Outlook"),"")</f>
        <v/>
      </c>
      <c r="K1622">
        <f>IF(E1622="Domain",COUNTIF($E$2:E1622,"Domain"),"")</f>
        <v/>
      </c>
    </row>
    <row r="1623">
      <c r="A1623" s="2" t="n"/>
      <c r="B1623">
        <f>LOWER(TRIM(A1623))</f>
        <v/>
      </c>
      <c r="C1623">
        <f>IF(B1623="","",IFERROR(INDEX('Bad Patterns'!$A$2:$A$120,MATCH(1,INDEX(--ISNUMBER(SEARCH('Bad Patterns'!$A$2:$A$120,B1623)),0),0)),""))</f>
        <v/>
      </c>
      <c r="D1623">
        <f>IF(B1623="","",IF(C1623&lt;&gt;"","REMOVE","KEEP"))</f>
        <v/>
      </c>
      <c r="E1623">
        <f>IF(D1623&lt;&gt;"KEEP","",IF(RIGHT(B1623,10)="@gmail.com","Gmail",IF(OR(RIGHT(B1623,12)="@outlook.com",RIGHT(B1623,12)="@hotmail.com",RIGHT(B1623,9)="@live.com"),"Outlook","Domain")))</f>
        <v/>
      </c>
      <c r="F1623">
        <f>IF(B1623="","",IFERROR(RIGHT(B1623,LEN(B1623)-FIND("@",B1623)),""))</f>
        <v/>
      </c>
      <c r="G1623">
        <f>IF(D1623="KEEP",COUNTIF($D$2:D1623,"KEEP"),"")</f>
        <v/>
      </c>
      <c r="H1623">
        <f>IF(D1623="REMOVE",COUNTIF($D$2:D1623,"REMOVE"),"")</f>
        <v/>
      </c>
      <c r="I1623">
        <f>IF(E1623="Gmail",COUNTIF($E$2:E1623,"Gmail"),"")</f>
        <v/>
      </c>
      <c r="J1623">
        <f>IF(E1623="Outlook",COUNTIF($E$2:E1623,"Outlook"),"")</f>
        <v/>
      </c>
      <c r="K1623">
        <f>IF(E1623="Domain",COUNTIF($E$2:E1623,"Domain"),"")</f>
        <v/>
      </c>
    </row>
    <row r="1624">
      <c r="A1624" s="2" t="n"/>
      <c r="B1624">
        <f>LOWER(TRIM(A1624))</f>
        <v/>
      </c>
      <c r="C1624">
        <f>IF(B1624="","",IFERROR(INDEX('Bad Patterns'!$A$2:$A$120,MATCH(1,INDEX(--ISNUMBER(SEARCH('Bad Patterns'!$A$2:$A$120,B1624)),0),0)),""))</f>
        <v/>
      </c>
      <c r="D1624">
        <f>IF(B1624="","",IF(C1624&lt;&gt;"","REMOVE","KEEP"))</f>
        <v/>
      </c>
      <c r="E1624">
        <f>IF(D1624&lt;&gt;"KEEP","",IF(RIGHT(B1624,10)="@gmail.com","Gmail",IF(OR(RIGHT(B1624,12)="@outlook.com",RIGHT(B1624,12)="@hotmail.com",RIGHT(B1624,9)="@live.com"),"Outlook","Domain")))</f>
        <v/>
      </c>
      <c r="F1624">
        <f>IF(B1624="","",IFERROR(RIGHT(B1624,LEN(B1624)-FIND("@",B1624)),""))</f>
        <v/>
      </c>
      <c r="G1624">
        <f>IF(D1624="KEEP",COUNTIF($D$2:D1624,"KEEP"),"")</f>
        <v/>
      </c>
      <c r="H1624">
        <f>IF(D1624="REMOVE",COUNTIF($D$2:D1624,"REMOVE"),"")</f>
        <v/>
      </c>
      <c r="I1624">
        <f>IF(E1624="Gmail",COUNTIF($E$2:E1624,"Gmail"),"")</f>
        <v/>
      </c>
      <c r="J1624">
        <f>IF(E1624="Outlook",COUNTIF($E$2:E1624,"Outlook"),"")</f>
        <v/>
      </c>
      <c r="K1624">
        <f>IF(E1624="Domain",COUNTIF($E$2:E1624,"Domain"),"")</f>
        <v/>
      </c>
    </row>
    <row r="1625">
      <c r="A1625" s="2" t="n"/>
      <c r="B1625">
        <f>LOWER(TRIM(A1625))</f>
        <v/>
      </c>
      <c r="C1625">
        <f>IF(B1625="","",IFERROR(INDEX('Bad Patterns'!$A$2:$A$120,MATCH(1,INDEX(--ISNUMBER(SEARCH('Bad Patterns'!$A$2:$A$120,B1625)),0),0)),""))</f>
        <v/>
      </c>
      <c r="D1625">
        <f>IF(B1625="","",IF(C1625&lt;&gt;"","REMOVE","KEEP"))</f>
        <v/>
      </c>
      <c r="E1625">
        <f>IF(D1625&lt;&gt;"KEEP","",IF(RIGHT(B1625,10)="@gmail.com","Gmail",IF(OR(RIGHT(B1625,12)="@outlook.com",RIGHT(B1625,12)="@hotmail.com",RIGHT(B1625,9)="@live.com"),"Outlook","Domain")))</f>
        <v/>
      </c>
      <c r="F1625">
        <f>IF(B1625="","",IFERROR(RIGHT(B1625,LEN(B1625)-FIND("@",B1625)),""))</f>
        <v/>
      </c>
      <c r="G1625">
        <f>IF(D1625="KEEP",COUNTIF($D$2:D1625,"KEEP"),"")</f>
        <v/>
      </c>
      <c r="H1625">
        <f>IF(D1625="REMOVE",COUNTIF($D$2:D1625,"REMOVE"),"")</f>
        <v/>
      </c>
      <c r="I1625">
        <f>IF(E1625="Gmail",COUNTIF($E$2:E1625,"Gmail"),"")</f>
        <v/>
      </c>
      <c r="J1625">
        <f>IF(E1625="Outlook",COUNTIF($E$2:E1625,"Outlook"),"")</f>
        <v/>
      </c>
      <c r="K1625">
        <f>IF(E1625="Domain",COUNTIF($E$2:E1625,"Domain"),"")</f>
        <v/>
      </c>
    </row>
    <row r="1626">
      <c r="A1626" s="2" t="n"/>
      <c r="B1626">
        <f>LOWER(TRIM(A1626))</f>
        <v/>
      </c>
      <c r="C1626">
        <f>IF(B1626="","",IFERROR(INDEX('Bad Patterns'!$A$2:$A$120,MATCH(1,INDEX(--ISNUMBER(SEARCH('Bad Patterns'!$A$2:$A$120,B1626)),0),0)),""))</f>
        <v/>
      </c>
      <c r="D1626">
        <f>IF(B1626="","",IF(C1626&lt;&gt;"","REMOVE","KEEP"))</f>
        <v/>
      </c>
      <c r="E1626">
        <f>IF(D1626&lt;&gt;"KEEP","",IF(RIGHT(B1626,10)="@gmail.com","Gmail",IF(OR(RIGHT(B1626,12)="@outlook.com",RIGHT(B1626,12)="@hotmail.com",RIGHT(B1626,9)="@live.com"),"Outlook","Domain")))</f>
        <v/>
      </c>
      <c r="F1626">
        <f>IF(B1626="","",IFERROR(RIGHT(B1626,LEN(B1626)-FIND("@",B1626)),""))</f>
        <v/>
      </c>
      <c r="G1626">
        <f>IF(D1626="KEEP",COUNTIF($D$2:D1626,"KEEP"),"")</f>
        <v/>
      </c>
      <c r="H1626">
        <f>IF(D1626="REMOVE",COUNTIF($D$2:D1626,"REMOVE"),"")</f>
        <v/>
      </c>
      <c r="I1626">
        <f>IF(E1626="Gmail",COUNTIF($E$2:E1626,"Gmail"),"")</f>
        <v/>
      </c>
      <c r="J1626">
        <f>IF(E1626="Outlook",COUNTIF($E$2:E1626,"Outlook"),"")</f>
        <v/>
      </c>
      <c r="K1626">
        <f>IF(E1626="Domain",COUNTIF($E$2:E1626,"Domain"),"")</f>
        <v/>
      </c>
    </row>
    <row r="1627">
      <c r="A1627" s="2" t="n"/>
      <c r="B1627">
        <f>LOWER(TRIM(A1627))</f>
        <v/>
      </c>
      <c r="C1627">
        <f>IF(B1627="","",IFERROR(INDEX('Bad Patterns'!$A$2:$A$120,MATCH(1,INDEX(--ISNUMBER(SEARCH('Bad Patterns'!$A$2:$A$120,B1627)),0),0)),""))</f>
        <v/>
      </c>
      <c r="D1627">
        <f>IF(B1627="","",IF(C1627&lt;&gt;"","REMOVE","KEEP"))</f>
        <v/>
      </c>
      <c r="E1627">
        <f>IF(D1627&lt;&gt;"KEEP","",IF(RIGHT(B1627,10)="@gmail.com","Gmail",IF(OR(RIGHT(B1627,12)="@outlook.com",RIGHT(B1627,12)="@hotmail.com",RIGHT(B1627,9)="@live.com"),"Outlook","Domain")))</f>
        <v/>
      </c>
      <c r="F1627">
        <f>IF(B1627="","",IFERROR(RIGHT(B1627,LEN(B1627)-FIND("@",B1627)),""))</f>
        <v/>
      </c>
      <c r="G1627">
        <f>IF(D1627="KEEP",COUNTIF($D$2:D1627,"KEEP"),"")</f>
        <v/>
      </c>
      <c r="H1627">
        <f>IF(D1627="REMOVE",COUNTIF($D$2:D1627,"REMOVE"),"")</f>
        <v/>
      </c>
      <c r="I1627">
        <f>IF(E1627="Gmail",COUNTIF($E$2:E1627,"Gmail"),"")</f>
        <v/>
      </c>
      <c r="J1627">
        <f>IF(E1627="Outlook",COUNTIF($E$2:E1627,"Outlook"),"")</f>
        <v/>
      </c>
      <c r="K1627">
        <f>IF(E1627="Domain",COUNTIF($E$2:E1627,"Domain"),"")</f>
        <v/>
      </c>
    </row>
    <row r="1628">
      <c r="A1628" s="2" t="n"/>
      <c r="B1628">
        <f>LOWER(TRIM(A1628))</f>
        <v/>
      </c>
      <c r="C1628">
        <f>IF(B1628="","",IFERROR(INDEX('Bad Patterns'!$A$2:$A$120,MATCH(1,INDEX(--ISNUMBER(SEARCH('Bad Patterns'!$A$2:$A$120,B1628)),0),0)),""))</f>
        <v/>
      </c>
      <c r="D1628">
        <f>IF(B1628="","",IF(C1628&lt;&gt;"","REMOVE","KEEP"))</f>
        <v/>
      </c>
      <c r="E1628">
        <f>IF(D1628&lt;&gt;"KEEP","",IF(RIGHT(B1628,10)="@gmail.com","Gmail",IF(OR(RIGHT(B1628,12)="@outlook.com",RIGHT(B1628,12)="@hotmail.com",RIGHT(B1628,9)="@live.com"),"Outlook","Domain")))</f>
        <v/>
      </c>
      <c r="F1628">
        <f>IF(B1628="","",IFERROR(RIGHT(B1628,LEN(B1628)-FIND("@",B1628)),""))</f>
        <v/>
      </c>
      <c r="G1628">
        <f>IF(D1628="KEEP",COUNTIF($D$2:D1628,"KEEP"),"")</f>
        <v/>
      </c>
      <c r="H1628">
        <f>IF(D1628="REMOVE",COUNTIF($D$2:D1628,"REMOVE"),"")</f>
        <v/>
      </c>
      <c r="I1628">
        <f>IF(E1628="Gmail",COUNTIF($E$2:E1628,"Gmail"),"")</f>
        <v/>
      </c>
      <c r="J1628">
        <f>IF(E1628="Outlook",COUNTIF($E$2:E1628,"Outlook"),"")</f>
        <v/>
      </c>
      <c r="K1628">
        <f>IF(E1628="Domain",COUNTIF($E$2:E1628,"Domain"),"")</f>
        <v/>
      </c>
    </row>
    <row r="1629">
      <c r="A1629" s="2" t="n"/>
      <c r="B1629">
        <f>LOWER(TRIM(A1629))</f>
        <v/>
      </c>
      <c r="C1629">
        <f>IF(B1629="","",IFERROR(INDEX('Bad Patterns'!$A$2:$A$120,MATCH(1,INDEX(--ISNUMBER(SEARCH('Bad Patterns'!$A$2:$A$120,B1629)),0),0)),""))</f>
        <v/>
      </c>
      <c r="D1629">
        <f>IF(B1629="","",IF(C1629&lt;&gt;"","REMOVE","KEEP"))</f>
        <v/>
      </c>
      <c r="E1629">
        <f>IF(D1629&lt;&gt;"KEEP","",IF(RIGHT(B1629,10)="@gmail.com","Gmail",IF(OR(RIGHT(B1629,12)="@outlook.com",RIGHT(B1629,12)="@hotmail.com",RIGHT(B1629,9)="@live.com"),"Outlook","Domain")))</f>
        <v/>
      </c>
      <c r="F1629">
        <f>IF(B1629="","",IFERROR(RIGHT(B1629,LEN(B1629)-FIND("@",B1629)),""))</f>
        <v/>
      </c>
      <c r="G1629">
        <f>IF(D1629="KEEP",COUNTIF($D$2:D1629,"KEEP"),"")</f>
        <v/>
      </c>
      <c r="H1629">
        <f>IF(D1629="REMOVE",COUNTIF($D$2:D1629,"REMOVE"),"")</f>
        <v/>
      </c>
      <c r="I1629">
        <f>IF(E1629="Gmail",COUNTIF($E$2:E1629,"Gmail"),"")</f>
        <v/>
      </c>
      <c r="J1629">
        <f>IF(E1629="Outlook",COUNTIF($E$2:E1629,"Outlook"),"")</f>
        <v/>
      </c>
      <c r="K1629">
        <f>IF(E1629="Domain",COUNTIF($E$2:E1629,"Domain"),"")</f>
        <v/>
      </c>
    </row>
    <row r="1630">
      <c r="A1630" s="2" t="n"/>
      <c r="B1630">
        <f>LOWER(TRIM(A1630))</f>
        <v/>
      </c>
      <c r="C1630">
        <f>IF(B1630="","",IFERROR(INDEX('Bad Patterns'!$A$2:$A$120,MATCH(1,INDEX(--ISNUMBER(SEARCH('Bad Patterns'!$A$2:$A$120,B1630)),0),0)),""))</f>
        <v/>
      </c>
      <c r="D1630">
        <f>IF(B1630="","",IF(C1630&lt;&gt;"","REMOVE","KEEP"))</f>
        <v/>
      </c>
      <c r="E1630">
        <f>IF(D1630&lt;&gt;"KEEP","",IF(RIGHT(B1630,10)="@gmail.com","Gmail",IF(OR(RIGHT(B1630,12)="@outlook.com",RIGHT(B1630,12)="@hotmail.com",RIGHT(B1630,9)="@live.com"),"Outlook","Domain")))</f>
        <v/>
      </c>
      <c r="F1630">
        <f>IF(B1630="","",IFERROR(RIGHT(B1630,LEN(B1630)-FIND("@",B1630)),""))</f>
        <v/>
      </c>
      <c r="G1630">
        <f>IF(D1630="KEEP",COUNTIF($D$2:D1630,"KEEP"),"")</f>
        <v/>
      </c>
      <c r="H1630">
        <f>IF(D1630="REMOVE",COUNTIF($D$2:D1630,"REMOVE"),"")</f>
        <v/>
      </c>
      <c r="I1630">
        <f>IF(E1630="Gmail",COUNTIF($E$2:E1630,"Gmail"),"")</f>
        <v/>
      </c>
      <c r="J1630">
        <f>IF(E1630="Outlook",COUNTIF($E$2:E1630,"Outlook"),"")</f>
        <v/>
      </c>
      <c r="K1630">
        <f>IF(E1630="Domain",COUNTIF($E$2:E1630,"Domain"),"")</f>
        <v/>
      </c>
    </row>
    <row r="1631">
      <c r="A1631" s="2" t="n"/>
      <c r="B1631">
        <f>LOWER(TRIM(A1631))</f>
        <v/>
      </c>
      <c r="C1631">
        <f>IF(B1631="","",IFERROR(INDEX('Bad Patterns'!$A$2:$A$120,MATCH(1,INDEX(--ISNUMBER(SEARCH('Bad Patterns'!$A$2:$A$120,B1631)),0),0)),""))</f>
        <v/>
      </c>
      <c r="D1631">
        <f>IF(B1631="","",IF(C1631&lt;&gt;"","REMOVE","KEEP"))</f>
        <v/>
      </c>
      <c r="E1631">
        <f>IF(D1631&lt;&gt;"KEEP","",IF(RIGHT(B1631,10)="@gmail.com","Gmail",IF(OR(RIGHT(B1631,12)="@outlook.com",RIGHT(B1631,12)="@hotmail.com",RIGHT(B1631,9)="@live.com"),"Outlook","Domain")))</f>
        <v/>
      </c>
      <c r="F1631">
        <f>IF(B1631="","",IFERROR(RIGHT(B1631,LEN(B1631)-FIND("@",B1631)),""))</f>
        <v/>
      </c>
      <c r="G1631">
        <f>IF(D1631="KEEP",COUNTIF($D$2:D1631,"KEEP"),"")</f>
        <v/>
      </c>
      <c r="H1631">
        <f>IF(D1631="REMOVE",COUNTIF($D$2:D1631,"REMOVE"),"")</f>
        <v/>
      </c>
      <c r="I1631">
        <f>IF(E1631="Gmail",COUNTIF($E$2:E1631,"Gmail"),"")</f>
        <v/>
      </c>
      <c r="J1631">
        <f>IF(E1631="Outlook",COUNTIF($E$2:E1631,"Outlook"),"")</f>
        <v/>
      </c>
      <c r="K1631">
        <f>IF(E1631="Domain",COUNTIF($E$2:E1631,"Domain"),"")</f>
        <v/>
      </c>
    </row>
    <row r="1632">
      <c r="A1632" s="2" t="n"/>
      <c r="B1632">
        <f>LOWER(TRIM(A1632))</f>
        <v/>
      </c>
      <c r="C1632">
        <f>IF(B1632="","",IFERROR(INDEX('Bad Patterns'!$A$2:$A$120,MATCH(1,INDEX(--ISNUMBER(SEARCH('Bad Patterns'!$A$2:$A$120,B1632)),0),0)),""))</f>
        <v/>
      </c>
      <c r="D1632">
        <f>IF(B1632="","",IF(C1632&lt;&gt;"","REMOVE","KEEP"))</f>
        <v/>
      </c>
      <c r="E1632">
        <f>IF(D1632&lt;&gt;"KEEP","",IF(RIGHT(B1632,10)="@gmail.com","Gmail",IF(OR(RIGHT(B1632,12)="@outlook.com",RIGHT(B1632,12)="@hotmail.com",RIGHT(B1632,9)="@live.com"),"Outlook","Domain")))</f>
        <v/>
      </c>
      <c r="F1632">
        <f>IF(B1632="","",IFERROR(RIGHT(B1632,LEN(B1632)-FIND("@",B1632)),""))</f>
        <v/>
      </c>
      <c r="G1632">
        <f>IF(D1632="KEEP",COUNTIF($D$2:D1632,"KEEP"),"")</f>
        <v/>
      </c>
      <c r="H1632">
        <f>IF(D1632="REMOVE",COUNTIF($D$2:D1632,"REMOVE"),"")</f>
        <v/>
      </c>
      <c r="I1632">
        <f>IF(E1632="Gmail",COUNTIF($E$2:E1632,"Gmail"),"")</f>
        <v/>
      </c>
      <c r="J1632">
        <f>IF(E1632="Outlook",COUNTIF($E$2:E1632,"Outlook"),"")</f>
        <v/>
      </c>
      <c r="K1632">
        <f>IF(E1632="Domain",COUNTIF($E$2:E1632,"Domain"),"")</f>
        <v/>
      </c>
    </row>
    <row r="1633">
      <c r="A1633" s="2" t="n"/>
      <c r="B1633">
        <f>LOWER(TRIM(A1633))</f>
        <v/>
      </c>
      <c r="C1633">
        <f>IF(B1633="","",IFERROR(INDEX('Bad Patterns'!$A$2:$A$120,MATCH(1,INDEX(--ISNUMBER(SEARCH('Bad Patterns'!$A$2:$A$120,B1633)),0),0)),""))</f>
        <v/>
      </c>
      <c r="D1633">
        <f>IF(B1633="","",IF(C1633&lt;&gt;"","REMOVE","KEEP"))</f>
        <v/>
      </c>
      <c r="E1633">
        <f>IF(D1633&lt;&gt;"KEEP","",IF(RIGHT(B1633,10)="@gmail.com","Gmail",IF(OR(RIGHT(B1633,12)="@outlook.com",RIGHT(B1633,12)="@hotmail.com",RIGHT(B1633,9)="@live.com"),"Outlook","Domain")))</f>
        <v/>
      </c>
      <c r="F1633">
        <f>IF(B1633="","",IFERROR(RIGHT(B1633,LEN(B1633)-FIND("@",B1633)),""))</f>
        <v/>
      </c>
      <c r="G1633">
        <f>IF(D1633="KEEP",COUNTIF($D$2:D1633,"KEEP"),"")</f>
        <v/>
      </c>
      <c r="H1633">
        <f>IF(D1633="REMOVE",COUNTIF($D$2:D1633,"REMOVE"),"")</f>
        <v/>
      </c>
      <c r="I1633">
        <f>IF(E1633="Gmail",COUNTIF($E$2:E1633,"Gmail"),"")</f>
        <v/>
      </c>
      <c r="J1633">
        <f>IF(E1633="Outlook",COUNTIF($E$2:E1633,"Outlook"),"")</f>
        <v/>
      </c>
      <c r="K1633">
        <f>IF(E1633="Domain",COUNTIF($E$2:E1633,"Domain"),"")</f>
        <v/>
      </c>
    </row>
    <row r="1634">
      <c r="A1634" s="2" t="n"/>
      <c r="B1634">
        <f>LOWER(TRIM(A1634))</f>
        <v/>
      </c>
      <c r="C1634">
        <f>IF(B1634="","",IFERROR(INDEX('Bad Patterns'!$A$2:$A$120,MATCH(1,INDEX(--ISNUMBER(SEARCH('Bad Patterns'!$A$2:$A$120,B1634)),0),0)),""))</f>
        <v/>
      </c>
      <c r="D1634">
        <f>IF(B1634="","",IF(C1634&lt;&gt;"","REMOVE","KEEP"))</f>
        <v/>
      </c>
      <c r="E1634">
        <f>IF(D1634&lt;&gt;"KEEP","",IF(RIGHT(B1634,10)="@gmail.com","Gmail",IF(OR(RIGHT(B1634,12)="@outlook.com",RIGHT(B1634,12)="@hotmail.com",RIGHT(B1634,9)="@live.com"),"Outlook","Domain")))</f>
        <v/>
      </c>
      <c r="F1634">
        <f>IF(B1634="","",IFERROR(RIGHT(B1634,LEN(B1634)-FIND("@",B1634)),""))</f>
        <v/>
      </c>
      <c r="G1634">
        <f>IF(D1634="KEEP",COUNTIF($D$2:D1634,"KEEP"),"")</f>
        <v/>
      </c>
      <c r="H1634">
        <f>IF(D1634="REMOVE",COUNTIF($D$2:D1634,"REMOVE"),"")</f>
        <v/>
      </c>
      <c r="I1634">
        <f>IF(E1634="Gmail",COUNTIF($E$2:E1634,"Gmail"),"")</f>
        <v/>
      </c>
      <c r="J1634">
        <f>IF(E1634="Outlook",COUNTIF($E$2:E1634,"Outlook"),"")</f>
        <v/>
      </c>
      <c r="K1634">
        <f>IF(E1634="Domain",COUNTIF($E$2:E1634,"Domain"),"")</f>
        <v/>
      </c>
    </row>
    <row r="1635">
      <c r="A1635" s="2" t="n"/>
      <c r="B1635">
        <f>LOWER(TRIM(A1635))</f>
        <v/>
      </c>
      <c r="C1635">
        <f>IF(B1635="","",IFERROR(INDEX('Bad Patterns'!$A$2:$A$120,MATCH(1,INDEX(--ISNUMBER(SEARCH('Bad Patterns'!$A$2:$A$120,B1635)),0),0)),""))</f>
        <v/>
      </c>
      <c r="D1635">
        <f>IF(B1635="","",IF(C1635&lt;&gt;"","REMOVE","KEEP"))</f>
        <v/>
      </c>
      <c r="E1635">
        <f>IF(D1635&lt;&gt;"KEEP","",IF(RIGHT(B1635,10)="@gmail.com","Gmail",IF(OR(RIGHT(B1635,12)="@outlook.com",RIGHT(B1635,12)="@hotmail.com",RIGHT(B1635,9)="@live.com"),"Outlook","Domain")))</f>
        <v/>
      </c>
      <c r="F1635">
        <f>IF(B1635="","",IFERROR(RIGHT(B1635,LEN(B1635)-FIND("@",B1635)),""))</f>
        <v/>
      </c>
      <c r="G1635">
        <f>IF(D1635="KEEP",COUNTIF($D$2:D1635,"KEEP"),"")</f>
        <v/>
      </c>
      <c r="H1635">
        <f>IF(D1635="REMOVE",COUNTIF($D$2:D1635,"REMOVE"),"")</f>
        <v/>
      </c>
      <c r="I1635">
        <f>IF(E1635="Gmail",COUNTIF($E$2:E1635,"Gmail"),"")</f>
        <v/>
      </c>
      <c r="J1635">
        <f>IF(E1635="Outlook",COUNTIF($E$2:E1635,"Outlook"),"")</f>
        <v/>
      </c>
      <c r="K1635">
        <f>IF(E1635="Domain",COUNTIF($E$2:E1635,"Domain"),"")</f>
        <v/>
      </c>
    </row>
    <row r="1636">
      <c r="A1636" s="2" t="n"/>
      <c r="B1636">
        <f>LOWER(TRIM(A1636))</f>
        <v/>
      </c>
      <c r="C1636">
        <f>IF(B1636="","",IFERROR(INDEX('Bad Patterns'!$A$2:$A$120,MATCH(1,INDEX(--ISNUMBER(SEARCH('Bad Patterns'!$A$2:$A$120,B1636)),0),0)),""))</f>
        <v/>
      </c>
      <c r="D1636">
        <f>IF(B1636="","",IF(C1636&lt;&gt;"","REMOVE","KEEP"))</f>
        <v/>
      </c>
      <c r="E1636">
        <f>IF(D1636&lt;&gt;"KEEP","",IF(RIGHT(B1636,10)="@gmail.com","Gmail",IF(OR(RIGHT(B1636,12)="@outlook.com",RIGHT(B1636,12)="@hotmail.com",RIGHT(B1636,9)="@live.com"),"Outlook","Domain")))</f>
        <v/>
      </c>
      <c r="F1636">
        <f>IF(B1636="","",IFERROR(RIGHT(B1636,LEN(B1636)-FIND("@",B1636)),""))</f>
        <v/>
      </c>
      <c r="G1636">
        <f>IF(D1636="KEEP",COUNTIF($D$2:D1636,"KEEP"),"")</f>
        <v/>
      </c>
      <c r="H1636">
        <f>IF(D1636="REMOVE",COUNTIF($D$2:D1636,"REMOVE"),"")</f>
        <v/>
      </c>
      <c r="I1636">
        <f>IF(E1636="Gmail",COUNTIF($E$2:E1636,"Gmail"),"")</f>
        <v/>
      </c>
      <c r="J1636">
        <f>IF(E1636="Outlook",COUNTIF($E$2:E1636,"Outlook"),"")</f>
        <v/>
      </c>
      <c r="K1636">
        <f>IF(E1636="Domain",COUNTIF($E$2:E1636,"Domain"),"")</f>
        <v/>
      </c>
    </row>
    <row r="1637">
      <c r="A1637" s="2" t="n"/>
      <c r="B1637">
        <f>LOWER(TRIM(A1637))</f>
        <v/>
      </c>
      <c r="C1637">
        <f>IF(B1637="","",IFERROR(INDEX('Bad Patterns'!$A$2:$A$120,MATCH(1,INDEX(--ISNUMBER(SEARCH('Bad Patterns'!$A$2:$A$120,B1637)),0),0)),""))</f>
        <v/>
      </c>
      <c r="D1637">
        <f>IF(B1637="","",IF(C1637&lt;&gt;"","REMOVE","KEEP"))</f>
        <v/>
      </c>
      <c r="E1637">
        <f>IF(D1637&lt;&gt;"KEEP","",IF(RIGHT(B1637,10)="@gmail.com","Gmail",IF(OR(RIGHT(B1637,12)="@outlook.com",RIGHT(B1637,12)="@hotmail.com",RIGHT(B1637,9)="@live.com"),"Outlook","Domain")))</f>
        <v/>
      </c>
      <c r="F1637">
        <f>IF(B1637="","",IFERROR(RIGHT(B1637,LEN(B1637)-FIND("@",B1637)),""))</f>
        <v/>
      </c>
      <c r="G1637">
        <f>IF(D1637="KEEP",COUNTIF($D$2:D1637,"KEEP"),"")</f>
        <v/>
      </c>
      <c r="H1637">
        <f>IF(D1637="REMOVE",COUNTIF($D$2:D1637,"REMOVE"),"")</f>
        <v/>
      </c>
      <c r="I1637">
        <f>IF(E1637="Gmail",COUNTIF($E$2:E1637,"Gmail"),"")</f>
        <v/>
      </c>
      <c r="J1637">
        <f>IF(E1637="Outlook",COUNTIF($E$2:E1637,"Outlook"),"")</f>
        <v/>
      </c>
      <c r="K1637">
        <f>IF(E1637="Domain",COUNTIF($E$2:E1637,"Domain"),"")</f>
        <v/>
      </c>
    </row>
    <row r="1638">
      <c r="A1638" s="2" t="n"/>
      <c r="B1638">
        <f>LOWER(TRIM(A1638))</f>
        <v/>
      </c>
      <c r="C1638">
        <f>IF(B1638="","",IFERROR(INDEX('Bad Patterns'!$A$2:$A$120,MATCH(1,INDEX(--ISNUMBER(SEARCH('Bad Patterns'!$A$2:$A$120,B1638)),0),0)),""))</f>
        <v/>
      </c>
      <c r="D1638">
        <f>IF(B1638="","",IF(C1638&lt;&gt;"","REMOVE","KEEP"))</f>
        <v/>
      </c>
      <c r="E1638">
        <f>IF(D1638&lt;&gt;"KEEP","",IF(RIGHT(B1638,10)="@gmail.com","Gmail",IF(OR(RIGHT(B1638,12)="@outlook.com",RIGHT(B1638,12)="@hotmail.com",RIGHT(B1638,9)="@live.com"),"Outlook","Domain")))</f>
        <v/>
      </c>
      <c r="F1638">
        <f>IF(B1638="","",IFERROR(RIGHT(B1638,LEN(B1638)-FIND("@",B1638)),""))</f>
        <v/>
      </c>
      <c r="G1638">
        <f>IF(D1638="KEEP",COUNTIF($D$2:D1638,"KEEP"),"")</f>
        <v/>
      </c>
      <c r="H1638">
        <f>IF(D1638="REMOVE",COUNTIF($D$2:D1638,"REMOVE"),"")</f>
        <v/>
      </c>
      <c r="I1638">
        <f>IF(E1638="Gmail",COUNTIF($E$2:E1638,"Gmail"),"")</f>
        <v/>
      </c>
      <c r="J1638">
        <f>IF(E1638="Outlook",COUNTIF($E$2:E1638,"Outlook"),"")</f>
        <v/>
      </c>
      <c r="K1638">
        <f>IF(E1638="Domain",COUNTIF($E$2:E1638,"Domain"),"")</f>
        <v/>
      </c>
    </row>
    <row r="1639">
      <c r="A1639" s="2" t="n"/>
      <c r="B1639">
        <f>LOWER(TRIM(A1639))</f>
        <v/>
      </c>
      <c r="C1639">
        <f>IF(B1639="","",IFERROR(INDEX('Bad Patterns'!$A$2:$A$120,MATCH(1,INDEX(--ISNUMBER(SEARCH('Bad Patterns'!$A$2:$A$120,B1639)),0),0)),""))</f>
        <v/>
      </c>
      <c r="D1639">
        <f>IF(B1639="","",IF(C1639&lt;&gt;"","REMOVE","KEEP"))</f>
        <v/>
      </c>
      <c r="E1639">
        <f>IF(D1639&lt;&gt;"KEEP","",IF(RIGHT(B1639,10)="@gmail.com","Gmail",IF(OR(RIGHT(B1639,12)="@outlook.com",RIGHT(B1639,12)="@hotmail.com",RIGHT(B1639,9)="@live.com"),"Outlook","Domain")))</f>
        <v/>
      </c>
      <c r="F1639">
        <f>IF(B1639="","",IFERROR(RIGHT(B1639,LEN(B1639)-FIND("@",B1639)),""))</f>
        <v/>
      </c>
      <c r="G1639">
        <f>IF(D1639="KEEP",COUNTIF($D$2:D1639,"KEEP"),"")</f>
        <v/>
      </c>
      <c r="H1639">
        <f>IF(D1639="REMOVE",COUNTIF($D$2:D1639,"REMOVE"),"")</f>
        <v/>
      </c>
      <c r="I1639">
        <f>IF(E1639="Gmail",COUNTIF($E$2:E1639,"Gmail"),"")</f>
        <v/>
      </c>
      <c r="J1639">
        <f>IF(E1639="Outlook",COUNTIF($E$2:E1639,"Outlook"),"")</f>
        <v/>
      </c>
      <c r="K1639">
        <f>IF(E1639="Domain",COUNTIF($E$2:E1639,"Domain"),"")</f>
        <v/>
      </c>
    </row>
    <row r="1640">
      <c r="A1640" s="2" t="n"/>
      <c r="B1640">
        <f>LOWER(TRIM(A1640))</f>
        <v/>
      </c>
      <c r="C1640">
        <f>IF(B1640="","",IFERROR(INDEX('Bad Patterns'!$A$2:$A$120,MATCH(1,INDEX(--ISNUMBER(SEARCH('Bad Patterns'!$A$2:$A$120,B1640)),0),0)),""))</f>
        <v/>
      </c>
      <c r="D1640">
        <f>IF(B1640="","",IF(C1640&lt;&gt;"","REMOVE","KEEP"))</f>
        <v/>
      </c>
      <c r="E1640">
        <f>IF(D1640&lt;&gt;"KEEP","",IF(RIGHT(B1640,10)="@gmail.com","Gmail",IF(OR(RIGHT(B1640,12)="@outlook.com",RIGHT(B1640,12)="@hotmail.com",RIGHT(B1640,9)="@live.com"),"Outlook","Domain")))</f>
        <v/>
      </c>
      <c r="F1640">
        <f>IF(B1640="","",IFERROR(RIGHT(B1640,LEN(B1640)-FIND("@",B1640)),""))</f>
        <v/>
      </c>
      <c r="G1640">
        <f>IF(D1640="KEEP",COUNTIF($D$2:D1640,"KEEP"),"")</f>
        <v/>
      </c>
      <c r="H1640">
        <f>IF(D1640="REMOVE",COUNTIF($D$2:D1640,"REMOVE"),"")</f>
        <v/>
      </c>
      <c r="I1640">
        <f>IF(E1640="Gmail",COUNTIF($E$2:E1640,"Gmail"),"")</f>
        <v/>
      </c>
      <c r="J1640">
        <f>IF(E1640="Outlook",COUNTIF($E$2:E1640,"Outlook"),"")</f>
        <v/>
      </c>
      <c r="K1640">
        <f>IF(E1640="Domain",COUNTIF($E$2:E1640,"Domain"),"")</f>
        <v/>
      </c>
    </row>
    <row r="1641">
      <c r="A1641" s="2" t="n"/>
      <c r="B1641">
        <f>LOWER(TRIM(A1641))</f>
        <v/>
      </c>
      <c r="C1641">
        <f>IF(B1641="","",IFERROR(INDEX('Bad Patterns'!$A$2:$A$120,MATCH(1,INDEX(--ISNUMBER(SEARCH('Bad Patterns'!$A$2:$A$120,B1641)),0),0)),""))</f>
        <v/>
      </c>
      <c r="D1641">
        <f>IF(B1641="","",IF(C1641&lt;&gt;"","REMOVE","KEEP"))</f>
        <v/>
      </c>
      <c r="E1641">
        <f>IF(D1641&lt;&gt;"KEEP","",IF(RIGHT(B1641,10)="@gmail.com","Gmail",IF(OR(RIGHT(B1641,12)="@outlook.com",RIGHT(B1641,12)="@hotmail.com",RIGHT(B1641,9)="@live.com"),"Outlook","Domain")))</f>
        <v/>
      </c>
      <c r="F1641">
        <f>IF(B1641="","",IFERROR(RIGHT(B1641,LEN(B1641)-FIND("@",B1641)),""))</f>
        <v/>
      </c>
      <c r="G1641">
        <f>IF(D1641="KEEP",COUNTIF($D$2:D1641,"KEEP"),"")</f>
        <v/>
      </c>
      <c r="H1641">
        <f>IF(D1641="REMOVE",COUNTIF($D$2:D1641,"REMOVE"),"")</f>
        <v/>
      </c>
      <c r="I1641">
        <f>IF(E1641="Gmail",COUNTIF($E$2:E1641,"Gmail"),"")</f>
        <v/>
      </c>
      <c r="J1641">
        <f>IF(E1641="Outlook",COUNTIF($E$2:E1641,"Outlook"),"")</f>
        <v/>
      </c>
      <c r="K1641">
        <f>IF(E1641="Domain",COUNTIF($E$2:E1641,"Domain"),"")</f>
        <v/>
      </c>
    </row>
    <row r="1642">
      <c r="A1642" s="2" t="n"/>
      <c r="B1642">
        <f>LOWER(TRIM(A1642))</f>
        <v/>
      </c>
      <c r="C1642">
        <f>IF(B1642="","",IFERROR(INDEX('Bad Patterns'!$A$2:$A$120,MATCH(1,INDEX(--ISNUMBER(SEARCH('Bad Patterns'!$A$2:$A$120,B1642)),0),0)),""))</f>
        <v/>
      </c>
      <c r="D1642">
        <f>IF(B1642="","",IF(C1642&lt;&gt;"","REMOVE","KEEP"))</f>
        <v/>
      </c>
      <c r="E1642">
        <f>IF(D1642&lt;&gt;"KEEP","",IF(RIGHT(B1642,10)="@gmail.com","Gmail",IF(OR(RIGHT(B1642,12)="@outlook.com",RIGHT(B1642,12)="@hotmail.com",RIGHT(B1642,9)="@live.com"),"Outlook","Domain")))</f>
        <v/>
      </c>
      <c r="F1642">
        <f>IF(B1642="","",IFERROR(RIGHT(B1642,LEN(B1642)-FIND("@",B1642)),""))</f>
        <v/>
      </c>
      <c r="G1642">
        <f>IF(D1642="KEEP",COUNTIF($D$2:D1642,"KEEP"),"")</f>
        <v/>
      </c>
      <c r="H1642">
        <f>IF(D1642="REMOVE",COUNTIF($D$2:D1642,"REMOVE"),"")</f>
        <v/>
      </c>
      <c r="I1642">
        <f>IF(E1642="Gmail",COUNTIF($E$2:E1642,"Gmail"),"")</f>
        <v/>
      </c>
      <c r="J1642">
        <f>IF(E1642="Outlook",COUNTIF($E$2:E1642,"Outlook"),"")</f>
        <v/>
      </c>
      <c r="K1642">
        <f>IF(E1642="Domain",COUNTIF($E$2:E1642,"Domain"),"")</f>
        <v/>
      </c>
    </row>
    <row r="1643">
      <c r="A1643" s="2" t="n"/>
      <c r="B1643">
        <f>LOWER(TRIM(A1643))</f>
        <v/>
      </c>
      <c r="C1643">
        <f>IF(B1643="","",IFERROR(INDEX('Bad Patterns'!$A$2:$A$120,MATCH(1,INDEX(--ISNUMBER(SEARCH('Bad Patterns'!$A$2:$A$120,B1643)),0),0)),""))</f>
        <v/>
      </c>
      <c r="D1643">
        <f>IF(B1643="","",IF(C1643&lt;&gt;"","REMOVE","KEEP"))</f>
        <v/>
      </c>
      <c r="E1643">
        <f>IF(D1643&lt;&gt;"KEEP","",IF(RIGHT(B1643,10)="@gmail.com","Gmail",IF(OR(RIGHT(B1643,12)="@outlook.com",RIGHT(B1643,12)="@hotmail.com",RIGHT(B1643,9)="@live.com"),"Outlook","Domain")))</f>
        <v/>
      </c>
      <c r="F1643">
        <f>IF(B1643="","",IFERROR(RIGHT(B1643,LEN(B1643)-FIND("@",B1643)),""))</f>
        <v/>
      </c>
      <c r="G1643">
        <f>IF(D1643="KEEP",COUNTIF($D$2:D1643,"KEEP"),"")</f>
        <v/>
      </c>
      <c r="H1643">
        <f>IF(D1643="REMOVE",COUNTIF($D$2:D1643,"REMOVE"),"")</f>
        <v/>
      </c>
      <c r="I1643">
        <f>IF(E1643="Gmail",COUNTIF($E$2:E1643,"Gmail"),"")</f>
        <v/>
      </c>
      <c r="J1643">
        <f>IF(E1643="Outlook",COUNTIF($E$2:E1643,"Outlook"),"")</f>
        <v/>
      </c>
      <c r="K1643">
        <f>IF(E1643="Domain",COUNTIF($E$2:E1643,"Domain"),"")</f>
        <v/>
      </c>
    </row>
    <row r="1644">
      <c r="A1644" s="2" t="n"/>
      <c r="B1644">
        <f>LOWER(TRIM(A1644))</f>
        <v/>
      </c>
      <c r="C1644">
        <f>IF(B1644="","",IFERROR(INDEX('Bad Patterns'!$A$2:$A$120,MATCH(1,INDEX(--ISNUMBER(SEARCH('Bad Patterns'!$A$2:$A$120,B1644)),0),0)),""))</f>
        <v/>
      </c>
      <c r="D1644">
        <f>IF(B1644="","",IF(C1644&lt;&gt;"","REMOVE","KEEP"))</f>
        <v/>
      </c>
      <c r="E1644">
        <f>IF(D1644&lt;&gt;"KEEP","",IF(RIGHT(B1644,10)="@gmail.com","Gmail",IF(OR(RIGHT(B1644,12)="@outlook.com",RIGHT(B1644,12)="@hotmail.com",RIGHT(B1644,9)="@live.com"),"Outlook","Domain")))</f>
        <v/>
      </c>
      <c r="F1644">
        <f>IF(B1644="","",IFERROR(RIGHT(B1644,LEN(B1644)-FIND("@",B1644)),""))</f>
        <v/>
      </c>
      <c r="G1644">
        <f>IF(D1644="KEEP",COUNTIF($D$2:D1644,"KEEP"),"")</f>
        <v/>
      </c>
      <c r="H1644">
        <f>IF(D1644="REMOVE",COUNTIF($D$2:D1644,"REMOVE"),"")</f>
        <v/>
      </c>
      <c r="I1644">
        <f>IF(E1644="Gmail",COUNTIF($E$2:E1644,"Gmail"),"")</f>
        <v/>
      </c>
      <c r="J1644">
        <f>IF(E1644="Outlook",COUNTIF($E$2:E1644,"Outlook"),"")</f>
        <v/>
      </c>
      <c r="K1644">
        <f>IF(E1644="Domain",COUNTIF($E$2:E1644,"Domain"),"")</f>
        <v/>
      </c>
    </row>
    <row r="1645">
      <c r="A1645" s="2" t="n"/>
      <c r="B1645">
        <f>LOWER(TRIM(A1645))</f>
        <v/>
      </c>
      <c r="C1645">
        <f>IF(B1645="","",IFERROR(INDEX('Bad Patterns'!$A$2:$A$120,MATCH(1,INDEX(--ISNUMBER(SEARCH('Bad Patterns'!$A$2:$A$120,B1645)),0),0)),""))</f>
        <v/>
      </c>
      <c r="D1645">
        <f>IF(B1645="","",IF(C1645&lt;&gt;"","REMOVE","KEEP"))</f>
        <v/>
      </c>
      <c r="E1645">
        <f>IF(D1645&lt;&gt;"KEEP","",IF(RIGHT(B1645,10)="@gmail.com","Gmail",IF(OR(RIGHT(B1645,12)="@outlook.com",RIGHT(B1645,12)="@hotmail.com",RIGHT(B1645,9)="@live.com"),"Outlook","Domain")))</f>
        <v/>
      </c>
      <c r="F1645">
        <f>IF(B1645="","",IFERROR(RIGHT(B1645,LEN(B1645)-FIND("@",B1645)),""))</f>
        <v/>
      </c>
      <c r="G1645">
        <f>IF(D1645="KEEP",COUNTIF($D$2:D1645,"KEEP"),"")</f>
        <v/>
      </c>
      <c r="H1645">
        <f>IF(D1645="REMOVE",COUNTIF($D$2:D1645,"REMOVE"),"")</f>
        <v/>
      </c>
      <c r="I1645">
        <f>IF(E1645="Gmail",COUNTIF($E$2:E1645,"Gmail"),"")</f>
        <v/>
      </c>
      <c r="J1645">
        <f>IF(E1645="Outlook",COUNTIF($E$2:E1645,"Outlook"),"")</f>
        <v/>
      </c>
      <c r="K1645">
        <f>IF(E1645="Domain",COUNTIF($E$2:E1645,"Domain"),"")</f>
        <v/>
      </c>
    </row>
    <row r="1646">
      <c r="A1646" s="2" t="n"/>
      <c r="B1646">
        <f>LOWER(TRIM(A1646))</f>
        <v/>
      </c>
      <c r="C1646">
        <f>IF(B1646="","",IFERROR(INDEX('Bad Patterns'!$A$2:$A$120,MATCH(1,INDEX(--ISNUMBER(SEARCH('Bad Patterns'!$A$2:$A$120,B1646)),0),0)),""))</f>
        <v/>
      </c>
      <c r="D1646">
        <f>IF(B1646="","",IF(C1646&lt;&gt;"","REMOVE","KEEP"))</f>
        <v/>
      </c>
      <c r="E1646">
        <f>IF(D1646&lt;&gt;"KEEP","",IF(RIGHT(B1646,10)="@gmail.com","Gmail",IF(OR(RIGHT(B1646,12)="@outlook.com",RIGHT(B1646,12)="@hotmail.com",RIGHT(B1646,9)="@live.com"),"Outlook","Domain")))</f>
        <v/>
      </c>
      <c r="F1646">
        <f>IF(B1646="","",IFERROR(RIGHT(B1646,LEN(B1646)-FIND("@",B1646)),""))</f>
        <v/>
      </c>
      <c r="G1646">
        <f>IF(D1646="KEEP",COUNTIF($D$2:D1646,"KEEP"),"")</f>
        <v/>
      </c>
      <c r="H1646">
        <f>IF(D1646="REMOVE",COUNTIF($D$2:D1646,"REMOVE"),"")</f>
        <v/>
      </c>
      <c r="I1646">
        <f>IF(E1646="Gmail",COUNTIF($E$2:E1646,"Gmail"),"")</f>
        <v/>
      </c>
      <c r="J1646">
        <f>IF(E1646="Outlook",COUNTIF($E$2:E1646,"Outlook"),"")</f>
        <v/>
      </c>
      <c r="K1646">
        <f>IF(E1646="Domain",COUNTIF($E$2:E1646,"Domain"),"")</f>
        <v/>
      </c>
    </row>
    <row r="1647">
      <c r="A1647" s="2" t="n"/>
      <c r="B1647">
        <f>LOWER(TRIM(A1647))</f>
        <v/>
      </c>
      <c r="C1647">
        <f>IF(B1647="","",IFERROR(INDEX('Bad Patterns'!$A$2:$A$120,MATCH(1,INDEX(--ISNUMBER(SEARCH('Bad Patterns'!$A$2:$A$120,B1647)),0),0)),""))</f>
        <v/>
      </c>
      <c r="D1647">
        <f>IF(B1647="","",IF(C1647&lt;&gt;"","REMOVE","KEEP"))</f>
        <v/>
      </c>
      <c r="E1647">
        <f>IF(D1647&lt;&gt;"KEEP","",IF(RIGHT(B1647,10)="@gmail.com","Gmail",IF(OR(RIGHT(B1647,12)="@outlook.com",RIGHT(B1647,12)="@hotmail.com",RIGHT(B1647,9)="@live.com"),"Outlook","Domain")))</f>
        <v/>
      </c>
      <c r="F1647">
        <f>IF(B1647="","",IFERROR(RIGHT(B1647,LEN(B1647)-FIND("@",B1647)),""))</f>
        <v/>
      </c>
      <c r="G1647">
        <f>IF(D1647="KEEP",COUNTIF($D$2:D1647,"KEEP"),"")</f>
        <v/>
      </c>
      <c r="H1647">
        <f>IF(D1647="REMOVE",COUNTIF($D$2:D1647,"REMOVE"),"")</f>
        <v/>
      </c>
      <c r="I1647">
        <f>IF(E1647="Gmail",COUNTIF($E$2:E1647,"Gmail"),"")</f>
        <v/>
      </c>
      <c r="J1647">
        <f>IF(E1647="Outlook",COUNTIF($E$2:E1647,"Outlook"),"")</f>
        <v/>
      </c>
      <c r="K1647">
        <f>IF(E1647="Domain",COUNTIF($E$2:E1647,"Domain"),"")</f>
        <v/>
      </c>
    </row>
    <row r="1648">
      <c r="A1648" s="2" t="n"/>
      <c r="B1648">
        <f>LOWER(TRIM(A1648))</f>
        <v/>
      </c>
      <c r="C1648">
        <f>IF(B1648="","",IFERROR(INDEX('Bad Patterns'!$A$2:$A$120,MATCH(1,INDEX(--ISNUMBER(SEARCH('Bad Patterns'!$A$2:$A$120,B1648)),0),0)),""))</f>
        <v/>
      </c>
      <c r="D1648">
        <f>IF(B1648="","",IF(C1648&lt;&gt;"","REMOVE","KEEP"))</f>
        <v/>
      </c>
      <c r="E1648">
        <f>IF(D1648&lt;&gt;"KEEP","",IF(RIGHT(B1648,10)="@gmail.com","Gmail",IF(OR(RIGHT(B1648,12)="@outlook.com",RIGHT(B1648,12)="@hotmail.com",RIGHT(B1648,9)="@live.com"),"Outlook","Domain")))</f>
        <v/>
      </c>
      <c r="F1648">
        <f>IF(B1648="","",IFERROR(RIGHT(B1648,LEN(B1648)-FIND("@",B1648)),""))</f>
        <v/>
      </c>
      <c r="G1648">
        <f>IF(D1648="KEEP",COUNTIF($D$2:D1648,"KEEP"),"")</f>
        <v/>
      </c>
      <c r="H1648">
        <f>IF(D1648="REMOVE",COUNTIF($D$2:D1648,"REMOVE"),"")</f>
        <v/>
      </c>
      <c r="I1648">
        <f>IF(E1648="Gmail",COUNTIF($E$2:E1648,"Gmail"),"")</f>
        <v/>
      </c>
      <c r="J1648">
        <f>IF(E1648="Outlook",COUNTIF($E$2:E1648,"Outlook"),"")</f>
        <v/>
      </c>
      <c r="K1648">
        <f>IF(E1648="Domain",COUNTIF($E$2:E1648,"Domain"),"")</f>
        <v/>
      </c>
    </row>
    <row r="1649">
      <c r="A1649" s="2" t="n"/>
      <c r="B1649">
        <f>LOWER(TRIM(A1649))</f>
        <v/>
      </c>
      <c r="C1649">
        <f>IF(B1649="","",IFERROR(INDEX('Bad Patterns'!$A$2:$A$120,MATCH(1,INDEX(--ISNUMBER(SEARCH('Bad Patterns'!$A$2:$A$120,B1649)),0),0)),""))</f>
        <v/>
      </c>
      <c r="D1649">
        <f>IF(B1649="","",IF(C1649&lt;&gt;"","REMOVE","KEEP"))</f>
        <v/>
      </c>
      <c r="E1649">
        <f>IF(D1649&lt;&gt;"KEEP","",IF(RIGHT(B1649,10)="@gmail.com","Gmail",IF(OR(RIGHT(B1649,12)="@outlook.com",RIGHT(B1649,12)="@hotmail.com",RIGHT(B1649,9)="@live.com"),"Outlook","Domain")))</f>
        <v/>
      </c>
      <c r="F1649">
        <f>IF(B1649="","",IFERROR(RIGHT(B1649,LEN(B1649)-FIND("@",B1649)),""))</f>
        <v/>
      </c>
      <c r="G1649">
        <f>IF(D1649="KEEP",COUNTIF($D$2:D1649,"KEEP"),"")</f>
        <v/>
      </c>
      <c r="H1649">
        <f>IF(D1649="REMOVE",COUNTIF($D$2:D1649,"REMOVE"),"")</f>
        <v/>
      </c>
      <c r="I1649">
        <f>IF(E1649="Gmail",COUNTIF($E$2:E1649,"Gmail"),"")</f>
        <v/>
      </c>
      <c r="J1649">
        <f>IF(E1649="Outlook",COUNTIF($E$2:E1649,"Outlook"),"")</f>
        <v/>
      </c>
      <c r="K1649">
        <f>IF(E1649="Domain",COUNTIF($E$2:E1649,"Domain"),"")</f>
        <v/>
      </c>
    </row>
    <row r="1650">
      <c r="A1650" s="2" t="n"/>
      <c r="B1650">
        <f>LOWER(TRIM(A1650))</f>
        <v/>
      </c>
      <c r="C1650">
        <f>IF(B1650="","",IFERROR(INDEX('Bad Patterns'!$A$2:$A$120,MATCH(1,INDEX(--ISNUMBER(SEARCH('Bad Patterns'!$A$2:$A$120,B1650)),0),0)),""))</f>
        <v/>
      </c>
      <c r="D1650">
        <f>IF(B1650="","",IF(C1650&lt;&gt;"","REMOVE","KEEP"))</f>
        <v/>
      </c>
      <c r="E1650">
        <f>IF(D1650&lt;&gt;"KEEP","",IF(RIGHT(B1650,10)="@gmail.com","Gmail",IF(OR(RIGHT(B1650,12)="@outlook.com",RIGHT(B1650,12)="@hotmail.com",RIGHT(B1650,9)="@live.com"),"Outlook","Domain")))</f>
        <v/>
      </c>
      <c r="F1650">
        <f>IF(B1650="","",IFERROR(RIGHT(B1650,LEN(B1650)-FIND("@",B1650)),""))</f>
        <v/>
      </c>
      <c r="G1650">
        <f>IF(D1650="KEEP",COUNTIF($D$2:D1650,"KEEP"),"")</f>
        <v/>
      </c>
      <c r="H1650">
        <f>IF(D1650="REMOVE",COUNTIF($D$2:D1650,"REMOVE"),"")</f>
        <v/>
      </c>
      <c r="I1650">
        <f>IF(E1650="Gmail",COUNTIF($E$2:E1650,"Gmail"),"")</f>
        <v/>
      </c>
      <c r="J1650">
        <f>IF(E1650="Outlook",COUNTIF($E$2:E1650,"Outlook"),"")</f>
        <v/>
      </c>
      <c r="K1650">
        <f>IF(E1650="Domain",COUNTIF($E$2:E1650,"Domain"),"")</f>
        <v/>
      </c>
    </row>
    <row r="1651">
      <c r="A1651" s="2" t="n"/>
      <c r="B1651">
        <f>LOWER(TRIM(A1651))</f>
        <v/>
      </c>
      <c r="C1651">
        <f>IF(B1651="","",IFERROR(INDEX('Bad Patterns'!$A$2:$A$120,MATCH(1,INDEX(--ISNUMBER(SEARCH('Bad Patterns'!$A$2:$A$120,B1651)),0),0)),""))</f>
        <v/>
      </c>
      <c r="D1651">
        <f>IF(B1651="","",IF(C1651&lt;&gt;"","REMOVE","KEEP"))</f>
        <v/>
      </c>
      <c r="E1651">
        <f>IF(D1651&lt;&gt;"KEEP","",IF(RIGHT(B1651,10)="@gmail.com","Gmail",IF(OR(RIGHT(B1651,12)="@outlook.com",RIGHT(B1651,12)="@hotmail.com",RIGHT(B1651,9)="@live.com"),"Outlook","Domain")))</f>
        <v/>
      </c>
      <c r="F1651">
        <f>IF(B1651="","",IFERROR(RIGHT(B1651,LEN(B1651)-FIND("@",B1651)),""))</f>
        <v/>
      </c>
      <c r="G1651">
        <f>IF(D1651="KEEP",COUNTIF($D$2:D1651,"KEEP"),"")</f>
        <v/>
      </c>
      <c r="H1651">
        <f>IF(D1651="REMOVE",COUNTIF($D$2:D1651,"REMOVE"),"")</f>
        <v/>
      </c>
      <c r="I1651">
        <f>IF(E1651="Gmail",COUNTIF($E$2:E1651,"Gmail"),"")</f>
        <v/>
      </c>
      <c r="J1651">
        <f>IF(E1651="Outlook",COUNTIF($E$2:E1651,"Outlook"),"")</f>
        <v/>
      </c>
      <c r="K1651">
        <f>IF(E1651="Domain",COUNTIF($E$2:E1651,"Domain"),"")</f>
        <v/>
      </c>
    </row>
    <row r="1652">
      <c r="A1652" s="2" t="n"/>
      <c r="B1652">
        <f>LOWER(TRIM(A1652))</f>
        <v/>
      </c>
      <c r="C1652">
        <f>IF(B1652="","",IFERROR(INDEX('Bad Patterns'!$A$2:$A$120,MATCH(1,INDEX(--ISNUMBER(SEARCH('Bad Patterns'!$A$2:$A$120,B1652)),0),0)),""))</f>
        <v/>
      </c>
      <c r="D1652">
        <f>IF(B1652="","",IF(C1652&lt;&gt;"","REMOVE","KEEP"))</f>
        <v/>
      </c>
      <c r="E1652">
        <f>IF(D1652&lt;&gt;"KEEP","",IF(RIGHT(B1652,10)="@gmail.com","Gmail",IF(OR(RIGHT(B1652,12)="@outlook.com",RIGHT(B1652,12)="@hotmail.com",RIGHT(B1652,9)="@live.com"),"Outlook","Domain")))</f>
        <v/>
      </c>
      <c r="F1652">
        <f>IF(B1652="","",IFERROR(RIGHT(B1652,LEN(B1652)-FIND("@",B1652)),""))</f>
        <v/>
      </c>
      <c r="G1652">
        <f>IF(D1652="KEEP",COUNTIF($D$2:D1652,"KEEP"),"")</f>
        <v/>
      </c>
      <c r="H1652">
        <f>IF(D1652="REMOVE",COUNTIF($D$2:D1652,"REMOVE"),"")</f>
        <v/>
      </c>
      <c r="I1652">
        <f>IF(E1652="Gmail",COUNTIF($E$2:E1652,"Gmail"),"")</f>
        <v/>
      </c>
      <c r="J1652">
        <f>IF(E1652="Outlook",COUNTIF($E$2:E1652,"Outlook"),"")</f>
        <v/>
      </c>
      <c r="K1652">
        <f>IF(E1652="Domain",COUNTIF($E$2:E1652,"Domain"),"")</f>
        <v/>
      </c>
    </row>
    <row r="1653">
      <c r="A1653" s="2" t="n"/>
      <c r="B1653">
        <f>LOWER(TRIM(A1653))</f>
        <v/>
      </c>
      <c r="C1653">
        <f>IF(B1653="","",IFERROR(INDEX('Bad Patterns'!$A$2:$A$120,MATCH(1,INDEX(--ISNUMBER(SEARCH('Bad Patterns'!$A$2:$A$120,B1653)),0),0)),""))</f>
        <v/>
      </c>
      <c r="D1653">
        <f>IF(B1653="","",IF(C1653&lt;&gt;"","REMOVE","KEEP"))</f>
        <v/>
      </c>
      <c r="E1653">
        <f>IF(D1653&lt;&gt;"KEEP","",IF(RIGHT(B1653,10)="@gmail.com","Gmail",IF(OR(RIGHT(B1653,12)="@outlook.com",RIGHT(B1653,12)="@hotmail.com",RIGHT(B1653,9)="@live.com"),"Outlook","Domain")))</f>
        <v/>
      </c>
      <c r="F1653">
        <f>IF(B1653="","",IFERROR(RIGHT(B1653,LEN(B1653)-FIND("@",B1653)),""))</f>
        <v/>
      </c>
      <c r="G1653">
        <f>IF(D1653="KEEP",COUNTIF($D$2:D1653,"KEEP"),"")</f>
        <v/>
      </c>
      <c r="H1653">
        <f>IF(D1653="REMOVE",COUNTIF($D$2:D1653,"REMOVE"),"")</f>
        <v/>
      </c>
      <c r="I1653">
        <f>IF(E1653="Gmail",COUNTIF($E$2:E1653,"Gmail"),"")</f>
        <v/>
      </c>
      <c r="J1653">
        <f>IF(E1653="Outlook",COUNTIF($E$2:E1653,"Outlook"),"")</f>
        <v/>
      </c>
      <c r="K1653">
        <f>IF(E1653="Domain",COUNTIF($E$2:E1653,"Domain"),"")</f>
        <v/>
      </c>
    </row>
    <row r="1654">
      <c r="A1654" s="2" t="n"/>
      <c r="B1654">
        <f>LOWER(TRIM(A1654))</f>
        <v/>
      </c>
      <c r="C1654">
        <f>IF(B1654="","",IFERROR(INDEX('Bad Patterns'!$A$2:$A$120,MATCH(1,INDEX(--ISNUMBER(SEARCH('Bad Patterns'!$A$2:$A$120,B1654)),0),0)),""))</f>
        <v/>
      </c>
      <c r="D1654">
        <f>IF(B1654="","",IF(C1654&lt;&gt;"","REMOVE","KEEP"))</f>
        <v/>
      </c>
      <c r="E1654">
        <f>IF(D1654&lt;&gt;"KEEP","",IF(RIGHT(B1654,10)="@gmail.com","Gmail",IF(OR(RIGHT(B1654,12)="@outlook.com",RIGHT(B1654,12)="@hotmail.com",RIGHT(B1654,9)="@live.com"),"Outlook","Domain")))</f>
        <v/>
      </c>
      <c r="F1654">
        <f>IF(B1654="","",IFERROR(RIGHT(B1654,LEN(B1654)-FIND("@",B1654)),""))</f>
        <v/>
      </c>
      <c r="G1654">
        <f>IF(D1654="KEEP",COUNTIF($D$2:D1654,"KEEP"),"")</f>
        <v/>
      </c>
      <c r="H1654">
        <f>IF(D1654="REMOVE",COUNTIF($D$2:D1654,"REMOVE"),"")</f>
        <v/>
      </c>
      <c r="I1654">
        <f>IF(E1654="Gmail",COUNTIF($E$2:E1654,"Gmail"),"")</f>
        <v/>
      </c>
      <c r="J1654">
        <f>IF(E1654="Outlook",COUNTIF($E$2:E1654,"Outlook"),"")</f>
        <v/>
      </c>
      <c r="K1654">
        <f>IF(E1654="Domain",COUNTIF($E$2:E1654,"Domain"),"")</f>
        <v/>
      </c>
    </row>
    <row r="1655">
      <c r="A1655" s="2" t="n"/>
      <c r="B1655">
        <f>LOWER(TRIM(A1655))</f>
        <v/>
      </c>
      <c r="C1655">
        <f>IF(B1655="","",IFERROR(INDEX('Bad Patterns'!$A$2:$A$120,MATCH(1,INDEX(--ISNUMBER(SEARCH('Bad Patterns'!$A$2:$A$120,B1655)),0),0)),""))</f>
        <v/>
      </c>
      <c r="D1655">
        <f>IF(B1655="","",IF(C1655&lt;&gt;"","REMOVE","KEEP"))</f>
        <v/>
      </c>
      <c r="E1655">
        <f>IF(D1655&lt;&gt;"KEEP","",IF(RIGHT(B1655,10)="@gmail.com","Gmail",IF(OR(RIGHT(B1655,12)="@outlook.com",RIGHT(B1655,12)="@hotmail.com",RIGHT(B1655,9)="@live.com"),"Outlook","Domain")))</f>
        <v/>
      </c>
      <c r="F1655">
        <f>IF(B1655="","",IFERROR(RIGHT(B1655,LEN(B1655)-FIND("@",B1655)),""))</f>
        <v/>
      </c>
      <c r="G1655">
        <f>IF(D1655="KEEP",COUNTIF($D$2:D1655,"KEEP"),"")</f>
        <v/>
      </c>
      <c r="H1655">
        <f>IF(D1655="REMOVE",COUNTIF($D$2:D1655,"REMOVE"),"")</f>
        <v/>
      </c>
      <c r="I1655">
        <f>IF(E1655="Gmail",COUNTIF($E$2:E1655,"Gmail"),"")</f>
        <v/>
      </c>
      <c r="J1655">
        <f>IF(E1655="Outlook",COUNTIF($E$2:E1655,"Outlook"),"")</f>
        <v/>
      </c>
      <c r="K1655">
        <f>IF(E1655="Domain",COUNTIF($E$2:E1655,"Domain"),"")</f>
        <v/>
      </c>
    </row>
    <row r="1656">
      <c r="A1656" s="2" t="n"/>
      <c r="B1656">
        <f>LOWER(TRIM(A1656))</f>
        <v/>
      </c>
      <c r="C1656">
        <f>IF(B1656="","",IFERROR(INDEX('Bad Patterns'!$A$2:$A$120,MATCH(1,INDEX(--ISNUMBER(SEARCH('Bad Patterns'!$A$2:$A$120,B1656)),0),0)),""))</f>
        <v/>
      </c>
      <c r="D1656">
        <f>IF(B1656="","",IF(C1656&lt;&gt;"","REMOVE","KEEP"))</f>
        <v/>
      </c>
      <c r="E1656">
        <f>IF(D1656&lt;&gt;"KEEP","",IF(RIGHT(B1656,10)="@gmail.com","Gmail",IF(OR(RIGHT(B1656,12)="@outlook.com",RIGHT(B1656,12)="@hotmail.com",RIGHT(B1656,9)="@live.com"),"Outlook","Domain")))</f>
        <v/>
      </c>
      <c r="F1656">
        <f>IF(B1656="","",IFERROR(RIGHT(B1656,LEN(B1656)-FIND("@",B1656)),""))</f>
        <v/>
      </c>
      <c r="G1656">
        <f>IF(D1656="KEEP",COUNTIF($D$2:D1656,"KEEP"),"")</f>
        <v/>
      </c>
      <c r="H1656">
        <f>IF(D1656="REMOVE",COUNTIF($D$2:D1656,"REMOVE"),"")</f>
        <v/>
      </c>
      <c r="I1656">
        <f>IF(E1656="Gmail",COUNTIF($E$2:E1656,"Gmail"),"")</f>
        <v/>
      </c>
      <c r="J1656">
        <f>IF(E1656="Outlook",COUNTIF($E$2:E1656,"Outlook"),"")</f>
        <v/>
      </c>
      <c r="K1656">
        <f>IF(E1656="Domain",COUNTIF($E$2:E1656,"Domain"),"")</f>
        <v/>
      </c>
    </row>
    <row r="1657">
      <c r="A1657" s="2" t="n"/>
      <c r="B1657">
        <f>LOWER(TRIM(A1657))</f>
        <v/>
      </c>
      <c r="C1657">
        <f>IF(B1657="","",IFERROR(INDEX('Bad Patterns'!$A$2:$A$120,MATCH(1,INDEX(--ISNUMBER(SEARCH('Bad Patterns'!$A$2:$A$120,B1657)),0),0)),""))</f>
        <v/>
      </c>
      <c r="D1657">
        <f>IF(B1657="","",IF(C1657&lt;&gt;"","REMOVE","KEEP"))</f>
        <v/>
      </c>
      <c r="E1657">
        <f>IF(D1657&lt;&gt;"KEEP","",IF(RIGHT(B1657,10)="@gmail.com","Gmail",IF(OR(RIGHT(B1657,12)="@outlook.com",RIGHT(B1657,12)="@hotmail.com",RIGHT(B1657,9)="@live.com"),"Outlook","Domain")))</f>
        <v/>
      </c>
      <c r="F1657">
        <f>IF(B1657="","",IFERROR(RIGHT(B1657,LEN(B1657)-FIND("@",B1657)),""))</f>
        <v/>
      </c>
      <c r="G1657">
        <f>IF(D1657="KEEP",COUNTIF($D$2:D1657,"KEEP"),"")</f>
        <v/>
      </c>
      <c r="H1657">
        <f>IF(D1657="REMOVE",COUNTIF($D$2:D1657,"REMOVE"),"")</f>
        <v/>
      </c>
      <c r="I1657">
        <f>IF(E1657="Gmail",COUNTIF($E$2:E1657,"Gmail"),"")</f>
        <v/>
      </c>
      <c r="J1657">
        <f>IF(E1657="Outlook",COUNTIF($E$2:E1657,"Outlook"),"")</f>
        <v/>
      </c>
      <c r="K1657">
        <f>IF(E1657="Domain",COUNTIF($E$2:E1657,"Domain"),"")</f>
        <v/>
      </c>
    </row>
    <row r="1658">
      <c r="A1658" s="2" t="n"/>
      <c r="B1658">
        <f>LOWER(TRIM(A1658))</f>
        <v/>
      </c>
      <c r="C1658">
        <f>IF(B1658="","",IFERROR(INDEX('Bad Patterns'!$A$2:$A$120,MATCH(1,INDEX(--ISNUMBER(SEARCH('Bad Patterns'!$A$2:$A$120,B1658)),0),0)),""))</f>
        <v/>
      </c>
      <c r="D1658">
        <f>IF(B1658="","",IF(C1658&lt;&gt;"","REMOVE","KEEP"))</f>
        <v/>
      </c>
      <c r="E1658">
        <f>IF(D1658&lt;&gt;"KEEP","",IF(RIGHT(B1658,10)="@gmail.com","Gmail",IF(OR(RIGHT(B1658,12)="@outlook.com",RIGHT(B1658,12)="@hotmail.com",RIGHT(B1658,9)="@live.com"),"Outlook","Domain")))</f>
        <v/>
      </c>
      <c r="F1658">
        <f>IF(B1658="","",IFERROR(RIGHT(B1658,LEN(B1658)-FIND("@",B1658)),""))</f>
        <v/>
      </c>
      <c r="G1658">
        <f>IF(D1658="KEEP",COUNTIF($D$2:D1658,"KEEP"),"")</f>
        <v/>
      </c>
      <c r="H1658">
        <f>IF(D1658="REMOVE",COUNTIF($D$2:D1658,"REMOVE"),"")</f>
        <v/>
      </c>
      <c r="I1658">
        <f>IF(E1658="Gmail",COUNTIF($E$2:E1658,"Gmail"),"")</f>
        <v/>
      </c>
      <c r="J1658">
        <f>IF(E1658="Outlook",COUNTIF($E$2:E1658,"Outlook"),"")</f>
        <v/>
      </c>
      <c r="K1658">
        <f>IF(E1658="Domain",COUNTIF($E$2:E1658,"Domain"),"")</f>
        <v/>
      </c>
    </row>
    <row r="1659">
      <c r="A1659" s="2" t="n"/>
      <c r="B1659">
        <f>LOWER(TRIM(A1659))</f>
        <v/>
      </c>
      <c r="C1659">
        <f>IF(B1659="","",IFERROR(INDEX('Bad Patterns'!$A$2:$A$120,MATCH(1,INDEX(--ISNUMBER(SEARCH('Bad Patterns'!$A$2:$A$120,B1659)),0),0)),""))</f>
        <v/>
      </c>
      <c r="D1659">
        <f>IF(B1659="","",IF(C1659&lt;&gt;"","REMOVE","KEEP"))</f>
        <v/>
      </c>
      <c r="E1659">
        <f>IF(D1659&lt;&gt;"KEEP","",IF(RIGHT(B1659,10)="@gmail.com","Gmail",IF(OR(RIGHT(B1659,12)="@outlook.com",RIGHT(B1659,12)="@hotmail.com",RIGHT(B1659,9)="@live.com"),"Outlook","Domain")))</f>
        <v/>
      </c>
      <c r="F1659">
        <f>IF(B1659="","",IFERROR(RIGHT(B1659,LEN(B1659)-FIND("@",B1659)),""))</f>
        <v/>
      </c>
      <c r="G1659">
        <f>IF(D1659="KEEP",COUNTIF($D$2:D1659,"KEEP"),"")</f>
        <v/>
      </c>
      <c r="H1659">
        <f>IF(D1659="REMOVE",COUNTIF($D$2:D1659,"REMOVE"),"")</f>
        <v/>
      </c>
      <c r="I1659">
        <f>IF(E1659="Gmail",COUNTIF($E$2:E1659,"Gmail"),"")</f>
        <v/>
      </c>
      <c r="J1659">
        <f>IF(E1659="Outlook",COUNTIF($E$2:E1659,"Outlook"),"")</f>
        <v/>
      </c>
      <c r="K1659">
        <f>IF(E1659="Domain",COUNTIF($E$2:E1659,"Domain"),"")</f>
        <v/>
      </c>
    </row>
    <row r="1660">
      <c r="A1660" s="2" t="n"/>
      <c r="B1660">
        <f>LOWER(TRIM(A1660))</f>
        <v/>
      </c>
      <c r="C1660">
        <f>IF(B1660="","",IFERROR(INDEX('Bad Patterns'!$A$2:$A$120,MATCH(1,INDEX(--ISNUMBER(SEARCH('Bad Patterns'!$A$2:$A$120,B1660)),0),0)),""))</f>
        <v/>
      </c>
      <c r="D1660">
        <f>IF(B1660="","",IF(C1660&lt;&gt;"","REMOVE","KEEP"))</f>
        <v/>
      </c>
      <c r="E1660">
        <f>IF(D1660&lt;&gt;"KEEP","",IF(RIGHT(B1660,10)="@gmail.com","Gmail",IF(OR(RIGHT(B1660,12)="@outlook.com",RIGHT(B1660,12)="@hotmail.com",RIGHT(B1660,9)="@live.com"),"Outlook","Domain")))</f>
        <v/>
      </c>
      <c r="F1660">
        <f>IF(B1660="","",IFERROR(RIGHT(B1660,LEN(B1660)-FIND("@",B1660)),""))</f>
        <v/>
      </c>
      <c r="G1660">
        <f>IF(D1660="KEEP",COUNTIF($D$2:D1660,"KEEP"),"")</f>
        <v/>
      </c>
      <c r="H1660">
        <f>IF(D1660="REMOVE",COUNTIF($D$2:D1660,"REMOVE"),"")</f>
        <v/>
      </c>
      <c r="I1660">
        <f>IF(E1660="Gmail",COUNTIF($E$2:E1660,"Gmail"),"")</f>
        <v/>
      </c>
      <c r="J1660">
        <f>IF(E1660="Outlook",COUNTIF($E$2:E1660,"Outlook"),"")</f>
        <v/>
      </c>
      <c r="K1660">
        <f>IF(E1660="Domain",COUNTIF($E$2:E1660,"Domain"),"")</f>
        <v/>
      </c>
    </row>
    <row r="1661">
      <c r="A1661" s="2" t="n"/>
      <c r="B1661">
        <f>LOWER(TRIM(A1661))</f>
        <v/>
      </c>
      <c r="C1661">
        <f>IF(B1661="","",IFERROR(INDEX('Bad Patterns'!$A$2:$A$120,MATCH(1,INDEX(--ISNUMBER(SEARCH('Bad Patterns'!$A$2:$A$120,B1661)),0),0)),""))</f>
        <v/>
      </c>
      <c r="D1661">
        <f>IF(B1661="","",IF(C1661&lt;&gt;"","REMOVE","KEEP"))</f>
        <v/>
      </c>
      <c r="E1661">
        <f>IF(D1661&lt;&gt;"KEEP","",IF(RIGHT(B1661,10)="@gmail.com","Gmail",IF(OR(RIGHT(B1661,12)="@outlook.com",RIGHT(B1661,12)="@hotmail.com",RIGHT(B1661,9)="@live.com"),"Outlook","Domain")))</f>
        <v/>
      </c>
      <c r="F1661">
        <f>IF(B1661="","",IFERROR(RIGHT(B1661,LEN(B1661)-FIND("@",B1661)),""))</f>
        <v/>
      </c>
      <c r="G1661">
        <f>IF(D1661="KEEP",COUNTIF($D$2:D1661,"KEEP"),"")</f>
        <v/>
      </c>
      <c r="H1661">
        <f>IF(D1661="REMOVE",COUNTIF($D$2:D1661,"REMOVE"),"")</f>
        <v/>
      </c>
      <c r="I1661">
        <f>IF(E1661="Gmail",COUNTIF($E$2:E1661,"Gmail"),"")</f>
        <v/>
      </c>
      <c r="J1661">
        <f>IF(E1661="Outlook",COUNTIF($E$2:E1661,"Outlook"),"")</f>
        <v/>
      </c>
      <c r="K1661">
        <f>IF(E1661="Domain",COUNTIF($E$2:E1661,"Domain"),"")</f>
        <v/>
      </c>
    </row>
    <row r="1662">
      <c r="A1662" s="2" t="n"/>
      <c r="B1662">
        <f>LOWER(TRIM(A1662))</f>
        <v/>
      </c>
      <c r="C1662">
        <f>IF(B1662="","",IFERROR(INDEX('Bad Patterns'!$A$2:$A$120,MATCH(1,INDEX(--ISNUMBER(SEARCH('Bad Patterns'!$A$2:$A$120,B1662)),0),0)),""))</f>
        <v/>
      </c>
      <c r="D1662">
        <f>IF(B1662="","",IF(C1662&lt;&gt;"","REMOVE","KEEP"))</f>
        <v/>
      </c>
      <c r="E1662">
        <f>IF(D1662&lt;&gt;"KEEP","",IF(RIGHT(B1662,10)="@gmail.com","Gmail",IF(OR(RIGHT(B1662,12)="@outlook.com",RIGHT(B1662,12)="@hotmail.com",RIGHT(B1662,9)="@live.com"),"Outlook","Domain")))</f>
        <v/>
      </c>
      <c r="F1662">
        <f>IF(B1662="","",IFERROR(RIGHT(B1662,LEN(B1662)-FIND("@",B1662)),""))</f>
        <v/>
      </c>
      <c r="G1662">
        <f>IF(D1662="KEEP",COUNTIF($D$2:D1662,"KEEP"),"")</f>
        <v/>
      </c>
      <c r="H1662">
        <f>IF(D1662="REMOVE",COUNTIF($D$2:D1662,"REMOVE"),"")</f>
        <v/>
      </c>
      <c r="I1662">
        <f>IF(E1662="Gmail",COUNTIF($E$2:E1662,"Gmail"),"")</f>
        <v/>
      </c>
      <c r="J1662">
        <f>IF(E1662="Outlook",COUNTIF($E$2:E1662,"Outlook"),"")</f>
        <v/>
      </c>
      <c r="K1662">
        <f>IF(E1662="Domain",COUNTIF($E$2:E1662,"Domain"),"")</f>
        <v/>
      </c>
    </row>
    <row r="1663">
      <c r="A1663" s="2" t="n"/>
      <c r="B1663">
        <f>LOWER(TRIM(A1663))</f>
        <v/>
      </c>
      <c r="C1663">
        <f>IF(B1663="","",IFERROR(INDEX('Bad Patterns'!$A$2:$A$120,MATCH(1,INDEX(--ISNUMBER(SEARCH('Bad Patterns'!$A$2:$A$120,B1663)),0),0)),""))</f>
        <v/>
      </c>
      <c r="D1663">
        <f>IF(B1663="","",IF(C1663&lt;&gt;"","REMOVE","KEEP"))</f>
        <v/>
      </c>
      <c r="E1663">
        <f>IF(D1663&lt;&gt;"KEEP","",IF(RIGHT(B1663,10)="@gmail.com","Gmail",IF(OR(RIGHT(B1663,12)="@outlook.com",RIGHT(B1663,12)="@hotmail.com",RIGHT(B1663,9)="@live.com"),"Outlook","Domain")))</f>
        <v/>
      </c>
      <c r="F1663">
        <f>IF(B1663="","",IFERROR(RIGHT(B1663,LEN(B1663)-FIND("@",B1663)),""))</f>
        <v/>
      </c>
      <c r="G1663">
        <f>IF(D1663="KEEP",COUNTIF($D$2:D1663,"KEEP"),"")</f>
        <v/>
      </c>
      <c r="H1663">
        <f>IF(D1663="REMOVE",COUNTIF($D$2:D1663,"REMOVE"),"")</f>
        <v/>
      </c>
      <c r="I1663">
        <f>IF(E1663="Gmail",COUNTIF($E$2:E1663,"Gmail"),"")</f>
        <v/>
      </c>
      <c r="J1663">
        <f>IF(E1663="Outlook",COUNTIF($E$2:E1663,"Outlook"),"")</f>
        <v/>
      </c>
      <c r="K1663">
        <f>IF(E1663="Domain",COUNTIF($E$2:E1663,"Domain"),"")</f>
        <v/>
      </c>
    </row>
    <row r="1664">
      <c r="A1664" s="2" t="n"/>
      <c r="B1664">
        <f>LOWER(TRIM(A1664))</f>
        <v/>
      </c>
      <c r="C1664">
        <f>IF(B1664="","",IFERROR(INDEX('Bad Patterns'!$A$2:$A$120,MATCH(1,INDEX(--ISNUMBER(SEARCH('Bad Patterns'!$A$2:$A$120,B1664)),0),0)),""))</f>
        <v/>
      </c>
      <c r="D1664">
        <f>IF(B1664="","",IF(C1664&lt;&gt;"","REMOVE","KEEP"))</f>
        <v/>
      </c>
      <c r="E1664">
        <f>IF(D1664&lt;&gt;"KEEP","",IF(RIGHT(B1664,10)="@gmail.com","Gmail",IF(OR(RIGHT(B1664,12)="@outlook.com",RIGHT(B1664,12)="@hotmail.com",RIGHT(B1664,9)="@live.com"),"Outlook","Domain")))</f>
        <v/>
      </c>
      <c r="F1664">
        <f>IF(B1664="","",IFERROR(RIGHT(B1664,LEN(B1664)-FIND("@",B1664)),""))</f>
        <v/>
      </c>
      <c r="G1664">
        <f>IF(D1664="KEEP",COUNTIF($D$2:D1664,"KEEP"),"")</f>
        <v/>
      </c>
      <c r="H1664">
        <f>IF(D1664="REMOVE",COUNTIF($D$2:D1664,"REMOVE"),"")</f>
        <v/>
      </c>
      <c r="I1664">
        <f>IF(E1664="Gmail",COUNTIF($E$2:E1664,"Gmail"),"")</f>
        <v/>
      </c>
      <c r="J1664">
        <f>IF(E1664="Outlook",COUNTIF($E$2:E1664,"Outlook"),"")</f>
        <v/>
      </c>
      <c r="K1664">
        <f>IF(E1664="Domain",COUNTIF($E$2:E1664,"Domain"),"")</f>
        <v/>
      </c>
    </row>
    <row r="1665">
      <c r="A1665" s="2" t="n"/>
      <c r="B1665">
        <f>LOWER(TRIM(A1665))</f>
        <v/>
      </c>
      <c r="C1665">
        <f>IF(B1665="","",IFERROR(INDEX('Bad Patterns'!$A$2:$A$120,MATCH(1,INDEX(--ISNUMBER(SEARCH('Bad Patterns'!$A$2:$A$120,B1665)),0),0)),""))</f>
        <v/>
      </c>
      <c r="D1665">
        <f>IF(B1665="","",IF(C1665&lt;&gt;"","REMOVE","KEEP"))</f>
        <v/>
      </c>
      <c r="E1665">
        <f>IF(D1665&lt;&gt;"KEEP","",IF(RIGHT(B1665,10)="@gmail.com","Gmail",IF(OR(RIGHT(B1665,12)="@outlook.com",RIGHT(B1665,12)="@hotmail.com",RIGHT(B1665,9)="@live.com"),"Outlook","Domain")))</f>
        <v/>
      </c>
      <c r="F1665">
        <f>IF(B1665="","",IFERROR(RIGHT(B1665,LEN(B1665)-FIND("@",B1665)),""))</f>
        <v/>
      </c>
      <c r="G1665">
        <f>IF(D1665="KEEP",COUNTIF($D$2:D1665,"KEEP"),"")</f>
        <v/>
      </c>
      <c r="H1665">
        <f>IF(D1665="REMOVE",COUNTIF($D$2:D1665,"REMOVE"),"")</f>
        <v/>
      </c>
      <c r="I1665">
        <f>IF(E1665="Gmail",COUNTIF($E$2:E1665,"Gmail"),"")</f>
        <v/>
      </c>
      <c r="J1665">
        <f>IF(E1665="Outlook",COUNTIF($E$2:E1665,"Outlook"),"")</f>
        <v/>
      </c>
      <c r="K1665">
        <f>IF(E1665="Domain",COUNTIF($E$2:E1665,"Domain"),"")</f>
        <v/>
      </c>
    </row>
    <row r="1666">
      <c r="A1666" s="2" t="n"/>
      <c r="B1666">
        <f>LOWER(TRIM(A1666))</f>
        <v/>
      </c>
      <c r="C1666">
        <f>IF(B1666="","",IFERROR(INDEX('Bad Patterns'!$A$2:$A$120,MATCH(1,INDEX(--ISNUMBER(SEARCH('Bad Patterns'!$A$2:$A$120,B1666)),0),0)),""))</f>
        <v/>
      </c>
      <c r="D1666">
        <f>IF(B1666="","",IF(C1666&lt;&gt;"","REMOVE","KEEP"))</f>
        <v/>
      </c>
      <c r="E1666">
        <f>IF(D1666&lt;&gt;"KEEP","",IF(RIGHT(B1666,10)="@gmail.com","Gmail",IF(OR(RIGHT(B1666,12)="@outlook.com",RIGHT(B1666,12)="@hotmail.com",RIGHT(B1666,9)="@live.com"),"Outlook","Domain")))</f>
        <v/>
      </c>
      <c r="F1666">
        <f>IF(B1666="","",IFERROR(RIGHT(B1666,LEN(B1666)-FIND("@",B1666)),""))</f>
        <v/>
      </c>
      <c r="G1666">
        <f>IF(D1666="KEEP",COUNTIF($D$2:D1666,"KEEP"),"")</f>
        <v/>
      </c>
      <c r="H1666">
        <f>IF(D1666="REMOVE",COUNTIF($D$2:D1666,"REMOVE"),"")</f>
        <v/>
      </c>
      <c r="I1666">
        <f>IF(E1666="Gmail",COUNTIF($E$2:E1666,"Gmail"),"")</f>
        <v/>
      </c>
      <c r="J1666">
        <f>IF(E1666="Outlook",COUNTIF($E$2:E1666,"Outlook"),"")</f>
        <v/>
      </c>
      <c r="K1666">
        <f>IF(E1666="Domain",COUNTIF($E$2:E1666,"Domain"),"")</f>
        <v/>
      </c>
    </row>
    <row r="1667">
      <c r="A1667" s="2" t="n"/>
      <c r="B1667">
        <f>LOWER(TRIM(A1667))</f>
        <v/>
      </c>
      <c r="C1667">
        <f>IF(B1667="","",IFERROR(INDEX('Bad Patterns'!$A$2:$A$120,MATCH(1,INDEX(--ISNUMBER(SEARCH('Bad Patterns'!$A$2:$A$120,B1667)),0),0)),""))</f>
        <v/>
      </c>
      <c r="D1667">
        <f>IF(B1667="","",IF(C1667&lt;&gt;"","REMOVE","KEEP"))</f>
        <v/>
      </c>
      <c r="E1667">
        <f>IF(D1667&lt;&gt;"KEEP","",IF(RIGHT(B1667,10)="@gmail.com","Gmail",IF(OR(RIGHT(B1667,12)="@outlook.com",RIGHT(B1667,12)="@hotmail.com",RIGHT(B1667,9)="@live.com"),"Outlook","Domain")))</f>
        <v/>
      </c>
      <c r="F1667">
        <f>IF(B1667="","",IFERROR(RIGHT(B1667,LEN(B1667)-FIND("@",B1667)),""))</f>
        <v/>
      </c>
      <c r="G1667">
        <f>IF(D1667="KEEP",COUNTIF($D$2:D1667,"KEEP"),"")</f>
        <v/>
      </c>
      <c r="H1667">
        <f>IF(D1667="REMOVE",COUNTIF($D$2:D1667,"REMOVE"),"")</f>
        <v/>
      </c>
      <c r="I1667">
        <f>IF(E1667="Gmail",COUNTIF($E$2:E1667,"Gmail"),"")</f>
        <v/>
      </c>
      <c r="J1667">
        <f>IF(E1667="Outlook",COUNTIF($E$2:E1667,"Outlook"),"")</f>
        <v/>
      </c>
      <c r="K1667">
        <f>IF(E1667="Domain",COUNTIF($E$2:E1667,"Domain"),"")</f>
        <v/>
      </c>
    </row>
    <row r="1668">
      <c r="A1668" s="2" t="n"/>
      <c r="B1668">
        <f>LOWER(TRIM(A1668))</f>
        <v/>
      </c>
      <c r="C1668">
        <f>IF(B1668="","",IFERROR(INDEX('Bad Patterns'!$A$2:$A$120,MATCH(1,INDEX(--ISNUMBER(SEARCH('Bad Patterns'!$A$2:$A$120,B1668)),0),0)),""))</f>
        <v/>
      </c>
      <c r="D1668">
        <f>IF(B1668="","",IF(C1668&lt;&gt;"","REMOVE","KEEP"))</f>
        <v/>
      </c>
      <c r="E1668">
        <f>IF(D1668&lt;&gt;"KEEP","",IF(RIGHT(B1668,10)="@gmail.com","Gmail",IF(OR(RIGHT(B1668,12)="@outlook.com",RIGHT(B1668,12)="@hotmail.com",RIGHT(B1668,9)="@live.com"),"Outlook","Domain")))</f>
        <v/>
      </c>
      <c r="F1668">
        <f>IF(B1668="","",IFERROR(RIGHT(B1668,LEN(B1668)-FIND("@",B1668)),""))</f>
        <v/>
      </c>
      <c r="G1668">
        <f>IF(D1668="KEEP",COUNTIF($D$2:D1668,"KEEP"),"")</f>
        <v/>
      </c>
      <c r="H1668">
        <f>IF(D1668="REMOVE",COUNTIF($D$2:D1668,"REMOVE"),"")</f>
        <v/>
      </c>
      <c r="I1668">
        <f>IF(E1668="Gmail",COUNTIF($E$2:E1668,"Gmail"),"")</f>
        <v/>
      </c>
      <c r="J1668">
        <f>IF(E1668="Outlook",COUNTIF($E$2:E1668,"Outlook"),"")</f>
        <v/>
      </c>
      <c r="K1668">
        <f>IF(E1668="Domain",COUNTIF($E$2:E1668,"Domain"),"")</f>
        <v/>
      </c>
    </row>
    <row r="1669">
      <c r="A1669" s="2" t="n"/>
      <c r="B1669">
        <f>LOWER(TRIM(A1669))</f>
        <v/>
      </c>
      <c r="C1669">
        <f>IF(B1669="","",IFERROR(INDEX('Bad Patterns'!$A$2:$A$120,MATCH(1,INDEX(--ISNUMBER(SEARCH('Bad Patterns'!$A$2:$A$120,B1669)),0),0)),""))</f>
        <v/>
      </c>
      <c r="D1669">
        <f>IF(B1669="","",IF(C1669&lt;&gt;"","REMOVE","KEEP"))</f>
        <v/>
      </c>
      <c r="E1669">
        <f>IF(D1669&lt;&gt;"KEEP","",IF(RIGHT(B1669,10)="@gmail.com","Gmail",IF(OR(RIGHT(B1669,12)="@outlook.com",RIGHT(B1669,12)="@hotmail.com",RIGHT(B1669,9)="@live.com"),"Outlook","Domain")))</f>
        <v/>
      </c>
      <c r="F1669">
        <f>IF(B1669="","",IFERROR(RIGHT(B1669,LEN(B1669)-FIND("@",B1669)),""))</f>
        <v/>
      </c>
      <c r="G1669">
        <f>IF(D1669="KEEP",COUNTIF($D$2:D1669,"KEEP"),"")</f>
        <v/>
      </c>
      <c r="H1669">
        <f>IF(D1669="REMOVE",COUNTIF($D$2:D1669,"REMOVE"),"")</f>
        <v/>
      </c>
      <c r="I1669">
        <f>IF(E1669="Gmail",COUNTIF($E$2:E1669,"Gmail"),"")</f>
        <v/>
      </c>
      <c r="J1669">
        <f>IF(E1669="Outlook",COUNTIF($E$2:E1669,"Outlook"),"")</f>
        <v/>
      </c>
      <c r="K1669">
        <f>IF(E1669="Domain",COUNTIF($E$2:E1669,"Domain"),"")</f>
        <v/>
      </c>
    </row>
    <row r="1670">
      <c r="A1670" s="2" t="n"/>
      <c r="B1670">
        <f>LOWER(TRIM(A1670))</f>
        <v/>
      </c>
      <c r="C1670">
        <f>IF(B1670="","",IFERROR(INDEX('Bad Patterns'!$A$2:$A$120,MATCH(1,INDEX(--ISNUMBER(SEARCH('Bad Patterns'!$A$2:$A$120,B1670)),0),0)),""))</f>
        <v/>
      </c>
      <c r="D1670">
        <f>IF(B1670="","",IF(C1670&lt;&gt;"","REMOVE","KEEP"))</f>
        <v/>
      </c>
      <c r="E1670">
        <f>IF(D1670&lt;&gt;"KEEP","",IF(RIGHT(B1670,10)="@gmail.com","Gmail",IF(OR(RIGHT(B1670,12)="@outlook.com",RIGHT(B1670,12)="@hotmail.com",RIGHT(B1670,9)="@live.com"),"Outlook","Domain")))</f>
        <v/>
      </c>
      <c r="F1670">
        <f>IF(B1670="","",IFERROR(RIGHT(B1670,LEN(B1670)-FIND("@",B1670)),""))</f>
        <v/>
      </c>
      <c r="G1670">
        <f>IF(D1670="KEEP",COUNTIF($D$2:D1670,"KEEP"),"")</f>
        <v/>
      </c>
      <c r="H1670">
        <f>IF(D1670="REMOVE",COUNTIF($D$2:D1670,"REMOVE"),"")</f>
        <v/>
      </c>
      <c r="I1670">
        <f>IF(E1670="Gmail",COUNTIF($E$2:E1670,"Gmail"),"")</f>
        <v/>
      </c>
      <c r="J1670">
        <f>IF(E1670="Outlook",COUNTIF($E$2:E1670,"Outlook"),"")</f>
        <v/>
      </c>
      <c r="K1670">
        <f>IF(E1670="Domain",COUNTIF($E$2:E1670,"Domain"),"")</f>
        <v/>
      </c>
    </row>
    <row r="1671">
      <c r="A1671" s="2" t="n"/>
      <c r="B1671">
        <f>LOWER(TRIM(A1671))</f>
        <v/>
      </c>
      <c r="C1671">
        <f>IF(B1671="","",IFERROR(INDEX('Bad Patterns'!$A$2:$A$120,MATCH(1,INDEX(--ISNUMBER(SEARCH('Bad Patterns'!$A$2:$A$120,B1671)),0),0)),""))</f>
        <v/>
      </c>
      <c r="D1671">
        <f>IF(B1671="","",IF(C1671&lt;&gt;"","REMOVE","KEEP"))</f>
        <v/>
      </c>
      <c r="E1671">
        <f>IF(D1671&lt;&gt;"KEEP","",IF(RIGHT(B1671,10)="@gmail.com","Gmail",IF(OR(RIGHT(B1671,12)="@outlook.com",RIGHT(B1671,12)="@hotmail.com",RIGHT(B1671,9)="@live.com"),"Outlook","Domain")))</f>
        <v/>
      </c>
      <c r="F1671">
        <f>IF(B1671="","",IFERROR(RIGHT(B1671,LEN(B1671)-FIND("@",B1671)),""))</f>
        <v/>
      </c>
      <c r="G1671">
        <f>IF(D1671="KEEP",COUNTIF($D$2:D1671,"KEEP"),"")</f>
        <v/>
      </c>
      <c r="H1671">
        <f>IF(D1671="REMOVE",COUNTIF($D$2:D1671,"REMOVE"),"")</f>
        <v/>
      </c>
      <c r="I1671">
        <f>IF(E1671="Gmail",COUNTIF($E$2:E1671,"Gmail"),"")</f>
        <v/>
      </c>
      <c r="J1671">
        <f>IF(E1671="Outlook",COUNTIF($E$2:E1671,"Outlook"),"")</f>
        <v/>
      </c>
      <c r="K1671">
        <f>IF(E1671="Domain",COUNTIF($E$2:E1671,"Domain"),"")</f>
        <v/>
      </c>
    </row>
    <row r="1672">
      <c r="A1672" s="2" t="n"/>
      <c r="B1672">
        <f>LOWER(TRIM(A1672))</f>
        <v/>
      </c>
      <c r="C1672">
        <f>IF(B1672="","",IFERROR(INDEX('Bad Patterns'!$A$2:$A$120,MATCH(1,INDEX(--ISNUMBER(SEARCH('Bad Patterns'!$A$2:$A$120,B1672)),0),0)),""))</f>
        <v/>
      </c>
      <c r="D1672">
        <f>IF(B1672="","",IF(C1672&lt;&gt;"","REMOVE","KEEP"))</f>
        <v/>
      </c>
      <c r="E1672">
        <f>IF(D1672&lt;&gt;"KEEP","",IF(RIGHT(B1672,10)="@gmail.com","Gmail",IF(OR(RIGHT(B1672,12)="@outlook.com",RIGHT(B1672,12)="@hotmail.com",RIGHT(B1672,9)="@live.com"),"Outlook","Domain")))</f>
        <v/>
      </c>
      <c r="F1672">
        <f>IF(B1672="","",IFERROR(RIGHT(B1672,LEN(B1672)-FIND("@",B1672)),""))</f>
        <v/>
      </c>
      <c r="G1672">
        <f>IF(D1672="KEEP",COUNTIF($D$2:D1672,"KEEP"),"")</f>
        <v/>
      </c>
      <c r="H1672">
        <f>IF(D1672="REMOVE",COUNTIF($D$2:D1672,"REMOVE"),"")</f>
        <v/>
      </c>
      <c r="I1672">
        <f>IF(E1672="Gmail",COUNTIF($E$2:E1672,"Gmail"),"")</f>
        <v/>
      </c>
      <c r="J1672">
        <f>IF(E1672="Outlook",COUNTIF($E$2:E1672,"Outlook"),"")</f>
        <v/>
      </c>
      <c r="K1672">
        <f>IF(E1672="Domain",COUNTIF($E$2:E1672,"Domain"),"")</f>
        <v/>
      </c>
    </row>
    <row r="1673">
      <c r="A1673" s="2" t="n"/>
      <c r="B1673">
        <f>LOWER(TRIM(A1673))</f>
        <v/>
      </c>
      <c r="C1673">
        <f>IF(B1673="","",IFERROR(INDEX('Bad Patterns'!$A$2:$A$120,MATCH(1,INDEX(--ISNUMBER(SEARCH('Bad Patterns'!$A$2:$A$120,B1673)),0),0)),""))</f>
        <v/>
      </c>
      <c r="D1673">
        <f>IF(B1673="","",IF(C1673&lt;&gt;"","REMOVE","KEEP"))</f>
        <v/>
      </c>
      <c r="E1673">
        <f>IF(D1673&lt;&gt;"KEEP","",IF(RIGHT(B1673,10)="@gmail.com","Gmail",IF(OR(RIGHT(B1673,12)="@outlook.com",RIGHT(B1673,12)="@hotmail.com",RIGHT(B1673,9)="@live.com"),"Outlook","Domain")))</f>
        <v/>
      </c>
      <c r="F1673">
        <f>IF(B1673="","",IFERROR(RIGHT(B1673,LEN(B1673)-FIND("@",B1673)),""))</f>
        <v/>
      </c>
      <c r="G1673">
        <f>IF(D1673="KEEP",COUNTIF($D$2:D1673,"KEEP"),"")</f>
        <v/>
      </c>
      <c r="H1673">
        <f>IF(D1673="REMOVE",COUNTIF($D$2:D1673,"REMOVE"),"")</f>
        <v/>
      </c>
      <c r="I1673">
        <f>IF(E1673="Gmail",COUNTIF($E$2:E1673,"Gmail"),"")</f>
        <v/>
      </c>
      <c r="J1673">
        <f>IF(E1673="Outlook",COUNTIF($E$2:E1673,"Outlook"),"")</f>
        <v/>
      </c>
      <c r="K1673">
        <f>IF(E1673="Domain",COUNTIF($E$2:E1673,"Domain"),"")</f>
        <v/>
      </c>
    </row>
    <row r="1674">
      <c r="A1674" s="2" t="n"/>
      <c r="B1674">
        <f>LOWER(TRIM(A1674))</f>
        <v/>
      </c>
      <c r="C1674">
        <f>IF(B1674="","",IFERROR(INDEX('Bad Patterns'!$A$2:$A$120,MATCH(1,INDEX(--ISNUMBER(SEARCH('Bad Patterns'!$A$2:$A$120,B1674)),0),0)),""))</f>
        <v/>
      </c>
      <c r="D1674">
        <f>IF(B1674="","",IF(C1674&lt;&gt;"","REMOVE","KEEP"))</f>
        <v/>
      </c>
      <c r="E1674">
        <f>IF(D1674&lt;&gt;"KEEP","",IF(RIGHT(B1674,10)="@gmail.com","Gmail",IF(OR(RIGHT(B1674,12)="@outlook.com",RIGHT(B1674,12)="@hotmail.com",RIGHT(B1674,9)="@live.com"),"Outlook","Domain")))</f>
        <v/>
      </c>
      <c r="F1674">
        <f>IF(B1674="","",IFERROR(RIGHT(B1674,LEN(B1674)-FIND("@",B1674)),""))</f>
        <v/>
      </c>
      <c r="G1674">
        <f>IF(D1674="KEEP",COUNTIF($D$2:D1674,"KEEP"),"")</f>
        <v/>
      </c>
      <c r="H1674">
        <f>IF(D1674="REMOVE",COUNTIF($D$2:D1674,"REMOVE"),"")</f>
        <v/>
      </c>
      <c r="I1674">
        <f>IF(E1674="Gmail",COUNTIF($E$2:E1674,"Gmail"),"")</f>
        <v/>
      </c>
      <c r="J1674">
        <f>IF(E1674="Outlook",COUNTIF($E$2:E1674,"Outlook"),"")</f>
        <v/>
      </c>
      <c r="K1674">
        <f>IF(E1674="Domain",COUNTIF($E$2:E1674,"Domain"),"")</f>
        <v/>
      </c>
    </row>
    <row r="1675">
      <c r="A1675" s="2" t="n"/>
      <c r="B1675">
        <f>LOWER(TRIM(A1675))</f>
        <v/>
      </c>
      <c r="C1675">
        <f>IF(B1675="","",IFERROR(INDEX('Bad Patterns'!$A$2:$A$120,MATCH(1,INDEX(--ISNUMBER(SEARCH('Bad Patterns'!$A$2:$A$120,B1675)),0),0)),""))</f>
        <v/>
      </c>
      <c r="D1675">
        <f>IF(B1675="","",IF(C1675&lt;&gt;"","REMOVE","KEEP"))</f>
        <v/>
      </c>
      <c r="E1675">
        <f>IF(D1675&lt;&gt;"KEEP","",IF(RIGHT(B1675,10)="@gmail.com","Gmail",IF(OR(RIGHT(B1675,12)="@outlook.com",RIGHT(B1675,12)="@hotmail.com",RIGHT(B1675,9)="@live.com"),"Outlook","Domain")))</f>
        <v/>
      </c>
      <c r="F1675">
        <f>IF(B1675="","",IFERROR(RIGHT(B1675,LEN(B1675)-FIND("@",B1675)),""))</f>
        <v/>
      </c>
      <c r="G1675">
        <f>IF(D1675="KEEP",COUNTIF($D$2:D1675,"KEEP"),"")</f>
        <v/>
      </c>
      <c r="H1675">
        <f>IF(D1675="REMOVE",COUNTIF($D$2:D1675,"REMOVE"),"")</f>
        <v/>
      </c>
      <c r="I1675">
        <f>IF(E1675="Gmail",COUNTIF($E$2:E1675,"Gmail"),"")</f>
        <v/>
      </c>
      <c r="J1675">
        <f>IF(E1675="Outlook",COUNTIF($E$2:E1675,"Outlook"),"")</f>
        <v/>
      </c>
      <c r="K1675">
        <f>IF(E1675="Domain",COUNTIF($E$2:E1675,"Domain"),"")</f>
        <v/>
      </c>
    </row>
    <row r="1676">
      <c r="A1676" s="2" t="n"/>
      <c r="B1676">
        <f>LOWER(TRIM(A1676))</f>
        <v/>
      </c>
      <c r="C1676">
        <f>IF(B1676="","",IFERROR(INDEX('Bad Patterns'!$A$2:$A$120,MATCH(1,INDEX(--ISNUMBER(SEARCH('Bad Patterns'!$A$2:$A$120,B1676)),0),0)),""))</f>
        <v/>
      </c>
      <c r="D1676">
        <f>IF(B1676="","",IF(C1676&lt;&gt;"","REMOVE","KEEP"))</f>
        <v/>
      </c>
      <c r="E1676">
        <f>IF(D1676&lt;&gt;"KEEP","",IF(RIGHT(B1676,10)="@gmail.com","Gmail",IF(OR(RIGHT(B1676,12)="@outlook.com",RIGHT(B1676,12)="@hotmail.com",RIGHT(B1676,9)="@live.com"),"Outlook","Domain")))</f>
        <v/>
      </c>
      <c r="F1676">
        <f>IF(B1676="","",IFERROR(RIGHT(B1676,LEN(B1676)-FIND("@",B1676)),""))</f>
        <v/>
      </c>
      <c r="G1676">
        <f>IF(D1676="KEEP",COUNTIF($D$2:D1676,"KEEP"),"")</f>
        <v/>
      </c>
      <c r="H1676">
        <f>IF(D1676="REMOVE",COUNTIF($D$2:D1676,"REMOVE"),"")</f>
        <v/>
      </c>
      <c r="I1676">
        <f>IF(E1676="Gmail",COUNTIF($E$2:E1676,"Gmail"),"")</f>
        <v/>
      </c>
      <c r="J1676">
        <f>IF(E1676="Outlook",COUNTIF($E$2:E1676,"Outlook"),"")</f>
        <v/>
      </c>
      <c r="K1676">
        <f>IF(E1676="Domain",COUNTIF($E$2:E1676,"Domain"),"")</f>
        <v/>
      </c>
    </row>
    <row r="1677">
      <c r="A1677" s="2" t="n"/>
      <c r="B1677">
        <f>LOWER(TRIM(A1677))</f>
        <v/>
      </c>
      <c r="C1677">
        <f>IF(B1677="","",IFERROR(INDEX('Bad Patterns'!$A$2:$A$120,MATCH(1,INDEX(--ISNUMBER(SEARCH('Bad Patterns'!$A$2:$A$120,B1677)),0),0)),""))</f>
        <v/>
      </c>
      <c r="D1677">
        <f>IF(B1677="","",IF(C1677&lt;&gt;"","REMOVE","KEEP"))</f>
        <v/>
      </c>
      <c r="E1677">
        <f>IF(D1677&lt;&gt;"KEEP","",IF(RIGHT(B1677,10)="@gmail.com","Gmail",IF(OR(RIGHT(B1677,12)="@outlook.com",RIGHT(B1677,12)="@hotmail.com",RIGHT(B1677,9)="@live.com"),"Outlook","Domain")))</f>
        <v/>
      </c>
      <c r="F1677">
        <f>IF(B1677="","",IFERROR(RIGHT(B1677,LEN(B1677)-FIND("@",B1677)),""))</f>
        <v/>
      </c>
      <c r="G1677">
        <f>IF(D1677="KEEP",COUNTIF($D$2:D1677,"KEEP"),"")</f>
        <v/>
      </c>
      <c r="H1677">
        <f>IF(D1677="REMOVE",COUNTIF($D$2:D1677,"REMOVE"),"")</f>
        <v/>
      </c>
      <c r="I1677">
        <f>IF(E1677="Gmail",COUNTIF($E$2:E1677,"Gmail"),"")</f>
        <v/>
      </c>
      <c r="J1677">
        <f>IF(E1677="Outlook",COUNTIF($E$2:E1677,"Outlook"),"")</f>
        <v/>
      </c>
      <c r="K1677">
        <f>IF(E1677="Domain",COUNTIF($E$2:E1677,"Domain"),"")</f>
        <v/>
      </c>
    </row>
    <row r="1678">
      <c r="A1678" s="2" t="n"/>
      <c r="B1678">
        <f>LOWER(TRIM(A1678))</f>
        <v/>
      </c>
      <c r="C1678">
        <f>IF(B1678="","",IFERROR(INDEX('Bad Patterns'!$A$2:$A$120,MATCH(1,INDEX(--ISNUMBER(SEARCH('Bad Patterns'!$A$2:$A$120,B1678)),0),0)),""))</f>
        <v/>
      </c>
      <c r="D1678">
        <f>IF(B1678="","",IF(C1678&lt;&gt;"","REMOVE","KEEP"))</f>
        <v/>
      </c>
      <c r="E1678">
        <f>IF(D1678&lt;&gt;"KEEP","",IF(RIGHT(B1678,10)="@gmail.com","Gmail",IF(OR(RIGHT(B1678,12)="@outlook.com",RIGHT(B1678,12)="@hotmail.com",RIGHT(B1678,9)="@live.com"),"Outlook","Domain")))</f>
        <v/>
      </c>
      <c r="F1678">
        <f>IF(B1678="","",IFERROR(RIGHT(B1678,LEN(B1678)-FIND("@",B1678)),""))</f>
        <v/>
      </c>
      <c r="G1678">
        <f>IF(D1678="KEEP",COUNTIF($D$2:D1678,"KEEP"),"")</f>
        <v/>
      </c>
      <c r="H1678">
        <f>IF(D1678="REMOVE",COUNTIF($D$2:D1678,"REMOVE"),"")</f>
        <v/>
      </c>
      <c r="I1678">
        <f>IF(E1678="Gmail",COUNTIF($E$2:E1678,"Gmail"),"")</f>
        <v/>
      </c>
      <c r="J1678">
        <f>IF(E1678="Outlook",COUNTIF($E$2:E1678,"Outlook"),"")</f>
        <v/>
      </c>
      <c r="K1678">
        <f>IF(E1678="Domain",COUNTIF($E$2:E1678,"Domain"),"")</f>
        <v/>
      </c>
    </row>
    <row r="1679">
      <c r="A1679" s="2" t="n"/>
      <c r="B1679">
        <f>LOWER(TRIM(A1679))</f>
        <v/>
      </c>
      <c r="C1679">
        <f>IF(B1679="","",IFERROR(INDEX('Bad Patterns'!$A$2:$A$120,MATCH(1,INDEX(--ISNUMBER(SEARCH('Bad Patterns'!$A$2:$A$120,B1679)),0),0)),""))</f>
        <v/>
      </c>
      <c r="D1679">
        <f>IF(B1679="","",IF(C1679&lt;&gt;"","REMOVE","KEEP"))</f>
        <v/>
      </c>
      <c r="E1679">
        <f>IF(D1679&lt;&gt;"KEEP","",IF(RIGHT(B1679,10)="@gmail.com","Gmail",IF(OR(RIGHT(B1679,12)="@outlook.com",RIGHT(B1679,12)="@hotmail.com",RIGHT(B1679,9)="@live.com"),"Outlook","Domain")))</f>
        <v/>
      </c>
      <c r="F1679">
        <f>IF(B1679="","",IFERROR(RIGHT(B1679,LEN(B1679)-FIND("@",B1679)),""))</f>
        <v/>
      </c>
      <c r="G1679">
        <f>IF(D1679="KEEP",COUNTIF($D$2:D1679,"KEEP"),"")</f>
        <v/>
      </c>
      <c r="H1679">
        <f>IF(D1679="REMOVE",COUNTIF($D$2:D1679,"REMOVE"),"")</f>
        <v/>
      </c>
      <c r="I1679">
        <f>IF(E1679="Gmail",COUNTIF($E$2:E1679,"Gmail"),"")</f>
        <v/>
      </c>
      <c r="J1679">
        <f>IF(E1679="Outlook",COUNTIF($E$2:E1679,"Outlook"),"")</f>
        <v/>
      </c>
      <c r="K1679">
        <f>IF(E1679="Domain",COUNTIF($E$2:E1679,"Domain"),"")</f>
        <v/>
      </c>
    </row>
    <row r="1680">
      <c r="A1680" s="2" t="n"/>
      <c r="B1680">
        <f>LOWER(TRIM(A1680))</f>
        <v/>
      </c>
      <c r="C1680">
        <f>IF(B1680="","",IFERROR(INDEX('Bad Patterns'!$A$2:$A$120,MATCH(1,INDEX(--ISNUMBER(SEARCH('Bad Patterns'!$A$2:$A$120,B1680)),0),0)),""))</f>
        <v/>
      </c>
      <c r="D1680">
        <f>IF(B1680="","",IF(C1680&lt;&gt;"","REMOVE","KEEP"))</f>
        <v/>
      </c>
      <c r="E1680">
        <f>IF(D1680&lt;&gt;"KEEP","",IF(RIGHT(B1680,10)="@gmail.com","Gmail",IF(OR(RIGHT(B1680,12)="@outlook.com",RIGHT(B1680,12)="@hotmail.com",RIGHT(B1680,9)="@live.com"),"Outlook","Domain")))</f>
        <v/>
      </c>
      <c r="F1680">
        <f>IF(B1680="","",IFERROR(RIGHT(B1680,LEN(B1680)-FIND("@",B1680)),""))</f>
        <v/>
      </c>
      <c r="G1680">
        <f>IF(D1680="KEEP",COUNTIF($D$2:D1680,"KEEP"),"")</f>
        <v/>
      </c>
      <c r="H1680">
        <f>IF(D1680="REMOVE",COUNTIF($D$2:D1680,"REMOVE"),"")</f>
        <v/>
      </c>
      <c r="I1680">
        <f>IF(E1680="Gmail",COUNTIF($E$2:E1680,"Gmail"),"")</f>
        <v/>
      </c>
      <c r="J1680">
        <f>IF(E1680="Outlook",COUNTIF($E$2:E1680,"Outlook"),"")</f>
        <v/>
      </c>
      <c r="K1680">
        <f>IF(E1680="Domain",COUNTIF($E$2:E1680,"Domain"),"")</f>
        <v/>
      </c>
    </row>
    <row r="1681">
      <c r="A1681" s="2" t="n"/>
      <c r="B1681">
        <f>LOWER(TRIM(A1681))</f>
        <v/>
      </c>
      <c r="C1681">
        <f>IF(B1681="","",IFERROR(INDEX('Bad Patterns'!$A$2:$A$120,MATCH(1,INDEX(--ISNUMBER(SEARCH('Bad Patterns'!$A$2:$A$120,B1681)),0),0)),""))</f>
        <v/>
      </c>
      <c r="D1681">
        <f>IF(B1681="","",IF(C1681&lt;&gt;"","REMOVE","KEEP"))</f>
        <v/>
      </c>
      <c r="E1681">
        <f>IF(D1681&lt;&gt;"KEEP","",IF(RIGHT(B1681,10)="@gmail.com","Gmail",IF(OR(RIGHT(B1681,12)="@outlook.com",RIGHT(B1681,12)="@hotmail.com",RIGHT(B1681,9)="@live.com"),"Outlook","Domain")))</f>
        <v/>
      </c>
      <c r="F1681">
        <f>IF(B1681="","",IFERROR(RIGHT(B1681,LEN(B1681)-FIND("@",B1681)),""))</f>
        <v/>
      </c>
      <c r="G1681">
        <f>IF(D1681="KEEP",COUNTIF($D$2:D1681,"KEEP"),"")</f>
        <v/>
      </c>
      <c r="H1681">
        <f>IF(D1681="REMOVE",COUNTIF($D$2:D1681,"REMOVE"),"")</f>
        <v/>
      </c>
      <c r="I1681">
        <f>IF(E1681="Gmail",COUNTIF($E$2:E1681,"Gmail"),"")</f>
        <v/>
      </c>
      <c r="J1681">
        <f>IF(E1681="Outlook",COUNTIF($E$2:E1681,"Outlook"),"")</f>
        <v/>
      </c>
      <c r="K1681">
        <f>IF(E1681="Domain",COUNTIF($E$2:E1681,"Domain"),"")</f>
        <v/>
      </c>
    </row>
    <row r="1682">
      <c r="A1682" s="2" t="n"/>
      <c r="B1682">
        <f>LOWER(TRIM(A1682))</f>
        <v/>
      </c>
      <c r="C1682">
        <f>IF(B1682="","",IFERROR(INDEX('Bad Patterns'!$A$2:$A$120,MATCH(1,INDEX(--ISNUMBER(SEARCH('Bad Patterns'!$A$2:$A$120,B1682)),0),0)),""))</f>
        <v/>
      </c>
      <c r="D1682">
        <f>IF(B1682="","",IF(C1682&lt;&gt;"","REMOVE","KEEP"))</f>
        <v/>
      </c>
      <c r="E1682">
        <f>IF(D1682&lt;&gt;"KEEP","",IF(RIGHT(B1682,10)="@gmail.com","Gmail",IF(OR(RIGHT(B1682,12)="@outlook.com",RIGHT(B1682,12)="@hotmail.com",RIGHT(B1682,9)="@live.com"),"Outlook","Domain")))</f>
        <v/>
      </c>
      <c r="F1682">
        <f>IF(B1682="","",IFERROR(RIGHT(B1682,LEN(B1682)-FIND("@",B1682)),""))</f>
        <v/>
      </c>
      <c r="G1682">
        <f>IF(D1682="KEEP",COUNTIF($D$2:D1682,"KEEP"),"")</f>
        <v/>
      </c>
      <c r="H1682">
        <f>IF(D1682="REMOVE",COUNTIF($D$2:D1682,"REMOVE"),"")</f>
        <v/>
      </c>
      <c r="I1682">
        <f>IF(E1682="Gmail",COUNTIF($E$2:E1682,"Gmail"),"")</f>
        <v/>
      </c>
      <c r="J1682">
        <f>IF(E1682="Outlook",COUNTIF($E$2:E1682,"Outlook"),"")</f>
        <v/>
      </c>
      <c r="K1682">
        <f>IF(E1682="Domain",COUNTIF($E$2:E1682,"Domain"),"")</f>
        <v/>
      </c>
    </row>
    <row r="1683">
      <c r="A1683" s="2" t="n"/>
      <c r="B1683">
        <f>LOWER(TRIM(A1683))</f>
        <v/>
      </c>
      <c r="C1683">
        <f>IF(B1683="","",IFERROR(INDEX('Bad Patterns'!$A$2:$A$120,MATCH(1,INDEX(--ISNUMBER(SEARCH('Bad Patterns'!$A$2:$A$120,B1683)),0),0)),""))</f>
        <v/>
      </c>
      <c r="D1683">
        <f>IF(B1683="","",IF(C1683&lt;&gt;"","REMOVE","KEEP"))</f>
        <v/>
      </c>
      <c r="E1683">
        <f>IF(D1683&lt;&gt;"KEEP","",IF(RIGHT(B1683,10)="@gmail.com","Gmail",IF(OR(RIGHT(B1683,12)="@outlook.com",RIGHT(B1683,12)="@hotmail.com",RIGHT(B1683,9)="@live.com"),"Outlook","Domain")))</f>
        <v/>
      </c>
      <c r="F1683">
        <f>IF(B1683="","",IFERROR(RIGHT(B1683,LEN(B1683)-FIND("@",B1683)),""))</f>
        <v/>
      </c>
      <c r="G1683">
        <f>IF(D1683="KEEP",COUNTIF($D$2:D1683,"KEEP"),"")</f>
        <v/>
      </c>
      <c r="H1683">
        <f>IF(D1683="REMOVE",COUNTIF($D$2:D1683,"REMOVE"),"")</f>
        <v/>
      </c>
      <c r="I1683">
        <f>IF(E1683="Gmail",COUNTIF($E$2:E1683,"Gmail"),"")</f>
        <v/>
      </c>
      <c r="J1683">
        <f>IF(E1683="Outlook",COUNTIF($E$2:E1683,"Outlook"),"")</f>
        <v/>
      </c>
      <c r="K1683">
        <f>IF(E1683="Domain",COUNTIF($E$2:E1683,"Domain"),"")</f>
        <v/>
      </c>
    </row>
    <row r="1684">
      <c r="A1684" s="2" t="n"/>
      <c r="B1684">
        <f>LOWER(TRIM(A1684))</f>
        <v/>
      </c>
      <c r="C1684">
        <f>IF(B1684="","",IFERROR(INDEX('Bad Patterns'!$A$2:$A$120,MATCH(1,INDEX(--ISNUMBER(SEARCH('Bad Patterns'!$A$2:$A$120,B1684)),0),0)),""))</f>
        <v/>
      </c>
      <c r="D1684">
        <f>IF(B1684="","",IF(C1684&lt;&gt;"","REMOVE","KEEP"))</f>
        <v/>
      </c>
      <c r="E1684">
        <f>IF(D1684&lt;&gt;"KEEP","",IF(RIGHT(B1684,10)="@gmail.com","Gmail",IF(OR(RIGHT(B1684,12)="@outlook.com",RIGHT(B1684,12)="@hotmail.com",RIGHT(B1684,9)="@live.com"),"Outlook","Domain")))</f>
        <v/>
      </c>
      <c r="F1684">
        <f>IF(B1684="","",IFERROR(RIGHT(B1684,LEN(B1684)-FIND("@",B1684)),""))</f>
        <v/>
      </c>
      <c r="G1684">
        <f>IF(D1684="KEEP",COUNTIF($D$2:D1684,"KEEP"),"")</f>
        <v/>
      </c>
      <c r="H1684">
        <f>IF(D1684="REMOVE",COUNTIF($D$2:D1684,"REMOVE"),"")</f>
        <v/>
      </c>
      <c r="I1684">
        <f>IF(E1684="Gmail",COUNTIF($E$2:E1684,"Gmail"),"")</f>
        <v/>
      </c>
      <c r="J1684">
        <f>IF(E1684="Outlook",COUNTIF($E$2:E1684,"Outlook"),"")</f>
        <v/>
      </c>
      <c r="K1684">
        <f>IF(E1684="Domain",COUNTIF($E$2:E1684,"Domain"),"")</f>
        <v/>
      </c>
    </row>
    <row r="1685">
      <c r="A1685" s="2" t="n"/>
      <c r="B1685">
        <f>LOWER(TRIM(A1685))</f>
        <v/>
      </c>
      <c r="C1685">
        <f>IF(B1685="","",IFERROR(INDEX('Bad Patterns'!$A$2:$A$120,MATCH(1,INDEX(--ISNUMBER(SEARCH('Bad Patterns'!$A$2:$A$120,B1685)),0),0)),""))</f>
        <v/>
      </c>
      <c r="D1685">
        <f>IF(B1685="","",IF(C1685&lt;&gt;"","REMOVE","KEEP"))</f>
        <v/>
      </c>
      <c r="E1685">
        <f>IF(D1685&lt;&gt;"KEEP","",IF(RIGHT(B1685,10)="@gmail.com","Gmail",IF(OR(RIGHT(B1685,12)="@outlook.com",RIGHT(B1685,12)="@hotmail.com",RIGHT(B1685,9)="@live.com"),"Outlook","Domain")))</f>
        <v/>
      </c>
      <c r="F1685">
        <f>IF(B1685="","",IFERROR(RIGHT(B1685,LEN(B1685)-FIND("@",B1685)),""))</f>
        <v/>
      </c>
      <c r="G1685">
        <f>IF(D1685="KEEP",COUNTIF($D$2:D1685,"KEEP"),"")</f>
        <v/>
      </c>
      <c r="H1685">
        <f>IF(D1685="REMOVE",COUNTIF($D$2:D1685,"REMOVE"),"")</f>
        <v/>
      </c>
      <c r="I1685">
        <f>IF(E1685="Gmail",COUNTIF($E$2:E1685,"Gmail"),"")</f>
        <v/>
      </c>
      <c r="J1685">
        <f>IF(E1685="Outlook",COUNTIF($E$2:E1685,"Outlook"),"")</f>
        <v/>
      </c>
      <c r="K1685">
        <f>IF(E1685="Domain",COUNTIF($E$2:E1685,"Domain"),"")</f>
        <v/>
      </c>
    </row>
    <row r="1686">
      <c r="A1686" s="2" t="n"/>
      <c r="B1686">
        <f>LOWER(TRIM(A1686))</f>
        <v/>
      </c>
      <c r="C1686">
        <f>IF(B1686="","",IFERROR(INDEX('Bad Patterns'!$A$2:$A$120,MATCH(1,INDEX(--ISNUMBER(SEARCH('Bad Patterns'!$A$2:$A$120,B1686)),0),0)),""))</f>
        <v/>
      </c>
      <c r="D1686">
        <f>IF(B1686="","",IF(C1686&lt;&gt;"","REMOVE","KEEP"))</f>
        <v/>
      </c>
      <c r="E1686">
        <f>IF(D1686&lt;&gt;"KEEP","",IF(RIGHT(B1686,10)="@gmail.com","Gmail",IF(OR(RIGHT(B1686,12)="@outlook.com",RIGHT(B1686,12)="@hotmail.com",RIGHT(B1686,9)="@live.com"),"Outlook","Domain")))</f>
        <v/>
      </c>
      <c r="F1686">
        <f>IF(B1686="","",IFERROR(RIGHT(B1686,LEN(B1686)-FIND("@",B1686)),""))</f>
        <v/>
      </c>
      <c r="G1686">
        <f>IF(D1686="KEEP",COUNTIF($D$2:D1686,"KEEP"),"")</f>
        <v/>
      </c>
      <c r="H1686">
        <f>IF(D1686="REMOVE",COUNTIF($D$2:D1686,"REMOVE"),"")</f>
        <v/>
      </c>
      <c r="I1686">
        <f>IF(E1686="Gmail",COUNTIF($E$2:E1686,"Gmail"),"")</f>
        <v/>
      </c>
      <c r="J1686">
        <f>IF(E1686="Outlook",COUNTIF($E$2:E1686,"Outlook"),"")</f>
        <v/>
      </c>
      <c r="K1686">
        <f>IF(E1686="Domain",COUNTIF($E$2:E1686,"Domain"),"")</f>
        <v/>
      </c>
    </row>
    <row r="1687">
      <c r="A1687" s="2" t="n"/>
      <c r="B1687">
        <f>LOWER(TRIM(A1687))</f>
        <v/>
      </c>
      <c r="C1687">
        <f>IF(B1687="","",IFERROR(INDEX('Bad Patterns'!$A$2:$A$120,MATCH(1,INDEX(--ISNUMBER(SEARCH('Bad Patterns'!$A$2:$A$120,B1687)),0),0)),""))</f>
        <v/>
      </c>
      <c r="D1687">
        <f>IF(B1687="","",IF(C1687&lt;&gt;"","REMOVE","KEEP"))</f>
        <v/>
      </c>
      <c r="E1687">
        <f>IF(D1687&lt;&gt;"KEEP","",IF(RIGHT(B1687,10)="@gmail.com","Gmail",IF(OR(RIGHT(B1687,12)="@outlook.com",RIGHT(B1687,12)="@hotmail.com",RIGHT(B1687,9)="@live.com"),"Outlook","Domain")))</f>
        <v/>
      </c>
      <c r="F1687">
        <f>IF(B1687="","",IFERROR(RIGHT(B1687,LEN(B1687)-FIND("@",B1687)),""))</f>
        <v/>
      </c>
      <c r="G1687">
        <f>IF(D1687="KEEP",COUNTIF($D$2:D1687,"KEEP"),"")</f>
        <v/>
      </c>
      <c r="H1687">
        <f>IF(D1687="REMOVE",COUNTIF($D$2:D1687,"REMOVE"),"")</f>
        <v/>
      </c>
      <c r="I1687">
        <f>IF(E1687="Gmail",COUNTIF($E$2:E1687,"Gmail"),"")</f>
        <v/>
      </c>
      <c r="J1687">
        <f>IF(E1687="Outlook",COUNTIF($E$2:E1687,"Outlook"),"")</f>
        <v/>
      </c>
      <c r="K1687">
        <f>IF(E1687="Domain",COUNTIF($E$2:E1687,"Domain"),"")</f>
        <v/>
      </c>
    </row>
    <row r="1688">
      <c r="A1688" s="2" t="n"/>
      <c r="B1688">
        <f>LOWER(TRIM(A1688))</f>
        <v/>
      </c>
      <c r="C1688">
        <f>IF(B1688="","",IFERROR(INDEX('Bad Patterns'!$A$2:$A$120,MATCH(1,INDEX(--ISNUMBER(SEARCH('Bad Patterns'!$A$2:$A$120,B1688)),0),0)),""))</f>
        <v/>
      </c>
      <c r="D1688">
        <f>IF(B1688="","",IF(C1688&lt;&gt;"","REMOVE","KEEP"))</f>
        <v/>
      </c>
      <c r="E1688">
        <f>IF(D1688&lt;&gt;"KEEP","",IF(RIGHT(B1688,10)="@gmail.com","Gmail",IF(OR(RIGHT(B1688,12)="@outlook.com",RIGHT(B1688,12)="@hotmail.com",RIGHT(B1688,9)="@live.com"),"Outlook","Domain")))</f>
        <v/>
      </c>
      <c r="F1688">
        <f>IF(B1688="","",IFERROR(RIGHT(B1688,LEN(B1688)-FIND("@",B1688)),""))</f>
        <v/>
      </c>
      <c r="G1688">
        <f>IF(D1688="KEEP",COUNTIF($D$2:D1688,"KEEP"),"")</f>
        <v/>
      </c>
      <c r="H1688">
        <f>IF(D1688="REMOVE",COUNTIF($D$2:D1688,"REMOVE"),"")</f>
        <v/>
      </c>
      <c r="I1688">
        <f>IF(E1688="Gmail",COUNTIF($E$2:E1688,"Gmail"),"")</f>
        <v/>
      </c>
      <c r="J1688">
        <f>IF(E1688="Outlook",COUNTIF($E$2:E1688,"Outlook"),"")</f>
        <v/>
      </c>
      <c r="K1688">
        <f>IF(E1688="Domain",COUNTIF($E$2:E1688,"Domain"),"")</f>
        <v/>
      </c>
    </row>
    <row r="1689">
      <c r="A1689" s="2" t="n"/>
      <c r="B1689">
        <f>LOWER(TRIM(A1689))</f>
        <v/>
      </c>
      <c r="C1689">
        <f>IF(B1689="","",IFERROR(INDEX('Bad Patterns'!$A$2:$A$120,MATCH(1,INDEX(--ISNUMBER(SEARCH('Bad Patterns'!$A$2:$A$120,B1689)),0),0)),""))</f>
        <v/>
      </c>
      <c r="D1689">
        <f>IF(B1689="","",IF(C1689&lt;&gt;"","REMOVE","KEEP"))</f>
        <v/>
      </c>
      <c r="E1689">
        <f>IF(D1689&lt;&gt;"KEEP","",IF(RIGHT(B1689,10)="@gmail.com","Gmail",IF(OR(RIGHT(B1689,12)="@outlook.com",RIGHT(B1689,12)="@hotmail.com",RIGHT(B1689,9)="@live.com"),"Outlook","Domain")))</f>
        <v/>
      </c>
      <c r="F1689">
        <f>IF(B1689="","",IFERROR(RIGHT(B1689,LEN(B1689)-FIND("@",B1689)),""))</f>
        <v/>
      </c>
      <c r="G1689">
        <f>IF(D1689="KEEP",COUNTIF($D$2:D1689,"KEEP"),"")</f>
        <v/>
      </c>
      <c r="H1689">
        <f>IF(D1689="REMOVE",COUNTIF($D$2:D1689,"REMOVE"),"")</f>
        <v/>
      </c>
      <c r="I1689">
        <f>IF(E1689="Gmail",COUNTIF($E$2:E1689,"Gmail"),"")</f>
        <v/>
      </c>
      <c r="J1689">
        <f>IF(E1689="Outlook",COUNTIF($E$2:E1689,"Outlook"),"")</f>
        <v/>
      </c>
      <c r="K1689">
        <f>IF(E1689="Domain",COUNTIF($E$2:E1689,"Domain"),"")</f>
        <v/>
      </c>
    </row>
    <row r="1690">
      <c r="A1690" s="2" t="n"/>
      <c r="B1690">
        <f>LOWER(TRIM(A1690))</f>
        <v/>
      </c>
      <c r="C1690">
        <f>IF(B1690="","",IFERROR(INDEX('Bad Patterns'!$A$2:$A$120,MATCH(1,INDEX(--ISNUMBER(SEARCH('Bad Patterns'!$A$2:$A$120,B1690)),0),0)),""))</f>
        <v/>
      </c>
      <c r="D1690">
        <f>IF(B1690="","",IF(C1690&lt;&gt;"","REMOVE","KEEP"))</f>
        <v/>
      </c>
      <c r="E1690">
        <f>IF(D1690&lt;&gt;"KEEP","",IF(RIGHT(B1690,10)="@gmail.com","Gmail",IF(OR(RIGHT(B1690,12)="@outlook.com",RIGHT(B1690,12)="@hotmail.com",RIGHT(B1690,9)="@live.com"),"Outlook","Domain")))</f>
        <v/>
      </c>
      <c r="F1690">
        <f>IF(B1690="","",IFERROR(RIGHT(B1690,LEN(B1690)-FIND("@",B1690)),""))</f>
        <v/>
      </c>
      <c r="G1690">
        <f>IF(D1690="KEEP",COUNTIF($D$2:D1690,"KEEP"),"")</f>
        <v/>
      </c>
      <c r="H1690">
        <f>IF(D1690="REMOVE",COUNTIF($D$2:D1690,"REMOVE"),"")</f>
        <v/>
      </c>
      <c r="I1690">
        <f>IF(E1690="Gmail",COUNTIF($E$2:E1690,"Gmail"),"")</f>
        <v/>
      </c>
      <c r="J1690">
        <f>IF(E1690="Outlook",COUNTIF($E$2:E1690,"Outlook"),"")</f>
        <v/>
      </c>
      <c r="K1690">
        <f>IF(E1690="Domain",COUNTIF($E$2:E1690,"Domain"),"")</f>
        <v/>
      </c>
    </row>
    <row r="1691">
      <c r="A1691" s="2" t="n"/>
      <c r="B1691">
        <f>LOWER(TRIM(A1691))</f>
        <v/>
      </c>
      <c r="C1691">
        <f>IF(B1691="","",IFERROR(INDEX('Bad Patterns'!$A$2:$A$120,MATCH(1,INDEX(--ISNUMBER(SEARCH('Bad Patterns'!$A$2:$A$120,B1691)),0),0)),""))</f>
        <v/>
      </c>
      <c r="D1691">
        <f>IF(B1691="","",IF(C1691&lt;&gt;"","REMOVE","KEEP"))</f>
        <v/>
      </c>
      <c r="E1691">
        <f>IF(D1691&lt;&gt;"KEEP","",IF(RIGHT(B1691,10)="@gmail.com","Gmail",IF(OR(RIGHT(B1691,12)="@outlook.com",RIGHT(B1691,12)="@hotmail.com",RIGHT(B1691,9)="@live.com"),"Outlook","Domain")))</f>
        <v/>
      </c>
      <c r="F1691">
        <f>IF(B1691="","",IFERROR(RIGHT(B1691,LEN(B1691)-FIND("@",B1691)),""))</f>
        <v/>
      </c>
      <c r="G1691">
        <f>IF(D1691="KEEP",COUNTIF($D$2:D1691,"KEEP"),"")</f>
        <v/>
      </c>
      <c r="H1691">
        <f>IF(D1691="REMOVE",COUNTIF($D$2:D1691,"REMOVE"),"")</f>
        <v/>
      </c>
      <c r="I1691">
        <f>IF(E1691="Gmail",COUNTIF($E$2:E1691,"Gmail"),"")</f>
        <v/>
      </c>
      <c r="J1691">
        <f>IF(E1691="Outlook",COUNTIF($E$2:E1691,"Outlook"),"")</f>
        <v/>
      </c>
      <c r="K1691">
        <f>IF(E1691="Domain",COUNTIF($E$2:E1691,"Domain"),"")</f>
        <v/>
      </c>
    </row>
    <row r="1692">
      <c r="A1692" s="2" t="n"/>
      <c r="B1692">
        <f>LOWER(TRIM(A1692))</f>
        <v/>
      </c>
      <c r="C1692">
        <f>IF(B1692="","",IFERROR(INDEX('Bad Patterns'!$A$2:$A$120,MATCH(1,INDEX(--ISNUMBER(SEARCH('Bad Patterns'!$A$2:$A$120,B1692)),0),0)),""))</f>
        <v/>
      </c>
      <c r="D1692">
        <f>IF(B1692="","",IF(C1692&lt;&gt;"","REMOVE","KEEP"))</f>
        <v/>
      </c>
      <c r="E1692">
        <f>IF(D1692&lt;&gt;"KEEP","",IF(RIGHT(B1692,10)="@gmail.com","Gmail",IF(OR(RIGHT(B1692,12)="@outlook.com",RIGHT(B1692,12)="@hotmail.com",RIGHT(B1692,9)="@live.com"),"Outlook","Domain")))</f>
        <v/>
      </c>
      <c r="F1692">
        <f>IF(B1692="","",IFERROR(RIGHT(B1692,LEN(B1692)-FIND("@",B1692)),""))</f>
        <v/>
      </c>
      <c r="G1692">
        <f>IF(D1692="KEEP",COUNTIF($D$2:D1692,"KEEP"),"")</f>
        <v/>
      </c>
      <c r="H1692">
        <f>IF(D1692="REMOVE",COUNTIF($D$2:D1692,"REMOVE"),"")</f>
        <v/>
      </c>
      <c r="I1692">
        <f>IF(E1692="Gmail",COUNTIF($E$2:E1692,"Gmail"),"")</f>
        <v/>
      </c>
      <c r="J1692">
        <f>IF(E1692="Outlook",COUNTIF($E$2:E1692,"Outlook"),"")</f>
        <v/>
      </c>
      <c r="K1692">
        <f>IF(E1692="Domain",COUNTIF($E$2:E1692,"Domain"),"")</f>
        <v/>
      </c>
    </row>
    <row r="1693">
      <c r="A1693" s="2" t="n"/>
      <c r="B1693">
        <f>LOWER(TRIM(A1693))</f>
        <v/>
      </c>
      <c r="C1693">
        <f>IF(B1693="","",IFERROR(INDEX('Bad Patterns'!$A$2:$A$120,MATCH(1,INDEX(--ISNUMBER(SEARCH('Bad Patterns'!$A$2:$A$120,B1693)),0),0)),""))</f>
        <v/>
      </c>
      <c r="D1693">
        <f>IF(B1693="","",IF(C1693&lt;&gt;"","REMOVE","KEEP"))</f>
        <v/>
      </c>
      <c r="E1693">
        <f>IF(D1693&lt;&gt;"KEEP","",IF(RIGHT(B1693,10)="@gmail.com","Gmail",IF(OR(RIGHT(B1693,12)="@outlook.com",RIGHT(B1693,12)="@hotmail.com",RIGHT(B1693,9)="@live.com"),"Outlook","Domain")))</f>
        <v/>
      </c>
      <c r="F1693">
        <f>IF(B1693="","",IFERROR(RIGHT(B1693,LEN(B1693)-FIND("@",B1693)),""))</f>
        <v/>
      </c>
      <c r="G1693">
        <f>IF(D1693="KEEP",COUNTIF($D$2:D1693,"KEEP"),"")</f>
        <v/>
      </c>
      <c r="H1693">
        <f>IF(D1693="REMOVE",COUNTIF($D$2:D1693,"REMOVE"),"")</f>
        <v/>
      </c>
      <c r="I1693">
        <f>IF(E1693="Gmail",COUNTIF($E$2:E1693,"Gmail"),"")</f>
        <v/>
      </c>
      <c r="J1693">
        <f>IF(E1693="Outlook",COUNTIF($E$2:E1693,"Outlook"),"")</f>
        <v/>
      </c>
      <c r="K1693">
        <f>IF(E1693="Domain",COUNTIF($E$2:E1693,"Domain"),"")</f>
        <v/>
      </c>
    </row>
    <row r="1694">
      <c r="A1694" s="2" t="n"/>
      <c r="B1694">
        <f>LOWER(TRIM(A1694))</f>
        <v/>
      </c>
      <c r="C1694">
        <f>IF(B1694="","",IFERROR(INDEX('Bad Patterns'!$A$2:$A$120,MATCH(1,INDEX(--ISNUMBER(SEARCH('Bad Patterns'!$A$2:$A$120,B1694)),0),0)),""))</f>
        <v/>
      </c>
      <c r="D1694">
        <f>IF(B1694="","",IF(C1694&lt;&gt;"","REMOVE","KEEP"))</f>
        <v/>
      </c>
      <c r="E1694">
        <f>IF(D1694&lt;&gt;"KEEP","",IF(RIGHT(B1694,10)="@gmail.com","Gmail",IF(OR(RIGHT(B1694,12)="@outlook.com",RIGHT(B1694,12)="@hotmail.com",RIGHT(B1694,9)="@live.com"),"Outlook","Domain")))</f>
        <v/>
      </c>
      <c r="F1694">
        <f>IF(B1694="","",IFERROR(RIGHT(B1694,LEN(B1694)-FIND("@",B1694)),""))</f>
        <v/>
      </c>
      <c r="G1694">
        <f>IF(D1694="KEEP",COUNTIF($D$2:D1694,"KEEP"),"")</f>
        <v/>
      </c>
      <c r="H1694">
        <f>IF(D1694="REMOVE",COUNTIF($D$2:D1694,"REMOVE"),"")</f>
        <v/>
      </c>
      <c r="I1694">
        <f>IF(E1694="Gmail",COUNTIF($E$2:E1694,"Gmail"),"")</f>
        <v/>
      </c>
      <c r="J1694">
        <f>IF(E1694="Outlook",COUNTIF($E$2:E1694,"Outlook"),"")</f>
        <v/>
      </c>
      <c r="K1694">
        <f>IF(E1694="Domain",COUNTIF($E$2:E1694,"Domain"),"")</f>
        <v/>
      </c>
    </row>
    <row r="1695">
      <c r="A1695" s="2" t="n"/>
      <c r="B1695">
        <f>LOWER(TRIM(A1695))</f>
        <v/>
      </c>
      <c r="C1695">
        <f>IF(B1695="","",IFERROR(INDEX('Bad Patterns'!$A$2:$A$120,MATCH(1,INDEX(--ISNUMBER(SEARCH('Bad Patterns'!$A$2:$A$120,B1695)),0),0)),""))</f>
        <v/>
      </c>
      <c r="D1695">
        <f>IF(B1695="","",IF(C1695&lt;&gt;"","REMOVE","KEEP"))</f>
        <v/>
      </c>
      <c r="E1695">
        <f>IF(D1695&lt;&gt;"KEEP","",IF(RIGHT(B1695,10)="@gmail.com","Gmail",IF(OR(RIGHT(B1695,12)="@outlook.com",RIGHT(B1695,12)="@hotmail.com",RIGHT(B1695,9)="@live.com"),"Outlook","Domain")))</f>
        <v/>
      </c>
      <c r="F1695">
        <f>IF(B1695="","",IFERROR(RIGHT(B1695,LEN(B1695)-FIND("@",B1695)),""))</f>
        <v/>
      </c>
      <c r="G1695">
        <f>IF(D1695="KEEP",COUNTIF($D$2:D1695,"KEEP"),"")</f>
        <v/>
      </c>
      <c r="H1695">
        <f>IF(D1695="REMOVE",COUNTIF($D$2:D1695,"REMOVE"),"")</f>
        <v/>
      </c>
      <c r="I1695">
        <f>IF(E1695="Gmail",COUNTIF($E$2:E1695,"Gmail"),"")</f>
        <v/>
      </c>
      <c r="J1695">
        <f>IF(E1695="Outlook",COUNTIF($E$2:E1695,"Outlook"),"")</f>
        <v/>
      </c>
      <c r="K1695">
        <f>IF(E1695="Domain",COUNTIF($E$2:E1695,"Domain"),"")</f>
        <v/>
      </c>
    </row>
    <row r="1696">
      <c r="A1696" s="2" t="n"/>
      <c r="B1696">
        <f>LOWER(TRIM(A1696))</f>
        <v/>
      </c>
      <c r="C1696">
        <f>IF(B1696="","",IFERROR(INDEX('Bad Patterns'!$A$2:$A$120,MATCH(1,INDEX(--ISNUMBER(SEARCH('Bad Patterns'!$A$2:$A$120,B1696)),0),0)),""))</f>
        <v/>
      </c>
      <c r="D1696">
        <f>IF(B1696="","",IF(C1696&lt;&gt;"","REMOVE","KEEP"))</f>
        <v/>
      </c>
      <c r="E1696">
        <f>IF(D1696&lt;&gt;"KEEP","",IF(RIGHT(B1696,10)="@gmail.com","Gmail",IF(OR(RIGHT(B1696,12)="@outlook.com",RIGHT(B1696,12)="@hotmail.com",RIGHT(B1696,9)="@live.com"),"Outlook","Domain")))</f>
        <v/>
      </c>
      <c r="F1696">
        <f>IF(B1696="","",IFERROR(RIGHT(B1696,LEN(B1696)-FIND("@",B1696)),""))</f>
        <v/>
      </c>
      <c r="G1696">
        <f>IF(D1696="KEEP",COUNTIF($D$2:D1696,"KEEP"),"")</f>
        <v/>
      </c>
      <c r="H1696">
        <f>IF(D1696="REMOVE",COUNTIF($D$2:D1696,"REMOVE"),"")</f>
        <v/>
      </c>
      <c r="I1696">
        <f>IF(E1696="Gmail",COUNTIF($E$2:E1696,"Gmail"),"")</f>
        <v/>
      </c>
      <c r="J1696">
        <f>IF(E1696="Outlook",COUNTIF($E$2:E1696,"Outlook"),"")</f>
        <v/>
      </c>
      <c r="K1696">
        <f>IF(E1696="Domain",COUNTIF($E$2:E1696,"Domain"),"")</f>
        <v/>
      </c>
    </row>
    <row r="1697">
      <c r="A1697" s="2" t="n"/>
      <c r="B1697">
        <f>LOWER(TRIM(A1697))</f>
        <v/>
      </c>
      <c r="C1697">
        <f>IF(B1697="","",IFERROR(INDEX('Bad Patterns'!$A$2:$A$120,MATCH(1,INDEX(--ISNUMBER(SEARCH('Bad Patterns'!$A$2:$A$120,B1697)),0),0)),""))</f>
        <v/>
      </c>
      <c r="D1697">
        <f>IF(B1697="","",IF(C1697&lt;&gt;"","REMOVE","KEEP"))</f>
        <v/>
      </c>
      <c r="E1697">
        <f>IF(D1697&lt;&gt;"KEEP","",IF(RIGHT(B1697,10)="@gmail.com","Gmail",IF(OR(RIGHT(B1697,12)="@outlook.com",RIGHT(B1697,12)="@hotmail.com",RIGHT(B1697,9)="@live.com"),"Outlook","Domain")))</f>
        <v/>
      </c>
      <c r="F1697">
        <f>IF(B1697="","",IFERROR(RIGHT(B1697,LEN(B1697)-FIND("@",B1697)),""))</f>
        <v/>
      </c>
      <c r="G1697">
        <f>IF(D1697="KEEP",COUNTIF($D$2:D1697,"KEEP"),"")</f>
        <v/>
      </c>
      <c r="H1697">
        <f>IF(D1697="REMOVE",COUNTIF($D$2:D1697,"REMOVE"),"")</f>
        <v/>
      </c>
      <c r="I1697">
        <f>IF(E1697="Gmail",COUNTIF($E$2:E1697,"Gmail"),"")</f>
        <v/>
      </c>
      <c r="J1697">
        <f>IF(E1697="Outlook",COUNTIF($E$2:E1697,"Outlook"),"")</f>
        <v/>
      </c>
      <c r="K1697">
        <f>IF(E1697="Domain",COUNTIF($E$2:E1697,"Domain"),"")</f>
        <v/>
      </c>
    </row>
    <row r="1698">
      <c r="A1698" s="2" t="n"/>
      <c r="B1698">
        <f>LOWER(TRIM(A1698))</f>
        <v/>
      </c>
      <c r="C1698">
        <f>IF(B1698="","",IFERROR(INDEX('Bad Patterns'!$A$2:$A$120,MATCH(1,INDEX(--ISNUMBER(SEARCH('Bad Patterns'!$A$2:$A$120,B1698)),0),0)),""))</f>
        <v/>
      </c>
      <c r="D1698">
        <f>IF(B1698="","",IF(C1698&lt;&gt;"","REMOVE","KEEP"))</f>
        <v/>
      </c>
      <c r="E1698">
        <f>IF(D1698&lt;&gt;"KEEP","",IF(RIGHT(B1698,10)="@gmail.com","Gmail",IF(OR(RIGHT(B1698,12)="@outlook.com",RIGHT(B1698,12)="@hotmail.com",RIGHT(B1698,9)="@live.com"),"Outlook","Domain")))</f>
        <v/>
      </c>
      <c r="F1698">
        <f>IF(B1698="","",IFERROR(RIGHT(B1698,LEN(B1698)-FIND("@",B1698)),""))</f>
        <v/>
      </c>
      <c r="G1698">
        <f>IF(D1698="KEEP",COUNTIF($D$2:D1698,"KEEP"),"")</f>
        <v/>
      </c>
      <c r="H1698">
        <f>IF(D1698="REMOVE",COUNTIF($D$2:D1698,"REMOVE"),"")</f>
        <v/>
      </c>
      <c r="I1698">
        <f>IF(E1698="Gmail",COUNTIF($E$2:E1698,"Gmail"),"")</f>
        <v/>
      </c>
      <c r="J1698">
        <f>IF(E1698="Outlook",COUNTIF($E$2:E1698,"Outlook"),"")</f>
        <v/>
      </c>
      <c r="K1698">
        <f>IF(E1698="Domain",COUNTIF($E$2:E1698,"Domain"),"")</f>
        <v/>
      </c>
    </row>
    <row r="1699">
      <c r="A1699" s="2" t="n"/>
      <c r="B1699">
        <f>LOWER(TRIM(A1699))</f>
        <v/>
      </c>
      <c r="C1699">
        <f>IF(B1699="","",IFERROR(INDEX('Bad Patterns'!$A$2:$A$120,MATCH(1,INDEX(--ISNUMBER(SEARCH('Bad Patterns'!$A$2:$A$120,B1699)),0),0)),""))</f>
        <v/>
      </c>
      <c r="D1699">
        <f>IF(B1699="","",IF(C1699&lt;&gt;"","REMOVE","KEEP"))</f>
        <v/>
      </c>
      <c r="E1699">
        <f>IF(D1699&lt;&gt;"KEEP","",IF(RIGHT(B1699,10)="@gmail.com","Gmail",IF(OR(RIGHT(B1699,12)="@outlook.com",RIGHT(B1699,12)="@hotmail.com",RIGHT(B1699,9)="@live.com"),"Outlook","Domain")))</f>
        <v/>
      </c>
      <c r="F1699">
        <f>IF(B1699="","",IFERROR(RIGHT(B1699,LEN(B1699)-FIND("@",B1699)),""))</f>
        <v/>
      </c>
      <c r="G1699">
        <f>IF(D1699="KEEP",COUNTIF($D$2:D1699,"KEEP"),"")</f>
        <v/>
      </c>
      <c r="H1699">
        <f>IF(D1699="REMOVE",COUNTIF($D$2:D1699,"REMOVE"),"")</f>
        <v/>
      </c>
      <c r="I1699">
        <f>IF(E1699="Gmail",COUNTIF($E$2:E1699,"Gmail"),"")</f>
        <v/>
      </c>
      <c r="J1699">
        <f>IF(E1699="Outlook",COUNTIF($E$2:E1699,"Outlook"),"")</f>
        <v/>
      </c>
      <c r="K1699">
        <f>IF(E1699="Domain",COUNTIF($E$2:E1699,"Domain"),"")</f>
        <v/>
      </c>
    </row>
    <row r="1700">
      <c r="A1700" s="2" t="n"/>
      <c r="B1700">
        <f>LOWER(TRIM(A1700))</f>
        <v/>
      </c>
      <c r="C1700">
        <f>IF(B1700="","",IFERROR(INDEX('Bad Patterns'!$A$2:$A$120,MATCH(1,INDEX(--ISNUMBER(SEARCH('Bad Patterns'!$A$2:$A$120,B1700)),0),0)),""))</f>
        <v/>
      </c>
      <c r="D1700">
        <f>IF(B1700="","",IF(C1700&lt;&gt;"","REMOVE","KEEP"))</f>
        <v/>
      </c>
      <c r="E1700">
        <f>IF(D1700&lt;&gt;"KEEP","",IF(RIGHT(B1700,10)="@gmail.com","Gmail",IF(OR(RIGHT(B1700,12)="@outlook.com",RIGHT(B1700,12)="@hotmail.com",RIGHT(B1700,9)="@live.com"),"Outlook","Domain")))</f>
        <v/>
      </c>
      <c r="F1700">
        <f>IF(B1700="","",IFERROR(RIGHT(B1700,LEN(B1700)-FIND("@",B1700)),""))</f>
        <v/>
      </c>
      <c r="G1700">
        <f>IF(D1700="KEEP",COUNTIF($D$2:D1700,"KEEP"),"")</f>
        <v/>
      </c>
      <c r="H1700">
        <f>IF(D1700="REMOVE",COUNTIF($D$2:D1700,"REMOVE"),"")</f>
        <v/>
      </c>
      <c r="I1700">
        <f>IF(E1700="Gmail",COUNTIF($E$2:E1700,"Gmail"),"")</f>
        <v/>
      </c>
      <c r="J1700">
        <f>IF(E1700="Outlook",COUNTIF($E$2:E1700,"Outlook"),"")</f>
        <v/>
      </c>
      <c r="K1700">
        <f>IF(E1700="Domain",COUNTIF($E$2:E1700,"Domain"),"")</f>
        <v/>
      </c>
    </row>
    <row r="1701">
      <c r="A1701" s="2" t="n"/>
      <c r="B1701">
        <f>LOWER(TRIM(A1701))</f>
        <v/>
      </c>
      <c r="C1701">
        <f>IF(B1701="","",IFERROR(INDEX('Bad Patterns'!$A$2:$A$120,MATCH(1,INDEX(--ISNUMBER(SEARCH('Bad Patterns'!$A$2:$A$120,B1701)),0),0)),""))</f>
        <v/>
      </c>
      <c r="D1701">
        <f>IF(B1701="","",IF(C1701&lt;&gt;"","REMOVE","KEEP"))</f>
        <v/>
      </c>
      <c r="E1701">
        <f>IF(D1701&lt;&gt;"KEEP","",IF(RIGHT(B1701,10)="@gmail.com","Gmail",IF(OR(RIGHT(B1701,12)="@outlook.com",RIGHT(B1701,12)="@hotmail.com",RIGHT(B1701,9)="@live.com"),"Outlook","Domain")))</f>
        <v/>
      </c>
      <c r="F1701">
        <f>IF(B1701="","",IFERROR(RIGHT(B1701,LEN(B1701)-FIND("@",B1701)),""))</f>
        <v/>
      </c>
      <c r="G1701">
        <f>IF(D1701="KEEP",COUNTIF($D$2:D1701,"KEEP"),"")</f>
        <v/>
      </c>
      <c r="H1701">
        <f>IF(D1701="REMOVE",COUNTIF($D$2:D1701,"REMOVE"),"")</f>
        <v/>
      </c>
      <c r="I1701">
        <f>IF(E1701="Gmail",COUNTIF($E$2:E1701,"Gmail"),"")</f>
        <v/>
      </c>
      <c r="J1701">
        <f>IF(E1701="Outlook",COUNTIF($E$2:E1701,"Outlook"),"")</f>
        <v/>
      </c>
      <c r="K1701">
        <f>IF(E1701="Domain",COUNTIF($E$2:E1701,"Domain"),"")</f>
        <v/>
      </c>
    </row>
    <row r="1702">
      <c r="A1702" s="2" t="n"/>
      <c r="B1702">
        <f>LOWER(TRIM(A1702))</f>
        <v/>
      </c>
      <c r="C1702">
        <f>IF(B1702="","",IFERROR(INDEX('Bad Patterns'!$A$2:$A$120,MATCH(1,INDEX(--ISNUMBER(SEARCH('Bad Patterns'!$A$2:$A$120,B1702)),0),0)),""))</f>
        <v/>
      </c>
      <c r="D1702">
        <f>IF(B1702="","",IF(C1702&lt;&gt;"","REMOVE","KEEP"))</f>
        <v/>
      </c>
      <c r="E1702">
        <f>IF(D1702&lt;&gt;"KEEP","",IF(RIGHT(B1702,10)="@gmail.com","Gmail",IF(OR(RIGHT(B1702,12)="@outlook.com",RIGHT(B1702,12)="@hotmail.com",RIGHT(B1702,9)="@live.com"),"Outlook","Domain")))</f>
        <v/>
      </c>
      <c r="F1702">
        <f>IF(B1702="","",IFERROR(RIGHT(B1702,LEN(B1702)-FIND("@",B1702)),""))</f>
        <v/>
      </c>
      <c r="G1702">
        <f>IF(D1702="KEEP",COUNTIF($D$2:D1702,"KEEP"),"")</f>
        <v/>
      </c>
      <c r="H1702">
        <f>IF(D1702="REMOVE",COUNTIF($D$2:D1702,"REMOVE"),"")</f>
        <v/>
      </c>
      <c r="I1702">
        <f>IF(E1702="Gmail",COUNTIF($E$2:E1702,"Gmail"),"")</f>
        <v/>
      </c>
      <c r="J1702">
        <f>IF(E1702="Outlook",COUNTIF($E$2:E1702,"Outlook"),"")</f>
        <v/>
      </c>
      <c r="K1702">
        <f>IF(E1702="Domain",COUNTIF($E$2:E1702,"Domain"),"")</f>
        <v/>
      </c>
    </row>
    <row r="1703">
      <c r="A1703" s="2" t="n"/>
      <c r="B1703">
        <f>LOWER(TRIM(A1703))</f>
        <v/>
      </c>
      <c r="C1703">
        <f>IF(B1703="","",IFERROR(INDEX('Bad Patterns'!$A$2:$A$120,MATCH(1,INDEX(--ISNUMBER(SEARCH('Bad Patterns'!$A$2:$A$120,B1703)),0),0)),""))</f>
        <v/>
      </c>
      <c r="D1703">
        <f>IF(B1703="","",IF(C1703&lt;&gt;"","REMOVE","KEEP"))</f>
        <v/>
      </c>
      <c r="E1703">
        <f>IF(D1703&lt;&gt;"KEEP","",IF(RIGHT(B1703,10)="@gmail.com","Gmail",IF(OR(RIGHT(B1703,12)="@outlook.com",RIGHT(B1703,12)="@hotmail.com",RIGHT(B1703,9)="@live.com"),"Outlook","Domain")))</f>
        <v/>
      </c>
      <c r="F1703">
        <f>IF(B1703="","",IFERROR(RIGHT(B1703,LEN(B1703)-FIND("@",B1703)),""))</f>
        <v/>
      </c>
      <c r="G1703">
        <f>IF(D1703="KEEP",COUNTIF($D$2:D1703,"KEEP"),"")</f>
        <v/>
      </c>
      <c r="H1703">
        <f>IF(D1703="REMOVE",COUNTIF($D$2:D1703,"REMOVE"),"")</f>
        <v/>
      </c>
      <c r="I1703">
        <f>IF(E1703="Gmail",COUNTIF($E$2:E1703,"Gmail"),"")</f>
        <v/>
      </c>
      <c r="J1703">
        <f>IF(E1703="Outlook",COUNTIF($E$2:E1703,"Outlook"),"")</f>
        <v/>
      </c>
      <c r="K1703">
        <f>IF(E1703="Domain",COUNTIF($E$2:E1703,"Domain"),"")</f>
        <v/>
      </c>
    </row>
    <row r="1704">
      <c r="A1704" s="2" t="n"/>
      <c r="B1704">
        <f>LOWER(TRIM(A1704))</f>
        <v/>
      </c>
      <c r="C1704">
        <f>IF(B1704="","",IFERROR(INDEX('Bad Patterns'!$A$2:$A$120,MATCH(1,INDEX(--ISNUMBER(SEARCH('Bad Patterns'!$A$2:$A$120,B1704)),0),0)),""))</f>
        <v/>
      </c>
      <c r="D1704">
        <f>IF(B1704="","",IF(C1704&lt;&gt;"","REMOVE","KEEP"))</f>
        <v/>
      </c>
      <c r="E1704">
        <f>IF(D1704&lt;&gt;"KEEP","",IF(RIGHT(B1704,10)="@gmail.com","Gmail",IF(OR(RIGHT(B1704,12)="@outlook.com",RIGHT(B1704,12)="@hotmail.com",RIGHT(B1704,9)="@live.com"),"Outlook","Domain")))</f>
        <v/>
      </c>
      <c r="F1704">
        <f>IF(B1704="","",IFERROR(RIGHT(B1704,LEN(B1704)-FIND("@",B1704)),""))</f>
        <v/>
      </c>
      <c r="G1704">
        <f>IF(D1704="KEEP",COUNTIF($D$2:D1704,"KEEP"),"")</f>
        <v/>
      </c>
      <c r="H1704">
        <f>IF(D1704="REMOVE",COUNTIF($D$2:D1704,"REMOVE"),"")</f>
        <v/>
      </c>
      <c r="I1704">
        <f>IF(E1704="Gmail",COUNTIF($E$2:E1704,"Gmail"),"")</f>
        <v/>
      </c>
      <c r="J1704">
        <f>IF(E1704="Outlook",COUNTIF($E$2:E1704,"Outlook"),"")</f>
        <v/>
      </c>
      <c r="K1704">
        <f>IF(E1704="Domain",COUNTIF($E$2:E1704,"Domain"),"")</f>
        <v/>
      </c>
    </row>
    <row r="1705">
      <c r="A1705" s="2" t="n"/>
      <c r="B1705">
        <f>LOWER(TRIM(A1705))</f>
        <v/>
      </c>
      <c r="C1705">
        <f>IF(B1705="","",IFERROR(INDEX('Bad Patterns'!$A$2:$A$120,MATCH(1,INDEX(--ISNUMBER(SEARCH('Bad Patterns'!$A$2:$A$120,B1705)),0),0)),""))</f>
        <v/>
      </c>
      <c r="D1705">
        <f>IF(B1705="","",IF(C1705&lt;&gt;"","REMOVE","KEEP"))</f>
        <v/>
      </c>
      <c r="E1705">
        <f>IF(D1705&lt;&gt;"KEEP","",IF(RIGHT(B1705,10)="@gmail.com","Gmail",IF(OR(RIGHT(B1705,12)="@outlook.com",RIGHT(B1705,12)="@hotmail.com",RIGHT(B1705,9)="@live.com"),"Outlook","Domain")))</f>
        <v/>
      </c>
      <c r="F1705">
        <f>IF(B1705="","",IFERROR(RIGHT(B1705,LEN(B1705)-FIND("@",B1705)),""))</f>
        <v/>
      </c>
      <c r="G1705">
        <f>IF(D1705="KEEP",COUNTIF($D$2:D1705,"KEEP"),"")</f>
        <v/>
      </c>
      <c r="H1705">
        <f>IF(D1705="REMOVE",COUNTIF($D$2:D1705,"REMOVE"),"")</f>
        <v/>
      </c>
      <c r="I1705">
        <f>IF(E1705="Gmail",COUNTIF($E$2:E1705,"Gmail"),"")</f>
        <v/>
      </c>
      <c r="J1705">
        <f>IF(E1705="Outlook",COUNTIF($E$2:E1705,"Outlook"),"")</f>
        <v/>
      </c>
      <c r="K1705">
        <f>IF(E1705="Domain",COUNTIF($E$2:E1705,"Domain"),"")</f>
        <v/>
      </c>
    </row>
    <row r="1706">
      <c r="A1706" s="2" t="n"/>
      <c r="B1706">
        <f>LOWER(TRIM(A1706))</f>
        <v/>
      </c>
      <c r="C1706">
        <f>IF(B1706="","",IFERROR(INDEX('Bad Patterns'!$A$2:$A$120,MATCH(1,INDEX(--ISNUMBER(SEARCH('Bad Patterns'!$A$2:$A$120,B1706)),0),0)),""))</f>
        <v/>
      </c>
      <c r="D1706">
        <f>IF(B1706="","",IF(C1706&lt;&gt;"","REMOVE","KEEP"))</f>
        <v/>
      </c>
      <c r="E1706">
        <f>IF(D1706&lt;&gt;"KEEP","",IF(RIGHT(B1706,10)="@gmail.com","Gmail",IF(OR(RIGHT(B1706,12)="@outlook.com",RIGHT(B1706,12)="@hotmail.com",RIGHT(B1706,9)="@live.com"),"Outlook","Domain")))</f>
        <v/>
      </c>
      <c r="F1706">
        <f>IF(B1706="","",IFERROR(RIGHT(B1706,LEN(B1706)-FIND("@",B1706)),""))</f>
        <v/>
      </c>
      <c r="G1706">
        <f>IF(D1706="KEEP",COUNTIF($D$2:D1706,"KEEP"),"")</f>
        <v/>
      </c>
      <c r="H1706">
        <f>IF(D1706="REMOVE",COUNTIF($D$2:D1706,"REMOVE"),"")</f>
        <v/>
      </c>
      <c r="I1706">
        <f>IF(E1706="Gmail",COUNTIF($E$2:E1706,"Gmail"),"")</f>
        <v/>
      </c>
      <c r="J1706">
        <f>IF(E1706="Outlook",COUNTIF($E$2:E1706,"Outlook"),"")</f>
        <v/>
      </c>
      <c r="K1706">
        <f>IF(E1706="Domain",COUNTIF($E$2:E1706,"Domain"),"")</f>
        <v/>
      </c>
    </row>
    <row r="1707">
      <c r="A1707" s="2" t="n"/>
      <c r="B1707">
        <f>LOWER(TRIM(A1707))</f>
        <v/>
      </c>
      <c r="C1707">
        <f>IF(B1707="","",IFERROR(INDEX('Bad Patterns'!$A$2:$A$120,MATCH(1,INDEX(--ISNUMBER(SEARCH('Bad Patterns'!$A$2:$A$120,B1707)),0),0)),""))</f>
        <v/>
      </c>
      <c r="D1707">
        <f>IF(B1707="","",IF(C1707&lt;&gt;"","REMOVE","KEEP"))</f>
        <v/>
      </c>
      <c r="E1707">
        <f>IF(D1707&lt;&gt;"KEEP","",IF(RIGHT(B1707,10)="@gmail.com","Gmail",IF(OR(RIGHT(B1707,12)="@outlook.com",RIGHT(B1707,12)="@hotmail.com",RIGHT(B1707,9)="@live.com"),"Outlook","Domain")))</f>
        <v/>
      </c>
      <c r="F1707">
        <f>IF(B1707="","",IFERROR(RIGHT(B1707,LEN(B1707)-FIND("@",B1707)),""))</f>
        <v/>
      </c>
      <c r="G1707">
        <f>IF(D1707="KEEP",COUNTIF($D$2:D1707,"KEEP"),"")</f>
        <v/>
      </c>
      <c r="H1707">
        <f>IF(D1707="REMOVE",COUNTIF($D$2:D1707,"REMOVE"),"")</f>
        <v/>
      </c>
      <c r="I1707">
        <f>IF(E1707="Gmail",COUNTIF($E$2:E1707,"Gmail"),"")</f>
        <v/>
      </c>
      <c r="J1707">
        <f>IF(E1707="Outlook",COUNTIF($E$2:E1707,"Outlook"),"")</f>
        <v/>
      </c>
      <c r="K1707">
        <f>IF(E1707="Domain",COUNTIF($E$2:E1707,"Domain"),"")</f>
        <v/>
      </c>
    </row>
    <row r="1708">
      <c r="A1708" s="2" t="n"/>
      <c r="B1708">
        <f>LOWER(TRIM(A1708))</f>
        <v/>
      </c>
      <c r="C1708">
        <f>IF(B1708="","",IFERROR(INDEX('Bad Patterns'!$A$2:$A$120,MATCH(1,INDEX(--ISNUMBER(SEARCH('Bad Patterns'!$A$2:$A$120,B1708)),0),0)),""))</f>
        <v/>
      </c>
      <c r="D1708">
        <f>IF(B1708="","",IF(C1708&lt;&gt;"","REMOVE","KEEP"))</f>
        <v/>
      </c>
      <c r="E1708">
        <f>IF(D1708&lt;&gt;"KEEP","",IF(RIGHT(B1708,10)="@gmail.com","Gmail",IF(OR(RIGHT(B1708,12)="@outlook.com",RIGHT(B1708,12)="@hotmail.com",RIGHT(B1708,9)="@live.com"),"Outlook","Domain")))</f>
        <v/>
      </c>
      <c r="F1708">
        <f>IF(B1708="","",IFERROR(RIGHT(B1708,LEN(B1708)-FIND("@",B1708)),""))</f>
        <v/>
      </c>
      <c r="G1708">
        <f>IF(D1708="KEEP",COUNTIF($D$2:D1708,"KEEP"),"")</f>
        <v/>
      </c>
      <c r="H1708">
        <f>IF(D1708="REMOVE",COUNTIF($D$2:D1708,"REMOVE"),"")</f>
        <v/>
      </c>
      <c r="I1708">
        <f>IF(E1708="Gmail",COUNTIF($E$2:E1708,"Gmail"),"")</f>
        <v/>
      </c>
      <c r="J1708">
        <f>IF(E1708="Outlook",COUNTIF($E$2:E1708,"Outlook"),"")</f>
        <v/>
      </c>
      <c r="K1708">
        <f>IF(E1708="Domain",COUNTIF($E$2:E1708,"Domain"),"")</f>
        <v/>
      </c>
    </row>
    <row r="1709">
      <c r="A1709" s="2" t="n"/>
      <c r="B1709">
        <f>LOWER(TRIM(A1709))</f>
        <v/>
      </c>
      <c r="C1709">
        <f>IF(B1709="","",IFERROR(INDEX('Bad Patterns'!$A$2:$A$120,MATCH(1,INDEX(--ISNUMBER(SEARCH('Bad Patterns'!$A$2:$A$120,B1709)),0),0)),""))</f>
        <v/>
      </c>
      <c r="D1709">
        <f>IF(B1709="","",IF(C1709&lt;&gt;"","REMOVE","KEEP"))</f>
        <v/>
      </c>
      <c r="E1709">
        <f>IF(D1709&lt;&gt;"KEEP","",IF(RIGHT(B1709,10)="@gmail.com","Gmail",IF(OR(RIGHT(B1709,12)="@outlook.com",RIGHT(B1709,12)="@hotmail.com",RIGHT(B1709,9)="@live.com"),"Outlook","Domain")))</f>
        <v/>
      </c>
      <c r="F1709">
        <f>IF(B1709="","",IFERROR(RIGHT(B1709,LEN(B1709)-FIND("@",B1709)),""))</f>
        <v/>
      </c>
      <c r="G1709">
        <f>IF(D1709="KEEP",COUNTIF($D$2:D1709,"KEEP"),"")</f>
        <v/>
      </c>
      <c r="H1709">
        <f>IF(D1709="REMOVE",COUNTIF($D$2:D1709,"REMOVE"),"")</f>
        <v/>
      </c>
      <c r="I1709">
        <f>IF(E1709="Gmail",COUNTIF($E$2:E1709,"Gmail"),"")</f>
        <v/>
      </c>
      <c r="J1709">
        <f>IF(E1709="Outlook",COUNTIF($E$2:E1709,"Outlook"),"")</f>
        <v/>
      </c>
      <c r="K1709">
        <f>IF(E1709="Domain",COUNTIF($E$2:E1709,"Domain"),"")</f>
        <v/>
      </c>
    </row>
    <row r="1710">
      <c r="A1710" s="2" t="n"/>
      <c r="B1710">
        <f>LOWER(TRIM(A1710))</f>
        <v/>
      </c>
      <c r="C1710">
        <f>IF(B1710="","",IFERROR(INDEX('Bad Patterns'!$A$2:$A$120,MATCH(1,INDEX(--ISNUMBER(SEARCH('Bad Patterns'!$A$2:$A$120,B1710)),0),0)),""))</f>
        <v/>
      </c>
      <c r="D1710">
        <f>IF(B1710="","",IF(C1710&lt;&gt;"","REMOVE","KEEP"))</f>
        <v/>
      </c>
      <c r="E1710">
        <f>IF(D1710&lt;&gt;"KEEP","",IF(RIGHT(B1710,10)="@gmail.com","Gmail",IF(OR(RIGHT(B1710,12)="@outlook.com",RIGHT(B1710,12)="@hotmail.com",RIGHT(B1710,9)="@live.com"),"Outlook","Domain")))</f>
        <v/>
      </c>
      <c r="F1710">
        <f>IF(B1710="","",IFERROR(RIGHT(B1710,LEN(B1710)-FIND("@",B1710)),""))</f>
        <v/>
      </c>
      <c r="G1710">
        <f>IF(D1710="KEEP",COUNTIF($D$2:D1710,"KEEP"),"")</f>
        <v/>
      </c>
      <c r="H1710">
        <f>IF(D1710="REMOVE",COUNTIF($D$2:D1710,"REMOVE"),"")</f>
        <v/>
      </c>
      <c r="I1710">
        <f>IF(E1710="Gmail",COUNTIF($E$2:E1710,"Gmail"),"")</f>
        <v/>
      </c>
      <c r="J1710">
        <f>IF(E1710="Outlook",COUNTIF($E$2:E1710,"Outlook"),"")</f>
        <v/>
      </c>
      <c r="K1710">
        <f>IF(E1710="Domain",COUNTIF($E$2:E1710,"Domain"),"")</f>
        <v/>
      </c>
    </row>
    <row r="1711">
      <c r="A1711" s="2" t="n"/>
      <c r="B1711">
        <f>LOWER(TRIM(A1711))</f>
        <v/>
      </c>
      <c r="C1711">
        <f>IF(B1711="","",IFERROR(INDEX('Bad Patterns'!$A$2:$A$120,MATCH(1,INDEX(--ISNUMBER(SEARCH('Bad Patterns'!$A$2:$A$120,B1711)),0),0)),""))</f>
        <v/>
      </c>
      <c r="D1711">
        <f>IF(B1711="","",IF(C1711&lt;&gt;"","REMOVE","KEEP"))</f>
        <v/>
      </c>
      <c r="E1711">
        <f>IF(D1711&lt;&gt;"KEEP","",IF(RIGHT(B1711,10)="@gmail.com","Gmail",IF(OR(RIGHT(B1711,12)="@outlook.com",RIGHT(B1711,12)="@hotmail.com",RIGHT(B1711,9)="@live.com"),"Outlook","Domain")))</f>
        <v/>
      </c>
      <c r="F1711">
        <f>IF(B1711="","",IFERROR(RIGHT(B1711,LEN(B1711)-FIND("@",B1711)),""))</f>
        <v/>
      </c>
      <c r="G1711">
        <f>IF(D1711="KEEP",COUNTIF($D$2:D1711,"KEEP"),"")</f>
        <v/>
      </c>
      <c r="H1711">
        <f>IF(D1711="REMOVE",COUNTIF($D$2:D1711,"REMOVE"),"")</f>
        <v/>
      </c>
      <c r="I1711">
        <f>IF(E1711="Gmail",COUNTIF($E$2:E1711,"Gmail"),"")</f>
        <v/>
      </c>
      <c r="J1711">
        <f>IF(E1711="Outlook",COUNTIF($E$2:E1711,"Outlook"),"")</f>
        <v/>
      </c>
      <c r="K1711">
        <f>IF(E1711="Domain",COUNTIF($E$2:E1711,"Domain"),"")</f>
        <v/>
      </c>
    </row>
    <row r="1712">
      <c r="A1712" s="2" t="n"/>
      <c r="B1712">
        <f>LOWER(TRIM(A1712))</f>
        <v/>
      </c>
      <c r="C1712">
        <f>IF(B1712="","",IFERROR(INDEX('Bad Patterns'!$A$2:$A$120,MATCH(1,INDEX(--ISNUMBER(SEARCH('Bad Patterns'!$A$2:$A$120,B1712)),0),0)),""))</f>
        <v/>
      </c>
      <c r="D1712">
        <f>IF(B1712="","",IF(C1712&lt;&gt;"","REMOVE","KEEP"))</f>
        <v/>
      </c>
      <c r="E1712">
        <f>IF(D1712&lt;&gt;"KEEP","",IF(RIGHT(B1712,10)="@gmail.com","Gmail",IF(OR(RIGHT(B1712,12)="@outlook.com",RIGHT(B1712,12)="@hotmail.com",RIGHT(B1712,9)="@live.com"),"Outlook","Domain")))</f>
        <v/>
      </c>
      <c r="F1712">
        <f>IF(B1712="","",IFERROR(RIGHT(B1712,LEN(B1712)-FIND("@",B1712)),""))</f>
        <v/>
      </c>
      <c r="G1712">
        <f>IF(D1712="KEEP",COUNTIF($D$2:D1712,"KEEP"),"")</f>
        <v/>
      </c>
      <c r="H1712">
        <f>IF(D1712="REMOVE",COUNTIF($D$2:D1712,"REMOVE"),"")</f>
        <v/>
      </c>
      <c r="I1712">
        <f>IF(E1712="Gmail",COUNTIF($E$2:E1712,"Gmail"),"")</f>
        <v/>
      </c>
      <c r="J1712">
        <f>IF(E1712="Outlook",COUNTIF($E$2:E1712,"Outlook"),"")</f>
        <v/>
      </c>
      <c r="K1712">
        <f>IF(E1712="Domain",COUNTIF($E$2:E1712,"Domain"),"")</f>
        <v/>
      </c>
    </row>
    <row r="1713">
      <c r="A1713" s="2" t="n"/>
      <c r="B1713">
        <f>LOWER(TRIM(A1713))</f>
        <v/>
      </c>
      <c r="C1713">
        <f>IF(B1713="","",IFERROR(INDEX('Bad Patterns'!$A$2:$A$120,MATCH(1,INDEX(--ISNUMBER(SEARCH('Bad Patterns'!$A$2:$A$120,B1713)),0),0)),""))</f>
        <v/>
      </c>
      <c r="D1713">
        <f>IF(B1713="","",IF(C1713&lt;&gt;"","REMOVE","KEEP"))</f>
        <v/>
      </c>
      <c r="E1713">
        <f>IF(D1713&lt;&gt;"KEEP","",IF(RIGHT(B1713,10)="@gmail.com","Gmail",IF(OR(RIGHT(B1713,12)="@outlook.com",RIGHT(B1713,12)="@hotmail.com",RIGHT(B1713,9)="@live.com"),"Outlook","Domain")))</f>
        <v/>
      </c>
      <c r="F1713">
        <f>IF(B1713="","",IFERROR(RIGHT(B1713,LEN(B1713)-FIND("@",B1713)),""))</f>
        <v/>
      </c>
      <c r="G1713">
        <f>IF(D1713="KEEP",COUNTIF($D$2:D1713,"KEEP"),"")</f>
        <v/>
      </c>
      <c r="H1713">
        <f>IF(D1713="REMOVE",COUNTIF($D$2:D1713,"REMOVE"),"")</f>
        <v/>
      </c>
      <c r="I1713">
        <f>IF(E1713="Gmail",COUNTIF($E$2:E1713,"Gmail"),"")</f>
        <v/>
      </c>
      <c r="J1713">
        <f>IF(E1713="Outlook",COUNTIF($E$2:E1713,"Outlook"),"")</f>
        <v/>
      </c>
      <c r="K1713">
        <f>IF(E1713="Domain",COUNTIF($E$2:E1713,"Domain"),"")</f>
        <v/>
      </c>
    </row>
    <row r="1714">
      <c r="A1714" s="2" t="n"/>
      <c r="B1714">
        <f>LOWER(TRIM(A1714))</f>
        <v/>
      </c>
      <c r="C1714">
        <f>IF(B1714="","",IFERROR(INDEX('Bad Patterns'!$A$2:$A$120,MATCH(1,INDEX(--ISNUMBER(SEARCH('Bad Patterns'!$A$2:$A$120,B1714)),0),0)),""))</f>
        <v/>
      </c>
      <c r="D1714">
        <f>IF(B1714="","",IF(C1714&lt;&gt;"","REMOVE","KEEP"))</f>
        <v/>
      </c>
      <c r="E1714">
        <f>IF(D1714&lt;&gt;"KEEP","",IF(RIGHT(B1714,10)="@gmail.com","Gmail",IF(OR(RIGHT(B1714,12)="@outlook.com",RIGHT(B1714,12)="@hotmail.com",RIGHT(B1714,9)="@live.com"),"Outlook","Domain")))</f>
        <v/>
      </c>
      <c r="F1714">
        <f>IF(B1714="","",IFERROR(RIGHT(B1714,LEN(B1714)-FIND("@",B1714)),""))</f>
        <v/>
      </c>
      <c r="G1714">
        <f>IF(D1714="KEEP",COUNTIF($D$2:D1714,"KEEP"),"")</f>
        <v/>
      </c>
      <c r="H1714">
        <f>IF(D1714="REMOVE",COUNTIF($D$2:D1714,"REMOVE"),"")</f>
        <v/>
      </c>
      <c r="I1714">
        <f>IF(E1714="Gmail",COUNTIF($E$2:E1714,"Gmail"),"")</f>
        <v/>
      </c>
      <c r="J1714">
        <f>IF(E1714="Outlook",COUNTIF($E$2:E1714,"Outlook"),"")</f>
        <v/>
      </c>
      <c r="K1714">
        <f>IF(E1714="Domain",COUNTIF($E$2:E1714,"Domain"),"")</f>
        <v/>
      </c>
    </row>
    <row r="1715">
      <c r="A1715" s="2" t="n"/>
      <c r="B1715">
        <f>LOWER(TRIM(A1715))</f>
        <v/>
      </c>
      <c r="C1715">
        <f>IF(B1715="","",IFERROR(INDEX('Bad Patterns'!$A$2:$A$120,MATCH(1,INDEX(--ISNUMBER(SEARCH('Bad Patterns'!$A$2:$A$120,B1715)),0),0)),""))</f>
        <v/>
      </c>
      <c r="D1715">
        <f>IF(B1715="","",IF(C1715&lt;&gt;"","REMOVE","KEEP"))</f>
        <v/>
      </c>
      <c r="E1715">
        <f>IF(D1715&lt;&gt;"KEEP","",IF(RIGHT(B1715,10)="@gmail.com","Gmail",IF(OR(RIGHT(B1715,12)="@outlook.com",RIGHT(B1715,12)="@hotmail.com",RIGHT(B1715,9)="@live.com"),"Outlook","Domain")))</f>
        <v/>
      </c>
      <c r="F1715">
        <f>IF(B1715="","",IFERROR(RIGHT(B1715,LEN(B1715)-FIND("@",B1715)),""))</f>
        <v/>
      </c>
      <c r="G1715">
        <f>IF(D1715="KEEP",COUNTIF($D$2:D1715,"KEEP"),"")</f>
        <v/>
      </c>
      <c r="H1715">
        <f>IF(D1715="REMOVE",COUNTIF($D$2:D1715,"REMOVE"),"")</f>
        <v/>
      </c>
      <c r="I1715">
        <f>IF(E1715="Gmail",COUNTIF($E$2:E1715,"Gmail"),"")</f>
        <v/>
      </c>
      <c r="J1715">
        <f>IF(E1715="Outlook",COUNTIF($E$2:E1715,"Outlook"),"")</f>
        <v/>
      </c>
      <c r="K1715">
        <f>IF(E1715="Domain",COUNTIF($E$2:E1715,"Domain"),"")</f>
        <v/>
      </c>
    </row>
    <row r="1716">
      <c r="A1716" s="2" t="n"/>
      <c r="B1716">
        <f>LOWER(TRIM(A1716))</f>
        <v/>
      </c>
      <c r="C1716">
        <f>IF(B1716="","",IFERROR(INDEX('Bad Patterns'!$A$2:$A$120,MATCH(1,INDEX(--ISNUMBER(SEARCH('Bad Patterns'!$A$2:$A$120,B1716)),0),0)),""))</f>
        <v/>
      </c>
      <c r="D1716">
        <f>IF(B1716="","",IF(C1716&lt;&gt;"","REMOVE","KEEP"))</f>
        <v/>
      </c>
      <c r="E1716">
        <f>IF(D1716&lt;&gt;"KEEP","",IF(RIGHT(B1716,10)="@gmail.com","Gmail",IF(OR(RIGHT(B1716,12)="@outlook.com",RIGHT(B1716,12)="@hotmail.com",RIGHT(B1716,9)="@live.com"),"Outlook","Domain")))</f>
        <v/>
      </c>
      <c r="F1716">
        <f>IF(B1716="","",IFERROR(RIGHT(B1716,LEN(B1716)-FIND("@",B1716)),""))</f>
        <v/>
      </c>
      <c r="G1716">
        <f>IF(D1716="KEEP",COUNTIF($D$2:D1716,"KEEP"),"")</f>
        <v/>
      </c>
      <c r="H1716">
        <f>IF(D1716="REMOVE",COUNTIF($D$2:D1716,"REMOVE"),"")</f>
        <v/>
      </c>
      <c r="I1716">
        <f>IF(E1716="Gmail",COUNTIF($E$2:E1716,"Gmail"),"")</f>
        <v/>
      </c>
      <c r="J1716">
        <f>IF(E1716="Outlook",COUNTIF($E$2:E1716,"Outlook"),"")</f>
        <v/>
      </c>
      <c r="K1716">
        <f>IF(E1716="Domain",COUNTIF($E$2:E1716,"Domain"),"")</f>
        <v/>
      </c>
    </row>
    <row r="1717">
      <c r="A1717" s="2" t="n"/>
      <c r="B1717">
        <f>LOWER(TRIM(A1717))</f>
        <v/>
      </c>
      <c r="C1717">
        <f>IF(B1717="","",IFERROR(INDEX('Bad Patterns'!$A$2:$A$120,MATCH(1,INDEX(--ISNUMBER(SEARCH('Bad Patterns'!$A$2:$A$120,B1717)),0),0)),""))</f>
        <v/>
      </c>
      <c r="D1717">
        <f>IF(B1717="","",IF(C1717&lt;&gt;"","REMOVE","KEEP"))</f>
        <v/>
      </c>
      <c r="E1717">
        <f>IF(D1717&lt;&gt;"KEEP","",IF(RIGHT(B1717,10)="@gmail.com","Gmail",IF(OR(RIGHT(B1717,12)="@outlook.com",RIGHT(B1717,12)="@hotmail.com",RIGHT(B1717,9)="@live.com"),"Outlook","Domain")))</f>
        <v/>
      </c>
      <c r="F1717">
        <f>IF(B1717="","",IFERROR(RIGHT(B1717,LEN(B1717)-FIND("@",B1717)),""))</f>
        <v/>
      </c>
      <c r="G1717">
        <f>IF(D1717="KEEP",COUNTIF($D$2:D1717,"KEEP"),"")</f>
        <v/>
      </c>
      <c r="H1717">
        <f>IF(D1717="REMOVE",COUNTIF($D$2:D1717,"REMOVE"),"")</f>
        <v/>
      </c>
      <c r="I1717">
        <f>IF(E1717="Gmail",COUNTIF($E$2:E1717,"Gmail"),"")</f>
        <v/>
      </c>
      <c r="J1717">
        <f>IF(E1717="Outlook",COUNTIF($E$2:E1717,"Outlook"),"")</f>
        <v/>
      </c>
      <c r="K1717">
        <f>IF(E1717="Domain",COUNTIF($E$2:E1717,"Domain"),"")</f>
        <v/>
      </c>
    </row>
    <row r="1718">
      <c r="A1718" s="2" t="n"/>
      <c r="B1718">
        <f>LOWER(TRIM(A1718))</f>
        <v/>
      </c>
      <c r="C1718">
        <f>IF(B1718="","",IFERROR(INDEX('Bad Patterns'!$A$2:$A$120,MATCH(1,INDEX(--ISNUMBER(SEARCH('Bad Patterns'!$A$2:$A$120,B1718)),0),0)),""))</f>
        <v/>
      </c>
      <c r="D1718">
        <f>IF(B1718="","",IF(C1718&lt;&gt;"","REMOVE","KEEP"))</f>
        <v/>
      </c>
      <c r="E1718">
        <f>IF(D1718&lt;&gt;"KEEP","",IF(RIGHT(B1718,10)="@gmail.com","Gmail",IF(OR(RIGHT(B1718,12)="@outlook.com",RIGHT(B1718,12)="@hotmail.com",RIGHT(B1718,9)="@live.com"),"Outlook","Domain")))</f>
        <v/>
      </c>
      <c r="F1718">
        <f>IF(B1718="","",IFERROR(RIGHT(B1718,LEN(B1718)-FIND("@",B1718)),""))</f>
        <v/>
      </c>
      <c r="G1718">
        <f>IF(D1718="KEEP",COUNTIF($D$2:D1718,"KEEP"),"")</f>
        <v/>
      </c>
      <c r="H1718">
        <f>IF(D1718="REMOVE",COUNTIF($D$2:D1718,"REMOVE"),"")</f>
        <v/>
      </c>
      <c r="I1718">
        <f>IF(E1718="Gmail",COUNTIF($E$2:E1718,"Gmail"),"")</f>
        <v/>
      </c>
      <c r="J1718">
        <f>IF(E1718="Outlook",COUNTIF($E$2:E1718,"Outlook"),"")</f>
        <v/>
      </c>
      <c r="K1718">
        <f>IF(E1718="Domain",COUNTIF($E$2:E1718,"Domain"),"")</f>
        <v/>
      </c>
    </row>
    <row r="1719">
      <c r="A1719" s="2" t="n"/>
      <c r="B1719">
        <f>LOWER(TRIM(A1719))</f>
        <v/>
      </c>
      <c r="C1719">
        <f>IF(B1719="","",IFERROR(INDEX('Bad Patterns'!$A$2:$A$120,MATCH(1,INDEX(--ISNUMBER(SEARCH('Bad Patterns'!$A$2:$A$120,B1719)),0),0)),""))</f>
        <v/>
      </c>
      <c r="D1719">
        <f>IF(B1719="","",IF(C1719&lt;&gt;"","REMOVE","KEEP"))</f>
        <v/>
      </c>
      <c r="E1719">
        <f>IF(D1719&lt;&gt;"KEEP","",IF(RIGHT(B1719,10)="@gmail.com","Gmail",IF(OR(RIGHT(B1719,12)="@outlook.com",RIGHT(B1719,12)="@hotmail.com",RIGHT(B1719,9)="@live.com"),"Outlook","Domain")))</f>
        <v/>
      </c>
      <c r="F1719">
        <f>IF(B1719="","",IFERROR(RIGHT(B1719,LEN(B1719)-FIND("@",B1719)),""))</f>
        <v/>
      </c>
      <c r="G1719">
        <f>IF(D1719="KEEP",COUNTIF($D$2:D1719,"KEEP"),"")</f>
        <v/>
      </c>
      <c r="H1719">
        <f>IF(D1719="REMOVE",COUNTIF($D$2:D1719,"REMOVE"),"")</f>
        <v/>
      </c>
      <c r="I1719">
        <f>IF(E1719="Gmail",COUNTIF($E$2:E1719,"Gmail"),"")</f>
        <v/>
      </c>
      <c r="J1719">
        <f>IF(E1719="Outlook",COUNTIF($E$2:E1719,"Outlook"),"")</f>
        <v/>
      </c>
      <c r="K1719">
        <f>IF(E1719="Domain",COUNTIF($E$2:E1719,"Domain"),"")</f>
        <v/>
      </c>
    </row>
    <row r="1720">
      <c r="A1720" s="2" t="n"/>
      <c r="B1720">
        <f>LOWER(TRIM(A1720))</f>
        <v/>
      </c>
      <c r="C1720">
        <f>IF(B1720="","",IFERROR(INDEX('Bad Patterns'!$A$2:$A$120,MATCH(1,INDEX(--ISNUMBER(SEARCH('Bad Patterns'!$A$2:$A$120,B1720)),0),0)),""))</f>
        <v/>
      </c>
      <c r="D1720">
        <f>IF(B1720="","",IF(C1720&lt;&gt;"","REMOVE","KEEP"))</f>
        <v/>
      </c>
      <c r="E1720">
        <f>IF(D1720&lt;&gt;"KEEP","",IF(RIGHT(B1720,10)="@gmail.com","Gmail",IF(OR(RIGHT(B1720,12)="@outlook.com",RIGHT(B1720,12)="@hotmail.com",RIGHT(B1720,9)="@live.com"),"Outlook","Domain")))</f>
        <v/>
      </c>
      <c r="F1720">
        <f>IF(B1720="","",IFERROR(RIGHT(B1720,LEN(B1720)-FIND("@",B1720)),""))</f>
        <v/>
      </c>
      <c r="G1720">
        <f>IF(D1720="KEEP",COUNTIF($D$2:D1720,"KEEP"),"")</f>
        <v/>
      </c>
      <c r="H1720">
        <f>IF(D1720="REMOVE",COUNTIF($D$2:D1720,"REMOVE"),"")</f>
        <v/>
      </c>
      <c r="I1720">
        <f>IF(E1720="Gmail",COUNTIF($E$2:E1720,"Gmail"),"")</f>
        <v/>
      </c>
      <c r="J1720">
        <f>IF(E1720="Outlook",COUNTIF($E$2:E1720,"Outlook"),"")</f>
        <v/>
      </c>
      <c r="K1720">
        <f>IF(E1720="Domain",COUNTIF($E$2:E1720,"Domain"),"")</f>
        <v/>
      </c>
    </row>
    <row r="1721">
      <c r="A1721" s="2" t="n"/>
      <c r="B1721">
        <f>LOWER(TRIM(A1721))</f>
        <v/>
      </c>
      <c r="C1721">
        <f>IF(B1721="","",IFERROR(INDEX('Bad Patterns'!$A$2:$A$120,MATCH(1,INDEX(--ISNUMBER(SEARCH('Bad Patterns'!$A$2:$A$120,B1721)),0),0)),""))</f>
        <v/>
      </c>
      <c r="D1721">
        <f>IF(B1721="","",IF(C1721&lt;&gt;"","REMOVE","KEEP"))</f>
        <v/>
      </c>
      <c r="E1721">
        <f>IF(D1721&lt;&gt;"KEEP","",IF(RIGHT(B1721,10)="@gmail.com","Gmail",IF(OR(RIGHT(B1721,12)="@outlook.com",RIGHT(B1721,12)="@hotmail.com",RIGHT(B1721,9)="@live.com"),"Outlook","Domain")))</f>
        <v/>
      </c>
      <c r="F1721">
        <f>IF(B1721="","",IFERROR(RIGHT(B1721,LEN(B1721)-FIND("@",B1721)),""))</f>
        <v/>
      </c>
      <c r="G1721">
        <f>IF(D1721="KEEP",COUNTIF($D$2:D1721,"KEEP"),"")</f>
        <v/>
      </c>
      <c r="H1721">
        <f>IF(D1721="REMOVE",COUNTIF($D$2:D1721,"REMOVE"),"")</f>
        <v/>
      </c>
      <c r="I1721">
        <f>IF(E1721="Gmail",COUNTIF($E$2:E1721,"Gmail"),"")</f>
        <v/>
      </c>
      <c r="J1721">
        <f>IF(E1721="Outlook",COUNTIF($E$2:E1721,"Outlook"),"")</f>
        <v/>
      </c>
      <c r="K1721">
        <f>IF(E1721="Domain",COUNTIF($E$2:E1721,"Domain"),"")</f>
        <v/>
      </c>
    </row>
    <row r="1722">
      <c r="A1722" s="2" t="n"/>
      <c r="B1722">
        <f>LOWER(TRIM(A1722))</f>
        <v/>
      </c>
      <c r="C1722">
        <f>IF(B1722="","",IFERROR(INDEX('Bad Patterns'!$A$2:$A$120,MATCH(1,INDEX(--ISNUMBER(SEARCH('Bad Patterns'!$A$2:$A$120,B1722)),0),0)),""))</f>
        <v/>
      </c>
      <c r="D1722">
        <f>IF(B1722="","",IF(C1722&lt;&gt;"","REMOVE","KEEP"))</f>
        <v/>
      </c>
      <c r="E1722">
        <f>IF(D1722&lt;&gt;"KEEP","",IF(RIGHT(B1722,10)="@gmail.com","Gmail",IF(OR(RIGHT(B1722,12)="@outlook.com",RIGHT(B1722,12)="@hotmail.com",RIGHT(B1722,9)="@live.com"),"Outlook","Domain")))</f>
        <v/>
      </c>
      <c r="F1722">
        <f>IF(B1722="","",IFERROR(RIGHT(B1722,LEN(B1722)-FIND("@",B1722)),""))</f>
        <v/>
      </c>
      <c r="G1722">
        <f>IF(D1722="KEEP",COUNTIF($D$2:D1722,"KEEP"),"")</f>
        <v/>
      </c>
      <c r="H1722">
        <f>IF(D1722="REMOVE",COUNTIF($D$2:D1722,"REMOVE"),"")</f>
        <v/>
      </c>
      <c r="I1722">
        <f>IF(E1722="Gmail",COUNTIF($E$2:E1722,"Gmail"),"")</f>
        <v/>
      </c>
      <c r="J1722">
        <f>IF(E1722="Outlook",COUNTIF($E$2:E1722,"Outlook"),"")</f>
        <v/>
      </c>
      <c r="K1722">
        <f>IF(E1722="Domain",COUNTIF($E$2:E1722,"Domain"),"")</f>
        <v/>
      </c>
    </row>
    <row r="1723">
      <c r="A1723" s="2" t="n"/>
      <c r="B1723">
        <f>LOWER(TRIM(A1723))</f>
        <v/>
      </c>
      <c r="C1723">
        <f>IF(B1723="","",IFERROR(INDEX('Bad Patterns'!$A$2:$A$120,MATCH(1,INDEX(--ISNUMBER(SEARCH('Bad Patterns'!$A$2:$A$120,B1723)),0),0)),""))</f>
        <v/>
      </c>
      <c r="D1723">
        <f>IF(B1723="","",IF(C1723&lt;&gt;"","REMOVE","KEEP"))</f>
        <v/>
      </c>
      <c r="E1723">
        <f>IF(D1723&lt;&gt;"KEEP","",IF(RIGHT(B1723,10)="@gmail.com","Gmail",IF(OR(RIGHT(B1723,12)="@outlook.com",RIGHT(B1723,12)="@hotmail.com",RIGHT(B1723,9)="@live.com"),"Outlook","Domain")))</f>
        <v/>
      </c>
      <c r="F1723">
        <f>IF(B1723="","",IFERROR(RIGHT(B1723,LEN(B1723)-FIND("@",B1723)),""))</f>
        <v/>
      </c>
      <c r="G1723">
        <f>IF(D1723="KEEP",COUNTIF($D$2:D1723,"KEEP"),"")</f>
        <v/>
      </c>
      <c r="H1723">
        <f>IF(D1723="REMOVE",COUNTIF($D$2:D1723,"REMOVE"),"")</f>
        <v/>
      </c>
      <c r="I1723">
        <f>IF(E1723="Gmail",COUNTIF($E$2:E1723,"Gmail"),"")</f>
        <v/>
      </c>
      <c r="J1723">
        <f>IF(E1723="Outlook",COUNTIF($E$2:E1723,"Outlook"),"")</f>
        <v/>
      </c>
      <c r="K1723">
        <f>IF(E1723="Domain",COUNTIF($E$2:E1723,"Domain"),"")</f>
        <v/>
      </c>
    </row>
    <row r="1724">
      <c r="A1724" s="2" t="n"/>
      <c r="B1724">
        <f>LOWER(TRIM(A1724))</f>
        <v/>
      </c>
      <c r="C1724">
        <f>IF(B1724="","",IFERROR(INDEX('Bad Patterns'!$A$2:$A$120,MATCH(1,INDEX(--ISNUMBER(SEARCH('Bad Patterns'!$A$2:$A$120,B1724)),0),0)),""))</f>
        <v/>
      </c>
      <c r="D1724">
        <f>IF(B1724="","",IF(C1724&lt;&gt;"","REMOVE","KEEP"))</f>
        <v/>
      </c>
      <c r="E1724">
        <f>IF(D1724&lt;&gt;"KEEP","",IF(RIGHT(B1724,10)="@gmail.com","Gmail",IF(OR(RIGHT(B1724,12)="@outlook.com",RIGHT(B1724,12)="@hotmail.com",RIGHT(B1724,9)="@live.com"),"Outlook","Domain")))</f>
        <v/>
      </c>
      <c r="F1724">
        <f>IF(B1724="","",IFERROR(RIGHT(B1724,LEN(B1724)-FIND("@",B1724)),""))</f>
        <v/>
      </c>
      <c r="G1724">
        <f>IF(D1724="KEEP",COUNTIF($D$2:D1724,"KEEP"),"")</f>
        <v/>
      </c>
      <c r="H1724">
        <f>IF(D1724="REMOVE",COUNTIF($D$2:D1724,"REMOVE"),"")</f>
        <v/>
      </c>
      <c r="I1724">
        <f>IF(E1724="Gmail",COUNTIF($E$2:E1724,"Gmail"),"")</f>
        <v/>
      </c>
      <c r="J1724">
        <f>IF(E1724="Outlook",COUNTIF($E$2:E1724,"Outlook"),"")</f>
        <v/>
      </c>
      <c r="K1724">
        <f>IF(E1724="Domain",COUNTIF($E$2:E1724,"Domain"),"")</f>
        <v/>
      </c>
    </row>
    <row r="1725">
      <c r="A1725" s="2" t="n"/>
      <c r="B1725">
        <f>LOWER(TRIM(A1725))</f>
        <v/>
      </c>
      <c r="C1725">
        <f>IF(B1725="","",IFERROR(INDEX('Bad Patterns'!$A$2:$A$120,MATCH(1,INDEX(--ISNUMBER(SEARCH('Bad Patterns'!$A$2:$A$120,B1725)),0),0)),""))</f>
        <v/>
      </c>
      <c r="D1725">
        <f>IF(B1725="","",IF(C1725&lt;&gt;"","REMOVE","KEEP"))</f>
        <v/>
      </c>
      <c r="E1725">
        <f>IF(D1725&lt;&gt;"KEEP","",IF(RIGHT(B1725,10)="@gmail.com","Gmail",IF(OR(RIGHT(B1725,12)="@outlook.com",RIGHT(B1725,12)="@hotmail.com",RIGHT(B1725,9)="@live.com"),"Outlook","Domain")))</f>
        <v/>
      </c>
      <c r="F1725">
        <f>IF(B1725="","",IFERROR(RIGHT(B1725,LEN(B1725)-FIND("@",B1725)),""))</f>
        <v/>
      </c>
      <c r="G1725">
        <f>IF(D1725="KEEP",COUNTIF($D$2:D1725,"KEEP"),"")</f>
        <v/>
      </c>
      <c r="H1725">
        <f>IF(D1725="REMOVE",COUNTIF($D$2:D1725,"REMOVE"),"")</f>
        <v/>
      </c>
      <c r="I1725">
        <f>IF(E1725="Gmail",COUNTIF($E$2:E1725,"Gmail"),"")</f>
        <v/>
      </c>
      <c r="J1725">
        <f>IF(E1725="Outlook",COUNTIF($E$2:E1725,"Outlook"),"")</f>
        <v/>
      </c>
      <c r="K1725">
        <f>IF(E1725="Domain",COUNTIF($E$2:E1725,"Domain"),"")</f>
        <v/>
      </c>
    </row>
    <row r="1726">
      <c r="A1726" s="2" t="n"/>
      <c r="B1726">
        <f>LOWER(TRIM(A1726))</f>
        <v/>
      </c>
      <c r="C1726">
        <f>IF(B1726="","",IFERROR(INDEX('Bad Patterns'!$A$2:$A$120,MATCH(1,INDEX(--ISNUMBER(SEARCH('Bad Patterns'!$A$2:$A$120,B1726)),0),0)),""))</f>
        <v/>
      </c>
      <c r="D1726">
        <f>IF(B1726="","",IF(C1726&lt;&gt;"","REMOVE","KEEP"))</f>
        <v/>
      </c>
      <c r="E1726">
        <f>IF(D1726&lt;&gt;"KEEP","",IF(RIGHT(B1726,10)="@gmail.com","Gmail",IF(OR(RIGHT(B1726,12)="@outlook.com",RIGHT(B1726,12)="@hotmail.com",RIGHT(B1726,9)="@live.com"),"Outlook","Domain")))</f>
        <v/>
      </c>
      <c r="F1726">
        <f>IF(B1726="","",IFERROR(RIGHT(B1726,LEN(B1726)-FIND("@",B1726)),""))</f>
        <v/>
      </c>
      <c r="G1726">
        <f>IF(D1726="KEEP",COUNTIF($D$2:D1726,"KEEP"),"")</f>
        <v/>
      </c>
      <c r="H1726">
        <f>IF(D1726="REMOVE",COUNTIF($D$2:D1726,"REMOVE"),"")</f>
        <v/>
      </c>
      <c r="I1726">
        <f>IF(E1726="Gmail",COUNTIF($E$2:E1726,"Gmail"),"")</f>
        <v/>
      </c>
      <c r="J1726">
        <f>IF(E1726="Outlook",COUNTIF($E$2:E1726,"Outlook"),"")</f>
        <v/>
      </c>
      <c r="K1726">
        <f>IF(E1726="Domain",COUNTIF($E$2:E1726,"Domain"),"")</f>
        <v/>
      </c>
    </row>
    <row r="1727">
      <c r="A1727" s="2" t="n"/>
      <c r="B1727">
        <f>LOWER(TRIM(A1727))</f>
        <v/>
      </c>
      <c r="C1727">
        <f>IF(B1727="","",IFERROR(INDEX('Bad Patterns'!$A$2:$A$120,MATCH(1,INDEX(--ISNUMBER(SEARCH('Bad Patterns'!$A$2:$A$120,B1727)),0),0)),""))</f>
        <v/>
      </c>
      <c r="D1727">
        <f>IF(B1727="","",IF(C1727&lt;&gt;"","REMOVE","KEEP"))</f>
        <v/>
      </c>
      <c r="E1727">
        <f>IF(D1727&lt;&gt;"KEEP","",IF(RIGHT(B1727,10)="@gmail.com","Gmail",IF(OR(RIGHT(B1727,12)="@outlook.com",RIGHT(B1727,12)="@hotmail.com",RIGHT(B1727,9)="@live.com"),"Outlook","Domain")))</f>
        <v/>
      </c>
      <c r="F1727">
        <f>IF(B1727="","",IFERROR(RIGHT(B1727,LEN(B1727)-FIND("@",B1727)),""))</f>
        <v/>
      </c>
      <c r="G1727">
        <f>IF(D1727="KEEP",COUNTIF($D$2:D1727,"KEEP"),"")</f>
        <v/>
      </c>
      <c r="H1727">
        <f>IF(D1727="REMOVE",COUNTIF($D$2:D1727,"REMOVE"),"")</f>
        <v/>
      </c>
      <c r="I1727">
        <f>IF(E1727="Gmail",COUNTIF($E$2:E1727,"Gmail"),"")</f>
        <v/>
      </c>
      <c r="J1727">
        <f>IF(E1727="Outlook",COUNTIF($E$2:E1727,"Outlook"),"")</f>
        <v/>
      </c>
      <c r="K1727">
        <f>IF(E1727="Domain",COUNTIF($E$2:E1727,"Domain"),"")</f>
        <v/>
      </c>
    </row>
    <row r="1728">
      <c r="A1728" s="2" t="n"/>
      <c r="B1728">
        <f>LOWER(TRIM(A1728))</f>
        <v/>
      </c>
      <c r="C1728">
        <f>IF(B1728="","",IFERROR(INDEX('Bad Patterns'!$A$2:$A$120,MATCH(1,INDEX(--ISNUMBER(SEARCH('Bad Patterns'!$A$2:$A$120,B1728)),0),0)),""))</f>
        <v/>
      </c>
      <c r="D1728">
        <f>IF(B1728="","",IF(C1728&lt;&gt;"","REMOVE","KEEP"))</f>
        <v/>
      </c>
      <c r="E1728">
        <f>IF(D1728&lt;&gt;"KEEP","",IF(RIGHT(B1728,10)="@gmail.com","Gmail",IF(OR(RIGHT(B1728,12)="@outlook.com",RIGHT(B1728,12)="@hotmail.com",RIGHT(B1728,9)="@live.com"),"Outlook","Domain")))</f>
        <v/>
      </c>
      <c r="F1728">
        <f>IF(B1728="","",IFERROR(RIGHT(B1728,LEN(B1728)-FIND("@",B1728)),""))</f>
        <v/>
      </c>
      <c r="G1728">
        <f>IF(D1728="KEEP",COUNTIF($D$2:D1728,"KEEP"),"")</f>
        <v/>
      </c>
      <c r="H1728">
        <f>IF(D1728="REMOVE",COUNTIF($D$2:D1728,"REMOVE"),"")</f>
        <v/>
      </c>
      <c r="I1728">
        <f>IF(E1728="Gmail",COUNTIF($E$2:E1728,"Gmail"),"")</f>
        <v/>
      </c>
      <c r="J1728">
        <f>IF(E1728="Outlook",COUNTIF($E$2:E1728,"Outlook"),"")</f>
        <v/>
      </c>
      <c r="K1728">
        <f>IF(E1728="Domain",COUNTIF($E$2:E1728,"Domain"),"")</f>
        <v/>
      </c>
    </row>
    <row r="1729">
      <c r="A1729" s="2" t="n"/>
      <c r="B1729">
        <f>LOWER(TRIM(A1729))</f>
        <v/>
      </c>
      <c r="C1729">
        <f>IF(B1729="","",IFERROR(INDEX('Bad Patterns'!$A$2:$A$120,MATCH(1,INDEX(--ISNUMBER(SEARCH('Bad Patterns'!$A$2:$A$120,B1729)),0),0)),""))</f>
        <v/>
      </c>
      <c r="D1729">
        <f>IF(B1729="","",IF(C1729&lt;&gt;"","REMOVE","KEEP"))</f>
        <v/>
      </c>
      <c r="E1729">
        <f>IF(D1729&lt;&gt;"KEEP","",IF(RIGHT(B1729,10)="@gmail.com","Gmail",IF(OR(RIGHT(B1729,12)="@outlook.com",RIGHT(B1729,12)="@hotmail.com",RIGHT(B1729,9)="@live.com"),"Outlook","Domain")))</f>
        <v/>
      </c>
      <c r="F1729">
        <f>IF(B1729="","",IFERROR(RIGHT(B1729,LEN(B1729)-FIND("@",B1729)),""))</f>
        <v/>
      </c>
      <c r="G1729">
        <f>IF(D1729="KEEP",COUNTIF($D$2:D1729,"KEEP"),"")</f>
        <v/>
      </c>
      <c r="H1729">
        <f>IF(D1729="REMOVE",COUNTIF($D$2:D1729,"REMOVE"),"")</f>
        <v/>
      </c>
      <c r="I1729">
        <f>IF(E1729="Gmail",COUNTIF($E$2:E1729,"Gmail"),"")</f>
        <v/>
      </c>
      <c r="J1729">
        <f>IF(E1729="Outlook",COUNTIF($E$2:E1729,"Outlook"),"")</f>
        <v/>
      </c>
      <c r="K1729">
        <f>IF(E1729="Domain",COUNTIF($E$2:E1729,"Domain"),"")</f>
        <v/>
      </c>
    </row>
    <row r="1730">
      <c r="A1730" s="2" t="n"/>
      <c r="B1730">
        <f>LOWER(TRIM(A1730))</f>
        <v/>
      </c>
      <c r="C1730">
        <f>IF(B1730="","",IFERROR(INDEX('Bad Patterns'!$A$2:$A$120,MATCH(1,INDEX(--ISNUMBER(SEARCH('Bad Patterns'!$A$2:$A$120,B1730)),0),0)),""))</f>
        <v/>
      </c>
      <c r="D1730">
        <f>IF(B1730="","",IF(C1730&lt;&gt;"","REMOVE","KEEP"))</f>
        <v/>
      </c>
      <c r="E1730">
        <f>IF(D1730&lt;&gt;"KEEP","",IF(RIGHT(B1730,10)="@gmail.com","Gmail",IF(OR(RIGHT(B1730,12)="@outlook.com",RIGHT(B1730,12)="@hotmail.com",RIGHT(B1730,9)="@live.com"),"Outlook","Domain")))</f>
        <v/>
      </c>
      <c r="F1730">
        <f>IF(B1730="","",IFERROR(RIGHT(B1730,LEN(B1730)-FIND("@",B1730)),""))</f>
        <v/>
      </c>
      <c r="G1730">
        <f>IF(D1730="KEEP",COUNTIF($D$2:D1730,"KEEP"),"")</f>
        <v/>
      </c>
      <c r="H1730">
        <f>IF(D1730="REMOVE",COUNTIF($D$2:D1730,"REMOVE"),"")</f>
        <v/>
      </c>
      <c r="I1730">
        <f>IF(E1730="Gmail",COUNTIF($E$2:E1730,"Gmail"),"")</f>
        <v/>
      </c>
      <c r="J1730">
        <f>IF(E1730="Outlook",COUNTIF($E$2:E1730,"Outlook"),"")</f>
        <v/>
      </c>
      <c r="K1730">
        <f>IF(E1730="Domain",COUNTIF($E$2:E1730,"Domain"),"")</f>
        <v/>
      </c>
    </row>
    <row r="1731">
      <c r="A1731" s="2" t="n"/>
      <c r="B1731">
        <f>LOWER(TRIM(A1731))</f>
        <v/>
      </c>
      <c r="C1731">
        <f>IF(B1731="","",IFERROR(INDEX('Bad Patterns'!$A$2:$A$120,MATCH(1,INDEX(--ISNUMBER(SEARCH('Bad Patterns'!$A$2:$A$120,B1731)),0),0)),""))</f>
        <v/>
      </c>
      <c r="D1731">
        <f>IF(B1731="","",IF(C1731&lt;&gt;"","REMOVE","KEEP"))</f>
        <v/>
      </c>
      <c r="E1731">
        <f>IF(D1731&lt;&gt;"KEEP","",IF(RIGHT(B1731,10)="@gmail.com","Gmail",IF(OR(RIGHT(B1731,12)="@outlook.com",RIGHT(B1731,12)="@hotmail.com",RIGHT(B1731,9)="@live.com"),"Outlook","Domain")))</f>
        <v/>
      </c>
      <c r="F1731">
        <f>IF(B1731="","",IFERROR(RIGHT(B1731,LEN(B1731)-FIND("@",B1731)),""))</f>
        <v/>
      </c>
      <c r="G1731">
        <f>IF(D1731="KEEP",COUNTIF($D$2:D1731,"KEEP"),"")</f>
        <v/>
      </c>
      <c r="H1731">
        <f>IF(D1731="REMOVE",COUNTIF($D$2:D1731,"REMOVE"),"")</f>
        <v/>
      </c>
      <c r="I1731">
        <f>IF(E1731="Gmail",COUNTIF($E$2:E1731,"Gmail"),"")</f>
        <v/>
      </c>
      <c r="J1731">
        <f>IF(E1731="Outlook",COUNTIF($E$2:E1731,"Outlook"),"")</f>
        <v/>
      </c>
      <c r="K1731">
        <f>IF(E1731="Domain",COUNTIF($E$2:E1731,"Domain"),"")</f>
        <v/>
      </c>
    </row>
    <row r="1732">
      <c r="A1732" s="2" t="n"/>
      <c r="B1732">
        <f>LOWER(TRIM(A1732))</f>
        <v/>
      </c>
      <c r="C1732">
        <f>IF(B1732="","",IFERROR(INDEX('Bad Patterns'!$A$2:$A$120,MATCH(1,INDEX(--ISNUMBER(SEARCH('Bad Patterns'!$A$2:$A$120,B1732)),0),0)),""))</f>
        <v/>
      </c>
      <c r="D1732">
        <f>IF(B1732="","",IF(C1732&lt;&gt;"","REMOVE","KEEP"))</f>
        <v/>
      </c>
      <c r="E1732">
        <f>IF(D1732&lt;&gt;"KEEP","",IF(RIGHT(B1732,10)="@gmail.com","Gmail",IF(OR(RIGHT(B1732,12)="@outlook.com",RIGHT(B1732,12)="@hotmail.com",RIGHT(B1732,9)="@live.com"),"Outlook","Domain")))</f>
        <v/>
      </c>
      <c r="F1732">
        <f>IF(B1732="","",IFERROR(RIGHT(B1732,LEN(B1732)-FIND("@",B1732)),""))</f>
        <v/>
      </c>
      <c r="G1732">
        <f>IF(D1732="KEEP",COUNTIF($D$2:D1732,"KEEP"),"")</f>
        <v/>
      </c>
      <c r="H1732">
        <f>IF(D1732="REMOVE",COUNTIF($D$2:D1732,"REMOVE"),"")</f>
        <v/>
      </c>
      <c r="I1732">
        <f>IF(E1732="Gmail",COUNTIF($E$2:E1732,"Gmail"),"")</f>
        <v/>
      </c>
      <c r="J1732">
        <f>IF(E1732="Outlook",COUNTIF($E$2:E1732,"Outlook"),"")</f>
        <v/>
      </c>
      <c r="K1732">
        <f>IF(E1732="Domain",COUNTIF($E$2:E1732,"Domain"),"")</f>
        <v/>
      </c>
    </row>
    <row r="1733">
      <c r="A1733" s="2" t="n"/>
      <c r="B1733">
        <f>LOWER(TRIM(A1733))</f>
        <v/>
      </c>
      <c r="C1733">
        <f>IF(B1733="","",IFERROR(INDEX('Bad Patterns'!$A$2:$A$120,MATCH(1,INDEX(--ISNUMBER(SEARCH('Bad Patterns'!$A$2:$A$120,B1733)),0),0)),""))</f>
        <v/>
      </c>
      <c r="D1733">
        <f>IF(B1733="","",IF(C1733&lt;&gt;"","REMOVE","KEEP"))</f>
        <v/>
      </c>
      <c r="E1733">
        <f>IF(D1733&lt;&gt;"KEEP","",IF(RIGHT(B1733,10)="@gmail.com","Gmail",IF(OR(RIGHT(B1733,12)="@outlook.com",RIGHT(B1733,12)="@hotmail.com",RIGHT(B1733,9)="@live.com"),"Outlook","Domain")))</f>
        <v/>
      </c>
      <c r="F1733">
        <f>IF(B1733="","",IFERROR(RIGHT(B1733,LEN(B1733)-FIND("@",B1733)),""))</f>
        <v/>
      </c>
      <c r="G1733">
        <f>IF(D1733="KEEP",COUNTIF($D$2:D1733,"KEEP"),"")</f>
        <v/>
      </c>
      <c r="H1733">
        <f>IF(D1733="REMOVE",COUNTIF($D$2:D1733,"REMOVE"),"")</f>
        <v/>
      </c>
      <c r="I1733">
        <f>IF(E1733="Gmail",COUNTIF($E$2:E1733,"Gmail"),"")</f>
        <v/>
      </c>
      <c r="J1733">
        <f>IF(E1733="Outlook",COUNTIF($E$2:E1733,"Outlook"),"")</f>
        <v/>
      </c>
      <c r="K1733">
        <f>IF(E1733="Domain",COUNTIF($E$2:E1733,"Domain"),"")</f>
        <v/>
      </c>
    </row>
    <row r="1734">
      <c r="A1734" s="2" t="n"/>
      <c r="B1734">
        <f>LOWER(TRIM(A1734))</f>
        <v/>
      </c>
      <c r="C1734">
        <f>IF(B1734="","",IFERROR(INDEX('Bad Patterns'!$A$2:$A$120,MATCH(1,INDEX(--ISNUMBER(SEARCH('Bad Patterns'!$A$2:$A$120,B1734)),0),0)),""))</f>
        <v/>
      </c>
      <c r="D1734">
        <f>IF(B1734="","",IF(C1734&lt;&gt;"","REMOVE","KEEP"))</f>
        <v/>
      </c>
      <c r="E1734">
        <f>IF(D1734&lt;&gt;"KEEP","",IF(RIGHT(B1734,10)="@gmail.com","Gmail",IF(OR(RIGHT(B1734,12)="@outlook.com",RIGHT(B1734,12)="@hotmail.com",RIGHT(B1734,9)="@live.com"),"Outlook","Domain")))</f>
        <v/>
      </c>
      <c r="F1734">
        <f>IF(B1734="","",IFERROR(RIGHT(B1734,LEN(B1734)-FIND("@",B1734)),""))</f>
        <v/>
      </c>
      <c r="G1734">
        <f>IF(D1734="KEEP",COUNTIF($D$2:D1734,"KEEP"),"")</f>
        <v/>
      </c>
      <c r="H1734">
        <f>IF(D1734="REMOVE",COUNTIF($D$2:D1734,"REMOVE"),"")</f>
        <v/>
      </c>
      <c r="I1734">
        <f>IF(E1734="Gmail",COUNTIF($E$2:E1734,"Gmail"),"")</f>
        <v/>
      </c>
      <c r="J1734">
        <f>IF(E1734="Outlook",COUNTIF($E$2:E1734,"Outlook"),"")</f>
        <v/>
      </c>
      <c r="K1734">
        <f>IF(E1734="Domain",COUNTIF($E$2:E1734,"Domain"),"")</f>
        <v/>
      </c>
    </row>
    <row r="1735">
      <c r="A1735" s="2" t="n"/>
      <c r="B1735">
        <f>LOWER(TRIM(A1735))</f>
        <v/>
      </c>
      <c r="C1735">
        <f>IF(B1735="","",IFERROR(INDEX('Bad Patterns'!$A$2:$A$120,MATCH(1,INDEX(--ISNUMBER(SEARCH('Bad Patterns'!$A$2:$A$120,B1735)),0),0)),""))</f>
        <v/>
      </c>
      <c r="D1735">
        <f>IF(B1735="","",IF(C1735&lt;&gt;"","REMOVE","KEEP"))</f>
        <v/>
      </c>
      <c r="E1735">
        <f>IF(D1735&lt;&gt;"KEEP","",IF(RIGHT(B1735,10)="@gmail.com","Gmail",IF(OR(RIGHT(B1735,12)="@outlook.com",RIGHT(B1735,12)="@hotmail.com",RIGHT(B1735,9)="@live.com"),"Outlook","Domain")))</f>
        <v/>
      </c>
      <c r="F1735">
        <f>IF(B1735="","",IFERROR(RIGHT(B1735,LEN(B1735)-FIND("@",B1735)),""))</f>
        <v/>
      </c>
      <c r="G1735">
        <f>IF(D1735="KEEP",COUNTIF($D$2:D1735,"KEEP"),"")</f>
        <v/>
      </c>
      <c r="H1735">
        <f>IF(D1735="REMOVE",COUNTIF($D$2:D1735,"REMOVE"),"")</f>
        <v/>
      </c>
      <c r="I1735">
        <f>IF(E1735="Gmail",COUNTIF($E$2:E1735,"Gmail"),"")</f>
        <v/>
      </c>
      <c r="J1735">
        <f>IF(E1735="Outlook",COUNTIF($E$2:E1735,"Outlook"),"")</f>
        <v/>
      </c>
      <c r="K1735">
        <f>IF(E1735="Domain",COUNTIF($E$2:E1735,"Domain"),"")</f>
        <v/>
      </c>
    </row>
    <row r="1736">
      <c r="A1736" s="2" t="n"/>
      <c r="B1736">
        <f>LOWER(TRIM(A1736))</f>
        <v/>
      </c>
      <c r="C1736">
        <f>IF(B1736="","",IFERROR(INDEX('Bad Patterns'!$A$2:$A$120,MATCH(1,INDEX(--ISNUMBER(SEARCH('Bad Patterns'!$A$2:$A$120,B1736)),0),0)),""))</f>
        <v/>
      </c>
      <c r="D1736">
        <f>IF(B1736="","",IF(C1736&lt;&gt;"","REMOVE","KEEP"))</f>
        <v/>
      </c>
      <c r="E1736">
        <f>IF(D1736&lt;&gt;"KEEP","",IF(RIGHT(B1736,10)="@gmail.com","Gmail",IF(OR(RIGHT(B1736,12)="@outlook.com",RIGHT(B1736,12)="@hotmail.com",RIGHT(B1736,9)="@live.com"),"Outlook","Domain")))</f>
        <v/>
      </c>
      <c r="F1736">
        <f>IF(B1736="","",IFERROR(RIGHT(B1736,LEN(B1736)-FIND("@",B1736)),""))</f>
        <v/>
      </c>
      <c r="G1736">
        <f>IF(D1736="KEEP",COUNTIF($D$2:D1736,"KEEP"),"")</f>
        <v/>
      </c>
      <c r="H1736">
        <f>IF(D1736="REMOVE",COUNTIF($D$2:D1736,"REMOVE"),"")</f>
        <v/>
      </c>
      <c r="I1736">
        <f>IF(E1736="Gmail",COUNTIF($E$2:E1736,"Gmail"),"")</f>
        <v/>
      </c>
      <c r="J1736">
        <f>IF(E1736="Outlook",COUNTIF($E$2:E1736,"Outlook"),"")</f>
        <v/>
      </c>
      <c r="K1736">
        <f>IF(E1736="Domain",COUNTIF($E$2:E1736,"Domain"),"")</f>
        <v/>
      </c>
    </row>
    <row r="1737">
      <c r="A1737" s="2" t="n"/>
      <c r="B1737">
        <f>LOWER(TRIM(A1737))</f>
        <v/>
      </c>
      <c r="C1737">
        <f>IF(B1737="","",IFERROR(INDEX('Bad Patterns'!$A$2:$A$120,MATCH(1,INDEX(--ISNUMBER(SEARCH('Bad Patterns'!$A$2:$A$120,B1737)),0),0)),""))</f>
        <v/>
      </c>
      <c r="D1737">
        <f>IF(B1737="","",IF(C1737&lt;&gt;"","REMOVE","KEEP"))</f>
        <v/>
      </c>
      <c r="E1737">
        <f>IF(D1737&lt;&gt;"KEEP","",IF(RIGHT(B1737,10)="@gmail.com","Gmail",IF(OR(RIGHT(B1737,12)="@outlook.com",RIGHT(B1737,12)="@hotmail.com",RIGHT(B1737,9)="@live.com"),"Outlook","Domain")))</f>
        <v/>
      </c>
      <c r="F1737">
        <f>IF(B1737="","",IFERROR(RIGHT(B1737,LEN(B1737)-FIND("@",B1737)),""))</f>
        <v/>
      </c>
      <c r="G1737">
        <f>IF(D1737="KEEP",COUNTIF($D$2:D1737,"KEEP"),"")</f>
        <v/>
      </c>
      <c r="H1737">
        <f>IF(D1737="REMOVE",COUNTIF($D$2:D1737,"REMOVE"),"")</f>
        <v/>
      </c>
      <c r="I1737">
        <f>IF(E1737="Gmail",COUNTIF($E$2:E1737,"Gmail"),"")</f>
        <v/>
      </c>
      <c r="J1737">
        <f>IF(E1737="Outlook",COUNTIF($E$2:E1737,"Outlook"),"")</f>
        <v/>
      </c>
      <c r="K1737">
        <f>IF(E1737="Domain",COUNTIF($E$2:E1737,"Domain"),"")</f>
        <v/>
      </c>
    </row>
    <row r="1738">
      <c r="A1738" s="2" t="n"/>
      <c r="B1738">
        <f>LOWER(TRIM(A1738))</f>
        <v/>
      </c>
      <c r="C1738">
        <f>IF(B1738="","",IFERROR(INDEX('Bad Patterns'!$A$2:$A$120,MATCH(1,INDEX(--ISNUMBER(SEARCH('Bad Patterns'!$A$2:$A$120,B1738)),0),0)),""))</f>
        <v/>
      </c>
      <c r="D1738">
        <f>IF(B1738="","",IF(C1738&lt;&gt;"","REMOVE","KEEP"))</f>
        <v/>
      </c>
      <c r="E1738">
        <f>IF(D1738&lt;&gt;"KEEP","",IF(RIGHT(B1738,10)="@gmail.com","Gmail",IF(OR(RIGHT(B1738,12)="@outlook.com",RIGHT(B1738,12)="@hotmail.com",RIGHT(B1738,9)="@live.com"),"Outlook","Domain")))</f>
        <v/>
      </c>
      <c r="F1738">
        <f>IF(B1738="","",IFERROR(RIGHT(B1738,LEN(B1738)-FIND("@",B1738)),""))</f>
        <v/>
      </c>
      <c r="G1738">
        <f>IF(D1738="KEEP",COUNTIF($D$2:D1738,"KEEP"),"")</f>
        <v/>
      </c>
      <c r="H1738">
        <f>IF(D1738="REMOVE",COUNTIF($D$2:D1738,"REMOVE"),"")</f>
        <v/>
      </c>
      <c r="I1738">
        <f>IF(E1738="Gmail",COUNTIF($E$2:E1738,"Gmail"),"")</f>
        <v/>
      </c>
      <c r="J1738">
        <f>IF(E1738="Outlook",COUNTIF($E$2:E1738,"Outlook"),"")</f>
        <v/>
      </c>
      <c r="K1738">
        <f>IF(E1738="Domain",COUNTIF($E$2:E1738,"Domain"),"")</f>
        <v/>
      </c>
    </row>
    <row r="1739">
      <c r="A1739" s="2" t="n"/>
      <c r="B1739">
        <f>LOWER(TRIM(A1739))</f>
        <v/>
      </c>
      <c r="C1739">
        <f>IF(B1739="","",IFERROR(INDEX('Bad Patterns'!$A$2:$A$120,MATCH(1,INDEX(--ISNUMBER(SEARCH('Bad Patterns'!$A$2:$A$120,B1739)),0),0)),""))</f>
        <v/>
      </c>
      <c r="D1739">
        <f>IF(B1739="","",IF(C1739&lt;&gt;"","REMOVE","KEEP"))</f>
        <v/>
      </c>
      <c r="E1739">
        <f>IF(D1739&lt;&gt;"KEEP","",IF(RIGHT(B1739,10)="@gmail.com","Gmail",IF(OR(RIGHT(B1739,12)="@outlook.com",RIGHT(B1739,12)="@hotmail.com",RIGHT(B1739,9)="@live.com"),"Outlook","Domain")))</f>
        <v/>
      </c>
      <c r="F1739">
        <f>IF(B1739="","",IFERROR(RIGHT(B1739,LEN(B1739)-FIND("@",B1739)),""))</f>
        <v/>
      </c>
      <c r="G1739">
        <f>IF(D1739="KEEP",COUNTIF($D$2:D1739,"KEEP"),"")</f>
        <v/>
      </c>
      <c r="H1739">
        <f>IF(D1739="REMOVE",COUNTIF($D$2:D1739,"REMOVE"),"")</f>
        <v/>
      </c>
      <c r="I1739">
        <f>IF(E1739="Gmail",COUNTIF($E$2:E1739,"Gmail"),"")</f>
        <v/>
      </c>
      <c r="J1739">
        <f>IF(E1739="Outlook",COUNTIF($E$2:E1739,"Outlook"),"")</f>
        <v/>
      </c>
      <c r="K1739">
        <f>IF(E1739="Domain",COUNTIF($E$2:E1739,"Domain"),"")</f>
        <v/>
      </c>
    </row>
    <row r="1740">
      <c r="A1740" s="2" t="n"/>
      <c r="B1740">
        <f>LOWER(TRIM(A1740))</f>
        <v/>
      </c>
      <c r="C1740">
        <f>IF(B1740="","",IFERROR(INDEX('Bad Patterns'!$A$2:$A$120,MATCH(1,INDEX(--ISNUMBER(SEARCH('Bad Patterns'!$A$2:$A$120,B1740)),0),0)),""))</f>
        <v/>
      </c>
      <c r="D1740">
        <f>IF(B1740="","",IF(C1740&lt;&gt;"","REMOVE","KEEP"))</f>
        <v/>
      </c>
      <c r="E1740">
        <f>IF(D1740&lt;&gt;"KEEP","",IF(RIGHT(B1740,10)="@gmail.com","Gmail",IF(OR(RIGHT(B1740,12)="@outlook.com",RIGHT(B1740,12)="@hotmail.com",RIGHT(B1740,9)="@live.com"),"Outlook","Domain")))</f>
        <v/>
      </c>
      <c r="F1740">
        <f>IF(B1740="","",IFERROR(RIGHT(B1740,LEN(B1740)-FIND("@",B1740)),""))</f>
        <v/>
      </c>
      <c r="G1740">
        <f>IF(D1740="KEEP",COUNTIF($D$2:D1740,"KEEP"),"")</f>
        <v/>
      </c>
      <c r="H1740">
        <f>IF(D1740="REMOVE",COUNTIF($D$2:D1740,"REMOVE"),"")</f>
        <v/>
      </c>
      <c r="I1740">
        <f>IF(E1740="Gmail",COUNTIF($E$2:E1740,"Gmail"),"")</f>
        <v/>
      </c>
      <c r="J1740">
        <f>IF(E1740="Outlook",COUNTIF($E$2:E1740,"Outlook"),"")</f>
        <v/>
      </c>
      <c r="K1740">
        <f>IF(E1740="Domain",COUNTIF($E$2:E1740,"Domain"),"")</f>
        <v/>
      </c>
    </row>
    <row r="1741">
      <c r="A1741" s="2" t="n"/>
      <c r="B1741">
        <f>LOWER(TRIM(A1741))</f>
        <v/>
      </c>
      <c r="C1741">
        <f>IF(B1741="","",IFERROR(INDEX('Bad Patterns'!$A$2:$A$120,MATCH(1,INDEX(--ISNUMBER(SEARCH('Bad Patterns'!$A$2:$A$120,B1741)),0),0)),""))</f>
        <v/>
      </c>
      <c r="D1741">
        <f>IF(B1741="","",IF(C1741&lt;&gt;"","REMOVE","KEEP"))</f>
        <v/>
      </c>
      <c r="E1741">
        <f>IF(D1741&lt;&gt;"KEEP","",IF(RIGHT(B1741,10)="@gmail.com","Gmail",IF(OR(RIGHT(B1741,12)="@outlook.com",RIGHT(B1741,12)="@hotmail.com",RIGHT(B1741,9)="@live.com"),"Outlook","Domain")))</f>
        <v/>
      </c>
      <c r="F1741">
        <f>IF(B1741="","",IFERROR(RIGHT(B1741,LEN(B1741)-FIND("@",B1741)),""))</f>
        <v/>
      </c>
      <c r="G1741">
        <f>IF(D1741="KEEP",COUNTIF($D$2:D1741,"KEEP"),"")</f>
        <v/>
      </c>
      <c r="H1741">
        <f>IF(D1741="REMOVE",COUNTIF($D$2:D1741,"REMOVE"),"")</f>
        <v/>
      </c>
      <c r="I1741">
        <f>IF(E1741="Gmail",COUNTIF($E$2:E1741,"Gmail"),"")</f>
        <v/>
      </c>
      <c r="J1741">
        <f>IF(E1741="Outlook",COUNTIF($E$2:E1741,"Outlook"),"")</f>
        <v/>
      </c>
      <c r="K1741">
        <f>IF(E1741="Domain",COUNTIF($E$2:E1741,"Domain"),"")</f>
        <v/>
      </c>
    </row>
    <row r="1742">
      <c r="A1742" s="2" t="n"/>
      <c r="B1742">
        <f>LOWER(TRIM(A1742))</f>
        <v/>
      </c>
      <c r="C1742">
        <f>IF(B1742="","",IFERROR(INDEX('Bad Patterns'!$A$2:$A$120,MATCH(1,INDEX(--ISNUMBER(SEARCH('Bad Patterns'!$A$2:$A$120,B1742)),0),0)),""))</f>
        <v/>
      </c>
      <c r="D1742">
        <f>IF(B1742="","",IF(C1742&lt;&gt;"","REMOVE","KEEP"))</f>
        <v/>
      </c>
      <c r="E1742">
        <f>IF(D1742&lt;&gt;"KEEP","",IF(RIGHT(B1742,10)="@gmail.com","Gmail",IF(OR(RIGHT(B1742,12)="@outlook.com",RIGHT(B1742,12)="@hotmail.com",RIGHT(B1742,9)="@live.com"),"Outlook","Domain")))</f>
        <v/>
      </c>
      <c r="F1742">
        <f>IF(B1742="","",IFERROR(RIGHT(B1742,LEN(B1742)-FIND("@",B1742)),""))</f>
        <v/>
      </c>
      <c r="G1742">
        <f>IF(D1742="KEEP",COUNTIF($D$2:D1742,"KEEP"),"")</f>
        <v/>
      </c>
      <c r="H1742">
        <f>IF(D1742="REMOVE",COUNTIF($D$2:D1742,"REMOVE"),"")</f>
        <v/>
      </c>
      <c r="I1742">
        <f>IF(E1742="Gmail",COUNTIF($E$2:E1742,"Gmail"),"")</f>
        <v/>
      </c>
      <c r="J1742">
        <f>IF(E1742="Outlook",COUNTIF($E$2:E1742,"Outlook"),"")</f>
        <v/>
      </c>
      <c r="K1742">
        <f>IF(E1742="Domain",COUNTIF($E$2:E1742,"Domain"),"")</f>
        <v/>
      </c>
    </row>
    <row r="1743">
      <c r="A1743" s="2" t="n"/>
      <c r="B1743">
        <f>LOWER(TRIM(A1743))</f>
        <v/>
      </c>
      <c r="C1743">
        <f>IF(B1743="","",IFERROR(INDEX('Bad Patterns'!$A$2:$A$120,MATCH(1,INDEX(--ISNUMBER(SEARCH('Bad Patterns'!$A$2:$A$120,B1743)),0),0)),""))</f>
        <v/>
      </c>
      <c r="D1743">
        <f>IF(B1743="","",IF(C1743&lt;&gt;"","REMOVE","KEEP"))</f>
        <v/>
      </c>
      <c r="E1743">
        <f>IF(D1743&lt;&gt;"KEEP","",IF(RIGHT(B1743,10)="@gmail.com","Gmail",IF(OR(RIGHT(B1743,12)="@outlook.com",RIGHT(B1743,12)="@hotmail.com",RIGHT(B1743,9)="@live.com"),"Outlook","Domain")))</f>
        <v/>
      </c>
      <c r="F1743">
        <f>IF(B1743="","",IFERROR(RIGHT(B1743,LEN(B1743)-FIND("@",B1743)),""))</f>
        <v/>
      </c>
      <c r="G1743">
        <f>IF(D1743="KEEP",COUNTIF($D$2:D1743,"KEEP"),"")</f>
        <v/>
      </c>
      <c r="H1743">
        <f>IF(D1743="REMOVE",COUNTIF($D$2:D1743,"REMOVE"),"")</f>
        <v/>
      </c>
      <c r="I1743">
        <f>IF(E1743="Gmail",COUNTIF($E$2:E1743,"Gmail"),"")</f>
        <v/>
      </c>
      <c r="J1743">
        <f>IF(E1743="Outlook",COUNTIF($E$2:E1743,"Outlook"),"")</f>
        <v/>
      </c>
      <c r="K1743">
        <f>IF(E1743="Domain",COUNTIF($E$2:E1743,"Domain"),"")</f>
        <v/>
      </c>
    </row>
    <row r="1744">
      <c r="A1744" s="2" t="n"/>
      <c r="B1744">
        <f>LOWER(TRIM(A1744))</f>
        <v/>
      </c>
      <c r="C1744">
        <f>IF(B1744="","",IFERROR(INDEX('Bad Patterns'!$A$2:$A$120,MATCH(1,INDEX(--ISNUMBER(SEARCH('Bad Patterns'!$A$2:$A$120,B1744)),0),0)),""))</f>
        <v/>
      </c>
      <c r="D1744">
        <f>IF(B1744="","",IF(C1744&lt;&gt;"","REMOVE","KEEP"))</f>
        <v/>
      </c>
      <c r="E1744">
        <f>IF(D1744&lt;&gt;"KEEP","",IF(RIGHT(B1744,10)="@gmail.com","Gmail",IF(OR(RIGHT(B1744,12)="@outlook.com",RIGHT(B1744,12)="@hotmail.com",RIGHT(B1744,9)="@live.com"),"Outlook","Domain")))</f>
        <v/>
      </c>
      <c r="F1744">
        <f>IF(B1744="","",IFERROR(RIGHT(B1744,LEN(B1744)-FIND("@",B1744)),""))</f>
        <v/>
      </c>
      <c r="G1744">
        <f>IF(D1744="KEEP",COUNTIF($D$2:D1744,"KEEP"),"")</f>
        <v/>
      </c>
      <c r="H1744">
        <f>IF(D1744="REMOVE",COUNTIF($D$2:D1744,"REMOVE"),"")</f>
        <v/>
      </c>
      <c r="I1744">
        <f>IF(E1744="Gmail",COUNTIF($E$2:E1744,"Gmail"),"")</f>
        <v/>
      </c>
      <c r="J1744">
        <f>IF(E1744="Outlook",COUNTIF($E$2:E1744,"Outlook"),"")</f>
        <v/>
      </c>
      <c r="K1744">
        <f>IF(E1744="Domain",COUNTIF($E$2:E1744,"Domain"),"")</f>
        <v/>
      </c>
    </row>
    <row r="1745">
      <c r="A1745" s="2" t="n"/>
      <c r="B1745">
        <f>LOWER(TRIM(A1745))</f>
        <v/>
      </c>
      <c r="C1745">
        <f>IF(B1745="","",IFERROR(INDEX('Bad Patterns'!$A$2:$A$120,MATCH(1,INDEX(--ISNUMBER(SEARCH('Bad Patterns'!$A$2:$A$120,B1745)),0),0)),""))</f>
        <v/>
      </c>
      <c r="D1745">
        <f>IF(B1745="","",IF(C1745&lt;&gt;"","REMOVE","KEEP"))</f>
        <v/>
      </c>
      <c r="E1745">
        <f>IF(D1745&lt;&gt;"KEEP","",IF(RIGHT(B1745,10)="@gmail.com","Gmail",IF(OR(RIGHT(B1745,12)="@outlook.com",RIGHT(B1745,12)="@hotmail.com",RIGHT(B1745,9)="@live.com"),"Outlook","Domain")))</f>
        <v/>
      </c>
      <c r="F1745">
        <f>IF(B1745="","",IFERROR(RIGHT(B1745,LEN(B1745)-FIND("@",B1745)),""))</f>
        <v/>
      </c>
      <c r="G1745">
        <f>IF(D1745="KEEP",COUNTIF($D$2:D1745,"KEEP"),"")</f>
        <v/>
      </c>
      <c r="H1745">
        <f>IF(D1745="REMOVE",COUNTIF($D$2:D1745,"REMOVE"),"")</f>
        <v/>
      </c>
      <c r="I1745">
        <f>IF(E1745="Gmail",COUNTIF($E$2:E1745,"Gmail"),"")</f>
        <v/>
      </c>
      <c r="J1745">
        <f>IF(E1745="Outlook",COUNTIF($E$2:E1745,"Outlook"),"")</f>
        <v/>
      </c>
      <c r="K1745">
        <f>IF(E1745="Domain",COUNTIF($E$2:E1745,"Domain"),"")</f>
        <v/>
      </c>
    </row>
    <row r="1746">
      <c r="A1746" s="2" t="n"/>
      <c r="B1746">
        <f>LOWER(TRIM(A1746))</f>
        <v/>
      </c>
      <c r="C1746">
        <f>IF(B1746="","",IFERROR(INDEX('Bad Patterns'!$A$2:$A$120,MATCH(1,INDEX(--ISNUMBER(SEARCH('Bad Patterns'!$A$2:$A$120,B1746)),0),0)),""))</f>
        <v/>
      </c>
      <c r="D1746">
        <f>IF(B1746="","",IF(C1746&lt;&gt;"","REMOVE","KEEP"))</f>
        <v/>
      </c>
      <c r="E1746">
        <f>IF(D1746&lt;&gt;"KEEP","",IF(RIGHT(B1746,10)="@gmail.com","Gmail",IF(OR(RIGHT(B1746,12)="@outlook.com",RIGHT(B1746,12)="@hotmail.com",RIGHT(B1746,9)="@live.com"),"Outlook","Domain")))</f>
        <v/>
      </c>
      <c r="F1746">
        <f>IF(B1746="","",IFERROR(RIGHT(B1746,LEN(B1746)-FIND("@",B1746)),""))</f>
        <v/>
      </c>
      <c r="G1746">
        <f>IF(D1746="KEEP",COUNTIF($D$2:D1746,"KEEP"),"")</f>
        <v/>
      </c>
      <c r="H1746">
        <f>IF(D1746="REMOVE",COUNTIF($D$2:D1746,"REMOVE"),"")</f>
        <v/>
      </c>
      <c r="I1746">
        <f>IF(E1746="Gmail",COUNTIF($E$2:E1746,"Gmail"),"")</f>
        <v/>
      </c>
      <c r="J1746">
        <f>IF(E1746="Outlook",COUNTIF($E$2:E1746,"Outlook"),"")</f>
        <v/>
      </c>
      <c r="K1746">
        <f>IF(E1746="Domain",COUNTIF($E$2:E1746,"Domain"),"")</f>
        <v/>
      </c>
    </row>
    <row r="1747">
      <c r="A1747" s="2" t="n"/>
      <c r="B1747">
        <f>LOWER(TRIM(A1747))</f>
        <v/>
      </c>
      <c r="C1747">
        <f>IF(B1747="","",IFERROR(INDEX('Bad Patterns'!$A$2:$A$120,MATCH(1,INDEX(--ISNUMBER(SEARCH('Bad Patterns'!$A$2:$A$120,B1747)),0),0)),""))</f>
        <v/>
      </c>
      <c r="D1747">
        <f>IF(B1747="","",IF(C1747&lt;&gt;"","REMOVE","KEEP"))</f>
        <v/>
      </c>
      <c r="E1747">
        <f>IF(D1747&lt;&gt;"KEEP","",IF(RIGHT(B1747,10)="@gmail.com","Gmail",IF(OR(RIGHT(B1747,12)="@outlook.com",RIGHT(B1747,12)="@hotmail.com",RIGHT(B1747,9)="@live.com"),"Outlook","Domain")))</f>
        <v/>
      </c>
      <c r="F1747">
        <f>IF(B1747="","",IFERROR(RIGHT(B1747,LEN(B1747)-FIND("@",B1747)),""))</f>
        <v/>
      </c>
      <c r="G1747">
        <f>IF(D1747="KEEP",COUNTIF($D$2:D1747,"KEEP"),"")</f>
        <v/>
      </c>
      <c r="H1747">
        <f>IF(D1747="REMOVE",COUNTIF($D$2:D1747,"REMOVE"),"")</f>
        <v/>
      </c>
      <c r="I1747">
        <f>IF(E1747="Gmail",COUNTIF($E$2:E1747,"Gmail"),"")</f>
        <v/>
      </c>
      <c r="J1747">
        <f>IF(E1747="Outlook",COUNTIF($E$2:E1747,"Outlook"),"")</f>
        <v/>
      </c>
      <c r="K1747">
        <f>IF(E1747="Domain",COUNTIF($E$2:E1747,"Domain"),"")</f>
        <v/>
      </c>
    </row>
    <row r="1748">
      <c r="A1748" s="2" t="n"/>
      <c r="B1748">
        <f>LOWER(TRIM(A1748))</f>
        <v/>
      </c>
      <c r="C1748">
        <f>IF(B1748="","",IFERROR(INDEX('Bad Patterns'!$A$2:$A$120,MATCH(1,INDEX(--ISNUMBER(SEARCH('Bad Patterns'!$A$2:$A$120,B1748)),0),0)),""))</f>
        <v/>
      </c>
      <c r="D1748">
        <f>IF(B1748="","",IF(C1748&lt;&gt;"","REMOVE","KEEP"))</f>
        <v/>
      </c>
      <c r="E1748">
        <f>IF(D1748&lt;&gt;"KEEP","",IF(RIGHT(B1748,10)="@gmail.com","Gmail",IF(OR(RIGHT(B1748,12)="@outlook.com",RIGHT(B1748,12)="@hotmail.com",RIGHT(B1748,9)="@live.com"),"Outlook","Domain")))</f>
        <v/>
      </c>
      <c r="F1748">
        <f>IF(B1748="","",IFERROR(RIGHT(B1748,LEN(B1748)-FIND("@",B1748)),""))</f>
        <v/>
      </c>
      <c r="G1748">
        <f>IF(D1748="KEEP",COUNTIF($D$2:D1748,"KEEP"),"")</f>
        <v/>
      </c>
      <c r="H1748">
        <f>IF(D1748="REMOVE",COUNTIF($D$2:D1748,"REMOVE"),"")</f>
        <v/>
      </c>
      <c r="I1748">
        <f>IF(E1748="Gmail",COUNTIF($E$2:E1748,"Gmail"),"")</f>
        <v/>
      </c>
      <c r="J1748">
        <f>IF(E1748="Outlook",COUNTIF($E$2:E1748,"Outlook"),"")</f>
        <v/>
      </c>
      <c r="K1748">
        <f>IF(E1748="Domain",COUNTIF($E$2:E1748,"Domain"),"")</f>
        <v/>
      </c>
    </row>
    <row r="1749">
      <c r="A1749" s="2" t="n"/>
      <c r="B1749">
        <f>LOWER(TRIM(A1749))</f>
        <v/>
      </c>
      <c r="C1749">
        <f>IF(B1749="","",IFERROR(INDEX('Bad Patterns'!$A$2:$A$120,MATCH(1,INDEX(--ISNUMBER(SEARCH('Bad Patterns'!$A$2:$A$120,B1749)),0),0)),""))</f>
        <v/>
      </c>
      <c r="D1749">
        <f>IF(B1749="","",IF(C1749&lt;&gt;"","REMOVE","KEEP"))</f>
        <v/>
      </c>
      <c r="E1749">
        <f>IF(D1749&lt;&gt;"KEEP","",IF(RIGHT(B1749,10)="@gmail.com","Gmail",IF(OR(RIGHT(B1749,12)="@outlook.com",RIGHT(B1749,12)="@hotmail.com",RIGHT(B1749,9)="@live.com"),"Outlook","Domain")))</f>
        <v/>
      </c>
      <c r="F1749">
        <f>IF(B1749="","",IFERROR(RIGHT(B1749,LEN(B1749)-FIND("@",B1749)),""))</f>
        <v/>
      </c>
      <c r="G1749">
        <f>IF(D1749="KEEP",COUNTIF($D$2:D1749,"KEEP"),"")</f>
        <v/>
      </c>
      <c r="H1749">
        <f>IF(D1749="REMOVE",COUNTIF($D$2:D1749,"REMOVE"),"")</f>
        <v/>
      </c>
      <c r="I1749">
        <f>IF(E1749="Gmail",COUNTIF($E$2:E1749,"Gmail"),"")</f>
        <v/>
      </c>
      <c r="J1749">
        <f>IF(E1749="Outlook",COUNTIF($E$2:E1749,"Outlook"),"")</f>
        <v/>
      </c>
      <c r="K1749">
        <f>IF(E1749="Domain",COUNTIF($E$2:E1749,"Domain"),"")</f>
        <v/>
      </c>
    </row>
    <row r="1750">
      <c r="A1750" s="2" t="n"/>
      <c r="B1750">
        <f>LOWER(TRIM(A1750))</f>
        <v/>
      </c>
      <c r="C1750">
        <f>IF(B1750="","",IFERROR(INDEX('Bad Patterns'!$A$2:$A$120,MATCH(1,INDEX(--ISNUMBER(SEARCH('Bad Patterns'!$A$2:$A$120,B1750)),0),0)),""))</f>
        <v/>
      </c>
      <c r="D1750">
        <f>IF(B1750="","",IF(C1750&lt;&gt;"","REMOVE","KEEP"))</f>
        <v/>
      </c>
      <c r="E1750">
        <f>IF(D1750&lt;&gt;"KEEP","",IF(RIGHT(B1750,10)="@gmail.com","Gmail",IF(OR(RIGHT(B1750,12)="@outlook.com",RIGHT(B1750,12)="@hotmail.com",RIGHT(B1750,9)="@live.com"),"Outlook","Domain")))</f>
        <v/>
      </c>
      <c r="F1750">
        <f>IF(B1750="","",IFERROR(RIGHT(B1750,LEN(B1750)-FIND("@",B1750)),""))</f>
        <v/>
      </c>
      <c r="G1750">
        <f>IF(D1750="KEEP",COUNTIF($D$2:D1750,"KEEP"),"")</f>
        <v/>
      </c>
      <c r="H1750">
        <f>IF(D1750="REMOVE",COUNTIF($D$2:D1750,"REMOVE"),"")</f>
        <v/>
      </c>
      <c r="I1750">
        <f>IF(E1750="Gmail",COUNTIF($E$2:E1750,"Gmail"),"")</f>
        <v/>
      </c>
      <c r="J1750">
        <f>IF(E1750="Outlook",COUNTIF($E$2:E1750,"Outlook"),"")</f>
        <v/>
      </c>
      <c r="K1750">
        <f>IF(E1750="Domain",COUNTIF($E$2:E1750,"Domain"),"")</f>
        <v/>
      </c>
    </row>
    <row r="1751">
      <c r="A1751" s="2" t="n"/>
      <c r="B1751">
        <f>LOWER(TRIM(A1751))</f>
        <v/>
      </c>
      <c r="C1751">
        <f>IF(B1751="","",IFERROR(INDEX('Bad Patterns'!$A$2:$A$120,MATCH(1,INDEX(--ISNUMBER(SEARCH('Bad Patterns'!$A$2:$A$120,B1751)),0),0)),""))</f>
        <v/>
      </c>
      <c r="D1751">
        <f>IF(B1751="","",IF(C1751&lt;&gt;"","REMOVE","KEEP"))</f>
        <v/>
      </c>
      <c r="E1751">
        <f>IF(D1751&lt;&gt;"KEEP","",IF(RIGHT(B1751,10)="@gmail.com","Gmail",IF(OR(RIGHT(B1751,12)="@outlook.com",RIGHT(B1751,12)="@hotmail.com",RIGHT(B1751,9)="@live.com"),"Outlook","Domain")))</f>
        <v/>
      </c>
      <c r="F1751">
        <f>IF(B1751="","",IFERROR(RIGHT(B1751,LEN(B1751)-FIND("@",B1751)),""))</f>
        <v/>
      </c>
      <c r="G1751">
        <f>IF(D1751="KEEP",COUNTIF($D$2:D1751,"KEEP"),"")</f>
        <v/>
      </c>
      <c r="H1751">
        <f>IF(D1751="REMOVE",COUNTIF($D$2:D1751,"REMOVE"),"")</f>
        <v/>
      </c>
      <c r="I1751">
        <f>IF(E1751="Gmail",COUNTIF($E$2:E1751,"Gmail"),"")</f>
        <v/>
      </c>
      <c r="J1751">
        <f>IF(E1751="Outlook",COUNTIF($E$2:E1751,"Outlook"),"")</f>
        <v/>
      </c>
      <c r="K1751">
        <f>IF(E1751="Domain",COUNTIF($E$2:E1751,"Domain"),"")</f>
        <v/>
      </c>
    </row>
    <row r="1752">
      <c r="A1752" s="2" t="n"/>
      <c r="B1752">
        <f>LOWER(TRIM(A1752))</f>
        <v/>
      </c>
      <c r="C1752">
        <f>IF(B1752="","",IFERROR(INDEX('Bad Patterns'!$A$2:$A$120,MATCH(1,INDEX(--ISNUMBER(SEARCH('Bad Patterns'!$A$2:$A$120,B1752)),0),0)),""))</f>
        <v/>
      </c>
      <c r="D1752">
        <f>IF(B1752="","",IF(C1752&lt;&gt;"","REMOVE","KEEP"))</f>
        <v/>
      </c>
      <c r="E1752">
        <f>IF(D1752&lt;&gt;"KEEP","",IF(RIGHT(B1752,10)="@gmail.com","Gmail",IF(OR(RIGHT(B1752,12)="@outlook.com",RIGHT(B1752,12)="@hotmail.com",RIGHT(B1752,9)="@live.com"),"Outlook","Domain")))</f>
        <v/>
      </c>
      <c r="F1752">
        <f>IF(B1752="","",IFERROR(RIGHT(B1752,LEN(B1752)-FIND("@",B1752)),""))</f>
        <v/>
      </c>
      <c r="G1752">
        <f>IF(D1752="KEEP",COUNTIF($D$2:D1752,"KEEP"),"")</f>
        <v/>
      </c>
      <c r="H1752">
        <f>IF(D1752="REMOVE",COUNTIF($D$2:D1752,"REMOVE"),"")</f>
        <v/>
      </c>
      <c r="I1752">
        <f>IF(E1752="Gmail",COUNTIF($E$2:E1752,"Gmail"),"")</f>
        <v/>
      </c>
      <c r="J1752">
        <f>IF(E1752="Outlook",COUNTIF($E$2:E1752,"Outlook"),"")</f>
        <v/>
      </c>
      <c r="K1752">
        <f>IF(E1752="Domain",COUNTIF($E$2:E1752,"Domain"),"")</f>
        <v/>
      </c>
    </row>
    <row r="1753">
      <c r="A1753" s="2" t="n"/>
      <c r="B1753">
        <f>LOWER(TRIM(A1753))</f>
        <v/>
      </c>
      <c r="C1753">
        <f>IF(B1753="","",IFERROR(INDEX('Bad Patterns'!$A$2:$A$120,MATCH(1,INDEX(--ISNUMBER(SEARCH('Bad Patterns'!$A$2:$A$120,B1753)),0),0)),""))</f>
        <v/>
      </c>
      <c r="D1753">
        <f>IF(B1753="","",IF(C1753&lt;&gt;"","REMOVE","KEEP"))</f>
        <v/>
      </c>
      <c r="E1753">
        <f>IF(D1753&lt;&gt;"KEEP","",IF(RIGHT(B1753,10)="@gmail.com","Gmail",IF(OR(RIGHT(B1753,12)="@outlook.com",RIGHT(B1753,12)="@hotmail.com",RIGHT(B1753,9)="@live.com"),"Outlook","Domain")))</f>
        <v/>
      </c>
      <c r="F1753">
        <f>IF(B1753="","",IFERROR(RIGHT(B1753,LEN(B1753)-FIND("@",B1753)),""))</f>
        <v/>
      </c>
      <c r="G1753">
        <f>IF(D1753="KEEP",COUNTIF($D$2:D1753,"KEEP"),"")</f>
        <v/>
      </c>
      <c r="H1753">
        <f>IF(D1753="REMOVE",COUNTIF($D$2:D1753,"REMOVE"),"")</f>
        <v/>
      </c>
      <c r="I1753">
        <f>IF(E1753="Gmail",COUNTIF($E$2:E1753,"Gmail"),"")</f>
        <v/>
      </c>
      <c r="J1753">
        <f>IF(E1753="Outlook",COUNTIF($E$2:E1753,"Outlook"),"")</f>
        <v/>
      </c>
      <c r="K1753">
        <f>IF(E1753="Domain",COUNTIF($E$2:E1753,"Domain"),"")</f>
        <v/>
      </c>
    </row>
    <row r="1754">
      <c r="A1754" s="2" t="n"/>
      <c r="B1754">
        <f>LOWER(TRIM(A1754))</f>
        <v/>
      </c>
      <c r="C1754">
        <f>IF(B1754="","",IFERROR(INDEX('Bad Patterns'!$A$2:$A$120,MATCH(1,INDEX(--ISNUMBER(SEARCH('Bad Patterns'!$A$2:$A$120,B1754)),0),0)),""))</f>
        <v/>
      </c>
      <c r="D1754">
        <f>IF(B1754="","",IF(C1754&lt;&gt;"","REMOVE","KEEP"))</f>
        <v/>
      </c>
      <c r="E1754">
        <f>IF(D1754&lt;&gt;"KEEP","",IF(RIGHT(B1754,10)="@gmail.com","Gmail",IF(OR(RIGHT(B1754,12)="@outlook.com",RIGHT(B1754,12)="@hotmail.com",RIGHT(B1754,9)="@live.com"),"Outlook","Domain")))</f>
        <v/>
      </c>
      <c r="F1754">
        <f>IF(B1754="","",IFERROR(RIGHT(B1754,LEN(B1754)-FIND("@",B1754)),""))</f>
        <v/>
      </c>
      <c r="G1754">
        <f>IF(D1754="KEEP",COUNTIF($D$2:D1754,"KEEP"),"")</f>
        <v/>
      </c>
      <c r="H1754">
        <f>IF(D1754="REMOVE",COUNTIF($D$2:D1754,"REMOVE"),"")</f>
        <v/>
      </c>
      <c r="I1754">
        <f>IF(E1754="Gmail",COUNTIF($E$2:E1754,"Gmail"),"")</f>
        <v/>
      </c>
      <c r="J1754">
        <f>IF(E1754="Outlook",COUNTIF($E$2:E1754,"Outlook"),"")</f>
        <v/>
      </c>
      <c r="K1754">
        <f>IF(E1754="Domain",COUNTIF($E$2:E1754,"Domain"),"")</f>
        <v/>
      </c>
    </row>
    <row r="1755">
      <c r="A1755" s="2" t="n"/>
      <c r="B1755">
        <f>LOWER(TRIM(A1755))</f>
        <v/>
      </c>
      <c r="C1755">
        <f>IF(B1755="","",IFERROR(INDEX('Bad Patterns'!$A$2:$A$120,MATCH(1,INDEX(--ISNUMBER(SEARCH('Bad Patterns'!$A$2:$A$120,B1755)),0),0)),""))</f>
        <v/>
      </c>
      <c r="D1755">
        <f>IF(B1755="","",IF(C1755&lt;&gt;"","REMOVE","KEEP"))</f>
        <v/>
      </c>
      <c r="E1755">
        <f>IF(D1755&lt;&gt;"KEEP","",IF(RIGHT(B1755,10)="@gmail.com","Gmail",IF(OR(RIGHT(B1755,12)="@outlook.com",RIGHT(B1755,12)="@hotmail.com",RIGHT(B1755,9)="@live.com"),"Outlook","Domain")))</f>
        <v/>
      </c>
      <c r="F1755">
        <f>IF(B1755="","",IFERROR(RIGHT(B1755,LEN(B1755)-FIND("@",B1755)),""))</f>
        <v/>
      </c>
      <c r="G1755">
        <f>IF(D1755="KEEP",COUNTIF($D$2:D1755,"KEEP"),"")</f>
        <v/>
      </c>
      <c r="H1755">
        <f>IF(D1755="REMOVE",COUNTIF($D$2:D1755,"REMOVE"),"")</f>
        <v/>
      </c>
      <c r="I1755">
        <f>IF(E1755="Gmail",COUNTIF($E$2:E1755,"Gmail"),"")</f>
        <v/>
      </c>
      <c r="J1755">
        <f>IF(E1755="Outlook",COUNTIF($E$2:E1755,"Outlook"),"")</f>
        <v/>
      </c>
      <c r="K1755">
        <f>IF(E1755="Domain",COUNTIF($E$2:E1755,"Domain"),"")</f>
        <v/>
      </c>
    </row>
    <row r="1756">
      <c r="A1756" s="2" t="n"/>
      <c r="B1756">
        <f>LOWER(TRIM(A1756))</f>
        <v/>
      </c>
      <c r="C1756">
        <f>IF(B1756="","",IFERROR(INDEX('Bad Patterns'!$A$2:$A$120,MATCH(1,INDEX(--ISNUMBER(SEARCH('Bad Patterns'!$A$2:$A$120,B1756)),0),0)),""))</f>
        <v/>
      </c>
      <c r="D1756">
        <f>IF(B1756="","",IF(C1756&lt;&gt;"","REMOVE","KEEP"))</f>
        <v/>
      </c>
      <c r="E1756">
        <f>IF(D1756&lt;&gt;"KEEP","",IF(RIGHT(B1756,10)="@gmail.com","Gmail",IF(OR(RIGHT(B1756,12)="@outlook.com",RIGHT(B1756,12)="@hotmail.com",RIGHT(B1756,9)="@live.com"),"Outlook","Domain")))</f>
        <v/>
      </c>
      <c r="F1756">
        <f>IF(B1756="","",IFERROR(RIGHT(B1756,LEN(B1756)-FIND("@",B1756)),""))</f>
        <v/>
      </c>
      <c r="G1756">
        <f>IF(D1756="KEEP",COUNTIF($D$2:D1756,"KEEP"),"")</f>
        <v/>
      </c>
      <c r="H1756">
        <f>IF(D1756="REMOVE",COUNTIF($D$2:D1756,"REMOVE"),"")</f>
        <v/>
      </c>
      <c r="I1756">
        <f>IF(E1756="Gmail",COUNTIF($E$2:E1756,"Gmail"),"")</f>
        <v/>
      </c>
      <c r="J1756">
        <f>IF(E1756="Outlook",COUNTIF($E$2:E1756,"Outlook"),"")</f>
        <v/>
      </c>
      <c r="K1756">
        <f>IF(E1756="Domain",COUNTIF($E$2:E1756,"Domain"),"")</f>
        <v/>
      </c>
    </row>
    <row r="1757">
      <c r="A1757" s="2" t="n"/>
      <c r="B1757">
        <f>LOWER(TRIM(A1757))</f>
        <v/>
      </c>
      <c r="C1757">
        <f>IF(B1757="","",IFERROR(INDEX('Bad Patterns'!$A$2:$A$120,MATCH(1,INDEX(--ISNUMBER(SEARCH('Bad Patterns'!$A$2:$A$120,B1757)),0),0)),""))</f>
        <v/>
      </c>
      <c r="D1757">
        <f>IF(B1757="","",IF(C1757&lt;&gt;"","REMOVE","KEEP"))</f>
        <v/>
      </c>
      <c r="E1757">
        <f>IF(D1757&lt;&gt;"KEEP","",IF(RIGHT(B1757,10)="@gmail.com","Gmail",IF(OR(RIGHT(B1757,12)="@outlook.com",RIGHT(B1757,12)="@hotmail.com",RIGHT(B1757,9)="@live.com"),"Outlook","Domain")))</f>
        <v/>
      </c>
      <c r="F1757">
        <f>IF(B1757="","",IFERROR(RIGHT(B1757,LEN(B1757)-FIND("@",B1757)),""))</f>
        <v/>
      </c>
      <c r="G1757">
        <f>IF(D1757="KEEP",COUNTIF($D$2:D1757,"KEEP"),"")</f>
        <v/>
      </c>
      <c r="H1757">
        <f>IF(D1757="REMOVE",COUNTIF($D$2:D1757,"REMOVE"),"")</f>
        <v/>
      </c>
      <c r="I1757">
        <f>IF(E1757="Gmail",COUNTIF($E$2:E1757,"Gmail"),"")</f>
        <v/>
      </c>
      <c r="J1757">
        <f>IF(E1757="Outlook",COUNTIF($E$2:E1757,"Outlook"),"")</f>
        <v/>
      </c>
      <c r="K1757">
        <f>IF(E1757="Domain",COUNTIF($E$2:E1757,"Domain"),"")</f>
        <v/>
      </c>
    </row>
    <row r="1758">
      <c r="A1758" s="2" t="n"/>
      <c r="B1758">
        <f>LOWER(TRIM(A1758))</f>
        <v/>
      </c>
      <c r="C1758">
        <f>IF(B1758="","",IFERROR(INDEX('Bad Patterns'!$A$2:$A$120,MATCH(1,INDEX(--ISNUMBER(SEARCH('Bad Patterns'!$A$2:$A$120,B1758)),0),0)),""))</f>
        <v/>
      </c>
      <c r="D1758">
        <f>IF(B1758="","",IF(C1758&lt;&gt;"","REMOVE","KEEP"))</f>
        <v/>
      </c>
      <c r="E1758">
        <f>IF(D1758&lt;&gt;"KEEP","",IF(RIGHT(B1758,10)="@gmail.com","Gmail",IF(OR(RIGHT(B1758,12)="@outlook.com",RIGHT(B1758,12)="@hotmail.com",RIGHT(B1758,9)="@live.com"),"Outlook","Domain")))</f>
        <v/>
      </c>
      <c r="F1758">
        <f>IF(B1758="","",IFERROR(RIGHT(B1758,LEN(B1758)-FIND("@",B1758)),""))</f>
        <v/>
      </c>
      <c r="G1758">
        <f>IF(D1758="KEEP",COUNTIF($D$2:D1758,"KEEP"),"")</f>
        <v/>
      </c>
      <c r="H1758">
        <f>IF(D1758="REMOVE",COUNTIF($D$2:D1758,"REMOVE"),"")</f>
        <v/>
      </c>
      <c r="I1758">
        <f>IF(E1758="Gmail",COUNTIF($E$2:E1758,"Gmail"),"")</f>
        <v/>
      </c>
      <c r="J1758">
        <f>IF(E1758="Outlook",COUNTIF($E$2:E1758,"Outlook"),"")</f>
        <v/>
      </c>
      <c r="K1758">
        <f>IF(E1758="Domain",COUNTIF($E$2:E1758,"Domain"),"")</f>
        <v/>
      </c>
    </row>
    <row r="1759">
      <c r="A1759" s="2" t="n"/>
      <c r="B1759">
        <f>LOWER(TRIM(A1759))</f>
        <v/>
      </c>
      <c r="C1759">
        <f>IF(B1759="","",IFERROR(INDEX('Bad Patterns'!$A$2:$A$120,MATCH(1,INDEX(--ISNUMBER(SEARCH('Bad Patterns'!$A$2:$A$120,B1759)),0),0)),""))</f>
        <v/>
      </c>
      <c r="D1759">
        <f>IF(B1759="","",IF(C1759&lt;&gt;"","REMOVE","KEEP"))</f>
        <v/>
      </c>
      <c r="E1759">
        <f>IF(D1759&lt;&gt;"KEEP","",IF(RIGHT(B1759,10)="@gmail.com","Gmail",IF(OR(RIGHT(B1759,12)="@outlook.com",RIGHT(B1759,12)="@hotmail.com",RIGHT(B1759,9)="@live.com"),"Outlook","Domain")))</f>
        <v/>
      </c>
      <c r="F1759">
        <f>IF(B1759="","",IFERROR(RIGHT(B1759,LEN(B1759)-FIND("@",B1759)),""))</f>
        <v/>
      </c>
      <c r="G1759">
        <f>IF(D1759="KEEP",COUNTIF($D$2:D1759,"KEEP"),"")</f>
        <v/>
      </c>
      <c r="H1759">
        <f>IF(D1759="REMOVE",COUNTIF($D$2:D1759,"REMOVE"),"")</f>
        <v/>
      </c>
      <c r="I1759">
        <f>IF(E1759="Gmail",COUNTIF($E$2:E1759,"Gmail"),"")</f>
        <v/>
      </c>
      <c r="J1759">
        <f>IF(E1759="Outlook",COUNTIF($E$2:E1759,"Outlook"),"")</f>
        <v/>
      </c>
      <c r="K1759">
        <f>IF(E1759="Domain",COUNTIF($E$2:E1759,"Domain"),"")</f>
        <v/>
      </c>
    </row>
    <row r="1760">
      <c r="A1760" s="2" t="n"/>
      <c r="B1760">
        <f>LOWER(TRIM(A1760))</f>
        <v/>
      </c>
      <c r="C1760">
        <f>IF(B1760="","",IFERROR(INDEX('Bad Patterns'!$A$2:$A$120,MATCH(1,INDEX(--ISNUMBER(SEARCH('Bad Patterns'!$A$2:$A$120,B1760)),0),0)),""))</f>
        <v/>
      </c>
      <c r="D1760">
        <f>IF(B1760="","",IF(C1760&lt;&gt;"","REMOVE","KEEP"))</f>
        <v/>
      </c>
      <c r="E1760">
        <f>IF(D1760&lt;&gt;"KEEP","",IF(RIGHT(B1760,10)="@gmail.com","Gmail",IF(OR(RIGHT(B1760,12)="@outlook.com",RIGHT(B1760,12)="@hotmail.com",RIGHT(B1760,9)="@live.com"),"Outlook","Domain")))</f>
        <v/>
      </c>
      <c r="F1760">
        <f>IF(B1760="","",IFERROR(RIGHT(B1760,LEN(B1760)-FIND("@",B1760)),""))</f>
        <v/>
      </c>
      <c r="G1760">
        <f>IF(D1760="KEEP",COUNTIF($D$2:D1760,"KEEP"),"")</f>
        <v/>
      </c>
      <c r="H1760">
        <f>IF(D1760="REMOVE",COUNTIF($D$2:D1760,"REMOVE"),"")</f>
        <v/>
      </c>
      <c r="I1760">
        <f>IF(E1760="Gmail",COUNTIF($E$2:E1760,"Gmail"),"")</f>
        <v/>
      </c>
      <c r="J1760">
        <f>IF(E1760="Outlook",COUNTIF($E$2:E1760,"Outlook"),"")</f>
        <v/>
      </c>
      <c r="K1760">
        <f>IF(E1760="Domain",COUNTIF($E$2:E1760,"Domain"),"")</f>
        <v/>
      </c>
    </row>
    <row r="1761">
      <c r="A1761" s="2" t="n"/>
      <c r="B1761">
        <f>LOWER(TRIM(A1761))</f>
        <v/>
      </c>
      <c r="C1761">
        <f>IF(B1761="","",IFERROR(INDEX('Bad Patterns'!$A$2:$A$120,MATCH(1,INDEX(--ISNUMBER(SEARCH('Bad Patterns'!$A$2:$A$120,B1761)),0),0)),""))</f>
        <v/>
      </c>
      <c r="D1761">
        <f>IF(B1761="","",IF(C1761&lt;&gt;"","REMOVE","KEEP"))</f>
        <v/>
      </c>
      <c r="E1761">
        <f>IF(D1761&lt;&gt;"KEEP","",IF(RIGHT(B1761,10)="@gmail.com","Gmail",IF(OR(RIGHT(B1761,12)="@outlook.com",RIGHT(B1761,12)="@hotmail.com",RIGHT(B1761,9)="@live.com"),"Outlook","Domain")))</f>
        <v/>
      </c>
      <c r="F1761">
        <f>IF(B1761="","",IFERROR(RIGHT(B1761,LEN(B1761)-FIND("@",B1761)),""))</f>
        <v/>
      </c>
      <c r="G1761">
        <f>IF(D1761="KEEP",COUNTIF($D$2:D1761,"KEEP"),"")</f>
        <v/>
      </c>
      <c r="H1761">
        <f>IF(D1761="REMOVE",COUNTIF($D$2:D1761,"REMOVE"),"")</f>
        <v/>
      </c>
      <c r="I1761">
        <f>IF(E1761="Gmail",COUNTIF($E$2:E1761,"Gmail"),"")</f>
        <v/>
      </c>
      <c r="J1761">
        <f>IF(E1761="Outlook",COUNTIF($E$2:E1761,"Outlook"),"")</f>
        <v/>
      </c>
      <c r="K1761">
        <f>IF(E1761="Domain",COUNTIF($E$2:E1761,"Domain"),"")</f>
        <v/>
      </c>
    </row>
    <row r="1762">
      <c r="A1762" s="2" t="n"/>
      <c r="B1762">
        <f>LOWER(TRIM(A1762))</f>
        <v/>
      </c>
      <c r="C1762">
        <f>IF(B1762="","",IFERROR(INDEX('Bad Patterns'!$A$2:$A$120,MATCH(1,INDEX(--ISNUMBER(SEARCH('Bad Patterns'!$A$2:$A$120,B1762)),0),0)),""))</f>
        <v/>
      </c>
      <c r="D1762">
        <f>IF(B1762="","",IF(C1762&lt;&gt;"","REMOVE","KEEP"))</f>
        <v/>
      </c>
      <c r="E1762">
        <f>IF(D1762&lt;&gt;"KEEP","",IF(RIGHT(B1762,10)="@gmail.com","Gmail",IF(OR(RIGHT(B1762,12)="@outlook.com",RIGHT(B1762,12)="@hotmail.com",RIGHT(B1762,9)="@live.com"),"Outlook","Domain")))</f>
        <v/>
      </c>
      <c r="F1762">
        <f>IF(B1762="","",IFERROR(RIGHT(B1762,LEN(B1762)-FIND("@",B1762)),""))</f>
        <v/>
      </c>
      <c r="G1762">
        <f>IF(D1762="KEEP",COUNTIF($D$2:D1762,"KEEP"),"")</f>
        <v/>
      </c>
      <c r="H1762">
        <f>IF(D1762="REMOVE",COUNTIF($D$2:D1762,"REMOVE"),"")</f>
        <v/>
      </c>
      <c r="I1762">
        <f>IF(E1762="Gmail",COUNTIF($E$2:E1762,"Gmail"),"")</f>
        <v/>
      </c>
      <c r="J1762">
        <f>IF(E1762="Outlook",COUNTIF($E$2:E1762,"Outlook"),"")</f>
        <v/>
      </c>
      <c r="K1762">
        <f>IF(E1762="Domain",COUNTIF($E$2:E1762,"Domain"),"")</f>
        <v/>
      </c>
    </row>
    <row r="1763">
      <c r="A1763" s="2" t="n"/>
      <c r="B1763">
        <f>LOWER(TRIM(A1763))</f>
        <v/>
      </c>
      <c r="C1763">
        <f>IF(B1763="","",IFERROR(INDEX('Bad Patterns'!$A$2:$A$120,MATCH(1,INDEX(--ISNUMBER(SEARCH('Bad Patterns'!$A$2:$A$120,B1763)),0),0)),""))</f>
        <v/>
      </c>
      <c r="D1763">
        <f>IF(B1763="","",IF(C1763&lt;&gt;"","REMOVE","KEEP"))</f>
        <v/>
      </c>
      <c r="E1763">
        <f>IF(D1763&lt;&gt;"KEEP","",IF(RIGHT(B1763,10)="@gmail.com","Gmail",IF(OR(RIGHT(B1763,12)="@outlook.com",RIGHT(B1763,12)="@hotmail.com",RIGHT(B1763,9)="@live.com"),"Outlook","Domain")))</f>
        <v/>
      </c>
      <c r="F1763">
        <f>IF(B1763="","",IFERROR(RIGHT(B1763,LEN(B1763)-FIND("@",B1763)),""))</f>
        <v/>
      </c>
      <c r="G1763">
        <f>IF(D1763="KEEP",COUNTIF($D$2:D1763,"KEEP"),"")</f>
        <v/>
      </c>
      <c r="H1763">
        <f>IF(D1763="REMOVE",COUNTIF($D$2:D1763,"REMOVE"),"")</f>
        <v/>
      </c>
      <c r="I1763">
        <f>IF(E1763="Gmail",COUNTIF($E$2:E1763,"Gmail"),"")</f>
        <v/>
      </c>
      <c r="J1763">
        <f>IF(E1763="Outlook",COUNTIF($E$2:E1763,"Outlook"),"")</f>
        <v/>
      </c>
      <c r="K1763">
        <f>IF(E1763="Domain",COUNTIF($E$2:E1763,"Domain"),"")</f>
        <v/>
      </c>
    </row>
    <row r="1764">
      <c r="A1764" s="2" t="n"/>
      <c r="B1764">
        <f>LOWER(TRIM(A1764))</f>
        <v/>
      </c>
      <c r="C1764">
        <f>IF(B1764="","",IFERROR(INDEX('Bad Patterns'!$A$2:$A$120,MATCH(1,INDEX(--ISNUMBER(SEARCH('Bad Patterns'!$A$2:$A$120,B1764)),0),0)),""))</f>
        <v/>
      </c>
      <c r="D1764">
        <f>IF(B1764="","",IF(C1764&lt;&gt;"","REMOVE","KEEP"))</f>
        <v/>
      </c>
      <c r="E1764">
        <f>IF(D1764&lt;&gt;"KEEP","",IF(RIGHT(B1764,10)="@gmail.com","Gmail",IF(OR(RIGHT(B1764,12)="@outlook.com",RIGHT(B1764,12)="@hotmail.com",RIGHT(B1764,9)="@live.com"),"Outlook","Domain")))</f>
        <v/>
      </c>
      <c r="F1764">
        <f>IF(B1764="","",IFERROR(RIGHT(B1764,LEN(B1764)-FIND("@",B1764)),""))</f>
        <v/>
      </c>
      <c r="G1764">
        <f>IF(D1764="KEEP",COUNTIF($D$2:D1764,"KEEP"),"")</f>
        <v/>
      </c>
      <c r="H1764">
        <f>IF(D1764="REMOVE",COUNTIF($D$2:D1764,"REMOVE"),"")</f>
        <v/>
      </c>
      <c r="I1764">
        <f>IF(E1764="Gmail",COUNTIF($E$2:E1764,"Gmail"),"")</f>
        <v/>
      </c>
      <c r="J1764">
        <f>IF(E1764="Outlook",COUNTIF($E$2:E1764,"Outlook"),"")</f>
        <v/>
      </c>
      <c r="K1764">
        <f>IF(E1764="Domain",COUNTIF($E$2:E1764,"Domain"),"")</f>
        <v/>
      </c>
    </row>
    <row r="1765">
      <c r="A1765" s="2" t="n"/>
      <c r="B1765">
        <f>LOWER(TRIM(A1765))</f>
        <v/>
      </c>
      <c r="C1765">
        <f>IF(B1765="","",IFERROR(INDEX('Bad Patterns'!$A$2:$A$120,MATCH(1,INDEX(--ISNUMBER(SEARCH('Bad Patterns'!$A$2:$A$120,B1765)),0),0)),""))</f>
        <v/>
      </c>
      <c r="D1765">
        <f>IF(B1765="","",IF(C1765&lt;&gt;"","REMOVE","KEEP"))</f>
        <v/>
      </c>
      <c r="E1765">
        <f>IF(D1765&lt;&gt;"KEEP","",IF(RIGHT(B1765,10)="@gmail.com","Gmail",IF(OR(RIGHT(B1765,12)="@outlook.com",RIGHT(B1765,12)="@hotmail.com",RIGHT(B1765,9)="@live.com"),"Outlook","Domain")))</f>
        <v/>
      </c>
      <c r="F1765">
        <f>IF(B1765="","",IFERROR(RIGHT(B1765,LEN(B1765)-FIND("@",B1765)),""))</f>
        <v/>
      </c>
      <c r="G1765">
        <f>IF(D1765="KEEP",COUNTIF($D$2:D1765,"KEEP"),"")</f>
        <v/>
      </c>
      <c r="H1765">
        <f>IF(D1765="REMOVE",COUNTIF($D$2:D1765,"REMOVE"),"")</f>
        <v/>
      </c>
      <c r="I1765">
        <f>IF(E1765="Gmail",COUNTIF($E$2:E1765,"Gmail"),"")</f>
        <v/>
      </c>
      <c r="J1765">
        <f>IF(E1765="Outlook",COUNTIF($E$2:E1765,"Outlook"),"")</f>
        <v/>
      </c>
      <c r="K1765">
        <f>IF(E1765="Domain",COUNTIF($E$2:E1765,"Domain"),"")</f>
        <v/>
      </c>
    </row>
    <row r="1766">
      <c r="A1766" s="2" t="n"/>
      <c r="B1766">
        <f>LOWER(TRIM(A1766))</f>
        <v/>
      </c>
      <c r="C1766">
        <f>IF(B1766="","",IFERROR(INDEX('Bad Patterns'!$A$2:$A$120,MATCH(1,INDEX(--ISNUMBER(SEARCH('Bad Patterns'!$A$2:$A$120,B1766)),0),0)),""))</f>
        <v/>
      </c>
      <c r="D1766">
        <f>IF(B1766="","",IF(C1766&lt;&gt;"","REMOVE","KEEP"))</f>
        <v/>
      </c>
      <c r="E1766">
        <f>IF(D1766&lt;&gt;"KEEP","",IF(RIGHT(B1766,10)="@gmail.com","Gmail",IF(OR(RIGHT(B1766,12)="@outlook.com",RIGHT(B1766,12)="@hotmail.com",RIGHT(B1766,9)="@live.com"),"Outlook","Domain")))</f>
        <v/>
      </c>
      <c r="F1766">
        <f>IF(B1766="","",IFERROR(RIGHT(B1766,LEN(B1766)-FIND("@",B1766)),""))</f>
        <v/>
      </c>
      <c r="G1766">
        <f>IF(D1766="KEEP",COUNTIF($D$2:D1766,"KEEP"),"")</f>
        <v/>
      </c>
      <c r="H1766">
        <f>IF(D1766="REMOVE",COUNTIF($D$2:D1766,"REMOVE"),"")</f>
        <v/>
      </c>
      <c r="I1766">
        <f>IF(E1766="Gmail",COUNTIF($E$2:E1766,"Gmail"),"")</f>
        <v/>
      </c>
      <c r="J1766">
        <f>IF(E1766="Outlook",COUNTIF($E$2:E1766,"Outlook"),"")</f>
        <v/>
      </c>
      <c r="K1766">
        <f>IF(E1766="Domain",COUNTIF($E$2:E1766,"Domain"),"")</f>
        <v/>
      </c>
    </row>
    <row r="1767">
      <c r="A1767" s="2" t="n"/>
      <c r="B1767">
        <f>LOWER(TRIM(A1767))</f>
        <v/>
      </c>
      <c r="C1767">
        <f>IF(B1767="","",IFERROR(INDEX('Bad Patterns'!$A$2:$A$120,MATCH(1,INDEX(--ISNUMBER(SEARCH('Bad Patterns'!$A$2:$A$120,B1767)),0),0)),""))</f>
        <v/>
      </c>
      <c r="D1767">
        <f>IF(B1767="","",IF(C1767&lt;&gt;"","REMOVE","KEEP"))</f>
        <v/>
      </c>
      <c r="E1767">
        <f>IF(D1767&lt;&gt;"KEEP","",IF(RIGHT(B1767,10)="@gmail.com","Gmail",IF(OR(RIGHT(B1767,12)="@outlook.com",RIGHT(B1767,12)="@hotmail.com",RIGHT(B1767,9)="@live.com"),"Outlook","Domain")))</f>
        <v/>
      </c>
      <c r="F1767">
        <f>IF(B1767="","",IFERROR(RIGHT(B1767,LEN(B1767)-FIND("@",B1767)),""))</f>
        <v/>
      </c>
      <c r="G1767">
        <f>IF(D1767="KEEP",COUNTIF($D$2:D1767,"KEEP"),"")</f>
        <v/>
      </c>
      <c r="H1767">
        <f>IF(D1767="REMOVE",COUNTIF($D$2:D1767,"REMOVE"),"")</f>
        <v/>
      </c>
      <c r="I1767">
        <f>IF(E1767="Gmail",COUNTIF($E$2:E1767,"Gmail"),"")</f>
        <v/>
      </c>
      <c r="J1767">
        <f>IF(E1767="Outlook",COUNTIF($E$2:E1767,"Outlook"),"")</f>
        <v/>
      </c>
      <c r="K1767">
        <f>IF(E1767="Domain",COUNTIF($E$2:E1767,"Domain"),"")</f>
        <v/>
      </c>
    </row>
    <row r="1768">
      <c r="A1768" s="2" t="n"/>
      <c r="B1768">
        <f>LOWER(TRIM(A1768))</f>
        <v/>
      </c>
      <c r="C1768">
        <f>IF(B1768="","",IFERROR(INDEX('Bad Patterns'!$A$2:$A$120,MATCH(1,INDEX(--ISNUMBER(SEARCH('Bad Patterns'!$A$2:$A$120,B1768)),0),0)),""))</f>
        <v/>
      </c>
      <c r="D1768">
        <f>IF(B1768="","",IF(C1768&lt;&gt;"","REMOVE","KEEP"))</f>
        <v/>
      </c>
      <c r="E1768">
        <f>IF(D1768&lt;&gt;"KEEP","",IF(RIGHT(B1768,10)="@gmail.com","Gmail",IF(OR(RIGHT(B1768,12)="@outlook.com",RIGHT(B1768,12)="@hotmail.com",RIGHT(B1768,9)="@live.com"),"Outlook","Domain")))</f>
        <v/>
      </c>
      <c r="F1768">
        <f>IF(B1768="","",IFERROR(RIGHT(B1768,LEN(B1768)-FIND("@",B1768)),""))</f>
        <v/>
      </c>
      <c r="G1768">
        <f>IF(D1768="KEEP",COUNTIF($D$2:D1768,"KEEP"),"")</f>
        <v/>
      </c>
      <c r="H1768">
        <f>IF(D1768="REMOVE",COUNTIF($D$2:D1768,"REMOVE"),"")</f>
        <v/>
      </c>
      <c r="I1768">
        <f>IF(E1768="Gmail",COUNTIF($E$2:E1768,"Gmail"),"")</f>
        <v/>
      </c>
      <c r="J1768">
        <f>IF(E1768="Outlook",COUNTIF($E$2:E1768,"Outlook"),"")</f>
        <v/>
      </c>
      <c r="K1768">
        <f>IF(E1768="Domain",COUNTIF($E$2:E1768,"Domain"),"")</f>
        <v/>
      </c>
    </row>
    <row r="1769">
      <c r="A1769" s="2" t="n"/>
      <c r="B1769">
        <f>LOWER(TRIM(A1769))</f>
        <v/>
      </c>
      <c r="C1769">
        <f>IF(B1769="","",IFERROR(INDEX('Bad Patterns'!$A$2:$A$120,MATCH(1,INDEX(--ISNUMBER(SEARCH('Bad Patterns'!$A$2:$A$120,B1769)),0),0)),""))</f>
        <v/>
      </c>
      <c r="D1769">
        <f>IF(B1769="","",IF(C1769&lt;&gt;"","REMOVE","KEEP"))</f>
        <v/>
      </c>
      <c r="E1769">
        <f>IF(D1769&lt;&gt;"KEEP","",IF(RIGHT(B1769,10)="@gmail.com","Gmail",IF(OR(RIGHT(B1769,12)="@outlook.com",RIGHT(B1769,12)="@hotmail.com",RIGHT(B1769,9)="@live.com"),"Outlook","Domain")))</f>
        <v/>
      </c>
      <c r="F1769">
        <f>IF(B1769="","",IFERROR(RIGHT(B1769,LEN(B1769)-FIND("@",B1769)),""))</f>
        <v/>
      </c>
      <c r="G1769">
        <f>IF(D1769="KEEP",COUNTIF($D$2:D1769,"KEEP"),"")</f>
        <v/>
      </c>
      <c r="H1769">
        <f>IF(D1769="REMOVE",COUNTIF($D$2:D1769,"REMOVE"),"")</f>
        <v/>
      </c>
      <c r="I1769">
        <f>IF(E1769="Gmail",COUNTIF($E$2:E1769,"Gmail"),"")</f>
        <v/>
      </c>
      <c r="J1769">
        <f>IF(E1769="Outlook",COUNTIF($E$2:E1769,"Outlook"),"")</f>
        <v/>
      </c>
      <c r="K1769">
        <f>IF(E1769="Domain",COUNTIF($E$2:E1769,"Domain"),"")</f>
        <v/>
      </c>
    </row>
    <row r="1770">
      <c r="A1770" s="2" t="n"/>
      <c r="B1770">
        <f>LOWER(TRIM(A1770))</f>
        <v/>
      </c>
      <c r="C1770">
        <f>IF(B1770="","",IFERROR(INDEX('Bad Patterns'!$A$2:$A$120,MATCH(1,INDEX(--ISNUMBER(SEARCH('Bad Patterns'!$A$2:$A$120,B1770)),0),0)),""))</f>
        <v/>
      </c>
      <c r="D1770">
        <f>IF(B1770="","",IF(C1770&lt;&gt;"","REMOVE","KEEP"))</f>
        <v/>
      </c>
      <c r="E1770">
        <f>IF(D1770&lt;&gt;"KEEP","",IF(RIGHT(B1770,10)="@gmail.com","Gmail",IF(OR(RIGHT(B1770,12)="@outlook.com",RIGHT(B1770,12)="@hotmail.com",RIGHT(B1770,9)="@live.com"),"Outlook","Domain")))</f>
        <v/>
      </c>
      <c r="F1770">
        <f>IF(B1770="","",IFERROR(RIGHT(B1770,LEN(B1770)-FIND("@",B1770)),""))</f>
        <v/>
      </c>
      <c r="G1770">
        <f>IF(D1770="KEEP",COUNTIF($D$2:D1770,"KEEP"),"")</f>
        <v/>
      </c>
      <c r="H1770">
        <f>IF(D1770="REMOVE",COUNTIF($D$2:D1770,"REMOVE"),"")</f>
        <v/>
      </c>
      <c r="I1770">
        <f>IF(E1770="Gmail",COUNTIF($E$2:E1770,"Gmail"),"")</f>
        <v/>
      </c>
      <c r="J1770">
        <f>IF(E1770="Outlook",COUNTIF($E$2:E1770,"Outlook"),"")</f>
        <v/>
      </c>
      <c r="K1770">
        <f>IF(E1770="Domain",COUNTIF($E$2:E1770,"Domain"),"")</f>
        <v/>
      </c>
    </row>
    <row r="1771">
      <c r="A1771" s="2" t="n"/>
      <c r="B1771">
        <f>LOWER(TRIM(A1771))</f>
        <v/>
      </c>
      <c r="C1771">
        <f>IF(B1771="","",IFERROR(INDEX('Bad Patterns'!$A$2:$A$120,MATCH(1,INDEX(--ISNUMBER(SEARCH('Bad Patterns'!$A$2:$A$120,B1771)),0),0)),""))</f>
        <v/>
      </c>
      <c r="D1771">
        <f>IF(B1771="","",IF(C1771&lt;&gt;"","REMOVE","KEEP"))</f>
        <v/>
      </c>
      <c r="E1771">
        <f>IF(D1771&lt;&gt;"KEEP","",IF(RIGHT(B1771,10)="@gmail.com","Gmail",IF(OR(RIGHT(B1771,12)="@outlook.com",RIGHT(B1771,12)="@hotmail.com",RIGHT(B1771,9)="@live.com"),"Outlook","Domain")))</f>
        <v/>
      </c>
      <c r="F1771">
        <f>IF(B1771="","",IFERROR(RIGHT(B1771,LEN(B1771)-FIND("@",B1771)),""))</f>
        <v/>
      </c>
      <c r="G1771">
        <f>IF(D1771="KEEP",COUNTIF($D$2:D1771,"KEEP"),"")</f>
        <v/>
      </c>
      <c r="H1771">
        <f>IF(D1771="REMOVE",COUNTIF($D$2:D1771,"REMOVE"),"")</f>
        <v/>
      </c>
      <c r="I1771">
        <f>IF(E1771="Gmail",COUNTIF($E$2:E1771,"Gmail"),"")</f>
        <v/>
      </c>
      <c r="J1771">
        <f>IF(E1771="Outlook",COUNTIF($E$2:E1771,"Outlook"),"")</f>
        <v/>
      </c>
      <c r="K1771">
        <f>IF(E1771="Domain",COUNTIF($E$2:E1771,"Domain"),"")</f>
        <v/>
      </c>
    </row>
    <row r="1772">
      <c r="A1772" s="2" t="n"/>
      <c r="B1772">
        <f>LOWER(TRIM(A1772))</f>
        <v/>
      </c>
      <c r="C1772">
        <f>IF(B1772="","",IFERROR(INDEX('Bad Patterns'!$A$2:$A$120,MATCH(1,INDEX(--ISNUMBER(SEARCH('Bad Patterns'!$A$2:$A$120,B1772)),0),0)),""))</f>
        <v/>
      </c>
      <c r="D1772">
        <f>IF(B1772="","",IF(C1772&lt;&gt;"","REMOVE","KEEP"))</f>
        <v/>
      </c>
      <c r="E1772">
        <f>IF(D1772&lt;&gt;"KEEP","",IF(RIGHT(B1772,10)="@gmail.com","Gmail",IF(OR(RIGHT(B1772,12)="@outlook.com",RIGHT(B1772,12)="@hotmail.com",RIGHT(B1772,9)="@live.com"),"Outlook","Domain")))</f>
        <v/>
      </c>
      <c r="F1772">
        <f>IF(B1772="","",IFERROR(RIGHT(B1772,LEN(B1772)-FIND("@",B1772)),""))</f>
        <v/>
      </c>
      <c r="G1772">
        <f>IF(D1772="KEEP",COUNTIF($D$2:D1772,"KEEP"),"")</f>
        <v/>
      </c>
      <c r="H1772">
        <f>IF(D1772="REMOVE",COUNTIF($D$2:D1772,"REMOVE"),"")</f>
        <v/>
      </c>
      <c r="I1772">
        <f>IF(E1772="Gmail",COUNTIF($E$2:E1772,"Gmail"),"")</f>
        <v/>
      </c>
      <c r="J1772">
        <f>IF(E1772="Outlook",COUNTIF($E$2:E1772,"Outlook"),"")</f>
        <v/>
      </c>
      <c r="K1772">
        <f>IF(E1772="Domain",COUNTIF($E$2:E1772,"Domain"),"")</f>
        <v/>
      </c>
    </row>
    <row r="1773">
      <c r="A1773" s="2" t="n"/>
      <c r="B1773">
        <f>LOWER(TRIM(A1773))</f>
        <v/>
      </c>
      <c r="C1773">
        <f>IF(B1773="","",IFERROR(INDEX('Bad Patterns'!$A$2:$A$120,MATCH(1,INDEX(--ISNUMBER(SEARCH('Bad Patterns'!$A$2:$A$120,B1773)),0),0)),""))</f>
        <v/>
      </c>
      <c r="D1773">
        <f>IF(B1773="","",IF(C1773&lt;&gt;"","REMOVE","KEEP"))</f>
        <v/>
      </c>
      <c r="E1773">
        <f>IF(D1773&lt;&gt;"KEEP","",IF(RIGHT(B1773,10)="@gmail.com","Gmail",IF(OR(RIGHT(B1773,12)="@outlook.com",RIGHT(B1773,12)="@hotmail.com",RIGHT(B1773,9)="@live.com"),"Outlook","Domain")))</f>
        <v/>
      </c>
      <c r="F1773">
        <f>IF(B1773="","",IFERROR(RIGHT(B1773,LEN(B1773)-FIND("@",B1773)),""))</f>
        <v/>
      </c>
      <c r="G1773">
        <f>IF(D1773="KEEP",COUNTIF($D$2:D1773,"KEEP"),"")</f>
        <v/>
      </c>
      <c r="H1773">
        <f>IF(D1773="REMOVE",COUNTIF($D$2:D1773,"REMOVE"),"")</f>
        <v/>
      </c>
      <c r="I1773">
        <f>IF(E1773="Gmail",COUNTIF($E$2:E1773,"Gmail"),"")</f>
        <v/>
      </c>
      <c r="J1773">
        <f>IF(E1773="Outlook",COUNTIF($E$2:E1773,"Outlook"),"")</f>
        <v/>
      </c>
      <c r="K1773">
        <f>IF(E1773="Domain",COUNTIF($E$2:E1773,"Domain"),"")</f>
        <v/>
      </c>
    </row>
    <row r="1774">
      <c r="A1774" s="2" t="n"/>
      <c r="B1774">
        <f>LOWER(TRIM(A1774))</f>
        <v/>
      </c>
      <c r="C1774">
        <f>IF(B1774="","",IFERROR(INDEX('Bad Patterns'!$A$2:$A$120,MATCH(1,INDEX(--ISNUMBER(SEARCH('Bad Patterns'!$A$2:$A$120,B1774)),0),0)),""))</f>
        <v/>
      </c>
      <c r="D1774">
        <f>IF(B1774="","",IF(C1774&lt;&gt;"","REMOVE","KEEP"))</f>
        <v/>
      </c>
      <c r="E1774">
        <f>IF(D1774&lt;&gt;"KEEP","",IF(RIGHT(B1774,10)="@gmail.com","Gmail",IF(OR(RIGHT(B1774,12)="@outlook.com",RIGHT(B1774,12)="@hotmail.com",RIGHT(B1774,9)="@live.com"),"Outlook","Domain")))</f>
        <v/>
      </c>
      <c r="F1774">
        <f>IF(B1774="","",IFERROR(RIGHT(B1774,LEN(B1774)-FIND("@",B1774)),""))</f>
        <v/>
      </c>
      <c r="G1774">
        <f>IF(D1774="KEEP",COUNTIF($D$2:D1774,"KEEP"),"")</f>
        <v/>
      </c>
      <c r="H1774">
        <f>IF(D1774="REMOVE",COUNTIF($D$2:D1774,"REMOVE"),"")</f>
        <v/>
      </c>
      <c r="I1774">
        <f>IF(E1774="Gmail",COUNTIF($E$2:E1774,"Gmail"),"")</f>
        <v/>
      </c>
      <c r="J1774">
        <f>IF(E1774="Outlook",COUNTIF($E$2:E1774,"Outlook"),"")</f>
        <v/>
      </c>
      <c r="K1774">
        <f>IF(E1774="Domain",COUNTIF($E$2:E1774,"Domain"),"")</f>
        <v/>
      </c>
    </row>
    <row r="1775">
      <c r="A1775" s="2" t="n"/>
      <c r="B1775">
        <f>LOWER(TRIM(A1775))</f>
        <v/>
      </c>
      <c r="C1775">
        <f>IF(B1775="","",IFERROR(INDEX('Bad Patterns'!$A$2:$A$120,MATCH(1,INDEX(--ISNUMBER(SEARCH('Bad Patterns'!$A$2:$A$120,B1775)),0),0)),""))</f>
        <v/>
      </c>
      <c r="D1775">
        <f>IF(B1775="","",IF(C1775&lt;&gt;"","REMOVE","KEEP"))</f>
        <v/>
      </c>
      <c r="E1775">
        <f>IF(D1775&lt;&gt;"KEEP","",IF(RIGHT(B1775,10)="@gmail.com","Gmail",IF(OR(RIGHT(B1775,12)="@outlook.com",RIGHT(B1775,12)="@hotmail.com",RIGHT(B1775,9)="@live.com"),"Outlook","Domain")))</f>
        <v/>
      </c>
      <c r="F1775">
        <f>IF(B1775="","",IFERROR(RIGHT(B1775,LEN(B1775)-FIND("@",B1775)),""))</f>
        <v/>
      </c>
      <c r="G1775">
        <f>IF(D1775="KEEP",COUNTIF($D$2:D1775,"KEEP"),"")</f>
        <v/>
      </c>
      <c r="H1775">
        <f>IF(D1775="REMOVE",COUNTIF($D$2:D1775,"REMOVE"),"")</f>
        <v/>
      </c>
      <c r="I1775">
        <f>IF(E1775="Gmail",COUNTIF($E$2:E1775,"Gmail"),"")</f>
        <v/>
      </c>
      <c r="J1775">
        <f>IF(E1775="Outlook",COUNTIF($E$2:E1775,"Outlook"),"")</f>
        <v/>
      </c>
      <c r="K1775">
        <f>IF(E1775="Domain",COUNTIF($E$2:E1775,"Domain"),"")</f>
        <v/>
      </c>
    </row>
    <row r="1776">
      <c r="A1776" s="2" t="n"/>
      <c r="B1776">
        <f>LOWER(TRIM(A1776))</f>
        <v/>
      </c>
      <c r="C1776">
        <f>IF(B1776="","",IFERROR(INDEX('Bad Patterns'!$A$2:$A$120,MATCH(1,INDEX(--ISNUMBER(SEARCH('Bad Patterns'!$A$2:$A$120,B1776)),0),0)),""))</f>
        <v/>
      </c>
      <c r="D1776">
        <f>IF(B1776="","",IF(C1776&lt;&gt;"","REMOVE","KEEP"))</f>
        <v/>
      </c>
      <c r="E1776">
        <f>IF(D1776&lt;&gt;"KEEP","",IF(RIGHT(B1776,10)="@gmail.com","Gmail",IF(OR(RIGHT(B1776,12)="@outlook.com",RIGHT(B1776,12)="@hotmail.com",RIGHT(B1776,9)="@live.com"),"Outlook","Domain")))</f>
        <v/>
      </c>
      <c r="F1776">
        <f>IF(B1776="","",IFERROR(RIGHT(B1776,LEN(B1776)-FIND("@",B1776)),""))</f>
        <v/>
      </c>
      <c r="G1776">
        <f>IF(D1776="KEEP",COUNTIF($D$2:D1776,"KEEP"),"")</f>
        <v/>
      </c>
      <c r="H1776">
        <f>IF(D1776="REMOVE",COUNTIF($D$2:D1776,"REMOVE"),"")</f>
        <v/>
      </c>
      <c r="I1776">
        <f>IF(E1776="Gmail",COUNTIF($E$2:E1776,"Gmail"),"")</f>
        <v/>
      </c>
      <c r="J1776">
        <f>IF(E1776="Outlook",COUNTIF($E$2:E1776,"Outlook"),"")</f>
        <v/>
      </c>
      <c r="K1776">
        <f>IF(E1776="Domain",COUNTIF($E$2:E1776,"Domain"),"")</f>
        <v/>
      </c>
    </row>
    <row r="1777">
      <c r="A1777" s="2" t="n"/>
      <c r="B1777">
        <f>LOWER(TRIM(A1777))</f>
        <v/>
      </c>
      <c r="C1777">
        <f>IF(B1777="","",IFERROR(INDEX('Bad Patterns'!$A$2:$A$120,MATCH(1,INDEX(--ISNUMBER(SEARCH('Bad Patterns'!$A$2:$A$120,B1777)),0),0)),""))</f>
        <v/>
      </c>
      <c r="D1777">
        <f>IF(B1777="","",IF(C1777&lt;&gt;"","REMOVE","KEEP"))</f>
        <v/>
      </c>
      <c r="E1777">
        <f>IF(D1777&lt;&gt;"KEEP","",IF(RIGHT(B1777,10)="@gmail.com","Gmail",IF(OR(RIGHT(B1777,12)="@outlook.com",RIGHT(B1777,12)="@hotmail.com",RIGHT(B1777,9)="@live.com"),"Outlook","Domain")))</f>
        <v/>
      </c>
      <c r="F1777">
        <f>IF(B1777="","",IFERROR(RIGHT(B1777,LEN(B1777)-FIND("@",B1777)),""))</f>
        <v/>
      </c>
      <c r="G1777">
        <f>IF(D1777="KEEP",COUNTIF($D$2:D1777,"KEEP"),"")</f>
        <v/>
      </c>
      <c r="H1777">
        <f>IF(D1777="REMOVE",COUNTIF($D$2:D1777,"REMOVE"),"")</f>
        <v/>
      </c>
      <c r="I1777">
        <f>IF(E1777="Gmail",COUNTIF($E$2:E1777,"Gmail"),"")</f>
        <v/>
      </c>
      <c r="J1777">
        <f>IF(E1777="Outlook",COUNTIF($E$2:E1777,"Outlook"),"")</f>
        <v/>
      </c>
      <c r="K1777">
        <f>IF(E1777="Domain",COUNTIF($E$2:E1777,"Domain"),"")</f>
        <v/>
      </c>
    </row>
    <row r="1778">
      <c r="A1778" s="2" t="n"/>
      <c r="B1778">
        <f>LOWER(TRIM(A1778))</f>
        <v/>
      </c>
      <c r="C1778">
        <f>IF(B1778="","",IFERROR(INDEX('Bad Patterns'!$A$2:$A$120,MATCH(1,INDEX(--ISNUMBER(SEARCH('Bad Patterns'!$A$2:$A$120,B1778)),0),0)),""))</f>
        <v/>
      </c>
      <c r="D1778">
        <f>IF(B1778="","",IF(C1778&lt;&gt;"","REMOVE","KEEP"))</f>
        <v/>
      </c>
      <c r="E1778">
        <f>IF(D1778&lt;&gt;"KEEP","",IF(RIGHT(B1778,10)="@gmail.com","Gmail",IF(OR(RIGHT(B1778,12)="@outlook.com",RIGHT(B1778,12)="@hotmail.com",RIGHT(B1778,9)="@live.com"),"Outlook","Domain")))</f>
        <v/>
      </c>
      <c r="F1778">
        <f>IF(B1778="","",IFERROR(RIGHT(B1778,LEN(B1778)-FIND("@",B1778)),""))</f>
        <v/>
      </c>
      <c r="G1778">
        <f>IF(D1778="KEEP",COUNTIF($D$2:D1778,"KEEP"),"")</f>
        <v/>
      </c>
      <c r="H1778">
        <f>IF(D1778="REMOVE",COUNTIF($D$2:D1778,"REMOVE"),"")</f>
        <v/>
      </c>
      <c r="I1778">
        <f>IF(E1778="Gmail",COUNTIF($E$2:E1778,"Gmail"),"")</f>
        <v/>
      </c>
      <c r="J1778">
        <f>IF(E1778="Outlook",COUNTIF($E$2:E1778,"Outlook"),"")</f>
        <v/>
      </c>
      <c r="K1778">
        <f>IF(E1778="Domain",COUNTIF($E$2:E1778,"Domain"),"")</f>
        <v/>
      </c>
    </row>
    <row r="1779">
      <c r="A1779" s="2" t="n"/>
      <c r="B1779">
        <f>LOWER(TRIM(A1779))</f>
        <v/>
      </c>
      <c r="C1779">
        <f>IF(B1779="","",IFERROR(INDEX('Bad Patterns'!$A$2:$A$120,MATCH(1,INDEX(--ISNUMBER(SEARCH('Bad Patterns'!$A$2:$A$120,B1779)),0),0)),""))</f>
        <v/>
      </c>
      <c r="D1779">
        <f>IF(B1779="","",IF(C1779&lt;&gt;"","REMOVE","KEEP"))</f>
        <v/>
      </c>
      <c r="E1779">
        <f>IF(D1779&lt;&gt;"KEEP","",IF(RIGHT(B1779,10)="@gmail.com","Gmail",IF(OR(RIGHT(B1779,12)="@outlook.com",RIGHT(B1779,12)="@hotmail.com",RIGHT(B1779,9)="@live.com"),"Outlook","Domain")))</f>
        <v/>
      </c>
      <c r="F1779">
        <f>IF(B1779="","",IFERROR(RIGHT(B1779,LEN(B1779)-FIND("@",B1779)),""))</f>
        <v/>
      </c>
      <c r="G1779">
        <f>IF(D1779="KEEP",COUNTIF($D$2:D1779,"KEEP"),"")</f>
        <v/>
      </c>
      <c r="H1779">
        <f>IF(D1779="REMOVE",COUNTIF($D$2:D1779,"REMOVE"),"")</f>
        <v/>
      </c>
      <c r="I1779">
        <f>IF(E1779="Gmail",COUNTIF($E$2:E1779,"Gmail"),"")</f>
        <v/>
      </c>
      <c r="J1779">
        <f>IF(E1779="Outlook",COUNTIF($E$2:E1779,"Outlook"),"")</f>
        <v/>
      </c>
      <c r="K1779">
        <f>IF(E1779="Domain",COUNTIF($E$2:E1779,"Domain"),"")</f>
        <v/>
      </c>
    </row>
    <row r="1780">
      <c r="A1780" s="2" t="n"/>
      <c r="B1780">
        <f>LOWER(TRIM(A1780))</f>
        <v/>
      </c>
      <c r="C1780">
        <f>IF(B1780="","",IFERROR(INDEX('Bad Patterns'!$A$2:$A$120,MATCH(1,INDEX(--ISNUMBER(SEARCH('Bad Patterns'!$A$2:$A$120,B1780)),0),0)),""))</f>
        <v/>
      </c>
      <c r="D1780">
        <f>IF(B1780="","",IF(C1780&lt;&gt;"","REMOVE","KEEP"))</f>
        <v/>
      </c>
      <c r="E1780">
        <f>IF(D1780&lt;&gt;"KEEP","",IF(RIGHT(B1780,10)="@gmail.com","Gmail",IF(OR(RIGHT(B1780,12)="@outlook.com",RIGHT(B1780,12)="@hotmail.com",RIGHT(B1780,9)="@live.com"),"Outlook","Domain")))</f>
        <v/>
      </c>
      <c r="F1780">
        <f>IF(B1780="","",IFERROR(RIGHT(B1780,LEN(B1780)-FIND("@",B1780)),""))</f>
        <v/>
      </c>
      <c r="G1780">
        <f>IF(D1780="KEEP",COUNTIF($D$2:D1780,"KEEP"),"")</f>
        <v/>
      </c>
      <c r="H1780">
        <f>IF(D1780="REMOVE",COUNTIF($D$2:D1780,"REMOVE"),"")</f>
        <v/>
      </c>
      <c r="I1780">
        <f>IF(E1780="Gmail",COUNTIF($E$2:E1780,"Gmail"),"")</f>
        <v/>
      </c>
      <c r="J1780">
        <f>IF(E1780="Outlook",COUNTIF($E$2:E1780,"Outlook"),"")</f>
        <v/>
      </c>
      <c r="K1780">
        <f>IF(E1780="Domain",COUNTIF($E$2:E1780,"Domain"),"")</f>
        <v/>
      </c>
    </row>
    <row r="1781">
      <c r="A1781" s="2" t="n"/>
      <c r="B1781">
        <f>LOWER(TRIM(A1781))</f>
        <v/>
      </c>
      <c r="C1781">
        <f>IF(B1781="","",IFERROR(INDEX('Bad Patterns'!$A$2:$A$120,MATCH(1,INDEX(--ISNUMBER(SEARCH('Bad Patterns'!$A$2:$A$120,B1781)),0),0)),""))</f>
        <v/>
      </c>
      <c r="D1781">
        <f>IF(B1781="","",IF(C1781&lt;&gt;"","REMOVE","KEEP"))</f>
        <v/>
      </c>
      <c r="E1781">
        <f>IF(D1781&lt;&gt;"KEEP","",IF(RIGHT(B1781,10)="@gmail.com","Gmail",IF(OR(RIGHT(B1781,12)="@outlook.com",RIGHT(B1781,12)="@hotmail.com",RIGHT(B1781,9)="@live.com"),"Outlook","Domain")))</f>
        <v/>
      </c>
      <c r="F1781">
        <f>IF(B1781="","",IFERROR(RIGHT(B1781,LEN(B1781)-FIND("@",B1781)),""))</f>
        <v/>
      </c>
      <c r="G1781">
        <f>IF(D1781="KEEP",COUNTIF($D$2:D1781,"KEEP"),"")</f>
        <v/>
      </c>
      <c r="H1781">
        <f>IF(D1781="REMOVE",COUNTIF($D$2:D1781,"REMOVE"),"")</f>
        <v/>
      </c>
      <c r="I1781">
        <f>IF(E1781="Gmail",COUNTIF($E$2:E1781,"Gmail"),"")</f>
        <v/>
      </c>
      <c r="J1781">
        <f>IF(E1781="Outlook",COUNTIF($E$2:E1781,"Outlook"),"")</f>
        <v/>
      </c>
      <c r="K1781">
        <f>IF(E1781="Domain",COUNTIF($E$2:E1781,"Domain"),"")</f>
        <v/>
      </c>
    </row>
    <row r="1782">
      <c r="A1782" s="2" t="n"/>
      <c r="B1782">
        <f>LOWER(TRIM(A1782))</f>
        <v/>
      </c>
      <c r="C1782">
        <f>IF(B1782="","",IFERROR(INDEX('Bad Patterns'!$A$2:$A$120,MATCH(1,INDEX(--ISNUMBER(SEARCH('Bad Patterns'!$A$2:$A$120,B1782)),0),0)),""))</f>
        <v/>
      </c>
      <c r="D1782">
        <f>IF(B1782="","",IF(C1782&lt;&gt;"","REMOVE","KEEP"))</f>
        <v/>
      </c>
      <c r="E1782">
        <f>IF(D1782&lt;&gt;"KEEP","",IF(RIGHT(B1782,10)="@gmail.com","Gmail",IF(OR(RIGHT(B1782,12)="@outlook.com",RIGHT(B1782,12)="@hotmail.com",RIGHT(B1782,9)="@live.com"),"Outlook","Domain")))</f>
        <v/>
      </c>
      <c r="F1782">
        <f>IF(B1782="","",IFERROR(RIGHT(B1782,LEN(B1782)-FIND("@",B1782)),""))</f>
        <v/>
      </c>
      <c r="G1782">
        <f>IF(D1782="KEEP",COUNTIF($D$2:D1782,"KEEP"),"")</f>
        <v/>
      </c>
      <c r="H1782">
        <f>IF(D1782="REMOVE",COUNTIF($D$2:D1782,"REMOVE"),"")</f>
        <v/>
      </c>
      <c r="I1782">
        <f>IF(E1782="Gmail",COUNTIF($E$2:E1782,"Gmail"),"")</f>
        <v/>
      </c>
      <c r="J1782">
        <f>IF(E1782="Outlook",COUNTIF($E$2:E1782,"Outlook"),"")</f>
        <v/>
      </c>
      <c r="K1782">
        <f>IF(E1782="Domain",COUNTIF($E$2:E1782,"Domain"),"")</f>
        <v/>
      </c>
    </row>
    <row r="1783">
      <c r="A1783" s="2" t="n"/>
      <c r="B1783">
        <f>LOWER(TRIM(A1783))</f>
        <v/>
      </c>
      <c r="C1783">
        <f>IF(B1783="","",IFERROR(INDEX('Bad Patterns'!$A$2:$A$120,MATCH(1,INDEX(--ISNUMBER(SEARCH('Bad Patterns'!$A$2:$A$120,B1783)),0),0)),""))</f>
        <v/>
      </c>
      <c r="D1783">
        <f>IF(B1783="","",IF(C1783&lt;&gt;"","REMOVE","KEEP"))</f>
        <v/>
      </c>
      <c r="E1783">
        <f>IF(D1783&lt;&gt;"KEEP","",IF(RIGHT(B1783,10)="@gmail.com","Gmail",IF(OR(RIGHT(B1783,12)="@outlook.com",RIGHT(B1783,12)="@hotmail.com",RIGHT(B1783,9)="@live.com"),"Outlook","Domain")))</f>
        <v/>
      </c>
      <c r="F1783">
        <f>IF(B1783="","",IFERROR(RIGHT(B1783,LEN(B1783)-FIND("@",B1783)),""))</f>
        <v/>
      </c>
      <c r="G1783">
        <f>IF(D1783="KEEP",COUNTIF($D$2:D1783,"KEEP"),"")</f>
        <v/>
      </c>
      <c r="H1783">
        <f>IF(D1783="REMOVE",COUNTIF($D$2:D1783,"REMOVE"),"")</f>
        <v/>
      </c>
      <c r="I1783">
        <f>IF(E1783="Gmail",COUNTIF($E$2:E1783,"Gmail"),"")</f>
        <v/>
      </c>
      <c r="J1783">
        <f>IF(E1783="Outlook",COUNTIF($E$2:E1783,"Outlook"),"")</f>
        <v/>
      </c>
      <c r="K1783">
        <f>IF(E1783="Domain",COUNTIF($E$2:E1783,"Domain"),"")</f>
        <v/>
      </c>
    </row>
    <row r="1784">
      <c r="A1784" s="2" t="n"/>
      <c r="B1784">
        <f>LOWER(TRIM(A1784))</f>
        <v/>
      </c>
      <c r="C1784">
        <f>IF(B1784="","",IFERROR(INDEX('Bad Patterns'!$A$2:$A$120,MATCH(1,INDEX(--ISNUMBER(SEARCH('Bad Patterns'!$A$2:$A$120,B1784)),0),0)),""))</f>
        <v/>
      </c>
      <c r="D1784">
        <f>IF(B1784="","",IF(C1784&lt;&gt;"","REMOVE","KEEP"))</f>
        <v/>
      </c>
      <c r="E1784">
        <f>IF(D1784&lt;&gt;"KEEP","",IF(RIGHT(B1784,10)="@gmail.com","Gmail",IF(OR(RIGHT(B1784,12)="@outlook.com",RIGHT(B1784,12)="@hotmail.com",RIGHT(B1784,9)="@live.com"),"Outlook","Domain")))</f>
        <v/>
      </c>
      <c r="F1784">
        <f>IF(B1784="","",IFERROR(RIGHT(B1784,LEN(B1784)-FIND("@",B1784)),""))</f>
        <v/>
      </c>
      <c r="G1784">
        <f>IF(D1784="KEEP",COUNTIF($D$2:D1784,"KEEP"),"")</f>
        <v/>
      </c>
      <c r="H1784">
        <f>IF(D1784="REMOVE",COUNTIF($D$2:D1784,"REMOVE"),"")</f>
        <v/>
      </c>
      <c r="I1784">
        <f>IF(E1784="Gmail",COUNTIF($E$2:E1784,"Gmail"),"")</f>
        <v/>
      </c>
      <c r="J1784">
        <f>IF(E1784="Outlook",COUNTIF($E$2:E1784,"Outlook"),"")</f>
        <v/>
      </c>
      <c r="K1784">
        <f>IF(E1784="Domain",COUNTIF($E$2:E1784,"Domain"),"")</f>
        <v/>
      </c>
    </row>
    <row r="1785">
      <c r="A1785" s="2" t="n"/>
      <c r="B1785">
        <f>LOWER(TRIM(A1785))</f>
        <v/>
      </c>
      <c r="C1785">
        <f>IF(B1785="","",IFERROR(INDEX('Bad Patterns'!$A$2:$A$120,MATCH(1,INDEX(--ISNUMBER(SEARCH('Bad Patterns'!$A$2:$A$120,B1785)),0),0)),""))</f>
        <v/>
      </c>
      <c r="D1785">
        <f>IF(B1785="","",IF(C1785&lt;&gt;"","REMOVE","KEEP"))</f>
        <v/>
      </c>
      <c r="E1785">
        <f>IF(D1785&lt;&gt;"KEEP","",IF(RIGHT(B1785,10)="@gmail.com","Gmail",IF(OR(RIGHT(B1785,12)="@outlook.com",RIGHT(B1785,12)="@hotmail.com",RIGHT(B1785,9)="@live.com"),"Outlook","Domain")))</f>
        <v/>
      </c>
      <c r="F1785">
        <f>IF(B1785="","",IFERROR(RIGHT(B1785,LEN(B1785)-FIND("@",B1785)),""))</f>
        <v/>
      </c>
      <c r="G1785">
        <f>IF(D1785="KEEP",COUNTIF($D$2:D1785,"KEEP"),"")</f>
        <v/>
      </c>
      <c r="H1785">
        <f>IF(D1785="REMOVE",COUNTIF($D$2:D1785,"REMOVE"),"")</f>
        <v/>
      </c>
      <c r="I1785">
        <f>IF(E1785="Gmail",COUNTIF($E$2:E1785,"Gmail"),"")</f>
        <v/>
      </c>
      <c r="J1785">
        <f>IF(E1785="Outlook",COUNTIF($E$2:E1785,"Outlook"),"")</f>
        <v/>
      </c>
      <c r="K1785">
        <f>IF(E1785="Domain",COUNTIF($E$2:E1785,"Domain"),"")</f>
        <v/>
      </c>
    </row>
    <row r="1786">
      <c r="A1786" s="2" t="n"/>
      <c r="B1786">
        <f>LOWER(TRIM(A1786))</f>
        <v/>
      </c>
      <c r="C1786">
        <f>IF(B1786="","",IFERROR(INDEX('Bad Patterns'!$A$2:$A$120,MATCH(1,INDEX(--ISNUMBER(SEARCH('Bad Patterns'!$A$2:$A$120,B1786)),0),0)),""))</f>
        <v/>
      </c>
      <c r="D1786">
        <f>IF(B1786="","",IF(C1786&lt;&gt;"","REMOVE","KEEP"))</f>
        <v/>
      </c>
      <c r="E1786">
        <f>IF(D1786&lt;&gt;"KEEP","",IF(RIGHT(B1786,10)="@gmail.com","Gmail",IF(OR(RIGHT(B1786,12)="@outlook.com",RIGHT(B1786,12)="@hotmail.com",RIGHT(B1786,9)="@live.com"),"Outlook","Domain")))</f>
        <v/>
      </c>
      <c r="F1786">
        <f>IF(B1786="","",IFERROR(RIGHT(B1786,LEN(B1786)-FIND("@",B1786)),""))</f>
        <v/>
      </c>
      <c r="G1786">
        <f>IF(D1786="KEEP",COUNTIF($D$2:D1786,"KEEP"),"")</f>
        <v/>
      </c>
      <c r="H1786">
        <f>IF(D1786="REMOVE",COUNTIF($D$2:D1786,"REMOVE"),"")</f>
        <v/>
      </c>
      <c r="I1786">
        <f>IF(E1786="Gmail",COUNTIF($E$2:E1786,"Gmail"),"")</f>
        <v/>
      </c>
      <c r="J1786">
        <f>IF(E1786="Outlook",COUNTIF($E$2:E1786,"Outlook"),"")</f>
        <v/>
      </c>
      <c r="K1786">
        <f>IF(E1786="Domain",COUNTIF($E$2:E1786,"Domain"),"")</f>
        <v/>
      </c>
    </row>
    <row r="1787">
      <c r="A1787" s="2" t="n"/>
      <c r="B1787">
        <f>LOWER(TRIM(A1787))</f>
        <v/>
      </c>
      <c r="C1787">
        <f>IF(B1787="","",IFERROR(INDEX('Bad Patterns'!$A$2:$A$120,MATCH(1,INDEX(--ISNUMBER(SEARCH('Bad Patterns'!$A$2:$A$120,B1787)),0),0)),""))</f>
        <v/>
      </c>
      <c r="D1787">
        <f>IF(B1787="","",IF(C1787&lt;&gt;"","REMOVE","KEEP"))</f>
        <v/>
      </c>
      <c r="E1787">
        <f>IF(D1787&lt;&gt;"KEEP","",IF(RIGHT(B1787,10)="@gmail.com","Gmail",IF(OR(RIGHT(B1787,12)="@outlook.com",RIGHT(B1787,12)="@hotmail.com",RIGHT(B1787,9)="@live.com"),"Outlook","Domain")))</f>
        <v/>
      </c>
      <c r="F1787">
        <f>IF(B1787="","",IFERROR(RIGHT(B1787,LEN(B1787)-FIND("@",B1787)),""))</f>
        <v/>
      </c>
      <c r="G1787">
        <f>IF(D1787="KEEP",COUNTIF($D$2:D1787,"KEEP"),"")</f>
        <v/>
      </c>
      <c r="H1787">
        <f>IF(D1787="REMOVE",COUNTIF($D$2:D1787,"REMOVE"),"")</f>
        <v/>
      </c>
      <c r="I1787">
        <f>IF(E1787="Gmail",COUNTIF($E$2:E1787,"Gmail"),"")</f>
        <v/>
      </c>
      <c r="J1787">
        <f>IF(E1787="Outlook",COUNTIF($E$2:E1787,"Outlook"),"")</f>
        <v/>
      </c>
      <c r="K1787">
        <f>IF(E1787="Domain",COUNTIF($E$2:E1787,"Domain"),"")</f>
        <v/>
      </c>
    </row>
    <row r="1788">
      <c r="A1788" s="2" t="n"/>
      <c r="B1788">
        <f>LOWER(TRIM(A1788))</f>
        <v/>
      </c>
      <c r="C1788">
        <f>IF(B1788="","",IFERROR(INDEX('Bad Patterns'!$A$2:$A$120,MATCH(1,INDEX(--ISNUMBER(SEARCH('Bad Patterns'!$A$2:$A$120,B1788)),0),0)),""))</f>
        <v/>
      </c>
      <c r="D1788">
        <f>IF(B1788="","",IF(C1788&lt;&gt;"","REMOVE","KEEP"))</f>
        <v/>
      </c>
      <c r="E1788">
        <f>IF(D1788&lt;&gt;"KEEP","",IF(RIGHT(B1788,10)="@gmail.com","Gmail",IF(OR(RIGHT(B1788,12)="@outlook.com",RIGHT(B1788,12)="@hotmail.com",RIGHT(B1788,9)="@live.com"),"Outlook","Domain")))</f>
        <v/>
      </c>
      <c r="F1788">
        <f>IF(B1788="","",IFERROR(RIGHT(B1788,LEN(B1788)-FIND("@",B1788)),""))</f>
        <v/>
      </c>
      <c r="G1788">
        <f>IF(D1788="KEEP",COUNTIF($D$2:D1788,"KEEP"),"")</f>
        <v/>
      </c>
      <c r="H1788">
        <f>IF(D1788="REMOVE",COUNTIF($D$2:D1788,"REMOVE"),"")</f>
        <v/>
      </c>
      <c r="I1788">
        <f>IF(E1788="Gmail",COUNTIF($E$2:E1788,"Gmail"),"")</f>
        <v/>
      </c>
      <c r="J1788">
        <f>IF(E1788="Outlook",COUNTIF($E$2:E1788,"Outlook"),"")</f>
        <v/>
      </c>
      <c r="K1788">
        <f>IF(E1788="Domain",COUNTIF($E$2:E1788,"Domain"),"")</f>
        <v/>
      </c>
    </row>
    <row r="1789">
      <c r="A1789" s="2" t="n"/>
      <c r="B1789">
        <f>LOWER(TRIM(A1789))</f>
        <v/>
      </c>
      <c r="C1789">
        <f>IF(B1789="","",IFERROR(INDEX('Bad Patterns'!$A$2:$A$120,MATCH(1,INDEX(--ISNUMBER(SEARCH('Bad Patterns'!$A$2:$A$120,B1789)),0),0)),""))</f>
        <v/>
      </c>
      <c r="D1789">
        <f>IF(B1789="","",IF(C1789&lt;&gt;"","REMOVE","KEEP"))</f>
        <v/>
      </c>
      <c r="E1789">
        <f>IF(D1789&lt;&gt;"KEEP","",IF(RIGHT(B1789,10)="@gmail.com","Gmail",IF(OR(RIGHT(B1789,12)="@outlook.com",RIGHT(B1789,12)="@hotmail.com",RIGHT(B1789,9)="@live.com"),"Outlook","Domain")))</f>
        <v/>
      </c>
      <c r="F1789">
        <f>IF(B1789="","",IFERROR(RIGHT(B1789,LEN(B1789)-FIND("@",B1789)),""))</f>
        <v/>
      </c>
      <c r="G1789">
        <f>IF(D1789="KEEP",COUNTIF($D$2:D1789,"KEEP"),"")</f>
        <v/>
      </c>
      <c r="H1789">
        <f>IF(D1789="REMOVE",COUNTIF($D$2:D1789,"REMOVE"),"")</f>
        <v/>
      </c>
      <c r="I1789">
        <f>IF(E1789="Gmail",COUNTIF($E$2:E1789,"Gmail"),"")</f>
        <v/>
      </c>
      <c r="J1789">
        <f>IF(E1789="Outlook",COUNTIF($E$2:E1789,"Outlook"),"")</f>
        <v/>
      </c>
      <c r="K1789">
        <f>IF(E1789="Domain",COUNTIF($E$2:E1789,"Domain"),"")</f>
        <v/>
      </c>
    </row>
    <row r="1790">
      <c r="A1790" s="2" t="n"/>
      <c r="B1790">
        <f>LOWER(TRIM(A1790))</f>
        <v/>
      </c>
      <c r="C1790">
        <f>IF(B1790="","",IFERROR(INDEX('Bad Patterns'!$A$2:$A$120,MATCH(1,INDEX(--ISNUMBER(SEARCH('Bad Patterns'!$A$2:$A$120,B1790)),0),0)),""))</f>
        <v/>
      </c>
      <c r="D1790">
        <f>IF(B1790="","",IF(C1790&lt;&gt;"","REMOVE","KEEP"))</f>
        <v/>
      </c>
      <c r="E1790">
        <f>IF(D1790&lt;&gt;"KEEP","",IF(RIGHT(B1790,10)="@gmail.com","Gmail",IF(OR(RIGHT(B1790,12)="@outlook.com",RIGHT(B1790,12)="@hotmail.com",RIGHT(B1790,9)="@live.com"),"Outlook","Domain")))</f>
        <v/>
      </c>
      <c r="F1790">
        <f>IF(B1790="","",IFERROR(RIGHT(B1790,LEN(B1790)-FIND("@",B1790)),""))</f>
        <v/>
      </c>
      <c r="G1790">
        <f>IF(D1790="KEEP",COUNTIF($D$2:D1790,"KEEP"),"")</f>
        <v/>
      </c>
      <c r="H1790">
        <f>IF(D1790="REMOVE",COUNTIF($D$2:D1790,"REMOVE"),"")</f>
        <v/>
      </c>
      <c r="I1790">
        <f>IF(E1790="Gmail",COUNTIF($E$2:E1790,"Gmail"),"")</f>
        <v/>
      </c>
      <c r="J1790">
        <f>IF(E1790="Outlook",COUNTIF($E$2:E1790,"Outlook"),"")</f>
        <v/>
      </c>
      <c r="K1790">
        <f>IF(E1790="Domain",COUNTIF($E$2:E1790,"Domain"),"")</f>
        <v/>
      </c>
    </row>
    <row r="1791">
      <c r="A1791" s="2" t="n"/>
      <c r="B1791">
        <f>LOWER(TRIM(A1791))</f>
        <v/>
      </c>
      <c r="C1791">
        <f>IF(B1791="","",IFERROR(INDEX('Bad Patterns'!$A$2:$A$120,MATCH(1,INDEX(--ISNUMBER(SEARCH('Bad Patterns'!$A$2:$A$120,B1791)),0),0)),""))</f>
        <v/>
      </c>
      <c r="D1791">
        <f>IF(B1791="","",IF(C1791&lt;&gt;"","REMOVE","KEEP"))</f>
        <v/>
      </c>
      <c r="E1791">
        <f>IF(D1791&lt;&gt;"KEEP","",IF(RIGHT(B1791,10)="@gmail.com","Gmail",IF(OR(RIGHT(B1791,12)="@outlook.com",RIGHT(B1791,12)="@hotmail.com",RIGHT(B1791,9)="@live.com"),"Outlook","Domain")))</f>
        <v/>
      </c>
      <c r="F1791">
        <f>IF(B1791="","",IFERROR(RIGHT(B1791,LEN(B1791)-FIND("@",B1791)),""))</f>
        <v/>
      </c>
      <c r="G1791">
        <f>IF(D1791="KEEP",COUNTIF($D$2:D1791,"KEEP"),"")</f>
        <v/>
      </c>
      <c r="H1791">
        <f>IF(D1791="REMOVE",COUNTIF($D$2:D1791,"REMOVE"),"")</f>
        <v/>
      </c>
      <c r="I1791">
        <f>IF(E1791="Gmail",COUNTIF($E$2:E1791,"Gmail"),"")</f>
        <v/>
      </c>
      <c r="J1791">
        <f>IF(E1791="Outlook",COUNTIF($E$2:E1791,"Outlook"),"")</f>
        <v/>
      </c>
      <c r="K1791">
        <f>IF(E1791="Domain",COUNTIF($E$2:E1791,"Domain"),"")</f>
        <v/>
      </c>
    </row>
    <row r="1792">
      <c r="A1792" s="2" t="n"/>
      <c r="B1792">
        <f>LOWER(TRIM(A1792))</f>
        <v/>
      </c>
      <c r="C1792">
        <f>IF(B1792="","",IFERROR(INDEX('Bad Patterns'!$A$2:$A$120,MATCH(1,INDEX(--ISNUMBER(SEARCH('Bad Patterns'!$A$2:$A$120,B1792)),0),0)),""))</f>
        <v/>
      </c>
      <c r="D1792">
        <f>IF(B1792="","",IF(C1792&lt;&gt;"","REMOVE","KEEP"))</f>
        <v/>
      </c>
      <c r="E1792">
        <f>IF(D1792&lt;&gt;"KEEP","",IF(RIGHT(B1792,10)="@gmail.com","Gmail",IF(OR(RIGHT(B1792,12)="@outlook.com",RIGHT(B1792,12)="@hotmail.com",RIGHT(B1792,9)="@live.com"),"Outlook","Domain")))</f>
        <v/>
      </c>
      <c r="F1792">
        <f>IF(B1792="","",IFERROR(RIGHT(B1792,LEN(B1792)-FIND("@",B1792)),""))</f>
        <v/>
      </c>
      <c r="G1792">
        <f>IF(D1792="KEEP",COUNTIF($D$2:D1792,"KEEP"),"")</f>
        <v/>
      </c>
      <c r="H1792">
        <f>IF(D1792="REMOVE",COUNTIF($D$2:D1792,"REMOVE"),"")</f>
        <v/>
      </c>
      <c r="I1792">
        <f>IF(E1792="Gmail",COUNTIF($E$2:E1792,"Gmail"),"")</f>
        <v/>
      </c>
      <c r="J1792">
        <f>IF(E1792="Outlook",COUNTIF($E$2:E1792,"Outlook"),"")</f>
        <v/>
      </c>
      <c r="K1792">
        <f>IF(E1792="Domain",COUNTIF($E$2:E1792,"Domain"),"")</f>
        <v/>
      </c>
    </row>
    <row r="1793">
      <c r="A1793" s="2" t="n"/>
      <c r="B1793">
        <f>LOWER(TRIM(A1793))</f>
        <v/>
      </c>
      <c r="C1793">
        <f>IF(B1793="","",IFERROR(INDEX('Bad Patterns'!$A$2:$A$120,MATCH(1,INDEX(--ISNUMBER(SEARCH('Bad Patterns'!$A$2:$A$120,B1793)),0),0)),""))</f>
        <v/>
      </c>
      <c r="D1793">
        <f>IF(B1793="","",IF(C1793&lt;&gt;"","REMOVE","KEEP"))</f>
        <v/>
      </c>
      <c r="E1793">
        <f>IF(D1793&lt;&gt;"KEEP","",IF(RIGHT(B1793,10)="@gmail.com","Gmail",IF(OR(RIGHT(B1793,12)="@outlook.com",RIGHT(B1793,12)="@hotmail.com",RIGHT(B1793,9)="@live.com"),"Outlook","Domain")))</f>
        <v/>
      </c>
      <c r="F1793">
        <f>IF(B1793="","",IFERROR(RIGHT(B1793,LEN(B1793)-FIND("@",B1793)),""))</f>
        <v/>
      </c>
      <c r="G1793">
        <f>IF(D1793="KEEP",COUNTIF($D$2:D1793,"KEEP"),"")</f>
        <v/>
      </c>
      <c r="H1793">
        <f>IF(D1793="REMOVE",COUNTIF($D$2:D1793,"REMOVE"),"")</f>
        <v/>
      </c>
      <c r="I1793">
        <f>IF(E1793="Gmail",COUNTIF($E$2:E1793,"Gmail"),"")</f>
        <v/>
      </c>
      <c r="J1793">
        <f>IF(E1793="Outlook",COUNTIF($E$2:E1793,"Outlook"),"")</f>
        <v/>
      </c>
      <c r="K1793">
        <f>IF(E1793="Domain",COUNTIF($E$2:E1793,"Domain"),"")</f>
        <v/>
      </c>
    </row>
    <row r="1794">
      <c r="A1794" s="2" t="n"/>
      <c r="B1794">
        <f>LOWER(TRIM(A1794))</f>
        <v/>
      </c>
      <c r="C1794">
        <f>IF(B1794="","",IFERROR(INDEX('Bad Patterns'!$A$2:$A$120,MATCH(1,INDEX(--ISNUMBER(SEARCH('Bad Patterns'!$A$2:$A$120,B1794)),0),0)),""))</f>
        <v/>
      </c>
      <c r="D1794">
        <f>IF(B1794="","",IF(C1794&lt;&gt;"","REMOVE","KEEP"))</f>
        <v/>
      </c>
      <c r="E1794">
        <f>IF(D1794&lt;&gt;"KEEP","",IF(RIGHT(B1794,10)="@gmail.com","Gmail",IF(OR(RIGHT(B1794,12)="@outlook.com",RIGHT(B1794,12)="@hotmail.com",RIGHT(B1794,9)="@live.com"),"Outlook","Domain")))</f>
        <v/>
      </c>
      <c r="F1794">
        <f>IF(B1794="","",IFERROR(RIGHT(B1794,LEN(B1794)-FIND("@",B1794)),""))</f>
        <v/>
      </c>
      <c r="G1794">
        <f>IF(D1794="KEEP",COUNTIF($D$2:D1794,"KEEP"),"")</f>
        <v/>
      </c>
      <c r="H1794">
        <f>IF(D1794="REMOVE",COUNTIF($D$2:D1794,"REMOVE"),"")</f>
        <v/>
      </c>
      <c r="I1794">
        <f>IF(E1794="Gmail",COUNTIF($E$2:E1794,"Gmail"),"")</f>
        <v/>
      </c>
      <c r="J1794">
        <f>IF(E1794="Outlook",COUNTIF($E$2:E1794,"Outlook"),"")</f>
        <v/>
      </c>
      <c r="K1794">
        <f>IF(E1794="Domain",COUNTIF($E$2:E1794,"Domain"),"")</f>
        <v/>
      </c>
    </row>
    <row r="1795">
      <c r="A1795" s="2" t="n"/>
      <c r="B1795">
        <f>LOWER(TRIM(A1795))</f>
        <v/>
      </c>
      <c r="C1795">
        <f>IF(B1795="","",IFERROR(INDEX('Bad Patterns'!$A$2:$A$120,MATCH(1,INDEX(--ISNUMBER(SEARCH('Bad Patterns'!$A$2:$A$120,B1795)),0),0)),""))</f>
        <v/>
      </c>
      <c r="D1795">
        <f>IF(B1795="","",IF(C1795&lt;&gt;"","REMOVE","KEEP"))</f>
        <v/>
      </c>
      <c r="E1795">
        <f>IF(D1795&lt;&gt;"KEEP","",IF(RIGHT(B1795,10)="@gmail.com","Gmail",IF(OR(RIGHT(B1795,12)="@outlook.com",RIGHT(B1795,12)="@hotmail.com",RIGHT(B1795,9)="@live.com"),"Outlook","Domain")))</f>
        <v/>
      </c>
      <c r="F1795">
        <f>IF(B1795="","",IFERROR(RIGHT(B1795,LEN(B1795)-FIND("@",B1795)),""))</f>
        <v/>
      </c>
      <c r="G1795">
        <f>IF(D1795="KEEP",COUNTIF($D$2:D1795,"KEEP"),"")</f>
        <v/>
      </c>
      <c r="H1795">
        <f>IF(D1795="REMOVE",COUNTIF($D$2:D1795,"REMOVE"),"")</f>
        <v/>
      </c>
      <c r="I1795">
        <f>IF(E1795="Gmail",COUNTIF($E$2:E1795,"Gmail"),"")</f>
        <v/>
      </c>
      <c r="J1795">
        <f>IF(E1795="Outlook",COUNTIF($E$2:E1795,"Outlook"),"")</f>
        <v/>
      </c>
      <c r="K1795">
        <f>IF(E1795="Domain",COUNTIF($E$2:E1795,"Domain"),"")</f>
        <v/>
      </c>
    </row>
    <row r="1796">
      <c r="A1796" s="2" t="n"/>
      <c r="B1796">
        <f>LOWER(TRIM(A1796))</f>
        <v/>
      </c>
      <c r="C1796">
        <f>IF(B1796="","",IFERROR(INDEX('Bad Patterns'!$A$2:$A$120,MATCH(1,INDEX(--ISNUMBER(SEARCH('Bad Patterns'!$A$2:$A$120,B1796)),0),0)),""))</f>
        <v/>
      </c>
      <c r="D1796">
        <f>IF(B1796="","",IF(C1796&lt;&gt;"","REMOVE","KEEP"))</f>
        <v/>
      </c>
      <c r="E1796">
        <f>IF(D1796&lt;&gt;"KEEP","",IF(RIGHT(B1796,10)="@gmail.com","Gmail",IF(OR(RIGHT(B1796,12)="@outlook.com",RIGHT(B1796,12)="@hotmail.com",RIGHT(B1796,9)="@live.com"),"Outlook","Domain")))</f>
        <v/>
      </c>
      <c r="F1796">
        <f>IF(B1796="","",IFERROR(RIGHT(B1796,LEN(B1796)-FIND("@",B1796)),""))</f>
        <v/>
      </c>
      <c r="G1796">
        <f>IF(D1796="KEEP",COUNTIF($D$2:D1796,"KEEP"),"")</f>
        <v/>
      </c>
      <c r="H1796">
        <f>IF(D1796="REMOVE",COUNTIF($D$2:D1796,"REMOVE"),"")</f>
        <v/>
      </c>
      <c r="I1796">
        <f>IF(E1796="Gmail",COUNTIF($E$2:E1796,"Gmail"),"")</f>
        <v/>
      </c>
      <c r="J1796">
        <f>IF(E1796="Outlook",COUNTIF($E$2:E1796,"Outlook"),"")</f>
        <v/>
      </c>
      <c r="K1796">
        <f>IF(E1796="Domain",COUNTIF($E$2:E1796,"Domain"),"")</f>
        <v/>
      </c>
    </row>
    <row r="1797">
      <c r="A1797" s="2" t="n"/>
      <c r="B1797">
        <f>LOWER(TRIM(A1797))</f>
        <v/>
      </c>
      <c r="C1797">
        <f>IF(B1797="","",IFERROR(INDEX('Bad Patterns'!$A$2:$A$120,MATCH(1,INDEX(--ISNUMBER(SEARCH('Bad Patterns'!$A$2:$A$120,B1797)),0),0)),""))</f>
        <v/>
      </c>
      <c r="D1797">
        <f>IF(B1797="","",IF(C1797&lt;&gt;"","REMOVE","KEEP"))</f>
        <v/>
      </c>
      <c r="E1797">
        <f>IF(D1797&lt;&gt;"KEEP","",IF(RIGHT(B1797,10)="@gmail.com","Gmail",IF(OR(RIGHT(B1797,12)="@outlook.com",RIGHT(B1797,12)="@hotmail.com",RIGHT(B1797,9)="@live.com"),"Outlook","Domain")))</f>
        <v/>
      </c>
      <c r="F1797">
        <f>IF(B1797="","",IFERROR(RIGHT(B1797,LEN(B1797)-FIND("@",B1797)),""))</f>
        <v/>
      </c>
      <c r="G1797">
        <f>IF(D1797="KEEP",COUNTIF($D$2:D1797,"KEEP"),"")</f>
        <v/>
      </c>
      <c r="H1797">
        <f>IF(D1797="REMOVE",COUNTIF($D$2:D1797,"REMOVE"),"")</f>
        <v/>
      </c>
      <c r="I1797">
        <f>IF(E1797="Gmail",COUNTIF($E$2:E1797,"Gmail"),"")</f>
        <v/>
      </c>
      <c r="J1797">
        <f>IF(E1797="Outlook",COUNTIF($E$2:E1797,"Outlook"),"")</f>
        <v/>
      </c>
      <c r="K1797">
        <f>IF(E1797="Domain",COUNTIF($E$2:E1797,"Domain"),"")</f>
        <v/>
      </c>
    </row>
    <row r="1798">
      <c r="A1798" s="2" t="n"/>
      <c r="B1798">
        <f>LOWER(TRIM(A1798))</f>
        <v/>
      </c>
      <c r="C1798">
        <f>IF(B1798="","",IFERROR(INDEX('Bad Patterns'!$A$2:$A$120,MATCH(1,INDEX(--ISNUMBER(SEARCH('Bad Patterns'!$A$2:$A$120,B1798)),0),0)),""))</f>
        <v/>
      </c>
      <c r="D1798">
        <f>IF(B1798="","",IF(C1798&lt;&gt;"","REMOVE","KEEP"))</f>
        <v/>
      </c>
      <c r="E1798">
        <f>IF(D1798&lt;&gt;"KEEP","",IF(RIGHT(B1798,10)="@gmail.com","Gmail",IF(OR(RIGHT(B1798,12)="@outlook.com",RIGHT(B1798,12)="@hotmail.com",RIGHT(B1798,9)="@live.com"),"Outlook","Domain")))</f>
        <v/>
      </c>
      <c r="F1798">
        <f>IF(B1798="","",IFERROR(RIGHT(B1798,LEN(B1798)-FIND("@",B1798)),""))</f>
        <v/>
      </c>
      <c r="G1798">
        <f>IF(D1798="KEEP",COUNTIF($D$2:D1798,"KEEP"),"")</f>
        <v/>
      </c>
      <c r="H1798">
        <f>IF(D1798="REMOVE",COUNTIF($D$2:D1798,"REMOVE"),"")</f>
        <v/>
      </c>
      <c r="I1798">
        <f>IF(E1798="Gmail",COUNTIF($E$2:E1798,"Gmail"),"")</f>
        <v/>
      </c>
      <c r="J1798">
        <f>IF(E1798="Outlook",COUNTIF($E$2:E1798,"Outlook"),"")</f>
        <v/>
      </c>
      <c r="K1798">
        <f>IF(E1798="Domain",COUNTIF($E$2:E1798,"Domain"),"")</f>
        <v/>
      </c>
    </row>
    <row r="1799">
      <c r="A1799" s="2" t="n"/>
      <c r="B1799">
        <f>LOWER(TRIM(A1799))</f>
        <v/>
      </c>
      <c r="C1799">
        <f>IF(B1799="","",IFERROR(INDEX('Bad Patterns'!$A$2:$A$120,MATCH(1,INDEX(--ISNUMBER(SEARCH('Bad Patterns'!$A$2:$A$120,B1799)),0),0)),""))</f>
        <v/>
      </c>
      <c r="D1799">
        <f>IF(B1799="","",IF(C1799&lt;&gt;"","REMOVE","KEEP"))</f>
        <v/>
      </c>
      <c r="E1799">
        <f>IF(D1799&lt;&gt;"KEEP","",IF(RIGHT(B1799,10)="@gmail.com","Gmail",IF(OR(RIGHT(B1799,12)="@outlook.com",RIGHT(B1799,12)="@hotmail.com",RIGHT(B1799,9)="@live.com"),"Outlook","Domain")))</f>
        <v/>
      </c>
      <c r="F1799">
        <f>IF(B1799="","",IFERROR(RIGHT(B1799,LEN(B1799)-FIND("@",B1799)),""))</f>
        <v/>
      </c>
      <c r="G1799">
        <f>IF(D1799="KEEP",COUNTIF($D$2:D1799,"KEEP"),"")</f>
        <v/>
      </c>
      <c r="H1799">
        <f>IF(D1799="REMOVE",COUNTIF($D$2:D1799,"REMOVE"),"")</f>
        <v/>
      </c>
      <c r="I1799">
        <f>IF(E1799="Gmail",COUNTIF($E$2:E1799,"Gmail"),"")</f>
        <v/>
      </c>
      <c r="J1799">
        <f>IF(E1799="Outlook",COUNTIF($E$2:E1799,"Outlook"),"")</f>
        <v/>
      </c>
      <c r="K1799">
        <f>IF(E1799="Domain",COUNTIF($E$2:E1799,"Domain"),"")</f>
        <v/>
      </c>
    </row>
    <row r="1800">
      <c r="A1800" s="2" t="n"/>
      <c r="B1800">
        <f>LOWER(TRIM(A1800))</f>
        <v/>
      </c>
      <c r="C1800">
        <f>IF(B1800="","",IFERROR(INDEX('Bad Patterns'!$A$2:$A$120,MATCH(1,INDEX(--ISNUMBER(SEARCH('Bad Patterns'!$A$2:$A$120,B1800)),0),0)),""))</f>
        <v/>
      </c>
      <c r="D1800">
        <f>IF(B1800="","",IF(C1800&lt;&gt;"","REMOVE","KEEP"))</f>
        <v/>
      </c>
      <c r="E1800">
        <f>IF(D1800&lt;&gt;"KEEP","",IF(RIGHT(B1800,10)="@gmail.com","Gmail",IF(OR(RIGHT(B1800,12)="@outlook.com",RIGHT(B1800,12)="@hotmail.com",RIGHT(B1800,9)="@live.com"),"Outlook","Domain")))</f>
        <v/>
      </c>
      <c r="F1800">
        <f>IF(B1800="","",IFERROR(RIGHT(B1800,LEN(B1800)-FIND("@",B1800)),""))</f>
        <v/>
      </c>
      <c r="G1800">
        <f>IF(D1800="KEEP",COUNTIF($D$2:D1800,"KEEP"),"")</f>
        <v/>
      </c>
      <c r="H1800">
        <f>IF(D1800="REMOVE",COUNTIF($D$2:D1800,"REMOVE"),"")</f>
        <v/>
      </c>
      <c r="I1800">
        <f>IF(E1800="Gmail",COUNTIF($E$2:E1800,"Gmail"),"")</f>
        <v/>
      </c>
      <c r="J1800">
        <f>IF(E1800="Outlook",COUNTIF($E$2:E1800,"Outlook"),"")</f>
        <v/>
      </c>
      <c r="K1800">
        <f>IF(E1800="Domain",COUNTIF($E$2:E1800,"Domain"),"")</f>
        <v/>
      </c>
    </row>
    <row r="1801">
      <c r="A1801" s="2" t="n"/>
      <c r="B1801">
        <f>LOWER(TRIM(A1801))</f>
        <v/>
      </c>
      <c r="C1801">
        <f>IF(B1801="","",IFERROR(INDEX('Bad Patterns'!$A$2:$A$120,MATCH(1,INDEX(--ISNUMBER(SEARCH('Bad Patterns'!$A$2:$A$120,B1801)),0),0)),""))</f>
        <v/>
      </c>
      <c r="D1801">
        <f>IF(B1801="","",IF(C1801&lt;&gt;"","REMOVE","KEEP"))</f>
        <v/>
      </c>
      <c r="E1801">
        <f>IF(D1801&lt;&gt;"KEEP","",IF(RIGHT(B1801,10)="@gmail.com","Gmail",IF(OR(RIGHT(B1801,12)="@outlook.com",RIGHT(B1801,12)="@hotmail.com",RIGHT(B1801,9)="@live.com"),"Outlook","Domain")))</f>
        <v/>
      </c>
      <c r="F1801">
        <f>IF(B1801="","",IFERROR(RIGHT(B1801,LEN(B1801)-FIND("@",B1801)),""))</f>
        <v/>
      </c>
      <c r="G1801">
        <f>IF(D1801="KEEP",COUNTIF($D$2:D1801,"KEEP"),"")</f>
        <v/>
      </c>
      <c r="H1801">
        <f>IF(D1801="REMOVE",COUNTIF($D$2:D1801,"REMOVE"),"")</f>
        <v/>
      </c>
      <c r="I1801">
        <f>IF(E1801="Gmail",COUNTIF($E$2:E1801,"Gmail"),"")</f>
        <v/>
      </c>
      <c r="J1801">
        <f>IF(E1801="Outlook",COUNTIF($E$2:E1801,"Outlook"),"")</f>
        <v/>
      </c>
      <c r="K1801">
        <f>IF(E1801="Domain",COUNTIF($E$2:E1801,"Domain"),"")</f>
        <v/>
      </c>
    </row>
    <row r="1802">
      <c r="A1802" s="2" t="n"/>
      <c r="B1802">
        <f>LOWER(TRIM(A1802))</f>
        <v/>
      </c>
      <c r="C1802">
        <f>IF(B1802="","",IFERROR(INDEX('Bad Patterns'!$A$2:$A$120,MATCH(1,INDEX(--ISNUMBER(SEARCH('Bad Patterns'!$A$2:$A$120,B1802)),0),0)),""))</f>
        <v/>
      </c>
      <c r="D1802">
        <f>IF(B1802="","",IF(C1802&lt;&gt;"","REMOVE","KEEP"))</f>
        <v/>
      </c>
      <c r="E1802">
        <f>IF(D1802&lt;&gt;"KEEP","",IF(RIGHT(B1802,10)="@gmail.com","Gmail",IF(OR(RIGHT(B1802,12)="@outlook.com",RIGHT(B1802,12)="@hotmail.com",RIGHT(B1802,9)="@live.com"),"Outlook","Domain")))</f>
        <v/>
      </c>
      <c r="F1802">
        <f>IF(B1802="","",IFERROR(RIGHT(B1802,LEN(B1802)-FIND("@",B1802)),""))</f>
        <v/>
      </c>
      <c r="G1802">
        <f>IF(D1802="KEEP",COUNTIF($D$2:D1802,"KEEP"),"")</f>
        <v/>
      </c>
      <c r="H1802">
        <f>IF(D1802="REMOVE",COUNTIF($D$2:D1802,"REMOVE"),"")</f>
        <v/>
      </c>
      <c r="I1802">
        <f>IF(E1802="Gmail",COUNTIF($E$2:E1802,"Gmail"),"")</f>
        <v/>
      </c>
      <c r="J1802">
        <f>IF(E1802="Outlook",COUNTIF($E$2:E1802,"Outlook"),"")</f>
        <v/>
      </c>
      <c r="K1802">
        <f>IF(E1802="Domain",COUNTIF($E$2:E1802,"Domain"),"")</f>
        <v/>
      </c>
    </row>
    <row r="1803">
      <c r="A1803" s="2" t="n"/>
      <c r="B1803">
        <f>LOWER(TRIM(A1803))</f>
        <v/>
      </c>
      <c r="C1803">
        <f>IF(B1803="","",IFERROR(INDEX('Bad Patterns'!$A$2:$A$120,MATCH(1,INDEX(--ISNUMBER(SEARCH('Bad Patterns'!$A$2:$A$120,B1803)),0),0)),""))</f>
        <v/>
      </c>
      <c r="D1803">
        <f>IF(B1803="","",IF(C1803&lt;&gt;"","REMOVE","KEEP"))</f>
        <v/>
      </c>
      <c r="E1803">
        <f>IF(D1803&lt;&gt;"KEEP","",IF(RIGHT(B1803,10)="@gmail.com","Gmail",IF(OR(RIGHT(B1803,12)="@outlook.com",RIGHT(B1803,12)="@hotmail.com",RIGHT(B1803,9)="@live.com"),"Outlook","Domain")))</f>
        <v/>
      </c>
      <c r="F1803">
        <f>IF(B1803="","",IFERROR(RIGHT(B1803,LEN(B1803)-FIND("@",B1803)),""))</f>
        <v/>
      </c>
      <c r="G1803">
        <f>IF(D1803="KEEP",COUNTIF($D$2:D1803,"KEEP"),"")</f>
        <v/>
      </c>
      <c r="H1803">
        <f>IF(D1803="REMOVE",COUNTIF($D$2:D1803,"REMOVE"),"")</f>
        <v/>
      </c>
      <c r="I1803">
        <f>IF(E1803="Gmail",COUNTIF($E$2:E1803,"Gmail"),"")</f>
        <v/>
      </c>
      <c r="J1803">
        <f>IF(E1803="Outlook",COUNTIF($E$2:E1803,"Outlook"),"")</f>
        <v/>
      </c>
      <c r="K1803">
        <f>IF(E1803="Domain",COUNTIF($E$2:E1803,"Domain"),"")</f>
        <v/>
      </c>
    </row>
    <row r="1804">
      <c r="A1804" s="2" t="n"/>
      <c r="B1804">
        <f>LOWER(TRIM(A1804))</f>
        <v/>
      </c>
      <c r="C1804">
        <f>IF(B1804="","",IFERROR(INDEX('Bad Patterns'!$A$2:$A$120,MATCH(1,INDEX(--ISNUMBER(SEARCH('Bad Patterns'!$A$2:$A$120,B1804)),0),0)),""))</f>
        <v/>
      </c>
      <c r="D1804">
        <f>IF(B1804="","",IF(C1804&lt;&gt;"","REMOVE","KEEP"))</f>
        <v/>
      </c>
      <c r="E1804">
        <f>IF(D1804&lt;&gt;"KEEP","",IF(RIGHT(B1804,10)="@gmail.com","Gmail",IF(OR(RIGHT(B1804,12)="@outlook.com",RIGHT(B1804,12)="@hotmail.com",RIGHT(B1804,9)="@live.com"),"Outlook","Domain")))</f>
        <v/>
      </c>
      <c r="F1804">
        <f>IF(B1804="","",IFERROR(RIGHT(B1804,LEN(B1804)-FIND("@",B1804)),""))</f>
        <v/>
      </c>
      <c r="G1804">
        <f>IF(D1804="KEEP",COUNTIF($D$2:D1804,"KEEP"),"")</f>
        <v/>
      </c>
      <c r="H1804">
        <f>IF(D1804="REMOVE",COUNTIF($D$2:D1804,"REMOVE"),"")</f>
        <v/>
      </c>
      <c r="I1804">
        <f>IF(E1804="Gmail",COUNTIF($E$2:E1804,"Gmail"),"")</f>
        <v/>
      </c>
      <c r="J1804">
        <f>IF(E1804="Outlook",COUNTIF($E$2:E1804,"Outlook"),"")</f>
        <v/>
      </c>
      <c r="K1804">
        <f>IF(E1804="Domain",COUNTIF($E$2:E1804,"Domain"),"")</f>
        <v/>
      </c>
    </row>
    <row r="1805">
      <c r="A1805" s="2" t="n"/>
      <c r="B1805">
        <f>LOWER(TRIM(A1805))</f>
        <v/>
      </c>
      <c r="C1805">
        <f>IF(B1805="","",IFERROR(INDEX('Bad Patterns'!$A$2:$A$120,MATCH(1,INDEX(--ISNUMBER(SEARCH('Bad Patterns'!$A$2:$A$120,B1805)),0),0)),""))</f>
        <v/>
      </c>
      <c r="D1805">
        <f>IF(B1805="","",IF(C1805&lt;&gt;"","REMOVE","KEEP"))</f>
        <v/>
      </c>
      <c r="E1805">
        <f>IF(D1805&lt;&gt;"KEEP","",IF(RIGHT(B1805,10)="@gmail.com","Gmail",IF(OR(RIGHT(B1805,12)="@outlook.com",RIGHT(B1805,12)="@hotmail.com",RIGHT(B1805,9)="@live.com"),"Outlook","Domain")))</f>
        <v/>
      </c>
      <c r="F1805">
        <f>IF(B1805="","",IFERROR(RIGHT(B1805,LEN(B1805)-FIND("@",B1805)),""))</f>
        <v/>
      </c>
      <c r="G1805">
        <f>IF(D1805="KEEP",COUNTIF($D$2:D1805,"KEEP"),"")</f>
        <v/>
      </c>
      <c r="H1805">
        <f>IF(D1805="REMOVE",COUNTIF($D$2:D1805,"REMOVE"),"")</f>
        <v/>
      </c>
      <c r="I1805">
        <f>IF(E1805="Gmail",COUNTIF($E$2:E1805,"Gmail"),"")</f>
        <v/>
      </c>
      <c r="J1805">
        <f>IF(E1805="Outlook",COUNTIF($E$2:E1805,"Outlook"),"")</f>
        <v/>
      </c>
      <c r="K1805">
        <f>IF(E1805="Domain",COUNTIF($E$2:E1805,"Domain"),"")</f>
        <v/>
      </c>
    </row>
    <row r="1806">
      <c r="A1806" s="2" t="n"/>
      <c r="B1806">
        <f>LOWER(TRIM(A1806))</f>
        <v/>
      </c>
      <c r="C1806">
        <f>IF(B1806="","",IFERROR(INDEX('Bad Patterns'!$A$2:$A$120,MATCH(1,INDEX(--ISNUMBER(SEARCH('Bad Patterns'!$A$2:$A$120,B1806)),0),0)),""))</f>
        <v/>
      </c>
      <c r="D1806">
        <f>IF(B1806="","",IF(C1806&lt;&gt;"","REMOVE","KEEP"))</f>
        <v/>
      </c>
      <c r="E1806">
        <f>IF(D1806&lt;&gt;"KEEP","",IF(RIGHT(B1806,10)="@gmail.com","Gmail",IF(OR(RIGHT(B1806,12)="@outlook.com",RIGHT(B1806,12)="@hotmail.com",RIGHT(B1806,9)="@live.com"),"Outlook","Domain")))</f>
        <v/>
      </c>
      <c r="F1806">
        <f>IF(B1806="","",IFERROR(RIGHT(B1806,LEN(B1806)-FIND("@",B1806)),""))</f>
        <v/>
      </c>
      <c r="G1806">
        <f>IF(D1806="KEEP",COUNTIF($D$2:D1806,"KEEP"),"")</f>
        <v/>
      </c>
      <c r="H1806">
        <f>IF(D1806="REMOVE",COUNTIF($D$2:D1806,"REMOVE"),"")</f>
        <v/>
      </c>
      <c r="I1806">
        <f>IF(E1806="Gmail",COUNTIF($E$2:E1806,"Gmail"),"")</f>
        <v/>
      </c>
      <c r="J1806">
        <f>IF(E1806="Outlook",COUNTIF($E$2:E1806,"Outlook"),"")</f>
        <v/>
      </c>
      <c r="K1806">
        <f>IF(E1806="Domain",COUNTIF($E$2:E1806,"Domain"),"")</f>
        <v/>
      </c>
    </row>
    <row r="1807">
      <c r="A1807" s="2" t="n"/>
      <c r="B1807">
        <f>LOWER(TRIM(A1807))</f>
        <v/>
      </c>
      <c r="C1807">
        <f>IF(B1807="","",IFERROR(INDEX('Bad Patterns'!$A$2:$A$120,MATCH(1,INDEX(--ISNUMBER(SEARCH('Bad Patterns'!$A$2:$A$120,B1807)),0),0)),""))</f>
        <v/>
      </c>
      <c r="D1807">
        <f>IF(B1807="","",IF(C1807&lt;&gt;"","REMOVE","KEEP"))</f>
        <v/>
      </c>
      <c r="E1807">
        <f>IF(D1807&lt;&gt;"KEEP","",IF(RIGHT(B1807,10)="@gmail.com","Gmail",IF(OR(RIGHT(B1807,12)="@outlook.com",RIGHT(B1807,12)="@hotmail.com",RIGHT(B1807,9)="@live.com"),"Outlook","Domain")))</f>
        <v/>
      </c>
      <c r="F1807">
        <f>IF(B1807="","",IFERROR(RIGHT(B1807,LEN(B1807)-FIND("@",B1807)),""))</f>
        <v/>
      </c>
      <c r="G1807">
        <f>IF(D1807="KEEP",COUNTIF($D$2:D1807,"KEEP"),"")</f>
        <v/>
      </c>
      <c r="H1807">
        <f>IF(D1807="REMOVE",COUNTIF($D$2:D1807,"REMOVE"),"")</f>
        <v/>
      </c>
      <c r="I1807">
        <f>IF(E1807="Gmail",COUNTIF($E$2:E1807,"Gmail"),"")</f>
        <v/>
      </c>
      <c r="J1807">
        <f>IF(E1807="Outlook",COUNTIF($E$2:E1807,"Outlook"),"")</f>
        <v/>
      </c>
      <c r="K1807">
        <f>IF(E1807="Domain",COUNTIF($E$2:E1807,"Domain"),"")</f>
        <v/>
      </c>
    </row>
    <row r="1808">
      <c r="A1808" s="2" t="n"/>
      <c r="B1808">
        <f>LOWER(TRIM(A1808))</f>
        <v/>
      </c>
      <c r="C1808">
        <f>IF(B1808="","",IFERROR(INDEX('Bad Patterns'!$A$2:$A$120,MATCH(1,INDEX(--ISNUMBER(SEARCH('Bad Patterns'!$A$2:$A$120,B1808)),0),0)),""))</f>
        <v/>
      </c>
      <c r="D1808">
        <f>IF(B1808="","",IF(C1808&lt;&gt;"","REMOVE","KEEP"))</f>
        <v/>
      </c>
      <c r="E1808">
        <f>IF(D1808&lt;&gt;"KEEP","",IF(RIGHT(B1808,10)="@gmail.com","Gmail",IF(OR(RIGHT(B1808,12)="@outlook.com",RIGHT(B1808,12)="@hotmail.com",RIGHT(B1808,9)="@live.com"),"Outlook","Domain")))</f>
        <v/>
      </c>
      <c r="F1808">
        <f>IF(B1808="","",IFERROR(RIGHT(B1808,LEN(B1808)-FIND("@",B1808)),""))</f>
        <v/>
      </c>
      <c r="G1808">
        <f>IF(D1808="KEEP",COUNTIF($D$2:D1808,"KEEP"),"")</f>
        <v/>
      </c>
      <c r="H1808">
        <f>IF(D1808="REMOVE",COUNTIF($D$2:D1808,"REMOVE"),"")</f>
        <v/>
      </c>
      <c r="I1808">
        <f>IF(E1808="Gmail",COUNTIF($E$2:E1808,"Gmail"),"")</f>
        <v/>
      </c>
      <c r="J1808">
        <f>IF(E1808="Outlook",COUNTIF($E$2:E1808,"Outlook"),"")</f>
        <v/>
      </c>
      <c r="K1808">
        <f>IF(E1808="Domain",COUNTIF($E$2:E1808,"Domain"),"")</f>
        <v/>
      </c>
    </row>
    <row r="1809">
      <c r="A1809" s="2" t="n"/>
      <c r="B1809">
        <f>LOWER(TRIM(A1809))</f>
        <v/>
      </c>
      <c r="C1809">
        <f>IF(B1809="","",IFERROR(INDEX('Bad Patterns'!$A$2:$A$120,MATCH(1,INDEX(--ISNUMBER(SEARCH('Bad Patterns'!$A$2:$A$120,B1809)),0),0)),""))</f>
        <v/>
      </c>
      <c r="D1809">
        <f>IF(B1809="","",IF(C1809&lt;&gt;"","REMOVE","KEEP"))</f>
        <v/>
      </c>
      <c r="E1809">
        <f>IF(D1809&lt;&gt;"KEEP","",IF(RIGHT(B1809,10)="@gmail.com","Gmail",IF(OR(RIGHT(B1809,12)="@outlook.com",RIGHT(B1809,12)="@hotmail.com",RIGHT(B1809,9)="@live.com"),"Outlook","Domain")))</f>
        <v/>
      </c>
      <c r="F1809">
        <f>IF(B1809="","",IFERROR(RIGHT(B1809,LEN(B1809)-FIND("@",B1809)),""))</f>
        <v/>
      </c>
      <c r="G1809">
        <f>IF(D1809="KEEP",COUNTIF($D$2:D1809,"KEEP"),"")</f>
        <v/>
      </c>
      <c r="H1809">
        <f>IF(D1809="REMOVE",COUNTIF($D$2:D1809,"REMOVE"),"")</f>
        <v/>
      </c>
      <c r="I1809">
        <f>IF(E1809="Gmail",COUNTIF($E$2:E1809,"Gmail"),"")</f>
        <v/>
      </c>
      <c r="J1809">
        <f>IF(E1809="Outlook",COUNTIF($E$2:E1809,"Outlook"),"")</f>
        <v/>
      </c>
      <c r="K1809">
        <f>IF(E1809="Domain",COUNTIF($E$2:E1809,"Domain"),"")</f>
        <v/>
      </c>
    </row>
    <row r="1810">
      <c r="A1810" s="2" t="n"/>
      <c r="B1810">
        <f>LOWER(TRIM(A1810))</f>
        <v/>
      </c>
      <c r="C1810">
        <f>IF(B1810="","",IFERROR(INDEX('Bad Patterns'!$A$2:$A$120,MATCH(1,INDEX(--ISNUMBER(SEARCH('Bad Patterns'!$A$2:$A$120,B1810)),0),0)),""))</f>
        <v/>
      </c>
      <c r="D1810">
        <f>IF(B1810="","",IF(C1810&lt;&gt;"","REMOVE","KEEP"))</f>
        <v/>
      </c>
      <c r="E1810">
        <f>IF(D1810&lt;&gt;"KEEP","",IF(RIGHT(B1810,10)="@gmail.com","Gmail",IF(OR(RIGHT(B1810,12)="@outlook.com",RIGHT(B1810,12)="@hotmail.com",RIGHT(B1810,9)="@live.com"),"Outlook","Domain")))</f>
        <v/>
      </c>
      <c r="F1810">
        <f>IF(B1810="","",IFERROR(RIGHT(B1810,LEN(B1810)-FIND("@",B1810)),""))</f>
        <v/>
      </c>
      <c r="G1810">
        <f>IF(D1810="KEEP",COUNTIF($D$2:D1810,"KEEP"),"")</f>
        <v/>
      </c>
      <c r="H1810">
        <f>IF(D1810="REMOVE",COUNTIF($D$2:D1810,"REMOVE"),"")</f>
        <v/>
      </c>
      <c r="I1810">
        <f>IF(E1810="Gmail",COUNTIF($E$2:E1810,"Gmail"),"")</f>
        <v/>
      </c>
      <c r="J1810">
        <f>IF(E1810="Outlook",COUNTIF($E$2:E1810,"Outlook"),"")</f>
        <v/>
      </c>
      <c r="K1810">
        <f>IF(E1810="Domain",COUNTIF($E$2:E1810,"Domain"),"")</f>
        <v/>
      </c>
    </row>
    <row r="1811">
      <c r="A1811" s="2" t="n"/>
      <c r="B1811">
        <f>LOWER(TRIM(A1811))</f>
        <v/>
      </c>
      <c r="C1811">
        <f>IF(B1811="","",IFERROR(INDEX('Bad Patterns'!$A$2:$A$120,MATCH(1,INDEX(--ISNUMBER(SEARCH('Bad Patterns'!$A$2:$A$120,B1811)),0),0)),""))</f>
        <v/>
      </c>
      <c r="D1811">
        <f>IF(B1811="","",IF(C1811&lt;&gt;"","REMOVE","KEEP"))</f>
        <v/>
      </c>
      <c r="E1811">
        <f>IF(D1811&lt;&gt;"KEEP","",IF(RIGHT(B1811,10)="@gmail.com","Gmail",IF(OR(RIGHT(B1811,12)="@outlook.com",RIGHT(B1811,12)="@hotmail.com",RIGHT(B1811,9)="@live.com"),"Outlook","Domain")))</f>
        <v/>
      </c>
      <c r="F1811">
        <f>IF(B1811="","",IFERROR(RIGHT(B1811,LEN(B1811)-FIND("@",B1811)),""))</f>
        <v/>
      </c>
      <c r="G1811">
        <f>IF(D1811="KEEP",COUNTIF($D$2:D1811,"KEEP"),"")</f>
        <v/>
      </c>
      <c r="H1811">
        <f>IF(D1811="REMOVE",COUNTIF($D$2:D1811,"REMOVE"),"")</f>
        <v/>
      </c>
      <c r="I1811">
        <f>IF(E1811="Gmail",COUNTIF($E$2:E1811,"Gmail"),"")</f>
        <v/>
      </c>
      <c r="J1811">
        <f>IF(E1811="Outlook",COUNTIF($E$2:E1811,"Outlook"),"")</f>
        <v/>
      </c>
      <c r="K1811">
        <f>IF(E1811="Domain",COUNTIF($E$2:E1811,"Domain"),"")</f>
        <v/>
      </c>
    </row>
    <row r="1812">
      <c r="A1812" s="2" t="n"/>
      <c r="B1812">
        <f>LOWER(TRIM(A1812))</f>
        <v/>
      </c>
      <c r="C1812">
        <f>IF(B1812="","",IFERROR(INDEX('Bad Patterns'!$A$2:$A$120,MATCH(1,INDEX(--ISNUMBER(SEARCH('Bad Patterns'!$A$2:$A$120,B1812)),0),0)),""))</f>
        <v/>
      </c>
      <c r="D1812">
        <f>IF(B1812="","",IF(C1812&lt;&gt;"","REMOVE","KEEP"))</f>
        <v/>
      </c>
      <c r="E1812">
        <f>IF(D1812&lt;&gt;"KEEP","",IF(RIGHT(B1812,10)="@gmail.com","Gmail",IF(OR(RIGHT(B1812,12)="@outlook.com",RIGHT(B1812,12)="@hotmail.com",RIGHT(B1812,9)="@live.com"),"Outlook","Domain")))</f>
        <v/>
      </c>
      <c r="F1812">
        <f>IF(B1812="","",IFERROR(RIGHT(B1812,LEN(B1812)-FIND("@",B1812)),""))</f>
        <v/>
      </c>
      <c r="G1812">
        <f>IF(D1812="KEEP",COUNTIF($D$2:D1812,"KEEP"),"")</f>
        <v/>
      </c>
      <c r="H1812">
        <f>IF(D1812="REMOVE",COUNTIF($D$2:D1812,"REMOVE"),"")</f>
        <v/>
      </c>
      <c r="I1812">
        <f>IF(E1812="Gmail",COUNTIF($E$2:E1812,"Gmail"),"")</f>
        <v/>
      </c>
      <c r="J1812">
        <f>IF(E1812="Outlook",COUNTIF($E$2:E1812,"Outlook"),"")</f>
        <v/>
      </c>
      <c r="K1812">
        <f>IF(E1812="Domain",COUNTIF($E$2:E1812,"Domain"),"")</f>
        <v/>
      </c>
    </row>
    <row r="1813">
      <c r="A1813" s="2" t="n"/>
      <c r="B1813">
        <f>LOWER(TRIM(A1813))</f>
        <v/>
      </c>
      <c r="C1813">
        <f>IF(B1813="","",IFERROR(INDEX('Bad Patterns'!$A$2:$A$120,MATCH(1,INDEX(--ISNUMBER(SEARCH('Bad Patterns'!$A$2:$A$120,B1813)),0),0)),""))</f>
        <v/>
      </c>
      <c r="D1813">
        <f>IF(B1813="","",IF(C1813&lt;&gt;"","REMOVE","KEEP"))</f>
        <v/>
      </c>
      <c r="E1813">
        <f>IF(D1813&lt;&gt;"KEEP","",IF(RIGHT(B1813,10)="@gmail.com","Gmail",IF(OR(RIGHT(B1813,12)="@outlook.com",RIGHT(B1813,12)="@hotmail.com",RIGHT(B1813,9)="@live.com"),"Outlook","Domain")))</f>
        <v/>
      </c>
      <c r="F1813">
        <f>IF(B1813="","",IFERROR(RIGHT(B1813,LEN(B1813)-FIND("@",B1813)),""))</f>
        <v/>
      </c>
      <c r="G1813">
        <f>IF(D1813="KEEP",COUNTIF($D$2:D1813,"KEEP"),"")</f>
        <v/>
      </c>
      <c r="H1813">
        <f>IF(D1813="REMOVE",COUNTIF($D$2:D1813,"REMOVE"),"")</f>
        <v/>
      </c>
      <c r="I1813">
        <f>IF(E1813="Gmail",COUNTIF($E$2:E1813,"Gmail"),"")</f>
        <v/>
      </c>
      <c r="J1813">
        <f>IF(E1813="Outlook",COUNTIF($E$2:E1813,"Outlook"),"")</f>
        <v/>
      </c>
      <c r="K1813">
        <f>IF(E1813="Domain",COUNTIF($E$2:E1813,"Domain"),"")</f>
        <v/>
      </c>
    </row>
    <row r="1814">
      <c r="A1814" s="2" t="n"/>
      <c r="B1814">
        <f>LOWER(TRIM(A1814))</f>
        <v/>
      </c>
      <c r="C1814">
        <f>IF(B1814="","",IFERROR(INDEX('Bad Patterns'!$A$2:$A$120,MATCH(1,INDEX(--ISNUMBER(SEARCH('Bad Patterns'!$A$2:$A$120,B1814)),0),0)),""))</f>
        <v/>
      </c>
      <c r="D1814">
        <f>IF(B1814="","",IF(C1814&lt;&gt;"","REMOVE","KEEP"))</f>
        <v/>
      </c>
      <c r="E1814">
        <f>IF(D1814&lt;&gt;"KEEP","",IF(RIGHT(B1814,10)="@gmail.com","Gmail",IF(OR(RIGHT(B1814,12)="@outlook.com",RIGHT(B1814,12)="@hotmail.com",RIGHT(B1814,9)="@live.com"),"Outlook","Domain")))</f>
        <v/>
      </c>
      <c r="F1814">
        <f>IF(B1814="","",IFERROR(RIGHT(B1814,LEN(B1814)-FIND("@",B1814)),""))</f>
        <v/>
      </c>
      <c r="G1814">
        <f>IF(D1814="KEEP",COUNTIF($D$2:D1814,"KEEP"),"")</f>
        <v/>
      </c>
      <c r="H1814">
        <f>IF(D1814="REMOVE",COUNTIF($D$2:D1814,"REMOVE"),"")</f>
        <v/>
      </c>
      <c r="I1814">
        <f>IF(E1814="Gmail",COUNTIF($E$2:E1814,"Gmail"),"")</f>
        <v/>
      </c>
      <c r="J1814">
        <f>IF(E1814="Outlook",COUNTIF($E$2:E1814,"Outlook"),"")</f>
        <v/>
      </c>
      <c r="K1814">
        <f>IF(E1814="Domain",COUNTIF($E$2:E1814,"Domain"),"")</f>
        <v/>
      </c>
    </row>
    <row r="1815">
      <c r="A1815" s="2" t="n"/>
      <c r="B1815">
        <f>LOWER(TRIM(A1815))</f>
        <v/>
      </c>
      <c r="C1815">
        <f>IF(B1815="","",IFERROR(INDEX('Bad Patterns'!$A$2:$A$120,MATCH(1,INDEX(--ISNUMBER(SEARCH('Bad Patterns'!$A$2:$A$120,B1815)),0),0)),""))</f>
        <v/>
      </c>
      <c r="D1815">
        <f>IF(B1815="","",IF(C1815&lt;&gt;"","REMOVE","KEEP"))</f>
        <v/>
      </c>
      <c r="E1815">
        <f>IF(D1815&lt;&gt;"KEEP","",IF(RIGHT(B1815,10)="@gmail.com","Gmail",IF(OR(RIGHT(B1815,12)="@outlook.com",RIGHT(B1815,12)="@hotmail.com",RIGHT(B1815,9)="@live.com"),"Outlook","Domain")))</f>
        <v/>
      </c>
      <c r="F1815">
        <f>IF(B1815="","",IFERROR(RIGHT(B1815,LEN(B1815)-FIND("@",B1815)),""))</f>
        <v/>
      </c>
      <c r="G1815">
        <f>IF(D1815="KEEP",COUNTIF($D$2:D1815,"KEEP"),"")</f>
        <v/>
      </c>
      <c r="H1815">
        <f>IF(D1815="REMOVE",COUNTIF($D$2:D1815,"REMOVE"),"")</f>
        <v/>
      </c>
      <c r="I1815">
        <f>IF(E1815="Gmail",COUNTIF($E$2:E1815,"Gmail"),"")</f>
        <v/>
      </c>
      <c r="J1815">
        <f>IF(E1815="Outlook",COUNTIF($E$2:E1815,"Outlook"),"")</f>
        <v/>
      </c>
      <c r="K1815">
        <f>IF(E1815="Domain",COUNTIF($E$2:E1815,"Domain"),"")</f>
        <v/>
      </c>
    </row>
    <row r="1816">
      <c r="A1816" s="2" t="n"/>
      <c r="B1816">
        <f>LOWER(TRIM(A1816))</f>
        <v/>
      </c>
      <c r="C1816">
        <f>IF(B1816="","",IFERROR(INDEX('Bad Patterns'!$A$2:$A$120,MATCH(1,INDEX(--ISNUMBER(SEARCH('Bad Patterns'!$A$2:$A$120,B1816)),0),0)),""))</f>
        <v/>
      </c>
      <c r="D1816">
        <f>IF(B1816="","",IF(C1816&lt;&gt;"","REMOVE","KEEP"))</f>
        <v/>
      </c>
      <c r="E1816">
        <f>IF(D1816&lt;&gt;"KEEP","",IF(RIGHT(B1816,10)="@gmail.com","Gmail",IF(OR(RIGHT(B1816,12)="@outlook.com",RIGHT(B1816,12)="@hotmail.com",RIGHT(B1816,9)="@live.com"),"Outlook","Domain")))</f>
        <v/>
      </c>
      <c r="F1816">
        <f>IF(B1816="","",IFERROR(RIGHT(B1816,LEN(B1816)-FIND("@",B1816)),""))</f>
        <v/>
      </c>
      <c r="G1816">
        <f>IF(D1816="KEEP",COUNTIF($D$2:D1816,"KEEP"),"")</f>
        <v/>
      </c>
      <c r="H1816">
        <f>IF(D1816="REMOVE",COUNTIF($D$2:D1816,"REMOVE"),"")</f>
        <v/>
      </c>
      <c r="I1816">
        <f>IF(E1816="Gmail",COUNTIF($E$2:E1816,"Gmail"),"")</f>
        <v/>
      </c>
      <c r="J1816">
        <f>IF(E1816="Outlook",COUNTIF($E$2:E1816,"Outlook"),"")</f>
        <v/>
      </c>
      <c r="K1816">
        <f>IF(E1816="Domain",COUNTIF($E$2:E1816,"Domain"),"")</f>
        <v/>
      </c>
    </row>
    <row r="1817">
      <c r="A1817" s="2" t="n"/>
      <c r="B1817">
        <f>LOWER(TRIM(A1817))</f>
        <v/>
      </c>
      <c r="C1817">
        <f>IF(B1817="","",IFERROR(INDEX('Bad Patterns'!$A$2:$A$120,MATCH(1,INDEX(--ISNUMBER(SEARCH('Bad Patterns'!$A$2:$A$120,B1817)),0),0)),""))</f>
        <v/>
      </c>
      <c r="D1817">
        <f>IF(B1817="","",IF(C1817&lt;&gt;"","REMOVE","KEEP"))</f>
        <v/>
      </c>
      <c r="E1817">
        <f>IF(D1817&lt;&gt;"KEEP","",IF(RIGHT(B1817,10)="@gmail.com","Gmail",IF(OR(RIGHT(B1817,12)="@outlook.com",RIGHT(B1817,12)="@hotmail.com",RIGHT(B1817,9)="@live.com"),"Outlook","Domain")))</f>
        <v/>
      </c>
      <c r="F1817">
        <f>IF(B1817="","",IFERROR(RIGHT(B1817,LEN(B1817)-FIND("@",B1817)),""))</f>
        <v/>
      </c>
      <c r="G1817">
        <f>IF(D1817="KEEP",COUNTIF($D$2:D1817,"KEEP"),"")</f>
        <v/>
      </c>
      <c r="H1817">
        <f>IF(D1817="REMOVE",COUNTIF($D$2:D1817,"REMOVE"),"")</f>
        <v/>
      </c>
      <c r="I1817">
        <f>IF(E1817="Gmail",COUNTIF($E$2:E1817,"Gmail"),"")</f>
        <v/>
      </c>
      <c r="J1817">
        <f>IF(E1817="Outlook",COUNTIF($E$2:E1817,"Outlook"),"")</f>
        <v/>
      </c>
      <c r="K1817">
        <f>IF(E1817="Domain",COUNTIF($E$2:E1817,"Domain"),"")</f>
        <v/>
      </c>
    </row>
    <row r="1818">
      <c r="A1818" s="2" t="n"/>
      <c r="B1818">
        <f>LOWER(TRIM(A1818))</f>
        <v/>
      </c>
      <c r="C1818">
        <f>IF(B1818="","",IFERROR(INDEX('Bad Patterns'!$A$2:$A$120,MATCH(1,INDEX(--ISNUMBER(SEARCH('Bad Patterns'!$A$2:$A$120,B1818)),0),0)),""))</f>
        <v/>
      </c>
      <c r="D1818">
        <f>IF(B1818="","",IF(C1818&lt;&gt;"","REMOVE","KEEP"))</f>
        <v/>
      </c>
      <c r="E1818">
        <f>IF(D1818&lt;&gt;"KEEP","",IF(RIGHT(B1818,10)="@gmail.com","Gmail",IF(OR(RIGHT(B1818,12)="@outlook.com",RIGHT(B1818,12)="@hotmail.com",RIGHT(B1818,9)="@live.com"),"Outlook","Domain")))</f>
        <v/>
      </c>
      <c r="F1818">
        <f>IF(B1818="","",IFERROR(RIGHT(B1818,LEN(B1818)-FIND("@",B1818)),""))</f>
        <v/>
      </c>
      <c r="G1818">
        <f>IF(D1818="KEEP",COUNTIF($D$2:D1818,"KEEP"),"")</f>
        <v/>
      </c>
      <c r="H1818">
        <f>IF(D1818="REMOVE",COUNTIF($D$2:D1818,"REMOVE"),"")</f>
        <v/>
      </c>
      <c r="I1818">
        <f>IF(E1818="Gmail",COUNTIF($E$2:E1818,"Gmail"),"")</f>
        <v/>
      </c>
      <c r="J1818">
        <f>IF(E1818="Outlook",COUNTIF($E$2:E1818,"Outlook"),"")</f>
        <v/>
      </c>
      <c r="K1818">
        <f>IF(E1818="Domain",COUNTIF($E$2:E1818,"Domain"),"")</f>
        <v/>
      </c>
    </row>
    <row r="1819">
      <c r="A1819" s="2" t="n"/>
      <c r="B1819">
        <f>LOWER(TRIM(A1819))</f>
        <v/>
      </c>
      <c r="C1819">
        <f>IF(B1819="","",IFERROR(INDEX('Bad Patterns'!$A$2:$A$120,MATCH(1,INDEX(--ISNUMBER(SEARCH('Bad Patterns'!$A$2:$A$120,B1819)),0),0)),""))</f>
        <v/>
      </c>
      <c r="D1819">
        <f>IF(B1819="","",IF(C1819&lt;&gt;"","REMOVE","KEEP"))</f>
        <v/>
      </c>
      <c r="E1819">
        <f>IF(D1819&lt;&gt;"KEEP","",IF(RIGHT(B1819,10)="@gmail.com","Gmail",IF(OR(RIGHT(B1819,12)="@outlook.com",RIGHT(B1819,12)="@hotmail.com",RIGHT(B1819,9)="@live.com"),"Outlook","Domain")))</f>
        <v/>
      </c>
      <c r="F1819">
        <f>IF(B1819="","",IFERROR(RIGHT(B1819,LEN(B1819)-FIND("@",B1819)),""))</f>
        <v/>
      </c>
      <c r="G1819">
        <f>IF(D1819="KEEP",COUNTIF($D$2:D1819,"KEEP"),"")</f>
        <v/>
      </c>
      <c r="H1819">
        <f>IF(D1819="REMOVE",COUNTIF($D$2:D1819,"REMOVE"),"")</f>
        <v/>
      </c>
      <c r="I1819">
        <f>IF(E1819="Gmail",COUNTIF($E$2:E1819,"Gmail"),"")</f>
        <v/>
      </c>
      <c r="J1819">
        <f>IF(E1819="Outlook",COUNTIF($E$2:E1819,"Outlook"),"")</f>
        <v/>
      </c>
      <c r="K1819">
        <f>IF(E1819="Domain",COUNTIF($E$2:E1819,"Domain"),"")</f>
        <v/>
      </c>
    </row>
    <row r="1820">
      <c r="A1820" s="2" t="n"/>
      <c r="B1820">
        <f>LOWER(TRIM(A1820))</f>
        <v/>
      </c>
      <c r="C1820">
        <f>IF(B1820="","",IFERROR(INDEX('Bad Patterns'!$A$2:$A$120,MATCH(1,INDEX(--ISNUMBER(SEARCH('Bad Patterns'!$A$2:$A$120,B1820)),0),0)),""))</f>
        <v/>
      </c>
      <c r="D1820">
        <f>IF(B1820="","",IF(C1820&lt;&gt;"","REMOVE","KEEP"))</f>
        <v/>
      </c>
      <c r="E1820">
        <f>IF(D1820&lt;&gt;"KEEP","",IF(RIGHT(B1820,10)="@gmail.com","Gmail",IF(OR(RIGHT(B1820,12)="@outlook.com",RIGHT(B1820,12)="@hotmail.com",RIGHT(B1820,9)="@live.com"),"Outlook","Domain")))</f>
        <v/>
      </c>
      <c r="F1820">
        <f>IF(B1820="","",IFERROR(RIGHT(B1820,LEN(B1820)-FIND("@",B1820)),""))</f>
        <v/>
      </c>
      <c r="G1820">
        <f>IF(D1820="KEEP",COUNTIF($D$2:D1820,"KEEP"),"")</f>
        <v/>
      </c>
      <c r="H1820">
        <f>IF(D1820="REMOVE",COUNTIF($D$2:D1820,"REMOVE"),"")</f>
        <v/>
      </c>
      <c r="I1820">
        <f>IF(E1820="Gmail",COUNTIF($E$2:E1820,"Gmail"),"")</f>
        <v/>
      </c>
      <c r="J1820">
        <f>IF(E1820="Outlook",COUNTIF($E$2:E1820,"Outlook"),"")</f>
        <v/>
      </c>
      <c r="K1820">
        <f>IF(E1820="Domain",COUNTIF($E$2:E1820,"Domain"),"")</f>
        <v/>
      </c>
    </row>
    <row r="1821">
      <c r="A1821" s="2" t="n"/>
      <c r="B1821">
        <f>LOWER(TRIM(A1821))</f>
        <v/>
      </c>
      <c r="C1821">
        <f>IF(B1821="","",IFERROR(INDEX('Bad Patterns'!$A$2:$A$120,MATCH(1,INDEX(--ISNUMBER(SEARCH('Bad Patterns'!$A$2:$A$120,B1821)),0),0)),""))</f>
        <v/>
      </c>
      <c r="D1821">
        <f>IF(B1821="","",IF(C1821&lt;&gt;"","REMOVE","KEEP"))</f>
        <v/>
      </c>
      <c r="E1821">
        <f>IF(D1821&lt;&gt;"KEEP","",IF(RIGHT(B1821,10)="@gmail.com","Gmail",IF(OR(RIGHT(B1821,12)="@outlook.com",RIGHT(B1821,12)="@hotmail.com",RIGHT(B1821,9)="@live.com"),"Outlook","Domain")))</f>
        <v/>
      </c>
      <c r="F1821">
        <f>IF(B1821="","",IFERROR(RIGHT(B1821,LEN(B1821)-FIND("@",B1821)),""))</f>
        <v/>
      </c>
      <c r="G1821">
        <f>IF(D1821="KEEP",COUNTIF($D$2:D1821,"KEEP"),"")</f>
        <v/>
      </c>
      <c r="H1821">
        <f>IF(D1821="REMOVE",COUNTIF($D$2:D1821,"REMOVE"),"")</f>
        <v/>
      </c>
      <c r="I1821">
        <f>IF(E1821="Gmail",COUNTIF($E$2:E1821,"Gmail"),"")</f>
        <v/>
      </c>
      <c r="J1821">
        <f>IF(E1821="Outlook",COUNTIF($E$2:E1821,"Outlook"),"")</f>
        <v/>
      </c>
      <c r="K1821">
        <f>IF(E1821="Domain",COUNTIF($E$2:E1821,"Domain"),"")</f>
        <v/>
      </c>
    </row>
    <row r="1822">
      <c r="A1822" s="2" t="n"/>
      <c r="B1822">
        <f>LOWER(TRIM(A1822))</f>
        <v/>
      </c>
      <c r="C1822">
        <f>IF(B1822="","",IFERROR(INDEX('Bad Patterns'!$A$2:$A$120,MATCH(1,INDEX(--ISNUMBER(SEARCH('Bad Patterns'!$A$2:$A$120,B1822)),0),0)),""))</f>
        <v/>
      </c>
      <c r="D1822">
        <f>IF(B1822="","",IF(C1822&lt;&gt;"","REMOVE","KEEP"))</f>
        <v/>
      </c>
      <c r="E1822">
        <f>IF(D1822&lt;&gt;"KEEP","",IF(RIGHT(B1822,10)="@gmail.com","Gmail",IF(OR(RIGHT(B1822,12)="@outlook.com",RIGHT(B1822,12)="@hotmail.com",RIGHT(B1822,9)="@live.com"),"Outlook","Domain")))</f>
        <v/>
      </c>
      <c r="F1822">
        <f>IF(B1822="","",IFERROR(RIGHT(B1822,LEN(B1822)-FIND("@",B1822)),""))</f>
        <v/>
      </c>
      <c r="G1822">
        <f>IF(D1822="KEEP",COUNTIF($D$2:D1822,"KEEP"),"")</f>
        <v/>
      </c>
      <c r="H1822">
        <f>IF(D1822="REMOVE",COUNTIF($D$2:D1822,"REMOVE"),"")</f>
        <v/>
      </c>
      <c r="I1822">
        <f>IF(E1822="Gmail",COUNTIF($E$2:E1822,"Gmail"),"")</f>
        <v/>
      </c>
      <c r="J1822">
        <f>IF(E1822="Outlook",COUNTIF($E$2:E1822,"Outlook"),"")</f>
        <v/>
      </c>
      <c r="K1822">
        <f>IF(E1822="Domain",COUNTIF($E$2:E1822,"Domain"),"")</f>
        <v/>
      </c>
    </row>
    <row r="1823">
      <c r="A1823" s="2" t="n"/>
      <c r="B1823">
        <f>LOWER(TRIM(A1823))</f>
        <v/>
      </c>
      <c r="C1823">
        <f>IF(B1823="","",IFERROR(INDEX('Bad Patterns'!$A$2:$A$120,MATCH(1,INDEX(--ISNUMBER(SEARCH('Bad Patterns'!$A$2:$A$120,B1823)),0),0)),""))</f>
        <v/>
      </c>
      <c r="D1823">
        <f>IF(B1823="","",IF(C1823&lt;&gt;"","REMOVE","KEEP"))</f>
        <v/>
      </c>
      <c r="E1823">
        <f>IF(D1823&lt;&gt;"KEEP","",IF(RIGHT(B1823,10)="@gmail.com","Gmail",IF(OR(RIGHT(B1823,12)="@outlook.com",RIGHT(B1823,12)="@hotmail.com",RIGHT(B1823,9)="@live.com"),"Outlook","Domain")))</f>
        <v/>
      </c>
      <c r="F1823">
        <f>IF(B1823="","",IFERROR(RIGHT(B1823,LEN(B1823)-FIND("@",B1823)),""))</f>
        <v/>
      </c>
      <c r="G1823">
        <f>IF(D1823="KEEP",COUNTIF($D$2:D1823,"KEEP"),"")</f>
        <v/>
      </c>
      <c r="H1823">
        <f>IF(D1823="REMOVE",COUNTIF($D$2:D1823,"REMOVE"),"")</f>
        <v/>
      </c>
      <c r="I1823">
        <f>IF(E1823="Gmail",COUNTIF($E$2:E1823,"Gmail"),"")</f>
        <v/>
      </c>
      <c r="J1823">
        <f>IF(E1823="Outlook",COUNTIF($E$2:E1823,"Outlook"),"")</f>
        <v/>
      </c>
      <c r="K1823">
        <f>IF(E1823="Domain",COUNTIF($E$2:E1823,"Domain"),"")</f>
        <v/>
      </c>
    </row>
    <row r="1824">
      <c r="A1824" s="2" t="n"/>
      <c r="B1824">
        <f>LOWER(TRIM(A1824))</f>
        <v/>
      </c>
      <c r="C1824">
        <f>IF(B1824="","",IFERROR(INDEX('Bad Patterns'!$A$2:$A$120,MATCH(1,INDEX(--ISNUMBER(SEARCH('Bad Patterns'!$A$2:$A$120,B1824)),0),0)),""))</f>
        <v/>
      </c>
      <c r="D1824">
        <f>IF(B1824="","",IF(C1824&lt;&gt;"","REMOVE","KEEP"))</f>
        <v/>
      </c>
      <c r="E1824">
        <f>IF(D1824&lt;&gt;"KEEP","",IF(RIGHT(B1824,10)="@gmail.com","Gmail",IF(OR(RIGHT(B1824,12)="@outlook.com",RIGHT(B1824,12)="@hotmail.com",RIGHT(B1824,9)="@live.com"),"Outlook","Domain")))</f>
        <v/>
      </c>
      <c r="F1824">
        <f>IF(B1824="","",IFERROR(RIGHT(B1824,LEN(B1824)-FIND("@",B1824)),""))</f>
        <v/>
      </c>
      <c r="G1824">
        <f>IF(D1824="KEEP",COUNTIF($D$2:D1824,"KEEP"),"")</f>
        <v/>
      </c>
      <c r="H1824">
        <f>IF(D1824="REMOVE",COUNTIF($D$2:D1824,"REMOVE"),"")</f>
        <v/>
      </c>
      <c r="I1824">
        <f>IF(E1824="Gmail",COUNTIF($E$2:E1824,"Gmail"),"")</f>
        <v/>
      </c>
      <c r="J1824">
        <f>IF(E1824="Outlook",COUNTIF($E$2:E1824,"Outlook"),"")</f>
        <v/>
      </c>
      <c r="K1824">
        <f>IF(E1824="Domain",COUNTIF($E$2:E1824,"Domain"),"")</f>
        <v/>
      </c>
    </row>
    <row r="1825">
      <c r="A1825" s="2" t="n"/>
      <c r="B1825">
        <f>LOWER(TRIM(A1825))</f>
        <v/>
      </c>
      <c r="C1825">
        <f>IF(B1825="","",IFERROR(INDEX('Bad Patterns'!$A$2:$A$120,MATCH(1,INDEX(--ISNUMBER(SEARCH('Bad Patterns'!$A$2:$A$120,B1825)),0),0)),""))</f>
        <v/>
      </c>
      <c r="D1825">
        <f>IF(B1825="","",IF(C1825&lt;&gt;"","REMOVE","KEEP"))</f>
        <v/>
      </c>
      <c r="E1825">
        <f>IF(D1825&lt;&gt;"KEEP","",IF(RIGHT(B1825,10)="@gmail.com","Gmail",IF(OR(RIGHT(B1825,12)="@outlook.com",RIGHT(B1825,12)="@hotmail.com",RIGHT(B1825,9)="@live.com"),"Outlook","Domain")))</f>
        <v/>
      </c>
      <c r="F1825">
        <f>IF(B1825="","",IFERROR(RIGHT(B1825,LEN(B1825)-FIND("@",B1825)),""))</f>
        <v/>
      </c>
      <c r="G1825">
        <f>IF(D1825="KEEP",COUNTIF($D$2:D1825,"KEEP"),"")</f>
        <v/>
      </c>
      <c r="H1825">
        <f>IF(D1825="REMOVE",COUNTIF($D$2:D1825,"REMOVE"),"")</f>
        <v/>
      </c>
      <c r="I1825">
        <f>IF(E1825="Gmail",COUNTIF($E$2:E1825,"Gmail"),"")</f>
        <v/>
      </c>
      <c r="J1825">
        <f>IF(E1825="Outlook",COUNTIF($E$2:E1825,"Outlook"),"")</f>
        <v/>
      </c>
      <c r="K1825">
        <f>IF(E1825="Domain",COUNTIF($E$2:E1825,"Domain"),"")</f>
        <v/>
      </c>
    </row>
    <row r="1826">
      <c r="A1826" s="2" t="n"/>
      <c r="B1826">
        <f>LOWER(TRIM(A1826))</f>
        <v/>
      </c>
      <c r="C1826">
        <f>IF(B1826="","",IFERROR(INDEX('Bad Patterns'!$A$2:$A$120,MATCH(1,INDEX(--ISNUMBER(SEARCH('Bad Patterns'!$A$2:$A$120,B1826)),0),0)),""))</f>
        <v/>
      </c>
      <c r="D1826">
        <f>IF(B1826="","",IF(C1826&lt;&gt;"","REMOVE","KEEP"))</f>
        <v/>
      </c>
      <c r="E1826">
        <f>IF(D1826&lt;&gt;"KEEP","",IF(RIGHT(B1826,10)="@gmail.com","Gmail",IF(OR(RIGHT(B1826,12)="@outlook.com",RIGHT(B1826,12)="@hotmail.com",RIGHT(B1826,9)="@live.com"),"Outlook","Domain")))</f>
        <v/>
      </c>
      <c r="F1826">
        <f>IF(B1826="","",IFERROR(RIGHT(B1826,LEN(B1826)-FIND("@",B1826)),""))</f>
        <v/>
      </c>
      <c r="G1826">
        <f>IF(D1826="KEEP",COUNTIF($D$2:D1826,"KEEP"),"")</f>
        <v/>
      </c>
      <c r="H1826">
        <f>IF(D1826="REMOVE",COUNTIF($D$2:D1826,"REMOVE"),"")</f>
        <v/>
      </c>
      <c r="I1826">
        <f>IF(E1826="Gmail",COUNTIF($E$2:E1826,"Gmail"),"")</f>
        <v/>
      </c>
      <c r="J1826">
        <f>IF(E1826="Outlook",COUNTIF($E$2:E1826,"Outlook"),"")</f>
        <v/>
      </c>
      <c r="K1826">
        <f>IF(E1826="Domain",COUNTIF($E$2:E1826,"Domain"),"")</f>
        <v/>
      </c>
    </row>
    <row r="1827">
      <c r="A1827" s="2" t="n"/>
      <c r="B1827">
        <f>LOWER(TRIM(A1827))</f>
        <v/>
      </c>
      <c r="C1827">
        <f>IF(B1827="","",IFERROR(INDEX('Bad Patterns'!$A$2:$A$120,MATCH(1,INDEX(--ISNUMBER(SEARCH('Bad Patterns'!$A$2:$A$120,B1827)),0),0)),""))</f>
        <v/>
      </c>
      <c r="D1827">
        <f>IF(B1827="","",IF(C1827&lt;&gt;"","REMOVE","KEEP"))</f>
        <v/>
      </c>
      <c r="E1827">
        <f>IF(D1827&lt;&gt;"KEEP","",IF(RIGHT(B1827,10)="@gmail.com","Gmail",IF(OR(RIGHT(B1827,12)="@outlook.com",RIGHT(B1827,12)="@hotmail.com",RIGHT(B1827,9)="@live.com"),"Outlook","Domain")))</f>
        <v/>
      </c>
      <c r="F1827">
        <f>IF(B1827="","",IFERROR(RIGHT(B1827,LEN(B1827)-FIND("@",B1827)),""))</f>
        <v/>
      </c>
      <c r="G1827">
        <f>IF(D1827="KEEP",COUNTIF($D$2:D1827,"KEEP"),"")</f>
        <v/>
      </c>
      <c r="H1827">
        <f>IF(D1827="REMOVE",COUNTIF($D$2:D1827,"REMOVE"),"")</f>
        <v/>
      </c>
      <c r="I1827">
        <f>IF(E1827="Gmail",COUNTIF($E$2:E1827,"Gmail"),"")</f>
        <v/>
      </c>
      <c r="J1827">
        <f>IF(E1827="Outlook",COUNTIF($E$2:E1827,"Outlook"),"")</f>
        <v/>
      </c>
      <c r="K1827">
        <f>IF(E1827="Domain",COUNTIF($E$2:E1827,"Domain"),"")</f>
        <v/>
      </c>
    </row>
    <row r="1828">
      <c r="A1828" s="2" t="n"/>
      <c r="B1828">
        <f>LOWER(TRIM(A1828))</f>
        <v/>
      </c>
      <c r="C1828">
        <f>IF(B1828="","",IFERROR(INDEX('Bad Patterns'!$A$2:$A$120,MATCH(1,INDEX(--ISNUMBER(SEARCH('Bad Patterns'!$A$2:$A$120,B1828)),0),0)),""))</f>
        <v/>
      </c>
      <c r="D1828">
        <f>IF(B1828="","",IF(C1828&lt;&gt;"","REMOVE","KEEP"))</f>
        <v/>
      </c>
      <c r="E1828">
        <f>IF(D1828&lt;&gt;"KEEP","",IF(RIGHT(B1828,10)="@gmail.com","Gmail",IF(OR(RIGHT(B1828,12)="@outlook.com",RIGHT(B1828,12)="@hotmail.com",RIGHT(B1828,9)="@live.com"),"Outlook","Domain")))</f>
        <v/>
      </c>
      <c r="F1828">
        <f>IF(B1828="","",IFERROR(RIGHT(B1828,LEN(B1828)-FIND("@",B1828)),""))</f>
        <v/>
      </c>
      <c r="G1828">
        <f>IF(D1828="KEEP",COUNTIF($D$2:D1828,"KEEP"),"")</f>
        <v/>
      </c>
      <c r="H1828">
        <f>IF(D1828="REMOVE",COUNTIF($D$2:D1828,"REMOVE"),"")</f>
        <v/>
      </c>
      <c r="I1828">
        <f>IF(E1828="Gmail",COUNTIF($E$2:E1828,"Gmail"),"")</f>
        <v/>
      </c>
      <c r="J1828">
        <f>IF(E1828="Outlook",COUNTIF($E$2:E1828,"Outlook"),"")</f>
        <v/>
      </c>
      <c r="K1828">
        <f>IF(E1828="Domain",COUNTIF($E$2:E1828,"Domain"),"")</f>
        <v/>
      </c>
    </row>
    <row r="1829">
      <c r="A1829" s="2" t="n"/>
      <c r="B1829">
        <f>LOWER(TRIM(A1829))</f>
        <v/>
      </c>
      <c r="C1829">
        <f>IF(B1829="","",IFERROR(INDEX('Bad Patterns'!$A$2:$A$120,MATCH(1,INDEX(--ISNUMBER(SEARCH('Bad Patterns'!$A$2:$A$120,B1829)),0),0)),""))</f>
        <v/>
      </c>
      <c r="D1829">
        <f>IF(B1829="","",IF(C1829&lt;&gt;"","REMOVE","KEEP"))</f>
        <v/>
      </c>
      <c r="E1829">
        <f>IF(D1829&lt;&gt;"KEEP","",IF(RIGHT(B1829,10)="@gmail.com","Gmail",IF(OR(RIGHT(B1829,12)="@outlook.com",RIGHT(B1829,12)="@hotmail.com",RIGHT(B1829,9)="@live.com"),"Outlook","Domain")))</f>
        <v/>
      </c>
      <c r="F1829">
        <f>IF(B1829="","",IFERROR(RIGHT(B1829,LEN(B1829)-FIND("@",B1829)),""))</f>
        <v/>
      </c>
      <c r="G1829">
        <f>IF(D1829="KEEP",COUNTIF($D$2:D1829,"KEEP"),"")</f>
        <v/>
      </c>
      <c r="H1829">
        <f>IF(D1829="REMOVE",COUNTIF($D$2:D1829,"REMOVE"),"")</f>
        <v/>
      </c>
      <c r="I1829">
        <f>IF(E1829="Gmail",COUNTIF($E$2:E1829,"Gmail"),"")</f>
        <v/>
      </c>
      <c r="J1829">
        <f>IF(E1829="Outlook",COUNTIF($E$2:E1829,"Outlook"),"")</f>
        <v/>
      </c>
      <c r="K1829">
        <f>IF(E1829="Domain",COUNTIF($E$2:E1829,"Domain"),"")</f>
        <v/>
      </c>
    </row>
    <row r="1830">
      <c r="A1830" s="2" t="n"/>
      <c r="B1830">
        <f>LOWER(TRIM(A1830))</f>
        <v/>
      </c>
      <c r="C1830">
        <f>IF(B1830="","",IFERROR(INDEX('Bad Patterns'!$A$2:$A$120,MATCH(1,INDEX(--ISNUMBER(SEARCH('Bad Patterns'!$A$2:$A$120,B1830)),0),0)),""))</f>
        <v/>
      </c>
      <c r="D1830">
        <f>IF(B1830="","",IF(C1830&lt;&gt;"","REMOVE","KEEP"))</f>
        <v/>
      </c>
      <c r="E1830">
        <f>IF(D1830&lt;&gt;"KEEP","",IF(RIGHT(B1830,10)="@gmail.com","Gmail",IF(OR(RIGHT(B1830,12)="@outlook.com",RIGHT(B1830,12)="@hotmail.com",RIGHT(B1830,9)="@live.com"),"Outlook","Domain")))</f>
        <v/>
      </c>
      <c r="F1830">
        <f>IF(B1830="","",IFERROR(RIGHT(B1830,LEN(B1830)-FIND("@",B1830)),""))</f>
        <v/>
      </c>
      <c r="G1830">
        <f>IF(D1830="KEEP",COUNTIF($D$2:D1830,"KEEP"),"")</f>
        <v/>
      </c>
      <c r="H1830">
        <f>IF(D1830="REMOVE",COUNTIF($D$2:D1830,"REMOVE"),"")</f>
        <v/>
      </c>
      <c r="I1830">
        <f>IF(E1830="Gmail",COUNTIF($E$2:E1830,"Gmail"),"")</f>
        <v/>
      </c>
      <c r="J1830">
        <f>IF(E1830="Outlook",COUNTIF($E$2:E1830,"Outlook"),"")</f>
        <v/>
      </c>
      <c r="K1830">
        <f>IF(E1830="Domain",COUNTIF($E$2:E1830,"Domain"),"")</f>
        <v/>
      </c>
    </row>
    <row r="1831">
      <c r="A1831" s="2" t="n"/>
      <c r="B1831">
        <f>LOWER(TRIM(A1831))</f>
        <v/>
      </c>
      <c r="C1831">
        <f>IF(B1831="","",IFERROR(INDEX('Bad Patterns'!$A$2:$A$120,MATCH(1,INDEX(--ISNUMBER(SEARCH('Bad Patterns'!$A$2:$A$120,B1831)),0),0)),""))</f>
        <v/>
      </c>
      <c r="D1831">
        <f>IF(B1831="","",IF(C1831&lt;&gt;"","REMOVE","KEEP"))</f>
        <v/>
      </c>
      <c r="E1831">
        <f>IF(D1831&lt;&gt;"KEEP","",IF(RIGHT(B1831,10)="@gmail.com","Gmail",IF(OR(RIGHT(B1831,12)="@outlook.com",RIGHT(B1831,12)="@hotmail.com",RIGHT(B1831,9)="@live.com"),"Outlook","Domain")))</f>
        <v/>
      </c>
      <c r="F1831">
        <f>IF(B1831="","",IFERROR(RIGHT(B1831,LEN(B1831)-FIND("@",B1831)),""))</f>
        <v/>
      </c>
      <c r="G1831">
        <f>IF(D1831="KEEP",COUNTIF($D$2:D1831,"KEEP"),"")</f>
        <v/>
      </c>
      <c r="H1831">
        <f>IF(D1831="REMOVE",COUNTIF($D$2:D1831,"REMOVE"),"")</f>
        <v/>
      </c>
      <c r="I1831">
        <f>IF(E1831="Gmail",COUNTIF($E$2:E1831,"Gmail"),"")</f>
        <v/>
      </c>
      <c r="J1831">
        <f>IF(E1831="Outlook",COUNTIF($E$2:E1831,"Outlook"),"")</f>
        <v/>
      </c>
      <c r="K1831">
        <f>IF(E1831="Domain",COUNTIF($E$2:E1831,"Domain"),"")</f>
        <v/>
      </c>
    </row>
    <row r="1832">
      <c r="A1832" s="2" t="n"/>
      <c r="B1832">
        <f>LOWER(TRIM(A1832))</f>
        <v/>
      </c>
      <c r="C1832">
        <f>IF(B1832="","",IFERROR(INDEX('Bad Patterns'!$A$2:$A$120,MATCH(1,INDEX(--ISNUMBER(SEARCH('Bad Patterns'!$A$2:$A$120,B1832)),0),0)),""))</f>
        <v/>
      </c>
      <c r="D1832">
        <f>IF(B1832="","",IF(C1832&lt;&gt;"","REMOVE","KEEP"))</f>
        <v/>
      </c>
      <c r="E1832">
        <f>IF(D1832&lt;&gt;"KEEP","",IF(RIGHT(B1832,10)="@gmail.com","Gmail",IF(OR(RIGHT(B1832,12)="@outlook.com",RIGHT(B1832,12)="@hotmail.com",RIGHT(B1832,9)="@live.com"),"Outlook","Domain")))</f>
        <v/>
      </c>
      <c r="F1832">
        <f>IF(B1832="","",IFERROR(RIGHT(B1832,LEN(B1832)-FIND("@",B1832)),""))</f>
        <v/>
      </c>
      <c r="G1832">
        <f>IF(D1832="KEEP",COUNTIF($D$2:D1832,"KEEP"),"")</f>
        <v/>
      </c>
      <c r="H1832">
        <f>IF(D1832="REMOVE",COUNTIF($D$2:D1832,"REMOVE"),"")</f>
        <v/>
      </c>
      <c r="I1832">
        <f>IF(E1832="Gmail",COUNTIF($E$2:E1832,"Gmail"),"")</f>
        <v/>
      </c>
      <c r="J1832">
        <f>IF(E1832="Outlook",COUNTIF($E$2:E1832,"Outlook"),"")</f>
        <v/>
      </c>
      <c r="K1832">
        <f>IF(E1832="Domain",COUNTIF($E$2:E1832,"Domain"),"")</f>
        <v/>
      </c>
    </row>
    <row r="1833">
      <c r="A1833" s="2" t="n"/>
      <c r="B1833">
        <f>LOWER(TRIM(A1833))</f>
        <v/>
      </c>
      <c r="C1833">
        <f>IF(B1833="","",IFERROR(INDEX('Bad Patterns'!$A$2:$A$120,MATCH(1,INDEX(--ISNUMBER(SEARCH('Bad Patterns'!$A$2:$A$120,B1833)),0),0)),""))</f>
        <v/>
      </c>
      <c r="D1833">
        <f>IF(B1833="","",IF(C1833&lt;&gt;"","REMOVE","KEEP"))</f>
        <v/>
      </c>
      <c r="E1833">
        <f>IF(D1833&lt;&gt;"KEEP","",IF(RIGHT(B1833,10)="@gmail.com","Gmail",IF(OR(RIGHT(B1833,12)="@outlook.com",RIGHT(B1833,12)="@hotmail.com",RIGHT(B1833,9)="@live.com"),"Outlook","Domain")))</f>
        <v/>
      </c>
      <c r="F1833">
        <f>IF(B1833="","",IFERROR(RIGHT(B1833,LEN(B1833)-FIND("@",B1833)),""))</f>
        <v/>
      </c>
      <c r="G1833">
        <f>IF(D1833="KEEP",COUNTIF($D$2:D1833,"KEEP"),"")</f>
        <v/>
      </c>
      <c r="H1833">
        <f>IF(D1833="REMOVE",COUNTIF($D$2:D1833,"REMOVE"),"")</f>
        <v/>
      </c>
      <c r="I1833">
        <f>IF(E1833="Gmail",COUNTIF($E$2:E1833,"Gmail"),"")</f>
        <v/>
      </c>
      <c r="J1833">
        <f>IF(E1833="Outlook",COUNTIF($E$2:E1833,"Outlook"),"")</f>
        <v/>
      </c>
      <c r="K1833">
        <f>IF(E1833="Domain",COUNTIF($E$2:E1833,"Domain"),"")</f>
        <v/>
      </c>
    </row>
    <row r="1834">
      <c r="A1834" s="2" t="n"/>
      <c r="B1834">
        <f>LOWER(TRIM(A1834))</f>
        <v/>
      </c>
      <c r="C1834">
        <f>IF(B1834="","",IFERROR(INDEX('Bad Patterns'!$A$2:$A$120,MATCH(1,INDEX(--ISNUMBER(SEARCH('Bad Patterns'!$A$2:$A$120,B1834)),0),0)),""))</f>
        <v/>
      </c>
      <c r="D1834">
        <f>IF(B1834="","",IF(C1834&lt;&gt;"","REMOVE","KEEP"))</f>
        <v/>
      </c>
      <c r="E1834">
        <f>IF(D1834&lt;&gt;"KEEP","",IF(RIGHT(B1834,10)="@gmail.com","Gmail",IF(OR(RIGHT(B1834,12)="@outlook.com",RIGHT(B1834,12)="@hotmail.com",RIGHT(B1834,9)="@live.com"),"Outlook","Domain")))</f>
        <v/>
      </c>
      <c r="F1834">
        <f>IF(B1834="","",IFERROR(RIGHT(B1834,LEN(B1834)-FIND("@",B1834)),""))</f>
        <v/>
      </c>
      <c r="G1834">
        <f>IF(D1834="KEEP",COUNTIF($D$2:D1834,"KEEP"),"")</f>
        <v/>
      </c>
      <c r="H1834">
        <f>IF(D1834="REMOVE",COUNTIF($D$2:D1834,"REMOVE"),"")</f>
        <v/>
      </c>
      <c r="I1834">
        <f>IF(E1834="Gmail",COUNTIF($E$2:E1834,"Gmail"),"")</f>
        <v/>
      </c>
      <c r="J1834">
        <f>IF(E1834="Outlook",COUNTIF($E$2:E1834,"Outlook"),"")</f>
        <v/>
      </c>
      <c r="K1834">
        <f>IF(E1834="Domain",COUNTIF($E$2:E1834,"Domain"),"")</f>
        <v/>
      </c>
    </row>
    <row r="1835">
      <c r="A1835" s="2" t="n"/>
      <c r="B1835">
        <f>LOWER(TRIM(A1835))</f>
        <v/>
      </c>
      <c r="C1835">
        <f>IF(B1835="","",IFERROR(INDEX('Bad Patterns'!$A$2:$A$120,MATCH(1,INDEX(--ISNUMBER(SEARCH('Bad Patterns'!$A$2:$A$120,B1835)),0),0)),""))</f>
        <v/>
      </c>
      <c r="D1835">
        <f>IF(B1835="","",IF(C1835&lt;&gt;"","REMOVE","KEEP"))</f>
        <v/>
      </c>
      <c r="E1835">
        <f>IF(D1835&lt;&gt;"KEEP","",IF(RIGHT(B1835,10)="@gmail.com","Gmail",IF(OR(RIGHT(B1835,12)="@outlook.com",RIGHT(B1835,12)="@hotmail.com",RIGHT(B1835,9)="@live.com"),"Outlook","Domain")))</f>
        <v/>
      </c>
      <c r="F1835">
        <f>IF(B1835="","",IFERROR(RIGHT(B1835,LEN(B1835)-FIND("@",B1835)),""))</f>
        <v/>
      </c>
      <c r="G1835">
        <f>IF(D1835="KEEP",COUNTIF($D$2:D1835,"KEEP"),"")</f>
        <v/>
      </c>
      <c r="H1835">
        <f>IF(D1835="REMOVE",COUNTIF($D$2:D1835,"REMOVE"),"")</f>
        <v/>
      </c>
      <c r="I1835">
        <f>IF(E1835="Gmail",COUNTIF($E$2:E1835,"Gmail"),"")</f>
        <v/>
      </c>
      <c r="J1835">
        <f>IF(E1835="Outlook",COUNTIF($E$2:E1835,"Outlook"),"")</f>
        <v/>
      </c>
      <c r="K1835">
        <f>IF(E1835="Domain",COUNTIF($E$2:E1835,"Domain"),"")</f>
        <v/>
      </c>
    </row>
    <row r="1836">
      <c r="A1836" s="2" t="n"/>
      <c r="B1836">
        <f>LOWER(TRIM(A1836))</f>
        <v/>
      </c>
      <c r="C1836">
        <f>IF(B1836="","",IFERROR(INDEX('Bad Patterns'!$A$2:$A$120,MATCH(1,INDEX(--ISNUMBER(SEARCH('Bad Patterns'!$A$2:$A$120,B1836)),0),0)),""))</f>
        <v/>
      </c>
      <c r="D1836">
        <f>IF(B1836="","",IF(C1836&lt;&gt;"","REMOVE","KEEP"))</f>
        <v/>
      </c>
      <c r="E1836">
        <f>IF(D1836&lt;&gt;"KEEP","",IF(RIGHT(B1836,10)="@gmail.com","Gmail",IF(OR(RIGHT(B1836,12)="@outlook.com",RIGHT(B1836,12)="@hotmail.com",RIGHT(B1836,9)="@live.com"),"Outlook","Domain")))</f>
        <v/>
      </c>
      <c r="F1836">
        <f>IF(B1836="","",IFERROR(RIGHT(B1836,LEN(B1836)-FIND("@",B1836)),""))</f>
        <v/>
      </c>
      <c r="G1836">
        <f>IF(D1836="KEEP",COUNTIF($D$2:D1836,"KEEP"),"")</f>
        <v/>
      </c>
      <c r="H1836">
        <f>IF(D1836="REMOVE",COUNTIF($D$2:D1836,"REMOVE"),"")</f>
        <v/>
      </c>
      <c r="I1836">
        <f>IF(E1836="Gmail",COUNTIF($E$2:E1836,"Gmail"),"")</f>
        <v/>
      </c>
      <c r="J1836">
        <f>IF(E1836="Outlook",COUNTIF($E$2:E1836,"Outlook"),"")</f>
        <v/>
      </c>
      <c r="K1836">
        <f>IF(E1836="Domain",COUNTIF($E$2:E1836,"Domain"),"")</f>
        <v/>
      </c>
    </row>
    <row r="1837">
      <c r="A1837" s="2" t="n"/>
      <c r="B1837">
        <f>LOWER(TRIM(A1837))</f>
        <v/>
      </c>
      <c r="C1837">
        <f>IF(B1837="","",IFERROR(INDEX('Bad Patterns'!$A$2:$A$120,MATCH(1,INDEX(--ISNUMBER(SEARCH('Bad Patterns'!$A$2:$A$120,B1837)),0),0)),""))</f>
        <v/>
      </c>
      <c r="D1837">
        <f>IF(B1837="","",IF(C1837&lt;&gt;"","REMOVE","KEEP"))</f>
        <v/>
      </c>
      <c r="E1837">
        <f>IF(D1837&lt;&gt;"KEEP","",IF(RIGHT(B1837,10)="@gmail.com","Gmail",IF(OR(RIGHT(B1837,12)="@outlook.com",RIGHT(B1837,12)="@hotmail.com",RIGHT(B1837,9)="@live.com"),"Outlook","Domain")))</f>
        <v/>
      </c>
      <c r="F1837">
        <f>IF(B1837="","",IFERROR(RIGHT(B1837,LEN(B1837)-FIND("@",B1837)),""))</f>
        <v/>
      </c>
      <c r="G1837">
        <f>IF(D1837="KEEP",COUNTIF($D$2:D1837,"KEEP"),"")</f>
        <v/>
      </c>
      <c r="H1837">
        <f>IF(D1837="REMOVE",COUNTIF($D$2:D1837,"REMOVE"),"")</f>
        <v/>
      </c>
      <c r="I1837">
        <f>IF(E1837="Gmail",COUNTIF($E$2:E1837,"Gmail"),"")</f>
        <v/>
      </c>
      <c r="J1837">
        <f>IF(E1837="Outlook",COUNTIF($E$2:E1837,"Outlook"),"")</f>
        <v/>
      </c>
      <c r="K1837">
        <f>IF(E1837="Domain",COUNTIF($E$2:E1837,"Domain"),"")</f>
        <v/>
      </c>
    </row>
    <row r="1838">
      <c r="A1838" s="2" t="n"/>
      <c r="B1838">
        <f>LOWER(TRIM(A1838))</f>
        <v/>
      </c>
      <c r="C1838">
        <f>IF(B1838="","",IFERROR(INDEX('Bad Patterns'!$A$2:$A$120,MATCH(1,INDEX(--ISNUMBER(SEARCH('Bad Patterns'!$A$2:$A$120,B1838)),0),0)),""))</f>
        <v/>
      </c>
      <c r="D1838">
        <f>IF(B1838="","",IF(C1838&lt;&gt;"","REMOVE","KEEP"))</f>
        <v/>
      </c>
      <c r="E1838">
        <f>IF(D1838&lt;&gt;"KEEP","",IF(RIGHT(B1838,10)="@gmail.com","Gmail",IF(OR(RIGHT(B1838,12)="@outlook.com",RIGHT(B1838,12)="@hotmail.com",RIGHT(B1838,9)="@live.com"),"Outlook","Domain")))</f>
        <v/>
      </c>
      <c r="F1838">
        <f>IF(B1838="","",IFERROR(RIGHT(B1838,LEN(B1838)-FIND("@",B1838)),""))</f>
        <v/>
      </c>
      <c r="G1838">
        <f>IF(D1838="KEEP",COUNTIF($D$2:D1838,"KEEP"),"")</f>
        <v/>
      </c>
      <c r="H1838">
        <f>IF(D1838="REMOVE",COUNTIF($D$2:D1838,"REMOVE"),"")</f>
        <v/>
      </c>
      <c r="I1838">
        <f>IF(E1838="Gmail",COUNTIF($E$2:E1838,"Gmail"),"")</f>
        <v/>
      </c>
      <c r="J1838">
        <f>IF(E1838="Outlook",COUNTIF($E$2:E1838,"Outlook"),"")</f>
        <v/>
      </c>
      <c r="K1838">
        <f>IF(E1838="Domain",COUNTIF($E$2:E1838,"Domain"),"")</f>
        <v/>
      </c>
    </row>
    <row r="1839">
      <c r="A1839" s="2" t="n"/>
      <c r="B1839">
        <f>LOWER(TRIM(A1839))</f>
        <v/>
      </c>
      <c r="C1839">
        <f>IF(B1839="","",IFERROR(INDEX('Bad Patterns'!$A$2:$A$120,MATCH(1,INDEX(--ISNUMBER(SEARCH('Bad Patterns'!$A$2:$A$120,B1839)),0),0)),""))</f>
        <v/>
      </c>
      <c r="D1839">
        <f>IF(B1839="","",IF(C1839&lt;&gt;"","REMOVE","KEEP"))</f>
        <v/>
      </c>
      <c r="E1839">
        <f>IF(D1839&lt;&gt;"KEEP","",IF(RIGHT(B1839,10)="@gmail.com","Gmail",IF(OR(RIGHT(B1839,12)="@outlook.com",RIGHT(B1839,12)="@hotmail.com",RIGHT(B1839,9)="@live.com"),"Outlook","Domain")))</f>
        <v/>
      </c>
      <c r="F1839">
        <f>IF(B1839="","",IFERROR(RIGHT(B1839,LEN(B1839)-FIND("@",B1839)),""))</f>
        <v/>
      </c>
      <c r="G1839">
        <f>IF(D1839="KEEP",COUNTIF($D$2:D1839,"KEEP"),"")</f>
        <v/>
      </c>
      <c r="H1839">
        <f>IF(D1839="REMOVE",COUNTIF($D$2:D1839,"REMOVE"),"")</f>
        <v/>
      </c>
      <c r="I1839">
        <f>IF(E1839="Gmail",COUNTIF($E$2:E1839,"Gmail"),"")</f>
        <v/>
      </c>
      <c r="J1839">
        <f>IF(E1839="Outlook",COUNTIF($E$2:E1839,"Outlook"),"")</f>
        <v/>
      </c>
      <c r="K1839">
        <f>IF(E1839="Domain",COUNTIF($E$2:E1839,"Domain"),"")</f>
        <v/>
      </c>
    </row>
    <row r="1840">
      <c r="A1840" s="2" t="n"/>
      <c r="B1840">
        <f>LOWER(TRIM(A1840))</f>
        <v/>
      </c>
      <c r="C1840">
        <f>IF(B1840="","",IFERROR(INDEX('Bad Patterns'!$A$2:$A$120,MATCH(1,INDEX(--ISNUMBER(SEARCH('Bad Patterns'!$A$2:$A$120,B1840)),0),0)),""))</f>
        <v/>
      </c>
      <c r="D1840">
        <f>IF(B1840="","",IF(C1840&lt;&gt;"","REMOVE","KEEP"))</f>
        <v/>
      </c>
      <c r="E1840">
        <f>IF(D1840&lt;&gt;"KEEP","",IF(RIGHT(B1840,10)="@gmail.com","Gmail",IF(OR(RIGHT(B1840,12)="@outlook.com",RIGHT(B1840,12)="@hotmail.com",RIGHT(B1840,9)="@live.com"),"Outlook","Domain")))</f>
        <v/>
      </c>
      <c r="F1840">
        <f>IF(B1840="","",IFERROR(RIGHT(B1840,LEN(B1840)-FIND("@",B1840)),""))</f>
        <v/>
      </c>
      <c r="G1840">
        <f>IF(D1840="KEEP",COUNTIF($D$2:D1840,"KEEP"),"")</f>
        <v/>
      </c>
      <c r="H1840">
        <f>IF(D1840="REMOVE",COUNTIF($D$2:D1840,"REMOVE"),"")</f>
        <v/>
      </c>
      <c r="I1840">
        <f>IF(E1840="Gmail",COUNTIF($E$2:E1840,"Gmail"),"")</f>
        <v/>
      </c>
      <c r="J1840">
        <f>IF(E1840="Outlook",COUNTIF($E$2:E1840,"Outlook"),"")</f>
        <v/>
      </c>
      <c r="K1840">
        <f>IF(E1840="Domain",COUNTIF($E$2:E1840,"Domain"),"")</f>
        <v/>
      </c>
    </row>
    <row r="1841">
      <c r="A1841" s="2" t="n"/>
      <c r="B1841">
        <f>LOWER(TRIM(A1841))</f>
        <v/>
      </c>
      <c r="C1841">
        <f>IF(B1841="","",IFERROR(INDEX('Bad Patterns'!$A$2:$A$120,MATCH(1,INDEX(--ISNUMBER(SEARCH('Bad Patterns'!$A$2:$A$120,B1841)),0),0)),""))</f>
        <v/>
      </c>
      <c r="D1841">
        <f>IF(B1841="","",IF(C1841&lt;&gt;"","REMOVE","KEEP"))</f>
        <v/>
      </c>
      <c r="E1841">
        <f>IF(D1841&lt;&gt;"KEEP","",IF(RIGHT(B1841,10)="@gmail.com","Gmail",IF(OR(RIGHT(B1841,12)="@outlook.com",RIGHT(B1841,12)="@hotmail.com",RIGHT(B1841,9)="@live.com"),"Outlook","Domain")))</f>
        <v/>
      </c>
      <c r="F1841">
        <f>IF(B1841="","",IFERROR(RIGHT(B1841,LEN(B1841)-FIND("@",B1841)),""))</f>
        <v/>
      </c>
      <c r="G1841">
        <f>IF(D1841="KEEP",COUNTIF($D$2:D1841,"KEEP"),"")</f>
        <v/>
      </c>
      <c r="H1841">
        <f>IF(D1841="REMOVE",COUNTIF($D$2:D1841,"REMOVE"),"")</f>
        <v/>
      </c>
      <c r="I1841">
        <f>IF(E1841="Gmail",COUNTIF($E$2:E1841,"Gmail"),"")</f>
        <v/>
      </c>
      <c r="J1841">
        <f>IF(E1841="Outlook",COUNTIF($E$2:E1841,"Outlook"),"")</f>
        <v/>
      </c>
      <c r="K1841">
        <f>IF(E1841="Domain",COUNTIF($E$2:E1841,"Domain"),"")</f>
        <v/>
      </c>
    </row>
    <row r="1842">
      <c r="A1842" s="2" t="n"/>
      <c r="B1842">
        <f>LOWER(TRIM(A1842))</f>
        <v/>
      </c>
      <c r="C1842">
        <f>IF(B1842="","",IFERROR(INDEX('Bad Patterns'!$A$2:$A$120,MATCH(1,INDEX(--ISNUMBER(SEARCH('Bad Patterns'!$A$2:$A$120,B1842)),0),0)),""))</f>
        <v/>
      </c>
      <c r="D1842">
        <f>IF(B1842="","",IF(C1842&lt;&gt;"","REMOVE","KEEP"))</f>
        <v/>
      </c>
      <c r="E1842">
        <f>IF(D1842&lt;&gt;"KEEP","",IF(RIGHT(B1842,10)="@gmail.com","Gmail",IF(OR(RIGHT(B1842,12)="@outlook.com",RIGHT(B1842,12)="@hotmail.com",RIGHT(B1842,9)="@live.com"),"Outlook","Domain")))</f>
        <v/>
      </c>
      <c r="F1842">
        <f>IF(B1842="","",IFERROR(RIGHT(B1842,LEN(B1842)-FIND("@",B1842)),""))</f>
        <v/>
      </c>
      <c r="G1842">
        <f>IF(D1842="KEEP",COUNTIF($D$2:D1842,"KEEP"),"")</f>
        <v/>
      </c>
      <c r="H1842">
        <f>IF(D1842="REMOVE",COUNTIF($D$2:D1842,"REMOVE"),"")</f>
        <v/>
      </c>
      <c r="I1842">
        <f>IF(E1842="Gmail",COUNTIF($E$2:E1842,"Gmail"),"")</f>
        <v/>
      </c>
      <c r="J1842">
        <f>IF(E1842="Outlook",COUNTIF($E$2:E1842,"Outlook"),"")</f>
        <v/>
      </c>
      <c r="K1842">
        <f>IF(E1842="Domain",COUNTIF($E$2:E1842,"Domain"),"")</f>
        <v/>
      </c>
    </row>
    <row r="1843">
      <c r="A1843" s="2" t="n"/>
      <c r="B1843">
        <f>LOWER(TRIM(A1843))</f>
        <v/>
      </c>
      <c r="C1843">
        <f>IF(B1843="","",IFERROR(INDEX('Bad Patterns'!$A$2:$A$120,MATCH(1,INDEX(--ISNUMBER(SEARCH('Bad Patterns'!$A$2:$A$120,B1843)),0),0)),""))</f>
        <v/>
      </c>
      <c r="D1843">
        <f>IF(B1843="","",IF(C1843&lt;&gt;"","REMOVE","KEEP"))</f>
        <v/>
      </c>
      <c r="E1843">
        <f>IF(D1843&lt;&gt;"KEEP","",IF(RIGHT(B1843,10)="@gmail.com","Gmail",IF(OR(RIGHT(B1843,12)="@outlook.com",RIGHT(B1843,12)="@hotmail.com",RIGHT(B1843,9)="@live.com"),"Outlook","Domain")))</f>
        <v/>
      </c>
      <c r="F1843">
        <f>IF(B1843="","",IFERROR(RIGHT(B1843,LEN(B1843)-FIND("@",B1843)),""))</f>
        <v/>
      </c>
      <c r="G1843">
        <f>IF(D1843="KEEP",COUNTIF($D$2:D1843,"KEEP"),"")</f>
        <v/>
      </c>
      <c r="H1843">
        <f>IF(D1843="REMOVE",COUNTIF($D$2:D1843,"REMOVE"),"")</f>
        <v/>
      </c>
      <c r="I1843">
        <f>IF(E1843="Gmail",COUNTIF($E$2:E1843,"Gmail"),"")</f>
        <v/>
      </c>
      <c r="J1843">
        <f>IF(E1843="Outlook",COUNTIF($E$2:E1843,"Outlook"),"")</f>
        <v/>
      </c>
      <c r="K1843">
        <f>IF(E1843="Domain",COUNTIF($E$2:E1843,"Domain"),"")</f>
        <v/>
      </c>
    </row>
    <row r="1844">
      <c r="A1844" s="2" t="n"/>
      <c r="B1844">
        <f>LOWER(TRIM(A1844))</f>
        <v/>
      </c>
      <c r="C1844">
        <f>IF(B1844="","",IFERROR(INDEX('Bad Patterns'!$A$2:$A$120,MATCH(1,INDEX(--ISNUMBER(SEARCH('Bad Patterns'!$A$2:$A$120,B1844)),0),0)),""))</f>
        <v/>
      </c>
      <c r="D1844">
        <f>IF(B1844="","",IF(C1844&lt;&gt;"","REMOVE","KEEP"))</f>
        <v/>
      </c>
      <c r="E1844">
        <f>IF(D1844&lt;&gt;"KEEP","",IF(RIGHT(B1844,10)="@gmail.com","Gmail",IF(OR(RIGHT(B1844,12)="@outlook.com",RIGHT(B1844,12)="@hotmail.com",RIGHT(B1844,9)="@live.com"),"Outlook","Domain")))</f>
        <v/>
      </c>
      <c r="F1844">
        <f>IF(B1844="","",IFERROR(RIGHT(B1844,LEN(B1844)-FIND("@",B1844)),""))</f>
        <v/>
      </c>
      <c r="G1844">
        <f>IF(D1844="KEEP",COUNTIF($D$2:D1844,"KEEP"),"")</f>
        <v/>
      </c>
      <c r="H1844">
        <f>IF(D1844="REMOVE",COUNTIF($D$2:D1844,"REMOVE"),"")</f>
        <v/>
      </c>
      <c r="I1844">
        <f>IF(E1844="Gmail",COUNTIF($E$2:E1844,"Gmail"),"")</f>
        <v/>
      </c>
      <c r="J1844">
        <f>IF(E1844="Outlook",COUNTIF($E$2:E1844,"Outlook"),"")</f>
        <v/>
      </c>
      <c r="K1844">
        <f>IF(E1844="Domain",COUNTIF($E$2:E1844,"Domain"),"")</f>
        <v/>
      </c>
    </row>
    <row r="1845">
      <c r="A1845" s="2" t="n"/>
      <c r="B1845">
        <f>LOWER(TRIM(A1845))</f>
        <v/>
      </c>
      <c r="C1845">
        <f>IF(B1845="","",IFERROR(INDEX('Bad Patterns'!$A$2:$A$120,MATCH(1,INDEX(--ISNUMBER(SEARCH('Bad Patterns'!$A$2:$A$120,B1845)),0),0)),""))</f>
        <v/>
      </c>
      <c r="D1845">
        <f>IF(B1845="","",IF(C1845&lt;&gt;"","REMOVE","KEEP"))</f>
        <v/>
      </c>
      <c r="E1845">
        <f>IF(D1845&lt;&gt;"KEEP","",IF(RIGHT(B1845,10)="@gmail.com","Gmail",IF(OR(RIGHT(B1845,12)="@outlook.com",RIGHT(B1845,12)="@hotmail.com",RIGHT(B1845,9)="@live.com"),"Outlook","Domain")))</f>
        <v/>
      </c>
      <c r="F1845">
        <f>IF(B1845="","",IFERROR(RIGHT(B1845,LEN(B1845)-FIND("@",B1845)),""))</f>
        <v/>
      </c>
      <c r="G1845">
        <f>IF(D1845="KEEP",COUNTIF($D$2:D1845,"KEEP"),"")</f>
        <v/>
      </c>
      <c r="H1845">
        <f>IF(D1845="REMOVE",COUNTIF($D$2:D1845,"REMOVE"),"")</f>
        <v/>
      </c>
      <c r="I1845">
        <f>IF(E1845="Gmail",COUNTIF($E$2:E1845,"Gmail"),"")</f>
        <v/>
      </c>
      <c r="J1845">
        <f>IF(E1845="Outlook",COUNTIF($E$2:E1845,"Outlook"),"")</f>
        <v/>
      </c>
      <c r="K1845">
        <f>IF(E1845="Domain",COUNTIF($E$2:E1845,"Domain"),"")</f>
        <v/>
      </c>
    </row>
    <row r="1846">
      <c r="A1846" s="2" t="n"/>
      <c r="B1846">
        <f>LOWER(TRIM(A1846))</f>
        <v/>
      </c>
      <c r="C1846">
        <f>IF(B1846="","",IFERROR(INDEX('Bad Patterns'!$A$2:$A$120,MATCH(1,INDEX(--ISNUMBER(SEARCH('Bad Patterns'!$A$2:$A$120,B1846)),0),0)),""))</f>
        <v/>
      </c>
      <c r="D1846">
        <f>IF(B1846="","",IF(C1846&lt;&gt;"","REMOVE","KEEP"))</f>
        <v/>
      </c>
      <c r="E1846">
        <f>IF(D1846&lt;&gt;"KEEP","",IF(RIGHT(B1846,10)="@gmail.com","Gmail",IF(OR(RIGHT(B1846,12)="@outlook.com",RIGHT(B1846,12)="@hotmail.com",RIGHT(B1846,9)="@live.com"),"Outlook","Domain")))</f>
        <v/>
      </c>
      <c r="F1846">
        <f>IF(B1846="","",IFERROR(RIGHT(B1846,LEN(B1846)-FIND("@",B1846)),""))</f>
        <v/>
      </c>
      <c r="G1846">
        <f>IF(D1846="KEEP",COUNTIF($D$2:D1846,"KEEP"),"")</f>
        <v/>
      </c>
      <c r="H1846">
        <f>IF(D1846="REMOVE",COUNTIF($D$2:D1846,"REMOVE"),"")</f>
        <v/>
      </c>
      <c r="I1846">
        <f>IF(E1846="Gmail",COUNTIF($E$2:E1846,"Gmail"),"")</f>
        <v/>
      </c>
      <c r="J1846">
        <f>IF(E1846="Outlook",COUNTIF($E$2:E1846,"Outlook"),"")</f>
        <v/>
      </c>
      <c r="K1846">
        <f>IF(E1846="Domain",COUNTIF($E$2:E1846,"Domain"),"")</f>
        <v/>
      </c>
    </row>
    <row r="1847">
      <c r="A1847" s="2" t="n"/>
      <c r="B1847">
        <f>LOWER(TRIM(A1847))</f>
        <v/>
      </c>
      <c r="C1847">
        <f>IF(B1847="","",IFERROR(INDEX('Bad Patterns'!$A$2:$A$120,MATCH(1,INDEX(--ISNUMBER(SEARCH('Bad Patterns'!$A$2:$A$120,B1847)),0),0)),""))</f>
        <v/>
      </c>
      <c r="D1847">
        <f>IF(B1847="","",IF(C1847&lt;&gt;"","REMOVE","KEEP"))</f>
        <v/>
      </c>
      <c r="E1847">
        <f>IF(D1847&lt;&gt;"KEEP","",IF(RIGHT(B1847,10)="@gmail.com","Gmail",IF(OR(RIGHT(B1847,12)="@outlook.com",RIGHT(B1847,12)="@hotmail.com",RIGHT(B1847,9)="@live.com"),"Outlook","Domain")))</f>
        <v/>
      </c>
      <c r="F1847">
        <f>IF(B1847="","",IFERROR(RIGHT(B1847,LEN(B1847)-FIND("@",B1847)),""))</f>
        <v/>
      </c>
      <c r="G1847">
        <f>IF(D1847="KEEP",COUNTIF($D$2:D1847,"KEEP"),"")</f>
        <v/>
      </c>
      <c r="H1847">
        <f>IF(D1847="REMOVE",COUNTIF($D$2:D1847,"REMOVE"),"")</f>
        <v/>
      </c>
      <c r="I1847">
        <f>IF(E1847="Gmail",COUNTIF($E$2:E1847,"Gmail"),"")</f>
        <v/>
      </c>
      <c r="J1847">
        <f>IF(E1847="Outlook",COUNTIF($E$2:E1847,"Outlook"),"")</f>
        <v/>
      </c>
      <c r="K1847">
        <f>IF(E1847="Domain",COUNTIF($E$2:E1847,"Domain"),"")</f>
        <v/>
      </c>
    </row>
    <row r="1848">
      <c r="A1848" s="2" t="n"/>
      <c r="B1848">
        <f>LOWER(TRIM(A1848))</f>
        <v/>
      </c>
      <c r="C1848">
        <f>IF(B1848="","",IFERROR(INDEX('Bad Patterns'!$A$2:$A$120,MATCH(1,INDEX(--ISNUMBER(SEARCH('Bad Patterns'!$A$2:$A$120,B1848)),0),0)),""))</f>
        <v/>
      </c>
      <c r="D1848">
        <f>IF(B1848="","",IF(C1848&lt;&gt;"","REMOVE","KEEP"))</f>
        <v/>
      </c>
      <c r="E1848">
        <f>IF(D1848&lt;&gt;"KEEP","",IF(RIGHT(B1848,10)="@gmail.com","Gmail",IF(OR(RIGHT(B1848,12)="@outlook.com",RIGHT(B1848,12)="@hotmail.com",RIGHT(B1848,9)="@live.com"),"Outlook","Domain")))</f>
        <v/>
      </c>
      <c r="F1848">
        <f>IF(B1848="","",IFERROR(RIGHT(B1848,LEN(B1848)-FIND("@",B1848)),""))</f>
        <v/>
      </c>
      <c r="G1848">
        <f>IF(D1848="KEEP",COUNTIF($D$2:D1848,"KEEP"),"")</f>
        <v/>
      </c>
      <c r="H1848">
        <f>IF(D1848="REMOVE",COUNTIF($D$2:D1848,"REMOVE"),"")</f>
        <v/>
      </c>
      <c r="I1848">
        <f>IF(E1848="Gmail",COUNTIF($E$2:E1848,"Gmail"),"")</f>
        <v/>
      </c>
      <c r="J1848">
        <f>IF(E1848="Outlook",COUNTIF($E$2:E1848,"Outlook"),"")</f>
        <v/>
      </c>
      <c r="K1848">
        <f>IF(E1848="Domain",COUNTIF($E$2:E1848,"Domain"),"")</f>
        <v/>
      </c>
    </row>
    <row r="1849">
      <c r="A1849" s="2" t="n"/>
      <c r="B1849">
        <f>LOWER(TRIM(A1849))</f>
        <v/>
      </c>
      <c r="C1849">
        <f>IF(B1849="","",IFERROR(INDEX('Bad Patterns'!$A$2:$A$120,MATCH(1,INDEX(--ISNUMBER(SEARCH('Bad Patterns'!$A$2:$A$120,B1849)),0),0)),""))</f>
        <v/>
      </c>
      <c r="D1849">
        <f>IF(B1849="","",IF(C1849&lt;&gt;"","REMOVE","KEEP"))</f>
        <v/>
      </c>
      <c r="E1849">
        <f>IF(D1849&lt;&gt;"KEEP","",IF(RIGHT(B1849,10)="@gmail.com","Gmail",IF(OR(RIGHT(B1849,12)="@outlook.com",RIGHT(B1849,12)="@hotmail.com",RIGHT(B1849,9)="@live.com"),"Outlook","Domain")))</f>
        <v/>
      </c>
      <c r="F1849">
        <f>IF(B1849="","",IFERROR(RIGHT(B1849,LEN(B1849)-FIND("@",B1849)),""))</f>
        <v/>
      </c>
      <c r="G1849">
        <f>IF(D1849="KEEP",COUNTIF($D$2:D1849,"KEEP"),"")</f>
        <v/>
      </c>
      <c r="H1849">
        <f>IF(D1849="REMOVE",COUNTIF($D$2:D1849,"REMOVE"),"")</f>
        <v/>
      </c>
      <c r="I1849">
        <f>IF(E1849="Gmail",COUNTIF($E$2:E1849,"Gmail"),"")</f>
        <v/>
      </c>
      <c r="J1849">
        <f>IF(E1849="Outlook",COUNTIF($E$2:E1849,"Outlook"),"")</f>
        <v/>
      </c>
      <c r="K1849">
        <f>IF(E1849="Domain",COUNTIF($E$2:E1849,"Domain"),"")</f>
        <v/>
      </c>
    </row>
    <row r="1850">
      <c r="A1850" s="2" t="n"/>
      <c r="B1850">
        <f>LOWER(TRIM(A1850))</f>
        <v/>
      </c>
      <c r="C1850">
        <f>IF(B1850="","",IFERROR(INDEX('Bad Patterns'!$A$2:$A$120,MATCH(1,INDEX(--ISNUMBER(SEARCH('Bad Patterns'!$A$2:$A$120,B1850)),0),0)),""))</f>
        <v/>
      </c>
      <c r="D1850">
        <f>IF(B1850="","",IF(C1850&lt;&gt;"","REMOVE","KEEP"))</f>
        <v/>
      </c>
      <c r="E1850">
        <f>IF(D1850&lt;&gt;"KEEP","",IF(RIGHT(B1850,10)="@gmail.com","Gmail",IF(OR(RIGHT(B1850,12)="@outlook.com",RIGHT(B1850,12)="@hotmail.com",RIGHT(B1850,9)="@live.com"),"Outlook","Domain")))</f>
        <v/>
      </c>
      <c r="F1850">
        <f>IF(B1850="","",IFERROR(RIGHT(B1850,LEN(B1850)-FIND("@",B1850)),""))</f>
        <v/>
      </c>
      <c r="G1850">
        <f>IF(D1850="KEEP",COUNTIF($D$2:D1850,"KEEP"),"")</f>
        <v/>
      </c>
      <c r="H1850">
        <f>IF(D1850="REMOVE",COUNTIF($D$2:D1850,"REMOVE"),"")</f>
        <v/>
      </c>
      <c r="I1850">
        <f>IF(E1850="Gmail",COUNTIF($E$2:E1850,"Gmail"),"")</f>
        <v/>
      </c>
      <c r="J1850">
        <f>IF(E1850="Outlook",COUNTIF($E$2:E1850,"Outlook"),"")</f>
        <v/>
      </c>
      <c r="K1850">
        <f>IF(E1850="Domain",COUNTIF($E$2:E1850,"Domain"),"")</f>
        <v/>
      </c>
    </row>
    <row r="1851">
      <c r="A1851" s="2" t="n"/>
      <c r="B1851">
        <f>LOWER(TRIM(A1851))</f>
        <v/>
      </c>
      <c r="C1851">
        <f>IF(B1851="","",IFERROR(INDEX('Bad Patterns'!$A$2:$A$120,MATCH(1,INDEX(--ISNUMBER(SEARCH('Bad Patterns'!$A$2:$A$120,B1851)),0),0)),""))</f>
        <v/>
      </c>
      <c r="D1851">
        <f>IF(B1851="","",IF(C1851&lt;&gt;"","REMOVE","KEEP"))</f>
        <v/>
      </c>
      <c r="E1851">
        <f>IF(D1851&lt;&gt;"KEEP","",IF(RIGHT(B1851,10)="@gmail.com","Gmail",IF(OR(RIGHT(B1851,12)="@outlook.com",RIGHT(B1851,12)="@hotmail.com",RIGHT(B1851,9)="@live.com"),"Outlook","Domain")))</f>
        <v/>
      </c>
      <c r="F1851">
        <f>IF(B1851="","",IFERROR(RIGHT(B1851,LEN(B1851)-FIND("@",B1851)),""))</f>
        <v/>
      </c>
      <c r="G1851">
        <f>IF(D1851="KEEP",COUNTIF($D$2:D1851,"KEEP"),"")</f>
        <v/>
      </c>
      <c r="H1851">
        <f>IF(D1851="REMOVE",COUNTIF($D$2:D1851,"REMOVE"),"")</f>
        <v/>
      </c>
      <c r="I1851">
        <f>IF(E1851="Gmail",COUNTIF($E$2:E1851,"Gmail"),"")</f>
        <v/>
      </c>
      <c r="J1851">
        <f>IF(E1851="Outlook",COUNTIF($E$2:E1851,"Outlook"),"")</f>
        <v/>
      </c>
      <c r="K1851">
        <f>IF(E1851="Domain",COUNTIF($E$2:E1851,"Domain"),"")</f>
        <v/>
      </c>
    </row>
    <row r="1852">
      <c r="A1852" s="2" t="n"/>
      <c r="B1852">
        <f>LOWER(TRIM(A1852))</f>
        <v/>
      </c>
      <c r="C1852">
        <f>IF(B1852="","",IFERROR(INDEX('Bad Patterns'!$A$2:$A$120,MATCH(1,INDEX(--ISNUMBER(SEARCH('Bad Patterns'!$A$2:$A$120,B1852)),0),0)),""))</f>
        <v/>
      </c>
      <c r="D1852">
        <f>IF(B1852="","",IF(C1852&lt;&gt;"","REMOVE","KEEP"))</f>
        <v/>
      </c>
      <c r="E1852">
        <f>IF(D1852&lt;&gt;"KEEP","",IF(RIGHT(B1852,10)="@gmail.com","Gmail",IF(OR(RIGHT(B1852,12)="@outlook.com",RIGHT(B1852,12)="@hotmail.com",RIGHT(B1852,9)="@live.com"),"Outlook","Domain")))</f>
        <v/>
      </c>
      <c r="F1852">
        <f>IF(B1852="","",IFERROR(RIGHT(B1852,LEN(B1852)-FIND("@",B1852)),""))</f>
        <v/>
      </c>
      <c r="G1852">
        <f>IF(D1852="KEEP",COUNTIF($D$2:D1852,"KEEP"),"")</f>
        <v/>
      </c>
      <c r="H1852">
        <f>IF(D1852="REMOVE",COUNTIF($D$2:D1852,"REMOVE"),"")</f>
        <v/>
      </c>
      <c r="I1852">
        <f>IF(E1852="Gmail",COUNTIF($E$2:E1852,"Gmail"),"")</f>
        <v/>
      </c>
      <c r="J1852">
        <f>IF(E1852="Outlook",COUNTIF($E$2:E1852,"Outlook"),"")</f>
        <v/>
      </c>
      <c r="K1852">
        <f>IF(E1852="Domain",COUNTIF($E$2:E1852,"Domain"),"")</f>
        <v/>
      </c>
    </row>
    <row r="1853">
      <c r="A1853" s="2" t="n"/>
      <c r="B1853">
        <f>LOWER(TRIM(A1853))</f>
        <v/>
      </c>
      <c r="C1853">
        <f>IF(B1853="","",IFERROR(INDEX('Bad Patterns'!$A$2:$A$120,MATCH(1,INDEX(--ISNUMBER(SEARCH('Bad Patterns'!$A$2:$A$120,B1853)),0),0)),""))</f>
        <v/>
      </c>
      <c r="D1853">
        <f>IF(B1853="","",IF(C1853&lt;&gt;"","REMOVE","KEEP"))</f>
        <v/>
      </c>
      <c r="E1853">
        <f>IF(D1853&lt;&gt;"KEEP","",IF(RIGHT(B1853,10)="@gmail.com","Gmail",IF(OR(RIGHT(B1853,12)="@outlook.com",RIGHT(B1853,12)="@hotmail.com",RIGHT(B1853,9)="@live.com"),"Outlook","Domain")))</f>
        <v/>
      </c>
      <c r="F1853">
        <f>IF(B1853="","",IFERROR(RIGHT(B1853,LEN(B1853)-FIND("@",B1853)),""))</f>
        <v/>
      </c>
      <c r="G1853">
        <f>IF(D1853="KEEP",COUNTIF($D$2:D1853,"KEEP"),"")</f>
        <v/>
      </c>
      <c r="H1853">
        <f>IF(D1853="REMOVE",COUNTIF($D$2:D1853,"REMOVE"),"")</f>
        <v/>
      </c>
      <c r="I1853">
        <f>IF(E1853="Gmail",COUNTIF($E$2:E1853,"Gmail"),"")</f>
        <v/>
      </c>
      <c r="J1853">
        <f>IF(E1853="Outlook",COUNTIF($E$2:E1853,"Outlook"),"")</f>
        <v/>
      </c>
      <c r="K1853">
        <f>IF(E1853="Domain",COUNTIF($E$2:E1853,"Domain"),"")</f>
        <v/>
      </c>
    </row>
    <row r="1854">
      <c r="A1854" s="2" t="n"/>
      <c r="B1854">
        <f>LOWER(TRIM(A1854))</f>
        <v/>
      </c>
      <c r="C1854">
        <f>IF(B1854="","",IFERROR(INDEX('Bad Patterns'!$A$2:$A$120,MATCH(1,INDEX(--ISNUMBER(SEARCH('Bad Patterns'!$A$2:$A$120,B1854)),0),0)),""))</f>
        <v/>
      </c>
      <c r="D1854">
        <f>IF(B1854="","",IF(C1854&lt;&gt;"","REMOVE","KEEP"))</f>
        <v/>
      </c>
      <c r="E1854">
        <f>IF(D1854&lt;&gt;"KEEP","",IF(RIGHT(B1854,10)="@gmail.com","Gmail",IF(OR(RIGHT(B1854,12)="@outlook.com",RIGHT(B1854,12)="@hotmail.com",RIGHT(B1854,9)="@live.com"),"Outlook","Domain")))</f>
        <v/>
      </c>
      <c r="F1854">
        <f>IF(B1854="","",IFERROR(RIGHT(B1854,LEN(B1854)-FIND("@",B1854)),""))</f>
        <v/>
      </c>
      <c r="G1854">
        <f>IF(D1854="KEEP",COUNTIF($D$2:D1854,"KEEP"),"")</f>
        <v/>
      </c>
      <c r="H1854">
        <f>IF(D1854="REMOVE",COUNTIF($D$2:D1854,"REMOVE"),"")</f>
        <v/>
      </c>
      <c r="I1854">
        <f>IF(E1854="Gmail",COUNTIF($E$2:E1854,"Gmail"),"")</f>
        <v/>
      </c>
      <c r="J1854">
        <f>IF(E1854="Outlook",COUNTIF($E$2:E1854,"Outlook"),"")</f>
        <v/>
      </c>
      <c r="K1854">
        <f>IF(E1854="Domain",COUNTIF($E$2:E1854,"Domain"),"")</f>
        <v/>
      </c>
    </row>
    <row r="1855">
      <c r="A1855" s="2" t="n"/>
      <c r="B1855">
        <f>LOWER(TRIM(A1855))</f>
        <v/>
      </c>
      <c r="C1855">
        <f>IF(B1855="","",IFERROR(INDEX('Bad Patterns'!$A$2:$A$120,MATCH(1,INDEX(--ISNUMBER(SEARCH('Bad Patterns'!$A$2:$A$120,B1855)),0),0)),""))</f>
        <v/>
      </c>
      <c r="D1855">
        <f>IF(B1855="","",IF(C1855&lt;&gt;"","REMOVE","KEEP"))</f>
        <v/>
      </c>
      <c r="E1855">
        <f>IF(D1855&lt;&gt;"KEEP","",IF(RIGHT(B1855,10)="@gmail.com","Gmail",IF(OR(RIGHT(B1855,12)="@outlook.com",RIGHT(B1855,12)="@hotmail.com",RIGHT(B1855,9)="@live.com"),"Outlook","Domain")))</f>
        <v/>
      </c>
      <c r="F1855">
        <f>IF(B1855="","",IFERROR(RIGHT(B1855,LEN(B1855)-FIND("@",B1855)),""))</f>
        <v/>
      </c>
      <c r="G1855">
        <f>IF(D1855="KEEP",COUNTIF($D$2:D1855,"KEEP"),"")</f>
        <v/>
      </c>
      <c r="H1855">
        <f>IF(D1855="REMOVE",COUNTIF($D$2:D1855,"REMOVE"),"")</f>
        <v/>
      </c>
      <c r="I1855">
        <f>IF(E1855="Gmail",COUNTIF($E$2:E1855,"Gmail"),"")</f>
        <v/>
      </c>
      <c r="J1855">
        <f>IF(E1855="Outlook",COUNTIF($E$2:E1855,"Outlook"),"")</f>
        <v/>
      </c>
      <c r="K1855">
        <f>IF(E1855="Domain",COUNTIF($E$2:E1855,"Domain"),"")</f>
        <v/>
      </c>
    </row>
    <row r="1856">
      <c r="A1856" s="2" t="n"/>
      <c r="B1856">
        <f>LOWER(TRIM(A1856))</f>
        <v/>
      </c>
      <c r="C1856">
        <f>IF(B1856="","",IFERROR(INDEX('Bad Patterns'!$A$2:$A$120,MATCH(1,INDEX(--ISNUMBER(SEARCH('Bad Patterns'!$A$2:$A$120,B1856)),0),0)),""))</f>
        <v/>
      </c>
      <c r="D1856">
        <f>IF(B1856="","",IF(C1856&lt;&gt;"","REMOVE","KEEP"))</f>
        <v/>
      </c>
      <c r="E1856">
        <f>IF(D1856&lt;&gt;"KEEP","",IF(RIGHT(B1856,10)="@gmail.com","Gmail",IF(OR(RIGHT(B1856,12)="@outlook.com",RIGHT(B1856,12)="@hotmail.com",RIGHT(B1856,9)="@live.com"),"Outlook","Domain")))</f>
        <v/>
      </c>
      <c r="F1856">
        <f>IF(B1856="","",IFERROR(RIGHT(B1856,LEN(B1856)-FIND("@",B1856)),""))</f>
        <v/>
      </c>
      <c r="G1856">
        <f>IF(D1856="KEEP",COUNTIF($D$2:D1856,"KEEP"),"")</f>
        <v/>
      </c>
      <c r="H1856">
        <f>IF(D1856="REMOVE",COUNTIF($D$2:D1856,"REMOVE"),"")</f>
        <v/>
      </c>
      <c r="I1856">
        <f>IF(E1856="Gmail",COUNTIF($E$2:E1856,"Gmail"),"")</f>
        <v/>
      </c>
      <c r="J1856">
        <f>IF(E1856="Outlook",COUNTIF($E$2:E1856,"Outlook"),"")</f>
        <v/>
      </c>
      <c r="K1856">
        <f>IF(E1856="Domain",COUNTIF($E$2:E1856,"Domain"),"")</f>
        <v/>
      </c>
    </row>
    <row r="1857">
      <c r="A1857" s="2" t="n"/>
      <c r="B1857">
        <f>LOWER(TRIM(A1857))</f>
        <v/>
      </c>
      <c r="C1857">
        <f>IF(B1857="","",IFERROR(INDEX('Bad Patterns'!$A$2:$A$120,MATCH(1,INDEX(--ISNUMBER(SEARCH('Bad Patterns'!$A$2:$A$120,B1857)),0),0)),""))</f>
        <v/>
      </c>
      <c r="D1857">
        <f>IF(B1857="","",IF(C1857&lt;&gt;"","REMOVE","KEEP"))</f>
        <v/>
      </c>
      <c r="E1857">
        <f>IF(D1857&lt;&gt;"KEEP","",IF(RIGHT(B1857,10)="@gmail.com","Gmail",IF(OR(RIGHT(B1857,12)="@outlook.com",RIGHT(B1857,12)="@hotmail.com",RIGHT(B1857,9)="@live.com"),"Outlook","Domain")))</f>
        <v/>
      </c>
      <c r="F1857">
        <f>IF(B1857="","",IFERROR(RIGHT(B1857,LEN(B1857)-FIND("@",B1857)),""))</f>
        <v/>
      </c>
      <c r="G1857">
        <f>IF(D1857="KEEP",COUNTIF($D$2:D1857,"KEEP"),"")</f>
        <v/>
      </c>
      <c r="H1857">
        <f>IF(D1857="REMOVE",COUNTIF($D$2:D1857,"REMOVE"),"")</f>
        <v/>
      </c>
      <c r="I1857">
        <f>IF(E1857="Gmail",COUNTIF($E$2:E1857,"Gmail"),"")</f>
        <v/>
      </c>
      <c r="J1857">
        <f>IF(E1857="Outlook",COUNTIF($E$2:E1857,"Outlook"),"")</f>
        <v/>
      </c>
      <c r="K1857">
        <f>IF(E1857="Domain",COUNTIF($E$2:E1857,"Domain"),"")</f>
        <v/>
      </c>
    </row>
    <row r="1858">
      <c r="A1858" s="2" t="n"/>
      <c r="B1858">
        <f>LOWER(TRIM(A1858))</f>
        <v/>
      </c>
      <c r="C1858">
        <f>IF(B1858="","",IFERROR(INDEX('Bad Patterns'!$A$2:$A$120,MATCH(1,INDEX(--ISNUMBER(SEARCH('Bad Patterns'!$A$2:$A$120,B1858)),0),0)),""))</f>
        <v/>
      </c>
      <c r="D1858">
        <f>IF(B1858="","",IF(C1858&lt;&gt;"","REMOVE","KEEP"))</f>
        <v/>
      </c>
      <c r="E1858">
        <f>IF(D1858&lt;&gt;"KEEP","",IF(RIGHT(B1858,10)="@gmail.com","Gmail",IF(OR(RIGHT(B1858,12)="@outlook.com",RIGHT(B1858,12)="@hotmail.com",RIGHT(B1858,9)="@live.com"),"Outlook","Domain")))</f>
        <v/>
      </c>
      <c r="F1858">
        <f>IF(B1858="","",IFERROR(RIGHT(B1858,LEN(B1858)-FIND("@",B1858)),""))</f>
        <v/>
      </c>
      <c r="G1858">
        <f>IF(D1858="KEEP",COUNTIF($D$2:D1858,"KEEP"),"")</f>
        <v/>
      </c>
      <c r="H1858">
        <f>IF(D1858="REMOVE",COUNTIF($D$2:D1858,"REMOVE"),"")</f>
        <v/>
      </c>
      <c r="I1858">
        <f>IF(E1858="Gmail",COUNTIF($E$2:E1858,"Gmail"),"")</f>
        <v/>
      </c>
      <c r="J1858">
        <f>IF(E1858="Outlook",COUNTIF($E$2:E1858,"Outlook"),"")</f>
        <v/>
      </c>
      <c r="K1858">
        <f>IF(E1858="Domain",COUNTIF($E$2:E1858,"Domain"),"")</f>
        <v/>
      </c>
    </row>
    <row r="1859">
      <c r="A1859" s="2" t="n"/>
      <c r="B1859">
        <f>LOWER(TRIM(A1859))</f>
        <v/>
      </c>
      <c r="C1859">
        <f>IF(B1859="","",IFERROR(INDEX('Bad Patterns'!$A$2:$A$120,MATCH(1,INDEX(--ISNUMBER(SEARCH('Bad Patterns'!$A$2:$A$120,B1859)),0),0)),""))</f>
        <v/>
      </c>
      <c r="D1859">
        <f>IF(B1859="","",IF(C1859&lt;&gt;"","REMOVE","KEEP"))</f>
        <v/>
      </c>
      <c r="E1859">
        <f>IF(D1859&lt;&gt;"KEEP","",IF(RIGHT(B1859,10)="@gmail.com","Gmail",IF(OR(RIGHT(B1859,12)="@outlook.com",RIGHT(B1859,12)="@hotmail.com",RIGHT(B1859,9)="@live.com"),"Outlook","Domain")))</f>
        <v/>
      </c>
      <c r="F1859">
        <f>IF(B1859="","",IFERROR(RIGHT(B1859,LEN(B1859)-FIND("@",B1859)),""))</f>
        <v/>
      </c>
      <c r="G1859">
        <f>IF(D1859="KEEP",COUNTIF($D$2:D1859,"KEEP"),"")</f>
        <v/>
      </c>
      <c r="H1859">
        <f>IF(D1859="REMOVE",COUNTIF($D$2:D1859,"REMOVE"),"")</f>
        <v/>
      </c>
      <c r="I1859">
        <f>IF(E1859="Gmail",COUNTIF($E$2:E1859,"Gmail"),"")</f>
        <v/>
      </c>
      <c r="J1859">
        <f>IF(E1859="Outlook",COUNTIF($E$2:E1859,"Outlook"),"")</f>
        <v/>
      </c>
      <c r="K1859">
        <f>IF(E1859="Domain",COUNTIF($E$2:E1859,"Domain"),"")</f>
        <v/>
      </c>
    </row>
    <row r="1860">
      <c r="A1860" s="2" t="n"/>
      <c r="B1860">
        <f>LOWER(TRIM(A1860))</f>
        <v/>
      </c>
      <c r="C1860">
        <f>IF(B1860="","",IFERROR(INDEX('Bad Patterns'!$A$2:$A$120,MATCH(1,INDEX(--ISNUMBER(SEARCH('Bad Patterns'!$A$2:$A$120,B1860)),0),0)),""))</f>
        <v/>
      </c>
      <c r="D1860">
        <f>IF(B1860="","",IF(C1860&lt;&gt;"","REMOVE","KEEP"))</f>
        <v/>
      </c>
      <c r="E1860">
        <f>IF(D1860&lt;&gt;"KEEP","",IF(RIGHT(B1860,10)="@gmail.com","Gmail",IF(OR(RIGHT(B1860,12)="@outlook.com",RIGHT(B1860,12)="@hotmail.com",RIGHT(B1860,9)="@live.com"),"Outlook","Domain")))</f>
        <v/>
      </c>
      <c r="F1860">
        <f>IF(B1860="","",IFERROR(RIGHT(B1860,LEN(B1860)-FIND("@",B1860)),""))</f>
        <v/>
      </c>
      <c r="G1860">
        <f>IF(D1860="KEEP",COUNTIF($D$2:D1860,"KEEP"),"")</f>
        <v/>
      </c>
      <c r="H1860">
        <f>IF(D1860="REMOVE",COUNTIF($D$2:D1860,"REMOVE"),"")</f>
        <v/>
      </c>
      <c r="I1860">
        <f>IF(E1860="Gmail",COUNTIF($E$2:E1860,"Gmail"),"")</f>
        <v/>
      </c>
      <c r="J1860">
        <f>IF(E1860="Outlook",COUNTIF($E$2:E1860,"Outlook"),"")</f>
        <v/>
      </c>
      <c r="K1860">
        <f>IF(E1860="Domain",COUNTIF($E$2:E1860,"Domain"),"")</f>
        <v/>
      </c>
    </row>
    <row r="1861">
      <c r="A1861" s="2" t="n"/>
      <c r="B1861">
        <f>LOWER(TRIM(A1861))</f>
        <v/>
      </c>
      <c r="C1861">
        <f>IF(B1861="","",IFERROR(INDEX('Bad Patterns'!$A$2:$A$120,MATCH(1,INDEX(--ISNUMBER(SEARCH('Bad Patterns'!$A$2:$A$120,B1861)),0),0)),""))</f>
        <v/>
      </c>
      <c r="D1861">
        <f>IF(B1861="","",IF(C1861&lt;&gt;"","REMOVE","KEEP"))</f>
        <v/>
      </c>
      <c r="E1861">
        <f>IF(D1861&lt;&gt;"KEEP","",IF(RIGHT(B1861,10)="@gmail.com","Gmail",IF(OR(RIGHT(B1861,12)="@outlook.com",RIGHT(B1861,12)="@hotmail.com",RIGHT(B1861,9)="@live.com"),"Outlook","Domain")))</f>
        <v/>
      </c>
      <c r="F1861">
        <f>IF(B1861="","",IFERROR(RIGHT(B1861,LEN(B1861)-FIND("@",B1861)),""))</f>
        <v/>
      </c>
      <c r="G1861">
        <f>IF(D1861="KEEP",COUNTIF($D$2:D1861,"KEEP"),"")</f>
        <v/>
      </c>
      <c r="H1861">
        <f>IF(D1861="REMOVE",COUNTIF($D$2:D1861,"REMOVE"),"")</f>
        <v/>
      </c>
      <c r="I1861">
        <f>IF(E1861="Gmail",COUNTIF($E$2:E1861,"Gmail"),"")</f>
        <v/>
      </c>
      <c r="J1861">
        <f>IF(E1861="Outlook",COUNTIF($E$2:E1861,"Outlook"),"")</f>
        <v/>
      </c>
      <c r="K1861">
        <f>IF(E1861="Domain",COUNTIF($E$2:E1861,"Domain"),"")</f>
        <v/>
      </c>
    </row>
    <row r="1862">
      <c r="A1862" s="2" t="n"/>
      <c r="B1862">
        <f>LOWER(TRIM(A1862))</f>
        <v/>
      </c>
      <c r="C1862">
        <f>IF(B1862="","",IFERROR(INDEX('Bad Patterns'!$A$2:$A$120,MATCH(1,INDEX(--ISNUMBER(SEARCH('Bad Patterns'!$A$2:$A$120,B1862)),0),0)),""))</f>
        <v/>
      </c>
      <c r="D1862">
        <f>IF(B1862="","",IF(C1862&lt;&gt;"","REMOVE","KEEP"))</f>
        <v/>
      </c>
      <c r="E1862">
        <f>IF(D1862&lt;&gt;"KEEP","",IF(RIGHT(B1862,10)="@gmail.com","Gmail",IF(OR(RIGHT(B1862,12)="@outlook.com",RIGHT(B1862,12)="@hotmail.com",RIGHT(B1862,9)="@live.com"),"Outlook","Domain")))</f>
        <v/>
      </c>
      <c r="F1862">
        <f>IF(B1862="","",IFERROR(RIGHT(B1862,LEN(B1862)-FIND("@",B1862)),""))</f>
        <v/>
      </c>
      <c r="G1862">
        <f>IF(D1862="KEEP",COUNTIF($D$2:D1862,"KEEP"),"")</f>
        <v/>
      </c>
      <c r="H1862">
        <f>IF(D1862="REMOVE",COUNTIF($D$2:D1862,"REMOVE"),"")</f>
        <v/>
      </c>
      <c r="I1862">
        <f>IF(E1862="Gmail",COUNTIF($E$2:E1862,"Gmail"),"")</f>
        <v/>
      </c>
      <c r="J1862">
        <f>IF(E1862="Outlook",COUNTIF($E$2:E1862,"Outlook"),"")</f>
        <v/>
      </c>
      <c r="K1862">
        <f>IF(E1862="Domain",COUNTIF($E$2:E1862,"Domain"),"")</f>
        <v/>
      </c>
    </row>
    <row r="1863">
      <c r="A1863" s="2" t="n"/>
      <c r="B1863">
        <f>LOWER(TRIM(A1863))</f>
        <v/>
      </c>
      <c r="C1863">
        <f>IF(B1863="","",IFERROR(INDEX('Bad Patterns'!$A$2:$A$120,MATCH(1,INDEX(--ISNUMBER(SEARCH('Bad Patterns'!$A$2:$A$120,B1863)),0),0)),""))</f>
        <v/>
      </c>
      <c r="D1863">
        <f>IF(B1863="","",IF(C1863&lt;&gt;"","REMOVE","KEEP"))</f>
        <v/>
      </c>
      <c r="E1863">
        <f>IF(D1863&lt;&gt;"KEEP","",IF(RIGHT(B1863,10)="@gmail.com","Gmail",IF(OR(RIGHT(B1863,12)="@outlook.com",RIGHT(B1863,12)="@hotmail.com",RIGHT(B1863,9)="@live.com"),"Outlook","Domain")))</f>
        <v/>
      </c>
      <c r="F1863">
        <f>IF(B1863="","",IFERROR(RIGHT(B1863,LEN(B1863)-FIND("@",B1863)),""))</f>
        <v/>
      </c>
      <c r="G1863">
        <f>IF(D1863="KEEP",COUNTIF($D$2:D1863,"KEEP"),"")</f>
        <v/>
      </c>
      <c r="H1863">
        <f>IF(D1863="REMOVE",COUNTIF($D$2:D1863,"REMOVE"),"")</f>
        <v/>
      </c>
      <c r="I1863">
        <f>IF(E1863="Gmail",COUNTIF($E$2:E1863,"Gmail"),"")</f>
        <v/>
      </c>
      <c r="J1863">
        <f>IF(E1863="Outlook",COUNTIF($E$2:E1863,"Outlook"),"")</f>
        <v/>
      </c>
      <c r="K1863">
        <f>IF(E1863="Domain",COUNTIF($E$2:E1863,"Domain"),"")</f>
        <v/>
      </c>
    </row>
    <row r="1864">
      <c r="A1864" s="2" t="n"/>
      <c r="B1864">
        <f>LOWER(TRIM(A1864))</f>
        <v/>
      </c>
      <c r="C1864">
        <f>IF(B1864="","",IFERROR(INDEX('Bad Patterns'!$A$2:$A$120,MATCH(1,INDEX(--ISNUMBER(SEARCH('Bad Patterns'!$A$2:$A$120,B1864)),0),0)),""))</f>
        <v/>
      </c>
      <c r="D1864">
        <f>IF(B1864="","",IF(C1864&lt;&gt;"","REMOVE","KEEP"))</f>
        <v/>
      </c>
      <c r="E1864">
        <f>IF(D1864&lt;&gt;"KEEP","",IF(RIGHT(B1864,10)="@gmail.com","Gmail",IF(OR(RIGHT(B1864,12)="@outlook.com",RIGHT(B1864,12)="@hotmail.com",RIGHT(B1864,9)="@live.com"),"Outlook","Domain")))</f>
        <v/>
      </c>
      <c r="F1864">
        <f>IF(B1864="","",IFERROR(RIGHT(B1864,LEN(B1864)-FIND("@",B1864)),""))</f>
        <v/>
      </c>
      <c r="G1864">
        <f>IF(D1864="KEEP",COUNTIF($D$2:D1864,"KEEP"),"")</f>
        <v/>
      </c>
      <c r="H1864">
        <f>IF(D1864="REMOVE",COUNTIF($D$2:D1864,"REMOVE"),"")</f>
        <v/>
      </c>
      <c r="I1864">
        <f>IF(E1864="Gmail",COUNTIF($E$2:E1864,"Gmail"),"")</f>
        <v/>
      </c>
      <c r="J1864">
        <f>IF(E1864="Outlook",COUNTIF($E$2:E1864,"Outlook"),"")</f>
        <v/>
      </c>
      <c r="K1864">
        <f>IF(E1864="Domain",COUNTIF($E$2:E1864,"Domain"),"")</f>
        <v/>
      </c>
    </row>
    <row r="1865">
      <c r="A1865" s="2" t="n"/>
      <c r="B1865">
        <f>LOWER(TRIM(A1865))</f>
        <v/>
      </c>
      <c r="C1865">
        <f>IF(B1865="","",IFERROR(INDEX('Bad Patterns'!$A$2:$A$120,MATCH(1,INDEX(--ISNUMBER(SEARCH('Bad Patterns'!$A$2:$A$120,B1865)),0),0)),""))</f>
        <v/>
      </c>
      <c r="D1865">
        <f>IF(B1865="","",IF(C1865&lt;&gt;"","REMOVE","KEEP"))</f>
        <v/>
      </c>
      <c r="E1865">
        <f>IF(D1865&lt;&gt;"KEEP","",IF(RIGHT(B1865,10)="@gmail.com","Gmail",IF(OR(RIGHT(B1865,12)="@outlook.com",RIGHT(B1865,12)="@hotmail.com",RIGHT(B1865,9)="@live.com"),"Outlook","Domain")))</f>
        <v/>
      </c>
      <c r="F1865">
        <f>IF(B1865="","",IFERROR(RIGHT(B1865,LEN(B1865)-FIND("@",B1865)),""))</f>
        <v/>
      </c>
      <c r="G1865">
        <f>IF(D1865="KEEP",COUNTIF($D$2:D1865,"KEEP"),"")</f>
        <v/>
      </c>
      <c r="H1865">
        <f>IF(D1865="REMOVE",COUNTIF($D$2:D1865,"REMOVE"),"")</f>
        <v/>
      </c>
      <c r="I1865">
        <f>IF(E1865="Gmail",COUNTIF($E$2:E1865,"Gmail"),"")</f>
        <v/>
      </c>
      <c r="J1865">
        <f>IF(E1865="Outlook",COUNTIF($E$2:E1865,"Outlook"),"")</f>
        <v/>
      </c>
      <c r="K1865">
        <f>IF(E1865="Domain",COUNTIF($E$2:E1865,"Domain"),"")</f>
        <v/>
      </c>
    </row>
    <row r="1866">
      <c r="A1866" s="2" t="n"/>
      <c r="B1866">
        <f>LOWER(TRIM(A1866))</f>
        <v/>
      </c>
      <c r="C1866">
        <f>IF(B1866="","",IFERROR(INDEX('Bad Patterns'!$A$2:$A$120,MATCH(1,INDEX(--ISNUMBER(SEARCH('Bad Patterns'!$A$2:$A$120,B1866)),0),0)),""))</f>
        <v/>
      </c>
      <c r="D1866">
        <f>IF(B1866="","",IF(C1866&lt;&gt;"","REMOVE","KEEP"))</f>
        <v/>
      </c>
      <c r="E1866">
        <f>IF(D1866&lt;&gt;"KEEP","",IF(RIGHT(B1866,10)="@gmail.com","Gmail",IF(OR(RIGHT(B1866,12)="@outlook.com",RIGHT(B1866,12)="@hotmail.com",RIGHT(B1866,9)="@live.com"),"Outlook","Domain")))</f>
        <v/>
      </c>
      <c r="F1866">
        <f>IF(B1866="","",IFERROR(RIGHT(B1866,LEN(B1866)-FIND("@",B1866)),""))</f>
        <v/>
      </c>
      <c r="G1866">
        <f>IF(D1866="KEEP",COUNTIF($D$2:D1866,"KEEP"),"")</f>
        <v/>
      </c>
      <c r="H1866">
        <f>IF(D1866="REMOVE",COUNTIF($D$2:D1866,"REMOVE"),"")</f>
        <v/>
      </c>
      <c r="I1866">
        <f>IF(E1866="Gmail",COUNTIF($E$2:E1866,"Gmail"),"")</f>
        <v/>
      </c>
      <c r="J1866">
        <f>IF(E1866="Outlook",COUNTIF($E$2:E1866,"Outlook"),"")</f>
        <v/>
      </c>
      <c r="K1866">
        <f>IF(E1866="Domain",COUNTIF($E$2:E1866,"Domain"),"")</f>
        <v/>
      </c>
    </row>
    <row r="1867">
      <c r="A1867" s="2" t="n"/>
      <c r="B1867">
        <f>LOWER(TRIM(A1867))</f>
        <v/>
      </c>
      <c r="C1867">
        <f>IF(B1867="","",IFERROR(INDEX('Bad Patterns'!$A$2:$A$120,MATCH(1,INDEX(--ISNUMBER(SEARCH('Bad Patterns'!$A$2:$A$120,B1867)),0),0)),""))</f>
        <v/>
      </c>
      <c r="D1867">
        <f>IF(B1867="","",IF(C1867&lt;&gt;"","REMOVE","KEEP"))</f>
        <v/>
      </c>
      <c r="E1867">
        <f>IF(D1867&lt;&gt;"KEEP","",IF(RIGHT(B1867,10)="@gmail.com","Gmail",IF(OR(RIGHT(B1867,12)="@outlook.com",RIGHT(B1867,12)="@hotmail.com",RIGHT(B1867,9)="@live.com"),"Outlook","Domain")))</f>
        <v/>
      </c>
      <c r="F1867">
        <f>IF(B1867="","",IFERROR(RIGHT(B1867,LEN(B1867)-FIND("@",B1867)),""))</f>
        <v/>
      </c>
      <c r="G1867">
        <f>IF(D1867="KEEP",COUNTIF($D$2:D1867,"KEEP"),"")</f>
        <v/>
      </c>
      <c r="H1867">
        <f>IF(D1867="REMOVE",COUNTIF($D$2:D1867,"REMOVE"),"")</f>
        <v/>
      </c>
      <c r="I1867">
        <f>IF(E1867="Gmail",COUNTIF($E$2:E1867,"Gmail"),"")</f>
        <v/>
      </c>
      <c r="J1867">
        <f>IF(E1867="Outlook",COUNTIF($E$2:E1867,"Outlook"),"")</f>
        <v/>
      </c>
      <c r="K1867">
        <f>IF(E1867="Domain",COUNTIF($E$2:E1867,"Domain"),"")</f>
        <v/>
      </c>
    </row>
    <row r="1868">
      <c r="A1868" s="2" t="n"/>
      <c r="B1868">
        <f>LOWER(TRIM(A1868))</f>
        <v/>
      </c>
      <c r="C1868">
        <f>IF(B1868="","",IFERROR(INDEX('Bad Patterns'!$A$2:$A$120,MATCH(1,INDEX(--ISNUMBER(SEARCH('Bad Patterns'!$A$2:$A$120,B1868)),0),0)),""))</f>
        <v/>
      </c>
      <c r="D1868">
        <f>IF(B1868="","",IF(C1868&lt;&gt;"","REMOVE","KEEP"))</f>
        <v/>
      </c>
      <c r="E1868">
        <f>IF(D1868&lt;&gt;"KEEP","",IF(RIGHT(B1868,10)="@gmail.com","Gmail",IF(OR(RIGHT(B1868,12)="@outlook.com",RIGHT(B1868,12)="@hotmail.com",RIGHT(B1868,9)="@live.com"),"Outlook","Domain")))</f>
        <v/>
      </c>
      <c r="F1868">
        <f>IF(B1868="","",IFERROR(RIGHT(B1868,LEN(B1868)-FIND("@",B1868)),""))</f>
        <v/>
      </c>
      <c r="G1868">
        <f>IF(D1868="KEEP",COUNTIF($D$2:D1868,"KEEP"),"")</f>
        <v/>
      </c>
      <c r="H1868">
        <f>IF(D1868="REMOVE",COUNTIF($D$2:D1868,"REMOVE"),"")</f>
        <v/>
      </c>
      <c r="I1868">
        <f>IF(E1868="Gmail",COUNTIF($E$2:E1868,"Gmail"),"")</f>
        <v/>
      </c>
      <c r="J1868">
        <f>IF(E1868="Outlook",COUNTIF($E$2:E1868,"Outlook"),"")</f>
        <v/>
      </c>
      <c r="K1868">
        <f>IF(E1868="Domain",COUNTIF($E$2:E1868,"Domain"),"")</f>
        <v/>
      </c>
    </row>
    <row r="1869">
      <c r="A1869" s="2" t="n"/>
      <c r="B1869">
        <f>LOWER(TRIM(A1869))</f>
        <v/>
      </c>
      <c r="C1869">
        <f>IF(B1869="","",IFERROR(INDEX('Bad Patterns'!$A$2:$A$120,MATCH(1,INDEX(--ISNUMBER(SEARCH('Bad Patterns'!$A$2:$A$120,B1869)),0),0)),""))</f>
        <v/>
      </c>
      <c r="D1869">
        <f>IF(B1869="","",IF(C1869&lt;&gt;"","REMOVE","KEEP"))</f>
        <v/>
      </c>
      <c r="E1869">
        <f>IF(D1869&lt;&gt;"KEEP","",IF(RIGHT(B1869,10)="@gmail.com","Gmail",IF(OR(RIGHT(B1869,12)="@outlook.com",RIGHT(B1869,12)="@hotmail.com",RIGHT(B1869,9)="@live.com"),"Outlook","Domain")))</f>
        <v/>
      </c>
      <c r="F1869">
        <f>IF(B1869="","",IFERROR(RIGHT(B1869,LEN(B1869)-FIND("@",B1869)),""))</f>
        <v/>
      </c>
      <c r="G1869">
        <f>IF(D1869="KEEP",COUNTIF($D$2:D1869,"KEEP"),"")</f>
        <v/>
      </c>
      <c r="H1869">
        <f>IF(D1869="REMOVE",COUNTIF($D$2:D1869,"REMOVE"),"")</f>
        <v/>
      </c>
      <c r="I1869">
        <f>IF(E1869="Gmail",COUNTIF($E$2:E1869,"Gmail"),"")</f>
        <v/>
      </c>
      <c r="J1869">
        <f>IF(E1869="Outlook",COUNTIF($E$2:E1869,"Outlook"),"")</f>
        <v/>
      </c>
      <c r="K1869">
        <f>IF(E1869="Domain",COUNTIF($E$2:E1869,"Domain"),"")</f>
        <v/>
      </c>
    </row>
    <row r="1870">
      <c r="A1870" s="2" t="n"/>
      <c r="B1870">
        <f>LOWER(TRIM(A1870))</f>
        <v/>
      </c>
      <c r="C1870">
        <f>IF(B1870="","",IFERROR(INDEX('Bad Patterns'!$A$2:$A$120,MATCH(1,INDEX(--ISNUMBER(SEARCH('Bad Patterns'!$A$2:$A$120,B1870)),0),0)),""))</f>
        <v/>
      </c>
      <c r="D1870">
        <f>IF(B1870="","",IF(C1870&lt;&gt;"","REMOVE","KEEP"))</f>
        <v/>
      </c>
      <c r="E1870">
        <f>IF(D1870&lt;&gt;"KEEP","",IF(RIGHT(B1870,10)="@gmail.com","Gmail",IF(OR(RIGHT(B1870,12)="@outlook.com",RIGHT(B1870,12)="@hotmail.com",RIGHT(B1870,9)="@live.com"),"Outlook","Domain")))</f>
        <v/>
      </c>
      <c r="F1870">
        <f>IF(B1870="","",IFERROR(RIGHT(B1870,LEN(B1870)-FIND("@",B1870)),""))</f>
        <v/>
      </c>
      <c r="G1870">
        <f>IF(D1870="KEEP",COUNTIF($D$2:D1870,"KEEP"),"")</f>
        <v/>
      </c>
      <c r="H1870">
        <f>IF(D1870="REMOVE",COUNTIF($D$2:D1870,"REMOVE"),"")</f>
        <v/>
      </c>
      <c r="I1870">
        <f>IF(E1870="Gmail",COUNTIF($E$2:E1870,"Gmail"),"")</f>
        <v/>
      </c>
      <c r="J1870">
        <f>IF(E1870="Outlook",COUNTIF($E$2:E1870,"Outlook"),"")</f>
        <v/>
      </c>
      <c r="K1870">
        <f>IF(E1870="Domain",COUNTIF($E$2:E1870,"Domain"),"")</f>
        <v/>
      </c>
    </row>
    <row r="1871">
      <c r="A1871" s="2" t="n"/>
      <c r="B1871">
        <f>LOWER(TRIM(A1871))</f>
        <v/>
      </c>
      <c r="C1871">
        <f>IF(B1871="","",IFERROR(INDEX('Bad Patterns'!$A$2:$A$120,MATCH(1,INDEX(--ISNUMBER(SEARCH('Bad Patterns'!$A$2:$A$120,B1871)),0),0)),""))</f>
        <v/>
      </c>
      <c r="D1871">
        <f>IF(B1871="","",IF(C1871&lt;&gt;"","REMOVE","KEEP"))</f>
        <v/>
      </c>
      <c r="E1871">
        <f>IF(D1871&lt;&gt;"KEEP","",IF(RIGHT(B1871,10)="@gmail.com","Gmail",IF(OR(RIGHT(B1871,12)="@outlook.com",RIGHT(B1871,12)="@hotmail.com",RIGHT(B1871,9)="@live.com"),"Outlook","Domain")))</f>
        <v/>
      </c>
      <c r="F1871">
        <f>IF(B1871="","",IFERROR(RIGHT(B1871,LEN(B1871)-FIND("@",B1871)),""))</f>
        <v/>
      </c>
      <c r="G1871">
        <f>IF(D1871="KEEP",COUNTIF($D$2:D1871,"KEEP"),"")</f>
        <v/>
      </c>
      <c r="H1871">
        <f>IF(D1871="REMOVE",COUNTIF($D$2:D1871,"REMOVE"),"")</f>
        <v/>
      </c>
      <c r="I1871">
        <f>IF(E1871="Gmail",COUNTIF($E$2:E1871,"Gmail"),"")</f>
        <v/>
      </c>
      <c r="J1871">
        <f>IF(E1871="Outlook",COUNTIF($E$2:E1871,"Outlook"),"")</f>
        <v/>
      </c>
      <c r="K1871">
        <f>IF(E1871="Domain",COUNTIF($E$2:E1871,"Domain"),"")</f>
        <v/>
      </c>
    </row>
    <row r="1872">
      <c r="A1872" s="2" t="n"/>
      <c r="B1872">
        <f>LOWER(TRIM(A1872))</f>
        <v/>
      </c>
      <c r="C1872">
        <f>IF(B1872="","",IFERROR(INDEX('Bad Patterns'!$A$2:$A$120,MATCH(1,INDEX(--ISNUMBER(SEARCH('Bad Patterns'!$A$2:$A$120,B1872)),0),0)),""))</f>
        <v/>
      </c>
      <c r="D1872">
        <f>IF(B1872="","",IF(C1872&lt;&gt;"","REMOVE","KEEP"))</f>
        <v/>
      </c>
      <c r="E1872">
        <f>IF(D1872&lt;&gt;"KEEP","",IF(RIGHT(B1872,10)="@gmail.com","Gmail",IF(OR(RIGHT(B1872,12)="@outlook.com",RIGHT(B1872,12)="@hotmail.com",RIGHT(B1872,9)="@live.com"),"Outlook","Domain")))</f>
        <v/>
      </c>
      <c r="F1872">
        <f>IF(B1872="","",IFERROR(RIGHT(B1872,LEN(B1872)-FIND("@",B1872)),""))</f>
        <v/>
      </c>
      <c r="G1872">
        <f>IF(D1872="KEEP",COUNTIF($D$2:D1872,"KEEP"),"")</f>
        <v/>
      </c>
      <c r="H1872">
        <f>IF(D1872="REMOVE",COUNTIF($D$2:D1872,"REMOVE"),"")</f>
        <v/>
      </c>
      <c r="I1872">
        <f>IF(E1872="Gmail",COUNTIF($E$2:E1872,"Gmail"),"")</f>
        <v/>
      </c>
      <c r="J1872">
        <f>IF(E1872="Outlook",COUNTIF($E$2:E1872,"Outlook"),"")</f>
        <v/>
      </c>
      <c r="K1872">
        <f>IF(E1872="Domain",COUNTIF($E$2:E1872,"Domain"),"")</f>
        <v/>
      </c>
    </row>
    <row r="1873">
      <c r="A1873" s="2" t="n"/>
      <c r="B1873">
        <f>LOWER(TRIM(A1873))</f>
        <v/>
      </c>
      <c r="C1873">
        <f>IF(B1873="","",IFERROR(INDEX('Bad Patterns'!$A$2:$A$120,MATCH(1,INDEX(--ISNUMBER(SEARCH('Bad Patterns'!$A$2:$A$120,B1873)),0),0)),""))</f>
        <v/>
      </c>
      <c r="D1873">
        <f>IF(B1873="","",IF(C1873&lt;&gt;"","REMOVE","KEEP"))</f>
        <v/>
      </c>
      <c r="E1873">
        <f>IF(D1873&lt;&gt;"KEEP","",IF(RIGHT(B1873,10)="@gmail.com","Gmail",IF(OR(RIGHT(B1873,12)="@outlook.com",RIGHT(B1873,12)="@hotmail.com",RIGHT(B1873,9)="@live.com"),"Outlook","Domain")))</f>
        <v/>
      </c>
      <c r="F1873">
        <f>IF(B1873="","",IFERROR(RIGHT(B1873,LEN(B1873)-FIND("@",B1873)),""))</f>
        <v/>
      </c>
      <c r="G1873">
        <f>IF(D1873="KEEP",COUNTIF($D$2:D1873,"KEEP"),"")</f>
        <v/>
      </c>
      <c r="H1873">
        <f>IF(D1873="REMOVE",COUNTIF($D$2:D1873,"REMOVE"),"")</f>
        <v/>
      </c>
      <c r="I1873">
        <f>IF(E1873="Gmail",COUNTIF($E$2:E1873,"Gmail"),"")</f>
        <v/>
      </c>
      <c r="J1873">
        <f>IF(E1873="Outlook",COUNTIF($E$2:E1873,"Outlook"),"")</f>
        <v/>
      </c>
      <c r="K1873">
        <f>IF(E1873="Domain",COUNTIF($E$2:E1873,"Domain"),"")</f>
        <v/>
      </c>
    </row>
    <row r="1874">
      <c r="A1874" s="2" t="n"/>
      <c r="B1874">
        <f>LOWER(TRIM(A1874))</f>
        <v/>
      </c>
      <c r="C1874">
        <f>IF(B1874="","",IFERROR(INDEX('Bad Patterns'!$A$2:$A$120,MATCH(1,INDEX(--ISNUMBER(SEARCH('Bad Patterns'!$A$2:$A$120,B1874)),0),0)),""))</f>
        <v/>
      </c>
      <c r="D1874">
        <f>IF(B1874="","",IF(C1874&lt;&gt;"","REMOVE","KEEP"))</f>
        <v/>
      </c>
      <c r="E1874">
        <f>IF(D1874&lt;&gt;"KEEP","",IF(RIGHT(B1874,10)="@gmail.com","Gmail",IF(OR(RIGHT(B1874,12)="@outlook.com",RIGHT(B1874,12)="@hotmail.com",RIGHT(B1874,9)="@live.com"),"Outlook","Domain")))</f>
        <v/>
      </c>
      <c r="F1874">
        <f>IF(B1874="","",IFERROR(RIGHT(B1874,LEN(B1874)-FIND("@",B1874)),""))</f>
        <v/>
      </c>
      <c r="G1874">
        <f>IF(D1874="KEEP",COUNTIF($D$2:D1874,"KEEP"),"")</f>
        <v/>
      </c>
      <c r="H1874">
        <f>IF(D1874="REMOVE",COUNTIF($D$2:D1874,"REMOVE"),"")</f>
        <v/>
      </c>
      <c r="I1874">
        <f>IF(E1874="Gmail",COUNTIF($E$2:E1874,"Gmail"),"")</f>
        <v/>
      </c>
      <c r="J1874">
        <f>IF(E1874="Outlook",COUNTIF($E$2:E1874,"Outlook"),"")</f>
        <v/>
      </c>
      <c r="K1874">
        <f>IF(E1874="Domain",COUNTIF($E$2:E1874,"Domain"),"")</f>
        <v/>
      </c>
    </row>
    <row r="1875">
      <c r="A1875" s="2" t="n"/>
      <c r="B1875">
        <f>LOWER(TRIM(A1875))</f>
        <v/>
      </c>
      <c r="C1875">
        <f>IF(B1875="","",IFERROR(INDEX('Bad Patterns'!$A$2:$A$120,MATCH(1,INDEX(--ISNUMBER(SEARCH('Bad Patterns'!$A$2:$A$120,B1875)),0),0)),""))</f>
        <v/>
      </c>
      <c r="D1875">
        <f>IF(B1875="","",IF(C1875&lt;&gt;"","REMOVE","KEEP"))</f>
        <v/>
      </c>
      <c r="E1875">
        <f>IF(D1875&lt;&gt;"KEEP","",IF(RIGHT(B1875,10)="@gmail.com","Gmail",IF(OR(RIGHT(B1875,12)="@outlook.com",RIGHT(B1875,12)="@hotmail.com",RIGHT(B1875,9)="@live.com"),"Outlook","Domain")))</f>
        <v/>
      </c>
      <c r="F1875">
        <f>IF(B1875="","",IFERROR(RIGHT(B1875,LEN(B1875)-FIND("@",B1875)),""))</f>
        <v/>
      </c>
      <c r="G1875">
        <f>IF(D1875="KEEP",COUNTIF($D$2:D1875,"KEEP"),"")</f>
        <v/>
      </c>
      <c r="H1875">
        <f>IF(D1875="REMOVE",COUNTIF($D$2:D1875,"REMOVE"),"")</f>
        <v/>
      </c>
      <c r="I1875">
        <f>IF(E1875="Gmail",COUNTIF($E$2:E1875,"Gmail"),"")</f>
        <v/>
      </c>
      <c r="J1875">
        <f>IF(E1875="Outlook",COUNTIF($E$2:E1875,"Outlook"),"")</f>
        <v/>
      </c>
      <c r="K1875">
        <f>IF(E1875="Domain",COUNTIF($E$2:E1875,"Domain"),"")</f>
        <v/>
      </c>
    </row>
    <row r="1876">
      <c r="A1876" s="2" t="n"/>
      <c r="B1876">
        <f>LOWER(TRIM(A1876))</f>
        <v/>
      </c>
      <c r="C1876">
        <f>IF(B1876="","",IFERROR(INDEX('Bad Patterns'!$A$2:$A$120,MATCH(1,INDEX(--ISNUMBER(SEARCH('Bad Patterns'!$A$2:$A$120,B1876)),0),0)),""))</f>
        <v/>
      </c>
      <c r="D1876">
        <f>IF(B1876="","",IF(C1876&lt;&gt;"","REMOVE","KEEP"))</f>
        <v/>
      </c>
      <c r="E1876">
        <f>IF(D1876&lt;&gt;"KEEP","",IF(RIGHT(B1876,10)="@gmail.com","Gmail",IF(OR(RIGHT(B1876,12)="@outlook.com",RIGHT(B1876,12)="@hotmail.com",RIGHT(B1876,9)="@live.com"),"Outlook","Domain")))</f>
        <v/>
      </c>
      <c r="F1876">
        <f>IF(B1876="","",IFERROR(RIGHT(B1876,LEN(B1876)-FIND("@",B1876)),""))</f>
        <v/>
      </c>
      <c r="G1876">
        <f>IF(D1876="KEEP",COUNTIF($D$2:D1876,"KEEP"),"")</f>
        <v/>
      </c>
      <c r="H1876">
        <f>IF(D1876="REMOVE",COUNTIF($D$2:D1876,"REMOVE"),"")</f>
        <v/>
      </c>
      <c r="I1876">
        <f>IF(E1876="Gmail",COUNTIF($E$2:E1876,"Gmail"),"")</f>
        <v/>
      </c>
      <c r="J1876">
        <f>IF(E1876="Outlook",COUNTIF($E$2:E1876,"Outlook"),"")</f>
        <v/>
      </c>
      <c r="K1876">
        <f>IF(E1876="Domain",COUNTIF($E$2:E1876,"Domain"),"")</f>
        <v/>
      </c>
    </row>
    <row r="1877">
      <c r="A1877" s="2" t="n"/>
      <c r="B1877">
        <f>LOWER(TRIM(A1877))</f>
        <v/>
      </c>
      <c r="C1877">
        <f>IF(B1877="","",IFERROR(INDEX('Bad Patterns'!$A$2:$A$120,MATCH(1,INDEX(--ISNUMBER(SEARCH('Bad Patterns'!$A$2:$A$120,B1877)),0),0)),""))</f>
        <v/>
      </c>
      <c r="D1877">
        <f>IF(B1877="","",IF(C1877&lt;&gt;"","REMOVE","KEEP"))</f>
        <v/>
      </c>
      <c r="E1877">
        <f>IF(D1877&lt;&gt;"KEEP","",IF(RIGHT(B1877,10)="@gmail.com","Gmail",IF(OR(RIGHT(B1877,12)="@outlook.com",RIGHT(B1877,12)="@hotmail.com",RIGHT(B1877,9)="@live.com"),"Outlook","Domain")))</f>
        <v/>
      </c>
      <c r="F1877">
        <f>IF(B1877="","",IFERROR(RIGHT(B1877,LEN(B1877)-FIND("@",B1877)),""))</f>
        <v/>
      </c>
      <c r="G1877">
        <f>IF(D1877="KEEP",COUNTIF($D$2:D1877,"KEEP"),"")</f>
        <v/>
      </c>
      <c r="H1877">
        <f>IF(D1877="REMOVE",COUNTIF($D$2:D1877,"REMOVE"),"")</f>
        <v/>
      </c>
      <c r="I1877">
        <f>IF(E1877="Gmail",COUNTIF($E$2:E1877,"Gmail"),"")</f>
        <v/>
      </c>
      <c r="J1877">
        <f>IF(E1877="Outlook",COUNTIF($E$2:E1877,"Outlook"),"")</f>
        <v/>
      </c>
      <c r="K1877">
        <f>IF(E1877="Domain",COUNTIF($E$2:E1877,"Domain"),"")</f>
        <v/>
      </c>
    </row>
    <row r="1878">
      <c r="A1878" s="2" t="n"/>
      <c r="B1878">
        <f>LOWER(TRIM(A1878))</f>
        <v/>
      </c>
      <c r="C1878">
        <f>IF(B1878="","",IFERROR(INDEX('Bad Patterns'!$A$2:$A$120,MATCH(1,INDEX(--ISNUMBER(SEARCH('Bad Patterns'!$A$2:$A$120,B1878)),0),0)),""))</f>
        <v/>
      </c>
      <c r="D1878">
        <f>IF(B1878="","",IF(C1878&lt;&gt;"","REMOVE","KEEP"))</f>
        <v/>
      </c>
      <c r="E1878">
        <f>IF(D1878&lt;&gt;"KEEP","",IF(RIGHT(B1878,10)="@gmail.com","Gmail",IF(OR(RIGHT(B1878,12)="@outlook.com",RIGHT(B1878,12)="@hotmail.com",RIGHT(B1878,9)="@live.com"),"Outlook","Domain")))</f>
        <v/>
      </c>
      <c r="F1878">
        <f>IF(B1878="","",IFERROR(RIGHT(B1878,LEN(B1878)-FIND("@",B1878)),""))</f>
        <v/>
      </c>
      <c r="G1878">
        <f>IF(D1878="KEEP",COUNTIF($D$2:D1878,"KEEP"),"")</f>
        <v/>
      </c>
      <c r="H1878">
        <f>IF(D1878="REMOVE",COUNTIF($D$2:D1878,"REMOVE"),"")</f>
        <v/>
      </c>
      <c r="I1878">
        <f>IF(E1878="Gmail",COUNTIF($E$2:E1878,"Gmail"),"")</f>
        <v/>
      </c>
      <c r="J1878">
        <f>IF(E1878="Outlook",COUNTIF($E$2:E1878,"Outlook"),"")</f>
        <v/>
      </c>
      <c r="K1878">
        <f>IF(E1878="Domain",COUNTIF($E$2:E1878,"Domain"),"")</f>
        <v/>
      </c>
    </row>
    <row r="1879">
      <c r="A1879" s="2" t="n"/>
      <c r="B1879">
        <f>LOWER(TRIM(A1879))</f>
        <v/>
      </c>
      <c r="C1879">
        <f>IF(B1879="","",IFERROR(INDEX('Bad Patterns'!$A$2:$A$120,MATCH(1,INDEX(--ISNUMBER(SEARCH('Bad Patterns'!$A$2:$A$120,B1879)),0),0)),""))</f>
        <v/>
      </c>
      <c r="D1879">
        <f>IF(B1879="","",IF(C1879&lt;&gt;"","REMOVE","KEEP"))</f>
        <v/>
      </c>
      <c r="E1879">
        <f>IF(D1879&lt;&gt;"KEEP","",IF(RIGHT(B1879,10)="@gmail.com","Gmail",IF(OR(RIGHT(B1879,12)="@outlook.com",RIGHT(B1879,12)="@hotmail.com",RIGHT(B1879,9)="@live.com"),"Outlook","Domain")))</f>
        <v/>
      </c>
      <c r="F1879">
        <f>IF(B1879="","",IFERROR(RIGHT(B1879,LEN(B1879)-FIND("@",B1879)),""))</f>
        <v/>
      </c>
      <c r="G1879">
        <f>IF(D1879="KEEP",COUNTIF($D$2:D1879,"KEEP"),"")</f>
        <v/>
      </c>
      <c r="H1879">
        <f>IF(D1879="REMOVE",COUNTIF($D$2:D1879,"REMOVE"),"")</f>
        <v/>
      </c>
      <c r="I1879">
        <f>IF(E1879="Gmail",COUNTIF($E$2:E1879,"Gmail"),"")</f>
        <v/>
      </c>
      <c r="J1879">
        <f>IF(E1879="Outlook",COUNTIF($E$2:E1879,"Outlook"),"")</f>
        <v/>
      </c>
      <c r="K1879">
        <f>IF(E1879="Domain",COUNTIF($E$2:E1879,"Domain"),"")</f>
        <v/>
      </c>
    </row>
    <row r="1880">
      <c r="A1880" s="2" t="n"/>
      <c r="B1880">
        <f>LOWER(TRIM(A1880))</f>
        <v/>
      </c>
      <c r="C1880">
        <f>IF(B1880="","",IFERROR(INDEX('Bad Patterns'!$A$2:$A$120,MATCH(1,INDEX(--ISNUMBER(SEARCH('Bad Patterns'!$A$2:$A$120,B1880)),0),0)),""))</f>
        <v/>
      </c>
      <c r="D1880">
        <f>IF(B1880="","",IF(C1880&lt;&gt;"","REMOVE","KEEP"))</f>
        <v/>
      </c>
      <c r="E1880">
        <f>IF(D1880&lt;&gt;"KEEP","",IF(RIGHT(B1880,10)="@gmail.com","Gmail",IF(OR(RIGHT(B1880,12)="@outlook.com",RIGHT(B1880,12)="@hotmail.com",RIGHT(B1880,9)="@live.com"),"Outlook","Domain")))</f>
        <v/>
      </c>
      <c r="F1880">
        <f>IF(B1880="","",IFERROR(RIGHT(B1880,LEN(B1880)-FIND("@",B1880)),""))</f>
        <v/>
      </c>
      <c r="G1880">
        <f>IF(D1880="KEEP",COUNTIF($D$2:D1880,"KEEP"),"")</f>
        <v/>
      </c>
      <c r="H1880">
        <f>IF(D1880="REMOVE",COUNTIF($D$2:D1880,"REMOVE"),"")</f>
        <v/>
      </c>
      <c r="I1880">
        <f>IF(E1880="Gmail",COUNTIF($E$2:E1880,"Gmail"),"")</f>
        <v/>
      </c>
      <c r="J1880">
        <f>IF(E1880="Outlook",COUNTIF($E$2:E1880,"Outlook"),"")</f>
        <v/>
      </c>
      <c r="K1880">
        <f>IF(E1880="Domain",COUNTIF($E$2:E1880,"Domain"),"")</f>
        <v/>
      </c>
    </row>
    <row r="1881">
      <c r="A1881" s="2" t="n"/>
      <c r="B1881">
        <f>LOWER(TRIM(A1881))</f>
        <v/>
      </c>
      <c r="C1881">
        <f>IF(B1881="","",IFERROR(INDEX('Bad Patterns'!$A$2:$A$120,MATCH(1,INDEX(--ISNUMBER(SEARCH('Bad Patterns'!$A$2:$A$120,B1881)),0),0)),""))</f>
        <v/>
      </c>
      <c r="D1881">
        <f>IF(B1881="","",IF(C1881&lt;&gt;"","REMOVE","KEEP"))</f>
        <v/>
      </c>
      <c r="E1881">
        <f>IF(D1881&lt;&gt;"KEEP","",IF(RIGHT(B1881,10)="@gmail.com","Gmail",IF(OR(RIGHT(B1881,12)="@outlook.com",RIGHT(B1881,12)="@hotmail.com",RIGHT(B1881,9)="@live.com"),"Outlook","Domain")))</f>
        <v/>
      </c>
      <c r="F1881">
        <f>IF(B1881="","",IFERROR(RIGHT(B1881,LEN(B1881)-FIND("@",B1881)),""))</f>
        <v/>
      </c>
      <c r="G1881">
        <f>IF(D1881="KEEP",COUNTIF($D$2:D1881,"KEEP"),"")</f>
        <v/>
      </c>
      <c r="H1881">
        <f>IF(D1881="REMOVE",COUNTIF($D$2:D1881,"REMOVE"),"")</f>
        <v/>
      </c>
      <c r="I1881">
        <f>IF(E1881="Gmail",COUNTIF($E$2:E1881,"Gmail"),"")</f>
        <v/>
      </c>
      <c r="J1881">
        <f>IF(E1881="Outlook",COUNTIF($E$2:E1881,"Outlook"),"")</f>
        <v/>
      </c>
      <c r="K1881">
        <f>IF(E1881="Domain",COUNTIF($E$2:E1881,"Domain"),"")</f>
        <v/>
      </c>
    </row>
    <row r="1882">
      <c r="A1882" s="2" t="n"/>
      <c r="B1882">
        <f>LOWER(TRIM(A1882))</f>
        <v/>
      </c>
      <c r="C1882">
        <f>IF(B1882="","",IFERROR(INDEX('Bad Patterns'!$A$2:$A$120,MATCH(1,INDEX(--ISNUMBER(SEARCH('Bad Patterns'!$A$2:$A$120,B1882)),0),0)),""))</f>
        <v/>
      </c>
      <c r="D1882">
        <f>IF(B1882="","",IF(C1882&lt;&gt;"","REMOVE","KEEP"))</f>
        <v/>
      </c>
      <c r="E1882">
        <f>IF(D1882&lt;&gt;"KEEP","",IF(RIGHT(B1882,10)="@gmail.com","Gmail",IF(OR(RIGHT(B1882,12)="@outlook.com",RIGHT(B1882,12)="@hotmail.com",RIGHT(B1882,9)="@live.com"),"Outlook","Domain")))</f>
        <v/>
      </c>
      <c r="F1882">
        <f>IF(B1882="","",IFERROR(RIGHT(B1882,LEN(B1882)-FIND("@",B1882)),""))</f>
        <v/>
      </c>
      <c r="G1882">
        <f>IF(D1882="KEEP",COUNTIF($D$2:D1882,"KEEP"),"")</f>
        <v/>
      </c>
      <c r="H1882">
        <f>IF(D1882="REMOVE",COUNTIF($D$2:D1882,"REMOVE"),"")</f>
        <v/>
      </c>
      <c r="I1882">
        <f>IF(E1882="Gmail",COUNTIF($E$2:E1882,"Gmail"),"")</f>
        <v/>
      </c>
      <c r="J1882">
        <f>IF(E1882="Outlook",COUNTIF($E$2:E1882,"Outlook"),"")</f>
        <v/>
      </c>
      <c r="K1882">
        <f>IF(E1882="Domain",COUNTIF($E$2:E1882,"Domain"),"")</f>
        <v/>
      </c>
    </row>
    <row r="1883">
      <c r="A1883" s="2" t="n"/>
      <c r="B1883">
        <f>LOWER(TRIM(A1883))</f>
        <v/>
      </c>
      <c r="C1883">
        <f>IF(B1883="","",IFERROR(INDEX('Bad Patterns'!$A$2:$A$120,MATCH(1,INDEX(--ISNUMBER(SEARCH('Bad Patterns'!$A$2:$A$120,B1883)),0),0)),""))</f>
        <v/>
      </c>
      <c r="D1883">
        <f>IF(B1883="","",IF(C1883&lt;&gt;"","REMOVE","KEEP"))</f>
        <v/>
      </c>
      <c r="E1883">
        <f>IF(D1883&lt;&gt;"KEEP","",IF(RIGHT(B1883,10)="@gmail.com","Gmail",IF(OR(RIGHT(B1883,12)="@outlook.com",RIGHT(B1883,12)="@hotmail.com",RIGHT(B1883,9)="@live.com"),"Outlook","Domain")))</f>
        <v/>
      </c>
      <c r="F1883">
        <f>IF(B1883="","",IFERROR(RIGHT(B1883,LEN(B1883)-FIND("@",B1883)),""))</f>
        <v/>
      </c>
      <c r="G1883">
        <f>IF(D1883="KEEP",COUNTIF($D$2:D1883,"KEEP"),"")</f>
        <v/>
      </c>
      <c r="H1883">
        <f>IF(D1883="REMOVE",COUNTIF($D$2:D1883,"REMOVE"),"")</f>
        <v/>
      </c>
      <c r="I1883">
        <f>IF(E1883="Gmail",COUNTIF($E$2:E1883,"Gmail"),"")</f>
        <v/>
      </c>
      <c r="J1883">
        <f>IF(E1883="Outlook",COUNTIF($E$2:E1883,"Outlook"),"")</f>
        <v/>
      </c>
      <c r="K1883">
        <f>IF(E1883="Domain",COUNTIF($E$2:E1883,"Domain"),"")</f>
        <v/>
      </c>
    </row>
    <row r="1884">
      <c r="A1884" s="2" t="n"/>
      <c r="B1884">
        <f>LOWER(TRIM(A1884))</f>
        <v/>
      </c>
      <c r="C1884">
        <f>IF(B1884="","",IFERROR(INDEX('Bad Patterns'!$A$2:$A$120,MATCH(1,INDEX(--ISNUMBER(SEARCH('Bad Patterns'!$A$2:$A$120,B1884)),0),0)),""))</f>
        <v/>
      </c>
      <c r="D1884">
        <f>IF(B1884="","",IF(C1884&lt;&gt;"","REMOVE","KEEP"))</f>
        <v/>
      </c>
      <c r="E1884">
        <f>IF(D1884&lt;&gt;"KEEP","",IF(RIGHT(B1884,10)="@gmail.com","Gmail",IF(OR(RIGHT(B1884,12)="@outlook.com",RIGHT(B1884,12)="@hotmail.com",RIGHT(B1884,9)="@live.com"),"Outlook","Domain")))</f>
        <v/>
      </c>
      <c r="F1884">
        <f>IF(B1884="","",IFERROR(RIGHT(B1884,LEN(B1884)-FIND("@",B1884)),""))</f>
        <v/>
      </c>
      <c r="G1884">
        <f>IF(D1884="KEEP",COUNTIF($D$2:D1884,"KEEP"),"")</f>
        <v/>
      </c>
      <c r="H1884">
        <f>IF(D1884="REMOVE",COUNTIF($D$2:D1884,"REMOVE"),"")</f>
        <v/>
      </c>
      <c r="I1884">
        <f>IF(E1884="Gmail",COUNTIF($E$2:E1884,"Gmail"),"")</f>
        <v/>
      </c>
      <c r="J1884">
        <f>IF(E1884="Outlook",COUNTIF($E$2:E1884,"Outlook"),"")</f>
        <v/>
      </c>
      <c r="K1884">
        <f>IF(E1884="Domain",COUNTIF($E$2:E1884,"Domain"),"")</f>
        <v/>
      </c>
    </row>
    <row r="1885">
      <c r="A1885" s="2" t="n"/>
      <c r="B1885">
        <f>LOWER(TRIM(A1885))</f>
        <v/>
      </c>
      <c r="C1885">
        <f>IF(B1885="","",IFERROR(INDEX('Bad Patterns'!$A$2:$A$120,MATCH(1,INDEX(--ISNUMBER(SEARCH('Bad Patterns'!$A$2:$A$120,B1885)),0),0)),""))</f>
        <v/>
      </c>
      <c r="D1885">
        <f>IF(B1885="","",IF(C1885&lt;&gt;"","REMOVE","KEEP"))</f>
        <v/>
      </c>
      <c r="E1885">
        <f>IF(D1885&lt;&gt;"KEEP","",IF(RIGHT(B1885,10)="@gmail.com","Gmail",IF(OR(RIGHT(B1885,12)="@outlook.com",RIGHT(B1885,12)="@hotmail.com",RIGHT(B1885,9)="@live.com"),"Outlook","Domain")))</f>
        <v/>
      </c>
      <c r="F1885">
        <f>IF(B1885="","",IFERROR(RIGHT(B1885,LEN(B1885)-FIND("@",B1885)),""))</f>
        <v/>
      </c>
      <c r="G1885">
        <f>IF(D1885="KEEP",COUNTIF($D$2:D1885,"KEEP"),"")</f>
        <v/>
      </c>
      <c r="H1885">
        <f>IF(D1885="REMOVE",COUNTIF($D$2:D1885,"REMOVE"),"")</f>
        <v/>
      </c>
      <c r="I1885">
        <f>IF(E1885="Gmail",COUNTIF($E$2:E1885,"Gmail"),"")</f>
        <v/>
      </c>
      <c r="J1885">
        <f>IF(E1885="Outlook",COUNTIF($E$2:E1885,"Outlook"),"")</f>
        <v/>
      </c>
      <c r="K1885">
        <f>IF(E1885="Domain",COUNTIF($E$2:E1885,"Domain"),"")</f>
        <v/>
      </c>
    </row>
    <row r="1886">
      <c r="A1886" s="2" t="n"/>
      <c r="B1886">
        <f>LOWER(TRIM(A1886))</f>
        <v/>
      </c>
      <c r="C1886">
        <f>IF(B1886="","",IFERROR(INDEX('Bad Patterns'!$A$2:$A$120,MATCH(1,INDEX(--ISNUMBER(SEARCH('Bad Patterns'!$A$2:$A$120,B1886)),0),0)),""))</f>
        <v/>
      </c>
      <c r="D1886">
        <f>IF(B1886="","",IF(C1886&lt;&gt;"","REMOVE","KEEP"))</f>
        <v/>
      </c>
      <c r="E1886">
        <f>IF(D1886&lt;&gt;"KEEP","",IF(RIGHT(B1886,10)="@gmail.com","Gmail",IF(OR(RIGHT(B1886,12)="@outlook.com",RIGHT(B1886,12)="@hotmail.com",RIGHT(B1886,9)="@live.com"),"Outlook","Domain")))</f>
        <v/>
      </c>
      <c r="F1886">
        <f>IF(B1886="","",IFERROR(RIGHT(B1886,LEN(B1886)-FIND("@",B1886)),""))</f>
        <v/>
      </c>
      <c r="G1886">
        <f>IF(D1886="KEEP",COUNTIF($D$2:D1886,"KEEP"),"")</f>
        <v/>
      </c>
      <c r="H1886">
        <f>IF(D1886="REMOVE",COUNTIF($D$2:D1886,"REMOVE"),"")</f>
        <v/>
      </c>
      <c r="I1886">
        <f>IF(E1886="Gmail",COUNTIF($E$2:E1886,"Gmail"),"")</f>
        <v/>
      </c>
      <c r="J1886">
        <f>IF(E1886="Outlook",COUNTIF($E$2:E1886,"Outlook"),"")</f>
        <v/>
      </c>
      <c r="K1886">
        <f>IF(E1886="Domain",COUNTIF($E$2:E1886,"Domain"),"")</f>
        <v/>
      </c>
    </row>
    <row r="1887">
      <c r="A1887" s="2" t="n"/>
      <c r="B1887">
        <f>LOWER(TRIM(A1887))</f>
        <v/>
      </c>
      <c r="C1887">
        <f>IF(B1887="","",IFERROR(INDEX('Bad Patterns'!$A$2:$A$120,MATCH(1,INDEX(--ISNUMBER(SEARCH('Bad Patterns'!$A$2:$A$120,B1887)),0),0)),""))</f>
        <v/>
      </c>
      <c r="D1887">
        <f>IF(B1887="","",IF(C1887&lt;&gt;"","REMOVE","KEEP"))</f>
        <v/>
      </c>
      <c r="E1887">
        <f>IF(D1887&lt;&gt;"KEEP","",IF(RIGHT(B1887,10)="@gmail.com","Gmail",IF(OR(RIGHT(B1887,12)="@outlook.com",RIGHT(B1887,12)="@hotmail.com",RIGHT(B1887,9)="@live.com"),"Outlook","Domain")))</f>
        <v/>
      </c>
      <c r="F1887">
        <f>IF(B1887="","",IFERROR(RIGHT(B1887,LEN(B1887)-FIND("@",B1887)),""))</f>
        <v/>
      </c>
      <c r="G1887">
        <f>IF(D1887="KEEP",COUNTIF($D$2:D1887,"KEEP"),"")</f>
        <v/>
      </c>
      <c r="H1887">
        <f>IF(D1887="REMOVE",COUNTIF($D$2:D1887,"REMOVE"),"")</f>
        <v/>
      </c>
      <c r="I1887">
        <f>IF(E1887="Gmail",COUNTIF($E$2:E1887,"Gmail"),"")</f>
        <v/>
      </c>
      <c r="J1887">
        <f>IF(E1887="Outlook",COUNTIF($E$2:E1887,"Outlook"),"")</f>
        <v/>
      </c>
      <c r="K1887">
        <f>IF(E1887="Domain",COUNTIF($E$2:E1887,"Domain"),"")</f>
        <v/>
      </c>
    </row>
    <row r="1888">
      <c r="A1888" s="2" t="n"/>
      <c r="B1888">
        <f>LOWER(TRIM(A1888))</f>
        <v/>
      </c>
      <c r="C1888">
        <f>IF(B1888="","",IFERROR(INDEX('Bad Patterns'!$A$2:$A$120,MATCH(1,INDEX(--ISNUMBER(SEARCH('Bad Patterns'!$A$2:$A$120,B1888)),0),0)),""))</f>
        <v/>
      </c>
      <c r="D1888">
        <f>IF(B1888="","",IF(C1888&lt;&gt;"","REMOVE","KEEP"))</f>
        <v/>
      </c>
      <c r="E1888">
        <f>IF(D1888&lt;&gt;"KEEP","",IF(RIGHT(B1888,10)="@gmail.com","Gmail",IF(OR(RIGHT(B1888,12)="@outlook.com",RIGHT(B1888,12)="@hotmail.com",RIGHT(B1888,9)="@live.com"),"Outlook","Domain")))</f>
        <v/>
      </c>
      <c r="F1888">
        <f>IF(B1888="","",IFERROR(RIGHT(B1888,LEN(B1888)-FIND("@",B1888)),""))</f>
        <v/>
      </c>
      <c r="G1888">
        <f>IF(D1888="KEEP",COUNTIF($D$2:D1888,"KEEP"),"")</f>
        <v/>
      </c>
      <c r="H1888">
        <f>IF(D1888="REMOVE",COUNTIF($D$2:D1888,"REMOVE"),"")</f>
        <v/>
      </c>
      <c r="I1888">
        <f>IF(E1888="Gmail",COUNTIF($E$2:E1888,"Gmail"),"")</f>
        <v/>
      </c>
      <c r="J1888">
        <f>IF(E1888="Outlook",COUNTIF($E$2:E1888,"Outlook"),"")</f>
        <v/>
      </c>
      <c r="K1888">
        <f>IF(E1888="Domain",COUNTIF($E$2:E1888,"Domain"),"")</f>
        <v/>
      </c>
    </row>
    <row r="1889">
      <c r="A1889" s="2" t="n"/>
      <c r="B1889">
        <f>LOWER(TRIM(A1889))</f>
        <v/>
      </c>
      <c r="C1889">
        <f>IF(B1889="","",IFERROR(INDEX('Bad Patterns'!$A$2:$A$120,MATCH(1,INDEX(--ISNUMBER(SEARCH('Bad Patterns'!$A$2:$A$120,B1889)),0),0)),""))</f>
        <v/>
      </c>
      <c r="D1889">
        <f>IF(B1889="","",IF(C1889&lt;&gt;"","REMOVE","KEEP"))</f>
        <v/>
      </c>
      <c r="E1889">
        <f>IF(D1889&lt;&gt;"KEEP","",IF(RIGHT(B1889,10)="@gmail.com","Gmail",IF(OR(RIGHT(B1889,12)="@outlook.com",RIGHT(B1889,12)="@hotmail.com",RIGHT(B1889,9)="@live.com"),"Outlook","Domain")))</f>
        <v/>
      </c>
      <c r="F1889">
        <f>IF(B1889="","",IFERROR(RIGHT(B1889,LEN(B1889)-FIND("@",B1889)),""))</f>
        <v/>
      </c>
      <c r="G1889">
        <f>IF(D1889="KEEP",COUNTIF($D$2:D1889,"KEEP"),"")</f>
        <v/>
      </c>
      <c r="H1889">
        <f>IF(D1889="REMOVE",COUNTIF($D$2:D1889,"REMOVE"),"")</f>
        <v/>
      </c>
      <c r="I1889">
        <f>IF(E1889="Gmail",COUNTIF($E$2:E1889,"Gmail"),"")</f>
        <v/>
      </c>
      <c r="J1889">
        <f>IF(E1889="Outlook",COUNTIF($E$2:E1889,"Outlook"),"")</f>
        <v/>
      </c>
      <c r="K1889">
        <f>IF(E1889="Domain",COUNTIF($E$2:E1889,"Domain"),"")</f>
        <v/>
      </c>
    </row>
    <row r="1890">
      <c r="A1890" s="2" t="n"/>
      <c r="B1890">
        <f>LOWER(TRIM(A1890))</f>
        <v/>
      </c>
      <c r="C1890">
        <f>IF(B1890="","",IFERROR(INDEX('Bad Patterns'!$A$2:$A$120,MATCH(1,INDEX(--ISNUMBER(SEARCH('Bad Patterns'!$A$2:$A$120,B1890)),0),0)),""))</f>
        <v/>
      </c>
      <c r="D1890">
        <f>IF(B1890="","",IF(C1890&lt;&gt;"","REMOVE","KEEP"))</f>
        <v/>
      </c>
      <c r="E1890">
        <f>IF(D1890&lt;&gt;"KEEP","",IF(RIGHT(B1890,10)="@gmail.com","Gmail",IF(OR(RIGHT(B1890,12)="@outlook.com",RIGHT(B1890,12)="@hotmail.com",RIGHT(B1890,9)="@live.com"),"Outlook","Domain")))</f>
        <v/>
      </c>
      <c r="F1890">
        <f>IF(B1890="","",IFERROR(RIGHT(B1890,LEN(B1890)-FIND("@",B1890)),""))</f>
        <v/>
      </c>
      <c r="G1890">
        <f>IF(D1890="KEEP",COUNTIF($D$2:D1890,"KEEP"),"")</f>
        <v/>
      </c>
      <c r="H1890">
        <f>IF(D1890="REMOVE",COUNTIF($D$2:D1890,"REMOVE"),"")</f>
        <v/>
      </c>
      <c r="I1890">
        <f>IF(E1890="Gmail",COUNTIF($E$2:E1890,"Gmail"),"")</f>
        <v/>
      </c>
      <c r="J1890">
        <f>IF(E1890="Outlook",COUNTIF($E$2:E1890,"Outlook"),"")</f>
        <v/>
      </c>
      <c r="K1890">
        <f>IF(E1890="Domain",COUNTIF($E$2:E1890,"Domain"),"")</f>
        <v/>
      </c>
    </row>
    <row r="1891">
      <c r="A1891" s="2" t="n"/>
      <c r="B1891">
        <f>LOWER(TRIM(A1891))</f>
        <v/>
      </c>
      <c r="C1891">
        <f>IF(B1891="","",IFERROR(INDEX('Bad Patterns'!$A$2:$A$120,MATCH(1,INDEX(--ISNUMBER(SEARCH('Bad Patterns'!$A$2:$A$120,B1891)),0),0)),""))</f>
        <v/>
      </c>
      <c r="D1891">
        <f>IF(B1891="","",IF(C1891&lt;&gt;"","REMOVE","KEEP"))</f>
        <v/>
      </c>
      <c r="E1891">
        <f>IF(D1891&lt;&gt;"KEEP","",IF(RIGHT(B1891,10)="@gmail.com","Gmail",IF(OR(RIGHT(B1891,12)="@outlook.com",RIGHT(B1891,12)="@hotmail.com",RIGHT(B1891,9)="@live.com"),"Outlook","Domain")))</f>
        <v/>
      </c>
      <c r="F1891">
        <f>IF(B1891="","",IFERROR(RIGHT(B1891,LEN(B1891)-FIND("@",B1891)),""))</f>
        <v/>
      </c>
      <c r="G1891">
        <f>IF(D1891="KEEP",COUNTIF($D$2:D1891,"KEEP"),"")</f>
        <v/>
      </c>
      <c r="H1891">
        <f>IF(D1891="REMOVE",COUNTIF($D$2:D1891,"REMOVE"),"")</f>
        <v/>
      </c>
      <c r="I1891">
        <f>IF(E1891="Gmail",COUNTIF($E$2:E1891,"Gmail"),"")</f>
        <v/>
      </c>
      <c r="J1891">
        <f>IF(E1891="Outlook",COUNTIF($E$2:E1891,"Outlook"),"")</f>
        <v/>
      </c>
      <c r="K1891">
        <f>IF(E1891="Domain",COUNTIF($E$2:E1891,"Domain"),"")</f>
        <v/>
      </c>
    </row>
    <row r="1892">
      <c r="A1892" s="2" t="n"/>
      <c r="B1892">
        <f>LOWER(TRIM(A1892))</f>
        <v/>
      </c>
      <c r="C1892">
        <f>IF(B1892="","",IFERROR(INDEX('Bad Patterns'!$A$2:$A$120,MATCH(1,INDEX(--ISNUMBER(SEARCH('Bad Patterns'!$A$2:$A$120,B1892)),0),0)),""))</f>
        <v/>
      </c>
      <c r="D1892">
        <f>IF(B1892="","",IF(C1892&lt;&gt;"","REMOVE","KEEP"))</f>
        <v/>
      </c>
      <c r="E1892">
        <f>IF(D1892&lt;&gt;"KEEP","",IF(RIGHT(B1892,10)="@gmail.com","Gmail",IF(OR(RIGHT(B1892,12)="@outlook.com",RIGHT(B1892,12)="@hotmail.com",RIGHT(B1892,9)="@live.com"),"Outlook","Domain")))</f>
        <v/>
      </c>
      <c r="F1892">
        <f>IF(B1892="","",IFERROR(RIGHT(B1892,LEN(B1892)-FIND("@",B1892)),""))</f>
        <v/>
      </c>
      <c r="G1892">
        <f>IF(D1892="KEEP",COUNTIF($D$2:D1892,"KEEP"),"")</f>
        <v/>
      </c>
      <c r="H1892">
        <f>IF(D1892="REMOVE",COUNTIF($D$2:D1892,"REMOVE"),"")</f>
        <v/>
      </c>
      <c r="I1892">
        <f>IF(E1892="Gmail",COUNTIF($E$2:E1892,"Gmail"),"")</f>
        <v/>
      </c>
      <c r="J1892">
        <f>IF(E1892="Outlook",COUNTIF($E$2:E1892,"Outlook"),"")</f>
        <v/>
      </c>
      <c r="K1892">
        <f>IF(E1892="Domain",COUNTIF($E$2:E1892,"Domain"),"")</f>
        <v/>
      </c>
    </row>
    <row r="1893">
      <c r="A1893" s="2" t="n"/>
      <c r="B1893">
        <f>LOWER(TRIM(A1893))</f>
        <v/>
      </c>
      <c r="C1893">
        <f>IF(B1893="","",IFERROR(INDEX('Bad Patterns'!$A$2:$A$120,MATCH(1,INDEX(--ISNUMBER(SEARCH('Bad Patterns'!$A$2:$A$120,B1893)),0),0)),""))</f>
        <v/>
      </c>
      <c r="D1893">
        <f>IF(B1893="","",IF(C1893&lt;&gt;"","REMOVE","KEEP"))</f>
        <v/>
      </c>
      <c r="E1893">
        <f>IF(D1893&lt;&gt;"KEEP","",IF(RIGHT(B1893,10)="@gmail.com","Gmail",IF(OR(RIGHT(B1893,12)="@outlook.com",RIGHT(B1893,12)="@hotmail.com",RIGHT(B1893,9)="@live.com"),"Outlook","Domain")))</f>
        <v/>
      </c>
      <c r="F1893">
        <f>IF(B1893="","",IFERROR(RIGHT(B1893,LEN(B1893)-FIND("@",B1893)),""))</f>
        <v/>
      </c>
      <c r="G1893">
        <f>IF(D1893="KEEP",COUNTIF($D$2:D1893,"KEEP"),"")</f>
        <v/>
      </c>
      <c r="H1893">
        <f>IF(D1893="REMOVE",COUNTIF($D$2:D1893,"REMOVE"),"")</f>
        <v/>
      </c>
      <c r="I1893">
        <f>IF(E1893="Gmail",COUNTIF($E$2:E1893,"Gmail"),"")</f>
        <v/>
      </c>
      <c r="J1893">
        <f>IF(E1893="Outlook",COUNTIF($E$2:E1893,"Outlook"),"")</f>
        <v/>
      </c>
      <c r="K1893">
        <f>IF(E1893="Domain",COUNTIF($E$2:E1893,"Domain"),"")</f>
        <v/>
      </c>
    </row>
    <row r="1894">
      <c r="A1894" s="2" t="n"/>
      <c r="B1894">
        <f>LOWER(TRIM(A1894))</f>
        <v/>
      </c>
      <c r="C1894">
        <f>IF(B1894="","",IFERROR(INDEX('Bad Patterns'!$A$2:$A$120,MATCH(1,INDEX(--ISNUMBER(SEARCH('Bad Patterns'!$A$2:$A$120,B1894)),0),0)),""))</f>
        <v/>
      </c>
      <c r="D1894">
        <f>IF(B1894="","",IF(C1894&lt;&gt;"","REMOVE","KEEP"))</f>
        <v/>
      </c>
      <c r="E1894">
        <f>IF(D1894&lt;&gt;"KEEP","",IF(RIGHT(B1894,10)="@gmail.com","Gmail",IF(OR(RIGHT(B1894,12)="@outlook.com",RIGHT(B1894,12)="@hotmail.com",RIGHT(B1894,9)="@live.com"),"Outlook","Domain")))</f>
        <v/>
      </c>
      <c r="F1894">
        <f>IF(B1894="","",IFERROR(RIGHT(B1894,LEN(B1894)-FIND("@",B1894)),""))</f>
        <v/>
      </c>
      <c r="G1894">
        <f>IF(D1894="KEEP",COUNTIF($D$2:D1894,"KEEP"),"")</f>
        <v/>
      </c>
      <c r="H1894">
        <f>IF(D1894="REMOVE",COUNTIF($D$2:D1894,"REMOVE"),"")</f>
        <v/>
      </c>
      <c r="I1894">
        <f>IF(E1894="Gmail",COUNTIF($E$2:E1894,"Gmail"),"")</f>
        <v/>
      </c>
      <c r="J1894">
        <f>IF(E1894="Outlook",COUNTIF($E$2:E1894,"Outlook"),"")</f>
        <v/>
      </c>
      <c r="K1894">
        <f>IF(E1894="Domain",COUNTIF($E$2:E1894,"Domain"),"")</f>
        <v/>
      </c>
    </row>
    <row r="1895">
      <c r="A1895" s="2" t="n"/>
      <c r="B1895">
        <f>LOWER(TRIM(A1895))</f>
        <v/>
      </c>
      <c r="C1895">
        <f>IF(B1895="","",IFERROR(INDEX('Bad Patterns'!$A$2:$A$120,MATCH(1,INDEX(--ISNUMBER(SEARCH('Bad Patterns'!$A$2:$A$120,B1895)),0),0)),""))</f>
        <v/>
      </c>
      <c r="D1895">
        <f>IF(B1895="","",IF(C1895&lt;&gt;"","REMOVE","KEEP"))</f>
        <v/>
      </c>
      <c r="E1895">
        <f>IF(D1895&lt;&gt;"KEEP","",IF(RIGHT(B1895,10)="@gmail.com","Gmail",IF(OR(RIGHT(B1895,12)="@outlook.com",RIGHT(B1895,12)="@hotmail.com",RIGHT(B1895,9)="@live.com"),"Outlook","Domain")))</f>
        <v/>
      </c>
      <c r="F1895">
        <f>IF(B1895="","",IFERROR(RIGHT(B1895,LEN(B1895)-FIND("@",B1895)),""))</f>
        <v/>
      </c>
      <c r="G1895">
        <f>IF(D1895="KEEP",COUNTIF($D$2:D1895,"KEEP"),"")</f>
        <v/>
      </c>
      <c r="H1895">
        <f>IF(D1895="REMOVE",COUNTIF($D$2:D1895,"REMOVE"),"")</f>
        <v/>
      </c>
      <c r="I1895">
        <f>IF(E1895="Gmail",COUNTIF($E$2:E1895,"Gmail"),"")</f>
        <v/>
      </c>
      <c r="J1895">
        <f>IF(E1895="Outlook",COUNTIF($E$2:E1895,"Outlook"),"")</f>
        <v/>
      </c>
      <c r="K1895">
        <f>IF(E1895="Domain",COUNTIF($E$2:E1895,"Domain"),"")</f>
        <v/>
      </c>
    </row>
    <row r="1896">
      <c r="A1896" s="2" t="n"/>
      <c r="B1896">
        <f>LOWER(TRIM(A1896))</f>
        <v/>
      </c>
      <c r="C1896">
        <f>IF(B1896="","",IFERROR(INDEX('Bad Patterns'!$A$2:$A$120,MATCH(1,INDEX(--ISNUMBER(SEARCH('Bad Patterns'!$A$2:$A$120,B1896)),0),0)),""))</f>
        <v/>
      </c>
      <c r="D1896">
        <f>IF(B1896="","",IF(C1896&lt;&gt;"","REMOVE","KEEP"))</f>
        <v/>
      </c>
      <c r="E1896">
        <f>IF(D1896&lt;&gt;"KEEP","",IF(RIGHT(B1896,10)="@gmail.com","Gmail",IF(OR(RIGHT(B1896,12)="@outlook.com",RIGHT(B1896,12)="@hotmail.com",RIGHT(B1896,9)="@live.com"),"Outlook","Domain")))</f>
        <v/>
      </c>
      <c r="F1896">
        <f>IF(B1896="","",IFERROR(RIGHT(B1896,LEN(B1896)-FIND("@",B1896)),""))</f>
        <v/>
      </c>
      <c r="G1896">
        <f>IF(D1896="KEEP",COUNTIF($D$2:D1896,"KEEP"),"")</f>
        <v/>
      </c>
      <c r="H1896">
        <f>IF(D1896="REMOVE",COUNTIF($D$2:D1896,"REMOVE"),"")</f>
        <v/>
      </c>
      <c r="I1896">
        <f>IF(E1896="Gmail",COUNTIF($E$2:E1896,"Gmail"),"")</f>
        <v/>
      </c>
      <c r="J1896">
        <f>IF(E1896="Outlook",COUNTIF($E$2:E1896,"Outlook"),"")</f>
        <v/>
      </c>
      <c r="K1896">
        <f>IF(E1896="Domain",COUNTIF($E$2:E1896,"Domain"),"")</f>
        <v/>
      </c>
    </row>
    <row r="1897">
      <c r="A1897" s="2" t="n"/>
      <c r="B1897">
        <f>LOWER(TRIM(A1897))</f>
        <v/>
      </c>
      <c r="C1897">
        <f>IF(B1897="","",IFERROR(INDEX('Bad Patterns'!$A$2:$A$120,MATCH(1,INDEX(--ISNUMBER(SEARCH('Bad Patterns'!$A$2:$A$120,B1897)),0),0)),""))</f>
        <v/>
      </c>
      <c r="D1897">
        <f>IF(B1897="","",IF(C1897&lt;&gt;"","REMOVE","KEEP"))</f>
        <v/>
      </c>
      <c r="E1897">
        <f>IF(D1897&lt;&gt;"KEEP","",IF(RIGHT(B1897,10)="@gmail.com","Gmail",IF(OR(RIGHT(B1897,12)="@outlook.com",RIGHT(B1897,12)="@hotmail.com",RIGHT(B1897,9)="@live.com"),"Outlook","Domain")))</f>
        <v/>
      </c>
      <c r="F1897">
        <f>IF(B1897="","",IFERROR(RIGHT(B1897,LEN(B1897)-FIND("@",B1897)),""))</f>
        <v/>
      </c>
      <c r="G1897">
        <f>IF(D1897="KEEP",COUNTIF($D$2:D1897,"KEEP"),"")</f>
        <v/>
      </c>
      <c r="H1897">
        <f>IF(D1897="REMOVE",COUNTIF($D$2:D1897,"REMOVE"),"")</f>
        <v/>
      </c>
      <c r="I1897">
        <f>IF(E1897="Gmail",COUNTIF($E$2:E1897,"Gmail"),"")</f>
        <v/>
      </c>
      <c r="J1897">
        <f>IF(E1897="Outlook",COUNTIF($E$2:E1897,"Outlook"),"")</f>
        <v/>
      </c>
      <c r="K1897">
        <f>IF(E1897="Domain",COUNTIF($E$2:E1897,"Domain"),"")</f>
        <v/>
      </c>
    </row>
    <row r="1898">
      <c r="A1898" s="2" t="n"/>
      <c r="B1898">
        <f>LOWER(TRIM(A1898))</f>
        <v/>
      </c>
      <c r="C1898">
        <f>IF(B1898="","",IFERROR(INDEX('Bad Patterns'!$A$2:$A$120,MATCH(1,INDEX(--ISNUMBER(SEARCH('Bad Patterns'!$A$2:$A$120,B1898)),0),0)),""))</f>
        <v/>
      </c>
      <c r="D1898">
        <f>IF(B1898="","",IF(C1898&lt;&gt;"","REMOVE","KEEP"))</f>
        <v/>
      </c>
      <c r="E1898">
        <f>IF(D1898&lt;&gt;"KEEP","",IF(RIGHT(B1898,10)="@gmail.com","Gmail",IF(OR(RIGHT(B1898,12)="@outlook.com",RIGHT(B1898,12)="@hotmail.com",RIGHT(B1898,9)="@live.com"),"Outlook","Domain")))</f>
        <v/>
      </c>
      <c r="F1898">
        <f>IF(B1898="","",IFERROR(RIGHT(B1898,LEN(B1898)-FIND("@",B1898)),""))</f>
        <v/>
      </c>
      <c r="G1898">
        <f>IF(D1898="KEEP",COUNTIF($D$2:D1898,"KEEP"),"")</f>
        <v/>
      </c>
      <c r="H1898">
        <f>IF(D1898="REMOVE",COUNTIF($D$2:D1898,"REMOVE"),"")</f>
        <v/>
      </c>
      <c r="I1898">
        <f>IF(E1898="Gmail",COUNTIF($E$2:E1898,"Gmail"),"")</f>
        <v/>
      </c>
      <c r="J1898">
        <f>IF(E1898="Outlook",COUNTIF($E$2:E1898,"Outlook"),"")</f>
        <v/>
      </c>
      <c r="K1898">
        <f>IF(E1898="Domain",COUNTIF($E$2:E1898,"Domain"),"")</f>
        <v/>
      </c>
    </row>
    <row r="1899">
      <c r="A1899" s="2" t="n"/>
      <c r="B1899">
        <f>LOWER(TRIM(A1899))</f>
        <v/>
      </c>
      <c r="C1899">
        <f>IF(B1899="","",IFERROR(INDEX('Bad Patterns'!$A$2:$A$120,MATCH(1,INDEX(--ISNUMBER(SEARCH('Bad Patterns'!$A$2:$A$120,B1899)),0),0)),""))</f>
        <v/>
      </c>
      <c r="D1899">
        <f>IF(B1899="","",IF(C1899&lt;&gt;"","REMOVE","KEEP"))</f>
        <v/>
      </c>
      <c r="E1899">
        <f>IF(D1899&lt;&gt;"KEEP","",IF(RIGHT(B1899,10)="@gmail.com","Gmail",IF(OR(RIGHT(B1899,12)="@outlook.com",RIGHT(B1899,12)="@hotmail.com",RIGHT(B1899,9)="@live.com"),"Outlook","Domain")))</f>
        <v/>
      </c>
      <c r="F1899">
        <f>IF(B1899="","",IFERROR(RIGHT(B1899,LEN(B1899)-FIND("@",B1899)),""))</f>
        <v/>
      </c>
      <c r="G1899">
        <f>IF(D1899="KEEP",COUNTIF($D$2:D1899,"KEEP"),"")</f>
        <v/>
      </c>
      <c r="H1899">
        <f>IF(D1899="REMOVE",COUNTIF($D$2:D1899,"REMOVE"),"")</f>
        <v/>
      </c>
      <c r="I1899">
        <f>IF(E1899="Gmail",COUNTIF($E$2:E1899,"Gmail"),"")</f>
        <v/>
      </c>
      <c r="J1899">
        <f>IF(E1899="Outlook",COUNTIF($E$2:E1899,"Outlook"),"")</f>
        <v/>
      </c>
      <c r="K1899">
        <f>IF(E1899="Domain",COUNTIF($E$2:E1899,"Domain"),"")</f>
        <v/>
      </c>
    </row>
    <row r="1900">
      <c r="A1900" s="2" t="n"/>
      <c r="B1900">
        <f>LOWER(TRIM(A1900))</f>
        <v/>
      </c>
      <c r="C1900">
        <f>IF(B1900="","",IFERROR(INDEX('Bad Patterns'!$A$2:$A$120,MATCH(1,INDEX(--ISNUMBER(SEARCH('Bad Patterns'!$A$2:$A$120,B1900)),0),0)),""))</f>
        <v/>
      </c>
      <c r="D1900">
        <f>IF(B1900="","",IF(C1900&lt;&gt;"","REMOVE","KEEP"))</f>
        <v/>
      </c>
      <c r="E1900">
        <f>IF(D1900&lt;&gt;"KEEP","",IF(RIGHT(B1900,10)="@gmail.com","Gmail",IF(OR(RIGHT(B1900,12)="@outlook.com",RIGHT(B1900,12)="@hotmail.com",RIGHT(B1900,9)="@live.com"),"Outlook","Domain")))</f>
        <v/>
      </c>
      <c r="F1900">
        <f>IF(B1900="","",IFERROR(RIGHT(B1900,LEN(B1900)-FIND("@",B1900)),""))</f>
        <v/>
      </c>
      <c r="G1900">
        <f>IF(D1900="KEEP",COUNTIF($D$2:D1900,"KEEP"),"")</f>
        <v/>
      </c>
      <c r="H1900">
        <f>IF(D1900="REMOVE",COUNTIF($D$2:D1900,"REMOVE"),"")</f>
        <v/>
      </c>
      <c r="I1900">
        <f>IF(E1900="Gmail",COUNTIF($E$2:E1900,"Gmail"),"")</f>
        <v/>
      </c>
      <c r="J1900">
        <f>IF(E1900="Outlook",COUNTIF($E$2:E1900,"Outlook"),"")</f>
        <v/>
      </c>
      <c r="K1900">
        <f>IF(E1900="Domain",COUNTIF($E$2:E1900,"Domain"),"")</f>
        <v/>
      </c>
    </row>
    <row r="1901">
      <c r="A1901" s="2" t="n"/>
      <c r="B1901">
        <f>LOWER(TRIM(A1901))</f>
        <v/>
      </c>
      <c r="C1901">
        <f>IF(B1901="","",IFERROR(INDEX('Bad Patterns'!$A$2:$A$120,MATCH(1,INDEX(--ISNUMBER(SEARCH('Bad Patterns'!$A$2:$A$120,B1901)),0),0)),""))</f>
        <v/>
      </c>
      <c r="D1901">
        <f>IF(B1901="","",IF(C1901&lt;&gt;"","REMOVE","KEEP"))</f>
        <v/>
      </c>
      <c r="E1901">
        <f>IF(D1901&lt;&gt;"KEEP","",IF(RIGHT(B1901,10)="@gmail.com","Gmail",IF(OR(RIGHT(B1901,12)="@outlook.com",RIGHT(B1901,12)="@hotmail.com",RIGHT(B1901,9)="@live.com"),"Outlook","Domain")))</f>
        <v/>
      </c>
      <c r="F1901">
        <f>IF(B1901="","",IFERROR(RIGHT(B1901,LEN(B1901)-FIND("@",B1901)),""))</f>
        <v/>
      </c>
      <c r="G1901">
        <f>IF(D1901="KEEP",COUNTIF($D$2:D1901,"KEEP"),"")</f>
        <v/>
      </c>
      <c r="H1901">
        <f>IF(D1901="REMOVE",COUNTIF($D$2:D1901,"REMOVE"),"")</f>
        <v/>
      </c>
      <c r="I1901">
        <f>IF(E1901="Gmail",COUNTIF($E$2:E1901,"Gmail"),"")</f>
        <v/>
      </c>
      <c r="J1901">
        <f>IF(E1901="Outlook",COUNTIF($E$2:E1901,"Outlook"),"")</f>
        <v/>
      </c>
      <c r="K1901">
        <f>IF(E1901="Domain",COUNTIF($E$2:E1901,"Domain"),"")</f>
        <v/>
      </c>
    </row>
    <row r="1902">
      <c r="A1902" s="2" t="n"/>
      <c r="B1902">
        <f>LOWER(TRIM(A1902))</f>
        <v/>
      </c>
      <c r="C1902">
        <f>IF(B1902="","",IFERROR(INDEX('Bad Patterns'!$A$2:$A$120,MATCH(1,INDEX(--ISNUMBER(SEARCH('Bad Patterns'!$A$2:$A$120,B1902)),0),0)),""))</f>
        <v/>
      </c>
      <c r="D1902">
        <f>IF(B1902="","",IF(C1902&lt;&gt;"","REMOVE","KEEP"))</f>
        <v/>
      </c>
      <c r="E1902">
        <f>IF(D1902&lt;&gt;"KEEP","",IF(RIGHT(B1902,10)="@gmail.com","Gmail",IF(OR(RIGHT(B1902,12)="@outlook.com",RIGHT(B1902,12)="@hotmail.com",RIGHT(B1902,9)="@live.com"),"Outlook","Domain")))</f>
        <v/>
      </c>
      <c r="F1902">
        <f>IF(B1902="","",IFERROR(RIGHT(B1902,LEN(B1902)-FIND("@",B1902)),""))</f>
        <v/>
      </c>
      <c r="G1902">
        <f>IF(D1902="KEEP",COUNTIF($D$2:D1902,"KEEP"),"")</f>
        <v/>
      </c>
      <c r="H1902">
        <f>IF(D1902="REMOVE",COUNTIF($D$2:D1902,"REMOVE"),"")</f>
        <v/>
      </c>
      <c r="I1902">
        <f>IF(E1902="Gmail",COUNTIF($E$2:E1902,"Gmail"),"")</f>
        <v/>
      </c>
      <c r="J1902">
        <f>IF(E1902="Outlook",COUNTIF($E$2:E1902,"Outlook"),"")</f>
        <v/>
      </c>
      <c r="K1902">
        <f>IF(E1902="Domain",COUNTIF($E$2:E1902,"Domain"),"")</f>
        <v/>
      </c>
    </row>
    <row r="1903">
      <c r="A1903" s="2" t="n"/>
      <c r="B1903">
        <f>LOWER(TRIM(A1903))</f>
        <v/>
      </c>
      <c r="C1903">
        <f>IF(B1903="","",IFERROR(INDEX('Bad Patterns'!$A$2:$A$120,MATCH(1,INDEX(--ISNUMBER(SEARCH('Bad Patterns'!$A$2:$A$120,B1903)),0),0)),""))</f>
        <v/>
      </c>
      <c r="D1903">
        <f>IF(B1903="","",IF(C1903&lt;&gt;"","REMOVE","KEEP"))</f>
        <v/>
      </c>
      <c r="E1903">
        <f>IF(D1903&lt;&gt;"KEEP","",IF(RIGHT(B1903,10)="@gmail.com","Gmail",IF(OR(RIGHT(B1903,12)="@outlook.com",RIGHT(B1903,12)="@hotmail.com",RIGHT(B1903,9)="@live.com"),"Outlook","Domain")))</f>
        <v/>
      </c>
      <c r="F1903">
        <f>IF(B1903="","",IFERROR(RIGHT(B1903,LEN(B1903)-FIND("@",B1903)),""))</f>
        <v/>
      </c>
      <c r="G1903">
        <f>IF(D1903="KEEP",COUNTIF($D$2:D1903,"KEEP"),"")</f>
        <v/>
      </c>
      <c r="H1903">
        <f>IF(D1903="REMOVE",COUNTIF($D$2:D1903,"REMOVE"),"")</f>
        <v/>
      </c>
      <c r="I1903">
        <f>IF(E1903="Gmail",COUNTIF($E$2:E1903,"Gmail"),"")</f>
        <v/>
      </c>
      <c r="J1903">
        <f>IF(E1903="Outlook",COUNTIF($E$2:E1903,"Outlook"),"")</f>
        <v/>
      </c>
      <c r="K1903">
        <f>IF(E1903="Domain",COUNTIF($E$2:E1903,"Domain"),"")</f>
        <v/>
      </c>
    </row>
    <row r="1904">
      <c r="A1904" s="2" t="n"/>
      <c r="B1904">
        <f>LOWER(TRIM(A1904))</f>
        <v/>
      </c>
      <c r="C1904">
        <f>IF(B1904="","",IFERROR(INDEX('Bad Patterns'!$A$2:$A$120,MATCH(1,INDEX(--ISNUMBER(SEARCH('Bad Patterns'!$A$2:$A$120,B1904)),0),0)),""))</f>
        <v/>
      </c>
      <c r="D1904">
        <f>IF(B1904="","",IF(C1904&lt;&gt;"","REMOVE","KEEP"))</f>
        <v/>
      </c>
      <c r="E1904">
        <f>IF(D1904&lt;&gt;"KEEP","",IF(RIGHT(B1904,10)="@gmail.com","Gmail",IF(OR(RIGHT(B1904,12)="@outlook.com",RIGHT(B1904,12)="@hotmail.com",RIGHT(B1904,9)="@live.com"),"Outlook","Domain")))</f>
        <v/>
      </c>
      <c r="F1904">
        <f>IF(B1904="","",IFERROR(RIGHT(B1904,LEN(B1904)-FIND("@",B1904)),""))</f>
        <v/>
      </c>
      <c r="G1904">
        <f>IF(D1904="KEEP",COUNTIF($D$2:D1904,"KEEP"),"")</f>
        <v/>
      </c>
      <c r="H1904">
        <f>IF(D1904="REMOVE",COUNTIF($D$2:D1904,"REMOVE"),"")</f>
        <v/>
      </c>
      <c r="I1904">
        <f>IF(E1904="Gmail",COUNTIF($E$2:E1904,"Gmail"),"")</f>
        <v/>
      </c>
      <c r="J1904">
        <f>IF(E1904="Outlook",COUNTIF($E$2:E1904,"Outlook"),"")</f>
        <v/>
      </c>
      <c r="K1904">
        <f>IF(E1904="Domain",COUNTIF($E$2:E1904,"Domain"),"")</f>
        <v/>
      </c>
    </row>
    <row r="1905">
      <c r="A1905" s="2" t="n"/>
      <c r="B1905">
        <f>LOWER(TRIM(A1905))</f>
        <v/>
      </c>
      <c r="C1905">
        <f>IF(B1905="","",IFERROR(INDEX('Bad Patterns'!$A$2:$A$120,MATCH(1,INDEX(--ISNUMBER(SEARCH('Bad Patterns'!$A$2:$A$120,B1905)),0),0)),""))</f>
        <v/>
      </c>
      <c r="D1905">
        <f>IF(B1905="","",IF(C1905&lt;&gt;"","REMOVE","KEEP"))</f>
        <v/>
      </c>
      <c r="E1905">
        <f>IF(D1905&lt;&gt;"KEEP","",IF(RIGHT(B1905,10)="@gmail.com","Gmail",IF(OR(RIGHT(B1905,12)="@outlook.com",RIGHT(B1905,12)="@hotmail.com",RIGHT(B1905,9)="@live.com"),"Outlook","Domain")))</f>
        <v/>
      </c>
      <c r="F1905">
        <f>IF(B1905="","",IFERROR(RIGHT(B1905,LEN(B1905)-FIND("@",B1905)),""))</f>
        <v/>
      </c>
      <c r="G1905">
        <f>IF(D1905="KEEP",COUNTIF($D$2:D1905,"KEEP"),"")</f>
        <v/>
      </c>
      <c r="H1905">
        <f>IF(D1905="REMOVE",COUNTIF($D$2:D1905,"REMOVE"),"")</f>
        <v/>
      </c>
      <c r="I1905">
        <f>IF(E1905="Gmail",COUNTIF($E$2:E1905,"Gmail"),"")</f>
        <v/>
      </c>
      <c r="J1905">
        <f>IF(E1905="Outlook",COUNTIF($E$2:E1905,"Outlook"),"")</f>
        <v/>
      </c>
      <c r="K1905">
        <f>IF(E1905="Domain",COUNTIF($E$2:E1905,"Domain"),"")</f>
        <v/>
      </c>
    </row>
    <row r="1906">
      <c r="A1906" s="2" t="n"/>
      <c r="B1906">
        <f>LOWER(TRIM(A1906))</f>
        <v/>
      </c>
      <c r="C1906">
        <f>IF(B1906="","",IFERROR(INDEX('Bad Patterns'!$A$2:$A$120,MATCH(1,INDEX(--ISNUMBER(SEARCH('Bad Patterns'!$A$2:$A$120,B1906)),0),0)),""))</f>
        <v/>
      </c>
      <c r="D1906">
        <f>IF(B1906="","",IF(C1906&lt;&gt;"","REMOVE","KEEP"))</f>
        <v/>
      </c>
      <c r="E1906">
        <f>IF(D1906&lt;&gt;"KEEP","",IF(RIGHT(B1906,10)="@gmail.com","Gmail",IF(OR(RIGHT(B1906,12)="@outlook.com",RIGHT(B1906,12)="@hotmail.com",RIGHT(B1906,9)="@live.com"),"Outlook","Domain")))</f>
        <v/>
      </c>
      <c r="F1906">
        <f>IF(B1906="","",IFERROR(RIGHT(B1906,LEN(B1906)-FIND("@",B1906)),""))</f>
        <v/>
      </c>
      <c r="G1906">
        <f>IF(D1906="KEEP",COUNTIF($D$2:D1906,"KEEP"),"")</f>
        <v/>
      </c>
      <c r="H1906">
        <f>IF(D1906="REMOVE",COUNTIF($D$2:D1906,"REMOVE"),"")</f>
        <v/>
      </c>
      <c r="I1906">
        <f>IF(E1906="Gmail",COUNTIF($E$2:E1906,"Gmail"),"")</f>
        <v/>
      </c>
      <c r="J1906">
        <f>IF(E1906="Outlook",COUNTIF($E$2:E1906,"Outlook"),"")</f>
        <v/>
      </c>
      <c r="K1906">
        <f>IF(E1906="Domain",COUNTIF($E$2:E1906,"Domain"),"")</f>
        <v/>
      </c>
    </row>
    <row r="1907">
      <c r="A1907" s="2" t="n"/>
      <c r="B1907">
        <f>LOWER(TRIM(A1907))</f>
        <v/>
      </c>
      <c r="C1907">
        <f>IF(B1907="","",IFERROR(INDEX('Bad Patterns'!$A$2:$A$120,MATCH(1,INDEX(--ISNUMBER(SEARCH('Bad Patterns'!$A$2:$A$120,B1907)),0),0)),""))</f>
        <v/>
      </c>
      <c r="D1907">
        <f>IF(B1907="","",IF(C1907&lt;&gt;"","REMOVE","KEEP"))</f>
        <v/>
      </c>
      <c r="E1907">
        <f>IF(D1907&lt;&gt;"KEEP","",IF(RIGHT(B1907,10)="@gmail.com","Gmail",IF(OR(RIGHT(B1907,12)="@outlook.com",RIGHT(B1907,12)="@hotmail.com",RIGHT(B1907,9)="@live.com"),"Outlook","Domain")))</f>
        <v/>
      </c>
      <c r="F1907">
        <f>IF(B1907="","",IFERROR(RIGHT(B1907,LEN(B1907)-FIND("@",B1907)),""))</f>
        <v/>
      </c>
      <c r="G1907">
        <f>IF(D1907="KEEP",COUNTIF($D$2:D1907,"KEEP"),"")</f>
        <v/>
      </c>
      <c r="H1907">
        <f>IF(D1907="REMOVE",COUNTIF($D$2:D1907,"REMOVE"),"")</f>
        <v/>
      </c>
      <c r="I1907">
        <f>IF(E1907="Gmail",COUNTIF($E$2:E1907,"Gmail"),"")</f>
        <v/>
      </c>
      <c r="J1907">
        <f>IF(E1907="Outlook",COUNTIF($E$2:E1907,"Outlook"),"")</f>
        <v/>
      </c>
      <c r="K1907">
        <f>IF(E1907="Domain",COUNTIF($E$2:E1907,"Domain"),"")</f>
        <v/>
      </c>
    </row>
    <row r="1908">
      <c r="A1908" s="2" t="n"/>
      <c r="B1908">
        <f>LOWER(TRIM(A1908))</f>
        <v/>
      </c>
      <c r="C1908">
        <f>IF(B1908="","",IFERROR(INDEX('Bad Patterns'!$A$2:$A$120,MATCH(1,INDEX(--ISNUMBER(SEARCH('Bad Patterns'!$A$2:$A$120,B1908)),0),0)),""))</f>
        <v/>
      </c>
      <c r="D1908">
        <f>IF(B1908="","",IF(C1908&lt;&gt;"","REMOVE","KEEP"))</f>
        <v/>
      </c>
      <c r="E1908">
        <f>IF(D1908&lt;&gt;"KEEP","",IF(RIGHT(B1908,10)="@gmail.com","Gmail",IF(OR(RIGHT(B1908,12)="@outlook.com",RIGHT(B1908,12)="@hotmail.com",RIGHT(B1908,9)="@live.com"),"Outlook","Domain")))</f>
        <v/>
      </c>
      <c r="F1908">
        <f>IF(B1908="","",IFERROR(RIGHT(B1908,LEN(B1908)-FIND("@",B1908)),""))</f>
        <v/>
      </c>
      <c r="G1908">
        <f>IF(D1908="KEEP",COUNTIF($D$2:D1908,"KEEP"),"")</f>
        <v/>
      </c>
      <c r="H1908">
        <f>IF(D1908="REMOVE",COUNTIF($D$2:D1908,"REMOVE"),"")</f>
        <v/>
      </c>
      <c r="I1908">
        <f>IF(E1908="Gmail",COUNTIF($E$2:E1908,"Gmail"),"")</f>
        <v/>
      </c>
      <c r="J1908">
        <f>IF(E1908="Outlook",COUNTIF($E$2:E1908,"Outlook"),"")</f>
        <v/>
      </c>
      <c r="K1908">
        <f>IF(E1908="Domain",COUNTIF($E$2:E1908,"Domain"),"")</f>
        <v/>
      </c>
    </row>
    <row r="1909">
      <c r="A1909" s="2" t="n"/>
      <c r="B1909">
        <f>LOWER(TRIM(A1909))</f>
        <v/>
      </c>
      <c r="C1909">
        <f>IF(B1909="","",IFERROR(INDEX('Bad Patterns'!$A$2:$A$120,MATCH(1,INDEX(--ISNUMBER(SEARCH('Bad Patterns'!$A$2:$A$120,B1909)),0),0)),""))</f>
        <v/>
      </c>
      <c r="D1909">
        <f>IF(B1909="","",IF(C1909&lt;&gt;"","REMOVE","KEEP"))</f>
        <v/>
      </c>
      <c r="E1909">
        <f>IF(D1909&lt;&gt;"KEEP","",IF(RIGHT(B1909,10)="@gmail.com","Gmail",IF(OR(RIGHT(B1909,12)="@outlook.com",RIGHT(B1909,12)="@hotmail.com",RIGHT(B1909,9)="@live.com"),"Outlook","Domain")))</f>
        <v/>
      </c>
      <c r="F1909">
        <f>IF(B1909="","",IFERROR(RIGHT(B1909,LEN(B1909)-FIND("@",B1909)),""))</f>
        <v/>
      </c>
      <c r="G1909">
        <f>IF(D1909="KEEP",COUNTIF($D$2:D1909,"KEEP"),"")</f>
        <v/>
      </c>
      <c r="H1909">
        <f>IF(D1909="REMOVE",COUNTIF($D$2:D1909,"REMOVE"),"")</f>
        <v/>
      </c>
      <c r="I1909">
        <f>IF(E1909="Gmail",COUNTIF($E$2:E1909,"Gmail"),"")</f>
        <v/>
      </c>
      <c r="J1909">
        <f>IF(E1909="Outlook",COUNTIF($E$2:E1909,"Outlook"),"")</f>
        <v/>
      </c>
      <c r="K1909">
        <f>IF(E1909="Domain",COUNTIF($E$2:E1909,"Domain"),"")</f>
        <v/>
      </c>
    </row>
    <row r="1910">
      <c r="A1910" s="2" t="n"/>
      <c r="B1910">
        <f>LOWER(TRIM(A1910))</f>
        <v/>
      </c>
      <c r="C1910">
        <f>IF(B1910="","",IFERROR(INDEX('Bad Patterns'!$A$2:$A$120,MATCH(1,INDEX(--ISNUMBER(SEARCH('Bad Patterns'!$A$2:$A$120,B1910)),0),0)),""))</f>
        <v/>
      </c>
      <c r="D1910">
        <f>IF(B1910="","",IF(C1910&lt;&gt;"","REMOVE","KEEP"))</f>
        <v/>
      </c>
      <c r="E1910">
        <f>IF(D1910&lt;&gt;"KEEP","",IF(RIGHT(B1910,10)="@gmail.com","Gmail",IF(OR(RIGHT(B1910,12)="@outlook.com",RIGHT(B1910,12)="@hotmail.com",RIGHT(B1910,9)="@live.com"),"Outlook","Domain")))</f>
        <v/>
      </c>
      <c r="F1910">
        <f>IF(B1910="","",IFERROR(RIGHT(B1910,LEN(B1910)-FIND("@",B1910)),""))</f>
        <v/>
      </c>
      <c r="G1910">
        <f>IF(D1910="KEEP",COUNTIF($D$2:D1910,"KEEP"),"")</f>
        <v/>
      </c>
      <c r="H1910">
        <f>IF(D1910="REMOVE",COUNTIF($D$2:D1910,"REMOVE"),"")</f>
        <v/>
      </c>
      <c r="I1910">
        <f>IF(E1910="Gmail",COUNTIF($E$2:E1910,"Gmail"),"")</f>
        <v/>
      </c>
      <c r="J1910">
        <f>IF(E1910="Outlook",COUNTIF($E$2:E1910,"Outlook"),"")</f>
        <v/>
      </c>
      <c r="K1910">
        <f>IF(E1910="Domain",COUNTIF($E$2:E1910,"Domain"),"")</f>
        <v/>
      </c>
    </row>
    <row r="1911">
      <c r="A1911" s="2" t="n"/>
      <c r="B1911">
        <f>LOWER(TRIM(A1911))</f>
        <v/>
      </c>
      <c r="C1911">
        <f>IF(B1911="","",IFERROR(INDEX('Bad Patterns'!$A$2:$A$120,MATCH(1,INDEX(--ISNUMBER(SEARCH('Bad Patterns'!$A$2:$A$120,B1911)),0),0)),""))</f>
        <v/>
      </c>
      <c r="D1911">
        <f>IF(B1911="","",IF(C1911&lt;&gt;"","REMOVE","KEEP"))</f>
        <v/>
      </c>
      <c r="E1911">
        <f>IF(D1911&lt;&gt;"KEEP","",IF(RIGHT(B1911,10)="@gmail.com","Gmail",IF(OR(RIGHT(B1911,12)="@outlook.com",RIGHT(B1911,12)="@hotmail.com",RIGHT(B1911,9)="@live.com"),"Outlook","Domain")))</f>
        <v/>
      </c>
      <c r="F1911">
        <f>IF(B1911="","",IFERROR(RIGHT(B1911,LEN(B1911)-FIND("@",B1911)),""))</f>
        <v/>
      </c>
      <c r="G1911">
        <f>IF(D1911="KEEP",COUNTIF($D$2:D1911,"KEEP"),"")</f>
        <v/>
      </c>
      <c r="H1911">
        <f>IF(D1911="REMOVE",COUNTIF($D$2:D1911,"REMOVE"),"")</f>
        <v/>
      </c>
      <c r="I1911">
        <f>IF(E1911="Gmail",COUNTIF($E$2:E1911,"Gmail"),"")</f>
        <v/>
      </c>
      <c r="J1911">
        <f>IF(E1911="Outlook",COUNTIF($E$2:E1911,"Outlook"),"")</f>
        <v/>
      </c>
      <c r="K1911">
        <f>IF(E1911="Domain",COUNTIF($E$2:E1911,"Domain"),"")</f>
        <v/>
      </c>
    </row>
    <row r="1912">
      <c r="A1912" s="2" t="n"/>
      <c r="B1912">
        <f>LOWER(TRIM(A1912))</f>
        <v/>
      </c>
      <c r="C1912">
        <f>IF(B1912="","",IFERROR(INDEX('Bad Patterns'!$A$2:$A$120,MATCH(1,INDEX(--ISNUMBER(SEARCH('Bad Patterns'!$A$2:$A$120,B1912)),0),0)),""))</f>
        <v/>
      </c>
      <c r="D1912">
        <f>IF(B1912="","",IF(C1912&lt;&gt;"","REMOVE","KEEP"))</f>
        <v/>
      </c>
      <c r="E1912">
        <f>IF(D1912&lt;&gt;"KEEP","",IF(RIGHT(B1912,10)="@gmail.com","Gmail",IF(OR(RIGHT(B1912,12)="@outlook.com",RIGHT(B1912,12)="@hotmail.com",RIGHT(B1912,9)="@live.com"),"Outlook","Domain")))</f>
        <v/>
      </c>
      <c r="F1912">
        <f>IF(B1912="","",IFERROR(RIGHT(B1912,LEN(B1912)-FIND("@",B1912)),""))</f>
        <v/>
      </c>
      <c r="G1912">
        <f>IF(D1912="KEEP",COUNTIF($D$2:D1912,"KEEP"),"")</f>
        <v/>
      </c>
      <c r="H1912">
        <f>IF(D1912="REMOVE",COUNTIF($D$2:D1912,"REMOVE"),"")</f>
        <v/>
      </c>
      <c r="I1912">
        <f>IF(E1912="Gmail",COUNTIF($E$2:E1912,"Gmail"),"")</f>
        <v/>
      </c>
      <c r="J1912">
        <f>IF(E1912="Outlook",COUNTIF($E$2:E1912,"Outlook"),"")</f>
        <v/>
      </c>
      <c r="K1912">
        <f>IF(E1912="Domain",COUNTIF($E$2:E1912,"Domain"),"")</f>
        <v/>
      </c>
    </row>
    <row r="1913">
      <c r="A1913" s="2" t="n"/>
      <c r="B1913">
        <f>LOWER(TRIM(A1913))</f>
        <v/>
      </c>
      <c r="C1913">
        <f>IF(B1913="","",IFERROR(INDEX('Bad Patterns'!$A$2:$A$120,MATCH(1,INDEX(--ISNUMBER(SEARCH('Bad Patterns'!$A$2:$A$120,B1913)),0),0)),""))</f>
        <v/>
      </c>
      <c r="D1913">
        <f>IF(B1913="","",IF(C1913&lt;&gt;"","REMOVE","KEEP"))</f>
        <v/>
      </c>
      <c r="E1913">
        <f>IF(D1913&lt;&gt;"KEEP","",IF(RIGHT(B1913,10)="@gmail.com","Gmail",IF(OR(RIGHT(B1913,12)="@outlook.com",RIGHT(B1913,12)="@hotmail.com",RIGHT(B1913,9)="@live.com"),"Outlook","Domain")))</f>
        <v/>
      </c>
      <c r="F1913">
        <f>IF(B1913="","",IFERROR(RIGHT(B1913,LEN(B1913)-FIND("@",B1913)),""))</f>
        <v/>
      </c>
      <c r="G1913">
        <f>IF(D1913="KEEP",COUNTIF($D$2:D1913,"KEEP"),"")</f>
        <v/>
      </c>
      <c r="H1913">
        <f>IF(D1913="REMOVE",COUNTIF($D$2:D1913,"REMOVE"),"")</f>
        <v/>
      </c>
      <c r="I1913">
        <f>IF(E1913="Gmail",COUNTIF($E$2:E1913,"Gmail"),"")</f>
        <v/>
      </c>
      <c r="J1913">
        <f>IF(E1913="Outlook",COUNTIF($E$2:E1913,"Outlook"),"")</f>
        <v/>
      </c>
      <c r="K1913">
        <f>IF(E1913="Domain",COUNTIF($E$2:E1913,"Domain"),"")</f>
        <v/>
      </c>
    </row>
    <row r="1914">
      <c r="A1914" s="2" t="n"/>
      <c r="B1914">
        <f>LOWER(TRIM(A1914))</f>
        <v/>
      </c>
      <c r="C1914">
        <f>IF(B1914="","",IFERROR(INDEX('Bad Patterns'!$A$2:$A$120,MATCH(1,INDEX(--ISNUMBER(SEARCH('Bad Patterns'!$A$2:$A$120,B1914)),0),0)),""))</f>
        <v/>
      </c>
      <c r="D1914">
        <f>IF(B1914="","",IF(C1914&lt;&gt;"","REMOVE","KEEP"))</f>
        <v/>
      </c>
      <c r="E1914">
        <f>IF(D1914&lt;&gt;"KEEP","",IF(RIGHT(B1914,10)="@gmail.com","Gmail",IF(OR(RIGHT(B1914,12)="@outlook.com",RIGHT(B1914,12)="@hotmail.com",RIGHT(B1914,9)="@live.com"),"Outlook","Domain")))</f>
        <v/>
      </c>
      <c r="F1914">
        <f>IF(B1914="","",IFERROR(RIGHT(B1914,LEN(B1914)-FIND("@",B1914)),""))</f>
        <v/>
      </c>
      <c r="G1914">
        <f>IF(D1914="KEEP",COUNTIF($D$2:D1914,"KEEP"),"")</f>
        <v/>
      </c>
      <c r="H1914">
        <f>IF(D1914="REMOVE",COUNTIF($D$2:D1914,"REMOVE"),"")</f>
        <v/>
      </c>
      <c r="I1914">
        <f>IF(E1914="Gmail",COUNTIF($E$2:E1914,"Gmail"),"")</f>
        <v/>
      </c>
      <c r="J1914">
        <f>IF(E1914="Outlook",COUNTIF($E$2:E1914,"Outlook"),"")</f>
        <v/>
      </c>
      <c r="K1914">
        <f>IF(E1914="Domain",COUNTIF($E$2:E1914,"Domain"),"")</f>
        <v/>
      </c>
    </row>
    <row r="1915">
      <c r="A1915" s="2" t="n"/>
      <c r="B1915">
        <f>LOWER(TRIM(A1915))</f>
        <v/>
      </c>
      <c r="C1915">
        <f>IF(B1915="","",IFERROR(INDEX('Bad Patterns'!$A$2:$A$120,MATCH(1,INDEX(--ISNUMBER(SEARCH('Bad Patterns'!$A$2:$A$120,B1915)),0),0)),""))</f>
        <v/>
      </c>
      <c r="D1915">
        <f>IF(B1915="","",IF(C1915&lt;&gt;"","REMOVE","KEEP"))</f>
        <v/>
      </c>
      <c r="E1915">
        <f>IF(D1915&lt;&gt;"KEEP","",IF(RIGHT(B1915,10)="@gmail.com","Gmail",IF(OR(RIGHT(B1915,12)="@outlook.com",RIGHT(B1915,12)="@hotmail.com",RIGHT(B1915,9)="@live.com"),"Outlook","Domain")))</f>
        <v/>
      </c>
      <c r="F1915">
        <f>IF(B1915="","",IFERROR(RIGHT(B1915,LEN(B1915)-FIND("@",B1915)),""))</f>
        <v/>
      </c>
      <c r="G1915">
        <f>IF(D1915="KEEP",COUNTIF($D$2:D1915,"KEEP"),"")</f>
        <v/>
      </c>
      <c r="H1915">
        <f>IF(D1915="REMOVE",COUNTIF($D$2:D1915,"REMOVE"),"")</f>
        <v/>
      </c>
      <c r="I1915">
        <f>IF(E1915="Gmail",COUNTIF($E$2:E1915,"Gmail"),"")</f>
        <v/>
      </c>
      <c r="J1915">
        <f>IF(E1915="Outlook",COUNTIF($E$2:E1915,"Outlook"),"")</f>
        <v/>
      </c>
      <c r="K1915">
        <f>IF(E1915="Domain",COUNTIF($E$2:E1915,"Domain"),"")</f>
        <v/>
      </c>
    </row>
    <row r="1916">
      <c r="A1916" s="2" t="n"/>
      <c r="B1916">
        <f>LOWER(TRIM(A1916))</f>
        <v/>
      </c>
      <c r="C1916">
        <f>IF(B1916="","",IFERROR(INDEX('Bad Patterns'!$A$2:$A$120,MATCH(1,INDEX(--ISNUMBER(SEARCH('Bad Patterns'!$A$2:$A$120,B1916)),0),0)),""))</f>
        <v/>
      </c>
      <c r="D1916">
        <f>IF(B1916="","",IF(C1916&lt;&gt;"","REMOVE","KEEP"))</f>
        <v/>
      </c>
      <c r="E1916">
        <f>IF(D1916&lt;&gt;"KEEP","",IF(RIGHT(B1916,10)="@gmail.com","Gmail",IF(OR(RIGHT(B1916,12)="@outlook.com",RIGHT(B1916,12)="@hotmail.com",RIGHT(B1916,9)="@live.com"),"Outlook","Domain")))</f>
        <v/>
      </c>
      <c r="F1916">
        <f>IF(B1916="","",IFERROR(RIGHT(B1916,LEN(B1916)-FIND("@",B1916)),""))</f>
        <v/>
      </c>
      <c r="G1916">
        <f>IF(D1916="KEEP",COUNTIF($D$2:D1916,"KEEP"),"")</f>
        <v/>
      </c>
      <c r="H1916">
        <f>IF(D1916="REMOVE",COUNTIF($D$2:D1916,"REMOVE"),"")</f>
        <v/>
      </c>
      <c r="I1916">
        <f>IF(E1916="Gmail",COUNTIF($E$2:E1916,"Gmail"),"")</f>
        <v/>
      </c>
      <c r="J1916">
        <f>IF(E1916="Outlook",COUNTIF($E$2:E1916,"Outlook"),"")</f>
        <v/>
      </c>
      <c r="K1916">
        <f>IF(E1916="Domain",COUNTIF($E$2:E1916,"Domain"),"")</f>
        <v/>
      </c>
    </row>
    <row r="1917">
      <c r="A1917" s="2" t="n"/>
      <c r="B1917">
        <f>LOWER(TRIM(A1917))</f>
        <v/>
      </c>
      <c r="C1917">
        <f>IF(B1917="","",IFERROR(INDEX('Bad Patterns'!$A$2:$A$120,MATCH(1,INDEX(--ISNUMBER(SEARCH('Bad Patterns'!$A$2:$A$120,B1917)),0),0)),""))</f>
        <v/>
      </c>
      <c r="D1917">
        <f>IF(B1917="","",IF(C1917&lt;&gt;"","REMOVE","KEEP"))</f>
        <v/>
      </c>
      <c r="E1917">
        <f>IF(D1917&lt;&gt;"KEEP","",IF(RIGHT(B1917,10)="@gmail.com","Gmail",IF(OR(RIGHT(B1917,12)="@outlook.com",RIGHT(B1917,12)="@hotmail.com",RIGHT(B1917,9)="@live.com"),"Outlook","Domain")))</f>
        <v/>
      </c>
      <c r="F1917">
        <f>IF(B1917="","",IFERROR(RIGHT(B1917,LEN(B1917)-FIND("@",B1917)),""))</f>
        <v/>
      </c>
      <c r="G1917">
        <f>IF(D1917="KEEP",COUNTIF($D$2:D1917,"KEEP"),"")</f>
        <v/>
      </c>
      <c r="H1917">
        <f>IF(D1917="REMOVE",COUNTIF($D$2:D1917,"REMOVE"),"")</f>
        <v/>
      </c>
      <c r="I1917">
        <f>IF(E1917="Gmail",COUNTIF($E$2:E1917,"Gmail"),"")</f>
        <v/>
      </c>
      <c r="J1917">
        <f>IF(E1917="Outlook",COUNTIF($E$2:E1917,"Outlook"),"")</f>
        <v/>
      </c>
      <c r="K1917">
        <f>IF(E1917="Domain",COUNTIF($E$2:E1917,"Domain"),"")</f>
        <v/>
      </c>
    </row>
    <row r="1918">
      <c r="A1918" s="2" t="n"/>
      <c r="B1918">
        <f>LOWER(TRIM(A1918))</f>
        <v/>
      </c>
      <c r="C1918">
        <f>IF(B1918="","",IFERROR(INDEX('Bad Patterns'!$A$2:$A$120,MATCH(1,INDEX(--ISNUMBER(SEARCH('Bad Patterns'!$A$2:$A$120,B1918)),0),0)),""))</f>
        <v/>
      </c>
      <c r="D1918">
        <f>IF(B1918="","",IF(C1918&lt;&gt;"","REMOVE","KEEP"))</f>
        <v/>
      </c>
      <c r="E1918">
        <f>IF(D1918&lt;&gt;"KEEP","",IF(RIGHT(B1918,10)="@gmail.com","Gmail",IF(OR(RIGHT(B1918,12)="@outlook.com",RIGHT(B1918,12)="@hotmail.com",RIGHT(B1918,9)="@live.com"),"Outlook","Domain")))</f>
        <v/>
      </c>
      <c r="F1918">
        <f>IF(B1918="","",IFERROR(RIGHT(B1918,LEN(B1918)-FIND("@",B1918)),""))</f>
        <v/>
      </c>
      <c r="G1918">
        <f>IF(D1918="KEEP",COUNTIF($D$2:D1918,"KEEP"),"")</f>
        <v/>
      </c>
      <c r="H1918">
        <f>IF(D1918="REMOVE",COUNTIF($D$2:D1918,"REMOVE"),"")</f>
        <v/>
      </c>
      <c r="I1918">
        <f>IF(E1918="Gmail",COUNTIF($E$2:E1918,"Gmail"),"")</f>
        <v/>
      </c>
      <c r="J1918">
        <f>IF(E1918="Outlook",COUNTIF($E$2:E1918,"Outlook"),"")</f>
        <v/>
      </c>
      <c r="K1918">
        <f>IF(E1918="Domain",COUNTIF($E$2:E1918,"Domain"),"")</f>
        <v/>
      </c>
    </row>
    <row r="1919">
      <c r="A1919" s="2" t="n"/>
      <c r="B1919">
        <f>LOWER(TRIM(A1919))</f>
        <v/>
      </c>
      <c r="C1919">
        <f>IF(B1919="","",IFERROR(INDEX('Bad Patterns'!$A$2:$A$120,MATCH(1,INDEX(--ISNUMBER(SEARCH('Bad Patterns'!$A$2:$A$120,B1919)),0),0)),""))</f>
        <v/>
      </c>
      <c r="D1919">
        <f>IF(B1919="","",IF(C1919&lt;&gt;"","REMOVE","KEEP"))</f>
        <v/>
      </c>
      <c r="E1919">
        <f>IF(D1919&lt;&gt;"KEEP","",IF(RIGHT(B1919,10)="@gmail.com","Gmail",IF(OR(RIGHT(B1919,12)="@outlook.com",RIGHT(B1919,12)="@hotmail.com",RIGHT(B1919,9)="@live.com"),"Outlook","Domain")))</f>
        <v/>
      </c>
      <c r="F1919">
        <f>IF(B1919="","",IFERROR(RIGHT(B1919,LEN(B1919)-FIND("@",B1919)),""))</f>
        <v/>
      </c>
      <c r="G1919">
        <f>IF(D1919="KEEP",COUNTIF($D$2:D1919,"KEEP"),"")</f>
        <v/>
      </c>
      <c r="H1919">
        <f>IF(D1919="REMOVE",COUNTIF($D$2:D1919,"REMOVE"),"")</f>
        <v/>
      </c>
      <c r="I1919">
        <f>IF(E1919="Gmail",COUNTIF($E$2:E1919,"Gmail"),"")</f>
        <v/>
      </c>
      <c r="J1919">
        <f>IF(E1919="Outlook",COUNTIF($E$2:E1919,"Outlook"),"")</f>
        <v/>
      </c>
      <c r="K1919">
        <f>IF(E1919="Domain",COUNTIF($E$2:E1919,"Domain"),"")</f>
        <v/>
      </c>
    </row>
    <row r="1920">
      <c r="A1920" s="2" t="n"/>
      <c r="B1920">
        <f>LOWER(TRIM(A1920))</f>
        <v/>
      </c>
      <c r="C1920">
        <f>IF(B1920="","",IFERROR(INDEX('Bad Patterns'!$A$2:$A$120,MATCH(1,INDEX(--ISNUMBER(SEARCH('Bad Patterns'!$A$2:$A$120,B1920)),0),0)),""))</f>
        <v/>
      </c>
      <c r="D1920">
        <f>IF(B1920="","",IF(C1920&lt;&gt;"","REMOVE","KEEP"))</f>
        <v/>
      </c>
      <c r="E1920">
        <f>IF(D1920&lt;&gt;"KEEP","",IF(RIGHT(B1920,10)="@gmail.com","Gmail",IF(OR(RIGHT(B1920,12)="@outlook.com",RIGHT(B1920,12)="@hotmail.com",RIGHT(B1920,9)="@live.com"),"Outlook","Domain")))</f>
        <v/>
      </c>
      <c r="F1920">
        <f>IF(B1920="","",IFERROR(RIGHT(B1920,LEN(B1920)-FIND("@",B1920)),""))</f>
        <v/>
      </c>
      <c r="G1920">
        <f>IF(D1920="KEEP",COUNTIF($D$2:D1920,"KEEP"),"")</f>
        <v/>
      </c>
      <c r="H1920">
        <f>IF(D1920="REMOVE",COUNTIF($D$2:D1920,"REMOVE"),"")</f>
        <v/>
      </c>
      <c r="I1920">
        <f>IF(E1920="Gmail",COUNTIF($E$2:E1920,"Gmail"),"")</f>
        <v/>
      </c>
      <c r="J1920">
        <f>IF(E1920="Outlook",COUNTIF($E$2:E1920,"Outlook"),"")</f>
        <v/>
      </c>
      <c r="K1920">
        <f>IF(E1920="Domain",COUNTIF($E$2:E1920,"Domain"),"")</f>
        <v/>
      </c>
    </row>
    <row r="1921">
      <c r="A1921" s="2" t="n"/>
      <c r="B1921">
        <f>LOWER(TRIM(A1921))</f>
        <v/>
      </c>
      <c r="C1921">
        <f>IF(B1921="","",IFERROR(INDEX('Bad Patterns'!$A$2:$A$120,MATCH(1,INDEX(--ISNUMBER(SEARCH('Bad Patterns'!$A$2:$A$120,B1921)),0),0)),""))</f>
        <v/>
      </c>
      <c r="D1921">
        <f>IF(B1921="","",IF(C1921&lt;&gt;"","REMOVE","KEEP"))</f>
        <v/>
      </c>
      <c r="E1921">
        <f>IF(D1921&lt;&gt;"KEEP","",IF(RIGHT(B1921,10)="@gmail.com","Gmail",IF(OR(RIGHT(B1921,12)="@outlook.com",RIGHT(B1921,12)="@hotmail.com",RIGHT(B1921,9)="@live.com"),"Outlook","Domain")))</f>
        <v/>
      </c>
      <c r="F1921">
        <f>IF(B1921="","",IFERROR(RIGHT(B1921,LEN(B1921)-FIND("@",B1921)),""))</f>
        <v/>
      </c>
      <c r="G1921">
        <f>IF(D1921="KEEP",COUNTIF($D$2:D1921,"KEEP"),"")</f>
        <v/>
      </c>
      <c r="H1921">
        <f>IF(D1921="REMOVE",COUNTIF($D$2:D1921,"REMOVE"),"")</f>
        <v/>
      </c>
      <c r="I1921">
        <f>IF(E1921="Gmail",COUNTIF($E$2:E1921,"Gmail"),"")</f>
        <v/>
      </c>
      <c r="J1921">
        <f>IF(E1921="Outlook",COUNTIF($E$2:E1921,"Outlook"),"")</f>
        <v/>
      </c>
      <c r="K1921">
        <f>IF(E1921="Domain",COUNTIF($E$2:E1921,"Domain"),"")</f>
        <v/>
      </c>
    </row>
    <row r="1922">
      <c r="A1922" s="2" t="n"/>
      <c r="B1922">
        <f>LOWER(TRIM(A1922))</f>
        <v/>
      </c>
      <c r="C1922">
        <f>IF(B1922="","",IFERROR(INDEX('Bad Patterns'!$A$2:$A$120,MATCH(1,INDEX(--ISNUMBER(SEARCH('Bad Patterns'!$A$2:$A$120,B1922)),0),0)),""))</f>
        <v/>
      </c>
      <c r="D1922">
        <f>IF(B1922="","",IF(C1922&lt;&gt;"","REMOVE","KEEP"))</f>
        <v/>
      </c>
      <c r="E1922">
        <f>IF(D1922&lt;&gt;"KEEP","",IF(RIGHT(B1922,10)="@gmail.com","Gmail",IF(OR(RIGHT(B1922,12)="@outlook.com",RIGHT(B1922,12)="@hotmail.com",RIGHT(B1922,9)="@live.com"),"Outlook","Domain")))</f>
        <v/>
      </c>
      <c r="F1922">
        <f>IF(B1922="","",IFERROR(RIGHT(B1922,LEN(B1922)-FIND("@",B1922)),""))</f>
        <v/>
      </c>
      <c r="G1922">
        <f>IF(D1922="KEEP",COUNTIF($D$2:D1922,"KEEP"),"")</f>
        <v/>
      </c>
      <c r="H1922">
        <f>IF(D1922="REMOVE",COUNTIF($D$2:D1922,"REMOVE"),"")</f>
        <v/>
      </c>
      <c r="I1922">
        <f>IF(E1922="Gmail",COUNTIF($E$2:E1922,"Gmail"),"")</f>
        <v/>
      </c>
      <c r="J1922">
        <f>IF(E1922="Outlook",COUNTIF($E$2:E1922,"Outlook"),"")</f>
        <v/>
      </c>
      <c r="K1922">
        <f>IF(E1922="Domain",COUNTIF($E$2:E1922,"Domain"),"")</f>
        <v/>
      </c>
    </row>
    <row r="1923">
      <c r="A1923" s="2" t="n"/>
      <c r="B1923">
        <f>LOWER(TRIM(A1923))</f>
        <v/>
      </c>
      <c r="C1923">
        <f>IF(B1923="","",IFERROR(INDEX('Bad Patterns'!$A$2:$A$120,MATCH(1,INDEX(--ISNUMBER(SEARCH('Bad Patterns'!$A$2:$A$120,B1923)),0),0)),""))</f>
        <v/>
      </c>
      <c r="D1923">
        <f>IF(B1923="","",IF(C1923&lt;&gt;"","REMOVE","KEEP"))</f>
        <v/>
      </c>
      <c r="E1923">
        <f>IF(D1923&lt;&gt;"KEEP","",IF(RIGHT(B1923,10)="@gmail.com","Gmail",IF(OR(RIGHT(B1923,12)="@outlook.com",RIGHT(B1923,12)="@hotmail.com",RIGHT(B1923,9)="@live.com"),"Outlook","Domain")))</f>
        <v/>
      </c>
      <c r="F1923">
        <f>IF(B1923="","",IFERROR(RIGHT(B1923,LEN(B1923)-FIND("@",B1923)),""))</f>
        <v/>
      </c>
      <c r="G1923">
        <f>IF(D1923="KEEP",COUNTIF($D$2:D1923,"KEEP"),"")</f>
        <v/>
      </c>
      <c r="H1923">
        <f>IF(D1923="REMOVE",COUNTIF($D$2:D1923,"REMOVE"),"")</f>
        <v/>
      </c>
      <c r="I1923">
        <f>IF(E1923="Gmail",COUNTIF($E$2:E1923,"Gmail"),"")</f>
        <v/>
      </c>
      <c r="J1923">
        <f>IF(E1923="Outlook",COUNTIF($E$2:E1923,"Outlook"),"")</f>
        <v/>
      </c>
      <c r="K1923">
        <f>IF(E1923="Domain",COUNTIF($E$2:E1923,"Domain"),"")</f>
        <v/>
      </c>
    </row>
    <row r="1924">
      <c r="A1924" s="2" t="n"/>
      <c r="B1924">
        <f>LOWER(TRIM(A1924))</f>
        <v/>
      </c>
      <c r="C1924">
        <f>IF(B1924="","",IFERROR(INDEX('Bad Patterns'!$A$2:$A$120,MATCH(1,INDEX(--ISNUMBER(SEARCH('Bad Patterns'!$A$2:$A$120,B1924)),0),0)),""))</f>
        <v/>
      </c>
      <c r="D1924">
        <f>IF(B1924="","",IF(C1924&lt;&gt;"","REMOVE","KEEP"))</f>
        <v/>
      </c>
      <c r="E1924">
        <f>IF(D1924&lt;&gt;"KEEP","",IF(RIGHT(B1924,10)="@gmail.com","Gmail",IF(OR(RIGHT(B1924,12)="@outlook.com",RIGHT(B1924,12)="@hotmail.com",RIGHT(B1924,9)="@live.com"),"Outlook","Domain")))</f>
        <v/>
      </c>
      <c r="F1924">
        <f>IF(B1924="","",IFERROR(RIGHT(B1924,LEN(B1924)-FIND("@",B1924)),""))</f>
        <v/>
      </c>
      <c r="G1924">
        <f>IF(D1924="KEEP",COUNTIF($D$2:D1924,"KEEP"),"")</f>
        <v/>
      </c>
      <c r="H1924">
        <f>IF(D1924="REMOVE",COUNTIF($D$2:D1924,"REMOVE"),"")</f>
        <v/>
      </c>
      <c r="I1924">
        <f>IF(E1924="Gmail",COUNTIF($E$2:E1924,"Gmail"),"")</f>
        <v/>
      </c>
      <c r="J1924">
        <f>IF(E1924="Outlook",COUNTIF($E$2:E1924,"Outlook"),"")</f>
        <v/>
      </c>
      <c r="K1924">
        <f>IF(E1924="Domain",COUNTIF($E$2:E1924,"Domain"),"")</f>
        <v/>
      </c>
    </row>
    <row r="1925">
      <c r="A1925" s="2" t="n"/>
      <c r="B1925">
        <f>LOWER(TRIM(A1925))</f>
        <v/>
      </c>
      <c r="C1925">
        <f>IF(B1925="","",IFERROR(INDEX('Bad Patterns'!$A$2:$A$120,MATCH(1,INDEX(--ISNUMBER(SEARCH('Bad Patterns'!$A$2:$A$120,B1925)),0),0)),""))</f>
        <v/>
      </c>
      <c r="D1925">
        <f>IF(B1925="","",IF(C1925&lt;&gt;"","REMOVE","KEEP"))</f>
        <v/>
      </c>
      <c r="E1925">
        <f>IF(D1925&lt;&gt;"KEEP","",IF(RIGHT(B1925,10)="@gmail.com","Gmail",IF(OR(RIGHT(B1925,12)="@outlook.com",RIGHT(B1925,12)="@hotmail.com",RIGHT(B1925,9)="@live.com"),"Outlook","Domain")))</f>
        <v/>
      </c>
      <c r="F1925">
        <f>IF(B1925="","",IFERROR(RIGHT(B1925,LEN(B1925)-FIND("@",B1925)),""))</f>
        <v/>
      </c>
      <c r="G1925">
        <f>IF(D1925="KEEP",COUNTIF($D$2:D1925,"KEEP"),"")</f>
        <v/>
      </c>
      <c r="H1925">
        <f>IF(D1925="REMOVE",COUNTIF($D$2:D1925,"REMOVE"),"")</f>
        <v/>
      </c>
      <c r="I1925">
        <f>IF(E1925="Gmail",COUNTIF($E$2:E1925,"Gmail"),"")</f>
        <v/>
      </c>
      <c r="J1925">
        <f>IF(E1925="Outlook",COUNTIF($E$2:E1925,"Outlook"),"")</f>
        <v/>
      </c>
      <c r="K1925">
        <f>IF(E1925="Domain",COUNTIF($E$2:E1925,"Domain"),"")</f>
        <v/>
      </c>
    </row>
    <row r="1926">
      <c r="A1926" s="2" t="n"/>
      <c r="B1926">
        <f>LOWER(TRIM(A1926))</f>
        <v/>
      </c>
      <c r="C1926">
        <f>IF(B1926="","",IFERROR(INDEX('Bad Patterns'!$A$2:$A$120,MATCH(1,INDEX(--ISNUMBER(SEARCH('Bad Patterns'!$A$2:$A$120,B1926)),0),0)),""))</f>
        <v/>
      </c>
      <c r="D1926">
        <f>IF(B1926="","",IF(C1926&lt;&gt;"","REMOVE","KEEP"))</f>
        <v/>
      </c>
      <c r="E1926">
        <f>IF(D1926&lt;&gt;"KEEP","",IF(RIGHT(B1926,10)="@gmail.com","Gmail",IF(OR(RIGHT(B1926,12)="@outlook.com",RIGHT(B1926,12)="@hotmail.com",RIGHT(B1926,9)="@live.com"),"Outlook","Domain")))</f>
        <v/>
      </c>
      <c r="F1926">
        <f>IF(B1926="","",IFERROR(RIGHT(B1926,LEN(B1926)-FIND("@",B1926)),""))</f>
        <v/>
      </c>
      <c r="G1926">
        <f>IF(D1926="KEEP",COUNTIF($D$2:D1926,"KEEP"),"")</f>
        <v/>
      </c>
      <c r="H1926">
        <f>IF(D1926="REMOVE",COUNTIF($D$2:D1926,"REMOVE"),"")</f>
        <v/>
      </c>
      <c r="I1926">
        <f>IF(E1926="Gmail",COUNTIF($E$2:E1926,"Gmail"),"")</f>
        <v/>
      </c>
      <c r="J1926">
        <f>IF(E1926="Outlook",COUNTIF($E$2:E1926,"Outlook"),"")</f>
        <v/>
      </c>
      <c r="K1926">
        <f>IF(E1926="Domain",COUNTIF($E$2:E1926,"Domain"),"")</f>
        <v/>
      </c>
    </row>
    <row r="1927">
      <c r="A1927" s="2" t="n"/>
      <c r="B1927">
        <f>LOWER(TRIM(A1927))</f>
        <v/>
      </c>
      <c r="C1927">
        <f>IF(B1927="","",IFERROR(INDEX('Bad Patterns'!$A$2:$A$120,MATCH(1,INDEX(--ISNUMBER(SEARCH('Bad Patterns'!$A$2:$A$120,B1927)),0),0)),""))</f>
        <v/>
      </c>
      <c r="D1927">
        <f>IF(B1927="","",IF(C1927&lt;&gt;"","REMOVE","KEEP"))</f>
        <v/>
      </c>
      <c r="E1927">
        <f>IF(D1927&lt;&gt;"KEEP","",IF(RIGHT(B1927,10)="@gmail.com","Gmail",IF(OR(RIGHT(B1927,12)="@outlook.com",RIGHT(B1927,12)="@hotmail.com",RIGHT(B1927,9)="@live.com"),"Outlook","Domain")))</f>
        <v/>
      </c>
      <c r="F1927">
        <f>IF(B1927="","",IFERROR(RIGHT(B1927,LEN(B1927)-FIND("@",B1927)),""))</f>
        <v/>
      </c>
      <c r="G1927">
        <f>IF(D1927="KEEP",COUNTIF($D$2:D1927,"KEEP"),"")</f>
        <v/>
      </c>
      <c r="H1927">
        <f>IF(D1927="REMOVE",COUNTIF($D$2:D1927,"REMOVE"),"")</f>
        <v/>
      </c>
      <c r="I1927">
        <f>IF(E1927="Gmail",COUNTIF($E$2:E1927,"Gmail"),"")</f>
        <v/>
      </c>
      <c r="J1927">
        <f>IF(E1927="Outlook",COUNTIF($E$2:E1927,"Outlook"),"")</f>
        <v/>
      </c>
      <c r="K1927">
        <f>IF(E1927="Domain",COUNTIF($E$2:E1927,"Domain"),"")</f>
        <v/>
      </c>
    </row>
    <row r="1928">
      <c r="A1928" s="2" t="n"/>
      <c r="B1928">
        <f>LOWER(TRIM(A1928))</f>
        <v/>
      </c>
      <c r="C1928">
        <f>IF(B1928="","",IFERROR(INDEX('Bad Patterns'!$A$2:$A$120,MATCH(1,INDEX(--ISNUMBER(SEARCH('Bad Patterns'!$A$2:$A$120,B1928)),0),0)),""))</f>
        <v/>
      </c>
      <c r="D1928">
        <f>IF(B1928="","",IF(C1928&lt;&gt;"","REMOVE","KEEP"))</f>
        <v/>
      </c>
      <c r="E1928">
        <f>IF(D1928&lt;&gt;"KEEP","",IF(RIGHT(B1928,10)="@gmail.com","Gmail",IF(OR(RIGHT(B1928,12)="@outlook.com",RIGHT(B1928,12)="@hotmail.com",RIGHT(B1928,9)="@live.com"),"Outlook","Domain")))</f>
        <v/>
      </c>
      <c r="F1928">
        <f>IF(B1928="","",IFERROR(RIGHT(B1928,LEN(B1928)-FIND("@",B1928)),""))</f>
        <v/>
      </c>
      <c r="G1928">
        <f>IF(D1928="KEEP",COUNTIF($D$2:D1928,"KEEP"),"")</f>
        <v/>
      </c>
      <c r="H1928">
        <f>IF(D1928="REMOVE",COUNTIF($D$2:D1928,"REMOVE"),"")</f>
        <v/>
      </c>
      <c r="I1928">
        <f>IF(E1928="Gmail",COUNTIF($E$2:E1928,"Gmail"),"")</f>
        <v/>
      </c>
      <c r="J1928">
        <f>IF(E1928="Outlook",COUNTIF($E$2:E1928,"Outlook"),"")</f>
        <v/>
      </c>
      <c r="K1928">
        <f>IF(E1928="Domain",COUNTIF($E$2:E1928,"Domain"),"")</f>
        <v/>
      </c>
    </row>
    <row r="1929">
      <c r="A1929" s="2" t="n"/>
      <c r="B1929">
        <f>LOWER(TRIM(A1929))</f>
        <v/>
      </c>
      <c r="C1929">
        <f>IF(B1929="","",IFERROR(INDEX('Bad Patterns'!$A$2:$A$120,MATCH(1,INDEX(--ISNUMBER(SEARCH('Bad Patterns'!$A$2:$A$120,B1929)),0),0)),""))</f>
        <v/>
      </c>
      <c r="D1929">
        <f>IF(B1929="","",IF(C1929&lt;&gt;"","REMOVE","KEEP"))</f>
        <v/>
      </c>
      <c r="E1929">
        <f>IF(D1929&lt;&gt;"KEEP","",IF(RIGHT(B1929,10)="@gmail.com","Gmail",IF(OR(RIGHT(B1929,12)="@outlook.com",RIGHT(B1929,12)="@hotmail.com",RIGHT(B1929,9)="@live.com"),"Outlook","Domain")))</f>
        <v/>
      </c>
      <c r="F1929">
        <f>IF(B1929="","",IFERROR(RIGHT(B1929,LEN(B1929)-FIND("@",B1929)),""))</f>
        <v/>
      </c>
      <c r="G1929">
        <f>IF(D1929="KEEP",COUNTIF($D$2:D1929,"KEEP"),"")</f>
        <v/>
      </c>
      <c r="H1929">
        <f>IF(D1929="REMOVE",COUNTIF($D$2:D1929,"REMOVE"),"")</f>
        <v/>
      </c>
      <c r="I1929">
        <f>IF(E1929="Gmail",COUNTIF($E$2:E1929,"Gmail"),"")</f>
        <v/>
      </c>
      <c r="J1929">
        <f>IF(E1929="Outlook",COUNTIF($E$2:E1929,"Outlook"),"")</f>
        <v/>
      </c>
      <c r="K1929">
        <f>IF(E1929="Domain",COUNTIF($E$2:E1929,"Domain"),"")</f>
        <v/>
      </c>
    </row>
    <row r="1930">
      <c r="A1930" s="2" t="n"/>
      <c r="B1930">
        <f>LOWER(TRIM(A1930))</f>
        <v/>
      </c>
      <c r="C1930">
        <f>IF(B1930="","",IFERROR(INDEX('Bad Patterns'!$A$2:$A$120,MATCH(1,INDEX(--ISNUMBER(SEARCH('Bad Patterns'!$A$2:$A$120,B1930)),0),0)),""))</f>
        <v/>
      </c>
      <c r="D1930">
        <f>IF(B1930="","",IF(C1930&lt;&gt;"","REMOVE","KEEP"))</f>
        <v/>
      </c>
      <c r="E1930">
        <f>IF(D1930&lt;&gt;"KEEP","",IF(RIGHT(B1930,10)="@gmail.com","Gmail",IF(OR(RIGHT(B1930,12)="@outlook.com",RIGHT(B1930,12)="@hotmail.com",RIGHT(B1930,9)="@live.com"),"Outlook","Domain")))</f>
        <v/>
      </c>
      <c r="F1930">
        <f>IF(B1930="","",IFERROR(RIGHT(B1930,LEN(B1930)-FIND("@",B1930)),""))</f>
        <v/>
      </c>
      <c r="G1930">
        <f>IF(D1930="KEEP",COUNTIF($D$2:D1930,"KEEP"),"")</f>
        <v/>
      </c>
      <c r="H1930">
        <f>IF(D1930="REMOVE",COUNTIF($D$2:D1930,"REMOVE"),"")</f>
        <v/>
      </c>
      <c r="I1930">
        <f>IF(E1930="Gmail",COUNTIF($E$2:E1930,"Gmail"),"")</f>
        <v/>
      </c>
      <c r="J1930">
        <f>IF(E1930="Outlook",COUNTIF($E$2:E1930,"Outlook"),"")</f>
        <v/>
      </c>
      <c r="K1930">
        <f>IF(E1930="Domain",COUNTIF($E$2:E1930,"Domain"),"")</f>
        <v/>
      </c>
    </row>
    <row r="1931">
      <c r="A1931" s="2" t="n"/>
      <c r="B1931">
        <f>LOWER(TRIM(A1931))</f>
        <v/>
      </c>
      <c r="C1931">
        <f>IF(B1931="","",IFERROR(INDEX('Bad Patterns'!$A$2:$A$120,MATCH(1,INDEX(--ISNUMBER(SEARCH('Bad Patterns'!$A$2:$A$120,B1931)),0),0)),""))</f>
        <v/>
      </c>
      <c r="D1931">
        <f>IF(B1931="","",IF(C1931&lt;&gt;"","REMOVE","KEEP"))</f>
        <v/>
      </c>
      <c r="E1931">
        <f>IF(D1931&lt;&gt;"KEEP","",IF(RIGHT(B1931,10)="@gmail.com","Gmail",IF(OR(RIGHT(B1931,12)="@outlook.com",RIGHT(B1931,12)="@hotmail.com",RIGHT(B1931,9)="@live.com"),"Outlook","Domain")))</f>
        <v/>
      </c>
      <c r="F1931">
        <f>IF(B1931="","",IFERROR(RIGHT(B1931,LEN(B1931)-FIND("@",B1931)),""))</f>
        <v/>
      </c>
      <c r="G1931">
        <f>IF(D1931="KEEP",COUNTIF($D$2:D1931,"KEEP"),"")</f>
        <v/>
      </c>
      <c r="H1931">
        <f>IF(D1931="REMOVE",COUNTIF($D$2:D1931,"REMOVE"),"")</f>
        <v/>
      </c>
      <c r="I1931">
        <f>IF(E1931="Gmail",COUNTIF($E$2:E1931,"Gmail"),"")</f>
        <v/>
      </c>
      <c r="J1931">
        <f>IF(E1931="Outlook",COUNTIF($E$2:E1931,"Outlook"),"")</f>
        <v/>
      </c>
      <c r="K1931">
        <f>IF(E1931="Domain",COUNTIF($E$2:E1931,"Domain"),"")</f>
        <v/>
      </c>
    </row>
    <row r="1932">
      <c r="A1932" s="2" t="n"/>
      <c r="B1932">
        <f>LOWER(TRIM(A1932))</f>
        <v/>
      </c>
      <c r="C1932">
        <f>IF(B1932="","",IFERROR(INDEX('Bad Patterns'!$A$2:$A$120,MATCH(1,INDEX(--ISNUMBER(SEARCH('Bad Patterns'!$A$2:$A$120,B1932)),0),0)),""))</f>
        <v/>
      </c>
      <c r="D1932">
        <f>IF(B1932="","",IF(C1932&lt;&gt;"","REMOVE","KEEP"))</f>
        <v/>
      </c>
      <c r="E1932">
        <f>IF(D1932&lt;&gt;"KEEP","",IF(RIGHT(B1932,10)="@gmail.com","Gmail",IF(OR(RIGHT(B1932,12)="@outlook.com",RIGHT(B1932,12)="@hotmail.com",RIGHT(B1932,9)="@live.com"),"Outlook","Domain")))</f>
        <v/>
      </c>
      <c r="F1932">
        <f>IF(B1932="","",IFERROR(RIGHT(B1932,LEN(B1932)-FIND("@",B1932)),""))</f>
        <v/>
      </c>
      <c r="G1932">
        <f>IF(D1932="KEEP",COUNTIF($D$2:D1932,"KEEP"),"")</f>
        <v/>
      </c>
      <c r="H1932">
        <f>IF(D1932="REMOVE",COUNTIF($D$2:D1932,"REMOVE"),"")</f>
        <v/>
      </c>
      <c r="I1932">
        <f>IF(E1932="Gmail",COUNTIF($E$2:E1932,"Gmail"),"")</f>
        <v/>
      </c>
      <c r="J1932">
        <f>IF(E1932="Outlook",COUNTIF($E$2:E1932,"Outlook"),"")</f>
        <v/>
      </c>
      <c r="K1932">
        <f>IF(E1932="Domain",COUNTIF($E$2:E1932,"Domain"),"")</f>
        <v/>
      </c>
    </row>
    <row r="1933">
      <c r="A1933" s="2" t="n"/>
      <c r="B1933">
        <f>LOWER(TRIM(A1933))</f>
        <v/>
      </c>
      <c r="C1933">
        <f>IF(B1933="","",IFERROR(INDEX('Bad Patterns'!$A$2:$A$120,MATCH(1,INDEX(--ISNUMBER(SEARCH('Bad Patterns'!$A$2:$A$120,B1933)),0),0)),""))</f>
        <v/>
      </c>
      <c r="D1933">
        <f>IF(B1933="","",IF(C1933&lt;&gt;"","REMOVE","KEEP"))</f>
        <v/>
      </c>
      <c r="E1933">
        <f>IF(D1933&lt;&gt;"KEEP","",IF(RIGHT(B1933,10)="@gmail.com","Gmail",IF(OR(RIGHT(B1933,12)="@outlook.com",RIGHT(B1933,12)="@hotmail.com",RIGHT(B1933,9)="@live.com"),"Outlook","Domain")))</f>
        <v/>
      </c>
      <c r="F1933">
        <f>IF(B1933="","",IFERROR(RIGHT(B1933,LEN(B1933)-FIND("@",B1933)),""))</f>
        <v/>
      </c>
      <c r="G1933">
        <f>IF(D1933="KEEP",COUNTIF($D$2:D1933,"KEEP"),"")</f>
        <v/>
      </c>
      <c r="H1933">
        <f>IF(D1933="REMOVE",COUNTIF($D$2:D1933,"REMOVE"),"")</f>
        <v/>
      </c>
      <c r="I1933">
        <f>IF(E1933="Gmail",COUNTIF($E$2:E1933,"Gmail"),"")</f>
        <v/>
      </c>
      <c r="J1933">
        <f>IF(E1933="Outlook",COUNTIF($E$2:E1933,"Outlook"),"")</f>
        <v/>
      </c>
      <c r="K1933">
        <f>IF(E1933="Domain",COUNTIF($E$2:E1933,"Domain"),"")</f>
        <v/>
      </c>
    </row>
    <row r="1934">
      <c r="A1934" s="2" t="n"/>
      <c r="B1934">
        <f>LOWER(TRIM(A1934))</f>
        <v/>
      </c>
      <c r="C1934">
        <f>IF(B1934="","",IFERROR(INDEX('Bad Patterns'!$A$2:$A$120,MATCH(1,INDEX(--ISNUMBER(SEARCH('Bad Patterns'!$A$2:$A$120,B1934)),0),0)),""))</f>
        <v/>
      </c>
      <c r="D1934">
        <f>IF(B1934="","",IF(C1934&lt;&gt;"","REMOVE","KEEP"))</f>
        <v/>
      </c>
      <c r="E1934">
        <f>IF(D1934&lt;&gt;"KEEP","",IF(RIGHT(B1934,10)="@gmail.com","Gmail",IF(OR(RIGHT(B1934,12)="@outlook.com",RIGHT(B1934,12)="@hotmail.com",RIGHT(B1934,9)="@live.com"),"Outlook","Domain")))</f>
        <v/>
      </c>
      <c r="F1934">
        <f>IF(B1934="","",IFERROR(RIGHT(B1934,LEN(B1934)-FIND("@",B1934)),""))</f>
        <v/>
      </c>
      <c r="G1934">
        <f>IF(D1934="KEEP",COUNTIF($D$2:D1934,"KEEP"),"")</f>
        <v/>
      </c>
      <c r="H1934">
        <f>IF(D1934="REMOVE",COUNTIF($D$2:D1934,"REMOVE"),"")</f>
        <v/>
      </c>
      <c r="I1934">
        <f>IF(E1934="Gmail",COUNTIF($E$2:E1934,"Gmail"),"")</f>
        <v/>
      </c>
      <c r="J1934">
        <f>IF(E1934="Outlook",COUNTIF($E$2:E1934,"Outlook"),"")</f>
        <v/>
      </c>
      <c r="K1934">
        <f>IF(E1934="Domain",COUNTIF($E$2:E1934,"Domain"),"")</f>
        <v/>
      </c>
    </row>
    <row r="1935">
      <c r="A1935" s="2" t="n"/>
      <c r="B1935">
        <f>LOWER(TRIM(A1935))</f>
        <v/>
      </c>
      <c r="C1935">
        <f>IF(B1935="","",IFERROR(INDEX('Bad Patterns'!$A$2:$A$120,MATCH(1,INDEX(--ISNUMBER(SEARCH('Bad Patterns'!$A$2:$A$120,B1935)),0),0)),""))</f>
        <v/>
      </c>
      <c r="D1935">
        <f>IF(B1935="","",IF(C1935&lt;&gt;"","REMOVE","KEEP"))</f>
        <v/>
      </c>
      <c r="E1935">
        <f>IF(D1935&lt;&gt;"KEEP","",IF(RIGHT(B1935,10)="@gmail.com","Gmail",IF(OR(RIGHT(B1935,12)="@outlook.com",RIGHT(B1935,12)="@hotmail.com",RIGHT(B1935,9)="@live.com"),"Outlook","Domain")))</f>
        <v/>
      </c>
      <c r="F1935">
        <f>IF(B1935="","",IFERROR(RIGHT(B1935,LEN(B1935)-FIND("@",B1935)),""))</f>
        <v/>
      </c>
      <c r="G1935">
        <f>IF(D1935="KEEP",COUNTIF($D$2:D1935,"KEEP"),"")</f>
        <v/>
      </c>
      <c r="H1935">
        <f>IF(D1935="REMOVE",COUNTIF($D$2:D1935,"REMOVE"),"")</f>
        <v/>
      </c>
      <c r="I1935">
        <f>IF(E1935="Gmail",COUNTIF($E$2:E1935,"Gmail"),"")</f>
        <v/>
      </c>
      <c r="J1935">
        <f>IF(E1935="Outlook",COUNTIF($E$2:E1935,"Outlook"),"")</f>
        <v/>
      </c>
      <c r="K1935">
        <f>IF(E1935="Domain",COUNTIF($E$2:E1935,"Domain"),"")</f>
        <v/>
      </c>
    </row>
    <row r="1936">
      <c r="A1936" s="2" t="n"/>
      <c r="B1936">
        <f>LOWER(TRIM(A1936))</f>
        <v/>
      </c>
      <c r="C1936">
        <f>IF(B1936="","",IFERROR(INDEX('Bad Patterns'!$A$2:$A$120,MATCH(1,INDEX(--ISNUMBER(SEARCH('Bad Patterns'!$A$2:$A$120,B1936)),0),0)),""))</f>
        <v/>
      </c>
      <c r="D1936">
        <f>IF(B1936="","",IF(C1936&lt;&gt;"","REMOVE","KEEP"))</f>
        <v/>
      </c>
      <c r="E1936">
        <f>IF(D1936&lt;&gt;"KEEP","",IF(RIGHT(B1936,10)="@gmail.com","Gmail",IF(OR(RIGHT(B1936,12)="@outlook.com",RIGHT(B1936,12)="@hotmail.com",RIGHT(B1936,9)="@live.com"),"Outlook","Domain")))</f>
        <v/>
      </c>
      <c r="F1936">
        <f>IF(B1936="","",IFERROR(RIGHT(B1936,LEN(B1936)-FIND("@",B1936)),""))</f>
        <v/>
      </c>
      <c r="G1936">
        <f>IF(D1936="KEEP",COUNTIF($D$2:D1936,"KEEP"),"")</f>
        <v/>
      </c>
      <c r="H1936">
        <f>IF(D1936="REMOVE",COUNTIF($D$2:D1936,"REMOVE"),"")</f>
        <v/>
      </c>
      <c r="I1936">
        <f>IF(E1936="Gmail",COUNTIF($E$2:E1936,"Gmail"),"")</f>
        <v/>
      </c>
      <c r="J1936">
        <f>IF(E1936="Outlook",COUNTIF($E$2:E1936,"Outlook"),"")</f>
        <v/>
      </c>
      <c r="K1936">
        <f>IF(E1936="Domain",COUNTIF($E$2:E1936,"Domain"),"")</f>
        <v/>
      </c>
    </row>
    <row r="1937">
      <c r="A1937" s="2" t="n"/>
      <c r="B1937">
        <f>LOWER(TRIM(A1937))</f>
        <v/>
      </c>
      <c r="C1937">
        <f>IF(B1937="","",IFERROR(INDEX('Bad Patterns'!$A$2:$A$120,MATCH(1,INDEX(--ISNUMBER(SEARCH('Bad Patterns'!$A$2:$A$120,B1937)),0),0)),""))</f>
        <v/>
      </c>
      <c r="D1937">
        <f>IF(B1937="","",IF(C1937&lt;&gt;"","REMOVE","KEEP"))</f>
        <v/>
      </c>
      <c r="E1937">
        <f>IF(D1937&lt;&gt;"KEEP","",IF(RIGHT(B1937,10)="@gmail.com","Gmail",IF(OR(RIGHT(B1937,12)="@outlook.com",RIGHT(B1937,12)="@hotmail.com",RIGHT(B1937,9)="@live.com"),"Outlook","Domain")))</f>
        <v/>
      </c>
      <c r="F1937">
        <f>IF(B1937="","",IFERROR(RIGHT(B1937,LEN(B1937)-FIND("@",B1937)),""))</f>
        <v/>
      </c>
      <c r="G1937">
        <f>IF(D1937="KEEP",COUNTIF($D$2:D1937,"KEEP"),"")</f>
        <v/>
      </c>
      <c r="H1937">
        <f>IF(D1937="REMOVE",COUNTIF($D$2:D1937,"REMOVE"),"")</f>
        <v/>
      </c>
      <c r="I1937">
        <f>IF(E1937="Gmail",COUNTIF($E$2:E1937,"Gmail"),"")</f>
        <v/>
      </c>
      <c r="J1937">
        <f>IF(E1937="Outlook",COUNTIF($E$2:E1937,"Outlook"),"")</f>
        <v/>
      </c>
      <c r="K1937">
        <f>IF(E1937="Domain",COUNTIF($E$2:E1937,"Domain"),"")</f>
        <v/>
      </c>
    </row>
    <row r="1938">
      <c r="A1938" s="2" t="n"/>
      <c r="B1938">
        <f>LOWER(TRIM(A1938))</f>
        <v/>
      </c>
      <c r="C1938">
        <f>IF(B1938="","",IFERROR(INDEX('Bad Patterns'!$A$2:$A$120,MATCH(1,INDEX(--ISNUMBER(SEARCH('Bad Patterns'!$A$2:$A$120,B1938)),0),0)),""))</f>
        <v/>
      </c>
      <c r="D1938">
        <f>IF(B1938="","",IF(C1938&lt;&gt;"","REMOVE","KEEP"))</f>
        <v/>
      </c>
      <c r="E1938">
        <f>IF(D1938&lt;&gt;"KEEP","",IF(RIGHT(B1938,10)="@gmail.com","Gmail",IF(OR(RIGHT(B1938,12)="@outlook.com",RIGHT(B1938,12)="@hotmail.com",RIGHT(B1938,9)="@live.com"),"Outlook","Domain")))</f>
        <v/>
      </c>
      <c r="F1938">
        <f>IF(B1938="","",IFERROR(RIGHT(B1938,LEN(B1938)-FIND("@",B1938)),""))</f>
        <v/>
      </c>
      <c r="G1938">
        <f>IF(D1938="KEEP",COUNTIF($D$2:D1938,"KEEP"),"")</f>
        <v/>
      </c>
      <c r="H1938">
        <f>IF(D1938="REMOVE",COUNTIF($D$2:D1938,"REMOVE"),"")</f>
        <v/>
      </c>
      <c r="I1938">
        <f>IF(E1938="Gmail",COUNTIF($E$2:E1938,"Gmail"),"")</f>
        <v/>
      </c>
      <c r="J1938">
        <f>IF(E1938="Outlook",COUNTIF($E$2:E1938,"Outlook"),"")</f>
        <v/>
      </c>
      <c r="K1938">
        <f>IF(E1938="Domain",COUNTIF($E$2:E1938,"Domain"),"")</f>
        <v/>
      </c>
    </row>
    <row r="1939">
      <c r="A1939" s="2" t="n"/>
      <c r="B1939">
        <f>LOWER(TRIM(A1939))</f>
        <v/>
      </c>
      <c r="C1939">
        <f>IF(B1939="","",IFERROR(INDEX('Bad Patterns'!$A$2:$A$120,MATCH(1,INDEX(--ISNUMBER(SEARCH('Bad Patterns'!$A$2:$A$120,B1939)),0),0)),""))</f>
        <v/>
      </c>
      <c r="D1939">
        <f>IF(B1939="","",IF(C1939&lt;&gt;"","REMOVE","KEEP"))</f>
        <v/>
      </c>
      <c r="E1939">
        <f>IF(D1939&lt;&gt;"KEEP","",IF(RIGHT(B1939,10)="@gmail.com","Gmail",IF(OR(RIGHT(B1939,12)="@outlook.com",RIGHT(B1939,12)="@hotmail.com",RIGHT(B1939,9)="@live.com"),"Outlook","Domain")))</f>
        <v/>
      </c>
      <c r="F1939">
        <f>IF(B1939="","",IFERROR(RIGHT(B1939,LEN(B1939)-FIND("@",B1939)),""))</f>
        <v/>
      </c>
      <c r="G1939">
        <f>IF(D1939="KEEP",COUNTIF($D$2:D1939,"KEEP"),"")</f>
        <v/>
      </c>
      <c r="H1939">
        <f>IF(D1939="REMOVE",COUNTIF($D$2:D1939,"REMOVE"),"")</f>
        <v/>
      </c>
      <c r="I1939">
        <f>IF(E1939="Gmail",COUNTIF($E$2:E1939,"Gmail"),"")</f>
        <v/>
      </c>
      <c r="J1939">
        <f>IF(E1939="Outlook",COUNTIF($E$2:E1939,"Outlook"),"")</f>
        <v/>
      </c>
      <c r="K1939">
        <f>IF(E1939="Domain",COUNTIF($E$2:E1939,"Domain"),"")</f>
        <v/>
      </c>
    </row>
    <row r="1940">
      <c r="A1940" s="2" t="n"/>
      <c r="B1940">
        <f>LOWER(TRIM(A1940))</f>
        <v/>
      </c>
      <c r="C1940">
        <f>IF(B1940="","",IFERROR(INDEX('Bad Patterns'!$A$2:$A$120,MATCH(1,INDEX(--ISNUMBER(SEARCH('Bad Patterns'!$A$2:$A$120,B1940)),0),0)),""))</f>
        <v/>
      </c>
      <c r="D1940">
        <f>IF(B1940="","",IF(C1940&lt;&gt;"","REMOVE","KEEP"))</f>
        <v/>
      </c>
      <c r="E1940">
        <f>IF(D1940&lt;&gt;"KEEP","",IF(RIGHT(B1940,10)="@gmail.com","Gmail",IF(OR(RIGHT(B1940,12)="@outlook.com",RIGHT(B1940,12)="@hotmail.com",RIGHT(B1940,9)="@live.com"),"Outlook","Domain")))</f>
        <v/>
      </c>
      <c r="F1940">
        <f>IF(B1940="","",IFERROR(RIGHT(B1940,LEN(B1940)-FIND("@",B1940)),""))</f>
        <v/>
      </c>
      <c r="G1940">
        <f>IF(D1940="KEEP",COUNTIF($D$2:D1940,"KEEP"),"")</f>
        <v/>
      </c>
      <c r="H1940">
        <f>IF(D1940="REMOVE",COUNTIF($D$2:D1940,"REMOVE"),"")</f>
        <v/>
      </c>
      <c r="I1940">
        <f>IF(E1940="Gmail",COUNTIF($E$2:E1940,"Gmail"),"")</f>
        <v/>
      </c>
      <c r="J1940">
        <f>IF(E1940="Outlook",COUNTIF($E$2:E1940,"Outlook"),"")</f>
        <v/>
      </c>
      <c r="K1940">
        <f>IF(E1940="Domain",COUNTIF($E$2:E1940,"Domain"),"")</f>
        <v/>
      </c>
    </row>
    <row r="1941">
      <c r="A1941" s="2" t="n"/>
      <c r="B1941">
        <f>LOWER(TRIM(A1941))</f>
        <v/>
      </c>
      <c r="C1941">
        <f>IF(B1941="","",IFERROR(INDEX('Bad Patterns'!$A$2:$A$120,MATCH(1,INDEX(--ISNUMBER(SEARCH('Bad Patterns'!$A$2:$A$120,B1941)),0),0)),""))</f>
        <v/>
      </c>
      <c r="D1941">
        <f>IF(B1941="","",IF(C1941&lt;&gt;"","REMOVE","KEEP"))</f>
        <v/>
      </c>
      <c r="E1941">
        <f>IF(D1941&lt;&gt;"KEEP","",IF(RIGHT(B1941,10)="@gmail.com","Gmail",IF(OR(RIGHT(B1941,12)="@outlook.com",RIGHT(B1941,12)="@hotmail.com",RIGHT(B1941,9)="@live.com"),"Outlook","Domain")))</f>
        <v/>
      </c>
      <c r="F1941">
        <f>IF(B1941="","",IFERROR(RIGHT(B1941,LEN(B1941)-FIND("@",B1941)),""))</f>
        <v/>
      </c>
      <c r="G1941">
        <f>IF(D1941="KEEP",COUNTIF($D$2:D1941,"KEEP"),"")</f>
        <v/>
      </c>
      <c r="H1941">
        <f>IF(D1941="REMOVE",COUNTIF($D$2:D1941,"REMOVE"),"")</f>
        <v/>
      </c>
      <c r="I1941">
        <f>IF(E1941="Gmail",COUNTIF($E$2:E1941,"Gmail"),"")</f>
        <v/>
      </c>
      <c r="J1941">
        <f>IF(E1941="Outlook",COUNTIF($E$2:E1941,"Outlook"),"")</f>
        <v/>
      </c>
      <c r="K1941">
        <f>IF(E1941="Domain",COUNTIF($E$2:E1941,"Domain"),"")</f>
        <v/>
      </c>
    </row>
    <row r="1942">
      <c r="A1942" s="2" t="n"/>
      <c r="B1942">
        <f>LOWER(TRIM(A1942))</f>
        <v/>
      </c>
      <c r="C1942">
        <f>IF(B1942="","",IFERROR(INDEX('Bad Patterns'!$A$2:$A$120,MATCH(1,INDEX(--ISNUMBER(SEARCH('Bad Patterns'!$A$2:$A$120,B1942)),0),0)),""))</f>
        <v/>
      </c>
      <c r="D1942">
        <f>IF(B1942="","",IF(C1942&lt;&gt;"","REMOVE","KEEP"))</f>
        <v/>
      </c>
      <c r="E1942">
        <f>IF(D1942&lt;&gt;"KEEP","",IF(RIGHT(B1942,10)="@gmail.com","Gmail",IF(OR(RIGHT(B1942,12)="@outlook.com",RIGHT(B1942,12)="@hotmail.com",RIGHT(B1942,9)="@live.com"),"Outlook","Domain")))</f>
        <v/>
      </c>
      <c r="F1942">
        <f>IF(B1942="","",IFERROR(RIGHT(B1942,LEN(B1942)-FIND("@",B1942)),""))</f>
        <v/>
      </c>
      <c r="G1942">
        <f>IF(D1942="KEEP",COUNTIF($D$2:D1942,"KEEP"),"")</f>
        <v/>
      </c>
      <c r="H1942">
        <f>IF(D1942="REMOVE",COUNTIF($D$2:D1942,"REMOVE"),"")</f>
        <v/>
      </c>
      <c r="I1942">
        <f>IF(E1942="Gmail",COUNTIF($E$2:E1942,"Gmail"),"")</f>
        <v/>
      </c>
      <c r="J1942">
        <f>IF(E1942="Outlook",COUNTIF($E$2:E1942,"Outlook"),"")</f>
        <v/>
      </c>
      <c r="K1942">
        <f>IF(E1942="Domain",COUNTIF($E$2:E1942,"Domain"),"")</f>
        <v/>
      </c>
    </row>
    <row r="1943">
      <c r="A1943" s="2" t="n"/>
      <c r="B1943">
        <f>LOWER(TRIM(A1943))</f>
        <v/>
      </c>
      <c r="C1943">
        <f>IF(B1943="","",IFERROR(INDEX('Bad Patterns'!$A$2:$A$120,MATCH(1,INDEX(--ISNUMBER(SEARCH('Bad Patterns'!$A$2:$A$120,B1943)),0),0)),""))</f>
        <v/>
      </c>
      <c r="D1943">
        <f>IF(B1943="","",IF(C1943&lt;&gt;"","REMOVE","KEEP"))</f>
        <v/>
      </c>
      <c r="E1943">
        <f>IF(D1943&lt;&gt;"KEEP","",IF(RIGHT(B1943,10)="@gmail.com","Gmail",IF(OR(RIGHT(B1943,12)="@outlook.com",RIGHT(B1943,12)="@hotmail.com",RIGHT(B1943,9)="@live.com"),"Outlook","Domain")))</f>
        <v/>
      </c>
      <c r="F1943">
        <f>IF(B1943="","",IFERROR(RIGHT(B1943,LEN(B1943)-FIND("@",B1943)),""))</f>
        <v/>
      </c>
      <c r="G1943">
        <f>IF(D1943="KEEP",COUNTIF($D$2:D1943,"KEEP"),"")</f>
        <v/>
      </c>
      <c r="H1943">
        <f>IF(D1943="REMOVE",COUNTIF($D$2:D1943,"REMOVE"),"")</f>
        <v/>
      </c>
      <c r="I1943">
        <f>IF(E1943="Gmail",COUNTIF($E$2:E1943,"Gmail"),"")</f>
        <v/>
      </c>
      <c r="J1943">
        <f>IF(E1943="Outlook",COUNTIF($E$2:E1943,"Outlook"),"")</f>
        <v/>
      </c>
      <c r="K1943">
        <f>IF(E1943="Domain",COUNTIF($E$2:E1943,"Domain"),"")</f>
        <v/>
      </c>
    </row>
    <row r="1944">
      <c r="A1944" s="2" t="n"/>
      <c r="B1944">
        <f>LOWER(TRIM(A1944))</f>
        <v/>
      </c>
      <c r="C1944">
        <f>IF(B1944="","",IFERROR(INDEX('Bad Patterns'!$A$2:$A$120,MATCH(1,INDEX(--ISNUMBER(SEARCH('Bad Patterns'!$A$2:$A$120,B1944)),0),0)),""))</f>
        <v/>
      </c>
      <c r="D1944">
        <f>IF(B1944="","",IF(C1944&lt;&gt;"","REMOVE","KEEP"))</f>
        <v/>
      </c>
      <c r="E1944">
        <f>IF(D1944&lt;&gt;"KEEP","",IF(RIGHT(B1944,10)="@gmail.com","Gmail",IF(OR(RIGHT(B1944,12)="@outlook.com",RIGHT(B1944,12)="@hotmail.com",RIGHT(B1944,9)="@live.com"),"Outlook","Domain")))</f>
        <v/>
      </c>
      <c r="F1944">
        <f>IF(B1944="","",IFERROR(RIGHT(B1944,LEN(B1944)-FIND("@",B1944)),""))</f>
        <v/>
      </c>
      <c r="G1944">
        <f>IF(D1944="KEEP",COUNTIF($D$2:D1944,"KEEP"),"")</f>
        <v/>
      </c>
      <c r="H1944">
        <f>IF(D1944="REMOVE",COUNTIF($D$2:D1944,"REMOVE"),"")</f>
        <v/>
      </c>
      <c r="I1944">
        <f>IF(E1944="Gmail",COUNTIF($E$2:E1944,"Gmail"),"")</f>
        <v/>
      </c>
      <c r="J1944">
        <f>IF(E1944="Outlook",COUNTIF($E$2:E1944,"Outlook"),"")</f>
        <v/>
      </c>
      <c r="K1944">
        <f>IF(E1944="Domain",COUNTIF($E$2:E1944,"Domain"),"")</f>
        <v/>
      </c>
    </row>
    <row r="1945">
      <c r="A1945" s="2" t="n"/>
      <c r="B1945">
        <f>LOWER(TRIM(A1945))</f>
        <v/>
      </c>
      <c r="C1945">
        <f>IF(B1945="","",IFERROR(INDEX('Bad Patterns'!$A$2:$A$120,MATCH(1,INDEX(--ISNUMBER(SEARCH('Bad Patterns'!$A$2:$A$120,B1945)),0),0)),""))</f>
        <v/>
      </c>
      <c r="D1945">
        <f>IF(B1945="","",IF(C1945&lt;&gt;"","REMOVE","KEEP"))</f>
        <v/>
      </c>
      <c r="E1945">
        <f>IF(D1945&lt;&gt;"KEEP","",IF(RIGHT(B1945,10)="@gmail.com","Gmail",IF(OR(RIGHT(B1945,12)="@outlook.com",RIGHT(B1945,12)="@hotmail.com",RIGHT(B1945,9)="@live.com"),"Outlook","Domain")))</f>
        <v/>
      </c>
      <c r="F1945">
        <f>IF(B1945="","",IFERROR(RIGHT(B1945,LEN(B1945)-FIND("@",B1945)),""))</f>
        <v/>
      </c>
      <c r="G1945">
        <f>IF(D1945="KEEP",COUNTIF($D$2:D1945,"KEEP"),"")</f>
        <v/>
      </c>
      <c r="H1945">
        <f>IF(D1945="REMOVE",COUNTIF($D$2:D1945,"REMOVE"),"")</f>
        <v/>
      </c>
      <c r="I1945">
        <f>IF(E1945="Gmail",COUNTIF($E$2:E1945,"Gmail"),"")</f>
        <v/>
      </c>
      <c r="J1945">
        <f>IF(E1945="Outlook",COUNTIF($E$2:E1945,"Outlook"),"")</f>
        <v/>
      </c>
      <c r="K1945">
        <f>IF(E1945="Domain",COUNTIF($E$2:E1945,"Domain"),"")</f>
        <v/>
      </c>
    </row>
    <row r="1946">
      <c r="A1946" s="2" t="n"/>
      <c r="B1946">
        <f>LOWER(TRIM(A1946))</f>
        <v/>
      </c>
      <c r="C1946">
        <f>IF(B1946="","",IFERROR(INDEX('Bad Patterns'!$A$2:$A$120,MATCH(1,INDEX(--ISNUMBER(SEARCH('Bad Patterns'!$A$2:$A$120,B1946)),0),0)),""))</f>
        <v/>
      </c>
      <c r="D1946">
        <f>IF(B1946="","",IF(C1946&lt;&gt;"","REMOVE","KEEP"))</f>
        <v/>
      </c>
      <c r="E1946">
        <f>IF(D1946&lt;&gt;"KEEP","",IF(RIGHT(B1946,10)="@gmail.com","Gmail",IF(OR(RIGHT(B1946,12)="@outlook.com",RIGHT(B1946,12)="@hotmail.com",RIGHT(B1946,9)="@live.com"),"Outlook","Domain")))</f>
        <v/>
      </c>
      <c r="F1946">
        <f>IF(B1946="","",IFERROR(RIGHT(B1946,LEN(B1946)-FIND("@",B1946)),""))</f>
        <v/>
      </c>
      <c r="G1946">
        <f>IF(D1946="KEEP",COUNTIF($D$2:D1946,"KEEP"),"")</f>
        <v/>
      </c>
      <c r="H1946">
        <f>IF(D1946="REMOVE",COUNTIF($D$2:D1946,"REMOVE"),"")</f>
        <v/>
      </c>
      <c r="I1946">
        <f>IF(E1946="Gmail",COUNTIF($E$2:E1946,"Gmail"),"")</f>
        <v/>
      </c>
      <c r="J1946">
        <f>IF(E1946="Outlook",COUNTIF($E$2:E1946,"Outlook"),"")</f>
        <v/>
      </c>
      <c r="K1946">
        <f>IF(E1946="Domain",COUNTIF($E$2:E1946,"Domain"),"")</f>
        <v/>
      </c>
    </row>
    <row r="1947">
      <c r="A1947" s="2" t="n"/>
      <c r="B1947">
        <f>LOWER(TRIM(A1947))</f>
        <v/>
      </c>
      <c r="C1947">
        <f>IF(B1947="","",IFERROR(INDEX('Bad Patterns'!$A$2:$A$120,MATCH(1,INDEX(--ISNUMBER(SEARCH('Bad Patterns'!$A$2:$A$120,B1947)),0),0)),""))</f>
        <v/>
      </c>
      <c r="D1947">
        <f>IF(B1947="","",IF(C1947&lt;&gt;"","REMOVE","KEEP"))</f>
        <v/>
      </c>
      <c r="E1947">
        <f>IF(D1947&lt;&gt;"KEEP","",IF(RIGHT(B1947,10)="@gmail.com","Gmail",IF(OR(RIGHT(B1947,12)="@outlook.com",RIGHT(B1947,12)="@hotmail.com",RIGHT(B1947,9)="@live.com"),"Outlook","Domain")))</f>
        <v/>
      </c>
      <c r="F1947">
        <f>IF(B1947="","",IFERROR(RIGHT(B1947,LEN(B1947)-FIND("@",B1947)),""))</f>
        <v/>
      </c>
      <c r="G1947">
        <f>IF(D1947="KEEP",COUNTIF($D$2:D1947,"KEEP"),"")</f>
        <v/>
      </c>
      <c r="H1947">
        <f>IF(D1947="REMOVE",COUNTIF($D$2:D1947,"REMOVE"),"")</f>
        <v/>
      </c>
      <c r="I1947">
        <f>IF(E1947="Gmail",COUNTIF($E$2:E1947,"Gmail"),"")</f>
        <v/>
      </c>
      <c r="J1947">
        <f>IF(E1947="Outlook",COUNTIF($E$2:E1947,"Outlook"),"")</f>
        <v/>
      </c>
      <c r="K1947">
        <f>IF(E1947="Domain",COUNTIF($E$2:E1947,"Domain"),"")</f>
        <v/>
      </c>
    </row>
    <row r="1948">
      <c r="A1948" s="2" t="n"/>
      <c r="B1948">
        <f>LOWER(TRIM(A1948))</f>
        <v/>
      </c>
      <c r="C1948">
        <f>IF(B1948="","",IFERROR(INDEX('Bad Patterns'!$A$2:$A$120,MATCH(1,INDEX(--ISNUMBER(SEARCH('Bad Patterns'!$A$2:$A$120,B1948)),0),0)),""))</f>
        <v/>
      </c>
      <c r="D1948">
        <f>IF(B1948="","",IF(C1948&lt;&gt;"","REMOVE","KEEP"))</f>
        <v/>
      </c>
      <c r="E1948">
        <f>IF(D1948&lt;&gt;"KEEP","",IF(RIGHT(B1948,10)="@gmail.com","Gmail",IF(OR(RIGHT(B1948,12)="@outlook.com",RIGHT(B1948,12)="@hotmail.com",RIGHT(B1948,9)="@live.com"),"Outlook","Domain")))</f>
        <v/>
      </c>
      <c r="F1948">
        <f>IF(B1948="","",IFERROR(RIGHT(B1948,LEN(B1948)-FIND("@",B1948)),""))</f>
        <v/>
      </c>
      <c r="G1948">
        <f>IF(D1948="KEEP",COUNTIF($D$2:D1948,"KEEP"),"")</f>
        <v/>
      </c>
      <c r="H1948">
        <f>IF(D1948="REMOVE",COUNTIF($D$2:D1948,"REMOVE"),"")</f>
        <v/>
      </c>
      <c r="I1948">
        <f>IF(E1948="Gmail",COUNTIF($E$2:E1948,"Gmail"),"")</f>
        <v/>
      </c>
      <c r="J1948">
        <f>IF(E1948="Outlook",COUNTIF($E$2:E1948,"Outlook"),"")</f>
        <v/>
      </c>
      <c r="K1948">
        <f>IF(E1948="Domain",COUNTIF($E$2:E1948,"Domain"),"")</f>
        <v/>
      </c>
    </row>
    <row r="1949">
      <c r="A1949" s="2" t="n"/>
      <c r="B1949">
        <f>LOWER(TRIM(A1949))</f>
        <v/>
      </c>
      <c r="C1949">
        <f>IF(B1949="","",IFERROR(INDEX('Bad Patterns'!$A$2:$A$120,MATCH(1,INDEX(--ISNUMBER(SEARCH('Bad Patterns'!$A$2:$A$120,B1949)),0),0)),""))</f>
        <v/>
      </c>
      <c r="D1949">
        <f>IF(B1949="","",IF(C1949&lt;&gt;"","REMOVE","KEEP"))</f>
        <v/>
      </c>
      <c r="E1949">
        <f>IF(D1949&lt;&gt;"KEEP","",IF(RIGHT(B1949,10)="@gmail.com","Gmail",IF(OR(RIGHT(B1949,12)="@outlook.com",RIGHT(B1949,12)="@hotmail.com",RIGHT(B1949,9)="@live.com"),"Outlook","Domain")))</f>
        <v/>
      </c>
      <c r="F1949">
        <f>IF(B1949="","",IFERROR(RIGHT(B1949,LEN(B1949)-FIND("@",B1949)),""))</f>
        <v/>
      </c>
      <c r="G1949">
        <f>IF(D1949="KEEP",COUNTIF($D$2:D1949,"KEEP"),"")</f>
        <v/>
      </c>
      <c r="H1949">
        <f>IF(D1949="REMOVE",COUNTIF($D$2:D1949,"REMOVE"),"")</f>
        <v/>
      </c>
      <c r="I1949">
        <f>IF(E1949="Gmail",COUNTIF($E$2:E1949,"Gmail"),"")</f>
        <v/>
      </c>
      <c r="J1949">
        <f>IF(E1949="Outlook",COUNTIF($E$2:E1949,"Outlook"),"")</f>
        <v/>
      </c>
      <c r="K1949">
        <f>IF(E1949="Domain",COUNTIF($E$2:E1949,"Domain"),"")</f>
        <v/>
      </c>
    </row>
    <row r="1950">
      <c r="A1950" s="2" t="n"/>
      <c r="B1950">
        <f>LOWER(TRIM(A1950))</f>
        <v/>
      </c>
      <c r="C1950">
        <f>IF(B1950="","",IFERROR(INDEX('Bad Patterns'!$A$2:$A$120,MATCH(1,INDEX(--ISNUMBER(SEARCH('Bad Patterns'!$A$2:$A$120,B1950)),0),0)),""))</f>
        <v/>
      </c>
      <c r="D1950">
        <f>IF(B1950="","",IF(C1950&lt;&gt;"","REMOVE","KEEP"))</f>
        <v/>
      </c>
      <c r="E1950">
        <f>IF(D1950&lt;&gt;"KEEP","",IF(RIGHT(B1950,10)="@gmail.com","Gmail",IF(OR(RIGHT(B1950,12)="@outlook.com",RIGHT(B1950,12)="@hotmail.com",RIGHT(B1950,9)="@live.com"),"Outlook","Domain")))</f>
        <v/>
      </c>
      <c r="F1950">
        <f>IF(B1950="","",IFERROR(RIGHT(B1950,LEN(B1950)-FIND("@",B1950)),""))</f>
        <v/>
      </c>
      <c r="G1950">
        <f>IF(D1950="KEEP",COUNTIF($D$2:D1950,"KEEP"),"")</f>
        <v/>
      </c>
      <c r="H1950">
        <f>IF(D1950="REMOVE",COUNTIF($D$2:D1950,"REMOVE"),"")</f>
        <v/>
      </c>
      <c r="I1950">
        <f>IF(E1950="Gmail",COUNTIF($E$2:E1950,"Gmail"),"")</f>
        <v/>
      </c>
      <c r="J1950">
        <f>IF(E1950="Outlook",COUNTIF($E$2:E1950,"Outlook"),"")</f>
        <v/>
      </c>
      <c r="K1950">
        <f>IF(E1950="Domain",COUNTIF($E$2:E1950,"Domain"),"")</f>
        <v/>
      </c>
    </row>
    <row r="1951">
      <c r="A1951" s="2" t="n"/>
      <c r="B1951">
        <f>LOWER(TRIM(A1951))</f>
        <v/>
      </c>
      <c r="C1951">
        <f>IF(B1951="","",IFERROR(INDEX('Bad Patterns'!$A$2:$A$120,MATCH(1,INDEX(--ISNUMBER(SEARCH('Bad Patterns'!$A$2:$A$120,B1951)),0),0)),""))</f>
        <v/>
      </c>
      <c r="D1951">
        <f>IF(B1951="","",IF(C1951&lt;&gt;"","REMOVE","KEEP"))</f>
        <v/>
      </c>
      <c r="E1951">
        <f>IF(D1951&lt;&gt;"KEEP","",IF(RIGHT(B1951,10)="@gmail.com","Gmail",IF(OR(RIGHT(B1951,12)="@outlook.com",RIGHT(B1951,12)="@hotmail.com",RIGHT(B1951,9)="@live.com"),"Outlook","Domain")))</f>
        <v/>
      </c>
      <c r="F1951">
        <f>IF(B1951="","",IFERROR(RIGHT(B1951,LEN(B1951)-FIND("@",B1951)),""))</f>
        <v/>
      </c>
      <c r="G1951">
        <f>IF(D1951="KEEP",COUNTIF($D$2:D1951,"KEEP"),"")</f>
        <v/>
      </c>
      <c r="H1951">
        <f>IF(D1951="REMOVE",COUNTIF($D$2:D1951,"REMOVE"),"")</f>
        <v/>
      </c>
      <c r="I1951">
        <f>IF(E1951="Gmail",COUNTIF($E$2:E1951,"Gmail"),"")</f>
        <v/>
      </c>
      <c r="J1951">
        <f>IF(E1951="Outlook",COUNTIF($E$2:E1951,"Outlook"),"")</f>
        <v/>
      </c>
      <c r="K1951">
        <f>IF(E1951="Domain",COUNTIF($E$2:E1951,"Domain"),"")</f>
        <v/>
      </c>
    </row>
    <row r="1952">
      <c r="A1952" s="2" t="n"/>
      <c r="B1952">
        <f>LOWER(TRIM(A1952))</f>
        <v/>
      </c>
      <c r="C1952">
        <f>IF(B1952="","",IFERROR(INDEX('Bad Patterns'!$A$2:$A$120,MATCH(1,INDEX(--ISNUMBER(SEARCH('Bad Patterns'!$A$2:$A$120,B1952)),0),0)),""))</f>
        <v/>
      </c>
      <c r="D1952">
        <f>IF(B1952="","",IF(C1952&lt;&gt;"","REMOVE","KEEP"))</f>
        <v/>
      </c>
      <c r="E1952">
        <f>IF(D1952&lt;&gt;"KEEP","",IF(RIGHT(B1952,10)="@gmail.com","Gmail",IF(OR(RIGHT(B1952,12)="@outlook.com",RIGHT(B1952,12)="@hotmail.com",RIGHT(B1952,9)="@live.com"),"Outlook","Domain")))</f>
        <v/>
      </c>
      <c r="F1952">
        <f>IF(B1952="","",IFERROR(RIGHT(B1952,LEN(B1952)-FIND("@",B1952)),""))</f>
        <v/>
      </c>
      <c r="G1952">
        <f>IF(D1952="KEEP",COUNTIF($D$2:D1952,"KEEP"),"")</f>
        <v/>
      </c>
      <c r="H1952">
        <f>IF(D1952="REMOVE",COUNTIF($D$2:D1952,"REMOVE"),"")</f>
        <v/>
      </c>
      <c r="I1952">
        <f>IF(E1952="Gmail",COUNTIF($E$2:E1952,"Gmail"),"")</f>
        <v/>
      </c>
      <c r="J1952">
        <f>IF(E1952="Outlook",COUNTIF($E$2:E1952,"Outlook"),"")</f>
        <v/>
      </c>
      <c r="K1952">
        <f>IF(E1952="Domain",COUNTIF($E$2:E1952,"Domain"),"")</f>
        <v/>
      </c>
    </row>
    <row r="1953">
      <c r="A1953" s="2" t="n"/>
      <c r="B1953">
        <f>LOWER(TRIM(A1953))</f>
        <v/>
      </c>
      <c r="C1953">
        <f>IF(B1953="","",IFERROR(INDEX('Bad Patterns'!$A$2:$A$120,MATCH(1,INDEX(--ISNUMBER(SEARCH('Bad Patterns'!$A$2:$A$120,B1953)),0),0)),""))</f>
        <v/>
      </c>
      <c r="D1953">
        <f>IF(B1953="","",IF(C1953&lt;&gt;"","REMOVE","KEEP"))</f>
        <v/>
      </c>
      <c r="E1953">
        <f>IF(D1953&lt;&gt;"KEEP","",IF(RIGHT(B1953,10)="@gmail.com","Gmail",IF(OR(RIGHT(B1953,12)="@outlook.com",RIGHT(B1953,12)="@hotmail.com",RIGHT(B1953,9)="@live.com"),"Outlook","Domain")))</f>
        <v/>
      </c>
      <c r="F1953">
        <f>IF(B1953="","",IFERROR(RIGHT(B1953,LEN(B1953)-FIND("@",B1953)),""))</f>
        <v/>
      </c>
      <c r="G1953">
        <f>IF(D1953="KEEP",COUNTIF($D$2:D1953,"KEEP"),"")</f>
        <v/>
      </c>
      <c r="H1953">
        <f>IF(D1953="REMOVE",COUNTIF($D$2:D1953,"REMOVE"),"")</f>
        <v/>
      </c>
      <c r="I1953">
        <f>IF(E1953="Gmail",COUNTIF($E$2:E1953,"Gmail"),"")</f>
        <v/>
      </c>
      <c r="J1953">
        <f>IF(E1953="Outlook",COUNTIF($E$2:E1953,"Outlook"),"")</f>
        <v/>
      </c>
      <c r="K1953">
        <f>IF(E1953="Domain",COUNTIF($E$2:E1953,"Domain"),"")</f>
        <v/>
      </c>
    </row>
    <row r="1954">
      <c r="A1954" s="2" t="n"/>
      <c r="B1954">
        <f>LOWER(TRIM(A1954))</f>
        <v/>
      </c>
      <c r="C1954">
        <f>IF(B1954="","",IFERROR(INDEX('Bad Patterns'!$A$2:$A$120,MATCH(1,INDEX(--ISNUMBER(SEARCH('Bad Patterns'!$A$2:$A$120,B1954)),0),0)),""))</f>
        <v/>
      </c>
      <c r="D1954">
        <f>IF(B1954="","",IF(C1954&lt;&gt;"","REMOVE","KEEP"))</f>
        <v/>
      </c>
      <c r="E1954">
        <f>IF(D1954&lt;&gt;"KEEP","",IF(RIGHT(B1954,10)="@gmail.com","Gmail",IF(OR(RIGHT(B1954,12)="@outlook.com",RIGHT(B1954,12)="@hotmail.com",RIGHT(B1954,9)="@live.com"),"Outlook","Domain")))</f>
        <v/>
      </c>
      <c r="F1954">
        <f>IF(B1954="","",IFERROR(RIGHT(B1954,LEN(B1954)-FIND("@",B1954)),""))</f>
        <v/>
      </c>
      <c r="G1954">
        <f>IF(D1954="KEEP",COUNTIF($D$2:D1954,"KEEP"),"")</f>
        <v/>
      </c>
      <c r="H1954">
        <f>IF(D1954="REMOVE",COUNTIF($D$2:D1954,"REMOVE"),"")</f>
        <v/>
      </c>
      <c r="I1954">
        <f>IF(E1954="Gmail",COUNTIF($E$2:E1954,"Gmail"),"")</f>
        <v/>
      </c>
      <c r="J1954">
        <f>IF(E1954="Outlook",COUNTIF($E$2:E1954,"Outlook"),"")</f>
        <v/>
      </c>
      <c r="K1954">
        <f>IF(E1954="Domain",COUNTIF($E$2:E1954,"Domain"),"")</f>
        <v/>
      </c>
    </row>
    <row r="1955">
      <c r="A1955" s="2" t="n"/>
      <c r="B1955">
        <f>LOWER(TRIM(A1955))</f>
        <v/>
      </c>
      <c r="C1955">
        <f>IF(B1955="","",IFERROR(INDEX('Bad Patterns'!$A$2:$A$120,MATCH(1,INDEX(--ISNUMBER(SEARCH('Bad Patterns'!$A$2:$A$120,B1955)),0),0)),""))</f>
        <v/>
      </c>
      <c r="D1955">
        <f>IF(B1955="","",IF(C1955&lt;&gt;"","REMOVE","KEEP"))</f>
        <v/>
      </c>
      <c r="E1955">
        <f>IF(D1955&lt;&gt;"KEEP","",IF(RIGHT(B1955,10)="@gmail.com","Gmail",IF(OR(RIGHT(B1955,12)="@outlook.com",RIGHT(B1955,12)="@hotmail.com",RIGHT(B1955,9)="@live.com"),"Outlook","Domain")))</f>
        <v/>
      </c>
      <c r="F1955">
        <f>IF(B1955="","",IFERROR(RIGHT(B1955,LEN(B1955)-FIND("@",B1955)),""))</f>
        <v/>
      </c>
      <c r="G1955">
        <f>IF(D1955="KEEP",COUNTIF($D$2:D1955,"KEEP"),"")</f>
        <v/>
      </c>
      <c r="H1955">
        <f>IF(D1955="REMOVE",COUNTIF($D$2:D1955,"REMOVE"),"")</f>
        <v/>
      </c>
      <c r="I1955">
        <f>IF(E1955="Gmail",COUNTIF($E$2:E1955,"Gmail"),"")</f>
        <v/>
      </c>
      <c r="J1955">
        <f>IF(E1955="Outlook",COUNTIF($E$2:E1955,"Outlook"),"")</f>
        <v/>
      </c>
      <c r="K1955">
        <f>IF(E1955="Domain",COUNTIF($E$2:E1955,"Domain"),"")</f>
        <v/>
      </c>
    </row>
    <row r="1956">
      <c r="A1956" s="2" t="n"/>
      <c r="B1956">
        <f>LOWER(TRIM(A1956))</f>
        <v/>
      </c>
      <c r="C1956">
        <f>IF(B1956="","",IFERROR(INDEX('Bad Patterns'!$A$2:$A$120,MATCH(1,INDEX(--ISNUMBER(SEARCH('Bad Patterns'!$A$2:$A$120,B1956)),0),0)),""))</f>
        <v/>
      </c>
      <c r="D1956">
        <f>IF(B1956="","",IF(C1956&lt;&gt;"","REMOVE","KEEP"))</f>
        <v/>
      </c>
      <c r="E1956">
        <f>IF(D1956&lt;&gt;"KEEP","",IF(RIGHT(B1956,10)="@gmail.com","Gmail",IF(OR(RIGHT(B1956,12)="@outlook.com",RIGHT(B1956,12)="@hotmail.com",RIGHT(B1956,9)="@live.com"),"Outlook","Domain")))</f>
        <v/>
      </c>
      <c r="F1956">
        <f>IF(B1956="","",IFERROR(RIGHT(B1956,LEN(B1956)-FIND("@",B1956)),""))</f>
        <v/>
      </c>
      <c r="G1956">
        <f>IF(D1956="KEEP",COUNTIF($D$2:D1956,"KEEP"),"")</f>
        <v/>
      </c>
      <c r="H1956">
        <f>IF(D1956="REMOVE",COUNTIF($D$2:D1956,"REMOVE"),"")</f>
        <v/>
      </c>
      <c r="I1956">
        <f>IF(E1956="Gmail",COUNTIF($E$2:E1956,"Gmail"),"")</f>
        <v/>
      </c>
      <c r="J1956">
        <f>IF(E1956="Outlook",COUNTIF($E$2:E1956,"Outlook"),"")</f>
        <v/>
      </c>
      <c r="K1956">
        <f>IF(E1956="Domain",COUNTIF($E$2:E1956,"Domain"),"")</f>
        <v/>
      </c>
    </row>
    <row r="1957">
      <c r="A1957" s="2" t="n"/>
      <c r="B1957">
        <f>LOWER(TRIM(A1957))</f>
        <v/>
      </c>
      <c r="C1957">
        <f>IF(B1957="","",IFERROR(INDEX('Bad Patterns'!$A$2:$A$120,MATCH(1,INDEX(--ISNUMBER(SEARCH('Bad Patterns'!$A$2:$A$120,B1957)),0),0)),""))</f>
        <v/>
      </c>
      <c r="D1957">
        <f>IF(B1957="","",IF(C1957&lt;&gt;"","REMOVE","KEEP"))</f>
        <v/>
      </c>
      <c r="E1957">
        <f>IF(D1957&lt;&gt;"KEEP","",IF(RIGHT(B1957,10)="@gmail.com","Gmail",IF(OR(RIGHT(B1957,12)="@outlook.com",RIGHT(B1957,12)="@hotmail.com",RIGHT(B1957,9)="@live.com"),"Outlook","Domain")))</f>
        <v/>
      </c>
      <c r="F1957">
        <f>IF(B1957="","",IFERROR(RIGHT(B1957,LEN(B1957)-FIND("@",B1957)),""))</f>
        <v/>
      </c>
      <c r="G1957">
        <f>IF(D1957="KEEP",COUNTIF($D$2:D1957,"KEEP"),"")</f>
        <v/>
      </c>
      <c r="H1957">
        <f>IF(D1957="REMOVE",COUNTIF($D$2:D1957,"REMOVE"),"")</f>
        <v/>
      </c>
      <c r="I1957">
        <f>IF(E1957="Gmail",COUNTIF($E$2:E1957,"Gmail"),"")</f>
        <v/>
      </c>
      <c r="J1957">
        <f>IF(E1957="Outlook",COUNTIF($E$2:E1957,"Outlook"),"")</f>
        <v/>
      </c>
      <c r="K1957">
        <f>IF(E1957="Domain",COUNTIF($E$2:E1957,"Domain"),"")</f>
        <v/>
      </c>
    </row>
    <row r="1958">
      <c r="A1958" s="2" t="n"/>
      <c r="B1958">
        <f>LOWER(TRIM(A1958))</f>
        <v/>
      </c>
      <c r="C1958">
        <f>IF(B1958="","",IFERROR(INDEX('Bad Patterns'!$A$2:$A$120,MATCH(1,INDEX(--ISNUMBER(SEARCH('Bad Patterns'!$A$2:$A$120,B1958)),0),0)),""))</f>
        <v/>
      </c>
      <c r="D1958">
        <f>IF(B1958="","",IF(C1958&lt;&gt;"","REMOVE","KEEP"))</f>
        <v/>
      </c>
      <c r="E1958">
        <f>IF(D1958&lt;&gt;"KEEP","",IF(RIGHT(B1958,10)="@gmail.com","Gmail",IF(OR(RIGHT(B1958,12)="@outlook.com",RIGHT(B1958,12)="@hotmail.com",RIGHT(B1958,9)="@live.com"),"Outlook","Domain")))</f>
        <v/>
      </c>
      <c r="F1958">
        <f>IF(B1958="","",IFERROR(RIGHT(B1958,LEN(B1958)-FIND("@",B1958)),""))</f>
        <v/>
      </c>
      <c r="G1958">
        <f>IF(D1958="KEEP",COUNTIF($D$2:D1958,"KEEP"),"")</f>
        <v/>
      </c>
      <c r="H1958">
        <f>IF(D1958="REMOVE",COUNTIF($D$2:D1958,"REMOVE"),"")</f>
        <v/>
      </c>
      <c r="I1958">
        <f>IF(E1958="Gmail",COUNTIF($E$2:E1958,"Gmail"),"")</f>
        <v/>
      </c>
      <c r="J1958">
        <f>IF(E1958="Outlook",COUNTIF($E$2:E1958,"Outlook"),"")</f>
        <v/>
      </c>
      <c r="K1958">
        <f>IF(E1958="Domain",COUNTIF($E$2:E1958,"Domain"),"")</f>
        <v/>
      </c>
    </row>
    <row r="1959">
      <c r="A1959" s="2" t="n"/>
      <c r="B1959">
        <f>LOWER(TRIM(A1959))</f>
        <v/>
      </c>
      <c r="C1959">
        <f>IF(B1959="","",IFERROR(INDEX('Bad Patterns'!$A$2:$A$120,MATCH(1,INDEX(--ISNUMBER(SEARCH('Bad Patterns'!$A$2:$A$120,B1959)),0),0)),""))</f>
        <v/>
      </c>
      <c r="D1959">
        <f>IF(B1959="","",IF(C1959&lt;&gt;"","REMOVE","KEEP"))</f>
        <v/>
      </c>
      <c r="E1959">
        <f>IF(D1959&lt;&gt;"KEEP","",IF(RIGHT(B1959,10)="@gmail.com","Gmail",IF(OR(RIGHT(B1959,12)="@outlook.com",RIGHT(B1959,12)="@hotmail.com",RIGHT(B1959,9)="@live.com"),"Outlook","Domain")))</f>
        <v/>
      </c>
      <c r="F1959">
        <f>IF(B1959="","",IFERROR(RIGHT(B1959,LEN(B1959)-FIND("@",B1959)),""))</f>
        <v/>
      </c>
      <c r="G1959">
        <f>IF(D1959="KEEP",COUNTIF($D$2:D1959,"KEEP"),"")</f>
        <v/>
      </c>
      <c r="H1959">
        <f>IF(D1959="REMOVE",COUNTIF($D$2:D1959,"REMOVE"),"")</f>
        <v/>
      </c>
      <c r="I1959">
        <f>IF(E1959="Gmail",COUNTIF($E$2:E1959,"Gmail"),"")</f>
        <v/>
      </c>
      <c r="J1959">
        <f>IF(E1959="Outlook",COUNTIF($E$2:E1959,"Outlook"),"")</f>
        <v/>
      </c>
      <c r="K1959">
        <f>IF(E1959="Domain",COUNTIF($E$2:E1959,"Domain"),"")</f>
        <v/>
      </c>
    </row>
    <row r="1960">
      <c r="A1960" s="2" t="n"/>
      <c r="B1960">
        <f>LOWER(TRIM(A1960))</f>
        <v/>
      </c>
      <c r="C1960">
        <f>IF(B1960="","",IFERROR(INDEX('Bad Patterns'!$A$2:$A$120,MATCH(1,INDEX(--ISNUMBER(SEARCH('Bad Patterns'!$A$2:$A$120,B1960)),0),0)),""))</f>
        <v/>
      </c>
      <c r="D1960">
        <f>IF(B1960="","",IF(C1960&lt;&gt;"","REMOVE","KEEP"))</f>
        <v/>
      </c>
      <c r="E1960">
        <f>IF(D1960&lt;&gt;"KEEP","",IF(RIGHT(B1960,10)="@gmail.com","Gmail",IF(OR(RIGHT(B1960,12)="@outlook.com",RIGHT(B1960,12)="@hotmail.com",RIGHT(B1960,9)="@live.com"),"Outlook","Domain")))</f>
        <v/>
      </c>
      <c r="F1960">
        <f>IF(B1960="","",IFERROR(RIGHT(B1960,LEN(B1960)-FIND("@",B1960)),""))</f>
        <v/>
      </c>
      <c r="G1960">
        <f>IF(D1960="KEEP",COUNTIF($D$2:D1960,"KEEP"),"")</f>
        <v/>
      </c>
      <c r="H1960">
        <f>IF(D1960="REMOVE",COUNTIF($D$2:D1960,"REMOVE"),"")</f>
        <v/>
      </c>
      <c r="I1960">
        <f>IF(E1960="Gmail",COUNTIF($E$2:E1960,"Gmail"),"")</f>
        <v/>
      </c>
      <c r="J1960">
        <f>IF(E1960="Outlook",COUNTIF($E$2:E1960,"Outlook"),"")</f>
        <v/>
      </c>
      <c r="K1960">
        <f>IF(E1960="Domain",COUNTIF($E$2:E1960,"Domain"),"")</f>
        <v/>
      </c>
    </row>
    <row r="1961">
      <c r="A1961" s="2" t="n"/>
      <c r="B1961">
        <f>LOWER(TRIM(A1961))</f>
        <v/>
      </c>
      <c r="C1961">
        <f>IF(B1961="","",IFERROR(INDEX('Bad Patterns'!$A$2:$A$120,MATCH(1,INDEX(--ISNUMBER(SEARCH('Bad Patterns'!$A$2:$A$120,B1961)),0),0)),""))</f>
        <v/>
      </c>
      <c r="D1961">
        <f>IF(B1961="","",IF(C1961&lt;&gt;"","REMOVE","KEEP"))</f>
        <v/>
      </c>
      <c r="E1961">
        <f>IF(D1961&lt;&gt;"KEEP","",IF(RIGHT(B1961,10)="@gmail.com","Gmail",IF(OR(RIGHT(B1961,12)="@outlook.com",RIGHT(B1961,12)="@hotmail.com",RIGHT(B1961,9)="@live.com"),"Outlook","Domain")))</f>
        <v/>
      </c>
      <c r="F1961">
        <f>IF(B1961="","",IFERROR(RIGHT(B1961,LEN(B1961)-FIND("@",B1961)),""))</f>
        <v/>
      </c>
      <c r="G1961">
        <f>IF(D1961="KEEP",COUNTIF($D$2:D1961,"KEEP"),"")</f>
        <v/>
      </c>
      <c r="H1961">
        <f>IF(D1961="REMOVE",COUNTIF($D$2:D1961,"REMOVE"),"")</f>
        <v/>
      </c>
      <c r="I1961">
        <f>IF(E1961="Gmail",COUNTIF($E$2:E1961,"Gmail"),"")</f>
        <v/>
      </c>
      <c r="J1961">
        <f>IF(E1961="Outlook",COUNTIF($E$2:E1961,"Outlook"),"")</f>
        <v/>
      </c>
      <c r="K1961">
        <f>IF(E1961="Domain",COUNTIF($E$2:E1961,"Domain"),"")</f>
        <v/>
      </c>
    </row>
    <row r="1962">
      <c r="A1962" s="2" t="n"/>
      <c r="B1962">
        <f>LOWER(TRIM(A1962))</f>
        <v/>
      </c>
      <c r="C1962">
        <f>IF(B1962="","",IFERROR(INDEX('Bad Patterns'!$A$2:$A$120,MATCH(1,INDEX(--ISNUMBER(SEARCH('Bad Patterns'!$A$2:$A$120,B1962)),0),0)),""))</f>
        <v/>
      </c>
      <c r="D1962">
        <f>IF(B1962="","",IF(C1962&lt;&gt;"","REMOVE","KEEP"))</f>
        <v/>
      </c>
      <c r="E1962">
        <f>IF(D1962&lt;&gt;"KEEP","",IF(RIGHT(B1962,10)="@gmail.com","Gmail",IF(OR(RIGHT(B1962,12)="@outlook.com",RIGHT(B1962,12)="@hotmail.com",RIGHT(B1962,9)="@live.com"),"Outlook","Domain")))</f>
        <v/>
      </c>
      <c r="F1962">
        <f>IF(B1962="","",IFERROR(RIGHT(B1962,LEN(B1962)-FIND("@",B1962)),""))</f>
        <v/>
      </c>
      <c r="G1962">
        <f>IF(D1962="KEEP",COUNTIF($D$2:D1962,"KEEP"),"")</f>
        <v/>
      </c>
      <c r="H1962">
        <f>IF(D1962="REMOVE",COUNTIF($D$2:D1962,"REMOVE"),"")</f>
        <v/>
      </c>
      <c r="I1962">
        <f>IF(E1962="Gmail",COUNTIF($E$2:E1962,"Gmail"),"")</f>
        <v/>
      </c>
      <c r="J1962">
        <f>IF(E1962="Outlook",COUNTIF($E$2:E1962,"Outlook"),"")</f>
        <v/>
      </c>
      <c r="K1962">
        <f>IF(E1962="Domain",COUNTIF($E$2:E1962,"Domain"),"")</f>
        <v/>
      </c>
    </row>
    <row r="1963">
      <c r="A1963" s="2" t="n"/>
      <c r="B1963">
        <f>LOWER(TRIM(A1963))</f>
        <v/>
      </c>
      <c r="C1963">
        <f>IF(B1963="","",IFERROR(INDEX('Bad Patterns'!$A$2:$A$120,MATCH(1,INDEX(--ISNUMBER(SEARCH('Bad Patterns'!$A$2:$A$120,B1963)),0),0)),""))</f>
        <v/>
      </c>
      <c r="D1963">
        <f>IF(B1963="","",IF(C1963&lt;&gt;"","REMOVE","KEEP"))</f>
        <v/>
      </c>
      <c r="E1963">
        <f>IF(D1963&lt;&gt;"KEEP","",IF(RIGHT(B1963,10)="@gmail.com","Gmail",IF(OR(RIGHT(B1963,12)="@outlook.com",RIGHT(B1963,12)="@hotmail.com",RIGHT(B1963,9)="@live.com"),"Outlook","Domain")))</f>
        <v/>
      </c>
      <c r="F1963">
        <f>IF(B1963="","",IFERROR(RIGHT(B1963,LEN(B1963)-FIND("@",B1963)),""))</f>
        <v/>
      </c>
      <c r="G1963">
        <f>IF(D1963="KEEP",COUNTIF($D$2:D1963,"KEEP"),"")</f>
        <v/>
      </c>
      <c r="H1963">
        <f>IF(D1963="REMOVE",COUNTIF($D$2:D1963,"REMOVE"),"")</f>
        <v/>
      </c>
      <c r="I1963">
        <f>IF(E1963="Gmail",COUNTIF($E$2:E1963,"Gmail"),"")</f>
        <v/>
      </c>
      <c r="J1963">
        <f>IF(E1963="Outlook",COUNTIF($E$2:E1963,"Outlook"),"")</f>
        <v/>
      </c>
      <c r="K1963">
        <f>IF(E1963="Domain",COUNTIF($E$2:E1963,"Domain"),"")</f>
        <v/>
      </c>
    </row>
    <row r="1964">
      <c r="A1964" s="2" t="n"/>
      <c r="B1964">
        <f>LOWER(TRIM(A1964))</f>
        <v/>
      </c>
      <c r="C1964">
        <f>IF(B1964="","",IFERROR(INDEX('Bad Patterns'!$A$2:$A$120,MATCH(1,INDEX(--ISNUMBER(SEARCH('Bad Patterns'!$A$2:$A$120,B1964)),0),0)),""))</f>
        <v/>
      </c>
      <c r="D1964">
        <f>IF(B1964="","",IF(C1964&lt;&gt;"","REMOVE","KEEP"))</f>
        <v/>
      </c>
      <c r="E1964">
        <f>IF(D1964&lt;&gt;"KEEP","",IF(RIGHT(B1964,10)="@gmail.com","Gmail",IF(OR(RIGHT(B1964,12)="@outlook.com",RIGHT(B1964,12)="@hotmail.com",RIGHT(B1964,9)="@live.com"),"Outlook","Domain")))</f>
        <v/>
      </c>
      <c r="F1964">
        <f>IF(B1964="","",IFERROR(RIGHT(B1964,LEN(B1964)-FIND("@",B1964)),""))</f>
        <v/>
      </c>
      <c r="G1964">
        <f>IF(D1964="KEEP",COUNTIF($D$2:D1964,"KEEP"),"")</f>
        <v/>
      </c>
      <c r="H1964">
        <f>IF(D1964="REMOVE",COUNTIF($D$2:D1964,"REMOVE"),"")</f>
        <v/>
      </c>
      <c r="I1964">
        <f>IF(E1964="Gmail",COUNTIF($E$2:E1964,"Gmail"),"")</f>
        <v/>
      </c>
      <c r="J1964">
        <f>IF(E1964="Outlook",COUNTIF($E$2:E1964,"Outlook"),"")</f>
        <v/>
      </c>
      <c r="K1964">
        <f>IF(E1964="Domain",COUNTIF($E$2:E1964,"Domain"),"")</f>
        <v/>
      </c>
    </row>
    <row r="1965">
      <c r="A1965" s="2" t="n"/>
      <c r="B1965">
        <f>LOWER(TRIM(A1965))</f>
        <v/>
      </c>
      <c r="C1965">
        <f>IF(B1965="","",IFERROR(INDEX('Bad Patterns'!$A$2:$A$120,MATCH(1,INDEX(--ISNUMBER(SEARCH('Bad Patterns'!$A$2:$A$120,B1965)),0),0)),""))</f>
        <v/>
      </c>
      <c r="D1965">
        <f>IF(B1965="","",IF(C1965&lt;&gt;"","REMOVE","KEEP"))</f>
        <v/>
      </c>
      <c r="E1965">
        <f>IF(D1965&lt;&gt;"KEEP","",IF(RIGHT(B1965,10)="@gmail.com","Gmail",IF(OR(RIGHT(B1965,12)="@outlook.com",RIGHT(B1965,12)="@hotmail.com",RIGHT(B1965,9)="@live.com"),"Outlook","Domain")))</f>
        <v/>
      </c>
      <c r="F1965">
        <f>IF(B1965="","",IFERROR(RIGHT(B1965,LEN(B1965)-FIND("@",B1965)),""))</f>
        <v/>
      </c>
      <c r="G1965">
        <f>IF(D1965="KEEP",COUNTIF($D$2:D1965,"KEEP"),"")</f>
        <v/>
      </c>
      <c r="H1965">
        <f>IF(D1965="REMOVE",COUNTIF($D$2:D1965,"REMOVE"),"")</f>
        <v/>
      </c>
      <c r="I1965">
        <f>IF(E1965="Gmail",COUNTIF($E$2:E1965,"Gmail"),"")</f>
        <v/>
      </c>
      <c r="J1965">
        <f>IF(E1965="Outlook",COUNTIF($E$2:E1965,"Outlook"),"")</f>
        <v/>
      </c>
      <c r="K1965">
        <f>IF(E1965="Domain",COUNTIF($E$2:E1965,"Domain"),"")</f>
        <v/>
      </c>
    </row>
    <row r="1966">
      <c r="A1966" s="2" t="n"/>
      <c r="B1966">
        <f>LOWER(TRIM(A1966))</f>
        <v/>
      </c>
      <c r="C1966">
        <f>IF(B1966="","",IFERROR(INDEX('Bad Patterns'!$A$2:$A$120,MATCH(1,INDEX(--ISNUMBER(SEARCH('Bad Patterns'!$A$2:$A$120,B1966)),0),0)),""))</f>
        <v/>
      </c>
      <c r="D1966">
        <f>IF(B1966="","",IF(C1966&lt;&gt;"","REMOVE","KEEP"))</f>
        <v/>
      </c>
      <c r="E1966">
        <f>IF(D1966&lt;&gt;"KEEP","",IF(RIGHT(B1966,10)="@gmail.com","Gmail",IF(OR(RIGHT(B1966,12)="@outlook.com",RIGHT(B1966,12)="@hotmail.com",RIGHT(B1966,9)="@live.com"),"Outlook","Domain")))</f>
        <v/>
      </c>
      <c r="F1966">
        <f>IF(B1966="","",IFERROR(RIGHT(B1966,LEN(B1966)-FIND("@",B1966)),""))</f>
        <v/>
      </c>
      <c r="G1966">
        <f>IF(D1966="KEEP",COUNTIF($D$2:D1966,"KEEP"),"")</f>
        <v/>
      </c>
      <c r="H1966">
        <f>IF(D1966="REMOVE",COUNTIF($D$2:D1966,"REMOVE"),"")</f>
        <v/>
      </c>
      <c r="I1966">
        <f>IF(E1966="Gmail",COUNTIF($E$2:E1966,"Gmail"),"")</f>
        <v/>
      </c>
      <c r="J1966">
        <f>IF(E1966="Outlook",COUNTIF($E$2:E1966,"Outlook"),"")</f>
        <v/>
      </c>
      <c r="K1966">
        <f>IF(E1966="Domain",COUNTIF($E$2:E1966,"Domain"),"")</f>
        <v/>
      </c>
    </row>
    <row r="1967">
      <c r="A1967" s="2" t="n"/>
      <c r="B1967">
        <f>LOWER(TRIM(A1967))</f>
        <v/>
      </c>
      <c r="C1967">
        <f>IF(B1967="","",IFERROR(INDEX('Bad Patterns'!$A$2:$A$120,MATCH(1,INDEX(--ISNUMBER(SEARCH('Bad Patterns'!$A$2:$A$120,B1967)),0),0)),""))</f>
        <v/>
      </c>
      <c r="D1967">
        <f>IF(B1967="","",IF(C1967&lt;&gt;"","REMOVE","KEEP"))</f>
        <v/>
      </c>
      <c r="E1967">
        <f>IF(D1967&lt;&gt;"KEEP","",IF(RIGHT(B1967,10)="@gmail.com","Gmail",IF(OR(RIGHT(B1967,12)="@outlook.com",RIGHT(B1967,12)="@hotmail.com",RIGHT(B1967,9)="@live.com"),"Outlook","Domain")))</f>
        <v/>
      </c>
      <c r="F1967">
        <f>IF(B1967="","",IFERROR(RIGHT(B1967,LEN(B1967)-FIND("@",B1967)),""))</f>
        <v/>
      </c>
      <c r="G1967">
        <f>IF(D1967="KEEP",COUNTIF($D$2:D1967,"KEEP"),"")</f>
        <v/>
      </c>
      <c r="H1967">
        <f>IF(D1967="REMOVE",COUNTIF($D$2:D1967,"REMOVE"),"")</f>
        <v/>
      </c>
      <c r="I1967">
        <f>IF(E1967="Gmail",COUNTIF($E$2:E1967,"Gmail"),"")</f>
        <v/>
      </c>
      <c r="J1967">
        <f>IF(E1967="Outlook",COUNTIF($E$2:E1967,"Outlook"),"")</f>
        <v/>
      </c>
      <c r="K1967">
        <f>IF(E1967="Domain",COUNTIF($E$2:E1967,"Domain"),"")</f>
        <v/>
      </c>
    </row>
    <row r="1968">
      <c r="A1968" s="2" t="n"/>
      <c r="B1968">
        <f>LOWER(TRIM(A1968))</f>
        <v/>
      </c>
      <c r="C1968">
        <f>IF(B1968="","",IFERROR(INDEX('Bad Patterns'!$A$2:$A$120,MATCH(1,INDEX(--ISNUMBER(SEARCH('Bad Patterns'!$A$2:$A$120,B1968)),0),0)),""))</f>
        <v/>
      </c>
      <c r="D1968">
        <f>IF(B1968="","",IF(C1968&lt;&gt;"","REMOVE","KEEP"))</f>
        <v/>
      </c>
      <c r="E1968">
        <f>IF(D1968&lt;&gt;"KEEP","",IF(RIGHT(B1968,10)="@gmail.com","Gmail",IF(OR(RIGHT(B1968,12)="@outlook.com",RIGHT(B1968,12)="@hotmail.com",RIGHT(B1968,9)="@live.com"),"Outlook","Domain")))</f>
        <v/>
      </c>
      <c r="F1968">
        <f>IF(B1968="","",IFERROR(RIGHT(B1968,LEN(B1968)-FIND("@",B1968)),""))</f>
        <v/>
      </c>
      <c r="G1968">
        <f>IF(D1968="KEEP",COUNTIF($D$2:D1968,"KEEP"),"")</f>
        <v/>
      </c>
      <c r="H1968">
        <f>IF(D1968="REMOVE",COUNTIF($D$2:D1968,"REMOVE"),"")</f>
        <v/>
      </c>
      <c r="I1968">
        <f>IF(E1968="Gmail",COUNTIF($E$2:E1968,"Gmail"),"")</f>
        <v/>
      </c>
      <c r="J1968">
        <f>IF(E1968="Outlook",COUNTIF($E$2:E1968,"Outlook"),"")</f>
        <v/>
      </c>
      <c r="K1968">
        <f>IF(E1968="Domain",COUNTIF($E$2:E1968,"Domain"),"")</f>
        <v/>
      </c>
    </row>
    <row r="1969">
      <c r="A1969" s="2" t="n"/>
      <c r="B1969">
        <f>LOWER(TRIM(A1969))</f>
        <v/>
      </c>
      <c r="C1969">
        <f>IF(B1969="","",IFERROR(INDEX('Bad Patterns'!$A$2:$A$120,MATCH(1,INDEX(--ISNUMBER(SEARCH('Bad Patterns'!$A$2:$A$120,B1969)),0),0)),""))</f>
        <v/>
      </c>
      <c r="D1969">
        <f>IF(B1969="","",IF(C1969&lt;&gt;"","REMOVE","KEEP"))</f>
        <v/>
      </c>
      <c r="E1969">
        <f>IF(D1969&lt;&gt;"KEEP","",IF(RIGHT(B1969,10)="@gmail.com","Gmail",IF(OR(RIGHT(B1969,12)="@outlook.com",RIGHT(B1969,12)="@hotmail.com",RIGHT(B1969,9)="@live.com"),"Outlook","Domain")))</f>
        <v/>
      </c>
      <c r="F1969">
        <f>IF(B1969="","",IFERROR(RIGHT(B1969,LEN(B1969)-FIND("@",B1969)),""))</f>
        <v/>
      </c>
      <c r="G1969">
        <f>IF(D1969="KEEP",COUNTIF($D$2:D1969,"KEEP"),"")</f>
        <v/>
      </c>
      <c r="H1969">
        <f>IF(D1969="REMOVE",COUNTIF($D$2:D1969,"REMOVE"),"")</f>
        <v/>
      </c>
      <c r="I1969">
        <f>IF(E1969="Gmail",COUNTIF($E$2:E1969,"Gmail"),"")</f>
        <v/>
      </c>
      <c r="J1969">
        <f>IF(E1969="Outlook",COUNTIF($E$2:E1969,"Outlook"),"")</f>
        <v/>
      </c>
      <c r="K1969">
        <f>IF(E1969="Domain",COUNTIF($E$2:E1969,"Domain"),"")</f>
        <v/>
      </c>
    </row>
    <row r="1970">
      <c r="A1970" s="2" t="n"/>
      <c r="B1970">
        <f>LOWER(TRIM(A1970))</f>
        <v/>
      </c>
      <c r="C1970">
        <f>IF(B1970="","",IFERROR(INDEX('Bad Patterns'!$A$2:$A$120,MATCH(1,INDEX(--ISNUMBER(SEARCH('Bad Patterns'!$A$2:$A$120,B1970)),0),0)),""))</f>
        <v/>
      </c>
      <c r="D1970">
        <f>IF(B1970="","",IF(C1970&lt;&gt;"","REMOVE","KEEP"))</f>
        <v/>
      </c>
      <c r="E1970">
        <f>IF(D1970&lt;&gt;"KEEP","",IF(RIGHT(B1970,10)="@gmail.com","Gmail",IF(OR(RIGHT(B1970,12)="@outlook.com",RIGHT(B1970,12)="@hotmail.com",RIGHT(B1970,9)="@live.com"),"Outlook","Domain")))</f>
        <v/>
      </c>
      <c r="F1970">
        <f>IF(B1970="","",IFERROR(RIGHT(B1970,LEN(B1970)-FIND("@",B1970)),""))</f>
        <v/>
      </c>
      <c r="G1970">
        <f>IF(D1970="KEEP",COUNTIF($D$2:D1970,"KEEP"),"")</f>
        <v/>
      </c>
      <c r="H1970">
        <f>IF(D1970="REMOVE",COUNTIF($D$2:D1970,"REMOVE"),"")</f>
        <v/>
      </c>
      <c r="I1970">
        <f>IF(E1970="Gmail",COUNTIF($E$2:E1970,"Gmail"),"")</f>
        <v/>
      </c>
      <c r="J1970">
        <f>IF(E1970="Outlook",COUNTIF($E$2:E1970,"Outlook"),"")</f>
        <v/>
      </c>
      <c r="K1970">
        <f>IF(E1970="Domain",COUNTIF($E$2:E1970,"Domain"),"")</f>
        <v/>
      </c>
    </row>
    <row r="1971">
      <c r="A1971" s="2" t="n"/>
      <c r="B1971">
        <f>LOWER(TRIM(A1971))</f>
        <v/>
      </c>
      <c r="C1971">
        <f>IF(B1971="","",IFERROR(INDEX('Bad Patterns'!$A$2:$A$120,MATCH(1,INDEX(--ISNUMBER(SEARCH('Bad Patterns'!$A$2:$A$120,B1971)),0),0)),""))</f>
        <v/>
      </c>
      <c r="D1971">
        <f>IF(B1971="","",IF(C1971&lt;&gt;"","REMOVE","KEEP"))</f>
        <v/>
      </c>
      <c r="E1971">
        <f>IF(D1971&lt;&gt;"KEEP","",IF(RIGHT(B1971,10)="@gmail.com","Gmail",IF(OR(RIGHT(B1971,12)="@outlook.com",RIGHT(B1971,12)="@hotmail.com",RIGHT(B1971,9)="@live.com"),"Outlook","Domain")))</f>
        <v/>
      </c>
      <c r="F1971">
        <f>IF(B1971="","",IFERROR(RIGHT(B1971,LEN(B1971)-FIND("@",B1971)),""))</f>
        <v/>
      </c>
      <c r="G1971">
        <f>IF(D1971="KEEP",COUNTIF($D$2:D1971,"KEEP"),"")</f>
        <v/>
      </c>
      <c r="H1971">
        <f>IF(D1971="REMOVE",COUNTIF($D$2:D1971,"REMOVE"),"")</f>
        <v/>
      </c>
      <c r="I1971">
        <f>IF(E1971="Gmail",COUNTIF($E$2:E1971,"Gmail"),"")</f>
        <v/>
      </c>
      <c r="J1971">
        <f>IF(E1971="Outlook",COUNTIF($E$2:E1971,"Outlook"),"")</f>
        <v/>
      </c>
      <c r="K1971">
        <f>IF(E1971="Domain",COUNTIF($E$2:E1971,"Domain"),"")</f>
        <v/>
      </c>
    </row>
    <row r="1972">
      <c r="A1972" s="2" t="n"/>
      <c r="B1972">
        <f>LOWER(TRIM(A1972))</f>
        <v/>
      </c>
      <c r="C1972">
        <f>IF(B1972="","",IFERROR(INDEX('Bad Patterns'!$A$2:$A$120,MATCH(1,INDEX(--ISNUMBER(SEARCH('Bad Patterns'!$A$2:$A$120,B1972)),0),0)),""))</f>
        <v/>
      </c>
      <c r="D1972">
        <f>IF(B1972="","",IF(C1972&lt;&gt;"","REMOVE","KEEP"))</f>
        <v/>
      </c>
      <c r="E1972">
        <f>IF(D1972&lt;&gt;"KEEP","",IF(RIGHT(B1972,10)="@gmail.com","Gmail",IF(OR(RIGHT(B1972,12)="@outlook.com",RIGHT(B1972,12)="@hotmail.com",RIGHT(B1972,9)="@live.com"),"Outlook","Domain")))</f>
        <v/>
      </c>
      <c r="F1972">
        <f>IF(B1972="","",IFERROR(RIGHT(B1972,LEN(B1972)-FIND("@",B1972)),""))</f>
        <v/>
      </c>
      <c r="G1972">
        <f>IF(D1972="KEEP",COUNTIF($D$2:D1972,"KEEP"),"")</f>
        <v/>
      </c>
      <c r="H1972">
        <f>IF(D1972="REMOVE",COUNTIF($D$2:D1972,"REMOVE"),"")</f>
        <v/>
      </c>
      <c r="I1972">
        <f>IF(E1972="Gmail",COUNTIF($E$2:E1972,"Gmail"),"")</f>
        <v/>
      </c>
      <c r="J1972">
        <f>IF(E1972="Outlook",COUNTIF($E$2:E1972,"Outlook"),"")</f>
        <v/>
      </c>
      <c r="K1972">
        <f>IF(E1972="Domain",COUNTIF($E$2:E1972,"Domain"),"")</f>
        <v/>
      </c>
    </row>
    <row r="1973">
      <c r="A1973" s="2" t="n"/>
      <c r="B1973">
        <f>LOWER(TRIM(A1973))</f>
        <v/>
      </c>
      <c r="C1973">
        <f>IF(B1973="","",IFERROR(INDEX('Bad Patterns'!$A$2:$A$120,MATCH(1,INDEX(--ISNUMBER(SEARCH('Bad Patterns'!$A$2:$A$120,B1973)),0),0)),""))</f>
        <v/>
      </c>
      <c r="D1973">
        <f>IF(B1973="","",IF(C1973&lt;&gt;"","REMOVE","KEEP"))</f>
        <v/>
      </c>
      <c r="E1973">
        <f>IF(D1973&lt;&gt;"KEEP","",IF(RIGHT(B1973,10)="@gmail.com","Gmail",IF(OR(RIGHT(B1973,12)="@outlook.com",RIGHT(B1973,12)="@hotmail.com",RIGHT(B1973,9)="@live.com"),"Outlook","Domain")))</f>
        <v/>
      </c>
      <c r="F1973">
        <f>IF(B1973="","",IFERROR(RIGHT(B1973,LEN(B1973)-FIND("@",B1973)),""))</f>
        <v/>
      </c>
      <c r="G1973">
        <f>IF(D1973="KEEP",COUNTIF($D$2:D1973,"KEEP"),"")</f>
        <v/>
      </c>
      <c r="H1973">
        <f>IF(D1973="REMOVE",COUNTIF($D$2:D1973,"REMOVE"),"")</f>
        <v/>
      </c>
      <c r="I1973">
        <f>IF(E1973="Gmail",COUNTIF($E$2:E1973,"Gmail"),"")</f>
        <v/>
      </c>
      <c r="J1973">
        <f>IF(E1973="Outlook",COUNTIF($E$2:E1973,"Outlook"),"")</f>
        <v/>
      </c>
      <c r="K1973">
        <f>IF(E1973="Domain",COUNTIF($E$2:E1973,"Domain"),"")</f>
        <v/>
      </c>
    </row>
    <row r="1974">
      <c r="A1974" s="2" t="n"/>
      <c r="B1974">
        <f>LOWER(TRIM(A1974))</f>
        <v/>
      </c>
      <c r="C1974">
        <f>IF(B1974="","",IFERROR(INDEX('Bad Patterns'!$A$2:$A$120,MATCH(1,INDEX(--ISNUMBER(SEARCH('Bad Patterns'!$A$2:$A$120,B1974)),0),0)),""))</f>
        <v/>
      </c>
      <c r="D1974">
        <f>IF(B1974="","",IF(C1974&lt;&gt;"","REMOVE","KEEP"))</f>
        <v/>
      </c>
      <c r="E1974">
        <f>IF(D1974&lt;&gt;"KEEP","",IF(RIGHT(B1974,10)="@gmail.com","Gmail",IF(OR(RIGHT(B1974,12)="@outlook.com",RIGHT(B1974,12)="@hotmail.com",RIGHT(B1974,9)="@live.com"),"Outlook","Domain")))</f>
        <v/>
      </c>
      <c r="F1974">
        <f>IF(B1974="","",IFERROR(RIGHT(B1974,LEN(B1974)-FIND("@",B1974)),""))</f>
        <v/>
      </c>
      <c r="G1974">
        <f>IF(D1974="KEEP",COUNTIF($D$2:D1974,"KEEP"),"")</f>
        <v/>
      </c>
      <c r="H1974">
        <f>IF(D1974="REMOVE",COUNTIF($D$2:D1974,"REMOVE"),"")</f>
        <v/>
      </c>
      <c r="I1974">
        <f>IF(E1974="Gmail",COUNTIF($E$2:E1974,"Gmail"),"")</f>
        <v/>
      </c>
      <c r="J1974">
        <f>IF(E1974="Outlook",COUNTIF($E$2:E1974,"Outlook"),"")</f>
        <v/>
      </c>
      <c r="K1974">
        <f>IF(E1974="Domain",COUNTIF($E$2:E1974,"Domain"),"")</f>
        <v/>
      </c>
    </row>
    <row r="1975">
      <c r="A1975" s="2" t="n"/>
      <c r="B1975">
        <f>LOWER(TRIM(A1975))</f>
        <v/>
      </c>
      <c r="C1975">
        <f>IF(B1975="","",IFERROR(INDEX('Bad Patterns'!$A$2:$A$120,MATCH(1,INDEX(--ISNUMBER(SEARCH('Bad Patterns'!$A$2:$A$120,B1975)),0),0)),""))</f>
        <v/>
      </c>
      <c r="D1975">
        <f>IF(B1975="","",IF(C1975&lt;&gt;"","REMOVE","KEEP"))</f>
        <v/>
      </c>
      <c r="E1975">
        <f>IF(D1975&lt;&gt;"KEEP","",IF(RIGHT(B1975,10)="@gmail.com","Gmail",IF(OR(RIGHT(B1975,12)="@outlook.com",RIGHT(B1975,12)="@hotmail.com",RIGHT(B1975,9)="@live.com"),"Outlook","Domain")))</f>
        <v/>
      </c>
      <c r="F1975">
        <f>IF(B1975="","",IFERROR(RIGHT(B1975,LEN(B1975)-FIND("@",B1975)),""))</f>
        <v/>
      </c>
      <c r="G1975">
        <f>IF(D1975="KEEP",COUNTIF($D$2:D1975,"KEEP"),"")</f>
        <v/>
      </c>
      <c r="H1975">
        <f>IF(D1975="REMOVE",COUNTIF($D$2:D1975,"REMOVE"),"")</f>
        <v/>
      </c>
      <c r="I1975">
        <f>IF(E1975="Gmail",COUNTIF($E$2:E1975,"Gmail"),"")</f>
        <v/>
      </c>
      <c r="J1975">
        <f>IF(E1975="Outlook",COUNTIF($E$2:E1975,"Outlook"),"")</f>
        <v/>
      </c>
      <c r="K1975">
        <f>IF(E1975="Domain",COUNTIF($E$2:E1975,"Domain"),"")</f>
        <v/>
      </c>
    </row>
    <row r="1976">
      <c r="A1976" s="2" t="n"/>
      <c r="B1976">
        <f>LOWER(TRIM(A1976))</f>
        <v/>
      </c>
      <c r="C1976">
        <f>IF(B1976="","",IFERROR(INDEX('Bad Patterns'!$A$2:$A$120,MATCH(1,INDEX(--ISNUMBER(SEARCH('Bad Patterns'!$A$2:$A$120,B1976)),0),0)),""))</f>
        <v/>
      </c>
      <c r="D1976">
        <f>IF(B1976="","",IF(C1976&lt;&gt;"","REMOVE","KEEP"))</f>
        <v/>
      </c>
      <c r="E1976">
        <f>IF(D1976&lt;&gt;"KEEP","",IF(RIGHT(B1976,10)="@gmail.com","Gmail",IF(OR(RIGHT(B1976,12)="@outlook.com",RIGHT(B1976,12)="@hotmail.com",RIGHT(B1976,9)="@live.com"),"Outlook","Domain")))</f>
        <v/>
      </c>
      <c r="F1976">
        <f>IF(B1976="","",IFERROR(RIGHT(B1976,LEN(B1976)-FIND("@",B1976)),""))</f>
        <v/>
      </c>
      <c r="G1976">
        <f>IF(D1976="KEEP",COUNTIF($D$2:D1976,"KEEP"),"")</f>
        <v/>
      </c>
      <c r="H1976">
        <f>IF(D1976="REMOVE",COUNTIF($D$2:D1976,"REMOVE"),"")</f>
        <v/>
      </c>
      <c r="I1976">
        <f>IF(E1976="Gmail",COUNTIF($E$2:E1976,"Gmail"),"")</f>
        <v/>
      </c>
      <c r="J1976">
        <f>IF(E1976="Outlook",COUNTIF($E$2:E1976,"Outlook"),"")</f>
        <v/>
      </c>
      <c r="K1976">
        <f>IF(E1976="Domain",COUNTIF($E$2:E1976,"Domain"),"")</f>
        <v/>
      </c>
    </row>
    <row r="1977">
      <c r="A1977" s="2" t="n"/>
      <c r="B1977">
        <f>LOWER(TRIM(A1977))</f>
        <v/>
      </c>
      <c r="C1977">
        <f>IF(B1977="","",IFERROR(INDEX('Bad Patterns'!$A$2:$A$120,MATCH(1,INDEX(--ISNUMBER(SEARCH('Bad Patterns'!$A$2:$A$120,B1977)),0),0)),""))</f>
        <v/>
      </c>
      <c r="D1977">
        <f>IF(B1977="","",IF(C1977&lt;&gt;"","REMOVE","KEEP"))</f>
        <v/>
      </c>
      <c r="E1977">
        <f>IF(D1977&lt;&gt;"KEEP","",IF(RIGHT(B1977,10)="@gmail.com","Gmail",IF(OR(RIGHT(B1977,12)="@outlook.com",RIGHT(B1977,12)="@hotmail.com",RIGHT(B1977,9)="@live.com"),"Outlook","Domain")))</f>
        <v/>
      </c>
      <c r="F1977">
        <f>IF(B1977="","",IFERROR(RIGHT(B1977,LEN(B1977)-FIND("@",B1977)),""))</f>
        <v/>
      </c>
      <c r="G1977">
        <f>IF(D1977="KEEP",COUNTIF($D$2:D1977,"KEEP"),"")</f>
        <v/>
      </c>
      <c r="H1977">
        <f>IF(D1977="REMOVE",COUNTIF($D$2:D1977,"REMOVE"),"")</f>
        <v/>
      </c>
      <c r="I1977">
        <f>IF(E1977="Gmail",COUNTIF($E$2:E1977,"Gmail"),"")</f>
        <v/>
      </c>
      <c r="J1977">
        <f>IF(E1977="Outlook",COUNTIF($E$2:E1977,"Outlook"),"")</f>
        <v/>
      </c>
      <c r="K1977">
        <f>IF(E1977="Domain",COUNTIF($E$2:E1977,"Domain"),"")</f>
        <v/>
      </c>
    </row>
    <row r="1978">
      <c r="A1978" s="2" t="n"/>
      <c r="B1978">
        <f>LOWER(TRIM(A1978))</f>
        <v/>
      </c>
      <c r="C1978">
        <f>IF(B1978="","",IFERROR(INDEX('Bad Patterns'!$A$2:$A$120,MATCH(1,INDEX(--ISNUMBER(SEARCH('Bad Patterns'!$A$2:$A$120,B1978)),0),0)),""))</f>
        <v/>
      </c>
      <c r="D1978">
        <f>IF(B1978="","",IF(C1978&lt;&gt;"","REMOVE","KEEP"))</f>
        <v/>
      </c>
      <c r="E1978">
        <f>IF(D1978&lt;&gt;"KEEP","",IF(RIGHT(B1978,10)="@gmail.com","Gmail",IF(OR(RIGHT(B1978,12)="@outlook.com",RIGHT(B1978,12)="@hotmail.com",RIGHT(B1978,9)="@live.com"),"Outlook","Domain")))</f>
        <v/>
      </c>
      <c r="F1978">
        <f>IF(B1978="","",IFERROR(RIGHT(B1978,LEN(B1978)-FIND("@",B1978)),""))</f>
        <v/>
      </c>
      <c r="G1978">
        <f>IF(D1978="KEEP",COUNTIF($D$2:D1978,"KEEP"),"")</f>
        <v/>
      </c>
      <c r="H1978">
        <f>IF(D1978="REMOVE",COUNTIF($D$2:D1978,"REMOVE"),"")</f>
        <v/>
      </c>
      <c r="I1978">
        <f>IF(E1978="Gmail",COUNTIF($E$2:E1978,"Gmail"),"")</f>
        <v/>
      </c>
      <c r="J1978">
        <f>IF(E1978="Outlook",COUNTIF($E$2:E1978,"Outlook"),"")</f>
        <v/>
      </c>
      <c r="K1978">
        <f>IF(E1978="Domain",COUNTIF($E$2:E1978,"Domain"),"")</f>
        <v/>
      </c>
    </row>
    <row r="1979">
      <c r="A1979" s="2" t="n"/>
      <c r="B1979">
        <f>LOWER(TRIM(A1979))</f>
        <v/>
      </c>
      <c r="C1979">
        <f>IF(B1979="","",IFERROR(INDEX('Bad Patterns'!$A$2:$A$120,MATCH(1,INDEX(--ISNUMBER(SEARCH('Bad Patterns'!$A$2:$A$120,B1979)),0),0)),""))</f>
        <v/>
      </c>
      <c r="D1979">
        <f>IF(B1979="","",IF(C1979&lt;&gt;"","REMOVE","KEEP"))</f>
        <v/>
      </c>
      <c r="E1979">
        <f>IF(D1979&lt;&gt;"KEEP","",IF(RIGHT(B1979,10)="@gmail.com","Gmail",IF(OR(RIGHT(B1979,12)="@outlook.com",RIGHT(B1979,12)="@hotmail.com",RIGHT(B1979,9)="@live.com"),"Outlook","Domain")))</f>
        <v/>
      </c>
      <c r="F1979">
        <f>IF(B1979="","",IFERROR(RIGHT(B1979,LEN(B1979)-FIND("@",B1979)),""))</f>
        <v/>
      </c>
      <c r="G1979">
        <f>IF(D1979="KEEP",COUNTIF($D$2:D1979,"KEEP"),"")</f>
        <v/>
      </c>
      <c r="H1979">
        <f>IF(D1979="REMOVE",COUNTIF($D$2:D1979,"REMOVE"),"")</f>
        <v/>
      </c>
      <c r="I1979">
        <f>IF(E1979="Gmail",COUNTIF($E$2:E1979,"Gmail"),"")</f>
        <v/>
      </c>
      <c r="J1979">
        <f>IF(E1979="Outlook",COUNTIF($E$2:E1979,"Outlook"),"")</f>
        <v/>
      </c>
      <c r="K1979">
        <f>IF(E1979="Domain",COUNTIF($E$2:E1979,"Domain"),"")</f>
        <v/>
      </c>
    </row>
    <row r="1980">
      <c r="A1980" s="2" t="n"/>
      <c r="B1980">
        <f>LOWER(TRIM(A1980))</f>
        <v/>
      </c>
      <c r="C1980">
        <f>IF(B1980="","",IFERROR(INDEX('Bad Patterns'!$A$2:$A$120,MATCH(1,INDEX(--ISNUMBER(SEARCH('Bad Patterns'!$A$2:$A$120,B1980)),0),0)),""))</f>
        <v/>
      </c>
      <c r="D1980">
        <f>IF(B1980="","",IF(C1980&lt;&gt;"","REMOVE","KEEP"))</f>
        <v/>
      </c>
      <c r="E1980">
        <f>IF(D1980&lt;&gt;"KEEP","",IF(RIGHT(B1980,10)="@gmail.com","Gmail",IF(OR(RIGHT(B1980,12)="@outlook.com",RIGHT(B1980,12)="@hotmail.com",RIGHT(B1980,9)="@live.com"),"Outlook","Domain")))</f>
        <v/>
      </c>
      <c r="F1980">
        <f>IF(B1980="","",IFERROR(RIGHT(B1980,LEN(B1980)-FIND("@",B1980)),""))</f>
        <v/>
      </c>
      <c r="G1980">
        <f>IF(D1980="KEEP",COUNTIF($D$2:D1980,"KEEP"),"")</f>
        <v/>
      </c>
      <c r="H1980">
        <f>IF(D1980="REMOVE",COUNTIF($D$2:D1980,"REMOVE"),"")</f>
        <v/>
      </c>
      <c r="I1980">
        <f>IF(E1980="Gmail",COUNTIF($E$2:E1980,"Gmail"),"")</f>
        <v/>
      </c>
      <c r="J1980">
        <f>IF(E1980="Outlook",COUNTIF($E$2:E1980,"Outlook"),"")</f>
        <v/>
      </c>
      <c r="K1980">
        <f>IF(E1980="Domain",COUNTIF($E$2:E1980,"Domain"),"")</f>
        <v/>
      </c>
    </row>
    <row r="1981">
      <c r="A1981" s="2" t="n"/>
      <c r="B1981">
        <f>LOWER(TRIM(A1981))</f>
        <v/>
      </c>
      <c r="C1981">
        <f>IF(B1981="","",IFERROR(INDEX('Bad Patterns'!$A$2:$A$120,MATCH(1,INDEX(--ISNUMBER(SEARCH('Bad Patterns'!$A$2:$A$120,B1981)),0),0)),""))</f>
        <v/>
      </c>
      <c r="D1981">
        <f>IF(B1981="","",IF(C1981&lt;&gt;"","REMOVE","KEEP"))</f>
        <v/>
      </c>
      <c r="E1981">
        <f>IF(D1981&lt;&gt;"KEEP","",IF(RIGHT(B1981,10)="@gmail.com","Gmail",IF(OR(RIGHT(B1981,12)="@outlook.com",RIGHT(B1981,12)="@hotmail.com",RIGHT(B1981,9)="@live.com"),"Outlook","Domain")))</f>
        <v/>
      </c>
      <c r="F1981">
        <f>IF(B1981="","",IFERROR(RIGHT(B1981,LEN(B1981)-FIND("@",B1981)),""))</f>
        <v/>
      </c>
      <c r="G1981">
        <f>IF(D1981="KEEP",COUNTIF($D$2:D1981,"KEEP"),"")</f>
        <v/>
      </c>
      <c r="H1981">
        <f>IF(D1981="REMOVE",COUNTIF($D$2:D1981,"REMOVE"),"")</f>
        <v/>
      </c>
      <c r="I1981">
        <f>IF(E1981="Gmail",COUNTIF($E$2:E1981,"Gmail"),"")</f>
        <v/>
      </c>
      <c r="J1981">
        <f>IF(E1981="Outlook",COUNTIF($E$2:E1981,"Outlook"),"")</f>
        <v/>
      </c>
      <c r="K1981">
        <f>IF(E1981="Domain",COUNTIF($E$2:E1981,"Domain"),"")</f>
        <v/>
      </c>
    </row>
    <row r="1982">
      <c r="A1982" s="2" t="n"/>
      <c r="B1982">
        <f>LOWER(TRIM(A1982))</f>
        <v/>
      </c>
      <c r="C1982">
        <f>IF(B1982="","",IFERROR(INDEX('Bad Patterns'!$A$2:$A$120,MATCH(1,INDEX(--ISNUMBER(SEARCH('Bad Patterns'!$A$2:$A$120,B1982)),0),0)),""))</f>
        <v/>
      </c>
      <c r="D1982">
        <f>IF(B1982="","",IF(C1982&lt;&gt;"","REMOVE","KEEP"))</f>
        <v/>
      </c>
      <c r="E1982">
        <f>IF(D1982&lt;&gt;"KEEP","",IF(RIGHT(B1982,10)="@gmail.com","Gmail",IF(OR(RIGHT(B1982,12)="@outlook.com",RIGHT(B1982,12)="@hotmail.com",RIGHT(B1982,9)="@live.com"),"Outlook","Domain")))</f>
        <v/>
      </c>
      <c r="F1982">
        <f>IF(B1982="","",IFERROR(RIGHT(B1982,LEN(B1982)-FIND("@",B1982)),""))</f>
        <v/>
      </c>
      <c r="G1982">
        <f>IF(D1982="KEEP",COUNTIF($D$2:D1982,"KEEP"),"")</f>
        <v/>
      </c>
      <c r="H1982">
        <f>IF(D1982="REMOVE",COUNTIF($D$2:D1982,"REMOVE"),"")</f>
        <v/>
      </c>
      <c r="I1982">
        <f>IF(E1982="Gmail",COUNTIF($E$2:E1982,"Gmail"),"")</f>
        <v/>
      </c>
      <c r="J1982">
        <f>IF(E1982="Outlook",COUNTIF($E$2:E1982,"Outlook"),"")</f>
        <v/>
      </c>
      <c r="K1982">
        <f>IF(E1982="Domain",COUNTIF($E$2:E1982,"Domain"),"")</f>
        <v/>
      </c>
    </row>
    <row r="1983">
      <c r="A1983" s="2" t="n"/>
      <c r="B1983">
        <f>LOWER(TRIM(A1983))</f>
        <v/>
      </c>
      <c r="C1983">
        <f>IF(B1983="","",IFERROR(INDEX('Bad Patterns'!$A$2:$A$120,MATCH(1,INDEX(--ISNUMBER(SEARCH('Bad Patterns'!$A$2:$A$120,B1983)),0),0)),""))</f>
        <v/>
      </c>
      <c r="D1983">
        <f>IF(B1983="","",IF(C1983&lt;&gt;"","REMOVE","KEEP"))</f>
        <v/>
      </c>
      <c r="E1983">
        <f>IF(D1983&lt;&gt;"KEEP","",IF(RIGHT(B1983,10)="@gmail.com","Gmail",IF(OR(RIGHT(B1983,12)="@outlook.com",RIGHT(B1983,12)="@hotmail.com",RIGHT(B1983,9)="@live.com"),"Outlook","Domain")))</f>
        <v/>
      </c>
      <c r="F1983">
        <f>IF(B1983="","",IFERROR(RIGHT(B1983,LEN(B1983)-FIND("@",B1983)),""))</f>
        <v/>
      </c>
      <c r="G1983">
        <f>IF(D1983="KEEP",COUNTIF($D$2:D1983,"KEEP"),"")</f>
        <v/>
      </c>
      <c r="H1983">
        <f>IF(D1983="REMOVE",COUNTIF($D$2:D1983,"REMOVE"),"")</f>
        <v/>
      </c>
      <c r="I1983">
        <f>IF(E1983="Gmail",COUNTIF($E$2:E1983,"Gmail"),"")</f>
        <v/>
      </c>
      <c r="J1983">
        <f>IF(E1983="Outlook",COUNTIF($E$2:E1983,"Outlook"),"")</f>
        <v/>
      </c>
      <c r="K1983">
        <f>IF(E1983="Domain",COUNTIF($E$2:E1983,"Domain"),"")</f>
        <v/>
      </c>
    </row>
    <row r="1984">
      <c r="A1984" s="2" t="n"/>
      <c r="B1984">
        <f>LOWER(TRIM(A1984))</f>
        <v/>
      </c>
      <c r="C1984">
        <f>IF(B1984="","",IFERROR(INDEX('Bad Patterns'!$A$2:$A$120,MATCH(1,INDEX(--ISNUMBER(SEARCH('Bad Patterns'!$A$2:$A$120,B1984)),0),0)),""))</f>
        <v/>
      </c>
      <c r="D1984">
        <f>IF(B1984="","",IF(C1984&lt;&gt;"","REMOVE","KEEP"))</f>
        <v/>
      </c>
      <c r="E1984">
        <f>IF(D1984&lt;&gt;"KEEP","",IF(RIGHT(B1984,10)="@gmail.com","Gmail",IF(OR(RIGHT(B1984,12)="@outlook.com",RIGHT(B1984,12)="@hotmail.com",RIGHT(B1984,9)="@live.com"),"Outlook","Domain")))</f>
        <v/>
      </c>
      <c r="F1984">
        <f>IF(B1984="","",IFERROR(RIGHT(B1984,LEN(B1984)-FIND("@",B1984)),""))</f>
        <v/>
      </c>
      <c r="G1984">
        <f>IF(D1984="KEEP",COUNTIF($D$2:D1984,"KEEP"),"")</f>
        <v/>
      </c>
      <c r="H1984">
        <f>IF(D1984="REMOVE",COUNTIF($D$2:D1984,"REMOVE"),"")</f>
        <v/>
      </c>
      <c r="I1984">
        <f>IF(E1984="Gmail",COUNTIF($E$2:E1984,"Gmail"),"")</f>
        <v/>
      </c>
      <c r="J1984">
        <f>IF(E1984="Outlook",COUNTIF($E$2:E1984,"Outlook"),"")</f>
        <v/>
      </c>
      <c r="K1984">
        <f>IF(E1984="Domain",COUNTIF($E$2:E1984,"Domain"),"")</f>
        <v/>
      </c>
    </row>
    <row r="1985">
      <c r="A1985" s="2" t="n"/>
      <c r="B1985">
        <f>LOWER(TRIM(A1985))</f>
        <v/>
      </c>
      <c r="C1985">
        <f>IF(B1985="","",IFERROR(INDEX('Bad Patterns'!$A$2:$A$120,MATCH(1,INDEX(--ISNUMBER(SEARCH('Bad Patterns'!$A$2:$A$120,B1985)),0),0)),""))</f>
        <v/>
      </c>
      <c r="D1985">
        <f>IF(B1985="","",IF(C1985&lt;&gt;"","REMOVE","KEEP"))</f>
        <v/>
      </c>
      <c r="E1985">
        <f>IF(D1985&lt;&gt;"KEEP","",IF(RIGHT(B1985,10)="@gmail.com","Gmail",IF(OR(RIGHT(B1985,12)="@outlook.com",RIGHT(B1985,12)="@hotmail.com",RIGHT(B1985,9)="@live.com"),"Outlook","Domain")))</f>
        <v/>
      </c>
      <c r="F1985">
        <f>IF(B1985="","",IFERROR(RIGHT(B1985,LEN(B1985)-FIND("@",B1985)),""))</f>
        <v/>
      </c>
      <c r="G1985">
        <f>IF(D1985="KEEP",COUNTIF($D$2:D1985,"KEEP"),"")</f>
        <v/>
      </c>
      <c r="H1985">
        <f>IF(D1985="REMOVE",COUNTIF($D$2:D1985,"REMOVE"),"")</f>
        <v/>
      </c>
      <c r="I1985">
        <f>IF(E1985="Gmail",COUNTIF($E$2:E1985,"Gmail"),"")</f>
        <v/>
      </c>
      <c r="J1985">
        <f>IF(E1985="Outlook",COUNTIF($E$2:E1985,"Outlook"),"")</f>
        <v/>
      </c>
      <c r="K1985">
        <f>IF(E1985="Domain",COUNTIF($E$2:E1985,"Domain"),"")</f>
        <v/>
      </c>
    </row>
    <row r="1986">
      <c r="A1986" s="2" t="n"/>
      <c r="B1986">
        <f>LOWER(TRIM(A1986))</f>
        <v/>
      </c>
      <c r="C1986">
        <f>IF(B1986="","",IFERROR(INDEX('Bad Patterns'!$A$2:$A$120,MATCH(1,INDEX(--ISNUMBER(SEARCH('Bad Patterns'!$A$2:$A$120,B1986)),0),0)),""))</f>
        <v/>
      </c>
      <c r="D1986">
        <f>IF(B1986="","",IF(C1986&lt;&gt;"","REMOVE","KEEP"))</f>
        <v/>
      </c>
      <c r="E1986">
        <f>IF(D1986&lt;&gt;"KEEP","",IF(RIGHT(B1986,10)="@gmail.com","Gmail",IF(OR(RIGHT(B1986,12)="@outlook.com",RIGHT(B1986,12)="@hotmail.com",RIGHT(B1986,9)="@live.com"),"Outlook","Domain")))</f>
        <v/>
      </c>
      <c r="F1986">
        <f>IF(B1986="","",IFERROR(RIGHT(B1986,LEN(B1986)-FIND("@",B1986)),""))</f>
        <v/>
      </c>
      <c r="G1986">
        <f>IF(D1986="KEEP",COUNTIF($D$2:D1986,"KEEP"),"")</f>
        <v/>
      </c>
      <c r="H1986">
        <f>IF(D1986="REMOVE",COUNTIF($D$2:D1986,"REMOVE"),"")</f>
        <v/>
      </c>
      <c r="I1986">
        <f>IF(E1986="Gmail",COUNTIF($E$2:E1986,"Gmail"),"")</f>
        <v/>
      </c>
      <c r="J1986">
        <f>IF(E1986="Outlook",COUNTIF($E$2:E1986,"Outlook"),"")</f>
        <v/>
      </c>
      <c r="K1986">
        <f>IF(E1986="Domain",COUNTIF($E$2:E1986,"Domain"),"")</f>
        <v/>
      </c>
    </row>
    <row r="1987">
      <c r="A1987" s="2" t="n"/>
      <c r="B1987">
        <f>LOWER(TRIM(A1987))</f>
        <v/>
      </c>
      <c r="C1987">
        <f>IF(B1987="","",IFERROR(INDEX('Bad Patterns'!$A$2:$A$120,MATCH(1,INDEX(--ISNUMBER(SEARCH('Bad Patterns'!$A$2:$A$120,B1987)),0),0)),""))</f>
        <v/>
      </c>
      <c r="D1987">
        <f>IF(B1987="","",IF(C1987&lt;&gt;"","REMOVE","KEEP"))</f>
        <v/>
      </c>
      <c r="E1987">
        <f>IF(D1987&lt;&gt;"KEEP","",IF(RIGHT(B1987,10)="@gmail.com","Gmail",IF(OR(RIGHT(B1987,12)="@outlook.com",RIGHT(B1987,12)="@hotmail.com",RIGHT(B1987,9)="@live.com"),"Outlook","Domain")))</f>
        <v/>
      </c>
      <c r="F1987">
        <f>IF(B1987="","",IFERROR(RIGHT(B1987,LEN(B1987)-FIND("@",B1987)),""))</f>
        <v/>
      </c>
      <c r="G1987">
        <f>IF(D1987="KEEP",COUNTIF($D$2:D1987,"KEEP"),"")</f>
        <v/>
      </c>
      <c r="H1987">
        <f>IF(D1987="REMOVE",COUNTIF($D$2:D1987,"REMOVE"),"")</f>
        <v/>
      </c>
      <c r="I1987">
        <f>IF(E1987="Gmail",COUNTIF($E$2:E1987,"Gmail"),"")</f>
        <v/>
      </c>
      <c r="J1987">
        <f>IF(E1987="Outlook",COUNTIF($E$2:E1987,"Outlook"),"")</f>
        <v/>
      </c>
      <c r="K1987">
        <f>IF(E1987="Domain",COUNTIF($E$2:E1987,"Domain"),"")</f>
        <v/>
      </c>
    </row>
    <row r="1988">
      <c r="A1988" s="2" t="n"/>
      <c r="B1988">
        <f>LOWER(TRIM(A1988))</f>
        <v/>
      </c>
      <c r="C1988">
        <f>IF(B1988="","",IFERROR(INDEX('Bad Patterns'!$A$2:$A$120,MATCH(1,INDEX(--ISNUMBER(SEARCH('Bad Patterns'!$A$2:$A$120,B1988)),0),0)),""))</f>
        <v/>
      </c>
      <c r="D1988">
        <f>IF(B1988="","",IF(C1988&lt;&gt;"","REMOVE","KEEP"))</f>
        <v/>
      </c>
      <c r="E1988">
        <f>IF(D1988&lt;&gt;"KEEP","",IF(RIGHT(B1988,10)="@gmail.com","Gmail",IF(OR(RIGHT(B1988,12)="@outlook.com",RIGHT(B1988,12)="@hotmail.com",RIGHT(B1988,9)="@live.com"),"Outlook","Domain")))</f>
        <v/>
      </c>
      <c r="F1988">
        <f>IF(B1988="","",IFERROR(RIGHT(B1988,LEN(B1988)-FIND("@",B1988)),""))</f>
        <v/>
      </c>
      <c r="G1988">
        <f>IF(D1988="KEEP",COUNTIF($D$2:D1988,"KEEP"),"")</f>
        <v/>
      </c>
      <c r="H1988">
        <f>IF(D1988="REMOVE",COUNTIF($D$2:D1988,"REMOVE"),"")</f>
        <v/>
      </c>
      <c r="I1988">
        <f>IF(E1988="Gmail",COUNTIF($E$2:E1988,"Gmail"),"")</f>
        <v/>
      </c>
      <c r="J1988">
        <f>IF(E1988="Outlook",COUNTIF($E$2:E1988,"Outlook"),"")</f>
        <v/>
      </c>
      <c r="K1988">
        <f>IF(E1988="Domain",COUNTIF($E$2:E1988,"Domain"),"")</f>
        <v/>
      </c>
    </row>
    <row r="1989">
      <c r="A1989" s="2" t="n"/>
      <c r="B1989">
        <f>LOWER(TRIM(A1989))</f>
        <v/>
      </c>
      <c r="C1989">
        <f>IF(B1989="","",IFERROR(INDEX('Bad Patterns'!$A$2:$A$120,MATCH(1,INDEX(--ISNUMBER(SEARCH('Bad Patterns'!$A$2:$A$120,B1989)),0),0)),""))</f>
        <v/>
      </c>
      <c r="D1989">
        <f>IF(B1989="","",IF(C1989&lt;&gt;"","REMOVE","KEEP"))</f>
        <v/>
      </c>
      <c r="E1989">
        <f>IF(D1989&lt;&gt;"KEEP","",IF(RIGHT(B1989,10)="@gmail.com","Gmail",IF(OR(RIGHT(B1989,12)="@outlook.com",RIGHT(B1989,12)="@hotmail.com",RIGHT(B1989,9)="@live.com"),"Outlook","Domain")))</f>
        <v/>
      </c>
      <c r="F1989">
        <f>IF(B1989="","",IFERROR(RIGHT(B1989,LEN(B1989)-FIND("@",B1989)),""))</f>
        <v/>
      </c>
      <c r="G1989">
        <f>IF(D1989="KEEP",COUNTIF($D$2:D1989,"KEEP"),"")</f>
        <v/>
      </c>
      <c r="H1989">
        <f>IF(D1989="REMOVE",COUNTIF($D$2:D1989,"REMOVE"),"")</f>
        <v/>
      </c>
      <c r="I1989">
        <f>IF(E1989="Gmail",COUNTIF($E$2:E1989,"Gmail"),"")</f>
        <v/>
      </c>
      <c r="J1989">
        <f>IF(E1989="Outlook",COUNTIF($E$2:E1989,"Outlook"),"")</f>
        <v/>
      </c>
      <c r="K1989">
        <f>IF(E1989="Domain",COUNTIF($E$2:E1989,"Domain"),"")</f>
        <v/>
      </c>
    </row>
    <row r="1990">
      <c r="A1990" s="2" t="n"/>
      <c r="B1990">
        <f>LOWER(TRIM(A1990))</f>
        <v/>
      </c>
      <c r="C1990">
        <f>IF(B1990="","",IFERROR(INDEX('Bad Patterns'!$A$2:$A$120,MATCH(1,INDEX(--ISNUMBER(SEARCH('Bad Patterns'!$A$2:$A$120,B1990)),0),0)),""))</f>
        <v/>
      </c>
      <c r="D1990">
        <f>IF(B1990="","",IF(C1990&lt;&gt;"","REMOVE","KEEP"))</f>
        <v/>
      </c>
      <c r="E1990">
        <f>IF(D1990&lt;&gt;"KEEP","",IF(RIGHT(B1990,10)="@gmail.com","Gmail",IF(OR(RIGHT(B1990,12)="@outlook.com",RIGHT(B1990,12)="@hotmail.com",RIGHT(B1990,9)="@live.com"),"Outlook","Domain")))</f>
        <v/>
      </c>
      <c r="F1990">
        <f>IF(B1990="","",IFERROR(RIGHT(B1990,LEN(B1990)-FIND("@",B1990)),""))</f>
        <v/>
      </c>
      <c r="G1990">
        <f>IF(D1990="KEEP",COUNTIF($D$2:D1990,"KEEP"),"")</f>
        <v/>
      </c>
      <c r="H1990">
        <f>IF(D1990="REMOVE",COUNTIF($D$2:D1990,"REMOVE"),"")</f>
        <v/>
      </c>
      <c r="I1990">
        <f>IF(E1990="Gmail",COUNTIF($E$2:E1990,"Gmail"),"")</f>
        <v/>
      </c>
      <c r="J1990">
        <f>IF(E1990="Outlook",COUNTIF($E$2:E1990,"Outlook"),"")</f>
        <v/>
      </c>
      <c r="K1990">
        <f>IF(E1990="Domain",COUNTIF($E$2:E1990,"Domain"),"")</f>
        <v/>
      </c>
    </row>
    <row r="1991">
      <c r="A1991" s="2" t="n"/>
      <c r="B1991">
        <f>LOWER(TRIM(A1991))</f>
        <v/>
      </c>
      <c r="C1991">
        <f>IF(B1991="","",IFERROR(INDEX('Bad Patterns'!$A$2:$A$120,MATCH(1,INDEX(--ISNUMBER(SEARCH('Bad Patterns'!$A$2:$A$120,B1991)),0),0)),""))</f>
        <v/>
      </c>
      <c r="D1991">
        <f>IF(B1991="","",IF(C1991&lt;&gt;"","REMOVE","KEEP"))</f>
        <v/>
      </c>
      <c r="E1991">
        <f>IF(D1991&lt;&gt;"KEEP","",IF(RIGHT(B1991,10)="@gmail.com","Gmail",IF(OR(RIGHT(B1991,12)="@outlook.com",RIGHT(B1991,12)="@hotmail.com",RIGHT(B1991,9)="@live.com"),"Outlook","Domain")))</f>
        <v/>
      </c>
      <c r="F1991">
        <f>IF(B1991="","",IFERROR(RIGHT(B1991,LEN(B1991)-FIND("@",B1991)),""))</f>
        <v/>
      </c>
      <c r="G1991">
        <f>IF(D1991="KEEP",COUNTIF($D$2:D1991,"KEEP"),"")</f>
        <v/>
      </c>
      <c r="H1991">
        <f>IF(D1991="REMOVE",COUNTIF($D$2:D1991,"REMOVE"),"")</f>
        <v/>
      </c>
      <c r="I1991">
        <f>IF(E1991="Gmail",COUNTIF($E$2:E1991,"Gmail"),"")</f>
        <v/>
      </c>
      <c r="J1991">
        <f>IF(E1991="Outlook",COUNTIF($E$2:E1991,"Outlook"),"")</f>
        <v/>
      </c>
      <c r="K1991">
        <f>IF(E1991="Domain",COUNTIF($E$2:E1991,"Domain"),"")</f>
        <v/>
      </c>
    </row>
    <row r="1992">
      <c r="A1992" s="2" t="n"/>
      <c r="B1992">
        <f>LOWER(TRIM(A1992))</f>
        <v/>
      </c>
      <c r="C1992">
        <f>IF(B1992="","",IFERROR(INDEX('Bad Patterns'!$A$2:$A$120,MATCH(1,INDEX(--ISNUMBER(SEARCH('Bad Patterns'!$A$2:$A$120,B1992)),0),0)),""))</f>
        <v/>
      </c>
      <c r="D1992">
        <f>IF(B1992="","",IF(C1992&lt;&gt;"","REMOVE","KEEP"))</f>
        <v/>
      </c>
      <c r="E1992">
        <f>IF(D1992&lt;&gt;"KEEP","",IF(RIGHT(B1992,10)="@gmail.com","Gmail",IF(OR(RIGHT(B1992,12)="@outlook.com",RIGHT(B1992,12)="@hotmail.com",RIGHT(B1992,9)="@live.com"),"Outlook","Domain")))</f>
        <v/>
      </c>
      <c r="F1992">
        <f>IF(B1992="","",IFERROR(RIGHT(B1992,LEN(B1992)-FIND("@",B1992)),""))</f>
        <v/>
      </c>
      <c r="G1992">
        <f>IF(D1992="KEEP",COUNTIF($D$2:D1992,"KEEP"),"")</f>
        <v/>
      </c>
      <c r="H1992">
        <f>IF(D1992="REMOVE",COUNTIF($D$2:D1992,"REMOVE"),"")</f>
        <v/>
      </c>
      <c r="I1992">
        <f>IF(E1992="Gmail",COUNTIF($E$2:E1992,"Gmail"),"")</f>
        <v/>
      </c>
      <c r="J1992">
        <f>IF(E1992="Outlook",COUNTIF($E$2:E1992,"Outlook"),"")</f>
        <v/>
      </c>
      <c r="K1992">
        <f>IF(E1992="Domain",COUNTIF($E$2:E1992,"Domain"),"")</f>
        <v/>
      </c>
    </row>
    <row r="1993">
      <c r="A1993" s="2" t="n"/>
      <c r="B1993">
        <f>LOWER(TRIM(A1993))</f>
        <v/>
      </c>
      <c r="C1993">
        <f>IF(B1993="","",IFERROR(INDEX('Bad Patterns'!$A$2:$A$120,MATCH(1,INDEX(--ISNUMBER(SEARCH('Bad Patterns'!$A$2:$A$120,B1993)),0),0)),""))</f>
        <v/>
      </c>
      <c r="D1993">
        <f>IF(B1993="","",IF(C1993&lt;&gt;"","REMOVE","KEEP"))</f>
        <v/>
      </c>
      <c r="E1993">
        <f>IF(D1993&lt;&gt;"KEEP","",IF(RIGHT(B1993,10)="@gmail.com","Gmail",IF(OR(RIGHT(B1993,12)="@outlook.com",RIGHT(B1993,12)="@hotmail.com",RIGHT(B1993,9)="@live.com"),"Outlook","Domain")))</f>
        <v/>
      </c>
      <c r="F1993">
        <f>IF(B1993="","",IFERROR(RIGHT(B1993,LEN(B1993)-FIND("@",B1993)),""))</f>
        <v/>
      </c>
      <c r="G1993">
        <f>IF(D1993="KEEP",COUNTIF($D$2:D1993,"KEEP"),"")</f>
        <v/>
      </c>
      <c r="H1993">
        <f>IF(D1993="REMOVE",COUNTIF($D$2:D1993,"REMOVE"),"")</f>
        <v/>
      </c>
      <c r="I1993">
        <f>IF(E1993="Gmail",COUNTIF($E$2:E1993,"Gmail"),"")</f>
        <v/>
      </c>
      <c r="J1993">
        <f>IF(E1993="Outlook",COUNTIF($E$2:E1993,"Outlook"),"")</f>
        <v/>
      </c>
      <c r="K1993">
        <f>IF(E1993="Domain",COUNTIF($E$2:E1993,"Domain"),"")</f>
        <v/>
      </c>
    </row>
    <row r="1994">
      <c r="A1994" s="2" t="n"/>
      <c r="B1994">
        <f>LOWER(TRIM(A1994))</f>
        <v/>
      </c>
      <c r="C1994">
        <f>IF(B1994="","",IFERROR(INDEX('Bad Patterns'!$A$2:$A$120,MATCH(1,INDEX(--ISNUMBER(SEARCH('Bad Patterns'!$A$2:$A$120,B1994)),0),0)),""))</f>
        <v/>
      </c>
      <c r="D1994">
        <f>IF(B1994="","",IF(C1994&lt;&gt;"","REMOVE","KEEP"))</f>
        <v/>
      </c>
      <c r="E1994">
        <f>IF(D1994&lt;&gt;"KEEP","",IF(RIGHT(B1994,10)="@gmail.com","Gmail",IF(OR(RIGHT(B1994,12)="@outlook.com",RIGHT(B1994,12)="@hotmail.com",RIGHT(B1994,9)="@live.com"),"Outlook","Domain")))</f>
        <v/>
      </c>
      <c r="F1994">
        <f>IF(B1994="","",IFERROR(RIGHT(B1994,LEN(B1994)-FIND("@",B1994)),""))</f>
        <v/>
      </c>
      <c r="G1994">
        <f>IF(D1994="KEEP",COUNTIF($D$2:D1994,"KEEP"),"")</f>
        <v/>
      </c>
      <c r="H1994">
        <f>IF(D1994="REMOVE",COUNTIF($D$2:D1994,"REMOVE"),"")</f>
        <v/>
      </c>
      <c r="I1994">
        <f>IF(E1994="Gmail",COUNTIF($E$2:E1994,"Gmail"),"")</f>
        <v/>
      </c>
      <c r="J1994">
        <f>IF(E1994="Outlook",COUNTIF($E$2:E1994,"Outlook"),"")</f>
        <v/>
      </c>
      <c r="K1994">
        <f>IF(E1994="Domain",COUNTIF($E$2:E1994,"Domain"),"")</f>
        <v/>
      </c>
    </row>
    <row r="1995">
      <c r="A1995" s="2" t="n"/>
      <c r="B1995">
        <f>LOWER(TRIM(A1995))</f>
        <v/>
      </c>
      <c r="C1995">
        <f>IF(B1995="","",IFERROR(INDEX('Bad Patterns'!$A$2:$A$120,MATCH(1,INDEX(--ISNUMBER(SEARCH('Bad Patterns'!$A$2:$A$120,B1995)),0),0)),""))</f>
        <v/>
      </c>
      <c r="D1995">
        <f>IF(B1995="","",IF(C1995&lt;&gt;"","REMOVE","KEEP"))</f>
        <v/>
      </c>
      <c r="E1995">
        <f>IF(D1995&lt;&gt;"KEEP","",IF(RIGHT(B1995,10)="@gmail.com","Gmail",IF(OR(RIGHT(B1995,12)="@outlook.com",RIGHT(B1995,12)="@hotmail.com",RIGHT(B1995,9)="@live.com"),"Outlook","Domain")))</f>
        <v/>
      </c>
      <c r="F1995">
        <f>IF(B1995="","",IFERROR(RIGHT(B1995,LEN(B1995)-FIND("@",B1995)),""))</f>
        <v/>
      </c>
      <c r="G1995">
        <f>IF(D1995="KEEP",COUNTIF($D$2:D1995,"KEEP"),"")</f>
        <v/>
      </c>
      <c r="H1995">
        <f>IF(D1995="REMOVE",COUNTIF($D$2:D1995,"REMOVE"),"")</f>
        <v/>
      </c>
      <c r="I1995">
        <f>IF(E1995="Gmail",COUNTIF($E$2:E1995,"Gmail"),"")</f>
        <v/>
      </c>
      <c r="J1995">
        <f>IF(E1995="Outlook",COUNTIF($E$2:E1995,"Outlook"),"")</f>
        <v/>
      </c>
      <c r="K1995">
        <f>IF(E1995="Domain",COUNTIF($E$2:E1995,"Domain"),"")</f>
        <v/>
      </c>
    </row>
    <row r="1996">
      <c r="A1996" s="2" t="n"/>
      <c r="B1996">
        <f>LOWER(TRIM(A1996))</f>
        <v/>
      </c>
      <c r="C1996">
        <f>IF(B1996="","",IFERROR(INDEX('Bad Patterns'!$A$2:$A$120,MATCH(1,INDEX(--ISNUMBER(SEARCH('Bad Patterns'!$A$2:$A$120,B1996)),0),0)),""))</f>
        <v/>
      </c>
      <c r="D1996">
        <f>IF(B1996="","",IF(C1996&lt;&gt;"","REMOVE","KEEP"))</f>
        <v/>
      </c>
      <c r="E1996">
        <f>IF(D1996&lt;&gt;"KEEP","",IF(RIGHT(B1996,10)="@gmail.com","Gmail",IF(OR(RIGHT(B1996,12)="@outlook.com",RIGHT(B1996,12)="@hotmail.com",RIGHT(B1996,9)="@live.com"),"Outlook","Domain")))</f>
        <v/>
      </c>
      <c r="F1996">
        <f>IF(B1996="","",IFERROR(RIGHT(B1996,LEN(B1996)-FIND("@",B1996)),""))</f>
        <v/>
      </c>
      <c r="G1996">
        <f>IF(D1996="KEEP",COUNTIF($D$2:D1996,"KEEP"),"")</f>
        <v/>
      </c>
      <c r="H1996">
        <f>IF(D1996="REMOVE",COUNTIF($D$2:D1996,"REMOVE"),"")</f>
        <v/>
      </c>
      <c r="I1996">
        <f>IF(E1996="Gmail",COUNTIF($E$2:E1996,"Gmail"),"")</f>
        <v/>
      </c>
      <c r="J1996">
        <f>IF(E1996="Outlook",COUNTIF($E$2:E1996,"Outlook"),"")</f>
        <v/>
      </c>
      <c r="K1996">
        <f>IF(E1996="Domain",COUNTIF($E$2:E1996,"Domain"),"")</f>
        <v/>
      </c>
    </row>
    <row r="1997">
      <c r="A1997" s="2" t="n"/>
      <c r="B1997">
        <f>LOWER(TRIM(A1997))</f>
        <v/>
      </c>
      <c r="C1997">
        <f>IF(B1997="","",IFERROR(INDEX('Bad Patterns'!$A$2:$A$120,MATCH(1,INDEX(--ISNUMBER(SEARCH('Bad Patterns'!$A$2:$A$120,B1997)),0),0)),""))</f>
        <v/>
      </c>
      <c r="D1997">
        <f>IF(B1997="","",IF(C1997&lt;&gt;"","REMOVE","KEEP"))</f>
        <v/>
      </c>
      <c r="E1997">
        <f>IF(D1997&lt;&gt;"KEEP","",IF(RIGHT(B1997,10)="@gmail.com","Gmail",IF(OR(RIGHT(B1997,12)="@outlook.com",RIGHT(B1997,12)="@hotmail.com",RIGHT(B1997,9)="@live.com"),"Outlook","Domain")))</f>
        <v/>
      </c>
      <c r="F1997">
        <f>IF(B1997="","",IFERROR(RIGHT(B1997,LEN(B1997)-FIND("@",B1997)),""))</f>
        <v/>
      </c>
      <c r="G1997">
        <f>IF(D1997="KEEP",COUNTIF($D$2:D1997,"KEEP"),"")</f>
        <v/>
      </c>
      <c r="H1997">
        <f>IF(D1997="REMOVE",COUNTIF($D$2:D1997,"REMOVE"),"")</f>
        <v/>
      </c>
      <c r="I1997">
        <f>IF(E1997="Gmail",COUNTIF($E$2:E1997,"Gmail"),"")</f>
        <v/>
      </c>
      <c r="J1997">
        <f>IF(E1997="Outlook",COUNTIF($E$2:E1997,"Outlook"),"")</f>
        <v/>
      </c>
      <c r="K1997">
        <f>IF(E1997="Domain",COUNTIF($E$2:E1997,"Domain"),"")</f>
        <v/>
      </c>
    </row>
    <row r="1998">
      <c r="A1998" s="2" t="n"/>
      <c r="B1998">
        <f>LOWER(TRIM(A1998))</f>
        <v/>
      </c>
      <c r="C1998">
        <f>IF(B1998="","",IFERROR(INDEX('Bad Patterns'!$A$2:$A$120,MATCH(1,INDEX(--ISNUMBER(SEARCH('Bad Patterns'!$A$2:$A$120,B1998)),0),0)),""))</f>
        <v/>
      </c>
      <c r="D1998">
        <f>IF(B1998="","",IF(C1998&lt;&gt;"","REMOVE","KEEP"))</f>
        <v/>
      </c>
      <c r="E1998">
        <f>IF(D1998&lt;&gt;"KEEP","",IF(RIGHT(B1998,10)="@gmail.com","Gmail",IF(OR(RIGHT(B1998,12)="@outlook.com",RIGHT(B1998,12)="@hotmail.com",RIGHT(B1998,9)="@live.com"),"Outlook","Domain")))</f>
        <v/>
      </c>
      <c r="F1998">
        <f>IF(B1998="","",IFERROR(RIGHT(B1998,LEN(B1998)-FIND("@",B1998)),""))</f>
        <v/>
      </c>
      <c r="G1998">
        <f>IF(D1998="KEEP",COUNTIF($D$2:D1998,"KEEP"),"")</f>
        <v/>
      </c>
      <c r="H1998">
        <f>IF(D1998="REMOVE",COUNTIF($D$2:D1998,"REMOVE"),"")</f>
        <v/>
      </c>
      <c r="I1998">
        <f>IF(E1998="Gmail",COUNTIF($E$2:E1998,"Gmail"),"")</f>
        <v/>
      </c>
      <c r="J1998">
        <f>IF(E1998="Outlook",COUNTIF($E$2:E1998,"Outlook"),"")</f>
        <v/>
      </c>
      <c r="K1998">
        <f>IF(E1998="Domain",COUNTIF($E$2:E1998,"Domain"),"")</f>
        <v/>
      </c>
    </row>
    <row r="1999">
      <c r="A1999" s="2" t="n"/>
      <c r="B1999">
        <f>LOWER(TRIM(A1999))</f>
        <v/>
      </c>
      <c r="C1999">
        <f>IF(B1999="","",IFERROR(INDEX('Bad Patterns'!$A$2:$A$120,MATCH(1,INDEX(--ISNUMBER(SEARCH('Bad Patterns'!$A$2:$A$120,B1999)),0),0)),""))</f>
        <v/>
      </c>
      <c r="D1999">
        <f>IF(B1999="","",IF(C1999&lt;&gt;"","REMOVE","KEEP"))</f>
        <v/>
      </c>
      <c r="E1999">
        <f>IF(D1999&lt;&gt;"KEEP","",IF(RIGHT(B1999,10)="@gmail.com","Gmail",IF(OR(RIGHT(B1999,12)="@outlook.com",RIGHT(B1999,12)="@hotmail.com",RIGHT(B1999,9)="@live.com"),"Outlook","Domain")))</f>
        <v/>
      </c>
      <c r="F1999">
        <f>IF(B1999="","",IFERROR(RIGHT(B1999,LEN(B1999)-FIND("@",B1999)),""))</f>
        <v/>
      </c>
      <c r="G1999">
        <f>IF(D1999="KEEP",COUNTIF($D$2:D1999,"KEEP"),"")</f>
        <v/>
      </c>
      <c r="H1999">
        <f>IF(D1999="REMOVE",COUNTIF($D$2:D1999,"REMOVE"),"")</f>
        <v/>
      </c>
      <c r="I1999">
        <f>IF(E1999="Gmail",COUNTIF($E$2:E1999,"Gmail"),"")</f>
        <v/>
      </c>
      <c r="J1999">
        <f>IF(E1999="Outlook",COUNTIF($E$2:E1999,"Outlook"),"")</f>
        <v/>
      </c>
      <c r="K1999">
        <f>IF(E1999="Domain",COUNTIF($E$2:E1999,"Domain"),"")</f>
        <v/>
      </c>
    </row>
    <row r="2000">
      <c r="A2000" s="2" t="n"/>
      <c r="B2000">
        <f>LOWER(TRIM(A2000))</f>
        <v/>
      </c>
      <c r="C2000">
        <f>IF(B2000="","",IFERROR(INDEX('Bad Patterns'!$A$2:$A$120,MATCH(1,INDEX(--ISNUMBER(SEARCH('Bad Patterns'!$A$2:$A$120,B2000)),0),0)),""))</f>
        <v/>
      </c>
      <c r="D2000">
        <f>IF(B2000="","",IF(C2000&lt;&gt;"","REMOVE","KEEP"))</f>
        <v/>
      </c>
      <c r="E2000">
        <f>IF(D2000&lt;&gt;"KEEP","",IF(RIGHT(B2000,10)="@gmail.com","Gmail",IF(OR(RIGHT(B2000,12)="@outlook.com",RIGHT(B2000,12)="@hotmail.com",RIGHT(B2000,9)="@live.com"),"Outlook","Domain")))</f>
        <v/>
      </c>
      <c r="F2000">
        <f>IF(B2000="","",IFERROR(RIGHT(B2000,LEN(B2000)-FIND("@",B2000)),""))</f>
        <v/>
      </c>
      <c r="G2000">
        <f>IF(D2000="KEEP",COUNTIF($D$2:D2000,"KEEP"),"")</f>
        <v/>
      </c>
      <c r="H2000">
        <f>IF(D2000="REMOVE",COUNTIF($D$2:D2000,"REMOVE"),"")</f>
        <v/>
      </c>
      <c r="I2000">
        <f>IF(E2000="Gmail",COUNTIF($E$2:E2000,"Gmail"),"")</f>
        <v/>
      </c>
      <c r="J2000">
        <f>IF(E2000="Outlook",COUNTIF($E$2:E2000,"Outlook"),"")</f>
        <v/>
      </c>
      <c r="K2000">
        <f>IF(E2000="Domain",COUNTIF($E$2:E2000,"Domain"),"")</f>
        <v/>
      </c>
    </row>
    <row r="2001">
      <c r="A2001" s="2" t="n"/>
      <c r="B2001">
        <f>LOWER(TRIM(A2001))</f>
        <v/>
      </c>
      <c r="C2001">
        <f>IF(B2001="","",IFERROR(INDEX('Bad Patterns'!$A$2:$A$120,MATCH(1,INDEX(--ISNUMBER(SEARCH('Bad Patterns'!$A$2:$A$120,B2001)),0),0)),""))</f>
        <v/>
      </c>
      <c r="D2001">
        <f>IF(B2001="","",IF(C2001&lt;&gt;"","REMOVE","KEEP"))</f>
        <v/>
      </c>
      <c r="E2001">
        <f>IF(D2001&lt;&gt;"KEEP","",IF(RIGHT(B2001,10)="@gmail.com","Gmail",IF(OR(RIGHT(B2001,12)="@outlook.com",RIGHT(B2001,12)="@hotmail.com",RIGHT(B2001,9)="@live.com"),"Outlook","Domain")))</f>
        <v/>
      </c>
      <c r="F2001">
        <f>IF(B2001="","",IFERROR(RIGHT(B2001,LEN(B2001)-FIND("@",B2001)),""))</f>
        <v/>
      </c>
      <c r="G2001">
        <f>IF(D2001="KEEP",COUNTIF($D$2:D2001,"KEEP"),"")</f>
        <v/>
      </c>
      <c r="H2001">
        <f>IF(D2001="REMOVE",COUNTIF($D$2:D2001,"REMOVE"),"")</f>
        <v/>
      </c>
      <c r="I2001">
        <f>IF(E2001="Gmail",COUNTIF($E$2:E2001,"Gmail"),"")</f>
        <v/>
      </c>
      <c r="J2001">
        <f>IF(E2001="Outlook",COUNTIF($E$2:E2001,"Outlook"),"")</f>
        <v/>
      </c>
      <c r="K2001">
        <f>IF(E2001="Domain",COUNTIF($E$2:E2001,"Domain"),"")</f>
        <v/>
      </c>
    </row>
    <row r="2002">
      <c r="A2002" s="2" t="n"/>
      <c r="B2002">
        <f>LOWER(TRIM(A2002))</f>
        <v/>
      </c>
      <c r="C2002">
        <f>IF(B2002="","",IFERROR(INDEX('Bad Patterns'!$A$2:$A$120,MATCH(1,INDEX(--ISNUMBER(SEARCH('Bad Patterns'!$A$2:$A$120,B2002)),0),0)),""))</f>
        <v/>
      </c>
      <c r="D2002">
        <f>IF(B2002="","",IF(C2002&lt;&gt;"","REMOVE","KEEP"))</f>
        <v/>
      </c>
      <c r="E2002">
        <f>IF(D2002&lt;&gt;"KEEP","",IF(RIGHT(B2002,10)="@gmail.com","Gmail",IF(OR(RIGHT(B2002,12)="@outlook.com",RIGHT(B2002,12)="@hotmail.com",RIGHT(B2002,9)="@live.com"),"Outlook","Domain")))</f>
        <v/>
      </c>
      <c r="F2002">
        <f>IF(B2002="","",IFERROR(RIGHT(B2002,LEN(B2002)-FIND("@",B2002)),""))</f>
        <v/>
      </c>
      <c r="G2002">
        <f>IF(D2002="KEEP",COUNTIF($D$2:D2002,"KEEP"),"")</f>
        <v/>
      </c>
      <c r="H2002">
        <f>IF(D2002="REMOVE",COUNTIF($D$2:D2002,"REMOVE"),"")</f>
        <v/>
      </c>
      <c r="I2002">
        <f>IF(E2002="Gmail",COUNTIF($E$2:E2002,"Gmail"),"")</f>
        <v/>
      </c>
      <c r="J2002">
        <f>IF(E2002="Outlook",COUNTIF($E$2:E2002,"Outlook"),"")</f>
        <v/>
      </c>
      <c r="K2002">
        <f>IF(E2002="Domain",COUNTIF($E$2:E2002,"Domain"),"")</f>
        <v/>
      </c>
    </row>
    <row r="2003">
      <c r="A2003" s="2" t="n"/>
      <c r="B2003">
        <f>LOWER(TRIM(A2003))</f>
        <v/>
      </c>
      <c r="C2003">
        <f>IF(B2003="","",IFERROR(INDEX('Bad Patterns'!$A$2:$A$120,MATCH(1,INDEX(--ISNUMBER(SEARCH('Bad Patterns'!$A$2:$A$120,B2003)),0),0)),""))</f>
        <v/>
      </c>
      <c r="D2003">
        <f>IF(B2003="","",IF(C2003&lt;&gt;"","REMOVE","KEEP"))</f>
        <v/>
      </c>
      <c r="E2003">
        <f>IF(D2003&lt;&gt;"KEEP","",IF(RIGHT(B2003,10)="@gmail.com","Gmail",IF(OR(RIGHT(B2003,12)="@outlook.com",RIGHT(B2003,12)="@hotmail.com",RIGHT(B2003,9)="@live.com"),"Outlook","Domain")))</f>
        <v/>
      </c>
      <c r="F2003">
        <f>IF(B2003="","",IFERROR(RIGHT(B2003,LEN(B2003)-FIND("@",B2003)),""))</f>
        <v/>
      </c>
      <c r="G2003">
        <f>IF(D2003="KEEP",COUNTIF($D$2:D2003,"KEEP"),"")</f>
        <v/>
      </c>
      <c r="H2003">
        <f>IF(D2003="REMOVE",COUNTIF($D$2:D2003,"REMOVE"),"")</f>
        <v/>
      </c>
      <c r="I2003">
        <f>IF(E2003="Gmail",COUNTIF($E$2:E2003,"Gmail"),"")</f>
        <v/>
      </c>
      <c r="J2003">
        <f>IF(E2003="Outlook",COUNTIF($E$2:E2003,"Outlook"),"")</f>
        <v/>
      </c>
      <c r="K2003">
        <f>IF(E2003="Domain",COUNTIF($E$2:E2003,"Domain"),"")</f>
        <v/>
      </c>
    </row>
    <row r="2004">
      <c r="A2004" s="2" t="n"/>
      <c r="B2004">
        <f>LOWER(TRIM(A2004))</f>
        <v/>
      </c>
      <c r="C2004">
        <f>IF(B2004="","",IFERROR(INDEX('Bad Patterns'!$A$2:$A$120,MATCH(1,INDEX(--ISNUMBER(SEARCH('Bad Patterns'!$A$2:$A$120,B2004)),0),0)),""))</f>
        <v/>
      </c>
      <c r="D2004">
        <f>IF(B2004="","",IF(C2004&lt;&gt;"","REMOVE","KEEP"))</f>
        <v/>
      </c>
      <c r="E2004">
        <f>IF(D2004&lt;&gt;"KEEP","",IF(RIGHT(B2004,10)="@gmail.com","Gmail",IF(OR(RIGHT(B2004,12)="@outlook.com",RIGHT(B2004,12)="@hotmail.com",RIGHT(B2004,9)="@live.com"),"Outlook","Domain")))</f>
        <v/>
      </c>
      <c r="F2004">
        <f>IF(B2004="","",IFERROR(RIGHT(B2004,LEN(B2004)-FIND("@",B2004)),""))</f>
        <v/>
      </c>
      <c r="G2004">
        <f>IF(D2004="KEEP",COUNTIF($D$2:D2004,"KEEP"),"")</f>
        <v/>
      </c>
      <c r="H2004">
        <f>IF(D2004="REMOVE",COUNTIF($D$2:D2004,"REMOVE"),"")</f>
        <v/>
      </c>
      <c r="I2004">
        <f>IF(E2004="Gmail",COUNTIF($E$2:E2004,"Gmail"),"")</f>
        <v/>
      </c>
      <c r="J2004">
        <f>IF(E2004="Outlook",COUNTIF($E$2:E2004,"Outlook"),"")</f>
        <v/>
      </c>
      <c r="K2004">
        <f>IF(E2004="Domain",COUNTIF($E$2:E2004,"Domain"),"")</f>
        <v/>
      </c>
    </row>
    <row r="2005">
      <c r="A2005" s="2" t="n"/>
      <c r="B2005">
        <f>LOWER(TRIM(A2005))</f>
        <v/>
      </c>
      <c r="C2005">
        <f>IF(B2005="","",IFERROR(INDEX('Bad Patterns'!$A$2:$A$120,MATCH(1,INDEX(--ISNUMBER(SEARCH('Bad Patterns'!$A$2:$A$120,B2005)),0),0)),""))</f>
        <v/>
      </c>
      <c r="D2005">
        <f>IF(B2005="","",IF(C2005&lt;&gt;"","REMOVE","KEEP"))</f>
        <v/>
      </c>
      <c r="E2005">
        <f>IF(D2005&lt;&gt;"KEEP","",IF(RIGHT(B2005,10)="@gmail.com","Gmail",IF(OR(RIGHT(B2005,12)="@outlook.com",RIGHT(B2005,12)="@hotmail.com",RIGHT(B2005,9)="@live.com"),"Outlook","Domain")))</f>
        <v/>
      </c>
      <c r="F2005">
        <f>IF(B2005="","",IFERROR(RIGHT(B2005,LEN(B2005)-FIND("@",B2005)),""))</f>
        <v/>
      </c>
      <c r="G2005">
        <f>IF(D2005="KEEP",COUNTIF($D$2:D2005,"KEEP"),"")</f>
        <v/>
      </c>
      <c r="H2005">
        <f>IF(D2005="REMOVE",COUNTIF($D$2:D2005,"REMOVE"),"")</f>
        <v/>
      </c>
      <c r="I2005">
        <f>IF(E2005="Gmail",COUNTIF($E$2:E2005,"Gmail"),"")</f>
        <v/>
      </c>
      <c r="J2005">
        <f>IF(E2005="Outlook",COUNTIF($E$2:E2005,"Outlook"),"")</f>
        <v/>
      </c>
      <c r="K2005">
        <f>IF(E2005="Domain",COUNTIF($E$2:E2005,"Domain"),"")</f>
        <v/>
      </c>
    </row>
    <row r="2006">
      <c r="A2006" s="2" t="n"/>
      <c r="B2006">
        <f>LOWER(TRIM(A2006))</f>
        <v/>
      </c>
      <c r="C2006">
        <f>IF(B2006="","",IFERROR(INDEX('Bad Patterns'!$A$2:$A$120,MATCH(1,INDEX(--ISNUMBER(SEARCH('Bad Patterns'!$A$2:$A$120,B2006)),0),0)),""))</f>
        <v/>
      </c>
      <c r="D2006">
        <f>IF(B2006="","",IF(C2006&lt;&gt;"","REMOVE","KEEP"))</f>
        <v/>
      </c>
      <c r="E2006">
        <f>IF(D2006&lt;&gt;"KEEP","",IF(RIGHT(B2006,10)="@gmail.com","Gmail",IF(OR(RIGHT(B2006,12)="@outlook.com",RIGHT(B2006,12)="@hotmail.com",RIGHT(B2006,9)="@live.com"),"Outlook","Domain")))</f>
        <v/>
      </c>
      <c r="F2006">
        <f>IF(B2006="","",IFERROR(RIGHT(B2006,LEN(B2006)-FIND("@",B2006)),""))</f>
        <v/>
      </c>
      <c r="G2006">
        <f>IF(D2006="KEEP",COUNTIF($D$2:D2006,"KEEP"),"")</f>
        <v/>
      </c>
      <c r="H2006">
        <f>IF(D2006="REMOVE",COUNTIF($D$2:D2006,"REMOVE"),"")</f>
        <v/>
      </c>
      <c r="I2006">
        <f>IF(E2006="Gmail",COUNTIF($E$2:E2006,"Gmail"),"")</f>
        <v/>
      </c>
      <c r="J2006">
        <f>IF(E2006="Outlook",COUNTIF($E$2:E2006,"Outlook"),"")</f>
        <v/>
      </c>
      <c r="K2006">
        <f>IF(E2006="Domain",COUNTIF($E$2:E2006,"Domain"),"")</f>
        <v/>
      </c>
    </row>
    <row r="2007">
      <c r="A2007" s="2" t="n"/>
      <c r="B2007">
        <f>LOWER(TRIM(A2007))</f>
        <v/>
      </c>
      <c r="C2007">
        <f>IF(B2007="","",IFERROR(INDEX('Bad Patterns'!$A$2:$A$120,MATCH(1,INDEX(--ISNUMBER(SEARCH('Bad Patterns'!$A$2:$A$120,B2007)),0),0)),""))</f>
        <v/>
      </c>
      <c r="D2007">
        <f>IF(B2007="","",IF(C2007&lt;&gt;"","REMOVE","KEEP"))</f>
        <v/>
      </c>
      <c r="E2007">
        <f>IF(D2007&lt;&gt;"KEEP","",IF(RIGHT(B2007,10)="@gmail.com","Gmail",IF(OR(RIGHT(B2007,12)="@outlook.com",RIGHT(B2007,12)="@hotmail.com",RIGHT(B2007,9)="@live.com"),"Outlook","Domain")))</f>
        <v/>
      </c>
      <c r="F2007">
        <f>IF(B2007="","",IFERROR(RIGHT(B2007,LEN(B2007)-FIND("@",B2007)),""))</f>
        <v/>
      </c>
      <c r="G2007">
        <f>IF(D2007="KEEP",COUNTIF($D$2:D2007,"KEEP"),"")</f>
        <v/>
      </c>
      <c r="H2007">
        <f>IF(D2007="REMOVE",COUNTIF($D$2:D2007,"REMOVE"),"")</f>
        <v/>
      </c>
      <c r="I2007">
        <f>IF(E2007="Gmail",COUNTIF($E$2:E2007,"Gmail"),"")</f>
        <v/>
      </c>
      <c r="J2007">
        <f>IF(E2007="Outlook",COUNTIF($E$2:E2007,"Outlook"),"")</f>
        <v/>
      </c>
      <c r="K2007">
        <f>IF(E2007="Domain",COUNTIF($E$2:E2007,"Domain"),"")</f>
        <v/>
      </c>
    </row>
    <row r="2008">
      <c r="A2008" s="2" t="n"/>
      <c r="B2008">
        <f>LOWER(TRIM(A2008))</f>
        <v/>
      </c>
      <c r="C2008">
        <f>IF(B2008="","",IFERROR(INDEX('Bad Patterns'!$A$2:$A$120,MATCH(1,INDEX(--ISNUMBER(SEARCH('Bad Patterns'!$A$2:$A$120,B2008)),0),0)),""))</f>
        <v/>
      </c>
      <c r="D2008">
        <f>IF(B2008="","",IF(C2008&lt;&gt;"","REMOVE","KEEP"))</f>
        <v/>
      </c>
      <c r="E2008">
        <f>IF(D2008&lt;&gt;"KEEP","",IF(RIGHT(B2008,10)="@gmail.com","Gmail",IF(OR(RIGHT(B2008,12)="@outlook.com",RIGHT(B2008,12)="@hotmail.com",RIGHT(B2008,9)="@live.com"),"Outlook","Domain")))</f>
        <v/>
      </c>
      <c r="F2008">
        <f>IF(B2008="","",IFERROR(RIGHT(B2008,LEN(B2008)-FIND("@",B2008)),""))</f>
        <v/>
      </c>
      <c r="G2008">
        <f>IF(D2008="KEEP",COUNTIF($D$2:D2008,"KEEP"),"")</f>
        <v/>
      </c>
      <c r="H2008">
        <f>IF(D2008="REMOVE",COUNTIF($D$2:D2008,"REMOVE"),"")</f>
        <v/>
      </c>
      <c r="I2008">
        <f>IF(E2008="Gmail",COUNTIF($E$2:E2008,"Gmail"),"")</f>
        <v/>
      </c>
      <c r="J2008">
        <f>IF(E2008="Outlook",COUNTIF($E$2:E2008,"Outlook"),"")</f>
        <v/>
      </c>
      <c r="K2008">
        <f>IF(E2008="Domain",COUNTIF($E$2:E2008,"Domain"),"")</f>
        <v/>
      </c>
    </row>
    <row r="2009">
      <c r="A2009" s="2" t="n"/>
      <c r="B2009">
        <f>LOWER(TRIM(A2009))</f>
        <v/>
      </c>
      <c r="C2009">
        <f>IF(B2009="","",IFERROR(INDEX('Bad Patterns'!$A$2:$A$120,MATCH(1,INDEX(--ISNUMBER(SEARCH('Bad Patterns'!$A$2:$A$120,B2009)),0),0)),""))</f>
        <v/>
      </c>
      <c r="D2009">
        <f>IF(B2009="","",IF(C2009&lt;&gt;"","REMOVE","KEEP"))</f>
        <v/>
      </c>
      <c r="E2009">
        <f>IF(D2009&lt;&gt;"KEEP","",IF(RIGHT(B2009,10)="@gmail.com","Gmail",IF(OR(RIGHT(B2009,12)="@outlook.com",RIGHT(B2009,12)="@hotmail.com",RIGHT(B2009,9)="@live.com"),"Outlook","Domain")))</f>
        <v/>
      </c>
      <c r="F2009">
        <f>IF(B2009="","",IFERROR(RIGHT(B2009,LEN(B2009)-FIND("@",B2009)),""))</f>
        <v/>
      </c>
      <c r="G2009">
        <f>IF(D2009="KEEP",COUNTIF($D$2:D2009,"KEEP"),"")</f>
        <v/>
      </c>
      <c r="H2009">
        <f>IF(D2009="REMOVE",COUNTIF($D$2:D2009,"REMOVE"),"")</f>
        <v/>
      </c>
      <c r="I2009">
        <f>IF(E2009="Gmail",COUNTIF($E$2:E2009,"Gmail"),"")</f>
        <v/>
      </c>
      <c r="J2009">
        <f>IF(E2009="Outlook",COUNTIF($E$2:E2009,"Outlook"),"")</f>
        <v/>
      </c>
      <c r="K2009">
        <f>IF(E2009="Domain",COUNTIF($E$2:E2009,"Domain"),"")</f>
        <v/>
      </c>
    </row>
    <row r="2010">
      <c r="A2010" s="2" t="n"/>
      <c r="B2010">
        <f>LOWER(TRIM(A2010))</f>
        <v/>
      </c>
      <c r="C2010">
        <f>IF(B2010="","",IFERROR(INDEX('Bad Patterns'!$A$2:$A$120,MATCH(1,INDEX(--ISNUMBER(SEARCH('Bad Patterns'!$A$2:$A$120,B2010)),0),0)),""))</f>
        <v/>
      </c>
      <c r="D2010">
        <f>IF(B2010="","",IF(C2010&lt;&gt;"","REMOVE","KEEP"))</f>
        <v/>
      </c>
      <c r="E2010">
        <f>IF(D2010&lt;&gt;"KEEP","",IF(RIGHT(B2010,10)="@gmail.com","Gmail",IF(OR(RIGHT(B2010,12)="@outlook.com",RIGHT(B2010,12)="@hotmail.com",RIGHT(B2010,9)="@live.com"),"Outlook","Domain")))</f>
        <v/>
      </c>
      <c r="F2010">
        <f>IF(B2010="","",IFERROR(RIGHT(B2010,LEN(B2010)-FIND("@",B2010)),""))</f>
        <v/>
      </c>
      <c r="G2010">
        <f>IF(D2010="KEEP",COUNTIF($D$2:D2010,"KEEP"),"")</f>
        <v/>
      </c>
      <c r="H2010">
        <f>IF(D2010="REMOVE",COUNTIF($D$2:D2010,"REMOVE"),"")</f>
        <v/>
      </c>
      <c r="I2010">
        <f>IF(E2010="Gmail",COUNTIF($E$2:E2010,"Gmail"),"")</f>
        <v/>
      </c>
      <c r="J2010">
        <f>IF(E2010="Outlook",COUNTIF($E$2:E2010,"Outlook"),"")</f>
        <v/>
      </c>
      <c r="K2010">
        <f>IF(E2010="Domain",COUNTIF($E$2:E2010,"Domain"),"")</f>
        <v/>
      </c>
    </row>
    <row r="2011">
      <c r="A2011" s="2" t="n"/>
      <c r="B2011">
        <f>LOWER(TRIM(A2011))</f>
        <v/>
      </c>
      <c r="C2011">
        <f>IF(B2011="","",IFERROR(INDEX('Bad Patterns'!$A$2:$A$120,MATCH(1,INDEX(--ISNUMBER(SEARCH('Bad Patterns'!$A$2:$A$120,B2011)),0),0)),""))</f>
        <v/>
      </c>
      <c r="D2011">
        <f>IF(B2011="","",IF(C2011&lt;&gt;"","REMOVE","KEEP"))</f>
        <v/>
      </c>
      <c r="E2011">
        <f>IF(D2011&lt;&gt;"KEEP","",IF(RIGHT(B2011,10)="@gmail.com","Gmail",IF(OR(RIGHT(B2011,12)="@outlook.com",RIGHT(B2011,12)="@hotmail.com",RIGHT(B2011,9)="@live.com"),"Outlook","Domain")))</f>
        <v/>
      </c>
      <c r="F2011">
        <f>IF(B2011="","",IFERROR(RIGHT(B2011,LEN(B2011)-FIND("@",B2011)),""))</f>
        <v/>
      </c>
      <c r="G2011">
        <f>IF(D2011="KEEP",COUNTIF($D$2:D2011,"KEEP"),"")</f>
        <v/>
      </c>
      <c r="H2011">
        <f>IF(D2011="REMOVE",COUNTIF($D$2:D2011,"REMOVE"),"")</f>
        <v/>
      </c>
      <c r="I2011">
        <f>IF(E2011="Gmail",COUNTIF($E$2:E2011,"Gmail"),"")</f>
        <v/>
      </c>
      <c r="J2011">
        <f>IF(E2011="Outlook",COUNTIF($E$2:E2011,"Outlook"),"")</f>
        <v/>
      </c>
      <c r="K2011">
        <f>IF(E2011="Domain",COUNTIF($E$2:E2011,"Domain"),"")</f>
        <v/>
      </c>
    </row>
    <row r="2012">
      <c r="A2012" s="2" t="n"/>
      <c r="B2012">
        <f>LOWER(TRIM(A2012))</f>
        <v/>
      </c>
      <c r="C2012">
        <f>IF(B2012="","",IFERROR(INDEX('Bad Patterns'!$A$2:$A$120,MATCH(1,INDEX(--ISNUMBER(SEARCH('Bad Patterns'!$A$2:$A$120,B2012)),0),0)),""))</f>
        <v/>
      </c>
      <c r="D2012">
        <f>IF(B2012="","",IF(C2012&lt;&gt;"","REMOVE","KEEP"))</f>
        <v/>
      </c>
      <c r="E2012">
        <f>IF(D2012&lt;&gt;"KEEP","",IF(RIGHT(B2012,10)="@gmail.com","Gmail",IF(OR(RIGHT(B2012,12)="@outlook.com",RIGHT(B2012,12)="@hotmail.com",RIGHT(B2012,9)="@live.com"),"Outlook","Domain")))</f>
        <v/>
      </c>
      <c r="F2012">
        <f>IF(B2012="","",IFERROR(RIGHT(B2012,LEN(B2012)-FIND("@",B2012)),""))</f>
        <v/>
      </c>
      <c r="G2012">
        <f>IF(D2012="KEEP",COUNTIF($D$2:D2012,"KEEP"),"")</f>
        <v/>
      </c>
      <c r="H2012">
        <f>IF(D2012="REMOVE",COUNTIF($D$2:D2012,"REMOVE"),"")</f>
        <v/>
      </c>
      <c r="I2012">
        <f>IF(E2012="Gmail",COUNTIF($E$2:E2012,"Gmail"),"")</f>
        <v/>
      </c>
      <c r="J2012">
        <f>IF(E2012="Outlook",COUNTIF($E$2:E2012,"Outlook"),"")</f>
        <v/>
      </c>
      <c r="K2012">
        <f>IF(E2012="Domain",COUNTIF($E$2:E2012,"Domain"),"")</f>
        <v/>
      </c>
    </row>
    <row r="2013">
      <c r="A2013" s="2" t="n"/>
      <c r="B2013">
        <f>LOWER(TRIM(A2013))</f>
        <v/>
      </c>
      <c r="C2013">
        <f>IF(B2013="","",IFERROR(INDEX('Bad Patterns'!$A$2:$A$120,MATCH(1,INDEX(--ISNUMBER(SEARCH('Bad Patterns'!$A$2:$A$120,B2013)),0),0)),""))</f>
        <v/>
      </c>
      <c r="D2013">
        <f>IF(B2013="","",IF(C2013&lt;&gt;"","REMOVE","KEEP"))</f>
        <v/>
      </c>
      <c r="E2013">
        <f>IF(D2013&lt;&gt;"KEEP","",IF(RIGHT(B2013,10)="@gmail.com","Gmail",IF(OR(RIGHT(B2013,12)="@outlook.com",RIGHT(B2013,12)="@hotmail.com",RIGHT(B2013,9)="@live.com"),"Outlook","Domain")))</f>
        <v/>
      </c>
      <c r="F2013">
        <f>IF(B2013="","",IFERROR(RIGHT(B2013,LEN(B2013)-FIND("@",B2013)),""))</f>
        <v/>
      </c>
      <c r="G2013">
        <f>IF(D2013="KEEP",COUNTIF($D$2:D2013,"KEEP"),"")</f>
        <v/>
      </c>
      <c r="H2013">
        <f>IF(D2013="REMOVE",COUNTIF($D$2:D2013,"REMOVE"),"")</f>
        <v/>
      </c>
      <c r="I2013">
        <f>IF(E2013="Gmail",COUNTIF($E$2:E2013,"Gmail"),"")</f>
        <v/>
      </c>
      <c r="J2013">
        <f>IF(E2013="Outlook",COUNTIF($E$2:E2013,"Outlook"),"")</f>
        <v/>
      </c>
      <c r="K2013">
        <f>IF(E2013="Domain",COUNTIF($E$2:E2013,"Domain"),"")</f>
        <v/>
      </c>
    </row>
    <row r="2014">
      <c r="A2014" s="2" t="n"/>
      <c r="B2014">
        <f>LOWER(TRIM(A2014))</f>
        <v/>
      </c>
      <c r="C2014">
        <f>IF(B2014="","",IFERROR(INDEX('Bad Patterns'!$A$2:$A$120,MATCH(1,INDEX(--ISNUMBER(SEARCH('Bad Patterns'!$A$2:$A$120,B2014)),0),0)),""))</f>
        <v/>
      </c>
      <c r="D2014">
        <f>IF(B2014="","",IF(C2014&lt;&gt;"","REMOVE","KEEP"))</f>
        <v/>
      </c>
      <c r="E2014">
        <f>IF(D2014&lt;&gt;"KEEP","",IF(RIGHT(B2014,10)="@gmail.com","Gmail",IF(OR(RIGHT(B2014,12)="@outlook.com",RIGHT(B2014,12)="@hotmail.com",RIGHT(B2014,9)="@live.com"),"Outlook","Domain")))</f>
        <v/>
      </c>
      <c r="F2014">
        <f>IF(B2014="","",IFERROR(RIGHT(B2014,LEN(B2014)-FIND("@",B2014)),""))</f>
        <v/>
      </c>
      <c r="G2014">
        <f>IF(D2014="KEEP",COUNTIF($D$2:D2014,"KEEP"),"")</f>
        <v/>
      </c>
      <c r="H2014">
        <f>IF(D2014="REMOVE",COUNTIF($D$2:D2014,"REMOVE"),"")</f>
        <v/>
      </c>
      <c r="I2014">
        <f>IF(E2014="Gmail",COUNTIF($E$2:E2014,"Gmail"),"")</f>
        <v/>
      </c>
      <c r="J2014">
        <f>IF(E2014="Outlook",COUNTIF($E$2:E2014,"Outlook"),"")</f>
        <v/>
      </c>
      <c r="K2014">
        <f>IF(E2014="Domain",COUNTIF($E$2:E2014,"Domain"),"")</f>
        <v/>
      </c>
    </row>
    <row r="2015">
      <c r="A2015" s="2" t="n"/>
      <c r="B2015">
        <f>LOWER(TRIM(A2015))</f>
        <v/>
      </c>
      <c r="C2015">
        <f>IF(B2015="","",IFERROR(INDEX('Bad Patterns'!$A$2:$A$120,MATCH(1,INDEX(--ISNUMBER(SEARCH('Bad Patterns'!$A$2:$A$120,B2015)),0),0)),""))</f>
        <v/>
      </c>
      <c r="D2015">
        <f>IF(B2015="","",IF(C2015&lt;&gt;"","REMOVE","KEEP"))</f>
        <v/>
      </c>
      <c r="E2015">
        <f>IF(D2015&lt;&gt;"KEEP","",IF(RIGHT(B2015,10)="@gmail.com","Gmail",IF(OR(RIGHT(B2015,12)="@outlook.com",RIGHT(B2015,12)="@hotmail.com",RIGHT(B2015,9)="@live.com"),"Outlook","Domain")))</f>
        <v/>
      </c>
      <c r="F2015">
        <f>IF(B2015="","",IFERROR(RIGHT(B2015,LEN(B2015)-FIND("@",B2015)),""))</f>
        <v/>
      </c>
      <c r="G2015">
        <f>IF(D2015="KEEP",COUNTIF($D$2:D2015,"KEEP"),"")</f>
        <v/>
      </c>
      <c r="H2015">
        <f>IF(D2015="REMOVE",COUNTIF($D$2:D2015,"REMOVE"),"")</f>
        <v/>
      </c>
      <c r="I2015">
        <f>IF(E2015="Gmail",COUNTIF($E$2:E2015,"Gmail"),"")</f>
        <v/>
      </c>
      <c r="J2015">
        <f>IF(E2015="Outlook",COUNTIF($E$2:E2015,"Outlook"),"")</f>
        <v/>
      </c>
      <c r="K2015">
        <f>IF(E2015="Domain",COUNTIF($E$2:E2015,"Domain"),"")</f>
        <v/>
      </c>
    </row>
    <row r="2016">
      <c r="A2016" s="2" t="n"/>
      <c r="B2016">
        <f>LOWER(TRIM(A2016))</f>
        <v/>
      </c>
      <c r="C2016">
        <f>IF(B2016="","",IFERROR(INDEX('Bad Patterns'!$A$2:$A$120,MATCH(1,INDEX(--ISNUMBER(SEARCH('Bad Patterns'!$A$2:$A$120,B2016)),0),0)),""))</f>
        <v/>
      </c>
      <c r="D2016">
        <f>IF(B2016="","",IF(C2016&lt;&gt;"","REMOVE","KEEP"))</f>
        <v/>
      </c>
      <c r="E2016">
        <f>IF(D2016&lt;&gt;"KEEP","",IF(RIGHT(B2016,10)="@gmail.com","Gmail",IF(OR(RIGHT(B2016,12)="@outlook.com",RIGHT(B2016,12)="@hotmail.com",RIGHT(B2016,9)="@live.com"),"Outlook","Domain")))</f>
        <v/>
      </c>
      <c r="F2016">
        <f>IF(B2016="","",IFERROR(RIGHT(B2016,LEN(B2016)-FIND("@",B2016)),""))</f>
        <v/>
      </c>
      <c r="G2016">
        <f>IF(D2016="KEEP",COUNTIF($D$2:D2016,"KEEP"),"")</f>
        <v/>
      </c>
      <c r="H2016">
        <f>IF(D2016="REMOVE",COUNTIF($D$2:D2016,"REMOVE"),"")</f>
        <v/>
      </c>
      <c r="I2016">
        <f>IF(E2016="Gmail",COUNTIF($E$2:E2016,"Gmail"),"")</f>
        <v/>
      </c>
      <c r="J2016">
        <f>IF(E2016="Outlook",COUNTIF($E$2:E2016,"Outlook"),"")</f>
        <v/>
      </c>
      <c r="K2016">
        <f>IF(E2016="Domain",COUNTIF($E$2:E2016,"Domain"),"")</f>
        <v/>
      </c>
    </row>
    <row r="2017">
      <c r="A2017" s="2" t="n"/>
      <c r="B2017">
        <f>LOWER(TRIM(A2017))</f>
        <v/>
      </c>
      <c r="C2017">
        <f>IF(B2017="","",IFERROR(INDEX('Bad Patterns'!$A$2:$A$120,MATCH(1,INDEX(--ISNUMBER(SEARCH('Bad Patterns'!$A$2:$A$120,B2017)),0),0)),""))</f>
        <v/>
      </c>
      <c r="D2017">
        <f>IF(B2017="","",IF(C2017&lt;&gt;"","REMOVE","KEEP"))</f>
        <v/>
      </c>
      <c r="E2017">
        <f>IF(D2017&lt;&gt;"KEEP","",IF(RIGHT(B2017,10)="@gmail.com","Gmail",IF(OR(RIGHT(B2017,12)="@outlook.com",RIGHT(B2017,12)="@hotmail.com",RIGHT(B2017,9)="@live.com"),"Outlook","Domain")))</f>
        <v/>
      </c>
      <c r="F2017">
        <f>IF(B2017="","",IFERROR(RIGHT(B2017,LEN(B2017)-FIND("@",B2017)),""))</f>
        <v/>
      </c>
      <c r="G2017">
        <f>IF(D2017="KEEP",COUNTIF($D$2:D2017,"KEEP"),"")</f>
        <v/>
      </c>
      <c r="H2017">
        <f>IF(D2017="REMOVE",COUNTIF($D$2:D2017,"REMOVE"),"")</f>
        <v/>
      </c>
      <c r="I2017">
        <f>IF(E2017="Gmail",COUNTIF($E$2:E2017,"Gmail"),"")</f>
        <v/>
      </c>
      <c r="J2017">
        <f>IF(E2017="Outlook",COUNTIF($E$2:E2017,"Outlook"),"")</f>
        <v/>
      </c>
      <c r="K2017">
        <f>IF(E2017="Domain",COUNTIF($E$2:E2017,"Domain"),"")</f>
        <v/>
      </c>
    </row>
    <row r="2018">
      <c r="A2018" s="2" t="n"/>
      <c r="B2018">
        <f>LOWER(TRIM(A2018))</f>
        <v/>
      </c>
      <c r="C2018">
        <f>IF(B2018="","",IFERROR(INDEX('Bad Patterns'!$A$2:$A$120,MATCH(1,INDEX(--ISNUMBER(SEARCH('Bad Patterns'!$A$2:$A$120,B2018)),0),0)),""))</f>
        <v/>
      </c>
      <c r="D2018">
        <f>IF(B2018="","",IF(C2018&lt;&gt;"","REMOVE","KEEP"))</f>
        <v/>
      </c>
      <c r="E2018">
        <f>IF(D2018&lt;&gt;"KEEP","",IF(RIGHT(B2018,10)="@gmail.com","Gmail",IF(OR(RIGHT(B2018,12)="@outlook.com",RIGHT(B2018,12)="@hotmail.com",RIGHT(B2018,9)="@live.com"),"Outlook","Domain")))</f>
        <v/>
      </c>
      <c r="F2018">
        <f>IF(B2018="","",IFERROR(RIGHT(B2018,LEN(B2018)-FIND("@",B2018)),""))</f>
        <v/>
      </c>
      <c r="G2018">
        <f>IF(D2018="KEEP",COUNTIF($D$2:D2018,"KEEP"),"")</f>
        <v/>
      </c>
      <c r="H2018">
        <f>IF(D2018="REMOVE",COUNTIF($D$2:D2018,"REMOVE"),"")</f>
        <v/>
      </c>
      <c r="I2018">
        <f>IF(E2018="Gmail",COUNTIF($E$2:E2018,"Gmail"),"")</f>
        <v/>
      </c>
      <c r="J2018">
        <f>IF(E2018="Outlook",COUNTIF($E$2:E2018,"Outlook"),"")</f>
        <v/>
      </c>
      <c r="K2018">
        <f>IF(E2018="Domain",COUNTIF($E$2:E2018,"Domain"),"")</f>
        <v/>
      </c>
    </row>
    <row r="2019">
      <c r="A2019" s="2" t="n"/>
      <c r="B2019">
        <f>LOWER(TRIM(A2019))</f>
        <v/>
      </c>
      <c r="C2019">
        <f>IF(B2019="","",IFERROR(INDEX('Bad Patterns'!$A$2:$A$120,MATCH(1,INDEX(--ISNUMBER(SEARCH('Bad Patterns'!$A$2:$A$120,B2019)),0),0)),""))</f>
        <v/>
      </c>
      <c r="D2019">
        <f>IF(B2019="","",IF(C2019&lt;&gt;"","REMOVE","KEEP"))</f>
        <v/>
      </c>
      <c r="E2019">
        <f>IF(D2019&lt;&gt;"KEEP","",IF(RIGHT(B2019,10)="@gmail.com","Gmail",IF(OR(RIGHT(B2019,12)="@outlook.com",RIGHT(B2019,12)="@hotmail.com",RIGHT(B2019,9)="@live.com"),"Outlook","Domain")))</f>
        <v/>
      </c>
      <c r="F2019">
        <f>IF(B2019="","",IFERROR(RIGHT(B2019,LEN(B2019)-FIND("@",B2019)),""))</f>
        <v/>
      </c>
      <c r="G2019">
        <f>IF(D2019="KEEP",COUNTIF($D$2:D2019,"KEEP"),"")</f>
        <v/>
      </c>
      <c r="H2019">
        <f>IF(D2019="REMOVE",COUNTIF($D$2:D2019,"REMOVE"),"")</f>
        <v/>
      </c>
      <c r="I2019">
        <f>IF(E2019="Gmail",COUNTIF($E$2:E2019,"Gmail"),"")</f>
        <v/>
      </c>
      <c r="J2019">
        <f>IF(E2019="Outlook",COUNTIF($E$2:E2019,"Outlook"),"")</f>
        <v/>
      </c>
      <c r="K2019">
        <f>IF(E2019="Domain",COUNTIF($E$2:E2019,"Domain"),"")</f>
        <v/>
      </c>
    </row>
    <row r="2020">
      <c r="A2020" s="2" t="n"/>
      <c r="B2020">
        <f>LOWER(TRIM(A2020))</f>
        <v/>
      </c>
      <c r="C2020">
        <f>IF(B2020="","",IFERROR(INDEX('Bad Patterns'!$A$2:$A$120,MATCH(1,INDEX(--ISNUMBER(SEARCH('Bad Patterns'!$A$2:$A$120,B2020)),0),0)),""))</f>
        <v/>
      </c>
      <c r="D2020">
        <f>IF(B2020="","",IF(C2020&lt;&gt;"","REMOVE","KEEP"))</f>
        <v/>
      </c>
      <c r="E2020">
        <f>IF(D2020&lt;&gt;"KEEP","",IF(RIGHT(B2020,10)="@gmail.com","Gmail",IF(OR(RIGHT(B2020,12)="@outlook.com",RIGHT(B2020,12)="@hotmail.com",RIGHT(B2020,9)="@live.com"),"Outlook","Domain")))</f>
        <v/>
      </c>
      <c r="F2020">
        <f>IF(B2020="","",IFERROR(RIGHT(B2020,LEN(B2020)-FIND("@",B2020)),""))</f>
        <v/>
      </c>
      <c r="G2020">
        <f>IF(D2020="KEEP",COUNTIF($D$2:D2020,"KEEP"),"")</f>
        <v/>
      </c>
      <c r="H2020">
        <f>IF(D2020="REMOVE",COUNTIF($D$2:D2020,"REMOVE"),"")</f>
        <v/>
      </c>
      <c r="I2020">
        <f>IF(E2020="Gmail",COUNTIF($E$2:E2020,"Gmail"),"")</f>
        <v/>
      </c>
      <c r="J2020">
        <f>IF(E2020="Outlook",COUNTIF($E$2:E2020,"Outlook"),"")</f>
        <v/>
      </c>
      <c r="K2020">
        <f>IF(E2020="Domain",COUNTIF($E$2:E2020,"Domain"),"")</f>
        <v/>
      </c>
    </row>
    <row r="2021">
      <c r="A2021" s="2" t="n"/>
      <c r="B2021">
        <f>LOWER(TRIM(A2021))</f>
        <v/>
      </c>
      <c r="C2021">
        <f>IF(B2021="","",IFERROR(INDEX('Bad Patterns'!$A$2:$A$120,MATCH(1,INDEX(--ISNUMBER(SEARCH('Bad Patterns'!$A$2:$A$120,B2021)),0),0)),""))</f>
        <v/>
      </c>
      <c r="D2021">
        <f>IF(B2021="","",IF(C2021&lt;&gt;"","REMOVE","KEEP"))</f>
        <v/>
      </c>
      <c r="E2021">
        <f>IF(D2021&lt;&gt;"KEEP","",IF(RIGHT(B2021,10)="@gmail.com","Gmail",IF(OR(RIGHT(B2021,12)="@outlook.com",RIGHT(B2021,12)="@hotmail.com",RIGHT(B2021,9)="@live.com"),"Outlook","Domain")))</f>
        <v/>
      </c>
      <c r="F2021">
        <f>IF(B2021="","",IFERROR(RIGHT(B2021,LEN(B2021)-FIND("@",B2021)),""))</f>
        <v/>
      </c>
      <c r="G2021">
        <f>IF(D2021="KEEP",COUNTIF($D$2:D2021,"KEEP"),"")</f>
        <v/>
      </c>
      <c r="H2021">
        <f>IF(D2021="REMOVE",COUNTIF($D$2:D2021,"REMOVE"),"")</f>
        <v/>
      </c>
      <c r="I2021">
        <f>IF(E2021="Gmail",COUNTIF($E$2:E2021,"Gmail"),"")</f>
        <v/>
      </c>
      <c r="J2021">
        <f>IF(E2021="Outlook",COUNTIF($E$2:E2021,"Outlook"),"")</f>
        <v/>
      </c>
      <c r="K2021">
        <f>IF(E2021="Domain",COUNTIF($E$2:E2021,"Domain"),"")</f>
        <v/>
      </c>
    </row>
    <row r="2022">
      <c r="A2022" s="2" t="n"/>
      <c r="B2022">
        <f>LOWER(TRIM(A2022))</f>
        <v/>
      </c>
      <c r="C2022">
        <f>IF(B2022="","",IFERROR(INDEX('Bad Patterns'!$A$2:$A$120,MATCH(1,INDEX(--ISNUMBER(SEARCH('Bad Patterns'!$A$2:$A$120,B2022)),0),0)),""))</f>
        <v/>
      </c>
      <c r="D2022">
        <f>IF(B2022="","",IF(C2022&lt;&gt;"","REMOVE","KEEP"))</f>
        <v/>
      </c>
      <c r="E2022">
        <f>IF(D2022&lt;&gt;"KEEP","",IF(RIGHT(B2022,10)="@gmail.com","Gmail",IF(OR(RIGHT(B2022,12)="@outlook.com",RIGHT(B2022,12)="@hotmail.com",RIGHT(B2022,9)="@live.com"),"Outlook","Domain")))</f>
        <v/>
      </c>
      <c r="F2022">
        <f>IF(B2022="","",IFERROR(RIGHT(B2022,LEN(B2022)-FIND("@",B2022)),""))</f>
        <v/>
      </c>
      <c r="G2022">
        <f>IF(D2022="KEEP",COUNTIF($D$2:D2022,"KEEP"),"")</f>
        <v/>
      </c>
      <c r="H2022">
        <f>IF(D2022="REMOVE",COUNTIF($D$2:D2022,"REMOVE"),"")</f>
        <v/>
      </c>
      <c r="I2022">
        <f>IF(E2022="Gmail",COUNTIF($E$2:E2022,"Gmail"),"")</f>
        <v/>
      </c>
      <c r="J2022">
        <f>IF(E2022="Outlook",COUNTIF($E$2:E2022,"Outlook"),"")</f>
        <v/>
      </c>
      <c r="K2022">
        <f>IF(E2022="Domain",COUNTIF($E$2:E2022,"Domain"),"")</f>
        <v/>
      </c>
    </row>
    <row r="2023">
      <c r="A2023" s="2" t="n"/>
      <c r="B2023">
        <f>LOWER(TRIM(A2023))</f>
        <v/>
      </c>
      <c r="C2023">
        <f>IF(B2023="","",IFERROR(INDEX('Bad Patterns'!$A$2:$A$120,MATCH(1,INDEX(--ISNUMBER(SEARCH('Bad Patterns'!$A$2:$A$120,B2023)),0),0)),""))</f>
        <v/>
      </c>
      <c r="D2023">
        <f>IF(B2023="","",IF(C2023&lt;&gt;"","REMOVE","KEEP"))</f>
        <v/>
      </c>
      <c r="E2023">
        <f>IF(D2023&lt;&gt;"KEEP","",IF(RIGHT(B2023,10)="@gmail.com","Gmail",IF(OR(RIGHT(B2023,12)="@outlook.com",RIGHT(B2023,12)="@hotmail.com",RIGHT(B2023,9)="@live.com"),"Outlook","Domain")))</f>
        <v/>
      </c>
      <c r="F2023">
        <f>IF(B2023="","",IFERROR(RIGHT(B2023,LEN(B2023)-FIND("@",B2023)),""))</f>
        <v/>
      </c>
      <c r="G2023">
        <f>IF(D2023="KEEP",COUNTIF($D$2:D2023,"KEEP"),"")</f>
        <v/>
      </c>
      <c r="H2023">
        <f>IF(D2023="REMOVE",COUNTIF($D$2:D2023,"REMOVE"),"")</f>
        <v/>
      </c>
      <c r="I2023">
        <f>IF(E2023="Gmail",COUNTIF($E$2:E2023,"Gmail"),"")</f>
        <v/>
      </c>
      <c r="J2023">
        <f>IF(E2023="Outlook",COUNTIF($E$2:E2023,"Outlook"),"")</f>
        <v/>
      </c>
      <c r="K2023">
        <f>IF(E2023="Domain",COUNTIF($E$2:E2023,"Domain"),"")</f>
        <v/>
      </c>
    </row>
    <row r="2024">
      <c r="A2024" s="2" t="n"/>
      <c r="B2024">
        <f>LOWER(TRIM(A2024))</f>
        <v/>
      </c>
      <c r="C2024">
        <f>IF(B2024="","",IFERROR(INDEX('Bad Patterns'!$A$2:$A$120,MATCH(1,INDEX(--ISNUMBER(SEARCH('Bad Patterns'!$A$2:$A$120,B2024)),0),0)),""))</f>
        <v/>
      </c>
      <c r="D2024">
        <f>IF(B2024="","",IF(C2024&lt;&gt;"","REMOVE","KEEP"))</f>
        <v/>
      </c>
      <c r="E2024">
        <f>IF(D2024&lt;&gt;"KEEP","",IF(RIGHT(B2024,10)="@gmail.com","Gmail",IF(OR(RIGHT(B2024,12)="@outlook.com",RIGHT(B2024,12)="@hotmail.com",RIGHT(B2024,9)="@live.com"),"Outlook","Domain")))</f>
        <v/>
      </c>
      <c r="F2024">
        <f>IF(B2024="","",IFERROR(RIGHT(B2024,LEN(B2024)-FIND("@",B2024)),""))</f>
        <v/>
      </c>
      <c r="G2024">
        <f>IF(D2024="KEEP",COUNTIF($D$2:D2024,"KEEP"),"")</f>
        <v/>
      </c>
      <c r="H2024">
        <f>IF(D2024="REMOVE",COUNTIF($D$2:D2024,"REMOVE"),"")</f>
        <v/>
      </c>
      <c r="I2024">
        <f>IF(E2024="Gmail",COUNTIF($E$2:E2024,"Gmail"),"")</f>
        <v/>
      </c>
      <c r="J2024">
        <f>IF(E2024="Outlook",COUNTIF($E$2:E2024,"Outlook"),"")</f>
        <v/>
      </c>
      <c r="K2024">
        <f>IF(E2024="Domain",COUNTIF($E$2:E2024,"Domain"),"")</f>
        <v/>
      </c>
    </row>
    <row r="2025">
      <c r="A2025" s="2" t="n"/>
      <c r="B2025">
        <f>LOWER(TRIM(A2025))</f>
        <v/>
      </c>
      <c r="C2025">
        <f>IF(B2025="","",IFERROR(INDEX('Bad Patterns'!$A$2:$A$120,MATCH(1,INDEX(--ISNUMBER(SEARCH('Bad Patterns'!$A$2:$A$120,B2025)),0),0)),""))</f>
        <v/>
      </c>
      <c r="D2025">
        <f>IF(B2025="","",IF(C2025&lt;&gt;"","REMOVE","KEEP"))</f>
        <v/>
      </c>
      <c r="E2025">
        <f>IF(D2025&lt;&gt;"KEEP","",IF(RIGHT(B2025,10)="@gmail.com","Gmail",IF(OR(RIGHT(B2025,12)="@outlook.com",RIGHT(B2025,12)="@hotmail.com",RIGHT(B2025,9)="@live.com"),"Outlook","Domain")))</f>
        <v/>
      </c>
      <c r="F2025">
        <f>IF(B2025="","",IFERROR(RIGHT(B2025,LEN(B2025)-FIND("@",B2025)),""))</f>
        <v/>
      </c>
      <c r="G2025">
        <f>IF(D2025="KEEP",COUNTIF($D$2:D2025,"KEEP"),"")</f>
        <v/>
      </c>
      <c r="H2025">
        <f>IF(D2025="REMOVE",COUNTIF($D$2:D2025,"REMOVE"),"")</f>
        <v/>
      </c>
      <c r="I2025">
        <f>IF(E2025="Gmail",COUNTIF($E$2:E2025,"Gmail"),"")</f>
        <v/>
      </c>
      <c r="J2025">
        <f>IF(E2025="Outlook",COUNTIF($E$2:E2025,"Outlook"),"")</f>
        <v/>
      </c>
      <c r="K2025">
        <f>IF(E2025="Domain",COUNTIF($E$2:E2025,"Domain"),"")</f>
        <v/>
      </c>
    </row>
    <row r="2026">
      <c r="A2026" s="2" t="n"/>
      <c r="B2026">
        <f>LOWER(TRIM(A2026))</f>
        <v/>
      </c>
      <c r="C2026">
        <f>IF(B2026="","",IFERROR(INDEX('Bad Patterns'!$A$2:$A$120,MATCH(1,INDEX(--ISNUMBER(SEARCH('Bad Patterns'!$A$2:$A$120,B2026)),0),0)),""))</f>
        <v/>
      </c>
      <c r="D2026">
        <f>IF(B2026="","",IF(C2026&lt;&gt;"","REMOVE","KEEP"))</f>
        <v/>
      </c>
      <c r="E2026">
        <f>IF(D2026&lt;&gt;"KEEP","",IF(RIGHT(B2026,10)="@gmail.com","Gmail",IF(OR(RIGHT(B2026,12)="@outlook.com",RIGHT(B2026,12)="@hotmail.com",RIGHT(B2026,9)="@live.com"),"Outlook","Domain")))</f>
        <v/>
      </c>
      <c r="F2026">
        <f>IF(B2026="","",IFERROR(RIGHT(B2026,LEN(B2026)-FIND("@",B2026)),""))</f>
        <v/>
      </c>
      <c r="G2026">
        <f>IF(D2026="KEEP",COUNTIF($D$2:D2026,"KEEP"),"")</f>
        <v/>
      </c>
      <c r="H2026">
        <f>IF(D2026="REMOVE",COUNTIF($D$2:D2026,"REMOVE"),"")</f>
        <v/>
      </c>
      <c r="I2026">
        <f>IF(E2026="Gmail",COUNTIF($E$2:E2026,"Gmail"),"")</f>
        <v/>
      </c>
      <c r="J2026">
        <f>IF(E2026="Outlook",COUNTIF($E$2:E2026,"Outlook"),"")</f>
        <v/>
      </c>
      <c r="K2026">
        <f>IF(E2026="Domain",COUNTIF($E$2:E2026,"Domain"),"")</f>
        <v/>
      </c>
    </row>
    <row r="2027">
      <c r="A2027" s="2" t="n"/>
      <c r="B2027">
        <f>LOWER(TRIM(A2027))</f>
        <v/>
      </c>
      <c r="C2027">
        <f>IF(B2027="","",IFERROR(INDEX('Bad Patterns'!$A$2:$A$120,MATCH(1,INDEX(--ISNUMBER(SEARCH('Bad Patterns'!$A$2:$A$120,B2027)),0),0)),""))</f>
        <v/>
      </c>
      <c r="D2027">
        <f>IF(B2027="","",IF(C2027&lt;&gt;"","REMOVE","KEEP"))</f>
        <v/>
      </c>
      <c r="E2027">
        <f>IF(D2027&lt;&gt;"KEEP","",IF(RIGHT(B2027,10)="@gmail.com","Gmail",IF(OR(RIGHT(B2027,12)="@outlook.com",RIGHT(B2027,12)="@hotmail.com",RIGHT(B2027,9)="@live.com"),"Outlook","Domain")))</f>
        <v/>
      </c>
      <c r="F2027">
        <f>IF(B2027="","",IFERROR(RIGHT(B2027,LEN(B2027)-FIND("@",B2027)),""))</f>
        <v/>
      </c>
      <c r="G2027">
        <f>IF(D2027="KEEP",COUNTIF($D$2:D2027,"KEEP"),"")</f>
        <v/>
      </c>
      <c r="H2027">
        <f>IF(D2027="REMOVE",COUNTIF($D$2:D2027,"REMOVE"),"")</f>
        <v/>
      </c>
      <c r="I2027">
        <f>IF(E2027="Gmail",COUNTIF($E$2:E2027,"Gmail"),"")</f>
        <v/>
      </c>
      <c r="J2027">
        <f>IF(E2027="Outlook",COUNTIF($E$2:E2027,"Outlook"),"")</f>
        <v/>
      </c>
      <c r="K2027">
        <f>IF(E2027="Domain",COUNTIF($E$2:E2027,"Domain"),"")</f>
        <v/>
      </c>
    </row>
    <row r="2028">
      <c r="A2028" s="2" t="n"/>
      <c r="B2028">
        <f>LOWER(TRIM(A2028))</f>
        <v/>
      </c>
      <c r="C2028">
        <f>IF(B2028="","",IFERROR(INDEX('Bad Patterns'!$A$2:$A$120,MATCH(1,INDEX(--ISNUMBER(SEARCH('Bad Patterns'!$A$2:$A$120,B2028)),0),0)),""))</f>
        <v/>
      </c>
      <c r="D2028">
        <f>IF(B2028="","",IF(C2028&lt;&gt;"","REMOVE","KEEP"))</f>
        <v/>
      </c>
      <c r="E2028">
        <f>IF(D2028&lt;&gt;"KEEP","",IF(RIGHT(B2028,10)="@gmail.com","Gmail",IF(OR(RIGHT(B2028,12)="@outlook.com",RIGHT(B2028,12)="@hotmail.com",RIGHT(B2028,9)="@live.com"),"Outlook","Domain")))</f>
        <v/>
      </c>
      <c r="F2028">
        <f>IF(B2028="","",IFERROR(RIGHT(B2028,LEN(B2028)-FIND("@",B2028)),""))</f>
        <v/>
      </c>
      <c r="G2028">
        <f>IF(D2028="KEEP",COUNTIF($D$2:D2028,"KEEP"),"")</f>
        <v/>
      </c>
      <c r="H2028">
        <f>IF(D2028="REMOVE",COUNTIF($D$2:D2028,"REMOVE"),"")</f>
        <v/>
      </c>
      <c r="I2028">
        <f>IF(E2028="Gmail",COUNTIF($E$2:E2028,"Gmail"),"")</f>
        <v/>
      </c>
      <c r="J2028">
        <f>IF(E2028="Outlook",COUNTIF($E$2:E2028,"Outlook"),"")</f>
        <v/>
      </c>
      <c r="K2028">
        <f>IF(E2028="Domain",COUNTIF($E$2:E2028,"Domain"),"")</f>
        <v/>
      </c>
    </row>
    <row r="2029">
      <c r="A2029" s="2" t="n"/>
      <c r="B2029">
        <f>LOWER(TRIM(A2029))</f>
        <v/>
      </c>
      <c r="C2029">
        <f>IF(B2029="","",IFERROR(INDEX('Bad Patterns'!$A$2:$A$120,MATCH(1,INDEX(--ISNUMBER(SEARCH('Bad Patterns'!$A$2:$A$120,B2029)),0),0)),""))</f>
        <v/>
      </c>
      <c r="D2029">
        <f>IF(B2029="","",IF(C2029&lt;&gt;"","REMOVE","KEEP"))</f>
        <v/>
      </c>
      <c r="E2029">
        <f>IF(D2029&lt;&gt;"KEEP","",IF(RIGHT(B2029,10)="@gmail.com","Gmail",IF(OR(RIGHT(B2029,12)="@outlook.com",RIGHT(B2029,12)="@hotmail.com",RIGHT(B2029,9)="@live.com"),"Outlook","Domain")))</f>
        <v/>
      </c>
      <c r="F2029">
        <f>IF(B2029="","",IFERROR(RIGHT(B2029,LEN(B2029)-FIND("@",B2029)),""))</f>
        <v/>
      </c>
      <c r="G2029">
        <f>IF(D2029="KEEP",COUNTIF($D$2:D2029,"KEEP"),"")</f>
        <v/>
      </c>
      <c r="H2029">
        <f>IF(D2029="REMOVE",COUNTIF($D$2:D2029,"REMOVE"),"")</f>
        <v/>
      </c>
      <c r="I2029">
        <f>IF(E2029="Gmail",COUNTIF($E$2:E2029,"Gmail"),"")</f>
        <v/>
      </c>
      <c r="J2029">
        <f>IF(E2029="Outlook",COUNTIF($E$2:E2029,"Outlook"),"")</f>
        <v/>
      </c>
      <c r="K2029">
        <f>IF(E2029="Domain",COUNTIF($E$2:E2029,"Domain"),"")</f>
        <v/>
      </c>
    </row>
    <row r="2030">
      <c r="A2030" s="2" t="n"/>
      <c r="B2030">
        <f>LOWER(TRIM(A2030))</f>
        <v/>
      </c>
      <c r="C2030">
        <f>IF(B2030="","",IFERROR(INDEX('Bad Patterns'!$A$2:$A$120,MATCH(1,INDEX(--ISNUMBER(SEARCH('Bad Patterns'!$A$2:$A$120,B2030)),0),0)),""))</f>
        <v/>
      </c>
      <c r="D2030">
        <f>IF(B2030="","",IF(C2030&lt;&gt;"","REMOVE","KEEP"))</f>
        <v/>
      </c>
      <c r="E2030">
        <f>IF(D2030&lt;&gt;"KEEP","",IF(RIGHT(B2030,10)="@gmail.com","Gmail",IF(OR(RIGHT(B2030,12)="@outlook.com",RIGHT(B2030,12)="@hotmail.com",RIGHT(B2030,9)="@live.com"),"Outlook","Domain")))</f>
        <v/>
      </c>
      <c r="F2030">
        <f>IF(B2030="","",IFERROR(RIGHT(B2030,LEN(B2030)-FIND("@",B2030)),""))</f>
        <v/>
      </c>
      <c r="G2030">
        <f>IF(D2030="KEEP",COUNTIF($D$2:D2030,"KEEP"),"")</f>
        <v/>
      </c>
      <c r="H2030">
        <f>IF(D2030="REMOVE",COUNTIF($D$2:D2030,"REMOVE"),"")</f>
        <v/>
      </c>
      <c r="I2030">
        <f>IF(E2030="Gmail",COUNTIF($E$2:E2030,"Gmail"),"")</f>
        <v/>
      </c>
      <c r="J2030">
        <f>IF(E2030="Outlook",COUNTIF($E$2:E2030,"Outlook"),"")</f>
        <v/>
      </c>
      <c r="K2030">
        <f>IF(E2030="Domain",COUNTIF($E$2:E2030,"Domain"),"")</f>
        <v/>
      </c>
    </row>
    <row r="2031">
      <c r="A2031" s="2" t="n"/>
      <c r="B2031">
        <f>LOWER(TRIM(A2031))</f>
        <v/>
      </c>
      <c r="C2031">
        <f>IF(B2031="","",IFERROR(INDEX('Bad Patterns'!$A$2:$A$120,MATCH(1,INDEX(--ISNUMBER(SEARCH('Bad Patterns'!$A$2:$A$120,B2031)),0),0)),""))</f>
        <v/>
      </c>
      <c r="D2031">
        <f>IF(B2031="","",IF(C2031&lt;&gt;"","REMOVE","KEEP"))</f>
        <v/>
      </c>
      <c r="E2031">
        <f>IF(D2031&lt;&gt;"KEEP","",IF(RIGHT(B2031,10)="@gmail.com","Gmail",IF(OR(RIGHT(B2031,12)="@outlook.com",RIGHT(B2031,12)="@hotmail.com",RIGHT(B2031,9)="@live.com"),"Outlook","Domain")))</f>
        <v/>
      </c>
      <c r="F2031">
        <f>IF(B2031="","",IFERROR(RIGHT(B2031,LEN(B2031)-FIND("@",B2031)),""))</f>
        <v/>
      </c>
      <c r="G2031">
        <f>IF(D2031="KEEP",COUNTIF($D$2:D2031,"KEEP"),"")</f>
        <v/>
      </c>
      <c r="H2031">
        <f>IF(D2031="REMOVE",COUNTIF($D$2:D2031,"REMOVE"),"")</f>
        <v/>
      </c>
      <c r="I2031">
        <f>IF(E2031="Gmail",COUNTIF($E$2:E2031,"Gmail"),"")</f>
        <v/>
      </c>
      <c r="J2031">
        <f>IF(E2031="Outlook",COUNTIF($E$2:E2031,"Outlook"),"")</f>
        <v/>
      </c>
      <c r="K2031">
        <f>IF(E2031="Domain",COUNTIF($E$2:E2031,"Domain"),"")</f>
        <v/>
      </c>
    </row>
    <row r="2032">
      <c r="A2032" s="2" t="n"/>
      <c r="B2032">
        <f>LOWER(TRIM(A2032))</f>
        <v/>
      </c>
      <c r="C2032">
        <f>IF(B2032="","",IFERROR(INDEX('Bad Patterns'!$A$2:$A$120,MATCH(1,INDEX(--ISNUMBER(SEARCH('Bad Patterns'!$A$2:$A$120,B2032)),0),0)),""))</f>
        <v/>
      </c>
      <c r="D2032">
        <f>IF(B2032="","",IF(C2032&lt;&gt;"","REMOVE","KEEP"))</f>
        <v/>
      </c>
      <c r="E2032">
        <f>IF(D2032&lt;&gt;"KEEP","",IF(RIGHT(B2032,10)="@gmail.com","Gmail",IF(OR(RIGHT(B2032,12)="@outlook.com",RIGHT(B2032,12)="@hotmail.com",RIGHT(B2032,9)="@live.com"),"Outlook","Domain")))</f>
        <v/>
      </c>
      <c r="F2032">
        <f>IF(B2032="","",IFERROR(RIGHT(B2032,LEN(B2032)-FIND("@",B2032)),""))</f>
        <v/>
      </c>
      <c r="G2032">
        <f>IF(D2032="KEEP",COUNTIF($D$2:D2032,"KEEP"),"")</f>
        <v/>
      </c>
      <c r="H2032">
        <f>IF(D2032="REMOVE",COUNTIF($D$2:D2032,"REMOVE"),"")</f>
        <v/>
      </c>
      <c r="I2032">
        <f>IF(E2032="Gmail",COUNTIF($E$2:E2032,"Gmail"),"")</f>
        <v/>
      </c>
      <c r="J2032">
        <f>IF(E2032="Outlook",COUNTIF($E$2:E2032,"Outlook"),"")</f>
        <v/>
      </c>
      <c r="K2032">
        <f>IF(E2032="Domain",COUNTIF($E$2:E2032,"Domain"),"")</f>
        <v/>
      </c>
    </row>
    <row r="2033">
      <c r="A2033" s="2" t="n"/>
      <c r="B2033">
        <f>LOWER(TRIM(A2033))</f>
        <v/>
      </c>
      <c r="C2033">
        <f>IF(B2033="","",IFERROR(INDEX('Bad Patterns'!$A$2:$A$120,MATCH(1,INDEX(--ISNUMBER(SEARCH('Bad Patterns'!$A$2:$A$120,B2033)),0),0)),""))</f>
        <v/>
      </c>
      <c r="D2033">
        <f>IF(B2033="","",IF(C2033&lt;&gt;"","REMOVE","KEEP"))</f>
        <v/>
      </c>
      <c r="E2033">
        <f>IF(D2033&lt;&gt;"KEEP","",IF(RIGHT(B2033,10)="@gmail.com","Gmail",IF(OR(RIGHT(B2033,12)="@outlook.com",RIGHT(B2033,12)="@hotmail.com",RIGHT(B2033,9)="@live.com"),"Outlook","Domain")))</f>
        <v/>
      </c>
      <c r="F2033">
        <f>IF(B2033="","",IFERROR(RIGHT(B2033,LEN(B2033)-FIND("@",B2033)),""))</f>
        <v/>
      </c>
      <c r="G2033">
        <f>IF(D2033="KEEP",COUNTIF($D$2:D2033,"KEEP"),"")</f>
        <v/>
      </c>
      <c r="H2033">
        <f>IF(D2033="REMOVE",COUNTIF($D$2:D2033,"REMOVE"),"")</f>
        <v/>
      </c>
      <c r="I2033">
        <f>IF(E2033="Gmail",COUNTIF($E$2:E2033,"Gmail"),"")</f>
        <v/>
      </c>
      <c r="J2033">
        <f>IF(E2033="Outlook",COUNTIF($E$2:E2033,"Outlook"),"")</f>
        <v/>
      </c>
      <c r="K2033">
        <f>IF(E2033="Domain",COUNTIF($E$2:E2033,"Domain"),"")</f>
        <v/>
      </c>
    </row>
    <row r="2034">
      <c r="A2034" s="2" t="n"/>
      <c r="B2034">
        <f>LOWER(TRIM(A2034))</f>
        <v/>
      </c>
      <c r="C2034">
        <f>IF(B2034="","",IFERROR(INDEX('Bad Patterns'!$A$2:$A$120,MATCH(1,INDEX(--ISNUMBER(SEARCH('Bad Patterns'!$A$2:$A$120,B2034)),0),0)),""))</f>
        <v/>
      </c>
      <c r="D2034">
        <f>IF(B2034="","",IF(C2034&lt;&gt;"","REMOVE","KEEP"))</f>
        <v/>
      </c>
      <c r="E2034">
        <f>IF(D2034&lt;&gt;"KEEP","",IF(RIGHT(B2034,10)="@gmail.com","Gmail",IF(OR(RIGHT(B2034,12)="@outlook.com",RIGHT(B2034,12)="@hotmail.com",RIGHT(B2034,9)="@live.com"),"Outlook","Domain")))</f>
        <v/>
      </c>
      <c r="F2034">
        <f>IF(B2034="","",IFERROR(RIGHT(B2034,LEN(B2034)-FIND("@",B2034)),""))</f>
        <v/>
      </c>
      <c r="G2034">
        <f>IF(D2034="KEEP",COUNTIF($D$2:D2034,"KEEP"),"")</f>
        <v/>
      </c>
      <c r="H2034">
        <f>IF(D2034="REMOVE",COUNTIF($D$2:D2034,"REMOVE"),"")</f>
        <v/>
      </c>
      <c r="I2034">
        <f>IF(E2034="Gmail",COUNTIF($E$2:E2034,"Gmail"),"")</f>
        <v/>
      </c>
      <c r="J2034">
        <f>IF(E2034="Outlook",COUNTIF($E$2:E2034,"Outlook"),"")</f>
        <v/>
      </c>
      <c r="K2034">
        <f>IF(E2034="Domain",COUNTIF($E$2:E2034,"Domain"),"")</f>
        <v/>
      </c>
    </row>
    <row r="2035">
      <c r="A2035" s="2" t="n"/>
      <c r="B2035">
        <f>LOWER(TRIM(A2035))</f>
        <v/>
      </c>
      <c r="C2035">
        <f>IF(B2035="","",IFERROR(INDEX('Bad Patterns'!$A$2:$A$120,MATCH(1,INDEX(--ISNUMBER(SEARCH('Bad Patterns'!$A$2:$A$120,B2035)),0),0)),""))</f>
        <v/>
      </c>
      <c r="D2035">
        <f>IF(B2035="","",IF(C2035&lt;&gt;"","REMOVE","KEEP"))</f>
        <v/>
      </c>
      <c r="E2035">
        <f>IF(D2035&lt;&gt;"KEEP","",IF(RIGHT(B2035,10)="@gmail.com","Gmail",IF(OR(RIGHT(B2035,12)="@outlook.com",RIGHT(B2035,12)="@hotmail.com",RIGHT(B2035,9)="@live.com"),"Outlook","Domain")))</f>
        <v/>
      </c>
      <c r="F2035">
        <f>IF(B2035="","",IFERROR(RIGHT(B2035,LEN(B2035)-FIND("@",B2035)),""))</f>
        <v/>
      </c>
      <c r="G2035">
        <f>IF(D2035="KEEP",COUNTIF($D$2:D2035,"KEEP"),"")</f>
        <v/>
      </c>
      <c r="H2035">
        <f>IF(D2035="REMOVE",COUNTIF($D$2:D2035,"REMOVE"),"")</f>
        <v/>
      </c>
      <c r="I2035">
        <f>IF(E2035="Gmail",COUNTIF($E$2:E2035,"Gmail"),"")</f>
        <v/>
      </c>
      <c r="J2035">
        <f>IF(E2035="Outlook",COUNTIF($E$2:E2035,"Outlook"),"")</f>
        <v/>
      </c>
      <c r="K2035">
        <f>IF(E2035="Domain",COUNTIF($E$2:E2035,"Domain"),"")</f>
        <v/>
      </c>
    </row>
    <row r="2036">
      <c r="A2036" s="2" t="n"/>
      <c r="B2036">
        <f>LOWER(TRIM(A2036))</f>
        <v/>
      </c>
      <c r="C2036">
        <f>IF(B2036="","",IFERROR(INDEX('Bad Patterns'!$A$2:$A$120,MATCH(1,INDEX(--ISNUMBER(SEARCH('Bad Patterns'!$A$2:$A$120,B2036)),0),0)),""))</f>
        <v/>
      </c>
      <c r="D2036">
        <f>IF(B2036="","",IF(C2036&lt;&gt;"","REMOVE","KEEP"))</f>
        <v/>
      </c>
      <c r="E2036">
        <f>IF(D2036&lt;&gt;"KEEP","",IF(RIGHT(B2036,10)="@gmail.com","Gmail",IF(OR(RIGHT(B2036,12)="@outlook.com",RIGHT(B2036,12)="@hotmail.com",RIGHT(B2036,9)="@live.com"),"Outlook","Domain")))</f>
        <v/>
      </c>
      <c r="F2036">
        <f>IF(B2036="","",IFERROR(RIGHT(B2036,LEN(B2036)-FIND("@",B2036)),""))</f>
        <v/>
      </c>
      <c r="G2036">
        <f>IF(D2036="KEEP",COUNTIF($D$2:D2036,"KEEP"),"")</f>
        <v/>
      </c>
      <c r="H2036">
        <f>IF(D2036="REMOVE",COUNTIF($D$2:D2036,"REMOVE"),"")</f>
        <v/>
      </c>
      <c r="I2036">
        <f>IF(E2036="Gmail",COUNTIF($E$2:E2036,"Gmail"),"")</f>
        <v/>
      </c>
      <c r="J2036">
        <f>IF(E2036="Outlook",COUNTIF($E$2:E2036,"Outlook"),"")</f>
        <v/>
      </c>
      <c r="K2036">
        <f>IF(E2036="Domain",COUNTIF($E$2:E2036,"Domain"),"")</f>
        <v/>
      </c>
    </row>
    <row r="2037">
      <c r="A2037" s="2" t="n"/>
      <c r="B2037">
        <f>LOWER(TRIM(A2037))</f>
        <v/>
      </c>
      <c r="C2037">
        <f>IF(B2037="","",IFERROR(INDEX('Bad Patterns'!$A$2:$A$120,MATCH(1,INDEX(--ISNUMBER(SEARCH('Bad Patterns'!$A$2:$A$120,B2037)),0),0)),""))</f>
        <v/>
      </c>
      <c r="D2037">
        <f>IF(B2037="","",IF(C2037&lt;&gt;"","REMOVE","KEEP"))</f>
        <v/>
      </c>
      <c r="E2037">
        <f>IF(D2037&lt;&gt;"KEEP","",IF(RIGHT(B2037,10)="@gmail.com","Gmail",IF(OR(RIGHT(B2037,12)="@outlook.com",RIGHT(B2037,12)="@hotmail.com",RIGHT(B2037,9)="@live.com"),"Outlook","Domain")))</f>
        <v/>
      </c>
      <c r="F2037">
        <f>IF(B2037="","",IFERROR(RIGHT(B2037,LEN(B2037)-FIND("@",B2037)),""))</f>
        <v/>
      </c>
      <c r="G2037">
        <f>IF(D2037="KEEP",COUNTIF($D$2:D2037,"KEEP"),"")</f>
        <v/>
      </c>
      <c r="H2037">
        <f>IF(D2037="REMOVE",COUNTIF($D$2:D2037,"REMOVE"),"")</f>
        <v/>
      </c>
      <c r="I2037">
        <f>IF(E2037="Gmail",COUNTIF($E$2:E2037,"Gmail"),"")</f>
        <v/>
      </c>
      <c r="J2037">
        <f>IF(E2037="Outlook",COUNTIF($E$2:E2037,"Outlook"),"")</f>
        <v/>
      </c>
      <c r="K2037">
        <f>IF(E2037="Domain",COUNTIF($E$2:E2037,"Domain"),"")</f>
        <v/>
      </c>
    </row>
    <row r="2038">
      <c r="A2038" s="2" t="n"/>
      <c r="B2038">
        <f>LOWER(TRIM(A2038))</f>
        <v/>
      </c>
      <c r="C2038">
        <f>IF(B2038="","",IFERROR(INDEX('Bad Patterns'!$A$2:$A$120,MATCH(1,INDEX(--ISNUMBER(SEARCH('Bad Patterns'!$A$2:$A$120,B2038)),0),0)),""))</f>
        <v/>
      </c>
      <c r="D2038">
        <f>IF(B2038="","",IF(C2038&lt;&gt;"","REMOVE","KEEP"))</f>
        <v/>
      </c>
      <c r="E2038">
        <f>IF(D2038&lt;&gt;"KEEP","",IF(RIGHT(B2038,10)="@gmail.com","Gmail",IF(OR(RIGHT(B2038,12)="@outlook.com",RIGHT(B2038,12)="@hotmail.com",RIGHT(B2038,9)="@live.com"),"Outlook","Domain")))</f>
        <v/>
      </c>
      <c r="F2038">
        <f>IF(B2038="","",IFERROR(RIGHT(B2038,LEN(B2038)-FIND("@",B2038)),""))</f>
        <v/>
      </c>
      <c r="G2038">
        <f>IF(D2038="KEEP",COUNTIF($D$2:D2038,"KEEP"),"")</f>
        <v/>
      </c>
      <c r="H2038">
        <f>IF(D2038="REMOVE",COUNTIF($D$2:D2038,"REMOVE"),"")</f>
        <v/>
      </c>
      <c r="I2038">
        <f>IF(E2038="Gmail",COUNTIF($E$2:E2038,"Gmail"),"")</f>
        <v/>
      </c>
      <c r="J2038">
        <f>IF(E2038="Outlook",COUNTIF($E$2:E2038,"Outlook"),"")</f>
        <v/>
      </c>
      <c r="K2038">
        <f>IF(E2038="Domain",COUNTIF($E$2:E2038,"Domain"),"")</f>
        <v/>
      </c>
    </row>
    <row r="2039">
      <c r="A2039" s="2" t="n"/>
      <c r="B2039">
        <f>LOWER(TRIM(A2039))</f>
        <v/>
      </c>
      <c r="C2039">
        <f>IF(B2039="","",IFERROR(INDEX('Bad Patterns'!$A$2:$A$120,MATCH(1,INDEX(--ISNUMBER(SEARCH('Bad Patterns'!$A$2:$A$120,B2039)),0),0)),""))</f>
        <v/>
      </c>
      <c r="D2039">
        <f>IF(B2039="","",IF(C2039&lt;&gt;"","REMOVE","KEEP"))</f>
        <v/>
      </c>
      <c r="E2039">
        <f>IF(D2039&lt;&gt;"KEEP","",IF(RIGHT(B2039,10)="@gmail.com","Gmail",IF(OR(RIGHT(B2039,12)="@outlook.com",RIGHT(B2039,12)="@hotmail.com",RIGHT(B2039,9)="@live.com"),"Outlook","Domain")))</f>
        <v/>
      </c>
      <c r="F2039">
        <f>IF(B2039="","",IFERROR(RIGHT(B2039,LEN(B2039)-FIND("@",B2039)),""))</f>
        <v/>
      </c>
      <c r="G2039">
        <f>IF(D2039="KEEP",COUNTIF($D$2:D2039,"KEEP"),"")</f>
        <v/>
      </c>
      <c r="H2039">
        <f>IF(D2039="REMOVE",COUNTIF($D$2:D2039,"REMOVE"),"")</f>
        <v/>
      </c>
      <c r="I2039">
        <f>IF(E2039="Gmail",COUNTIF($E$2:E2039,"Gmail"),"")</f>
        <v/>
      </c>
      <c r="J2039">
        <f>IF(E2039="Outlook",COUNTIF($E$2:E2039,"Outlook"),"")</f>
        <v/>
      </c>
      <c r="K2039">
        <f>IF(E2039="Domain",COUNTIF($E$2:E2039,"Domain"),"")</f>
        <v/>
      </c>
    </row>
    <row r="2040">
      <c r="A2040" s="2" t="n"/>
      <c r="B2040">
        <f>LOWER(TRIM(A2040))</f>
        <v/>
      </c>
      <c r="C2040">
        <f>IF(B2040="","",IFERROR(INDEX('Bad Patterns'!$A$2:$A$120,MATCH(1,INDEX(--ISNUMBER(SEARCH('Bad Patterns'!$A$2:$A$120,B2040)),0),0)),""))</f>
        <v/>
      </c>
      <c r="D2040">
        <f>IF(B2040="","",IF(C2040&lt;&gt;"","REMOVE","KEEP"))</f>
        <v/>
      </c>
      <c r="E2040">
        <f>IF(D2040&lt;&gt;"KEEP","",IF(RIGHT(B2040,10)="@gmail.com","Gmail",IF(OR(RIGHT(B2040,12)="@outlook.com",RIGHT(B2040,12)="@hotmail.com",RIGHT(B2040,9)="@live.com"),"Outlook","Domain")))</f>
        <v/>
      </c>
      <c r="F2040">
        <f>IF(B2040="","",IFERROR(RIGHT(B2040,LEN(B2040)-FIND("@",B2040)),""))</f>
        <v/>
      </c>
      <c r="G2040">
        <f>IF(D2040="KEEP",COUNTIF($D$2:D2040,"KEEP"),"")</f>
        <v/>
      </c>
      <c r="H2040">
        <f>IF(D2040="REMOVE",COUNTIF($D$2:D2040,"REMOVE"),"")</f>
        <v/>
      </c>
      <c r="I2040">
        <f>IF(E2040="Gmail",COUNTIF($E$2:E2040,"Gmail"),"")</f>
        <v/>
      </c>
      <c r="J2040">
        <f>IF(E2040="Outlook",COUNTIF($E$2:E2040,"Outlook"),"")</f>
        <v/>
      </c>
      <c r="K2040">
        <f>IF(E2040="Domain",COUNTIF($E$2:E2040,"Domain"),"")</f>
        <v/>
      </c>
    </row>
    <row r="2041">
      <c r="A2041" s="2" t="n"/>
      <c r="B2041">
        <f>LOWER(TRIM(A2041))</f>
        <v/>
      </c>
      <c r="C2041">
        <f>IF(B2041="","",IFERROR(INDEX('Bad Patterns'!$A$2:$A$120,MATCH(1,INDEX(--ISNUMBER(SEARCH('Bad Patterns'!$A$2:$A$120,B2041)),0),0)),""))</f>
        <v/>
      </c>
      <c r="D2041">
        <f>IF(B2041="","",IF(C2041&lt;&gt;"","REMOVE","KEEP"))</f>
        <v/>
      </c>
      <c r="E2041">
        <f>IF(D2041&lt;&gt;"KEEP","",IF(RIGHT(B2041,10)="@gmail.com","Gmail",IF(OR(RIGHT(B2041,12)="@outlook.com",RIGHT(B2041,12)="@hotmail.com",RIGHT(B2041,9)="@live.com"),"Outlook","Domain")))</f>
        <v/>
      </c>
      <c r="F2041">
        <f>IF(B2041="","",IFERROR(RIGHT(B2041,LEN(B2041)-FIND("@",B2041)),""))</f>
        <v/>
      </c>
      <c r="G2041">
        <f>IF(D2041="KEEP",COUNTIF($D$2:D2041,"KEEP"),"")</f>
        <v/>
      </c>
      <c r="H2041">
        <f>IF(D2041="REMOVE",COUNTIF($D$2:D2041,"REMOVE"),"")</f>
        <v/>
      </c>
      <c r="I2041">
        <f>IF(E2041="Gmail",COUNTIF($E$2:E2041,"Gmail"),"")</f>
        <v/>
      </c>
      <c r="J2041">
        <f>IF(E2041="Outlook",COUNTIF($E$2:E2041,"Outlook"),"")</f>
        <v/>
      </c>
      <c r="K2041">
        <f>IF(E2041="Domain",COUNTIF($E$2:E2041,"Domain"),"")</f>
        <v/>
      </c>
    </row>
    <row r="2042">
      <c r="A2042" s="2" t="n"/>
      <c r="B2042">
        <f>LOWER(TRIM(A2042))</f>
        <v/>
      </c>
      <c r="C2042">
        <f>IF(B2042="","",IFERROR(INDEX('Bad Patterns'!$A$2:$A$120,MATCH(1,INDEX(--ISNUMBER(SEARCH('Bad Patterns'!$A$2:$A$120,B2042)),0),0)),""))</f>
        <v/>
      </c>
      <c r="D2042">
        <f>IF(B2042="","",IF(C2042&lt;&gt;"","REMOVE","KEEP"))</f>
        <v/>
      </c>
      <c r="E2042">
        <f>IF(D2042&lt;&gt;"KEEP","",IF(RIGHT(B2042,10)="@gmail.com","Gmail",IF(OR(RIGHT(B2042,12)="@outlook.com",RIGHT(B2042,12)="@hotmail.com",RIGHT(B2042,9)="@live.com"),"Outlook","Domain")))</f>
        <v/>
      </c>
      <c r="F2042">
        <f>IF(B2042="","",IFERROR(RIGHT(B2042,LEN(B2042)-FIND("@",B2042)),""))</f>
        <v/>
      </c>
      <c r="G2042">
        <f>IF(D2042="KEEP",COUNTIF($D$2:D2042,"KEEP"),"")</f>
        <v/>
      </c>
      <c r="H2042">
        <f>IF(D2042="REMOVE",COUNTIF($D$2:D2042,"REMOVE"),"")</f>
        <v/>
      </c>
      <c r="I2042">
        <f>IF(E2042="Gmail",COUNTIF($E$2:E2042,"Gmail"),"")</f>
        <v/>
      </c>
      <c r="J2042">
        <f>IF(E2042="Outlook",COUNTIF($E$2:E2042,"Outlook"),"")</f>
        <v/>
      </c>
      <c r="K2042">
        <f>IF(E2042="Domain",COUNTIF($E$2:E2042,"Domain"),"")</f>
        <v/>
      </c>
    </row>
    <row r="2043">
      <c r="A2043" s="2" t="n"/>
      <c r="B2043">
        <f>LOWER(TRIM(A2043))</f>
        <v/>
      </c>
      <c r="C2043">
        <f>IF(B2043="","",IFERROR(INDEX('Bad Patterns'!$A$2:$A$120,MATCH(1,INDEX(--ISNUMBER(SEARCH('Bad Patterns'!$A$2:$A$120,B2043)),0),0)),""))</f>
        <v/>
      </c>
      <c r="D2043">
        <f>IF(B2043="","",IF(C2043&lt;&gt;"","REMOVE","KEEP"))</f>
        <v/>
      </c>
      <c r="E2043">
        <f>IF(D2043&lt;&gt;"KEEP","",IF(RIGHT(B2043,10)="@gmail.com","Gmail",IF(OR(RIGHT(B2043,12)="@outlook.com",RIGHT(B2043,12)="@hotmail.com",RIGHT(B2043,9)="@live.com"),"Outlook","Domain")))</f>
        <v/>
      </c>
      <c r="F2043">
        <f>IF(B2043="","",IFERROR(RIGHT(B2043,LEN(B2043)-FIND("@",B2043)),""))</f>
        <v/>
      </c>
      <c r="G2043">
        <f>IF(D2043="KEEP",COUNTIF($D$2:D2043,"KEEP"),"")</f>
        <v/>
      </c>
      <c r="H2043">
        <f>IF(D2043="REMOVE",COUNTIF($D$2:D2043,"REMOVE"),"")</f>
        <v/>
      </c>
      <c r="I2043">
        <f>IF(E2043="Gmail",COUNTIF($E$2:E2043,"Gmail"),"")</f>
        <v/>
      </c>
      <c r="J2043">
        <f>IF(E2043="Outlook",COUNTIF($E$2:E2043,"Outlook"),"")</f>
        <v/>
      </c>
      <c r="K2043">
        <f>IF(E2043="Domain",COUNTIF($E$2:E2043,"Domain"),"")</f>
        <v/>
      </c>
    </row>
    <row r="2044">
      <c r="A2044" s="2" t="n"/>
      <c r="B2044">
        <f>LOWER(TRIM(A2044))</f>
        <v/>
      </c>
      <c r="C2044">
        <f>IF(B2044="","",IFERROR(INDEX('Bad Patterns'!$A$2:$A$120,MATCH(1,INDEX(--ISNUMBER(SEARCH('Bad Patterns'!$A$2:$A$120,B2044)),0),0)),""))</f>
        <v/>
      </c>
      <c r="D2044">
        <f>IF(B2044="","",IF(C2044&lt;&gt;"","REMOVE","KEEP"))</f>
        <v/>
      </c>
      <c r="E2044">
        <f>IF(D2044&lt;&gt;"KEEP","",IF(RIGHT(B2044,10)="@gmail.com","Gmail",IF(OR(RIGHT(B2044,12)="@outlook.com",RIGHT(B2044,12)="@hotmail.com",RIGHT(B2044,9)="@live.com"),"Outlook","Domain")))</f>
        <v/>
      </c>
      <c r="F2044">
        <f>IF(B2044="","",IFERROR(RIGHT(B2044,LEN(B2044)-FIND("@",B2044)),""))</f>
        <v/>
      </c>
      <c r="G2044">
        <f>IF(D2044="KEEP",COUNTIF($D$2:D2044,"KEEP"),"")</f>
        <v/>
      </c>
      <c r="H2044">
        <f>IF(D2044="REMOVE",COUNTIF($D$2:D2044,"REMOVE"),"")</f>
        <v/>
      </c>
      <c r="I2044">
        <f>IF(E2044="Gmail",COUNTIF($E$2:E2044,"Gmail"),"")</f>
        <v/>
      </c>
      <c r="J2044">
        <f>IF(E2044="Outlook",COUNTIF($E$2:E2044,"Outlook"),"")</f>
        <v/>
      </c>
      <c r="K2044">
        <f>IF(E2044="Domain",COUNTIF($E$2:E2044,"Domain"),"")</f>
        <v/>
      </c>
    </row>
    <row r="2045">
      <c r="A2045" s="2" t="n"/>
      <c r="B2045">
        <f>LOWER(TRIM(A2045))</f>
        <v/>
      </c>
      <c r="C2045">
        <f>IF(B2045="","",IFERROR(INDEX('Bad Patterns'!$A$2:$A$120,MATCH(1,INDEX(--ISNUMBER(SEARCH('Bad Patterns'!$A$2:$A$120,B2045)),0),0)),""))</f>
        <v/>
      </c>
      <c r="D2045">
        <f>IF(B2045="","",IF(C2045&lt;&gt;"","REMOVE","KEEP"))</f>
        <v/>
      </c>
      <c r="E2045">
        <f>IF(D2045&lt;&gt;"KEEP","",IF(RIGHT(B2045,10)="@gmail.com","Gmail",IF(OR(RIGHT(B2045,12)="@outlook.com",RIGHT(B2045,12)="@hotmail.com",RIGHT(B2045,9)="@live.com"),"Outlook","Domain")))</f>
        <v/>
      </c>
      <c r="F2045">
        <f>IF(B2045="","",IFERROR(RIGHT(B2045,LEN(B2045)-FIND("@",B2045)),""))</f>
        <v/>
      </c>
      <c r="G2045">
        <f>IF(D2045="KEEP",COUNTIF($D$2:D2045,"KEEP"),"")</f>
        <v/>
      </c>
      <c r="H2045">
        <f>IF(D2045="REMOVE",COUNTIF($D$2:D2045,"REMOVE"),"")</f>
        <v/>
      </c>
      <c r="I2045">
        <f>IF(E2045="Gmail",COUNTIF($E$2:E2045,"Gmail"),"")</f>
        <v/>
      </c>
      <c r="J2045">
        <f>IF(E2045="Outlook",COUNTIF($E$2:E2045,"Outlook"),"")</f>
        <v/>
      </c>
      <c r="K2045">
        <f>IF(E2045="Domain",COUNTIF($E$2:E2045,"Domain"),"")</f>
        <v/>
      </c>
    </row>
    <row r="2046">
      <c r="A2046" s="2" t="n"/>
      <c r="B2046">
        <f>LOWER(TRIM(A2046))</f>
        <v/>
      </c>
      <c r="C2046">
        <f>IF(B2046="","",IFERROR(INDEX('Bad Patterns'!$A$2:$A$120,MATCH(1,INDEX(--ISNUMBER(SEARCH('Bad Patterns'!$A$2:$A$120,B2046)),0),0)),""))</f>
        <v/>
      </c>
      <c r="D2046">
        <f>IF(B2046="","",IF(C2046&lt;&gt;"","REMOVE","KEEP"))</f>
        <v/>
      </c>
      <c r="E2046">
        <f>IF(D2046&lt;&gt;"KEEP","",IF(RIGHT(B2046,10)="@gmail.com","Gmail",IF(OR(RIGHT(B2046,12)="@outlook.com",RIGHT(B2046,12)="@hotmail.com",RIGHT(B2046,9)="@live.com"),"Outlook","Domain")))</f>
        <v/>
      </c>
      <c r="F2046">
        <f>IF(B2046="","",IFERROR(RIGHT(B2046,LEN(B2046)-FIND("@",B2046)),""))</f>
        <v/>
      </c>
      <c r="G2046">
        <f>IF(D2046="KEEP",COUNTIF($D$2:D2046,"KEEP"),"")</f>
        <v/>
      </c>
      <c r="H2046">
        <f>IF(D2046="REMOVE",COUNTIF($D$2:D2046,"REMOVE"),"")</f>
        <v/>
      </c>
      <c r="I2046">
        <f>IF(E2046="Gmail",COUNTIF($E$2:E2046,"Gmail"),"")</f>
        <v/>
      </c>
      <c r="J2046">
        <f>IF(E2046="Outlook",COUNTIF($E$2:E2046,"Outlook"),"")</f>
        <v/>
      </c>
      <c r="K2046">
        <f>IF(E2046="Domain",COUNTIF($E$2:E2046,"Domain"),"")</f>
        <v/>
      </c>
    </row>
    <row r="2047">
      <c r="A2047" s="2" t="n"/>
      <c r="B2047">
        <f>LOWER(TRIM(A2047))</f>
        <v/>
      </c>
      <c r="C2047">
        <f>IF(B2047="","",IFERROR(INDEX('Bad Patterns'!$A$2:$A$120,MATCH(1,INDEX(--ISNUMBER(SEARCH('Bad Patterns'!$A$2:$A$120,B2047)),0),0)),""))</f>
        <v/>
      </c>
      <c r="D2047">
        <f>IF(B2047="","",IF(C2047&lt;&gt;"","REMOVE","KEEP"))</f>
        <v/>
      </c>
      <c r="E2047">
        <f>IF(D2047&lt;&gt;"KEEP","",IF(RIGHT(B2047,10)="@gmail.com","Gmail",IF(OR(RIGHT(B2047,12)="@outlook.com",RIGHT(B2047,12)="@hotmail.com",RIGHT(B2047,9)="@live.com"),"Outlook","Domain")))</f>
        <v/>
      </c>
      <c r="F2047">
        <f>IF(B2047="","",IFERROR(RIGHT(B2047,LEN(B2047)-FIND("@",B2047)),""))</f>
        <v/>
      </c>
      <c r="G2047">
        <f>IF(D2047="KEEP",COUNTIF($D$2:D2047,"KEEP"),"")</f>
        <v/>
      </c>
      <c r="H2047">
        <f>IF(D2047="REMOVE",COUNTIF($D$2:D2047,"REMOVE"),"")</f>
        <v/>
      </c>
      <c r="I2047">
        <f>IF(E2047="Gmail",COUNTIF($E$2:E2047,"Gmail"),"")</f>
        <v/>
      </c>
      <c r="J2047">
        <f>IF(E2047="Outlook",COUNTIF($E$2:E2047,"Outlook"),"")</f>
        <v/>
      </c>
      <c r="K2047">
        <f>IF(E2047="Domain",COUNTIF($E$2:E2047,"Domain"),"")</f>
        <v/>
      </c>
    </row>
    <row r="2048">
      <c r="A2048" s="2" t="n"/>
      <c r="B2048">
        <f>LOWER(TRIM(A2048))</f>
        <v/>
      </c>
      <c r="C2048">
        <f>IF(B2048="","",IFERROR(INDEX('Bad Patterns'!$A$2:$A$120,MATCH(1,INDEX(--ISNUMBER(SEARCH('Bad Patterns'!$A$2:$A$120,B2048)),0),0)),""))</f>
        <v/>
      </c>
      <c r="D2048">
        <f>IF(B2048="","",IF(C2048&lt;&gt;"","REMOVE","KEEP"))</f>
        <v/>
      </c>
      <c r="E2048">
        <f>IF(D2048&lt;&gt;"KEEP","",IF(RIGHT(B2048,10)="@gmail.com","Gmail",IF(OR(RIGHT(B2048,12)="@outlook.com",RIGHT(B2048,12)="@hotmail.com",RIGHT(B2048,9)="@live.com"),"Outlook","Domain")))</f>
        <v/>
      </c>
      <c r="F2048">
        <f>IF(B2048="","",IFERROR(RIGHT(B2048,LEN(B2048)-FIND("@",B2048)),""))</f>
        <v/>
      </c>
      <c r="G2048">
        <f>IF(D2048="KEEP",COUNTIF($D$2:D2048,"KEEP"),"")</f>
        <v/>
      </c>
      <c r="H2048">
        <f>IF(D2048="REMOVE",COUNTIF($D$2:D2048,"REMOVE"),"")</f>
        <v/>
      </c>
      <c r="I2048">
        <f>IF(E2048="Gmail",COUNTIF($E$2:E2048,"Gmail"),"")</f>
        <v/>
      </c>
      <c r="J2048">
        <f>IF(E2048="Outlook",COUNTIF($E$2:E2048,"Outlook"),"")</f>
        <v/>
      </c>
      <c r="K2048">
        <f>IF(E2048="Domain",COUNTIF($E$2:E2048,"Domain"),"")</f>
        <v/>
      </c>
    </row>
    <row r="2049">
      <c r="A2049" s="2" t="n"/>
      <c r="B2049">
        <f>LOWER(TRIM(A2049))</f>
        <v/>
      </c>
      <c r="C2049">
        <f>IF(B2049="","",IFERROR(INDEX('Bad Patterns'!$A$2:$A$120,MATCH(1,INDEX(--ISNUMBER(SEARCH('Bad Patterns'!$A$2:$A$120,B2049)),0),0)),""))</f>
        <v/>
      </c>
      <c r="D2049">
        <f>IF(B2049="","",IF(C2049&lt;&gt;"","REMOVE","KEEP"))</f>
        <v/>
      </c>
      <c r="E2049">
        <f>IF(D2049&lt;&gt;"KEEP","",IF(RIGHT(B2049,10)="@gmail.com","Gmail",IF(OR(RIGHT(B2049,12)="@outlook.com",RIGHT(B2049,12)="@hotmail.com",RIGHT(B2049,9)="@live.com"),"Outlook","Domain")))</f>
        <v/>
      </c>
      <c r="F2049">
        <f>IF(B2049="","",IFERROR(RIGHT(B2049,LEN(B2049)-FIND("@",B2049)),""))</f>
        <v/>
      </c>
      <c r="G2049">
        <f>IF(D2049="KEEP",COUNTIF($D$2:D2049,"KEEP"),"")</f>
        <v/>
      </c>
      <c r="H2049">
        <f>IF(D2049="REMOVE",COUNTIF($D$2:D2049,"REMOVE"),"")</f>
        <v/>
      </c>
      <c r="I2049">
        <f>IF(E2049="Gmail",COUNTIF($E$2:E2049,"Gmail"),"")</f>
        <v/>
      </c>
      <c r="J2049">
        <f>IF(E2049="Outlook",COUNTIF($E$2:E2049,"Outlook"),"")</f>
        <v/>
      </c>
      <c r="K2049">
        <f>IF(E2049="Domain",COUNTIF($E$2:E2049,"Domain"),"")</f>
        <v/>
      </c>
    </row>
    <row r="2050">
      <c r="A2050" s="2" t="n"/>
      <c r="B2050">
        <f>LOWER(TRIM(A2050))</f>
        <v/>
      </c>
      <c r="C2050">
        <f>IF(B2050="","",IFERROR(INDEX('Bad Patterns'!$A$2:$A$120,MATCH(1,INDEX(--ISNUMBER(SEARCH('Bad Patterns'!$A$2:$A$120,B2050)),0),0)),""))</f>
        <v/>
      </c>
      <c r="D2050">
        <f>IF(B2050="","",IF(C2050&lt;&gt;"","REMOVE","KEEP"))</f>
        <v/>
      </c>
      <c r="E2050">
        <f>IF(D2050&lt;&gt;"KEEP","",IF(RIGHT(B2050,10)="@gmail.com","Gmail",IF(OR(RIGHT(B2050,12)="@outlook.com",RIGHT(B2050,12)="@hotmail.com",RIGHT(B2050,9)="@live.com"),"Outlook","Domain")))</f>
        <v/>
      </c>
      <c r="F2050">
        <f>IF(B2050="","",IFERROR(RIGHT(B2050,LEN(B2050)-FIND("@",B2050)),""))</f>
        <v/>
      </c>
      <c r="G2050">
        <f>IF(D2050="KEEP",COUNTIF($D$2:D2050,"KEEP"),"")</f>
        <v/>
      </c>
      <c r="H2050">
        <f>IF(D2050="REMOVE",COUNTIF($D$2:D2050,"REMOVE"),"")</f>
        <v/>
      </c>
      <c r="I2050">
        <f>IF(E2050="Gmail",COUNTIF($E$2:E2050,"Gmail"),"")</f>
        <v/>
      </c>
      <c r="J2050">
        <f>IF(E2050="Outlook",COUNTIF($E$2:E2050,"Outlook"),"")</f>
        <v/>
      </c>
      <c r="K2050">
        <f>IF(E2050="Domain",COUNTIF($E$2:E2050,"Domain"),"")</f>
        <v/>
      </c>
    </row>
    <row r="2051">
      <c r="A2051" s="2" t="n"/>
      <c r="B2051">
        <f>LOWER(TRIM(A2051))</f>
        <v/>
      </c>
      <c r="C2051">
        <f>IF(B2051="","",IFERROR(INDEX('Bad Patterns'!$A$2:$A$120,MATCH(1,INDEX(--ISNUMBER(SEARCH('Bad Patterns'!$A$2:$A$120,B2051)),0),0)),""))</f>
        <v/>
      </c>
      <c r="D2051">
        <f>IF(B2051="","",IF(C2051&lt;&gt;"","REMOVE","KEEP"))</f>
        <v/>
      </c>
      <c r="E2051">
        <f>IF(D2051&lt;&gt;"KEEP","",IF(RIGHT(B2051,10)="@gmail.com","Gmail",IF(OR(RIGHT(B2051,12)="@outlook.com",RIGHT(B2051,12)="@hotmail.com",RIGHT(B2051,9)="@live.com"),"Outlook","Domain")))</f>
        <v/>
      </c>
      <c r="F2051">
        <f>IF(B2051="","",IFERROR(RIGHT(B2051,LEN(B2051)-FIND("@",B2051)),""))</f>
        <v/>
      </c>
      <c r="G2051">
        <f>IF(D2051="KEEP",COUNTIF($D$2:D2051,"KEEP"),"")</f>
        <v/>
      </c>
      <c r="H2051">
        <f>IF(D2051="REMOVE",COUNTIF($D$2:D2051,"REMOVE"),"")</f>
        <v/>
      </c>
      <c r="I2051">
        <f>IF(E2051="Gmail",COUNTIF($E$2:E2051,"Gmail"),"")</f>
        <v/>
      </c>
      <c r="J2051">
        <f>IF(E2051="Outlook",COUNTIF($E$2:E2051,"Outlook"),"")</f>
        <v/>
      </c>
      <c r="K2051">
        <f>IF(E2051="Domain",COUNTIF($E$2:E2051,"Domain"),"")</f>
        <v/>
      </c>
    </row>
    <row r="2052">
      <c r="A2052" s="2" t="n"/>
      <c r="B2052">
        <f>LOWER(TRIM(A2052))</f>
        <v/>
      </c>
      <c r="C2052">
        <f>IF(B2052="","",IFERROR(INDEX('Bad Patterns'!$A$2:$A$120,MATCH(1,INDEX(--ISNUMBER(SEARCH('Bad Patterns'!$A$2:$A$120,B2052)),0),0)),""))</f>
        <v/>
      </c>
      <c r="D2052">
        <f>IF(B2052="","",IF(C2052&lt;&gt;"","REMOVE","KEEP"))</f>
        <v/>
      </c>
      <c r="E2052">
        <f>IF(D2052&lt;&gt;"KEEP","",IF(RIGHT(B2052,10)="@gmail.com","Gmail",IF(OR(RIGHT(B2052,12)="@outlook.com",RIGHT(B2052,12)="@hotmail.com",RIGHT(B2052,9)="@live.com"),"Outlook","Domain")))</f>
        <v/>
      </c>
      <c r="F2052">
        <f>IF(B2052="","",IFERROR(RIGHT(B2052,LEN(B2052)-FIND("@",B2052)),""))</f>
        <v/>
      </c>
      <c r="G2052">
        <f>IF(D2052="KEEP",COUNTIF($D$2:D2052,"KEEP"),"")</f>
        <v/>
      </c>
      <c r="H2052">
        <f>IF(D2052="REMOVE",COUNTIF($D$2:D2052,"REMOVE"),"")</f>
        <v/>
      </c>
      <c r="I2052">
        <f>IF(E2052="Gmail",COUNTIF($E$2:E2052,"Gmail"),"")</f>
        <v/>
      </c>
      <c r="J2052">
        <f>IF(E2052="Outlook",COUNTIF($E$2:E2052,"Outlook"),"")</f>
        <v/>
      </c>
      <c r="K2052">
        <f>IF(E2052="Domain",COUNTIF($E$2:E2052,"Domain"),"")</f>
        <v/>
      </c>
    </row>
    <row r="2053">
      <c r="A2053" s="2" t="n"/>
      <c r="B2053">
        <f>LOWER(TRIM(A2053))</f>
        <v/>
      </c>
      <c r="C2053">
        <f>IF(B2053="","",IFERROR(INDEX('Bad Patterns'!$A$2:$A$120,MATCH(1,INDEX(--ISNUMBER(SEARCH('Bad Patterns'!$A$2:$A$120,B2053)),0),0)),""))</f>
        <v/>
      </c>
      <c r="D2053">
        <f>IF(B2053="","",IF(C2053&lt;&gt;"","REMOVE","KEEP"))</f>
        <v/>
      </c>
      <c r="E2053">
        <f>IF(D2053&lt;&gt;"KEEP","",IF(RIGHT(B2053,10)="@gmail.com","Gmail",IF(OR(RIGHT(B2053,12)="@outlook.com",RIGHT(B2053,12)="@hotmail.com",RIGHT(B2053,9)="@live.com"),"Outlook","Domain")))</f>
        <v/>
      </c>
      <c r="F2053">
        <f>IF(B2053="","",IFERROR(RIGHT(B2053,LEN(B2053)-FIND("@",B2053)),""))</f>
        <v/>
      </c>
      <c r="G2053">
        <f>IF(D2053="KEEP",COUNTIF($D$2:D2053,"KEEP"),"")</f>
        <v/>
      </c>
      <c r="H2053">
        <f>IF(D2053="REMOVE",COUNTIF($D$2:D2053,"REMOVE"),"")</f>
        <v/>
      </c>
      <c r="I2053">
        <f>IF(E2053="Gmail",COUNTIF($E$2:E2053,"Gmail"),"")</f>
        <v/>
      </c>
      <c r="J2053">
        <f>IF(E2053="Outlook",COUNTIF($E$2:E2053,"Outlook"),"")</f>
        <v/>
      </c>
      <c r="K2053">
        <f>IF(E2053="Domain",COUNTIF($E$2:E2053,"Domain"),"")</f>
        <v/>
      </c>
    </row>
    <row r="2054">
      <c r="A2054" s="2" t="n"/>
      <c r="B2054">
        <f>LOWER(TRIM(A2054))</f>
        <v/>
      </c>
      <c r="C2054">
        <f>IF(B2054="","",IFERROR(INDEX('Bad Patterns'!$A$2:$A$120,MATCH(1,INDEX(--ISNUMBER(SEARCH('Bad Patterns'!$A$2:$A$120,B2054)),0),0)),""))</f>
        <v/>
      </c>
      <c r="D2054">
        <f>IF(B2054="","",IF(C2054&lt;&gt;"","REMOVE","KEEP"))</f>
        <v/>
      </c>
      <c r="E2054">
        <f>IF(D2054&lt;&gt;"KEEP","",IF(RIGHT(B2054,10)="@gmail.com","Gmail",IF(OR(RIGHT(B2054,12)="@outlook.com",RIGHT(B2054,12)="@hotmail.com",RIGHT(B2054,9)="@live.com"),"Outlook","Domain")))</f>
        <v/>
      </c>
      <c r="F2054">
        <f>IF(B2054="","",IFERROR(RIGHT(B2054,LEN(B2054)-FIND("@",B2054)),""))</f>
        <v/>
      </c>
      <c r="G2054">
        <f>IF(D2054="KEEP",COUNTIF($D$2:D2054,"KEEP"),"")</f>
        <v/>
      </c>
      <c r="H2054">
        <f>IF(D2054="REMOVE",COUNTIF($D$2:D2054,"REMOVE"),"")</f>
        <v/>
      </c>
      <c r="I2054">
        <f>IF(E2054="Gmail",COUNTIF($E$2:E2054,"Gmail"),"")</f>
        <v/>
      </c>
      <c r="J2054">
        <f>IF(E2054="Outlook",COUNTIF($E$2:E2054,"Outlook"),"")</f>
        <v/>
      </c>
      <c r="K2054">
        <f>IF(E2054="Domain",COUNTIF($E$2:E2054,"Domain"),"")</f>
        <v/>
      </c>
    </row>
    <row r="2055">
      <c r="A2055" s="2" t="n"/>
      <c r="B2055">
        <f>LOWER(TRIM(A2055))</f>
        <v/>
      </c>
      <c r="C2055">
        <f>IF(B2055="","",IFERROR(INDEX('Bad Patterns'!$A$2:$A$120,MATCH(1,INDEX(--ISNUMBER(SEARCH('Bad Patterns'!$A$2:$A$120,B2055)),0),0)),""))</f>
        <v/>
      </c>
      <c r="D2055">
        <f>IF(B2055="","",IF(C2055&lt;&gt;"","REMOVE","KEEP"))</f>
        <v/>
      </c>
      <c r="E2055">
        <f>IF(D2055&lt;&gt;"KEEP","",IF(RIGHT(B2055,10)="@gmail.com","Gmail",IF(OR(RIGHT(B2055,12)="@outlook.com",RIGHT(B2055,12)="@hotmail.com",RIGHT(B2055,9)="@live.com"),"Outlook","Domain")))</f>
        <v/>
      </c>
      <c r="F2055">
        <f>IF(B2055="","",IFERROR(RIGHT(B2055,LEN(B2055)-FIND("@",B2055)),""))</f>
        <v/>
      </c>
      <c r="G2055">
        <f>IF(D2055="KEEP",COUNTIF($D$2:D2055,"KEEP"),"")</f>
        <v/>
      </c>
      <c r="H2055">
        <f>IF(D2055="REMOVE",COUNTIF($D$2:D2055,"REMOVE"),"")</f>
        <v/>
      </c>
      <c r="I2055">
        <f>IF(E2055="Gmail",COUNTIF($E$2:E2055,"Gmail"),"")</f>
        <v/>
      </c>
      <c r="J2055">
        <f>IF(E2055="Outlook",COUNTIF($E$2:E2055,"Outlook"),"")</f>
        <v/>
      </c>
      <c r="K2055">
        <f>IF(E2055="Domain",COUNTIF($E$2:E2055,"Domain"),"")</f>
        <v/>
      </c>
    </row>
    <row r="2056">
      <c r="A2056" s="2" t="n"/>
      <c r="B2056">
        <f>LOWER(TRIM(A2056))</f>
        <v/>
      </c>
      <c r="C2056">
        <f>IF(B2056="","",IFERROR(INDEX('Bad Patterns'!$A$2:$A$120,MATCH(1,INDEX(--ISNUMBER(SEARCH('Bad Patterns'!$A$2:$A$120,B2056)),0),0)),""))</f>
        <v/>
      </c>
      <c r="D2056">
        <f>IF(B2056="","",IF(C2056&lt;&gt;"","REMOVE","KEEP"))</f>
        <v/>
      </c>
      <c r="E2056">
        <f>IF(D2056&lt;&gt;"KEEP","",IF(RIGHT(B2056,10)="@gmail.com","Gmail",IF(OR(RIGHT(B2056,12)="@outlook.com",RIGHT(B2056,12)="@hotmail.com",RIGHT(B2056,9)="@live.com"),"Outlook","Domain")))</f>
        <v/>
      </c>
      <c r="F2056">
        <f>IF(B2056="","",IFERROR(RIGHT(B2056,LEN(B2056)-FIND("@",B2056)),""))</f>
        <v/>
      </c>
      <c r="G2056">
        <f>IF(D2056="KEEP",COUNTIF($D$2:D2056,"KEEP"),"")</f>
        <v/>
      </c>
      <c r="H2056">
        <f>IF(D2056="REMOVE",COUNTIF($D$2:D2056,"REMOVE"),"")</f>
        <v/>
      </c>
      <c r="I2056">
        <f>IF(E2056="Gmail",COUNTIF($E$2:E2056,"Gmail"),"")</f>
        <v/>
      </c>
      <c r="J2056">
        <f>IF(E2056="Outlook",COUNTIF($E$2:E2056,"Outlook"),"")</f>
        <v/>
      </c>
      <c r="K2056">
        <f>IF(E2056="Domain",COUNTIF($E$2:E2056,"Domain"),"")</f>
        <v/>
      </c>
    </row>
    <row r="2057">
      <c r="A2057" s="2" t="n"/>
      <c r="B2057">
        <f>LOWER(TRIM(A2057))</f>
        <v/>
      </c>
      <c r="C2057">
        <f>IF(B2057="","",IFERROR(INDEX('Bad Patterns'!$A$2:$A$120,MATCH(1,INDEX(--ISNUMBER(SEARCH('Bad Patterns'!$A$2:$A$120,B2057)),0),0)),""))</f>
        <v/>
      </c>
      <c r="D2057">
        <f>IF(B2057="","",IF(C2057&lt;&gt;"","REMOVE","KEEP"))</f>
        <v/>
      </c>
      <c r="E2057">
        <f>IF(D2057&lt;&gt;"KEEP","",IF(RIGHT(B2057,10)="@gmail.com","Gmail",IF(OR(RIGHT(B2057,12)="@outlook.com",RIGHT(B2057,12)="@hotmail.com",RIGHT(B2057,9)="@live.com"),"Outlook","Domain")))</f>
        <v/>
      </c>
      <c r="F2057">
        <f>IF(B2057="","",IFERROR(RIGHT(B2057,LEN(B2057)-FIND("@",B2057)),""))</f>
        <v/>
      </c>
      <c r="G2057">
        <f>IF(D2057="KEEP",COUNTIF($D$2:D2057,"KEEP"),"")</f>
        <v/>
      </c>
      <c r="H2057">
        <f>IF(D2057="REMOVE",COUNTIF($D$2:D2057,"REMOVE"),"")</f>
        <v/>
      </c>
      <c r="I2057">
        <f>IF(E2057="Gmail",COUNTIF($E$2:E2057,"Gmail"),"")</f>
        <v/>
      </c>
      <c r="J2057">
        <f>IF(E2057="Outlook",COUNTIF($E$2:E2057,"Outlook"),"")</f>
        <v/>
      </c>
      <c r="K2057">
        <f>IF(E2057="Domain",COUNTIF($E$2:E2057,"Domain"),"")</f>
        <v/>
      </c>
    </row>
    <row r="2058">
      <c r="A2058" s="2" t="n"/>
      <c r="B2058">
        <f>LOWER(TRIM(A2058))</f>
        <v/>
      </c>
      <c r="C2058">
        <f>IF(B2058="","",IFERROR(INDEX('Bad Patterns'!$A$2:$A$120,MATCH(1,INDEX(--ISNUMBER(SEARCH('Bad Patterns'!$A$2:$A$120,B2058)),0),0)),""))</f>
        <v/>
      </c>
      <c r="D2058">
        <f>IF(B2058="","",IF(C2058&lt;&gt;"","REMOVE","KEEP"))</f>
        <v/>
      </c>
      <c r="E2058">
        <f>IF(D2058&lt;&gt;"KEEP","",IF(RIGHT(B2058,10)="@gmail.com","Gmail",IF(OR(RIGHT(B2058,12)="@outlook.com",RIGHT(B2058,12)="@hotmail.com",RIGHT(B2058,9)="@live.com"),"Outlook","Domain")))</f>
        <v/>
      </c>
      <c r="F2058">
        <f>IF(B2058="","",IFERROR(RIGHT(B2058,LEN(B2058)-FIND("@",B2058)),""))</f>
        <v/>
      </c>
      <c r="G2058">
        <f>IF(D2058="KEEP",COUNTIF($D$2:D2058,"KEEP"),"")</f>
        <v/>
      </c>
      <c r="H2058">
        <f>IF(D2058="REMOVE",COUNTIF($D$2:D2058,"REMOVE"),"")</f>
        <v/>
      </c>
      <c r="I2058">
        <f>IF(E2058="Gmail",COUNTIF($E$2:E2058,"Gmail"),"")</f>
        <v/>
      </c>
      <c r="J2058">
        <f>IF(E2058="Outlook",COUNTIF($E$2:E2058,"Outlook"),"")</f>
        <v/>
      </c>
      <c r="K2058">
        <f>IF(E2058="Domain",COUNTIF($E$2:E2058,"Domain"),"")</f>
        <v/>
      </c>
    </row>
    <row r="2059">
      <c r="A2059" s="2" t="n"/>
      <c r="B2059">
        <f>LOWER(TRIM(A2059))</f>
        <v/>
      </c>
      <c r="C2059">
        <f>IF(B2059="","",IFERROR(INDEX('Bad Patterns'!$A$2:$A$120,MATCH(1,INDEX(--ISNUMBER(SEARCH('Bad Patterns'!$A$2:$A$120,B2059)),0),0)),""))</f>
        <v/>
      </c>
      <c r="D2059">
        <f>IF(B2059="","",IF(C2059&lt;&gt;"","REMOVE","KEEP"))</f>
        <v/>
      </c>
      <c r="E2059">
        <f>IF(D2059&lt;&gt;"KEEP","",IF(RIGHT(B2059,10)="@gmail.com","Gmail",IF(OR(RIGHT(B2059,12)="@outlook.com",RIGHT(B2059,12)="@hotmail.com",RIGHT(B2059,9)="@live.com"),"Outlook","Domain")))</f>
        <v/>
      </c>
      <c r="F2059">
        <f>IF(B2059="","",IFERROR(RIGHT(B2059,LEN(B2059)-FIND("@",B2059)),""))</f>
        <v/>
      </c>
      <c r="G2059">
        <f>IF(D2059="KEEP",COUNTIF($D$2:D2059,"KEEP"),"")</f>
        <v/>
      </c>
      <c r="H2059">
        <f>IF(D2059="REMOVE",COUNTIF($D$2:D2059,"REMOVE"),"")</f>
        <v/>
      </c>
      <c r="I2059">
        <f>IF(E2059="Gmail",COUNTIF($E$2:E2059,"Gmail"),"")</f>
        <v/>
      </c>
      <c r="J2059">
        <f>IF(E2059="Outlook",COUNTIF($E$2:E2059,"Outlook"),"")</f>
        <v/>
      </c>
      <c r="K2059">
        <f>IF(E2059="Domain",COUNTIF($E$2:E2059,"Domain"),"")</f>
        <v/>
      </c>
    </row>
    <row r="2060">
      <c r="A2060" s="2" t="n"/>
      <c r="B2060">
        <f>LOWER(TRIM(A2060))</f>
        <v/>
      </c>
      <c r="C2060">
        <f>IF(B2060="","",IFERROR(INDEX('Bad Patterns'!$A$2:$A$120,MATCH(1,INDEX(--ISNUMBER(SEARCH('Bad Patterns'!$A$2:$A$120,B2060)),0),0)),""))</f>
        <v/>
      </c>
      <c r="D2060">
        <f>IF(B2060="","",IF(C2060&lt;&gt;"","REMOVE","KEEP"))</f>
        <v/>
      </c>
      <c r="E2060">
        <f>IF(D2060&lt;&gt;"KEEP","",IF(RIGHT(B2060,10)="@gmail.com","Gmail",IF(OR(RIGHT(B2060,12)="@outlook.com",RIGHT(B2060,12)="@hotmail.com",RIGHT(B2060,9)="@live.com"),"Outlook","Domain")))</f>
        <v/>
      </c>
      <c r="F2060">
        <f>IF(B2060="","",IFERROR(RIGHT(B2060,LEN(B2060)-FIND("@",B2060)),""))</f>
        <v/>
      </c>
      <c r="G2060">
        <f>IF(D2060="KEEP",COUNTIF($D$2:D2060,"KEEP"),"")</f>
        <v/>
      </c>
      <c r="H2060">
        <f>IF(D2060="REMOVE",COUNTIF($D$2:D2060,"REMOVE"),"")</f>
        <v/>
      </c>
      <c r="I2060">
        <f>IF(E2060="Gmail",COUNTIF($E$2:E2060,"Gmail"),"")</f>
        <v/>
      </c>
      <c r="J2060">
        <f>IF(E2060="Outlook",COUNTIF($E$2:E2060,"Outlook"),"")</f>
        <v/>
      </c>
      <c r="K2060">
        <f>IF(E2060="Domain",COUNTIF($E$2:E2060,"Domain"),"")</f>
        <v/>
      </c>
    </row>
    <row r="2061">
      <c r="A2061" s="2" t="n"/>
      <c r="B2061">
        <f>LOWER(TRIM(A2061))</f>
        <v/>
      </c>
      <c r="C2061">
        <f>IF(B2061="","",IFERROR(INDEX('Bad Patterns'!$A$2:$A$120,MATCH(1,INDEX(--ISNUMBER(SEARCH('Bad Patterns'!$A$2:$A$120,B2061)),0),0)),""))</f>
        <v/>
      </c>
      <c r="D2061">
        <f>IF(B2061="","",IF(C2061&lt;&gt;"","REMOVE","KEEP"))</f>
        <v/>
      </c>
      <c r="E2061">
        <f>IF(D2061&lt;&gt;"KEEP","",IF(RIGHT(B2061,10)="@gmail.com","Gmail",IF(OR(RIGHT(B2061,12)="@outlook.com",RIGHT(B2061,12)="@hotmail.com",RIGHT(B2061,9)="@live.com"),"Outlook","Domain")))</f>
        <v/>
      </c>
      <c r="F2061">
        <f>IF(B2061="","",IFERROR(RIGHT(B2061,LEN(B2061)-FIND("@",B2061)),""))</f>
        <v/>
      </c>
      <c r="G2061">
        <f>IF(D2061="KEEP",COUNTIF($D$2:D2061,"KEEP"),"")</f>
        <v/>
      </c>
      <c r="H2061">
        <f>IF(D2061="REMOVE",COUNTIF($D$2:D2061,"REMOVE"),"")</f>
        <v/>
      </c>
      <c r="I2061">
        <f>IF(E2061="Gmail",COUNTIF($E$2:E2061,"Gmail"),"")</f>
        <v/>
      </c>
      <c r="J2061">
        <f>IF(E2061="Outlook",COUNTIF($E$2:E2061,"Outlook"),"")</f>
        <v/>
      </c>
      <c r="K2061">
        <f>IF(E2061="Domain",COUNTIF($E$2:E2061,"Domain"),"")</f>
        <v/>
      </c>
    </row>
    <row r="2062">
      <c r="A2062" s="2" t="n"/>
      <c r="B2062">
        <f>LOWER(TRIM(A2062))</f>
        <v/>
      </c>
      <c r="C2062">
        <f>IF(B2062="","",IFERROR(INDEX('Bad Patterns'!$A$2:$A$120,MATCH(1,INDEX(--ISNUMBER(SEARCH('Bad Patterns'!$A$2:$A$120,B2062)),0),0)),""))</f>
        <v/>
      </c>
      <c r="D2062">
        <f>IF(B2062="","",IF(C2062&lt;&gt;"","REMOVE","KEEP"))</f>
        <v/>
      </c>
      <c r="E2062">
        <f>IF(D2062&lt;&gt;"KEEP","",IF(RIGHT(B2062,10)="@gmail.com","Gmail",IF(OR(RIGHT(B2062,12)="@outlook.com",RIGHT(B2062,12)="@hotmail.com",RIGHT(B2062,9)="@live.com"),"Outlook","Domain")))</f>
        <v/>
      </c>
      <c r="F2062">
        <f>IF(B2062="","",IFERROR(RIGHT(B2062,LEN(B2062)-FIND("@",B2062)),""))</f>
        <v/>
      </c>
      <c r="G2062">
        <f>IF(D2062="KEEP",COUNTIF($D$2:D2062,"KEEP"),"")</f>
        <v/>
      </c>
      <c r="H2062">
        <f>IF(D2062="REMOVE",COUNTIF($D$2:D2062,"REMOVE"),"")</f>
        <v/>
      </c>
      <c r="I2062">
        <f>IF(E2062="Gmail",COUNTIF($E$2:E2062,"Gmail"),"")</f>
        <v/>
      </c>
      <c r="J2062">
        <f>IF(E2062="Outlook",COUNTIF($E$2:E2062,"Outlook"),"")</f>
        <v/>
      </c>
      <c r="K2062">
        <f>IF(E2062="Domain",COUNTIF($E$2:E2062,"Domain"),"")</f>
        <v/>
      </c>
    </row>
    <row r="2063">
      <c r="A2063" s="2" t="n"/>
      <c r="B2063">
        <f>LOWER(TRIM(A2063))</f>
        <v/>
      </c>
      <c r="C2063">
        <f>IF(B2063="","",IFERROR(INDEX('Bad Patterns'!$A$2:$A$120,MATCH(1,INDEX(--ISNUMBER(SEARCH('Bad Patterns'!$A$2:$A$120,B2063)),0),0)),""))</f>
        <v/>
      </c>
      <c r="D2063">
        <f>IF(B2063="","",IF(C2063&lt;&gt;"","REMOVE","KEEP"))</f>
        <v/>
      </c>
      <c r="E2063">
        <f>IF(D2063&lt;&gt;"KEEP","",IF(RIGHT(B2063,10)="@gmail.com","Gmail",IF(OR(RIGHT(B2063,12)="@outlook.com",RIGHT(B2063,12)="@hotmail.com",RIGHT(B2063,9)="@live.com"),"Outlook","Domain")))</f>
        <v/>
      </c>
      <c r="F2063">
        <f>IF(B2063="","",IFERROR(RIGHT(B2063,LEN(B2063)-FIND("@",B2063)),""))</f>
        <v/>
      </c>
      <c r="G2063">
        <f>IF(D2063="KEEP",COUNTIF($D$2:D2063,"KEEP"),"")</f>
        <v/>
      </c>
      <c r="H2063">
        <f>IF(D2063="REMOVE",COUNTIF($D$2:D2063,"REMOVE"),"")</f>
        <v/>
      </c>
      <c r="I2063">
        <f>IF(E2063="Gmail",COUNTIF($E$2:E2063,"Gmail"),"")</f>
        <v/>
      </c>
      <c r="J2063">
        <f>IF(E2063="Outlook",COUNTIF($E$2:E2063,"Outlook"),"")</f>
        <v/>
      </c>
      <c r="K2063">
        <f>IF(E2063="Domain",COUNTIF($E$2:E2063,"Domain"),"")</f>
        <v/>
      </c>
    </row>
    <row r="2064">
      <c r="A2064" s="2" t="n"/>
      <c r="B2064">
        <f>LOWER(TRIM(A2064))</f>
        <v/>
      </c>
      <c r="C2064">
        <f>IF(B2064="","",IFERROR(INDEX('Bad Patterns'!$A$2:$A$120,MATCH(1,INDEX(--ISNUMBER(SEARCH('Bad Patterns'!$A$2:$A$120,B2064)),0),0)),""))</f>
        <v/>
      </c>
      <c r="D2064">
        <f>IF(B2064="","",IF(C2064&lt;&gt;"","REMOVE","KEEP"))</f>
        <v/>
      </c>
      <c r="E2064">
        <f>IF(D2064&lt;&gt;"KEEP","",IF(RIGHT(B2064,10)="@gmail.com","Gmail",IF(OR(RIGHT(B2064,12)="@outlook.com",RIGHT(B2064,12)="@hotmail.com",RIGHT(B2064,9)="@live.com"),"Outlook","Domain")))</f>
        <v/>
      </c>
      <c r="F2064">
        <f>IF(B2064="","",IFERROR(RIGHT(B2064,LEN(B2064)-FIND("@",B2064)),""))</f>
        <v/>
      </c>
      <c r="G2064">
        <f>IF(D2064="KEEP",COUNTIF($D$2:D2064,"KEEP"),"")</f>
        <v/>
      </c>
      <c r="H2064">
        <f>IF(D2064="REMOVE",COUNTIF($D$2:D2064,"REMOVE"),"")</f>
        <v/>
      </c>
      <c r="I2064">
        <f>IF(E2064="Gmail",COUNTIF($E$2:E2064,"Gmail"),"")</f>
        <v/>
      </c>
      <c r="J2064">
        <f>IF(E2064="Outlook",COUNTIF($E$2:E2064,"Outlook"),"")</f>
        <v/>
      </c>
      <c r="K2064">
        <f>IF(E2064="Domain",COUNTIF($E$2:E2064,"Domain"),"")</f>
        <v/>
      </c>
    </row>
    <row r="2065">
      <c r="A2065" s="2" t="n"/>
      <c r="B2065">
        <f>LOWER(TRIM(A2065))</f>
        <v/>
      </c>
      <c r="C2065">
        <f>IF(B2065="","",IFERROR(INDEX('Bad Patterns'!$A$2:$A$120,MATCH(1,INDEX(--ISNUMBER(SEARCH('Bad Patterns'!$A$2:$A$120,B2065)),0),0)),""))</f>
        <v/>
      </c>
      <c r="D2065">
        <f>IF(B2065="","",IF(C2065&lt;&gt;"","REMOVE","KEEP"))</f>
        <v/>
      </c>
      <c r="E2065">
        <f>IF(D2065&lt;&gt;"KEEP","",IF(RIGHT(B2065,10)="@gmail.com","Gmail",IF(OR(RIGHT(B2065,12)="@outlook.com",RIGHT(B2065,12)="@hotmail.com",RIGHT(B2065,9)="@live.com"),"Outlook","Domain")))</f>
        <v/>
      </c>
      <c r="F2065">
        <f>IF(B2065="","",IFERROR(RIGHT(B2065,LEN(B2065)-FIND("@",B2065)),""))</f>
        <v/>
      </c>
      <c r="G2065">
        <f>IF(D2065="KEEP",COUNTIF($D$2:D2065,"KEEP"),"")</f>
        <v/>
      </c>
      <c r="H2065">
        <f>IF(D2065="REMOVE",COUNTIF($D$2:D2065,"REMOVE"),"")</f>
        <v/>
      </c>
      <c r="I2065">
        <f>IF(E2065="Gmail",COUNTIF($E$2:E2065,"Gmail"),"")</f>
        <v/>
      </c>
      <c r="J2065">
        <f>IF(E2065="Outlook",COUNTIF($E$2:E2065,"Outlook"),"")</f>
        <v/>
      </c>
      <c r="K2065">
        <f>IF(E2065="Domain",COUNTIF($E$2:E2065,"Domain"),"")</f>
        <v/>
      </c>
    </row>
    <row r="2066">
      <c r="A2066" s="2" t="n"/>
      <c r="B2066">
        <f>LOWER(TRIM(A2066))</f>
        <v/>
      </c>
      <c r="C2066">
        <f>IF(B2066="","",IFERROR(INDEX('Bad Patterns'!$A$2:$A$120,MATCH(1,INDEX(--ISNUMBER(SEARCH('Bad Patterns'!$A$2:$A$120,B2066)),0),0)),""))</f>
        <v/>
      </c>
      <c r="D2066">
        <f>IF(B2066="","",IF(C2066&lt;&gt;"","REMOVE","KEEP"))</f>
        <v/>
      </c>
      <c r="E2066">
        <f>IF(D2066&lt;&gt;"KEEP","",IF(RIGHT(B2066,10)="@gmail.com","Gmail",IF(OR(RIGHT(B2066,12)="@outlook.com",RIGHT(B2066,12)="@hotmail.com",RIGHT(B2066,9)="@live.com"),"Outlook","Domain")))</f>
        <v/>
      </c>
      <c r="F2066">
        <f>IF(B2066="","",IFERROR(RIGHT(B2066,LEN(B2066)-FIND("@",B2066)),""))</f>
        <v/>
      </c>
      <c r="G2066">
        <f>IF(D2066="KEEP",COUNTIF($D$2:D2066,"KEEP"),"")</f>
        <v/>
      </c>
      <c r="H2066">
        <f>IF(D2066="REMOVE",COUNTIF($D$2:D2066,"REMOVE"),"")</f>
        <v/>
      </c>
      <c r="I2066">
        <f>IF(E2066="Gmail",COUNTIF($E$2:E2066,"Gmail"),"")</f>
        <v/>
      </c>
      <c r="J2066">
        <f>IF(E2066="Outlook",COUNTIF($E$2:E2066,"Outlook"),"")</f>
        <v/>
      </c>
      <c r="K2066">
        <f>IF(E2066="Domain",COUNTIF($E$2:E2066,"Domain"),"")</f>
        <v/>
      </c>
    </row>
    <row r="2067">
      <c r="A2067" s="2" t="n"/>
      <c r="B2067">
        <f>LOWER(TRIM(A2067))</f>
        <v/>
      </c>
      <c r="C2067">
        <f>IF(B2067="","",IFERROR(INDEX('Bad Patterns'!$A$2:$A$120,MATCH(1,INDEX(--ISNUMBER(SEARCH('Bad Patterns'!$A$2:$A$120,B2067)),0),0)),""))</f>
        <v/>
      </c>
      <c r="D2067">
        <f>IF(B2067="","",IF(C2067&lt;&gt;"","REMOVE","KEEP"))</f>
        <v/>
      </c>
      <c r="E2067">
        <f>IF(D2067&lt;&gt;"KEEP","",IF(RIGHT(B2067,10)="@gmail.com","Gmail",IF(OR(RIGHT(B2067,12)="@outlook.com",RIGHT(B2067,12)="@hotmail.com",RIGHT(B2067,9)="@live.com"),"Outlook","Domain")))</f>
        <v/>
      </c>
      <c r="F2067">
        <f>IF(B2067="","",IFERROR(RIGHT(B2067,LEN(B2067)-FIND("@",B2067)),""))</f>
        <v/>
      </c>
      <c r="G2067">
        <f>IF(D2067="KEEP",COUNTIF($D$2:D2067,"KEEP"),"")</f>
        <v/>
      </c>
      <c r="H2067">
        <f>IF(D2067="REMOVE",COUNTIF($D$2:D2067,"REMOVE"),"")</f>
        <v/>
      </c>
      <c r="I2067">
        <f>IF(E2067="Gmail",COUNTIF($E$2:E2067,"Gmail"),"")</f>
        <v/>
      </c>
      <c r="J2067">
        <f>IF(E2067="Outlook",COUNTIF($E$2:E2067,"Outlook"),"")</f>
        <v/>
      </c>
      <c r="K2067">
        <f>IF(E2067="Domain",COUNTIF($E$2:E2067,"Domain"),"")</f>
        <v/>
      </c>
    </row>
    <row r="2068">
      <c r="A2068" s="2" t="n"/>
      <c r="B2068">
        <f>LOWER(TRIM(A2068))</f>
        <v/>
      </c>
      <c r="C2068">
        <f>IF(B2068="","",IFERROR(INDEX('Bad Patterns'!$A$2:$A$120,MATCH(1,INDEX(--ISNUMBER(SEARCH('Bad Patterns'!$A$2:$A$120,B2068)),0),0)),""))</f>
        <v/>
      </c>
      <c r="D2068">
        <f>IF(B2068="","",IF(C2068&lt;&gt;"","REMOVE","KEEP"))</f>
        <v/>
      </c>
      <c r="E2068">
        <f>IF(D2068&lt;&gt;"KEEP","",IF(RIGHT(B2068,10)="@gmail.com","Gmail",IF(OR(RIGHT(B2068,12)="@outlook.com",RIGHT(B2068,12)="@hotmail.com",RIGHT(B2068,9)="@live.com"),"Outlook","Domain")))</f>
        <v/>
      </c>
      <c r="F2068">
        <f>IF(B2068="","",IFERROR(RIGHT(B2068,LEN(B2068)-FIND("@",B2068)),""))</f>
        <v/>
      </c>
      <c r="G2068">
        <f>IF(D2068="KEEP",COUNTIF($D$2:D2068,"KEEP"),"")</f>
        <v/>
      </c>
      <c r="H2068">
        <f>IF(D2068="REMOVE",COUNTIF($D$2:D2068,"REMOVE"),"")</f>
        <v/>
      </c>
      <c r="I2068">
        <f>IF(E2068="Gmail",COUNTIF($E$2:E2068,"Gmail"),"")</f>
        <v/>
      </c>
      <c r="J2068">
        <f>IF(E2068="Outlook",COUNTIF($E$2:E2068,"Outlook"),"")</f>
        <v/>
      </c>
      <c r="K2068">
        <f>IF(E2068="Domain",COUNTIF($E$2:E2068,"Domain"),"")</f>
        <v/>
      </c>
    </row>
    <row r="2069">
      <c r="A2069" s="2" t="n"/>
      <c r="B2069">
        <f>LOWER(TRIM(A2069))</f>
        <v/>
      </c>
      <c r="C2069">
        <f>IF(B2069="","",IFERROR(INDEX('Bad Patterns'!$A$2:$A$120,MATCH(1,INDEX(--ISNUMBER(SEARCH('Bad Patterns'!$A$2:$A$120,B2069)),0),0)),""))</f>
        <v/>
      </c>
      <c r="D2069">
        <f>IF(B2069="","",IF(C2069&lt;&gt;"","REMOVE","KEEP"))</f>
        <v/>
      </c>
      <c r="E2069">
        <f>IF(D2069&lt;&gt;"KEEP","",IF(RIGHT(B2069,10)="@gmail.com","Gmail",IF(OR(RIGHT(B2069,12)="@outlook.com",RIGHT(B2069,12)="@hotmail.com",RIGHT(B2069,9)="@live.com"),"Outlook","Domain")))</f>
        <v/>
      </c>
      <c r="F2069">
        <f>IF(B2069="","",IFERROR(RIGHT(B2069,LEN(B2069)-FIND("@",B2069)),""))</f>
        <v/>
      </c>
      <c r="G2069">
        <f>IF(D2069="KEEP",COUNTIF($D$2:D2069,"KEEP"),"")</f>
        <v/>
      </c>
      <c r="H2069">
        <f>IF(D2069="REMOVE",COUNTIF($D$2:D2069,"REMOVE"),"")</f>
        <v/>
      </c>
      <c r="I2069">
        <f>IF(E2069="Gmail",COUNTIF($E$2:E2069,"Gmail"),"")</f>
        <v/>
      </c>
      <c r="J2069">
        <f>IF(E2069="Outlook",COUNTIF($E$2:E2069,"Outlook"),"")</f>
        <v/>
      </c>
      <c r="K2069">
        <f>IF(E2069="Domain",COUNTIF($E$2:E2069,"Domain"),"")</f>
        <v/>
      </c>
    </row>
    <row r="2070">
      <c r="A2070" s="2" t="n"/>
      <c r="B2070">
        <f>LOWER(TRIM(A2070))</f>
        <v/>
      </c>
      <c r="C2070">
        <f>IF(B2070="","",IFERROR(INDEX('Bad Patterns'!$A$2:$A$120,MATCH(1,INDEX(--ISNUMBER(SEARCH('Bad Patterns'!$A$2:$A$120,B2070)),0),0)),""))</f>
        <v/>
      </c>
      <c r="D2070">
        <f>IF(B2070="","",IF(C2070&lt;&gt;"","REMOVE","KEEP"))</f>
        <v/>
      </c>
      <c r="E2070">
        <f>IF(D2070&lt;&gt;"KEEP","",IF(RIGHT(B2070,10)="@gmail.com","Gmail",IF(OR(RIGHT(B2070,12)="@outlook.com",RIGHT(B2070,12)="@hotmail.com",RIGHT(B2070,9)="@live.com"),"Outlook","Domain")))</f>
        <v/>
      </c>
      <c r="F2070">
        <f>IF(B2070="","",IFERROR(RIGHT(B2070,LEN(B2070)-FIND("@",B2070)),""))</f>
        <v/>
      </c>
      <c r="G2070">
        <f>IF(D2070="KEEP",COUNTIF($D$2:D2070,"KEEP"),"")</f>
        <v/>
      </c>
      <c r="H2070">
        <f>IF(D2070="REMOVE",COUNTIF($D$2:D2070,"REMOVE"),"")</f>
        <v/>
      </c>
      <c r="I2070">
        <f>IF(E2070="Gmail",COUNTIF($E$2:E2070,"Gmail"),"")</f>
        <v/>
      </c>
      <c r="J2070">
        <f>IF(E2070="Outlook",COUNTIF($E$2:E2070,"Outlook"),"")</f>
        <v/>
      </c>
      <c r="K2070">
        <f>IF(E2070="Domain",COUNTIF($E$2:E2070,"Domain"),"")</f>
        <v/>
      </c>
    </row>
    <row r="2071">
      <c r="A2071" s="2" t="n"/>
      <c r="B2071">
        <f>LOWER(TRIM(A2071))</f>
        <v/>
      </c>
      <c r="C2071">
        <f>IF(B2071="","",IFERROR(INDEX('Bad Patterns'!$A$2:$A$120,MATCH(1,INDEX(--ISNUMBER(SEARCH('Bad Patterns'!$A$2:$A$120,B2071)),0),0)),""))</f>
        <v/>
      </c>
      <c r="D2071">
        <f>IF(B2071="","",IF(C2071&lt;&gt;"","REMOVE","KEEP"))</f>
        <v/>
      </c>
      <c r="E2071">
        <f>IF(D2071&lt;&gt;"KEEP","",IF(RIGHT(B2071,10)="@gmail.com","Gmail",IF(OR(RIGHT(B2071,12)="@outlook.com",RIGHT(B2071,12)="@hotmail.com",RIGHT(B2071,9)="@live.com"),"Outlook","Domain")))</f>
        <v/>
      </c>
      <c r="F2071">
        <f>IF(B2071="","",IFERROR(RIGHT(B2071,LEN(B2071)-FIND("@",B2071)),""))</f>
        <v/>
      </c>
      <c r="G2071">
        <f>IF(D2071="KEEP",COUNTIF($D$2:D2071,"KEEP"),"")</f>
        <v/>
      </c>
      <c r="H2071">
        <f>IF(D2071="REMOVE",COUNTIF($D$2:D2071,"REMOVE"),"")</f>
        <v/>
      </c>
      <c r="I2071">
        <f>IF(E2071="Gmail",COUNTIF($E$2:E2071,"Gmail"),"")</f>
        <v/>
      </c>
      <c r="J2071">
        <f>IF(E2071="Outlook",COUNTIF($E$2:E2071,"Outlook"),"")</f>
        <v/>
      </c>
      <c r="K2071">
        <f>IF(E2071="Domain",COUNTIF($E$2:E2071,"Domain"),"")</f>
        <v/>
      </c>
    </row>
    <row r="2072">
      <c r="A2072" s="2" t="n"/>
      <c r="B2072">
        <f>LOWER(TRIM(A2072))</f>
        <v/>
      </c>
      <c r="C2072">
        <f>IF(B2072="","",IFERROR(INDEX('Bad Patterns'!$A$2:$A$120,MATCH(1,INDEX(--ISNUMBER(SEARCH('Bad Patterns'!$A$2:$A$120,B2072)),0),0)),""))</f>
        <v/>
      </c>
      <c r="D2072">
        <f>IF(B2072="","",IF(C2072&lt;&gt;"","REMOVE","KEEP"))</f>
        <v/>
      </c>
      <c r="E2072">
        <f>IF(D2072&lt;&gt;"KEEP","",IF(RIGHT(B2072,10)="@gmail.com","Gmail",IF(OR(RIGHT(B2072,12)="@outlook.com",RIGHT(B2072,12)="@hotmail.com",RIGHT(B2072,9)="@live.com"),"Outlook","Domain")))</f>
        <v/>
      </c>
      <c r="F2072">
        <f>IF(B2072="","",IFERROR(RIGHT(B2072,LEN(B2072)-FIND("@",B2072)),""))</f>
        <v/>
      </c>
      <c r="G2072">
        <f>IF(D2072="KEEP",COUNTIF($D$2:D2072,"KEEP"),"")</f>
        <v/>
      </c>
      <c r="H2072">
        <f>IF(D2072="REMOVE",COUNTIF($D$2:D2072,"REMOVE"),"")</f>
        <v/>
      </c>
      <c r="I2072">
        <f>IF(E2072="Gmail",COUNTIF($E$2:E2072,"Gmail"),"")</f>
        <v/>
      </c>
      <c r="J2072">
        <f>IF(E2072="Outlook",COUNTIF($E$2:E2072,"Outlook"),"")</f>
        <v/>
      </c>
      <c r="K2072">
        <f>IF(E2072="Domain",COUNTIF($E$2:E2072,"Domain"),"")</f>
        <v/>
      </c>
    </row>
    <row r="2073">
      <c r="A2073" s="2" t="n"/>
      <c r="B2073">
        <f>LOWER(TRIM(A2073))</f>
        <v/>
      </c>
      <c r="C2073">
        <f>IF(B2073="","",IFERROR(INDEX('Bad Patterns'!$A$2:$A$120,MATCH(1,INDEX(--ISNUMBER(SEARCH('Bad Patterns'!$A$2:$A$120,B2073)),0),0)),""))</f>
        <v/>
      </c>
      <c r="D2073">
        <f>IF(B2073="","",IF(C2073&lt;&gt;"","REMOVE","KEEP"))</f>
        <v/>
      </c>
      <c r="E2073">
        <f>IF(D2073&lt;&gt;"KEEP","",IF(RIGHT(B2073,10)="@gmail.com","Gmail",IF(OR(RIGHT(B2073,12)="@outlook.com",RIGHT(B2073,12)="@hotmail.com",RIGHT(B2073,9)="@live.com"),"Outlook","Domain")))</f>
        <v/>
      </c>
      <c r="F2073">
        <f>IF(B2073="","",IFERROR(RIGHT(B2073,LEN(B2073)-FIND("@",B2073)),""))</f>
        <v/>
      </c>
      <c r="G2073">
        <f>IF(D2073="KEEP",COUNTIF($D$2:D2073,"KEEP"),"")</f>
        <v/>
      </c>
      <c r="H2073">
        <f>IF(D2073="REMOVE",COUNTIF($D$2:D2073,"REMOVE"),"")</f>
        <v/>
      </c>
      <c r="I2073">
        <f>IF(E2073="Gmail",COUNTIF($E$2:E2073,"Gmail"),"")</f>
        <v/>
      </c>
      <c r="J2073">
        <f>IF(E2073="Outlook",COUNTIF($E$2:E2073,"Outlook"),"")</f>
        <v/>
      </c>
      <c r="K2073">
        <f>IF(E2073="Domain",COUNTIF($E$2:E2073,"Domain"),"")</f>
        <v/>
      </c>
    </row>
    <row r="2074">
      <c r="A2074" s="2" t="n"/>
      <c r="B2074">
        <f>LOWER(TRIM(A2074))</f>
        <v/>
      </c>
      <c r="C2074">
        <f>IF(B2074="","",IFERROR(INDEX('Bad Patterns'!$A$2:$A$120,MATCH(1,INDEX(--ISNUMBER(SEARCH('Bad Patterns'!$A$2:$A$120,B2074)),0),0)),""))</f>
        <v/>
      </c>
      <c r="D2074">
        <f>IF(B2074="","",IF(C2074&lt;&gt;"","REMOVE","KEEP"))</f>
        <v/>
      </c>
      <c r="E2074">
        <f>IF(D2074&lt;&gt;"KEEP","",IF(RIGHT(B2074,10)="@gmail.com","Gmail",IF(OR(RIGHT(B2074,12)="@outlook.com",RIGHT(B2074,12)="@hotmail.com",RIGHT(B2074,9)="@live.com"),"Outlook","Domain")))</f>
        <v/>
      </c>
      <c r="F2074">
        <f>IF(B2074="","",IFERROR(RIGHT(B2074,LEN(B2074)-FIND("@",B2074)),""))</f>
        <v/>
      </c>
      <c r="G2074">
        <f>IF(D2074="KEEP",COUNTIF($D$2:D2074,"KEEP"),"")</f>
        <v/>
      </c>
      <c r="H2074">
        <f>IF(D2074="REMOVE",COUNTIF($D$2:D2074,"REMOVE"),"")</f>
        <v/>
      </c>
      <c r="I2074">
        <f>IF(E2074="Gmail",COUNTIF($E$2:E2074,"Gmail"),"")</f>
        <v/>
      </c>
      <c r="J2074">
        <f>IF(E2074="Outlook",COUNTIF($E$2:E2074,"Outlook"),"")</f>
        <v/>
      </c>
      <c r="K2074">
        <f>IF(E2074="Domain",COUNTIF($E$2:E2074,"Domain"),"")</f>
        <v/>
      </c>
    </row>
    <row r="2075">
      <c r="A2075" s="2" t="n"/>
      <c r="B2075">
        <f>LOWER(TRIM(A2075))</f>
        <v/>
      </c>
      <c r="C2075">
        <f>IF(B2075="","",IFERROR(INDEX('Bad Patterns'!$A$2:$A$120,MATCH(1,INDEX(--ISNUMBER(SEARCH('Bad Patterns'!$A$2:$A$120,B2075)),0),0)),""))</f>
        <v/>
      </c>
      <c r="D2075">
        <f>IF(B2075="","",IF(C2075&lt;&gt;"","REMOVE","KEEP"))</f>
        <v/>
      </c>
      <c r="E2075">
        <f>IF(D2075&lt;&gt;"KEEP","",IF(RIGHT(B2075,10)="@gmail.com","Gmail",IF(OR(RIGHT(B2075,12)="@outlook.com",RIGHT(B2075,12)="@hotmail.com",RIGHT(B2075,9)="@live.com"),"Outlook","Domain")))</f>
        <v/>
      </c>
      <c r="F2075">
        <f>IF(B2075="","",IFERROR(RIGHT(B2075,LEN(B2075)-FIND("@",B2075)),""))</f>
        <v/>
      </c>
      <c r="G2075">
        <f>IF(D2075="KEEP",COUNTIF($D$2:D2075,"KEEP"),"")</f>
        <v/>
      </c>
      <c r="H2075">
        <f>IF(D2075="REMOVE",COUNTIF($D$2:D2075,"REMOVE"),"")</f>
        <v/>
      </c>
      <c r="I2075">
        <f>IF(E2075="Gmail",COUNTIF($E$2:E2075,"Gmail"),"")</f>
        <v/>
      </c>
      <c r="J2075">
        <f>IF(E2075="Outlook",COUNTIF($E$2:E2075,"Outlook"),"")</f>
        <v/>
      </c>
      <c r="K2075">
        <f>IF(E2075="Domain",COUNTIF($E$2:E2075,"Domain"),"")</f>
        <v/>
      </c>
    </row>
    <row r="2076">
      <c r="A2076" s="2" t="n"/>
      <c r="B2076">
        <f>LOWER(TRIM(A2076))</f>
        <v/>
      </c>
      <c r="C2076">
        <f>IF(B2076="","",IFERROR(INDEX('Bad Patterns'!$A$2:$A$120,MATCH(1,INDEX(--ISNUMBER(SEARCH('Bad Patterns'!$A$2:$A$120,B2076)),0),0)),""))</f>
        <v/>
      </c>
      <c r="D2076">
        <f>IF(B2076="","",IF(C2076&lt;&gt;"","REMOVE","KEEP"))</f>
        <v/>
      </c>
      <c r="E2076">
        <f>IF(D2076&lt;&gt;"KEEP","",IF(RIGHT(B2076,10)="@gmail.com","Gmail",IF(OR(RIGHT(B2076,12)="@outlook.com",RIGHT(B2076,12)="@hotmail.com",RIGHT(B2076,9)="@live.com"),"Outlook","Domain")))</f>
        <v/>
      </c>
      <c r="F2076">
        <f>IF(B2076="","",IFERROR(RIGHT(B2076,LEN(B2076)-FIND("@",B2076)),""))</f>
        <v/>
      </c>
      <c r="G2076">
        <f>IF(D2076="KEEP",COUNTIF($D$2:D2076,"KEEP"),"")</f>
        <v/>
      </c>
      <c r="H2076">
        <f>IF(D2076="REMOVE",COUNTIF($D$2:D2076,"REMOVE"),"")</f>
        <v/>
      </c>
      <c r="I2076">
        <f>IF(E2076="Gmail",COUNTIF($E$2:E2076,"Gmail"),"")</f>
        <v/>
      </c>
      <c r="J2076">
        <f>IF(E2076="Outlook",COUNTIF($E$2:E2076,"Outlook"),"")</f>
        <v/>
      </c>
      <c r="K2076">
        <f>IF(E2076="Domain",COUNTIF($E$2:E2076,"Domain"),"")</f>
        <v/>
      </c>
    </row>
    <row r="2077">
      <c r="A2077" s="2" t="n"/>
      <c r="B2077">
        <f>LOWER(TRIM(A2077))</f>
        <v/>
      </c>
      <c r="C2077">
        <f>IF(B2077="","",IFERROR(INDEX('Bad Patterns'!$A$2:$A$120,MATCH(1,INDEX(--ISNUMBER(SEARCH('Bad Patterns'!$A$2:$A$120,B2077)),0),0)),""))</f>
        <v/>
      </c>
      <c r="D2077">
        <f>IF(B2077="","",IF(C2077&lt;&gt;"","REMOVE","KEEP"))</f>
        <v/>
      </c>
      <c r="E2077">
        <f>IF(D2077&lt;&gt;"KEEP","",IF(RIGHT(B2077,10)="@gmail.com","Gmail",IF(OR(RIGHT(B2077,12)="@outlook.com",RIGHT(B2077,12)="@hotmail.com",RIGHT(B2077,9)="@live.com"),"Outlook","Domain")))</f>
        <v/>
      </c>
      <c r="F2077">
        <f>IF(B2077="","",IFERROR(RIGHT(B2077,LEN(B2077)-FIND("@",B2077)),""))</f>
        <v/>
      </c>
      <c r="G2077">
        <f>IF(D2077="KEEP",COUNTIF($D$2:D2077,"KEEP"),"")</f>
        <v/>
      </c>
      <c r="H2077">
        <f>IF(D2077="REMOVE",COUNTIF($D$2:D2077,"REMOVE"),"")</f>
        <v/>
      </c>
      <c r="I2077">
        <f>IF(E2077="Gmail",COUNTIF($E$2:E2077,"Gmail"),"")</f>
        <v/>
      </c>
      <c r="J2077">
        <f>IF(E2077="Outlook",COUNTIF($E$2:E2077,"Outlook"),"")</f>
        <v/>
      </c>
      <c r="K2077">
        <f>IF(E2077="Domain",COUNTIF($E$2:E2077,"Domain"),"")</f>
        <v/>
      </c>
    </row>
    <row r="2078">
      <c r="A2078" s="2" t="n"/>
      <c r="B2078">
        <f>LOWER(TRIM(A2078))</f>
        <v/>
      </c>
      <c r="C2078">
        <f>IF(B2078="","",IFERROR(INDEX('Bad Patterns'!$A$2:$A$120,MATCH(1,INDEX(--ISNUMBER(SEARCH('Bad Patterns'!$A$2:$A$120,B2078)),0),0)),""))</f>
        <v/>
      </c>
      <c r="D2078">
        <f>IF(B2078="","",IF(C2078&lt;&gt;"","REMOVE","KEEP"))</f>
        <v/>
      </c>
      <c r="E2078">
        <f>IF(D2078&lt;&gt;"KEEP","",IF(RIGHT(B2078,10)="@gmail.com","Gmail",IF(OR(RIGHT(B2078,12)="@outlook.com",RIGHT(B2078,12)="@hotmail.com",RIGHT(B2078,9)="@live.com"),"Outlook","Domain")))</f>
        <v/>
      </c>
      <c r="F2078">
        <f>IF(B2078="","",IFERROR(RIGHT(B2078,LEN(B2078)-FIND("@",B2078)),""))</f>
        <v/>
      </c>
      <c r="G2078">
        <f>IF(D2078="KEEP",COUNTIF($D$2:D2078,"KEEP"),"")</f>
        <v/>
      </c>
      <c r="H2078">
        <f>IF(D2078="REMOVE",COUNTIF($D$2:D2078,"REMOVE"),"")</f>
        <v/>
      </c>
      <c r="I2078">
        <f>IF(E2078="Gmail",COUNTIF($E$2:E2078,"Gmail"),"")</f>
        <v/>
      </c>
      <c r="J2078">
        <f>IF(E2078="Outlook",COUNTIF($E$2:E2078,"Outlook"),"")</f>
        <v/>
      </c>
      <c r="K2078">
        <f>IF(E2078="Domain",COUNTIF($E$2:E2078,"Domain"),"")</f>
        <v/>
      </c>
    </row>
    <row r="2079">
      <c r="A2079" s="2" t="n"/>
      <c r="B2079">
        <f>LOWER(TRIM(A2079))</f>
        <v/>
      </c>
      <c r="C2079">
        <f>IF(B2079="","",IFERROR(INDEX('Bad Patterns'!$A$2:$A$120,MATCH(1,INDEX(--ISNUMBER(SEARCH('Bad Patterns'!$A$2:$A$120,B2079)),0),0)),""))</f>
        <v/>
      </c>
      <c r="D2079">
        <f>IF(B2079="","",IF(C2079&lt;&gt;"","REMOVE","KEEP"))</f>
        <v/>
      </c>
      <c r="E2079">
        <f>IF(D2079&lt;&gt;"KEEP","",IF(RIGHT(B2079,10)="@gmail.com","Gmail",IF(OR(RIGHT(B2079,12)="@outlook.com",RIGHT(B2079,12)="@hotmail.com",RIGHT(B2079,9)="@live.com"),"Outlook","Domain")))</f>
        <v/>
      </c>
      <c r="F2079">
        <f>IF(B2079="","",IFERROR(RIGHT(B2079,LEN(B2079)-FIND("@",B2079)),""))</f>
        <v/>
      </c>
      <c r="G2079">
        <f>IF(D2079="KEEP",COUNTIF($D$2:D2079,"KEEP"),"")</f>
        <v/>
      </c>
      <c r="H2079">
        <f>IF(D2079="REMOVE",COUNTIF($D$2:D2079,"REMOVE"),"")</f>
        <v/>
      </c>
      <c r="I2079">
        <f>IF(E2079="Gmail",COUNTIF($E$2:E2079,"Gmail"),"")</f>
        <v/>
      </c>
      <c r="J2079">
        <f>IF(E2079="Outlook",COUNTIF($E$2:E2079,"Outlook"),"")</f>
        <v/>
      </c>
      <c r="K2079">
        <f>IF(E2079="Domain",COUNTIF($E$2:E2079,"Domain"),"")</f>
        <v/>
      </c>
    </row>
    <row r="2080">
      <c r="A2080" s="2" t="n"/>
      <c r="B2080">
        <f>LOWER(TRIM(A2080))</f>
        <v/>
      </c>
      <c r="C2080">
        <f>IF(B2080="","",IFERROR(INDEX('Bad Patterns'!$A$2:$A$120,MATCH(1,INDEX(--ISNUMBER(SEARCH('Bad Patterns'!$A$2:$A$120,B2080)),0),0)),""))</f>
        <v/>
      </c>
      <c r="D2080">
        <f>IF(B2080="","",IF(C2080&lt;&gt;"","REMOVE","KEEP"))</f>
        <v/>
      </c>
      <c r="E2080">
        <f>IF(D2080&lt;&gt;"KEEP","",IF(RIGHT(B2080,10)="@gmail.com","Gmail",IF(OR(RIGHT(B2080,12)="@outlook.com",RIGHT(B2080,12)="@hotmail.com",RIGHT(B2080,9)="@live.com"),"Outlook","Domain")))</f>
        <v/>
      </c>
      <c r="F2080">
        <f>IF(B2080="","",IFERROR(RIGHT(B2080,LEN(B2080)-FIND("@",B2080)),""))</f>
        <v/>
      </c>
      <c r="G2080">
        <f>IF(D2080="KEEP",COUNTIF($D$2:D2080,"KEEP"),"")</f>
        <v/>
      </c>
      <c r="H2080">
        <f>IF(D2080="REMOVE",COUNTIF($D$2:D2080,"REMOVE"),"")</f>
        <v/>
      </c>
      <c r="I2080">
        <f>IF(E2080="Gmail",COUNTIF($E$2:E2080,"Gmail"),"")</f>
        <v/>
      </c>
      <c r="J2080">
        <f>IF(E2080="Outlook",COUNTIF($E$2:E2080,"Outlook"),"")</f>
        <v/>
      </c>
      <c r="K2080">
        <f>IF(E2080="Domain",COUNTIF($E$2:E2080,"Domain"),"")</f>
        <v/>
      </c>
    </row>
    <row r="2081">
      <c r="A2081" s="2" t="n"/>
      <c r="B2081">
        <f>LOWER(TRIM(A2081))</f>
        <v/>
      </c>
      <c r="C2081">
        <f>IF(B2081="","",IFERROR(INDEX('Bad Patterns'!$A$2:$A$120,MATCH(1,INDEX(--ISNUMBER(SEARCH('Bad Patterns'!$A$2:$A$120,B2081)),0),0)),""))</f>
        <v/>
      </c>
      <c r="D2081">
        <f>IF(B2081="","",IF(C2081&lt;&gt;"","REMOVE","KEEP"))</f>
        <v/>
      </c>
      <c r="E2081">
        <f>IF(D2081&lt;&gt;"KEEP","",IF(RIGHT(B2081,10)="@gmail.com","Gmail",IF(OR(RIGHT(B2081,12)="@outlook.com",RIGHT(B2081,12)="@hotmail.com",RIGHT(B2081,9)="@live.com"),"Outlook","Domain")))</f>
        <v/>
      </c>
      <c r="F2081">
        <f>IF(B2081="","",IFERROR(RIGHT(B2081,LEN(B2081)-FIND("@",B2081)),""))</f>
        <v/>
      </c>
      <c r="G2081">
        <f>IF(D2081="KEEP",COUNTIF($D$2:D2081,"KEEP"),"")</f>
        <v/>
      </c>
      <c r="H2081">
        <f>IF(D2081="REMOVE",COUNTIF($D$2:D2081,"REMOVE"),"")</f>
        <v/>
      </c>
      <c r="I2081">
        <f>IF(E2081="Gmail",COUNTIF($E$2:E2081,"Gmail"),"")</f>
        <v/>
      </c>
      <c r="J2081">
        <f>IF(E2081="Outlook",COUNTIF($E$2:E2081,"Outlook"),"")</f>
        <v/>
      </c>
      <c r="K2081">
        <f>IF(E2081="Domain",COUNTIF($E$2:E2081,"Domain"),"")</f>
        <v/>
      </c>
    </row>
    <row r="2082">
      <c r="A2082" s="2" t="n"/>
      <c r="B2082">
        <f>LOWER(TRIM(A2082))</f>
        <v/>
      </c>
      <c r="C2082">
        <f>IF(B2082="","",IFERROR(INDEX('Bad Patterns'!$A$2:$A$120,MATCH(1,INDEX(--ISNUMBER(SEARCH('Bad Patterns'!$A$2:$A$120,B2082)),0),0)),""))</f>
        <v/>
      </c>
      <c r="D2082">
        <f>IF(B2082="","",IF(C2082&lt;&gt;"","REMOVE","KEEP"))</f>
        <v/>
      </c>
      <c r="E2082">
        <f>IF(D2082&lt;&gt;"KEEP","",IF(RIGHT(B2082,10)="@gmail.com","Gmail",IF(OR(RIGHT(B2082,12)="@outlook.com",RIGHT(B2082,12)="@hotmail.com",RIGHT(B2082,9)="@live.com"),"Outlook","Domain")))</f>
        <v/>
      </c>
      <c r="F2082">
        <f>IF(B2082="","",IFERROR(RIGHT(B2082,LEN(B2082)-FIND("@",B2082)),""))</f>
        <v/>
      </c>
      <c r="G2082">
        <f>IF(D2082="KEEP",COUNTIF($D$2:D2082,"KEEP"),"")</f>
        <v/>
      </c>
      <c r="H2082">
        <f>IF(D2082="REMOVE",COUNTIF($D$2:D2082,"REMOVE"),"")</f>
        <v/>
      </c>
      <c r="I2082">
        <f>IF(E2082="Gmail",COUNTIF($E$2:E2082,"Gmail"),"")</f>
        <v/>
      </c>
      <c r="J2082">
        <f>IF(E2082="Outlook",COUNTIF($E$2:E2082,"Outlook"),"")</f>
        <v/>
      </c>
      <c r="K2082">
        <f>IF(E2082="Domain",COUNTIF($E$2:E2082,"Domain"),"")</f>
        <v/>
      </c>
    </row>
    <row r="2083">
      <c r="A2083" s="2" t="n"/>
      <c r="B2083">
        <f>LOWER(TRIM(A2083))</f>
        <v/>
      </c>
      <c r="C2083">
        <f>IF(B2083="","",IFERROR(INDEX('Bad Patterns'!$A$2:$A$120,MATCH(1,INDEX(--ISNUMBER(SEARCH('Bad Patterns'!$A$2:$A$120,B2083)),0),0)),""))</f>
        <v/>
      </c>
      <c r="D2083">
        <f>IF(B2083="","",IF(C2083&lt;&gt;"","REMOVE","KEEP"))</f>
        <v/>
      </c>
      <c r="E2083">
        <f>IF(D2083&lt;&gt;"KEEP","",IF(RIGHT(B2083,10)="@gmail.com","Gmail",IF(OR(RIGHT(B2083,12)="@outlook.com",RIGHT(B2083,12)="@hotmail.com",RIGHT(B2083,9)="@live.com"),"Outlook","Domain")))</f>
        <v/>
      </c>
      <c r="F2083">
        <f>IF(B2083="","",IFERROR(RIGHT(B2083,LEN(B2083)-FIND("@",B2083)),""))</f>
        <v/>
      </c>
      <c r="G2083">
        <f>IF(D2083="KEEP",COUNTIF($D$2:D2083,"KEEP"),"")</f>
        <v/>
      </c>
      <c r="H2083">
        <f>IF(D2083="REMOVE",COUNTIF($D$2:D2083,"REMOVE"),"")</f>
        <v/>
      </c>
      <c r="I2083">
        <f>IF(E2083="Gmail",COUNTIF($E$2:E2083,"Gmail"),"")</f>
        <v/>
      </c>
      <c r="J2083">
        <f>IF(E2083="Outlook",COUNTIF($E$2:E2083,"Outlook"),"")</f>
        <v/>
      </c>
      <c r="K2083">
        <f>IF(E2083="Domain",COUNTIF($E$2:E2083,"Domain"),"")</f>
        <v/>
      </c>
    </row>
    <row r="2084">
      <c r="A2084" s="2" t="n"/>
      <c r="B2084">
        <f>LOWER(TRIM(A2084))</f>
        <v/>
      </c>
      <c r="C2084">
        <f>IF(B2084="","",IFERROR(INDEX('Bad Patterns'!$A$2:$A$120,MATCH(1,INDEX(--ISNUMBER(SEARCH('Bad Patterns'!$A$2:$A$120,B2084)),0),0)),""))</f>
        <v/>
      </c>
      <c r="D2084">
        <f>IF(B2084="","",IF(C2084&lt;&gt;"","REMOVE","KEEP"))</f>
        <v/>
      </c>
      <c r="E2084">
        <f>IF(D2084&lt;&gt;"KEEP","",IF(RIGHT(B2084,10)="@gmail.com","Gmail",IF(OR(RIGHT(B2084,12)="@outlook.com",RIGHT(B2084,12)="@hotmail.com",RIGHT(B2084,9)="@live.com"),"Outlook","Domain")))</f>
        <v/>
      </c>
      <c r="F2084">
        <f>IF(B2084="","",IFERROR(RIGHT(B2084,LEN(B2084)-FIND("@",B2084)),""))</f>
        <v/>
      </c>
      <c r="G2084">
        <f>IF(D2084="KEEP",COUNTIF($D$2:D2084,"KEEP"),"")</f>
        <v/>
      </c>
      <c r="H2084">
        <f>IF(D2084="REMOVE",COUNTIF($D$2:D2084,"REMOVE"),"")</f>
        <v/>
      </c>
      <c r="I2084">
        <f>IF(E2084="Gmail",COUNTIF($E$2:E2084,"Gmail"),"")</f>
        <v/>
      </c>
      <c r="J2084">
        <f>IF(E2084="Outlook",COUNTIF($E$2:E2084,"Outlook"),"")</f>
        <v/>
      </c>
      <c r="K2084">
        <f>IF(E2084="Domain",COUNTIF($E$2:E2084,"Domain"),"")</f>
        <v/>
      </c>
    </row>
    <row r="2085">
      <c r="A2085" s="2" t="n"/>
      <c r="B2085">
        <f>LOWER(TRIM(A2085))</f>
        <v/>
      </c>
      <c r="C2085">
        <f>IF(B2085="","",IFERROR(INDEX('Bad Patterns'!$A$2:$A$120,MATCH(1,INDEX(--ISNUMBER(SEARCH('Bad Patterns'!$A$2:$A$120,B2085)),0),0)),""))</f>
        <v/>
      </c>
      <c r="D2085">
        <f>IF(B2085="","",IF(C2085&lt;&gt;"","REMOVE","KEEP"))</f>
        <v/>
      </c>
      <c r="E2085">
        <f>IF(D2085&lt;&gt;"KEEP","",IF(RIGHT(B2085,10)="@gmail.com","Gmail",IF(OR(RIGHT(B2085,12)="@outlook.com",RIGHT(B2085,12)="@hotmail.com",RIGHT(B2085,9)="@live.com"),"Outlook","Domain")))</f>
        <v/>
      </c>
      <c r="F2085">
        <f>IF(B2085="","",IFERROR(RIGHT(B2085,LEN(B2085)-FIND("@",B2085)),""))</f>
        <v/>
      </c>
      <c r="G2085">
        <f>IF(D2085="KEEP",COUNTIF($D$2:D2085,"KEEP"),"")</f>
        <v/>
      </c>
      <c r="H2085">
        <f>IF(D2085="REMOVE",COUNTIF($D$2:D2085,"REMOVE"),"")</f>
        <v/>
      </c>
      <c r="I2085">
        <f>IF(E2085="Gmail",COUNTIF($E$2:E2085,"Gmail"),"")</f>
        <v/>
      </c>
      <c r="J2085">
        <f>IF(E2085="Outlook",COUNTIF($E$2:E2085,"Outlook"),"")</f>
        <v/>
      </c>
      <c r="K2085">
        <f>IF(E2085="Domain",COUNTIF($E$2:E2085,"Domain"),"")</f>
        <v/>
      </c>
    </row>
    <row r="2086">
      <c r="A2086" s="2" t="n"/>
      <c r="B2086">
        <f>LOWER(TRIM(A2086))</f>
        <v/>
      </c>
      <c r="C2086">
        <f>IF(B2086="","",IFERROR(INDEX('Bad Patterns'!$A$2:$A$120,MATCH(1,INDEX(--ISNUMBER(SEARCH('Bad Patterns'!$A$2:$A$120,B2086)),0),0)),""))</f>
        <v/>
      </c>
      <c r="D2086">
        <f>IF(B2086="","",IF(C2086&lt;&gt;"","REMOVE","KEEP"))</f>
        <v/>
      </c>
      <c r="E2086">
        <f>IF(D2086&lt;&gt;"KEEP","",IF(RIGHT(B2086,10)="@gmail.com","Gmail",IF(OR(RIGHT(B2086,12)="@outlook.com",RIGHT(B2086,12)="@hotmail.com",RIGHT(B2086,9)="@live.com"),"Outlook","Domain")))</f>
        <v/>
      </c>
      <c r="F2086">
        <f>IF(B2086="","",IFERROR(RIGHT(B2086,LEN(B2086)-FIND("@",B2086)),""))</f>
        <v/>
      </c>
      <c r="G2086">
        <f>IF(D2086="KEEP",COUNTIF($D$2:D2086,"KEEP"),"")</f>
        <v/>
      </c>
      <c r="H2086">
        <f>IF(D2086="REMOVE",COUNTIF($D$2:D2086,"REMOVE"),"")</f>
        <v/>
      </c>
      <c r="I2086">
        <f>IF(E2086="Gmail",COUNTIF($E$2:E2086,"Gmail"),"")</f>
        <v/>
      </c>
      <c r="J2086">
        <f>IF(E2086="Outlook",COUNTIF($E$2:E2086,"Outlook"),"")</f>
        <v/>
      </c>
      <c r="K2086">
        <f>IF(E2086="Domain",COUNTIF($E$2:E2086,"Domain"),"")</f>
        <v/>
      </c>
    </row>
    <row r="2087">
      <c r="A2087" s="2" t="n"/>
      <c r="B2087">
        <f>LOWER(TRIM(A2087))</f>
        <v/>
      </c>
      <c r="C2087">
        <f>IF(B2087="","",IFERROR(INDEX('Bad Patterns'!$A$2:$A$120,MATCH(1,INDEX(--ISNUMBER(SEARCH('Bad Patterns'!$A$2:$A$120,B2087)),0),0)),""))</f>
        <v/>
      </c>
      <c r="D2087">
        <f>IF(B2087="","",IF(C2087&lt;&gt;"","REMOVE","KEEP"))</f>
        <v/>
      </c>
      <c r="E2087">
        <f>IF(D2087&lt;&gt;"KEEP","",IF(RIGHT(B2087,10)="@gmail.com","Gmail",IF(OR(RIGHT(B2087,12)="@outlook.com",RIGHT(B2087,12)="@hotmail.com",RIGHT(B2087,9)="@live.com"),"Outlook","Domain")))</f>
        <v/>
      </c>
      <c r="F2087">
        <f>IF(B2087="","",IFERROR(RIGHT(B2087,LEN(B2087)-FIND("@",B2087)),""))</f>
        <v/>
      </c>
      <c r="G2087">
        <f>IF(D2087="KEEP",COUNTIF($D$2:D2087,"KEEP"),"")</f>
        <v/>
      </c>
      <c r="H2087">
        <f>IF(D2087="REMOVE",COUNTIF($D$2:D2087,"REMOVE"),"")</f>
        <v/>
      </c>
      <c r="I2087">
        <f>IF(E2087="Gmail",COUNTIF($E$2:E2087,"Gmail"),"")</f>
        <v/>
      </c>
      <c r="J2087">
        <f>IF(E2087="Outlook",COUNTIF($E$2:E2087,"Outlook"),"")</f>
        <v/>
      </c>
      <c r="K2087">
        <f>IF(E2087="Domain",COUNTIF($E$2:E2087,"Domain"),"")</f>
        <v/>
      </c>
    </row>
    <row r="2088">
      <c r="A2088" s="2" t="n"/>
      <c r="B2088">
        <f>LOWER(TRIM(A2088))</f>
        <v/>
      </c>
      <c r="C2088">
        <f>IF(B2088="","",IFERROR(INDEX('Bad Patterns'!$A$2:$A$120,MATCH(1,INDEX(--ISNUMBER(SEARCH('Bad Patterns'!$A$2:$A$120,B2088)),0),0)),""))</f>
        <v/>
      </c>
      <c r="D2088">
        <f>IF(B2088="","",IF(C2088&lt;&gt;"","REMOVE","KEEP"))</f>
        <v/>
      </c>
      <c r="E2088">
        <f>IF(D2088&lt;&gt;"KEEP","",IF(RIGHT(B2088,10)="@gmail.com","Gmail",IF(OR(RIGHT(B2088,12)="@outlook.com",RIGHT(B2088,12)="@hotmail.com",RIGHT(B2088,9)="@live.com"),"Outlook","Domain")))</f>
        <v/>
      </c>
      <c r="F2088">
        <f>IF(B2088="","",IFERROR(RIGHT(B2088,LEN(B2088)-FIND("@",B2088)),""))</f>
        <v/>
      </c>
      <c r="G2088">
        <f>IF(D2088="KEEP",COUNTIF($D$2:D2088,"KEEP"),"")</f>
        <v/>
      </c>
      <c r="H2088">
        <f>IF(D2088="REMOVE",COUNTIF($D$2:D2088,"REMOVE"),"")</f>
        <v/>
      </c>
      <c r="I2088">
        <f>IF(E2088="Gmail",COUNTIF($E$2:E2088,"Gmail"),"")</f>
        <v/>
      </c>
      <c r="J2088">
        <f>IF(E2088="Outlook",COUNTIF($E$2:E2088,"Outlook"),"")</f>
        <v/>
      </c>
      <c r="K2088">
        <f>IF(E2088="Domain",COUNTIF($E$2:E2088,"Domain"),"")</f>
        <v/>
      </c>
    </row>
    <row r="2089">
      <c r="A2089" s="2" t="n"/>
      <c r="B2089">
        <f>LOWER(TRIM(A2089))</f>
        <v/>
      </c>
      <c r="C2089">
        <f>IF(B2089="","",IFERROR(INDEX('Bad Patterns'!$A$2:$A$120,MATCH(1,INDEX(--ISNUMBER(SEARCH('Bad Patterns'!$A$2:$A$120,B2089)),0),0)),""))</f>
        <v/>
      </c>
      <c r="D2089">
        <f>IF(B2089="","",IF(C2089&lt;&gt;"","REMOVE","KEEP"))</f>
        <v/>
      </c>
      <c r="E2089">
        <f>IF(D2089&lt;&gt;"KEEP","",IF(RIGHT(B2089,10)="@gmail.com","Gmail",IF(OR(RIGHT(B2089,12)="@outlook.com",RIGHT(B2089,12)="@hotmail.com",RIGHT(B2089,9)="@live.com"),"Outlook","Domain")))</f>
        <v/>
      </c>
      <c r="F2089">
        <f>IF(B2089="","",IFERROR(RIGHT(B2089,LEN(B2089)-FIND("@",B2089)),""))</f>
        <v/>
      </c>
      <c r="G2089">
        <f>IF(D2089="KEEP",COUNTIF($D$2:D2089,"KEEP"),"")</f>
        <v/>
      </c>
      <c r="H2089">
        <f>IF(D2089="REMOVE",COUNTIF($D$2:D2089,"REMOVE"),"")</f>
        <v/>
      </c>
      <c r="I2089">
        <f>IF(E2089="Gmail",COUNTIF($E$2:E2089,"Gmail"),"")</f>
        <v/>
      </c>
      <c r="J2089">
        <f>IF(E2089="Outlook",COUNTIF($E$2:E2089,"Outlook"),"")</f>
        <v/>
      </c>
      <c r="K2089">
        <f>IF(E2089="Domain",COUNTIF($E$2:E2089,"Domain"),"")</f>
        <v/>
      </c>
    </row>
    <row r="2090">
      <c r="A2090" s="2" t="n"/>
      <c r="B2090">
        <f>LOWER(TRIM(A2090))</f>
        <v/>
      </c>
      <c r="C2090">
        <f>IF(B2090="","",IFERROR(INDEX('Bad Patterns'!$A$2:$A$120,MATCH(1,INDEX(--ISNUMBER(SEARCH('Bad Patterns'!$A$2:$A$120,B2090)),0),0)),""))</f>
        <v/>
      </c>
      <c r="D2090">
        <f>IF(B2090="","",IF(C2090&lt;&gt;"","REMOVE","KEEP"))</f>
        <v/>
      </c>
      <c r="E2090">
        <f>IF(D2090&lt;&gt;"KEEP","",IF(RIGHT(B2090,10)="@gmail.com","Gmail",IF(OR(RIGHT(B2090,12)="@outlook.com",RIGHT(B2090,12)="@hotmail.com",RIGHT(B2090,9)="@live.com"),"Outlook","Domain")))</f>
        <v/>
      </c>
      <c r="F2090">
        <f>IF(B2090="","",IFERROR(RIGHT(B2090,LEN(B2090)-FIND("@",B2090)),""))</f>
        <v/>
      </c>
      <c r="G2090">
        <f>IF(D2090="KEEP",COUNTIF($D$2:D2090,"KEEP"),"")</f>
        <v/>
      </c>
      <c r="H2090">
        <f>IF(D2090="REMOVE",COUNTIF($D$2:D2090,"REMOVE"),"")</f>
        <v/>
      </c>
      <c r="I2090">
        <f>IF(E2090="Gmail",COUNTIF($E$2:E2090,"Gmail"),"")</f>
        <v/>
      </c>
      <c r="J2090">
        <f>IF(E2090="Outlook",COUNTIF($E$2:E2090,"Outlook"),"")</f>
        <v/>
      </c>
      <c r="K2090">
        <f>IF(E2090="Domain",COUNTIF($E$2:E2090,"Domain"),"")</f>
        <v/>
      </c>
    </row>
    <row r="2091">
      <c r="A2091" s="2" t="n"/>
      <c r="B2091">
        <f>LOWER(TRIM(A2091))</f>
        <v/>
      </c>
      <c r="C2091">
        <f>IF(B2091="","",IFERROR(INDEX('Bad Patterns'!$A$2:$A$120,MATCH(1,INDEX(--ISNUMBER(SEARCH('Bad Patterns'!$A$2:$A$120,B2091)),0),0)),""))</f>
        <v/>
      </c>
      <c r="D2091">
        <f>IF(B2091="","",IF(C2091&lt;&gt;"","REMOVE","KEEP"))</f>
        <v/>
      </c>
      <c r="E2091">
        <f>IF(D2091&lt;&gt;"KEEP","",IF(RIGHT(B2091,10)="@gmail.com","Gmail",IF(OR(RIGHT(B2091,12)="@outlook.com",RIGHT(B2091,12)="@hotmail.com",RIGHT(B2091,9)="@live.com"),"Outlook","Domain")))</f>
        <v/>
      </c>
      <c r="F2091">
        <f>IF(B2091="","",IFERROR(RIGHT(B2091,LEN(B2091)-FIND("@",B2091)),""))</f>
        <v/>
      </c>
      <c r="G2091">
        <f>IF(D2091="KEEP",COUNTIF($D$2:D2091,"KEEP"),"")</f>
        <v/>
      </c>
      <c r="H2091">
        <f>IF(D2091="REMOVE",COUNTIF($D$2:D2091,"REMOVE"),"")</f>
        <v/>
      </c>
      <c r="I2091">
        <f>IF(E2091="Gmail",COUNTIF($E$2:E2091,"Gmail"),"")</f>
        <v/>
      </c>
      <c r="J2091">
        <f>IF(E2091="Outlook",COUNTIF($E$2:E2091,"Outlook"),"")</f>
        <v/>
      </c>
      <c r="K2091">
        <f>IF(E2091="Domain",COUNTIF($E$2:E2091,"Domain"),"")</f>
        <v/>
      </c>
    </row>
    <row r="2092">
      <c r="A2092" s="2" t="n"/>
      <c r="B2092">
        <f>LOWER(TRIM(A2092))</f>
        <v/>
      </c>
      <c r="C2092">
        <f>IF(B2092="","",IFERROR(INDEX('Bad Patterns'!$A$2:$A$120,MATCH(1,INDEX(--ISNUMBER(SEARCH('Bad Patterns'!$A$2:$A$120,B2092)),0),0)),""))</f>
        <v/>
      </c>
      <c r="D2092">
        <f>IF(B2092="","",IF(C2092&lt;&gt;"","REMOVE","KEEP"))</f>
        <v/>
      </c>
      <c r="E2092">
        <f>IF(D2092&lt;&gt;"KEEP","",IF(RIGHT(B2092,10)="@gmail.com","Gmail",IF(OR(RIGHT(B2092,12)="@outlook.com",RIGHT(B2092,12)="@hotmail.com",RIGHT(B2092,9)="@live.com"),"Outlook","Domain")))</f>
        <v/>
      </c>
      <c r="F2092">
        <f>IF(B2092="","",IFERROR(RIGHT(B2092,LEN(B2092)-FIND("@",B2092)),""))</f>
        <v/>
      </c>
      <c r="G2092">
        <f>IF(D2092="KEEP",COUNTIF($D$2:D2092,"KEEP"),"")</f>
        <v/>
      </c>
      <c r="H2092">
        <f>IF(D2092="REMOVE",COUNTIF($D$2:D2092,"REMOVE"),"")</f>
        <v/>
      </c>
      <c r="I2092">
        <f>IF(E2092="Gmail",COUNTIF($E$2:E2092,"Gmail"),"")</f>
        <v/>
      </c>
      <c r="J2092">
        <f>IF(E2092="Outlook",COUNTIF($E$2:E2092,"Outlook"),"")</f>
        <v/>
      </c>
      <c r="K2092">
        <f>IF(E2092="Domain",COUNTIF($E$2:E2092,"Domain"),"")</f>
        <v/>
      </c>
    </row>
    <row r="2093">
      <c r="A2093" s="2" t="n"/>
      <c r="B2093">
        <f>LOWER(TRIM(A2093))</f>
        <v/>
      </c>
      <c r="C2093">
        <f>IF(B2093="","",IFERROR(INDEX('Bad Patterns'!$A$2:$A$120,MATCH(1,INDEX(--ISNUMBER(SEARCH('Bad Patterns'!$A$2:$A$120,B2093)),0),0)),""))</f>
        <v/>
      </c>
      <c r="D2093">
        <f>IF(B2093="","",IF(C2093&lt;&gt;"","REMOVE","KEEP"))</f>
        <v/>
      </c>
      <c r="E2093">
        <f>IF(D2093&lt;&gt;"KEEP","",IF(RIGHT(B2093,10)="@gmail.com","Gmail",IF(OR(RIGHT(B2093,12)="@outlook.com",RIGHT(B2093,12)="@hotmail.com",RIGHT(B2093,9)="@live.com"),"Outlook","Domain")))</f>
        <v/>
      </c>
      <c r="F2093">
        <f>IF(B2093="","",IFERROR(RIGHT(B2093,LEN(B2093)-FIND("@",B2093)),""))</f>
        <v/>
      </c>
      <c r="G2093">
        <f>IF(D2093="KEEP",COUNTIF($D$2:D2093,"KEEP"),"")</f>
        <v/>
      </c>
      <c r="H2093">
        <f>IF(D2093="REMOVE",COUNTIF($D$2:D2093,"REMOVE"),"")</f>
        <v/>
      </c>
      <c r="I2093">
        <f>IF(E2093="Gmail",COUNTIF($E$2:E2093,"Gmail"),"")</f>
        <v/>
      </c>
      <c r="J2093">
        <f>IF(E2093="Outlook",COUNTIF($E$2:E2093,"Outlook"),"")</f>
        <v/>
      </c>
      <c r="K2093">
        <f>IF(E2093="Domain",COUNTIF($E$2:E2093,"Domain"),"")</f>
        <v/>
      </c>
    </row>
    <row r="2094">
      <c r="A2094" s="2" t="n"/>
      <c r="B2094">
        <f>LOWER(TRIM(A2094))</f>
        <v/>
      </c>
      <c r="C2094">
        <f>IF(B2094="","",IFERROR(INDEX('Bad Patterns'!$A$2:$A$120,MATCH(1,INDEX(--ISNUMBER(SEARCH('Bad Patterns'!$A$2:$A$120,B2094)),0),0)),""))</f>
        <v/>
      </c>
      <c r="D2094">
        <f>IF(B2094="","",IF(C2094&lt;&gt;"","REMOVE","KEEP"))</f>
        <v/>
      </c>
      <c r="E2094">
        <f>IF(D2094&lt;&gt;"KEEP","",IF(RIGHT(B2094,10)="@gmail.com","Gmail",IF(OR(RIGHT(B2094,12)="@outlook.com",RIGHT(B2094,12)="@hotmail.com",RIGHT(B2094,9)="@live.com"),"Outlook","Domain")))</f>
        <v/>
      </c>
      <c r="F2094">
        <f>IF(B2094="","",IFERROR(RIGHT(B2094,LEN(B2094)-FIND("@",B2094)),""))</f>
        <v/>
      </c>
      <c r="G2094">
        <f>IF(D2094="KEEP",COUNTIF($D$2:D2094,"KEEP"),"")</f>
        <v/>
      </c>
      <c r="H2094">
        <f>IF(D2094="REMOVE",COUNTIF($D$2:D2094,"REMOVE"),"")</f>
        <v/>
      </c>
      <c r="I2094">
        <f>IF(E2094="Gmail",COUNTIF($E$2:E2094,"Gmail"),"")</f>
        <v/>
      </c>
      <c r="J2094">
        <f>IF(E2094="Outlook",COUNTIF($E$2:E2094,"Outlook"),"")</f>
        <v/>
      </c>
      <c r="K2094">
        <f>IF(E2094="Domain",COUNTIF($E$2:E2094,"Domain"),"")</f>
        <v/>
      </c>
    </row>
    <row r="2095">
      <c r="A2095" s="2" t="n"/>
      <c r="B2095">
        <f>LOWER(TRIM(A2095))</f>
        <v/>
      </c>
      <c r="C2095">
        <f>IF(B2095="","",IFERROR(INDEX('Bad Patterns'!$A$2:$A$120,MATCH(1,INDEX(--ISNUMBER(SEARCH('Bad Patterns'!$A$2:$A$120,B2095)),0),0)),""))</f>
        <v/>
      </c>
      <c r="D2095">
        <f>IF(B2095="","",IF(C2095&lt;&gt;"","REMOVE","KEEP"))</f>
        <v/>
      </c>
      <c r="E2095">
        <f>IF(D2095&lt;&gt;"KEEP","",IF(RIGHT(B2095,10)="@gmail.com","Gmail",IF(OR(RIGHT(B2095,12)="@outlook.com",RIGHT(B2095,12)="@hotmail.com",RIGHT(B2095,9)="@live.com"),"Outlook","Domain")))</f>
        <v/>
      </c>
      <c r="F2095">
        <f>IF(B2095="","",IFERROR(RIGHT(B2095,LEN(B2095)-FIND("@",B2095)),""))</f>
        <v/>
      </c>
      <c r="G2095">
        <f>IF(D2095="KEEP",COUNTIF($D$2:D2095,"KEEP"),"")</f>
        <v/>
      </c>
      <c r="H2095">
        <f>IF(D2095="REMOVE",COUNTIF($D$2:D2095,"REMOVE"),"")</f>
        <v/>
      </c>
      <c r="I2095">
        <f>IF(E2095="Gmail",COUNTIF($E$2:E2095,"Gmail"),"")</f>
        <v/>
      </c>
      <c r="J2095">
        <f>IF(E2095="Outlook",COUNTIF($E$2:E2095,"Outlook"),"")</f>
        <v/>
      </c>
      <c r="K2095">
        <f>IF(E2095="Domain",COUNTIF($E$2:E2095,"Domain"),"")</f>
        <v/>
      </c>
    </row>
    <row r="2096">
      <c r="A2096" s="2" t="n"/>
      <c r="B2096">
        <f>LOWER(TRIM(A2096))</f>
        <v/>
      </c>
      <c r="C2096">
        <f>IF(B2096="","",IFERROR(INDEX('Bad Patterns'!$A$2:$A$120,MATCH(1,INDEX(--ISNUMBER(SEARCH('Bad Patterns'!$A$2:$A$120,B2096)),0),0)),""))</f>
        <v/>
      </c>
      <c r="D2096">
        <f>IF(B2096="","",IF(C2096&lt;&gt;"","REMOVE","KEEP"))</f>
        <v/>
      </c>
      <c r="E2096">
        <f>IF(D2096&lt;&gt;"KEEP","",IF(RIGHT(B2096,10)="@gmail.com","Gmail",IF(OR(RIGHT(B2096,12)="@outlook.com",RIGHT(B2096,12)="@hotmail.com",RIGHT(B2096,9)="@live.com"),"Outlook","Domain")))</f>
        <v/>
      </c>
      <c r="F2096">
        <f>IF(B2096="","",IFERROR(RIGHT(B2096,LEN(B2096)-FIND("@",B2096)),""))</f>
        <v/>
      </c>
      <c r="G2096">
        <f>IF(D2096="KEEP",COUNTIF($D$2:D2096,"KEEP"),"")</f>
        <v/>
      </c>
      <c r="H2096">
        <f>IF(D2096="REMOVE",COUNTIF($D$2:D2096,"REMOVE"),"")</f>
        <v/>
      </c>
      <c r="I2096">
        <f>IF(E2096="Gmail",COUNTIF($E$2:E2096,"Gmail"),"")</f>
        <v/>
      </c>
      <c r="J2096">
        <f>IF(E2096="Outlook",COUNTIF($E$2:E2096,"Outlook"),"")</f>
        <v/>
      </c>
      <c r="K2096">
        <f>IF(E2096="Domain",COUNTIF($E$2:E2096,"Domain"),"")</f>
        <v/>
      </c>
    </row>
    <row r="2097">
      <c r="A2097" s="2" t="n"/>
      <c r="B2097">
        <f>LOWER(TRIM(A2097))</f>
        <v/>
      </c>
      <c r="C2097">
        <f>IF(B2097="","",IFERROR(INDEX('Bad Patterns'!$A$2:$A$120,MATCH(1,INDEX(--ISNUMBER(SEARCH('Bad Patterns'!$A$2:$A$120,B2097)),0),0)),""))</f>
        <v/>
      </c>
      <c r="D2097">
        <f>IF(B2097="","",IF(C2097&lt;&gt;"","REMOVE","KEEP"))</f>
        <v/>
      </c>
      <c r="E2097">
        <f>IF(D2097&lt;&gt;"KEEP","",IF(RIGHT(B2097,10)="@gmail.com","Gmail",IF(OR(RIGHT(B2097,12)="@outlook.com",RIGHT(B2097,12)="@hotmail.com",RIGHT(B2097,9)="@live.com"),"Outlook","Domain")))</f>
        <v/>
      </c>
      <c r="F2097">
        <f>IF(B2097="","",IFERROR(RIGHT(B2097,LEN(B2097)-FIND("@",B2097)),""))</f>
        <v/>
      </c>
      <c r="G2097">
        <f>IF(D2097="KEEP",COUNTIF($D$2:D2097,"KEEP"),"")</f>
        <v/>
      </c>
      <c r="H2097">
        <f>IF(D2097="REMOVE",COUNTIF($D$2:D2097,"REMOVE"),"")</f>
        <v/>
      </c>
      <c r="I2097">
        <f>IF(E2097="Gmail",COUNTIF($E$2:E2097,"Gmail"),"")</f>
        <v/>
      </c>
      <c r="J2097">
        <f>IF(E2097="Outlook",COUNTIF($E$2:E2097,"Outlook"),"")</f>
        <v/>
      </c>
      <c r="K2097">
        <f>IF(E2097="Domain",COUNTIF($E$2:E2097,"Domain"),"")</f>
        <v/>
      </c>
    </row>
    <row r="2098">
      <c r="A2098" s="2" t="n"/>
      <c r="B2098">
        <f>LOWER(TRIM(A2098))</f>
        <v/>
      </c>
      <c r="C2098">
        <f>IF(B2098="","",IFERROR(INDEX('Bad Patterns'!$A$2:$A$120,MATCH(1,INDEX(--ISNUMBER(SEARCH('Bad Patterns'!$A$2:$A$120,B2098)),0),0)),""))</f>
        <v/>
      </c>
      <c r="D2098">
        <f>IF(B2098="","",IF(C2098&lt;&gt;"","REMOVE","KEEP"))</f>
        <v/>
      </c>
      <c r="E2098">
        <f>IF(D2098&lt;&gt;"KEEP","",IF(RIGHT(B2098,10)="@gmail.com","Gmail",IF(OR(RIGHT(B2098,12)="@outlook.com",RIGHT(B2098,12)="@hotmail.com",RIGHT(B2098,9)="@live.com"),"Outlook","Domain")))</f>
        <v/>
      </c>
      <c r="F2098">
        <f>IF(B2098="","",IFERROR(RIGHT(B2098,LEN(B2098)-FIND("@",B2098)),""))</f>
        <v/>
      </c>
      <c r="G2098">
        <f>IF(D2098="KEEP",COUNTIF($D$2:D2098,"KEEP"),"")</f>
        <v/>
      </c>
      <c r="H2098">
        <f>IF(D2098="REMOVE",COUNTIF($D$2:D2098,"REMOVE"),"")</f>
        <v/>
      </c>
      <c r="I2098">
        <f>IF(E2098="Gmail",COUNTIF($E$2:E2098,"Gmail"),"")</f>
        <v/>
      </c>
      <c r="J2098">
        <f>IF(E2098="Outlook",COUNTIF($E$2:E2098,"Outlook"),"")</f>
        <v/>
      </c>
      <c r="K2098">
        <f>IF(E2098="Domain",COUNTIF($E$2:E2098,"Domain"),"")</f>
        <v/>
      </c>
    </row>
    <row r="2099">
      <c r="A2099" s="2" t="n"/>
      <c r="B2099">
        <f>LOWER(TRIM(A2099))</f>
        <v/>
      </c>
      <c r="C2099">
        <f>IF(B2099="","",IFERROR(INDEX('Bad Patterns'!$A$2:$A$120,MATCH(1,INDEX(--ISNUMBER(SEARCH('Bad Patterns'!$A$2:$A$120,B2099)),0),0)),""))</f>
        <v/>
      </c>
      <c r="D2099">
        <f>IF(B2099="","",IF(C2099&lt;&gt;"","REMOVE","KEEP"))</f>
        <v/>
      </c>
      <c r="E2099">
        <f>IF(D2099&lt;&gt;"KEEP","",IF(RIGHT(B2099,10)="@gmail.com","Gmail",IF(OR(RIGHT(B2099,12)="@outlook.com",RIGHT(B2099,12)="@hotmail.com",RIGHT(B2099,9)="@live.com"),"Outlook","Domain")))</f>
        <v/>
      </c>
      <c r="F2099">
        <f>IF(B2099="","",IFERROR(RIGHT(B2099,LEN(B2099)-FIND("@",B2099)),""))</f>
        <v/>
      </c>
      <c r="G2099">
        <f>IF(D2099="KEEP",COUNTIF($D$2:D2099,"KEEP"),"")</f>
        <v/>
      </c>
      <c r="H2099">
        <f>IF(D2099="REMOVE",COUNTIF($D$2:D2099,"REMOVE"),"")</f>
        <v/>
      </c>
      <c r="I2099">
        <f>IF(E2099="Gmail",COUNTIF($E$2:E2099,"Gmail"),"")</f>
        <v/>
      </c>
      <c r="J2099">
        <f>IF(E2099="Outlook",COUNTIF($E$2:E2099,"Outlook"),"")</f>
        <v/>
      </c>
      <c r="K2099">
        <f>IF(E2099="Domain",COUNTIF($E$2:E2099,"Domain"),"")</f>
        <v/>
      </c>
    </row>
    <row r="2100">
      <c r="A2100" s="2" t="n"/>
      <c r="B2100">
        <f>LOWER(TRIM(A2100))</f>
        <v/>
      </c>
      <c r="C2100">
        <f>IF(B2100="","",IFERROR(INDEX('Bad Patterns'!$A$2:$A$120,MATCH(1,INDEX(--ISNUMBER(SEARCH('Bad Patterns'!$A$2:$A$120,B2100)),0),0)),""))</f>
        <v/>
      </c>
      <c r="D2100">
        <f>IF(B2100="","",IF(C2100&lt;&gt;"","REMOVE","KEEP"))</f>
        <v/>
      </c>
      <c r="E2100">
        <f>IF(D2100&lt;&gt;"KEEP","",IF(RIGHT(B2100,10)="@gmail.com","Gmail",IF(OR(RIGHT(B2100,12)="@outlook.com",RIGHT(B2100,12)="@hotmail.com",RIGHT(B2100,9)="@live.com"),"Outlook","Domain")))</f>
        <v/>
      </c>
      <c r="F2100">
        <f>IF(B2100="","",IFERROR(RIGHT(B2100,LEN(B2100)-FIND("@",B2100)),""))</f>
        <v/>
      </c>
      <c r="G2100">
        <f>IF(D2100="KEEP",COUNTIF($D$2:D2100,"KEEP"),"")</f>
        <v/>
      </c>
      <c r="H2100">
        <f>IF(D2100="REMOVE",COUNTIF($D$2:D2100,"REMOVE"),"")</f>
        <v/>
      </c>
      <c r="I2100">
        <f>IF(E2100="Gmail",COUNTIF($E$2:E2100,"Gmail"),"")</f>
        <v/>
      </c>
      <c r="J2100">
        <f>IF(E2100="Outlook",COUNTIF($E$2:E2100,"Outlook"),"")</f>
        <v/>
      </c>
      <c r="K2100">
        <f>IF(E2100="Domain",COUNTIF($E$2:E2100,"Domain"),"")</f>
        <v/>
      </c>
    </row>
    <row r="2101">
      <c r="A2101" s="2" t="n"/>
      <c r="B2101">
        <f>LOWER(TRIM(A2101))</f>
        <v/>
      </c>
      <c r="C2101">
        <f>IF(B2101="","",IFERROR(INDEX('Bad Patterns'!$A$2:$A$120,MATCH(1,INDEX(--ISNUMBER(SEARCH('Bad Patterns'!$A$2:$A$120,B2101)),0),0)),""))</f>
        <v/>
      </c>
      <c r="D2101">
        <f>IF(B2101="","",IF(C2101&lt;&gt;"","REMOVE","KEEP"))</f>
        <v/>
      </c>
      <c r="E2101">
        <f>IF(D2101&lt;&gt;"KEEP","",IF(RIGHT(B2101,10)="@gmail.com","Gmail",IF(OR(RIGHT(B2101,12)="@outlook.com",RIGHT(B2101,12)="@hotmail.com",RIGHT(B2101,9)="@live.com"),"Outlook","Domain")))</f>
        <v/>
      </c>
      <c r="F2101">
        <f>IF(B2101="","",IFERROR(RIGHT(B2101,LEN(B2101)-FIND("@",B2101)),""))</f>
        <v/>
      </c>
      <c r="G2101">
        <f>IF(D2101="KEEP",COUNTIF($D$2:D2101,"KEEP"),"")</f>
        <v/>
      </c>
      <c r="H2101">
        <f>IF(D2101="REMOVE",COUNTIF($D$2:D2101,"REMOVE"),"")</f>
        <v/>
      </c>
      <c r="I2101">
        <f>IF(E2101="Gmail",COUNTIF($E$2:E2101,"Gmail"),"")</f>
        <v/>
      </c>
      <c r="J2101">
        <f>IF(E2101="Outlook",COUNTIF($E$2:E2101,"Outlook"),"")</f>
        <v/>
      </c>
      <c r="K2101">
        <f>IF(E2101="Domain",COUNTIF($E$2:E2101,"Domain"),"")</f>
        <v/>
      </c>
    </row>
    <row r="2102">
      <c r="A2102" s="2" t="n"/>
      <c r="B2102">
        <f>LOWER(TRIM(A2102))</f>
        <v/>
      </c>
      <c r="C2102">
        <f>IF(B2102="","",IFERROR(INDEX('Bad Patterns'!$A$2:$A$120,MATCH(1,INDEX(--ISNUMBER(SEARCH('Bad Patterns'!$A$2:$A$120,B2102)),0),0)),""))</f>
        <v/>
      </c>
      <c r="D2102">
        <f>IF(B2102="","",IF(C2102&lt;&gt;"","REMOVE","KEEP"))</f>
        <v/>
      </c>
      <c r="E2102">
        <f>IF(D2102&lt;&gt;"KEEP","",IF(RIGHT(B2102,10)="@gmail.com","Gmail",IF(OR(RIGHT(B2102,12)="@outlook.com",RIGHT(B2102,12)="@hotmail.com",RIGHT(B2102,9)="@live.com"),"Outlook","Domain")))</f>
        <v/>
      </c>
      <c r="F2102">
        <f>IF(B2102="","",IFERROR(RIGHT(B2102,LEN(B2102)-FIND("@",B2102)),""))</f>
        <v/>
      </c>
      <c r="G2102">
        <f>IF(D2102="KEEP",COUNTIF($D$2:D2102,"KEEP"),"")</f>
        <v/>
      </c>
      <c r="H2102">
        <f>IF(D2102="REMOVE",COUNTIF($D$2:D2102,"REMOVE"),"")</f>
        <v/>
      </c>
      <c r="I2102">
        <f>IF(E2102="Gmail",COUNTIF($E$2:E2102,"Gmail"),"")</f>
        <v/>
      </c>
      <c r="J2102">
        <f>IF(E2102="Outlook",COUNTIF($E$2:E2102,"Outlook"),"")</f>
        <v/>
      </c>
      <c r="K2102">
        <f>IF(E2102="Domain",COUNTIF($E$2:E2102,"Domain"),"")</f>
        <v/>
      </c>
    </row>
    <row r="2103">
      <c r="A2103" s="2" t="n"/>
      <c r="B2103">
        <f>LOWER(TRIM(A2103))</f>
        <v/>
      </c>
      <c r="C2103">
        <f>IF(B2103="","",IFERROR(INDEX('Bad Patterns'!$A$2:$A$120,MATCH(1,INDEX(--ISNUMBER(SEARCH('Bad Patterns'!$A$2:$A$120,B2103)),0),0)),""))</f>
        <v/>
      </c>
      <c r="D2103">
        <f>IF(B2103="","",IF(C2103&lt;&gt;"","REMOVE","KEEP"))</f>
        <v/>
      </c>
      <c r="E2103">
        <f>IF(D2103&lt;&gt;"KEEP","",IF(RIGHT(B2103,10)="@gmail.com","Gmail",IF(OR(RIGHT(B2103,12)="@outlook.com",RIGHT(B2103,12)="@hotmail.com",RIGHT(B2103,9)="@live.com"),"Outlook","Domain")))</f>
        <v/>
      </c>
      <c r="F2103">
        <f>IF(B2103="","",IFERROR(RIGHT(B2103,LEN(B2103)-FIND("@",B2103)),""))</f>
        <v/>
      </c>
      <c r="G2103">
        <f>IF(D2103="KEEP",COUNTIF($D$2:D2103,"KEEP"),"")</f>
        <v/>
      </c>
      <c r="H2103">
        <f>IF(D2103="REMOVE",COUNTIF($D$2:D2103,"REMOVE"),"")</f>
        <v/>
      </c>
      <c r="I2103">
        <f>IF(E2103="Gmail",COUNTIF($E$2:E2103,"Gmail"),"")</f>
        <v/>
      </c>
      <c r="J2103">
        <f>IF(E2103="Outlook",COUNTIF($E$2:E2103,"Outlook"),"")</f>
        <v/>
      </c>
      <c r="K2103">
        <f>IF(E2103="Domain",COUNTIF($E$2:E2103,"Domain"),"")</f>
        <v/>
      </c>
    </row>
    <row r="2104">
      <c r="A2104" s="2" t="n"/>
      <c r="B2104">
        <f>LOWER(TRIM(A2104))</f>
        <v/>
      </c>
      <c r="C2104">
        <f>IF(B2104="","",IFERROR(INDEX('Bad Patterns'!$A$2:$A$120,MATCH(1,INDEX(--ISNUMBER(SEARCH('Bad Patterns'!$A$2:$A$120,B2104)),0),0)),""))</f>
        <v/>
      </c>
      <c r="D2104">
        <f>IF(B2104="","",IF(C2104&lt;&gt;"","REMOVE","KEEP"))</f>
        <v/>
      </c>
      <c r="E2104">
        <f>IF(D2104&lt;&gt;"KEEP","",IF(RIGHT(B2104,10)="@gmail.com","Gmail",IF(OR(RIGHT(B2104,12)="@outlook.com",RIGHT(B2104,12)="@hotmail.com",RIGHT(B2104,9)="@live.com"),"Outlook","Domain")))</f>
        <v/>
      </c>
      <c r="F2104">
        <f>IF(B2104="","",IFERROR(RIGHT(B2104,LEN(B2104)-FIND("@",B2104)),""))</f>
        <v/>
      </c>
      <c r="G2104">
        <f>IF(D2104="KEEP",COUNTIF($D$2:D2104,"KEEP"),"")</f>
        <v/>
      </c>
      <c r="H2104">
        <f>IF(D2104="REMOVE",COUNTIF($D$2:D2104,"REMOVE"),"")</f>
        <v/>
      </c>
      <c r="I2104">
        <f>IF(E2104="Gmail",COUNTIF($E$2:E2104,"Gmail"),"")</f>
        <v/>
      </c>
      <c r="J2104">
        <f>IF(E2104="Outlook",COUNTIF($E$2:E2104,"Outlook"),"")</f>
        <v/>
      </c>
      <c r="K2104">
        <f>IF(E2104="Domain",COUNTIF($E$2:E2104,"Domain"),"")</f>
        <v/>
      </c>
    </row>
    <row r="2105">
      <c r="A2105" s="2" t="n"/>
      <c r="B2105">
        <f>LOWER(TRIM(A2105))</f>
        <v/>
      </c>
      <c r="C2105">
        <f>IF(B2105="","",IFERROR(INDEX('Bad Patterns'!$A$2:$A$120,MATCH(1,INDEX(--ISNUMBER(SEARCH('Bad Patterns'!$A$2:$A$120,B2105)),0),0)),""))</f>
        <v/>
      </c>
      <c r="D2105">
        <f>IF(B2105="","",IF(C2105&lt;&gt;"","REMOVE","KEEP"))</f>
        <v/>
      </c>
      <c r="E2105">
        <f>IF(D2105&lt;&gt;"KEEP","",IF(RIGHT(B2105,10)="@gmail.com","Gmail",IF(OR(RIGHT(B2105,12)="@outlook.com",RIGHT(B2105,12)="@hotmail.com",RIGHT(B2105,9)="@live.com"),"Outlook","Domain")))</f>
        <v/>
      </c>
      <c r="F2105">
        <f>IF(B2105="","",IFERROR(RIGHT(B2105,LEN(B2105)-FIND("@",B2105)),""))</f>
        <v/>
      </c>
      <c r="G2105">
        <f>IF(D2105="KEEP",COUNTIF($D$2:D2105,"KEEP"),"")</f>
        <v/>
      </c>
      <c r="H2105">
        <f>IF(D2105="REMOVE",COUNTIF($D$2:D2105,"REMOVE"),"")</f>
        <v/>
      </c>
      <c r="I2105">
        <f>IF(E2105="Gmail",COUNTIF($E$2:E2105,"Gmail"),"")</f>
        <v/>
      </c>
      <c r="J2105">
        <f>IF(E2105="Outlook",COUNTIF($E$2:E2105,"Outlook"),"")</f>
        <v/>
      </c>
      <c r="K2105">
        <f>IF(E2105="Domain",COUNTIF($E$2:E2105,"Domain"),"")</f>
        <v/>
      </c>
    </row>
    <row r="2106">
      <c r="A2106" s="2" t="n"/>
      <c r="B2106">
        <f>LOWER(TRIM(A2106))</f>
        <v/>
      </c>
      <c r="C2106">
        <f>IF(B2106="","",IFERROR(INDEX('Bad Patterns'!$A$2:$A$120,MATCH(1,INDEX(--ISNUMBER(SEARCH('Bad Patterns'!$A$2:$A$120,B2106)),0),0)),""))</f>
        <v/>
      </c>
      <c r="D2106">
        <f>IF(B2106="","",IF(C2106&lt;&gt;"","REMOVE","KEEP"))</f>
        <v/>
      </c>
      <c r="E2106">
        <f>IF(D2106&lt;&gt;"KEEP","",IF(RIGHT(B2106,10)="@gmail.com","Gmail",IF(OR(RIGHT(B2106,12)="@outlook.com",RIGHT(B2106,12)="@hotmail.com",RIGHT(B2106,9)="@live.com"),"Outlook","Domain")))</f>
        <v/>
      </c>
      <c r="F2106">
        <f>IF(B2106="","",IFERROR(RIGHT(B2106,LEN(B2106)-FIND("@",B2106)),""))</f>
        <v/>
      </c>
      <c r="G2106">
        <f>IF(D2106="KEEP",COUNTIF($D$2:D2106,"KEEP"),"")</f>
        <v/>
      </c>
      <c r="H2106">
        <f>IF(D2106="REMOVE",COUNTIF($D$2:D2106,"REMOVE"),"")</f>
        <v/>
      </c>
      <c r="I2106">
        <f>IF(E2106="Gmail",COUNTIF($E$2:E2106,"Gmail"),"")</f>
        <v/>
      </c>
      <c r="J2106">
        <f>IF(E2106="Outlook",COUNTIF($E$2:E2106,"Outlook"),"")</f>
        <v/>
      </c>
      <c r="K2106">
        <f>IF(E2106="Domain",COUNTIF($E$2:E2106,"Domain"),"")</f>
        <v/>
      </c>
    </row>
    <row r="2107">
      <c r="A2107" s="2" t="n"/>
      <c r="B2107">
        <f>LOWER(TRIM(A2107))</f>
        <v/>
      </c>
      <c r="C2107">
        <f>IF(B2107="","",IFERROR(INDEX('Bad Patterns'!$A$2:$A$120,MATCH(1,INDEX(--ISNUMBER(SEARCH('Bad Patterns'!$A$2:$A$120,B2107)),0),0)),""))</f>
        <v/>
      </c>
      <c r="D2107">
        <f>IF(B2107="","",IF(C2107&lt;&gt;"","REMOVE","KEEP"))</f>
        <v/>
      </c>
      <c r="E2107">
        <f>IF(D2107&lt;&gt;"KEEP","",IF(RIGHT(B2107,10)="@gmail.com","Gmail",IF(OR(RIGHT(B2107,12)="@outlook.com",RIGHT(B2107,12)="@hotmail.com",RIGHT(B2107,9)="@live.com"),"Outlook","Domain")))</f>
        <v/>
      </c>
      <c r="F2107">
        <f>IF(B2107="","",IFERROR(RIGHT(B2107,LEN(B2107)-FIND("@",B2107)),""))</f>
        <v/>
      </c>
      <c r="G2107">
        <f>IF(D2107="KEEP",COUNTIF($D$2:D2107,"KEEP"),"")</f>
        <v/>
      </c>
      <c r="H2107">
        <f>IF(D2107="REMOVE",COUNTIF($D$2:D2107,"REMOVE"),"")</f>
        <v/>
      </c>
      <c r="I2107">
        <f>IF(E2107="Gmail",COUNTIF($E$2:E2107,"Gmail"),"")</f>
        <v/>
      </c>
      <c r="J2107">
        <f>IF(E2107="Outlook",COUNTIF($E$2:E2107,"Outlook"),"")</f>
        <v/>
      </c>
      <c r="K2107">
        <f>IF(E2107="Domain",COUNTIF($E$2:E2107,"Domain"),"")</f>
        <v/>
      </c>
    </row>
    <row r="2108">
      <c r="A2108" s="2" t="n"/>
      <c r="B2108">
        <f>LOWER(TRIM(A2108))</f>
        <v/>
      </c>
      <c r="C2108">
        <f>IF(B2108="","",IFERROR(INDEX('Bad Patterns'!$A$2:$A$120,MATCH(1,INDEX(--ISNUMBER(SEARCH('Bad Patterns'!$A$2:$A$120,B2108)),0),0)),""))</f>
        <v/>
      </c>
      <c r="D2108">
        <f>IF(B2108="","",IF(C2108&lt;&gt;"","REMOVE","KEEP"))</f>
        <v/>
      </c>
      <c r="E2108">
        <f>IF(D2108&lt;&gt;"KEEP","",IF(RIGHT(B2108,10)="@gmail.com","Gmail",IF(OR(RIGHT(B2108,12)="@outlook.com",RIGHT(B2108,12)="@hotmail.com",RIGHT(B2108,9)="@live.com"),"Outlook","Domain")))</f>
        <v/>
      </c>
      <c r="F2108">
        <f>IF(B2108="","",IFERROR(RIGHT(B2108,LEN(B2108)-FIND("@",B2108)),""))</f>
        <v/>
      </c>
      <c r="G2108">
        <f>IF(D2108="KEEP",COUNTIF($D$2:D2108,"KEEP"),"")</f>
        <v/>
      </c>
      <c r="H2108">
        <f>IF(D2108="REMOVE",COUNTIF($D$2:D2108,"REMOVE"),"")</f>
        <v/>
      </c>
      <c r="I2108">
        <f>IF(E2108="Gmail",COUNTIF($E$2:E2108,"Gmail"),"")</f>
        <v/>
      </c>
      <c r="J2108">
        <f>IF(E2108="Outlook",COUNTIF($E$2:E2108,"Outlook"),"")</f>
        <v/>
      </c>
      <c r="K2108">
        <f>IF(E2108="Domain",COUNTIF($E$2:E2108,"Domain"),"")</f>
        <v/>
      </c>
    </row>
    <row r="2109">
      <c r="A2109" s="2" t="n"/>
      <c r="B2109">
        <f>LOWER(TRIM(A2109))</f>
        <v/>
      </c>
      <c r="C2109">
        <f>IF(B2109="","",IFERROR(INDEX('Bad Patterns'!$A$2:$A$120,MATCH(1,INDEX(--ISNUMBER(SEARCH('Bad Patterns'!$A$2:$A$120,B2109)),0),0)),""))</f>
        <v/>
      </c>
      <c r="D2109">
        <f>IF(B2109="","",IF(C2109&lt;&gt;"","REMOVE","KEEP"))</f>
        <v/>
      </c>
      <c r="E2109">
        <f>IF(D2109&lt;&gt;"KEEP","",IF(RIGHT(B2109,10)="@gmail.com","Gmail",IF(OR(RIGHT(B2109,12)="@outlook.com",RIGHT(B2109,12)="@hotmail.com",RIGHT(B2109,9)="@live.com"),"Outlook","Domain")))</f>
        <v/>
      </c>
      <c r="F2109">
        <f>IF(B2109="","",IFERROR(RIGHT(B2109,LEN(B2109)-FIND("@",B2109)),""))</f>
        <v/>
      </c>
      <c r="G2109">
        <f>IF(D2109="KEEP",COUNTIF($D$2:D2109,"KEEP"),"")</f>
        <v/>
      </c>
      <c r="H2109">
        <f>IF(D2109="REMOVE",COUNTIF($D$2:D2109,"REMOVE"),"")</f>
        <v/>
      </c>
      <c r="I2109">
        <f>IF(E2109="Gmail",COUNTIF($E$2:E2109,"Gmail"),"")</f>
        <v/>
      </c>
      <c r="J2109">
        <f>IF(E2109="Outlook",COUNTIF($E$2:E2109,"Outlook"),"")</f>
        <v/>
      </c>
      <c r="K2109">
        <f>IF(E2109="Domain",COUNTIF($E$2:E2109,"Domain"),"")</f>
        <v/>
      </c>
    </row>
    <row r="2110">
      <c r="A2110" s="2" t="n"/>
      <c r="B2110">
        <f>LOWER(TRIM(A2110))</f>
        <v/>
      </c>
      <c r="C2110">
        <f>IF(B2110="","",IFERROR(INDEX('Bad Patterns'!$A$2:$A$120,MATCH(1,INDEX(--ISNUMBER(SEARCH('Bad Patterns'!$A$2:$A$120,B2110)),0),0)),""))</f>
        <v/>
      </c>
      <c r="D2110">
        <f>IF(B2110="","",IF(C2110&lt;&gt;"","REMOVE","KEEP"))</f>
        <v/>
      </c>
      <c r="E2110">
        <f>IF(D2110&lt;&gt;"KEEP","",IF(RIGHT(B2110,10)="@gmail.com","Gmail",IF(OR(RIGHT(B2110,12)="@outlook.com",RIGHT(B2110,12)="@hotmail.com",RIGHT(B2110,9)="@live.com"),"Outlook","Domain")))</f>
        <v/>
      </c>
      <c r="F2110">
        <f>IF(B2110="","",IFERROR(RIGHT(B2110,LEN(B2110)-FIND("@",B2110)),""))</f>
        <v/>
      </c>
      <c r="G2110">
        <f>IF(D2110="KEEP",COUNTIF($D$2:D2110,"KEEP"),"")</f>
        <v/>
      </c>
      <c r="H2110">
        <f>IF(D2110="REMOVE",COUNTIF($D$2:D2110,"REMOVE"),"")</f>
        <v/>
      </c>
      <c r="I2110">
        <f>IF(E2110="Gmail",COUNTIF($E$2:E2110,"Gmail"),"")</f>
        <v/>
      </c>
      <c r="J2110">
        <f>IF(E2110="Outlook",COUNTIF($E$2:E2110,"Outlook"),"")</f>
        <v/>
      </c>
      <c r="K2110">
        <f>IF(E2110="Domain",COUNTIF($E$2:E2110,"Domain"),"")</f>
        <v/>
      </c>
    </row>
    <row r="2111">
      <c r="A2111" s="2" t="n"/>
      <c r="B2111">
        <f>LOWER(TRIM(A2111))</f>
        <v/>
      </c>
      <c r="C2111">
        <f>IF(B2111="","",IFERROR(INDEX('Bad Patterns'!$A$2:$A$120,MATCH(1,INDEX(--ISNUMBER(SEARCH('Bad Patterns'!$A$2:$A$120,B2111)),0),0)),""))</f>
        <v/>
      </c>
      <c r="D2111">
        <f>IF(B2111="","",IF(C2111&lt;&gt;"","REMOVE","KEEP"))</f>
        <v/>
      </c>
      <c r="E2111">
        <f>IF(D2111&lt;&gt;"KEEP","",IF(RIGHT(B2111,10)="@gmail.com","Gmail",IF(OR(RIGHT(B2111,12)="@outlook.com",RIGHT(B2111,12)="@hotmail.com",RIGHT(B2111,9)="@live.com"),"Outlook","Domain")))</f>
        <v/>
      </c>
      <c r="F2111">
        <f>IF(B2111="","",IFERROR(RIGHT(B2111,LEN(B2111)-FIND("@",B2111)),""))</f>
        <v/>
      </c>
      <c r="G2111">
        <f>IF(D2111="KEEP",COUNTIF($D$2:D2111,"KEEP"),"")</f>
        <v/>
      </c>
      <c r="H2111">
        <f>IF(D2111="REMOVE",COUNTIF($D$2:D2111,"REMOVE"),"")</f>
        <v/>
      </c>
      <c r="I2111">
        <f>IF(E2111="Gmail",COUNTIF($E$2:E2111,"Gmail"),"")</f>
        <v/>
      </c>
      <c r="J2111">
        <f>IF(E2111="Outlook",COUNTIF($E$2:E2111,"Outlook"),"")</f>
        <v/>
      </c>
      <c r="K2111">
        <f>IF(E2111="Domain",COUNTIF($E$2:E2111,"Domain"),"")</f>
        <v/>
      </c>
    </row>
    <row r="2112">
      <c r="A2112" s="2" t="n"/>
      <c r="B2112">
        <f>LOWER(TRIM(A2112))</f>
        <v/>
      </c>
      <c r="C2112">
        <f>IF(B2112="","",IFERROR(INDEX('Bad Patterns'!$A$2:$A$120,MATCH(1,INDEX(--ISNUMBER(SEARCH('Bad Patterns'!$A$2:$A$120,B2112)),0),0)),""))</f>
        <v/>
      </c>
      <c r="D2112">
        <f>IF(B2112="","",IF(C2112&lt;&gt;"","REMOVE","KEEP"))</f>
        <v/>
      </c>
      <c r="E2112">
        <f>IF(D2112&lt;&gt;"KEEP","",IF(RIGHT(B2112,10)="@gmail.com","Gmail",IF(OR(RIGHT(B2112,12)="@outlook.com",RIGHT(B2112,12)="@hotmail.com",RIGHT(B2112,9)="@live.com"),"Outlook","Domain")))</f>
        <v/>
      </c>
      <c r="F2112">
        <f>IF(B2112="","",IFERROR(RIGHT(B2112,LEN(B2112)-FIND("@",B2112)),""))</f>
        <v/>
      </c>
      <c r="G2112">
        <f>IF(D2112="KEEP",COUNTIF($D$2:D2112,"KEEP"),"")</f>
        <v/>
      </c>
      <c r="H2112">
        <f>IF(D2112="REMOVE",COUNTIF($D$2:D2112,"REMOVE"),"")</f>
        <v/>
      </c>
      <c r="I2112">
        <f>IF(E2112="Gmail",COUNTIF($E$2:E2112,"Gmail"),"")</f>
        <v/>
      </c>
      <c r="J2112">
        <f>IF(E2112="Outlook",COUNTIF($E$2:E2112,"Outlook"),"")</f>
        <v/>
      </c>
      <c r="K2112">
        <f>IF(E2112="Domain",COUNTIF($E$2:E2112,"Domain"),"")</f>
        <v/>
      </c>
    </row>
    <row r="2113">
      <c r="A2113" s="2" t="n"/>
      <c r="B2113">
        <f>LOWER(TRIM(A2113))</f>
        <v/>
      </c>
      <c r="C2113">
        <f>IF(B2113="","",IFERROR(INDEX('Bad Patterns'!$A$2:$A$120,MATCH(1,INDEX(--ISNUMBER(SEARCH('Bad Patterns'!$A$2:$A$120,B2113)),0),0)),""))</f>
        <v/>
      </c>
      <c r="D2113">
        <f>IF(B2113="","",IF(C2113&lt;&gt;"","REMOVE","KEEP"))</f>
        <v/>
      </c>
      <c r="E2113">
        <f>IF(D2113&lt;&gt;"KEEP","",IF(RIGHT(B2113,10)="@gmail.com","Gmail",IF(OR(RIGHT(B2113,12)="@outlook.com",RIGHT(B2113,12)="@hotmail.com",RIGHT(B2113,9)="@live.com"),"Outlook","Domain")))</f>
        <v/>
      </c>
      <c r="F2113">
        <f>IF(B2113="","",IFERROR(RIGHT(B2113,LEN(B2113)-FIND("@",B2113)),""))</f>
        <v/>
      </c>
      <c r="G2113">
        <f>IF(D2113="KEEP",COUNTIF($D$2:D2113,"KEEP"),"")</f>
        <v/>
      </c>
      <c r="H2113">
        <f>IF(D2113="REMOVE",COUNTIF($D$2:D2113,"REMOVE"),"")</f>
        <v/>
      </c>
      <c r="I2113">
        <f>IF(E2113="Gmail",COUNTIF($E$2:E2113,"Gmail"),"")</f>
        <v/>
      </c>
      <c r="J2113">
        <f>IF(E2113="Outlook",COUNTIF($E$2:E2113,"Outlook"),"")</f>
        <v/>
      </c>
      <c r="K2113">
        <f>IF(E2113="Domain",COUNTIF($E$2:E2113,"Domain"),"")</f>
        <v/>
      </c>
    </row>
    <row r="2114">
      <c r="A2114" s="2" t="n"/>
      <c r="B2114">
        <f>LOWER(TRIM(A2114))</f>
        <v/>
      </c>
      <c r="C2114">
        <f>IF(B2114="","",IFERROR(INDEX('Bad Patterns'!$A$2:$A$120,MATCH(1,INDEX(--ISNUMBER(SEARCH('Bad Patterns'!$A$2:$A$120,B2114)),0),0)),""))</f>
        <v/>
      </c>
      <c r="D2114">
        <f>IF(B2114="","",IF(C2114&lt;&gt;"","REMOVE","KEEP"))</f>
        <v/>
      </c>
      <c r="E2114">
        <f>IF(D2114&lt;&gt;"KEEP","",IF(RIGHT(B2114,10)="@gmail.com","Gmail",IF(OR(RIGHT(B2114,12)="@outlook.com",RIGHT(B2114,12)="@hotmail.com",RIGHT(B2114,9)="@live.com"),"Outlook","Domain")))</f>
        <v/>
      </c>
      <c r="F2114">
        <f>IF(B2114="","",IFERROR(RIGHT(B2114,LEN(B2114)-FIND("@",B2114)),""))</f>
        <v/>
      </c>
      <c r="G2114">
        <f>IF(D2114="KEEP",COUNTIF($D$2:D2114,"KEEP"),"")</f>
        <v/>
      </c>
      <c r="H2114">
        <f>IF(D2114="REMOVE",COUNTIF($D$2:D2114,"REMOVE"),"")</f>
        <v/>
      </c>
      <c r="I2114">
        <f>IF(E2114="Gmail",COUNTIF($E$2:E2114,"Gmail"),"")</f>
        <v/>
      </c>
      <c r="J2114">
        <f>IF(E2114="Outlook",COUNTIF($E$2:E2114,"Outlook"),"")</f>
        <v/>
      </c>
      <c r="K2114">
        <f>IF(E2114="Domain",COUNTIF($E$2:E2114,"Domain"),"")</f>
        <v/>
      </c>
    </row>
    <row r="2115">
      <c r="A2115" s="2" t="n"/>
      <c r="B2115">
        <f>LOWER(TRIM(A2115))</f>
        <v/>
      </c>
      <c r="C2115">
        <f>IF(B2115="","",IFERROR(INDEX('Bad Patterns'!$A$2:$A$120,MATCH(1,INDEX(--ISNUMBER(SEARCH('Bad Patterns'!$A$2:$A$120,B2115)),0),0)),""))</f>
        <v/>
      </c>
      <c r="D2115">
        <f>IF(B2115="","",IF(C2115&lt;&gt;"","REMOVE","KEEP"))</f>
        <v/>
      </c>
      <c r="E2115">
        <f>IF(D2115&lt;&gt;"KEEP","",IF(RIGHT(B2115,10)="@gmail.com","Gmail",IF(OR(RIGHT(B2115,12)="@outlook.com",RIGHT(B2115,12)="@hotmail.com",RIGHT(B2115,9)="@live.com"),"Outlook","Domain")))</f>
        <v/>
      </c>
      <c r="F2115">
        <f>IF(B2115="","",IFERROR(RIGHT(B2115,LEN(B2115)-FIND("@",B2115)),""))</f>
        <v/>
      </c>
      <c r="G2115">
        <f>IF(D2115="KEEP",COUNTIF($D$2:D2115,"KEEP"),"")</f>
        <v/>
      </c>
      <c r="H2115">
        <f>IF(D2115="REMOVE",COUNTIF($D$2:D2115,"REMOVE"),"")</f>
        <v/>
      </c>
      <c r="I2115">
        <f>IF(E2115="Gmail",COUNTIF($E$2:E2115,"Gmail"),"")</f>
        <v/>
      </c>
      <c r="J2115">
        <f>IF(E2115="Outlook",COUNTIF($E$2:E2115,"Outlook"),"")</f>
        <v/>
      </c>
      <c r="K2115">
        <f>IF(E2115="Domain",COUNTIF($E$2:E2115,"Domain"),"")</f>
        <v/>
      </c>
    </row>
    <row r="2116">
      <c r="A2116" s="2" t="n"/>
      <c r="B2116">
        <f>LOWER(TRIM(A2116))</f>
        <v/>
      </c>
      <c r="C2116">
        <f>IF(B2116="","",IFERROR(INDEX('Bad Patterns'!$A$2:$A$120,MATCH(1,INDEX(--ISNUMBER(SEARCH('Bad Patterns'!$A$2:$A$120,B2116)),0),0)),""))</f>
        <v/>
      </c>
      <c r="D2116">
        <f>IF(B2116="","",IF(C2116&lt;&gt;"","REMOVE","KEEP"))</f>
        <v/>
      </c>
      <c r="E2116">
        <f>IF(D2116&lt;&gt;"KEEP","",IF(RIGHT(B2116,10)="@gmail.com","Gmail",IF(OR(RIGHT(B2116,12)="@outlook.com",RIGHT(B2116,12)="@hotmail.com",RIGHT(B2116,9)="@live.com"),"Outlook","Domain")))</f>
        <v/>
      </c>
      <c r="F2116">
        <f>IF(B2116="","",IFERROR(RIGHT(B2116,LEN(B2116)-FIND("@",B2116)),""))</f>
        <v/>
      </c>
      <c r="G2116">
        <f>IF(D2116="KEEP",COUNTIF($D$2:D2116,"KEEP"),"")</f>
        <v/>
      </c>
      <c r="H2116">
        <f>IF(D2116="REMOVE",COUNTIF($D$2:D2116,"REMOVE"),"")</f>
        <v/>
      </c>
      <c r="I2116">
        <f>IF(E2116="Gmail",COUNTIF($E$2:E2116,"Gmail"),"")</f>
        <v/>
      </c>
      <c r="J2116">
        <f>IF(E2116="Outlook",COUNTIF($E$2:E2116,"Outlook"),"")</f>
        <v/>
      </c>
      <c r="K2116">
        <f>IF(E2116="Domain",COUNTIF($E$2:E2116,"Domain"),"")</f>
        <v/>
      </c>
    </row>
    <row r="2117">
      <c r="A2117" s="2" t="n"/>
      <c r="B2117">
        <f>LOWER(TRIM(A2117))</f>
        <v/>
      </c>
      <c r="C2117">
        <f>IF(B2117="","",IFERROR(INDEX('Bad Patterns'!$A$2:$A$120,MATCH(1,INDEX(--ISNUMBER(SEARCH('Bad Patterns'!$A$2:$A$120,B2117)),0),0)),""))</f>
        <v/>
      </c>
      <c r="D2117">
        <f>IF(B2117="","",IF(C2117&lt;&gt;"","REMOVE","KEEP"))</f>
        <v/>
      </c>
      <c r="E2117">
        <f>IF(D2117&lt;&gt;"KEEP","",IF(RIGHT(B2117,10)="@gmail.com","Gmail",IF(OR(RIGHT(B2117,12)="@outlook.com",RIGHT(B2117,12)="@hotmail.com",RIGHT(B2117,9)="@live.com"),"Outlook","Domain")))</f>
        <v/>
      </c>
      <c r="F2117">
        <f>IF(B2117="","",IFERROR(RIGHT(B2117,LEN(B2117)-FIND("@",B2117)),""))</f>
        <v/>
      </c>
      <c r="G2117">
        <f>IF(D2117="KEEP",COUNTIF($D$2:D2117,"KEEP"),"")</f>
        <v/>
      </c>
      <c r="H2117">
        <f>IF(D2117="REMOVE",COUNTIF($D$2:D2117,"REMOVE"),"")</f>
        <v/>
      </c>
      <c r="I2117">
        <f>IF(E2117="Gmail",COUNTIF($E$2:E2117,"Gmail"),"")</f>
        <v/>
      </c>
      <c r="J2117">
        <f>IF(E2117="Outlook",COUNTIF($E$2:E2117,"Outlook"),"")</f>
        <v/>
      </c>
      <c r="K2117">
        <f>IF(E2117="Domain",COUNTIF($E$2:E2117,"Domain"),"")</f>
        <v/>
      </c>
    </row>
    <row r="2118">
      <c r="A2118" s="2" t="n"/>
      <c r="B2118">
        <f>LOWER(TRIM(A2118))</f>
        <v/>
      </c>
      <c r="C2118">
        <f>IF(B2118="","",IFERROR(INDEX('Bad Patterns'!$A$2:$A$120,MATCH(1,INDEX(--ISNUMBER(SEARCH('Bad Patterns'!$A$2:$A$120,B2118)),0),0)),""))</f>
        <v/>
      </c>
      <c r="D2118">
        <f>IF(B2118="","",IF(C2118&lt;&gt;"","REMOVE","KEEP"))</f>
        <v/>
      </c>
      <c r="E2118">
        <f>IF(D2118&lt;&gt;"KEEP","",IF(RIGHT(B2118,10)="@gmail.com","Gmail",IF(OR(RIGHT(B2118,12)="@outlook.com",RIGHT(B2118,12)="@hotmail.com",RIGHT(B2118,9)="@live.com"),"Outlook","Domain")))</f>
        <v/>
      </c>
      <c r="F2118">
        <f>IF(B2118="","",IFERROR(RIGHT(B2118,LEN(B2118)-FIND("@",B2118)),""))</f>
        <v/>
      </c>
      <c r="G2118">
        <f>IF(D2118="KEEP",COUNTIF($D$2:D2118,"KEEP"),"")</f>
        <v/>
      </c>
      <c r="H2118">
        <f>IF(D2118="REMOVE",COUNTIF($D$2:D2118,"REMOVE"),"")</f>
        <v/>
      </c>
      <c r="I2118">
        <f>IF(E2118="Gmail",COUNTIF($E$2:E2118,"Gmail"),"")</f>
        <v/>
      </c>
      <c r="J2118">
        <f>IF(E2118="Outlook",COUNTIF($E$2:E2118,"Outlook"),"")</f>
        <v/>
      </c>
      <c r="K2118">
        <f>IF(E2118="Domain",COUNTIF($E$2:E2118,"Domain"),"")</f>
        <v/>
      </c>
    </row>
    <row r="2119">
      <c r="A2119" s="2" t="n"/>
      <c r="B2119">
        <f>LOWER(TRIM(A2119))</f>
        <v/>
      </c>
      <c r="C2119">
        <f>IF(B2119="","",IFERROR(INDEX('Bad Patterns'!$A$2:$A$120,MATCH(1,INDEX(--ISNUMBER(SEARCH('Bad Patterns'!$A$2:$A$120,B2119)),0),0)),""))</f>
        <v/>
      </c>
      <c r="D2119">
        <f>IF(B2119="","",IF(C2119&lt;&gt;"","REMOVE","KEEP"))</f>
        <v/>
      </c>
      <c r="E2119">
        <f>IF(D2119&lt;&gt;"KEEP","",IF(RIGHT(B2119,10)="@gmail.com","Gmail",IF(OR(RIGHT(B2119,12)="@outlook.com",RIGHT(B2119,12)="@hotmail.com",RIGHT(B2119,9)="@live.com"),"Outlook","Domain")))</f>
        <v/>
      </c>
      <c r="F2119">
        <f>IF(B2119="","",IFERROR(RIGHT(B2119,LEN(B2119)-FIND("@",B2119)),""))</f>
        <v/>
      </c>
      <c r="G2119">
        <f>IF(D2119="KEEP",COUNTIF($D$2:D2119,"KEEP"),"")</f>
        <v/>
      </c>
      <c r="H2119">
        <f>IF(D2119="REMOVE",COUNTIF($D$2:D2119,"REMOVE"),"")</f>
        <v/>
      </c>
      <c r="I2119">
        <f>IF(E2119="Gmail",COUNTIF($E$2:E2119,"Gmail"),"")</f>
        <v/>
      </c>
      <c r="J2119">
        <f>IF(E2119="Outlook",COUNTIF($E$2:E2119,"Outlook"),"")</f>
        <v/>
      </c>
      <c r="K2119">
        <f>IF(E2119="Domain",COUNTIF($E$2:E2119,"Domain"),"")</f>
        <v/>
      </c>
    </row>
    <row r="2120">
      <c r="A2120" s="2" t="n"/>
      <c r="B2120">
        <f>LOWER(TRIM(A2120))</f>
        <v/>
      </c>
      <c r="C2120">
        <f>IF(B2120="","",IFERROR(INDEX('Bad Patterns'!$A$2:$A$120,MATCH(1,INDEX(--ISNUMBER(SEARCH('Bad Patterns'!$A$2:$A$120,B2120)),0),0)),""))</f>
        <v/>
      </c>
      <c r="D2120">
        <f>IF(B2120="","",IF(C2120&lt;&gt;"","REMOVE","KEEP"))</f>
        <v/>
      </c>
      <c r="E2120">
        <f>IF(D2120&lt;&gt;"KEEP","",IF(RIGHT(B2120,10)="@gmail.com","Gmail",IF(OR(RIGHT(B2120,12)="@outlook.com",RIGHT(B2120,12)="@hotmail.com",RIGHT(B2120,9)="@live.com"),"Outlook","Domain")))</f>
        <v/>
      </c>
      <c r="F2120">
        <f>IF(B2120="","",IFERROR(RIGHT(B2120,LEN(B2120)-FIND("@",B2120)),""))</f>
        <v/>
      </c>
      <c r="G2120">
        <f>IF(D2120="KEEP",COUNTIF($D$2:D2120,"KEEP"),"")</f>
        <v/>
      </c>
      <c r="H2120">
        <f>IF(D2120="REMOVE",COUNTIF($D$2:D2120,"REMOVE"),"")</f>
        <v/>
      </c>
      <c r="I2120">
        <f>IF(E2120="Gmail",COUNTIF($E$2:E2120,"Gmail"),"")</f>
        <v/>
      </c>
      <c r="J2120">
        <f>IF(E2120="Outlook",COUNTIF($E$2:E2120,"Outlook"),"")</f>
        <v/>
      </c>
      <c r="K2120">
        <f>IF(E2120="Domain",COUNTIF($E$2:E2120,"Domain"),"")</f>
        <v/>
      </c>
    </row>
    <row r="2121">
      <c r="A2121" s="2" t="n"/>
      <c r="B2121">
        <f>LOWER(TRIM(A2121))</f>
        <v/>
      </c>
      <c r="C2121">
        <f>IF(B2121="","",IFERROR(INDEX('Bad Patterns'!$A$2:$A$120,MATCH(1,INDEX(--ISNUMBER(SEARCH('Bad Patterns'!$A$2:$A$120,B2121)),0),0)),""))</f>
        <v/>
      </c>
      <c r="D2121">
        <f>IF(B2121="","",IF(C2121&lt;&gt;"","REMOVE","KEEP"))</f>
        <v/>
      </c>
      <c r="E2121">
        <f>IF(D2121&lt;&gt;"KEEP","",IF(RIGHT(B2121,10)="@gmail.com","Gmail",IF(OR(RIGHT(B2121,12)="@outlook.com",RIGHT(B2121,12)="@hotmail.com",RIGHT(B2121,9)="@live.com"),"Outlook","Domain")))</f>
        <v/>
      </c>
      <c r="F2121">
        <f>IF(B2121="","",IFERROR(RIGHT(B2121,LEN(B2121)-FIND("@",B2121)),""))</f>
        <v/>
      </c>
      <c r="G2121">
        <f>IF(D2121="KEEP",COUNTIF($D$2:D2121,"KEEP"),"")</f>
        <v/>
      </c>
      <c r="H2121">
        <f>IF(D2121="REMOVE",COUNTIF($D$2:D2121,"REMOVE"),"")</f>
        <v/>
      </c>
      <c r="I2121">
        <f>IF(E2121="Gmail",COUNTIF($E$2:E2121,"Gmail"),"")</f>
        <v/>
      </c>
      <c r="J2121">
        <f>IF(E2121="Outlook",COUNTIF($E$2:E2121,"Outlook"),"")</f>
        <v/>
      </c>
      <c r="K2121">
        <f>IF(E2121="Domain",COUNTIF($E$2:E2121,"Domain"),"")</f>
        <v/>
      </c>
    </row>
    <row r="2122">
      <c r="A2122" s="2" t="n"/>
      <c r="B2122">
        <f>LOWER(TRIM(A2122))</f>
        <v/>
      </c>
      <c r="C2122">
        <f>IF(B2122="","",IFERROR(INDEX('Bad Patterns'!$A$2:$A$120,MATCH(1,INDEX(--ISNUMBER(SEARCH('Bad Patterns'!$A$2:$A$120,B2122)),0),0)),""))</f>
        <v/>
      </c>
      <c r="D2122">
        <f>IF(B2122="","",IF(C2122&lt;&gt;"","REMOVE","KEEP"))</f>
        <v/>
      </c>
      <c r="E2122">
        <f>IF(D2122&lt;&gt;"KEEP","",IF(RIGHT(B2122,10)="@gmail.com","Gmail",IF(OR(RIGHT(B2122,12)="@outlook.com",RIGHT(B2122,12)="@hotmail.com",RIGHT(B2122,9)="@live.com"),"Outlook","Domain")))</f>
        <v/>
      </c>
      <c r="F2122">
        <f>IF(B2122="","",IFERROR(RIGHT(B2122,LEN(B2122)-FIND("@",B2122)),""))</f>
        <v/>
      </c>
      <c r="G2122">
        <f>IF(D2122="KEEP",COUNTIF($D$2:D2122,"KEEP"),"")</f>
        <v/>
      </c>
      <c r="H2122">
        <f>IF(D2122="REMOVE",COUNTIF($D$2:D2122,"REMOVE"),"")</f>
        <v/>
      </c>
      <c r="I2122">
        <f>IF(E2122="Gmail",COUNTIF($E$2:E2122,"Gmail"),"")</f>
        <v/>
      </c>
      <c r="J2122">
        <f>IF(E2122="Outlook",COUNTIF($E$2:E2122,"Outlook"),"")</f>
        <v/>
      </c>
      <c r="K2122">
        <f>IF(E2122="Domain",COUNTIF($E$2:E2122,"Domain"),"")</f>
        <v/>
      </c>
    </row>
    <row r="2123">
      <c r="A2123" s="2" t="n"/>
      <c r="B2123">
        <f>LOWER(TRIM(A2123))</f>
        <v/>
      </c>
      <c r="C2123">
        <f>IF(B2123="","",IFERROR(INDEX('Bad Patterns'!$A$2:$A$120,MATCH(1,INDEX(--ISNUMBER(SEARCH('Bad Patterns'!$A$2:$A$120,B2123)),0),0)),""))</f>
        <v/>
      </c>
      <c r="D2123">
        <f>IF(B2123="","",IF(C2123&lt;&gt;"","REMOVE","KEEP"))</f>
        <v/>
      </c>
      <c r="E2123">
        <f>IF(D2123&lt;&gt;"KEEP","",IF(RIGHT(B2123,10)="@gmail.com","Gmail",IF(OR(RIGHT(B2123,12)="@outlook.com",RIGHT(B2123,12)="@hotmail.com",RIGHT(B2123,9)="@live.com"),"Outlook","Domain")))</f>
        <v/>
      </c>
      <c r="F2123">
        <f>IF(B2123="","",IFERROR(RIGHT(B2123,LEN(B2123)-FIND("@",B2123)),""))</f>
        <v/>
      </c>
      <c r="G2123">
        <f>IF(D2123="KEEP",COUNTIF($D$2:D2123,"KEEP"),"")</f>
        <v/>
      </c>
      <c r="H2123">
        <f>IF(D2123="REMOVE",COUNTIF($D$2:D2123,"REMOVE"),"")</f>
        <v/>
      </c>
      <c r="I2123">
        <f>IF(E2123="Gmail",COUNTIF($E$2:E2123,"Gmail"),"")</f>
        <v/>
      </c>
      <c r="J2123">
        <f>IF(E2123="Outlook",COUNTIF($E$2:E2123,"Outlook"),"")</f>
        <v/>
      </c>
      <c r="K2123">
        <f>IF(E2123="Domain",COUNTIF($E$2:E2123,"Domain"),"")</f>
        <v/>
      </c>
    </row>
    <row r="2124">
      <c r="A2124" s="2" t="n"/>
      <c r="B2124">
        <f>LOWER(TRIM(A2124))</f>
        <v/>
      </c>
      <c r="C2124">
        <f>IF(B2124="","",IFERROR(INDEX('Bad Patterns'!$A$2:$A$120,MATCH(1,INDEX(--ISNUMBER(SEARCH('Bad Patterns'!$A$2:$A$120,B2124)),0),0)),""))</f>
        <v/>
      </c>
      <c r="D2124">
        <f>IF(B2124="","",IF(C2124&lt;&gt;"","REMOVE","KEEP"))</f>
        <v/>
      </c>
      <c r="E2124">
        <f>IF(D2124&lt;&gt;"KEEP","",IF(RIGHT(B2124,10)="@gmail.com","Gmail",IF(OR(RIGHT(B2124,12)="@outlook.com",RIGHT(B2124,12)="@hotmail.com",RIGHT(B2124,9)="@live.com"),"Outlook","Domain")))</f>
        <v/>
      </c>
      <c r="F2124">
        <f>IF(B2124="","",IFERROR(RIGHT(B2124,LEN(B2124)-FIND("@",B2124)),""))</f>
        <v/>
      </c>
      <c r="G2124">
        <f>IF(D2124="KEEP",COUNTIF($D$2:D2124,"KEEP"),"")</f>
        <v/>
      </c>
      <c r="H2124">
        <f>IF(D2124="REMOVE",COUNTIF($D$2:D2124,"REMOVE"),"")</f>
        <v/>
      </c>
      <c r="I2124">
        <f>IF(E2124="Gmail",COUNTIF($E$2:E2124,"Gmail"),"")</f>
        <v/>
      </c>
      <c r="J2124">
        <f>IF(E2124="Outlook",COUNTIF($E$2:E2124,"Outlook"),"")</f>
        <v/>
      </c>
      <c r="K2124">
        <f>IF(E2124="Domain",COUNTIF($E$2:E2124,"Domain"),"")</f>
        <v/>
      </c>
    </row>
    <row r="2125">
      <c r="A2125" s="2" t="n"/>
      <c r="B2125">
        <f>LOWER(TRIM(A2125))</f>
        <v/>
      </c>
      <c r="C2125">
        <f>IF(B2125="","",IFERROR(INDEX('Bad Patterns'!$A$2:$A$120,MATCH(1,INDEX(--ISNUMBER(SEARCH('Bad Patterns'!$A$2:$A$120,B2125)),0),0)),""))</f>
        <v/>
      </c>
      <c r="D2125">
        <f>IF(B2125="","",IF(C2125&lt;&gt;"","REMOVE","KEEP"))</f>
        <v/>
      </c>
      <c r="E2125">
        <f>IF(D2125&lt;&gt;"KEEP","",IF(RIGHT(B2125,10)="@gmail.com","Gmail",IF(OR(RIGHT(B2125,12)="@outlook.com",RIGHT(B2125,12)="@hotmail.com",RIGHT(B2125,9)="@live.com"),"Outlook","Domain")))</f>
        <v/>
      </c>
      <c r="F2125">
        <f>IF(B2125="","",IFERROR(RIGHT(B2125,LEN(B2125)-FIND("@",B2125)),""))</f>
        <v/>
      </c>
      <c r="G2125">
        <f>IF(D2125="KEEP",COUNTIF($D$2:D2125,"KEEP"),"")</f>
        <v/>
      </c>
      <c r="H2125">
        <f>IF(D2125="REMOVE",COUNTIF($D$2:D2125,"REMOVE"),"")</f>
        <v/>
      </c>
      <c r="I2125">
        <f>IF(E2125="Gmail",COUNTIF($E$2:E2125,"Gmail"),"")</f>
        <v/>
      </c>
      <c r="J2125">
        <f>IF(E2125="Outlook",COUNTIF($E$2:E2125,"Outlook"),"")</f>
        <v/>
      </c>
      <c r="K2125">
        <f>IF(E2125="Domain",COUNTIF($E$2:E2125,"Domain"),"")</f>
        <v/>
      </c>
    </row>
    <row r="2126">
      <c r="A2126" s="2" t="n"/>
      <c r="B2126">
        <f>LOWER(TRIM(A2126))</f>
        <v/>
      </c>
      <c r="C2126">
        <f>IF(B2126="","",IFERROR(INDEX('Bad Patterns'!$A$2:$A$120,MATCH(1,INDEX(--ISNUMBER(SEARCH('Bad Patterns'!$A$2:$A$120,B2126)),0),0)),""))</f>
        <v/>
      </c>
      <c r="D2126">
        <f>IF(B2126="","",IF(C2126&lt;&gt;"","REMOVE","KEEP"))</f>
        <v/>
      </c>
      <c r="E2126">
        <f>IF(D2126&lt;&gt;"KEEP","",IF(RIGHT(B2126,10)="@gmail.com","Gmail",IF(OR(RIGHT(B2126,12)="@outlook.com",RIGHT(B2126,12)="@hotmail.com",RIGHT(B2126,9)="@live.com"),"Outlook","Domain")))</f>
        <v/>
      </c>
      <c r="F2126">
        <f>IF(B2126="","",IFERROR(RIGHT(B2126,LEN(B2126)-FIND("@",B2126)),""))</f>
        <v/>
      </c>
      <c r="G2126">
        <f>IF(D2126="KEEP",COUNTIF($D$2:D2126,"KEEP"),"")</f>
        <v/>
      </c>
      <c r="H2126">
        <f>IF(D2126="REMOVE",COUNTIF($D$2:D2126,"REMOVE"),"")</f>
        <v/>
      </c>
      <c r="I2126">
        <f>IF(E2126="Gmail",COUNTIF($E$2:E2126,"Gmail"),"")</f>
        <v/>
      </c>
      <c r="J2126">
        <f>IF(E2126="Outlook",COUNTIF($E$2:E2126,"Outlook"),"")</f>
        <v/>
      </c>
      <c r="K2126">
        <f>IF(E2126="Domain",COUNTIF($E$2:E2126,"Domain"),"")</f>
        <v/>
      </c>
    </row>
    <row r="2127">
      <c r="A2127" s="2" t="n"/>
      <c r="B2127">
        <f>LOWER(TRIM(A2127))</f>
        <v/>
      </c>
      <c r="C2127">
        <f>IF(B2127="","",IFERROR(INDEX('Bad Patterns'!$A$2:$A$120,MATCH(1,INDEX(--ISNUMBER(SEARCH('Bad Patterns'!$A$2:$A$120,B2127)),0),0)),""))</f>
        <v/>
      </c>
      <c r="D2127">
        <f>IF(B2127="","",IF(C2127&lt;&gt;"","REMOVE","KEEP"))</f>
        <v/>
      </c>
      <c r="E2127">
        <f>IF(D2127&lt;&gt;"KEEP","",IF(RIGHT(B2127,10)="@gmail.com","Gmail",IF(OR(RIGHT(B2127,12)="@outlook.com",RIGHT(B2127,12)="@hotmail.com",RIGHT(B2127,9)="@live.com"),"Outlook","Domain")))</f>
        <v/>
      </c>
      <c r="F2127">
        <f>IF(B2127="","",IFERROR(RIGHT(B2127,LEN(B2127)-FIND("@",B2127)),""))</f>
        <v/>
      </c>
      <c r="G2127">
        <f>IF(D2127="KEEP",COUNTIF($D$2:D2127,"KEEP"),"")</f>
        <v/>
      </c>
      <c r="H2127">
        <f>IF(D2127="REMOVE",COUNTIF($D$2:D2127,"REMOVE"),"")</f>
        <v/>
      </c>
      <c r="I2127">
        <f>IF(E2127="Gmail",COUNTIF($E$2:E2127,"Gmail"),"")</f>
        <v/>
      </c>
      <c r="J2127">
        <f>IF(E2127="Outlook",COUNTIF($E$2:E2127,"Outlook"),"")</f>
        <v/>
      </c>
      <c r="K2127">
        <f>IF(E2127="Domain",COUNTIF($E$2:E2127,"Domain"),"")</f>
        <v/>
      </c>
    </row>
    <row r="2128">
      <c r="A2128" s="2" t="n"/>
      <c r="B2128">
        <f>LOWER(TRIM(A2128))</f>
        <v/>
      </c>
      <c r="C2128">
        <f>IF(B2128="","",IFERROR(INDEX('Bad Patterns'!$A$2:$A$120,MATCH(1,INDEX(--ISNUMBER(SEARCH('Bad Patterns'!$A$2:$A$120,B2128)),0),0)),""))</f>
        <v/>
      </c>
      <c r="D2128">
        <f>IF(B2128="","",IF(C2128&lt;&gt;"","REMOVE","KEEP"))</f>
        <v/>
      </c>
      <c r="E2128">
        <f>IF(D2128&lt;&gt;"KEEP","",IF(RIGHT(B2128,10)="@gmail.com","Gmail",IF(OR(RIGHT(B2128,12)="@outlook.com",RIGHT(B2128,12)="@hotmail.com",RIGHT(B2128,9)="@live.com"),"Outlook","Domain")))</f>
        <v/>
      </c>
      <c r="F2128">
        <f>IF(B2128="","",IFERROR(RIGHT(B2128,LEN(B2128)-FIND("@",B2128)),""))</f>
        <v/>
      </c>
      <c r="G2128">
        <f>IF(D2128="KEEP",COUNTIF($D$2:D2128,"KEEP"),"")</f>
        <v/>
      </c>
      <c r="H2128">
        <f>IF(D2128="REMOVE",COUNTIF($D$2:D2128,"REMOVE"),"")</f>
        <v/>
      </c>
      <c r="I2128">
        <f>IF(E2128="Gmail",COUNTIF($E$2:E2128,"Gmail"),"")</f>
        <v/>
      </c>
      <c r="J2128">
        <f>IF(E2128="Outlook",COUNTIF($E$2:E2128,"Outlook"),"")</f>
        <v/>
      </c>
      <c r="K2128">
        <f>IF(E2128="Domain",COUNTIF($E$2:E2128,"Domain"),"")</f>
        <v/>
      </c>
    </row>
    <row r="2129">
      <c r="A2129" s="2" t="n"/>
      <c r="B2129">
        <f>LOWER(TRIM(A2129))</f>
        <v/>
      </c>
      <c r="C2129">
        <f>IF(B2129="","",IFERROR(INDEX('Bad Patterns'!$A$2:$A$120,MATCH(1,INDEX(--ISNUMBER(SEARCH('Bad Patterns'!$A$2:$A$120,B2129)),0),0)),""))</f>
        <v/>
      </c>
      <c r="D2129">
        <f>IF(B2129="","",IF(C2129&lt;&gt;"","REMOVE","KEEP"))</f>
        <v/>
      </c>
      <c r="E2129">
        <f>IF(D2129&lt;&gt;"KEEP","",IF(RIGHT(B2129,10)="@gmail.com","Gmail",IF(OR(RIGHT(B2129,12)="@outlook.com",RIGHT(B2129,12)="@hotmail.com",RIGHT(B2129,9)="@live.com"),"Outlook","Domain")))</f>
        <v/>
      </c>
      <c r="F2129">
        <f>IF(B2129="","",IFERROR(RIGHT(B2129,LEN(B2129)-FIND("@",B2129)),""))</f>
        <v/>
      </c>
      <c r="G2129">
        <f>IF(D2129="KEEP",COUNTIF($D$2:D2129,"KEEP"),"")</f>
        <v/>
      </c>
      <c r="H2129">
        <f>IF(D2129="REMOVE",COUNTIF($D$2:D2129,"REMOVE"),"")</f>
        <v/>
      </c>
      <c r="I2129">
        <f>IF(E2129="Gmail",COUNTIF($E$2:E2129,"Gmail"),"")</f>
        <v/>
      </c>
      <c r="J2129">
        <f>IF(E2129="Outlook",COUNTIF($E$2:E2129,"Outlook"),"")</f>
        <v/>
      </c>
      <c r="K2129">
        <f>IF(E2129="Domain",COUNTIF($E$2:E2129,"Domain"),"")</f>
        <v/>
      </c>
    </row>
    <row r="2130">
      <c r="A2130" s="2" t="n"/>
      <c r="B2130">
        <f>LOWER(TRIM(A2130))</f>
        <v/>
      </c>
      <c r="C2130">
        <f>IF(B2130="","",IFERROR(INDEX('Bad Patterns'!$A$2:$A$120,MATCH(1,INDEX(--ISNUMBER(SEARCH('Bad Patterns'!$A$2:$A$120,B2130)),0),0)),""))</f>
        <v/>
      </c>
      <c r="D2130">
        <f>IF(B2130="","",IF(C2130&lt;&gt;"","REMOVE","KEEP"))</f>
        <v/>
      </c>
      <c r="E2130">
        <f>IF(D2130&lt;&gt;"KEEP","",IF(RIGHT(B2130,10)="@gmail.com","Gmail",IF(OR(RIGHT(B2130,12)="@outlook.com",RIGHT(B2130,12)="@hotmail.com",RIGHT(B2130,9)="@live.com"),"Outlook","Domain")))</f>
        <v/>
      </c>
      <c r="F2130">
        <f>IF(B2130="","",IFERROR(RIGHT(B2130,LEN(B2130)-FIND("@",B2130)),""))</f>
        <v/>
      </c>
      <c r="G2130">
        <f>IF(D2130="KEEP",COUNTIF($D$2:D2130,"KEEP"),"")</f>
        <v/>
      </c>
      <c r="H2130">
        <f>IF(D2130="REMOVE",COUNTIF($D$2:D2130,"REMOVE"),"")</f>
        <v/>
      </c>
      <c r="I2130">
        <f>IF(E2130="Gmail",COUNTIF($E$2:E2130,"Gmail"),"")</f>
        <v/>
      </c>
      <c r="J2130">
        <f>IF(E2130="Outlook",COUNTIF($E$2:E2130,"Outlook"),"")</f>
        <v/>
      </c>
      <c r="K2130">
        <f>IF(E2130="Domain",COUNTIF($E$2:E2130,"Domain"),"")</f>
        <v/>
      </c>
    </row>
    <row r="2131">
      <c r="A2131" s="2" t="n"/>
      <c r="B2131">
        <f>LOWER(TRIM(A2131))</f>
        <v/>
      </c>
      <c r="C2131">
        <f>IF(B2131="","",IFERROR(INDEX('Bad Patterns'!$A$2:$A$120,MATCH(1,INDEX(--ISNUMBER(SEARCH('Bad Patterns'!$A$2:$A$120,B2131)),0),0)),""))</f>
        <v/>
      </c>
      <c r="D2131">
        <f>IF(B2131="","",IF(C2131&lt;&gt;"","REMOVE","KEEP"))</f>
        <v/>
      </c>
      <c r="E2131">
        <f>IF(D2131&lt;&gt;"KEEP","",IF(RIGHT(B2131,10)="@gmail.com","Gmail",IF(OR(RIGHT(B2131,12)="@outlook.com",RIGHT(B2131,12)="@hotmail.com",RIGHT(B2131,9)="@live.com"),"Outlook","Domain")))</f>
        <v/>
      </c>
      <c r="F2131">
        <f>IF(B2131="","",IFERROR(RIGHT(B2131,LEN(B2131)-FIND("@",B2131)),""))</f>
        <v/>
      </c>
      <c r="G2131">
        <f>IF(D2131="KEEP",COUNTIF($D$2:D2131,"KEEP"),"")</f>
        <v/>
      </c>
      <c r="H2131">
        <f>IF(D2131="REMOVE",COUNTIF($D$2:D2131,"REMOVE"),"")</f>
        <v/>
      </c>
      <c r="I2131">
        <f>IF(E2131="Gmail",COUNTIF($E$2:E2131,"Gmail"),"")</f>
        <v/>
      </c>
      <c r="J2131">
        <f>IF(E2131="Outlook",COUNTIF($E$2:E2131,"Outlook"),"")</f>
        <v/>
      </c>
      <c r="K2131">
        <f>IF(E2131="Domain",COUNTIF($E$2:E2131,"Domain"),"")</f>
        <v/>
      </c>
    </row>
    <row r="2132">
      <c r="A2132" s="2" t="n"/>
      <c r="B2132">
        <f>LOWER(TRIM(A2132))</f>
        <v/>
      </c>
      <c r="C2132">
        <f>IF(B2132="","",IFERROR(INDEX('Bad Patterns'!$A$2:$A$120,MATCH(1,INDEX(--ISNUMBER(SEARCH('Bad Patterns'!$A$2:$A$120,B2132)),0),0)),""))</f>
        <v/>
      </c>
      <c r="D2132">
        <f>IF(B2132="","",IF(C2132&lt;&gt;"","REMOVE","KEEP"))</f>
        <v/>
      </c>
      <c r="E2132">
        <f>IF(D2132&lt;&gt;"KEEP","",IF(RIGHT(B2132,10)="@gmail.com","Gmail",IF(OR(RIGHT(B2132,12)="@outlook.com",RIGHT(B2132,12)="@hotmail.com",RIGHT(B2132,9)="@live.com"),"Outlook","Domain")))</f>
        <v/>
      </c>
      <c r="F2132">
        <f>IF(B2132="","",IFERROR(RIGHT(B2132,LEN(B2132)-FIND("@",B2132)),""))</f>
        <v/>
      </c>
      <c r="G2132">
        <f>IF(D2132="KEEP",COUNTIF($D$2:D2132,"KEEP"),"")</f>
        <v/>
      </c>
      <c r="H2132">
        <f>IF(D2132="REMOVE",COUNTIF($D$2:D2132,"REMOVE"),"")</f>
        <v/>
      </c>
      <c r="I2132">
        <f>IF(E2132="Gmail",COUNTIF($E$2:E2132,"Gmail"),"")</f>
        <v/>
      </c>
      <c r="J2132">
        <f>IF(E2132="Outlook",COUNTIF($E$2:E2132,"Outlook"),"")</f>
        <v/>
      </c>
      <c r="K2132">
        <f>IF(E2132="Domain",COUNTIF($E$2:E2132,"Domain"),"")</f>
        <v/>
      </c>
    </row>
    <row r="2133">
      <c r="A2133" s="2" t="n"/>
      <c r="B2133">
        <f>LOWER(TRIM(A2133))</f>
        <v/>
      </c>
      <c r="C2133">
        <f>IF(B2133="","",IFERROR(INDEX('Bad Patterns'!$A$2:$A$120,MATCH(1,INDEX(--ISNUMBER(SEARCH('Bad Patterns'!$A$2:$A$120,B2133)),0),0)),""))</f>
        <v/>
      </c>
      <c r="D2133">
        <f>IF(B2133="","",IF(C2133&lt;&gt;"","REMOVE","KEEP"))</f>
        <v/>
      </c>
      <c r="E2133">
        <f>IF(D2133&lt;&gt;"KEEP","",IF(RIGHT(B2133,10)="@gmail.com","Gmail",IF(OR(RIGHT(B2133,12)="@outlook.com",RIGHT(B2133,12)="@hotmail.com",RIGHT(B2133,9)="@live.com"),"Outlook","Domain")))</f>
        <v/>
      </c>
      <c r="F2133">
        <f>IF(B2133="","",IFERROR(RIGHT(B2133,LEN(B2133)-FIND("@",B2133)),""))</f>
        <v/>
      </c>
      <c r="G2133">
        <f>IF(D2133="KEEP",COUNTIF($D$2:D2133,"KEEP"),"")</f>
        <v/>
      </c>
      <c r="H2133">
        <f>IF(D2133="REMOVE",COUNTIF($D$2:D2133,"REMOVE"),"")</f>
        <v/>
      </c>
      <c r="I2133">
        <f>IF(E2133="Gmail",COUNTIF($E$2:E2133,"Gmail"),"")</f>
        <v/>
      </c>
      <c r="J2133">
        <f>IF(E2133="Outlook",COUNTIF($E$2:E2133,"Outlook"),"")</f>
        <v/>
      </c>
      <c r="K2133">
        <f>IF(E2133="Domain",COUNTIF($E$2:E2133,"Domain"),"")</f>
        <v/>
      </c>
    </row>
    <row r="2134">
      <c r="A2134" s="2" t="n"/>
      <c r="B2134">
        <f>LOWER(TRIM(A2134))</f>
        <v/>
      </c>
      <c r="C2134">
        <f>IF(B2134="","",IFERROR(INDEX('Bad Patterns'!$A$2:$A$120,MATCH(1,INDEX(--ISNUMBER(SEARCH('Bad Patterns'!$A$2:$A$120,B2134)),0),0)),""))</f>
        <v/>
      </c>
      <c r="D2134">
        <f>IF(B2134="","",IF(C2134&lt;&gt;"","REMOVE","KEEP"))</f>
        <v/>
      </c>
      <c r="E2134">
        <f>IF(D2134&lt;&gt;"KEEP","",IF(RIGHT(B2134,10)="@gmail.com","Gmail",IF(OR(RIGHT(B2134,12)="@outlook.com",RIGHT(B2134,12)="@hotmail.com",RIGHT(B2134,9)="@live.com"),"Outlook","Domain")))</f>
        <v/>
      </c>
      <c r="F2134">
        <f>IF(B2134="","",IFERROR(RIGHT(B2134,LEN(B2134)-FIND("@",B2134)),""))</f>
        <v/>
      </c>
      <c r="G2134">
        <f>IF(D2134="KEEP",COUNTIF($D$2:D2134,"KEEP"),"")</f>
        <v/>
      </c>
      <c r="H2134">
        <f>IF(D2134="REMOVE",COUNTIF($D$2:D2134,"REMOVE"),"")</f>
        <v/>
      </c>
      <c r="I2134">
        <f>IF(E2134="Gmail",COUNTIF($E$2:E2134,"Gmail"),"")</f>
        <v/>
      </c>
      <c r="J2134">
        <f>IF(E2134="Outlook",COUNTIF($E$2:E2134,"Outlook"),"")</f>
        <v/>
      </c>
      <c r="K2134">
        <f>IF(E2134="Domain",COUNTIF($E$2:E2134,"Domain"),"")</f>
        <v/>
      </c>
    </row>
    <row r="2135">
      <c r="A2135" s="2" t="n"/>
      <c r="B2135">
        <f>LOWER(TRIM(A2135))</f>
        <v/>
      </c>
      <c r="C2135">
        <f>IF(B2135="","",IFERROR(INDEX('Bad Patterns'!$A$2:$A$120,MATCH(1,INDEX(--ISNUMBER(SEARCH('Bad Patterns'!$A$2:$A$120,B2135)),0),0)),""))</f>
        <v/>
      </c>
      <c r="D2135">
        <f>IF(B2135="","",IF(C2135&lt;&gt;"","REMOVE","KEEP"))</f>
        <v/>
      </c>
      <c r="E2135">
        <f>IF(D2135&lt;&gt;"KEEP","",IF(RIGHT(B2135,10)="@gmail.com","Gmail",IF(OR(RIGHT(B2135,12)="@outlook.com",RIGHT(B2135,12)="@hotmail.com",RIGHT(B2135,9)="@live.com"),"Outlook","Domain")))</f>
        <v/>
      </c>
      <c r="F2135">
        <f>IF(B2135="","",IFERROR(RIGHT(B2135,LEN(B2135)-FIND("@",B2135)),""))</f>
        <v/>
      </c>
      <c r="G2135">
        <f>IF(D2135="KEEP",COUNTIF($D$2:D2135,"KEEP"),"")</f>
        <v/>
      </c>
      <c r="H2135">
        <f>IF(D2135="REMOVE",COUNTIF($D$2:D2135,"REMOVE"),"")</f>
        <v/>
      </c>
      <c r="I2135">
        <f>IF(E2135="Gmail",COUNTIF($E$2:E2135,"Gmail"),"")</f>
        <v/>
      </c>
      <c r="J2135">
        <f>IF(E2135="Outlook",COUNTIF($E$2:E2135,"Outlook"),"")</f>
        <v/>
      </c>
      <c r="K2135">
        <f>IF(E2135="Domain",COUNTIF($E$2:E2135,"Domain"),"")</f>
        <v/>
      </c>
    </row>
    <row r="2136">
      <c r="A2136" s="2" t="n"/>
      <c r="B2136">
        <f>LOWER(TRIM(A2136))</f>
        <v/>
      </c>
      <c r="C2136">
        <f>IF(B2136="","",IFERROR(INDEX('Bad Patterns'!$A$2:$A$120,MATCH(1,INDEX(--ISNUMBER(SEARCH('Bad Patterns'!$A$2:$A$120,B2136)),0),0)),""))</f>
        <v/>
      </c>
      <c r="D2136">
        <f>IF(B2136="","",IF(C2136&lt;&gt;"","REMOVE","KEEP"))</f>
        <v/>
      </c>
      <c r="E2136">
        <f>IF(D2136&lt;&gt;"KEEP","",IF(RIGHT(B2136,10)="@gmail.com","Gmail",IF(OR(RIGHT(B2136,12)="@outlook.com",RIGHT(B2136,12)="@hotmail.com",RIGHT(B2136,9)="@live.com"),"Outlook","Domain")))</f>
        <v/>
      </c>
      <c r="F2136">
        <f>IF(B2136="","",IFERROR(RIGHT(B2136,LEN(B2136)-FIND("@",B2136)),""))</f>
        <v/>
      </c>
      <c r="G2136">
        <f>IF(D2136="KEEP",COUNTIF($D$2:D2136,"KEEP"),"")</f>
        <v/>
      </c>
      <c r="H2136">
        <f>IF(D2136="REMOVE",COUNTIF($D$2:D2136,"REMOVE"),"")</f>
        <v/>
      </c>
      <c r="I2136">
        <f>IF(E2136="Gmail",COUNTIF($E$2:E2136,"Gmail"),"")</f>
        <v/>
      </c>
      <c r="J2136">
        <f>IF(E2136="Outlook",COUNTIF($E$2:E2136,"Outlook"),"")</f>
        <v/>
      </c>
      <c r="K2136">
        <f>IF(E2136="Domain",COUNTIF($E$2:E2136,"Domain"),"")</f>
        <v/>
      </c>
    </row>
    <row r="2137">
      <c r="A2137" s="2" t="n"/>
      <c r="B2137">
        <f>LOWER(TRIM(A2137))</f>
        <v/>
      </c>
      <c r="C2137">
        <f>IF(B2137="","",IFERROR(INDEX('Bad Patterns'!$A$2:$A$120,MATCH(1,INDEX(--ISNUMBER(SEARCH('Bad Patterns'!$A$2:$A$120,B2137)),0),0)),""))</f>
        <v/>
      </c>
      <c r="D2137">
        <f>IF(B2137="","",IF(C2137&lt;&gt;"","REMOVE","KEEP"))</f>
        <v/>
      </c>
      <c r="E2137">
        <f>IF(D2137&lt;&gt;"KEEP","",IF(RIGHT(B2137,10)="@gmail.com","Gmail",IF(OR(RIGHT(B2137,12)="@outlook.com",RIGHT(B2137,12)="@hotmail.com",RIGHT(B2137,9)="@live.com"),"Outlook","Domain")))</f>
        <v/>
      </c>
      <c r="F2137">
        <f>IF(B2137="","",IFERROR(RIGHT(B2137,LEN(B2137)-FIND("@",B2137)),""))</f>
        <v/>
      </c>
      <c r="G2137">
        <f>IF(D2137="KEEP",COUNTIF($D$2:D2137,"KEEP"),"")</f>
        <v/>
      </c>
      <c r="H2137">
        <f>IF(D2137="REMOVE",COUNTIF($D$2:D2137,"REMOVE"),"")</f>
        <v/>
      </c>
      <c r="I2137">
        <f>IF(E2137="Gmail",COUNTIF($E$2:E2137,"Gmail"),"")</f>
        <v/>
      </c>
      <c r="J2137">
        <f>IF(E2137="Outlook",COUNTIF($E$2:E2137,"Outlook"),"")</f>
        <v/>
      </c>
      <c r="K2137">
        <f>IF(E2137="Domain",COUNTIF($E$2:E2137,"Domain"),"")</f>
        <v/>
      </c>
    </row>
    <row r="2138">
      <c r="A2138" s="2" t="n"/>
      <c r="B2138">
        <f>LOWER(TRIM(A2138))</f>
        <v/>
      </c>
      <c r="C2138">
        <f>IF(B2138="","",IFERROR(INDEX('Bad Patterns'!$A$2:$A$120,MATCH(1,INDEX(--ISNUMBER(SEARCH('Bad Patterns'!$A$2:$A$120,B2138)),0),0)),""))</f>
        <v/>
      </c>
      <c r="D2138">
        <f>IF(B2138="","",IF(C2138&lt;&gt;"","REMOVE","KEEP"))</f>
        <v/>
      </c>
      <c r="E2138">
        <f>IF(D2138&lt;&gt;"KEEP","",IF(RIGHT(B2138,10)="@gmail.com","Gmail",IF(OR(RIGHT(B2138,12)="@outlook.com",RIGHT(B2138,12)="@hotmail.com",RIGHT(B2138,9)="@live.com"),"Outlook","Domain")))</f>
        <v/>
      </c>
      <c r="F2138">
        <f>IF(B2138="","",IFERROR(RIGHT(B2138,LEN(B2138)-FIND("@",B2138)),""))</f>
        <v/>
      </c>
      <c r="G2138">
        <f>IF(D2138="KEEP",COUNTIF($D$2:D2138,"KEEP"),"")</f>
        <v/>
      </c>
      <c r="H2138">
        <f>IF(D2138="REMOVE",COUNTIF($D$2:D2138,"REMOVE"),"")</f>
        <v/>
      </c>
      <c r="I2138">
        <f>IF(E2138="Gmail",COUNTIF($E$2:E2138,"Gmail"),"")</f>
        <v/>
      </c>
      <c r="J2138">
        <f>IF(E2138="Outlook",COUNTIF($E$2:E2138,"Outlook"),"")</f>
        <v/>
      </c>
      <c r="K2138">
        <f>IF(E2138="Domain",COUNTIF($E$2:E2138,"Domain"),"")</f>
        <v/>
      </c>
    </row>
    <row r="2139">
      <c r="A2139" s="2" t="n"/>
      <c r="B2139">
        <f>LOWER(TRIM(A2139))</f>
        <v/>
      </c>
      <c r="C2139">
        <f>IF(B2139="","",IFERROR(INDEX('Bad Patterns'!$A$2:$A$120,MATCH(1,INDEX(--ISNUMBER(SEARCH('Bad Patterns'!$A$2:$A$120,B2139)),0),0)),""))</f>
        <v/>
      </c>
      <c r="D2139">
        <f>IF(B2139="","",IF(C2139&lt;&gt;"","REMOVE","KEEP"))</f>
        <v/>
      </c>
      <c r="E2139">
        <f>IF(D2139&lt;&gt;"KEEP","",IF(RIGHT(B2139,10)="@gmail.com","Gmail",IF(OR(RIGHT(B2139,12)="@outlook.com",RIGHT(B2139,12)="@hotmail.com",RIGHT(B2139,9)="@live.com"),"Outlook","Domain")))</f>
        <v/>
      </c>
      <c r="F2139">
        <f>IF(B2139="","",IFERROR(RIGHT(B2139,LEN(B2139)-FIND("@",B2139)),""))</f>
        <v/>
      </c>
      <c r="G2139">
        <f>IF(D2139="KEEP",COUNTIF($D$2:D2139,"KEEP"),"")</f>
        <v/>
      </c>
      <c r="H2139">
        <f>IF(D2139="REMOVE",COUNTIF($D$2:D2139,"REMOVE"),"")</f>
        <v/>
      </c>
      <c r="I2139">
        <f>IF(E2139="Gmail",COUNTIF($E$2:E2139,"Gmail"),"")</f>
        <v/>
      </c>
      <c r="J2139">
        <f>IF(E2139="Outlook",COUNTIF($E$2:E2139,"Outlook"),"")</f>
        <v/>
      </c>
      <c r="K2139">
        <f>IF(E2139="Domain",COUNTIF($E$2:E2139,"Domain"),"")</f>
        <v/>
      </c>
    </row>
    <row r="2140">
      <c r="A2140" s="2" t="n"/>
      <c r="B2140">
        <f>LOWER(TRIM(A2140))</f>
        <v/>
      </c>
      <c r="C2140">
        <f>IF(B2140="","",IFERROR(INDEX('Bad Patterns'!$A$2:$A$120,MATCH(1,INDEX(--ISNUMBER(SEARCH('Bad Patterns'!$A$2:$A$120,B2140)),0),0)),""))</f>
        <v/>
      </c>
      <c r="D2140">
        <f>IF(B2140="","",IF(C2140&lt;&gt;"","REMOVE","KEEP"))</f>
        <v/>
      </c>
      <c r="E2140">
        <f>IF(D2140&lt;&gt;"KEEP","",IF(RIGHT(B2140,10)="@gmail.com","Gmail",IF(OR(RIGHT(B2140,12)="@outlook.com",RIGHT(B2140,12)="@hotmail.com",RIGHT(B2140,9)="@live.com"),"Outlook","Domain")))</f>
        <v/>
      </c>
      <c r="F2140">
        <f>IF(B2140="","",IFERROR(RIGHT(B2140,LEN(B2140)-FIND("@",B2140)),""))</f>
        <v/>
      </c>
      <c r="G2140">
        <f>IF(D2140="KEEP",COUNTIF($D$2:D2140,"KEEP"),"")</f>
        <v/>
      </c>
      <c r="H2140">
        <f>IF(D2140="REMOVE",COUNTIF($D$2:D2140,"REMOVE"),"")</f>
        <v/>
      </c>
      <c r="I2140">
        <f>IF(E2140="Gmail",COUNTIF($E$2:E2140,"Gmail"),"")</f>
        <v/>
      </c>
      <c r="J2140">
        <f>IF(E2140="Outlook",COUNTIF($E$2:E2140,"Outlook"),"")</f>
        <v/>
      </c>
      <c r="K2140">
        <f>IF(E2140="Domain",COUNTIF($E$2:E2140,"Domain"),"")</f>
        <v/>
      </c>
    </row>
    <row r="2141">
      <c r="A2141" s="2" t="n"/>
      <c r="B2141">
        <f>LOWER(TRIM(A2141))</f>
        <v/>
      </c>
      <c r="C2141">
        <f>IF(B2141="","",IFERROR(INDEX('Bad Patterns'!$A$2:$A$120,MATCH(1,INDEX(--ISNUMBER(SEARCH('Bad Patterns'!$A$2:$A$120,B2141)),0),0)),""))</f>
        <v/>
      </c>
      <c r="D2141">
        <f>IF(B2141="","",IF(C2141&lt;&gt;"","REMOVE","KEEP"))</f>
        <v/>
      </c>
      <c r="E2141">
        <f>IF(D2141&lt;&gt;"KEEP","",IF(RIGHT(B2141,10)="@gmail.com","Gmail",IF(OR(RIGHT(B2141,12)="@outlook.com",RIGHT(B2141,12)="@hotmail.com",RIGHT(B2141,9)="@live.com"),"Outlook","Domain")))</f>
        <v/>
      </c>
      <c r="F2141">
        <f>IF(B2141="","",IFERROR(RIGHT(B2141,LEN(B2141)-FIND("@",B2141)),""))</f>
        <v/>
      </c>
      <c r="G2141">
        <f>IF(D2141="KEEP",COUNTIF($D$2:D2141,"KEEP"),"")</f>
        <v/>
      </c>
      <c r="H2141">
        <f>IF(D2141="REMOVE",COUNTIF($D$2:D2141,"REMOVE"),"")</f>
        <v/>
      </c>
      <c r="I2141">
        <f>IF(E2141="Gmail",COUNTIF($E$2:E2141,"Gmail"),"")</f>
        <v/>
      </c>
      <c r="J2141">
        <f>IF(E2141="Outlook",COUNTIF($E$2:E2141,"Outlook"),"")</f>
        <v/>
      </c>
      <c r="K2141">
        <f>IF(E2141="Domain",COUNTIF($E$2:E2141,"Domain"),"")</f>
        <v/>
      </c>
    </row>
    <row r="2142">
      <c r="A2142" s="2" t="n"/>
      <c r="B2142">
        <f>LOWER(TRIM(A2142))</f>
        <v/>
      </c>
      <c r="C2142">
        <f>IF(B2142="","",IFERROR(INDEX('Bad Patterns'!$A$2:$A$120,MATCH(1,INDEX(--ISNUMBER(SEARCH('Bad Patterns'!$A$2:$A$120,B2142)),0),0)),""))</f>
        <v/>
      </c>
      <c r="D2142">
        <f>IF(B2142="","",IF(C2142&lt;&gt;"","REMOVE","KEEP"))</f>
        <v/>
      </c>
      <c r="E2142">
        <f>IF(D2142&lt;&gt;"KEEP","",IF(RIGHT(B2142,10)="@gmail.com","Gmail",IF(OR(RIGHT(B2142,12)="@outlook.com",RIGHT(B2142,12)="@hotmail.com",RIGHT(B2142,9)="@live.com"),"Outlook","Domain")))</f>
        <v/>
      </c>
      <c r="F2142">
        <f>IF(B2142="","",IFERROR(RIGHT(B2142,LEN(B2142)-FIND("@",B2142)),""))</f>
        <v/>
      </c>
      <c r="G2142">
        <f>IF(D2142="KEEP",COUNTIF($D$2:D2142,"KEEP"),"")</f>
        <v/>
      </c>
      <c r="H2142">
        <f>IF(D2142="REMOVE",COUNTIF($D$2:D2142,"REMOVE"),"")</f>
        <v/>
      </c>
      <c r="I2142">
        <f>IF(E2142="Gmail",COUNTIF($E$2:E2142,"Gmail"),"")</f>
        <v/>
      </c>
      <c r="J2142">
        <f>IF(E2142="Outlook",COUNTIF($E$2:E2142,"Outlook"),"")</f>
        <v/>
      </c>
      <c r="K2142">
        <f>IF(E2142="Domain",COUNTIF($E$2:E2142,"Domain"),"")</f>
        <v/>
      </c>
    </row>
    <row r="2143">
      <c r="A2143" s="2" t="n"/>
      <c r="B2143">
        <f>LOWER(TRIM(A2143))</f>
        <v/>
      </c>
      <c r="C2143">
        <f>IF(B2143="","",IFERROR(INDEX('Bad Patterns'!$A$2:$A$120,MATCH(1,INDEX(--ISNUMBER(SEARCH('Bad Patterns'!$A$2:$A$120,B2143)),0),0)),""))</f>
        <v/>
      </c>
      <c r="D2143">
        <f>IF(B2143="","",IF(C2143&lt;&gt;"","REMOVE","KEEP"))</f>
        <v/>
      </c>
      <c r="E2143">
        <f>IF(D2143&lt;&gt;"KEEP","",IF(RIGHT(B2143,10)="@gmail.com","Gmail",IF(OR(RIGHT(B2143,12)="@outlook.com",RIGHT(B2143,12)="@hotmail.com",RIGHT(B2143,9)="@live.com"),"Outlook","Domain")))</f>
        <v/>
      </c>
      <c r="F2143">
        <f>IF(B2143="","",IFERROR(RIGHT(B2143,LEN(B2143)-FIND("@",B2143)),""))</f>
        <v/>
      </c>
      <c r="G2143">
        <f>IF(D2143="KEEP",COUNTIF($D$2:D2143,"KEEP"),"")</f>
        <v/>
      </c>
      <c r="H2143">
        <f>IF(D2143="REMOVE",COUNTIF($D$2:D2143,"REMOVE"),"")</f>
        <v/>
      </c>
      <c r="I2143">
        <f>IF(E2143="Gmail",COUNTIF($E$2:E2143,"Gmail"),"")</f>
        <v/>
      </c>
      <c r="J2143">
        <f>IF(E2143="Outlook",COUNTIF($E$2:E2143,"Outlook"),"")</f>
        <v/>
      </c>
      <c r="K2143">
        <f>IF(E2143="Domain",COUNTIF($E$2:E2143,"Domain"),"")</f>
        <v/>
      </c>
    </row>
    <row r="2144">
      <c r="A2144" s="2" t="n"/>
      <c r="B2144">
        <f>LOWER(TRIM(A2144))</f>
        <v/>
      </c>
      <c r="C2144">
        <f>IF(B2144="","",IFERROR(INDEX('Bad Patterns'!$A$2:$A$120,MATCH(1,INDEX(--ISNUMBER(SEARCH('Bad Patterns'!$A$2:$A$120,B2144)),0),0)),""))</f>
        <v/>
      </c>
      <c r="D2144">
        <f>IF(B2144="","",IF(C2144&lt;&gt;"","REMOVE","KEEP"))</f>
        <v/>
      </c>
      <c r="E2144">
        <f>IF(D2144&lt;&gt;"KEEP","",IF(RIGHT(B2144,10)="@gmail.com","Gmail",IF(OR(RIGHT(B2144,12)="@outlook.com",RIGHT(B2144,12)="@hotmail.com",RIGHT(B2144,9)="@live.com"),"Outlook","Domain")))</f>
        <v/>
      </c>
      <c r="F2144">
        <f>IF(B2144="","",IFERROR(RIGHT(B2144,LEN(B2144)-FIND("@",B2144)),""))</f>
        <v/>
      </c>
      <c r="G2144">
        <f>IF(D2144="KEEP",COUNTIF($D$2:D2144,"KEEP"),"")</f>
        <v/>
      </c>
      <c r="H2144">
        <f>IF(D2144="REMOVE",COUNTIF($D$2:D2144,"REMOVE"),"")</f>
        <v/>
      </c>
      <c r="I2144">
        <f>IF(E2144="Gmail",COUNTIF($E$2:E2144,"Gmail"),"")</f>
        <v/>
      </c>
      <c r="J2144">
        <f>IF(E2144="Outlook",COUNTIF($E$2:E2144,"Outlook"),"")</f>
        <v/>
      </c>
      <c r="K2144">
        <f>IF(E2144="Domain",COUNTIF($E$2:E2144,"Domain"),"")</f>
        <v/>
      </c>
    </row>
    <row r="2145">
      <c r="A2145" s="2" t="n"/>
      <c r="B2145">
        <f>LOWER(TRIM(A2145))</f>
        <v/>
      </c>
      <c r="C2145">
        <f>IF(B2145="","",IFERROR(INDEX('Bad Patterns'!$A$2:$A$120,MATCH(1,INDEX(--ISNUMBER(SEARCH('Bad Patterns'!$A$2:$A$120,B2145)),0),0)),""))</f>
        <v/>
      </c>
      <c r="D2145">
        <f>IF(B2145="","",IF(C2145&lt;&gt;"","REMOVE","KEEP"))</f>
        <v/>
      </c>
      <c r="E2145">
        <f>IF(D2145&lt;&gt;"KEEP","",IF(RIGHT(B2145,10)="@gmail.com","Gmail",IF(OR(RIGHT(B2145,12)="@outlook.com",RIGHT(B2145,12)="@hotmail.com",RIGHT(B2145,9)="@live.com"),"Outlook","Domain")))</f>
        <v/>
      </c>
      <c r="F2145">
        <f>IF(B2145="","",IFERROR(RIGHT(B2145,LEN(B2145)-FIND("@",B2145)),""))</f>
        <v/>
      </c>
      <c r="G2145">
        <f>IF(D2145="KEEP",COUNTIF($D$2:D2145,"KEEP"),"")</f>
        <v/>
      </c>
      <c r="H2145">
        <f>IF(D2145="REMOVE",COUNTIF($D$2:D2145,"REMOVE"),"")</f>
        <v/>
      </c>
      <c r="I2145">
        <f>IF(E2145="Gmail",COUNTIF($E$2:E2145,"Gmail"),"")</f>
        <v/>
      </c>
      <c r="J2145">
        <f>IF(E2145="Outlook",COUNTIF($E$2:E2145,"Outlook"),"")</f>
        <v/>
      </c>
      <c r="K2145">
        <f>IF(E2145="Domain",COUNTIF($E$2:E2145,"Domain"),"")</f>
        <v/>
      </c>
    </row>
    <row r="2146">
      <c r="A2146" s="2" t="n"/>
      <c r="B2146">
        <f>LOWER(TRIM(A2146))</f>
        <v/>
      </c>
      <c r="C2146">
        <f>IF(B2146="","",IFERROR(INDEX('Bad Patterns'!$A$2:$A$120,MATCH(1,INDEX(--ISNUMBER(SEARCH('Bad Patterns'!$A$2:$A$120,B2146)),0),0)),""))</f>
        <v/>
      </c>
      <c r="D2146">
        <f>IF(B2146="","",IF(C2146&lt;&gt;"","REMOVE","KEEP"))</f>
        <v/>
      </c>
      <c r="E2146">
        <f>IF(D2146&lt;&gt;"KEEP","",IF(RIGHT(B2146,10)="@gmail.com","Gmail",IF(OR(RIGHT(B2146,12)="@outlook.com",RIGHT(B2146,12)="@hotmail.com",RIGHT(B2146,9)="@live.com"),"Outlook","Domain")))</f>
        <v/>
      </c>
      <c r="F2146">
        <f>IF(B2146="","",IFERROR(RIGHT(B2146,LEN(B2146)-FIND("@",B2146)),""))</f>
        <v/>
      </c>
      <c r="G2146">
        <f>IF(D2146="KEEP",COUNTIF($D$2:D2146,"KEEP"),"")</f>
        <v/>
      </c>
      <c r="H2146">
        <f>IF(D2146="REMOVE",COUNTIF($D$2:D2146,"REMOVE"),"")</f>
        <v/>
      </c>
      <c r="I2146">
        <f>IF(E2146="Gmail",COUNTIF($E$2:E2146,"Gmail"),"")</f>
        <v/>
      </c>
      <c r="J2146">
        <f>IF(E2146="Outlook",COUNTIF($E$2:E2146,"Outlook"),"")</f>
        <v/>
      </c>
      <c r="K2146">
        <f>IF(E2146="Domain",COUNTIF($E$2:E2146,"Domain"),"")</f>
        <v/>
      </c>
    </row>
    <row r="2147">
      <c r="A2147" s="2" t="n"/>
      <c r="B2147">
        <f>LOWER(TRIM(A2147))</f>
        <v/>
      </c>
      <c r="C2147">
        <f>IF(B2147="","",IFERROR(INDEX('Bad Patterns'!$A$2:$A$120,MATCH(1,INDEX(--ISNUMBER(SEARCH('Bad Patterns'!$A$2:$A$120,B2147)),0),0)),""))</f>
        <v/>
      </c>
      <c r="D2147">
        <f>IF(B2147="","",IF(C2147&lt;&gt;"","REMOVE","KEEP"))</f>
        <v/>
      </c>
      <c r="E2147">
        <f>IF(D2147&lt;&gt;"KEEP","",IF(RIGHT(B2147,10)="@gmail.com","Gmail",IF(OR(RIGHT(B2147,12)="@outlook.com",RIGHT(B2147,12)="@hotmail.com",RIGHT(B2147,9)="@live.com"),"Outlook","Domain")))</f>
        <v/>
      </c>
      <c r="F2147">
        <f>IF(B2147="","",IFERROR(RIGHT(B2147,LEN(B2147)-FIND("@",B2147)),""))</f>
        <v/>
      </c>
      <c r="G2147">
        <f>IF(D2147="KEEP",COUNTIF($D$2:D2147,"KEEP"),"")</f>
        <v/>
      </c>
      <c r="H2147">
        <f>IF(D2147="REMOVE",COUNTIF($D$2:D2147,"REMOVE"),"")</f>
        <v/>
      </c>
      <c r="I2147">
        <f>IF(E2147="Gmail",COUNTIF($E$2:E2147,"Gmail"),"")</f>
        <v/>
      </c>
      <c r="J2147">
        <f>IF(E2147="Outlook",COUNTIF($E$2:E2147,"Outlook"),"")</f>
        <v/>
      </c>
      <c r="K2147">
        <f>IF(E2147="Domain",COUNTIF($E$2:E2147,"Domain"),"")</f>
        <v/>
      </c>
    </row>
    <row r="2148">
      <c r="A2148" s="2" t="n"/>
      <c r="B2148">
        <f>LOWER(TRIM(A2148))</f>
        <v/>
      </c>
      <c r="C2148">
        <f>IF(B2148="","",IFERROR(INDEX('Bad Patterns'!$A$2:$A$120,MATCH(1,INDEX(--ISNUMBER(SEARCH('Bad Patterns'!$A$2:$A$120,B2148)),0),0)),""))</f>
        <v/>
      </c>
      <c r="D2148">
        <f>IF(B2148="","",IF(C2148&lt;&gt;"","REMOVE","KEEP"))</f>
        <v/>
      </c>
      <c r="E2148">
        <f>IF(D2148&lt;&gt;"KEEP","",IF(RIGHT(B2148,10)="@gmail.com","Gmail",IF(OR(RIGHT(B2148,12)="@outlook.com",RIGHT(B2148,12)="@hotmail.com",RIGHT(B2148,9)="@live.com"),"Outlook","Domain")))</f>
        <v/>
      </c>
      <c r="F2148">
        <f>IF(B2148="","",IFERROR(RIGHT(B2148,LEN(B2148)-FIND("@",B2148)),""))</f>
        <v/>
      </c>
      <c r="G2148">
        <f>IF(D2148="KEEP",COUNTIF($D$2:D2148,"KEEP"),"")</f>
        <v/>
      </c>
      <c r="H2148">
        <f>IF(D2148="REMOVE",COUNTIF($D$2:D2148,"REMOVE"),"")</f>
        <v/>
      </c>
      <c r="I2148">
        <f>IF(E2148="Gmail",COUNTIF($E$2:E2148,"Gmail"),"")</f>
        <v/>
      </c>
      <c r="J2148">
        <f>IF(E2148="Outlook",COUNTIF($E$2:E2148,"Outlook"),"")</f>
        <v/>
      </c>
      <c r="K2148">
        <f>IF(E2148="Domain",COUNTIF($E$2:E2148,"Domain"),"")</f>
        <v/>
      </c>
    </row>
    <row r="2149">
      <c r="A2149" s="2" t="n"/>
      <c r="B2149">
        <f>LOWER(TRIM(A2149))</f>
        <v/>
      </c>
      <c r="C2149">
        <f>IF(B2149="","",IFERROR(INDEX('Bad Patterns'!$A$2:$A$120,MATCH(1,INDEX(--ISNUMBER(SEARCH('Bad Patterns'!$A$2:$A$120,B2149)),0),0)),""))</f>
        <v/>
      </c>
      <c r="D2149">
        <f>IF(B2149="","",IF(C2149&lt;&gt;"","REMOVE","KEEP"))</f>
        <v/>
      </c>
      <c r="E2149">
        <f>IF(D2149&lt;&gt;"KEEP","",IF(RIGHT(B2149,10)="@gmail.com","Gmail",IF(OR(RIGHT(B2149,12)="@outlook.com",RIGHT(B2149,12)="@hotmail.com",RIGHT(B2149,9)="@live.com"),"Outlook","Domain")))</f>
        <v/>
      </c>
      <c r="F2149">
        <f>IF(B2149="","",IFERROR(RIGHT(B2149,LEN(B2149)-FIND("@",B2149)),""))</f>
        <v/>
      </c>
      <c r="G2149">
        <f>IF(D2149="KEEP",COUNTIF($D$2:D2149,"KEEP"),"")</f>
        <v/>
      </c>
      <c r="H2149">
        <f>IF(D2149="REMOVE",COUNTIF($D$2:D2149,"REMOVE"),"")</f>
        <v/>
      </c>
      <c r="I2149">
        <f>IF(E2149="Gmail",COUNTIF($E$2:E2149,"Gmail"),"")</f>
        <v/>
      </c>
      <c r="J2149">
        <f>IF(E2149="Outlook",COUNTIF($E$2:E2149,"Outlook"),"")</f>
        <v/>
      </c>
      <c r="K2149">
        <f>IF(E2149="Domain",COUNTIF($E$2:E2149,"Domain"),"")</f>
        <v/>
      </c>
    </row>
    <row r="2150">
      <c r="A2150" s="2" t="n"/>
      <c r="B2150">
        <f>LOWER(TRIM(A2150))</f>
        <v/>
      </c>
      <c r="C2150">
        <f>IF(B2150="","",IFERROR(INDEX('Bad Patterns'!$A$2:$A$120,MATCH(1,INDEX(--ISNUMBER(SEARCH('Bad Patterns'!$A$2:$A$120,B2150)),0),0)),""))</f>
        <v/>
      </c>
      <c r="D2150">
        <f>IF(B2150="","",IF(C2150&lt;&gt;"","REMOVE","KEEP"))</f>
        <v/>
      </c>
      <c r="E2150">
        <f>IF(D2150&lt;&gt;"KEEP","",IF(RIGHT(B2150,10)="@gmail.com","Gmail",IF(OR(RIGHT(B2150,12)="@outlook.com",RIGHT(B2150,12)="@hotmail.com",RIGHT(B2150,9)="@live.com"),"Outlook","Domain")))</f>
        <v/>
      </c>
      <c r="F2150">
        <f>IF(B2150="","",IFERROR(RIGHT(B2150,LEN(B2150)-FIND("@",B2150)),""))</f>
        <v/>
      </c>
      <c r="G2150">
        <f>IF(D2150="KEEP",COUNTIF($D$2:D2150,"KEEP"),"")</f>
        <v/>
      </c>
      <c r="H2150">
        <f>IF(D2150="REMOVE",COUNTIF($D$2:D2150,"REMOVE"),"")</f>
        <v/>
      </c>
      <c r="I2150">
        <f>IF(E2150="Gmail",COUNTIF($E$2:E2150,"Gmail"),"")</f>
        <v/>
      </c>
      <c r="J2150">
        <f>IF(E2150="Outlook",COUNTIF($E$2:E2150,"Outlook"),"")</f>
        <v/>
      </c>
      <c r="K2150">
        <f>IF(E2150="Domain",COUNTIF($E$2:E2150,"Domain"),"")</f>
        <v/>
      </c>
    </row>
    <row r="2151">
      <c r="A2151" s="2" t="n"/>
      <c r="B2151">
        <f>LOWER(TRIM(A2151))</f>
        <v/>
      </c>
      <c r="C2151">
        <f>IF(B2151="","",IFERROR(INDEX('Bad Patterns'!$A$2:$A$120,MATCH(1,INDEX(--ISNUMBER(SEARCH('Bad Patterns'!$A$2:$A$120,B2151)),0),0)),""))</f>
        <v/>
      </c>
      <c r="D2151">
        <f>IF(B2151="","",IF(C2151&lt;&gt;"","REMOVE","KEEP"))</f>
        <v/>
      </c>
      <c r="E2151">
        <f>IF(D2151&lt;&gt;"KEEP","",IF(RIGHT(B2151,10)="@gmail.com","Gmail",IF(OR(RIGHT(B2151,12)="@outlook.com",RIGHT(B2151,12)="@hotmail.com",RIGHT(B2151,9)="@live.com"),"Outlook","Domain")))</f>
        <v/>
      </c>
      <c r="F2151">
        <f>IF(B2151="","",IFERROR(RIGHT(B2151,LEN(B2151)-FIND("@",B2151)),""))</f>
        <v/>
      </c>
      <c r="G2151">
        <f>IF(D2151="KEEP",COUNTIF($D$2:D2151,"KEEP"),"")</f>
        <v/>
      </c>
      <c r="H2151">
        <f>IF(D2151="REMOVE",COUNTIF($D$2:D2151,"REMOVE"),"")</f>
        <v/>
      </c>
      <c r="I2151">
        <f>IF(E2151="Gmail",COUNTIF($E$2:E2151,"Gmail"),"")</f>
        <v/>
      </c>
      <c r="J2151">
        <f>IF(E2151="Outlook",COUNTIF($E$2:E2151,"Outlook"),"")</f>
        <v/>
      </c>
      <c r="K2151">
        <f>IF(E2151="Domain",COUNTIF($E$2:E2151,"Domain"),"")</f>
        <v/>
      </c>
    </row>
    <row r="2152">
      <c r="A2152" s="2" t="n"/>
      <c r="B2152">
        <f>LOWER(TRIM(A2152))</f>
        <v/>
      </c>
      <c r="C2152">
        <f>IF(B2152="","",IFERROR(INDEX('Bad Patterns'!$A$2:$A$120,MATCH(1,INDEX(--ISNUMBER(SEARCH('Bad Patterns'!$A$2:$A$120,B2152)),0),0)),""))</f>
        <v/>
      </c>
      <c r="D2152">
        <f>IF(B2152="","",IF(C2152&lt;&gt;"","REMOVE","KEEP"))</f>
        <v/>
      </c>
      <c r="E2152">
        <f>IF(D2152&lt;&gt;"KEEP","",IF(RIGHT(B2152,10)="@gmail.com","Gmail",IF(OR(RIGHT(B2152,12)="@outlook.com",RIGHT(B2152,12)="@hotmail.com",RIGHT(B2152,9)="@live.com"),"Outlook","Domain")))</f>
        <v/>
      </c>
      <c r="F2152">
        <f>IF(B2152="","",IFERROR(RIGHT(B2152,LEN(B2152)-FIND("@",B2152)),""))</f>
        <v/>
      </c>
      <c r="G2152">
        <f>IF(D2152="KEEP",COUNTIF($D$2:D2152,"KEEP"),"")</f>
        <v/>
      </c>
      <c r="H2152">
        <f>IF(D2152="REMOVE",COUNTIF($D$2:D2152,"REMOVE"),"")</f>
        <v/>
      </c>
      <c r="I2152">
        <f>IF(E2152="Gmail",COUNTIF($E$2:E2152,"Gmail"),"")</f>
        <v/>
      </c>
      <c r="J2152">
        <f>IF(E2152="Outlook",COUNTIF($E$2:E2152,"Outlook"),"")</f>
        <v/>
      </c>
      <c r="K2152">
        <f>IF(E2152="Domain",COUNTIF($E$2:E2152,"Domain"),"")</f>
        <v/>
      </c>
    </row>
    <row r="2153">
      <c r="A2153" s="2" t="n"/>
      <c r="B2153">
        <f>LOWER(TRIM(A2153))</f>
        <v/>
      </c>
      <c r="C2153">
        <f>IF(B2153="","",IFERROR(INDEX('Bad Patterns'!$A$2:$A$120,MATCH(1,INDEX(--ISNUMBER(SEARCH('Bad Patterns'!$A$2:$A$120,B2153)),0),0)),""))</f>
        <v/>
      </c>
      <c r="D2153">
        <f>IF(B2153="","",IF(C2153&lt;&gt;"","REMOVE","KEEP"))</f>
        <v/>
      </c>
      <c r="E2153">
        <f>IF(D2153&lt;&gt;"KEEP","",IF(RIGHT(B2153,10)="@gmail.com","Gmail",IF(OR(RIGHT(B2153,12)="@outlook.com",RIGHT(B2153,12)="@hotmail.com",RIGHT(B2153,9)="@live.com"),"Outlook","Domain")))</f>
        <v/>
      </c>
      <c r="F2153">
        <f>IF(B2153="","",IFERROR(RIGHT(B2153,LEN(B2153)-FIND("@",B2153)),""))</f>
        <v/>
      </c>
      <c r="G2153">
        <f>IF(D2153="KEEP",COUNTIF($D$2:D2153,"KEEP"),"")</f>
        <v/>
      </c>
      <c r="H2153">
        <f>IF(D2153="REMOVE",COUNTIF($D$2:D2153,"REMOVE"),"")</f>
        <v/>
      </c>
      <c r="I2153">
        <f>IF(E2153="Gmail",COUNTIF($E$2:E2153,"Gmail"),"")</f>
        <v/>
      </c>
      <c r="J2153">
        <f>IF(E2153="Outlook",COUNTIF($E$2:E2153,"Outlook"),"")</f>
        <v/>
      </c>
      <c r="K2153">
        <f>IF(E2153="Domain",COUNTIF($E$2:E2153,"Domain"),"")</f>
        <v/>
      </c>
    </row>
    <row r="2154">
      <c r="A2154" s="2" t="n"/>
      <c r="B2154">
        <f>LOWER(TRIM(A2154))</f>
        <v/>
      </c>
      <c r="C2154">
        <f>IF(B2154="","",IFERROR(INDEX('Bad Patterns'!$A$2:$A$120,MATCH(1,INDEX(--ISNUMBER(SEARCH('Bad Patterns'!$A$2:$A$120,B2154)),0),0)),""))</f>
        <v/>
      </c>
      <c r="D2154">
        <f>IF(B2154="","",IF(C2154&lt;&gt;"","REMOVE","KEEP"))</f>
        <v/>
      </c>
      <c r="E2154">
        <f>IF(D2154&lt;&gt;"KEEP","",IF(RIGHT(B2154,10)="@gmail.com","Gmail",IF(OR(RIGHT(B2154,12)="@outlook.com",RIGHT(B2154,12)="@hotmail.com",RIGHT(B2154,9)="@live.com"),"Outlook","Domain")))</f>
        <v/>
      </c>
      <c r="F2154">
        <f>IF(B2154="","",IFERROR(RIGHT(B2154,LEN(B2154)-FIND("@",B2154)),""))</f>
        <v/>
      </c>
      <c r="G2154">
        <f>IF(D2154="KEEP",COUNTIF($D$2:D2154,"KEEP"),"")</f>
        <v/>
      </c>
      <c r="H2154">
        <f>IF(D2154="REMOVE",COUNTIF($D$2:D2154,"REMOVE"),"")</f>
        <v/>
      </c>
      <c r="I2154">
        <f>IF(E2154="Gmail",COUNTIF($E$2:E2154,"Gmail"),"")</f>
        <v/>
      </c>
      <c r="J2154">
        <f>IF(E2154="Outlook",COUNTIF($E$2:E2154,"Outlook"),"")</f>
        <v/>
      </c>
      <c r="K2154">
        <f>IF(E2154="Domain",COUNTIF($E$2:E2154,"Domain"),"")</f>
        <v/>
      </c>
    </row>
    <row r="2155">
      <c r="A2155" s="2" t="n"/>
      <c r="B2155">
        <f>LOWER(TRIM(A2155))</f>
        <v/>
      </c>
      <c r="C2155">
        <f>IF(B2155="","",IFERROR(INDEX('Bad Patterns'!$A$2:$A$120,MATCH(1,INDEX(--ISNUMBER(SEARCH('Bad Patterns'!$A$2:$A$120,B2155)),0),0)),""))</f>
        <v/>
      </c>
      <c r="D2155">
        <f>IF(B2155="","",IF(C2155&lt;&gt;"","REMOVE","KEEP"))</f>
        <v/>
      </c>
      <c r="E2155">
        <f>IF(D2155&lt;&gt;"KEEP","",IF(RIGHT(B2155,10)="@gmail.com","Gmail",IF(OR(RIGHT(B2155,12)="@outlook.com",RIGHT(B2155,12)="@hotmail.com",RIGHT(B2155,9)="@live.com"),"Outlook","Domain")))</f>
        <v/>
      </c>
      <c r="F2155">
        <f>IF(B2155="","",IFERROR(RIGHT(B2155,LEN(B2155)-FIND("@",B2155)),""))</f>
        <v/>
      </c>
      <c r="G2155">
        <f>IF(D2155="KEEP",COUNTIF($D$2:D2155,"KEEP"),"")</f>
        <v/>
      </c>
      <c r="H2155">
        <f>IF(D2155="REMOVE",COUNTIF($D$2:D2155,"REMOVE"),"")</f>
        <v/>
      </c>
      <c r="I2155">
        <f>IF(E2155="Gmail",COUNTIF($E$2:E2155,"Gmail"),"")</f>
        <v/>
      </c>
      <c r="J2155">
        <f>IF(E2155="Outlook",COUNTIF($E$2:E2155,"Outlook"),"")</f>
        <v/>
      </c>
      <c r="K2155">
        <f>IF(E2155="Domain",COUNTIF($E$2:E2155,"Domain"),"")</f>
        <v/>
      </c>
    </row>
    <row r="2156">
      <c r="A2156" s="2" t="n"/>
      <c r="B2156">
        <f>LOWER(TRIM(A2156))</f>
        <v/>
      </c>
      <c r="C2156">
        <f>IF(B2156="","",IFERROR(INDEX('Bad Patterns'!$A$2:$A$120,MATCH(1,INDEX(--ISNUMBER(SEARCH('Bad Patterns'!$A$2:$A$120,B2156)),0),0)),""))</f>
        <v/>
      </c>
      <c r="D2156">
        <f>IF(B2156="","",IF(C2156&lt;&gt;"","REMOVE","KEEP"))</f>
        <v/>
      </c>
      <c r="E2156">
        <f>IF(D2156&lt;&gt;"KEEP","",IF(RIGHT(B2156,10)="@gmail.com","Gmail",IF(OR(RIGHT(B2156,12)="@outlook.com",RIGHT(B2156,12)="@hotmail.com",RIGHT(B2156,9)="@live.com"),"Outlook","Domain")))</f>
        <v/>
      </c>
      <c r="F2156">
        <f>IF(B2156="","",IFERROR(RIGHT(B2156,LEN(B2156)-FIND("@",B2156)),""))</f>
        <v/>
      </c>
      <c r="G2156">
        <f>IF(D2156="KEEP",COUNTIF($D$2:D2156,"KEEP"),"")</f>
        <v/>
      </c>
      <c r="H2156">
        <f>IF(D2156="REMOVE",COUNTIF($D$2:D2156,"REMOVE"),"")</f>
        <v/>
      </c>
      <c r="I2156">
        <f>IF(E2156="Gmail",COUNTIF($E$2:E2156,"Gmail"),"")</f>
        <v/>
      </c>
      <c r="J2156">
        <f>IF(E2156="Outlook",COUNTIF($E$2:E2156,"Outlook"),"")</f>
        <v/>
      </c>
      <c r="K2156">
        <f>IF(E2156="Domain",COUNTIF($E$2:E2156,"Domain"),"")</f>
        <v/>
      </c>
    </row>
    <row r="2157">
      <c r="A2157" s="2" t="n"/>
      <c r="B2157">
        <f>LOWER(TRIM(A2157))</f>
        <v/>
      </c>
      <c r="C2157">
        <f>IF(B2157="","",IFERROR(INDEX('Bad Patterns'!$A$2:$A$120,MATCH(1,INDEX(--ISNUMBER(SEARCH('Bad Patterns'!$A$2:$A$120,B2157)),0),0)),""))</f>
        <v/>
      </c>
      <c r="D2157">
        <f>IF(B2157="","",IF(C2157&lt;&gt;"","REMOVE","KEEP"))</f>
        <v/>
      </c>
      <c r="E2157">
        <f>IF(D2157&lt;&gt;"KEEP","",IF(RIGHT(B2157,10)="@gmail.com","Gmail",IF(OR(RIGHT(B2157,12)="@outlook.com",RIGHT(B2157,12)="@hotmail.com",RIGHT(B2157,9)="@live.com"),"Outlook","Domain")))</f>
        <v/>
      </c>
      <c r="F2157">
        <f>IF(B2157="","",IFERROR(RIGHT(B2157,LEN(B2157)-FIND("@",B2157)),""))</f>
        <v/>
      </c>
      <c r="G2157">
        <f>IF(D2157="KEEP",COUNTIF($D$2:D2157,"KEEP"),"")</f>
        <v/>
      </c>
      <c r="H2157">
        <f>IF(D2157="REMOVE",COUNTIF($D$2:D2157,"REMOVE"),"")</f>
        <v/>
      </c>
      <c r="I2157">
        <f>IF(E2157="Gmail",COUNTIF($E$2:E2157,"Gmail"),"")</f>
        <v/>
      </c>
      <c r="J2157">
        <f>IF(E2157="Outlook",COUNTIF($E$2:E2157,"Outlook"),"")</f>
        <v/>
      </c>
      <c r="K2157">
        <f>IF(E2157="Domain",COUNTIF($E$2:E2157,"Domain"),"")</f>
        <v/>
      </c>
    </row>
    <row r="2158">
      <c r="A2158" s="2" t="n"/>
      <c r="B2158">
        <f>LOWER(TRIM(A2158))</f>
        <v/>
      </c>
      <c r="C2158">
        <f>IF(B2158="","",IFERROR(INDEX('Bad Patterns'!$A$2:$A$120,MATCH(1,INDEX(--ISNUMBER(SEARCH('Bad Patterns'!$A$2:$A$120,B2158)),0),0)),""))</f>
        <v/>
      </c>
      <c r="D2158">
        <f>IF(B2158="","",IF(C2158&lt;&gt;"","REMOVE","KEEP"))</f>
        <v/>
      </c>
      <c r="E2158">
        <f>IF(D2158&lt;&gt;"KEEP","",IF(RIGHT(B2158,10)="@gmail.com","Gmail",IF(OR(RIGHT(B2158,12)="@outlook.com",RIGHT(B2158,12)="@hotmail.com",RIGHT(B2158,9)="@live.com"),"Outlook","Domain")))</f>
        <v/>
      </c>
      <c r="F2158">
        <f>IF(B2158="","",IFERROR(RIGHT(B2158,LEN(B2158)-FIND("@",B2158)),""))</f>
        <v/>
      </c>
      <c r="G2158">
        <f>IF(D2158="KEEP",COUNTIF($D$2:D2158,"KEEP"),"")</f>
        <v/>
      </c>
      <c r="H2158">
        <f>IF(D2158="REMOVE",COUNTIF($D$2:D2158,"REMOVE"),"")</f>
        <v/>
      </c>
      <c r="I2158">
        <f>IF(E2158="Gmail",COUNTIF($E$2:E2158,"Gmail"),"")</f>
        <v/>
      </c>
      <c r="J2158">
        <f>IF(E2158="Outlook",COUNTIF($E$2:E2158,"Outlook"),"")</f>
        <v/>
      </c>
      <c r="K2158">
        <f>IF(E2158="Domain",COUNTIF($E$2:E2158,"Domain"),"")</f>
        <v/>
      </c>
    </row>
    <row r="2159">
      <c r="A2159" s="2" t="n"/>
      <c r="B2159">
        <f>LOWER(TRIM(A2159))</f>
        <v/>
      </c>
      <c r="C2159">
        <f>IF(B2159="","",IFERROR(INDEX('Bad Patterns'!$A$2:$A$120,MATCH(1,INDEX(--ISNUMBER(SEARCH('Bad Patterns'!$A$2:$A$120,B2159)),0),0)),""))</f>
        <v/>
      </c>
      <c r="D2159">
        <f>IF(B2159="","",IF(C2159&lt;&gt;"","REMOVE","KEEP"))</f>
        <v/>
      </c>
      <c r="E2159">
        <f>IF(D2159&lt;&gt;"KEEP","",IF(RIGHT(B2159,10)="@gmail.com","Gmail",IF(OR(RIGHT(B2159,12)="@outlook.com",RIGHT(B2159,12)="@hotmail.com",RIGHT(B2159,9)="@live.com"),"Outlook","Domain")))</f>
        <v/>
      </c>
      <c r="F2159">
        <f>IF(B2159="","",IFERROR(RIGHT(B2159,LEN(B2159)-FIND("@",B2159)),""))</f>
        <v/>
      </c>
      <c r="G2159">
        <f>IF(D2159="KEEP",COUNTIF($D$2:D2159,"KEEP"),"")</f>
        <v/>
      </c>
      <c r="H2159">
        <f>IF(D2159="REMOVE",COUNTIF($D$2:D2159,"REMOVE"),"")</f>
        <v/>
      </c>
      <c r="I2159">
        <f>IF(E2159="Gmail",COUNTIF($E$2:E2159,"Gmail"),"")</f>
        <v/>
      </c>
      <c r="J2159">
        <f>IF(E2159="Outlook",COUNTIF($E$2:E2159,"Outlook"),"")</f>
        <v/>
      </c>
      <c r="K2159">
        <f>IF(E2159="Domain",COUNTIF($E$2:E2159,"Domain"),"")</f>
        <v/>
      </c>
    </row>
    <row r="2160">
      <c r="A2160" s="2" t="n"/>
      <c r="B2160">
        <f>LOWER(TRIM(A2160))</f>
        <v/>
      </c>
      <c r="C2160">
        <f>IF(B2160="","",IFERROR(INDEX('Bad Patterns'!$A$2:$A$120,MATCH(1,INDEX(--ISNUMBER(SEARCH('Bad Patterns'!$A$2:$A$120,B2160)),0),0)),""))</f>
        <v/>
      </c>
      <c r="D2160">
        <f>IF(B2160="","",IF(C2160&lt;&gt;"","REMOVE","KEEP"))</f>
        <v/>
      </c>
      <c r="E2160">
        <f>IF(D2160&lt;&gt;"KEEP","",IF(RIGHT(B2160,10)="@gmail.com","Gmail",IF(OR(RIGHT(B2160,12)="@outlook.com",RIGHT(B2160,12)="@hotmail.com",RIGHT(B2160,9)="@live.com"),"Outlook","Domain")))</f>
        <v/>
      </c>
      <c r="F2160">
        <f>IF(B2160="","",IFERROR(RIGHT(B2160,LEN(B2160)-FIND("@",B2160)),""))</f>
        <v/>
      </c>
      <c r="G2160">
        <f>IF(D2160="KEEP",COUNTIF($D$2:D2160,"KEEP"),"")</f>
        <v/>
      </c>
      <c r="H2160">
        <f>IF(D2160="REMOVE",COUNTIF($D$2:D2160,"REMOVE"),"")</f>
        <v/>
      </c>
      <c r="I2160">
        <f>IF(E2160="Gmail",COUNTIF($E$2:E2160,"Gmail"),"")</f>
        <v/>
      </c>
      <c r="J2160">
        <f>IF(E2160="Outlook",COUNTIF($E$2:E2160,"Outlook"),"")</f>
        <v/>
      </c>
      <c r="K2160">
        <f>IF(E2160="Domain",COUNTIF($E$2:E2160,"Domain"),"")</f>
        <v/>
      </c>
    </row>
    <row r="2161">
      <c r="A2161" s="2" t="n"/>
      <c r="B2161">
        <f>LOWER(TRIM(A2161))</f>
        <v/>
      </c>
      <c r="C2161">
        <f>IF(B2161="","",IFERROR(INDEX('Bad Patterns'!$A$2:$A$120,MATCH(1,INDEX(--ISNUMBER(SEARCH('Bad Patterns'!$A$2:$A$120,B2161)),0),0)),""))</f>
        <v/>
      </c>
      <c r="D2161">
        <f>IF(B2161="","",IF(C2161&lt;&gt;"","REMOVE","KEEP"))</f>
        <v/>
      </c>
      <c r="E2161">
        <f>IF(D2161&lt;&gt;"KEEP","",IF(RIGHT(B2161,10)="@gmail.com","Gmail",IF(OR(RIGHT(B2161,12)="@outlook.com",RIGHT(B2161,12)="@hotmail.com",RIGHT(B2161,9)="@live.com"),"Outlook","Domain")))</f>
        <v/>
      </c>
      <c r="F2161">
        <f>IF(B2161="","",IFERROR(RIGHT(B2161,LEN(B2161)-FIND("@",B2161)),""))</f>
        <v/>
      </c>
      <c r="G2161">
        <f>IF(D2161="KEEP",COUNTIF($D$2:D2161,"KEEP"),"")</f>
        <v/>
      </c>
      <c r="H2161">
        <f>IF(D2161="REMOVE",COUNTIF($D$2:D2161,"REMOVE"),"")</f>
        <v/>
      </c>
      <c r="I2161">
        <f>IF(E2161="Gmail",COUNTIF($E$2:E2161,"Gmail"),"")</f>
        <v/>
      </c>
      <c r="J2161">
        <f>IF(E2161="Outlook",COUNTIF($E$2:E2161,"Outlook"),"")</f>
        <v/>
      </c>
      <c r="K2161">
        <f>IF(E2161="Domain",COUNTIF($E$2:E2161,"Domain"),"")</f>
        <v/>
      </c>
    </row>
    <row r="2162">
      <c r="A2162" s="2" t="n"/>
      <c r="B2162">
        <f>LOWER(TRIM(A2162))</f>
        <v/>
      </c>
      <c r="C2162">
        <f>IF(B2162="","",IFERROR(INDEX('Bad Patterns'!$A$2:$A$120,MATCH(1,INDEX(--ISNUMBER(SEARCH('Bad Patterns'!$A$2:$A$120,B2162)),0),0)),""))</f>
        <v/>
      </c>
      <c r="D2162">
        <f>IF(B2162="","",IF(C2162&lt;&gt;"","REMOVE","KEEP"))</f>
        <v/>
      </c>
      <c r="E2162">
        <f>IF(D2162&lt;&gt;"KEEP","",IF(RIGHT(B2162,10)="@gmail.com","Gmail",IF(OR(RIGHT(B2162,12)="@outlook.com",RIGHT(B2162,12)="@hotmail.com",RIGHT(B2162,9)="@live.com"),"Outlook","Domain")))</f>
        <v/>
      </c>
      <c r="F2162">
        <f>IF(B2162="","",IFERROR(RIGHT(B2162,LEN(B2162)-FIND("@",B2162)),""))</f>
        <v/>
      </c>
      <c r="G2162">
        <f>IF(D2162="KEEP",COUNTIF($D$2:D2162,"KEEP"),"")</f>
        <v/>
      </c>
      <c r="H2162">
        <f>IF(D2162="REMOVE",COUNTIF($D$2:D2162,"REMOVE"),"")</f>
        <v/>
      </c>
      <c r="I2162">
        <f>IF(E2162="Gmail",COUNTIF($E$2:E2162,"Gmail"),"")</f>
        <v/>
      </c>
      <c r="J2162">
        <f>IF(E2162="Outlook",COUNTIF($E$2:E2162,"Outlook"),"")</f>
        <v/>
      </c>
      <c r="K2162">
        <f>IF(E2162="Domain",COUNTIF($E$2:E2162,"Domain"),"")</f>
        <v/>
      </c>
    </row>
    <row r="2163">
      <c r="A2163" s="2" t="n"/>
      <c r="B2163">
        <f>LOWER(TRIM(A2163))</f>
        <v/>
      </c>
      <c r="C2163">
        <f>IF(B2163="","",IFERROR(INDEX('Bad Patterns'!$A$2:$A$120,MATCH(1,INDEX(--ISNUMBER(SEARCH('Bad Patterns'!$A$2:$A$120,B2163)),0),0)),""))</f>
        <v/>
      </c>
      <c r="D2163">
        <f>IF(B2163="","",IF(C2163&lt;&gt;"","REMOVE","KEEP"))</f>
        <v/>
      </c>
      <c r="E2163">
        <f>IF(D2163&lt;&gt;"KEEP","",IF(RIGHT(B2163,10)="@gmail.com","Gmail",IF(OR(RIGHT(B2163,12)="@outlook.com",RIGHT(B2163,12)="@hotmail.com",RIGHT(B2163,9)="@live.com"),"Outlook","Domain")))</f>
        <v/>
      </c>
      <c r="F2163">
        <f>IF(B2163="","",IFERROR(RIGHT(B2163,LEN(B2163)-FIND("@",B2163)),""))</f>
        <v/>
      </c>
      <c r="G2163">
        <f>IF(D2163="KEEP",COUNTIF($D$2:D2163,"KEEP"),"")</f>
        <v/>
      </c>
      <c r="H2163">
        <f>IF(D2163="REMOVE",COUNTIF($D$2:D2163,"REMOVE"),"")</f>
        <v/>
      </c>
      <c r="I2163">
        <f>IF(E2163="Gmail",COUNTIF($E$2:E2163,"Gmail"),"")</f>
        <v/>
      </c>
      <c r="J2163">
        <f>IF(E2163="Outlook",COUNTIF($E$2:E2163,"Outlook"),"")</f>
        <v/>
      </c>
      <c r="K2163">
        <f>IF(E2163="Domain",COUNTIF($E$2:E2163,"Domain"),"")</f>
        <v/>
      </c>
    </row>
    <row r="2164">
      <c r="A2164" s="2" t="n"/>
      <c r="B2164">
        <f>LOWER(TRIM(A2164))</f>
        <v/>
      </c>
      <c r="C2164">
        <f>IF(B2164="","",IFERROR(INDEX('Bad Patterns'!$A$2:$A$120,MATCH(1,INDEX(--ISNUMBER(SEARCH('Bad Patterns'!$A$2:$A$120,B2164)),0),0)),""))</f>
        <v/>
      </c>
      <c r="D2164">
        <f>IF(B2164="","",IF(C2164&lt;&gt;"","REMOVE","KEEP"))</f>
        <v/>
      </c>
      <c r="E2164">
        <f>IF(D2164&lt;&gt;"KEEP","",IF(RIGHT(B2164,10)="@gmail.com","Gmail",IF(OR(RIGHT(B2164,12)="@outlook.com",RIGHT(B2164,12)="@hotmail.com",RIGHT(B2164,9)="@live.com"),"Outlook","Domain")))</f>
        <v/>
      </c>
      <c r="F2164">
        <f>IF(B2164="","",IFERROR(RIGHT(B2164,LEN(B2164)-FIND("@",B2164)),""))</f>
        <v/>
      </c>
      <c r="G2164">
        <f>IF(D2164="KEEP",COUNTIF($D$2:D2164,"KEEP"),"")</f>
        <v/>
      </c>
      <c r="H2164">
        <f>IF(D2164="REMOVE",COUNTIF($D$2:D2164,"REMOVE"),"")</f>
        <v/>
      </c>
      <c r="I2164">
        <f>IF(E2164="Gmail",COUNTIF($E$2:E2164,"Gmail"),"")</f>
        <v/>
      </c>
      <c r="J2164">
        <f>IF(E2164="Outlook",COUNTIF($E$2:E2164,"Outlook"),"")</f>
        <v/>
      </c>
      <c r="K2164">
        <f>IF(E2164="Domain",COUNTIF($E$2:E2164,"Domain"),"")</f>
        <v/>
      </c>
    </row>
    <row r="2165">
      <c r="A2165" s="2" t="n"/>
      <c r="B2165">
        <f>LOWER(TRIM(A2165))</f>
        <v/>
      </c>
      <c r="C2165">
        <f>IF(B2165="","",IFERROR(INDEX('Bad Patterns'!$A$2:$A$120,MATCH(1,INDEX(--ISNUMBER(SEARCH('Bad Patterns'!$A$2:$A$120,B2165)),0),0)),""))</f>
        <v/>
      </c>
      <c r="D2165">
        <f>IF(B2165="","",IF(C2165&lt;&gt;"","REMOVE","KEEP"))</f>
        <v/>
      </c>
      <c r="E2165">
        <f>IF(D2165&lt;&gt;"KEEP","",IF(RIGHT(B2165,10)="@gmail.com","Gmail",IF(OR(RIGHT(B2165,12)="@outlook.com",RIGHT(B2165,12)="@hotmail.com",RIGHT(B2165,9)="@live.com"),"Outlook","Domain")))</f>
        <v/>
      </c>
      <c r="F2165">
        <f>IF(B2165="","",IFERROR(RIGHT(B2165,LEN(B2165)-FIND("@",B2165)),""))</f>
        <v/>
      </c>
      <c r="G2165">
        <f>IF(D2165="KEEP",COUNTIF($D$2:D2165,"KEEP"),"")</f>
        <v/>
      </c>
      <c r="H2165">
        <f>IF(D2165="REMOVE",COUNTIF($D$2:D2165,"REMOVE"),"")</f>
        <v/>
      </c>
      <c r="I2165">
        <f>IF(E2165="Gmail",COUNTIF($E$2:E2165,"Gmail"),"")</f>
        <v/>
      </c>
      <c r="J2165">
        <f>IF(E2165="Outlook",COUNTIF($E$2:E2165,"Outlook"),"")</f>
        <v/>
      </c>
      <c r="K2165">
        <f>IF(E2165="Domain",COUNTIF($E$2:E2165,"Domain"),"")</f>
        <v/>
      </c>
    </row>
    <row r="2166">
      <c r="A2166" s="2" t="n"/>
      <c r="B2166">
        <f>LOWER(TRIM(A2166))</f>
        <v/>
      </c>
      <c r="C2166">
        <f>IF(B2166="","",IFERROR(INDEX('Bad Patterns'!$A$2:$A$120,MATCH(1,INDEX(--ISNUMBER(SEARCH('Bad Patterns'!$A$2:$A$120,B2166)),0),0)),""))</f>
        <v/>
      </c>
      <c r="D2166">
        <f>IF(B2166="","",IF(C2166&lt;&gt;"","REMOVE","KEEP"))</f>
        <v/>
      </c>
      <c r="E2166">
        <f>IF(D2166&lt;&gt;"KEEP","",IF(RIGHT(B2166,10)="@gmail.com","Gmail",IF(OR(RIGHT(B2166,12)="@outlook.com",RIGHT(B2166,12)="@hotmail.com",RIGHT(B2166,9)="@live.com"),"Outlook","Domain")))</f>
        <v/>
      </c>
      <c r="F2166">
        <f>IF(B2166="","",IFERROR(RIGHT(B2166,LEN(B2166)-FIND("@",B2166)),""))</f>
        <v/>
      </c>
      <c r="G2166">
        <f>IF(D2166="KEEP",COUNTIF($D$2:D2166,"KEEP"),"")</f>
        <v/>
      </c>
      <c r="H2166">
        <f>IF(D2166="REMOVE",COUNTIF($D$2:D2166,"REMOVE"),"")</f>
        <v/>
      </c>
      <c r="I2166">
        <f>IF(E2166="Gmail",COUNTIF($E$2:E2166,"Gmail"),"")</f>
        <v/>
      </c>
      <c r="J2166">
        <f>IF(E2166="Outlook",COUNTIF($E$2:E2166,"Outlook"),"")</f>
        <v/>
      </c>
      <c r="K2166">
        <f>IF(E2166="Domain",COUNTIF($E$2:E2166,"Domain"),"")</f>
        <v/>
      </c>
    </row>
    <row r="2167">
      <c r="A2167" s="2" t="n"/>
      <c r="B2167">
        <f>LOWER(TRIM(A2167))</f>
        <v/>
      </c>
      <c r="C2167">
        <f>IF(B2167="","",IFERROR(INDEX('Bad Patterns'!$A$2:$A$120,MATCH(1,INDEX(--ISNUMBER(SEARCH('Bad Patterns'!$A$2:$A$120,B2167)),0),0)),""))</f>
        <v/>
      </c>
      <c r="D2167">
        <f>IF(B2167="","",IF(C2167&lt;&gt;"","REMOVE","KEEP"))</f>
        <v/>
      </c>
      <c r="E2167">
        <f>IF(D2167&lt;&gt;"KEEP","",IF(RIGHT(B2167,10)="@gmail.com","Gmail",IF(OR(RIGHT(B2167,12)="@outlook.com",RIGHT(B2167,12)="@hotmail.com",RIGHT(B2167,9)="@live.com"),"Outlook","Domain")))</f>
        <v/>
      </c>
      <c r="F2167">
        <f>IF(B2167="","",IFERROR(RIGHT(B2167,LEN(B2167)-FIND("@",B2167)),""))</f>
        <v/>
      </c>
      <c r="G2167">
        <f>IF(D2167="KEEP",COUNTIF($D$2:D2167,"KEEP"),"")</f>
        <v/>
      </c>
      <c r="H2167">
        <f>IF(D2167="REMOVE",COUNTIF($D$2:D2167,"REMOVE"),"")</f>
        <v/>
      </c>
      <c r="I2167">
        <f>IF(E2167="Gmail",COUNTIF($E$2:E2167,"Gmail"),"")</f>
        <v/>
      </c>
      <c r="J2167">
        <f>IF(E2167="Outlook",COUNTIF($E$2:E2167,"Outlook"),"")</f>
        <v/>
      </c>
      <c r="K2167">
        <f>IF(E2167="Domain",COUNTIF($E$2:E2167,"Domain"),"")</f>
        <v/>
      </c>
    </row>
    <row r="2168">
      <c r="A2168" s="2" t="n"/>
      <c r="B2168">
        <f>LOWER(TRIM(A2168))</f>
        <v/>
      </c>
      <c r="C2168">
        <f>IF(B2168="","",IFERROR(INDEX('Bad Patterns'!$A$2:$A$120,MATCH(1,INDEX(--ISNUMBER(SEARCH('Bad Patterns'!$A$2:$A$120,B2168)),0),0)),""))</f>
        <v/>
      </c>
      <c r="D2168">
        <f>IF(B2168="","",IF(C2168&lt;&gt;"","REMOVE","KEEP"))</f>
        <v/>
      </c>
      <c r="E2168">
        <f>IF(D2168&lt;&gt;"KEEP","",IF(RIGHT(B2168,10)="@gmail.com","Gmail",IF(OR(RIGHT(B2168,12)="@outlook.com",RIGHT(B2168,12)="@hotmail.com",RIGHT(B2168,9)="@live.com"),"Outlook","Domain")))</f>
        <v/>
      </c>
      <c r="F2168">
        <f>IF(B2168="","",IFERROR(RIGHT(B2168,LEN(B2168)-FIND("@",B2168)),""))</f>
        <v/>
      </c>
      <c r="G2168">
        <f>IF(D2168="KEEP",COUNTIF($D$2:D2168,"KEEP"),"")</f>
        <v/>
      </c>
      <c r="H2168">
        <f>IF(D2168="REMOVE",COUNTIF($D$2:D2168,"REMOVE"),"")</f>
        <v/>
      </c>
      <c r="I2168">
        <f>IF(E2168="Gmail",COUNTIF($E$2:E2168,"Gmail"),"")</f>
        <v/>
      </c>
      <c r="J2168">
        <f>IF(E2168="Outlook",COUNTIF($E$2:E2168,"Outlook"),"")</f>
        <v/>
      </c>
      <c r="K2168">
        <f>IF(E2168="Domain",COUNTIF($E$2:E2168,"Domain"),"")</f>
        <v/>
      </c>
    </row>
    <row r="2169">
      <c r="A2169" s="2" t="n"/>
      <c r="B2169">
        <f>LOWER(TRIM(A2169))</f>
        <v/>
      </c>
      <c r="C2169">
        <f>IF(B2169="","",IFERROR(INDEX('Bad Patterns'!$A$2:$A$120,MATCH(1,INDEX(--ISNUMBER(SEARCH('Bad Patterns'!$A$2:$A$120,B2169)),0),0)),""))</f>
        <v/>
      </c>
      <c r="D2169">
        <f>IF(B2169="","",IF(C2169&lt;&gt;"","REMOVE","KEEP"))</f>
        <v/>
      </c>
      <c r="E2169">
        <f>IF(D2169&lt;&gt;"KEEP","",IF(RIGHT(B2169,10)="@gmail.com","Gmail",IF(OR(RIGHT(B2169,12)="@outlook.com",RIGHT(B2169,12)="@hotmail.com",RIGHT(B2169,9)="@live.com"),"Outlook","Domain")))</f>
        <v/>
      </c>
      <c r="F2169">
        <f>IF(B2169="","",IFERROR(RIGHT(B2169,LEN(B2169)-FIND("@",B2169)),""))</f>
        <v/>
      </c>
      <c r="G2169">
        <f>IF(D2169="KEEP",COUNTIF($D$2:D2169,"KEEP"),"")</f>
        <v/>
      </c>
      <c r="H2169">
        <f>IF(D2169="REMOVE",COUNTIF($D$2:D2169,"REMOVE"),"")</f>
        <v/>
      </c>
      <c r="I2169">
        <f>IF(E2169="Gmail",COUNTIF($E$2:E2169,"Gmail"),"")</f>
        <v/>
      </c>
      <c r="J2169">
        <f>IF(E2169="Outlook",COUNTIF($E$2:E2169,"Outlook"),"")</f>
        <v/>
      </c>
      <c r="K2169">
        <f>IF(E2169="Domain",COUNTIF($E$2:E2169,"Domain"),"")</f>
        <v/>
      </c>
    </row>
    <row r="2170">
      <c r="A2170" s="2" t="n"/>
      <c r="B2170">
        <f>LOWER(TRIM(A2170))</f>
        <v/>
      </c>
      <c r="C2170">
        <f>IF(B2170="","",IFERROR(INDEX('Bad Patterns'!$A$2:$A$120,MATCH(1,INDEX(--ISNUMBER(SEARCH('Bad Patterns'!$A$2:$A$120,B2170)),0),0)),""))</f>
        <v/>
      </c>
      <c r="D2170">
        <f>IF(B2170="","",IF(C2170&lt;&gt;"","REMOVE","KEEP"))</f>
        <v/>
      </c>
      <c r="E2170">
        <f>IF(D2170&lt;&gt;"KEEP","",IF(RIGHT(B2170,10)="@gmail.com","Gmail",IF(OR(RIGHT(B2170,12)="@outlook.com",RIGHT(B2170,12)="@hotmail.com",RIGHT(B2170,9)="@live.com"),"Outlook","Domain")))</f>
        <v/>
      </c>
      <c r="F2170">
        <f>IF(B2170="","",IFERROR(RIGHT(B2170,LEN(B2170)-FIND("@",B2170)),""))</f>
        <v/>
      </c>
      <c r="G2170">
        <f>IF(D2170="KEEP",COUNTIF($D$2:D2170,"KEEP"),"")</f>
        <v/>
      </c>
      <c r="H2170">
        <f>IF(D2170="REMOVE",COUNTIF($D$2:D2170,"REMOVE"),"")</f>
        <v/>
      </c>
      <c r="I2170">
        <f>IF(E2170="Gmail",COUNTIF($E$2:E2170,"Gmail"),"")</f>
        <v/>
      </c>
      <c r="J2170">
        <f>IF(E2170="Outlook",COUNTIF($E$2:E2170,"Outlook"),"")</f>
        <v/>
      </c>
      <c r="K2170">
        <f>IF(E2170="Domain",COUNTIF($E$2:E2170,"Domain"),"")</f>
        <v/>
      </c>
    </row>
    <row r="2171">
      <c r="A2171" s="2" t="n"/>
      <c r="B2171">
        <f>LOWER(TRIM(A2171))</f>
        <v/>
      </c>
      <c r="C2171">
        <f>IF(B2171="","",IFERROR(INDEX('Bad Patterns'!$A$2:$A$120,MATCH(1,INDEX(--ISNUMBER(SEARCH('Bad Patterns'!$A$2:$A$120,B2171)),0),0)),""))</f>
        <v/>
      </c>
      <c r="D2171">
        <f>IF(B2171="","",IF(C2171&lt;&gt;"","REMOVE","KEEP"))</f>
        <v/>
      </c>
      <c r="E2171">
        <f>IF(D2171&lt;&gt;"KEEP","",IF(RIGHT(B2171,10)="@gmail.com","Gmail",IF(OR(RIGHT(B2171,12)="@outlook.com",RIGHT(B2171,12)="@hotmail.com",RIGHT(B2171,9)="@live.com"),"Outlook","Domain")))</f>
        <v/>
      </c>
      <c r="F2171">
        <f>IF(B2171="","",IFERROR(RIGHT(B2171,LEN(B2171)-FIND("@",B2171)),""))</f>
        <v/>
      </c>
      <c r="G2171">
        <f>IF(D2171="KEEP",COUNTIF($D$2:D2171,"KEEP"),"")</f>
        <v/>
      </c>
      <c r="H2171">
        <f>IF(D2171="REMOVE",COUNTIF($D$2:D2171,"REMOVE"),"")</f>
        <v/>
      </c>
      <c r="I2171">
        <f>IF(E2171="Gmail",COUNTIF($E$2:E2171,"Gmail"),"")</f>
        <v/>
      </c>
      <c r="J2171">
        <f>IF(E2171="Outlook",COUNTIF($E$2:E2171,"Outlook"),"")</f>
        <v/>
      </c>
      <c r="K2171">
        <f>IF(E2171="Domain",COUNTIF($E$2:E2171,"Domain"),"")</f>
        <v/>
      </c>
    </row>
    <row r="2172">
      <c r="A2172" s="2" t="n"/>
      <c r="B2172">
        <f>LOWER(TRIM(A2172))</f>
        <v/>
      </c>
      <c r="C2172">
        <f>IF(B2172="","",IFERROR(INDEX('Bad Patterns'!$A$2:$A$120,MATCH(1,INDEX(--ISNUMBER(SEARCH('Bad Patterns'!$A$2:$A$120,B2172)),0),0)),""))</f>
        <v/>
      </c>
      <c r="D2172">
        <f>IF(B2172="","",IF(C2172&lt;&gt;"","REMOVE","KEEP"))</f>
        <v/>
      </c>
      <c r="E2172">
        <f>IF(D2172&lt;&gt;"KEEP","",IF(RIGHT(B2172,10)="@gmail.com","Gmail",IF(OR(RIGHT(B2172,12)="@outlook.com",RIGHT(B2172,12)="@hotmail.com",RIGHT(B2172,9)="@live.com"),"Outlook","Domain")))</f>
        <v/>
      </c>
      <c r="F2172">
        <f>IF(B2172="","",IFERROR(RIGHT(B2172,LEN(B2172)-FIND("@",B2172)),""))</f>
        <v/>
      </c>
      <c r="G2172">
        <f>IF(D2172="KEEP",COUNTIF($D$2:D2172,"KEEP"),"")</f>
        <v/>
      </c>
      <c r="H2172">
        <f>IF(D2172="REMOVE",COUNTIF($D$2:D2172,"REMOVE"),"")</f>
        <v/>
      </c>
      <c r="I2172">
        <f>IF(E2172="Gmail",COUNTIF($E$2:E2172,"Gmail"),"")</f>
        <v/>
      </c>
      <c r="J2172">
        <f>IF(E2172="Outlook",COUNTIF($E$2:E2172,"Outlook"),"")</f>
        <v/>
      </c>
      <c r="K2172">
        <f>IF(E2172="Domain",COUNTIF($E$2:E2172,"Domain"),"")</f>
        <v/>
      </c>
    </row>
    <row r="2173">
      <c r="A2173" s="2" t="n"/>
      <c r="B2173">
        <f>LOWER(TRIM(A2173))</f>
        <v/>
      </c>
      <c r="C2173">
        <f>IF(B2173="","",IFERROR(INDEX('Bad Patterns'!$A$2:$A$120,MATCH(1,INDEX(--ISNUMBER(SEARCH('Bad Patterns'!$A$2:$A$120,B2173)),0),0)),""))</f>
        <v/>
      </c>
      <c r="D2173">
        <f>IF(B2173="","",IF(C2173&lt;&gt;"","REMOVE","KEEP"))</f>
        <v/>
      </c>
      <c r="E2173">
        <f>IF(D2173&lt;&gt;"KEEP","",IF(RIGHT(B2173,10)="@gmail.com","Gmail",IF(OR(RIGHT(B2173,12)="@outlook.com",RIGHT(B2173,12)="@hotmail.com",RIGHT(B2173,9)="@live.com"),"Outlook","Domain")))</f>
        <v/>
      </c>
      <c r="F2173">
        <f>IF(B2173="","",IFERROR(RIGHT(B2173,LEN(B2173)-FIND("@",B2173)),""))</f>
        <v/>
      </c>
      <c r="G2173">
        <f>IF(D2173="KEEP",COUNTIF($D$2:D2173,"KEEP"),"")</f>
        <v/>
      </c>
      <c r="H2173">
        <f>IF(D2173="REMOVE",COUNTIF($D$2:D2173,"REMOVE"),"")</f>
        <v/>
      </c>
      <c r="I2173">
        <f>IF(E2173="Gmail",COUNTIF($E$2:E2173,"Gmail"),"")</f>
        <v/>
      </c>
      <c r="J2173">
        <f>IF(E2173="Outlook",COUNTIF($E$2:E2173,"Outlook"),"")</f>
        <v/>
      </c>
      <c r="K2173">
        <f>IF(E2173="Domain",COUNTIF($E$2:E2173,"Domain"),"")</f>
        <v/>
      </c>
    </row>
    <row r="2174">
      <c r="A2174" s="2" t="n"/>
      <c r="B2174">
        <f>LOWER(TRIM(A2174))</f>
        <v/>
      </c>
      <c r="C2174">
        <f>IF(B2174="","",IFERROR(INDEX('Bad Patterns'!$A$2:$A$120,MATCH(1,INDEX(--ISNUMBER(SEARCH('Bad Patterns'!$A$2:$A$120,B2174)),0),0)),""))</f>
        <v/>
      </c>
      <c r="D2174">
        <f>IF(B2174="","",IF(C2174&lt;&gt;"","REMOVE","KEEP"))</f>
        <v/>
      </c>
      <c r="E2174">
        <f>IF(D2174&lt;&gt;"KEEP","",IF(RIGHT(B2174,10)="@gmail.com","Gmail",IF(OR(RIGHT(B2174,12)="@outlook.com",RIGHT(B2174,12)="@hotmail.com",RIGHT(B2174,9)="@live.com"),"Outlook","Domain")))</f>
        <v/>
      </c>
      <c r="F2174">
        <f>IF(B2174="","",IFERROR(RIGHT(B2174,LEN(B2174)-FIND("@",B2174)),""))</f>
        <v/>
      </c>
      <c r="G2174">
        <f>IF(D2174="KEEP",COUNTIF($D$2:D2174,"KEEP"),"")</f>
        <v/>
      </c>
      <c r="H2174">
        <f>IF(D2174="REMOVE",COUNTIF($D$2:D2174,"REMOVE"),"")</f>
        <v/>
      </c>
      <c r="I2174">
        <f>IF(E2174="Gmail",COUNTIF($E$2:E2174,"Gmail"),"")</f>
        <v/>
      </c>
      <c r="J2174">
        <f>IF(E2174="Outlook",COUNTIF($E$2:E2174,"Outlook"),"")</f>
        <v/>
      </c>
      <c r="K2174">
        <f>IF(E2174="Domain",COUNTIF($E$2:E2174,"Domain"),"")</f>
        <v/>
      </c>
    </row>
    <row r="2175">
      <c r="A2175" s="2" t="n"/>
      <c r="B2175">
        <f>LOWER(TRIM(A2175))</f>
        <v/>
      </c>
      <c r="C2175">
        <f>IF(B2175="","",IFERROR(INDEX('Bad Patterns'!$A$2:$A$120,MATCH(1,INDEX(--ISNUMBER(SEARCH('Bad Patterns'!$A$2:$A$120,B2175)),0),0)),""))</f>
        <v/>
      </c>
      <c r="D2175">
        <f>IF(B2175="","",IF(C2175&lt;&gt;"","REMOVE","KEEP"))</f>
        <v/>
      </c>
      <c r="E2175">
        <f>IF(D2175&lt;&gt;"KEEP","",IF(RIGHT(B2175,10)="@gmail.com","Gmail",IF(OR(RIGHT(B2175,12)="@outlook.com",RIGHT(B2175,12)="@hotmail.com",RIGHT(B2175,9)="@live.com"),"Outlook","Domain")))</f>
        <v/>
      </c>
      <c r="F2175">
        <f>IF(B2175="","",IFERROR(RIGHT(B2175,LEN(B2175)-FIND("@",B2175)),""))</f>
        <v/>
      </c>
      <c r="G2175">
        <f>IF(D2175="KEEP",COUNTIF($D$2:D2175,"KEEP"),"")</f>
        <v/>
      </c>
      <c r="H2175">
        <f>IF(D2175="REMOVE",COUNTIF($D$2:D2175,"REMOVE"),"")</f>
        <v/>
      </c>
      <c r="I2175">
        <f>IF(E2175="Gmail",COUNTIF($E$2:E2175,"Gmail"),"")</f>
        <v/>
      </c>
      <c r="J2175">
        <f>IF(E2175="Outlook",COUNTIF($E$2:E2175,"Outlook"),"")</f>
        <v/>
      </c>
      <c r="K2175">
        <f>IF(E2175="Domain",COUNTIF($E$2:E2175,"Domain"),"")</f>
        <v/>
      </c>
    </row>
    <row r="2176">
      <c r="A2176" s="2" t="n"/>
      <c r="B2176">
        <f>LOWER(TRIM(A2176))</f>
        <v/>
      </c>
      <c r="C2176">
        <f>IF(B2176="","",IFERROR(INDEX('Bad Patterns'!$A$2:$A$120,MATCH(1,INDEX(--ISNUMBER(SEARCH('Bad Patterns'!$A$2:$A$120,B2176)),0),0)),""))</f>
        <v/>
      </c>
      <c r="D2176">
        <f>IF(B2176="","",IF(C2176&lt;&gt;"","REMOVE","KEEP"))</f>
        <v/>
      </c>
      <c r="E2176">
        <f>IF(D2176&lt;&gt;"KEEP","",IF(RIGHT(B2176,10)="@gmail.com","Gmail",IF(OR(RIGHT(B2176,12)="@outlook.com",RIGHT(B2176,12)="@hotmail.com",RIGHT(B2176,9)="@live.com"),"Outlook","Domain")))</f>
        <v/>
      </c>
      <c r="F2176">
        <f>IF(B2176="","",IFERROR(RIGHT(B2176,LEN(B2176)-FIND("@",B2176)),""))</f>
        <v/>
      </c>
      <c r="G2176">
        <f>IF(D2176="KEEP",COUNTIF($D$2:D2176,"KEEP"),"")</f>
        <v/>
      </c>
      <c r="H2176">
        <f>IF(D2176="REMOVE",COUNTIF($D$2:D2176,"REMOVE"),"")</f>
        <v/>
      </c>
      <c r="I2176">
        <f>IF(E2176="Gmail",COUNTIF($E$2:E2176,"Gmail"),"")</f>
        <v/>
      </c>
      <c r="J2176">
        <f>IF(E2176="Outlook",COUNTIF($E$2:E2176,"Outlook"),"")</f>
        <v/>
      </c>
      <c r="K2176">
        <f>IF(E2176="Domain",COUNTIF($E$2:E2176,"Domain"),"")</f>
        <v/>
      </c>
    </row>
    <row r="2177">
      <c r="A2177" s="2" t="n"/>
      <c r="B2177">
        <f>LOWER(TRIM(A2177))</f>
        <v/>
      </c>
      <c r="C2177">
        <f>IF(B2177="","",IFERROR(INDEX('Bad Patterns'!$A$2:$A$120,MATCH(1,INDEX(--ISNUMBER(SEARCH('Bad Patterns'!$A$2:$A$120,B2177)),0),0)),""))</f>
        <v/>
      </c>
      <c r="D2177">
        <f>IF(B2177="","",IF(C2177&lt;&gt;"","REMOVE","KEEP"))</f>
        <v/>
      </c>
      <c r="E2177">
        <f>IF(D2177&lt;&gt;"KEEP","",IF(RIGHT(B2177,10)="@gmail.com","Gmail",IF(OR(RIGHT(B2177,12)="@outlook.com",RIGHT(B2177,12)="@hotmail.com",RIGHT(B2177,9)="@live.com"),"Outlook","Domain")))</f>
        <v/>
      </c>
      <c r="F2177">
        <f>IF(B2177="","",IFERROR(RIGHT(B2177,LEN(B2177)-FIND("@",B2177)),""))</f>
        <v/>
      </c>
      <c r="G2177">
        <f>IF(D2177="KEEP",COUNTIF($D$2:D2177,"KEEP"),"")</f>
        <v/>
      </c>
      <c r="H2177">
        <f>IF(D2177="REMOVE",COUNTIF($D$2:D2177,"REMOVE"),"")</f>
        <v/>
      </c>
      <c r="I2177">
        <f>IF(E2177="Gmail",COUNTIF($E$2:E2177,"Gmail"),"")</f>
        <v/>
      </c>
      <c r="J2177">
        <f>IF(E2177="Outlook",COUNTIF($E$2:E2177,"Outlook"),"")</f>
        <v/>
      </c>
      <c r="K2177">
        <f>IF(E2177="Domain",COUNTIF($E$2:E2177,"Domain"),"")</f>
        <v/>
      </c>
    </row>
    <row r="2178">
      <c r="A2178" s="2" t="n"/>
      <c r="B2178">
        <f>LOWER(TRIM(A2178))</f>
        <v/>
      </c>
      <c r="C2178">
        <f>IF(B2178="","",IFERROR(INDEX('Bad Patterns'!$A$2:$A$120,MATCH(1,INDEX(--ISNUMBER(SEARCH('Bad Patterns'!$A$2:$A$120,B2178)),0),0)),""))</f>
        <v/>
      </c>
      <c r="D2178">
        <f>IF(B2178="","",IF(C2178&lt;&gt;"","REMOVE","KEEP"))</f>
        <v/>
      </c>
      <c r="E2178">
        <f>IF(D2178&lt;&gt;"KEEP","",IF(RIGHT(B2178,10)="@gmail.com","Gmail",IF(OR(RIGHT(B2178,12)="@outlook.com",RIGHT(B2178,12)="@hotmail.com",RIGHT(B2178,9)="@live.com"),"Outlook","Domain")))</f>
        <v/>
      </c>
      <c r="F2178">
        <f>IF(B2178="","",IFERROR(RIGHT(B2178,LEN(B2178)-FIND("@",B2178)),""))</f>
        <v/>
      </c>
      <c r="G2178">
        <f>IF(D2178="KEEP",COUNTIF($D$2:D2178,"KEEP"),"")</f>
        <v/>
      </c>
      <c r="H2178">
        <f>IF(D2178="REMOVE",COUNTIF($D$2:D2178,"REMOVE"),"")</f>
        <v/>
      </c>
      <c r="I2178">
        <f>IF(E2178="Gmail",COUNTIF($E$2:E2178,"Gmail"),"")</f>
        <v/>
      </c>
      <c r="J2178">
        <f>IF(E2178="Outlook",COUNTIF($E$2:E2178,"Outlook"),"")</f>
        <v/>
      </c>
      <c r="K2178">
        <f>IF(E2178="Domain",COUNTIF($E$2:E2178,"Domain"),"")</f>
        <v/>
      </c>
    </row>
    <row r="2179">
      <c r="A2179" s="2" t="n"/>
      <c r="B2179">
        <f>LOWER(TRIM(A2179))</f>
        <v/>
      </c>
      <c r="C2179">
        <f>IF(B2179="","",IFERROR(INDEX('Bad Patterns'!$A$2:$A$120,MATCH(1,INDEX(--ISNUMBER(SEARCH('Bad Patterns'!$A$2:$A$120,B2179)),0),0)),""))</f>
        <v/>
      </c>
      <c r="D2179">
        <f>IF(B2179="","",IF(C2179&lt;&gt;"","REMOVE","KEEP"))</f>
        <v/>
      </c>
      <c r="E2179">
        <f>IF(D2179&lt;&gt;"KEEP","",IF(RIGHT(B2179,10)="@gmail.com","Gmail",IF(OR(RIGHT(B2179,12)="@outlook.com",RIGHT(B2179,12)="@hotmail.com",RIGHT(B2179,9)="@live.com"),"Outlook","Domain")))</f>
        <v/>
      </c>
      <c r="F2179">
        <f>IF(B2179="","",IFERROR(RIGHT(B2179,LEN(B2179)-FIND("@",B2179)),""))</f>
        <v/>
      </c>
      <c r="G2179">
        <f>IF(D2179="KEEP",COUNTIF($D$2:D2179,"KEEP"),"")</f>
        <v/>
      </c>
      <c r="H2179">
        <f>IF(D2179="REMOVE",COUNTIF($D$2:D2179,"REMOVE"),"")</f>
        <v/>
      </c>
      <c r="I2179">
        <f>IF(E2179="Gmail",COUNTIF($E$2:E2179,"Gmail"),"")</f>
        <v/>
      </c>
      <c r="J2179">
        <f>IF(E2179="Outlook",COUNTIF($E$2:E2179,"Outlook"),"")</f>
        <v/>
      </c>
      <c r="K2179">
        <f>IF(E2179="Domain",COUNTIF($E$2:E2179,"Domain"),"")</f>
        <v/>
      </c>
    </row>
    <row r="2180">
      <c r="A2180" s="2" t="n"/>
      <c r="B2180">
        <f>LOWER(TRIM(A2180))</f>
        <v/>
      </c>
      <c r="C2180">
        <f>IF(B2180="","",IFERROR(INDEX('Bad Patterns'!$A$2:$A$120,MATCH(1,INDEX(--ISNUMBER(SEARCH('Bad Patterns'!$A$2:$A$120,B2180)),0),0)),""))</f>
        <v/>
      </c>
      <c r="D2180">
        <f>IF(B2180="","",IF(C2180&lt;&gt;"","REMOVE","KEEP"))</f>
        <v/>
      </c>
      <c r="E2180">
        <f>IF(D2180&lt;&gt;"KEEP","",IF(RIGHT(B2180,10)="@gmail.com","Gmail",IF(OR(RIGHT(B2180,12)="@outlook.com",RIGHT(B2180,12)="@hotmail.com",RIGHT(B2180,9)="@live.com"),"Outlook","Domain")))</f>
        <v/>
      </c>
      <c r="F2180">
        <f>IF(B2180="","",IFERROR(RIGHT(B2180,LEN(B2180)-FIND("@",B2180)),""))</f>
        <v/>
      </c>
      <c r="G2180">
        <f>IF(D2180="KEEP",COUNTIF($D$2:D2180,"KEEP"),"")</f>
        <v/>
      </c>
      <c r="H2180">
        <f>IF(D2180="REMOVE",COUNTIF($D$2:D2180,"REMOVE"),"")</f>
        <v/>
      </c>
      <c r="I2180">
        <f>IF(E2180="Gmail",COUNTIF($E$2:E2180,"Gmail"),"")</f>
        <v/>
      </c>
      <c r="J2180">
        <f>IF(E2180="Outlook",COUNTIF($E$2:E2180,"Outlook"),"")</f>
        <v/>
      </c>
      <c r="K2180">
        <f>IF(E2180="Domain",COUNTIF($E$2:E2180,"Domain"),"")</f>
        <v/>
      </c>
    </row>
    <row r="2181">
      <c r="A2181" s="2" t="n"/>
      <c r="B2181">
        <f>LOWER(TRIM(A2181))</f>
        <v/>
      </c>
      <c r="C2181">
        <f>IF(B2181="","",IFERROR(INDEX('Bad Patterns'!$A$2:$A$120,MATCH(1,INDEX(--ISNUMBER(SEARCH('Bad Patterns'!$A$2:$A$120,B2181)),0),0)),""))</f>
        <v/>
      </c>
      <c r="D2181">
        <f>IF(B2181="","",IF(C2181&lt;&gt;"","REMOVE","KEEP"))</f>
        <v/>
      </c>
      <c r="E2181">
        <f>IF(D2181&lt;&gt;"KEEP","",IF(RIGHT(B2181,10)="@gmail.com","Gmail",IF(OR(RIGHT(B2181,12)="@outlook.com",RIGHT(B2181,12)="@hotmail.com",RIGHT(B2181,9)="@live.com"),"Outlook","Domain")))</f>
        <v/>
      </c>
      <c r="F2181">
        <f>IF(B2181="","",IFERROR(RIGHT(B2181,LEN(B2181)-FIND("@",B2181)),""))</f>
        <v/>
      </c>
      <c r="G2181">
        <f>IF(D2181="KEEP",COUNTIF($D$2:D2181,"KEEP"),"")</f>
        <v/>
      </c>
      <c r="H2181">
        <f>IF(D2181="REMOVE",COUNTIF($D$2:D2181,"REMOVE"),"")</f>
        <v/>
      </c>
      <c r="I2181">
        <f>IF(E2181="Gmail",COUNTIF($E$2:E2181,"Gmail"),"")</f>
        <v/>
      </c>
      <c r="J2181">
        <f>IF(E2181="Outlook",COUNTIF($E$2:E2181,"Outlook"),"")</f>
        <v/>
      </c>
      <c r="K2181">
        <f>IF(E2181="Domain",COUNTIF($E$2:E2181,"Domain"),"")</f>
        <v/>
      </c>
    </row>
    <row r="2182">
      <c r="A2182" s="2" t="n"/>
      <c r="B2182">
        <f>LOWER(TRIM(A2182))</f>
        <v/>
      </c>
      <c r="C2182">
        <f>IF(B2182="","",IFERROR(INDEX('Bad Patterns'!$A$2:$A$120,MATCH(1,INDEX(--ISNUMBER(SEARCH('Bad Patterns'!$A$2:$A$120,B2182)),0),0)),""))</f>
        <v/>
      </c>
      <c r="D2182">
        <f>IF(B2182="","",IF(C2182&lt;&gt;"","REMOVE","KEEP"))</f>
        <v/>
      </c>
      <c r="E2182">
        <f>IF(D2182&lt;&gt;"KEEP","",IF(RIGHT(B2182,10)="@gmail.com","Gmail",IF(OR(RIGHT(B2182,12)="@outlook.com",RIGHT(B2182,12)="@hotmail.com",RIGHT(B2182,9)="@live.com"),"Outlook","Domain")))</f>
        <v/>
      </c>
      <c r="F2182">
        <f>IF(B2182="","",IFERROR(RIGHT(B2182,LEN(B2182)-FIND("@",B2182)),""))</f>
        <v/>
      </c>
      <c r="G2182">
        <f>IF(D2182="KEEP",COUNTIF($D$2:D2182,"KEEP"),"")</f>
        <v/>
      </c>
      <c r="H2182">
        <f>IF(D2182="REMOVE",COUNTIF($D$2:D2182,"REMOVE"),"")</f>
        <v/>
      </c>
      <c r="I2182">
        <f>IF(E2182="Gmail",COUNTIF($E$2:E2182,"Gmail"),"")</f>
        <v/>
      </c>
      <c r="J2182">
        <f>IF(E2182="Outlook",COUNTIF($E$2:E2182,"Outlook"),"")</f>
        <v/>
      </c>
      <c r="K2182">
        <f>IF(E2182="Domain",COUNTIF($E$2:E2182,"Domain"),"")</f>
        <v/>
      </c>
    </row>
    <row r="2183">
      <c r="A2183" s="2" t="n"/>
      <c r="B2183">
        <f>LOWER(TRIM(A2183))</f>
        <v/>
      </c>
      <c r="C2183">
        <f>IF(B2183="","",IFERROR(INDEX('Bad Patterns'!$A$2:$A$120,MATCH(1,INDEX(--ISNUMBER(SEARCH('Bad Patterns'!$A$2:$A$120,B2183)),0),0)),""))</f>
        <v/>
      </c>
      <c r="D2183">
        <f>IF(B2183="","",IF(C2183&lt;&gt;"","REMOVE","KEEP"))</f>
        <v/>
      </c>
      <c r="E2183">
        <f>IF(D2183&lt;&gt;"KEEP","",IF(RIGHT(B2183,10)="@gmail.com","Gmail",IF(OR(RIGHT(B2183,12)="@outlook.com",RIGHT(B2183,12)="@hotmail.com",RIGHT(B2183,9)="@live.com"),"Outlook","Domain")))</f>
        <v/>
      </c>
      <c r="F2183">
        <f>IF(B2183="","",IFERROR(RIGHT(B2183,LEN(B2183)-FIND("@",B2183)),""))</f>
        <v/>
      </c>
      <c r="G2183">
        <f>IF(D2183="KEEP",COUNTIF($D$2:D2183,"KEEP"),"")</f>
        <v/>
      </c>
      <c r="H2183">
        <f>IF(D2183="REMOVE",COUNTIF($D$2:D2183,"REMOVE"),"")</f>
        <v/>
      </c>
      <c r="I2183">
        <f>IF(E2183="Gmail",COUNTIF($E$2:E2183,"Gmail"),"")</f>
        <v/>
      </c>
      <c r="J2183">
        <f>IF(E2183="Outlook",COUNTIF($E$2:E2183,"Outlook"),"")</f>
        <v/>
      </c>
      <c r="K2183">
        <f>IF(E2183="Domain",COUNTIF($E$2:E2183,"Domain"),"")</f>
        <v/>
      </c>
    </row>
    <row r="2184">
      <c r="A2184" s="2" t="n"/>
      <c r="B2184">
        <f>LOWER(TRIM(A2184))</f>
        <v/>
      </c>
      <c r="C2184">
        <f>IF(B2184="","",IFERROR(INDEX('Bad Patterns'!$A$2:$A$120,MATCH(1,INDEX(--ISNUMBER(SEARCH('Bad Patterns'!$A$2:$A$120,B2184)),0),0)),""))</f>
        <v/>
      </c>
      <c r="D2184">
        <f>IF(B2184="","",IF(C2184&lt;&gt;"","REMOVE","KEEP"))</f>
        <v/>
      </c>
      <c r="E2184">
        <f>IF(D2184&lt;&gt;"KEEP","",IF(RIGHT(B2184,10)="@gmail.com","Gmail",IF(OR(RIGHT(B2184,12)="@outlook.com",RIGHT(B2184,12)="@hotmail.com",RIGHT(B2184,9)="@live.com"),"Outlook","Domain")))</f>
        <v/>
      </c>
      <c r="F2184">
        <f>IF(B2184="","",IFERROR(RIGHT(B2184,LEN(B2184)-FIND("@",B2184)),""))</f>
        <v/>
      </c>
      <c r="G2184">
        <f>IF(D2184="KEEP",COUNTIF($D$2:D2184,"KEEP"),"")</f>
        <v/>
      </c>
      <c r="H2184">
        <f>IF(D2184="REMOVE",COUNTIF($D$2:D2184,"REMOVE"),"")</f>
        <v/>
      </c>
      <c r="I2184">
        <f>IF(E2184="Gmail",COUNTIF($E$2:E2184,"Gmail"),"")</f>
        <v/>
      </c>
      <c r="J2184">
        <f>IF(E2184="Outlook",COUNTIF($E$2:E2184,"Outlook"),"")</f>
        <v/>
      </c>
      <c r="K2184">
        <f>IF(E2184="Domain",COUNTIF($E$2:E2184,"Domain"),"")</f>
        <v/>
      </c>
    </row>
    <row r="2185">
      <c r="A2185" s="2" t="n"/>
      <c r="B2185">
        <f>LOWER(TRIM(A2185))</f>
        <v/>
      </c>
      <c r="C2185">
        <f>IF(B2185="","",IFERROR(INDEX('Bad Patterns'!$A$2:$A$120,MATCH(1,INDEX(--ISNUMBER(SEARCH('Bad Patterns'!$A$2:$A$120,B2185)),0),0)),""))</f>
        <v/>
      </c>
      <c r="D2185">
        <f>IF(B2185="","",IF(C2185&lt;&gt;"","REMOVE","KEEP"))</f>
        <v/>
      </c>
      <c r="E2185">
        <f>IF(D2185&lt;&gt;"KEEP","",IF(RIGHT(B2185,10)="@gmail.com","Gmail",IF(OR(RIGHT(B2185,12)="@outlook.com",RIGHT(B2185,12)="@hotmail.com",RIGHT(B2185,9)="@live.com"),"Outlook","Domain")))</f>
        <v/>
      </c>
      <c r="F2185">
        <f>IF(B2185="","",IFERROR(RIGHT(B2185,LEN(B2185)-FIND("@",B2185)),""))</f>
        <v/>
      </c>
      <c r="G2185">
        <f>IF(D2185="KEEP",COUNTIF($D$2:D2185,"KEEP"),"")</f>
        <v/>
      </c>
      <c r="H2185">
        <f>IF(D2185="REMOVE",COUNTIF($D$2:D2185,"REMOVE"),"")</f>
        <v/>
      </c>
      <c r="I2185">
        <f>IF(E2185="Gmail",COUNTIF($E$2:E2185,"Gmail"),"")</f>
        <v/>
      </c>
      <c r="J2185">
        <f>IF(E2185="Outlook",COUNTIF($E$2:E2185,"Outlook"),"")</f>
        <v/>
      </c>
      <c r="K2185">
        <f>IF(E2185="Domain",COUNTIF($E$2:E2185,"Domain"),"")</f>
        <v/>
      </c>
    </row>
    <row r="2186">
      <c r="A2186" s="2" t="n"/>
      <c r="B2186">
        <f>LOWER(TRIM(A2186))</f>
        <v/>
      </c>
      <c r="C2186">
        <f>IF(B2186="","",IFERROR(INDEX('Bad Patterns'!$A$2:$A$120,MATCH(1,INDEX(--ISNUMBER(SEARCH('Bad Patterns'!$A$2:$A$120,B2186)),0),0)),""))</f>
        <v/>
      </c>
      <c r="D2186">
        <f>IF(B2186="","",IF(C2186&lt;&gt;"","REMOVE","KEEP"))</f>
        <v/>
      </c>
      <c r="E2186">
        <f>IF(D2186&lt;&gt;"KEEP","",IF(RIGHT(B2186,10)="@gmail.com","Gmail",IF(OR(RIGHT(B2186,12)="@outlook.com",RIGHT(B2186,12)="@hotmail.com",RIGHT(B2186,9)="@live.com"),"Outlook","Domain")))</f>
        <v/>
      </c>
      <c r="F2186">
        <f>IF(B2186="","",IFERROR(RIGHT(B2186,LEN(B2186)-FIND("@",B2186)),""))</f>
        <v/>
      </c>
      <c r="G2186">
        <f>IF(D2186="KEEP",COUNTIF($D$2:D2186,"KEEP"),"")</f>
        <v/>
      </c>
      <c r="H2186">
        <f>IF(D2186="REMOVE",COUNTIF($D$2:D2186,"REMOVE"),"")</f>
        <v/>
      </c>
      <c r="I2186">
        <f>IF(E2186="Gmail",COUNTIF($E$2:E2186,"Gmail"),"")</f>
        <v/>
      </c>
      <c r="J2186">
        <f>IF(E2186="Outlook",COUNTIF($E$2:E2186,"Outlook"),"")</f>
        <v/>
      </c>
      <c r="K2186">
        <f>IF(E2186="Domain",COUNTIF($E$2:E2186,"Domain"),"")</f>
        <v/>
      </c>
    </row>
    <row r="2187">
      <c r="A2187" s="2" t="n"/>
      <c r="B2187">
        <f>LOWER(TRIM(A2187))</f>
        <v/>
      </c>
      <c r="C2187">
        <f>IF(B2187="","",IFERROR(INDEX('Bad Patterns'!$A$2:$A$120,MATCH(1,INDEX(--ISNUMBER(SEARCH('Bad Patterns'!$A$2:$A$120,B2187)),0),0)),""))</f>
        <v/>
      </c>
      <c r="D2187">
        <f>IF(B2187="","",IF(C2187&lt;&gt;"","REMOVE","KEEP"))</f>
        <v/>
      </c>
      <c r="E2187">
        <f>IF(D2187&lt;&gt;"KEEP","",IF(RIGHT(B2187,10)="@gmail.com","Gmail",IF(OR(RIGHT(B2187,12)="@outlook.com",RIGHT(B2187,12)="@hotmail.com",RIGHT(B2187,9)="@live.com"),"Outlook","Domain")))</f>
        <v/>
      </c>
      <c r="F2187">
        <f>IF(B2187="","",IFERROR(RIGHT(B2187,LEN(B2187)-FIND("@",B2187)),""))</f>
        <v/>
      </c>
      <c r="G2187">
        <f>IF(D2187="KEEP",COUNTIF($D$2:D2187,"KEEP"),"")</f>
        <v/>
      </c>
      <c r="H2187">
        <f>IF(D2187="REMOVE",COUNTIF($D$2:D2187,"REMOVE"),"")</f>
        <v/>
      </c>
      <c r="I2187">
        <f>IF(E2187="Gmail",COUNTIF($E$2:E2187,"Gmail"),"")</f>
        <v/>
      </c>
      <c r="J2187">
        <f>IF(E2187="Outlook",COUNTIF($E$2:E2187,"Outlook"),"")</f>
        <v/>
      </c>
      <c r="K2187">
        <f>IF(E2187="Domain",COUNTIF($E$2:E2187,"Domain"),"")</f>
        <v/>
      </c>
    </row>
    <row r="2188">
      <c r="A2188" s="2" t="n"/>
      <c r="B2188">
        <f>LOWER(TRIM(A2188))</f>
        <v/>
      </c>
      <c r="C2188">
        <f>IF(B2188="","",IFERROR(INDEX('Bad Patterns'!$A$2:$A$120,MATCH(1,INDEX(--ISNUMBER(SEARCH('Bad Patterns'!$A$2:$A$120,B2188)),0),0)),""))</f>
        <v/>
      </c>
      <c r="D2188">
        <f>IF(B2188="","",IF(C2188&lt;&gt;"","REMOVE","KEEP"))</f>
        <v/>
      </c>
      <c r="E2188">
        <f>IF(D2188&lt;&gt;"KEEP","",IF(RIGHT(B2188,10)="@gmail.com","Gmail",IF(OR(RIGHT(B2188,12)="@outlook.com",RIGHT(B2188,12)="@hotmail.com",RIGHT(B2188,9)="@live.com"),"Outlook","Domain")))</f>
        <v/>
      </c>
      <c r="F2188">
        <f>IF(B2188="","",IFERROR(RIGHT(B2188,LEN(B2188)-FIND("@",B2188)),""))</f>
        <v/>
      </c>
      <c r="G2188">
        <f>IF(D2188="KEEP",COUNTIF($D$2:D2188,"KEEP"),"")</f>
        <v/>
      </c>
      <c r="H2188">
        <f>IF(D2188="REMOVE",COUNTIF($D$2:D2188,"REMOVE"),"")</f>
        <v/>
      </c>
      <c r="I2188">
        <f>IF(E2188="Gmail",COUNTIF($E$2:E2188,"Gmail"),"")</f>
        <v/>
      </c>
      <c r="J2188">
        <f>IF(E2188="Outlook",COUNTIF($E$2:E2188,"Outlook"),"")</f>
        <v/>
      </c>
      <c r="K2188">
        <f>IF(E2188="Domain",COUNTIF($E$2:E2188,"Domain"),"")</f>
        <v/>
      </c>
    </row>
    <row r="2189">
      <c r="A2189" s="2" t="n"/>
      <c r="B2189">
        <f>LOWER(TRIM(A2189))</f>
        <v/>
      </c>
      <c r="C2189">
        <f>IF(B2189="","",IFERROR(INDEX('Bad Patterns'!$A$2:$A$120,MATCH(1,INDEX(--ISNUMBER(SEARCH('Bad Patterns'!$A$2:$A$120,B2189)),0),0)),""))</f>
        <v/>
      </c>
      <c r="D2189">
        <f>IF(B2189="","",IF(C2189&lt;&gt;"","REMOVE","KEEP"))</f>
        <v/>
      </c>
      <c r="E2189">
        <f>IF(D2189&lt;&gt;"KEEP","",IF(RIGHT(B2189,10)="@gmail.com","Gmail",IF(OR(RIGHT(B2189,12)="@outlook.com",RIGHT(B2189,12)="@hotmail.com",RIGHT(B2189,9)="@live.com"),"Outlook","Domain")))</f>
        <v/>
      </c>
      <c r="F2189">
        <f>IF(B2189="","",IFERROR(RIGHT(B2189,LEN(B2189)-FIND("@",B2189)),""))</f>
        <v/>
      </c>
      <c r="G2189">
        <f>IF(D2189="KEEP",COUNTIF($D$2:D2189,"KEEP"),"")</f>
        <v/>
      </c>
      <c r="H2189">
        <f>IF(D2189="REMOVE",COUNTIF($D$2:D2189,"REMOVE"),"")</f>
        <v/>
      </c>
      <c r="I2189">
        <f>IF(E2189="Gmail",COUNTIF($E$2:E2189,"Gmail"),"")</f>
        <v/>
      </c>
      <c r="J2189">
        <f>IF(E2189="Outlook",COUNTIF($E$2:E2189,"Outlook"),"")</f>
        <v/>
      </c>
      <c r="K2189">
        <f>IF(E2189="Domain",COUNTIF($E$2:E2189,"Domain"),"")</f>
        <v/>
      </c>
    </row>
    <row r="2190">
      <c r="A2190" s="2" t="n"/>
      <c r="B2190">
        <f>LOWER(TRIM(A2190))</f>
        <v/>
      </c>
      <c r="C2190">
        <f>IF(B2190="","",IFERROR(INDEX('Bad Patterns'!$A$2:$A$120,MATCH(1,INDEX(--ISNUMBER(SEARCH('Bad Patterns'!$A$2:$A$120,B2190)),0),0)),""))</f>
        <v/>
      </c>
      <c r="D2190">
        <f>IF(B2190="","",IF(C2190&lt;&gt;"","REMOVE","KEEP"))</f>
        <v/>
      </c>
      <c r="E2190">
        <f>IF(D2190&lt;&gt;"KEEP","",IF(RIGHT(B2190,10)="@gmail.com","Gmail",IF(OR(RIGHT(B2190,12)="@outlook.com",RIGHT(B2190,12)="@hotmail.com",RIGHT(B2190,9)="@live.com"),"Outlook","Domain")))</f>
        <v/>
      </c>
      <c r="F2190">
        <f>IF(B2190="","",IFERROR(RIGHT(B2190,LEN(B2190)-FIND("@",B2190)),""))</f>
        <v/>
      </c>
      <c r="G2190">
        <f>IF(D2190="KEEP",COUNTIF($D$2:D2190,"KEEP"),"")</f>
        <v/>
      </c>
      <c r="H2190">
        <f>IF(D2190="REMOVE",COUNTIF($D$2:D2190,"REMOVE"),"")</f>
        <v/>
      </c>
      <c r="I2190">
        <f>IF(E2190="Gmail",COUNTIF($E$2:E2190,"Gmail"),"")</f>
        <v/>
      </c>
      <c r="J2190">
        <f>IF(E2190="Outlook",COUNTIF($E$2:E2190,"Outlook"),"")</f>
        <v/>
      </c>
      <c r="K2190">
        <f>IF(E2190="Domain",COUNTIF($E$2:E2190,"Domain"),"")</f>
        <v/>
      </c>
    </row>
    <row r="2191">
      <c r="A2191" s="2" t="n"/>
      <c r="B2191">
        <f>LOWER(TRIM(A2191))</f>
        <v/>
      </c>
      <c r="C2191">
        <f>IF(B2191="","",IFERROR(INDEX('Bad Patterns'!$A$2:$A$120,MATCH(1,INDEX(--ISNUMBER(SEARCH('Bad Patterns'!$A$2:$A$120,B2191)),0),0)),""))</f>
        <v/>
      </c>
      <c r="D2191">
        <f>IF(B2191="","",IF(C2191&lt;&gt;"","REMOVE","KEEP"))</f>
        <v/>
      </c>
      <c r="E2191">
        <f>IF(D2191&lt;&gt;"KEEP","",IF(RIGHT(B2191,10)="@gmail.com","Gmail",IF(OR(RIGHT(B2191,12)="@outlook.com",RIGHT(B2191,12)="@hotmail.com",RIGHT(B2191,9)="@live.com"),"Outlook","Domain")))</f>
        <v/>
      </c>
      <c r="F2191">
        <f>IF(B2191="","",IFERROR(RIGHT(B2191,LEN(B2191)-FIND("@",B2191)),""))</f>
        <v/>
      </c>
      <c r="G2191">
        <f>IF(D2191="KEEP",COUNTIF($D$2:D2191,"KEEP"),"")</f>
        <v/>
      </c>
      <c r="H2191">
        <f>IF(D2191="REMOVE",COUNTIF($D$2:D2191,"REMOVE"),"")</f>
        <v/>
      </c>
      <c r="I2191">
        <f>IF(E2191="Gmail",COUNTIF($E$2:E2191,"Gmail"),"")</f>
        <v/>
      </c>
      <c r="J2191">
        <f>IF(E2191="Outlook",COUNTIF($E$2:E2191,"Outlook"),"")</f>
        <v/>
      </c>
      <c r="K2191">
        <f>IF(E2191="Domain",COUNTIF($E$2:E2191,"Domain"),"")</f>
        <v/>
      </c>
    </row>
    <row r="2192">
      <c r="A2192" s="2" t="n"/>
      <c r="B2192">
        <f>LOWER(TRIM(A2192))</f>
        <v/>
      </c>
      <c r="C2192">
        <f>IF(B2192="","",IFERROR(INDEX('Bad Patterns'!$A$2:$A$120,MATCH(1,INDEX(--ISNUMBER(SEARCH('Bad Patterns'!$A$2:$A$120,B2192)),0),0)),""))</f>
        <v/>
      </c>
      <c r="D2192">
        <f>IF(B2192="","",IF(C2192&lt;&gt;"","REMOVE","KEEP"))</f>
        <v/>
      </c>
      <c r="E2192">
        <f>IF(D2192&lt;&gt;"KEEP","",IF(RIGHT(B2192,10)="@gmail.com","Gmail",IF(OR(RIGHT(B2192,12)="@outlook.com",RIGHT(B2192,12)="@hotmail.com",RIGHT(B2192,9)="@live.com"),"Outlook","Domain")))</f>
        <v/>
      </c>
      <c r="F2192">
        <f>IF(B2192="","",IFERROR(RIGHT(B2192,LEN(B2192)-FIND("@",B2192)),""))</f>
        <v/>
      </c>
      <c r="G2192">
        <f>IF(D2192="KEEP",COUNTIF($D$2:D2192,"KEEP"),"")</f>
        <v/>
      </c>
      <c r="H2192">
        <f>IF(D2192="REMOVE",COUNTIF($D$2:D2192,"REMOVE"),"")</f>
        <v/>
      </c>
      <c r="I2192">
        <f>IF(E2192="Gmail",COUNTIF($E$2:E2192,"Gmail"),"")</f>
        <v/>
      </c>
      <c r="J2192">
        <f>IF(E2192="Outlook",COUNTIF($E$2:E2192,"Outlook"),"")</f>
        <v/>
      </c>
      <c r="K2192">
        <f>IF(E2192="Domain",COUNTIF($E$2:E2192,"Domain"),"")</f>
        <v/>
      </c>
    </row>
    <row r="2193">
      <c r="A2193" s="2" t="n"/>
      <c r="B2193">
        <f>LOWER(TRIM(A2193))</f>
        <v/>
      </c>
      <c r="C2193">
        <f>IF(B2193="","",IFERROR(INDEX('Bad Patterns'!$A$2:$A$120,MATCH(1,INDEX(--ISNUMBER(SEARCH('Bad Patterns'!$A$2:$A$120,B2193)),0),0)),""))</f>
        <v/>
      </c>
      <c r="D2193">
        <f>IF(B2193="","",IF(C2193&lt;&gt;"","REMOVE","KEEP"))</f>
        <v/>
      </c>
      <c r="E2193">
        <f>IF(D2193&lt;&gt;"KEEP","",IF(RIGHT(B2193,10)="@gmail.com","Gmail",IF(OR(RIGHT(B2193,12)="@outlook.com",RIGHT(B2193,12)="@hotmail.com",RIGHT(B2193,9)="@live.com"),"Outlook","Domain")))</f>
        <v/>
      </c>
      <c r="F2193">
        <f>IF(B2193="","",IFERROR(RIGHT(B2193,LEN(B2193)-FIND("@",B2193)),""))</f>
        <v/>
      </c>
      <c r="G2193">
        <f>IF(D2193="KEEP",COUNTIF($D$2:D2193,"KEEP"),"")</f>
        <v/>
      </c>
      <c r="H2193">
        <f>IF(D2193="REMOVE",COUNTIF($D$2:D2193,"REMOVE"),"")</f>
        <v/>
      </c>
      <c r="I2193">
        <f>IF(E2193="Gmail",COUNTIF($E$2:E2193,"Gmail"),"")</f>
        <v/>
      </c>
      <c r="J2193">
        <f>IF(E2193="Outlook",COUNTIF($E$2:E2193,"Outlook"),"")</f>
        <v/>
      </c>
      <c r="K2193">
        <f>IF(E2193="Domain",COUNTIF($E$2:E2193,"Domain"),"")</f>
        <v/>
      </c>
    </row>
    <row r="2194">
      <c r="A2194" s="2" t="n"/>
      <c r="B2194">
        <f>LOWER(TRIM(A2194))</f>
        <v/>
      </c>
      <c r="C2194">
        <f>IF(B2194="","",IFERROR(INDEX('Bad Patterns'!$A$2:$A$120,MATCH(1,INDEX(--ISNUMBER(SEARCH('Bad Patterns'!$A$2:$A$120,B2194)),0),0)),""))</f>
        <v/>
      </c>
      <c r="D2194">
        <f>IF(B2194="","",IF(C2194&lt;&gt;"","REMOVE","KEEP"))</f>
        <v/>
      </c>
      <c r="E2194">
        <f>IF(D2194&lt;&gt;"KEEP","",IF(RIGHT(B2194,10)="@gmail.com","Gmail",IF(OR(RIGHT(B2194,12)="@outlook.com",RIGHT(B2194,12)="@hotmail.com",RIGHT(B2194,9)="@live.com"),"Outlook","Domain")))</f>
        <v/>
      </c>
      <c r="F2194">
        <f>IF(B2194="","",IFERROR(RIGHT(B2194,LEN(B2194)-FIND("@",B2194)),""))</f>
        <v/>
      </c>
      <c r="G2194">
        <f>IF(D2194="KEEP",COUNTIF($D$2:D2194,"KEEP"),"")</f>
        <v/>
      </c>
      <c r="H2194">
        <f>IF(D2194="REMOVE",COUNTIF($D$2:D2194,"REMOVE"),"")</f>
        <v/>
      </c>
      <c r="I2194">
        <f>IF(E2194="Gmail",COUNTIF($E$2:E2194,"Gmail"),"")</f>
        <v/>
      </c>
      <c r="J2194">
        <f>IF(E2194="Outlook",COUNTIF($E$2:E2194,"Outlook"),"")</f>
        <v/>
      </c>
      <c r="K2194">
        <f>IF(E2194="Domain",COUNTIF($E$2:E2194,"Domain"),"")</f>
        <v/>
      </c>
    </row>
    <row r="2195">
      <c r="A2195" s="2" t="n"/>
      <c r="B2195">
        <f>LOWER(TRIM(A2195))</f>
        <v/>
      </c>
      <c r="C2195">
        <f>IF(B2195="","",IFERROR(INDEX('Bad Patterns'!$A$2:$A$120,MATCH(1,INDEX(--ISNUMBER(SEARCH('Bad Patterns'!$A$2:$A$120,B2195)),0),0)),""))</f>
        <v/>
      </c>
      <c r="D2195">
        <f>IF(B2195="","",IF(C2195&lt;&gt;"","REMOVE","KEEP"))</f>
        <v/>
      </c>
      <c r="E2195">
        <f>IF(D2195&lt;&gt;"KEEP","",IF(RIGHT(B2195,10)="@gmail.com","Gmail",IF(OR(RIGHT(B2195,12)="@outlook.com",RIGHT(B2195,12)="@hotmail.com",RIGHT(B2195,9)="@live.com"),"Outlook","Domain")))</f>
        <v/>
      </c>
      <c r="F2195">
        <f>IF(B2195="","",IFERROR(RIGHT(B2195,LEN(B2195)-FIND("@",B2195)),""))</f>
        <v/>
      </c>
      <c r="G2195">
        <f>IF(D2195="KEEP",COUNTIF($D$2:D2195,"KEEP"),"")</f>
        <v/>
      </c>
      <c r="H2195">
        <f>IF(D2195="REMOVE",COUNTIF($D$2:D2195,"REMOVE"),"")</f>
        <v/>
      </c>
      <c r="I2195">
        <f>IF(E2195="Gmail",COUNTIF($E$2:E2195,"Gmail"),"")</f>
        <v/>
      </c>
      <c r="J2195">
        <f>IF(E2195="Outlook",COUNTIF($E$2:E2195,"Outlook"),"")</f>
        <v/>
      </c>
      <c r="K2195">
        <f>IF(E2195="Domain",COUNTIF($E$2:E2195,"Domain"),"")</f>
        <v/>
      </c>
    </row>
    <row r="2196">
      <c r="A2196" s="2" t="n"/>
      <c r="B2196">
        <f>LOWER(TRIM(A2196))</f>
        <v/>
      </c>
      <c r="C2196">
        <f>IF(B2196="","",IFERROR(INDEX('Bad Patterns'!$A$2:$A$120,MATCH(1,INDEX(--ISNUMBER(SEARCH('Bad Patterns'!$A$2:$A$120,B2196)),0),0)),""))</f>
        <v/>
      </c>
      <c r="D2196">
        <f>IF(B2196="","",IF(C2196&lt;&gt;"","REMOVE","KEEP"))</f>
        <v/>
      </c>
      <c r="E2196">
        <f>IF(D2196&lt;&gt;"KEEP","",IF(RIGHT(B2196,10)="@gmail.com","Gmail",IF(OR(RIGHT(B2196,12)="@outlook.com",RIGHT(B2196,12)="@hotmail.com",RIGHT(B2196,9)="@live.com"),"Outlook","Domain")))</f>
        <v/>
      </c>
      <c r="F2196">
        <f>IF(B2196="","",IFERROR(RIGHT(B2196,LEN(B2196)-FIND("@",B2196)),""))</f>
        <v/>
      </c>
      <c r="G2196">
        <f>IF(D2196="KEEP",COUNTIF($D$2:D2196,"KEEP"),"")</f>
        <v/>
      </c>
      <c r="H2196">
        <f>IF(D2196="REMOVE",COUNTIF($D$2:D2196,"REMOVE"),"")</f>
        <v/>
      </c>
      <c r="I2196">
        <f>IF(E2196="Gmail",COUNTIF($E$2:E2196,"Gmail"),"")</f>
        <v/>
      </c>
      <c r="J2196">
        <f>IF(E2196="Outlook",COUNTIF($E$2:E2196,"Outlook"),"")</f>
        <v/>
      </c>
      <c r="K2196">
        <f>IF(E2196="Domain",COUNTIF($E$2:E2196,"Domain"),"")</f>
        <v/>
      </c>
    </row>
    <row r="2197">
      <c r="A2197" s="2" t="n"/>
      <c r="B2197">
        <f>LOWER(TRIM(A2197))</f>
        <v/>
      </c>
      <c r="C2197">
        <f>IF(B2197="","",IFERROR(INDEX('Bad Patterns'!$A$2:$A$120,MATCH(1,INDEX(--ISNUMBER(SEARCH('Bad Patterns'!$A$2:$A$120,B2197)),0),0)),""))</f>
        <v/>
      </c>
      <c r="D2197">
        <f>IF(B2197="","",IF(C2197&lt;&gt;"","REMOVE","KEEP"))</f>
        <v/>
      </c>
      <c r="E2197">
        <f>IF(D2197&lt;&gt;"KEEP","",IF(RIGHT(B2197,10)="@gmail.com","Gmail",IF(OR(RIGHT(B2197,12)="@outlook.com",RIGHT(B2197,12)="@hotmail.com",RIGHT(B2197,9)="@live.com"),"Outlook","Domain")))</f>
        <v/>
      </c>
      <c r="F2197">
        <f>IF(B2197="","",IFERROR(RIGHT(B2197,LEN(B2197)-FIND("@",B2197)),""))</f>
        <v/>
      </c>
      <c r="G2197">
        <f>IF(D2197="KEEP",COUNTIF($D$2:D2197,"KEEP"),"")</f>
        <v/>
      </c>
      <c r="H2197">
        <f>IF(D2197="REMOVE",COUNTIF($D$2:D2197,"REMOVE"),"")</f>
        <v/>
      </c>
      <c r="I2197">
        <f>IF(E2197="Gmail",COUNTIF($E$2:E2197,"Gmail"),"")</f>
        <v/>
      </c>
      <c r="J2197">
        <f>IF(E2197="Outlook",COUNTIF($E$2:E2197,"Outlook"),"")</f>
        <v/>
      </c>
      <c r="K2197">
        <f>IF(E2197="Domain",COUNTIF($E$2:E2197,"Domain"),"")</f>
        <v/>
      </c>
    </row>
    <row r="2198">
      <c r="A2198" s="2" t="n"/>
      <c r="B2198">
        <f>LOWER(TRIM(A2198))</f>
        <v/>
      </c>
      <c r="C2198">
        <f>IF(B2198="","",IFERROR(INDEX('Bad Patterns'!$A$2:$A$120,MATCH(1,INDEX(--ISNUMBER(SEARCH('Bad Patterns'!$A$2:$A$120,B2198)),0),0)),""))</f>
        <v/>
      </c>
      <c r="D2198">
        <f>IF(B2198="","",IF(C2198&lt;&gt;"","REMOVE","KEEP"))</f>
        <v/>
      </c>
      <c r="E2198">
        <f>IF(D2198&lt;&gt;"KEEP","",IF(RIGHT(B2198,10)="@gmail.com","Gmail",IF(OR(RIGHT(B2198,12)="@outlook.com",RIGHT(B2198,12)="@hotmail.com",RIGHT(B2198,9)="@live.com"),"Outlook","Domain")))</f>
        <v/>
      </c>
      <c r="F2198">
        <f>IF(B2198="","",IFERROR(RIGHT(B2198,LEN(B2198)-FIND("@",B2198)),""))</f>
        <v/>
      </c>
      <c r="G2198">
        <f>IF(D2198="KEEP",COUNTIF($D$2:D2198,"KEEP"),"")</f>
        <v/>
      </c>
      <c r="H2198">
        <f>IF(D2198="REMOVE",COUNTIF($D$2:D2198,"REMOVE"),"")</f>
        <v/>
      </c>
      <c r="I2198">
        <f>IF(E2198="Gmail",COUNTIF($E$2:E2198,"Gmail"),"")</f>
        <v/>
      </c>
      <c r="J2198">
        <f>IF(E2198="Outlook",COUNTIF($E$2:E2198,"Outlook"),"")</f>
        <v/>
      </c>
      <c r="K2198">
        <f>IF(E2198="Domain",COUNTIF($E$2:E2198,"Domain"),"")</f>
        <v/>
      </c>
    </row>
    <row r="2199">
      <c r="A2199" s="2" t="n"/>
      <c r="B2199">
        <f>LOWER(TRIM(A2199))</f>
        <v/>
      </c>
      <c r="C2199">
        <f>IF(B2199="","",IFERROR(INDEX('Bad Patterns'!$A$2:$A$120,MATCH(1,INDEX(--ISNUMBER(SEARCH('Bad Patterns'!$A$2:$A$120,B2199)),0),0)),""))</f>
        <v/>
      </c>
      <c r="D2199">
        <f>IF(B2199="","",IF(C2199&lt;&gt;"","REMOVE","KEEP"))</f>
        <v/>
      </c>
      <c r="E2199">
        <f>IF(D2199&lt;&gt;"KEEP","",IF(RIGHT(B2199,10)="@gmail.com","Gmail",IF(OR(RIGHT(B2199,12)="@outlook.com",RIGHT(B2199,12)="@hotmail.com",RIGHT(B2199,9)="@live.com"),"Outlook","Domain")))</f>
        <v/>
      </c>
      <c r="F2199">
        <f>IF(B2199="","",IFERROR(RIGHT(B2199,LEN(B2199)-FIND("@",B2199)),""))</f>
        <v/>
      </c>
      <c r="G2199">
        <f>IF(D2199="KEEP",COUNTIF($D$2:D2199,"KEEP"),"")</f>
        <v/>
      </c>
      <c r="H2199">
        <f>IF(D2199="REMOVE",COUNTIF($D$2:D2199,"REMOVE"),"")</f>
        <v/>
      </c>
      <c r="I2199">
        <f>IF(E2199="Gmail",COUNTIF($E$2:E2199,"Gmail"),"")</f>
        <v/>
      </c>
      <c r="J2199">
        <f>IF(E2199="Outlook",COUNTIF($E$2:E2199,"Outlook"),"")</f>
        <v/>
      </c>
      <c r="K2199">
        <f>IF(E2199="Domain",COUNTIF($E$2:E2199,"Domain"),"")</f>
        <v/>
      </c>
    </row>
    <row r="2200">
      <c r="A2200" s="2" t="n"/>
      <c r="B2200">
        <f>LOWER(TRIM(A2200))</f>
        <v/>
      </c>
      <c r="C2200">
        <f>IF(B2200="","",IFERROR(INDEX('Bad Patterns'!$A$2:$A$120,MATCH(1,INDEX(--ISNUMBER(SEARCH('Bad Patterns'!$A$2:$A$120,B2200)),0),0)),""))</f>
        <v/>
      </c>
      <c r="D2200">
        <f>IF(B2200="","",IF(C2200&lt;&gt;"","REMOVE","KEEP"))</f>
        <v/>
      </c>
      <c r="E2200">
        <f>IF(D2200&lt;&gt;"KEEP","",IF(RIGHT(B2200,10)="@gmail.com","Gmail",IF(OR(RIGHT(B2200,12)="@outlook.com",RIGHT(B2200,12)="@hotmail.com",RIGHT(B2200,9)="@live.com"),"Outlook","Domain")))</f>
        <v/>
      </c>
      <c r="F2200">
        <f>IF(B2200="","",IFERROR(RIGHT(B2200,LEN(B2200)-FIND("@",B2200)),""))</f>
        <v/>
      </c>
      <c r="G2200">
        <f>IF(D2200="KEEP",COUNTIF($D$2:D2200,"KEEP"),"")</f>
        <v/>
      </c>
      <c r="H2200">
        <f>IF(D2200="REMOVE",COUNTIF($D$2:D2200,"REMOVE"),"")</f>
        <v/>
      </c>
      <c r="I2200">
        <f>IF(E2200="Gmail",COUNTIF($E$2:E2200,"Gmail"),"")</f>
        <v/>
      </c>
      <c r="J2200">
        <f>IF(E2200="Outlook",COUNTIF($E$2:E2200,"Outlook"),"")</f>
        <v/>
      </c>
      <c r="K2200">
        <f>IF(E2200="Domain",COUNTIF($E$2:E2200,"Domain"),"")</f>
        <v/>
      </c>
    </row>
    <row r="2201">
      <c r="A2201" s="2" t="n"/>
      <c r="B2201">
        <f>LOWER(TRIM(A2201))</f>
        <v/>
      </c>
      <c r="C2201">
        <f>IF(B2201="","",IFERROR(INDEX('Bad Patterns'!$A$2:$A$120,MATCH(1,INDEX(--ISNUMBER(SEARCH('Bad Patterns'!$A$2:$A$120,B2201)),0),0)),""))</f>
        <v/>
      </c>
      <c r="D2201">
        <f>IF(B2201="","",IF(C2201&lt;&gt;"","REMOVE","KEEP"))</f>
        <v/>
      </c>
      <c r="E2201">
        <f>IF(D2201&lt;&gt;"KEEP","",IF(RIGHT(B2201,10)="@gmail.com","Gmail",IF(OR(RIGHT(B2201,12)="@outlook.com",RIGHT(B2201,12)="@hotmail.com",RIGHT(B2201,9)="@live.com"),"Outlook","Domain")))</f>
        <v/>
      </c>
      <c r="F2201">
        <f>IF(B2201="","",IFERROR(RIGHT(B2201,LEN(B2201)-FIND("@",B2201)),""))</f>
        <v/>
      </c>
      <c r="G2201">
        <f>IF(D2201="KEEP",COUNTIF($D$2:D2201,"KEEP"),"")</f>
        <v/>
      </c>
      <c r="H2201">
        <f>IF(D2201="REMOVE",COUNTIF($D$2:D2201,"REMOVE"),"")</f>
        <v/>
      </c>
      <c r="I2201">
        <f>IF(E2201="Gmail",COUNTIF($E$2:E2201,"Gmail"),"")</f>
        <v/>
      </c>
      <c r="J2201">
        <f>IF(E2201="Outlook",COUNTIF($E$2:E2201,"Outlook"),"")</f>
        <v/>
      </c>
      <c r="K2201">
        <f>IF(E2201="Domain",COUNTIF($E$2:E2201,"Domain"),"")</f>
        <v/>
      </c>
    </row>
    <row r="2202">
      <c r="A2202" s="2" t="n"/>
      <c r="B2202">
        <f>LOWER(TRIM(A2202))</f>
        <v/>
      </c>
      <c r="C2202">
        <f>IF(B2202="","",IFERROR(INDEX('Bad Patterns'!$A$2:$A$120,MATCH(1,INDEX(--ISNUMBER(SEARCH('Bad Patterns'!$A$2:$A$120,B2202)),0),0)),""))</f>
        <v/>
      </c>
      <c r="D2202">
        <f>IF(B2202="","",IF(C2202&lt;&gt;"","REMOVE","KEEP"))</f>
        <v/>
      </c>
      <c r="E2202">
        <f>IF(D2202&lt;&gt;"KEEP","",IF(RIGHT(B2202,10)="@gmail.com","Gmail",IF(OR(RIGHT(B2202,12)="@outlook.com",RIGHT(B2202,12)="@hotmail.com",RIGHT(B2202,9)="@live.com"),"Outlook","Domain")))</f>
        <v/>
      </c>
      <c r="F2202">
        <f>IF(B2202="","",IFERROR(RIGHT(B2202,LEN(B2202)-FIND("@",B2202)),""))</f>
        <v/>
      </c>
      <c r="G2202">
        <f>IF(D2202="KEEP",COUNTIF($D$2:D2202,"KEEP"),"")</f>
        <v/>
      </c>
      <c r="H2202">
        <f>IF(D2202="REMOVE",COUNTIF($D$2:D2202,"REMOVE"),"")</f>
        <v/>
      </c>
      <c r="I2202">
        <f>IF(E2202="Gmail",COUNTIF($E$2:E2202,"Gmail"),"")</f>
        <v/>
      </c>
      <c r="J2202">
        <f>IF(E2202="Outlook",COUNTIF($E$2:E2202,"Outlook"),"")</f>
        <v/>
      </c>
      <c r="K2202">
        <f>IF(E2202="Domain",COUNTIF($E$2:E2202,"Domain"),"")</f>
        <v/>
      </c>
    </row>
    <row r="2203">
      <c r="A2203" s="2" t="n"/>
      <c r="B2203">
        <f>LOWER(TRIM(A2203))</f>
        <v/>
      </c>
      <c r="C2203">
        <f>IF(B2203="","",IFERROR(INDEX('Bad Patterns'!$A$2:$A$120,MATCH(1,INDEX(--ISNUMBER(SEARCH('Bad Patterns'!$A$2:$A$120,B2203)),0),0)),""))</f>
        <v/>
      </c>
      <c r="D2203">
        <f>IF(B2203="","",IF(C2203&lt;&gt;"","REMOVE","KEEP"))</f>
        <v/>
      </c>
      <c r="E2203">
        <f>IF(D2203&lt;&gt;"KEEP","",IF(RIGHT(B2203,10)="@gmail.com","Gmail",IF(OR(RIGHT(B2203,12)="@outlook.com",RIGHT(B2203,12)="@hotmail.com",RIGHT(B2203,9)="@live.com"),"Outlook","Domain")))</f>
        <v/>
      </c>
      <c r="F2203">
        <f>IF(B2203="","",IFERROR(RIGHT(B2203,LEN(B2203)-FIND("@",B2203)),""))</f>
        <v/>
      </c>
      <c r="G2203">
        <f>IF(D2203="KEEP",COUNTIF($D$2:D2203,"KEEP"),"")</f>
        <v/>
      </c>
      <c r="H2203">
        <f>IF(D2203="REMOVE",COUNTIF($D$2:D2203,"REMOVE"),"")</f>
        <v/>
      </c>
      <c r="I2203">
        <f>IF(E2203="Gmail",COUNTIF($E$2:E2203,"Gmail"),"")</f>
        <v/>
      </c>
      <c r="J2203">
        <f>IF(E2203="Outlook",COUNTIF($E$2:E2203,"Outlook"),"")</f>
        <v/>
      </c>
      <c r="K2203">
        <f>IF(E2203="Domain",COUNTIF($E$2:E2203,"Domain"),"")</f>
        <v/>
      </c>
    </row>
    <row r="2204">
      <c r="A2204" s="2" t="n"/>
      <c r="B2204">
        <f>LOWER(TRIM(A2204))</f>
        <v/>
      </c>
      <c r="C2204">
        <f>IF(B2204="","",IFERROR(INDEX('Bad Patterns'!$A$2:$A$120,MATCH(1,INDEX(--ISNUMBER(SEARCH('Bad Patterns'!$A$2:$A$120,B2204)),0),0)),""))</f>
        <v/>
      </c>
      <c r="D2204">
        <f>IF(B2204="","",IF(C2204&lt;&gt;"","REMOVE","KEEP"))</f>
        <v/>
      </c>
      <c r="E2204">
        <f>IF(D2204&lt;&gt;"KEEP","",IF(RIGHT(B2204,10)="@gmail.com","Gmail",IF(OR(RIGHT(B2204,12)="@outlook.com",RIGHT(B2204,12)="@hotmail.com",RIGHT(B2204,9)="@live.com"),"Outlook","Domain")))</f>
        <v/>
      </c>
      <c r="F2204">
        <f>IF(B2204="","",IFERROR(RIGHT(B2204,LEN(B2204)-FIND("@",B2204)),""))</f>
        <v/>
      </c>
      <c r="G2204">
        <f>IF(D2204="KEEP",COUNTIF($D$2:D2204,"KEEP"),"")</f>
        <v/>
      </c>
      <c r="H2204">
        <f>IF(D2204="REMOVE",COUNTIF($D$2:D2204,"REMOVE"),"")</f>
        <v/>
      </c>
      <c r="I2204">
        <f>IF(E2204="Gmail",COUNTIF($E$2:E2204,"Gmail"),"")</f>
        <v/>
      </c>
      <c r="J2204">
        <f>IF(E2204="Outlook",COUNTIF($E$2:E2204,"Outlook"),"")</f>
        <v/>
      </c>
      <c r="K2204">
        <f>IF(E2204="Domain",COUNTIF($E$2:E2204,"Domain"),"")</f>
        <v/>
      </c>
    </row>
    <row r="2205">
      <c r="A2205" s="2" t="n"/>
      <c r="B2205">
        <f>LOWER(TRIM(A2205))</f>
        <v/>
      </c>
      <c r="C2205">
        <f>IF(B2205="","",IFERROR(INDEX('Bad Patterns'!$A$2:$A$120,MATCH(1,INDEX(--ISNUMBER(SEARCH('Bad Patterns'!$A$2:$A$120,B2205)),0),0)),""))</f>
        <v/>
      </c>
      <c r="D2205">
        <f>IF(B2205="","",IF(C2205&lt;&gt;"","REMOVE","KEEP"))</f>
        <v/>
      </c>
      <c r="E2205">
        <f>IF(D2205&lt;&gt;"KEEP","",IF(RIGHT(B2205,10)="@gmail.com","Gmail",IF(OR(RIGHT(B2205,12)="@outlook.com",RIGHT(B2205,12)="@hotmail.com",RIGHT(B2205,9)="@live.com"),"Outlook","Domain")))</f>
        <v/>
      </c>
      <c r="F2205">
        <f>IF(B2205="","",IFERROR(RIGHT(B2205,LEN(B2205)-FIND("@",B2205)),""))</f>
        <v/>
      </c>
      <c r="G2205">
        <f>IF(D2205="KEEP",COUNTIF($D$2:D2205,"KEEP"),"")</f>
        <v/>
      </c>
      <c r="H2205">
        <f>IF(D2205="REMOVE",COUNTIF($D$2:D2205,"REMOVE"),"")</f>
        <v/>
      </c>
      <c r="I2205">
        <f>IF(E2205="Gmail",COUNTIF($E$2:E2205,"Gmail"),"")</f>
        <v/>
      </c>
      <c r="J2205">
        <f>IF(E2205="Outlook",COUNTIF($E$2:E2205,"Outlook"),"")</f>
        <v/>
      </c>
      <c r="K2205">
        <f>IF(E2205="Domain",COUNTIF($E$2:E2205,"Domain"),"")</f>
        <v/>
      </c>
    </row>
    <row r="2206">
      <c r="A2206" s="2" t="n"/>
      <c r="B2206">
        <f>LOWER(TRIM(A2206))</f>
        <v/>
      </c>
      <c r="C2206">
        <f>IF(B2206="","",IFERROR(INDEX('Bad Patterns'!$A$2:$A$120,MATCH(1,INDEX(--ISNUMBER(SEARCH('Bad Patterns'!$A$2:$A$120,B2206)),0),0)),""))</f>
        <v/>
      </c>
      <c r="D2206">
        <f>IF(B2206="","",IF(C2206&lt;&gt;"","REMOVE","KEEP"))</f>
        <v/>
      </c>
      <c r="E2206">
        <f>IF(D2206&lt;&gt;"KEEP","",IF(RIGHT(B2206,10)="@gmail.com","Gmail",IF(OR(RIGHT(B2206,12)="@outlook.com",RIGHT(B2206,12)="@hotmail.com",RIGHT(B2206,9)="@live.com"),"Outlook","Domain")))</f>
        <v/>
      </c>
      <c r="F2206">
        <f>IF(B2206="","",IFERROR(RIGHT(B2206,LEN(B2206)-FIND("@",B2206)),""))</f>
        <v/>
      </c>
      <c r="G2206">
        <f>IF(D2206="KEEP",COUNTIF($D$2:D2206,"KEEP"),"")</f>
        <v/>
      </c>
      <c r="H2206">
        <f>IF(D2206="REMOVE",COUNTIF($D$2:D2206,"REMOVE"),"")</f>
        <v/>
      </c>
      <c r="I2206">
        <f>IF(E2206="Gmail",COUNTIF($E$2:E2206,"Gmail"),"")</f>
        <v/>
      </c>
      <c r="J2206">
        <f>IF(E2206="Outlook",COUNTIF($E$2:E2206,"Outlook"),"")</f>
        <v/>
      </c>
      <c r="K2206">
        <f>IF(E2206="Domain",COUNTIF($E$2:E2206,"Domain"),"")</f>
        <v/>
      </c>
    </row>
    <row r="2207">
      <c r="A2207" s="2" t="n"/>
      <c r="B2207">
        <f>LOWER(TRIM(A2207))</f>
        <v/>
      </c>
      <c r="C2207">
        <f>IF(B2207="","",IFERROR(INDEX('Bad Patterns'!$A$2:$A$120,MATCH(1,INDEX(--ISNUMBER(SEARCH('Bad Patterns'!$A$2:$A$120,B2207)),0),0)),""))</f>
        <v/>
      </c>
      <c r="D2207">
        <f>IF(B2207="","",IF(C2207&lt;&gt;"","REMOVE","KEEP"))</f>
        <v/>
      </c>
      <c r="E2207">
        <f>IF(D2207&lt;&gt;"KEEP","",IF(RIGHT(B2207,10)="@gmail.com","Gmail",IF(OR(RIGHT(B2207,12)="@outlook.com",RIGHT(B2207,12)="@hotmail.com",RIGHT(B2207,9)="@live.com"),"Outlook","Domain")))</f>
        <v/>
      </c>
      <c r="F2207">
        <f>IF(B2207="","",IFERROR(RIGHT(B2207,LEN(B2207)-FIND("@",B2207)),""))</f>
        <v/>
      </c>
      <c r="G2207">
        <f>IF(D2207="KEEP",COUNTIF($D$2:D2207,"KEEP"),"")</f>
        <v/>
      </c>
      <c r="H2207">
        <f>IF(D2207="REMOVE",COUNTIF($D$2:D2207,"REMOVE"),"")</f>
        <v/>
      </c>
      <c r="I2207">
        <f>IF(E2207="Gmail",COUNTIF($E$2:E2207,"Gmail"),"")</f>
        <v/>
      </c>
      <c r="J2207">
        <f>IF(E2207="Outlook",COUNTIF($E$2:E2207,"Outlook"),"")</f>
        <v/>
      </c>
      <c r="K2207">
        <f>IF(E2207="Domain",COUNTIF($E$2:E2207,"Domain"),"")</f>
        <v/>
      </c>
    </row>
    <row r="2208">
      <c r="A2208" s="2" t="n"/>
      <c r="B2208">
        <f>LOWER(TRIM(A2208))</f>
        <v/>
      </c>
      <c r="C2208">
        <f>IF(B2208="","",IFERROR(INDEX('Bad Patterns'!$A$2:$A$120,MATCH(1,INDEX(--ISNUMBER(SEARCH('Bad Patterns'!$A$2:$A$120,B2208)),0),0)),""))</f>
        <v/>
      </c>
      <c r="D2208">
        <f>IF(B2208="","",IF(C2208&lt;&gt;"","REMOVE","KEEP"))</f>
        <v/>
      </c>
      <c r="E2208">
        <f>IF(D2208&lt;&gt;"KEEP","",IF(RIGHT(B2208,10)="@gmail.com","Gmail",IF(OR(RIGHT(B2208,12)="@outlook.com",RIGHT(B2208,12)="@hotmail.com",RIGHT(B2208,9)="@live.com"),"Outlook","Domain")))</f>
        <v/>
      </c>
      <c r="F2208">
        <f>IF(B2208="","",IFERROR(RIGHT(B2208,LEN(B2208)-FIND("@",B2208)),""))</f>
        <v/>
      </c>
      <c r="G2208">
        <f>IF(D2208="KEEP",COUNTIF($D$2:D2208,"KEEP"),"")</f>
        <v/>
      </c>
      <c r="H2208">
        <f>IF(D2208="REMOVE",COUNTIF($D$2:D2208,"REMOVE"),"")</f>
        <v/>
      </c>
      <c r="I2208">
        <f>IF(E2208="Gmail",COUNTIF($E$2:E2208,"Gmail"),"")</f>
        <v/>
      </c>
      <c r="J2208">
        <f>IF(E2208="Outlook",COUNTIF($E$2:E2208,"Outlook"),"")</f>
        <v/>
      </c>
      <c r="K2208">
        <f>IF(E2208="Domain",COUNTIF($E$2:E2208,"Domain"),"")</f>
        <v/>
      </c>
    </row>
    <row r="2209">
      <c r="A2209" s="2" t="n"/>
      <c r="B2209">
        <f>LOWER(TRIM(A2209))</f>
        <v/>
      </c>
      <c r="C2209">
        <f>IF(B2209="","",IFERROR(INDEX('Bad Patterns'!$A$2:$A$120,MATCH(1,INDEX(--ISNUMBER(SEARCH('Bad Patterns'!$A$2:$A$120,B2209)),0),0)),""))</f>
        <v/>
      </c>
      <c r="D2209">
        <f>IF(B2209="","",IF(C2209&lt;&gt;"","REMOVE","KEEP"))</f>
        <v/>
      </c>
      <c r="E2209">
        <f>IF(D2209&lt;&gt;"KEEP","",IF(RIGHT(B2209,10)="@gmail.com","Gmail",IF(OR(RIGHT(B2209,12)="@outlook.com",RIGHT(B2209,12)="@hotmail.com",RIGHT(B2209,9)="@live.com"),"Outlook","Domain")))</f>
        <v/>
      </c>
      <c r="F2209">
        <f>IF(B2209="","",IFERROR(RIGHT(B2209,LEN(B2209)-FIND("@",B2209)),""))</f>
        <v/>
      </c>
      <c r="G2209">
        <f>IF(D2209="KEEP",COUNTIF($D$2:D2209,"KEEP"),"")</f>
        <v/>
      </c>
      <c r="H2209">
        <f>IF(D2209="REMOVE",COUNTIF($D$2:D2209,"REMOVE"),"")</f>
        <v/>
      </c>
      <c r="I2209">
        <f>IF(E2209="Gmail",COUNTIF($E$2:E2209,"Gmail"),"")</f>
        <v/>
      </c>
      <c r="J2209">
        <f>IF(E2209="Outlook",COUNTIF($E$2:E2209,"Outlook"),"")</f>
        <v/>
      </c>
      <c r="K2209">
        <f>IF(E2209="Domain",COUNTIF($E$2:E2209,"Domain"),"")</f>
        <v/>
      </c>
    </row>
    <row r="2210">
      <c r="A2210" s="2" t="n"/>
      <c r="B2210">
        <f>LOWER(TRIM(A2210))</f>
        <v/>
      </c>
      <c r="C2210">
        <f>IF(B2210="","",IFERROR(INDEX('Bad Patterns'!$A$2:$A$120,MATCH(1,INDEX(--ISNUMBER(SEARCH('Bad Patterns'!$A$2:$A$120,B2210)),0),0)),""))</f>
        <v/>
      </c>
      <c r="D2210">
        <f>IF(B2210="","",IF(C2210&lt;&gt;"","REMOVE","KEEP"))</f>
        <v/>
      </c>
      <c r="E2210">
        <f>IF(D2210&lt;&gt;"KEEP","",IF(RIGHT(B2210,10)="@gmail.com","Gmail",IF(OR(RIGHT(B2210,12)="@outlook.com",RIGHT(B2210,12)="@hotmail.com",RIGHT(B2210,9)="@live.com"),"Outlook","Domain")))</f>
        <v/>
      </c>
      <c r="F2210">
        <f>IF(B2210="","",IFERROR(RIGHT(B2210,LEN(B2210)-FIND("@",B2210)),""))</f>
        <v/>
      </c>
      <c r="G2210">
        <f>IF(D2210="KEEP",COUNTIF($D$2:D2210,"KEEP"),"")</f>
        <v/>
      </c>
      <c r="H2210">
        <f>IF(D2210="REMOVE",COUNTIF($D$2:D2210,"REMOVE"),"")</f>
        <v/>
      </c>
      <c r="I2210">
        <f>IF(E2210="Gmail",COUNTIF($E$2:E2210,"Gmail"),"")</f>
        <v/>
      </c>
      <c r="J2210">
        <f>IF(E2210="Outlook",COUNTIF($E$2:E2210,"Outlook"),"")</f>
        <v/>
      </c>
      <c r="K2210">
        <f>IF(E2210="Domain",COUNTIF($E$2:E2210,"Domain"),"")</f>
        <v/>
      </c>
    </row>
    <row r="2211">
      <c r="A2211" s="2" t="n"/>
      <c r="B2211">
        <f>LOWER(TRIM(A2211))</f>
        <v/>
      </c>
      <c r="C2211">
        <f>IF(B2211="","",IFERROR(INDEX('Bad Patterns'!$A$2:$A$120,MATCH(1,INDEX(--ISNUMBER(SEARCH('Bad Patterns'!$A$2:$A$120,B2211)),0),0)),""))</f>
        <v/>
      </c>
      <c r="D2211">
        <f>IF(B2211="","",IF(C2211&lt;&gt;"","REMOVE","KEEP"))</f>
        <v/>
      </c>
      <c r="E2211">
        <f>IF(D2211&lt;&gt;"KEEP","",IF(RIGHT(B2211,10)="@gmail.com","Gmail",IF(OR(RIGHT(B2211,12)="@outlook.com",RIGHT(B2211,12)="@hotmail.com",RIGHT(B2211,9)="@live.com"),"Outlook","Domain")))</f>
        <v/>
      </c>
      <c r="F2211">
        <f>IF(B2211="","",IFERROR(RIGHT(B2211,LEN(B2211)-FIND("@",B2211)),""))</f>
        <v/>
      </c>
      <c r="G2211">
        <f>IF(D2211="KEEP",COUNTIF($D$2:D2211,"KEEP"),"")</f>
        <v/>
      </c>
      <c r="H2211">
        <f>IF(D2211="REMOVE",COUNTIF($D$2:D2211,"REMOVE"),"")</f>
        <v/>
      </c>
      <c r="I2211">
        <f>IF(E2211="Gmail",COUNTIF($E$2:E2211,"Gmail"),"")</f>
        <v/>
      </c>
      <c r="J2211">
        <f>IF(E2211="Outlook",COUNTIF($E$2:E2211,"Outlook"),"")</f>
        <v/>
      </c>
      <c r="K2211">
        <f>IF(E2211="Domain",COUNTIF($E$2:E2211,"Domain"),"")</f>
        <v/>
      </c>
    </row>
    <row r="2212">
      <c r="A2212" s="2" t="n"/>
      <c r="B2212">
        <f>LOWER(TRIM(A2212))</f>
        <v/>
      </c>
      <c r="C2212">
        <f>IF(B2212="","",IFERROR(INDEX('Bad Patterns'!$A$2:$A$120,MATCH(1,INDEX(--ISNUMBER(SEARCH('Bad Patterns'!$A$2:$A$120,B2212)),0),0)),""))</f>
        <v/>
      </c>
      <c r="D2212">
        <f>IF(B2212="","",IF(C2212&lt;&gt;"","REMOVE","KEEP"))</f>
        <v/>
      </c>
      <c r="E2212">
        <f>IF(D2212&lt;&gt;"KEEP","",IF(RIGHT(B2212,10)="@gmail.com","Gmail",IF(OR(RIGHT(B2212,12)="@outlook.com",RIGHT(B2212,12)="@hotmail.com",RIGHT(B2212,9)="@live.com"),"Outlook","Domain")))</f>
        <v/>
      </c>
      <c r="F2212">
        <f>IF(B2212="","",IFERROR(RIGHT(B2212,LEN(B2212)-FIND("@",B2212)),""))</f>
        <v/>
      </c>
      <c r="G2212">
        <f>IF(D2212="KEEP",COUNTIF($D$2:D2212,"KEEP"),"")</f>
        <v/>
      </c>
      <c r="H2212">
        <f>IF(D2212="REMOVE",COUNTIF($D$2:D2212,"REMOVE"),"")</f>
        <v/>
      </c>
      <c r="I2212">
        <f>IF(E2212="Gmail",COUNTIF($E$2:E2212,"Gmail"),"")</f>
        <v/>
      </c>
      <c r="J2212">
        <f>IF(E2212="Outlook",COUNTIF($E$2:E2212,"Outlook"),"")</f>
        <v/>
      </c>
      <c r="K2212">
        <f>IF(E2212="Domain",COUNTIF($E$2:E2212,"Domain"),"")</f>
        <v/>
      </c>
    </row>
    <row r="2213">
      <c r="A2213" s="2" t="n"/>
      <c r="B2213">
        <f>LOWER(TRIM(A2213))</f>
        <v/>
      </c>
      <c r="C2213">
        <f>IF(B2213="","",IFERROR(INDEX('Bad Patterns'!$A$2:$A$120,MATCH(1,INDEX(--ISNUMBER(SEARCH('Bad Patterns'!$A$2:$A$120,B2213)),0),0)),""))</f>
        <v/>
      </c>
      <c r="D2213">
        <f>IF(B2213="","",IF(C2213&lt;&gt;"","REMOVE","KEEP"))</f>
        <v/>
      </c>
      <c r="E2213">
        <f>IF(D2213&lt;&gt;"KEEP","",IF(RIGHT(B2213,10)="@gmail.com","Gmail",IF(OR(RIGHT(B2213,12)="@outlook.com",RIGHT(B2213,12)="@hotmail.com",RIGHT(B2213,9)="@live.com"),"Outlook","Domain")))</f>
        <v/>
      </c>
      <c r="F2213">
        <f>IF(B2213="","",IFERROR(RIGHT(B2213,LEN(B2213)-FIND("@",B2213)),""))</f>
        <v/>
      </c>
      <c r="G2213">
        <f>IF(D2213="KEEP",COUNTIF($D$2:D2213,"KEEP"),"")</f>
        <v/>
      </c>
      <c r="H2213">
        <f>IF(D2213="REMOVE",COUNTIF($D$2:D2213,"REMOVE"),"")</f>
        <v/>
      </c>
      <c r="I2213">
        <f>IF(E2213="Gmail",COUNTIF($E$2:E2213,"Gmail"),"")</f>
        <v/>
      </c>
      <c r="J2213">
        <f>IF(E2213="Outlook",COUNTIF($E$2:E2213,"Outlook"),"")</f>
        <v/>
      </c>
      <c r="K2213">
        <f>IF(E2213="Domain",COUNTIF($E$2:E2213,"Domain"),"")</f>
        <v/>
      </c>
    </row>
    <row r="2214">
      <c r="A2214" s="2" t="n"/>
      <c r="B2214">
        <f>LOWER(TRIM(A2214))</f>
        <v/>
      </c>
      <c r="C2214">
        <f>IF(B2214="","",IFERROR(INDEX('Bad Patterns'!$A$2:$A$120,MATCH(1,INDEX(--ISNUMBER(SEARCH('Bad Patterns'!$A$2:$A$120,B2214)),0),0)),""))</f>
        <v/>
      </c>
      <c r="D2214">
        <f>IF(B2214="","",IF(C2214&lt;&gt;"","REMOVE","KEEP"))</f>
        <v/>
      </c>
      <c r="E2214">
        <f>IF(D2214&lt;&gt;"KEEP","",IF(RIGHT(B2214,10)="@gmail.com","Gmail",IF(OR(RIGHT(B2214,12)="@outlook.com",RIGHT(B2214,12)="@hotmail.com",RIGHT(B2214,9)="@live.com"),"Outlook","Domain")))</f>
        <v/>
      </c>
      <c r="F2214">
        <f>IF(B2214="","",IFERROR(RIGHT(B2214,LEN(B2214)-FIND("@",B2214)),""))</f>
        <v/>
      </c>
      <c r="G2214">
        <f>IF(D2214="KEEP",COUNTIF($D$2:D2214,"KEEP"),"")</f>
        <v/>
      </c>
      <c r="H2214">
        <f>IF(D2214="REMOVE",COUNTIF($D$2:D2214,"REMOVE"),"")</f>
        <v/>
      </c>
      <c r="I2214">
        <f>IF(E2214="Gmail",COUNTIF($E$2:E2214,"Gmail"),"")</f>
        <v/>
      </c>
      <c r="J2214">
        <f>IF(E2214="Outlook",COUNTIF($E$2:E2214,"Outlook"),"")</f>
        <v/>
      </c>
      <c r="K2214">
        <f>IF(E2214="Domain",COUNTIF($E$2:E2214,"Domain"),"")</f>
        <v/>
      </c>
    </row>
    <row r="2215">
      <c r="A2215" s="2" t="n"/>
      <c r="B2215">
        <f>LOWER(TRIM(A2215))</f>
        <v/>
      </c>
      <c r="C2215">
        <f>IF(B2215="","",IFERROR(INDEX('Bad Patterns'!$A$2:$A$120,MATCH(1,INDEX(--ISNUMBER(SEARCH('Bad Patterns'!$A$2:$A$120,B2215)),0),0)),""))</f>
        <v/>
      </c>
      <c r="D2215">
        <f>IF(B2215="","",IF(C2215&lt;&gt;"","REMOVE","KEEP"))</f>
        <v/>
      </c>
      <c r="E2215">
        <f>IF(D2215&lt;&gt;"KEEP","",IF(RIGHT(B2215,10)="@gmail.com","Gmail",IF(OR(RIGHT(B2215,12)="@outlook.com",RIGHT(B2215,12)="@hotmail.com",RIGHT(B2215,9)="@live.com"),"Outlook","Domain")))</f>
        <v/>
      </c>
      <c r="F2215">
        <f>IF(B2215="","",IFERROR(RIGHT(B2215,LEN(B2215)-FIND("@",B2215)),""))</f>
        <v/>
      </c>
      <c r="G2215">
        <f>IF(D2215="KEEP",COUNTIF($D$2:D2215,"KEEP"),"")</f>
        <v/>
      </c>
      <c r="H2215">
        <f>IF(D2215="REMOVE",COUNTIF($D$2:D2215,"REMOVE"),"")</f>
        <v/>
      </c>
      <c r="I2215">
        <f>IF(E2215="Gmail",COUNTIF($E$2:E2215,"Gmail"),"")</f>
        <v/>
      </c>
      <c r="J2215">
        <f>IF(E2215="Outlook",COUNTIF($E$2:E2215,"Outlook"),"")</f>
        <v/>
      </c>
      <c r="K2215">
        <f>IF(E2215="Domain",COUNTIF($E$2:E2215,"Domain"),"")</f>
        <v/>
      </c>
    </row>
    <row r="2216">
      <c r="A2216" s="2" t="n"/>
      <c r="B2216">
        <f>LOWER(TRIM(A2216))</f>
        <v/>
      </c>
      <c r="C2216">
        <f>IF(B2216="","",IFERROR(INDEX('Bad Patterns'!$A$2:$A$120,MATCH(1,INDEX(--ISNUMBER(SEARCH('Bad Patterns'!$A$2:$A$120,B2216)),0),0)),""))</f>
        <v/>
      </c>
      <c r="D2216">
        <f>IF(B2216="","",IF(C2216&lt;&gt;"","REMOVE","KEEP"))</f>
        <v/>
      </c>
      <c r="E2216">
        <f>IF(D2216&lt;&gt;"KEEP","",IF(RIGHT(B2216,10)="@gmail.com","Gmail",IF(OR(RIGHT(B2216,12)="@outlook.com",RIGHT(B2216,12)="@hotmail.com",RIGHT(B2216,9)="@live.com"),"Outlook","Domain")))</f>
        <v/>
      </c>
      <c r="F2216">
        <f>IF(B2216="","",IFERROR(RIGHT(B2216,LEN(B2216)-FIND("@",B2216)),""))</f>
        <v/>
      </c>
      <c r="G2216">
        <f>IF(D2216="KEEP",COUNTIF($D$2:D2216,"KEEP"),"")</f>
        <v/>
      </c>
      <c r="H2216">
        <f>IF(D2216="REMOVE",COUNTIF($D$2:D2216,"REMOVE"),"")</f>
        <v/>
      </c>
      <c r="I2216">
        <f>IF(E2216="Gmail",COUNTIF($E$2:E2216,"Gmail"),"")</f>
        <v/>
      </c>
      <c r="J2216">
        <f>IF(E2216="Outlook",COUNTIF($E$2:E2216,"Outlook"),"")</f>
        <v/>
      </c>
      <c r="K2216">
        <f>IF(E2216="Domain",COUNTIF($E$2:E2216,"Domain"),"")</f>
        <v/>
      </c>
    </row>
    <row r="2217">
      <c r="A2217" s="2" t="n"/>
      <c r="B2217">
        <f>LOWER(TRIM(A2217))</f>
        <v/>
      </c>
      <c r="C2217">
        <f>IF(B2217="","",IFERROR(INDEX('Bad Patterns'!$A$2:$A$120,MATCH(1,INDEX(--ISNUMBER(SEARCH('Bad Patterns'!$A$2:$A$120,B2217)),0),0)),""))</f>
        <v/>
      </c>
      <c r="D2217">
        <f>IF(B2217="","",IF(C2217&lt;&gt;"","REMOVE","KEEP"))</f>
        <v/>
      </c>
      <c r="E2217">
        <f>IF(D2217&lt;&gt;"KEEP","",IF(RIGHT(B2217,10)="@gmail.com","Gmail",IF(OR(RIGHT(B2217,12)="@outlook.com",RIGHT(B2217,12)="@hotmail.com",RIGHT(B2217,9)="@live.com"),"Outlook","Domain")))</f>
        <v/>
      </c>
      <c r="F2217">
        <f>IF(B2217="","",IFERROR(RIGHT(B2217,LEN(B2217)-FIND("@",B2217)),""))</f>
        <v/>
      </c>
      <c r="G2217">
        <f>IF(D2217="KEEP",COUNTIF($D$2:D2217,"KEEP"),"")</f>
        <v/>
      </c>
      <c r="H2217">
        <f>IF(D2217="REMOVE",COUNTIF($D$2:D2217,"REMOVE"),"")</f>
        <v/>
      </c>
      <c r="I2217">
        <f>IF(E2217="Gmail",COUNTIF($E$2:E2217,"Gmail"),"")</f>
        <v/>
      </c>
      <c r="J2217">
        <f>IF(E2217="Outlook",COUNTIF($E$2:E2217,"Outlook"),"")</f>
        <v/>
      </c>
      <c r="K2217">
        <f>IF(E2217="Domain",COUNTIF($E$2:E2217,"Domain"),"")</f>
        <v/>
      </c>
    </row>
    <row r="2218">
      <c r="A2218" s="2" t="n"/>
      <c r="B2218">
        <f>LOWER(TRIM(A2218))</f>
        <v/>
      </c>
      <c r="C2218">
        <f>IF(B2218="","",IFERROR(INDEX('Bad Patterns'!$A$2:$A$120,MATCH(1,INDEX(--ISNUMBER(SEARCH('Bad Patterns'!$A$2:$A$120,B2218)),0),0)),""))</f>
        <v/>
      </c>
      <c r="D2218">
        <f>IF(B2218="","",IF(C2218&lt;&gt;"","REMOVE","KEEP"))</f>
        <v/>
      </c>
      <c r="E2218">
        <f>IF(D2218&lt;&gt;"KEEP","",IF(RIGHT(B2218,10)="@gmail.com","Gmail",IF(OR(RIGHT(B2218,12)="@outlook.com",RIGHT(B2218,12)="@hotmail.com",RIGHT(B2218,9)="@live.com"),"Outlook","Domain")))</f>
        <v/>
      </c>
      <c r="F2218">
        <f>IF(B2218="","",IFERROR(RIGHT(B2218,LEN(B2218)-FIND("@",B2218)),""))</f>
        <v/>
      </c>
      <c r="G2218">
        <f>IF(D2218="KEEP",COUNTIF($D$2:D2218,"KEEP"),"")</f>
        <v/>
      </c>
      <c r="H2218">
        <f>IF(D2218="REMOVE",COUNTIF($D$2:D2218,"REMOVE"),"")</f>
        <v/>
      </c>
      <c r="I2218">
        <f>IF(E2218="Gmail",COUNTIF($E$2:E2218,"Gmail"),"")</f>
        <v/>
      </c>
      <c r="J2218">
        <f>IF(E2218="Outlook",COUNTIF($E$2:E2218,"Outlook"),"")</f>
        <v/>
      </c>
      <c r="K2218">
        <f>IF(E2218="Domain",COUNTIF($E$2:E2218,"Domain"),"")</f>
        <v/>
      </c>
    </row>
    <row r="2219">
      <c r="A2219" s="2" t="n"/>
      <c r="B2219">
        <f>LOWER(TRIM(A2219))</f>
        <v/>
      </c>
      <c r="C2219">
        <f>IF(B2219="","",IFERROR(INDEX('Bad Patterns'!$A$2:$A$120,MATCH(1,INDEX(--ISNUMBER(SEARCH('Bad Patterns'!$A$2:$A$120,B2219)),0),0)),""))</f>
        <v/>
      </c>
      <c r="D2219">
        <f>IF(B2219="","",IF(C2219&lt;&gt;"","REMOVE","KEEP"))</f>
        <v/>
      </c>
      <c r="E2219">
        <f>IF(D2219&lt;&gt;"KEEP","",IF(RIGHT(B2219,10)="@gmail.com","Gmail",IF(OR(RIGHT(B2219,12)="@outlook.com",RIGHT(B2219,12)="@hotmail.com",RIGHT(B2219,9)="@live.com"),"Outlook","Domain")))</f>
        <v/>
      </c>
      <c r="F2219">
        <f>IF(B2219="","",IFERROR(RIGHT(B2219,LEN(B2219)-FIND("@",B2219)),""))</f>
        <v/>
      </c>
      <c r="G2219">
        <f>IF(D2219="KEEP",COUNTIF($D$2:D2219,"KEEP"),"")</f>
        <v/>
      </c>
      <c r="H2219">
        <f>IF(D2219="REMOVE",COUNTIF($D$2:D2219,"REMOVE"),"")</f>
        <v/>
      </c>
      <c r="I2219">
        <f>IF(E2219="Gmail",COUNTIF($E$2:E2219,"Gmail"),"")</f>
        <v/>
      </c>
      <c r="J2219">
        <f>IF(E2219="Outlook",COUNTIF($E$2:E2219,"Outlook"),"")</f>
        <v/>
      </c>
      <c r="K2219">
        <f>IF(E2219="Domain",COUNTIF($E$2:E2219,"Domain"),"")</f>
        <v/>
      </c>
    </row>
    <row r="2220">
      <c r="A2220" s="2" t="n"/>
      <c r="B2220">
        <f>LOWER(TRIM(A2220))</f>
        <v/>
      </c>
      <c r="C2220">
        <f>IF(B2220="","",IFERROR(INDEX('Bad Patterns'!$A$2:$A$120,MATCH(1,INDEX(--ISNUMBER(SEARCH('Bad Patterns'!$A$2:$A$120,B2220)),0),0)),""))</f>
        <v/>
      </c>
      <c r="D2220">
        <f>IF(B2220="","",IF(C2220&lt;&gt;"","REMOVE","KEEP"))</f>
        <v/>
      </c>
      <c r="E2220">
        <f>IF(D2220&lt;&gt;"KEEP","",IF(RIGHT(B2220,10)="@gmail.com","Gmail",IF(OR(RIGHT(B2220,12)="@outlook.com",RIGHT(B2220,12)="@hotmail.com",RIGHT(B2220,9)="@live.com"),"Outlook","Domain")))</f>
        <v/>
      </c>
      <c r="F2220">
        <f>IF(B2220="","",IFERROR(RIGHT(B2220,LEN(B2220)-FIND("@",B2220)),""))</f>
        <v/>
      </c>
      <c r="G2220">
        <f>IF(D2220="KEEP",COUNTIF($D$2:D2220,"KEEP"),"")</f>
        <v/>
      </c>
      <c r="H2220">
        <f>IF(D2220="REMOVE",COUNTIF($D$2:D2220,"REMOVE"),"")</f>
        <v/>
      </c>
      <c r="I2220">
        <f>IF(E2220="Gmail",COUNTIF($E$2:E2220,"Gmail"),"")</f>
        <v/>
      </c>
      <c r="J2220">
        <f>IF(E2220="Outlook",COUNTIF($E$2:E2220,"Outlook"),"")</f>
        <v/>
      </c>
      <c r="K2220">
        <f>IF(E2220="Domain",COUNTIF($E$2:E2220,"Domain"),"")</f>
        <v/>
      </c>
    </row>
    <row r="2221">
      <c r="A2221" s="2" t="n"/>
      <c r="B2221">
        <f>LOWER(TRIM(A2221))</f>
        <v/>
      </c>
      <c r="C2221">
        <f>IF(B2221="","",IFERROR(INDEX('Bad Patterns'!$A$2:$A$120,MATCH(1,INDEX(--ISNUMBER(SEARCH('Bad Patterns'!$A$2:$A$120,B2221)),0),0)),""))</f>
        <v/>
      </c>
      <c r="D2221">
        <f>IF(B2221="","",IF(C2221&lt;&gt;"","REMOVE","KEEP"))</f>
        <v/>
      </c>
      <c r="E2221">
        <f>IF(D2221&lt;&gt;"KEEP","",IF(RIGHT(B2221,10)="@gmail.com","Gmail",IF(OR(RIGHT(B2221,12)="@outlook.com",RIGHT(B2221,12)="@hotmail.com",RIGHT(B2221,9)="@live.com"),"Outlook","Domain")))</f>
        <v/>
      </c>
      <c r="F2221">
        <f>IF(B2221="","",IFERROR(RIGHT(B2221,LEN(B2221)-FIND("@",B2221)),""))</f>
        <v/>
      </c>
      <c r="G2221">
        <f>IF(D2221="KEEP",COUNTIF($D$2:D2221,"KEEP"),"")</f>
        <v/>
      </c>
      <c r="H2221">
        <f>IF(D2221="REMOVE",COUNTIF($D$2:D2221,"REMOVE"),"")</f>
        <v/>
      </c>
      <c r="I2221">
        <f>IF(E2221="Gmail",COUNTIF($E$2:E2221,"Gmail"),"")</f>
        <v/>
      </c>
      <c r="J2221">
        <f>IF(E2221="Outlook",COUNTIF($E$2:E2221,"Outlook"),"")</f>
        <v/>
      </c>
      <c r="K2221">
        <f>IF(E2221="Domain",COUNTIF($E$2:E2221,"Domain"),"")</f>
        <v/>
      </c>
    </row>
    <row r="2222">
      <c r="A2222" s="2" t="n"/>
      <c r="B2222">
        <f>LOWER(TRIM(A2222))</f>
        <v/>
      </c>
      <c r="C2222">
        <f>IF(B2222="","",IFERROR(INDEX('Bad Patterns'!$A$2:$A$120,MATCH(1,INDEX(--ISNUMBER(SEARCH('Bad Patterns'!$A$2:$A$120,B2222)),0),0)),""))</f>
        <v/>
      </c>
      <c r="D2222">
        <f>IF(B2222="","",IF(C2222&lt;&gt;"","REMOVE","KEEP"))</f>
        <v/>
      </c>
      <c r="E2222">
        <f>IF(D2222&lt;&gt;"KEEP","",IF(RIGHT(B2222,10)="@gmail.com","Gmail",IF(OR(RIGHT(B2222,12)="@outlook.com",RIGHT(B2222,12)="@hotmail.com",RIGHT(B2222,9)="@live.com"),"Outlook","Domain")))</f>
        <v/>
      </c>
      <c r="F2222">
        <f>IF(B2222="","",IFERROR(RIGHT(B2222,LEN(B2222)-FIND("@",B2222)),""))</f>
        <v/>
      </c>
      <c r="G2222">
        <f>IF(D2222="KEEP",COUNTIF($D$2:D2222,"KEEP"),"")</f>
        <v/>
      </c>
      <c r="H2222">
        <f>IF(D2222="REMOVE",COUNTIF($D$2:D2222,"REMOVE"),"")</f>
        <v/>
      </c>
      <c r="I2222">
        <f>IF(E2222="Gmail",COUNTIF($E$2:E2222,"Gmail"),"")</f>
        <v/>
      </c>
      <c r="J2222">
        <f>IF(E2222="Outlook",COUNTIF($E$2:E2222,"Outlook"),"")</f>
        <v/>
      </c>
      <c r="K2222">
        <f>IF(E2222="Domain",COUNTIF($E$2:E2222,"Domain"),"")</f>
        <v/>
      </c>
    </row>
    <row r="2223">
      <c r="A2223" s="2" t="n"/>
      <c r="B2223">
        <f>LOWER(TRIM(A2223))</f>
        <v/>
      </c>
      <c r="C2223">
        <f>IF(B2223="","",IFERROR(INDEX('Bad Patterns'!$A$2:$A$120,MATCH(1,INDEX(--ISNUMBER(SEARCH('Bad Patterns'!$A$2:$A$120,B2223)),0),0)),""))</f>
        <v/>
      </c>
      <c r="D2223">
        <f>IF(B2223="","",IF(C2223&lt;&gt;"","REMOVE","KEEP"))</f>
        <v/>
      </c>
      <c r="E2223">
        <f>IF(D2223&lt;&gt;"KEEP","",IF(RIGHT(B2223,10)="@gmail.com","Gmail",IF(OR(RIGHT(B2223,12)="@outlook.com",RIGHT(B2223,12)="@hotmail.com",RIGHT(B2223,9)="@live.com"),"Outlook","Domain")))</f>
        <v/>
      </c>
      <c r="F2223">
        <f>IF(B2223="","",IFERROR(RIGHT(B2223,LEN(B2223)-FIND("@",B2223)),""))</f>
        <v/>
      </c>
      <c r="G2223">
        <f>IF(D2223="KEEP",COUNTIF($D$2:D2223,"KEEP"),"")</f>
        <v/>
      </c>
      <c r="H2223">
        <f>IF(D2223="REMOVE",COUNTIF($D$2:D2223,"REMOVE"),"")</f>
        <v/>
      </c>
      <c r="I2223">
        <f>IF(E2223="Gmail",COUNTIF($E$2:E2223,"Gmail"),"")</f>
        <v/>
      </c>
      <c r="J2223">
        <f>IF(E2223="Outlook",COUNTIF($E$2:E2223,"Outlook"),"")</f>
        <v/>
      </c>
      <c r="K2223">
        <f>IF(E2223="Domain",COUNTIF($E$2:E2223,"Domain"),"")</f>
        <v/>
      </c>
    </row>
    <row r="2224">
      <c r="A2224" s="2" t="n"/>
      <c r="B2224">
        <f>LOWER(TRIM(A2224))</f>
        <v/>
      </c>
      <c r="C2224">
        <f>IF(B2224="","",IFERROR(INDEX('Bad Patterns'!$A$2:$A$120,MATCH(1,INDEX(--ISNUMBER(SEARCH('Bad Patterns'!$A$2:$A$120,B2224)),0),0)),""))</f>
        <v/>
      </c>
      <c r="D2224">
        <f>IF(B2224="","",IF(C2224&lt;&gt;"","REMOVE","KEEP"))</f>
        <v/>
      </c>
      <c r="E2224">
        <f>IF(D2224&lt;&gt;"KEEP","",IF(RIGHT(B2224,10)="@gmail.com","Gmail",IF(OR(RIGHT(B2224,12)="@outlook.com",RIGHT(B2224,12)="@hotmail.com",RIGHT(B2224,9)="@live.com"),"Outlook","Domain")))</f>
        <v/>
      </c>
      <c r="F2224">
        <f>IF(B2224="","",IFERROR(RIGHT(B2224,LEN(B2224)-FIND("@",B2224)),""))</f>
        <v/>
      </c>
      <c r="G2224">
        <f>IF(D2224="KEEP",COUNTIF($D$2:D2224,"KEEP"),"")</f>
        <v/>
      </c>
      <c r="H2224">
        <f>IF(D2224="REMOVE",COUNTIF($D$2:D2224,"REMOVE"),"")</f>
        <v/>
      </c>
      <c r="I2224">
        <f>IF(E2224="Gmail",COUNTIF($E$2:E2224,"Gmail"),"")</f>
        <v/>
      </c>
      <c r="J2224">
        <f>IF(E2224="Outlook",COUNTIF($E$2:E2224,"Outlook"),"")</f>
        <v/>
      </c>
      <c r="K2224">
        <f>IF(E2224="Domain",COUNTIF($E$2:E2224,"Domain"),"")</f>
        <v/>
      </c>
    </row>
    <row r="2225">
      <c r="A2225" s="2" t="n"/>
      <c r="B2225">
        <f>LOWER(TRIM(A2225))</f>
        <v/>
      </c>
      <c r="C2225">
        <f>IF(B2225="","",IFERROR(INDEX('Bad Patterns'!$A$2:$A$120,MATCH(1,INDEX(--ISNUMBER(SEARCH('Bad Patterns'!$A$2:$A$120,B2225)),0),0)),""))</f>
        <v/>
      </c>
      <c r="D2225">
        <f>IF(B2225="","",IF(C2225&lt;&gt;"","REMOVE","KEEP"))</f>
        <v/>
      </c>
      <c r="E2225">
        <f>IF(D2225&lt;&gt;"KEEP","",IF(RIGHT(B2225,10)="@gmail.com","Gmail",IF(OR(RIGHT(B2225,12)="@outlook.com",RIGHT(B2225,12)="@hotmail.com",RIGHT(B2225,9)="@live.com"),"Outlook","Domain")))</f>
        <v/>
      </c>
      <c r="F2225">
        <f>IF(B2225="","",IFERROR(RIGHT(B2225,LEN(B2225)-FIND("@",B2225)),""))</f>
        <v/>
      </c>
      <c r="G2225">
        <f>IF(D2225="KEEP",COUNTIF($D$2:D2225,"KEEP"),"")</f>
        <v/>
      </c>
      <c r="H2225">
        <f>IF(D2225="REMOVE",COUNTIF($D$2:D2225,"REMOVE"),"")</f>
        <v/>
      </c>
      <c r="I2225">
        <f>IF(E2225="Gmail",COUNTIF($E$2:E2225,"Gmail"),"")</f>
        <v/>
      </c>
      <c r="J2225">
        <f>IF(E2225="Outlook",COUNTIF($E$2:E2225,"Outlook"),"")</f>
        <v/>
      </c>
      <c r="K2225">
        <f>IF(E2225="Domain",COUNTIF($E$2:E2225,"Domain"),"")</f>
        <v/>
      </c>
    </row>
    <row r="2226">
      <c r="A2226" s="2" t="n"/>
      <c r="B2226">
        <f>LOWER(TRIM(A2226))</f>
        <v/>
      </c>
      <c r="C2226">
        <f>IF(B2226="","",IFERROR(INDEX('Bad Patterns'!$A$2:$A$120,MATCH(1,INDEX(--ISNUMBER(SEARCH('Bad Patterns'!$A$2:$A$120,B2226)),0),0)),""))</f>
        <v/>
      </c>
      <c r="D2226">
        <f>IF(B2226="","",IF(C2226&lt;&gt;"","REMOVE","KEEP"))</f>
        <v/>
      </c>
      <c r="E2226">
        <f>IF(D2226&lt;&gt;"KEEP","",IF(RIGHT(B2226,10)="@gmail.com","Gmail",IF(OR(RIGHT(B2226,12)="@outlook.com",RIGHT(B2226,12)="@hotmail.com",RIGHT(B2226,9)="@live.com"),"Outlook","Domain")))</f>
        <v/>
      </c>
      <c r="F2226">
        <f>IF(B2226="","",IFERROR(RIGHT(B2226,LEN(B2226)-FIND("@",B2226)),""))</f>
        <v/>
      </c>
      <c r="G2226">
        <f>IF(D2226="KEEP",COUNTIF($D$2:D2226,"KEEP"),"")</f>
        <v/>
      </c>
      <c r="H2226">
        <f>IF(D2226="REMOVE",COUNTIF($D$2:D2226,"REMOVE"),"")</f>
        <v/>
      </c>
      <c r="I2226">
        <f>IF(E2226="Gmail",COUNTIF($E$2:E2226,"Gmail"),"")</f>
        <v/>
      </c>
      <c r="J2226">
        <f>IF(E2226="Outlook",COUNTIF($E$2:E2226,"Outlook"),"")</f>
        <v/>
      </c>
      <c r="K2226">
        <f>IF(E2226="Domain",COUNTIF($E$2:E2226,"Domain"),"")</f>
        <v/>
      </c>
    </row>
    <row r="2227">
      <c r="A2227" s="2" t="n"/>
      <c r="B2227">
        <f>LOWER(TRIM(A2227))</f>
        <v/>
      </c>
      <c r="C2227">
        <f>IF(B2227="","",IFERROR(INDEX('Bad Patterns'!$A$2:$A$120,MATCH(1,INDEX(--ISNUMBER(SEARCH('Bad Patterns'!$A$2:$A$120,B2227)),0),0)),""))</f>
        <v/>
      </c>
      <c r="D2227">
        <f>IF(B2227="","",IF(C2227&lt;&gt;"","REMOVE","KEEP"))</f>
        <v/>
      </c>
      <c r="E2227">
        <f>IF(D2227&lt;&gt;"KEEP","",IF(RIGHT(B2227,10)="@gmail.com","Gmail",IF(OR(RIGHT(B2227,12)="@outlook.com",RIGHT(B2227,12)="@hotmail.com",RIGHT(B2227,9)="@live.com"),"Outlook","Domain")))</f>
        <v/>
      </c>
      <c r="F2227">
        <f>IF(B2227="","",IFERROR(RIGHT(B2227,LEN(B2227)-FIND("@",B2227)),""))</f>
        <v/>
      </c>
      <c r="G2227">
        <f>IF(D2227="KEEP",COUNTIF($D$2:D2227,"KEEP"),"")</f>
        <v/>
      </c>
      <c r="H2227">
        <f>IF(D2227="REMOVE",COUNTIF($D$2:D2227,"REMOVE"),"")</f>
        <v/>
      </c>
      <c r="I2227">
        <f>IF(E2227="Gmail",COUNTIF($E$2:E2227,"Gmail"),"")</f>
        <v/>
      </c>
      <c r="J2227">
        <f>IF(E2227="Outlook",COUNTIF($E$2:E2227,"Outlook"),"")</f>
        <v/>
      </c>
      <c r="K2227">
        <f>IF(E2227="Domain",COUNTIF($E$2:E2227,"Domain"),"")</f>
        <v/>
      </c>
    </row>
    <row r="2228">
      <c r="A2228" s="2" t="n"/>
      <c r="B2228">
        <f>LOWER(TRIM(A2228))</f>
        <v/>
      </c>
      <c r="C2228">
        <f>IF(B2228="","",IFERROR(INDEX('Bad Patterns'!$A$2:$A$120,MATCH(1,INDEX(--ISNUMBER(SEARCH('Bad Patterns'!$A$2:$A$120,B2228)),0),0)),""))</f>
        <v/>
      </c>
      <c r="D2228">
        <f>IF(B2228="","",IF(C2228&lt;&gt;"","REMOVE","KEEP"))</f>
        <v/>
      </c>
      <c r="E2228">
        <f>IF(D2228&lt;&gt;"KEEP","",IF(RIGHT(B2228,10)="@gmail.com","Gmail",IF(OR(RIGHT(B2228,12)="@outlook.com",RIGHT(B2228,12)="@hotmail.com",RIGHT(B2228,9)="@live.com"),"Outlook","Domain")))</f>
        <v/>
      </c>
      <c r="F2228">
        <f>IF(B2228="","",IFERROR(RIGHT(B2228,LEN(B2228)-FIND("@",B2228)),""))</f>
        <v/>
      </c>
      <c r="G2228">
        <f>IF(D2228="KEEP",COUNTIF($D$2:D2228,"KEEP"),"")</f>
        <v/>
      </c>
      <c r="H2228">
        <f>IF(D2228="REMOVE",COUNTIF($D$2:D2228,"REMOVE"),"")</f>
        <v/>
      </c>
      <c r="I2228">
        <f>IF(E2228="Gmail",COUNTIF($E$2:E2228,"Gmail"),"")</f>
        <v/>
      </c>
      <c r="J2228">
        <f>IF(E2228="Outlook",COUNTIF($E$2:E2228,"Outlook"),"")</f>
        <v/>
      </c>
      <c r="K2228">
        <f>IF(E2228="Domain",COUNTIF($E$2:E2228,"Domain"),"")</f>
        <v/>
      </c>
    </row>
    <row r="2229">
      <c r="A2229" s="2" t="n"/>
      <c r="B2229">
        <f>LOWER(TRIM(A2229))</f>
        <v/>
      </c>
      <c r="C2229">
        <f>IF(B2229="","",IFERROR(INDEX('Bad Patterns'!$A$2:$A$120,MATCH(1,INDEX(--ISNUMBER(SEARCH('Bad Patterns'!$A$2:$A$120,B2229)),0),0)),""))</f>
        <v/>
      </c>
      <c r="D2229">
        <f>IF(B2229="","",IF(C2229&lt;&gt;"","REMOVE","KEEP"))</f>
        <v/>
      </c>
      <c r="E2229">
        <f>IF(D2229&lt;&gt;"KEEP","",IF(RIGHT(B2229,10)="@gmail.com","Gmail",IF(OR(RIGHT(B2229,12)="@outlook.com",RIGHT(B2229,12)="@hotmail.com",RIGHT(B2229,9)="@live.com"),"Outlook","Domain")))</f>
        <v/>
      </c>
      <c r="F2229">
        <f>IF(B2229="","",IFERROR(RIGHT(B2229,LEN(B2229)-FIND("@",B2229)),""))</f>
        <v/>
      </c>
      <c r="G2229">
        <f>IF(D2229="KEEP",COUNTIF($D$2:D2229,"KEEP"),"")</f>
        <v/>
      </c>
      <c r="H2229">
        <f>IF(D2229="REMOVE",COUNTIF($D$2:D2229,"REMOVE"),"")</f>
        <v/>
      </c>
      <c r="I2229">
        <f>IF(E2229="Gmail",COUNTIF($E$2:E2229,"Gmail"),"")</f>
        <v/>
      </c>
      <c r="J2229">
        <f>IF(E2229="Outlook",COUNTIF($E$2:E2229,"Outlook"),"")</f>
        <v/>
      </c>
      <c r="K2229">
        <f>IF(E2229="Domain",COUNTIF($E$2:E2229,"Domain"),"")</f>
        <v/>
      </c>
    </row>
    <row r="2230">
      <c r="A2230" s="2" t="n"/>
      <c r="B2230">
        <f>LOWER(TRIM(A2230))</f>
        <v/>
      </c>
      <c r="C2230">
        <f>IF(B2230="","",IFERROR(INDEX('Bad Patterns'!$A$2:$A$120,MATCH(1,INDEX(--ISNUMBER(SEARCH('Bad Patterns'!$A$2:$A$120,B2230)),0),0)),""))</f>
        <v/>
      </c>
      <c r="D2230">
        <f>IF(B2230="","",IF(C2230&lt;&gt;"","REMOVE","KEEP"))</f>
        <v/>
      </c>
      <c r="E2230">
        <f>IF(D2230&lt;&gt;"KEEP","",IF(RIGHT(B2230,10)="@gmail.com","Gmail",IF(OR(RIGHT(B2230,12)="@outlook.com",RIGHT(B2230,12)="@hotmail.com",RIGHT(B2230,9)="@live.com"),"Outlook","Domain")))</f>
        <v/>
      </c>
      <c r="F2230">
        <f>IF(B2230="","",IFERROR(RIGHT(B2230,LEN(B2230)-FIND("@",B2230)),""))</f>
        <v/>
      </c>
      <c r="G2230">
        <f>IF(D2230="KEEP",COUNTIF($D$2:D2230,"KEEP"),"")</f>
        <v/>
      </c>
      <c r="H2230">
        <f>IF(D2230="REMOVE",COUNTIF($D$2:D2230,"REMOVE"),"")</f>
        <v/>
      </c>
      <c r="I2230">
        <f>IF(E2230="Gmail",COUNTIF($E$2:E2230,"Gmail"),"")</f>
        <v/>
      </c>
      <c r="J2230">
        <f>IF(E2230="Outlook",COUNTIF($E$2:E2230,"Outlook"),"")</f>
        <v/>
      </c>
      <c r="K2230">
        <f>IF(E2230="Domain",COUNTIF($E$2:E2230,"Domain"),"")</f>
        <v/>
      </c>
    </row>
    <row r="2231">
      <c r="A2231" s="2" t="n"/>
      <c r="B2231">
        <f>LOWER(TRIM(A2231))</f>
        <v/>
      </c>
      <c r="C2231">
        <f>IF(B2231="","",IFERROR(INDEX('Bad Patterns'!$A$2:$A$120,MATCH(1,INDEX(--ISNUMBER(SEARCH('Bad Patterns'!$A$2:$A$120,B2231)),0),0)),""))</f>
        <v/>
      </c>
      <c r="D2231">
        <f>IF(B2231="","",IF(C2231&lt;&gt;"","REMOVE","KEEP"))</f>
        <v/>
      </c>
      <c r="E2231">
        <f>IF(D2231&lt;&gt;"KEEP","",IF(RIGHT(B2231,10)="@gmail.com","Gmail",IF(OR(RIGHT(B2231,12)="@outlook.com",RIGHT(B2231,12)="@hotmail.com",RIGHT(B2231,9)="@live.com"),"Outlook","Domain")))</f>
        <v/>
      </c>
      <c r="F2231">
        <f>IF(B2231="","",IFERROR(RIGHT(B2231,LEN(B2231)-FIND("@",B2231)),""))</f>
        <v/>
      </c>
      <c r="G2231">
        <f>IF(D2231="KEEP",COUNTIF($D$2:D2231,"KEEP"),"")</f>
        <v/>
      </c>
      <c r="H2231">
        <f>IF(D2231="REMOVE",COUNTIF($D$2:D2231,"REMOVE"),"")</f>
        <v/>
      </c>
      <c r="I2231">
        <f>IF(E2231="Gmail",COUNTIF($E$2:E2231,"Gmail"),"")</f>
        <v/>
      </c>
      <c r="J2231">
        <f>IF(E2231="Outlook",COUNTIF($E$2:E2231,"Outlook"),"")</f>
        <v/>
      </c>
      <c r="K2231">
        <f>IF(E2231="Domain",COUNTIF($E$2:E2231,"Domain"),"")</f>
        <v/>
      </c>
    </row>
    <row r="2232">
      <c r="A2232" s="2" t="n"/>
      <c r="B2232">
        <f>LOWER(TRIM(A2232))</f>
        <v/>
      </c>
      <c r="C2232">
        <f>IF(B2232="","",IFERROR(INDEX('Bad Patterns'!$A$2:$A$120,MATCH(1,INDEX(--ISNUMBER(SEARCH('Bad Patterns'!$A$2:$A$120,B2232)),0),0)),""))</f>
        <v/>
      </c>
      <c r="D2232">
        <f>IF(B2232="","",IF(C2232&lt;&gt;"","REMOVE","KEEP"))</f>
        <v/>
      </c>
      <c r="E2232">
        <f>IF(D2232&lt;&gt;"KEEP","",IF(RIGHT(B2232,10)="@gmail.com","Gmail",IF(OR(RIGHT(B2232,12)="@outlook.com",RIGHT(B2232,12)="@hotmail.com",RIGHT(B2232,9)="@live.com"),"Outlook","Domain")))</f>
        <v/>
      </c>
      <c r="F2232">
        <f>IF(B2232="","",IFERROR(RIGHT(B2232,LEN(B2232)-FIND("@",B2232)),""))</f>
        <v/>
      </c>
      <c r="G2232">
        <f>IF(D2232="KEEP",COUNTIF($D$2:D2232,"KEEP"),"")</f>
        <v/>
      </c>
      <c r="H2232">
        <f>IF(D2232="REMOVE",COUNTIF($D$2:D2232,"REMOVE"),"")</f>
        <v/>
      </c>
      <c r="I2232">
        <f>IF(E2232="Gmail",COUNTIF($E$2:E2232,"Gmail"),"")</f>
        <v/>
      </c>
      <c r="J2232">
        <f>IF(E2232="Outlook",COUNTIF($E$2:E2232,"Outlook"),"")</f>
        <v/>
      </c>
      <c r="K2232">
        <f>IF(E2232="Domain",COUNTIF($E$2:E2232,"Domain"),"")</f>
        <v/>
      </c>
    </row>
    <row r="2233">
      <c r="A2233" s="2" t="n"/>
      <c r="B2233">
        <f>LOWER(TRIM(A2233))</f>
        <v/>
      </c>
      <c r="C2233">
        <f>IF(B2233="","",IFERROR(INDEX('Bad Patterns'!$A$2:$A$120,MATCH(1,INDEX(--ISNUMBER(SEARCH('Bad Patterns'!$A$2:$A$120,B2233)),0),0)),""))</f>
        <v/>
      </c>
      <c r="D2233">
        <f>IF(B2233="","",IF(C2233&lt;&gt;"","REMOVE","KEEP"))</f>
        <v/>
      </c>
      <c r="E2233">
        <f>IF(D2233&lt;&gt;"KEEP","",IF(RIGHT(B2233,10)="@gmail.com","Gmail",IF(OR(RIGHT(B2233,12)="@outlook.com",RIGHT(B2233,12)="@hotmail.com",RIGHT(B2233,9)="@live.com"),"Outlook","Domain")))</f>
        <v/>
      </c>
      <c r="F2233">
        <f>IF(B2233="","",IFERROR(RIGHT(B2233,LEN(B2233)-FIND("@",B2233)),""))</f>
        <v/>
      </c>
      <c r="G2233">
        <f>IF(D2233="KEEP",COUNTIF($D$2:D2233,"KEEP"),"")</f>
        <v/>
      </c>
      <c r="H2233">
        <f>IF(D2233="REMOVE",COUNTIF($D$2:D2233,"REMOVE"),"")</f>
        <v/>
      </c>
      <c r="I2233">
        <f>IF(E2233="Gmail",COUNTIF($E$2:E2233,"Gmail"),"")</f>
        <v/>
      </c>
      <c r="J2233">
        <f>IF(E2233="Outlook",COUNTIF($E$2:E2233,"Outlook"),"")</f>
        <v/>
      </c>
      <c r="K2233">
        <f>IF(E2233="Domain",COUNTIF($E$2:E2233,"Domain"),"")</f>
        <v/>
      </c>
    </row>
    <row r="2234">
      <c r="A2234" s="2" t="n"/>
      <c r="B2234">
        <f>LOWER(TRIM(A2234))</f>
        <v/>
      </c>
      <c r="C2234">
        <f>IF(B2234="","",IFERROR(INDEX('Bad Patterns'!$A$2:$A$120,MATCH(1,INDEX(--ISNUMBER(SEARCH('Bad Patterns'!$A$2:$A$120,B2234)),0),0)),""))</f>
        <v/>
      </c>
      <c r="D2234">
        <f>IF(B2234="","",IF(C2234&lt;&gt;"","REMOVE","KEEP"))</f>
        <v/>
      </c>
      <c r="E2234">
        <f>IF(D2234&lt;&gt;"KEEP","",IF(RIGHT(B2234,10)="@gmail.com","Gmail",IF(OR(RIGHT(B2234,12)="@outlook.com",RIGHT(B2234,12)="@hotmail.com",RIGHT(B2234,9)="@live.com"),"Outlook","Domain")))</f>
        <v/>
      </c>
      <c r="F2234">
        <f>IF(B2234="","",IFERROR(RIGHT(B2234,LEN(B2234)-FIND("@",B2234)),""))</f>
        <v/>
      </c>
      <c r="G2234">
        <f>IF(D2234="KEEP",COUNTIF($D$2:D2234,"KEEP"),"")</f>
        <v/>
      </c>
      <c r="H2234">
        <f>IF(D2234="REMOVE",COUNTIF($D$2:D2234,"REMOVE"),"")</f>
        <v/>
      </c>
      <c r="I2234">
        <f>IF(E2234="Gmail",COUNTIF($E$2:E2234,"Gmail"),"")</f>
        <v/>
      </c>
      <c r="J2234">
        <f>IF(E2234="Outlook",COUNTIF($E$2:E2234,"Outlook"),"")</f>
        <v/>
      </c>
      <c r="K2234">
        <f>IF(E2234="Domain",COUNTIF($E$2:E2234,"Domain"),"")</f>
        <v/>
      </c>
    </row>
    <row r="2235">
      <c r="A2235" s="2" t="n"/>
      <c r="B2235">
        <f>LOWER(TRIM(A2235))</f>
        <v/>
      </c>
      <c r="C2235">
        <f>IF(B2235="","",IFERROR(INDEX('Bad Patterns'!$A$2:$A$120,MATCH(1,INDEX(--ISNUMBER(SEARCH('Bad Patterns'!$A$2:$A$120,B2235)),0),0)),""))</f>
        <v/>
      </c>
      <c r="D2235">
        <f>IF(B2235="","",IF(C2235&lt;&gt;"","REMOVE","KEEP"))</f>
        <v/>
      </c>
      <c r="E2235">
        <f>IF(D2235&lt;&gt;"KEEP","",IF(RIGHT(B2235,10)="@gmail.com","Gmail",IF(OR(RIGHT(B2235,12)="@outlook.com",RIGHT(B2235,12)="@hotmail.com",RIGHT(B2235,9)="@live.com"),"Outlook","Domain")))</f>
        <v/>
      </c>
      <c r="F2235">
        <f>IF(B2235="","",IFERROR(RIGHT(B2235,LEN(B2235)-FIND("@",B2235)),""))</f>
        <v/>
      </c>
      <c r="G2235">
        <f>IF(D2235="KEEP",COUNTIF($D$2:D2235,"KEEP"),"")</f>
        <v/>
      </c>
      <c r="H2235">
        <f>IF(D2235="REMOVE",COUNTIF($D$2:D2235,"REMOVE"),"")</f>
        <v/>
      </c>
      <c r="I2235">
        <f>IF(E2235="Gmail",COUNTIF($E$2:E2235,"Gmail"),"")</f>
        <v/>
      </c>
      <c r="J2235">
        <f>IF(E2235="Outlook",COUNTIF($E$2:E2235,"Outlook"),"")</f>
        <v/>
      </c>
      <c r="K2235">
        <f>IF(E2235="Domain",COUNTIF($E$2:E2235,"Domain"),"")</f>
        <v/>
      </c>
    </row>
    <row r="2236">
      <c r="A2236" s="2" t="n"/>
      <c r="B2236">
        <f>LOWER(TRIM(A2236))</f>
        <v/>
      </c>
      <c r="C2236">
        <f>IF(B2236="","",IFERROR(INDEX('Bad Patterns'!$A$2:$A$120,MATCH(1,INDEX(--ISNUMBER(SEARCH('Bad Patterns'!$A$2:$A$120,B2236)),0),0)),""))</f>
        <v/>
      </c>
      <c r="D2236">
        <f>IF(B2236="","",IF(C2236&lt;&gt;"","REMOVE","KEEP"))</f>
        <v/>
      </c>
      <c r="E2236">
        <f>IF(D2236&lt;&gt;"KEEP","",IF(RIGHT(B2236,10)="@gmail.com","Gmail",IF(OR(RIGHT(B2236,12)="@outlook.com",RIGHT(B2236,12)="@hotmail.com",RIGHT(B2236,9)="@live.com"),"Outlook","Domain")))</f>
        <v/>
      </c>
      <c r="F2236">
        <f>IF(B2236="","",IFERROR(RIGHT(B2236,LEN(B2236)-FIND("@",B2236)),""))</f>
        <v/>
      </c>
      <c r="G2236">
        <f>IF(D2236="KEEP",COUNTIF($D$2:D2236,"KEEP"),"")</f>
        <v/>
      </c>
      <c r="H2236">
        <f>IF(D2236="REMOVE",COUNTIF($D$2:D2236,"REMOVE"),"")</f>
        <v/>
      </c>
      <c r="I2236">
        <f>IF(E2236="Gmail",COUNTIF($E$2:E2236,"Gmail"),"")</f>
        <v/>
      </c>
      <c r="J2236">
        <f>IF(E2236="Outlook",COUNTIF($E$2:E2236,"Outlook"),"")</f>
        <v/>
      </c>
      <c r="K2236">
        <f>IF(E2236="Domain",COUNTIF($E$2:E2236,"Domain"),"")</f>
        <v/>
      </c>
    </row>
    <row r="2237">
      <c r="A2237" s="2" t="n"/>
      <c r="B2237">
        <f>LOWER(TRIM(A2237))</f>
        <v/>
      </c>
      <c r="C2237">
        <f>IF(B2237="","",IFERROR(INDEX('Bad Patterns'!$A$2:$A$120,MATCH(1,INDEX(--ISNUMBER(SEARCH('Bad Patterns'!$A$2:$A$120,B2237)),0),0)),""))</f>
        <v/>
      </c>
      <c r="D2237">
        <f>IF(B2237="","",IF(C2237&lt;&gt;"","REMOVE","KEEP"))</f>
        <v/>
      </c>
      <c r="E2237">
        <f>IF(D2237&lt;&gt;"KEEP","",IF(RIGHT(B2237,10)="@gmail.com","Gmail",IF(OR(RIGHT(B2237,12)="@outlook.com",RIGHT(B2237,12)="@hotmail.com",RIGHT(B2237,9)="@live.com"),"Outlook","Domain")))</f>
        <v/>
      </c>
      <c r="F2237">
        <f>IF(B2237="","",IFERROR(RIGHT(B2237,LEN(B2237)-FIND("@",B2237)),""))</f>
        <v/>
      </c>
      <c r="G2237">
        <f>IF(D2237="KEEP",COUNTIF($D$2:D2237,"KEEP"),"")</f>
        <v/>
      </c>
      <c r="H2237">
        <f>IF(D2237="REMOVE",COUNTIF($D$2:D2237,"REMOVE"),"")</f>
        <v/>
      </c>
      <c r="I2237">
        <f>IF(E2237="Gmail",COUNTIF($E$2:E2237,"Gmail"),"")</f>
        <v/>
      </c>
      <c r="J2237">
        <f>IF(E2237="Outlook",COUNTIF($E$2:E2237,"Outlook"),"")</f>
        <v/>
      </c>
      <c r="K2237">
        <f>IF(E2237="Domain",COUNTIF($E$2:E2237,"Domain"),"")</f>
        <v/>
      </c>
    </row>
    <row r="2238">
      <c r="A2238" s="2" t="n"/>
      <c r="B2238">
        <f>LOWER(TRIM(A2238))</f>
        <v/>
      </c>
      <c r="C2238">
        <f>IF(B2238="","",IFERROR(INDEX('Bad Patterns'!$A$2:$A$120,MATCH(1,INDEX(--ISNUMBER(SEARCH('Bad Patterns'!$A$2:$A$120,B2238)),0),0)),""))</f>
        <v/>
      </c>
      <c r="D2238">
        <f>IF(B2238="","",IF(C2238&lt;&gt;"","REMOVE","KEEP"))</f>
        <v/>
      </c>
      <c r="E2238">
        <f>IF(D2238&lt;&gt;"KEEP","",IF(RIGHT(B2238,10)="@gmail.com","Gmail",IF(OR(RIGHT(B2238,12)="@outlook.com",RIGHT(B2238,12)="@hotmail.com",RIGHT(B2238,9)="@live.com"),"Outlook","Domain")))</f>
        <v/>
      </c>
      <c r="F2238">
        <f>IF(B2238="","",IFERROR(RIGHT(B2238,LEN(B2238)-FIND("@",B2238)),""))</f>
        <v/>
      </c>
      <c r="G2238">
        <f>IF(D2238="KEEP",COUNTIF($D$2:D2238,"KEEP"),"")</f>
        <v/>
      </c>
      <c r="H2238">
        <f>IF(D2238="REMOVE",COUNTIF($D$2:D2238,"REMOVE"),"")</f>
        <v/>
      </c>
      <c r="I2238">
        <f>IF(E2238="Gmail",COUNTIF($E$2:E2238,"Gmail"),"")</f>
        <v/>
      </c>
      <c r="J2238">
        <f>IF(E2238="Outlook",COUNTIF($E$2:E2238,"Outlook"),"")</f>
        <v/>
      </c>
      <c r="K2238">
        <f>IF(E2238="Domain",COUNTIF($E$2:E2238,"Domain"),"")</f>
        <v/>
      </c>
    </row>
    <row r="2239">
      <c r="A2239" s="2" t="n"/>
      <c r="B2239">
        <f>LOWER(TRIM(A2239))</f>
        <v/>
      </c>
      <c r="C2239">
        <f>IF(B2239="","",IFERROR(INDEX('Bad Patterns'!$A$2:$A$120,MATCH(1,INDEX(--ISNUMBER(SEARCH('Bad Patterns'!$A$2:$A$120,B2239)),0),0)),""))</f>
        <v/>
      </c>
      <c r="D2239">
        <f>IF(B2239="","",IF(C2239&lt;&gt;"","REMOVE","KEEP"))</f>
        <v/>
      </c>
      <c r="E2239">
        <f>IF(D2239&lt;&gt;"KEEP","",IF(RIGHT(B2239,10)="@gmail.com","Gmail",IF(OR(RIGHT(B2239,12)="@outlook.com",RIGHT(B2239,12)="@hotmail.com",RIGHT(B2239,9)="@live.com"),"Outlook","Domain")))</f>
        <v/>
      </c>
      <c r="F2239">
        <f>IF(B2239="","",IFERROR(RIGHT(B2239,LEN(B2239)-FIND("@",B2239)),""))</f>
        <v/>
      </c>
      <c r="G2239">
        <f>IF(D2239="KEEP",COUNTIF($D$2:D2239,"KEEP"),"")</f>
        <v/>
      </c>
      <c r="H2239">
        <f>IF(D2239="REMOVE",COUNTIF($D$2:D2239,"REMOVE"),"")</f>
        <v/>
      </c>
      <c r="I2239">
        <f>IF(E2239="Gmail",COUNTIF($E$2:E2239,"Gmail"),"")</f>
        <v/>
      </c>
      <c r="J2239">
        <f>IF(E2239="Outlook",COUNTIF($E$2:E2239,"Outlook"),"")</f>
        <v/>
      </c>
      <c r="K2239">
        <f>IF(E2239="Domain",COUNTIF($E$2:E2239,"Domain"),"")</f>
        <v/>
      </c>
    </row>
    <row r="2240">
      <c r="A2240" s="2" t="n"/>
      <c r="B2240">
        <f>LOWER(TRIM(A2240))</f>
        <v/>
      </c>
      <c r="C2240">
        <f>IF(B2240="","",IFERROR(INDEX('Bad Patterns'!$A$2:$A$120,MATCH(1,INDEX(--ISNUMBER(SEARCH('Bad Patterns'!$A$2:$A$120,B2240)),0),0)),""))</f>
        <v/>
      </c>
      <c r="D2240">
        <f>IF(B2240="","",IF(C2240&lt;&gt;"","REMOVE","KEEP"))</f>
        <v/>
      </c>
      <c r="E2240">
        <f>IF(D2240&lt;&gt;"KEEP","",IF(RIGHT(B2240,10)="@gmail.com","Gmail",IF(OR(RIGHT(B2240,12)="@outlook.com",RIGHT(B2240,12)="@hotmail.com",RIGHT(B2240,9)="@live.com"),"Outlook","Domain")))</f>
        <v/>
      </c>
      <c r="F2240">
        <f>IF(B2240="","",IFERROR(RIGHT(B2240,LEN(B2240)-FIND("@",B2240)),""))</f>
        <v/>
      </c>
      <c r="G2240">
        <f>IF(D2240="KEEP",COUNTIF($D$2:D2240,"KEEP"),"")</f>
        <v/>
      </c>
      <c r="H2240">
        <f>IF(D2240="REMOVE",COUNTIF($D$2:D2240,"REMOVE"),"")</f>
        <v/>
      </c>
      <c r="I2240">
        <f>IF(E2240="Gmail",COUNTIF($E$2:E2240,"Gmail"),"")</f>
        <v/>
      </c>
      <c r="J2240">
        <f>IF(E2240="Outlook",COUNTIF($E$2:E2240,"Outlook"),"")</f>
        <v/>
      </c>
      <c r="K2240">
        <f>IF(E2240="Domain",COUNTIF($E$2:E2240,"Domain"),"")</f>
        <v/>
      </c>
    </row>
    <row r="2241">
      <c r="A2241" s="2" t="n"/>
      <c r="B2241">
        <f>LOWER(TRIM(A2241))</f>
        <v/>
      </c>
      <c r="C2241">
        <f>IF(B2241="","",IFERROR(INDEX('Bad Patterns'!$A$2:$A$120,MATCH(1,INDEX(--ISNUMBER(SEARCH('Bad Patterns'!$A$2:$A$120,B2241)),0),0)),""))</f>
        <v/>
      </c>
      <c r="D2241">
        <f>IF(B2241="","",IF(C2241&lt;&gt;"","REMOVE","KEEP"))</f>
        <v/>
      </c>
      <c r="E2241">
        <f>IF(D2241&lt;&gt;"KEEP","",IF(RIGHT(B2241,10)="@gmail.com","Gmail",IF(OR(RIGHT(B2241,12)="@outlook.com",RIGHT(B2241,12)="@hotmail.com",RIGHT(B2241,9)="@live.com"),"Outlook","Domain")))</f>
        <v/>
      </c>
      <c r="F2241">
        <f>IF(B2241="","",IFERROR(RIGHT(B2241,LEN(B2241)-FIND("@",B2241)),""))</f>
        <v/>
      </c>
      <c r="G2241">
        <f>IF(D2241="KEEP",COUNTIF($D$2:D2241,"KEEP"),"")</f>
        <v/>
      </c>
      <c r="H2241">
        <f>IF(D2241="REMOVE",COUNTIF($D$2:D2241,"REMOVE"),"")</f>
        <v/>
      </c>
      <c r="I2241">
        <f>IF(E2241="Gmail",COUNTIF($E$2:E2241,"Gmail"),"")</f>
        <v/>
      </c>
      <c r="J2241">
        <f>IF(E2241="Outlook",COUNTIF($E$2:E2241,"Outlook"),"")</f>
        <v/>
      </c>
      <c r="K2241">
        <f>IF(E2241="Domain",COUNTIF($E$2:E2241,"Domain"),"")</f>
        <v/>
      </c>
    </row>
    <row r="2242">
      <c r="A2242" s="2" t="n"/>
      <c r="B2242">
        <f>LOWER(TRIM(A2242))</f>
        <v/>
      </c>
      <c r="C2242">
        <f>IF(B2242="","",IFERROR(INDEX('Bad Patterns'!$A$2:$A$120,MATCH(1,INDEX(--ISNUMBER(SEARCH('Bad Patterns'!$A$2:$A$120,B2242)),0),0)),""))</f>
        <v/>
      </c>
      <c r="D2242">
        <f>IF(B2242="","",IF(C2242&lt;&gt;"","REMOVE","KEEP"))</f>
        <v/>
      </c>
      <c r="E2242">
        <f>IF(D2242&lt;&gt;"KEEP","",IF(RIGHT(B2242,10)="@gmail.com","Gmail",IF(OR(RIGHT(B2242,12)="@outlook.com",RIGHT(B2242,12)="@hotmail.com",RIGHT(B2242,9)="@live.com"),"Outlook","Domain")))</f>
        <v/>
      </c>
      <c r="F2242">
        <f>IF(B2242="","",IFERROR(RIGHT(B2242,LEN(B2242)-FIND("@",B2242)),""))</f>
        <v/>
      </c>
      <c r="G2242">
        <f>IF(D2242="KEEP",COUNTIF($D$2:D2242,"KEEP"),"")</f>
        <v/>
      </c>
      <c r="H2242">
        <f>IF(D2242="REMOVE",COUNTIF($D$2:D2242,"REMOVE"),"")</f>
        <v/>
      </c>
      <c r="I2242">
        <f>IF(E2242="Gmail",COUNTIF($E$2:E2242,"Gmail"),"")</f>
        <v/>
      </c>
      <c r="J2242">
        <f>IF(E2242="Outlook",COUNTIF($E$2:E2242,"Outlook"),"")</f>
        <v/>
      </c>
      <c r="K2242">
        <f>IF(E2242="Domain",COUNTIF($E$2:E2242,"Domain"),"")</f>
        <v/>
      </c>
    </row>
    <row r="2243">
      <c r="A2243" s="2" t="n"/>
      <c r="B2243">
        <f>LOWER(TRIM(A2243))</f>
        <v/>
      </c>
      <c r="C2243">
        <f>IF(B2243="","",IFERROR(INDEX('Bad Patterns'!$A$2:$A$120,MATCH(1,INDEX(--ISNUMBER(SEARCH('Bad Patterns'!$A$2:$A$120,B2243)),0),0)),""))</f>
        <v/>
      </c>
      <c r="D2243">
        <f>IF(B2243="","",IF(C2243&lt;&gt;"","REMOVE","KEEP"))</f>
        <v/>
      </c>
      <c r="E2243">
        <f>IF(D2243&lt;&gt;"KEEP","",IF(RIGHT(B2243,10)="@gmail.com","Gmail",IF(OR(RIGHT(B2243,12)="@outlook.com",RIGHT(B2243,12)="@hotmail.com",RIGHT(B2243,9)="@live.com"),"Outlook","Domain")))</f>
        <v/>
      </c>
      <c r="F2243">
        <f>IF(B2243="","",IFERROR(RIGHT(B2243,LEN(B2243)-FIND("@",B2243)),""))</f>
        <v/>
      </c>
      <c r="G2243">
        <f>IF(D2243="KEEP",COUNTIF($D$2:D2243,"KEEP"),"")</f>
        <v/>
      </c>
      <c r="H2243">
        <f>IF(D2243="REMOVE",COUNTIF($D$2:D2243,"REMOVE"),"")</f>
        <v/>
      </c>
      <c r="I2243">
        <f>IF(E2243="Gmail",COUNTIF($E$2:E2243,"Gmail"),"")</f>
        <v/>
      </c>
      <c r="J2243">
        <f>IF(E2243="Outlook",COUNTIF($E$2:E2243,"Outlook"),"")</f>
        <v/>
      </c>
      <c r="K2243">
        <f>IF(E2243="Domain",COUNTIF($E$2:E2243,"Domain"),"")</f>
        <v/>
      </c>
    </row>
    <row r="2244">
      <c r="A2244" s="2" t="n"/>
      <c r="B2244">
        <f>LOWER(TRIM(A2244))</f>
        <v/>
      </c>
      <c r="C2244">
        <f>IF(B2244="","",IFERROR(INDEX('Bad Patterns'!$A$2:$A$120,MATCH(1,INDEX(--ISNUMBER(SEARCH('Bad Patterns'!$A$2:$A$120,B2244)),0),0)),""))</f>
        <v/>
      </c>
      <c r="D2244">
        <f>IF(B2244="","",IF(C2244&lt;&gt;"","REMOVE","KEEP"))</f>
        <v/>
      </c>
      <c r="E2244">
        <f>IF(D2244&lt;&gt;"KEEP","",IF(RIGHT(B2244,10)="@gmail.com","Gmail",IF(OR(RIGHT(B2244,12)="@outlook.com",RIGHT(B2244,12)="@hotmail.com",RIGHT(B2244,9)="@live.com"),"Outlook","Domain")))</f>
        <v/>
      </c>
      <c r="F2244">
        <f>IF(B2244="","",IFERROR(RIGHT(B2244,LEN(B2244)-FIND("@",B2244)),""))</f>
        <v/>
      </c>
      <c r="G2244">
        <f>IF(D2244="KEEP",COUNTIF($D$2:D2244,"KEEP"),"")</f>
        <v/>
      </c>
      <c r="H2244">
        <f>IF(D2244="REMOVE",COUNTIF($D$2:D2244,"REMOVE"),"")</f>
        <v/>
      </c>
      <c r="I2244">
        <f>IF(E2244="Gmail",COUNTIF($E$2:E2244,"Gmail"),"")</f>
        <v/>
      </c>
      <c r="J2244">
        <f>IF(E2244="Outlook",COUNTIF($E$2:E2244,"Outlook"),"")</f>
        <v/>
      </c>
      <c r="K2244">
        <f>IF(E2244="Domain",COUNTIF($E$2:E2244,"Domain"),"")</f>
        <v/>
      </c>
    </row>
    <row r="2245">
      <c r="A2245" s="2" t="n"/>
      <c r="B2245">
        <f>LOWER(TRIM(A2245))</f>
        <v/>
      </c>
      <c r="C2245">
        <f>IF(B2245="","",IFERROR(INDEX('Bad Patterns'!$A$2:$A$120,MATCH(1,INDEX(--ISNUMBER(SEARCH('Bad Patterns'!$A$2:$A$120,B2245)),0),0)),""))</f>
        <v/>
      </c>
      <c r="D2245">
        <f>IF(B2245="","",IF(C2245&lt;&gt;"","REMOVE","KEEP"))</f>
        <v/>
      </c>
      <c r="E2245">
        <f>IF(D2245&lt;&gt;"KEEP","",IF(RIGHT(B2245,10)="@gmail.com","Gmail",IF(OR(RIGHT(B2245,12)="@outlook.com",RIGHT(B2245,12)="@hotmail.com",RIGHT(B2245,9)="@live.com"),"Outlook","Domain")))</f>
        <v/>
      </c>
      <c r="F2245">
        <f>IF(B2245="","",IFERROR(RIGHT(B2245,LEN(B2245)-FIND("@",B2245)),""))</f>
        <v/>
      </c>
      <c r="G2245">
        <f>IF(D2245="KEEP",COUNTIF($D$2:D2245,"KEEP"),"")</f>
        <v/>
      </c>
      <c r="H2245">
        <f>IF(D2245="REMOVE",COUNTIF($D$2:D2245,"REMOVE"),"")</f>
        <v/>
      </c>
      <c r="I2245">
        <f>IF(E2245="Gmail",COUNTIF($E$2:E2245,"Gmail"),"")</f>
        <v/>
      </c>
      <c r="J2245">
        <f>IF(E2245="Outlook",COUNTIF($E$2:E2245,"Outlook"),"")</f>
        <v/>
      </c>
      <c r="K2245">
        <f>IF(E2245="Domain",COUNTIF($E$2:E2245,"Domain"),"")</f>
        <v/>
      </c>
    </row>
    <row r="2246">
      <c r="A2246" s="2" t="n"/>
      <c r="B2246">
        <f>LOWER(TRIM(A2246))</f>
        <v/>
      </c>
      <c r="C2246">
        <f>IF(B2246="","",IFERROR(INDEX('Bad Patterns'!$A$2:$A$120,MATCH(1,INDEX(--ISNUMBER(SEARCH('Bad Patterns'!$A$2:$A$120,B2246)),0),0)),""))</f>
        <v/>
      </c>
      <c r="D2246">
        <f>IF(B2246="","",IF(C2246&lt;&gt;"","REMOVE","KEEP"))</f>
        <v/>
      </c>
      <c r="E2246">
        <f>IF(D2246&lt;&gt;"KEEP","",IF(RIGHT(B2246,10)="@gmail.com","Gmail",IF(OR(RIGHT(B2246,12)="@outlook.com",RIGHT(B2246,12)="@hotmail.com",RIGHT(B2246,9)="@live.com"),"Outlook","Domain")))</f>
        <v/>
      </c>
      <c r="F2246">
        <f>IF(B2246="","",IFERROR(RIGHT(B2246,LEN(B2246)-FIND("@",B2246)),""))</f>
        <v/>
      </c>
      <c r="G2246">
        <f>IF(D2246="KEEP",COUNTIF($D$2:D2246,"KEEP"),"")</f>
        <v/>
      </c>
      <c r="H2246">
        <f>IF(D2246="REMOVE",COUNTIF($D$2:D2246,"REMOVE"),"")</f>
        <v/>
      </c>
      <c r="I2246">
        <f>IF(E2246="Gmail",COUNTIF($E$2:E2246,"Gmail"),"")</f>
        <v/>
      </c>
      <c r="J2246">
        <f>IF(E2246="Outlook",COUNTIF($E$2:E2246,"Outlook"),"")</f>
        <v/>
      </c>
      <c r="K2246">
        <f>IF(E2246="Domain",COUNTIF($E$2:E2246,"Domain"),"")</f>
        <v/>
      </c>
    </row>
    <row r="2247">
      <c r="A2247" s="2" t="n"/>
      <c r="B2247">
        <f>LOWER(TRIM(A2247))</f>
        <v/>
      </c>
      <c r="C2247">
        <f>IF(B2247="","",IFERROR(INDEX('Bad Patterns'!$A$2:$A$120,MATCH(1,INDEX(--ISNUMBER(SEARCH('Bad Patterns'!$A$2:$A$120,B2247)),0),0)),""))</f>
        <v/>
      </c>
      <c r="D2247">
        <f>IF(B2247="","",IF(C2247&lt;&gt;"","REMOVE","KEEP"))</f>
        <v/>
      </c>
      <c r="E2247">
        <f>IF(D2247&lt;&gt;"KEEP","",IF(RIGHT(B2247,10)="@gmail.com","Gmail",IF(OR(RIGHT(B2247,12)="@outlook.com",RIGHT(B2247,12)="@hotmail.com",RIGHT(B2247,9)="@live.com"),"Outlook","Domain")))</f>
        <v/>
      </c>
      <c r="F2247">
        <f>IF(B2247="","",IFERROR(RIGHT(B2247,LEN(B2247)-FIND("@",B2247)),""))</f>
        <v/>
      </c>
      <c r="G2247">
        <f>IF(D2247="KEEP",COUNTIF($D$2:D2247,"KEEP"),"")</f>
        <v/>
      </c>
      <c r="H2247">
        <f>IF(D2247="REMOVE",COUNTIF($D$2:D2247,"REMOVE"),"")</f>
        <v/>
      </c>
      <c r="I2247">
        <f>IF(E2247="Gmail",COUNTIF($E$2:E2247,"Gmail"),"")</f>
        <v/>
      </c>
      <c r="J2247">
        <f>IF(E2247="Outlook",COUNTIF($E$2:E2247,"Outlook"),"")</f>
        <v/>
      </c>
      <c r="K2247">
        <f>IF(E2247="Domain",COUNTIF($E$2:E2247,"Domain"),"")</f>
        <v/>
      </c>
    </row>
    <row r="2248">
      <c r="A2248" s="2" t="n"/>
      <c r="B2248">
        <f>LOWER(TRIM(A2248))</f>
        <v/>
      </c>
      <c r="C2248">
        <f>IF(B2248="","",IFERROR(INDEX('Bad Patterns'!$A$2:$A$120,MATCH(1,INDEX(--ISNUMBER(SEARCH('Bad Patterns'!$A$2:$A$120,B2248)),0),0)),""))</f>
        <v/>
      </c>
      <c r="D2248">
        <f>IF(B2248="","",IF(C2248&lt;&gt;"","REMOVE","KEEP"))</f>
        <v/>
      </c>
      <c r="E2248">
        <f>IF(D2248&lt;&gt;"KEEP","",IF(RIGHT(B2248,10)="@gmail.com","Gmail",IF(OR(RIGHT(B2248,12)="@outlook.com",RIGHT(B2248,12)="@hotmail.com",RIGHT(B2248,9)="@live.com"),"Outlook","Domain")))</f>
        <v/>
      </c>
      <c r="F2248">
        <f>IF(B2248="","",IFERROR(RIGHT(B2248,LEN(B2248)-FIND("@",B2248)),""))</f>
        <v/>
      </c>
      <c r="G2248">
        <f>IF(D2248="KEEP",COUNTIF($D$2:D2248,"KEEP"),"")</f>
        <v/>
      </c>
      <c r="H2248">
        <f>IF(D2248="REMOVE",COUNTIF($D$2:D2248,"REMOVE"),"")</f>
        <v/>
      </c>
      <c r="I2248">
        <f>IF(E2248="Gmail",COUNTIF($E$2:E2248,"Gmail"),"")</f>
        <v/>
      </c>
      <c r="J2248">
        <f>IF(E2248="Outlook",COUNTIF($E$2:E2248,"Outlook"),"")</f>
        <v/>
      </c>
      <c r="K2248">
        <f>IF(E2248="Domain",COUNTIF($E$2:E2248,"Domain"),"")</f>
        <v/>
      </c>
    </row>
    <row r="2249">
      <c r="A2249" s="2" t="n"/>
      <c r="B2249">
        <f>LOWER(TRIM(A2249))</f>
        <v/>
      </c>
      <c r="C2249">
        <f>IF(B2249="","",IFERROR(INDEX('Bad Patterns'!$A$2:$A$120,MATCH(1,INDEX(--ISNUMBER(SEARCH('Bad Patterns'!$A$2:$A$120,B2249)),0),0)),""))</f>
        <v/>
      </c>
      <c r="D2249">
        <f>IF(B2249="","",IF(C2249&lt;&gt;"","REMOVE","KEEP"))</f>
        <v/>
      </c>
      <c r="E2249">
        <f>IF(D2249&lt;&gt;"KEEP","",IF(RIGHT(B2249,10)="@gmail.com","Gmail",IF(OR(RIGHT(B2249,12)="@outlook.com",RIGHT(B2249,12)="@hotmail.com",RIGHT(B2249,9)="@live.com"),"Outlook","Domain")))</f>
        <v/>
      </c>
      <c r="F2249">
        <f>IF(B2249="","",IFERROR(RIGHT(B2249,LEN(B2249)-FIND("@",B2249)),""))</f>
        <v/>
      </c>
      <c r="G2249">
        <f>IF(D2249="KEEP",COUNTIF($D$2:D2249,"KEEP"),"")</f>
        <v/>
      </c>
      <c r="H2249">
        <f>IF(D2249="REMOVE",COUNTIF($D$2:D2249,"REMOVE"),"")</f>
        <v/>
      </c>
      <c r="I2249">
        <f>IF(E2249="Gmail",COUNTIF($E$2:E2249,"Gmail"),"")</f>
        <v/>
      </c>
      <c r="J2249">
        <f>IF(E2249="Outlook",COUNTIF($E$2:E2249,"Outlook"),"")</f>
        <v/>
      </c>
      <c r="K2249">
        <f>IF(E2249="Domain",COUNTIF($E$2:E2249,"Domain"),"")</f>
        <v/>
      </c>
    </row>
    <row r="2250">
      <c r="A2250" s="2" t="n"/>
      <c r="B2250">
        <f>LOWER(TRIM(A2250))</f>
        <v/>
      </c>
      <c r="C2250">
        <f>IF(B2250="","",IFERROR(INDEX('Bad Patterns'!$A$2:$A$120,MATCH(1,INDEX(--ISNUMBER(SEARCH('Bad Patterns'!$A$2:$A$120,B2250)),0),0)),""))</f>
        <v/>
      </c>
      <c r="D2250">
        <f>IF(B2250="","",IF(C2250&lt;&gt;"","REMOVE","KEEP"))</f>
        <v/>
      </c>
      <c r="E2250">
        <f>IF(D2250&lt;&gt;"KEEP","",IF(RIGHT(B2250,10)="@gmail.com","Gmail",IF(OR(RIGHT(B2250,12)="@outlook.com",RIGHT(B2250,12)="@hotmail.com",RIGHT(B2250,9)="@live.com"),"Outlook","Domain")))</f>
        <v/>
      </c>
      <c r="F2250">
        <f>IF(B2250="","",IFERROR(RIGHT(B2250,LEN(B2250)-FIND("@",B2250)),""))</f>
        <v/>
      </c>
      <c r="G2250">
        <f>IF(D2250="KEEP",COUNTIF($D$2:D2250,"KEEP"),"")</f>
        <v/>
      </c>
      <c r="H2250">
        <f>IF(D2250="REMOVE",COUNTIF($D$2:D2250,"REMOVE"),"")</f>
        <v/>
      </c>
      <c r="I2250">
        <f>IF(E2250="Gmail",COUNTIF($E$2:E2250,"Gmail"),"")</f>
        <v/>
      </c>
      <c r="J2250">
        <f>IF(E2250="Outlook",COUNTIF($E$2:E2250,"Outlook"),"")</f>
        <v/>
      </c>
      <c r="K2250">
        <f>IF(E2250="Domain",COUNTIF($E$2:E2250,"Domain"),"")</f>
        <v/>
      </c>
    </row>
    <row r="2251">
      <c r="A2251" s="2" t="n"/>
      <c r="B2251">
        <f>LOWER(TRIM(A2251))</f>
        <v/>
      </c>
      <c r="C2251">
        <f>IF(B2251="","",IFERROR(INDEX('Bad Patterns'!$A$2:$A$120,MATCH(1,INDEX(--ISNUMBER(SEARCH('Bad Patterns'!$A$2:$A$120,B2251)),0),0)),""))</f>
        <v/>
      </c>
      <c r="D2251">
        <f>IF(B2251="","",IF(C2251&lt;&gt;"","REMOVE","KEEP"))</f>
        <v/>
      </c>
      <c r="E2251">
        <f>IF(D2251&lt;&gt;"KEEP","",IF(RIGHT(B2251,10)="@gmail.com","Gmail",IF(OR(RIGHT(B2251,12)="@outlook.com",RIGHT(B2251,12)="@hotmail.com",RIGHT(B2251,9)="@live.com"),"Outlook","Domain")))</f>
        <v/>
      </c>
      <c r="F2251">
        <f>IF(B2251="","",IFERROR(RIGHT(B2251,LEN(B2251)-FIND("@",B2251)),""))</f>
        <v/>
      </c>
      <c r="G2251">
        <f>IF(D2251="KEEP",COUNTIF($D$2:D2251,"KEEP"),"")</f>
        <v/>
      </c>
      <c r="H2251">
        <f>IF(D2251="REMOVE",COUNTIF($D$2:D2251,"REMOVE"),"")</f>
        <v/>
      </c>
      <c r="I2251">
        <f>IF(E2251="Gmail",COUNTIF($E$2:E2251,"Gmail"),"")</f>
        <v/>
      </c>
      <c r="J2251">
        <f>IF(E2251="Outlook",COUNTIF($E$2:E2251,"Outlook"),"")</f>
        <v/>
      </c>
      <c r="K2251">
        <f>IF(E2251="Domain",COUNTIF($E$2:E2251,"Domain"),"")</f>
        <v/>
      </c>
    </row>
    <row r="2252">
      <c r="A2252" s="2" t="n"/>
      <c r="B2252">
        <f>LOWER(TRIM(A2252))</f>
        <v/>
      </c>
      <c r="C2252">
        <f>IF(B2252="","",IFERROR(INDEX('Bad Patterns'!$A$2:$A$120,MATCH(1,INDEX(--ISNUMBER(SEARCH('Bad Patterns'!$A$2:$A$120,B2252)),0),0)),""))</f>
        <v/>
      </c>
      <c r="D2252">
        <f>IF(B2252="","",IF(C2252&lt;&gt;"","REMOVE","KEEP"))</f>
        <v/>
      </c>
      <c r="E2252">
        <f>IF(D2252&lt;&gt;"KEEP","",IF(RIGHT(B2252,10)="@gmail.com","Gmail",IF(OR(RIGHT(B2252,12)="@outlook.com",RIGHT(B2252,12)="@hotmail.com",RIGHT(B2252,9)="@live.com"),"Outlook","Domain")))</f>
        <v/>
      </c>
      <c r="F2252">
        <f>IF(B2252="","",IFERROR(RIGHT(B2252,LEN(B2252)-FIND("@",B2252)),""))</f>
        <v/>
      </c>
      <c r="G2252">
        <f>IF(D2252="KEEP",COUNTIF($D$2:D2252,"KEEP"),"")</f>
        <v/>
      </c>
      <c r="H2252">
        <f>IF(D2252="REMOVE",COUNTIF($D$2:D2252,"REMOVE"),"")</f>
        <v/>
      </c>
      <c r="I2252">
        <f>IF(E2252="Gmail",COUNTIF($E$2:E2252,"Gmail"),"")</f>
        <v/>
      </c>
      <c r="J2252">
        <f>IF(E2252="Outlook",COUNTIF($E$2:E2252,"Outlook"),"")</f>
        <v/>
      </c>
      <c r="K2252">
        <f>IF(E2252="Domain",COUNTIF($E$2:E2252,"Domain"),"")</f>
        <v/>
      </c>
    </row>
    <row r="2253">
      <c r="A2253" s="2" t="n"/>
      <c r="B2253">
        <f>LOWER(TRIM(A2253))</f>
        <v/>
      </c>
      <c r="C2253">
        <f>IF(B2253="","",IFERROR(INDEX('Bad Patterns'!$A$2:$A$120,MATCH(1,INDEX(--ISNUMBER(SEARCH('Bad Patterns'!$A$2:$A$120,B2253)),0),0)),""))</f>
        <v/>
      </c>
      <c r="D2253">
        <f>IF(B2253="","",IF(C2253&lt;&gt;"","REMOVE","KEEP"))</f>
        <v/>
      </c>
      <c r="E2253">
        <f>IF(D2253&lt;&gt;"KEEP","",IF(RIGHT(B2253,10)="@gmail.com","Gmail",IF(OR(RIGHT(B2253,12)="@outlook.com",RIGHT(B2253,12)="@hotmail.com",RIGHT(B2253,9)="@live.com"),"Outlook","Domain")))</f>
        <v/>
      </c>
      <c r="F2253">
        <f>IF(B2253="","",IFERROR(RIGHT(B2253,LEN(B2253)-FIND("@",B2253)),""))</f>
        <v/>
      </c>
      <c r="G2253">
        <f>IF(D2253="KEEP",COUNTIF($D$2:D2253,"KEEP"),"")</f>
        <v/>
      </c>
      <c r="H2253">
        <f>IF(D2253="REMOVE",COUNTIF($D$2:D2253,"REMOVE"),"")</f>
        <v/>
      </c>
      <c r="I2253">
        <f>IF(E2253="Gmail",COUNTIF($E$2:E2253,"Gmail"),"")</f>
        <v/>
      </c>
      <c r="J2253">
        <f>IF(E2253="Outlook",COUNTIF($E$2:E2253,"Outlook"),"")</f>
        <v/>
      </c>
      <c r="K2253">
        <f>IF(E2253="Domain",COUNTIF($E$2:E2253,"Domain"),"")</f>
        <v/>
      </c>
    </row>
    <row r="2254">
      <c r="A2254" s="2" t="n"/>
      <c r="B2254">
        <f>LOWER(TRIM(A2254))</f>
        <v/>
      </c>
      <c r="C2254">
        <f>IF(B2254="","",IFERROR(INDEX('Bad Patterns'!$A$2:$A$120,MATCH(1,INDEX(--ISNUMBER(SEARCH('Bad Patterns'!$A$2:$A$120,B2254)),0),0)),""))</f>
        <v/>
      </c>
      <c r="D2254">
        <f>IF(B2254="","",IF(C2254&lt;&gt;"","REMOVE","KEEP"))</f>
        <v/>
      </c>
      <c r="E2254">
        <f>IF(D2254&lt;&gt;"KEEP","",IF(RIGHT(B2254,10)="@gmail.com","Gmail",IF(OR(RIGHT(B2254,12)="@outlook.com",RIGHT(B2254,12)="@hotmail.com",RIGHT(B2254,9)="@live.com"),"Outlook","Domain")))</f>
        <v/>
      </c>
      <c r="F2254">
        <f>IF(B2254="","",IFERROR(RIGHT(B2254,LEN(B2254)-FIND("@",B2254)),""))</f>
        <v/>
      </c>
      <c r="G2254">
        <f>IF(D2254="KEEP",COUNTIF($D$2:D2254,"KEEP"),"")</f>
        <v/>
      </c>
      <c r="H2254">
        <f>IF(D2254="REMOVE",COUNTIF($D$2:D2254,"REMOVE"),"")</f>
        <v/>
      </c>
      <c r="I2254">
        <f>IF(E2254="Gmail",COUNTIF($E$2:E2254,"Gmail"),"")</f>
        <v/>
      </c>
      <c r="J2254">
        <f>IF(E2254="Outlook",COUNTIF($E$2:E2254,"Outlook"),"")</f>
        <v/>
      </c>
      <c r="K2254">
        <f>IF(E2254="Domain",COUNTIF($E$2:E2254,"Domain"),"")</f>
        <v/>
      </c>
    </row>
    <row r="2255">
      <c r="A2255" s="2" t="n"/>
      <c r="B2255">
        <f>LOWER(TRIM(A2255))</f>
        <v/>
      </c>
      <c r="C2255">
        <f>IF(B2255="","",IFERROR(INDEX('Bad Patterns'!$A$2:$A$120,MATCH(1,INDEX(--ISNUMBER(SEARCH('Bad Patterns'!$A$2:$A$120,B2255)),0),0)),""))</f>
        <v/>
      </c>
      <c r="D2255">
        <f>IF(B2255="","",IF(C2255&lt;&gt;"","REMOVE","KEEP"))</f>
        <v/>
      </c>
      <c r="E2255">
        <f>IF(D2255&lt;&gt;"KEEP","",IF(RIGHT(B2255,10)="@gmail.com","Gmail",IF(OR(RIGHT(B2255,12)="@outlook.com",RIGHT(B2255,12)="@hotmail.com",RIGHT(B2255,9)="@live.com"),"Outlook","Domain")))</f>
        <v/>
      </c>
      <c r="F2255">
        <f>IF(B2255="","",IFERROR(RIGHT(B2255,LEN(B2255)-FIND("@",B2255)),""))</f>
        <v/>
      </c>
      <c r="G2255">
        <f>IF(D2255="KEEP",COUNTIF($D$2:D2255,"KEEP"),"")</f>
        <v/>
      </c>
      <c r="H2255">
        <f>IF(D2255="REMOVE",COUNTIF($D$2:D2255,"REMOVE"),"")</f>
        <v/>
      </c>
      <c r="I2255">
        <f>IF(E2255="Gmail",COUNTIF($E$2:E2255,"Gmail"),"")</f>
        <v/>
      </c>
      <c r="J2255">
        <f>IF(E2255="Outlook",COUNTIF($E$2:E2255,"Outlook"),"")</f>
        <v/>
      </c>
      <c r="K2255">
        <f>IF(E2255="Domain",COUNTIF($E$2:E2255,"Domain"),"")</f>
        <v/>
      </c>
    </row>
    <row r="2256">
      <c r="A2256" s="2" t="n"/>
      <c r="B2256">
        <f>LOWER(TRIM(A2256))</f>
        <v/>
      </c>
      <c r="C2256">
        <f>IF(B2256="","",IFERROR(INDEX('Bad Patterns'!$A$2:$A$120,MATCH(1,INDEX(--ISNUMBER(SEARCH('Bad Patterns'!$A$2:$A$120,B2256)),0),0)),""))</f>
        <v/>
      </c>
      <c r="D2256">
        <f>IF(B2256="","",IF(C2256&lt;&gt;"","REMOVE","KEEP"))</f>
        <v/>
      </c>
      <c r="E2256">
        <f>IF(D2256&lt;&gt;"KEEP","",IF(RIGHT(B2256,10)="@gmail.com","Gmail",IF(OR(RIGHT(B2256,12)="@outlook.com",RIGHT(B2256,12)="@hotmail.com",RIGHT(B2256,9)="@live.com"),"Outlook","Domain")))</f>
        <v/>
      </c>
      <c r="F2256">
        <f>IF(B2256="","",IFERROR(RIGHT(B2256,LEN(B2256)-FIND("@",B2256)),""))</f>
        <v/>
      </c>
      <c r="G2256">
        <f>IF(D2256="KEEP",COUNTIF($D$2:D2256,"KEEP"),"")</f>
        <v/>
      </c>
      <c r="H2256">
        <f>IF(D2256="REMOVE",COUNTIF($D$2:D2256,"REMOVE"),"")</f>
        <v/>
      </c>
      <c r="I2256">
        <f>IF(E2256="Gmail",COUNTIF($E$2:E2256,"Gmail"),"")</f>
        <v/>
      </c>
      <c r="J2256">
        <f>IF(E2256="Outlook",COUNTIF($E$2:E2256,"Outlook"),"")</f>
        <v/>
      </c>
      <c r="K2256">
        <f>IF(E2256="Domain",COUNTIF($E$2:E2256,"Domain"),"")</f>
        <v/>
      </c>
    </row>
    <row r="2257">
      <c r="A2257" s="2" t="n"/>
      <c r="B2257">
        <f>LOWER(TRIM(A2257))</f>
        <v/>
      </c>
      <c r="C2257">
        <f>IF(B2257="","",IFERROR(INDEX('Bad Patterns'!$A$2:$A$120,MATCH(1,INDEX(--ISNUMBER(SEARCH('Bad Patterns'!$A$2:$A$120,B2257)),0),0)),""))</f>
        <v/>
      </c>
      <c r="D2257">
        <f>IF(B2257="","",IF(C2257&lt;&gt;"","REMOVE","KEEP"))</f>
        <v/>
      </c>
      <c r="E2257">
        <f>IF(D2257&lt;&gt;"KEEP","",IF(RIGHT(B2257,10)="@gmail.com","Gmail",IF(OR(RIGHT(B2257,12)="@outlook.com",RIGHT(B2257,12)="@hotmail.com",RIGHT(B2257,9)="@live.com"),"Outlook","Domain")))</f>
        <v/>
      </c>
      <c r="F2257">
        <f>IF(B2257="","",IFERROR(RIGHT(B2257,LEN(B2257)-FIND("@",B2257)),""))</f>
        <v/>
      </c>
      <c r="G2257">
        <f>IF(D2257="KEEP",COUNTIF($D$2:D2257,"KEEP"),"")</f>
        <v/>
      </c>
      <c r="H2257">
        <f>IF(D2257="REMOVE",COUNTIF($D$2:D2257,"REMOVE"),"")</f>
        <v/>
      </c>
      <c r="I2257">
        <f>IF(E2257="Gmail",COUNTIF($E$2:E2257,"Gmail"),"")</f>
        <v/>
      </c>
      <c r="J2257">
        <f>IF(E2257="Outlook",COUNTIF($E$2:E2257,"Outlook"),"")</f>
        <v/>
      </c>
      <c r="K2257">
        <f>IF(E2257="Domain",COUNTIF($E$2:E2257,"Domain"),"")</f>
        <v/>
      </c>
    </row>
    <row r="2258">
      <c r="A2258" s="2" t="n"/>
      <c r="B2258">
        <f>LOWER(TRIM(A2258))</f>
        <v/>
      </c>
      <c r="C2258">
        <f>IF(B2258="","",IFERROR(INDEX('Bad Patterns'!$A$2:$A$120,MATCH(1,INDEX(--ISNUMBER(SEARCH('Bad Patterns'!$A$2:$A$120,B2258)),0),0)),""))</f>
        <v/>
      </c>
      <c r="D2258">
        <f>IF(B2258="","",IF(C2258&lt;&gt;"","REMOVE","KEEP"))</f>
        <v/>
      </c>
      <c r="E2258">
        <f>IF(D2258&lt;&gt;"KEEP","",IF(RIGHT(B2258,10)="@gmail.com","Gmail",IF(OR(RIGHT(B2258,12)="@outlook.com",RIGHT(B2258,12)="@hotmail.com",RIGHT(B2258,9)="@live.com"),"Outlook","Domain")))</f>
        <v/>
      </c>
      <c r="F2258">
        <f>IF(B2258="","",IFERROR(RIGHT(B2258,LEN(B2258)-FIND("@",B2258)),""))</f>
        <v/>
      </c>
      <c r="G2258">
        <f>IF(D2258="KEEP",COUNTIF($D$2:D2258,"KEEP"),"")</f>
        <v/>
      </c>
      <c r="H2258">
        <f>IF(D2258="REMOVE",COUNTIF($D$2:D2258,"REMOVE"),"")</f>
        <v/>
      </c>
      <c r="I2258">
        <f>IF(E2258="Gmail",COUNTIF($E$2:E2258,"Gmail"),"")</f>
        <v/>
      </c>
      <c r="J2258">
        <f>IF(E2258="Outlook",COUNTIF($E$2:E2258,"Outlook"),"")</f>
        <v/>
      </c>
      <c r="K2258">
        <f>IF(E2258="Domain",COUNTIF($E$2:E2258,"Domain"),"")</f>
        <v/>
      </c>
    </row>
    <row r="2259">
      <c r="A2259" s="2" t="n"/>
      <c r="B2259">
        <f>LOWER(TRIM(A2259))</f>
        <v/>
      </c>
      <c r="C2259">
        <f>IF(B2259="","",IFERROR(INDEX('Bad Patterns'!$A$2:$A$120,MATCH(1,INDEX(--ISNUMBER(SEARCH('Bad Patterns'!$A$2:$A$120,B2259)),0),0)),""))</f>
        <v/>
      </c>
      <c r="D2259">
        <f>IF(B2259="","",IF(C2259&lt;&gt;"","REMOVE","KEEP"))</f>
        <v/>
      </c>
      <c r="E2259">
        <f>IF(D2259&lt;&gt;"KEEP","",IF(RIGHT(B2259,10)="@gmail.com","Gmail",IF(OR(RIGHT(B2259,12)="@outlook.com",RIGHT(B2259,12)="@hotmail.com",RIGHT(B2259,9)="@live.com"),"Outlook","Domain")))</f>
        <v/>
      </c>
      <c r="F2259">
        <f>IF(B2259="","",IFERROR(RIGHT(B2259,LEN(B2259)-FIND("@",B2259)),""))</f>
        <v/>
      </c>
      <c r="G2259">
        <f>IF(D2259="KEEP",COUNTIF($D$2:D2259,"KEEP"),"")</f>
        <v/>
      </c>
      <c r="H2259">
        <f>IF(D2259="REMOVE",COUNTIF($D$2:D2259,"REMOVE"),"")</f>
        <v/>
      </c>
      <c r="I2259">
        <f>IF(E2259="Gmail",COUNTIF($E$2:E2259,"Gmail"),"")</f>
        <v/>
      </c>
      <c r="J2259">
        <f>IF(E2259="Outlook",COUNTIF($E$2:E2259,"Outlook"),"")</f>
        <v/>
      </c>
      <c r="K2259">
        <f>IF(E2259="Domain",COUNTIF($E$2:E2259,"Domain"),"")</f>
        <v/>
      </c>
    </row>
    <row r="2260">
      <c r="A2260" s="2" t="n"/>
      <c r="B2260">
        <f>LOWER(TRIM(A2260))</f>
        <v/>
      </c>
      <c r="C2260">
        <f>IF(B2260="","",IFERROR(INDEX('Bad Patterns'!$A$2:$A$120,MATCH(1,INDEX(--ISNUMBER(SEARCH('Bad Patterns'!$A$2:$A$120,B2260)),0),0)),""))</f>
        <v/>
      </c>
      <c r="D2260">
        <f>IF(B2260="","",IF(C2260&lt;&gt;"","REMOVE","KEEP"))</f>
        <v/>
      </c>
      <c r="E2260">
        <f>IF(D2260&lt;&gt;"KEEP","",IF(RIGHT(B2260,10)="@gmail.com","Gmail",IF(OR(RIGHT(B2260,12)="@outlook.com",RIGHT(B2260,12)="@hotmail.com",RIGHT(B2260,9)="@live.com"),"Outlook","Domain")))</f>
        <v/>
      </c>
      <c r="F2260">
        <f>IF(B2260="","",IFERROR(RIGHT(B2260,LEN(B2260)-FIND("@",B2260)),""))</f>
        <v/>
      </c>
      <c r="G2260">
        <f>IF(D2260="KEEP",COUNTIF($D$2:D2260,"KEEP"),"")</f>
        <v/>
      </c>
      <c r="H2260">
        <f>IF(D2260="REMOVE",COUNTIF($D$2:D2260,"REMOVE"),"")</f>
        <v/>
      </c>
      <c r="I2260">
        <f>IF(E2260="Gmail",COUNTIF($E$2:E2260,"Gmail"),"")</f>
        <v/>
      </c>
      <c r="J2260">
        <f>IF(E2260="Outlook",COUNTIF($E$2:E2260,"Outlook"),"")</f>
        <v/>
      </c>
      <c r="K2260">
        <f>IF(E2260="Domain",COUNTIF($E$2:E2260,"Domain"),"")</f>
        <v/>
      </c>
    </row>
    <row r="2261">
      <c r="A2261" s="2" t="n"/>
      <c r="B2261">
        <f>LOWER(TRIM(A2261))</f>
        <v/>
      </c>
      <c r="C2261">
        <f>IF(B2261="","",IFERROR(INDEX('Bad Patterns'!$A$2:$A$120,MATCH(1,INDEX(--ISNUMBER(SEARCH('Bad Patterns'!$A$2:$A$120,B2261)),0),0)),""))</f>
        <v/>
      </c>
      <c r="D2261">
        <f>IF(B2261="","",IF(C2261&lt;&gt;"","REMOVE","KEEP"))</f>
        <v/>
      </c>
      <c r="E2261">
        <f>IF(D2261&lt;&gt;"KEEP","",IF(RIGHT(B2261,10)="@gmail.com","Gmail",IF(OR(RIGHT(B2261,12)="@outlook.com",RIGHT(B2261,12)="@hotmail.com",RIGHT(B2261,9)="@live.com"),"Outlook","Domain")))</f>
        <v/>
      </c>
      <c r="F2261">
        <f>IF(B2261="","",IFERROR(RIGHT(B2261,LEN(B2261)-FIND("@",B2261)),""))</f>
        <v/>
      </c>
      <c r="G2261">
        <f>IF(D2261="KEEP",COUNTIF($D$2:D2261,"KEEP"),"")</f>
        <v/>
      </c>
      <c r="H2261">
        <f>IF(D2261="REMOVE",COUNTIF($D$2:D2261,"REMOVE"),"")</f>
        <v/>
      </c>
      <c r="I2261">
        <f>IF(E2261="Gmail",COUNTIF($E$2:E2261,"Gmail"),"")</f>
        <v/>
      </c>
      <c r="J2261">
        <f>IF(E2261="Outlook",COUNTIF($E$2:E2261,"Outlook"),"")</f>
        <v/>
      </c>
      <c r="K2261">
        <f>IF(E2261="Domain",COUNTIF($E$2:E2261,"Domain"),"")</f>
        <v/>
      </c>
    </row>
    <row r="2262">
      <c r="A2262" s="2" t="n"/>
      <c r="B2262">
        <f>LOWER(TRIM(A2262))</f>
        <v/>
      </c>
      <c r="C2262">
        <f>IF(B2262="","",IFERROR(INDEX('Bad Patterns'!$A$2:$A$120,MATCH(1,INDEX(--ISNUMBER(SEARCH('Bad Patterns'!$A$2:$A$120,B2262)),0),0)),""))</f>
        <v/>
      </c>
      <c r="D2262">
        <f>IF(B2262="","",IF(C2262&lt;&gt;"","REMOVE","KEEP"))</f>
        <v/>
      </c>
      <c r="E2262">
        <f>IF(D2262&lt;&gt;"KEEP","",IF(RIGHT(B2262,10)="@gmail.com","Gmail",IF(OR(RIGHT(B2262,12)="@outlook.com",RIGHT(B2262,12)="@hotmail.com",RIGHT(B2262,9)="@live.com"),"Outlook","Domain")))</f>
        <v/>
      </c>
      <c r="F2262">
        <f>IF(B2262="","",IFERROR(RIGHT(B2262,LEN(B2262)-FIND("@",B2262)),""))</f>
        <v/>
      </c>
      <c r="G2262">
        <f>IF(D2262="KEEP",COUNTIF($D$2:D2262,"KEEP"),"")</f>
        <v/>
      </c>
      <c r="H2262">
        <f>IF(D2262="REMOVE",COUNTIF($D$2:D2262,"REMOVE"),"")</f>
        <v/>
      </c>
      <c r="I2262">
        <f>IF(E2262="Gmail",COUNTIF($E$2:E2262,"Gmail"),"")</f>
        <v/>
      </c>
      <c r="J2262">
        <f>IF(E2262="Outlook",COUNTIF($E$2:E2262,"Outlook"),"")</f>
        <v/>
      </c>
      <c r="K2262">
        <f>IF(E2262="Domain",COUNTIF($E$2:E2262,"Domain"),"")</f>
        <v/>
      </c>
    </row>
    <row r="2263">
      <c r="A2263" s="2" t="n"/>
      <c r="B2263">
        <f>LOWER(TRIM(A2263))</f>
        <v/>
      </c>
      <c r="C2263">
        <f>IF(B2263="","",IFERROR(INDEX('Bad Patterns'!$A$2:$A$120,MATCH(1,INDEX(--ISNUMBER(SEARCH('Bad Patterns'!$A$2:$A$120,B2263)),0),0)),""))</f>
        <v/>
      </c>
      <c r="D2263">
        <f>IF(B2263="","",IF(C2263&lt;&gt;"","REMOVE","KEEP"))</f>
        <v/>
      </c>
      <c r="E2263">
        <f>IF(D2263&lt;&gt;"KEEP","",IF(RIGHT(B2263,10)="@gmail.com","Gmail",IF(OR(RIGHT(B2263,12)="@outlook.com",RIGHT(B2263,12)="@hotmail.com",RIGHT(B2263,9)="@live.com"),"Outlook","Domain")))</f>
        <v/>
      </c>
      <c r="F2263">
        <f>IF(B2263="","",IFERROR(RIGHT(B2263,LEN(B2263)-FIND("@",B2263)),""))</f>
        <v/>
      </c>
      <c r="G2263">
        <f>IF(D2263="KEEP",COUNTIF($D$2:D2263,"KEEP"),"")</f>
        <v/>
      </c>
      <c r="H2263">
        <f>IF(D2263="REMOVE",COUNTIF($D$2:D2263,"REMOVE"),"")</f>
        <v/>
      </c>
      <c r="I2263">
        <f>IF(E2263="Gmail",COUNTIF($E$2:E2263,"Gmail"),"")</f>
        <v/>
      </c>
      <c r="J2263">
        <f>IF(E2263="Outlook",COUNTIF($E$2:E2263,"Outlook"),"")</f>
        <v/>
      </c>
      <c r="K2263">
        <f>IF(E2263="Domain",COUNTIF($E$2:E2263,"Domain"),"")</f>
        <v/>
      </c>
    </row>
    <row r="2264">
      <c r="A2264" s="2" t="n"/>
      <c r="B2264">
        <f>LOWER(TRIM(A2264))</f>
        <v/>
      </c>
      <c r="C2264">
        <f>IF(B2264="","",IFERROR(INDEX('Bad Patterns'!$A$2:$A$120,MATCH(1,INDEX(--ISNUMBER(SEARCH('Bad Patterns'!$A$2:$A$120,B2264)),0),0)),""))</f>
        <v/>
      </c>
      <c r="D2264">
        <f>IF(B2264="","",IF(C2264&lt;&gt;"","REMOVE","KEEP"))</f>
        <v/>
      </c>
      <c r="E2264">
        <f>IF(D2264&lt;&gt;"KEEP","",IF(RIGHT(B2264,10)="@gmail.com","Gmail",IF(OR(RIGHT(B2264,12)="@outlook.com",RIGHT(B2264,12)="@hotmail.com",RIGHT(B2264,9)="@live.com"),"Outlook","Domain")))</f>
        <v/>
      </c>
      <c r="F2264">
        <f>IF(B2264="","",IFERROR(RIGHT(B2264,LEN(B2264)-FIND("@",B2264)),""))</f>
        <v/>
      </c>
      <c r="G2264">
        <f>IF(D2264="KEEP",COUNTIF($D$2:D2264,"KEEP"),"")</f>
        <v/>
      </c>
      <c r="H2264">
        <f>IF(D2264="REMOVE",COUNTIF($D$2:D2264,"REMOVE"),"")</f>
        <v/>
      </c>
      <c r="I2264">
        <f>IF(E2264="Gmail",COUNTIF($E$2:E2264,"Gmail"),"")</f>
        <v/>
      </c>
      <c r="J2264">
        <f>IF(E2264="Outlook",COUNTIF($E$2:E2264,"Outlook"),"")</f>
        <v/>
      </c>
      <c r="K2264">
        <f>IF(E2264="Domain",COUNTIF($E$2:E2264,"Domain"),"")</f>
        <v/>
      </c>
    </row>
    <row r="2265">
      <c r="A2265" s="2" t="n"/>
      <c r="B2265">
        <f>LOWER(TRIM(A2265))</f>
        <v/>
      </c>
      <c r="C2265">
        <f>IF(B2265="","",IFERROR(INDEX('Bad Patterns'!$A$2:$A$120,MATCH(1,INDEX(--ISNUMBER(SEARCH('Bad Patterns'!$A$2:$A$120,B2265)),0),0)),""))</f>
        <v/>
      </c>
      <c r="D2265">
        <f>IF(B2265="","",IF(C2265&lt;&gt;"","REMOVE","KEEP"))</f>
        <v/>
      </c>
      <c r="E2265">
        <f>IF(D2265&lt;&gt;"KEEP","",IF(RIGHT(B2265,10)="@gmail.com","Gmail",IF(OR(RIGHT(B2265,12)="@outlook.com",RIGHT(B2265,12)="@hotmail.com",RIGHT(B2265,9)="@live.com"),"Outlook","Domain")))</f>
        <v/>
      </c>
      <c r="F2265">
        <f>IF(B2265="","",IFERROR(RIGHT(B2265,LEN(B2265)-FIND("@",B2265)),""))</f>
        <v/>
      </c>
      <c r="G2265">
        <f>IF(D2265="KEEP",COUNTIF($D$2:D2265,"KEEP"),"")</f>
        <v/>
      </c>
      <c r="H2265">
        <f>IF(D2265="REMOVE",COUNTIF($D$2:D2265,"REMOVE"),"")</f>
        <v/>
      </c>
      <c r="I2265">
        <f>IF(E2265="Gmail",COUNTIF($E$2:E2265,"Gmail"),"")</f>
        <v/>
      </c>
      <c r="J2265">
        <f>IF(E2265="Outlook",COUNTIF($E$2:E2265,"Outlook"),"")</f>
        <v/>
      </c>
      <c r="K2265">
        <f>IF(E2265="Domain",COUNTIF($E$2:E2265,"Domain"),"")</f>
        <v/>
      </c>
    </row>
    <row r="2266">
      <c r="A2266" s="2" t="n"/>
      <c r="B2266">
        <f>LOWER(TRIM(A2266))</f>
        <v/>
      </c>
      <c r="C2266">
        <f>IF(B2266="","",IFERROR(INDEX('Bad Patterns'!$A$2:$A$120,MATCH(1,INDEX(--ISNUMBER(SEARCH('Bad Patterns'!$A$2:$A$120,B2266)),0),0)),""))</f>
        <v/>
      </c>
      <c r="D2266">
        <f>IF(B2266="","",IF(C2266&lt;&gt;"","REMOVE","KEEP"))</f>
        <v/>
      </c>
      <c r="E2266">
        <f>IF(D2266&lt;&gt;"KEEP","",IF(RIGHT(B2266,10)="@gmail.com","Gmail",IF(OR(RIGHT(B2266,12)="@outlook.com",RIGHT(B2266,12)="@hotmail.com",RIGHT(B2266,9)="@live.com"),"Outlook","Domain")))</f>
        <v/>
      </c>
      <c r="F2266">
        <f>IF(B2266="","",IFERROR(RIGHT(B2266,LEN(B2266)-FIND("@",B2266)),""))</f>
        <v/>
      </c>
      <c r="G2266">
        <f>IF(D2266="KEEP",COUNTIF($D$2:D2266,"KEEP"),"")</f>
        <v/>
      </c>
      <c r="H2266">
        <f>IF(D2266="REMOVE",COUNTIF($D$2:D2266,"REMOVE"),"")</f>
        <v/>
      </c>
      <c r="I2266">
        <f>IF(E2266="Gmail",COUNTIF($E$2:E2266,"Gmail"),"")</f>
        <v/>
      </c>
      <c r="J2266">
        <f>IF(E2266="Outlook",COUNTIF($E$2:E2266,"Outlook"),"")</f>
        <v/>
      </c>
      <c r="K2266">
        <f>IF(E2266="Domain",COUNTIF($E$2:E2266,"Domain"),"")</f>
        <v/>
      </c>
    </row>
    <row r="2267">
      <c r="A2267" s="2" t="n"/>
      <c r="B2267">
        <f>LOWER(TRIM(A2267))</f>
        <v/>
      </c>
      <c r="C2267">
        <f>IF(B2267="","",IFERROR(INDEX('Bad Patterns'!$A$2:$A$120,MATCH(1,INDEX(--ISNUMBER(SEARCH('Bad Patterns'!$A$2:$A$120,B2267)),0),0)),""))</f>
        <v/>
      </c>
      <c r="D2267">
        <f>IF(B2267="","",IF(C2267&lt;&gt;"","REMOVE","KEEP"))</f>
        <v/>
      </c>
      <c r="E2267">
        <f>IF(D2267&lt;&gt;"KEEP","",IF(RIGHT(B2267,10)="@gmail.com","Gmail",IF(OR(RIGHT(B2267,12)="@outlook.com",RIGHT(B2267,12)="@hotmail.com",RIGHT(B2267,9)="@live.com"),"Outlook","Domain")))</f>
        <v/>
      </c>
      <c r="F2267">
        <f>IF(B2267="","",IFERROR(RIGHT(B2267,LEN(B2267)-FIND("@",B2267)),""))</f>
        <v/>
      </c>
      <c r="G2267">
        <f>IF(D2267="KEEP",COUNTIF($D$2:D2267,"KEEP"),"")</f>
        <v/>
      </c>
      <c r="H2267">
        <f>IF(D2267="REMOVE",COUNTIF($D$2:D2267,"REMOVE"),"")</f>
        <v/>
      </c>
      <c r="I2267">
        <f>IF(E2267="Gmail",COUNTIF($E$2:E2267,"Gmail"),"")</f>
        <v/>
      </c>
      <c r="J2267">
        <f>IF(E2267="Outlook",COUNTIF($E$2:E2267,"Outlook"),"")</f>
        <v/>
      </c>
      <c r="K2267">
        <f>IF(E2267="Domain",COUNTIF($E$2:E2267,"Domain"),"")</f>
        <v/>
      </c>
    </row>
    <row r="2268">
      <c r="A2268" s="2" t="n"/>
      <c r="B2268">
        <f>LOWER(TRIM(A2268))</f>
        <v/>
      </c>
      <c r="C2268">
        <f>IF(B2268="","",IFERROR(INDEX('Bad Patterns'!$A$2:$A$120,MATCH(1,INDEX(--ISNUMBER(SEARCH('Bad Patterns'!$A$2:$A$120,B2268)),0),0)),""))</f>
        <v/>
      </c>
      <c r="D2268">
        <f>IF(B2268="","",IF(C2268&lt;&gt;"","REMOVE","KEEP"))</f>
        <v/>
      </c>
      <c r="E2268">
        <f>IF(D2268&lt;&gt;"KEEP","",IF(RIGHT(B2268,10)="@gmail.com","Gmail",IF(OR(RIGHT(B2268,12)="@outlook.com",RIGHT(B2268,12)="@hotmail.com",RIGHT(B2268,9)="@live.com"),"Outlook","Domain")))</f>
        <v/>
      </c>
      <c r="F2268">
        <f>IF(B2268="","",IFERROR(RIGHT(B2268,LEN(B2268)-FIND("@",B2268)),""))</f>
        <v/>
      </c>
      <c r="G2268">
        <f>IF(D2268="KEEP",COUNTIF($D$2:D2268,"KEEP"),"")</f>
        <v/>
      </c>
      <c r="H2268">
        <f>IF(D2268="REMOVE",COUNTIF($D$2:D2268,"REMOVE"),"")</f>
        <v/>
      </c>
      <c r="I2268">
        <f>IF(E2268="Gmail",COUNTIF($E$2:E2268,"Gmail"),"")</f>
        <v/>
      </c>
      <c r="J2268">
        <f>IF(E2268="Outlook",COUNTIF($E$2:E2268,"Outlook"),"")</f>
        <v/>
      </c>
      <c r="K2268">
        <f>IF(E2268="Domain",COUNTIF($E$2:E2268,"Domain"),"")</f>
        <v/>
      </c>
    </row>
    <row r="2269">
      <c r="A2269" s="2" t="n"/>
      <c r="B2269">
        <f>LOWER(TRIM(A2269))</f>
        <v/>
      </c>
      <c r="C2269">
        <f>IF(B2269="","",IFERROR(INDEX('Bad Patterns'!$A$2:$A$120,MATCH(1,INDEX(--ISNUMBER(SEARCH('Bad Patterns'!$A$2:$A$120,B2269)),0),0)),""))</f>
        <v/>
      </c>
      <c r="D2269">
        <f>IF(B2269="","",IF(C2269&lt;&gt;"","REMOVE","KEEP"))</f>
        <v/>
      </c>
      <c r="E2269">
        <f>IF(D2269&lt;&gt;"KEEP","",IF(RIGHT(B2269,10)="@gmail.com","Gmail",IF(OR(RIGHT(B2269,12)="@outlook.com",RIGHT(B2269,12)="@hotmail.com",RIGHT(B2269,9)="@live.com"),"Outlook","Domain")))</f>
        <v/>
      </c>
      <c r="F2269">
        <f>IF(B2269="","",IFERROR(RIGHT(B2269,LEN(B2269)-FIND("@",B2269)),""))</f>
        <v/>
      </c>
      <c r="G2269">
        <f>IF(D2269="KEEP",COUNTIF($D$2:D2269,"KEEP"),"")</f>
        <v/>
      </c>
      <c r="H2269">
        <f>IF(D2269="REMOVE",COUNTIF($D$2:D2269,"REMOVE"),"")</f>
        <v/>
      </c>
      <c r="I2269">
        <f>IF(E2269="Gmail",COUNTIF($E$2:E2269,"Gmail"),"")</f>
        <v/>
      </c>
      <c r="J2269">
        <f>IF(E2269="Outlook",COUNTIF($E$2:E2269,"Outlook"),"")</f>
        <v/>
      </c>
      <c r="K2269">
        <f>IF(E2269="Domain",COUNTIF($E$2:E2269,"Domain"),"")</f>
        <v/>
      </c>
    </row>
    <row r="2270">
      <c r="A2270" s="2" t="n"/>
      <c r="B2270">
        <f>LOWER(TRIM(A2270))</f>
        <v/>
      </c>
      <c r="C2270">
        <f>IF(B2270="","",IFERROR(INDEX('Bad Patterns'!$A$2:$A$120,MATCH(1,INDEX(--ISNUMBER(SEARCH('Bad Patterns'!$A$2:$A$120,B2270)),0),0)),""))</f>
        <v/>
      </c>
      <c r="D2270">
        <f>IF(B2270="","",IF(C2270&lt;&gt;"","REMOVE","KEEP"))</f>
        <v/>
      </c>
      <c r="E2270">
        <f>IF(D2270&lt;&gt;"KEEP","",IF(RIGHT(B2270,10)="@gmail.com","Gmail",IF(OR(RIGHT(B2270,12)="@outlook.com",RIGHT(B2270,12)="@hotmail.com",RIGHT(B2270,9)="@live.com"),"Outlook","Domain")))</f>
        <v/>
      </c>
      <c r="F2270">
        <f>IF(B2270="","",IFERROR(RIGHT(B2270,LEN(B2270)-FIND("@",B2270)),""))</f>
        <v/>
      </c>
      <c r="G2270">
        <f>IF(D2270="KEEP",COUNTIF($D$2:D2270,"KEEP"),"")</f>
        <v/>
      </c>
      <c r="H2270">
        <f>IF(D2270="REMOVE",COUNTIF($D$2:D2270,"REMOVE"),"")</f>
        <v/>
      </c>
      <c r="I2270">
        <f>IF(E2270="Gmail",COUNTIF($E$2:E2270,"Gmail"),"")</f>
        <v/>
      </c>
      <c r="J2270">
        <f>IF(E2270="Outlook",COUNTIF($E$2:E2270,"Outlook"),"")</f>
        <v/>
      </c>
      <c r="K2270">
        <f>IF(E2270="Domain",COUNTIF($E$2:E2270,"Domain"),"")</f>
        <v/>
      </c>
    </row>
    <row r="2271">
      <c r="A2271" s="2" t="n"/>
      <c r="B2271">
        <f>LOWER(TRIM(A2271))</f>
        <v/>
      </c>
      <c r="C2271">
        <f>IF(B2271="","",IFERROR(INDEX('Bad Patterns'!$A$2:$A$120,MATCH(1,INDEX(--ISNUMBER(SEARCH('Bad Patterns'!$A$2:$A$120,B2271)),0),0)),""))</f>
        <v/>
      </c>
      <c r="D2271">
        <f>IF(B2271="","",IF(C2271&lt;&gt;"","REMOVE","KEEP"))</f>
        <v/>
      </c>
      <c r="E2271">
        <f>IF(D2271&lt;&gt;"KEEP","",IF(RIGHT(B2271,10)="@gmail.com","Gmail",IF(OR(RIGHT(B2271,12)="@outlook.com",RIGHT(B2271,12)="@hotmail.com",RIGHT(B2271,9)="@live.com"),"Outlook","Domain")))</f>
        <v/>
      </c>
      <c r="F2271">
        <f>IF(B2271="","",IFERROR(RIGHT(B2271,LEN(B2271)-FIND("@",B2271)),""))</f>
        <v/>
      </c>
      <c r="G2271">
        <f>IF(D2271="KEEP",COUNTIF($D$2:D2271,"KEEP"),"")</f>
        <v/>
      </c>
      <c r="H2271">
        <f>IF(D2271="REMOVE",COUNTIF($D$2:D2271,"REMOVE"),"")</f>
        <v/>
      </c>
      <c r="I2271">
        <f>IF(E2271="Gmail",COUNTIF($E$2:E2271,"Gmail"),"")</f>
        <v/>
      </c>
      <c r="J2271">
        <f>IF(E2271="Outlook",COUNTIF($E$2:E2271,"Outlook"),"")</f>
        <v/>
      </c>
      <c r="K2271">
        <f>IF(E2271="Domain",COUNTIF($E$2:E2271,"Domain"),"")</f>
        <v/>
      </c>
    </row>
    <row r="2272">
      <c r="A2272" s="2" t="n"/>
      <c r="B2272">
        <f>LOWER(TRIM(A2272))</f>
        <v/>
      </c>
      <c r="C2272">
        <f>IF(B2272="","",IFERROR(INDEX('Bad Patterns'!$A$2:$A$120,MATCH(1,INDEX(--ISNUMBER(SEARCH('Bad Patterns'!$A$2:$A$120,B2272)),0),0)),""))</f>
        <v/>
      </c>
      <c r="D2272">
        <f>IF(B2272="","",IF(C2272&lt;&gt;"","REMOVE","KEEP"))</f>
        <v/>
      </c>
      <c r="E2272">
        <f>IF(D2272&lt;&gt;"KEEP","",IF(RIGHT(B2272,10)="@gmail.com","Gmail",IF(OR(RIGHT(B2272,12)="@outlook.com",RIGHT(B2272,12)="@hotmail.com",RIGHT(B2272,9)="@live.com"),"Outlook","Domain")))</f>
        <v/>
      </c>
      <c r="F2272">
        <f>IF(B2272="","",IFERROR(RIGHT(B2272,LEN(B2272)-FIND("@",B2272)),""))</f>
        <v/>
      </c>
      <c r="G2272">
        <f>IF(D2272="KEEP",COUNTIF($D$2:D2272,"KEEP"),"")</f>
        <v/>
      </c>
      <c r="H2272">
        <f>IF(D2272="REMOVE",COUNTIF($D$2:D2272,"REMOVE"),"")</f>
        <v/>
      </c>
      <c r="I2272">
        <f>IF(E2272="Gmail",COUNTIF($E$2:E2272,"Gmail"),"")</f>
        <v/>
      </c>
      <c r="J2272">
        <f>IF(E2272="Outlook",COUNTIF($E$2:E2272,"Outlook"),"")</f>
        <v/>
      </c>
      <c r="K2272">
        <f>IF(E2272="Domain",COUNTIF($E$2:E2272,"Domain"),"")</f>
        <v/>
      </c>
    </row>
    <row r="2273">
      <c r="A2273" s="2" t="n"/>
      <c r="B2273">
        <f>LOWER(TRIM(A2273))</f>
        <v/>
      </c>
      <c r="C2273">
        <f>IF(B2273="","",IFERROR(INDEX('Bad Patterns'!$A$2:$A$120,MATCH(1,INDEX(--ISNUMBER(SEARCH('Bad Patterns'!$A$2:$A$120,B2273)),0),0)),""))</f>
        <v/>
      </c>
      <c r="D2273">
        <f>IF(B2273="","",IF(C2273&lt;&gt;"","REMOVE","KEEP"))</f>
        <v/>
      </c>
      <c r="E2273">
        <f>IF(D2273&lt;&gt;"KEEP","",IF(RIGHT(B2273,10)="@gmail.com","Gmail",IF(OR(RIGHT(B2273,12)="@outlook.com",RIGHT(B2273,12)="@hotmail.com",RIGHT(B2273,9)="@live.com"),"Outlook","Domain")))</f>
        <v/>
      </c>
      <c r="F2273">
        <f>IF(B2273="","",IFERROR(RIGHT(B2273,LEN(B2273)-FIND("@",B2273)),""))</f>
        <v/>
      </c>
      <c r="G2273">
        <f>IF(D2273="KEEP",COUNTIF($D$2:D2273,"KEEP"),"")</f>
        <v/>
      </c>
      <c r="H2273">
        <f>IF(D2273="REMOVE",COUNTIF($D$2:D2273,"REMOVE"),"")</f>
        <v/>
      </c>
      <c r="I2273">
        <f>IF(E2273="Gmail",COUNTIF($E$2:E2273,"Gmail"),"")</f>
        <v/>
      </c>
      <c r="J2273">
        <f>IF(E2273="Outlook",COUNTIF($E$2:E2273,"Outlook"),"")</f>
        <v/>
      </c>
      <c r="K2273">
        <f>IF(E2273="Domain",COUNTIF($E$2:E2273,"Domain"),"")</f>
        <v/>
      </c>
    </row>
    <row r="2274">
      <c r="A2274" s="2" t="n"/>
      <c r="B2274">
        <f>LOWER(TRIM(A2274))</f>
        <v/>
      </c>
      <c r="C2274">
        <f>IF(B2274="","",IFERROR(INDEX('Bad Patterns'!$A$2:$A$120,MATCH(1,INDEX(--ISNUMBER(SEARCH('Bad Patterns'!$A$2:$A$120,B2274)),0),0)),""))</f>
        <v/>
      </c>
      <c r="D2274">
        <f>IF(B2274="","",IF(C2274&lt;&gt;"","REMOVE","KEEP"))</f>
        <v/>
      </c>
      <c r="E2274">
        <f>IF(D2274&lt;&gt;"KEEP","",IF(RIGHT(B2274,10)="@gmail.com","Gmail",IF(OR(RIGHT(B2274,12)="@outlook.com",RIGHT(B2274,12)="@hotmail.com",RIGHT(B2274,9)="@live.com"),"Outlook","Domain")))</f>
        <v/>
      </c>
      <c r="F2274">
        <f>IF(B2274="","",IFERROR(RIGHT(B2274,LEN(B2274)-FIND("@",B2274)),""))</f>
        <v/>
      </c>
      <c r="G2274">
        <f>IF(D2274="KEEP",COUNTIF($D$2:D2274,"KEEP"),"")</f>
        <v/>
      </c>
      <c r="H2274">
        <f>IF(D2274="REMOVE",COUNTIF($D$2:D2274,"REMOVE"),"")</f>
        <v/>
      </c>
      <c r="I2274">
        <f>IF(E2274="Gmail",COUNTIF($E$2:E2274,"Gmail"),"")</f>
        <v/>
      </c>
      <c r="J2274">
        <f>IF(E2274="Outlook",COUNTIF($E$2:E2274,"Outlook"),"")</f>
        <v/>
      </c>
      <c r="K2274">
        <f>IF(E2274="Domain",COUNTIF($E$2:E2274,"Domain"),"")</f>
        <v/>
      </c>
    </row>
    <row r="2275">
      <c r="A2275" s="2" t="n"/>
      <c r="B2275">
        <f>LOWER(TRIM(A2275))</f>
        <v/>
      </c>
      <c r="C2275">
        <f>IF(B2275="","",IFERROR(INDEX('Bad Patterns'!$A$2:$A$120,MATCH(1,INDEX(--ISNUMBER(SEARCH('Bad Patterns'!$A$2:$A$120,B2275)),0),0)),""))</f>
        <v/>
      </c>
      <c r="D2275">
        <f>IF(B2275="","",IF(C2275&lt;&gt;"","REMOVE","KEEP"))</f>
        <v/>
      </c>
      <c r="E2275">
        <f>IF(D2275&lt;&gt;"KEEP","",IF(RIGHT(B2275,10)="@gmail.com","Gmail",IF(OR(RIGHT(B2275,12)="@outlook.com",RIGHT(B2275,12)="@hotmail.com",RIGHT(B2275,9)="@live.com"),"Outlook","Domain")))</f>
        <v/>
      </c>
      <c r="F2275">
        <f>IF(B2275="","",IFERROR(RIGHT(B2275,LEN(B2275)-FIND("@",B2275)),""))</f>
        <v/>
      </c>
      <c r="G2275">
        <f>IF(D2275="KEEP",COUNTIF($D$2:D2275,"KEEP"),"")</f>
        <v/>
      </c>
      <c r="H2275">
        <f>IF(D2275="REMOVE",COUNTIF($D$2:D2275,"REMOVE"),"")</f>
        <v/>
      </c>
      <c r="I2275">
        <f>IF(E2275="Gmail",COUNTIF($E$2:E2275,"Gmail"),"")</f>
        <v/>
      </c>
      <c r="J2275">
        <f>IF(E2275="Outlook",COUNTIF($E$2:E2275,"Outlook"),"")</f>
        <v/>
      </c>
      <c r="K2275">
        <f>IF(E2275="Domain",COUNTIF($E$2:E2275,"Domain"),"")</f>
        <v/>
      </c>
    </row>
    <row r="2276">
      <c r="A2276" s="2" t="n"/>
      <c r="B2276">
        <f>LOWER(TRIM(A2276))</f>
        <v/>
      </c>
      <c r="C2276">
        <f>IF(B2276="","",IFERROR(INDEX('Bad Patterns'!$A$2:$A$120,MATCH(1,INDEX(--ISNUMBER(SEARCH('Bad Patterns'!$A$2:$A$120,B2276)),0),0)),""))</f>
        <v/>
      </c>
      <c r="D2276">
        <f>IF(B2276="","",IF(C2276&lt;&gt;"","REMOVE","KEEP"))</f>
        <v/>
      </c>
      <c r="E2276">
        <f>IF(D2276&lt;&gt;"KEEP","",IF(RIGHT(B2276,10)="@gmail.com","Gmail",IF(OR(RIGHT(B2276,12)="@outlook.com",RIGHT(B2276,12)="@hotmail.com",RIGHT(B2276,9)="@live.com"),"Outlook","Domain")))</f>
        <v/>
      </c>
      <c r="F2276">
        <f>IF(B2276="","",IFERROR(RIGHT(B2276,LEN(B2276)-FIND("@",B2276)),""))</f>
        <v/>
      </c>
      <c r="G2276">
        <f>IF(D2276="KEEP",COUNTIF($D$2:D2276,"KEEP"),"")</f>
        <v/>
      </c>
      <c r="H2276">
        <f>IF(D2276="REMOVE",COUNTIF($D$2:D2276,"REMOVE"),"")</f>
        <v/>
      </c>
      <c r="I2276">
        <f>IF(E2276="Gmail",COUNTIF($E$2:E2276,"Gmail"),"")</f>
        <v/>
      </c>
      <c r="J2276">
        <f>IF(E2276="Outlook",COUNTIF($E$2:E2276,"Outlook"),"")</f>
        <v/>
      </c>
      <c r="K2276">
        <f>IF(E2276="Domain",COUNTIF($E$2:E2276,"Domain"),"")</f>
        <v/>
      </c>
    </row>
    <row r="2277">
      <c r="A2277" s="2" t="n"/>
      <c r="B2277">
        <f>LOWER(TRIM(A2277))</f>
        <v/>
      </c>
      <c r="C2277">
        <f>IF(B2277="","",IFERROR(INDEX('Bad Patterns'!$A$2:$A$120,MATCH(1,INDEX(--ISNUMBER(SEARCH('Bad Patterns'!$A$2:$A$120,B2277)),0),0)),""))</f>
        <v/>
      </c>
      <c r="D2277">
        <f>IF(B2277="","",IF(C2277&lt;&gt;"","REMOVE","KEEP"))</f>
        <v/>
      </c>
      <c r="E2277">
        <f>IF(D2277&lt;&gt;"KEEP","",IF(RIGHT(B2277,10)="@gmail.com","Gmail",IF(OR(RIGHT(B2277,12)="@outlook.com",RIGHT(B2277,12)="@hotmail.com",RIGHT(B2277,9)="@live.com"),"Outlook","Domain")))</f>
        <v/>
      </c>
      <c r="F2277">
        <f>IF(B2277="","",IFERROR(RIGHT(B2277,LEN(B2277)-FIND("@",B2277)),""))</f>
        <v/>
      </c>
      <c r="G2277">
        <f>IF(D2277="KEEP",COUNTIF($D$2:D2277,"KEEP"),"")</f>
        <v/>
      </c>
      <c r="H2277">
        <f>IF(D2277="REMOVE",COUNTIF($D$2:D2277,"REMOVE"),"")</f>
        <v/>
      </c>
      <c r="I2277">
        <f>IF(E2277="Gmail",COUNTIF($E$2:E2277,"Gmail"),"")</f>
        <v/>
      </c>
      <c r="J2277">
        <f>IF(E2277="Outlook",COUNTIF($E$2:E2277,"Outlook"),"")</f>
        <v/>
      </c>
      <c r="K2277">
        <f>IF(E2277="Domain",COUNTIF($E$2:E2277,"Domain"),"")</f>
        <v/>
      </c>
    </row>
    <row r="2278">
      <c r="A2278" s="2" t="n"/>
      <c r="B2278">
        <f>LOWER(TRIM(A2278))</f>
        <v/>
      </c>
      <c r="C2278">
        <f>IF(B2278="","",IFERROR(INDEX('Bad Patterns'!$A$2:$A$120,MATCH(1,INDEX(--ISNUMBER(SEARCH('Bad Patterns'!$A$2:$A$120,B2278)),0),0)),""))</f>
        <v/>
      </c>
      <c r="D2278">
        <f>IF(B2278="","",IF(C2278&lt;&gt;"","REMOVE","KEEP"))</f>
        <v/>
      </c>
      <c r="E2278">
        <f>IF(D2278&lt;&gt;"KEEP","",IF(RIGHT(B2278,10)="@gmail.com","Gmail",IF(OR(RIGHT(B2278,12)="@outlook.com",RIGHT(B2278,12)="@hotmail.com",RIGHT(B2278,9)="@live.com"),"Outlook","Domain")))</f>
        <v/>
      </c>
      <c r="F2278">
        <f>IF(B2278="","",IFERROR(RIGHT(B2278,LEN(B2278)-FIND("@",B2278)),""))</f>
        <v/>
      </c>
      <c r="G2278">
        <f>IF(D2278="KEEP",COUNTIF($D$2:D2278,"KEEP"),"")</f>
        <v/>
      </c>
      <c r="H2278">
        <f>IF(D2278="REMOVE",COUNTIF($D$2:D2278,"REMOVE"),"")</f>
        <v/>
      </c>
      <c r="I2278">
        <f>IF(E2278="Gmail",COUNTIF($E$2:E2278,"Gmail"),"")</f>
        <v/>
      </c>
      <c r="J2278">
        <f>IF(E2278="Outlook",COUNTIF($E$2:E2278,"Outlook"),"")</f>
        <v/>
      </c>
      <c r="K2278">
        <f>IF(E2278="Domain",COUNTIF($E$2:E2278,"Domain"),"")</f>
        <v/>
      </c>
    </row>
    <row r="2279">
      <c r="A2279" s="2" t="n"/>
      <c r="B2279">
        <f>LOWER(TRIM(A2279))</f>
        <v/>
      </c>
      <c r="C2279">
        <f>IF(B2279="","",IFERROR(INDEX('Bad Patterns'!$A$2:$A$120,MATCH(1,INDEX(--ISNUMBER(SEARCH('Bad Patterns'!$A$2:$A$120,B2279)),0),0)),""))</f>
        <v/>
      </c>
      <c r="D2279">
        <f>IF(B2279="","",IF(C2279&lt;&gt;"","REMOVE","KEEP"))</f>
        <v/>
      </c>
      <c r="E2279">
        <f>IF(D2279&lt;&gt;"KEEP","",IF(RIGHT(B2279,10)="@gmail.com","Gmail",IF(OR(RIGHT(B2279,12)="@outlook.com",RIGHT(B2279,12)="@hotmail.com",RIGHT(B2279,9)="@live.com"),"Outlook","Domain")))</f>
        <v/>
      </c>
      <c r="F2279">
        <f>IF(B2279="","",IFERROR(RIGHT(B2279,LEN(B2279)-FIND("@",B2279)),""))</f>
        <v/>
      </c>
      <c r="G2279">
        <f>IF(D2279="KEEP",COUNTIF($D$2:D2279,"KEEP"),"")</f>
        <v/>
      </c>
      <c r="H2279">
        <f>IF(D2279="REMOVE",COUNTIF($D$2:D2279,"REMOVE"),"")</f>
        <v/>
      </c>
      <c r="I2279">
        <f>IF(E2279="Gmail",COUNTIF($E$2:E2279,"Gmail"),"")</f>
        <v/>
      </c>
      <c r="J2279">
        <f>IF(E2279="Outlook",COUNTIF($E$2:E2279,"Outlook"),"")</f>
        <v/>
      </c>
      <c r="K2279">
        <f>IF(E2279="Domain",COUNTIF($E$2:E2279,"Domain"),"")</f>
        <v/>
      </c>
    </row>
    <row r="2280">
      <c r="A2280" s="2" t="n"/>
      <c r="B2280">
        <f>LOWER(TRIM(A2280))</f>
        <v/>
      </c>
      <c r="C2280">
        <f>IF(B2280="","",IFERROR(INDEX('Bad Patterns'!$A$2:$A$120,MATCH(1,INDEX(--ISNUMBER(SEARCH('Bad Patterns'!$A$2:$A$120,B2280)),0),0)),""))</f>
        <v/>
      </c>
      <c r="D2280">
        <f>IF(B2280="","",IF(C2280&lt;&gt;"","REMOVE","KEEP"))</f>
        <v/>
      </c>
      <c r="E2280">
        <f>IF(D2280&lt;&gt;"KEEP","",IF(RIGHT(B2280,10)="@gmail.com","Gmail",IF(OR(RIGHT(B2280,12)="@outlook.com",RIGHT(B2280,12)="@hotmail.com",RIGHT(B2280,9)="@live.com"),"Outlook","Domain")))</f>
        <v/>
      </c>
      <c r="F2280">
        <f>IF(B2280="","",IFERROR(RIGHT(B2280,LEN(B2280)-FIND("@",B2280)),""))</f>
        <v/>
      </c>
      <c r="G2280">
        <f>IF(D2280="KEEP",COUNTIF($D$2:D2280,"KEEP"),"")</f>
        <v/>
      </c>
      <c r="H2280">
        <f>IF(D2280="REMOVE",COUNTIF($D$2:D2280,"REMOVE"),"")</f>
        <v/>
      </c>
      <c r="I2280">
        <f>IF(E2280="Gmail",COUNTIF($E$2:E2280,"Gmail"),"")</f>
        <v/>
      </c>
      <c r="J2280">
        <f>IF(E2280="Outlook",COUNTIF($E$2:E2280,"Outlook"),"")</f>
        <v/>
      </c>
      <c r="K2280">
        <f>IF(E2280="Domain",COUNTIF($E$2:E2280,"Domain"),"")</f>
        <v/>
      </c>
    </row>
    <row r="2281">
      <c r="A2281" s="2" t="n"/>
      <c r="B2281">
        <f>LOWER(TRIM(A2281))</f>
        <v/>
      </c>
      <c r="C2281">
        <f>IF(B2281="","",IFERROR(INDEX('Bad Patterns'!$A$2:$A$120,MATCH(1,INDEX(--ISNUMBER(SEARCH('Bad Patterns'!$A$2:$A$120,B2281)),0),0)),""))</f>
        <v/>
      </c>
      <c r="D2281">
        <f>IF(B2281="","",IF(C2281&lt;&gt;"","REMOVE","KEEP"))</f>
        <v/>
      </c>
      <c r="E2281">
        <f>IF(D2281&lt;&gt;"KEEP","",IF(RIGHT(B2281,10)="@gmail.com","Gmail",IF(OR(RIGHT(B2281,12)="@outlook.com",RIGHT(B2281,12)="@hotmail.com",RIGHT(B2281,9)="@live.com"),"Outlook","Domain")))</f>
        <v/>
      </c>
      <c r="F2281">
        <f>IF(B2281="","",IFERROR(RIGHT(B2281,LEN(B2281)-FIND("@",B2281)),""))</f>
        <v/>
      </c>
      <c r="G2281">
        <f>IF(D2281="KEEP",COUNTIF($D$2:D2281,"KEEP"),"")</f>
        <v/>
      </c>
      <c r="H2281">
        <f>IF(D2281="REMOVE",COUNTIF($D$2:D2281,"REMOVE"),"")</f>
        <v/>
      </c>
      <c r="I2281">
        <f>IF(E2281="Gmail",COUNTIF($E$2:E2281,"Gmail"),"")</f>
        <v/>
      </c>
      <c r="J2281">
        <f>IF(E2281="Outlook",COUNTIF($E$2:E2281,"Outlook"),"")</f>
        <v/>
      </c>
      <c r="K2281">
        <f>IF(E2281="Domain",COUNTIF($E$2:E2281,"Domain"),"")</f>
        <v/>
      </c>
    </row>
    <row r="2282">
      <c r="A2282" s="2" t="n"/>
      <c r="B2282">
        <f>LOWER(TRIM(A2282))</f>
        <v/>
      </c>
      <c r="C2282">
        <f>IF(B2282="","",IFERROR(INDEX('Bad Patterns'!$A$2:$A$120,MATCH(1,INDEX(--ISNUMBER(SEARCH('Bad Patterns'!$A$2:$A$120,B2282)),0),0)),""))</f>
        <v/>
      </c>
      <c r="D2282">
        <f>IF(B2282="","",IF(C2282&lt;&gt;"","REMOVE","KEEP"))</f>
        <v/>
      </c>
      <c r="E2282">
        <f>IF(D2282&lt;&gt;"KEEP","",IF(RIGHT(B2282,10)="@gmail.com","Gmail",IF(OR(RIGHT(B2282,12)="@outlook.com",RIGHT(B2282,12)="@hotmail.com",RIGHT(B2282,9)="@live.com"),"Outlook","Domain")))</f>
        <v/>
      </c>
      <c r="F2282">
        <f>IF(B2282="","",IFERROR(RIGHT(B2282,LEN(B2282)-FIND("@",B2282)),""))</f>
        <v/>
      </c>
      <c r="G2282">
        <f>IF(D2282="KEEP",COUNTIF($D$2:D2282,"KEEP"),"")</f>
        <v/>
      </c>
      <c r="H2282">
        <f>IF(D2282="REMOVE",COUNTIF($D$2:D2282,"REMOVE"),"")</f>
        <v/>
      </c>
      <c r="I2282">
        <f>IF(E2282="Gmail",COUNTIF($E$2:E2282,"Gmail"),"")</f>
        <v/>
      </c>
      <c r="J2282">
        <f>IF(E2282="Outlook",COUNTIF($E$2:E2282,"Outlook"),"")</f>
        <v/>
      </c>
      <c r="K2282">
        <f>IF(E2282="Domain",COUNTIF($E$2:E2282,"Domain"),"")</f>
        <v/>
      </c>
    </row>
    <row r="2283">
      <c r="A2283" s="2" t="n"/>
      <c r="B2283">
        <f>LOWER(TRIM(A2283))</f>
        <v/>
      </c>
      <c r="C2283">
        <f>IF(B2283="","",IFERROR(INDEX('Bad Patterns'!$A$2:$A$120,MATCH(1,INDEX(--ISNUMBER(SEARCH('Bad Patterns'!$A$2:$A$120,B2283)),0),0)),""))</f>
        <v/>
      </c>
      <c r="D2283">
        <f>IF(B2283="","",IF(C2283&lt;&gt;"","REMOVE","KEEP"))</f>
        <v/>
      </c>
      <c r="E2283">
        <f>IF(D2283&lt;&gt;"KEEP","",IF(RIGHT(B2283,10)="@gmail.com","Gmail",IF(OR(RIGHT(B2283,12)="@outlook.com",RIGHT(B2283,12)="@hotmail.com",RIGHT(B2283,9)="@live.com"),"Outlook","Domain")))</f>
        <v/>
      </c>
      <c r="F2283">
        <f>IF(B2283="","",IFERROR(RIGHT(B2283,LEN(B2283)-FIND("@",B2283)),""))</f>
        <v/>
      </c>
      <c r="G2283">
        <f>IF(D2283="KEEP",COUNTIF($D$2:D2283,"KEEP"),"")</f>
        <v/>
      </c>
      <c r="H2283">
        <f>IF(D2283="REMOVE",COUNTIF($D$2:D2283,"REMOVE"),"")</f>
        <v/>
      </c>
      <c r="I2283">
        <f>IF(E2283="Gmail",COUNTIF($E$2:E2283,"Gmail"),"")</f>
        <v/>
      </c>
      <c r="J2283">
        <f>IF(E2283="Outlook",COUNTIF($E$2:E2283,"Outlook"),"")</f>
        <v/>
      </c>
      <c r="K2283">
        <f>IF(E2283="Domain",COUNTIF($E$2:E2283,"Domain"),"")</f>
        <v/>
      </c>
    </row>
    <row r="2284">
      <c r="A2284" s="2" t="n"/>
      <c r="B2284">
        <f>LOWER(TRIM(A2284))</f>
        <v/>
      </c>
      <c r="C2284">
        <f>IF(B2284="","",IFERROR(INDEX('Bad Patterns'!$A$2:$A$120,MATCH(1,INDEX(--ISNUMBER(SEARCH('Bad Patterns'!$A$2:$A$120,B2284)),0),0)),""))</f>
        <v/>
      </c>
      <c r="D2284">
        <f>IF(B2284="","",IF(C2284&lt;&gt;"","REMOVE","KEEP"))</f>
        <v/>
      </c>
      <c r="E2284">
        <f>IF(D2284&lt;&gt;"KEEP","",IF(RIGHT(B2284,10)="@gmail.com","Gmail",IF(OR(RIGHT(B2284,12)="@outlook.com",RIGHT(B2284,12)="@hotmail.com",RIGHT(B2284,9)="@live.com"),"Outlook","Domain")))</f>
        <v/>
      </c>
      <c r="F2284">
        <f>IF(B2284="","",IFERROR(RIGHT(B2284,LEN(B2284)-FIND("@",B2284)),""))</f>
        <v/>
      </c>
      <c r="G2284">
        <f>IF(D2284="KEEP",COUNTIF($D$2:D2284,"KEEP"),"")</f>
        <v/>
      </c>
      <c r="H2284">
        <f>IF(D2284="REMOVE",COUNTIF($D$2:D2284,"REMOVE"),"")</f>
        <v/>
      </c>
      <c r="I2284">
        <f>IF(E2284="Gmail",COUNTIF($E$2:E2284,"Gmail"),"")</f>
        <v/>
      </c>
      <c r="J2284">
        <f>IF(E2284="Outlook",COUNTIF($E$2:E2284,"Outlook"),"")</f>
        <v/>
      </c>
      <c r="K2284">
        <f>IF(E2284="Domain",COUNTIF($E$2:E2284,"Domain"),"")</f>
        <v/>
      </c>
    </row>
    <row r="2285">
      <c r="A2285" s="2" t="n"/>
      <c r="B2285">
        <f>LOWER(TRIM(A2285))</f>
        <v/>
      </c>
      <c r="C2285">
        <f>IF(B2285="","",IFERROR(INDEX('Bad Patterns'!$A$2:$A$120,MATCH(1,INDEX(--ISNUMBER(SEARCH('Bad Patterns'!$A$2:$A$120,B2285)),0),0)),""))</f>
        <v/>
      </c>
      <c r="D2285">
        <f>IF(B2285="","",IF(C2285&lt;&gt;"","REMOVE","KEEP"))</f>
        <v/>
      </c>
      <c r="E2285">
        <f>IF(D2285&lt;&gt;"KEEP","",IF(RIGHT(B2285,10)="@gmail.com","Gmail",IF(OR(RIGHT(B2285,12)="@outlook.com",RIGHT(B2285,12)="@hotmail.com",RIGHT(B2285,9)="@live.com"),"Outlook","Domain")))</f>
        <v/>
      </c>
      <c r="F2285">
        <f>IF(B2285="","",IFERROR(RIGHT(B2285,LEN(B2285)-FIND("@",B2285)),""))</f>
        <v/>
      </c>
      <c r="G2285">
        <f>IF(D2285="KEEP",COUNTIF($D$2:D2285,"KEEP"),"")</f>
        <v/>
      </c>
      <c r="H2285">
        <f>IF(D2285="REMOVE",COUNTIF($D$2:D2285,"REMOVE"),"")</f>
        <v/>
      </c>
      <c r="I2285">
        <f>IF(E2285="Gmail",COUNTIF($E$2:E2285,"Gmail"),"")</f>
        <v/>
      </c>
      <c r="J2285">
        <f>IF(E2285="Outlook",COUNTIF($E$2:E2285,"Outlook"),"")</f>
        <v/>
      </c>
      <c r="K2285">
        <f>IF(E2285="Domain",COUNTIF($E$2:E2285,"Domain"),"")</f>
        <v/>
      </c>
    </row>
    <row r="2286">
      <c r="A2286" s="2" t="n"/>
      <c r="B2286">
        <f>LOWER(TRIM(A2286))</f>
        <v/>
      </c>
      <c r="C2286">
        <f>IF(B2286="","",IFERROR(INDEX('Bad Patterns'!$A$2:$A$120,MATCH(1,INDEX(--ISNUMBER(SEARCH('Bad Patterns'!$A$2:$A$120,B2286)),0),0)),""))</f>
        <v/>
      </c>
      <c r="D2286">
        <f>IF(B2286="","",IF(C2286&lt;&gt;"","REMOVE","KEEP"))</f>
        <v/>
      </c>
      <c r="E2286">
        <f>IF(D2286&lt;&gt;"KEEP","",IF(RIGHT(B2286,10)="@gmail.com","Gmail",IF(OR(RIGHT(B2286,12)="@outlook.com",RIGHT(B2286,12)="@hotmail.com",RIGHT(B2286,9)="@live.com"),"Outlook","Domain")))</f>
        <v/>
      </c>
      <c r="F2286">
        <f>IF(B2286="","",IFERROR(RIGHT(B2286,LEN(B2286)-FIND("@",B2286)),""))</f>
        <v/>
      </c>
      <c r="G2286">
        <f>IF(D2286="KEEP",COUNTIF($D$2:D2286,"KEEP"),"")</f>
        <v/>
      </c>
      <c r="H2286">
        <f>IF(D2286="REMOVE",COUNTIF($D$2:D2286,"REMOVE"),"")</f>
        <v/>
      </c>
      <c r="I2286">
        <f>IF(E2286="Gmail",COUNTIF($E$2:E2286,"Gmail"),"")</f>
        <v/>
      </c>
      <c r="J2286">
        <f>IF(E2286="Outlook",COUNTIF($E$2:E2286,"Outlook"),"")</f>
        <v/>
      </c>
      <c r="K2286">
        <f>IF(E2286="Domain",COUNTIF($E$2:E2286,"Domain"),"")</f>
        <v/>
      </c>
    </row>
    <row r="2287">
      <c r="A2287" s="2" t="n"/>
      <c r="B2287">
        <f>LOWER(TRIM(A2287))</f>
        <v/>
      </c>
      <c r="C2287">
        <f>IF(B2287="","",IFERROR(INDEX('Bad Patterns'!$A$2:$A$120,MATCH(1,INDEX(--ISNUMBER(SEARCH('Bad Patterns'!$A$2:$A$120,B2287)),0),0)),""))</f>
        <v/>
      </c>
      <c r="D2287">
        <f>IF(B2287="","",IF(C2287&lt;&gt;"","REMOVE","KEEP"))</f>
        <v/>
      </c>
      <c r="E2287">
        <f>IF(D2287&lt;&gt;"KEEP","",IF(RIGHT(B2287,10)="@gmail.com","Gmail",IF(OR(RIGHT(B2287,12)="@outlook.com",RIGHT(B2287,12)="@hotmail.com",RIGHT(B2287,9)="@live.com"),"Outlook","Domain")))</f>
        <v/>
      </c>
      <c r="F2287">
        <f>IF(B2287="","",IFERROR(RIGHT(B2287,LEN(B2287)-FIND("@",B2287)),""))</f>
        <v/>
      </c>
      <c r="G2287">
        <f>IF(D2287="KEEP",COUNTIF($D$2:D2287,"KEEP"),"")</f>
        <v/>
      </c>
      <c r="H2287">
        <f>IF(D2287="REMOVE",COUNTIF($D$2:D2287,"REMOVE"),"")</f>
        <v/>
      </c>
      <c r="I2287">
        <f>IF(E2287="Gmail",COUNTIF($E$2:E2287,"Gmail"),"")</f>
        <v/>
      </c>
      <c r="J2287">
        <f>IF(E2287="Outlook",COUNTIF($E$2:E2287,"Outlook"),"")</f>
        <v/>
      </c>
      <c r="K2287">
        <f>IF(E2287="Domain",COUNTIF($E$2:E2287,"Domain"),"")</f>
        <v/>
      </c>
    </row>
    <row r="2288">
      <c r="A2288" s="2" t="n"/>
      <c r="B2288">
        <f>LOWER(TRIM(A2288))</f>
        <v/>
      </c>
      <c r="C2288">
        <f>IF(B2288="","",IFERROR(INDEX('Bad Patterns'!$A$2:$A$120,MATCH(1,INDEX(--ISNUMBER(SEARCH('Bad Patterns'!$A$2:$A$120,B2288)),0),0)),""))</f>
        <v/>
      </c>
      <c r="D2288">
        <f>IF(B2288="","",IF(C2288&lt;&gt;"","REMOVE","KEEP"))</f>
        <v/>
      </c>
      <c r="E2288">
        <f>IF(D2288&lt;&gt;"KEEP","",IF(RIGHT(B2288,10)="@gmail.com","Gmail",IF(OR(RIGHT(B2288,12)="@outlook.com",RIGHT(B2288,12)="@hotmail.com",RIGHT(B2288,9)="@live.com"),"Outlook","Domain")))</f>
        <v/>
      </c>
      <c r="F2288">
        <f>IF(B2288="","",IFERROR(RIGHT(B2288,LEN(B2288)-FIND("@",B2288)),""))</f>
        <v/>
      </c>
      <c r="G2288">
        <f>IF(D2288="KEEP",COUNTIF($D$2:D2288,"KEEP"),"")</f>
        <v/>
      </c>
      <c r="H2288">
        <f>IF(D2288="REMOVE",COUNTIF($D$2:D2288,"REMOVE"),"")</f>
        <v/>
      </c>
      <c r="I2288">
        <f>IF(E2288="Gmail",COUNTIF($E$2:E2288,"Gmail"),"")</f>
        <v/>
      </c>
      <c r="J2288">
        <f>IF(E2288="Outlook",COUNTIF($E$2:E2288,"Outlook"),"")</f>
        <v/>
      </c>
      <c r="K2288">
        <f>IF(E2288="Domain",COUNTIF($E$2:E2288,"Domain"),"")</f>
        <v/>
      </c>
    </row>
    <row r="2289">
      <c r="A2289" s="2" t="n"/>
      <c r="B2289">
        <f>LOWER(TRIM(A2289))</f>
        <v/>
      </c>
      <c r="C2289">
        <f>IF(B2289="","",IFERROR(INDEX('Bad Patterns'!$A$2:$A$120,MATCH(1,INDEX(--ISNUMBER(SEARCH('Bad Patterns'!$A$2:$A$120,B2289)),0),0)),""))</f>
        <v/>
      </c>
      <c r="D2289">
        <f>IF(B2289="","",IF(C2289&lt;&gt;"","REMOVE","KEEP"))</f>
        <v/>
      </c>
      <c r="E2289">
        <f>IF(D2289&lt;&gt;"KEEP","",IF(RIGHT(B2289,10)="@gmail.com","Gmail",IF(OR(RIGHT(B2289,12)="@outlook.com",RIGHT(B2289,12)="@hotmail.com",RIGHT(B2289,9)="@live.com"),"Outlook","Domain")))</f>
        <v/>
      </c>
      <c r="F2289">
        <f>IF(B2289="","",IFERROR(RIGHT(B2289,LEN(B2289)-FIND("@",B2289)),""))</f>
        <v/>
      </c>
      <c r="G2289">
        <f>IF(D2289="KEEP",COUNTIF($D$2:D2289,"KEEP"),"")</f>
        <v/>
      </c>
      <c r="H2289">
        <f>IF(D2289="REMOVE",COUNTIF($D$2:D2289,"REMOVE"),"")</f>
        <v/>
      </c>
      <c r="I2289">
        <f>IF(E2289="Gmail",COUNTIF($E$2:E2289,"Gmail"),"")</f>
        <v/>
      </c>
      <c r="J2289">
        <f>IF(E2289="Outlook",COUNTIF($E$2:E2289,"Outlook"),"")</f>
        <v/>
      </c>
      <c r="K2289">
        <f>IF(E2289="Domain",COUNTIF($E$2:E2289,"Domain"),"")</f>
        <v/>
      </c>
    </row>
    <row r="2290">
      <c r="A2290" s="2" t="n"/>
      <c r="B2290">
        <f>LOWER(TRIM(A2290))</f>
        <v/>
      </c>
      <c r="C2290">
        <f>IF(B2290="","",IFERROR(INDEX('Bad Patterns'!$A$2:$A$120,MATCH(1,INDEX(--ISNUMBER(SEARCH('Bad Patterns'!$A$2:$A$120,B2290)),0),0)),""))</f>
        <v/>
      </c>
      <c r="D2290">
        <f>IF(B2290="","",IF(C2290&lt;&gt;"","REMOVE","KEEP"))</f>
        <v/>
      </c>
      <c r="E2290">
        <f>IF(D2290&lt;&gt;"KEEP","",IF(RIGHT(B2290,10)="@gmail.com","Gmail",IF(OR(RIGHT(B2290,12)="@outlook.com",RIGHT(B2290,12)="@hotmail.com",RIGHT(B2290,9)="@live.com"),"Outlook","Domain")))</f>
        <v/>
      </c>
      <c r="F2290">
        <f>IF(B2290="","",IFERROR(RIGHT(B2290,LEN(B2290)-FIND("@",B2290)),""))</f>
        <v/>
      </c>
      <c r="G2290">
        <f>IF(D2290="KEEP",COUNTIF($D$2:D2290,"KEEP"),"")</f>
        <v/>
      </c>
      <c r="H2290">
        <f>IF(D2290="REMOVE",COUNTIF($D$2:D2290,"REMOVE"),"")</f>
        <v/>
      </c>
      <c r="I2290">
        <f>IF(E2290="Gmail",COUNTIF($E$2:E2290,"Gmail"),"")</f>
        <v/>
      </c>
      <c r="J2290">
        <f>IF(E2290="Outlook",COUNTIF($E$2:E2290,"Outlook"),"")</f>
        <v/>
      </c>
      <c r="K2290">
        <f>IF(E2290="Domain",COUNTIF($E$2:E2290,"Domain"),"")</f>
        <v/>
      </c>
    </row>
    <row r="2291">
      <c r="A2291" s="2" t="n"/>
      <c r="B2291">
        <f>LOWER(TRIM(A2291))</f>
        <v/>
      </c>
      <c r="C2291">
        <f>IF(B2291="","",IFERROR(INDEX('Bad Patterns'!$A$2:$A$120,MATCH(1,INDEX(--ISNUMBER(SEARCH('Bad Patterns'!$A$2:$A$120,B2291)),0),0)),""))</f>
        <v/>
      </c>
      <c r="D2291">
        <f>IF(B2291="","",IF(C2291&lt;&gt;"","REMOVE","KEEP"))</f>
        <v/>
      </c>
      <c r="E2291">
        <f>IF(D2291&lt;&gt;"KEEP","",IF(RIGHT(B2291,10)="@gmail.com","Gmail",IF(OR(RIGHT(B2291,12)="@outlook.com",RIGHT(B2291,12)="@hotmail.com",RIGHT(B2291,9)="@live.com"),"Outlook","Domain")))</f>
        <v/>
      </c>
      <c r="F2291">
        <f>IF(B2291="","",IFERROR(RIGHT(B2291,LEN(B2291)-FIND("@",B2291)),""))</f>
        <v/>
      </c>
      <c r="G2291">
        <f>IF(D2291="KEEP",COUNTIF($D$2:D2291,"KEEP"),"")</f>
        <v/>
      </c>
      <c r="H2291">
        <f>IF(D2291="REMOVE",COUNTIF($D$2:D2291,"REMOVE"),"")</f>
        <v/>
      </c>
      <c r="I2291">
        <f>IF(E2291="Gmail",COUNTIF($E$2:E2291,"Gmail"),"")</f>
        <v/>
      </c>
      <c r="J2291">
        <f>IF(E2291="Outlook",COUNTIF($E$2:E2291,"Outlook"),"")</f>
        <v/>
      </c>
      <c r="K2291">
        <f>IF(E2291="Domain",COUNTIF($E$2:E2291,"Domain"),"")</f>
        <v/>
      </c>
    </row>
    <row r="2292">
      <c r="A2292" s="2" t="n"/>
      <c r="B2292">
        <f>LOWER(TRIM(A2292))</f>
        <v/>
      </c>
      <c r="C2292">
        <f>IF(B2292="","",IFERROR(INDEX('Bad Patterns'!$A$2:$A$120,MATCH(1,INDEX(--ISNUMBER(SEARCH('Bad Patterns'!$A$2:$A$120,B2292)),0),0)),""))</f>
        <v/>
      </c>
      <c r="D2292">
        <f>IF(B2292="","",IF(C2292&lt;&gt;"","REMOVE","KEEP"))</f>
        <v/>
      </c>
      <c r="E2292">
        <f>IF(D2292&lt;&gt;"KEEP","",IF(RIGHT(B2292,10)="@gmail.com","Gmail",IF(OR(RIGHT(B2292,12)="@outlook.com",RIGHT(B2292,12)="@hotmail.com",RIGHT(B2292,9)="@live.com"),"Outlook","Domain")))</f>
        <v/>
      </c>
      <c r="F2292">
        <f>IF(B2292="","",IFERROR(RIGHT(B2292,LEN(B2292)-FIND("@",B2292)),""))</f>
        <v/>
      </c>
      <c r="G2292">
        <f>IF(D2292="KEEP",COUNTIF($D$2:D2292,"KEEP"),"")</f>
        <v/>
      </c>
      <c r="H2292">
        <f>IF(D2292="REMOVE",COUNTIF($D$2:D2292,"REMOVE"),"")</f>
        <v/>
      </c>
      <c r="I2292">
        <f>IF(E2292="Gmail",COUNTIF($E$2:E2292,"Gmail"),"")</f>
        <v/>
      </c>
      <c r="J2292">
        <f>IF(E2292="Outlook",COUNTIF($E$2:E2292,"Outlook"),"")</f>
        <v/>
      </c>
      <c r="K2292">
        <f>IF(E2292="Domain",COUNTIF($E$2:E2292,"Domain"),"")</f>
        <v/>
      </c>
    </row>
    <row r="2293">
      <c r="A2293" s="2" t="n"/>
      <c r="B2293">
        <f>LOWER(TRIM(A2293))</f>
        <v/>
      </c>
      <c r="C2293">
        <f>IF(B2293="","",IFERROR(INDEX('Bad Patterns'!$A$2:$A$120,MATCH(1,INDEX(--ISNUMBER(SEARCH('Bad Patterns'!$A$2:$A$120,B2293)),0),0)),""))</f>
        <v/>
      </c>
      <c r="D2293">
        <f>IF(B2293="","",IF(C2293&lt;&gt;"","REMOVE","KEEP"))</f>
        <v/>
      </c>
      <c r="E2293">
        <f>IF(D2293&lt;&gt;"KEEP","",IF(RIGHT(B2293,10)="@gmail.com","Gmail",IF(OR(RIGHT(B2293,12)="@outlook.com",RIGHT(B2293,12)="@hotmail.com",RIGHT(B2293,9)="@live.com"),"Outlook","Domain")))</f>
        <v/>
      </c>
      <c r="F2293">
        <f>IF(B2293="","",IFERROR(RIGHT(B2293,LEN(B2293)-FIND("@",B2293)),""))</f>
        <v/>
      </c>
      <c r="G2293">
        <f>IF(D2293="KEEP",COUNTIF($D$2:D2293,"KEEP"),"")</f>
        <v/>
      </c>
      <c r="H2293">
        <f>IF(D2293="REMOVE",COUNTIF($D$2:D2293,"REMOVE"),"")</f>
        <v/>
      </c>
      <c r="I2293">
        <f>IF(E2293="Gmail",COUNTIF($E$2:E2293,"Gmail"),"")</f>
        <v/>
      </c>
      <c r="J2293">
        <f>IF(E2293="Outlook",COUNTIF($E$2:E2293,"Outlook"),"")</f>
        <v/>
      </c>
      <c r="K2293">
        <f>IF(E2293="Domain",COUNTIF($E$2:E2293,"Domain"),"")</f>
        <v/>
      </c>
    </row>
    <row r="2294">
      <c r="A2294" s="2" t="n"/>
      <c r="B2294">
        <f>LOWER(TRIM(A2294))</f>
        <v/>
      </c>
      <c r="C2294">
        <f>IF(B2294="","",IFERROR(INDEX('Bad Patterns'!$A$2:$A$120,MATCH(1,INDEX(--ISNUMBER(SEARCH('Bad Patterns'!$A$2:$A$120,B2294)),0),0)),""))</f>
        <v/>
      </c>
      <c r="D2294">
        <f>IF(B2294="","",IF(C2294&lt;&gt;"","REMOVE","KEEP"))</f>
        <v/>
      </c>
      <c r="E2294">
        <f>IF(D2294&lt;&gt;"KEEP","",IF(RIGHT(B2294,10)="@gmail.com","Gmail",IF(OR(RIGHT(B2294,12)="@outlook.com",RIGHT(B2294,12)="@hotmail.com",RIGHT(B2294,9)="@live.com"),"Outlook","Domain")))</f>
        <v/>
      </c>
      <c r="F2294">
        <f>IF(B2294="","",IFERROR(RIGHT(B2294,LEN(B2294)-FIND("@",B2294)),""))</f>
        <v/>
      </c>
      <c r="G2294">
        <f>IF(D2294="KEEP",COUNTIF($D$2:D2294,"KEEP"),"")</f>
        <v/>
      </c>
      <c r="H2294">
        <f>IF(D2294="REMOVE",COUNTIF($D$2:D2294,"REMOVE"),"")</f>
        <v/>
      </c>
      <c r="I2294">
        <f>IF(E2294="Gmail",COUNTIF($E$2:E2294,"Gmail"),"")</f>
        <v/>
      </c>
      <c r="J2294">
        <f>IF(E2294="Outlook",COUNTIF($E$2:E2294,"Outlook"),"")</f>
        <v/>
      </c>
      <c r="K2294">
        <f>IF(E2294="Domain",COUNTIF($E$2:E2294,"Domain"),"")</f>
        <v/>
      </c>
    </row>
    <row r="2295">
      <c r="A2295" s="2" t="n"/>
      <c r="B2295">
        <f>LOWER(TRIM(A2295))</f>
        <v/>
      </c>
      <c r="C2295">
        <f>IF(B2295="","",IFERROR(INDEX('Bad Patterns'!$A$2:$A$120,MATCH(1,INDEX(--ISNUMBER(SEARCH('Bad Patterns'!$A$2:$A$120,B2295)),0),0)),""))</f>
        <v/>
      </c>
      <c r="D2295">
        <f>IF(B2295="","",IF(C2295&lt;&gt;"","REMOVE","KEEP"))</f>
        <v/>
      </c>
      <c r="E2295">
        <f>IF(D2295&lt;&gt;"KEEP","",IF(RIGHT(B2295,10)="@gmail.com","Gmail",IF(OR(RIGHT(B2295,12)="@outlook.com",RIGHT(B2295,12)="@hotmail.com",RIGHT(B2295,9)="@live.com"),"Outlook","Domain")))</f>
        <v/>
      </c>
      <c r="F2295">
        <f>IF(B2295="","",IFERROR(RIGHT(B2295,LEN(B2295)-FIND("@",B2295)),""))</f>
        <v/>
      </c>
      <c r="G2295">
        <f>IF(D2295="KEEP",COUNTIF($D$2:D2295,"KEEP"),"")</f>
        <v/>
      </c>
      <c r="H2295">
        <f>IF(D2295="REMOVE",COUNTIF($D$2:D2295,"REMOVE"),"")</f>
        <v/>
      </c>
      <c r="I2295">
        <f>IF(E2295="Gmail",COUNTIF($E$2:E2295,"Gmail"),"")</f>
        <v/>
      </c>
      <c r="J2295">
        <f>IF(E2295="Outlook",COUNTIF($E$2:E2295,"Outlook"),"")</f>
        <v/>
      </c>
      <c r="K2295">
        <f>IF(E2295="Domain",COUNTIF($E$2:E2295,"Domain"),"")</f>
        <v/>
      </c>
    </row>
    <row r="2296">
      <c r="A2296" s="2" t="n"/>
      <c r="B2296">
        <f>LOWER(TRIM(A2296))</f>
        <v/>
      </c>
      <c r="C2296">
        <f>IF(B2296="","",IFERROR(INDEX('Bad Patterns'!$A$2:$A$120,MATCH(1,INDEX(--ISNUMBER(SEARCH('Bad Patterns'!$A$2:$A$120,B2296)),0),0)),""))</f>
        <v/>
      </c>
      <c r="D2296">
        <f>IF(B2296="","",IF(C2296&lt;&gt;"","REMOVE","KEEP"))</f>
        <v/>
      </c>
      <c r="E2296">
        <f>IF(D2296&lt;&gt;"KEEP","",IF(RIGHT(B2296,10)="@gmail.com","Gmail",IF(OR(RIGHT(B2296,12)="@outlook.com",RIGHT(B2296,12)="@hotmail.com",RIGHT(B2296,9)="@live.com"),"Outlook","Domain")))</f>
        <v/>
      </c>
      <c r="F2296">
        <f>IF(B2296="","",IFERROR(RIGHT(B2296,LEN(B2296)-FIND("@",B2296)),""))</f>
        <v/>
      </c>
      <c r="G2296">
        <f>IF(D2296="KEEP",COUNTIF($D$2:D2296,"KEEP"),"")</f>
        <v/>
      </c>
      <c r="H2296">
        <f>IF(D2296="REMOVE",COUNTIF($D$2:D2296,"REMOVE"),"")</f>
        <v/>
      </c>
      <c r="I2296">
        <f>IF(E2296="Gmail",COUNTIF($E$2:E2296,"Gmail"),"")</f>
        <v/>
      </c>
      <c r="J2296">
        <f>IF(E2296="Outlook",COUNTIF($E$2:E2296,"Outlook"),"")</f>
        <v/>
      </c>
      <c r="K2296">
        <f>IF(E2296="Domain",COUNTIF($E$2:E2296,"Domain"),"")</f>
        <v/>
      </c>
    </row>
    <row r="2297">
      <c r="A2297" s="2" t="n"/>
      <c r="B2297">
        <f>LOWER(TRIM(A2297))</f>
        <v/>
      </c>
      <c r="C2297">
        <f>IF(B2297="","",IFERROR(INDEX('Bad Patterns'!$A$2:$A$120,MATCH(1,INDEX(--ISNUMBER(SEARCH('Bad Patterns'!$A$2:$A$120,B2297)),0),0)),""))</f>
        <v/>
      </c>
      <c r="D2297">
        <f>IF(B2297="","",IF(C2297&lt;&gt;"","REMOVE","KEEP"))</f>
        <v/>
      </c>
      <c r="E2297">
        <f>IF(D2297&lt;&gt;"KEEP","",IF(RIGHT(B2297,10)="@gmail.com","Gmail",IF(OR(RIGHT(B2297,12)="@outlook.com",RIGHT(B2297,12)="@hotmail.com",RIGHT(B2297,9)="@live.com"),"Outlook","Domain")))</f>
        <v/>
      </c>
      <c r="F2297">
        <f>IF(B2297="","",IFERROR(RIGHT(B2297,LEN(B2297)-FIND("@",B2297)),""))</f>
        <v/>
      </c>
      <c r="G2297">
        <f>IF(D2297="KEEP",COUNTIF($D$2:D2297,"KEEP"),"")</f>
        <v/>
      </c>
      <c r="H2297">
        <f>IF(D2297="REMOVE",COUNTIF($D$2:D2297,"REMOVE"),"")</f>
        <v/>
      </c>
      <c r="I2297">
        <f>IF(E2297="Gmail",COUNTIF($E$2:E2297,"Gmail"),"")</f>
        <v/>
      </c>
      <c r="J2297">
        <f>IF(E2297="Outlook",COUNTIF($E$2:E2297,"Outlook"),"")</f>
        <v/>
      </c>
      <c r="K2297">
        <f>IF(E2297="Domain",COUNTIF($E$2:E2297,"Domain"),"")</f>
        <v/>
      </c>
    </row>
    <row r="2298">
      <c r="A2298" s="2" t="n"/>
      <c r="B2298">
        <f>LOWER(TRIM(A2298))</f>
        <v/>
      </c>
      <c r="C2298">
        <f>IF(B2298="","",IFERROR(INDEX('Bad Patterns'!$A$2:$A$120,MATCH(1,INDEX(--ISNUMBER(SEARCH('Bad Patterns'!$A$2:$A$120,B2298)),0),0)),""))</f>
        <v/>
      </c>
      <c r="D2298">
        <f>IF(B2298="","",IF(C2298&lt;&gt;"","REMOVE","KEEP"))</f>
        <v/>
      </c>
      <c r="E2298">
        <f>IF(D2298&lt;&gt;"KEEP","",IF(RIGHT(B2298,10)="@gmail.com","Gmail",IF(OR(RIGHT(B2298,12)="@outlook.com",RIGHT(B2298,12)="@hotmail.com",RIGHT(B2298,9)="@live.com"),"Outlook","Domain")))</f>
        <v/>
      </c>
      <c r="F2298">
        <f>IF(B2298="","",IFERROR(RIGHT(B2298,LEN(B2298)-FIND("@",B2298)),""))</f>
        <v/>
      </c>
      <c r="G2298">
        <f>IF(D2298="KEEP",COUNTIF($D$2:D2298,"KEEP"),"")</f>
        <v/>
      </c>
      <c r="H2298">
        <f>IF(D2298="REMOVE",COUNTIF($D$2:D2298,"REMOVE"),"")</f>
        <v/>
      </c>
      <c r="I2298">
        <f>IF(E2298="Gmail",COUNTIF($E$2:E2298,"Gmail"),"")</f>
        <v/>
      </c>
      <c r="J2298">
        <f>IF(E2298="Outlook",COUNTIF($E$2:E2298,"Outlook"),"")</f>
        <v/>
      </c>
      <c r="K2298">
        <f>IF(E2298="Domain",COUNTIF($E$2:E2298,"Domain"),"")</f>
        <v/>
      </c>
    </row>
    <row r="2299">
      <c r="A2299" s="2" t="n"/>
      <c r="B2299">
        <f>LOWER(TRIM(A2299))</f>
        <v/>
      </c>
      <c r="C2299">
        <f>IF(B2299="","",IFERROR(INDEX('Bad Patterns'!$A$2:$A$120,MATCH(1,INDEX(--ISNUMBER(SEARCH('Bad Patterns'!$A$2:$A$120,B2299)),0),0)),""))</f>
        <v/>
      </c>
      <c r="D2299">
        <f>IF(B2299="","",IF(C2299&lt;&gt;"","REMOVE","KEEP"))</f>
        <v/>
      </c>
      <c r="E2299">
        <f>IF(D2299&lt;&gt;"KEEP","",IF(RIGHT(B2299,10)="@gmail.com","Gmail",IF(OR(RIGHT(B2299,12)="@outlook.com",RIGHT(B2299,12)="@hotmail.com",RIGHT(B2299,9)="@live.com"),"Outlook","Domain")))</f>
        <v/>
      </c>
      <c r="F2299">
        <f>IF(B2299="","",IFERROR(RIGHT(B2299,LEN(B2299)-FIND("@",B2299)),""))</f>
        <v/>
      </c>
      <c r="G2299">
        <f>IF(D2299="KEEP",COUNTIF($D$2:D2299,"KEEP"),"")</f>
        <v/>
      </c>
      <c r="H2299">
        <f>IF(D2299="REMOVE",COUNTIF($D$2:D2299,"REMOVE"),"")</f>
        <v/>
      </c>
      <c r="I2299">
        <f>IF(E2299="Gmail",COUNTIF($E$2:E2299,"Gmail"),"")</f>
        <v/>
      </c>
      <c r="J2299">
        <f>IF(E2299="Outlook",COUNTIF($E$2:E2299,"Outlook"),"")</f>
        <v/>
      </c>
      <c r="K2299">
        <f>IF(E2299="Domain",COUNTIF($E$2:E2299,"Domain"),"")</f>
        <v/>
      </c>
    </row>
    <row r="2300">
      <c r="A2300" s="2" t="n"/>
      <c r="B2300">
        <f>LOWER(TRIM(A2300))</f>
        <v/>
      </c>
      <c r="C2300">
        <f>IF(B2300="","",IFERROR(INDEX('Bad Patterns'!$A$2:$A$120,MATCH(1,INDEX(--ISNUMBER(SEARCH('Bad Patterns'!$A$2:$A$120,B2300)),0),0)),""))</f>
        <v/>
      </c>
      <c r="D2300">
        <f>IF(B2300="","",IF(C2300&lt;&gt;"","REMOVE","KEEP"))</f>
        <v/>
      </c>
      <c r="E2300">
        <f>IF(D2300&lt;&gt;"KEEP","",IF(RIGHT(B2300,10)="@gmail.com","Gmail",IF(OR(RIGHT(B2300,12)="@outlook.com",RIGHT(B2300,12)="@hotmail.com",RIGHT(B2300,9)="@live.com"),"Outlook","Domain")))</f>
        <v/>
      </c>
      <c r="F2300">
        <f>IF(B2300="","",IFERROR(RIGHT(B2300,LEN(B2300)-FIND("@",B2300)),""))</f>
        <v/>
      </c>
      <c r="G2300">
        <f>IF(D2300="KEEP",COUNTIF($D$2:D2300,"KEEP"),"")</f>
        <v/>
      </c>
      <c r="H2300">
        <f>IF(D2300="REMOVE",COUNTIF($D$2:D2300,"REMOVE"),"")</f>
        <v/>
      </c>
      <c r="I2300">
        <f>IF(E2300="Gmail",COUNTIF($E$2:E2300,"Gmail"),"")</f>
        <v/>
      </c>
      <c r="J2300">
        <f>IF(E2300="Outlook",COUNTIF($E$2:E2300,"Outlook"),"")</f>
        <v/>
      </c>
      <c r="K2300">
        <f>IF(E2300="Domain",COUNTIF($E$2:E2300,"Domain"),"")</f>
        <v/>
      </c>
    </row>
    <row r="2301">
      <c r="A2301" s="2" t="n"/>
      <c r="B2301">
        <f>LOWER(TRIM(A2301))</f>
        <v/>
      </c>
      <c r="C2301">
        <f>IF(B2301="","",IFERROR(INDEX('Bad Patterns'!$A$2:$A$120,MATCH(1,INDEX(--ISNUMBER(SEARCH('Bad Patterns'!$A$2:$A$120,B2301)),0),0)),""))</f>
        <v/>
      </c>
      <c r="D2301">
        <f>IF(B2301="","",IF(C2301&lt;&gt;"","REMOVE","KEEP"))</f>
        <v/>
      </c>
      <c r="E2301">
        <f>IF(D2301&lt;&gt;"KEEP","",IF(RIGHT(B2301,10)="@gmail.com","Gmail",IF(OR(RIGHT(B2301,12)="@outlook.com",RIGHT(B2301,12)="@hotmail.com",RIGHT(B2301,9)="@live.com"),"Outlook","Domain")))</f>
        <v/>
      </c>
      <c r="F2301">
        <f>IF(B2301="","",IFERROR(RIGHT(B2301,LEN(B2301)-FIND("@",B2301)),""))</f>
        <v/>
      </c>
      <c r="G2301">
        <f>IF(D2301="KEEP",COUNTIF($D$2:D2301,"KEEP"),"")</f>
        <v/>
      </c>
      <c r="H2301">
        <f>IF(D2301="REMOVE",COUNTIF($D$2:D2301,"REMOVE"),"")</f>
        <v/>
      </c>
      <c r="I2301">
        <f>IF(E2301="Gmail",COUNTIF($E$2:E2301,"Gmail"),"")</f>
        <v/>
      </c>
      <c r="J2301">
        <f>IF(E2301="Outlook",COUNTIF($E$2:E2301,"Outlook"),"")</f>
        <v/>
      </c>
      <c r="K2301">
        <f>IF(E2301="Domain",COUNTIF($E$2:E2301,"Domain"),"")</f>
        <v/>
      </c>
    </row>
    <row r="2302">
      <c r="A2302" s="2" t="n"/>
      <c r="B2302">
        <f>LOWER(TRIM(A2302))</f>
        <v/>
      </c>
      <c r="C2302">
        <f>IF(B2302="","",IFERROR(INDEX('Bad Patterns'!$A$2:$A$120,MATCH(1,INDEX(--ISNUMBER(SEARCH('Bad Patterns'!$A$2:$A$120,B2302)),0),0)),""))</f>
        <v/>
      </c>
      <c r="D2302">
        <f>IF(B2302="","",IF(C2302&lt;&gt;"","REMOVE","KEEP"))</f>
        <v/>
      </c>
      <c r="E2302">
        <f>IF(D2302&lt;&gt;"KEEP","",IF(RIGHT(B2302,10)="@gmail.com","Gmail",IF(OR(RIGHT(B2302,12)="@outlook.com",RIGHT(B2302,12)="@hotmail.com",RIGHT(B2302,9)="@live.com"),"Outlook","Domain")))</f>
        <v/>
      </c>
      <c r="F2302">
        <f>IF(B2302="","",IFERROR(RIGHT(B2302,LEN(B2302)-FIND("@",B2302)),""))</f>
        <v/>
      </c>
      <c r="G2302">
        <f>IF(D2302="KEEP",COUNTIF($D$2:D2302,"KEEP"),"")</f>
        <v/>
      </c>
      <c r="H2302">
        <f>IF(D2302="REMOVE",COUNTIF($D$2:D2302,"REMOVE"),"")</f>
        <v/>
      </c>
      <c r="I2302">
        <f>IF(E2302="Gmail",COUNTIF($E$2:E2302,"Gmail"),"")</f>
        <v/>
      </c>
      <c r="J2302">
        <f>IF(E2302="Outlook",COUNTIF($E$2:E2302,"Outlook"),"")</f>
        <v/>
      </c>
      <c r="K2302">
        <f>IF(E2302="Domain",COUNTIF($E$2:E2302,"Domain"),"")</f>
        <v/>
      </c>
    </row>
    <row r="2303">
      <c r="A2303" s="2" t="n"/>
      <c r="B2303">
        <f>LOWER(TRIM(A2303))</f>
        <v/>
      </c>
      <c r="C2303">
        <f>IF(B2303="","",IFERROR(INDEX('Bad Patterns'!$A$2:$A$120,MATCH(1,INDEX(--ISNUMBER(SEARCH('Bad Patterns'!$A$2:$A$120,B2303)),0),0)),""))</f>
        <v/>
      </c>
      <c r="D2303">
        <f>IF(B2303="","",IF(C2303&lt;&gt;"","REMOVE","KEEP"))</f>
        <v/>
      </c>
      <c r="E2303">
        <f>IF(D2303&lt;&gt;"KEEP","",IF(RIGHT(B2303,10)="@gmail.com","Gmail",IF(OR(RIGHT(B2303,12)="@outlook.com",RIGHT(B2303,12)="@hotmail.com",RIGHT(B2303,9)="@live.com"),"Outlook","Domain")))</f>
        <v/>
      </c>
      <c r="F2303">
        <f>IF(B2303="","",IFERROR(RIGHT(B2303,LEN(B2303)-FIND("@",B2303)),""))</f>
        <v/>
      </c>
      <c r="G2303">
        <f>IF(D2303="KEEP",COUNTIF($D$2:D2303,"KEEP"),"")</f>
        <v/>
      </c>
      <c r="H2303">
        <f>IF(D2303="REMOVE",COUNTIF($D$2:D2303,"REMOVE"),"")</f>
        <v/>
      </c>
      <c r="I2303">
        <f>IF(E2303="Gmail",COUNTIF($E$2:E2303,"Gmail"),"")</f>
        <v/>
      </c>
      <c r="J2303">
        <f>IF(E2303="Outlook",COUNTIF($E$2:E2303,"Outlook"),"")</f>
        <v/>
      </c>
      <c r="K2303">
        <f>IF(E2303="Domain",COUNTIF($E$2:E2303,"Domain"),"")</f>
        <v/>
      </c>
    </row>
    <row r="2304">
      <c r="A2304" s="2" t="n"/>
      <c r="B2304">
        <f>LOWER(TRIM(A2304))</f>
        <v/>
      </c>
      <c r="C2304">
        <f>IF(B2304="","",IFERROR(INDEX('Bad Patterns'!$A$2:$A$120,MATCH(1,INDEX(--ISNUMBER(SEARCH('Bad Patterns'!$A$2:$A$120,B2304)),0),0)),""))</f>
        <v/>
      </c>
      <c r="D2304">
        <f>IF(B2304="","",IF(C2304&lt;&gt;"","REMOVE","KEEP"))</f>
        <v/>
      </c>
      <c r="E2304">
        <f>IF(D2304&lt;&gt;"KEEP","",IF(RIGHT(B2304,10)="@gmail.com","Gmail",IF(OR(RIGHT(B2304,12)="@outlook.com",RIGHT(B2304,12)="@hotmail.com",RIGHT(B2304,9)="@live.com"),"Outlook","Domain")))</f>
        <v/>
      </c>
      <c r="F2304">
        <f>IF(B2304="","",IFERROR(RIGHT(B2304,LEN(B2304)-FIND("@",B2304)),""))</f>
        <v/>
      </c>
      <c r="G2304">
        <f>IF(D2304="KEEP",COUNTIF($D$2:D2304,"KEEP"),"")</f>
        <v/>
      </c>
      <c r="H2304">
        <f>IF(D2304="REMOVE",COUNTIF($D$2:D2304,"REMOVE"),"")</f>
        <v/>
      </c>
      <c r="I2304">
        <f>IF(E2304="Gmail",COUNTIF($E$2:E2304,"Gmail"),"")</f>
        <v/>
      </c>
      <c r="J2304">
        <f>IF(E2304="Outlook",COUNTIF($E$2:E2304,"Outlook"),"")</f>
        <v/>
      </c>
      <c r="K2304">
        <f>IF(E2304="Domain",COUNTIF($E$2:E2304,"Domain"),"")</f>
        <v/>
      </c>
    </row>
    <row r="2305">
      <c r="A2305" s="2" t="n"/>
      <c r="B2305">
        <f>LOWER(TRIM(A2305))</f>
        <v/>
      </c>
      <c r="C2305">
        <f>IF(B2305="","",IFERROR(INDEX('Bad Patterns'!$A$2:$A$120,MATCH(1,INDEX(--ISNUMBER(SEARCH('Bad Patterns'!$A$2:$A$120,B2305)),0),0)),""))</f>
        <v/>
      </c>
      <c r="D2305">
        <f>IF(B2305="","",IF(C2305&lt;&gt;"","REMOVE","KEEP"))</f>
        <v/>
      </c>
      <c r="E2305">
        <f>IF(D2305&lt;&gt;"KEEP","",IF(RIGHT(B2305,10)="@gmail.com","Gmail",IF(OR(RIGHT(B2305,12)="@outlook.com",RIGHT(B2305,12)="@hotmail.com",RIGHT(B2305,9)="@live.com"),"Outlook","Domain")))</f>
        <v/>
      </c>
      <c r="F2305">
        <f>IF(B2305="","",IFERROR(RIGHT(B2305,LEN(B2305)-FIND("@",B2305)),""))</f>
        <v/>
      </c>
      <c r="G2305">
        <f>IF(D2305="KEEP",COUNTIF($D$2:D2305,"KEEP"),"")</f>
        <v/>
      </c>
      <c r="H2305">
        <f>IF(D2305="REMOVE",COUNTIF($D$2:D2305,"REMOVE"),"")</f>
        <v/>
      </c>
      <c r="I2305">
        <f>IF(E2305="Gmail",COUNTIF($E$2:E2305,"Gmail"),"")</f>
        <v/>
      </c>
      <c r="J2305">
        <f>IF(E2305="Outlook",COUNTIF($E$2:E2305,"Outlook"),"")</f>
        <v/>
      </c>
      <c r="K2305">
        <f>IF(E2305="Domain",COUNTIF($E$2:E2305,"Domain"),"")</f>
        <v/>
      </c>
    </row>
    <row r="2306">
      <c r="A2306" s="2" t="n"/>
      <c r="B2306">
        <f>LOWER(TRIM(A2306))</f>
        <v/>
      </c>
      <c r="C2306">
        <f>IF(B2306="","",IFERROR(INDEX('Bad Patterns'!$A$2:$A$120,MATCH(1,INDEX(--ISNUMBER(SEARCH('Bad Patterns'!$A$2:$A$120,B2306)),0),0)),""))</f>
        <v/>
      </c>
      <c r="D2306">
        <f>IF(B2306="","",IF(C2306&lt;&gt;"","REMOVE","KEEP"))</f>
        <v/>
      </c>
      <c r="E2306">
        <f>IF(D2306&lt;&gt;"KEEP","",IF(RIGHT(B2306,10)="@gmail.com","Gmail",IF(OR(RIGHT(B2306,12)="@outlook.com",RIGHT(B2306,12)="@hotmail.com",RIGHT(B2306,9)="@live.com"),"Outlook","Domain")))</f>
        <v/>
      </c>
      <c r="F2306">
        <f>IF(B2306="","",IFERROR(RIGHT(B2306,LEN(B2306)-FIND("@",B2306)),""))</f>
        <v/>
      </c>
      <c r="G2306">
        <f>IF(D2306="KEEP",COUNTIF($D$2:D2306,"KEEP"),"")</f>
        <v/>
      </c>
      <c r="H2306">
        <f>IF(D2306="REMOVE",COUNTIF($D$2:D2306,"REMOVE"),"")</f>
        <v/>
      </c>
      <c r="I2306">
        <f>IF(E2306="Gmail",COUNTIF($E$2:E2306,"Gmail"),"")</f>
        <v/>
      </c>
      <c r="J2306">
        <f>IF(E2306="Outlook",COUNTIF($E$2:E2306,"Outlook"),"")</f>
        <v/>
      </c>
      <c r="K2306">
        <f>IF(E2306="Domain",COUNTIF($E$2:E2306,"Domain"),"")</f>
        <v/>
      </c>
    </row>
    <row r="2307">
      <c r="A2307" s="2" t="n"/>
      <c r="B2307">
        <f>LOWER(TRIM(A2307))</f>
        <v/>
      </c>
      <c r="C2307">
        <f>IF(B2307="","",IFERROR(INDEX('Bad Patterns'!$A$2:$A$120,MATCH(1,INDEX(--ISNUMBER(SEARCH('Bad Patterns'!$A$2:$A$120,B2307)),0),0)),""))</f>
        <v/>
      </c>
      <c r="D2307">
        <f>IF(B2307="","",IF(C2307&lt;&gt;"","REMOVE","KEEP"))</f>
        <v/>
      </c>
      <c r="E2307">
        <f>IF(D2307&lt;&gt;"KEEP","",IF(RIGHT(B2307,10)="@gmail.com","Gmail",IF(OR(RIGHT(B2307,12)="@outlook.com",RIGHT(B2307,12)="@hotmail.com",RIGHT(B2307,9)="@live.com"),"Outlook","Domain")))</f>
        <v/>
      </c>
      <c r="F2307">
        <f>IF(B2307="","",IFERROR(RIGHT(B2307,LEN(B2307)-FIND("@",B2307)),""))</f>
        <v/>
      </c>
      <c r="G2307">
        <f>IF(D2307="KEEP",COUNTIF($D$2:D2307,"KEEP"),"")</f>
        <v/>
      </c>
      <c r="H2307">
        <f>IF(D2307="REMOVE",COUNTIF($D$2:D2307,"REMOVE"),"")</f>
        <v/>
      </c>
      <c r="I2307">
        <f>IF(E2307="Gmail",COUNTIF($E$2:E2307,"Gmail"),"")</f>
        <v/>
      </c>
      <c r="J2307">
        <f>IF(E2307="Outlook",COUNTIF($E$2:E2307,"Outlook"),"")</f>
        <v/>
      </c>
      <c r="K2307">
        <f>IF(E2307="Domain",COUNTIF($E$2:E2307,"Domain"),"")</f>
        <v/>
      </c>
    </row>
    <row r="2308">
      <c r="A2308" s="2" t="n"/>
      <c r="B2308">
        <f>LOWER(TRIM(A2308))</f>
        <v/>
      </c>
      <c r="C2308">
        <f>IF(B2308="","",IFERROR(INDEX('Bad Patterns'!$A$2:$A$120,MATCH(1,INDEX(--ISNUMBER(SEARCH('Bad Patterns'!$A$2:$A$120,B2308)),0),0)),""))</f>
        <v/>
      </c>
      <c r="D2308">
        <f>IF(B2308="","",IF(C2308&lt;&gt;"","REMOVE","KEEP"))</f>
        <v/>
      </c>
      <c r="E2308">
        <f>IF(D2308&lt;&gt;"KEEP","",IF(RIGHT(B2308,10)="@gmail.com","Gmail",IF(OR(RIGHT(B2308,12)="@outlook.com",RIGHT(B2308,12)="@hotmail.com",RIGHT(B2308,9)="@live.com"),"Outlook","Domain")))</f>
        <v/>
      </c>
      <c r="F2308">
        <f>IF(B2308="","",IFERROR(RIGHT(B2308,LEN(B2308)-FIND("@",B2308)),""))</f>
        <v/>
      </c>
      <c r="G2308">
        <f>IF(D2308="KEEP",COUNTIF($D$2:D2308,"KEEP"),"")</f>
        <v/>
      </c>
      <c r="H2308">
        <f>IF(D2308="REMOVE",COUNTIF($D$2:D2308,"REMOVE"),"")</f>
        <v/>
      </c>
      <c r="I2308">
        <f>IF(E2308="Gmail",COUNTIF($E$2:E2308,"Gmail"),"")</f>
        <v/>
      </c>
      <c r="J2308">
        <f>IF(E2308="Outlook",COUNTIF($E$2:E2308,"Outlook"),"")</f>
        <v/>
      </c>
      <c r="K2308">
        <f>IF(E2308="Domain",COUNTIF($E$2:E2308,"Domain"),"")</f>
        <v/>
      </c>
    </row>
    <row r="2309">
      <c r="A2309" s="2" t="n"/>
      <c r="B2309">
        <f>LOWER(TRIM(A2309))</f>
        <v/>
      </c>
      <c r="C2309">
        <f>IF(B2309="","",IFERROR(INDEX('Bad Patterns'!$A$2:$A$120,MATCH(1,INDEX(--ISNUMBER(SEARCH('Bad Patterns'!$A$2:$A$120,B2309)),0),0)),""))</f>
        <v/>
      </c>
      <c r="D2309">
        <f>IF(B2309="","",IF(C2309&lt;&gt;"","REMOVE","KEEP"))</f>
        <v/>
      </c>
      <c r="E2309">
        <f>IF(D2309&lt;&gt;"KEEP","",IF(RIGHT(B2309,10)="@gmail.com","Gmail",IF(OR(RIGHT(B2309,12)="@outlook.com",RIGHT(B2309,12)="@hotmail.com",RIGHT(B2309,9)="@live.com"),"Outlook","Domain")))</f>
        <v/>
      </c>
      <c r="F2309">
        <f>IF(B2309="","",IFERROR(RIGHT(B2309,LEN(B2309)-FIND("@",B2309)),""))</f>
        <v/>
      </c>
      <c r="G2309">
        <f>IF(D2309="KEEP",COUNTIF($D$2:D2309,"KEEP"),"")</f>
        <v/>
      </c>
      <c r="H2309">
        <f>IF(D2309="REMOVE",COUNTIF($D$2:D2309,"REMOVE"),"")</f>
        <v/>
      </c>
      <c r="I2309">
        <f>IF(E2309="Gmail",COUNTIF($E$2:E2309,"Gmail"),"")</f>
        <v/>
      </c>
      <c r="J2309">
        <f>IF(E2309="Outlook",COUNTIF($E$2:E2309,"Outlook"),"")</f>
        <v/>
      </c>
      <c r="K2309">
        <f>IF(E2309="Domain",COUNTIF($E$2:E2309,"Domain"),"")</f>
        <v/>
      </c>
    </row>
    <row r="2310">
      <c r="A2310" s="2" t="n"/>
      <c r="B2310">
        <f>LOWER(TRIM(A2310))</f>
        <v/>
      </c>
      <c r="C2310">
        <f>IF(B2310="","",IFERROR(INDEX('Bad Patterns'!$A$2:$A$120,MATCH(1,INDEX(--ISNUMBER(SEARCH('Bad Patterns'!$A$2:$A$120,B2310)),0),0)),""))</f>
        <v/>
      </c>
      <c r="D2310">
        <f>IF(B2310="","",IF(C2310&lt;&gt;"","REMOVE","KEEP"))</f>
        <v/>
      </c>
      <c r="E2310">
        <f>IF(D2310&lt;&gt;"KEEP","",IF(RIGHT(B2310,10)="@gmail.com","Gmail",IF(OR(RIGHT(B2310,12)="@outlook.com",RIGHT(B2310,12)="@hotmail.com",RIGHT(B2310,9)="@live.com"),"Outlook","Domain")))</f>
        <v/>
      </c>
      <c r="F2310">
        <f>IF(B2310="","",IFERROR(RIGHT(B2310,LEN(B2310)-FIND("@",B2310)),""))</f>
        <v/>
      </c>
      <c r="G2310">
        <f>IF(D2310="KEEP",COUNTIF($D$2:D2310,"KEEP"),"")</f>
        <v/>
      </c>
      <c r="H2310">
        <f>IF(D2310="REMOVE",COUNTIF($D$2:D2310,"REMOVE"),"")</f>
        <v/>
      </c>
      <c r="I2310">
        <f>IF(E2310="Gmail",COUNTIF($E$2:E2310,"Gmail"),"")</f>
        <v/>
      </c>
      <c r="J2310">
        <f>IF(E2310="Outlook",COUNTIF($E$2:E2310,"Outlook"),"")</f>
        <v/>
      </c>
      <c r="K2310">
        <f>IF(E2310="Domain",COUNTIF($E$2:E2310,"Domain"),"")</f>
        <v/>
      </c>
    </row>
    <row r="2311">
      <c r="A2311" s="2" t="n"/>
      <c r="B2311">
        <f>LOWER(TRIM(A2311))</f>
        <v/>
      </c>
      <c r="C2311">
        <f>IF(B2311="","",IFERROR(INDEX('Bad Patterns'!$A$2:$A$120,MATCH(1,INDEX(--ISNUMBER(SEARCH('Bad Patterns'!$A$2:$A$120,B2311)),0),0)),""))</f>
        <v/>
      </c>
      <c r="D2311">
        <f>IF(B2311="","",IF(C2311&lt;&gt;"","REMOVE","KEEP"))</f>
        <v/>
      </c>
      <c r="E2311">
        <f>IF(D2311&lt;&gt;"KEEP","",IF(RIGHT(B2311,10)="@gmail.com","Gmail",IF(OR(RIGHT(B2311,12)="@outlook.com",RIGHT(B2311,12)="@hotmail.com",RIGHT(B2311,9)="@live.com"),"Outlook","Domain")))</f>
        <v/>
      </c>
      <c r="F2311">
        <f>IF(B2311="","",IFERROR(RIGHT(B2311,LEN(B2311)-FIND("@",B2311)),""))</f>
        <v/>
      </c>
      <c r="G2311">
        <f>IF(D2311="KEEP",COUNTIF($D$2:D2311,"KEEP"),"")</f>
        <v/>
      </c>
      <c r="H2311">
        <f>IF(D2311="REMOVE",COUNTIF($D$2:D2311,"REMOVE"),"")</f>
        <v/>
      </c>
      <c r="I2311">
        <f>IF(E2311="Gmail",COUNTIF($E$2:E2311,"Gmail"),"")</f>
        <v/>
      </c>
      <c r="J2311">
        <f>IF(E2311="Outlook",COUNTIF($E$2:E2311,"Outlook"),"")</f>
        <v/>
      </c>
      <c r="K2311">
        <f>IF(E2311="Domain",COUNTIF($E$2:E2311,"Domain"),"")</f>
        <v/>
      </c>
    </row>
    <row r="2312">
      <c r="A2312" s="2" t="n"/>
      <c r="B2312">
        <f>LOWER(TRIM(A2312))</f>
        <v/>
      </c>
      <c r="C2312">
        <f>IF(B2312="","",IFERROR(INDEX('Bad Patterns'!$A$2:$A$120,MATCH(1,INDEX(--ISNUMBER(SEARCH('Bad Patterns'!$A$2:$A$120,B2312)),0),0)),""))</f>
        <v/>
      </c>
      <c r="D2312">
        <f>IF(B2312="","",IF(C2312&lt;&gt;"","REMOVE","KEEP"))</f>
        <v/>
      </c>
      <c r="E2312">
        <f>IF(D2312&lt;&gt;"KEEP","",IF(RIGHT(B2312,10)="@gmail.com","Gmail",IF(OR(RIGHT(B2312,12)="@outlook.com",RIGHT(B2312,12)="@hotmail.com",RIGHT(B2312,9)="@live.com"),"Outlook","Domain")))</f>
        <v/>
      </c>
      <c r="F2312">
        <f>IF(B2312="","",IFERROR(RIGHT(B2312,LEN(B2312)-FIND("@",B2312)),""))</f>
        <v/>
      </c>
      <c r="G2312">
        <f>IF(D2312="KEEP",COUNTIF($D$2:D2312,"KEEP"),"")</f>
        <v/>
      </c>
      <c r="H2312">
        <f>IF(D2312="REMOVE",COUNTIF($D$2:D2312,"REMOVE"),"")</f>
        <v/>
      </c>
      <c r="I2312">
        <f>IF(E2312="Gmail",COUNTIF($E$2:E2312,"Gmail"),"")</f>
        <v/>
      </c>
      <c r="J2312">
        <f>IF(E2312="Outlook",COUNTIF($E$2:E2312,"Outlook"),"")</f>
        <v/>
      </c>
      <c r="K2312">
        <f>IF(E2312="Domain",COUNTIF($E$2:E2312,"Domain"),"")</f>
        <v/>
      </c>
    </row>
    <row r="2313">
      <c r="A2313" s="2" t="n"/>
      <c r="B2313">
        <f>LOWER(TRIM(A2313))</f>
        <v/>
      </c>
      <c r="C2313">
        <f>IF(B2313="","",IFERROR(INDEX('Bad Patterns'!$A$2:$A$120,MATCH(1,INDEX(--ISNUMBER(SEARCH('Bad Patterns'!$A$2:$A$120,B2313)),0),0)),""))</f>
        <v/>
      </c>
      <c r="D2313">
        <f>IF(B2313="","",IF(C2313&lt;&gt;"","REMOVE","KEEP"))</f>
        <v/>
      </c>
      <c r="E2313">
        <f>IF(D2313&lt;&gt;"KEEP","",IF(RIGHT(B2313,10)="@gmail.com","Gmail",IF(OR(RIGHT(B2313,12)="@outlook.com",RIGHT(B2313,12)="@hotmail.com",RIGHT(B2313,9)="@live.com"),"Outlook","Domain")))</f>
        <v/>
      </c>
      <c r="F2313">
        <f>IF(B2313="","",IFERROR(RIGHT(B2313,LEN(B2313)-FIND("@",B2313)),""))</f>
        <v/>
      </c>
      <c r="G2313">
        <f>IF(D2313="KEEP",COUNTIF($D$2:D2313,"KEEP"),"")</f>
        <v/>
      </c>
      <c r="H2313">
        <f>IF(D2313="REMOVE",COUNTIF($D$2:D2313,"REMOVE"),"")</f>
        <v/>
      </c>
      <c r="I2313">
        <f>IF(E2313="Gmail",COUNTIF($E$2:E2313,"Gmail"),"")</f>
        <v/>
      </c>
      <c r="J2313">
        <f>IF(E2313="Outlook",COUNTIF($E$2:E2313,"Outlook"),"")</f>
        <v/>
      </c>
      <c r="K2313">
        <f>IF(E2313="Domain",COUNTIF($E$2:E2313,"Domain"),"")</f>
        <v/>
      </c>
    </row>
    <row r="2314">
      <c r="A2314" s="2" t="n"/>
      <c r="B2314">
        <f>LOWER(TRIM(A2314))</f>
        <v/>
      </c>
      <c r="C2314">
        <f>IF(B2314="","",IFERROR(INDEX('Bad Patterns'!$A$2:$A$120,MATCH(1,INDEX(--ISNUMBER(SEARCH('Bad Patterns'!$A$2:$A$120,B2314)),0),0)),""))</f>
        <v/>
      </c>
      <c r="D2314">
        <f>IF(B2314="","",IF(C2314&lt;&gt;"","REMOVE","KEEP"))</f>
        <v/>
      </c>
      <c r="E2314">
        <f>IF(D2314&lt;&gt;"KEEP","",IF(RIGHT(B2314,10)="@gmail.com","Gmail",IF(OR(RIGHT(B2314,12)="@outlook.com",RIGHT(B2314,12)="@hotmail.com",RIGHT(B2314,9)="@live.com"),"Outlook","Domain")))</f>
        <v/>
      </c>
      <c r="F2314">
        <f>IF(B2314="","",IFERROR(RIGHT(B2314,LEN(B2314)-FIND("@",B2314)),""))</f>
        <v/>
      </c>
      <c r="G2314">
        <f>IF(D2314="KEEP",COUNTIF($D$2:D2314,"KEEP"),"")</f>
        <v/>
      </c>
      <c r="H2314">
        <f>IF(D2314="REMOVE",COUNTIF($D$2:D2314,"REMOVE"),"")</f>
        <v/>
      </c>
      <c r="I2314">
        <f>IF(E2314="Gmail",COUNTIF($E$2:E2314,"Gmail"),"")</f>
        <v/>
      </c>
      <c r="J2314">
        <f>IF(E2314="Outlook",COUNTIF($E$2:E2314,"Outlook"),"")</f>
        <v/>
      </c>
      <c r="K2314">
        <f>IF(E2314="Domain",COUNTIF($E$2:E2314,"Domain"),"")</f>
        <v/>
      </c>
    </row>
    <row r="2315">
      <c r="A2315" s="2" t="n"/>
      <c r="B2315">
        <f>LOWER(TRIM(A2315))</f>
        <v/>
      </c>
      <c r="C2315">
        <f>IF(B2315="","",IFERROR(INDEX('Bad Patterns'!$A$2:$A$120,MATCH(1,INDEX(--ISNUMBER(SEARCH('Bad Patterns'!$A$2:$A$120,B2315)),0),0)),""))</f>
        <v/>
      </c>
      <c r="D2315">
        <f>IF(B2315="","",IF(C2315&lt;&gt;"","REMOVE","KEEP"))</f>
        <v/>
      </c>
      <c r="E2315">
        <f>IF(D2315&lt;&gt;"KEEP","",IF(RIGHT(B2315,10)="@gmail.com","Gmail",IF(OR(RIGHT(B2315,12)="@outlook.com",RIGHT(B2315,12)="@hotmail.com",RIGHT(B2315,9)="@live.com"),"Outlook","Domain")))</f>
        <v/>
      </c>
      <c r="F2315">
        <f>IF(B2315="","",IFERROR(RIGHT(B2315,LEN(B2315)-FIND("@",B2315)),""))</f>
        <v/>
      </c>
      <c r="G2315">
        <f>IF(D2315="KEEP",COUNTIF($D$2:D2315,"KEEP"),"")</f>
        <v/>
      </c>
      <c r="H2315">
        <f>IF(D2315="REMOVE",COUNTIF($D$2:D2315,"REMOVE"),"")</f>
        <v/>
      </c>
      <c r="I2315">
        <f>IF(E2315="Gmail",COUNTIF($E$2:E2315,"Gmail"),"")</f>
        <v/>
      </c>
      <c r="J2315">
        <f>IF(E2315="Outlook",COUNTIF($E$2:E2315,"Outlook"),"")</f>
        <v/>
      </c>
      <c r="K2315">
        <f>IF(E2315="Domain",COUNTIF($E$2:E2315,"Domain"),"")</f>
        <v/>
      </c>
    </row>
    <row r="2316">
      <c r="A2316" s="2" t="n"/>
      <c r="B2316">
        <f>LOWER(TRIM(A2316))</f>
        <v/>
      </c>
      <c r="C2316">
        <f>IF(B2316="","",IFERROR(INDEX('Bad Patterns'!$A$2:$A$120,MATCH(1,INDEX(--ISNUMBER(SEARCH('Bad Patterns'!$A$2:$A$120,B2316)),0),0)),""))</f>
        <v/>
      </c>
      <c r="D2316">
        <f>IF(B2316="","",IF(C2316&lt;&gt;"","REMOVE","KEEP"))</f>
        <v/>
      </c>
      <c r="E2316">
        <f>IF(D2316&lt;&gt;"KEEP","",IF(RIGHT(B2316,10)="@gmail.com","Gmail",IF(OR(RIGHT(B2316,12)="@outlook.com",RIGHT(B2316,12)="@hotmail.com",RIGHT(B2316,9)="@live.com"),"Outlook","Domain")))</f>
        <v/>
      </c>
      <c r="F2316">
        <f>IF(B2316="","",IFERROR(RIGHT(B2316,LEN(B2316)-FIND("@",B2316)),""))</f>
        <v/>
      </c>
      <c r="G2316">
        <f>IF(D2316="KEEP",COUNTIF($D$2:D2316,"KEEP"),"")</f>
        <v/>
      </c>
      <c r="H2316">
        <f>IF(D2316="REMOVE",COUNTIF($D$2:D2316,"REMOVE"),"")</f>
        <v/>
      </c>
      <c r="I2316">
        <f>IF(E2316="Gmail",COUNTIF($E$2:E2316,"Gmail"),"")</f>
        <v/>
      </c>
      <c r="J2316">
        <f>IF(E2316="Outlook",COUNTIF($E$2:E2316,"Outlook"),"")</f>
        <v/>
      </c>
      <c r="K2316">
        <f>IF(E2316="Domain",COUNTIF($E$2:E2316,"Domain"),"")</f>
        <v/>
      </c>
    </row>
    <row r="2317">
      <c r="A2317" s="2" t="n"/>
      <c r="B2317">
        <f>LOWER(TRIM(A2317))</f>
        <v/>
      </c>
      <c r="C2317">
        <f>IF(B2317="","",IFERROR(INDEX('Bad Patterns'!$A$2:$A$120,MATCH(1,INDEX(--ISNUMBER(SEARCH('Bad Patterns'!$A$2:$A$120,B2317)),0),0)),""))</f>
        <v/>
      </c>
      <c r="D2317">
        <f>IF(B2317="","",IF(C2317&lt;&gt;"","REMOVE","KEEP"))</f>
        <v/>
      </c>
      <c r="E2317">
        <f>IF(D2317&lt;&gt;"KEEP","",IF(RIGHT(B2317,10)="@gmail.com","Gmail",IF(OR(RIGHT(B2317,12)="@outlook.com",RIGHT(B2317,12)="@hotmail.com",RIGHT(B2317,9)="@live.com"),"Outlook","Domain")))</f>
        <v/>
      </c>
      <c r="F2317">
        <f>IF(B2317="","",IFERROR(RIGHT(B2317,LEN(B2317)-FIND("@",B2317)),""))</f>
        <v/>
      </c>
      <c r="G2317">
        <f>IF(D2317="KEEP",COUNTIF($D$2:D2317,"KEEP"),"")</f>
        <v/>
      </c>
      <c r="H2317">
        <f>IF(D2317="REMOVE",COUNTIF($D$2:D2317,"REMOVE"),"")</f>
        <v/>
      </c>
      <c r="I2317">
        <f>IF(E2317="Gmail",COUNTIF($E$2:E2317,"Gmail"),"")</f>
        <v/>
      </c>
      <c r="J2317">
        <f>IF(E2317="Outlook",COUNTIF($E$2:E2317,"Outlook"),"")</f>
        <v/>
      </c>
      <c r="K2317">
        <f>IF(E2317="Domain",COUNTIF($E$2:E2317,"Domain"),"")</f>
        <v/>
      </c>
    </row>
    <row r="2318">
      <c r="A2318" s="2" t="n"/>
      <c r="B2318">
        <f>LOWER(TRIM(A2318))</f>
        <v/>
      </c>
      <c r="C2318">
        <f>IF(B2318="","",IFERROR(INDEX('Bad Patterns'!$A$2:$A$120,MATCH(1,INDEX(--ISNUMBER(SEARCH('Bad Patterns'!$A$2:$A$120,B2318)),0),0)),""))</f>
        <v/>
      </c>
      <c r="D2318">
        <f>IF(B2318="","",IF(C2318&lt;&gt;"","REMOVE","KEEP"))</f>
        <v/>
      </c>
      <c r="E2318">
        <f>IF(D2318&lt;&gt;"KEEP","",IF(RIGHT(B2318,10)="@gmail.com","Gmail",IF(OR(RIGHT(B2318,12)="@outlook.com",RIGHT(B2318,12)="@hotmail.com",RIGHT(B2318,9)="@live.com"),"Outlook","Domain")))</f>
        <v/>
      </c>
      <c r="F2318">
        <f>IF(B2318="","",IFERROR(RIGHT(B2318,LEN(B2318)-FIND("@",B2318)),""))</f>
        <v/>
      </c>
      <c r="G2318">
        <f>IF(D2318="KEEP",COUNTIF($D$2:D2318,"KEEP"),"")</f>
        <v/>
      </c>
      <c r="H2318">
        <f>IF(D2318="REMOVE",COUNTIF($D$2:D2318,"REMOVE"),"")</f>
        <v/>
      </c>
      <c r="I2318">
        <f>IF(E2318="Gmail",COUNTIF($E$2:E2318,"Gmail"),"")</f>
        <v/>
      </c>
      <c r="J2318">
        <f>IF(E2318="Outlook",COUNTIF($E$2:E2318,"Outlook"),"")</f>
        <v/>
      </c>
      <c r="K2318">
        <f>IF(E2318="Domain",COUNTIF($E$2:E2318,"Domain"),"")</f>
        <v/>
      </c>
    </row>
    <row r="2319">
      <c r="A2319" s="2" t="n"/>
      <c r="B2319">
        <f>LOWER(TRIM(A2319))</f>
        <v/>
      </c>
      <c r="C2319">
        <f>IF(B2319="","",IFERROR(INDEX('Bad Patterns'!$A$2:$A$120,MATCH(1,INDEX(--ISNUMBER(SEARCH('Bad Patterns'!$A$2:$A$120,B2319)),0),0)),""))</f>
        <v/>
      </c>
      <c r="D2319">
        <f>IF(B2319="","",IF(C2319&lt;&gt;"","REMOVE","KEEP"))</f>
        <v/>
      </c>
      <c r="E2319">
        <f>IF(D2319&lt;&gt;"KEEP","",IF(RIGHT(B2319,10)="@gmail.com","Gmail",IF(OR(RIGHT(B2319,12)="@outlook.com",RIGHT(B2319,12)="@hotmail.com",RIGHT(B2319,9)="@live.com"),"Outlook","Domain")))</f>
        <v/>
      </c>
      <c r="F2319">
        <f>IF(B2319="","",IFERROR(RIGHT(B2319,LEN(B2319)-FIND("@",B2319)),""))</f>
        <v/>
      </c>
      <c r="G2319">
        <f>IF(D2319="KEEP",COUNTIF($D$2:D2319,"KEEP"),"")</f>
        <v/>
      </c>
      <c r="H2319">
        <f>IF(D2319="REMOVE",COUNTIF($D$2:D2319,"REMOVE"),"")</f>
        <v/>
      </c>
      <c r="I2319">
        <f>IF(E2319="Gmail",COUNTIF($E$2:E2319,"Gmail"),"")</f>
        <v/>
      </c>
      <c r="J2319">
        <f>IF(E2319="Outlook",COUNTIF($E$2:E2319,"Outlook"),"")</f>
        <v/>
      </c>
      <c r="K2319">
        <f>IF(E2319="Domain",COUNTIF($E$2:E2319,"Domain"),"")</f>
        <v/>
      </c>
    </row>
    <row r="2320">
      <c r="A2320" s="2" t="n"/>
      <c r="B2320">
        <f>LOWER(TRIM(A2320))</f>
        <v/>
      </c>
      <c r="C2320">
        <f>IF(B2320="","",IFERROR(INDEX('Bad Patterns'!$A$2:$A$120,MATCH(1,INDEX(--ISNUMBER(SEARCH('Bad Patterns'!$A$2:$A$120,B2320)),0),0)),""))</f>
        <v/>
      </c>
      <c r="D2320">
        <f>IF(B2320="","",IF(C2320&lt;&gt;"","REMOVE","KEEP"))</f>
        <v/>
      </c>
      <c r="E2320">
        <f>IF(D2320&lt;&gt;"KEEP","",IF(RIGHT(B2320,10)="@gmail.com","Gmail",IF(OR(RIGHT(B2320,12)="@outlook.com",RIGHT(B2320,12)="@hotmail.com",RIGHT(B2320,9)="@live.com"),"Outlook","Domain")))</f>
        <v/>
      </c>
      <c r="F2320">
        <f>IF(B2320="","",IFERROR(RIGHT(B2320,LEN(B2320)-FIND("@",B2320)),""))</f>
        <v/>
      </c>
      <c r="G2320">
        <f>IF(D2320="KEEP",COUNTIF($D$2:D2320,"KEEP"),"")</f>
        <v/>
      </c>
      <c r="H2320">
        <f>IF(D2320="REMOVE",COUNTIF($D$2:D2320,"REMOVE"),"")</f>
        <v/>
      </c>
      <c r="I2320">
        <f>IF(E2320="Gmail",COUNTIF($E$2:E2320,"Gmail"),"")</f>
        <v/>
      </c>
      <c r="J2320">
        <f>IF(E2320="Outlook",COUNTIF($E$2:E2320,"Outlook"),"")</f>
        <v/>
      </c>
      <c r="K2320">
        <f>IF(E2320="Domain",COUNTIF($E$2:E2320,"Domain"),"")</f>
        <v/>
      </c>
    </row>
    <row r="2321">
      <c r="A2321" s="2" t="n"/>
      <c r="B2321">
        <f>LOWER(TRIM(A2321))</f>
        <v/>
      </c>
      <c r="C2321">
        <f>IF(B2321="","",IFERROR(INDEX('Bad Patterns'!$A$2:$A$120,MATCH(1,INDEX(--ISNUMBER(SEARCH('Bad Patterns'!$A$2:$A$120,B2321)),0),0)),""))</f>
        <v/>
      </c>
      <c r="D2321">
        <f>IF(B2321="","",IF(C2321&lt;&gt;"","REMOVE","KEEP"))</f>
        <v/>
      </c>
      <c r="E2321">
        <f>IF(D2321&lt;&gt;"KEEP","",IF(RIGHT(B2321,10)="@gmail.com","Gmail",IF(OR(RIGHT(B2321,12)="@outlook.com",RIGHT(B2321,12)="@hotmail.com",RIGHT(B2321,9)="@live.com"),"Outlook","Domain")))</f>
        <v/>
      </c>
      <c r="F2321">
        <f>IF(B2321="","",IFERROR(RIGHT(B2321,LEN(B2321)-FIND("@",B2321)),""))</f>
        <v/>
      </c>
      <c r="G2321">
        <f>IF(D2321="KEEP",COUNTIF($D$2:D2321,"KEEP"),"")</f>
        <v/>
      </c>
      <c r="H2321">
        <f>IF(D2321="REMOVE",COUNTIF($D$2:D2321,"REMOVE"),"")</f>
        <v/>
      </c>
      <c r="I2321">
        <f>IF(E2321="Gmail",COUNTIF($E$2:E2321,"Gmail"),"")</f>
        <v/>
      </c>
      <c r="J2321">
        <f>IF(E2321="Outlook",COUNTIF($E$2:E2321,"Outlook"),"")</f>
        <v/>
      </c>
      <c r="K2321">
        <f>IF(E2321="Domain",COUNTIF($E$2:E2321,"Domain"),"")</f>
        <v/>
      </c>
    </row>
    <row r="2322">
      <c r="A2322" s="2" t="n"/>
      <c r="B2322">
        <f>LOWER(TRIM(A2322))</f>
        <v/>
      </c>
      <c r="C2322">
        <f>IF(B2322="","",IFERROR(INDEX('Bad Patterns'!$A$2:$A$120,MATCH(1,INDEX(--ISNUMBER(SEARCH('Bad Patterns'!$A$2:$A$120,B2322)),0),0)),""))</f>
        <v/>
      </c>
      <c r="D2322">
        <f>IF(B2322="","",IF(C2322&lt;&gt;"","REMOVE","KEEP"))</f>
        <v/>
      </c>
      <c r="E2322">
        <f>IF(D2322&lt;&gt;"KEEP","",IF(RIGHT(B2322,10)="@gmail.com","Gmail",IF(OR(RIGHT(B2322,12)="@outlook.com",RIGHT(B2322,12)="@hotmail.com",RIGHT(B2322,9)="@live.com"),"Outlook","Domain")))</f>
        <v/>
      </c>
      <c r="F2322">
        <f>IF(B2322="","",IFERROR(RIGHT(B2322,LEN(B2322)-FIND("@",B2322)),""))</f>
        <v/>
      </c>
      <c r="G2322">
        <f>IF(D2322="KEEP",COUNTIF($D$2:D2322,"KEEP"),"")</f>
        <v/>
      </c>
      <c r="H2322">
        <f>IF(D2322="REMOVE",COUNTIF($D$2:D2322,"REMOVE"),"")</f>
        <v/>
      </c>
      <c r="I2322">
        <f>IF(E2322="Gmail",COUNTIF($E$2:E2322,"Gmail"),"")</f>
        <v/>
      </c>
      <c r="J2322">
        <f>IF(E2322="Outlook",COUNTIF($E$2:E2322,"Outlook"),"")</f>
        <v/>
      </c>
      <c r="K2322">
        <f>IF(E2322="Domain",COUNTIF($E$2:E2322,"Domain"),"")</f>
        <v/>
      </c>
    </row>
    <row r="2323">
      <c r="A2323" s="2" t="n"/>
      <c r="B2323">
        <f>LOWER(TRIM(A2323))</f>
        <v/>
      </c>
      <c r="C2323">
        <f>IF(B2323="","",IFERROR(INDEX('Bad Patterns'!$A$2:$A$120,MATCH(1,INDEX(--ISNUMBER(SEARCH('Bad Patterns'!$A$2:$A$120,B2323)),0),0)),""))</f>
        <v/>
      </c>
      <c r="D2323">
        <f>IF(B2323="","",IF(C2323&lt;&gt;"","REMOVE","KEEP"))</f>
        <v/>
      </c>
      <c r="E2323">
        <f>IF(D2323&lt;&gt;"KEEP","",IF(RIGHT(B2323,10)="@gmail.com","Gmail",IF(OR(RIGHT(B2323,12)="@outlook.com",RIGHT(B2323,12)="@hotmail.com",RIGHT(B2323,9)="@live.com"),"Outlook","Domain")))</f>
        <v/>
      </c>
      <c r="F2323">
        <f>IF(B2323="","",IFERROR(RIGHT(B2323,LEN(B2323)-FIND("@",B2323)),""))</f>
        <v/>
      </c>
      <c r="G2323">
        <f>IF(D2323="KEEP",COUNTIF($D$2:D2323,"KEEP"),"")</f>
        <v/>
      </c>
      <c r="H2323">
        <f>IF(D2323="REMOVE",COUNTIF($D$2:D2323,"REMOVE"),"")</f>
        <v/>
      </c>
      <c r="I2323">
        <f>IF(E2323="Gmail",COUNTIF($E$2:E2323,"Gmail"),"")</f>
        <v/>
      </c>
      <c r="J2323">
        <f>IF(E2323="Outlook",COUNTIF($E$2:E2323,"Outlook"),"")</f>
        <v/>
      </c>
      <c r="K2323">
        <f>IF(E2323="Domain",COUNTIF($E$2:E2323,"Domain"),"")</f>
        <v/>
      </c>
    </row>
    <row r="2324">
      <c r="A2324" s="2" t="n"/>
      <c r="B2324">
        <f>LOWER(TRIM(A2324))</f>
        <v/>
      </c>
      <c r="C2324">
        <f>IF(B2324="","",IFERROR(INDEX('Bad Patterns'!$A$2:$A$120,MATCH(1,INDEX(--ISNUMBER(SEARCH('Bad Patterns'!$A$2:$A$120,B2324)),0),0)),""))</f>
        <v/>
      </c>
      <c r="D2324">
        <f>IF(B2324="","",IF(C2324&lt;&gt;"","REMOVE","KEEP"))</f>
        <v/>
      </c>
      <c r="E2324">
        <f>IF(D2324&lt;&gt;"KEEP","",IF(RIGHT(B2324,10)="@gmail.com","Gmail",IF(OR(RIGHT(B2324,12)="@outlook.com",RIGHT(B2324,12)="@hotmail.com",RIGHT(B2324,9)="@live.com"),"Outlook","Domain")))</f>
        <v/>
      </c>
      <c r="F2324">
        <f>IF(B2324="","",IFERROR(RIGHT(B2324,LEN(B2324)-FIND("@",B2324)),""))</f>
        <v/>
      </c>
      <c r="G2324">
        <f>IF(D2324="KEEP",COUNTIF($D$2:D2324,"KEEP"),"")</f>
        <v/>
      </c>
      <c r="H2324">
        <f>IF(D2324="REMOVE",COUNTIF($D$2:D2324,"REMOVE"),"")</f>
        <v/>
      </c>
      <c r="I2324">
        <f>IF(E2324="Gmail",COUNTIF($E$2:E2324,"Gmail"),"")</f>
        <v/>
      </c>
      <c r="J2324">
        <f>IF(E2324="Outlook",COUNTIF($E$2:E2324,"Outlook"),"")</f>
        <v/>
      </c>
      <c r="K2324">
        <f>IF(E2324="Domain",COUNTIF($E$2:E2324,"Domain"),"")</f>
        <v/>
      </c>
    </row>
    <row r="2325">
      <c r="A2325" s="2" t="n"/>
      <c r="B2325">
        <f>LOWER(TRIM(A2325))</f>
        <v/>
      </c>
      <c r="C2325">
        <f>IF(B2325="","",IFERROR(INDEX('Bad Patterns'!$A$2:$A$120,MATCH(1,INDEX(--ISNUMBER(SEARCH('Bad Patterns'!$A$2:$A$120,B2325)),0),0)),""))</f>
        <v/>
      </c>
      <c r="D2325">
        <f>IF(B2325="","",IF(C2325&lt;&gt;"","REMOVE","KEEP"))</f>
        <v/>
      </c>
      <c r="E2325">
        <f>IF(D2325&lt;&gt;"KEEP","",IF(RIGHT(B2325,10)="@gmail.com","Gmail",IF(OR(RIGHT(B2325,12)="@outlook.com",RIGHT(B2325,12)="@hotmail.com",RIGHT(B2325,9)="@live.com"),"Outlook","Domain")))</f>
        <v/>
      </c>
      <c r="F2325">
        <f>IF(B2325="","",IFERROR(RIGHT(B2325,LEN(B2325)-FIND("@",B2325)),""))</f>
        <v/>
      </c>
      <c r="G2325">
        <f>IF(D2325="KEEP",COUNTIF($D$2:D2325,"KEEP"),"")</f>
        <v/>
      </c>
      <c r="H2325">
        <f>IF(D2325="REMOVE",COUNTIF($D$2:D2325,"REMOVE"),"")</f>
        <v/>
      </c>
      <c r="I2325">
        <f>IF(E2325="Gmail",COUNTIF($E$2:E2325,"Gmail"),"")</f>
        <v/>
      </c>
      <c r="J2325">
        <f>IF(E2325="Outlook",COUNTIF($E$2:E2325,"Outlook"),"")</f>
        <v/>
      </c>
      <c r="K2325">
        <f>IF(E2325="Domain",COUNTIF($E$2:E2325,"Domain"),"")</f>
        <v/>
      </c>
    </row>
    <row r="2326">
      <c r="A2326" s="2" t="n"/>
      <c r="B2326">
        <f>LOWER(TRIM(A2326))</f>
        <v/>
      </c>
      <c r="C2326">
        <f>IF(B2326="","",IFERROR(INDEX('Bad Patterns'!$A$2:$A$120,MATCH(1,INDEX(--ISNUMBER(SEARCH('Bad Patterns'!$A$2:$A$120,B2326)),0),0)),""))</f>
        <v/>
      </c>
      <c r="D2326">
        <f>IF(B2326="","",IF(C2326&lt;&gt;"","REMOVE","KEEP"))</f>
        <v/>
      </c>
      <c r="E2326">
        <f>IF(D2326&lt;&gt;"KEEP","",IF(RIGHT(B2326,10)="@gmail.com","Gmail",IF(OR(RIGHT(B2326,12)="@outlook.com",RIGHT(B2326,12)="@hotmail.com",RIGHT(B2326,9)="@live.com"),"Outlook","Domain")))</f>
        <v/>
      </c>
      <c r="F2326">
        <f>IF(B2326="","",IFERROR(RIGHT(B2326,LEN(B2326)-FIND("@",B2326)),""))</f>
        <v/>
      </c>
      <c r="G2326">
        <f>IF(D2326="KEEP",COUNTIF($D$2:D2326,"KEEP"),"")</f>
        <v/>
      </c>
      <c r="H2326">
        <f>IF(D2326="REMOVE",COUNTIF($D$2:D2326,"REMOVE"),"")</f>
        <v/>
      </c>
      <c r="I2326">
        <f>IF(E2326="Gmail",COUNTIF($E$2:E2326,"Gmail"),"")</f>
        <v/>
      </c>
      <c r="J2326">
        <f>IF(E2326="Outlook",COUNTIF($E$2:E2326,"Outlook"),"")</f>
        <v/>
      </c>
      <c r="K2326">
        <f>IF(E2326="Domain",COUNTIF($E$2:E2326,"Domain"),"")</f>
        <v/>
      </c>
    </row>
    <row r="2327">
      <c r="A2327" s="2" t="n"/>
      <c r="B2327">
        <f>LOWER(TRIM(A2327))</f>
        <v/>
      </c>
      <c r="C2327">
        <f>IF(B2327="","",IFERROR(INDEX('Bad Patterns'!$A$2:$A$120,MATCH(1,INDEX(--ISNUMBER(SEARCH('Bad Patterns'!$A$2:$A$120,B2327)),0),0)),""))</f>
        <v/>
      </c>
      <c r="D2327">
        <f>IF(B2327="","",IF(C2327&lt;&gt;"","REMOVE","KEEP"))</f>
        <v/>
      </c>
      <c r="E2327">
        <f>IF(D2327&lt;&gt;"KEEP","",IF(RIGHT(B2327,10)="@gmail.com","Gmail",IF(OR(RIGHT(B2327,12)="@outlook.com",RIGHT(B2327,12)="@hotmail.com",RIGHT(B2327,9)="@live.com"),"Outlook","Domain")))</f>
        <v/>
      </c>
      <c r="F2327">
        <f>IF(B2327="","",IFERROR(RIGHT(B2327,LEN(B2327)-FIND("@",B2327)),""))</f>
        <v/>
      </c>
      <c r="G2327">
        <f>IF(D2327="KEEP",COUNTIF($D$2:D2327,"KEEP"),"")</f>
        <v/>
      </c>
      <c r="H2327">
        <f>IF(D2327="REMOVE",COUNTIF($D$2:D2327,"REMOVE"),"")</f>
        <v/>
      </c>
      <c r="I2327">
        <f>IF(E2327="Gmail",COUNTIF($E$2:E2327,"Gmail"),"")</f>
        <v/>
      </c>
      <c r="J2327">
        <f>IF(E2327="Outlook",COUNTIF($E$2:E2327,"Outlook"),"")</f>
        <v/>
      </c>
      <c r="K2327">
        <f>IF(E2327="Domain",COUNTIF($E$2:E2327,"Domain"),"")</f>
        <v/>
      </c>
    </row>
    <row r="2328">
      <c r="A2328" s="2" t="n"/>
      <c r="B2328">
        <f>LOWER(TRIM(A2328))</f>
        <v/>
      </c>
      <c r="C2328">
        <f>IF(B2328="","",IFERROR(INDEX('Bad Patterns'!$A$2:$A$120,MATCH(1,INDEX(--ISNUMBER(SEARCH('Bad Patterns'!$A$2:$A$120,B2328)),0),0)),""))</f>
        <v/>
      </c>
      <c r="D2328">
        <f>IF(B2328="","",IF(C2328&lt;&gt;"","REMOVE","KEEP"))</f>
        <v/>
      </c>
      <c r="E2328">
        <f>IF(D2328&lt;&gt;"KEEP","",IF(RIGHT(B2328,10)="@gmail.com","Gmail",IF(OR(RIGHT(B2328,12)="@outlook.com",RIGHT(B2328,12)="@hotmail.com",RIGHT(B2328,9)="@live.com"),"Outlook","Domain")))</f>
        <v/>
      </c>
      <c r="F2328">
        <f>IF(B2328="","",IFERROR(RIGHT(B2328,LEN(B2328)-FIND("@",B2328)),""))</f>
        <v/>
      </c>
      <c r="G2328">
        <f>IF(D2328="KEEP",COUNTIF($D$2:D2328,"KEEP"),"")</f>
        <v/>
      </c>
      <c r="H2328">
        <f>IF(D2328="REMOVE",COUNTIF($D$2:D2328,"REMOVE"),"")</f>
        <v/>
      </c>
      <c r="I2328">
        <f>IF(E2328="Gmail",COUNTIF($E$2:E2328,"Gmail"),"")</f>
        <v/>
      </c>
      <c r="J2328">
        <f>IF(E2328="Outlook",COUNTIF($E$2:E2328,"Outlook"),"")</f>
        <v/>
      </c>
      <c r="K2328">
        <f>IF(E2328="Domain",COUNTIF($E$2:E2328,"Domain"),"")</f>
        <v/>
      </c>
    </row>
    <row r="2329">
      <c r="A2329" s="2" t="n"/>
      <c r="B2329">
        <f>LOWER(TRIM(A2329))</f>
        <v/>
      </c>
      <c r="C2329">
        <f>IF(B2329="","",IFERROR(INDEX('Bad Patterns'!$A$2:$A$120,MATCH(1,INDEX(--ISNUMBER(SEARCH('Bad Patterns'!$A$2:$A$120,B2329)),0),0)),""))</f>
        <v/>
      </c>
      <c r="D2329">
        <f>IF(B2329="","",IF(C2329&lt;&gt;"","REMOVE","KEEP"))</f>
        <v/>
      </c>
      <c r="E2329">
        <f>IF(D2329&lt;&gt;"KEEP","",IF(RIGHT(B2329,10)="@gmail.com","Gmail",IF(OR(RIGHT(B2329,12)="@outlook.com",RIGHT(B2329,12)="@hotmail.com",RIGHT(B2329,9)="@live.com"),"Outlook","Domain")))</f>
        <v/>
      </c>
      <c r="F2329">
        <f>IF(B2329="","",IFERROR(RIGHT(B2329,LEN(B2329)-FIND("@",B2329)),""))</f>
        <v/>
      </c>
      <c r="G2329">
        <f>IF(D2329="KEEP",COUNTIF($D$2:D2329,"KEEP"),"")</f>
        <v/>
      </c>
      <c r="H2329">
        <f>IF(D2329="REMOVE",COUNTIF($D$2:D2329,"REMOVE"),"")</f>
        <v/>
      </c>
      <c r="I2329">
        <f>IF(E2329="Gmail",COUNTIF($E$2:E2329,"Gmail"),"")</f>
        <v/>
      </c>
      <c r="J2329">
        <f>IF(E2329="Outlook",COUNTIF($E$2:E2329,"Outlook"),"")</f>
        <v/>
      </c>
      <c r="K2329">
        <f>IF(E2329="Domain",COUNTIF($E$2:E2329,"Domain"),"")</f>
        <v/>
      </c>
    </row>
    <row r="2330">
      <c r="A2330" s="2" t="n"/>
      <c r="B2330">
        <f>LOWER(TRIM(A2330))</f>
        <v/>
      </c>
      <c r="C2330">
        <f>IF(B2330="","",IFERROR(INDEX('Bad Patterns'!$A$2:$A$120,MATCH(1,INDEX(--ISNUMBER(SEARCH('Bad Patterns'!$A$2:$A$120,B2330)),0),0)),""))</f>
        <v/>
      </c>
      <c r="D2330">
        <f>IF(B2330="","",IF(C2330&lt;&gt;"","REMOVE","KEEP"))</f>
        <v/>
      </c>
      <c r="E2330">
        <f>IF(D2330&lt;&gt;"KEEP","",IF(RIGHT(B2330,10)="@gmail.com","Gmail",IF(OR(RIGHT(B2330,12)="@outlook.com",RIGHT(B2330,12)="@hotmail.com",RIGHT(B2330,9)="@live.com"),"Outlook","Domain")))</f>
        <v/>
      </c>
      <c r="F2330">
        <f>IF(B2330="","",IFERROR(RIGHT(B2330,LEN(B2330)-FIND("@",B2330)),""))</f>
        <v/>
      </c>
      <c r="G2330">
        <f>IF(D2330="KEEP",COUNTIF($D$2:D2330,"KEEP"),"")</f>
        <v/>
      </c>
      <c r="H2330">
        <f>IF(D2330="REMOVE",COUNTIF($D$2:D2330,"REMOVE"),"")</f>
        <v/>
      </c>
      <c r="I2330">
        <f>IF(E2330="Gmail",COUNTIF($E$2:E2330,"Gmail"),"")</f>
        <v/>
      </c>
      <c r="J2330">
        <f>IF(E2330="Outlook",COUNTIF($E$2:E2330,"Outlook"),"")</f>
        <v/>
      </c>
      <c r="K2330">
        <f>IF(E2330="Domain",COUNTIF($E$2:E2330,"Domain"),"")</f>
        <v/>
      </c>
    </row>
    <row r="2331">
      <c r="A2331" s="2" t="n"/>
      <c r="B2331">
        <f>LOWER(TRIM(A2331))</f>
        <v/>
      </c>
      <c r="C2331">
        <f>IF(B2331="","",IFERROR(INDEX('Bad Patterns'!$A$2:$A$120,MATCH(1,INDEX(--ISNUMBER(SEARCH('Bad Patterns'!$A$2:$A$120,B2331)),0),0)),""))</f>
        <v/>
      </c>
      <c r="D2331">
        <f>IF(B2331="","",IF(C2331&lt;&gt;"","REMOVE","KEEP"))</f>
        <v/>
      </c>
      <c r="E2331">
        <f>IF(D2331&lt;&gt;"KEEP","",IF(RIGHT(B2331,10)="@gmail.com","Gmail",IF(OR(RIGHT(B2331,12)="@outlook.com",RIGHT(B2331,12)="@hotmail.com",RIGHT(B2331,9)="@live.com"),"Outlook","Domain")))</f>
        <v/>
      </c>
      <c r="F2331">
        <f>IF(B2331="","",IFERROR(RIGHT(B2331,LEN(B2331)-FIND("@",B2331)),""))</f>
        <v/>
      </c>
      <c r="G2331">
        <f>IF(D2331="KEEP",COUNTIF($D$2:D2331,"KEEP"),"")</f>
        <v/>
      </c>
      <c r="H2331">
        <f>IF(D2331="REMOVE",COUNTIF($D$2:D2331,"REMOVE"),"")</f>
        <v/>
      </c>
      <c r="I2331">
        <f>IF(E2331="Gmail",COUNTIF($E$2:E2331,"Gmail"),"")</f>
        <v/>
      </c>
      <c r="J2331">
        <f>IF(E2331="Outlook",COUNTIF($E$2:E2331,"Outlook"),"")</f>
        <v/>
      </c>
      <c r="K2331">
        <f>IF(E2331="Domain",COUNTIF($E$2:E2331,"Domain"),"")</f>
        <v/>
      </c>
    </row>
    <row r="2332">
      <c r="A2332" s="2" t="n"/>
      <c r="B2332">
        <f>LOWER(TRIM(A2332))</f>
        <v/>
      </c>
      <c r="C2332">
        <f>IF(B2332="","",IFERROR(INDEX('Bad Patterns'!$A$2:$A$120,MATCH(1,INDEX(--ISNUMBER(SEARCH('Bad Patterns'!$A$2:$A$120,B2332)),0),0)),""))</f>
        <v/>
      </c>
      <c r="D2332">
        <f>IF(B2332="","",IF(C2332&lt;&gt;"","REMOVE","KEEP"))</f>
        <v/>
      </c>
      <c r="E2332">
        <f>IF(D2332&lt;&gt;"KEEP","",IF(RIGHT(B2332,10)="@gmail.com","Gmail",IF(OR(RIGHT(B2332,12)="@outlook.com",RIGHT(B2332,12)="@hotmail.com",RIGHT(B2332,9)="@live.com"),"Outlook","Domain")))</f>
        <v/>
      </c>
      <c r="F2332">
        <f>IF(B2332="","",IFERROR(RIGHT(B2332,LEN(B2332)-FIND("@",B2332)),""))</f>
        <v/>
      </c>
      <c r="G2332">
        <f>IF(D2332="KEEP",COUNTIF($D$2:D2332,"KEEP"),"")</f>
        <v/>
      </c>
      <c r="H2332">
        <f>IF(D2332="REMOVE",COUNTIF($D$2:D2332,"REMOVE"),"")</f>
        <v/>
      </c>
      <c r="I2332">
        <f>IF(E2332="Gmail",COUNTIF($E$2:E2332,"Gmail"),"")</f>
        <v/>
      </c>
      <c r="J2332">
        <f>IF(E2332="Outlook",COUNTIF($E$2:E2332,"Outlook"),"")</f>
        <v/>
      </c>
      <c r="K2332">
        <f>IF(E2332="Domain",COUNTIF($E$2:E2332,"Domain"),"")</f>
        <v/>
      </c>
    </row>
    <row r="2333">
      <c r="A2333" s="2" t="n"/>
      <c r="B2333">
        <f>LOWER(TRIM(A2333))</f>
        <v/>
      </c>
      <c r="C2333">
        <f>IF(B2333="","",IFERROR(INDEX('Bad Patterns'!$A$2:$A$120,MATCH(1,INDEX(--ISNUMBER(SEARCH('Bad Patterns'!$A$2:$A$120,B2333)),0),0)),""))</f>
        <v/>
      </c>
      <c r="D2333">
        <f>IF(B2333="","",IF(C2333&lt;&gt;"","REMOVE","KEEP"))</f>
        <v/>
      </c>
      <c r="E2333">
        <f>IF(D2333&lt;&gt;"KEEP","",IF(RIGHT(B2333,10)="@gmail.com","Gmail",IF(OR(RIGHT(B2333,12)="@outlook.com",RIGHT(B2333,12)="@hotmail.com",RIGHT(B2333,9)="@live.com"),"Outlook","Domain")))</f>
        <v/>
      </c>
      <c r="F2333">
        <f>IF(B2333="","",IFERROR(RIGHT(B2333,LEN(B2333)-FIND("@",B2333)),""))</f>
        <v/>
      </c>
      <c r="G2333">
        <f>IF(D2333="KEEP",COUNTIF($D$2:D2333,"KEEP"),"")</f>
        <v/>
      </c>
      <c r="H2333">
        <f>IF(D2333="REMOVE",COUNTIF($D$2:D2333,"REMOVE"),"")</f>
        <v/>
      </c>
      <c r="I2333">
        <f>IF(E2333="Gmail",COUNTIF($E$2:E2333,"Gmail"),"")</f>
        <v/>
      </c>
      <c r="J2333">
        <f>IF(E2333="Outlook",COUNTIF($E$2:E2333,"Outlook"),"")</f>
        <v/>
      </c>
      <c r="K2333">
        <f>IF(E2333="Domain",COUNTIF($E$2:E2333,"Domain"),"")</f>
        <v/>
      </c>
    </row>
    <row r="2334">
      <c r="A2334" s="2" t="n"/>
      <c r="B2334">
        <f>LOWER(TRIM(A2334))</f>
        <v/>
      </c>
      <c r="C2334">
        <f>IF(B2334="","",IFERROR(INDEX('Bad Patterns'!$A$2:$A$120,MATCH(1,INDEX(--ISNUMBER(SEARCH('Bad Patterns'!$A$2:$A$120,B2334)),0),0)),""))</f>
        <v/>
      </c>
      <c r="D2334">
        <f>IF(B2334="","",IF(C2334&lt;&gt;"","REMOVE","KEEP"))</f>
        <v/>
      </c>
      <c r="E2334">
        <f>IF(D2334&lt;&gt;"KEEP","",IF(RIGHT(B2334,10)="@gmail.com","Gmail",IF(OR(RIGHT(B2334,12)="@outlook.com",RIGHT(B2334,12)="@hotmail.com",RIGHT(B2334,9)="@live.com"),"Outlook","Domain")))</f>
        <v/>
      </c>
      <c r="F2334">
        <f>IF(B2334="","",IFERROR(RIGHT(B2334,LEN(B2334)-FIND("@",B2334)),""))</f>
        <v/>
      </c>
      <c r="G2334">
        <f>IF(D2334="KEEP",COUNTIF($D$2:D2334,"KEEP"),"")</f>
        <v/>
      </c>
      <c r="H2334">
        <f>IF(D2334="REMOVE",COUNTIF($D$2:D2334,"REMOVE"),"")</f>
        <v/>
      </c>
      <c r="I2334">
        <f>IF(E2334="Gmail",COUNTIF($E$2:E2334,"Gmail"),"")</f>
        <v/>
      </c>
      <c r="J2334">
        <f>IF(E2334="Outlook",COUNTIF($E$2:E2334,"Outlook"),"")</f>
        <v/>
      </c>
      <c r="K2334">
        <f>IF(E2334="Domain",COUNTIF($E$2:E2334,"Domain"),"")</f>
        <v/>
      </c>
    </row>
    <row r="2335">
      <c r="A2335" s="2" t="n"/>
      <c r="B2335">
        <f>LOWER(TRIM(A2335))</f>
        <v/>
      </c>
      <c r="C2335">
        <f>IF(B2335="","",IFERROR(INDEX('Bad Patterns'!$A$2:$A$120,MATCH(1,INDEX(--ISNUMBER(SEARCH('Bad Patterns'!$A$2:$A$120,B2335)),0),0)),""))</f>
        <v/>
      </c>
      <c r="D2335">
        <f>IF(B2335="","",IF(C2335&lt;&gt;"","REMOVE","KEEP"))</f>
        <v/>
      </c>
      <c r="E2335">
        <f>IF(D2335&lt;&gt;"KEEP","",IF(RIGHT(B2335,10)="@gmail.com","Gmail",IF(OR(RIGHT(B2335,12)="@outlook.com",RIGHT(B2335,12)="@hotmail.com",RIGHT(B2335,9)="@live.com"),"Outlook","Domain")))</f>
        <v/>
      </c>
      <c r="F2335">
        <f>IF(B2335="","",IFERROR(RIGHT(B2335,LEN(B2335)-FIND("@",B2335)),""))</f>
        <v/>
      </c>
      <c r="G2335">
        <f>IF(D2335="KEEP",COUNTIF($D$2:D2335,"KEEP"),"")</f>
        <v/>
      </c>
      <c r="H2335">
        <f>IF(D2335="REMOVE",COUNTIF($D$2:D2335,"REMOVE"),"")</f>
        <v/>
      </c>
      <c r="I2335">
        <f>IF(E2335="Gmail",COUNTIF($E$2:E2335,"Gmail"),"")</f>
        <v/>
      </c>
      <c r="J2335">
        <f>IF(E2335="Outlook",COUNTIF($E$2:E2335,"Outlook"),"")</f>
        <v/>
      </c>
      <c r="K2335">
        <f>IF(E2335="Domain",COUNTIF($E$2:E2335,"Domain"),"")</f>
        <v/>
      </c>
    </row>
    <row r="2336">
      <c r="A2336" s="2" t="n"/>
      <c r="B2336">
        <f>LOWER(TRIM(A2336))</f>
        <v/>
      </c>
      <c r="C2336">
        <f>IF(B2336="","",IFERROR(INDEX('Bad Patterns'!$A$2:$A$120,MATCH(1,INDEX(--ISNUMBER(SEARCH('Bad Patterns'!$A$2:$A$120,B2336)),0),0)),""))</f>
        <v/>
      </c>
      <c r="D2336">
        <f>IF(B2336="","",IF(C2336&lt;&gt;"","REMOVE","KEEP"))</f>
        <v/>
      </c>
      <c r="E2336">
        <f>IF(D2336&lt;&gt;"KEEP","",IF(RIGHT(B2336,10)="@gmail.com","Gmail",IF(OR(RIGHT(B2336,12)="@outlook.com",RIGHT(B2336,12)="@hotmail.com",RIGHT(B2336,9)="@live.com"),"Outlook","Domain")))</f>
        <v/>
      </c>
      <c r="F2336">
        <f>IF(B2336="","",IFERROR(RIGHT(B2336,LEN(B2336)-FIND("@",B2336)),""))</f>
        <v/>
      </c>
      <c r="G2336">
        <f>IF(D2336="KEEP",COUNTIF($D$2:D2336,"KEEP"),"")</f>
        <v/>
      </c>
      <c r="H2336">
        <f>IF(D2336="REMOVE",COUNTIF($D$2:D2336,"REMOVE"),"")</f>
        <v/>
      </c>
      <c r="I2336">
        <f>IF(E2336="Gmail",COUNTIF($E$2:E2336,"Gmail"),"")</f>
        <v/>
      </c>
      <c r="J2336">
        <f>IF(E2336="Outlook",COUNTIF($E$2:E2336,"Outlook"),"")</f>
        <v/>
      </c>
      <c r="K2336">
        <f>IF(E2336="Domain",COUNTIF($E$2:E2336,"Domain"),"")</f>
        <v/>
      </c>
    </row>
    <row r="2337">
      <c r="A2337" s="2" t="n"/>
      <c r="B2337">
        <f>LOWER(TRIM(A2337))</f>
        <v/>
      </c>
      <c r="C2337">
        <f>IF(B2337="","",IFERROR(INDEX('Bad Patterns'!$A$2:$A$120,MATCH(1,INDEX(--ISNUMBER(SEARCH('Bad Patterns'!$A$2:$A$120,B2337)),0),0)),""))</f>
        <v/>
      </c>
      <c r="D2337">
        <f>IF(B2337="","",IF(C2337&lt;&gt;"","REMOVE","KEEP"))</f>
        <v/>
      </c>
      <c r="E2337">
        <f>IF(D2337&lt;&gt;"KEEP","",IF(RIGHT(B2337,10)="@gmail.com","Gmail",IF(OR(RIGHT(B2337,12)="@outlook.com",RIGHT(B2337,12)="@hotmail.com",RIGHT(B2337,9)="@live.com"),"Outlook","Domain")))</f>
        <v/>
      </c>
      <c r="F2337">
        <f>IF(B2337="","",IFERROR(RIGHT(B2337,LEN(B2337)-FIND("@",B2337)),""))</f>
        <v/>
      </c>
      <c r="G2337">
        <f>IF(D2337="KEEP",COUNTIF($D$2:D2337,"KEEP"),"")</f>
        <v/>
      </c>
      <c r="H2337">
        <f>IF(D2337="REMOVE",COUNTIF($D$2:D2337,"REMOVE"),"")</f>
        <v/>
      </c>
      <c r="I2337">
        <f>IF(E2337="Gmail",COUNTIF($E$2:E2337,"Gmail"),"")</f>
        <v/>
      </c>
      <c r="J2337">
        <f>IF(E2337="Outlook",COUNTIF($E$2:E2337,"Outlook"),"")</f>
        <v/>
      </c>
      <c r="K2337">
        <f>IF(E2337="Domain",COUNTIF($E$2:E2337,"Domain"),"")</f>
        <v/>
      </c>
    </row>
    <row r="2338">
      <c r="A2338" s="2" t="n"/>
      <c r="B2338">
        <f>LOWER(TRIM(A2338))</f>
        <v/>
      </c>
      <c r="C2338">
        <f>IF(B2338="","",IFERROR(INDEX('Bad Patterns'!$A$2:$A$120,MATCH(1,INDEX(--ISNUMBER(SEARCH('Bad Patterns'!$A$2:$A$120,B2338)),0),0)),""))</f>
        <v/>
      </c>
      <c r="D2338">
        <f>IF(B2338="","",IF(C2338&lt;&gt;"","REMOVE","KEEP"))</f>
        <v/>
      </c>
      <c r="E2338">
        <f>IF(D2338&lt;&gt;"KEEP","",IF(RIGHT(B2338,10)="@gmail.com","Gmail",IF(OR(RIGHT(B2338,12)="@outlook.com",RIGHT(B2338,12)="@hotmail.com",RIGHT(B2338,9)="@live.com"),"Outlook","Domain")))</f>
        <v/>
      </c>
      <c r="F2338">
        <f>IF(B2338="","",IFERROR(RIGHT(B2338,LEN(B2338)-FIND("@",B2338)),""))</f>
        <v/>
      </c>
      <c r="G2338">
        <f>IF(D2338="KEEP",COUNTIF($D$2:D2338,"KEEP"),"")</f>
        <v/>
      </c>
      <c r="H2338">
        <f>IF(D2338="REMOVE",COUNTIF($D$2:D2338,"REMOVE"),"")</f>
        <v/>
      </c>
      <c r="I2338">
        <f>IF(E2338="Gmail",COUNTIF($E$2:E2338,"Gmail"),"")</f>
        <v/>
      </c>
      <c r="J2338">
        <f>IF(E2338="Outlook",COUNTIF($E$2:E2338,"Outlook"),"")</f>
        <v/>
      </c>
      <c r="K2338">
        <f>IF(E2338="Domain",COUNTIF($E$2:E2338,"Domain"),"")</f>
        <v/>
      </c>
    </row>
    <row r="2339">
      <c r="A2339" s="2" t="n"/>
      <c r="B2339">
        <f>LOWER(TRIM(A2339))</f>
        <v/>
      </c>
      <c r="C2339">
        <f>IF(B2339="","",IFERROR(INDEX('Bad Patterns'!$A$2:$A$120,MATCH(1,INDEX(--ISNUMBER(SEARCH('Bad Patterns'!$A$2:$A$120,B2339)),0),0)),""))</f>
        <v/>
      </c>
      <c r="D2339">
        <f>IF(B2339="","",IF(C2339&lt;&gt;"","REMOVE","KEEP"))</f>
        <v/>
      </c>
      <c r="E2339">
        <f>IF(D2339&lt;&gt;"KEEP","",IF(RIGHT(B2339,10)="@gmail.com","Gmail",IF(OR(RIGHT(B2339,12)="@outlook.com",RIGHT(B2339,12)="@hotmail.com",RIGHT(B2339,9)="@live.com"),"Outlook","Domain")))</f>
        <v/>
      </c>
      <c r="F2339">
        <f>IF(B2339="","",IFERROR(RIGHT(B2339,LEN(B2339)-FIND("@",B2339)),""))</f>
        <v/>
      </c>
      <c r="G2339">
        <f>IF(D2339="KEEP",COUNTIF($D$2:D2339,"KEEP"),"")</f>
        <v/>
      </c>
      <c r="H2339">
        <f>IF(D2339="REMOVE",COUNTIF($D$2:D2339,"REMOVE"),"")</f>
        <v/>
      </c>
      <c r="I2339">
        <f>IF(E2339="Gmail",COUNTIF($E$2:E2339,"Gmail"),"")</f>
        <v/>
      </c>
      <c r="J2339">
        <f>IF(E2339="Outlook",COUNTIF($E$2:E2339,"Outlook"),"")</f>
        <v/>
      </c>
      <c r="K2339">
        <f>IF(E2339="Domain",COUNTIF($E$2:E2339,"Domain"),"")</f>
        <v/>
      </c>
    </row>
    <row r="2340">
      <c r="A2340" s="2" t="n"/>
      <c r="B2340">
        <f>LOWER(TRIM(A2340))</f>
        <v/>
      </c>
      <c r="C2340">
        <f>IF(B2340="","",IFERROR(INDEX('Bad Patterns'!$A$2:$A$120,MATCH(1,INDEX(--ISNUMBER(SEARCH('Bad Patterns'!$A$2:$A$120,B2340)),0),0)),""))</f>
        <v/>
      </c>
      <c r="D2340">
        <f>IF(B2340="","",IF(C2340&lt;&gt;"","REMOVE","KEEP"))</f>
        <v/>
      </c>
      <c r="E2340">
        <f>IF(D2340&lt;&gt;"KEEP","",IF(RIGHT(B2340,10)="@gmail.com","Gmail",IF(OR(RIGHT(B2340,12)="@outlook.com",RIGHT(B2340,12)="@hotmail.com",RIGHT(B2340,9)="@live.com"),"Outlook","Domain")))</f>
        <v/>
      </c>
      <c r="F2340">
        <f>IF(B2340="","",IFERROR(RIGHT(B2340,LEN(B2340)-FIND("@",B2340)),""))</f>
        <v/>
      </c>
      <c r="G2340">
        <f>IF(D2340="KEEP",COUNTIF($D$2:D2340,"KEEP"),"")</f>
        <v/>
      </c>
      <c r="H2340">
        <f>IF(D2340="REMOVE",COUNTIF($D$2:D2340,"REMOVE"),"")</f>
        <v/>
      </c>
      <c r="I2340">
        <f>IF(E2340="Gmail",COUNTIF($E$2:E2340,"Gmail"),"")</f>
        <v/>
      </c>
      <c r="J2340">
        <f>IF(E2340="Outlook",COUNTIF($E$2:E2340,"Outlook"),"")</f>
        <v/>
      </c>
      <c r="K2340">
        <f>IF(E2340="Domain",COUNTIF($E$2:E2340,"Domain"),"")</f>
        <v/>
      </c>
    </row>
    <row r="2341">
      <c r="A2341" s="2" t="n"/>
      <c r="B2341">
        <f>LOWER(TRIM(A2341))</f>
        <v/>
      </c>
      <c r="C2341">
        <f>IF(B2341="","",IFERROR(INDEX('Bad Patterns'!$A$2:$A$120,MATCH(1,INDEX(--ISNUMBER(SEARCH('Bad Patterns'!$A$2:$A$120,B2341)),0),0)),""))</f>
        <v/>
      </c>
      <c r="D2341">
        <f>IF(B2341="","",IF(C2341&lt;&gt;"","REMOVE","KEEP"))</f>
        <v/>
      </c>
      <c r="E2341">
        <f>IF(D2341&lt;&gt;"KEEP","",IF(RIGHT(B2341,10)="@gmail.com","Gmail",IF(OR(RIGHT(B2341,12)="@outlook.com",RIGHT(B2341,12)="@hotmail.com",RIGHT(B2341,9)="@live.com"),"Outlook","Domain")))</f>
        <v/>
      </c>
      <c r="F2341">
        <f>IF(B2341="","",IFERROR(RIGHT(B2341,LEN(B2341)-FIND("@",B2341)),""))</f>
        <v/>
      </c>
      <c r="G2341">
        <f>IF(D2341="KEEP",COUNTIF($D$2:D2341,"KEEP"),"")</f>
        <v/>
      </c>
      <c r="H2341">
        <f>IF(D2341="REMOVE",COUNTIF($D$2:D2341,"REMOVE"),"")</f>
        <v/>
      </c>
      <c r="I2341">
        <f>IF(E2341="Gmail",COUNTIF($E$2:E2341,"Gmail"),"")</f>
        <v/>
      </c>
      <c r="J2341">
        <f>IF(E2341="Outlook",COUNTIF($E$2:E2341,"Outlook"),"")</f>
        <v/>
      </c>
      <c r="K2341">
        <f>IF(E2341="Domain",COUNTIF($E$2:E2341,"Domain"),"")</f>
        <v/>
      </c>
    </row>
    <row r="2342">
      <c r="A2342" s="2" t="n"/>
      <c r="B2342">
        <f>LOWER(TRIM(A2342))</f>
        <v/>
      </c>
      <c r="C2342">
        <f>IF(B2342="","",IFERROR(INDEX('Bad Patterns'!$A$2:$A$120,MATCH(1,INDEX(--ISNUMBER(SEARCH('Bad Patterns'!$A$2:$A$120,B2342)),0),0)),""))</f>
        <v/>
      </c>
      <c r="D2342">
        <f>IF(B2342="","",IF(C2342&lt;&gt;"","REMOVE","KEEP"))</f>
        <v/>
      </c>
      <c r="E2342">
        <f>IF(D2342&lt;&gt;"KEEP","",IF(RIGHT(B2342,10)="@gmail.com","Gmail",IF(OR(RIGHT(B2342,12)="@outlook.com",RIGHT(B2342,12)="@hotmail.com",RIGHT(B2342,9)="@live.com"),"Outlook","Domain")))</f>
        <v/>
      </c>
      <c r="F2342">
        <f>IF(B2342="","",IFERROR(RIGHT(B2342,LEN(B2342)-FIND("@",B2342)),""))</f>
        <v/>
      </c>
      <c r="G2342">
        <f>IF(D2342="KEEP",COUNTIF($D$2:D2342,"KEEP"),"")</f>
        <v/>
      </c>
      <c r="H2342">
        <f>IF(D2342="REMOVE",COUNTIF($D$2:D2342,"REMOVE"),"")</f>
        <v/>
      </c>
      <c r="I2342">
        <f>IF(E2342="Gmail",COUNTIF($E$2:E2342,"Gmail"),"")</f>
        <v/>
      </c>
      <c r="J2342">
        <f>IF(E2342="Outlook",COUNTIF($E$2:E2342,"Outlook"),"")</f>
        <v/>
      </c>
      <c r="K2342">
        <f>IF(E2342="Domain",COUNTIF($E$2:E2342,"Domain"),"")</f>
        <v/>
      </c>
    </row>
    <row r="2343">
      <c r="A2343" s="2" t="n"/>
      <c r="B2343">
        <f>LOWER(TRIM(A2343))</f>
        <v/>
      </c>
      <c r="C2343">
        <f>IF(B2343="","",IFERROR(INDEX('Bad Patterns'!$A$2:$A$120,MATCH(1,INDEX(--ISNUMBER(SEARCH('Bad Patterns'!$A$2:$A$120,B2343)),0),0)),""))</f>
        <v/>
      </c>
      <c r="D2343">
        <f>IF(B2343="","",IF(C2343&lt;&gt;"","REMOVE","KEEP"))</f>
        <v/>
      </c>
      <c r="E2343">
        <f>IF(D2343&lt;&gt;"KEEP","",IF(RIGHT(B2343,10)="@gmail.com","Gmail",IF(OR(RIGHT(B2343,12)="@outlook.com",RIGHT(B2343,12)="@hotmail.com",RIGHT(B2343,9)="@live.com"),"Outlook","Domain")))</f>
        <v/>
      </c>
      <c r="F2343">
        <f>IF(B2343="","",IFERROR(RIGHT(B2343,LEN(B2343)-FIND("@",B2343)),""))</f>
        <v/>
      </c>
      <c r="G2343">
        <f>IF(D2343="KEEP",COUNTIF($D$2:D2343,"KEEP"),"")</f>
        <v/>
      </c>
      <c r="H2343">
        <f>IF(D2343="REMOVE",COUNTIF($D$2:D2343,"REMOVE"),"")</f>
        <v/>
      </c>
      <c r="I2343">
        <f>IF(E2343="Gmail",COUNTIF($E$2:E2343,"Gmail"),"")</f>
        <v/>
      </c>
      <c r="J2343">
        <f>IF(E2343="Outlook",COUNTIF($E$2:E2343,"Outlook"),"")</f>
        <v/>
      </c>
      <c r="K2343">
        <f>IF(E2343="Domain",COUNTIF($E$2:E2343,"Domain"),"")</f>
        <v/>
      </c>
    </row>
    <row r="2344">
      <c r="A2344" s="2" t="n"/>
      <c r="B2344">
        <f>LOWER(TRIM(A2344))</f>
        <v/>
      </c>
      <c r="C2344">
        <f>IF(B2344="","",IFERROR(INDEX('Bad Patterns'!$A$2:$A$120,MATCH(1,INDEX(--ISNUMBER(SEARCH('Bad Patterns'!$A$2:$A$120,B2344)),0),0)),""))</f>
        <v/>
      </c>
      <c r="D2344">
        <f>IF(B2344="","",IF(C2344&lt;&gt;"","REMOVE","KEEP"))</f>
        <v/>
      </c>
      <c r="E2344">
        <f>IF(D2344&lt;&gt;"KEEP","",IF(RIGHT(B2344,10)="@gmail.com","Gmail",IF(OR(RIGHT(B2344,12)="@outlook.com",RIGHT(B2344,12)="@hotmail.com",RIGHT(B2344,9)="@live.com"),"Outlook","Domain")))</f>
        <v/>
      </c>
      <c r="F2344">
        <f>IF(B2344="","",IFERROR(RIGHT(B2344,LEN(B2344)-FIND("@",B2344)),""))</f>
        <v/>
      </c>
      <c r="G2344">
        <f>IF(D2344="KEEP",COUNTIF($D$2:D2344,"KEEP"),"")</f>
        <v/>
      </c>
      <c r="H2344">
        <f>IF(D2344="REMOVE",COUNTIF($D$2:D2344,"REMOVE"),"")</f>
        <v/>
      </c>
      <c r="I2344">
        <f>IF(E2344="Gmail",COUNTIF($E$2:E2344,"Gmail"),"")</f>
        <v/>
      </c>
      <c r="J2344">
        <f>IF(E2344="Outlook",COUNTIF($E$2:E2344,"Outlook"),"")</f>
        <v/>
      </c>
      <c r="K2344">
        <f>IF(E2344="Domain",COUNTIF($E$2:E2344,"Domain"),"")</f>
        <v/>
      </c>
    </row>
    <row r="2345">
      <c r="A2345" s="2" t="n"/>
      <c r="B2345">
        <f>LOWER(TRIM(A2345))</f>
        <v/>
      </c>
      <c r="C2345">
        <f>IF(B2345="","",IFERROR(INDEX('Bad Patterns'!$A$2:$A$120,MATCH(1,INDEX(--ISNUMBER(SEARCH('Bad Patterns'!$A$2:$A$120,B2345)),0),0)),""))</f>
        <v/>
      </c>
      <c r="D2345">
        <f>IF(B2345="","",IF(C2345&lt;&gt;"","REMOVE","KEEP"))</f>
        <v/>
      </c>
      <c r="E2345">
        <f>IF(D2345&lt;&gt;"KEEP","",IF(RIGHT(B2345,10)="@gmail.com","Gmail",IF(OR(RIGHT(B2345,12)="@outlook.com",RIGHT(B2345,12)="@hotmail.com",RIGHT(B2345,9)="@live.com"),"Outlook","Domain")))</f>
        <v/>
      </c>
      <c r="F2345">
        <f>IF(B2345="","",IFERROR(RIGHT(B2345,LEN(B2345)-FIND("@",B2345)),""))</f>
        <v/>
      </c>
      <c r="G2345">
        <f>IF(D2345="KEEP",COUNTIF($D$2:D2345,"KEEP"),"")</f>
        <v/>
      </c>
      <c r="H2345">
        <f>IF(D2345="REMOVE",COUNTIF($D$2:D2345,"REMOVE"),"")</f>
        <v/>
      </c>
      <c r="I2345">
        <f>IF(E2345="Gmail",COUNTIF($E$2:E2345,"Gmail"),"")</f>
        <v/>
      </c>
      <c r="J2345">
        <f>IF(E2345="Outlook",COUNTIF($E$2:E2345,"Outlook"),"")</f>
        <v/>
      </c>
      <c r="K2345">
        <f>IF(E2345="Domain",COUNTIF($E$2:E2345,"Domain"),"")</f>
        <v/>
      </c>
    </row>
    <row r="2346">
      <c r="A2346" s="2" t="n"/>
      <c r="B2346">
        <f>LOWER(TRIM(A2346))</f>
        <v/>
      </c>
      <c r="C2346">
        <f>IF(B2346="","",IFERROR(INDEX('Bad Patterns'!$A$2:$A$120,MATCH(1,INDEX(--ISNUMBER(SEARCH('Bad Patterns'!$A$2:$A$120,B2346)),0),0)),""))</f>
        <v/>
      </c>
      <c r="D2346">
        <f>IF(B2346="","",IF(C2346&lt;&gt;"","REMOVE","KEEP"))</f>
        <v/>
      </c>
      <c r="E2346">
        <f>IF(D2346&lt;&gt;"KEEP","",IF(RIGHT(B2346,10)="@gmail.com","Gmail",IF(OR(RIGHT(B2346,12)="@outlook.com",RIGHT(B2346,12)="@hotmail.com",RIGHT(B2346,9)="@live.com"),"Outlook","Domain")))</f>
        <v/>
      </c>
      <c r="F2346">
        <f>IF(B2346="","",IFERROR(RIGHT(B2346,LEN(B2346)-FIND("@",B2346)),""))</f>
        <v/>
      </c>
      <c r="G2346">
        <f>IF(D2346="KEEP",COUNTIF($D$2:D2346,"KEEP"),"")</f>
        <v/>
      </c>
      <c r="H2346">
        <f>IF(D2346="REMOVE",COUNTIF($D$2:D2346,"REMOVE"),"")</f>
        <v/>
      </c>
      <c r="I2346">
        <f>IF(E2346="Gmail",COUNTIF($E$2:E2346,"Gmail"),"")</f>
        <v/>
      </c>
      <c r="J2346">
        <f>IF(E2346="Outlook",COUNTIF($E$2:E2346,"Outlook"),"")</f>
        <v/>
      </c>
      <c r="K2346">
        <f>IF(E2346="Domain",COUNTIF($E$2:E2346,"Domain"),"")</f>
        <v/>
      </c>
    </row>
    <row r="2347">
      <c r="A2347" s="2" t="n"/>
      <c r="B2347">
        <f>LOWER(TRIM(A2347))</f>
        <v/>
      </c>
      <c r="C2347">
        <f>IF(B2347="","",IFERROR(INDEX('Bad Patterns'!$A$2:$A$120,MATCH(1,INDEX(--ISNUMBER(SEARCH('Bad Patterns'!$A$2:$A$120,B2347)),0),0)),""))</f>
        <v/>
      </c>
      <c r="D2347">
        <f>IF(B2347="","",IF(C2347&lt;&gt;"","REMOVE","KEEP"))</f>
        <v/>
      </c>
      <c r="E2347">
        <f>IF(D2347&lt;&gt;"KEEP","",IF(RIGHT(B2347,10)="@gmail.com","Gmail",IF(OR(RIGHT(B2347,12)="@outlook.com",RIGHT(B2347,12)="@hotmail.com",RIGHT(B2347,9)="@live.com"),"Outlook","Domain")))</f>
        <v/>
      </c>
      <c r="F2347">
        <f>IF(B2347="","",IFERROR(RIGHT(B2347,LEN(B2347)-FIND("@",B2347)),""))</f>
        <v/>
      </c>
      <c r="G2347">
        <f>IF(D2347="KEEP",COUNTIF($D$2:D2347,"KEEP"),"")</f>
        <v/>
      </c>
      <c r="H2347">
        <f>IF(D2347="REMOVE",COUNTIF($D$2:D2347,"REMOVE"),"")</f>
        <v/>
      </c>
      <c r="I2347">
        <f>IF(E2347="Gmail",COUNTIF($E$2:E2347,"Gmail"),"")</f>
        <v/>
      </c>
      <c r="J2347">
        <f>IF(E2347="Outlook",COUNTIF($E$2:E2347,"Outlook"),"")</f>
        <v/>
      </c>
      <c r="K2347">
        <f>IF(E2347="Domain",COUNTIF($E$2:E2347,"Domain"),"")</f>
        <v/>
      </c>
    </row>
    <row r="2348">
      <c r="A2348" s="2" t="n"/>
      <c r="B2348">
        <f>LOWER(TRIM(A2348))</f>
        <v/>
      </c>
      <c r="C2348">
        <f>IF(B2348="","",IFERROR(INDEX('Bad Patterns'!$A$2:$A$120,MATCH(1,INDEX(--ISNUMBER(SEARCH('Bad Patterns'!$A$2:$A$120,B2348)),0),0)),""))</f>
        <v/>
      </c>
      <c r="D2348">
        <f>IF(B2348="","",IF(C2348&lt;&gt;"","REMOVE","KEEP"))</f>
        <v/>
      </c>
      <c r="E2348">
        <f>IF(D2348&lt;&gt;"KEEP","",IF(RIGHT(B2348,10)="@gmail.com","Gmail",IF(OR(RIGHT(B2348,12)="@outlook.com",RIGHT(B2348,12)="@hotmail.com",RIGHT(B2348,9)="@live.com"),"Outlook","Domain")))</f>
        <v/>
      </c>
      <c r="F2348">
        <f>IF(B2348="","",IFERROR(RIGHT(B2348,LEN(B2348)-FIND("@",B2348)),""))</f>
        <v/>
      </c>
      <c r="G2348">
        <f>IF(D2348="KEEP",COUNTIF($D$2:D2348,"KEEP"),"")</f>
        <v/>
      </c>
      <c r="H2348">
        <f>IF(D2348="REMOVE",COUNTIF($D$2:D2348,"REMOVE"),"")</f>
        <v/>
      </c>
      <c r="I2348">
        <f>IF(E2348="Gmail",COUNTIF($E$2:E2348,"Gmail"),"")</f>
        <v/>
      </c>
      <c r="J2348">
        <f>IF(E2348="Outlook",COUNTIF($E$2:E2348,"Outlook"),"")</f>
        <v/>
      </c>
      <c r="K2348">
        <f>IF(E2348="Domain",COUNTIF($E$2:E2348,"Domain"),"")</f>
        <v/>
      </c>
    </row>
    <row r="2349">
      <c r="A2349" s="2" t="n"/>
      <c r="B2349">
        <f>LOWER(TRIM(A2349))</f>
        <v/>
      </c>
      <c r="C2349">
        <f>IF(B2349="","",IFERROR(INDEX('Bad Patterns'!$A$2:$A$120,MATCH(1,INDEX(--ISNUMBER(SEARCH('Bad Patterns'!$A$2:$A$120,B2349)),0),0)),""))</f>
        <v/>
      </c>
      <c r="D2349">
        <f>IF(B2349="","",IF(C2349&lt;&gt;"","REMOVE","KEEP"))</f>
        <v/>
      </c>
      <c r="E2349">
        <f>IF(D2349&lt;&gt;"KEEP","",IF(RIGHT(B2349,10)="@gmail.com","Gmail",IF(OR(RIGHT(B2349,12)="@outlook.com",RIGHT(B2349,12)="@hotmail.com",RIGHT(B2349,9)="@live.com"),"Outlook","Domain")))</f>
        <v/>
      </c>
      <c r="F2349">
        <f>IF(B2349="","",IFERROR(RIGHT(B2349,LEN(B2349)-FIND("@",B2349)),""))</f>
        <v/>
      </c>
      <c r="G2349">
        <f>IF(D2349="KEEP",COUNTIF($D$2:D2349,"KEEP"),"")</f>
        <v/>
      </c>
      <c r="H2349">
        <f>IF(D2349="REMOVE",COUNTIF($D$2:D2349,"REMOVE"),"")</f>
        <v/>
      </c>
      <c r="I2349">
        <f>IF(E2349="Gmail",COUNTIF($E$2:E2349,"Gmail"),"")</f>
        <v/>
      </c>
      <c r="J2349">
        <f>IF(E2349="Outlook",COUNTIF($E$2:E2349,"Outlook"),"")</f>
        <v/>
      </c>
      <c r="K2349">
        <f>IF(E2349="Domain",COUNTIF($E$2:E2349,"Domain"),"")</f>
        <v/>
      </c>
    </row>
    <row r="2350">
      <c r="A2350" s="2" t="n"/>
      <c r="B2350">
        <f>LOWER(TRIM(A2350))</f>
        <v/>
      </c>
      <c r="C2350">
        <f>IF(B2350="","",IFERROR(INDEX('Bad Patterns'!$A$2:$A$120,MATCH(1,INDEX(--ISNUMBER(SEARCH('Bad Patterns'!$A$2:$A$120,B2350)),0),0)),""))</f>
        <v/>
      </c>
      <c r="D2350">
        <f>IF(B2350="","",IF(C2350&lt;&gt;"","REMOVE","KEEP"))</f>
        <v/>
      </c>
      <c r="E2350">
        <f>IF(D2350&lt;&gt;"KEEP","",IF(RIGHT(B2350,10)="@gmail.com","Gmail",IF(OR(RIGHT(B2350,12)="@outlook.com",RIGHT(B2350,12)="@hotmail.com",RIGHT(B2350,9)="@live.com"),"Outlook","Domain")))</f>
        <v/>
      </c>
      <c r="F2350">
        <f>IF(B2350="","",IFERROR(RIGHT(B2350,LEN(B2350)-FIND("@",B2350)),""))</f>
        <v/>
      </c>
      <c r="G2350">
        <f>IF(D2350="KEEP",COUNTIF($D$2:D2350,"KEEP"),"")</f>
        <v/>
      </c>
      <c r="H2350">
        <f>IF(D2350="REMOVE",COUNTIF($D$2:D2350,"REMOVE"),"")</f>
        <v/>
      </c>
      <c r="I2350">
        <f>IF(E2350="Gmail",COUNTIF($E$2:E2350,"Gmail"),"")</f>
        <v/>
      </c>
      <c r="J2350">
        <f>IF(E2350="Outlook",COUNTIF($E$2:E2350,"Outlook"),"")</f>
        <v/>
      </c>
      <c r="K2350">
        <f>IF(E2350="Domain",COUNTIF($E$2:E2350,"Domain"),"")</f>
        <v/>
      </c>
    </row>
    <row r="2351">
      <c r="A2351" s="2" t="n"/>
      <c r="B2351">
        <f>LOWER(TRIM(A2351))</f>
        <v/>
      </c>
      <c r="C2351">
        <f>IF(B2351="","",IFERROR(INDEX('Bad Patterns'!$A$2:$A$120,MATCH(1,INDEX(--ISNUMBER(SEARCH('Bad Patterns'!$A$2:$A$120,B2351)),0),0)),""))</f>
        <v/>
      </c>
      <c r="D2351">
        <f>IF(B2351="","",IF(C2351&lt;&gt;"","REMOVE","KEEP"))</f>
        <v/>
      </c>
      <c r="E2351">
        <f>IF(D2351&lt;&gt;"KEEP","",IF(RIGHT(B2351,10)="@gmail.com","Gmail",IF(OR(RIGHT(B2351,12)="@outlook.com",RIGHT(B2351,12)="@hotmail.com",RIGHT(B2351,9)="@live.com"),"Outlook","Domain")))</f>
        <v/>
      </c>
      <c r="F2351">
        <f>IF(B2351="","",IFERROR(RIGHT(B2351,LEN(B2351)-FIND("@",B2351)),""))</f>
        <v/>
      </c>
      <c r="G2351">
        <f>IF(D2351="KEEP",COUNTIF($D$2:D2351,"KEEP"),"")</f>
        <v/>
      </c>
      <c r="H2351">
        <f>IF(D2351="REMOVE",COUNTIF($D$2:D2351,"REMOVE"),"")</f>
        <v/>
      </c>
      <c r="I2351">
        <f>IF(E2351="Gmail",COUNTIF($E$2:E2351,"Gmail"),"")</f>
        <v/>
      </c>
      <c r="J2351">
        <f>IF(E2351="Outlook",COUNTIF($E$2:E2351,"Outlook"),"")</f>
        <v/>
      </c>
      <c r="K2351">
        <f>IF(E2351="Domain",COUNTIF($E$2:E2351,"Domain"),"")</f>
        <v/>
      </c>
    </row>
    <row r="2352">
      <c r="A2352" s="2" t="n"/>
      <c r="B2352">
        <f>LOWER(TRIM(A2352))</f>
        <v/>
      </c>
      <c r="C2352">
        <f>IF(B2352="","",IFERROR(INDEX('Bad Patterns'!$A$2:$A$120,MATCH(1,INDEX(--ISNUMBER(SEARCH('Bad Patterns'!$A$2:$A$120,B2352)),0),0)),""))</f>
        <v/>
      </c>
      <c r="D2352">
        <f>IF(B2352="","",IF(C2352&lt;&gt;"","REMOVE","KEEP"))</f>
        <v/>
      </c>
      <c r="E2352">
        <f>IF(D2352&lt;&gt;"KEEP","",IF(RIGHT(B2352,10)="@gmail.com","Gmail",IF(OR(RIGHT(B2352,12)="@outlook.com",RIGHT(B2352,12)="@hotmail.com",RIGHT(B2352,9)="@live.com"),"Outlook","Domain")))</f>
        <v/>
      </c>
      <c r="F2352">
        <f>IF(B2352="","",IFERROR(RIGHT(B2352,LEN(B2352)-FIND("@",B2352)),""))</f>
        <v/>
      </c>
      <c r="G2352">
        <f>IF(D2352="KEEP",COUNTIF($D$2:D2352,"KEEP"),"")</f>
        <v/>
      </c>
      <c r="H2352">
        <f>IF(D2352="REMOVE",COUNTIF($D$2:D2352,"REMOVE"),"")</f>
        <v/>
      </c>
      <c r="I2352">
        <f>IF(E2352="Gmail",COUNTIF($E$2:E2352,"Gmail"),"")</f>
        <v/>
      </c>
      <c r="J2352">
        <f>IF(E2352="Outlook",COUNTIF($E$2:E2352,"Outlook"),"")</f>
        <v/>
      </c>
      <c r="K2352">
        <f>IF(E2352="Domain",COUNTIF($E$2:E2352,"Domain"),"")</f>
        <v/>
      </c>
    </row>
    <row r="2353">
      <c r="A2353" s="2" t="n"/>
      <c r="B2353">
        <f>LOWER(TRIM(A2353))</f>
        <v/>
      </c>
      <c r="C2353">
        <f>IF(B2353="","",IFERROR(INDEX('Bad Patterns'!$A$2:$A$120,MATCH(1,INDEX(--ISNUMBER(SEARCH('Bad Patterns'!$A$2:$A$120,B2353)),0),0)),""))</f>
        <v/>
      </c>
      <c r="D2353">
        <f>IF(B2353="","",IF(C2353&lt;&gt;"","REMOVE","KEEP"))</f>
        <v/>
      </c>
      <c r="E2353">
        <f>IF(D2353&lt;&gt;"KEEP","",IF(RIGHT(B2353,10)="@gmail.com","Gmail",IF(OR(RIGHT(B2353,12)="@outlook.com",RIGHT(B2353,12)="@hotmail.com",RIGHT(B2353,9)="@live.com"),"Outlook","Domain")))</f>
        <v/>
      </c>
      <c r="F2353">
        <f>IF(B2353="","",IFERROR(RIGHT(B2353,LEN(B2353)-FIND("@",B2353)),""))</f>
        <v/>
      </c>
      <c r="G2353">
        <f>IF(D2353="KEEP",COUNTIF($D$2:D2353,"KEEP"),"")</f>
        <v/>
      </c>
      <c r="H2353">
        <f>IF(D2353="REMOVE",COUNTIF($D$2:D2353,"REMOVE"),"")</f>
        <v/>
      </c>
      <c r="I2353">
        <f>IF(E2353="Gmail",COUNTIF($E$2:E2353,"Gmail"),"")</f>
        <v/>
      </c>
      <c r="J2353">
        <f>IF(E2353="Outlook",COUNTIF($E$2:E2353,"Outlook"),"")</f>
        <v/>
      </c>
      <c r="K2353">
        <f>IF(E2353="Domain",COUNTIF($E$2:E2353,"Domain"),"")</f>
        <v/>
      </c>
    </row>
    <row r="2354">
      <c r="A2354" s="2" t="n"/>
      <c r="B2354">
        <f>LOWER(TRIM(A2354))</f>
        <v/>
      </c>
      <c r="C2354">
        <f>IF(B2354="","",IFERROR(INDEX('Bad Patterns'!$A$2:$A$120,MATCH(1,INDEX(--ISNUMBER(SEARCH('Bad Patterns'!$A$2:$A$120,B2354)),0),0)),""))</f>
        <v/>
      </c>
      <c r="D2354">
        <f>IF(B2354="","",IF(C2354&lt;&gt;"","REMOVE","KEEP"))</f>
        <v/>
      </c>
      <c r="E2354">
        <f>IF(D2354&lt;&gt;"KEEP","",IF(RIGHT(B2354,10)="@gmail.com","Gmail",IF(OR(RIGHT(B2354,12)="@outlook.com",RIGHT(B2354,12)="@hotmail.com",RIGHT(B2354,9)="@live.com"),"Outlook","Domain")))</f>
        <v/>
      </c>
      <c r="F2354">
        <f>IF(B2354="","",IFERROR(RIGHT(B2354,LEN(B2354)-FIND("@",B2354)),""))</f>
        <v/>
      </c>
      <c r="G2354">
        <f>IF(D2354="KEEP",COUNTIF($D$2:D2354,"KEEP"),"")</f>
        <v/>
      </c>
      <c r="H2354">
        <f>IF(D2354="REMOVE",COUNTIF($D$2:D2354,"REMOVE"),"")</f>
        <v/>
      </c>
      <c r="I2354">
        <f>IF(E2354="Gmail",COUNTIF($E$2:E2354,"Gmail"),"")</f>
        <v/>
      </c>
      <c r="J2354">
        <f>IF(E2354="Outlook",COUNTIF($E$2:E2354,"Outlook"),"")</f>
        <v/>
      </c>
      <c r="K2354">
        <f>IF(E2354="Domain",COUNTIF($E$2:E2354,"Domain"),"")</f>
        <v/>
      </c>
    </row>
    <row r="2355">
      <c r="A2355" s="2" t="n"/>
      <c r="B2355">
        <f>LOWER(TRIM(A2355))</f>
        <v/>
      </c>
      <c r="C2355">
        <f>IF(B2355="","",IFERROR(INDEX('Bad Patterns'!$A$2:$A$120,MATCH(1,INDEX(--ISNUMBER(SEARCH('Bad Patterns'!$A$2:$A$120,B2355)),0),0)),""))</f>
        <v/>
      </c>
      <c r="D2355">
        <f>IF(B2355="","",IF(C2355&lt;&gt;"","REMOVE","KEEP"))</f>
        <v/>
      </c>
      <c r="E2355">
        <f>IF(D2355&lt;&gt;"KEEP","",IF(RIGHT(B2355,10)="@gmail.com","Gmail",IF(OR(RIGHT(B2355,12)="@outlook.com",RIGHT(B2355,12)="@hotmail.com",RIGHT(B2355,9)="@live.com"),"Outlook","Domain")))</f>
        <v/>
      </c>
      <c r="F2355">
        <f>IF(B2355="","",IFERROR(RIGHT(B2355,LEN(B2355)-FIND("@",B2355)),""))</f>
        <v/>
      </c>
      <c r="G2355">
        <f>IF(D2355="KEEP",COUNTIF($D$2:D2355,"KEEP"),"")</f>
        <v/>
      </c>
      <c r="H2355">
        <f>IF(D2355="REMOVE",COUNTIF($D$2:D2355,"REMOVE"),"")</f>
        <v/>
      </c>
      <c r="I2355">
        <f>IF(E2355="Gmail",COUNTIF($E$2:E2355,"Gmail"),"")</f>
        <v/>
      </c>
      <c r="J2355">
        <f>IF(E2355="Outlook",COUNTIF($E$2:E2355,"Outlook"),"")</f>
        <v/>
      </c>
      <c r="K2355">
        <f>IF(E2355="Domain",COUNTIF($E$2:E2355,"Domain"),"")</f>
        <v/>
      </c>
    </row>
    <row r="2356">
      <c r="A2356" s="2" t="n"/>
      <c r="B2356">
        <f>LOWER(TRIM(A2356))</f>
        <v/>
      </c>
      <c r="C2356">
        <f>IF(B2356="","",IFERROR(INDEX('Bad Patterns'!$A$2:$A$120,MATCH(1,INDEX(--ISNUMBER(SEARCH('Bad Patterns'!$A$2:$A$120,B2356)),0),0)),""))</f>
        <v/>
      </c>
      <c r="D2356">
        <f>IF(B2356="","",IF(C2356&lt;&gt;"","REMOVE","KEEP"))</f>
        <v/>
      </c>
      <c r="E2356">
        <f>IF(D2356&lt;&gt;"KEEP","",IF(RIGHT(B2356,10)="@gmail.com","Gmail",IF(OR(RIGHT(B2356,12)="@outlook.com",RIGHT(B2356,12)="@hotmail.com",RIGHT(B2356,9)="@live.com"),"Outlook","Domain")))</f>
        <v/>
      </c>
      <c r="F2356">
        <f>IF(B2356="","",IFERROR(RIGHT(B2356,LEN(B2356)-FIND("@",B2356)),""))</f>
        <v/>
      </c>
      <c r="G2356">
        <f>IF(D2356="KEEP",COUNTIF($D$2:D2356,"KEEP"),"")</f>
        <v/>
      </c>
      <c r="H2356">
        <f>IF(D2356="REMOVE",COUNTIF($D$2:D2356,"REMOVE"),"")</f>
        <v/>
      </c>
      <c r="I2356">
        <f>IF(E2356="Gmail",COUNTIF($E$2:E2356,"Gmail"),"")</f>
        <v/>
      </c>
      <c r="J2356">
        <f>IF(E2356="Outlook",COUNTIF($E$2:E2356,"Outlook"),"")</f>
        <v/>
      </c>
      <c r="K2356">
        <f>IF(E2356="Domain",COUNTIF($E$2:E2356,"Domain"),"")</f>
        <v/>
      </c>
    </row>
    <row r="2357">
      <c r="A2357" s="2" t="n"/>
      <c r="B2357">
        <f>LOWER(TRIM(A2357))</f>
        <v/>
      </c>
      <c r="C2357">
        <f>IF(B2357="","",IFERROR(INDEX('Bad Patterns'!$A$2:$A$120,MATCH(1,INDEX(--ISNUMBER(SEARCH('Bad Patterns'!$A$2:$A$120,B2357)),0),0)),""))</f>
        <v/>
      </c>
      <c r="D2357">
        <f>IF(B2357="","",IF(C2357&lt;&gt;"","REMOVE","KEEP"))</f>
        <v/>
      </c>
      <c r="E2357">
        <f>IF(D2357&lt;&gt;"KEEP","",IF(RIGHT(B2357,10)="@gmail.com","Gmail",IF(OR(RIGHT(B2357,12)="@outlook.com",RIGHT(B2357,12)="@hotmail.com",RIGHT(B2357,9)="@live.com"),"Outlook","Domain")))</f>
        <v/>
      </c>
      <c r="F2357">
        <f>IF(B2357="","",IFERROR(RIGHT(B2357,LEN(B2357)-FIND("@",B2357)),""))</f>
        <v/>
      </c>
      <c r="G2357">
        <f>IF(D2357="KEEP",COUNTIF($D$2:D2357,"KEEP"),"")</f>
        <v/>
      </c>
      <c r="H2357">
        <f>IF(D2357="REMOVE",COUNTIF($D$2:D2357,"REMOVE"),"")</f>
        <v/>
      </c>
      <c r="I2357">
        <f>IF(E2357="Gmail",COUNTIF($E$2:E2357,"Gmail"),"")</f>
        <v/>
      </c>
      <c r="J2357">
        <f>IF(E2357="Outlook",COUNTIF($E$2:E2357,"Outlook"),"")</f>
        <v/>
      </c>
      <c r="K2357">
        <f>IF(E2357="Domain",COUNTIF($E$2:E2357,"Domain"),"")</f>
        <v/>
      </c>
    </row>
    <row r="2358">
      <c r="A2358" s="2" t="n"/>
      <c r="B2358">
        <f>LOWER(TRIM(A2358))</f>
        <v/>
      </c>
      <c r="C2358">
        <f>IF(B2358="","",IFERROR(INDEX('Bad Patterns'!$A$2:$A$120,MATCH(1,INDEX(--ISNUMBER(SEARCH('Bad Patterns'!$A$2:$A$120,B2358)),0),0)),""))</f>
        <v/>
      </c>
      <c r="D2358">
        <f>IF(B2358="","",IF(C2358&lt;&gt;"","REMOVE","KEEP"))</f>
        <v/>
      </c>
      <c r="E2358">
        <f>IF(D2358&lt;&gt;"KEEP","",IF(RIGHT(B2358,10)="@gmail.com","Gmail",IF(OR(RIGHT(B2358,12)="@outlook.com",RIGHT(B2358,12)="@hotmail.com",RIGHT(B2358,9)="@live.com"),"Outlook","Domain")))</f>
        <v/>
      </c>
      <c r="F2358">
        <f>IF(B2358="","",IFERROR(RIGHT(B2358,LEN(B2358)-FIND("@",B2358)),""))</f>
        <v/>
      </c>
      <c r="G2358">
        <f>IF(D2358="KEEP",COUNTIF($D$2:D2358,"KEEP"),"")</f>
        <v/>
      </c>
      <c r="H2358">
        <f>IF(D2358="REMOVE",COUNTIF($D$2:D2358,"REMOVE"),"")</f>
        <v/>
      </c>
      <c r="I2358">
        <f>IF(E2358="Gmail",COUNTIF($E$2:E2358,"Gmail"),"")</f>
        <v/>
      </c>
      <c r="J2358">
        <f>IF(E2358="Outlook",COUNTIF($E$2:E2358,"Outlook"),"")</f>
        <v/>
      </c>
      <c r="K2358">
        <f>IF(E2358="Domain",COUNTIF($E$2:E2358,"Domain"),"")</f>
        <v/>
      </c>
    </row>
    <row r="2359">
      <c r="A2359" s="2" t="n"/>
      <c r="B2359">
        <f>LOWER(TRIM(A2359))</f>
        <v/>
      </c>
      <c r="C2359">
        <f>IF(B2359="","",IFERROR(INDEX('Bad Patterns'!$A$2:$A$120,MATCH(1,INDEX(--ISNUMBER(SEARCH('Bad Patterns'!$A$2:$A$120,B2359)),0),0)),""))</f>
        <v/>
      </c>
      <c r="D2359">
        <f>IF(B2359="","",IF(C2359&lt;&gt;"","REMOVE","KEEP"))</f>
        <v/>
      </c>
      <c r="E2359">
        <f>IF(D2359&lt;&gt;"KEEP","",IF(RIGHT(B2359,10)="@gmail.com","Gmail",IF(OR(RIGHT(B2359,12)="@outlook.com",RIGHT(B2359,12)="@hotmail.com",RIGHT(B2359,9)="@live.com"),"Outlook","Domain")))</f>
        <v/>
      </c>
      <c r="F2359">
        <f>IF(B2359="","",IFERROR(RIGHT(B2359,LEN(B2359)-FIND("@",B2359)),""))</f>
        <v/>
      </c>
      <c r="G2359">
        <f>IF(D2359="KEEP",COUNTIF($D$2:D2359,"KEEP"),"")</f>
        <v/>
      </c>
      <c r="H2359">
        <f>IF(D2359="REMOVE",COUNTIF($D$2:D2359,"REMOVE"),"")</f>
        <v/>
      </c>
      <c r="I2359">
        <f>IF(E2359="Gmail",COUNTIF($E$2:E2359,"Gmail"),"")</f>
        <v/>
      </c>
      <c r="J2359">
        <f>IF(E2359="Outlook",COUNTIF($E$2:E2359,"Outlook"),"")</f>
        <v/>
      </c>
      <c r="K2359">
        <f>IF(E2359="Domain",COUNTIF($E$2:E2359,"Domain"),"")</f>
        <v/>
      </c>
    </row>
    <row r="2360">
      <c r="A2360" s="2" t="n"/>
      <c r="B2360">
        <f>LOWER(TRIM(A2360))</f>
        <v/>
      </c>
      <c r="C2360">
        <f>IF(B2360="","",IFERROR(INDEX('Bad Patterns'!$A$2:$A$120,MATCH(1,INDEX(--ISNUMBER(SEARCH('Bad Patterns'!$A$2:$A$120,B2360)),0),0)),""))</f>
        <v/>
      </c>
      <c r="D2360">
        <f>IF(B2360="","",IF(C2360&lt;&gt;"","REMOVE","KEEP"))</f>
        <v/>
      </c>
      <c r="E2360">
        <f>IF(D2360&lt;&gt;"KEEP","",IF(RIGHT(B2360,10)="@gmail.com","Gmail",IF(OR(RIGHT(B2360,12)="@outlook.com",RIGHT(B2360,12)="@hotmail.com",RIGHT(B2360,9)="@live.com"),"Outlook","Domain")))</f>
        <v/>
      </c>
      <c r="F2360">
        <f>IF(B2360="","",IFERROR(RIGHT(B2360,LEN(B2360)-FIND("@",B2360)),""))</f>
        <v/>
      </c>
      <c r="G2360">
        <f>IF(D2360="KEEP",COUNTIF($D$2:D2360,"KEEP"),"")</f>
        <v/>
      </c>
      <c r="H2360">
        <f>IF(D2360="REMOVE",COUNTIF($D$2:D2360,"REMOVE"),"")</f>
        <v/>
      </c>
      <c r="I2360">
        <f>IF(E2360="Gmail",COUNTIF($E$2:E2360,"Gmail"),"")</f>
        <v/>
      </c>
      <c r="J2360">
        <f>IF(E2360="Outlook",COUNTIF($E$2:E2360,"Outlook"),"")</f>
        <v/>
      </c>
      <c r="K2360">
        <f>IF(E2360="Domain",COUNTIF($E$2:E2360,"Domain"),"")</f>
        <v/>
      </c>
    </row>
    <row r="2361">
      <c r="A2361" s="2" t="n"/>
      <c r="B2361">
        <f>LOWER(TRIM(A2361))</f>
        <v/>
      </c>
      <c r="C2361">
        <f>IF(B2361="","",IFERROR(INDEX('Bad Patterns'!$A$2:$A$120,MATCH(1,INDEX(--ISNUMBER(SEARCH('Bad Patterns'!$A$2:$A$120,B2361)),0),0)),""))</f>
        <v/>
      </c>
      <c r="D2361">
        <f>IF(B2361="","",IF(C2361&lt;&gt;"","REMOVE","KEEP"))</f>
        <v/>
      </c>
      <c r="E2361">
        <f>IF(D2361&lt;&gt;"KEEP","",IF(RIGHT(B2361,10)="@gmail.com","Gmail",IF(OR(RIGHT(B2361,12)="@outlook.com",RIGHT(B2361,12)="@hotmail.com",RIGHT(B2361,9)="@live.com"),"Outlook","Domain")))</f>
        <v/>
      </c>
      <c r="F2361">
        <f>IF(B2361="","",IFERROR(RIGHT(B2361,LEN(B2361)-FIND("@",B2361)),""))</f>
        <v/>
      </c>
      <c r="G2361">
        <f>IF(D2361="KEEP",COUNTIF($D$2:D2361,"KEEP"),"")</f>
        <v/>
      </c>
      <c r="H2361">
        <f>IF(D2361="REMOVE",COUNTIF($D$2:D2361,"REMOVE"),"")</f>
        <v/>
      </c>
      <c r="I2361">
        <f>IF(E2361="Gmail",COUNTIF($E$2:E2361,"Gmail"),"")</f>
        <v/>
      </c>
      <c r="J2361">
        <f>IF(E2361="Outlook",COUNTIF($E$2:E2361,"Outlook"),"")</f>
        <v/>
      </c>
      <c r="K2361">
        <f>IF(E2361="Domain",COUNTIF($E$2:E2361,"Domain"),"")</f>
        <v/>
      </c>
    </row>
    <row r="2362">
      <c r="A2362" s="2" t="n"/>
      <c r="B2362">
        <f>LOWER(TRIM(A2362))</f>
        <v/>
      </c>
      <c r="C2362">
        <f>IF(B2362="","",IFERROR(INDEX('Bad Patterns'!$A$2:$A$120,MATCH(1,INDEX(--ISNUMBER(SEARCH('Bad Patterns'!$A$2:$A$120,B2362)),0),0)),""))</f>
        <v/>
      </c>
      <c r="D2362">
        <f>IF(B2362="","",IF(C2362&lt;&gt;"","REMOVE","KEEP"))</f>
        <v/>
      </c>
      <c r="E2362">
        <f>IF(D2362&lt;&gt;"KEEP","",IF(RIGHT(B2362,10)="@gmail.com","Gmail",IF(OR(RIGHT(B2362,12)="@outlook.com",RIGHT(B2362,12)="@hotmail.com",RIGHT(B2362,9)="@live.com"),"Outlook","Domain")))</f>
        <v/>
      </c>
      <c r="F2362">
        <f>IF(B2362="","",IFERROR(RIGHT(B2362,LEN(B2362)-FIND("@",B2362)),""))</f>
        <v/>
      </c>
      <c r="G2362">
        <f>IF(D2362="KEEP",COUNTIF($D$2:D2362,"KEEP"),"")</f>
        <v/>
      </c>
      <c r="H2362">
        <f>IF(D2362="REMOVE",COUNTIF($D$2:D2362,"REMOVE"),"")</f>
        <v/>
      </c>
      <c r="I2362">
        <f>IF(E2362="Gmail",COUNTIF($E$2:E2362,"Gmail"),"")</f>
        <v/>
      </c>
      <c r="J2362">
        <f>IF(E2362="Outlook",COUNTIF($E$2:E2362,"Outlook"),"")</f>
        <v/>
      </c>
      <c r="K2362">
        <f>IF(E2362="Domain",COUNTIF($E$2:E2362,"Domain"),"")</f>
        <v/>
      </c>
    </row>
    <row r="2363">
      <c r="A2363" s="2" t="n"/>
      <c r="B2363">
        <f>LOWER(TRIM(A2363))</f>
        <v/>
      </c>
      <c r="C2363">
        <f>IF(B2363="","",IFERROR(INDEX('Bad Patterns'!$A$2:$A$120,MATCH(1,INDEX(--ISNUMBER(SEARCH('Bad Patterns'!$A$2:$A$120,B2363)),0),0)),""))</f>
        <v/>
      </c>
      <c r="D2363">
        <f>IF(B2363="","",IF(C2363&lt;&gt;"","REMOVE","KEEP"))</f>
        <v/>
      </c>
      <c r="E2363">
        <f>IF(D2363&lt;&gt;"KEEP","",IF(RIGHT(B2363,10)="@gmail.com","Gmail",IF(OR(RIGHT(B2363,12)="@outlook.com",RIGHT(B2363,12)="@hotmail.com",RIGHT(B2363,9)="@live.com"),"Outlook","Domain")))</f>
        <v/>
      </c>
      <c r="F2363">
        <f>IF(B2363="","",IFERROR(RIGHT(B2363,LEN(B2363)-FIND("@",B2363)),""))</f>
        <v/>
      </c>
      <c r="G2363">
        <f>IF(D2363="KEEP",COUNTIF($D$2:D2363,"KEEP"),"")</f>
        <v/>
      </c>
      <c r="H2363">
        <f>IF(D2363="REMOVE",COUNTIF($D$2:D2363,"REMOVE"),"")</f>
        <v/>
      </c>
      <c r="I2363">
        <f>IF(E2363="Gmail",COUNTIF($E$2:E2363,"Gmail"),"")</f>
        <v/>
      </c>
      <c r="J2363">
        <f>IF(E2363="Outlook",COUNTIF($E$2:E2363,"Outlook"),"")</f>
        <v/>
      </c>
      <c r="K2363">
        <f>IF(E2363="Domain",COUNTIF($E$2:E2363,"Domain"),"")</f>
        <v/>
      </c>
    </row>
    <row r="2364">
      <c r="A2364" s="2" t="n"/>
      <c r="B2364">
        <f>LOWER(TRIM(A2364))</f>
        <v/>
      </c>
      <c r="C2364">
        <f>IF(B2364="","",IFERROR(INDEX('Bad Patterns'!$A$2:$A$120,MATCH(1,INDEX(--ISNUMBER(SEARCH('Bad Patterns'!$A$2:$A$120,B2364)),0),0)),""))</f>
        <v/>
      </c>
      <c r="D2364">
        <f>IF(B2364="","",IF(C2364&lt;&gt;"","REMOVE","KEEP"))</f>
        <v/>
      </c>
      <c r="E2364">
        <f>IF(D2364&lt;&gt;"KEEP","",IF(RIGHT(B2364,10)="@gmail.com","Gmail",IF(OR(RIGHT(B2364,12)="@outlook.com",RIGHT(B2364,12)="@hotmail.com",RIGHT(B2364,9)="@live.com"),"Outlook","Domain")))</f>
        <v/>
      </c>
      <c r="F2364">
        <f>IF(B2364="","",IFERROR(RIGHT(B2364,LEN(B2364)-FIND("@",B2364)),""))</f>
        <v/>
      </c>
      <c r="G2364">
        <f>IF(D2364="KEEP",COUNTIF($D$2:D2364,"KEEP"),"")</f>
        <v/>
      </c>
      <c r="H2364">
        <f>IF(D2364="REMOVE",COUNTIF($D$2:D2364,"REMOVE"),"")</f>
        <v/>
      </c>
      <c r="I2364">
        <f>IF(E2364="Gmail",COUNTIF($E$2:E2364,"Gmail"),"")</f>
        <v/>
      </c>
      <c r="J2364">
        <f>IF(E2364="Outlook",COUNTIF($E$2:E2364,"Outlook"),"")</f>
        <v/>
      </c>
      <c r="K2364">
        <f>IF(E2364="Domain",COUNTIF($E$2:E2364,"Domain"),"")</f>
        <v/>
      </c>
    </row>
    <row r="2365">
      <c r="A2365" s="2" t="n"/>
      <c r="B2365">
        <f>LOWER(TRIM(A2365))</f>
        <v/>
      </c>
      <c r="C2365">
        <f>IF(B2365="","",IFERROR(INDEX('Bad Patterns'!$A$2:$A$120,MATCH(1,INDEX(--ISNUMBER(SEARCH('Bad Patterns'!$A$2:$A$120,B2365)),0),0)),""))</f>
        <v/>
      </c>
      <c r="D2365">
        <f>IF(B2365="","",IF(C2365&lt;&gt;"","REMOVE","KEEP"))</f>
        <v/>
      </c>
      <c r="E2365">
        <f>IF(D2365&lt;&gt;"KEEP","",IF(RIGHT(B2365,10)="@gmail.com","Gmail",IF(OR(RIGHT(B2365,12)="@outlook.com",RIGHT(B2365,12)="@hotmail.com",RIGHT(B2365,9)="@live.com"),"Outlook","Domain")))</f>
        <v/>
      </c>
      <c r="F2365">
        <f>IF(B2365="","",IFERROR(RIGHT(B2365,LEN(B2365)-FIND("@",B2365)),""))</f>
        <v/>
      </c>
      <c r="G2365">
        <f>IF(D2365="KEEP",COUNTIF($D$2:D2365,"KEEP"),"")</f>
        <v/>
      </c>
      <c r="H2365">
        <f>IF(D2365="REMOVE",COUNTIF($D$2:D2365,"REMOVE"),"")</f>
        <v/>
      </c>
      <c r="I2365">
        <f>IF(E2365="Gmail",COUNTIF($E$2:E2365,"Gmail"),"")</f>
        <v/>
      </c>
      <c r="J2365">
        <f>IF(E2365="Outlook",COUNTIF($E$2:E2365,"Outlook"),"")</f>
        <v/>
      </c>
      <c r="K2365">
        <f>IF(E2365="Domain",COUNTIF($E$2:E2365,"Domain"),"")</f>
        <v/>
      </c>
    </row>
    <row r="2366">
      <c r="A2366" s="2" t="n"/>
      <c r="B2366">
        <f>LOWER(TRIM(A2366))</f>
        <v/>
      </c>
      <c r="C2366">
        <f>IF(B2366="","",IFERROR(INDEX('Bad Patterns'!$A$2:$A$120,MATCH(1,INDEX(--ISNUMBER(SEARCH('Bad Patterns'!$A$2:$A$120,B2366)),0),0)),""))</f>
        <v/>
      </c>
      <c r="D2366">
        <f>IF(B2366="","",IF(C2366&lt;&gt;"","REMOVE","KEEP"))</f>
        <v/>
      </c>
      <c r="E2366">
        <f>IF(D2366&lt;&gt;"KEEP","",IF(RIGHT(B2366,10)="@gmail.com","Gmail",IF(OR(RIGHT(B2366,12)="@outlook.com",RIGHT(B2366,12)="@hotmail.com",RIGHT(B2366,9)="@live.com"),"Outlook","Domain")))</f>
        <v/>
      </c>
      <c r="F2366">
        <f>IF(B2366="","",IFERROR(RIGHT(B2366,LEN(B2366)-FIND("@",B2366)),""))</f>
        <v/>
      </c>
      <c r="G2366">
        <f>IF(D2366="KEEP",COUNTIF($D$2:D2366,"KEEP"),"")</f>
        <v/>
      </c>
      <c r="H2366">
        <f>IF(D2366="REMOVE",COUNTIF($D$2:D2366,"REMOVE"),"")</f>
        <v/>
      </c>
      <c r="I2366">
        <f>IF(E2366="Gmail",COUNTIF($E$2:E2366,"Gmail"),"")</f>
        <v/>
      </c>
      <c r="J2366">
        <f>IF(E2366="Outlook",COUNTIF($E$2:E2366,"Outlook"),"")</f>
        <v/>
      </c>
      <c r="K2366">
        <f>IF(E2366="Domain",COUNTIF($E$2:E2366,"Domain"),"")</f>
        <v/>
      </c>
    </row>
    <row r="2367">
      <c r="A2367" s="2" t="n"/>
      <c r="B2367">
        <f>LOWER(TRIM(A2367))</f>
        <v/>
      </c>
      <c r="C2367">
        <f>IF(B2367="","",IFERROR(INDEX('Bad Patterns'!$A$2:$A$120,MATCH(1,INDEX(--ISNUMBER(SEARCH('Bad Patterns'!$A$2:$A$120,B2367)),0),0)),""))</f>
        <v/>
      </c>
      <c r="D2367">
        <f>IF(B2367="","",IF(C2367&lt;&gt;"","REMOVE","KEEP"))</f>
        <v/>
      </c>
      <c r="E2367">
        <f>IF(D2367&lt;&gt;"KEEP","",IF(RIGHT(B2367,10)="@gmail.com","Gmail",IF(OR(RIGHT(B2367,12)="@outlook.com",RIGHT(B2367,12)="@hotmail.com",RIGHT(B2367,9)="@live.com"),"Outlook","Domain")))</f>
        <v/>
      </c>
      <c r="F2367">
        <f>IF(B2367="","",IFERROR(RIGHT(B2367,LEN(B2367)-FIND("@",B2367)),""))</f>
        <v/>
      </c>
      <c r="G2367">
        <f>IF(D2367="KEEP",COUNTIF($D$2:D2367,"KEEP"),"")</f>
        <v/>
      </c>
      <c r="H2367">
        <f>IF(D2367="REMOVE",COUNTIF($D$2:D2367,"REMOVE"),"")</f>
        <v/>
      </c>
      <c r="I2367">
        <f>IF(E2367="Gmail",COUNTIF($E$2:E2367,"Gmail"),"")</f>
        <v/>
      </c>
      <c r="J2367">
        <f>IF(E2367="Outlook",COUNTIF($E$2:E2367,"Outlook"),"")</f>
        <v/>
      </c>
      <c r="K2367">
        <f>IF(E2367="Domain",COUNTIF($E$2:E2367,"Domain"),"")</f>
        <v/>
      </c>
    </row>
    <row r="2368">
      <c r="A2368" s="2" t="n"/>
      <c r="B2368">
        <f>LOWER(TRIM(A2368))</f>
        <v/>
      </c>
      <c r="C2368">
        <f>IF(B2368="","",IFERROR(INDEX('Bad Patterns'!$A$2:$A$120,MATCH(1,INDEX(--ISNUMBER(SEARCH('Bad Patterns'!$A$2:$A$120,B2368)),0),0)),""))</f>
        <v/>
      </c>
      <c r="D2368">
        <f>IF(B2368="","",IF(C2368&lt;&gt;"","REMOVE","KEEP"))</f>
        <v/>
      </c>
      <c r="E2368">
        <f>IF(D2368&lt;&gt;"KEEP","",IF(RIGHT(B2368,10)="@gmail.com","Gmail",IF(OR(RIGHT(B2368,12)="@outlook.com",RIGHT(B2368,12)="@hotmail.com",RIGHT(B2368,9)="@live.com"),"Outlook","Domain")))</f>
        <v/>
      </c>
      <c r="F2368">
        <f>IF(B2368="","",IFERROR(RIGHT(B2368,LEN(B2368)-FIND("@",B2368)),""))</f>
        <v/>
      </c>
      <c r="G2368">
        <f>IF(D2368="KEEP",COUNTIF($D$2:D2368,"KEEP"),"")</f>
        <v/>
      </c>
      <c r="H2368">
        <f>IF(D2368="REMOVE",COUNTIF($D$2:D2368,"REMOVE"),"")</f>
        <v/>
      </c>
      <c r="I2368">
        <f>IF(E2368="Gmail",COUNTIF($E$2:E2368,"Gmail"),"")</f>
        <v/>
      </c>
      <c r="J2368">
        <f>IF(E2368="Outlook",COUNTIF($E$2:E2368,"Outlook"),"")</f>
        <v/>
      </c>
      <c r="K2368">
        <f>IF(E2368="Domain",COUNTIF($E$2:E2368,"Domain"),"")</f>
        <v/>
      </c>
    </row>
    <row r="2369">
      <c r="A2369" s="2" t="n"/>
      <c r="B2369">
        <f>LOWER(TRIM(A2369))</f>
        <v/>
      </c>
      <c r="C2369">
        <f>IF(B2369="","",IFERROR(INDEX('Bad Patterns'!$A$2:$A$120,MATCH(1,INDEX(--ISNUMBER(SEARCH('Bad Patterns'!$A$2:$A$120,B2369)),0),0)),""))</f>
        <v/>
      </c>
      <c r="D2369">
        <f>IF(B2369="","",IF(C2369&lt;&gt;"","REMOVE","KEEP"))</f>
        <v/>
      </c>
      <c r="E2369">
        <f>IF(D2369&lt;&gt;"KEEP","",IF(RIGHT(B2369,10)="@gmail.com","Gmail",IF(OR(RIGHT(B2369,12)="@outlook.com",RIGHT(B2369,12)="@hotmail.com",RIGHT(B2369,9)="@live.com"),"Outlook","Domain")))</f>
        <v/>
      </c>
      <c r="F2369">
        <f>IF(B2369="","",IFERROR(RIGHT(B2369,LEN(B2369)-FIND("@",B2369)),""))</f>
        <v/>
      </c>
      <c r="G2369">
        <f>IF(D2369="KEEP",COUNTIF($D$2:D2369,"KEEP"),"")</f>
        <v/>
      </c>
      <c r="H2369">
        <f>IF(D2369="REMOVE",COUNTIF($D$2:D2369,"REMOVE"),"")</f>
        <v/>
      </c>
      <c r="I2369">
        <f>IF(E2369="Gmail",COUNTIF($E$2:E2369,"Gmail"),"")</f>
        <v/>
      </c>
      <c r="J2369">
        <f>IF(E2369="Outlook",COUNTIF($E$2:E2369,"Outlook"),"")</f>
        <v/>
      </c>
      <c r="K2369">
        <f>IF(E2369="Domain",COUNTIF($E$2:E2369,"Domain"),"")</f>
        <v/>
      </c>
    </row>
    <row r="2370">
      <c r="A2370" s="2" t="n"/>
      <c r="B2370">
        <f>LOWER(TRIM(A2370))</f>
        <v/>
      </c>
      <c r="C2370">
        <f>IF(B2370="","",IFERROR(INDEX('Bad Patterns'!$A$2:$A$120,MATCH(1,INDEX(--ISNUMBER(SEARCH('Bad Patterns'!$A$2:$A$120,B2370)),0),0)),""))</f>
        <v/>
      </c>
      <c r="D2370">
        <f>IF(B2370="","",IF(C2370&lt;&gt;"","REMOVE","KEEP"))</f>
        <v/>
      </c>
      <c r="E2370">
        <f>IF(D2370&lt;&gt;"KEEP","",IF(RIGHT(B2370,10)="@gmail.com","Gmail",IF(OR(RIGHT(B2370,12)="@outlook.com",RIGHT(B2370,12)="@hotmail.com",RIGHT(B2370,9)="@live.com"),"Outlook","Domain")))</f>
        <v/>
      </c>
      <c r="F2370">
        <f>IF(B2370="","",IFERROR(RIGHT(B2370,LEN(B2370)-FIND("@",B2370)),""))</f>
        <v/>
      </c>
      <c r="G2370">
        <f>IF(D2370="KEEP",COUNTIF($D$2:D2370,"KEEP"),"")</f>
        <v/>
      </c>
      <c r="H2370">
        <f>IF(D2370="REMOVE",COUNTIF($D$2:D2370,"REMOVE"),"")</f>
        <v/>
      </c>
      <c r="I2370">
        <f>IF(E2370="Gmail",COUNTIF($E$2:E2370,"Gmail"),"")</f>
        <v/>
      </c>
      <c r="J2370">
        <f>IF(E2370="Outlook",COUNTIF($E$2:E2370,"Outlook"),"")</f>
        <v/>
      </c>
      <c r="K2370">
        <f>IF(E2370="Domain",COUNTIF($E$2:E2370,"Domain"),"")</f>
        <v/>
      </c>
    </row>
    <row r="2371">
      <c r="A2371" s="2" t="n"/>
      <c r="B2371">
        <f>LOWER(TRIM(A2371))</f>
        <v/>
      </c>
      <c r="C2371">
        <f>IF(B2371="","",IFERROR(INDEX('Bad Patterns'!$A$2:$A$120,MATCH(1,INDEX(--ISNUMBER(SEARCH('Bad Patterns'!$A$2:$A$120,B2371)),0),0)),""))</f>
        <v/>
      </c>
      <c r="D2371">
        <f>IF(B2371="","",IF(C2371&lt;&gt;"","REMOVE","KEEP"))</f>
        <v/>
      </c>
      <c r="E2371">
        <f>IF(D2371&lt;&gt;"KEEP","",IF(RIGHT(B2371,10)="@gmail.com","Gmail",IF(OR(RIGHT(B2371,12)="@outlook.com",RIGHT(B2371,12)="@hotmail.com",RIGHT(B2371,9)="@live.com"),"Outlook","Domain")))</f>
        <v/>
      </c>
      <c r="F2371">
        <f>IF(B2371="","",IFERROR(RIGHT(B2371,LEN(B2371)-FIND("@",B2371)),""))</f>
        <v/>
      </c>
      <c r="G2371">
        <f>IF(D2371="KEEP",COUNTIF($D$2:D2371,"KEEP"),"")</f>
        <v/>
      </c>
      <c r="H2371">
        <f>IF(D2371="REMOVE",COUNTIF($D$2:D2371,"REMOVE"),"")</f>
        <v/>
      </c>
      <c r="I2371">
        <f>IF(E2371="Gmail",COUNTIF($E$2:E2371,"Gmail"),"")</f>
        <v/>
      </c>
      <c r="J2371">
        <f>IF(E2371="Outlook",COUNTIF($E$2:E2371,"Outlook"),"")</f>
        <v/>
      </c>
      <c r="K2371">
        <f>IF(E2371="Domain",COUNTIF($E$2:E2371,"Domain"),"")</f>
        <v/>
      </c>
    </row>
    <row r="2372">
      <c r="A2372" s="2" t="n"/>
      <c r="B2372">
        <f>LOWER(TRIM(A2372))</f>
        <v/>
      </c>
      <c r="C2372">
        <f>IF(B2372="","",IFERROR(INDEX('Bad Patterns'!$A$2:$A$120,MATCH(1,INDEX(--ISNUMBER(SEARCH('Bad Patterns'!$A$2:$A$120,B2372)),0),0)),""))</f>
        <v/>
      </c>
      <c r="D2372">
        <f>IF(B2372="","",IF(C2372&lt;&gt;"","REMOVE","KEEP"))</f>
        <v/>
      </c>
      <c r="E2372">
        <f>IF(D2372&lt;&gt;"KEEP","",IF(RIGHT(B2372,10)="@gmail.com","Gmail",IF(OR(RIGHT(B2372,12)="@outlook.com",RIGHT(B2372,12)="@hotmail.com",RIGHT(B2372,9)="@live.com"),"Outlook","Domain")))</f>
        <v/>
      </c>
      <c r="F2372">
        <f>IF(B2372="","",IFERROR(RIGHT(B2372,LEN(B2372)-FIND("@",B2372)),""))</f>
        <v/>
      </c>
      <c r="G2372">
        <f>IF(D2372="KEEP",COUNTIF($D$2:D2372,"KEEP"),"")</f>
        <v/>
      </c>
      <c r="H2372">
        <f>IF(D2372="REMOVE",COUNTIF($D$2:D2372,"REMOVE"),"")</f>
        <v/>
      </c>
      <c r="I2372">
        <f>IF(E2372="Gmail",COUNTIF($E$2:E2372,"Gmail"),"")</f>
        <v/>
      </c>
      <c r="J2372">
        <f>IF(E2372="Outlook",COUNTIF($E$2:E2372,"Outlook"),"")</f>
        <v/>
      </c>
      <c r="K2372">
        <f>IF(E2372="Domain",COUNTIF($E$2:E2372,"Domain"),"")</f>
        <v/>
      </c>
    </row>
    <row r="2373">
      <c r="A2373" s="2" t="n"/>
      <c r="B2373">
        <f>LOWER(TRIM(A2373))</f>
        <v/>
      </c>
      <c r="C2373">
        <f>IF(B2373="","",IFERROR(INDEX('Bad Patterns'!$A$2:$A$120,MATCH(1,INDEX(--ISNUMBER(SEARCH('Bad Patterns'!$A$2:$A$120,B2373)),0),0)),""))</f>
        <v/>
      </c>
      <c r="D2373">
        <f>IF(B2373="","",IF(C2373&lt;&gt;"","REMOVE","KEEP"))</f>
        <v/>
      </c>
      <c r="E2373">
        <f>IF(D2373&lt;&gt;"KEEP","",IF(RIGHT(B2373,10)="@gmail.com","Gmail",IF(OR(RIGHT(B2373,12)="@outlook.com",RIGHT(B2373,12)="@hotmail.com",RIGHT(B2373,9)="@live.com"),"Outlook","Domain")))</f>
        <v/>
      </c>
      <c r="F2373">
        <f>IF(B2373="","",IFERROR(RIGHT(B2373,LEN(B2373)-FIND("@",B2373)),""))</f>
        <v/>
      </c>
      <c r="G2373">
        <f>IF(D2373="KEEP",COUNTIF($D$2:D2373,"KEEP"),"")</f>
        <v/>
      </c>
      <c r="H2373">
        <f>IF(D2373="REMOVE",COUNTIF($D$2:D2373,"REMOVE"),"")</f>
        <v/>
      </c>
      <c r="I2373">
        <f>IF(E2373="Gmail",COUNTIF($E$2:E2373,"Gmail"),"")</f>
        <v/>
      </c>
      <c r="J2373">
        <f>IF(E2373="Outlook",COUNTIF($E$2:E2373,"Outlook"),"")</f>
        <v/>
      </c>
      <c r="K2373">
        <f>IF(E2373="Domain",COUNTIF($E$2:E2373,"Domain"),"")</f>
        <v/>
      </c>
    </row>
    <row r="2374">
      <c r="A2374" s="2" t="n"/>
      <c r="B2374">
        <f>LOWER(TRIM(A2374))</f>
        <v/>
      </c>
      <c r="C2374">
        <f>IF(B2374="","",IFERROR(INDEX('Bad Patterns'!$A$2:$A$120,MATCH(1,INDEX(--ISNUMBER(SEARCH('Bad Patterns'!$A$2:$A$120,B2374)),0),0)),""))</f>
        <v/>
      </c>
      <c r="D2374">
        <f>IF(B2374="","",IF(C2374&lt;&gt;"","REMOVE","KEEP"))</f>
        <v/>
      </c>
      <c r="E2374">
        <f>IF(D2374&lt;&gt;"KEEP","",IF(RIGHT(B2374,10)="@gmail.com","Gmail",IF(OR(RIGHT(B2374,12)="@outlook.com",RIGHT(B2374,12)="@hotmail.com",RIGHT(B2374,9)="@live.com"),"Outlook","Domain")))</f>
        <v/>
      </c>
      <c r="F2374">
        <f>IF(B2374="","",IFERROR(RIGHT(B2374,LEN(B2374)-FIND("@",B2374)),""))</f>
        <v/>
      </c>
      <c r="G2374">
        <f>IF(D2374="KEEP",COUNTIF($D$2:D2374,"KEEP"),"")</f>
        <v/>
      </c>
      <c r="H2374">
        <f>IF(D2374="REMOVE",COUNTIF($D$2:D2374,"REMOVE"),"")</f>
        <v/>
      </c>
      <c r="I2374">
        <f>IF(E2374="Gmail",COUNTIF($E$2:E2374,"Gmail"),"")</f>
        <v/>
      </c>
      <c r="J2374">
        <f>IF(E2374="Outlook",COUNTIF($E$2:E2374,"Outlook"),"")</f>
        <v/>
      </c>
      <c r="K2374">
        <f>IF(E2374="Domain",COUNTIF($E$2:E2374,"Domain"),"")</f>
        <v/>
      </c>
    </row>
    <row r="2375">
      <c r="A2375" s="2" t="n"/>
      <c r="B2375">
        <f>LOWER(TRIM(A2375))</f>
        <v/>
      </c>
      <c r="C2375">
        <f>IF(B2375="","",IFERROR(INDEX('Bad Patterns'!$A$2:$A$120,MATCH(1,INDEX(--ISNUMBER(SEARCH('Bad Patterns'!$A$2:$A$120,B2375)),0),0)),""))</f>
        <v/>
      </c>
      <c r="D2375">
        <f>IF(B2375="","",IF(C2375&lt;&gt;"","REMOVE","KEEP"))</f>
        <v/>
      </c>
      <c r="E2375">
        <f>IF(D2375&lt;&gt;"KEEP","",IF(RIGHT(B2375,10)="@gmail.com","Gmail",IF(OR(RIGHT(B2375,12)="@outlook.com",RIGHT(B2375,12)="@hotmail.com",RIGHT(B2375,9)="@live.com"),"Outlook","Domain")))</f>
        <v/>
      </c>
      <c r="F2375">
        <f>IF(B2375="","",IFERROR(RIGHT(B2375,LEN(B2375)-FIND("@",B2375)),""))</f>
        <v/>
      </c>
      <c r="G2375">
        <f>IF(D2375="KEEP",COUNTIF($D$2:D2375,"KEEP"),"")</f>
        <v/>
      </c>
      <c r="H2375">
        <f>IF(D2375="REMOVE",COUNTIF($D$2:D2375,"REMOVE"),"")</f>
        <v/>
      </c>
      <c r="I2375">
        <f>IF(E2375="Gmail",COUNTIF($E$2:E2375,"Gmail"),"")</f>
        <v/>
      </c>
      <c r="J2375">
        <f>IF(E2375="Outlook",COUNTIF($E$2:E2375,"Outlook"),"")</f>
        <v/>
      </c>
      <c r="K2375">
        <f>IF(E2375="Domain",COUNTIF($E$2:E2375,"Domain"),"")</f>
        <v/>
      </c>
    </row>
    <row r="2376">
      <c r="A2376" s="2" t="n"/>
      <c r="B2376">
        <f>LOWER(TRIM(A2376))</f>
        <v/>
      </c>
      <c r="C2376">
        <f>IF(B2376="","",IFERROR(INDEX('Bad Patterns'!$A$2:$A$120,MATCH(1,INDEX(--ISNUMBER(SEARCH('Bad Patterns'!$A$2:$A$120,B2376)),0),0)),""))</f>
        <v/>
      </c>
      <c r="D2376">
        <f>IF(B2376="","",IF(C2376&lt;&gt;"","REMOVE","KEEP"))</f>
        <v/>
      </c>
      <c r="E2376">
        <f>IF(D2376&lt;&gt;"KEEP","",IF(RIGHT(B2376,10)="@gmail.com","Gmail",IF(OR(RIGHT(B2376,12)="@outlook.com",RIGHT(B2376,12)="@hotmail.com",RIGHT(B2376,9)="@live.com"),"Outlook","Domain")))</f>
        <v/>
      </c>
      <c r="F2376">
        <f>IF(B2376="","",IFERROR(RIGHT(B2376,LEN(B2376)-FIND("@",B2376)),""))</f>
        <v/>
      </c>
      <c r="G2376">
        <f>IF(D2376="KEEP",COUNTIF($D$2:D2376,"KEEP"),"")</f>
        <v/>
      </c>
      <c r="H2376">
        <f>IF(D2376="REMOVE",COUNTIF($D$2:D2376,"REMOVE"),"")</f>
        <v/>
      </c>
      <c r="I2376">
        <f>IF(E2376="Gmail",COUNTIF($E$2:E2376,"Gmail"),"")</f>
        <v/>
      </c>
      <c r="J2376">
        <f>IF(E2376="Outlook",COUNTIF($E$2:E2376,"Outlook"),"")</f>
        <v/>
      </c>
      <c r="K2376">
        <f>IF(E2376="Domain",COUNTIF($E$2:E2376,"Domain"),"")</f>
        <v/>
      </c>
    </row>
    <row r="2377">
      <c r="A2377" s="2" t="n"/>
      <c r="B2377">
        <f>LOWER(TRIM(A2377))</f>
        <v/>
      </c>
      <c r="C2377">
        <f>IF(B2377="","",IFERROR(INDEX('Bad Patterns'!$A$2:$A$120,MATCH(1,INDEX(--ISNUMBER(SEARCH('Bad Patterns'!$A$2:$A$120,B2377)),0),0)),""))</f>
        <v/>
      </c>
      <c r="D2377">
        <f>IF(B2377="","",IF(C2377&lt;&gt;"","REMOVE","KEEP"))</f>
        <v/>
      </c>
      <c r="E2377">
        <f>IF(D2377&lt;&gt;"KEEP","",IF(RIGHT(B2377,10)="@gmail.com","Gmail",IF(OR(RIGHT(B2377,12)="@outlook.com",RIGHT(B2377,12)="@hotmail.com",RIGHT(B2377,9)="@live.com"),"Outlook","Domain")))</f>
        <v/>
      </c>
      <c r="F2377">
        <f>IF(B2377="","",IFERROR(RIGHT(B2377,LEN(B2377)-FIND("@",B2377)),""))</f>
        <v/>
      </c>
      <c r="G2377">
        <f>IF(D2377="KEEP",COUNTIF($D$2:D2377,"KEEP"),"")</f>
        <v/>
      </c>
      <c r="H2377">
        <f>IF(D2377="REMOVE",COUNTIF($D$2:D2377,"REMOVE"),"")</f>
        <v/>
      </c>
      <c r="I2377">
        <f>IF(E2377="Gmail",COUNTIF($E$2:E2377,"Gmail"),"")</f>
        <v/>
      </c>
      <c r="J2377">
        <f>IF(E2377="Outlook",COUNTIF($E$2:E2377,"Outlook"),"")</f>
        <v/>
      </c>
      <c r="K2377">
        <f>IF(E2377="Domain",COUNTIF($E$2:E2377,"Domain"),"")</f>
        <v/>
      </c>
    </row>
    <row r="2378">
      <c r="A2378" s="2" t="n"/>
      <c r="B2378">
        <f>LOWER(TRIM(A2378))</f>
        <v/>
      </c>
      <c r="C2378">
        <f>IF(B2378="","",IFERROR(INDEX('Bad Patterns'!$A$2:$A$120,MATCH(1,INDEX(--ISNUMBER(SEARCH('Bad Patterns'!$A$2:$A$120,B2378)),0),0)),""))</f>
        <v/>
      </c>
      <c r="D2378">
        <f>IF(B2378="","",IF(C2378&lt;&gt;"","REMOVE","KEEP"))</f>
        <v/>
      </c>
      <c r="E2378">
        <f>IF(D2378&lt;&gt;"KEEP","",IF(RIGHT(B2378,10)="@gmail.com","Gmail",IF(OR(RIGHT(B2378,12)="@outlook.com",RIGHT(B2378,12)="@hotmail.com",RIGHT(B2378,9)="@live.com"),"Outlook","Domain")))</f>
        <v/>
      </c>
      <c r="F2378">
        <f>IF(B2378="","",IFERROR(RIGHT(B2378,LEN(B2378)-FIND("@",B2378)),""))</f>
        <v/>
      </c>
      <c r="G2378">
        <f>IF(D2378="KEEP",COUNTIF($D$2:D2378,"KEEP"),"")</f>
        <v/>
      </c>
      <c r="H2378">
        <f>IF(D2378="REMOVE",COUNTIF($D$2:D2378,"REMOVE"),"")</f>
        <v/>
      </c>
      <c r="I2378">
        <f>IF(E2378="Gmail",COUNTIF($E$2:E2378,"Gmail"),"")</f>
        <v/>
      </c>
      <c r="J2378">
        <f>IF(E2378="Outlook",COUNTIF($E$2:E2378,"Outlook"),"")</f>
        <v/>
      </c>
      <c r="K2378">
        <f>IF(E2378="Domain",COUNTIF($E$2:E2378,"Domain"),"")</f>
        <v/>
      </c>
    </row>
    <row r="2379">
      <c r="A2379" s="2" t="n"/>
      <c r="B2379">
        <f>LOWER(TRIM(A2379))</f>
        <v/>
      </c>
      <c r="C2379">
        <f>IF(B2379="","",IFERROR(INDEX('Bad Patterns'!$A$2:$A$120,MATCH(1,INDEX(--ISNUMBER(SEARCH('Bad Patterns'!$A$2:$A$120,B2379)),0),0)),""))</f>
        <v/>
      </c>
      <c r="D2379">
        <f>IF(B2379="","",IF(C2379&lt;&gt;"","REMOVE","KEEP"))</f>
        <v/>
      </c>
      <c r="E2379">
        <f>IF(D2379&lt;&gt;"KEEP","",IF(RIGHT(B2379,10)="@gmail.com","Gmail",IF(OR(RIGHT(B2379,12)="@outlook.com",RIGHT(B2379,12)="@hotmail.com",RIGHT(B2379,9)="@live.com"),"Outlook","Domain")))</f>
        <v/>
      </c>
      <c r="F2379">
        <f>IF(B2379="","",IFERROR(RIGHT(B2379,LEN(B2379)-FIND("@",B2379)),""))</f>
        <v/>
      </c>
      <c r="G2379">
        <f>IF(D2379="KEEP",COUNTIF($D$2:D2379,"KEEP"),"")</f>
        <v/>
      </c>
      <c r="H2379">
        <f>IF(D2379="REMOVE",COUNTIF($D$2:D2379,"REMOVE"),"")</f>
        <v/>
      </c>
      <c r="I2379">
        <f>IF(E2379="Gmail",COUNTIF($E$2:E2379,"Gmail"),"")</f>
        <v/>
      </c>
      <c r="J2379">
        <f>IF(E2379="Outlook",COUNTIF($E$2:E2379,"Outlook"),"")</f>
        <v/>
      </c>
      <c r="K2379">
        <f>IF(E2379="Domain",COUNTIF($E$2:E2379,"Domain"),"")</f>
        <v/>
      </c>
    </row>
    <row r="2380">
      <c r="A2380" s="2" t="n"/>
      <c r="B2380">
        <f>LOWER(TRIM(A2380))</f>
        <v/>
      </c>
      <c r="C2380">
        <f>IF(B2380="","",IFERROR(INDEX('Bad Patterns'!$A$2:$A$120,MATCH(1,INDEX(--ISNUMBER(SEARCH('Bad Patterns'!$A$2:$A$120,B2380)),0),0)),""))</f>
        <v/>
      </c>
      <c r="D2380">
        <f>IF(B2380="","",IF(C2380&lt;&gt;"","REMOVE","KEEP"))</f>
        <v/>
      </c>
      <c r="E2380">
        <f>IF(D2380&lt;&gt;"KEEP","",IF(RIGHT(B2380,10)="@gmail.com","Gmail",IF(OR(RIGHT(B2380,12)="@outlook.com",RIGHT(B2380,12)="@hotmail.com",RIGHT(B2380,9)="@live.com"),"Outlook","Domain")))</f>
        <v/>
      </c>
      <c r="F2380">
        <f>IF(B2380="","",IFERROR(RIGHT(B2380,LEN(B2380)-FIND("@",B2380)),""))</f>
        <v/>
      </c>
      <c r="G2380">
        <f>IF(D2380="KEEP",COUNTIF($D$2:D2380,"KEEP"),"")</f>
        <v/>
      </c>
      <c r="H2380">
        <f>IF(D2380="REMOVE",COUNTIF($D$2:D2380,"REMOVE"),"")</f>
        <v/>
      </c>
      <c r="I2380">
        <f>IF(E2380="Gmail",COUNTIF($E$2:E2380,"Gmail"),"")</f>
        <v/>
      </c>
      <c r="J2380">
        <f>IF(E2380="Outlook",COUNTIF($E$2:E2380,"Outlook"),"")</f>
        <v/>
      </c>
      <c r="K2380">
        <f>IF(E2380="Domain",COUNTIF($E$2:E2380,"Domain"),"")</f>
        <v/>
      </c>
    </row>
    <row r="2381">
      <c r="A2381" s="2" t="n"/>
      <c r="B2381">
        <f>LOWER(TRIM(A2381))</f>
        <v/>
      </c>
      <c r="C2381">
        <f>IF(B2381="","",IFERROR(INDEX('Bad Patterns'!$A$2:$A$120,MATCH(1,INDEX(--ISNUMBER(SEARCH('Bad Patterns'!$A$2:$A$120,B2381)),0),0)),""))</f>
        <v/>
      </c>
      <c r="D2381">
        <f>IF(B2381="","",IF(C2381&lt;&gt;"","REMOVE","KEEP"))</f>
        <v/>
      </c>
      <c r="E2381">
        <f>IF(D2381&lt;&gt;"KEEP","",IF(RIGHT(B2381,10)="@gmail.com","Gmail",IF(OR(RIGHT(B2381,12)="@outlook.com",RIGHT(B2381,12)="@hotmail.com",RIGHT(B2381,9)="@live.com"),"Outlook","Domain")))</f>
        <v/>
      </c>
      <c r="F2381">
        <f>IF(B2381="","",IFERROR(RIGHT(B2381,LEN(B2381)-FIND("@",B2381)),""))</f>
        <v/>
      </c>
      <c r="G2381">
        <f>IF(D2381="KEEP",COUNTIF($D$2:D2381,"KEEP"),"")</f>
        <v/>
      </c>
      <c r="H2381">
        <f>IF(D2381="REMOVE",COUNTIF($D$2:D2381,"REMOVE"),"")</f>
        <v/>
      </c>
      <c r="I2381">
        <f>IF(E2381="Gmail",COUNTIF($E$2:E2381,"Gmail"),"")</f>
        <v/>
      </c>
      <c r="J2381">
        <f>IF(E2381="Outlook",COUNTIF($E$2:E2381,"Outlook"),"")</f>
        <v/>
      </c>
      <c r="K2381">
        <f>IF(E2381="Domain",COUNTIF($E$2:E2381,"Domain"),"")</f>
        <v/>
      </c>
    </row>
    <row r="2382">
      <c r="A2382" s="2" t="n"/>
      <c r="B2382">
        <f>LOWER(TRIM(A2382))</f>
        <v/>
      </c>
      <c r="C2382">
        <f>IF(B2382="","",IFERROR(INDEX('Bad Patterns'!$A$2:$A$120,MATCH(1,INDEX(--ISNUMBER(SEARCH('Bad Patterns'!$A$2:$A$120,B2382)),0),0)),""))</f>
        <v/>
      </c>
      <c r="D2382">
        <f>IF(B2382="","",IF(C2382&lt;&gt;"","REMOVE","KEEP"))</f>
        <v/>
      </c>
      <c r="E2382">
        <f>IF(D2382&lt;&gt;"KEEP","",IF(RIGHT(B2382,10)="@gmail.com","Gmail",IF(OR(RIGHT(B2382,12)="@outlook.com",RIGHT(B2382,12)="@hotmail.com",RIGHT(B2382,9)="@live.com"),"Outlook","Domain")))</f>
        <v/>
      </c>
      <c r="F2382">
        <f>IF(B2382="","",IFERROR(RIGHT(B2382,LEN(B2382)-FIND("@",B2382)),""))</f>
        <v/>
      </c>
      <c r="G2382">
        <f>IF(D2382="KEEP",COUNTIF($D$2:D2382,"KEEP"),"")</f>
        <v/>
      </c>
      <c r="H2382">
        <f>IF(D2382="REMOVE",COUNTIF($D$2:D2382,"REMOVE"),"")</f>
        <v/>
      </c>
      <c r="I2382">
        <f>IF(E2382="Gmail",COUNTIF($E$2:E2382,"Gmail"),"")</f>
        <v/>
      </c>
      <c r="J2382">
        <f>IF(E2382="Outlook",COUNTIF($E$2:E2382,"Outlook"),"")</f>
        <v/>
      </c>
      <c r="K2382">
        <f>IF(E2382="Domain",COUNTIF($E$2:E2382,"Domain"),"")</f>
        <v/>
      </c>
    </row>
    <row r="2383">
      <c r="A2383" s="2" t="n"/>
      <c r="B2383">
        <f>LOWER(TRIM(A2383))</f>
        <v/>
      </c>
      <c r="C2383">
        <f>IF(B2383="","",IFERROR(INDEX('Bad Patterns'!$A$2:$A$120,MATCH(1,INDEX(--ISNUMBER(SEARCH('Bad Patterns'!$A$2:$A$120,B2383)),0),0)),""))</f>
        <v/>
      </c>
      <c r="D2383">
        <f>IF(B2383="","",IF(C2383&lt;&gt;"","REMOVE","KEEP"))</f>
        <v/>
      </c>
      <c r="E2383">
        <f>IF(D2383&lt;&gt;"KEEP","",IF(RIGHT(B2383,10)="@gmail.com","Gmail",IF(OR(RIGHT(B2383,12)="@outlook.com",RIGHT(B2383,12)="@hotmail.com",RIGHT(B2383,9)="@live.com"),"Outlook","Domain")))</f>
        <v/>
      </c>
      <c r="F2383">
        <f>IF(B2383="","",IFERROR(RIGHT(B2383,LEN(B2383)-FIND("@",B2383)),""))</f>
        <v/>
      </c>
      <c r="G2383">
        <f>IF(D2383="KEEP",COUNTIF($D$2:D2383,"KEEP"),"")</f>
        <v/>
      </c>
      <c r="H2383">
        <f>IF(D2383="REMOVE",COUNTIF($D$2:D2383,"REMOVE"),"")</f>
        <v/>
      </c>
      <c r="I2383">
        <f>IF(E2383="Gmail",COUNTIF($E$2:E2383,"Gmail"),"")</f>
        <v/>
      </c>
      <c r="J2383">
        <f>IF(E2383="Outlook",COUNTIF($E$2:E2383,"Outlook"),"")</f>
        <v/>
      </c>
      <c r="K2383">
        <f>IF(E2383="Domain",COUNTIF($E$2:E2383,"Domain"),"")</f>
        <v/>
      </c>
    </row>
    <row r="2384">
      <c r="A2384" s="2" t="n"/>
      <c r="B2384">
        <f>LOWER(TRIM(A2384))</f>
        <v/>
      </c>
      <c r="C2384">
        <f>IF(B2384="","",IFERROR(INDEX('Bad Patterns'!$A$2:$A$120,MATCH(1,INDEX(--ISNUMBER(SEARCH('Bad Patterns'!$A$2:$A$120,B2384)),0),0)),""))</f>
        <v/>
      </c>
      <c r="D2384">
        <f>IF(B2384="","",IF(C2384&lt;&gt;"","REMOVE","KEEP"))</f>
        <v/>
      </c>
      <c r="E2384">
        <f>IF(D2384&lt;&gt;"KEEP","",IF(RIGHT(B2384,10)="@gmail.com","Gmail",IF(OR(RIGHT(B2384,12)="@outlook.com",RIGHT(B2384,12)="@hotmail.com",RIGHT(B2384,9)="@live.com"),"Outlook","Domain")))</f>
        <v/>
      </c>
      <c r="F2384">
        <f>IF(B2384="","",IFERROR(RIGHT(B2384,LEN(B2384)-FIND("@",B2384)),""))</f>
        <v/>
      </c>
      <c r="G2384">
        <f>IF(D2384="KEEP",COUNTIF($D$2:D2384,"KEEP"),"")</f>
        <v/>
      </c>
      <c r="H2384">
        <f>IF(D2384="REMOVE",COUNTIF($D$2:D2384,"REMOVE"),"")</f>
        <v/>
      </c>
      <c r="I2384">
        <f>IF(E2384="Gmail",COUNTIF($E$2:E2384,"Gmail"),"")</f>
        <v/>
      </c>
      <c r="J2384">
        <f>IF(E2384="Outlook",COUNTIF($E$2:E2384,"Outlook"),"")</f>
        <v/>
      </c>
      <c r="K2384">
        <f>IF(E2384="Domain",COUNTIF($E$2:E2384,"Domain"),"")</f>
        <v/>
      </c>
    </row>
    <row r="2385">
      <c r="A2385" s="2" t="n"/>
      <c r="B2385">
        <f>LOWER(TRIM(A2385))</f>
        <v/>
      </c>
      <c r="C2385">
        <f>IF(B2385="","",IFERROR(INDEX('Bad Patterns'!$A$2:$A$120,MATCH(1,INDEX(--ISNUMBER(SEARCH('Bad Patterns'!$A$2:$A$120,B2385)),0),0)),""))</f>
        <v/>
      </c>
      <c r="D2385">
        <f>IF(B2385="","",IF(C2385&lt;&gt;"","REMOVE","KEEP"))</f>
        <v/>
      </c>
      <c r="E2385">
        <f>IF(D2385&lt;&gt;"KEEP","",IF(RIGHT(B2385,10)="@gmail.com","Gmail",IF(OR(RIGHT(B2385,12)="@outlook.com",RIGHT(B2385,12)="@hotmail.com",RIGHT(B2385,9)="@live.com"),"Outlook","Domain")))</f>
        <v/>
      </c>
      <c r="F2385">
        <f>IF(B2385="","",IFERROR(RIGHT(B2385,LEN(B2385)-FIND("@",B2385)),""))</f>
        <v/>
      </c>
      <c r="G2385">
        <f>IF(D2385="KEEP",COUNTIF($D$2:D2385,"KEEP"),"")</f>
        <v/>
      </c>
      <c r="H2385">
        <f>IF(D2385="REMOVE",COUNTIF($D$2:D2385,"REMOVE"),"")</f>
        <v/>
      </c>
      <c r="I2385">
        <f>IF(E2385="Gmail",COUNTIF($E$2:E2385,"Gmail"),"")</f>
        <v/>
      </c>
      <c r="J2385">
        <f>IF(E2385="Outlook",COUNTIF($E$2:E2385,"Outlook"),"")</f>
        <v/>
      </c>
      <c r="K2385">
        <f>IF(E2385="Domain",COUNTIF($E$2:E2385,"Domain"),"")</f>
        <v/>
      </c>
    </row>
    <row r="2386">
      <c r="A2386" s="2" t="n"/>
      <c r="B2386">
        <f>LOWER(TRIM(A2386))</f>
        <v/>
      </c>
      <c r="C2386">
        <f>IF(B2386="","",IFERROR(INDEX('Bad Patterns'!$A$2:$A$120,MATCH(1,INDEX(--ISNUMBER(SEARCH('Bad Patterns'!$A$2:$A$120,B2386)),0),0)),""))</f>
        <v/>
      </c>
      <c r="D2386">
        <f>IF(B2386="","",IF(C2386&lt;&gt;"","REMOVE","KEEP"))</f>
        <v/>
      </c>
      <c r="E2386">
        <f>IF(D2386&lt;&gt;"KEEP","",IF(RIGHT(B2386,10)="@gmail.com","Gmail",IF(OR(RIGHT(B2386,12)="@outlook.com",RIGHT(B2386,12)="@hotmail.com",RIGHT(B2386,9)="@live.com"),"Outlook","Domain")))</f>
        <v/>
      </c>
      <c r="F2386">
        <f>IF(B2386="","",IFERROR(RIGHT(B2386,LEN(B2386)-FIND("@",B2386)),""))</f>
        <v/>
      </c>
      <c r="G2386">
        <f>IF(D2386="KEEP",COUNTIF($D$2:D2386,"KEEP"),"")</f>
        <v/>
      </c>
      <c r="H2386">
        <f>IF(D2386="REMOVE",COUNTIF($D$2:D2386,"REMOVE"),"")</f>
        <v/>
      </c>
      <c r="I2386">
        <f>IF(E2386="Gmail",COUNTIF($E$2:E2386,"Gmail"),"")</f>
        <v/>
      </c>
      <c r="J2386">
        <f>IF(E2386="Outlook",COUNTIF($E$2:E2386,"Outlook"),"")</f>
        <v/>
      </c>
      <c r="K2386">
        <f>IF(E2386="Domain",COUNTIF($E$2:E2386,"Domain"),"")</f>
        <v/>
      </c>
    </row>
    <row r="2387">
      <c r="A2387" s="2" t="n"/>
      <c r="B2387">
        <f>LOWER(TRIM(A2387))</f>
        <v/>
      </c>
      <c r="C2387">
        <f>IF(B2387="","",IFERROR(INDEX('Bad Patterns'!$A$2:$A$120,MATCH(1,INDEX(--ISNUMBER(SEARCH('Bad Patterns'!$A$2:$A$120,B2387)),0),0)),""))</f>
        <v/>
      </c>
      <c r="D2387">
        <f>IF(B2387="","",IF(C2387&lt;&gt;"","REMOVE","KEEP"))</f>
        <v/>
      </c>
      <c r="E2387">
        <f>IF(D2387&lt;&gt;"KEEP","",IF(RIGHT(B2387,10)="@gmail.com","Gmail",IF(OR(RIGHT(B2387,12)="@outlook.com",RIGHT(B2387,12)="@hotmail.com",RIGHT(B2387,9)="@live.com"),"Outlook","Domain")))</f>
        <v/>
      </c>
      <c r="F2387">
        <f>IF(B2387="","",IFERROR(RIGHT(B2387,LEN(B2387)-FIND("@",B2387)),""))</f>
        <v/>
      </c>
      <c r="G2387">
        <f>IF(D2387="KEEP",COUNTIF($D$2:D2387,"KEEP"),"")</f>
        <v/>
      </c>
      <c r="H2387">
        <f>IF(D2387="REMOVE",COUNTIF($D$2:D2387,"REMOVE"),"")</f>
        <v/>
      </c>
      <c r="I2387">
        <f>IF(E2387="Gmail",COUNTIF($E$2:E2387,"Gmail"),"")</f>
        <v/>
      </c>
      <c r="J2387">
        <f>IF(E2387="Outlook",COUNTIF($E$2:E2387,"Outlook"),"")</f>
        <v/>
      </c>
      <c r="K2387">
        <f>IF(E2387="Domain",COUNTIF($E$2:E2387,"Domain"),"")</f>
        <v/>
      </c>
    </row>
    <row r="2388">
      <c r="A2388" s="2" t="n"/>
      <c r="B2388">
        <f>LOWER(TRIM(A2388))</f>
        <v/>
      </c>
      <c r="C2388">
        <f>IF(B2388="","",IFERROR(INDEX('Bad Patterns'!$A$2:$A$120,MATCH(1,INDEX(--ISNUMBER(SEARCH('Bad Patterns'!$A$2:$A$120,B2388)),0),0)),""))</f>
        <v/>
      </c>
      <c r="D2388">
        <f>IF(B2388="","",IF(C2388&lt;&gt;"","REMOVE","KEEP"))</f>
        <v/>
      </c>
      <c r="E2388">
        <f>IF(D2388&lt;&gt;"KEEP","",IF(RIGHT(B2388,10)="@gmail.com","Gmail",IF(OR(RIGHT(B2388,12)="@outlook.com",RIGHT(B2388,12)="@hotmail.com",RIGHT(B2388,9)="@live.com"),"Outlook","Domain")))</f>
        <v/>
      </c>
      <c r="F2388">
        <f>IF(B2388="","",IFERROR(RIGHT(B2388,LEN(B2388)-FIND("@",B2388)),""))</f>
        <v/>
      </c>
      <c r="G2388">
        <f>IF(D2388="KEEP",COUNTIF($D$2:D2388,"KEEP"),"")</f>
        <v/>
      </c>
      <c r="H2388">
        <f>IF(D2388="REMOVE",COUNTIF($D$2:D2388,"REMOVE"),"")</f>
        <v/>
      </c>
      <c r="I2388">
        <f>IF(E2388="Gmail",COUNTIF($E$2:E2388,"Gmail"),"")</f>
        <v/>
      </c>
      <c r="J2388">
        <f>IF(E2388="Outlook",COUNTIF($E$2:E2388,"Outlook"),"")</f>
        <v/>
      </c>
      <c r="K2388">
        <f>IF(E2388="Domain",COUNTIF($E$2:E2388,"Domain"),"")</f>
        <v/>
      </c>
    </row>
    <row r="2389">
      <c r="A2389" s="2" t="n"/>
      <c r="B2389">
        <f>LOWER(TRIM(A2389))</f>
        <v/>
      </c>
      <c r="C2389">
        <f>IF(B2389="","",IFERROR(INDEX('Bad Patterns'!$A$2:$A$120,MATCH(1,INDEX(--ISNUMBER(SEARCH('Bad Patterns'!$A$2:$A$120,B2389)),0),0)),""))</f>
        <v/>
      </c>
      <c r="D2389">
        <f>IF(B2389="","",IF(C2389&lt;&gt;"","REMOVE","KEEP"))</f>
        <v/>
      </c>
      <c r="E2389">
        <f>IF(D2389&lt;&gt;"KEEP","",IF(RIGHT(B2389,10)="@gmail.com","Gmail",IF(OR(RIGHT(B2389,12)="@outlook.com",RIGHT(B2389,12)="@hotmail.com",RIGHT(B2389,9)="@live.com"),"Outlook","Domain")))</f>
        <v/>
      </c>
      <c r="F2389">
        <f>IF(B2389="","",IFERROR(RIGHT(B2389,LEN(B2389)-FIND("@",B2389)),""))</f>
        <v/>
      </c>
      <c r="G2389">
        <f>IF(D2389="KEEP",COUNTIF($D$2:D2389,"KEEP"),"")</f>
        <v/>
      </c>
      <c r="H2389">
        <f>IF(D2389="REMOVE",COUNTIF($D$2:D2389,"REMOVE"),"")</f>
        <v/>
      </c>
      <c r="I2389">
        <f>IF(E2389="Gmail",COUNTIF($E$2:E2389,"Gmail"),"")</f>
        <v/>
      </c>
      <c r="J2389">
        <f>IF(E2389="Outlook",COUNTIF($E$2:E2389,"Outlook"),"")</f>
        <v/>
      </c>
      <c r="K2389">
        <f>IF(E2389="Domain",COUNTIF($E$2:E2389,"Domain"),"")</f>
        <v/>
      </c>
    </row>
    <row r="2390">
      <c r="A2390" s="2" t="n"/>
      <c r="B2390">
        <f>LOWER(TRIM(A2390))</f>
        <v/>
      </c>
      <c r="C2390">
        <f>IF(B2390="","",IFERROR(INDEX('Bad Patterns'!$A$2:$A$120,MATCH(1,INDEX(--ISNUMBER(SEARCH('Bad Patterns'!$A$2:$A$120,B2390)),0),0)),""))</f>
        <v/>
      </c>
      <c r="D2390">
        <f>IF(B2390="","",IF(C2390&lt;&gt;"","REMOVE","KEEP"))</f>
        <v/>
      </c>
      <c r="E2390">
        <f>IF(D2390&lt;&gt;"KEEP","",IF(RIGHT(B2390,10)="@gmail.com","Gmail",IF(OR(RIGHT(B2390,12)="@outlook.com",RIGHT(B2390,12)="@hotmail.com",RIGHT(B2390,9)="@live.com"),"Outlook","Domain")))</f>
        <v/>
      </c>
      <c r="F2390">
        <f>IF(B2390="","",IFERROR(RIGHT(B2390,LEN(B2390)-FIND("@",B2390)),""))</f>
        <v/>
      </c>
      <c r="G2390">
        <f>IF(D2390="KEEP",COUNTIF($D$2:D2390,"KEEP"),"")</f>
        <v/>
      </c>
      <c r="H2390">
        <f>IF(D2390="REMOVE",COUNTIF($D$2:D2390,"REMOVE"),"")</f>
        <v/>
      </c>
      <c r="I2390">
        <f>IF(E2390="Gmail",COUNTIF($E$2:E2390,"Gmail"),"")</f>
        <v/>
      </c>
      <c r="J2390">
        <f>IF(E2390="Outlook",COUNTIF($E$2:E2390,"Outlook"),"")</f>
        <v/>
      </c>
      <c r="K2390">
        <f>IF(E2390="Domain",COUNTIF($E$2:E2390,"Domain"),"")</f>
        <v/>
      </c>
    </row>
    <row r="2391">
      <c r="A2391" s="2" t="n"/>
      <c r="B2391">
        <f>LOWER(TRIM(A2391))</f>
        <v/>
      </c>
      <c r="C2391">
        <f>IF(B2391="","",IFERROR(INDEX('Bad Patterns'!$A$2:$A$120,MATCH(1,INDEX(--ISNUMBER(SEARCH('Bad Patterns'!$A$2:$A$120,B2391)),0),0)),""))</f>
        <v/>
      </c>
      <c r="D2391">
        <f>IF(B2391="","",IF(C2391&lt;&gt;"","REMOVE","KEEP"))</f>
        <v/>
      </c>
      <c r="E2391">
        <f>IF(D2391&lt;&gt;"KEEP","",IF(RIGHT(B2391,10)="@gmail.com","Gmail",IF(OR(RIGHT(B2391,12)="@outlook.com",RIGHT(B2391,12)="@hotmail.com",RIGHT(B2391,9)="@live.com"),"Outlook","Domain")))</f>
        <v/>
      </c>
      <c r="F2391">
        <f>IF(B2391="","",IFERROR(RIGHT(B2391,LEN(B2391)-FIND("@",B2391)),""))</f>
        <v/>
      </c>
      <c r="G2391">
        <f>IF(D2391="KEEP",COUNTIF($D$2:D2391,"KEEP"),"")</f>
        <v/>
      </c>
      <c r="H2391">
        <f>IF(D2391="REMOVE",COUNTIF($D$2:D2391,"REMOVE"),"")</f>
        <v/>
      </c>
      <c r="I2391">
        <f>IF(E2391="Gmail",COUNTIF($E$2:E2391,"Gmail"),"")</f>
        <v/>
      </c>
      <c r="J2391">
        <f>IF(E2391="Outlook",COUNTIF($E$2:E2391,"Outlook"),"")</f>
        <v/>
      </c>
      <c r="K2391">
        <f>IF(E2391="Domain",COUNTIF($E$2:E2391,"Domain"),"")</f>
        <v/>
      </c>
    </row>
    <row r="2392">
      <c r="A2392" s="2" t="n"/>
      <c r="B2392">
        <f>LOWER(TRIM(A2392))</f>
        <v/>
      </c>
      <c r="C2392">
        <f>IF(B2392="","",IFERROR(INDEX('Bad Patterns'!$A$2:$A$120,MATCH(1,INDEX(--ISNUMBER(SEARCH('Bad Patterns'!$A$2:$A$120,B2392)),0),0)),""))</f>
        <v/>
      </c>
      <c r="D2392">
        <f>IF(B2392="","",IF(C2392&lt;&gt;"","REMOVE","KEEP"))</f>
        <v/>
      </c>
      <c r="E2392">
        <f>IF(D2392&lt;&gt;"KEEP","",IF(RIGHT(B2392,10)="@gmail.com","Gmail",IF(OR(RIGHT(B2392,12)="@outlook.com",RIGHT(B2392,12)="@hotmail.com",RIGHT(B2392,9)="@live.com"),"Outlook","Domain")))</f>
        <v/>
      </c>
      <c r="F2392">
        <f>IF(B2392="","",IFERROR(RIGHT(B2392,LEN(B2392)-FIND("@",B2392)),""))</f>
        <v/>
      </c>
      <c r="G2392">
        <f>IF(D2392="KEEP",COUNTIF($D$2:D2392,"KEEP"),"")</f>
        <v/>
      </c>
      <c r="H2392">
        <f>IF(D2392="REMOVE",COUNTIF($D$2:D2392,"REMOVE"),"")</f>
        <v/>
      </c>
      <c r="I2392">
        <f>IF(E2392="Gmail",COUNTIF($E$2:E2392,"Gmail"),"")</f>
        <v/>
      </c>
      <c r="J2392">
        <f>IF(E2392="Outlook",COUNTIF($E$2:E2392,"Outlook"),"")</f>
        <v/>
      </c>
      <c r="K2392">
        <f>IF(E2392="Domain",COUNTIF($E$2:E2392,"Domain"),"")</f>
        <v/>
      </c>
    </row>
    <row r="2393">
      <c r="A2393" s="2" t="n"/>
      <c r="B2393">
        <f>LOWER(TRIM(A2393))</f>
        <v/>
      </c>
      <c r="C2393">
        <f>IF(B2393="","",IFERROR(INDEX('Bad Patterns'!$A$2:$A$120,MATCH(1,INDEX(--ISNUMBER(SEARCH('Bad Patterns'!$A$2:$A$120,B2393)),0),0)),""))</f>
        <v/>
      </c>
      <c r="D2393">
        <f>IF(B2393="","",IF(C2393&lt;&gt;"","REMOVE","KEEP"))</f>
        <v/>
      </c>
      <c r="E2393">
        <f>IF(D2393&lt;&gt;"KEEP","",IF(RIGHT(B2393,10)="@gmail.com","Gmail",IF(OR(RIGHT(B2393,12)="@outlook.com",RIGHT(B2393,12)="@hotmail.com",RIGHT(B2393,9)="@live.com"),"Outlook","Domain")))</f>
        <v/>
      </c>
      <c r="F2393">
        <f>IF(B2393="","",IFERROR(RIGHT(B2393,LEN(B2393)-FIND("@",B2393)),""))</f>
        <v/>
      </c>
      <c r="G2393">
        <f>IF(D2393="KEEP",COUNTIF($D$2:D2393,"KEEP"),"")</f>
        <v/>
      </c>
      <c r="H2393">
        <f>IF(D2393="REMOVE",COUNTIF($D$2:D2393,"REMOVE"),"")</f>
        <v/>
      </c>
      <c r="I2393">
        <f>IF(E2393="Gmail",COUNTIF($E$2:E2393,"Gmail"),"")</f>
        <v/>
      </c>
      <c r="J2393">
        <f>IF(E2393="Outlook",COUNTIF($E$2:E2393,"Outlook"),"")</f>
        <v/>
      </c>
      <c r="K2393">
        <f>IF(E2393="Domain",COUNTIF($E$2:E2393,"Domain"),"")</f>
        <v/>
      </c>
    </row>
    <row r="2394">
      <c r="A2394" s="2" t="n"/>
      <c r="B2394">
        <f>LOWER(TRIM(A2394))</f>
        <v/>
      </c>
      <c r="C2394">
        <f>IF(B2394="","",IFERROR(INDEX('Bad Patterns'!$A$2:$A$120,MATCH(1,INDEX(--ISNUMBER(SEARCH('Bad Patterns'!$A$2:$A$120,B2394)),0),0)),""))</f>
        <v/>
      </c>
      <c r="D2394">
        <f>IF(B2394="","",IF(C2394&lt;&gt;"","REMOVE","KEEP"))</f>
        <v/>
      </c>
      <c r="E2394">
        <f>IF(D2394&lt;&gt;"KEEP","",IF(RIGHT(B2394,10)="@gmail.com","Gmail",IF(OR(RIGHT(B2394,12)="@outlook.com",RIGHT(B2394,12)="@hotmail.com",RIGHT(B2394,9)="@live.com"),"Outlook","Domain")))</f>
        <v/>
      </c>
      <c r="F2394">
        <f>IF(B2394="","",IFERROR(RIGHT(B2394,LEN(B2394)-FIND("@",B2394)),""))</f>
        <v/>
      </c>
      <c r="G2394">
        <f>IF(D2394="KEEP",COUNTIF($D$2:D2394,"KEEP"),"")</f>
        <v/>
      </c>
      <c r="H2394">
        <f>IF(D2394="REMOVE",COUNTIF($D$2:D2394,"REMOVE"),"")</f>
        <v/>
      </c>
      <c r="I2394">
        <f>IF(E2394="Gmail",COUNTIF($E$2:E2394,"Gmail"),"")</f>
        <v/>
      </c>
      <c r="J2394">
        <f>IF(E2394="Outlook",COUNTIF($E$2:E2394,"Outlook"),"")</f>
        <v/>
      </c>
      <c r="K2394">
        <f>IF(E2394="Domain",COUNTIF($E$2:E2394,"Domain"),"")</f>
        <v/>
      </c>
    </row>
    <row r="2395">
      <c r="A2395" s="2" t="n"/>
      <c r="B2395">
        <f>LOWER(TRIM(A2395))</f>
        <v/>
      </c>
      <c r="C2395">
        <f>IF(B2395="","",IFERROR(INDEX('Bad Patterns'!$A$2:$A$120,MATCH(1,INDEX(--ISNUMBER(SEARCH('Bad Patterns'!$A$2:$A$120,B2395)),0),0)),""))</f>
        <v/>
      </c>
      <c r="D2395">
        <f>IF(B2395="","",IF(C2395&lt;&gt;"","REMOVE","KEEP"))</f>
        <v/>
      </c>
      <c r="E2395">
        <f>IF(D2395&lt;&gt;"KEEP","",IF(RIGHT(B2395,10)="@gmail.com","Gmail",IF(OR(RIGHT(B2395,12)="@outlook.com",RIGHT(B2395,12)="@hotmail.com",RIGHT(B2395,9)="@live.com"),"Outlook","Domain")))</f>
        <v/>
      </c>
      <c r="F2395">
        <f>IF(B2395="","",IFERROR(RIGHT(B2395,LEN(B2395)-FIND("@",B2395)),""))</f>
        <v/>
      </c>
      <c r="G2395">
        <f>IF(D2395="KEEP",COUNTIF($D$2:D2395,"KEEP"),"")</f>
        <v/>
      </c>
      <c r="H2395">
        <f>IF(D2395="REMOVE",COUNTIF($D$2:D2395,"REMOVE"),"")</f>
        <v/>
      </c>
      <c r="I2395">
        <f>IF(E2395="Gmail",COUNTIF($E$2:E2395,"Gmail"),"")</f>
        <v/>
      </c>
      <c r="J2395">
        <f>IF(E2395="Outlook",COUNTIF($E$2:E2395,"Outlook"),"")</f>
        <v/>
      </c>
      <c r="K2395">
        <f>IF(E2395="Domain",COUNTIF($E$2:E2395,"Domain"),"")</f>
        <v/>
      </c>
    </row>
    <row r="2396">
      <c r="A2396" s="2" t="n"/>
      <c r="B2396">
        <f>LOWER(TRIM(A2396))</f>
        <v/>
      </c>
      <c r="C2396">
        <f>IF(B2396="","",IFERROR(INDEX('Bad Patterns'!$A$2:$A$120,MATCH(1,INDEX(--ISNUMBER(SEARCH('Bad Patterns'!$A$2:$A$120,B2396)),0),0)),""))</f>
        <v/>
      </c>
      <c r="D2396">
        <f>IF(B2396="","",IF(C2396&lt;&gt;"","REMOVE","KEEP"))</f>
        <v/>
      </c>
      <c r="E2396">
        <f>IF(D2396&lt;&gt;"KEEP","",IF(RIGHT(B2396,10)="@gmail.com","Gmail",IF(OR(RIGHT(B2396,12)="@outlook.com",RIGHT(B2396,12)="@hotmail.com",RIGHT(B2396,9)="@live.com"),"Outlook","Domain")))</f>
        <v/>
      </c>
      <c r="F2396">
        <f>IF(B2396="","",IFERROR(RIGHT(B2396,LEN(B2396)-FIND("@",B2396)),""))</f>
        <v/>
      </c>
      <c r="G2396">
        <f>IF(D2396="KEEP",COUNTIF($D$2:D2396,"KEEP"),"")</f>
        <v/>
      </c>
      <c r="H2396">
        <f>IF(D2396="REMOVE",COUNTIF($D$2:D2396,"REMOVE"),"")</f>
        <v/>
      </c>
      <c r="I2396">
        <f>IF(E2396="Gmail",COUNTIF($E$2:E2396,"Gmail"),"")</f>
        <v/>
      </c>
      <c r="J2396">
        <f>IF(E2396="Outlook",COUNTIF($E$2:E2396,"Outlook"),"")</f>
        <v/>
      </c>
      <c r="K2396">
        <f>IF(E2396="Domain",COUNTIF($E$2:E2396,"Domain"),"")</f>
        <v/>
      </c>
    </row>
    <row r="2397">
      <c r="A2397" s="2" t="n"/>
      <c r="B2397">
        <f>LOWER(TRIM(A2397))</f>
        <v/>
      </c>
      <c r="C2397">
        <f>IF(B2397="","",IFERROR(INDEX('Bad Patterns'!$A$2:$A$120,MATCH(1,INDEX(--ISNUMBER(SEARCH('Bad Patterns'!$A$2:$A$120,B2397)),0),0)),""))</f>
        <v/>
      </c>
      <c r="D2397">
        <f>IF(B2397="","",IF(C2397&lt;&gt;"","REMOVE","KEEP"))</f>
        <v/>
      </c>
      <c r="E2397">
        <f>IF(D2397&lt;&gt;"KEEP","",IF(RIGHT(B2397,10)="@gmail.com","Gmail",IF(OR(RIGHT(B2397,12)="@outlook.com",RIGHT(B2397,12)="@hotmail.com",RIGHT(B2397,9)="@live.com"),"Outlook","Domain")))</f>
        <v/>
      </c>
      <c r="F2397">
        <f>IF(B2397="","",IFERROR(RIGHT(B2397,LEN(B2397)-FIND("@",B2397)),""))</f>
        <v/>
      </c>
      <c r="G2397">
        <f>IF(D2397="KEEP",COUNTIF($D$2:D2397,"KEEP"),"")</f>
        <v/>
      </c>
      <c r="H2397">
        <f>IF(D2397="REMOVE",COUNTIF($D$2:D2397,"REMOVE"),"")</f>
        <v/>
      </c>
      <c r="I2397">
        <f>IF(E2397="Gmail",COUNTIF($E$2:E2397,"Gmail"),"")</f>
        <v/>
      </c>
      <c r="J2397">
        <f>IF(E2397="Outlook",COUNTIF($E$2:E2397,"Outlook"),"")</f>
        <v/>
      </c>
      <c r="K2397">
        <f>IF(E2397="Domain",COUNTIF($E$2:E2397,"Domain"),"")</f>
        <v/>
      </c>
    </row>
    <row r="2398">
      <c r="A2398" s="2" t="n"/>
      <c r="B2398">
        <f>LOWER(TRIM(A2398))</f>
        <v/>
      </c>
      <c r="C2398">
        <f>IF(B2398="","",IFERROR(INDEX('Bad Patterns'!$A$2:$A$120,MATCH(1,INDEX(--ISNUMBER(SEARCH('Bad Patterns'!$A$2:$A$120,B2398)),0),0)),""))</f>
        <v/>
      </c>
      <c r="D2398">
        <f>IF(B2398="","",IF(C2398&lt;&gt;"","REMOVE","KEEP"))</f>
        <v/>
      </c>
      <c r="E2398">
        <f>IF(D2398&lt;&gt;"KEEP","",IF(RIGHT(B2398,10)="@gmail.com","Gmail",IF(OR(RIGHT(B2398,12)="@outlook.com",RIGHT(B2398,12)="@hotmail.com",RIGHT(B2398,9)="@live.com"),"Outlook","Domain")))</f>
        <v/>
      </c>
      <c r="F2398">
        <f>IF(B2398="","",IFERROR(RIGHT(B2398,LEN(B2398)-FIND("@",B2398)),""))</f>
        <v/>
      </c>
      <c r="G2398">
        <f>IF(D2398="KEEP",COUNTIF($D$2:D2398,"KEEP"),"")</f>
        <v/>
      </c>
      <c r="H2398">
        <f>IF(D2398="REMOVE",COUNTIF($D$2:D2398,"REMOVE"),"")</f>
        <v/>
      </c>
      <c r="I2398">
        <f>IF(E2398="Gmail",COUNTIF($E$2:E2398,"Gmail"),"")</f>
        <v/>
      </c>
      <c r="J2398">
        <f>IF(E2398="Outlook",COUNTIF($E$2:E2398,"Outlook"),"")</f>
        <v/>
      </c>
      <c r="K2398">
        <f>IF(E2398="Domain",COUNTIF($E$2:E2398,"Domain"),"")</f>
        <v/>
      </c>
    </row>
    <row r="2399">
      <c r="A2399" s="2" t="n"/>
      <c r="B2399">
        <f>LOWER(TRIM(A2399))</f>
        <v/>
      </c>
      <c r="C2399">
        <f>IF(B2399="","",IFERROR(INDEX('Bad Patterns'!$A$2:$A$120,MATCH(1,INDEX(--ISNUMBER(SEARCH('Bad Patterns'!$A$2:$A$120,B2399)),0),0)),""))</f>
        <v/>
      </c>
      <c r="D2399">
        <f>IF(B2399="","",IF(C2399&lt;&gt;"","REMOVE","KEEP"))</f>
        <v/>
      </c>
      <c r="E2399">
        <f>IF(D2399&lt;&gt;"KEEP","",IF(RIGHT(B2399,10)="@gmail.com","Gmail",IF(OR(RIGHT(B2399,12)="@outlook.com",RIGHT(B2399,12)="@hotmail.com",RIGHT(B2399,9)="@live.com"),"Outlook","Domain")))</f>
        <v/>
      </c>
      <c r="F2399">
        <f>IF(B2399="","",IFERROR(RIGHT(B2399,LEN(B2399)-FIND("@",B2399)),""))</f>
        <v/>
      </c>
      <c r="G2399">
        <f>IF(D2399="KEEP",COUNTIF($D$2:D2399,"KEEP"),"")</f>
        <v/>
      </c>
      <c r="H2399">
        <f>IF(D2399="REMOVE",COUNTIF($D$2:D2399,"REMOVE"),"")</f>
        <v/>
      </c>
      <c r="I2399">
        <f>IF(E2399="Gmail",COUNTIF($E$2:E2399,"Gmail"),"")</f>
        <v/>
      </c>
      <c r="J2399">
        <f>IF(E2399="Outlook",COUNTIF($E$2:E2399,"Outlook"),"")</f>
        <v/>
      </c>
      <c r="K2399">
        <f>IF(E2399="Domain",COUNTIF($E$2:E2399,"Domain"),"")</f>
        <v/>
      </c>
    </row>
    <row r="2400">
      <c r="A2400" s="2" t="n"/>
      <c r="B2400">
        <f>LOWER(TRIM(A2400))</f>
        <v/>
      </c>
      <c r="C2400">
        <f>IF(B2400="","",IFERROR(INDEX('Bad Patterns'!$A$2:$A$120,MATCH(1,INDEX(--ISNUMBER(SEARCH('Bad Patterns'!$A$2:$A$120,B2400)),0),0)),""))</f>
        <v/>
      </c>
      <c r="D2400">
        <f>IF(B2400="","",IF(C2400&lt;&gt;"","REMOVE","KEEP"))</f>
        <v/>
      </c>
      <c r="E2400">
        <f>IF(D2400&lt;&gt;"KEEP","",IF(RIGHT(B2400,10)="@gmail.com","Gmail",IF(OR(RIGHT(B2400,12)="@outlook.com",RIGHT(B2400,12)="@hotmail.com",RIGHT(B2400,9)="@live.com"),"Outlook","Domain")))</f>
        <v/>
      </c>
      <c r="F2400">
        <f>IF(B2400="","",IFERROR(RIGHT(B2400,LEN(B2400)-FIND("@",B2400)),""))</f>
        <v/>
      </c>
      <c r="G2400">
        <f>IF(D2400="KEEP",COUNTIF($D$2:D2400,"KEEP"),"")</f>
        <v/>
      </c>
      <c r="H2400">
        <f>IF(D2400="REMOVE",COUNTIF($D$2:D2400,"REMOVE"),"")</f>
        <v/>
      </c>
      <c r="I2400">
        <f>IF(E2400="Gmail",COUNTIF($E$2:E2400,"Gmail"),"")</f>
        <v/>
      </c>
      <c r="J2400">
        <f>IF(E2400="Outlook",COUNTIF($E$2:E2400,"Outlook"),"")</f>
        <v/>
      </c>
      <c r="K2400">
        <f>IF(E2400="Domain",COUNTIF($E$2:E2400,"Domain"),"")</f>
        <v/>
      </c>
    </row>
    <row r="2401">
      <c r="A2401" s="2" t="n"/>
      <c r="B2401">
        <f>LOWER(TRIM(A2401))</f>
        <v/>
      </c>
      <c r="C2401">
        <f>IF(B2401="","",IFERROR(INDEX('Bad Patterns'!$A$2:$A$120,MATCH(1,INDEX(--ISNUMBER(SEARCH('Bad Patterns'!$A$2:$A$120,B2401)),0),0)),""))</f>
        <v/>
      </c>
      <c r="D2401">
        <f>IF(B2401="","",IF(C2401&lt;&gt;"","REMOVE","KEEP"))</f>
        <v/>
      </c>
      <c r="E2401">
        <f>IF(D2401&lt;&gt;"KEEP","",IF(RIGHT(B2401,10)="@gmail.com","Gmail",IF(OR(RIGHT(B2401,12)="@outlook.com",RIGHT(B2401,12)="@hotmail.com",RIGHT(B2401,9)="@live.com"),"Outlook","Domain")))</f>
        <v/>
      </c>
      <c r="F2401">
        <f>IF(B2401="","",IFERROR(RIGHT(B2401,LEN(B2401)-FIND("@",B2401)),""))</f>
        <v/>
      </c>
      <c r="G2401">
        <f>IF(D2401="KEEP",COUNTIF($D$2:D2401,"KEEP"),"")</f>
        <v/>
      </c>
      <c r="H2401">
        <f>IF(D2401="REMOVE",COUNTIF($D$2:D2401,"REMOVE"),"")</f>
        <v/>
      </c>
      <c r="I2401">
        <f>IF(E2401="Gmail",COUNTIF($E$2:E2401,"Gmail"),"")</f>
        <v/>
      </c>
      <c r="J2401">
        <f>IF(E2401="Outlook",COUNTIF($E$2:E2401,"Outlook"),"")</f>
        <v/>
      </c>
      <c r="K2401">
        <f>IF(E2401="Domain",COUNTIF($E$2:E2401,"Domain"),"")</f>
        <v/>
      </c>
    </row>
    <row r="2402">
      <c r="A2402" s="2" t="n"/>
      <c r="B2402">
        <f>LOWER(TRIM(A2402))</f>
        <v/>
      </c>
      <c r="C2402">
        <f>IF(B2402="","",IFERROR(INDEX('Bad Patterns'!$A$2:$A$120,MATCH(1,INDEX(--ISNUMBER(SEARCH('Bad Patterns'!$A$2:$A$120,B2402)),0),0)),""))</f>
        <v/>
      </c>
      <c r="D2402">
        <f>IF(B2402="","",IF(C2402&lt;&gt;"","REMOVE","KEEP"))</f>
        <v/>
      </c>
      <c r="E2402">
        <f>IF(D2402&lt;&gt;"KEEP","",IF(RIGHT(B2402,10)="@gmail.com","Gmail",IF(OR(RIGHT(B2402,12)="@outlook.com",RIGHT(B2402,12)="@hotmail.com",RIGHT(B2402,9)="@live.com"),"Outlook","Domain")))</f>
        <v/>
      </c>
      <c r="F2402">
        <f>IF(B2402="","",IFERROR(RIGHT(B2402,LEN(B2402)-FIND("@",B2402)),""))</f>
        <v/>
      </c>
      <c r="G2402">
        <f>IF(D2402="KEEP",COUNTIF($D$2:D2402,"KEEP"),"")</f>
        <v/>
      </c>
      <c r="H2402">
        <f>IF(D2402="REMOVE",COUNTIF($D$2:D2402,"REMOVE"),"")</f>
        <v/>
      </c>
      <c r="I2402">
        <f>IF(E2402="Gmail",COUNTIF($E$2:E2402,"Gmail"),"")</f>
        <v/>
      </c>
      <c r="J2402">
        <f>IF(E2402="Outlook",COUNTIF($E$2:E2402,"Outlook"),"")</f>
        <v/>
      </c>
      <c r="K2402">
        <f>IF(E2402="Domain",COUNTIF($E$2:E2402,"Domain"),"")</f>
        <v/>
      </c>
    </row>
    <row r="2403">
      <c r="A2403" s="2" t="n"/>
      <c r="B2403">
        <f>LOWER(TRIM(A2403))</f>
        <v/>
      </c>
      <c r="C2403">
        <f>IF(B2403="","",IFERROR(INDEX('Bad Patterns'!$A$2:$A$120,MATCH(1,INDEX(--ISNUMBER(SEARCH('Bad Patterns'!$A$2:$A$120,B2403)),0),0)),""))</f>
        <v/>
      </c>
      <c r="D2403">
        <f>IF(B2403="","",IF(C2403&lt;&gt;"","REMOVE","KEEP"))</f>
        <v/>
      </c>
      <c r="E2403">
        <f>IF(D2403&lt;&gt;"KEEP","",IF(RIGHT(B2403,10)="@gmail.com","Gmail",IF(OR(RIGHT(B2403,12)="@outlook.com",RIGHT(B2403,12)="@hotmail.com",RIGHT(B2403,9)="@live.com"),"Outlook","Domain")))</f>
        <v/>
      </c>
      <c r="F2403">
        <f>IF(B2403="","",IFERROR(RIGHT(B2403,LEN(B2403)-FIND("@",B2403)),""))</f>
        <v/>
      </c>
      <c r="G2403">
        <f>IF(D2403="KEEP",COUNTIF($D$2:D2403,"KEEP"),"")</f>
        <v/>
      </c>
      <c r="H2403">
        <f>IF(D2403="REMOVE",COUNTIF($D$2:D2403,"REMOVE"),"")</f>
        <v/>
      </c>
      <c r="I2403">
        <f>IF(E2403="Gmail",COUNTIF($E$2:E2403,"Gmail"),"")</f>
        <v/>
      </c>
      <c r="J2403">
        <f>IF(E2403="Outlook",COUNTIF($E$2:E2403,"Outlook"),"")</f>
        <v/>
      </c>
      <c r="K2403">
        <f>IF(E2403="Domain",COUNTIF($E$2:E2403,"Domain"),"")</f>
        <v/>
      </c>
    </row>
    <row r="2404">
      <c r="A2404" s="2" t="n"/>
      <c r="B2404">
        <f>LOWER(TRIM(A2404))</f>
        <v/>
      </c>
      <c r="C2404">
        <f>IF(B2404="","",IFERROR(INDEX('Bad Patterns'!$A$2:$A$120,MATCH(1,INDEX(--ISNUMBER(SEARCH('Bad Patterns'!$A$2:$A$120,B2404)),0),0)),""))</f>
        <v/>
      </c>
      <c r="D2404">
        <f>IF(B2404="","",IF(C2404&lt;&gt;"","REMOVE","KEEP"))</f>
        <v/>
      </c>
      <c r="E2404">
        <f>IF(D2404&lt;&gt;"KEEP","",IF(RIGHT(B2404,10)="@gmail.com","Gmail",IF(OR(RIGHT(B2404,12)="@outlook.com",RIGHT(B2404,12)="@hotmail.com",RIGHT(B2404,9)="@live.com"),"Outlook","Domain")))</f>
        <v/>
      </c>
      <c r="F2404">
        <f>IF(B2404="","",IFERROR(RIGHT(B2404,LEN(B2404)-FIND("@",B2404)),""))</f>
        <v/>
      </c>
      <c r="G2404">
        <f>IF(D2404="KEEP",COUNTIF($D$2:D2404,"KEEP"),"")</f>
        <v/>
      </c>
      <c r="H2404">
        <f>IF(D2404="REMOVE",COUNTIF($D$2:D2404,"REMOVE"),"")</f>
        <v/>
      </c>
      <c r="I2404">
        <f>IF(E2404="Gmail",COUNTIF($E$2:E2404,"Gmail"),"")</f>
        <v/>
      </c>
      <c r="J2404">
        <f>IF(E2404="Outlook",COUNTIF($E$2:E2404,"Outlook"),"")</f>
        <v/>
      </c>
      <c r="K2404">
        <f>IF(E2404="Domain",COUNTIF($E$2:E2404,"Domain"),"")</f>
        <v/>
      </c>
    </row>
    <row r="2405">
      <c r="A2405" s="2" t="n"/>
      <c r="B2405">
        <f>LOWER(TRIM(A2405))</f>
        <v/>
      </c>
      <c r="C2405">
        <f>IF(B2405="","",IFERROR(INDEX('Bad Patterns'!$A$2:$A$120,MATCH(1,INDEX(--ISNUMBER(SEARCH('Bad Patterns'!$A$2:$A$120,B2405)),0),0)),""))</f>
        <v/>
      </c>
      <c r="D2405">
        <f>IF(B2405="","",IF(C2405&lt;&gt;"","REMOVE","KEEP"))</f>
        <v/>
      </c>
      <c r="E2405">
        <f>IF(D2405&lt;&gt;"KEEP","",IF(RIGHT(B2405,10)="@gmail.com","Gmail",IF(OR(RIGHT(B2405,12)="@outlook.com",RIGHT(B2405,12)="@hotmail.com",RIGHT(B2405,9)="@live.com"),"Outlook","Domain")))</f>
        <v/>
      </c>
      <c r="F2405">
        <f>IF(B2405="","",IFERROR(RIGHT(B2405,LEN(B2405)-FIND("@",B2405)),""))</f>
        <v/>
      </c>
      <c r="G2405">
        <f>IF(D2405="KEEP",COUNTIF($D$2:D2405,"KEEP"),"")</f>
        <v/>
      </c>
      <c r="H2405">
        <f>IF(D2405="REMOVE",COUNTIF($D$2:D2405,"REMOVE"),"")</f>
        <v/>
      </c>
      <c r="I2405">
        <f>IF(E2405="Gmail",COUNTIF($E$2:E2405,"Gmail"),"")</f>
        <v/>
      </c>
      <c r="J2405">
        <f>IF(E2405="Outlook",COUNTIF($E$2:E2405,"Outlook"),"")</f>
        <v/>
      </c>
      <c r="K2405">
        <f>IF(E2405="Domain",COUNTIF($E$2:E2405,"Domain"),"")</f>
        <v/>
      </c>
    </row>
    <row r="2406">
      <c r="A2406" s="2" t="n"/>
      <c r="B2406">
        <f>LOWER(TRIM(A2406))</f>
        <v/>
      </c>
      <c r="C2406">
        <f>IF(B2406="","",IFERROR(INDEX('Bad Patterns'!$A$2:$A$120,MATCH(1,INDEX(--ISNUMBER(SEARCH('Bad Patterns'!$A$2:$A$120,B2406)),0),0)),""))</f>
        <v/>
      </c>
      <c r="D2406">
        <f>IF(B2406="","",IF(C2406&lt;&gt;"","REMOVE","KEEP"))</f>
        <v/>
      </c>
      <c r="E2406">
        <f>IF(D2406&lt;&gt;"KEEP","",IF(RIGHT(B2406,10)="@gmail.com","Gmail",IF(OR(RIGHT(B2406,12)="@outlook.com",RIGHT(B2406,12)="@hotmail.com",RIGHT(B2406,9)="@live.com"),"Outlook","Domain")))</f>
        <v/>
      </c>
      <c r="F2406">
        <f>IF(B2406="","",IFERROR(RIGHT(B2406,LEN(B2406)-FIND("@",B2406)),""))</f>
        <v/>
      </c>
      <c r="G2406">
        <f>IF(D2406="KEEP",COUNTIF($D$2:D2406,"KEEP"),"")</f>
        <v/>
      </c>
      <c r="H2406">
        <f>IF(D2406="REMOVE",COUNTIF($D$2:D2406,"REMOVE"),"")</f>
        <v/>
      </c>
      <c r="I2406">
        <f>IF(E2406="Gmail",COUNTIF($E$2:E2406,"Gmail"),"")</f>
        <v/>
      </c>
      <c r="J2406">
        <f>IF(E2406="Outlook",COUNTIF($E$2:E2406,"Outlook"),"")</f>
        <v/>
      </c>
      <c r="K2406">
        <f>IF(E2406="Domain",COUNTIF($E$2:E2406,"Domain"),"")</f>
        <v/>
      </c>
    </row>
    <row r="2407">
      <c r="A2407" s="2" t="n"/>
      <c r="B2407">
        <f>LOWER(TRIM(A2407))</f>
        <v/>
      </c>
      <c r="C2407">
        <f>IF(B2407="","",IFERROR(INDEX('Bad Patterns'!$A$2:$A$120,MATCH(1,INDEX(--ISNUMBER(SEARCH('Bad Patterns'!$A$2:$A$120,B2407)),0),0)),""))</f>
        <v/>
      </c>
      <c r="D2407">
        <f>IF(B2407="","",IF(C2407&lt;&gt;"","REMOVE","KEEP"))</f>
        <v/>
      </c>
      <c r="E2407">
        <f>IF(D2407&lt;&gt;"KEEP","",IF(RIGHT(B2407,10)="@gmail.com","Gmail",IF(OR(RIGHT(B2407,12)="@outlook.com",RIGHT(B2407,12)="@hotmail.com",RIGHT(B2407,9)="@live.com"),"Outlook","Domain")))</f>
        <v/>
      </c>
      <c r="F2407">
        <f>IF(B2407="","",IFERROR(RIGHT(B2407,LEN(B2407)-FIND("@",B2407)),""))</f>
        <v/>
      </c>
      <c r="G2407">
        <f>IF(D2407="KEEP",COUNTIF($D$2:D2407,"KEEP"),"")</f>
        <v/>
      </c>
      <c r="H2407">
        <f>IF(D2407="REMOVE",COUNTIF($D$2:D2407,"REMOVE"),"")</f>
        <v/>
      </c>
      <c r="I2407">
        <f>IF(E2407="Gmail",COUNTIF($E$2:E2407,"Gmail"),"")</f>
        <v/>
      </c>
      <c r="J2407">
        <f>IF(E2407="Outlook",COUNTIF($E$2:E2407,"Outlook"),"")</f>
        <v/>
      </c>
      <c r="K2407">
        <f>IF(E2407="Domain",COUNTIF($E$2:E2407,"Domain"),"")</f>
        <v/>
      </c>
    </row>
    <row r="2408">
      <c r="A2408" s="2" t="n"/>
      <c r="B2408">
        <f>LOWER(TRIM(A2408))</f>
        <v/>
      </c>
      <c r="C2408">
        <f>IF(B2408="","",IFERROR(INDEX('Bad Patterns'!$A$2:$A$120,MATCH(1,INDEX(--ISNUMBER(SEARCH('Bad Patterns'!$A$2:$A$120,B2408)),0),0)),""))</f>
        <v/>
      </c>
      <c r="D2408">
        <f>IF(B2408="","",IF(C2408&lt;&gt;"","REMOVE","KEEP"))</f>
        <v/>
      </c>
      <c r="E2408">
        <f>IF(D2408&lt;&gt;"KEEP","",IF(RIGHT(B2408,10)="@gmail.com","Gmail",IF(OR(RIGHT(B2408,12)="@outlook.com",RIGHT(B2408,12)="@hotmail.com",RIGHT(B2408,9)="@live.com"),"Outlook","Domain")))</f>
        <v/>
      </c>
      <c r="F2408">
        <f>IF(B2408="","",IFERROR(RIGHT(B2408,LEN(B2408)-FIND("@",B2408)),""))</f>
        <v/>
      </c>
      <c r="G2408">
        <f>IF(D2408="KEEP",COUNTIF($D$2:D2408,"KEEP"),"")</f>
        <v/>
      </c>
      <c r="H2408">
        <f>IF(D2408="REMOVE",COUNTIF($D$2:D2408,"REMOVE"),"")</f>
        <v/>
      </c>
      <c r="I2408">
        <f>IF(E2408="Gmail",COUNTIF($E$2:E2408,"Gmail"),"")</f>
        <v/>
      </c>
      <c r="J2408">
        <f>IF(E2408="Outlook",COUNTIF($E$2:E2408,"Outlook"),"")</f>
        <v/>
      </c>
      <c r="K2408">
        <f>IF(E2408="Domain",COUNTIF($E$2:E2408,"Domain"),"")</f>
        <v/>
      </c>
    </row>
    <row r="2409">
      <c r="A2409" s="2" t="n"/>
      <c r="B2409">
        <f>LOWER(TRIM(A2409))</f>
        <v/>
      </c>
      <c r="C2409">
        <f>IF(B2409="","",IFERROR(INDEX('Bad Patterns'!$A$2:$A$120,MATCH(1,INDEX(--ISNUMBER(SEARCH('Bad Patterns'!$A$2:$A$120,B2409)),0),0)),""))</f>
        <v/>
      </c>
      <c r="D2409">
        <f>IF(B2409="","",IF(C2409&lt;&gt;"","REMOVE","KEEP"))</f>
        <v/>
      </c>
      <c r="E2409">
        <f>IF(D2409&lt;&gt;"KEEP","",IF(RIGHT(B2409,10)="@gmail.com","Gmail",IF(OR(RIGHT(B2409,12)="@outlook.com",RIGHT(B2409,12)="@hotmail.com",RIGHT(B2409,9)="@live.com"),"Outlook","Domain")))</f>
        <v/>
      </c>
      <c r="F2409">
        <f>IF(B2409="","",IFERROR(RIGHT(B2409,LEN(B2409)-FIND("@",B2409)),""))</f>
        <v/>
      </c>
      <c r="G2409">
        <f>IF(D2409="KEEP",COUNTIF($D$2:D2409,"KEEP"),"")</f>
        <v/>
      </c>
      <c r="H2409">
        <f>IF(D2409="REMOVE",COUNTIF($D$2:D2409,"REMOVE"),"")</f>
        <v/>
      </c>
      <c r="I2409">
        <f>IF(E2409="Gmail",COUNTIF($E$2:E2409,"Gmail"),"")</f>
        <v/>
      </c>
      <c r="J2409">
        <f>IF(E2409="Outlook",COUNTIF($E$2:E2409,"Outlook"),"")</f>
        <v/>
      </c>
      <c r="K2409">
        <f>IF(E2409="Domain",COUNTIF($E$2:E2409,"Domain"),"")</f>
        <v/>
      </c>
    </row>
    <row r="2410">
      <c r="A2410" s="2" t="n"/>
      <c r="B2410">
        <f>LOWER(TRIM(A2410))</f>
        <v/>
      </c>
      <c r="C2410">
        <f>IF(B2410="","",IFERROR(INDEX('Bad Patterns'!$A$2:$A$120,MATCH(1,INDEX(--ISNUMBER(SEARCH('Bad Patterns'!$A$2:$A$120,B2410)),0),0)),""))</f>
        <v/>
      </c>
      <c r="D2410">
        <f>IF(B2410="","",IF(C2410&lt;&gt;"","REMOVE","KEEP"))</f>
        <v/>
      </c>
      <c r="E2410">
        <f>IF(D2410&lt;&gt;"KEEP","",IF(RIGHT(B2410,10)="@gmail.com","Gmail",IF(OR(RIGHT(B2410,12)="@outlook.com",RIGHT(B2410,12)="@hotmail.com",RIGHT(B2410,9)="@live.com"),"Outlook","Domain")))</f>
        <v/>
      </c>
      <c r="F2410">
        <f>IF(B2410="","",IFERROR(RIGHT(B2410,LEN(B2410)-FIND("@",B2410)),""))</f>
        <v/>
      </c>
      <c r="G2410">
        <f>IF(D2410="KEEP",COUNTIF($D$2:D2410,"KEEP"),"")</f>
        <v/>
      </c>
      <c r="H2410">
        <f>IF(D2410="REMOVE",COUNTIF($D$2:D2410,"REMOVE"),"")</f>
        <v/>
      </c>
      <c r="I2410">
        <f>IF(E2410="Gmail",COUNTIF($E$2:E2410,"Gmail"),"")</f>
        <v/>
      </c>
      <c r="J2410">
        <f>IF(E2410="Outlook",COUNTIF($E$2:E2410,"Outlook"),"")</f>
        <v/>
      </c>
      <c r="K2410">
        <f>IF(E2410="Domain",COUNTIF($E$2:E2410,"Domain"),"")</f>
        <v/>
      </c>
    </row>
    <row r="2411">
      <c r="A2411" s="2" t="n"/>
      <c r="B2411">
        <f>LOWER(TRIM(A2411))</f>
        <v/>
      </c>
      <c r="C2411">
        <f>IF(B2411="","",IFERROR(INDEX('Bad Patterns'!$A$2:$A$120,MATCH(1,INDEX(--ISNUMBER(SEARCH('Bad Patterns'!$A$2:$A$120,B2411)),0),0)),""))</f>
        <v/>
      </c>
      <c r="D2411">
        <f>IF(B2411="","",IF(C2411&lt;&gt;"","REMOVE","KEEP"))</f>
        <v/>
      </c>
      <c r="E2411">
        <f>IF(D2411&lt;&gt;"KEEP","",IF(RIGHT(B2411,10)="@gmail.com","Gmail",IF(OR(RIGHT(B2411,12)="@outlook.com",RIGHT(B2411,12)="@hotmail.com",RIGHT(B2411,9)="@live.com"),"Outlook","Domain")))</f>
        <v/>
      </c>
      <c r="F2411">
        <f>IF(B2411="","",IFERROR(RIGHT(B2411,LEN(B2411)-FIND("@",B2411)),""))</f>
        <v/>
      </c>
      <c r="G2411">
        <f>IF(D2411="KEEP",COUNTIF($D$2:D2411,"KEEP"),"")</f>
        <v/>
      </c>
      <c r="H2411">
        <f>IF(D2411="REMOVE",COUNTIF($D$2:D2411,"REMOVE"),"")</f>
        <v/>
      </c>
      <c r="I2411">
        <f>IF(E2411="Gmail",COUNTIF($E$2:E2411,"Gmail"),"")</f>
        <v/>
      </c>
      <c r="J2411">
        <f>IF(E2411="Outlook",COUNTIF($E$2:E2411,"Outlook"),"")</f>
        <v/>
      </c>
      <c r="K2411">
        <f>IF(E2411="Domain",COUNTIF($E$2:E2411,"Domain"),"")</f>
        <v/>
      </c>
    </row>
    <row r="2412">
      <c r="A2412" s="2" t="n"/>
      <c r="B2412">
        <f>LOWER(TRIM(A2412))</f>
        <v/>
      </c>
      <c r="C2412">
        <f>IF(B2412="","",IFERROR(INDEX('Bad Patterns'!$A$2:$A$120,MATCH(1,INDEX(--ISNUMBER(SEARCH('Bad Patterns'!$A$2:$A$120,B2412)),0),0)),""))</f>
        <v/>
      </c>
      <c r="D2412">
        <f>IF(B2412="","",IF(C2412&lt;&gt;"","REMOVE","KEEP"))</f>
        <v/>
      </c>
      <c r="E2412">
        <f>IF(D2412&lt;&gt;"KEEP","",IF(RIGHT(B2412,10)="@gmail.com","Gmail",IF(OR(RIGHT(B2412,12)="@outlook.com",RIGHT(B2412,12)="@hotmail.com",RIGHT(B2412,9)="@live.com"),"Outlook","Domain")))</f>
        <v/>
      </c>
      <c r="F2412">
        <f>IF(B2412="","",IFERROR(RIGHT(B2412,LEN(B2412)-FIND("@",B2412)),""))</f>
        <v/>
      </c>
      <c r="G2412">
        <f>IF(D2412="KEEP",COUNTIF($D$2:D2412,"KEEP"),"")</f>
        <v/>
      </c>
      <c r="H2412">
        <f>IF(D2412="REMOVE",COUNTIF($D$2:D2412,"REMOVE"),"")</f>
        <v/>
      </c>
      <c r="I2412">
        <f>IF(E2412="Gmail",COUNTIF($E$2:E2412,"Gmail"),"")</f>
        <v/>
      </c>
      <c r="J2412">
        <f>IF(E2412="Outlook",COUNTIF($E$2:E2412,"Outlook"),"")</f>
        <v/>
      </c>
      <c r="K2412">
        <f>IF(E2412="Domain",COUNTIF($E$2:E2412,"Domain"),"")</f>
        <v/>
      </c>
    </row>
    <row r="2413">
      <c r="A2413" s="2" t="n"/>
      <c r="B2413">
        <f>LOWER(TRIM(A2413))</f>
        <v/>
      </c>
      <c r="C2413">
        <f>IF(B2413="","",IFERROR(INDEX('Bad Patterns'!$A$2:$A$120,MATCH(1,INDEX(--ISNUMBER(SEARCH('Bad Patterns'!$A$2:$A$120,B2413)),0),0)),""))</f>
        <v/>
      </c>
      <c r="D2413">
        <f>IF(B2413="","",IF(C2413&lt;&gt;"","REMOVE","KEEP"))</f>
        <v/>
      </c>
      <c r="E2413">
        <f>IF(D2413&lt;&gt;"KEEP","",IF(RIGHT(B2413,10)="@gmail.com","Gmail",IF(OR(RIGHT(B2413,12)="@outlook.com",RIGHT(B2413,12)="@hotmail.com",RIGHT(B2413,9)="@live.com"),"Outlook","Domain")))</f>
        <v/>
      </c>
      <c r="F2413">
        <f>IF(B2413="","",IFERROR(RIGHT(B2413,LEN(B2413)-FIND("@",B2413)),""))</f>
        <v/>
      </c>
      <c r="G2413">
        <f>IF(D2413="KEEP",COUNTIF($D$2:D2413,"KEEP"),"")</f>
        <v/>
      </c>
      <c r="H2413">
        <f>IF(D2413="REMOVE",COUNTIF($D$2:D2413,"REMOVE"),"")</f>
        <v/>
      </c>
      <c r="I2413">
        <f>IF(E2413="Gmail",COUNTIF($E$2:E2413,"Gmail"),"")</f>
        <v/>
      </c>
      <c r="J2413">
        <f>IF(E2413="Outlook",COUNTIF($E$2:E2413,"Outlook"),"")</f>
        <v/>
      </c>
      <c r="K2413">
        <f>IF(E2413="Domain",COUNTIF($E$2:E2413,"Domain"),"")</f>
        <v/>
      </c>
    </row>
    <row r="2414">
      <c r="A2414" s="2" t="n"/>
      <c r="B2414">
        <f>LOWER(TRIM(A2414))</f>
        <v/>
      </c>
      <c r="C2414">
        <f>IF(B2414="","",IFERROR(INDEX('Bad Patterns'!$A$2:$A$120,MATCH(1,INDEX(--ISNUMBER(SEARCH('Bad Patterns'!$A$2:$A$120,B2414)),0),0)),""))</f>
        <v/>
      </c>
      <c r="D2414">
        <f>IF(B2414="","",IF(C2414&lt;&gt;"","REMOVE","KEEP"))</f>
        <v/>
      </c>
      <c r="E2414">
        <f>IF(D2414&lt;&gt;"KEEP","",IF(RIGHT(B2414,10)="@gmail.com","Gmail",IF(OR(RIGHT(B2414,12)="@outlook.com",RIGHT(B2414,12)="@hotmail.com",RIGHT(B2414,9)="@live.com"),"Outlook","Domain")))</f>
        <v/>
      </c>
      <c r="F2414">
        <f>IF(B2414="","",IFERROR(RIGHT(B2414,LEN(B2414)-FIND("@",B2414)),""))</f>
        <v/>
      </c>
      <c r="G2414">
        <f>IF(D2414="KEEP",COUNTIF($D$2:D2414,"KEEP"),"")</f>
        <v/>
      </c>
      <c r="H2414">
        <f>IF(D2414="REMOVE",COUNTIF($D$2:D2414,"REMOVE"),"")</f>
        <v/>
      </c>
      <c r="I2414">
        <f>IF(E2414="Gmail",COUNTIF($E$2:E2414,"Gmail"),"")</f>
        <v/>
      </c>
      <c r="J2414">
        <f>IF(E2414="Outlook",COUNTIF($E$2:E2414,"Outlook"),"")</f>
        <v/>
      </c>
      <c r="K2414">
        <f>IF(E2414="Domain",COUNTIF($E$2:E2414,"Domain"),"")</f>
        <v/>
      </c>
    </row>
    <row r="2415">
      <c r="A2415" s="2" t="n"/>
      <c r="B2415">
        <f>LOWER(TRIM(A2415))</f>
        <v/>
      </c>
      <c r="C2415">
        <f>IF(B2415="","",IFERROR(INDEX('Bad Patterns'!$A$2:$A$120,MATCH(1,INDEX(--ISNUMBER(SEARCH('Bad Patterns'!$A$2:$A$120,B2415)),0),0)),""))</f>
        <v/>
      </c>
      <c r="D2415">
        <f>IF(B2415="","",IF(C2415&lt;&gt;"","REMOVE","KEEP"))</f>
        <v/>
      </c>
      <c r="E2415">
        <f>IF(D2415&lt;&gt;"KEEP","",IF(RIGHT(B2415,10)="@gmail.com","Gmail",IF(OR(RIGHT(B2415,12)="@outlook.com",RIGHT(B2415,12)="@hotmail.com",RIGHT(B2415,9)="@live.com"),"Outlook","Domain")))</f>
        <v/>
      </c>
      <c r="F2415">
        <f>IF(B2415="","",IFERROR(RIGHT(B2415,LEN(B2415)-FIND("@",B2415)),""))</f>
        <v/>
      </c>
      <c r="G2415">
        <f>IF(D2415="KEEP",COUNTIF($D$2:D2415,"KEEP"),"")</f>
        <v/>
      </c>
      <c r="H2415">
        <f>IF(D2415="REMOVE",COUNTIF($D$2:D2415,"REMOVE"),"")</f>
        <v/>
      </c>
      <c r="I2415">
        <f>IF(E2415="Gmail",COUNTIF($E$2:E2415,"Gmail"),"")</f>
        <v/>
      </c>
      <c r="J2415">
        <f>IF(E2415="Outlook",COUNTIF($E$2:E2415,"Outlook"),"")</f>
        <v/>
      </c>
      <c r="K2415">
        <f>IF(E2415="Domain",COUNTIF($E$2:E2415,"Domain"),"")</f>
        <v/>
      </c>
    </row>
    <row r="2416">
      <c r="A2416" s="2" t="n"/>
      <c r="B2416">
        <f>LOWER(TRIM(A2416))</f>
        <v/>
      </c>
      <c r="C2416">
        <f>IF(B2416="","",IFERROR(INDEX('Bad Patterns'!$A$2:$A$120,MATCH(1,INDEX(--ISNUMBER(SEARCH('Bad Patterns'!$A$2:$A$120,B2416)),0),0)),""))</f>
        <v/>
      </c>
      <c r="D2416">
        <f>IF(B2416="","",IF(C2416&lt;&gt;"","REMOVE","KEEP"))</f>
        <v/>
      </c>
      <c r="E2416">
        <f>IF(D2416&lt;&gt;"KEEP","",IF(RIGHT(B2416,10)="@gmail.com","Gmail",IF(OR(RIGHT(B2416,12)="@outlook.com",RIGHT(B2416,12)="@hotmail.com",RIGHT(B2416,9)="@live.com"),"Outlook","Domain")))</f>
        <v/>
      </c>
      <c r="F2416">
        <f>IF(B2416="","",IFERROR(RIGHT(B2416,LEN(B2416)-FIND("@",B2416)),""))</f>
        <v/>
      </c>
      <c r="G2416">
        <f>IF(D2416="KEEP",COUNTIF($D$2:D2416,"KEEP"),"")</f>
        <v/>
      </c>
      <c r="H2416">
        <f>IF(D2416="REMOVE",COUNTIF($D$2:D2416,"REMOVE"),"")</f>
        <v/>
      </c>
      <c r="I2416">
        <f>IF(E2416="Gmail",COUNTIF($E$2:E2416,"Gmail"),"")</f>
        <v/>
      </c>
      <c r="J2416">
        <f>IF(E2416="Outlook",COUNTIF($E$2:E2416,"Outlook"),"")</f>
        <v/>
      </c>
      <c r="K2416">
        <f>IF(E2416="Domain",COUNTIF($E$2:E2416,"Domain"),"")</f>
        <v/>
      </c>
    </row>
    <row r="2417">
      <c r="A2417" s="2" t="n"/>
      <c r="B2417">
        <f>LOWER(TRIM(A2417))</f>
        <v/>
      </c>
      <c r="C2417">
        <f>IF(B2417="","",IFERROR(INDEX('Bad Patterns'!$A$2:$A$120,MATCH(1,INDEX(--ISNUMBER(SEARCH('Bad Patterns'!$A$2:$A$120,B2417)),0),0)),""))</f>
        <v/>
      </c>
      <c r="D2417">
        <f>IF(B2417="","",IF(C2417&lt;&gt;"","REMOVE","KEEP"))</f>
        <v/>
      </c>
      <c r="E2417">
        <f>IF(D2417&lt;&gt;"KEEP","",IF(RIGHT(B2417,10)="@gmail.com","Gmail",IF(OR(RIGHT(B2417,12)="@outlook.com",RIGHT(B2417,12)="@hotmail.com",RIGHT(B2417,9)="@live.com"),"Outlook","Domain")))</f>
        <v/>
      </c>
      <c r="F2417">
        <f>IF(B2417="","",IFERROR(RIGHT(B2417,LEN(B2417)-FIND("@",B2417)),""))</f>
        <v/>
      </c>
      <c r="G2417">
        <f>IF(D2417="KEEP",COUNTIF($D$2:D2417,"KEEP"),"")</f>
        <v/>
      </c>
      <c r="H2417">
        <f>IF(D2417="REMOVE",COUNTIF($D$2:D2417,"REMOVE"),"")</f>
        <v/>
      </c>
      <c r="I2417">
        <f>IF(E2417="Gmail",COUNTIF($E$2:E2417,"Gmail"),"")</f>
        <v/>
      </c>
      <c r="J2417">
        <f>IF(E2417="Outlook",COUNTIF($E$2:E2417,"Outlook"),"")</f>
        <v/>
      </c>
      <c r="K2417">
        <f>IF(E2417="Domain",COUNTIF($E$2:E2417,"Domain"),"")</f>
        <v/>
      </c>
    </row>
    <row r="2418">
      <c r="A2418" s="2" t="n"/>
      <c r="B2418">
        <f>LOWER(TRIM(A2418))</f>
        <v/>
      </c>
      <c r="C2418">
        <f>IF(B2418="","",IFERROR(INDEX('Bad Patterns'!$A$2:$A$120,MATCH(1,INDEX(--ISNUMBER(SEARCH('Bad Patterns'!$A$2:$A$120,B2418)),0),0)),""))</f>
        <v/>
      </c>
      <c r="D2418">
        <f>IF(B2418="","",IF(C2418&lt;&gt;"","REMOVE","KEEP"))</f>
        <v/>
      </c>
      <c r="E2418">
        <f>IF(D2418&lt;&gt;"KEEP","",IF(RIGHT(B2418,10)="@gmail.com","Gmail",IF(OR(RIGHT(B2418,12)="@outlook.com",RIGHT(B2418,12)="@hotmail.com",RIGHT(B2418,9)="@live.com"),"Outlook","Domain")))</f>
        <v/>
      </c>
      <c r="F2418">
        <f>IF(B2418="","",IFERROR(RIGHT(B2418,LEN(B2418)-FIND("@",B2418)),""))</f>
        <v/>
      </c>
      <c r="G2418">
        <f>IF(D2418="KEEP",COUNTIF($D$2:D2418,"KEEP"),"")</f>
        <v/>
      </c>
      <c r="H2418">
        <f>IF(D2418="REMOVE",COUNTIF($D$2:D2418,"REMOVE"),"")</f>
        <v/>
      </c>
      <c r="I2418">
        <f>IF(E2418="Gmail",COUNTIF($E$2:E2418,"Gmail"),"")</f>
        <v/>
      </c>
      <c r="J2418">
        <f>IF(E2418="Outlook",COUNTIF($E$2:E2418,"Outlook"),"")</f>
        <v/>
      </c>
      <c r="K2418">
        <f>IF(E2418="Domain",COUNTIF($E$2:E2418,"Domain"),"")</f>
        <v/>
      </c>
    </row>
    <row r="2419">
      <c r="A2419" s="2" t="n"/>
      <c r="B2419">
        <f>LOWER(TRIM(A2419))</f>
        <v/>
      </c>
      <c r="C2419">
        <f>IF(B2419="","",IFERROR(INDEX('Bad Patterns'!$A$2:$A$120,MATCH(1,INDEX(--ISNUMBER(SEARCH('Bad Patterns'!$A$2:$A$120,B2419)),0),0)),""))</f>
        <v/>
      </c>
      <c r="D2419">
        <f>IF(B2419="","",IF(C2419&lt;&gt;"","REMOVE","KEEP"))</f>
        <v/>
      </c>
      <c r="E2419">
        <f>IF(D2419&lt;&gt;"KEEP","",IF(RIGHT(B2419,10)="@gmail.com","Gmail",IF(OR(RIGHT(B2419,12)="@outlook.com",RIGHT(B2419,12)="@hotmail.com",RIGHT(B2419,9)="@live.com"),"Outlook","Domain")))</f>
        <v/>
      </c>
      <c r="F2419">
        <f>IF(B2419="","",IFERROR(RIGHT(B2419,LEN(B2419)-FIND("@",B2419)),""))</f>
        <v/>
      </c>
      <c r="G2419">
        <f>IF(D2419="KEEP",COUNTIF($D$2:D2419,"KEEP"),"")</f>
        <v/>
      </c>
      <c r="H2419">
        <f>IF(D2419="REMOVE",COUNTIF($D$2:D2419,"REMOVE"),"")</f>
        <v/>
      </c>
      <c r="I2419">
        <f>IF(E2419="Gmail",COUNTIF($E$2:E2419,"Gmail"),"")</f>
        <v/>
      </c>
      <c r="J2419">
        <f>IF(E2419="Outlook",COUNTIF($E$2:E2419,"Outlook"),"")</f>
        <v/>
      </c>
      <c r="K2419">
        <f>IF(E2419="Domain",COUNTIF($E$2:E2419,"Domain"),"")</f>
        <v/>
      </c>
    </row>
    <row r="2420">
      <c r="A2420" s="2" t="n"/>
      <c r="B2420">
        <f>LOWER(TRIM(A2420))</f>
        <v/>
      </c>
      <c r="C2420">
        <f>IF(B2420="","",IFERROR(INDEX('Bad Patterns'!$A$2:$A$120,MATCH(1,INDEX(--ISNUMBER(SEARCH('Bad Patterns'!$A$2:$A$120,B2420)),0),0)),""))</f>
        <v/>
      </c>
      <c r="D2420">
        <f>IF(B2420="","",IF(C2420&lt;&gt;"","REMOVE","KEEP"))</f>
        <v/>
      </c>
      <c r="E2420">
        <f>IF(D2420&lt;&gt;"KEEP","",IF(RIGHT(B2420,10)="@gmail.com","Gmail",IF(OR(RIGHT(B2420,12)="@outlook.com",RIGHT(B2420,12)="@hotmail.com",RIGHT(B2420,9)="@live.com"),"Outlook","Domain")))</f>
        <v/>
      </c>
      <c r="F2420">
        <f>IF(B2420="","",IFERROR(RIGHT(B2420,LEN(B2420)-FIND("@",B2420)),""))</f>
        <v/>
      </c>
      <c r="G2420">
        <f>IF(D2420="KEEP",COUNTIF($D$2:D2420,"KEEP"),"")</f>
        <v/>
      </c>
      <c r="H2420">
        <f>IF(D2420="REMOVE",COUNTIF($D$2:D2420,"REMOVE"),"")</f>
        <v/>
      </c>
      <c r="I2420">
        <f>IF(E2420="Gmail",COUNTIF($E$2:E2420,"Gmail"),"")</f>
        <v/>
      </c>
      <c r="J2420">
        <f>IF(E2420="Outlook",COUNTIF($E$2:E2420,"Outlook"),"")</f>
        <v/>
      </c>
      <c r="K2420">
        <f>IF(E2420="Domain",COUNTIF($E$2:E2420,"Domain"),"")</f>
        <v/>
      </c>
    </row>
    <row r="2421">
      <c r="A2421" s="2" t="n"/>
      <c r="B2421">
        <f>LOWER(TRIM(A2421))</f>
        <v/>
      </c>
      <c r="C2421">
        <f>IF(B2421="","",IFERROR(INDEX('Bad Patterns'!$A$2:$A$120,MATCH(1,INDEX(--ISNUMBER(SEARCH('Bad Patterns'!$A$2:$A$120,B2421)),0),0)),""))</f>
        <v/>
      </c>
      <c r="D2421">
        <f>IF(B2421="","",IF(C2421&lt;&gt;"","REMOVE","KEEP"))</f>
        <v/>
      </c>
      <c r="E2421">
        <f>IF(D2421&lt;&gt;"KEEP","",IF(RIGHT(B2421,10)="@gmail.com","Gmail",IF(OR(RIGHT(B2421,12)="@outlook.com",RIGHT(B2421,12)="@hotmail.com",RIGHT(B2421,9)="@live.com"),"Outlook","Domain")))</f>
        <v/>
      </c>
      <c r="F2421">
        <f>IF(B2421="","",IFERROR(RIGHT(B2421,LEN(B2421)-FIND("@",B2421)),""))</f>
        <v/>
      </c>
      <c r="G2421">
        <f>IF(D2421="KEEP",COUNTIF($D$2:D2421,"KEEP"),"")</f>
        <v/>
      </c>
      <c r="H2421">
        <f>IF(D2421="REMOVE",COUNTIF($D$2:D2421,"REMOVE"),"")</f>
        <v/>
      </c>
      <c r="I2421">
        <f>IF(E2421="Gmail",COUNTIF($E$2:E2421,"Gmail"),"")</f>
        <v/>
      </c>
      <c r="J2421">
        <f>IF(E2421="Outlook",COUNTIF($E$2:E2421,"Outlook"),"")</f>
        <v/>
      </c>
      <c r="K2421">
        <f>IF(E2421="Domain",COUNTIF($E$2:E2421,"Domain"),"")</f>
        <v/>
      </c>
    </row>
    <row r="2422">
      <c r="A2422" s="2" t="n"/>
      <c r="B2422">
        <f>LOWER(TRIM(A2422))</f>
        <v/>
      </c>
      <c r="C2422">
        <f>IF(B2422="","",IFERROR(INDEX('Bad Patterns'!$A$2:$A$120,MATCH(1,INDEX(--ISNUMBER(SEARCH('Bad Patterns'!$A$2:$A$120,B2422)),0),0)),""))</f>
        <v/>
      </c>
      <c r="D2422">
        <f>IF(B2422="","",IF(C2422&lt;&gt;"","REMOVE","KEEP"))</f>
        <v/>
      </c>
      <c r="E2422">
        <f>IF(D2422&lt;&gt;"KEEP","",IF(RIGHT(B2422,10)="@gmail.com","Gmail",IF(OR(RIGHT(B2422,12)="@outlook.com",RIGHT(B2422,12)="@hotmail.com",RIGHT(B2422,9)="@live.com"),"Outlook","Domain")))</f>
        <v/>
      </c>
      <c r="F2422">
        <f>IF(B2422="","",IFERROR(RIGHT(B2422,LEN(B2422)-FIND("@",B2422)),""))</f>
        <v/>
      </c>
      <c r="G2422">
        <f>IF(D2422="KEEP",COUNTIF($D$2:D2422,"KEEP"),"")</f>
        <v/>
      </c>
      <c r="H2422">
        <f>IF(D2422="REMOVE",COUNTIF($D$2:D2422,"REMOVE"),"")</f>
        <v/>
      </c>
      <c r="I2422">
        <f>IF(E2422="Gmail",COUNTIF($E$2:E2422,"Gmail"),"")</f>
        <v/>
      </c>
      <c r="J2422">
        <f>IF(E2422="Outlook",COUNTIF($E$2:E2422,"Outlook"),"")</f>
        <v/>
      </c>
      <c r="K2422">
        <f>IF(E2422="Domain",COUNTIF($E$2:E2422,"Domain"),"")</f>
        <v/>
      </c>
    </row>
    <row r="2423">
      <c r="A2423" s="2" t="n"/>
      <c r="B2423">
        <f>LOWER(TRIM(A2423))</f>
        <v/>
      </c>
      <c r="C2423">
        <f>IF(B2423="","",IFERROR(INDEX('Bad Patterns'!$A$2:$A$120,MATCH(1,INDEX(--ISNUMBER(SEARCH('Bad Patterns'!$A$2:$A$120,B2423)),0),0)),""))</f>
        <v/>
      </c>
      <c r="D2423">
        <f>IF(B2423="","",IF(C2423&lt;&gt;"","REMOVE","KEEP"))</f>
        <v/>
      </c>
      <c r="E2423">
        <f>IF(D2423&lt;&gt;"KEEP","",IF(RIGHT(B2423,10)="@gmail.com","Gmail",IF(OR(RIGHT(B2423,12)="@outlook.com",RIGHT(B2423,12)="@hotmail.com",RIGHT(B2423,9)="@live.com"),"Outlook","Domain")))</f>
        <v/>
      </c>
      <c r="F2423">
        <f>IF(B2423="","",IFERROR(RIGHT(B2423,LEN(B2423)-FIND("@",B2423)),""))</f>
        <v/>
      </c>
      <c r="G2423">
        <f>IF(D2423="KEEP",COUNTIF($D$2:D2423,"KEEP"),"")</f>
        <v/>
      </c>
      <c r="H2423">
        <f>IF(D2423="REMOVE",COUNTIF($D$2:D2423,"REMOVE"),"")</f>
        <v/>
      </c>
      <c r="I2423">
        <f>IF(E2423="Gmail",COUNTIF($E$2:E2423,"Gmail"),"")</f>
        <v/>
      </c>
      <c r="J2423">
        <f>IF(E2423="Outlook",COUNTIF($E$2:E2423,"Outlook"),"")</f>
        <v/>
      </c>
      <c r="K2423">
        <f>IF(E2423="Domain",COUNTIF($E$2:E2423,"Domain"),"")</f>
        <v/>
      </c>
    </row>
    <row r="2424">
      <c r="A2424" s="2" t="n"/>
      <c r="B2424">
        <f>LOWER(TRIM(A2424))</f>
        <v/>
      </c>
      <c r="C2424">
        <f>IF(B2424="","",IFERROR(INDEX('Bad Patterns'!$A$2:$A$120,MATCH(1,INDEX(--ISNUMBER(SEARCH('Bad Patterns'!$A$2:$A$120,B2424)),0),0)),""))</f>
        <v/>
      </c>
      <c r="D2424">
        <f>IF(B2424="","",IF(C2424&lt;&gt;"","REMOVE","KEEP"))</f>
        <v/>
      </c>
      <c r="E2424">
        <f>IF(D2424&lt;&gt;"KEEP","",IF(RIGHT(B2424,10)="@gmail.com","Gmail",IF(OR(RIGHT(B2424,12)="@outlook.com",RIGHT(B2424,12)="@hotmail.com",RIGHT(B2424,9)="@live.com"),"Outlook","Domain")))</f>
        <v/>
      </c>
      <c r="F2424">
        <f>IF(B2424="","",IFERROR(RIGHT(B2424,LEN(B2424)-FIND("@",B2424)),""))</f>
        <v/>
      </c>
      <c r="G2424">
        <f>IF(D2424="KEEP",COUNTIF($D$2:D2424,"KEEP"),"")</f>
        <v/>
      </c>
      <c r="H2424">
        <f>IF(D2424="REMOVE",COUNTIF($D$2:D2424,"REMOVE"),"")</f>
        <v/>
      </c>
      <c r="I2424">
        <f>IF(E2424="Gmail",COUNTIF($E$2:E2424,"Gmail"),"")</f>
        <v/>
      </c>
      <c r="J2424">
        <f>IF(E2424="Outlook",COUNTIF($E$2:E2424,"Outlook"),"")</f>
        <v/>
      </c>
      <c r="K2424">
        <f>IF(E2424="Domain",COUNTIF($E$2:E2424,"Domain"),"")</f>
        <v/>
      </c>
    </row>
    <row r="2425">
      <c r="A2425" s="2" t="n"/>
      <c r="B2425">
        <f>LOWER(TRIM(A2425))</f>
        <v/>
      </c>
      <c r="C2425">
        <f>IF(B2425="","",IFERROR(INDEX('Bad Patterns'!$A$2:$A$120,MATCH(1,INDEX(--ISNUMBER(SEARCH('Bad Patterns'!$A$2:$A$120,B2425)),0),0)),""))</f>
        <v/>
      </c>
      <c r="D2425">
        <f>IF(B2425="","",IF(C2425&lt;&gt;"","REMOVE","KEEP"))</f>
        <v/>
      </c>
      <c r="E2425">
        <f>IF(D2425&lt;&gt;"KEEP","",IF(RIGHT(B2425,10)="@gmail.com","Gmail",IF(OR(RIGHT(B2425,12)="@outlook.com",RIGHT(B2425,12)="@hotmail.com",RIGHT(B2425,9)="@live.com"),"Outlook","Domain")))</f>
        <v/>
      </c>
      <c r="F2425">
        <f>IF(B2425="","",IFERROR(RIGHT(B2425,LEN(B2425)-FIND("@",B2425)),""))</f>
        <v/>
      </c>
      <c r="G2425">
        <f>IF(D2425="KEEP",COUNTIF($D$2:D2425,"KEEP"),"")</f>
        <v/>
      </c>
      <c r="H2425">
        <f>IF(D2425="REMOVE",COUNTIF($D$2:D2425,"REMOVE"),"")</f>
        <v/>
      </c>
      <c r="I2425">
        <f>IF(E2425="Gmail",COUNTIF($E$2:E2425,"Gmail"),"")</f>
        <v/>
      </c>
      <c r="J2425">
        <f>IF(E2425="Outlook",COUNTIF($E$2:E2425,"Outlook"),"")</f>
        <v/>
      </c>
      <c r="K2425">
        <f>IF(E2425="Domain",COUNTIF($E$2:E2425,"Domain"),"")</f>
        <v/>
      </c>
    </row>
    <row r="2426">
      <c r="A2426" s="2" t="n"/>
      <c r="B2426">
        <f>LOWER(TRIM(A2426))</f>
        <v/>
      </c>
      <c r="C2426">
        <f>IF(B2426="","",IFERROR(INDEX('Bad Patterns'!$A$2:$A$120,MATCH(1,INDEX(--ISNUMBER(SEARCH('Bad Patterns'!$A$2:$A$120,B2426)),0),0)),""))</f>
        <v/>
      </c>
      <c r="D2426">
        <f>IF(B2426="","",IF(C2426&lt;&gt;"","REMOVE","KEEP"))</f>
        <v/>
      </c>
      <c r="E2426">
        <f>IF(D2426&lt;&gt;"KEEP","",IF(RIGHT(B2426,10)="@gmail.com","Gmail",IF(OR(RIGHT(B2426,12)="@outlook.com",RIGHT(B2426,12)="@hotmail.com",RIGHT(B2426,9)="@live.com"),"Outlook","Domain")))</f>
        <v/>
      </c>
      <c r="F2426">
        <f>IF(B2426="","",IFERROR(RIGHT(B2426,LEN(B2426)-FIND("@",B2426)),""))</f>
        <v/>
      </c>
      <c r="G2426">
        <f>IF(D2426="KEEP",COUNTIF($D$2:D2426,"KEEP"),"")</f>
        <v/>
      </c>
      <c r="H2426">
        <f>IF(D2426="REMOVE",COUNTIF($D$2:D2426,"REMOVE"),"")</f>
        <v/>
      </c>
      <c r="I2426">
        <f>IF(E2426="Gmail",COUNTIF($E$2:E2426,"Gmail"),"")</f>
        <v/>
      </c>
      <c r="J2426">
        <f>IF(E2426="Outlook",COUNTIF($E$2:E2426,"Outlook"),"")</f>
        <v/>
      </c>
      <c r="K2426">
        <f>IF(E2426="Domain",COUNTIF($E$2:E2426,"Domain"),"")</f>
        <v/>
      </c>
    </row>
    <row r="2427">
      <c r="A2427" s="2" t="n"/>
      <c r="B2427">
        <f>LOWER(TRIM(A2427))</f>
        <v/>
      </c>
      <c r="C2427">
        <f>IF(B2427="","",IFERROR(INDEX('Bad Patterns'!$A$2:$A$120,MATCH(1,INDEX(--ISNUMBER(SEARCH('Bad Patterns'!$A$2:$A$120,B2427)),0),0)),""))</f>
        <v/>
      </c>
      <c r="D2427">
        <f>IF(B2427="","",IF(C2427&lt;&gt;"","REMOVE","KEEP"))</f>
        <v/>
      </c>
      <c r="E2427">
        <f>IF(D2427&lt;&gt;"KEEP","",IF(RIGHT(B2427,10)="@gmail.com","Gmail",IF(OR(RIGHT(B2427,12)="@outlook.com",RIGHT(B2427,12)="@hotmail.com",RIGHT(B2427,9)="@live.com"),"Outlook","Domain")))</f>
        <v/>
      </c>
      <c r="F2427">
        <f>IF(B2427="","",IFERROR(RIGHT(B2427,LEN(B2427)-FIND("@",B2427)),""))</f>
        <v/>
      </c>
      <c r="G2427">
        <f>IF(D2427="KEEP",COUNTIF($D$2:D2427,"KEEP"),"")</f>
        <v/>
      </c>
      <c r="H2427">
        <f>IF(D2427="REMOVE",COUNTIF($D$2:D2427,"REMOVE"),"")</f>
        <v/>
      </c>
      <c r="I2427">
        <f>IF(E2427="Gmail",COUNTIF($E$2:E2427,"Gmail"),"")</f>
        <v/>
      </c>
      <c r="J2427">
        <f>IF(E2427="Outlook",COUNTIF($E$2:E2427,"Outlook"),"")</f>
        <v/>
      </c>
      <c r="K2427">
        <f>IF(E2427="Domain",COUNTIF($E$2:E2427,"Domain"),"")</f>
        <v/>
      </c>
    </row>
    <row r="2428">
      <c r="A2428" s="2" t="n"/>
      <c r="B2428">
        <f>LOWER(TRIM(A2428))</f>
        <v/>
      </c>
      <c r="C2428">
        <f>IF(B2428="","",IFERROR(INDEX('Bad Patterns'!$A$2:$A$120,MATCH(1,INDEX(--ISNUMBER(SEARCH('Bad Patterns'!$A$2:$A$120,B2428)),0),0)),""))</f>
        <v/>
      </c>
      <c r="D2428">
        <f>IF(B2428="","",IF(C2428&lt;&gt;"","REMOVE","KEEP"))</f>
        <v/>
      </c>
      <c r="E2428">
        <f>IF(D2428&lt;&gt;"KEEP","",IF(RIGHT(B2428,10)="@gmail.com","Gmail",IF(OR(RIGHT(B2428,12)="@outlook.com",RIGHT(B2428,12)="@hotmail.com",RIGHT(B2428,9)="@live.com"),"Outlook","Domain")))</f>
        <v/>
      </c>
      <c r="F2428">
        <f>IF(B2428="","",IFERROR(RIGHT(B2428,LEN(B2428)-FIND("@",B2428)),""))</f>
        <v/>
      </c>
      <c r="G2428">
        <f>IF(D2428="KEEP",COUNTIF($D$2:D2428,"KEEP"),"")</f>
        <v/>
      </c>
      <c r="H2428">
        <f>IF(D2428="REMOVE",COUNTIF($D$2:D2428,"REMOVE"),"")</f>
        <v/>
      </c>
      <c r="I2428">
        <f>IF(E2428="Gmail",COUNTIF($E$2:E2428,"Gmail"),"")</f>
        <v/>
      </c>
      <c r="J2428">
        <f>IF(E2428="Outlook",COUNTIF($E$2:E2428,"Outlook"),"")</f>
        <v/>
      </c>
      <c r="K2428">
        <f>IF(E2428="Domain",COUNTIF($E$2:E2428,"Domain"),"")</f>
        <v/>
      </c>
    </row>
    <row r="2429">
      <c r="A2429" s="2" t="n"/>
      <c r="B2429">
        <f>LOWER(TRIM(A2429))</f>
        <v/>
      </c>
      <c r="C2429">
        <f>IF(B2429="","",IFERROR(INDEX('Bad Patterns'!$A$2:$A$120,MATCH(1,INDEX(--ISNUMBER(SEARCH('Bad Patterns'!$A$2:$A$120,B2429)),0),0)),""))</f>
        <v/>
      </c>
      <c r="D2429">
        <f>IF(B2429="","",IF(C2429&lt;&gt;"","REMOVE","KEEP"))</f>
        <v/>
      </c>
      <c r="E2429">
        <f>IF(D2429&lt;&gt;"KEEP","",IF(RIGHT(B2429,10)="@gmail.com","Gmail",IF(OR(RIGHT(B2429,12)="@outlook.com",RIGHT(B2429,12)="@hotmail.com",RIGHT(B2429,9)="@live.com"),"Outlook","Domain")))</f>
        <v/>
      </c>
      <c r="F2429">
        <f>IF(B2429="","",IFERROR(RIGHT(B2429,LEN(B2429)-FIND("@",B2429)),""))</f>
        <v/>
      </c>
      <c r="G2429">
        <f>IF(D2429="KEEP",COUNTIF($D$2:D2429,"KEEP"),"")</f>
        <v/>
      </c>
      <c r="H2429">
        <f>IF(D2429="REMOVE",COUNTIF($D$2:D2429,"REMOVE"),"")</f>
        <v/>
      </c>
      <c r="I2429">
        <f>IF(E2429="Gmail",COUNTIF($E$2:E2429,"Gmail"),"")</f>
        <v/>
      </c>
      <c r="J2429">
        <f>IF(E2429="Outlook",COUNTIF($E$2:E2429,"Outlook"),"")</f>
        <v/>
      </c>
      <c r="K2429">
        <f>IF(E2429="Domain",COUNTIF($E$2:E2429,"Domain"),"")</f>
        <v/>
      </c>
    </row>
    <row r="2430">
      <c r="A2430" s="2" t="n"/>
      <c r="B2430">
        <f>LOWER(TRIM(A2430))</f>
        <v/>
      </c>
      <c r="C2430">
        <f>IF(B2430="","",IFERROR(INDEX('Bad Patterns'!$A$2:$A$120,MATCH(1,INDEX(--ISNUMBER(SEARCH('Bad Patterns'!$A$2:$A$120,B2430)),0),0)),""))</f>
        <v/>
      </c>
      <c r="D2430">
        <f>IF(B2430="","",IF(C2430&lt;&gt;"","REMOVE","KEEP"))</f>
        <v/>
      </c>
      <c r="E2430">
        <f>IF(D2430&lt;&gt;"KEEP","",IF(RIGHT(B2430,10)="@gmail.com","Gmail",IF(OR(RIGHT(B2430,12)="@outlook.com",RIGHT(B2430,12)="@hotmail.com",RIGHT(B2430,9)="@live.com"),"Outlook","Domain")))</f>
        <v/>
      </c>
      <c r="F2430">
        <f>IF(B2430="","",IFERROR(RIGHT(B2430,LEN(B2430)-FIND("@",B2430)),""))</f>
        <v/>
      </c>
      <c r="G2430">
        <f>IF(D2430="KEEP",COUNTIF($D$2:D2430,"KEEP"),"")</f>
        <v/>
      </c>
      <c r="H2430">
        <f>IF(D2430="REMOVE",COUNTIF($D$2:D2430,"REMOVE"),"")</f>
        <v/>
      </c>
      <c r="I2430">
        <f>IF(E2430="Gmail",COUNTIF($E$2:E2430,"Gmail"),"")</f>
        <v/>
      </c>
      <c r="J2430">
        <f>IF(E2430="Outlook",COUNTIF($E$2:E2430,"Outlook"),"")</f>
        <v/>
      </c>
      <c r="K2430">
        <f>IF(E2430="Domain",COUNTIF($E$2:E2430,"Domain"),"")</f>
        <v/>
      </c>
    </row>
    <row r="2431">
      <c r="A2431" s="2" t="n"/>
      <c r="B2431">
        <f>LOWER(TRIM(A2431))</f>
        <v/>
      </c>
      <c r="C2431">
        <f>IF(B2431="","",IFERROR(INDEX('Bad Patterns'!$A$2:$A$120,MATCH(1,INDEX(--ISNUMBER(SEARCH('Bad Patterns'!$A$2:$A$120,B2431)),0),0)),""))</f>
        <v/>
      </c>
      <c r="D2431">
        <f>IF(B2431="","",IF(C2431&lt;&gt;"","REMOVE","KEEP"))</f>
        <v/>
      </c>
      <c r="E2431">
        <f>IF(D2431&lt;&gt;"KEEP","",IF(RIGHT(B2431,10)="@gmail.com","Gmail",IF(OR(RIGHT(B2431,12)="@outlook.com",RIGHT(B2431,12)="@hotmail.com",RIGHT(B2431,9)="@live.com"),"Outlook","Domain")))</f>
        <v/>
      </c>
      <c r="F2431">
        <f>IF(B2431="","",IFERROR(RIGHT(B2431,LEN(B2431)-FIND("@",B2431)),""))</f>
        <v/>
      </c>
      <c r="G2431">
        <f>IF(D2431="KEEP",COUNTIF($D$2:D2431,"KEEP"),"")</f>
        <v/>
      </c>
      <c r="H2431">
        <f>IF(D2431="REMOVE",COUNTIF($D$2:D2431,"REMOVE"),"")</f>
        <v/>
      </c>
      <c r="I2431">
        <f>IF(E2431="Gmail",COUNTIF($E$2:E2431,"Gmail"),"")</f>
        <v/>
      </c>
      <c r="J2431">
        <f>IF(E2431="Outlook",COUNTIF($E$2:E2431,"Outlook"),"")</f>
        <v/>
      </c>
      <c r="K2431">
        <f>IF(E2431="Domain",COUNTIF($E$2:E2431,"Domain"),"")</f>
        <v/>
      </c>
    </row>
    <row r="2432">
      <c r="A2432" s="2" t="n"/>
      <c r="B2432">
        <f>LOWER(TRIM(A2432))</f>
        <v/>
      </c>
      <c r="C2432">
        <f>IF(B2432="","",IFERROR(INDEX('Bad Patterns'!$A$2:$A$120,MATCH(1,INDEX(--ISNUMBER(SEARCH('Bad Patterns'!$A$2:$A$120,B2432)),0),0)),""))</f>
        <v/>
      </c>
      <c r="D2432">
        <f>IF(B2432="","",IF(C2432&lt;&gt;"","REMOVE","KEEP"))</f>
        <v/>
      </c>
      <c r="E2432">
        <f>IF(D2432&lt;&gt;"KEEP","",IF(RIGHT(B2432,10)="@gmail.com","Gmail",IF(OR(RIGHT(B2432,12)="@outlook.com",RIGHT(B2432,12)="@hotmail.com",RIGHT(B2432,9)="@live.com"),"Outlook","Domain")))</f>
        <v/>
      </c>
      <c r="F2432">
        <f>IF(B2432="","",IFERROR(RIGHT(B2432,LEN(B2432)-FIND("@",B2432)),""))</f>
        <v/>
      </c>
      <c r="G2432">
        <f>IF(D2432="KEEP",COUNTIF($D$2:D2432,"KEEP"),"")</f>
        <v/>
      </c>
      <c r="H2432">
        <f>IF(D2432="REMOVE",COUNTIF($D$2:D2432,"REMOVE"),"")</f>
        <v/>
      </c>
      <c r="I2432">
        <f>IF(E2432="Gmail",COUNTIF($E$2:E2432,"Gmail"),"")</f>
        <v/>
      </c>
      <c r="J2432">
        <f>IF(E2432="Outlook",COUNTIF($E$2:E2432,"Outlook"),"")</f>
        <v/>
      </c>
      <c r="K2432">
        <f>IF(E2432="Domain",COUNTIF($E$2:E2432,"Domain"),"")</f>
        <v/>
      </c>
    </row>
    <row r="2433">
      <c r="A2433" s="2" t="n"/>
      <c r="B2433">
        <f>LOWER(TRIM(A2433))</f>
        <v/>
      </c>
      <c r="C2433">
        <f>IF(B2433="","",IFERROR(INDEX('Bad Patterns'!$A$2:$A$120,MATCH(1,INDEX(--ISNUMBER(SEARCH('Bad Patterns'!$A$2:$A$120,B2433)),0),0)),""))</f>
        <v/>
      </c>
      <c r="D2433">
        <f>IF(B2433="","",IF(C2433&lt;&gt;"","REMOVE","KEEP"))</f>
        <v/>
      </c>
      <c r="E2433">
        <f>IF(D2433&lt;&gt;"KEEP","",IF(RIGHT(B2433,10)="@gmail.com","Gmail",IF(OR(RIGHT(B2433,12)="@outlook.com",RIGHT(B2433,12)="@hotmail.com",RIGHT(B2433,9)="@live.com"),"Outlook","Domain")))</f>
        <v/>
      </c>
      <c r="F2433">
        <f>IF(B2433="","",IFERROR(RIGHT(B2433,LEN(B2433)-FIND("@",B2433)),""))</f>
        <v/>
      </c>
      <c r="G2433">
        <f>IF(D2433="KEEP",COUNTIF($D$2:D2433,"KEEP"),"")</f>
        <v/>
      </c>
      <c r="H2433">
        <f>IF(D2433="REMOVE",COUNTIF($D$2:D2433,"REMOVE"),"")</f>
        <v/>
      </c>
      <c r="I2433">
        <f>IF(E2433="Gmail",COUNTIF($E$2:E2433,"Gmail"),"")</f>
        <v/>
      </c>
      <c r="J2433">
        <f>IF(E2433="Outlook",COUNTIF($E$2:E2433,"Outlook"),"")</f>
        <v/>
      </c>
      <c r="K2433">
        <f>IF(E2433="Domain",COUNTIF($E$2:E2433,"Domain"),"")</f>
        <v/>
      </c>
    </row>
    <row r="2434">
      <c r="A2434" s="2" t="n"/>
      <c r="B2434">
        <f>LOWER(TRIM(A2434))</f>
        <v/>
      </c>
      <c r="C2434">
        <f>IF(B2434="","",IFERROR(INDEX('Bad Patterns'!$A$2:$A$120,MATCH(1,INDEX(--ISNUMBER(SEARCH('Bad Patterns'!$A$2:$A$120,B2434)),0),0)),""))</f>
        <v/>
      </c>
      <c r="D2434">
        <f>IF(B2434="","",IF(C2434&lt;&gt;"","REMOVE","KEEP"))</f>
        <v/>
      </c>
      <c r="E2434">
        <f>IF(D2434&lt;&gt;"KEEP","",IF(RIGHT(B2434,10)="@gmail.com","Gmail",IF(OR(RIGHT(B2434,12)="@outlook.com",RIGHT(B2434,12)="@hotmail.com",RIGHT(B2434,9)="@live.com"),"Outlook","Domain")))</f>
        <v/>
      </c>
      <c r="F2434">
        <f>IF(B2434="","",IFERROR(RIGHT(B2434,LEN(B2434)-FIND("@",B2434)),""))</f>
        <v/>
      </c>
      <c r="G2434">
        <f>IF(D2434="KEEP",COUNTIF($D$2:D2434,"KEEP"),"")</f>
        <v/>
      </c>
      <c r="H2434">
        <f>IF(D2434="REMOVE",COUNTIF($D$2:D2434,"REMOVE"),"")</f>
        <v/>
      </c>
      <c r="I2434">
        <f>IF(E2434="Gmail",COUNTIF($E$2:E2434,"Gmail"),"")</f>
        <v/>
      </c>
      <c r="J2434">
        <f>IF(E2434="Outlook",COUNTIF($E$2:E2434,"Outlook"),"")</f>
        <v/>
      </c>
      <c r="K2434">
        <f>IF(E2434="Domain",COUNTIF($E$2:E2434,"Domain"),"")</f>
        <v/>
      </c>
    </row>
    <row r="2435">
      <c r="A2435" s="2" t="n"/>
      <c r="B2435">
        <f>LOWER(TRIM(A2435))</f>
        <v/>
      </c>
      <c r="C2435">
        <f>IF(B2435="","",IFERROR(INDEX('Bad Patterns'!$A$2:$A$120,MATCH(1,INDEX(--ISNUMBER(SEARCH('Bad Patterns'!$A$2:$A$120,B2435)),0),0)),""))</f>
        <v/>
      </c>
      <c r="D2435">
        <f>IF(B2435="","",IF(C2435&lt;&gt;"","REMOVE","KEEP"))</f>
        <v/>
      </c>
      <c r="E2435">
        <f>IF(D2435&lt;&gt;"KEEP","",IF(RIGHT(B2435,10)="@gmail.com","Gmail",IF(OR(RIGHT(B2435,12)="@outlook.com",RIGHT(B2435,12)="@hotmail.com",RIGHT(B2435,9)="@live.com"),"Outlook","Domain")))</f>
        <v/>
      </c>
      <c r="F2435">
        <f>IF(B2435="","",IFERROR(RIGHT(B2435,LEN(B2435)-FIND("@",B2435)),""))</f>
        <v/>
      </c>
      <c r="G2435">
        <f>IF(D2435="KEEP",COUNTIF($D$2:D2435,"KEEP"),"")</f>
        <v/>
      </c>
      <c r="H2435">
        <f>IF(D2435="REMOVE",COUNTIF($D$2:D2435,"REMOVE"),"")</f>
        <v/>
      </c>
      <c r="I2435">
        <f>IF(E2435="Gmail",COUNTIF($E$2:E2435,"Gmail"),"")</f>
        <v/>
      </c>
      <c r="J2435">
        <f>IF(E2435="Outlook",COUNTIF($E$2:E2435,"Outlook"),"")</f>
        <v/>
      </c>
      <c r="K2435">
        <f>IF(E2435="Domain",COUNTIF($E$2:E2435,"Domain"),"")</f>
        <v/>
      </c>
    </row>
    <row r="2436">
      <c r="A2436" s="2" t="n"/>
      <c r="B2436">
        <f>LOWER(TRIM(A2436))</f>
        <v/>
      </c>
      <c r="C2436">
        <f>IF(B2436="","",IFERROR(INDEX('Bad Patterns'!$A$2:$A$120,MATCH(1,INDEX(--ISNUMBER(SEARCH('Bad Patterns'!$A$2:$A$120,B2436)),0),0)),""))</f>
        <v/>
      </c>
      <c r="D2436">
        <f>IF(B2436="","",IF(C2436&lt;&gt;"","REMOVE","KEEP"))</f>
        <v/>
      </c>
      <c r="E2436">
        <f>IF(D2436&lt;&gt;"KEEP","",IF(RIGHT(B2436,10)="@gmail.com","Gmail",IF(OR(RIGHT(B2436,12)="@outlook.com",RIGHT(B2436,12)="@hotmail.com",RIGHT(B2436,9)="@live.com"),"Outlook","Domain")))</f>
        <v/>
      </c>
      <c r="F2436">
        <f>IF(B2436="","",IFERROR(RIGHT(B2436,LEN(B2436)-FIND("@",B2436)),""))</f>
        <v/>
      </c>
      <c r="G2436">
        <f>IF(D2436="KEEP",COUNTIF($D$2:D2436,"KEEP"),"")</f>
        <v/>
      </c>
      <c r="H2436">
        <f>IF(D2436="REMOVE",COUNTIF($D$2:D2436,"REMOVE"),"")</f>
        <v/>
      </c>
      <c r="I2436">
        <f>IF(E2436="Gmail",COUNTIF($E$2:E2436,"Gmail"),"")</f>
        <v/>
      </c>
      <c r="J2436">
        <f>IF(E2436="Outlook",COUNTIF($E$2:E2436,"Outlook"),"")</f>
        <v/>
      </c>
      <c r="K2436">
        <f>IF(E2436="Domain",COUNTIF($E$2:E2436,"Domain"),"")</f>
        <v/>
      </c>
    </row>
    <row r="2437">
      <c r="A2437" s="2" t="n"/>
      <c r="B2437">
        <f>LOWER(TRIM(A2437))</f>
        <v/>
      </c>
      <c r="C2437">
        <f>IF(B2437="","",IFERROR(INDEX('Bad Patterns'!$A$2:$A$120,MATCH(1,INDEX(--ISNUMBER(SEARCH('Bad Patterns'!$A$2:$A$120,B2437)),0),0)),""))</f>
        <v/>
      </c>
      <c r="D2437">
        <f>IF(B2437="","",IF(C2437&lt;&gt;"","REMOVE","KEEP"))</f>
        <v/>
      </c>
      <c r="E2437">
        <f>IF(D2437&lt;&gt;"KEEP","",IF(RIGHT(B2437,10)="@gmail.com","Gmail",IF(OR(RIGHT(B2437,12)="@outlook.com",RIGHT(B2437,12)="@hotmail.com",RIGHT(B2437,9)="@live.com"),"Outlook","Domain")))</f>
        <v/>
      </c>
      <c r="F2437">
        <f>IF(B2437="","",IFERROR(RIGHT(B2437,LEN(B2437)-FIND("@",B2437)),""))</f>
        <v/>
      </c>
      <c r="G2437">
        <f>IF(D2437="KEEP",COUNTIF($D$2:D2437,"KEEP"),"")</f>
        <v/>
      </c>
      <c r="H2437">
        <f>IF(D2437="REMOVE",COUNTIF($D$2:D2437,"REMOVE"),"")</f>
        <v/>
      </c>
      <c r="I2437">
        <f>IF(E2437="Gmail",COUNTIF($E$2:E2437,"Gmail"),"")</f>
        <v/>
      </c>
      <c r="J2437">
        <f>IF(E2437="Outlook",COUNTIF($E$2:E2437,"Outlook"),"")</f>
        <v/>
      </c>
      <c r="K2437">
        <f>IF(E2437="Domain",COUNTIF($E$2:E2437,"Domain"),"")</f>
        <v/>
      </c>
    </row>
    <row r="2438">
      <c r="A2438" s="2" t="n"/>
      <c r="B2438">
        <f>LOWER(TRIM(A2438))</f>
        <v/>
      </c>
      <c r="C2438">
        <f>IF(B2438="","",IFERROR(INDEX('Bad Patterns'!$A$2:$A$120,MATCH(1,INDEX(--ISNUMBER(SEARCH('Bad Patterns'!$A$2:$A$120,B2438)),0),0)),""))</f>
        <v/>
      </c>
      <c r="D2438">
        <f>IF(B2438="","",IF(C2438&lt;&gt;"","REMOVE","KEEP"))</f>
        <v/>
      </c>
      <c r="E2438">
        <f>IF(D2438&lt;&gt;"KEEP","",IF(RIGHT(B2438,10)="@gmail.com","Gmail",IF(OR(RIGHT(B2438,12)="@outlook.com",RIGHT(B2438,12)="@hotmail.com",RIGHT(B2438,9)="@live.com"),"Outlook","Domain")))</f>
        <v/>
      </c>
      <c r="F2438">
        <f>IF(B2438="","",IFERROR(RIGHT(B2438,LEN(B2438)-FIND("@",B2438)),""))</f>
        <v/>
      </c>
      <c r="G2438">
        <f>IF(D2438="KEEP",COUNTIF($D$2:D2438,"KEEP"),"")</f>
        <v/>
      </c>
      <c r="H2438">
        <f>IF(D2438="REMOVE",COUNTIF($D$2:D2438,"REMOVE"),"")</f>
        <v/>
      </c>
      <c r="I2438">
        <f>IF(E2438="Gmail",COUNTIF($E$2:E2438,"Gmail"),"")</f>
        <v/>
      </c>
      <c r="J2438">
        <f>IF(E2438="Outlook",COUNTIF($E$2:E2438,"Outlook"),"")</f>
        <v/>
      </c>
      <c r="K2438">
        <f>IF(E2438="Domain",COUNTIF($E$2:E2438,"Domain"),"")</f>
        <v/>
      </c>
    </row>
    <row r="2439">
      <c r="A2439" s="2" t="n"/>
      <c r="B2439">
        <f>LOWER(TRIM(A2439))</f>
        <v/>
      </c>
      <c r="C2439">
        <f>IF(B2439="","",IFERROR(INDEX('Bad Patterns'!$A$2:$A$120,MATCH(1,INDEX(--ISNUMBER(SEARCH('Bad Patterns'!$A$2:$A$120,B2439)),0),0)),""))</f>
        <v/>
      </c>
      <c r="D2439">
        <f>IF(B2439="","",IF(C2439&lt;&gt;"","REMOVE","KEEP"))</f>
        <v/>
      </c>
      <c r="E2439">
        <f>IF(D2439&lt;&gt;"KEEP","",IF(RIGHT(B2439,10)="@gmail.com","Gmail",IF(OR(RIGHT(B2439,12)="@outlook.com",RIGHT(B2439,12)="@hotmail.com",RIGHT(B2439,9)="@live.com"),"Outlook","Domain")))</f>
        <v/>
      </c>
      <c r="F2439">
        <f>IF(B2439="","",IFERROR(RIGHT(B2439,LEN(B2439)-FIND("@",B2439)),""))</f>
        <v/>
      </c>
      <c r="G2439">
        <f>IF(D2439="KEEP",COUNTIF($D$2:D2439,"KEEP"),"")</f>
        <v/>
      </c>
      <c r="H2439">
        <f>IF(D2439="REMOVE",COUNTIF($D$2:D2439,"REMOVE"),"")</f>
        <v/>
      </c>
      <c r="I2439">
        <f>IF(E2439="Gmail",COUNTIF($E$2:E2439,"Gmail"),"")</f>
        <v/>
      </c>
      <c r="J2439">
        <f>IF(E2439="Outlook",COUNTIF($E$2:E2439,"Outlook"),"")</f>
        <v/>
      </c>
      <c r="K2439">
        <f>IF(E2439="Domain",COUNTIF($E$2:E2439,"Domain"),"")</f>
        <v/>
      </c>
    </row>
    <row r="2440">
      <c r="A2440" s="2" t="n"/>
      <c r="B2440">
        <f>LOWER(TRIM(A2440))</f>
        <v/>
      </c>
      <c r="C2440">
        <f>IF(B2440="","",IFERROR(INDEX('Bad Patterns'!$A$2:$A$120,MATCH(1,INDEX(--ISNUMBER(SEARCH('Bad Patterns'!$A$2:$A$120,B2440)),0),0)),""))</f>
        <v/>
      </c>
      <c r="D2440">
        <f>IF(B2440="","",IF(C2440&lt;&gt;"","REMOVE","KEEP"))</f>
        <v/>
      </c>
      <c r="E2440">
        <f>IF(D2440&lt;&gt;"KEEP","",IF(RIGHT(B2440,10)="@gmail.com","Gmail",IF(OR(RIGHT(B2440,12)="@outlook.com",RIGHT(B2440,12)="@hotmail.com",RIGHT(B2440,9)="@live.com"),"Outlook","Domain")))</f>
        <v/>
      </c>
      <c r="F2440">
        <f>IF(B2440="","",IFERROR(RIGHT(B2440,LEN(B2440)-FIND("@",B2440)),""))</f>
        <v/>
      </c>
      <c r="G2440">
        <f>IF(D2440="KEEP",COUNTIF($D$2:D2440,"KEEP"),"")</f>
        <v/>
      </c>
      <c r="H2440">
        <f>IF(D2440="REMOVE",COUNTIF($D$2:D2440,"REMOVE"),"")</f>
        <v/>
      </c>
      <c r="I2440">
        <f>IF(E2440="Gmail",COUNTIF($E$2:E2440,"Gmail"),"")</f>
        <v/>
      </c>
      <c r="J2440">
        <f>IF(E2440="Outlook",COUNTIF($E$2:E2440,"Outlook"),"")</f>
        <v/>
      </c>
      <c r="K2440">
        <f>IF(E2440="Domain",COUNTIF($E$2:E2440,"Domain"),"")</f>
        <v/>
      </c>
    </row>
    <row r="2441">
      <c r="A2441" s="2" t="n"/>
      <c r="B2441">
        <f>LOWER(TRIM(A2441))</f>
        <v/>
      </c>
      <c r="C2441">
        <f>IF(B2441="","",IFERROR(INDEX('Bad Patterns'!$A$2:$A$120,MATCH(1,INDEX(--ISNUMBER(SEARCH('Bad Patterns'!$A$2:$A$120,B2441)),0),0)),""))</f>
        <v/>
      </c>
      <c r="D2441">
        <f>IF(B2441="","",IF(C2441&lt;&gt;"","REMOVE","KEEP"))</f>
        <v/>
      </c>
      <c r="E2441">
        <f>IF(D2441&lt;&gt;"KEEP","",IF(RIGHT(B2441,10)="@gmail.com","Gmail",IF(OR(RIGHT(B2441,12)="@outlook.com",RIGHT(B2441,12)="@hotmail.com",RIGHT(B2441,9)="@live.com"),"Outlook","Domain")))</f>
        <v/>
      </c>
      <c r="F2441">
        <f>IF(B2441="","",IFERROR(RIGHT(B2441,LEN(B2441)-FIND("@",B2441)),""))</f>
        <v/>
      </c>
      <c r="G2441">
        <f>IF(D2441="KEEP",COUNTIF($D$2:D2441,"KEEP"),"")</f>
        <v/>
      </c>
      <c r="H2441">
        <f>IF(D2441="REMOVE",COUNTIF($D$2:D2441,"REMOVE"),"")</f>
        <v/>
      </c>
      <c r="I2441">
        <f>IF(E2441="Gmail",COUNTIF($E$2:E2441,"Gmail"),"")</f>
        <v/>
      </c>
      <c r="J2441">
        <f>IF(E2441="Outlook",COUNTIF($E$2:E2441,"Outlook"),"")</f>
        <v/>
      </c>
      <c r="K2441">
        <f>IF(E2441="Domain",COUNTIF($E$2:E2441,"Domain"),"")</f>
        <v/>
      </c>
    </row>
    <row r="2442">
      <c r="A2442" s="2" t="n"/>
      <c r="B2442">
        <f>LOWER(TRIM(A2442))</f>
        <v/>
      </c>
      <c r="C2442">
        <f>IF(B2442="","",IFERROR(INDEX('Bad Patterns'!$A$2:$A$120,MATCH(1,INDEX(--ISNUMBER(SEARCH('Bad Patterns'!$A$2:$A$120,B2442)),0),0)),""))</f>
        <v/>
      </c>
      <c r="D2442">
        <f>IF(B2442="","",IF(C2442&lt;&gt;"","REMOVE","KEEP"))</f>
        <v/>
      </c>
      <c r="E2442">
        <f>IF(D2442&lt;&gt;"KEEP","",IF(RIGHT(B2442,10)="@gmail.com","Gmail",IF(OR(RIGHT(B2442,12)="@outlook.com",RIGHT(B2442,12)="@hotmail.com",RIGHT(B2442,9)="@live.com"),"Outlook","Domain")))</f>
        <v/>
      </c>
      <c r="F2442">
        <f>IF(B2442="","",IFERROR(RIGHT(B2442,LEN(B2442)-FIND("@",B2442)),""))</f>
        <v/>
      </c>
      <c r="G2442">
        <f>IF(D2442="KEEP",COUNTIF($D$2:D2442,"KEEP"),"")</f>
        <v/>
      </c>
      <c r="H2442">
        <f>IF(D2442="REMOVE",COUNTIF($D$2:D2442,"REMOVE"),"")</f>
        <v/>
      </c>
      <c r="I2442">
        <f>IF(E2442="Gmail",COUNTIF($E$2:E2442,"Gmail"),"")</f>
        <v/>
      </c>
      <c r="J2442">
        <f>IF(E2442="Outlook",COUNTIF($E$2:E2442,"Outlook"),"")</f>
        <v/>
      </c>
      <c r="K2442">
        <f>IF(E2442="Domain",COUNTIF($E$2:E2442,"Domain"),"")</f>
        <v/>
      </c>
    </row>
    <row r="2443">
      <c r="A2443" s="2" t="n"/>
      <c r="B2443">
        <f>LOWER(TRIM(A2443))</f>
        <v/>
      </c>
      <c r="C2443">
        <f>IF(B2443="","",IFERROR(INDEX('Bad Patterns'!$A$2:$A$120,MATCH(1,INDEX(--ISNUMBER(SEARCH('Bad Patterns'!$A$2:$A$120,B2443)),0),0)),""))</f>
        <v/>
      </c>
      <c r="D2443">
        <f>IF(B2443="","",IF(C2443&lt;&gt;"","REMOVE","KEEP"))</f>
        <v/>
      </c>
      <c r="E2443">
        <f>IF(D2443&lt;&gt;"KEEP","",IF(RIGHT(B2443,10)="@gmail.com","Gmail",IF(OR(RIGHT(B2443,12)="@outlook.com",RIGHT(B2443,12)="@hotmail.com",RIGHT(B2443,9)="@live.com"),"Outlook","Domain")))</f>
        <v/>
      </c>
      <c r="F2443">
        <f>IF(B2443="","",IFERROR(RIGHT(B2443,LEN(B2443)-FIND("@",B2443)),""))</f>
        <v/>
      </c>
      <c r="G2443">
        <f>IF(D2443="KEEP",COUNTIF($D$2:D2443,"KEEP"),"")</f>
        <v/>
      </c>
      <c r="H2443">
        <f>IF(D2443="REMOVE",COUNTIF($D$2:D2443,"REMOVE"),"")</f>
        <v/>
      </c>
      <c r="I2443">
        <f>IF(E2443="Gmail",COUNTIF($E$2:E2443,"Gmail"),"")</f>
        <v/>
      </c>
      <c r="J2443">
        <f>IF(E2443="Outlook",COUNTIF($E$2:E2443,"Outlook"),"")</f>
        <v/>
      </c>
      <c r="K2443">
        <f>IF(E2443="Domain",COUNTIF($E$2:E2443,"Domain"),"")</f>
        <v/>
      </c>
    </row>
    <row r="2444">
      <c r="A2444" s="2" t="n"/>
      <c r="B2444">
        <f>LOWER(TRIM(A2444))</f>
        <v/>
      </c>
      <c r="C2444">
        <f>IF(B2444="","",IFERROR(INDEX('Bad Patterns'!$A$2:$A$120,MATCH(1,INDEX(--ISNUMBER(SEARCH('Bad Patterns'!$A$2:$A$120,B2444)),0),0)),""))</f>
        <v/>
      </c>
      <c r="D2444">
        <f>IF(B2444="","",IF(C2444&lt;&gt;"","REMOVE","KEEP"))</f>
        <v/>
      </c>
      <c r="E2444">
        <f>IF(D2444&lt;&gt;"KEEP","",IF(RIGHT(B2444,10)="@gmail.com","Gmail",IF(OR(RIGHT(B2444,12)="@outlook.com",RIGHT(B2444,12)="@hotmail.com",RIGHT(B2444,9)="@live.com"),"Outlook","Domain")))</f>
        <v/>
      </c>
      <c r="F2444">
        <f>IF(B2444="","",IFERROR(RIGHT(B2444,LEN(B2444)-FIND("@",B2444)),""))</f>
        <v/>
      </c>
      <c r="G2444">
        <f>IF(D2444="KEEP",COUNTIF($D$2:D2444,"KEEP"),"")</f>
        <v/>
      </c>
      <c r="H2444">
        <f>IF(D2444="REMOVE",COUNTIF($D$2:D2444,"REMOVE"),"")</f>
        <v/>
      </c>
      <c r="I2444">
        <f>IF(E2444="Gmail",COUNTIF($E$2:E2444,"Gmail"),"")</f>
        <v/>
      </c>
      <c r="J2444">
        <f>IF(E2444="Outlook",COUNTIF($E$2:E2444,"Outlook"),"")</f>
        <v/>
      </c>
      <c r="K2444">
        <f>IF(E2444="Domain",COUNTIF($E$2:E2444,"Domain"),"")</f>
        <v/>
      </c>
    </row>
    <row r="2445">
      <c r="A2445" s="2" t="n"/>
      <c r="B2445">
        <f>LOWER(TRIM(A2445))</f>
        <v/>
      </c>
      <c r="C2445">
        <f>IF(B2445="","",IFERROR(INDEX('Bad Patterns'!$A$2:$A$120,MATCH(1,INDEX(--ISNUMBER(SEARCH('Bad Patterns'!$A$2:$A$120,B2445)),0),0)),""))</f>
        <v/>
      </c>
      <c r="D2445">
        <f>IF(B2445="","",IF(C2445&lt;&gt;"","REMOVE","KEEP"))</f>
        <v/>
      </c>
      <c r="E2445">
        <f>IF(D2445&lt;&gt;"KEEP","",IF(RIGHT(B2445,10)="@gmail.com","Gmail",IF(OR(RIGHT(B2445,12)="@outlook.com",RIGHT(B2445,12)="@hotmail.com",RIGHT(B2445,9)="@live.com"),"Outlook","Domain")))</f>
        <v/>
      </c>
      <c r="F2445">
        <f>IF(B2445="","",IFERROR(RIGHT(B2445,LEN(B2445)-FIND("@",B2445)),""))</f>
        <v/>
      </c>
      <c r="G2445">
        <f>IF(D2445="KEEP",COUNTIF($D$2:D2445,"KEEP"),"")</f>
        <v/>
      </c>
      <c r="H2445">
        <f>IF(D2445="REMOVE",COUNTIF($D$2:D2445,"REMOVE"),"")</f>
        <v/>
      </c>
      <c r="I2445">
        <f>IF(E2445="Gmail",COUNTIF($E$2:E2445,"Gmail"),"")</f>
        <v/>
      </c>
      <c r="J2445">
        <f>IF(E2445="Outlook",COUNTIF($E$2:E2445,"Outlook"),"")</f>
        <v/>
      </c>
      <c r="K2445">
        <f>IF(E2445="Domain",COUNTIF($E$2:E2445,"Domain"),"")</f>
        <v/>
      </c>
    </row>
    <row r="2446">
      <c r="A2446" s="2" t="n"/>
      <c r="B2446">
        <f>LOWER(TRIM(A2446))</f>
        <v/>
      </c>
      <c r="C2446">
        <f>IF(B2446="","",IFERROR(INDEX('Bad Patterns'!$A$2:$A$120,MATCH(1,INDEX(--ISNUMBER(SEARCH('Bad Patterns'!$A$2:$A$120,B2446)),0),0)),""))</f>
        <v/>
      </c>
      <c r="D2446">
        <f>IF(B2446="","",IF(C2446&lt;&gt;"","REMOVE","KEEP"))</f>
        <v/>
      </c>
      <c r="E2446">
        <f>IF(D2446&lt;&gt;"KEEP","",IF(RIGHT(B2446,10)="@gmail.com","Gmail",IF(OR(RIGHT(B2446,12)="@outlook.com",RIGHT(B2446,12)="@hotmail.com",RIGHT(B2446,9)="@live.com"),"Outlook","Domain")))</f>
        <v/>
      </c>
      <c r="F2446">
        <f>IF(B2446="","",IFERROR(RIGHT(B2446,LEN(B2446)-FIND("@",B2446)),""))</f>
        <v/>
      </c>
      <c r="G2446">
        <f>IF(D2446="KEEP",COUNTIF($D$2:D2446,"KEEP"),"")</f>
        <v/>
      </c>
      <c r="H2446">
        <f>IF(D2446="REMOVE",COUNTIF($D$2:D2446,"REMOVE"),"")</f>
        <v/>
      </c>
      <c r="I2446">
        <f>IF(E2446="Gmail",COUNTIF($E$2:E2446,"Gmail"),"")</f>
        <v/>
      </c>
      <c r="J2446">
        <f>IF(E2446="Outlook",COUNTIF($E$2:E2446,"Outlook"),"")</f>
        <v/>
      </c>
      <c r="K2446">
        <f>IF(E2446="Domain",COUNTIF($E$2:E2446,"Domain"),"")</f>
        <v/>
      </c>
    </row>
    <row r="2447">
      <c r="A2447" s="2" t="n"/>
      <c r="B2447">
        <f>LOWER(TRIM(A2447))</f>
        <v/>
      </c>
      <c r="C2447">
        <f>IF(B2447="","",IFERROR(INDEX('Bad Patterns'!$A$2:$A$120,MATCH(1,INDEX(--ISNUMBER(SEARCH('Bad Patterns'!$A$2:$A$120,B2447)),0),0)),""))</f>
        <v/>
      </c>
      <c r="D2447">
        <f>IF(B2447="","",IF(C2447&lt;&gt;"","REMOVE","KEEP"))</f>
        <v/>
      </c>
      <c r="E2447">
        <f>IF(D2447&lt;&gt;"KEEP","",IF(RIGHT(B2447,10)="@gmail.com","Gmail",IF(OR(RIGHT(B2447,12)="@outlook.com",RIGHT(B2447,12)="@hotmail.com",RIGHT(B2447,9)="@live.com"),"Outlook","Domain")))</f>
        <v/>
      </c>
      <c r="F2447">
        <f>IF(B2447="","",IFERROR(RIGHT(B2447,LEN(B2447)-FIND("@",B2447)),""))</f>
        <v/>
      </c>
      <c r="G2447">
        <f>IF(D2447="KEEP",COUNTIF($D$2:D2447,"KEEP"),"")</f>
        <v/>
      </c>
      <c r="H2447">
        <f>IF(D2447="REMOVE",COUNTIF($D$2:D2447,"REMOVE"),"")</f>
        <v/>
      </c>
      <c r="I2447">
        <f>IF(E2447="Gmail",COUNTIF($E$2:E2447,"Gmail"),"")</f>
        <v/>
      </c>
      <c r="J2447">
        <f>IF(E2447="Outlook",COUNTIF($E$2:E2447,"Outlook"),"")</f>
        <v/>
      </c>
      <c r="K2447">
        <f>IF(E2447="Domain",COUNTIF($E$2:E2447,"Domain"),"")</f>
        <v/>
      </c>
    </row>
    <row r="2448">
      <c r="A2448" s="2" t="n"/>
      <c r="B2448">
        <f>LOWER(TRIM(A2448))</f>
        <v/>
      </c>
      <c r="C2448">
        <f>IF(B2448="","",IFERROR(INDEX('Bad Patterns'!$A$2:$A$120,MATCH(1,INDEX(--ISNUMBER(SEARCH('Bad Patterns'!$A$2:$A$120,B2448)),0),0)),""))</f>
        <v/>
      </c>
      <c r="D2448">
        <f>IF(B2448="","",IF(C2448&lt;&gt;"","REMOVE","KEEP"))</f>
        <v/>
      </c>
      <c r="E2448">
        <f>IF(D2448&lt;&gt;"KEEP","",IF(RIGHT(B2448,10)="@gmail.com","Gmail",IF(OR(RIGHT(B2448,12)="@outlook.com",RIGHT(B2448,12)="@hotmail.com",RIGHT(B2448,9)="@live.com"),"Outlook","Domain")))</f>
        <v/>
      </c>
      <c r="F2448">
        <f>IF(B2448="","",IFERROR(RIGHT(B2448,LEN(B2448)-FIND("@",B2448)),""))</f>
        <v/>
      </c>
      <c r="G2448">
        <f>IF(D2448="KEEP",COUNTIF($D$2:D2448,"KEEP"),"")</f>
        <v/>
      </c>
      <c r="H2448">
        <f>IF(D2448="REMOVE",COUNTIF($D$2:D2448,"REMOVE"),"")</f>
        <v/>
      </c>
      <c r="I2448">
        <f>IF(E2448="Gmail",COUNTIF($E$2:E2448,"Gmail"),"")</f>
        <v/>
      </c>
      <c r="J2448">
        <f>IF(E2448="Outlook",COUNTIF($E$2:E2448,"Outlook"),"")</f>
        <v/>
      </c>
      <c r="K2448">
        <f>IF(E2448="Domain",COUNTIF($E$2:E2448,"Domain"),"")</f>
        <v/>
      </c>
    </row>
    <row r="2449">
      <c r="A2449" s="2" t="n"/>
      <c r="B2449">
        <f>LOWER(TRIM(A2449))</f>
        <v/>
      </c>
      <c r="C2449">
        <f>IF(B2449="","",IFERROR(INDEX('Bad Patterns'!$A$2:$A$120,MATCH(1,INDEX(--ISNUMBER(SEARCH('Bad Patterns'!$A$2:$A$120,B2449)),0),0)),""))</f>
        <v/>
      </c>
      <c r="D2449">
        <f>IF(B2449="","",IF(C2449&lt;&gt;"","REMOVE","KEEP"))</f>
        <v/>
      </c>
      <c r="E2449">
        <f>IF(D2449&lt;&gt;"KEEP","",IF(RIGHT(B2449,10)="@gmail.com","Gmail",IF(OR(RIGHT(B2449,12)="@outlook.com",RIGHT(B2449,12)="@hotmail.com",RIGHT(B2449,9)="@live.com"),"Outlook","Domain")))</f>
        <v/>
      </c>
      <c r="F2449">
        <f>IF(B2449="","",IFERROR(RIGHT(B2449,LEN(B2449)-FIND("@",B2449)),""))</f>
        <v/>
      </c>
      <c r="G2449">
        <f>IF(D2449="KEEP",COUNTIF($D$2:D2449,"KEEP"),"")</f>
        <v/>
      </c>
      <c r="H2449">
        <f>IF(D2449="REMOVE",COUNTIF($D$2:D2449,"REMOVE"),"")</f>
        <v/>
      </c>
      <c r="I2449">
        <f>IF(E2449="Gmail",COUNTIF($E$2:E2449,"Gmail"),"")</f>
        <v/>
      </c>
      <c r="J2449">
        <f>IF(E2449="Outlook",COUNTIF($E$2:E2449,"Outlook"),"")</f>
        <v/>
      </c>
      <c r="K2449">
        <f>IF(E2449="Domain",COUNTIF($E$2:E2449,"Domain"),"")</f>
        <v/>
      </c>
    </row>
    <row r="2450">
      <c r="A2450" s="2" t="n"/>
      <c r="B2450">
        <f>LOWER(TRIM(A2450))</f>
        <v/>
      </c>
      <c r="C2450">
        <f>IF(B2450="","",IFERROR(INDEX('Bad Patterns'!$A$2:$A$120,MATCH(1,INDEX(--ISNUMBER(SEARCH('Bad Patterns'!$A$2:$A$120,B2450)),0),0)),""))</f>
        <v/>
      </c>
      <c r="D2450">
        <f>IF(B2450="","",IF(C2450&lt;&gt;"","REMOVE","KEEP"))</f>
        <v/>
      </c>
      <c r="E2450">
        <f>IF(D2450&lt;&gt;"KEEP","",IF(RIGHT(B2450,10)="@gmail.com","Gmail",IF(OR(RIGHT(B2450,12)="@outlook.com",RIGHT(B2450,12)="@hotmail.com",RIGHT(B2450,9)="@live.com"),"Outlook","Domain")))</f>
        <v/>
      </c>
      <c r="F2450">
        <f>IF(B2450="","",IFERROR(RIGHT(B2450,LEN(B2450)-FIND("@",B2450)),""))</f>
        <v/>
      </c>
      <c r="G2450">
        <f>IF(D2450="KEEP",COUNTIF($D$2:D2450,"KEEP"),"")</f>
        <v/>
      </c>
      <c r="H2450">
        <f>IF(D2450="REMOVE",COUNTIF($D$2:D2450,"REMOVE"),"")</f>
        <v/>
      </c>
      <c r="I2450">
        <f>IF(E2450="Gmail",COUNTIF($E$2:E2450,"Gmail"),"")</f>
        <v/>
      </c>
      <c r="J2450">
        <f>IF(E2450="Outlook",COUNTIF($E$2:E2450,"Outlook"),"")</f>
        <v/>
      </c>
      <c r="K2450">
        <f>IF(E2450="Domain",COUNTIF($E$2:E2450,"Domain"),"")</f>
        <v/>
      </c>
    </row>
    <row r="2451">
      <c r="A2451" s="2" t="n"/>
      <c r="B2451">
        <f>LOWER(TRIM(A2451))</f>
        <v/>
      </c>
      <c r="C2451">
        <f>IF(B2451="","",IFERROR(INDEX('Bad Patterns'!$A$2:$A$120,MATCH(1,INDEX(--ISNUMBER(SEARCH('Bad Patterns'!$A$2:$A$120,B2451)),0),0)),""))</f>
        <v/>
      </c>
      <c r="D2451">
        <f>IF(B2451="","",IF(C2451&lt;&gt;"","REMOVE","KEEP"))</f>
        <v/>
      </c>
      <c r="E2451">
        <f>IF(D2451&lt;&gt;"KEEP","",IF(RIGHT(B2451,10)="@gmail.com","Gmail",IF(OR(RIGHT(B2451,12)="@outlook.com",RIGHT(B2451,12)="@hotmail.com",RIGHT(B2451,9)="@live.com"),"Outlook","Domain")))</f>
        <v/>
      </c>
      <c r="F2451">
        <f>IF(B2451="","",IFERROR(RIGHT(B2451,LEN(B2451)-FIND("@",B2451)),""))</f>
        <v/>
      </c>
      <c r="G2451">
        <f>IF(D2451="KEEP",COUNTIF($D$2:D2451,"KEEP"),"")</f>
        <v/>
      </c>
      <c r="H2451">
        <f>IF(D2451="REMOVE",COUNTIF($D$2:D2451,"REMOVE"),"")</f>
        <v/>
      </c>
      <c r="I2451">
        <f>IF(E2451="Gmail",COUNTIF($E$2:E2451,"Gmail"),"")</f>
        <v/>
      </c>
      <c r="J2451">
        <f>IF(E2451="Outlook",COUNTIF($E$2:E2451,"Outlook"),"")</f>
        <v/>
      </c>
      <c r="K2451">
        <f>IF(E2451="Domain",COUNTIF($E$2:E2451,"Domain"),"")</f>
        <v/>
      </c>
    </row>
    <row r="2452">
      <c r="A2452" s="2" t="n"/>
      <c r="B2452">
        <f>LOWER(TRIM(A2452))</f>
        <v/>
      </c>
      <c r="C2452">
        <f>IF(B2452="","",IFERROR(INDEX('Bad Patterns'!$A$2:$A$120,MATCH(1,INDEX(--ISNUMBER(SEARCH('Bad Patterns'!$A$2:$A$120,B2452)),0),0)),""))</f>
        <v/>
      </c>
      <c r="D2452">
        <f>IF(B2452="","",IF(C2452&lt;&gt;"","REMOVE","KEEP"))</f>
        <v/>
      </c>
      <c r="E2452">
        <f>IF(D2452&lt;&gt;"KEEP","",IF(RIGHT(B2452,10)="@gmail.com","Gmail",IF(OR(RIGHT(B2452,12)="@outlook.com",RIGHT(B2452,12)="@hotmail.com",RIGHT(B2452,9)="@live.com"),"Outlook","Domain")))</f>
        <v/>
      </c>
      <c r="F2452">
        <f>IF(B2452="","",IFERROR(RIGHT(B2452,LEN(B2452)-FIND("@",B2452)),""))</f>
        <v/>
      </c>
      <c r="G2452">
        <f>IF(D2452="KEEP",COUNTIF($D$2:D2452,"KEEP"),"")</f>
        <v/>
      </c>
      <c r="H2452">
        <f>IF(D2452="REMOVE",COUNTIF($D$2:D2452,"REMOVE"),"")</f>
        <v/>
      </c>
      <c r="I2452">
        <f>IF(E2452="Gmail",COUNTIF($E$2:E2452,"Gmail"),"")</f>
        <v/>
      </c>
      <c r="J2452">
        <f>IF(E2452="Outlook",COUNTIF($E$2:E2452,"Outlook"),"")</f>
        <v/>
      </c>
      <c r="K2452">
        <f>IF(E2452="Domain",COUNTIF($E$2:E2452,"Domain"),"")</f>
        <v/>
      </c>
    </row>
    <row r="2453">
      <c r="A2453" s="2" t="n"/>
      <c r="B2453">
        <f>LOWER(TRIM(A2453))</f>
        <v/>
      </c>
      <c r="C2453">
        <f>IF(B2453="","",IFERROR(INDEX('Bad Patterns'!$A$2:$A$120,MATCH(1,INDEX(--ISNUMBER(SEARCH('Bad Patterns'!$A$2:$A$120,B2453)),0),0)),""))</f>
        <v/>
      </c>
      <c r="D2453">
        <f>IF(B2453="","",IF(C2453&lt;&gt;"","REMOVE","KEEP"))</f>
        <v/>
      </c>
      <c r="E2453">
        <f>IF(D2453&lt;&gt;"KEEP","",IF(RIGHT(B2453,10)="@gmail.com","Gmail",IF(OR(RIGHT(B2453,12)="@outlook.com",RIGHT(B2453,12)="@hotmail.com",RIGHT(B2453,9)="@live.com"),"Outlook","Domain")))</f>
        <v/>
      </c>
      <c r="F2453">
        <f>IF(B2453="","",IFERROR(RIGHT(B2453,LEN(B2453)-FIND("@",B2453)),""))</f>
        <v/>
      </c>
      <c r="G2453">
        <f>IF(D2453="KEEP",COUNTIF($D$2:D2453,"KEEP"),"")</f>
        <v/>
      </c>
      <c r="H2453">
        <f>IF(D2453="REMOVE",COUNTIF($D$2:D2453,"REMOVE"),"")</f>
        <v/>
      </c>
      <c r="I2453">
        <f>IF(E2453="Gmail",COUNTIF($E$2:E2453,"Gmail"),"")</f>
        <v/>
      </c>
      <c r="J2453">
        <f>IF(E2453="Outlook",COUNTIF($E$2:E2453,"Outlook"),"")</f>
        <v/>
      </c>
      <c r="K2453">
        <f>IF(E2453="Domain",COUNTIF($E$2:E2453,"Domain"),"")</f>
        <v/>
      </c>
    </row>
    <row r="2454">
      <c r="A2454" s="2" t="n"/>
      <c r="B2454">
        <f>LOWER(TRIM(A2454))</f>
        <v/>
      </c>
      <c r="C2454">
        <f>IF(B2454="","",IFERROR(INDEX('Bad Patterns'!$A$2:$A$120,MATCH(1,INDEX(--ISNUMBER(SEARCH('Bad Patterns'!$A$2:$A$120,B2454)),0),0)),""))</f>
        <v/>
      </c>
      <c r="D2454">
        <f>IF(B2454="","",IF(C2454&lt;&gt;"","REMOVE","KEEP"))</f>
        <v/>
      </c>
      <c r="E2454">
        <f>IF(D2454&lt;&gt;"KEEP","",IF(RIGHT(B2454,10)="@gmail.com","Gmail",IF(OR(RIGHT(B2454,12)="@outlook.com",RIGHT(B2454,12)="@hotmail.com",RIGHT(B2454,9)="@live.com"),"Outlook","Domain")))</f>
        <v/>
      </c>
      <c r="F2454">
        <f>IF(B2454="","",IFERROR(RIGHT(B2454,LEN(B2454)-FIND("@",B2454)),""))</f>
        <v/>
      </c>
      <c r="G2454">
        <f>IF(D2454="KEEP",COUNTIF($D$2:D2454,"KEEP"),"")</f>
        <v/>
      </c>
      <c r="H2454">
        <f>IF(D2454="REMOVE",COUNTIF($D$2:D2454,"REMOVE"),"")</f>
        <v/>
      </c>
      <c r="I2454">
        <f>IF(E2454="Gmail",COUNTIF($E$2:E2454,"Gmail"),"")</f>
        <v/>
      </c>
      <c r="J2454">
        <f>IF(E2454="Outlook",COUNTIF($E$2:E2454,"Outlook"),"")</f>
        <v/>
      </c>
      <c r="K2454">
        <f>IF(E2454="Domain",COUNTIF($E$2:E2454,"Domain"),"")</f>
        <v/>
      </c>
    </row>
    <row r="2455">
      <c r="A2455" s="2" t="n"/>
      <c r="B2455">
        <f>LOWER(TRIM(A2455))</f>
        <v/>
      </c>
      <c r="C2455">
        <f>IF(B2455="","",IFERROR(INDEX('Bad Patterns'!$A$2:$A$120,MATCH(1,INDEX(--ISNUMBER(SEARCH('Bad Patterns'!$A$2:$A$120,B2455)),0),0)),""))</f>
        <v/>
      </c>
      <c r="D2455">
        <f>IF(B2455="","",IF(C2455&lt;&gt;"","REMOVE","KEEP"))</f>
        <v/>
      </c>
      <c r="E2455">
        <f>IF(D2455&lt;&gt;"KEEP","",IF(RIGHT(B2455,10)="@gmail.com","Gmail",IF(OR(RIGHT(B2455,12)="@outlook.com",RIGHT(B2455,12)="@hotmail.com",RIGHT(B2455,9)="@live.com"),"Outlook","Domain")))</f>
        <v/>
      </c>
      <c r="F2455">
        <f>IF(B2455="","",IFERROR(RIGHT(B2455,LEN(B2455)-FIND("@",B2455)),""))</f>
        <v/>
      </c>
      <c r="G2455">
        <f>IF(D2455="KEEP",COUNTIF($D$2:D2455,"KEEP"),"")</f>
        <v/>
      </c>
      <c r="H2455">
        <f>IF(D2455="REMOVE",COUNTIF($D$2:D2455,"REMOVE"),"")</f>
        <v/>
      </c>
      <c r="I2455">
        <f>IF(E2455="Gmail",COUNTIF($E$2:E2455,"Gmail"),"")</f>
        <v/>
      </c>
      <c r="J2455">
        <f>IF(E2455="Outlook",COUNTIF($E$2:E2455,"Outlook"),"")</f>
        <v/>
      </c>
      <c r="K2455">
        <f>IF(E2455="Domain",COUNTIF($E$2:E2455,"Domain"),"")</f>
        <v/>
      </c>
    </row>
    <row r="2456">
      <c r="A2456" s="2" t="n"/>
      <c r="B2456">
        <f>LOWER(TRIM(A2456))</f>
        <v/>
      </c>
      <c r="C2456">
        <f>IF(B2456="","",IFERROR(INDEX('Bad Patterns'!$A$2:$A$120,MATCH(1,INDEX(--ISNUMBER(SEARCH('Bad Patterns'!$A$2:$A$120,B2456)),0),0)),""))</f>
        <v/>
      </c>
      <c r="D2456">
        <f>IF(B2456="","",IF(C2456&lt;&gt;"","REMOVE","KEEP"))</f>
        <v/>
      </c>
      <c r="E2456">
        <f>IF(D2456&lt;&gt;"KEEP","",IF(RIGHT(B2456,10)="@gmail.com","Gmail",IF(OR(RIGHT(B2456,12)="@outlook.com",RIGHT(B2456,12)="@hotmail.com",RIGHT(B2456,9)="@live.com"),"Outlook","Domain")))</f>
        <v/>
      </c>
      <c r="F2456">
        <f>IF(B2456="","",IFERROR(RIGHT(B2456,LEN(B2456)-FIND("@",B2456)),""))</f>
        <v/>
      </c>
      <c r="G2456">
        <f>IF(D2456="KEEP",COUNTIF($D$2:D2456,"KEEP"),"")</f>
        <v/>
      </c>
      <c r="H2456">
        <f>IF(D2456="REMOVE",COUNTIF($D$2:D2456,"REMOVE"),"")</f>
        <v/>
      </c>
      <c r="I2456">
        <f>IF(E2456="Gmail",COUNTIF($E$2:E2456,"Gmail"),"")</f>
        <v/>
      </c>
      <c r="J2456">
        <f>IF(E2456="Outlook",COUNTIF($E$2:E2456,"Outlook"),"")</f>
        <v/>
      </c>
      <c r="K2456">
        <f>IF(E2456="Domain",COUNTIF($E$2:E2456,"Domain"),"")</f>
        <v/>
      </c>
    </row>
    <row r="2457">
      <c r="A2457" s="2" t="n"/>
      <c r="B2457">
        <f>LOWER(TRIM(A2457))</f>
        <v/>
      </c>
      <c r="C2457">
        <f>IF(B2457="","",IFERROR(INDEX('Bad Patterns'!$A$2:$A$120,MATCH(1,INDEX(--ISNUMBER(SEARCH('Bad Patterns'!$A$2:$A$120,B2457)),0),0)),""))</f>
        <v/>
      </c>
      <c r="D2457">
        <f>IF(B2457="","",IF(C2457&lt;&gt;"","REMOVE","KEEP"))</f>
        <v/>
      </c>
      <c r="E2457">
        <f>IF(D2457&lt;&gt;"KEEP","",IF(RIGHT(B2457,10)="@gmail.com","Gmail",IF(OR(RIGHT(B2457,12)="@outlook.com",RIGHT(B2457,12)="@hotmail.com",RIGHT(B2457,9)="@live.com"),"Outlook","Domain")))</f>
        <v/>
      </c>
      <c r="F2457">
        <f>IF(B2457="","",IFERROR(RIGHT(B2457,LEN(B2457)-FIND("@",B2457)),""))</f>
        <v/>
      </c>
      <c r="G2457">
        <f>IF(D2457="KEEP",COUNTIF($D$2:D2457,"KEEP"),"")</f>
        <v/>
      </c>
      <c r="H2457">
        <f>IF(D2457="REMOVE",COUNTIF($D$2:D2457,"REMOVE"),"")</f>
        <v/>
      </c>
      <c r="I2457">
        <f>IF(E2457="Gmail",COUNTIF($E$2:E2457,"Gmail"),"")</f>
        <v/>
      </c>
      <c r="J2457">
        <f>IF(E2457="Outlook",COUNTIF($E$2:E2457,"Outlook"),"")</f>
        <v/>
      </c>
      <c r="K2457">
        <f>IF(E2457="Domain",COUNTIF($E$2:E2457,"Domain"),"")</f>
        <v/>
      </c>
    </row>
    <row r="2458">
      <c r="A2458" s="2" t="n"/>
      <c r="B2458">
        <f>LOWER(TRIM(A2458))</f>
        <v/>
      </c>
      <c r="C2458">
        <f>IF(B2458="","",IFERROR(INDEX('Bad Patterns'!$A$2:$A$120,MATCH(1,INDEX(--ISNUMBER(SEARCH('Bad Patterns'!$A$2:$A$120,B2458)),0),0)),""))</f>
        <v/>
      </c>
      <c r="D2458">
        <f>IF(B2458="","",IF(C2458&lt;&gt;"","REMOVE","KEEP"))</f>
        <v/>
      </c>
      <c r="E2458">
        <f>IF(D2458&lt;&gt;"KEEP","",IF(RIGHT(B2458,10)="@gmail.com","Gmail",IF(OR(RIGHT(B2458,12)="@outlook.com",RIGHT(B2458,12)="@hotmail.com",RIGHT(B2458,9)="@live.com"),"Outlook","Domain")))</f>
        <v/>
      </c>
      <c r="F2458">
        <f>IF(B2458="","",IFERROR(RIGHT(B2458,LEN(B2458)-FIND("@",B2458)),""))</f>
        <v/>
      </c>
      <c r="G2458">
        <f>IF(D2458="KEEP",COUNTIF($D$2:D2458,"KEEP"),"")</f>
        <v/>
      </c>
      <c r="H2458">
        <f>IF(D2458="REMOVE",COUNTIF($D$2:D2458,"REMOVE"),"")</f>
        <v/>
      </c>
      <c r="I2458">
        <f>IF(E2458="Gmail",COUNTIF($E$2:E2458,"Gmail"),"")</f>
        <v/>
      </c>
      <c r="J2458">
        <f>IF(E2458="Outlook",COUNTIF($E$2:E2458,"Outlook"),"")</f>
        <v/>
      </c>
      <c r="K2458">
        <f>IF(E2458="Domain",COUNTIF($E$2:E2458,"Domain"),"")</f>
        <v/>
      </c>
    </row>
    <row r="2459">
      <c r="A2459" s="2" t="n"/>
      <c r="B2459">
        <f>LOWER(TRIM(A2459))</f>
        <v/>
      </c>
      <c r="C2459">
        <f>IF(B2459="","",IFERROR(INDEX('Bad Patterns'!$A$2:$A$120,MATCH(1,INDEX(--ISNUMBER(SEARCH('Bad Patterns'!$A$2:$A$120,B2459)),0),0)),""))</f>
        <v/>
      </c>
      <c r="D2459">
        <f>IF(B2459="","",IF(C2459&lt;&gt;"","REMOVE","KEEP"))</f>
        <v/>
      </c>
      <c r="E2459">
        <f>IF(D2459&lt;&gt;"KEEP","",IF(RIGHT(B2459,10)="@gmail.com","Gmail",IF(OR(RIGHT(B2459,12)="@outlook.com",RIGHT(B2459,12)="@hotmail.com",RIGHT(B2459,9)="@live.com"),"Outlook","Domain")))</f>
        <v/>
      </c>
      <c r="F2459">
        <f>IF(B2459="","",IFERROR(RIGHT(B2459,LEN(B2459)-FIND("@",B2459)),""))</f>
        <v/>
      </c>
      <c r="G2459">
        <f>IF(D2459="KEEP",COUNTIF($D$2:D2459,"KEEP"),"")</f>
        <v/>
      </c>
      <c r="H2459">
        <f>IF(D2459="REMOVE",COUNTIF($D$2:D2459,"REMOVE"),"")</f>
        <v/>
      </c>
      <c r="I2459">
        <f>IF(E2459="Gmail",COUNTIF($E$2:E2459,"Gmail"),"")</f>
        <v/>
      </c>
      <c r="J2459">
        <f>IF(E2459="Outlook",COUNTIF($E$2:E2459,"Outlook"),"")</f>
        <v/>
      </c>
      <c r="K2459">
        <f>IF(E2459="Domain",COUNTIF($E$2:E2459,"Domain"),"")</f>
        <v/>
      </c>
    </row>
    <row r="2460">
      <c r="A2460" s="2" t="n"/>
      <c r="B2460">
        <f>LOWER(TRIM(A2460))</f>
        <v/>
      </c>
      <c r="C2460">
        <f>IF(B2460="","",IFERROR(INDEX('Bad Patterns'!$A$2:$A$120,MATCH(1,INDEX(--ISNUMBER(SEARCH('Bad Patterns'!$A$2:$A$120,B2460)),0),0)),""))</f>
        <v/>
      </c>
      <c r="D2460">
        <f>IF(B2460="","",IF(C2460&lt;&gt;"","REMOVE","KEEP"))</f>
        <v/>
      </c>
      <c r="E2460">
        <f>IF(D2460&lt;&gt;"KEEP","",IF(RIGHT(B2460,10)="@gmail.com","Gmail",IF(OR(RIGHT(B2460,12)="@outlook.com",RIGHT(B2460,12)="@hotmail.com",RIGHT(B2460,9)="@live.com"),"Outlook","Domain")))</f>
        <v/>
      </c>
      <c r="F2460">
        <f>IF(B2460="","",IFERROR(RIGHT(B2460,LEN(B2460)-FIND("@",B2460)),""))</f>
        <v/>
      </c>
      <c r="G2460">
        <f>IF(D2460="KEEP",COUNTIF($D$2:D2460,"KEEP"),"")</f>
        <v/>
      </c>
      <c r="H2460">
        <f>IF(D2460="REMOVE",COUNTIF($D$2:D2460,"REMOVE"),"")</f>
        <v/>
      </c>
      <c r="I2460">
        <f>IF(E2460="Gmail",COUNTIF($E$2:E2460,"Gmail"),"")</f>
        <v/>
      </c>
      <c r="J2460">
        <f>IF(E2460="Outlook",COUNTIF($E$2:E2460,"Outlook"),"")</f>
        <v/>
      </c>
      <c r="K2460">
        <f>IF(E2460="Domain",COUNTIF($E$2:E2460,"Domain"),"")</f>
        <v/>
      </c>
    </row>
    <row r="2461">
      <c r="A2461" s="2" t="n"/>
      <c r="B2461">
        <f>LOWER(TRIM(A2461))</f>
        <v/>
      </c>
      <c r="C2461">
        <f>IF(B2461="","",IFERROR(INDEX('Bad Patterns'!$A$2:$A$120,MATCH(1,INDEX(--ISNUMBER(SEARCH('Bad Patterns'!$A$2:$A$120,B2461)),0),0)),""))</f>
        <v/>
      </c>
      <c r="D2461">
        <f>IF(B2461="","",IF(C2461&lt;&gt;"","REMOVE","KEEP"))</f>
        <v/>
      </c>
      <c r="E2461">
        <f>IF(D2461&lt;&gt;"KEEP","",IF(RIGHT(B2461,10)="@gmail.com","Gmail",IF(OR(RIGHT(B2461,12)="@outlook.com",RIGHT(B2461,12)="@hotmail.com",RIGHT(B2461,9)="@live.com"),"Outlook","Domain")))</f>
        <v/>
      </c>
      <c r="F2461">
        <f>IF(B2461="","",IFERROR(RIGHT(B2461,LEN(B2461)-FIND("@",B2461)),""))</f>
        <v/>
      </c>
      <c r="G2461">
        <f>IF(D2461="KEEP",COUNTIF($D$2:D2461,"KEEP"),"")</f>
        <v/>
      </c>
      <c r="H2461">
        <f>IF(D2461="REMOVE",COUNTIF($D$2:D2461,"REMOVE"),"")</f>
        <v/>
      </c>
      <c r="I2461">
        <f>IF(E2461="Gmail",COUNTIF($E$2:E2461,"Gmail"),"")</f>
        <v/>
      </c>
      <c r="J2461">
        <f>IF(E2461="Outlook",COUNTIF($E$2:E2461,"Outlook"),"")</f>
        <v/>
      </c>
      <c r="K2461">
        <f>IF(E2461="Domain",COUNTIF($E$2:E2461,"Domain"),"")</f>
        <v/>
      </c>
    </row>
    <row r="2462">
      <c r="A2462" s="2" t="n"/>
      <c r="B2462">
        <f>LOWER(TRIM(A2462))</f>
        <v/>
      </c>
      <c r="C2462">
        <f>IF(B2462="","",IFERROR(INDEX('Bad Patterns'!$A$2:$A$120,MATCH(1,INDEX(--ISNUMBER(SEARCH('Bad Patterns'!$A$2:$A$120,B2462)),0),0)),""))</f>
        <v/>
      </c>
      <c r="D2462">
        <f>IF(B2462="","",IF(C2462&lt;&gt;"","REMOVE","KEEP"))</f>
        <v/>
      </c>
      <c r="E2462">
        <f>IF(D2462&lt;&gt;"KEEP","",IF(RIGHT(B2462,10)="@gmail.com","Gmail",IF(OR(RIGHT(B2462,12)="@outlook.com",RIGHT(B2462,12)="@hotmail.com",RIGHT(B2462,9)="@live.com"),"Outlook","Domain")))</f>
        <v/>
      </c>
      <c r="F2462">
        <f>IF(B2462="","",IFERROR(RIGHT(B2462,LEN(B2462)-FIND("@",B2462)),""))</f>
        <v/>
      </c>
      <c r="G2462">
        <f>IF(D2462="KEEP",COUNTIF($D$2:D2462,"KEEP"),"")</f>
        <v/>
      </c>
      <c r="H2462">
        <f>IF(D2462="REMOVE",COUNTIF($D$2:D2462,"REMOVE"),"")</f>
        <v/>
      </c>
      <c r="I2462">
        <f>IF(E2462="Gmail",COUNTIF($E$2:E2462,"Gmail"),"")</f>
        <v/>
      </c>
      <c r="J2462">
        <f>IF(E2462="Outlook",COUNTIF($E$2:E2462,"Outlook"),"")</f>
        <v/>
      </c>
      <c r="K2462">
        <f>IF(E2462="Domain",COUNTIF($E$2:E2462,"Domain"),"")</f>
        <v/>
      </c>
    </row>
    <row r="2463">
      <c r="A2463" s="2" t="n"/>
      <c r="B2463">
        <f>LOWER(TRIM(A2463))</f>
        <v/>
      </c>
      <c r="C2463">
        <f>IF(B2463="","",IFERROR(INDEX('Bad Patterns'!$A$2:$A$120,MATCH(1,INDEX(--ISNUMBER(SEARCH('Bad Patterns'!$A$2:$A$120,B2463)),0),0)),""))</f>
        <v/>
      </c>
      <c r="D2463">
        <f>IF(B2463="","",IF(C2463&lt;&gt;"","REMOVE","KEEP"))</f>
        <v/>
      </c>
      <c r="E2463">
        <f>IF(D2463&lt;&gt;"KEEP","",IF(RIGHT(B2463,10)="@gmail.com","Gmail",IF(OR(RIGHT(B2463,12)="@outlook.com",RIGHT(B2463,12)="@hotmail.com",RIGHT(B2463,9)="@live.com"),"Outlook","Domain")))</f>
        <v/>
      </c>
      <c r="F2463">
        <f>IF(B2463="","",IFERROR(RIGHT(B2463,LEN(B2463)-FIND("@",B2463)),""))</f>
        <v/>
      </c>
      <c r="G2463">
        <f>IF(D2463="KEEP",COUNTIF($D$2:D2463,"KEEP"),"")</f>
        <v/>
      </c>
      <c r="H2463">
        <f>IF(D2463="REMOVE",COUNTIF($D$2:D2463,"REMOVE"),"")</f>
        <v/>
      </c>
      <c r="I2463">
        <f>IF(E2463="Gmail",COUNTIF($E$2:E2463,"Gmail"),"")</f>
        <v/>
      </c>
      <c r="J2463">
        <f>IF(E2463="Outlook",COUNTIF($E$2:E2463,"Outlook"),"")</f>
        <v/>
      </c>
      <c r="K2463">
        <f>IF(E2463="Domain",COUNTIF($E$2:E2463,"Domain"),"")</f>
        <v/>
      </c>
    </row>
    <row r="2464">
      <c r="A2464" s="2" t="n"/>
      <c r="B2464">
        <f>LOWER(TRIM(A2464))</f>
        <v/>
      </c>
      <c r="C2464">
        <f>IF(B2464="","",IFERROR(INDEX('Bad Patterns'!$A$2:$A$120,MATCH(1,INDEX(--ISNUMBER(SEARCH('Bad Patterns'!$A$2:$A$120,B2464)),0),0)),""))</f>
        <v/>
      </c>
      <c r="D2464">
        <f>IF(B2464="","",IF(C2464&lt;&gt;"","REMOVE","KEEP"))</f>
        <v/>
      </c>
      <c r="E2464">
        <f>IF(D2464&lt;&gt;"KEEP","",IF(RIGHT(B2464,10)="@gmail.com","Gmail",IF(OR(RIGHT(B2464,12)="@outlook.com",RIGHT(B2464,12)="@hotmail.com",RIGHT(B2464,9)="@live.com"),"Outlook","Domain")))</f>
        <v/>
      </c>
      <c r="F2464">
        <f>IF(B2464="","",IFERROR(RIGHT(B2464,LEN(B2464)-FIND("@",B2464)),""))</f>
        <v/>
      </c>
      <c r="G2464">
        <f>IF(D2464="KEEP",COUNTIF($D$2:D2464,"KEEP"),"")</f>
        <v/>
      </c>
      <c r="H2464">
        <f>IF(D2464="REMOVE",COUNTIF($D$2:D2464,"REMOVE"),"")</f>
        <v/>
      </c>
      <c r="I2464">
        <f>IF(E2464="Gmail",COUNTIF($E$2:E2464,"Gmail"),"")</f>
        <v/>
      </c>
      <c r="J2464">
        <f>IF(E2464="Outlook",COUNTIF($E$2:E2464,"Outlook"),"")</f>
        <v/>
      </c>
      <c r="K2464">
        <f>IF(E2464="Domain",COUNTIF($E$2:E2464,"Domain"),"")</f>
        <v/>
      </c>
    </row>
    <row r="2465">
      <c r="A2465" s="2" t="n"/>
      <c r="B2465">
        <f>LOWER(TRIM(A2465))</f>
        <v/>
      </c>
      <c r="C2465">
        <f>IF(B2465="","",IFERROR(INDEX('Bad Patterns'!$A$2:$A$120,MATCH(1,INDEX(--ISNUMBER(SEARCH('Bad Patterns'!$A$2:$A$120,B2465)),0),0)),""))</f>
        <v/>
      </c>
      <c r="D2465">
        <f>IF(B2465="","",IF(C2465&lt;&gt;"","REMOVE","KEEP"))</f>
        <v/>
      </c>
      <c r="E2465">
        <f>IF(D2465&lt;&gt;"KEEP","",IF(RIGHT(B2465,10)="@gmail.com","Gmail",IF(OR(RIGHT(B2465,12)="@outlook.com",RIGHT(B2465,12)="@hotmail.com",RIGHT(B2465,9)="@live.com"),"Outlook","Domain")))</f>
        <v/>
      </c>
      <c r="F2465">
        <f>IF(B2465="","",IFERROR(RIGHT(B2465,LEN(B2465)-FIND("@",B2465)),""))</f>
        <v/>
      </c>
      <c r="G2465">
        <f>IF(D2465="KEEP",COUNTIF($D$2:D2465,"KEEP"),"")</f>
        <v/>
      </c>
      <c r="H2465">
        <f>IF(D2465="REMOVE",COUNTIF($D$2:D2465,"REMOVE"),"")</f>
        <v/>
      </c>
      <c r="I2465">
        <f>IF(E2465="Gmail",COUNTIF($E$2:E2465,"Gmail"),"")</f>
        <v/>
      </c>
      <c r="J2465">
        <f>IF(E2465="Outlook",COUNTIF($E$2:E2465,"Outlook"),"")</f>
        <v/>
      </c>
      <c r="K2465">
        <f>IF(E2465="Domain",COUNTIF($E$2:E2465,"Domain"),"")</f>
        <v/>
      </c>
    </row>
    <row r="2466">
      <c r="A2466" s="2" t="n"/>
      <c r="B2466">
        <f>LOWER(TRIM(A2466))</f>
        <v/>
      </c>
      <c r="C2466">
        <f>IF(B2466="","",IFERROR(INDEX('Bad Patterns'!$A$2:$A$120,MATCH(1,INDEX(--ISNUMBER(SEARCH('Bad Patterns'!$A$2:$A$120,B2466)),0),0)),""))</f>
        <v/>
      </c>
      <c r="D2466">
        <f>IF(B2466="","",IF(C2466&lt;&gt;"","REMOVE","KEEP"))</f>
        <v/>
      </c>
      <c r="E2466">
        <f>IF(D2466&lt;&gt;"KEEP","",IF(RIGHT(B2466,10)="@gmail.com","Gmail",IF(OR(RIGHT(B2466,12)="@outlook.com",RIGHT(B2466,12)="@hotmail.com",RIGHT(B2466,9)="@live.com"),"Outlook","Domain")))</f>
        <v/>
      </c>
      <c r="F2466">
        <f>IF(B2466="","",IFERROR(RIGHT(B2466,LEN(B2466)-FIND("@",B2466)),""))</f>
        <v/>
      </c>
      <c r="G2466">
        <f>IF(D2466="KEEP",COUNTIF($D$2:D2466,"KEEP"),"")</f>
        <v/>
      </c>
      <c r="H2466">
        <f>IF(D2466="REMOVE",COUNTIF($D$2:D2466,"REMOVE"),"")</f>
        <v/>
      </c>
      <c r="I2466">
        <f>IF(E2466="Gmail",COUNTIF($E$2:E2466,"Gmail"),"")</f>
        <v/>
      </c>
      <c r="J2466">
        <f>IF(E2466="Outlook",COUNTIF($E$2:E2466,"Outlook"),"")</f>
        <v/>
      </c>
      <c r="K2466">
        <f>IF(E2466="Domain",COUNTIF($E$2:E2466,"Domain"),"")</f>
        <v/>
      </c>
    </row>
    <row r="2467">
      <c r="A2467" s="2" t="n"/>
      <c r="B2467">
        <f>LOWER(TRIM(A2467))</f>
        <v/>
      </c>
      <c r="C2467">
        <f>IF(B2467="","",IFERROR(INDEX('Bad Patterns'!$A$2:$A$120,MATCH(1,INDEX(--ISNUMBER(SEARCH('Bad Patterns'!$A$2:$A$120,B2467)),0),0)),""))</f>
        <v/>
      </c>
      <c r="D2467">
        <f>IF(B2467="","",IF(C2467&lt;&gt;"","REMOVE","KEEP"))</f>
        <v/>
      </c>
      <c r="E2467">
        <f>IF(D2467&lt;&gt;"KEEP","",IF(RIGHT(B2467,10)="@gmail.com","Gmail",IF(OR(RIGHT(B2467,12)="@outlook.com",RIGHT(B2467,12)="@hotmail.com",RIGHT(B2467,9)="@live.com"),"Outlook","Domain")))</f>
        <v/>
      </c>
      <c r="F2467">
        <f>IF(B2467="","",IFERROR(RIGHT(B2467,LEN(B2467)-FIND("@",B2467)),""))</f>
        <v/>
      </c>
      <c r="G2467">
        <f>IF(D2467="KEEP",COUNTIF($D$2:D2467,"KEEP"),"")</f>
        <v/>
      </c>
      <c r="H2467">
        <f>IF(D2467="REMOVE",COUNTIF($D$2:D2467,"REMOVE"),"")</f>
        <v/>
      </c>
      <c r="I2467">
        <f>IF(E2467="Gmail",COUNTIF($E$2:E2467,"Gmail"),"")</f>
        <v/>
      </c>
      <c r="J2467">
        <f>IF(E2467="Outlook",COUNTIF($E$2:E2467,"Outlook"),"")</f>
        <v/>
      </c>
      <c r="K2467">
        <f>IF(E2467="Domain",COUNTIF($E$2:E2467,"Domain"),"")</f>
        <v/>
      </c>
    </row>
    <row r="2468">
      <c r="A2468" s="2" t="n"/>
      <c r="B2468">
        <f>LOWER(TRIM(A2468))</f>
        <v/>
      </c>
      <c r="C2468">
        <f>IF(B2468="","",IFERROR(INDEX('Bad Patterns'!$A$2:$A$120,MATCH(1,INDEX(--ISNUMBER(SEARCH('Bad Patterns'!$A$2:$A$120,B2468)),0),0)),""))</f>
        <v/>
      </c>
      <c r="D2468">
        <f>IF(B2468="","",IF(C2468&lt;&gt;"","REMOVE","KEEP"))</f>
        <v/>
      </c>
      <c r="E2468">
        <f>IF(D2468&lt;&gt;"KEEP","",IF(RIGHT(B2468,10)="@gmail.com","Gmail",IF(OR(RIGHT(B2468,12)="@outlook.com",RIGHT(B2468,12)="@hotmail.com",RIGHT(B2468,9)="@live.com"),"Outlook","Domain")))</f>
        <v/>
      </c>
      <c r="F2468">
        <f>IF(B2468="","",IFERROR(RIGHT(B2468,LEN(B2468)-FIND("@",B2468)),""))</f>
        <v/>
      </c>
      <c r="G2468">
        <f>IF(D2468="KEEP",COUNTIF($D$2:D2468,"KEEP"),"")</f>
        <v/>
      </c>
      <c r="H2468">
        <f>IF(D2468="REMOVE",COUNTIF($D$2:D2468,"REMOVE"),"")</f>
        <v/>
      </c>
      <c r="I2468">
        <f>IF(E2468="Gmail",COUNTIF($E$2:E2468,"Gmail"),"")</f>
        <v/>
      </c>
      <c r="J2468">
        <f>IF(E2468="Outlook",COUNTIF($E$2:E2468,"Outlook"),"")</f>
        <v/>
      </c>
      <c r="K2468">
        <f>IF(E2468="Domain",COUNTIF($E$2:E2468,"Domain"),"")</f>
        <v/>
      </c>
    </row>
    <row r="2469">
      <c r="A2469" s="2" t="n"/>
      <c r="B2469">
        <f>LOWER(TRIM(A2469))</f>
        <v/>
      </c>
      <c r="C2469">
        <f>IF(B2469="","",IFERROR(INDEX('Bad Patterns'!$A$2:$A$120,MATCH(1,INDEX(--ISNUMBER(SEARCH('Bad Patterns'!$A$2:$A$120,B2469)),0),0)),""))</f>
        <v/>
      </c>
      <c r="D2469">
        <f>IF(B2469="","",IF(C2469&lt;&gt;"","REMOVE","KEEP"))</f>
        <v/>
      </c>
      <c r="E2469">
        <f>IF(D2469&lt;&gt;"KEEP","",IF(RIGHT(B2469,10)="@gmail.com","Gmail",IF(OR(RIGHT(B2469,12)="@outlook.com",RIGHT(B2469,12)="@hotmail.com",RIGHT(B2469,9)="@live.com"),"Outlook","Domain")))</f>
        <v/>
      </c>
      <c r="F2469">
        <f>IF(B2469="","",IFERROR(RIGHT(B2469,LEN(B2469)-FIND("@",B2469)),""))</f>
        <v/>
      </c>
      <c r="G2469">
        <f>IF(D2469="KEEP",COUNTIF($D$2:D2469,"KEEP"),"")</f>
        <v/>
      </c>
      <c r="H2469">
        <f>IF(D2469="REMOVE",COUNTIF($D$2:D2469,"REMOVE"),"")</f>
        <v/>
      </c>
      <c r="I2469">
        <f>IF(E2469="Gmail",COUNTIF($E$2:E2469,"Gmail"),"")</f>
        <v/>
      </c>
      <c r="J2469">
        <f>IF(E2469="Outlook",COUNTIF($E$2:E2469,"Outlook"),"")</f>
        <v/>
      </c>
      <c r="K2469">
        <f>IF(E2469="Domain",COUNTIF($E$2:E2469,"Domain"),"")</f>
        <v/>
      </c>
    </row>
    <row r="2470">
      <c r="A2470" s="2" t="n"/>
      <c r="B2470">
        <f>LOWER(TRIM(A2470))</f>
        <v/>
      </c>
      <c r="C2470">
        <f>IF(B2470="","",IFERROR(INDEX('Bad Patterns'!$A$2:$A$120,MATCH(1,INDEX(--ISNUMBER(SEARCH('Bad Patterns'!$A$2:$A$120,B2470)),0),0)),""))</f>
        <v/>
      </c>
      <c r="D2470">
        <f>IF(B2470="","",IF(C2470&lt;&gt;"","REMOVE","KEEP"))</f>
        <v/>
      </c>
      <c r="E2470">
        <f>IF(D2470&lt;&gt;"KEEP","",IF(RIGHT(B2470,10)="@gmail.com","Gmail",IF(OR(RIGHT(B2470,12)="@outlook.com",RIGHT(B2470,12)="@hotmail.com",RIGHT(B2470,9)="@live.com"),"Outlook","Domain")))</f>
        <v/>
      </c>
      <c r="F2470">
        <f>IF(B2470="","",IFERROR(RIGHT(B2470,LEN(B2470)-FIND("@",B2470)),""))</f>
        <v/>
      </c>
      <c r="G2470">
        <f>IF(D2470="KEEP",COUNTIF($D$2:D2470,"KEEP"),"")</f>
        <v/>
      </c>
      <c r="H2470">
        <f>IF(D2470="REMOVE",COUNTIF($D$2:D2470,"REMOVE"),"")</f>
        <v/>
      </c>
      <c r="I2470">
        <f>IF(E2470="Gmail",COUNTIF($E$2:E2470,"Gmail"),"")</f>
        <v/>
      </c>
      <c r="J2470">
        <f>IF(E2470="Outlook",COUNTIF($E$2:E2470,"Outlook"),"")</f>
        <v/>
      </c>
      <c r="K2470">
        <f>IF(E2470="Domain",COUNTIF($E$2:E2470,"Domain"),"")</f>
        <v/>
      </c>
    </row>
    <row r="2471">
      <c r="A2471" s="2" t="n"/>
      <c r="B2471">
        <f>LOWER(TRIM(A2471))</f>
        <v/>
      </c>
      <c r="C2471">
        <f>IF(B2471="","",IFERROR(INDEX('Bad Patterns'!$A$2:$A$120,MATCH(1,INDEX(--ISNUMBER(SEARCH('Bad Patterns'!$A$2:$A$120,B2471)),0),0)),""))</f>
        <v/>
      </c>
      <c r="D2471">
        <f>IF(B2471="","",IF(C2471&lt;&gt;"","REMOVE","KEEP"))</f>
        <v/>
      </c>
      <c r="E2471">
        <f>IF(D2471&lt;&gt;"KEEP","",IF(RIGHT(B2471,10)="@gmail.com","Gmail",IF(OR(RIGHT(B2471,12)="@outlook.com",RIGHT(B2471,12)="@hotmail.com",RIGHT(B2471,9)="@live.com"),"Outlook","Domain")))</f>
        <v/>
      </c>
      <c r="F2471">
        <f>IF(B2471="","",IFERROR(RIGHT(B2471,LEN(B2471)-FIND("@",B2471)),""))</f>
        <v/>
      </c>
      <c r="G2471">
        <f>IF(D2471="KEEP",COUNTIF($D$2:D2471,"KEEP"),"")</f>
        <v/>
      </c>
      <c r="H2471">
        <f>IF(D2471="REMOVE",COUNTIF($D$2:D2471,"REMOVE"),"")</f>
        <v/>
      </c>
      <c r="I2471">
        <f>IF(E2471="Gmail",COUNTIF($E$2:E2471,"Gmail"),"")</f>
        <v/>
      </c>
      <c r="J2471">
        <f>IF(E2471="Outlook",COUNTIF($E$2:E2471,"Outlook"),"")</f>
        <v/>
      </c>
      <c r="K2471">
        <f>IF(E2471="Domain",COUNTIF($E$2:E2471,"Domain"),"")</f>
        <v/>
      </c>
    </row>
    <row r="2472">
      <c r="A2472" s="2" t="n"/>
      <c r="B2472">
        <f>LOWER(TRIM(A2472))</f>
        <v/>
      </c>
      <c r="C2472">
        <f>IF(B2472="","",IFERROR(INDEX('Bad Patterns'!$A$2:$A$120,MATCH(1,INDEX(--ISNUMBER(SEARCH('Bad Patterns'!$A$2:$A$120,B2472)),0),0)),""))</f>
        <v/>
      </c>
      <c r="D2472">
        <f>IF(B2472="","",IF(C2472&lt;&gt;"","REMOVE","KEEP"))</f>
        <v/>
      </c>
      <c r="E2472">
        <f>IF(D2472&lt;&gt;"KEEP","",IF(RIGHT(B2472,10)="@gmail.com","Gmail",IF(OR(RIGHT(B2472,12)="@outlook.com",RIGHT(B2472,12)="@hotmail.com",RIGHT(B2472,9)="@live.com"),"Outlook","Domain")))</f>
        <v/>
      </c>
      <c r="F2472">
        <f>IF(B2472="","",IFERROR(RIGHT(B2472,LEN(B2472)-FIND("@",B2472)),""))</f>
        <v/>
      </c>
      <c r="G2472">
        <f>IF(D2472="KEEP",COUNTIF($D$2:D2472,"KEEP"),"")</f>
        <v/>
      </c>
      <c r="H2472">
        <f>IF(D2472="REMOVE",COUNTIF($D$2:D2472,"REMOVE"),"")</f>
        <v/>
      </c>
      <c r="I2472">
        <f>IF(E2472="Gmail",COUNTIF($E$2:E2472,"Gmail"),"")</f>
        <v/>
      </c>
      <c r="J2472">
        <f>IF(E2472="Outlook",COUNTIF($E$2:E2472,"Outlook"),"")</f>
        <v/>
      </c>
      <c r="K2472">
        <f>IF(E2472="Domain",COUNTIF($E$2:E2472,"Domain"),"")</f>
        <v/>
      </c>
    </row>
    <row r="2473">
      <c r="A2473" s="2" t="n"/>
      <c r="B2473">
        <f>LOWER(TRIM(A2473))</f>
        <v/>
      </c>
      <c r="C2473">
        <f>IF(B2473="","",IFERROR(INDEX('Bad Patterns'!$A$2:$A$120,MATCH(1,INDEX(--ISNUMBER(SEARCH('Bad Patterns'!$A$2:$A$120,B2473)),0),0)),""))</f>
        <v/>
      </c>
      <c r="D2473">
        <f>IF(B2473="","",IF(C2473&lt;&gt;"","REMOVE","KEEP"))</f>
        <v/>
      </c>
      <c r="E2473">
        <f>IF(D2473&lt;&gt;"KEEP","",IF(RIGHT(B2473,10)="@gmail.com","Gmail",IF(OR(RIGHT(B2473,12)="@outlook.com",RIGHT(B2473,12)="@hotmail.com",RIGHT(B2473,9)="@live.com"),"Outlook","Domain")))</f>
        <v/>
      </c>
      <c r="F2473">
        <f>IF(B2473="","",IFERROR(RIGHT(B2473,LEN(B2473)-FIND("@",B2473)),""))</f>
        <v/>
      </c>
      <c r="G2473">
        <f>IF(D2473="KEEP",COUNTIF($D$2:D2473,"KEEP"),"")</f>
        <v/>
      </c>
      <c r="H2473">
        <f>IF(D2473="REMOVE",COUNTIF($D$2:D2473,"REMOVE"),"")</f>
        <v/>
      </c>
      <c r="I2473">
        <f>IF(E2473="Gmail",COUNTIF($E$2:E2473,"Gmail"),"")</f>
        <v/>
      </c>
      <c r="J2473">
        <f>IF(E2473="Outlook",COUNTIF($E$2:E2473,"Outlook"),"")</f>
        <v/>
      </c>
      <c r="K2473">
        <f>IF(E2473="Domain",COUNTIF($E$2:E2473,"Domain"),"")</f>
        <v/>
      </c>
    </row>
    <row r="2474">
      <c r="A2474" s="2" t="n"/>
      <c r="B2474">
        <f>LOWER(TRIM(A2474))</f>
        <v/>
      </c>
      <c r="C2474">
        <f>IF(B2474="","",IFERROR(INDEX('Bad Patterns'!$A$2:$A$120,MATCH(1,INDEX(--ISNUMBER(SEARCH('Bad Patterns'!$A$2:$A$120,B2474)),0),0)),""))</f>
        <v/>
      </c>
      <c r="D2474">
        <f>IF(B2474="","",IF(C2474&lt;&gt;"","REMOVE","KEEP"))</f>
        <v/>
      </c>
      <c r="E2474">
        <f>IF(D2474&lt;&gt;"KEEP","",IF(RIGHT(B2474,10)="@gmail.com","Gmail",IF(OR(RIGHT(B2474,12)="@outlook.com",RIGHT(B2474,12)="@hotmail.com",RIGHT(B2474,9)="@live.com"),"Outlook","Domain")))</f>
        <v/>
      </c>
      <c r="F2474">
        <f>IF(B2474="","",IFERROR(RIGHT(B2474,LEN(B2474)-FIND("@",B2474)),""))</f>
        <v/>
      </c>
      <c r="G2474">
        <f>IF(D2474="KEEP",COUNTIF($D$2:D2474,"KEEP"),"")</f>
        <v/>
      </c>
      <c r="H2474">
        <f>IF(D2474="REMOVE",COUNTIF($D$2:D2474,"REMOVE"),"")</f>
        <v/>
      </c>
      <c r="I2474">
        <f>IF(E2474="Gmail",COUNTIF($E$2:E2474,"Gmail"),"")</f>
        <v/>
      </c>
      <c r="J2474">
        <f>IF(E2474="Outlook",COUNTIF($E$2:E2474,"Outlook"),"")</f>
        <v/>
      </c>
      <c r="K2474">
        <f>IF(E2474="Domain",COUNTIF($E$2:E2474,"Domain"),"")</f>
        <v/>
      </c>
    </row>
    <row r="2475">
      <c r="A2475" s="2" t="n"/>
      <c r="B2475">
        <f>LOWER(TRIM(A2475))</f>
        <v/>
      </c>
      <c r="C2475">
        <f>IF(B2475="","",IFERROR(INDEX('Bad Patterns'!$A$2:$A$120,MATCH(1,INDEX(--ISNUMBER(SEARCH('Bad Patterns'!$A$2:$A$120,B2475)),0),0)),""))</f>
        <v/>
      </c>
      <c r="D2475">
        <f>IF(B2475="","",IF(C2475&lt;&gt;"","REMOVE","KEEP"))</f>
        <v/>
      </c>
      <c r="E2475">
        <f>IF(D2475&lt;&gt;"KEEP","",IF(RIGHT(B2475,10)="@gmail.com","Gmail",IF(OR(RIGHT(B2475,12)="@outlook.com",RIGHT(B2475,12)="@hotmail.com",RIGHT(B2475,9)="@live.com"),"Outlook","Domain")))</f>
        <v/>
      </c>
      <c r="F2475">
        <f>IF(B2475="","",IFERROR(RIGHT(B2475,LEN(B2475)-FIND("@",B2475)),""))</f>
        <v/>
      </c>
      <c r="G2475">
        <f>IF(D2475="KEEP",COUNTIF($D$2:D2475,"KEEP"),"")</f>
        <v/>
      </c>
      <c r="H2475">
        <f>IF(D2475="REMOVE",COUNTIF($D$2:D2475,"REMOVE"),"")</f>
        <v/>
      </c>
      <c r="I2475">
        <f>IF(E2475="Gmail",COUNTIF($E$2:E2475,"Gmail"),"")</f>
        <v/>
      </c>
      <c r="J2475">
        <f>IF(E2475="Outlook",COUNTIF($E$2:E2475,"Outlook"),"")</f>
        <v/>
      </c>
      <c r="K2475">
        <f>IF(E2475="Domain",COUNTIF($E$2:E2475,"Domain"),"")</f>
        <v/>
      </c>
    </row>
    <row r="2476">
      <c r="A2476" s="2" t="n"/>
      <c r="B2476">
        <f>LOWER(TRIM(A2476))</f>
        <v/>
      </c>
      <c r="C2476">
        <f>IF(B2476="","",IFERROR(INDEX('Bad Patterns'!$A$2:$A$120,MATCH(1,INDEX(--ISNUMBER(SEARCH('Bad Patterns'!$A$2:$A$120,B2476)),0),0)),""))</f>
        <v/>
      </c>
      <c r="D2476">
        <f>IF(B2476="","",IF(C2476&lt;&gt;"","REMOVE","KEEP"))</f>
        <v/>
      </c>
      <c r="E2476">
        <f>IF(D2476&lt;&gt;"KEEP","",IF(RIGHT(B2476,10)="@gmail.com","Gmail",IF(OR(RIGHT(B2476,12)="@outlook.com",RIGHT(B2476,12)="@hotmail.com",RIGHT(B2476,9)="@live.com"),"Outlook","Domain")))</f>
        <v/>
      </c>
      <c r="F2476">
        <f>IF(B2476="","",IFERROR(RIGHT(B2476,LEN(B2476)-FIND("@",B2476)),""))</f>
        <v/>
      </c>
      <c r="G2476">
        <f>IF(D2476="KEEP",COUNTIF($D$2:D2476,"KEEP"),"")</f>
        <v/>
      </c>
      <c r="H2476">
        <f>IF(D2476="REMOVE",COUNTIF($D$2:D2476,"REMOVE"),"")</f>
        <v/>
      </c>
      <c r="I2476">
        <f>IF(E2476="Gmail",COUNTIF($E$2:E2476,"Gmail"),"")</f>
        <v/>
      </c>
      <c r="J2476">
        <f>IF(E2476="Outlook",COUNTIF($E$2:E2476,"Outlook"),"")</f>
        <v/>
      </c>
      <c r="K2476">
        <f>IF(E2476="Domain",COUNTIF($E$2:E2476,"Domain"),"")</f>
        <v/>
      </c>
    </row>
    <row r="2477">
      <c r="A2477" s="2" t="n"/>
      <c r="B2477">
        <f>LOWER(TRIM(A2477))</f>
        <v/>
      </c>
      <c r="C2477">
        <f>IF(B2477="","",IFERROR(INDEX('Bad Patterns'!$A$2:$A$120,MATCH(1,INDEX(--ISNUMBER(SEARCH('Bad Patterns'!$A$2:$A$120,B2477)),0),0)),""))</f>
        <v/>
      </c>
      <c r="D2477">
        <f>IF(B2477="","",IF(C2477&lt;&gt;"","REMOVE","KEEP"))</f>
        <v/>
      </c>
      <c r="E2477">
        <f>IF(D2477&lt;&gt;"KEEP","",IF(RIGHT(B2477,10)="@gmail.com","Gmail",IF(OR(RIGHT(B2477,12)="@outlook.com",RIGHT(B2477,12)="@hotmail.com",RIGHT(B2477,9)="@live.com"),"Outlook","Domain")))</f>
        <v/>
      </c>
      <c r="F2477">
        <f>IF(B2477="","",IFERROR(RIGHT(B2477,LEN(B2477)-FIND("@",B2477)),""))</f>
        <v/>
      </c>
      <c r="G2477">
        <f>IF(D2477="KEEP",COUNTIF($D$2:D2477,"KEEP"),"")</f>
        <v/>
      </c>
      <c r="H2477">
        <f>IF(D2477="REMOVE",COUNTIF($D$2:D2477,"REMOVE"),"")</f>
        <v/>
      </c>
      <c r="I2477">
        <f>IF(E2477="Gmail",COUNTIF($E$2:E2477,"Gmail"),"")</f>
        <v/>
      </c>
      <c r="J2477">
        <f>IF(E2477="Outlook",COUNTIF($E$2:E2477,"Outlook"),"")</f>
        <v/>
      </c>
      <c r="K2477">
        <f>IF(E2477="Domain",COUNTIF($E$2:E2477,"Domain"),"")</f>
        <v/>
      </c>
    </row>
    <row r="2478">
      <c r="A2478" s="2" t="n"/>
      <c r="B2478">
        <f>LOWER(TRIM(A2478))</f>
        <v/>
      </c>
      <c r="C2478">
        <f>IF(B2478="","",IFERROR(INDEX('Bad Patterns'!$A$2:$A$120,MATCH(1,INDEX(--ISNUMBER(SEARCH('Bad Patterns'!$A$2:$A$120,B2478)),0),0)),""))</f>
        <v/>
      </c>
      <c r="D2478">
        <f>IF(B2478="","",IF(C2478&lt;&gt;"","REMOVE","KEEP"))</f>
        <v/>
      </c>
      <c r="E2478">
        <f>IF(D2478&lt;&gt;"KEEP","",IF(RIGHT(B2478,10)="@gmail.com","Gmail",IF(OR(RIGHT(B2478,12)="@outlook.com",RIGHT(B2478,12)="@hotmail.com",RIGHT(B2478,9)="@live.com"),"Outlook","Domain")))</f>
        <v/>
      </c>
      <c r="F2478">
        <f>IF(B2478="","",IFERROR(RIGHT(B2478,LEN(B2478)-FIND("@",B2478)),""))</f>
        <v/>
      </c>
      <c r="G2478">
        <f>IF(D2478="KEEP",COUNTIF($D$2:D2478,"KEEP"),"")</f>
        <v/>
      </c>
      <c r="H2478">
        <f>IF(D2478="REMOVE",COUNTIF($D$2:D2478,"REMOVE"),"")</f>
        <v/>
      </c>
      <c r="I2478">
        <f>IF(E2478="Gmail",COUNTIF($E$2:E2478,"Gmail"),"")</f>
        <v/>
      </c>
      <c r="J2478">
        <f>IF(E2478="Outlook",COUNTIF($E$2:E2478,"Outlook"),"")</f>
        <v/>
      </c>
      <c r="K2478">
        <f>IF(E2478="Domain",COUNTIF($E$2:E2478,"Domain"),"")</f>
        <v/>
      </c>
    </row>
    <row r="2479">
      <c r="A2479" s="2" t="n"/>
      <c r="B2479">
        <f>LOWER(TRIM(A2479))</f>
        <v/>
      </c>
      <c r="C2479">
        <f>IF(B2479="","",IFERROR(INDEX('Bad Patterns'!$A$2:$A$120,MATCH(1,INDEX(--ISNUMBER(SEARCH('Bad Patterns'!$A$2:$A$120,B2479)),0),0)),""))</f>
        <v/>
      </c>
      <c r="D2479">
        <f>IF(B2479="","",IF(C2479&lt;&gt;"","REMOVE","KEEP"))</f>
        <v/>
      </c>
      <c r="E2479">
        <f>IF(D2479&lt;&gt;"KEEP","",IF(RIGHT(B2479,10)="@gmail.com","Gmail",IF(OR(RIGHT(B2479,12)="@outlook.com",RIGHT(B2479,12)="@hotmail.com",RIGHT(B2479,9)="@live.com"),"Outlook","Domain")))</f>
        <v/>
      </c>
      <c r="F2479">
        <f>IF(B2479="","",IFERROR(RIGHT(B2479,LEN(B2479)-FIND("@",B2479)),""))</f>
        <v/>
      </c>
      <c r="G2479">
        <f>IF(D2479="KEEP",COUNTIF($D$2:D2479,"KEEP"),"")</f>
        <v/>
      </c>
      <c r="H2479">
        <f>IF(D2479="REMOVE",COUNTIF($D$2:D2479,"REMOVE"),"")</f>
        <v/>
      </c>
      <c r="I2479">
        <f>IF(E2479="Gmail",COUNTIF($E$2:E2479,"Gmail"),"")</f>
        <v/>
      </c>
      <c r="J2479">
        <f>IF(E2479="Outlook",COUNTIF($E$2:E2479,"Outlook"),"")</f>
        <v/>
      </c>
      <c r="K2479">
        <f>IF(E2479="Domain",COUNTIF($E$2:E2479,"Domain"),"")</f>
        <v/>
      </c>
    </row>
    <row r="2480">
      <c r="A2480" s="2" t="n"/>
      <c r="B2480">
        <f>LOWER(TRIM(A2480))</f>
        <v/>
      </c>
      <c r="C2480">
        <f>IF(B2480="","",IFERROR(INDEX('Bad Patterns'!$A$2:$A$120,MATCH(1,INDEX(--ISNUMBER(SEARCH('Bad Patterns'!$A$2:$A$120,B2480)),0),0)),""))</f>
        <v/>
      </c>
      <c r="D2480">
        <f>IF(B2480="","",IF(C2480&lt;&gt;"","REMOVE","KEEP"))</f>
        <v/>
      </c>
      <c r="E2480">
        <f>IF(D2480&lt;&gt;"KEEP","",IF(RIGHT(B2480,10)="@gmail.com","Gmail",IF(OR(RIGHT(B2480,12)="@outlook.com",RIGHT(B2480,12)="@hotmail.com",RIGHT(B2480,9)="@live.com"),"Outlook","Domain")))</f>
        <v/>
      </c>
      <c r="F2480">
        <f>IF(B2480="","",IFERROR(RIGHT(B2480,LEN(B2480)-FIND("@",B2480)),""))</f>
        <v/>
      </c>
      <c r="G2480">
        <f>IF(D2480="KEEP",COUNTIF($D$2:D2480,"KEEP"),"")</f>
        <v/>
      </c>
      <c r="H2480">
        <f>IF(D2480="REMOVE",COUNTIF($D$2:D2480,"REMOVE"),"")</f>
        <v/>
      </c>
      <c r="I2480">
        <f>IF(E2480="Gmail",COUNTIF($E$2:E2480,"Gmail"),"")</f>
        <v/>
      </c>
      <c r="J2480">
        <f>IF(E2480="Outlook",COUNTIF($E$2:E2480,"Outlook"),"")</f>
        <v/>
      </c>
      <c r="K2480">
        <f>IF(E2480="Domain",COUNTIF($E$2:E2480,"Domain"),"")</f>
        <v/>
      </c>
    </row>
    <row r="2481">
      <c r="A2481" s="2" t="n"/>
      <c r="B2481">
        <f>LOWER(TRIM(A2481))</f>
        <v/>
      </c>
      <c r="C2481">
        <f>IF(B2481="","",IFERROR(INDEX('Bad Patterns'!$A$2:$A$120,MATCH(1,INDEX(--ISNUMBER(SEARCH('Bad Patterns'!$A$2:$A$120,B2481)),0),0)),""))</f>
        <v/>
      </c>
      <c r="D2481">
        <f>IF(B2481="","",IF(C2481&lt;&gt;"","REMOVE","KEEP"))</f>
        <v/>
      </c>
      <c r="E2481">
        <f>IF(D2481&lt;&gt;"KEEP","",IF(RIGHT(B2481,10)="@gmail.com","Gmail",IF(OR(RIGHT(B2481,12)="@outlook.com",RIGHT(B2481,12)="@hotmail.com",RIGHT(B2481,9)="@live.com"),"Outlook","Domain")))</f>
        <v/>
      </c>
      <c r="F2481">
        <f>IF(B2481="","",IFERROR(RIGHT(B2481,LEN(B2481)-FIND("@",B2481)),""))</f>
        <v/>
      </c>
      <c r="G2481">
        <f>IF(D2481="KEEP",COUNTIF($D$2:D2481,"KEEP"),"")</f>
        <v/>
      </c>
      <c r="H2481">
        <f>IF(D2481="REMOVE",COUNTIF($D$2:D2481,"REMOVE"),"")</f>
        <v/>
      </c>
      <c r="I2481">
        <f>IF(E2481="Gmail",COUNTIF($E$2:E2481,"Gmail"),"")</f>
        <v/>
      </c>
      <c r="J2481">
        <f>IF(E2481="Outlook",COUNTIF($E$2:E2481,"Outlook"),"")</f>
        <v/>
      </c>
      <c r="K2481">
        <f>IF(E2481="Domain",COUNTIF($E$2:E2481,"Domain"),"")</f>
        <v/>
      </c>
    </row>
    <row r="2482">
      <c r="A2482" s="2" t="n"/>
      <c r="B2482">
        <f>LOWER(TRIM(A2482))</f>
        <v/>
      </c>
      <c r="C2482">
        <f>IF(B2482="","",IFERROR(INDEX('Bad Patterns'!$A$2:$A$120,MATCH(1,INDEX(--ISNUMBER(SEARCH('Bad Patterns'!$A$2:$A$120,B2482)),0),0)),""))</f>
        <v/>
      </c>
      <c r="D2482">
        <f>IF(B2482="","",IF(C2482&lt;&gt;"","REMOVE","KEEP"))</f>
        <v/>
      </c>
      <c r="E2482">
        <f>IF(D2482&lt;&gt;"KEEP","",IF(RIGHT(B2482,10)="@gmail.com","Gmail",IF(OR(RIGHT(B2482,12)="@outlook.com",RIGHT(B2482,12)="@hotmail.com",RIGHT(B2482,9)="@live.com"),"Outlook","Domain")))</f>
        <v/>
      </c>
      <c r="F2482">
        <f>IF(B2482="","",IFERROR(RIGHT(B2482,LEN(B2482)-FIND("@",B2482)),""))</f>
        <v/>
      </c>
      <c r="G2482">
        <f>IF(D2482="KEEP",COUNTIF($D$2:D2482,"KEEP"),"")</f>
        <v/>
      </c>
      <c r="H2482">
        <f>IF(D2482="REMOVE",COUNTIF($D$2:D2482,"REMOVE"),"")</f>
        <v/>
      </c>
      <c r="I2482">
        <f>IF(E2482="Gmail",COUNTIF($E$2:E2482,"Gmail"),"")</f>
        <v/>
      </c>
      <c r="J2482">
        <f>IF(E2482="Outlook",COUNTIF($E$2:E2482,"Outlook"),"")</f>
        <v/>
      </c>
      <c r="K2482">
        <f>IF(E2482="Domain",COUNTIF($E$2:E2482,"Domain"),"")</f>
        <v/>
      </c>
    </row>
    <row r="2483">
      <c r="A2483" s="2" t="n"/>
      <c r="B2483">
        <f>LOWER(TRIM(A2483))</f>
        <v/>
      </c>
      <c r="C2483">
        <f>IF(B2483="","",IFERROR(INDEX('Bad Patterns'!$A$2:$A$120,MATCH(1,INDEX(--ISNUMBER(SEARCH('Bad Patterns'!$A$2:$A$120,B2483)),0),0)),""))</f>
        <v/>
      </c>
      <c r="D2483">
        <f>IF(B2483="","",IF(C2483&lt;&gt;"","REMOVE","KEEP"))</f>
        <v/>
      </c>
      <c r="E2483">
        <f>IF(D2483&lt;&gt;"KEEP","",IF(RIGHT(B2483,10)="@gmail.com","Gmail",IF(OR(RIGHT(B2483,12)="@outlook.com",RIGHT(B2483,12)="@hotmail.com",RIGHT(B2483,9)="@live.com"),"Outlook","Domain")))</f>
        <v/>
      </c>
      <c r="F2483">
        <f>IF(B2483="","",IFERROR(RIGHT(B2483,LEN(B2483)-FIND("@",B2483)),""))</f>
        <v/>
      </c>
      <c r="G2483">
        <f>IF(D2483="KEEP",COUNTIF($D$2:D2483,"KEEP"),"")</f>
        <v/>
      </c>
      <c r="H2483">
        <f>IF(D2483="REMOVE",COUNTIF($D$2:D2483,"REMOVE"),"")</f>
        <v/>
      </c>
      <c r="I2483">
        <f>IF(E2483="Gmail",COUNTIF($E$2:E2483,"Gmail"),"")</f>
        <v/>
      </c>
      <c r="J2483">
        <f>IF(E2483="Outlook",COUNTIF($E$2:E2483,"Outlook"),"")</f>
        <v/>
      </c>
      <c r="K2483">
        <f>IF(E2483="Domain",COUNTIF($E$2:E2483,"Domain"),"")</f>
        <v/>
      </c>
    </row>
    <row r="2484">
      <c r="A2484" s="2" t="n"/>
      <c r="B2484">
        <f>LOWER(TRIM(A2484))</f>
        <v/>
      </c>
      <c r="C2484">
        <f>IF(B2484="","",IFERROR(INDEX('Bad Patterns'!$A$2:$A$120,MATCH(1,INDEX(--ISNUMBER(SEARCH('Bad Patterns'!$A$2:$A$120,B2484)),0),0)),""))</f>
        <v/>
      </c>
      <c r="D2484">
        <f>IF(B2484="","",IF(C2484&lt;&gt;"","REMOVE","KEEP"))</f>
        <v/>
      </c>
      <c r="E2484">
        <f>IF(D2484&lt;&gt;"KEEP","",IF(RIGHT(B2484,10)="@gmail.com","Gmail",IF(OR(RIGHT(B2484,12)="@outlook.com",RIGHT(B2484,12)="@hotmail.com",RIGHT(B2484,9)="@live.com"),"Outlook","Domain")))</f>
        <v/>
      </c>
      <c r="F2484">
        <f>IF(B2484="","",IFERROR(RIGHT(B2484,LEN(B2484)-FIND("@",B2484)),""))</f>
        <v/>
      </c>
      <c r="G2484">
        <f>IF(D2484="KEEP",COUNTIF($D$2:D2484,"KEEP"),"")</f>
        <v/>
      </c>
      <c r="H2484">
        <f>IF(D2484="REMOVE",COUNTIF($D$2:D2484,"REMOVE"),"")</f>
        <v/>
      </c>
      <c r="I2484">
        <f>IF(E2484="Gmail",COUNTIF($E$2:E2484,"Gmail"),"")</f>
        <v/>
      </c>
      <c r="J2484">
        <f>IF(E2484="Outlook",COUNTIF($E$2:E2484,"Outlook"),"")</f>
        <v/>
      </c>
      <c r="K2484">
        <f>IF(E2484="Domain",COUNTIF($E$2:E2484,"Domain"),"")</f>
        <v/>
      </c>
    </row>
    <row r="2485">
      <c r="A2485" s="2" t="n"/>
      <c r="B2485">
        <f>LOWER(TRIM(A2485))</f>
        <v/>
      </c>
      <c r="C2485">
        <f>IF(B2485="","",IFERROR(INDEX('Bad Patterns'!$A$2:$A$120,MATCH(1,INDEX(--ISNUMBER(SEARCH('Bad Patterns'!$A$2:$A$120,B2485)),0),0)),""))</f>
        <v/>
      </c>
      <c r="D2485">
        <f>IF(B2485="","",IF(C2485&lt;&gt;"","REMOVE","KEEP"))</f>
        <v/>
      </c>
      <c r="E2485">
        <f>IF(D2485&lt;&gt;"KEEP","",IF(RIGHT(B2485,10)="@gmail.com","Gmail",IF(OR(RIGHT(B2485,12)="@outlook.com",RIGHT(B2485,12)="@hotmail.com",RIGHT(B2485,9)="@live.com"),"Outlook","Domain")))</f>
        <v/>
      </c>
      <c r="F2485">
        <f>IF(B2485="","",IFERROR(RIGHT(B2485,LEN(B2485)-FIND("@",B2485)),""))</f>
        <v/>
      </c>
      <c r="G2485">
        <f>IF(D2485="KEEP",COUNTIF($D$2:D2485,"KEEP"),"")</f>
        <v/>
      </c>
      <c r="H2485">
        <f>IF(D2485="REMOVE",COUNTIF($D$2:D2485,"REMOVE"),"")</f>
        <v/>
      </c>
      <c r="I2485">
        <f>IF(E2485="Gmail",COUNTIF($E$2:E2485,"Gmail"),"")</f>
        <v/>
      </c>
      <c r="J2485">
        <f>IF(E2485="Outlook",COUNTIF($E$2:E2485,"Outlook"),"")</f>
        <v/>
      </c>
      <c r="K2485">
        <f>IF(E2485="Domain",COUNTIF($E$2:E2485,"Domain"),"")</f>
        <v/>
      </c>
    </row>
    <row r="2486">
      <c r="A2486" s="2" t="n"/>
      <c r="B2486">
        <f>LOWER(TRIM(A2486))</f>
        <v/>
      </c>
      <c r="C2486">
        <f>IF(B2486="","",IFERROR(INDEX('Bad Patterns'!$A$2:$A$120,MATCH(1,INDEX(--ISNUMBER(SEARCH('Bad Patterns'!$A$2:$A$120,B2486)),0),0)),""))</f>
        <v/>
      </c>
      <c r="D2486">
        <f>IF(B2486="","",IF(C2486&lt;&gt;"","REMOVE","KEEP"))</f>
        <v/>
      </c>
      <c r="E2486">
        <f>IF(D2486&lt;&gt;"KEEP","",IF(RIGHT(B2486,10)="@gmail.com","Gmail",IF(OR(RIGHT(B2486,12)="@outlook.com",RIGHT(B2486,12)="@hotmail.com",RIGHT(B2486,9)="@live.com"),"Outlook","Domain")))</f>
        <v/>
      </c>
      <c r="F2486">
        <f>IF(B2486="","",IFERROR(RIGHT(B2486,LEN(B2486)-FIND("@",B2486)),""))</f>
        <v/>
      </c>
      <c r="G2486">
        <f>IF(D2486="KEEP",COUNTIF($D$2:D2486,"KEEP"),"")</f>
        <v/>
      </c>
      <c r="H2486">
        <f>IF(D2486="REMOVE",COUNTIF($D$2:D2486,"REMOVE"),"")</f>
        <v/>
      </c>
      <c r="I2486">
        <f>IF(E2486="Gmail",COUNTIF($E$2:E2486,"Gmail"),"")</f>
        <v/>
      </c>
      <c r="J2486">
        <f>IF(E2486="Outlook",COUNTIF($E$2:E2486,"Outlook"),"")</f>
        <v/>
      </c>
      <c r="K2486">
        <f>IF(E2486="Domain",COUNTIF($E$2:E2486,"Domain"),"")</f>
        <v/>
      </c>
    </row>
    <row r="2487">
      <c r="A2487" s="2" t="n"/>
      <c r="B2487">
        <f>LOWER(TRIM(A2487))</f>
        <v/>
      </c>
      <c r="C2487">
        <f>IF(B2487="","",IFERROR(INDEX('Bad Patterns'!$A$2:$A$120,MATCH(1,INDEX(--ISNUMBER(SEARCH('Bad Patterns'!$A$2:$A$120,B2487)),0),0)),""))</f>
        <v/>
      </c>
      <c r="D2487">
        <f>IF(B2487="","",IF(C2487&lt;&gt;"","REMOVE","KEEP"))</f>
        <v/>
      </c>
      <c r="E2487">
        <f>IF(D2487&lt;&gt;"KEEP","",IF(RIGHT(B2487,10)="@gmail.com","Gmail",IF(OR(RIGHT(B2487,12)="@outlook.com",RIGHT(B2487,12)="@hotmail.com",RIGHT(B2487,9)="@live.com"),"Outlook","Domain")))</f>
        <v/>
      </c>
      <c r="F2487">
        <f>IF(B2487="","",IFERROR(RIGHT(B2487,LEN(B2487)-FIND("@",B2487)),""))</f>
        <v/>
      </c>
      <c r="G2487">
        <f>IF(D2487="KEEP",COUNTIF($D$2:D2487,"KEEP"),"")</f>
        <v/>
      </c>
      <c r="H2487">
        <f>IF(D2487="REMOVE",COUNTIF($D$2:D2487,"REMOVE"),"")</f>
        <v/>
      </c>
      <c r="I2487">
        <f>IF(E2487="Gmail",COUNTIF($E$2:E2487,"Gmail"),"")</f>
        <v/>
      </c>
      <c r="J2487">
        <f>IF(E2487="Outlook",COUNTIF($E$2:E2487,"Outlook"),"")</f>
        <v/>
      </c>
      <c r="K2487">
        <f>IF(E2487="Domain",COUNTIF($E$2:E2487,"Domain"),"")</f>
        <v/>
      </c>
    </row>
    <row r="2488">
      <c r="A2488" s="2" t="n"/>
      <c r="B2488">
        <f>LOWER(TRIM(A2488))</f>
        <v/>
      </c>
      <c r="C2488">
        <f>IF(B2488="","",IFERROR(INDEX('Bad Patterns'!$A$2:$A$120,MATCH(1,INDEX(--ISNUMBER(SEARCH('Bad Patterns'!$A$2:$A$120,B2488)),0),0)),""))</f>
        <v/>
      </c>
      <c r="D2488">
        <f>IF(B2488="","",IF(C2488&lt;&gt;"","REMOVE","KEEP"))</f>
        <v/>
      </c>
      <c r="E2488">
        <f>IF(D2488&lt;&gt;"KEEP","",IF(RIGHT(B2488,10)="@gmail.com","Gmail",IF(OR(RIGHT(B2488,12)="@outlook.com",RIGHT(B2488,12)="@hotmail.com",RIGHT(B2488,9)="@live.com"),"Outlook","Domain")))</f>
        <v/>
      </c>
      <c r="F2488">
        <f>IF(B2488="","",IFERROR(RIGHT(B2488,LEN(B2488)-FIND("@",B2488)),""))</f>
        <v/>
      </c>
      <c r="G2488">
        <f>IF(D2488="KEEP",COUNTIF($D$2:D2488,"KEEP"),"")</f>
        <v/>
      </c>
      <c r="H2488">
        <f>IF(D2488="REMOVE",COUNTIF($D$2:D2488,"REMOVE"),"")</f>
        <v/>
      </c>
      <c r="I2488">
        <f>IF(E2488="Gmail",COUNTIF($E$2:E2488,"Gmail"),"")</f>
        <v/>
      </c>
      <c r="J2488">
        <f>IF(E2488="Outlook",COUNTIF($E$2:E2488,"Outlook"),"")</f>
        <v/>
      </c>
      <c r="K2488">
        <f>IF(E2488="Domain",COUNTIF($E$2:E2488,"Domain"),"")</f>
        <v/>
      </c>
    </row>
    <row r="2489">
      <c r="A2489" s="2" t="n"/>
      <c r="B2489">
        <f>LOWER(TRIM(A2489))</f>
        <v/>
      </c>
      <c r="C2489">
        <f>IF(B2489="","",IFERROR(INDEX('Bad Patterns'!$A$2:$A$120,MATCH(1,INDEX(--ISNUMBER(SEARCH('Bad Patterns'!$A$2:$A$120,B2489)),0),0)),""))</f>
        <v/>
      </c>
      <c r="D2489">
        <f>IF(B2489="","",IF(C2489&lt;&gt;"","REMOVE","KEEP"))</f>
        <v/>
      </c>
      <c r="E2489">
        <f>IF(D2489&lt;&gt;"KEEP","",IF(RIGHT(B2489,10)="@gmail.com","Gmail",IF(OR(RIGHT(B2489,12)="@outlook.com",RIGHT(B2489,12)="@hotmail.com",RIGHT(B2489,9)="@live.com"),"Outlook","Domain")))</f>
        <v/>
      </c>
      <c r="F2489">
        <f>IF(B2489="","",IFERROR(RIGHT(B2489,LEN(B2489)-FIND("@",B2489)),""))</f>
        <v/>
      </c>
      <c r="G2489">
        <f>IF(D2489="KEEP",COUNTIF($D$2:D2489,"KEEP"),"")</f>
        <v/>
      </c>
      <c r="H2489">
        <f>IF(D2489="REMOVE",COUNTIF($D$2:D2489,"REMOVE"),"")</f>
        <v/>
      </c>
      <c r="I2489">
        <f>IF(E2489="Gmail",COUNTIF($E$2:E2489,"Gmail"),"")</f>
        <v/>
      </c>
      <c r="J2489">
        <f>IF(E2489="Outlook",COUNTIF($E$2:E2489,"Outlook"),"")</f>
        <v/>
      </c>
      <c r="K2489">
        <f>IF(E2489="Domain",COUNTIF($E$2:E2489,"Domain"),"")</f>
        <v/>
      </c>
    </row>
    <row r="2490">
      <c r="A2490" s="2" t="n"/>
      <c r="B2490">
        <f>LOWER(TRIM(A2490))</f>
        <v/>
      </c>
      <c r="C2490">
        <f>IF(B2490="","",IFERROR(INDEX('Bad Patterns'!$A$2:$A$120,MATCH(1,INDEX(--ISNUMBER(SEARCH('Bad Patterns'!$A$2:$A$120,B2490)),0),0)),""))</f>
        <v/>
      </c>
      <c r="D2490">
        <f>IF(B2490="","",IF(C2490&lt;&gt;"","REMOVE","KEEP"))</f>
        <v/>
      </c>
      <c r="E2490">
        <f>IF(D2490&lt;&gt;"KEEP","",IF(RIGHT(B2490,10)="@gmail.com","Gmail",IF(OR(RIGHT(B2490,12)="@outlook.com",RIGHT(B2490,12)="@hotmail.com",RIGHT(B2490,9)="@live.com"),"Outlook","Domain")))</f>
        <v/>
      </c>
      <c r="F2490">
        <f>IF(B2490="","",IFERROR(RIGHT(B2490,LEN(B2490)-FIND("@",B2490)),""))</f>
        <v/>
      </c>
      <c r="G2490">
        <f>IF(D2490="KEEP",COUNTIF($D$2:D2490,"KEEP"),"")</f>
        <v/>
      </c>
      <c r="H2490">
        <f>IF(D2490="REMOVE",COUNTIF($D$2:D2490,"REMOVE"),"")</f>
        <v/>
      </c>
      <c r="I2490">
        <f>IF(E2490="Gmail",COUNTIF($E$2:E2490,"Gmail"),"")</f>
        <v/>
      </c>
      <c r="J2490">
        <f>IF(E2490="Outlook",COUNTIF($E$2:E2490,"Outlook"),"")</f>
        <v/>
      </c>
      <c r="K2490">
        <f>IF(E2490="Domain",COUNTIF($E$2:E2490,"Domain"),"")</f>
        <v/>
      </c>
    </row>
    <row r="2491">
      <c r="A2491" s="2" t="n"/>
      <c r="B2491">
        <f>LOWER(TRIM(A2491))</f>
        <v/>
      </c>
      <c r="C2491">
        <f>IF(B2491="","",IFERROR(INDEX('Bad Patterns'!$A$2:$A$120,MATCH(1,INDEX(--ISNUMBER(SEARCH('Bad Patterns'!$A$2:$A$120,B2491)),0),0)),""))</f>
        <v/>
      </c>
      <c r="D2491">
        <f>IF(B2491="","",IF(C2491&lt;&gt;"","REMOVE","KEEP"))</f>
        <v/>
      </c>
      <c r="E2491">
        <f>IF(D2491&lt;&gt;"KEEP","",IF(RIGHT(B2491,10)="@gmail.com","Gmail",IF(OR(RIGHT(B2491,12)="@outlook.com",RIGHT(B2491,12)="@hotmail.com",RIGHT(B2491,9)="@live.com"),"Outlook","Domain")))</f>
        <v/>
      </c>
      <c r="F2491">
        <f>IF(B2491="","",IFERROR(RIGHT(B2491,LEN(B2491)-FIND("@",B2491)),""))</f>
        <v/>
      </c>
      <c r="G2491">
        <f>IF(D2491="KEEP",COUNTIF($D$2:D2491,"KEEP"),"")</f>
        <v/>
      </c>
      <c r="H2491">
        <f>IF(D2491="REMOVE",COUNTIF($D$2:D2491,"REMOVE"),"")</f>
        <v/>
      </c>
      <c r="I2491">
        <f>IF(E2491="Gmail",COUNTIF($E$2:E2491,"Gmail"),"")</f>
        <v/>
      </c>
      <c r="J2491">
        <f>IF(E2491="Outlook",COUNTIF($E$2:E2491,"Outlook"),"")</f>
        <v/>
      </c>
      <c r="K2491">
        <f>IF(E2491="Domain",COUNTIF($E$2:E2491,"Domain"),"")</f>
        <v/>
      </c>
    </row>
    <row r="2492">
      <c r="A2492" s="2" t="n"/>
      <c r="B2492">
        <f>LOWER(TRIM(A2492))</f>
        <v/>
      </c>
      <c r="C2492">
        <f>IF(B2492="","",IFERROR(INDEX('Bad Patterns'!$A$2:$A$120,MATCH(1,INDEX(--ISNUMBER(SEARCH('Bad Patterns'!$A$2:$A$120,B2492)),0),0)),""))</f>
        <v/>
      </c>
      <c r="D2492">
        <f>IF(B2492="","",IF(C2492&lt;&gt;"","REMOVE","KEEP"))</f>
        <v/>
      </c>
      <c r="E2492">
        <f>IF(D2492&lt;&gt;"KEEP","",IF(RIGHT(B2492,10)="@gmail.com","Gmail",IF(OR(RIGHT(B2492,12)="@outlook.com",RIGHT(B2492,12)="@hotmail.com",RIGHT(B2492,9)="@live.com"),"Outlook","Domain")))</f>
        <v/>
      </c>
      <c r="F2492">
        <f>IF(B2492="","",IFERROR(RIGHT(B2492,LEN(B2492)-FIND("@",B2492)),""))</f>
        <v/>
      </c>
      <c r="G2492">
        <f>IF(D2492="KEEP",COUNTIF($D$2:D2492,"KEEP"),"")</f>
        <v/>
      </c>
      <c r="H2492">
        <f>IF(D2492="REMOVE",COUNTIF($D$2:D2492,"REMOVE"),"")</f>
        <v/>
      </c>
      <c r="I2492">
        <f>IF(E2492="Gmail",COUNTIF($E$2:E2492,"Gmail"),"")</f>
        <v/>
      </c>
      <c r="J2492">
        <f>IF(E2492="Outlook",COUNTIF($E$2:E2492,"Outlook"),"")</f>
        <v/>
      </c>
      <c r="K2492">
        <f>IF(E2492="Domain",COUNTIF($E$2:E2492,"Domain"),"")</f>
        <v/>
      </c>
    </row>
    <row r="2493">
      <c r="A2493" s="2" t="n"/>
      <c r="B2493">
        <f>LOWER(TRIM(A2493))</f>
        <v/>
      </c>
      <c r="C2493">
        <f>IF(B2493="","",IFERROR(INDEX('Bad Patterns'!$A$2:$A$120,MATCH(1,INDEX(--ISNUMBER(SEARCH('Bad Patterns'!$A$2:$A$120,B2493)),0),0)),""))</f>
        <v/>
      </c>
      <c r="D2493">
        <f>IF(B2493="","",IF(C2493&lt;&gt;"","REMOVE","KEEP"))</f>
        <v/>
      </c>
      <c r="E2493">
        <f>IF(D2493&lt;&gt;"KEEP","",IF(RIGHT(B2493,10)="@gmail.com","Gmail",IF(OR(RIGHT(B2493,12)="@outlook.com",RIGHT(B2493,12)="@hotmail.com",RIGHT(B2493,9)="@live.com"),"Outlook","Domain")))</f>
        <v/>
      </c>
      <c r="F2493">
        <f>IF(B2493="","",IFERROR(RIGHT(B2493,LEN(B2493)-FIND("@",B2493)),""))</f>
        <v/>
      </c>
      <c r="G2493">
        <f>IF(D2493="KEEP",COUNTIF($D$2:D2493,"KEEP"),"")</f>
        <v/>
      </c>
      <c r="H2493">
        <f>IF(D2493="REMOVE",COUNTIF($D$2:D2493,"REMOVE"),"")</f>
        <v/>
      </c>
      <c r="I2493">
        <f>IF(E2493="Gmail",COUNTIF($E$2:E2493,"Gmail"),"")</f>
        <v/>
      </c>
      <c r="J2493">
        <f>IF(E2493="Outlook",COUNTIF($E$2:E2493,"Outlook"),"")</f>
        <v/>
      </c>
      <c r="K2493">
        <f>IF(E2493="Domain",COUNTIF($E$2:E2493,"Domain"),"")</f>
        <v/>
      </c>
    </row>
    <row r="2494">
      <c r="A2494" s="2" t="n"/>
      <c r="B2494">
        <f>LOWER(TRIM(A2494))</f>
        <v/>
      </c>
      <c r="C2494">
        <f>IF(B2494="","",IFERROR(INDEX('Bad Patterns'!$A$2:$A$120,MATCH(1,INDEX(--ISNUMBER(SEARCH('Bad Patterns'!$A$2:$A$120,B2494)),0),0)),""))</f>
        <v/>
      </c>
      <c r="D2494">
        <f>IF(B2494="","",IF(C2494&lt;&gt;"","REMOVE","KEEP"))</f>
        <v/>
      </c>
      <c r="E2494">
        <f>IF(D2494&lt;&gt;"KEEP","",IF(RIGHT(B2494,10)="@gmail.com","Gmail",IF(OR(RIGHT(B2494,12)="@outlook.com",RIGHT(B2494,12)="@hotmail.com",RIGHT(B2494,9)="@live.com"),"Outlook","Domain")))</f>
        <v/>
      </c>
      <c r="F2494">
        <f>IF(B2494="","",IFERROR(RIGHT(B2494,LEN(B2494)-FIND("@",B2494)),""))</f>
        <v/>
      </c>
      <c r="G2494">
        <f>IF(D2494="KEEP",COUNTIF($D$2:D2494,"KEEP"),"")</f>
        <v/>
      </c>
      <c r="H2494">
        <f>IF(D2494="REMOVE",COUNTIF($D$2:D2494,"REMOVE"),"")</f>
        <v/>
      </c>
      <c r="I2494">
        <f>IF(E2494="Gmail",COUNTIF($E$2:E2494,"Gmail"),"")</f>
        <v/>
      </c>
      <c r="J2494">
        <f>IF(E2494="Outlook",COUNTIF($E$2:E2494,"Outlook"),"")</f>
        <v/>
      </c>
      <c r="K2494">
        <f>IF(E2494="Domain",COUNTIF($E$2:E2494,"Domain"),"")</f>
        <v/>
      </c>
    </row>
    <row r="2495">
      <c r="A2495" s="2" t="n"/>
      <c r="B2495">
        <f>LOWER(TRIM(A2495))</f>
        <v/>
      </c>
      <c r="C2495">
        <f>IF(B2495="","",IFERROR(INDEX('Bad Patterns'!$A$2:$A$120,MATCH(1,INDEX(--ISNUMBER(SEARCH('Bad Patterns'!$A$2:$A$120,B2495)),0),0)),""))</f>
        <v/>
      </c>
      <c r="D2495">
        <f>IF(B2495="","",IF(C2495&lt;&gt;"","REMOVE","KEEP"))</f>
        <v/>
      </c>
      <c r="E2495">
        <f>IF(D2495&lt;&gt;"KEEP","",IF(RIGHT(B2495,10)="@gmail.com","Gmail",IF(OR(RIGHT(B2495,12)="@outlook.com",RIGHT(B2495,12)="@hotmail.com",RIGHT(B2495,9)="@live.com"),"Outlook","Domain")))</f>
        <v/>
      </c>
      <c r="F2495">
        <f>IF(B2495="","",IFERROR(RIGHT(B2495,LEN(B2495)-FIND("@",B2495)),""))</f>
        <v/>
      </c>
      <c r="G2495">
        <f>IF(D2495="KEEP",COUNTIF($D$2:D2495,"KEEP"),"")</f>
        <v/>
      </c>
      <c r="H2495">
        <f>IF(D2495="REMOVE",COUNTIF($D$2:D2495,"REMOVE"),"")</f>
        <v/>
      </c>
      <c r="I2495">
        <f>IF(E2495="Gmail",COUNTIF($E$2:E2495,"Gmail"),"")</f>
        <v/>
      </c>
      <c r="J2495">
        <f>IF(E2495="Outlook",COUNTIF($E$2:E2495,"Outlook"),"")</f>
        <v/>
      </c>
      <c r="K2495">
        <f>IF(E2495="Domain",COUNTIF($E$2:E2495,"Domain"),"")</f>
        <v/>
      </c>
    </row>
    <row r="2496">
      <c r="A2496" s="2" t="n"/>
      <c r="B2496">
        <f>LOWER(TRIM(A2496))</f>
        <v/>
      </c>
      <c r="C2496">
        <f>IF(B2496="","",IFERROR(INDEX('Bad Patterns'!$A$2:$A$120,MATCH(1,INDEX(--ISNUMBER(SEARCH('Bad Patterns'!$A$2:$A$120,B2496)),0),0)),""))</f>
        <v/>
      </c>
      <c r="D2496">
        <f>IF(B2496="","",IF(C2496&lt;&gt;"","REMOVE","KEEP"))</f>
        <v/>
      </c>
      <c r="E2496">
        <f>IF(D2496&lt;&gt;"KEEP","",IF(RIGHT(B2496,10)="@gmail.com","Gmail",IF(OR(RIGHT(B2496,12)="@outlook.com",RIGHT(B2496,12)="@hotmail.com",RIGHT(B2496,9)="@live.com"),"Outlook","Domain")))</f>
        <v/>
      </c>
      <c r="F2496">
        <f>IF(B2496="","",IFERROR(RIGHT(B2496,LEN(B2496)-FIND("@",B2496)),""))</f>
        <v/>
      </c>
      <c r="G2496">
        <f>IF(D2496="KEEP",COUNTIF($D$2:D2496,"KEEP"),"")</f>
        <v/>
      </c>
      <c r="H2496">
        <f>IF(D2496="REMOVE",COUNTIF($D$2:D2496,"REMOVE"),"")</f>
        <v/>
      </c>
      <c r="I2496">
        <f>IF(E2496="Gmail",COUNTIF($E$2:E2496,"Gmail"),"")</f>
        <v/>
      </c>
      <c r="J2496">
        <f>IF(E2496="Outlook",COUNTIF($E$2:E2496,"Outlook"),"")</f>
        <v/>
      </c>
      <c r="K2496">
        <f>IF(E2496="Domain",COUNTIF($E$2:E2496,"Domain"),"")</f>
        <v/>
      </c>
    </row>
    <row r="2497">
      <c r="A2497" s="2" t="n"/>
      <c r="B2497">
        <f>LOWER(TRIM(A2497))</f>
        <v/>
      </c>
      <c r="C2497">
        <f>IF(B2497="","",IFERROR(INDEX('Bad Patterns'!$A$2:$A$120,MATCH(1,INDEX(--ISNUMBER(SEARCH('Bad Patterns'!$A$2:$A$120,B2497)),0),0)),""))</f>
        <v/>
      </c>
      <c r="D2497">
        <f>IF(B2497="","",IF(C2497&lt;&gt;"","REMOVE","KEEP"))</f>
        <v/>
      </c>
      <c r="E2497">
        <f>IF(D2497&lt;&gt;"KEEP","",IF(RIGHT(B2497,10)="@gmail.com","Gmail",IF(OR(RIGHT(B2497,12)="@outlook.com",RIGHT(B2497,12)="@hotmail.com",RIGHT(B2497,9)="@live.com"),"Outlook","Domain")))</f>
        <v/>
      </c>
      <c r="F2497">
        <f>IF(B2497="","",IFERROR(RIGHT(B2497,LEN(B2497)-FIND("@",B2497)),""))</f>
        <v/>
      </c>
      <c r="G2497">
        <f>IF(D2497="KEEP",COUNTIF($D$2:D2497,"KEEP"),"")</f>
        <v/>
      </c>
      <c r="H2497">
        <f>IF(D2497="REMOVE",COUNTIF($D$2:D2497,"REMOVE"),"")</f>
        <v/>
      </c>
      <c r="I2497">
        <f>IF(E2497="Gmail",COUNTIF($E$2:E2497,"Gmail"),"")</f>
        <v/>
      </c>
      <c r="J2497">
        <f>IF(E2497="Outlook",COUNTIF($E$2:E2497,"Outlook"),"")</f>
        <v/>
      </c>
      <c r="K2497">
        <f>IF(E2497="Domain",COUNTIF($E$2:E2497,"Domain"),"")</f>
        <v/>
      </c>
    </row>
    <row r="2498">
      <c r="A2498" s="2" t="n"/>
      <c r="B2498">
        <f>LOWER(TRIM(A2498))</f>
        <v/>
      </c>
      <c r="C2498">
        <f>IF(B2498="","",IFERROR(INDEX('Bad Patterns'!$A$2:$A$120,MATCH(1,INDEX(--ISNUMBER(SEARCH('Bad Patterns'!$A$2:$A$120,B2498)),0),0)),""))</f>
        <v/>
      </c>
      <c r="D2498">
        <f>IF(B2498="","",IF(C2498&lt;&gt;"","REMOVE","KEEP"))</f>
        <v/>
      </c>
      <c r="E2498">
        <f>IF(D2498&lt;&gt;"KEEP","",IF(RIGHT(B2498,10)="@gmail.com","Gmail",IF(OR(RIGHT(B2498,12)="@outlook.com",RIGHT(B2498,12)="@hotmail.com",RIGHT(B2498,9)="@live.com"),"Outlook","Domain")))</f>
        <v/>
      </c>
      <c r="F2498">
        <f>IF(B2498="","",IFERROR(RIGHT(B2498,LEN(B2498)-FIND("@",B2498)),""))</f>
        <v/>
      </c>
      <c r="G2498">
        <f>IF(D2498="KEEP",COUNTIF($D$2:D2498,"KEEP"),"")</f>
        <v/>
      </c>
      <c r="H2498">
        <f>IF(D2498="REMOVE",COUNTIF($D$2:D2498,"REMOVE"),"")</f>
        <v/>
      </c>
      <c r="I2498">
        <f>IF(E2498="Gmail",COUNTIF($E$2:E2498,"Gmail"),"")</f>
        <v/>
      </c>
      <c r="J2498">
        <f>IF(E2498="Outlook",COUNTIF($E$2:E2498,"Outlook"),"")</f>
        <v/>
      </c>
      <c r="K2498">
        <f>IF(E2498="Domain",COUNTIF($E$2:E2498,"Domain"),"")</f>
        <v/>
      </c>
    </row>
    <row r="2499">
      <c r="A2499" s="2" t="n"/>
      <c r="B2499">
        <f>LOWER(TRIM(A2499))</f>
        <v/>
      </c>
      <c r="C2499">
        <f>IF(B2499="","",IFERROR(INDEX('Bad Patterns'!$A$2:$A$120,MATCH(1,INDEX(--ISNUMBER(SEARCH('Bad Patterns'!$A$2:$A$120,B2499)),0),0)),""))</f>
        <v/>
      </c>
      <c r="D2499">
        <f>IF(B2499="","",IF(C2499&lt;&gt;"","REMOVE","KEEP"))</f>
        <v/>
      </c>
      <c r="E2499">
        <f>IF(D2499&lt;&gt;"KEEP","",IF(RIGHT(B2499,10)="@gmail.com","Gmail",IF(OR(RIGHT(B2499,12)="@outlook.com",RIGHT(B2499,12)="@hotmail.com",RIGHT(B2499,9)="@live.com"),"Outlook","Domain")))</f>
        <v/>
      </c>
      <c r="F2499">
        <f>IF(B2499="","",IFERROR(RIGHT(B2499,LEN(B2499)-FIND("@",B2499)),""))</f>
        <v/>
      </c>
      <c r="G2499">
        <f>IF(D2499="KEEP",COUNTIF($D$2:D2499,"KEEP"),"")</f>
        <v/>
      </c>
      <c r="H2499">
        <f>IF(D2499="REMOVE",COUNTIF($D$2:D2499,"REMOVE"),"")</f>
        <v/>
      </c>
      <c r="I2499">
        <f>IF(E2499="Gmail",COUNTIF($E$2:E2499,"Gmail"),"")</f>
        <v/>
      </c>
      <c r="J2499">
        <f>IF(E2499="Outlook",COUNTIF($E$2:E2499,"Outlook"),"")</f>
        <v/>
      </c>
      <c r="K2499">
        <f>IF(E2499="Domain",COUNTIF($E$2:E2499,"Domain"),"")</f>
        <v/>
      </c>
    </row>
    <row r="2500">
      <c r="A2500" s="2" t="n"/>
      <c r="B2500">
        <f>LOWER(TRIM(A2500))</f>
        <v/>
      </c>
      <c r="C2500">
        <f>IF(B2500="","",IFERROR(INDEX('Bad Patterns'!$A$2:$A$120,MATCH(1,INDEX(--ISNUMBER(SEARCH('Bad Patterns'!$A$2:$A$120,B2500)),0),0)),""))</f>
        <v/>
      </c>
      <c r="D2500">
        <f>IF(B2500="","",IF(C2500&lt;&gt;"","REMOVE","KEEP"))</f>
        <v/>
      </c>
      <c r="E2500">
        <f>IF(D2500&lt;&gt;"KEEP","",IF(RIGHT(B2500,10)="@gmail.com","Gmail",IF(OR(RIGHT(B2500,12)="@outlook.com",RIGHT(B2500,12)="@hotmail.com",RIGHT(B2500,9)="@live.com"),"Outlook","Domain")))</f>
        <v/>
      </c>
      <c r="F2500">
        <f>IF(B2500="","",IFERROR(RIGHT(B2500,LEN(B2500)-FIND("@",B2500)),""))</f>
        <v/>
      </c>
      <c r="G2500">
        <f>IF(D2500="KEEP",COUNTIF($D$2:D2500,"KEEP"),"")</f>
        <v/>
      </c>
      <c r="H2500">
        <f>IF(D2500="REMOVE",COUNTIF($D$2:D2500,"REMOVE"),"")</f>
        <v/>
      </c>
      <c r="I2500">
        <f>IF(E2500="Gmail",COUNTIF($E$2:E2500,"Gmail"),"")</f>
        <v/>
      </c>
      <c r="J2500">
        <f>IF(E2500="Outlook",COUNTIF($E$2:E2500,"Outlook"),"")</f>
        <v/>
      </c>
      <c r="K2500">
        <f>IF(E2500="Domain",COUNTIF($E$2:E2500,"Domain"),"")</f>
        <v/>
      </c>
    </row>
    <row r="2501">
      <c r="A2501" s="2" t="n"/>
      <c r="B2501">
        <f>LOWER(TRIM(A2501))</f>
        <v/>
      </c>
      <c r="C2501">
        <f>IF(B2501="","",IFERROR(INDEX('Bad Patterns'!$A$2:$A$120,MATCH(1,INDEX(--ISNUMBER(SEARCH('Bad Patterns'!$A$2:$A$120,B2501)),0),0)),""))</f>
        <v/>
      </c>
      <c r="D2501">
        <f>IF(B2501="","",IF(C2501&lt;&gt;"","REMOVE","KEEP"))</f>
        <v/>
      </c>
      <c r="E2501">
        <f>IF(D2501&lt;&gt;"KEEP","",IF(RIGHT(B2501,10)="@gmail.com","Gmail",IF(OR(RIGHT(B2501,12)="@outlook.com",RIGHT(B2501,12)="@hotmail.com",RIGHT(B2501,9)="@live.com"),"Outlook","Domain")))</f>
        <v/>
      </c>
      <c r="F2501">
        <f>IF(B2501="","",IFERROR(RIGHT(B2501,LEN(B2501)-FIND("@",B2501)),""))</f>
        <v/>
      </c>
      <c r="G2501">
        <f>IF(D2501="KEEP",COUNTIF($D$2:D2501,"KEEP"),"")</f>
        <v/>
      </c>
      <c r="H2501">
        <f>IF(D2501="REMOVE",COUNTIF($D$2:D2501,"REMOVE"),"")</f>
        <v/>
      </c>
      <c r="I2501">
        <f>IF(E2501="Gmail",COUNTIF($E$2:E2501,"Gmail"),"")</f>
        <v/>
      </c>
      <c r="J2501">
        <f>IF(E2501="Outlook",COUNTIF($E$2:E2501,"Outlook"),"")</f>
        <v/>
      </c>
      <c r="K2501">
        <f>IF(E2501="Domain",COUNTIF($E$2:E2501,"Domain"),"")</f>
        <v/>
      </c>
    </row>
    <row r="2502">
      <c r="A2502" s="2" t="n"/>
      <c r="B2502">
        <f>LOWER(TRIM(A2502))</f>
        <v/>
      </c>
      <c r="C2502">
        <f>IF(B2502="","",IFERROR(INDEX('Bad Patterns'!$A$2:$A$120,MATCH(1,INDEX(--ISNUMBER(SEARCH('Bad Patterns'!$A$2:$A$120,B2502)),0),0)),""))</f>
        <v/>
      </c>
      <c r="D2502">
        <f>IF(B2502="","",IF(C2502&lt;&gt;"","REMOVE","KEEP"))</f>
        <v/>
      </c>
      <c r="E2502">
        <f>IF(D2502&lt;&gt;"KEEP","",IF(RIGHT(B2502,10)="@gmail.com","Gmail",IF(OR(RIGHT(B2502,12)="@outlook.com",RIGHT(B2502,12)="@hotmail.com",RIGHT(B2502,9)="@live.com"),"Outlook","Domain")))</f>
        <v/>
      </c>
      <c r="F2502">
        <f>IF(B2502="","",IFERROR(RIGHT(B2502,LEN(B2502)-FIND("@",B2502)),""))</f>
        <v/>
      </c>
      <c r="G2502">
        <f>IF(D2502="KEEP",COUNTIF($D$2:D2502,"KEEP"),"")</f>
        <v/>
      </c>
      <c r="H2502">
        <f>IF(D2502="REMOVE",COUNTIF($D$2:D2502,"REMOVE"),"")</f>
        <v/>
      </c>
      <c r="I2502">
        <f>IF(E2502="Gmail",COUNTIF($E$2:E2502,"Gmail"),"")</f>
        <v/>
      </c>
      <c r="J2502">
        <f>IF(E2502="Outlook",COUNTIF($E$2:E2502,"Outlook"),"")</f>
        <v/>
      </c>
      <c r="K2502">
        <f>IF(E2502="Domain",COUNTIF($E$2:E2502,"Domain"),"")</f>
        <v/>
      </c>
    </row>
    <row r="2503">
      <c r="A2503" s="2" t="n"/>
      <c r="B2503">
        <f>LOWER(TRIM(A2503))</f>
        <v/>
      </c>
      <c r="C2503">
        <f>IF(B2503="","",IFERROR(INDEX('Bad Patterns'!$A$2:$A$120,MATCH(1,INDEX(--ISNUMBER(SEARCH('Bad Patterns'!$A$2:$A$120,B2503)),0),0)),""))</f>
        <v/>
      </c>
      <c r="D2503">
        <f>IF(B2503="","",IF(C2503&lt;&gt;"","REMOVE","KEEP"))</f>
        <v/>
      </c>
      <c r="E2503">
        <f>IF(D2503&lt;&gt;"KEEP","",IF(RIGHT(B2503,10)="@gmail.com","Gmail",IF(OR(RIGHT(B2503,12)="@outlook.com",RIGHT(B2503,12)="@hotmail.com",RIGHT(B2503,9)="@live.com"),"Outlook","Domain")))</f>
        <v/>
      </c>
      <c r="F2503">
        <f>IF(B2503="","",IFERROR(RIGHT(B2503,LEN(B2503)-FIND("@",B2503)),""))</f>
        <v/>
      </c>
      <c r="G2503">
        <f>IF(D2503="KEEP",COUNTIF($D$2:D2503,"KEEP"),"")</f>
        <v/>
      </c>
      <c r="H2503">
        <f>IF(D2503="REMOVE",COUNTIF($D$2:D2503,"REMOVE"),"")</f>
        <v/>
      </c>
      <c r="I2503">
        <f>IF(E2503="Gmail",COUNTIF($E$2:E2503,"Gmail"),"")</f>
        <v/>
      </c>
      <c r="J2503">
        <f>IF(E2503="Outlook",COUNTIF($E$2:E2503,"Outlook"),"")</f>
        <v/>
      </c>
      <c r="K2503">
        <f>IF(E2503="Domain",COUNTIF($E$2:E2503,"Domain"),"")</f>
        <v/>
      </c>
    </row>
    <row r="2504">
      <c r="A2504" s="2" t="n"/>
      <c r="B2504">
        <f>LOWER(TRIM(A2504))</f>
        <v/>
      </c>
      <c r="C2504">
        <f>IF(B2504="","",IFERROR(INDEX('Bad Patterns'!$A$2:$A$120,MATCH(1,INDEX(--ISNUMBER(SEARCH('Bad Patterns'!$A$2:$A$120,B2504)),0),0)),""))</f>
        <v/>
      </c>
      <c r="D2504">
        <f>IF(B2504="","",IF(C2504&lt;&gt;"","REMOVE","KEEP"))</f>
        <v/>
      </c>
      <c r="E2504">
        <f>IF(D2504&lt;&gt;"KEEP","",IF(RIGHT(B2504,10)="@gmail.com","Gmail",IF(OR(RIGHT(B2504,12)="@outlook.com",RIGHT(B2504,12)="@hotmail.com",RIGHT(B2504,9)="@live.com"),"Outlook","Domain")))</f>
        <v/>
      </c>
      <c r="F2504">
        <f>IF(B2504="","",IFERROR(RIGHT(B2504,LEN(B2504)-FIND("@",B2504)),""))</f>
        <v/>
      </c>
      <c r="G2504">
        <f>IF(D2504="KEEP",COUNTIF($D$2:D2504,"KEEP"),"")</f>
        <v/>
      </c>
      <c r="H2504">
        <f>IF(D2504="REMOVE",COUNTIF($D$2:D2504,"REMOVE"),"")</f>
        <v/>
      </c>
      <c r="I2504">
        <f>IF(E2504="Gmail",COUNTIF($E$2:E2504,"Gmail"),"")</f>
        <v/>
      </c>
      <c r="J2504">
        <f>IF(E2504="Outlook",COUNTIF($E$2:E2504,"Outlook"),"")</f>
        <v/>
      </c>
      <c r="K2504">
        <f>IF(E2504="Domain",COUNTIF($E$2:E2504,"Domain"),"")</f>
        <v/>
      </c>
    </row>
    <row r="2505">
      <c r="A2505" s="2" t="n"/>
      <c r="B2505">
        <f>LOWER(TRIM(A2505))</f>
        <v/>
      </c>
      <c r="C2505">
        <f>IF(B2505="","",IFERROR(INDEX('Bad Patterns'!$A$2:$A$120,MATCH(1,INDEX(--ISNUMBER(SEARCH('Bad Patterns'!$A$2:$A$120,B2505)),0),0)),""))</f>
        <v/>
      </c>
      <c r="D2505">
        <f>IF(B2505="","",IF(C2505&lt;&gt;"","REMOVE","KEEP"))</f>
        <v/>
      </c>
      <c r="E2505">
        <f>IF(D2505&lt;&gt;"KEEP","",IF(RIGHT(B2505,10)="@gmail.com","Gmail",IF(OR(RIGHT(B2505,12)="@outlook.com",RIGHT(B2505,12)="@hotmail.com",RIGHT(B2505,9)="@live.com"),"Outlook","Domain")))</f>
        <v/>
      </c>
      <c r="F2505">
        <f>IF(B2505="","",IFERROR(RIGHT(B2505,LEN(B2505)-FIND("@",B2505)),""))</f>
        <v/>
      </c>
      <c r="G2505">
        <f>IF(D2505="KEEP",COUNTIF($D$2:D2505,"KEEP"),"")</f>
        <v/>
      </c>
      <c r="H2505">
        <f>IF(D2505="REMOVE",COUNTIF($D$2:D2505,"REMOVE"),"")</f>
        <v/>
      </c>
      <c r="I2505">
        <f>IF(E2505="Gmail",COUNTIF($E$2:E2505,"Gmail"),"")</f>
        <v/>
      </c>
      <c r="J2505">
        <f>IF(E2505="Outlook",COUNTIF($E$2:E2505,"Outlook"),"")</f>
        <v/>
      </c>
      <c r="K2505">
        <f>IF(E2505="Domain",COUNTIF($E$2:E2505,"Domain"),"")</f>
        <v/>
      </c>
    </row>
    <row r="2506">
      <c r="A2506" s="2" t="n"/>
      <c r="B2506">
        <f>LOWER(TRIM(A2506))</f>
        <v/>
      </c>
      <c r="C2506">
        <f>IF(B2506="","",IFERROR(INDEX('Bad Patterns'!$A$2:$A$120,MATCH(1,INDEX(--ISNUMBER(SEARCH('Bad Patterns'!$A$2:$A$120,B2506)),0),0)),""))</f>
        <v/>
      </c>
      <c r="D2506">
        <f>IF(B2506="","",IF(C2506&lt;&gt;"","REMOVE","KEEP"))</f>
        <v/>
      </c>
      <c r="E2506">
        <f>IF(D2506&lt;&gt;"KEEP","",IF(RIGHT(B2506,10)="@gmail.com","Gmail",IF(OR(RIGHT(B2506,12)="@outlook.com",RIGHT(B2506,12)="@hotmail.com",RIGHT(B2506,9)="@live.com"),"Outlook","Domain")))</f>
        <v/>
      </c>
      <c r="F2506">
        <f>IF(B2506="","",IFERROR(RIGHT(B2506,LEN(B2506)-FIND("@",B2506)),""))</f>
        <v/>
      </c>
      <c r="G2506">
        <f>IF(D2506="KEEP",COUNTIF($D$2:D2506,"KEEP"),"")</f>
        <v/>
      </c>
      <c r="H2506">
        <f>IF(D2506="REMOVE",COUNTIF($D$2:D2506,"REMOVE"),"")</f>
        <v/>
      </c>
      <c r="I2506">
        <f>IF(E2506="Gmail",COUNTIF($E$2:E2506,"Gmail"),"")</f>
        <v/>
      </c>
      <c r="J2506">
        <f>IF(E2506="Outlook",COUNTIF($E$2:E2506,"Outlook"),"")</f>
        <v/>
      </c>
      <c r="K2506">
        <f>IF(E2506="Domain",COUNTIF($E$2:E2506,"Domain"),"")</f>
        <v/>
      </c>
    </row>
    <row r="2507">
      <c r="A2507" s="2" t="n"/>
      <c r="B2507">
        <f>LOWER(TRIM(A2507))</f>
        <v/>
      </c>
      <c r="C2507">
        <f>IF(B2507="","",IFERROR(INDEX('Bad Patterns'!$A$2:$A$120,MATCH(1,INDEX(--ISNUMBER(SEARCH('Bad Patterns'!$A$2:$A$120,B2507)),0),0)),""))</f>
        <v/>
      </c>
      <c r="D2507">
        <f>IF(B2507="","",IF(C2507&lt;&gt;"","REMOVE","KEEP"))</f>
        <v/>
      </c>
      <c r="E2507">
        <f>IF(D2507&lt;&gt;"KEEP","",IF(RIGHT(B2507,10)="@gmail.com","Gmail",IF(OR(RIGHT(B2507,12)="@outlook.com",RIGHT(B2507,12)="@hotmail.com",RIGHT(B2507,9)="@live.com"),"Outlook","Domain")))</f>
        <v/>
      </c>
      <c r="F2507">
        <f>IF(B2507="","",IFERROR(RIGHT(B2507,LEN(B2507)-FIND("@",B2507)),""))</f>
        <v/>
      </c>
      <c r="G2507">
        <f>IF(D2507="KEEP",COUNTIF($D$2:D2507,"KEEP"),"")</f>
        <v/>
      </c>
      <c r="H2507">
        <f>IF(D2507="REMOVE",COUNTIF($D$2:D2507,"REMOVE"),"")</f>
        <v/>
      </c>
      <c r="I2507">
        <f>IF(E2507="Gmail",COUNTIF($E$2:E2507,"Gmail"),"")</f>
        <v/>
      </c>
      <c r="J2507">
        <f>IF(E2507="Outlook",COUNTIF($E$2:E2507,"Outlook"),"")</f>
        <v/>
      </c>
      <c r="K2507">
        <f>IF(E2507="Domain",COUNTIF($E$2:E2507,"Domain"),"")</f>
        <v/>
      </c>
    </row>
    <row r="2508">
      <c r="A2508" s="2" t="n"/>
      <c r="B2508">
        <f>LOWER(TRIM(A2508))</f>
        <v/>
      </c>
      <c r="C2508">
        <f>IF(B2508="","",IFERROR(INDEX('Bad Patterns'!$A$2:$A$120,MATCH(1,INDEX(--ISNUMBER(SEARCH('Bad Patterns'!$A$2:$A$120,B2508)),0),0)),""))</f>
        <v/>
      </c>
      <c r="D2508">
        <f>IF(B2508="","",IF(C2508&lt;&gt;"","REMOVE","KEEP"))</f>
        <v/>
      </c>
      <c r="E2508">
        <f>IF(D2508&lt;&gt;"KEEP","",IF(RIGHT(B2508,10)="@gmail.com","Gmail",IF(OR(RIGHT(B2508,12)="@outlook.com",RIGHT(B2508,12)="@hotmail.com",RIGHT(B2508,9)="@live.com"),"Outlook","Domain")))</f>
        <v/>
      </c>
      <c r="F2508">
        <f>IF(B2508="","",IFERROR(RIGHT(B2508,LEN(B2508)-FIND("@",B2508)),""))</f>
        <v/>
      </c>
      <c r="G2508">
        <f>IF(D2508="KEEP",COUNTIF($D$2:D2508,"KEEP"),"")</f>
        <v/>
      </c>
      <c r="H2508">
        <f>IF(D2508="REMOVE",COUNTIF($D$2:D2508,"REMOVE"),"")</f>
        <v/>
      </c>
      <c r="I2508">
        <f>IF(E2508="Gmail",COUNTIF($E$2:E2508,"Gmail"),"")</f>
        <v/>
      </c>
      <c r="J2508">
        <f>IF(E2508="Outlook",COUNTIF($E$2:E2508,"Outlook"),"")</f>
        <v/>
      </c>
      <c r="K2508">
        <f>IF(E2508="Domain",COUNTIF($E$2:E2508,"Domain"),"")</f>
        <v/>
      </c>
    </row>
    <row r="2509">
      <c r="A2509" s="2" t="n"/>
      <c r="B2509">
        <f>LOWER(TRIM(A2509))</f>
        <v/>
      </c>
      <c r="C2509">
        <f>IF(B2509="","",IFERROR(INDEX('Bad Patterns'!$A$2:$A$120,MATCH(1,INDEX(--ISNUMBER(SEARCH('Bad Patterns'!$A$2:$A$120,B2509)),0),0)),""))</f>
        <v/>
      </c>
      <c r="D2509">
        <f>IF(B2509="","",IF(C2509&lt;&gt;"","REMOVE","KEEP"))</f>
        <v/>
      </c>
      <c r="E2509">
        <f>IF(D2509&lt;&gt;"KEEP","",IF(RIGHT(B2509,10)="@gmail.com","Gmail",IF(OR(RIGHT(B2509,12)="@outlook.com",RIGHT(B2509,12)="@hotmail.com",RIGHT(B2509,9)="@live.com"),"Outlook","Domain")))</f>
        <v/>
      </c>
      <c r="F2509">
        <f>IF(B2509="","",IFERROR(RIGHT(B2509,LEN(B2509)-FIND("@",B2509)),""))</f>
        <v/>
      </c>
      <c r="G2509">
        <f>IF(D2509="KEEP",COUNTIF($D$2:D2509,"KEEP"),"")</f>
        <v/>
      </c>
      <c r="H2509">
        <f>IF(D2509="REMOVE",COUNTIF($D$2:D2509,"REMOVE"),"")</f>
        <v/>
      </c>
      <c r="I2509">
        <f>IF(E2509="Gmail",COUNTIF($E$2:E2509,"Gmail"),"")</f>
        <v/>
      </c>
      <c r="J2509">
        <f>IF(E2509="Outlook",COUNTIF($E$2:E2509,"Outlook"),"")</f>
        <v/>
      </c>
      <c r="K2509">
        <f>IF(E2509="Domain",COUNTIF($E$2:E2509,"Domain"),"")</f>
        <v/>
      </c>
    </row>
    <row r="2510">
      <c r="A2510" s="2" t="n"/>
      <c r="B2510">
        <f>LOWER(TRIM(A2510))</f>
        <v/>
      </c>
      <c r="C2510">
        <f>IF(B2510="","",IFERROR(INDEX('Bad Patterns'!$A$2:$A$120,MATCH(1,INDEX(--ISNUMBER(SEARCH('Bad Patterns'!$A$2:$A$120,B2510)),0),0)),""))</f>
        <v/>
      </c>
      <c r="D2510">
        <f>IF(B2510="","",IF(C2510&lt;&gt;"","REMOVE","KEEP"))</f>
        <v/>
      </c>
      <c r="E2510">
        <f>IF(D2510&lt;&gt;"KEEP","",IF(RIGHT(B2510,10)="@gmail.com","Gmail",IF(OR(RIGHT(B2510,12)="@outlook.com",RIGHT(B2510,12)="@hotmail.com",RIGHT(B2510,9)="@live.com"),"Outlook","Domain")))</f>
        <v/>
      </c>
      <c r="F2510">
        <f>IF(B2510="","",IFERROR(RIGHT(B2510,LEN(B2510)-FIND("@",B2510)),""))</f>
        <v/>
      </c>
      <c r="G2510">
        <f>IF(D2510="KEEP",COUNTIF($D$2:D2510,"KEEP"),"")</f>
        <v/>
      </c>
      <c r="H2510">
        <f>IF(D2510="REMOVE",COUNTIF($D$2:D2510,"REMOVE"),"")</f>
        <v/>
      </c>
      <c r="I2510">
        <f>IF(E2510="Gmail",COUNTIF($E$2:E2510,"Gmail"),"")</f>
        <v/>
      </c>
      <c r="J2510">
        <f>IF(E2510="Outlook",COUNTIF($E$2:E2510,"Outlook"),"")</f>
        <v/>
      </c>
      <c r="K2510">
        <f>IF(E2510="Domain",COUNTIF($E$2:E2510,"Domain"),"")</f>
        <v/>
      </c>
    </row>
    <row r="2511">
      <c r="A2511" s="2" t="n"/>
      <c r="B2511">
        <f>LOWER(TRIM(A2511))</f>
        <v/>
      </c>
      <c r="C2511">
        <f>IF(B2511="","",IFERROR(INDEX('Bad Patterns'!$A$2:$A$120,MATCH(1,INDEX(--ISNUMBER(SEARCH('Bad Patterns'!$A$2:$A$120,B2511)),0),0)),""))</f>
        <v/>
      </c>
      <c r="D2511">
        <f>IF(B2511="","",IF(C2511&lt;&gt;"","REMOVE","KEEP"))</f>
        <v/>
      </c>
      <c r="E2511">
        <f>IF(D2511&lt;&gt;"KEEP","",IF(RIGHT(B2511,10)="@gmail.com","Gmail",IF(OR(RIGHT(B2511,12)="@outlook.com",RIGHT(B2511,12)="@hotmail.com",RIGHT(B2511,9)="@live.com"),"Outlook","Domain")))</f>
        <v/>
      </c>
      <c r="F2511">
        <f>IF(B2511="","",IFERROR(RIGHT(B2511,LEN(B2511)-FIND("@",B2511)),""))</f>
        <v/>
      </c>
      <c r="G2511">
        <f>IF(D2511="KEEP",COUNTIF($D$2:D2511,"KEEP"),"")</f>
        <v/>
      </c>
      <c r="H2511">
        <f>IF(D2511="REMOVE",COUNTIF($D$2:D2511,"REMOVE"),"")</f>
        <v/>
      </c>
      <c r="I2511">
        <f>IF(E2511="Gmail",COUNTIF($E$2:E2511,"Gmail"),"")</f>
        <v/>
      </c>
      <c r="J2511">
        <f>IF(E2511="Outlook",COUNTIF($E$2:E2511,"Outlook"),"")</f>
        <v/>
      </c>
      <c r="K2511">
        <f>IF(E2511="Domain",COUNTIF($E$2:E2511,"Domain"),"")</f>
        <v/>
      </c>
    </row>
    <row r="2512">
      <c r="A2512" s="2" t="n"/>
      <c r="B2512">
        <f>LOWER(TRIM(A2512))</f>
        <v/>
      </c>
      <c r="C2512">
        <f>IF(B2512="","",IFERROR(INDEX('Bad Patterns'!$A$2:$A$120,MATCH(1,INDEX(--ISNUMBER(SEARCH('Bad Patterns'!$A$2:$A$120,B2512)),0),0)),""))</f>
        <v/>
      </c>
      <c r="D2512">
        <f>IF(B2512="","",IF(C2512&lt;&gt;"","REMOVE","KEEP"))</f>
        <v/>
      </c>
      <c r="E2512">
        <f>IF(D2512&lt;&gt;"KEEP","",IF(RIGHT(B2512,10)="@gmail.com","Gmail",IF(OR(RIGHT(B2512,12)="@outlook.com",RIGHT(B2512,12)="@hotmail.com",RIGHT(B2512,9)="@live.com"),"Outlook","Domain")))</f>
        <v/>
      </c>
      <c r="F2512">
        <f>IF(B2512="","",IFERROR(RIGHT(B2512,LEN(B2512)-FIND("@",B2512)),""))</f>
        <v/>
      </c>
      <c r="G2512">
        <f>IF(D2512="KEEP",COUNTIF($D$2:D2512,"KEEP"),"")</f>
        <v/>
      </c>
      <c r="H2512">
        <f>IF(D2512="REMOVE",COUNTIF($D$2:D2512,"REMOVE"),"")</f>
        <v/>
      </c>
      <c r="I2512">
        <f>IF(E2512="Gmail",COUNTIF($E$2:E2512,"Gmail"),"")</f>
        <v/>
      </c>
      <c r="J2512">
        <f>IF(E2512="Outlook",COUNTIF($E$2:E2512,"Outlook"),"")</f>
        <v/>
      </c>
      <c r="K2512">
        <f>IF(E2512="Domain",COUNTIF($E$2:E2512,"Domain"),"")</f>
        <v/>
      </c>
    </row>
    <row r="2513">
      <c r="A2513" s="2" t="n"/>
      <c r="B2513">
        <f>LOWER(TRIM(A2513))</f>
        <v/>
      </c>
      <c r="C2513">
        <f>IF(B2513="","",IFERROR(INDEX('Bad Patterns'!$A$2:$A$120,MATCH(1,INDEX(--ISNUMBER(SEARCH('Bad Patterns'!$A$2:$A$120,B2513)),0),0)),""))</f>
        <v/>
      </c>
      <c r="D2513">
        <f>IF(B2513="","",IF(C2513&lt;&gt;"","REMOVE","KEEP"))</f>
        <v/>
      </c>
      <c r="E2513">
        <f>IF(D2513&lt;&gt;"KEEP","",IF(RIGHT(B2513,10)="@gmail.com","Gmail",IF(OR(RIGHT(B2513,12)="@outlook.com",RIGHT(B2513,12)="@hotmail.com",RIGHT(B2513,9)="@live.com"),"Outlook","Domain")))</f>
        <v/>
      </c>
      <c r="F2513">
        <f>IF(B2513="","",IFERROR(RIGHT(B2513,LEN(B2513)-FIND("@",B2513)),""))</f>
        <v/>
      </c>
      <c r="G2513">
        <f>IF(D2513="KEEP",COUNTIF($D$2:D2513,"KEEP"),"")</f>
        <v/>
      </c>
      <c r="H2513">
        <f>IF(D2513="REMOVE",COUNTIF($D$2:D2513,"REMOVE"),"")</f>
        <v/>
      </c>
      <c r="I2513">
        <f>IF(E2513="Gmail",COUNTIF($E$2:E2513,"Gmail"),"")</f>
        <v/>
      </c>
      <c r="J2513">
        <f>IF(E2513="Outlook",COUNTIF($E$2:E2513,"Outlook"),"")</f>
        <v/>
      </c>
      <c r="K2513">
        <f>IF(E2513="Domain",COUNTIF($E$2:E2513,"Domain"),"")</f>
        <v/>
      </c>
    </row>
    <row r="2514">
      <c r="A2514" s="2" t="n"/>
      <c r="B2514">
        <f>LOWER(TRIM(A2514))</f>
        <v/>
      </c>
      <c r="C2514">
        <f>IF(B2514="","",IFERROR(INDEX('Bad Patterns'!$A$2:$A$120,MATCH(1,INDEX(--ISNUMBER(SEARCH('Bad Patterns'!$A$2:$A$120,B2514)),0),0)),""))</f>
        <v/>
      </c>
      <c r="D2514">
        <f>IF(B2514="","",IF(C2514&lt;&gt;"","REMOVE","KEEP"))</f>
        <v/>
      </c>
      <c r="E2514">
        <f>IF(D2514&lt;&gt;"KEEP","",IF(RIGHT(B2514,10)="@gmail.com","Gmail",IF(OR(RIGHT(B2514,12)="@outlook.com",RIGHT(B2514,12)="@hotmail.com",RIGHT(B2514,9)="@live.com"),"Outlook","Domain")))</f>
        <v/>
      </c>
      <c r="F2514">
        <f>IF(B2514="","",IFERROR(RIGHT(B2514,LEN(B2514)-FIND("@",B2514)),""))</f>
        <v/>
      </c>
      <c r="G2514">
        <f>IF(D2514="KEEP",COUNTIF($D$2:D2514,"KEEP"),"")</f>
        <v/>
      </c>
      <c r="H2514">
        <f>IF(D2514="REMOVE",COUNTIF($D$2:D2514,"REMOVE"),"")</f>
        <v/>
      </c>
      <c r="I2514">
        <f>IF(E2514="Gmail",COUNTIF($E$2:E2514,"Gmail"),"")</f>
        <v/>
      </c>
      <c r="J2514">
        <f>IF(E2514="Outlook",COUNTIF($E$2:E2514,"Outlook"),"")</f>
        <v/>
      </c>
      <c r="K2514">
        <f>IF(E2514="Domain",COUNTIF($E$2:E2514,"Domain"),"")</f>
        <v/>
      </c>
    </row>
    <row r="2515">
      <c r="A2515" s="2" t="n"/>
      <c r="B2515">
        <f>LOWER(TRIM(A2515))</f>
        <v/>
      </c>
      <c r="C2515">
        <f>IF(B2515="","",IFERROR(INDEX('Bad Patterns'!$A$2:$A$120,MATCH(1,INDEX(--ISNUMBER(SEARCH('Bad Patterns'!$A$2:$A$120,B2515)),0),0)),""))</f>
        <v/>
      </c>
      <c r="D2515">
        <f>IF(B2515="","",IF(C2515&lt;&gt;"","REMOVE","KEEP"))</f>
        <v/>
      </c>
      <c r="E2515">
        <f>IF(D2515&lt;&gt;"KEEP","",IF(RIGHT(B2515,10)="@gmail.com","Gmail",IF(OR(RIGHT(B2515,12)="@outlook.com",RIGHT(B2515,12)="@hotmail.com",RIGHT(B2515,9)="@live.com"),"Outlook","Domain")))</f>
        <v/>
      </c>
      <c r="F2515">
        <f>IF(B2515="","",IFERROR(RIGHT(B2515,LEN(B2515)-FIND("@",B2515)),""))</f>
        <v/>
      </c>
      <c r="G2515">
        <f>IF(D2515="KEEP",COUNTIF($D$2:D2515,"KEEP"),"")</f>
        <v/>
      </c>
      <c r="H2515">
        <f>IF(D2515="REMOVE",COUNTIF($D$2:D2515,"REMOVE"),"")</f>
        <v/>
      </c>
      <c r="I2515">
        <f>IF(E2515="Gmail",COUNTIF($E$2:E2515,"Gmail"),"")</f>
        <v/>
      </c>
      <c r="J2515">
        <f>IF(E2515="Outlook",COUNTIF($E$2:E2515,"Outlook"),"")</f>
        <v/>
      </c>
      <c r="K2515">
        <f>IF(E2515="Domain",COUNTIF($E$2:E2515,"Domain"),"")</f>
        <v/>
      </c>
    </row>
    <row r="2516">
      <c r="A2516" s="2" t="n"/>
      <c r="B2516">
        <f>LOWER(TRIM(A2516))</f>
        <v/>
      </c>
      <c r="C2516">
        <f>IF(B2516="","",IFERROR(INDEX('Bad Patterns'!$A$2:$A$120,MATCH(1,INDEX(--ISNUMBER(SEARCH('Bad Patterns'!$A$2:$A$120,B2516)),0),0)),""))</f>
        <v/>
      </c>
      <c r="D2516">
        <f>IF(B2516="","",IF(C2516&lt;&gt;"","REMOVE","KEEP"))</f>
        <v/>
      </c>
      <c r="E2516">
        <f>IF(D2516&lt;&gt;"KEEP","",IF(RIGHT(B2516,10)="@gmail.com","Gmail",IF(OR(RIGHT(B2516,12)="@outlook.com",RIGHT(B2516,12)="@hotmail.com",RIGHT(B2516,9)="@live.com"),"Outlook","Domain")))</f>
        <v/>
      </c>
      <c r="F2516">
        <f>IF(B2516="","",IFERROR(RIGHT(B2516,LEN(B2516)-FIND("@",B2516)),""))</f>
        <v/>
      </c>
      <c r="G2516">
        <f>IF(D2516="KEEP",COUNTIF($D$2:D2516,"KEEP"),"")</f>
        <v/>
      </c>
      <c r="H2516">
        <f>IF(D2516="REMOVE",COUNTIF($D$2:D2516,"REMOVE"),"")</f>
        <v/>
      </c>
      <c r="I2516">
        <f>IF(E2516="Gmail",COUNTIF($E$2:E2516,"Gmail"),"")</f>
        <v/>
      </c>
      <c r="J2516">
        <f>IF(E2516="Outlook",COUNTIF($E$2:E2516,"Outlook"),"")</f>
        <v/>
      </c>
      <c r="K2516">
        <f>IF(E2516="Domain",COUNTIF($E$2:E2516,"Domain"),"")</f>
        <v/>
      </c>
    </row>
    <row r="2517">
      <c r="A2517" s="2" t="n"/>
      <c r="B2517">
        <f>LOWER(TRIM(A2517))</f>
        <v/>
      </c>
      <c r="C2517">
        <f>IF(B2517="","",IFERROR(INDEX('Bad Patterns'!$A$2:$A$120,MATCH(1,INDEX(--ISNUMBER(SEARCH('Bad Patterns'!$A$2:$A$120,B2517)),0),0)),""))</f>
        <v/>
      </c>
      <c r="D2517">
        <f>IF(B2517="","",IF(C2517&lt;&gt;"","REMOVE","KEEP"))</f>
        <v/>
      </c>
      <c r="E2517">
        <f>IF(D2517&lt;&gt;"KEEP","",IF(RIGHT(B2517,10)="@gmail.com","Gmail",IF(OR(RIGHT(B2517,12)="@outlook.com",RIGHT(B2517,12)="@hotmail.com",RIGHT(B2517,9)="@live.com"),"Outlook","Domain")))</f>
        <v/>
      </c>
      <c r="F2517">
        <f>IF(B2517="","",IFERROR(RIGHT(B2517,LEN(B2517)-FIND("@",B2517)),""))</f>
        <v/>
      </c>
      <c r="G2517">
        <f>IF(D2517="KEEP",COUNTIF($D$2:D2517,"KEEP"),"")</f>
        <v/>
      </c>
      <c r="H2517">
        <f>IF(D2517="REMOVE",COUNTIF($D$2:D2517,"REMOVE"),"")</f>
        <v/>
      </c>
      <c r="I2517">
        <f>IF(E2517="Gmail",COUNTIF($E$2:E2517,"Gmail"),"")</f>
        <v/>
      </c>
      <c r="J2517">
        <f>IF(E2517="Outlook",COUNTIF($E$2:E2517,"Outlook"),"")</f>
        <v/>
      </c>
      <c r="K2517">
        <f>IF(E2517="Domain",COUNTIF($E$2:E2517,"Domain"),"")</f>
        <v/>
      </c>
    </row>
    <row r="2518">
      <c r="A2518" s="2" t="n"/>
      <c r="B2518">
        <f>LOWER(TRIM(A2518))</f>
        <v/>
      </c>
      <c r="C2518">
        <f>IF(B2518="","",IFERROR(INDEX('Bad Patterns'!$A$2:$A$120,MATCH(1,INDEX(--ISNUMBER(SEARCH('Bad Patterns'!$A$2:$A$120,B2518)),0),0)),""))</f>
        <v/>
      </c>
      <c r="D2518">
        <f>IF(B2518="","",IF(C2518&lt;&gt;"","REMOVE","KEEP"))</f>
        <v/>
      </c>
      <c r="E2518">
        <f>IF(D2518&lt;&gt;"KEEP","",IF(RIGHT(B2518,10)="@gmail.com","Gmail",IF(OR(RIGHT(B2518,12)="@outlook.com",RIGHT(B2518,12)="@hotmail.com",RIGHT(B2518,9)="@live.com"),"Outlook","Domain")))</f>
        <v/>
      </c>
      <c r="F2518">
        <f>IF(B2518="","",IFERROR(RIGHT(B2518,LEN(B2518)-FIND("@",B2518)),""))</f>
        <v/>
      </c>
      <c r="G2518">
        <f>IF(D2518="KEEP",COUNTIF($D$2:D2518,"KEEP"),"")</f>
        <v/>
      </c>
      <c r="H2518">
        <f>IF(D2518="REMOVE",COUNTIF($D$2:D2518,"REMOVE"),"")</f>
        <v/>
      </c>
      <c r="I2518">
        <f>IF(E2518="Gmail",COUNTIF($E$2:E2518,"Gmail"),"")</f>
        <v/>
      </c>
      <c r="J2518">
        <f>IF(E2518="Outlook",COUNTIF($E$2:E2518,"Outlook"),"")</f>
        <v/>
      </c>
      <c r="K2518">
        <f>IF(E2518="Domain",COUNTIF($E$2:E2518,"Domain"),"")</f>
        <v/>
      </c>
    </row>
    <row r="2519">
      <c r="A2519" s="2" t="n"/>
      <c r="B2519">
        <f>LOWER(TRIM(A2519))</f>
        <v/>
      </c>
      <c r="C2519">
        <f>IF(B2519="","",IFERROR(INDEX('Bad Patterns'!$A$2:$A$120,MATCH(1,INDEX(--ISNUMBER(SEARCH('Bad Patterns'!$A$2:$A$120,B2519)),0),0)),""))</f>
        <v/>
      </c>
      <c r="D2519">
        <f>IF(B2519="","",IF(C2519&lt;&gt;"","REMOVE","KEEP"))</f>
        <v/>
      </c>
      <c r="E2519">
        <f>IF(D2519&lt;&gt;"KEEP","",IF(RIGHT(B2519,10)="@gmail.com","Gmail",IF(OR(RIGHT(B2519,12)="@outlook.com",RIGHT(B2519,12)="@hotmail.com",RIGHT(B2519,9)="@live.com"),"Outlook","Domain")))</f>
        <v/>
      </c>
      <c r="F2519">
        <f>IF(B2519="","",IFERROR(RIGHT(B2519,LEN(B2519)-FIND("@",B2519)),""))</f>
        <v/>
      </c>
      <c r="G2519">
        <f>IF(D2519="KEEP",COUNTIF($D$2:D2519,"KEEP"),"")</f>
        <v/>
      </c>
      <c r="H2519">
        <f>IF(D2519="REMOVE",COUNTIF($D$2:D2519,"REMOVE"),"")</f>
        <v/>
      </c>
      <c r="I2519">
        <f>IF(E2519="Gmail",COUNTIF($E$2:E2519,"Gmail"),"")</f>
        <v/>
      </c>
      <c r="J2519">
        <f>IF(E2519="Outlook",COUNTIF($E$2:E2519,"Outlook"),"")</f>
        <v/>
      </c>
      <c r="K2519">
        <f>IF(E2519="Domain",COUNTIF($E$2:E2519,"Domain"),"")</f>
        <v/>
      </c>
    </row>
    <row r="2520">
      <c r="A2520" s="2" t="n"/>
      <c r="B2520">
        <f>LOWER(TRIM(A2520))</f>
        <v/>
      </c>
      <c r="C2520">
        <f>IF(B2520="","",IFERROR(INDEX('Bad Patterns'!$A$2:$A$120,MATCH(1,INDEX(--ISNUMBER(SEARCH('Bad Patterns'!$A$2:$A$120,B2520)),0),0)),""))</f>
        <v/>
      </c>
      <c r="D2520">
        <f>IF(B2520="","",IF(C2520&lt;&gt;"","REMOVE","KEEP"))</f>
        <v/>
      </c>
      <c r="E2520">
        <f>IF(D2520&lt;&gt;"KEEP","",IF(RIGHT(B2520,10)="@gmail.com","Gmail",IF(OR(RIGHT(B2520,12)="@outlook.com",RIGHT(B2520,12)="@hotmail.com",RIGHT(B2520,9)="@live.com"),"Outlook","Domain")))</f>
        <v/>
      </c>
      <c r="F2520">
        <f>IF(B2520="","",IFERROR(RIGHT(B2520,LEN(B2520)-FIND("@",B2520)),""))</f>
        <v/>
      </c>
      <c r="G2520">
        <f>IF(D2520="KEEP",COUNTIF($D$2:D2520,"KEEP"),"")</f>
        <v/>
      </c>
      <c r="H2520">
        <f>IF(D2520="REMOVE",COUNTIF($D$2:D2520,"REMOVE"),"")</f>
        <v/>
      </c>
      <c r="I2520">
        <f>IF(E2520="Gmail",COUNTIF($E$2:E2520,"Gmail"),"")</f>
        <v/>
      </c>
      <c r="J2520">
        <f>IF(E2520="Outlook",COUNTIF($E$2:E2520,"Outlook"),"")</f>
        <v/>
      </c>
      <c r="K2520">
        <f>IF(E2520="Domain",COUNTIF($E$2:E2520,"Domain"),"")</f>
        <v/>
      </c>
    </row>
    <row r="2521">
      <c r="A2521" s="2" t="n"/>
      <c r="B2521">
        <f>LOWER(TRIM(A2521))</f>
        <v/>
      </c>
      <c r="C2521">
        <f>IF(B2521="","",IFERROR(INDEX('Bad Patterns'!$A$2:$A$120,MATCH(1,INDEX(--ISNUMBER(SEARCH('Bad Patterns'!$A$2:$A$120,B2521)),0),0)),""))</f>
        <v/>
      </c>
      <c r="D2521">
        <f>IF(B2521="","",IF(C2521&lt;&gt;"","REMOVE","KEEP"))</f>
        <v/>
      </c>
      <c r="E2521">
        <f>IF(D2521&lt;&gt;"KEEP","",IF(RIGHT(B2521,10)="@gmail.com","Gmail",IF(OR(RIGHT(B2521,12)="@outlook.com",RIGHT(B2521,12)="@hotmail.com",RIGHT(B2521,9)="@live.com"),"Outlook","Domain")))</f>
        <v/>
      </c>
      <c r="F2521">
        <f>IF(B2521="","",IFERROR(RIGHT(B2521,LEN(B2521)-FIND("@",B2521)),""))</f>
        <v/>
      </c>
      <c r="G2521">
        <f>IF(D2521="KEEP",COUNTIF($D$2:D2521,"KEEP"),"")</f>
        <v/>
      </c>
      <c r="H2521">
        <f>IF(D2521="REMOVE",COUNTIF($D$2:D2521,"REMOVE"),"")</f>
        <v/>
      </c>
      <c r="I2521">
        <f>IF(E2521="Gmail",COUNTIF($E$2:E2521,"Gmail"),"")</f>
        <v/>
      </c>
      <c r="J2521">
        <f>IF(E2521="Outlook",COUNTIF($E$2:E2521,"Outlook"),"")</f>
        <v/>
      </c>
      <c r="K2521">
        <f>IF(E2521="Domain",COUNTIF($E$2:E2521,"Domain"),"")</f>
        <v/>
      </c>
    </row>
    <row r="2522">
      <c r="A2522" s="2" t="n"/>
      <c r="B2522">
        <f>LOWER(TRIM(A2522))</f>
        <v/>
      </c>
      <c r="C2522">
        <f>IF(B2522="","",IFERROR(INDEX('Bad Patterns'!$A$2:$A$120,MATCH(1,INDEX(--ISNUMBER(SEARCH('Bad Patterns'!$A$2:$A$120,B2522)),0),0)),""))</f>
        <v/>
      </c>
      <c r="D2522">
        <f>IF(B2522="","",IF(C2522&lt;&gt;"","REMOVE","KEEP"))</f>
        <v/>
      </c>
      <c r="E2522">
        <f>IF(D2522&lt;&gt;"KEEP","",IF(RIGHT(B2522,10)="@gmail.com","Gmail",IF(OR(RIGHT(B2522,12)="@outlook.com",RIGHT(B2522,12)="@hotmail.com",RIGHT(B2522,9)="@live.com"),"Outlook","Domain")))</f>
        <v/>
      </c>
      <c r="F2522">
        <f>IF(B2522="","",IFERROR(RIGHT(B2522,LEN(B2522)-FIND("@",B2522)),""))</f>
        <v/>
      </c>
      <c r="G2522">
        <f>IF(D2522="KEEP",COUNTIF($D$2:D2522,"KEEP"),"")</f>
        <v/>
      </c>
      <c r="H2522">
        <f>IF(D2522="REMOVE",COUNTIF($D$2:D2522,"REMOVE"),"")</f>
        <v/>
      </c>
      <c r="I2522">
        <f>IF(E2522="Gmail",COUNTIF($E$2:E2522,"Gmail"),"")</f>
        <v/>
      </c>
      <c r="J2522">
        <f>IF(E2522="Outlook",COUNTIF($E$2:E2522,"Outlook"),"")</f>
        <v/>
      </c>
      <c r="K2522">
        <f>IF(E2522="Domain",COUNTIF($E$2:E2522,"Domain"),"")</f>
        <v/>
      </c>
    </row>
    <row r="2523">
      <c r="A2523" s="2" t="n"/>
      <c r="B2523">
        <f>LOWER(TRIM(A2523))</f>
        <v/>
      </c>
      <c r="C2523">
        <f>IF(B2523="","",IFERROR(INDEX('Bad Patterns'!$A$2:$A$120,MATCH(1,INDEX(--ISNUMBER(SEARCH('Bad Patterns'!$A$2:$A$120,B2523)),0),0)),""))</f>
        <v/>
      </c>
      <c r="D2523">
        <f>IF(B2523="","",IF(C2523&lt;&gt;"","REMOVE","KEEP"))</f>
        <v/>
      </c>
      <c r="E2523">
        <f>IF(D2523&lt;&gt;"KEEP","",IF(RIGHT(B2523,10)="@gmail.com","Gmail",IF(OR(RIGHT(B2523,12)="@outlook.com",RIGHT(B2523,12)="@hotmail.com",RIGHT(B2523,9)="@live.com"),"Outlook","Domain")))</f>
        <v/>
      </c>
      <c r="F2523">
        <f>IF(B2523="","",IFERROR(RIGHT(B2523,LEN(B2523)-FIND("@",B2523)),""))</f>
        <v/>
      </c>
      <c r="G2523">
        <f>IF(D2523="KEEP",COUNTIF($D$2:D2523,"KEEP"),"")</f>
        <v/>
      </c>
      <c r="H2523">
        <f>IF(D2523="REMOVE",COUNTIF($D$2:D2523,"REMOVE"),"")</f>
        <v/>
      </c>
      <c r="I2523">
        <f>IF(E2523="Gmail",COUNTIF($E$2:E2523,"Gmail"),"")</f>
        <v/>
      </c>
      <c r="J2523">
        <f>IF(E2523="Outlook",COUNTIF($E$2:E2523,"Outlook"),"")</f>
        <v/>
      </c>
      <c r="K2523">
        <f>IF(E2523="Domain",COUNTIF($E$2:E2523,"Domain"),"")</f>
        <v/>
      </c>
    </row>
    <row r="2524">
      <c r="A2524" s="2" t="n"/>
      <c r="B2524">
        <f>LOWER(TRIM(A2524))</f>
        <v/>
      </c>
      <c r="C2524">
        <f>IF(B2524="","",IFERROR(INDEX('Bad Patterns'!$A$2:$A$120,MATCH(1,INDEX(--ISNUMBER(SEARCH('Bad Patterns'!$A$2:$A$120,B2524)),0),0)),""))</f>
        <v/>
      </c>
      <c r="D2524">
        <f>IF(B2524="","",IF(C2524&lt;&gt;"","REMOVE","KEEP"))</f>
        <v/>
      </c>
      <c r="E2524">
        <f>IF(D2524&lt;&gt;"KEEP","",IF(RIGHT(B2524,10)="@gmail.com","Gmail",IF(OR(RIGHT(B2524,12)="@outlook.com",RIGHT(B2524,12)="@hotmail.com",RIGHT(B2524,9)="@live.com"),"Outlook","Domain")))</f>
        <v/>
      </c>
      <c r="F2524">
        <f>IF(B2524="","",IFERROR(RIGHT(B2524,LEN(B2524)-FIND("@",B2524)),""))</f>
        <v/>
      </c>
      <c r="G2524">
        <f>IF(D2524="KEEP",COUNTIF($D$2:D2524,"KEEP"),"")</f>
        <v/>
      </c>
      <c r="H2524">
        <f>IF(D2524="REMOVE",COUNTIF($D$2:D2524,"REMOVE"),"")</f>
        <v/>
      </c>
      <c r="I2524">
        <f>IF(E2524="Gmail",COUNTIF($E$2:E2524,"Gmail"),"")</f>
        <v/>
      </c>
      <c r="J2524">
        <f>IF(E2524="Outlook",COUNTIF($E$2:E2524,"Outlook"),"")</f>
        <v/>
      </c>
      <c r="K2524">
        <f>IF(E2524="Domain",COUNTIF($E$2:E2524,"Domain"),"")</f>
        <v/>
      </c>
    </row>
    <row r="2525">
      <c r="A2525" s="2" t="n"/>
      <c r="B2525">
        <f>LOWER(TRIM(A2525))</f>
        <v/>
      </c>
      <c r="C2525">
        <f>IF(B2525="","",IFERROR(INDEX('Bad Patterns'!$A$2:$A$120,MATCH(1,INDEX(--ISNUMBER(SEARCH('Bad Patterns'!$A$2:$A$120,B2525)),0),0)),""))</f>
        <v/>
      </c>
      <c r="D2525">
        <f>IF(B2525="","",IF(C2525&lt;&gt;"","REMOVE","KEEP"))</f>
        <v/>
      </c>
      <c r="E2525">
        <f>IF(D2525&lt;&gt;"KEEP","",IF(RIGHT(B2525,10)="@gmail.com","Gmail",IF(OR(RIGHT(B2525,12)="@outlook.com",RIGHT(B2525,12)="@hotmail.com",RIGHT(B2525,9)="@live.com"),"Outlook","Domain")))</f>
        <v/>
      </c>
      <c r="F2525">
        <f>IF(B2525="","",IFERROR(RIGHT(B2525,LEN(B2525)-FIND("@",B2525)),""))</f>
        <v/>
      </c>
      <c r="G2525">
        <f>IF(D2525="KEEP",COUNTIF($D$2:D2525,"KEEP"),"")</f>
        <v/>
      </c>
      <c r="H2525">
        <f>IF(D2525="REMOVE",COUNTIF($D$2:D2525,"REMOVE"),"")</f>
        <v/>
      </c>
      <c r="I2525">
        <f>IF(E2525="Gmail",COUNTIF($E$2:E2525,"Gmail"),"")</f>
        <v/>
      </c>
      <c r="J2525">
        <f>IF(E2525="Outlook",COUNTIF($E$2:E2525,"Outlook"),"")</f>
        <v/>
      </c>
      <c r="K2525">
        <f>IF(E2525="Domain",COUNTIF($E$2:E2525,"Domain"),"")</f>
        <v/>
      </c>
    </row>
    <row r="2526">
      <c r="A2526" s="2" t="n"/>
      <c r="B2526">
        <f>LOWER(TRIM(A2526))</f>
        <v/>
      </c>
      <c r="C2526">
        <f>IF(B2526="","",IFERROR(INDEX('Bad Patterns'!$A$2:$A$120,MATCH(1,INDEX(--ISNUMBER(SEARCH('Bad Patterns'!$A$2:$A$120,B2526)),0),0)),""))</f>
        <v/>
      </c>
      <c r="D2526">
        <f>IF(B2526="","",IF(C2526&lt;&gt;"","REMOVE","KEEP"))</f>
        <v/>
      </c>
      <c r="E2526">
        <f>IF(D2526&lt;&gt;"KEEP","",IF(RIGHT(B2526,10)="@gmail.com","Gmail",IF(OR(RIGHT(B2526,12)="@outlook.com",RIGHT(B2526,12)="@hotmail.com",RIGHT(B2526,9)="@live.com"),"Outlook","Domain")))</f>
        <v/>
      </c>
      <c r="F2526">
        <f>IF(B2526="","",IFERROR(RIGHT(B2526,LEN(B2526)-FIND("@",B2526)),""))</f>
        <v/>
      </c>
      <c r="G2526">
        <f>IF(D2526="KEEP",COUNTIF($D$2:D2526,"KEEP"),"")</f>
        <v/>
      </c>
      <c r="H2526">
        <f>IF(D2526="REMOVE",COUNTIF($D$2:D2526,"REMOVE"),"")</f>
        <v/>
      </c>
      <c r="I2526">
        <f>IF(E2526="Gmail",COUNTIF($E$2:E2526,"Gmail"),"")</f>
        <v/>
      </c>
      <c r="J2526">
        <f>IF(E2526="Outlook",COUNTIF($E$2:E2526,"Outlook"),"")</f>
        <v/>
      </c>
      <c r="K2526">
        <f>IF(E2526="Domain",COUNTIF($E$2:E2526,"Domain"),"")</f>
        <v/>
      </c>
    </row>
    <row r="2527">
      <c r="A2527" s="2" t="n"/>
      <c r="B2527">
        <f>LOWER(TRIM(A2527))</f>
        <v/>
      </c>
      <c r="C2527">
        <f>IF(B2527="","",IFERROR(INDEX('Bad Patterns'!$A$2:$A$120,MATCH(1,INDEX(--ISNUMBER(SEARCH('Bad Patterns'!$A$2:$A$120,B2527)),0),0)),""))</f>
        <v/>
      </c>
      <c r="D2527">
        <f>IF(B2527="","",IF(C2527&lt;&gt;"","REMOVE","KEEP"))</f>
        <v/>
      </c>
      <c r="E2527">
        <f>IF(D2527&lt;&gt;"KEEP","",IF(RIGHT(B2527,10)="@gmail.com","Gmail",IF(OR(RIGHT(B2527,12)="@outlook.com",RIGHT(B2527,12)="@hotmail.com",RIGHT(B2527,9)="@live.com"),"Outlook","Domain")))</f>
        <v/>
      </c>
      <c r="F2527">
        <f>IF(B2527="","",IFERROR(RIGHT(B2527,LEN(B2527)-FIND("@",B2527)),""))</f>
        <v/>
      </c>
      <c r="G2527">
        <f>IF(D2527="KEEP",COUNTIF($D$2:D2527,"KEEP"),"")</f>
        <v/>
      </c>
      <c r="H2527">
        <f>IF(D2527="REMOVE",COUNTIF($D$2:D2527,"REMOVE"),"")</f>
        <v/>
      </c>
      <c r="I2527">
        <f>IF(E2527="Gmail",COUNTIF($E$2:E2527,"Gmail"),"")</f>
        <v/>
      </c>
      <c r="J2527">
        <f>IF(E2527="Outlook",COUNTIF($E$2:E2527,"Outlook"),"")</f>
        <v/>
      </c>
      <c r="K2527">
        <f>IF(E2527="Domain",COUNTIF($E$2:E2527,"Domain"),"")</f>
        <v/>
      </c>
    </row>
    <row r="2528">
      <c r="A2528" s="2" t="n"/>
      <c r="B2528">
        <f>LOWER(TRIM(A2528))</f>
        <v/>
      </c>
      <c r="C2528">
        <f>IF(B2528="","",IFERROR(INDEX('Bad Patterns'!$A$2:$A$120,MATCH(1,INDEX(--ISNUMBER(SEARCH('Bad Patterns'!$A$2:$A$120,B2528)),0),0)),""))</f>
        <v/>
      </c>
      <c r="D2528">
        <f>IF(B2528="","",IF(C2528&lt;&gt;"","REMOVE","KEEP"))</f>
        <v/>
      </c>
      <c r="E2528">
        <f>IF(D2528&lt;&gt;"KEEP","",IF(RIGHT(B2528,10)="@gmail.com","Gmail",IF(OR(RIGHT(B2528,12)="@outlook.com",RIGHT(B2528,12)="@hotmail.com",RIGHT(B2528,9)="@live.com"),"Outlook","Domain")))</f>
        <v/>
      </c>
      <c r="F2528">
        <f>IF(B2528="","",IFERROR(RIGHT(B2528,LEN(B2528)-FIND("@",B2528)),""))</f>
        <v/>
      </c>
      <c r="G2528">
        <f>IF(D2528="KEEP",COUNTIF($D$2:D2528,"KEEP"),"")</f>
        <v/>
      </c>
      <c r="H2528">
        <f>IF(D2528="REMOVE",COUNTIF($D$2:D2528,"REMOVE"),"")</f>
        <v/>
      </c>
      <c r="I2528">
        <f>IF(E2528="Gmail",COUNTIF($E$2:E2528,"Gmail"),"")</f>
        <v/>
      </c>
      <c r="J2528">
        <f>IF(E2528="Outlook",COUNTIF($E$2:E2528,"Outlook"),"")</f>
        <v/>
      </c>
      <c r="K2528">
        <f>IF(E2528="Domain",COUNTIF($E$2:E2528,"Domain"),"")</f>
        <v/>
      </c>
    </row>
    <row r="2529">
      <c r="A2529" s="2" t="n"/>
      <c r="B2529">
        <f>LOWER(TRIM(A2529))</f>
        <v/>
      </c>
      <c r="C2529">
        <f>IF(B2529="","",IFERROR(INDEX('Bad Patterns'!$A$2:$A$120,MATCH(1,INDEX(--ISNUMBER(SEARCH('Bad Patterns'!$A$2:$A$120,B2529)),0),0)),""))</f>
        <v/>
      </c>
      <c r="D2529">
        <f>IF(B2529="","",IF(C2529&lt;&gt;"","REMOVE","KEEP"))</f>
        <v/>
      </c>
      <c r="E2529">
        <f>IF(D2529&lt;&gt;"KEEP","",IF(RIGHT(B2529,10)="@gmail.com","Gmail",IF(OR(RIGHT(B2529,12)="@outlook.com",RIGHT(B2529,12)="@hotmail.com",RIGHT(B2529,9)="@live.com"),"Outlook","Domain")))</f>
        <v/>
      </c>
      <c r="F2529">
        <f>IF(B2529="","",IFERROR(RIGHT(B2529,LEN(B2529)-FIND("@",B2529)),""))</f>
        <v/>
      </c>
      <c r="G2529">
        <f>IF(D2529="KEEP",COUNTIF($D$2:D2529,"KEEP"),"")</f>
        <v/>
      </c>
      <c r="H2529">
        <f>IF(D2529="REMOVE",COUNTIF($D$2:D2529,"REMOVE"),"")</f>
        <v/>
      </c>
      <c r="I2529">
        <f>IF(E2529="Gmail",COUNTIF($E$2:E2529,"Gmail"),"")</f>
        <v/>
      </c>
      <c r="J2529">
        <f>IF(E2529="Outlook",COUNTIF($E$2:E2529,"Outlook"),"")</f>
        <v/>
      </c>
      <c r="K2529">
        <f>IF(E2529="Domain",COUNTIF($E$2:E2529,"Domain"),"")</f>
        <v/>
      </c>
    </row>
    <row r="2530">
      <c r="A2530" s="2" t="n"/>
      <c r="B2530">
        <f>LOWER(TRIM(A2530))</f>
        <v/>
      </c>
      <c r="C2530">
        <f>IF(B2530="","",IFERROR(INDEX('Bad Patterns'!$A$2:$A$120,MATCH(1,INDEX(--ISNUMBER(SEARCH('Bad Patterns'!$A$2:$A$120,B2530)),0),0)),""))</f>
        <v/>
      </c>
      <c r="D2530">
        <f>IF(B2530="","",IF(C2530&lt;&gt;"","REMOVE","KEEP"))</f>
        <v/>
      </c>
      <c r="E2530">
        <f>IF(D2530&lt;&gt;"KEEP","",IF(RIGHT(B2530,10)="@gmail.com","Gmail",IF(OR(RIGHT(B2530,12)="@outlook.com",RIGHT(B2530,12)="@hotmail.com",RIGHT(B2530,9)="@live.com"),"Outlook","Domain")))</f>
        <v/>
      </c>
      <c r="F2530">
        <f>IF(B2530="","",IFERROR(RIGHT(B2530,LEN(B2530)-FIND("@",B2530)),""))</f>
        <v/>
      </c>
      <c r="G2530">
        <f>IF(D2530="KEEP",COUNTIF($D$2:D2530,"KEEP"),"")</f>
        <v/>
      </c>
      <c r="H2530">
        <f>IF(D2530="REMOVE",COUNTIF($D$2:D2530,"REMOVE"),"")</f>
        <v/>
      </c>
      <c r="I2530">
        <f>IF(E2530="Gmail",COUNTIF($E$2:E2530,"Gmail"),"")</f>
        <v/>
      </c>
      <c r="J2530">
        <f>IF(E2530="Outlook",COUNTIF($E$2:E2530,"Outlook"),"")</f>
        <v/>
      </c>
      <c r="K2530">
        <f>IF(E2530="Domain",COUNTIF($E$2:E2530,"Domain"),"")</f>
        <v/>
      </c>
    </row>
    <row r="2531">
      <c r="A2531" s="2" t="n"/>
      <c r="B2531">
        <f>LOWER(TRIM(A2531))</f>
        <v/>
      </c>
      <c r="C2531">
        <f>IF(B2531="","",IFERROR(INDEX('Bad Patterns'!$A$2:$A$120,MATCH(1,INDEX(--ISNUMBER(SEARCH('Bad Patterns'!$A$2:$A$120,B2531)),0),0)),""))</f>
        <v/>
      </c>
      <c r="D2531">
        <f>IF(B2531="","",IF(C2531&lt;&gt;"","REMOVE","KEEP"))</f>
        <v/>
      </c>
      <c r="E2531">
        <f>IF(D2531&lt;&gt;"KEEP","",IF(RIGHT(B2531,10)="@gmail.com","Gmail",IF(OR(RIGHT(B2531,12)="@outlook.com",RIGHT(B2531,12)="@hotmail.com",RIGHT(B2531,9)="@live.com"),"Outlook","Domain")))</f>
        <v/>
      </c>
      <c r="F2531">
        <f>IF(B2531="","",IFERROR(RIGHT(B2531,LEN(B2531)-FIND("@",B2531)),""))</f>
        <v/>
      </c>
      <c r="G2531">
        <f>IF(D2531="KEEP",COUNTIF($D$2:D2531,"KEEP"),"")</f>
        <v/>
      </c>
      <c r="H2531">
        <f>IF(D2531="REMOVE",COUNTIF($D$2:D2531,"REMOVE"),"")</f>
        <v/>
      </c>
      <c r="I2531">
        <f>IF(E2531="Gmail",COUNTIF($E$2:E2531,"Gmail"),"")</f>
        <v/>
      </c>
      <c r="J2531">
        <f>IF(E2531="Outlook",COUNTIF($E$2:E2531,"Outlook"),"")</f>
        <v/>
      </c>
      <c r="K2531">
        <f>IF(E2531="Domain",COUNTIF($E$2:E2531,"Domain"),"")</f>
        <v/>
      </c>
    </row>
    <row r="2532">
      <c r="A2532" s="2" t="n"/>
      <c r="B2532">
        <f>LOWER(TRIM(A2532))</f>
        <v/>
      </c>
      <c r="C2532">
        <f>IF(B2532="","",IFERROR(INDEX('Bad Patterns'!$A$2:$A$120,MATCH(1,INDEX(--ISNUMBER(SEARCH('Bad Patterns'!$A$2:$A$120,B2532)),0),0)),""))</f>
        <v/>
      </c>
      <c r="D2532">
        <f>IF(B2532="","",IF(C2532&lt;&gt;"","REMOVE","KEEP"))</f>
        <v/>
      </c>
      <c r="E2532">
        <f>IF(D2532&lt;&gt;"KEEP","",IF(RIGHT(B2532,10)="@gmail.com","Gmail",IF(OR(RIGHT(B2532,12)="@outlook.com",RIGHT(B2532,12)="@hotmail.com",RIGHT(B2532,9)="@live.com"),"Outlook","Domain")))</f>
        <v/>
      </c>
      <c r="F2532">
        <f>IF(B2532="","",IFERROR(RIGHT(B2532,LEN(B2532)-FIND("@",B2532)),""))</f>
        <v/>
      </c>
      <c r="G2532">
        <f>IF(D2532="KEEP",COUNTIF($D$2:D2532,"KEEP"),"")</f>
        <v/>
      </c>
      <c r="H2532">
        <f>IF(D2532="REMOVE",COUNTIF($D$2:D2532,"REMOVE"),"")</f>
        <v/>
      </c>
      <c r="I2532">
        <f>IF(E2532="Gmail",COUNTIF($E$2:E2532,"Gmail"),"")</f>
        <v/>
      </c>
      <c r="J2532">
        <f>IF(E2532="Outlook",COUNTIF($E$2:E2532,"Outlook"),"")</f>
        <v/>
      </c>
      <c r="K2532">
        <f>IF(E2532="Domain",COUNTIF($E$2:E2532,"Domain"),"")</f>
        <v/>
      </c>
    </row>
    <row r="2533">
      <c r="A2533" s="2" t="n"/>
      <c r="B2533">
        <f>LOWER(TRIM(A2533))</f>
        <v/>
      </c>
      <c r="C2533">
        <f>IF(B2533="","",IFERROR(INDEX('Bad Patterns'!$A$2:$A$120,MATCH(1,INDEX(--ISNUMBER(SEARCH('Bad Patterns'!$A$2:$A$120,B2533)),0),0)),""))</f>
        <v/>
      </c>
      <c r="D2533">
        <f>IF(B2533="","",IF(C2533&lt;&gt;"","REMOVE","KEEP"))</f>
        <v/>
      </c>
      <c r="E2533">
        <f>IF(D2533&lt;&gt;"KEEP","",IF(RIGHT(B2533,10)="@gmail.com","Gmail",IF(OR(RIGHT(B2533,12)="@outlook.com",RIGHT(B2533,12)="@hotmail.com",RIGHT(B2533,9)="@live.com"),"Outlook","Domain")))</f>
        <v/>
      </c>
      <c r="F2533">
        <f>IF(B2533="","",IFERROR(RIGHT(B2533,LEN(B2533)-FIND("@",B2533)),""))</f>
        <v/>
      </c>
      <c r="G2533">
        <f>IF(D2533="KEEP",COUNTIF($D$2:D2533,"KEEP"),"")</f>
        <v/>
      </c>
      <c r="H2533">
        <f>IF(D2533="REMOVE",COUNTIF($D$2:D2533,"REMOVE"),"")</f>
        <v/>
      </c>
      <c r="I2533">
        <f>IF(E2533="Gmail",COUNTIF($E$2:E2533,"Gmail"),"")</f>
        <v/>
      </c>
      <c r="J2533">
        <f>IF(E2533="Outlook",COUNTIF($E$2:E2533,"Outlook"),"")</f>
        <v/>
      </c>
      <c r="K2533">
        <f>IF(E2533="Domain",COUNTIF($E$2:E2533,"Domain"),"")</f>
        <v/>
      </c>
    </row>
    <row r="2534">
      <c r="A2534" s="2" t="n"/>
      <c r="B2534">
        <f>LOWER(TRIM(A2534))</f>
        <v/>
      </c>
      <c r="C2534">
        <f>IF(B2534="","",IFERROR(INDEX('Bad Patterns'!$A$2:$A$120,MATCH(1,INDEX(--ISNUMBER(SEARCH('Bad Patterns'!$A$2:$A$120,B2534)),0),0)),""))</f>
        <v/>
      </c>
      <c r="D2534">
        <f>IF(B2534="","",IF(C2534&lt;&gt;"","REMOVE","KEEP"))</f>
        <v/>
      </c>
      <c r="E2534">
        <f>IF(D2534&lt;&gt;"KEEP","",IF(RIGHT(B2534,10)="@gmail.com","Gmail",IF(OR(RIGHT(B2534,12)="@outlook.com",RIGHT(B2534,12)="@hotmail.com",RIGHT(B2534,9)="@live.com"),"Outlook","Domain")))</f>
        <v/>
      </c>
      <c r="F2534">
        <f>IF(B2534="","",IFERROR(RIGHT(B2534,LEN(B2534)-FIND("@",B2534)),""))</f>
        <v/>
      </c>
      <c r="G2534">
        <f>IF(D2534="KEEP",COUNTIF($D$2:D2534,"KEEP"),"")</f>
        <v/>
      </c>
      <c r="H2534">
        <f>IF(D2534="REMOVE",COUNTIF($D$2:D2534,"REMOVE"),"")</f>
        <v/>
      </c>
      <c r="I2534">
        <f>IF(E2534="Gmail",COUNTIF($E$2:E2534,"Gmail"),"")</f>
        <v/>
      </c>
      <c r="J2534">
        <f>IF(E2534="Outlook",COUNTIF($E$2:E2534,"Outlook"),"")</f>
        <v/>
      </c>
      <c r="K2534">
        <f>IF(E2534="Domain",COUNTIF($E$2:E2534,"Domain"),"")</f>
        <v/>
      </c>
    </row>
    <row r="2535">
      <c r="A2535" s="2" t="n"/>
      <c r="B2535">
        <f>LOWER(TRIM(A2535))</f>
        <v/>
      </c>
      <c r="C2535">
        <f>IF(B2535="","",IFERROR(INDEX('Bad Patterns'!$A$2:$A$120,MATCH(1,INDEX(--ISNUMBER(SEARCH('Bad Patterns'!$A$2:$A$120,B2535)),0),0)),""))</f>
        <v/>
      </c>
      <c r="D2535">
        <f>IF(B2535="","",IF(C2535&lt;&gt;"","REMOVE","KEEP"))</f>
        <v/>
      </c>
      <c r="E2535">
        <f>IF(D2535&lt;&gt;"KEEP","",IF(RIGHT(B2535,10)="@gmail.com","Gmail",IF(OR(RIGHT(B2535,12)="@outlook.com",RIGHT(B2535,12)="@hotmail.com",RIGHT(B2535,9)="@live.com"),"Outlook","Domain")))</f>
        <v/>
      </c>
      <c r="F2535">
        <f>IF(B2535="","",IFERROR(RIGHT(B2535,LEN(B2535)-FIND("@",B2535)),""))</f>
        <v/>
      </c>
      <c r="G2535">
        <f>IF(D2535="KEEP",COUNTIF($D$2:D2535,"KEEP"),"")</f>
        <v/>
      </c>
      <c r="H2535">
        <f>IF(D2535="REMOVE",COUNTIF($D$2:D2535,"REMOVE"),"")</f>
        <v/>
      </c>
      <c r="I2535">
        <f>IF(E2535="Gmail",COUNTIF($E$2:E2535,"Gmail"),"")</f>
        <v/>
      </c>
      <c r="J2535">
        <f>IF(E2535="Outlook",COUNTIF($E$2:E2535,"Outlook"),"")</f>
        <v/>
      </c>
      <c r="K2535">
        <f>IF(E2535="Domain",COUNTIF($E$2:E2535,"Domain"),"")</f>
        <v/>
      </c>
    </row>
    <row r="2536">
      <c r="A2536" s="2" t="n"/>
      <c r="B2536">
        <f>LOWER(TRIM(A2536))</f>
        <v/>
      </c>
      <c r="C2536">
        <f>IF(B2536="","",IFERROR(INDEX('Bad Patterns'!$A$2:$A$120,MATCH(1,INDEX(--ISNUMBER(SEARCH('Bad Patterns'!$A$2:$A$120,B2536)),0),0)),""))</f>
        <v/>
      </c>
      <c r="D2536">
        <f>IF(B2536="","",IF(C2536&lt;&gt;"","REMOVE","KEEP"))</f>
        <v/>
      </c>
      <c r="E2536">
        <f>IF(D2536&lt;&gt;"KEEP","",IF(RIGHT(B2536,10)="@gmail.com","Gmail",IF(OR(RIGHT(B2536,12)="@outlook.com",RIGHT(B2536,12)="@hotmail.com",RIGHT(B2536,9)="@live.com"),"Outlook","Domain")))</f>
        <v/>
      </c>
      <c r="F2536">
        <f>IF(B2536="","",IFERROR(RIGHT(B2536,LEN(B2536)-FIND("@",B2536)),""))</f>
        <v/>
      </c>
      <c r="G2536">
        <f>IF(D2536="KEEP",COUNTIF($D$2:D2536,"KEEP"),"")</f>
        <v/>
      </c>
      <c r="H2536">
        <f>IF(D2536="REMOVE",COUNTIF($D$2:D2536,"REMOVE"),"")</f>
        <v/>
      </c>
      <c r="I2536">
        <f>IF(E2536="Gmail",COUNTIF($E$2:E2536,"Gmail"),"")</f>
        <v/>
      </c>
      <c r="J2536">
        <f>IF(E2536="Outlook",COUNTIF($E$2:E2536,"Outlook"),"")</f>
        <v/>
      </c>
      <c r="K2536">
        <f>IF(E2536="Domain",COUNTIF($E$2:E2536,"Domain"),"")</f>
        <v/>
      </c>
    </row>
    <row r="2537">
      <c r="A2537" s="2" t="n"/>
      <c r="B2537">
        <f>LOWER(TRIM(A2537))</f>
        <v/>
      </c>
      <c r="C2537">
        <f>IF(B2537="","",IFERROR(INDEX('Bad Patterns'!$A$2:$A$120,MATCH(1,INDEX(--ISNUMBER(SEARCH('Bad Patterns'!$A$2:$A$120,B2537)),0),0)),""))</f>
        <v/>
      </c>
      <c r="D2537">
        <f>IF(B2537="","",IF(C2537&lt;&gt;"","REMOVE","KEEP"))</f>
        <v/>
      </c>
      <c r="E2537">
        <f>IF(D2537&lt;&gt;"KEEP","",IF(RIGHT(B2537,10)="@gmail.com","Gmail",IF(OR(RIGHT(B2537,12)="@outlook.com",RIGHT(B2537,12)="@hotmail.com",RIGHT(B2537,9)="@live.com"),"Outlook","Domain")))</f>
        <v/>
      </c>
      <c r="F2537">
        <f>IF(B2537="","",IFERROR(RIGHT(B2537,LEN(B2537)-FIND("@",B2537)),""))</f>
        <v/>
      </c>
      <c r="G2537">
        <f>IF(D2537="KEEP",COUNTIF($D$2:D2537,"KEEP"),"")</f>
        <v/>
      </c>
      <c r="H2537">
        <f>IF(D2537="REMOVE",COUNTIF($D$2:D2537,"REMOVE"),"")</f>
        <v/>
      </c>
      <c r="I2537">
        <f>IF(E2537="Gmail",COUNTIF($E$2:E2537,"Gmail"),"")</f>
        <v/>
      </c>
      <c r="J2537">
        <f>IF(E2537="Outlook",COUNTIF($E$2:E2537,"Outlook"),"")</f>
        <v/>
      </c>
      <c r="K2537">
        <f>IF(E2537="Domain",COUNTIF($E$2:E2537,"Domain"),"")</f>
        <v/>
      </c>
    </row>
    <row r="2538">
      <c r="A2538" s="2" t="n"/>
      <c r="B2538">
        <f>LOWER(TRIM(A2538))</f>
        <v/>
      </c>
      <c r="C2538">
        <f>IF(B2538="","",IFERROR(INDEX('Bad Patterns'!$A$2:$A$120,MATCH(1,INDEX(--ISNUMBER(SEARCH('Bad Patterns'!$A$2:$A$120,B2538)),0),0)),""))</f>
        <v/>
      </c>
      <c r="D2538">
        <f>IF(B2538="","",IF(C2538&lt;&gt;"","REMOVE","KEEP"))</f>
        <v/>
      </c>
      <c r="E2538">
        <f>IF(D2538&lt;&gt;"KEEP","",IF(RIGHT(B2538,10)="@gmail.com","Gmail",IF(OR(RIGHT(B2538,12)="@outlook.com",RIGHT(B2538,12)="@hotmail.com",RIGHT(B2538,9)="@live.com"),"Outlook","Domain")))</f>
        <v/>
      </c>
      <c r="F2538">
        <f>IF(B2538="","",IFERROR(RIGHT(B2538,LEN(B2538)-FIND("@",B2538)),""))</f>
        <v/>
      </c>
      <c r="G2538">
        <f>IF(D2538="KEEP",COUNTIF($D$2:D2538,"KEEP"),"")</f>
        <v/>
      </c>
      <c r="H2538">
        <f>IF(D2538="REMOVE",COUNTIF($D$2:D2538,"REMOVE"),"")</f>
        <v/>
      </c>
      <c r="I2538">
        <f>IF(E2538="Gmail",COUNTIF($E$2:E2538,"Gmail"),"")</f>
        <v/>
      </c>
      <c r="J2538">
        <f>IF(E2538="Outlook",COUNTIF($E$2:E2538,"Outlook"),"")</f>
        <v/>
      </c>
      <c r="K2538">
        <f>IF(E2538="Domain",COUNTIF($E$2:E2538,"Domain"),"")</f>
        <v/>
      </c>
    </row>
    <row r="2539">
      <c r="A2539" s="2" t="n"/>
      <c r="B2539">
        <f>LOWER(TRIM(A2539))</f>
        <v/>
      </c>
      <c r="C2539">
        <f>IF(B2539="","",IFERROR(INDEX('Bad Patterns'!$A$2:$A$120,MATCH(1,INDEX(--ISNUMBER(SEARCH('Bad Patterns'!$A$2:$A$120,B2539)),0),0)),""))</f>
        <v/>
      </c>
      <c r="D2539">
        <f>IF(B2539="","",IF(C2539&lt;&gt;"","REMOVE","KEEP"))</f>
        <v/>
      </c>
      <c r="E2539">
        <f>IF(D2539&lt;&gt;"KEEP","",IF(RIGHT(B2539,10)="@gmail.com","Gmail",IF(OR(RIGHT(B2539,12)="@outlook.com",RIGHT(B2539,12)="@hotmail.com",RIGHT(B2539,9)="@live.com"),"Outlook","Domain")))</f>
        <v/>
      </c>
      <c r="F2539">
        <f>IF(B2539="","",IFERROR(RIGHT(B2539,LEN(B2539)-FIND("@",B2539)),""))</f>
        <v/>
      </c>
      <c r="G2539">
        <f>IF(D2539="KEEP",COUNTIF($D$2:D2539,"KEEP"),"")</f>
        <v/>
      </c>
      <c r="H2539">
        <f>IF(D2539="REMOVE",COUNTIF($D$2:D2539,"REMOVE"),"")</f>
        <v/>
      </c>
      <c r="I2539">
        <f>IF(E2539="Gmail",COUNTIF($E$2:E2539,"Gmail"),"")</f>
        <v/>
      </c>
      <c r="J2539">
        <f>IF(E2539="Outlook",COUNTIF($E$2:E2539,"Outlook"),"")</f>
        <v/>
      </c>
      <c r="K2539">
        <f>IF(E2539="Domain",COUNTIF($E$2:E2539,"Domain"),"")</f>
        <v/>
      </c>
    </row>
    <row r="2540">
      <c r="A2540" s="2" t="n"/>
      <c r="B2540">
        <f>LOWER(TRIM(A2540))</f>
        <v/>
      </c>
      <c r="C2540">
        <f>IF(B2540="","",IFERROR(INDEX('Bad Patterns'!$A$2:$A$120,MATCH(1,INDEX(--ISNUMBER(SEARCH('Bad Patterns'!$A$2:$A$120,B2540)),0),0)),""))</f>
        <v/>
      </c>
      <c r="D2540">
        <f>IF(B2540="","",IF(C2540&lt;&gt;"","REMOVE","KEEP"))</f>
        <v/>
      </c>
      <c r="E2540">
        <f>IF(D2540&lt;&gt;"KEEP","",IF(RIGHT(B2540,10)="@gmail.com","Gmail",IF(OR(RIGHT(B2540,12)="@outlook.com",RIGHT(B2540,12)="@hotmail.com",RIGHT(B2540,9)="@live.com"),"Outlook","Domain")))</f>
        <v/>
      </c>
      <c r="F2540">
        <f>IF(B2540="","",IFERROR(RIGHT(B2540,LEN(B2540)-FIND("@",B2540)),""))</f>
        <v/>
      </c>
      <c r="G2540">
        <f>IF(D2540="KEEP",COUNTIF($D$2:D2540,"KEEP"),"")</f>
        <v/>
      </c>
      <c r="H2540">
        <f>IF(D2540="REMOVE",COUNTIF($D$2:D2540,"REMOVE"),"")</f>
        <v/>
      </c>
      <c r="I2540">
        <f>IF(E2540="Gmail",COUNTIF($E$2:E2540,"Gmail"),"")</f>
        <v/>
      </c>
      <c r="J2540">
        <f>IF(E2540="Outlook",COUNTIF($E$2:E2540,"Outlook"),"")</f>
        <v/>
      </c>
      <c r="K2540">
        <f>IF(E2540="Domain",COUNTIF($E$2:E2540,"Domain"),"")</f>
        <v/>
      </c>
    </row>
    <row r="2541">
      <c r="A2541" s="2" t="n"/>
      <c r="B2541">
        <f>LOWER(TRIM(A2541))</f>
        <v/>
      </c>
      <c r="C2541">
        <f>IF(B2541="","",IFERROR(INDEX('Bad Patterns'!$A$2:$A$120,MATCH(1,INDEX(--ISNUMBER(SEARCH('Bad Patterns'!$A$2:$A$120,B2541)),0),0)),""))</f>
        <v/>
      </c>
      <c r="D2541">
        <f>IF(B2541="","",IF(C2541&lt;&gt;"","REMOVE","KEEP"))</f>
        <v/>
      </c>
      <c r="E2541">
        <f>IF(D2541&lt;&gt;"KEEP","",IF(RIGHT(B2541,10)="@gmail.com","Gmail",IF(OR(RIGHT(B2541,12)="@outlook.com",RIGHT(B2541,12)="@hotmail.com",RIGHT(B2541,9)="@live.com"),"Outlook","Domain")))</f>
        <v/>
      </c>
      <c r="F2541">
        <f>IF(B2541="","",IFERROR(RIGHT(B2541,LEN(B2541)-FIND("@",B2541)),""))</f>
        <v/>
      </c>
      <c r="G2541">
        <f>IF(D2541="KEEP",COUNTIF($D$2:D2541,"KEEP"),"")</f>
        <v/>
      </c>
      <c r="H2541">
        <f>IF(D2541="REMOVE",COUNTIF($D$2:D2541,"REMOVE"),"")</f>
        <v/>
      </c>
      <c r="I2541">
        <f>IF(E2541="Gmail",COUNTIF($E$2:E2541,"Gmail"),"")</f>
        <v/>
      </c>
      <c r="J2541">
        <f>IF(E2541="Outlook",COUNTIF($E$2:E2541,"Outlook"),"")</f>
        <v/>
      </c>
      <c r="K2541">
        <f>IF(E2541="Domain",COUNTIF($E$2:E2541,"Domain"),"")</f>
        <v/>
      </c>
    </row>
    <row r="2542">
      <c r="A2542" s="2" t="n"/>
      <c r="B2542">
        <f>LOWER(TRIM(A2542))</f>
        <v/>
      </c>
      <c r="C2542">
        <f>IF(B2542="","",IFERROR(INDEX('Bad Patterns'!$A$2:$A$120,MATCH(1,INDEX(--ISNUMBER(SEARCH('Bad Patterns'!$A$2:$A$120,B2542)),0),0)),""))</f>
        <v/>
      </c>
      <c r="D2542">
        <f>IF(B2542="","",IF(C2542&lt;&gt;"","REMOVE","KEEP"))</f>
        <v/>
      </c>
      <c r="E2542">
        <f>IF(D2542&lt;&gt;"KEEP","",IF(RIGHT(B2542,10)="@gmail.com","Gmail",IF(OR(RIGHT(B2542,12)="@outlook.com",RIGHT(B2542,12)="@hotmail.com",RIGHT(B2542,9)="@live.com"),"Outlook","Domain")))</f>
        <v/>
      </c>
      <c r="F2542">
        <f>IF(B2542="","",IFERROR(RIGHT(B2542,LEN(B2542)-FIND("@",B2542)),""))</f>
        <v/>
      </c>
      <c r="G2542">
        <f>IF(D2542="KEEP",COUNTIF($D$2:D2542,"KEEP"),"")</f>
        <v/>
      </c>
      <c r="H2542">
        <f>IF(D2542="REMOVE",COUNTIF($D$2:D2542,"REMOVE"),"")</f>
        <v/>
      </c>
      <c r="I2542">
        <f>IF(E2542="Gmail",COUNTIF($E$2:E2542,"Gmail"),"")</f>
        <v/>
      </c>
      <c r="J2542">
        <f>IF(E2542="Outlook",COUNTIF($E$2:E2542,"Outlook"),"")</f>
        <v/>
      </c>
      <c r="K2542">
        <f>IF(E2542="Domain",COUNTIF($E$2:E2542,"Domain"),"")</f>
        <v/>
      </c>
    </row>
    <row r="2543">
      <c r="A2543" s="2" t="n"/>
      <c r="B2543">
        <f>LOWER(TRIM(A2543))</f>
        <v/>
      </c>
      <c r="C2543">
        <f>IF(B2543="","",IFERROR(INDEX('Bad Patterns'!$A$2:$A$120,MATCH(1,INDEX(--ISNUMBER(SEARCH('Bad Patterns'!$A$2:$A$120,B2543)),0),0)),""))</f>
        <v/>
      </c>
      <c r="D2543">
        <f>IF(B2543="","",IF(C2543&lt;&gt;"","REMOVE","KEEP"))</f>
        <v/>
      </c>
      <c r="E2543">
        <f>IF(D2543&lt;&gt;"KEEP","",IF(RIGHT(B2543,10)="@gmail.com","Gmail",IF(OR(RIGHT(B2543,12)="@outlook.com",RIGHT(B2543,12)="@hotmail.com",RIGHT(B2543,9)="@live.com"),"Outlook","Domain")))</f>
        <v/>
      </c>
      <c r="F2543">
        <f>IF(B2543="","",IFERROR(RIGHT(B2543,LEN(B2543)-FIND("@",B2543)),""))</f>
        <v/>
      </c>
      <c r="G2543">
        <f>IF(D2543="KEEP",COUNTIF($D$2:D2543,"KEEP"),"")</f>
        <v/>
      </c>
      <c r="H2543">
        <f>IF(D2543="REMOVE",COUNTIF($D$2:D2543,"REMOVE"),"")</f>
        <v/>
      </c>
      <c r="I2543">
        <f>IF(E2543="Gmail",COUNTIF($E$2:E2543,"Gmail"),"")</f>
        <v/>
      </c>
      <c r="J2543">
        <f>IF(E2543="Outlook",COUNTIF($E$2:E2543,"Outlook"),"")</f>
        <v/>
      </c>
      <c r="K2543">
        <f>IF(E2543="Domain",COUNTIF($E$2:E2543,"Domain"),"")</f>
        <v/>
      </c>
    </row>
    <row r="2544">
      <c r="A2544" s="2" t="n"/>
      <c r="B2544">
        <f>LOWER(TRIM(A2544))</f>
        <v/>
      </c>
      <c r="C2544">
        <f>IF(B2544="","",IFERROR(INDEX('Bad Patterns'!$A$2:$A$120,MATCH(1,INDEX(--ISNUMBER(SEARCH('Bad Patterns'!$A$2:$A$120,B2544)),0),0)),""))</f>
        <v/>
      </c>
      <c r="D2544">
        <f>IF(B2544="","",IF(C2544&lt;&gt;"","REMOVE","KEEP"))</f>
        <v/>
      </c>
      <c r="E2544">
        <f>IF(D2544&lt;&gt;"KEEP","",IF(RIGHT(B2544,10)="@gmail.com","Gmail",IF(OR(RIGHT(B2544,12)="@outlook.com",RIGHT(B2544,12)="@hotmail.com",RIGHT(B2544,9)="@live.com"),"Outlook","Domain")))</f>
        <v/>
      </c>
      <c r="F2544">
        <f>IF(B2544="","",IFERROR(RIGHT(B2544,LEN(B2544)-FIND("@",B2544)),""))</f>
        <v/>
      </c>
      <c r="G2544">
        <f>IF(D2544="KEEP",COUNTIF($D$2:D2544,"KEEP"),"")</f>
        <v/>
      </c>
      <c r="H2544">
        <f>IF(D2544="REMOVE",COUNTIF($D$2:D2544,"REMOVE"),"")</f>
        <v/>
      </c>
      <c r="I2544">
        <f>IF(E2544="Gmail",COUNTIF($E$2:E2544,"Gmail"),"")</f>
        <v/>
      </c>
      <c r="J2544">
        <f>IF(E2544="Outlook",COUNTIF($E$2:E2544,"Outlook"),"")</f>
        <v/>
      </c>
      <c r="K2544">
        <f>IF(E2544="Domain",COUNTIF($E$2:E2544,"Domain"),"")</f>
        <v/>
      </c>
    </row>
    <row r="2545">
      <c r="A2545" s="2" t="n"/>
      <c r="B2545">
        <f>LOWER(TRIM(A2545))</f>
        <v/>
      </c>
      <c r="C2545">
        <f>IF(B2545="","",IFERROR(INDEX('Bad Patterns'!$A$2:$A$120,MATCH(1,INDEX(--ISNUMBER(SEARCH('Bad Patterns'!$A$2:$A$120,B2545)),0),0)),""))</f>
        <v/>
      </c>
      <c r="D2545">
        <f>IF(B2545="","",IF(C2545&lt;&gt;"","REMOVE","KEEP"))</f>
        <v/>
      </c>
      <c r="E2545">
        <f>IF(D2545&lt;&gt;"KEEP","",IF(RIGHT(B2545,10)="@gmail.com","Gmail",IF(OR(RIGHT(B2545,12)="@outlook.com",RIGHT(B2545,12)="@hotmail.com",RIGHT(B2545,9)="@live.com"),"Outlook","Domain")))</f>
        <v/>
      </c>
      <c r="F2545">
        <f>IF(B2545="","",IFERROR(RIGHT(B2545,LEN(B2545)-FIND("@",B2545)),""))</f>
        <v/>
      </c>
      <c r="G2545">
        <f>IF(D2545="KEEP",COUNTIF($D$2:D2545,"KEEP"),"")</f>
        <v/>
      </c>
      <c r="H2545">
        <f>IF(D2545="REMOVE",COUNTIF($D$2:D2545,"REMOVE"),"")</f>
        <v/>
      </c>
      <c r="I2545">
        <f>IF(E2545="Gmail",COUNTIF($E$2:E2545,"Gmail"),"")</f>
        <v/>
      </c>
      <c r="J2545">
        <f>IF(E2545="Outlook",COUNTIF($E$2:E2545,"Outlook"),"")</f>
        <v/>
      </c>
      <c r="K2545">
        <f>IF(E2545="Domain",COUNTIF($E$2:E2545,"Domain"),"")</f>
        <v/>
      </c>
    </row>
    <row r="2546">
      <c r="A2546" s="2" t="n"/>
      <c r="B2546">
        <f>LOWER(TRIM(A2546))</f>
        <v/>
      </c>
      <c r="C2546">
        <f>IF(B2546="","",IFERROR(INDEX('Bad Patterns'!$A$2:$A$120,MATCH(1,INDEX(--ISNUMBER(SEARCH('Bad Patterns'!$A$2:$A$120,B2546)),0),0)),""))</f>
        <v/>
      </c>
      <c r="D2546">
        <f>IF(B2546="","",IF(C2546&lt;&gt;"","REMOVE","KEEP"))</f>
        <v/>
      </c>
      <c r="E2546">
        <f>IF(D2546&lt;&gt;"KEEP","",IF(RIGHT(B2546,10)="@gmail.com","Gmail",IF(OR(RIGHT(B2546,12)="@outlook.com",RIGHT(B2546,12)="@hotmail.com",RIGHT(B2546,9)="@live.com"),"Outlook","Domain")))</f>
        <v/>
      </c>
      <c r="F2546">
        <f>IF(B2546="","",IFERROR(RIGHT(B2546,LEN(B2546)-FIND("@",B2546)),""))</f>
        <v/>
      </c>
      <c r="G2546">
        <f>IF(D2546="KEEP",COUNTIF($D$2:D2546,"KEEP"),"")</f>
        <v/>
      </c>
      <c r="H2546">
        <f>IF(D2546="REMOVE",COUNTIF($D$2:D2546,"REMOVE"),"")</f>
        <v/>
      </c>
      <c r="I2546">
        <f>IF(E2546="Gmail",COUNTIF($E$2:E2546,"Gmail"),"")</f>
        <v/>
      </c>
      <c r="J2546">
        <f>IF(E2546="Outlook",COUNTIF($E$2:E2546,"Outlook"),"")</f>
        <v/>
      </c>
      <c r="K2546">
        <f>IF(E2546="Domain",COUNTIF($E$2:E2546,"Domain"),"")</f>
        <v/>
      </c>
    </row>
    <row r="2547">
      <c r="A2547" s="2" t="n"/>
      <c r="B2547">
        <f>LOWER(TRIM(A2547))</f>
        <v/>
      </c>
      <c r="C2547">
        <f>IF(B2547="","",IFERROR(INDEX('Bad Patterns'!$A$2:$A$120,MATCH(1,INDEX(--ISNUMBER(SEARCH('Bad Patterns'!$A$2:$A$120,B2547)),0),0)),""))</f>
        <v/>
      </c>
      <c r="D2547">
        <f>IF(B2547="","",IF(C2547&lt;&gt;"","REMOVE","KEEP"))</f>
        <v/>
      </c>
      <c r="E2547">
        <f>IF(D2547&lt;&gt;"KEEP","",IF(RIGHT(B2547,10)="@gmail.com","Gmail",IF(OR(RIGHT(B2547,12)="@outlook.com",RIGHT(B2547,12)="@hotmail.com",RIGHT(B2547,9)="@live.com"),"Outlook","Domain")))</f>
        <v/>
      </c>
      <c r="F2547">
        <f>IF(B2547="","",IFERROR(RIGHT(B2547,LEN(B2547)-FIND("@",B2547)),""))</f>
        <v/>
      </c>
      <c r="G2547">
        <f>IF(D2547="KEEP",COUNTIF($D$2:D2547,"KEEP"),"")</f>
        <v/>
      </c>
      <c r="H2547">
        <f>IF(D2547="REMOVE",COUNTIF($D$2:D2547,"REMOVE"),"")</f>
        <v/>
      </c>
      <c r="I2547">
        <f>IF(E2547="Gmail",COUNTIF($E$2:E2547,"Gmail"),"")</f>
        <v/>
      </c>
      <c r="J2547">
        <f>IF(E2547="Outlook",COUNTIF($E$2:E2547,"Outlook"),"")</f>
        <v/>
      </c>
      <c r="K2547">
        <f>IF(E2547="Domain",COUNTIF($E$2:E2547,"Domain"),"")</f>
        <v/>
      </c>
    </row>
    <row r="2548">
      <c r="A2548" s="2" t="n"/>
      <c r="B2548">
        <f>LOWER(TRIM(A2548))</f>
        <v/>
      </c>
      <c r="C2548">
        <f>IF(B2548="","",IFERROR(INDEX('Bad Patterns'!$A$2:$A$120,MATCH(1,INDEX(--ISNUMBER(SEARCH('Bad Patterns'!$A$2:$A$120,B2548)),0),0)),""))</f>
        <v/>
      </c>
      <c r="D2548">
        <f>IF(B2548="","",IF(C2548&lt;&gt;"","REMOVE","KEEP"))</f>
        <v/>
      </c>
      <c r="E2548">
        <f>IF(D2548&lt;&gt;"KEEP","",IF(RIGHT(B2548,10)="@gmail.com","Gmail",IF(OR(RIGHT(B2548,12)="@outlook.com",RIGHT(B2548,12)="@hotmail.com",RIGHT(B2548,9)="@live.com"),"Outlook","Domain")))</f>
        <v/>
      </c>
      <c r="F2548">
        <f>IF(B2548="","",IFERROR(RIGHT(B2548,LEN(B2548)-FIND("@",B2548)),""))</f>
        <v/>
      </c>
      <c r="G2548">
        <f>IF(D2548="KEEP",COUNTIF($D$2:D2548,"KEEP"),"")</f>
        <v/>
      </c>
      <c r="H2548">
        <f>IF(D2548="REMOVE",COUNTIF($D$2:D2548,"REMOVE"),"")</f>
        <v/>
      </c>
      <c r="I2548">
        <f>IF(E2548="Gmail",COUNTIF($E$2:E2548,"Gmail"),"")</f>
        <v/>
      </c>
      <c r="J2548">
        <f>IF(E2548="Outlook",COUNTIF($E$2:E2548,"Outlook"),"")</f>
        <v/>
      </c>
      <c r="K2548">
        <f>IF(E2548="Domain",COUNTIF($E$2:E2548,"Domain"),"")</f>
        <v/>
      </c>
    </row>
    <row r="2549">
      <c r="A2549" s="2" t="n"/>
      <c r="B2549">
        <f>LOWER(TRIM(A2549))</f>
        <v/>
      </c>
      <c r="C2549">
        <f>IF(B2549="","",IFERROR(INDEX('Bad Patterns'!$A$2:$A$120,MATCH(1,INDEX(--ISNUMBER(SEARCH('Bad Patterns'!$A$2:$A$120,B2549)),0),0)),""))</f>
        <v/>
      </c>
      <c r="D2549">
        <f>IF(B2549="","",IF(C2549&lt;&gt;"","REMOVE","KEEP"))</f>
        <v/>
      </c>
      <c r="E2549">
        <f>IF(D2549&lt;&gt;"KEEP","",IF(RIGHT(B2549,10)="@gmail.com","Gmail",IF(OR(RIGHT(B2549,12)="@outlook.com",RIGHT(B2549,12)="@hotmail.com",RIGHT(B2549,9)="@live.com"),"Outlook","Domain")))</f>
        <v/>
      </c>
      <c r="F2549">
        <f>IF(B2549="","",IFERROR(RIGHT(B2549,LEN(B2549)-FIND("@",B2549)),""))</f>
        <v/>
      </c>
      <c r="G2549">
        <f>IF(D2549="KEEP",COUNTIF($D$2:D2549,"KEEP"),"")</f>
        <v/>
      </c>
      <c r="H2549">
        <f>IF(D2549="REMOVE",COUNTIF($D$2:D2549,"REMOVE"),"")</f>
        <v/>
      </c>
      <c r="I2549">
        <f>IF(E2549="Gmail",COUNTIF($E$2:E2549,"Gmail"),"")</f>
        <v/>
      </c>
      <c r="J2549">
        <f>IF(E2549="Outlook",COUNTIF($E$2:E2549,"Outlook"),"")</f>
        <v/>
      </c>
      <c r="K2549">
        <f>IF(E2549="Domain",COUNTIF($E$2:E2549,"Domain"),"")</f>
        <v/>
      </c>
    </row>
    <row r="2550">
      <c r="A2550" s="2" t="n"/>
      <c r="B2550">
        <f>LOWER(TRIM(A2550))</f>
        <v/>
      </c>
      <c r="C2550">
        <f>IF(B2550="","",IFERROR(INDEX('Bad Patterns'!$A$2:$A$120,MATCH(1,INDEX(--ISNUMBER(SEARCH('Bad Patterns'!$A$2:$A$120,B2550)),0),0)),""))</f>
        <v/>
      </c>
      <c r="D2550">
        <f>IF(B2550="","",IF(C2550&lt;&gt;"","REMOVE","KEEP"))</f>
        <v/>
      </c>
      <c r="E2550">
        <f>IF(D2550&lt;&gt;"KEEP","",IF(RIGHT(B2550,10)="@gmail.com","Gmail",IF(OR(RIGHT(B2550,12)="@outlook.com",RIGHT(B2550,12)="@hotmail.com",RIGHT(B2550,9)="@live.com"),"Outlook","Domain")))</f>
        <v/>
      </c>
      <c r="F2550">
        <f>IF(B2550="","",IFERROR(RIGHT(B2550,LEN(B2550)-FIND("@",B2550)),""))</f>
        <v/>
      </c>
      <c r="G2550">
        <f>IF(D2550="KEEP",COUNTIF($D$2:D2550,"KEEP"),"")</f>
        <v/>
      </c>
      <c r="H2550">
        <f>IF(D2550="REMOVE",COUNTIF($D$2:D2550,"REMOVE"),"")</f>
        <v/>
      </c>
      <c r="I2550">
        <f>IF(E2550="Gmail",COUNTIF($E$2:E2550,"Gmail"),"")</f>
        <v/>
      </c>
      <c r="J2550">
        <f>IF(E2550="Outlook",COUNTIF($E$2:E2550,"Outlook"),"")</f>
        <v/>
      </c>
      <c r="K2550">
        <f>IF(E2550="Domain",COUNTIF($E$2:E2550,"Domain"),"")</f>
        <v/>
      </c>
    </row>
    <row r="2551">
      <c r="A2551" s="2" t="n"/>
      <c r="B2551">
        <f>LOWER(TRIM(A2551))</f>
        <v/>
      </c>
      <c r="C2551">
        <f>IF(B2551="","",IFERROR(INDEX('Bad Patterns'!$A$2:$A$120,MATCH(1,INDEX(--ISNUMBER(SEARCH('Bad Patterns'!$A$2:$A$120,B2551)),0),0)),""))</f>
        <v/>
      </c>
      <c r="D2551">
        <f>IF(B2551="","",IF(C2551&lt;&gt;"","REMOVE","KEEP"))</f>
        <v/>
      </c>
      <c r="E2551">
        <f>IF(D2551&lt;&gt;"KEEP","",IF(RIGHT(B2551,10)="@gmail.com","Gmail",IF(OR(RIGHT(B2551,12)="@outlook.com",RIGHT(B2551,12)="@hotmail.com",RIGHT(B2551,9)="@live.com"),"Outlook","Domain")))</f>
        <v/>
      </c>
      <c r="F2551">
        <f>IF(B2551="","",IFERROR(RIGHT(B2551,LEN(B2551)-FIND("@",B2551)),""))</f>
        <v/>
      </c>
      <c r="G2551">
        <f>IF(D2551="KEEP",COUNTIF($D$2:D2551,"KEEP"),"")</f>
        <v/>
      </c>
      <c r="H2551">
        <f>IF(D2551="REMOVE",COUNTIF($D$2:D2551,"REMOVE"),"")</f>
        <v/>
      </c>
      <c r="I2551">
        <f>IF(E2551="Gmail",COUNTIF($E$2:E2551,"Gmail"),"")</f>
        <v/>
      </c>
      <c r="J2551">
        <f>IF(E2551="Outlook",COUNTIF($E$2:E2551,"Outlook"),"")</f>
        <v/>
      </c>
      <c r="K2551">
        <f>IF(E2551="Domain",COUNTIF($E$2:E2551,"Domain"),"")</f>
        <v/>
      </c>
    </row>
    <row r="2552">
      <c r="A2552" s="2" t="n"/>
      <c r="B2552">
        <f>LOWER(TRIM(A2552))</f>
        <v/>
      </c>
      <c r="C2552">
        <f>IF(B2552="","",IFERROR(INDEX('Bad Patterns'!$A$2:$A$120,MATCH(1,INDEX(--ISNUMBER(SEARCH('Bad Patterns'!$A$2:$A$120,B2552)),0),0)),""))</f>
        <v/>
      </c>
      <c r="D2552">
        <f>IF(B2552="","",IF(C2552&lt;&gt;"","REMOVE","KEEP"))</f>
        <v/>
      </c>
      <c r="E2552">
        <f>IF(D2552&lt;&gt;"KEEP","",IF(RIGHT(B2552,10)="@gmail.com","Gmail",IF(OR(RIGHT(B2552,12)="@outlook.com",RIGHT(B2552,12)="@hotmail.com",RIGHT(B2552,9)="@live.com"),"Outlook","Domain")))</f>
        <v/>
      </c>
      <c r="F2552">
        <f>IF(B2552="","",IFERROR(RIGHT(B2552,LEN(B2552)-FIND("@",B2552)),""))</f>
        <v/>
      </c>
      <c r="G2552">
        <f>IF(D2552="KEEP",COUNTIF($D$2:D2552,"KEEP"),"")</f>
        <v/>
      </c>
      <c r="H2552">
        <f>IF(D2552="REMOVE",COUNTIF($D$2:D2552,"REMOVE"),"")</f>
        <v/>
      </c>
      <c r="I2552">
        <f>IF(E2552="Gmail",COUNTIF($E$2:E2552,"Gmail"),"")</f>
        <v/>
      </c>
      <c r="J2552">
        <f>IF(E2552="Outlook",COUNTIF($E$2:E2552,"Outlook"),"")</f>
        <v/>
      </c>
      <c r="K2552">
        <f>IF(E2552="Domain",COUNTIF($E$2:E2552,"Domain"),"")</f>
        <v/>
      </c>
    </row>
    <row r="2553">
      <c r="A2553" s="2" t="n"/>
      <c r="B2553">
        <f>LOWER(TRIM(A2553))</f>
        <v/>
      </c>
      <c r="C2553">
        <f>IF(B2553="","",IFERROR(INDEX('Bad Patterns'!$A$2:$A$120,MATCH(1,INDEX(--ISNUMBER(SEARCH('Bad Patterns'!$A$2:$A$120,B2553)),0),0)),""))</f>
        <v/>
      </c>
      <c r="D2553">
        <f>IF(B2553="","",IF(C2553&lt;&gt;"","REMOVE","KEEP"))</f>
        <v/>
      </c>
      <c r="E2553">
        <f>IF(D2553&lt;&gt;"KEEP","",IF(RIGHT(B2553,10)="@gmail.com","Gmail",IF(OR(RIGHT(B2553,12)="@outlook.com",RIGHT(B2553,12)="@hotmail.com",RIGHT(B2553,9)="@live.com"),"Outlook","Domain")))</f>
        <v/>
      </c>
      <c r="F2553">
        <f>IF(B2553="","",IFERROR(RIGHT(B2553,LEN(B2553)-FIND("@",B2553)),""))</f>
        <v/>
      </c>
      <c r="G2553">
        <f>IF(D2553="KEEP",COUNTIF($D$2:D2553,"KEEP"),"")</f>
        <v/>
      </c>
      <c r="H2553">
        <f>IF(D2553="REMOVE",COUNTIF($D$2:D2553,"REMOVE"),"")</f>
        <v/>
      </c>
      <c r="I2553">
        <f>IF(E2553="Gmail",COUNTIF($E$2:E2553,"Gmail"),"")</f>
        <v/>
      </c>
      <c r="J2553">
        <f>IF(E2553="Outlook",COUNTIF($E$2:E2553,"Outlook"),"")</f>
        <v/>
      </c>
      <c r="K2553">
        <f>IF(E2553="Domain",COUNTIF($E$2:E2553,"Domain"),"")</f>
        <v/>
      </c>
    </row>
    <row r="2554">
      <c r="A2554" s="2" t="n"/>
      <c r="B2554">
        <f>LOWER(TRIM(A2554))</f>
        <v/>
      </c>
      <c r="C2554">
        <f>IF(B2554="","",IFERROR(INDEX('Bad Patterns'!$A$2:$A$120,MATCH(1,INDEX(--ISNUMBER(SEARCH('Bad Patterns'!$A$2:$A$120,B2554)),0),0)),""))</f>
        <v/>
      </c>
      <c r="D2554">
        <f>IF(B2554="","",IF(C2554&lt;&gt;"","REMOVE","KEEP"))</f>
        <v/>
      </c>
      <c r="E2554">
        <f>IF(D2554&lt;&gt;"KEEP","",IF(RIGHT(B2554,10)="@gmail.com","Gmail",IF(OR(RIGHT(B2554,12)="@outlook.com",RIGHT(B2554,12)="@hotmail.com",RIGHT(B2554,9)="@live.com"),"Outlook","Domain")))</f>
        <v/>
      </c>
      <c r="F2554">
        <f>IF(B2554="","",IFERROR(RIGHT(B2554,LEN(B2554)-FIND("@",B2554)),""))</f>
        <v/>
      </c>
      <c r="G2554">
        <f>IF(D2554="KEEP",COUNTIF($D$2:D2554,"KEEP"),"")</f>
        <v/>
      </c>
      <c r="H2554">
        <f>IF(D2554="REMOVE",COUNTIF($D$2:D2554,"REMOVE"),"")</f>
        <v/>
      </c>
      <c r="I2554">
        <f>IF(E2554="Gmail",COUNTIF($E$2:E2554,"Gmail"),"")</f>
        <v/>
      </c>
      <c r="J2554">
        <f>IF(E2554="Outlook",COUNTIF($E$2:E2554,"Outlook"),"")</f>
        <v/>
      </c>
      <c r="K2554">
        <f>IF(E2554="Domain",COUNTIF($E$2:E2554,"Domain"),"")</f>
        <v/>
      </c>
    </row>
    <row r="2555">
      <c r="A2555" s="2" t="n"/>
      <c r="B2555">
        <f>LOWER(TRIM(A2555))</f>
        <v/>
      </c>
      <c r="C2555">
        <f>IF(B2555="","",IFERROR(INDEX('Bad Patterns'!$A$2:$A$120,MATCH(1,INDEX(--ISNUMBER(SEARCH('Bad Patterns'!$A$2:$A$120,B2555)),0),0)),""))</f>
        <v/>
      </c>
      <c r="D2555">
        <f>IF(B2555="","",IF(C2555&lt;&gt;"","REMOVE","KEEP"))</f>
        <v/>
      </c>
      <c r="E2555">
        <f>IF(D2555&lt;&gt;"KEEP","",IF(RIGHT(B2555,10)="@gmail.com","Gmail",IF(OR(RIGHT(B2555,12)="@outlook.com",RIGHT(B2555,12)="@hotmail.com",RIGHT(B2555,9)="@live.com"),"Outlook","Domain")))</f>
        <v/>
      </c>
      <c r="F2555">
        <f>IF(B2555="","",IFERROR(RIGHT(B2555,LEN(B2555)-FIND("@",B2555)),""))</f>
        <v/>
      </c>
      <c r="G2555">
        <f>IF(D2555="KEEP",COUNTIF($D$2:D2555,"KEEP"),"")</f>
        <v/>
      </c>
      <c r="H2555">
        <f>IF(D2555="REMOVE",COUNTIF($D$2:D2555,"REMOVE"),"")</f>
        <v/>
      </c>
      <c r="I2555">
        <f>IF(E2555="Gmail",COUNTIF($E$2:E2555,"Gmail"),"")</f>
        <v/>
      </c>
      <c r="J2555">
        <f>IF(E2555="Outlook",COUNTIF($E$2:E2555,"Outlook"),"")</f>
        <v/>
      </c>
      <c r="K2555">
        <f>IF(E2555="Domain",COUNTIF($E$2:E2555,"Domain"),"")</f>
        <v/>
      </c>
    </row>
    <row r="2556">
      <c r="A2556" s="2" t="n"/>
      <c r="B2556">
        <f>LOWER(TRIM(A2556))</f>
        <v/>
      </c>
      <c r="C2556">
        <f>IF(B2556="","",IFERROR(INDEX('Bad Patterns'!$A$2:$A$120,MATCH(1,INDEX(--ISNUMBER(SEARCH('Bad Patterns'!$A$2:$A$120,B2556)),0),0)),""))</f>
        <v/>
      </c>
      <c r="D2556">
        <f>IF(B2556="","",IF(C2556&lt;&gt;"","REMOVE","KEEP"))</f>
        <v/>
      </c>
      <c r="E2556">
        <f>IF(D2556&lt;&gt;"KEEP","",IF(RIGHT(B2556,10)="@gmail.com","Gmail",IF(OR(RIGHT(B2556,12)="@outlook.com",RIGHT(B2556,12)="@hotmail.com",RIGHT(B2556,9)="@live.com"),"Outlook","Domain")))</f>
        <v/>
      </c>
      <c r="F2556">
        <f>IF(B2556="","",IFERROR(RIGHT(B2556,LEN(B2556)-FIND("@",B2556)),""))</f>
        <v/>
      </c>
      <c r="G2556">
        <f>IF(D2556="KEEP",COUNTIF($D$2:D2556,"KEEP"),"")</f>
        <v/>
      </c>
      <c r="H2556">
        <f>IF(D2556="REMOVE",COUNTIF($D$2:D2556,"REMOVE"),"")</f>
        <v/>
      </c>
      <c r="I2556">
        <f>IF(E2556="Gmail",COUNTIF($E$2:E2556,"Gmail"),"")</f>
        <v/>
      </c>
      <c r="J2556">
        <f>IF(E2556="Outlook",COUNTIF($E$2:E2556,"Outlook"),"")</f>
        <v/>
      </c>
      <c r="K2556">
        <f>IF(E2556="Domain",COUNTIF($E$2:E2556,"Domain"),"")</f>
        <v/>
      </c>
    </row>
    <row r="2557">
      <c r="A2557" s="2" t="n"/>
      <c r="B2557">
        <f>LOWER(TRIM(A2557))</f>
        <v/>
      </c>
      <c r="C2557">
        <f>IF(B2557="","",IFERROR(INDEX('Bad Patterns'!$A$2:$A$120,MATCH(1,INDEX(--ISNUMBER(SEARCH('Bad Patterns'!$A$2:$A$120,B2557)),0),0)),""))</f>
        <v/>
      </c>
      <c r="D2557">
        <f>IF(B2557="","",IF(C2557&lt;&gt;"","REMOVE","KEEP"))</f>
        <v/>
      </c>
      <c r="E2557">
        <f>IF(D2557&lt;&gt;"KEEP","",IF(RIGHT(B2557,10)="@gmail.com","Gmail",IF(OR(RIGHT(B2557,12)="@outlook.com",RIGHT(B2557,12)="@hotmail.com",RIGHT(B2557,9)="@live.com"),"Outlook","Domain")))</f>
        <v/>
      </c>
      <c r="F2557">
        <f>IF(B2557="","",IFERROR(RIGHT(B2557,LEN(B2557)-FIND("@",B2557)),""))</f>
        <v/>
      </c>
      <c r="G2557">
        <f>IF(D2557="KEEP",COUNTIF($D$2:D2557,"KEEP"),"")</f>
        <v/>
      </c>
      <c r="H2557">
        <f>IF(D2557="REMOVE",COUNTIF($D$2:D2557,"REMOVE"),"")</f>
        <v/>
      </c>
      <c r="I2557">
        <f>IF(E2557="Gmail",COUNTIF($E$2:E2557,"Gmail"),"")</f>
        <v/>
      </c>
      <c r="J2557">
        <f>IF(E2557="Outlook",COUNTIF($E$2:E2557,"Outlook"),"")</f>
        <v/>
      </c>
      <c r="K2557">
        <f>IF(E2557="Domain",COUNTIF($E$2:E2557,"Domain"),"")</f>
        <v/>
      </c>
    </row>
    <row r="2558">
      <c r="A2558" s="2" t="n"/>
      <c r="B2558">
        <f>LOWER(TRIM(A2558))</f>
        <v/>
      </c>
      <c r="C2558">
        <f>IF(B2558="","",IFERROR(INDEX('Bad Patterns'!$A$2:$A$120,MATCH(1,INDEX(--ISNUMBER(SEARCH('Bad Patterns'!$A$2:$A$120,B2558)),0),0)),""))</f>
        <v/>
      </c>
      <c r="D2558">
        <f>IF(B2558="","",IF(C2558&lt;&gt;"","REMOVE","KEEP"))</f>
        <v/>
      </c>
      <c r="E2558">
        <f>IF(D2558&lt;&gt;"KEEP","",IF(RIGHT(B2558,10)="@gmail.com","Gmail",IF(OR(RIGHT(B2558,12)="@outlook.com",RIGHT(B2558,12)="@hotmail.com",RIGHT(B2558,9)="@live.com"),"Outlook","Domain")))</f>
        <v/>
      </c>
      <c r="F2558">
        <f>IF(B2558="","",IFERROR(RIGHT(B2558,LEN(B2558)-FIND("@",B2558)),""))</f>
        <v/>
      </c>
      <c r="G2558">
        <f>IF(D2558="KEEP",COUNTIF($D$2:D2558,"KEEP"),"")</f>
        <v/>
      </c>
      <c r="H2558">
        <f>IF(D2558="REMOVE",COUNTIF($D$2:D2558,"REMOVE"),"")</f>
        <v/>
      </c>
      <c r="I2558">
        <f>IF(E2558="Gmail",COUNTIF($E$2:E2558,"Gmail"),"")</f>
        <v/>
      </c>
      <c r="J2558">
        <f>IF(E2558="Outlook",COUNTIF($E$2:E2558,"Outlook"),"")</f>
        <v/>
      </c>
      <c r="K2558">
        <f>IF(E2558="Domain",COUNTIF($E$2:E2558,"Domain"),"")</f>
        <v/>
      </c>
    </row>
    <row r="2559">
      <c r="A2559" s="2" t="n"/>
      <c r="B2559">
        <f>LOWER(TRIM(A2559))</f>
        <v/>
      </c>
      <c r="C2559">
        <f>IF(B2559="","",IFERROR(INDEX('Bad Patterns'!$A$2:$A$120,MATCH(1,INDEX(--ISNUMBER(SEARCH('Bad Patterns'!$A$2:$A$120,B2559)),0),0)),""))</f>
        <v/>
      </c>
      <c r="D2559">
        <f>IF(B2559="","",IF(C2559&lt;&gt;"","REMOVE","KEEP"))</f>
        <v/>
      </c>
      <c r="E2559">
        <f>IF(D2559&lt;&gt;"KEEP","",IF(RIGHT(B2559,10)="@gmail.com","Gmail",IF(OR(RIGHT(B2559,12)="@outlook.com",RIGHT(B2559,12)="@hotmail.com",RIGHT(B2559,9)="@live.com"),"Outlook","Domain")))</f>
        <v/>
      </c>
      <c r="F2559">
        <f>IF(B2559="","",IFERROR(RIGHT(B2559,LEN(B2559)-FIND("@",B2559)),""))</f>
        <v/>
      </c>
      <c r="G2559">
        <f>IF(D2559="KEEP",COUNTIF($D$2:D2559,"KEEP"),"")</f>
        <v/>
      </c>
      <c r="H2559">
        <f>IF(D2559="REMOVE",COUNTIF($D$2:D2559,"REMOVE"),"")</f>
        <v/>
      </c>
      <c r="I2559">
        <f>IF(E2559="Gmail",COUNTIF($E$2:E2559,"Gmail"),"")</f>
        <v/>
      </c>
      <c r="J2559">
        <f>IF(E2559="Outlook",COUNTIF($E$2:E2559,"Outlook"),"")</f>
        <v/>
      </c>
      <c r="K2559">
        <f>IF(E2559="Domain",COUNTIF($E$2:E2559,"Domain"),"")</f>
        <v/>
      </c>
    </row>
    <row r="2560">
      <c r="A2560" s="2" t="n"/>
      <c r="B2560">
        <f>LOWER(TRIM(A2560))</f>
        <v/>
      </c>
      <c r="C2560">
        <f>IF(B2560="","",IFERROR(INDEX('Bad Patterns'!$A$2:$A$120,MATCH(1,INDEX(--ISNUMBER(SEARCH('Bad Patterns'!$A$2:$A$120,B2560)),0),0)),""))</f>
        <v/>
      </c>
      <c r="D2560">
        <f>IF(B2560="","",IF(C2560&lt;&gt;"","REMOVE","KEEP"))</f>
        <v/>
      </c>
      <c r="E2560">
        <f>IF(D2560&lt;&gt;"KEEP","",IF(RIGHT(B2560,10)="@gmail.com","Gmail",IF(OR(RIGHT(B2560,12)="@outlook.com",RIGHT(B2560,12)="@hotmail.com",RIGHT(B2560,9)="@live.com"),"Outlook","Domain")))</f>
        <v/>
      </c>
      <c r="F2560">
        <f>IF(B2560="","",IFERROR(RIGHT(B2560,LEN(B2560)-FIND("@",B2560)),""))</f>
        <v/>
      </c>
      <c r="G2560">
        <f>IF(D2560="KEEP",COUNTIF($D$2:D2560,"KEEP"),"")</f>
        <v/>
      </c>
      <c r="H2560">
        <f>IF(D2560="REMOVE",COUNTIF($D$2:D2560,"REMOVE"),"")</f>
        <v/>
      </c>
      <c r="I2560">
        <f>IF(E2560="Gmail",COUNTIF($E$2:E2560,"Gmail"),"")</f>
        <v/>
      </c>
      <c r="J2560">
        <f>IF(E2560="Outlook",COUNTIF($E$2:E2560,"Outlook"),"")</f>
        <v/>
      </c>
      <c r="K2560">
        <f>IF(E2560="Domain",COUNTIF($E$2:E2560,"Domain"),"")</f>
        <v/>
      </c>
    </row>
    <row r="2561">
      <c r="A2561" s="2" t="n"/>
      <c r="B2561">
        <f>LOWER(TRIM(A2561))</f>
        <v/>
      </c>
      <c r="C2561">
        <f>IF(B2561="","",IFERROR(INDEX('Bad Patterns'!$A$2:$A$120,MATCH(1,INDEX(--ISNUMBER(SEARCH('Bad Patterns'!$A$2:$A$120,B2561)),0),0)),""))</f>
        <v/>
      </c>
      <c r="D2561">
        <f>IF(B2561="","",IF(C2561&lt;&gt;"","REMOVE","KEEP"))</f>
        <v/>
      </c>
      <c r="E2561">
        <f>IF(D2561&lt;&gt;"KEEP","",IF(RIGHT(B2561,10)="@gmail.com","Gmail",IF(OR(RIGHT(B2561,12)="@outlook.com",RIGHT(B2561,12)="@hotmail.com",RIGHT(B2561,9)="@live.com"),"Outlook","Domain")))</f>
        <v/>
      </c>
      <c r="F2561">
        <f>IF(B2561="","",IFERROR(RIGHT(B2561,LEN(B2561)-FIND("@",B2561)),""))</f>
        <v/>
      </c>
      <c r="G2561">
        <f>IF(D2561="KEEP",COUNTIF($D$2:D2561,"KEEP"),"")</f>
        <v/>
      </c>
      <c r="H2561">
        <f>IF(D2561="REMOVE",COUNTIF($D$2:D2561,"REMOVE"),"")</f>
        <v/>
      </c>
      <c r="I2561">
        <f>IF(E2561="Gmail",COUNTIF($E$2:E2561,"Gmail"),"")</f>
        <v/>
      </c>
      <c r="J2561">
        <f>IF(E2561="Outlook",COUNTIF($E$2:E2561,"Outlook"),"")</f>
        <v/>
      </c>
      <c r="K2561">
        <f>IF(E2561="Domain",COUNTIF($E$2:E2561,"Domain"),"")</f>
        <v/>
      </c>
    </row>
    <row r="2562">
      <c r="A2562" s="2" t="n"/>
      <c r="B2562">
        <f>LOWER(TRIM(A2562))</f>
        <v/>
      </c>
      <c r="C2562">
        <f>IF(B2562="","",IFERROR(INDEX('Bad Patterns'!$A$2:$A$120,MATCH(1,INDEX(--ISNUMBER(SEARCH('Bad Patterns'!$A$2:$A$120,B2562)),0),0)),""))</f>
        <v/>
      </c>
      <c r="D2562">
        <f>IF(B2562="","",IF(C2562&lt;&gt;"","REMOVE","KEEP"))</f>
        <v/>
      </c>
      <c r="E2562">
        <f>IF(D2562&lt;&gt;"KEEP","",IF(RIGHT(B2562,10)="@gmail.com","Gmail",IF(OR(RIGHT(B2562,12)="@outlook.com",RIGHT(B2562,12)="@hotmail.com",RIGHT(B2562,9)="@live.com"),"Outlook","Domain")))</f>
        <v/>
      </c>
      <c r="F2562">
        <f>IF(B2562="","",IFERROR(RIGHT(B2562,LEN(B2562)-FIND("@",B2562)),""))</f>
        <v/>
      </c>
      <c r="G2562">
        <f>IF(D2562="KEEP",COUNTIF($D$2:D2562,"KEEP"),"")</f>
        <v/>
      </c>
      <c r="H2562">
        <f>IF(D2562="REMOVE",COUNTIF($D$2:D2562,"REMOVE"),"")</f>
        <v/>
      </c>
      <c r="I2562">
        <f>IF(E2562="Gmail",COUNTIF($E$2:E2562,"Gmail"),"")</f>
        <v/>
      </c>
      <c r="J2562">
        <f>IF(E2562="Outlook",COUNTIF($E$2:E2562,"Outlook"),"")</f>
        <v/>
      </c>
      <c r="K2562">
        <f>IF(E2562="Domain",COUNTIF($E$2:E2562,"Domain"),"")</f>
        <v/>
      </c>
    </row>
    <row r="2563">
      <c r="A2563" s="2" t="n"/>
      <c r="B2563">
        <f>LOWER(TRIM(A2563))</f>
        <v/>
      </c>
      <c r="C2563">
        <f>IF(B2563="","",IFERROR(INDEX('Bad Patterns'!$A$2:$A$120,MATCH(1,INDEX(--ISNUMBER(SEARCH('Bad Patterns'!$A$2:$A$120,B2563)),0),0)),""))</f>
        <v/>
      </c>
      <c r="D2563">
        <f>IF(B2563="","",IF(C2563&lt;&gt;"","REMOVE","KEEP"))</f>
        <v/>
      </c>
      <c r="E2563">
        <f>IF(D2563&lt;&gt;"KEEP","",IF(RIGHT(B2563,10)="@gmail.com","Gmail",IF(OR(RIGHT(B2563,12)="@outlook.com",RIGHT(B2563,12)="@hotmail.com",RIGHT(B2563,9)="@live.com"),"Outlook","Domain")))</f>
        <v/>
      </c>
      <c r="F2563">
        <f>IF(B2563="","",IFERROR(RIGHT(B2563,LEN(B2563)-FIND("@",B2563)),""))</f>
        <v/>
      </c>
      <c r="G2563">
        <f>IF(D2563="KEEP",COUNTIF($D$2:D2563,"KEEP"),"")</f>
        <v/>
      </c>
      <c r="H2563">
        <f>IF(D2563="REMOVE",COUNTIF($D$2:D2563,"REMOVE"),"")</f>
        <v/>
      </c>
      <c r="I2563">
        <f>IF(E2563="Gmail",COUNTIF($E$2:E2563,"Gmail"),"")</f>
        <v/>
      </c>
      <c r="J2563">
        <f>IF(E2563="Outlook",COUNTIF($E$2:E2563,"Outlook"),"")</f>
        <v/>
      </c>
      <c r="K2563">
        <f>IF(E2563="Domain",COUNTIF($E$2:E2563,"Domain"),"")</f>
        <v/>
      </c>
    </row>
    <row r="2564">
      <c r="A2564" s="2" t="n"/>
      <c r="B2564">
        <f>LOWER(TRIM(A2564))</f>
        <v/>
      </c>
      <c r="C2564">
        <f>IF(B2564="","",IFERROR(INDEX('Bad Patterns'!$A$2:$A$120,MATCH(1,INDEX(--ISNUMBER(SEARCH('Bad Patterns'!$A$2:$A$120,B2564)),0),0)),""))</f>
        <v/>
      </c>
      <c r="D2564">
        <f>IF(B2564="","",IF(C2564&lt;&gt;"","REMOVE","KEEP"))</f>
        <v/>
      </c>
      <c r="E2564">
        <f>IF(D2564&lt;&gt;"KEEP","",IF(RIGHT(B2564,10)="@gmail.com","Gmail",IF(OR(RIGHT(B2564,12)="@outlook.com",RIGHT(B2564,12)="@hotmail.com",RIGHT(B2564,9)="@live.com"),"Outlook","Domain")))</f>
        <v/>
      </c>
      <c r="F2564">
        <f>IF(B2564="","",IFERROR(RIGHT(B2564,LEN(B2564)-FIND("@",B2564)),""))</f>
        <v/>
      </c>
      <c r="G2564">
        <f>IF(D2564="KEEP",COUNTIF($D$2:D2564,"KEEP"),"")</f>
        <v/>
      </c>
      <c r="H2564">
        <f>IF(D2564="REMOVE",COUNTIF($D$2:D2564,"REMOVE"),"")</f>
        <v/>
      </c>
      <c r="I2564">
        <f>IF(E2564="Gmail",COUNTIF($E$2:E2564,"Gmail"),"")</f>
        <v/>
      </c>
      <c r="J2564">
        <f>IF(E2564="Outlook",COUNTIF($E$2:E2564,"Outlook"),"")</f>
        <v/>
      </c>
      <c r="K2564">
        <f>IF(E2564="Domain",COUNTIF($E$2:E2564,"Domain"),"")</f>
        <v/>
      </c>
    </row>
    <row r="2565">
      <c r="A2565" s="2" t="n"/>
      <c r="B2565">
        <f>LOWER(TRIM(A2565))</f>
        <v/>
      </c>
      <c r="C2565">
        <f>IF(B2565="","",IFERROR(INDEX('Bad Patterns'!$A$2:$A$120,MATCH(1,INDEX(--ISNUMBER(SEARCH('Bad Patterns'!$A$2:$A$120,B2565)),0),0)),""))</f>
        <v/>
      </c>
      <c r="D2565">
        <f>IF(B2565="","",IF(C2565&lt;&gt;"","REMOVE","KEEP"))</f>
        <v/>
      </c>
      <c r="E2565">
        <f>IF(D2565&lt;&gt;"KEEP","",IF(RIGHT(B2565,10)="@gmail.com","Gmail",IF(OR(RIGHT(B2565,12)="@outlook.com",RIGHT(B2565,12)="@hotmail.com",RIGHT(B2565,9)="@live.com"),"Outlook","Domain")))</f>
        <v/>
      </c>
      <c r="F2565">
        <f>IF(B2565="","",IFERROR(RIGHT(B2565,LEN(B2565)-FIND("@",B2565)),""))</f>
        <v/>
      </c>
      <c r="G2565">
        <f>IF(D2565="KEEP",COUNTIF($D$2:D2565,"KEEP"),"")</f>
        <v/>
      </c>
      <c r="H2565">
        <f>IF(D2565="REMOVE",COUNTIF($D$2:D2565,"REMOVE"),"")</f>
        <v/>
      </c>
      <c r="I2565">
        <f>IF(E2565="Gmail",COUNTIF($E$2:E2565,"Gmail"),"")</f>
        <v/>
      </c>
      <c r="J2565">
        <f>IF(E2565="Outlook",COUNTIF($E$2:E2565,"Outlook"),"")</f>
        <v/>
      </c>
      <c r="K2565">
        <f>IF(E2565="Domain",COUNTIF($E$2:E2565,"Domain"),"")</f>
        <v/>
      </c>
    </row>
    <row r="2566">
      <c r="A2566" s="2" t="n"/>
      <c r="B2566">
        <f>LOWER(TRIM(A2566))</f>
        <v/>
      </c>
      <c r="C2566">
        <f>IF(B2566="","",IFERROR(INDEX('Bad Patterns'!$A$2:$A$120,MATCH(1,INDEX(--ISNUMBER(SEARCH('Bad Patterns'!$A$2:$A$120,B2566)),0),0)),""))</f>
        <v/>
      </c>
      <c r="D2566">
        <f>IF(B2566="","",IF(C2566&lt;&gt;"","REMOVE","KEEP"))</f>
        <v/>
      </c>
      <c r="E2566">
        <f>IF(D2566&lt;&gt;"KEEP","",IF(RIGHT(B2566,10)="@gmail.com","Gmail",IF(OR(RIGHT(B2566,12)="@outlook.com",RIGHT(B2566,12)="@hotmail.com",RIGHT(B2566,9)="@live.com"),"Outlook","Domain")))</f>
        <v/>
      </c>
      <c r="F2566">
        <f>IF(B2566="","",IFERROR(RIGHT(B2566,LEN(B2566)-FIND("@",B2566)),""))</f>
        <v/>
      </c>
      <c r="G2566">
        <f>IF(D2566="KEEP",COUNTIF($D$2:D2566,"KEEP"),"")</f>
        <v/>
      </c>
      <c r="H2566">
        <f>IF(D2566="REMOVE",COUNTIF($D$2:D2566,"REMOVE"),"")</f>
        <v/>
      </c>
      <c r="I2566">
        <f>IF(E2566="Gmail",COUNTIF($E$2:E2566,"Gmail"),"")</f>
        <v/>
      </c>
      <c r="J2566">
        <f>IF(E2566="Outlook",COUNTIF($E$2:E2566,"Outlook"),"")</f>
        <v/>
      </c>
      <c r="K2566">
        <f>IF(E2566="Domain",COUNTIF($E$2:E2566,"Domain"),"")</f>
        <v/>
      </c>
    </row>
    <row r="2567">
      <c r="A2567" s="2" t="n"/>
      <c r="B2567">
        <f>LOWER(TRIM(A2567))</f>
        <v/>
      </c>
      <c r="C2567">
        <f>IF(B2567="","",IFERROR(INDEX('Bad Patterns'!$A$2:$A$120,MATCH(1,INDEX(--ISNUMBER(SEARCH('Bad Patterns'!$A$2:$A$120,B2567)),0),0)),""))</f>
        <v/>
      </c>
      <c r="D2567">
        <f>IF(B2567="","",IF(C2567&lt;&gt;"","REMOVE","KEEP"))</f>
        <v/>
      </c>
      <c r="E2567">
        <f>IF(D2567&lt;&gt;"KEEP","",IF(RIGHT(B2567,10)="@gmail.com","Gmail",IF(OR(RIGHT(B2567,12)="@outlook.com",RIGHT(B2567,12)="@hotmail.com",RIGHT(B2567,9)="@live.com"),"Outlook","Domain")))</f>
        <v/>
      </c>
      <c r="F2567">
        <f>IF(B2567="","",IFERROR(RIGHT(B2567,LEN(B2567)-FIND("@",B2567)),""))</f>
        <v/>
      </c>
      <c r="G2567">
        <f>IF(D2567="KEEP",COUNTIF($D$2:D2567,"KEEP"),"")</f>
        <v/>
      </c>
      <c r="H2567">
        <f>IF(D2567="REMOVE",COUNTIF($D$2:D2567,"REMOVE"),"")</f>
        <v/>
      </c>
      <c r="I2567">
        <f>IF(E2567="Gmail",COUNTIF($E$2:E2567,"Gmail"),"")</f>
        <v/>
      </c>
      <c r="J2567">
        <f>IF(E2567="Outlook",COUNTIF($E$2:E2567,"Outlook"),"")</f>
        <v/>
      </c>
      <c r="K2567">
        <f>IF(E2567="Domain",COUNTIF($E$2:E2567,"Domain"),"")</f>
        <v/>
      </c>
    </row>
    <row r="2568">
      <c r="A2568" s="2" t="n"/>
      <c r="B2568">
        <f>LOWER(TRIM(A2568))</f>
        <v/>
      </c>
      <c r="C2568">
        <f>IF(B2568="","",IFERROR(INDEX('Bad Patterns'!$A$2:$A$120,MATCH(1,INDEX(--ISNUMBER(SEARCH('Bad Patterns'!$A$2:$A$120,B2568)),0),0)),""))</f>
        <v/>
      </c>
      <c r="D2568">
        <f>IF(B2568="","",IF(C2568&lt;&gt;"","REMOVE","KEEP"))</f>
        <v/>
      </c>
      <c r="E2568">
        <f>IF(D2568&lt;&gt;"KEEP","",IF(RIGHT(B2568,10)="@gmail.com","Gmail",IF(OR(RIGHT(B2568,12)="@outlook.com",RIGHT(B2568,12)="@hotmail.com",RIGHT(B2568,9)="@live.com"),"Outlook","Domain")))</f>
        <v/>
      </c>
      <c r="F2568">
        <f>IF(B2568="","",IFERROR(RIGHT(B2568,LEN(B2568)-FIND("@",B2568)),""))</f>
        <v/>
      </c>
      <c r="G2568">
        <f>IF(D2568="KEEP",COUNTIF($D$2:D2568,"KEEP"),"")</f>
        <v/>
      </c>
      <c r="H2568">
        <f>IF(D2568="REMOVE",COUNTIF($D$2:D2568,"REMOVE"),"")</f>
        <v/>
      </c>
      <c r="I2568">
        <f>IF(E2568="Gmail",COUNTIF($E$2:E2568,"Gmail"),"")</f>
        <v/>
      </c>
      <c r="J2568">
        <f>IF(E2568="Outlook",COUNTIF($E$2:E2568,"Outlook"),"")</f>
        <v/>
      </c>
      <c r="K2568">
        <f>IF(E2568="Domain",COUNTIF($E$2:E2568,"Domain"),"")</f>
        <v/>
      </c>
    </row>
    <row r="2569">
      <c r="A2569" s="2" t="n"/>
      <c r="B2569">
        <f>LOWER(TRIM(A2569))</f>
        <v/>
      </c>
      <c r="C2569">
        <f>IF(B2569="","",IFERROR(INDEX('Bad Patterns'!$A$2:$A$120,MATCH(1,INDEX(--ISNUMBER(SEARCH('Bad Patterns'!$A$2:$A$120,B2569)),0),0)),""))</f>
        <v/>
      </c>
      <c r="D2569">
        <f>IF(B2569="","",IF(C2569&lt;&gt;"","REMOVE","KEEP"))</f>
        <v/>
      </c>
      <c r="E2569">
        <f>IF(D2569&lt;&gt;"KEEP","",IF(RIGHT(B2569,10)="@gmail.com","Gmail",IF(OR(RIGHT(B2569,12)="@outlook.com",RIGHT(B2569,12)="@hotmail.com",RIGHT(B2569,9)="@live.com"),"Outlook","Domain")))</f>
        <v/>
      </c>
      <c r="F2569">
        <f>IF(B2569="","",IFERROR(RIGHT(B2569,LEN(B2569)-FIND("@",B2569)),""))</f>
        <v/>
      </c>
      <c r="G2569">
        <f>IF(D2569="KEEP",COUNTIF($D$2:D2569,"KEEP"),"")</f>
        <v/>
      </c>
      <c r="H2569">
        <f>IF(D2569="REMOVE",COUNTIF($D$2:D2569,"REMOVE"),"")</f>
        <v/>
      </c>
      <c r="I2569">
        <f>IF(E2569="Gmail",COUNTIF($E$2:E2569,"Gmail"),"")</f>
        <v/>
      </c>
      <c r="J2569">
        <f>IF(E2569="Outlook",COUNTIF($E$2:E2569,"Outlook"),"")</f>
        <v/>
      </c>
      <c r="K2569">
        <f>IF(E2569="Domain",COUNTIF($E$2:E2569,"Domain"),"")</f>
        <v/>
      </c>
    </row>
    <row r="2570">
      <c r="A2570" s="2" t="n"/>
      <c r="B2570">
        <f>LOWER(TRIM(A2570))</f>
        <v/>
      </c>
      <c r="C2570">
        <f>IF(B2570="","",IFERROR(INDEX('Bad Patterns'!$A$2:$A$120,MATCH(1,INDEX(--ISNUMBER(SEARCH('Bad Patterns'!$A$2:$A$120,B2570)),0),0)),""))</f>
        <v/>
      </c>
      <c r="D2570">
        <f>IF(B2570="","",IF(C2570&lt;&gt;"","REMOVE","KEEP"))</f>
        <v/>
      </c>
      <c r="E2570">
        <f>IF(D2570&lt;&gt;"KEEP","",IF(RIGHT(B2570,10)="@gmail.com","Gmail",IF(OR(RIGHT(B2570,12)="@outlook.com",RIGHT(B2570,12)="@hotmail.com",RIGHT(B2570,9)="@live.com"),"Outlook","Domain")))</f>
        <v/>
      </c>
      <c r="F2570">
        <f>IF(B2570="","",IFERROR(RIGHT(B2570,LEN(B2570)-FIND("@",B2570)),""))</f>
        <v/>
      </c>
      <c r="G2570">
        <f>IF(D2570="KEEP",COUNTIF($D$2:D2570,"KEEP"),"")</f>
        <v/>
      </c>
      <c r="H2570">
        <f>IF(D2570="REMOVE",COUNTIF($D$2:D2570,"REMOVE"),"")</f>
        <v/>
      </c>
      <c r="I2570">
        <f>IF(E2570="Gmail",COUNTIF($E$2:E2570,"Gmail"),"")</f>
        <v/>
      </c>
      <c r="J2570">
        <f>IF(E2570="Outlook",COUNTIF($E$2:E2570,"Outlook"),"")</f>
        <v/>
      </c>
      <c r="K2570">
        <f>IF(E2570="Domain",COUNTIF($E$2:E2570,"Domain"),"")</f>
        <v/>
      </c>
    </row>
    <row r="2571">
      <c r="A2571" s="2" t="n"/>
      <c r="B2571">
        <f>LOWER(TRIM(A2571))</f>
        <v/>
      </c>
      <c r="C2571">
        <f>IF(B2571="","",IFERROR(INDEX('Bad Patterns'!$A$2:$A$120,MATCH(1,INDEX(--ISNUMBER(SEARCH('Bad Patterns'!$A$2:$A$120,B2571)),0),0)),""))</f>
        <v/>
      </c>
      <c r="D2571">
        <f>IF(B2571="","",IF(C2571&lt;&gt;"","REMOVE","KEEP"))</f>
        <v/>
      </c>
      <c r="E2571">
        <f>IF(D2571&lt;&gt;"KEEP","",IF(RIGHT(B2571,10)="@gmail.com","Gmail",IF(OR(RIGHT(B2571,12)="@outlook.com",RIGHT(B2571,12)="@hotmail.com",RIGHT(B2571,9)="@live.com"),"Outlook","Domain")))</f>
        <v/>
      </c>
      <c r="F2571">
        <f>IF(B2571="","",IFERROR(RIGHT(B2571,LEN(B2571)-FIND("@",B2571)),""))</f>
        <v/>
      </c>
      <c r="G2571">
        <f>IF(D2571="KEEP",COUNTIF($D$2:D2571,"KEEP"),"")</f>
        <v/>
      </c>
      <c r="H2571">
        <f>IF(D2571="REMOVE",COUNTIF($D$2:D2571,"REMOVE"),"")</f>
        <v/>
      </c>
      <c r="I2571">
        <f>IF(E2571="Gmail",COUNTIF($E$2:E2571,"Gmail"),"")</f>
        <v/>
      </c>
      <c r="J2571">
        <f>IF(E2571="Outlook",COUNTIF($E$2:E2571,"Outlook"),"")</f>
        <v/>
      </c>
      <c r="K2571">
        <f>IF(E2571="Domain",COUNTIF($E$2:E2571,"Domain"),"")</f>
        <v/>
      </c>
    </row>
    <row r="2572">
      <c r="A2572" s="2" t="n"/>
      <c r="B2572">
        <f>LOWER(TRIM(A2572))</f>
        <v/>
      </c>
      <c r="C2572">
        <f>IF(B2572="","",IFERROR(INDEX('Bad Patterns'!$A$2:$A$120,MATCH(1,INDEX(--ISNUMBER(SEARCH('Bad Patterns'!$A$2:$A$120,B2572)),0),0)),""))</f>
        <v/>
      </c>
      <c r="D2572">
        <f>IF(B2572="","",IF(C2572&lt;&gt;"","REMOVE","KEEP"))</f>
        <v/>
      </c>
      <c r="E2572">
        <f>IF(D2572&lt;&gt;"KEEP","",IF(RIGHT(B2572,10)="@gmail.com","Gmail",IF(OR(RIGHT(B2572,12)="@outlook.com",RIGHT(B2572,12)="@hotmail.com",RIGHT(B2572,9)="@live.com"),"Outlook","Domain")))</f>
        <v/>
      </c>
      <c r="F2572">
        <f>IF(B2572="","",IFERROR(RIGHT(B2572,LEN(B2572)-FIND("@",B2572)),""))</f>
        <v/>
      </c>
      <c r="G2572">
        <f>IF(D2572="KEEP",COUNTIF($D$2:D2572,"KEEP"),"")</f>
        <v/>
      </c>
      <c r="H2572">
        <f>IF(D2572="REMOVE",COUNTIF($D$2:D2572,"REMOVE"),"")</f>
        <v/>
      </c>
      <c r="I2572">
        <f>IF(E2572="Gmail",COUNTIF($E$2:E2572,"Gmail"),"")</f>
        <v/>
      </c>
      <c r="J2572">
        <f>IF(E2572="Outlook",COUNTIF($E$2:E2572,"Outlook"),"")</f>
        <v/>
      </c>
      <c r="K2572">
        <f>IF(E2572="Domain",COUNTIF($E$2:E2572,"Domain"),"")</f>
        <v/>
      </c>
    </row>
    <row r="2573">
      <c r="A2573" s="2" t="n"/>
      <c r="B2573">
        <f>LOWER(TRIM(A2573))</f>
        <v/>
      </c>
      <c r="C2573">
        <f>IF(B2573="","",IFERROR(INDEX('Bad Patterns'!$A$2:$A$120,MATCH(1,INDEX(--ISNUMBER(SEARCH('Bad Patterns'!$A$2:$A$120,B2573)),0),0)),""))</f>
        <v/>
      </c>
      <c r="D2573">
        <f>IF(B2573="","",IF(C2573&lt;&gt;"","REMOVE","KEEP"))</f>
        <v/>
      </c>
      <c r="E2573">
        <f>IF(D2573&lt;&gt;"KEEP","",IF(RIGHT(B2573,10)="@gmail.com","Gmail",IF(OR(RIGHT(B2573,12)="@outlook.com",RIGHT(B2573,12)="@hotmail.com",RIGHT(B2573,9)="@live.com"),"Outlook","Domain")))</f>
        <v/>
      </c>
      <c r="F2573">
        <f>IF(B2573="","",IFERROR(RIGHT(B2573,LEN(B2573)-FIND("@",B2573)),""))</f>
        <v/>
      </c>
      <c r="G2573">
        <f>IF(D2573="KEEP",COUNTIF($D$2:D2573,"KEEP"),"")</f>
        <v/>
      </c>
      <c r="H2573">
        <f>IF(D2573="REMOVE",COUNTIF($D$2:D2573,"REMOVE"),"")</f>
        <v/>
      </c>
      <c r="I2573">
        <f>IF(E2573="Gmail",COUNTIF($E$2:E2573,"Gmail"),"")</f>
        <v/>
      </c>
      <c r="J2573">
        <f>IF(E2573="Outlook",COUNTIF($E$2:E2573,"Outlook"),"")</f>
        <v/>
      </c>
      <c r="K2573">
        <f>IF(E2573="Domain",COUNTIF($E$2:E2573,"Domain"),"")</f>
        <v/>
      </c>
    </row>
    <row r="2574">
      <c r="A2574" s="2" t="n"/>
      <c r="B2574">
        <f>LOWER(TRIM(A2574))</f>
        <v/>
      </c>
      <c r="C2574">
        <f>IF(B2574="","",IFERROR(INDEX('Bad Patterns'!$A$2:$A$120,MATCH(1,INDEX(--ISNUMBER(SEARCH('Bad Patterns'!$A$2:$A$120,B2574)),0),0)),""))</f>
        <v/>
      </c>
      <c r="D2574">
        <f>IF(B2574="","",IF(C2574&lt;&gt;"","REMOVE","KEEP"))</f>
        <v/>
      </c>
      <c r="E2574">
        <f>IF(D2574&lt;&gt;"KEEP","",IF(RIGHT(B2574,10)="@gmail.com","Gmail",IF(OR(RIGHT(B2574,12)="@outlook.com",RIGHT(B2574,12)="@hotmail.com",RIGHT(B2574,9)="@live.com"),"Outlook","Domain")))</f>
        <v/>
      </c>
      <c r="F2574">
        <f>IF(B2574="","",IFERROR(RIGHT(B2574,LEN(B2574)-FIND("@",B2574)),""))</f>
        <v/>
      </c>
      <c r="G2574">
        <f>IF(D2574="KEEP",COUNTIF($D$2:D2574,"KEEP"),"")</f>
        <v/>
      </c>
      <c r="H2574">
        <f>IF(D2574="REMOVE",COUNTIF($D$2:D2574,"REMOVE"),"")</f>
        <v/>
      </c>
      <c r="I2574">
        <f>IF(E2574="Gmail",COUNTIF($E$2:E2574,"Gmail"),"")</f>
        <v/>
      </c>
      <c r="J2574">
        <f>IF(E2574="Outlook",COUNTIF($E$2:E2574,"Outlook"),"")</f>
        <v/>
      </c>
      <c r="K2574">
        <f>IF(E2574="Domain",COUNTIF($E$2:E2574,"Domain"),"")</f>
        <v/>
      </c>
    </row>
    <row r="2575">
      <c r="A2575" s="2" t="n"/>
      <c r="B2575">
        <f>LOWER(TRIM(A2575))</f>
        <v/>
      </c>
      <c r="C2575">
        <f>IF(B2575="","",IFERROR(INDEX('Bad Patterns'!$A$2:$A$120,MATCH(1,INDEX(--ISNUMBER(SEARCH('Bad Patterns'!$A$2:$A$120,B2575)),0),0)),""))</f>
        <v/>
      </c>
      <c r="D2575">
        <f>IF(B2575="","",IF(C2575&lt;&gt;"","REMOVE","KEEP"))</f>
        <v/>
      </c>
      <c r="E2575">
        <f>IF(D2575&lt;&gt;"KEEP","",IF(RIGHT(B2575,10)="@gmail.com","Gmail",IF(OR(RIGHT(B2575,12)="@outlook.com",RIGHT(B2575,12)="@hotmail.com",RIGHT(B2575,9)="@live.com"),"Outlook","Domain")))</f>
        <v/>
      </c>
      <c r="F2575">
        <f>IF(B2575="","",IFERROR(RIGHT(B2575,LEN(B2575)-FIND("@",B2575)),""))</f>
        <v/>
      </c>
      <c r="G2575">
        <f>IF(D2575="KEEP",COUNTIF($D$2:D2575,"KEEP"),"")</f>
        <v/>
      </c>
      <c r="H2575">
        <f>IF(D2575="REMOVE",COUNTIF($D$2:D2575,"REMOVE"),"")</f>
        <v/>
      </c>
      <c r="I2575">
        <f>IF(E2575="Gmail",COUNTIF($E$2:E2575,"Gmail"),"")</f>
        <v/>
      </c>
      <c r="J2575">
        <f>IF(E2575="Outlook",COUNTIF($E$2:E2575,"Outlook"),"")</f>
        <v/>
      </c>
      <c r="K2575">
        <f>IF(E2575="Domain",COUNTIF($E$2:E2575,"Domain"),"")</f>
        <v/>
      </c>
    </row>
    <row r="2576">
      <c r="A2576" s="2" t="n"/>
      <c r="B2576">
        <f>LOWER(TRIM(A2576))</f>
        <v/>
      </c>
      <c r="C2576">
        <f>IF(B2576="","",IFERROR(INDEX('Bad Patterns'!$A$2:$A$120,MATCH(1,INDEX(--ISNUMBER(SEARCH('Bad Patterns'!$A$2:$A$120,B2576)),0),0)),""))</f>
        <v/>
      </c>
      <c r="D2576">
        <f>IF(B2576="","",IF(C2576&lt;&gt;"","REMOVE","KEEP"))</f>
        <v/>
      </c>
      <c r="E2576">
        <f>IF(D2576&lt;&gt;"KEEP","",IF(RIGHT(B2576,10)="@gmail.com","Gmail",IF(OR(RIGHT(B2576,12)="@outlook.com",RIGHT(B2576,12)="@hotmail.com",RIGHT(B2576,9)="@live.com"),"Outlook","Domain")))</f>
        <v/>
      </c>
      <c r="F2576">
        <f>IF(B2576="","",IFERROR(RIGHT(B2576,LEN(B2576)-FIND("@",B2576)),""))</f>
        <v/>
      </c>
      <c r="G2576">
        <f>IF(D2576="KEEP",COUNTIF($D$2:D2576,"KEEP"),"")</f>
        <v/>
      </c>
      <c r="H2576">
        <f>IF(D2576="REMOVE",COUNTIF($D$2:D2576,"REMOVE"),"")</f>
        <v/>
      </c>
      <c r="I2576">
        <f>IF(E2576="Gmail",COUNTIF($E$2:E2576,"Gmail"),"")</f>
        <v/>
      </c>
      <c r="J2576">
        <f>IF(E2576="Outlook",COUNTIF($E$2:E2576,"Outlook"),"")</f>
        <v/>
      </c>
      <c r="K2576">
        <f>IF(E2576="Domain",COUNTIF($E$2:E2576,"Domain"),"")</f>
        <v/>
      </c>
    </row>
    <row r="2577">
      <c r="A2577" s="2" t="n"/>
      <c r="B2577">
        <f>LOWER(TRIM(A2577))</f>
        <v/>
      </c>
      <c r="C2577">
        <f>IF(B2577="","",IFERROR(INDEX('Bad Patterns'!$A$2:$A$120,MATCH(1,INDEX(--ISNUMBER(SEARCH('Bad Patterns'!$A$2:$A$120,B2577)),0),0)),""))</f>
        <v/>
      </c>
      <c r="D2577">
        <f>IF(B2577="","",IF(C2577&lt;&gt;"","REMOVE","KEEP"))</f>
        <v/>
      </c>
      <c r="E2577">
        <f>IF(D2577&lt;&gt;"KEEP","",IF(RIGHT(B2577,10)="@gmail.com","Gmail",IF(OR(RIGHT(B2577,12)="@outlook.com",RIGHT(B2577,12)="@hotmail.com",RIGHT(B2577,9)="@live.com"),"Outlook","Domain")))</f>
        <v/>
      </c>
      <c r="F2577">
        <f>IF(B2577="","",IFERROR(RIGHT(B2577,LEN(B2577)-FIND("@",B2577)),""))</f>
        <v/>
      </c>
      <c r="G2577">
        <f>IF(D2577="KEEP",COUNTIF($D$2:D2577,"KEEP"),"")</f>
        <v/>
      </c>
      <c r="H2577">
        <f>IF(D2577="REMOVE",COUNTIF($D$2:D2577,"REMOVE"),"")</f>
        <v/>
      </c>
      <c r="I2577">
        <f>IF(E2577="Gmail",COUNTIF($E$2:E2577,"Gmail"),"")</f>
        <v/>
      </c>
      <c r="J2577">
        <f>IF(E2577="Outlook",COUNTIF($E$2:E2577,"Outlook"),"")</f>
        <v/>
      </c>
      <c r="K2577">
        <f>IF(E2577="Domain",COUNTIF($E$2:E2577,"Domain"),"")</f>
        <v/>
      </c>
    </row>
    <row r="2578">
      <c r="A2578" s="2" t="n"/>
      <c r="B2578">
        <f>LOWER(TRIM(A2578))</f>
        <v/>
      </c>
      <c r="C2578">
        <f>IF(B2578="","",IFERROR(INDEX('Bad Patterns'!$A$2:$A$120,MATCH(1,INDEX(--ISNUMBER(SEARCH('Bad Patterns'!$A$2:$A$120,B2578)),0),0)),""))</f>
        <v/>
      </c>
      <c r="D2578">
        <f>IF(B2578="","",IF(C2578&lt;&gt;"","REMOVE","KEEP"))</f>
        <v/>
      </c>
      <c r="E2578">
        <f>IF(D2578&lt;&gt;"KEEP","",IF(RIGHT(B2578,10)="@gmail.com","Gmail",IF(OR(RIGHT(B2578,12)="@outlook.com",RIGHT(B2578,12)="@hotmail.com",RIGHT(B2578,9)="@live.com"),"Outlook","Domain")))</f>
        <v/>
      </c>
      <c r="F2578">
        <f>IF(B2578="","",IFERROR(RIGHT(B2578,LEN(B2578)-FIND("@",B2578)),""))</f>
        <v/>
      </c>
      <c r="G2578">
        <f>IF(D2578="KEEP",COUNTIF($D$2:D2578,"KEEP"),"")</f>
        <v/>
      </c>
      <c r="H2578">
        <f>IF(D2578="REMOVE",COUNTIF($D$2:D2578,"REMOVE"),"")</f>
        <v/>
      </c>
      <c r="I2578">
        <f>IF(E2578="Gmail",COUNTIF($E$2:E2578,"Gmail"),"")</f>
        <v/>
      </c>
      <c r="J2578">
        <f>IF(E2578="Outlook",COUNTIF($E$2:E2578,"Outlook"),"")</f>
        <v/>
      </c>
      <c r="K2578">
        <f>IF(E2578="Domain",COUNTIF($E$2:E2578,"Domain"),"")</f>
        <v/>
      </c>
    </row>
    <row r="2579">
      <c r="A2579" s="2" t="n"/>
      <c r="B2579">
        <f>LOWER(TRIM(A2579))</f>
        <v/>
      </c>
      <c r="C2579">
        <f>IF(B2579="","",IFERROR(INDEX('Bad Patterns'!$A$2:$A$120,MATCH(1,INDEX(--ISNUMBER(SEARCH('Bad Patterns'!$A$2:$A$120,B2579)),0),0)),""))</f>
        <v/>
      </c>
      <c r="D2579">
        <f>IF(B2579="","",IF(C2579&lt;&gt;"","REMOVE","KEEP"))</f>
        <v/>
      </c>
      <c r="E2579">
        <f>IF(D2579&lt;&gt;"KEEP","",IF(RIGHT(B2579,10)="@gmail.com","Gmail",IF(OR(RIGHT(B2579,12)="@outlook.com",RIGHT(B2579,12)="@hotmail.com",RIGHT(B2579,9)="@live.com"),"Outlook","Domain")))</f>
        <v/>
      </c>
      <c r="F2579">
        <f>IF(B2579="","",IFERROR(RIGHT(B2579,LEN(B2579)-FIND("@",B2579)),""))</f>
        <v/>
      </c>
      <c r="G2579">
        <f>IF(D2579="KEEP",COUNTIF($D$2:D2579,"KEEP"),"")</f>
        <v/>
      </c>
      <c r="H2579">
        <f>IF(D2579="REMOVE",COUNTIF($D$2:D2579,"REMOVE"),"")</f>
        <v/>
      </c>
      <c r="I2579">
        <f>IF(E2579="Gmail",COUNTIF($E$2:E2579,"Gmail"),"")</f>
        <v/>
      </c>
      <c r="J2579">
        <f>IF(E2579="Outlook",COUNTIF($E$2:E2579,"Outlook"),"")</f>
        <v/>
      </c>
      <c r="K2579">
        <f>IF(E2579="Domain",COUNTIF($E$2:E2579,"Domain"),"")</f>
        <v/>
      </c>
    </row>
    <row r="2580">
      <c r="A2580" s="2" t="n"/>
      <c r="B2580">
        <f>LOWER(TRIM(A2580))</f>
        <v/>
      </c>
      <c r="C2580">
        <f>IF(B2580="","",IFERROR(INDEX('Bad Patterns'!$A$2:$A$120,MATCH(1,INDEX(--ISNUMBER(SEARCH('Bad Patterns'!$A$2:$A$120,B2580)),0),0)),""))</f>
        <v/>
      </c>
      <c r="D2580">
        <f>IF(B2580="","",IF(C2580&lt;&gt;"","REMOVE","KEEP"))</f>
        <v/>
      </c>
      <c r="E2580">
        <f>IF(D2580&lt;&gt;"KEEP","",IF(RIGHT(B2580,10)="@gmail.com","Gmail",IF(OR(RIGHT(B2580,12)="@outlook.com",RIGHT(B2580,12)="@hotmail.com",RIGHT(B2580,9)="@live.com"),"Outlook","Domain")))</f>
        <v/>
      </c>
      <c r="F2580">
        <f>IF(B2580="","",IFERROR(RIGHT(B2580,LEN(B2580)-FIND("@",B2580)),""))</f>
        <v/>
      </c>
      <c r="G2580">
        <f>IF(D2580="KEEP",COUNTIF($D$2:D2580,"KEEP"),"")</f>
        <v/>
      </c>
      <c r="H2580">
        <f>IF(D2580="REMOVE",COUNTIF($D$2:D2580,"REMOVE"),"")</f>
        <v/>
      </c>
      <c r="I2580">
        <f>IF(E2580="Gmail",COUNTIF($E$2:E2580,"Gmail"),"")</f>
        <v/>
      </c>
      <c r="J2580">
        <f>IF(E2580="Outlook",COUNTIF($E$2:E2580,"Outlook"),"")</f>
        <v/>
      </c>
      <c r="K2580">
        <f>IF(E2580="Domain",COUNTIF($E$2:E2580,"Domain"),"")</f>
        <v/>
      </c>
    </row>
    <row r="2581">
      <c r="A2581" s="2" t="n"/>
      <c r="B2581">
        <f>LOWER(TRIM(A2581))</f>
        <v/>
      </c>
      <c r="C2581">
        <f>IF(B2581="","",IFERROR(INDEX('Bad Patterns'!$A$2:$A$120,MATCH(1,INDEX(--ISNUMBER(SEARCH('Bad Patterns'!$A$2:$A$120,B2581)),0),0)),""))</f>
        <v/>
      </c>
      <c r="D2581">
        <f>IF(B2581="","",IF(C2581&lt;&gt;"","REMOVE","KEEP"))</f>
        <v/>
      </c>
      <c r="E2581">
        <f>IF(D2581&lt;&gt;"KEEP","",IF(RIGHT(B2581,10)="@gmail.com","Gmail",IF(OR(RIGHT(B2581,12)="@outlook.com",RIGHT(B2581,12)="@hotmail.com",RIGHT(B2581,9)="@live.com"),"Outlook","Domain")))</f>
        <v/>
      </c>
      <c r="F2581">
        <f>IF(B2581="","",IFERROR(RIGHT(B2581,LEN(B2581)-FIND("@",B2581)),""))</f>
        <v/>
      </c>
      <c r="G2581">
        <f>IF(D2581="KEEP",COUNTIF($D$2:D2581,"KEEP"),"")</f>
        <v/>
      </c>
      <c r="H2581">
        <f>IF(D2581="REMOVE",COUNTIF($D$2:D2581,"REMOVE"),"")</f>
        <v/>
      </c>
      <c r="I2581">
        <f>IF(E2581="Gmail",COUNTIF($E$2:E2581,"Gmail"),"")</f>
        <v/>
      </c>
      <c r="J2581">
        <f>IF(E2581="Outlook",COUNTIF($E$2:E2581,"Outlook"),"")</f>
        <v/>
      </c>
      <c r="K2581">
        <f>IF(E2581="Domain",COUNTIF($E$2:E2581,"Domain"),"")</f>
        <v/>
      </c>
    </row>
    <row r="2582">
      <c r="A2582" s="2" t="n"/>
      <c r="B2582">
        <f>LOWER(TRIM(A2582))</f>
        <v/>
      </c>
      <c r="C2582">
        <f>IF(B2582="","",IFERROR(INDEX('Bad Patterns'!$A$2:$A$120,MATCH(1,INDEX(--ISNUMBER(SEARCH('Bad Patterns'!$A$2:$A$120,B2582)),0),0)),""))</f>
        <v/>
      </c>
      <c r="D2582">
        <f>IF(B2582="","",IF(C2582&lt;&gt;"","REMOVE","KEEP"))</f>
        <v/>
      </c>
      <c r="E2582">
        <f>IF(D2582&lt;&gt;"KEEP","",IF(RIGHT(B2582,10)="@gmail.com","Gmail",IF(OR(RIGHT(B2582,12)="@outlook.com",RIGHT(B2582,12)="@hotmail.com",RIGHT(B2582,9)="@live.com"),"Outlook","Domain")))</f>
        <v/>
      </c>
      <c r="F2582">
        <f>IF(B2582="","",IFERROR(RIGHT(B2582,LEN(B2582)-FIND("@",B2582)),""))</f>
        <v/>
      </c>
      <c r="G2582">
        <f>IF(D2582="KEEP",COUNTIF($D$2:D2582,"KEEP"),"")</f>
        <v/>
      </c>
      <c r="H2582">
        <f>IF(D2582="REMOVE",COUNTIF($D$2:D2582,"REMOVE"),"")</f>
        <v/>
      </c>
      <c r="I2582">
        <f>IF(E2582="Gmail",COUNTIF($E$2:E2582,"Gmail"),"")</f>
        <v/>
      </c>
      <c r="J2582">
        <f>IF(E2582="Outlook",COUNTIF($E$2:E2582,"Outlook"),"")</f>
        <v/>
      </c>
      <c r="K2582">
        <f>IF(E2582="Domain",COUNTIF($E$2:E2582,"Domain"),"")</f>
        <v/>
      </c>
    </row>
    <row r="2583">
      <c r="A2583" s="2" t="n"/>
      <c r="B2583">
        <f>LOWER(TRIM(A2583))</f>
        <v/>
      </c>
      <c r="C2583">
        <f>IF(B2583="","",IFERROR(INDEX('Bad Patterns'!$A$2:$A$120,MATCH(1,INDEX(--ISNUMBER(SEARCH('Bad Patterns'!$A$2:$A$120,B2583)),0),0)),""))</f>
        <v/>
      </c>
      <c r="D2583">
        <f>IF(B2583="","",IF(C2583&lt;&gt;"","REMOVE","KEEP"))</f>
        <v/>
      </c>
      <c r="E2583">
        <f>IF(D2583&lt;&gt;"KEEP","",IF(RIGHT(B2583,10)="@gmail.com","Gmail",IF(OR(RIGHT(B2583,12)="@outlook.com",RIGHT(B2583,12)="@hotmail.com",RIGHT(B2583,9)="@live.com"),"Outlook","Domain")))</f>
        <v/>
      </c>
      <c r="F2583">
        <f>IF(B2583="","",IFERROR(RIGHT(B2583,LEN(B2583)-FIND("@",B2583)),""))</f>
        <v/>
      </c>
      <c r="G2583">
        <f>IF(D2583="KEEP",COUNTIF($D$2:D2583,"KEEP"),"")</f>
        <v/>
      </c>
      <c r="H2583">
        <f>IF(D2583="REMOVE",COUNTIF($D$2:D2583,"REMOVE"),"")</f>
        <v/>
      </c>
      <c r="I2583">
        <f>IF(E2583="Gmail",COUNTIF($E$2:E2583,"Gmail"),"")</f>
        <v/>
      </c>
      <c r="J2583">
        <f>IF(E2583="Outlook",COUNTIF($E$2:E2583,"Outlook"),"")</f>
        <v/>
      </c>
      <c r="K2583">
        <f>IF(E2583="Domain",COUNTIF($E$2:E2583,"Domain"),"")</f>
        <v/>
      </c>
    </row>
    <row r="2584">
      <c r="A2584" s="2" t="n"/>
      <c r="B2584">
        <f>LOWER(TRIM(A2584))</f>
        <v/>
      </c>
      <c r="C2584">
        <f>IF(B2584="","",IFERROR(INDEX('Bad Patterns'!$A$2:$A$120,MATCH(1,INDEX(--ISNUMBER(SEARCH('Bad Patterns'!$A$2:$A$120,B2584)),0),0)),""))</f>
        <v/>
      </c>
      <c r="D2584">
        <f>IF(B2584="","",IF(C2584&lt;&gt;"","REMOVE","KEEP"))</f>
        <v/>
      </c>
      <c r="E2584">
        <f>IF(D2584&lt;&gt;"KEEP","",IF(RIGHT(B2584,10)="@gmail.com","Gmail",IF(OR(RIGHT(B2584,12)="@outlook.com",RIGHT(B2584,12)="@hotmail.com",RIGHT(B2584,9)="@live.com"),"Outlook","Domain")))</f>
        <v/>
      </c>
      <c r="F2584">
        <f>IF(B2584="","",IFERROR(RIGHT(B2584,LEN(B2584)-FIND("@",B2584)),""))</f>
        <v/>
      </c>
      <c r="G2584">
        <f>IF(D2584="KEEP",COUNTIF($D$2:D2584,"KEEP"),"")</f>
        <v/>
      </c>
      <c r="H2584">
        <f>IF(D2584="REMOVE",COUNTIF($D$2:D2584,"REMOVE"),"")</f>
        <v/>
      </c>
      <c r="I2584">
        <f>IF(E2584="Gmail",COUNTIF($E$2:E2584,"Gmail"),"")</f>
        <v/>
      </c>
      <c r="J2584">
        <f>IF(E2584="Outlook",COUNTIF($E$2:E2584,"Outlook"),"")</f>
        <v/>
      </c>
      <c r="K2584">
        <f>IF(E2584="Domain",COUNTIF($E$2:E2584,"Domain"),"")</f>
        <v/>
      </c>
    </row>
    <row r="2585">
      <c r="A2585" s="2" t="n"/>
      <c r="B2585">
        <f>LOWER(TRIM(A2585))</f>
        <v/>
      </c>
      <c r="C2585">
        <f>IF(B2585="","",IFERROR(INDEX('Bad Patterns'!$A$2:$A$120,MATCH(1,INDEX(--ISNUMBER(SEARCH('Bad Patterns'!$A$2:$A$120,B2585)),0),0)),""))</f>
        <v/>
      </c>
      <c r="D2585">
        <f>IF(B2585="","",IF(C2585&lt;&gt;"","REMOVE","KEEP"))</f>
        <v/>
      </c>
      <c r="E2585">
        <f>IF(D2585&lt;&gt;"KEEP","",IF(RIGHT(B2585,10)="@gmail.com","Gmail",IF(OR(RIGHT(B2585,12)="@outlook.com",RIGHT(B2585,12)="@hotmail.com",RIGHT(B2585,9)="@live.com"),"Outlook","Domain")))</f>
        <v/>
      </c>
      <c r="F2585">
        <f>IF(B2585="","",IFERROR(RIGHT(B2585,LEN(B2585)-FIND("@",B2585)),""))</f>
        <v/>
      </c>
      <c r="G2585">
        <f>IF(D2585="KEEP",COUNTIF($D$2:D2585,"KEEP"),"")</f>
        <v/>
      </c>
      <c r="H2585">
        <f>IF(D2585="REMOVE",COUNTIF($D$2:D2585,"REMOVE"),"")</f>
        <v/>
      </c>
      <c r="I2585">
        <f>IF(E2585="Gmail",COUNTIF($E$2:E2585,"Gmail"),"")</f>
        <v/>
      </c>
      <c r="J2585">
        <f>IF(E2585="Outlook",COUNTIF($E$2:E2585,"Outlook"),"")</f>
        <v/>
      </c>
      <c r="K2585">
        <f>IF(E2585="Domain",COUNTIF($E$2:E2585,"Domain"),"")</f>
        <v/>
      </c>
    </row>
    <row r="2586">
      <c r="A2586" s="2" t="n"/>
      <c r="B2586">
        <f>LOWER(TRIM(A2586))</f>
        <v/>
      </c>
      <c r="C2586">
        <f>IF(B2586="","",IFERROR(INDEX('Bad Patterns'!$A$2:$A$120,MATCH(1,INDEX(--ISNUMBER(SEARCH('Bad Patterns'!$A$2:$A$120,B2586)),0),0)),""))</f>
        <v/>
      </c>
      <c r="D2586">
        <f>IF(B2586="","",IF(C2586&lt;&gt;"","REMOVE","KEEP"))</f>
        <v/>
      </c>
      <c r="E2586">
        <f>IF(D2586&lt;&gt;"KEEP","",IF(RIGHT(B2586,10)="@gmail.com","Gmail",IF(OR(RIGHT(B2586,12)="@outlook.com",RIGHT(B2586,12)="@hotmail.com",RIGHT(B2586,9)="@live.com"),"Outlook","Domain")))</f>
        <v/>
      </c>
      <c r="F2586">
        <f>IF(B2586="","",IFERROR(RIGHT(B2586,LEN(B2586)-FIND("@",B2586)),""))</f>
        <v/>
      </c>
      <c r="G2586">
        <f>IF(D2586="KEEP",COUNTIF($D$2:D2586,"KEEP"),"")</f>
        <v/>
      </c>
      <c r="H2586">
        <f>IF(D2586="REMOVE",COUNTIF($D$2:D2586,"REMOVE"),"")</f>
        <v/>
      </c>
      <c r="I2586">
        <f>IF(E2586="Gmail",COUNTIF($E$2:E2586,"Gmail"),"")</f>
        <v/>
      </c>
      <c r="J2586">
        <f>IF(E2586="Outlook",COUNTIF($E$2:E2586,"Outlook"),"")</f>
        <v/>
      </c>
      <c r="K2586">
        <f>IF(E2586="Domain",COUNTIF($E$2:E2586,"Domain"),"")</f>
        <v/>
      </c>
    </row>
    <row r="2587">
      <c r="A2587" s="2" t="n"/>
      <c r="B2587">
        <f>LOWER(TRIM(A2587))</f>
        <v/>
      </c>
      <c r="C2587">
        <f>IF(B2587="","",IFERROR(INDEX('Bad Patterns'!$A$2:$A$120,MATCH(1,INDEX(--ISNUMBER(SEARCH('Bad Patterns'!$A$2:$A$120,B2587)),0),0)),""))</f>
        <v/>
      </c>
      <c r="D2587">
        <f>IF(B2587="","",IF(C2587&lt;&gt;"","REMOVE","KEEP"))</f>
        <v/>
      </c>
      <c r="E2587">
        <f>IF(D2587&lt;&gt;"KEEP","",IF(RIGHT(B2587,10)="@gmail.com","Gmail",IF(OR(RIGHT(B2587,12)="@outlook.com",RIGHT(B2587,12)="@hotmail.com",RIGHT(B2587,9)="@live.com"),"Outlook","Domain")))</f>
        <v/>
      </c>
      <c r="F2587">
        <f>IF(B2587="","",IFERROR(RIGHT(B2587,LEN(B2587)-FIND("@",B2587)),""))</f>
        <v/>
      </c>
      <c r="G2587">
        <f>IF(D2587="KEEP",COUNTIF($D$2:D2587,"KEEP"),"")</f>
        <v/>
      </c>
      <c r="H2587">
        <f>IF(D2587="REMOVE",COUNTIF($D$2:D2587,"REMOVE"),"")</f>
        <v/>
      </c>
      <c r="I2587">
        <f>IF(E2587="Gmail",COUNTIF($E$2:E2587,"Gmail"),"")</f>
        <v/>
      </c>
      <c r="J2587">
        <f>IF(E2587="Outlook",COUNTIF($E$2:E2587,"Outlook"),"")</f>
        <v/>
      </c>
      <c r="K2587">
        <f>IF(E2587="Domain",COUNTIF($E$2:E2587,"Domain"),"")</f>
        <v/>
      </c>
    </row>
    <row r="2588">
      <c r="A2588" s="2" t="n"/>
      <c r="B2588">
        <f>LOWER(TRIM(A2588))</f>
        <v/>
      </c>
      <c r="C2588">
        <f>IF(B2588="","",IFERROR(INDEX('Bad Patterns'!$A$2:$A$120,MATCH(1,INDEX(--ISNUMBER(SEARCH('Bad Patterns'!$A$2:$A$120,B2588)),0),0)),""))</f>
        <v/>
      </c>
      <c r="D2588">
        <f>IF(B2588="","",IF(C2588&lt;&gt;"","REMOVE","KEEP"))</f>
        <v/>
      </c>
      <c r="E2588">
        <f>IF(D2588&lt;&gt;"KEEP","",IF(RIGHT(B2588,10)="@gmail.com","Gmail",IF(OR(RIGHT(B2588,12)="@outlook.com",RIGHT(B2588,12)="@hotmail.com",RIGHT(B2588,9)="@live.com"),"Outlook","Domain")))</f>
        <v/>
      </c>
      <c r="F2588">
        <f>IF(B2588="","",IFERROR(RIGHT(B2588,LEN(B2588)-FIND("@",B2588)),""))</f>
        <v/>
      </c>
      <c r="G2588">
        <f>IF(D2588="KEEP",COUNTIF($D$2:D2588,"KEEP"),"")</f>
        <v/>
      </c>
      <c r="H2588">
        <f>IF(D2588="REMOVE",COUNTIF($D$2:D2588,"REMOVE"),"")</f>
        <v/>
      </c>
      <c r="I2588">
        <f>IF(E2588="Gmail",COUNTIF($E$2:E2588,"Gmail"),"")</f>
        <v/>
      </c>
      <c r="J2588">
        <f>IF(E2588="Outlook",COUNTIF($E$2:E2588,"Outlook"),"")</f>
        <v/>
      </c>
      <c r="K2588">
        <f>IF(E2588="Domain",COUNTIF($E$2:E2588,"Domain"),"")</f>
        <v/>
      </c>
    </row>
    <row r="2589">
      <c r="A2589" s="2" t="n"/>
      <c r="B2589">
        <f>LOWER(TRIM(A2589))</f>
        <v/>
      </c>
      <c r="C2589">
        <f>IF(B2589="","",IFERROR(INDEX('Bad Patterns'!$A$2:$A$120,MATCH(1,INDEX(--ISNUMBER(SEARCH('Bad Patterns'!$A$2:$A$120,B2589)),0),0)),""))</f>
        <v/>
      </c>
      <c r="D2589">
        <f>IF(B2589="","",IF(C2589&lt;&gt;"","REMOVE","KEEP"))</f>
        <v/>
      </c>
      <c r="E2589">
        <f>IF(D2589&lt;&gt;"KEEP","",IF(RIGHT(B2589,10)="@gmail.com","Gmail",IF(OR(RIGHT(B2589,12)="@outlook.com",RIGHT(B2589,12)="@hotmail.com",RIGHT(B2589,9)="@live.com"),"Outlook","Domain")))</f>
        <v/>
      </c>
      <c r="F2589">
        <f>IF(B2589="","",IFERROR(RIGHT(B2589,LEN(B2589)-FIND("@",B2589)),""))</f>
        <v/>
      </c>
      <c r="G2589">
        <f>IF(D2589="KEEP",COUNTIF($D$2:D2589,"KEEP"),"")</f>
        <v/>
      </c>
      <c r="H2589">
        <f>IF(D2589="REMOVE",COUNTIF($D$2:D2589,"REMOVE"),"")</f>
        <v/>
      </c>
      <c r="I2589">
        <f>IF(E2589="Gmail",COUNTIF($E$2:E2589,"Gmail"),"")</f>
        <v/>
      </c>
      <c r="J2589">
        <f>IF(E2589="Outlook",COUNTIF($E$2:E2589,"Outlook"),"")</f>
        <v/>
      </c>
      <c r="K2589">
        <f>IF(E2589="Domain",COUNTIF($E$2:E2589,"Domain"),"")</f>
        <v/>
      </c>
    </row>
    <row r="2590">
      <c r="A2590" s="2" t="n"/>
      <c r="B2590">
        <f>LOWER(TRIM(A2590))</f>
        <v/>
      </c>
      <c r="C2590">
        <f>IF(B2590="","",IFERROR(INDEX('Bad Patterns'!$A$2:$A$120,MATCH(1,INDEX(--ISNUMBER(SEARCH('Bad Patterns'!$A$2:$A$120,B2590)),0),0)),""))</f>
        <v/>
      </c>
      <c r="D2590">
        <f>IF(B2590="","",IF(C2590&lt;&gt;"","REMOVE","KEEP"))</f>
        <v/>
      </c>
      <c r="E2590">
        <f>IF(D2590&lt;&gt;"KEEP","",IF(RIGHT(B2590,10)="@gmail.com","Gmail",IF(OR(RIGHT(B2590,12)="@outlook.com",RIGHT(B2590,12)="@hotmail.com",RIGHT(B2590,9)="@live.com"),"Outlook","Domain")))</f>
        <v/>
      </c>
      <c r="F2590">
        <f>IF(B2590="","",IFERROR(RIGHT(B2590,LEN(B2590)-FIND("@",B2590)),""))</f>
        <v/>
      </c>
      <c r="G2590">
        <f>IF(D2590="KEEP",COUNTIF($D$2:D2590,"KEEP"),"")</f>
        <v/>
      </c>
      <c r="H2590">
        <f>IF(D2590="REMOVE",COUNTIF($D$2:D2590,"REMOVE"),"")</f>
        <v/>
      </c>
      <c r="I2590">
        <f>IF(E2590="Gmail",COUNTIF($E$2:E2590,"Gmail"),"")</f>
        <v/>
      </c>
      <c r="J2590">
        <f>IF(E2590="Outlook",COUNTIF($E$2:E2590,"Outlook"),"")</f>
        <v/>
      </c>
      <c r="K2590">
        <f>IF(E2590="Domain",COUNTIF($E$2:E2590,"Domain"),"")</f>
        <v/>
      </c>
    </row>
    <row r="2591">
      <c r="A2591" s="2" t="n"/>
      <c r="B2591">
        <f>LOWER(TRIM(A2591))</f>
        <v/>
      </c>
      <c r="C2591">
        <f>IF(B2591="","",IFERROR(INDEX('Bad Patterns'!$A$2:$A$120,MATCH(1,INDEX(--ISNUMBER(SEARCH('Bad Patterns'!$A$2:$A$120,B2591)),0),0)),""))</f>
        <v/>
      </c>
      <c r="D2591">
        <f>IF(B2591="","",IF(C2591&lt;&gt;"","REMOVE","KEEP"))</f>
        <v/>
      </c>
      <c r="E2591">
        <f>IF(D2591&lt;&gt;"KEEP","",IF(RIGHT(B2591,10)="@gmail.com","Gmail",IF(OR(RIGHT(B2591,12)="@outlook.com",RIGHT(B2591,12)="@hotmail.com",RIGHT(B2591,9)="@live.com"),"Outlook","Domain")))</f>
        <v/>
      </c>
      <c r="F2591">
        <f>IF(B2591="","",IFERROR(RIGHT(B2591,LEN(B2591)-FIND("@",B2591)),""))</f>
        <v/>
      </c>
      <c r="G2591">
        <f>IF(D2591="KEEP",COUNTIF($D$2:D2591,"KEEP"),"")</f>
        <v/>
      </c>
      <c r="H2591">
        <f>IF(D2591="REMOVE",COUNTIF($D$2:D2591,"REMOVE"),"")</f>
        <v/>
      </c>
      <c r="I2591">
        <f>IF(E2591="Gmail",COUNTIF($E$2:E2591,"Gmail"),"")</f>
        <v/>
      </c>
      <c r="J2591">
        <f>IF(E2591="Outlook",COUNTIF($E$2:E2591,"Outlook"),"")</f>
        <v/>
      </c>
      <c r="K2591">
        <f>IF(E2591="Domain",COUNTIF($E$2:E2591,"Domain"),"")</f>
        <v/>
      </c>
    </row>
    <row r="2592">
      <c r="A2592" s="2" t="n"/>
      <c r="B2592">
        <f>LOWER(TRIM(A2592))</f>
        <v/>
      </c>
      <c r="C2592">
        <f>IF(B2592="","",IFERROR(INDEX('Bad Patterns'!$A$2:$A$120,MATCH(1,INDEX(--ISNUMBER(SEARCH('Bad Patterns'!$A$2:$A$120,B2592)),0),0)),""))</f>
        <v/>
      </c>
      <c r="D2592">
        <f>IF(B2592="","",IF(C2592&lt;&gt;"","REMOVE","KEEP"))</f>
        <v/>
      </c>
      <c r="E2592">
        <f>IF(D2592&lt;&gt;"KEEP","",IF(RIGHT(B2592,10)="@gmail.com","Gmail",IF(OR(RIGHT(B2592,12)="@outlook.com",RIGHT(B2592,12)="@hotmail.com",RIGHT(B2592,9)="@live.com"),"Outlook","Domain")))</f>
        <v/>
      </c>
      <c r="F2592">
        <f>IF(B2592="","",IFERROR(RIGHT(B2592,LEN(B2592)-FIND("@",B2592)),""))</f>
        <v/>
      </c>
      <c r="G2592">
        <f>IF(D2592="KEEP",COUNTIF($D$2:D2592,"KEEP"),"")</f>
        <v/>
      </c>
      <c r="H2592">
        <f>IF(D2592="REMOVE",COUNTIF($D$2:D2592,"REMOVE"),"")</f>
        <v/>
      </c>
      <c r="I2592">
        <f>IF(E2592="Gmail",COUNTIF($E$2:E2592,"Gmail"),"")</f>
        <v/>
      </c>
      <c r="J2592">
        <f>IF(E2592="Outlook",COUNTIF($E$2:E2592,"Outlook"),"")</f>
        <v/>
      </c>
      <c r="K2592">
        <f>IF(E2592="Domain",COUNTIF($E$2:E2592,"Domain"),"")</f>
        <v/>
      </c>
    </row>
    <row r="2593">
      <c r="A2593" s="2" t="n"/>
      <c r="B2593">
        <f>LOWER(TRIM(A2593))</f>
        <v/>
      </c>
      <c r="C2593">
        <f>IF(B2593="","",IFERROR(INDEX('Bad Patterns'!$A$2:$A$120,MATCH(1,INDEX(--ISNUMBER(SEARCH('Bad Patterns'!$A$2:$A$120,B2593)),0),0)),""))</f>
        <v/>
      </c>
      <c r="D2593">
        <f>IF(B2593="","",IF(C2593&lt;&gt;"","REMOVE","KEEP"))</f>
        <v/>
      </c>
      <c r="E2593">
        <f>IF(D2593&lt;&gt;"KEEP","",IF(RIGHT(B2593,10)="@gmail.com","Gmail",IF(OR(RIGHT(B2593,12)="@outlook.com",RIGHT(B2593,12)="@hotmail.com",RIGHT(B2593,9)="@live.com"),"Outlook","Domain")))</f>
        <v/>
      </c>
      <c r="F2593">
        <f>IF(B2593="","",IFERROR(RIGHT(B2593,LEN(B2593)-FIND("@",B2593)),""))</f>
        <v/>
      </c>
      <c r="G2593">
        <f>IF(D2593="KEEP",COUNTIF($D$2:D2593,"KEEP"),"")</f>
        <v/>
      </c>
      <c r="H2593">
        <f>IF(D2593="REMOVE",COUNTIF($D$2:D2593,"REMOVE"),"")</f>
        <v/>
      </c>
      <c r="I2593">
        <f>IF(E2593="Gmail",COUNTIF($E$2:E2593,"Gmail"),"")</f>
        <v/>
      </c>
      <c r="J2593">
        <f>IF(E2593="Outlook",COUNTIF($E$2:E2593,"Outlook"),"")</f>
        <v/>
      </c>
      <c r="K2593">
        <f>IF(E2593="Domain",COUNTIF($E$2:E2593,"Domain"),"")</f>
        <v/>
      </c>
    </row>
    <row r="2594">
      <c r="A2594" s="2" t="n"/>
      <c r="B2594">
        <f>LOWER(TRIM(A2594))</f>
        <v/>
      </c>
      <c r="C2594">
        <f>IF(B2594="","",IFERROR(INDEX('Bad Patterns'!$A$2:$A$120,MATCH(1,INDEX(--ISNUMBER(SEARCH('Bad Patterns'!$A$2:$A$120,B2594)),0),0)),""))</f>
        <v/>
      </c>
      <c r="D2594">
        <f>IF(B2594="","",IF(C2594&lt;&gt;"","REMOVE","KEEP"))</f>
        <v/>
      </c>
      <c r="E2594">
        <f>IF(D2594&lt;&gt;"KEEP","",IF(RIGHT(B2594,10)="@gmail.com","Gmail",IF(OR(RIGHT(B2594,12)="@outlook.com",RIGHT(B2594,12)="@hotmail.com",RIGHT(B2594,9)="@live.com"),"Outlook","Domain")))</f>
        <v/>
      </c>
      <c r="F2594">
        <f>IF(B2594="","",IFERROR(RIGHT(B2594,LEN(B2594)-FIND("@",B2594)),""))</f>
        <v/>
      </c>
      <c r="G2594">
        <f>IF(D2594="KEEP",COUNTIF($D$2:D2594,"KEEP"),"")</f>
        <v/>
      </c>
      <c r="H2594">
        <f>IF(D2594="REMOVE",COUNTIF($D$2:D2594,"REMOVE"),"")</f>
        <v/>
      </c>
      <c r="I2594">
        <f>IF(E2594="Gmail",COUNTIF($E$2:E2594,"Gmail"),"")</f>
        <v/>
      </c>
      <c r="J2594">
        <f>IF(E2594="Outlook",COUNTIF($E$2:E2594,"Outlook"),"")</f>
        <v/>
      </c>
      <c r="K2594">
        <f>IF(E2594="Domain",COUNTIF($E$2:E2594,"Domain"),"")</f>
        <v/>
      </c>
    </row>
    <row r="2595">
      <c r="A2595" s="2" t="n"/>
      <c r="B2595">
        <f>LOWER(TRIM(A2595))</f>
        <v/>
      </c>
      <c r="C2595">
        <f>IF(B2595="","",IFERROR(INDEX('Bad Patterns'!$A$2:$A$120,MATCH(1,INDEX(--ISNUMBER(SEARCH('Bad Patterns'!$A$2:$A$120,B2595)),0),0)),""))</f>
        <v/>
      </c>
      <c r="D2595">
        <f>IF(B2595="","",IF(C2595&lt;&gt;"","REMOVE","KEEP"))</f>
        <v/>
      </c>
      <c r="E2595">
        <f>IF(D2595&lt;&gt;"KEEP","",IF(RIGHT(B2595,10)="@gmail.com","Gmail",IF(OR(RIGHT(B2595,12)="@outlook.com",RIGHT(B2595,12)="@hotmail.com",RIGHT(B2595,9)="@live.com"),"Outlook","Domain")))</f>
        <v/>
      </c>
      <c r="F2595">
        <f>IF(B2595="","",IFERROR(RIGHT(B2595,LEN(B2595)-FIND("@",B2595)),""))</f>
        <v/>
      </c>
      <c r="G2595">
        <f>IF(D2595="KEEP",COUNTIF($D$2:D2595,"KEEP"),"")</f>
        <v/>
      </c>
      <c r="H2595">
        <f>IF(D2595="REMOVE",COUNTIF($D$2:D2595,"REMOVE"),"")</f>
        <v/>
      </c>
      <c r="I2595">
        <f>IF(E2595="Gmail",COUNTIF($E$2:E2595,"Gmail"),"")</f>
        <v/>
      </c>
      <c r="J2595">
        <f>IF(E2595="Outlook",COUNTIF($E$2:E2595,"Outlook"),"")</f>
        <v/>
      </c>
      <c r="K2595">
        <f>IF(E2595="Domain",COUNTIF($E$2:E2595,"Domain"),"")</f>
        <v/>
      </c>
    </row>
    <row r="2596">
      <c r="A2596" s="2" t="n"/>
      <c r="B2596">
        <f>LOWER(TRIM(A2596))</f>
        <v/>
      </c>
      <c r="C2596">
        <f>IF(B2596="","",IFERROR(INDEX('Bad Patterns'!$A$2:$A$120,MATCH(1,INDEX(--ISNUMBER(SEARCH('Bad Patterns'!$A$2:$A$120,B2596)),0),0)),""))</f>
        <v/>
      </c>
      <c r="D2596">
        <f>IF(B2596="","",IF(C2596&lt;&gt;"","REMOVE","KEEP"))</f>
        <v/>
      </c>
      <c r="E2596">
        <f>IF(D2596&lt;&gt;"KEEP","",IF(RIGHT(B2596,10)="@gmail.com","Gmail",IF(OR(RIGHT(B2596,12)="@outlook.com",RIGHT(B2596,12)="@hotmail.com",RIGHT(B2596,9)="@live.com"),"Outlook","Domain")))</f>
        <v/>
      </c>
      <c r="F2596">
        <f>IF(B2596="","",IFERROR(RIGHT(B2596,LEN(B2596)-FIND("@",B2596)),""))</f>
        <v/>
      </c>
      <c r="G2596">
        <f>IF(D2596="KEEP",COUNTIF($D$2:D2596,"KEEP"),"")</f>
        <v/>
      </c>
      <c r="H2596">
        <f>IF(D2596="REMOVE",COUNTIF($D$2:D2596,"REMOVE"),"")</f>
        <v/>
      </c>
      <c r="I2596">
        <f>IF(E2596="Gmail",COUNTIF($E$2:E2596,"Gmail"),"")</f>
        <v/>
      </c>
      <c r="J2596">
        <f>IF(E2596="Outlook",COUNTIF($E$2:E2596,"Outlook"),"")</f>
        <v/>
      </c>
      <c r="K2596">
        <f>IF(E2596="Domain",COUNTIF($E$2:E2596,"Domain"),"")</f>
        <v/>
      </c>
    </row>
    <row r="2597">
      <c r="A2597" s="2" t="n"/>
      <c r="B2597">
        <f>LOWER(TRIM(A2597))</f>
        <v/>
      </c>
      <c r="C2597">
        <f>IF(B2597="","",IFERROR(INDEX('Bad Patterns'!$A$2:$A$120,MATCH(1,INDEX(--ISNUMBER(SEARCH('Bad Patterns'!$A$2:$A$120,B2597)),0),0)),""))</f>
        <v/>
      </c>
      <c r="D2597">
        <f>IF(B2597="","",IF(C2597&lt;&gt;"","REMOVE","KEEP"))</f>
        <v/>
      </c>
      <c r="E2597">
        <f>IF(D2597&lt;&gt;"KEEP","",IF(RIGHT(B2597,10)="@gmail.com","Gmail",IF(OR(RIGHT(B2597,12)="@outlook.com",RIGHT(B2597,12)="@hotmail.com",RIGHT(B2597,9)="@live.com"),"Outlook","Domain")))</f>
        <v/>
      </c>
      <c r="F2597">
        <f>IF(B2597="","",IFERROR(RIGHT(B2597,LEN(B2597)-FIND("@",B2597)),""))</f>
        <v/>
      </c>
      <c r="G2597">
        <f>IF(D2597="KEEP",COUNTIF($D$2:D2597,"KEEP"),"")</f>
        <v/>
      </c>
      <c r="H2597">
        <f>IF(D2597="REMOVE",COUNTIF($D$2:D2597,"REMOVE"),"")</f>
        <v/>
      </c>
      <c r="I2597">
        <f>IF(E2597="Gmail",COUNTIF($E$2:E2597,"Gmail"),"")</f>
        <v/>
      </c>
      <c r="J2597">
        <f>IF(E2597="Outlook",COUNTIF($E$2:E2597,"Outlook"),"")</f>
        <v/>
      </c>
      <c r="K2597">
        <f>IF(E2597="Domain",COUNTIF($E$2:E2597,"Domain"),"")</f>
        <v/>
      </c>
    </row>
    <row r="2598">
      <c r="A2598" s="2" t="n"/>
      <c r="B2598">
        <f>LOWER(TRIM(A2598))</f>
        <v/>
      </c>
      <c r="C2598">
        <f>IF(B2598="","",IFERROR(INDEX('Bad Patterns'!$A$2:$A$120,MATCH(1,INDEX(--ISNUMBER(SEARCH('Bad Patterns'!$A$2:$A$120,B2598)),0),0)),""))</f>
        <v/>
      </c>
      <c r="D2598">
        <f>IF(B2598="","",IF(C2598&lt;&gt;"","REMOVE","KEEP"))</f>
        <v/>
      </c>
      <c r="E2598">
        <f>IF(D2598&lt;&gt;"KEEP","",IF(RIGHT(B2598,10)="@gmail.com","Gmail",IF(OR(RIGHT(B2598,12)="@outlook.com",RIGHT(B2598,12)="@hotmail.com",RIGHT(B2598,9)="@live.com"),"Outlook","Domain")))</f>
        <v/>
      </c>
      <c r="F2598">
        <f>IF(B2598="","",IFERROR(RIGHT(B2598,LEN(B2598)-FIND("@",B2598)),""))</f>
        <v/>
      </c>
      <c r="G2598">
        <f>IF(D2598="KEEP",COUNTIF($D$2:D2598,"KEEP"),"")</f>
        <v/>
      </c>
      <c r="H2598">
        <f>IF(D2598="REMOVE",COUNTIF($D$2:D2598,"REMOVE"),"")</f>
        <v/>
      </c>
      <c r="I2598">
        <f>IF(E2598="Gmail",COUNTIF($E$2:E2598,"Gmail"),"")</f>
        <v/>
      </c>
      <c r="J2598">
        <f>IF(E2598="Outlook",COUNTIF($E$2:E2598,"Outlook"),"")</f>
        <v/>
      </c>
      <c r="K2598">
        <f>IF(E2598="Domain",COUNTIF($E$2:E2598,"Domain"),"")</f>
        <v/>
      </c>
    </row>
    <row r="2599">
      <c r="A2599" s="2" t="n"/>
      <c r="B2599">
        <f>LOWER(TRIM(A2599))</f>
        <v/>
      </c>
      <c r="C2599">
        <f>IF(B2599="","",IFERROR(INDEX('Bad Patterns'!$A$2:$A$120,MATCH(1,INDEX(--ISNUMBER(SEARCH('Bad Patterns'!$A$2:$A$120,B2599)),0),0)),""))</f>
        <v/>
      </c>
      <c r="D2599">
        <f>IF(B2599="","",IF(C2599&lt;&gt;"","REMOVE","KEEP"))</f>
        <v/>
      </c>
      <c r="E2599">
        <f>IF(D2599&lt;&gt;"KEEP","",IF(RIGHT(B2599,10)="@gmail.com","Gmail",IF(OR(RIGHT(B2599,12)="@outlook.com",RIGHT(B2599,12)="@hotmail.com",RIGHT(B2599,9)="@live.com"),"Outlook","Domain")))</f>
        <v/>
      </c>
      <c r="F2599">
        <f>IF(B2599="","",IFERROR(RIGHT(B2599,LEN(B2599)-FIND("@",B2599)),""))</f>
        <v/>
      </c>
      <c r="G2599">
        <f>IF(D2599="KEEP",COUNTIF($D$2:D2599,"KEEP"),"")</f>
        <v/>
      </c>
      <c r="H2599">
        <f>IF(D2599="REMOVE",COUNTIF($D$2:D2599,"REMOVE"),"")</f>
        <v/>
      </c>
      <c r="I2599">
        <f>IF(E2599="Gmail",COUNTIF($E$2:E2599,"Gmail"),"")</f>
        <v/>
      </c>
      <c r="J2599">
        <f>IF(E2599="Outlook",COUNTIF($E$2:E2599,"Outlook"),"")</f>
        <v/>
      </c>
      <c r="K2599">
        <f>IF(E2599="Domain",COUNTIF($E$2:E2599,"Domain"),"")</f>
        <v/>
      </c>
    </row>
    <row r="2600">
      <c r="A2600" s="2" t="n"/>
      <c r="B2600">
        <f>LOWER(TRIM(A2600))</f>
        <v/>
      </c>
      <c r="C2600">
        <f>IF(B2600="","",IFERROR(INDEX('Bad Patterns'!$A$2:$A$120,MATCH(1,INDEX(--ISNUMBER(SEARCH('Bad Patterns'!$A$2:$A$120,B2600)),0),0)),""))</f>
        <v/>
      </c>
      <c r="D2600">
        <f>IF(B2600="","",IF(C2600&lt;&gt;"","REMOVE","KEEP"))</f>
        <v/>
      </c>
      <c r="E2600">
        <f>IF(D2600&lt;&gt;"KEEP","",IF(RIGHT(B2600,10)="@gmail.com","Gmail",IF(OR(RIGHT(B2600,12)="@outlook.com",RIGHT(B2600,12)="@hotmail.com",RIGHT(B2600,9)="@live.com"),"Outlook","Domain")))</f>
        <v/>
      </c>
      <c r="F2600">
        <f>IF(B2600="","",IFERROR(RIGHT(B2600,LEN(B2600)-FIND("@",B2600)),""))</f>
        <v/>
      </c>
      <c r="G2600">
        <f>IF(D2600="KEEP",COUNTIF($D$2:D2600,"KEEP"),"")</f>
        <v/>
      </c>
      <c r="H2600">
        <f>IF(D2600="REMOVE",COUNTIF($D$2:D2600,"REMOVE"),"")</f>
        <v/>
      </c>
      <c r="I2600">
        <f>IF(E2600="Gmail",COUNTIF($E$2:E2600,"Gmail"),"")</f>
        <v/>
      </c>
      <c r="J2600">
        <f>IF(E2600="Outlook",COUNTIF($E$2:E2600,"Outlook"),"")</f>
        <v/>
      </c>
      <c r="K2600">
        <f>IF(E2600="Domain",COUNTIF($E$2:E2600,"Domain"),"")</f>
        <v/>
      </c>
    </row>
    <row r="2601">
      <c r="A2601" s="2" t="n"/>
      <c r="B2601">
        <f>LOWER(TRIM(A2601))</f>
        <v/>
      </c>
      <c r="C2601">
        <f>IF(B2601="","",IFERROR(INDEX('Bad Patterns'!$A$2:$A$120,MATCH(1,INDEX(--ISNUMBER(SEARCH('Bad Patterns'!$A$2:$A$120,B2601)),0),0)),""))</f>
        <v/>
      </c>
      <c r="D2601">
        <f>IF(B2601="","",IF(C2601&lt;&gt;"","REMOVE","KEEP"))</f>
        <v/>
      </c>
      <c r="E2601">
        <f>IF(D2601&lt;&gt;"KEEP","",IF(RIGHT(B2601,10)="@gmail.com","Gmail",IF(OR(RIGHT(B2601,12)="@outlook.com",RIGHT(B2601,12)="@hotmail.com",RIGHT(B2601,9)="@live.com"),"Outlook","Domain")))</f>
        <v/>
      </c>
      <c r="F2601">
        <f>IF(B2601="","",IFERROR(RIGHT(B2601,LEN(B2601)-FIND("@",B2601)),""))</f>
        <v/>
      </c>
      <c r="G2601">
        <f>IF(D2601="KEEP",COUNTIF($D$2:D2601,"KEEP"),"")</f>
        <v/>
      </c>
      <c r="H2601">
        <f>IF(D2601="REMOVE",COUNTIF($D$2:D2601,"REMOVE"),"")</f>
        <v/>
      </c>
      <c r="I2601">
        <f>IF(E2601="Gmail",COUNTIF($E$2:E2601,"Gmail"),"")</f>
        <v/>
      </c>
      <c r="J2601">
        <f>IF(E2601="Outlook",COUNTIF($E$2:E2601,"Outlook"),"")</f>
        <v/>
      </c>
      <c r="K2601">
        <f>IF(E2601="Domain",COUNTIF($E$2:E2601,"Domain"),"")</f>
        <v/>
      </c>
    </row>
    <row r="2602">
      <c r="A2602" s="2" t="n"/>
      <c r="B2602">
        <f>LOWER(TRIM(A2602))</f>
        <v/>
      </c>
      <c r="C2602">
        <f>IF(B2602="","",IFERROR(INDEX('Bad Patterns'!$A$2:$A$120,MATCH(1,INDEX(--ISNUMBER(SEARCH('Bad Patterns'!$A$2:$A$120,B2602)),0),0)),""))</f>
        <v/>
      </c>
      <c r="D2602">
        <f>IF(B2602="","",IF(C2602&lt;&gt;"","REMOVE","KEEP"))</f>
        <v/>
      </c>
      <c r="E2602">
        <f>IF(D2602&lt;&gt;"KEEP","",IF(RIGHT(B2602,10)="@gmail.com","Gmail",IF(OR(RIGHT(B2602,12)="@outlook.com",RIGHT(B2602,12)="@hotmail.com",RIGHT(B2602,9)="@live.com"),"Outlook","Domain")))</f>
        <v/>
      </c>
      <c r="F2602">
        <f>IF(B2602="","",IFERROR(RIGHT(B2602,LEN(B2602)-FIND("@",B2602)),""))</f>
        <v/>
      </c>
      <c r="G2602">
        <f>IF(D2602="KEEP",COUNTIF($D$2:D2602,"KEEP"),"")</f>
        <v/>
      </c>
      <c r="H2602">
        <f>IF(D2602="REMOVE",COUNTIF($D$2:D2602,"REMOVE"),"")</f>
        <v/>
      </c>
      <c r="I2602">
        <f>IF(E2602="Gmail",COUNTIF($E$2:E2602,"Gmail"),"")</f>
        <v/>
      </c>
      <c r="J2602">
        <f>IF(E2602="Outlook",COUNTIF($E$2:E2602,"Outlook"),"")</f>
        <v/>
      </c>
      <c r="K2602">
        <f>IF(E2602="Domain",COUNTIF($E$2:E2602,"Domain"),"")</f>
        <v/>
      </c>
    </row>
    <row r="2603">
      <c r="A2603" s="2" t="n"/>
      <c r="B2603">
        <f>LOWER(TRIM(A2603))</f>
        <v/>
      </c>
      <c r="C2603">
        <f>IF(B2603="","",IFERROR(INDEX('Bad Patterns'!$A$2:$A$120,MATCH(1,INDEX(--ISNUMBER(SEARCH('Bad Patterns'!$A$2:$A$120,B2603)),0),0)),""))</f>
        <v/>
      </c>
      <c r="D2603">
        <f>IF(B2603="","",IF(C2603&lt;&gt;"","REMOVE","KEEP"))</f>
        <v/>
      </c>
      <c r="E2603">
        <f>IF(D2603&lt;&gt;"KEEP","",IF(RIGHT(B2603,10)="@gmail.com","Gmail",IF(OR(RIGHT(B2603,12)="@outlook.com",RIGHT(B2603,12)="@hotmail.com",RIGHT(B2603,9)="@live.com"),"Outlook","Domain")))</f>
        <v/>
      </c>
      <c r="F2603">
        <f>IF(B2603="","",IFERROR(RIGHT(B2603,LEN(B2603)-FIND("@",B2603)),""))</f>
        <v/>
      </c>
      <c r="G2603">
        <f>IF(D2603="KEEP",COUNTIF($D$2:D2603,"KEEP"),"")</f>
        <v/>
      </c>
      <c r="H2603">
        <f>IF(D2603="REMOVE",COUNTIF($D$2:D2603,"REMOVE"),"")</f>
        <v/>
      </c>
      <c r="I2603">
        <f>IF(E2603="Gmail",COUNTIF($E$2:E2603,"Gmail"),"")</f>
        <v/>
      </c>
      <c r="J2603">
        <f>IF(E2603="Outlook",COUNTIF($E$2:E2603,"Outlook"),"")</f>
        <v/>
      </c>
      <c r="K2603">
        <f>IF(E2603="Domain",COUNTIF($E$2:E2603,"Domain"),"")</f>
        <v/>
      </c>
    </row>
    <row r="2604">
      <c r="A2604" s="2" t="n"/>
      <c r="B2604">
        <f>LOWER(TRIM(A2604))</f>
        <v/>
      </c>
      <c r="C2604">
        <f>IF(B2604="","",IFERROR(INDEX('Bad Patterns'!$A$2:$A$120,MATCH(1,INDEX(--ISNUMBER(SEARCH('Bad Patterns'!$A$2:$A$120,B2604)),0),0)),""))</f>
        <v/>
      </c>
      <c r="D2604">
        <f>IF(B2604="","",IF(C2604&lt;&gt;"","REMOVE","KEEP"))</f>
        <v/>
      </c>
      <c r="E2604">
        <f>IF(D2604&lt;&gt;"KEEP","",IF(RIGHT(B2604,10)="@gmail.com","Gmail",IF(OR(RIGHT(B2604,12)="@outlook.com",RIGHT(B2604,12)="@hotmail.com",RIGHT(B2604,9)="@live.com"),"Outlook","Domain")))</f>
        <v/>
      </c>
      <c r="F2604">
        <f>IF(B2604="","",IFERROR(RIGHT(B2604,LEN(B2604)-FIND("@",B2604)),""))</f>
        <v/>
      </c>
      <c r="G2604">
        <f>IF(D2604="KEEP",COUNTIF($D$2:D2604,"KEEP"),"")</f>
        <v/>
      </c>
      <c r="H2604">
        <f>IF(D2604="REMOVE",COUNTIF($D$2:D2604,"REMOVE"),"")</f>
        <v/>
      </c>
      <c r="I2604">
        <f>IF(E2604="Gmail",COUNTIF($E$2:E2604,"Gmail"),"")</f>
        <v/>
      </c>
      <c r="J2604">
        <f>IF(E2604="Outlook",COUNTIF($E$2:E2604,"Outlook"),"")</f>
        <v/>
      </c>
      <c r="K2604">
        <f>IF(E2604="Domain",COUNTIF($E$2:E2604,"Domain"),"")</f>
        <v/>
      </c>
    </row>
    <row r="2605">
      <c r="A2605" s="2" t="n"/>
      <c r="B2605">
        <f>LOWER(TRIM(A2605))</f>
        <v/>
      </c>
      <c r="C2605">
        <f>IF(B2605="","",IFERROR(INDEX('Bad Patterns'!$A$2:$A$120,MATCH(1,INDEX(--ISNUMBER(SEARCH('Bad Patterns'!$A$2:$A$120,B2605)),0),0)),""))</f>
        <v/>
      </c>
      <c r="D2605">
        <f>IF(B2605="","",IF(C2605&lt;&gt;"","REMOVE","KEEP"))</f>
        <v/>
      </c>
      <c r="E2605">
        <f>IF(D2605&lt;&gt;"KEEP","",IF(RIGHT(B2605,10)="@gmail.com","Gmail",IF(OR(RIGHT(B2605,12)="@outlook.com",RIGHT(B2605,12)="@hotmail.com",RIGHT(B2605,9)="@live.com"),"Outlook","Domain")))</f>
        <v/>
      </c>
      <c r="F2605">
        <f>IF(B2605="","",IFERROR(RIGHT(B2605,LEN(B2605)-FIND("@",B2605)),""))</f>
        <v/>
      </c>
      <c r="G2605">
        <f>IF(D2605="KEEP",COUNTIF($D$2:D2605,"KEEP"),"")</f>
        <v/>
      </c>
      <c r="H2605">
        <f>IF(D2605="REMOVE",COUNTIF($D$2:D2605,"REMOVE"),"")</f>
        <v/>
      </c>
      <c r="I2605">
        <f>IF(E2605="Gmail",COUNTIF($E$2:E2605,"Gmail"),"")</f>
        <v/>
      </c>
      <c r="J2605">
        <f>IF(E2605="Outlook",COUNTIF($E$2:E2605,"Outlook"),"")</f>
        <v/>
      </c>
      <c r="K2605">
        <f>IF(E2605="Domain",COUNTIF($E$2:E2605,"Domain"),"")</f>
        <v/>
      </c>
    </row>
    <row r="2606">
      <c r="A2606" s="2" t="n"/>
      <c r="B2606">
        <f>LOWER(TRIM(A2606))</f>
        <v/>
      </c>
      <c r="C2606">
        <f>IF(B2606="","",IFERROR(INDEX('Bad Patterns'!$A$2:$A$120,MATCH(1,INDEX(--ISNUMBER(SEARCH('Bad Patterns'!$A$2:$A$120,B2606)),0),0)),""))</f>
        <v/>
      </c>
      <c r="D2606">
        <f>IF(B2606="","",IF(C2606&lt;&gt;"","REMOVE","KEEP"))</f>
        <v/>
      </c>
      <c r="E2606">
        <f>IF(D2606&lt;&gt;"KEEP","",IF(RIGHT(B2606,10)="@gmail.com","Gmail",IF(OR(RIGHT(B2606,12)="@outlook.com",RIGHT(B2606,12)="@hotmail.com",RIGHT(B2606,9)="@live.com"),"Outlook","Domain")))</f>
        <v/>
      </c>
      <c r="F2606">
        <f>IF(B2606="","",IFERROR(RIGHT(B2606,LEN(B2606)-FIND("@",B2606)),""))</f>
        <v/>
      </c>
      <c r="G2606">
        <f>IF(D2606="KEEP",COUNTIF($D$2:D2606,"KEEP"),"")</f>
        <v/>
      </c>
      <c r="H2606">
        <f>IF(D2606="REMOVE",COUNTIF($D$2:D2606,"REMOVE"),"")</f>
        <v/>
      </c>
      <c r="I2606">
        <f>IF(E2606="Gmail",COUNTIF($E$2:E2606,"Gmail"),"")</f>
        <v/>
      </c>
      <c r="J2606">
        <f>IF(E2606="Outlook",COUNTIF($E$2:E2606,"Outlook"),"")</f>
        <v/>
      </c>
      <c r="K2606">
        <f>IF(E2606="Domain",COUNTIF($E$2:E2606,"Domain"),"")</f>
        <v/>
      </c>
    </row>
    <row r="2607">
      <c r="A2607" s="2" t="n"/>
      <c r="B2607">
        <f>LOWER(TRIM(A2607))</f>
        <v/>
      </c>
      <c r="C2607">
        <f>IF(B2607="","",IFERROR(INDEX('Bad Patterns'!$A$2:$A$120,MATCH(1,INDEX(--ISNUMBER(SEARCH('Bad Patterns'!$A$2:$A$120,B2607)),0),0)),""))</f>
        <v/>
      </c>
      <c r="D2607">
        <f>IF(B2607="","",IF(C2607&lt;&gt;"","REMOVE","KEEP"))</f>
        <v/>
      </c>
      <c r="E2607">
        <f>IF(D2607&lt;&gt;"KEEP","",IF(RIGHT(B2607,10)="@gmail.com","Gmail",IF(OR(RIGHT(B2607,12)="@outlook.com",RIGHT(B2607,12)="@hotmail.com",RIGHT(B2607,9)="@live.com"),"Outlook","Domain")))</f>
        <v/>
      </c>
      <c r="F2607">
        <f>IF(B2607="","",IFERROR(RIGHT(B2607,LEN(B2607)-FIND("@",B2607)),""))</f>
        <v/>
      </c>
      <c r="G2607">
        <f>IF(D2607="KEEP",COUNTIF($D$2:D2607,"KEEP"),"")</f>
        <v/>
      </c>
      <c r="H2607">
        <f>IF(D2607="REMOVE",COUNTIF($D$2:D2607,"REMOVE"),"")</f>
        <v/>
      </c>
      <c r="I2607">
        <f>IF(E2607="Gmail",COUNTIF($E$2:E2607,"Gmail"),"")</f>
        <v/>
      </c>
      <c r="J2607">
        <f>IF(E2607="Outlook",COUNTIF($E$2:E2607,"Outlook"),"")</f>
        <v/>
      </c>
      <c r="K2607">
        <f>IF(E2607="Domain",COUNTIF($E$2:E2607,"Domain"),"")</f>
        <v/>
      </c>
    </row>
    <row r="2608">
      <c r="A2608" s="2" t="n"/>
      <c r="B2608">
        <f>LOWER(TRIM(A2608))</f>
        <v/>
      </c>
      <c r="C2608">
        <f>IF(B2608="","",IFERROR(INDEX('Bad Patterns'!$A$2:$A$120,MATCH(1,INDEX(--ISNUMBER(SEARCH('Bad Patterns'!$A$2:$A$120,B2608)),0),0)),""))</f>
        <v/>
      </c>
      <c r="D2608">
        <f>IF(B2608="","",IF(C2608&lt;&gt;"","REMOVE","KEEP"))</f>
        <v/>
      </c>
      <c r="E2608">
        <f>IF(D2608&lt;&gt;"KEEP","",IF(RIGHT(B2608,10)="@gmail.com","Gmail",IF(OR(RIGHT(B2608,12)="@outlook.com",RIGHT(B2608,12)="@hotmail.com",RIGHT(B2608,9)="@live.com"),"Outlook","Domain")))</f>
        <v/>
      </c>
      <c r="F2608">
        <f>IF(B2608="","",IFERROR(RIGHT(B2608,LEN(B2608)-FIND("@",B2608)),""))</f>
        <v/>
      </c>
      <c r="G2608">
        <f>IF(D2608="KEEP",COUNTIF($D$2:D2608,"KEEP"),"")</f>
        <v/>
      </c>
      <c r="H2608">
        <f>IF(D2608="REMOVE",COUNTIF($D$2:D2608,"REMOVE"),"")</f>
        <v/>
      </c>
      <c r="I2608">
        <f>IF(E2608="Gmail",COUNTIF($E$2:E2608,"Gmail"),"")</f>
        <v/>
      </c>
      <c r="J2608">
        <f>IF(E2608="Outlook",COUNTIF($E$2:E2608,"Outlook"),"")</f>
        <v/>
      </c>
      <c r="K2608">
        <f>IF(E2608="Domain",COUNTIF($E$2:E2608,"Domain"),"")</f>
        <v/>
      </c>
    </row>
    <row r="2609">
      <c r="A2609" s="2" t="n"/>
      <c r="B2609">
        <f>LOWER(TRIM(A2609))</f>
        <v/>
      </c>
      <c r="C2609">
        <f>IF(B2609="","",IFERROR(INDEX('Bad Patterns'!$A$2:$A$120,MATCH(1,INDEX(--ISNUMBER(SEARCH('Bad Patterns'!$A$2:$A$120,B2609)),0),0)),""))</f>
        <v/>
      </c>
      <c r="D2609">
        <f>IF(B2609="","",IF(C2609&lt;&gt;"","REMOVE","KEEP"))</f>
        <v/>
      </c>
      <c r="E2609">
        <f>IF(D2609&lt;&gt;"KEEP","",IF(RIGHT(B2609,10)="@gmail.com","Gmail",IF(OR(RIGHT(B2609,12)="@outlook.com",RIGHT(B2609,12)="@hotmail.com",RIGHT(B2609,9)="@live.com"),"Outlook","Domain")))</f>
        <v/>
      </c>
      <c r="F2609">
        <f>IF(B2609="","",IFERROR(RIGHT(B2609,LEN(B2609)-FIND("@",B2609)),""))</f>
        <v/>
      </c>
      <c r="G2609">
        <f>IF(D2609="KEEP",COUNTIF($D$2:D2609,"KEEP"),"")</f>
        <v/>
      </c>
      <c r="H2609">
        <f>IF(D2609="REMOVE",COUNTIF($D$2:D2609,"REMOVE"),"")</f>
        <v/>
      </c>
      <c r="I2609">
        <f>IF(E2609="Gmail",COUNTIF($E$2:E2609,"Gmail"),"")</f>
        <v/>
      </c>
      <c r="J2609">
        <f>IF(E2609="Outlook",COUNTIF($E$2:E2609,"Outlook"),"")</f>
        <v/>
      </c>
      <c r="K2609">
        <f>IF(E2609="Domain",COUNTIF($E$2:E2609,"Domain"),"")</f>
        <v/>
      </c>
    </row>
    <row r="2610">
      <c r="A2610" s="2" t="n"/>
      <c r="B2610">
        <f>LOWER(TRIM(A2610))</f>
        <v/>
      </c>
      <c r="C2610">
        <f>IF(B2610="","",IFERROR(INDEX('Bad Patterns'!$A$2:$A$120,MATCH(1,INDEX(--ISNUMBER(SEARCH('Bad Patterns'!$A$2:$A$120,B2610)),0),0)),""))</f>
        <v/>
      </c>
      <c r="D2610">
        <f>IF(B2610="","",IF(C2610&lt;&gt;"","REMOVE","KEEP"))</f>
        <v/>
      </c>
      <c r="E2610">
        <f>IF(D2610&lt;&gt;"KEEP","",IF(RIGHT(B2610,10)="@gmail.com","Gmail",IF(OR(RIGHT(B2610,12)="@outlook.com",RIGHT(B2610,12)="@hotmail.com",RIGHT(B2610,9)="@live.com"),"Outlook","Domain")))</f>
        <v/>
      </c>
      <c r="F2610">
        <f>IF(B2610="","",IFERROR(RIGHT(B2610,LEN(B2610)-FIND("@",B2610)),""))</f>
        <v/>
      </c>
      <c r="G2610">
        <f>IF(D2610="KEEP",COUNTIF($D$2:D2610,"KEEP"),"")</f>
        <v/>
      </c>
      <c r="H2610">
        <f>IF(D2610="REMOVE",COUNTIF($D$2:D2610,"REMOVE"),"")</f>
        <v/>
      </c>
      <c r="I2610">
        <f>IF(E2610="Gmail",COUNTIF($E$2:E2610,"Gmail"),"")</f>
        <v/>
      </c>
      <c r="J2610">
        <f>IF(E2610="Outlook",COUNTIF($E$2:E2610,"Outlook"),"")</f>
        <v/>
      </c>
      <c r="K2610">
        <f>IF(E2610="Domain",COUNTIF($E$2:E2610,"Domain"),"")</f>
        <v/>
      </c>
    </row>
    <row r="2611">
      <c r="A2611" s="2" t="n"/>
      <c r="B2611">
        <f>LOWER(TRIM(A2611))</f>
        <v/>
      </c>
      <c r="C2611">
        <f>IF(B2611="","",IFERROR(INDEX('Bad Patterns'!$A$2:$A$120,MATCH(1,INDEX(--ISNUMBER(SEARCH('Bad Patterns'!$A$2:$A$120,B2611)),0),0)),""))</f>
        <v/>
      </c>
      <c r="D2611">
        <f>IF(B2611="","",IF(C2611&lt;&gt;"","REMOVE","KEEP"))</f>
        <v/>
      </c>
      <c r="E2611">
        <f>IF(D2611&lt;&gt;"KEEP","",IF(RIGHT(B2611,10)="@gmail.com","Gmail",IF(OR(RIGHT(B2611,12)="@outlook.com",RIGHT(B2611,12)="@hotmail.com",RIGHT(B2611,9)="@live.com"),"Outlook","Domain")))</f>
        <v/>
      </c>
      <c r="F2611">
        <f>IF(B2611="","",IFERROR(RIGHT(B2611,LEN(B2611)-FIND("@",B2611)),""))</f>
        <v/>
      </c>
      <c r="G2611">
        <f>IF(D2611="KEEP",COUNTIF($D$2:D2611,"KEEP"),"")</f>
        <v/>
      </c>
      <c r="H2611">
        <f>IF(D2611="REMOVE",COUNTIF($D$2:D2611,"REMOVE"),"")</f>
        <v/>
      </c>
      <c r="I2611">
        <f>IF(E2611="Gmail",COUNTIF($E$2:E2611,"Gmail"),"")</f>
        <v/>
      </c>
      <c r="J2611">
        <f>IF(E2611="Outlook",COUNTIF($E$2:E2611,"Outlook"),"")</f>
        <v/>
      </c>
      <c r="K2611">
        <f>IF(E2611="Domain",COUNTIF($E$2:E2611,"Domain"),"")</f>
        <v/>
      </c>
    </row>
    <row r="2612">
      <c r="A2612" s="2" t="n"/>
      <c r="B2612">
        <f>LOWER(TRIM(A2612))</f>
        <v/>
      </c>
      <c r="C2612">
        <f>IF(B2612="","",IFERROR(INDEX('Bad Patterns'!$A$2:$A$120,MATCH(1,INDEX(--ISNUMBER(SEARCH('Bad Patterns'!$A$2:$A$120,B2612)),0),0)),""))</f>
        <v/>
      </c>
      <c r="D2612">
        <f>IF(B2612="","",IF(C2612&lt;&gt;"","REMOVE","KEEP"))</f>
        <v/>
      </c>
      <c r="E2612">
        <f>IF(D2612&lt;&gt;"KEEP","",IF(RIGHT(B2612,10)="@gmail.com","Gmail",IF(OR(RIGHT(B2612,12)="@outlook.com",RIGHT(B2612,12)="@hotmail.com",RIGHT(B2612,9)="@live.com"),"Outlook","Domain")))</f>
        <v/>
      </c>
      <c r="F2612">
        <f>IF(B2612="","",IFERROR(RIGHT(B2612,LEN(B2612)-FIND("@",B2612)),""))</f>
        <v/>
      </c>
      <c r="G2612">
        <f>IF(D2612="KEEP",COUNTIF($D$2:D2612,"KEEP"),"")</f>
        <v/>
      </c>
      <c r="H2612">
        <f>IF(D2612="REMOVE",COUNTIF($D$2:D2612,"REMOVE"),"")</f>
        <v/>
      </c>
      <c r="I2612">
        <f>IF(E2612="Gmail",COUNTIF($E$2:E2612,"Gmail"),"")</f>
        <v/>
      </c>
      <c r="J2612">
        <f>IF(E2612="Outlook",COUNTIF($E$2:E2612,"Outlook"),"")</f>
        <v/>
      </c>
      <c r="K2612">
        <f>IF(E2612="Domain",COUNTIF($E$2:E2612,"Domain"),"")</f>
        <v/>
      </c>
    </row>
    <row r="2613">
      <c r="A2613" s="2" t="n"/>
      <c r="B2613">
        <f>LOWER(TRIM(A2613))</f>
        <v/>
      </c>
      <c r="C2613">
        <f>IF(B2613="","",IFERROR(INDEX('Bad Patterns'!$A$2:$A$120,MATCH(1,INDEX(--ISNUMBER(SEARCH('Bad Patterns'!$A$2:$A$120,B2613)),0),0)),""))</f>
        <v/>
      </c>
      <c r="D2613">
        <f>IF(B2613="","",IF(C2613&lt;&gt;"","REMOVE","KEEP"))</f>
        <v/>
      </c>
      <c r="E2613">
        <f>IF(D2613&lt;&gt;"KEEP","",IF(RIGHT(B2613,10)="@gmail.com","Gmail",IF(OR(RIGHT(B2613,12)="@outlook.com",RIGHT(B2613,12)="@hotmail.com",RIGHT(B2613,9)="@live.com"),"Outlook","Domain")))</f>
        <v/>
      </c>
      <c r="F2613">
        <f>IF(B2613="","",IFERROR(RIGHT(B2613,LEN(B2613)-FIND("@",B2613)),""))</f>
        <v/>
      </c>
      <c r="G2613">
        <f>IF(D2613="KEEP",COUNTIF($D$2:D2613,"KEEP"),"")</f>
        <v/>
      </c>
      <c r="H2613">
        <f>IF(D2613="REMOVE",COUNTIF($D$2:D2613,"REMOVE"),"")</f>
        <v/>
      </c>
      <c r="I2613">
        <f>IF(E2613="Gmail",COUNTIF($E$2:E2613,"Gmail"),"")</f>
        <v/>
      </c>
      <c r="J2613">
        <f>IF(E2613="Outlook",COUNTIF($E$2:E2613,"Outlook"),"")</f>
        <v/>
      </c>
      <c r="K2613">
        <f>IF(E2613="Domain",COUNTIF($E$2:E2613,"Domain"),"")</f>
        <v/>
      </c>
    </row>
    <row r="2614">
      <c r="A2614" s="2" t="n"/>
      <c r="B2614">
        <f>LOWER(TRIM(A2614))</f>
        <v/>
      </c>
      <c r="C2614">
        <f>IF(B2614="","",IFERROR(INDEX('Bad Patterns'!$A$2:$A$120,MATCH(1,INDEX(--ISNUMBER(SEARCH('Bad Patterns'!$A$2:$A$120,B2614)),0),0)),""))</f>
        <v/>
      </c>
      <c r="D2614">
        <f>IF(B2614="","",IF(C2614&lt;&gt;"","REMOVE","KEEP"))</f>
        <v/>
      </c>
      <c r="E2614">
        <f>IF(D2614&lt;&gt;"KEEP","",IF(RIGHT(B2614,10)="@gmail.com","Gmail",IF(OR(RIGHT(B2614,12)="@outlook.com",RIGHT(B2614,12)="@hotmail.com",RIGHT(B2614,9)="@live.com"),"Outlook","Domain")))</f>
        <v/>
      </c>
      <c r="F2614">
        <f>IF(B2614="","",IFERROR(RIGHT(B2614,LEN(B2614)-FIND("@",B2614)),""))</f>
        <v/>
      </c>
      <c r="G2614">
        <f>IF(D2614="KEEP",COUNTIF($D$2:D2614,"KEEP"),"")</f>
        <v/>
      </c>
      <c r="H2614">
        <f>IF(D2614="REMOVE",COUNTIF($D$2:D2614,"REMOVE"),"")</f>
        <v/>
      </c>
      <c r="I2614">
        <f>IF(E2614="Gmail",COUNTIF($E$2:E2614,"Gmail"),"")</f>
        <v/>
      </c>
      <c r="J2614">
        <f>IF(E2614="Outlook",COUNTIF($E$2:E2614,"Outlook"),"")</f>
        <v/>
      </c>
      <c r="K2614">
        <f>IF(E2614="Domain",COUNTIF($E$2:E2614,"Domain"),"")</f>
        <v/>
      </c>
    </row>
    <row r="2615">
      <c r="A2615" s="2" t="n"/>
      <c r="B2615">
        <f>LOWER(TRIM(A2615))</f>
        <v/>
      </c>
      <c r="C2615">
        <f>IF(B2615="","",IFERROR(INDEX('Bad Patterns'!$A$2:$A$120,MATCH(1,INDEX(--ISNUMBER(SEARCH('Bad Patterns'!$A$2:$A$120,B2615)),0),0)),""))</f>
        <v/>
      </c>
      <c r="D2615">
        <f>IF(B2615="","",IF(C2615&lt;&gt;"","REMOVE","KEEP"))</f>
        <v/>
      </c>
      <c r="E2615">
        <f>IF(D2615&lt;&gt;"KEEP","",IF(RIGHT(B2615,10)="@gmail.com","Gmail",IF(OR(RIGHT(B2615,12)="@outlook.com",RIGHT(B2615,12)="@hotmail.com",RIGHT(B2615,9)="@live.com"),"Outlook","Domain")))</f>
        <v/>
      </c>
      <c r="F2615">
        <f>IF(B2615="","",IFERROR(RIGHT(B2615,LEN(B2615)-FIND("@",B2615)),""))</f>
        <v/>
      </c>
      <c r="G2615">
        <f>IF(D2615="KEEP",COUNTIF($D$2:D2615,"KEEP"),"")</f>
        <v/>
      </c>
      <c r="H2615">
        <f>IF(D2615="REMOVE",COUNTIF($D$2:D2615,"REMOVE"),"")</f>
        <v/>
      </c>
      <c r="I2615">
        <f>IF(E2615="Gmail",COUNTIF($E$2:E2615,"Gmail"),"")</f>
        <v/>
      </c>
      <c r="J2615">
        <f>IF(E2615="Outlook",COUNTIF($E$2:E2615,"Outlook"),"")</f>
        <v/>
      </c>
      <c r="K2615">
        <f>IF(E2615="Domain",COUNTIF($E$2:E2615,"Domain"),"")</f>
        <v/>
      </c>
    </row>
    <row r="2616">
      <c r="A2616" s="2" t="n"/>
      <c r="B2616">
        <f>LOWER(TRIM(A2616))</f>
        <v/>
      </c>
      <c r="C2616">
        <f>IF(B2616="","",IFERROR(INDEX('Bad Patterns'!$A$2:$A$120,MATCH(1,INDEX(--ISNUMBER(SEARCH('Bad Patterns'!$A$2:$A$120,B2616)),0),0)),""))</f>
        <v/>
      </c>
      <c r="D2616">
        <f>IF(B2616="","",IF(C2616&lt;&gt;"","REMOVE","KEEP"))</f>
        <v/>
      </c>
      <c r="E2616">
        <f>IF(D2616&lt;&gt;"KEEP","",IF(RIGHT(B2616,10)="@gmail.com","Gmail",IF(OR(RIGHT(B2616,12)="@outlook.com",RIGHT(B2616,12)="@hotmail.com",RIGHT(B2616,9)="@live.com"),"Outlook","Domain")))</f>
        <v/>
      </c>
      <c r="F2616">
        <f>IF(B2616="","",IFERROR(RIGHT(B2616,LEN(B2616)-FIND("@",B2616)),""))</f>
        <v/>
      </c>
      <c r="G2616">
        <f>IF(D2616="KEEP",COUNTIF($D$2:D2616,"KEEP"),"")</f>
        <v/>
      </c>
      <c r="H2616">
        <f>IF(D2616="REMOVE",COUNTIF($D$2:D2616,"REMOVE"),"")</f>
        <v/>
      </c>
      <c r="I2616">
        <f>IF(E2616="Gmail",COUNTIF($E$2:E2616,"Gmail"),"")</f>
        <v/>
      </c>
      <c r="J2616">
        <f>IF(E2616="Outlook",COUNTIF($E$2:E2616,"Outlook"),"")</f>
        <v/>
      </c>
      <c r="K2616">
        <f>IF(E2616="Domain",COUNTIF($E$2:E2616,"Domain"),"")</f>
        <v/>
      </c>
    </row>
    <row r="2617">
      <c r="A2617" s="2" t="n"/>
      <c r="B2617">
        <f>LOWER(TRIM(A2617))</f>
        <v/>
      </c>
      <c r="C2617">
        <f>IF(B2617="","",IFERROR(INDEX('Bad Patterns'!$A$2:$A$120,MATCH(1,INDEX(--ISNUMBER(SEARCH('Bad Patterns'!$A$2:$A$120,B2617)),0),0)),""))</f>
        <v/>
      </c>
      <c r="D2617">
        <f>IF(B2617="","",IF(C2617&lt;&gt;"","REMOVE","KEEP"))</f>
        <v/>
      </c>
      <c r="E2617">
        <f>IF(D2617&lt;&gt;"KEEP","",IF(RIGHT(B2617,10)="@gmail.com","Gmail",IF(OR(RIGHT(B2617,12)="@outlook.com",RIGHT(B2617,12)="@hotmail.com",RIGHT(B2617,9)="@live.com"),"Outlook","Domain")))</f>
        <v/>
      </c>
      <c r="F2617">
        <f>IF(B2617="","",IFERROR(RIGHT(B2617,LEN(B2617)-FIND("@",B2617)),""))</f>
        <v/>
      </c>
      <c r="G2617">
        <f>IF(D2617="KEEP",COUNTIF($D$2:D2617,"KEEP"),"")</f>
        <v/>
      </c>
      <c r="H2617">
        <f>IF(D2617="REMOVE",COUNTIF($D$2:D2617,"REMOVE"),"")</f>
        <v/>
      </c>
      <c r="I2617">
        <f>IF(E2617="Gmail",COUNTIF($E$2:E2617,"Gmail"),"")</f>
        <v/>
      </c>
      <c r="J2617">
        <f>IF(E2617="Outlook",COUNTIF($E$2:E2617,"Outlook"),"")</f>
        <v/>
      </c>
      <c r="K2617">
        <f>IF(E2617="Domain",COUNTIF($E$2:E2617,"Domain"),"")</f>
        <v/>
      </c>
    </row>
    <row r="2618">
      <c r="A2618" s="2" t="n"/>
      <c r="B2618">
        <f>LOWER(TRIM(A2618))</f>
        <v/>
      </c>
      <c r="C2618">
        <f>IF(B2618="","",IFERROR(INDEX('Bad Patterns'!$A$2:$A$120,MATCH(1,INDEX(--ISNUMBER(SEARCH('Bad Patterns'!$A$2:$A$120,B2618)),0),0)),""))</f>
        <v/>
      </c>
      <c r="D2618">
        <f>IF(B2618="","",IF(C2618&lt;&gt;"","REMOVE","KEEP"))</f>
        <v/>
      </c>
      <c r="E2618">
        <f>IF(D2618&lt;&gt;"KEEP","",IF(RIGHT(B2618,10)="@gmail.com","Gmail",IF(OR(RIGHT(B2618,12)="@outlook.com",RIGHT(B2618,12)="@hotmail.com",RIGHT(B2618,9)="@live.com"),"Outlook","Domain")))</f>
        <v/>
      </c>
      <c r="F2618">
        <f>IF(B2618="","",IFERROR(RIGHT(B2618,LEN(B2618)-FIND("@",B2618)),""))</f>
        <v/>
      </c>
      <c r="G2618">
        <f>IF(D2618="KEEP",COUNTIF($D$2:D2618,"KEEP"),"")</f>
        <v/>
      </c>
      <c r="H2618">
        <f>IF(D2618="REMOVE",COUNTIF($D$2:D2618,"REMOVE"),"")</f>
        <v/>
      </c>
      <c r="I2618">
        <f>IF(E2618="Gmail",COUNTIF($E$2:E2618,"Gmail"),"")</f>
        <v/>
      </c>
      <c r="J2618">
        <f>IF(E2618="Outlook",COUNTIF($E$2:E2618,"Outlook"),"")</f>
        <v/>
      </c>
      <c r="K2618">
        <f>IF(E2618="Domain",COUNTIF($E$2:E2618,"Domain"),"")</f>
        <v/>
      </c>
    </row>
    <row r="2619">
      <c r="A2619" s="2" t="n"/>
      <c r="B2619">
        <f>LOWER(TRIM(A2619))</f>
        <v/>
      </c>
      <c r="C2619">
        <f>IF(B2619="","",IFERROR(INDEX('Bad Patterns'!$A$2:$A$120,MATCH(1,INDEX(--ISNUMBER(SEARCH('Bad Patterns'!$A$2:$A$120,B2619)),0),0)),""))</f>
        <v/>
      </c>
      <c r="D2619">
        <f>IF(B2619="","",IF(C2619&lt;&gt;"","REMOVE","KEEP"))</f>
        <v/>
      </c>
      <c r="E2619">
        <f>IF(D2619&lt;&gt;"KEEP","",IF(RIGHT(B2619,10)="@gmail.com","Gmail",IF(OR(RIGHT(B2619,12)="@outlook.com",RIGHT(B2619,12)="@hotmail.com",RIGHT(B2619,9)="@live.com"),"Outlook","Domain")))</f>
        <v/>
      </c>
      <c r="F2619">
        <f>IF(B2619="","",IFERROR(RIGHT(B2619,LEN(B2619)-FIND("@",B2619)),""))</f>
        <v/>
      </c>
      <c r="G2619">
        <f>IF(D2619="KEEP",COUNTIF($D$2:D2619,"KEEP"),"")</f>
        <v/>
      </c>
      <c r="H2619">
        <f>IF(D2619="REMOVE",COUNTIF($D$2:D2619,"REMOVE"),"")</f>
        <v/>
      </c>
      <c r="I2619">
        <f>IF(E2619="Gmail",COUNTIF($E$2:E2619,"Gmail"),"")</f>
        <v/>
      </c>
      <c r="J2619">
        <f>IF(E2619="Outlook",COUNTIF($E$2:E2619,"Outlook"),"")</f>
        <v/>
      </c>
      <c r="K2619">
        <f>IF(E2619="Domain",COUNTIF($E$2:E2619,"Domain"),"")</f>
        <v/>
      </c>
    </row>
    <row r="2620">
      <c r="A2620" s="2" t="n"/>
      <c r="B2620">
        <f>LOWER(TRIM(A2620))</f>
        <v/>
      </c>
      <c r="C2620">
        <f>IF(B2620="","",IFERROR(INDEX('Bad Patterns'!$A$2:$A$120,MATCH(1,INDEX(--ISNUMBER(SEARCH('Bad Patterns'!$A$2:$A$120,B2620)),0),0)),""))</f>
        <v/>
      </c>
      <c r="D2620">
        <f>IF(B2620="","",IF(C2620&lt;&gt;"","REMOVE","KEEP"))</f>
        <v/>
      </c>
      <c r="E2620">
        <f>IF(D2620&lt;&gt;"KEEP","",IF(RIGHT(B2620,10)="@gmail.com","Gmail",IF(OR(RIGHT(B2620,12)="@outlook.com",RIGHT(B2620,12)="@hotmail.com",RIGHT(B2620,9)="@live.com"),"Outlook","Domain")))</f>
        <v/>
      </c>
      <c r="F2620">
        <f>IF(B2620="","",IFERROR(RIGHT(B2620,LEN(B2620)-FIND("@",B2620)),""))</f>
        <v/>
      </c>
      <c r="G2620">
        <f>IF(D2620="KEEP",COUNTIF($D$2:D2620,"KEEP"),"")</f>
        <v/>
      </c>
      <c r="H2620">
        <f>IF(D2620="REMOVE",COUNTIF($D$2:D2620,"REMOVE"),"")</f>
        <v/>
      </c>
      <c r="I2620">
        <f>IF(E2620="Gmail",COUNTIF($E$2:E2620,"Gmail"),"")</f>
        <v/>
      </c>
      <c r="J2620">
        <f>IF(E2620="Outlook",COUNTIF($E$2:E2620,"Outlook"),"")</f>
        <v/>
      </c>
      <c r="K2620">
        <f>IF(E2620="Domain",COUNTIF($E$2:E2620,"Domain"),"")</f>
        <v/>
      </c>
    </row>
    <row r="2621">
      <c r="A2621" s="2" t="n"/>
      <c r="B2621">
        <f>LOWER(TRIM(A2621))</f>
        <v/>
      </c>
      <c r="C2621">
        <f>IF(B2621="","",IFERROR(INDEX('Bad Patterns'!$A$2:$A$120,MATCH(1,INDEX(--ISNUMBER(SEARCH('Bad Patterns'!$A$2:$A$120,B2621)),0),0)),""))</f>
        <v/>
      </c>
      <c r="D2621">
        <f>IF(B2621="","",IF(C2621&lt;&gt;"","REMOVE","KEEP"))</f>
        <v/>
      </c>
      <c r="E2621">
        <f>IF(D2621&lt;&gt;"KEEP","",IF(RIGHT(B2621,10)="@gmail.com","Gmail",IF(OR(RIGHT(B2621,12)="@outlook.com",RIGHT(B2621,12)="@hotmail.com",RIGHT(B2621,9)="@live.com"),"Outlook","Domain")))</f>
        <v/>
      </c>
      <c r="F2621">
        <f>IF(B2621="","",IFERROR(RIGHT(B2621,LEN(B2621)-FIND("@",B2621)),""))</f>
        <v/>
      </c>
      <c r="G2621">
        <f>IF(D2621="KEEP",COUNTIF($D$2:D2621,"KEEP"),"")</f>
        <v/>
      </c>
      <c r="H2621">
        <f>IF(D2621="REMOVE",COUNTIF($D$2:D2621,"REMOVE"),"")</f>
        <v/>
      </c>
      <c r="I2621">
        <f>IF(E2621="Gmail",COUNTIF($E$2:E2621,"Gmail"),"")</f>
        <v/>
      </c>
      <c r="J2621">
        <f>IF(E2621="Outlook",COUNTIF($E$2:E2621,"Outlook"),"")</f>
        <v/>
      </c>
      <c r="K2621">
        <f>IF(E2621="Domain",COUNTIF($E$2:E2621,"Domain"),"")</f>
        <v/>
      </c>
    </row>
    <row r="2622">
      <c r="A2622" s="2" t="n"/>
      <c r="B2622">
        <f>LOWER(TRIM(A2622))</f>
        <v/>
      </c>
      <c r="C2622">
        <f>IF(B2622="","",IFERROR(INDEX('Bad Patterns'!$A$2:$A$120,MATCH(1,INDEX(--ISNUMBER(SEARCH('Bad Patterns'!$A$2:$A$120,B2622)),0),0)),""))</f>
        <v/>
      </c>
      <c r="D2622">
        <f>IF(B2622="","",IF(C2622&lt;&gt;"","REMOVE","KEEP"))</f>
        <v/>
      </c>
      <c r="E2622">
        <f>IF(D2622&lt;&gt;"KEEP","",IF(RIGHT(B2622,10)="@gmail.com","Gmail",IF(OR(RIGHT(B2622,12)="@outlook.com",RIGHT(B2622,12)="@hotmail.com",RIGHT(B2622,9)="@live.com"),"Outlook","Domain")))</f>
        <v/>
      </c>
      <c r="F2622">
        <f>IF(B2622="","",IFERROR(RIGHT(B2622,LEN(B2622)-FIND("@",B2622)),""))</f>
        <v/>
      </c>
      <c r="G2622">
        <f>IF(D2622="KEEP",COUNTIF($D$2:D2622,"KEEP"),"")</f>
        <v/>
      </c>
      <c r="H2622">
        <f>IF(D2622="REMOVE",COUNTIF($D$2:D2622,"REMOVE"),"")</f>
        <v/>
      </c>
      <c r="I2622">
        <f>IF(E2622="Gmail",COUNTIF($E$2:E2622,"Gmail"),"")</f>
        <v/>
      </c>
      <c r="J2622">
        <f>IF(E2622="Outlook",COUNTIF($E$2:E2622,"Outlook"),"")</f>
        <v/>
      </c>
      <c r="K2622">
        <f>IF(E2622="Domain",COUNTIF($E$2:E2622,"Domain"),"")</f>
        <v/>
      </c>
    </row>
    <row r="2623">
      <c r="A2623" s="2" t="n"/>
      <c r="B2623">
        <f>LOWER(TRIM(A2623))</f>
        <v/>
      </c>
      <c r="C2623">
        <f>IF(B2623="","",IFERROR(INDEX('Bad Patterns'!$A$2:$A$120,MATCH(1,INDEX(--ISNUMBER(SEARCH('Bad Patterns'!$A$2:$A$120,B2623)),0),0)),""))</f>
        <v/>
      </c>
      <c r="D2623">
        <f>IF(B2623="","",IF(C2623&lt;&gt;"","REMOVE","KEEP"))</f>
        <v/>
      </c>
      <c r="E2623">
        <f>IF(D2623&lt;&gt;"KEEP","",IF(RIGHT(B2623,10)="@gmail.com","Gmail",IF(OR(RIGHT(B2623,12)="@outlook.com",RIGHT(B2623,12)="@hotmail.com",RIGHT(B2623,9)="@live.com"),"Outlook","Domain")))</f>
        <v/>
      </c>
      <c r="F2623">
        <f>IF(B2623="","",IFERROR(RIGHT(B2623,LEN(B2623)-FIND("@",B2623)),""))</f>
        <v/>
      </c>
      <c r="G2623">
        <f>IF(D2623="KEEP",COUNTIF($D$2:D2623,"KEEP"),"")</f>
        <v/>
      </c>
      <c r="H2623">
        <f>IF(D2623="REMOVE",COUNTIF($D$2:D2623,"REMOVE"),"")</f>
        <v/>
      </c>
      <c r="I2623">
        <f>IF(E2623="Gmail",COUNTIF($E$2:E2623,"Gmail"),"")</f>
        <v/>
      </c>
      <c r="J2623">
        <f>IF(E2623="Outlook",COUNTIF($E$2:E2623,"Outlook"),"")</f>
        <v/>
      </c>
      <c r="K2623">
        <f>IF(E2623="Domain",COUNTIF($E$2:E2623,"Domain"),"")</f>
        <v/>
      </c>
    </row>
    <row r="2624">
      <c r="A2624" s="2" t="n"/>
      <c r="B2624">
        <f>LOWER(TRIM(A2624))</f>
        <v/>
      </c>
      <c r="C2624">
        <f>IF(B2624="","",IFERROR(INDEX('Bad Patterns'!$A$2:$A$120,MATCH(1,INDEX(--ISNUMBER(SEARCH('Bad Patterns'!$A$2:$A$120,B2624)),0),0)),""))</f>
        <v/>
      </c>
      <c r="D2624">
        <f>IF(B2624="","",IF(C2624&lt;&gt;"","REMOVE","KEEP"))</f>
        <v/>
      </c>
      <c r="E2624">
        <f>IF(D2624&lt;&gt;"KEEP","",IF(RIGHT(B2624,10)="@gmail.com","Gmail",IF(OR(RIGHT(B2624,12)="@outlook.com",RIGHT(B2624,12)="@hotmail.com",RIGHT(B2624,9)="@live.com"),"Outlook","Domain")))</f>
        <v/>
      </c>
      <c r="F2624">
        <f>IF(B2624="","",IFERROR(RIGHT(B2624,LEN(B2624)-FIND("@",B2624)),""))</f>
        <v/>
      </c>
      <c r="G2624">
        <f>IF(D2624="KEEP",COUNTIF($D$2:D2624,"KEEP"),"")</f>
        <v/>
      </c>
      <c r="H2624">
        <f>IF(D2624="REMOVE",COUNTIF($D$2:D2624,"REMOVE"),"")</f>
        <v/>
      </c>
      <c r="I2624">
        <f>IF(E2624="Gmail",COUNTIF($E$2:E2624,"Gmail"),"")</f>
        <v/>
      </c>
      <c r="J2624">
        <f>IF(E2624="Outlook",COUNTIF($E$2:E2624,"Outlook"),"")</f>
        <v/>
      </c>
      <c r="K2624">
        <f>IF(E2624="Domain",COUNTIF($E$2:E2624,"Domain"),"")</f>
        <v/>
      </c>
    </row>
    <row r="2625">
      <c r="A2625" s="2" t="n"/>
      <c r="B2625">
        <f>LOWER(TRIM(A2625))</f>
        <v/>
      </c>
      <c r="C2625">
        <f>IF(B2625="","",IFERROR(INDEX('Bad Patterns'!$A$2:$A$120,MATCH(1,INDEX(--ISNUMBER(SEARCH('Bad Patterns'!$A$2:$A$120,B2625)),0),0)),""))</f>
        <v/>
      </c>
      <c r="D2625">
        <f>IF(B2625="","",IF(C2625&lt;&gt;"","REMOVE","KEEP"))</f>
        <v/>
      </c>
      <c r="E2625">
        <f>IF(D2625&lt;&gt;"KEEP","",IF(RIGHT(B2625,10)="@gmail.com","Gmail",IF(OR(RIGHT(B2625,12)="@outlook.com",RIGHT(B2625,12)="@hotmail.com",RIGHT(B2625,9)="@live.com"),"Outlook","Domain")))</f>
        <v/>
      </c>
      <c r="F2625">
        <f>IF(B2625="","",IFERROR(RIGHT(B2625,LEN(B2625)-FIND("@",B2625)),""))</f>
        <v/>
      </c>
      <c r="G2625">
        <f>IF(D2625="KEEP",COUNTIF($D$2:D2625,"KEEP"),"")</f>
        <v/>
      </c>
      <c r="H2625">
        <f>IF(D2625="REMOVE",COUNTIF($D$2:D2625,"REMOVE"),"")</f>
        <v/>
      </c>
      <c r="I2625">
        <f>IF(E2625="Gmail",COUNTIF($E$2:E2625,"Gmail"),"")</f>
        <v/>
      </c>
      <c r="J2625">
        <f>IF(E2625="Outlook",COUNTIF($E$2:E2625,"Outlook"),"")</f>
        <v/>
      </c>
      <c r="K2625">
        <f>IF(E2625="Domain",COUNTIF($E$2:E2625,"Domain"),"")</f>
        <v/>
      </c>
    </row>
    <row r="2626">
      <c r="A2626" s="2" t="n"/>
      <c r="B2626">
        <f>LOWER(TRIM(A2626))</f>
        <v/>
      </c>
      <c r="C2626">
        <f>IF(B2626="","",IFERROR(INDEX('Bad Patterns'!$A$2:$A$120,MATCH(1,INDEX(--ISNUMBER(SEARCH('Bad Patterns'!$A$2:$A$120,B2626)),0),0)),""))</f>
        <v/>
      </c>
      <c r="D2626">
        <f>IF(B2626="","",IF(C2626&lt;&gt;"","REMOVE","KEEP"))</f>
        <v/>
      </c>
      <c r="E2626">
        <f>IF(D2626&lt;&gt;"KEEP","",IF(RIGHT(B2626,10)="@gmail.com","Gmail",IF(OR(RIGHT(B2626,12)="@outlook.com",RIGHT(B2626,12)="@hotmail.com",RIGHT(B2626,9)="@live.com"),"Outlook","Domain")))</f>
        <v/>
      </c>
      <c r="F2626">
        <f>IF(B2626="","",IFERROR(RIGHT(B2626,LEN(B2626)-FIND("@",B2626)),""))</f>
        <v/>
      </c>
      <c r="G2626">
        <f>IF(D2626="KEEP",COUNTIF($D$2:D2626,"KEEP"),"")</f>
        <v/>
      </c>
      <c r="H2626">
        <f>IF(D2626="REMOVE",COUNTIF($D$2:D2626,"REMOVE"),"")</f>
        <v/>
      </c>
      <c r="I2626">
        <f>IF(E2626="Gmail",COUNTIF($E$2:E2626,"Gmail"),"")</f>
        <v/>
      </c>
      <c r="J2626">
        <f>IF(E2626="Outlook",COUNTIF($E$2:E2626,"Outlook"),"")</f>
        <v/>
      </c>
      <c r="K2626">
        <f>IF(E2626="Domain",COUNTIF($E$2:E2626,"Domain"),"")</f>
        <v/>
      </c>
    </row>
    <row r="2627">
      <c r="A2627" s="2" t="n"/>
      <c r="B2627">
        <f>LOWER(TRIM(A2627))</f>
        <v/>
      </c>
      <c r="C2627">
        <f>IF(B2627="","",IFERROR(INDEX('Bad Patterns'!$A$2:$A$120,MATCH(1,INDEX(--ISNUMBER(SEARCH('Bad Patterns'!$A$2:$A$120,B2627)),0),0)),""))</f>
        <v/>
      </c>
      <c r="D2627">
        <f>IF(B2627="","",IF(C2627&lt;&gt;"","REMOVE","KEEP"))</f>
        <v/>
      </c>
      <c r="E2627">
        <f>IF(D2627&lt;&gt;"KEEP","",IF(RIGHT(B2627,10)="@gmail.com","Gmail",IF(OR(RIGHT(B2627,12)="@outlook.com",RIGHT(B2627,12)="@hotmail.com",RIGHT(B2627,9)="@live.com"),"Outlook","Domain")))</f>
        <v/>
      </c>
      <c r="F2627">
        <f>IF(B2627="","",IFERROR(RIGHT(B2627,LEN(B2627)-FIND("@",B2627)),""))</f>
        <v/>
      </c>
      <c r="G2627">
        <f>IF(D2627="KEEP",COUNTIF($D$2:D2627,"KEEP"),"")</f>
        <v/>
      </c>
      <c r="H2627">
        <f>IF(D2627="REMOVE",COUNTIF($D$2:D2627,"REMOVE"),"")</f>
        <v/>
      </c>
      <c r="I2627">
        <f>IF(E2627="Gmail",COUNTIF($E$2:E2627,"Gmail"),"")</f>
        <v/>
      </c>
      <c r="J2627">
        <f>IF(E2627="Outlook",COUNTIF($E$2:E2627,"Outlook"),"")</f>
        <v/>
      </c>
      <c r="K2627">
        <f>IF(E2627="Domain",COUNTIF($E$2:E2627,"Domain"),"")</f>
        <v/>
      </c>
    </row>
    <row r="2628">
      <c r="A2628" s="2" t="n"/>
      <c r="B2628">
        <f>LOWER(TRIM(A2628))</f>
        <v/>
      </c>
      <c r="C2628">
        <f>IF(B2628="","",IFERROR(INDEX('Bad Patterns'!$A$2:$A$120,MATCH(1,INDEX(--ISNUMBER(SEARCH('Bad Patterns'!$A$2:$A$120,B2628)),0),0)),""))</f>
        <v/>
      </c>
      <c r="D2628">
        <f>IF(B2628="","",IF(C2628&lt;&gt;"","REMOVE","KEEP"))</f>
        <v/>
      </c>
      <c r="E2628">
        <f>IF(D2628&lt;&gt;"KEEP","",IF(RIGHT(B2628,10)="@gmail.com","Gmail",IF(OR(RIGHT(B2628,12)="@outlook.com",RIGHT(B2628,12)="@hotmail.com",RIGHT(B2628,9)="@live.com"),"Outlook","Domain")))</f>
        <v/>
      </c>
      <c r="F2628">
        <f>IF(B2628="","",IFERROR(RIGHT(B2628,LEN(B2628)-FIND("@",B2628)),""))</f>
        <v/>
      </c>
      <c r="G2628">
        <f>IF(D2628="KEEP",COUNTIF($D$2:D2628,"KEEP"),"")</f>
        <v/>
      </c>
      <c r="H2628">
        <f>IF(D2628="REMOVE",COUNTIF($D$2:D2628,"REMOVE"),"")</f>
        <v/>
      </c>
      <c r="I2628">
        <f>IF(E2628="Gmail",COUNTIF($E$2:E2628,"Gmail"),"")</f>
        <v/>
      </c>
      <c r="J2628">
        <f>IF(E2628="Outlook",COUNTIF($E$2:E2628,"Outlook"),"")</f>
        <v/>
      </c>
      <c r="K2628">
        <f>IF(E2628="Domain",COUNTIF($E$2:E2628,"Domain"),"")</f>
        <v/>
      </c>
    </row>
    <row r="2629">
      <c r="A2629" s="2" t="n"/>
      <c r="B2629">
        <f>LOWER(TRIM(A2629))</f>
        <v/>
      </c>
      <c r="C2629">
        <f>IF(B2629="","",IFERROR(INDEX('Bad Patterns'!$A$2:$A$120,MATCH(1,INDEX(--ISNUMBER(SEARCH('Bad Patterns'!$A$2:$A$120,B2629)),0),0)),""))</f>
        <v/>
      </c>
      <c r="D2629">
        <f>IF(B2629="","",IF(C2629&lt;&gt;"","REMOVE","KEEP"))</f>
        <v/>
      </c>
      <c r="E2629">
        <f>IF(D2629&lt;&gt;"KEEP","",IF(RIGHT(B2629,10)="@gmail.com","Gmail",IF(OR(RIGHT(B2629,12)="@outlook.com",RIGHT(B2629,12)="@hotmail.com",RIGHT(B2629,9)="@live.com"),"Outlook","Domain")))</f>
        <v/>
      </c>
      <c r="F2629">
        <f>IF(B2629="","",IFERROR(RIGHT(B2629,LEN(B2629)-FIND("@",B2629)),""))</f>
        <v/>
      </c>
      <c r="G2629">
        <f>IF(D2629="KEEP",COUNTIF($D$2:D2629,"KEEP"),"")</f>
        <v/>
      </c>
      <c r="H2629">
        <f>IF(D2629="REMOVE",COUNTIF($D$2:D2629,"REMOVE"),"")</f>
        <v/>
      </c>
      <c r="I2629">
        <f>IF(E2629="Gmail",COUNTIF($E$2:E2629,"Gmail"),"")</f>
        <v/>
      </c>
      <c r="J2629">
        <f>IF(E2629="Outlook",COUNTIF($E$2:E2629,"Outlook"),"")</f>
        <v/>
      </c>
      <c r="K2629">
        <f>IF(E2629="Domain",COUNTIF($E$2:E2629,"Domain"),"")</f>
        <v/>
      </c>
    </row>
    <row r="2630">
      <c r="A2630" s="2" t="n"/>
      <c r="B2630">
        <f>LOWER(TRIM(A2630))</f>
        <v/>
      </c>
      <c r="C2630">
        <f>IF(B2630="","",IFERROR(INDEX('Bad Patterns'!$A$2:$A$120,MATCH(1,INDEX(--ISNUMBER(SEARCH('Bad Patterns'!$A$2:$A$120,B2630)),0),0)),""))</f>
        <v/>
      </c>
      <c r="D2630">
        <f>IF(B2630="","",IF(C2630&lt;&gt;"","REMOVE","KEEP"))</f>
        <v/>
      </c>
      <c r="E2630">
        <f>IF(D2630&lt;&gt;"KEEP","",IF(RIGHT(B2630,10)="@gmail.com","Gmail",IF(OR(RIGHT(B2630,12)="@outlook.com",RIGHT(B2630,12)="@hotmail.com",RIGHT(B2630,9)="@live.com"),"Outlook","Domain")))</f>
        <v/>
      </c>
      <c r="F2630">
        <f>IF(B2630="","",IFERROR(RIGHT(B2630,LEN(B2630)-FIND("@",B2630)),""))</f>
        <v/>
      </c>
      <c r="G2630">
        <f>IF(D2630="KEEP",COUNTIF($D$2:D2630,"KEEP"),"")</f>
        <v/>
      </c>
      <c r="H2630">
        <f>IF(D2630="REMOVE",COUNTIF($D$2:D2630,"REMOVE"),"")</f>
        <v/>
      </c>
      <c r="I2630">
        <f>IF(E2630="Gmail",COUNTIF($E$2:E2630,"Gmail"),"")</f>
        <v/>
      </c>
      <c r="J2630">
        <f>IF(E2630="Outlook",COUNTIF($E$2:E2630,"Outlook"),"")</f>
        <v/>
      </c>
      <c r="K2630">
        <f>IF(E2630="Domain",COUNTIF($E$2:E2630,"Domain"),"")</f>
        <v/>
      </c>
    </row>
    <row r="2631">
      <c r="A2631" s="2" t="n"/>
      <c r="B2631">
        <f>LOWER(TRIM(A2631))</f>
        <v/>
      </c>
      <c r="C2631">
        <f>IF(B2631="","",IFERROR(INDEX('Bad Patterns'!$A$2:$A$120,MATCH(1,INDEX(--ISNUMBER(SEARCH('Bad Patterns'!$A$2:$A$120,B2631)),0),0)),""))</f>
        <v/>
      </c>
      <c r="D2631">
        <f>IF(B2631="","",IF(C2631&lt;&gt;"","REMOVE","KEEP"))</f>
        <v/>
      </c>
      <c r="E2631">
        <f>IF(D2631&lt;&gt;"KEEP","",IF(RIGHT(B2631,10)="@gmail.com","Gmail",IF(OR(RIGHT(B2631,12)="@outlook.com",RIGHT(B2631,12)="@hotmail.com",RIGHT(B2631,9)="@live.com"),"Outlook","Domain")))</f>
        <v/>
      </c>
      <c r="F2631">
        <f>IF(B2631="","",IFERROR(RIGHT(B2631,LEN(B2631)-FIND("@",B2631)),""))</f>
        <v/>
      </c>
      <c r="G2631">
        <f>IF(D2631="KEEP",COUNTIF($D$2:D2631,"KEEP"),"")</f>
        <v/>
      </c>
      <c r="H2631">
        <f>IF(D2631="REMOVE",COUNTIF($D$2:D2631,"REMOVE"),"")</f>
        <v/>
      </c>
      <c r="I2631">
        <f>IF(E2631="Gmail",COUNTIF($E$2:E2631,"Gmail"),"")</f>
        <v/>
      </c>
      <c r="J2631">
        <f>IF(E2631="Outlook",COUNTIF($E$2:E2631,"Outlook"),"")</f>
        <v/>
      </c>
      <c r="K2631">
        <f>IF(E2631="Domain",COUNTIF($E$2:E2631,"Domain"),"")</f>
        <v/>
      </c>
    </row>
    <row r="2632">
      <c r="A2632" s="2" t="n"/>
      <c r="B2632">
        <f>LOWER(TRIM(A2632))</f>
        <v/>
      </c>
      <c r="C2632">
        <f>IF(B2632="","",IFERROR(INDEX('Bad Patterns'!$A$2:$A$120,MATCH(1,INDEX(--ISNUMBER(SEARCH('Bad Patterns'!$A$2:$A$120,B2632)),0),0)),""))</f>
        <v/>
      </c>
      <c r="D2632">
        <f>IF(B2632="","",IF(C2632&lt;&gt;"","REMOVE","KEEP"))</f>
        <v/>
      </c>
      <c r="E2632">
        <f>IF(D2632&lt;&gt;"KEEP","",IF(RIGHT(B2632,10)="@gmail.com","Gmail",IF(OR(RIGHT(B2632,12)="@outlook.com",RIGHT(B2632,12)="@hotmail.com",RIGHT(B2632,9)="@live.com"),"Outlook","Domain")))</f>
        <v/>
      </c>
      <c r="F2632">
        <f>IF(B2632="","",IFERROR(RIGHT(B2632,LEN(B2632)-FIND("@",B2632)),""))</f>
        <v/>
      </c>
      <c r="G2632">
        <f>IF(D2632="KEEP",COUNTIF($D$2:D2632,"KEEP"),"")</f>
        <v/>
      </c>
      <c r="H2632">
        <f>IF(D2632="REMOVE",COUNTIF($D$2:D2632,"REMOVE"),"")</f>
        <v/>
      </c>
      <c r="I2632">
        <f>IF(E2632="Gmail",COUNTIF($E$2:E2632,"Gmail"),"")</f>
        <v/>
      </c>
      <c r="J2632">
        <f>IF(E2632="Outlook",COUNTIF($E$2:E2632,"Outlook"),"")</f>
        <v/>
      </c>
      <c r="K2632">
        <f>IF(E2632="Domain",COUNTIF($E$2:E2632,"Domain"),"")</f>
        <v/>
      </c>
    </row>
    <row r="2633">
      <c r="A2633" s="2" t="n"/>
      <c r="B2633">
        <f>LOWER(TRIM(A2633))</f>
        <v/>
      </c>
      <c r="C2633">
        <f>IF(B2633="","",IFERROR(INDEX('Bad Patterns'!$A$2:$A$120,MATCH(1,INDEX(--ISNUMBER(SEARCH('Bad Patterns'!$A$2:$A$120,B2633)),0),0)),""))</f>
        <v/>
      </c>
      <c r="D2633">
        <f>IF(B2633="","",IF(C2633&lt;&gt;"","REMOVE","KEEP"))</f>
        <v/>
      </c>
      <c r="E2633">
        <f>IF(D2633&lt;&gt;"KEEP","",IF(RIGHT(B2633,10)="@gmail.com","Gmail",IF(OR(RIGHT(B2633,12)="@outlook.com",RIGHT(B2633,12)="@hotmail.com",RIGHT(B2633,9)="@live.com"),"Outlook","Domain")))</f>
        <v/>
      </c>
      <c r="F2633">
        <f>IF(B2633="","",IFERROR(RIGHT(B2633,LEN(B2633)-FIND("@",B2633)),""))</f>
        <v/>
      </c>
      <c r="G2633">
        <f>IF(D2633="KEEP",COUNTIF($D$2:D2633,"KEEP"),"")</f>
        <v/>
      </c>
      <c r="H2633">
        <f>IF(D2633="REMOVE",COUNTIF($D$2:D2633,"REMOVE"),"")</f>
        <v/>
      </c>
      <c r="I2633">
        <f>IF(E2633="Gmail",COUNTIF($E$2:E2633,"Gmail"),"")</f>
        <v/>
      </c>
      <c r="J2633">
        <f>IF(E2633="Outlook",COUNTIF($E$2:E2633,"Outlook"),"")</f>
        <v/>
      </c>
      <c r="K2633">
        <f>IF(E2633="Domain",COUNTIF($E$2:E2633,"Domain"),"")</f>
        <v/>
      </c>
    </row>
    <row r="2634">
      <c r="A2634" s="2" t="n"/>
      <c r="B2634">
        <f>LOWER(TRIM(A2634))</f>
        <v/>
      </c>
      <c r="C2634">
        <f>IF(B2634="","",IFERROR(INDEX('Bad Patterns'!$A$2:$A$120,MATCH(1,INDEX(--ISNUMBER(SEARCH('Bad Patterns'!$A$2:$A$120,B2634)),0),0)),""))</f>
        <v/>
      </c>
      <c r="D2634">
        <f>IF(B2634="","",IF(C2634&lt;&gt;"","REMOVE","KEEP"))</f>
        <v/>
      </c>
      <c r="E2634">
        <f>IF(D2634&lt;&gt;"KEEP","",IF(RIGHT(B2634,10)="@gmail.com","Gmail",IF(OR(RIGHT(B2634,12)="@outlook.com",RIGHT(B2634,12)="@hotmail.com",RIGHT(B2634,9)="@live.com"),"Outlook","Domain")))</f>
        <v/>
      </c>
      <c r="F2634">
        <f>IF(B2634="","",IFERROR(RIGHT(B2634,LEN(B2634)-FIND("@",B2634)),""))</f>
        <v/>
      </c>
      <c r="G2634">
        <f>IF(D2634="KEEP",COUNTIF($D$2:D2634,"KEEP"),"")</f>
        <v/>
      </c>
      <c r="H2634">
        <f>IF(D2634="REMOVE",COUNTIF($D$2:D2634,"REMOVE"),"")</f>
        <v/>
      </c>
      <c r="I2634">
        <f>IF(E2634="Gmail",COUNTIF($E$2:E2634,"Gmail"),"")</f>
        <v/>
      </c>
      <c r="J2634">
        <f>IF(E2634="Outlook",COUNTIF($E$2:E2634,"Outlook"),"")</f>
        <v/>
      </c>
      <c r="K2634">
        <f>IF(E2634="Domain",COUNTIF($E$2:E2634,"Domain"),"")</f>
        <v/>
      </c>
    </row>
    <row r="2635">
      <c r="A2635" s="2" t="n"/>
      <c r="B2635">
        <f>LOWER(TRIM(A2635))</f>
        <v/>
      </c>
      <c r="C2635">
        <f>IF(B2635="","",IFERROR(INDEX('Bad Patterns'!$A$2:$A$120,MATCH(1,INDEX(--ISNUMBER(SEARCH('Bad Patterns'!$A$2:$A$120,B2635)),0),0)),""))</f>
        <v/>
      </c>
      <c r="D2635">
        <f>IF(B2635="","",IF(C2635&lt;&gt;"","REMOVE","KEEP"))</f>
        <v/>
      </c>
      <c r="E2635">
        <f>IF(D2635&lt;&gt;"KEEP","",IF(RIGHT(B2635,10)="@gmail.com","Gmail",IF(OR(RIGHT(B2635,12)="@outlook.com",RIGHT(B2635,12)="@hotmail.com",RIGHT(B2635,9)="@live.com"),"Outlook","Domain")))</f>
        <v/>
      </c>
      <c r="F2635">
        <f>IF(B2635="","",IFERROR(RIGHT(B2635,LEN(B2635)-FIND("@",B2635)),""))</f>
        <v/>
      </c>
      <c r="G2635">
        <f>IF(D2635="KEEP",COUNTIF($D$2:D2635,"KEEP"),"")</f>
        <v/>
      </c>
      <c r="H2635">
        <f>IF(D2635="REMOVE",COUNTIF($D$2:D2635,"REMOVE"),"")</f>
        <v/>
      </c>
      <c r="I2635">
        <f>IF(E2635="Gmail",COUNTIF($E$2:E2635,"Gmail"),"")</f>
        <v/>
      </c>
      <c r="J2635">
        <f>IF(E2635="Outlook",COUNTIF($E$2:E2635,"Outlook"),"")</f>
        <v/>
      </c>
      <c r="K2635">
        <f>IF(E2635="Domain",COUNTIF($E$2:E2635,"Domain"),"")</f>
        <v/>
      </c>
    </row>
    <row r="2636">
      <c r="A2636" s="2" t="n"/>
      <c r="B2636">
        <f>LOWER(TRIM(A2636))</f>
        <v/>
      </c>
      <c r="C2636">
        <f>IF(B2636="","",IFERROR(INDEX('Bad Patterns'!$A$2:$A$120,MATCH(1,INDEX(--ISNUMBER(SEARCH('Bad Patterns'!$A$2:$A$120,B2636)),0),0)),""))</f>
        <v/>
      </c>
      <c r="D2636">
        <f>IF(B2636="","",IF(C2636&lt;&gt;"","REMOVE","KEEP"))</f>
        <v/>
      </c>
      <c r="E2636">
        <f>IF(D2636&lt;&gt;"KEEP","",IF(RIGHT(B2636,10)="@gmail.com","Gmail",IF(OR(RIGHT(B2636,12)="@outlook.com",RIGHT(B2636,12)="@hotmail.com",RIGHT(B2636,9)="@live.com"),"Outlook","Domain")))</f>
        <v/>
      </c>
      <c r="F2636">
        <f>IF(B2636="","",IFERROR(RIGHT(B2636,LEN(B2636)-FIND("@",B2636)),""))</f>
        <v/>
      </c>
      <c r="G2636">
        <f>IF(D2636="KEEP",COUNTIF($D$2:D2636,"KEEP"),"")</f>
        <v/>
      </c>
      <c r="H2636">
        <f>IF(D2636="REMOVE",COUNTIF($D$2:D2636,"REMOVE"),"")</f>
        <v/>
      </c>
      <c r="I2636">
        <f>IF(E2636="Gmail",COUNTIF($E$2:E2636,"Gmail"),"")</f>
        <v/>
      </c>
      <c r="J2636">
        <f>IF(E2636="Outlook",COUNTIF($E$2:E2636,"Outlook"),"")</f>
        <v/>
      </c>
      <c r="K2636">
        <f>IF(E2636="Domain",COUNTIF($E$2:E2636,"Domain"),"")</f>
        <v/>
      </c>
    </row>
    <row r="2637">
      <c r="A2637" s="2" t="n"/>
      <c r="B2637">
        <f>LOWER(TRIM(A2637))</f>
        <v/>
      </c>
      <c r="C2637">
        <f>IF(B2637="","",IFERROR(INDEX('Bad Patterns'!$A$2:$A$120,MATCH(1,INDEX(--ISNUMBER(SEARCH('Bad Patterns'!$A$2:$A$120,B2637)),0),0)),""))</f>
        <v/>
      </c>
      <c r="D2637">
        <f>IF(B2637="","",IF(C2637&lt;&gt;"","REMOVE","KEEP"))</f>
        <v/>
      </c>
      <c r="E2637">
        <f>IF(D2637&lt;&gt;"KEEP","",IF(RIGHT(B2637,10)="@gmail.com","Gmail",IF(OR(RIGHT(B2637,12)="@outlook.com",RIGHT(B2637,12)="@hotmail.com",RIGHT(B2637,9)="@live.com"),"Outlook","Domain")))</f>
        <v/>
      </c>
      <c r="F2637">
        <f>IF(B2637="","",IFERROR(RIGHT(B2637,LEN(B2637)-FIND("@",B2637)),""))</f>
        <v/>
      </c>
      <c r="G2637">
        <f>IF(D2637="KEEP",COUNTIF($D$2:D2637,"KEEP"),"")</f>
        <v/>
      </c>
      <c r="H2637">
        <f>IF(D2637="REMOVE",COUNTIF($D$2:D2637,"REMOVE"),"")</f>
        <v/>
      </c>
      <c r="I2637">
        <f>IF(E2637="Gmail",COUNTIF($E$2:E2637,"Gmail"),"")</f>
        <v/>
      </c>
      <c r="J2637">
        <f>IF(E2637="Outlook",COUNTIF($E$2:E2637,"Outlook"),"")</f>
        <v/>
      </c>
      <c r="K2637">
        <f>IF(E2637="Domain",COUNTIF($E$2:E2637,"Domain"),"")</f>
        <v/>
      </c>
    </row>
    <row r="2638">
      <c r="A2638" s="2" t="n"/>
      <c r="B2638">
        <f>LOWER(TRIM(A2638))</f>
        <v/>
      </c>
      <c r="C2638">
        <f>IF(B2638="","",IFERROR(INDEX('Bad Patterns'!$A$2:$A$120,MATCH(1,INDEX(--ISNUMBER(SEARCH('Bad Patterns'!$A$2:$A$120,B2638)),0),0)),""))</f>
        <v/>
      </c>
      <c r="D2638">
        <f>IF(B2638="","",IF(C2638&lt;&gt;"","REMOVE","KEEP"))</f>
        <v/>
      </c>
      <c r="E2638">
        <f>IF(D2638&lt;&gt;"KEEP","",IF(RIGHT(B2638,10)="@gmail.com","Gmail",IF(OR(RIGHT(B2638,12)="@outlook.com",RIGHT(B2638,12)="@hotmail.com",RIGHT(B2638,9)="@live.com"),"Outlook","Domain")))</f>
        <v/>
      </c>
      <c r="F2638">
        <f>IF(B2638="","",IFERROR(RIGHT(B2638,LEN(B2638)-FIND("@",B2638)),""))</f>
        <v/>
      </c>
      <c r="G2638">
        <f>IF(D2638="KEEP",COUNTIF($D$2:D2638,"KEEP"),"")</f>
        <v/>
      </c>
      <c r="H2638">
        <f>IF(D2638="REMOVE",COUNTIF($D$2:D2638,"REMOVE"),"")</f>
        <v/>
      </c>
      <c r="I2638">
        <f>IF(E2638="Gmail",COUNTIF($E$2:E2638,"Gmail"),"")</f>
        <v/>
      </c>
      <c r="J2638">
        <f>IF(E2638="Outlook",COUNTIF($E$2:E2638,"Outlook"),"")</f>
        <v/>
      </c>
      <c r="K2638">
        <f>IF(E2638="Domain",COUNTIF($E$2:E2638,"Domain"),"")</f>
        <v/>
      </c>
    </row>
    <row r="2639">
      <c r="A2639" s="2" t="n"/>
      <c r="B2639">
        <f>LOWER(TRIM(A2639))</f>
        <v/>
      </c>
      <c r="C2639">
        <f>IF(B2639="","",IFERROR(INDEX('Bad Patterns'!$A$2:$A$120,MATCH(1,INDEX(--ISNUMBER(SEARCH('Bad Patterns'!$A$2:$A$120,B2639)),0),0)),""))</f>
        <v/>
      </c>
      <c r="D2639">
        <f>IF(B2639="","",IF(C2639&lt;&gt;"","REMOVE","KEEP"))</f>
        <v/>
      </c>
      <c r="E2639">
        <f>IF(D2639&lt;&gt;"KEEP","",IF(RIGHT(B2639,10)="@gmail.com","Gmail",IF(OR(RIGHT(B2639,12)="@outlook.com",RIGHT(B2639,12)="@hotmail.com",RIGHT(B2639,9)="@live.com"),"Outlook","Domain")))</f>
        <v/>
      </c>
      <c r="F2639">
        <f>IF(B2639="","",IFERROR(RIGHT(B2639,LEN(B2639)-FIND("@",B2639)),""))</f>
        <v/>
      </c>
      <c r="G2639">
        <f>IF(D2639="KEEP",COUNTIF($D$2:D2639,"KEEP"),"")</f>
        <v/>
      </c>
      <c r="H2639">
        <f>IF(D2639="REMOVE",COUNTIF($D$2:D2639,"REMOVE"),"")</f>
        <v/>
      </c>
      <c r="I2639">
        <f>IF(E2639="Gmail",COUNTIF($E$2:E2639,"Gmail"),"")</f>
        <v/>
      </c>
      <c r="J2639">
        <f>IF(E2639="Outlook",COUNTIF($E$2:E2639,"Outlook"),"")</f>
        <v/>
      </c>
      <c r="K2639">
        <f>IF(E2639="Domain",COUNTIF($E$2:E2639,"Domain"),"")</f>
        <v/>
      </c>
    </row>
    <row r="2640">
      <c r="A2640" s="2" t="n"/>
      <c r="B2640">
        <f>LOWER(TRIM(A2640))</f>
        <v/>
      </c>
      <c r="C2640">
        <f>IF(B2640="","",IFERROR(INDEX('Bad Patterns'!$A$2:$A$120,MATCH(1,INDEX(--ISNUMBER(SEARCH('Bad Patterns'!$A$2:$A$120,B2640)),0),0)),""))</f>
        <v/>
      </c>
      <c r="D2640">
        <f>IF(B2640="","",IF(C2640&lt;&gt;"","REMOVE","KEEP"))</f>
        <v/>
      </c>
      <c r="E2640">
        <f>IF(D2640&lt;&gt;"KEEP","",IF(RIGHT(B2640,10)="@gmail.com","Gmail",IF(OR(RIGHT(B2640,12)="@outlook.com",RIGHT(B2640,12)="@hotmail.com",RIGHT(B2640,9)="@live.com"),"Outlook","Domain")))</f>
        <v/>
      </c>
      <c r="F2640">
        <f>IF(B2640="","",IFERROR(RIGHT(B2640,LEN(B2640)-FIND("@",B2640)),""))</f>
        <v/>
      </c>
      <c r="G2640">
        <f>IF(D2640="KEEP",COUNTIF($D$2:D2640,"KEEP"),"")</f>
        <v/>
      </c>
      <c r="H2640">
        <f>IF(D2640="REMOVE",COUNTIF($D$2:D2640,"REMOVE"),"")</f>
        <v/>
      </c>
      <c r="I2640">
        <f>IF(E2640="Gmail",COUNTIF($E$2:E2640,"Gmail"),"")</f>
        <v/>
      </c>
      <c r="J2640">
        <f>IF(E2640="Outlook",COUNTIF($E$2:E2640,"Outlook"),"")</f>
        <v/>
      </c>
      <c r="K2640">
        <f>IF(E2640="Domain",COUNTIF($E$2:E2640,"Domain"),"")</f>
        <v/>
      </c>
    </row>
    <row r="2641">
      <c r="A2641" s="2" t="n"/>
      <c r="B2641">
        <f>LOWER(TRIM(A2641))</f>
        <v/>
      </c>
      <c r="C2641">
        <f>IF(B2641="","",IFERROR(INDEX('Bad Patterns'!$A$2:$A$120,MATCH(1,INDEX(--ISNUMBER(SEARCH('Bad Patterns'!$A$2:$A$120,B2641)),0),0)),""))</f>
        <v/>
      </c>
      <c r="D2641">
        <f>IF(B2641="","",IF(C2641&lt;&gt;"","REMOVE","KEEP"))</f>
        <v/>
      </c>
      <c r="E2641">
        <f>IF(D2641&lt;&gt;"KEEP","",IF(RIGHT(B2641,10)="@gmail.com","Gmail",IF(OR(RIGHT(B2641,12)="@outlook.com",RIGHT(B2641,12)="@hotmail.com",RIGHT(B2641,9)="@live.com"),"Outlook","Domain")))</f>
        <v/>
      </c>
      <c r="F2641">
        <f>IF(B2641="","",IFERROR(RIGHT(B2641,LEN(B2641)-FIND("@",B2641)),""))</f>
        <v/>
      </c>
      <c r="G2641">
        <f>IF(D2641="KEEP",COUNTIF($D$2:D2641,"KEEP"),"")</f>
        <v/>
      </c>
      <c r="H2641">
        <f>IF(D2641="REMOVE",COUNTIF($D$2:D2641,"REMOVE"),"")</f>
        <v/>
      </c>
      <c r="I2641">
        <f>IF(E2641="Gmail",COUNTIF($E$2:E2641,"Gmail"),"")</f>
        <v/>
      </c>
      <c r="J2641">
        <f>IF(E2641="Outlook",COUNTIF($E$2:E2641,"Outlook"),"")</f>
        <v/>
      </c>
      <c r="K2641">
        <f>IF(E2641="Domain",COUNTIF($E$2:E2641,"Domain"),"")</f>
        <v/>
      </c>
    </row>
    <row r="2642">
      <c r="A2642" s="2" t="n"/>
      <c r="B2642">
        <f>LOWER(TRIM(A2642))</f>
        <v/>
      </c>
      <c r="C2642">
        <f>IF(B2642="","",IFERROR(INDEX('Bad Patterns'!$A$2:$A$120,MATCH(1,INDEX(--ISNUMBER(SEARCH('Bad Patterns'!$A$2:$A$120,B2642)),0),0)),""))</f>
        <v/>
      </c>
      <c r="D2642">
        <f>IF(B2642="","",IF(C2642&lt;&gt;"","REMOVE","KEEP"))</f>
        <v/>
      </c>
      <c r="E2642">
        <f>IF(D2642&lt;&gt;"KEEP","",IF(RIGHT(B2642,10)="@gmail.com","Gmail",IF(OR(RIGHT(B2642,12)="@outlook.com",RIGHT(B2642,12)="@hotmail.com",RIGHT(B2642,9)="@live.com"),"Outlook","Domain")))</f>
        <v/>
      </c>
      <c r="F2642">
        <f>IF(B2642="","",IFERROR(RIGHT(B2642,LEN(B2642)-FIND("@",B2642)),""))</f>
        <v/>
      </c>
      <c r="G2642">
        <f>IF(D2642="KEEP",COUNTIF($D$2:D2642,"KEEP"),"")</f>
        <v/>
      </c>
      <c r="H2642">
        <f>IF(D2642="REMOVE",COUNTIF($D$2:D2642,"REMOVE"),"")</f>
        <v/>
      </c>
      <c r="I2642">
        <f>IF(E2642="Gmail",COUNTIF($E$2:E2642,"Gmail"),"")</f>
        <v/>
      </c>
      <c r="J2642">
        <f>IF(E2642="Outlook",COUNTIF($E$2:E2642,"Outlook"),"")</f>
        <v/>
      </c>
      <c r="K2642">
        <f>IF(E2642="Domain",COUNTIF($E$2:E2642,"Domain"),"")</f>
        <v/>
      </c>
    </row>
    <row r="2643">
      <c r="A2643" s="2" t="n"/>
      <c r="B2643">
        <f>LOWER(TRIM(A2643))</f>
        <v/>
      </c>
      <c r="C2643">
        <f>IF(B2643="","",IFERROR(INDEX('Bad Patterns'!$A$2:$A$120,MATCH(1,INDEX(--ISNUMBER(SEARCH('Bad Patterns'!$A$2:$A$120,B2643)),0),0)),""))</f>
        <v/>
      </c>
      <c r="D2643">
        <f>IF(B2643="","",IF(C2643&lt;&gt;"","REMOVE","KEEP"))</f>
        <v/>
      </c>
      <c r="E2643">
        <f>IF(D2643&lt;&gt;"KEEP","",IF(RIGHT(B2643,10)="@gmail.com","Gmail",IF(OR(RIGHT(B2643,12)="@outlook.com",RIGHT(B2643,12)="@hotmail.com",RIGHT(B2643,9)="@live.com"),"Outlook","Domain")))</f>
        <v/>
      </c>
      <c r="F2643">
        <f>IF(B2643="","",IFERROR(RIGHT(B2643,LEN(B2643)-FIND("@",B2643)),""))</f>
        <v/>
      </c>
      <c r="G2643">
        <f>IF(D2643="KEEP",COUNTIF($D$2:D2643,"KEEP"),"")</f>
        <v/>
      </c>
      <c r="H2643">
        <f>IF(D2643="REMOVE",COUNTIF($D$2:D2643,"REMOVE"),"")</f>
        <v/>
      </c>
      <c r="I2643">
        <f>IF(E2643="Gmail",COUNTIF($E$2:E2643,"Gmail"),"")</f>
        <v/>
      </c>
      <c r="J2643">
        <f>IF(E2643="Outlook",COUNTIF($E$2:E2643,"Outlook"),"")</f>
        <v/>
      </c>
      <c r="K2643">
        <f>IF(E2643="Domain",COUNTIF($E$2:E2643,"Domain"),"")</f>
        <v/>
      </c>
    </row>
    <row r="2644">
      <c r="A2644" s="2" t="n"/>
      <c r="B2644">
        <f>LOWER(TRIM(A2644))</f>
        <v/>
      </c>
      <c r="C2644">
        <f>IF(B2644="","",IFERROR(INDEX('Bad Patterns'!$A$2:$A$120,MATCH(1,INDEX(--ISNUMBER(SEARCH('Bad Patterns'!$A$2:$A$120,B2644)),0),0)),""))</f>
        <v/>
      </c>
      <c r="D2644">
        <f>IF(B2644="","",IF(C2644&lt;&gt;"","REMOVE","KEEP"))</f>
        <v/>
      </c>
      <c r="E2644">
        <f>IF(D2644&lt;&gt;"KEEP","",IF(RIGHT(B2644,10)="@gmail.com","Gmail",IF(OR(RIGHT(B2644,12)="@outlook.com",RIGHT(B2644,12)="@hotmail.com",RIGHT(B2644,9)="@live.com"),"Outlook","Domain")))</f>
        <v/>
      </c>
      <c r="F2644">
        <f>IF(B2644="","",IFERROR(RIGHT(B2644,LEN(B2644)-FIND("@",B2644)),""))</f>
        <v/>
      </c>
      <c r="G2644">
        <f>IF(D2644="KEEP",COUNTIF($D$2:D2644,"KEEP"),"")</f>
        <v/>
      </c>
      <c r="H2644">
        <f>IF(D2644="REMOVE",COUNTIF($D$2:D2644,"REMOVE"),"")</f>
        <v/>
      </c>
      <c r="I2644">
        <f>IF(E2644="Gmail",COUNTIF($E$2:E2644,"Gmail"),"")</f>
        <v/>
      </c>
      <c r="J2644">
        <f>IF(E2644="Outlook",COUNTIF($E$2:E2644,"Outlook"),"")</f>
        <v/>
      </c>
      <c r="K2644">
        <f>IF(E2644="Domain",COUNTIF($E$2:E2644,"Domain"),"")</f>
        <v/>
      </c>
    </row>
    <row r="2645">
      <c r="A2645" s="2" t="n"/>
      <c r="B2645">
        <f>LOWER(TRIM(A2645))</f>
        <v/>
      </c>
      <c r="C2645">
        <f>IF(B2645="","",IFERROR(INDEX('Bad Patterns'!$A$2:$A$120,MATCH(1,INDEX(--ISNUMBER(SEARCH('Bad Patterns'!$A$2:$A$120,B2645)),0),0)),""))</f>
        <v/>
      </c>
      <c r="D2645">
        <f>IF(B2645="","",IF(C2645&lt;&gt;"","REMOVE","KEEP"))</f>
        <v/>
      </c>
      <c r="E2645">
        <f>IF(D2645&lt;&gt;"KEEP","",IF(RIGHT(B2645,10)="@gmail.com","Gmail",IF(OR(RIGHT(B2645,12)="@outlook.com",RIGHT(B2645,12)="@hotmail.com",RIGHT(B2645,9)="@live.com"),"Outlook","Domain")))</f>
        <v/>
      </c>
      <c r="F2645">
        <f>IF(B2645="","",IFERROR(RIGHT(B2645,LEN(B2645)-FIND("@",B2645)),""))</f>
        <v/>
      </c>
      <c r="G2645">
        <f>IF(D2645="KEEP",COUNTIF($D$2:D2645,"KEEP"),"")</f>
        <v/>
      </c>
      <c r="H2645">
        <f>IF(D2645="REMOVE",COUNTIF($D$2:D2645,"REMOVE"),"")</f>
        <v/>
      </c>
      <c r="I2645">
        <f>IF(E2645="Gmail",COUNTIF($E$2:E2645,"Gmail"),"")</f>
        <v/>
      </c>
      <c r="J2645">
        <f>IF(E2645="Outlook",COUNTIF($E$2:E2645,"Outlook"),"")</f>
        <v/>
      </c>
      <c r="K2645">
        <f>IF(E2645="Domain",COUNTIF($E$2:E2645,"Domain"),"")</f>
        <v/>
      </c>
    </row>
    <row r="2646">
      <c r="A2646" s="2" t="n"/>
      <c r="B2646">
        <f>LOWER(TRIM(A2646))</f>
        <v/>
      </c>
      <c r="C2646">
        <f>IF(B2646="","",IFERROR(INDEX('Bad Patterns'!$A$2:$A$120,MATCH(1,INDEX(--ISNUMBER(SEARCH('Bad Patterns'!$A$2:$A$120,B2646)),0),0)),""))</f>
        <v/>
      </c>
      <c r="D2646">
        <f>IF(B2646="","",IF(C2646&lt;&gt;"","REMOVE","KEEP"))</f>
        <v/>
      </c>
      <c r="E2646">
        <f>IF(D2646&lt;&gt;"KEEP","",IF(RIGHT(B2646,10)="@gmail.com","Gmail",IF(OR(RIGHT(B2646,12)="@outlook.com",RIGHT(B2646,12)="@hotmail.com",RIGHT(B2646,9)="@live.com"),"Outlook","Domain")))</f>
        <v/>
      </c>
      <c r="F2646">
        <f>IF(B2646="","",IFERROR(RIGHT(B2646,LEN(B2646)-FIND("@",B2646)),""))</f>
        <v/>
      </c>
      <c r="G2646">
        <f>IF(D2646="KEEP",COUNTIF($D$2:D2646,"KEEP"),"")</f>
        <v/>
      </c>
      <c r="H2646">
        <f>IF(D2646="REMOVE",COUNTIF($D$2:D2646,"REMOVE"),"")</f>
        <v/>
      </c>
      <c r="I2646">
        <f>IF(E2646="Gmail",COUNTIF($E$2:E2646,"Gmail"),"")</f>
        <v/>
      </c>
      <c r="J2646">
        <f>IF(E2646="Outlook",COUNTIF($E$2:E2646,"Outlook"),"")</f>
        <v/>
      </c>
      <c r="K2646">
        <f>IF(E2646="Domain",COUNTIF($E$2:E2646,"Domain"),"")</f>
        <v/>
      </c>
    </row>
    <row r="2647">
      <c r="A2647" s="2" t="n"/>
      <c r="B2647">
        <f>LOWER(TRIM(A2647))</f>
        <v/>
      </c>
      <c r="C2647">
        <f>IF(B2647="","",IFERROR(INDEX('Bad Patterns'!$A$2:$A$120,MATCH(1,INDEX(--ISNUMBER(SEARCH('Bad Patterns'!$A$2:$A$120,B2647)),0),0)),""))</f>
        <v/>
      </c>
      <c r="D2647">
        <f>IF(B2647="","",IF(C2647&lt;&gt;"","REMOVE","KEEP"))</f>
        <v/>
      </c>
      <c r="E2647">
        <f>IF(D2647&lt;&gt;"KEEP","",IF(RIGHT(B2647,10)="@gmail.com","Gmail",IF(OR(RIGHT(B2647,12)="@outlook.com",RIGHT(B2647,12)="@hotmail.com",RIGHT(B2647,9)="@live.com"),"Outlook","Domain")))</f>
        <v/>
      </c>
      <c r="F2647">
        <f>IF(B2647="","",IFERROR(RIGHT(B2647,LEN(B2647)-FIND("@",B2647)),""))</f>
        <v/>
      </c>
      <c r="G2647">
        <f>IF(D2647="KEEP",COUNTIF($D$2:D2647,"KEEP"),"")</f>
        <v/>
      </c>
      <c r="H2647">
        <f>IF(D2647="REMOVE",COUNTIF($D$2:D2647,"REMOVE"),"")</f>
        <v/>
      </c>
      <c r="I2647">
        <f>IF(E2647="Gmail",COUNTIF($E$2:E2647,"Gmail"),"")</f>
        <v/>
      </c>
      <c r="J2647">
        <f>IF(E2647="Outlook",COUNTIF($E$2:E2647,"Outlook"),"")</f>
        <v/>
      </c>
      <c r="K2647">
        <f>IF(E2647="Domain",COUNTIF($E$2:E2647,"Domain"),"")</f>
        <v/>
      </c>
    </row>
    <row r="2648">
      <c r="A2648" s="2" t="n"/>
      <c r="B2648">
        <f>LOWER(TRIM(A2648))</f>
        <v/>
      </c>
      <c r="C2648">
        <f>IF(B2648="","",IFERROR(INDEX('Bad Patterns'!$A$2:$A$120,MATCH(1,INDEX(--ISNUMBER(SEARCH('Bad Patterns'!$A$2:$A$120,B2648)),0),0)),""))</f>
        <v/>
      </c>
      <c r="D2648">
        <f>IF(B2648="","",IF(C2648&lt;&gt;"","REMOVE","KEEP"))</f>
        <v/>
      </c>
      <c r="E2648">
        <f>IF(D2648&lt;&gt;"KEEP","",IF(RIGHT(B2648,10)="@gmail.com","Gmail",IF(OR(RIGHT(B2648,12)="@outlook.com",RIGHT(B2648,12)="@hotmail.com",RIGHT(B2648,9)="@live.com"),"Outlook","Domain")))</f>
        <v/>
      </c>
      <c r="F2648">
        <f>IF(B2648="","",IFERROR(RIGHT(B2648,LEN(B2648)-FIND("@",B2648)),""))</f>
        <v/>
      </c>
      <c r="G2648">
        <f>IF(D2648="KEEP",COUNTIF($D$2:D2648,"KEEP"),"")</f>
        <v/>
      </c>
      <c r="H2648">
        <f>IF(D2648="REMOVE",COUNTIF($D$2:D2648,"REMOVE"),"")</f>
        <v/>
      </c>
      <c r="I2648">
        <f>IF(E2648="Gmail",COUNTIF($E$2:E2648,"Gmail"),"")</f>
        <v/>
      </c>
      <c r="J2648">
        <f>IF(E2648="Outlook",COUNTIF($E$2:E2648,"Outlook"),"")</f>
        <v/>
      </c>
      <c r="K2648">
        <f>IF(E2648="Domain",COUNTIF($E$2:E2648,"Domain"),"")</f>
        <v/>
      </c>
    </row>
    <row r="2649">
      <c r="A2649" s="2" t="n"/>
      <c r="B2649">
        <f>LOWER(TRIM(A2649))</f>
        <v/>
      </c>
      <c r="C2649">
        <f>IF(B2649="","",IFERROR(INDEX('Bad Patterns'!$A$2:$A$120,MATCH(1,INDEX(--ISNUMBER(SEARCH('Bad Patterns'!$A$2:$A$120,B2649)),0),0)),""))</f>
        <v/>
      </c>
      <c r="D2649">
        <f>IF(B2649="","",IF(C2649&lt;&gt;"","REMOVE","KEEP"))</f>
        <v/>
      </c>
      <c r="E2649">
        <f>IF(D2649&lt;&gt;"KEEP","",IF(RIGHT(B2649,10)="@gmail.com","Gmail",IF(OR(RIGHT(B2649,12)="@outlook.com",RIGHT(B2649,12)="@hotmail.com",RIGHT(B2649,9)="@live.com"),"Outlook","Domain")))</f>
        <v/>
      </c>
      <c r="F2649">
        <f>IF(B2649="","",IFERROR(RIGHT(B2649,LEN(B2649)-FIND("@",B2649)),""))</f>
        <v/>
      </c>
      <c r="G2649">
        <f>IF(D2649="KEEP",COUNTIF($D$2:D2649,"KEEP"),"")</f>
        <v/>
      </c>
      <c r="H2649">
        <f>IF(D2649="REMOVE",COUNTIF($D$2:D2649,"REMOVE"),"")</f>
        <v/>
      </c>
      <c r="I2649">
        <f>IF(E2649="Gmail",COUNTIF($E$2:E2649,"Gmail"),"")</f>
        <v/>
      </c>
      <c r="J2649">
        <f>IF(E2649="Outlook",COUNTIF($E$2:E2649,"Outlook"),"")</f>
        <v/>
      </c>
      <c r="K2649">
        <f>IF(E2649="Domain",COUNTIF($E$2:E2649,"Domain"),"")</f>
        <v/>
      </c>
    </row>
    <row r="2650">
      <c r="A2650" s="2" t="n"/>
      <c r="B2650">
        <f>LOWER(TRIM(A2650))</f>
        <v/>
      </c>
      <c r="C2650">
        <f>IF(B2650="","",IFERROR(INDEX('Bad Patterns'!$A$2:$A$120,MATCH(1,INDEX(--ISNUMBER(SEARCH('Bad Patterns'!$A$2:$A$120,B2650)),0),0)),""))</f>
        <v/>
      </c>
      <c r="D2650">
        <f>IF(B2650="","",IF(C2650&lt;&gt;"","REMOVE","KEEP"))</f>
        <v/>
      </c>
      <c r="E2650">
        <f>IF(D2650&lt;&gt;"KEEP","",IF(RIGHT(B2650,10)="@gmail.com","Gmail",IF(OR(RIGHT(B2650,12)="@outlook.com",RIGHT(B2650,12)="@hotmail.com",RIGHT(B2650,9)="@live.com"),"Outlook","Domain")))</f>
        <v/>
      </c>
      <c r="F2650">
        <f>IF(B2650="","",IFERROR(RIGHT(B2650,LEN(B2650)-FIND("@",B2650)),""))</f>
        <v/>
      </c>
      <c r="G2650">
        <f>IF(D2650="KEEP",COUNTIF($D$2:D2650,"KEEP"),"")</f>
        <v/>
      </c>
      <c r="H2650">
        <f>IF(D2650="REMOVE",COUNTIF($D$2:D2650,"REMOVE"),"")</f>
        <v/>
      </c>
      <c r="I2650">
        <f>IF(E2650="Gmail",COUNTIF($E$2:E2650,"Gmail"),"")</f>
        <v/>
      </c>
      <c r="J2650">
        <f>IF(E2650="Outlook",COUNTIF($E$2:E2650,"Outlook"),"")</f>
        <v/>
      </c>
      <c r="K2650">
        <f>IF(E2650="Domain",COUNTIF($E$2:E2650,"Domain"),"")</f>
        <v/>
      </c>
    </row>
    <row r="2651">
      <c r="A2651" s="2" t="n"/>
      <c r="B2651">
        <f>LOWER(TRIM(A2651))</f>
        <v/>
      </c>
      <c r="C2651">
        <f>IF(B2651="","",IFERROR(INDEX('Bad Patterns'!$A$2:$A$120,MATCH(1,INDEX(--ISNUMBER(SEARCH('Bad Patterns'!$A$2:$A$120,B2651)),0),0)),""))</f>
        <v/>
      </c>
      <c r="D2651">
        <f>IF(B2651="","",IF(C2651&lt;&gt;"","REMOVE","KEEP"))</f>
        <v/>
      </c>
      <c r="E2651">
        <f>IF(D2651&lt;&gt;"KEEP","",IF(RIGHT(B2651,10)="@gmail.com","Gmail",IF(OR(RIGHT(B2651,12)="@outlook.com",RIGHT(B2651,12)="@hotmail.com",RIGHT(B2651,9)="@live.com"),"Outlook","Domain")))</f>
        <v/>
      </c>
      <c r="F2651">
        <f>IF(B2651="","",IFERROR(RIGHT(B2651,LEN(B2651)-FIND("@",B2651)),""))</f>
        <v/>
      </c>
      <c r="G2651">
        <f>IF(D2651="KEEP",COUNTIF($D$2:D2651,"KEEP"),"")</f>
        <v/>
      </c>
      <c r="H2651">
        <f>IF(D2651="REMOVE",COUNTIF($D$2:D2651,"REMOVE"),"")</f>
        <v/>
      </c>
      <c r="I2651">
        <f>IF(E2651="Gmail",COUNTIF($E$2:E2651,"Gmail"),"")</f>
        <v/>
      </c>
      <c r="J2651">
        <f>IF(E2651="Outlook",COUNTIF($E$2:E2651,"Outlook"),"")</f>
        <v/>
      </c>
      <c r="K2651">
        <f>IF(E2651="Domain",COUNTIF($E$2:E2651,"Domain"),"")</f>
        <v/>
      </c>
    </row>
    <row r="2652">
      <c r="A2652" s="2" t="n"/>
      <c r="B2652">
        <f>LOWER(TRIM(A2652))</f>
        <v/>
      </c>
      <c r="C2652">
        <f>IF(B2652="","",IFERROR(INDEX('Bad Patterns'!$A$2:$A$120,MATCH(1,INDEX(--ISNUMBER(SEARCH('Bad Patterns'!$A$2:$A$120,B2652)),0),0)),""))</f>
        <v/>
      </c>
      <c r="D2652">
        <f>IF(B2652="","",IF(C2652&lt;&gt;"","REMOVE","KEEP"))</f>
        <v/>
      </c>
      <c r="E2652">
        <f>IF(D2652&lt;&gt;"KEEP","",IF(RIGHT(B2652,10)="@gmail.com","Gmail",IF(OR(RIGHT(B2652,12)="@outlook.com",RIGHT(B2652,12)="@hotmail.com",RIGHT(B2652,9)="@live.com"),"Outlook","Domain")))</f>
        <v/>
      </c>
      <c r="F2652">
        <f>IF(B2652="","",IFERROR(RIGHT(B2652,LEN(B2652)-FIND("@",B2652)),""))</f>
        <v/>
      </c>
      <c r="G2652">
        <f>IF(D2652="KEEP",COUNTIF($D$2:D2652,"KEEP"),"")</f>
        <v/>
      </c>
      <c r="H2652">
        <f>IF(D2652="REMOVE",COUNTIF($D$2:D2652,"REMOVE"),"")</f>
        <v/>
      </c>
      <c r="I2652">
        <f>IF(E2652="Gmail",COUNTIF($E$2:E2652,"Gmail"),"")</f>
        <v/>
      </c>
      <c r="J2652">
        <f>IF(E2652="Outlook",COUNTIF($E$2:E2652,"Outlook"),"")</f>
        <v/>
      </c>
      <c r="K2652">
        <f>IF(E2652="Domain",COUNTIF($E$2:E2652,"Domain"),"")</f>
        <v/>
      </c>
    </row>
    <row r="2653">
      <c r="A2653" s="2" t="n"/>
      <c r="B2653">
        <f>LOWER(TRIM(A2653))</f>
        <v/>
      </c>
      <c r="C2653">
        <f>IF(B2653="","",IFERROR(INDEX('Bad Patterns'!$A$2:$A$120,MATCH(1,INDEX(--ISNUMBER(SEARCH('Bad Patterns'!$A$2:$A$120,B2653)),0),0)),""))</f>
        <v/>
      </c>
      <c r="D2653">
        <f>IF(B2653="","",IF(C2653&lt;&gt;"","REMOVE","KEEP"))</f>
        <v/>
      </c>
      <c r="E2653">
        <f>IF(D2653&lt;&gt;"KEEP","",IF(RIGHT(B2653,10)="@gmail.com","Gmail",IF(OR(RIGHT(B2653,12)="@outlook.com",RIGHT(B2653,12)="@hotmail.com",RIGHT(B2653,9)="@live.com"),"Outlook","Domain")))</f>
        <v/>
      </c>
      <c r="F2653">
        <f>IF(B2653="","",IFERROR(RIGHT(B2653,LEN(B2653)-FIND("@",B2653)),""))</f>
        <v/>
      </c>
      <c r="G2653">
        <f>IF(D2653="KEEP",COUNTIF($D$2:D2653,"KEEP"),"")</f>
        <v/>
      </c>
      <c r="H2653">
        <f>IF(D2653="REMOVE",COUNTIF($D$2:D2653,"REMOVE"),"")</f>
        <v/>
      </c>
      <c r="I2653">
        <f>IF(E2653="Gmail",COUNTIF($E$2:E2653,"Gmail"),"")</f>
        <v/>
      </c>
      <c r="J2653">
        <f>IF(E2653="Outlook",COUNTIF($E$2:E2653,"Outlook"),"")</f>
        <v/>
      </c>
      <c r="K2653">
        <f>IF(E2653="Domain",COUNTIF($E$2:E2653,"Domain"),"")</f>
        <v/>
      </c>
    </row>
    <row r="2654">
      <c r="A2654" s="2" t="n"/>
      <c r="B2654">
        <f>LOWER(TRIM(A2654))</f>
        <v/>
      </c>
      <c r="C2654">
        <f>IF(B2654="","",IFERROR(INDEX('Bad Patterns'!$A$2:$A$120,MATCH(1,INDEX(--ISNUMBER(SEARCH('Bad Patterns'!$A$2:$A$120,B2654)),0),0)),""))</f>
        <v/>
      </c>
      <c r="D2654">
        <f>IF(B2654="","",IF(C2654&lt;&gt;"","REMOVE","KEEP"))</f>
        <v/>
      </c>
      <c r="E2654">
        <f>IF(D2654&lt;&gt;"KEEP","",IF(RIGHT(B2654,10)="@gmail.com","Gmail",IF(OR(RIGHT(B2654,12)="@outlook.com",RIGHT(B2654,12)="@hotmail.com",RIGHT(B2654,9)="@live.com"),"Outlook","Domain")))</f>
        <v/>
      </c>
      <c r="F2654">
        <f>IF(B2654="","",IFERROR(RIGHT(B2654,LEN(B2654)-FIND("@",B2654)),""))</f>
        <v/>
      </c>
      <c r="G2654">
        <f>IF(D2654="KEEP",COUNTIF($D$2:D2654,"KEEP"),"")</f>
        <v/>
      </c>
      <c r="H2654">
        <f>IF(D2654="REMOVE",COUNTIF($D$2:D2654,"REMOVE"),"")</f>
        <v/>
      </c>
      <c r="I2654">
        <f>IF(E2654="Gmail",COUNTIF($E$2:E2654,"Gmail"),"")</f>
        <v/>
      </c>
      <c r="J2654">
        <f>IF(E2654="Outlook",COUNTIF($E$2:E2654,"Outlook"),"")</f>
        <v/>
      </c>
      <c r="K2654">
        <f>IF(E2654="Domain",COUNTIF($E$2:E2654,"Domain"),"")</f>
        <v/>
      </c>
    </row>
    <row r="2655">
      <c r="A2655" s="2" t="n"/>
      <c r="B2655">
        <f>LOWER(TRIM(A2655))</f>
        <v/>
      </c>
      <c r="C2655">
        <f>IF(B2655="","",IFERROR(INDEX('Bad Patterns'!$A$2:$A$120,MATCH(1,INDEX(--ISNUMBER(SEARCH('Bad Patterns'!$A$2:$A$120,B2655)),0),0)),""))</f>
        <v/>
      </c>
      <c r="D2655">
        <f>IF(B2655="","",IF(C2655&lt;&gt;"","REMOVE","KEEP"))</f>
        <v/>
      </c>
      <c r="E2655">
        <f>IF(D2655&lt;&gt;"KEEP","",IF(RIGHT(B2655,10)="@gmail.com","Gmail",IF(OR(RIGHT(B2655,12)="@outlook.com",RIGHT(B2655,12)="@hotmail.com",RIGHT(B2655,9)="@live.com"),"Outlook","Domain")))</f>
        <v/>
      </c>
      <c r="F2655">
        <f>IF(B2655="","",IFERROR(RIGHT(B2655,LEN(B2655)-FIND("@",B2655)),""))</f>
        <v/>
      </c>
      <c r="G2655">
        <f>IF(D2655="KEEP",COUNTIF($D$2:D2655,"KEEP"),"")</f>
        <v/>
      </c>
      <c r="H2655">
        <f>IF(D2655="REMOVE",COUNTIF($D$2:D2655,"REMOVE"),"")</f>
        <v/>
      </c>
      <c r="I2655">
        <f>IF(E2655="Gmail",COUNTIF($E$2:E2655,"Gmail"),"")</f>
        <v/>
      </c>
      <c r="J2655">
        <f>IF(E2655="Outlook",COUNTIF($E$2:E2655,"Outlook"),"")</f>
        <v/>
      </c>
      <c r="K2655">
        <f>IF(E2655="Domain",COUNTIF($E$2:E2655,"Domain"),"")</f>
        <v/>
      </c>
    </row>
    <row r="2656">
      <c r="A2656" s="2" t="n"/>
      <c r="B2656">
        <f>LOWER(TRIM(A2656))</f>
        <v/>
      </c>
      <c r="C2656">
        <f>IF(B2656="","",IFERROR(INDEX('Bad Patterns'!$A$2:$A$120,MATCH(1,INDEX(--ISNUMBER(SEARCH('Bad Patterns'!$A$2:$A$120,B2656)),0),0)),""))</f>
        <v/>
      </c>
      <c r="D2656">
        <f>IF(B2656="","",IF(C2656&lt;&gt;"","REMOVE","KEEP"))</f>
        <v/>
      </c>
      <c r="E2656">
        <f>IF(D2656&lt;&gt;"KEEP","",IF(RIGHT(B2656,10)="@gmail.com","Gmail",IF(OR(RIGHT(B2656,12)="@outlook.com",RIGHT(B2656,12)="@hotmail.com",RIGHT(B2656,9)="@live.com"),"Outlook","Domain")))</f>
        <v/>
      </c>
      <c r="F2656">
        <f>IF(B2656="","",IFERROR(RIGHT(B2656,LEN(B2656)-FIND("@",B2656)),""))</f>
        <v/>
      </c>
      <c r="G2656">
        <f>IF(D2656="KEEP",COUNTIF($D$2:D2656,"KEEP"),"")</f>
        <v/>
      </c>
      <c r="H2656">
        <f>IF(D2656="REMOVE",COUNTIF($D$2:D2656,"REMOVE"),"")</f>
        <v/>
      </c>
      <c r="I2656">
        <f>IF(E2656="Gmail",COUNTIF($E$2:E2656,"Gmail"),"")</f>
        <v/>
      </c>
      <c r="J2656">
        <f>IF(E2656="Outlook",COUNTIF($E$2:E2656,"Outlook"),"")</f>
        <v/>
      </c>
      <c r="K2656">
        <f>IF(E2656="Domain",COUNTIF($E$2:E2656,"Domain"),"")</f>
        <v/>
      </c>
    </row>
    <row r="2657">
      <c r="A2657" s="2" t="n"/>
      <c r="B2657">
        <f>LOWER(TRIM(A2657))</f>
        <v/>
      </c>
      <c r="C2657">
        <f>IF(B2657="","",IFERROR(INDEX('Bad Patterns'!$A$2:$A$120,MATCH(1,INDEX(--ISNUMBER(SEARCH('Bad Patterns'!$A$2:$A$120,B2657)),0),0)),""))</f>
        <v/>
      </c>
      <c r="D2657">
        <f>IF(B2657="","",IF(C2657&lt;&gt;"","REMOVE","KEEP"))</f>
        <v/>
      </c>
      <c r="E2657">
        <f>IF(D2657&lt;&gt;"KEEP","",IF(RIGHT(B2657,10)="@gmail.com","Gmail",IF(OR(RIGHT(B2657,12)="@outlook.com",RIGHT(B2657,12)="@hotmail.com",RIGHT(B2657,9)="@live.com"),"Outlook","Domain")))</f>
        <v/>
      </c>
      <c r="F2657">
        <f>IF(B2657="","",IFERROR(RIGHT(B2657,LEN(B2657)-FIND("@",B2657)),""))</f>
        <v/>
      </c>
      <c r="G2657">
        <f>IF(D2657="KEEP",COUNTIF($D$2:D2657,"KEEP"),"")</f>
        <v/>
      </c>
      <c r="H2657">
        <f>IF(D2657="REMOVE",COUNTIF($D$2:D2657,"REMOVE"),"")</f>
        <v/>
      </c>
      <c r="I2657">
        <f>IF(E2657="Gmail",COUNTIF($E$2:E2657,"Gmail"),"")</f>
        <v/>
      </c>
      <c r="J2657">
        <f>IF(E2657="Outlook",COUNTIF($E$2:E2657,"Outlook"),"")</f>
        <v/>
      </c>
      <c r="K2657">
        <f>IF(E2657="Domain",COUNTIF($E$2:E2657,"Domain"),"")</f>
        <v/>
      </c>
    </row>
    <row r="2658">
      <c r="A2658" s="2" t="n"/>
      <c r="B2658">
        <f>LOWER(TRIM(A2658))</f>
        <v/>
      </c>
      <c r="C2658">
        <f>IF(B2658="","",IFERROR(INDEX('Bad Patterns'!$A$2:$A$120,MATCH(1,INDEX(--ISNUMBER(SEARCH('Bad Patterns'!$A$2:$A$120,B2658)),0),0)),""))</f>
        <v/>
      </c>
      <c r="D2658">
        <f>IF(B2658="","",IF(C2658&lt;&gt;"","REMOVE","KEEP"))</f>
        <v/>
      </c>
      <c r="E2658">
        <f>IF(D2658&lt;&gt;"KEEP","",IF(RIGHT(B2658,10)="@gmail.com","Gmail",IF(OR(RIGHT(B2658,12)="@outlook.com",RIGHT(B2658,12)="@hotmail.com",RIGHT(B2658,9)="@live.com"),"Outlook","Domain")))</f>
        <v/>
      </c>
      <c r="F2658">
        <f>IF(B2658="","",IFERROR(RIGHT(B2658,LEN(B2658)-FIND("@",B2658)),""))</f>
        <v/>
      </c>
      <c r="G2658">
        <f>IF(D2658="KEEP",COUNTIF($D$2:D2658,"KEEP"),"")</f>
        <v/>
      </c>
      <c r="H2658">
        <f>IF(D2658="REMOVE",COUNTIF($D$2:D2658,"REMOVE"),"")</f>
        <v/>
      </c>
      <c r="I2658">
        <f>IF(E2658="Gmail",COUNTIF($E$2:E2658,"Gmail"),"")</f>
        <v/>
      </c>
      <c r="J2658">
        <f>IF(E2658="Outlook",COUNTIF($E$2:E2658,"Outlook"),"")</f>
        <v/>
      </c>
      <c r="K2658">
        <f>IF(E2658="Domain",COUNTIF($E$2:E2658,"Domain"),"")</f>
        <v/>
      </c>
    </row>
    <row r="2659">
      <c r="A2659" s="2" t="n"/>
      <c r="B2659">
        <f>LOWER(TRIM(A2659))</f>
        <v/>
      </c>
      <c r="C2659">
        <f>IF(B2659="","",IFERROR(INDEX('Bad Patterns'!$A$2:$A$120,MATCH(1,INDEX(--ISNUMBER(SEARCH('Bad Patterns'!$A$2:$A$120,B2659)),0),0)),""))</f>
        <v/>
      </c>
      <c r="D2659">
        <f>IF(B2659="","",IF(C2659&lt;&gt;"","REMOVE","KEEP"))</f>
        <v/>
      </c>
      <c r="E2659">
        <f>IF(D2659&lt;&gt;"KEEP","",IF(RIGHT(B2659,10)="@gmail.com","Gmail",IF(OR(RIGHT(B2659,12)="@outlook.com",RIGHT(B2659,12)="@hotmail.com",RIGHT(B2659,9)="@live.com"),"Outlook","Domain")))</f>
        <v/>
      </c>
      <c r="F2659">
        <f>IF(B2659="","",IFERROR(RIGHT(B2659,LEN(B2659)-FIND("@",B2659)),""))</f>
        <v/>
      </c>
      <c r="G2659">
        <f>IF(D2659="KEEP",COUNTIF($D$2:D2659,"KEEP"),"")</f>
        <v/>
      </c>
      <c r="H2659">
        <f>IF(D2659="REMOVE",COUNTIF($D$2:D2659,"REMOVE"),"")</f>
        <v/>
      </c>
      <c r="I2659">
        <f>IF(E2659="Gmail",COUNTIF($E$2:E2659,"Gmail"),"")</f>
        <v/>
      </c>
      <c r="J2659">
        <f>IF(E2659="Outlook",COUNTIF($E$2:E2659,"Outlook"),"")</f>
        <v/>
      </c>
      <c r="K2659">
        <f>IF(E2659="Domain",COUNTIF($E$2:E2659,"Domain"),"")</f>
        <v/>
      </c>
    </row>
    <row r="2660">
      <c r="A2660" s="2" t="n"/>
      <c r="B2660">
        <f>LOWER(TRIM(A2660))</f>
        <v/>
      </c>
      <c r="C2660">
        <f>IF(B2660="","",IFERROR(INDEX('Bad Patterns'!$A$2:$A$120,MATCH(1,INDEX(--ISNUMBER(SEARCH('Bad Patterns'!$A$2:$A$120,B2660)),0),0)),""))</f>
        <v/>
      </c>
      <c r="D2660">
        <f>IF(B2660="","",IF(C2660&lt;&gt;"","REMOVE","KEEP"))</f>
        <v/>
      </c>
      <c r="E2660">
        <f>IF(D2660&lt;&gt;"KEEP","",IF(RIGHT(B2660,10)="@gmail.com","Gmail",IF(OR(RIGHT(B2660,12)="@outlook.com",RIGHT(B2660,12)="@hotmail.com",RIGHT(B2660,9)="@live.com"),"Outlook","Domain")))</f>
        <v/>
      </c>
      <c r="F2660">
        <f>IF(B2660="","",IFERROR(RIGHT(B2660,LEN(B2660)-FIND("@",B2660)),""))</f>
        <v/>
      </c>
      <c r="G2660">
        <f>IF(D2660="KEEP",COUNTIF($D$2:D2660,"KEEP"),"")</f>
        <v/>
      </c>
      <c r="H2660">
        <f>IF(D2660="REMOVE",COUNTIF($D$2:D2660,"REMOVE"),"")</f>
        <v/>
      </c>
      <c r="I2660">
        <f>IF(E2660="Gmail",COUNTIF($E$2:E2660,"Gmail"),"")</f>
        <v/>
      </c>
      <c r="J2660">
        <f>IF(E2660="Outlook",COUNTIF($E$2:E2660,"Outlook"),"")</f>
        <v/>
      </c>
      <c r="K2660">
        <f>IF(E2660="Domain",COUNTIF($E$2:E2660,"Domain"),"")</f>
        <v/>
      </c>
    </row>
    <row r="2661">
      <c r="A2661" s="2" t="n"/>
      <c r="B2661">
        <f>LOWER(TRIM(A2661))</f>
        <v/>
      </c>
      <c r="C2661">
        <f>IF(B2661="","",IFERROR(INDEX('Bad Patterns'!$A$2:$A$120,MATCH(1,INDEX(--ISNUMBER(SEARCH('Bad Patterns'!$A$2:$A$120,B2661)),0),0)),""))</f>
        <v/>
      </c>
      <c r="D2661">
        <f>IF(B2661="","",IF(C2661&lt;&gt;"","REMOVE","KEEP"))</f>
        <v/>
      </c>
      <c r="E2661">
        <f>IF(D2661&lt;&gt;"KEEP","",IF(RIGHT(B2661,10)="@gmail.com","Gmail",IF(OR(RIGHT(B2661,12)="@outlook.com",RIGHT(B2661,12)="@hotmail.com",RIGHT(B2661,9)="@live.com"),"Outlook","Domain")))</f>
        <v/>
      </c>
      <c r="F2661">
        <f>IF(B2661="","",IFERROR(RIGHT(B2661,LEN(B2661)-FIND("@",B2661)),""))</f>
        <v/>
      </c>
      <c r="G2661">
        <f>IF(D2661="KEEP",COUNTIF($D$2:D2661,"KEEP"),"")</f>
        <v/>
      </c>
      <c r="H2661">
        <f>IF(D2661="REMOVE",COUNTIF($D$2:D2661,"REMOVE"),"")</f>
        <v/>
      </c>
      <c r="I2661">
        <f>IF(E2661="Gmail",COUNTIF($E$2:E2661,"Gmail"),"")</f>
        <v/>
      </c>
      <c r="J2661">
        <f>IF(E2661="Outlook",COUNTIF($E$2:E2661,"Outlook"),"")</f>
        <v/>
      </c>
      <c r="K2661">
        <f>IF(E2661="Domain",COUNTIF($E$2:E2661,"Domain"),"")</f>
        <v/>
      </c>
    </row>
    <row r="2662">
      <c r="A2662" s="2" t="n"/>
      <c r="B2662">
        <f>LOWER(TRIM(A2662))</f>
        <v/>
      </c>
      <c r="C2662">
        <f>IF(B2662="","",IFERROR(INDEX('Bad Patterns'!$A$2:$A$120,MATCH(1,INDEX(--ISNUMBER(SEARCH('Bad Patterns'!$A$2:$A$120,B2662)),0),0)),""))</f>
        <v/>
      </c>
      <c r="D2662">
        <f>IF(B2662="","",IF(C2662&lt;&gt;"","REMOVE","KEEP"))</f>
        <v/>
      </c>
      <c r="E2662">
        <f>IF(D2662&lt;&gt;"KEEP","",IF(RIGHT(B2662,10)="@gmail.com","Gmail",IF(OR(RIGHT(B2662,12)="@outlook.com",RIGHT(B2662,12)="@hotmail.com",RIGHT(B2662,9)="@live.com"),"Outlook","Domain")))</f>
        <v/>
      </c>
      <c r="F2662">
        <f>IF(B2662="","",IFERROR(RIGHT(B2662,LEN(B2662)-FIND("@",B2662)),""))</f>
        <v/>
      </c>
      <c r="G2662">
        <f>IF(D2662="KEEP",COUNTIF($D$2:D2662,"KEEP"),"")</f>
        <v/>
      </c>
      <c r="H2662">
        <f>IF(D2662="REMOVE",COUNTIF($D$2:D2662,"REMOVE"),"")</f>
        <v/>
      </c>
      <c r="I2662">
        <f>IF(E2662="Gmail",COUNTIF($E$2:E2662,"Gmail"),"")</f>
        <v/>
      </c>
      <c r="J2662">
        <f>IF(E2662="Outlook",COUNTIF($E$2:E2662,"Outlook"),"")</f>
        <v/>
      </c>
      <c r="K2662">
        <f>IF(E2662="Domain",COUNTIF($E$2:E2662,"Domain"),"")</f>
        <v/>
      </c>
    </row>
    <row r="2663">
      <c r="A2663" s="2" t="n"/>
      <c r="B2663">
        <f>LOWER(TRIM(A2663))</f>
        <v/>
      </c>
      <c r="C2663">
        <f>IF(B2663="","",IFERROR(INDEX('Bad Patterns'!$A$2:$A$120,MATCH(1,INDEX(--ISNUMBER(SEARCH('Bad Patterns'!$A$2:$A$120,B2663)),0),0)),""))</f>
        <v/>
      </c>
      <c r="D2663">
        <f>IF(B2663="","",IF(C2663&lt;&gt;"","REMOVE","KEEP"))</f>
        <v/>
      </c>
      <c r="E2663">
        <f>IF(D2663&lt;&gt;"KEEP","",IF(RIGHT(B2663,10)="@gmail.com","Gmail",IF(OR(RIGHT(B2663,12)="@outlook.com",RIGHT(B2663,12)="@hotmail.com",RIGHT(B2663,9)="@live.com"),"Outlook","Domain")))</f>
        <v/>
      </c>
      <c r="F2663">
        <f>IF(B2663="","",IFERROR(RIGHT(B2663,LEN(B2663)-FIND("@",B2663)),""))</f>
        <v/>
      </c>
      <c r="G2663">
        <f>IF(D2663="KEEP",COUNTIF($D$2:D2663,"KEEP"),"")</f>
        <v/>
      </c>
      <c r="H2663">
        <f>IF(D2663="REMOVE",COUNTIF($D$2:D2663,"REMOVE"),"")</f>
        <v/>
      </c>
      <c r="I2663">
        <f>IF(E2663="Gmail",COUNTIF($E$2:E2663,"Gmail"),"")</f>
        <v/>
      </c>
      <c r="J2663">
        <f>IF(E2663="Outlook",COUNTIF($E$2:E2663,"Outlook"),"")</f>
        <v/>
      </c>
      <c r="K2663">
        <f>IF(E2663="Domain",COUNTIF($E$2:E2663,"Domain"),"")</f>
        <v/>
      </c>
    </row>
    <row r="2664">
      <c r="A2664" s="2" t="n"/>
      <c r="B2664">
        <f>LOWER(TRIM(A2664))</f>
        <v/>
      </c>
      <c r="C2664">
        <f>IF(B2664="","",IFERROR(INDEX('Bad Patterns'!$A$2:$A$120,MATCH(1,INDEX(--ISNUMBER(SEARCH('Bad Patterns'!$A$2:$A$120,B2664)),0),0)),""))</f>
        <v/>
      </c>
      <c r="D2664">
        <f>IF(B2664="","",IF(C2664&lt;&gt;"","REMOVE","KEEP"))</f>
        <v/>
      </c>
      <c r="E2664">
        <f>IF(D2664&lt;&gt;"KEEP","",IF(RIGHT(B2664,10)="@gmail.com","Gmail",IF(OR(RIGHT(B2664,12)="@outlook.com",RIGHT(B2664,12)="@hotmail.com",RIGHT(B2664,9)="@live.com"),"Outlook","Domain")))</f>
        <v/>
      </c>
      <c r="F2664">
        <f>IF(B2664="","",IFERROR(RIGHT(B2664,LEN(B2664)-FIND("@",B2664)),""))</f>
        <v/>
      </c>
      <c r="G2664">
        <f>IF(D2664="KEEP",COUNTIF($D$2:D2664,"KEEP"),"")</f>
        <v/>
      </c>
      <c r="H2664">
        <f>IF(D2664="REMOVE",COUNTIF($D$2:D2664,"REMOVE"),"")</f>
        <v/>
      </c>
      <c r="I2664">
        <f>IF(E2664="Gmail",COUNTIF($E$2:E2664,"Gmail"),"")</f>
        <v/>
      </c>
      <c r="J2664">
        <f>IF(E2664="Outlook",COUNTIF($E$2:E2664,"Outlook"),"")</f>
        <v/>
      </c>
      <c r="K2664">
        <f>IF(E2664="Domain",COUNTIF($E$2:E2664,"Domain"),"")</f>
        <v/>
      </c>
    </row>
    <row r="2665">
      <c r="A2665" s="2" t="n"/>
      <c r="B2665">
        <f>LOWER(TRIM(A2665))</f>
        <v/>
      </c>
      <c r="C2665">
        <f>IF(B2665="","",IFERROR(INDEX('Bad Patterns'!$A$2:$A$120,MATCH(1,INDEX(--ISNUMBER(SEARCH('Bad Patterns'!$A$2:$A$120,B2665)),0),0)),""))</f>
        <v/>
      </c>
      <c r="D2665">
        <f>IF(B2665="","",IF(C2665&lt;&gt;"","REMOVE","KEEP"))</f>
        <v/>
      </c>
      <c r="E2665">
        <f>IF(D2665&lt;&gt;"KEEP","",IF(RIGHT(B2665,10)="@gmail.com","Gmail",IF(OR(RIGHT(B2665,12)="@outlook.com",RIGHT(B2665,12)="@hotmail.com",RIGHT(B2665,9)="@live.com"),"Outlook","Domain")))</f>
        <v/>
      </c>
      <c r="F2665">
        <f>IF(B2665="","",IFERROR(RIGHT(B2665,LEN(B2665)-FIND("@",B2665)),""))</f>
        <v/>
      </c>
      <c r="G2665">
        <f>IF(D2665="KEEP",COUNTIF($D$2:D2665,"KEEP"),"")</f>
        <v/>
      </c>
      <c r="H2665">
        <f>IF(D2665="REMOVE",COUNTIF($D$2:D2665,"REMOVE"),"")</f>
        <v/>
      </c>
      <c r="I2665">
        <f>IF(E2665="Gmail",COUNTIF($E$2:E2665,"Gmail"),"")</f>
        <v/>
      </c>
      <c r="J2665">
        <f>IF(E2665="Outlook",COUNTIF($E$2:E2665,"Outlook"),"")</f>
        <v/>
      </c>
      <c r="K2665">
        <f>IF(E2665="Domain",COUNTIF($E$2:E2665,"Domain"),"")</f>
        <v/>
      </c>
    </row>
    <row r="2666">
      <c r="A2666" s="2" t="n"/>
      <c r="B2666">
        <f>LOWER(TRIM(A2666))</f>
        <v/>
      </c>
      <c r="C2666">
        <f>IF(B2666="","",IFERROR(INDEX('Bad Patterns'!$A$2:$A$120,MATCH(1,INDEX(--ISNUMBER(SEARCH('Bad Patterns'!$A$2:$A$120,B2666)),0),0)),""))</f>
        <v/>
      </c>
      <c r="D2666">
        <f>IF(B2666="","",IF(C2666&lt;&gt;"","REMOVE","KEEP"))</f>
        <v/>
      </c>
      <c r="E2666">
        <f>IF(D2666&lt;&gt;"KEEP","",IF(RIGHT(B2666,10)="@gmail.com","Gmail",IF(OR(RIGHT(B2666,12)="@outlook.com",RIGHT(B2666,12)="@hotmail.com",RIGHT(B2666,9)="@live.com"),"Outlook","Domain")))</f>
        <v/>
      </c>
      <c r="F2666">
        <f>IF(B2666="","",IFERROR(RIGHT(B2666,LEN(B2666)-FIND("@",B2666)),""))</f>
        <v/>
      </c>
      <c r="G2666">
        <f>IF(D2666="KEEP",COUNTIF($D$2:D2666,"KEEP"),"")</f>
        <v/>
      </c>
      <c r="H2666">
        <f>IF(D2666="REMOVE",COUNTIF($D$2:D2666,"REMOVE"),"")</f>
        <v/>
      </c>
      <c r="I2666">
        <f>IF(E2666="Gmail",COUNTIF($E$2:E2666,"Gmail"),"")</f>
        <v/>
      </c>
      <c r="J2666">
        <f>IF(E2666="Outlook",COUNTIF($E$2:E2666,"Outlook"),"")</f>
        <v/>
      </c>
      <c r="K2666">
        <f>IF(E2666="Domain",COUNTIF($E$2:E2666,"Domain"),"")</f>
        <v/>
      </c>
    </row>
    <row r="2667">
      <c r="A2667" s="2" t="n"/>
      <c r="B2667">
        <f>LOWER(TRIM(A2667))</f>
        <v/>
      </c>
      <c r="C2667">
        <f>IF(B2667="","",IFERROR(INDEX('Bad Patterns'!$A$2:$A$120,MATCH(1,INDEX(--ISNUMBER(SEARCH('Bad Patterns'!$A$2:$A$120,B2667)),0),0)),""))</f>
        <v/>
      </c>
      <c r="D2667">
        <f>IF(B2667="","",IF(C2667&lt;&gt;"","REMOVE","KEEP"))</f>
        <v/>
      </c>
      <c r="E2667">
        <f>IF(D2667&lt;&gt;"KEEP","",IF(RIGHT(B2667,10)="@gmail.com","Gmail",IF(OR(RIGHT(B2667,12)="@outlook.com",RIGHT(B2667,12)="@hotmail.com",RIGHT(B2667,9)="@live.com"),"Outlook","Domain")))</f>
        <v/>
      </c>
      <c r="F2667">
        <f>IF(B2667="","",IFERROR(RIGHT(B2667,LEN(B2667)-FIND("@",B2667)),""))</f>
        <v/>
      </c>
      <c r="G2667">
        <f>IF(D2667="KEEP",COUNTIF($D$2:D2667,"KEEP"),"")</f>
        <v/>
      </c>
      <c r="H2667">
        <f>IF(D2667="REMOVE",COUNTIF($D$2:D2667,"REMOVE"),"")</f>
        <v/>
      </c>
      <c r="I2667">
        <f>IF(E2667="Gmail",COUNTIF($E$2:E2667,"Gmail"),"")</f>
        <v/>
      </c>
      <c r="J2667">
        <f>IF(E2667="Outlook",COUNTIF($E$2:E2667,"Outlook"),"")</f>
        <v/>
      </c>
      <c r="K2667">
        <f>IF(E2667="Domain",COUNTIF($E$2:E2667,"Domain"),"")</f>
        <v/>
      </c>
    </row>
    <row r="2668">
      <c r="A2668" s="2" t="n"/>
      <c r="B2668">
        <f>LOWER(TRIM(A2668))</f>
        <v/>
      </c>
      <c r="C2668">
        <f>IF(B2668="","",IFERROR(INDEX('Bad Patterns'!$A$2:$A$120,MATCH(1,INDEX(--ISNUMBER(SEARCH('Bad Patterns'!$A$2:$A$120,B2668)),0),0)),""))</f>
        <v/>
      </c>
      <c r="D2668">
        <f>IF(B2668="","",IF(C2668&lt;&gt;"","REMOVE","KEEP"))</f>
        <v/>
      </c>
      <c r="E2668">
        <f>IF(D2668&lt;&gt;"KEEP","",IF(RIGHT(B2668,10)="@gmail.com","Gmail",IF(OR(RIGHT(B2668,12)="@outlook.com",RIGHT(B2668,12)="@hotmail.com",RIGHT(B2668,9)="@live.com"),"Outlook","Domain")))</f>
        <v/>
      </c>
      <c r="F2668">
        <f>IF(B2668="","",IFERROR(RIGHT(B2668,LEN(B2668)-FIND("@",B2668)),""))</f>
        <v/>
      </c>
      <c r="G2668">
        <f>IF(D2668="KEEP",COUNTIF($D$2:D2668,"KEEP"),"")</f>
        <v/>
      </c>
      <c r="H2668">
        <f>IF(D2668="REMOVE",COUNTIF($D$2:D2668,"REMOVE"),"")</f>
        <v/>
      </c>
      <c r="I2668">
        <f>IF(E2668="Gmail",COUNTIF($E$2:E2668,"Gmail"),"")</f>
        <v/>
      </c>
      <c r="J2668">
        <f>IF(E2668="Outlook",COUNTIF($E$2:E2668,"Outlook"),"")</f>
        <v/>
      </c>
      <c r="K2668">
        <f>IF(E2668="Domain",COUNTIF($E$2:E2668,"Domain"),"")</f>
        <v/>
      </c>
    </row>
    <row r="2669">
      <c r="A2669" s="2" t="n"/>
      <c r="B2669">
        <f>LOWER(TRIM(A2669))</f>
        <v/>
      </c>
      <c r="C2669">
        <f>IF(B2669="","",IFERROR(INDEX('Bad Patterns'!$A$2:$A$120,MATCH(1,INDEX(--ISNUMBER(SEARCH('Bad Patterns'!$A$2:$A$120,B2669)),0),0)),""))</f>
        <v/>
      </c>
      <c r="D2669">
        <f>IF(B2669="","",IF(C2669&lt;&gt;"","REMOVE","KEEP"))</f>
        <v/>
      </c>
      <c r="E2669">
        <f>IF(D2669&lt;&gt;"KEEP","",IF(RIGHT(B2669,10)="@gmail.com","Gmail",IF(OR(RIGHT(B2669,12)="@outlook.com",RIGHT(B2669,12)="@hotmail.com",RIGHT(B2669,9)="@live.com"),"Outlook","Domain")))</f>
        <v/>
      </c>
      <c r="F2669">
        <f>IF(B2669="","",IFERROR(RIGHT(B2669,LEN(B2669)-FIND("@",B2669)),""))</f>
        <v/>
      </c>
      <c r="G2669">
        <f>IF(D2669="KEEP",COUNTIF($D$2:D2669,"KEEP"),"")</f>
        <v/>
      </c>
      <c r="H2669">
        <f>IF(D2669="REMOVE",COUNTIF($D$2:D2669,"REMOVE"),"")</f>
        <v/>
      </c>
      <c r="I2669">
        <f>IF(E2669="Gmail",COUNTIF($E$2:E2669,"Gmail"),"")</f>
        <v/>
      </c>
      <c r="J2669">
        <f>IF(E2669="Outlook",COUNTIF($E$2:E2669,"Outlook"),"")</f>
        <v/>
      </c>
      <c r="K2669">
        <f>IF(E2669="Domain",COUNTIF($E$2:E2669,"Domain"),"")</f>
        <v/>
      </c>
    </row>
    <row r="2670">
      <c r="A2670" s="2" t="n"/>
      <c r="B2670">
        <f>LOWER(TRIM(A2670))</f>
        <v/>
      </c>
      <c r="C2670">
        <f>IF(B2670="","",IFERROR(INDEX('Bad Patterns'!$A$2:$A$120,MATCH(1,INDEX(--ISNUMBER(SEARCH('Bad Patterns'!$A$2:$A$120,B2670)),0),0)),""))</f>
        <v/>
      </c>
      <c r="D2670">
        <f>IF(B2670="","",IF(C2670&lt;&gt;"","REMOVE","KEEP"))</f>
        <v/>
      </c>
      <c r="E2670">
        <f>IF(D2670&lt;&gt;"KEEP","",IF(RIGHT(B2670,10)="@gmail.com","Gmail",IF(OR(RIGHT(B2670,12)="@outlook.com",RIGHT(B2670,12)="@hotmail.com",RIGHT(B2670,9)="@live.com"),"Outlook","Domain")))</f>
        <v/>
      </c>
      <c r="F2670">
        <f>IF(B2670="","",IFERROR(RIGHT(B2670,LEN(B2670)-FIND("@",B2670)),""))</f>
        <v/>
      </c>
      <c r="G2670">
        <f>IF(D2670="KEEP",COUNTIF($D$2:D2670,"KEEP"),"")</f>
        <v/>
      </c>
      <c r="H2670">
        <f>IF(D2670="REMOVE",COUNTIF($D$2:D2670,"REMOVE"),"")</f>
        <v/>
      </c>
      <c r="I2670">
        <f>IF(E2670="Gmail",COUNTIF($E$2:E2670,"Gmail"),"")</f>
        <v/>
      </c>
      <c r="J2670">
        <f>IF(E2670="Outlook",COUNTIF($E$2:E2670,"Outlook"),"")</f>
        <v/>
      </c>
      <c r="K2670">
        <f>IF(E2670="Domain",COUNTIF($E$2:E2670,"Domain"),"")</f>
        <v/>
      </c>
    </row>
    <row r="2671">
      <c r="A2671" s="2" t="n"/>
      <c r="B2671">
        <f>LOWER(TRIM(A2671))</f>
        <v/>
      </c>
      <c r="C2671">
        <f>IF(B2671="","",IFERROR(INDEX('Bad Patterns'!$A$2:$A$120,MATCH(1,INDEX(--ISNUMBER(SEARCH('Bad Patterns'!$A$2:$A$120,B2671)),0),0)),""))</f>
        <v/>
      </c>
      <c r="D2671">
        <f>IF(B2671="","",IF(C2671&lt;&gt;"","REMOVE","KEEP"))</f>
        <v/>
      </c>
      <c r="E2671">
        <f>IF(D2671&lt;&gt;"KEEP","",IF(RIGHT(B2671,10)="@gmail.com","Gmail",IF(OR(RIGHT(B2671,12)="@outlook.com",RIGHT(B2671,12)="@hotmail.com",RIGHT(B2671,9)="@live.com"),"Outlook","Domain")))</f>
        <v/>
      </c>
      <c r="F2671">
        <f>IF(B2671="","",IFERROR(RIGHT(B2671,LEN(B2671)-FIND("@",B2671)),""))</f>
        <v/>
      </c>
      <c r="G2671">
        <f>IF(D2671="KEEP",COUNTIF($D$2:D2671,"KEEP"),"")</f>
        <v/>
      </c>
      <c r="H2671">
        <f>IF(D2671="REMOVE",COUNTIF($D$2:D2671,"REMOVE"),"")</f>
        <v/>
      </c>
      <c r="I2671">
        <f>IF(E2671="Gmail",COUNTIF($E$2:E2671,"Gmail"),"")</f>
        <v/>
      </c>
      <c r="J2671">
        <f>IF(E2671="Outlook",COUNTIF($E$2:E2671,"Outlook"),"")</f>
        <v/>
      </c>
      <c r="K2671">
        <f>IF(E2671="Domain",COUNTIF($E$2:E2671,"Domain"),"")</f>
        <v/>
      </c>
    </row>
    <row r="2672">
      <c r="A2672" s="2" t="n"/>
      <c r="B2672">
        <f>LOWER(TRIM(A2672))</f>
        <v/>
      </c>
      <c r="C2672">
        <f>IF(B2672="","",IFERROR(INDEX('Bad Patterns'!$A$2:$A$120,MATCH(1,INDEX(--ISNUMBER(SEARCH('Bad Patterns'!$A$2:$A$120,B2672)),0),0)),""))</f>
        <v/>
      </c>
      <c r="D2672">
        <f>IF(B2672="","",IF(C2672&lt;&gt;"","REMOVE","KEEP"))</f>
        <v/>
      </c>
      <c r="E2672">
        <f>IF(D2672&lt;&gt;"KEEP","",IF(RIGHT(B2672,10)="@gmail.com","Gmail",IF(OR(RIGHT(B2672,12)="@outlook.com",RIGHT(B2672,12)="@hotmail.com",RIGHT(B2672,9)="@live.com"),"Outlook","Domain")))</f>
        <v/>
      </c>
      <c r="F2672">
        <f>IF(B2672="","",IFERROR(RIGHT(B2672,LEN(B2672)-FIND("@",B2672)),""))</f>
        <v/>
      </c>
      <c r="G2672">
        <f>IF(D2672="KEEP",COUNTIF($D$2:D2672,"KEEP"),"")</f>
        <v/>
      </c>
      <c r="H2672">
        <f>IF(D2672="REMOVE",COUNTIF($D$2:D2672,"REMOVE"),"")</f>
        <v/>
      </c>
      <c r="I2672">
        <f>IF(E2672="Gmail",COUNTIF($E$2:E2672,"Gmail"),"")</f>
        <v/>
      </c>
      <c r="J2672">
        <f>IF(E2672="Outlook",COUNTIF($E$2:E2672,"Outlook"),"")</f>
        <v/>
      </c>
      <c r="K2672">
        <f>IF(E2672="Domain",COUNTIF($E$2:E2672,"Domain"),"")</f>
        <v/>
      </c>
    </row>
    <row r="2673">
      <c r="A2673" s="2" t="n"/>
      <c r="B2673">
        <f>LOWER(TRIM(A2673))</f>
        <v/>
      </c>
      <c r="C2673">
        <f>IF(B2673="","",IFERROR(INDEX('Bad Patterns'!$A$2:$A$120,MATCH(1,INDEX(--ISNUMBER(SEARCH('Bad Patterns'!$A$2:$A$120,B2673)),0),0)),""))</f>
        <v/>
      </c>
      <c r="D2673">
        <f>IF(B2673="","",IF(C2673&lt;&gt;"","REMOVE","KEEP"))</f>
        <v/>
      </c>
      <c r="E2673">
        <f>IF(D2673&lt;&gt;"KEEP","",IF(RIGHT(B2673,10)="@gmail.com","Gmail",IF(OR(RIGHT(B2673,12)="@outlook.com",RIGHT(B2673,12)="@hotmail.com",RIGHT(B2673,9)="@live.com"),"Outlook","Domain")))</f>
        <v/>
      </c>
      <c r="F2673">
        <f>IF(B2673="","",IFERROR(RIGHT(B2673,LEN(B2673)-FIND("@",B2673)),""))</f>
        <v/>
      </c>
      <c r="G2673">
        <f>IF(D2673="KEEP",COUNTIF($D$2:D2673,"KEEP"),"")</f>
        <v/>
      </c>
      <c r="H2673">
        <f>IF(D2673="REMOVE",COUNTIF($D$2:D2673,"REMOVE"),"")</f>
        <v/>
      </c>
      <c r="I2673">
        <f>IF(E2673="Gmail",COUNTIF($E$2:E2673,"Gmail"),"")</f>
        <v/>
      </c>
      <c r="J2673">
        <f>IF(E2673="Outlook",COUNTIF($E$2:E2673,"Outlook"),"")</f>
        <v/>
      </c>
      <c r="K2673">
        <f>IF(E2673="Domain",COUNTIF($E$2:E2673,"Domain"),"")</f>
        <v/>
      </c>
    </row>
    <row r="2674">
      <c r="A2674" s="2" t="n"/>
      <c r="B2674">
        <f>LOWER(TRIM(A2674))</f>
        <v/>
      </c>
      <c r="C2674">
        <f>IF(B2674="","",IFERROR(INDEX('Bad Patterns'!$A$2:$A$120,MATCH(1,INDEX(--ISNUMBER(SEARCH('Bad Patterns'!$A$2:$A$120,B2674)),0),0)),""))</f>
        <v/>
      </c>
      <c r="D2674">
        <f>IF(B2674="","",IF(C2674&lt;&gt;"","REMOVE","KEEP"))</f>
        <v/>
      </c>
      <c r="E2674">
        <f>IF(D2674&lt;&gt;"KEEP","",IF(RIGHT(B2674,10)="@gmail.com","Gmail",IF(OR(RIGHT(B2674,12)="@outlook.com",RIGHT(B2674,12)="@hotmail.com",RIGHT(B2674,9)="@live.com"),"Outlook","Domain")))</f>
        <v/>
      </c>
      <c r="F2674">
        <f>IF(B2674="","",IFERROR(RIGHT(B2674,LEN(B2674)-FIND("@",B2674)),""))</f>
        <v/>
      </c>
      <c r="G2674">
        <f>IF(D2674="KEEP",COUNTIF($D$2:D2674,"KEEP"),"")</f>
        <v/>
      </c>
      <c r="H2674">
        <f>IF(D2674="REMOVE",COUNTIF($D$2:D2674,"REMOVE"),"")</f>
        <v/>
      </c>
      <c r="I2674">
        <f>IF(E2674="Gmail",COUNTIF($E$2:E2674,"Gmail"),"")</f>
        <v/>
      </c>
      <c r="J2674">
        <f>IF(E2674="Outlook",COUNTIF($E$2:E2674,"Outlook"),"")</f>
        <v/>
      </c>
      <c r="K2674">
        <f>IF(E2674="Domain",COUNTIF($E$2:E2674,"Domain"),"")</f>
        <v/>
      </c>
    </row>
    <row r="2675">
      <c r="A2675" s="2" t="n"/>
      <c r="B2675">
        <f>LOWER(TRIM(A2675))</f>
        <v/>
      </c>
      <c r="C2675">
        <f>IF(B2675="","",IFERROR(INDEX('Bad Patterns'!$A$2:$A$120,MATCH(1,INDEX(--ISNUMBER(SEARCH('Bad Patterns'!$A$2:$A$120,B2675)),0),0)),""))</f>
        <v/>
      </c>
      <c r="D2675">
        <f>IF(B2675="","",IF(C2675&lt;&gt;"","REMOVE","KEEP"))</f>
        <v/>
      </c>
      <c r="E2675">
        <f>IF(D2675&lt;&gt;"KEEP","",IF(RIGHT(B2675,10)="@gmail.com","Gmail",IF(OR(RIGHT(B2675,12)="@outlook.com",RIGHT(B2675,12)="@hotmail.com",RIGHT(B2675,9)="@live.com"),"Outlook","Domain")))</f>
        <v/>
      </c>
      <c r="F2675">
        <f>IF(B2675="","",IFERROR(RIGHT(B2675,LEN(B2675)-FIND("@",B2675)),""))</f>
        <v/>
      </c>
      <c r="G2675">
        <f>IF(D2675="KEEP",COUNTIF($D$2:D2675,"KEEP"),"")</f>
        <v/>
      </c>
      <c r="H2675">
        <f>IF(D2675="REMOVE",COUNTIF($D$2:D2675,"REMOVE"),"")</f>
        <v/>
      </c>
      <c r="I2675">
        <f>IF(E2675="Gmail",COUNTIF($E$2:E2675,"Gmail"),"")</f>
        <v/>
      </c>
      <c r="J2675">
        <f>IF(E2675="Outlook",COUNTIF($E$2:E2675,"Outlook"),"")</f>
        <v/>
      </c>
      <c r="K2675">
        <f>IF(E2675="Domain",COUNTIF($E$2:E2675,"Domain"),"")</f>
        <v/>
      </c>
    </row>
    <row r="2676">
      <c r="A2676" s="2" t="n"/>
      <c r="B2676">
        <f>LOWER(TRIM(A2676))</f>
        <v/>
      </c>
      <c r="C2676">
        <f>IF(B2676="","",IFERROR(INDEX('Bad Patterns'!$A$2:$A$120,MATCH(1,INDEX(--ISNUMBER(SEARCH('Bad Patterns'!$A$2:$A$120,B2676)),0),0)),""))</f>
        <v/>
      </c>
      <c r="D2676">
        <f>IF(B2676="","",IF(C2676&lt;&gt;"","REMOVE","KEEP"))</f>
        <v/>
      </c>
      <c r="E2676">
        <f>IF(D2676&lt;&gt;"KEEP","",IF(RIGHT(B2676,10)="@gmail.com","Gmail",IF(OR(RIGHT(B2676,12)="@outlook.com",RIGHT(B2676,12)="@hotmail.com",RIGHT(B2676,9)="@live.com"),"Outlook","Domain")))</f>
        <v/>
      </c>
      <c r="F2676">
        <f>IF(B2676="","",IFERROR(RIGHT(B2676,LEN(B2676)-FIND("@",B2676)),""))</f>
        <v/>
      </c>
      <c r="G2676">
        <f>IF(D2676="KEEP",COUNTIF($D$2:D2676,"KEEP"),"")</f>
        <v/>
      </c>
      <c r="H2676">
        <f>IF(D2676="REMOVE",COUNTIF($D$2:D2676,"REMOVE"),"")</f>
        <v/>
      </c>
      <c r="I2676">
        <f>IF(E2676="Gmail",COUNTIF($E$2:E2676,"Gmail"),"")</f>
        <v/>
      </c>
      <c r="J2676">
        <f>IF(E2676="Outlook",COUNTIF($E$2:E2676,"Outlook"),"")</f>
        <v/>
      </c>
      <c r="K2676">
        <f>IF(E2676="Domain",COUNTIF($E$2:E2676,"Domain"),"")</f>
        <v/>
      </c>
    </row>
    <row r="2677">
      <c r="A2677" s="2" t="n"/>
      <c r="B2677">
        <f>LOWER(TRIM(A2677))</f>
        <v/>
      </c>
      <c r="C2677">
        <f>IF(B2677="","",IFERROR(INDEX('Bad Patterns'!$A$2:$A$120,MATCH(1,INDEX(--ISNUMBER(SEARCH('Bad Patterns'!$A$2:$A$120,B2677)),0),0)),""))</f>
        <v/>
      </c>
      <c r="D2677">
        <f>IF(B2677="","",IF(C2677&lt;&gt;"","REMOVE","KEEP"))</f>
        <v/>
      </c>
      <c r="E2677">
        <f>IF(D2677&lt;&gt;"KEEP","",IF(RIGHT(B2677,10)="@gmail.com","Gmail",IF(OR(RIGHT(B2677,12)="@outlook.com",RIGHT(B2677,12)="@hotmail.com",RIGHT(B2677,9)="@live.com"),"Outlook","Domain")))</f>
        <v/>
      </c>
      <c r="F2677">
        <f>IF(B2677="","",IFERROR(RIGHT(B2677,LEN(B2677)-FIND("@",B2677)),""))</f>
        <v/>
      </c>
      <c r="G2677">
        <f>IF(D2677="KEEP",COUNTIF($D$2:D2677,"KEEP"),"")</f>
        <v/>
      </c>
      <c r="H2677">
        <f>IF(D2677="REMOVE",COUNTIF($D$2:D2677,"REMOVE"),"")</f>
        <v/>
      </c>
      <c r="I2677">
        <f>IF(E2677="Gmail",COUNTIF($E$2:E2677,"Gmail"),"")</f>
        <v/>
      </c>
      <c r="J2677">
        <f>IF(E2677="Outlook",COUNTIF($E$2:E2677,"Outlook"),"")</f>
        <v/>
      </c>
      <c r="K2677">
        <f>IF(E2677="Domain",COUNTIF($E$2:E2677,"Domain"),"")</f>
        <v/>
      </c>
    </row>
    <row r="2678">
      <c r="A2678" s="2" t="n"/>
      <c r="B2678">
        <f>LOWER(TRIM(A2678))</f>
        <v/>
      </c>
      <c r="C2678">
        <f>IF(B2678="","",IFERROR(INDEX('Bad Patterns'!$A$2:$A$120,MATCH(1,INDEX(--ISNUMBER(SEARCH('Bad Patterns'!$A$2:$A$120,B2678)),0),0)),""))</f>
        <v/>
      </c>
      <c r="D2678">
        <f>IF(B2678="","",IF(C2678&lt;&gt;"","REMOVE","KEEP"))</f>
        <v/>
      </c>
      <c r="E2678">
        <f>IF(D2678&lt;&gt;"KEEP","",IF(RIGHT(B2678,10)="@gmail.com","Gmail",IF(OR(RIGHT(B2678,12)="@outlook.com",RIGHT(B2678,12)="@hotmail.com",RIGHT(B2678,9)="@live.com"),"Outlook","Domain")))</f>
        <v/>
      </c>
      <c r="F2678">
        <f>IF(B2678="","",IFERROR(RIGHT(B2678,LEN(B2678)-FIND("@",B2678)),""))</f>
        <v/>
      </c>
      <c r="G2678">
        <f>IF(D2678="KEEP",COUNTIF($D$2:D2678,"KEEP"),"")</f>
        <v/>
      </c>
      <c r="H2678">
        <f>IF(D2678="REMOVE",COUNTIF($D$2:D2678,"REMOVE"),"")</f>
        <v/>
      </c>
      <c r="I2678">
        <f>IF(E2678="Gmail",COUNTIF($E$2:E2678,"Gmail"),"")</f>
        <v/>
      </c>
      <c r="J2678">
        <f>IF(E2678="Outlook",COUNTIF($E$2:E2678,"Outlook"),"")</f>
        <v/>
      </c>
      <c r="K2678">
        <f>IF(E2678="Domain",COUNTIF($E$2:E2678,"Domain"),"")</f>
        <v/>
      </c>
    </row>
    <row r="2679">
      <c r="A2679" s="2" t="n"/>
      <c r="B2679">
        <f>LOWER(TRIM(A2679))</f>
        <v/>
      </c>
      <c r="C2679">
        <f>IF(B2679="","",IFERROR(INDEX('Bad Patterns'!$A$2:$A$120,MATCH(1,INDEX(--ISNUMBER(SEARCH('Bad Patterns'!$A$2:$A$120,B2679)),0),0)),""))</f>
        <v/>
      </c>
      <c r="D2679">
        <f>IF(B2679="","",IF(C2679&lt;&gt;"","REMOVE","KEEP"))</f>
        <v/>
      </c>
      <c r="E2679">
        <f>IF(D2679&lt;&gt;"KEEP","",IF(RIGHT(B2679,10)="@gmail.com","Gmail",IF(OR(RIGHT(B2679,12)="@outlook.com",RIGHT(B2679,12)="@hotmail.com",RIGHT(B2679,9)="@live.com"),"Outlook","Domain")))</f>
        <v/>
      </c>
      <c r="F2679">
        <f>IF(B2679="","",IFERROR(RIGHT(B2679,LEN(B2679)-FIND("@",B2679)),""))</f>
        <v/>
      </c>
      <c r="G2679">
        <f>IF(D2679="KEEP",COUNTIF($D$2:D2679,"KEEP"),"")</f>
        <v/>
      </c>
      <c r="H2679">
        <f>IF(D2679="REMOVE",COUNTIF($D$2:D2679,"REMOVE"),"")</f>
        <v/>
      </c>
      <c r="I2679">
        <f>IF(E2679="Gmail",COUNTIF($E$2:E2679,"Gmail"),"")</f>
        <v/>
      </c>
      <c r="J2679">
        <f>IF(E2679="Outlook",COUNTIF($E$2:E2679,"Outlook"),"")</f>
        <v/>
      </c>
      <c r="K2679">
        <f>IF(E2679="Domain",COUNTIF($E$2:E2679,"Domain"),"")</f>
        <v/>
      </c>
    </row>
    <row r="2680">
      <c r="A2680" s="2" t="n"/>
      <c r="B2680">
        <f>LOWER(TRIM(A2680))</f>
        <v/>
      </c>
      <c r="C2680">
        <f>IF(B2680="","",IFERROR(INDEX('Bad Patterns'!$A$2:$A$120,MATCH(1,INDEX(--ISNUMBER(SEARCH('Bad Patterns'!$A$2:$A$120,B2680)),0),0)),""))</f>
        <v/>
      </c>
      <c r="D2680">
        <f>IF(B2680="","",IF(C2680&lt;&gt;"","REMOVE","KEEP"))</f>
        <v/>
      </c>
      <c r="E2680">
        <f>IF(D2680&lt;&gt;"KEEP","",IF(RIGHT(B2680,10)="@gmail.com","Gmail",IF(OR(RIGHT(B2680,12)="@outlook.com",RIGHT(B2680,12)="@hotmail.com",RIGHT(B2680,9)="@live.com"),"Outlook","Domain")))</f>
        <v/>
      </c>
      <c r="F2680">
        <f>IF(B2680="","",IFERROR(RIGHT(B2680,LEN(B2680)-FIND("@",B2680)),""))</f>
        <v/>
      </c>
      <c r="G2680">
        <f>IF(D2680="KEEP",COUNTIF($D$2:D2680,"KEEP"),"")</f>
        <v/>
      </c>
      <c r="H2680">
        <f>IF(D2680="REMOVE",COUNTIF($D$2:D2680,"REMOVE"),"")</f>
        <v/>
      </c>
      <c r="I2680">
        <f>IF(E2680="Gmail",COUNTIF($E$2:E2680,"Gmail"),"")</f>
        <v/>
      </c>
      <c r="J2680">
        <f>IF(E2680="Outlook",COUNTIF($E$2:E2680,"Outlook"),"")</f>
        <v/>
      </c>
      <c r="K2680">
        <f>IF(E2680="Domain",COUNTIF($E$2:E2680,"Domain"),"")</f>
        <v/>
      </c>
    </row>
    <row r="2681">
      <c r="A2681" s="2" t="n"/>
      <c r="B2681">
        <f>LOWER(TRIM(A2681))</f>
        <v/>
      </c>
      <c r="C2681">
        <f>IF(B2681="","",IFERROR(INDEX('Bad Patterns'!$A$2:$A$120,MATCH(1,INDEX(--ISNUMBER(SEARCH('Bad Patterns'!$A$2:$A$120,B2681)),0),0)),""))</f>
        <v/>
      </c>
      <c r="D2681">
        <f>IF(B2681="","",IF(C2681&lt;&gt;"","REMOVE","KEEP"))</f>
        <v/>
      </c>
      <c r="E2681">
        <f>IF(D2681&lt;&gt;"KEEP","",IF(RIGHT(B2681,10)="@gmail.com","Gmail",IF(OR(RIGHT(B2681,12)="@outlook.com",RIGHT(B2681,12)="@hotmail.com",RIGHT(B2681,9)="@live.com"),"Outlook","Domain")))</f>
        <v/>
      </c>
      <c r="F2681">
        <f>IF(B2681="","",IFERROR(RIGHT(B2681,LEN(B2681)-FIND("@",B2681)),""))</f>
        <v/>
      </c>
      <c r="G2681">
        <f>IF(D2681="KEEP",COUNTIF($D$2:D2681,"KEEP"),"")</f>
        <v/>
      </c>
      <c r="H2681">
        <f>IF(D2681="REMOVE",COUNTIF($D$2:D2681,"REMOVE"),"")</f>
        <v/>
      </c>
      <c r="I2681">
        <f>IF(E2681="Gmail",COUNTIF($E$2:E2681,"Gmail"),"")</f>
        <v/>
      </c>
      <c r="J2681">
        <f>IF(E2681="Outlook",COUNTIF($E$2:E2681,"Outlook"),"")</f>
        <v/>
      </c>
      <c r="K2681">
        <f>IF(E2681="Domain",COUNTIF($E$2:E2681,"Domain"),"")</f>
        <v/>
      </c>
    </row>
    <row r="2682">
      <c r="A2682" s="2" t="n"/>
      <c r="B2682">
        <f>LOWER(TRIM(A2682))</f>
        <v/>
      </c>
      <c r="C2682">
        <f>IF(B2682="","",IFERROR(INDEX('Bad Patterns'!$A$2:$A$120,MATCH(1,INDEX(--ISNUMBER(SEARCH('Bad Patterns'!$A$2:$A$120,B2682)),0),0)),""))</f>
        <v/>
      </c>
      <c r="D2682">
        <f>IF(B2682="","",IF(C2682&lt;&gt;"","REMOVE","KEEP"))</f>
        <v/>
      </c>
      <c r="E2682">
        <f>IF(D2682&lt;&gt;"KEEP","",IF(RIGHT(B2682,10)="@gmail.com","Gmail",IF(OR(RIGHT(B2682,12)="@outlook.com",RIGHT(B2682,12)="@hotmail.com",RIGHT(B2682,9)="@live.com"),"Outlook","Domain")))</f>
        <v/>
      </c>
      <c r="F2682">
        <f>IF(B2682="","",IFERROR(RIGHT(B2682,LEN(B2682)-FIND("@",B2682)),""))</f>
        <v/>
      </c>
      <c r="G2682">
        <f>IF(D2682="KEEP",COUNTIF($D$2:D2682,"KEEP"),"")</f>
        <v/>
      </c>
      <c r="H2682">
        <f>IF(D2682="REMOVE",COUNTIF($D$2:D2682,"REMOVE"),"")</f>
        <v/>
      </c>
      <c r="I2682">
        <f>IF(E2682="Gmail",COUNTIF($E$2:E2682,"Gmail"),"")</f>
        <v/>
      </c>
      <c r="J2682">
        <f>IF(E2682="Outlook",COUNTIF($E$2:E2682,"Outlook"),"")</f>
        <v/>
      </c>
      <c r="K2682">
        <f>IF(E2682="Domain",COUNTIF($E$2:E2682,"Domain"),"")</f>
        <v/>
      </c>
    </row>
    <row r="2683">
      <c r="A2683" s="2" t="n"/>
      <c r="B2683">
        <f>LOWER(TRIM(A2683))</f>
        <v/>
      </c>
      <c r="C2683">
        <f>IF(B2683="","",IFERROR(INDEX('Bad Patterns'!$A$2:$A$120,MATCH(1,INDEX(--ISNUMBER(SEARCH('Bad Patterns'!$A$2:$A$120,B2683)),0),0)),""))</f>
        <v/>
      </c>
      <c r="D2683">
        <f>IF(B2683="","",IF(C2683&lt;&gt;"","REMOVE","KEEP"))</f>
        <v/>
      </c>
      <c r="E2683">
        <f>IF(D2683&lt;&gt;"KEEP","",IF(RIGHT(B2683,10)="@gmail.com","Gmail",IF(OR(RIGHT(B2683,12)="@outlook.com",RIGHT(B2683,12)="@hotmail.com",RIGHT(B2683,9)="@live.com"),"Outlook","Domain")))</f>
        <v/>
      </c>
      <c r="F2683">
        <f>IF(B2683="","",IFERROR(RIGHT(B2683,LEN(B2683)-FIND("@",B2683)),""))</f>
        <v/>
      </c>
      <c r="G2683">
        <f>IF(D2683="KEEP",COUNTIF($D$2:D2683,"KEEP"),"")</f>
        <v/>
      </c>
      <c r="H2683">
        <f>IF(D2683="REMOVE",COUNTIF($D$2:D2683,"REMOVE"),"")</f>
        <v/>
      </c>
      <c r="I2683">
        <f>IF(E2683="Gmail",COUNTIF($E$2:E2683,"Gmail"),"")</f>
        <v/>
      </c>
      <c r="J2683">
        <f>IF(E2683="Outlook",COUNTIF($E$2:E2683,"Outlook"),"")</f>
        <v/>
      </c>
      <c r="K2683">
        <f>IF(E2683="Domain",COUNTIF($E$2:E2683,"Domain"),"")</f>
        <v/>
      </c>
    </row>
    <row r="2684">
      <c r="A2684" s="2" t="n"/>
      <c r="B2684">
        <f>LOWER(TRIM(A2684))</f>
        <v/>
      </c>
      <c r="C2684">
        <f>IF(B2684="","",IFERROR(INDEX('Bad Patterns'!$A$2:$A$120,MATCH(1,INDEX(--ISNUMBER(SEARCH('Bad Patterns'!$A$2:$A$120,B2684)),0),0)),""))</f>
        <v/>
      </c>
      <c r="D2684">
        <f>IF(B2684="","",IF(C2684&lt;&gt;"","REMOVE","KEEP"))</f>
        <v/>
      </c>
      <c r="E2684">
        <f>IF(D2684&lt;&gt;"KEEP","",IF(RIGHT(B2684,10)="@gmail.com","Gmail",IF(OR(RIGHT(B2684,12)="@outlook.com",RIGHT(B2684,12)="@hotmail.com",RIGHT(B2684,9)="@live.com"),"Outlook","Domain")))</f>
        <v/>
      </c>
      <c r="F2684">
        <f>IF(B2684="","",IFERROR(RIGHT(B2684,LEN(B2684)-FIND("@",B2684)),""))</f>
        <v/>
      </c>
      <c r="G2684">
        <f>IF(D2684="KEEP",COUNTIF($D$2:D2684,"KEEP"),"")</f>
        <v/>
      </c>
      <c r="H2684">
        <f>IF(D2684="REMOVE",COUNTIF($D$2:D2684,"REMOVE"),"")</f>
        <v/>
      </c>
      <c r="I2684">
        <f>IF(E2684="Gmail",COUNTIF($E$2:E2684,"Gmail"),"")</f>
        <v/>
      </c>
      <c r="J2684">
        <f>IF(E2684="Outlook",COUNTIF($E$2:E2684,"Outlook"),"")</f>
        <v/>
      </c>
      <c r="K2684">
        <f>IF(E2684="Domain",COUNTIF($E$2:E2684,"Domain"),"")</f>
        <v/>
      </c>
    </row>
    <row r="2685">
      <c r="A2685" s="2" t="n"/>
      <c r="B2685">
        <f>LOWER(TRIM(A2685))</f>
        <v/>
      </c>
      <c r="C2685">
        <f>IF(B2685="","",IFERROR(INDEX('Bad Patterns'!$A$2:$A$120,MATCH(1,INDEX(--ISNUMBER(SEARCH('Bad Patterns'!$A$2:$A$120,B2685)),0),0)),""))</f>
        <v/>
      </c>
      <c r="D2685">
        <f>IF(B2685="","",IF(C2685&lt;&gt;"","REMOVE","KEEP"))</f>
        <v/>
      </c>
      <c r="E2685">
        <f>IF(D2685&lt;&gt;"KEEP","",IF(RIGHT(B2685,10)="@gmail.com","Gmail",IF(OR(RIGHT(B2685,12)="@outlook.com",RIGHT(B2685,12)="@hotmail.com",RIGHT(B2685,9)="@live.com"),"Outlook","Domain")))</f>
        <v/>
      </c>
      <c r="F2685">
        <f>IF(B2685="","",IFERROR(RIGHT(B2685,LEN(B2685)-FIND("@",B2685)),""))</f>
        <v/>
      </c>
      <c r="G2685">
        <f>IF(D2685="KEEP",COUNTIF($D$2:D2685,"KEEP"),"")</f>
        <v/>
      </c>
      <c r="H2685">
        <f>IF(D2685="REMOVE",COUNTIF($D$2:D2685,"REMOVE"),"")</f>
        <v/>
      </c>
      <c r="I2685">
        <f>IF(E2685="Gmail",COUNTIF($E$2:E2685,"Gmail"),"")</f>
        <v/>
      </c>
      <c r="J2685">
        <f>IF(E2685="Outlook",COUNTIF($E$2:E2685,"Outlook"),"")</f>
        <v/>
      </c>
      <c r="K2685">
        <f>IF(E2685="Domain",COUNTIF($E$2:E2685,"Domain"),"")</f>
        <v/>
      </c>
    </row>
    <row r="2686">
      <c r="A2686" s="2" t="n"/>
      <c r="B2686">
        <f>LOWER(TRIM(A2686))</f>
        <v/>
      </c>
      <c r="C2686">
        <f>IF(B2686="","",IFERROR(INDEX('Bad Patterns'!$A$2:$A$120,MATCH(1,INDEX(--ISNUMBER(SEARCH('Bad Patterns'!$A$2:$A$120,B2686)),0),0)),""))</f>
        <v/>
      </c>
      <c r="D2686">
        <f>IF(B2686="","",IF(C2686&lt;&gt;"","REMOVE","KEEP"))</f>
        <v/>
      </c>
      <c r="E2686">
        <f>IF(D2686&lt;&gt;"KEEP","",IF(RIGHT(B2686,10)="@gmail.com","Gmail",IF(OR(RIGHT(B2686,12)="@outlook.com",RIGHT(B2686,12)="@hotmail.com",RIGHT(B2686,9)="@live.com"),"Outlook","Domain")))</f>
        <v/>
      </c>
      <c r="F2686">
        <f>IF(B2686="","",IFERROR(RIGHT(B2686,LEN(B2686)-FIND("@",B2686)),""))</f>
        <v/>
      </c>
      <c r="G2686">
        <f>IF(D2686="KEEP",COUNTIF($D$2:D2686,"KEEP"),"")</f>
        <v/>
      </c>
      <c r="H2686">
        <f>IF(D2686="REMOVE",COUNTIF($D$2:D2686,"REMOVE"),"")</f>
        <v/>
      </c>
      <c r="I2686">
        <f>IF(E2686="Gmail",COUNTIF($E$2:E2686,"Gmail"),"")</f>
        <v/>
      </c>
      <c r="J2686">
        <f>IF(E2686="Outlook",COUNTIF($E$2:E2686,"Outlook"),"")</f>
        <v/>
      </c>
      <c r="K2686">
        <f>IF(E2686="Domain",COUNTIF($E$2:E2686,"Domain"),"")</f>
        <v/>
      </c>
    </row>
    <row r="2687">
      <c r="A2687" s="2" t="n"/>
      <c r="B2687">
        <f>LOWER(TRIM(A2687))</f>
        <v/>
      </c>
      <c r="C2687">
        <f>IF(B2687="","",IFERROR(INDEX('Bad Patterns'!$A$2:$A$120,MATCH(1,INDEX(--ISNUMBER(SEARCH('Bad Patterns'!$A$2:$A$120,B2687)),0),0)),""))</f>
        <v/>
      </c>
      <c r="D2687">
        <f>IF(B2687="","",IF(C2687&lt;&gt;"","REMOVE","KEEP"))</f>
        <v/>
      </c>
      <c r="E2687">
        <f>IF(D2687&lt;&gt;"KEEP","",IF(RIGHT(B2687,10)="@gmail.com","Gmail",IF(OR(RIGHT(B2687,12)="@outlook.com",RIGHT(B2687,12)="@hotmail.com",RIGHT(B2687,9)="@live.com"),"Outlook","Domain")))</f>
        <v/>
      </c>
      <c r="F2687">
        <f>IF(B2687="","",IFERROR(RIGHT(B2687,LEN(B2687)-FIND("@",B2687)),""))</f>
        <v/>
      </c>
      <c r="G2687">
        <f>IF(D2687="KEEP",COUNTIF($D$2:D2687,"KEEP"),"")</f>
        <v/>
      </c>
      <c r="H2687">
        <f>IF(D2687="REMOVE",COUNTIF($D$2:D2687,"REMOVE"),"")</f>
        <v/>
      </c>
      <c r="I2687">
        <f>IF(E2687="Gmail",COUNTIF($E$2:E2687,"Gmail"),"")</f>
        <v/>
      </c>
      <c r="J2687">
        <f>IF(E2687="Outlook",COUNTIF($E$2:E2687,"Outlook"),"")</f>
        <v/>
      </c>
      <c r="K2687">
        <f>IF(E2687="Domain",COUNTIF($E$2:E2687,"Domain"),"")</f>
        <v/>
      </c>
    </row>
    <row r="2688">
      <c r="A2688" s="2" t="n"/>
      <c r="B2688">
        <f>LOWER(TRIM(A2688))</f>
        <v/>
      </c>
      <c r="C2688">
        <f>IF(B2688="","",IFERROR(INDEX('Bad Patterns'!$A$2:$A$120,MATCH(1,INDEX(--ISNUMBER(SEARCH('Bad Patterns'!$A$2:$A$120,B2688)),0),0)),""))</f>
        <v/>
      </c>
      <c r="D2688">
        <f>IF(B2688="","",IF(C2688&lt;&gt;"","REMOVE","KEEP"))</f>
        <v/>
      </c>
      <c r="E2688">
        <f>IF(D2688&lt;&gt;"KEEP","",IF(RIGHT(B2688,10)="@gmail.com","Gmail",IF(OR(RIGHT(B2688,12)="@outlook.com",RIGHT(B2688,12)="@hotmail.com",RIGHT(B2688,9)="@live.com"),"Outlook","Domain")))</f>
        <v/>
      </c>
      <c r="F2688">
        <f>IF(B2688="","",IFERROR(RIGHT(B2688,LEN(B2688)-FIND("@",B2688)),""))</f>
        <v/>
      </c>
      <c r="G2688">
        <f>IF(D2688="KEEP",COUNTIF($D$2:D2688,"KEEP"),"")</f>
        <v/>
      </c>
      <c r="H2688">
        <f>IF(D2688="REMOVE",COUNTIF($D$2:D2688,"REMOVE"),"")</f>
        <v/>
      </c>
      <c r="I2688">
        <f>IF(E2688="Gmail",COUNTIF($E$2:E2688,"Gmail"),"")</f>
        <v/>
      </c>
      <c r="J2688">
        <f>IF(E2688="Outlook",COUNTIF($E$2:E2688,"Outlook"),"")</f>
        <v/>
      </c>
      <c r="K2688">
        <f>IF(E2688="Domain",COUNTIF($E$2:E2688,"Domain"),"")</f>
        <v/>
      </c>
    </row>
    <row r="2689">
      <c r="A2689" s="2" t="n"/>
      <c r="B2689">
        <f>LOWER(TRIM(A2689))</f>
        <v/>
      </c>
      <c r="C2689">
        <f>IF(B2689="","",IFERROR(INDEX('Bad Patterns'!$A$2:$A$120,MATCH(1,INDEX(--ISNUMBER(SEARCH('Bad Patterns'!$A$2:$A$120,B2689)),0),0)),""))</f>
        <v/>
      </c>
      <c r="D2689">
        <f>IF(B2689="","",IF(C2689&lt;&gt;"","REMOVE","KEEP"))</f>
        <v/>
      </c>
      <c r="E2689">
        <f>IF(D2689&lt;&gt;"KEEP","",IF(RIGHT(B2689,10)="@gmail.com","Gmail",IF(OR(RIGHT(B2689,12)="@outlook.com",RIGHT(B2689,12)="@hotmail.com",RIGHT(B2689,9)="@live.com"),"Outlook","Domain")))</f>
        <v/>
      </c>
      <c r="F2689">
        <f>IF(B2689="","",IFERROR(RIGHT(B2689,LEN(B2689)-FIND("@",B2689)),""))</f>
        <v/>
      </c>
      <c r="G2689">
        <f>IF(D2689="KEEP",COUNTIF($D$2:D2689,"KEEP"),"")</f>
        <v/>
      </c>
      <c r="H2689">
        <f>IF(D2689="REMOVE",COUNTIF($D$2:D2689,"REMOVE"),"")</f>
        <v/>
      </c>
      <c r="I2689">
        <f>IF(E2689="Gmail",COUNTIF($E$2:E2689,"Gmail"),"")</f>
        <v/>
      </c>
      <c r="J2689">
        <f>IF(E2689="Outlook",COUNTIF($E$2:E2689,"Outlook"),"")</f>
        <v/>
      </c>
      <c r="K2689">
        <f>IF(E2689="Domain",COUNTIF($E$2:E2689,"Domain"),"")</f>
        <v/>
      </c>
    </row>
    <row r="2690">
      <c r="A2690" s="2" t="n"/>
      <c r="B2690">
        <f>LOWER(TRIM(A2690))</f>
        <v/>
      </c>
      <c r="C2690">
        <f>IF(B2690="","",IFERROR(INDEX('Bad Patterns'!$A$2:$A$120,MATCH(1,INDEX(--ISNUMBER(SEARCH('Bad Patterns'!$A$2:$A$120,B2690)),0),0)),""))</f>
        <v/>
      </c>
      <c r="D2690">
        <f>IF(B2690="","",IF(C2690&lt;&gt;"","REMOVE","KEEP"))</f>
        <v/>
      </c>
      <c r="E2690">
        <f>IF(D2690&lt;&gt;"KEEP","",IF(RIGHT(B2690,10)="@gmail.com","Gmail",IF(OR(RIGHT(B2690,12)="@outlook.com",RIGHT(B2690,12)="@hotmail.com",RIGHT(B2690,9)="@live.com"),"Outlook","Domain")))</f>
        <v/>
      </c>
      <c r="F2690">
        <f>IF(B2690="","",IFERROR(RIGHT(B2690,LEN(B2690)-FIND("@",B2690)),""))</f>
        <v/>
      </c>
      <c r="G2690">
        <f>IF(D2690="KEEP",COUNTIF($D$2:D2690,"KEEP"),"")</f>
        <v/>
      </c>
      <c r="H2690">
        <f>IF(D2690="REMOVE",COUNTIF($D$2:D2690,"REMOVE"),"")</f>
        <v/>
      </c>
      <c r="I2690">
        <f>IF(E2690="Gmail",COUNTIF($E$2:E2690,"Gmail"),"")</f>
        <v/>
      </c>
      <c r="J2690">
        <f>IF(E2690="Outlook",COUNTIF($E$2:E2690,"Outlook"),"")</f>
        <v/>
      </c>
      <c r="K2690">
        <f>IF(E2690="Domain",COUNTIF($E$2:E2690,"Domain"),"")</f>
        <v/>
      </c>
    </row>
    <row r="2691">
      <c r="A2691" s="2" t="n"/>
      <c r="B2691">
        <f>LOWER(TRIM(A2691))</f>
        <v/>
      </c>
      <c r="C2691">
        <f>IF(B2691="","",IFERROR(INDEX('Bad Patterns'!$A$2:$A$120,MATCH(1,INDEX(--ISNUMBER(SEARCH('Bad Patterns'!$A$2:$A$120,B2691)),0),0)),""))</f>
        <v/>
      </c>
      <c r="D2691">
        <f>IF(B2691="","",IF(C2691&lt;&gt;"","REMOVE","KEEP"))</f>
        <v/>
      </c>
      <c r="E2691">
        <f>IF(D2691&lt;&gt;"KEEP","",IF(RIGHT(B2691,10)="@gmail.com","Gmail",IF(OR(RIGHT(B2691,12)="@outlook.com",RIGHT(B2691,12)="@hotmail.com",RIGHT(B2691,9)="@live.com"),"Outlook","Domain")))</f>
        <v/>
      </c>
      <c r="F2691">
        <f>IF(B2691="","",IFERROR(RIGHT(B2691,LEN(B2691)-FIND("@",B2691)),""))</f>
        <v/>
      </c>
      <c r="G2691">
        <f>IF(D2691="KEEP",COUNTIF($D$2:D2691,"KEEP"),"")</f>
        <v/>
      </c>
      <c r="H2691">
        <f>IF(D2691="REMOVE",COUNTIF($D$2:D2691,"REMOVE"),"")</f>
        <v/>
      </c>
      <c r="I2691">
        <f>IF(E2691="Gmail",COUNTIF($E$2:E2691,"Gmail"),"")</f>
        <v/>
      </c>
      <c r="J2691">
        <f>IF(E2691="Outlook",COUNTIF($E$2:E2691,"Outlook"),"")</f>
        <v/>
      </c>
      <c r="K2691">
        <f>IF(E2691="Domain",COUNTIF($E$2:E2691,"Domain"),"")</f>
        <v/>
      </c>
    </row>
    <row r="2692">
      <c r="A2692" s="2" t="n"/>
      <c r="B2692">
        <f>LOWER(TRIM(A2692))</f>
        <v/>
      </c>
      <c r="C2692">
        <f>IF(B2692="","",IFERROR(INDEX('Bad Patterns'!$A$2:$A$120,MATCH(1,INDEX(--ISNUMBER(SEARCH('Bad Patterns'!$A$2:$A$120,B2692)),0),0)),""))</f>
        <v/>
      </c>
      <c r="D2692">
        <f>IF(B2692="","",IF(C2692&lt;&gt;"","REMOVE","KEEP"))</f>
        <v/>
      </c>
      <c r="E2692">
        <f>IF(D2692&lt;&gt;"KEEP","",IF(RIGHT(B2692,10)="@gmail.com","Gmail",IF(OR(RIGHT(B2692,12)="@outlook.com",RIGHT(B2692,12)="@hotmail.com",RIGHT(B2692,9)="@live.com"),"Outlook","Domain")))</f>
        <v/>
      </c>
      <c r="F2692">
        <f>IF(B2692="","",IFERROR(RIGHT(B2692,LEN(B2692)-FIND("@",B2692)),""))</f>
        <v/>
      </c>
      <c r="G2692">
        <f>IF(D2692="KEEP",COUNTIF($D$2:D2692,"KEEP"),"")</f>
        <v/>
      </c>
      <c r="H2692">
        <f>IF(D2692="REMOVE",COUNTIF($D$2:D2692,"REMOVE"),"")</f>
        <v/>
      </c>
      <c r="I2692">
        <f>IF(E2692="Gmail",COUNTIF($E$2:E2692,"Gmail"),"")</f>
        <v/>
      </c>
      <c r="J2692">
        <f>IF(E2692="Outlook",COUNTIF($E$2:E2692,"Outlook"),"")</f>
        <v/>
      </c>
      <c r="K2692">
        <f>IF(E2692="Domain",COUNTIF($E$2:E2692,"Domain"),"")</f>
        <v/>
      </c>
    </row>
    <row r="2693">
      <c r="A2693" s="2" t="n"/>
      <c r="B2693">
        <f>LOWER(TRIM(A2693))</f>
        <v/>
      </c>
      <c r="C2693">
        <f>IF(B2693="","",IFERROR(INDEX('Bad Patterns'!$A$2:$A$120,MATCH(1,INDEX(--ISNUMBER(SEARCH('Bad Patterns'!$A$2:$A$120,B2693)),0),0)),""))</f>
        <v/>
      </c>
      <c r="D2693">
        <f>IF(B2693="","",IF(C2693&lt;&gt;"","REMOVE","KEEP"))</f>
        <v/>
      </c>
      <c r="E2693">
        <f>IF(D2693&lt;&gt;"KEEP","",IF(RIGHT(B2693,10)="@gmail.com","Gmail",IF(OR(RIGHT(B2693,12)="@outlook.com",RIGHT(B2693,12)="@hotmail.com",RIGHT(B2693,9)="@live.com"),"Outlook","Domain")))</f>
        <v/>
      </c>
      <c r="F2693">
        <f>IF(B2693="","",IFERROR(RIGHT(B2693,LEN(B2693)-FIND("@",B2693)),""))</f>
        <v/>
      </c>
      <c r="G2693">
        <f>IF(D2693="KEEP",COUNTIF($D$2:D2693,"KEEP"),"")</f>
        <v/>
      </c>
      <c r="H2693">
        <f>IF(D2693="REMOVE",COUNTIF($D$2:D2693,"REMOVE"),"")</f>
        <v/>
      </c>
      <c r="I2693">
        <f>IF(E2693="Gmail",COUNTIF($E$2:E2693,"Gmail"),"")</f>
        <v/>
      </c>
      <c r="J2693">
        <f>IF(E2693="Outlook",COUNTIF($E$2:E2693,"Outlook"),"")</f>
        <v/>
      </c>
      <c r="K2693">
        <f>IF(E2693="Domain",COUNTIF($E$2:E2693,"Domain"),"")</f>
        <v/>
      </c>
    </row>
    <row r="2694">
      <c r="A2694" s="2" t="n"/>
      <c r="B2694">
        <f>LOWER(TRIM(A2694))</f>
        <v/>
      </c>
      <c r="C2694">
        <f>IF(B2694="","",IFERROR(INDEX('Bad Patterns'!$A$2:$A$120,MATCH(1,INDEX(--ISNUMBER(SEARCH('Bad Patterns'!$A$2:$A$120,B2694)),0),0)),""))</f>
        <v/>
      </c>
      <c r="D2694">
        <f>IF(B2694="","",IF(C2694&lt;&gt;"","REMOVE","KEEP"))</f>
        <v/>
      </c>
      <c r="E2694">
        <f>IF(D2694&lt;&gt;"KEEP","",IF(RIGHT(B2694,10)="@gmail.com","Gmail",IF(OR(RIGHT(B2694,12)="@outlook.com",RIGHT(B2694,12)="@hotmail.com",RIGHT(B2694,9)="@live.com"),"Outlook","Domain")))</f>
        <v/>
      </c>
      <c r="F2694">
        <f>IF(B2694="","",IFERROR(RIGHT(B2694,LEN(B2694)-FIND("@",B2694)),""))</f>
        <v/>
      </c>
      <c r="G2694">
        <f>IF(D2694="KEEP",COUNTIF($D$2:D2694,"KEEP"),"")</f>
        <v/>
      </c>
      <c r="H2694">
        <f>IF(D2694="REMOVE",COUNTIF($D$2:D2694,"REMOVE"),"")</f>
        <v/>
      </c>
      <c r="I2694">
        <f>IF(E2694="Gmail",COUNTIF($E$2:E2694,"Gmail"),"")</f>
        <v/>
      </c>
      <c r="J2694">
        <f>IF(E2694="Outlook",COUNTIF($E$2:E2694,"Outlook"),"")</f>
        <v/>
      </c>
      <c r="K2694">
        <f>IF(E2694="Domain",COUNTIF($E$2:E2694,"Domain"),"")</f>
        <v/>
      </c>
    </row>
    <row r="2695">
      <c r="A2695" s="2" t="n"/>
      <c r="B2695">
        <f>LOWER(TRIM(A2695))</f>
        <v/>
      </c>
      <c r="C2695">
        <f>IF(B2695="","",IFERROR(INDEX('Bad Patterns'!$A$2:$A$120,MATCH(1,INDEX(--ISNUMBER(SEARCH('Bad Patterns'!$A$2:$A$120,B2695)),0),0)),""))</f>
        <v/>
      </c>
      <c r="D2695">
        <f>IF(B2695="","",IF(C2695&lt;&gt;"","REMOVE","KEEP"))</f>
        <v/>
      </c>
      <c r="E2695">
        <f>IF(D2695&lt;&gt;"KEEP","",IF(RIGHT(B2695,10)="@gmail.com","Gmail",IF(OR(RIGHT(B2695,12)="@outlook.com",RIGHT(B2695,12)="@hotmail.com",RIGHT(B2695,9)="@live.com"),"Outlook","Domain")))</f>
        <v/>
      </c>
      <c r="F2695">
        <f>IF(B2695="","",IFERROR(RIGHT(B2695,LEN(B2695)-FIND("@",B2695)),""))</f>
        <v/>
      </c>
      <c r="G2695">
        <f>IF(D2695="KEEP",COUNTIF($D$2:D2695,"KEEP"),"")</f>
        <v/>
      </c>
      <c r="H2695">
        <f>IF(D2695="REMOVE",COUNTIF($D$2:D2695,"REMOVE"),"")</f>
        <v/>
      </c>
      <c r="I2695">
        <f>IF(E2695="Gmail",COUNTIF($E$2:E2695,"Gmail"),"")</f>
        <v/>
      </c>
      <c r="J2695">
        <f>IF(E2695="Outlook",COUNTIF($E$2:E2695,"Outlook"),"")</f>
        <v/>
      </c>
      <c r="K2695">
        <f>IF(E2695="Domain",COUNTIF($E$2:E2695,"Domain"),"")</f>
        <v/>
      </c>
    </row>
    <row r="2696">
      <c r="A2696" s="2" t="n"/>
      <c r="B2696">
        <f>LOWER(TRIM(A2696))</f>
        <v/>
      </c>
      <c r="C2696">
        <f>IF(B2696="","",IFERROR(INDEX('Bad Patterns'!$A$2:$A$120,MATCH(1,INDEX(--ISNUMBER(SEARCH('Bad Patterns'!$A$2:$A$120,B2696)),0),0)),""))</f>
        <v/>
      </c>
      <c r="D2696">
        <f>IF(B2696="","",IF(C2696&lt;&gt;"","REMOVE","KEEP"))</f>
        <v/>
      </c>
      <c r="E2696">
        <f>IF(D2696&lt;&gt;"KEEP","",IF(RIGHT(B2696,10)="@gmail.com","Gmail",IF(OR(RIGHT(B2696,12)="@outlook.com",RIGHT(B2696,12)="@hotmail.com",RIGHT(B2696,9)="@live.com"),"Outlook","Domain")))</f>
        <v/>
      </c>
      <c r="F2696">
        <f>IF(B2696="","",IFERROR(RIGHT(B2696,LEN(B2696)-FIND("@",B2696)),""))</f>
        <v/>
      </c>
      <c r="G2696">
        <f>IF(D2696="KEEP",COUNTIF($D$2:D2696,"KEEP"),"")</f>
        <v/>
      </c>
      <c r="H2696">
        <f>IF(D2696="REMOVE",COUNTIF($D$2:D2696,"REMOVE"),"")</f>
        <v/>
      </c>
      <c r="I2696">
        <f>IF(E2696="Gmail",COUNTIF($E$2:E2696,"Gmail"),"")</f>
        <v/>
      </c>
      <c r="J2696">
        <f>IF(E2696="Outlook",COUNTIF($E$2:E2696,"Outlook"),"")</f>
        <v/>
      </c>
      <c r="K2696">
        <f>IF(E2696="Domain",COUNTIF($E$2:E2696,"Domain"),"")</f>
        <v/>
      </c>
    </row>
    <row r="2697">
      <c r="A2697" s="2" t="n"/>
      <c r="B2697">
        <f>LOWER(TRIM(A2697))</f>
        <v/>
      </c>
      <c r="C2697">
        <f>IF(B2697="","",IFERROR(INDEX('Bad Patterns'!$A$2:$A$120,MATCH(1,INDEX(--ISNUMBER(SEARCH('Bad Patterns'!$A$2:$A$120,B2697)),0),0)),""))</f>
        <v/>
      </c>
      <c r="D2697">
        <f>IF(B2697="","",IF(C2697&lt;&gt;"","REMOVE","KEEP"))</f>
        <v/>
      </c>
      <c r="E2697">
        <f>IF(D2697&lt;&gt;"KEEP","",IF(RIGHT(B2697,10)="@gmail.com","Gmail",IF(OR(RIGHT(B2697,12)="@outlook.com",RIGHT(B2697,12)="@hotmail.com",RIGHT(B2697,9)="@live.com"),"Outlook","Domain")))</f>
        <v/>
      </c>
      <c r="F2697">
        <f>IF(B2697="","",IFERROR(RIGHT(B2697,LEN(B2697)-FIND("@",B2697)),""))</f>
        <v/>
      </c>
      <c r="G2697">
        <f>IF(D2697="KEEP",COUNTIF($D$2:D2697,"KEEP"),"")</f>
        <v/>
      </c>
      <c r="H2697">
        <f>IF(D2697="REMOVE",COUNTIF($D$2:D2697,"REMOVE"),"")</f>
        <v/>
      </c>
      <c r="I2697">
        <f>IF(E2697="Gmail",COUNTIF($E$2:E2697,"Gmail"),"")</f>
        <v/>
      </c>
      <c r="J2697">
        <f>IF(E2697="Outlook",COUNTIF($E$2:E2697,"Outlook"),"")</f>
        <v/>
      </c>
      <c r="K2697">
        <f>IF(E2697="Domain",COUNTIF($E$2:E2697,"Domain"),"")</f>
        <v/>
      </c>
    </row>
    <row r="2698">
      <c r="A2698" s="2" t="n"/>
      <c r="B2698">
        <f>LOWER(TRIM(A2698))</f>
        <v/>
      </c>
      <c r="C2698">
        <f>IF(B2698="","",IFERROR(INDEX('Bad Patterns'!$A$2:$A$120,MATCH(1,INDEX(--ISNUMBER(SEARCH('Bad Patterns'!$A$2:$A$120,B2698)),0),0)),""))</f>
        <v/>
      </c>
      <c r="D2698">
        <f>IF(B2698="","",IF(C2698&lt;&gt;"","REMOVE","KEEP"))</f>
        <v/>
      </c>
      <c r="E2698">
        <f>IF(D2698&lt;&gt;"KEEP","",IF(RIGHT(B2698,10)="@gmail.com","Gmail",IF(OR(RIGHT(B2698,12)="@outlook.com",RIGHT(B2698,12)="@hotmail.com",RIGHT(B2698,9)="@live.com"),"Outlook","Domain")))</f>
        <v/>
      </c>
      <c r="F2698">
        <f>IF(B2698="","",IFERROR(RIGHT(B2698,LEN(B2698)-FIND("@",B2698)),""))</f>
        <v/>
      </c>
      <c r="G2698">
        <f>IF(D2698="KEEP",COUNTIF($D$2:D2698,"KEEP"),"")</f>
        <v/>
      </c>
      <c r="H2698">
        <f>IF(D2698="REMOVE",COUNTIF($D$2:D2698,"REMOVE"),"")</f>
        <v/>
      </c>
      <c r="I2698">
        <f>IF(E2698="Gmail",COUNTIF($E$2:E2698,"Gmail"),"")</f>
        <v/>
      </c>
      <c r="J2698">
        <f>IF(E2698="Outlook",COUNTIF($E$2:E2698,"Outlook"),"")</f>
        <v/>
      </c>
      <c r="K2698">
        <f>IF(E2698="Domain",COUNTIF($E$2:E2698,"Domain"),"")</f>
        <v/>
      </c>
    </row>
    <row r="2699">
      <c r="A2699" s="2" t="n"/>
      <c r="B2699">
        <f>LOWER(TRIM(A2699))</f>
        <v/>
      </c>
      <c r="C2699">
        <f>IF(B2699="","",IFERROR(INDEX('Bad Patterns'!$A$2:$A$120,MATCH(1,INDEX(--ISNUMBER(SEARCH('Bad Patterns'!$A$2:$A$120,B2699)),0),0)),""))</f>
        <v/>
      </c>
      <c r="D2699">
        <f>IF(B2699="","",IF(C2699&lt;&gt;"","REMOVE","KEEP"))</f>
        <v/>
      </c>
      <c r="E2699">
        <f>IF(D2699&lt;&gt;"KEEP","",IF(RIGHT(B2699,10)="@gmail.com","Gmail",IF(OR(RIGHT(B2699,12)="@outlook.com",RIGHT(B2699,12)="@hotmail.com",RIGHT(B2699,9)="@live.com"),"Outlook","Domain")))</f>
        <v/>
      </c>
      <c r="F2699">
        <f>IF(B2699="","",IFERROR(RIGHT(B2699,LEN(B2699)-FIND("@",B2699)),""))</f>
        <v/>
      </c>
      <c r="G2699">
        <f>IF(D2699="KEEP",COUNTIF($D$2:D2699,"KEEP"),"")</f>
        <v/>
      </c>
      <c r="H2699">
        <f>IF(D2699="REMOVE",COUNTIF($D$2:D2699,"REMOVE"),"")</f>
        <v/>
      </c>
      <c r="I2699">
        <f>IF(E2699="Gmail",COUNTIF($E$2:E2699,"Gmail"),"")</f>
        <v/>
      </c>
      <c r="J2699">
        <f>IF(E2699="Outlook",COUNTIF($E$2:E2699,"Outlook"),"")</f>
        <v/>
      </c>
      <c r="K2699">
        <f>IF(E2699="Domain",COUNTIF($E$2:E2699,"Domain"),"")</f>
        <v/>
      </c>
    </row>
    <row r="2700">
      <c r="A2700" s="2" t="n"/>
      <c r="B2700">
        <f>LOWER(TRIM(A2700))</f>
        <v/>
      </c>
      <c r="C2700">
        <f>IF(B2700="","",IFERROR(INDEX('Bad Patterns'!$A$2:$A$120,MATCH(1,INDEX(--ISNUMBER(SEARCH('Bad Patterns'!$A$2:$A$120,B2700)),0),0)),""))</f>
        <v/>
      </c>
      <c r="D2700">
        <f>IF(B2700="","",IF(C2700&lt;&gt;"","REMOVE","KEEP"))</f>
        <v/>
      </c>
      <c r="E2700">
        <f>IF(D2700&lt;&gt;"KEEP","",IF(RIGHT(B2700,10)="@gmail.com","Gmail",IF(OR(RIGHT(B2700,12)="@outlook.com",RIGHT(B2700,12)="@hotmail.com",RIGHT(B2700,9)="@live.com"),"Outlook","Domain")))</f>
        <v/>
      </c>
      <c r="F2700">
        <f>IF(B2700="","",IFERROR(RIGHT(B2700,LEN(B2700)-FIND("@",B2700)),""))</f>
        <v/>
      </c>
      <c r="G2700">
        <f>IF(D2700="KEEP",COUNTIF($D$2:D2700,"KEEP"),"")</f>
        <v/>
      </c>
      <c r="H2700">
        <f>IF(D2700="REMOVE",COUNTIF($D$2:D2700,"REMOVE"),"")</f>
        <v/>
      </c>
      <c r="I2700">
        <f>IF(E2700="Gmail",COUNTIF($E$2:E2700,"Gmail"),"")</f>
        <v/>
      </c>
      <c r="J2700">
        <f>IF(E2700="Outlook",COUNTIF($E$2:E2700,"Outlook"),"")</f>
        <v/>
      </c>
      <c r="K2700">
        <f>IF(E2700="Domain",COUNTIF($E$2:E2700,"Domain"),"")</f>
        <v/>
      </c>
    </row>
    <row r="2701">
      <c r="A2701" s="2" t="n"/>
      <c r="B2701">
        <f>LOWER(TRIM(A2701))</f>
        <v/>
      </c>
      <c r="C2701">
        <f>IF(B2701="","",IFERROR(INDEX('Bad Patterns'!$A$2:$A$120,MATCH(1,INDEX(--ISNUMBER(SEARCH('Bad Patterns'!$A$2:$A$120,B2701)),0),0)),""))</f>
        <v/>
      </c>
      <c r="D2701">
        <f>IF(B2701="","",IF(C2701&lt;&gt;"","REMOVE","KEEP"))</f>
        <v/>
      </c>
      <c r="E2701">
        <f>IF(D2701&lt;&gt;"KEEP","",IF(RIGHT(B2701,10)="@gmail.com","Gmail",IF(OR(RIGHT(B2701,12)="@outlook.com",RIGHT(B2701,12)="@hotmail.com",RIGHT(B2701,9)="@live.com"),"Outlook","Domain")))</f>
        <v/>
      </c>
      <c r="F2701">
        <f>IF(B2701="","",IFERROR(RIGHT(B2701,LEN(B2701)-FIND("@",B2701)),""))</f>
        <v/>
      </c>
      <c r="G2701">
        <f>IF(D2701="KEEP",COUNTIF($D$2:D2701,"KEEP"),"")</f>
        <v/>
      </c>
      <c r="H2701">
        <f>IF(D2701="REMOVE",COUNTIF($D$2:D2701,"REMOVE"),"")</f>
        <v/>
      </c>
      <c r="I2701">
        <f>IF(E2701="Gmail",COUNTIF($E$2:E2701,"Gmail"),"")</f>
        <v/>
      </c>
      <c r="J2701">
        <f>IF(E2701="Outlook",COUNTIF($E$2:E2701,"Outlook"),"")</f>
        <v/>
      </c>
      <c r="K2701">
        <f>IF(E2701="Domain",COUNTIF($E$2:E2701,"Domain"),"")</f>
        <v/>
      </c>
    </row>
    <row r="2702">
      <c r="A2702" s="2" t="n"/>
      <c r="B2702">
        <f>LOWER(TRIM(A2702))</f>
        <v/>
      </c>
      <c r="C2702">
        <f>IF(B2702="","",IFERROR(INDEX('Bad Patterns'!$A$2:$A$120,MATCH(1,INDEX(--ISNUMBER(SEARCH('Bad Patterns'!$A$2:$A$120,B2702)),0),0)),""))</f>
        <v/>
      </c>
      <c r="D2702">
        <f>IF(B2702="","",IF(C2702&lt;&gt;"","REMOVE","KEEP"))</f>
        <v/>
      </c>
      <c r="E2702">
        <f>IF(D2702&lt;&gt;"KEEP","",IF(RIGHT(B2702,10)="@gmail.com","Gmail",IF(OR(RIGHT(B2702,12)="@outlook.com",RIGHT(B2702,12)="@hotmail.com",RIGHT(B2702,9)="@live.com"),"Outlook","Domain")))</f>
        <v/>
      </c>
      <c r="F2702">
        <f>IF(B2702="","",IFERROR(RIGHT(B2702,LEN(B2702)-FIND("@",B2702)),""))</f>
        <v/>
      </c>
      <c r="G2702">
        <f>IF(D2702="KEEP",COUNTIF($D$2:D2702,"KEEP"),"")</f>
        <v/>
      </c>
      <c r="H2702">
        <f>IF(D2702="REMOVE",COUNTIF($D$2:D2702,"REMOVE"),"")</f>
        <v/>
      </c>
      <c r="I2702">
        <f>IF(E2702="Gmail",COUNTIF($E$2:E2702,"Gmail"),"")</f>
        <v/>
      </c>
      <c r="J2702">
        <f>IF(E2702="Outlook",COUNTIF($E$2:E2702,"Outlook"),"")</f>
        <v/>
      </c>
      <c r="K2702">
        <f>IF(E2702="Domain",COUNTIF($E$2:E2702,"Domain"),"")</f>
        <v/>
      </c>
    </row>
    <row r="2703">
      <c r="A2703" s="2" t="n"/>
      <c r="B2703">
        <f>LOWER(TRIM(A2703))</f>
        <v/>
      </c>
      <c r="C2703">
        <f>IF(B2703="","",IFERROR(INDEX('Bad Patterns'!$A$2:$A$120,MATCH(1,INDEX(--ISNUMBER(SEARCH('Bad Patterns'!$A$2:$A$120,B2703)),0),0)),""))</f>
        <v/>
      </c>
      <c r="D2703">
        <f>IF(B2703="","",IF(C2703&lt;&gt;"","REMOVE","KEEP"))</f>
        <v/>
      </c>
      <c r="E2703">
        <f>IF(D2703&lt;&gt;"KEEP","",IF(RIGHT(B2703,10)="@gmail.com","Gmail",IF(OR(RIGHT(B2703,12)="@outlook.com",RIGHT(B2703,12)="@hotmail.com",RIGHT(B2703,9)="@live.com"),"Outlook","Domain")))</f>
        <v/>
      </c>
      <c r="F2703">
        <f>IF(B2703="","",IFERROR(RIGHT(B2703,LEN(B2703)-FIND("@",B2703)),""))</f>
        <v/>
      </c>
      <c r="G2703">
        <f>IF(D2703="KEEP",COUNTIF($D$2:D2703,"KEEP"),"")</f>
        <v/>
      </c>
      <c r="H2703">
        <f>IF(D2703="REMOVE",COUNTIF($D$2:D2703,"REMOVE"),"")</f>
        <v/>
      </c>
      <c r="I2703">
        <f>IF(E2703="Gmail",COUNTIF($E$2:E2703,"Gmail"),"")</f>
        <v/>
      </c>
      <c r="J2703">
        <f>IF(E2703="Outlook",COUNTIF($E$2:E2703,"Outlook"),"")</f>
        <v/>
      </c>
      <c r="K2703">
        <f>IF(E2703="Domain",COUNTIF($E$2:E2703,"Domain"),"")</f>
        <v/>
      </c>
    </row>
    <row r="2704">
      <c r="A2704" s="2" t="n"/>
      <c r="B2704">
        <f>LOWER(TRIM(A2704))</f>
        <v/>
      </c>
      <c r="C2704">
        <f>IF(B2704="","",IFERROR(INDEX('Bad Patterns'!$A$2:$A$120,MATCH(1,INDEX(--ISNUMBER(SEARCH('Bad Patterns'!$A$2:$A$120,B2704)),0),0)),""))</f>
        <v/>
      </c>
      <c r="D2704">
        <f>IF(B2704="","",IF(C2704&lt;&gt;"","REMOVE","KEEP"))</f>
        <v/>
      </c>
      <c r="E2704">
        <f>IF(D2704&lt;&gt;"KEEP","",IF(RIGHT(B2704,10)="@gmail.com","Gmail",IF(OR(RIGHT(B2704,12)="@outlook.com",RIGHT(B2704,12)="@hotmail.com",RIGHT(B2704,9)="@live.com"),"Outlook","Domain")))</f>
        <v/>
      </c>
      <c r="F2704">
        <f>IF(B2704="","",IFERROR(RIGHT(B2704,LEN(B2704)-FIND("@",B2704)),""))</f>
        <v/>
      </c>
      <c r="G2704">
        <f>IF(D2704="KEEP",COUNTIF($D$2:D2704,"KEEP"),"")</f>
        <v/>
      </c>
      <c r="H2704">
        <f>IF(D2704="REMOVE",COUNTIF($D$2:D2704,"REMOVE"),"")</f>
        <v/>
      </c>
      <c r="I2704">
        <f>IF(E2704="Gmail",COUNTIF($E$2:E2704,"Gmail"),"")</f>
        <v/>
      </c>
      <c r="J2704">
        <f>IF(E2704="Outlook",COUNTIF($E$2:E2704,"Outlook"),"")</f>
        <v/>
      </c>
      <c r="K2704">
        <f>IF(E2704="Domain",COUNTIF($E$2:E2704,"Domain"),"")</f>
        <v/>
      </c>
    </row>
    <row r="2705">
      <c r="A2705" s="2" t="n"/>
      <c r="B2705">
        <f>LOWER(TRIM(A2705))</f>
        <v/>
      </c>
      <c r="C2705">
        <f>IF(B2705="","",IFERROR(INDEX('Bad Patterns'!$A$2:$A$120,MATCH(1,INDEX(--ISNUMBER(SEARCH('Bad Patterns'!$A$2:$A$120,B2705)),0),0)),""))</f>
        <v/>
      </c>
      <c r="D2705">
        <f>IF(B2705="","",IF(C2705&lt;&gt;"","REMOVE","KEEP"))</f>
        <v/>
      </c>
      <c r="E2705">
        <f>IF(D2705&lt;&gt;"KEEP","",IF(RIGHT(B2705,10)="@gmail.com","Gmail",IF(OR(RIGHT(B2705,12)="@outlook.com",RIGHT(B2705,12)="@hotmail.com",RIGHT(B2705,9)="@live.com"),"Outlook","Domain")))</f>
        <v/>
      </c>
      <c r="F2705">
        <f>IF(B2705="","",IFERROR(RIGHT(B2705,LEN(B2705)-FIND("@",B2705)),""))</f>
        <v/>
      </c>
      <c r="G2705">
        <f>IF(D2705="KEEP",COUNTIF($D$2:D2705,"KEEP"),"")</f>
        <v/>
      </c>
      <c r="H2705">
        <f>IF(D2705="REMOVE",COUNTIF($D$2:D2705,"REMOVE"),"")</f>
        <v/>
      </c>
      <c r="I2705">
        <f>IF(E2705="Gmail",COUNTIF($E$2:E2705,"Gmail"),"")</f>
        <v/>
      </c>
      <c r="J2705">
        <f>IF(E2705="Outlook",COUNTIF($E$2:E2705,"Outlook"),"")</f>
        <v/>
      </c>
      <c r="K2705">
        <f>IF(E2705="Domain",COUNTIF($E$2:E2705,"Domain"),"")</f>
        <v/>
      </c>
    </row>
    <row r="2706">
      <c r="A2706" s="2" t="n"/>
      <c r="B2706">
        <f>LOWER(TRIM(A2706))</f>
        <v/>
      </c>
      <c r="C2706">
        <f>IF(B2706="","",IFERROR(INDEX('Bad Patterns'!$A$2:$A$120,MATCH(1,INDEX(--ISNUMBER(SEARCH('Bad Patterns'!$A$2:$A$120,B2706)),0),0)),""))</f>
        <v/>
      </c>
      <c r="D2706">
        <f>IF(B2706="","",IF(C2706&lt;&gt;"","REMOVE","KEEP"))</f>
        <v/>
      </c>
      <c r="E2706">
        <f>IF(D2706&lt;&gt;"KEEP","",IF(RIGHT(B2706,10)="@gmail.com","Gmail",IF(OR(RIGHT(B2706,12)="@outlook.com",RIGHT(B2706,12)="@hotmail.com",RIGHT(B2706,9)="@live.com"),"Outlook","Domain")))</f>
        <v/>
      </c>
      <c r="F2706">
        <f>IF(B2706="","",IFERROR(RIGHT(B2706,LEN(B2706)-FIND("@",B2706)),""))</f>
        <v/>
      </c>
      <c r="G2706">
        <f>IF(D2706="KEEP",COUNTIF($D$2:D2706,"KEEP"),"")</f>
        <v/>
      </c>
      <c r="H2706">
        <f>IF(D2706="REMOVE",COUNTIF($D$2:D2706,"REMOVE"),"")</f>
        <v/>
      </c>
      <c r="I2706">
        <f>IF(E2706="Gmail",COUNTIF($E$2:E2706,"Gmail"),"")</f>
        <v/>
      </c>
      <c r="J2706">
        <f>IF(E2706="Outlook",COUNTIF($E$2:E2706,"Outlook"),"")</f>
        <v/>
      </c>
      <c r="K2706">
        <f>IF(E2706="Domain",COUNTIF($E$2:E2706,"Domain"),"")</f>
        <v/>
      </c>
    </row>
    <row r="2707">
      <c r="A2707" s="2" t="n"/>
      <c r="B2707">
        <f>LOWER(TRIM(A2707))</f>
        <v/>
      </c>
      <c r="C2707">
        <f>IF(B2707="","",IFERROR(INDEX('Bad Patterns'!$A$2:$A$120,MATCH(1,INDEX(--ISNUMBER(SEARCH('Bad Patterns'!$A$2:$A$120,B2707)),0),0)),""))</f>
        <v/>
      </c>
      <c r="D2707">
        <f>IF(B2707="","",IF(C2707&lt;&gt;"","REMOVE","KEEP"))</f>
        <v/>
      </c>
      <c r="E2707">
        <f>IF(D2707&lt;&gt;"KEEP","",IF(RIGHT(B2707,10)="@gmail.com","Gmail",IF(OR(RIGHT(B2707,12)="@outlook.com",RIGHT(B2707,12)="@hotmail.com",RIGHT(B2707,9)="@live.com"),"Outlook","Domain")))</f>
        <v/>
      </c>
      <c r="F2707">
        <f>IF(B2707="","",IFERROR(RIGHT(B2707,LEN(B2707)-FIND("@",B2707)),""))</f>
        <v/>
      </c>
      <c r="G2707">
        <f>IF(D2707="KEEP",COUNTIF($D$2:D2707,"KEEP"),"")</f>
        <v/>
      </c>
      <c r="H2707">
        <f>IF(D2707="REMOVE",COUNTIF($D$2:D2707,"REMOVE"),"")</f>
        <v/>
      </c>
      <c r="I2707">
        <f>IF(E2707="Gmail",COUNTIF($E$2:E2707,"Gmail"),"")</f>
        <v/>
      </c>
      <c r="J2707">
        <f>IF(E2707="Outlook",COUNTIF($E$2:E2707,"Outlook"),"")</f>
        <v/>
      </c>
      <c r="K2707">
        <f>IF(E2707="Domain",COUNTIF($E$2:E2707,"Domain"),"")</f>
        <v/>
      </c>
    </row>
    <row r="2708">
      <c r="A2708" s="2" t="n"/>
      <c r="B2708">
        <f>LOWER(TRIM(A2708))</f>
        <v/>
      </c>
      <c r="C2708">
        <f>IF(B2708="","",IFERROR(INDEX('Bad Patterns'!$A$2:$A$120,MATCH(1,INDEX(--ISNUMBER(SEARCH('Bad Patterns'!$A$2:$A$120,B2708)),0),0)),""))</f>
        <v/>
      </c>
      <c r="D2708">
        <f>IF(B2708="","",IF(C2708&lt;&gt;"","REMOVE","KEEP"))</f>
        <v/>
      </c>
      <c r="E2708">
        <f>IF(D2708&lt;&gt;"KEEP","",IF(RIGHT(B2708,10)="@gmail.com","Gmail",IF(OR(RIGHT(B2708,12)="@outlook.com",RIGHT(B2708,12)="@hotmail.com",RIGHT(B2708,9)="@live.com"),"Outlook","Domain")))</f>
        <v/>
      </c>
      <c r="F2708">
        <f>IF(B2708="","",IFERROR(RIGHT(B2708,LEN(B2708)-FIND("@",B2708)),""))</f>
        <v/>
      </c>
      <c r="G2708">
        <f>IF(D2708="KEEP",COUNTIF($D$2:D2708,"KEEP"),"")</f>
        <v/>
      </c>
      <c r="H2708">
        <f>IF(D2708="REMOVE",COUNTIF($D$2:D2708,"REMOVE"),"")</f>
        <v/>
      </c>
      <c r="I2708">
        <f>IF(E2708="Gmail",COUNTIF($E$2:E2708,"Gmail"),"")</f>
        <v/>
      </c>
      <c r="J2708">
        <f>IF(E2708="Outlook",COUNTIF($E$2:E2708,"Outlook"),"")</f>
        <v/>
      </c>
      <c r="K2708">
        <f>IF(E2708="Domain",COUNTIF($E$2:E2708,"Domain"),"")</f>
        <v/>
      </c>
    </row>
    <row r="2709">
      <c r="A2709" s="2" t="n"/>
      <c r="B2709">
        <f>LOWER(TRIM(A2709))</f>
        <v/>
      </c>
      <c r="C2709">
        <f>IF(B2709="","",IFERROR(INDEX('Bad Patterns'!$A$2:$A$120,MATCH(1,INDEX(--ISNUMBER(SEARCH('Bad Patterns'!$A$2:$A$120,B2709)),0),0)),""))</f>
        <v/>
      </c>
      <c r="D2709">
        <f>IF(B2709="","",IF(C2709&lt;&gt;"","REMOVE","KEEP"))</f>
        <v/>
      </c>
      <c r="E2709">
        <f>IF(D2709&lt;&gt;"KEEP","",IF(RIGHT(B2709,10)="@gmail.com","Gmail",IF(OR(RIGHT(B2709,12)="@outlook.com",RIGHT(B2709,12)="@hotmail.com",RIGHT(B2709,9)="@live.com"),"Outlook","Domain")))</f>
        <v/>
      </c>
      <c r="F2709">
        <f>IF(B2709="","",IFERROR(RIGHT(B2709,LEN(B2709)-FIND("@",B2709)),""))</f>
        <v/>
      </c>
      <c r="G2709">
        <f>IF(D2709="KEEP",COUNTIF($D$2:D2709,"KEEP"),"")</f>
        <v/>
      </c>
      <c r="H2709">
        <f>IF(D2709="REMOVE",COUNTIF($D$2:D2709,"REMOVE"),"")</f>
        <v/>
      </c>
      <c r="I2709">
        <f>IF(E2709="Gmail",COUNTIF($E$2:E2709,"Gmail"),"")</f>
        <v/>
      </c>
      <c r="J2709">
        <f>IF(E2709="Outlook",COUNTIF($E$2:E2709,"Outlook"),"")</f>
        <v/>
      </c>
      <c r="K2709">
        <f>IF(E2709="Domain",COUNTIF($E$2:E2709,"Domain"),"")</f>
        <v/>
      </c>
    </row>
    <row r="2710">
      <c r="A2710" s="2" t="n"/>
      <c r="B2710">
        <f>LOWER(TRIM(A2710))</f>
        <v/>
      </c>
      <c r="C2710">
        <f>IF(B2710="","",IFERROR(INDEX('Bad Patterns'!$A$2:$A$120,MATCH(1,INDEX(--ISNUMBER(SEARCH('Bad Patterns'!$A$2:$A$120,B2710)),0),0)),""))</f>
        <v/>
      </c>
      <c r="D2710">
        <f>IF(B2710="","",IF(C2710&lt;&gt;"","REMOVE","KEEP"))</f>
        <v/>
      </c>
      <c r="E2710">
        <f>IF(D2710&lt;&gt;"KEEP","",IF(RIGHT(B2710,10)="@gmail.com","Gmail",IF(OR(RIGHT(B2710,12)="@outlook.com",RIGHT(B2710,12)="@hotmail.com",RIGHT(B2710,9)="@live.com"),"Outlook","Domain")))</f>
        <v/>
      </c>
      <c r="F2710">
        <f>IF(B2710="","",IFERROR(RIGHT(B2710,LEN(B2710)-FIND("@",B2710)),""))</f>
        <v/>
      </c>
      <c r="G2710">
        <f>IF(D2710="KEEP",COUNTIF($D$2:D2710,"KEEP"),"")</f>
        <v/>
      </c>
      <c r="H2710">
        <f>IF(D2710="REMOVE",COUNTIF($D$2:D2710,"REMOVE"),"")</f>
        <v/>
      </c>
      <c r="I2710">
        <f>IF(E2710="Gmail",COUNTIF($E$2:E2710,"Gmail"),"")</f>
        <v/>
      </c>
      <c r="J2710">
        <f>IF(E2710="Outlook",COUNTIF($E$2:E2710,"Outlook"),"")</f>
        <v/>
      </c>
      <c r="K2710">
        <f>IF(E2710="Domain",COUNTIF($E$2:E2710,"Domain"),"")</f>
        <v/>
      </c>
    </row>
    <row r="2711">
      <c r="A2711" s="2" t="n"/>
      <c r="B2711">
        <f>LOWER(TRIM(A2711))</f>
        <v/>
      </c>
      <c r="C2711">
        <f>IF(B2711="","",IFERROR(INDEX('Bad Patterns'!$A$2:$A$120,MATCH(1,INDEX(--ISNUMBER(SEARCH('Bad Patterns'!$A$2:$A$120,B2711)),0),0)),""))</f>
        <v/>
      </c>
      <c r="D2711">
        <f>IF(B2711="","",IF(C2711&lt;&gt;"","REMOVE","KEEP"))</f>
        <v/>
      </c>
      <c r="E2711">
        <f>IF(D2711&lt;&gt;"KEEP","",IF(RIGHT(B2711,10)="@gmail.com","Gmail",IF(OR(RIGHT(B2711,12)="@outlook.com",RIGHT(B2711,12)="@hotmail.com",RIGHT(B2711,9)="@live.com"),"Outlook","Domain")))</f>
        <v/>
      </c>
      <c r="F2711">
        <f>IF(B2711="","",IFERROR(RIGHT(B2711,LEN(B2711)-FIND("@",B2711)),""))</f>
        <v/>
      </c>
      <c r="G2711">
        <f>IF(D2711="KEEP",COUNTIF($D$2:D2711,"KEEP"),"")</f>
        <v/>
      </c>
      <c r="H2711">
        <f>IF(D2711="REMOVE",COUNTIF($D$2:D2711,"REMOVE"),"")</f>
        <v/>
      </c>
      <c r="I2711">
        <f>IF(E2711="Gmail",COUNTIF($E$2:E2711,"Gmail"),"")</f>
        <v/>
      </c>
      <c r="J2711">
        <f>IF(E2711="Outlook",COUNTIF($E$2:E2711,"Outlook"),"")</f>
        <v/>
      </c>
      <c r="K2711">
        <f>IF(E2711="Domain",COUNTIF($E$2:E2711,"Domain"),"")</f>
        <v/>
      </c>
    </row>
    <row r="2712">
      <c r="A2712" s="2" t="n"/>
      <c r="B2712">
        <f>LOWER(TRIM(A2712))</f>
        <v/>
      </c>
      <c r="C2712">
        <f>IF(B2712="","",IFERROR(INDEX('Bad Patterns'!$A$2:$A$120,MATCH(1,INDEX(--ISNUMBER(SEARCH('Bad Patterns'!$A$2:$A$120,B2712)),0),0)),""))</f>
        <v/>
      </c>
      <c r="D2712">
        <f>IF(B2712="","",IF(C2712&lt;&gt;"","REMOVE","KEEP"))</f>
        <v/>
      </c>
      <c r="E2712">
        <f>IF(D2712&lt;&gt;"KEEP","",IF(RIGHT(B2712,10)="@gmail.com","Gmail",IF(OR(RIGHT(B2712,12)="@outlook.com",RIGHT(B2712,12)="@hotmail.com",RIGHT(B2712,9)="@live.com"),"Outlook","Domain")))</f>
        <v/>
      </c>
      <c r="F2712">
        <f>IF(B2712="","",IFERROR(RIGHT(B2712,LEN(B2712)-FIND("@",B2712)),""))</f>
        <v/>
      </c>
      <c r="G2712">
        <f>IF(D2712="KEEP",COUNTIF($D$2:D2712,"KEEP"),"")</f>
        <v/>
      </c>
      <c r="H2712">
        <f>IF(D2712="REMOVE",COUNTIF($D$2:D2712,"REMOVE"),"")</f>
        <v/>
      </c>
      <c r="I2712">
        <f>IF(E2712="Gmail",COUNTIF($E$2:E2712,"Gmail"),"")</f>
        <v/>
      </c>
      <c r="J2712">
        <f>IF(E2712="Outlook",COUNTIF($E$2:E2712,"Outlook"),"")</f>
        <v/>
      </c>
      <c r="K2712">
        <f>IF(E2712="Domain",COUNTIF($E$2:E2712,"Domain"),"")</f>
        <v/>
      </c>
    </row>
    <row r="2713">
      <c r="A2713" s="2" t="n"/>
      <c r="B2713">
        <f>LOWER(TRIM(A2713))</f>
        <v/>
      </c>
      <c r="C2713">
        <f>IF(B2713="","",IFERROR(INDEX('Bad Patterns'!$A$2:$A$120,MATCH(1,INDEX(--ISNUMBER(SEARCH('Bad Patterns'!$A$2:$A$120,B2713)),0),0)),""))</f>
        <v/>
      </c>
      <c r="D2713">
        <f>IF(B2713="","",IF(C2713&lt;&gt;"","REMOVE","KEEP"))</f>
        <v/>
      </c>
      <c r="E2713">
        <f>IF(D2713&lt;&gt;"KEEP","",IF(RIGHT(B2713,10)="@gmail.com","Gmail",IF(OR(RIGHT(B2713,12)="@outlook.com",RIGHT(B2713,12)="@hotmail.com",RIGHT(B2713,9)="@live.com"),"Outlook","Domain")))</f>
        <v/>
      </c>
      <c r="F2713">
        <f>IF(B2713="","",IFERROR(RIGHT(B2713,LEN(B2713)-FIND("@",B2713)),""))</f>
        <v/>
      </c>
      <c r="G2713">
        <f>IF(D2713="KEEP",COUNTIF($D$2:D2713,"KEEP"),"")</f>
        <v/>
      </c>
      <c r="H2713">
        <f>IF(D2713="REMOVE",COUNTIF($D$2:D2713,"REMOVE"),"")</f>
        <v/>
      </c>
      <c r="I2713">
        <f>IF(E2713="Gmail",COUNTIF($E$2:E2713,"Gmail"),"")</f>
        <v/>
      </c>
      <c r="J2713">
        <f>IF(E2713="Outlook",COUNTIF($E$2:E2713,"Outlook"),"")</f>
        <v/>
      </c>
      <c r="K2713">
        <f>IF(E2713="Domain",COUNTIF($E$2:E2713,"Domain"),"")</f>
        <v/>
      </c>
    </row>
    <row r="2714">
      <c r="A2714" s="2" t="n"/>
      <c r="B2714">
        <f>LOWER(TRIM(A2714))</f>
        <v/>
      </c>
      <c r="C2714">
        <f>IF(B2714="","",IFERROR(INDEX('Bad Patterns'!$A$2:$A$120,MATCH(1,INDEX(--ISNUMBER(SEARCH('Bad Patterns'!$A$2:$A$120,B2714)),0),0)),""))</f>
        <v/>
      </c>
      <c r="D2714">
        <f>IF(B2714="","",IF(C2714&lt;&gt;"","REMOVE","KEEP"))</f>
        <v/>
      </c>
      <c r="E2714">
        <f>IF(D2714&lt;&gt;"KEEP","",IF(RIGHT(B2714,10)="@gmail.com","Gmail",IF(OR(RIGHT(B2714,12)="@outlook.com",RIGHT(B2714,12)="@hotmail.com",RIGHT(B2714,9)="@live.com"),"Outlook","Domain")))</f>
        <v/>
      </c>
      <c r="F2714">
        <f>IF(B2714="","",IFERROR(RIGHT(B2714,LEN(B2714)-FIND("@",B2714)),""))</f>
        <v/>
      </c>
      <c r="G2714">
        <f>IF(D2714="KEEP",COUNTIF($D$2:D2714,"KEEP"),"")</f>
        <v/>
      </c>
      <c r="H2714">
        <f>IF(D2714="REMOVE",COUNTIF($D$2:D2714,"REMOVE"),"")</f>
        <v/>
      </c>
      <c r="I2714">
        <f>IF(E2714="Gmail",COUNTIF($E$2:E2714,"Gmail"),"")</f>
        <v/>
      </c>
      <c r="J2714">
        <f>IF(E2714="Outlook",COUNTIF($E$2:E2714,"Outlook"),"")</f>
        <v/>
      </c>
      <c r="K2714">
        <f>IF(E2714="Domain",COUNTIF($E$2:E2714,"Domain"),"")</f>
        <v/>
      </c>
    </row>
    <row r="2715">
      <c r="A2715" s="2" t="n"/>
      <c r="B2715">
        <f>LOWER(TRIM(A2715))</f>
        <v/>
      </c>
      <c r="C2715">
        <f>IF(B2715="","",IFERROR(INDEX('Bad Patterns'!$A$2:$A$120,MATCH(1,INDEX(--ISNUMBER(SEARCH('Bad Patterns'!$A$2:$A$120,B2715)),0),0)),""))</f>
        <v/>
      </c>
      <c r="D2715">
        <f>IF(B2715="","",IF(C2715&lt;&gt;"","REMOVE","KEEP"))</f>
        <v/>
      </c>
      <c r="E2715">
        <f>IF(D2715&lt;&gt;"KEEP","",IF(RIGHT(B2715,10)="@gmail.com","Gmail",IF(OR(RIGHT(B2715,12)="@outlook.com",RIGHT(B2715,12)="@hotmail.com",RIGHT(B2715,9)="@live.com"),"Outlook","Domain")))</f>
        <v/>
      </c>
      <c r="F2715">
        <f>IF(B2715="","",IFERROR(RIGHT(B2715,LEN(B2715)-FIND("@",B2715)),""))</f>
        <v/>
      </c>
      <c r="G2715">
        <f>IF(D2715="KEEP",COUNTIF($D$2:D2715,"KEEP"),"")</f>
        <v/>
      </c>
      <c r="H2715">
        <f>IF(D2715="REMOVE",COUNTIF($D$2:D2715,"REMOVE"),"")</f>
        <v/>
      </c>
      <c r="I2715">
        <f>IF(E2715="Gmail",COUNTIF($E$2:E2715,"Gmail"),"")</f>
        <v/>
      </c>
      <c r="J2715">
        <f>IF(E2715="Outlook",COUNTIF($E$2:E2715,"Outlook"),"")</f>
        <v/>
      </c>
      <c r="K2715">
        <f>IF(E2715="Domain",COUNTIF($E$2:E2715,"Domain"),"")</f>
        <v/>
      </c>
    </row>
    <row r="2716">
      <c r="A2716" s="2" t="n"/>
      <c r="B2716">
        <f>LOWER(TRIM(A2716))</f>
        <v/>
      </c>
      <c r="C2716">
        <f>IF(B2716="","",IFERROR(INDEX('Bad Patterns'!$A$2:$A$120,MATCH(1,INDEX(--ISNUMBER(SEARCH('Bad Patterns'!$A$2:$A$120,B2716)),0),0)),""))</f>
        <v/>
      </c>
      <c r="D2716">
        <f>IF(B2716="","",IF(C2716&lt;&gt;"","REMOVE","KEEP"))</f>
        <v/>
      </c>
      <c r="E2716">
        <f>IF(D2716&lt;&gt;"KEEP","",IF(RIGHT(B2716,10)="@gmail.com","Gmail",IF(OR(RIGHT(B2716,12)="@outlook.com",RIGHT(B2716,12)="@hotmail.com",RIGHT(B2716,9)="@live.com"),"Outlook","Domain")))</f>
        <v/>
      </c>
      <c r="F2716">
        <f>IF(B2716="","",IFERROR(RIGHT(B2716,LEN(B2716)-FIND("@",B2716)),""))</f>
        <v/>
      </c>
      <c r="G2716">
        <f>IF(D2716="KEEP",COUNTIF($D$2:D2716,"KEEP"),"")</f>
        <v/>
      </c>
      <c r="H2716">
        <f>IF(D2716="REMOVE",COUNTIF($D$2:D2716,"REMOVE"),"")</f>
        <v/>
      </c>
      <c r="I2716">
        <f>IF(E2716="Gmail",COUNTIF($E$2:E2716,"Gmail"),"")</f>
        <v/>
      </c>
      <c r="J2716">
        <f>IF(E2716="Outlook",COUNTIF($E$2:E2716,"Outlook"),"")</f>
        <v/>
      </c>
      <c r="K2716">
        <f>IF(E2716="Domain",COUNTIF($E$2:E2716,"Domain"),"")</f>
        <v/>
      </c>
    </row>
    <row r="2717">
      <c r="A2717" s="2" t="n"/>
      <c r="B2717">
        <f>LOWER(TRIM(A2717))</f>
        <v/>
      </c>
      <c r="C2717">
        <f>IF(B2717="","",IFERROR(INDEX('Bad Patterns'!$A$2:$A$120,MATCH(1,INDEX(--ISNUMBER(SEARCH('Bad Patterns'!$A$2:$A$120,B2717)),0),0)),""))</f>
        <v/>
      </c>
      <c r="D2717">
        <f>IF(B2717="","",IF(C2717&lt;&gt;"","REMOVE","KEEP"))</f>
        <v/>
      </c>
      <c r="E2717">
        <f>IF(D2717&lt;&gt;"KEEP","",IF(RIGHT(B2717,10)="@gmail.com","Gmail",IF(OR(RIGHT(B2717,12)="@outlook.com",RIGHT(B2717,12)="@hotmail.com",RIGHT(B2717,9)="@live.com"),"Outlook","Domain")))</f>
        <v/>
      </c>
      <c r="F2717">
        <f>IF(B2717="","",IFERROR(RIGHT(B2717,LEN(B2717)-FIND("@",B2717)),""))</f>
        <v/>
      </c>
      <c r="G2717">
        <f>IF(D2717="KEEP",COUNTIF($D$2:D2717,"KEEP"),"")</f>
        <v/>
      </c>
      <c r="H2717">
        <f>IF(D2717="REMOVE",COUNTIF($D$2:D2717,"REMOVE"),"")</f>
        <v/>
      </c>
      <c r="I2717">
        <f>IF(E2717="Gmail",COUNTIF($E$2:E2717,"Gmail"),"")</f>
        <v/>
      </c>
      <c r="J2717">
        <f>IF(E2717="Outlook",COUNTIF($E$2:E2717,"Outlook"),"")</f>
        <v/>
      </c>
      <c r="K2717">
        <f>IF(E2717="Domain",COUNTIF($E$2:E2717,"Domain"),"")</f>
        <v/>
      </c>
    </row>
    <row r="2718">
      <c r="A2718" s="2" t="n"/>
      <c r="B2718">
        <f>LOWER(TRIM(A2718))</f>
        <v/>
      </c>
      <c r="C2718">
        <f>IF(B2718="","",IFERROR(INDEX('Bad Patterns'!$A$2:$A$120,MATCH(1,INDEX(--ISNUMBER(SEARCH('Bad Patterns'!$A$2:$A$120,B2718)),0),0)),""))</f>
        <v/>
      </c>
      <c r="D2718">
        <f>IF(B2718="","",IF(C2718&lt;&gt;"","REMOVE","KEEP"))</f>
        <v/>
      </c>
      <c r="E2718">
        <f>IF(D2718&lt;&gt;"KEEP","",IF(RIGHT(B2718,10)="@gmail.com","Gmail",IF(OR(RIGHT(B2718,12)="@outlook.com",RIGHT(B2718,12)="@hotmail.com",RIGHT(B2718,9)="@live.com"),"Outlook","Domain")))</f>
        <v/>
      </c>
      <c r="F2718">
        <f>IF(B2718="","",IFERROR(RIGHT(B2718,LEN(B2718)-FIND("@",B2718)),""))</f>
        <v/>
      </c>
      <c r="G2718">
        <f>IF(D2718="KEEP",COUNTIF($D$2:D2718,"KEEP"),"")</f>
        <v/>
      </c>
      <c r="H2718">
        <f>IF(D2718="REMOVE",COUNTIF($D$2:D2718,"REMOVE"),"")</f>
        <v/>
      </c>
      <c r="I2718">
        <f>IF(E2718="Gmail",COUNTIF($E$2:E2718,"Gmail"),"")</f>
        <v/>
      </c>
      <c r="J2718">
        <f>IF(E2718="Outlook",COUNTIF($E$2:E2718,"Outlook"),"")</f>
        <v/>
      </c>
      <c r="K2718">
        <f>IF(E2718="Domain",COUNTIF($E$2:E2718,"Domain"),"")</f>
        <v/>
      </c>
    </row>
    <row r="2719">
      <c r="A2719" s="2" t="n"/>
      <c r="B2719">
        <f>LOWER(TRIM(A2719))</f>
        <v/>
      </c>
      <c r="C2719">
        <f>IF(B2719="","",IFERROR(INDEX('Bad Patterns'!$A$2:$A$120,MATCH(1,INDEX(--ISNUMBER(SEARCH('Bad Patterns'!$A$2:$A$120,B2719)),0),0)),""))</f>
        <v/>
      </c>
      <c r="D2719">
        <f>IF(B2719="","",IF(C2719&lt;&gt;"","REMOVE","KEEP"))</f>
        <v/>
      </c>
      <c r="E2719">
        <f>IF(D2719&lt;&gt;"KEEP","",IF(RIGHT(B2719,10)="@gmail.com","Gmail",IF(OR(RIGHT(B2719,12)="@outlook.com",RIGHT(B2719,12)="@hotmail.com",RIGHT(B2719,9)="@live.com"),"Outlook","Domain")))</f>
        <v/>
      </c>
      <c r="F2719">
        <f>IF(B2719="","",IFERROR(RIGHT(B2719,LEN(B2719)-FIND("@",B2719)),""))</f>
        <v/>
      </c>
      <c r="G2719">
        <f>IF(D2719="KEEP",COUNTIF($D$2:D2719,"KEEP"),"")</f>
        <v/>
      </c>
      <c r="H2719">
        <f>IF(D2719="REMOVE",COUNTIF($D$2:D2719,"REMOVE"),"")</f>
        <v/>
      </c>
      <c r="I2719">
        <f>IF(E2719="Gmail",COUNTIF($E$2:E2719,"Gmail"),"")</f>
        <v/>
      </c>
      <c r="J2719">
        <f>IF(E2719="Outlook",COUNTIF($E$2:E2719,"Outlook"),"")</f>
        <v/>
      </c>
      <c r="K2719">
        <f>IF(E2719="Domain",COUNTIF($E$2:E2719,"Domain"),"")</f>
        <v/>
      </c>
    </row>
    <row r="2720">
      <c r="A2720" s="2" t="n"/>
      <c r="B2720">
        <f>LOWER(TRIM(A2720))</f>
        <v/>
      </c>
      <c r="C2720">
        <f>IF(B2720="","",IFERROR(INDEX('Bad Patterns'!$A$2:$A$120,MATCH(1,INDEX(--ISNUMBER(SEARCH('Bad Patterns'!$A$2:$A$120,B2720)),0),0)),""))</f>
        <v/>
      </c>
      <c r="D2720">
        <f>IF(B2720="","",IF(C2720&lt;&gt;"","REMOVE","KEEP"))</f>
        <v/>
      </c>
      <c r="E2720">
        <f>IF(D2720&lt;&gt;"KEEP","",IF(RIGHT(B2720,10)="@gmail.com","Gmail",IF(OR(RIGHT(B2720,12)="@outlook.com",RIGHT(B2720,12)="@hotmail.com",RIGHT(B2720,9)="@live.com"),"Outlook","Domain")))</f>
        <v/>
      </c>
      <c r="F2720">
        <f>IF(B2720="","",IFERROR(RIGHT(B2720,LEN(B2720)-FIND("@",B2720)),""))</f>
        <v/>
      </c>
      <c r="G2720">
        <f>IF(D2720="KEEP",COUNTIF($D$2:D2720,"KEEP"),"")</f>
        <v/>
      </c>
      <c r="H2720">
        <f>IF(D2720="REMOVE",COUNTIF($D$2:D2720,"REMOVE"),"")</f>
        <v/>
      </c>
      <c r="I2720">
        <f>IF(E2720="Gmail",COUNTIF($E$2:E2720,"Gmail"),"")</f>
        <v/>
      </c>
      <c r="J2720">
        <f>IF(E2720="Outlook",COUNTIF($E$2:E2720,"Outlook"),"")</f>
        <v/>
      </c>
      <c r="K2720">
        <f>IF(E2720="Domain",COUNTIF($E$2:E2720,"Domain"),"")</f>
        <v/>
      </c>
    </row>
    <row r="2721">
      <c r="A2721" s="2" t="n"/>
      <c r="B2721">
        <f>LOWER(TRIM(A2721))</f>
        <v/>
      </c>
      <c r="C2721">
        <f>IF(B2721="","",IFERROR(INDEX('Bad Patterns'!$A$2:$A$120,MATCH(1,INDEX(--ISNUMBER(SEARCH('Bad Patterns'!$A$2:$A$120,B2721)),0),0)),""))</f>
        <v/>
      </c>
      <c r="D2721">
        <f>IF(B2721="","",IF(C2721&lt;&gt;"","REMOVE","KEEP"))</f>
        <v/>
      </c>
      <c r="E2721">
        <f>IF(D2721&lt;&gt;"KEEP","",IF(RIGHT(B2721,10)="@gmail.com","Gmail",IF(OR(RIGHT(B2721,12)="@outlook.com",RIGHT(B2721,12)="@hotmail.com",RIGHT(B2721,9)="@live.com"),"Outlook","Domain")))</f>
        <v/>
      </c>
      <c r="F2721">
        <f>IF(B2721="","",IFERROR(RIGHT(B2721,LEN(B2721)-FIND("@",B2721)),""))</f>
        <v/>
      </c>
      <c r="G2721">
        <f>IF(D2721="KEEP",COUNTIF($D$2:D2721,"KEEP"),"")</f>
        <v/>
      </c>
      <c r="H2721">
        <f>IF(D2721="REMOVE",COUNTIF($D$2:D2721,"REMOVE"),"")</f>
        <v/>
      </c>
      <c r="I2721">
        <f>IF(E2721="Gmail",COUNTIF($E$2:E2721,"Gmail"),"")</f>
        <v/>
      </c>
      <c r="J2721">
        <f>IF(E2721="Outlook",COUNTIF($E$2:E2721,"Outlook"),"")</f>
        <v/>
      </c>
      <c r="K2721">
        <f>IF(E2721="Domain",COUNTIF($E$2:E2721,"Domain"),"")</f>
        <v/>
      </c>
    </row>
    <row r="2722">
      <c r="A2722" s="2" t="n"/>
      <c r="B2722">
        <f>LOWER(TRIM(A2722))</f>
        <v/>
      </c>
      <c r="C2722">
        <f>IF(B2722="","",IFERROR(INDEX('Bad Patterns'!$A$2:$A$120,MATCH(1,INDEX(--ISNUMBER(SEARCH('Bad Patterns'!$A$2:$A$120,B2722)),0),0)),""))</f>
        <v/>
      </c>
      <c r="D2722">
        <f>IF(B2722="","",IF(C2722&lt;&gt;"","REMOVE","KEEP"))</f>
        <v/>
      </c>
      <c r="E2722">
        <f>IF(D2722&lt;&gt;"KEEP","",IF(RIGHT(B2722,10)="@gmail.com","Gmail",IF(OR(RIGHT(B2722,12)="@outlook.com",RIGHT(B2722,12)="@hotmail.com",RIGHT(B2722,9)="@live.com"),"Outlook","Domain")))</f>
        <v/>
      </c>
      <c r="F2722">
        <f>IF(B2722="","",IFERROR(RIGHT(B2722,LEN(B2722)-FIND("@",B2722)),""))</f>
        <v/>
      </c>
      <c r="G2722">
        <f>IF(D2722="KEEP",COUNTIF($D$2:D2722,"KEEP"),"")</f>
        <v/>
      </c>
      <c r="H2722">
        <f>IF(D2722="REMOVE",COUNTIF($D$2:D2722,"REMOVE"),"")</f>
        <v/>
      </c>
      <c r="I2722">
        <f>IF(E2722="Gmail",COUNTIF($E$2:E2722,"Gmail"),"")</f>
        <v/>
      </c>
      <c r="J2722">
        <f>IF(E2722="Outlook",COUNTIF($E$2:E2722,"Outlook"),"")</f>
        <v/>
      </c>
      <c r="K2722">
        <f>IF(E2722="Domain",COUNTIF($E$2:E2722,"Domain"),"")</f>
        <v/>
      </c>
    </row>
    <row r="2723">
      <c r="A2723" s="2" t="n"/>
      <c r="B2723">
        <f>LOWER(TRIM(A2723))</f>
        <v/>
      </c>
      <c r="C2723">
        <f>IF(B2723="","",IFERROR(INDEX('Bad Patterns'!$A$2:$A$120,MATCH(1,INDEX(--ISNUMBER(SEARCH('Bad Patterns'!$A$2:$A$120,B2723)),0),0)),""))</f>
        <v/>
      </c>
      <c r="D2723">
        <f>IF(B2723="","",IF(C2723&lt;&gt;"","REMOVE","KEEP"))</f>
        <v/>
      </c>
      <c r="E2723">
        <f>IF(D2723&lt;&gt;"KEEP","",IF(RIGHT(B2723,10)="@gmail.com","Gmail",IF(OR(RIGHT(B2723,12)="@outlook.com",RIGHT(B2723,12)="@hotmail.com",RIGHT(B2723,9)="@live.com"),"Outlook","Domain")))</f>
        <v/>
      </c>
      <c r="F2723">
        <f>IF(B2723="","",IFERROR(RIGHT(B2723,LEN(B2723)-FIND("@",B2723)),""))</f>
        <v/>
      </c>
      <c r="G2723">
        <f>IF(D2723="KEEP",COUNTIF($D$2:D2723,"KEEP"),"")</f>
        <v/>
      </c>
      <c r="H2723">
        <f>IF(D2723="REMOVE",COUNTIF($D$2:D2723,"REMOVE"),"")</f>
        <v/>
      </c>
      <c r="I2723">
        <f>IF(E2723="Gmail",COUNTIF($E$2:E2723,"Gmail"),"")</f>
        <v/>
      </c>
      <c r="J2723">
        <f>IF(E2723="Outlook",COUNTIF($E$2:E2723,"Outlook"),"")</f>
        <v/>
      </c>
      <c r="K2723">
        <f>IF(E2723="Domain",COUNTIF($E$2:E2723,"Domain"),"")</f>
        <v/>
      </c>
    </row>
    <row r="2724">
      <c r="A2724" s="2" t="n"/>
      <c r="B2724">
        <f>LOWER(TRIM(A2724))</f>
        <v/>
      </c>
      <c r="C2724">
        <f>IF(B2724="","",IFERROR(INDEX('Bad Patterns'!$A$2:$A$120,MATCH(1,INDEX(--ISNUMBER(SEARCH('Bad Patterns'!$A$2:$A$120,B2724)),0),0)),""))</f>
        <v/>
      </c>
      <c r="D2724">
        <f>IF(B2724="","",IF(C2724&lt;&gt;"","REMOVE","KEEP"))</f>
        <v/>
      </c>
      <c r="E2724">
        <f>IF(D2724&lt;&gt;"KEEP","",IF(RIGHT(B2724,10)="@gmail.com","Gmail",IF(OR(RIGHT(B2724,12)="@outlook.com",RIGHT(B2724,12)="@hotmail.com",RIGHT(B2724,9)="@live.com"),"Outlook","Domain")))</f>
        <v/>
      </c>
      <c r="F2724">
        <f>IF(B2724="","",IFERROR(RIGHT(B2724,LEN(B2724)-FIND("@",B2724)),""))</f>
        <v/>
      </c>
      <c r="G2724">
        <f>IF(D2724="KEEP",COUNTIF($D$2:D2724,"KEEP"),"")</f>
        <v/>
      </c>
      <c r="H2724">
        <f>IF(D2724="REMOVE",COUNTIF($D$2:D2724,"REMOVE"),"")</f>
        <v/>
      </c>
      <c r="I2724">
        <f>IF(E2724="Gmail",COUNTIF($E$2:E2724,"Gmail"),"")</f>
        <v/>
      </c>
      <c r="J2724">
        <f>IF(E2724="Outlook",COUNTIF($E$2:E2724,"Outlook"),"")</f>
        <v/>
      </c>
      <c r="K2724">
        <f>IF(E2724="Domain",COUNTIF($E$2:E2724,"Domain"),"")</f>
        <v/>
      </c>
    </row>
    <row r="2725">
      <c r="A2725" s="2" t="n"/>
      <c r="B2725">
        <f>LOWER(TRIM(A2725))</f>
        <v/>
      </c>
      <c r="C2725">
        <f>IF(B2725="","",IFERROR(INDEX('Bad Patterns'!$A$2:$A$120,MATCH(1,INDEX(--ISNUMBER(SEARCH('Bad Patterns'!$A$2:$A$120,B2725)),0),0)),""))</f>
        <v/>
      </c>
      <c r="D2725">
        <f>IF(B2725="","",IF(C2725&lt;&gt;"","REMOVE","KEEP"))</f>
        <v/>
      </c>
      <c r="E2725">
        <f>IF(D2725&lt;&gt;"KEEP","",IF(RIGHT(B2725,10)="@gmail.com","Gmail",IF(OR(RIGHT(B2725,12)="@outlook.com",RIGHT(B2725,12)="@hotmail.com",RIGHT(B2725,9)="@live.com"),"Outlook","Domain")))</f>
        <v/>
      </c>
      <c r="F2725">
        <f>IF(B2725="","",IFERROR(RIGHT(B2725,LEN(B2725)-FIND("@",B2725)),""))</f>
        <v/>
      </c>
      <c r="G2725">
        <f>IF(D2725="KEEP",COUNTIF($D$2:D2725,"KEEP"),"")</f>
        <v/>
      </c>
      <c r="H2725">
        <f>IF(D2725="REMOVE",COUNTIF($D$2:D2725,"REMOVE"),"")</f>
        <v/>
      </c>
      <c r="I2725">
        <f>IF(E2725="Gmail",COUNTIF($E$2:E2725,"Gmail"),"")</f>
        <v/>
      </c>
      <c r="J2725">
        <f>IF(E2725="Outlook",COUNTIF($E$2:E2725,"Outlook"),"")</f>
        <v/>
      </c>
      <c r="K2725">
        <f>IF(E2725="Domain",COUNTIF($E$2:E2725,"Domain"),"")</f>
        <v/>
      </c>
    </row>
    <row r="2726">
      <c r="A2726" s="2" t="n"/>
      <c r="B2726">
        <f>LOWER(TRIM(A2726))</f>
        <v/>
      </c>
      <c r="C2726">
        <f>IF(B2726="","",IFERROR(INDEX('Bad Patterns'!$A$2:$A$120,MATCH(1,INDEX(--ISNUMBER(SEARCH('Bad Patterns'!$A$2:$A$120,B2726)),0),0)),""))</f>
        <v/>
      </c>
      <c r="D2726">
        <f>IF(B2726="","",IF(C2726&lt;&gt;"","REMOVE","KEEP"))</f>
        <v/>
      </c>
      <c r="E2726">
        <f>IF(D2726&lt;&gt;"KEEP","",IF(RIGHT(B2726,10)="@gmail.com","Gmail",IF(OR(RIGHT(B2726,12)="@outlook.com",RIGHT(B2726,12)="@hotmail.com",RIGHT(B2726,9)="@live.com"),"Outlook","Domain")))</f>
        <v/>
      </c>
      <c r="F2726">
        <f>IF(B2726="","",IFERROR(RIGHT(B2726,LEN(B2726)-FIND("@",B2726)),""))</f>
        <v/>
      </c>
      <c r="G2726">
        <f>IF(D2726="KEEP",COUNTIF($D$2:D2726,"KEEP"),"")</f>
        <v/>
      </c>
      <c r="H2726">
        <f>IF(D2726="REMOVE",COUNTIF($D$2:D2726,"REMOVE"),"")</f>
        <v/>
      </c>
      <c r="I2726">
        <f>IF(E2726="Gmail",COUNTIF($E$2:E2726,"Gmail"),"")</f>
        <v/>
      </c>
      <c r="J2726">
        <f>IF(E2726="Outlook",COUNTIF($E$2:E2726,"Outlook"),"")</f>
        <v/>
      </c>
      <c r="K2726">
        <f>IF(E2726="Domain",COUNTIF($E$2:E2726,"Domain"),"")</f>
        <v/>
      </c>
    </row>
    <row r="2727">
      <c r="A2727" s="2" t="n"/>
      <c r="B2727">
        <f>LOWER(TRIM(A2727))</f>
        <v/>
      </c>
      <c r="C2727">
        <f>IF(B2727="","",IFERROR(INDEX('Bad Patterns'!$A$2:$A$120,MATCH(1,INDEX(--ISNUMBER(SEARCH('Bad Patterns'!$A$2:$A$120,B2727)),0),0)),""))</f>
        <v/>
      </c>
      <c r="D2727">
        <f>IF(B2727="","",IF(C2727&lt;&gt;"","REMOVE","KEEP"))</f>
        <v/>
      </c>
      <c r="E2727">
        <f>IF(D2727&lt;&gt;"KEEP","",IF(RIGHT(B2727,10)="@gmail.com","Gmail",IF(OR(RIGHT(B2727,12)="@outlook.com",RIGHT(B2727,12)="@hotmail.com",RIGHT(B2727,9)="@live.com"),"Outlook","Domain")))</f>
        <v/>
      </c>
      <c r="F2727">
        <f>IF(B2727="","",IFERROR(RIGHT(B2727,LEN(B2727)-FIND("@",B2727)),""))</f>
        <v/>
      </c>
      <c r="G2727">
        <f>IF(D2727="KEEP",COUNTIF($D$2:D2727,"KEEP"),"")</f>
        <v/>
      </c>
      <c r="H2727">
        <f>IF(D2727="REMOVE",COUNTIF($D$2:D2727,"REMOVE"),"")</f>
        <v/>
      </c>
      <c r="I2727">
        <f>IF(E2727="Gmail",COUNTIF($E$2:E2727,"Gmail"),"")</f>
        <v/>
      </c>
      <c r="J2727">
        <f>IF(E2727="Outlook",COUNTIF($E$2:E2727,"Outlook"),"")</f>
        <v/>
      </c>
      <c r="K2727">
        <f>IF(E2727="Domain",COUNTIF($E$2:E2727,"Domain"),"")</f>
        <v/>
      </c>
    </row>
    <row r="2728">
      <c r="A2728" s="2" t="n"/>
      <c r="B2728">
        <f>LOWER(TRIM(A2728))</f>
        <v/>
      </c>
      <c r="C2728">
        <f>IF(B2728="","",IFERROR(INDEX('Bad Patterns'!$A$2:$A$120,MATCH(1,INDEX(--ISNUMBER(SEARCH('Bad Patterns'!$A$2:$A$120,B2728)),0),0)),""))</f>
        <v/>
      </c>
      <c r="D2728">
        <f>IF(B2728="","",IF(C2728&lt;&gt;"","REMOVE","KEEP"))</f>
        <v/>
      </c>
      <c r="E2728">
        <f>IF(D2728&lt;&gt;"KEEP","",IF(RIGHT(B2728,10)="@gmail.com","Gmail",IF(OR(RIGHT(B2728,12)="@outlook.com",RIGHT(B2728,12)="@hotmail.com",RIGHT(B2728,9)="@live.com"),"Outlook","Domain")))</f>
        <v/>
      </c>
      <c r="F2728">
        <f>IF(B2728="","",IFERROR(RIGHT(B2728,LEN(B2728)-FIND("@",B2728)),""))</f>
        <v/>
      </c>
      <c r="G2728">
        <f>IF(D2728="KEEP",COUNTIF($D$2:D2728,"KEEP"),"")</f>
        <v/>
      </c>
      <c r="H2728">
        <f>IF(D2728="REMOVE",COUNTIF($D$2:D2728,"REMOVE"),"")</f>
        <v/>
      </c>
      <c r="I2728">
        <f>IF(E2728="Gmail",COUNTIF($E$2:E2728,"Gmail"),"")</f>
        <v/>
      </c>
      <c r="J2728">
        <f>IF(E2728="Outlook",COUNTIF($E$2:E2728,"Outlook"),"")</f>
        <v/>
      </c>
      <c r="K2728">
        <f>IF(E2728="Domain",COUNTIF($E$2:E2728,"Domain"),"")</f>
        <v/>
      </c>
    </row>
    <row r="2729">
      <c r="A2729" s="2" t="n"/>
      <c r="B2729">
        <f>LOWER(TRIM(A2729))</f>
        <v/>
      </c>
      <c r="C2729">
        <f>IF(B2729="","",IFERROR(INDEX('Bad Patterns'!$A$2:$A$120,MATCH(1,INDEX(--ISNUMBER(SEARCH('Bad Patterns'!$A$2:$A$120,B2729)),0),0)),""))</f>
        <v/>
      </c>
      <c r="D2729">
        <f>IF(B2729="","",IF(C2729&lt;&gt;"","REMOVE","KEEP"))</f>
        <v/>
      </c>
      <c r="E2729">
        <f>IF(D2729&lt;&gt;"KEEP","",IF(RIGHT(B2729,10)="@gmail.com","Gmail",IF(OR(RIGHT(B2729,12)="@outlook.com",RIGHT(B2729,12)="@hotmail.com",RIGHT(B2729,9)="@live.com"),"Outlook","Domain")))</f>
        <v/>
      </c>
      <c r="F2729">
        <f>IF(B2729="","",IFERROR(RIGHT(B2729,LEN(B2729)-FIND("@",B2729)),""))</f>
        <v/>
      </c>
      <c r="G2729">
        <f>IF(D2729="KEEP",COUNTIF($D$2:D2729,"KEEP"),"")</f>
        <v/>
      </c>
      <c r="H2729">
        <f>IF(D2729="REMOVE",COUNTIF($D$2:D2729,"REMOVE"),"")</f>
        <v/>
      </c>
      <c r="I2729">
        <f>IF(E2729="Gmail",COUNTIF($E$2:E2729,"Gmail"),"")</f>
        <v/>
      </c>
      <c r="J2729">
        <f>IF(E2729="Outlook",COUNTIF($E$2:E2729,"Outlook"),"")</f>
        <v/>
      </c>
      <c r="K2729">
        <f>IF(E2729="Domain",COUNTIF($E$2:E2729,"Domain"),"")</f>
        <v/>
      </c>
    </row>
    <row r="2730">
      <c r="A2730" s="2" t="n"/>
      <c r="B2730">
        <f>LOWER(TRIM(A2730))</f>
        <v/>
      </c>
      <c r="C2730">
        <f>IF(B2730="","",IFERROR(INDEX('Bad Patterns'!$A$2:$A$120,MATCH(1,INDEX(--ISNUMBER(SEARCH('Bad Patterns'!$A$2:$A$120,B2730)),0),0)),""))</f>
        <v/>
      </c>
      <c r="D2730">
        <f>IF(B2730="","",IF(C2730&lt;&gt;"","REMOVE","KEEP"))</f>
        <v/>
      </c>
      <c r="E2730">
        <f>IF(D2730&lt;&gt;"KEEP","",IF(RIGHT(B2730,10)="@gmail.com","Gmail",IF(OR(RIGHT(B2730,12)="@outlook.com",RIGHT(B2730,12)="@hotmail.com",RIGHT(B2730,9)="@live.com"),"Outlook","Domain")))</f>
        <v/>
      </c>
      <c r="F2730">
        <f>IF(B2730="","",IFERROR(RIGHT(B2730,LEN(B2730)-FIND("@",B2730)),""))</f>
        <v/>
      </c>
      <c r="G2730">
        <f>IF(D2730="KEEP",COUNTIF($D$2:D2730,"KEEP"),"")</f>
        <v/>
      </c>
      <c r="H2730">
        <f>IF(D2730="REMOVE",COUNTIF($D$2:D2730,"REMOVE"),"")</f>
        <v/>
      </c>
      <c r="I2730">
        <f>IF(E2730="Gmail",COUNTIF($E$2:E2730,"Gmail"),"")</f>
        <v/>
      </c>
      <c r="J2730">
        <f>IF(E2730="Outlook",COUNTIF($E$2:E2730,"Outlook"),"")</f>
        <v/>
      </c>
      <c r="K2730">
        <f>IF(E2730="Domain",COUNTIF($E$2:E2730,"Domain"),"")</f>
        <v/>
      </c>
    </row>
    <row r="2731">
      <c r="A2731" s="2" t="n"/>
      <c r="B2731">
        <f>LOWER(TRIM(A2731))</f>
        <v/>
      </c>
      <c r="C2731">
        <f>IF(B2731="","",IFERROR(INDEX('Bad Patterns'!$A$2:$A$120,MATCH(1,INDEX(--ISNUMBER(SEARCH('Bad Patterns'!$A$2:$A$120,B2731)),0),0)),""))</f>
        <v/>
      </c>
      <c r="D2731">
        <f>IF(B2731="","",IF(C2731&lt;&gt;"","REMOVE","KEEP"))</f>
        <v/>
      </c>
      <c r="E2731">
        <f>IF(D2731&lt;&gt;"KEEP","",IF(RIGHT(B2731,10)="@gmail.com","Gmail",IF(OR(RIGHT(B2731,12)="@outlook.com",RIGHT(B2731,12)="@hotmail.com",RIGHT(B2731,9)="@live.com"),"Outlook","Domain")))</f>
        <v/>
      </c>
      <c r="F2731">
        <f>IF(B2731="","",IFERROR(RIGHT(B2731,LEN(B2731)-FIND("@",B2731)),""))</f>
        <v/>
      </c>
      <c r="G2731">
        <f>IF(D2731="KEEP",COUNTIF($D$2:D2731,"KEEP"),"")</f>
        <v/>
      </c>
      <c r="H2731">
        <f>IF(D2731="REMOVE",COUNTIF($D$2:D2731,"REMOVE"),"")</f>
        <v/>
      </c>
      <c r="I2731">
        <f>IF(E2731="Gmail",COUNTIF($E$2:E2731,"Gmail"),"")</f>
        <v/>
      </c>
      <c r="J2731">
        <f>IF(E2731="Outlook",COUNTIF($E$2:E2731,"Outlook"),"")</f>
        <v/>
      </c>
      <c r="K2731">
        <f>IF(E2731="Domain",COUNTIF($E$2:E2731,"Domain"),"")</f>
        <v/>
      </c>
    </row>
    <row r="2732">
      <c r="A2732" s="2" t="n"/>
      <c r="B2732">
        <f>LOWER(TRIM(A2732))</f>
        <v/>
      </c>
      <c r="C2732">
        <f>IF(B2732="","",IFERROR(INDEX('Bad Patterns'!$A$2:$A$120,MATCH(1,INDEX(--ISNUMBER(SEARCH('Bad Patterns'!$A$2:$A$120,B2732)),0),0)),""))</f>
        <v/>
      </c>
      <c r="D2732">
        <f>IF(B2732="","",IF(C2732&lt;&gt;"","REMOVE","KEEP"))</f>
        <v/>
      </c>
      <c r="E2732">
        <f>IF(D2732&lt;&gt;"KEEP","",IF(RIGHT(B2732,10)="@gmail.com","Gmail",IF(OR(RIGHT(B2732,12)="@outlook.com",RIGHT(B2732,12)="@hotmail.com",RIGHT(B2732,9)="@live.com"),"Outlook","Domain")))</f>
        <v/>
      </c>
      <c r="F2732">
        <f>IF(B2732="","",IFERROR(RIGHT(B2732,LEN(B2732)-FIND("@",B2732)),""))</f>
        <v/>
      </c>
      <c r="G2732">
        <f>IF(D2732="KEEP",COUNTIF($D$2:D2732,"KEEP"),"")</f>
        <v/>
      </c>
      <c r="H2732">
        <f>IF(D2732="REMOVE",COUNTIF($D$2:D2732,"REMOVE"),"")</f>
        <v/>
      </c>
      <c r="I2732">
        <f>IF(E2732="Gmail",COUNTIF($E$2:E2732,"Gmail"),"")</f>
        <v/>
      </c>
      <c r="J2732">
        <f>IF(E2732="Outlook",COUNTIF($E$2:E2732,"Outlook"),"")</f>
        <v/>
      </c>
      <c r="K2732">
        <f>IF(E2732="Domain",COUNTIF($E$2:E2732,"Domain"),"")</f>
        <v/>
      </c>
    </row>
    <row r="2733">
      <c r="A2733" s="2" t="n"/>
      <c r="B2733">
        <f>LOWER(TRIM(A2733))</f>
        <v/>
      </c>
      <c r="C2733">
        <f>IF(B2733="","",IFERROR(INDEX('Bad Patterns'!$A$2:$A$120,MATCH(1,INDEX(--ISNUMBER(SEARCH('Bad Patterns'!$A$2:$A$120,B2733)),0),0)),""))</f>
        <v/>
      </c>
      <c r="D2733">
        <f>IF(B2733="","",IF(C2733&lt;&gt;"","REMOVE","KEEP"))</f>
        <v/>
      </c>
      <c r="E2733">
        <f>IF(D2733&lt;&gt;"KEEP","",IF(RIGHT(B2733,10)="@gmail.com","Gmail",IF(OR(RIGHT(B2733,12)="@outlook.com",RIGHT(B2733,12)="@hotmail.com",RIGHT(B2733,9)="@live.com"),"Outlook","Domain")))</f>
        <v/>
      </c>
      <c r="F2733">
        <f>IF(B2733="","",IFERROR(RIGHT(B2733,LEN(B2733)-FIND("@",B2733)),""))</f>
        <v/>
      </c>
      <c r="G2733">
        <f>IF(D2733="KEEP",COUNTIF($D$2:D2733,"KEEP"),"")</f>
        <v/>
      </c>
      <c r="H2733">
        <f>IF(D2733="REMOVE",COUNTIF($D$2:D2733,"REMOVE"),"")</f>
        <v/>
      </c>
      <c r="I2733">
        <f>IF(E2733="Gmail",COUNTIF($E$2:E2733,"Gmail"),"")</f>
        <v/>
      </c>
      <c r="J2733">
        <f>IF(E2733="Outlook",COUNTIF($E$2:E2733,"Outlook"),"")</f>
        <v/>
      </c>
      <c r="K2733">
        <f>IF(E2733="Domain",COUNTIF($E$2:E2733,"Domain"),"")</f>
        <v/>
      </c>
    </row>
    <row r="2734">
      <c r="A2734" s="2" t="n"/>
      <c r="B2734">
        <f>LOWER(TRIM(A2734))</f>
        <v/>
      </c>
      <c r="C2734">
        <f>IF(B2734="","",IFERROR(INDEX('Bad Patterns'!$A$2:$A$120,MATCH(1,INDEX(--ISNUMBER(SEARCH('Bad Patterns'!$A$2:$A$120,B2734)),0),0)),""))</f>
        <v/>
      </c>
      <c r="D2734">
        <f>IF(B2734="","",IF(C2734&lt;&gt;"","REMOVE","KEEP"))</f>
        <v/>
      </c>
      <c r="E2734">
        <f>IF(D2734&lt;&gt;"KEEP","",IF(RIGHT(B2734,10)="@gmail.com","Gmail",IF(OR(RIGHT(B2734,12)="@outlook.com",RIGHT(B2734,12)="@hotmail.com",RIGHT(B2734,9)="@live.com"),"Outlook","Domain")))</f>
        <v/>
      </c>
      <c r="F2734">
        <f>IF(B2734="","",IFERROR(RIGHT(B2734,LEN(B2734)-FIND("@",B2734)),""))</f>
        <v/>
      </c>
      <c r="G2734">
        <f>IF(D2734="KEEP",COUNTIF($D$2:D2734,"KEEP"),"")</f>
        <v/>
      </c>
      <c r="H2734">
        <f>IF(D2734="REMOVE",COUNTIF($D$2:D2734,"REMOVE"),"")</f>
        <v/>
      </c>
      <c r="I2734">
        <f>IF(E2734="Gmail",COUNTIF($E$2:E2734,"Gmail"),"")</f>
        <v/>
      </c>
      <c r="J2734">
        <f>IF(E2734="Outlook",COUNTIF($E$2:E2734,"Outlook"),"")</f>
        <v/>
      </c>
      <c r="K2734">
        <f>IF(E2734="Domain",COUNTIF($E$2:E2734,"Domain"),"")</f>
        <v/>
      </c>
    </row>
    <row r="2735">
      <c r="A2735" s="2" t="n"/>
      <c r="B2735">
        <f>LOWER(TRIM(A2735))</f>
        <v/>
      </c>
      <c r="C2735">
        <f>IF(B2735="","",IFERROR(INDEX('Bad Patterns'!$A$2:$A$120,MATCH(1,INDEX(--ISNUMBER(SEARCH('Bad Patterns'!$A$2:$A$120,B2735)),0),0)),""))</f>
        <v/>
      </c>
      <c r="D2735">
        <f>IF(B2735="","",IF(C2735&lt;&gt;"","REMOVE","KEEP"))</f>
        <v/>
      </c>
      <c r="E2735">
        <f>IF(D2735&lt;&gt;"KEEP","",IF(RIGHT(B2735,10)="@gmail.com","Gmail",IF(OR(RIGHT(B2735,12)="@outlook.com",RIGHT(B2735,12)="@hotmail.com",RIGHT(B2735,9)="@live.com"),"Outlook","Domain")))</f>
        <v/>
      </c>
      <c r="F2735">
        <f>IF(B2735="","",IFERROR(RIGHT(B2735,LEN(B2735)-FIND("@",B2735)),""))</f>
        <v/>
      </c>
      <c r="G2735">
        <f>IF(D2735="KEEP",COUNTIF($D$2:D2735,"KEEP"),"")</f>
        <v/>
      </c>
      <c r="H2735">
        <f>IF(D2735="REMOVE",COUNTIF($D$2:D2735,"REMOVE"),"")</f>
        <v/>
      </c>
      <c r="I2735">
        <f>IF(E2735="Gmail",COUNTIF($E$2:E2735,"Gmail"),"")</f>
        <v/>
      </c>
      <c r="J2735">
        <f>IF(E2735="Outlook",COUNTIF($E$2:E2735,"Outlook"),"")</f>
        <v/>
      </c>
      <c r="K2735">
        <f>IF(E2735="Domain",COUNTIF($E$2:E2735,"Domain"),"")</f>
        <v/>
      </c>
    </row>
    <row r="2736">
      <c r="A2736" s="2" t="n"/>
      <c r="B2736">
        <f>LOWER(TRIM(A2736))</f>
        <v/>
      </c>
      <c r="C2736">
        <f>IF(B2736="","",IFERROR(INDEX('Bad Patterns'!$A$2:$A$120,MATCH(1,INDEX(--ISNUMBER(SEARCH('Bad Patterns'!$A$2:$A$120,B2736)),0),0)),""))</f>
        <v/>
      </c>
      <c r="D2736">
        <f>IF(B2736="","",IF(C2736&lt;&gt;"","REMOVE","KEEP"))</f>
        <v/>
      </c>
      <c r="E2736">
        <f>IF(D2736&lt;&gt;"KEEP","",IF(RIGHT(B2736,10)="@gmail.com","Gmail",IF(OR(RIGHT(B2736,12)="@outlook.com",RIGHT(B2736,12)="@hotmail.com",RIGHT(B2736,9)="@live.com"),"Outlook","Domain")))</f>
        <v/>
      </c>
      <c r="F2736">
        <f>IF(B2736="","",IFERROR(RIGHT(B2736,LEN(B2736)-FIND("@",B2736)),""))</f>
        <v/>
      </c>
      <c r="G2736">
        <f>IF(D2736="KEEP",COUNTIF($D$2:D2736,"KEEP"),"")</f>
        <v/>
      </c>
      <c r="H2736">
        <f>IF(D2736="REMOVE",COUNTIF($D$2:D2736,"REMOVE"),"")</f>
        <v/>
      </c>
      <c r="I2736">
        <f>IF(E2736="Gmail",COUNTIF($E$2:E2736,"Gmail"),"")</f>
        <v/>
      </c>
      <c r="J2736">
        <f>IF(E2736="Outlook",COUNTIF($E$2:E2736,"Outlook"),"")</f>
        <v/>
      </c>
      <c r="K2736">
        <f>IF(E2736="Domain",COUNTIF($E$2:E2736,"Domain"),"")</f>
        <v/>
      </c>
    </row>
    <row r="2737">
      <c r="A2737" s="2" t="n"/>
      <c r="B2737">
        <f>LOWER(TRIM(A2737))</f>
        <v/>
      </c>
      <c r="C2737">
        <f>IF(B2737="","",IFERROR(INDEX('Bad Patterns'!$A$2:$A$120,MATCH(1,INDEX(--ISNUMBER(SEARCH('Bad Patterns'!$A$2:$A$120,B2737)),0),0)),""))</f>
        <v/>
      </c>
      <c r="D2737">
        <f>IF(B2737="","",IF(C2737&lt;&gt;"","REMOVE","KEEP"))</f>
        <v/>
      </c>
      <c r="E2737">
        <f>IF(D2737&lt;&gt;"KEEP","",IF(RIGHT(B2737,10)="@gmail.com","Gmail",IF(OR(RIGHT(B2737,12)="@outlook.com",RIGHT(B2737,12)="@hotmail.com",RIGHT(B2737,9)="@live.com"),"Outlook","Domain")))</f>
        <v/>
      </c>
      <c r="F2737">
        <f>IF(B2737="","",IFERROR(RIGHT(B2737,LEN(B2737)-FIND("@",B2737)),""))</f>
        <v/>
      </c>
      <c r="G2737">
        <f>IF(D2737="KEEP",COUNTIF($D$2:D2737,"KEEP"),"")</f>
        <v/>
      </c>
      <c r="H2737">
        <f>IF(D2737="REMOVE",COUNTIF($D$2:D2737,"REMOVE"),"")</f>
        <v/>
      </c>
      <c r="I2737">
        <f>IF(E2737="Gmail",COUNTIF($E$2:E2737,"Gmail"),"")</f>
        <v/>
      </c>
      <c r="J2737">
        <f>IF(E2737="Outlook",COUNTIF($E$2:E2737,"Outlook"),"")</f>
        <v/>
      </c>
      <c r="K2737">
        <f>IF(E2737="Domain",COUNTIF($E$2:E2737,"Domain"),"")</f>
        <v/>
      </c>
    </row>
    <row r="2738">
      <c r="A2738" s="2" t="n"/>
      <c r="B2738">
        <f>LOWER(TRIM(A2738))</f>
        <v/>
      </c>
      <c r="C2738">
        <f>IF(B2738="","",IFERROR(INDEX('Bad Patterns'!$A$2:$A$120,MATCH(1,INDEX(--ISNUMBER(SEARCH('Bad Patterns'!$A$2:$A$120,B2738)),0),0)),""))</f>
        <v/>
      </c>
      <c r="D2738">
        <f>IF(B2738="","",IF(C2738&lt;&gt;"","REMOVE","KEEP"))</f>
        <v/>
      </c>
      <c r="E2738">
        <f>IF(D2738&lt;&gt;"KEEP","",IF(RIGHT(B2738,10)="@gmail.com","Gmail",IF(OR(RIGHT(B2738,12)="@outlook.com",RIGHT(B2738,12)="@hotmail.com",RIGHT(B2738,9)="@live.com"),"Outlook","Domain")))</f>
        <v/>
      </c>
      <c r="F2738">
        <f>IF(B2738="","",IFERROR(RIGHT(B2738,LEN(B2738)-FIND("@",B2738)),""))</f>
        <v/>
      </c>
      <c r="G2738">
        <f>IF(D2738="KEEP",COUNTIF($D$2:D2738,"KEEP"),"")</f>
        <v/>
      </c>
      <c r="H2738">
        <f>IF(D2738="REMOVE",COUNTIF($D$2:D2738,"REMOVE"),"")</f>
        <v/>
      </c>
      <c r="I2738">
        <f>IF(E2738="Gmail",COUNTIF($E$2:E2738,"Gmail"),"")</f>
        <v/>
      </c>
      <c r="J2738">
        <f>IF(E2738="Outlook",COUNTIF($E$2:E2738,"Outlook"),"")</f>
        <v/>
      </c>
      <c r="K2738">
        <f>IF(E2738="Domain",COUNTIF($E$2:E2738,"Domain"),"")</f>
        <v/>
      </c>
    </row>
    <row r="2739">
      <c r="A2739" s="2" t="n"/>
      <c r="B2739">
        <f>LOWER(TRIM(A2739))</f>
        <v/>
      </c>
      <c r="C2739">
        <f>IF(B2739="","",IFERROR(INDEX('Bad Patterns'!$A$2:$A$120,MATCH(1,INDEX(--ISNUMBER(SEARCH('Bad Patterns'!$A$2:$A$120,B2739)),0),0)),""))</f>
        <v/>
      </c>
      <c r="D2739">
        <f>IF(B2739="","",IF(C2739&lt;&gt;"","REMOVE","KEEP"))</f>
        <v/>
      </c>
      <c r="E2739">
        <f>IF(D2739&lt;&gt;"KEEP","",IF(RIGHT(B2739,10)="@gmail.com","Gmail",IF(OR(RIGHT(B2739,12)="@outlook.com",RIGHT(B2739,12)="@hotmail.com",RIGHT(B2739,9)="@live.com"),"Outlook","Domain")))</f>
        <v/>
      </c>
      <c r="F2739">
        <f>IF(B2739="","",IFERROR(RIGHT(B2739,LEN(B2739)-FIND("@",B2739)),""))</f>
        <v/>
      </c>
      <c r="G2739">
        <f>IF(D2739="KEEP",COUNTIF($D$2:D2739,"KEEP"),"")</f>
        <v/>
      </c>
      <c r="H2739">
        <f>IF(D2739="REMOVE",COUNTIF($D$2:D2739,"REMOVE"),"")</f>
        <v/>
      </c>
      <c r="I2739">
        <f>IF(E2739="Gmail",COUNTIF($E$2:E2739,"Gmail"),"")</f>
        <v/>
      </c>
      <c r="J2739">
        <f>IF(E2739="Outlook",COUNTIF($E$2:E2739,"Outlook"),"")</f>
        <v/>
      </c>
      <c r="K2739">
        <f>IF(E2739="Domain",COUNTIF($E$2:E2739,"Domain"),"")</f>
        <v/>
      </c>
    </row>
    <row r="2740">
      <c r="A2740" s="2" t="n"/>
      <c r="B2740">
        <f>LOWER(TRIM(A2740))</f>
        <v/>
      </c>
      <c r="C2740">
        <f>IF(B2740="","",IFERROR(INDEX('Bad Patterns'!$A$2:$A$120,MATCH(1,INDEX(--ISNUMBER(SEARCH('Bad Patterns'!$A$2:$A$120,B2740)),0),0)),""))</f>
        <v/>
      </c>
      <c r="D2740">
        <f>IF(B2740="","",IF(C2740&lt;&gt;"","REMOVE","KEEP"))</f>
        <v/>
      </c>
      <c r="E2740">
        <f>IF(D2740&lt;&gt;"KEEP","",IF(RIGHT(B2740,10)="@gmail.com","Gmail",IF(OR(RIGHT(B2740,12)="@outlook.com",RIGHT(B2740,12)="@hotmail.com",RIGHT(B2740,9)="@live.com"),"Outlook","Domain")))</f>
        <v/>
      </c>
      <c r="F2740">
        <f>IF(B2740="","",IFERROR(RIGHT(B2740,LEN(B2740)-FIND("@",B2740)),""))</f>
        <v/>
      </c>
      <c r="G2740">
        <f>IF(D2740="KEEP",COUNTIF($D$2:D2740,"KEEP"),"")</f>
        <v/>
      </c>
      <c r="H2740">
        <f>IF(D2740="REMOVE",COUNTIF($D$2:D2740,"REMOVE"),"")</f>
        <v/>
      </c>
      <c r="I2740">
        <f>IF(E2740="Gmail",COUNTIF($E$2:E2740,"Gmail"),"")</f>
        <v/>
      </c>
      <c r="J2740">
        <f>IF(E2740="Outlook",COUNTIF($E$2:E2740,"Outlook"),"")</f>
        <v/>
      </c>
      <c r="K2740">
        <f>IF(E2740="Domain",COUNTIF($E$2:E2740,"Domain"),"")</f>
        <v/>
      </c>
    </row>
    <row r="2741">
      <c r="A2741" s="2" t="n"/>
      <c r="B2741">
        <f>LOWER(TRIM(A2741))</f>
        <v/>
      </c>
      <c r="C2741">
        <f>IF(B2741="","",IFERROR(INDEX('Bad Patterns'!$A$2:$A$120,MATCH(1,INDEX(--ISNUMBER(SEARCH('Bad Patterns'!$A$2:$A$120,B2741)),0),0)),""))</f>
        <v/>
      </c>
      <c r="D2741">
        <f>IF(B2741="","",IF(C2741&lt;&gt;"","REMOVE","KEEP"))</f>
        <v/>
      </c>
      <c r="E2741">
        <f>IF(D2741&lt;&gt;"KEEP","",IF(RIGHT(B2741,10)="@gmail.com","Gmail",IF(OR(RIGHT(B2741,12)="@outlook.com",RIGHT(B2741,12)="@hotmail.com",RIGHT(B2741,9)="@live.com"),"Outlook","Domain")))</f>
        <v/>
      </c>
      <c r="F2741">
        <f>IF(B2741="","",IFERROR(RIGHT(B2741,LEN(B2741)-FIND("@",B2741)),""))</f>
        <v/>
      </c>
      <c r="G2741">
        <f>IF(D2741="KEEP",COUNTIF($D$2:D2741,"KEEP"),"")</f>
        <v/>
      </c>
      <c r="H2741">
        <f>IF(D2741="REMOVE",COUNTIF($D$2:D2741,"REMOVE"),"")</f>
        <v/>
      </c>
      <c r="I2741">
        <f>IF(E2741="Gmail",COUNTIF($E$2:E2741,"Gmail"),"")</f>
        <v/>
      </c>
      <c r="J2741">
        <f>IF(E2741="Outlook",COUNTIF($E$2:E2741,"Outlook"),"")</f>
        <v/>
      </c>
      <c r="K2741">
        <f>IF(E2741="Domain",COUNTIF($E$2:E2741,"Domain"),"")</f>
        <v/>
      </c>
    </row>
    <row r="2742">
      <c r="A2742" s="2" t="n"/>
      <c r="B2742">
        <f>LOWER(TRIM(A2742))</f>
        <v/>
      </c>
      <c r="C2742">
        <f>IF(B2742="","",IFERROR(INDEX('Bad Patterns'!$A$2:$A$120,MATCH(1,INDEX(--ISNUMBER(SEARCH('Bad Patterns'!$A$2:$A$120,B2742)),0),0)),""))</f>
        <v/>
      </c>
      <c r="D2742">
        <f>IF(B2742="","",IF(C2742&lt;&gt;"","REMOVE","KEEP"))</f>
        <v/>
      </c>
      <c r="E2742">
        <f>IF(D2742&lt;&gt;"KEEP","",IF(RIGHT(B2742,10)="@gmail.com","Gmail",IF(OR(RIGHT(B2742,12)="@outlook.com",RIGHT(B2742,12)="@hotmail.com",RIGHT(B2742,9)="@live.com"),"Outlook","Domain")))</f>
        <v/>
      </c>
      <c r="F2742">
        <f>IF(B2742="","",IFERROR(RIGHT(B2742,LEN(B2742)-FIND("@",B2742)),""))</f>
        <v/>
      </c>
      <c r="G2742">
        <f>IF(D2742="KEEP",COUNTIF($D$2:D2742,"KEEP"),"")</f>
        <v/>
      </c>
      <c r="H2742">
        <f>IF(D2742="REMOVE",COUNTIF($D$2:D2742,"REMOVE"),"")</f>
        <v/>
      </c>
      <c r="I2742">
        <f>IF(E2742="Gmail",COUNTIF($E$2:E2742,"Gmail"),"")</f>
        <v/>
      </c>
      <c r="J2742">
        <f>IF(E2742="Outlook",COUNTIF($E$2:E2742,"Outlook"),"")</f>
        <v/>
      </c>
      <c r="K2742">
        <f>IF(E2742="Domain",COUNTIF($E$2:E2742,"Domain"),"")</f>
        <v/>
      </c>
    </row>
    <row r="2743">
      <c r="A2743" s="2" t="n"/>
      <c r="B2743">
        <f>LOWER(TRIM(A2743))</f>
        <v/>
      </c>
      <c r="C2743">
        <f>IF(B2743="","",IFERROR(INDEX('Bad Patterns'!$A$2:$A$120,MATCH(1,INDEX(--ISNUMBER(SEARCH('Bad Patterns'!$A$2:$A$120,B2743)),0),0)),""))</f>
        <v/>
      </c>
      <c r="D2743">
        <f>IF(B2743="","",IF(C2743&lt;&gt;"","REMOVE","KEEP"))</f>
        <v/>
      </c>
      <c r="E2743">
        <f>IF(D2743&lt;&gt;"KEEP","",IF(RIGHT(B2743,10)="@gmail.com","Gmail",IF(OR(RIGHT(B2743,12)="@outlook.com",RIGHT(B2743,12)="@hotmail.com",RIGHT(B2743,9)="@live.com"),"Outlook","Domain")))</f>
        <v/>
      </c>
      <c r="F2743">
        <f>IF(B2743="","",IFERROR(RIGHT(B2743,LEN(B2743)-FIND("@",B2743)),""))</f>
        <v/>
      </c>
      <c r="G2743">
        <f>IF(D2743="KEEP",COUNTIF($D$2:D2743,"KEEP"),"")</f>
        <v/>
      </c>
      <c r="H2743">
        <f>IF(D2743="REMOVE",COUNTIF($D$2:D2743,"REMOVE"),"")</f>
        <v/>
      </c>
      <c r="I2743">
        <f>IF(E2743="Gmail",COUNTIF($E$2:E2743,"Gmail"),"")</f>
        <v/>
      </c>
      <c r="J2743">
        <f>IF(E2743="Outlook",COUNTIF($E$2:E2743,"Outlook"),"")</f>
        <v/>
      </c>
      <c r="K2743">
        <f>IF(E2743="Domain",COUNTIF($E$2:E2743,"Domain"),"")</f>
        <v/>
      </c>
    </row>
    <row r="2744">
      <c r="A2744" s="2" t="n"/>
      <c r="B2744">
        <f>LOWER(TRIM(A2744))</f>
        <v/>
      </c>
      <c r="C2744">
        <f>IF(B2744="","",IFERROR(INDEX('Bad Patterns'!$A$2:$A$120,MATCH(1,INDEX(--ISNUMBER(SEARCH('Bad Patterns'!$A$2:$A$120,B2744)),0),0)),""))</f>
        <v/>
      </c>
      <c r="D2744">
        <f>IF(B2744="","",IF(C2744&lt;&gt;"","REMOVE","KEEP"))</f>
        <v/>
      </c>
      <c r="E2744">
        <f>IF(D2744&lt;&gt;"KEEP","",IF(RIGHT(B2744,10)="@gmail.com","Gmail",IF(OR(RIGHT(B2744,12)="@outlook.com",RIGHT(B2744,12)="@hotmail.com",RIGHT(B2744,9)="@live.com"),"Outlook","Domain")))</f>
        <v/>
      </c>
      <c r="F2744">
        <f>IF(B2744="","",IFERROR(RIGHT(B2744,LEN(B2744)-FIND("@",B2744)),""))</f>
        <v/>
      </c>
      <c r="G2744">
        <f>IF(D2744="KEEP",COUNTIF($D$2:D2744,"KEEP"),"")</f>
        <v/>
      </c>
      <c r="H2744">
        <f>IF(D2744="REMOVE",COUNTIF($D$2:D2744,"REMOVE"),"")</f>
        <v/>
      </c>
      <c r="I2744">
        <f>IF(E2744="Gmail",COUNTIF($E$2:E2744,"Gmail"),"")</f>
        <v/>
      </c>
      <c r="J2744">
        <f>IF(E2744="Outlook",COUNTIF($E$2:E2744,"Outlook"),"")</f>
        <v/>
      </c>
      <c r="K2744">
        <f>IF(E2744="Domain",COUNTIF($E$2:E2744,"Domain"),"")</f>
        <v/>
      </c>
    </row>
    <row r="2745">
      <c r="A2745" s="2" t="n"/>
      <c r="B2745">
        <f>LOWER(TRIM(A2745))</f>
        <v/>
      </c>
      <c r="C2745">
        <f>IF(B2745="","",IFERROR(INDEX('Bad Patterns'!$A$2:$A$120,MATCH(1,INDEX(--ISNUMBER(SEARCH('Bad Patterns'!$A$2:$A$120,B2745)),0),0)),""))</f>
        <v/>
      </c>
      <c r="D2745">
        <f>IF(B2745="","",IF(C2745&lt;&gt;"","REMOVE","KEEP"))</f>
        <v/>
      </c>
      <c r="E2745">
        <f>IF(D2745&lt;&gt;"KEEP","",IF(RIGHT(B2745,10)="@gmail.com","Gmail",IF(OR(RIGHT(B2745,12)="@outlook.com",RIGHT(B2745,12)="@hotmail.com",RIGHT(B2745,9)="@live.com"),"Outlook","Domain")))</f>
        <v/>
      </c>
      <c r="F2745">
        <f>IF(B2745="","",IFERROR(RIGHT(B2745,LEN(B2745)-FIND("@",B2745)),""))</f>
        <v/>
      </c>
      <c r="G2745">
        <f>IF(D2745="KEEP",COUNTIF($D$2:D2745,"KEEP"),"")</f>
        <v/>
      </c>
      <c r="H2745">
        <f>IF(D2745="REMOVE",COUNTIF($D$2:D2745,"REMOVE"),"")</f>
        <v/>
      </c>
      <c r="I2745">
        <f>IF(E2745="Gmail",COUNTIF($E$2:E2745,"Gmail"),"")</f>
        <v/>
      </c>
      <c r="J2745">
        <f>IF(E2745="Outlook",COUNTIF($E$2:E2745,"Outlook"),"")</f>
        <v/>
      </c>
      <c r="K2745">
        <f>IF(E2745="Domain",COUNTIF($E$2:E2745,"Domain"),"")</f>
        <v/>
      </c>
    </row>
    <row r="2746">
      <c r="A2746" s="2" t="n"/>
      <c r="B2746">
        <f>LOWER(TRIM(A2746))</f>
        <v/>
      </c>
      <c r="C2746">
        <f>IF(B2746="","",IFERROR(INDEX('Bad Patterns'!$A$2:$A$120,MATCH(1,INDEX(--ISNUMBER(SEARCH('Bad Patterns'!$A$2:$A$120,B2746)),0),0)),""))</f>
        <v/>
      </c>
      <c r="D2746">
        <f>IF(B2746="","",IF(C2746&lt;&gt;"","REMOVE","KEEP"))</f>
        <v/>
      </c>
      <c r="E2746">
        <f>IF(D2746&lt;&gt;"KEEP","",IF(RIGHT(B2746,10)="@gmail.com","Gmail",IF(OR(RIGHT(B2746,12)="@outlook.com",RIGHT(B2746,12)="@hotmail.com",RIGHT(B2746,9)="@live.com"),"Outlook","Domain")))</f>
        <v/>
      </c>
      <c r="F2746">
        <f>IF(B2746="","",IFERROR(RIGHT(B2746,LEN(B2746)-FIND("@",B2746)),""))</f>
        <v/>
      </c>
      <c r="G2746">
        <f>IF(D2746="KEEP",COUNTIF($D$2:D2746,"KEEP"),"")</f>
        <v/>
      </c>
      <c r="H2746">
        <f>IF(D2746="REMOVE",COUNTIF($D$2:D2746,"REMOVE"),"")</f>
        <v/>
      </c>
      <c r="I2746">
        <f>IF(E2746="Gmail",COUNTIF($E$2:E2746,"Gmail"),"")</f>
        <v/>
      </c>
      <c r="J2746">
        <f>IF(E2746="Outlook",COUNTIF($E$2:E2746,"Outlook"),"")</f>
        <v/>
      </c>
      <c r="K2746">
        <f>IF(E2746="Domain",COUNTIF($E$2:E2746,"Domain"),"")</f>
        <v/>
      </c>
    </row>
    <row r="2747">
      <c r="A2747" s="2" t="n"/>
      <c r="B2747">
        <f>LOWER(TRIM(A2747))</f>
        <v/>
      </c>
      <c r="C2747">
        <f>IF(B2747="","",IFERROR(INDEX('Bad Patterns'!$A$2:$A$120,MATCH(1,INDEX(--ISNUMBER(SEARCH('Bad Patterns'!$A$2:$A$120,B2747)),0),0)),""))</f>
        <v/>
      </c>
      <c r="D2747">
        <f>IF(B2747="","",IF(C2747&lt;&gt;"","REMOVE","KEEP"))</f>
        <v/>
      </c>
      <c r="E2747">
        <f>IF(D2747&lt;&gt;"KEEP","",IF(RIGHT(B2747,10)="@gmail.com","Gmail",IF(OR(RIGHT(B2747,12)="@outlook.com",RIGHT(B2747,12)="@hotmail.com",RIGHT(B2747,9)="@live.com"),"Outlook","Domain")))</f>
        <v/>
      </c>
      <c r="F2747">
        <f>IF(B2747="","",IFERROR(RIGHT(B2747,LEN(B2747)-FIND("@",B2747)),""))</f>
        <v/>
      </c>
      <c r="G2747">
        <f>IF(D2747="KEEP",COUNTIF($D$2:D2747,"KEEP"),"")</f>
        <v/>
      </c>
      <c r="H2747">
        <f>IF(D2747="REMOVE",COUNTIF($D$2:D2747,"REMOVE"),"")</f>
        <v/>
      </c>
      <c r="I2747">
        <f>IF(E2747="Gmail",COUNTIF($E$2:E2747,"Gmail"),"")</f>
        <v/>
      </c>
      <c r="J2747">
        <f>IF(E2747="Outlook",COUNTIF($E$2:E2747,"Outlook"),"")</f>
        <v/>
      </c>
      <c r="K2747">
        <f>IF(E2747="Domain",COUNTIF($E$2:E2747,"Domain"),"")</f>
        <v/>
      </c>
    </row>
    <row r="2748">
      <c r="A2748" s="2" t="n"/>
      <c r="B2748">
        <f>LOWER(TRIM(A2748))</f>
        <v/>
      </c>
      <c r="C2748">
        <f>IF(B2748="","",IFERROR(INDEX('Bad Patterns'!$A$2:$A$120,MATCH(1,INDEX(--ISNUMBER(SEARCH('Bad Patterns'!$A$2:$A$120,B2748)),0),0)),""))</f>
        <v/>
      </c>
      <c r="D2748">
        <f>IF(B2748="","",IF(C2748&lt;&gt;"","REMOVE","KEEP"))</f>
        <v/>
      </c>
      <c r="E2748">
        <f>IF(D2748&lt;&gt;"KEEP","",IF(RIGHT(B2748,10)="@gmail.com","Gmail",IF(OR(RIGHT(B2748,12)="@outlook.com",RIGHT(B2748,12)="@hotmail.com",RIGHT(B2748,9)="@live.com"),"Outlook","Domain")))</f>
        <v/>
      </c>
      <c r="F2748">
        <f>IF(B2748="","",IFERROR(RIGHT(B2748,LEN(B2748)-FIND("@",B2748)),""))</f>
        <v/>
      </c>
      <c r="G2748">
        <f>IF(D2748="KEEP",COUNTIF($D$2:D2748,"KEEP"),"")</f>
        <v/>
      </c>
      <c r="H2748">
        <f>IF(D2748="REMOVE",COUNTIF($D$2:D2748,"REMOVE"),"")</f>
        <v/>
      </c>
      <c r="I2748">
        <f>IF(E2748="Gmail",COUNTIF($E$2:E2748,"Gmail"),"")</f>
        <v/>
      </c>
      <c r="J2748">
        <f>IF(E2748="Outlook",COUNTIF($E$2:E2748,"Outlook"),"")</f>
        <v/>
      </c>
      <c r="K2748">
        <f>IF(E2748="Domain",COUNTIF($E$2:E2748,"Domain"),"")</f>
        <v/>
      </c>
    </row>
    <row r="2749">
      <c r="A2749" s="2" t="n"/>
      <c r="B2749">
        <f>LOWER(TRIM(A2749))</f>
        <v/>
      </c>
      <c r="C2749">
        <f>IF(B2749="","",IFERROR(INDEX('Bad Patterns'!$A$2:$A$120,MATCH(1,INDEX(--ISNUMBER(SEARCH('Bad Patterns'!$A$2:$A$120,B2749)),0),0)),""))</f>
        <v/>
      </c>
      <c r="D2749">
        <f>IF(B2749="","",IF(C2749&lt;&gt;"","REMOVE","KEEP"))</f>
        <v/>
      </c>
      <c r="E2749">
        <f>IF(D2749&lt;&gt;"KEEP","",IF(RIGHT(B2749,10)="@gmail.com","Gmail",IF(OR(RIGHT(B2749,12)="@outlook.com",RIGHT(B2749,12)="@hotmail.com",RIGHT(B2749,9)="@live.com"),"Outlook","Domain")))</f>
        <v/>
      </c>
      <c r="F2749">
        <f>IF(B2749="","",IFERROR(RIGHT(B2749,LEN(B2749)-FIND("@",B2749)),""))</f>
        <v/>
      </c>
      <c r="G2749">
        <f>IF(D2749="KEEP",COUNTIF($D$2:D2749,"KEEP"),"")</f>
        <v/>
      </c>
      <c r="H2749">
        <f>IF(D2749="REMOVE",COUNTIF($D$2:D2749,"REMOVE"),"")</f>
        <v/>
      </c>
      <c r="I2749">
        <f>IF(E2749="Gmail",COUNTIF($E$2:E2749,"Gmail"),"")</f>
        <v/>
      </c>
      <c r="J2749">
        <f>IF(E2749="Outlook",COUNTIF($E$2:E2749,"Outlook"),"")</f>
        <v/>
      </c>
      <c r="K2749">
        <f>IF(E2749="Domain",COUNTIF($E$2:E2749,"Domain"),"")</f>
        <v/>
      </c>
    </row>
    <row r="2750">
      <c r="A2750" s="2" t="n"/>
      <c r="B2750">
        <f>LOWER(TRIM(A2750))</f>
        <v/>
      </c>
      <c r="C2750">
        <f>IF(B2750="","",IFERROR(INDEX('Bad Patterns'!$A$2:$A$120,MATCH(1,INDEX(--ISNUMBER(SEARCH('Bad Patterns'!$A$2:$A$120,B2750)),0),0)),""))</f>
        <v/>
      </c>
      <c r="D2750">
        <f>IF(B2750="","",IF(C2750&lt;&gt;"","REMOVE","KEEP"))</f>
        <v/>
      </c>
      <c r="E2750">
        <f>IF(D2750&lt;&gt;"KEEP","",IF(RIGHT(B2750,10)="@gmail.com","Gmail",IF(OR(RIGHT(B2750,12)="@outlook.com",RIGHT(B2750,12)="@hotmail.com",RIGHT(B2750,9)="@live.com"),"Outlook","Domain")))</f>
        <v/>
      </c>
      <c r="F2750">
        <f>IF(B2750="","",IFERROR(RIGHT(B2750,LEN(B2750)-FIND("@",B2750)),""))</f>
        <v/>
      </c>
      <c r="G2750">
        <f>IF(D2750="KEEP",COUNTIF($D$2:D2750,"KEEP"),"")</f>
        <v/>
      </c>
      <c r="H2750">
        <f>IF(D2750="REMOVE",COUNTIF($D$2:D2750,"REMOVE"),"")</f>
        <v/>
      </c>
      <c r="I2750">
        <f>IF(E2750="Gmail",COUNTIF($E$2:E2750,"Gmail"),"")</f>
        <v/>
      </c>
      <c r="J2750">
        <f>IF(E2750="Outlook",COUNTIF($E$2:E2750,"Outlook"),"")</f>
        <v/>
      </c>
      <c r="K2750">
        <f>IF(E2750="Domain",COUNTIF($E$2:E2750,"Domain"),"")</f>
        <v/>
      </c>
    </row>
    <row r="2751">
      <c r="A2751" s="2" t="n"/>
      <c r="B2751">
        <f>LOWER(TRIM(A2751))</f>
        <v/>
      </c>
      <c r="C2751">
        <f>IF(B2751="","",IFERROR(INDEX('Bad Patterns'!$A$2:$A$120,MATCH(1,INDEX(--ISNUMBER(SEARCH('Bad Patterns'!$A$2:$A$120,B2751)),0),0)),""))</f>
        <v/>
      </c>
      <c r="D2751">
        <f>IF(B2751="","",IF(C2751&lt;&gt;"","REMOVE","KEEP"))</f>
        <v/>
      </c>
      <c r="E2751">
        <f>IF(D2751&lt;&gt;"KEEP","",IF(RIGHT(B2751,10)="@gmail.com","Gmail",IF(OR(RIGHT(B2751,12)="@outlook.com",RIGHT(B2751,12)="@hotmail.com",RIGHT(B2751,9)="@live.com"),"Outlook","Domain")))</f>
        <v/>
      </c>
      <c r="F2751">
        <f>IF(B2751="","",IFERROR(RIGHT(B2751,LEN(B2751)-FIND("@",B2751)),""))</f>
        <v/>
      </c>
      <c r="G2751">
        <f>IF(D2751="KEEP",COUNTIF($D$2:D2751,"KEEP"),"")</f>
        <v/>
      </c>
      <c r="H2751">
        <f>IF(D2751="REMOVE",COUNTIF($D$2:D2751,"REMOVE"),"")</f>
        <v/>
      </c>
      <c r="I2751">
        <f>IF(E2751="Gmail",COUNTIF($E$2:E2751,"Gmail"),"")</f>
        <v/>
      </c>
      <c r="J2751">
        <f>IF(E2751="Outlook",COUNTIF($E$2:E2751,"Outlook"),"")</f>
        <v/>
      </c>
      <c r="K2751">
        <f>IF(E2751="Domain",COUNTIF($E$2:E2751,"Domain"),"")</f>
        <v/>
      </c>
    </row>
    <row r="2752">
      <c r="A2752" s="2" t="n"/>
      <c r="B2752">
        <f>LOWER(TRIM(A2752))</f>
        <v/>
      </c>
      <c r="C2752">
        <f>IF(B2752="","",IFERROR(INDEX('Bad Patterns'!$A$2:$A$120,MATCH(1,INDEX(--ISNUMBER(SEARCH('Bad Patterns'!$A$2:$A$120,B2752)),0),0)),""))</f>
        <v/>
      </c>
      <c r="D2752">
        <f>IF(B2752="","",IF(C2752&lt;&gt;"","REMOVE","KEEP"))</f>
        <v/>
      </c>
      <c r="E2752">
        <f>IF(D2752&lt;&gt;"KEEP","",IF(RIGHT(B2752,10)="@gmail.com","Gmail",IF(OR(RIGHT(B2752,12)="@outlook.com",RIGHT(B2752,12)="@hotmail.com",RIGHT(B2752,9)="@live.com"),"Outlook","Domain")))</f>
        <v/>
      </c>
      <c r="F2752">
        <f>IF(B2752="","",IFERROR(RIGHT(B2752,LEN(B2752)-FIND("@",B2752)),""))</f>
        <v/>
      </c>
      <c r="G2752">
        <f>IF(D2752="KEEP",COUNTIF($D$2:D2752,"KEEP"),"")</f>
        <v/>
      </c>
      <c r="H2752">
        <f>IF(D2752="REMOVE",COUNTIF($D$2:D2752,"REMOVE"),"")</f>
        <v/>
      </c>
      <c r="I2752">
        <f>IF(E2752="Gmail",COUNTIF($E$2:E2752,"Gmail"),"")</f>
        <v/>
      </c>
      <c r="J2752">
        <f>IF(E2752="Outlook",COUNTIF($E$2:E2752,"Outlook"),"")</f>
        <v/>
      </c>
      <c r="K2752">
        <f>IF(E2752="Domain",COUNTIF($E$2:E2752,"Domain"),"")</f>
        <v/>
      </c>
    </row>
    <row r="2753">
      <c r="A2753" s="2" t="n"/>
      <c r="B2753">
        <f>LOWER(TRIM(A2753))</f>
        <v/>
      </c>
      <c r="C2753">
        <f>IF(B2753="","",IFERROR(INDEX('Bad Patterns'!$A$2:$A$120,MATCH(1,INDEX(--ISNUMBER(SEARCH('Bad Patterns'!$A$2:$A$120,B2753)),0),0)),""))</f>
        <v/>
      </c>
      <c r="D2753">
        <f>IF(B2753="","",IF(C2753&lt;&gt;"","REMOVE","KEEP"))</f>
        <v/>
      </c>
      <c r="E2753">
        <f>IF(D2753&lt;&gt;"KEEP","",IF(RIGHT(B2753,10)="@gmail.com","Gmail",IF(OR(RIGHT(B2753,12)="@outlook.com",RIGHT(B2753,12)="@hotmail.com",RIGHT(B2753,9)="@live.com"),"Outlook","Domain")))</f>
        <v/>
      </c>
      <c r="F2753">
        <f>IF(B2753="","",IFERROR(RIGHT(B2753,LEN(B2753)-FIND("@",B2753)),""))</f>
        <v/>
      </c>
      <c r="G2753">
        <f>IF(D2753="KEEP",COUNTIF($D$2:D2753,"KEEP"),"")</f>
        <v/>
      </c>
      <c r="H2753">
        <f>IF(D2753="REMOVE",COUNTIF($D$2:D2753,"REMOVE"),"")</f>
        <v/>
      </c>
      <c r="I2753">
        <f>IF(E2753="Gmail",COUNTIF($E$2:E2753,"Gmail"),"")</f>
        <v/>
      </c>
      <c r="J2753">
        <f>IF(E2753="Outlook",COUNTIF($E$2:E2753,"Outlook"),"")</f>
        <v/>
      </c>
      <c r="K2753">
        <f>IF(E2753="Domain",COUNTIF($E$2:E2753,"Domain"),"")</f>
        <v/>
      </c>
    </row>
    <row r="2754">
      <c r="A2754" s="2" t="n"/>
      <c r="B2754">
        <f>LOWER(TRIM(A2754))</f>
        <v/>
      </c>
      <c r="C2754">
        <f>IF(B2754="","",IFERROR(INDEX('Bad Patterns'!$A$2:$A$120,MATCH(1,INDEX(--ISNUMBER(SEARCH('Bad Patterns'!$A$2:$A$120,B2754)),0),0)),""))</f>
        <v/>
      </c>
      <c r="D2754">
        <f>IF(B2754="","",IF(C2754&lt;&gt;"","REMOVE","KEEP"))</f>
        <v/>
      </c>
      <c r="E2754">
        <f>IF(D2754&lt;&gt;"KEEP","",IF(RIGHT(B2754,10)="@gmail.com","Gmail",IF(OR(RIGHT(B2754,12)="@outlook.com",RIGHT(B2754,12)="@hotmail.com",RIGHT(B2754,9)="@live.com"),"Outlook","Domain")))</f>
        <v/>
      </c>
      <c r="F2754">
        <f>IF(B2754="","",IFERROR(RIGHT(B2754,LEN(B2754)-FIND("@",B2754)),""))</f>
        <v/>
      </c>
      <c r="G2754">
        <f>IF(D2754="KEEP",COUNTIF($D$2:D2754,"KEEP"),"")</f>
        <v/>
      </c>
      <c r="H2754">
        <f>IF(D2754="REMOVE",COUNTIF($D$2:D2754,"REMOVE"),"")</f>
        <v/>
      </c>
      <c r="I2754">
        <f>IF(E2754="Gmail",COUNTIF($E$2:E2754,"Gmail"),"")</f>
        <v/>
      </c>
      <c r="J2754">
        <f>IF(E2754="Outlook",COUNTIF($E$2:E2754,"Outlook"),"")</f>
        <v/>
      </c>
      <c r="K2754">
        <f>IF(E2754="Domain",COUNTIF($E$2:E2754,"Domain"),"")</f>
        <v/>
      </c>
    </row>
    <row r="2755">
      <c r="A2755" s="2" t="n"/>
      <c r="B2755">
        <f>LOWER(TRIM(A2755))</f>
        <v/>
      </c>
      <c r="C2755">
        <f>IF(B2755="","",IFERROR(INDEX('Bad Patterns'!$A$2:$A$120,MATCH(1,INDEX(--ISNUMBER(SEARCH('Bad Patterns'!$A$2:$A$120,B2755)),0),0)),""))</f>
        <v/>
      </c>
      <c r="D2755">
        <f>IF(B2755="","",IF(C2755&lt;&gt;"","REMOVE","KEEP"))</f>
        <v/>
      </c>
      <c r="E2755">
        <f>IF(D2755&lt;&gt;"KEEP","",IF(RIGHT(B2755,10)="@gmail.com","Gmail",IF(OR(RIGHT(B2755,12)="@outlook.com",RIGHT(B2755,12)="@hotmail.com",RIGHT(B2755,9)="@live.com"),"Outlook","Domain")))</f>
        <v/>
      </c>
      <c r="F2755">
        <f>IF(B2755="","",IFERROR(RIGHT(B2755,LEN(B2755)-FIND("@",B2755)),""))</f>
        <v/>
      </c>
      <c r="G2755">
        <f>IF(D2755="KEEP",COUNTIF($D$2:D2755,"KEEP"),"")</f>
        <v/>
      </c>
      <c r="H2755">
        <f>IF(D2755="REMOVE",COUNTIF($D$2:D2755,"REMOVE"),"")</f>
        <v/>
      </c>
      <c r="I2755">
        <f>IF(E2755="Gmail",COUNTIF($E$2:E2755,"Gmail"),"")</f>
        <v/>
      </c>
      <c r="J2755">
        <f>IF(E2755="Outlook",COUNTIF($E$2:E2755,"Outlook"),"")</f>
        <v/>
      </c>
      <c r="K2755">
        <f>IF(E2755="Domain",COUNTIF($E$2:E2755,"Domain"),"")</f>
        <v/>
      </c>
    </row>
    <row r="2756">
      <c r="A2756" s="2" t="n"/>
      <c r="B2756">
        <f>LOWER(TRIM(A2756))</f>
        <v/>
      </c>
      <c r="C2756">
        <f>IF(B2756="","",IFERROR(INDEX('Bad Patterns'!$A$2:$A$120,MATCH(1,INDEX(--ISNUMBER(SEARCH('Bad Patterns'!$A$2:$A$120,B2756)),0),0)),""))</f>
        <v/>
      </c>
      <c r="D2756">
        <f>IF(B2756="","",IF(C2756&lt;&gt;"","REMOVE","KEEP"))</f>
        <v/>
      </c>
      <c r="E2756">
        <f>IF(D2756&lt;&gt;"KEEP","",IF(RIGHT(B2756,10)="@gmail.com","Gmail",IF(OR(RIGHT(B2756,12)="@outlook.com",RIGHT(B2756,12)="@hotmail.com",RIGHT(B2756,9)="@live.com"),"Outlook","Domain")))</f>
        <v/>
      </c>
      <c r="F2756">
        <f>IF(B2756="","",IFERROR(RIGHT(B2756,LEN(B2756)-FIND("@",B2756)),""))</f>
        <v/>
      </c>
      <c r="G2756">
        <f>IF(D2756="KEEP",COUNTIF($D$2:D2756,"KEEP"),"")</f>
        <v/>
      </c>
      <c r="H2756">
        <f>IF(D2756="REMOVE",COUNTIF($D$2:D2756,"REMOVE"),"")</f>
        <v/>
      </c>
      <c r="I2756">
        <f>IF(E2756="Gmail",COUNTIF($E$2:E2756,"Gmail"),"")</f>
        <v/>
      </c>
      <c r="J2756">
        <f>IF(E2756="Outlook",COUNTIF($E$2:E2756,"Outlook"),"")</f>
        <v/>
      </c>
      <c r="K2756">
        <f>IF(E2756="Domain",COUNTIF($E$2:E2756,"Domain"),"")</f>
        <v/>
      </c>
    </row>
    <row r="2757">
      <c r="A2757" s="2" t="n"/>
      <c r="B2757">
        <f>LOWER(TRIM(A2757))</f>
        <v/>
      </c>
      <c r="C2757">
        <f>IF(B2757="","",IFERROR(INDEX('Bad Patterns'!$A$2:$A$120,MATCH(1,INDEX(--ISNUMBER(SEARCH('Bad Patterns'!$A$2:$A$120,B2757)),0),0)),""))</f>
        <v/>
      </c>
      <c r="D2757">
        <f>IF(B2757="","",IF(C2757&lt;&gt;"","REMOVE","KEEP"))</f>
        <v/>
      </c>
      <c r="E2757">
        <f>IF(D2757&lt;&gt;"KEEP","",IF(RIGHT(B2757,10)="@gmail.com","Gmail",IF(OR(RIGHT(B2757,12)="@outlook.com",RIGHT(B2757,12)="@hotmail.com",RIGHT(B2757,9)="@live.com"),"Outlook","Domain")))</f>
        <v/>
      </c>
      <c r="F2757">
        <f>IF(B2757="","",IFERROR(RIGHT(B2757,LEN(B2757)-FIND("@",B2757)),""))</f>
        <v/>
      </c>
      <c r="G2757">
        <f>IF(D2757="KEEP",COUNTIF($D$2:D2757,"KEEP"),"")</f>
        <v/>
      </c>
      <c r="H2757">
        <f>IF(D2757="REMOVE",COUNTIF($D$2:D2757,"REMOVE"),"")</f>
        <v/>
      </c>
      <c r="I2757">
        <f>IF(E2757="Gmail",COUNTIF($E$2:E2757,"Gmail"),"")</f>
        <v/>
      </c>
      <c r="J2757">
        <f>IF(E2757="Outlook",COUNTIF($E$2:E2757,"Outlook"),"")</f>
        <v/>
      </c>
      <c r="K2757">
        <f>IF(E2757="Domain",COUNTIF($E$2:E2757,"Domain"),"")</f>
        <v/>
      </c>
    </row>
    <row r="2758">
      <c r="A2758" s="2" t="n"/>
      <c r="B2758">
        <f>LOWER(TRIM(A2758))</f>
        <v/>
      </c>
      <c r="C2758">
        <f>IF(B2758="","",IFERROR(INDEX('Bad Patterns'!$A$2:$A$120,MATCH(1,INDEX(--ISNUMBER(SEARCH('Bad Patterns'!$A$2:$A$120,B2758)),0),0)),""))</f>
        <v/>
      </c>
      <c r="D2758">
        <f>IF(B2758="","",IF(C2758&lt;&gt;"","REMOVE","KEEP"))</f>
        <v/>
      </c>
      <c r="E2758">
        <f>IF(D2758&lt;&gt;"KEEP","",IF(RIGHT(B2758,10)="@gmail.com","Gmail",IF(OR(RIGHT(B2758,12)="@outlook.com",RIGHT(B2758,12)="@hotmail.com",RIGHT(B2758,9)="@live.com"),"Outlook","Domain")))</f>
        <v/>
      </c>
      <c r="F2758">
        <f>IF(B2758="","",IFERROR(RIGHT(B2758,LEN(B2758)-FIND("@",B2758)),""))</f>
        <v/>
      </c>
      <c r="G2758">
        <f>IF(D2758="KEEP",COUNTIF($D$2:D2758,"KEEP"),"")</f>
        <v/>
      </c>
      <c r="H2758">
        <f>IF(D2758="REMOVE",COUNTIF($D$2:D2758,"REMOVE"),"")</f>
        <v/>
      </c>
      <c r="I2758">
        <f>IF(E2758="Gmail",COUNTIF($E$2:E2758,"Gmail"),"")</f>
        <v/>
      </c>
      <c r="J2758">
        <f>IF(E2758="Outlook",COUNTIF($E$2:E2758,"Outlook"),"")</f>
        <v/>
      </c>
      <c r="K2758">
        <f>IF(E2758="Domain",COUNTIF($E$2:E2758,"Domain"),"")</f>
        <v/>
      </c>
    </row>
    <row r="2759">
      <c r="A2759" s="2" t="n"/>
      <c r="B2759">
        <f>LOWER(TRIM(A2759))</f>
        <v/>
      </c>
      <c r="C2759">
        <f>IF(B2759="","",IFERROR(INDEX('Bad Patterns'!$A$2:$A$120,MATCH(1,INDEX(--ISNUMBER(SEARCH('Bad Patterns'!$A$2:$A$120,B2759)),0),0)),""))</f>
        <v/>
      </c>
      <c r="D2759">
        <f>IF(B2759="","",IF(C2759&lt;&gt;"","REMOVE","KEEP"))</f>
        <v/>
      </c>
      <c r="E2759">
        <f>IF(D2759&lt;&gt;"KEEP","",IF(RIGHT(B2759,10)="@gmail.com","Gmail",IF(OR(RIGHT(B2759,12)="@outlook.com",RIGHT(B2759,12)="@hotmail.com",RIGHT(B2759,9)="@live.com"),"Outlook","Domain")))</f>
        <v/>
      </c>
      <c r="F2759">
        <f>IF(B2759="","",IFERROR(RIGHT(B2759,LEN(B2759)-FIND("@",B2759)),""))</f>
        <v/>
      </c>
      <c r="G2759">
        <f>IF(D2759="KEEP",COUNTIF($D$2:D2759,"KEEP"),"")</f>
        <v/>
      </c>
      <c r="H2759">
        <f>IF(D2759="REMOVE",COUNTIF($D$2:D2759,"REMOVE"),"")</f>
        <v/>
      </c>
      <c r="I2759">
        <f>IF(E2759="Gmail",COUNTIF($E$2:E2759,"Gmail"),"")</f>
        <v/>
      </c>
      <c r="J2759">
        <f>IF(E2759="Outlook",COUNTIF($E$2:E2759,"Outlook"),"")</f>
        <v/>
      </c>
      <c r="K2759">
        <f>IF(E2759="Domain",COUNTIF($E$2:E2759,"Domain"),"")</f>
        <v/>
      </c>
    </row>
    <row r="2760">
      <c r="A2760" s="2" t="n"/>
      <c r="B2760">
        <f>LOWER(TRIM(A2760))</f>
        <v/>
      </c>
      <c r="C2760">
        <f>IF(B2760="","",IFERROR(INDEX('Bad Patterns'!$A$2:$A$120,MATCH(1,INDEX(--ISNUMBER(SEARCH('Bad Patterns'!$A$2:$A$120,B2760)),0),0)),""))</f>
        <v/>
      </c>
      <c r="D2760">
        <f>IF(B2760="","",IF(C2760&lt;&gt;"","REMOVE","KEEP"))</f>
        <v/>
      </c>
      <c r="E2760">
        <f>IF(D2760&lt;&gt;"KEEP","",IF(RIGHT(B2760,10)="@gmail.com","Gmail",IF(OR(RIGHT(B2760,12)="@outlook.com",RIGHT(B2760,12)="@hotmail.com",RIGHT(B2760,9)="@live.com"),"Outlook","Domain")))</f>
        <v/>
      </c>
      <c r="F2760">
        <f>IF(B2760="","",IFERROR(RIGHT(B2760,LEN(B2760)-FIND("@",B2760)),""))</f>
        <v/>
      </c>
      <c r="G2760">
        <f>IF(D2760="KEEP",COUNTIF($D$2:D2760,"KEEP"),"")</f>
        <v/>
      </c>
      <c r="H2760">
        <f>IF(D2760="REMOVE",COUNTIF($D$2:D2760,"REMOVE"),"")</f>
        <v/>
      </c>
      <c r="I2760">
        <f>IF(E2760="Gmail",COUNTIF($E$2:E2760,"Gmail"),"")</f>
        <v/>
      </c>
      <c r="J2760">
        <f>IF(E2760="Outlook",COUNTIF($E$2:E2760,"Outlook"),"")</f>
        <v/>
      </c>
      <c r="K2760">
        <f>IF(E2760="Domain",COUNTIF($E$2:E2760,"Domain"),"")</f>
        <v/>
      </c>
    </row>
    <row r="2761">
      <c r="A2761" s="2" t="n"/>
      <c r="B2761">
        <f>LOWER(TRIM(A2761))</f>
        <v/>
      </c>
      <c r="C2761">
        <f>IF(B2761="","",IFERROR(INDEX('Bad Patterns'!$A$2:$A$120,MATCH(1,INDEX(--ISNUMBER(SEARCH('Bad Patterns'!$A$2:$A$120,B2761)),0),0)),""))</f>
        <v/>
      </c>
      <c r="D2761">
        <f>IF(B2761="","",IF(C2761&lt;&gt;"","REMOVE","KEEP"))</f>
        <v/>
      </c>
      <c r="E2761">
        <f>IF(D2761&lt;&gt;"KEEP","",IF(RIGHT(B2761,10)="@gmail.com","Gmail",IF(OR(RIGHT(B2761,12)="@outlook.com",RIGHT(B2761,12)="@hotmail.com",RIGHT(B2761,9)="@live.com"),"Outlook","Domain")))</f>
        <v/>
      </c>
      <c r="F2761">
        <f>IF(B2761="","",IFERROR(RIGHT(B2761,LEN(B2761)-FIND("@",B2761)),""))</f>
        <v/>
      </c>
      <c r="G2761">
        <f>IF(D2761="KEEP",COUNTIF($D$2:D2761,"KEEP"),"")</f>
        <v/>
      </c>
      <c r="H2761">
        <f>IF(D2761="REMOVE",COUNTIF($D$2:D2761,"REMOVE"),"")</f>
        <v/>
      </c>
      <c r="I2761">
        <f>IF(E2761="Gmail",COUNTIF($E$2:E2761,"Gmail"),"")</f>
        <v/>
      </c>
      <c r="J2761">
        <f>IF(E2761="Outlook",COUNTIF($E$2:E2761,"Outlook"),"")</f>
        <v/>
      </c>
      <c r="K2761">
        <f>IF(E2761="Domain",COUNTIF($E$2:E2761,"Domain"),"")</f>
        <v/>
      </c>
    </row>
    <row r="2762">
      <c r="A2762" s="2" t="n"/>
      <c r="B2762">
        <f>LOWER(TRIM(A2762))</f>
        <v/>
      </c>
      <c r="C2762">
        <f>IF(B2762="","",IFERROR(INDEX('Bad Patterns'!$A$2:$A$120,MATCH(1,INDEX(--ISNUMBER(SEARCH('Bad Patterns'!$A$2:$A$120,B2762)),0),0)),""))</f>
        <v/>
      </c>
      <c r="D2762">
        <f>IF(B2762="","",IF(C2762&lt;&gt;"","REMOVE","KEEP"))</f>
        <v/>
      </c>
      <c r="E2762">
        <f>IF(D2762&lt;&gt;"KEEP","",IF(RIGHT(B2762,10)="@gmail.com","Gmail",IF(OR(RIGHT(B2762,12)="@outlook.com",RIGHT(B2762,12)="@hotmail.com",RIGHT(B2762,9)="@live.com"),"Outlook","Domain")))</f>
        <v/>
      </c>
      <c r="F2762">
        <f>IF(B2762="","",IFERROR(RIGHT(B2762,LEN(B2762)-FIND("@",B2762)),""))</f>
        <v/>
      </c>
      <c r="G2762">
        <f>IF(D2762="KEEP",COUNTIF($D$2:D2762,"KEEP"),"")</f>
        <v/>
      </c>
      <c r="H2762">
        <f>IF(D2762="REMOVE",COUNTIF($D$2:D2762,"REMOVE"),"")</f>
        <v/>
      </c>
      <c r="I2762">
        <f>IF(E2762="Gmail",COUNTIF($E$2:E2762,"Gmail"),"")</f>
        <v/>
      </c>
      <c r="J2762">
        <f>IF(E2762="Outlook",COUNTIF($E$2:E2762,"Outlook"),"")</f>
        <v/>
      </c>
      <c r="K2762">
        <f>IF(E2762="Domain",COUNTIF($E$2:E2762,"Domain"),"")</f>
        <v/>
      </c>
    </row>
    <row r="2763">
      <c r="A2763" s="2" t="n"/>
      <c r="B2763">
        <f>LOWER(TRIM(A2763))</f>
        <v/>
      </c>
      <c r="C2763">
        <f>IF(B2763="","",IFERROR(INDEX('Bad Patterns'!$A$2:$A$120,MATCH(1,INDEX(--ISNUMBER(SEARCH('Bad Patterns'!$A$2:$A$120,B2763)),0),0)),""))</f>
        <v/>
      </c>
      <c r="D2763">
        <f>IF(B2763="","",IF(C2763&lt;&gt;"","REMOVE","KEEP"))</f>
        <v/>
      </c>
      <c r="E2763">
        <f>IF(D2763&lt;&gt;"KEEP","",IF(RIGHT(B2763,10)="@gmail.com","Gmail",IF(OR(RIGHT(B2763,12)="@outlook.com",RIGHT(B2763,12)="@hotmail.com",RIGHT(B2763,9)="@live.com"),"Outlook","Domain")))</f>
        <v/>
      </c>
      <c r="F2763">
        <f>IF(B2763="","",IFERROR(RIGHT(B2763,LEN(B2763)-FIND("@",B2763)),""))</f>
        <v/>
      </c>
      <c r="G2763">
        <f>IF(D2763="KEEP",COUNTIF($D$2:D2763,"KEEP"),"")</f>
        <v/>
      </c>
      <c r="H2763">
        <f>IF(D2763="REMOVE",COUNTIF($D$2:D2763,"REMOVE"),"")</f>
        <v/>
      </c>
      <c r="I2763">
        <f>IF(E2763="Gmail",COUNTIF($E$2:E2763,"Gmail"),"")</f>
        <v/>
      </c>
      <c r="J2763">
        <f>IF(E2763="Outlook",COUNTIF($E$2:E2763,"Outlook"),"")</f>
        <v/>
      </c>
      <c r="K2763">
        <f>IF(E2763="Domain",COUNTIF($E$2:E2763,"Domain"),"")</f>
        <v/>
      </c>
    </row>
    <row r="2764">
      <c r="A2764" s="2" t="n"/>
      <c r="B2764">
        <f>LOWER(TRIM(A2764))</f>
        <v/>
      </c>
      <c r="C2764">
        <f>IF(B2764="","",IFERROR(INDEX('Bad Patterns'!$A$2:$A$120,MATCH(1,INDEX(--ISNUMBER(SEARCH('Bad Patterns'!$A$2:$A$120,B2764)),0),0)),""))</f>
        <v/>
      </c>
      <c r="D2764">
        <f>IF(B2764="","",IF(C2764&lt;&gt;"","REMOVE","KEEP"))</f>
        <v/>
      </c>
      <c r="E2764">
        <f>IF(D2764&lt;&gt;"KEEP","",IF(RIGHT(B2764,10)="@gmail.com","Gmail",IF(OR(RIGHT(B2764,12)="@outlook.com",RIGHT(B2764,12)="@hotmail.com",RIGHT(B2764,9)="@live.com"),"Outlook","Domain")))</f>
        <v/>
      </c>
      <c r="F2764">
        <f>IF(B2764="","",IFERROR(RIGHT(B2764,LEN(B2764)-FIND("@",B2764)),""))</f>
        <v/>
      </c>
      <c r="G2764">
        <f>IF(D2764="KEEP",COUNTIF($D$2:D2764,"KEEP"),"")</f>
        <v/>
      </c>
      <c r="H2764">
        <f>IF(D2764="REMOVE",COUNTIF($D$2:D2764,"REMOVE"),"")</f>
        <v/>
      </c>
      <c r="I2764">
        <f>IF(E2764="Gmail",COUNTIF($E$2:E2764,"Gmail"),"")</f>
        <v/>
      </c>
      <c r="J2764">
        <f>IF(E2764="Outlook",COUNTIF($E$2:E2764,"Outlook"),"")</f>
        <v/>
      </c>
      <c r="K2764">
        <f>IF(E2764="Domain",COUNTIF($E$2:E2764,"Domain"),"")</f>
        <v/>
      </c>
    </row>
    <row r="2765">
      <c r="A2765" s="2" t="n"/>
      <c r="B2765">
        <f>LOWER(TRIM(A2765))</f>
        <v/>
      </c>
      <c r="C2765">
        <f>IF(B2765="","",IFERROR(INDEX('Bad Patterns'!$A$2:$A$120,MATCH(1,INDEX(--ISNUMBER(SEARCH('Bad Patterns'!$A$2:$A$120,B2765)),0),0)),""))</f>
        <v/>
      </c>
      <c r="D2765">
        <f>IF(B2765="","",IF(C2765&lt;&gt;"","REMOVE","KEEP"))</f>
        <v/>
      </c>
      <c r="E2765">
        <f>IF(D2765&lt;&gt;"KEEP","",IF(RIGHT(B2765,10)="@gmail.com","Gmail",IF(OR(RIGHT(B2765,12)="@outlook.com",RIGHT(B2765,12)="@hotmail.com",RIGHT(B2765,9)="@live.com"),"Outlook","Domain")))</f>
        <v/>
      </c>
      <c r="F2765">
        <f>IF(B2765="","",IFERROR(RIGHT(B2765,LEN(B2765)-FIND("@",B2765)),""))</f>
        <v/>
      </c>
      <c r="G2765">
        <f>IF(D2765="KEEP",COUNTIF($D$2:D2765,"KEEP"),"")</f>
        <v/>
      </c>
      <c r="H2765">
        <f>IF(D2765="REMOVE",COUNTIF($D$2:D2765,"REMOVE"),"")</f>
        <v/>
      </c>
      <c r="I2765">
        <f>IF(E2765="Gmail",COUNTIF($E$2:E2765,"Gmail"),"")</f>
        <v/>
      </c>
      <c r="J2765">
        <f>IF(E2765="Outlook",COUNTIF($E$2:E2765,"Outlook"),"")</f>
        <v/>
      </c>
      <c r="K2765">
        <f>IF(E2765="Domain",COUNTIF($E$2:E2765,"Domain"),"")</f>
        <v/>
      </c>
    </row>
    <row r="2766">
      <c r="A2766" s="2" t="n"/>
      <c r="B2766">
        <f>LOWER(TRIM(A2766))</f>
        <v/>
      </c>
      <c r="C2766">
        <f>IF(B2766="","",IFERROR(INDEX('Bad Patterns'!$A$2:$A$120,MATCH(1,INDEX(--ISNUMBER(SEARCH('Bad Patterns'!$A$2:$A$120,B2766)),0),0)),""))</f>
        <v/>
      </c>
      <c r="D2766">
        <f>IF(B2766="","",IF(C2766&lt;&gt;"","REMOVE","KEEP"))</f>
        <v/>
      </c>
      <c r="E2766">
        <f>IF(D2766&lt;&gt;"KEEP","",IF(RIGHT(B2766,10)="@gmail.com","Gmail",IF(OR(RIGHT(B2766,12)="@outlook.com",RIGHT(B2766,12)="@hotmail.com",RIGHT(B2766,9)="@live.com"),"Outlook","Domain")))</f>
        <v/>
      </c>
      <c r="F2766">
        <f>IF(B2766="","",IFERROR(RIGHT(B2766,LEN(B2766)-FIND("@",B2766)),""))</f>
        <v/>
      </c>
      <c r="G2766">
        <f>IF(D2766="KEEP",COUNTIF($D$2:D2766,"KEEP"),"")</f>
        <v/>
      </c>
      <c r="H2766">
        <f>IF(D2766="REMOVE",COUNTIF($D$2:D2766,"REMOVE"),"")</f>
        <v/>
      </c>
      <c r="I2766">
        <f>IF(E2766="Gmail",COUNTIF($E$2:E2766,"Gmail"),"")</f>
        <v/>
      </c>
      <c r="J2766">
        <f>IF(E2766="Outlook",COUNTIF($E$2:E2766,"Outlook"),"")</f>
        <v/>
      </c>
      <c r="K2766">
        <f>IF(E2766="Domain",COUNTIF($E$2:E2766,"Domain"),"")</f>
        <v/>
      </c>
    </row>
    <row r="2767">
      <c r="A2767" s="2" t="n"/>
      <c r="B2767">
        <f>LOWER(TRIM(A2767))</f>
        <v/>
      </c>
      <c r="C2767">
        <f>IF(B2767="","",IFERROR(INDEX('Bad Patterns'!$A$2:$A$120,MATCH(1,INDEX(--ISNUMBER(SEARCH('Bad Patterns'!$A$2:$A$120,B2767)),0),0)),""))</f>
        <v/>
      </c>
      <c r="D2767">
        <f>IF(B2767="","",IF(C2767&lt;&gt;"","REMOVE","KEEP"))</f>
        <v/>
      </c>
      <c r="E2767">
        <f>IF(D2767&lt;&gt;"KEEP","",IF(RIGHT(B2767,10)="@gmail.com","Gmail",IF(OR(RIGHT(B2767,12)="@outlook.com",RIGHT(B2767,12)="@hotmail.com",RIGHT(B2767,9)="@live.com"),"Outlook","Domain")))</f>
        <v/>
      </c>
      <c r="F2767">
        <f>IF(B2767="","",IFERROR(RIGHT(B2767,LEN(B2767)-FIND("@",B2767)),""))</f>
        <v/>
      </c>
      <c r="G2767">
        <f>IF(D2767="KEEP",COUNTIF($D$2:D2767,"KEEP"),"")</f>
        <v/>
      </c>
      <c r="H2767">
        <f>IF(D2767="REMOVE",COUNTIF($D$2:D2767,"REMOVE"),"")</f>
        <v/>
      </c>
      <c r="I2767">
        <f>IF(E2767="Gmail",COUNTIF($E$2:E2767,"Gmail"),"")</f>
        <v/>
      </c>
      <c r="J2767">
        <f>IF(E2767="Outlook",COUNTIF($E$2:E2767,"Outlook"),"")</f>
        <v/>
      </c>
      <c r="K2767">
        <f>IF(E2767="Domain",COUNTIF($E$2:E2767,"Domain"),"")</f>
        <v/>
      </c>
    </row>
    <row r="2768">
      <c r="A2768" s="2" t="n"/>
      <c r="B2768">
        <f>LOWER(TRIM(A2768))</f>
        <v/>
      </c>
      <c r="C2768">
        <f>IF(B2768="","",IFERROR(INDEX('Bad Patterns'!$A$2:$A$120,MATCH(1,INDEX(--ISNUMBER(SEARCH('Bad Patterns'!$A$2:$A$120,B2768)),0),0)),""))</f>
        <v/>
      </c>
      <c r="D2768">
        <f>IF(B2768="","",IF(C2768&lt;&gt;"","REMOVE","KEEP"))</f>
        <v/>
      </c>
      <c r="E2768">
        <f>IF(D2768&lt;&gt;"KEEP","",IF(RIGHT(B2768,10)="@gmail.com","Gmail",IF(OR(RIGHT(B2768,12)="@outlook.com",RIGHT(B2768,12)="@hotmail.com",RIGHT(B2768,9)="@live.com"),"Outlook","Domain")))</f>
        <v/>
      </c>
      <c r="F2768">
        <f>IF(B2768="","",IFERROR(RIGHT(B2768,LEN(B2768)-FIND("@",B2768)),""))</f>
        <v/>
      </c>
      <c r="G2768">
        <f>IF(D2768="KEEP",COUNTIF($D$2:D2768,"KEEP"),"")</f>
        <v/>
      </c>
      <c r="H2768">
        <f>IF(D2768="REMOVE",COUNTIF($D$2:D2768,"REMOVE"),"")</f>
        <v/>
      </c>
      <c r="I2768">
        <f>IF(E2768="Gmail",COUNTIF($E$2:E2768,"Gmail"),"")</f>
        <v/>
      </c>
      <c r="J2768">
        <f>IF(E2768="Outlook",COUNTIF($E$2:E2768,"Outlook"),"")</f>
        <v/>
      </c>
      <c r="K2768">
        <f>IF(E2768="Domain",COUNTIF($E$2:E2768,"Domain"),"")</f>
        <v/>
      </c>
    </row>
    <row r="2769">
      <c r="A2769" s="2" t="n"/>
      <c r="B2769">
        <f>LOWER(TRIM(A2769))</f>
        <v/>
      </c>
      <c r="C2769">
        <f>IF(B2769="","",IFERROR(INDEX('Bad Patterns'!$A$2:$A$120,MATCH(1,INDEX(--ISNUMBER(SEARCH('Bad Patterns'!$A$2:$A$120,B2769)),0),0)),""))</f>
        <v/>
      </c>
      <c r="D2769">
        <f>IF(B2769="","",IF(C2769&lt;&gt;"","REMOVE","KEEP"))</f>
        <v/>
      </c>
      <c r="E2769">
        <f>IF(D2769&lt;&gt;"KEEP","",IF(RIGHT(B2769,10)="@gmail.com","Gmail",IF(OR(RIGHT(B2769,12)="@outlook.com",RIGHT(B2769,12)="@hotmail.com",RIGHT(B2769,9)="@live.com"),"Outlook","Domain")))</f>
        <v/>
      </c>
      <c r="F2769">
        <f>IF(B2769="","",IFERROR(RIGHT(B2769,LEN(B2769)-FIND("@",B2769)),""))</f>
        <v/>
      </c>
      <c r="G2769">
        <f>IF(D2769="KEEP",COUNTIF($D$2:D2769,"KEEP"),"")</f>
        <v/>
      </c>
      <c r="H2769">
        <f>IF(D2769="REMOVE",COUNTIF($D$2:D2769,"REMOVE"),"")</f>
        <v/>
      </c>
      <c r="I2769">
        <f>IF(E2769="Gmail",COUNTIF($E$2:E2769,"Gmail"),"")</f>
        <v/>
      </c>
      <c r="J2769">
        <f>IF(E2769="Outlook",COUNTIF($E$2:E2769,"Outlook"),"")</f>
        <v/>
      </c>
      <c r="K2769">
        <f>IF(E2769="Domain",COUNTIF($E$2:E2769,"Domain"),"")</f>
        <v/>
      </c>
    </row>
    <row r="2770">
      <c r="A2770" s="2" t="n"/>
      <c r="B2770">
        <f>LOWER(TRIM(A2770))</f>
        <v/>
      </c>
      <c r="C2770">
        <f>IF(B2770="","",IFERROR(INDEX('Bad Patterns'!$A$2:$A$120,MATCH(1,INDEX(--ISNUMBER(SEARCH('Bad Patterns'!$A$2:$A$120,B2770)),0),0)),""))</f>
        <v/>
      </c>
      <c r="D2770">
        <f>IF(B2770="","",IF(C2770&lt;&gt;"","REMOVE","KEEP"))</f>
        <v/>
      </c>
      <c r="E2770">
        <f>IF(D2770&lt;&gt;"KEEP","",IF(RIGHT(B2770,10)="@gmail.com","Gmail",IF(OR(RIGHT(B2770,12)="@outlook.com",RIGHT(B2770,12)="@hotmail.com",RIGHT(B2770,9)="@live.com"),"Outlook","Domain")))</f>
        <v/>
      </c>
      <c r="F2770">
        <f>IF(B2770="","",IFERROR(RIGHT(B2770,LEN(B2770)-FIND("@",B2770)),""))</f>
        <v/>
      </c>
      <c r="G2770">
        <f>IF(D2770="KEEP",COUNTIF($D$2:D2770,"KEEP"),"")</f>
        <v/>
      </c>
      <c r="H2770">
        <f>IF(D2770="REMOVE",COUNTIF($D$2:D2770,"REMOVE"),"")</f>
        <v/>
      </c>
      <c r="I2770">
        <f>IF(E2770="Gmail",COUNTIF($E$2:E2770,"Gmail"),"")</f>
        <v/>
      </c>
      <c r="J2770">
        <f>IF(E2770="Outlook",COUNTIF($E$2:E2770,"Outlook"),"")</f>
        <v/>
      </c>
      <c r="K2770">
        <f>IF(E2770="Domain",COUNTIF($E$2:E2770,"Domain"),"")</f>
        <v/>
      </c>
    </row>
    <row r="2771">
      <c r="A2771" s="2" t="n"/>
      <c r="B2771">
        <f>LOWER(TRIM(A2771))</f>
        <v/>
      </c>
      <c r="C2771">
        <f>IF(B2771="","",IFERROR(INDEX('Bad Patterns'!$A$2:$A$120,MATCH(1,INDEX(--ISNUMBER(SEARCH('Bad Patterns'!$A$2:$A$120,B2771)),0),0)),""))</f>
        <v/>
      </c>
      <c r="D2771">
        <f>IF(B2771="","",IF(C2771&lt;&gt;"","REMOVE","KEEP"))</f>
        <v/>
      </c>
      <c r="E2771">
        <f>IF(D2771&lt;&gt;"KEEP","",IF(RIGHT(B2771,10)="@gmail.com","Gmail",IF(OR(RIGHT(B2771,12)="@outlook.com",RIGHT(B2771,12)="@hotmail.com",RIGHT(B2771,9)="@live.com"),"Outlook","Domain")))</f>
        <v/>
      </c>
      <c r="F2771">
        <f>IF(B2771="","",IFERROR(RIGHT(B2771,LEN(B2771)-FIND("@",B2771)),""))</f>
        <v/>
      </c>
      <c r="G2771">
        <f>IF(D2771="KEEP",COUNTIF($D$2:D2771,"KEEP"),"")</f>
        <v/>
      </c>
      <c r="H2771">
        <f>IF(D2771="REMOVE",COUNTIF($D$2:D2771,"REMOVE"),"")</f>
        <v/>
      </c>
      <c r="I2771">
        <f>IF(E2771="Gmail",COUNTIF($E$2:E2771,"Gmail"),"")</f>
        <v/>
      </c>
      <c r="J2771">
        <f>IF(E2771="Outlook",COUNTIF($E$2:E2771,"Outlook"),"")</f>
        <v/>
      </c>
      <c r="K2771">
        <f>IF(E2771="Domain",COUNTIF($E$2:E2771,"Domain"),"")</f>
        <v/>
      </c>
    </row>
    <row r="2772">
      <c r="A2772" s="2" t="n"/>
      <c r="B2772">
        <f>LOWER(TRIM(A2772))</f>
        <v/>
      </c>
      <c r="C2772">
        <f>IF(B2772="","",IFERROR(INDEX('Bad Patterns'!$A$2:$A$120,MATCH(1,INDEX(--ISNUMBER(SEARCH('Bad Patterns'!$A$2:$A$120,B2772)),0),0)),""))</f>
        <v/>
      </c>
      <c r="D2772">
        <f>IF(B2772="","",IF(C2772&lt;&gt;"","REMOVE","KEEP"))</f>
        <v/>
      </c>
      <c r="E2772">
        <f>IF(D2772&lt;&gt;"KEEP","",IF(RIGHT(B2772,10)="@gmail.com","Gmail",IF(OR(RIGHT(B2772,12)="@outlook.com",RIGHT(B2772,12)="@hotmail.com",RIGHT(B2772,9)="@live.com"),"Outlook","Domain")))</f>
        <v/>
      </c>
      <c r="F2772">
        <f>IF(B2772="","",IFERROR(RIGHT(B2772,LEN(B2772)-FIND("@",B2772)),""))</f>
        <v/>
      </c>
      <c r="G2772">
        <f>IF(D2772="KEEP",COUNTIF($D$2:D2772,"KEEP"),"")</f>
        <v/>
      </c>
      <c r="H2772">
        <f>IF(D2772="REMOVE",COUNTIF($D$2:D2772,"REMOVE"),"")</f>
        <v/>
      </c>
      <c r="I2772">
        <f>IF(E2772="Gmail",COUNTIF($E$2:E2772,"Gmail"),"")</f>
        <v/>
      </c>
      <c r="J2772">
        <f>IF(E2772="Outlook",COUNTIF($E$2:E2772,"Outlook"),"")</f>
        <v/>
      </c>
      <c r="K2772">
        <f>IF(E2772="Domain",COUNTIF($E$2:E2772,"Domain"),"")</f>
        <v/>
      </c>
    </row>
    <row r="2773">
      <c r="A2773" s="2" t="n"/>
      <c r="B2773">
        <f>LOWER(TRIM(A2773))</f>
        <v/>
      </c>
      <c r="C2773">
        <f>IF(B2773="","",IFERROR(INDEX('Bad Patterns'!$A$2:$A$120,MATCH(1,INDEX(--ISNUMBER(SEARCH('Bad Patterns'!$A$2:$A$120,B2773)),0),0)),""))</f>
        <v/>
      </c>
      <c r="D2773">
        <f>IF(B2773="","",IF(C2773&lt;&gt;"","REMOVE","KEEP"))</f>
        <v/>
      </c>
      <c r="E2773">
        <f>IF(D2773&lt;&gt;"KEEP","",IF(RIGHT(B2773,10)="@gmail.com","Gmail",IF(OR(RIGHT(B2773,12)="@outlook.com",RIGHT(B2773,12)="@hotmail.com",RIGHT(B2773,9)="@live.com"),"Outlook","Domain")))</f>
        <v/>
      </c>
      <c r="F2773">
        <f>IF(B2773="","",IFERROR(RIGHT(B2773,LEN(B2773)-FIND("@",B2773)),""))</f>
        <v/>
      </c>
      <c r="G2773">
        <f>IF(D2773="KEEP",COUNTIF($D$2:D2773,"KEEP"),"")</f>
        <v/>
      </c>
      <c r="H2773">
        <f>IF(D2773="REMOVE",COUNTIF($D$2:D2773,"REMOVE"),"")</f>
        <v/>
      </c>
      <c r="I2773">
        <f>IF(E2773="Gmail",COUNTIF($E$2:E2773,"Gmail"),"")</f>
        <v/>
      </c>
      <c r="J2773">
        <f>IF(E2773="Outlook",COUNTIF($E$2:E2773,"Outlook"),"")</f>
        <v/>
      </c>
      <c r="K2773">
        <f>IF(E2773="Domain",COUNTIF($E$2:E2773,"Domain"),"")</f>
        <v/>
      </c>
    </row>
    <row r="2774">
      <c r="A2774" s="2" t="n"/>
      <c r="B2774">
        <f>LOWER(TRIM(A2774))</f>
        <v/>
      </c>
      <c r="C2774">
        <f>IF(B2774="","",IFERROR(INDEX('Bad Patterns'!$A$2:$A$120,MATCH(1,INDEX(--ISNUMBER(SEARCH('Bad Patterns'!$A$2:$A$120,B2774)),0),0)),""))</f>
        <v/>
      </c>
      <c r="D2774">
        <f>IF(B2774="","",IF(C2774&lt;&gt;"","REMOVE","KEEP"))</f>
        <v/>
      </c>
      <c r="E2774">
        <f>IF(D2774&lt;&gt;"KEEP","",IF(RIGHT(B2774,10)="@gmail.com","Gmail",IF(OR(RIGHT(B2774,12)="@outlook.com",RIGHT(B2774,12)="@hotmail.com",RIGHT(B2774,9)="@live.com"),"Outlook","Domain")))</f>
        <v/>
      </c>
      <c r="F2774">
        <f>IF(B2774="","",IFERROR(RIGHT(B2774,LEN(B2774)-FIND("@",B2774)),""))</f>
        <v/>
      </c>
      <c r="G2774">
        <f>IF(D2774="KEEP",COUNTIF($D$2:D2774,"KEEP"),"")</f>
        <v/>
      </c>
      <c r="H2774">
        <f>IF(D2774="REMOVE",COUNTIF($D$2:D2774,"REMOVE"),"")</f>
        <v/>
      </c>
      <c r="I2774">
        <f>IF(E2774="Gmail",COUNTIF($E$2:E2774,"Gmail"),"")</f>
        <v/>
      </c>
      <c r="J2774">
        <f>IF(E2774="Outlook",COUNTIF($E$2:E2774,"Outlook"),"")</f>
        <v/>
      </c>
      <c r="K2774">
        <f>IF(E2774="Domain",COUNTIF($E$2:E2774,"Domain"),"")</f>
        <v/>
      </c>
    </row>
    <row r="2775">
      <c r="A2775" s="2" t="n"/>
      <c r="B2775">
        <f>LOWER(TRIM(A2775))</f>
        <v/>
      </c>
      <c r="C2775">
        <f>IF(B2775="","",IFERROR(INDEX('Bad Patterns'!$A$2:$A$120,MATCH(1,INDEX(--ISNUMBER(SEARCH('Bad Patterns'!$A$2:$A$120,B2775)),0),0)),""))</f>
        <v/>
      </c>
      <c r="D2775">
        <f>IF(B2775="","",IF(C2775&lt;&gt;"","REMOVE","KEEP"))</f>
        <v/>
      </c>
      <c r="E2775">
        <f>IF(D2775&lt;&gt;"KEEP","",IF(RIGHT(B2775,10)="@gmail.com","Gmail",IF(OR(RIGHT(B2775,12)="@outlook.com",RIGHT(B2775,12)="@hotmail.com",RIGHT(B2775,9)="@live.com"),"Outlook","Domain")))</f>
        <v/>
      </c>
      <c r="F2775">
        <f>IF(B2775="","",IFERROR(RIGHT(B2775,LEN(B2775)-FIND("@",B2775)),""))</f>
        <v/>
      </c>
      <c r="G2775">
        <f>IF(D2775="KEEP",COUNTIF($D$2:D2775,"KEEP"),"")</f>
        <v/>
      </c>
      <c r="H2775">
        <f>IF(D2775="REMOVE",COUNTIF($D$2:D2775,"REMOVE"),"")</f>
        <v/>
      </c>
      <c r="I2775">
        <f>IF(E2775="Gmail",COUNTIF($E$2:E2775,"Gmail"),"")</f>
        <v/>
      </c>
      <c r="J2775">
        <f>IF(E2775="Outlook",COUNTIF($E$2:E2775,"Outlook"),"")</f>
        <v/>
      </c>
      <c r="K2775">
        <f>IF(E2775="Domain",COUNTIF($E$2:E2775,"Domain"),"")</f>
        <v/>
      </c>
    </row>
    <row r="2776">
      <c r="A2776" s="2" t="n"/>
      <c r="B2776">
        <f>LOWER(TRIM(A2776))</f>
        <v/>
      </c>
      <c r="C2776">
        <f>IF(B2776="","",IFERROR(INDEX('Bad Patterns'!$A$2:$A$120,MATCH(1,INDEX(--ISNUMBER(SEARCH('Bad Patterns'!$A$2:$A$120,B2776)),0),0)),""))</f>
        <v/>
      </c>
      <c r="D2776">
        <f>IF(B2776="","",IF(C2776&lt;&gt;"","REMOVE","KEEP"))</f>
        <v/>
      </c>
      <c r="E2776">
        <f>IF(D2776&lt;&gt;"KEEP","",IF(RIGHT(B2776,10)="@gmail.com","Gmail",IF(OR(RIGHT(B2776,12)="@outlook.com",RIGHT(B2776,12)="@hotmail.com",RIGHT(B2776,9)="@live.com"),"Outlook","Domain")))</f>
        <v/>
      </c>
      <c r="F2776">
        <f>IF(B2776="","",IFERROR(RIGHT(B2776,LEN(B2776)-FIND("@",B2776)),""))</f>
        <v/>
      </c>
      <c r="G2776">
        <f>IF(D2776="KEEP",COUNTIF($D$2:D2776,"KEEP"),"")</f>
        <v/>
      </c>
      <c r="H2776">
        <f>IF(D2776="REMOVE",COUNTIF($D$2:D2776,"REMOVE"),"")</f>
        <v/>
      </c>
      <c r="I2776">
        <f>IF(E2776="Gmail",COUNTIF($E$2:E2776,"Gmail"),"")</f>
        <v/>
      </c>
      <c r="J2776">
        <f>IF(E2776="Outlook",COUNTIF($E$2:E2776,"Outlook"),"")</f>
        <v/>
      </c>
      <c r="K2776">
        <f>IF(E2776="Domain",COUNTIF($E$2:E2776,"Domain"),"")</f>
        <v/>
      </c>
    </row>
    <row r="2777">
      <c r="A2777" s="2" t="n"/>
      <c r="B2777">
        <f>LOWER(TRIM(A2777))</f>
        <v/>
      </c>
      <c r="C2777">
        <f>IF(B2777="","",IFERROR(INDEX('Bad Patterns'!$A$2:$A$120,MATCH(1,INDEX(--ISNUMBER(SEARCH('Bad Patterns'!$A$2:$A$120,B2777)),0),0)),""))</f>
        <v/>
      </c>
      <c r="D2777">
        <f>IF(B2777="","",IF(C2777&lt;&gt;"","REMOVE","KEEP"))</f>
        <v/>
      </c>
      <c r="E2777">
        <f>IF(D2777&lt;&gt;"KEEP","",IF(RIGHT(B2777,10)="@gmail.com","Gmail",IF(OR(RIGHT(B2777,12)="@outlook.com",RIGHT(B2777,12)="@hotmail.com",RIGHT(B2777,9)="@live.com"),"Outlook","Domain")))</f>
        <v/>
      </c>
      <c r="F2777">
        <f>IF(B2777="","",IFERROR(RIGHT(B2777,LEN(B2777)-FIND("@",B2777)),""))</f>
        <v/>
      </c>
      <c r="G2777">
        <f>IF(D2777="KEEP",COUNTIF($D$2:D2777,"KEEP"),"")</f>
        <v/>
      </c>
      <c r="H2777">
        <f>IF(D2777="REMOVE",COUNTIF($D$2:D2777,"REMOVE"),"")</f>
        <v/>
      </c>
      <c r="I2777">
        <f>IF(E2777="Gmail",COUNTIF($E$2:E2777,"Gmail"),"")</f>
        <v/>
      </c>
      <c r="J2777">
        <f>IF(E2777="Outlook",COUNTIF($E$2:E2777,"Outlook"),"")</f>
        <v/>
      </c>
      <c r="K2777">
        <f>IF(E2777="Domain",COUNTIF($E$2:E2777,"Domain"),"")</f>
        <v/>
      </c>
    </row>
    <row r="2778">
      <c r="A2778" s="2" t="n"/>
      <c r="B2778">
        <f>LOWER(TRIM(A2778))</f>
        <v/>
      </c>
      <c r="C2778">
        <f>IF(B2778="","",IFERROR(INDEX('Bad Patterns'!$A$2:$A$120,MATCH(1,INDEX(--ISNUMBER(SEARCH('Bad Patterns'!$A$2:$A$120,B2778)),0),0)),""))</f>
        <v/>
      </c>
      <c r="D2778">
        <f>IF(B2778="","",IF(C2778&lt;&gt;"","REMOVE","KEEP"))</f>
        <v/>
      </c>
      <c r="E2778">
        <f>IF(D2778&lt;&gt;"KEEP","",IF(RIGHT(B2778,10)="@gmail.com","Gmail",IF(OR(RIGHT(B2778,12)="@outlook.com",RIGHT(B2778,12)="@hotmail.com",RIGHT(B2778,9)="@live.com"),"Outlook","Domain")))</f>
        <v/>
      </c>
      <c r="F2778">
        <f>IF(B2778="","",IFERROR(RIGHT(B2778,LEN(B2778)-FIND("@",B2778)),""))</f>
        <v/>
      </c>
      <c r="G2778">
        <f>IF(D2778="KEEP",COUNTIF($D$2:D2778,"KEEP"),"")</f>
        <v/>
      </c>
      <c r="H2778">
        <f>IF(D2778="REMOVE",COUNTIF($D$2:D2778,"REMOVE"),"")</f>
        <v/>
      </c>
      <c r="I2778">
        <f>IF(E2778="Gmail",COUNTIF($E$2:E2778,"Gmail"),"")</f>
        <v/>
      </c>
      <c r="J2778">
        <f>IF(E2778="Outlook",COUNTIF($E$2:E2778,"Outlook"),"")</f>
        <v/>
      </c>
      <c r="K2778">
        <f>IF(E2778="Domain",COUNTIF($E$2:E2778,"Domain"),"")</f>
        <v/>
      </c>
    </row>
    <row r="2779">
      <c r="A2779" s="2" t="n"/>
      <c r="B2779">
        <f>LOWER(TRIM(A2779))</f>
        <v/>
      </c>
      <c r="C2779">
        <f>IF(B2779="","",IFERROR(INDEX('Bad Patterns'!$A$2:$A$120,MATCH(1,INDEX(--ISNUMBER(SEARCH('Bad Patterns'!$A$2:$A$120,B2779)),0),0)),""))</f>
        <v/>
      </c>
      <c r="D2779">
        <f>IF(B2779="","",IF(C2779&lt;&gt;"","REMOVE","KEEP"))</f>
        <v/>
      </c>
      <c r="E2779">
        <f>IF(D2779&lt;&gt;"KEEP","",IF(RIGHT(B2779,10)="@gmail.com","Gmail",IF(OR(RIGHT(B2779,12)="@outlook.com",RIGHT(B2779,12)="@hotmail.com",RIGHT(B2779,9)="@live.com"),"Outlook","Domain")))</f>
        <v/>
      </c>
      <c r="F2779">
        <f>IF(B2779="","",IFERROR(RIGHT(B2779,LEN(B2779)-FIND("@",B2779)),""))</f>
        <v/>
      </c>
      <c r="G2779">
        <f>IF(D2779="KEEP",COUNTIF($D$2:D2779,"KEEP"),"")</f>
        <v/>
      </c>
      <c r="H2779">
        <f>IF(D2779="REMOVE",COUNTIF($D$2:D2779,"REMOVE"),"")</f>
        <v/>
      </c>
      <c r="I2779">
        <f>IF(E2779="Gmail",COUNTIF($E$2:E2779,"Gmail"),"")</f>
        <v/>
      </c>
      <c r="J2779">
        <f>IF(E2779="Outlook",COUNTIF($E$2:E2779,"Outlook"),"")</f>
        <v/>
      </c>
      <c r="K2779">
        <f>IF(E2779="Domain",COUNTIF($E$2:E2779,"Domain"),"")</f>
        <v/>
      </c>
    </row>
    <row r="2780">
      <c r="A2780" s="2" t="n"/>
      <c r="B2780">
        <f>LOWER(TRIM(A2780))</f>
        <v/>
      </c>
      <c r="C2780">
        <f>IF(B2780="","",IFERROR(INDEX('Bad Patterns'!$A$2:$A$120,MATCH(1,INDEX(--ISNUMBER(SEARCH('Bad Patterns'!$A$2:$A$120,B2780)),0),0)),""))</f>
        <v/>
      </c>
      <c r="D2780">
        <f>IF(B2780="","",IF(C2780&lt;&gt;"","REMOVE","KEEP"))</f>
        <v/>
      </c>
      <c r="E2780">
        <f>IF(D2780&lt;&gt;"KEEP","",IF(RIGHT(B2780,10)="@gmail.com","Gmail",IF(OR(RIGHT(B2780,12)="@outlook.com",RIGHT(B2780,12)="@hotmail.com",RIGHT(B2780,9)="@live.com"),"Outlook","Domain")))</f>
        <v/>
      </c>
      <c r="F2780">
        <f>IF(B2780="","",IFERROR(RIGHT(B2780,LEN(B2780)-FIND("@",B2780)),""))</f>
        <v/>
      </c>
      <c r="G2780">
        <f>IF(D2780="KEEP",COUNTIF($D$2:D2780,"KEEP"),"")</f>
        <v/>
      </c>
      <c r="H2780">
        <f>IF(D2780="REMOVE",COUNTIF($D$2:D2780,"REMOVE"),"")</f>
        <v/>
      </c>
      <c r="I2780">
        <f>IF(E2780="Gmail",COUNTIF($E$2:E2780,"Gmail"),"")</f>
        <v/>
      </c>
      <c r="J2780">
        <f>IF(E2780="Outlook",COUNTIF($E$2:E2780,"Outlook"),"")</f>
        <v/>
      </c>
      <c r="K2780">
        <f>IF(E2780="Domain",COUNTIF($E$2:E2780,"Domain"),"")</f>
        <v/>
      </c>
    </row>
    <row r="2781">
      <c r="A2781" s="2" t="n"/>
      <c r="B2781">
        <f>LOWER(TRIM(A2781))</f>
        <v/>
      </c>
      <c r="C2781">
        <f>IF(B2781="","",IFERROR(INDEX('Bad Patterns'!$A$2:$A$120,MATCH(1,INDEX(--ISNUMBER(SEARCH('Bad Patterns'!$A$2:$A$120,B2781)),0),0)),""))</f>
        <v/>
      </c>
      <c r="D2781">
        <f>IF(B2781="","",IF(C2781&lt;&gt;"","REMOVE","KEEP"))</f>
        <v/>
      </c>
      <c r="E2781">
        <f>IF(D2781&lt;&gt;"KEEP","",IF(RIGHT(B2781,10)="@gmail.com","Gmail",IF(OR(RIGHT(B2781,12)="@outlook.com",RIGHT(B2781,12)="@hotmail.com",RIGHT(B2781,9)="@live.com"),"Outlook","Domain")))</f>
        <v/>
      </c>
      <c r="F2781">
        <f>IF(B2781="","",IFERROR(RIGHT(B2781,LEN(B2781)-FIND("@",B2781)),""))</f>
        <v/>
      </c>
      <c r="G2781">
        <f>IF(D2781="KEEP",COUNTIF($D$2:D2781,"KEEP"),"")</f>
        <v/>
      </c>
      <c r="H2781">
        <f>IF(D2781="REMOVE",COUNTIF($D$2:D2781,"REMOVE"),"")</f>
        <v/>
      </c>
      <c r="I2781">
        <f>IF(E2781="Gmail",COUNTIF($E$2:E2781,"Gmail"),"")</f>
        <v/>
      </c>
      <c r="J2781">
        <f>IF(E2781="Outlook",COUNTIF($E$2:E2781,"Outlook"),"")</f>
        <v/>
      </c>
      <c r="K2781">
        <f>IF(E2781="Domain",COUNTIF($E$2:E2781,"Domain"),"")</f>
        <v/>
      </c>
    </row>
    <row r="2782">
      <c r="A2782" s="2" t="n"/>
      <c r="B2782">
        <f>LOWER(TRIM(A2782))</f>
        <v/>
      </c>
      <c r="C2782">
        <f>IF(B2782="","",IFERROR(INDEX('Bad Patterns'!$A$2:$A$120,MATCH(1,INDEX(--ISNUMBER(SEARCH('Bad Patterns'!$A$2:$A$120,B2782)),0),0)),""))</f>
        <v/>
      </c>
      <c r="D2782">
        <f>IF(B2782="","",IF(C2782&lt;&gt;"","REMOVE","KEEP"))</f>
        <v/>
      </c>
      <c r="E2782">
        <f>IF(D2782&lt;&gt;"KEEP","",IF(RIGHT(B2782,10)="@gmail.com","Gmail",IF(OR(RIGHT(B2782,12)="@outlook.com",RIGHT(B2782,12)="@hotmail.com",RIGHT(B2782,9)="@live.com"),"Outlook","Domain")))</f>
        <v/>
      </c>
      <c r="F2782">
        <f>IF(B2782="","",IFERROR(RIGHT(B2782,LEN(B2782)-FIND("@",B2782)),""))</f>
        <v/>
      </c>
      <c r="G2782">
        <f>IF(D2782="KEEP",COUNTIF($D$2:D2782,"KEEP"),"")</f>
        <v/>
      </c>
      <c r="H2782">
        <f>IF(D2782="REMOVE",COUNTIF($D$2:D2782,"REMOVE"),"")</f>
        <v/>
      </c>
      <c r="I2782">
        <f>IF(E2782="Gmail",COUNTIF($E$2:E2782,"Gmail"),"")</f>
        <v/>
      </c>
      <c r="J2782">
        <f>IF(E2782="Outlook",COUNTIF($E$2:E2782,"Outlook"),"")</f>
        <v/>
      </c>
      <c r="K2782">
        <f>IF(E2782="Domain",COUNTIF($E$2:E2782,"Domain"),"")</f>
        <v/>
      </c>
    </row>
    <row r="2783">
      <c r="A2783" s="2" t="n"/>
      <c r="B2783">
        <f>LOWER(TRIM(A2783))</f>
        <v/>
      </c>
      <c r="C2783">
        <f>IF(B2783="","",IFERROR(INDEX('Bad Patterns'!$A$2:$A$120,MATCH(1,INDEX(--ISNUMBER(SEARCH('Bad Patterns'!$A$2:$A$120,B2783)),0),0)),""))</f>
        <v/>
      </c>
      <c r="D2783">
        <f>IF(B2783="","",IF(C2783&lt;&gt;"","REMOVE","KEEP"))</f>
        <v/>
      </c>
      <c r="E2783">
        <f>IF(D2783&lt;&gt;"KEEP","",IF(RIGHT(B2783,10)="@gmail.com","Gmail",IF(OR(RIGHT(B2783,12)="@outlook.com",RIGHT(B2783,12)="@hotmail.com",RIGHT(B2783,9)="@live.com"),"Outlook","Domain")))</f>
        <v/>
      </c>
      <c r="F2783">
        <f>IF(B2783="","",IFERROR(RIGHT(B2783,LEN(B2783)-FIND("@",B2783)),""))</f>
        <v/>
      </c>
      <c r="G2783">
        <f>IF(D2783="KEEP",COUNTIF($D$2:D2783,"KEEP"),"")</f>
        <v/>
      </c>
      <c r="H2783">
        <f>IF(D2783="REMOVE",COUNTIF($D$2:D2783,"REMOVE"),"")</f>
        <v/>
      </c>
      <c r="I2783">
        <f>IF(E2783="Gmail",COUNTIF($E$2:E2783,"Gmail"),"")</f>
        <v/>
      </c>
      <c r="J2783">
        <f>IF(E2783="Outlook",COUNTIF($E$2:E2783,"Outlook"),"")</f>
        <v/>
      </c>
      <c r="K2783">
        <f>IF(E2783="Domain",COUNTIF($E$2:E2783,"Domain"),"")</f>
        <v/>
      </c>
    </row>
    <row r="2784">
      <c r="A2784" s="2" t="n"/>
      <c r="B2784">
        <f>LOWER(TRIM(A2784))</f>
        <v/>
      </c>
      <c r="C2784">
        <f>IF(B2784="","",IFERROR(INDEX('Bad Patterns'!$A$2:$A$120,MATCH(1,INDEX(--ISNUMBER(SEARCH('Bad Patterns'!$A$2:$A$120,B2784)),0),0)),""))</f>
        <v/>
      </c>
      <c r="D2784">
        <f>IF(B2784="","",IF(C2784&lt;&gt;"","REMOVE","KEEP"))</f>
        <v/>
      </c>
      <c r="E2784">
        <f>IF(D2784&lt;&gt;"KEEP","",IF(RIGHT(B2784,10)="@gmail.com","Gmail",IF(OR(RIGHT(B2784,12)="@outlook.com",RIGHT(B2784,12)="@hotmail.com",RIGHT(B2784,9)="@live.com"),"Outlook","Domain")))</f>
        <v/>
      </c>
      <c r="F2784">
        <f>IF(B2784="","",IFERROR(RIGHT(B2784,LEN(B2784)-FIND("@",B2784)),""))</f>
        <v/>
      </c>
      <c r="G2784">
        <f>IF(D2784="KEEP",COUNTIF($D$2:D2784,"KEEP"),"")</f>
        <v/>
      </c>
      <c r="H2784">
        <f>IF(D2784="REMOVE",COUNTIF($D$2:D2784,"REMOVE"),"")</f>
        <v/>
      </c>
      <c r="I2784">
        <f>IF(E2784="Gmail",COUNTIF($E$2:E2784,"Gmail"),"")</f>
        <v/>
      </c>
      <c r="J2784">
        <f>IF(E2784="Outlook",COUNTIF($E$2:E2784,"Outlook"),"")</f>
        <v/>
      </c>
      <c r="K2784">
        <f>IF(E2784="Domain",COUNTIF($E$2:E2784,"Domain"),"")</f>
        <v/>
      </c>
    </row>
    <row r="2785">
      <c r="A2785" s="2" t="n"/>
      <c r="B2785">
        <f>LOWER(TRIM(A2785))</f>
        <v/>
      </c>
      <c r="C2785">
        <f>IF(B2785="","",IFERROR(INDEX('Bad Patterns'!$A$2:$A$120,MATCH(1,INDEX(--ISNUMBER(SEARCH('Bad Patterns'!$A$2:$A$120,B2785)),0),0)),""))</f>
        <v/>
      </c>
      <c r="D2785">
        <f>IF(B2785="","",IF(C2785&lt;&gt;"","REMOVE","KEEP"))</f>
        <v/>
      </c>
      <c r="E2785">
        <f>IF(D2785&lt;&gt;"KEEP","",IF(RIGHT(B2785,10)="@gmail.com","Gmail",IF(OR(RIGHT(B2785,12)="@outlook.com",RIGHT(B2785,12)="@hotmail.com",RIGHT(B2785,9)="@live.com"),"Outlook","Domain")))</f>
        <v/>
      </c>
      <c r="F2785">
        <f>IF(B2785="","",IFERROR(RIGHT(B2785,LEN(B2785)-FIND("@",B2785)),""))</f>
        <v/>
      </c>
      <c r="G2785">
        <f>IF(D2785="KEEP",COUNTIF($D$2:D2785,"KEEP"),"")</f>
        <v/>
      </c>
      <c r="H2785">
        <f>IF(D2785="REMOVE",COUNTIF($D$2:D2785,"REMOVE"),"")</f>
        <v/>
      </c>
      <c r="I2785">
        <f>IF(E2785="Gmail",COUNTIF($E$2:E2785,"Gmail"),"")</f>
        <v/>
      </c>
      <c r="J2785">
        <f>IF(E2785="Outlook",COUNTIF($E$2:E2785,"Outlook"),"")</f>
        <v/>
      </c>
      <c r="K2785">
        <f>IF(E2785="Domain",COUNTIF($E$2:E2785,"Domain"),"")</f>
        <v/>
      </c>
    </row>
    <row r="2786">
      <c r="A2786" s="2" t="n"/>
      <c r="B2786">
        <f>LOWER(TRIM(A2786))</f>
        <v/>
      </c>
      <c r="C2786">
        <f>IF(B2786="","",IFERROR(INDEX('Bad Patterns'!$A$2:$A$120,MATCH(1,INDEX(--ISNUMBER(SEARCH('Bad Patterns'!$A$2:$A$120,B2786)),0),0)),""))</f>
        <v/>
      </c>
      <c r="D2786">
        <f>IF(B2786="","",IF(C2786&lt;&gt;"","REMOVE","KEEP"))</f>
        <v/>
      </c>
      <c r="E2786">
        <f>IF(D2786&lt;&gt;"KEEP","",IF(RIGHT(B2786,10)="@gmail.com","Gmail",IF(OR(RIGHT(B2786,12)="@outlook.com",RIGHT(B2786,12)="@hotmail.com",RIGHT(B2786,9)="@live.com"),"Outlook","Domain")))</f>
        <v/>
      </c>
      <c r="F2786">
        <f>IF(B2786="","",IFERROR(RIGHT(B2786,LEN(B2786)-FIND("@",B2786)),""))</f>
        <v/>
      </c>
      <c r="G2786">
        <f>IF(D2786="KEEP",COUNTIF($D$2:D2786,"KEEP"),"")</f>
        <v/>
      </c>
      <c r="H2786">
        <f>IF(D2786="REMOVE",COUNTIF($D$2:D2786,"REMOVE"),"")</f>
        <v/>
      </c>
      <c r="I2786">
        <f>IF(E2786="Gmail",COUNTIF($E$2:E2786,"Gmail"),"")</f>
        <v/>
      </c>
      <c r="J2786">
        <f>IF(E2786="Outlook",COUNTIF($E$2:E2786,"Outlook"),"")</f>
        <v/>
      </c>
      <c r="K2786">
        <f>IF(E2786="Domain",COUNTIF($E$2:E2786,"Domain"),"")</f>
        <v/>
      </c>
    </row>
    <row r="2787">
      <c r="A2787" s="2" t="n"/>
      <c r="B2787">
        <f>LOWER(TRIM(A2787))</f>
        <v/>
      </c>
      <c r="C2787">
        <f>IF(B2787="","",IFERROR(INDEX('Bad Patterns'!$A$2:$A$120,MATCH(1,INDEX(--ISNUMBER(SEARCH('Bad Patterns'!$A$2:$A$120,B2787)),0),0)),""))</f>
        <v/>
      </c>
      <c r="D2787">
        <f>IF(B2787="","",IF(C2787&lt;&gt;"","REMOVE","KEEP"))</f>
        <v/>
      </c>
      <c r="E2787">
        <f>IF(D2787&lt;&gt;"KEEP","",IF(RIGHT(B2787,10)="@gmail.com","Gmail",IF(OR(RIGHT(B2787,12)="@outlook.com",RIGHT(B2787,12)="@hotmail.com",RIGHT(B2787,9)="@live.com"),"Outlook","Domain")))</f>
        <v/>
      </c>
      <c r="F2787">
        <f>IF(B2787="","",IFERROR(RIGHT(B2787,LEN(B2787)-FIND("@",B2787)),""))</f>
        <v/>
      </c>
      <c r="G2787">
        <f>IF(D2787="KEEP",COUNTIF($D$2:D2787,"KEEP"),"")</f>
        <v/>
      </c>
      <c r="H2787">
        <f>IF(D2787="REMOVE",COUNTIF($D$2:D2787,"REMOVE"),"")</f>
        <v/>
      </c>
      <c r="I2787">
        <f>IF(E2787="Gmail",COUNTIF($E$2:E2787,"Gmail"),"")</f>
        <v/>
      </c>
      <c r="J2787">
        <f>IF(E2787="Outlook",COUNTIF($E$2:E2787,"Outlook"),"")</f>
        <v/>
      </c>
      <c r="K2787">
        <f>IF(E2787="Domain",COUNTIF($E$2:E2787,"Domain"),"")</f>
        <v/>
      </c>
    </row>
    <row r="2788">
      <c r="A2788" s="2" t="n"/>
      <c r="B2788">
        <f>LOWER(TRIM(A2788))</f>
        <v/>
      </c>
      <c r="C2788">
        <f>IF(B2788="","",IFERROR(INDEX('Bad Patterns'!$A$2:$A$120,MATCH(1,INDEX(--ISNUMBER(SEARCH('Bad Patterns'!$A$2:$A$120,B2788)),0),0)),""))</f>
        <v/>
      </c>
      <c r="D2788">
        <f>IF(B2788="","",IF(C2788&lt;&gt;"","REMOVE","KEEP"))</f>
        <v/>
      </c>
      <c r="E2788">
        <f>IF(D2788&lt;&gt;"KEEP","",IF(RIGHT(B2788,10)="@gmail.com","Gmail",IF(OR(RIGHT(B2788,12)="@outlook.com",RIGHT(B2788,12)="@hotmail.com",RIGHT(B2788,9)="@live.com"),"Outlook","Domain")))</f>
        <v/>
      </c>
      <c r="F2788">
        <f>IF(B2788="","",IFERROR(RIGHT(B2788,LEN(B2788)-FIND("@",B2788)),""))</f>
        <v/>
      </c>
      <c r="G2788">
        <f>IF(D2788="KEEP",COUNTIF($D$2:D2788,"KEEP"),"")</f>
        <v/>
      </c>
      <c r="H2788">
        <f>IF(D2788="REMOVE",COUNTIF($D$2:D2788,"REMOVE"),"")</f>
        <v/>
      </c>
      <c r="I2788">
        <f>IF(E2788="Gmail",COUNTIF($E$2:E2788,"Gmail"),"")</f>
        <v/>
      </c>
      <c r="J2788">
        <f>IF(E2788="Outlook",COUNTIF($E$2:E2788,"Outlook"),"")</f>
        <v/>
      </c>
      <c r="K2788">
        <f>IF(E2788="Domain",COUNTIF($E$2:E2788,"Domain"),"")</f>
        <v/>
      </c>
    </row>
    <row r="2789">
      <c r="A2789" s="2" t="n"/>
      <c r="B2789">
        <f>LOWER(TRIM(A2789))</f>
        <v/>
      </c>
      <c r="C2789">
        <f>IF(B2789="","",IFERROR(INDEX('Bad Patterns'!$A$2:$A$120,MATCH(1,INDEX(--ISNUMBER(SEARCH('Bad Patterns'!$A$2:$A$120,B2789)),0),0)),""))</f>
        <v/>
      </c>
      <c r="D2789">
        <f>IF(B2789="","",IF(C2789&lt;&gt;"","REMOVE","KEEP"))</f>
        <v/>
      </c>
      <c r="E2789">
        <f>IF(D2789&lt;&gt;"KEEP","",IF(RIGHT(B2789,10)="@gmail.com","Gmail",IF(OR(RIGHT(B2789,12)="@outlook.com",RIGHT(B2789,12)="@hotmail.com",RIGHT(B2789,9)="@live.com"),"Outlook","Domain")))</f>
        <v/>
      </c>
      <c r="F2789">
        <f>IF(B2789="","",IFERROR(RIGHT(B2789,LEN(B2789)-FIND("@",B2789)),""))</f>
        <v/>
      </c>
      <c r="G2789">
        <f>IF(D2789="KEEP",COUNTIF($D$2:D2789,"KEEP"),"")</f>
        <v/>
      </c>
      <c r="H2789">
        <f>IF(D2789="REMOVE",COUNTIF($D$2:D2789,"REMOVE"),"")</f>
        <v/>
      </c>
      <c r="I2789">
        <f>IF(E2789="Gmail",COUNTIF($E$2:E2789,"Gmail"),"")</f>
        <v/>
      </c>
      <c r="J2789">
        <f>IF(E2789="Outlook",COUNTIF($E$2:E2789,"Outlook"),"")</f>
        <v/>
      </c>
      <c r="K2789">
        <f>IF(E2789="Domain",COUNTIF($E$2:E2789,"Domain"),"")</f>
        <v/>
      </c>
    </row>
    <row r="2790">
      <c r="A2790" s="2" t="n"/>
      <c r="B2790">
        <f>LOWER(TRIM(A2790))</f>
        <v/>
      </c>
      <c r="C2790">
        <f>IF(B2790="","",IFERROR(INDEX('Bad Patterns'!$A$2:$A$120,MATCH(1,INDEX(--ISNUMBER(SEARCH('Bad Patterns'!$A$2:$A$120,B2790)),0),0)),""))</f>
        <v/>
      </c>
      <c r="D2790">
        <f>IF(B2790="","",IF(C2790&lt;&gt;"","REMOVE","KEEP"))</f>
        <v/>
      </c>
      <c r="E2790">
        <f>IF(D2790&lt;&gt;"KEEP","",IF(RIGHT(B2790,10)="@gmail.com","Gmail",IF(OR(RIGHT(B2790,12)="@outlook.com",RIGHT(B2790,12)="@hotmail.com",RIGHT(B2790,9)="@live.com"),"Outlook","Domain")))</f>
        <v/>
      </c>
      <c r="F2790">
        <f>IF(B2790="","",IFERROR(RIGHT(B2790,LEN(B2790)-FIND("@",B2790)),""))</f>
        <v/>
      </c>
      <c r="G2790">
        <f>IF(D2790="KEEP",COUNTIF($D$2:D2790,"KEEP"),"")</f>
        <v/>
      </c>
      <c r="H2790">
        <f>IF(D2790="REMOVE",COUNTIF($D$2:D2790,"REMOVE"),"")</f>
        <v/>
      </c>
      <c r="I2790">
        <f>IF(E2790="Gmail",COUNTIF($E$2:E2790,"Gmail"),"")</f>
        <v/>
      </c>
      <c r="J2790">
        <f>IF(E2790="Outlook",COUNTIF($E$2:E2790,"Outlook"),"")</f>
        <v/>
      </c>
      <c r="K2790">
        <f>IF(E2790="Domain",COUNTIF($E$2:E2790,"Domain"),"")</f>
        <v/>
      </c>
    </row>
    <row r="2791">
      <c r="A2791" s="2" t="n"/>
      <c r="B2791">
        <f>LOWER(TRIM(A2791))</f>
        <v/>
      </c>
      <c r="C2791">
        <f>IF(B2791="","",IFERROR(INDEX('Bad Patterns'!$A$2:$A$120,MATCH(1,INDEX(--ISNUMBER(SEARCH('Bad Patterns'!$A$2:$A$120,B2791)),0),0)),""))</f>
        <v/>
      </c>
      <c r="D2791">
        <f>IF(B2791="","",IF(C2791&lt;&gt;"","REMOVE","KEEP"))</f>
        <v/>
      </c>
      <c r="E2791">
        <f>IF(D2791&lt;&gt;"KEEP","",IF(RIGHT(B2791,10)="@gmail.com","Gmail",IF(OR(RIGHT(B2791,12)="@outlook.com",RIGHT(B2791,12)="@hotmail.com",RIGHT(B2791,9)="@live.com"),"Outlook","Domain")))</f>
        <v/>
      </c>
      <c r="F2791">
        <f>IF(B2791="","",IFERROR(RIGHT(B2791,LEN(B2791)-FIND("@",B2791)),""))</f>
        <v/>
      </c>
      <c r="G2791">
        <f>IF(D2791="KEEP",COUNTIF($D$2:D2791,"KEEP"),"")</f>
        <v/>
      </c>
      <c r="H2791">
        <f>IF(D2791="REMOVE",COUNTIF($D$2:D2791,"REMOVE"),"")</f>
        <v/>
      </c>
      <c r="I2791">
        <f>IF(E2791="Gmail",COUNTIF($E$2:E2791,"Gmail"),"")</f>
        <v/>
      </c>
      <c r="J2791">
        <f>IF(E2791="Outlook",COUNTIF($E$2:E2791,"Outlook"),"")</f>
        <v/>
      </c>
      <c r="K2791">
        <f>IF(E2791="Domain",COUNTIF($E$2:E2791,"Domain"),"")</f>
        <v/>
      </c>
    </row>
    <row r="2792">
      <c r="A2792" s="2" t="n"/>
      <c r="B2792">
        <f>LOWER(TRIM(A2792))</f>
        <v/>
      </c>
      <c r="C2792">
        <f>IF(B2792="","",IFERROR(INDEX('Bad Patterns'!$A$2:$A$120,MATCH(1,INDEX(--ISNUMBER(SEARCH('Bad Patterns'!$A$2:$A$120,B2792)),0),0)),""))</f>
        <v/>
      </c>
      <c r="D2792">
        <f>IF(B2792="","",IF(C2792&lt;&gt;"","REMOVE","KEEP"))</f>
        <v/>
      </c>
      <c r="E2792">
        <f>IF(D2792&lt;&gt;"KEEP","",IF(RIGHT(B2792,10)="@gmail.com","Gmail",IF(OR(RIGHT(B2792,12)="@outlook.com",RIGHT(B2792,12)="@hotmail.com",RIGHT(B2792,9)="@live.com"),"Outlook","Domain")))</f>
        <v/>
      </c>
      <c r="F2792">
        <f>IF(B2792="","",IFERROR(RIGHT(B2792,LEN(B2792)-FIND("@",B2792)),""))</f>
        <v/>
      </c>
      <c r="G2792">
        <f>IF(D2792="KEEP",COUNTIF($D$2:D2792,"KEEP"),"")</f>
        <v/>
      </c>
      <c r="H2792">
        <f>IF(D2792="REMOVE",COUNTIF($D$2:D2792,"REMOVE"),"")</f>
        <v/>
      </c>
      <c r="I2792">
        <f>IF(E2792="Gmail",COUNTIF($E$2:E2792,"Gmail"),"")</f>
        <v/>
      </c>
      <c r="J2792">
        <f>IF(E2792="Outlook",COUNTIF($E$2:E2792,"Outlook"),"")</f>
        <v/>
      </c>
      <c r="K2792">
        <f>IF(E2792="Domain",COUNTIF($E$2:E2792,"Domain"),"")</f>
        <v/>
      </c>
    </row>
    <row r="2793">
      <c r="A2793" s="2" t="n"/>
      <c r="B2793">
        <f>LOWER(TRIM(A2793))</f>
        <v/>
      </c>
      <c r="C2793">
        <f>IF(B2793="","",IFERROR(INDEX('Bad Patterns'!$A$2:$A$120,MATCH(1,INDEX(--ISNUMBER(SEARCH('Bad Patterns'!$A$2:$A$120,B2793)),0),0)),""))</f>
        <v/>
      </c>
      <c r="D2793">
        <f>IF(B2793="","",IF(C2793&lt;&gt;"","REMOVE","KEEP"))</f>
        <v/>
      </c>
      <c r="E2793">
        <f>IF(D2793&lt;&gt;"KEEP","",IF(RIGHT(B2793,10)="@gmail.com","Gmail",IF(OR(RIGHT(B2793,12)="@outlook.com",RIGHT(B2793,12)="@hotmail.com",RIGHT(B2793,9)="@live.com"),"Outlook","Domain")))</f>
        <v/>
      </c>
      <c r="F2793">
        <f>IF(B2793="","",IFERROR(RIGHT(B2793,LEN(B2793)-FIND("@",B2793)),""))</f>
        <v/>
      </c>
      <c r="G2793">
        <f>IF(D2793="KEEP",COUNTIF($D$2:D2793,"KEEP"),"")</f>
        <v/>
      </c>
      <c r="H2793">
        <f>IF(D2793="REMOVE",COUNTIF($D$2:D2793,"REMOVE"),"")</f>
        <v/>
      </c>
      <c r="I2793">
        <f>IF(E2793="Gmail",COUNTIF($E$2:E2793,"Gmail"),"")</f>
        <v/>
      </c>
      <c r="J2793">
        <f>IF(E2793="Outlook",COUNTIF($E$2:E2793,"Outlook"),"")</f>
        <v/>
      </c>
      <c r="K2793">
        <f>IF(E2793="Domain",COUNTIF($E$2:E2793,"Domain"),"")</f>
        <v/>
      </c>
    </row>
    <row r="2794">
      <c r="A2794" s="2" t="n"/>
      <c r="B2794">
        <f>LOWER(TRIM(A2794))</f>
        <v/>
      </c>
      <c r="C2794">
        <f>IF(B2794="","",IFERROR(INDEX('Bad Patterns'!$A$2:$A$120,MATCH(1,INDEX(--ISNUMBER(SEARCH('Bad Patterns'!$A$2:$A$120,B2794)),0),0)),""))</f>
        <v/>
      </c>
      <c r="D2794">
        <f>IF(B2794="","",IF(C2794&lt;&gt;"","REMOVE","KEEP"))</f>
        <v/>
      </c>
      <c r="E2794">
        <f>IF(D2794&lt;&gt;"KEEP","",IF(RIGHT(B2794,10)="@gmail.com","Gmail",IF(OR(RIGHT(B2794,12)="@outlook.com",RIGHT(B2794,12)="@hotmail.com",RIGHT(B2794,9)="@live.com"),"Outlook","Domain")))</f>
        <v/>
      </c>
      <c r="F2794">
        <f>IF(B2794="","",IFERROR(RIGHT(B2794,LEN(B2794)-FIND("@",B2794)),""))</f>
        <v/>
      </c>
      <c r="G2794">
        <f>IF(D2794="KEEP",COUNTIF($D$2:D2794,"KEEP"),"")</f>
        <v/>
      </c>
      <c r="H2794">
        <f>IF(D2794="REMOVE",COUNTIF($D$2:D2794,"REMOVE"),"")</f>
        <v/>
      </c>
      <c r="I2794">
        <f>IF(E2794="Gmail",COUNTIF($E$2:E2794,"Gmail"),"")</f>
        <v/>
      </c>
      <c r="J2794">
        <f>IF(E2794="Outlook",COUNTIF($E$2:E2794,"Outlook"),"")</f>
        <v/>
      </c>
      <c r="K2794">
        <f>IF(E2794="Domain",COUNTIF($E$2:E2794,"Domain"),"")</f>
        <v/>
      </c>
    </row>
    <row r="2795">
      <c r="A2795" s="2" t="n"/>
      <c r="B2795">
        <f>LOWER(TRIM(A2795))</f>
        <v/>
      </c>
      <c r="C2795">
        <f>IF(B2795="","",IFERROR(INDEX('Bad Patterns'!$A$2:$A$120,MATCH(1,INDEX(--ISNUMBER(SEARCH('Bad Patterns'!$A$2:$A$120,B2795)),0),0)),""))</f>
        <v/>
      </c>
      <c r="D2795">
        <f>IF(B2795="","",IF(C2795&lt;&gt;"","REMOVE","KEEP"))</f>
        <v/>
      </c>
      <c r="E2795">
        <f>IF(D2795&lt;&gt;"KEEP","",IF(RIGHT(B2795,10)="@gmail.com","Gmail",IF(OR(RIGHT(B2795,12)="@outlook.com",RIGHT(B2795,12)="@hotmail.com",RIGHT(B2795,9)="@live.com"),"Outlook","Domain")))</f>
        <v/>
      </c>
      <c r="F2795">
        <f>IF(B2795="","",IFERROR(RIGHT(B2795,LEN(B2795)-FIND("@",B2795)),""))</f>
        <v/>
      </c>
      <c r="G2795">
        <f>IF(D2795="KEEP",COUNTIF($D$2:D2795,"KEEP"),"")</f>
        <v/>
      </c>
      <c r="H2795">
        <f>IF(D2795="REMOVE",COUNTIF($D$2:D2795,"REMOVE"),"")</f>
        <v/>
      </c>
      <c r="I2795">
        <f>IF(E2795="Gmail",COUNTIF($E$2:E2795,"Gmail"),"")</f>
        <v/>
      </c>
      <c r="J2795">
        <f>IF(E2795="Outlook",COUNTIF($E$2:E2795,"Outlook"),"")</f>
        <v/>
      </c>
      <c r="K2795">
        <f>IF(E2795="Domain",COUNTIF($E$2:E2795,"Domain"),"")</f>
        <v/>
      </c>
    </row>
    <row r="2796">
      <c r="A2796" s="2" t="n"/>
      <c r="B2796">
        <f>LOWER(TRIM(A2796))</f>
        <v/>
      </c>
      <c r="C2796">
        <f>IF(B2796="","",IFERROR(INDEX('Bad Patterns'!$A$2:$A$120,MATCH(1,INDEX(--ISNUMBER(SEARCH('Bad Patterns'!$A$2:$A$120,B2796)),0),0)),""))</f>
        <v/>
      </c>
      <c r="D2796">
        <f>IF(B2796="","",IF(C2796&lt;&gt;"","REMOVE","KEEP"))</f>
        <v/>
      </c>
      <c r="E2796">
        <f>IF(D2796&lt;&gt;"KEEP","",IF(RIGHT(B2796,10)="@gmail.com","Gmail",IF(OR(RIGHT(B2796,12)="@outlook.com",RIGHT(B2796,12)="@hotmail.com",RIGHT(B2796,9)="@live.com"),"Outlook","Domain")))</f>
        <v/>
      </c>
      <c r="F2796">
        <f>IF(B2796="","",IFERROR(RIGHT(B2796,LEN(B2796)-FIND("@",B2796)),""))</f>
        <v/>
      </c>
      <c r="G2796">
        <f>IF(D2796="KEEP",COUNTIF($D$2:D2796,"KEEP"),"")</f>
        <v/>
      </c>
      <c r="H2796">
        <f>IF(D2796="REMOVE",COUNTIF($D$2:D2796,"REMOVE"),"")</f>
        <v/>
      </c>
      <c r="I2796">
        <f>IF(E2796="Gmail",COUNTIF($E$2:E2796,"Gmail"),"")</f>
        <v/>
      </c>
      <c r="J2796">
        <f>IF(E2796="Outlook",COUNTIF($E$2:E2796,"Outlook"),"")</f>
        <v/>
      </c>
      <c r="K2796">
        <f>IF(E2796="Domain",COUNTIF($E$2:E2796,"Domain"),"")</f>
        <v/>
      </c>
    </row>
    <row r="2797">
      <c r="A2797" s="2" t="n"/>
      <c r="B2797">
        <f>LOWER(TRIM(A2797))</f>
        <v/>
      </c>
      <c r="C2797">
        <f>IF(B2797="","",IFERROR(INDEX('Bad Patterns'!$A$2:$A$120,MATCH(1,INDEX(--ISNUMBER(SEARCH('Bad Patterns'!$A$2:$A$120,B2797)),0),0)),""))</f>
        <v/>
      </c>
      <c r="D2797">
        <f>IF(B2797="","",IF(C2797&lt;&gt;"","REMOVE","KEEP"))</f>
        <v/>
      </c>
      <c r="E2797">
        <f>IF(D2797&lt;&gt;"KEEP","",IF(RIGHT(B2797,10)="@gmail.com","Gmail",IF(OR(RIGHT(B2797,12)="@outlook.com",RIGHT(B2797,12)="@hotmail.com",RIGHT(B2797,9)="@live.com"),"Outlook","Domain")))</f>
        <v/>
      </c>
      <c r="F2797">
        <f>IF(B2797="","",IFERROR(RIGHT(B2797,LEN(B2797)-FIND("@",B2797)),""))</f>
        <v/>
      </c>
      <c r="G2797">
        <f>IF(D2797="KEEP",COUNTIF($D$2:D2797,"KEEP"),"")</f>
        <v/>
      </c>
      <c r="H2797">
        <f>IF(D2797="REMOVE",COUNTIF($D$2:D2797,"REMOVE"),"")</f>
        <v/>
      </c>
      <c r="I2797">
        <f>IF(E2797="Gmail",COUNTIF($E$2:E2797,"Gmail"),"")</f>
        <v/>
      </c>
      <c r="J2797">
        <f>IF(E2797="Outlook",COUNTIF($E$2:E2797,"Outlook"),"")</f>
        <v/>
      </c>
      <c r="K2797">
        <f>IF(E2797="Domain",COUNTIF($E$2:E2797,"Domain"),"")</f>
        <v/>
      </c>
    </row>
    <row r="2798">
      <c r="A2798" s="2" t="n"/>
      <c r="B2798">
        <f>LOWER(TRIM(A2798))</f>
        <v/>
      </c>
      <c r="C2798">
        <f>IF(B2798="","",IFERROR(INDEX('Bad Patterns'!$A$2:$A$120,MATCH(1,INDEX(--ISNUMBER(SEARCH('Bad Patterns'!$A$2:$A$120,B2798)),0),0)),""))</f>
        <v/>
      </c>
      <c r="D2798">
        <f>IF(B2798="","",IF(C2798&lt;&gt;"","REMOVE","KEEP"))</f>
        <v/>
      </c>
      <c r="E2798">
        <f>IF(D2798&lt;&gt;"KEEP","",IF(RIGHT(B2798,10)="@gmail.com","Gmail",IF(OR(RIGHT(B2798,12)="@outlook.com",RIGHT(B2798,12)="@hotmail.com",RIGHT(B2798,9)="@live.com"),"Outlook","Domain")))</f>
        <v/>
      </c>
      <c r="F2798">
        <f>IF(B2798="","",IFERROR(RIGHT(B2798,LEN(B2798)-FIND("@",B2798)),""))</f>
        <v/>
      </c>
      <c r="G2798">
        <f>IF(D2798="KEEP",COUNTIF($D$2:D2798,"KEEP"),"")</f>
        <v/>
      </c>
      <c r="H2798">
        <f>IF(D2798="REMOVE",COUNTIF($D$2:D2798,"REMOVE"),"")</f>
        <v/>
      </c>
      <c r="I2798">
        <f>IF(E2798="Gmail",COUNTIF($E$2:E2798,"Gmail"),"")</f>
        <v/>
      </c>
      <c r="J2798">
        <f>IF(E2798="Outlook",COUNTIF($E$2:E2798,"Outlook"),"")</f>
        <v/>
      </c>
      <c r="K2798">
        <f>IF(E2798="Domain",COUNTIF($E$2:E2798,"Domain"),"")</f>
        <v/>
      </c>
    </row>
    <row r="2799">
      <c r="A2799" s="2" t="n"/>
      <c r="B2799">
        <f>LOWER(TRIM(A2799))</f>
        <v/>
      </c>
      <c r="C2799">
        <f>IF(B2799="","",IFERROR(INDEX('Bad Patterns'!$A$2:$A$120,MATCH(1,INDEX(--ISNUMBER(SEARCH('Bad Patterns'!$A$2:$A$120,B2799)),0),0)),""))</f>
        <v/>
      </c>
      <c r="D2799">
        <f>IF(B2799="","",IF(C2799&lt;&gt;"","REMOVE","KEEP"))</f>
        <v/>
      </c>
      <c r="E2799">
        <f>IF(D2799&lt;&gt;"KEEP","",IF(RIGHT(B2799,10)="@gmail.com","Gmail",IF(OR(RIGHT(B2799,12)="@outlook.com",RIGHT(B2799,12)="@hotmail.com",RIGHT(B2799,9)="@live.com"),"Outlook","Domain")))</f>
        <v/>
      </c>
      <c r="F2799">
        <f>IF(B2799="","",IFERROR(RIGHT(B2799,LEN(B2799)-FIND("@",B2799)),""))</f>
        <v/>
      </c>
      <c r="G2799">
        <f>IF(D2799="KEEP",COUNTIF($D$2:D2799,"KEEP"),"")</f>
        <v/>
      </c>
      <c r="H2799">
        <f>IF(D2799="REMOVE",COUNTIF($D$2:D2799,"REMOVE"),"")</f>
        <v/>
      </c>
      <c r="I2799">
        <f>IF(E2799="Gmail",COUNTIF($E$2:E2799,"Gmail"),"")</f>
        <v/>
      </c>
      <c r="J2799">
        <f>IF(E2799="Outlook",COUNTIF($E$2:E2799,"Outlook"),"")</f>
        <v/>
      </c>
      <c r="K2799">
        <f>IF(E2799="Domain",COUNTIF($E$2:E2799,"Domain"),"")</f>
        <v/>
      </c>
    </row>
    <row r="2800">
      <c r="A2800" s="2" t="n"/>
      <c r="B2800">
        <f>LOWER(TRIM(A2800))</f>
        <v/>
      </c>
      <c r="C2800">
        <f>IF(B2800="","",IFERROR(INDEX('Bad Patterns'!$A$2:$A$120,MATCH(1,INDEX(--ISNUMBER(SEARCH('Bad Patterns'!$A$2:$A$120,B2800)),0),0)),""))</f>
        <v/>
      </c>
      <c r="D2800">
        <f>IF(B2800="","",IF(C2800&lt;&gt;"","REMOVE","KEEP"))</f>
        <v/>
      </c>
      <c r="E2800">
        <f>IF(D2800&lt;&gt;"KEEP","",IF(RIGHT(B2800,10)="@gmail.com","Gmail",IF(OR(RIGHT(B2800,12)="@outlook.com",RIGHT(B2800,12)="@hotmail.com",RIGHT(B2800,9)="@live.com"),"Outlook","Domain")))</f>
        <v/>
      </c>
      <c r="F2800">
        <f>IF(B2800="","",IFERROR(RIGHT(B2800,LEN(B2800)-FIND("@",B2800)),""))</f>
        <v/>
      </c>
      <c r="G2800">
        <f>IF(D2800="KEEP",COUNTIF($D$2:D2800,"KEEP"),"")</f>
        <v/>
      </c>
      <c r="H2800">
        <f>IF(D2800="REMOVE",COUNTIF($D$2:D2800,"REMOVE"),"")</f>
        <v/>
      </c>
      <c r="I2800">
        <f>IF(E2800="Gmail",COUNTIF($E$2:E2800,"Gmail"),"")</f>
        <v/>
      </c>
      <c r="J2800">
        <f>IF(E2800="Outlook",COUNTIF($E$2:E2800,"Outlook"),"")</f>
        <v/>
      </c>
      <c r="K2800">
        <f>IF(E2800="Domain",COUNTIF($E$2:E2800,"Domain"),"")</f>
        <v/>
      </c>
    </row>
    <row r="2801">
      <c r="A2801" s="2" t="n"/>
      <c r="B2801">
        <f>LOWER(TRIM(A2801))</f>
        <v/>
      </c>
      <c r="C2801">
        <f>IF(B2801="","",IFERROR(INDEX('Bad Patterns'!$A$2:$A$120,MATCH(1,INDEX(--ISNUMBER(SEARCH('Bad Patterns'!$A$2:$A$120,B2801)),0),0)),""))</f>
        <v/>
      </c>
      <c r="D2801">
        <f>IF(B2801="","",IF(C2801&lt;&gt;"","REMOVE","KEEP"))</f>
        <v/>
      </c>
      <c r="E2801">
        <f>IF(D2801&lt;&gt;"KEEP","",IF(RIGHT(B2801,10)="@gmail.com","Gmail",IF(OR(RIGHT(B2801,12)="@outlook.com",RIGHT(B2801,12)="@hotmail.com",RIGHT(B2801,9)="@live.com"),"Outlook","Domain")))</f>
        <v/>
      </c>
      <c r="F2801">
        <f>IF(B2801="","",IFERROR(RIGHT(B2801,LEN(B2801)-FIND("@",B2801)),""))</f>
        <v/>
      </c>
      <c r="G2801">
        <f>IF(D2801="KEEP",COUNTIF($D$2:D2801,"KEEP"),"")</f>
        <v/>
      </c>
      <c r="H2801">
        <f>IF(D2801="REMOVE",COUNTIF($D$2:D2801,"REMOVE"),"")</f>
        <v/>
      </c>
      <c r="I2801">
        <f>IF(E2801="Gmail",COUNTIF($E$2:E2801,"Gmail"),"")</f>
        <v/>
      </c>
      <c r="J2801">
        <f>IF(E2801="Outlook",COUNTIF($E$2:E2801,"Outlook"),"")</f>
        <v/>
      </c>
      <c r="K2801">
        <f>IF(E2801="Domain",COUNTIF($E$2:E2801,"Domain"),"")</f>
        <v/>
      </c>
    </row>
    <row r="2802">
      <c r="A2802" s="2" t="n"/>
      <c r="B2802">
        <f>LOWER(TRIM(A2802))</f>
        <v/>
      </c>
      <c r="C2802">
        <f>IF(B2802="","",IFERROR(INDEX('Bad Patterns'!$A$2:$A$120,MATCH(1,INDEX(--ISNUMBER(SEARCH('Bad Patterns'!$A$2:$A$120,B2802)),0),0)),""))</f>
        <v/>
      </c>
      <c r="D2802">
        <f>IF(B2802="","",IF(C2802&lt;&gt;"","REMOVE","KEEP"))</f>
        <v/>
      </c>
      <c r="E2802">
        <f>IF(D2802&lt;&gt;"KEEP","",IF(RIGHT(B2802,10)="@gmail.com","Gmail",IF(OR(RIGHT(B2802,12)="@outlook.com",RIGHT(B2802,12)="@hotmail.com",RIGHT(B2802,9)="@live.com"),"Outlook","Domain")))</f>
        <v/>
      </c>
      <c r="F2802">
        <f>IF(B2802="","",IFERROR(RIGHT(B2802,LEN(B2802)-FIND("@",B2802)),""))</f>
        <v/>
      </c>
      <c r="G2802">
        <f>IF(D2802="KEEP",COUNTIF($D$2:D2802,"KEEP"),"")</f>
        <v/>
      </c>
      <c r="H2802">
        <f>IF(D2802="REMOVE",COUNTIF($D$2:D2802,"REMOVE"),"")</f>
        <v/>
      </c>
      <c r="I2802">
        <f>IF(E2802="Gmail",COUNTIF($E$2:E2802,"Gmail"),"")</f>
        <v/>
      </c>
      <c r="J2802">
        <f>IF(E2802="Outlook",COUNTIF($E$2:E2802,"Outlook"),"")</f>
        <v/>
      </c>
      <c r="K2802">
        <f>IF(E2802="Domain",COUNTIF($E$2:E2802,"Domain"),"")</f>
        <v/>
      </c>
    </row>
    <row r="2803">
      <c r="A2803" s="2" t="n"/>
      <c r="B2803">
        <f>LOWER(TRIM(A2803))</f>
        <v/>
      </c>
      <c r="C2803">
        <f>IF(B2803="","",IFERROR(INDEX('Bad Patterns'!$A$2:$A$120,MATCH(1,INDEX(--ISNUMBER(SEARCH('Bad Patterns'!$A$2:$A$120,B2803)),0),0)),""))</f>
        <v/>
      </c>
      <c r="D2803">
        <f>IF(B2803="","",IF(C2803&lt;&gt;"","REMOVE","KEEP"))</f>
        <v/>
      </c>
      <c r="E2803">
        <f>IF(D2803&lt;&gt;"KEEP","",IF(RIGHT(B2803,10)="@gmail.com","Gmail",IF(OR(RIGHT(B2803,12)="@outlook.com",RIGHT(B2803,12)="@hotmail.com",RIGHT(B2803,9)="@live.com"),"Outlook","Domain")))</f>
        <v/>
      </c>
      <c r="F2803">
        <f>IF(B2803="","",IFERROR(RIGHT(B2803,LEN(B2803)-FIND("@",B2803)),""))</f>
        <v/>
      </c>
      <c r="G2803">
        <f>IF(D2803="KEEP",COUNTIF($D$2:D2803,"KEEP"),"")</f>
        <v/>
      </c>
      <c r="H2803">
        <f>IF(D2803="REMOVE",COUNTIF($D$2:D2803,"REMOVE"),"")</f>
        <v/>
      </c>
      <c r="I2803">
        <f>IF(E2803="Gmail",COUNTIF($E$2:E2803,"Gmail"),"")</f>
        <v/>
      </c>
      <c r="J2803">
        <f>IF(E2803="Outlook",COUNTIF($E$2:E2803,"Outlook"),"")</f>
        <v/>
      </c>
      <c r="K2803">
        <f>IF(E2803="Domain",COUNTIF($E$2:E2803,"Domain"),"")</f>
        <v/>
      </c>
    </row>
    <row r="2804">
      <c r="A2804" s="2" t="n"/>
      <c r="B2804">
        <f>LOWER(TRIM(A2804))</f>
        <v/>
      </c>
      <c r="C2804">
        <f>IF(B2804="","",IFERROR(INDEX('Bad Patterns'!$A$2:$A$120,MATCH(1,INDEX(--ISNUMBER(SEARCH('Bad Patterns'!$A$2:$A$120,B2804)),0),0)),""))</f>
        <v/>
      </c>
      <c r="D2804">
        <f>IF(B2804="","",IF(C2804&lt;&gt;"","REMOVE","KEEP"))</f>
        <v/>
      </c>
      <c r="E2804">
        <f>IF(D2804&lt;&gt;"KEEP","",IF(RIGHT(B2804,10)="@gmail.com","Gmail",IF(OR(RIGHT(B2804,12)="@outlook.com",RIGHT(B2804,12)="@hotmail.com",RIGHT(B2804,9)="@live.com"),"Outlook","Domain")))</f>
        <v/>
      </c>
      <c r="F2804">
        <f>IF(B2804="","",IFERROR(RIGHT(B2804,LEN(B2804)-FIND("@",B2804)),""))</f>
        <v/>
      </c>
      <c r="G2804">
        <f>IF(D2804="KEEP",COUNTIF($D$2:D2804,"KEEP"),"")</f>
        <v/>
      </c>
      <c r="H2804">
        <f>IF(D2804="REMOVE",COUNTIF($D$2:D2804,"REMOVE"),"")</f>
        <v/>
      </c>
      <c r="I2804">
        <f>IF(E2804="Gmail",COUNTIF($E$2:E2804,"Gmail"),"")</f>
        <v/>
      </c>
      <c r="J2804">
        <f>IF(E2804="Outlook",COUNTIF($E$2:E2804,"Outlook"),"")</f>
        <v/>
      </c>
      <c r="K2804">
        <f>IF(E2804="Domain",COUNTIF($E$2:E2804,"Domain"),"")</f>
        <v/>
      </c>
    </row>
    <row r="2805">
      <c r="A2805" s="2" t="n"/>
      <c r="B2805">
        <f>LOWER(TRIM(A2805))</f>
        <v/>
      </c>
      <c r="C2805">
        <f>IF(B2805="","",IFERROR(INDEX('Bad Patterns'!$A$2:$A$120,MATCH(1,INDEX(--ISNUMBER(SEARCH('Bad Patterns'!$A$2:$A$120,B2805)),0),0)),""))</f>
        <v/>
      </c>
      <c r="D2805">
        <f>IF(B2805="","",IF(C2805&lt;&gt;"","REMOVE","KEEP"))</f>
        <v/>
      </c>
      <c r="E2805">
        <f>IF(D2805&lt;&gt;"KEEP","",IF(RIGHT(B2805,10)="@gmail.com","Gmail",IF(OR(RIGHT(B2805,12)="@outlook.com",RIGHT(B2805,12)="@hotmail.com",RIGHT(B2805,9)="@live.com"),"Outlook","Domain")))</f>
        <v/>
      </c>
      <c r="F2805">
        <f>IF(B2805="","",IFERROR(RIGHT(B2805,LEN(B2805)-FIND("@",B2805)),""))</f>
        <v/>
      </c>
      <c r="G2805">
        <f>IF(D2805="KEEP",COUNTIF($D$2:D2805,"KEEP"),"")</f>
        <v/>
      </c>
      <c r="H2805">
        <f>IF(D2805="REMOVE",COUNTIF($D$2:D2805,"REMOVE"),"")</f>
        <v/>
      </c>
      <c r="I2805">
        <f>IF(E2805="Gmail",COUNTIF($E$2:E2805,"Gmail"),"")</f>
        <v/>
      </c>
      <c r="J2805">
        <f>IF(E2805="Outlook",COUNTIF($E$2:E2805,"Outlook"),"")</f>
        <v/>
      </c>
      <c r="K2805">
        <f>IF(E2805="Domain",COUNTIF($E$2:E2805,"Domain"),"")</f>
        <v/>
      </c>
    </row>
    <row r="2806">
      <c r="A2806" s="2" t="n"/>
      <c r="B2806">
        <f>LOWER(TRIM(A2806))</f>
        <v/>
      </c>
      <c r="C2806">
        <f>IF(B2806="","",IFERROR(INDEX('Bad Patterns'!$A$2:$A$120,MATCH(1,INDEX(--ISNUMBER(SEARCH('Bad Patterns'!$A$2:$A$120,B2806)),0),0)),""))</f>
        <v/>
      </c>
      <c r="D2806">
        <f>IF(B2806="","",IF(C2806&lt;&gt;"","REMOVE","KEEP"))</f>
        <v/>
      </c>
      <c r="E2806">
        <f>IF(D2806&lt;&gt;"KEEP","",IF(RIGHT(B2806,10)="@gmail.com","Gmail",IF(OR(RIGHT(B2806,12)="@outlook.com",RIGHT(B2806,12)="@hotmail.com",RIGHT(B2806,9)="@live.com"),"Outlook","Domain")))</f>
        <v/>
      </c>
      <c r="F2806">
        <f>IF(B2806="","",IFERROR(RIGHT(B2806,LEN(B2806)-FIND("@",B2806)),""))</f>
        <v/>
      </c>
      <c r="G2806">
        <f>IF(D2806="KEEP",COUNTIF($D$2:D2806,"KEEP"),"")</f>
        <v/>
      </c>
      <c r="H2806">
        <f>IF(D2806="REMOVE",COUNTIF($D$2:D2806,"REMOVE"),"")</f>
        <v/>
      </c>
      <c r="I2806">
        <f>IF(E2806="Gmail",COUNTIF($E$2:E2806,"Gmail"),"")</f>
        <v/>
      </c>
      <c r="J2806">
        <f>IF(E2806="Outlook",COUNTIF($E$2:E2806,"Outlook"),"")</f>
        <v/>
      </c>
      <c r="K2806">
        <f>IF(E2806="Domain",COUNTIF($E$2:E2806,"Domain"),"")</f>
        <v/>
      </c>
    </row>
    <row r="2807">
      <c r="A2807" s="2" t="n"/>
      <c r="B2807">
        <f>LOWER(TRIM(A2807))</f>
        <v/>
      </c>
      <c r="C2807">
        <f>IF(B2807="","",IFERROR(INDEX('Bad Patterns'!$A$2:$A$120,MATCH(1,INDEX(--ISNUMBER(SEARCH('Bad Patterns'!$A$2:$A$120,B2807)),0),0)),""))</f>
        <v/>
      </c>
      <c r="D2807">
        <f>IF(B2807="","",IF(C2807&lt;&gt;"","REMOVE","KEEP"))</f>
        <v/>
      </c>
      <c r="E2807">
        <f>IF(D2807&lt;&gt;"KEEP","",IF(RIGHT(B2807,10)="@gmail.com","Gmail",IF(OR(RIGHT(B2807,12)="@outlook.com",RIGHT(B2807,12)="@hotmail.com",RIGHT(B2807,9)="@live.com"),"Outlook","Domain")))</f>
        <v/>
      </c>
      <c r="F2807">
        <f>IF(B2807="","",IFERROR(RIGHT(B2807,LEN(B2807)-FIND("@",B2807)),""))</f>
        <v/>
      </c>
      <c r="G2807">
        <f>IF(D2807="KEEP",COUNTIF($D$2:D2807,"KEEP"),"")</f>
        <v/>
      </c>
      <c r="H2807">
        <f>IF(D2807="REMOVE",COUNTIF($D$2:D2807,"REMOVE"),"")</f>
        <v/>
      </c>
      <c r="I2807">
        <f>IF(E2807="Gmail",COUNTIF($E$2:E2807,"Gmail"),"")</f>
        <v/>
      </c>
      <c r="J2807">
        <f>IF(E2807="Outlook",COUNTIF($E$2:E2807,"Outlook"),"")</f>
        <v/>
      </c>
      <c r="K2807">
        <f>IF(E2807="Domain",COUNTIF($E$2:E2807,"Domain"),"")</f>
        <v/>
      </c>
    </row>
    <row r="2808">
      <c r="A2808" s="2" t="n"/>
      <c r="B2808">
        <f>LOWER(TRIM(A2808))</f>
        <v/>
      </c>
      <c r="C2808">
        <f>IF(B2808="","",IFERROR(INDEX('Bad Patterns'!$A$2:$A$120,MATCH(1,INDEX(--ISNUMBER(SEARCH('Bad Patterns'!$A$2:$A$120,B2808)),0),0)),""))</f>
        <v/>
      </c>
      <c r="D2808">
        <f>IF(B2808="","",IF(C2808&lt;&gt;"","REMOVE","KEEP"))</f>
        <v/>
      </c>
      <c r="E2808">
        <f>IF(D2808&lt;&gt;"KEEP","",IF(RIGHT(B2808,10)="@gmail.com","Gmail",IF(OR(RIGHT(B2808,12)="@outlook.com",RIGHT(B2808,12)="@hotmail.com",RIGHT(B2808,9)="@live.com"),"Outlook","Domain")))</f>
        <v/>
      </c>
      <c r="F2808">
        <f>IF(B2808="","",IFERROR(RIGHT(B2808,LEN(B2808)-FIND("@",B2808)),""))</f>
        <v/>
      </c>
      <c r="G2808">
        <f>IF(D2808="KEEP",COUNTIF($D$2:D2808,"KEEP"),"")</f>
        <v/>
      </c>
      <c r="H2808">
        <f>IF(D2808="REMOVE",COUNTIF($D$2:D2808,"REMOVE"),"")</f>
        <v/>
      </c>
      <c r="I2808">
        <f>IF(E2808="Gmail",COUNTIF($E$2:E2808,"Gmail"),"")</f>
        <v/>
      </c>
      <c r="J2808">
        <f>IF(E2808="Outlook",COUNTIF($E$2:E2808,"Outlook"),"")</f>
        <v/>
      </c>
      <c r="K2808">
        <f>IF(E2808="Domain",COUNTIF($E$2:E2808,"Domain"),"")</f>
        <v/>
      </c>
    </row>
    <row r="2809">
      <c r="A2809" s="2" t="n"/>
      <c r="B2809">
        <f>LOWER(TRIM(A2809))</f>
        <v/>
      </c>
      <c r="C2809">
        <f>IF(B2809="","",IFERROR(INDEX('Bad Patterns'!$A$2:$A$120,MATCH(1,INDEX(--ISNUMBER(SEARCH('Bad Patterns'!$A$2:$A$120,B2809)),0),0)),""))</f>
        <v/>
      </c>
      <c r="D2809">
        <f>IF(B2809="","",IF(C2809&lt;&gt;"","REMOVE","KEEP"))</f>
        <v/>
      </c>
      <c r="E2809">
        <f>IF(D2809&lt;&gt;"KEEP","",IF(RIGHT(B2809,10)="@gmail.com","Gmail",IF(OR(RIGHT(B2809,12)="@outlook.com",RIGHT(B2809,12)="@hotmail.com",RIGHT(B2809,9)="@live.com"),"Outlook","Domain")))</f>
        <v/>
      </c>
      <c r="F2809">
        <f>IF(B2809="","",IFERROR(RIGHT(B2809,LEN(B2809)-FIND("@",B2809)),""))</f>
        <v/>
      </c>
      <c r="G2809">
        <f>IF(D2809="KEEP",COUNTIF($D$2:D2809,"KEEP"),"")</f>
        <v/>
      </c>
      <c r="H2809">
        <f>IF(D2809="REMOVE",COUNTIF($D$2:D2809,"REMOVE"),"")</f>
        <v/>
      </c>
      <c r="I2809">
        <f>IF(E2809="Gmail",COUNTIF($E$2:E2809,"Gmail"),"")</f>
        <v/>
      </c>
      <c r="J2809">
        <f>IF(E2809="Outlook",COUNTIF($E$2:E2809,"Outlook"),"")</f>
        <v/>
      </c>
      <c r="K2809">
        <f>IF(E2809="Domain",COUNTIF($E$2:E2809,"Domain"),"")</f>
        <v/>
      </c>
    </row>
    <row r="2810">
      <c r="A2810" s="2" t="n"/>
      <c r="B2810">
        <f>LOWER(TRIM(A2810))</f>
        <v/>
      </c>
      <c r="C2810">
        <f>IF(B2810="","",IFERROR(INDEX('Bad Patterns'!$A$2:$A$120,MATCH(1,INDEX(--ISNUMBER(SEARCH('Bad Patterns'!$A$2:$A$120,B2810)),0),0)),""))</f>
        <v/>
      </c>
      <c r="D2810">
        <f>IF(B2810="","",IF(C2810&lt;&gt;"","REMOVE","KEEP"))</f>
        <v/>
      </c>
      <c r="E2810">
        <f>IF(D2810&lt;&gt;"KEEP","",IF(RIGHT(B2810,10)="@gmail.com","Gmail",IF(OR(RIGHT(B2810,12)="@outlook.com",RIGHT(B2810,12)="@hotmail.com",RIGHT(B2810,9)="@live.com"),"Outlook","Domain")))</f>
        <v/>
      </c>
      <c r="F2810">
        <f>IF(B2810="","",IFERROR(RIGHT(B2810,LEN(B2810)-FIND("@",B2810)),""))</f>
        <v/>
      </c>
      <c r="G2810">
        <f>IF(D2810="KEEP",COUNTIF($D$2:D2810,"KEEP"),"")</f>
        <v/>
      </c>
      <c r="H2810">
        <f>IF(D2810="REMOVE",COUNTIF($D$2:D2810,"REMOVE"),"")</f>
        <v/>
      </c>
      <c r="I2810">
        <f>IF(E2810="Gmail",COUNTIF($E$2:E2810,"Gmail"),"")</f>
        <v/>
      </c>
      <c r="J2810">
        <f>IF(E2810="Outlook",COUNTIF($E$2:E2810,"Outlook"),"")</f>
        <v/>
      </c>
      <c r="K2810">
        <f>IF(E2810="Domain",COUNTIF($E$2:E2810,"Domain"),"")</f>
        <v/>
      </c>
    </row>
    <row r="2811">
      <c r="A2811" s="2" t="n"/>
      <c r="B2811">
        <f>LOWER(TRIM(A2811))</f>
        <v/>
      </c>
      <c r="C2811">
        <f>IF(B2811="","",IFERROR(INDEX('Bad Patterns'!$A$2:$A$120,MATCH(1,INDEX(--ISNUMBER(SEARCH('Bad Patterns'!$A$2:$A$120,B2811)),0),0)),""))</f>
        <v/>
      </c>
      <c r="D2811">
        <f>IF(B2811="","",IF(C2811&lt;&gt;"","REMOVE","KEEP"))</f>
        <v/>
      </c>
      <c r="E2811">
        <f>IF(D2811&lt;&gt;"KEEP","",IF(RIGHT(B2811,10)="@gmail.com","Gmail",IF(OR(RIGHT(B2811,12)="@outlook.com",RIGHT(B2811,12)="@hotmail.com",RIGHT(B2811,9)="@live.com"),"Outlook","Domain")))</f>
        <v/>
      </c>
      <c r="F2811">
        <f>IF(B2811="","",IFERROR(RIGHT(B2811,LEN(B2811)-FIND("@",B2811)),""))</f>
        <v/>
      </c>
      <c r="G2811">
        <f>IF(D2811="KEEP",COUNTIF($D$2:D2811,"KEEP"),"")</f>
        <v/>
      </c>
      <c r="H2811">
        <f>IF(D2811="REMOVE",COUNTIF($D$2:D2811,"REMOVE"),"")</f>
        <v/>
      </c>
      <c r="I2811">
        <f>IF(E2811="Gmail",COUNTIF($E$2:E2811,"Gmail"),"")</f>
        <v/>
      </c>
      <c r="J2811">
        <f>IF(E2811="Outlook",COUNTIF($E$2:E2811,"Outlook"),"")</f>
        <v/>
      </c>
      <c r="K2811">
        <f>IF(E2811="Domain",COUNTIF($E$2:E2811,"Domain"),"")</f>
        <v/>
      </c>
    </row>
    <row r="2812">
      <c r="A2812" s="2" t="n"/>
      <c r="B2812">
        <f>LOWER(TRIM(A2812))</f>
        <v/>
      </c>
      <c r="C2812">
        <f>IF(B2812="","",IFERROR(INDEX('Bad Patterns'!$A$2:$A$120,MATCH(1,INDEX(--ISNUMBER(SEARCH('Bad Patterns'!$A$2:$A$120,B2812)),0),0)),""))</f>
        <v/>
      </c>
      <c r="D2812">
        <f>IF(B2812="","",IF(C2812&lt;&gt;"","REMOVE","KEEP"))</f>
        <v/>
      </c>
      <c r="E2812">
        <f>IF(D2812&lt;&gt;"KEEP","",IF(RIGHT(B2812,10)="@gmail.com","Gmail",IF(OR(RIGHT(B2812,12)="@outlook.com",RIGHT(B2812,12)="@hotmail.com",RIGHT(B2812,9)="@live.com"),"Outlook","Domain")))</f>
        <v/>
      </c>
      <c r="F2812">
        <f>IF(B2812="","",IFERROR(RIGHT(B2812,LEN(B2812)-FIND("@",B2812)),""))</f>
        <v/>
      </c>
      <c r="G2812">
        <f>IF(D2812="KEEP",COUNTIF($D$2:D2812,"KEEP"),"")</f>
        <v/>
      </c>
      <c r="H2812">
        <f>IF(D2812="REMOVE",COUNTIF($D$2:D2812,"REMOVE"),"")</f>
        <v/>
      </c>
      <c r="I2812">
        <f>IF(E2812="Gmail",COUNTIF($E$2:E2812,"Gmail"),"")</f>
        <v/>
      </c>
      <c r="J2812">
        <f>IF(E2812="Outlook",COUNTIF($E$2:E2812,"Outlook"),"")</f>
        <v/>
      </c>
      <c r="K2812">
        <f>IF(E2812="Domain",COUNTIF($E$2:E2812,"Domain"),"")</f>
        <v/>
      </c>
    </row>
    <row r="2813">
      <c r="A2813" s="2" t="n"/>
      <c r="B2813">
        <f>LOWER(TRIM(A2813))</f>
        <v/>
      </c>
      <c r="C2813">
        <f>IF(B2813="","",IFERROR(INDEX('Bad Patterns'!$A$2:$A$120,MATCH(1,INDEX(--ISNUMBER(SEARCH('Bad Patterns'!$A$2:$A$120,B2813)),0),0)),""))</f>
        <v/>
      </c>
      <c r="D2813">
        <f>IF(B2813="","",IF(C2813&lt;&gt;"","REMOVE","KEEP"))</f>
        <v/>
      </c>
      <c r="E2813">
        <f>IF(D2813&lt;&gt;"KEEP","",IF(RIGHT(B2813,10)="@gmail.com","Gmail",IF(OR(RIGHT(B2813,12)="@outlook.com",RIGHT(B2813,12)="@hotmail.com",RIGHT(B2813,9)="@live.com"),"Outlook","Domain")))</f>
        <v/>
      </c>
      <c r="F2813">
        <f>IF(B2813="","",IFERROR(RIGHT(B2813,LEN(B2813)-FIND("@",B2813)),""))</f>
        <v/>
      </c>
      <c r="G2813">
        <f>IF(D2813="KEEP",COUNTIF($D$2:D2813,"KEEP"),"")</f>
        <v/>
      </c>
      <c r="H2813">
        <f>IF(D2813="REMOVE",COUNTIF($D$2:D2813,"REMOVE"),"")</f>
        <v/>
      </c>
      <c r="I2813">
        <f>IF(E2813="Gmail",COUNTIF($E$2:E2813,"Gmail"),"")</f>
        <v/>
      </c>
      <c r="J2813">
        <f>IF(E2813="Outlook",COUNTIF($E$2:E2813,"Outlook"),"")</f>
        <v/>
      </c>
      <c r="K2813">
        <f>IF(E2813="Domain",COUNTIF($E$2:E2813,"Domain"),"")</f>
        <v/>
      </c>
    </row>
    <row r="2814">
      <c r="A2814" s="2" t="n"/>
      <c r="B2814">
        <f>LOWER(TRIM(A2814))</f>
        <v/>
      </c>
      <c r="C2814">
        <f>IF(B2814="","",IFERROR(INDEX('Bad Patterns'!$A$2:$A$120,MATCH(1,INDEX(--ISNUMBER(SEARCH('Bad Patterns'!$A$2:$A$120,B2814)),0),0)),""))</f>
        <v/>
      </c>
      <c r="D2814">
        <f>IF(B2814="","",IF(C2814&lt;&gt;"","REMOVE","KEEP"))</f>
        <v/>
      </c>
      <c r="E2814">
        <f>IF(D2814&lt;&gt;"KEEP","",IF(RIGHT(B2814,10)="@gmail.com","Gmail",IF(OR(RIGHT(B2814,12)="@outlook.com",RIGHT(B2814,12)="@hotmail.com",RIGHT(B2814,9)="@live.com"),"Outlook","Domain")))</f>
        <v/>
      </c>
      <c r="F2814">
        <f>IF(B2814="","",IFERROR(RIGHT(B2814,LEN(B2814)-FIND("@",B2814)),""))</f>
        <v/>
      </c>
      <c r="G2814">
        <f>IF(D2814="KEEP",COUNTIF($D$2:D2814,"KEEP"),"")</f>
        <v/>
      </c>
      <c r="H2814">
        <f>IF(D2814="REMOVE",COUNTIF($D$2:D2814,"REMOVE"),"")</f>
        <v/>
      </c>
      <c r="I2814">
        <f>IF(E2814="Gmail",COUNTIF($E$2:E2814,"Gmail"),"")</f>
        <v/>
      </c>
      <c r="J2814">
        <f>IF(E2814="Outlook",COUNTIF($E$2:E2814,"Outlook"),"")</f>
        <v/>
      </c>
      <c r="K2814">
        <f>IF(E2814="Domain",COUNTIF($E$2:E2814,"Domain"),"")</f>
        <v/>
      </c>
    </row>
    <row r="2815">
      <c r="A2815" s="2" t="n"/>
      <c r="B2815">
        <f>LOWER(TRIM(A2815))</f>
        <v/>
      </c>
      <c r="C2815">
        <f>IF(B2815="","",IFERROR(INDEX('Bad Patterns'!$A$2:$A$120,MATCH(1,INDEX(--ISNUMBER(SEARCH('Bad Patterns'!$A$2:$A$120,B2815)),0),0)),""))</f>
        <v/>
      </c>
      <c r="D2815">
        <f>IF(B2815="","",IF(C2815&lt;&gt;"","REMOVE","KEEP"))</f>
        <v/>
      </c>
      <c r="E2815">
        <f>IF(D2815&lt;&gt;"KEEP","",IF(RIGHT(B2815,10)="@gmail.com","Gmail",IF(OR(RIGHT(B2815,12)="@outlook.com",RIGHT(B2815,12)="@hotmail.com",RIGHT(B2815,9)="@live.com"),"Outlook","Domain")))</f>
        <v/>
      </c>
      <c r="F2815">
        <f>IF(B2815="","",IFERROR(RIGHT(B2815,LEN(B2815)-FIND("@",B2815)),""))</f>
        <v/>
      </c>
      <c r="G2815">
        <f>IF(D2815="KEEP",COUNTIF($D$2:D2815,"KEEP"),"")</f>
        <v/>
      </c>
      <c r="H2815">
        <f>IF(D2815="REMOVE",COUNTIF($D$2:D2815,"REMOVE"),"")</f>
        <v/>
      </c>
      <c r="I2815">
        <f>IF(E2815="Gmail",COUNTIF($E$2:E2815,"Gmail"),"")</f>
        <v/>
      </c>
      <c r="J2815">
        <f>IF(E2815="Outlook",COUNTIF($E$2:E2815,"Outlook"),"")</f>
        <v/>
      </c>
      <c r="K2815">
        <f>IF(E2815="Domain",COUNTIF($E$2:E2815,"Domain"),"")</f>
        <v/>
      </c>
    </row>
    <row r="2816">
      <c r="A2816" s="2" t="n"/>
      <c r="B2816">
        <f>LOWER(TRIM(A2816))</f>
        <v/>
      </c>
      <c r="C2816">
        <f>IF(B2816="","",IFERROR(INDEX('Bad Patterns'!$A$2:$A$120,MATCH(1,INDEX(--ISNUMBER(SEARCH('Bad Patterns'!$A$2:$A$120,B2816)),0),0)),""))</f>
        <v/>
      </c>
      <c r="D2816">
        <f>IF(B2816="","",IF(C2816&lt;&gt;"","REMOVE","KEEP"))</f>
        <v/>
      </c>
      <c r="E2816">
        <f>IF(D2816&lt;&gt;"KEEP","",IF(RIGHT(B2816,10)="@gmail.com","Gmail",IF(OR(RIGHT(B2816,12)="@outlook.com",RIGHT(B2816,12)="@hotmail.com",RIGHT(B2816,9)="@live.com"),"Outlook","Domain")))</f>
        <v/>
      </c>
      <c r="F2816">
        <f>IF(B2816="","",IFERROR(RIGHT(B2816,LEN(B2816)-FIND("@",B2816)),""))</f>
        <v/>
      </c>
      <c r="G2816">
        <f>IF(D2816="KEEP",COUNTIF($D$2:D2816,"KEEP"),"")</f>
        <v/>
      </c>
      <c r="H2816">
        <f>IF(D2816="REMOVE",COUNTIF($D$2:D2816,"REMOVE"),"")</f>
        <v/>
      </c>
      <c r="I2816">
        <f>IF(E2816="Gmail",COUNTIF($E$2:E2816,"Gmail"),"")</f>
        <v/>
      </c>
      <c r="J2816">
        <f>IF(E2816="Outlook",COUNTIF($E$2:E2816,"Outlook"),"")</f>
        <v/>
      </c>
      <c r="K2816">
        <f>IF(E2816="Domain",COUNTIF($E$2:E2816,"Domain"),"")</f>
        <v/>
      </c>
    </row>
    <row r="2817">
      <c r="A2817" s="2" t="n"/>
      <c r="B2817">
        <f>LOWER(TRIM(A2817))</f>
        <v/>
      </c>
      <c r="C2817">
        <f>IF(B2817="","",IFERROR(INDEX('Bad Patterns'!$A$2:$A$120,MATCH(1,INDEX(--ISNUMBER(SEARCH('Bad Patterns'!$A$2:$A$120,B2817)),0),0)),""))</f>
        <v/>
      </c>
      <c r="D2817">
        <f>IF(B2817="","",IF(C2817&lt;&gt;"","REMOVE","KEEP"))</f>
        <v/>
      </c>
      <c r="E2817">
        <f>IF(D2817&lt;&gt;"KEEP","",IF(RIGHT(B2817,10)="@gmail.com","Gmail",IF(OR(RIGHT(B2817,12)="@outlook.com",RIGHT(B2817,12)="@hotmail.com",RIGHT(B2817,9)="@live.com"),"Outlook","Domain")))</f>
        <v/>
      </c>
      <c r="F2817">
        <f>IF(B2817="","",IFERROR(RIGHT(B2817,LEN(B2817)-FIND("@",B2817)),""))</f>
        <v/>
      </c>
      <c r="G2817">
        <f>IF(D2817="KEEP",COUNTIF($D$2:D2817,"KEEP"),"")</f>
        <v/>
      </c>
      <c r="H2817">
        <f>IF(D2817="REMOVE",COUNTIF($D$2:D2817,"REMOVE"),"")</f>
        <v/>
      </c>
      <c r="I2817">
        <f>IF(E2817="Gmail",COUNTIF($E$2:E2817,"Gmail"),"")</f>
        <v/>
      </c>
      <c r="J2817">
        <f>IF(E2817="Outlook",COUNTIF($E$2:E2817,"Outlook"),"")</f>
        <v/>
      </c>
      <c r="K2817">
        <f>IF(E2817="Domain",COUNTIF($E$2:E2817,"Domain"),"")</f>
        <v/>
      </c>
    </row>
    <row r="2818">
      <c r="A2818" s="2" t="n"/>
      <c r="B2818">
        <f>LOWER(TRIM(A2818))</f>
        <v/>
      </c>
      <c r="C2818">
        <f>IF(B2818="","",IFERROR(INDEX('Bad Patterns'!$A$2:$A$120,MATCH(1,INDEX(--ISNUMBER(SEARCH('Bad Patterns'!$A$2:$A$120,B2818)),0),0)),""))</f>
        <v/>
      </c>
      <c r="D2818">
        <f>IF(B2818="","",IF(C2818&lt;&gt;"","REMOVE","KEEP"))</f>
        <v/>
      </c>
      <c r="E2818">
        <f>IF(D2818&lt;&gt;"KEEP","",IF(RIGHT(B2818,10)="@gmail.com","Gmail",IF(OR(RIGHT(B2818,12)="@outlook.com",RIGHT(B2818,12)="@hotmail.com",RIGHT(B2818,9)="@live.com"),"Outlook","Domain")))</f>
        <v/>
      </c>
      <c r="F2818">
        <f>IF(B2818="","",IFERROR(RIGHT(B2818,LEN(B2818)-FIND("@",B2818)),""))</f>
        <v/>
      </c>
      <c r="G2818">
        <f>IF(D2818="KEEP",COUNTIF($D$2:D2818,"KEEP"),"")</f>
        <v/>
      </c>
      <c r="H2818">
        <f>IF(D2818="REMOVE",COUNTIF($D$2:D2818,"REMOVE"),"")</f>
        <v/>
      </c>
      <c r="I2818">
        <f>IF(E2818="Gmail",COUNTIF($E$2:E2818,"Gmail"),"")</f>
        <v/>
      </c>
      <c r="J2818">
        <f>IF(E2818="Outlook",COUNTIF($E$2:E2818,"Outlook"),"")</f>
        <v/>
      </c>
      <c r="K2818">
        <f>IF(E2818="Domain",COUNTIF($E$2:E2818,"Domain"),"")</f>
        <v/>
      </c>
    </row>
    <row r="2819">
      <c r="A2819" s="2" t="n"/>
      <c r="B2819">
        <f>LOWER(TRIM(A2819))</f>
        <v/>
      </c>
      <c r="C2819">
        <f>IF(B2819="","",IFERROR(INDEX('Bad Patterns'!$A$2:$A$120,MATCH(1,INDEX(--ISNUMBER(SEARCH('Bad Patterns'!$A$2:$A$120,B2819)),0),0)),""))</f>
        <v/>
      </c>
      <c r="D2819">
        <f>IF(B2819="","",IF(C2819&lt;&gt;"","REMOVE","KEEP"))</f>
        <v/>
      </c>
      <c r="E2819">
        <f>IF(D2819&lt;&gt;"KEEP","",IF(RIGHT(B2819,10)="@gmail.com","Gmail",IF(OR(RIGHT(B2819,12)="@outlook.com",RIGHT(B2819,12)="@hotmail.com",RIGHT(B2819,9)="@live.com"),"Outlook","Domain")))</f>
        <v/>
      </c>
      <c r="F2819">
        <f>IF(B2819="","",IFERROR(RIGHT(B2819,LEN(B2819)-FIND("@",B2819)),""))</f>
        <v/>
      </c>
      <c r="G2819">
        <f>IF(D2819="KEEP",COUNTIF($D$2:D2819,"KEEP"),"")</f>
        <v/>
      </c>
      <c r="H2819">
        <f>IF(D2819="REMOVE",COUNTIF($D$2:D2819,"REMOVE"),"")</f>
        <v/>
      </c>
      <c r="I2819">
        <f>IF(E2819="Gmail",COUNTIF($E$2:E2819,"Gmail"),"")</f>
        <v/>
      </c>
      <c r="J2819">
        <f>IF(E2819="Outlook",COUNTIF($E$2:E2819,"Outlook"),"")</f>
        <v/>
      </c>
      <c r="K2819">
        <f>IF(E2819="Domain",COUNTIF($E$2:E2819,"Domain"),"")</f>
        <v/>
      </c>
    </row>
    <row r="2820">
      <c r="A2820" s="2" t="n"/>
      <c r="B2820">
        <f>LOWER(TRIM(A2820))</f>
        <v/>
      </c>
      <c r="C2820">
        <f>IF(B2820="","",IFERROR(INDEX('Bad Patterns'!$A$2:$A$120,MATCH(1,INDEX(--ISNUMBER(SEARCH('Bad Patterns'!$A$2:$A$120,B2820)),0),0)),""))</f>
        <v/>
      </c>
      <c r="D2820">
        <f>IF(B2820="","",IF(C2820&lt;&gt;"","REMOVE","KEEP"))</f>
        <v/>
      </c>
      <c r="E2820">
        <f>IF(D2820&lt;&gt;"KEEP","",IF(RIGHT(B2820,10)="@gmail.com","Gmail",IF(OR(RIGHT(B2820,12)="@outlook.com",RIGHT(B2820,12)="@hotmail.com",RIGHT(B2820,9)="@live.com"),"Outlook","Domain")))</f>
        <v/>
      </c>
      <c r="F2820">
        <f>IF(B2820="","",IFERROR(RIGHT(B2820,LEN(B2820)-FIND("@",B2820)),""))</f>
        <v/>
      </c>
      <c r="G2820">
        <f>IF(D2820="KEEP",COUNTIF($D$2:D2820,"KEEP"),"")</f>
        <v/>
      </c>
      <c r="H2820">
        <f>IF(D2820="REMOVE",COUNTIF($D$2:D2820,"REMOVE"),"")</f>
        <v/>
      </c>
      <c r="I2820">
        <f>IF(E2820="Gmail",COUNTIF($E$2:E2820,"Gmail"),"")</f>
        <v/>
      </c>
      <c r="J2820">
        <f>IF(E2820="Outlook",COUNTIF($E$2:E2820,"Outlook"),"")</f>
        <v/>
      </c>
      <c r="K2820">
        <f>IF(E2820="Domain",COUNTIF($E$2:E2820,"Domain"),"")</f>
        <v/>
      </c>
    </row>
    <row r="2821">
      <c r="A2821" s="2" t="n"/>
      <c r="B2821">
        <f>LOWER(TRIM(A2821))</f>
        <v/>
      </c>
      <c r="C2821">
        <f>IF(B2821="","",IFERROR(INDEX('Bad Patterns'!$A$2:$A$120,MATCH(1,INDEX(--ISNUMBER(SEARCH('Bad Patterns'!$A$2:$A$120,B2821)),0),0)),""))</f>
        <v/>
      </c>
      <c r="D2821">
        <f>IF(B2821="","",IF(C2821&lt;&gt;"","REMOVE","KEEP"))</f>
        <v/>
      </c>
      <c r="E2821">
        <f>IF(D2821&lt;&gt;"KEEP","",IF(RIGHT(B2821,10)="@gmail.com","Gmail",IF(OR(RIGHT(B2821,12)="@outlook.com",RIGHT(B2821,12)="@hotmail.com",RIGHT(B2821,9)="@live.com"),"Outlook","Domain")))</f>
        <v/>
      </c>
      <c r="F2821">
        <f>IF(B2821="","",IFERROR(RIGHT(B2821,LEN(B2821)-FIND("@",B2821)),""))</f>
        <v/>
      </c>
      <c r="G2821">
        <f>IF(D2821="KEEP",COUNTIF($D$2:D2821,"KEEP"),"")</f>
        <v/>
      </c>
      <c r="H2821">
        <f>IF(D2821="REMOVE",COUNTIF($D$2:D2821,"REMOVE"),"")</f>
        <v/>
      </c>
      <c r="I2821">
        <f>IF(E2821="Gmail",COUNTIF($E$2:E2821,"Gmail"),"")</f>
        <v/>
      </c>
      <c r="J2821">
        <f>IF(E2821="Outlook",COUNTIF($E$2:E2821,"Outlook"),"")</f>
        <v/>
      </c>
      <c r="K2821">
        <f>IF(E2821="Domain",COUNTIF($E$2:E2821,"Domain"),"")</f>
        <v/>
      </c>
    </row>
    <row r="2822">
      <c r="A2822" s="2" t="n"/>
      <c r="B2822">
        <f>LOWER(TRIM(A2822))</f>
        <v/>
      </c>
      <c r="C2822">
        <f>IF(B2822="","",IFERROR(INDEX('Bad Patterns'!$A$2:$A$120,MATCH(1,INDEX(--ISNUMBER(SEARCH('Bad Patterns'!$A$2:$A$120,B2822)),0),0)),""))</f>
        <v/>
      </c>
      <c r="D2822">
        <f>IF(B2822="","",IF(C2822&lt;&gt;"","REMOVE","KEEP"))</f>
        <v/>
      </c>
      <c r="E2822">
        <f>IF(D2822&lt;&gt;"KEEP","",IF(RIGHT(B2822,10)="@gmail.com","Gmail",IF(OR(RIGHT(B2822,12)="@outlook.com",RIGHT(B2822,12)="@hotmail.com",RIGHT(B2822,9)="@live.com"),"Outlook","Domain")))</f>
        <v/>
      </c>
      <c r="F2822">
        <f>IF(B2822="","",IFERROR(RIGHT(B2822,LEN(B2822)-FIND("@",B2822)),""))</f>
        <v/>
      </c>
      <c r="G2822">
        <f>IF(D2822="KEEP",COUNTIF($D$2:D2822,"KEEP"),"")</f>
        <v/>
      </c>
      <c r="H2822">
        <f>IF(D2822="REMOVE",COUNTIF($D$2:D2822,"REMOVE"),"")</f>
        <v/>
      </c>
      <c r="I2822">
        <f>IF(E2822="Gmail",COUNTIF($E$2:E2822,"Gmail"),"")</f>
        <v/>
      </c>
      <c r="J2822">
        <f>IF(E2822="Outlook",COUNTIF($E$2:E2822,"Outlook"),"")</f>
        <v/>
      </c>
      <c r="K2822">
        <f>IF(E2822="Domain",COUNTIF($E$2:E2822,"Domain"),"")</f>
        <v/>
      </c>
    </row>
    <row r="2823">
      <c r="A2823" s="2" t="n"/>
      <c r="B2823">
        <f>LOWER(TRIM(A2823))</f>
        <v/>
      </c>
      <c r="C2823">
        <f>IF(B2823="","",IFERROR(INDEX('Bad Patterns'!$A$2:$A$120,MATCH(1,INDEX(--ISNUMBER(SEARCH('Bad Patterns'!$A$2:$A$120,B2823)),0),0)),""))</f>
        <v/>
      </c>
      <c r="D2823">
        <f>IF(B2823="","",IF(C2823&lt;&gt;"","REMOVE","KEEP"))</f>
        <v/>
      </c>
      <c r="E2823">
        <f>IF(D2823&lt;&gt;"KEEP","",IF(RIGHT(B2823,10)="@gmail.com","Gmail",IF(OR(RIGHT(B2823,12)="@outlook.com",RIGHT(B2823,12)="@hotmail.com",RIGHT(B2823,9)="@live.com"),"Outlook","Domain")))</f>
        <v/>
      </c>
      <c r="F2823">
        <f>IF(B2823="","",IFERROR(RIGHT(B2823,LEN(B2823)-FIND("@",B2823)),""))</f>
        <v/>
      </c>
      <c r="G2823">
        <f>IF(D2823="KEEP",COUNTIF($D$2:D2823,"KEEP"),"")</f>
        <v/>
      </c>
      <c r="H2823">
        <f>IF(D2823="REMOVE",COUNTIF($D$2:D2823,"REMOVE"),"")</f>
        <v/>
      </c>
      <c r="I2823">
        <f>IF(E2823="Gmail",COUNTIF($E$2:E2823,"Gmail"),"")</f>
        <v/>
      </c>
      <c r="J2823">
        <f>IF(E2823="Outlook",COUNTIF($E$2:E2823,"Outlook"),"")</f>
        <v/>
      </c>
      <c r="K2823">
        <f>IF(E2823="Domain",COUNTIF($E$2:E2823,"Domain"),"")</f>
        <v/>
      </c>
    </row>
    <row r="2824">
      <c r="A2824" s="2" t="n"/>
      <c r="B2824">
        <f>LOWER(TRIM(A2824))</f>
        <v/>
      </c>
      <c r="C2824">
        <f>IF(B2824="","",IFERROR(INDEX('Bad Patterns'!$A$2:$A$120,MATCH(1,INDEX(--ISNUMBER(SEARCH('Bad Patterns'!$A$2:$A$120,B2824)),0),0)),""))</f>
        <v/>
      </c>
      <c r="D2824">
        <f>IF(B2824="","",IF(C2824&lt;&gt;"","REMOVE","KEEP"))</f>
        <v/>
      </c>
      <c r="E2824">
        <f>IF(D2824&lt;&gt;"KEEP","",IF(RIGHT(B2824,10)="@gmail.com","Gmail",IF(OR(RIGHT(B2824,12)="@outlook.com",RIGHT(B2824,12)="@hotmail.com",RIGHT(B2824,9)="@live.com"),"Outlook","Domain")))</f>
        <v/>
      </c>
      <c r="F2824">
        <f>IF(B2824="","",IFERROR(RIGHT(B2824,LEN(B2824)-FIND("@",B2824)),""))</f>
        <v/>
      </c>
      <c r="G2824">
        <f>IF(D2824="KEEP",COUNTIF($D$2:D2824,"KEEP"),"")</f>
        <v/>
      </c>
      <c r="H2824">
        <f>IF(D2824="REMOVE",COUNTIF($D$2:D2824,"REMOVE"),"")</f>
        <v/>
      </c>
      <c r="I2824">
        <f>IF(E2824="Gmail",COUNTIF($E$2:E2824,"Gmail"),"")</f>
        <v/>
      </c>
      <c r="J2824">
        <f>IF(E2824="Outlook",COUNTIF($E$2:E2824,"Outlook"),"")</f>
        <v/>
      </c>
      <c r="K2824">
        <f>IF(E2824="Domain",COUNTIF($E$2:E2824,"Domain"),"")</f>
        <v/>
      </c>
    </row>
    <row r="2825">
      <c r="A2825" s="2" t="n"/>
      <c r="B2825">
        <f>LOWER(TRIM(A2825))</f>
        <v/>
      </c>
      <c r="C2825">
        <f>IF(B2825="","",IFERROR(INDEX('Bad Patterns'!$A$2:$A$120,MATCH(1,INDEX(--ISNUMBER(SEARCH('Bad Patterns'!$A$2:$A$120,B2825)),0),0)),""))</f>
        <v/>
      </c>
      <c r="D2825">
        <f>IF(B2825="","",IF(C2825&lt;&gt;"","REMOVE","KEEP"))</f>
        <v/>
      </c>
      <c r="E2825">
        <f>IF(D2825&lt;&gt;"KEEP","",IF(RIGHT(B2825,10)="@gmail.com","Gmail",IF(OR(RIGHT(B2825,12)="@outlook.com",RIGHT(B2825,12)="@hotmail.com",RIGHT(B2825,9)="@live.com"),"Outlook","Domain")))</f>
        <v/>
      </c>
      <c r="F2825">
        <f>IF(B2825="","",IFERROR(RIGHT(B2825,LEN(B2825)-FIND("@",B2825)),""))</f>
        <v/>
      </c>
      <c r="G2825">
        <f>IF(D2825="KEEP",COUNTIF($D$2:D2825,"KEEP"),"")</f>
        <v/>
      </c>
      <c r="H2825">
        <f>IF(D2825="REMOVE",COUNTIF($D$2:D2825,"REMOVE"),"")</f>
        <v/>
      </c>
      <c r="I2825">
        <f>IF(E2825="Gmail",COUNTIF($E$2:E2825,"Gmail"),"")</f>
        <v/>
      </c>
      <c r="J2825">
        <f>IF(E2825="Outlook",COUNTIF($E$2:E2825,"Outlook"),"")</f>
        <v/>
      </c>
      <c r="K2825">
        <f>IF(E2825="Domain",COUNTIF($E$2:E2825,"Domain"),"")</f>
        <v/>
      </c>
    </row>
    <row r="2826">
      <c r="A2826" s="2" t="n"/>
      <c r="B2826">
        <f>LOWER(TRIM(A2826))</f>
        <v/>
      </c>
      <c r="C2826">
        <f>IF(B2826="","",IFERROR(INDEX('Bad Patterns'!$A$2:$A$120,MATCH(1,INDEX(--ISNUMBER(SEARCH('Bad Patterns'!$A$2:$A$120,B2826)),0),0)),""))</f>
        <v/>
      </c>
      <c r="D2826">
        <f>IF(B2826="","",IF(C2826&lt;&gt;"","REMOVE","KEEP"))</f>
        <v/>
      </c>
      <c r="E2826">
        <f>IF(D2826&lt;&gt;"KEEP","",IF(RIGHT(B2826,10)="@gmail.com","Gmail",IF(OR(RIGHT(B2826,12)="@outlook.com",RIGHT(B2826,12)="@hotmail.com",RIGHT(B2826,9)="@live.com"),"Outlook","Domain")))</f>
        <v/>
      </c>
      <c r="F2826">
        <f>IF(B2826="","",IFERROR(RIGHT(B2826,LEN(B2826)-FIND("@",B2826)),""))</f>
        <v/>
      </c>
      <c r="G2826">
        <f>IF(D2826="KEEP",COUNTIF($D$2:D2826,"KEEP"),"")</f>
        <v/>
      </c>
      <c r="H2826">
        <f>IF(D2826="REMOVE",COUNTIF($D$2:D2826,"REMOVE"),"")</f>
        <v/>
      </c>
      <c r="I2826">
        <f>IF(E2826="Gmail",COUNTIF($E$2:E2826,"Gmail"),"")</f>
        <v/>
      </c>
      <c r="J2826">
        <f>IF(E2826="Outlook",COUNTIF($E$2:E2826,"Outlook"),"")</f>
        <v/>
      </c>
      <c r="K2826">
        <f>IF(E2826="Domain",COUNTIF($E$2:E2826,"Domain"),"")</f>
        <v/>
      </c>
    </row>
    <row r="2827">
      <c r="A2827" s="2" t="n"/>
      <c r="B2827">
        <f>LOWER(TRIM(A2827))</f>
        <v/>
      </c>
      <c r="C2827">
        <f>IF(B2827="","",IFERROR(INDEX('Bad Patterns'!$A$2:$A$120,MATCH(1,INDEX(--ISNUMBER(SEARCH('Bad Patterns'!$A$2:$A$120,B2827)),0),0)),""))</f>
        <v/>
      </c>
      <c r="D2827">
        <f>IF(B2827="","",IF(C2827&lt;&gt;"","REMOVE","KEEP"))</f>
        <v/>
      </c>
      <c r="E2827">
        <f>IF(D2827&lt;&gt;"KEEP","",IF(RIGHT(B2827,10)="@gmail.com","Gmail",IF(OR(RIGHT(B2827,12)="@outlook.com",RIGHT(B2827,12)="@hotmail.com",RIGHT(B2827,9)="@live.com"),"Outlook","Domain")))</f>
        <v/>
      </c>
      <c r="F2827">
        <f>IF(B2827="","",IFERROR(RIGHT(B2827,LEN(B2827)-FIND("@",B2827)),""))</f>
        <v/>
      </c>
      <c r="G2827">
        <f>IF(D2827="KEEP",COUNTIF($D$2:D2827,"KEEP"),"")</f>
        <v/>
      </c>
      <c r="H2827">
        <f>IF(D2827="REMOVE",COUNTIF($D$2:D2827,"REMOVE"),"")</f>
        <v/>
      </c>
      <c r="I2827">
        <f>IF(E2827="Gmail",COUNTIF($E$2:E2827,"Gmail"),"")</f>
        <v/>
      </c>
      <c r="J2827">
        <f>IF(E2827="Outlook",COUNTIF($E$2:E2827,"Outlook"),"")</f>
        <v/>
      </c>
      <c r="K2827">
        <f>IF(E2827="Domain",COUNTIF($E$2:E2827,"Domain"),"")</f>
        <v/>
      </c>
    </row>
    <row r="2828">
      <c r="A2828" s="2" t="n"/>
      <c r="B2828">
        <f>LOWER(TRIM(A2828))</f>
        <v/>
      </c>
      <c r="C2828">
        <f>IF(B2828="","",IFERROR(INDEX('Bad Patterns'!$A$2:$A$120,MATCH(1,INDEX(--ISNUMBER(SEARCH('Bad Patterns'!$A$2:$A$120,B2828)),0),0)),""))</f>
        <v/>
      </c>
      <c r="D2828">
        <f>IF(B2828="","",IF(C2828&lt;&gt;"","REMOVE","KEEP"))</f>
        <v/>
      </c>
      <c r="E2828">
        <f>IF(D2828&lt;&gt;"KEEP","",IF(RIGHT(B2828,10)="@gmail.com","Gmail",IF(OR(RIGHT(B2828,12)="@outlook.com",RIGHT(B2828,12)="@hotmail.com",RIGHT(B2828,9)="@live.com"),"Outlook","Domain")))</f>
        <v/>
      </c>
      <c r="F2828">
        <f>IF(B2828="","",IFERROR(RIGHT(B2828,LEN(B2828)-FIND("@",B2828)),""))</f>
        <v/>
      </c>
      <c r="G2828">
        <f>IF(D2828="KEEP",COUNTIF($D$2:D2828,"KEEP"),"")</f>
        <v/>
      </c>
      <c r="H2828">
        <f>IF(D2828="REMOVE",COUNTIF($D$2:D2828,"REMOVE"),"")</f>
        <v/>
      </c>
      <c r="I2828">
        <f>IF(E2828="Gmail",COUNTIF($E$2:E2828,"Gmail"),"")</f>
        <v/>
      </c>
      <c r="J2828">
        <f>IF(E2828="Outlook",COUNTIF($E$2:E2828,"Outlook"),"")</f>
        <v/>
      </c>
      <c r="K2828">
        <f>IF(E2828="Domain",COUNTIF($E$2:E2828,"Domain"),"")</f>
        <v/>
      </c>
    </row>
    <row r="2829">
      <c r="A2829" s="2" t="n"/>
      <c r="B2829">
        <f>LOWER(TRIM(A2829))</f>
        <v/>
      </c>
      <c r="C2829">
        <f>IF(B2829="","",IFERROR(INDEX('Bad Patterns'!$A$2:$A$120,MATCH(1,INDEX(--ISNUMBER(SEARCH('Bad Patterns'!$A$2:$A$120,B2829)),0),0)),""))</f>
        <v/>
      </c>
      <c r="D2829">
        <f>IF(B2829="","",IF(C2829&lt;&gt;"","REMOVE","KEEP"))</f>
        <v/>
      </c>
      <c r="E2829">
        <f>IF(D2829&lt;&gt;"KEEP","",IF(RIGHT(B2829,10)="@gmail.com","Gmail",IF(OR(RIGHT(B2829,12)="@outlook.com",RIGHT(B2829,12)="@hotmail.com",RIGHT(B2829,9)="@live.com"),"Outlook","Domain")))</f>
        <v/>
      </c>
      <c r="F2829">
        <f>IF(B2829="","",IFERROR(RIGHT(B2829,LEN(B2829)-FIND("@",B2829)),""))</f>
        <v/>
      </c>
      <c r="G2829">
        <f>IF(D2829="KEEP",COUNTIF($D$2:D2829,"KEEP"),"")</f>
        <v/>
      </c>
      <c r="H2829">
        <f>IF(D2829="REMOVE",COUNTIF($D$2:D2829,"REMOVE"),"")</f>
        <v/>
      </c>
      <c r="I2829">
        <f>IF(E2829="Gmail",COUNTIF($E$2:E2829,"Gmail"),"")</f>
        <v/>
      </c>
      <c r="J2829">
        <f>IF(E2829="Outlook",COUNTIF($E$2:E2829,"Outlook"),"")</f>
        <v/>
      </c>
      <c r="K2829">
        <f>IF(E2829="Domain",COUNTIF($E$2:E2829,"Domain"),"")</f>
        <v/>
      </c>
    </row>
    <row r="2830">
      <c r="A2830" s="2" t="n"/>
      <c r="B2830">
        <f>LOWER(TRIM(A2830))</f>
        <v/>
      </c>
      <c r="C2830">
        <f>IF(B2830="","",IFERROR(INDEX('Bad Patterns'!$A$2:$A$120,MATCH(1,INDEX(--ISNUMBER(SEARCH('Bad Patterns'!$A$2:$A$120,B2830)),0),0)),""))</f>
        <v/>
      </c>
      <c r="D2830">
        <f>IF(B2830="","",IF(C2830&lt;&gt;"","REMOVE","KEEP"))</f>
        <v/>
      </c>
      <c r="E2830">
        <f>IF(D2830&lt;&gt;"KEEP","",IF(RIGHT(B2830,10)="@gmail.com","Gmail",IF(OR(RIGHT(B2830,12)="@outlook.com",RIGHT(B2830,12)="@hotmail.com",RIGHT(B2830,9)="@live.com"),"Outlook","Domain")))</f>
        <v/>
      </c>
      <c r="F2830">
        <f>IF(B2830="","",IFERROR(RIGHT(B2830,LEN(B2830)-FIND("@",B2830)),""))</f>
        <v/>
      </c>
      <c r="G2830">
        <f>IF(D2830="KEEP",COUNTIF($D$2:D2830,"KEEP"),"")</f>
        <v/>
      </c>
      <c r="H2830">
        <f>IF(D2830="REMOVE",COUNTIF($D$2:D2830,"REMOVE"),"")</f>
        <v/>
      </c>
      <c r="I2830">
        <f>IF(E2830="Gmail",COUNTIF($E$2:E2830,"Gmail"),"")</f>
        <v/>
      </c>
      <c r="J2830">
        <f>IF(E2830="Outlook",COUNTIF($E$2:E2830,"Outlook"),"")</f>
        <v/>
      </c>
      <c r="K2830">
        <f>IF(E2830="Domain",COUNTIF($E$2:E2830,"Domain"),"")</f>
        <v/>
      </c>
    </row>
    <row r="2831">
      <c r="A2831" s="2" t="n"/>
      <c r="B2831">
        <f>LOWER(TRIM(A2831))</f>
        <v/>
      </c>
      <c r="C2831">
        <f>IF(B2831="","",IFERROR(INDEX('Bad Patterns'!$A$2:$A$120,MATCH(1,INDEX(--ISNUMBER(SEARCH('Bad Patterns'!$A$2:$A$120,B2831)),0),0)),""))</f>
        <v/>
      </c>
      <c r="D2831">
        <f>IF(B2831="","",IF(C2831&lt;&gt;"","REMOVE","KEEP"))</f>
        <v/>
      </c>
      <c r="E2831">
        <f>IF(D2831&lt;&gt;"KEEP","",IF(RIGHT(B2831,10)="@gmail.com","Gmail",IF(OR(RIGHT(B2831,12)="@outlook.com",RIGHT(B2831,12)="@hotmail.com",RIGHT(B2831,9)="@live.com"),"Outlook","Domain")))</f>
        <v/>
      </c>
      <c r="F2831">
        <f>IF(B2831="","",IFERROR(RIGHT(B2831,LEN(B2831)-FIND("@",B2831)),""))</f>
        <v/>
      </c>
      <c r="G2831">
        <f>IF(D2831="KEEP",COUNTIF($D$2:D2831,"KEEP"),"")</f>
        <v/>
      </c>
      <c r="H2831">
        <f>IF(D2831="REMOVE",COUNTIF($D$2:D2831,"REMOVE"),"")</f>
        <v/>
      </c>
      <c r="I2831">
        <f>IF(E2831="Gmail",COUNTIF($E$2:E2831,"Gmail"),"")</f>
        <v/>
      </c>
      <c r="J2831">
        <f>IF(E2831="Outlook",COUNTIF($E$2:E2831,"Outlook"),"")</f>
        <v/>
      </c>
      <c r="K2831">
        <f>IF(E2831="Domain",COUNTIF($E$2:E2831,"Domain"),"")</f>
        <v/>
      </c>
    </row>
    <row r="2832">
      <c r="A2832" s="2" t="n"/>
      <c r="B2832">
        <f>LOWER(TRIM(A2832))</f>
        <v/>
      </c>
      <c r="C2832">
        <f>IF(B2832="","",IFERROR(INDEX('Bad Patterns'!$A$2:$A$120,MATCH(1,INDEX(--ISNUMBER(SEARCH('Bad Patterns'!$A$2:$A$120,B2832)),0),0)),""))</f>
        <v/>
      </c>
      <c r="D2832">
        <f>IF(B2832="","",IF(C2832&lt;&gt;"","REMOVE","KEEP"))</f>
        <v/>
      </c>
      <c r="E2832">
        <f>IF(D2832&lt;&gt;"KEEP","",IF(RIGHT(B2832,10)="@gmail.com","Gmail",IF(OR(RIGHT(B2832,12)="@outlook.com",RIGHT(B2832,12)="@hotmail.com",RIGHT(B2832,9)="@live.com"),"Outlook","Domain")))</f>
        <v/>
      </c>
      <c r="F2832">
        <f>IF(B2832="","",IFERROR(RIGHT(B2832,LEN(B2832)-FIND("@",B2832)),""))</f>
        <v/>
      </c>
      <c r="G2832">
        <f>IF(D2832="KEEP",COUNTIF($D$2:D2832,"KEEP"),"")</f>
        <v/>
      </c>
      <c r="H2832">
        <f>IF(D2832="REMOVE",COUNTIF($D$2:D2832,"REMOVE"),"")</f>
        <v/>
      </c>
      <c r="I2832">
        <f>IF(E2832="Gmail",COUNTIF($E$2:E2832,"Gmail"),"")</f>
        <v/>
      </c>
      <c r="J2832">
        <f>IF(E2832="Outlook",COUNTIF($E$2:E2832,"Outlook"),"")</f>
        <v/>
      </c>
      <c r="K2832">
        <f>IF(E2832="Domain",COUNTIF($E$2:E2832,"Domain"),"")</f>
        <v/>
      </c>
    </row>
    <row r="2833">
      <c r="A2833" s="2" t="n"/>
      <c r="B2833">
        <f>LOWER(TRIM(A2833))</f>
        <v/>
      </c>
      <c r="C2833">
        <f>IF(B2833="","",IFERROR(INDEX('Bad Patterns'!$A$2:$A$120,MATCH(1,INDEX(--ISNUMBER(SEARCH('Bad Patterns'!$A$2:$A$120,B2833)),0),0)),""))</f>
        <v/>
      </c>
      <c r="D2833">
        <f>IF(B2833="","",IF(C2833&lt;&gt;"","REMOVE","KEEP"))</f>
        <v/>
      </c>
      <c r="E2833">
        <f>IF(D2833&lt;&gt;"KEEP","",IF(RIGHT(B2833,10)="@gmail.com","Gmail",IF(OR(RIGHT(B2833,12)="@outlook.com",RIGHT(B2833,12)="@hotmail.com",RIGHT(B2833,9)="@live.com"),"Outlook","Domain")))</f>
        <v/>
      </c>
      <c r="F2833">
        <f>IF(B2833="","",IFERROR(RIGHT(B2833,LEN(B2833)-FIND("@",B2833)),""))</f>
        <v/>
      </c>
      <c r="G2833">
        <f>IF(D2833="KEEP",COUNTIF($D$2:D2833,"KEEP"),"")</f>
        <v/>
      </c>
      <c r="H2833">
        <f>IF(D2833="REMOVE",COUNTIF($D$2:D2833,"REMOVE"),"")</f>
        <v/>
      </c>
      <c r="I2833">
        <f>IF(E2833="Gmail",COUNTIF($E$2:E2833,"Gmail"),"")</f>
        <v/>
      </c>
      <c r="J2833">
        <f>IF(E2833="Outlook",COUNTIF($E$2:E2833,"Outlook"),"")</f>
        <v/>
      </c>
      <c r="K2833">
        <f>IF(E2833="Domain",COUNTIF($E$2:E2833,"Domain"),"")</f>
        <v/>
      </c>
    </row>
    <row r="2834">
      <c r="A2834" s="2" t="n"/>
      <c r="B2834">
        <f>LOWER(TRIM(A2834))</f>
        <v/>
      </c>
      <c r="C2834">
        <f>IF(B2834="","",IFERROR(INDEX('Bad Patterns'!$A$2:$A$120,MATCH(1,INDEX(--ISNUMBER(SEARCH('Bad Patterns'!$A$2:$A$120,B2834)),0),0)),""))</f>
        <v/>
      </c>
      <c r="D2834">
        <f>IF(B2834="","",IF(C2834&lt;&gt;"","REMOVE","KEEP"))</f>
        <v/>
      </c>
      <c r="E2834">
        <f>IF(D2834&lt;&gt;"KEEP","",IF(RIGHT(B2834,10)="@gmail.com","Gmail",IF(OR(RIGHT(B2834,12)="@outlook.com",RIGHT(B2834,12)="@hotmail.com",RIGHT(B2834,9)="@live.com"),"Outlook","Domain")))</f>
        <v/>
      </c>
      <c r="F2834">
        <f>IF(B2834="","",IFERROR(RIGHT(B2834,LEN(B2834)-FIND("@",B2834)),""))</f>
        <v/>
      </c>
      <c r="G2834">
        <f>IF(D2834="KEEP",COUNTIF($D$2:D2834,"KEEP"),"")</f>
        <v/>
      </c>
      <c r="H2834">
        <f>IF(D2834="REMOVE",COUNTIF($D$2:D2834,"REMOVE"),"")</f>
        <v/>
      </c>
      <c r="I2834">
        <f>IF(E2834="Gmail",COUNTIF($E$2:E2834,"Gmail"),"")</f>
        <v/>
      </c>
      <c r="J2834">
        <f>IF(E2834="Outlook",COUNTIF($E$2:E2834,"Outlook"),"")</f>
        <v/>
      </c>
      <c r="K2834">
        <f>IF(E2834="Domain",COUNTIF($E$2:E2834,"Domain"),"")</f>
        <v/>
      </c>
    </row>
    <row r="2835">
      <c r="A2835" s="2" t="n"/>
      <c r="B2835">
        <f>LOWER(TRIM(A2835))</f>
        <v/>
      </c>
      <c r="C2835">
        <f>IF(B2835="","",IFERROR(INDEX('Bad Patterns'!$A$2:$A$120,MATCH(1,INDEX(--ISNUMBER(SEARCH('Bad Patterns'!$A$2:$A$120,B2835)),0),0)),""))</f>
        <v/>
      </c>
      <c r="D2835">
        <f>IF(B2835="","",IF(C2835&lt;&gt;"","REMOVE","KEEP"))</f>
        <v/>
      </c>
      <c r="E2835">
        <f>IF(D2835&lt;&gt;"KEEP","",IF(RIGHT(B2835,10)="@gmail.com","Gmail",IF(OR(RIGHT(B2835,12)="@outlook.com",RIGHT(B2835,12)="@hotmail.com",RIGHT(B2835,9)="@live.com"),"Outlook","Domain")))</f>
        <v/>
      </c>
      <c r="F2835">
        <f>IF(B2835="","",IFERROR(RIGHT(B2835,LEN(B2835)-FIND("@",B2835)),""))</f>
        <v/>
      </c>
      <c r="G2835">
        <f>IF(D2835="KEEP",COUNTIF($D$2:D2835,"KEEP"),"")</f>
        <v/>
      </c>
      <c r="H2835">
        <f>IF(D2835="REMOVE",COUNTIF($D$2:D2835,"REMOVE"),"")</f>
        <v/>
      </c>
      <c r="I2835">
        <f>IF(E2835="Gmail",COUNTIF($E$2:E2835,"Gmail"),"")</f>
        <v/>
      </c>
      <c r="J2835">
        <f>IF(E2835="Outlook",COUNTIF($E$2:E2835,"Outlook"),"")</f>
        <v/>
      </c>
      <c r="K2835">
        <f>IF(E2835="Domain",COUNTIF($E$2:E2835,"Domain"),"")</f>
        <v/>
      </c>
    </row>
    <row r="2836">
      <c r="A2836" s="2" t="n"/>
      <c r="B2836">
        <f>LOWER(TRIM(A2836))</f>
        <v/>
      </c>
      <c r="C2836">
        <f>IF(B2836="","",IFERROR(INDEX('Bad Patterns'!$A$2:$A$120,MATCH(1,INDEX(--ISNUMBER(SEARCH('Bad Patterns'!$A$2:$A$120,B2836)),0),0)),""))</f>
        <v/>
      </c>
      <c r="D2836">
        <f>IF(B2836="","",IF(C2836&lt;&gt;"","REMOVE","KEEP"))</f>
        <v/>
      </c>
      <c r="E2836">
        <f>IF(D2836&lt;&gt;"KEEP","",IF(RIGHT(B2836,10)="@gmail.com","Gmail",IF(OR(RIGHT(B2836,12)="@outlook.com",RIGHT(B2836,12)="@hotmail.com",RIGHT(B2836,9)="@live.com"),"Outlook","Domain")))</f>
        <v/>
      </c>
      <c r="F2836">
        <f>IF(B2836="","",IFERROR(RIGHT(B2836,LEN(B2836)-FIND("@",B2836)),""))</f>
        <v/>
      </c>
      <c r="G2836">
        <f>IF(D2836="KEEP",COUNTIF($D$2:D2836,"KEEP"),"")</f>
        <v/>
      </c>
      <c r="H2836">
        <f>IF(D2836="REMOVE",COUNTIF($D$2:D2836,"REMOVE"),"")</f>
        <v/>
      </c>
      <c r="I2836">
        <f>IF(E2836="Gmail",COUNTIF($E$2:E2836,"Gmail"),"")</f>
        <v/>
      </c>
      <c r="J2836">
        <f>IF(E2836="Outlook",COUNTIF($E$2:E2836,"Outlook"),"")</f>
        <v/>
      </c>
      <c r="K2836">
        <f>IF(E2836="Domain",COUNTIF($E$2:E2836,"Domain"),"")</f>
        <v/>
      </c>
    </row>
    <row r="2837">
      <c r="A2837" s="2" t="n"/>
      <c r="B2837">
        <f>LOWER(TRIM(A2837))</f>
        <v/>
      </c>
      <c r="C2837">
        <f>IF(B2837="","",IFERROR(INDEX('Bad Patterns'!$A$2:$A$120,MATCH(1,INDEX(--ISNUMBER(SEARCH('Bad Patterns'!$A$2:$A$120,B2837)),0),0)),""))</f>
        <v/>
      </c>
      <c r="D2837">
        <f>IF(B2837="","",IF(C2837&lt;&gt;"","REMOVE","KEEP"))</f>
        <v/>
      </c>
      <c r="E2837">
        <f>IF(D2837&lt;&gt;"KEEP","",IF(RIGHT(B2837,10)="@gmail.com","Gmail",IF(OR(RIGHT(B2837,12)="@outlook.com",RIGHT(B2837,12)="@hotmail.com",RIGHT(B2837,9)="@live.com"),"Outlook","Domain")))</f>
        <v/>
      </c>
      <c r="F2837">
        <f>IF(B2837="","",IFERROR(RIGHT(B2837,LEN(B2837)-FIND("@",B2837)),""))</f>
        <v/>
      </c>
      <c r="G2837">
        <f>IF(D2837="KEEP",COUNTIF($D$2:D2837,"KEEP"),"")</f>
        <v/>
      </c>
      <c r="H2837">
        <f>IF(D2837="REMOVE",COUNTIF($D$2:D2837,"REMOVE"),"")</f>
        <v/>
      </c>
      <c r="I2837">
        <f>IF(E2837="Gmail",COUNTIF($E$2:E2837,"Gmail"),"")</f>
        <v/>
      </c>
      <c r="J2837">
        <f>IF(E2837="Outlook",COUNTIF($E$2:E2837,"Outlook"),"")</f>
        <v/>
      </c>
      <c r="K2837">
        <f>IF(E2837="Domain",COUNTIF($E$2:E2837,"Domain"),"")</f>
        <v/>
      </c>
    </row>
    <row r="2838">
      <c r="A2838" s="2" t="n"/>
      <c r="B2838">
        <f>LOWER(TRIM(A2838))</f>
        <v/>
      </c>
      <c r="C2838">
        <f>IF(B2838="","",IFERROR(INDEX('Bad Patterns'!$A$2:$A$120,MATCH(1,INDEX(--ISNUMBER(SEARCH('Bad Patterns'!$A$2:$A$120,B2838)),0),0)),""))</f>
        <v/>
      </c>
      <c r="D2838">
        <f>IF(B2838="","",IF(C2838&lt;&gt;"","REMOVE","KEEP"))</f>
        <v/>
      </c>
      <c r="E2838">
        <f>IF(D2838&lt;&gt;"KEEP","",IF(RIGHT(B2838,10)="@gmail.com","Gmail",IF(OR(RIGHT(B2838,12)="@outlook.com",RIGHT(B2838,12)="@hotmail.com",RIGHT(B2838,9)="@live.com"),"Outlook","Domain")))</f>
        <v/>
      </c>
      <c r="F2838">
        <f>IF(B2838="","",IFERROR(RIGHT(B2838,LEN(B2838)-FIND("@",B2838)),""))</f>
        <v/>
      </c>
      <c r="G2838">
        <f>IF(D2838="KEEP",COUNTIF($D$2:D2838,"KEEP"),"")</f>
        <v/>
      </c>
      <c r="H2838">
        <f>IF(D2838="REMOVE",COUNTIF($D$2:D2838,"REMOVE"),"")</f>
        <v/>
      </c>
      <c r="I2838">
        <f>IF(E2838="Gmail",COUNTIF($E$2:E2838,"Gmail"),"")</f>
        <v/>
      </c>
      <c r="J2838">
        <f>IF(E2838="Outlook",COUNTIF($E$2:E2838,"Outlook"),"")</f>
        <v/>
      </c>
      <c r="K2838">
        <f>IF(E2838="Domain",COUNTIF($E$2:E2838,"Domain"),"")</f>
        <v/>
      </c>
    </row>
    <row r="2839">
      <c r="A2839" s="2" t="n"/>
      <c r="B2839">
        <f>LOWER(TRIM(A2839))</f>
        <v/>
      </c>
      <c r="C2839">
        <f>IF(B2839="","",IFERROR(INDEX('Bad Patterns'!$A$2:$A$120,MATCH(1,INDEX(--ISNUMBER(SEARCH('Bad Patterns'!$A$2:$A$120,B2839)),0),0)),""))</f>
        <v/>
      </c>
      <c r="D2839">
        <f>IF(B2839="","",IF(C2839&lt;&gt;"","REMOVE","KEEP"))</f>
        <v/>
      </c>
      <c r="E2839">
        <f>IF(D2839&lt;&gt;"KEEP","",IF(RIGHT(B2839,10)="@gmail.com","Gmail",IF(OR(RIGHT(B2839,12)="@outlook.com",RIGHT(B2839,12)="@hotmail.com",RIGHT(B2839,9)="@live.com"),"Outlook","Domain")))</f>
        <v/>
      </c>
      <c r="F2839">
        <f>IF(B2839="","",IFERROR(RIGHT(B2839,LEN(B2839)-FIND("@",B2839)),""))</f>
        <v/>
      </c>
      <c r="G2839">
        <f>IF(D2839="KEEP",COUNTIF($D$2:D2839,"KEEP"),"")</f>
        <v/>
      </c>
      <c r="H2839">
        <f>IF(D2839="REMOVE",COUNTIF($D$2:D2839,"REMOVE"),"")</f>
        <v/>
      </c>
      <c r="I2839">
        <f>IF(E2839="Gmail",COUNTIF($E$2:E2839,"Gmail"),"")</f>
        <v/>
      </c>
      <c r="J2839">
        <f>IF(E2839="Outlook",COUNTIF($E$2:E2839,"Outlook"),"")</f>
        <v/>
      </c>
      <c r="K2839">
        <f>IF(E2839="Domain",COUNTIF($E$2:E2839,"Domain"),"")</f>
        <v/>
      </c>
    </row>
    <row r="2840">
      <c r="A2840" s="2" t="n"/>
      <c r="B2840">
        <f>LOWER(TRIM(A2840))</f>
        <v/>
      </c>
      <c r="C2840">
        <f>IF(B2840="","",IFERROR(INDEX('Bad Patterns'!$A$2:$A$120,MATCH(1,INDEX(--ISNUMBER(SEARCH('Bad Patterns'!$A$2:$A$120,B2840)),0),0)),""))</f>
        <v/>
      </c>
      <c r="D2840">
        <f>IF(B2840="","",IF(C2840&lt;&gt;"","REMOVE","KEEP"))</f>
        <v/>
      </c>
      <c r="E2840">
        <f>IF(D2840&lt;&gt;"KEEP","",IF(RIGHT(B2840,10)="@gmail.com","Gmail",IF(OR(RIGHT(B2840,12)="@outlook.com",RIGHT(B2840,12)="@hotmail.com",RIGHT(B2840,9)="@live.com"),"Outlook","Domain")))</f>
        <v/>
      </c>
      <c r="F2840">
        <f>IF(B2840="","",IFERROR(RIGHT(B2840,LEN(B2840)-FIND("@",B2840)),""))</f>
        <v/>
      </c>
      <c r="G2840">
        <f>IF(D2840="KEEP",COUNTIF($D$2:D2840,"KEEP"),"")</f>
        <v/>
      </c>
      <c r="H2840">
        <f>IF(D2840="REMOVE",COUNTIF($D$2:D2840,"REMOVE"),"")</f>
        <v/>
      </c>
      <c r="I2840">
        <f>IF(E2840="Gmail",COUNTIF($E$2:E2840,"Gmail"),"")</f>
        <v/>
      </c>
      <c r="J2840">
        <f>IF(E2840="Outlook",COUNTIF($E$2:E2840,"Outlook"),"")</f>
        <v/>
      </c>
      <c r="K2840">
        <f>IF(E2840="Domain",COUNTIF($E$2:E2840,"Domain"),"")</f>
        <v/>
      </c>
    </row>
    <row r="2841">
      <c r="A2841" s="2" t="n"/>
      <c r="B2841">
        <f>LOWER(TRIM(A2841))</f>
        <v/>
      </c>
      <c r="C2841">
        <f>IF(B2841="","",IFERROR(INDEX('Bad Patterns'!$A$2:$A$120,MATCH(1,INDEX(--ISNUMBER(SEARCH('Bad Patterns'!$A$2:$A$120,B2841)),0),0)),""))</f>
        <v/>
      </c>
      <c r="D2841">
        <f>IF(B2841="","",IF(C2841&lt;&gt;"","REMOVE","KEEP"))</f>
        <v/>
      </c>
      <c r="E2841">
        <f>IF(D2841&lt;&gt;"KEEP","",IF(RIGHT(B2841,10)="@gmail.com","Gmail",IF(OR(RIGHT(B2841,12)="@outlook.com",RIGHT(B2841,12)="@hotmail.com",RIGHT(B2841,9)="@live.com"),"Outlook","Domain")))</f>
        <v/>
      </c>
      <c r="F2841">
        <f>IF(B2841="","",IFERROR(RIGHT(B2841,LEN(B2841)-FIND("@",B2841)),""))</f>
        <v/>
      </c>
      <c r="G2841">
        <f>IF(D2841="KEEP",COUNTIF($D$2:D2841,"KEEP"),"")</f>
        <v/>
      </c>
      <c r="H2841">
        <f>IF(D2841="REMOVE",COUNTIF($D$2:D2841,"REMOVE"),"")</f>
        <v/>
      </c>
      <c r="I2841">
        <f>IF(E2841="Gmail",COUNTIF($E$2:E2841,"Gmail"),"")</f>
        <v/>
      </c>
      <c r="J2841">
        <f>IF(E2841="Outlook",COUNTIF($E$2:E2841,"Outlook"),"")</f>
        <v/>
      </c>
      <c r="K2841">
        <f>IF(E2841="Domain",COUNTIF($E$2:E2841,"Domain"),"")</f>
        <v/>
      </c>
    </row>
    <row r="2842">
      <c r="A2842" s="2" t="n"/>
      <c r="B2842">
        <f>LOWER(TRIM(A2842))</f>
        <v/>
      </c>
      <c r="C2842">
        <f>IF(B2842="","",IFERROR(INDEX('Bad Patterns'!$A$2:$A$120,MATCH(1,INDEX(--ISNUMBER(SEARCH('Bad Patterns'!$A$2:$A$120,B2842)),0),0)),""))</f>
        <v/>
      </c>
      <c r="D2842">
        <f>IF(B2842="","",IF(C2842&lt;&gt;"","REMOVE","KEEP"))</f>
        <v/>
      </c>
      <c r="E2842">
        <f>IF(D2842&lt;&gt;"KEEP","",IF(RIGHT(B2842,10)="@gmail.com","Gmail",IF(OR(RIGHT(B2842,12)="@outlook.com",RIGHT(B2842,12)="@hotmail.com",RIGHT(B2842,9)="@live.com"),"Outlook","Domain")))</f>
        <v/>
      </c>
      <c r="F2842">
        <f>IF(B2842="","",IFERROR(RIGHT(B2842,LEN(B2842)-FIND("@",B2842)),""))</f>
        <v/>
      </c>
      <c r="G2842">
        <f>IF(D2842="KEEP",COUNTIF($D$2:D2842,"KEEP"),"")</f>
        <v/>
      </c>
      <c r="H2842">
        <f>IF(D2842="REMOVE",COUNTIF($D$2:D2842,"REMOVE"),"")</f>
        <v/>
      </c>
      <c r="I2842">
        <f>IF(E2842="Gmail",COUNTIF($E$2:E2842,"Gmail"),"")</f>
        <v/>
      </c>
      <c r="J2842">
        <f>IF(E2842="Outlook",COUNTIF($E$2:E2842,"Outlook"),"")</f>
        <v/>
      </c>
      <c r="K2842">
        <f>IF(E2842="Domain",COUNTIF($E$2:E2842,"Domain"),"")</f>
        <v/>
      </c>
    </row>
    <row r="2843">
      <c r="A2843" s="2" t="n"/>
      <c r="B2843">
        <f>LOWER(TRIM(A2843))</f>
        <v/>
      </c>
      <c r="C2843">
        <f>IF(B2843="","",IFERROR(INDEX('Bad Patterns'!$A$2:$A$120,MATCH(1,INDEX(--ISNUMBER(SEARCH('Bad Patterns'!$A$2:$A$120,B2843)),0),0)),""))</f>
        <v/>
      </c>
      <c r="D2843">
        <f>IF(B2843="","",IF(C2843&lt;&gt;"","REMOVE","KEEP"))</f>
        <v/>
      </c>
      <c r="E2843">
        <f>IF(D2843&lt;&gt;"KEEP","",IF(RIGHT(B2843,10)="@gmail.com","Gmail",IF(OR(RIGHT(B2843,12)="@outlook.com",RIGHT(B2843,12)="@hotmail.com",RIGHT(B2843,9)="@live.com"),"Outlook","Domain")))</f>
        <v/>
      </c>
      <c r="F2843">
        <f>IF(B2843="","",IFERROR(RIGHT(B2843,LEN(B2843)-FIND("@",B2843)),""))</f>
        <v/>
      </c>
      <c r="G2843">
        <f>IF(D2843="KEEP",COUNTIF($D$2:D2843,"KEEP"),"")</f>
        <v/>
      </c>
      <c r="H2843">
        <f>IF(D2843="REMOVE",COUNTIF($D$2:D2843,"REMOVE"),"")</f>
        <v/>
      </c>
      <c r="I2843">
        <f>IF(E2843="Gmail",COUNTIF($E$2:E2843,"Gmail"),"")</f>
        <v/>
      </c>
      <c r="J2843">
        <f>IF(E2843="Outlook",COUNTIF($E$2:E2843,"Outlook"),"")</f>
        <v/>
      </c>
      <c r="K2843">
        <f>IF(E2843="Domain",COUNTIF($E$2:E2843,"Domain"),"")</f>
        <v/>
      </c>
    </row>
    <row r="2844">
      <c r="A2844" s="2" t="n"/>
      <c r="B2844">
        <f>LOWER(TRIM(A2844))</f>
        <v/>
      </c>
      <c r="C2844">
        <f>IF(B2844="","",IFERROR(INDEX('Bad Patterns'!$A$2:$A$120,MATCH(1,INDEX(--ISNUMBER(SEARCH('Bad Patterns'!$A$2:$A$120,B2844)),0),0)),""))</f>
        <v/>
      </c>
      <c r="D2844">
        <f>IF(B2844="","",IF(C2844&lt;&gt;"","REMOVE","KEEP"))</f>
        <v/>
      </c>
      <c r="E2844">
        <f>IF(D2844&lt;&gt;"KEEP","",IF(RIGHT(B2844,10)="@gmail.com","Gmail",IF(OR(RIGHT(B2844,12)="@outlook.com",RIGHT(B2844,12)="@hotmail.com",RIGHT(B2844,9)="@live.com"),"Outlook","Domain")))</f>
        <v/>
      </c>
      <c r="F2844">
        <f>IF(B2844="","",IFERROR(RIGHT(B2844,LEN(B2844)-FIND("@",B2844)),""))</f>
        <v/>
      </c>
      <c r="G2844">
        <f>IF(D2844="KEEP",COUNTIF($D$2:D2844,"KEEP"),"")</f>
        <v/>
      </c>
      <c r="H2844">
        <f>IF(D2844="REMOVE",COUNTIF($D$2:D2844,"REMOVE"),"")</f>
        <v/>
      </c>
      <c r="I2844">
        <f>IF(E2844="Gmail",COUNTIF($E$2:E2844,"Gmail"),"")</f>
        <v/>
      </c>
      <c r="J2844">
        <f>IF(E2844="Outlook",COUNTIF($E$2:E2844,"Outlook"),"")</f>
        <v/>
      </c>
      <c r="K2844">
        <f>IF(E2844="Domain",COUNTIF($E$2:E2844,"Domain"),"")</f>
        <v/>
      </c>
    </row>
    <row r="2845">
      <c r="A2845" s="2" t="n"/>
      <c r="B2845">
        <f>LOWER(TRIM(A2845))</f>
        <v/>
      </c>
      <c r="C2845">
        <f>IF(B2845="","",IFERROR(INDEX('Bad Patterns'!$A$2:$A$120,MATCH(1,INDEX(--ISNUMBER(SEARCH('Bad Patterns'!$A$2:$A$120,B2845)),0),0)),""))</f>
        <v/>
      </c>
      <c r="D2845">
        <f>IF(B2845="","",IF(C2845&lt;&gt;"","REMOVE","KEEP"))</f>
        <v/>
      </c>
      <c r="E2845">
        <f>IF(D2845&lt;&gt;"KEEP","",IF(RIGHT(B2845,10)="@gmail.com","Gmail",IF(OR(RIGHT(B2845,12)="@outlook.com",RIGHT(B2845,12)="@hotmail.com",RIGHT(B2845,9)="@live.com"),"Outlook","Domain")))</f>
        <v/>
      </c>
      <c r="F2845">
        <f>IF(B2845="","",IFERROR(RIGHT(B2845,LEN(B2845)-FIND("@",B2845)),""))</f>
        <v/>
      </c>
      <c r="G2845">
        <f>IF(D2845="KEEP",COUNTIF($D$2:D2845,"KEEP"),"")</f>
        <v/>
      </c>
      <c r="H2845">
        <f>IF(D2845="REMOVE",COUNTIF($D$2:D2845,"REMOVE"),"")</f>
        <v/>
      </c>
      <c r="I2845">
        <f>IF(E2845="Gmail",COUNTIF($E$2:E2845,"Gmail"),"")</f>
        <v/>
      </c>
      <c r="J2845">
        <f>IF(E2845="Outlook",COUNTIF($E$2:E2845,"Outlook"),"")</f>
        <v/>
      </c>
      <c r="K2845">
        <f>IF(E2845="Domain",COUNTIF($E$2:E2845,"Domain"),"")</f>
        <v/>
      </c>
    </row>
    <row r="2846">
      <c r="A2846" s="2" t="n"/>
      <c r="B2846">
        <f>LOWER(TRIM(A2846))</f>
        <v/>
      </c>
      <c r="C2846">
        <f>IF(B2846="","",IFERROR(INDEX('Bad Patterns'!$A$2:$A$120,MATCH(1,INDEX(--ISNUMBER(SEARCH('Bad Patterns'!$A$2:$A$120,B2846)),0),0)),""))</f>
        <v/>
      </c>
      <c r="D2846">
        <f>IF(B2846="","",IF(C2846&lt;&gt;"","REMOVE","KEEP"))</f>
        <v/>
      </c>
      <c r="E2846">
        <f>IF(D2846&lt;&gt;"KEEP","",IF(RIGHT(B2846,10)="@gmail.com","Gmail",IF(OR(RIGHT(B2846,12)="@outlook.com",RIGHT(B2846,12)="@hotmail.com",RIGHT(B2846,9)="@live.com"),"Outlook","Domain")))</f>
        <v/>
      </c>
      <c r="F2846">
        <f>IF(B2846="","",IFERROR(RIGHT(B2846,LEN(B2846)-FIND("@",B2846)),""))</f>
        <v/>
      </c>
      <c r="G2846">
        <f>IF(D2846="KEEP",COUNTIF($D$2:D2846,"KEEP"),"")</f>
        <v/>
      </c>
      <c r="H2846">
        <f>IF(D2846="REMOVE",COUNTIF($D$2:D2846,"REMOVE"),"")</f>
        <v/>
      </c>
      <c r="I2846">
        <f>IF(E2846="Gmail",COUNTIF($E$2:E2846,"Gmail"),"")</f>
        <v/>
      </c>
      <c r="J2846">
        <f>IF(E2846="Outlook",COUNTIF($E$2:E2846,"Outlook"),"")</f>
        <v/>
      </c>
      <c r="K2846">
        <f>IF(E2846="Domain",COUNTIF($E$2:E2846,"Domain"),"")</f>
        <v/>
      </c>
    </row>
    <row r="2847">
      <c r="A2847" s="2" t="n"/>
      <c r="B2847">
        <f>LOWER(TRIM(A2847))</f>
        <v/>
      </c>
      <c r="C2847">
        <f>IF(B2847="","",IFERROR(INDEX('Bad Patterns'!$A$2:$A$120,MATCH(1,INDEX(--ISNUMBER(SEARCH('Bad Patterns'!$A$2:$A$120,B2847)),0),0)),""))</f>
        <v/>
      </c>
      <c r="D2847">
        <f>IF(B2847="","",IF(C2847&lt;&gt;"","REMOVE","KEEP"))</f>
        <v/>
      </c>
      <c r="E2847">
        <f>IF(D2847&lt;&gt;"KEEP","",IF(RIGHT(B2847,10)="@gmail.com","Gmail",IF(OR(RIGHT(B2847,12)="@outlook.com",RIGHT(B2847,12)="@hotmail.com",RIGHT(B2847,9)="@live.com"),"Outlook","Domain")))</f>
        <v/>
      </c>
      <c r="F2847">
        <f>IF(B2847="","",IFERROR(RIGHT(B2847,LEN(B2847)-FIND("@",B2847)),""))</f>
        <v/>
      </c>
      <c r="G2847">
        <f>IF(D2847="KEEP",COUNTIF($D$2:D2847,"KEEP"),"")</f>
        <v/>
      </c>
      <c r="H2847">
        <f>IF(D2847="REMOVE",COUNTIF($D$2:D2847,"REMOVE"),"")</f>
        <v/>
      </c>
      <c r="I2847">
        <f>IF(E2847="Gmail",COUNTIF($E$2:E2847,"Gmail"),"")</f>
        <v/>
      </c>
      <c r="J2847">
        <f>IF(E2847="Outlook",COUNTIF($E$2:E2847,"Outlook"),"")</f>
        <v/>
      </c>
      <c r="K2847">
        <f>IF(E2847="Domain",COUNTIF($E$2:E2847,"Domain"),"")</f>
        <v/>
      </c>
    </row>
    <row r="2848">
      <c r="A2848" s="2" t="n"/>
      <c r="B2848">
        <f>LOWER(TRIM(A2848))</f>
        <v/>
      </c>
      <c r="C2848">
        <f>IF(B2848="","",IFERROR(INDEX('Bad Patterns'!$A$2:$A$120,MATCH(1,INDEX(--ISNUMBER(SEARCH('Bad Patterns'!$A$2:$A$120,B2848)),0),0)),""))</f>
        <v/>
      </c>
      <c r="D2848">
        <f>IF(B2848="","",IF(C2848&lt;&gt;"","REMOVE","KEEP"))</f>
        <v/>
      </c>
      <c r="E2848">
        <f>IF(D2848&lt;&gt;"KEEP","",IF(RIGHT(B2848,10)="@gmail.com","Gmail",IF(OR(RIGHT(B2848,12)="@outlook.com",RIGHT(B2848,12)="@hotmail.com",RIGHT(B2848,9)="@live.com"),"Outlook","Domain")))</f>
        <v/>
      </c>
      <c r="F2848">
        <f>IF(B2848="","",IFERROR(RIGHT(B2848,LEN(B2848)-FIND("@",B2848)),""))</f>
        <v/>
      </c>
      <c r="G2848">
        <f>IF(D2848="KEEP",COUNTIF($D$2:D2848,"KEEP"),"")</f>
        <v/>
      </c>
      <c r="H2848">
        <f>IF(D2848="REMOVE",COUNTIF($D$2:D2848,"REMOVE"),"")</f>
        <v/>
      </c>
      <c r="I2848">
        <f>IF(E2848="Gmail",COUNTIF($E$2:E2848,"Gmail"),"")</f>
        <v/>
      </c>
      <c r="J2848">
        <f>IF(E2848="Outlook",COUNTIF($E$2:E2848,"Outlook"),"")</f>
        <v/>
      </c>
      <c r="K2848">
        <f>IF(E2848="Domain",COUNTIF($E$2:E2848,"Domain"),"")</f>
        <v/>
      </c>
    </row>
    <row r="2849">
      <c r="A2849" s="2" t="n"/>
      <c r="B2849">
        <f>LOWER(TRIM(A2849))</f>
        <v/>
      </c>
      <c r="C2849">
        <f>IF(B2849="","",IFERROR(INDEX('Bad Patterns'!$A$2:$A$120,MATCH(1,INDEX(--ISNUMBER(SEARCH('Bad Patterns'!$A$2:$A$120,B2849)),0),0)),""))</f>
        <v/>
      </c>
      <c r="D2849">
        <f>IF(B2849="","",IF(C2849&lt;&gt;"","REMOVE","KEEP"))</f>
        <v/>
      </c>
      <c r="E2849">
        <f>IF(D2849&lt;&gt;"KEEP","",IF(RIGHT(B2849,10)="@gmail.com","Gmail",IF(OR(RIGHT(B2849,12)="@outlook.com",RIGHT(B2849,12)="@hotmail.com",RIGHT(B2849,9)="@live.com"),"Outlook","Domain")))</f>
        <v/>
      </c>
      <c r="F2849">
        <f>IF(B2849="","",IFERROR(RIGHT(B2849,LEN(B2849)-FIND("@",B2849)),""))</f>
        <v/>
      </c>
      <c r="G2849">
        <f>IF(D2849="KEEP",COUNTIF($D$2:D2849,"KEEP"),"")</f>
        <v/>
      </c>
      <c r="H2849">
        <f>IF(D2849="REMOVE",COUNTIF($D$2:D2849,"REMOVE"),"")</f>
        <v/>
      </c>
      <c r="I2849">
        <f>IF(E2849="Gmail",COUNTIF($E$2:E2849,"Gmail"),"")</f>
        <v/>
      </c>
      <c r="J2849">
        <f>IF(E2849="Outlook",COUNTIF($E$2:E2849,"Outlook"),"")</f>
        <v/>
      </c>
      <c r="K2849">
        <f>IF(E2849="Domain",COUNTIF($E$2:E2849,"Domain"),"")</f>
        <v/>
      </c>
    </row>
    <row r="2850">
      <c r="A2850" s="2" t="n"/>
      <c r="B2850">
        <f>LOWER(TRIM(A2850))</f>
        <v/>
      </c>
      <c r="C2850">
        <f>IF(B2850="","",IFERROR(INDEX('Bad Patterns'!$A$2:$A$120,MATCH(1,INDEX(--ISNUMBER(SEARCH('Bad Patterns'!$A$2:$A$120,B2850)),0),0)),""))</f>
        <v/>
      </c>
      <c r="D2850">
        <f>IF(B2850="","",IF(C2850&lt;&gt;"","REMOVE","KEEP"))</f>
        <v/>
      </c>
      <c r="E2850">
        <f>IF(D2850&lt;&gt;"KEEP","",IF(RIGHT(B2850,10)="@gmail.com","Gmail",IF(OR(RIGHT(B2850,12)="@outlook.com",RIGHT(B2850,12)="@hotmail.com",RIGHT(B2850,9)="@live.com"),"Outlook","Domain")))</f>
        <v/>
      </c>
      <c r="F2850">
        <f>IF(B2850="","",IFERROR(RIGHT(B2850,LEN(B2850)-FIND("@",B2850)),""))</f>
        <v/>
      </c>
      <c r="G2850">
        <f>IF(D2850="KEEP",COUNTIF($D$2:D2850,"KEEP"),"")</f>
        <v/>
      </c>
      <c r="H2850">
        <f>IF(D2850="REMOVE",COUNTIF($D$2:D2850,"REMOVE"),"")</f>
        <v/>
      </c>
      <c r="I2850">
        <f>IF(E2850="Gmail",COUNTIF($E$2:E2850,"Gmail"),"")</f>
        <v/>
      </c>
      <c r="J2850">
        <f>IF(E2850="Outlook",COUNTIF($E$2:E2850,"Outlook"),"")</f>
        <v/>
      </c>
      <c r="K2850">
        <f>IF(E2850="Domain",COUNTIF($E$2:E2850,"Domain"),"")</f>
        <v/>
      </c>
    </row>
    <row r="2851">
      <c r="A2851" s="2" t="n"/>
      <c r="B2851">
        <f>LOWER(TRIM(A2851))</f>
        <v/>
      </c>
      <c r="C2851">
        <f>IF(B2851="","",IFERROR(INDEX('Bad Patterns'!$A$2:$A$120,MATCH(1,INDEX(--ISNUMBER(SEARCH('Bad Patterns'!$A$2:$A$120,B2851)),0),0)),""))</f>
        <v/>
      </c>
      <c r="D2851">
        <f>IF(B2851="","",IF(C2851&lt;&gt;"","REMOVE","KEEP"))</f>
        <v/>
      </c>
      <c r="E2851">
        <f>IF(D2851&lt;&gt;"KEEP","",IF(RIGHT(B2851,10)="@gmail.com","Gmail",IF(OR(RIGHT(B2851,12)="@outlook.com",RIGHT(B2851,12)="@hotmail.com",RIGHT(B2851,9)="@live.com"),"Outlook","Domain")))</f>
        <v/>
      </c>
      <c r="F2851">
        <f>IF(B2851="","",IFERROR(RIGHT(B2851,LEN(B2851)-FIND("@",B2851)),""))</f>
        <v/>
      </c>
      <c r="G2851">
        <f>IF(D2851="KEEP",COUNTIF($D$2:D2851,"KEEP"),"")</f>
        <v/>
      </c>
      <c r="H2851">
        <f>IF(D2851="REMOVE",COUNTIF($D$2:D2851,"REMOVE"),"")</f>
        <v/>
      </c>
      <c r="I2851">
        <f>IF(E2851="Gmail",COUNTIF($E$2:E2851,"Gmail"),"")</f>
        <v/>
      </c>
      <c r="J2851">
        <f>IF(E2851="Outlook",COUNTIF($E$2:E2851,"Outlook"),"")</f>
        <v/>
      </c>
      <c r="K2851">
        <f>IF(E2851="Domain",COUNTIF($E$2:E2851,"Domain"),"")</f>
        <v/>
      </c>
    </row>
    <row r="2852">
      <c r="A2852" s="2" t="n"/>
      <c r="B2852">
        <f>LOWER(TRIM(A2852))</f>
        <v/>
      </c>
      <c r="C2852">
        <f>IF(B2852="","",IFERROR(INDEX('Bad Patterns'!$A$2:$A$120,MATCH(1,INDEX(--ISNUMBER(SEARCH('Bad Patterns'!$A$2:$A$120,B2852)),0),0)),""))</f>
        <v/>
      </c>
      <c r="D2852">
        <f>IF(B2852="","",IF(C2852&lt;&gt;"","REMOVE","KEEP"))</f>
        <v/>
      </c>
      <c r="E2852">
        <f>IF(D2852&lt;&gt;"KEEP","",IF(RIGHT(B2852,10)="@gmail.com","Gmail",IF(OR(RIGHT(B2852,12)="@outlook.com",RIGHT(B2852,12)="@hotmail.com",RIGHT(B2852,9)="@live.com"),"Outlook","Domain")))</f>
        <v/>
      </c>
      <c r="F2852">
        <f>IF(B2852="","",IFERROR(RIGHT(B2852,LEN(B2852)-FIND("@",B2852)),""))</f>
        <v/>
      </c>
      <c r="G2852">
        <f>IF(D2852="KEEP",COUNTIF($D$2:D2852,"KEEP"),"")</f>
        <v/>
      </c>
      <c r="H2852">
        <f>IF(D2852="REMOVE",COUNTIF($D$2:D2852,"REMOVE"),"")</f>
        <v/>
      </c>
      <c r="I2852">
        <f>IF(E2852="Gmail",COUNTIF($E$2:E2852,"Gmail"),"")</f>
        <v/>
      </c>
      <c r="J2852">
        <f>IF(E2852="Outlook",COUNTIF($E$2:E2852,"Outlook"),"")</f>
        <v/>
      </c>
      <c r="K2852">
        <f>IF(E2852="Domain",COUNTIF($E$2:E2852,"Domain"),"")</f>
        <v/>
      </c>
    </row>
    <row r="2853">
      <c r="A2853" s="2" t="n"/>
      <c r="B2853">
        <f>LOWER(TRIM(A2853))</f>
        <v/>
      </c>
      <c r="C2853">
        <f>IF(B2853="","",IFERROR(INDEX('Bad Patterns'!$A$2:$A$120,MATCH(1,INDEX(--ISNUMBER(SEARCH('Bad Patterns'!$A$2:$A$120,B2853)),0),0)),""))</f>
        <v/>
      </c>
      <c r="D2853">
        <f>IF(B2853="","",IF(C2853&lt;&gt;"","REMOVE","KEEP"))</f>
        <v/>
      </c>
      <c r="E2853">
        <f>IF(D2853&lt;&gt;"KEEP","",IF(RIGHT(B2853,10)="@gmail.com","Gmail",IF(OR(RIGHT(B2853,12)="@outlook.com",RIGHT(B2853,12)="@hotmail.com",RIGHT(B2853,9)="@live.com"),"Outlook","Domain")))</f>
        <v/>
      </c>
      <c r="F2853">
        <f>IF(B2853="","",IFERROR(RIGHT(B2853,LEN(B2853)-FIND("@",B2853)),""))</f>
        <v/>
      </c>
      <c r="G2853">
        <f>IF(D2853="KEEP",COUNTIF($D$2:D2853,"KEEP"),"")</f>
        <v/>
      </c>
      <c r="H2853">
        <f>IF(D2853="REMOVE",COUNTIF($D$2:D2853,"REMOVE"),"")</f>
        <v/>
      </c>
      <c r="I2853">
        <f>IF(E2853="Gmail",COUNTIF($E$2:E2853,"Gmail"),"")</f>
        <v/>
      </c>
      <c r="J2853">
        <f>IF(E2853="Outlook",COUNTIF($E$2:E2853,"Outlook"),"")</f>
        <v/>
      </c>
      <c r="K2853">
        <f>IF(E2853="Domain",COUNTIF($E$2:E2853,"Domain"),"")</f>
        <v/>
      </c>
    </row>
    <row r="2854">
      <c r="A2854" s="2" t="n"/>
      <c r="B2854">
        <f>LOWER(TRIM(A2854))</f>
        <v/>
      </c>
      <c r="C2854">
        <f>IF(B2854="","",IFERROR(INDEX('Bad Patterns'!$A$2:$A$120,MATCH(1,INDEX(--ISNUMBER(SEARCH('Bad Patterns'!$A$2:$A$120,B2854)),0),0)),""))</f>
        <v/>
      </c>
      <c r="D2854">
        <f>IF(B2854="","",IF(C2854&lt;&gt;"","REMOVE","KEEP"))</f>
        <v/>
      </c>
      <c r="E2854">
        <f>IF(D2854&lt;&gt;"KEEP","",IF(RIGHT(B2854,10)="@gmail.com","Gmail",IF(OR(RIGHT(B2854,12)="@outlook.com",RIGHT(B2854,12)="@hotmail.com",RIGHT(B2854,9)="@live.com"),"Outlook","Domain")))</f>
        <v/>
      </c>
      <c r="F2854">
        <f>IF(B2854="","",IFERROR(RIGHT(B2854,LEN(B2854)-FIND("@",B2854)),""))</f>
        <v/>
      </c>
      <c r="G2854">
        <f>IF(D2854="KEEP",COUNTIF($D$2:D2854,"KEEP"),"")</f>
        <v/>
      </c>
      <c r="H2854">
        <f>IF(D2854="REMOVE",COUNTIF($D$2:D2854,"REMOVE"),"")</f>
        <v/>
      </c>
      <c r="I2854">
        <f>IF(E2854="Gmail",COUNTIF($E$2:E2854,"Gmail"),"")</f>
        <v/>
      </c>
      <c r="J2854">
        <f>IF(E2854="Outlook",COUNTIF($E$2:E2854,"Outlook"),"")</f>
        <v/>
      </c>
      <c r="K2854">
        <f>IF(E2854="Domain",COUNTIF($E$2:E2854,"Domain"),"")</f>
        <v/>
      </c>
    </row>
    <row r="2855">
      <c r="A2855" s="2" t="n"/>
      <c r="B2855">
        <f>LOWER(TRIM(A2855))</f>
        <v/>
      </c>
      <c r="C2855">
        <f>IF(B2855="","",IFERROR(INDEX('Bad Patterns'!$A$2:$A$120,MATCH(1,INDEX(--ISNUMBER(SEARCH('Bad Patterns'!$A$2:$A$120,B2855)),0),0)),""))</f>
        <v/>
      </c>
      <c r="D2855">
        <f>IF(B2855="","",IF(C2855&lt;&gt;"","REMOVE","KEEP"))</f>
        <v/>
      </c>
      <c r="E2855">
        <f>IF(D2855&lt;&gt;"KEEP","",IF(RIGHT(B2855,10)="@gmail.com","Gmail",IF(OR(RIGHT(B2855,12)="@outlook.com",RIGHT(B2855,12)="@hotmail.com",RIGHT(B2855,9)="@live.com"),"Outlook","Domain")))</f>
        <v/>
      </c>
      <c r="F2855">
        <f>IF(B2855="","",IFERROR(RIGHT(B2855,LEN(B2855)-FIND("@",B2855)),""))</f>
        <v/>
      </c>
      <c r="G2855">
        <f>IF(D2855="KEEP",COUNTIF($D$2:D2855,"KEEP"),"")</f>
        <v/>
      </c>
      <c r="H2855">
        <f>IF(D2855="REMOVE",COUNTIF($D$2:D2855,"REMOVE"),"")</f>
        <v/>
      </c>
      <c r="I2855">
        <f>IF(E2855="Gmail",COUNTIF($E$2:E2855,"Gmail"),"")</f>
        <v/>
      </c>
      <c r="J2855">
        <f>IF(E2855="Outlook",COUNTIF($E$2:E2855,"Outlook"),"")</f>
        <v/>
      </c>
      <c r="K2855">
        <f>IF(E2855="Domain",COUNTIF($E$2:E2855,"Domain"),"")</f>
        <v/>
      </c>
    </row>
    <row r="2856">
      <c r="A2856" s="2" t="n"/>
      <c r="B2856">
        <f>LOWER(TRIM(A2856))</f>
        <v/>
      </c>
      <c r="C2856">
        <f>IF(B2856="","",IFERROR(INDEX('Bad Patterns'!$A$2:$A$120,MATCH(1,INDEX(--ISNUMBER(SEARCH('Bad Patterns'!$A$2:$A$120,B2856)),0),0)),""))</f>
        <v/>
      </c>
      <c r="D2856">
        <f>IF(B2856="","",IF(C2856&lt;&gt;"","REMOVE","KEEP"))</f>
        <v/>
      </c>
      <c r="E2856">
        <f>IF(D2856&lt;&gt;"KEEP","",IF(RIGHT(B2856,10)="@gmail.com","Gmail",IF(OR(RIGHT(B2856,12)="@outlook.com",RIGHT(B2856,12)="@hotmail.com",RIGHT(B2856,9)="@live.com"),"Outlook","Domain")))</f>
        <v/>
      </c>
      <c r="F2856">
        <f>IF(B2856="","",IFERROR(RIGHT(B2856,LEN(B2856)-FIND("@",B2856)),""))</f>
        <v/>
      </c>
      <c r="G2856">
        <f>IF(D2856="KEEP",COUNTIF($D$2:D2856,"KEEP"),"")</f>
        <v/>
      </c>
      <c r="H2856">
        <f>IF(D2856="REMOVE",COUNTIF($D$2:D2856,"REMOVE"),"")</f>
        <v/>
      </c>
      <c r="I2856">
        <f>IF(E2856="Gmail",COUNTIF($E$2:E2856,"Gmail"),"")</f>
        <v/>
      </c>
      <c r="J2856">
        <f>IF(E2856="Outlook",COUNTIF($E$2:E2856,"Outlook"),"")</f>
        <v/>
      </c>
      <c r="K2856">
        <f>IF(E2856="Domain",COUNTIF($E$2:E2856,"Domain"),"")</f>
        <v/>
      </c>
    </row>
    <row r="2857">
      <c r="A2857" s="2" t="n"/>
      <c r="B2857">
        <f>LOWER(TRIM(A2857))</f>
        <v/>
      </c>
      <c r="C2857">
        <f>IF(B2857="","",IFERROR(INDEX('Bad Patterns'!$A$2:$A$120,MATCH(1,INDEX(--ISNUMBER(SEARCH('Bad Patterns'!$A$2:$A$120,B2857)),0),0)),""))</f>
        <v/>
      </c>
      <c r="D2857">
        <f>IF(B2857="","",IF(C2857&lt;&gt;"","REMOVE","KEEP"))</f>
        <v/>
      </c>
      <c r="E2857">
        <f>IF(D2857&lt;&gt;"KEEP","",IF(RIGHT(B2857,10)="@gmail.com","Gmail",IF(OR(RIGHT(B2857,12)="@outlook.com",RIGHT(B2857,12)="@hotmail.com",RIGHT(B2857,9)="@live.com"),"Outlook","Domain")))</f>
        <v/>
      </c>
      <c r="F2857">
        <f>IF(B2857="","",IFERROR(RIGHT(B2857,LEN(B2857)-FIND("@",B2857)),""))</f>
        <v/>
      </c>
      <c r="G2857">
        <f>IF(D2857="KEEP",COUNTIF($D$2:D2857,"KEEP"),"")</f>
        <v/>
      </c>
      <c r="H2857">
        <f>IF(D2857="REMOVE",COUNTIF($D$2:D2857,"REMOVE"),"")</f>
        <v/>
      </c>
      <c r="I2857">
        <f>IF(E2857="Gmail",COUNTIF($E$2:E2857,"Gmail"),"")</f>
        <v/>
      </c>
      <c r="J2857">
        <f>IF(E2857="Outlook",COUNTIF($E$2:E2857,"Outlook"),"")</f>
        <v/>
      </c>
      <c r="K2857">
        <f>IF(E2857="Domain",COUNTIF($E$2:E2857,"Domain"),"")</f>
        <v/>
      </c>
    </row>
    <row r="2858">
      <c r="A2858" s="2" t="n"/>
      <c r="B2858">
        <f>LOWER(TRIM(A2858))</f>
        <v/>
      </c>
      <c r="C2858">
        <f>IF(B2858="","",IFERROR(INDEX('Bad Patterns'!$A$2:$A$120,MATCH(1,INDEX(--ISNUMBER(SEARCH('Bad Patterns'!$A$2:$A$120,B2858)),0),0)),""))</f>
        <v/>
      </c>
      <c r="D2858">
        <f>IF(B2858="","",IF(C2858&lt;&gt;"","REMOVE","KEEP"))</f>
        <v/>
      </c>
      <c r="E2858">
        <f>IF(D2858&lt;&gt;"KEEP","",IF(RIGHT(B2858,10)="@gmail.com","Gmail",IF(OR(RIGHT(B2858,12)="@outlook.com",RIGHT(B2858,12)="@hotmail.com",RIGHT(B2858,9)="@live.com"),"Outlook","Domain")))</f>
        <v/>
      </c>
      <c r="F2858">
        <f>IF(B2858="","",IFERROR(RIGHT(B2858,LEN(B2858)-FIND("@",B2858)),""))</f>
        <v/>
      </c>
      <c r="G2858">
        <f>IF(D2858="KEEP",COUNTIF($D$2:D2858,"KEEP"),"")</f>
        <v/>
      </c>
      <c r="H2858">
        <f>IF(D2858="REMOVE",COUNTIF($D$2:D2858,"REMOVE"),"")</f>
        <v/>
      </c>
      <c r="I2858">
        <f>IF(E2858="Gmail",COUNTIF($E$2:E2858,"Gmail"),"")</f>
        <v/>
      </c>
      <c r="J2858">
        <f>IF(E2858="Outlook",COUNTIF($E$2:E2858,"Outlook"),"")</f>
        <v/>
      </c>
      <c r="K2858">
        <f>IF(E2858="Domain",COUNTIF($E$2:E2858,"Domain"),"")</f>
        <v/>
      </c>
    </row>
    <row r="2859">
      <c r="A2859" s="2" t="n"/>
      <c r="B2859">
        <f>LOWER(TRIM(A2859))</f>
        <v/>
      </c>
      <c r="C2859">
        <f>IF(B2859="","",IFERROR(INDEX('Bad Patterns'!$A$2:$A$120,MATCH(1,INDEX(--ISNUMBER(SEARCH('Bad Patterns'!$A$2:$A$120,B2859)),0),0)),""))</f>
        <v/>
      </c>
      <c r="D2859">
        <f>IF(B2859="","",IF(C2859&lt;&gt;"","REMOVE","KEEP"))</f>
        <v/>
      </c>
      <c r="E2859">
        <f>IF(D2859&lt;&gt;"KEEP","",IF(RIGHT(B2859,10)="@gmail.com","Gmail",IF(OR(RIGHT(B2859,12)="@outlook.com",RIGHT(B2859,12)="@hotmail.com",RIGHT(B2859,9)="@live.com"),"Outlook","Domain")))</f>
        <v/>
      </c>
      <c r="F2859">
        <f>IF(B2859="","",IFERROR(RIGHT(B2859,LEN(B2859)-FIND("@",B2859)),""))</f>
        <v/>
      </c>
      <c r="G2859">
        <f>IF(D2859="KEEP",COUNTIF($D$2:D2859,"KEEP"),"")</f>
        <v/>
      </c>
      <c r="H2859">
        <f>IF(D2859="REMOVE",COUNTIF($D$2:D2859,"REMOVE"),"")</f>
        <v/>
      </c>
      <c r="I2859">
        <f>IF(E2859="Gmail",COUNTIF($E$2:E2859,"Gmail"),"")</f>
        <v/>
      </c>
      <c r="J2859">
        <f>IF(E2859="Outlook",COUNTIF($E$2:E2859,"Outlook"),"")</f>
        <v/>
      </c>
      <c r="K2859">
        <f>IF(E2859="Domain",COUNTIF($E$2:E2859,"Domain"),"")</f>
        <v/>
      </c>
    </row>
    <row r="2860">
      <c r="A2860" s="2" t="n"/>
      <c r="B2860">
        <f>LOWER(TRIM(A2860))</f>
        <v/>
      </c>
      <c r="C2860">
        <f>IF(B2860="","",IFERROR(INDEX('Bad Patterns'!$A$2:$A$120,MATCH(1,INDEX(--ISNUMBER(SEARCH('Bad Patterns'!$A$2:$A$120,B2860)),0),0)),""))</f>
        <v/>
      </c>
      <c r="D2860">
        <f>IF(B2860="","",IF(C2860&lt;&gt;"","REMOVE","KEEP"))</f>
        <v/>
      </c>
      <c r="E2860">
        <f>IF(D2860&lt;&gt;"KEEP","",IF(RIGHT(B2860,10)="@gmail.com","Gmail",IF(OR(RIGHT(B2860,12)="@outlook.com",RIGHT(B2860,12)="@hotmail.com",RIGHT(B2860,9)="@live.com"),"Outlook","Domain")))</f>
        <v/>
      </c>
      <c r="F2860">
        <f>IF(B2860="","",IFERROR(RIGHT(B2860,LEN(B2860)-FIND("@",B2860)),""))</f>
        <v/>
      </c>
      <c r="G2860">
        <f>IF(D2860="KEEP",COUNTIF($D$2:D2860,"KEEP"),"")</f>
        <v/>
      </c>
      <c r="H2860">
        <f>IF(D2860="REMOVE",COUNTIF($D$2:D2860,"REMOVE"),"")</f>
        <v/>
      </c>
      <c r="I2860">
        <f>IF(E2860="Gmail",COUNTIF($E$2:E2860,"Gmail"),"")</f>
        <v/>
      </c>
      <c r="J2860">
        <f>IF(E2860="Outlook",COUNTIF($E$2:E2860,"Outlook"),"")</f>
        <v/>
      </c>
      <c r="K2860">
        <f>IF(E2860="Domain",COUNTIF($E$2:E2860,"Domain"),"")</f>
        <v/>
      </c>
    </row>
    <row r="2861">
      <c r="A2861" s="2" t="n"/>
      <c r="B2861">
        <f>LOWER(TRIM(A2861))</f>
        <v/>
      </c>
      <c r="C2861">
        <f>IF(B2861="","",IFERROR(INDEX('Bad Patterns'!$A$2:$A$120,MATCH(1,INDEX(--ISNUMBER(SEARCH('Bad Patterns'!$A$2:$A$120,B2861)),0),0)),""))</f>
        <v/>
      </c>
      <c r="D2861">
        <f>IF(B2861="","",IF(C2861&lt;&gt;"","REMOVE","KEEP"))</f>
        <v/>
      </c>
      <c r="E2861">
        <f>IF(D2861&lt;&gt;"KEEP","",IF(RIGHT(B2861,10)="@gmail.com","Gmail",IF(OR(RIGHT(B2861,12)="@outlook.com",RIGHT(B2861,12)="@hotmail.com",RIGHT(B2861,9)="@live.com"),"Outlook","Domain")))</f>
        <v/>
      </c>
      <c r="F2861">
        <f>IF(B2861="","",IFERROR(RIGHT(B2861,LEN(B2861)-FIND("@",B2861)),""))</f>
        <v/>
      </c>
      <c r="G2861">
        <f>IF(D2861="KEEP",COUNTIF($D$2:D2861,"KEEP"),"")</f>
        <v/>
      </c>
      <c r="H2861">
        <f>IF(D2861="REMOVE",COUNTIF($D$2:D2861,"REMOVE"),"")</f>
        <v/>
      </c>
      <c r="I2861">
        <f>IF(E2861="Gmail",COUNTIF($E$2:E2861,"Gmail"),"")</f>
        <v/>
      </c>
      <c r="J2861">
        <f>IF(E2861="Outlook",COUNTIF($E$2:E2861,"Outlook"),"")</f>
        <v/>
      </c>
      <c r="K2861">
        <f>IF(E2861="Domain",COUNTIF($E$2:E2861,"Domain"),"")</f>
        <v/>
      </c>
    </row>
    <row r="2862">
      <c r="A2862" s="2" t="n"/>
      <c r="B2862">
        <f>LOWER(TRIM(A2862))</f>
        <v/>
      </c>
      <c r="C2862">
        <f>IF(B2862="","",IFERROR(INDEX('Bad Patterns'!$A$2:$A$120,MATCH(1,INDEX(--ISNUMBER(SEARCH('Bad Patterns'!$A$2:$A$120,B2862)),0),0)),""))</f>
        <v/>
      </c>
      <c r="D2862">
        <f>IF(B2862="","",IF(C2862&lt;&gt;"","REMOVE","KEEP"))</f>
        <v/>
      </c>
      <c r="E2862">
        <f>IF(D2862&lt;&gt;"KEEP","",IF(RIGHT(B2862,10)="@gmail.com","Gmail",IF(OR(RIGHT(B2862,12)="@outlook.com",RIGHT(B2862,12)="@hotmail.com",RIGHT(B2862,9)="@live.com"),"Outlook","Domain")))</f>
        <v/>
      </c>
      <c r="F2862">
        <f>IF(B2862="","",IFERROR(RIGHT(B2862,LEN(B2862)-FIND("@",B2862)),""))</f>
        <v/>
      </c>
      <c r="G2862">
        <f>IF(D2862="KEEP",COUNTIF($D$2:D2862,"KEEP"),"")</f>
        <v/>
      </c>
      <c r="H2862">
        <f>IF(D2862="REMOVE",COUNTIF($D$2:D2862,"REMOVE"),"")</f>
        <v/>
      </c>
      <c r="I2862">
        <f>IF(E2862="Gmail",COUNTIF($E$2:E2862,"Gmail"),"")</f>
        <v/>
      </c>
      <c r="J2862">
        <f>IF(E2862="Outlook",COUNTIF($E$2:E2862,"Outlook"),"")</f>
        <v/>
      </c>
      <c r="K2862">
        <f>IF(E2862="Domain",COUNTIF($E$2:E2862,"Domain"),"")</f>
        <v/>
      </c>
    </row>
    <row r="2863">
      <c r="A2863" s="2" t="n"/>
      <c r="B2863">
        <f>LOWER(TRIM(A2863))</f>
        <v/>
      </c>
      <c r="C2863">
        <f>IF(B2863="","",IFERROR(INDEX('Bad Patterns'!$A$2:$A$120,MATCH(1,INDEX(--ISNUMBER(SEARCH('Bad Patterns'!$A$2:$A$120,B2863)),0),0)),""))</f>
        <v/>
      </c>
      <c r="D2863">
        <f>IF(B2863="","",IF(C2863&lt;&gt;"","REMOVE","KEEP"))</f>
        <v/>
      </c>
      <c r="E2863">
        <f>IF(D2863&lt;&gt;"KEEP","",IF(RIGHT(B2863,10)="@gmail.com","Gmail",IF(OR(RIGHT(B2863,12)="@outlook.com",RIGHT(B2863,12)="@hotmail.com",RIGHT(B2863,9)="@live.com"),"Outlook","Domain")))</f>
        <v/>
      </c>
      <c r="F2863">
        <f>IF(B2863="","",IFERROR(RIGHT(B2863,LEN(B2863)-FIND("@",B2863)),""))</f>
        <v/>
      </c>
      <c r="G2863">
        <f>IF(D2863="KEEP",COUNTIF($D$2:D2863,"KEEP"),"")</f>
        <v/>
      </c>
      <c r="H2863">
        <f>IF(D2863="REMOVE",COUNTIF($D$2:D2863,"REMOVE"),"")</f>
        <v/>
      </c>
      <c r="I2863">
        <f>IF(E2863="Gmail",COUNTIF($E$2:E2863,"Gmail"),"")</f>
        <v/>
      </c>
      <c r="J2863">
        <f>IF(E2863="Outlook",COUNTIF($E$2:E2863,"Outlook"),"")</f>
        <v/>
      </c>
      <c r="K2863">
        <f>IF(E2863="Domain",COUNTIF($E$2:E2863,"Domain"),"")</f>
        <v/>
      </c>
    </row>
    <row r="2864">
      <c r="A2864" s="2" t="n"/>
      <c r="B2864">
        <f>LOWER(TRIM(A2864))</f>
        <v/>
      </c>
      <c r="C2864">
        <f>IF(B2864="","",IFERROR(INDEX('Bad Patterns'!$A$2:$A$120,MATCH(1,INDEX(--ISNUMBER(SEARCH('Bad Patterns'!$A$2:$A$120,B2864)),0),0)),""))</f>
        <v/>
      </c>
      <c r="D2864">
        <f>IF(B2864="","",IF(C2864&lt;&gt;"","REMOVE","KEEP"))</f>
        <v/>
      </c>
      <c r="E2864">
        <f>IF(D2864&lt;&gt;"KEEP","",IF(RIGHT(B2864,10)="@gmail.com","Gmail",IF(OR(RIGHT(B2864,12)="@outlook.com",RIGHT(B2864,12)="@hotmail.com",RIGHT(B2864,9)="@live.com"),"Outlook","Domain")))</f>
        <v/>
      </c>
      <c r="F2864">
        <f>IF(B2864="","",IFERROR(RIGHT(B2864,LEN(B2864)-FIND("@",B2864)),""))</f>
        <v/>
      </c>
      <c r="G2864">
        <f>IF(D2864="KEEP",COUNTIF($D$2:D2864,"KEEP"),"")</f>
        <v/>
      </c>
      <c r="H2864">
        <f>IF(D2864="REMOVE",COUNTIF($D$2:D2864,"REMOVE"),"")</f>
        <v/>
      </c>
      <c r="I2864">
        <f>IF(E2864="Gmail",COUNTIF($E$2:E2864,"Gmail"),"")</f>
        <v/>
      </c>
      <c r="J2864">
        <f>IF(E2864="Outlook",COUNTIF($E$2:E2864,"Outlook"),"")</f>
        <v/>
      </c>
      <c r="K2864">
        <f>IF(E2864="Domain",COUNTIF($E$2:E2864,"Domain"),"")</f>
        <v/>
      </c>
    </row>
    <row r="2865">
      <c r="A2865" s="2" t="n"/>
      <c r="B2865">
        <f>LOWER(TRIM(A2865))</f>
        <v/>
      </c>
      <c r="C2865">
        <f>IF(B2865="","",IFERROR(INDEX('Bad Patterns'!$A$2:$A$120,MATCH(1,INDEX(--ISNUMBER(SEARCH('Bad Patterns'!$A$2:$A$120,B2865)),0),0)),""))</f>
        <v/>
      </c>
      <c r="D2865">
        <f>IF(B2865="","",IF(C2865&lt;&gt;"","REMOVE","KEEP"))</f>
        <v/>
      </c>
      <c r="E2865">
        <f>IF(D2865&lt;&gt;"KEEP","",IF(RIGHT(B2865,10)="@gmail.com","Gmail",IF(OR(RIGHT(B2865,12)="@outlook.com",RIGHT(B2865,12)="@hotmail.com",RIGHT(B2865,9)="@live.com"),"Outlook","Domain")))</f>
        <v/>
      </c>
      <c r="F2865">
        <f>IF(B2865="","",IFERROR(RIGHT(B2865,LEN(B2865)-FIND("@",B2865)),""))</f>
        <v/>
      </c>
      <c r="G2865">
        <f>IF(D2865="KEEP",COUNTIF($D$2:D2865,"KEEP"),"")</f>
        <v/>
      </c>
      <c r="H2865">
        <f>IF(D2865="REMOVE",COUNTIF($D$2:D2865,"REMOVE"),"")</f>
        <v/>
      </c>
      <c r="I2865">
        <f>IF(E2865="Gmail",COUNTIF($E$2:E2865,"Gmail"),"")</f>
        <v/>
      </c>
      <c r="J2865">
        <f>IF(E2865="Outlook",COUNTIF($E$2:E2865,"Outlook"),"")</f>
        <v/>
      </c>
      <c r="K2865">
        <f>IF(E2865="Domain",COUNTIF($E$2:E2865,"Domain"),"")</f>
        <v/>
      </c>
    </row>
    <row r="2866">
      <c r="A2866" s="2" t="n"/>
      <c r="B2866">
        <f>LOWER(TRIM(A2866))</f>
        <v/>
      </c>
      <c r="C2866">
        <f>IF(B2866="","",IFERROR(INDEX('Bad Patterns'!$A$2:$A$120,MATCH(1,INDEX(--ISNUMBER(SEARCH('Bad Patterns'!$A$2:$A$120,B2866)),0),0)),""))</f>
        <v/>
      </c>
      <c r="D2866">
        <f>IF(B2866="","",IF(C2866&lt;&gt;"","REMOVE","KEEP"))</f>
        <v/>
      </c>
      <c r="E2866">
        <f>IF(D2866&lt;&gt;"KEEP","",IF(RIGHT(B2866,10)="@gmail.com","Gmail",IF(OR(RIGHT(B2866,12)="@outlook.com",RIGHT(B2866,12)="@hotmail.com",RIGHT(B2866,9)="@live.com"),"Outlook","Domain")))</f>
        <v/>
      </c>
      <c r="F2866">
        <f>IF(B2866="","",IFERROR(RIGHT(B2866,LEN(B2866)-FIND("@",B2866)),""))</f>
        <v/>
      </c>
      <c r="G2866">
        <f>IF(D2866="KEEP",COUNTIF($D$2:D2866,"KEEP"),"")</f>
        <v/>
      </c>
      <c r="H2866">
        <f>IF(D2866="REMOVE",COUNTIF($D$2:D2866,"REMOVE"),"")</f>
        <v/>
      </c>
      <c r="I2866">
        <f>IF(E2866="Gmail",COUNTIF($E$2:E2866,"Gmail"),"")</f>
        <v/>
      </c>
      <c r="J2866">
        <f>IF(E2866="Outlook",COUNTIF($E$2:E2866,"Outlook"),"")</f>
        <v/>
      </c>
      <c r="K2866">
        <f>IF(E2866="Domain",COUNTIF($E$2:E2866,"Domain"),"")</f>
        <v/>
      </c>
    </row>
    <row r="2867">
      <c r="A2867" s="2" t="n"/>
      <c r="B2867">
        <f>LOWER(TRIM(A2867))</f>
        <v/>
      </c>
      <c r="C2867">
        <f>IF(B2867="","",IFERROR(INDEX('Bad Patterns'!$A$2:$A$120,MATCH(1,INDEX(--ISNUMBER(SEARCH('Bad Patterns'!$A$2:$A$120,B2867)),0),0)),""))</f>
        <v/>
      </c>
      <c r="D2867">
        <f>IF(B2867="","",IF(C2867&lt;&gt;"","REMOVE","KEEP"))</f>
        <v/>
      </c>
      <c r="E2867">
        <f>IF(D2867&lt;&gt;"KEEP","",IF(RIGHT(B2867,10)="@gmail.com","Gmail",IF(OR(RIGHT(B2867,12)="@outlook.com",RIGHT(B2867,12)="@hotmail.com",RIGHT(B2867,9)="@live.com"),"Outlook","Domain")))</f>
        <v/>
      </c>
      <c r="F2867">
        <f>IF(B2867="","",IFERROR(RIGHT(B2867,LEN(B2867)-FIND("@",B2867)),""))</f>
        <v/>
      </c>
      <c r="G2867">
        <f>IF(D2867="KEEP",COUNTIF($D$2:D2867,"KEEP"),"")</f>
        <v/>
      </c>
      <c r="H2867">
        <f>IF(D2867="REMOVE",COUNTIF($D$2:D2867,"REMOVE"),"")</f>
        <v/>
      </c>
      <c r="I2867">
        <f>IF(E2867="Gmail",COUNTIF($E$2:E2867,"Gmail"),"")</f>
        <v/>
      </c>
      <c r="J2867">
        <f>IF(E2867="Outlook",COUNTIF($E$2:E2867,"Outlook"),"")</f>
        <v/>
      </c>
      <c r="K2867">
        <f>IF(E2867="Domain",COUNTIF($E$2:E2867,"Domain"),"")</f>
        <v/>
      </c>
    </row>
    <row r="2868">
      <c r="A2868" s="2" t="n"/>
      <c r="B2868">
        <f>LOWER(TRIM(A2868))</f>
        <v/>
      </c>
      <c r="C2868">
        <f>IF(B2868="","",IFERROR(INDEX('Bad Patterns'!$A$2:$A$120,MATCH(1,INDEX(--ISNUMBER(SEARCH('Bad Patterns'!$A$2:$A$120,B2868)),0),0)),""))</f>
        <v/>
      </c>
      <c r="D2868">
        <f>IF(B2868="","",IF(C2868&lt;&gt;"","REMOVE","KEEP"))</f>
        <v/>
      </c>
      <c r="E2868">
        <f>IF(D2868&lt;&gt;"KEEP","",IF(RIGHT(B2868,10)="@gmail.com","Gmail",IF(OR(RIGHT(B2868,12)="@outlook.com",RIGHT(B2868,12)="@hotmail.com",RIGHT(B2868,9)="@live.com"),"Outlook","Domain")))</f>
        <v/>
      </c>
      <c r="F2868">
        <f>IF(B2868="","",IFERROR(RIGHT(B2868,LEN(B2868)-FIND("@",B2868)),""))</f>
        <v/>
      </c>
      <c r="G2868">
        <f>IF(D2868="KEEP",COUNTIF($D$2:D2868,"KEEP"),"")</f>
        <v/>
      </c>
      <c r="H2868">
        <f>IF(D2868="REMOVE",COUNTIF($D$2:D2868,"REMOVE"),"")</f>
        <v/>
      </c>
      <c r="I2868">
        <f>IF(E2868="Gmail",COUNTIF($E$2:E2868,"Gmail"),"")</f>
        <v/>
      </c>
      <c r="J2868">
        <f>IF(E2868="Outlook",COUNTIF($E$2:E2868,"Outlook"),"")</f>
        <v/>
      </c>
      <c r="K2868">
        <f>IF(E2868="Domain",COUNTIF($E$2:E2868,"Domain"),"")</f>
        <v/>
      </c>
    </row>
    <row r="2869">
      <c r="A2869" s="2" t="n"/>
      <c r="B2869">
        <f>LOWER(TRIM(A2869))</f>
        <v/>
      </c>
      <c r="C2869">
        <f>IF(B2869="","",IFERROR(INDEX('Bad Patterns'!$A$2:$A$120,MATCH(1,INDEX(--ISNUMBER(SEARCH('Bad Patterns'!$A$2:$A$120,B2869)),0),0)),""))</f>
        <v/>
      </c>
      <c r="D2869">
        <f>IF(B2869="","",IF(C2869&lt;&gt;"","REMOVE","KEEP"))</f>
        <v/>
      </c>
      <c r="E2869">
        <f>IF(D2869&lt;&gt;"KEEP","",IF(RIGHT(B2869,10)="@gmail.com","Gmail",IF(OR(RIGHT(B2869,12)="@outlook.com",RIGHT(B2869,12)="@hotmail.com",RIGHT(B2869,9)="@live.com"),"Outlook","Domain")))</f>
        <v/>
      </c>
      <c r="F2869">
        <f>IF(B2869="","",IFERROR(RIGHT(B2869,LEN(B2869)-FIND("@",B2869)),""))</f>
        <v/>
      </c>
      <c r="G2869">
        <f>IF(D2869="KEEP",COUNTIF($D$2:D2869,"KEEP"),"")</f>
        <v/>
      </c>
      <c r="H2869">
        <f>IF(D2869="REMOVE",COUNTIF($D$2:D2869,"REMOVE"),"")</f>
        <v/>
      </c>
      <c r="I2869">
        <f>IF(E2869="Gmail",COUNTIF($E$2:E2869,"Gmail"),"")</f>
        <v/>
      </c>
      <c r="J2869">
        <f>IF(E2869="Outlook",COUNTIF($E$2:E2869,"Outlook"),"")</f>
        <v/>
      </c>
      <c r="K2869">
        <f>IF(E2869="Domain",COUNTIF($E$2:E2869,"Domain"),"")</f>
        <v/>
      </c>
    </row>
    <row r="2870">
      <c r="A2870" s="2" t="n"/>
      <c r="B2870">
        <f>LOWER(TRIM(A2870))</f>
        <v/>
      </c>
      <c r="C2870">
        <f>IF(B2870="","",IFERROR(INDEX('Bad Patterns'!$A$2:$A$120,MATCH(1,INDEX(--ISNUMBER(SEARCH('Bad Patterns'!$A$2:$A$120,B2870)),0),0)),""))</f>
        <v/>
      </c>
      <c r="D2870">
        <f>IF(B2870="","",IF(C2870&lt;&gt;"","REMOVE","KEEP"))</f>
        <v/>
      </c>
      <c r="E2870">
        <f>IF(D2870&lt;&gt;"KEEP","",IF(RIGHT(B2870,10)="@gmail.com","Gmail",IF(OR(RIGHT(B2870,12)="@outlook.com",RIGHT(B2870,12)="@hotmail.com",RIGHT(B2870,9)="@live.com"),"Outlook","Domain")))</f>
        <v/>
      </c>
      <c r="F2870">
        <f>IF(B2870="","",IFERROR(RIGHT(B2870,LEN(B2870)-FIND("@",B2870)),""))</f>
        <v/>
      </c>
      <c r="G2870">
        <f>IF(D2870="KEEP",COUNTIF($D$2:D2870,"KEEP"),"")</f>
        <v/>
      </c>
      <c r="H2870">
        <f>IF(D2870="REMOVE",COUNTIF($D$2:D2870,"REMOVE"),"")</f>
        <v/>
      </c>
      <c r="I2870">
        <f>IF(E2870="Gmail",COUNTIF($E$2:E2870,"Gmail"),"")</f>
        <v/>
      </c>
      <c r="J2870">
        <f>IF(E2870="Outlook",COUNTIF($E$2:E2870,"Outlook"),"")</f>
        <v/>
      </c>
      <c r="K2870">
        <f>IF(E2870="Domain",COUNTIF($E$2:E2870,"Domain"),"")</f>
        <v/>
      </c>
    </row>
    <row r="2871">
      <c r="A2871" s="2" t="n"/>
      <c r="B2871">
        <f>LOWER(TRIM(A2871))</f>
        <v/>
      </c>
      <c r="C2871">
        <f>IF(B2871="","",IFERROR(INDEX('Bad Patterns'!$A$2:$A$120,MATCH(1,INDEX(--ISNUMBER(SEARCH('Bad Patterns'!$A$2:$A$120,B2871)),0),0)),""))</f>
        <v/>
      </c>
      <c r="D2871">
        <f>IF(B2871="","",IF(C2871&lt;&gt;"","REMOVE","KEEP"))</f>
        <v/>
      </c>
      <c r="E2871">
        <f>IF(D2871&lt;&gt;"KEEP","",IF(RIGHT(B2871,10)="@gmail.com","Gmail",IF(OR(RIGHT(B2871,12)="@outlook.com",RIGHT(B2871,12)="@hotmail.com",RIGHT(B2871,9)="@live.com"),"Outlook","Domain")))</f>
        <v/>
      </c>
      <c r="F2871">
        <f>IF(B2871="","",IFERROR(RIGHT(B2871,LEN(B2871)-FIND("@",B2871)),""))</f>
        <v/>
      </c>
      <c r="G2871">
        <f>IF(D2871="KEEP",COUNTIF($D$2:D2871,"KEEP"),"")</f>
        <v/>
      </c>
      <c r="H2871">
        <f>IF(D2871="REMOVE",COUNTIF($D$2:D2871,"REMOVE"),"")</f>
        <v/>
      </c>
      <c r="I2871">
        <f>IF(E2871="Gmail",COUNTIF($E$2:E2871,"Gmail"),"")</f>
        <v/>
      </c>
      <c r="J2871">
        <f>IF(E2871="Outlook",COUNTIF($E$2:E2871,"Outlook"),"")</f>
        <v/>
      </c>
      <c r="K2871">
        <f>IF(E2871="Domain",COUNTIF($E$2:E2871,"Domain"),"")</f>
        <v/>
      </c>
    </row>
    <row r="2872">
      <c r="A2872" s="2" t="n"/>
      <c r="B2872">
        <f>LOWER(TRIM(A2872))</f>
        <v/>
      </c>
      <c r="C2872">
        <f>IF(B2872="","",IFERROR(INDEX('Bad Patterns'!$A$2:$A$120,MATCH(1,INDEX(--ISNUMBER(SEARCH('Bad Patterns'!$A$2:$A$120,B2872)),0),0)),""))</f>
        <v/>
      </c>
      <c r="D2872">
        <f>IF(B2872="","",IF(C2872&lt;&gt;"","REMOVE","KEEP"))</f>
        <v/>
      </c>
      <c r="E2872">
        <f>IF(D2872&lt;&gt;"KEEP","",IF(RIGHT(B2872,10)="@gmail.com","Gmail",IF(OR(RIGHT(B2872,12)="@outlook.com",RIGHT(B2872,12)="@hotmail.com",RIGHT(B2872,9)="@live.com"),"Outlook","Domain")))</f>
        <v/>
      </c>
      <c r="F2872">
        <f>IF(B2872="","",IFERROR(RIGHT(B2872,LEN(B2872)-FIND("@",B2872)),""))</f>
        <v/>
      </c>
      <c r="G2872">
        <f>IF(D2872="KEEP",COUNTIF($D$2:D2872,"KEEP"),"")</f>
        <v/>
      </c>
      <c r="H2872">
        <f>IF(D2872="REMOVE",COUNTIF($D$2:D2872,"REMOVE"),"")</f>
        <v/>
      </c>
      <c r="I2872">
        <f>IF(E2872="Gmail",COUNTIF($E$2:E2872,"Gmail"),"")</f>
        <v/>
      </c>
      <c r="J2872">
        <f>IF(E2872="Outlook",COUNTIF($E$2:E2872,"Outlook"),"")</f>
        <v/>
      </c>
      <c r="K2872">
        <f>IF(E2872="Domain",COUNTIF($E$2:E2872,"Domain"),"")</f>
        <v/>
      </c>
    </row>
    <row r="2873">
      <c r="A2873" s="2" t="n"/>
      <c r="B2873">
        <f>LOWER(TRIM(A2873))</f>
        <v/>
      </c>
      <c r="C2873">
        <f>IF(B2873="","",IFERROR(INDEX('Bad Patterns'!$A$2:$A$120,MATCH(1,INDEX(--ISNUMBER(SEARCH('Bad Patterns'!$A$2:$A$120,B2873)),0),0)),""))</f>
        <v/>
      </c>
      <c r="D2873">
        <f>IF(B2873="","",IF(C2873&lt;&gt;"","REMOVE","KEEP"))</f>
        <v/>
      </c>
      <c r="E2873">
        <f>IF(D2873&lt;&gt;"KEEP","",IF(RIGHT(B2873,10)="@gmail.com","Gmail",IF(OR(RIGHT(B2873,12)="@outlook.com",RIGHT(B2873,12)="@hotmail.com",RIGHT(B2873,9)="@live.com"),"Outlook","Domain")))</f>
        <v/>
      </c>
      <c r="F2873">
        <f>IF(B2873="","",IFERROR(RIGHT(B2873,LEN(B2873)-FIND("@",B2873)),""))</f>
        <v/>
      </c>
      <c r="G2873">
        <f>IF(D2873="KEEP",COUNTIF($D$2:D2873,"KEEP"),"")</f>
        <v/>
      </c>
      <c r="H2873">
        <f>IF(D2873="REMOVE",COUNTIF($D$2:D2873,"REMOVE"),"")</f>
        <v/>
      </c>
      <c r="I2873">
        <f>IF(E2873="Gmail",COUNTIF($E$2:E2873,"Gmail"),"")</f>
        <v/>
      </c>
      <c r="J2873">
        <f>IF(E2873="Outlook",COUNTIF($E$2:E2873,"Outlook"),"")</f>
        <v/>
      </c>
      <c r="K2873">
        <f>IF(E2873="Domain",COUNTIF($E$2:E2873,"Domain"),"")</f>
        <v/>
      </c>
    </row>
    <row r="2874">
      <c r="A2874" s="2" t="n"/>
      <c r="B2874">
        <f>LOWER(TRIM(A2874))</f>
        <v/>
      </c>
      <c r="C2874">
        <f>IF(B2874="","",IFERROR(INDEX('Bad Patterns'!$A$2:$A$120,MATCH(1,INDEX(--ISNUMBER(SEARCH('Bad Patterns'!$A$2:$A$120,B2874)),0),0)),""))</f>
        <v/>
      </c>
      <c r="D2874">
        <f>IF(B2874="","",IF(C2874&lt;&gt;"","REMOVE","KEEP"))</f>
        <v/>
      </c>
      <c r="E2874">
        <f>IF(D2874&lt;&gt;"KEEP","",IF(RIGHT(B2874,10)="@gmail.com","Gmail",IF(OR(RIGHT(B2874,12)="@outlook.com",RIGHT(B2874,12)="@hotmail.com",RIGHT(B2874,9)="@live.com"),"Outlook","Domain")))</f>
        <v/>
      </c>
      <c r="F2874">
        <f>IF(B2874="","",IFERROR(RIGHT(B2874,LEN(B2874)-FIND("@",B2874)),""))</f>
        <v/>
      </c>
      <c r="G2874">
        <f>IF(D2874="KEEP",COUNTIF($D$2:D2874,"KEEP"),"")</f>
        <v/>
      </c>
      <c r="H2874">
        <f>IF(D2874="REMOVE",COUNTIF($D$2:D2874,"REMOVE"),"")</f>
        <v/>
      </c>
      <c r="I2874">
        <f>IF(E2874="Gmail",COUNTIF($E$2:E2874,"Gmail"),"")</f>
        <v/>
      </c>
      <c r="J2874">
        <f>IF(E2874="Outlook",COUNTIF($E$2:E2874,"Outlook"),"")</f>
        <v/>
      </c>
      <c r="K2874">
        <f>IF(E2874="Domain",COUNTIF($E$2:E2874,"Domain"),"")</f>
        <v/>
      </c>
    </row>
    <row r="2875">
      <c r="A2875" s="2" t="n"/>
      <c r="B2875">
        <f>LOWER(TRIM(A2875))</f>
        <v/>
      </c>
      <c r="C2875">
        <f>IF(B2875="","",IFERROR(INDEX('Bad Patterns'!$A$2:$A$120,MATCH(1,INDEX(--ISNUMBER(SEARCH('Bad Patterns'!$A$2:$A$120,B2875)),0),0)),""))</f>
        <v/>
      </c>
      <c r="D2875">
        <f>IF(B2875="","",IF(C2875&lt;&gt;"","REMOVE","KEEP"))</f>
        <v/>
      </c>
      <c r="E2875">
        <f>IF(D2875&lt;&gt;"KEEP","",IF(RIGHT(B2875,10)="@gmail.com","Gmail",IF(OR(RIGHT(B2875,12)="@outlook.com",RIGHT(B2875,12)="@hotmail.com",RIGHT(B2875,9)="@live.com"),"Outlook","Domain")))</f>
        <v/>
      </c>
      <c r="F2875">
        <f>IF(B2875="","",IFERROR(RIGHT(B2875,LEN(B2875)-FIND("@",B2875)),""))</f>
        <v/>
      </c>
      <c r="G2875">
        <f>IF(D2875="KEEP",COUNTIF($D$2:D2875,"KEEP"),"")</f>
        <v/>
      </c>
      <c r="H2875">
        <f>IF(D2875="REMOVE",COUNTIF($D$2:D2875,"REMOVE"),"")</f>
        <v/>
      </c>
      <c r="I2875">
        <f>IF(E2875="Gmail",COUNTIF($E$2:E2875,"Gmail"),"")</f>
        <v/>
      </c>
      <c r="J2875">
        <f>IF(E2875="Outlook",COUNTIF($E$2:E2875,"Outlook"),"")</f>
        <v/>
      </c>
      <c r="K2875">
        <f>IF(E2875="Domain",COUNTIF($E$2:E2875,"Domain"),"")</f>
        <v/>
      </c>
    </row>
    <row r="2876">
      <c r="A2876" s="2" t="n"/>
      <c r="B2876">
        <f>LOWER(TRIM(A2876))</f>
        <v/>
      </c>
      <c r="C2876">
        <f>IF(B2876="","",IFERROR(INDEX('Bad Patterns'!$A$2:$A$120,MATCH(1,INDEX(--ISNUMBER(SEARCH('Bad Patterns'!$A$2:$A$120,B2876)),0),0)),""))</f>
        <v/>
      </c>
      <c r="D2876">
        <f>IF(B2876="","",IF(C2876&lt;&gt;"","REMOVE","KEEP"))</f>
        <v/>
      </c>
      <c r="E2876">
        <f>IF(D2876&lt;&gt;"KEEP","",IF(RIGHT(B2876,10)="@gmail.com","Gmail",IF(OR(RIGHT(B2876,12)="@outlook.com",RIGHT(B2876,12)="@hotmail.com",RIGHT(B2876,9)="@live.com"),"Outlook","Domain")))</f>
        <v/>
      </c>
      <c r="F2876">
        <f>IF(B2876="","",IFERROR(RIGHT(B2876,LEN(B2876)-FIND("@",B2876)),""))</f>
        <v/>
      </c>
      <c r="G2876">
        <f>IF(D2876="KEEP",COUNTIF($D$2:D2876,"KEEP"),"")</f>
        <v/>
      </c>
      <c r="H2876">
        <f>IF(D2876="REMOVE",COUNTIF($D$2:D2876,"REMOVE"),"")</f>
        <v/>
      </c>
      <c r="I2876">
        <f>IF(E2876="Gmail",COUNTIF($E$2:E2876,"Gmail"),"")</f>
        <v/>
      </c>
      <c r="J2876">
        <f>IF(E2876="Outlook",COUNTIF($E$2:E2876,"Outlook"),"")</f>
        <v/>
      </c>
      <c r="K2876">
        <f>IF(E2876="Domain",COUNTIF($E$2:E2876,"Domain"),"")</f>
        <v/>
      </c>
    </row>
    <row r="2877">
      <c r="A2877" s="2" t="n"/>
      <c r="B2877">
        <f>LOWER(TRIM(A2877))</f>
        <v/>
      </c>
      <c r="C2877">
        <f>IF(B2877="","",IFERROR(INDEX('Bad Patterns'!$A$2:$A$120,MATCH(1,INDEX(--ISNUMBER(SEARCH('Bad Patterns'!$A$2:$A$120,B2877)),0),0)),""))</f>
        <v/>
      </c>
      <c r="D2877">
        <f>IF(B2877="","",IF(C2877&lt;&gt;"","REMOVE","KEEP"))</f>
        <v/>
      </c>
      <c r="E2877">
        <f>IF(D2877&lt;&gt;"KEEP","",IF(RIGHT(B2877,10)="@gmail.com","Gmail",IF(OR(RIGHT(B2877,12)="@outlook.com",RIGHT(B2877,12)="@hotmail.com",RIGHT(B2877,9)="@live.com"),"Outlook","Domain")))</f>
        <v/>
      </c>
      <c r="F2877">
        <f>IF(B2877="","",IFERROR(RIGHT(B2877,LEN(B2877)-FIND("@",B2877)),""))</f>
        <v/>
      </c>
      <c r="G2877">
        <f>IF(D2877="KEEP",COUNTIF($D$2:D2877,"KEEP"),"")</f>
        <v/>
      </c>
      <c r="H2877">
        <f>IF(D2877="REMOVE",COUNTIF($D$2:D2877,"REMOVE"),"")</f>
        <v/>
      </c>
      <c r="I2877">
        <f>IF(E2877="Gmail",COUNTIF($E$2:E2877,"Gmail"),"")</f>
        <v/>
      </c>
      <c r="J2877">
        <f>IF(E2877="Outlook",COUNTIF($E$2:E2877,"Outlook"),"")</f>
        <v/>
      </c>
      <c r="K2877">
        <f>IF(E2877="Domain",COUNTIF($E$2:E2877,"Domain"),"")</f>
        <v/>
      </c>
    </row>
    <row r="2878">
      <c r="A2878" s="2" t="n"/>
      <c r="B2878">
        <f>LOWER(TRIM(A2878))</f>
        <v/>
      </c>
      <c r="C2878">
        <f>IF(B2878="","",IFERROR(INDEX('Bad Patterns'!$A$2:$A$120,MATCH(1,INDEX(--ISNUMBER(SEARCH('Bad Patterns'!$A$2:$A$120,B2878)),0),0)),""))</f>
        <v/>
      </c>
      <c r="D2878">
        <f>IF(B2878="","",IF(C2878&lt;&gt;"","REMOVE","KEEP"))</f>
        <v/>
      </c>
      <c r="E2878">
        <f>IF(D2878&lt;&gt;"KEEP","",IF(RIGHT(B2878,10)="@gmail.com","Gmail",IF(OR(RIGHT(B2878,12)="@outlook.com",RIGHT(B2878,12)="@hotmail.com",RIGHT(B2878,9)="@live.com"),"Outlook","Domain")))</f>
        <v/>
      </c>
      <c r="F2878">
        <f>IF(B2878="","",IFERROR(RIGHT(B2878,LEN(B2878)-FIND("@",B2878)),""))</f>
        <v/>
      </c>
      <c r="G2878">
        <f>IF(D2878="KEEP",COUNTIF($D$2:D2878,"KEEP"),"")</f>
        <v/>
      </c>
      <c r="H2878">
        <f>IF(D2878="REMOVE",COUNTIF($D$2:D2878,"REMOVE"),"")</f>
        <v/>
      </c>
      <c r="I2878">
        <f>IF(E2878="Gmail",COUNTIF($E$2:E2878,"Gmail"),"")</f>
        <v/>
      </c>
      <c r="J2878">
        <f>IF(E2878="Outlook",COUNTIF($E$2:E2878,"Outlook"),"")</f>
        <v/>
      </c>
      <c r="K2878">
        <f>IF(E2878="Domain",COUNTIF($E$2:E2878,"Domain"),"")</f>
        <v/>
      </c>
    </row>
    <row r="2879">
      <c r="A2879" s="2" t="n"/>
      <c r="B2879">
        <f>LOWER(TRIM(A2879))</f>
        <v/>
      </c>
      <c r="C2879">
        <f>IF(B2879="","",IFERROR(INDEX('Bad Patterns'!$A$2:$A$120,MATCH(1,INDEX(--ISNUMBER(SEARCH('Bad Patterns'!$A$2:$A$120,B2879)),0),0)),""))</f>
        <v/>
      </c>
      <c r="D2879">
        <f>IF(B2879="","",IF(C2879&lt;&gt;"","REMOVE","KEEP"))</f>
        <v/>
      </c>
      <c r="E2879">
        <f>IF(D2879&lt;&gt;"KEEP","",IF(RIGHT(B2879,10)="@gmail.com","Gmail",IF(OR(RIGHT(B2879,12)="@outlook.com",RIGHT(B2879,12)="@hotmail.com",RIGHT(B2879,9)="@live.com"),"Outlook","Domain")))</f>
        <v/>
      </c>
      <c r="F2879">
        <f>IF(B2879="","",IFERROR(RIGHT(B2879,LEN(B2879)-FIND("@",B2879)),""))</f>
        <v/>
      </c>
      <c r="G2879">
        <f>IF(D2879="KEEP",COUNTIF($D$2:D2879,"KEEP"),"")</f>
        <v/>
      </c>
      <c r="H2879">
        <f>IF(D2879="REMOVE",COUNTIF($D$2:D2879,"REMOVE"),"")</f>
        <v/>
      </c>
      <c r="I2879">
        <f>IF(E2879="Gmail",COUNTIF($E$2:E2879,"Gmail"),"")</f>
        <v/>
      </c>
      <c r="J2879">
        <f>IF(E2879="Outlook",COUNTIF($E$2:E2879,"Outlook"),"")</f>
        <v/>
      </c>
      <c r="K2879">
        <f>IF(E2879="Domain",COUNTIF($E$2:E2879,"Domain"),"")</f>
        <v/>
      </c>
    </row>
    <row r="2880">
      <c r="A2880" s="2" t="n"/>
      <c r="B2880">
        <f>LOWER(TRIM(A2880))</f>
        <v/>
      </c>
      <c r="C2880">
        <f>IF(B2880="","",IFERROR(INDEX('Bad Patterns'!$A$2:$A$120,MATCH(1,INDEX(--ISNUMBER(SEARCH('Bad Patterns'!$A$2:$A$120,B2880)),0),0)),""))</f>
        <v/>
      </c>
      <c r="D2880">
        <f>IF(B2880="","",IF(C2880&lt;&gt;"","REMOVE","KEEP"))</f>
        <v/>
      </c>
      <c r="E2880">
        <f>IF(D2880&lt;&gt;"KEEP","",IF(RIGHT(B2880,10)="@gmail.com","Gmail",IF(OR(RIGHT(B2880,12)="@outlook.com",RIGHT(B2880,12)="@hotmail.com",RIGHT(B2880,9)="@live.com"),"Outlook","Domain")))</f>
        <v/>
      </c>
      <c r="F2880">
        <f>IF(B2880="","",IFERROR(RIGHT(B2880,LEN(B2880)-FIND("@",B2880)),""))</f>
        <v/>
      </c>
      <c r="G2880">
        <f>IF(D2880="KEEP",COUNTIF($D$2:D2880,"KEEP"),"")</f>
        <v/>
      </c>
      <c r="H2880">
        <f>IF(D2880="REMOVE",COUNTIF($D$2:D2880,"REMOVE"),"")</f>
        <v/>
      </c>
      <c r="I2880">
        <f>IF(E2880="Gmail",COUNTIF($E$2:E2880,"Gmail"),"")</f>
        <v/>
      </c>
      <c r="J2880">
        <f>IF(E2880="Outlook",COUNTIF($E$2:E2880,"Outlook"),"")</f>
        <v/>
      </c>
      <c r="K2880">
        <f>IF(E2880="Domain",COUNTIF($E$2:E2880,"Domain"),"")</f>
        <v/>
      </c>
    </row>
    <row r="2881">
      <c r="A2881" s="2" t="n"/>
      <c r="B2881">
        <f>LOWER(TRIM(A2881))</f>
        <v/>
      </c>
      <c r="C2881">
        <f>IF(B2881="","",IFERROR(INDEX('Bad Patterns'!$A$2:$A$120,MATCH(1,INDEX(--ISNUMBER(SEARCH('Bad Patterns'!$A$2:$A$120,B2881)),0),0)),""))</f>
        <v/>
      </c>
      <c r="D2881">
        <f>IF(B2881="","",IF(C2881&lt;&gt;"","REMOVE","KEEP"))</f>
        <v/>
      </c>
      <c r="E2881">
        <f>IF(D2881&lt;&gt;"KEEP","",IF(RIGHT(B2881,10)="@gmail.com","Gmail",IF(OR(RIGHT(B2881,12)="@outlook.com",RIGHT(B2881,12)="@hotmail.com",RIGHT(B2881,9)="@live.com"),"Outlook","Domain")))</f>
        <v/>
      </c>
      <c r="F2881">
        <f>IF(B2881="","",IFERROR(RIGHT(B2881,LEN(B2881)-FIND("@",B2881)),""))</f>
        <v/>
      </c>
      <c r="G2881">
        <f>IF(D2881="KEEP",COUNTIF($D$2:D2881,"KEEP"),"")</f>
        <v/>
      </c>
      <c r="H2881">
        <f>IF(D2881="REMOVE",COUNTIF($D$2:D2881,"REMOVE"),"")</f>
        <v/>
      </c>
      <c r="I2881">
        <f>IF(E2881="Gmail",COUNTIF($E$2:E2881,"Gmail"),"")</f>
        <v/>
      </c>
      <c r="J2881">
        <f>IF(E2881="Outlook",COUNTIF($E$2:E2881,"Outlook"),"")</f>
        <v/>
      </c>
      <c r="K2881">
        <f>IF(E2881="Domain",COUNTIF($E$2:E2881,"Domain"),"")</f>
        <v/>
      </c>
    </row>
    <row r="2882">
      <c r="A2882" s="2" t="n"/>
      <c r="B2882">
        <f>LOWER(TRIM(A2882))</f>
        <v/>
      </c>
      <c r="C2882">
        <f>IF(B2882="","",IFERROR(INDEX('Bad Patterns'!$A$2:$A$120,MATCH(1,INDEX(--ISNUMBER(SEARCH('Bad Patterns'!$A$2:$A$120,B2882)),0),0)),""))</f>
        <v/>
      </c>
      <c r="D2882">
        <f>IF(B2882="","",IF(C2882&lt;&gt;"","REMOVE","KEEP"))</f>
        <v/>
      </c>
      <c r="E2882">
        <f>IF(D2882&lt;&gt;"KEEP","",IF(RIGHT(B2882,10)="@gmail.com","Gmail",IF(OR(RIGHT(B2882,12)="@outlook.com",RIGHT(B2882,12)="@hotmail.com",RIGHT(B2882,9)="@live.com"),"Outlook","Domain")))</f>
        <v/>
      </c>
      <c r="F2882">
        <f>IF(B2882="","",IFERROR(RIGHT(B2882,LEN(B2882)-FIND("@",B2882)),""))</f>
        <v/>
      </c>
      <c r="G2882">
        <f>IF(D2882="KEEP",COUNTIF($D$2:D2882,"KEEP"),"")</f>
        <v/>
      </c>
      <c r="H2882">
        <f>IF(D2882="REMOVE",COUNTIF($D$2:D2882,"REMOVE"),"")</f>
        <v/>
      </c>
      <c r="I2882">
        <f>IF(E2882="Gmail",COUNTIF($E$2:E2882,"Gmail"),"")</f>
        <v/>
      </c>
      <c r="J2882">
        <f>IF(E2882="Outlook",COUNTIF($E$2:E2882,"Outlook"),"")</f>
        <v/>
      </c>
      <c r="K2882">
        <f>IF(E2882="Domain",COUNTIF($E$2:E2882,"Domain"),"")</f>
        <v/>
      </c>
    </row>
    <row r="2883">
      <c r="A2883" s="2" t="n"/>
      <c r="B2883">
        <f>LOWER(TRIM(A2883))</f>
        <v/>
      </c>
      <c r="C2883">
        <f>IF(B2883="","",IFERROR(INDEX('Bad Patterns'!$A$2:$A$120,MATCH(1,INDEX(--ISNUMBER(SEARCH('Bad Patterns'!$A$2:$A$120,B2883)),0),0)),""))</f>
        <v/>
      </c>
      <c r="D2883">
        <f>IF(B2883="","",IF(C2883&lt;&gt;"","REMOVE","KEEP"))</f>
        <v/>
      </c>
      <c r="E2883">
        <f>IF(D2883&lt;&gt;"KEEP","",IF(RIGHT(B2883,10)="@gmail.com","Gmail",IF(OR(RIGHT(B2883,12)="@outlook.com",RIGHT(B2883,12)="@hotmail.com",RIGHT(B2883,9)="@live.com"),"Outlook","Domain")))</f>
        <v/>
      </c>
      <c r="F2883">
        <f>IF(B2883="","",IFERROR(RIGHT(B2883,LEN(B2883)-FIND("@",B2883)),""))</f>
        <v/>
      </c>
      <c r="G2883">
        <f>IF(D2883="KEEP",COUNTIF($D$2:D2883,"KEEP"),"")</f>
        <v/>
      </c>
      <c r="H2883">
        <f>IF(D2883="REMOVE",COUNTIF($D$2:D2883,"REMOVE"),"")</f>
        <v/>
      </c>
      <c r="I2883">
        <f>IF(E2883="Gmail",COUNTIF($E$2:E2883,"Gmail"),"")</f>
        <v/>
      </c>
      <c r="J2883">
        <f>IF(E2883="Outlook",COUNTIF($E$2:E2883,"Outlook"),"")</f>
        <v/>
      </c>
      <c r="K2883">
        <f>IF(E2883="Domain",COUNTIF($E$2:E2883,"Domain"),"")</f>
        <v/>
      </c>
    </row>
    <row r="2884">
      <c r="A2884" s="2" t="n"/>
      <c r="B2884">
        <f>LOWER(TRIM(A2884))</f>
        <v/>
      </c>
      <c r="C2884">
        <f>IF(B2884="","",IFERROR(INDEX('Bad Patterns'!$A$2:$A$120,MATCH(1,INDEX(--ISNUMBER(SEARCH('Bad Patterns'!$A$2:$A$120,B2884)),0),0)),""))</f>
        <v/>
      </c>
      <c r="D2884">
        <f>IF(B2884="","",IF(C2884&lt;&gt;"","REMOVE","KEEP"))</f>
        <v/>
      </c>
      <c r="E2884">
        <f>IF(D2884&lt;&gt;"KEEP","",IF(RIGHT(B2884,10)="@gmail.com","Gmail",IF(OR(RIGHT(B2884,12)="@outlook.com",RIGHT(B2884,12)="@hotmail.com",RIGHT(B2884,9)="@live.com"),"Outlook","Domain")))</f>
        <v/>
      </c>
      <c r="F2884">
        <f>IF(B2884="","",IFERROR(RIGHT(B2884,LEN(B2884)-FIND("@",B2884)),""))</f>
        <v/>
      </c>
      <c r="G2884">
        <f>IF(D2884="KEEP",COUNTIF($D$2:D2884,"KEEP"),"")</f>
        <v/>
      </c>
      <c r="H2884">
        <f>IF(D2884="REMOVE",COUNTIF($D$2:D2884,"REMOVE"),"")</f>
        <v/>
      </c>
      <c r="I2884">
        <f>IF(E2884="Gmail",COUNTIF($E$2:E2884,"Gmail"),"")</f>
        <v/>
      </c>
      <c r="J2884">
        <f>IF(E2884="Outlook",COUNTIF($E$2:E2884,"Outlook"),"")</f>
        <v/>
      </c>
      <c r="K2884">
        <f>IF(E2884="Domain",COUNTIF($E$2:E2884,"Domain"),"")</f>
        <v/>
      </c>
    </row>
    <row r="2885">
      <c r="A2885" s="2" t="n"/>
      <c r="B2885">
        <f>LOWER(TRIM(A2885))</f>
        <v/>
      </c>
      <c r="C2885">
        <f>IF(B2885="","",IFERROR(INDEX('Bad Patterns'!$A$2:$A$120,MATCH(1,INDEX(--ISNUMBER(SEARCH('Bad Patterns'!$A$2:$A$120,B2885)),0),0)),""))</f>
        <v/>
      </c>
      <c r="D2885">
        <f>IF(B2885="","",IF(C2885&lt;&gt;"","REMOVE","KEEP"))</f>
        <v/>
      </c>
      <c r="E2885">
        <f>IF(D2885&lt;&gt;"KEEP","",IF(RIGHT(B2885,10)="@gmail.com","Gmail",IF(OR(RIGHT(B2885,12)="@outlook.com",RIGHT(B2885,12)="@hotmail.com",RIGHT(B2885,9)="@live.com"),"Outlook","Domain")))</f>
        <v/>
      </c>
      <c r="F2885">
        <f>IF(B2885="","",IFERROR(RIGHT(B2885,LEN(B2885)-FIND("@",B2885)),""))</f>
        <v/>
      </c>
      <c r="G2885">
        <f>IF(D2885="KEEP",COUNTIF($D$2:D2885,"KEEP"),"")</f>
        <v/>
      </c>
      <c r="H2885">
        <f>IF(D2885="REMOVE",COUNTIF($D$2:D2885,"REMOVE"),"")</f>
        <v/>
      </c>
      <c r="I2885">
        <f>IF(E2885="Gmail",COUNTIF($E$2:E2885,"Gmail"),"")</f>
        <v/>
      </c>
      <c r="J2885">
        <f>IF(E2885="Outlook",COUNTIF($E$2:E2885,"Outlook"),"")</f>
        <v/>
      </c>
      <c r="K2885">
        <f>IF(E2885="Domain",COUNTIF($E$2:E2885,"Domain"),"")</f>
        <v/>
      </c>
    </row>
    <row r="2886">
      <c r="A2886" s="2" t="n"/>
      <c r="B2886">
        <f>LOWER(TRIM(A2886))</f>
        <v/>
      </c>
      <c r="C2886">
        <f>IF(B2886="","",IFERROR(INDEX('Bad Patterns'!$A$2:$A$120,MATCH(1,INDEX(--ISNUMBER(SEARCH('Bad Patterns'!$A$2:$A$120,B2886)),0),0)),""))</f>
        <v/>
      </c>
      <c r="D2886">
        <f>IF(B2886="","",IF(C2886&lt;&gt;"","REMOVE","KEEP"))</f>
        <v/>
      </c>
      <c r="E2886">
        <f>IF(D2886&lt;&gt;"KEEP","",IF(RIGHT(B2886,10)="@gmail.com","Gmail",IF(OR(RIGHT(B2886,12)="@outlook.com",RIGHT(B2886,12)="@hotmail.com",RIGHT(B2886,9)="@live.com"),"Outlook","Domain")))</f>
        <v/>
      </c>
      <c r="F2886">
        <f>IF(B2886="","",IFERROR(RIGHT(B2886,LEN(B2886)-FIND("@",B2886)),""))</f>
        <v/>
      </c>
      <c r="G2886">
        <f>IF(D2886="KEEP",COUNTIF($D$2:D2886,"KEEP"),"")</f>
        <v/>
      </c>
      <c r="H2886">
        <f>IF(D2886="REMOVE",COUNTIF($D$2:D2886,"REMOVE"),"")</f>
        <v/>
      </c>
      <c r="I2886">
        <f>IF(E2886="Gmail",COUNTIF($E$2:E2886,"Gmail"),"")</f>
        <v/>
      </c>
      <c r="J2886">
        <f>IF(E2886="Outlook",COUNTIF($E$2:E2886,"Outlook"),"")</f>
        <v/>
      </c>
      <c r="K2886">
        <f>IF(E2886="Domain",COUNTIF($E$2:E2886,"Domain"),"")</f>
        <v/>
      </c>
    </row>
    <row r="2887">
      <c r="A2887" s="2" t="n"/>
      <c r="B2887">
        <f>LOWER(TRIM(A2887))</f>
        <v/>
      </c>
      <c r="C2887">
        <f>IF(B2887="","",IFERROR(INDEX('Bad Patterns'!$A$2:$A$120,MATCH(1,INDEX(--ISNUMBER(SEARCH('Bad Patterns'!$A$2:$A$120,B2887)),0),0)),""))</f>
        <v/>
      </c>
      <c r="D2887">
        <f>IF(B2887="","",IF(C2887&lt;&gt;"","REMOVE","KEEP"))</f>
        <v/>
      </c>
      <c r="E2887">
        <f>IF(D2887&lt;&gt;"KEEP","",IF(RIGHT(B2887,10)="@gmail.com","Gmail",IF(OR(RIGHT(B2887,12)="@outlook.com",RIGHT(B2887,12)="@hotmail.com",RIGHT(B2887,9)="@live.com"),"Outlook","Domain")))</f>
        <v/>
      </c>
      <c r="F2887">
        <f>IF(B2887="","",IFERROR(RIGHT(B2887,LEN(B2887)-FIND("@",B2887)),""))</f>
        <v/>
      </c>
      <c r="G2887">
        <f>IF(D2887="KEEP",COUNTIF($D$2:D2887,"KEEP"),"")</f>
        <v/>
      </c>
      <c r="H2887">
        <f>IF(D2887="REMOVE",COUNTIF($D$2:D2887,"REMOVE"),"")</f>
        <v/>
      </c>
      <c r="I2887">
        <f>IF(E2887="Gmail",COUNTIF($E$2:E2887,"Gmail"),"")</f>
        <v/>
      </c>
      <c r="J2887">
        <f>IF(E2887="Outlook",COUNTIF($E$2:E2887,"Outlook"),"")</f>
        <v/>
      </c>
      <c r="K2887">
        <f>IF(E2887="Domain",COUNTIF($E$2:E2887,"Domain"),"")</f>
        <v/>
      </c>
    </row>
    <row r="2888">
      <c r="A2888" s="2" t="n"/>
      <c r="B2888">
        <f>LOWER(TRIM(A2888))</f>
        <v/>
      </c>
      <c r="C2888">
        <f>IF(B2888="","",IFERROR(INDEX('Bad Patterns'!$A$2:$A$120,MATCH(1,INDEX(--ISNUMBER(SEARCH('Bad Patterns'!$A$2:$A$120,B2888)),0),0)),""))</f>
        <v/>
      </c>
      <c r="D2888">
        <f>IF(B2888="","",IF(C2888&lt;&gt;"","REMOVE","KEEP"))</f>
        <v/>
      </c>
      <c r="E2888">
        <f>IF(D2888&lt;&gt;"KEEP","",IF(RIGHT(B2888,10)="@gmail.com","Gmail",IF(OR(RIGHT(B2888,12)="@outlook.com",RIGHT(B2888,12)="@hotmail.com",RIGHT(B2888,9)="@live.com"),"Outlook","Domain")))</f>
        <v/>
      </c>
      <c r="F2888">
        <f>IF(B2888="","",IFERROR(RIGHT(B2888,LEN(B2888)-FIND("@",B2888)),""))</f>
        <v/>
      </c>
      <c r="G2888">
        <f>IF(D2888="KEEP",COUNTIF($D$2:D2888,"KEEP"),"")</f>
        <v/>
      </c>
      <c r="H2888">
        <f>IF(D2888="REMOVE",COUNTIF($D$2:D2888,"REMOVE"),"")</f>
        <v/>
      </c>
      <c r="I2888">
        <f>IF(E2888="Gmail",COUNTIF($E$2:E2888,"Gmail"),"")</f>
        <v/>
      </c>
      <c r="J2888">
        <f>IF(E2888="Outlook",COUNTIF($E$2:E2888,"Outlook"),"")</f>
        <v/>
      </c>
      <c r="K2888">
        <f>IF(E2888="Domain",COUNTIF($E$2:E2888,"Domain"),"")</f>
        <v/>
      </c>
    </row>
    <row r="2889">
      <c r="A2889" s="2" t="n"/>
      <c r="B2889">
        <f>LOWER(TRIM(A2889))</f>
        <v/>
      </c>
      <c r="C2889">
        <f>IF(B2889="","",IFERROR(INDEX('Bad Patterns'!$A$2:$A$120,MATCH(1,INDEX(--ISNUMBER(SEARCH('Bad Patterns'!$A$2:$A$120,B2889)),0),0)),""))</f>
        <v/>
      </c>
      <c r="D2889">
        <f>IF(B2889="","",IF(C2889&lt;&gt;"","REMOVE","KEEP"))</f>
        <v/>
      </c>
      <c r="E2889">
        <f>IF(D2889&lt;&gt;"KEEP","",IF(RIGHT(B2889,10)="@gmail.com","Gmail",IF(OR(RIGHT(B2889,12)="@outlook.com",RIGHT(B2889,12)="@hotmail.com",RIGHT(B2889,9)="@live.com"),"Outlook","Domain")))</f>
        <v/>
      </c>
      <c r="F2889">
        <f>IF(B2889="","",IFERROR(RIGHT(B2889,LEN(B2889)-FIND("@",B2889)),""))</f>
        <v/>
      </c>
      <c r="G2889">
        <f>IF(D2889="KEEP",COUNTIF($D$2:D2889,"KEEP"),"")</f>
        <v/>
      </c>
      <c r="H2889">
        <f>IF(D2889="REMOVE",COUNTIF($D$2:D2889,"REMOVE"),"")</f>
        <v/>
      </c>
      <c r="I2889">
        <f>IF(E2889="Gmail",COUNTIF($E$2:E2889,"Gmail"),"")</f>
        <v/>
      </c>
      <c r="J2889">
        <f>IF(E2889="Outlook",COUNTIF($E$2:E2889,"Outlook"),"")</f>
        <v/>
      </c>
      <c r="K2889">
        <f>IF(E2889="Domain",COUNTIF($E$2:E2889,"Domain"),"")</f>
        <v/>
      </c>
    </row>
    <row r="2890">
      <c r="A2890" s="2" t="n"/>
      <c r="B2890">
        <f>LOWER(TRIM(A2890))</f>
        <v/>
      </c>
      <c r="C2890">
        <f>IF(B2890="","",IFERROR(INDEX('Bad Patterns'!$A$2:$A$120,MATCH(1,INDEX(--ISNUMBER(SEARCH('Bad Patterns'!$A$2:$A$120,B2890)),0),0)),""))</f>
        <v/>
      </c>
      <c r="D2890">
        <f>IF(B2890="","",IF(C2890&lt;&gt;"","REMOVE","KEEP"))</f>
        <v/>
      </c>
      <c r="E2890">
        <f>IF(D2890&lt;&gt;"KEEP","",IF(RIGHT(B2890,10)="@gmail.com","Gmail",IF(OR(RIGHT(B2890,12)="@outlook.com",RIGHT(B2890,12)="@hotmail.com",RIGHT(B2890,9)="@live.com"),"Outlook","Domain")))</f>
        <v/>
      </c>
      <c r="F2890">
        <f>IF(B2890="","",IFERROR(RIGHT(B2890,LEN(B2890)-FIND("@",B2890)),""))</f>
        <v/>
      </c>
      <c r="G2890">
        <f>IF(D2890="KEEP",COUNTIF($D$2:D2890,"KEEP"),"")</f>
        <v/>
      </c>
      <c r="H2890">
        <f>IF(D2890="REMOVE",COUNTIF($D$2:D2890,"REMOVE"),"")</f>
        <v/>
      </c>
      <c r="I2890">
        <f>IF(E2890="Gmail",COUNTIF($E$2:E2890,"Gmail"),"")</f>
        <v/>
      </c>
      <c r="J2890">
        <f>IF(E2890="Outlook",COUNTIF($E$2:E2890,"Outlook"),"")</f>
        <v/>
      </c>
      <c r="K2890">
        <f>IF(E2890="Domain",COUNTIF($E$2:E2890,"Domain"),"")</f>
        <v/>
      </c>
    </row>
    <row r="2891">
      <c r="A2891" s="2" t="n"/>
      <c r="B2891">
        <f>LOWER(TRIM(A2891))</f>
        <v/>
      </c>
      <c r="C2891">
        <f>IF(B2891="","",IFERROR(INDEX('Bad Patterns'!$A$2:$A$120,MATCH(1,INDEX(--ISNUMBER(SEARCH('Bad Patterns'!$A$2:$A$120,B2891)),0),0)),""))</f>
        <v/>
      </c>
      <c r="D2891">
        <f>IF(B2891="","",IF(C2891&lt;&gt;"","REMOVE","KEEP"))</f>
        <v/>
      </c>
      <c r="E2891">
        <f>IF(D2891&lt;&gt;"KEEP","",IF(RIGHT(B2891,10)="@gmail.com","Gmail",IF(OR(RIGHT(B2891,12)="@outlook.com",RIGHT(B2891,12)="@hotmail.com",RIGHT(B2891,9)="@live.com"),"Outlook","Domain")))</f>
        <v/>
      </c>
      <c r="F2891">
        <f>IF(B2891="","",IFERROR(RIGHT(B2891,LEN(B2891)-FIND("@",B2891)),""))</f>
        <v/>
      </c>
      <c r="G2891">
        <f>IF(D2891="KEEP",COUNTIF($D$2:D2891,"KEEP"),"")</f>
        <v/>
      </c>
      <c r="H2891">
        <f>IF(D2891="REMOVE",COUNTIF($D$2:D2891,"REMOVE"),"")</f>
        <v/>
      </c>
      <c r="I2891">
        <f>IF(E2891="Gmail",COUNTIF($E$2:E2891,"Gmail"),"")</f>
        <v/>
      </c>
      <c r="J2891">
        <f>IF(E2891="Outlook",COUNTIF($E$2:E2891,"Outlook"),"")</f>
        <v/>
      </c>
      <c r="K2891">
        <f>IF(E2891="Domain",COUNTIF($E$2:E2891,"Domain"),"")</f>
        <v/>
      </c>
    </row>
    <row r="2892">
      <c r="A2892" s="2" t="n"/>
      <c r="B2892">
        <f>LOWER(TRIM(A2892))</f>
        <v/>
      </c>
      <c r="C2892">
        <f>IF(B2892="","",IFERROR(INDEX('Bad Patterns'!$A$2:$A$120,MATCH(1,INDEX(--ISNUMBER(SEARCH('Bad Patterns'!$A$2:$A$120,B2892)),0),0)),""))</f>
        <v/>
      </c>
      <c r="D2892">
        <f>IF(B2892="","",IF(C2892&lt;&gt;"","REMOVE","KEEP"))</f>
        <v/>
      </c>
      <c r="E2892">
        <f>IF(D2892&lt;&gt;"KEEP","",IF(RIGHT(B2892,10)="@gmail.com","Gmail",IF(OR(RIGHT(B2892,12)="@outlook.com",RIGHT(B2892,12)="@hotmail.com",RIGHT(B2892,9)="@live.com"),"Outlook","Domain")))</f>
        <v/>
      </c>
      <c r="F2892">
        <f>IF(B2892="","",IFERROR(RIGHT(B2892,LEN(B2892)-FIND("@",B2892)),""))</f>
        <v/>
      </c>
      <c r="G2892">
        <f>IF(D2892="KEEP",COUNTIF($D$2:D2892,"KEEP"),"")</f>
        <v/>
      </c>
      <c r="H2892">
        <f>IF(D2892="REMOVE",COUNTIF($D$2:D2892,"REMOVE"),"")</f>
        <v/>
      </c>
      <c r="I2892">
        <f>IF(E2892="Gmail",COUNTIF($E$2:E2892,"Gmail"),"")</f>
        <v/>
      </c>
      <c r="J2892">
        <f>IF(E2892="Outlook",COUNTIF($E$2:E2892,"Outlook"),"")</f>
        <v/>
      </c>
      <c r="K2892">
        <f>IF(E2892="Domain",COUNTIF($E$2:E2892,"Domain"),"")</f>
        <v/>
      </c>
    </row>
    <row r="2893">
      <c r="A2893" s="2" t="n"/>
      <c r="B2893">
        <f>LOWER(TRIM(A2893))</f>
        <v/>
      </c>
      <c r="C2893">
        <f>IF(B2893="","",IFERROR(INDEX('Bad Patterns'!$A$2:$A$120,MATCH(1,INDEX(--ISNUMBER(SEARCH('Bad Patterns'!$A$2:$A$120,B2893)),0),0)),""))</f>
        <v/>
      </c>
      <c r="D2893">
        <f>IF(B2893="","",IF(C2893&lt;&gt;"","REMOVE","KEEP"))</f>
        <v/>
      </c>
      <c r="E2893">
        <f>IF(D2893&lt;&gt;"KEEP","",IF(RIGHT(B2893,10)="@gmail.com","Gmail",IF(OR(RIGHT(B2893,12)="@outlook.com",RIGHT(B2893,12)="@hotmail.com",RIGHT(B2893,9)="@live.com"),"Outlook","Domain")))</f>
        <v/>
      </c>
      <c r="F2893">
        <f>IF(B2893="","",IFERROR(RIGHT(B2893,LEN(B2893)-FIND("@",B2893)),""))</f>
        <v/>
      </c>
      <c r="G2893">
        <f>IF(D2893="KEEP",COUNTIF($D$2:D2893,"KEEP"),"")</f>
        <v/>
      </c>
      <c r="H2893">
        <f>IF(D2893="REMOVE",COUNTIF($D$2:D2893,"REMOVE"),"")</f>
        <v/>
      </c>
      <c r="I2893">
        <f>IF(E2893="Gmail",COUNTIF($E$2:E2893,"Gmail"),"")</f>
        <v/>
      </c>
      <c r="J2893">
        <f>IF(E2893="Outlook",COUNTIF($E$2:E2893,"Outlook"),"")</f>
        <v/>
      </c>
      <c r="K2893">
        <f>IF(E2893="Domain",COUNTIF($E$2:E2893,"Domain"),"")</f>
        <v/>
      </c>
    </row>
    <row r="2894">
      <c r="A2894" s="2" t="n"/>
      <c r="B2894">
        <f>LOWER(TRIM(A2894))</f>
        <v/>
      </c>
      <c r="C2894">
        <f>IF(B2894="","",IFERROR(INDEX('Bad Patterns'!$A$2:$A$120,MATCH(1,INDEX(--ISNUMBER(SEARCH('Bad Patterns'!$A$2:$A$120,B2894)),0),0)),""))</f>
        <v/>
      </c>
      <c r="D2894">
        <f>IF(B2894="","",IF(C2894&lt;&gt;"","REMOVE","KEEP"))</f>
        <v/>
      </c>
      <c r="E2894">
        <f>IF(D2894&lt;&gt;"KEEP","",IF(RIGHT(B2894,10)="@gmail.com","Gmail",IF(OR(RIGHT(B2894,12)="@outlook.com",RIGHT(B2894,12)="@hotmail.com",RIGHT(B2894,9)="@live.com"),"Outlook","Domain")))</f>
        <v/>
      </c>
      <c r="F2894">
        <f>IF(B2894="","",IFERROR(RIGHT(B2894,LEN(B2894)-FIND("@",B2894)),""))</f>
        <v/>
      </c>
      <c r="G2894">
        <f>IF(D2894="KEEP",COUNTIF($D$2:D2894,"KEEP"),"")</f>
        <v/>
      </c>
      <c r="H2894">
        <f>IF(D2894="REMOVE",COUNTIF($D$2:D2894,"REMOVE"),"")</f>
        <v/>
      </c>
      <c r="I2894">
        <f>IF(E2894="Gmail",COUNTIF($E$2:E2894,"Gmail"),"")</f>
        <v/>
      </c>
      <c r="J2894">
        <f>IF(E2894="Outlook",COUNTIF($E$2:E2894,"Outlook"),"")</f>
        <v/>
      </c>
      <c r="K2894">
        <f>IF(E2894="Domain",COUNTIF($E$2:E2894,"Domain"),"")</f>
        <v/>
      </c>
    </row>
    <row r="2895">
      <c r="A2895" s="2" t="n"/>
      <c r="B2895">
        <f>LOWER(TRIM(A2895))</f>
        <v/>
      </c>
      <c r="C2895">
        <f>IF(B2895="","",IFERROR(INDEX('Bad Patterns'!$A$2:$A$120,MATCH(1,INDEX(--ISNUMBER(SEARCH('Bad Patterns'!$A$2:$A$120,B2895)),0),0)),""))</f>
        <v/>
      </c>
      <c r="D2895">
        <f>IF(B2895="","",IF(C2895&lt;&gt;"","REMOVE","KEEP"))</f>
        <v/>
      </c>
      <c r="E2895">
        <f>IF(D2895&lt;&gt;"KEEP","",IF(RIGHT(B2895,10)="@gmail.com","Gmail",IF(OR(RIGHT(B2895,12)="@outlook.com",RIGHT(B2895,12)="@hotmail.com",RIGHT(B2895,9)="@live.com"),"Outlook","Domain")))</f>
        <v/>
      </c>
      <c r="F2895">
        <f>IF(B2895="","",IFERROR(RIGHT(B2895,LEN(B2895)-FIND("@",B2895)),""))</f>
        <v/>
      </c>
      <c r="G2895">
        <f>IF(D2895="KEEP",COUNTIF($D$2:D2895,"KEEP"),"")</f>
        <v/>
      </c>
      <c r="H2895">
        <f>IF(D2895="REMOVE",COUNTIF($D$2:D2895,"REMOVE"),"")</f>
        <v/>
      </c>
      <c r="I2895">
        <f>IF(E2895="Gmail",COUNTIF($E$2:E2895,"Gmail"),"")</f>
        <v/>
      </c>
      <c r="J2895">
        <f>IF(E2895="Outlook",COUNTIF($E$2:E2895,"Outlook"),"")</f>
        <v/>
      </c>
      <c r="K2895">
        <f>IF(E2895="Domain",COUNTIF($E$2:E2895,"Domain"),"")</f>
        <v/>
      </c>
    </row>
    <row r="2896">
      <c r="A2896" s="2" t="n"/>
      <c r="B2896">
        <f>LOWER(TRIM(A2896))</f>
        <v/>
      </c>
      <c r="C2896">
        <f>IF(B2896="","",IFERROR(INDEX('Bad Patterns'!$A$2:$A$120,MATCH(1,INDEX(--ISNUMBER(SEARCH('Bad Patterns'!$A$2:$A$120,B2896)),0),0)),""))</f>
        <v/>
      </c>
      <c r="D2896">
        <f>IF(B2896="","",IF(C2896&lt;&gt;"","REMOVE","KEEP"))</f>
        <v/>
      </c>
      <c r="E2896">
        <f>IF(D2896&lt;&gt;"KEEP","",IF(RIGHT(B2896,10)="@gmail.com","Gmail",IF(OR(RIGHT(B2896,12)="@outlook.com",RIGHT(B2896,12)="@hotmail.com",RIGHT(B2896,9)="@live.com"),"Outlook","Domain")))</f>
        <v/>
      </c>
      <c r="F2896">
        <f>IF(B2896="","",IFERROR(RIGHT(B2896,LEN(B2896)-FIND("@",B2896)),""))</f>
        <v/>
      </c>
      <c r="G2896">
        <f>IF(D2896="KEEP",COUNTIF($D$2:D2896,"KEEP"),"")</f>
        <v/>
      </c>
      <c r="H2896">
        <f>IF(D2896="REMOVE",COUNTIF($D$2:D2896,"REMOVE"),"")</f>
        <v/>
      </c>
      <c r="I2896">
        <f>IF(E2896="Gmail",COUNTIF($E$2:E2896,"Gmail"),"")</f>
        <v/>
      </c>
      <c r="J2896">
        <f>IF(E2896="Outlook",COUNTIF($E$2:E2896,"Outlook"),"")</f>
        <v/>
      </c>
      <c r="K2896">
        <f>IF(E2896="Domain",COUNTIF($E$2:E2896,"Domain"),"")</f>
        <v/>
      </c>
    </row>
    <row r="2897">
      <c r="A2897" s="2" t="n"/>
      <c r="B2897">
        <f>LOWER(TRIM(A2897))</f>
        <v/>
      </c>
      <c r="C2897">
        <f>IF(B2897="","",IFERROR(INDEX('Bad Patterns'!$A$2:$A$120,MATCH(1,INDEX(--ISNUMBER(SEARCH('Bad Patterns'!$A$2:$A$120,B2897)),0),0)),""))</f>
        <v/>
      </c>
      <c r="D2897">
        <f>IF(B2897="","",IF(C2897&lt;&gt;"","REMOVE","KEEP"))</f>
        <v/>
      </c>
      <c r="E2897">
        <f>IF(D2897&lt;&gt;"KEEP","",IF(RIGHT(B2897,10)="@gmail.com","Gmail",IF(OR(RIGHT(B2897,12)="@outlook.com",RIGHT(B2897,12)="@hotmail.com",RIGHT(B2897,9)="@live.com"),"Outlook","Domain")))</f>
        <v/>
      </c>
      <c r="F2897">
        <f>IF(B2897="","",IFERROR(RIGHT(B2897,LEN(B2897)-FIND("@",B2897)),""))</f>
        <v/>
      </c>
      <c r="G2897">
        <f>IF(D2897="KEEP",COUNTIF($D$2:D2897,"KEEP"),"")</f>
        <v/>
      </c>
      <c r="H2897">
        <f>IF(D2897="REMOVE",COUNTIF($D$2:D2897,"REMOVE"),"")</f>
        <v/>
      </c>
      <c r="I2897">
        <f>IF(E2897="Gmail",COUNTIF($E$2:E2897,"Gmail"),"")</f>
        <v/>
      </c>
      <c r="J2897">
        <f>IF(E2897="Outlook",COUNTIF($E$2:E2897,"Outlook"),"")</f>
        <v/>
      </c>
      <c r="K2897">
        <f>IF(E2897="Domain",COUNTIF($E$2:E2897,"Domain"),"")</f>
        <v/>
      </c>
    </row>
    <row r="2898">
      <c r="A2898" s="2" t="n"/>
      <c r="B2898">
        <f>LOWER(TRIM(A2898))</f>
        <v/>
      </c>
      <c r="C2898">
        <f>IF(B2898="","",IFERROR(INDEX('Bad Patterns'!$A$2:$A$120,MATCH(1,INDEX(--ISNUMBER(SEARCH('Bad Patterns'!$A$2:$A$120,B2898)),0),0)),""))</f>
        <v/>
      </c>
      <c r="D2898">
        <f>IF(B2898="","",IF(C2898&lt;&gt;"","REMOVE","KEEP"))</f>
        <v/>
      </c>
      <c r="E2898">
        <f>IF(D2898&lt;&gt;"KEEP","",IF(RIGHT(B2898,10)="@gmail.com","Gmail",IF(OR(RIGHT(B2898,12)="@outlook.com",RIGHT(B2898,12)="@hotmail.com",RIGHT(B2898,9)="@live.com"),"Outlook","Domain")))</f>
        <v/>
      </c>
      <c r="F2898">
        <f>IF(B2898="","",IFERROR(RIGHT(B2898,LEN(B2898)-FIND("@",B2898)),""))</f>
        <v/>
      </c>
      <c r="G2898">
        <f>IF(D2898="KEEP",COUNTIF($D$2:D2898,"KEEP"),"")</f>
        <v/>
      </c>
      <c r="H2898">
        <f>IF(D2898="REMOVE",COUNTIF($D$2:D2898,"REMOVE"),"")</f>
        <v/>
      </c>
      <c r="I2898">
        <f>IF(E2898="Gmail",COUNTIF($E$2:E2898,"Gmail"),"")</f>
        <v/>
      </c>
      <c r="J2898">
        <f>IF(E2898="Outlook",COUNTIF($E$2:E2898,"Outlook"),"")</f>
        <v/>
      </c>
      <c r="K2898">
        <f>IF(E2898="Domain",COUNTIF($E$2:E2898,"Domain"),"")</f>
        <v/>
      </c>
    </row>
    <row r="2899">
      <c r="A2899" s="2" t="n"/>
      <c r="B2899">
        <f>LOWER(TRIM(A2899))</f>
        <v/>
      </c>
      <c r="C2899">
        <f>IF(B2899="","",IFERROR(INDEX('Bad Patterns'!$A$2:$A$120,MATCH(1,INDEX(--ISNUMBER(SEARCH('Bad Patterns'!$A$2:$A$120,B2899)),0),0)),""))</f>
        <v/>
      </c>
      <c r="D2899">
        <f>IF(B2899="","",IF(C2899&lt;&gt;"","REMOVE","KEEP"))</f>
        <v/>
      </c>
      <c r="E2899">
        <f>IF(D2899&lt;&gt;"KEEP","",IF(RIGHT(B2899,10)="@gmail.com","Gmail",IF(OR(RIGHT(B2899,12)="@outlook.com",RIGHT(B2899,12)="@hotmail.com",RIGHT(B2899,9)="@live.com"),"Outlook","Domain")))</f>
        <v/>
      </c>
      <c r="F2899">
        <f>IF(B2899="","",IFERROR(RIGHT(B2899,LEN(B2899)-FIND("@",B2899)),""))</f>
        <v/>
      </c>
      <c r="G2899">
        <f>IF(D2899="KEEP",COUNTIF($D$2:D2899,"KEEP"),"")</f>
        <v/>
      </c>
      <c r="H2899">
        <f>IF(D2899="REMOVE",COUNTIF($D$2:D2899,"REMOVE"),"")</f>
        <v/>
      </c>
      <c r="I2899">
        <f>IF(E2899="Gmail",COUNTIF($E$2:E2899,"Gmail"),"")</f>
        <v/>
      </c>
      <c r="J2899">
        <f>IF(E2899="Outlook",COUNTIF($E$2:E2899,"Outlook"),"")</f>
        <v/>
      </c>
      <c r="K2899">
        <f>IF(E2899="Domain",COUNTIF($E$2:E2899,"Domain"),"")</f>
        <v/>
      </c>
    </row>
    <row r="2900">
      <c r="A2900" s="2" t="n"/>
      <c r="B2900">
        <f>LOWER(TRIM(A2900))</f>
        <v/>
      </c>
      <c r="C2900">
        <f>IF(B2900="","",IFERROR(INDEX('Bad Patterns'!$A$2:$A$120,MATCH(1,INDEX(--ISNUMBER(SEARCH('Bad Patterns'!$A$2:$A$120,B2900)),0),0)),""))</f>
        <v/>
      </c>
      <c r="D2900">
        <f>IF(B2900="","",IF(C2900&lt;&gt;"","REMOVE","KEEP"))</f>
        <v/>
      </c>
      <c r="E2900">
        <f>IF(D2900&lt;&gt;"KEEP","",IF(RIGHT(B2900,10)="@gmail.com","Gmail",IF(OR(RIGHT(B2900,12)="@outlook.com",RIGHT(B2900,12)="@hotmail.com",RIGHT(B2900,9)="@live.com"),"Outlook","Domain")))</f>
        <v/>
      </c>
      <c r="F2900">
        <f>IF(B2900="","",IFERROR(RIGHT(B2900,LEN(B2900)-FIND("@",B2900)),""))</f>
        <v/>
      </c>
      <c r="G2900">
        <f>IF(D2900="KEEP",COUNTIF($D$2:D2900,"KEEP"),"")</f>
        <v/>
      </c>
      <c r="H2900">
        <f>IF(D2900="REMOVE",COUNTIF($D$2:D2900,"REMOVE"),"")</f>
        <v/>
      </c>
      <c r="I2900">
        <f>IF(E2900="Gmail",COUNTIF($E$2:E2900,"Gmail"),"")</f>
        <v/>
      </c>
      <c r="J2900">
        <f>IF(E2900="Outlook",COUNTIF($E$2:E2900,"Outlook"),"")</f>
        <v/>
      </c>
      <c r="K2900">
        <f>IF(E2900="Domain",COUNTIF($E$2:E2900,"Domain"),"")</f>
        <v/>
      </c>
    </row>
    <row r="2901">
      <c r="A2901" s="2" t="n"/>
      <c r="B2901">
        <f>LOWER(TRIM(A2901))</f>
        <v/>
      </c>
      <c r="C2901">
        <f>IF(B2901="","",IFERROR(INDEX('Bad Patterns'!$A$2:$A$120,MATCH(1,INDEX(--ISNUMBER(SEARCH('Bad Patterns'!$A$2:$A$120,B2901)),0),0)),""))</f>
        <v/>
      </c>
      <c r="D2901">
        <f>IF(B2901="","",IF(C2901&lt;&gt;"","REMOVE","KEEP"))</f>
        <v/>
      </c>
      <c r="E2901">
        <f>IF(D2901&lt;&gt;"KEEP","",IF(RIGHT(B2901,10)="@gmail.com","Gmail",IF(OR(RIGHT(B2901,12)="@outlook.com",RIGHT(B2901,12)="@hotmail.com",RIGHT(B2901,9)="@live.com"),"Outlook","Domain")))</f>
        <v/>
      </c>
      <c r="F2901">
        <f>IF(B2901="","",IFERROR(RIGHT(B2901,LEN(B2901)-FIND("@",B2901)),""))</f>
        <v/>
      </c>
      <c r="G2901">
        <f>IF(D2901="KEEP",COUNTIF($D$2:D2901,"KEEP"),"")</f>
        <v/>
      </c>
      <c r="H2901">
        <f>IF(D2901="REMOVE",COUNTIF($D$2:D2901,"REMOVE"),"")</f>
        <v/>
      </c>
      <c r="I2901">
        <f>IF(E2901="Gmail",COUNTIF($E$2:E2901,"Gmail"),"")</f>
        <v/>
      </c>
      <c r="J2901">
        <f>IF(E2901="Outlook",COUNTIF($E$2:E2901,"Outlook"),"")</f>
        <v/>
      </c>
      <c r="K2901">
        <f>IF(E2901="Domain",COUNTIF($E$2:E2901,"Domain"),"")</f>
        <v/>
      </c>
    </row>
    <row r="2902">
      <c r="A2902" s="2" t="n"/>
      <c r="B2902">
        <f>LOWER(TRIM(A2902))</f>
        <v/>
      </c>
      <c r="C2902">
        <f>IF(B2902="","",IFERROR(INDEX('Bad Patterns'!$A$2:$A$120,MATCH(1,INDEX(--ISNUMBER(SEARCH('Bad Patterns'!$A$2:$A$120,B2902)),0),0)),""))</f>
        <v/>
      </c>
      <c r="D2902">
        <f>IF(B2902="","",IF(C2902&lt;&gt;"","REMOVE","KEEP"))</f>
        <v/>
      </c>
      <c r="E2902">
        <f>IF(D2902&lt;&gt;"KEEP","",IF(RIGHT(B2902,10)="@gmail.com","Gmail",IF(OR(RIGHT(B2902,12)="@outlook.com",RIGHT(B2902,12)="@hotmail.com",RIGHT(B2902,9)="@live.com"),"Outlook","Domain")))</f>
        <v/>
      </c>
      <c r="F2902">
        <f>IF(B2902="","",IFERROR(RIGHT(B2902,LEN(B2902)-FIND("@",B2902)),""))</f>
        <v/>
      </c>
      <c r="G2902">
        <f>IF(D2902="KEEP",COUNTIF($D$2:D2902,"KEEP"),"")</f>
        <v/>
      </c>
      <c r="H2902">
        <f>IF(D2902="REMOVE",COUNTIF($D$2:D2902,"REMOVE"),"")</f>
        <v/>
      </c>
      <c r="I2902">
        <f>IF(E2902="Gmail",COUNTIF($E$2:E2902,"Gmail"),"")</f>
        <v/>
      </c>
      <c r="J2902">
        <f>IF(E2902="Outlook",COUNTIF($E$2:E2902,"Outlook"),"")</f>
        <v/>
      </c>
      <c r="K2902">
        <f>IF(E2902="Domain",COUNTIF($E$2:E2902,"Domain"),"")</f>
        <v/>
      </c>
    </row>
    <row r="2903">
      <c r="A2903" s="2" t="n"/>
      <c r="B2903">
        <f>LOWER(TRIM(A2903))</f>
        <v/>
      </c>
      <c r="C2903">
        <f>IF(B2903="","",IFERROR(INDEX('Bad Patterns'!$A$2:$A$120,MATCH(1,INDEX(--ISNUMBER(SEARCH('Bad Patterns'!$A$2:$A$120,B2903)),0),0)),""))</f>
        <v/>
      </c>
      <c r="D2903">
        <f>IF(B2903="","",IF(C2903&lt;&gt;"","REMOVE","KEEP"))</f>
        <v/>
      </c>
      <c r="E2903">
        <f>IF(D2903&lt;&gt;"KEEP","",IF(RIGHT(B2903,10)="@gmail.com","Gmail",IF(OR(RIGHT(B2903,12)="@outlook.com",RIGHT(B2903,12)="@hotmail.com",RIGHT(B2903,9)="@live.com"),"Outlook","Domain")))</f>
        <v/>
      </c>
      <c r="F2903">
        <f>IF(B2903="","",IFERROR(RIGHT(B2903,LEN(B2903)-FIND("@",B2903)),""))</f>
        <v/>
      </c>
      <c r="G2903">
        <f>IF(D2903="KEEP",COUNTIF($D$2:D2903,"KEEP"),"")</f>
        <v/>
      </c>
      <c r="H2903">
        <f>IF(D2903="REMOVE",COUNTIF($D$2:D2903,"REMOVE"),"")</f>
        <v/>
      </c>
      <c r="I2903">
        <f>IF(E2903="Gmail",COUNTIF($E$2:E2903,"Gmail"),"")</f>
        <v/>
      </c>
      <c r="J2903">
        <f>IF(E2903="Outlook",COUNTIF($E$2:E2903,"Outlook"),"")</f>
        <v/>
      </c>
      <c r="K2903">
        <f>IF(E2903="Domain",COUNTIF($E$2:E2903,"Domain"),"")</f>
        <v/>
      </c>
    </row>
    <row r="2904">
      <c r="A2904" s="2" t="n"/>
      <c r="B2904">
        <f>LOWER(TRIM(A2904))</f>
        <v/>
      </c>
      <c r="C2904">
        <f>IF(B2904="","",IFERROR(INDEX('Bad Patterns'!$A$2:$A$120,MATCH(1,INDEX(--ISNUMBER(SEARCH('Bad Patterns'!$A$2:$A$120,B2904)),0),0)),""))</f>
        <v/>
      </c>
      <c r="D2904">
        <f>IF(B2904="","",IF(C2904&lt;&gt;"","REMOVE","KEEP"))</f>
        <v/>
      </c>
      <c r="E2904">
        <f>IF(D2904&lt;&gt;"KEEP","",IF(RIGHT(B2904,10)="@gmail.com","Gmail",IF(OR(RIGHT(B2904,12)="@outlook.com",RIGHT(B2904,12)="@hotmail.com",RIGHT(B2904,9)="@live.com"),"Outlook","Domain")))</f>
        <v/>
      </c>
      <c r="F2904">
        <f>IF(B2904="","",IFERROR(RIGHT(B2904,LEN(B2904)-FIND("@",B2904)),""))</f>
        <v/>
      </c>
      <c r="G2904">
        <f>IF(D2904="KEEP",COUNTIF($D$2:D2904,"KEEP"),"")</f>
        <v/>
      </c>
      <c r="H2904">
        <f>IF(D2904="REMOVE",COUNTIF($D$2:D2904,"REMOVE"),"")</f>
        <v/>
      </c>
      <c r="I2904">
        <f>IF(E2904="Gmail",COUNTIF($E$2:E2904,"Gmail"),"")</f>
        <v/>
      </c>
      <c r="J2904">
        <f>IF(E2904="Outlook",COUNTIF($E$2:E2904,"Outlook"),"")</f>
        <v/>
      </c>
      <c r="K2904">
        <f>IF(E2904="Domain",COUNTIF($E$2:E2904,"Domain"),"")</f>
        <v/>
      </c>
    </row>
    <row r="2905">
      <c r="A2905" s="2" t="n"/>
      <c r="B2905">
        <f>LOWER(TRIM(A2905))</f>
        <v/>
      </c>
      <c r="C2905">
        <f>IF(B2905="","",IFERROR(INDEX('Bad Patterns'!$A$2:$A$120,MATCH(1,INDEX(--ISNUMBER(SEARCH('Bad Patterns'!$A$2:$A$120,B2905)),0),0)),""))</f>
        <v/>
      </c>
      <c r="D2905">
        <f>IF(B2905="","",IF(C2905&lt;&gt;"","REMOVE","KEEP"))</f>
        <v/>
      </c>
      <c r="E2905">
        <f>IF(D2905&lt;&gt;"KEEP","",IF(RIGHT(B2905,10)="@gmail.com","Gmail",IF(OR(RIGHT(B2905,12)="@outlook.com",RIGHT(B2905,12)="@hotmail.com",RIGHT(B2905,9)="@live.com"),"Outlook","Domain")))</f>
        <v/>
      </c>
      <c r="F2905">
        <f>IF(B2905="","",IFERROR(RIGHT(B2905,LEN(B2905)-FIND("@",B2905)),""))</f>
        <v/>
      </c>
      <c r="G2905">
        <f>IF(D2905="KEEP",COUNTIF($D$2:D2905,"KEEP"),"")</f>
        <v/>
      </c>
      <c r="H2905">
        <f>IF(D2905="REMOVE",COUNTIF($D$2:D2905,"REMOVE"),"")</f>
        <v/>
      </c>
      <c r="I2905">
        <f>IF(E2905="Gmail",COUNTIF($E$2:E2905,"Gmail"),"")</f>
        <v/>
      </c>
      <c r="J2905">
        <f>IF(E2905="Outlook",COUNTIF($E$2:E2905,"Outlook"),"")</f>
        <v/>
      </c>
      <c r="K2905">
        <f>IF(E2905="Domain",COUNTIF($E$2:E2905,"Domain"),"")</f>
        <v/>
      </c>
    </row>
    <row r="2906">
      <c r="A2906" s="2" t="n"/>
      <c r="B2906">
        <f>LOWER(TRIM(A2906))</f>
        <v/>
      </c>
      <c r="C2906">
        <f>IF(B2906="","",IFERROR(INDEX('Bad Patterns'!$A$2:$A$120,MATCH(1,INDEX(--ISNUMBER(SEARCH('Bad Patterns'!$A$2:$A$120,B2906)),0),0)),""))</f>
        <v/>
      </c>
      <c r="D2906">
        <f>IF(B2906="","",IF(C2906&lt;&gt;"","REMOVE","KEEP"))</f>
        <v/>
      </c>
      <c r="E2906">
        <f>IF(D2906&lt;&gt;"KEEP","",IF(RIGHT(B2906,10)="@gmail.com","Gmail",IF(OR(RIGHT(B2906,12)="@outlook.com",RIGHT(B2906,12)="@hotmail.com",RIGHT(B2906,9)="@live.com"),"Outlook","Domain")))</f>
        <v/>
      </c>
      <c r="F2906">
        <f>IF(B2906="","",IFERROR(RIGHT(B2906,LEN(B2906)-FIND("@",B2906)),""))</f>
        <v/>
      </c>
      <c r="G2906">
        <f>IF(D2906="KEEP",COUNTIF($D$2:D2906,"KEEP"),"")</f>
        <v/>
      </c>
      <c r="H2906">
        <f>IF(D2906="REMOVE",COUNTIF($D$2:D2906,"REMOVE"),"")</f>
        <v/>
      </c>
      <c r="I2906">
        <f>IF(E2906="Gmail",COUNTIF($E$2:E2906,"Gmail"),"")</f>
        <v/>
      </c>
      <c r="J2906">
        <f>IF(E2906="Outlook",COUNTIF($E$2:E2906,"Outlook"),"")</f>
        <v/>
      </c>
      <c r="K2906">
        <f>IF(E2906="Domain",COUNTIF($E$2:E2906,"Domain"),"")</f>
        <v/>
      </c>
    </row>
    <row r="2907">
      <c r="A2907" s="2" t="n"/>
      <c r="B2907">
        <f>LOWER(TRIM(A2907))</f>
        <v/>
      </c>
      <c r="C2907">
        <f>IF(B2907="","",IFERROR(INDEX('Bad Patterns'!$A$2:$A$120,MATCH(1,INDEX(--ISNUMBER(SEARCH('Bad Patterns'!$A$2:$A$120,B2907)),0),0)),""))</f>
        <v/>
      </c>
      <c r="D2907">
        <f>IF(B2907="","",IF(C2907&lt;&gt;"","REMOVE","KEEP"))</f>
        <v/>
      </c>
      <c r="E2907">
        <f>IF(D2907&lt;&gt;"KEEP","",IF(RIGHT(B2907,10)="@gmail.com","Gmail",IF(OR(RIGHT(B2907,12)="@outlook.com",RIGHT(B2907,12)="@hotmail.com",RIGHT(B2907,9)="@live.com"),"Outlook","Domain")))</f>
        <v/>
      </c>
      <c r="F2907">
        <f>IF(B2907="","",IFERROR(RIGHT(B2907,LEN(B2907)-FIND("@",B2907)),""))</f>
        <v/>
      </c>
      <c r="G2907">
        <f>IF(D2907="KEEP",COUNTIF($D$2:D2907,"KEEP"),"")</f>
        <v/>
      </c>
      <c r="H2907">
        <f>IF(D2907="REMOVE",COUNTIF($D$2:D2907,"REMOVE"),"")</f>
        <v/>
      </c>
      <c r="I2907">
        <f>IF(E2907="Gmail",COUNTIF($E$2:E2907,"Gmail"),"")</f>
        <v/>
      </c>
      <c r="J2907">
        <f>IF(E2907="Outlook",COUNTIF($E$2:E2907,"Outlook"),"")</f>
        <v/>
      </c>
      <c r="K2907">
        <f>IF(E2907="Domain",COUNTIF($E$2:E2907,"Domain"),"")</f>
        <v/>
      </c>
    </row>
    <row r="2908">
      <c r="A2908" s="2" t="n"/>
      <c r="B2908">
        <f>LOWER(TRIM(A2908))</f>
        <v/>
      </c>
      <c r="C2908">
        <f>IF(B2908="","",IFERROR(INDEX('Bad Patterns'!$A$2:$A$120,MATCH(1,INDEX(--ISNUMBER(SEARCH('Bad Patterns'!$A$2:$A$120,B2908)),0),0)),""))</f>
        <v/>
      </c>
      <c r="D2908">
        <f>IF(B2908="","",IF(C2908&lt;&gt;"","REMOVE","KEEP"))</f>
        <v/>
      </c>
      <c r="E2908">
        <f>IF(D2908&lt;&gt;"KEEP","",IF(RIGHT(B2908,10)="@gmail.com","Gmail",IF(OR(RIGHT(B2908,12)="@outlook.com",RIGHT(B2908,12)="@hotmail.com",RIGHT(B2908,9)="@live.com"),"Outlook","Domain")))</f>
        <v/>
      </c>
      <c r="F2908">
        <f>IF(B2908="","",IFERROR(RIGHT(B2908,LEN(B2908)-FIND("@",B2908)),""))</f>
        <v/>
      </c>
      <c r="G2908">
        <f>IF(D2908="KEEP",COUNTIF($D$2:D2908,"KEEP"),"")</f>
        <v/>
      </c>
      <c r="H2908">
        <f>IF(D2908="REMOVE",COUNTIF($D$2:D2908,"REMOVE"),"")</f>
        <v/>
      </c>
      <c r="I2908">
        <f>IF(E2908="Gmail",COUNTIF($E$2:E2908,"Gmail"),"")</f>
        <v/>
      </c>
      <c r="J2908">
        <f>IF(E2908="Outlook",COUNTIF($E$2:E2908,"Outlook"),"")</f>
        <v/>
      </c>
      <c r="K2908">
        <f>IF(E2908="Domain",COUNTIF($E$2:E2908,"Domain"),"")</f>
        <v/>
      </c>
    </row>
    <row r="2909">
      <c r="A2909" s="2" t="n"/>
      <c r="B2909">
        <f>LOWER(TRIM(A2909))</f>
        <v/>
      </c>
      <c r="C2909">
        <f>IF(B2909="","",IFERROR(INDEX('Bad Patterns'!$A$2:$A$120,MATCH(1,INDEX(--ISNUMBER(SEARCH('Bad Patterns'!$A$2:$A$120,B2909)),0),0)),""))</f>
        <v/>
      </c>
      <c r="D2909">
        <f>IF(B2909="","",IF(C2909&lt;&gt;"","REMOVE","KEEP"))</f>
        <v/>
      </c>
      <c r="E2909">
        <f>IF(D2909&lt;&gt;"KEEP","",IF(RIGHT(B2909,10)="@gmail.com","Gmail",IF(OR(RIGHT(B2909,12)="@outlook.com",RIGHT(B2909,12)="@hotmail.com",RIGHT(B2909,9)="@live.com"),"Outlook","Domain")))</f>
        <v/>
      </c>
      <c r="F2909">
        <f>IF(B2909="","",IFERROR(RIGHT(B2909,LEN(B2909)-FIND("@",B2909)),""))</f>
        <v/>
      </c>
      <c r="G2909">
        <f>IF(D2909="KEEP",COUNTIF($D$2:D2909,"KEEP"),"")</f>
        <v/>
      </c>
      <c r="H2909">
        <f>IF(D2909="REMOVE",COUNTIF($D$2:D2909,"REMOVE"),"")</f>
        <v/>
      </c>
      <c r="I2909">
        <f>IF(E2909="Gmail",COUNTIF($E$2:E2909,"Gmail"),"")</f>
        <v/>
      </c>
      <c r="J2909">
        <f>IF(E2909="Outlook",COUNTIF($E$2:E2909,"Outlook"),"")</f>
        <v/>
      </c>
      <c r="K2909">
        <f>IF(E2909="Domain",COUNTIF($E$2:E2909,"Domain"),"")</f>
        <v/>
      </c>
    </row>
    <row r="2910">
      <c r="A2910" s="2" t="n"/>
      <c r="B2910">
        <f>LOWER(TRIM(A2910))</f>
        <v/>
      </c>
      <c r="C2910">
        <f>IF(B2910="","",IFERROR(INDEX('Bad Patterns'!$A$2:$A$120,MATCH(1,INDEX(--ISNUMBER(SEARCH('Bad Patterns'!$A$2:$A$120,B2910)),0),0)),""))</f>
        <v/>
      </c>
      <c r="D2910">
        <f>IF(B2910="","",IF(C2910&lt;&gt;"","REMOVE","KEEP"))</f>
        <v/>
      </c>
      <c r="E2910">
        <f>IF(D2910&lt;&gt;"KEEP","",IF(RIGHT(B2910,10)="@gmail.com","Gmail",IF(OR(RIGHT(B2910,12)="@outlook.com",RIGHT(B2910,12)="@hotmail.com",RIGHT(B2910,9)="@live.com"),"Outlook","Domain")))</f>
        <v/>
      </c>
      <c r="F2910">
        <f>IF(B2910="","",IFERROR(RIGHT(B2910,LEN(B2910)-FIND("@",B2910)),""))</f>
        <v/>
      </c>
      <c r="G2910">
        <f>IF(D2910="KEEP",COUNTIF($D$2:D2910,"KEEP"),"")</f>
        <v/>
      </c>
      <c r="H2910">
        <f>IF(D2910="REMOVE",COUNTIF($D$2:D2910,"REMOVE"),"")</f>
        <v/>
      </c>
      <c r="I2910">
        <f>IF(E2910="Gmail",COUNTIF($E$2:E2910,"Gmail"),"")</f>
        <v/>
      </c>
      <c r="J2910">
        <f>IF(E2910="Outlook",COUNTIF($E$2:E2910,"Outlook"),"")</f>
        <v/>
      </c>
      <c r="K2910">
        <f>IF(E2910="Domain",COUNTIF($E$2:E2910,"Domain"),"")</f>
        <v/>
      </c>
    </row>
    <row r="2911">
      <c r="A2911" s="2" t="n"/>
      <c r="B2911">
        <f>LOWER(TRIM(A2911))</f>
        <v/>
      </c>
      <c r="C2911">
        <f>IF(B2911="","",IFERROR(INDEX('Bad Patterns'!$A$2:$A$120,MATCH(1,INDEX(--ISNUMBER(SEARCH('Bad Patterns'!$A$2:$A$120,B2911)),0),0)),""))</f>
        <v/>
      </c>
      <c r="D2911">
        <f>IF(B2911="","",IF(C2911&lt;&gt;"","REMOVE","KEEP"))</f>
        <v/>
      </c>
      <c r="E2911">
        <f>IF(D2911&lt;&gt;"KEEP","",IF(RIGHT(B2911,10)="@gmail.com","Gmail",IF(OR(RIGHT(B2911,12)="@outlook.com",RIGHT(B2911,12)="@hotmail.com",RIGHT(B2911,9)="@live.com"),"Outlook","Domain")))</f>
        <v/>
      </c>
      <c r="F2911">
        <f>IF(B2911="","",IFERROR(RIGHT(B2911,LEN(B2911)-FIND("@",B2911)),""))</f>
        <v/>
      </c>
      <c r="G2911">
        <f>IF(D2911="KEEP",COUNTIF($D$2:D2911,"KEEP"),"")</f>
        <v/>
      </c>
      <c r="H2911">
        <f>IF(D2911="REMOVE",COUNTIF($D$2:D2911,"REMOVE"),"")</f>
        <v/>
      </c>
      <c r="I2911">
        <f>IF(E2911="Gmail",COUNTIF($E$2:E2911,"Gmail"),"")</f>
        <v/>
      </c>
      <c r="J2911">
        <f>IF(E2911="Outlook",COUNTIF($E$2:E2911,"Outlook"),"")</f>
        <v/>
      </c>
      <c r="K2911">
        <f>IF(E2911="Domain",COUNTIF($E$2:E2911,"Domain"),"")</f>
        <v/>
      </c>
    </row>
    <row r="2912">
      <c r="A2912" s="2" t="n"/>
      <c r="B2912">
        <f>LOWER(TRIM(A2912))</f>
        <v/>
      </c>
      <c r="C2912">
        <f>IF(B2912="","",IFERROR(INDEX('Bad Patterns'!$A$2:$A$120,MATCH(1,INDEX(--ISNUMBER(SEARCH('Bad Patterns'!$A$2:$A$120,B2912)),0),0)),""))</f>
        <v/>
      </c>
      <c r="D2912">
        <f>IF(B2912="","",IF(C2912&lt;&gt;"","REMOVE","KEEP"))</f>
        <v/>
      </c>
      <c r="E2912">
        <f>IF(D2912&lt;&gt;"KEEP","",IF(RIGHT(B2912,10)="@gmail.com","Gmail",IF(OR(RIGHT(B2912,12)="@outlook.com",RIGHT(B2912,12)="@hotmail.com",RIGHT(B2912,9)="@live.com"),"Outlook","Domain")))</f>
        <v/>
      </c>
      <c r="F2912">
        <f>IF(B2912="","",IFERROR(RIGHT(B2912,LEN(B2912)-FIND("@",B2912)),""))</f>
        <v/>
      </c>
      <c r="G2912">
        <f>IF(D2912="KEEP",COUNTIF($D$2:D2912,"KEEP"),"")</f>
        <v/>
      </c>
      <c r="H2912">
        <f>IF(D2912="REMOVE",COUNTIF($D$2:D2912,"REMOVE"),"")</f>
        <v/>
      </c>
      <c r="I2912">
        <f>IF(E2912="Gmail",COUNTIF($E$2:E2912,"Gmail"),"")</f>
        <v/>
      </c>
      <c r="J2912">
        <f>IF(E2912="Outlook",COUNTIF($E$2:E2912,"Outlook"),"")</f>
        <v/>
      </c>
      <c r="K2912">
        <f>IF(E2912="Domain",COUNTIF($E$2:E2912,"Domain"),"")</f>
        <v/>
      </c>
    </row>
    <row r="2913">
      <c r="A2913" s="2" t="n"/>
      <c r="B2913">
        <f>LOWER(TRIM(A2913))</f>
        <v/>
      </c>
      <c r="C2913">
        <f>IF(B2913="","",IFERROR(INDEX('Bad Patterns'!$A$2:$A$120,MATCH(1,INDEX(--ISNUMBER(SEARCH('Bad Patterns'!$A$2:$A$120,B2913)),0),0)),""))</f>
        <v/>
      </c>
      <c r="D2913">
        <f>IF(B2913="","",IF(C2913&lt;&gt;"","REMOVE","KEEP"))</f>
        <v/>
      </c>
      <c r="E2913">
        <f>IF(D2913&lt;&gt;"KEEP","",IF(RIGHT(B2913,10)="@gmail.com","Gmail",IF(OR(RIGHT(B2913,12)="@outlook.com",RIGHT(B2913,12)="@hotmail.com",RIGHT(B2913,9)="@live.com"),"Outlook","Domain")))</f>
        <v/>
      </c>
      <c r="F2913">
        <f>IF(B2913="","",IFERROR(RIGHT(B2913,LEN(B2913)-FIND("@",B2913)),""))</f>
        <v/>
      </c>
      <c r="G2913">
        <f>IF(D2913="KEEP",COUNTIF($D$2:D2913,"KEEP"),"")</f>
        <v/>
      </c>
      <c r="H2913">
        <f>IF(D2913="REMOVE",COUNTIF($D$2:D2913,"REMOVE"),"")</f>
        <v/>
      </c>
      <c r="I2913">
        <f>IF(E2913="Gmail",COUNTIF($E$2:E2913,"Gmail"),"")</f>
        <v/>
      </c>
      <c r="J2913">
        <f>IF(E2913="Outlook",COUNTIF($E$2:E2913,"Outlook"),"")</f>
        <v/>
      </c>
      <c r="K2913">
        <f>IF(E2913="Domain",COUNTIF($E$2:E2913,"Domain"),"")</f>
        <v/>
      </c>
    </row>
    <row r="2914">
      <c r="A2914" s="2" t="n"/>
      <c r="B2914">
        <f>LOWER(TRIM(A2914))</f>
        <v/>
      </c>
      <c r="C2914">
        <f>IF(B2914="","",IFERROR(INDEX('Bad Patterns'!$A$2:$A$120,MATCH(1,INDEX(--ISNUMBER(SEARCH('Bad Patterns'!$A$2:$A$120,B2914)),0),0)),""))</f>
        <v/>
      </c>
      <c r="D2914">
        <f>IF(B2914="","",IF(C2914&lt;&gt;"","REMOVE","KEEP"))</f>
        <v/>
      </c>
      <c r="E2914">
        <f>IF(D2914&lt;&gt;"KEEP","",IF(RIGHT(B2914,10)="@gmail.com","Gmail",IF(OR(RIGHT(B2914,12)="@outlook.com",RIGHT(B2914,12)="@hotmail.com",RIGHT(B2914,9)="@live.com"),"Outlook","Domain")))</f>
        <v/>
      </c>
      <c r="F2914">
        <f>IF(B2914="","",IFERROR(RIGHT(B2914,LEN(B2914)-FIND("@",B2914)),""))</f>
        <v/>
      </c>
      <c r="G2914">
        <f>IF(D2914="KEEP",COUNTIF($D$2:D2914,"KEEP"),"")</f>
        <v/>
      </c>
      <c r="H2914">
        <f>IF(D2914="REMOVE",COUNTIF($D$2:D2914,"REMOVE"),"")</f>
        <v/>
      </c>
      <c r="I2914">
        <f>IF(E2914="Gmail",COUNTIF($E$2:E2914,"Gmail"),"")</f>
        <v/>
      </c>
      <c r="J2914">
        <f>IF(E2914="Outlook",COUNTIF($E$2:E2914,"Outlook"),"")</f>
        <v/>
      </c>
      <c r="K2914">
        <f>IF(E2914="Domain",COUNTIF($E$2:E2914,"Domain"),"")</f>
        <v/>
      </c>
    </row>
    <row r="2915">
      <c r="A2915" s="2" t="n"/>
      <c r="B2915">
        <f>LOWER(TRIM(A2915))</f>
        <v/>
      </c>
      <c r="C2915">
        <f>IF(B2915="","",IFERROR(INDEX('Bad Patterns'!$A$2:$A$120,MATCH(1,INDEX(--ISNUMBER(SEARCH('Bad Patterns'!$A$2:$A$120,B2915)),0),0)),""))</f>
        <v/>
      </c>
      <c r="D2915">
        <f>IF(B2915="","",IF(C2915&lt;&gt;"","REMOVE","KEEP"))</f>
        <v/>
      </c>
      <c r="E2915">
        <f>IF(D2915&lt;&gt;"KEEP","",IF(RIGHT(B2915,10)="@gmail.com","Gmail",IF(OR(RIGHT(B2915,12)="@outlook.com",RIGHT(B2915,12)="@hotmail.com",RIGHT(B2915,9)="@live.com"),"Outlook","Domain")))</f>
        <v/>
      </c>
      <c r="F2915">
        <f>IF(B2915="","",IFERROR(RIGHT(B2915,LEN(B2915)-FIND("@",B2915)),""))</f>
        <v/>
      </c>
      <c r="G2915">
        <f>IF(D2915="KEEP",COUNTIF($D$2:D2915,"KEEP"),"")</f>
        <v/>
      </c>
      <c r="H2915">
        <f>IF(D2915="REMOVE",COUNTIF($D$2:D2915,"REMOVE"),"")</f>
        <v/>
      </c>
      <c r="I2915">
        <f>IF(E2915="Gmail",COUNTIF($E$2:E2915,"Gmail"),"")</f>
        <v/>
      </c>
      <c r="J2915">
        <f>IF(E2915="Outlook",COUNTIF($E$2:E2915,"Outlook"),"")</f>
        <v/>
      </c>
      <c r="K2915">
        <f>IF(E2915="Domain",COUNTIF($E$2:E2915,"Domain"),"")</f>
        <v/>
      </c>
    </row>
    <row r="2916">
      <c r="A2916" s="2" t="n"/>
      <c r="B2916">
        <f>LOWER(TRIM(A2916))</f>
        <v/>
      </c>
      <c r="C2916">
        <f>IF(B2916="","",IFERROR(INDEX('Bad Patterns'!$A$2:$A$120,MATCH(1,INDEX(--ISNUMBER(SEARCH('Bad Patterns'!$A$2:$A$120,B2916)),0),0)),""))</f>
        <v/>
      </c>
      <c r="D2916">
        <f>IF(B2916="","",IF(C2916&lt;&gt;"","REMOVE","KEEP"))</f>
        <v/>
      </c>
      <c r="E2916">
        <f>IF(D2916&lt;&gt;"KEEP","",IF(RIGHT(B2916,10)="@gmail.com","Gmail",IF(OR(RIGHT(B2916,12)="@outlook.com",RIGHT(B2916,12)="@hotmail.com",RIGHT(B2916,9)="@live.com"),"Outlook","Domain")))</f>
        <v/>
      </c>
      <c r="F2916">
        <f>IF(B2916="","",IFERROR(RIGHT(B2916,LEN(B2916)-FIND("@",B2916)),""))</f>
        <v/>
      </c>
      <c r="G2916">
        <f>IF(D2916="KEEP",COUNTIF($D$2:D2916,"KEEP"),"")</f>
        <v/>
      </c>
      <c r="H2916">
        <f>IF(D2916="REMOVE",COUNTIF($D$2:D2916,"REMOVE"),"")</f>
        <v/>
      </c>
      <c r="I2916">
        <f>IF(E2916="Gmail",COUNTIF($E$2:E2916,"Gmail"),"")</f>
        <v/>
      </c>
      <c r="J2916">
        <f>IF(E2916="Outlook",COUNTIF($E$2:E2916,"Outlook"),"")</f>
        <v/>
      </c>
      <c r="K2916">
        <f>IF(E2916="Domain",COUNTIF($E$2:E2916,"Domain"),"")</f>
        <v/>
      </c>
    </row>
    <row r="2917">
      <c r="A2917" s="2" t="n"/>
      <c r="B2917">
        <f>LOWER(TRIM(A2917))</f>
        <v/>
      </c>
      <c r="C2917">
        <f>IF(B2917="","",IFERROR(INDEX('Bad Patterns'!$A$2:$A$120,MATCH(1,INDEX(--ISNUMBER(SEARCH('Bad Patterns'!$A$2:$A$120,B2917)),0),0)),""))</f>
        <v/>
      </c>
      <c r="D2917">
        <f>IF(B2917="","",IF(C2917&lt;&gt;"","REMOVE","KEEP"))</f>
        <v/>
      </c>
      <c r="E2917">
        <f>IF(D2917&lt;&gt;"KEEP","",IF(RIGHT(B2917,10)="@gmail.com","Gmail",IF(OR(RIGHT(B2917,12)="@outlook.com",RIGHT(B2917,12)="@hotmail.com",RIGHT(B2917,9)="@live.com"),"Outlook","Domain")))</f>
        <v/>
      </c>
      <c r="F2917">
        <f>IF(B2917="","",IFERROR(RIGHT(B2917,LEN(B2917)-FIND("@",B2917)),""))</f>
        <v/>
      </c>
      <c r="G2917">
        <f>IF(D2917="KEEP",COUNTIF($D$2:D2917,"KEEP"),"")</f>
        <v/>
      </c>
      <c r="H2917">
        <f>IF(D2917="REMOVE",COUNTIF($D$2:D2917,"REMOVE"),"")</f>
        <v/>
      </c>
      <c r="I2917">
        <f>IF(E2917="Gmail",COUNTIF($E$2:E2917,"Gmail"),"")</f>
        <v/>
      </c>
      <c r="J2917">
        <f>IF(E2917="Outlook",COUNTIF($E$2:E2917,"Outlook"),"")</f>
        <v/>
      </c>
      <c r="K2917">
        <f>IF(E2917="Domain",COUNTIF($E$2:E2917,"Domain"),"")</f>
        <v/>
      </c>
    </row>
    <row r="2918">
      <c r="A2918" s="2" t="n"/>
      <c r="B2918">
        <f>LOWER(TRIM(A2918))</f>
        <v/>
      </c>
      <c r="C2918">
        <f>IF(B2918="","",IFERROR(INDEX('Bad Patterns'!$A$2:$A$120,MATCH(1,INDEX(--ISNUMBER(SEARCH('Bad Patterns'!$A$2:$A$120,B2918)),0),0)),""))</f>
        <v/>
      </c>
      <c r="D2918">
        <f>IF(B2918="","",IF(C2918&lt;&gt;"","REMOVE","KEEP"))</f>
        <v/>
      </c>
      <c r="E2918">
        <f>IF(D2918&lt;&gt;"KEEP","",IF(RIGHT(B2918,10)="@gmail.com","Gmail",IF(OR(RIGHT(B2918,12)="@outlook.com",RIGHT(B2918,12)="@hotmail.com",RIGHT(B2918,9)="@live.com"),"Outlook","Domain")))</f>
        <v/>
      </c>
      <c r="F2918">
        <f>IF(B2918="","",IFERROR(RIGHT(B2918,LEN(B2918)-FIND("@",B2918)),""))</f>
        <v/>
      </c>
      <c r="G2918">
        <f>IF(D2918="KEEP",COUNTIF($D$2:D2918,"KEEP"),"")</f>
        <v/>
      </c>
      <c r="H2918">
        <f>IF(D2918="REMOVE",COUNTIF($D$2:D2918,"REMOVE"),"")</f>
        <v/>
      </c>
      <c r="I2918">
        <f>IF(E2918="Gmail",COUNTIF($E$2:E2918,"Gmail"),"")</f>
        <v/>
      </c>
      <c r="J2918">
        <f>IF(E2918="Outlook",COUNTIF($E$2:E2918,"Outlook"),"")</f>
        <v/>
      </c>
      <c r="K2918">
        <f>IF(E2918="Domain",COUNTIF($E$2:E2918,"Domain"),"")</f>
        <v/>
      </c>
    </row>
    <row r="2919">
      <c r="A2919" s="2" t="n"/>
      <c r="B2919">
        <f>LOWER(TRIM(A2919))</f>
        <v/>
      </c>
      <c r="C2919">
        <f>IF(B2919="","",IFERROR(INDEX('Bad Patterns'!$A$2:$A$120,MATCH(1,INDEX(--ISNUMBER(SEARCH('Bad Patterns'!$A$2:$A$120,B2919)),0),0)),""))</f>
        <v/>
      </c>
      <c r="D2919">
        <f>IF(B2919="","",IF(C2919&lt;&gt;"","REMOVE","KEEP"))</f>
        <v/>
      </c>
      <c r="E2919">
        <f>IF(D2919&lt;&gt;"KEEP","",IF(RIGHT(B2919,10)="@gmail.com","Gmail",IF(OR(RIGHT(B2919,12)="@outlook.com",RIGHT(B2919,12)="@hotmail.com",RIGHT(B2919,9)="@live.com"),"Outlook","Domain")))</f>
        <v/>
      </c>
      <c r="F2919">
        <f>IF(B2919="","",IFERROR(RIGHT(B2919,LEN(B2919)-FIND("@",B2919)),""))</f>
        <v/>
      </c>
      <c r="G2919">
        <f>IF(D2919="KEEP",COUNTIF($D$2:D2919,"KEEP"),"")</f>
        <v/>
      </c>
      <c r="H2919">
        <f>IF(D2919="REMOVE",COUNTIF($D$2:D2919,"REMOVE"),"")</f>
        <v/>
      </c>
      <c r="I2919">
        <f>IF(E2919="Gmail",COUNTIF($E$2:E2919,"Gmail"),"")</f>
        <v/>
      </c>
      <c r="J2919">
        <f>IF(E2919="Outlook",COUNTIF($E$2:E2919,"Outlook"),"")</f>
        <v/>
      </c>
      <c r="K2919">
        <f>IF(E2919="Domain",COUNTIF($E$2:E2919,"Domain"),"")</f>
        <v/>
      </c>
    </row>
    <row r="2920">
      <c r="A2920" s="2" t="n"/>
      <c r="B2920">
        <f>LOWER(TRIM(A2920))</f>
        <v/>
      </c>
      <c r="C2920">
        <f>IF(B2920="","",IFERROR(INDEX('Bad Patterns'!$A$2:$A$120,MATCH(1,INDEX(--ISNUMBER(SEARCH('Bad Patterns'!$A$2:$A$120,B2920)),0),0)),""))</f>
        <v/>
      </c>
      <c r="D2920">
        <f>IF(B2920="","",IF(C2920&lt;&gt;"","REMOVE","KEEP"))</f>
        <v/>
      </c>
      <c r="E2920">
        <f>IF(D2920&lt;&gt;"KEEP","",IF(RIGHT(B2920,10)="@gmail.com","Gmail",IF(OR(RIGHT(B2920,12)="@outlook.com",RIGHT(B2920,12)="@hotmail.com",RIGHT(B2920,9)="@live.com"),"Outlook","Domain")))</f>
        <v/>
      </c>
      <c r="F2920">
        <f>IF(B2920="","",IFERROR(RIGHT(B2920,LEN(B2920)-FIND("@",B2920)),""))</f>
        <v/>
      </c>
      <c r="G2920">
        <f>IF(D2920="KEEP",COUNTIF($D$2:D2920,"KEEP"),"")</f>
        <v/>
      </c>
      <c r="H2920">
        <f>IF(D2920="REMOVE",COUNTIF($D$2:D2920,"REMOVE"),"")</f>
        <v/>
      </c>
      <c r="I2920">
        <f>IF(E2920="Gmail",COUNTIF($E$2:E2920,"Gmail"),"")</f>
        <v/>
      </c>
      <c r="J2920">
        <f>IF(E2920="Outlook",COUNTIF($E$2:E2920,"Outlook"),"")</f>
        <v/>
      </c>
      <c r="K2920">
        <f>IF(E2920="Domain",COUNTIF($E$2:E2920,"Domain"),"")</f>
        <v/>
      </c>
    </row>
    <row r="2921">
      <c r="A2921" s="2" t="n"/>
      <c r="B2921">
        <f>LOWER(TRIM(A2921))</f>
        <v/>
      </c>
      <c r="C2921">
        <f>IF(B2921="","",IFERROR(INDEX('Bad Patterns'!$A$2:$A$120,MATCH(1,INDEX(--ISNUMBER(SEARCH('Bad Patterns'!$A$2:$A$120,B2921)),0),0)),""))</f>
        <v/>
      </c>
      <c r="D2921">
        <f>IF(B2921="","",IF(C2921&lt;&gt;"","REMOVE","KEEP"))</f>
        <v/>
      </c>
      <c r="E2921">
        <f>IF(D2921&lt;&gt;"KEEP","",IF(RIGHT(B2921,10)="@gmail.com","Gmail",IF(OR(RIGHT(B2921,12)="@outlook.com",RIGHT(B2921,12)="@hotmail.com",RIGHT(B2921,9)="@live.com"),"Outlook","Domain")))</f>
        <v/>
      </c>
      <c r="F2921">
        <f>IF(B2921="","",IFERROR(RIGHT(B2921,LEN(B2921)-FIND("@",B2921)),""))</f>
        <v/>
      </c>
      <c r="G2921">
        <f>IF(D2921="KEEP",COUNTIF($D$2:D2921,"KEEP"),"")</f>
        <v/>
      </c>
      <c r="H2921">
        <f>IF(D2921="REMOVE",COUNTIF($D$2:D2921,"REMOVE"),"")</f>
        <v/>
      </c>
      <c r="I2921">
        <f>IF(E2921="Gmail",COUNTIF($E$2:E2921,"Gmail"),"")</f>
        <v/>
      </c>
      <c r="J2921">
        <f>IF(E2921="Outlook",COUNTIF($E$2:E2921,"Outlook"),"")</f>
        <v/>
      </c>
      <c r="K2921">
        <f>IF(E2921="Domain",COUNTIF($E$2:E2921,"Domain"),"")</f>
        <v/>
      </c>
    </row>
    <row r="2922">
      <c r="A2922" s="2" t="n"/>
      <c r="B2922">
        <f>LOWER(TRIM(A2922))</f>
        <v/>
      </c>
      <c r="C2922">
        <f>IF(B2922="","",IFERROR(INDEX('Bad Patterns'!$A$2:$A$120,MATCH(1,INDEX(--ISNUMBER(SEARCH('Bad Patterns'!$A$2:$A$120,B2922)),0),0)),""))</f>
        <v/>
      </c>
      <c r="D2922">
        <f>IF(B2922="","",IF(C2922&lt;&gt;"","REMOVE","KEEP"))</f>
        <v/>
      </c>
      <c r="E2922">
        <f>IF(D2922&lt;&gt;"KEEP","",IF(RIGHT(B2922,10)="@gmail.com","Gmail",IF(OR(RIGHT(B2922,12)="@outlook.com",RIGHT(B2922,12)="@hotmail.com",RIGHT(B2922,9)="@live.com"),"Outlook","Domain")))</f>
        <v/>
      </c>
      <c r="F2922">
        <f>IF(B2922="","",IFERROR(RIGHT(B2922,LEN(B2922)-FIND("@",B2922)),""))</f>
        <v/>
      </c>
      <c r="G2922">
        <f>IF(D2922="KEEP",COUNTIF($D$2:D2922,"KEEP"),"")</f>
        <v/>
      </c>
      <c r="H2922">
        <f>IF(D2922="REMOVE",COUNTIF($D$2:D2922,"REMOVE"),"")</f>
        <v/>
      </c>
      <c r="I2922">
        <f>IF(E2922="Gmail",COUNTIF($E$2:E2922,"Gmail"),"")</f>
        <v/>
      </c>
      <c r="J2922">
        <f>IF(E2922="Outlook",COUNTIF($E$2:E2922,"Outlook"),"")</f>
        <v/>
      </c>
      <c r="K2922">
        <f>IF(E2922="Domain",COUNTIF($E$2:E2922,"Domain"),"")</f>
        <v/>
      </c>
    </row>
    <row r="2923">
      <c r="A2923" s="2" t="n"/>
      <c r="B2923">
        <f>LOWER(TRIM(A2923))</f>
        <v/>
      </c>
      <c r="C2923">
        <f>IF(B2923="","",IFERROR(INDEX('Bad Patterns'!$A$2:$A$120,MATCH(1,INDEX(--ISNUMBER(SEARCH('Bad Patterns'!$A$2:$A$120,B2923)),0),0)),""))</f>
        <v/>
      </c>
      <c r="D2923">
        <f>IF(B2923="","",IF(C2923&lt;&gt;"","REMOVE","KEEP"))</f>
        <v/>
      </c>
      <c r="E2923">
        <f>IF(D2923&lt;&gt;"KEEP","",IF(RIGHT(B2923,10)="@gmail.com","Gmail",IF(OR(RIGHT(B2923,12)="@outlook.com",RIGHT(B2923,12)="@hotmail.com",RIGHT(B2923,9)="@live.com"),"Outlook","Domain")))</f>
        <v/>
      </c>
      <c r="F2923">
        <f>IF(B2923="","",IFERROR(RIGHT(B2923,LEN(B2923)-FIND("@",B2923)),""))</f>
        <v/>
      </c>
      <c r="G2923">
        <f>IF(D2923="KEEP",COUNTIF($D$2:D2923,"KEEP"),"")</f>
        <v/>
      </c>
      <c r="H2923">
        <f>IF(D2923="REMOVE",COUNTIF($D$2:D2923,"REMOVE"),"")</f>
        <v/>
      </c>
      <c r="I2923">
        <f>IF(E2923="Gmail",COUNTIF($E$2:E2923,"Gmail"),"")</f>
        <v/>
      </c>
      <c r="J2923">
        <f>IF(E2923="Outlook",COUNTIF($E$2:E2923,"Outlook"),"")</f>
        <v/>
      </c>
      <c r="K2923">
        <f>IF(E2923="Domain",COUNTIF($E$2:E2923,"Domain"),"")</f>
        <v/>
      </c>
    </row>
    <row r="2924">
      <c r="A2924" s="2" t="n"/>
      <c r="B2924">
        <f>LOWER(TRIM(A2924))</f>
        <v/>
      </c>
      <c r="C2924">
        <f>IF(B2924="","",IFERROR(INDEX('Bad Patterns'!$A$2:$A$120,MATCH(1,INDEX(--ISNUMBER(SEARCH('Bad Patterns'!$A$2:$A$120,B2924)),0),0)),""))</f>
        <v/>
      </c>
      <c r="D2924">
        <f>IF(B2924="","",IF(C2924&lt;&gt;"","REMOVE","KEEP"))</f>
        <v/>
      </c>
      <c r="E2924">
        <f>IF(D2924&lt;&gt;"KEEP","",IF(RIGHT(B2924,10)="@gmail.com","Gmail",IF(OR(RIGHT(B2924,12)="@outlook.com",RIGHT(B2924,12)="@hotmail.com",RIGHT(B2924,9)="@live.com"),"Outlook","Domain")))</f>
        <v/>
      </c>
      <c r="F2924">
        <f>IF(B2924="","",IFERROR(RIGHT(B2924,LEN(B2924)-FIND("@",B2924)),""))</f>
        <v/>
      </c>
      <c r="G2924">
        <f>IF(D2924="KEEP",COUNTIF($D$2:D2924,"KEEP"),"")</f>
        <v/>
      </c>
      <c r="H2924">
        <f>IF(D2924="REMOVE",COUNTIF($D$2:D2924,"REMOVE"),"")</f>
        <v/>
      </c>
      <c r="I2924">
        <f>IF(E2924="Gmail",COUNTIF($E$2:E2924,"Gmail"),"")</f>
        <v/>
      </c>
      <c r="J2924">
        <f>IF(E2924="Outlook",COUNTIF($E$2:E2924,"Outlook"),"")</f>
        <v/>
      </c>
      <c r="K2924">
        <f>IF(E2924="Domain",COUNTIF($E$2:E2924,"Domain"),"")</f>
        <v/>
      </c>
    </row>
    <row r="2925">
      <c r="A2925" s="2" t="n"/>
      <c r="B2925">
        <f>LOWER(TRIM(A2925))</f>
        <v/>
      </c>
      <c r="C2925">
        <f>IF(B2925="","",IFERROR(INDEX('Bad Patterns'!$A$2:$A$120,MATCH(1,INDEX(--ISNUMBER(SEARCH('Bad Patterns'!$A$2:$A$120,B2925)),0),0)),""))</f>
        <v/>
      </c>
      <c r="D2925">
        <f>IF(B2925="","",IF(C2925&lt;&gt;"","REMOVE","KEEP"))</f>
        <v/>
      </c>
      <c r="E2925">
        <f>IF(D2925&lt;&gt;"KEEP","",IF(RIGHT(B2925,10)="@gmail.com","Gmail",IF(OR(RIGHT(B2925,12)="@outlook.com",RIGHT(B2925,12)="@hotmail.com",RIGHT(B2925,9)="@live.com"),"Outlook","Domain")))</f>
        <v/>
      </c>
      <c r="F2925">
        <f>IF(B2925="","",IFERROR(RIGHT(B2925,LEN(B2925)-FIND("@",B2925)),""))</f>
        <v/>
      </c>
      <c r="G2925">
        <f>IF(D2925="KEEP",COUNTIF($D$2:D2925,"KEEP"),"")</f>
        <v/>
      </c>
      <c r="H2925">
        <f>IF(D2925="REMOVE",COUNTIF($D$2:D2925,"REMOVE"),"")</f>
        <v/>
      </c>
      <c r="I2925">
        <f>IF(E2925="Gmail",COUNTIF($E$2:E2925,"Gmail"),"")</f>
        <v/>
      </c>
      <c r="J2925">
        <f>IF(E2925="Outlook",COUNTIF($E$2:E2925,"Outlook"),"")</f>
        <v/>
      </c>
      <c r="K2925">
        <f>IF(E2925="Domain",COUNTIF($E$2:E2925,"Domain"),"")</f>
        <v/>
      </c>
    </row>
    <row r="2926">
      <c r="A2926" s="2" t="n"/>
      <c r="B2926">
        <f>LOWER(TRIM(A2926))</f>
        <v/>
      </c>
      <c r="C2926">
        <f>IF(B2926="","",IFERROR(INDEX('Bad Patterns'!$A$2:$A$120,MATCH(1,INDEX(--ISNUMBER(SEARCH('Bad Patterns'!$A$2:$A$120,B2926)),0),0)),""))</f>
        <v/>
      </c>
      <c r="D2926">
        <f>IF(B2926="","",IF(C2926&lt;&gt;"","REMOVE","KEEP"))</f>
        <v/>
      </c>
      <c r="E2926">
        <f>IF(D2926&lt;&gt;"KEEP","",IF(RIGHT(B2926,10)="@gmail.com","Gmail",IF(OR(RIGHT(B2926,12)="@outlook.com",RIGHT(B2926,12)="@hotmail.com",RIGHT(B2926,9)="@live.com"),"Outlook","Domain")))</f>
        <v/>
      </c>
      <c r="F2926">
        <f>IF(B2926="","",IFERROR(RIGHT(B2926,LEN(B2926)-FIND("@",B2926)),""))</f>
        <v/>
      </c>
      <c r="G2926">
        <f>IF(D2926="KEEP",COUNTIF($D$2:D2926,"KEEP"),"")</f>
        <v/>
      </c>
      <c r="H2926">
        <f>IF(D2926="REMOVE",COUNTIF($D$2:D2926,"REMOVE"),"")</f>
        <v/>
      </c>
      <c r="I2926">
        <f>IF(E2926="Gmail",COUNTIF($E$2:E2926,"Gmail"),"")</f>
        <v/>
      </c>
      <c r="J2926">
        <f>IF(E2926="Outlook",COUNTIF($E$2:E2926,"Outlook"),"")</f>
        <v/>
      </c>
      <c r="K2926">
        <f>IF(E2926="Domain",COUNTIF($E$2:E2926,"Domain"),"")</f>
        <v/>
      </c>
    </row>
    <row r="2927">
      <c r="A2927" s="2" t="n"/>
      <c r="B2927">
        <f>LOWER(TRIM(A2927))</f>
        <v/>
      </c>
      <c r="C2927">
        <f>IF(B2927="","",IFERROR(INDEX('Bad Patterns'!$A$2:$A$120,MATCH(1,INDEX(--ISNUMBER(SEARCH('Bad Patterns'!$A$2:$A$120,B2927)),0),0)),""))</f>
        <v/>
      </c>
      <c r="D2927">
        <f>IF(B2927="","",IF(C2927&lt;&gt;"","REMOVE","KEEP"))</f>
        <v/>
      </c>
      <c r="E2927">
        <f>IF(D2927&lt;&gt;"KEEP","",IF(RIGHT(B2927,10)="@gmail.com","Gmail",IF(OR(RIGHT(B2927,12)="@outlook.com",RIGHT(B2927,12)="@hotmail.com",RIGHT(B2927,9)="@live.com"),"Outlook","Domain")))</f>
        <v/>
      </c>
      <c r="F2927">
        <f>IF(B2927="","",IFERROR(RIGHT(B2927,LEN(B2927)-FIND("@",B2927)),""))</f>
        <v/>
      </c>
      <c r="G2927">
        <f>IF(D2927="KEEP",COUNTIF($D$2:D2927,"KEEP"),"")</f>
        <v/>
      </c>
      <c r="H2927">
        <f>IF(D2927="REMOVE",COUNTIF($D$2:D2927,"REMOVE"),"")</f>
        <v/>
      </c>
      <c r="I2927">
        <f>IF(E2927="Gmail",COUNTIF($E$2:E2927,"Gmail"),"")</f>
        <v/>
      </c>
      <c r="J2927">
        <f>IF(E2927="Outlook",COUNTIF($E$2:E2927,"Outlook"),"")</f>
        <v/>
      </c>
      <c r="K2927">
        <f>IF(E2927="Domain",COUNTIF($E$2:E2927,"Domain"),"")</f>
        <v/>
      </c>
    </row>
    <row r="2928">
      <c r="A2928" s="2" t="n"/>
      <c r="B2928">
        <f>LOWER(TRIM(A2928))</f>
        <v/>
      </c>
      <c r="C2928">
        <f>IF(B2928="","",IFERROR(INDEX('Bad Patterns'!$A$2:$A$120,MATCH(1,INDEX(--ISNUMBER(SEARCH('Bad Patterns'!$A$2:$A$120,B2928)),0),0)),""))</f>
        <v/>
      </c>
      <c r="D2928">
        <f>IF(B2928="","",IF(C2928&lt;&gt;"","REMOVE","KEEP"))</f>
        <v/>
      </c>
      <c r="E2928">
        <f>IF(D2928&lt;&gt;"KEEP","",IF(RIGHT(B2928,10)="@gmail.com","Gmail",IF(OR(RIGHT(B2928,12)="@outlook.com",RIGHT(B2928,12)="@hotmail.com",RIGHT(B2928,9)="@live.com"),"Outlook","Domain")))</f>
        <v/>
      </c>
      <c r="F2928">
        <f>IF(B2928="","",IFERROR(RIGHT(B2928,LEN(B2928)-FIND("@",B2928)),""))</f>
        <v/>
      </c>
      <c r="G2928">
        <f>IF(D2928="KEEP",COUNTIF($D$2:D2928,"KEEP"),"")</f>
        <v/>
      </c>
      <c r="H2928">
        <f>IF(D2928="REMOVE",COUNTIF($D$2:D2928,"REMOVE"),"")</f>
        <v/>
      </c>
      <c r="I2928">
        <f>IF(E2928="Gmail",COUNTIF($E$2:E2928,"Gmail"),"")</f>
        <v/>
      </c>
      <c r="J2928">
        <f>IF(E2928="Outlook",COUNTIF($E$2:E2928,"Outlook"),"")</f>
        <v/>
      </c>
      <c r="K2928">
        <f>IF(E2928="Domain",COUNTIF($E$2:E2928,"Domain"),"")</f>
        <v/>
      </c>
    </row>
    <row r="2929">
      <c r="A2929" s="2" t="n"/>
      <c r="B2929">
        <f>LOWER(TRIM(A2929))</f>
        <v/>
      </c>
      <c r="C2929">
        <f>IF(B2929="","",IFERROR(INDEX('Bad Patterns'!$A$2:$A$120,MATCH(1,INDEX(--ISNUMBER(SEARCH('Bad Patterns'!$A$2:$A$120,B2929)),0),0)),""))</f>
        <v/>
      </c>
      <c r="D2929">
        <f>IF(B2929="","",IF(C2929&lt;&gt;"","REMOVE","KEEP"))</f>
        <v/>
      </c>
      <c r="E2929">
        <f>IF(D2929&lt;&gt;"KEEP","",IF(RIGHT(B2929,10)="@gmail.com","Gmail",IF(OR(RIGHT(B2929,12)="@outlook.com",RIGHT(B2929,12)="@hotmail.com",RIGHT(B2929,9)="@live.com"),"Outlook","Domain")))</f>
        <v/>
      </c>
      <c r="F2929">
        <f>IF(B2929="","",IFERROR(RIGHT(B2929,LEN(B2929)-FIND("@",B2929)),""))</f>
        <v/>
      </c>
      <c r="G2929">
        <f>IF(D2929="KEEP",COUNTIF($D$2:D2929,"KEEP"),"")</f>
        <v/>
      </c>
      <c r="H2929">
        <f>IF(D2929="REMOVE",COUNTIF($D$2:D2929,"REMOVE"),"")</f>
        <v/>
      </c>
      <c r="I2929">
        <f>IF(E2929="Gmail",COUNTIF($E$2:E2929,"Gmail"),"")</f>
        <v/>
      </c>
      <c r="J2929">
        <f>IF(E2929="Outlook",COUNTIF($E$2:E2929,"Outlook"),"")</f>
        <v/>
      </c>
      <c r="K2929">
        <f>IF(E2929="Domain",COUNTIF($E$2:E2929,"Domain"),"")</f>
        <v/>
      </c>
    </row>
    <row r="2930">
      <c r="A2930" s="2" t="n"/>
      <c r="B2930">
        <f>LOWER(TRIM(A2930))</f>
        <v/>
      </c>
      <c r="C2930">
        <f>IF(B2930="","",IFERROR(INDEX('Bad Patterns'!$A$2:$A$120,MATCH(1,INDEX(--ISNUMBER(SEARCH('Bad Patterns'!$A$2:$A$120,B2930)),0),0)),""))</f>
        <v/>
      </c>
      <c r="D2930">
        <f>IF(B2930="","",IF(C2930&lt;&gt;"","REMOVE","KEEP"))</f>
        <v/>
      </c>
      <c r="E2930">
        <f>IF(D2930&lt;&gt;"KEEP","",IF(RIGHT(B2930,10)="@gmail.com","Gmail",IF(OR(RIGHT(B2930,12)="@outlook.com",RIGHT(B2930,12)="@hotmail.com",RIGHT(B2930,9)="@live.com"),"Outlook","Domain")))</f>
        <v/>
      </c>
      <c r="F2930">
        <f>IF(B2930="","",IFERROR(RIGHT(B2930,LEN(B2930)-FIND("@",B2930)),""))</f>
        <v/>
      </c>
      <c r="G2930">
        <f>IF(D2930="KEEP",COUNTIF($D$2:D2930,"KEEP"),"")</f>
        <v/>
      </c>
      <c r="H2930">
        <f>IF(D2930="REMOVE",COUNTIF($D$2:D2930,"REMOVE"),"")</f>
        <v/>
      </c>
      <c r="I2930">
        <f>IF(E2930="Gmail",COUNTIF($E$2:E2930,"Gmail"),"")</f>
        <v/>
      </c>
      <c r="J2930">
        <f>IF(E2930="Outlook",COUNTIF($E$2:E2930,"Outlook"),"")</f>
        <v/>
      </c>
      <c r="K2930">
        <f>IF(E2930="Domain",COUNTIF($E$2:E2930,"Domain"),"")</f>
        <v/>
      </c>
    </row>
    <row r="2931">
      <c r="A2931" s="2" t="n"/>
      <c r="B2931">
        <f>LOWER(TRIM(A2931))</f>
        <v/>
      </c>
      <c r="C2931">
        <f>IF(B2931="","",IFERROR(INDEX('Bad Patterns'!$A$2:$A$120,MATCH(1,INDEX(--ISNUMBER(SEARCH('Bad Patterns'!$A$2:$A$120,B2931)),0),0)),""))</f>
        <v/>
      </c>
      <c r="D2931">
        <f>IF(B2931="","",IF(C2931&lt;&gt;"","REMOVE","KEEP"))</f>
        <v/>
      </c>
      <c r="E2931">
        <f>IF(D2931&lt;&gt;"KEEP","",IF(RIGHT(B2931,10)="@gmail.com","Gmail",IF(OR(RIGHT(B2931,12)="@outlook.com",RIGHT(B2931,12)="@hotmail.com",RIGHT(B2931,9)="@live.com"),"Outlook","Domain")))</f>
        <v/>
      </c>
      <c r="F2931">
        <f>IF(B2931="","",IFERROR(RIGHT(B2931,LEN(B2931)-FIND("@",B2931)),""))</f>
        <v/>
      </c>
      <c r="G2931">
        <f>IF(D2931="KEEP",COUNTIF($D$2:D2931,"KEEP"),"")</f>
        <v/>
      </c>
      <c r="H2931">
        <f>IF(D2931="REMOVE",COUNTIF($D$2:D2931,"REMOVE"),"")</f>
        <v/>
      </c>
      <c r="I2931">
        <f>IF(E2931="Gmail",COUNTIF($E$2:E2931,"Gmail"),"")</f>
        <v/>
      </c>
      <c r="J2931">
        <f>IF(E2931="Outlook",COUNTIF($E$2:E2931,"Outlook"),"")</f>
        <v/>
      </c>
      <c r="K2931">
        <f>IF(E2931="Domain",COUNTIF($E$2:E2931,"Domain"),"")</f>
        <v/>
      </c>
    </row>
    <row r="2932">
      <c r="A2932" s="2" t="n"/>
      <c r="B2932">
        <f>LOWER(TRIM(A2932))</f>
        <v/>
      </c>
      <c r="C2932">
        <f>IF(B2932="","",IFERROR(INDEX('Bad Patterns'!$A$2:$A$120,MATCH(1,INDEX(--ISNUMBER(SEARCH('Bad Patterns'!$A$2:$A$120,B2932)),0),0)),""))</f>
        <v/>
      </c>
      <c r="D2932">
        <f>IF(B2932="","",IF(C2932&lt;&gt;"","REMOVE","KEEP"))</f>
        <v/>
      </c>
      <c r="E2932">
        <f>IF(D2932&lt;&gt;"KEEP","",IF(RIGHT(B2932,10)="@gmail.com","Gmail",IF(OR(RIGHT(B2932,12)="@outlook.com",RIGHT(B2932,12)="@hotmail.com",RIGHT(B2932,9)="@live.com"),"Outlook","Domain")))</f>
        <v/>
      </c>
      <c r="F2932">
        <f>IF(B2932="","",IFERROR(RIGHT(B2932,LEN(B2932)-FIND("@",B2932)),""))</f>
        <v/>
      </c>
      <c r="G2932">
        <f>IF(D2932="KEEP",COUNTIF($D$2:D2932,"KEEP"),"")</f>
        <v/>
      </c>
      <c r="H2932">
        <f>IF(D2932="REMOVE",COUNTIF($D$2:D2932,"REMOVE"),"")</f>
        <v/>
      </c>
      <c r="I2932">
        <f>IF(E2932="Gmail",COUNTIF($E$2:E2932,"Gmail"),"")</f>
        <v/>
      </c>
      <c r="J2932">
        <f>IF(E2932="Outlook",COUNTIF($E$2:E2932,"Outlook"),"")</f>
        <v/>
      </c>
      <c r="K2932">
        <f>IF(E2932="Domain",COUNTIF($E$2:E2932,"Domain"),"")</f>
        <v/>
      </c>
    </row>
    <row r="2933">
      <c r="A2933" s="2" t="n"/>
      <c r="B2933">
        <f>LOWER(TRIM(A2933))</f>
        <v/>
      </c>
      <c r="C2933">
        <f>IF(B2933="","",IFERROR(INDEX('Bad Patterns'!$A$2:$A$120,MATCH(1,INDEX(--ISNUMBER(SEARCH('Bad Patterns'!$A$2:$A$120,B2933)),0),0)),""))</f>
        <v/>
      </c>
      <c r="D2933">
        <f>IF(B2933="","",IF(C2933&lt;&gt;"","REMOVE","KEEP"))</f>
        <v/>
      </c>
      <c r="E2933">
        <f>IF(D2933&lt;&gt;"KEEP","",IF(RIGHT(B2933,10)="@gmail.com","Gmail",IF(OR(RIGHT(B2933,12)="@outlook.com",RIGHT(B2933,12)="@hotmail.com",RIGHT(B2933,9)="@live.com"),"Outlook","Domain")))</f>
        <v/>
      </c>
      <c r="F2933">
        <f>IF(B2933="","",IFERROR(RIGHT(B2933,LEN(B2933)-FIND("@",B2933)),""))</f>
        <v/>
      </c>
      <c r="G2933">
        <f>IF(D2933="KEEP",COUNTIF($D$2:D2933,"KEEP"),"")</f>
        <v/>
      </c>
      <c r="H2933">
        <f>IF(D2933="REMOVE",COUNTIF($D$2:D2933,"REMOVE"),"")</f>
        <v/>
      </c>
      <c r="I2933">
        <f>IF(E2933="Gmail",COUNTIF($E$2:E2933,"Gmail"),"")</f>
        <v/>
      </c>
      <c r="J2933">
        <f>IF(E2933="Outlook",COUNTIF($E$2:E2933,"Outlook"),"")</f>
        <v/>
      </c>
      <c r="K2933">
        <f>IF(E2933="Domain",COUNTIF($E$2:E2933,"Domain"),"")</f>
        <v/>
      </c>
    </row>
    <row r="2934">
      <c r="A2934" s="2" t="n"/>
      <c r="B2934">
        <f>LOWER(TRIM(A2934))</f>
        <v/>
      </c>
      <c r="C2934">
        <f>IF(B2934="","",IFERROR(INDEX('Bad Patterns'!$A$2:$A$120,MATCH(1,INDEX(--ISNUMBER(SEARCH('Bad Patterns'!$A$2:$A$120,B2934)),0),0)),""))</f>
        <v/>
      </c>
      <c r="D2934">
        <f>IF(B2934="","",IF(C2934&lt;&gt;"","REMOVE","KEEP"))</f>
        <v/>
      </c>
      <c r="E2934">
        <f>IF(D2934&lt;&gt;"KEEP","",IF(RIGHT(B2934,10)="@gmail.com","Gmail",IF(OR(RIGHT(B2934,12)="@outlook.com",RIGHT(B2934,12)="@hotmail.com",RIGHT(B2934,9)="@live.com"),"Outlook","Domain")))</f>
        <v/>
      </c>
      <c r="F2934">
        <f>IF(B2934="","",IFERROR(RIGHT(B2934,LEN(B2934)-FIND("@",B2934)),""))</f>
        <v/>
      </c>
      <c r="G2934">
        <f>IF(D2934="KEEP",COUNTIF($D$2:D2934,"KEEP"),"")</f>
        <v/>
      </c>
      <c r="H2934">
        <f>IF(D2934="REMOVE",COUNTIF($D$2:D2934,"REMOVE"),"")</f>
        <v/>
      </c>
      <c r="I2934">
        <f>IF(E2934="Gmail",COUNTIF($E$2:E2934,"Gmail"),"")</f>
        <v/>
      </c>
      <c r="J2934">
        <f>IF(E2934="Outlook",COUNTIF($E$2:E2934,"Outlook"),"")</f>
        <v/>
      </c>
      <c r="K2934">
        <f>IF(E2934="Domain",COUNTIF($E$2:E2934,"Domain"),"")</f>
        <v/>
      </c>
    </row>
    <row r="2935">
      <c r="A2935" s="2" t="n"/>
      <c r="B2935">
        <f>LOWER(TRIM(A2935))</f>
        <v/>
      </c>
      <c r="C2935">
        <f>IF(B2935="","",IFERROR(INDEX('Bad Patterns'!$A$2:$A$120,MATCH(1,INDEX(--ISNUMBER(SEARCH('Bad Patterns'!$A$2:$A$120,B2935)),0),0)),""))</f>
        <v/>
      </c>
      <c r="D2935">
        <f>IF(B2935="","",IF(C2935&lt;&gt;"","REMOVE","KEEP"))</f>
        <v/>
      </c>
      <c r="E2935">
        <f>IF(D2935&lt;&gt;"KEEP","",IF(RIGHT(B2935,10)="@gmail.com","Gmail",IF(OR(RIGHT(B2935,12)="@outlook.com",RIGHT(B2935,12)="@hotmail.com",RIGHT(B2935,9)="@live.com"),"Outlook","Domain")))</f>
        <v/>
      </c>
      <c r="F2935">
        <f>IF(B2935="","",IFERROR(RIGHT(B2935,LEN(B2935)-FIND("@",B2935)),""))</f>
        <v/>
      </c>
      <c r="G2935">
        <f>IF(D2935="KEEP",COUNTIF($D$2:D2935,"KEEP"),"")</f>
        <v/>
      </c>
      <c r="H2935">
        <f>IF(D2935="REMOVE",COUNTIF($D$2:D2935,"REMOVE"),"")</f>
        <v/>
      </c>
      <c r="I2935">
        <f>IF(E2935="Gmail",COUNTIF($E$2:E2935,"Gmail"),"")</f>
        <v/>
      </c>
      <c r="J2935">
        <f>IF(E2935="Outlook",COUNTIF($E$2:E2935,"Outlook"),"")</f>
        <v/>
      </c>
      <c r="K2935">
        <f>IF(E2935="Domain",COUNTIF($E$2:E2935,"Domain"),"")</f>
        <v/>
      </c>
    </row>
    <row r="2936">
      <c r="A2936" s="2" t="n"/>
      <c r="B2936">
        <f>LOWER(TRIM(A2936))</f>
        <v/>
      </c>
      <c r="C2936">
        <f>IF(B2936="","",IFERROR(INDEX('Bad Patterns'!$A$2:$A$120,MATCH(1,INDEX(--ISNUMBER(SEARCH('Bad Patterns'!$A$2:$A$120,B2936)),0),0)),""))</f>
        <v/>
      </c>
      <c r="D2936">
        <f>IF(B2936="","",IF(C2936&lt;&gt;"","REMOVE","KEEP"))</f>
        <v/>
      </c>
      <c r="E2936">
        <f>IF(D2936&lt;&gt;"KEEP","",IF(RIGHT(B2936,10)="@gmail.com","Gmail",IF(OR(RIGHT(B2936,12)="@outlook.com",RIGHT(B2936,12)="@hotmail.com",RIGHT(B2936,9)="@live.com"),"Outlook","Domain")))</f>
        <v/>
      </c>
      <c r="F2936">
        <f>IF(B2936="","",IFERROR(RIGHT(B2936,LEN(B2936)-FIND("@",B2936)),""))</f>
        <v/>
      </c>
      <c r="G2936">
        <f>IF(D2936="KEEP",COUNTIF($D$2:D2936,"KEEP"),"")</f>
        <v/>
      </c>
      <c r="H2936">
        <f>IF(D2936="REMOVE",COUNTIF($D$2:D2936,"REMOVE"),"")</f>
        <v/>
      </c>
      <c r="I2936">
        <f>IF(E2936="Gmail",COUNTIF($E$2:E2936,"Gmail"),"")</f>
        <v/>
      </c>
      <c r="J2936">
        <f>IF(E2936="Outlook",COUNTIF($E$2:E2936,"Outlook"),"")</f>
        <v/>
      </c>
      <c r="K2936">
        <f>IF(E2936="Domain",COUNTIF($E$2:E2936,"Domain"),"")</f>
        <v/>
      </c>
    </row>
    <row r="2937">
      <c r="A2937" s="2" t="n"/>
      <c r="B2937">
        <f>LOWER(TRIM(A2937))</f>
        <v/>
      </c>
      <c r="C2937">
        <f>IF(B2937="","",IFERROR(INDEX('Bad Patterns'!$A$2:$A$120,MATCH(1,INDEX(--ISNUMBER(SEARCH('Bad Patterns'!$A$2:$A$120,B2937)),0),0)),""))</f>
        <v/>
      </c>
      <c r="D2937">
        <f>IF(B2937="","",IF(C2937&lt;&gt;"","REMOVE","KEEP"))</f>
        <v/>
      </c>
      <c r="E2937">
        <f>IF(D2937&lt;&gt;"KEEP","",IF(RIGHT(B2937,10)="@gmail.com","Gmail",IF(OR(RIGHT(B2937,12)="@outlook.com",RIGHT(B2937,12)="@hotmail.com",RIGHT(B2937,9)="@live.com"),"Outlook","Domain")))</f>
        <v/>
      </c>
      <c r="F2937">
        <f>IF(B2937="","",IFERROR(RIGHT(B2937,LEN(B2937)-FIND("@",B2937)),""))</f>
        <v/>
      </c>
      <c r="G2937">
        <f>IF(D2937="KEEP",COUNTIF($D$2:D2937,"KEEP"),"")</f>
        <v/>
      </c>
      <c r="H2937">
        <f>IF(D2937="REMOVE",COUNTIF($D$2:D2937,"REMOVE"),"")</f>
        <v/>
      </c>
      <c r="I2937">
        <f>IF(E2937="Gmail",COUNTIF($E$2:E2937,"Gmail"),"")</f>
        <v/>
      </c>
      <c r="J2937">
        <f>IF(E2937="Outlook",COUNTIF($E$2:E2937,"Outlook"),"")</f>
        <v/>
      </c>
      <c r="K2937">
        <f>IF(E2937="Domain",COUNTIF($E$2:E2937,"Domain"),"")</f>
        <v/>
      </c>
    </row>
    <row r="2938">
      <c r="A2938" s="2" t="n"/>
      <c r="B2938">
        <f>LOWER(TRIM(A2938))</f>
        <v/>
      </c>
      <c r="C2938">
        <f>IF(B2938="","",IFERROR(INDEX('Bad Patterns'!$A$2:$A$120,MATCH(1,INDEX(--ISNUMBER(SEARCH('Bad Patterns'!$A$2:$A$120,B2938)),0),0)),""))</f>
        <v/>
      </c>
      <c r="D2938">
        <f>IF(B2938="","",IF(C2938&lt;&gt;"","REMOVE","KEEP"))</f>
        <v/>
      </c>
      <c r="E2938">
        <f>IF(D2938&lt;&gt;"KEEP","",IF(RIGHT(B2938,10)="@gmail.com","Gmail",IF(OR(RIGHT(B2938,12)="@outlook.com",RIGHT(B2938,12)="@hotmail.com",RIGHT(B2938,9)="@live.com"),"Outlook","Domain")))</f>
        <v/>
      </c>
      <c r="F2938">
        <f>IF(B2938="","",IFERROR(RIGHT(B2938,LEN(B2938)-FIND("@",B2938)),""))</f>
        <v/>
      </c>
      <c r="G2938">
        <f>IF(D2938="KEEP",COUNTIF($D$2:D2938,"KEEP"),"")</f>
        <v/>
      </c>
      <c r="H2938">
        <f>IF(D2938="REMOVE",COUNTIF($D$2:D2938,"REMOVE"),"")</f>
        <v/>
      </c>
      <c r="I2938">
        <f>IF(E2938="Gmail",COUNTIF($E$2:E2938,"Gmail"),"")</f>
        <v/>
      </c>
      <c r="J2938">
        <f>IF(E2938="Outlook",COUNTIF($E$2:E2938,"Outlook"),"")</f>
        <v/>
      </c>
      <c r="K2938">
        <f>IF(E2938="Domain",COUNTIF($E$2:E2938,"Domain"),"")</f>
        <v/>
      </c>
    </row>
    <row r="2939">
      <c r="A2939" s="2" t="n"/>
      <c r="B2939">
        <f>LOWER(TRIM(A2939))</f>
        <v/>
      </c>
      <c r="C2939">
        <f>IF(B2939="","",IFERROR(INDEX('Bad Patterns'!$A$2:$A$120,MATCH(1,INDEX(--ISNUMBER(SEARCH('Bad Patterns'!$A$2:$A$120,B2939)),0),0)),""))</f>
        <v/>
      </c>
      <c r="D2939">
        <f>IF(B2939="","",IF(C2939&lt;&gt;"","REMOVE","KEEP"))</f>
        <v/>
      </c>
      <c r="E2939">
        <f>IF(D2939&lt;&gt;"KEEP","",IF(RIGHT(B2939,10)="@gmail.com","Gmail",IF(OR(RIGHT(B2939,12)="@outlook.com",RIGHT(B2939,12)="@hotmail.com",RIGHT(B2939,9)="@live.com"),"Outlook","Domain")))</f>
        <v/>
      </c>
      <c r="F2939">
        <f>IF(B2939="","",IFERROR(RIGHT(B2939,LEN(B2939)-FIND("@",B2939)),""))</f>
        <v/>
      </c>
      <c r="G2939">
        <f>IF(D2939="KEEP",COUNTIF($D$2:D2939,"KEEP"),"")</f>
        <v/>
      </c>
      <c r="H2939">
        <f>IF(D2939="REMOVE",COUNTIF($D$2:D2939,"REMOVE"),"")</f>
        <v/>
      </c>
      <c r="I2939">
        <f>IF(E2939="Gmail",COUNTIF($E$2:E2939,"Gmail"),"")</f>
        <v/>
      </c>
      <c r="J2939">
        <f>IF(E2939="Outlook",COUNTIF($E$2:E2939,"Outlook"),"")</f>
        <v/>
      </c>
      <c r="K2939">
        <f>IF(E2939="Domain",COUNTIF($E$2:E2939,"Domain"),"")</f>
        <v/>
      </c>
    </row>
    <row r="2940">
      <c r="A2940" s="2" t="n"/>
      <c r="B2940">
        <f>LOWER(TRIM(A2940))</f>
        <v/>
      </c>
      <c r="C2940">
        <f>IF(B2940="","",IFERROR(INDEX('Bad Patterns'!$A$2:$A$120,MATCH(1,INDEX(--ISNUMBER(SEARCH('Bad Patterns'!$A$2:$A$120,B2940)),0),0)),""))</f>
        <v/>
      </c>
      <c r="D2940">
        <f>IF(B2940="","",IF(C2940&lt;&gt;"","REMOVE","KEEP"))</f>
        <v/>
      </c>
      <c r="E2940">
        <f>IF(D2940&lt;&gt;"KEEP","",IF(RIGHT(B2940,10)="@gmail.com","Gmail",IF(OR(RIGHT(B2940,12)="@outlook.com",RIGHT(B2940,12)="@hotmail.com",RIGHT(B2940,9)="@live.com"),"Outlook","Domain")))</f>
        <v/>
      </c>
      <c r="F2940">
        <f>IF(B2940="","",IFERROR(RIGHT(B2940,LEN(B2940)-FIND("@",B2940)),""))</f>
        <v/>
      </c>
      <c r="G2940">
        <f>IF(D2940="KEEP",COUNTIF($D$2:D2940,"KEEP"),"")</f>
        <v/>
      </c>
      <c r="H2940">
        <f>IF(D2940="REMOVE",COUNTIF($D$2:D2940,"REMOVE"),"")</f>
        <v/>
      </c>
      <c r="I2940">
        <f>IF(E2940="Gmail",COUNTIF($E$2:E2940,"Gmail"),"")</f>
        <v/>
      </c>
      <c r="J2940">
        <f>IF(E2940="Outlook",COUNTIF($E$2:E2940,"Outlook"),"")</f>
        <v/>
      </c>
      <c r="K2940">
        <f>IF(E2940="Domain",COUNTIF($E$2:E2940,"Domain"),"")</f>
        <v/>
      </c>
    </row>
    <row r="2941">
      <c r="A2941" s="2" t="n"/>
      <c r="B2941">
        <f>LOWER(TRIM(A2941))</f>
        <v/>
      </c>
      <c r="C2941">
        <f>IF(B2941="","",IFERROR(INDEX('Bad Patterns'!$A$2:$A$120,MATCH(1,INDEX(--ISNUMBER(SEARCH('Bad Patterns'!$A$2:$A$120,B2941)),0),0)),""))</f>
        <v/>
      </c>
      <c r="D2941">
        <f>IF(B2941="","",IF(C2941&lt;&gt;"","REMOVE","KEEP"))</f>
        <v/>
      </c>
      <c r="E2941">
        <f>IF(D2941&lt;&gt;"KEEP","",IF(RIGHT(B2941,10)="@gmail.com","Gmail",IF(OR(RIGHT(B2941,12)="@outlook.com",RIGHT(B2941,12)="@hotmail.com",RIGHT(B2941,9)="@live.com"),"Outlook","Domain")))</f>
        <v/>
      </c>
      <c r="F2941">
        <f>IF(B2941="","",IFERROR(RIGHT(B2941,LEN(B2941)-FIND("@",B2941)),""))</f>
        <v/>
      </c>
      <c r="G2941">
        <f>IF(D2941="KEEP",COUNTIF($D$2:D2941,"KEEP"),"")</f>
        <v/>
      </c>
      <c r="H2941">
        <f>IF(D2941="REMOVE",COUNTIF($D$2:D2941,"REMOVE"),"")</f>
        <v/>
      </c>
      <c r="I2941">
        <f>IF(E2941="Gmail",COUNTIF($E$2:E2941,"Gmail"),"")</f>
        <v/>
      </c>
      <c r="J2941">
        <f>IF(E2941="Outlook",COUNTIF($E$2:E2941,"Outlook"),"")</f>
        <v/>
      </c>
      <c r="K2941">
        <f>IF(E2941="Domain",COUNTIF($E$2:E2941,"Domain"),"")</f>
        <v/>
      </c>
    </row>
    <row r="2942">
      <c r="A2942" s="2" t="n"/>
      <c r="B2942">
        <f>LOWER(TRIM(A2942))</f>
        <v/>
      </c>
      <c r="C2942">
        <f>IF(B2942="","",IFERROR(INDEX('Bad Patterns'!$A$2:$A$120,MATCH(1,INDEX(--ISNUMBER(SEARCH('Bad Patterns'!$A$2:$A$120,B2942)),0),0)),""))</f>
        <v/>
      </c>
      <c r="D2942">
        <f>IF(B2942="","",IF(C2942&lt;&gt;"","REMOVE","KEEP"))</f>
        <v/>
      </c>
      <c r="E2942">
        <f>IF(D2942&lt;&gt;"KEEP","",IF(RIGHT(B2942,10)="@gmail.com","Gmail",IF(OR(RIGHT(B2942,12)="@outlook.com",RIGHT(B2942,12)="@hotmail.com",RIGHT(B2942,9)="@live.com"),"Outlook","Domain")))</f>
        <v/>
      </c>
      <c r="F2942">
        <f>IF(B2942="","",IFERROR(RIGHT(B2942,LEN(B2942)-FIND("@",B2942)),""))</f>
        <v/>
      </c>
      <c r="G2942">
        <f>IF(D2942="KEEP",COUNTIF($D$2:D2942,"KEEP"),"")</f>
        <v/>
      </c>
      <c r="H2942">
        <f>IF(D2942="REMOVE",COUNTIF($D$2:D2942,"REMOVE"),"")</f>
        <v/>
      </c>
      <c r="I2942">
        <f>IF(E2942="Gmail",COUNTIF($E$2:E2942,"Gmail"),"")</f>
        <v/>
      </c>
      <c r="J2942">
        <f>IF(E2942="Outlook",COUNTIF($E$2:E2942,"Outlook"),"")</f>
        <v/>
      </c>
      <c r="K2942">
        <f>IF(E2942="Domain",COUNTIF($E$2:E2942,"Domain"),"")</f>
        <v/>
      </c>
    </row>
    <row r="2943">
      <c r="A2943" s="2" t="n"/>
      <c r="B2943">
        <f>LOWER(TRIM(A2943))</f>
        <v/>
      </c>
      <c r="C2943">
        <f>IF(B2943="","",IFERROR(INDEX('Bad Patterns'!$A$2:$A$120,MATCH(1,INDEX(--ISNUMBER(SEARCH('Bad Patterns'!$A$2:$A$120,B2943)),0),0)),""))</f>
        <v/>
      </c>
      <c r="D2943">
        <f>IF(B2943="","",IF(C2943&lt;&gt;"","REMOVE","KEEP"))</f>
        <v/>
      </c>
      <c r="E2943">
        <f>IF(D2943&lt;&gt;"KEEP","",IF(RIGHT(B2943,10)="@gmail.com","Gmail",IF(OR(RIGHT(B2943,12)="@outlook.com",RIGHT(B2943,12)="@hotmail.com",RIGHT(B2943,9)="@live.com"),"Outlook","Domain")))</f>
        <v/>
      </c>
      <c r="F2943">
        <f>IF(B2943="","",IFERROR(RIGHT(B2943,LEN(B2943)-FIND("@",B2943)),""))</f>
        <v/>
      </c>
      <c r="G2943">
        <f>IF(D2943="KEEP",COUNTIF($D$2:D2943,"KEEP"),"")</f>
        <v/>
      </c>
      <c r="H2943">
        <f>IF(D2943="REMOVE",COUNTIF($D$2:D2943,"REMOVE"),"")</f>
        <v/>
      </c>
      <c r="I2943">
        <f>IF(E2943="Gmail",COUNTIF($E$2:E2943,"Gmail"),"")</f>
        <v/>
      </c>
      <c r="J2943">
        <f>IF(E2943="Outlook",COUNTIF($E$2:E2943,"Outlook"),"")</f>
        <v/>
      </c>
      <c r="K2943">
        <f>IF(E2943="Domain",COUNTIF($E$2:E2943,"Domain"),"")</f>
        <v/>
      </c>
    </row>
    <row r="2944">
      <c r="A2944" s="2" t="n"/>
      <c r="B2944">
        <f>LOWER(TRIM(A2944))</f>
        <v/>
      </c>
      <c r="C2944">
        <f>IF(B2944="","",IFERROR(INDEX('Bad Patterns'!$A$2:$A$120,MATCH(1,INDEX(--ISNUMBER(SEARCH('Bad Patterns'!$A$2:$A$120,B2944)),0),0)),""))</f>
        <v/>
      </c>
      <c r="D2944">
        <f>IF(B2944="","",IF(C2944&lt;&gt;"","REMOVE","KEEP"))</f>
        <v/>
      </c>
      <c r="E2944">
        <f>IF(D2944&lt;&gt;"KEEP","",IF(RIGHT(B2944,10)="@gmail.com","Gmail",IF(OR(RIGHT(B2944,12)="@outlook.com",RIGHT(B2944,12)="@hotmail.com",RIGHT(B2944,9)="@live.com"),"Outlook","Domain")))</f>
        <v/>
      </c>
      <c r="F2944">
        <f>IF(B2944="","",IFERROR(RIGHT(B2944,LEN(B2944)-FIND("@",B2944)),""))</f>
        <v/>
      </c>
      <c r="G2944">
        <f>IF(D2944="KEEP",COUNTIF($D$2:D2944,"KEEP"),"")</f>
        <v/>
      </c>
      <c r="H2944">
        <f>IF(D2944="REMOVE",COUNTIF($D$2:D2944,"REMOVE"),"")</f>
        <v/>
      </c>
      <c r="I2944">
        <f>IF(E2944="Gmail",COUNTIF($E$2:E2944,"Gmail"),"")</f>
        <v/>
      </c>
      <c r="J2944">
        <f>IF(E2944="Outlook",COUNTIF($E$2:E2944,"Outlook"),"")</f>
        <v/>
      </c>
      <c r="K2944">
        <f>IF(E2944="Domain",COUNTIF($E$2:E2944,"Domain"),"")</f>
        <v/>
      </c>
    </row>
    <row r="2945">
      <c r="A2945" s="2" t="n"/>
      <c r="B2945">
        <f>LOWER(TRIM(A2945))</f>
        <v/>
      </c>
      <c r="C2945">
        <f>IF(B2945="","",IFERROR(INDEX('Bad Patterns'!$A$2:$A$120,MATCH(1,INDEX(--ISNUMBER(SEARCH('Bad Patterns'!$A$2:$A$120,B2945)),0),0)),""))</f>
        <v/>
      </c>
      <c r="D2945">
        <f>IF(B2945="","",IF(C2945&lt;&gt;"","REMOVE","KEEP"))</f>
        <v/>
      </c>
      <c r="E2945">
        <f>IF(D2945&lt;&gt;"KEEP","",IF(RIGHT(B2945,10)="@gmail.com","Gmail",IF(OR(RIGHT(B2945,12)="@outlook.com",RIGHT(B2945,12)="@hotmail.com",RIGHT(B2945,9)="@live.com"),"Outlook","Domain")))</f>
        <v/>
      </c>
      <c r="F2945">
        <f>IF(B2945="","",IFERROR(RIGHT(B2945,LEN(B2945)-FIND("@",B2945)),""))</f>
        <v/>
      </c>
      <c r="G2945">
        <f>IF(D2945="KEEP",COUNTIF($D$2:D2945,"KEEP"),"")</f>
        <v/>
      </c>
      <c r="H2945">
        <f>IF(D2945="REMOVE",COUNTIF($D$2:D2945,"REMOVE"),"")</f>
        <v/>
      </c>
      <c r="I2945">
        <f>IF(E2945="Gmail",COUNTIF($E$2:E2945,"Gmail"),"")</f>
        <v/>
      </c>
      <c r="J2945">
        <f>IF(E2945="Outlook",COUNTIF($E$2:E2945,"Outlook"),"")</f>
        <v/>
      </c>
      <c r="K2945">
        <f>IF(E2945="Domain",COUNTIF($E$2:E2945,"Domain"),"")</f>
        <v/>
      </c>
    </row>
    <row r="2946">
      <c r="A2946" s="2" t="n"/>
      <c r="B2946">
        <f>LOWER(TRIM(A2946))</f>
        <v/>
      </c>
      <c r="C2946">
        <f>IF(B2946="","",IFERROR(INDEX('Bad Patterns'!$A$2:$A$120,MATCH(1,INDEX(--ISNUMBER(SEARCH('Bad Patterns'!$A$2:$A$120,B2946)),0),0)),""))</f>
        <v/>
      </c>
      <c r="D2946">
        <f>IF(B2946="","",IF(C2946&lt;&gt;"","REMOVE","KEEP"))</f>
        <v/>
      </c>
      <c r="E2946">
        <f>IF(D2946&lt;&gt;"KEEP","",IF(RIGHT(B2946,10)="@gmail.com","Gmail",IF(OR(RIGHT(B2946,12)="@outlook.com",RIGHT(B2946,12)="@hotmail.com",RIGHT(B2946,9)="@live.com"),"Outlook","Domain")))</f>
        <v/>
      </c>
      <c r="F2946">
        <f>IF(B2946="","",IFERROR(RIGHT(B2946,LEN(B2946)-FIND("@",B2946)),""))</f>
        <v/>
      </c>
      <c r="G2946">
        <f>IF(D2946="KEEP",COUNTIF($D$2:D2946,"KEEP"),"")</f>
        <v/>
      </c>
      <c r="H2946">
        <f>IF(D2946="REMOVE",COUNTIF($D$2:D2946,"REMOVE"),"")</f>
        <v/>
      </c>
      <c r="I2946">
        <f>IF(E2946="Gmail",COUNTIF($E$2:E2946,"Gmail"),"")</f>
        <v/>
      </c>
      <c r="J2946">
        <f>IF(E2946="Outlook",COUNTIF($E$2:E2946,"Outlook"),"")</f>
        <v/>
      </c>
      <c r="K2946">
        <f>IF(E2946="Domain",COUNTIF($E$2:E2946,"Domain"),"")</f>
        <v/>
      </c>
    </row>
    <row r="2947">
      <c r="A2947" s="2" t="n"/>
      <c r="B2947">
        <f>LOWER(TRIM(A2947))</f>
        <v/>
      </c>
      <c r="C2947">
        <f>IF(B2947="","",IFERROR(INDEX('Bad Patterns'!$A$2:$A$120,MATCH(1,INDEX(--ISNUMBER(SEARCH('Bad Patterns'!$A$2:$A$120,B2947)),0),0)),""))</f>
        <v/>
      </c>
      <c r="D2947">
        <f>IF(B2947="","",IF(C2947&lt;&gt;"","REMOVE","KEEP"))</f>
        <v/>
      </c>
      <c r="E2947">
        <f>IF(D2947&lt;&gt;"KEEP","",IF(RIGHT(B2947,10)="@gmail.com","Gmail",IF(OR(RIGHT(B2947,12)="@outlook.com",RIGHT(B2947,12)="@hotmail.com",RIGHT(B2947,9)="@live.com"),"Outlook","Domain")))</f>
        <v/>
      </c>
      <c r="F2947">
        <f>IF(B2947="","",IFERROR(RIGHT(B2947,LEN(B2947)-FIND("@",B2947)),""))</f>
        <v/>
      </c>
      <c r="G2947">
        <f>IF(D2947="KEEP",COUNTIF($D$2:D2947,"KEEP"),"")</f>
        <v/>
      </c>
      <c r="H2947">
        <f>IF(D2947="REMOVE",COUNTIF($D$2:D2947,"REMOVE"),"")</f>
        <v/>
      </c>
      <c r="I2947">
        <f>IF(E2947="Gmail",COUNTIF($E$2:E2947,"Gmail"),"")</f>
        <v/>
      </c>
      <c r="J2947">
        <f>IF(E2947="Outlook",COUNTIF($E$2:E2947,"Outlook"),"")</f>
        <v/>
      </c>
      <c r="K2947">
        <f>IF(E2947="Domain",COUNTIF($E$2:E2947,"Domain"),"")</f>
        <v/>
      </c>
    </row>
    <row r="2948">
      <c r="A2948" s="2" t="n"/>
      <c r="B2948">
        <f>LOWER(TRIM(A2948))</f>
        <v/>
      </c>
      <c r="C2948">
        <f>IF(B2948="","",IFERROR(INDEX('Bad Patterns'!$A$2:$A$120,MATCH(1,INDEX(--ISNUMBER(SEARCH('Bad Patterns'!$A$2:$A$120,B2948)),0),0)),""))</f>
        <v/>
      </c>
      <c r="D2948">
        <f>IF(B2948="","",IF(C2948&lt;&gt;"","REMOVE","KEEP"))</f>
        <v/>
      </c>
      <c r="E2948">
        <f>IF(D2948&lt;&gt;"KEEP","",IF(RIGHT(B2948,10)="@gmail.com","Gmail",IF(OR(RIGHT(B2948,12)="@outlook.com",RIGHT(B2948,12)="@hotmail.com",RIGHT(B2948,9)="@live.com"),"Outlook","Domain")))</f>
        <v/>
      </c>
      <c r="F2948">
        <f>IF(B2948="","",IFERROR(RIGHT(B2948,LEN(B2948)-FIND("@",B2948)),""))</f>
        <v/>
      </c>
      <c r="G2948">
        <f>IF(D2948="KEEP",COUNTIF($D$2:D2948,"KEEP"),"")</f>
        <v/>
      </c>
      <c r="H2948">
        <f>IF(D2948="REMOVE",COUNTIF($D$2:D2948,"REMOVE"),"")</f>
        <v/>
      </c>
      <c r="I2948">
        <f>IF(E2948="Gmail",COUNTIF($E$2:E2948,"Gmail"),"")</f>
        <v/>
      </c>
      <c r="J2948">
        <f>IF(E2948="Outlook",COUNTIF($E$2:E2948,"Outlook"),"")</f>
        <v/>
      </c>
      <c r="K2948">
        <f>IF(E2948="Domain",COUNTIF($E$2:E2948,"Domain"),"")</f>
        <v/>
      </c>
    </row>
    <row r="2949">
      <c r="A2949" s="2" t="n"/>
      <c r="B2949">
        <f>LOWER(TRIM(A2949))</f>
        <v/>
      </c>
      <c r="C2949">
        <f>IF(B2949="","",IFERROR(INDEX('Bad Patterns'!$A$2:$A$120,MATCH(1,INDEX(--ISNUMBER(SEARCH('Bad Patterns'!$A$2:$A$120,B2949)),0),0)),""))</f>
        <v/>
      </c>
      <c r="D2949">
        <f>IF(B2949="","",IF(C2949&lt;&gt;"","REMOVE","KEEP"))</f>
        <v/>
      </c>
      <c r="E2949">
        <f>IF(D2949&lt;&gt;"KEEP","",IF(RIGHT(B2949,10)="@gmail.com","Gmail",IF(OR(RIGHT(B2949,12)="@outlook.com",RIGHT(B2949,12)="@hotmail.com",RIGHT(B2949,9)="@live.com"),"Outlook","Domain")))</f>
        <v/>
      </c>
      <c r="F2949">
        <f>IF(B2949="","",IFERROR(RIGHT(B2949,LEN(B2949)-FIND("@",B2949)),""))</f>
        <v/>
      </c>
      <c r="G2949">
        <f>IF(D2949="KEEP",COUNTIF($D$2:D2949,"KEEP"),"")</f>
        <v/>
      </c>
      <c r="H2949">
        <f>IF(D2949="REMOVE",COUNTIF($D$2:D2949,"REMOVE"),"")</f>
        <v/>
      </c>
      <c r="I2949">
        <f>IF(E2949="Gmail",COUNTIF($E$2:E2949,"Gmail"),"")</f>
        <v/>
      </c>
      <c r="J2949">
        <f>IF(E2949="Outlook",COUNTIF($E$2:E2949,"Outlook"),"")</f>
        <v/>
      </c>
      <c r="K2949">
        <f>IF(E2949="Domain",COUNTIF($E$2:E2949,"Domain"),"")</f>
        <v/>
      </c>
    </row>
    <row r="2950">
      <c r="A2950" s="2" t="n"/>
      <c r="B2950">
        <f>LOWER(TRIM(A2950))</f>
        <v/>
      </c>
      <c r="C2950">
        <f>IF(B2950="","",IFERROR(INDEX('Bad Patterns'!$A$2:$A$120,MATCH(1,INDEX(--ISNUMBER(SEARCH('Bad Patterns'!$A$2:$A$120,B2950)),0),0)),""))</f>
        <v/>
      </c>
      <c r="D2950">
        <f>IF(B2950="","",IF(C2950&lt;&gt;"","REMOVE","KEEP"))</f>
        <v/>
      </c>
      <c r="E2950">
        <f>IF(D2950&lt;&gt;"KEEP","",IF(RIGHT(B2950,10)="@gmail.com","Gmail",IF(OR(RIGHT(B2950,12)="@outlook.com",RIGHT(B2950,12)="@hotmail.com",RIGHT(B2950,9)="@live.com"),"Outlook","Domain")))</f>
        <v/>
      </c>
      <c r="F2950">
        <f>IF(B2950="","",IFERROR(RIGHT(B2950,LEN(B2950)-FIND("@",B2950)),""))</f>
        <v/>
      </c>
      <c r="G2950">
        <f>IF(D2950="KEEP",COUNTIF($D$2:D2950,"KEEP"),"")</f>
        <v/>
      </c>
      <c r="H2950">
        <f>IF(D2950="REMOVE",COUNTIF($D$2:D2950,"REMOVE"),"")</f>
        <v/>
      </c>
      <c r="I2950">
        <f>IF(E2950="Gmail",COUNTIF($E$2:E2950,"Gmail"),"")</f>
        <v/>
      </c>
      <c r="J2950">
        <f>IF(E2950="Outlook",COUNTIF($E$2:E2950,"Outlook"),"")</f>
        <v/>
      </c>
      <c r="K2950">
        <f>IF(E2950="Domain",COUNTIF($E$2:E2950,"Domain"),"")</f>
        <v/>
      </c>
    </row>
    <row r="2951">
      <c r="A2951" s="2" t="n"/>
      <c r="B2951">
        <f>LOWER(TRIM(A2951))</f>
        <v/>
      </c>
      <c r="C2951">
        <f>IF(B2951="","",IFERROR(INDEX('Bad Patterns'!$A$2:$A$120,MATCH(1,INDEX(--ISNUMBER(SEARCH('Bad Patterns'!$A$2:$A$120,B2951)),0),0)),""))</f>
        <v/>
      </c>
      <c r="D2951">
        <f>IF(B2951="","",IF(C2951&lt;&gt;"","REMOVE","KEEP"))</f>
        <v/>
      </c>
      <c r="E2951">
        <f>IF(D2951&lt;&gt;"KEEP","",IF(RIGHT(B2951,10)="@gmail.com","Gmail",IF(OR(RIGHT(B2951,12)="@outlook.com",RIGHT(B2951,12)="@hotmail.com",RIGHT(B2951,9)="@live.com"),"Outlook","Domain")))</f>
        <v/>
      </c>
      <c r="F2951">
        <f>IF(B2951="","",IFERROR(RIGHT(B2951,LEN(B2951)-FIND("@",B2951)),""))</f>
        <v/>
      </c>
      <c r="G2951">
        <f>IF(D2951="KEEP",COUNTIF($D$2:D2951,"KEEP"),"")</f>
        <v/>
      </c>
      <c r="H2951">
        <f>IF(D2951="REMOVE",COUNTIF($D$2:D2951,"REMOVE"),"")</f>
        <v/>
      </c>
      <c r="I2951">
        <f>IF(E2951="Gmail",COUNTIF($E$2:E2951,"Gmail"),"")</f>
        <v/>
      </c>
      <c r="J2951">
        <f>IF(E2951="Outlook",COUNTIF($E$2:E2951,"Outlook"),"")</f>
        <v/>
      </c>
      <c r="K2951">
        <f>IF(E2951="Domain",COUNTIF($E$2:E2951,"Domain"),"")</f>
        <v/>
      </c>
    </row>
    <row r="2952">
      <c r="A2952" s="2" t="n"/>
      <c r="B2952">
        <f>LOWER(TRIM(A2952))</f>
        <v/>
      </c>
      <c r="C2952">
        <f>IF(B2952="","",IFERROR(INDEX('Bad Patterns'!$A$2:$A$120,MATCH(1,INDEX(--ISNUMBER(SEARCH('Bad Patterns'!$A$2:$A$120,B2952)),0),0)),""))</f>
        <v/>
      </c>
      <c r="D2952">
        <f>IF(B2952="","",IF(C2952&lt;&gt;"","REMOVE","KEEP"))</f>
        <v/>
      </c>
      <c r="E2952">
        <f>IF(D2952&lt;&gt;"KEEP","",IF(RIGHT(B2952,10)="@gmail.com","Gmail",IF(OR(RIGHT(B2952,12)="@outlook.com",RIGHT(B2952,12)="@hotmail.com",RIGHT(B2952,9)="@live.com"),"Outlook","Domain")))</f>
        <v/>
      </c>
      <c r="F2952">
        <f>IF(B2952="","",IFERROR(RIGHT(B2952,LEN(B2952)-FIND("@",B2952)),""))</f>
        <v/>
      </c>
      <c r="G2952">
        <f>IF(D2952="KEEP",COUNTIF($D$2:D2952,"KEEP"),"")</f>
        <v/>
      </c>
      <c r="H2952">
        <f>IF(D2952="REMOVE",COUNTIF($D$2:D2952,"REMOVE"),"")</f>
        <v/>
      </c>
      <c r="I2952">
        <f>IF(E2952="Gmail",COUNTIF($E$2:E2952,"Gmail"),"")</f>
        <v/>
      </c>
      <c r="J2952">
        <f>IF(E2952="Outlook",COUNTIF($E$2:E2952,"Outlook"),"")</f>
        <v/>
      </c>
      <c r="K2952">
        <f>IF(E2952="Domain",COUNTIF($E$2:E2952,"Domain"),"")</f>
        <v/>
      </c>
    </row>
    <row r="2953">
      <c r="A2953" s="2" t="n"/>
      <c r="B2953">
        <f>LOWER(TRIM(A2953))</f>
        <v/>
      </c>
      <c r="C2953">
        <f>IF(B2953="","",IFERROR(INDEX('Bad Patterns'!$A$2:$A$120,MATCH(1,INDEX(--ISNUMBER(SEARCH('Bad Patterns'!$A$2:$A$120,B2953)),0),0)),""))</f>
        <v/>
      </c>
      <c r="D2953">
        <f>IF(B2953="","",IF(C2953&lt;&gt;"","REMOVE","KEEP"))</f>
        <v/>
      </c>
      <c r="E2953">
        <f>IF(D2953&lt;&gt;"KEEP","",IF(RIGHT(B2953,10)="@gmail.com","Gmail",IF(OR(RIGHT(B2953,12)="@outlook.com",RIGHT(B2953,12)="@hotmail.com",RIGHT(B2953,9)="@live.com"),"Outlook","Domain")))</f>
        <v/>
      </c>
      <c r="F2953">
        <f>IF(B2953="","",IFERROR(RIGHT(B2953,LEN(B2953)-FIND("@",B2953)),""))</f>
        <v/>
      </c>
      <c r="G2953">
        <f>IF(D2953="KEEP",COUNTIF($D$2:D2953,"KEEP"),"")</f>
        <v/>
      </c>
      <c r="H2953">
        <f>IF(D2953="REMOVE",COUNTIF($D$2:D2953,"REMOVE"),"")</f>
        <v/>
      </c>
      <c r="I2953">
        <f>IF(E2953="Gmail",COUNTIF($E$2:E2953,"Gmail"),"")</f>
        <v/>
      </c>
      <c r="J2953">
        <f>IF(E2953="Outlook",COUNTIF($E$2:E2953,"Outlook"),"")</f>
        <v/>
      </c>
      <c r="K2953">
        <f>IF(E2953="Domain",COUNTIF($E$2:E2953,"Domain"),"")</f>
        <v/>
      </c>
    </row>
    <row r="2954">
      <c r="A2954" s="2" t="n"/>
      <c r="B2954">
        <f>LOWER(TRIM(A2954))</f>
        <v/>
      </c>
      <c r="C2954">
        <f>IF(B2954="","",IFERROR(INDEX('Bad Patterns'!$A$2:$A$120,MATCH(1,INDEX(--ISNUMBER(SEARCH('Bad Patterns'!$A$2:$A$120,B2954)),0),0)),""))</f>
        <v/>
      </c>
      <c r="D2954">
        <f>IF(B2954="","",IF(C2954&lt;&gt;"","REMOVE","KEEP"))</f>
        <v/>
      </c>
      <c r="E2954">
        <f>IF(D2954&lt;&gt;"KEEP","",IF(RIGHT(B2954,10)="@gmail.com","Gmail",IF(OR(RIGHT(B2954,12)="@outlook.com",RIGHT(B2954,12)="@hotmail.com",RIGHT(B2954,9)="@live.com"),"Outlook","Domain")))</f>
        <v/>
      </c>
      <c r="F2954">
        <f>IF(B2954="","",IFERROR(RIGHT(B2954,LEN(B2954)-FIND("@",B2954)),""))</f>
        <v/>
      </c>
      <c r="G2954">
        <f>IF(D2954="KEEP",COUNTIF($D$2:D2954,"KEEP"),"")</f>
        <v/>
      </c>
      <c r="H2954">
        <f>IF(D2954="REMOVE",COUNTIF($D$2:D2954,"REMOVE"),"")</f>
        <v/>
      </c>
      <c r="I2954">
        <f>IF(E2954="Gmail",COUNTIF($E$2:E2954,"Gmail"),"")</f>
        <v/>
      </c>
      <c r="J2954">
        <f>IF(E2954="Outlook",COUNTIF($E$2:E2954,"Outlook"),"")</f>
        <v/>
      </c>
      <c r="K2954">
        <f>IF(E2954="Domain",COUNTIF($E$2:E2954,"Domain"),"")</f>
        <v/>
      </c>
    </row>
    <row r="2955">
      <c r="A2955" s="2" t="n"/>
      <c r="B2955">
        <f>LOWER(TRIM(A2955))</f>
        <v/>
      </c>
      <c r="C2955">
        <f>IF(B2955="","",IFERROR(INDEX('Bad Patterns'!$A$2:$A$120,MATCH(1,INDEX(--ISNUMBER(SEARCH('Bad Patterns'!$A$2:$A$120,B2955)),0),0)),""))</f>
        <v/>
      </c>
      <c r="D2955">
        <f>IF(B2955="","",IF(C2955&lt;&gt;"","REMOVE","KEEP"))</f>
        <v/>
      </c>
      <c r="E2955">
        <f>IF(D2955&lt;&gt;"KEEP","",IF(RIGHT(B2955,10)="@gmail.com","Gmail",IF(OR(RIGHT(B2955,12)="@outlook.com",RIGHT(B2955,12)="@hotmail.com",RIGHT(B2955,9)="@live.com"),"Outlook","Domain")))</f>
        <v/>
      </c>
      <c r="F2955">
        <f>IF(B2955="","",IFERROR(RIGHT(B2955,LEN(B2955)-FIND("@",B2955)),""))</f>
        <v/>
      </c>
      <c r="G2955">
        <f>IF(D2955="KEEP",COUNTIF($D$2:D2955,"KEEP"),"")</f>
        <v/>
      </c>
      <c r="H2955">
        <f>IF(D2955="REMOVE",COUNTIF($D$2:D2955,"REMOVE"),"")</f>
        <v/>
      </c>
      <c r="I2955">
        <f>IF(E2955="Gmail",COUNTIF($E$2:E2955,"Gmail"),"")</f>
        <v/>
      </c>
      <c r="J2955">
        <f>IF(E2955="Outlook",COUNTIF($E$2:E2955,"Outlook"),"")</f>
        <v/>
      </c>
      <c r="K2955">
        <f>IF(E2955="Domain",COUNTIF($E$2:E2955,"Domain"),"")</f>
        <v/>
      </c>
    </row>
    <row r="2956">
      <c r="A2956" s="2" t="n"/>
      <c r="B2956">
        <f>LOWER(TRIM(A2956))</f>
        <v/>
      </c>
      <c r="C2956">
        <f>IF(B2956="","",IFERROR(INDEX('Bad Patterns'!$A$2:$A$120,MATCH(1,INDEX(--ISNUMBER(SEARCH('Bad Patterns'!$A$2:$A$120,B2956)),0),0)),""))</f>
        <v/>
      </c>
      <c r="D2956">
        <f>IF(B2956="","",IF(C2956&lt;&gt;"","REMOVE","KEEP"))</f>
        <v/>
      </c>
      <c r="E2956">
        <f>IF(D2956&lt;&gt;"KEEP","",IF(RIGHT(B2956,10)="@gmail.com","Gmail",IF(OR(RIGHT(B2956,12)="@outlook.com",RIGHT(B2956,12)="@hotmail.com",RIGHT(B2956,9)="@live.com"),"Outlook","Domain")))</f>
        <v/>
      </c>
      <c r="F2956">
        <f>IF(B2956="","",IFERROR(RIGHT(B2956,LEN(B2956)-FIND("@",B2956)),""))</f>
        <v/>
      </c>
      <c r="G2956">
        <f>IF(D2956="KEEP",COUNTIF($D$2:D2956,"KEEP"),"")</f>
        <v/>
      </c>
      <c r="H2956">
        <f>IF(D2956="REMOVE",COUNTIF($D$2:D2956,"REMOVE"),"")</f>
        <v/>
      </c>
      <c r="I2956">
        <f>IF(E2956="Gmail",COUNTIF($E$2:E2956,"Gmail"),"")</f>
        <v/>
      </c>
      <c r="J2956">
        <f>IF(E2956="Outlook",COUNTIF($E$2:E2956,"Outlook"),"")</f>
        <v/>
      </c>
      <c r="K2956">
        <f>IF(E2956="Domain",COUNTIF($E$2:E2956,"Domain"),"")</f>
        <v/>
      </c>
    </row>
    <row r="2957">
      <c r="A2957" s="2" t="n"/>
      <c r="B2957">
        <f>LOWER(TRIM(A2957))</f>
        <v/>
      </c>
      <c r="C2957">
        <f>IF(B2957="","",IFERROR(INDEX('Bad Patterns'!$A$2:$A$120,MATCH(1,INDEX(--ISNUMBER(SEARCH('Bad Patterns'!$A$2:$A$120,B2957)),0),0)),""))</f>
        <v/>
      </c>
      <c r="D2957">
        <f>IF(B2957="","",IF(C2957&lt;&gt;"","REMOVE","KEEP"))</f>
        <v/>
      </c>
      <c r="E2957">
        <f>IF(D2957&lt;&gt;"KEEP","",IF(RIGHT(B2957,10)="@gmail.com","Gmail",IF(OR(RIGHT(B2957,12)="@outlook.com",RIGHT(B2957,12)="@hotmail.com",RIGHT(B2957,9)="@live.com"),"Outlook","Domain")))</f>
        <v/>
      </c>
      <c r="F2957">
        <f>IF(B2957="","",IFERROR(RIGHT(B2957,LEN(B2957)-FIND("@",B2957)),""))</f>
        <v/>
      </c>
      <c r="G2957">
        <f>IF(D2957="KEEP",COUNTIF($D$2:D2957,"KEEP"),"")</f>
        <v/>
      </c>
      <c r="H2957">
        <f>IF(D2957="REMOVE",COUNTIF($D$2:D2957,"REMOVE"),"")</f>
        <v/>
      </c>
      <c r="I2957">
        <f>IF(E2957="Gmail",COUNTIF($E$2:E2957,"Gmail"),"")</f>
        <v/>
      </c>
      <c r="J2957">
        <f>IF(E2957="Outlook",COUNTIF($E$2:E2957,"Outlook"),"")</f>
        <v/>
      </c>
      <c r="K2957">
        <f>IF(E2957="Domain",COUNTIF($E$2:E2957,"Domain"),"")</f>
        <v/>
      </c>
    </row>
    <row r="2958">
      <c r="A2958" s="2" t="n"/>
      <c r="B2958">
        <f>LOWER(TRIM(A2958))</f>
        <v/>
      </c>
      <c r="C2958">
        <f>IF(B2958="","",IFERROR(INDEX('Bad Patterns'!$A$2:$A$120,MATCH(1,INDEX(--ISNUMBER(SEARCH('Bad Patterns'!$A$2:$A$120,B2958)),0),0)),""))</f>
        <v/>
      </c>
      <c r="D2958">
        <f>IF(B2958="","",IF(C2958&lt;&gt;"","REMOVE","KEEP"))</f>
        <v/>
      </c>
      <c r="E2958">
        <f>IF(D2958&lt;&gt;"KEEP","",IF(RIGHT(B2958,10)="@gmail.com","Gmail",IF(OR(RIGHT(B2958,12)="@outlook.com",RIGHT(B2958,12)="@hotmail.com",RIGHT(B2958,9)="@live.com"),"Outlook","Domain")))</f>
        <v/>
      </c>
      <c r="F2958">
        <f>IF(B2958="","",IFERROR(RIGHT(B2958,LEN(B2958)-FIND("@",B2958)),""))</f>
        <v/>
      </c>
      <c r="G2958">
        <f>IF(D2958="KEEP",COUNTIF($D$2:D2958,"KEEP"),"")</f>
        <v/>
      </c>
      <c r="H2958">
        <f>IF(D2958="REMOVE",COUNTIF($D$2:D2958,"REMOVE"),"")</f>
        <v/>
      </c>
      <c r="I2958">
        <f>IF(E2958="Gmail",COUNTIF($E$2:E2958,"Gmail"),"")</f>
        <v/>
      </c>
      <c r="J2958">
        <f>IF(E2958="Outlook",COUNTIF($E$2:E2958,"Outlook"),"")</f>
        <v/>
      </c>
      <c r="K2958">
        <f>IF(E2958="Domain",COUNTIF($E$2:E2958,"Domain"),"")</f>
        <v/>
      </c>
    </row>
    <row r="2959">
      <c r="A2959" s="2" t="n"/>
      <c r="B2959">
        <f>LOWER(TRIM(A2959))</f>
        <v/>
      </c>
      <c r="C2959">
        <f>IF(B2959="","",IFERROR(INDEX('Bad Patterns'!$A$2:$A$120,MATCH(1,INDEX(--ISNUMBER(SEARCH('Bad Patterns'!$A$2:$A$120,B2959)),0),0)),""))</f>
        <v/>
      </c>
      <c r="D2959">
        <f>IF(B2959="","",IF(C2959&lt;&gt;"","REMOVE","KEEP"))</f>
        <v/>
      </c>
      <c r="E2959">
        <f>IF(D2959&lt;&gt;"KEEP","",IF(RIGHT(B2959,10)="@gmail.com","Gmail",IF(OR(RIGHT(B2959,12)="@outlook.com",RIGHT(B2959,12)="@hotmail.com",RIGHT(B2959,9)="@live.com"),"Outlook","Domain")))</f>
        <v/>
      </c>
      <c r="F2959">
        <f>IF(B2959="","",IFERROR(RIGHT(B2959,LEN(B2959)-FIND("@",B2959)),""))</f>
        <v/>
      </c>
      <c r="G2959">
        <f>IF(D2959="KEEP",COUNTIF($D$2:D2959,"KEEP"),"")</f>
        <v/>
      </c>
      <c r="H2959">
        <f>IF(D2959="REMOVE",COUNTIF($D$2:D2959,"REMOVE"),"")</f>
        <v/>
      </c>
      <c r="I2959">
        <f>IF(E2959="Gmail",COUNTIF($E$2:E2959,"Gmail"),"")</f>
        <v/>
      </c>
      <c r="J2959">
        <f>IF(E2959="Outlook",COUNTIF($E$2:E2959,"Outlook"),"")</f>
        <v/>
      </c>
      <c r="K2959">
        <f>IF(E2959="Domain",COUNTIF($E$2:E2959,"Domain"),"")</f>
        <v/>
      </c>
    </row>
    <row r="2960">
      <c r="A2960" s="2" t="n"/>
      <c r="B2960">
        <f>LOWER(TRIM(A2960))</f>
        <v/>
      </c>
      <c r="C2960">
        <f>IF(B2960="","",IFERROR(INDEX('Bad Patterns'!$A$2:$A$120,MATCH(1,INDEX(--ISNUMBER(SEARCH('Bad Patterns'!$A$2:$A$120,B2960)),0),0)),""))</f>
        <v/>
      </c>
      <c r="D2960">
        <f>IF(B2960="","",IF(C2960&lt;&gt;"","REMOVE","KEEP"))</f>
        <v/>
      </c>
      <c r="E2960">
        <f>IF(D2960&lt;&gt;"KEEP","",IF(RIGHT(B2960,10)="@gmail.com","Gmail",IF(OR(RIGHT(B2960,12)="@outlook.com",RIGHT(B2960,12)="@hotmail.com",RIGHT(B2960,9)="@live.com"),"Outlook","Domain")))</f>
        <v/>
      </c>
      <c r="F2960">
        <f>IF(B2960="","",IFERROR(RIGHT(B2960,LEN(B2960)-FIND("@",B2960)),""))</f>
        <v/>
      </c>
      <c r="G2960">
        <f>IF(D2960="KEEP",COUNTIF($D$2:D2960,"KEEP"),"")</f>
        <v/>
      </c>
      <c r="H2960">
        <f>IF(D2960="REMOVE",COUNTIF($D$2:D2960,"REMOVE"),"")</f>
        <v/>
      </c>
      <c r="I2960">
        <f>IF(E2960="Gmail",COUNTIF($E$2:E2960,"Gmail"),"")</f>
        <v/>
      </c>
      <c r="J2960">
        <f>IF(E2960="Outlook",COUNTIF($E$2:E2960,"Outlook"),"")</f>
        <v/>
      </c>
      <c r="K2960">
        <f>IF(E2960="Domain",COUNTIF($E$2:E2960,"Domain"),"")</f>
        <v/>
      </c>
    </row>
    <row r="2961">
      <c r="A2961" s="2" t="n"/>
      <c r="B2961">
        <f>LOWER(TRIM(A2961))</f>
        <v/>
      </c>
      <c r="C2961">
        <f>IF(B2961="","",IFERROR(INDEX('Bad Patterns'!$A$2:$A$120,MATCH(1,INDEX(--ISNUMBER(SEARCH('Bad Patterns'!$A$2:$A$120,B2961)),0),0)),""))</f>
        <v/>
      </c>
      <c r="D2961">
        <f>IF(B2961="","",IF(C2961&lt;&gt;"","REMOVE","KEEP"))</f>
        <v/>
      </c>
      <c r="E2961">
        <f>IF(D2961&lt;&gt;"KEEP","",IF(RIGHT(B2961,10)="@gmail.com","Gmail",IF(OR(RIGHT(B2961,12)="@outlook.com",RIGHT(B2961,12)="@hotmail.com",RIGHT(B2961,9)="@live.com"),"Outlook","Domain")))</f>
        <v/>
      </c>
      <c r="F2961">
        <f>IF(B2961="","",IFERROR(RIGHT(B2961,LEN(B2961)-FIND("@",B2961)),""))</f>
        <v/>
      </c>
      <c r="G2961">
        <f>IF(D2961="KEEP",COUNTIF($D$2:D2961,"KEEP"),"")</f>
        <v/>
      </c>
      <c r="H2961">
        <f>IF(D2961="REMOVE",COUNTIF($D$2:D2961,"REMOVE"),"")</f>
        <v/>
      </c>
      <c r="I2961">
        <f>IF(E2961="Gmail",COUNTIF($E$2:E2961,"Gmail"),"")</f>
        <v/>
      </c>
      <c r="J2961">
        <f>IF(E2961="Outlook",COUNTIF($E$2:E2961,"Outlook"),"")</f>
        <v/>
      </c>
      <c r="K2961">
        <f>IF(E2961="Domain",COUNTIF($E$2:E2961,"Domain"),"")</f>
        <v/>
      </c>
    </row>
    <row r="2962">
      <c r="A2962" s="2" t="n"/>
      <c r="B2962">
        <f>LOWER(TRIM(A2962))</f>
        <v/>
      </c>
      <c r="C2962">
        <f>IF(B2962="","",IFERROR(INDEX('Bad Patterns'!$A$2:$A$120,MATCH(1,INDEX(--ISNUMBER(SEARCH('Bad Patterns'!$A$2:$A$120,B2962)),0),0)),""))</f>
        <v/>
      </c>
      <c r="D2962">
        <f>IF(B2962="","",IF(C2962&lt;&gt;"","REMOVE","KEEP"))</f>
        <v/>
      </c>
      <c r="E2962">
        <f>IF(D2962&lt;&gt;"KEEP","",IF(RIGHT(B2962,10)="@gmail.com","Gmail",IF(OR(RIGHT(B2962,12)="@outlook.com",RIGHT(B2962,12)="@hotmail.com",RIGHT(B2962,9)="@live.com"),"Outlook","Domain")))</f>
        <v/>
      </c>
      <c r="F2962">
        <f>IF(B2962="","",IFERROR(RIGHT(B2962,LEN(B2962)-FIND("@",B2962)),""))</f>
        <v/>
      </c>
      <c r="G2962">
        <f>IF(D2962="KEEP",COUNTIF($D$2:D2962,"KEEP"),"")</f>
        <v/>
      </c>
      <c r="H2962">
        <f>IF(D2962="REMOVE",COUNTIF($D$2:D2962,"REMOVE"),"")</f>
        <v/>
      </c>
      <c r="I2962">
        <f>IF(E2962="Gmail",COUNTIF($E$2:E2962,"Gmail"),"")</f>
        <v/>
      </c>
      <c r="J2962">
        <f>IF(E2962="Outlook",COUNTIF($E$2:E2962,"Outlook"),"")</f>
        <v/>
      </c>
      <c r="K2962">
        <f>IF(E2962="Domain",COUNTIF($E$2:E2962,"Domain"),"")</f>
        <v/>
      </c>
    </row>
    <row r="2963">
      <c r="A2963" s="2" t="n"/>
      <c r="B2963">
        <f>LOWER(TRIM(A2963))</f>
        <v/>
      </c>
      <c r="C2963">
        <f>IF(B2963="","",IFERROR(INDEX('Bad Patterns'!$A$2:$A$120,MATCH(1,INDEX(--ISNUMBER(SEARCH('Bad Patterns'!$A$2:$A$120,B2963)),0),0)),""))</f>
        <v/>
      </c>
      <c r="D2963">
        <f>IF(B2963="","",IF(C2963&lt;&gt;"","REMOVE","KEEP"))</f>
        <v/>
      </c>
      <c r="E2963">
        <f>IF(D2963&lt;&gt;"KEEP","",IF(RIGHT(B2963,10)="@gmail.com","Gmail",IF(OR(RIGHT(B2963,12)="@outlook.com",RIGHT(B2963,12)="@hotmail.com",RIGHT(B2963,9)="@live.com"),"Outlook","Domain")))</f>
        <v/>
      </c>
      <c r="F2963">
        <f>IF(B2963="","",IFERROR(RIGHT(B2963,LEN(B2963)-FIND("@",B2963)),""))</f>
        <v/>
      </c>
      <c r="G2963">
        <f>IF(D2963="KEEP",COUNTIF($D$2:D2963,"KEEP"),"")</f>
        <v/>
      </c>
      <c r="H2963">
        <f>IF(D2963="REMOVE",COUNTIF($D$2:D2963,"REMOVE"),"")</f>
        <v/>
      </c>
      <c r="I2963">
        <f>IF(E2963="Gmail",COUNTIF($E$2:E2963,"Gmail"),"")</f>
        <v/>
      </c>
      <c r="J2963">
        <f>IF(E2963="Outlook",COUNTIF($E$2:E2963,"Outlook"),"")</f>
        <v/>
      </c>
      <c r="K2963">
        <f>IF(E2963="Domain",COUNTIF($E$2:E2963,"Domain"),"")</f>
        <v/>
      </c>
    </row>
    <row r="2964">
      <c r="A2964" s="2" t="n"/>
      <c r="B2964">
        <f>LOWER(TRIM(A2964))</f>
        <v/>
      </c>
      <c r="C2964">
        <f>IF(B2964="","",IFERROR(INDEX('Bad Patterns'!$A$2:$A$120,MATCH(1,INDEX(--ISNUMBER(SEARCH('Bad Patterns'!$A$2:$A$120,B2964)),0),0)),""))</f>
        <v/>
      </c>
      <c r="D2964">
        <f>IF(B2964="","",IF(C2964&lt;&gt;"","REMOVE","KEEP"))</f>
        <v/>
      </c>
      <c r="E2964">
        <f>IF(D2964&lt;&gt;"KEEP","",IF(RIGHT(B2964,10)="@gmail.com","Gmail",IF(OR(RIGHT(B2964,12)="@outlook.com",RIGHT(B2964,12)="@hotmail.com",RIGHT(B2964,9)="@live.com"),"Outlook","Domain")))</f>
        <v/>
      </c>
      <c r="F2964">
        <f>IF(B2964="","",IFERROR(RIGHT(B2964,LEN(B2964)-FIND("@",B2964)),""))</f>
        <v/>
      </c>
      <c r="G2964">
        <f>IF(D2964="KEEP",COUNTIF($D$2:D2964,"KEEP"),"")</f>
        <v/>
      </c>
      <c r="H2964">
        <f>IF(D2964="REMOVE",COUNTIF($D$2:D2964,"REMOVE"),"")</f>
        <v/>
      </c>
      <c r="I2964">
        <f>IF(E2964="Gmail",COUNTIF($E$2:E2964,"Gmail"),"")</f>
        <v/>
      </c>
      <c r="J2964">
        <f>IF(E2964="Outlook",COUNTIF($E$2:E2964,"Outlook"),"")</f>
        <v/>
      </c>
      <c r="K2964">
        <f>IF(E2964="Domain",COUNTIF($E$2:E2964,"Domain"),"")</f>
        <v/>
      </c>
    </row>
    <row r="2965">
      <c r="A2965" s="2" t="n"/>
      <c r="B2965">
        <f>LOWER(TRIM(A2965))</f>
        <v/>
      </c>
      <c r="C2965">
        <f>IF(B2965="","",IFERROR(INDEX('Bad Patterns'!$A$2:$A$120,MATCH(1,INDEX(--ISNUMBER(SEARCH('Bad Patterns'!$A$2:$A$120,B2965)),0),0)),""))</f>
        <v/>
      </c>
      <c r="D2965">
        <f>IF(B2965="","",IF(C2965&lt;&gt;"","REMOVE","KEEP"))</f>
        <v/>
      </c>
      <c r="E2965">
        <f>IF(D2965&lt;&gt;"KEEP","",IF(RIGHT(B2965,10)="@gmail.com","Gmail",IF(OR(RIGHT(B2965,12)="@outlook.com",RIGHT(B2965,12)="@hotmail.com",RIGHT(B2965,9)="@live.com"),"Outlook","Domain")))</f>
        <v/>
      </c>
      <c r="F2965">
        <f>IF(B2965="","",IFERROR(RIGHT(B2965,LEN(B2965)-FIND("@",B2965)),""))</f>
        <v/>
      </c>
      <c r="G2965">
        <f>IF(D2965="KEEP",COUNTIF($D$2:D2965,"KEEP"),"")</f>
        <v/>
      </c>
      <c r="H2965">
        <f>IF(D2965="REMOVE",COUNTIF($D$2:D2965,"REMOVE"),"")</f>
        <v/>
      </c>
      <c r="I2965">
        <f>IF(E2965="Gmail",COUNTIF($E$2:E2965,"Gmail"),"")</f>
        <v/>
      </c>
      <c r="J2965">
        <f>IF(E2965="Outlook",COUNTIF($E$2:E2965,"Outlook"),"")</f>
        <v/>
      </c>
      <c r="K2965">
        <f>IF(E2965="Domain",COUNTIF($E$2:E2965,"Domain"),"")</f>
        <v/>
      </c>
    </row>
    <row r="2966">
      <c r="A2966" s="2" t="n"/>
      <c r="B2966">
        <f>LOWER(TRIM(A2966))</f>
        <v/>
      </c>
      <c r="C2966">
        <f>IF(B2966="","",IFERROR(INDEX('Bad Patterns'!$A$2:$A$120,MATCH(1,INDEX(--ISNUMBER(SEARCH('Bad Patterns'!$A$2:$A$120,B2966)),0),0)),""))</f>
        <v/>
      </c>
      <c r="D2966">
        <f>IF(B2966="","",IF(C2966&lt;&gt;"","REMOVE","KEEP"))</f>
        <v/>
      </c>
      <c r="E2966">
        <f>IF(D2966&lt;&gt;"KEEP","",IF(RIGHT(B2966,10)="@gmail.com","Gmail",IF(OR(RIGHT(B2966,12)="@outlook.com",RIGHT(B2966,12)="@hotmail.com",RIGHT(B2966,9)="@live.com"),"Outlook","Domain")))</f>
        <v/>
      </c>
      <c r="F2966">
        <f>IF(B2966="","",IFERROR(RIGHT(B2966,LEN(B2966)-FIND("@",B2966)),""))</f>
        <v/>
      </c>
      <c r="G2966">
        <f>IF(D2966="KEEP",COUNTIF($D$2:D2966,"KEEP"),"")</f>
        <v/>
      </c>
      <c r="H2966">
        <f>IF(D2966="REMOVE",COUNTIF($D$2:D2966,"REMOVE"),"")</f>
        <v/>
      </c>
      <c r="I2966">
        <f>IF(E2966="Gmail",COUNTIF($E$2:E2966,"Gmail"),"")</f>
        <v/>
      </c>
      <c r="J2966">
        <f>IF(E2966="Outlook",COUNTIF($E$2:E2966,"Outlook"),"")</f>
        <v/>
      </c>
      <c r="K2966">
        <f>IF(E2966="Domain",COUNTIF($E$2:E2966,"Domain"),"")</f>
        <v/>
      </c>
    </row>
    <row r="2967">
      <c r="A2967" s="2" t="n"/>
      <c r="B2967">
        <f>LOWER(TRIM(A2967))</f>
        <v/>
      </c>
      <c r="C2967">
        <f>IF(B2967="","",IFERROR(INDEX('Bad Patterns'!$A$2:$A$120,MATCH(1,INDEX(--ISNUMBER(SEARCH('Bad Patterns'!$A$2:$A$120,B2967)),0),0)),""))</f>
        <v/>
      </c>
      <c r="D2967">
        <f>IF(B2967="","",IF(C2967&lt;&gt;"","REMOVE","KEEP"))</f>
        <v/>
      </c>
      <c r="E2967">
        <f>IF(D2967&lt;&gt;"KEEP","",IF(RIGHT(B2967,10)="@gmail.com","Gmail",IF(OR(RIGHT(B2967,12)="@outlook.com",RIGHT(B2967,12)="@hotmail.com",RIGHT(B2967,9)="@live.com"),"Outlook","Domain")))</f>
        <v/>
      </c>
      <c r="F2967">
        <f>IF(B2967="","",IFERROR(RIGHT(B2967,LEN(B2967)-FIND("@",B2967)),""))</f>
        <v/>
      </c>
      <c r="G2967">
        <f>IF(D2967="KEEP",COUNTIF($D$2:D2967,"KEEP"),"")</f>
        <v/>
      </c>
      <c r="H2967">
        <f>IF(D2967="REMOVE",COUNTIF($D$2:D2967,"REMOVE"),"")</f>
        <v/>
      </c>
      <c r="I2967">
        <f>IF(E2967="Gmail",COUNTIF($E$2:E2967,"Gmail"),"")</f>
        <v/>
      </c>
      <c r="J2967">
        <f>IF(E2967="Outlook",COUNTIF($E$2:E2967,"Outlook"),"")</f>
        <v/>
      </c>
      <c r="K2967">
        <f>IF(E2967="Domain",COUNTIF($E$2:E2967,"Domain"),"")</f>
        <v/>
      </c>
    </row>
    <row r="2968">
      <c r="A2968" s="2" t="n"/>
      <c r="B2968">
        <f>LOWER(TRIM(A2968))</f>
        <v/>
      </c>
      <c r="C2968">
        <f>IF(B2968="","",IFERROR(INDEX('Bad Patterns'!$A$2:$A$120,MATCH(1,INDEX(--ISNUMBER(SEARCH('Bad Patterns'!$A$2:$A$120,B2968)),0),0)),""))</f>
        <v/>
      </c>
      <c r="D2968">
        <f>IF(B2968="","",IF(C2968&lt;&gt;"","REMOVE","KEEP"))</f>
        <v/>
      </c>
      <c r="E2968">
        <f>IF(D2968&lt;&gt;"KEEP","",IF(RIGHT(B2968,10)="@gmail.com","Gmail",IF(OR(RIGHT(B2968,12)="@outlook.com",RIGHT(B2968,12)="@hotmail.com",RIGHT(B2968,9)="@live.com"),"Outlook","Domain")))</f>
        <v/>
      </c>
      <c r="F2968">
        <f>IF(B2968="","",IFERROR(RIGHT(B2968,LEN(B2968)-FIND("@",B2968)),""))</f>
        <v/>
      </c>
      <c r="G2968">
        <f>IF(D2968="KEEP",COUNTIF($D$2:D2968,"KEEP"),"")</f>
        <v/>
      </c>
      <c r="H2968">
        <f>IF(D2968="REMOVE",COUNTIF($D$2:D2968,"REMOVE"),"")</f>
        <v/>
      </c>
      <c r="I2968">
        <f>IF(E2968="Gmail",COUNTIF($E$2:E2968,"Gmail"),"")</f>
        <v/>
      </c>
      <c r="J2968">
        <f>IF(E2968="Outlook",COUNTIF($E$2:E2968,"Outlook"),"")</f>
        <v/>
      </c>
      <c r="K2968">
        <f>IF(E2968="Domain",COUNTIF($E$2:E2968,"Domain"),"")</f>
        <v/>
      </c>
    </row>
    <row r="2969">
      <c r="A2969" s="2" t="n"/>
      <c r="B2969">
        <f>LOWER(TRIM(A2969))</f>
        <v/>
      </c>
      <c r="C2969">
        <f>IF(B2969="","",IFERROR(INDEX('Bad Patterns'!$A$2:$A$120,MATCH(1,INDEX(--ISNUMBER(SEARCH('Bad Patterns'!$A$2:$A$120,B2969)),0),0)),""))</f>
        <v/>
      </c>
      <c r="D2969">
        <f>IF(B2969="","",IF(C2969&lt;&gt;"","REMOVE","KEEP"))</f>
        <v/>
      </c>
      <c r="E2969">
        <f>IF(D2969&lt;&gt;"KEEP","",IF(RIGHT(B2969,10)="@gmail.com","Gmail",IF(OR(RIGHT(B2969,12)="@outlook.com",RIGHT(B2969,12)="@hotmail.com",RIGHT(B2969,9)="@live.com"),"Outlook","Domain")))</f>
        <v/>
      </c>
      <c r="F2969">
        <f>IF(B2969="","",IFERROR(RIGHT(B2969,LEN(B2969)-FIND("@",B2969)),""))</f>
        <v/>
      </c>
      <c r="G2969">
        <f>IF(D2969="KEEP",COUNTIF($D$2:D2969,"KEEP"),"")</f>
        <v/>
      </c>
      <c r="H2969">
        <f>IF(D2969="REMOVE",COUNTIF($D$2:D2969,"REMOVE"),"")</f>
        <v/>
      </c>
      <c r="I2969">
        <f>IF(E2969="Gmail",COUNTIF($E$2:E2969,"Gmail"),"")</f>
        <v/>
      </c>
      <c r="J2969">
        <f>IF(E2969="Outlook",COUNTIF($E$2:E2969,"Outlook"),"")</f>
        <v/>
      </c>
      <c r="K2969">
        <f>IF(E2969="Domain",COUNTIF($E$2:E2969,"Domain"),"")</f>
        <v/>
      </c>
    </row>
    <row r="2970">
      <c r="A2970" s="2" t="n"/>
      <c r="B2970">
        <f>LOWER(TRIM(A2970))</f>
        <v/>
      </c>
      <c r="C2970">
        <f>IF(B2970="","",IFERROR(INDEX('Bad Patterns'!$A$2:$A$120,MATCH(1,INDEX(--ISNUMBER(SEARCH('Bad Patterns'!$A$2:$A$120,B2970)),0),0)),""))</f>
        <v/>
      </c>
      <c r="D2970">
        <f>IF(B2970="","",IF(C2970&lt;&gt;"","REMOVE","KEEP"))</f>
        <v/>
      </c>
      <c r="E2970">
        <f>IF(D2970&lt;&gt;"KEEP","",IF(RIGHT(B2970,10)="@gmail.com","Gmail",IF(OR(RIGHT(B2970,12)="@outlook.com",RIGHT(B2970,12)="@hotmail.com",RIGHT(B2970,9)="@live.com"),"Outlook","Domain")))</f>
        <v/>
      </c>
      <c r="F2970">
        <f>IF(B2970="","",IFERROR(RIGHT(B2970,LEN(B2970)-FIND("@",B2970)),""))</f>
        <v/>
      </c>
      <c r="G2970">
        <f>IF(D2970="KEEP",COUNTIF($D$2:D2970,"KEEP"),"")</f>
        <v/>
      </c>
      <c r="H2970">
        <f>IF(D2970="REMOVE",COUNTIF($D$2:D2970,"REMOVE"),"")</f>
        <v/>
      </c>
      <c r="I2970">
        <f>IF(E2970="Gmail",COUNTIF($E$2:E2970,"Gmail"),"")</f>
        <v/>
      </c>
      <c r="J2970">
        <f>IF(E2970="Outlook",COUNTIF($E$2:E2970,"Outlook"),"")</f>
        <v/>
      </c>
      <c r="K2970">
        <f>IF(E2970="Domain",COUNTIF($E$2:E2970,"Domain"),"")</f>
        <v/>
      </c>
    </row>
    <row r="2971">
      <c r="A2971" s="2" t="n"/>
      <c r="B2971">
        <f>LOWER(TRIM(A2971))</f>
        <v/>
      </c>
      <c r="C2971">
        <f>IF(B2971="","",IFERROR(INDEX('Bad Patterns'!$A$2:$A$120,MATCH(1,INDEX(--ISNUMBER(SEARCH('Bad Patterns'!$A$2:$A$120,B2971)),0),0)),""))</f>
        <v/>
      </c>
      <c r="D2971">
        <f>IF(B2971="","",IF(C2971&lt;&gt;"","REMOVE","KEEP"))</f>
        <v/>
      </c>
      <c r="E2971">
        <f>IF(D2971&lt;&gt;"KEEP","",IF(RIGHT(B2971,10)="@gmail.com","Gmail",IF(OR(RIGHT(B2971,12)="@outlook.com",RIGHT(B2971,12)="@hotmail.com",RIGHT(B2971,9)="@live.com"),"Outlook","Domain")))</f>
        <v/>
      </c>
      <c r="F2971">
        <f>IF(B2971="","",IFERROR(RIGHT(B2971,LEN(B2971)-FIND("@",B2971)),""))</f>
        <v/>
      </c>
      <c r="G2971">
        <f>IF(D2971="KEEP",COUNTIF($D$2:D2971,"KEEP"),"")</f>
        <v/>
      </c>
      <c r="H2971">
        <f>IF(D2971="REMOVE",COUNTIF($D$2:D2971,"REMOVE"),"")</f>
        <v/>
      </c>
      <c r="I2971">
        <f>IF(E2971="Gmail",COUNTIF($E$2:E2971,"Gmail"),"")</f>
        <v/>
      </c>
      <c r="J2971">
        <f>IF(E2971="Outlook",COUNTIF($E$2:E2971,"Outlook"),"")</f>
        <v/>
      </c>
      <c r="K2971">
        <f>IF(E2971="Domain",COUNTIF($E$2:E2971,"Domain"),"")</f>
        <v/>
      </c>
    </row>
    <row r="2972">
      <c r="A2972" s="2" t="n"/>
      <c r="B2972">
        <f>LOWER(TRIM(A2972))</f>
        <v/>
      </c>
      <c r="C2972">
        <f>IF(B2972="","",IFERROR(INDEX('Bad Patterns'!$A$2:$A$120,MATCH(1,INDEX(--ISNUMBER(SEARCH('Bad Patterns'!$A$2:$A$120,B2972)),0),0)),""))</f>
        <v/>
      </c>
      <c r="D2972">
        <f>IF(B2972="","",IF(C2972&lt;&gt;"","REMOVE","KEEP"))</f>
        <v/>
      </c>
      <c r="E2972">
        <f>IF(D2972&lt;&gt;"KEEP","",IF(RIGHT(B2972,10)="@gmail.com","Gmail",IF(OR(RIGHT(B2972,12)="@outlook.com",RIGHT(B2972,12)="@hotmail.com",RIGHT(B2972,9)="@live.com"),"Outlook","Domain")))</f>
        <v/>
      </c>
      <c r="F2972">
        <f>IF(B2972="","",IFERROR(RIGHT(B2972,LEN(B2972)-FIND("@",B2972)),""))</f>
        <v/>
      </c>
      <c r="G2972">
        <f>IF(D2972="KEEP",COUNTIF($D$2:D2972,"KEEP"),"")</f>
        <v/>
      </c>
      <c r="H2972">
        <f>IF(D2972="REMOVE",COUNTIF($D$2:D2972,"REMOVE"),"")</f>
        <v/>
      </c>
      <c r="I2972">
        <f>IF(E2972="Gmail",COUNTIF($E$2:E2972,"Gmail"),"")</f>
        <v/>
      </c>
      <c r="J2972">
        <f>IF(E2972="Outlook",COUNTIF($E$2:E2972,"Outlook"),"")</f>
        <v/>
      </c>
      <c r="K2972">
        <f>IF(E2972="Domain",COUNTIF($E$2:E2972,"Domain"),"")</f>
        <v/>
      </c>
    </row>
    <row r="2973">
      <c r="A2973" s="2" t="n"/>
      <c r="B2973">
        <f>LOWER(TRIM(A2973))</f>
        <v/>
      </c>
      <c r="C2973">
        <f>IF(B2973="","",IFERROR(INDEX('Bad Patterns'!$A$2:$A$120,MATCH(1,INDEX(--ISNUMBER(SEARCH('Bad Patterns'!$A$2:$A$120,B2973)),0),0)),""))</f>
        <v/>
      </c>
      <c r="D2973">
        <f>IF(B2973="","",IF(C2973&lt;&gt;"","REMOVE","KEEP"))</f>
        <v/>
      </c>
      <c r="E2973">
        <f>IF(D2973&lt;&gt;"KEEP","",IF(RIGHT(B2973,10)="@gmail.com","Gmail",IF(OR(RIGHT(B2973,12)="@outlook.com",RIGHT(B2973,12)="@hotmail.com",RIGHT(B2973,9)="@live.com"),"Outlook","Domain")))</f>
        <v/>
      </c>
      <c r="F2973">
        <f>IF(B2973="","",IFERROR(RIGHT(B2973,LEN(B2973)-FIND("@",B2973)),""))</f>
        <v/>
      </c>
      <c r="G2973">
        <f>IF(D2973="KEEP",COUNTIF($D$2:D2973,"KEEP"),"")</f>
        <v/>
      </c>
      <c r="H2973">
        <f>IF(D2973="REMOVE",COUNTIF($D$2:D2973,"REMOVE"),"")</f>
        <v/>
      </c>
      <c r="I2973">
        <f>IF(E2973="Gmail",COUNTIF($E$2:E2973,"Gmail"),"")</f>
        <v/>
      </c>
      <c r="J2973">
        <f>IF(E2973="Outlook",COUNTIF($E$2:E2973,"Outlook"),"")</f>
        <v/>
      </c>
      <c r="K2973">
        <f>IF(E2973="Domain",COUNTIF($E$2:E2973,"Domain"),"")</f>
        <v/>
      </c>
    </row>
    <row r="2974">
      <c r="A2974" s="2" t="n"/>
      <c r="B2974">
        <f>LOWER(TRIM(A2974))</f>
        <v/>
      </c>
      <c r="C2974">
        <f>IF(B2974="","",IFERROR(INDEX('Bad Patterns'!$A$2:$A$120,MATCH(1,INDEX(--ISNUMBER(SEARCH('Bad Patterns'!$A$2:$A$120,B2974)),0),0)),""))</f>
        <v/>
      </c>
      <c r="D2974">
        <f>IF(B2974="","",IF(C2974&lt;&gt;"","REMOVE","KEEP"))</f>
        <v/>
      </c>
      <c r="E2974">
        <f>IF(D2974&lt;&gt;"KEEP","",IF(RIGHT(B2974,10)="@gmail.com","Gmail",IF(OR(RIGHT(B2974,12)="@outlook.com",RIGHT(B2974,12)="@hotmail.com",RIGHT(B2974,9)="@live.com"),"Outlook","Domain")))</f>
        <v/>
      </c>
      <c r="F2974">
        <f>IF(B2974="","",IFERROR(RIGHT(B2974,LEN(B2974)-FIND("@",B2974)),""))</f>
        <v/>
      </c>
      <c r="G2974">
        <f>IF(D2974="KEEP",COUNTIF($D$2:D2974,"KEEP"),"")</f>
        <v/>
      </c>
      <c r="H2974">
        <f>IF(D2974="REMOVE",COUNTIF($D$2:D2974,"REMOVE"),"")</f>
        <v/>
      </c>
      <c r="I2974">
        <f>IF(E2974="Gmail",COUNTIF($E$2:E2974,"Gmail"),"")</f>
        <v/>
      </c>
      <c r="J2974">
        <f>IF(E2974="Outlook",COUNTIF($E$2:E2974,"Outlook"),"")</f>
        <v/>
      </c>
      <c r="K2974">
        <f>IF(E2974="Domain",COUNTIF($E$2:E2974,"Domain"),"")</f>
        <v/>
      </c>
    </row>
    <row r="2975">
      <c r="A2975" s="2" t="n"/>
      <c r="B2975">
        <f>LOWER(TRIM(A2975))</f>
        <v/>
      </c>
      <c r="C2975">
        <f>IF(B2975="","",IFERROR(INDEX('Bad Patterns'!$A$2:$A$120,MATCH(1,INDEX(--ISNUMBER(SEARCH('Bad Patterns'!$A$2:$A$120,B2975)),0),0)),""))</f>
        <v/>
      </c>
      <c r="D2975">
        <f>IF(B2975="","",IF(C2975&lt;&gt;"","REMOVE","KEEP"))</f>
        <v/>
      </c>
      <c r="E2975">
        <f>IF(D2975&lt;&gt;"KEEP","",IF(RIGHT(B2975,10)="@gmail.com","Gmail",IF(OR(RIGHT(B2975,12)="@outlook.com",RIGHT(B2975,12)="@hotmail.com",RIGHT(B2975,9)="@live.com"),"Outlook","Domain")))</f>
        <v/>
      </c>
      <c r="F2975">
        <f>IF(B2975="","",IFERROR(RIGHT(B2975,LEN(B2975)-FIND("@",B2975)),""))</f>
        <v/>
      </c>
      <c r="G2975">
        <f>IF(D2975="KEEP",COUNTIF($D$2:D2975,"KEEP"),"")</f>
        <v/>
      </c>
      <c r="H2975">
        <f>IF(D2975="REMOVE",COUNTIF($D$2:D2975,"REMOVE"),"")</f>
        <v/>
      </c>
      <c r="I2975">
        <f>IF(E2975="Gmail",COUNTIF($E$2:E2975,"Gmail"),"")</f>
        <v/>
      </c>
      <c r="J2975">
        <f>IF(E2975="Outlook",COUNTIF($E$2:E2975,"Outlook"),"")</f>
        <v/>
      </c>
      <c r="K2975">
        <f>IF(E2975="Domain",COUNTIF($E$2:E2975,"Domain"),"")</f>
        <v/>
      </c>
    </row>
    <row r="2976">
      <c r="A2976" s="2" t="n"/>
      <c r="B2976">
        <f>LOWER(TRIM(A2976))</f>
        <v/>
      </c>
      <c r="C2976">
        <f>IF(B2976="","",IFERROR(INDEX('Bad Patterns'!$A$2:$A$120,MATCH(1,INDEX(--ISNUMBER(SEARCH('Bad Patterns'!$A$2:$A$120,B2976)),0),0)),""))</f>
        <v/>
      </c>
      <c r="D2976">
        <f>IF(B2976="","",IF(C2976&lt;&gt;"","REMOVE","KEEP"))</f>
        <v/>
      </c>
      <c r="E2976">
        <f>IF(D2976&lt;&gt;"KEEP","",IF(RIGHT(B2976,10)="@gmail.com","Gmail",IF(OR(RIGHT(B2976,12)="@outlook.com",RIGHT(B2976,12)="@hotmail.com",RIGHT(B2976,9)="@live.com"),"Outlook","Domain")))</f>
        <v/>
      </c>
      <c r="F2976">
        <f>IF(B2976="","",IFERROR(RIGHT(B2976,LEN(B2976)-FIND("@",B2976)),""))</f>
        <v/>
      </c>
      <c r="G2976">
        <f>IF(D2976="KEEP",COUNTIF($D$2:D2976,"KEEP"),"")</f>
        <v/>
      </c>
      <c r="H2976">
        <f>IF(D2976="REMOVE",COUNTIF($D$2:D2976,"REMOVE"),"")</f>
        <v/>
      </c>
      <c r="I2976">
        <f>IF(E2976="Gmail",COUNTIF($E$2:E2976,"Gmail"),"")</f>
        <v/>
      </c>
      <c r="J2976">
        <f>IF(E2976="Outlook",COUNTIF($E$2:E2976,"Outlook"),"")</f>
        <v/>
      </c>
      <c r="K2976">
        <f>IF(E2976="Domain",COUNTIF($E$2:E2976,"Domain"),"")</f>
        <v/>
      </c>
    </row>
    <row r="2977">
      <c r="A2977" s="2" t="n"/>
      <c r="B2977">
        <f>LOWER(TRIM(A2977))</f>
        <v/>
      </c>
      <c r="C2977">
        <f>IF(B2977="","",IFERROR(INDEX('Bad Patterns'!$A$2:$A$120,MATCH(1,INDEX(--ISNUMBER(SEARCH('Bad Patterns'!$A$2:$A$120,B2977)),0),0)),""))</f>
        <v/>
      </c>
      <c r="D2977">
        <f>IF(B2977="","",IF(C2977&lt;&gt;"","REMOVE","KEEP"))</f>
        <v/>
      </c>
      <c r="E2977">
        <f>IF(D2977&lt;&gt;"KEEP","",IF(RIGHT(B2977,10)="@gmail.com","Gmail",IF(OR(RIGHT(B2977,12)="@outlook.com",RIGHT(B2977,12)="@hotmail.com",RIGHT(B2977,9)="@live.com"),"Outlook","Domain")))</f>
        <v/>
      </c>
      <c r="F2977">
        <f>IF(B2977="","",IFERROR(RIGHT(B2977,LEN(B2977)-FIND("@",B2977)),""))</f>
        <v/>
      </c>
      <c r="G2977">
        <f>IF(D2977="KEEP",COUNTIF($D$2:D2977,"KEEP"),"")</f>
        <v/>
      </c>
      <c r="H2977">
        <f>IF(D2977="REMOVE",COUNTIF($D$2:D2977,"REMOVE"),"")</f>
        <v/>
      </c>
      <c r="I2977">
        <f>IF(E2977="Gmail",COUNTIF($E$2:E2977,"Gmail"),"")</f>
        <v/>
      </c>
      <c r="J2977">
        <f>IF(E2977="Outlook",COUNTIF($E$2:E2977,"Outlook"),"")</f>
        <v/>
      </c>
      <c r="K2977">
        <f>IF(E2977="Domain",COUNTIF($E$2:E2977,"Domain"),"")</f>
        <v/>
      </c>
    </row>
    <row r="2978">
      <c r="A2978" s="2" t="n"/>
      <c r="B2978">
        <f>LOWER(TRIM(A2978))</f>
        <v/>
      </c>
      <c r="C2978">
        <f>IF(B2978="","",IFERROR(INDEX('Bad Patterns'!$A$2:$A$120,MATCH(1,INDEX(--ISNUMBER(SEARCH('Bad Patterns'!$A$2:$A$120,B2978)),0),0)),""))</f>
        <v/>
      </c>
      <c r="D2978">
        <f>IF(B2978="","",IF(C2978&lt;&gt;"","REMOVE","KEEP"))</f>
        <v/>
      </c>
      <c r="E2978">
        <f>IF(D2978&lt;&gt;"KEEP","",IF(RIGHT(B2978,10)="@gmail.com","Gmail",IF(OR(RIGHT(B2978,12)="@outlook.com",RIGHT(B2978,12)="@hotmail.com",RIGHT(B2978,9)="@live.com"),"Outlook","Domain")))</f>
        <v/>
      </c>
      <c r="F2978">
        <f>IF(B2978="","",IFERROR(RIGHT(B2978,LEN(B2978)-FIND("@",B2978)),""))</f>
        <v/>
      </c>
      <c r="G2978">
        <f>IF(D2978="KEEP",COUNTIF($D$2:D2978,"KEEP"),"")</f>
        <v/>
      </c>
      <c r="H2978">
        <f>IF(D2978="REMOVE",COUNTIF($D$2:D2978,"REMOVE"),"")</f>
        <v/>
      </c>
      <c r="I2978">
        <f>IF(E2978="Gmail",COUNTIF($E$2:E2978,"Gmail"),"")</f>
        <v/>
      </c>
      <c r="J2978">
        <f>IF(E2978="Outlook",COUNTIF($E$2:E2978,"Outlook"),"")</f>
        <v/>
      </c>
      <c r="K2978">
        <f>IF(E2978="Domain",COUNTIF($E$2:E2978,"Domain"),"")</f>
        <v/>
      </c>
    </row>
    <row r="2979">
      <c r="A2979" s="2" t="n"/>
      <c r="B2979">
        <f>LOWER(TRIM(A2979))</f>
        <v/>
      </c>
      <c r="C2979">
        <f>IF(B2979="","",IFERROR(INDEX('Bad Patterns'!$A$2:$A$120,MATCH(1,INDEX(--ISNUMBER(SEARCH('Bad Patterns'!$A$2:$A$120,B2979)),0),0)),""))</f>
        <v/>
      </c>
      <c r="D2979">
        <f>IF(B2979="","",IF(C2979&lt;&gt;"","REMOVE","KEEP"))</f>
        <v/>
      </c>
      <c r="E2979">
        <f>IF(D2979&lt;&gt;"KEEP","",IF(RIGHT(B2979,10)="@gmail.com","Gmail",IF(OR(RIGHT(B2979,12)="@outlook.com",RIGHT(B2979,12)="@hotmail.com",RIGHT(B2979,9)="@live.com"),"Outlook","Domain")))</f>
        <v/>
      </c>
      <c r="F2979">
        <f>IF(B2979="","",IFERROR(RIGHT(B2979,LEN(B2979)-FIND("@",B2979)),""))</f>
        <v/>
      </c>
      <c r="G2979">
        <f>IF(D2979="KEEP",COUNTIF($D$2:D2979,"KEEP"),"")</f>
        <v/>
      </c>
      <c r="H2979">
        <f>IF(D2979="REMOVE",COUNTIF($D$2:D2979,"REMOVE"),"")</f>
        <v/>
      </c>
      <c r="I2979">
        <f>IF(E2979="Gmail",COUNTIF($E$2:E2979,"Gmail"),"")</f>
        <v/>
      </c>
      <c r="J2979">
        <f>IF(E2979="Outlook",COUNTIF($E$2:E2979,"Outlook"),"")</f>
        <v/>
      </c>
      <c r="K2979">
        <f>IF(E2979="Domain",COUNTIF($E$2:E2979,"Domain"),"")</f>
        <v/>
      </c>
    </row>
    <row r="2980">
      <c r="A2980" s="2" t="n"/>
      <c r="B2980">
        <f>LOWER(TRIM(A2980))</f>
        <v/>
      </c>
      <c r="C2980">
        <f>IF(B2980="","",IFERROR(INDEX('Bad Patterns'!$A$2:$A$120,MATCH(1,INDEX(--ISNUMBER(SEARCH('Bad Patterns'!$A$2:$A$120,B2980)),0),0)),""))</f>
        <v/>
      </c>
      <c r="D2980">
        <f>IF(B2980="","",IF(C2980&lt;&gt;"","REMOVE","KEEP"))</f>
        <v/>
      </c>
      <c r="E2980">
        <f>IF(D2980&lt;&gt;"KEEP","",IF(RIGHT(B2980,10)="@gmail.com","Gmail",IF(OR(RIGHT(B2980,12)="@outlook.com",RIGHT(B2980,12)="@hotmail.com",RIGHT(B2980,9)="@live.com"),"Outlook","Domain")))</f>
        <v/>
      </c>
      <c r="F2980">
        <f>IF(B2980="","",IFERROR(RIGHT(B2980,LEN(B2980)-FIND("@",B2980)),""))</f>
        <v/>
      </c>
      <c r="G2980">
        <f>IF(D2980="KEEP",COUNTIF($D$2:D2980,"KEEP"),"")</f>
        <v/>
      </c>
      <c r="H2980">
        <f>IF(D2980="REMOVE",COUNTIF($D$2:D2980,"REMOVE"),"")</f>
        <v/>
      </c>
      <c r="I2980">
        <f>IF(E2980="Gmail",COUNTIF($E$2:E2980,"Gmail"),"")</f>
        <v/>
      </c>
      <c r="J2980">
        <f>IF(E2980="Outlook",COUNTIF($E$2:E2980,"Outlook"),"")</f>
        <v/>
      </c>
      <c r="K2980">
        <f>IF(E2980="Domain",COUNTIF($E$2:E2980,"Domain"),"")</f>
        <v/>
      </c>
    </row>
    <row r="2981">
      <c r="A2981" s="2" t="n"/>
      <c r="B2981">
        <f>LOWER(TRIM(A2981))</f>
        <v/>
      </c>
      <c r="C2981">
        <f>IF(B2981="","",IFERROR(INDEX('Bad Patterns'!$A$2:$A$120,MATCH(1,INDEX(--ISNUMBER(SEARCH('Bad Patterns'!$A$2:$A$120,B2981)),0),0)),""))</f>
        <v/>
      </c>
      <c r="D2981">
        <f>IF(B2981="","",IF(C2981&lt;&gt;"","REMOVE","KEEP"))</f>
        <v/>
      </c>
      <c r="E2981">
        <f>IF(D2981&lt;&gt;"KEEP","",IF(RIGHT(B2981,10)="@gmail.com","Gmail",IF(OR(RIGHT(B2981,12)="@outlook.com",RIGHT(B2981,12)="@hotmail.com",RIGHT(B2981,9)="@live.com"),"Outlook","Domain")))</f>
        <v/>
      </c>
      <c r="F2981">
        <f>IF(B2981="","",IFERROR(RIGHT(B2981,LEN(B2981)-FIND("@",B2981)),""))</f>
        <v/>
      </c>
      <c r="G2981">
        <f>IF(D2981="KEEP",COUNTIF($D$2:D2981,"KEEP"),"")</f>
        <v/>
      </c>
      <c r="H2981">
        <f>IF(D2981="REMOVE",COUNTIF($D$2:D2981,"REMOVE"),"")</f>
        <v/>
      </c>
      <c r="I2981">
        <f>IF(E2981="Gmail",COUNTIF($E$2:E2981,"Gmail"),"")</f>
        <v/>
      </c>
      <c r="J2981">
        <f>IF(E2981="Outlook",COUNTIF($E$2:E2981,"Outlook"),"")</f>
        <v/>
      </c>
      <c r="K2981">
        <f>IF(E2981="Domain",COUNTIF($E$2:E2981,"Domain"),"")</f>
        <v/>
      </c>
    </row>
    <row r="2982">
      <c r="A2982" s="2" t="n"/>
      <c r="B2982">
        <f>LOWER(TRIM(A2982))</f>
        <v/>
      </c>
      <c r="C2982">
        <f>IF(B2982="","",IFERROR(INDEX('Bad Patterns'!$A$2:$A$120,MATCH(1,INDEX(--ISNUMBER(SEARCH('Bad Patterns'!$A$2:$A$120,B2982)),0),0)),""))</f>
        <v/>
      </c>
      <c r="D2982">
        <f>IF(B2982="","",IF(C2982&lt;&gt;"","REMOVE","KEEP"))</f>
        <v/>
      </c>
      <c r="E2982">
        <f>IF(D2982&lt;&gt;"KEEP","",IF(RIGHT(B2982,10)="@gmail.com","Gmail",IF(OR(RIGHT(B2982,12)="@outlook.com",RIGHT(B2982,12)="@hotmail.com",RIGHT(B2982,9)="@live.com"),"Outlook","Domain")))</f>
        <v/>
      </c>
      <c r="F2982">
        <f>IF(B2982="","",IFERROR(RIGHT(B2982,LEN(B2982)-FIND("@",B2982)),""))</f>
        <v/>
      </c>
      <c r="G2982">
        <f>IF(D2982="KEEP",COUNTIF($D$2:D2982,"KEEP"),"")</f>
        <v/>
      </c>
      <c r="H2982">
        <f>IF(D2982="REMOVE",COUNTIF($D$2:D2982,"REMOVE"),"")</f>
        <v/>
      </c>
      <c r="I2982">
        <f>IF(E2982="Gmail",COUNTIF($E$2:E2982,"Gmail"),"")</f>
        <v/>
      </c>
      <c r="J2982">
        <f>IF(E2982="Outlook",COUNTIF($E$2:E2982,"Outlook"),"")</f>
        <v/>
      </c>
      <c r="K2982">
        <f>IF(E2982="Domain",COUNTIF($E$2:E2982,"Domain"),"")</f>
        <v/>
      </c>
    </row>
    <row r="2983">
      <c r="A2983" s="2" t="n"/>
      <c r="B2983">
        <f>LOWER(TRIM(A2983))</f>
        <v/>
      </c>
      <c r="C2983">
        <f>IF(B2983="","",IFERROR(INDEX('Bad Patterns'!$A$2:$A$120,MATCH(1,INDEX(--ISNUMBER(SEARCH('Bad Patterns'!$A$2:$A$120,B2983)),0),0)),""))</f>
        <v/>
      </c>
      <c r="D2983">
        <f>IF(B2983="","",IF(C2983&lt;&gt;"","REMOVE","KEEP"))</f>
        <v/>
      </c>
      <c r="E2983">
        <f>IF(D2983&lt;&gt;"KEEP","",IF(RIGHT(B2983,10)="@gmail.com","Gmail",IF(OR(RIGHT(B2983,12)="@outlook.com",RIGHT(B2983,12)="@hotmail.com",RIGHT(B2983,9)="@live.com"),"Outlook","Domain")))</f>
        <v/>
      </c>
      <c r="F2983">
        <f>IF(B2983="","",IFERROR(RIGHT(B2983,LEN(B2983)-FIND("@",B2983)),""))</f>
        <v/>
      </c>
      <c r="G2983">
        <f>IF(D2983="KEEP",COUNTIF($D$2:D2983,"KEEP"),"")</f>
        <v/>
      </c>
      <c r="H2983">
        <f>IF(D2983="REMOVE",COUNTIF($D$2:D2983,"REMOVE"),"")</f>
        <v/>
      </c>
      <c r="I2983">
        <f>IF(E2983="Gmail",COUNTIF($E$2:E2983,"Gmail"),"")</f>
        <v/>
      </c>
      <c r="J2983">
        <f>IF(E2983="Outlook",COUNTIF($E$2:E2983,"Outlook"),"")</f>
        <v/>
      </c>
      <c r="K2983">
        <f>IF(E2983="Domain",COUNTIF($E$2:E2983,"Domain"),"")</f>
        <v/>
      </c>
    </row>
    <row r="2984">
      <c r="A2984" s="2" t="n"/>
      <c r="B2984">
        <f>LOWER(TRIM(A2984))</f>
        <v/>
      </c>
      <c r="C2984">
        <f>IF(B2984="","",IFERROR(INDEX('Bad Patterns'!$A$2:$A$120,MATCH(1,INDEX(--ISNUMBER(SEARCH('Bad Patterns'!$A$2:$A$120,B2984)),0),0)),""))</f>
        <v/>
      </c>
      <c r="D2984">
        <f>IF(B2984="","",IF(C2984&lt;&gt;"","REMOVE","KEEP"))</f>
        <v/>
      </c>
      <c r="E2984">
        <f>IF(D2984&lt;&gt;"KEEP","",IF(RIGHT(B2984,10)="@gmail.com","Gmail",IF(OR(RIGHT(B2984,12)="@outlook.com",RIGHT(B2984,12)="@hotmail.com",RIGHT(B2984,9)="@live.com"),"Outlook","Domain")))</f>
        <v/>
      </c>
      <c r="F2984">
        <f>IF(B2984="","",IFERROR(RIGHT(B2984,LEN(B2984)-FIND("@",B2984)),""))</f>
        <v/>
      </c>
      <c r="G2984">
        <f>IF(D2984="KEEP",COUNTIF($D$2:D2984,"KEEP"),"")</f>
        <v/>
      </c>
      <c r="H2984">
        <f>IF(D2984="REMOVE",COUNTIF($D$2:D2984,"REMOVE"),"")</f>
        <v/>
      </c>
      <c r="I2984">
        <f>IF(E2984="Gmail",COUNTIF($E$2:E2984,"Gmail"),"")</f>
        <v/>
      </c>
      <c r="J2984">
        <f>IF(E2984="Outlook",COUNTIF($E$2:E2984,"Outlook"),"")</f>
        <v/>
      </c>
      <c r="K2984">
        <f>IF(E2984="Domain",COUNTIF($E$2:E2984,"Domain"),"")</f>
        <v/>
      </c>
    </row>
    <row r="2985">
      <c r="A2985" s="2" t="n"/>
      <c r="B2985">
        <f>LOWER(TRIM(A2985))</f>
        <v/>
      </c>
      <c r="C2985">
        <f>IF(B2985="","",IFERROR(INDEX('Bad Patterns'!$A$2:$A$120,MATCH(1,INDEX(--ISNUMBER(SEARCH('Bad Patterns'!$A$2:$A$120,B2985)),0),0)),""))</f>
        <v/>
      </c>
      <c r="D2985">
        <f>IF(B2985="","",IF(C2985&lt;&gt;"","REMOVE","KEEP"))</f>
        <v/>
      </c>
      <c r="E2985">
        <f>IF(D2985&lt;&gt;"KEEP","",IF(RIGHT(B2985,10)="@gmail.com","Gmail",IF(OR(RIGHT(B2985,12)="@outlook.com",RIGHT(B2985,12)="@hotmail.com",RIGHT(B2985,9)="@live.com"),"Outlook","Domain")))</f>
        <v/>
      </c>
      <c r="F2985">
        <f>IF(B2985="","",IFERROR(RIGHT(B2985,LEN(B2985)-FIND("@",B2985)),""))</f>
        <v/>
      </c>
      <c r="G2985">
        <f>IF(D2985="KEEP",COUNTIF($D$2:D2985,"KEEP"),"")</f>
        <v/>
      </c>
      <c r="H2985">
        <f>IF(D2985="REMOVE",COUNTIF($D$2:D2985,"REMOVE"),"")</f>
        <v/>
      </c>
      <c r="I2985">
        <f>IF(E2985="Gmail",COUNTIF($E$2:E2985,"Gmail"),"")</f>
        <v/>
      </c>
      <c r="J2985">
        <f>IF(E2985="Outlook",COUNTIF($E$2:E2985,"Outlook"),"")</f>
        <v/>
      </c>
      <c r="K2985">
        <f>IF(E2985="Domain",COUNTIF($E$2:E2985,"Domain"),"")</f>
        <v/>
      </c>
    </row>
    <row r="2986">
      <c r="A2986" s="2" t="n"/>
      <c r="B2986">
        <f>LOWER(TRIM(A2986))</f>
        <v/>
      </c>
      <c r="C2986">
        <f>IF(B2986="","",IFERROR(INDEX('Bad Patterns'!$A$2:$A$120,MATCH(1,INDEX(--ISNUMBER(SEARCH('Bad Patterns'!$A$2:$A$120,B2986)),0),0)),""))</f>
        <v/>
      </c>
      <c r="D2986">
        <f>IF(B2986="","",IF(C2986&lt;&gt;"","REMOVE","KEEP"))</f>
        <v/>
      </c>
      <c r="E2986">
        <f>IF(D2986&lt;&gt;"KEEP","",IF(RIGHT(B2986,10)="@gmail.com","Gmail",IF(OR(RIGHT(B2986,12)="@outlook.com",RIGHT(B2986,12)="@hotmail.com",RIGHT(B2986,9)="@live.com"),"Outlook","Domain")))</f>
        <v/>
      </c>
      <c r="F2986">
        <f>IF(B2986="","",IFERROR(RIGHT(B2986,LEN(B2986)-FIND("@",B2986)),""))</f>
        <v/>
      </c>
      <c r="G2986">
        <f>IF(D2986="KEEP",COUNTIF($D$2:D2986,"KEEP"),"")</f>
        <v/>
      </c>
      <c r="H2986">
        <f>IF(D2986="REMOVE",COUNTIF($D$2:D2986,"REMOVE"),"")</f>
        <v/>
      </c>
      <c r="I2986">
        <f>IF(E2986="Gmail",COUNTIF($E$2:E2986,"Gmail"),"")</f>
        <v/>
      </c>
      <c r="J2986">
        <f>IF(E2986="Outlook",COUNTIF($E$2:E2986,"Outlook"),"")</f>
        <v/>
      </c>
      <c r="K2986">
        <f>IF(E2986="Domain",COUNTIF($E$2:E2986,"Domain"),"")</f>
        <v/>
      </c>
    </row>
    <row r="2987">
      <c r="A2987" s="2" t="n"/>
      <c r="B2987">
        <f>LOWER(TRIM(A2987))</f>
        <v/>
      </c>
      <c r="C2987">
        <f>IF(B2987="","",IFERROR(INDEX('Bad Patterns'!$A$2:$A$120,MATCH(1,INDEX(--ISNUMBER(SEARCH('Bad Patterns'!$A$2:$A$120,B2987)),0),0)),""))</f>
        <v/>
      </c>
      <c r="D2987">
        <f>IF(B2987="","",IF(C2987&lt;&gt;"","REMOVE","KEEP"))</f>
        <v/>
      </c>
      <c r="E2987">
        <f>IF(D2987&lt;&gt;"KEEP","",IF(RIGHT(B2987,10)="@gmail.com","Gmail",IF(OR(RIGHT(B2987,12)="@outlook.com",RIGHT(B2987,12)="@hotmail.com",RIGHT(B2987,9)="@live.com"),"Outlook","Domain")))</f>
        <v/>
      </c>
      <c r="F2987">
        <f>IF(B2987="","",IFERROR(RIGHT(B2987,LEN(B2987)-FIND("@",B2987)),""))</f>
        <v/>
      </c>
      <c r="G2987">
        <f>IF(D2987="KEEP",COUNTIF($D$2:D2987,"KEEP"),"")</f>
        <v/>
      </c>
      <c r="H2987">
        <f>IF(D2987="REMOVE",COUNTIF($D$2:D2987,"REMOVE"),"")</f>
        <v/>
      </c>
      <c r="I2987">
        <f>IF(E2987="Gmail",COUNTIF($E$2:E2987,"Gmail"),"")</f>
        <v/>
      </c>
      <c r="J2987">
        <f>IF(E2987="Outlook",COUNTIF($E$2:E2987,"Outlook"),"")</f>
        <v/>
      </c>
      <c r="K2987">
        <f>IF(E2987="Domain",COUNTIF($E$2:E2987,"Domain"),"")</f>
        <v/>
      </c>
    </row>
    <row r="2988">
      <c r="A2988" s="2" t="n"/>
      <c r="B2988">
        <f>LOWER(TRIM(A2988))</f>
        <v/>
      </c>
      <c r="C2988">
        <f>IF(B2988="","",IFERROR(INDEX('Bad Patterns'!$A$2:$A$120,MATCH(1,INDEX(--ISNUMBER(SEARCH('Bad Patterns'!$A$2:$A$120,B2988)),0),0)),""))</f>
        <v/>
      </c>
      <c r="D2988">
        <f>IF(B2988="","",IF(C2988&lt;&gt;"","REMOVE","KEEP"))</f>
        <v/>
      </c>
      <c r="E2988">
        <f>IF(D2988&lt;&gt;"KEEP","",IF(RIGHT(B2988,10)="@gmail.com","Gmail",IF(OR(RIGHT(B2988,12)="@outlook.com",RIGHT(B2988,12)="@hotmail.com",RIGHT(B2988,9)="@live.com"),"Outlook","Domain")))</f>
        <v/>
      </c>
      <c r="F2988">
        <f>IF(B2988="","",IFERROR(RIGHT(B2988,LEN(B2988)-FIND("@",B2988)),""))</f>
        <v/>
      </c>
      <c r="G2988">
        <f>IF(D2988="KEEP",COUNTIF($D$2:D2988,"KEEP"),"")</f>
        <v/>
      </c>
      <c r="H2988">
        <f>IF(D2988="REMOVE",COUNTIF($D$2:D2988,"REMOVE"),"")</f>
        <v/>
      </c>
      <c r="I2988">
        <f>IF(E2988="Gmail",COUNTIF($E$2:E2988,"Gmail"),"")</f>
        <v/>
      </c>
      <c r="J2988">
        <f>IF(E2988="Outlook",COUNTIF($E$2:E2988,"Outlook"),"")</f>
        <v/>
      </c>
      <c r="K2988">
        <f>IF(E2988="Domain",COUNTIF($E$2:E2988,"Domain"),"")</f>
        <v/>
      </c>
    </row>
    <row r="2989">
      <c r="A2989" s="2" t="n"/>
      <c r="B2989">
        <f>LOWER(TRIM(A2989))</f>
        <v/>
      </c>
      <c r="C2989">
        <f>IF(B2989="","",IFERROR(INDEX('Bad Patterns'!$A$2:$A$120,MATCH(1,INDEX(--ISNUMBER(SEARCH('Bad Patterns'!$A$2:$A$120,B2989)),0),0)),""))</f>
        <v/>
      </c>
      <c r="D2989">
        <f>IF(B2989="","",IF(C2989&lt;&gt;"","REMOVE","KEEP"))</f>
        <v/>
      </c>
      <c r="E2989">
        <f>IF(D2989&lt;&gt;"KEEP","",IF(RIGHT(B2989,10)="@gmail.com","Gmail",IF(OR(RIGHT(B2989,12)="@outlook.com",RIGHT(B2989,12)="@hotmail.com",RIGHT(B2989,9)="@live.com"),"Outlook","Domain")))</f>
        <v/>
      </c>
      <c r="F2989">
        <f>IF(B2989="","",IFERROR(RIGHT(B2989,LEN(B2989)-FIND("@",B2989)),""))</f>
        <v/>
      </c>
      <c r="G2989">
        <f>IF(D2989="KEEP",COUNTIF($D$2:D2989,"KEEP"),"")</f>
        <v/>
      </c>
      <c r="H2989">
        <f>IF(D2989="REMOVE",COUNTIF($D$2:D2989,"REMOVE"),"")</f>
        <v/>
      </c>
      <c r="I2989">
        <f>IF(E2989="Gmail",COUNTIF($E$2:E2989,"Gmail"),"")</f>
        <v/>
      </c>
      <c r="J2989">
        <f>IF(E2989="Outlook",COUNTIF($E$2:E2989,"Outlook"),"")</f>
        <v/>
      </c>
      <c r="K2989">
        <f>IF(E2989="Domain",COUNTIF($E$2:E2989,"Domain"),"")</f>
        <v/>
      </c>
    </row>
    <row r="2990">
      <c r="A2990" s="2" t="n"/>
      <c r="B2990">
        <f>LOWER(TRIM(A2990))</f>
        <v/>
      </c>
      <c r="C2990">
        <f>IF(B2990="","",IFERROR(INDEX('Bad Patterns'!$A$2:$A$120,MATCH(1,INDEX(--ISNUMBER(SEARCH('Bad Patterns'!$A$2:$A$120,B2990)),0),0)),""))</f>
        <v/>
      </c>
      <c r="D2990">
        <f>IF(B2990="","",IF(C2990&lt;&gt;"","REMOVE","KEEP"))</f>
        <v/>
      </c>
      <c r="E2990">
        <f>IF(D2990&lt;&gt;"KEEP","",IF(RIGHT(B2990,10)="@gmail.com","Gmail",IF(OR(RIGHT(B2990,12)="@outlook.com",RIGHT(B2990,12)="@hotmail.com",RIGHT(B2990,9)="@live.com"),"Outlook","Domain")))</f>
        <v/>
      </c>
      <c r="F2990">
        <f>IF(B2990="","",IFERROR(RIGHT(B2990,LEN(B2990)-FIND("@",B2990)),""))</f>
        <v/>
      </c>
      <c r="G2990">
        <f>IF(D2990="KEEP",COUNTIF($D$2:D2990,"KEEP"),"")</f>
        <v/>
      </c>
      <c r="H2990">
        <f>IF(D2990="REMOVE",COUNTIF($D$2:D2990,"REMOVE"),"")</f>
        <v/>
      </c>
      <c r="I2990">
        <f>IF(E2990="Gmail",COUNTIF($E$2:E2990,"Gmail"),"")</f>
        <v/>
      </c>
      <c r="J2990">
        <f>IF(E2990="Outlook",COUNTIF($E$2:E2990,"Outlook"),"")</f>
        <v/>
      </c>
      <c r="K2990">
        <f>IF(E2990="Domain",COUNTIF($E$2:E2990,"Domain"),"")</f>
        <v/>
      </c>
    </row>
    <row r="2991">
      <c r="A2991" s="2" t="n"/>
      <c r="B2991">
        <f>LOWER(TRIM(A2991))</f>
        <v/>
      </c>
      <c r="C2991">
        <f>IF(B2991="","",IFERROR(INDEX('Bad Patterns'!$A$2:$A$120,MATCH(1,INDEX(--ISNUMBER(SEARCH('Bad Patterns'!$A$2:$A$120,B2991)),0),0)),""))</f>
        <v/>
      </c>
      <c r="D2991">
        <f>IF(B2991="","",IF(C2991&lt;&gt;"","REMOVE","KEEP"))</f>
        <v/>
      </c>
      <c r="E2991">
        <f>IF(D2991&lt;&gt;"KEEP","",IF(RIGHT(B2991,10)="@gmail.com","Gmail",IF(OR(RIGHT(B2991,12)="@outlook.com",RIGHT(B2991,12)="@hotmail.com",RIGHT(B2991,9)="@live.com"),"Outlook","Domain")))</f>
        <v/>
      </c>
      <c r="F2991">
        <f>IF(B2991="","",IFERROR(RIGHT(B2991,LEN(B2991)-FIND("@",B2991)),""))</f>
        <v/>
      </c>
      <c r="G2991">
        <f>IF(D2991="KEEP",COUNTIF($D$2:D2991,"KEEP"),"")</f>
        <v/>
      </c>
      <c r="H2991">
        <f>IF(D2991="REMOVE",COUNTIF($D$2:D2991,"REMOVE"),"")</f>
        <v/>
      </c>
      <c r="I2991">
        <f>IF(E2991="Gmail",COUNTIF($E$2:E2991,"Gmail"),"")</f>
        <v/>
      </c>
      <c r="J2991">
        <f>IF(E2991="Outlook",COUNTIF($E$2:E2991,"Outlook"),"")</f>
        <v/>
      </c>
      <c r="K2991">
        <f>IF(E2991="Domain",COUNTIF($E$2:E2991,"Domain"),"")</f>
        <v/>
      </c>
    </row>
    <row r="2992">
      <c r="A2992" s="2" t="n"/>
      <c r="B2992">
        <f>LOWER(TRIM(A2992))</f>
        <v/>
      </c>
      <c r="C2992">
        <f>IF(B2992="","",IFERROR(INDEX('Bad Patterns'!$A$2:$A$120,MATCH(1,INDEX(--ISNUMBER(SEARCH('Bad Patterns'!$A$2:$A$120,B2992)),0),0)),""))</f>
        <v/>
      </c>
      <c r="D2992">
        <f>IF(B2992="","",IF(C2992&lt;&gt;"","REMOVE","KEEP"))</f>
        <v/>
      </c>
      <c r="E2992">
        <f>IF(D2992&lt;&gt;"KEEP","",IF(RIGHT(B2992,10)="@gmail.com","Gmail",IF(OR(RIGHT(B2992,12)="@outlook.com",RIGHT(B2992,12)="@hotmail.com",RIGHT(B2992,9)="@live.com"),"Outlook","Domain")))</f>
        <v/>
      </c>
      <c r="F2992">
        <f>IF(B2992="","",IFERROR(RIGHT(B2992,LEN(B2992)-FIND("@",B2992)),""))</f>
        <v/>
      </c>
      <c r="G2992">
        <f>IF(D2992="KEEP",COUNTIF($D$2:D2992,"KEEP"),"")</f>
        <v/>
      </c>
      <c r="H2992">
        <f>IF(D2992="REMOVE",COUNTIF($D$2:D2992,"REMOVE"),"")</f>
        <v/>
      </c>
      <c r="I2992">
        <f>IF(E2992="Gmail",COUNTIF($E$2:E2992,"Gmail"),"")</f>
        <v/>
      </c>
      <c r="J2992">
        <f>IF(E2992="Outlook",COUNTIF($E$2:E2992,"Outlook"),"")</f>
        <v/>
      </c>
      <c r="K2992">
        <f>IF(E2992="Domain",COUNTIF($E$2:E2992,"Domain"),"")</f>
        <v/>
      </c>
    </row>
    <row r="2993">
      <c r="A2993" s="2" t="n"/>
      <c r="B2993">
        <f>LOWER(TRIM(A2993))</f>
        <v/>
      </c>
      <c r="C2993">
        <f>IF(B2993="","",IFERROR(INDEX('Bad Patterns'!$A$2:$A$120,MATCH(1,INDEX(--ISNUMBER(SEARCH('Bad Patterns'!$A$2:$A$120,B2993)),0),0)),""))</f>
        <v/>
      </c>
      <c r="D2993">
        <f>IF(B2993="","",IF(C2993&lt;&gt;"","REMOVE","KEEP"))</f>
        <v/>
      </c>
      <c r="E2993">
        <f>IF(D2993&lt;&gt;"KEEP","",IF(RIGHT(B2993,10)="@gmail.com","Gmail",IF(OR(RIGHT(B2993,12)="@outlook.com",RIGHT(B2993,12)="@hotmail.com",RIGHT(B2993,9)="@live.com"),"Outlook","Domain")))</f>
        <v/>
      </c>
      <c r="F2993">
        <f>IF(B2993="","",IFERROR(RIGHT(B2993,LEN(B2993)-FIND("@",B2993)),""))</f>
        <v/>
      </c>
      <c r="G2993">
        <f>IF(D2993="KEEP",COUNTIF($D$2:D2993,"KEEP"),"")</f>
        <v/>
      </c>
      <c r="H2993">
        <f>IF(D2993="REMOVE",COUNTIF($D$2:D2993,"REMOVE"),"")</f>
        <v/>
      </c>
      <c r="I2993">
        <f>IF(E2993="Gmail",COUNTIF($E$2:E2993,"Gmail"),"")</f>
        <v/>
      </c>
      <c r="J2993">
        <f>IF(E2993="Outlook",COUNTIF($E$2:E2993,"Outlook"),"")</f>
        <v/>
      </c>
      <c r="K2993">
        <f>IF(E2993="Domain",COUNTIF($E$2:E2993,"Domain"),"")</f>
        <v/>
      </c>
    </row>
    <row r="2994">
      <c r="A2994" s="2" t="n"/>
      <c r="B2994">
        <f>LOWER(TRIM(A2994))</f>
        <v/>
      </c>
      <c r="C2994">
        <f>IF(B2994="","",IFERROR(INDEX('Bad Patterns'!$A$2:$A$120,MATCH(1,INDEX(--ISNUMBER(SEARCH('Bad Patterns'!$A$2:$A$120,B2994)),0),0)),""))</f>
        <v/>
      </c>
      <c r="D2994">
        <f>IF(B2994="","",IF(C2994&lt;&gt;"","REMOVE","KEEP"))</f>
        <v/>
      </c>
      <c r="E2994">
        <f>IF(D2994&lt;&gt;"KEEP","",IF(RIGHT(B2994,10)="@gmail.com","Gmail",IF(OR(RIGHT(B2994,12)="@outlook.com",RIGHT(B2994,12)="@hotmail.com",RIGHT(B2994,9)="@live.com"),"Outlook","Domain")))</f>
        <v/>
      </c>
      <c r="F2994">
        <f>IF(B2994="","",IFERROR(RIGHT(B2994,LEN(B2994)-FIND("@",B2994)),""))</f>
        <v/>
      </c>
      <c r="G2994">
        <f>IF(D2994="KEEP",COUNTIF($D$2:D2994,"KEEP"),"")</f>
        <v/>
      </c>
      <c r="H2994">
        <f>IF(D2994="REMOVE",COUNTIF($D$2:D2994,"REMOVE"),"")</f>
        <v/>
      </c>
      <c r="I2994">
        <f>IF(E2994="Gmail",COUNTIF($E$2:E2994,"Gmail"),"")</f>
        <v/>
      </c>
      <c r="J2994">
        <f>IF(E2994="Outlook",COUNTIF($E$2:E2994,"Outlook"),"")</f>
        <v/>
      </c>
      <c r="K2994">
        <f>IF(E2994="Domain",COUNTIF($E$2:E2994,"Domain"),"")</f>
        <v/>
      </c>
    </row>
    <row r="2995">
      <c r="A2995" s="2" t="n"/>
      <c r="B2995">
        <f>LOWER(TRIM(A2995))</f>
        <v/>
      </c>
      <c r="C2995">
        <f>IF(B2995="","",IFERROR(INDEX('Bad Patterns'!$A$2:$A$120,MATCH(1,INDEX(--ISNUMBER(SEARCH('Bad Patterns'!$A$2:$A$120,B2995)),0),0)),""))</f>
        <v/>
      </c>
      <c r="D2995">
        <f>IF(B2995="","",IF(C2995&lt;&gt;"","REMOVE","KEEP"))</f>
        <v/>
      </c>
      <c r="E2995">
        <f>IF(D2995&lt;&gt;"KEEP","",IF(RIGHT(B2995,10)="@gmail.com","Gmail",IF(OR(RIGHT(B2995,12)="@outlook.com",RIGHT(B2995,12)="@hotmail.com",RIGHT(B2995,9)="@live.com"),"Outlook","Domain")))</f>
        <v/>
      </c>
      <c r="F2995">
        <f>IF(B2995="","",IFERROR(RIGHT(B2995,LEN(B2995)-FIND("@",B2995)),""))</f>
        <v/>
      </c>
      <c r="G2995">
        <f>IF(D2995="KEEP",COUNTIF($D$2:D2995,"KEEP"),"")</f>
        <v/>
      </c>
      <c r="H2995">
        <f>IF(D2995="REMOVE",COUNTIF($D$2:D2995,"REMOVE"),"")</f>
        <v/>
      </c>
      <c r="I2995">
        <f>IF(E2995="Gmail",COUNTIF($E$2:E2995,"Gmail"),"")</f>
        <v/>
      </c>
      <c r="J2995">
        <f>IF(E2995="Outlook",COUNTIF($E$2:E2995,"Outlook"),"")</f>
        <v/>
      </c>
      <c r="K2995">
        <f>IF(E2995="Domain",COUNTIF($E$2:E2995,"Domain"),"")</f>
        <v/>
      </c>
    </row>
    <row r="2996">
      <c r="A2996" s="2" t="n"/>
      <c r="B2996">
        <f>LOWER(TRIM(A2996))</f>
        <v/>
      </c>
      <c r="C2996">
        <f>IF(B2996="","",IFERROR(INDEX('Bad Patterns'!$A$2:$A$120,MATCH(1,INDEX(--ISNUMBER(SEARCH('Bad Patterns'!$A$2:$A$120,B2996)),0),0)),""))</f>
        <v/>
      </c>
      <c r="D2996">
        <f>IF(B2996="","",IF(C2996&lt;&gt;"","REMOVE","KEEP"))</f>
        <v/>
      </c>
      <c r="E2996">
        <f>IF(D2996&lt;&gt;"KEEP","",IF(RIGHT(B2996,10)="@gmail.com","Gmail",IF(OR(RIGHT(B2996,12)="@outlook.com",RIGHT(B2996,12)="@hotmail.com",RIGHT(B2996,9)="@live.com"),"Outlook","Domain")))</f>
        <v/>
      </c>
      <c r="F2996">
        <f>IF(B2996="","",IFERROR(RIGHT(B2996,LEN(B2996)-FIND("@",B2996)),""))</f>
        <v/>
      </c>
      <c r="G2996">
        <f>IF(D2996="KEEP",COUNTIF($D$2:D2996,"KEEP"),"")</f>
        <v/>
      </c>
      <c r="H2996">
        <f>IF(D2996="REMOVE",COUNTIF($D$2:D2996,"REMOVE"),"")</f>
        <v/>
      </c>
      <c r="I2996">
        <f>IF(E2996="Gmail",COUNTIF($E$2:E2996,"Gmail"),"")</f>
        <v/>
      </c>
      <c r="J2996">
        <f>IF(E2996="Outlook",COUNTIF($E$2:E2996,"Outlook"),"")</f>
        <v/>
      </c>
      <c r="K2996">
        <f>IF(E2996="Domain",COUNTIF($E$2:E2996,"Domain"),"")</f>
        <v/>
      </c>
    </row>
    <row r="2997">
      <c r="A2997" s="2" t="n"/>
      <c r="B2997">
        <f>LOWER(TRIM(A2997))</f>
        <v/>
      </c>
      <c r="C2997">
        <f>IF(B2997="","",IFERROR(INDEX('Bad Patterns'!$A$2:$A$120,MATCH(1,INDEX(--ISNUMBER(SEARCH('Bad Patterns'!$A$2:$A$120,B2997)),0),0)),""))</f>
        <v/>
      </c>
      <c r="D2997">
        <f>IF(B2997="","",IF(C2997&lt;&gt;"","REMOVE","KEEP"))</f>
        <v/>
      </c>
      <c r="E2997">
        <f>IF(D2997&lt;&gt;"KEEP","",IF(RIGHT(B2997,10)="@gmail.com","Gmail",IF(OR(RIGHT(B2997,12)="@outlook.com",RIGHT(B2997,12)="@hotmail.com",RIGHT(B2997,9)="@live.com"),"Outlook","Domain")))</f>
        <v/>
      </c>
      <c r="F2997">
        <f>IF(B2997="","",IFERROR(RIGHT(B2997,LEN(B2997)-FIND("@",B2997)),""))</f>
        <v/>
      </c>
      <c r="G2997">
        <f>IF(D2997="KEEP",COUNTIF($D$2:D2997,"KEEP"),"")</f>
        <v/>
      </c>
      <c r="H2997">
        <f>IF(D2997="REMOVE",COUNTIF($D$2:D2997,"REMOVE"),"")</f>
        <v/>
      </c>
      <c r="I2997">
        <f>IF(E2997="Gmail",COUNTIF($E$2:E2997,"Gmail"),"")</f>
        <v/>
      </c>
      <c r="J2997">
        <f>IF(E2997="Outlook",COUNTIF($E$2:E2997,"Outlook"),"")</f>
        <v/>
      </c>
      <c r="K2997">
        <f>IF(E2997="Domain",COUNTIF($E$2:E2997,"Domain"),"")</f>
        <v/>
      </c>
    </row>
    <row r="2998">
      <c r="A2998" s="2" t="n"/>
      <c r="B2998">
        <f>LOWER(TRIM(A2998))</f>
        <v/>
      </c>
      <c r="C2998">
        <f>IF(B2998="","",IFERROR(INDEX('Bad Patterns'!$A$2:$A$120,MATCH(1,INDEX(--ISNUMBER(SEARCH('Bad Patterns'!$A$2:$A$120,B2998)),0),0)),""))</f>
        <v/>
      </c>
      <c r="D2998">
        <f>IF(B2998="","",IF(C2998&lt;&gt;"","REMOVE","KEEP"))</f>
        <v/>
      </c>
      <c r="E2998">
        <f>IF(D2998&lt;&gt;"KEEP","",IF(RIGHT(B2998,10)="@gmail.com","Gmail",IF(OR(RIGHT(B2998,12)="@outlook.com",RIGHT(B2998,12)="@hotmail.com",RIGHT(B2998,9)="@live.com"),"Outlook","Domain")))</f>
        <v/>
      </c>
      <c r="F2998">
        <f>IF(B2998="","",IFERROR(RIGHT(B2998,LEN(B2998)-FIND("@",B2998)),""))</f>
        <v/>
      </c>
      <c r="G2998">
        <f>IF(D2998="KEEP",COUNTIF($D$2:D2998,"KEEP"),"")</f>
        <v/>
      </c>
      <c r="H2998">
        <f>IF(D2998="REMOVE",COUNTIF($D$2:D2998,"REMOVE"),"")</f>
        <v/>
      </c>
      <c r="I2998">
        <f>IF(E2998="Gmail",COUNTIF($E$2:E2998,"Gmail"),"")</f>
        <v/>
      </c>
      <c r="J2998">
        <f>IF(E2998="Outlook",COUNTIF($E$2:E2998,"Outlook"),"")</f>
        <v/>
      </c>
      <c r="K2998">
        <f>IF(E2998="Domain",COUNTIF($E$2:E2998,"Domain"),"")</f>
        <v/>
      </c>
    </row>
    <row r="2999">
      <c r="A2999" s="2" t="n"/>
      <c r="B2999">
        <f>LOWER(TRIM(A2999))</f>
        <v/>
      </c>
      <c r="C2999">
        <f>IF(B2999="","",IFERROR(INDEX('Bad Patterns'!$A$2:$A$120,MATCH(1,INDEX(--ISNUMBER(SEARCH('Bad Patterns'!$A$2:$A$120,B2999)),0),0)),""))</f>
        <v/>
      </c>
      <c r="D2999">
        <f>IF(B2999="","",IF(C2999&lt;&gt;"","REMOVE","KEEP"))</f>
        <v/>
      </c>
      <c r="E2999">
        <f>IF(D2999&lt;&gt;"KEEP","",IF(RIGHT(B2999,10)="@gmail.com","Gmail",IF(OR(RIGHT(B2999,12)="@outlook.com",RIGHT(B2999,12)="@hotmail.com",RIGHT(B2999,9)="@live.com"),"Outlook","Domain")))</f>
        <v/>
      </c>
      <c r="F2999">
        <f>IF(B2999="","",IFERROR(RIGHT(B2999,LEN(B2999)-FIND("@",B2999)),""))</f>
        <v/>
      </c>
      <c r="G2999">
        <f>IF(D2999="KEEP",COUNTIF($D$2:D2999,"KEEP"),"")</f>
        <v/>
      </c>
      <c r="H2999">
        <f>IF(D2999="REMOVE",COUNTIF($D$2:D2999,"REMOVE"),"")</f>
        <v/>
      </c>
      <c r="I2999">
        <f>IF(E2999="Gmail",COUNTIF($E$2:E2999,"Gmail"),"")</f>
        <v/>
      </c>
      <c r="J2999">
        <f>IF(E2999="Outlook",COUNTIF($E$2:E2999,"Outlook"),"")</f>
        <v/>
      </c>
      <c r="K2999">
        <f>IF(E2999="Domain",COUNTIF($E$2:E2999,"Domain"),"")</f>
        <v/>
      </c>
    </row>
    <row r="3000">
      <c r="A3000" s="2" t="n"/>
      <c r="B3000">
        <f>LOWER(TRIM(A3000))</f>
        <v/>
      </c>
      <c r="C3000">
        <f>IF(B3000="","",IFERROR(INDEX('Bad Patterns'!$A$2:$A$120,MATCH(1,INDEX(--ISNUMBER(SEARCH('Bad Patterns'!$A$2:$A$120,B3000)),0),0)),""))</f>
        <v/>
      </c>
      <c r="D3000">
        <f>IF(B3000="","",IF(C3000&lt;&gt;"","REMOVE","KEEP"))</f>
        <v/>
      </c>
      <c r="E3000">
        <f>IF(D3000&lt;&gt;"KEEP","",IF(RIGHT(B3000,10)="@gmail.com","Gmail",IF(OR(RIGHT(B3000,12)="@outlook.com",RIGHT(B3000,12)="@hotmail.com",RIGHT(B3000,9)="@live.com"),"Outlook","Domain")))</f>
        <v/>
      </c>
      <c r="F3000">
        <f>IF(B3000="","",IFERROR(RIGHT(B3000,LEN(B3000)-FIND("@",B3000)),""))</f>
        <v/>
      </c>
      <c r="G3000">
        <f>IF(D3000="KEEP",COUNTIF($D$2:D3000,"KEEP"),"")</f>
        <v/>
      </c>
      <c r="H3000">
        <f>IF(D3000="REMOVE",COUNTIF($D$2:D3000,"REMOVE"),"")</f>
        <v/>
      </c>
      <c r="I3000">
        <f>IF(E3000="Gmail",COUNTIF($E$2:E3000,"Gmail"),"")</f>
        <v/>
      </c>
      <c r="J3000">
        <f>IF(E3000="Outlook",COUNTIF($E$2:E3000,"Outlook"),"")</f>
        <v/>
      </c>
      <c r="K3000">
        <f>IF(E3000="Domain",COUNTIF($E$2:E3000,"Domain"),"")</f>
        <v/>
      </c>
    </row>
    <row r="3001">
      <c r="A3001" s="2" t="n"/>
      <c r="B3001">
        <f>LOWER(TRIM(A3001))</f>
        <v/>
      </c>
      <c r="C3001">
        <f>IF(B3001="","",IFERROR(INDEX('Bad Patterns'!$A$2:$A$120,MATCH(1,INDEX(--ISNUMBER(SEARCH('Bad Patterns'!$A$2:$A$120,B3001)),0),0)),""))</f>
        <v/>
      </c>
      <c r="D3001">
        <f>IF(B3001="","",IF(C3001&lt;&gt;"","REMOVE","KEEP"))</f>
        <v/>
      </c>
      <c r="E3001">
        <f>IF(D3001&lt;&gt;"KEEP","",IF(RIGHT(B3001,10)="@gmail.com","Gmail",IF(OR(RIGHT(B3001,12)="@outlook.com",RIGHT(B3001,12)="@hotmail.com",RIGHT(B3001,9)="@live.com"),"Outlook","Domain")))</f>
        <v/>
      </c>
      <c r="F3001">
        <f>IF(B3001="","",IFERROR(RIGHT(B3001,LEN(B3001)-FIND("@",B3001)),""))</f>
        <v/>
      </c>
      <c r="G3001">
        <f>IF(D3001="KEEP",COUNTIF($D$2:D3001,"KEEP"),"")</f>
        <v/>
      </c>
      <c r="H3001">
        <f>IF(D3001="REMOVE",COUNTIF($D$2:D3001,"REMOVE"),"")</f>
        <v/>
      </c>
      <c r="I3001">
        <f>IF(E3001="Gmail",COUNTIF($E$2:E3001,"Gmail"),"")</f>
        <v/>
      </c>
      <c r="J3001">
        <f>IF(E3001="Outlook",COUNTIF($E$2:E3001,"Outlook"),"")</f>
        <v/>
      </c>
      <c r="K3001">
        <f>IF(E3001="Domain",COUNTIF($E$2:E3001,"Domain"),"")</f>
        <v/>
      </c>
    </row>
    <row r="3002">
      <c r="A3002" s="2" t="n"/>
      <c r="B3002">
        <f>LOWER(TRIM(A3002))</f>
        <v/>
      </c>
      <c r="C3002">
        <f>IF(B3002="","",IFERROR(INDEX('Bad Patterns'!$A$2:$A$120,MATCH(1,INDEX(--ISNUMBER(SEARCH('Bad Patterns'!$A$2:$A$120,B3002)),0),0)),""))</f>
        <v/>
      </c>
      <c r="D3002">
        <f>IF(B3002="","",IF(C3002&lt;&gt;"","REMOVE","KEEP"))</f>
        <v/>
      </c>
      <c r="E3002">
        <f>IF(D3002&lt;&gt;"KEEP","",IF(RIGHT(B3002,10)="@gmail.com","Gmail",IF(OR(RIGHT(B3002,12)="@outlook.com",RIGHT(B3002,12)="@hotmail.com",RIGHT(B3002,9)="@live.com"),"Outlook","Domain")))</f>
        <v/>
      </c>
      <c r="F3002">
        <f>IF(B3002="","",IFERROR(RIGHT(B3002,LEN(B3002)-FIND("@",B3002)),""))</f>
        <v/>
      </c>
      <c r="G3002">
        <f>IF(D3002="KEEP",COUNTIF($D$2:D3002,"KEEP"),"")</f>
        <v/>
      </c>
      <c r="H3002">
        <f>IF(D3002="REMOVE",COUNTIF($D$2:D3002,"REMOVE"),"")</f>
        <v/>
      </c>
      <c r="I3002">
        <f>IF(E3002="Gmail",COUNTIF($E$2:E3002,"Gmail"),"")</f>
        <v/>
      </c>
      <c r="J3002">
        <f>IF(E3002="Outlook",COUNTIF($E$2:E3002,"Outlook"),"")</f>
        <v/>
      </c>
      <c r="K3002">
        <f>IF(E3002="Domain",COUNTIF($E$2:E3002,"Domain"),"")</f>
        <v/>
      </c>
    </row>
    <row r="3003">
      <c r="A3003" s="2" t="n"/>
      <c r="B3003">
        <f>LOWER(TRIM(A3003))</f>
        <v/>
      </c>
      <c r="C3003">
        <f>IF(B3003="","",IFERROR(INDEX('Bad Patterns'!$A$2:$A$120,MATCH(1,INDEX(--ISNUMBER(SEARCH('Bad Patterns'!$A$2:$A$120,B3003)),0),0)),""))</f>
        <v/>
      </c>
      <c r="D3003">
        <f>IF(B3003="","",IF(C3003&lt;&gt;"","REMOVE","KEEP"))</f>
        <v/>
      </c>
      <c r="E3003">
        <f>IF(D3003&lt;&gt;"KEEP","",IF(RIGHT(B3003,10)="@gmail.com","Gmail",IF(OR(RIGHT(B3003,12)="@outlook.com",RIGHT(B3003,12)="@hotmail.com",RIGHT(B3003,9)="@live.com"),"Outlook","Domain")))</f>
        <v/>
      </c>
      <c r="F3003">
        <f>IF(B3003="","",IFERROR(RIGHT(B3003,LEN(B3003)-FIND("@",B3003)),""))</f>
        <v/>
      </c>
      <c r="G3003">
        <f>IF(D3003="KEEP",COUNTIF($D$2:D3003,"KEEP"),"")</f>
        <v/>
      </c>
      <c r="H3003">
        <f>IF(D3003="REMOVE",COUNTIF($D$2:D3003,"REMOVE"),"")</f>
        <v/>
      </c>
      <c r="I3003">
        <f>IF(E3003="Gmail",COUNTIF($E$2:E3003,"Gmail"),"")</f>
        <v/>
      </c>
      <c r="J3003">
        <f>IF(E3003="Outlook",COUNTIF($E$2:E3003,"Outlook"),"")</f>
        <v/>
      </c>
      <c r="K3003">
        <f>IF(E3003="Domain",COUNTIF($E$2:E3003,"Domain"),"")</f>
        <v/>
      </c>
    </row>
    <row r="3004">
      <c r="A3004" s="2" t="n"/>
      <c r="B3004">
        <f>LOWER(TRIM(A3004))</f>
        <v/>
      </c>
      <c r="C3004">
        <f>IF(B3004="","",IFERROR(INDEX('Bad Patterns'!$A$2:$A$120,MATCH(1,INDEX(--ISNUMBER(SEARCH('Bad Patterns'!$A$2:$A$120,B3004)),0),0)),""))</f>
        <v/>
      </c>
      <c r="D3004">
        <f>IF(B3004="","",IF(C3004&lt;&gt;"","REMOVE","KEEP"))</f>
        <v/>
      </c>
      <c r="E3004">
        <f>IF(D3004&lt;&gt;"KEEP","",IF(RIGHT(B3004,10)="@gmail.com","Gmail",IF(OR(RIGHT(B3004,12)="@outlook.com",RIGHT(B3004,12)="@hotmail.com",RIGHT(B3004,9)="@live.com"),"Outlook","Domain")))</f>
        <v/>
      </c>
      <c r="F3004">
        <f>IF(B3004="","",IFERROR(RIGHT(B3004,LEN(B3004)-FIND("@",B3004)),""))</f>
        <v/>
      </c>
      <c r="G3004">
        <f>IF(D3004="KEEP",COUNTIF($D$2:D3004,"KEEP"),"")</f>
        <v/>
      </c>
      <c r="H3004">
        <f>IF(D3004="REMOVE",COUNTIF($D$2:D3004,"REMOVE"),"")</f>
        <v/>
      </c>
      <c r="I3004">
        <f>IF(E3004="Gmail",COUNTIF($E$2:E3004,"Gmail"),"")</f>
        <v/>
      </c>
      <c r="J3004">
        <f>IF(E3004="Outlook",COUNTIF($E$2:E3004,"Outlook"),"")</f>
        <v/>
      </c>
      <c r="K3004">
        <f>IF(E3004="Domain",COUNTIF($E$2:E3004,"Domain"),"")</f>
        <v/>
      </c>
    </row>
    <row r="3005">
      <c r="A3005" s="2" t="n"/>
      <c r="B3005">
        <f>LOWER(TRIM(A3005))</f>
        <v/>
      </c>
      <c r="C3005">
        <f>IF(B3005="","",IFERROR(INDEX('Bad Patterns'!$A$2:$A$120,MATCH(1,INDEX(--ISNUMBER(SEARCH('Bad Patterns'!$A$2:$A$120,B3005)),0),0)),""))</f>
        <v/>
      </c>
      <c r="D3005">
        <f>IF(B3005="","",IF(C3005&lt;&gt;"","REMOVE","KEEP"))</f>
        <v/>
      </c>
      <c r="E3005">
        <f>IF(D3005&lt;&gt;"KEEP","",IF(RIGHT(B3005,10)="@gmail.com","Gmail",IF(OR(RIGHT(B3005,12)="@outlook.com",RIGHT(B3005,12)="@hotmail.com",RIGHT(B3005,9)="@live.com"),"Outlook","Domain")))</f>
        <v/>
      </c>
      <c r="F3005">
        <f>IF(B3005="","",IFERROR(RIGHT(B3005,LEN(B3005)-FIND("@",B3005)),""))</f>
        <v/>
      </c>
      <c r="G3005">
        <f>IF(D3005="KEEP",COUNTIF($D$2:D3005,"KEEP"),"")</f>
        <v/>
      </c>
      <c r="H3005">
        <f>IF(D3005="REMOVE",COUNTIF($D$2:D3005,"REMOVE"),"")</f>
        <v/>
      </c>
      <c r="I3005">
        <f>IF(E3005="Gmail",COUNTIF($E$2:E3005,"Gmail"),"")</f>
        <v/>
      </c>
      <c r="J3005">
        <f>IF(E3005="Outlook",COUNTIF($E$2:E3005,"Outlook"),"")</f>
        <v/>
      </c>
      <c r="K3005">
        <f>IF(E3005="Domain",COUNTIF($E$2:E3005,"Domain"),"")</f>
        <v/>
      </c>
    </row>
    <row r="3006">
      <c r="A3006" s="2" t="n"/>
      <c r="B3006">
        <f>LOWER(TRIM(A3006))</f>
        <v/>
      </c>
      <c r="C3006">
        <f>IF(B3006="","",IFERROR(INDEX('Bad Patterns'!$A$2:$A$120,MATCH(1,INDEX(--ISNUMBER(SEARCH('Bad Patterns'!$A$2:$A$120,B3006)),0),0)),""))</f>
        <v/>
      </c>
      <c r="D3006">
        <f>IF(B3006="","",IF(C3006&lt;&gt;"","REMOVE","KEEP"))</f>
        <v/>
      </c>
      <c r="E3006">
        <f>IF(D3006&lt;&gt;"KEEP","",IF(RIGHT(B3006,10)="@gmail.com","Gmail",IF(OR(RIGHT(B3006,12)="@outlook.com",RIGHT(B3006,12)="@hotmail.com",RIGHT(B3006,9)="@live.com"),"Outlook","Domain")))</f>
        <v/>
      </c>
      <c r="F3006">
        <f>IF(B3006="","",IFERROR(RIGHT(B3006,LEN(B3006)-FIND("@",B3006)),""))</f>
        <v/>
      </c>
      <c r="G3006">
        <f>IF(D3006="KEEP",COUNTIF($D$2:D3006,"KEEP"),"")</f>
        <v/>
      </c>
      <c r="H3006">
        <f>IF(D3006="REMOVE",COUNTIF($D$2:D3006,"REMOVE"),"")</f>
        <v/>
      </c>
      <c r="I3006">
        <f>IF(E3006="Gmail",COUNTIF($E$2:E3006,"Gmail"),"")</f>
        <v/>
      </c>
      <c r="J3006">
        <f>IF(E3006="Outlook",COUNTIF($E$2:E3006,"Outlook"),"")</f>
        <v/>
      </c>
      <c r="K3006">
        <f>IF(E3006="Domain",COUNTIF($E$2:E3006,"Domain"),"")</f>
        <v/>
      </c>
    </row>
    <row r="3007">
      <c r="A3007" s="2" t="n"/>
      <c r="B3007">
        <f>LOWER(TRIM(A3007))</f>
        <v/>
      </c>
      <c r="C3007">
        <f>IF(B3007="","",IFERROR(INDEX('Bad Patterns'!$A$2:$A$120,MATCH(1,INDEX(--ISNUMBER(SEARCH('Bad Patterns'!$A$2:$A$120,B3007)),0),0)),""))</f>
        <v/>
      </c>
      <c r="D3007">
        <f>IF(B3007="","",IF(C3007&lt;&gt;"","REMOVE","KEEP"))</f>
        <v/>
      </c>
      <c r="E3007">
        <f>IF(D3007&lt;&gt;"KEEP","",IF(RIGHT(B3007,10)="@gmail.com","Gmail",IF(OR(RIGHT(B3007,12)="@outlook.com",RIGHT(B3007,12)="@hotmail.com",RIGHT(B3007,9)="@live.com"),"Outlook","Domain")))</f>
        <v/>
      </c>
      <c r="F3007">
        <f>IF(B3007="","",IFERROR(RIGHT(B3007,LEN(B3007)-FIND("@",B3007)),""))</f>
        <v/>
      </c>
      <c r="G3007">
        <f>IF(D3007="KEEP",COUNTIF($D$2:D3007,"KEEP"),"")</f>
        <v/>
      </c>
      <c r="H3007">
        <f>IF(D3007="REMOVE",COUNTIF($D$2:D3007,"REMOVE"),"")</f>
        <v/>
      </c>
      <c r="I3007">
        <f>IF(E3007="Gmail",COUNTIF($E$2:E3007,"Gmail"),"")</f>
        <v/>
      </c>
      <c r="J3007">
        <f>IF(E3007="Outlook",COUNTIF($E$2:E3007,"Outlook"),"")</f>
        <v/>
      </c>
      <c r="K3007">
        <f>IF(E3007="Domain",COUNTIF($E$2:E3007,"Domain"),"")</f>
        <v/>
      </c>
    </row>
    <row r="3008">
      <c r="A3008" s="2" t="n"/>
      <c r="B3008">
        <f>LOWER(TRIM(A3008))</f>
        <v/>
      </c>
      <c r="C3008">
        <f>IF(B3008="","",IFERROR(INDEX('Bad Patterns'!$A$2:$A$120,MATCH(1,INDEX(--ISNUMBER(SEARCH('Bad Patterns'!$A$2:$A$120,B3008)),0),0)),""))</f>
        <v/>
      </c>
      <c r="D3008">
        <f>IF(B3008="","",IF(C3008&lt;&gt;"","REMOVE","KEEP"))</f>
        <v/>
      </c>
      <c r="E3008">
        <f>IF(D3008&lt;&gt;"KEEP","",IF(RIGHT(B3008,10)="@gmail.com","Gmail",IF(OR(RIGHT(B3008,12)="@outlook.com",RIGHT(B3008,12)="@hotmail.com",RIGHT(B3008,9)="@live.com"),"Outlook","Domain")))</f>
        <v/>
      </c>
      <c r="F3008">
        <f>IF(B3008="","",IFERROR(RIGHT(B3008,LEN(B3008)-FIND("@",B3008)),""))</f>
        <v/>
      </c>
      <c r="G3008">
        <f>IF(D3008="KEEP",COUNTIF($D$2:D3008,"KEEP"),"")</f>
        <v/>
      </c>
      <c r="H3008">
        <f>IF(D3008="REMOVE",COUNTIF($D$2:D3008,"REMOVE"),"")</f>
        <v/>
      </c>
      <c r="I3008">
        <f>IF(E3008="Gmail",COUNTIF($E$2:E3008,"Gmail"),"")</f>
        <v/>
      </c>
      <c r="J3008">
        <f>IF(E3008="Outlook",COUNTIF($E$2:E3008,"Outlook"),"")</f>
        <v/>
      </c>
      <c r="K3008">
        <f>IF(E3008="Domain",COUNTIF($E$2:E3008,"Domain"),"")</f>
        <v/>
      </c>
    </row>
    <row r="3009">
      <c r="A3009" s="2" t="n"/>
      <c r="B3009">
        <f>LOWER(TRIM(A3009))</f>
        <v/>
      </c>
      <c r="C3009">
        <f>IF(B3009="","",IFERROR(INDEX('Bad Patterns'!$A$2:$A$120,MATCH(1,INDEX(--ISNUMBER(SEARCH('Bad Patterns'!$A$2:$A$120,B3009)),0),0)),""))</f>
        <v/>
      </c>
      <c r="D3009">
        <f>IF(B3009="","",IF(C3009&lt;&gt;"","REMOVE","KEEP"))</f>
        <v/>
      </c>
      <c r="E3009">
        <f>IF(D3009&lt;&gt;"KEEP","",IF(RIGHT(B3009,10)="@gmail.com","Gmail",IF(OR(RIGHT(B3009,12)="@outlook.com",RIGHT(B3009,12)="@hotmail.com",RIGHT(B3009,9)="@live.com"),"Outlook","Domain")))</f>
        <v/>
      </c>
      <c r="F3009">
        <f>IF(B3009="","",IFERROR(RIGHT(B3009,LEN(B3009)-FIND("@",B3009)),""))</f>
        <v/>
      </c>
      <c r="G3009">
        <f>IF(D3009="KEEP",COUNTIF($D$2:D3009,"KEEP"),"")</f>
        <v/>
      </c>
      <c r="H3009">
        <f>IF(D3009="REMOVE",COUNTIF($D$2:D3009,"REMOVE"),"")</f>
        <v/>
      </c>
      <c r="I3009">
        <f>IF(E3009="Gmail",COUNTIF($E$2:E3009,"Gmail"),"")</f>
        <v/>
      </c>
      <c r="J3009">
        <f>IF(E3009="Outlook",COUNTIF($E$2:E3009,"Outlook"),"")</f>
        <v/>
      </c>
      <c r="K3009">
        <f>IF(E3009="Domain",COUNTIF($E$2:E3009,"Domain"),"")</f>
        <v/>
      </c>
    </row>
    <row r="3010">
      <c r="A3010" s="2" t="n"/>
      <c r="B3010">
        <f>LOWER(TRIM(A3010))</f>
        <v/>
      </c>
      <c r="C3010">
        <f>IF(B3010="","",IFERROR(INDEX('Bad Patterns'!$A$2:$A$120,MATCH(1,INDEX(--ISNUMBER(SEARCH('Bad Patterns'!$A$2:$A$120,B3010)),0),0)),""))</f>
        <v/>
      </c>
      <c r="D3010">
        <f>IF(B3010="","",IF(C3010&lt;&gt;"","REMOVE","KEEP"))</f>
        <v/>
      </c>
      <c r="E3010">
        <f>IF(D3010&lt;&gt;"KEEP","",IF(RIGHT(B3010,10)="@gmail.com","Gmail",IF(OR(RIGHT(B3010,12)="@outlook.com",RIGHT(B3010,12)="@hotmail.com",RIGHT(B3010,9)="@live.com"),"Outlook","Domain")))</f>
        <v/>
      </c>
      <c r="F3010">
        <f>IF(B3010="","",IFERROR(RIGHT(B3010,LEN(B3010)-FIND("@",B3010)),""))</f>
        <v/>
      </c>
      <c r="G3010">
        <f>IF(D3010="KEEP",COUNTIF($D$2:D3010,"KEEP"),"")</f>
        <v/>
      </c>
      <c r="H3010">
        <f>IF(D3010="REMOVE",COUNTIF($D$2:D3010,"REMOVE"),"")</f>
        <v/>
      </c>
      <c r="I3010">
        <f>IF(E3010="Gmail",COUNTIF($E$2:E3010,"Gmail"),"")</f>
        <v/>
      </c>
      <c r="J3010">
        <f>IF(E3010="Outlook",COUNTIF($E$2:E3010,"Outlook"),"")</f>
        <v/>
      </c>
      <c r="K3010">
        <f>IF(E3010="Domain",COUNTIF($E$2:E3010,"Domain"),"")</f>
        <v/>
      </c>
    </row>
    <row r="3011">
      <c r="A3011" s="2" t="n"/>
      <c r="B3011">
        <f>LOWER(TRIM(A3011))</f>
        <v/>
      </c>
      <c r="C3011">
        <f>IF(B3011="","",IFERROR(INDEX('Bad Patterns'!$A$2:$A$120,MATCH(1,INDEX(--ISNUMBER(SEARCH('Bad Patterns'!$A$2:$A$120,B3011)),0),0)),""))</f>
        <v/>
      </c>
      <c r="D3011">
        <f>IF(B3011="","",IF(C3011&lt;&gt;"","REMOVE","KEEP"))</f>
        <v/>
      </c>
      <c r="E3011">
        <f>IF(D3011&lt;&gt;"KEEP","",IF(RIGHT(B3011,10)="@gmail.com","Gmail",IF(OR(RIGHT(B3011,12)="@outlook.com",RIGHT(B3011,12)="@hotmail.com",RIGHT(B3011,9)="@live.com"),"Outlook","Domain")))</f>
        <v/>
      </c>
      <c r="F3011">
        <f>IF(B3011="","",IFERROR(RIGHT(B3011,LEN(B3011)-FIND("@",B3011)),""))</f>
        <v/>
      </c>
      <c r="G3011">
        <f>IF(D3011="KEEP",COUNTIF($D$2:D3011,"KEEP"),"")</f>
        <v/>
      </c>
      <c r="H3011">
        <f>IF(D3011="REMOVE",COUNTIF($D$2:D3011,"REMOVE"),"")</f>
        <v/>
      </c>
      <c r="I3011">
        <f>IF(E3011="Gmail",COUNTIF($E$2:E3011,"Gmail"),"")</f>
        <v/>
      </c>
      <c r="J3011">
        <f>IF(E3011="Outlook",COUNTIF($E$2:E3011,"Outlook"),"")</f>
        <v/>
      </c>
      <c r="K3011">
        <f>IF(E3011="Domain",COUNTIF($E$2:E3011,"Domain"),"")</f>
        <v/>
      </c>
    </row>
    <row r="3012">
      <c r="A3012" s="2" t="n"/>
      <c r="B3012">
        <f>LOWER(TRIM(A3012))</f>
        <v/>
      </c>
      <c r="C3012">
        <f>IF(B3012="","",IFERROR(INDEX('Bad Patterns'!$A$2:$A$120,MATCH(1,INDEX(--ISNUMBER(SEARCH('Bad Patterns'!$A$2:$A$120,B3012)),0),0)),""))</f>
        <v/>
      </c>
      <c r="D3012">
        <f>IF(B3012="","",IF(C3012&lt;&gt;"","REMOVE","KEEP"))</f>
        <v/>
      </c>
      <c r="E3012">
        <f>IF(D3012&lt;&gt;"KEEP","",IF(RIGHT(B3012,10)="@gmail.com","Gmail",IF(OR(RIGHT(B3012,12)="@outlook.com",RIGHT(B3012,12)="@hotmail.com",RIGHT(B3012,9)="@live.com"),"Outlook","Domain")))</f>
        <v/>
      </c>
      <c r="F3012">
        <f>IF(B3012="","",IFERROR(RIGHT(B3012,LEN(B3012)-FIND("@",B3012)),""))</f>
        <v/>
      </c>
      <c r="G3012">
        <f>IF(D3012="KEEP",COUNTIF($D$2:D3012,"KEEP"),"")</f>
        <v/>
      </c>
      <c r="H3012">
        <f>IF(D3012="REMOVE",COUNTIF($D$2:D3012,"REMOVE"),"")</f>
        <v/>
      </c>
      <c r="I3012">
        <f>IF(E3012="Gmail",COUNTIF($E$2:E3012,"Gmail"),"")</f>
        <v/>
      </c>
      <c r="J3012">
        <f>IF(E3012="Outlook",COUNTIF($E$2:E3012,"Outlook"),"")</f>
        <v/>
      </c>
      <c r="K3012">
        <f>IF(E3012="Domain",COUNTIF($E$2:E3012,"Domain"),"")</f>
        <v/>
      </c>
    </row>
    <row r="3013">
      <c r="A3013" s="2" t="n"/>
      <c r="B3013">
        <f>LOWER(TRIM(A3013))</f>
        <v/>
      </c>
      <c r="C3013">
        <f>IF(B3013="","",IFERROR(INDEX('Bad Patterns'!$A$2:$A$120,MATCH(1,INDEX(--ISNUMBER(SEARCH('Bad Patterns'!$A$2:$A$120,B3013)),0),0)),""))</f>
        <v/>
      </c>
      <c r="D3013">
        <f>IF(B3013="","",IF(C3013&lt;&gt;"","REMOVE","KEEP"))</f>
        <v/>
      </c>
      <c r="E3013">
        <f>IF(D3013&lt;&gt;"KEEP","",IF(RIGHT(B3013,10)="@gmail.com","Gmail",IF(OR(RIGHT(B3013,12)="@outlook.com",RIGHT(B3013,12)="@hotmail.com",RIGHT(B3013,9)="@live.com"),"Outlook","Domain")))</f>
        <v/>
      </c>
      <c r="F3013">
        <f>IF(B3013="","",IFERROR(RIGHT(B3013,LEN(B3013)-FIND("@",B3013)),""))</f>
        <v/>
      </c>
      <c r="G3013">
        <f>IF(D3013="KEEP",COUNTIF($D$2:D3013,"KEEP"),"")</f>
        <v/>
      </c>
      <c r="H3013">
        <f>IF(D3013="REMOVE",COUNTIF($D$2:D3013,"REMOVE"),"")</f>
        <v/>
      </c>
      <c r="I3013">
        <f>IF(E3013="Gmail",COUNTIF($E$2:E3013,"Gmail"),"")</f>
        <v/>
      </c>
      <c r="J3013">
        <f>IF(E3013="Outlook",COUNTIF($E$2:E3013,"Outlook"),"")</f>
        <v/>
      </c>
      <c r="K3013">
        <f>IF(E3013="Domain",COUNTIF($E$2:E3013,"Domain"),"")</f>
        <v/>
      </c>
    </row>
    <row r="3014">
      <c r="A3014" s="2" t="n"/>
      <c r="B3014">
        <f>LOWER(TRIM(A3014))</f>
        <v/>
      </c>
      <c r="C3014">
        <f>IF(B3014="","",IFERROR(INDEX('Bad Patterns'!$A$2:$A$120,MATCH(1,INDEX(--ISNUMBER(SEARCH('Bad Patterns'!$A$2:$A$120,B3014)),0),0)),""))</f>
        <v/>
      </c>
      <c r="D3014">
        <f>IF(B3014="","",IF(C3014&lt;&gt;"","REMOVE","KEEP"))</f>
        <v/>
      </c>
      <c r="E3014">
        <f>IF(D3014&lt;&gt;"KEEP","",IF(RIGHT(B3014,10)="@gmail.com","Gmail",IF(OR(RIGHT(B3014,12)="@outlook.com",RIGHT(B3014,12)="@hotmail.com",RIGHT(B3014,9)="@live.com"),"Outlook","Domain")))</f>
        <v/>
      </c>
      <c r="F3014">
        <f>IF(B3014="","",IFERROR(RIGHT(B3014,LEN(B3014)-FIND("@",B3014)),""))</f>
        <v/>
      </c>
      <c r="G3014">
        <f>IF(D3014="KEEP",COUNTIF($D$2:D3014,"KEEP"),"")</f>
        <v/>
      </c>
      <c r="H3014">
        <f>IF(D3014="REMOVE",COUNTIF($D$2:D3014,"REMOVE"),"")</f>
        <v/>
      </c>
      <c r="I3014">
        <f>IF(E3014="Gmail",COUNTIF($E$2:E3014,"Gmail"),"")</f>
        <v/>
      </c>
      <c r="J3014">
        <f>IF(E3014="Outlook",COUNTIF($E$2:E3014,"Outlook"),"")</f>
        <v/>
      </c>
      <c r="K3014">
        <f>IF(E3014="Domain",COUNTIF($E$2:E3014,"Domain"),"")</f>
        <v/>
      </c>
    </row>
    <row r="3015">
      <c r="A3015" s="2" t="n"/>
      <c r="B3015">
        <f>LOWER(TRIM(A3015))</f>
        <v/>
      </c>
      <c r="C3015">
        <f>IF(B3015="","",IFERROR(INDEX('Bad Patterns'!$A$2:$A$120,MATCH(1,INDEX(--ISNUMBER(SEARCH('Bad Patterns'!$A$2:$A$120,B3015)),0),0)),""))</f>
        <v/>
      </c>
      <c r="D3015">
        <f>IF(B3015="","",IF(C3015&lt;&gt;"","REMOVE","KEEP"))</f>
        <v/>
      </c>
      <c r="E3015">
        <f>IF(D3015&lt;&gt;"KEEP","",IF(RIGHT(B3015,10)="@gmail.com","Gmail",IF(OR(RIGHT(B3015,12)="@outlook.com",RIGHT(B3015,12)="@hotmail.com",RIGHT(B3015,9)="@live.com"),"Outlook","Domain")))</f>
        <v/>
      </c>
      <c r="F3015">
        <f>IF(B3015="","",IFERROR(RIGHT(B3015,LEN(B3015)-FIND("@",B3015)),""))</f>
        <v/>
      </c>
      <c r="G3015">
        <f>IF(D3015="KEEP",COUNTIF($D$2:D3015,"KEEP"),"")</f>
        <v/>
      </c>
      <c r="H3015">
        <f>IF(D3015="REMOVE",COUNTIF($D$2:D3015,"REMOVE"),"")</f>
        <v/>
      </c>
      <c r="I3015">
        <f>IF(E3015="Gmail",COUNTIF($E$2:E3015,"Gmail"),"")</f>
        <v/>
      </c>
      <c r="J3015">
        <f>IF(E3015="Outlook",COUNTIF($E$2:E3015,"Outlook"),"")</f>
        <v/>
      </c>
      <c r="K3015">
        <f>IF(E3015="Domain",COUNTIF($E$2:E3015,"Domain"),"")</f>
        <v/>
      </c>
    </row>
    <row r="3016">
      <c r="A3016" s="2" t="n"/>
      <c r="B3016">
        <f>LOWER(TRIM(A3016))</f>
        <v/>
      </c>
      <c r="C3016">
        <f>IF(B3016="","",IFERROR(INDEX('Bad Patterns'!$A$2:$A$120,MATCH(1,INDEX(--ISNUMBER(SEARCH('Bad Patterns'!$A$2:$A$120,B3016)),0),0)),""))</f>
        <v/>
      </c>
      <c r="D3016">
        <f>IF(B3016="","",IF(C3016&lt;&gt;"","REMOVE","KEEP"))</f>
        <v/>
      </c>
      <c r="E3016">
        <f>IF(D3016&lt;&gt;"KEEP","",IF(RIGHT(B3016,10)="@gmail.com","Gmail",IF(OR(RIGHT(B3016,12)="@outlook.com",RIGHT(B3016,12)="@hotmail.com",RIGHT(B3016,9)="@live.com"),"Outlook","Domain")))</f>
        <v/>
      </c>
      <c r="F3016">
        <f>IF(B3016="","",IFERROR(RIGHT(B3016,LEN(B3016)-FIND("@",B3016)),""))</f>
        <v/>
      </c>
      <c r="G3016">
        <f>IF(D3016="KEEP",COUNTIF($D$2:D3016,"KEEP"),"")</f>
        <v/>
      </c>
      <c r="H3016">
        <f>IF(D3016="REMOVE",COUNTIF($D$2:D3016,"REMOVE"),"")</f>
        <v/>
      </c>
      <c r="I3016">
        <f>IF(E3016="Gmail",COUNTIF($E$2:E3016,"Gmail"),"")</f>
        <v/>
      </c>
      <c r="J3016">
        <f>IF(E3016="Outlook",COUNTIF($E$2:E3016,"Outlook"),"")</f>
        <v/>
      </c>
      <c r="K3016">
        <f>IF(E3016="Domain",COUNTIF($E$2:E3016,"Domain"),"")</f>
        <v/>
      </c>
    </row>
    <row r="3017">
      <c r="A3017" s="2" t="n"/>
      <c r="B3017">
        <f>LOWER(TRIM(A3017))</f>
        <v/>
      </c>
      <c r="C3017">
        <f>IF(B3017="","",IFERROR(INDEX('Bad Patterns'!$A$2:$A$120,MATCH(1,INDEX(--ISNUMBER(SEARCH('Bad Patterns'!$A$2:$A$120,B3017)),0),0)),""))</f>
        <v/>
      </c>
      <c r="D3017">
        <f>IF(B3017="","",IF(C3017&lt;&gt;"","REMOVE","KEEP"))</f>
        <v/>
      </c>
      <c r="E3017">
        <f>IF(D3017&lt;&gt;"KEEP","",IF(RIGHT(B3017,10)="@gmail.com","Gmail",IF(OR(RIGHT(B3017,12)="@outlook.com",RIGHT(B3017,12)="@hotmail.com",RIGHT(B3017,9)="@live.com"),"Outlook","Domain")))</f>
        <v/>
      </c>
      <c r="F3017">
        <f>IF(B3017="","",IFERROR(RIGHT(B3017,LEN(B3017)-FIND("@",B3017)),""))</f>
        <v/>
      </c>
      <c r="G3017">
        <f>IF(D3017="KEEP",COUNTIF($D$2:D3017,"KEEP"),"")</f>
        <v/>
      </c>
      <c r="H3017">
        <f>IF(D3017="REMOVE",COUNTIF($D$2:D3017,"REMOVE"),"")</f>
        <v/>
      </c>
      <c r="I3017">
        <f>IF(E3017="Gmail",COUNTIF($E$2:E3017,"Gmail"),"")</f>
        <v/>
      </c>
      <c r="J3017">
        <f>IF(E3017="Outlook",COUNTIF($E$2:E3017,"Outlook"),"")</f>
        <v/>
      </c>
      <c r="K3017">
        <f>IF(E3017="Domain",COUNTIF($E$2:E3017,"Domain"),"")</f>
        <v/>
      </c>
    </row>
    <row r="3018">
      <c r="A3018" s="2" t="n"/>
      <c r="B3018">
        <f>LOWER(TRIM(A3018))</f>
        <v/>
      </c>
      <c r="C3018">
        <f>IF(B3018="","",IFERROR(INDEX('Bad Patterns'!$A$2:$A$120,MATCH(1,INDEX(--ISNUMBER(SEARCH('Bad Patterns'!$A$2:$A$120,B3018)),0),0)),""))</f>
        <v/>
      </c>
      <c r="D3018">
        <f>IF(B3018="","",IF(C3018&lt;&gt;"","REMOVE","KEEP"))</f>
        <v/>
      </c>
      <c r="E3018">
        <f>IF(D3018&lt;&gt;"KEEP","",IF(RIGHT(B3018,10)="@gmail.com","Gmail",IF(OR(RIGHT(B3018,12)="@outlook.com",RIGHT(B3018,12)="@hotmail.com",RIGHT(B3018,9)="@live.com"),"Outlook","Domain")))</f>
        <v/>
      </c>
      <c r="F3018">
        <f>IF(B3018="","",IFERROR(RIGHT(B3018,LEN(B3018)-FIND("@",B3018)),""))</f>
        <v/>
      </c>
      <c r="G3018">
        <f>IF(D3018="KEEP",COUNTIF($D$2:D3018,"KEEP"),"")</f>
        <v/>
      </c>
      <c r="H3018">
        <f>IF(D3018="REMOVE",COUNTIF($D$2:D3018,"REMOVE"),"")</f>
        <v/>
      </c>
      <c r="I3018">
        <f>IF(E3018="Gmail",COUNTIF($E$2:E3018,"Gmail"),"")</f>
        <v/>
      </c>
      <c r="J3018">
        <f>IF(E3018="Outlook",COUNTIF($E$2:E3018,"Outlook"),"")</f>
        <v/>
      </c>
      <c r="K3018">
        <f>IF(E3018="Domain",COUNTIF($E$2:E3018,"Domain"),"")</f>
        <v/>
      </c>
    </row>
    <row r="3019">
      <c r="A3019" s="2" t="n"/>
      <c r="B3019">
        <f>LOWER(TRIM(A3019))</f>
        <v/>
      </c>
      <c r="C3019">
        <f>IF(B3019="","",IFERROR(INDEX('Bad Patterns'!$A$2:$A$120,MATCH(1,INDEX(--ISNUMBER(SEARCH('Bad Patterns'!$A$2:$A$120,B3019)),0),0)),""))</f>
        <v/>
      </c>
      <c r="D3019">
        <f>IF(B3019="","",IF(C3019&lt;&gt;"","REMOVE","KEEP"))</f>
        <v/>
      </c>
      <c r="E3019">
        <f>IF(D3019&lt;&gt;"KEEP","",IF(RIGHT(B3019,10)="@gmail.com","Gmail",IF(OR(RIGHT(B3019,12)="@outlook.com",RIGHT(B3019,12)="@hotmail.com",RIGHT(B3019,9)="@live.com"),"Outlook","Domain")))</f>
        <v/>
      </c>
      <c r="F3019">
        <f>IF(B3019="","",IFERROR(RIGHT(B3019,LEN(B3019)-FIND("@",B3019)),""))</f>
        <v/>
      </c>
      <c r="G3019">
        <f>IF(D3019="KEEP",COUNTIF($D$2:D3019,"KEEP"),"")</f>
        <v/>
      </c>
      <c r="H3019">
        <f>IF(D3019="REMOVE",COUNTIF($D$2:D3019,"REMOVE"),"")</f>
        <v/>
      </c>
      <c r="I3019">
        <f>IF(E3019="Gmail",COUNTIF($E$2:E3019,"Gmail"),"")</f>
        <v/>
      </c>
      <c r="J3019">
        <f>IF(E3019="Outlook",COUNTIF($E$2:E3019,"Outlook"),"")</f>
        <v/>
      </c>
      <c r="K3019">
        <f>IF(E3019="Domain",COUNTIF($E$2:E3019,"Domain"),"")</f>
        <v/>
      </c>
    </row>
    <row r="3020">
      <c r="A3020" s="2" t="n"/>
      <c r="B3020">
        <f>LOWER(TRIM(A3020))</f>
        <v/>
      </c>
      <c r="C3020">
        <f>IF(B3020="","",IFERROR(INDEX('Bad Patterns'!$A$2:$A$120,MATCH(1,INDEX(--ISNUMBER(SEARCH('Bad Patterns'!$A$2:$A$120,B3020)),0),0)),""))</f>
        <v/>
      </c>
      <c r="D3020">
        <f>IF(B3020="","",IF(C3020&lt;&gt;"","REMOVE","KEEP"))</f>
        <v/>
      </c>
      <c r="E3020">
        <f>IF(D3020&lt;&gt;"KEEP","",IF(RIGHT(B3020,10)="@gmail.com","Gmail",IF(OR(RIGHT(B3020,12)="@outlook.com",RIGHT(B3020,12)="@hotmail.com",RIGHT(B3020,9)="@live.com"),"Outlook","Domain")))</f>
        <v/>
      </c>
      <c r="F3020">
        <f>IF(B3020="","",IFERROR(RIGHT(B3020,LEN(B3020)-FIND("@",B3020)),""))</f>
        <v/>
      </c>
      <c r="G3020">
        <f>IF(D3020="KEEP",COUNTIF($D$2:D3020,"KEEP"),"")</f>
        <v/>
      </c>
      <c r="H3020">
        <f>IF(D3020="REMOVE",COUNTIF($D$2:D3020,"REMOVE"),"")</f>
        <v/>
      </c>
      <c r="I3020">
        <f>IF(E3020="Gmail",COUNTIF($E$2:E3020,"Gmail"),"")</f>
        <v/>
      </c>
      <c r="J3020">
        <f>IF(E3020="Outlook",COUNTIF($E$2:E3020,"Outlook"),"")</f>
        <v/>
      </c>
      <c r="K3020">
        <f>IF(E3020="Domain",COUNTIF($E$2:E3020,"Domain"),"")</f>
        <v/>
      </c>
    </row>
    <row r="3021">
      <c r="A3021" s="2" t="n"/>
      <c r="B3021">
        <f>LOWER(TRIM(A3021))</f>
        <v/>
      </c>
      <c r="C3021">
        <f>IF(B3021="","",IFERROR(INDEX('Bad Patterns'!$A$2:$A$120,MATCH(1,INDEX(--ISNUMBER(SEARCH('Bad Patterns'!$A$2:$A$120,B3021)),0),0)),""))</f>
        <v/>
      </c>
      <c r="D3021">
        <f>IF(B3021="","",IF(C3021&lt;&gt;"","REMOVE","KEEP"))</f>
        <v/>
      </c>
      <c r="E3021">
        <f>IF(D3021&lt;&gt;"KEEP","",IF(RIGHT(B3021,10)="@gmail.com","Gmail",IF(OR(RIGHT(B3021,12)="@outlook.com",RIGHT(B3021,12)="@hotmail.com",RIGHT(B3021,9)="@live.com"),"Outlook","Domain")))</f>
        <v/>
      </c>
      <c r="F3021">
        <f>IF(B3021="","",IFERROR(RIGHT(B3021,LEN(B3021)-FIND("@",B3021)),""))</f>
        <v/>
      </c>
      <c r="G3021">
        <f>IF(D3021="KEEP",COUNTIF($D$2:D3021,"KEEP"),"")</f>
        <v/>
      </c>
      <c r="H3021">
        <f>IF(D3021="REMOVE",COUNTIF($D$2:D3021,"REMOVE"),"")</f>
        <v/>
      </c>
      <c r="I3021">
        <f>IF(E3021="Gmail",COUNTIF($E$2:E3021,"Gmail"),"")</f>
        <v/>
      </c>
      <c r="J3021">
        <f>IF(E3021="Outlook",COUNTIF($E$2:E3021,"Outlook"),"")</f>
        <v/>
      </c>
      <c r="K3021">
        <f>IF(E3021="Domain",COUNTIF($E$2:E3021,"Domain"),"")</f>
        <v/>
      </c>
    </row>
    <row r="3022">
      <c r="A3022" s="2" t="n"/>
      <c r="B3022">
        <f>LOWER(TRIM(A3022))</f>
        <v/>
      </c>
      <c r="C3022">
        <f>IF(B3022="","",IFERROR(INDEX('Bad Patterns'!$A$2:$A$120,MATCH(1,INDEX(--ISNUMBER(SEARCH('Bad Patterns'!$A$2:$A$120,B3022)),0),0)),""))</f>
        <v/>
      </c>
      <c r="D3022">
        <f>IF(B3022="","",IF(C3022&lt;&gt;"","REMOVE","KEEP"))</f>
        <v/>
      </c>
      <c r="E3022">
        <f>IF(D3022&lt;&gt;"KEEP","",IF(RIGHT(B3022,10)="@gmail.com","Gmail",IF(OR(RIGHT(B3022,12)="@outlook.com",RIGHT(B3022,12)="@hotmail.com",RIGHT(B3022,9)="@live.com"),"Outlook","Domain")))</f>
        <v/>
      </c>
      <c r="F3022">
        <f>IF(B3022="","",IFERROR(RIGHT(B3022,LEN(B3022)-FIND("@",B3022)),""))</f>
        <v/>
      </c>
      <c r="G3022">
        <f>IF(D3022="KEEP",COUNTIF($D$2:D3022,"KEEP"),"")</f>
        <v/>
      </c>
      <c r="H3022">
        <f>IF(D3022="REMOVE",COUNTIF($D$2:D3022,"REMOVE"),"")</f>
        <v/>
      </c>
      <c r="I3022">
        <f>IF(E3022="Gmail",COUNTIF($E$2:E3022,"Gmail"),"")</f>
        <v/>
      </c>
      <c r="J3022">
        <f>IF(E3022="Outlook",COUNTIF($E$2:E3022,"Outlook"),"")</f>
        <v/>
      </c>
      <c r="K3022">
        <f>IF(E3022="Domain",COUNTIF($E$2:E3022,"Domain"),"")</f>
        <v/>
      </c>
    </row>
    <row r="3023">
      <c r="A3023" s="2" t="n"/>
      <c r="B3023">
        <f>LOWER(TRIM(A3023))</f>
        <v/>
      </c>
      <c r="C3023">
        <f>IF(B3023="","",IFERROR(INDEX('Bad Patterns'!$A$2:$A$120,MATCH(1,INDEX(--ISNUMBER(SEARCH('Bad Patterns'!$A$2:$A$120,B3023)),0),0)),""))</f>
        <v/>
      </c>
      <c r="D3023">
        <f>IF(B3023="","",IF(C3023&lt;&gt;"","REMOVE","KEEP"))</f>
        <v/>
      </c>
      <c r="E3023">
        <f>IF(D3023&lt;&gt;"KEEP","",IF(RIGHT(B3023,10)="@gmail.com","Gmail",IF(OR(RIGHT(B3023,12)="@outlook.com",RIGHT(B3023,12)="@hotmail.com",RIGHT(B3023,9)="@live.com"),"Outlook","Domain")))</f>
        <v/>
      </c>
      <c r="F3023">
        <f>IF(B3023="","",IFERROR(RIGHT(B3023,LEN(B3023)-FIND("@",B3023)),""))</f>
        <v/>
      </c>
      <c r="G3023">
        <f>IF(D3023="KEEP",COUNTIF($D$2:D3023,"KEEP"),"")</f>
        <v/>
      </c>
      <c r="H3023">
        <f>IF(D3023="REMOVE",COUNTIF($D$2:D3023,"REMOVE"),"")</f>
        <v/>
      </c>
      <c r="I3023">
        <f>IF(E3023="Gmail",COUNTIF($E$2:E3023,"Gmail"),"")</f>
        <v/>
      </c>
      <c r="J3023">
        <f>IF(E3023="Outlook",COUNTIF($E$2:E3023,"Outlook"),"")</f>
        <v/>
      </c>
      <c r="K3023">
        <f>IF(E3023="Domain",COUNTIF($E$2:E3023,"Domain"),"")</f>
        <v/>
      </c>
    </row>
    <row r="3024">
      <c r="A3024" s="2" t="n"/>
      <c r="B3024">
        <f>LOWER(TRIM(A3024))</f>
        <v/>
      </c>
      <c r="C3024">
        <f>IF(B3024="","",IFERROR(INDEX('Bad Patterns'!$A$2:$A$120,MATCH(1,INDEX(--ISNUMBER(SEARCH('Bad Patterns'!$A$2:$A$120,B3024)),0),0)),""))</f>
        <v/>
      </c>
      <c r="D3024">
        <f>IF(B3024="","",IF(C3024&lt;&gt;"","REMOVE","KEEP"))</f>
        <v/>
      </c>
      <c r="E3024">
        <f>IF(D3024&lt;&gt;"KEEP","",IF(RIGHT(B3024,10)="@gmail.com","Gmail",IF(OR(RIGHT(B3024,12)="@outlook.com",RIGHT(B3024,12)="@hotmail.com",RIGHT(B3024,9)="@live.com"),"Outlook","Domain")))</f>
        <v/>
      </c>
      <c r="F3024">
        <f>IF(B3024="","",IFERROR(RIGHT(B3024,LEN(B3024)-FIND("@",B3024)),""))</f>
        <v/>
      </c>
      <c r="G3024">
        <f>IF(D3024="KEEP",COUNTIF($D$2:D3024,"KEEP"),"")</f>
        <v/>
      </c>
      <c r="H3024">
        <f>IF(D3024="REMOVE",COUNTIF($D$2:D3024,"REMOVE"),"")</f>
        <v/>
      </c>
      <c r="I3024">
        <f>IF(E3024="Gmail",COUNTIF($E$2:E3024,"Gmail"),"")</f>
        <v/>
      </c>
      <c r="J3024">
        <f>IF(E3024="Outlook",COUNTIF($E$2:E3024,"Outlook"),"")</f>
        <v/>
      </c>
      <c r="K3024">
        <f>IF(E3024="Domain",COUNTIF($E$2:E3024,"Domain"),"")</f>
        <v/>
      </c>
    </row>
    <row r="3025">
      <c r="A3025" s="2" t="n"/>
      <c r="B3025">
        <f>LOWER(TRIM(A3025))</f>
        <v/>
      </c>
      <c r="C3025">
        <f>IF(B3025="","",IFERROR(INDEX('Bad Patterns'!$A$2:$A$120,MATCH(1,INDEX(--ISNUMBER(SEARCH('Bad Patterns'!$A$2:$A$120,B3025)),0),0)),""))</f>
        <v/>
      </c>
      <c r="D3025">
        <f>IF(B3025="","",IF(C3025&lt;&gt;"","REMOVE","KEEP"))</f>
        <v/>
      </c>
      <c r="E3025">
        <f>IF(D3025&lt;&gt;"KEEP","",IF(RIGHT(B3025,10)="@gmail.com","Gmail",IF(OR(RIGHT(B3025,12)="@outlook.com",RIGHT(B3025,12)="@hotmail.com",RIGHT(B3025,9)="@live.com"),"Outlook","Domain")))</f>
        <v/>
      </c>
      <c r="F3025">
        <f>IF(B3025="","",IFERROR(RIGHT(B3025,LEN(B3025)-FIND("@",B3025)),""))</f>
        <v/>
      </c>
      <c r="G3025">
        <f>IF(D3025="KEEP",COUNTIF($D$2:D3025,"KEEP"),"")</f>
        <v/>
      </c>
      <c r="H3025">
        <f>IF(D3025="REMOVE",COUNTIF($D$2:D3025,"REMOVE"),"")</f>
        <v/>
      </c>
      <c r="I3025">
        <f>IF(E3025="Gmail",COUNTIF($E$2:E3025,"Gmail"),"")</f>
        <v/>
      </c>
      <c r="J3025">
        <f>IF(E3025="Outlook",COUNTIF($E$2:E3025,"Outlook"),"")</f>
        <v/>
      </c>
      <c r="K3025">
        <f>IF(E3025="Domain",COUNTIF($E$2:E3025,"Domain"),"")</f>
        <v/>
      </c>
    </row>
    <row r="3026">
      <c r="A3026" s="2" t="n"/>
      <c r="B3026">
        <f>LOWER(TRIM(A3026))</f>
        <v/>
      </c>
      <c r="C3026">
        <f>IF(B3026="","",IFERROR(INDEX('Bad Patterns'!$A$2:$A$120,MATCH(1,INDEX(--ISNUMBER(SEARCH('Bad Patterns'!$A$2:$A$120,B3026)),0),0)),""))</f>
        <v/>
      </c>
      <c r="D3026">
        <f>IF(B3026="","",IF(C3026&lt;&gt;"","REMOVE","KEEP"))</f>
        <v/>
      </c>
      <c r="E3026">
        <f>IF(D3026&lt;&gt;"KEEP","",IF(RIGHT(B3026,10)="@gmail.com","Gmail",IF(OR(RIGHT(B3026,12)="@outlook.com",RIGHT(B3026,12)="@hotmail.com",RIGHT(B3026,9)="@live.com"),"Outlook","Domain")))</f>
        <v/>
      </c>
      <c r="F3026">
        <f>IF(B3026="","",IFERROR(RIGHT(B3026,LEN(B3026)-FIND("@",B3026)),""))</f>
        <v/>
      </c>
      <c r="G3026">
        <f>IF(D3026="KEEP",COUNTIF($D$2:D3026,"KEEP"),"")</f>
        <v/>
      </c>
      <c r="H3026">
        <f>IF(D3026="REMOVE",COUNTIF($D$2:D3026,"REMOVE"),"")</f>
        <v/>
      </c>
      <c r="I3026">
        <f>IF(E3026="Gmail",COUNTIF($E$2:E3026,"Gmail"),"")</f>
        <v/>
      </c>
      <c r="J3026">
        <f>IF(E3026="Outlook",COUNTIF($E$2:E3026,"Outlook"),"")</f>
        <v/>
      </c>
      <c r="K3026">
        <f>IF(E3026="Domain",COUNTIF($E$2:E3026,"Domain"),"")</f>
        <v/>
      </c>
    </row>
    <row r="3027">
      <c r="A3027" s="2" t="n"/>
      <c r="B3027">
        <f>LOWER(TRIM(A3027))</f>
        <v/>
      </c>
      <c r="C3027">
        <f>IF(B3027="","",IFERROR(INDEX('Bad Patterns'!$A$2:$A$120,MATCH(1,INDEX(--ISNUMBER(SEARCH('Bad Patterns'!$A$2:$A$120,B3027)),0),0)),""))</f>
        <v/>
      </c>
      <c r="D3027">
        <f>IF(B3027="","",IF(C3027&lt;&gt;"","REMOVE","KEEP"))</f>
        <v/>
      </c>
      <c r="E3027">
        <f>IF(D3027&lt;&gt;"KEEP","",IF(RIGHT(B3027,10)="@gmail.com","Gmail",IF(OR(RIGHT(B3027,12)="@outlook.com",RIGHT(B3027,12)="@hotmail.com",RIGHT(B3027,9)="@live.com"),"Outlook","Domain")))</f>
        <v/>
      </c>
      <c r="F3027">
        <f>IF(B3027="","",IFERROR(RIGHT(B3027,LEN(B3027)-FIND("@",B3027)),""))</f>
        <v/>
      </c>
      <c r="G3027">
        <f>IF(D3027="KEEP",COUNTIF($D$2:D3027,"KEEP"),"")</f>
        <v/>
      </c>
      <c r="H3027">
        <f>IF(D3027="REMOVE",COUNTIF($D$2:D3027,"REMOVE"),"")</f>
        <v/>
      </c>
      <c r="I3027">
        <f>IF(E3027="Gmail",COUNTIF($E$2:E3027,"Gmail"),"")</f>
        <v/>
      </c>
      <c r="J3027">
        <f>IF(E3027="Outlook",COUNTIF($E$2:E3027,"Outlook"),"")</f>
        <v/>
      </c>
      <c r="K3027">
        <f>IF(E3027="Domain",COUNTIF($E$2:E3027,"Domain"),"")</f>
        <v/>
      </c>
    </row>
    <row r="3028">
      <c r="A3028" s="2" t="n"/>
      <c r="B3028">
        <f>LOWER(TRIM(A3028))</f>
        <v/>
      </c>
      <c r="C3028">
        <f>IF(B3028="","",IFERROR(INDEX('Bad Patterns'!$A$2:$A$120,MATCH(1,INDEX(--ISNUMBER(SEARCH('Bad Patterns'!$A$2:$A$120,B3028)),0),0)),""))</f>
        <v/>
      </c>
      <c r="D3028">
        <f>IF(B3028="","",IF(C3028&lt;&gt;"","REMOVE","KEEP"))</f>
        <v/>
      </c>
      <c r="E3028">
        <f>IF(D3028&lt;&gt;"KEEP","",IF(RIGHT(B3028,10)="@gmail.com","Gmail",IF(OR(RIGHT(B3028,12)="@outlook.com",RIGHT(B3028,12)="@hotmail.com",RIGHT(B3028,9)="@live.com"),"Outlook","Domain")))</f>
        <v/>
      </c>
      <c r="F3028">
        <f>IF(B3028="","",IFERROR(RIGHT(B3028,LEN(B3028)-FIND("@",B3028)),""))</f>
        <v/>
      </c>
      <c r="G3028">
        <f>IF(D3028="KEEP",COUNTIF($D$2:D3028,"KEEP"),"")</f>
        <v/>
      </c>
      <c r="H3028">
        <f>IF(D3028="REMOVE",COUNTIF($D$2:D3028,"REMOVE"),"")</f>
        <v/>
      </c>
      <c r="I3028">
        <f>IF(E3028="Gmail",COUNTIF($E$2:E3028,"Gmail"),"")</f>
        <v/>
      </c>
      <c r="J3028">
        <f>IF(E3028="Outlook",COUNTIF($E$2:E3028,"Outlook"),"")</f>
        <v/>
      </c>
      <c r="K3028">
        <f>IF(E3028="Domain",COUNTIF($E$2:E3028,"Domain"),"")</f>
        <v/>
      </c>
    </row>
    <row r="3029">
      <c r="A3029" s="2" t="n"/>
      <c r="B3029">
        <f>LOWER(TRIM(A3029))</f>
        <v/>
      </c>
      <c r="C3029">
        <f>IF(B3029="","",IFERROR(INDEX('Bad Patterns'!$A$2:$A$120,MATCH(1,INDEX(--ISNUMBER(SEARCH('Bad Patterns'!$A$2:$A$120,B3029)),0),0)),""))</f>
        <v/>
      </c>
      <c r="D3029">
        <f>IF(B3029="","",IF(C3029&lt;&gt;"","REMOVE","KEEP"))</f>
        <v/>
      </c>
      <c r="E3029">
        <f>IF(D3029&lt;&gt;"KEEP","",IF(RIGHT(B3029,10)="@gmail.com","Gmail",IF(OR(RIGHT(B3029,12)="@outlook.com",RIGHT(B3029,12)="@hotmail.com",RIGHT(B3029,9)="@live.com"),"Outlook","Domain")))</f>
        <v/>
      </c>
      <c r="F3029">
        <f>IF(B3029="","",IFERROR(RIGHT(B3029,LEN(B3029)-FIND("@",B3029)),""))</f>
        <v/>
      </c>
      <c r="G3029">
        <f>IF(D3029="KEEP",COUNTIF($D$2:D3029,"KEEP"),"")</f>
        <v/>
      </c>
      <c r="H3029">
        <f>IF(D3029="REMOVE",COUNTIF($D$2:D3029,"REMOVE"),"")</f>
        <v/>
      </c>
      <c r="I3029">
        <f>IF(E3029="Gmail",COUNTIF($E$2:E3029,"Gmail"),"")</f>
        <v/>
      </c>
      <c r="J3029">
        <f>IF(E3029="Outlook",COUNTIF($E$2:E3029,"Outlook"),"")</f>
        <v/>
      </c>
      <c r="K3029">
        <f>IF(E3029="Domain",COUNTIF($E$2:E3029,"Domain"),"")</f>
        <v/>
      </c>
    </row>
    <row r="3030">
      <c r="A3030" s="2" t="n"/>
      <c r="B3030">
        <f>LOWER(TRIM(A3030))</f>
        <v/>
      </c>
      <c r="C3030">
        <f>IF(B3030="","",IFERROR(INDEX('Bad Patterns'!$A$2:$A$120,MATCH(1,INDEX(--ISNUMBER(SEARCH('Bad Patterns'!$A$2:$A$120,B3030)),0),0)),""))</f>
        <v/>
      </c>
      <c r="D3030">
        <f>IF(B3030="","",IF(C3030&lt;&gt;"","REMOVE","KEEP"))</f>
        <v/>
      </c>
      <c r="E3030">
        <f>IF(D3030&lt;&gt;"KEEP","",IF(RIGHT(B3030,10)="@gmail.com","Gmail",IF(OR(RIGHT(B3030,12)="@outlook.com",RIGHT(B3030,12)="@hotmail.com",RIGHT(B3030,9)="@live.com"),"Outlook","Domain")))</f>
        <v/>
      </c>
      <c r="F3030">
        <f>IF(B3030="","",IFERROR(RIGHT(B3030,LEN(B3030)-FIND("@",B3030)),""))</f>
        <v/>
      </c>
      <c r="G3030">
        <f>IF(D3030="KEEP",COUNTIF($D$2:D3030,"KEEP"),"")</f>
        <v/>
      </c>
      <c r="H3030">
        <f>IF(D3030="REMOVE",COUNTIF($D$2:D3030,"REMOVE"),"")</f>
        <v/>
      </c>
      <c r="I3030">
        <f>IF(E3030="Gmail",COUNTIF($E$2:E3030,"Gmail"),"")</f>
        <v/>
      </c>
      <c r="J3030">
        <f>IF(E3030="Outlook",COUNTIF($E$2:E3030,"Outlook"),"")</f>
        <v/>
      </c>
      <c r="K3030">
        <f>IF(E3030="Domain",COUNTIF($E$2:E3030,"Domain"),"")</f>
        <v/>
      </c>
    </row>
    <row r="3031">
      <c r="A3031" s="2" t="n"/>
      <c r="B3031">
        <f>LOWER(TRIM(A3031))</f>
        <v/>
      </c>
      <c r="C3031">
        <f>IF(B3031="","",IFERROR(INDEX('Bad Patterns'!$A$2:$A$120,MATCH(1,INDEX(--ISNUMBER(SEARCH('Bad Patterns'!$A$2:$A$120,B3031)),0),0)),""))</f>
        <v/>
      </c>
      <c r="D3031">
        <f>IF(B3031="","",IF(C3031&lt;&gt;"","REMOVE","KEEP"))</f>
        <v/>
      </c>
      <c r="E3031">
        <f>IF(D3031&lt;&gt;"KEEP","",IF(RIGHT(B3031,10)="@gmail.com","Gmail",IF(OR(RIGHT(B3031,12)="@outlook.com",RIGHT(B3031,12)="@hotmail.com",RIGHT(B3031,9)="@live.com"),"Outlook","Domain")))</f>
        <v/>
      </c>
      <c r="F3031">
        <f>IF(B3031="","",IFERROR(RIGHT(B3031,LEN(B3031)-FIND("@",B3031)),""))</f>
        <v/>
      </c>
      <c r="G3031">
        <f>IF(D3031="KEEP",COUNTIF($D$2:D3031,"KEEP"),"")</f>
        <v/>
      </c>
      <c r="H3031">
        <f>IF(D3031="REMOVE",COUNTIF($D$2:D3031,"REMOVE"),"")</f>
        <v/>
      </c>
      <c r="I3031">
        <f>IF(E3031="Gmail",COUNTIF($E$2:E3031,"Gmail"),"")</f>
        <v/>
      </c>
      <c r="J3031">
        <f>IF(E3031="Outlook",COUNTIF($E$2:E3031,"Outlook"),"")</f>
        <v/>
      </c>
      <c r="K3031">
        <f>IF(E3031="Domain",COUNTIF($E$2:E3031,"Domain"),"")</f>
        <v/>
      </c>
    </row>
    <row r="3032">
      <c r="A3032" s="2" t="n"/>
      <c r="B3032">
        <f>LOWER(TRIM(A3032))</f>
        <v/>
      </c>
      <c r="C3032">
        <f>IF(B3032="","",IFERROR(INDEX('Bad Patterns'!$A$2:$A$120,MATCH(1,INDEX(--ISNUMBER(SEARCH('Bad Patterns'!$A$2:$A$120,B3032)),0),0)),""))</f>
        <v/>
      </c>
      <c r="D3032">
        <f>IF(B3032="","",IF(C3032&lt;&gt;"","REMOVE","KEEP"))</f>
        <v/>
      </c>
      <c r="E3032">
        <f>IF(D3032&lt;&gt;"KEEP","",IF(RIGHT(B3032,10)="@gmail.com","Gmail",IF(OR(RIGHT(B3032,12)="@outlook.com",RIGHT(B3032,12)="@hotmail.com",RIGHT(B3032,9)="@live.com"),"Outlook","Domain")))</f>
        <v/>
      </c>
      <c r="F3032">
        <f>IF(B3032="","",IFERROR(RIGHT(B3032,LEN(B3032)-FIND("@",B3032)),""))</f>
        <v/>
      </c>
      <c r="G3032">
        <f>IF(D3032="KEEP",COUNTIF($D$2:D3032,"KEEP"),"")</f>
        <v/>
      </c>
      <c r="H3032">
        <f>IF(D3032="REMOVE",COUNTIF($D$2:D3032,"REMOVE"),"")</f>
        <v/>
      </c>
      <c r="I3032">
        <f>IF(E3032="Gmail",COUNTIF($E$2:E3032,"Gmail"),"")</f>
        <v/>
      </c>
      <c r="J3032">
        <f>IF(E3032="Outlook",COUNTIF($E$2:E3032,"Outlook"),"")</f>
        <v/>
      </c>
      <c r="K3032">
        <f>IF(E3032="Domain",COUNTIF($E$2:E3032,"Domain"),"")</f>
        <v/>
      </c>
    </row>
    <row r="3033">
      <c r="A3033" s="2" t="n"/>
      <c r="B3033">
        <f>LOWER(TRIM(A3033))</f>
        <v/>
      </c>
      <c r="C3033">
        <f>IF(B3033="","",IFERROR(INDEX('Bad Patterns'!$A$2:$A$120,MATCH(1,INDEX(--ISNUMBER(SEARCH('Bad Patterns'!$A$2:$A$120,B3033)),0),0)),""))</f>
        <v/>
      </c>
      <c r="D3033">
        <f>IF(B3033="","",IF(C3033&lt;&gt;"","REMOVE","KEEP"))</f>
        <v/>
      </c>
      <c r="E3033">
        <f>IF(D3033&lt;&gt;"KEEP","",IF(RIGHT(B3033,10)="@gmail.com","Gmail",IF(OR(RIGHT(B3033,12)="@outlook.com",RIGHT(B3033,12)="@hotmail.com",RIGHT(B3033,9)="@live.com"),"Outlook","Domain")))</f>
        <v/>
      </c>
      <c r="F3033">
        <f>IF(B3033="","",IFERROR(RIGHT(B3033,LEN(B3033)-FIND("@",B3033)),""))</f>
        <v/>
      </c>
      <c r="G3033">
        <f>IF(D3033="KEEP",COUNTIF($D$2:D3033,"KEEP"),"")</f>
        <v/>
      </c>
      <c r="H3033">
        <f>IF(D3033="REMOVE",COUNTIF($D$2:D3033,"REMOVE"),"")</f>
        <v/>
      </c>
      <c r="I3033">
        <f>IF(E3033="Gmail",COUNTIF($E$2:E3033,"Gmail"),"")</f>
        <v/>
      </c>
      <c r="J3033">
        <f>IF(E3033="Outlook",COUNTIF($E$2:E3033,"Outlook"),"")</f>
        <v/>
      </c>
      <c r="K3033">
        <f>IF(E3033="Domain",COUNTIF($E$2:E3033,"Domain"),"")</f>
        <v/>
      </c>
    </row>
    <row r="3034">
      <c r="A3034" s="2" t="n"/>
      <c r="B3034">
        <f>LOWER(TRIM(A3034))</f>
        <v/>
      </c>
      <c r="C3034">
        <f>IF(B3034="","",IFERROR(INDEX('Bad Patterns'!$A$2:$A$120,MATCH(1,INDEX(--ISNUMBER(SEARCH('Bad Patterns'!$A$2:$A$120,B3034)),0),0)),""))</f>
        <v/>
      </c>
      <c r="D3034">
        <f>IF(B3034="","",IF(C3034&lt;&gt;"","REMOVE","KEEP"))</f>
        <v/>
      </c>
      <c r="E3034">
        <f>IF(D3034&lt;&gt;"KEEP","",IF(RIGHT(B3034,10)="@gmail.com","Gmail",IF(OR(RIGHT(B3034,12)="@outlook.com",RIGHT(B3034,12)="@hotmail.com",RIGHT(B3034,9)="@live.com"),"Outlook","Domain")))</f>
        <v/>
      </c>
      <c r="F3034">
        <f>IF(B3034="","",IFERROR(RIGHT(B3034,LEN(B3034)-FIND("@",B3034)),""))</f>
        <v/>
      </c>
      <c r="G3034">
        <f>IF(D3034="KEEP",COUNTIF($D$2:D3034,"KEEP"),"")</f>
        <v/>
      </c>
      <c r="H3034">
        <f>IF(D3034="REMOVE",COUNTIF($D$2:D3034,"REMOVE"),"")</f>
        <v/>
      </c>
      <c r="I3034">
        <f>IF(E3034="Gmail",COUNTIF($E$2:E3034,"Gmail"),"")</f>
        <v/>
      </c>
      <c r="J3034">
        <f>IF(E3034="Outlook",COUNTIF($E$2:E3034,"Outlook"),"")</f>
        <v/>
      </c>
      <c r="K3034">
        <f>IF(E3034="Domain",COUNTIF($E$2:E3034,"Domain"),"")</f>
        <v/>
      </c>
    </row>
    <row r="3035">
      <c r="A3035" s="2" t="n"/>
      <c r="B3035">
        <f>LOWER(TRIM(A3035))</f>
        <v/>
      </c>
      <c r="C3035">
        <f>IF(B3035="","",IFERROR(INDEX('Bad Patterns'!$A$2:$A$120,MATCH(1,INDEX(--ISNUMBER(SEARCH('Bad Patterns'!$A$2:$A$120,B3035)),0),0)),""))</f>
        <v/>
      </c>
      <c r="D3035">
        <f>IF(B3035="","",IF(C3035&lt;&gt;"","REMOVE","KEEP"))</f>
        <v/>
      </c>
      <c r="E3035">
        <f>IF(D3035&lt;&gt;"KEEP","",IF(RIGHT(B3035,10)="@gmail.com","Gmail",IF(OR(RIGHT(B3035,12)="@outlook.com",RIGHT(B3035,12)="@hotmail.com",RIGHT(B3035,9)="@live.com"),"Outlook","Domain")))</f>
        <v/>
      </c>
      <c r="F3035">
        <f>IF(B3035="","",IFERROR(RIGHT(B3035,LEN(B3035)-FIND("@",B3035)),""))</f>
        <v/>
      </c>
      <c r="G3035">
        <f>IF(D3035="KEEP",COUNTIF($D$2:D3035,"KEEP"),"")</f>
        <v/>
      </c>
      <c r="H3035">
        <f>IF(D3035="REMOVE",COUNTIF($D$2:D3035,"REMOVE"),"")</f>
        <v/>
      </c>
      <c r="I3035">
        <f>IF(E3035="Gmail",COUNTIF($E$2:E3035,"Gmail"),"")</f>
        <v/>
      </c>
      <c r="J3035">
        <f>IF(E3035="Outlook",COUNTIF($E$2:E3035,"Outlook"),"")</f>
        <v/>
      </c>
      <c r="K3035">
        <f>IF(E3035="Domain",COUNTIF($E$2:E3035,"Domain"),"")</f>
        <v/>
      </c>
    </row>
    <row r="3036">
      <c r="A3036" s="2" t="n"/>
      <c r="B3036">
        <f>LOWER(TRIM(A3036))</f>
        <v/>
      </c>
      <c r="C3036">
        <f>IF(B3036="","",IFERROR(INDEX('Bad Patterns'!$A$2:$A$120,MATCH(1,INDEX(--ISNUMBER(SEARCH('Bad Patterns'!$A$2:$A$120,B3036)),0),0)),""))</f>
        <v/>
      </c>
      <c r="D3036">
        <f>IF(B3036="","",IF(C3036&lt;&gt;"","REMOVE","KEEP"))</f>
        <v/>
      </c>
      <c r="E3036">
        <f>IF(D3036&lt;&gt;"KEEP","",IF(RIGHT(B3036,10)="@gmail.com","Gmail",IF(OR(RIGHT(B3036,12)="@outlook.com",RIGHT(B3036,12)="@hotmail.com",RIGHT(B3036,9)="@live.com"),"Outlook","Domain")))</f>
        <v/>
      </c>
      <c r="F3036">
        <f>IF(B3036="","",IFERROR(RIGHT(B3036,LEN(B3036)-FIND("@",B3036)),""))</f>
        <v/>
      </c>
      <c r="G3036">
        <f>IF(D3036="KEEP",COUNTIF($D$2:D3036,"KEEP"),"")</f>
        <v/>
      </c>
      <c r="H3036">
        <f>IF(D3036="REMOVE",COUNTIF($D$2:D3036,"REMOVE"),"")</f>
        <v/>
      </c>
      <c r="I3036">
        <f>IF(E3036="Gmail",COUNTIF($E$2:E3036,"Gmail"),"")</f>
        <v/>
      </c>
      <c r="J3036">
        <f>IF(E3036="Outlook",COUNTIF($E$2:E3036,"Outlook"),"")</f>
        <v/>
      </c>
      <c r="K3036">
        <f>IF(E3036="Domain",COUNTIF($E$2:E3036,"Domain"),"")</f>
        <v/>
      </c>
    </row>
    <row r="3037">
      <c r="A3037" s="2" t="n"/>
      <c r="B3037">
        <f>LOWER(TRIM(A3037))</f>
        <v/>
      </c>
      <c r="C3037">
        <f>IF(B3037="","",IFERROR(INDEX('Bad Patterns'!$A$2:$A$120,MATCH(1,INDEX(--ISNUMBER(SEARCH('Bad Patterns'!$A$2:$A$120,B3037)),0),0)),""))</f>
        <v/>
      </c>
      <c r="D3037">
        <f>IF(B3037="","",IF(C3037&lt;&gt;"","REMOVE","KEEP"))</f>
        <v/>
      </c>
      <c r="E3037">
        <f>IF(D3037&lt;&gt;"KEEP","",IF(RIGHT(B3037,10)="@gmail.com","Gmail",IF(OR(RIGHT(B3037,12)="@outlook.com",RIGHT(B3037,12)="@hotmail.com",RIGHT(B3037,9)="@live.com"),"Outlook","Domain")))</f>
        <v/>
      </c>
      <c r="F3037">
        <f>IF(B3037="","",IFERROR(RIGHT(B3037,LEN(B3037)-FIND("@",B3037)),""))</f>
        <v/>
      </c>
      <c r="G3037">
        <f>IF(D3037="KEEP",COUNTIF($D$2:D3037,"KEEP"),"")</f>
        <v/>
      </c>
      <c r="H3037">
        <f>IF(D3037="REMOVE",COUNTIF($D$2:D3037,"REMOVE"),"")</f>
        <v/>
      </c>
      <c r="I3037">
        <f>IF(E3037="Gmail",COUNTIF($E$2:E3037,"Gmail"),"")</f>
        <v/>
      </c>
      <c r="J3037">
        <f>IF(E3037="Outlook",COUNTIF($E$2:E3037,"Outlook"),"")</f>
        <v/>
      </c>
      <c r="K3037">
        <f>IF(E3037="Domain",COUNTIF($E$2:E3037,"Domain"),"")</f>
        <v/>
      </c>
    </row>
    <row r="3038">
      <c r="A3038" s="2" t="n"/>
      <c r="B3038">
        <f>LOWER(TRIM(A3038))</f>
        <v/>
      </c>
      <c r="C3038">
        <f>IF(B3038="","",IFERROR(INDEX('Bad Patterns'!$A$2:$A$120,MATCH(1,INDEX(--ISNUMBER(SEARCH('Bad Patterns'!$A$2:$A$120,B3038)),0),0)),""))</f>
        <v/>
      </c>
      <c r="D3038">
        <f>IF(B3038="","",IF(C3038&lt;&gt;"","REMOVE","KEEP"))</f>
        <v/>
      </c>
      <c r="E3038">
        <f>IF(D3038&lt;&gt;"KEEP","",IF(RIGHT(B3038,10)="@gmail.com","Gmail",IF(OR(RIGHT(B3038,12)="@outlook.com",RIGHT(B3038,12)="@hotmail.com",RIGHT(B3038,9)="@live.com"),"Outlook","Domain")))</f>
        <v/>
      </c>
      <c r="F3038">
        <f>IF(B3038="","",IFERROR(RIGHT(B3038,LEN(B3038)-FIND("@",B3038)),""))</f>
        <v/>
      </c>
      <c r="G3038">
        <f>IF(D3038="KEEP",COUNTIF($D$2:D3038,"KEEP"),"")</f>
        <v/>
      </c>
      <c r="H3038">
        <f>IF(D3038="REMOVE",COUNTIF($D$2:D3038,"REMOVE"),"")</f>
        <v/>
      </c>
      <c r="I3038">
        <f>IF(E3038="Gmail",COUNTIF($E$2:E3038,"Gmail"),"")</f>
        <v/>
      </c>
      <c r="J3038">
        <f>IF(E3038="Outlook",COUNTIF($E$2:E3038,"Outlook"),"")</f>
        <v/>
      </c>
      <c r="K3038">
        <f>IF(E3038="Domain",COUNTIF($E$2:E3038,"Domain"),"")</f>
        <v/>
      </c>
    </row>
    <row r="3039">
      <c r="A3039" s="2" t="n"/>
      <c r="B3039">
        <f>LOWER(TRIM(A3039))</f>
        <v/>
      </c>
      <c r="C3039">
        <f>IF(B3039="","",IFERROR(INDEX('Bad Patterns'!$A$2:$A$120,MATCH(1,INDEX(--ISNUMBER(SEARCH('Bad Patterns'!$A$2:$A$120,B3039)),0),0)),""))</f>
        <v/>
      </c>
      <c r="D3039">
        <f>IF(B3039="","",IF(C3039&lt;&gt;"","REMOVE","KEEP"))</f>
        <v/>
      </c>
      <c r="E3039">
        <f>IF(D3039&lt;&gt;"KEEP","",IF(RIGHT(B3039,10)="@gmail.com","Gmail",IF(OR(RIGHT(B3039,12)="@outlook.com",RIGHT(B3039,12)="@hotmail.com",RIGHT(B3039,9)="@live.com"),"Outlook","Domain")))</f>
        <v/>
      </c>
      <c r="F3039">
        <f>IF(B3039="","",IFERROR(RIGHT(B3039,LEN(B3039)-FIND("@",B3039)),""))</f>
        <v/>
      </c>
      <c r="G3039">
        <f>IF(D3039="KEEP",COUNTIF($D$2:D3039,"KEEP"),"")</f>
        <v/>
      </c>
      <c r="H3039">
        <f>IF(D3039="REMOVE",COUNTIF($D$2:D3039,"REMOVE"),"")</f>
        <v/>
      </c>
      <c r="I3039">
        <f>IF(E3039="Gmail",COUNTIF($E$2:E3039,"Gmail"),"")</f>
        <v/>
      </c>
      <c r="J3039">
        <f>IF(E3039="Outlook",COUNTIF($E$2:E3039,"Outlook"),"")</f>
        <v/>
      </c>
      <c r="K3039">
        <f>IF(E3039="Domain",COUNTIF($E$2:E3039,"Domain"),"")</f>
        <v/>
      </c>
    </row>
    <row r="3040">
      <c r="A3040" s="2" t="n"/>
      <c r="B3040">
        <f>LOWER(TRIM(A3040))</f>
        <v/>
      </c>
      <c r="C3040">
        <f>IF(B3040="","",IFERROR(INDEX('Bad Patterns'!$A$2:$A$120,MATCH(1,INDEX(--ISNUMBER(SEARCH('Bad Patterns'!$A$2:$A$120,B3040)),0),0)),""))</f>
        <v/>
      </c>
      <c r="D3040">
        <f>IF(B3040="","",IF(C3040&lt;&gt;"","REMOVE","KEEP"))</f>
        <v/>
      </c>
      <c r="E3040">
        <f>IF(D3040&lt;&gt;"KEEP","",IF(RIGHT(B3040,10)="@gmail.com","Gmail",IF(OR(RIGHT(B3040,12)="@outlook.com",RIGHT(B3040,12)="@hotmail.com",RIGHT(B3040,9)="@live.com"),"Outlook","Domain")))</f>
        <v/>
      </c>
      <c r="F3040">
        <f>IF(B3040="","",IFERROR(RIGHT(B3040,LEN(B3040)-FIND("@",B3040)),""))</f>
        <v/>
      </c>
      <c r="G3040">
        <f>IF(D3040="KEEP",COUNTIF($D$2:D3040,"KEEP"),"")</f>
        <v/>
      </c>
      <c r="H3040">
        <f>IF(D3040="REMOVE",COUNTIF($D$2:D3040,"REMOVE"),"")</f>
        <v/>
      </c>
      <c r="I3040">
        <f>IF(E3040="Gmail",COUNTIF($E$2:E3040,"Gmail"),"")</f>
        <v/>
      </c>
      <c r="J3040">
        <f>IF(E3040="Outlook",COUNTIF($E$2:E3040,"Outlook"),"")</f>
        <v/>
      </c>
      <c r="K3040">
        <f>IF(E3040="Domain",COUNTIF($E$2:E3040,"Domain"),"")</f>
        <v/>
      </c>
    </row>
    <row r="3041">
      <c r="A3041" s="2" t="n"/>
      <c r="B3041">
        <f>LOWER(TRIM(A3041))</f>
        <v/>
      </c>
      <c r="C3041">
        <f>IF(B3041="","",IFERROR(INDEX('Bad Patterns'!$A$2:$A$120,MATCH(1,INDEX(--ISNUMBER(SEARCH('Bad Patterns'!$A$2:$A$120,B3041)),0),0)),""))</f>
        <v/>
      </c>
      <c r="D3041">
        <f>IF(B3041="","",IF(C3041&lt;&gt;"","REMOVE","KEEP"))</f>
        <v/>
      </c>
      <c r="E3041">
        <f>IF(D3041&lt;&gt;"KEEP","",IF(RIGHT(B3041,10)="@gmail.com","Gmail",IF(OR(RIGHT(B3041,12)="@outlook.com",RIGHT(B3041,12)="@hotmail.com",RIGHT(B3041,9)="@live.com"),"Outlook","Domain")))</f>
        <v/>
      </c>
      <c r="F3041">
        <f>IF(B3041="","",IFERROR(RIGHT(B3041,LEN(B3041)-FIND("@",B3041)),""))</f>
        <v/>
      </c>
      <c r="G3041">
        <f>IF(D3041="KEEP",COUNTIF($D$2:D3041,"KEEP"),"")</f>
        <v/>
      </c>
      <c r="H3041">
        <f>IF(D3041="REMOVE",COUNTIF($D$2:D3041,"REMOVE"),"")</f>
        <v/>
      </c>
      <c r="I3041">
        <f>IF(E3041="Gmail",COUNTIF($E$2:E3041,"Gmail"),"")</f>
        <v/>
      </c>
      <c r="J3041">
        <f>IF(E3041="Outlook",COUNTIF($E$2:E3041,"Outlook"),"")</f>
        <v/>
      </c>
      <c r="K3041">
        <f>IF(E3041="Domain",COUNTIF($E$2:E3041,"Domain"),"")</f>
        <v/>
      </c>
    </row>
    <row r="3042">
      <c r="A3042" s="2" t="n"/>
      <c r="B3042">
        <f>LOWER(TRIM(A3042))</f>
        <v/>
      </c>
      <c r="C3042">
        <f>IF(B3042="","",IFERROR(INDEX('Bad Patterns'!$A$2:$A$120,MATCH(1,INDEX(--ISNUMBER(SEARCH('Bad Patterns'!$A$2:$A$120,B3042)),0),0)),""))</f>
        <v/>
      </c>
      <c r="D3042">
        <f>IF(B3042="","",IF(C3042&lt;&gt;"","REMOVE","KEEP"))</f>
        <v/>
      </c>
      <c r="E3042">
        <f>IF(D3042&lt;&gt;"KEEP","",IF(RIGHT(B3042,10)="@gmail.com","Gmail",IF(OR(RIGHT(B3042,12)="@outlook.com",RIGHT(B3042,12)="@hotmail.com",RIGHT(B3042,9)="@live.com"),"Outlook","Domain")))</f>
        <v/>
      </c>
      <c r="F3042">
        <f>IF(B3042="","",IFERROR(RIGHT(B3042,LEN(B3042)-FIND("@",B3042)),""))</f>
        <v/>
      </c>
      <c r="G3042">
        <f>IF(D3042="KEEP",COUNTIF($D$2:D3042,"KEEP"),"")</f>
        <v/>
      </c>
      <c r="H3042">
        <f>IF(D3042="REMOVE",COUNTIF($D$2:D3042,"REMOVE"),"")</f>
        <v/>
      </c>
      <c r="I3042">
        <f>IF(E3042="Gmail",COUNTIF($E$2:E3042,"Gmail"),"")</f>
        <v/>
      </c>
      <c r="J3042">
        <f>IF(E3042="Outlook",COUNTIF($E$2:E3042,"Outlook"),"")</f>
        <v/>
      </c>
      <c r="K3042">
        <f>IF(E3042="Domain",COUNTIF($E$2:E3042,"Domain"),"")</f>
        <v/>
      </c>
    </row>
    <row r="3043">
      <c r="A3043" s="2" t="n"/>
      <c r="B3043">
        <f>LOWER(TRIM(A3043))</f>
        <v/>
      </c>
      <c r="C3043">
        <f>IF(B3043="","",IFERROR(INDEX('Bad Patterns'!$A$2:$A$120,MATCH(1,INDEX(--ISNUMBER(SEARCH('Bad Patterns'!$A$2:$A$120,B3043)),0),0)),""))</f>
        <v/>
      </c>
      <c r="D3043">
        <f>IF(B3043="","",IF(C3043&lt;&gt;"","REMOVE","KEEP"))</f>
        <v/>
      </c>
      <c r="E3043">
        <f>IF(D3043&lt;&gt;"KEEP","",IF(RIGHT(B3043,10)="@gmail.com","Gmail",IF(OR(RIGHT(B3043,12)="@outlook.com",RIGHT(B3043,12)="@hotmail.com",RIGHT(B3043,9)="@live.com"),"Outlook","Domain")))</f>
        <v/>
      </c>
      <c r="F3043">
        <f>IF(B3043="","",IFERROR(RIGHT(B3043,LEN(B3043)-FIND("@",B3043)),""))</f>
        <v/>
      </c>
      <c r="G3043">
        <f>IF(D3043="KEEP",COUNTIF($D$2:D3043,"KEEP"),"")</f>
        <v/>
      </c>
      <c r="H3043">
        <f>IF(D3043="REMOVE",COUNTIF($D$2:D3043,"REMOVE"),"")</f>
        <v/>
      </c>
      <c r="I3043">
        <f>IF(E3043="Gmail",COUNTIF($E$2:E3043,"Gmail"),"")</f>
        <v/>
      </c>
      <c r="J3043">
        <f>IF(E3043="Outlook",COUNTIF($E$2:E3043,"Outlook"),"")</f>
        <v/>
      </c>
      <c r="K3043">
        <f>IF(E3043="Domain",COUNTIF($E$2:E3043,"Domain"),"")</f>
        <v/>
      </c>
    </row>
    <row r="3044">
      <c r="A3044" s="2" t="n"/>
      <c r="B3044">
        <f>LOWER(TRIM(A3044))</f>
        <v/>
      </c>
      <c r="C3044">
        <f>IF(B3044="","",IFERROR(INDEX('Bad Patterns'!$A$2:$A$120,MATCH(1,INDEX(--ISNUMBER(SEARCH('Bad Patterns'!$A$2:$A$120,B3044)),0),0)),""))</f>
        <v/>
      </c>
      <c r="D3044">
        <f>IF(B3044="","",IF(C3044&lt;&gt;"","REMOVE","KEEP"))</f>
        <v/>
      </c>
      <c r="E3044">
        <f>IF(D3044&lt;&gt;"KEEP","",IF(RIGHT(B3044,10)="@gmail.com","Gmail",IF(OR(RIGHT(B3044,12)="@outlook.com",RIGHT(B3044,12)="@hotmail.com",RIGHT(B3044,9)="@live.com"),"Outlook","Domain")))</f>
        <v/>
      </c>
      <c r="F3044">
        <f>IF(B3044="","",IFERROR(RIGHT(B3044,LEN(B3044)-FIND("@",B3044)),""))</f>
        <v/>
      </c>
      <c r="G3044">
        <f>IF(D3044="KEEP",COUNTIF($D$2:D3044,"KEEP"),"")</f>
        <v/>
      </c>
      <c r="H3044">
        <f>IF(D3044="REMOVE",COUNTIF($D$2:D3044,"REMOVE"),"")</f>
        <v/>
      </c>
      <c r="I3044">
        <f>IF(E3044="Gmail",COUNTIF($E$2:E3044,"Gmail"),"")</f>
        <v/>
      </c>
      <c r="J3044">
        <f>IF(E3044="Outlook",COUNTIF($E$2:E3044,"Outlook"),"")</f>
        <v/>
      </c>
      <c r="K3044">
        <f>IF(E3044="Domain",COUNTIF($E$2:E3044,"Domain"),"")</f>
        <v/>
      </c>
    </row>
    <row r="3045">
      <c r="A3045" s="2" t="n"/>
      <c r="B3045">
        <f>LOWER(TRIM(A3045))</f>
        <v/>
      </c>
      <c r="C3045">
        <f>IF(B3045="","",IFERROR(INDEX('Bad Patterns'!$A$2:$A$120,MATCH(1,INDEX(--ISNUMBER(SEARCH('Bad Patterns'!$A$2:$A$120,B3045)),0),0)),""))</f>
        <v/>
      </c>
      <c r="D3045">
        <f>IF(B3045="","",IF(C3045&lt;&gt;"","REMOVE","KEEP"))</f>
        <v/>
      </c>
      <c r="E3045">
        <f>IF(D3045&lt;&gt;"KEEP","",IF(RIGHT(B3045,10)="@gmail.com","Gmail",IF(OR(RIGHT(B3045,12)="@outlook.com",RIGHT(B3045,12)="@hotmail.com",RIGHT(B3045,9)="@live.com"),"Outlook","Domain")))</f>
        <v/>
      </c>
      <c r="F3045">
        <f>IF(B3045="","",IFERROR(RIGHT(B3045,LEN(B3045)-FIND("@",B3045)),""))</f>
        <v/>
      </c>
      <c r="G3045">
        <f>IF(D3045="KEEP",COUNTIF($D$2:D3045,"KEEP"),"")</f>
        <v/>
      </c>
      <c r="H3045">
        <f>IF(D3045="REMOVE",COUNTIF($D$2:D3045,"REMOVE"),"")</f>
        <v/>
      </c>
      <c r="I3045">
        <f>IF(E3045="Gmail",COUNTIF($E$2:E3045,"Gmail"),"")</f>
        <v/>
      </c>
      <c r="J3045">
        <f>IF(E3045="Outlook",COUNTIF($E$2:E3045,"Outlook"),"")</f>
        <v/>
      </c>
      <c r="K3045">
        <f>IF(E3045="Domain",COUNTIF($E$2:E3045,"Domain"),"")</f>
        <v/>
      </c>
    </row>
    <row r="3046">
      <c r="A3046" s="2" t="n"/>
      <c r="B3046">
        <f>LOWER(TRIM(A3046))</f>
        <v/>
      </c>
      <c r="C3046">
        <f>IF(B3046="","",IFERROR(INDEX('Bad Patterns'!$A$2:$A$120,MATCH(1,INDEX(--ISNUMBER(SEARCH('Bad Patterns'!$A$2:$A$120,B3046)),0),0)),""))</f>
        <v/>
      </c>
      <c r="D3046">
        <f>IF(B3046="","",IF(C3046&lt;&gt;"","REMOVE","KEEP"))</f>
        <v/>
      </c>
      <c r="E3046">
        <f>IF(D3046&lt;&gt;"KEEP","",IF(RIGHT(B3046,10)="@gmail.com","Gmail",IF(OR(RIGHT(B3046,12)="@outlook.com",RIGHT(B3046,12)="@hotmail.com",RIGHT(B3046,9)="@live.com"),"Outlook","Domain")))</f>
        <v/>
      </c>
      <c r="F3046">
        <f>IF(B3046="","",IFERROR(RIGHT(B3046,LEN(B3046)-FIND("@",B3046)),""))</f>
        <v/>
      </c>
      <c r="G3046">
        <f>IF(D3046="KEEP",COUNTIF($D$2:D3046,"KEEP"),"")</f>
        <v/>
      </c>
      <c r="H3046">
        <f>IF(D3046="REMOVE",COUNTIF($D$2:D3046,"REMOVE"),"")</f>
        <v/>
      </c>
      <c r="I3046">
        <f>IF(E3046="Gmail",COUNTIF($E$2:E3046,"Gmail"),"")</f>
        <v/>
      </c>
      <c r="J3046">
        <f>IF(E3046="Outlook",COUNTIF($E$2:E3046,"Outlook"),"")</f>
        <v/>
      </c>
      <c r="K3046">
        <f>IF(E3046="Domain",COUNTIF($E$2:E3046,"Domain"),"")</f>
        <v/>
      </c>
    </row>
    <row r="3047">
      <c r="A3047" s="2" t="n"/>
      <c r="B3047">
        <f>LOWER(TRIM(A3047))</f>
        <v/>
      </c>
      <c r="C3047">
        <f>IF(B3047="","",IFERROR(INDEX('Bad Patterns'!$A$2:$A$120,MATCH(1,INDEX(--ISNUMBER(SEARCH('Bad Patterns'!$A$2:$A$120,B3047)),0),0)),""))</f>
        <v/>
      </c>
      <c r="D3047">
        <f>IF(B3047="","",IF(C3047&lt;&gt;"","REMOVE","KEEP"))</f>
        <v/>
      </c>
      <c r="E3047">
        <f>IF(D3047&lt;&gt;"KEEP","",IF(RIGHT(B3047,10)="@gmail.com","Gmail",IF(OR(RIGHT(B3047,12)="@outlook.com",RIGHT(B3047,12)="@hotmail.com",RIGHT(B3047,9)="@live.com"),"Outlook","Domain")))</f>
        <v/>
      </c>
      <c r="F3047">
        <f>IF(B3047="","",IFERROR(RIGHT(B3047,LEN(B3047)-FIND("@",B3047)),""))</f>
        <v/>
      </c>
      <c r="G3047">
        <f>IF(D3047="KEEP",COUNTIF($D$2:D3047,"KEEP"),"")</f>
        <v/>
      </c>
      <c r="H3047">
        <f>IF(D3047="REMOVE",COUNTIF($D$2:D3047,"REMOVE"),"")</f>
        <v/>
      </c>
      <c r="I3047">
        <f>IF(E3047="Gmail",COUNTIF($E$2:E3047,"Gmail"),"")</f>
        <v/>
      </c>
      <c r="J3047">
        <f>IF(E3047="Outlook",COUNTIF($E$2:E3047,"Outlook"),"")</f>
        <v/>
      </c>
      <c r="K3047">
        <f>IF(E3047="Domain",COUNTIF($E$2:E3047,"Domain"),"")</f>
        <v/>
      </c>
    </row>
    <row r="3048">
      <c r="A3048" s="2" t="n"/>
      <c r="B3048">
        <f>LOWER(TRIM(A3048))</f>
        <v/>
      </c>
      <c r="C3048">
        <f>IF(B3048="","",IFERROR(INDEX('Bad Patterns'!$A$2:$A$120,MATCH(1,INDEX(--ISNUMBER(SEARCH('Bad Patterns'!$A$2:$A$120,B3048)),0),0)),""))</f>
        <v/>
      </c>
      <c r="D3048">
        <f>IF(B3048="","",IF(C3048&lt;&gt;"","REMOVE","KEEP"))</f>
        <v/>
      </c>
      <c r="E3048">
        <f>IF(D3048&lt;&gt;"KEEP","",IF(RIGHT(B3048,10)="@gmail.com","Gmail",IF(OR(RIGHT(B3048,12)="@outlook.com",RIGHT(B3048,12)="@hotmail.com",RIGHT(B3048,9)="@live.com"),"Outlook","Domain")))</f>
        <v/>
      </c>
      <c r="F3048">
        <f>IF(B3048="","",IFERROR(RIGHT(B3048,LEN(B3048)-FIND("@",B3048)),""))</f>
        <v/>
      </c>
      <c r="G3048">
        <f>IF(D3048="KEEP",COUNTIF($D$2:D3048,"KEEP"),"")</f>
        <v/>
      </c>
      <c r="H3048">
        <f>IF(D3048="REMOVE",COUNTIF($D$2:D3048,"REMOVE"),"")</f>
        <v/>
      </c>
      <c r="I3048">
        <f>IF(E3048="Gmail",COUNTIF($E$2:E3048,"Gmail"),"")</f>
        <v/>
      </c>
      <c r="J3048">
        <f>IF(E3048="Outlook",COUNTIF($E$2:E3048,"Outlook"),"")</f>
        <v/>
      </c>
      <c r="K3048">
        <f>IF(E3048="Domain",COUNTIF($E$2:E3048,"Domain"),"")</f>
        <v/>
      </c>
    </row>
    <row r="3049">
      <c r="A3049" s="2" t="n"/>
      <c r="B3049">
        <f>LOWER(TRIM(A3049))</f>
        <v/>
      </c>
      <c r="C3049">
        <f>IF(B3049="","",IFERROR(INDEX('Bad Patterns'!$A$2:$A$120,MATCH(1,INDEX(--ISNUMBER(SEARCH('Bad Patterns'!$A$2:$A$120,B3049)),0),0)),""))</f>
        <v/>
      </c>
      <c r="D3049">
        <f>IF(B3049="","",IF(C3049&lt;&gt;"","REMOVE","KEEP"))</f>
        <v/>
      </c>
      <c r="E3049">
        <f>IF(D3049&lt;&gt;"KEEP","",IF(RIGHT(B3049,10)="@gmail.com","Gmail",IF(OR(RIGHT(B3049,12)="@outlook.com",RIGHT(B3049,12)="@hotmail.com",RIGHT(B3049,9)="@live.com"),"Outlook","Domain")))</f>
        <v/>
      </c>
      <c r="F3049">
        <f>IF(B3049="","",IFERROR(RIGHT(B3049,LEN(B3049)-FIND("@",B3049)),""))</f>
        <v/>
      </c>
      <c r="G3049">
        <f>IF(D3049="KEEP",COUNTIF($D$2:D3049,"KEEP"),"")</f>
        <v/>
      </c>
      <c r="H3049">
        <f>IF(D3049="REMOVE",COUNTIF($D$2:D3049,"REMOVE"),"")</f>
        <v/>
      </c>
      <c r="I3049">
        <f>IF(E3049="Gmail",COUNTIF($E$2:E3049,"Gmail"),"")</f>
        <v/>
      </c>
      <c r="J3049">
        <f>IF(E3049="Outlook",COUNTIF($E$2:E3049,"Outlook"),"")</f>
        <v/>
      </c>
      <c r="K3049">
        <f>IF(E3049="Domain",COUNTIF($E$2:E3049,"Domain"),"")</f>
        <v/>
      </c>
    </row>
    <row r="3050">
      <c r="A3050" s="2" t="n"/>
      <c r="B3050">
        <f>LOWER(TRIM(A3050))</f>
        <v/>
      </c>
      <c r="C3050">
        <f>IF(B3050="","",IFERROR(INDEX('Bad Patterns'!$A$2:$A$120,MATCH(1,INDEX(--ISNUMBER(SEARCH('Bad Patterns'!$A$2:$A$120,B3050)),0),0)),""))</f>
        <v/>
      </c>
      <c r="D3050">
        <f>IF(B3050="","",IF(C3050&lt;&gt;"","REMOVE","KEEP"))</f>
        <v/>
      </c>
      <c r="E3050">
        <f>IF(D3050&lt;&gt;"KEEP","",IF(RIGHT(B3050,10)="@gmail.com","Gmail",IF(OR(RIGHT(B3050,12)="@outlook.com",RIGHT(B3050,12)="@hotmail.com",RIGHT(B3050,9)="@live.com"),"Outlook","Domain")))</f>
        <v/>
      </c>
      <c r="F3050">
        <f>IF(B3050="","",IFERROR(RIGHT(B3050,LEN(B3050)-FIND("@",B3050)),""))</f>
        <v/>
      </c>
      <c r="G3050">
        <f>IF(D3050="KEEP",COUNTIF($D$2:D3050,"KEEP"),"")</f>
        <v/>
      </c>
      <c r="H3050">
        <f>IF(D3050="REMOVE",COUNTIF($D$2:D3050,"REMOVE"),"")</f>
        <v/>
      </c>
      <c r="I3050">
        <f>IF(E3050="Gmail",COUNTIF($E$2:E3050,"Gmail"),"")</f>
        <v/>
      </c>
      <c r="J3050">
        <f>IF(E3050="Outlook",COUNTIF($E$2:E3050,"Outlook"),"")</f>
        <v/>
      </c>
      <c r="K3050">
        <f>IF(E3050="Domain",COUNTIF($E$2:E3050,"Domain"),"")</f>
        <v/>
      </c>
    </row>
    <row r="3051">
      <c r="A3051" s="2" t="n"/>
      <c r="B3051">
        <f>LOWER(TRIM(A3051))</f>
        <v/>
      </c>
      <c r="C3051">
        <f>IF(B3051="","",IFERROR(INDEX('Bad Patterns'!$A$2:$A$120,MATCH(1,INDEX(--ISNUMBER(SEARCH('Bad Patterns'!$A$2:$A$120,B3051)),0),0)),""))</f>
        <v/>
      </c>
      <c r="D3051">
        <f>IF(B3051="","",IF(C3051&lt;&gt;"","REMOVE","KEEP"))</f>
        <v/>
      </c>
      <c r="E3051">
        <f>IF(D3051&lt;&gt;"KEEP","",IF(RIGHT(B3051,10)="@gmail.com","Gmail",IF(OR(RIGHT(B3051,12)="@outlook.com",RIGHT(B3051,12)="@hotmail.com",RIGHT(B3051,9)="@live.com"),"Outlook","Domain")))</f>
        <v/>
      </c>
      <c r="F3051">
        <f>IF(B3051="","",IFERROR(RIGHT(B3051,LEN(B3051)-FIND("@",B3051)),""))</f>
        <v/>
      </c>
      <c r="G3051">
        <f>IF(D3051="KEEP",COUNTIF($D$2:D3051,"KEEP"),"")</f>
        <v/>
      </c>
      <c r="H3051">
        <f>IF(D3051="REMOVE",COUNTIF($D$2:D3051,"REMOVE"),"")</f>
        <v/>
      </c>
      <c r="I3051">
        <f>IF(E3051="Gmail",COUNTIF($E$2:E3051,"Gmail"),"")</f>
        <v/>
      </c>
      <c r="J3051">
        <f>IF(E3051="Outlook",COUNTIF($E$2:E3051,"Outlook"),"")</f>
        <v/>
      </c>
      <c r="K3051">
        <f>IF(E3051="Domain",COUNTIF($E$2:E3051,"Domain"),"")</f>
        <v/>
      </c>
    </row>
    <row r="3052">
      <c r="A3052" s="2" t="n"/>
      <c r="B3052">
        <f>LOWER(TRIM(A3052))</f>
        <v/>
      </c>
      <c r="C3052">
        <f>IF(B3052="","",IFERROR(INDEX('Bad Patterns'!$A$2:$A$120,MATCH(1,INDEX(--ISNUMBER(SEARCH('Bad Patterns'!$A$2:$A$120,B3052)),0),0)),""))</f>
        <v/>
      </c>
      <c r="D3052">
        <f>IF(B3052="","",IF(C3052&lt;&gt;"","REMOVE","KEEP"))</f>
        <v/>
      </c>
      <c r="E3052">
        <f>IF(D3052&lt;&gt;"KEEP","",IF(RIGHT(B3052,10)="@gmail.com","Gmail",IF(OR(RIGHT(B3052,12)="@outlook.com",RIGHT(B3052,12)="@hotmail.com",RIGHT(B3052,9)="@live.com"),"Outlook","Domain")))</f>
        <v/>
      </c>
      <c r="F3052">
        <f>IF(B3052="","",IFERROR(RIGHT(B3052,LEN(B3052)-FIND("@",B3052)),""))</f>
        <v/>
      </c>
      <c r="G3052">
        <f>IF(D3052="KEEP",COUNTIF($D$2:D3052,"KEEP"),"")</f>
        <v/>
      </c>
      <c r="H3052">
        <f>IF(D3052="REMOVE",COUNTIF($D$2:D3052,"REMOVE"),"")</f>
        <v/>
      </c>
      <c r="I3052">
        <f>IF(E3052="Gmail",COUNTIF($E$2:E3052,"Gmail"),"")</f>
        <v/>
      </c>
      <c r="J3052">
        <f>IF(E3052="Outlook",COUNTIF($E$2:E3052,"Outlook"),"")</f>
        <v/>
      </c>
      <c r="K3052">
        <f>IF(E3052="Domain",COUNTIF($E$2:E3052,"Domain"),"")</f>
        <v/>
      </c>
    </row>
    <row r="3053">
      <c r="A3053" s="2" t="n"/>
      <c r="B3053">
        <f>LOWER(TRIM(A3053))</f>
        <v/>
      </c>
      <c r="C3053">
        <f>IF(B3053="","",IFERROR(INDEX('Bad Patterns'!$A$2:$A$120,MATCH(1,INDEX(--ISNUMBER(SEARCH('Bad Patterns'!$A$2:$A$120,B3053)),0),0)),""))</f>
        <v/>
      </c>
      <c r="D3053">
        <f>IF(B3053="","",IF(C3053&lt;&gt;"","REMOVE","KEEP"))</f>
        <v/>
      </c>
      <c r="E3053">
        <f>IF(D3053&lt;&gt;"KEEP","",IF(RIGHT(B3053,10)="@gmail.com","Gmail",IF(OR(RIGHT(B3053,12)="@outlook.com",RIGHT(B3053,12)="@hotmail.com",RIGHT(B3053,9)="@live.com"),"Outlook","Domain")))</f>
        <v/>
      </c>
      <c r="F3053">
        <f>IF(B3053="","",IFERROR(RIGHT(B3053,LEN(B3053)-FIND("@",B3053)),""))</f>
        <v/>
      </c>
      <c r="G3053">
        <f>IF(D3053="KEEP",COUNTIF($D$2:D3053,"KEEP"),"")</f>
        <v/>
      </c>
      <c r="H3053">
        <f>IF(D3053="REMOVE",COUNTIF($D$2:D3053,"REMOVE"),"")</f>
        <v/>
      </c>
      <c r="I3053">
        <f>IF(E3053="Gmail",COUNTIF($E$2:E3053,"Gmail"),"")</f>
        <v/>
      </c>
      <c r="J3053">
        <f>IF(E3053="Outlook",COUNTIF($E$2:E3053,"Outlook"),"")</f>
        <v/>
      </c>
      <c r="K3053">
        <f>IF(E3053="Domain",COUNTIF($E$2:E3053,"Domain"),"")</f>
        <v/>
      </c>
    </row>
    <row r="3054">
      <c r="A3054" s="2" t="n"/>
      <c r="B3054">
        <f>LOWER(TRIM(A3054))</f>
        <v/>
      </c>
      <c r="C3054">
        <f>IF(B3054="","",IFERROR(INDEX('Bad Patterns'!$A$2:$A$120,MATCH(1,INDEX(--ISNUMBER(SEARCH('Bad Patterns'!$A$2:$A$120,B3054)),0),0)),""))</f>
        <v/>
      </c>
      <c r="D3054">
        <f>IF(B3054="","",IF(C3054&lt;&gt;"","REMOVE","KEEP"))</f>
        <v/>
      </c>
      <c r="E3054">
        <f>IF(D3054&lt;&gt;"KEEP","",IF(RIGHT(B3054,10)="@gmail.com","Gmail",IF(OR(RIGHT(B3054,12)="@outlook.com",RIGHT(B3054,12)="@hotmail.com",RIGHT(B3054,9)="@live.com"),"Outlook","Domain")))</f>
        <v/>
      </c>
      <c r="F3054">
        <f>IF(B3054="","",IFERROR(RIGHT(B3054,LEN(B3054)-FIND("@",B3054)),""))</f>
        <v/>
      </c>
      <c r="G3054">
        <f>IF(D3054="KEEP",COUNTIF($D$2:D3054,"KEEP"),"")</f>
        <v/>
      </c>
      <c r="H3054">
        <f>IF(D3054="REMOVE",COUNTIF($D$2:D3054,"REMOVE"),"")</f>
        <v/>
      </c>
      <c r="I3054">
        <f>IF(E3054="Gmail",COUNTIF($E$2:E3054,"Gmail"),"")</f>
        <v/>
      </c>
      <c r="J3054">
        <f>IF(E3054="Outlook",COUNTIF($E$2:E3054,"Outlook"),"")</f>
        <v/>
      </c>
      <c r="K3054">
        <f>IF(E3054="Domain",COUNTIF($E$2:E3054,"Domain"),"")</f>
        <v/>
      </c>
    </row>
    <row r="3055">
      <c r="A3055" s="2" t="n"/>
      <c r="B3055">
        <f>LOWER(TRIM(A3055))</f>
        <v/>
      </c>
      <c r="C3055">
        <f>IF(B3055="","",IFERROR(INDEX('Bad Patterns'!$A$2:$A$120,MATCH(1,INDEX(--ISNUMBER(SEARCH('Bad Patterns'!$A$2:$A$120,B3055)),0),0)),""))</f>
        <v/>
      </c>
      <c r="D3055">
        <f>IF(B3055="","",IF(C3055&lt;&gt;"","REMOVE","KEEP"))</f>
        <v/>
      </c>
      <c r="E3055">
        <f>IF(D3055&lt;&gt;"KEEP","",IF(RIGHT(B3055,10)="@gmail.com","Gmail",IF(OR(RIGHT(B3055,12)="@outlook.com",RIGHT(B3055,12)="@hotmail.com",RIGHT(B3055,9)="@live.com"),"Outlook","Domain")))</f>
        <v/>
      </c>
      <c r="F3055">
        <f>IF(B3055="","",IFERROR(RIGHT(B3055,LEN(B3055)-FIND("@",B3055)),""))</f>
        <v/>
      </c>
      <c r="G3055">
        <f>IF(D3055="KEEP",COUNTIF($D$2:D3055,"KEEP"),"")</f>
        <v/>
      </c>
      <c r="H3055">
        <f>IF(D3055="REMOVE",COUNTIF($D$2:D3055,"REMOVE"),"")</f>
        <v/>
      </c>
      <c r="I3055">
        <f>IF(E3055="Gmail",COUNTIF($E$2:E3055,"Gmail"),"")</f>
        <v/>
      </c>
      <c r="J3055">
        <f>IF(E3055="Outlook",COUNTIF($E$2:E3055,"Outlook"),"")</f>
        <v/>
      </c>
      <c r="K3055">
        <f>IF(E3055="Domain",COUNTIF($E$2:E3055,"Domain"),"")</f>
        <v/>
      </c>
    </row>
    <row r="3056">
      <c r="A3056" s="2" t="n"/>
      <c r="B3056">
        <f>LOWER(TRIM(A3056))</f>
        <v/>
      </c>
      <c r="C3056">
        <f>IF(B3056="","",IFERROR(INDEX('Bad Patterns'!$A$2:$A$120,MATCH(1,INDEX(--ISNUMBER(SEARCH('Bad Patterns'!$A$2:$A$120,B3056)),0),0)),""))</f>
        <v/>
      </c>
      <c r="D3056">
        <f>IF(B3056="","",IF(C3056&lt;&gt;"","REMOVE","KEEP"))</f>
        <v/>
      </c>
      <c r="E3056">
        <f>IF(D3056&lt;&gt;"KEEP","",IF(RIGHT(B3056,10)="@gmail.com","Gmail",IF(OR(RIGHT(B3056,12)="@outlook.com",RIGHT(B3056,12)="@hotmail.com",RIGHT(B3056,9)="@live.com"),"Outlook","Domain")))</f>
        <v/>
      </c>
      <c r="F3056">
        <f>IF(B3056="","",IFERROR(RIGHT(B3056,LEN(B3056)-FIND("@",B3056)),""))</f>
        <v/>
      </c>
      <c r="G3056">
        <f>IF(D3056="KEEP",COUNTIF($D$2:D3056,"KEEP"),"")</f>
        <v/>
      </c>
      <c r="H3056">
        <f>IF(D3056="REMOVE",COUNTIF($D$2:D3056,"REMOVE"),"")</f>
        <v/>
      </c>
      <c r="I3056">
        <f>IF(E3056="Gmail",COUNTIF($E$2:E3056,"Gmail"),"")</f>
        <v/>
      </c>
      <c r="J3056">
        <f>IF(E3056="Outlook",COUNTIF($E$2:E3056,"Outlook"),"")</f>
        <v/>
      </c>
      <c r="K3056">
        <f>IF(E3056="Domain",COUNTIF($E$2:E3056,"Domain"),"")</f>
        <v/>
      </c>
    </row>
    <row r="3057">
      <c r="A3057" s="2" t="n"/>
      <c r="B3057">
        <f>LOWER(TRIM(A3057))</f>
        <v/>
      </c>
      <c r="C3057">
        <f>IF(B3057="","",IFERROR(INDEX('Bad Patterns'!$A$2:$A$120,MATCH(1,INDEX(--ISNUMBER(SEARCH('Bad Patterns'!$A$2:$A$120,B3057)),0),0)),""))</f>
        <v/>
      </c>
      <c r="D3057">
        <f>IF(B3057="","",IF(C3057&lt;&gt;"","REMOVE","KEEP"))</f>
        <v/>
      </c>
      <c r="E3057">
        <f>IF(D3057&lt;&gt;"KEEP","",IF(RIGHT(B3057,10)="@gmail.com","Gmail",IF(OR(RIGHT(B3057,12)="@outlook.com",RIGHT(B3057,12)="@hotmail.com",RIGHT(B3057,9)="@live.com"),"Outlook","Domain")))</f>
        <v/>
      </c>
      <c r="F3057">
        <f>IF(B3057="","",IFERROR(RIGHT(B3057,LEN(B3057)-FIND("@",B3057)),""))</f>
        <v/>
      </c>
      <c r="G3057">
        <f>IF(D3057="KEEP",COUNTIF($D$2:D3057,"KEEP"),"")</f>
        <v/>
      </c>
      <c r="H3057">
        <f>IF(D3057="REMOVE",COUNTIF($D$2:D3057,"REMOVE"),"")</f>
        <v/>
      </c>
      <c r="I3057">
        <f>IF(E3057="Gmail",COUNTIF($E$2:E3057,"Gmail"),"")</f>
        <v/>
      </c>
      <c r="J3057">
        <f>IF(E3057="Outlook",COUNTIF($E$2:E3057,"Outlook"),"")</f>
        <v/>
      </c>
      <c r="K3057">
        <f>IF(E3057="Domain",COUNTIF($E$2:E3057,"Domain"),"")</f>
        <v/>
      </c>
    </row>
    <row r="3058">
      <c r="A3058" s="2" t="n"/>
      <c r="B3058">
        <f>LOWER(TRIM(A3058))</f>
        <v/>
      </c>
      <c r="C3058">
        <f>IF(B3058="","",IFERROR(INDEX('Bad Patterns'!$A$2:$A$120,MATCH(1,INDEX(--ISNUMBER(SEARCH('Bad Patterns'!$A$2:$A$120,B3058)),0),0)),""))</f>
        <v/>
      </c>
      <c r="D3058">
        <f>IF(B3058="","",IF(C3058&lt;&gt;"","REMOVE","KEEP"))</f>
        <v/>
      </c>
      <c r="E3058">
        <f>IF(D3058&lt;&gt;"KEEP","",IF(RIGHT(B3058,10)="@gmail.com","Gmail",IF(OR(RIGHT(B3058,12)="@outlook.com",RIGHT(B3058,12)="@hotmail.com",RIGHT(B3058,9)="@live.com"),"Outlook","Domain")))</f>
        <v/>
      </c>
      <c r="F3058">
        <f>IF(B3058="","",IFERROR(RIGHT(B3058,LEN(B3058)-FIND("@",B3058)),""))</f>
        <v/>
      </c>
      <c r="G3058">
        <f>IF(D3058="KEEP",COUNTIF($D$2:D3058,"KEEP"),"")</f>
        <v/>
      </c>
      <c r="H3058">
        <f>IF(D3058="REMOVE",COUNTIF($D$2:D3058,"REMOVE"),"")</f>
        <v/>
      </c>
      <c r="I3058">
        <f>IF(E3058="Gmail",COUNTIF($E$2:E3058,"Gmail"),"")</f>
        <v/>
      </c>
      <c r="J3058">
        <f>IF(E3058="Outlook",COUNTIF($E$2:E3058,"Outlook"),"")</f>
        <v/>
      </c>
      <c r="K3058">
        <f>IF(E3058="Domain",COUNTIF($E$2:E3058,"Domain"),"")</f>
        <v/>
      </c>
    </row>
    <row r="3059">
      <c r="A3059" s="2" t="n"/>
      <c r="B3059">
        <f>LOWER(TRIM(A3059))</f>
        <v/>
      </c>
      <c r="C3059">
        <f>IF(B3059="","",IFERROR(INDEX('Bad Patterns'!$A$2:$A$120,MATCH(1,INDEX(--ISNUMBER(SEARCH('Bad Patterns'!$A$2:$A$120,B3059)),0),0)),""))</f>
        <v/>
      </c>
      <c r="D3059">
        <f>IF(B3059="","",IF(C3059&lt;&gt;"","REMOVE","KEEP"))</f>
        <v/>
      </c>
      <c r="E3059">
        <f>IF(D3059&lt;&gt;"KEEP","",IF(RIGHT(B3059,10)="@gmail.com","Gmail",IF(OR(RIGHT(B3059,12)="@outlook.com",RIGHT(B3059,12)="@hotmail.com",RIGHT(B3059,9)="@live.com"),"Outlook","Domain")))</f>
        <v/>
      </c>
      <c r="F3059">
        <f>IF(B3059="","",IFERROR(RIGHT(B3059,LEN(B3059)-FIND("@",B3059)),""))</f>
        <v/>
      </c>
      <c r="G3059">
        <f>IF(D3059="KEEP",COUNTIF($D$2:D3059,"KEEP"),"")</f>
        <v/>
      </c>
      <c r="H3059">
        <f>IF(D3059="REMOVE",COUNTIF($D$2:D3059,"REMOVE"),"")</f>
        <v/>
      </c>
      <c r="I3059">
        <f>IF(E3059="Gmail",COUNTIF($E$2:E3059,"Gmail"),"")</f>
        <v/>
      </c>
      <c r="J3059">
        <f>IF(E3059="Outlook",COUNTIF($E$2:E3059,"Outlook"),"")</f>
        <v/>
      </c>
      <c r="K3059">
        <f>IF(E3059="Domain",COUNTIF($E$2:E3059,"Domain"),"")</f>
        <v/>
      </c>
    </row>
    <row r="3060">
      <c r="A3060" s="2" t="n"/>
      <c r="B3060">
        <f>LOWER(TRIM(A3060))</f>
        <v/>
      </c>
      <c r="C3060">
        <f>IF(B3060="","",IFERROR(INDEX('Bad Patterns'!$A$2:$A$120,MATCH(1,INDEX(--ISNUMBER(SEARCH('Bad Patterns'!$A$2:$A$120,B3060)),0),0)),""))</f>
        <v/>
      </c>
      <c r="D3060">
        <f>IF(B3060="","",IF(C3060&lt;&gt;"","REMOVE","KEEP"))</f>
        <v/>
      </c>
      <c r="E3060">
        <f>IF(D3060&lt;&gt;"KEEP","",IF(RIGHT(B3060,10)="@gmail.com","Gmail",IF(OR(RIGHT(B3060,12)="@outlook.com",RIGHT(B3060,12)="@hotmail.com",RIGHT(B3060,9)="@live.com"),"Outlook","Domain")))</f>
        <v/>
      </c>
      <c r="F3060">
        <f>IF(B3060="","",IFERROR(RIGHT(B3060,LEN(B3060)-FIND("@",B3060)),""))</f>
        <v/>
      </c>
      <c r="G3060">
        <f>IF(D3060="KEEP",COUNTIF($D$2:D3060,"KEEP"),"")</f>
        <v/>
      </c>
      <c r="H3060">
        <f>IF(D3060="REMOVE",COUNTIF($D$2:D3060,"REMOVE"),"")</f>
        <v/>
      </c>
      <c r="I3060">
        <f>IF(E3060="Gmail",COUNTIF($E$2:E3060,"Gmail"),"")</f>
        <v/>
      </c>
      <c r="J3060">
        <f>IF(E3060="Outlook",COUNTIF($E$2:E3060,"Outlook"),"")</f>
        <v/>
      </c>
      <c r="K3060">
        <f>IF(E3060="Domain",COUNTIF($E$2:E3060,"Domain"),"")</f>
        <v/>
      </c>
    </row>
    <row r="3061">
      <c r="A3061" s="2" t="n"/>
      <c r="B3061">
        <f>LOWER(TRIM(A3061))</f>
        <v/>
      </c>
      <c r="C3061">
        <f>IF(B3061="","",IFERROR(INDEX('Bad Patterns'!$A$2:$A$120,MATCH(1,INDEX(--ISNUMBER(SEARCH('Bad Patterns'!$A$2:$A$120,B3061)),0),0)),""))</f>
        <v/>
      </c>
      <c r="D3061">
        <f>IF(B3061="","",IF(C3061&lt;&gt;"","REMOVE","KEEP"))</f>
        <v/>
      </c>
      <c r="E3061">
        <f>IF(D3061&lt;&gt;"KEEP","",IF(RIGHT(B3061,10)="@gmail.com","Gmail",IF(OR(RIGHT(B3061,12)="@outlook.com",RIGHT(B3061,12)="@hotmail.com",RIGHT(B3061,9)="@live.com"),"Outlook","Domain")))</f>
        <v/>
      </c>
      <c r="F3061">
        <f>IF(B3061="","",IFERROR(RIGHT(B3061,LEN(B3061)-FIND("@",B3061)),""))</f>
        <v/>
      </c>
      <c r="G3061">
        <f>IF(D3061="KEEP",COUNTIF($D$2:D3061,"KEEP"),"")</f>
        <v/>
      </c>
      <c r="H3061">
        <f>IF(D3061="REMOVE",COUNTIF($D$2:D3061,"REMOVE"),"")</f>
        <v/>
      </c>
      <c r="I3061">
        <f>IF(E3061="Gmail",COUNTIF($E$2:E3061,"Gmail"),"")</f>
        <v/>
      </c>
      <c r="J3061">
        <f>IF(E3061="Outlook",COUNTIF($E$2:E3061,"Outlook"),"")</f>
        <v/>
      </c>
      <c r="K3061">
        <f>IF(E3061="Domain",COUNTIF($E$2:E3061,"Domain"),"")</f>
        <v/>
      </c>
    </row>
    <row r="3062">
      <c r="A3062" s="2" t="n"/>
      <c r="B3062">
        <f>LOWER(TRIM(A3062))</f>
        <v/>
      </c>
      <c r="C3062">
        <f>IF(B3062="","",IFERROR(INDEX('Bad Patterns'!$A$2:$A$120,MATCH(1,INDEX(--ISNUMBER(SEARCH('Bad Patterns'!$A$2:$A$120,B3062)),0),0)),""))</f>
        <v/>
      </c>
      <c r="D3062">
        <f>IF(B3062="","",IF(C3062&lt;&gt;"","REMOVE","KEEP"))</f>
        <v/>
      </c>
      <c r="E3062">
        <f>IF(D3062&lt;&gt;"KEEP","",IF(RIGHT(B3062,10)="@gmail.com","Gmail",IF(OR(RIGHT(B3062,12)="@outlook.com",RIGHT(B3062,12)="@hotmail.com",RIGHT(B3062,9)="@live.com"),"Outlook","Domain")))</f>
        <v/>
      </c>
      <c r="F3062">
        <f>IF(B3062="","",IFERROR(RIGHT(B3062,LEN(B3062)-FIND("@",B3062)),""))</f>
        <v/>
      </c>
      <c r="G3062">
        <f>IF(D3062="KEEP",COUNTIF($D$2:D3062,"KEEP"),"")</f>
        <v/>
      </c>
      <c r="H3062">
        <f>IF(D3062="REMOVE",COUNTIF($D$2:D3062,"REMOVE"),"")</f>
        <v/>
      </c>
      <c r="I3062">
        <f>IF(E3062="Gmail",COUNTIF($E$2:E3062,"Gmail"),"")</f>
        <v/>
      </c>
      <c r="J3062">
        <f>IF(E3062="Outlook",COUNTIF($E$2:E3062,"Outlook"),"")</f>
        <v/>
      </c>
      <c r="K3062">
        <f>IF(E3062="Domain",COUNTIF($E$2:E3062,"Domain"),"")</f>
        <v/>
      </c>
    </row>
    <row r="3063">
      <c r="A3063" s="2" t="n"/>
      <c r="B3063">
        <f>LOWER(TRIM(A3063))</f>
        <v/>
      </c>
      <c r="C3063">
        <f>IF(B3063="","",IFERROR(INDEX('Bad Patterns'!$A$2:$A$120,MATCH(1,INDEX(--ISNUMBER(SEARCH('Bad Patterns'!$A$2:$A$120,B3063)),0),0)),""))</f>
        <v/>
      </c>
      <c r="D3063">
        <f>IF(B3063="","",IF(C3063&lt;&gt;"","REMOVE","KEEP"))</f>
        <v/>
      </c>
      <c r="E3063">
        <f>IF(D3063&lt;&gt;"KEEP","",IF(RIGHT(B3063,10)="@gmail.com","Gmail",IF(OR(RIGHT(B3063,12)="@outlook.com",RIGHT(B3063,12)="@hotmail.com",RIGHT(B3063,9)="@live.com"),"Outlook","Domain")))</f>
        <v/>
      </c>
      <c r="F3063">
        <f>IF(B3063="","",IFERROR(RIGHT(B3063,LEN(B3063)-FIND("@",B3063)),""))</f>
        <v/>
      </c>
      <c r="G3063">
        <f>IF(D3063="KEEP",COUNTIF($D$2:D3063,"KEEP"),"")</f>
        <v/>
      </c>
      <c r="H3063">
        <f>IF(D3063="REMOVE",COUNTIF($D$2:D3063,"REMOVE"),"")</f>
        <v/>
      </c>
      <c r="I3063">
        <f>IF(E3063="Gmail",COUNTIF($E$2:E3063,"Gmail"),"")</f>
        <v/>
      </c>
      <c r="J3063">
        <f>IF(E3063="Outlook",COUNTIF($E$2:E3063,"Outlook"),"")</f>
        <v/>
      </c>
      <c r="K3063">
        <f>IF(E3063="Domain",COUNTIF($E$2:E3063,"Domain"),"")</f>
        <v/>
      </c>
    </row>
    <row r="3064">
      <c r="A3064" s="2" t="n"/>
      <c r="B3064">
        <f>LOWER(TRIM(A3064))</f>
        <v/>
      </c>
      <c r="C3064">
        <f>IF(B3064="","",IFERROR(INDEX('Bad Patterns'!$A$2:$A$120,MATCH(1,INDEX(--ISNUMBER(SEARCH('Bad Patterns'!$A$2:$A$120,B3064)),0),0)),""))</f>
        <v/>
      </c>
      <c r="D3064">
        <f>IF(B3064="","",IF(C3064&lt;&gt;"","REMOVE","KEEP"))</f>
        <v/>
      </c>
      <c r="E3064">
        <f>IF(D3064&lt;&gt;"KEEP","",IF(RIGHT(B3064,10)="@gmail.com","Gmail",IF(OR(RIGHT(B3064,12)="@outlook.com",RIGHT(B3064,12)="@hotmail.com",RIGHT(B3064,9)="@live.com"),"Outlook","Domain")))</f>
        <v/>
      </c>
      <c r="F3064">
        <f>IF(B3064="","",IFERROR(RIGHT(B3064,LEN(B3064)-FIND("@",B3064)),""))</f>
        <v/>
      </c>
      <c r="G3064">
        <f>IF(D3064="KEEP",COUNTIF($D$2:D3064,"KEEP"),"")</f>
        <v/>
      </c>
      <c r="H3064">
        <f>IF(D3064="REMOVE",COUNTIF($D$2:D3064,"REMOVE"),"")</f>
        <v/>
      </c>
      <c r="I3064">
        <f>IF(E3064="Gmail",COUNTIF($E$2:E3064,"Gmail"),"")</f>
        <v/>
      </c>
      <c r="J3064">
        <f>IF(E3064="Outlook",COUNTIF($E$2:E3064,"Outlook"),"")</f>
        <v/>
      </c>
      <c r="K3064">
        <f>IF(E3064="Domain",COUNTIF($E$2:E3064,"Domain"),"")</f>
        <v/>
      </c>
    </row>
    <row r="3065">
      <c r="A3065" s="2" t="n"/>
      <c r="B3065">
        <f>LOWER(TRIM(A3065))</f>
        <v/>
      </c>
      <c r="C3065">
        <f>IF(B3065="","",IFERROR(INDEX('Bad Patterns'!$A$2:$A$120,MATCH(1,INDEX(--ISNUMBER(SEARCH('Bad Patterns'!$A$2:$A$120,B3065)),0),0)),""))</f>
        <v/>
      </c>
      <c r="D3065">
        <f>IF(B3065="","",IF(C3065&lt;&gt;"","REMOVE","KEEP"))</f>
        <v/>
      </c>
      <c r="E3065">
        <f>IF(D3065&lt;&gt;"KEEP","",IF(RIGHT(B3065,10)="@gmail.com","Gmail",IF(OR(RIGHT(B3065,12)="@outlook.com",RIGHT(B3065,12)="@hotmail.com",RIGHT(B3065,9)="@live.com"),"Outlook","Domain")))</f>
        <v/>
      </c>
      <c r="F3065">
        <f>IF(B3065="","",IFERROR(RIGHT(B3065,LEN(B3065)-FIND("@",B3065)),""))</f>
        <v/>
      </c>
      <c r="G3065">
        <f>IF(D3065="KEEP",COUNTIF($D$2:D3065,"KEEP"),"")</f>
        <v/>
      </c>
      <c r="H3065">
        <f>IF(D3065="REMOVE",COUNTIF($D$2:D3065,"REMOVE"),"")</f>
        <v/>
      </c>
      <c r="I3065">
        <f>IF(E3065="Gmail",COUNTIF($E$2:E3065,"Gmail"),"")</f>
        <v/>
      </c>
      <c r="J3065">
        <f>IF(E3065="Outlook",COUNTIF($E$2:E3065,"Outlook"),"")</f>
        <v/>
      </c>
      <c r="K3065">
        <f>IF(E3065="Domain",COUNTIF($E$2:E3065,"Domain"),"")</f>
        <v/>
      </c>
    </row>
    <row r="3066">
      <c r="A3066" s="2" t="n"/>
      <c r="B3066">
        <f>LOWER(TRIM(A3066))</f>
        <v/>
      </c>
      <c r="C3066">
        <f>IF(B3066="","",IFERROR(INDEX('Bad Patterns'!$A$2:$A$120,MATCH(1,INDEX(--ISNUMBER(SEARCH('Bad Patterns'!$A$2:$A$120,B3066)),0),0)),""))</f>
        <v/>
      </c>
      <c r="D3066">
        <f>IF(B3066="","",IF(C3066&lt;&gt;"","REMOVE","KEEP"))</f>
        <v/>
      </c>
      <c r="E3066">
        <f>IF(D3066&lt;&gt;"KEEP","",IF(RIGHT(B3066,10)="@gmail.com","Gmail",IF(OR(RIGHT(B3066,12)="@outlook.com",RIGHT(B3066,12)="@hotmail.com",RIGHT(B3066,9)="@live.com"),"Outlook","Domain")))</f>
        <v/>
      </c>
      <c r="F3066">
        <f>IF(B3066="","",IFERROR(RIGHT(B3066,LEN(B3066)-FIND("@",B3066)),""))</f>
        <v/>
      </c>
      <c r="G3066">
        <f>IF(D3066="KEEP",COUNTIF($D$2:D3066,"KEEP"),"")</f>
        <v/>
      </c>
      <c r="H3066">
        <f>IF(D3066="REMOVE",COUNTIF($D$2:D3066,"REMOVE"),"")</f>
        <v/>
      </c>
      <c r="I3066">
        <f>IF(E3066="Gmail",COUNTIF($E$2:E3066,"Gmail"),"")</f>
        <v/>
      </c>
      <c r="J3066">
        <f>IF(E3066="Outlook",COUNTIF($E$2:E3066,"Outlook"),"")</f>
        <v/>
      </c>
      <c r="K3066">
        <f>IF(E3066="Domain",COUNTIF($E$2:E3066,"Domain"),"")</f>
        <v/>
      </c>
    </row>
    <row r="3067">
      <c r="A3067" s="2" t="n"/>
      <c r="B3067">
        <f>LOWER(TRIM(A3067))</f>
        <v/>
      </c>
      <c r="C3067">
        <f>IF(B3067="","",IFERROR(INDEX('Bad Patterns'!$A$2:$A$120,MATCH(1,INDEX(--ISNUMBER(SEARCH('Bad Patterns'!$A$2:$A$120,B3067)),0),0)),""))</f>
        <v/>
      </c>
      <c r="D3067">
        <f>IF(B3067="","",IF(C3067&lt;&gt;"","REMOVE","KEEP"))</f>
        <v/>
      </c>
      <c r="E3067">
        <f>IF(D3067&lt;&gt;"KEEP","",IF(RIGHT(B3067,10)="@gmail.com","Gmail",IF(OR(RIGHT(B3067,12)="@outlook.com",RIGHT(B3067,12)="@hotmail.com",RIGHT(B3067,9)="@live.com"),"Outlook","Domain")))</f>
        <v/>
      </c>
      <c r="F3067">
        <f>IF(B3067="","",IFERROR(RIGHT(B3067,LEN(B3067)-FIND("@",B3067)),""))</f>
        <v/>
      </c>
      <c r="G3067">
        <f>IF(D3067="KEEP",COUNTIF($D$2:D3067,"KEEP"),"")</f>
        <v/>
      </c>
      <c r="H3067">
        <f>IF(D3067="REMOVE",COUNTIF($D$2:D3067,"REMOVE"),"")</f>
        <v/>
      </c>
      <c r="I3067">
        <f>IF(E3067="Gmail",COUNTIF($E$2:E3067,"Gmail"),"")</f>
        <v/>
      </c>
      <c r="J3067">
        <f>IF(E3067="Outlook",COUNTIF($E$2:E3067,"Outlook"),"")</f>
        <v/>
      </c>
      <c r="K3067">
        <f>IF(E3067="Domain",COUNTIF($E$2:E3067,"Domain"),"")</f>
        <v/>
      </c>
    </row>
    <row r="3068">
      <c r="A3068" s="2" t="n"/>
      <c r="B3068">
        <f>LOWER(TRIM(A3068))</f>
        <v/>
      </c>
      <c r="C3068">
        <f>IF(B3068="","",IFERROR(INDEX('Bad Patterns'!$A$2:$A$120,MATCH(1,INDEX(--ISNUMBER(SEARCH('Bad Patterns'!$A$2:$A$120,B3068)),0),0)),""))</f>
        <v/>
      </c>
      <c r="D3068">
        <f>IF(B3068="","",IF(C3068&lt;&gt;"","REMOVE","KEEP"))</f>
        <v/>
      </c>
      <c r="E3068">
        <f>IF(D3068&lt;&gt;"KEEP","",IF(RIGHT(B3068,10)="@gmail.com","Gmail",IF(OR(RIGHT(B3068,12)="@outlook.com",RIGHT(B3068,12)="@hotmail.com",RIGHT(B3068,9)="@live.com"),"Outlook","Domain")))</f>
        <v/>
      </c>
      <c r="F3068">
        <f>IF(B3068="","",IFERROR(RIGHT(B3068,LEN(B3068)-FIND("@",B3068)),""))</f>
        <v/>
      </c>
      <c r="G3068">
        <f>IF(D3068="KEEP",COUNTIF($D$2:D3068,"KEEP"),"")</f>
        <v/>
      </c>
      <c r="H3068">
        <f>IF(D3068="REMOVE",COUNTIF($D$2:D3068,"REMOVE"),"")</f>
        <v/>
      </c>
      <c r="I3068">
        <f>IF(E3068="Gmail",COUNTIF($E$2:E3068,"Gmail"),"")</f>
        <v/>
      </c>
      <c r="J3068">
        <f>IF(E3068="Outlook",COUNTIF($E$2:E3068,"Outlook"),"")</f>
        <v/>
      </c>
      <c r="K3068">
        <f>IF(E3068="Domain",COUNTIF($E$2:E3068,"Domain"),"")</f>
        <v/>
      </c>
    </row>
    <row r="3069">
      <c r="A3069" s="2" t="n"/>
      <c r="B3069">
        <f>LOWER(TRIM(A3069))</f>
        <v/>
      </c>
      <c r="C3069">
        <f>IF(B3069="","",IFERROR(INDEX('Bad Patterns'!$A$2:$A$120,MATCH(1,INDEX(--ISNUMBER(SEARCH('Bad Patterns'!$A$2:$A$120,B3069)),0),0)),""))</f>
        <v/>
      </c>
      <c r="D3069">
        <f>IF(B3069="","",IF(C3069&lt;&gt;"","REMOVE","KEEP"))</f>
        <v/>
      </c>
      <c r="E3069">
        <f>IF(D3069&lt;&gt;"KEEP","",IF(RIGHT(B3069,10)="@gmail.com","Gmail",IF(OR(RIGHT(B3069,12)="@outlook.com",RIGHT(B3069,12)="@hotmail.com",RIGHT(B3069,9)="@live.com"),"Outlook","Domain")))</f>
        <v/>
      </c>
      <c r="F3069">
        <f>IF(B3069="","",IFERROR(RIGHT(B3069,LEN(B3069)-FIND("@",B3069)),""))</f>
        <v/>
      </c>
      <c r="G3069">
        <f>IF(D3069="KEEP",COUNTIF($D$2:D3069,"KEEP"),"")</f>
        <v/>
      </c>
      <c r="H3069">
        <f>IF(D3069="REMOVE",COUNTIF($D$2:D3069,"REMOVE"),"")</f>
        <v/>
      </c>
      <c r="I3069">
        <f>IF(E3069="Gmail",COUNTIF($E$2:E3069,"Gmail"),"")</f>
        <v/>
      </c>
      <c r="J3069">
        <f>IF(E3069="Outlook",COUNTIF($E$2:E3069,"Outlook"),"")</f>
        <v/>
      </c>
      <c r="K3069">
        <f>IF(E3069="Domain",COUNTIF($E$2:E3069,"Domain"),"")</f>
        <v/>
      </c>
    </row>
    <row r="3070">
      <c r="A3070" s="2" t="n"/>
      <c r="B3070">
        <f>LOWER(TRIM(A3070))</f>
        <v/>
      </c>
      <c r="C3070">
        <f>IF(B3070="","",IFERROR(INDEX('Bad Patterns'!$A$2:$A$120,MATCH(1,INDEX(--ISNUMBER(SEARCH('Bad Patterns'!$A$2:$A$120,B3070)),0),0)),""))</f>
        <v/>
      </c>
      <c r="D3070">
        <f>IF(B3070="","",IF(C3070&lt;&gt;"","REMOVE","KEEP"))</f>
        <v/>
      </c>
      <c r="E3070">
        <f>IF(D3070&lt;&gt;"KEEP","",IF(RIGHT(B3070,10)="@gmail.com","Gmail",IF(OR(RIGHT(B3070,12)="@outlook.com",RIGHT(B3070,12)="@hotmail.com",RIGHT(B3070,9)="@live.com"),"Outlook","Domain")))</f>
        <v/>
      </c>
      <c r="F3070">
        <f>IF(B3070="","",IFERROR(RIGHT(B3070,LEN(B3070)-FIND("@",B3070)),""))</f>
        <v/>
      </c>
      <c r="G3070">
        <f>IF(D3070="KEEP",COUNTIF($D$2:D3070,"KEEP"),"")</f>
        <v/>
      </c>
      <c r="H3070">
        <f>IF(D3070="REMOVE",COUNTIF($D$2:D3070,"REMOVE"),"")</f>
        <v/>
      </c>
      <c r="I3070">
        <f>IF(E3070="Gmail",COUNTIF($E$2:E3070,"Gmail"),"")</f>
        <v/>
      </c>
      <c r="J3070">
        <f>IF(E3070="Outlook",COUNTIF($E$2:E3070,"Outlook"),"")</f>
        <v/>
      </c>
      <c r="K3070">
        <f>IF(E3070="Domain",COUNTIF($E$2:E3070,"Domain"),"")</f>
        <v/>
      </c>
    </row>
    <row r="3071">
      <c r="A3071" s="2" t="n"/>
      <c r="B3071">
        <f>LOWER(TRIM(A3071))</f>
        <v/>
      </c>
      <c r="C3071">
        <f>IF(B3071="","",IFERROR(INDEX('Bad Patterns'!$A$2:$A$120,MATCH(1,INDEX(--ISNUMBER(SEARCH('Bad Patterns'!$A$2:$A$120,B3071)),0),0)),""))</f>
        <v/>
      </c>
      <c r="D3071">
        <f>IF(B3071="","",IF(C3071&lt;&gt;"","REMOVE","KEEP"))</f>
        <v/>
      </c>
      <c r="E3071">
        <f>IF(D3071&lt;&gt;"KEEP","",IF(RIGHT(B3071,10)="@gmail.com","Gmail",IF(OR(RIGHT(B3071,12)="@outlook.com",RIGHT(B3071,12)="@hotmail.com",RIGHT(B3071,9)="@live.com"),"Outlook","Domain")))</f>
        <v/>
      </c>
      <c r="F3071">
        <f>IF(B3071="","",IFERROR(RIGHT(B3071,LEN(B3071)-FIND("@",B3071)),""))</f>
        <v/>
      </c>
      <c r="G3071">
        <f>IF(D3071="KEEP",COUNTIF($D$2:D3071,"KEEP"),"")</f>
        <v/>
      </c>
      <c r="H3071">
        <f>IF(D3071="REMOVE",COUNTIF($D$2:D3071,"REMOVE"),"")</f>
        <v/>
      </c>
      <c r="I3071">
        <f>IF(E3071="Gmail",COUNTIF($E$2:E3071,"Gmail"),"")</f>
        <v/>
      </c>
      <c r="J3071">
        <f>IF(E3071="Outlook",COUNTIF($E$2:E3071,"Outlook"),"")</f>
        <v/>
      </c>
      <c r="K3071">
        <f>IF(E3071="Domain",COUNTIF($E$2:E3071,"Domain"),"")</f>
        <v/>
      </c>
    </row>
    <row r="3072">
      <c r="A3072" s="2" t="n"/>
      <c r="B3072">
        <f>LOWER(TRIM(A3072))</f>
        <v/>
      </c>
      <c r="C3072">
        <f>IF(B3072="","",IFERROR(INDEX('Bad Patterns'!$A$2:$A$120,MATCH(1,INDEX(--ISNUMBER(SEARCH('Bad Patterns'!$A$2:$A$120,B3072)),0),0)),""))</f>
        <v/>
      </c>
      <c r="D3072">
        <f>IF(B3072="","",IF(C3072&lt;&gt;"","REMOVE","KEEP"))</f>
        <v/>
      </c>
      <c r="E3072">
        <f>IF(D3072&lt;&gt;"KEEP","",IF(RIGHT(B3072,10)="@gmail.com","Gmail",IF(OR(RIGHT(B3072,12)="@outlook.com",RIGHT(B3072,12)="@hotmail.com",RIGHT(B3072,9)="@live.com"),"Outlook","Domain")))</f>
        <v/>
      </c>
      <c r="F3072">
        <f>IF(B3072="","",IFERROR(RIGHT(B3072,LEN(B3072)-FIND("@",B3072)),""))</f>
        <v/>
      </c>
      <c r="G3072">
        <f>IF(D3072="KEEP",COUNTIF($D$2:D3072,"KEEP"),"")</f>
        <v/>
      </c>
      <c r="H3072">
        <f>IF(D3072="REMOVE",COUNTIF($D$2:D3072,"REMOVE"),"")</f>
        <v/>
      </c>
      <c r="I3072">
        <f>IF(E3072="Gmail",COUNTIF($E$2:E3072,"Gmail"),"")</f>
        <v/>
      </c>
      <c r="J3072">
        <f>IF(E3072="Outlook",COUNTIF($E$2:E3072,"Outlook"),"")</f>
        <v/>
      </c>
      <c r="K3072">
        <f>IF(E3072="Domain",COUNTIF($E$2:E3072,"Domain"),"")</f>
        <v/>
      </c>
    </row>
    <row r="3073">
      <c r="A3073" s="2" t="n"/>
      <c r="B3073">
        <f>LOWER(TRIM(A3073))</f>
        <v/>
      </c>
      <c r="C3073">
        <f>IF(B3073="","",IFERROR(INDEX('Bad Patterns'!$A$2:$A$120,MATCH(1,INDEX(--ISNUMBER(SEARCH('Bad Patterns'!$A$2:$A$120,B3073)),0),0)),""))</f>
        <v/>
      </c>
      <c r="D3073">
        <f>IF(B3073="","",IF(C3073&lt;&gt;"","REMOVE","KEEP"))</f>
        <v/>
      </c>
      <c r="E3073">
        <f>IF(D3073&lt;&gt;"KEEP","",IF(RIGHT(B3073,10)="@gmail.com","Gmail",IF(OR(RIGHT(B3073,12)="@outlook.com",RIGHT(B3073,12)="@hotmail.com",RIGHT(B3073,9)="@live.com"),"Outlook","Domain")))</f>
        <v/>
      </c>
      <c r="F3073">
        <f>IF(B3073="","",IFERROR(RIGHT(B3073,LEN(B3073)-FIND("@",B3073)),""))</f>
        <v/>
      </c>
      <c r="G3073">
        <f>IF(D3073="KEEP",COUNTIF($D$2:D3073,"KEEP"),"")</f>
        <v/>
      </c>
      <c r="H3073">
        <f>IF(D3073="REMOVE",COUNTIF($D$2:D3073,"REMOVE"),"")</f>
        <v/>
      </c>
      <c r="I3073">
        <f>IF(E3073="Gmail",COUNTIF($E$2:E3073,"Gmail"),"")</f>
        <v/>
      </c>
      <c r="J3073">
        <f>IF(E3073="Outlook",COUNTIF($E$2:E3073,"Outlook"),"")</f>
        <v/>
      </c>
      <c r="K3073">
        <f>IF(E3073="Domain",COUNTIF($E$2:E3073,"Domain"),"")</f>
        <v/>
      </c>
    </row>
    <row r="3074">
      <c r="A3074" s="2" t="n"/>
      <c r="B3074">
        <f>LOWER(TRIM(A3074))</f>
        <v/>
      </c>
      <c r="C3074">
        <f>IF(B3074="","",IFERROR(INDEX('Bad Patterns'!$A$2:$A$120,MATCH(1,INDEX(--ISNUMBER(SEARCH('Bad Patterns'!$A$2:$A$120,B3074)),0),0)),""))</f>
        <v/>
      </c>
      <c r="D3074">
        <f>IF(B3074="","",IF(C3074&lt;&gt;"","REMOVE","KEEP"))</f>
        <v/>
      </c>
      <c r="E3074">
        <f>IF(D3074&lt;&gt;"KEEP","",IF(RIGHT(B3074,10)="@gmail.com","Gmail",IF(OR(RIGHT(B3074,12)="@outlook.com",RIGHT(B3074,12)="@hotmail.com",RIGHT(B3074,9)="@live.com"),"Outlook","Domain")))</f>
        <v/>
      </c>
      <c r="F3074">
        <f>IF(B3074="","",IFERROR(RIGHT(B3074,LEN(B3074)-FIND("@",B3074)),""))</f>
        <v/>
      </c>
      <c r="G3074">
        <f>IF(D3074="KEEP",COUNTIF($D$2:D3074,"KEEP"),"")</f>
        <v/>
      </c>
      <c r="H3074">
        <f>IF(D3074="REMOVE",COUNTIF($D$2:D3074,"REMOVE"),"")</f>
        <v/>
      </c>
      <c r="I3074">
        <f>IF(E3074="Gmail",COUNTIF($E$2:E3074,"Gmail"),"")</f>
        <v/>
      </c>
      <c r="J3074">
        <f>IF(E3074="Outlook",COUNTIF($E$2:E3074,"Outlook"),"")</f>
        <v/>
      </c>
      <c r="K3074">
        <f>IF(E3074="Domain",COUNTIF($E$2:E3074,"Domain"),"")</f>
        <v/>
      </c>
    </row>
    <row r="3075">
      <c r="A3075" s="2" t="n"/>
      <c r="B3075">
        <f>LOWER(TRIM(A3075))</f>
        <v/>
      </c>
      <c r="C3075">
        <f>IF(B3075="","",IFERROR(INDEX('Bad Patterns'!$A$2:$A$120,MATCH(1,INDEX(--ISNUMBER(SEARCH('Bad Patterns'!$A$2:$A$120,B3075)),0),0)),""))</f>
        <v/>
      </c>
      <c r="D3075">
        <f>IF(B3075="","",IF(C3075&lt;&gt;"","REMOVE","KEEP"))</f>
        <v/>
      </c>
      <c r="E3075">
        <f>IF(D3075&lt;&gt;"KEEP","",IF(RIGHT(B3075,10)="@gmail.com","Gmail",IF(OR(RIGHT(B3075,12)="@outlook.com",RIGHT(B3075,12)="@hotmail.com",RIGHT(B3075,9)="@live.com"),"Outlook","Domain")))</f>
        <v/>
      </c>
      <c r="F3075">
        <f>IF(B3075="","",IFERROR(RIGHT(B3075,LEN(B3075)-FIND("@",B3075)),""))</f>
        <v/>
      </c>
      <c r="G3075">
        <f>IF(D3075="KEEP",COUNTIF($D$2:D3075,"KEEP"),"")</f>
        <v/>
      </c>
      <c r="H3075">
        <f>IF(D3075="REMOVE",COUNTIF($D$2:D3075,"REMOVE"),"")</f>
        <v/>
      </c>
      <c r="I3075">
        <f>IF(E3075="Gmail",COUNTIF($E$2:E3075,"Gmail"),"")</f>
        <v/>
      </c>
      <c r="J3075">
        <f>IF(E3075="Outlook",COUNTIF($E$2:E3075,"Outlook"),"")</f>
        <v/>
      </c>
      <c r="K3075">
        <f>IF(E3075="Domain",COUNTIF($E$2:E3075,"Domain"),"")</f>
        <v/>
      </c>
    </row>
    <row r="3076">
      <c r="A3076" s="2" t="n"/>
      <c r="B3076">
        <f>LOWER(TRIM(A3076))</f>
        <v/>
      </c>
      <c r="C3076">
        <f>IF(B3076="","",IFERROR(INDEX('Bad Patterns'!$A$2:$A$120,MATCH(1,INDEX(--ISNUMBER(SEARCH('Bad Patterns'!$A$2:$A$120,B3076)),0),0)),""))</f>
        <v/>
      </c>
      <c r="D3076">
        <f>IF(B3076="","",IF(C3076&lt;&gt;"","REMOVE","KEEP"))</f>
        <v/>
      </c>
      <c r="E3076">
        <f>IF(D3076&lt;&gt;"KEEP","",IF(RIGHT(B3076,10)="@gmail.com","Gmail",IF(OR(RIGHT(B3076,12)="@outlook.com",RIGHT(B3076,12)="@hotmail.com",RIGHT(B3076,9)="@live.com"),"Outlook","Domain")))</f>
        <v/>
      </c>
      <c r="F3076">
        <f>IF(B3076="","",IFERROR(RIGHT(B3076,LEN(B3076)-FIND("@",B3076)),""))</f>
        <v/>
      </c>
      <c r="G3076">
        <f>IF(D3076="KEEP",COUNTIF($D$2:D3076,"KEEP"),"")</f>
        <v/>
      </c>
      <c r="H3076">
        <f>IF(D3076="REMOVE",COUNTIF($D$2:D3076,"REMOVE"),"")</f>
        <v/>
      </c>
      <c r="I3076">
        <f>IF(E3076="Gmail",COUNTIF($E$2:E3076,"Gmail"),"")</f>
        <v/>
      </c>
      <c r="J3076">
        <f>IF(E3076="Outlook",COUNTIF($E$2:E3076,"Outlook"),"")</f>
        <v/>
      </c>
      <c r="K3076">
        <f>IF(E3076="Domain",COUNTIF($E$2:E3076,"Domain"),"")</f>
        <v/>
      </c>
    </row>
    <row r="3077">
      <c r="A3077" s="2" t="n"/>
      <c r="B3077">
        <f>LOWER(TRIM(A3077))</f>
        <v/>
      </c>
      <c r="C3077">
        <f>IF(B3077="","",IFERROR(INDEX('Bad Patterns'!$A$2:$A$120,MATCH(1,INDEX(--ISNUMBER(SEARCH('Bad Patterns'!$A$2:$A$120,B3077)),0),0)),""))</f>
        <v/>
      </c>
      <c r="D3077">
        <f>IF(B3077="","",IF(C3077&lt;&gt;"","REMOVE","KEEP"))</f>
        <v/>
      </c>
      <c r="E3077">
        <f>IF(D3077&lt;&gt;"KEEP","",IF(RIGHT(B3077,10)="@gmail.com","Gmail",IF(OR(RIGHT(B3077,12)="@outlook.com",RIGHT(B3077,12)="@hotmail.com",RIGHT(B3077,9)="@live.com"),"Outlook","Domain")))</f>
        <v/>
      </c>
      <c r="F3077">
        <f>IF(B3077="","",IFERROR(RIGHT(B3077,LEN(B3077)-FIND("@",B3077)),""))</f>
        <v/>
      </c>
      <c r="G3077">
        <f>IF(D3077="KEEP",COUNTIF($D$2:D3077,"KEEP"),"")</f>
        <v/>
      </c>
      <c r="H3077">
        <f>IF(D3077="REMOVE",COUNTIF($D$2:D3077,"REMOVE"),"")</f>
        <v/>
      </c>
      <c r="I3077">
        <f>IF(E3077="Gmail",COUNTIF($E$2:E3077,"Gmail"),"")</f>
        <v/>
      </c>
      <c r="J3077">
        <f>IF(E3077="Outlook",COUNTIF($E$2:E3077,"Outlook"),"")</f>
        <v/>
      </c>
      <c r="K3077">
        <f>IF(E3077="Domain",COUNTIF($E$2:E3077,"Domain"),"")</f>
        <v/>
      </c>
    </row>
    <row r="3078">
      <c r="A3078" s="2" t="n"/>
      <c r="B3078">
        <f>LOWER(TRIM(A3078))</f>
        <v/>
      </c>
      <c r="C3078">
        <f>IF(B3078="","",IFERROR(INDEX('Bad Patterns'!$A$2:$A$120,MATCH(1,INDEX(--ISNUMBER(SEARCH('Bad Patterns'!$A$2:$A$120,B3078)),0),0)),""))</f>
        <v/>
      </c>
      <c r="D3078">
        <f>IF(B3078="","",IF(C3078&lt;&gt;"","REMOVE","KEEP"))</f>
        <v/>
      </c>
      <c r="E3078">
        <f>IF(D3078&lt;&gt;"KEEP","",IF(RIGHT(B3078,10)="@gmail.com","Gmail",IF(OR(RIGHT(B3078,12)="@outlook.com",RIGHT(B3078,12)="@hotmail.com",RIGHT(B3078,9)="@live.com"),"Outlook","Domain")))</f>
        <v/>
      </c>
      <c r="F3078">
        <f>IF(B3078="","",IFERROR(RIGHT(B3078,LEN(B3078)-FIND("@",B3078)),""))</f>
        <v/>
      </c>
      <c r="G3078">
        <f>IF(D3078="KEEP",COUNTIF($D$2:D3078,"KEEP"),"")</f>
        <v/>
      </c>
      <c r="H3078">
        <f>IF(D3078="REMOVE",COUNTIF($D$2:D3078,"REMOVE"),"")</f>
        <v/>
      </c>
      <c r="I3078">
        <f>IF(E3078="Gmail",COUNTIF($E$2:E3078,"Gmail"),"")</f>
        <v/>
      </c>
      <c r="J3078">
        <f>IF(E3078="Outlook",COUNTIF($E$2:E3078,"Outlook"),"")</f>
        <v/>
      </c>
      <c r="K3078">
        <f>IF(E3078="Domain",COUNTIF($E$2:E3078,"Domain"),"")</f>
        <v/>
      </c>
    </row>
    <row r="3079">
      <c r="A3079" s="2" t="n"/>
      <c r="B3079">
        <f>LOWER(TRIM(A3079))</f>
        <v/>
      </c>
      <c r="C3079">
        <f>IF(B3079="","",IFERROR(INDEX('Bad Patterns'!$A$2:$A$120,MATCH(1,INDEX(--ISNUMBER(SEARCH('Bad Patterns'!$A$2:$A$120,B3079)),0),0)),""))</f>
        <v/>
      </c>
      <c r="D3079">
        <f>IF(B3079="","",IF(C3079&lt;&gt;"","REMOVE","KEEP"))</f>
        <v/>
      </c>
      <c r="E3079">
        <f>IF(D3079&lt;&gt;"KEEP","",IF(RIGHT(B3079,10)="@gmail.com","Gmail",IF(OR(RIGHT(B3079,12)="@outlook.com",RIGHT(B3079,12)="@hotmail.com",RIGHT(B3079,9)="@live.com"),"Outlook","Domain")))</f>
        <v/>
      </c>
      <c r="F3079">
        <f>IF(B3079="","",IFERROR(RIGHT(B3079,LEN(B3079)-FIND("@",B3079)),""))</f>
        <v/>
      </c>
      <c r="G3079">
        <f>IF(D3079="KEEP",COUNTIF($D$2:D3079,"KEEP"),"")</f>
        <v/>
      </c>
      <c r="H3079">
        <f>IF(D3079="REMOVE",COUNTIF($D$2:D3079,"REMOVE"),"")</f>
        <v/>
      </c>
      <c r="I3079">
        <f>IF(E3079="Gmail",COUNTIF($E$2:E3079,"Gmail"),"")</f>
        <v/>
      </c>
      <c r="J3079">
        <f>IF(E3079="Outlook",COUNTIF($E$2:E3079,"Outlook"),"")</f>
        <v/>
      </c>
      <c r="K3079">
        <f>IF(E3079="Domain",COUNTIF($E$2:E3079,"Domain"),"")</f>
        <v/>
      </c>
    </row>
    <row r="3080">
      <c r="A3080" s="2" t="n"/>
      <c r="B3080">
        <f>LOWER(TRIM(A3080))</f>
        <v/>
      </c>
      <c r="C3080">
        <f>IF(B3080="","",IFERROR(INDEX('Bad Patterns'!$A$2:$A$120,MATCH(1,INDEX(--ISNUMBER(SEARCH('Bad Patterns'!$A$2:$A$120,B3080)),0),0)),""))</f>
        <v/>
      </c>
      <c r="D3080">
        <f>IF(B3080="","",IF(C3080&lt;&gt;"","REMOVE","KEEP"))</f>
        <v/>
      </c>
      <c r="E3080">
        <f>IF(D3080&lt;&gt;"KEEP","",IF(RIGHT(B3080,10)="@gmail.com","Gmail",IF(OR(RIGHT(B3080,12)="@outlook.com",RIGHT(B3080,12)="@hotmail.com",RIGHT(B3080,9)="@live.com"),"Outlook","Domain")))</f>
        <v/>
      </c>
      <c r="F3080">
        <f>IF(B3080="","",IFERROR(RIGHT(B3080,LEN(B3080)-FIND("@",B3080)),""))</f>
        <v/>
      </c>
      <c r="G3080">
        <f>IF(D3080="KEEP",COUNTIF($D$2:D3080,"KEEP"),"")</f>
        <v/>
      </c>
      <c r="H3080">
        <f>IF(D3080="REMOVE",COUNTIF($D$2:D3080,"REMOVE"),"")</f>
        <v/>
      </c>
      <c r="I3080">
        <f>IF(E3080="Gmail",COUNTIF($E$2:E3080,"Gmail"),"")</f>
        <v/>
      </c>
      <c r="J3080">
        <f>IF(E3080="Outlook",COUNTIF($E$2:E3080,"Outlook"),"")</f>
        <v/>
      </c>
      <c r="K3080">
        <f>IF(E3080="Domain",COUNTIF($E$2:E3080,"Domain"),"")</f>
        <v/>
      </c>
    </row>
    <row r="3081">
      <c r="A3081" s="2" t="n"/>
      <c r="B3081">
        <f>LOWER(TRIM(A3081))</f>
        <v/>
      </c>
      <c r="C3081">
        <f>IF(B3081="","",IFERROR(INDEX('Bad Patterns'!$A$2:$A$120,MATCH(1,INDEX(--ISNUMBER(SEARCH('Bad Patterns'!$A$2:$A$120,B3081)),0),0)),""))</f>
        <v/>
      </c>
      <c r="D3081">
        <f>IF(B3081="","",IF(C3081&lt;&gt;"","REMOVE","KEEP"))</f>
        <v/>
      </c>
      <c r="E3081">
        <f>IF(D3081&lt;&gt;"KEEP","",IF(RIGHT(B3081,10)="@gmail.com","Gmail",IF(OR(RIGHT(B3081,12)="@outlook.com",RIGHT(B3081,12)="@hotmail.com",RIGHT(B3081,9)="@live.com"),"Outlook","Domain")))</f>
        <v/>
      </c>
      <c r="F3081">
        <f>IF(B3081="","",IFERROR(RIGHT(B3081,LEN(B3081)-FIND("@",B3081)),""))</f>
        <v/>
      </c>
      <c r="G3081">
        <f>IF(D3081="KEEP",COUNTIF($D$2:D3081,"KEEP"),"")</f>
        <v/>
      </c>
      <c r="H3081">
        <f>IF(D3081="REMOVE",COUNTIF($D$2:D3081,"REMOVE"),"")</f>
        <v/>
      </c>
      <c r="I3081">
        <f>IF(E3081="Gmail",COUNTIF($E$2:E3081,"Gmail"),"")</f>
        <v/>
      </c>
      <c r="J3081">
        <f>IF(E3081="Outlook",COUNTIF($E$2:E3081,"Outlook"),"")</f>
        <v/>
      </c>
      <c r="K3081">
        <f>IF(E3081="Domain",COUNTIF($E$2:E3081,"Domain"),"")</f>
        <v/>
      </c>
    </row>
    <row r="3082">
      <c r="A3082" s="2" t="n"/>
      <c r="B3082">
        <f>LOWER(TRIM(A3082))</f>
        <v/>
      </c>
      <c r="C3082">
        <f>IF(B3082="","",IFERROR(INDEX('Bad Patterns'!$A$2:$A$120,MATCH(1,INDEX(--ISNUMBER(SEARCH('Bad Patterns'!$A$2:$A$120,B3082)),0),0)),""))</f>
        <v/>
      </c>
      <c r="D3082">
        <f>IF(B3082="","",IF(C3082&lt;&gt;"","REMOVE","KEEP"))</f>
        <v/>
      </c>
      <c r="E3082">
        <f>IF(D3082&lt;&gt;"KEEP","",IF(RIGHT(B3082,10)="@gmail.com","Gmail",IF(OR(RIGHT(B3082,12)="@outlook.com",RIGHT(B3082,12)="@hotmail.com",RIGHT(B3082,9)="@live.com"),"Outlook","Domain")))</f>
        <v/>
      </c>
      <c r="F3082">
        <f>IF(B3082="","",IFERROR(RIGHT(B3082,LEN(B3082)-FIND("@",B3082)),""))</f>
        <v/>
      </c>
      <c r="G3082">
        <f>IF(D3082="KEEP",COUNTIF($D$2:D3082,"KEEP"),"")</f>
        <v/>
      </c>
      <c r="H3082">
        <f>IF(D3082="REMOVE",COUNTIF($D$2:D3082,"REMOVE"),"")</f>
        <v/>
      </c>
      <c r="I3082">
        <f>IF(E3082="Gmail",COUNTIF($E$2:E3082,"Gmail"),"")</f>
        <v/>
      </c>
      <c r="J3082">
        <f>IF(E3082="Outlook",COUNTIF($E$2:E3082,"Outlook"),"")</f>
        <v/>
      </c>
      <c r="K3082">
        <f>IF(E3082="Domain",COUNTIF($E$2:E3082,"Domain"),"")</f>
        <v/>
      </c>
    </row>
    <row r="3083">
      <c r="A3083" s="2" t="n"/>
      <c r="B3083">
        <f>LOWER(TRIM(A3083))</f>
        <v/>
      </c>
      <c r="C3083">
        <f>IF(B3083="","",IFERROR(INDEX('Bad Patterns'!$A$2:$A$120,MATCH(1,INDEX(--ISNUMBER(SEARCH('Bad Patterns'!$A$2:$A$120,B3083)),0),0)),""))</f>
        <v/>
      </c>
      <c r="D3083">
        <f>IF(B3083="","",IF(C3083&lt;&gt;"","REMOVE","KEEP"))</f>
        <v/>
      </c>
      <c r="E3083">
        <f>IF(D3083&lt;&gt;"KEEP","",IF(RIGHT(B3083,10)="@gmail.com","Gmail",IF(OR(RIGHT(B3083,12)="@outlook.com",RIGHT(B3083,12)="@hotmail.com",RIGHT(B3083,9)="@live.com"),"Outlook","Domain")))</f>
        <v/>
      </c>
      <c r="F3083">
        <f>IF(B3083="","",IFERROR(RIGHT(B3083,LEN(B3083)-FIND("@",B3083)),""))</f>
        <v/>
      </c>
      <c r="G3083">
        <f>IF(D3083="KEEP",COUNTIF($D$2:D3083,"KEEP"),"")</f>
        <v/>
      </c>
      <c r="H3083">
        <f>IF(D3083="REMOVE",COUNTIF($D$2:D3083,"REMOVE"),"")</f>
        <v/>
      </c>
      <c r="I3083">
        <f>IF(E3083="Gmail",COUNTIF($E$2:E3083,"Gmail"),"")</f>
        <v/>
      </c>
      <c r="J3083">
        <f>IF(E3083="Outlook",COUNTIF($E$2:E3083,"Outlook"),"")</f>
        <v/>
      </c>
      <c r="K3083">
        <f>IF(E3083="Domain",COUNTIF($E$2:E3083,"Domain"),"")</f>
        <v/>
      </c>
    </row>
    <row r="3084">
      <c r="A3084" s="2" t="n"/>
      <c r="B3084">
        <f>LOWER(TRIM(A3084))</f>
        <v/>
      </c>
      <c r="C3084">
        <f>IF(B3084="","",IFERROR(INDEX('Bad Patterns'!$A$2:$A$120,MATCH(1,INDEX(--ISNUMBER(SEARCH('Bad Patterns'!$A$2:$A$120,B3084)),0),0)),""))</f>
        <v/>
      </c>
      <c r="D3084">
        <f>IF(B3084="","",IF(C3084&lt;&gt;"","REMOVE","KEEP"))</f>
        <v/>
      </c>
      <c r="E3084">
        <f>IF(D3084&lt;&gt;"KEEP","",IF(RIGHT(B3084,10)="@gmail.com","Gmail",IF(OR(RIGHT(B3084,12)="@outlook.com",RIGHT(B3084,12)="@hotmail.com",RIGHT(B3084,9)="@live.com"),"Outlook","Domain")))</f>
        <v/>
      </c>
      <c r="F3084">
        <f>IF(B3084="","",IFERROR(RIGHT(B3084,LEN(B3084)-FIND("@",B3084)),""))</f>
        <v/>
      </c>
      <c r="G3084">
        <f>IF(D3084="KEEP",COUNTIF($D$2:D3084,"KEEP"),"")</f>
        <v/>
      </c>
      <c r="H3084">
        <f>IF(D3084="REMOVE",COUNTIF($D$2:D3084,"REMOVE"),"")</f>
        <v/>
      </c>
      <c r="I3084">
        <f>IF(E3084="Gmail",COUNTIF($E$2:E3084,"Gmail"),"")</f>
        <v/>
      </c>
      <c r="J3084">
        <f>IF(E3084="Outlook",COUNTIF($E$2:E3084,"Outlook"),"")</f>
        <v/>
      </c>
      <c r="K3084">
        <f>IF(E3084="Domain",COUNTIF($E$2:E3084,"Domain"),"")</f>
        <v/>
      </c>
    </row>
    <row r="3085">
      <c r="A3085" s="2" t="n"/>
      <c r="B3085">
        <f>LOWER(TRIM(A3085))</f>
        <v/>
      </c>
      <c r="C3085">
        <f>IF(B3085="","",IFERROR(INDEX('Bad Patterns'!$A$2:$A$120,MATCH(1,INDEX(--ISNUMBER(SEARCH('Bad Patterns'!$A$2:$A$120,B3085)),0),0)),""))</f>
        <v/>
      </c>
      <c r="D3085">
        <f>IF(B3085="","",IF(C3085&lt;&gt;"","REMOVE","KEEP"))</f>
        <v/>
      </c>
      <c r="E3085">
        <f>IF(D3085&lt;&gt;"KEEP","",IF(RIGHT(B3085,10)="@gmail.com","Gmail",IF(OR(RIGHT(B3085,12)="@outlook.com",RIGHT(B3085,12)="@hotmail.com",RIGHT(B3085,9)="@live.com"),"Outlook","Domain")))</f>
        <v/>
      </c>
      <c r="F3085">
        <f>IF(B3085="","",IFERROR(RIGHT(B3085,LEN(B3085)-FIND("@",B3085)),""))</f>
        <v/>
      </c>
      <c r="G3085">
        <f>IF(D3085="KEEP",COUNTIF($D$2:D3085,"KEEP"),"")</f>
        <v/>
      </c>
      <c r="H3085">
        <f>IF(D3085="REMOVE",COUNTIF($D$2:D3085,"REMOVE"),"")</f>
        <v/>
      </c>
      <c r="I3085">
        <f>IF(E3085="Gmail",COUNTIF($E$2:E3085,"Gmail"),"")</f>
        <v/>
      </c>
      <c r="J3085">
        <f>IF(E3085="Outlook",COUNTIF($E$2:E3085,"Outlook"),"")</f>
        <v/>
      </c>
      <c r="K3085">
        <f>IF(E3085="Domain",COUNTIF($E$2:E3085,"Domain"),"")</f>
        <v/>
      </c>
    </row>
    <row r="3086">
      <c r="A3086" s="2" t="n"/>
      <c r="B3086">
        <f>LOWER(TRIM(A3086))</f>
        <v/>
      </c>
      <c r="C3086">
        <f>IF(B3086="","",IFERROR(INDEX('Bad Patterns'!$A$2:$A$120,MATCH(1,INDEX(--ISNUMBER(SEARCH('Bad Patterns'!$A$2:$A$120,B3086)),0),0)),""))</f>
        <v/>
      </c>
      <c r="D3086">
        <f>IF(B3086="","",IF(C3086&lt;&gt;"","REMOVE","KEEP"))</f>
        <v/>
      </c>
      <c r="E3086">
        <f>IF(D3086&lt;&gt;"KEEP","",IF(RIGHT(B3086,10)="@gmail.com","Gmail",IF(OR(RIGHT(B3086,12)="@outlook.com",RIGHT(B3086,12)="@hotmail.com",RIGHT(B3086,9)="@live.com"),"Outlook","Domain")))</f>
        <v/>
      </c>
      <c r="F3086">
        <f>IF(B3086="","",IFERROR(RIGHT(B3086,LEN(B3086)-FIND("@",B3086)),""))</f>
        <v/>
      </c>
      <c r="G3086">
        <f>IF(D3086="KEEP",COUNTIF($D$2:D3086,"KEEP"),"")</f>
        <v/>
      </c>
      <c r="H3086">
        <f>IF(D3086="REMOVE",COUNTIF($D$2:D3086,"REMOVE"),"")</f>
        <v/>
      </c>
      <c r="I3086">
        <f>IF(E3086="Gmail",COUNTIF($E$2:E3086,"Gmail"),"")</f>
        <v/>
      </c>
      <c r="J3086">
        <f>IF(E3086="Outlook",COUNTIF($E$2:E3086,"Outlook"),"")</f>
        <v/>
      </c>
      <c r="K3086">
        <f>IF(E3086="Domain",COUNTIF($E$2:E3086,"Domain"),"")</f>
        <v/>
      </c>
    </row>
    <row r="3087">
      <c r="A3087" s="2" t="n"/>
      <c r="B3087">
        <f>LOWER(TRIM(A3087))</f>
        <v/>
      </c>
      <c r="C3087">
        <f>IF(B3087="","",IFERROR(INDEX('Bad Patterns'!$A$2:$A$120,MATCH(1,INDEX(--ISNUMBER(SEARCH('Bad Patterns'!$A$2:$A$120,B3087)),0),0)),""))</f>
        <v/>
      </c>
      <c r="D3087">
        <f>IF(B3087="","",IF(C3087&lt;&gt;"","REMOVE","KEEP"))</f>
        <v/>
      </c>
      <c r="E3087">
        <f>IF(D3087&lt;&gt;"KEEP","",IF(RIGHT(B3087,10)="@gmail.com","Gmail",IF(OR(RIGHT(B3087,12)="@outlook.com",RIGHT(B3087,12)="@hotmail.com",RIGHT(B3087,9)="@live.com"),"Outlook","Domain")))</f>
        <v/>
      </c>
      <c r="F3087">
        <f>IF(B3087="","",IFERROR(RIGHT(B3087,LEN(B3087)-FIND("@",B3087)),""))</f>
        <v/>
      </c>
      <c r="G3087">
        <f>IF(D3087="KEEP",COUNTIF($D$2:D3087,"KEEP"),"")</f>
        <v/>
      </c>
      <c r="H3087">
        <f>IF(D3087="REMOVE",COUNTIF($D$2:D3087,"REMOVE"),"")</f>
        <v/>
      </c>
      <c r="I3087">
        <f>IF(E3087="Gmail",COUNTIF($E$2:E3087,"Gmail"),"")</f>
        <v/>
      </c>
      <c r="J3087">
        <f>IF(E3087="Outlook",COUNTIF($E$2:E3087,"Outlook"),"")</f>
        <v/>
      </c>
      <c r="K3087">
        <f>IF(E3087="Domain",COUNTIF($E$2:E3087,"Domain"),"")</f>
        <v/>
      </c>
    </row>
    <row r="3088">
      <c r="A3088" s="2" t="n"/>
      <c r="B3088">
        <f>LOWER(TRIM(A3088))</f>
        <v/>
      </c>
      <c r="C3088">
        <f>IF(B3088="","",IFERROR(INDEX('Bad Patterns'!$A$2:$A$120,MATCH(1,INDEX(--ISNUMBER(SEARCH('Bad Patterns'!$A$2:$A$120,B3088)),0),0)),""))</f>
        <v/>
      </c>
      <c r="D3088">
        <f>IF(B3088="","",IF(C3088&lt;&gt;"","REMOVE","KEEP"))</f>
        <v/>
      </c>
      <c r="E3088">
        <f>IF(D3088&lt;&gt;"KEEP","",IF(RIGHT(B3088,10)="@gmail.com","Gmail",IF(OR(RIGHT(B3088,12)="@outlook.com",RIGHT(B3088,12)="@hotmail.com",RIGHT(B3088,9)="@live.com"),"Outlook","Domain")))</f>
        <v/>
      </c>
      <c r="F3088">
        <f>IF(B3088="","",IFERROR(RIGHT(B3088,LEN(B3088)-FIND("@",B3088)),""))</f>
        <v/>
      </c>
      <c r="G3088">
        <f>IF(D3088="KEEP",COUNTIF($D$2:D3088,"KEEP"),"")</f>
        <v/>
      </c>
      <c r="H3088">
        <f>IF(D3088="REMOVE",COUNTIF($D$2:D3088,"REMOVE"),"")</f>
        <v/>
      </c>
      <c r="I3088">
        <f>IF(E3088="Gmail",COUNTIF($E$2:E3088,"Gmail"),"")</f>
        <v/>
      </c>
      <c r="J3088">
        <f>IF(E3088="Outlook",COUNTIF($E$2:E3088,"Outlook"),"")</f>
        <v/>
      </c>
      <c r="K3088">
        <f>IF(E3088="Domain",COUNTIF($E$2:E3088,"Domain"),"")</f>
        <v/>
      </c>
    </row>
    <row r="3089">
      <c r="A3089" s="2" t="n"/>
      <c r="B3089">
        <f>LOWER(TRIM(A3089))</f>
        <v/>
      </c>
      <c r="C3089">
        <f>IF(B3089="","",IFERROR(INDEX('Bad Patterns'!$A$2:$A$120,MATCH(1,INDEX(--ISNUMBER(SEARCH('Bad Patterns'!$A$2:$A$120,B3089)),0),0)),""))</f>
        <v/>
      </c>
      <c r="D3089">
        <f>IF(B3089="","",IF(C3089&lt;&gt;"","REMOVE","KEEP"))</f>
        <v/>
      </c>
      <c r="E3089">
        <f>IF(D3089&lt;&gt;"KEEP","",IF(RIGHT(B3089,10)="@gmail.com","Gmail",IF(OR(RIGHT(B3089,12)="@outlook.com",RIGHT(B3089,12)="@hotmail.com",RIGHT(B3089,9)="@live.com"),"Outlook","Domain")))</f>
        <v/>
      </c>
      <c r="F3089">
        <f>IF(B3089="","",IFERROR(RIGHT(B3089,LEN(B3089)-FIND("@",B3089)),""))</f>
        <v/>
      </c>
      <c r="G3089">
        <f>IF(D3089="KEEP",COUNTIF($D$2:D3089,"KEEP"),"")</f>
        <v/>
      </c>
      <c r="H3089">
        <f>IF(D3089="REMOVE",COUNTIF($D$2:D3089,"REMOVE"),"")</f>
        <v/>
      </c>
      <c r="I3089">
        <f>IF(E3089="Gmail",COUNTIF($E$2:E3089,"Gmail"),"")</f>
        <v/>
      </c>
      <c r="J3089">
        <f>IF(E3089="Outlook",COUNTIF($E$2:E3089,"Outlook"),"")</f>
        <v/>
      </c>
      <c r="K3089">
        <f>IF(E3089="Domain",COUNTIF($E$2:E3089,"Domain"),"")</f>
        <v/>
      </c>
    </row>
    <row r="3090">
      <c r="A3090" s="2" t="n"/>
      <c r="B3090">
        <f>LOWER(TRIM(A3090))</f>
        <v/>
      </c>
      <c r="C3090">
        <f>IF(B3090="","",IFERROR(INDEX('Bad Patterns'!$A$2:$A$120,MATCH(1,INDEX(--ISNUMBER(SEARCH('Bad Patterns'!$A$2:$A$120,B3090)),0),0)),""))</f>
        <v/>
      </c>
      <c r="D3090">
        <f>IF(B3090="","",IF(C3090&lt;&gt;"","REMOVE","KEEP"))</f>
        <v/>
      </c>
      <c r="E3090">
        <f>IF(D3090&lt;&gt;"KEEP","",IF(RIGHT(B3090,10)="@gmail.com","Gmail",IF(OR(RIGHT(B3090,12)="@outlook.com",RIGHT(B3090,12)="@hotmail.com",RIGHT(B3090,9)="@live.com"),"Outlook","Domain")))</f>
        <v/>
      </c>
      <c r="F3090">
        <f>IF(B3090="","",IFERROR(RIGHT(B3090,LEN(B3090)-FIND("@",B3090)),""))</f>
        <v/>
      </c>
      <c r="G3090">
        <f>IF(D3090="KEEP",COUNTIF($D$2:D3090,"KEEP"),"")</f>
        <v/>
      </c>
      <c r="H3090">
        <f>IF(D3090="REMOVE",COUNTIF($D$2:D3090,"REMOVE"),"")</f>
        <v/>
      </c>
      <c r="I3090">
        <f>IF(E3090="Gmail",COUNTIF($E$2:E3090,"Gmail"),"")</f>
        <v/>
      </c>
      <c r="J3090">
        <f>IF(E3090="Outlook",COUNTIF($E$2:E3090,"Outlook"),"")</f>
        <v/>
      </c>
      <c r="K3090">
        <f>IF(E3090="Domain",COUNTIF($E$2:E3090,"Domain"),"")</f>
        <v/>
      </c>
    </row>
    <row r="3091">
      <c r="A3091" s="2" t="n"/>
      <c r="B3091">
        <f>LOWER(TRIM(A3091))</f>
        <v/>
      </c>
      <c r="C3091">
        <f>IF(B3091="","",IFERROR(INDEX('Bad Patterns'!$A$2:$A$120,MATCH(1,INDEX(--ISNUMBER(SEARCH('Bad Patterns'!$A$2:$A$120,B3091)),0),0)),""))</f>
        <v/>
      </c>
      <c r="D3091">
        <f>IF(B3091="","",IF(C3091&lt;&gt;"","REMOVE","KEEP"))</f>
        <v/>
      </c>
      <c r="E3091">
        <f>IF(D3091&lt;&gt;"KEEP","",IF(RIGHT(B3091,10)="@gmail.com","Gmail",IF(OR(RIGHT(B3091,12)="@outlook.com",RIGHT(B3091,12)="@hotmail.com",RIGHT(B3091,9)="@live.com"),"Outlook","Domain")))</f>
        <v/>
      </c>
      <c r="F3091">
        <f>IF(B3091="","",IFERROR(RIGHT(B3091,LEN(B3091)-FIND("@",B3091)),""))</f>
        <v/>
      </c>
      <c r="G3091">
        <f>IF(D3091="KEEP",COUNTIF($D$2:D3091,"KEEP"),"")</f>
        <v/>
      </c>
      <c r="H3091">
        <f>IF(D3091="REMOVE",COUNTIF($D$2:D3091,"REMOVE"),"")</f>
        <v/>
      </c>
      <c r="I3091">
        <f>IF(E3091="Gmail",COUNTIF($E$2:E3091,"Gmail"),"")</f>
        <v/>
      </c>
      <c r="J3091">
        <f>IF(E3091="Outlook",COUNTIF($E$2:E3091,"Outlook"),"")</f>
        <v/>
      </c>
      <c r="K3091">
        <f>IF(E3091="Domain",COUNTIF($E$2:E3091,"Domain"),"")</f>
        <v/>
      </c>
    </row>
    <row r="3092">
      <c r="A3092" s="2" t="n"/>
      <c r="B3092">
        <f>LOWER(TRIM(A3092))</f>
        <v/>
      </c>
      <c r="C3092">
        <f>IF(B3092="","",IFERROR(INDEX('Bad Patterns'!$A$2:$A$120,MATCH(1,INDEX(--ISNUMBER(SEARCH('Bad Patterns'!$A$2:$A$120,B3092)),0),0)),""))</f>
        <v/>
      </c>
      <c r="D3092">
        <f>IF(B3092="","",IF(C3092&lt;&gt;"","REMOVE","KEEP"))</f>
        <v/>
      </c>
      <c r="E3092">
        <f>IF(D3092&lt;&gt;"KEEP","",IF(RIGHT(B3092,10)="@gmail.com","Gmail",IF(OR(RIGHT(B3092,12)="@outlook.com",RIGHT(B3092,12)="@hotmail.com",RIGHT(B3092,9)="@live.com"),"Outlook","Domain")))</f>
        <v/>
      </c>
      <c r="F3092">
        <f>IF(B3092="","",IFERROR(RIGHT(B3092,LEN(B3092)-FIND("@",B3092)),""))</f>
        <v/>
      </c>
      <c r="G3092">
        <f>IF(D3092="KEEP",COUNTIF($D$2:D3092,"KEEP"),"")</f>
        <v/>
      </c>
      <c r="H3092">
        <f>IF(D3092="REMOVE",COUNTIF($D$2:D3092,"REMOVE"),"")</f>
        <v/>
      </c>
      <c r="I3092">
        <f>IF(E3092="Gmail",COUNTIF($E$2:E3092,"Gmail"),"")</f>
        <v/>
      </c>
      <c r="J3092">
        <f>IF(E3092="Outlook",COUNTIF($E$2:E3092,"Outlook"),"")</f>
        <v/>
      </c>
      <c r="K3092">
        <f>IF(E3092="Domain",COUNTIF($E$2:E3092,"Domain"),"")</f>
        <v/>
      </c>
    </row>
    <row r="3093">
      <c r="A3093" s="2" t="n"/>
      <c r="B3093">
        <f>LOWER(TRIM(A3093))</f>
        <v/>
      </c>
      <c r="C3093">
        <f>IF(B3093="","",IFERROR(INDEX('Bad Patterns'!$A$2:$A$120,MATCH(1,INDEX(--ISNUMBER(SEARCH('Bad Patterns'!$A$2:$A$120,B3093)),0),0)),""))</f>
        <v/>
      </c>
      <c r="D3093">
        <f>IF(B3093="","",IF(C3093&lt;&gt;"","REMOVE","KEEP"))</f>
        <v/>
      </c>
      <c r="E3093">
        <f>IF(D3093&lt;&gt;"KEEP","",IF(RIGHT(B3093,10)="@gmail.com","Gmail",IF(OR(RIGHT(B3093,12)="@outlook.com",RIGHT(B3093,12)="@hotmail.com",RIGHT(B3093,9)="@live.com"),"Outlook","Domain")))</f>
        <v/>
      </c>
      <c r="F3093">
        <f>IF(B3093="","",IFERROR(RIGHT(B3093,LEN(B3093)-FIND("@",B3093)),""))</f>
        <v/>
      </c>
      <c r="G3093">
        <f>IF(D3093="KEEP",COUNTIF($D$2:D3093,"KEEP"),"")</f>
        <v/>
      </c>
      <c r="H3093">
        <f>IF(D3093="REMOVE",COUNTIF($D$2:D3093,"REMOVE"),"")</f>
        <v/>
      </c>
      <c r="I3093">
        <f>IF(E3093="Gmail",COUNTIF($E$2:E3093,"Gmail"),"")</f>
        <v/>
      </c>
      <c r="J3093">
        <f>IF(E3093="Outlook",COUNTIF($E$2:E3093,"Outlook"),"")</f>
        <v/>
      </c>
      <c r="K3093">
        <f>IF(E3093="Domain",COUNTIF($E$2:E3093,"Domain"),"")</f>
        <v/>
      </c>
    </row>
    <row r="3094">
      <c r="A3094" s="2" t="n"/>
      <c r="B3094">
        <f>LOWER(TRIM(A3094))</f>
        <v/>
      </c>
      <c r="C3094">
        <f>IF(B3094="","",IFERROR(INDEX('Bad Patterns'!$A$2:$A$120,MATCH(1,INDEX(--ISNUMBER(SEARCH('Bad Patterns'!$A$2:$A$120,B3094)),0),0)),""))</f>
        <v/>
      </c>
      <c r="D3094">
        <f>IF(B3094="","",IF(C3094&lt;&gt;"","REMOVE","KEEP"))</f>
        <v/>
      </c>
      <c r="E3094">
        <f>IF(D3094&lt;&gt;"KEEP","",IF(RIGHT(B3094,10)="@gmail.com","Gmail",IF(OR(RIGHT(B3094,12)="@outlook.com",RIGHT(B3094,12)="@hotmail.com",RIGHT(B3094,9)="@live.com"),"Outlook","Domain")))</f>
        <v/>
      </c>
      <c r="F3094">
        <f>IF(B3094="","",IFERROR(RIGHT(B3094,LEN(B3094)-FIND("@",B3094)),""))</f>
        <v/>
      </c>
      <c r="G3094">
        <f>IF(D3094="KEEP",COUNTIF($D$2:D3094,"KEEP"),"")</f>
        <v/>
      </c>
      <c r="H3094">
        <f>IF(D3094="REMOVE",COUNTIF($D$2:D3094,"REMOVE"),"")</f>
        <v/>
      </c>
      <c r="I3094">
        <f>IF(E3094="Gmail",COUNTIF($E$2:E3094,"Gmail"),"")</f>
        <v/>
      </c>
      <c r="J3094">
        <f>IF(E3094="Outlook",COUNTIF($E$2:E3094,"Outlook"),"")</f>
        <v/>
      </c>
      <c r="K3094">
        <f>IF(E3094="Domain",COUNTIF($E$2:E3094,"Domain"),"")</f>
        <v/>
      </c>
    </row>
    <row r="3095">
      <c r="A3095" s="2" t="n"/>
      <c r="B3095">
        <f>LOWER(TRIM(A3095))</f>
        <v/>
      </c>
      <c r="C3095">
        <f>IF(B3095="","",IFERROR(INDEX('Bad Patterns'!$A$2:$A$120,MATCH(1,INDEX(--ISNUMBER(SEARCH('Bad Patterns'!$A$2:$A$120,B3095)),0),0)),""))</f>
        <v/>
      </c>
      <c r="D3095">
        <f>IF(B3095="","",IF(C3095&lt;&gt;"","REMOVE","KEEP"))</f>
        <v/>
      </c>
      <c r="E3095">
        <f>IF(D3095&lt;&gt;"KEEP","",IF(RIGHT(B3095,10)="@gmail.com","Gmail",IF(OR(RIGHT(B3095,12)="@outlook.com",RIGHT(B3095,12)="@hotmail.com",RIGHT(B3095,9)="@live.com"),"Outlook","Domain")))</f>
        <v/>
      </c>
      <c r="F3095">
        <f>IF(B3095="","",IFERROR(RIGHT(B3095,LEN(B3095)-FIND("@",B3095)),""))</f>
        <v/>
      </c>
      <c r="G3095">
        <f>IF(D3095="KEEP",COUNTIF($D$2:D3095,"KEEP"),"")</f>
        <v/>
      </c>
      <c r="H3095">
        <f>IF(D3095="REMOVE",COUNTIF($D$2:D3095,"REMOVE"),"")</f>
        <v/>
      </c>
      <c r="I3095">
        <f>IF(E3095="Gmail",COUNTIF($E$2:E3095,"Gmail"),"")</f>
        <v/>
      </c>
      <c r="J3095">
        <f>IF(E3095="Outlook",COUNTIF($E$2:E3095,"Outlook"),"")</f>
        <v/>
      </c>
      <c r="K3095">
        <f>IF(E3095="Domain",COUNTIF($E$2:E3095,"Domain"),"")</f>
        <v/>
      </c>
    </row>
    <row r="3096">
      <c r="A3096" s="2" t="n"/>
      <c r="B3096">
        <f>LOWER(TRIM(A3096))</f>
        <v/>
      </c>
      <c r="C3096">
        <f>IF(B3096="","",IFERROR(INDEX('Bad Patterns'!$A$2:$A$120,MATCH(1,INDEX(--ISNUMBER(SEARCH('Bad Patterns'!$A$2:$A$120,B3096)),0),0)),""))</f>
        <v/>
      </c>
      <c r="D3096">
        <f>IF(B3096="","",IF(C3096&lt;&gt;"","REMOVE","KEEP"))</f>
        <v/>
      </c>
      <c r="E3096">
        <f>IF(D3096&lt;&gt;"KEEP","",IF(RIGHT(B3096,10)="@gmail.com","Gmail",IF(OR(RIGHT(B3096,12)="@outlook.com",RIGHT(B3096,12)="@hotmail.com",RIGHT(B3096,9)="@live.com"),"Outlook","Domain")))</f>
        <v/>
      </c>
      <c r="F3096">
        <f>IF(B3096="","",IFERROR(RIGHT(B3096,LEN(B3096)-FIND("@",B3096)),""))</f>
        <v/>
      </c>
      <c r="G3096">
        <f>IF(D3096="KEEP",COUNTIF($D$2:D3096,"KEEP"),"")</f>
        <v/>
      </c>
      <c r="H3096">
        <f>IF(D3096="REMOVE",COUNTIF($D$2:D3096,"REMOVE"),"")</f>
        <v/>
      </c>
      <c r="I3096">
        <f>IF(E3096="Gmail",COUNTIF($E$2:E3096,"Gmail"),"")</f>
        <v/>
      </c>
      <c r="J3096">
        <f>IF(E3096="Outlook",COUNTIF($E$2:E3096,"Outlook"),"")</f>
        <v/>
      </c>
      <c r="K3096">
        <f>IF(E3096="Domain",COUNTIF($E$2:E3096,"Domain"),"")</f>
        <v/>
      </c>
    </row>
    <row r="3097">
      <c r="A3097" s="2" t="n"/>
      <c r="B3097">
        <f>LOWER(TRIM(A3097))</f>
        <v/>
      </c>
      <c r="C3097">
        <f>IF(B3097="","",IFERROR(INDEX('Bad Patterns'!$A$2:$A$120,MATCH(1,INDEX(--ISNUMBER(SEARCH('Bad Patterns'!$A$2:$A$120,B3097)),0),0)),""))</f>
        <v/>
      </c>
      <c r="D3097">
        <f>IF(B3097="","",IF(C3097&lt;&gt;"","REMOVE","KEEP"))</f>
        <v/>
      </c>
      <c r="E3097">
        <f>IF(D3097&lt;&gt;"KEEP","",IF(RIGHT(B3097,10)="@gmail.com","Gmail",IF(OR(RIGHT(B3097,12)="@outlook.com",RIGHT(B3097,12)="@hotmail.com",RIGHT(B3097,9)="@live.com"),"Outlook","Domain")))</f>
        <v/>
      </c>
      <c r="F3097">
        <f>IF(B3097="","",IFERROR(RIGHT(B3097,LEN(B3097)-FIND("@",B3097)),""))</f>
        <v/>
      </c>
      <c r="G3097">
        <f>IF(D3097="KEEP",COUNTIF($D$2:D3097,"KEEP"),"")</f>
        <v/>
      </c>
      <c r="H3097">
        <f>IF(D3097="REMOVE",COUNTIF($D$2:D3097,"REMOVE"),"")</f>
        <v/>
      </c>
      <c r="I3097">
        <f>IF(E3097="Gmail",COUNTIF($E$2:E3097,"Gmail"),"")</f>
        <v/>
      </c>
      <c r="J3097">
        <f>IF(E3097="Outlook",COUNTIF($E$2:E3097,"Outlook"),"")</f>
        <v/>
      </c>
      <c r="K3097">
        <f>IF(E3097="Domain",COUNTIF($E$2:E3097,"Domain"),"")</f>
        <v/>
      </c>
    </row>
    <row r="3098">
      <c r="A3098" s="2" t="n"/>
      <c r="B3098">
        <f>LOWER(TRIM(A3098))</f>
        <v/>
      </c>
      <c r="C3098">
        <f>IF(B3098="","",IFERROR(INDEX('Bad Patterns'!$A$2:$A$120,MATCH(1,INDEX(--ISNUMBER(SEARCH('Bad Patterns'!$A$2:$A$120,B3098)),0),0)),""))</f>
        <v/>
      </c>
      <c r="D3098">
        <f>IF(B3098="","",IF(C3098&lt;&gt;"","REMOVE","KEEP"))</f>
        <v/>
      </c>
      <c r="E3098">
        <f>IF(D3098&lt;&gt;"KEEP","",IF(RIGHT(B3098,10)="@gmail.com","Gmail",IF(OR(RIGHT(B3098,12)="@outlook.com",RIGHT(B3098,12)="@hotmail.com",RIGHT(B3098,9)="@live.com"),"Outlook","Domain")))</f>
        <v/>
      </c>
      <c r="F3098">
        <f>IF(B3098="","",IFERROR(RIGHT(B3098,LEN(B3098)-FIND("@",B3098)),""))</f>
        <v/>
      </c>
      <c r="G3098">
        <f>IF(D3098="KEEP",COUNTIF($D$2:D3098,"KEEP"),"")</f>
        <v/>
      </c>
      <c r="H3098">
        <f>IF(D3098="REMOVE",COUNTIF($D$2:D3098,"REMOVE"),"")</f>
        <v/>
      </c>
      <c r="I3098">
        <f>IF(E3098="Gmail",COUNTIF($E$2:E3098,"Gmail"),"")</f>
        <v/>
      </c>
      <c r="J3098">
        <f>IF(E3098="Outlook",COUNTIF($E$2:E3098,"Outlook"),"")</f>
        <v/>
      </c>
      <c r="K3098">
        <f>IF(E3098="Domain",COUNTIF($E$2:E3098,"Domain"),"")</f>
        <v/>
      </c>
    </row>
    <row r="3099">
      <c r="A3099" s="2" t="n"/>
      <c r="B3099">
        <f>LOWER(TRIM(A3099))</f>
        <v/>
      </c>
      <c r="C3099">
        <f>IF(B3099="","",IFERROR(INDEX('Bad Patterns'!$A$2:$A$120,MATCH(1,INDEX(--ISNUMBER(SEARCH('Bad Patterns'!$A$2:$A$120,B3099)),0),0)),""))</f>
        <v/>
      </c>
      <c r="D3099">
        <f>IF(B3099="","",IF(C3099&lt;&gt;"","REMOVE","KEEP"))</f>
        <v/>
      </c>
      <c r="E3099">
        <f>IF(D3099&lt;&gt;"KEEP","",IF(RIGHT(B3099,10)="@gmail.com","Gmail",IF(OR(RIGHT(B3099,12)="@outlook.com",RIGHT(B3099,12)="@hotmail.com",RIGHT(B3099,9)="@live.com"),"Outlook","Domain")))</f>
        <v/>
      </c>
      <c r="F3099">
        <f>IF(B3099="","",IFERROR(RIGHT(B3099,LEN(B3099)-FIND("@",B3099)),""))</f>
        <v/>
      </c>
      <c r="G3099">
        <f>IF(D3099="KEEP",COUNTIF($D$2:D3099,"KEEP"),"")</f>
        <v/>
      </c>
      <c r="H3099">
        <f>IF(D3099="REMOVE",COUNTIF($D$2:D3099,"REMOVE"),"")</f>
        <v/>
      </c>
      <c r="I3099">
        <f>IF(E3099="Gmail",COUNTIF($E$2:E3099,"Gmail"),"")</f>
        <v/>
      </c>
      <c r="J3099">
        <f>IF(E3099="Outlook",COUNTIF($E$2:E3099,"Outlook"),"")</f>
        <v/>
      </c>
      <c r="K3099">
        <f>IF(E3099="Domain",COUNTIF($E$2:E3099,"Domain"),"")</f>
        <v/>
      </c>
    </row>
    <row r="3100">
      <c r="A3100" s="2" t="n"/>
      <c r="B3100">
        <f>LOWER(TRIM(A3100))</f>
        <v/>
      </c>
      <c r="C3100">
        <f>IF(B3100="","",IFERROR(INDEX('Bad Patterns'!$A$2:$A$120,MATCH(1,INDEX(--ISNUMBER(SEARCH('Bad Patterns'!$A$2:$A$120,B3100)),0),0)),""))</f>
        <v/>
      </c>
      <c r="D3100">
        <f>IF(B3100="","",IF(C3100&lt;&gt;"","REMOVE","KEEP"))</f>
        <v/>
      </c>
      <c r="E3100">
        <f>IF(D3100&lt;&gt;"KEEP","",IF(RIGHT(B3100,10)="@gmail.com","Gmail",IF(OR(RIGHT(B3100,12)="@outlook.com",RIGHT(B3100,12)="@hotmail.com",RIGHT(B3100,9)="@live.com"),"Outlook","Domain")))</f>
        <v/>
      </c>
      <c r="F3100">
        <f>IF(B3100="","",IFERROR(RIGHT(B3100,LEN(B3100)-FIND("@",B3100)),""))</f>
        <v/>
      </c>
      <c r="G3100">
        <f>IF(D3100="KEEP",COUNTIF($D$2:D3100,"KEEP"),"")</f>
        <v/>
      </c>
      <c r="H3100">
        <f>IF(D3100="REMOVE",COUNTIF($D$2:D3100,"REMOVE"),"")</f>
        <v/>
      </c>
      <c r="I3100">
        <f>IF(E3100="Gmail",COUNTIF($E$2:E3100,"Gmail"),"")</f>
        <v/>
      </c>
      <c r="J3100">
        <f>IF(E3100="Outlook",COUNTIF($E$2:E3100,"Outlook"),"")</f>
        <v/>
      </c>
      <c r="K3100">
        <f>IF(E3100="Domain",COUNTIF($E$2:E3100,"Domain"),"")</f>
        <v/>
      </c>
    </row>
    <row r="3101">
      <c r="A3101" s="2" t="n"/>
      <c r="B3101">
        <f>LOWER(TRIM(A3101))</f>
        <v/>
      </c>
      <c r="C3101">
        <f>IF(B3101="","",IFERROR(INDEX('Bad Patterns'!$A$2:$A$120,MATCH(1,INDEX(--ISNUMBER(SEARCH('Bad Patterns'!$A$2:$A$120,B3101)),0),0)),""))</f>
        <v/>
      </c>
      <c r="D3101">
        <f>IF(B3101="","",IF(C3101&lt;&gt;"","REMOVE","KEEP"))</f>
        <v/>
      </c>
      <c r="E3101">
        <f>IF(D3101&lt;&gt;"KEEP","",IF(RIGHT(B3101,10)="@gmail.com","Gmail",IF(OR(RIGHT(B3101,12)="@outlook.com",RIGHT(B3101,12)="@hotmail.com",RIGHT(B3101,9)="@live.com"),"Outlook","Domain")))</f>
        <v/>
      </c>
      <c r="F3101">
        <f>IF(B3101="","",IFERROR(RIGHT(B3101,LEN(B3101)-FIND("@",B3101)),""))</f>
        <v/>
      </c>
      <c r="G3101">
        <f>IF(D3101="KEEP",COUNTIF($D$2:D3101,"KEEP"),"")</f>
        <v/>
      </c>
      <c r="H3101">
        <f>IF(D3101="REMOVE",COUNTIF($D$2:D3101,"REMOVE"),"")</f>
        <v/>
      </c>
      <c r="I3101">
        <f>IF(E3101="Gmail",COUNTIF($E$2:E3101,"Gmail"),"")</f>
        <v/>
      </c>
      <c r="J3101">
        <f>IF(E3101="Outlook",COUNTIF($E$2:E3101,"Outlook"),"")</f>
        <v/>
      </c>
      <c r="K3101">
        <f>IF(E3101="Domain",COUNTIF($E$2:E3101,"Domain"),"")</f>
        <v/>
      </c>
    </row>
    <row r="3102">
      <c r="A3102" s="2" t="n"/>
      <c r="B3102">
        <f>LOWER(TRIM(A3102))</f>
        <v/>
      </c>
      <c r="C3102">
        <f>IF(B3102="","",IFERROR(INDEX('Bad Patterns'!$A$2:$A$120,MATCH(1,INDEX(--ISNUMBER(SEARCH('Bad Patterns'!$A$2:$A$120,B3102)),0),0)),""))</f>
        <v/>
      </c>
      <c r="D3102">
        <f>IF(B3102="","",IF(C3102&lt;&gt;"","REMOVE","KEEP"))</f>
        <v/>
      </c>
      <c r="E3102">
        <f>IF(D3102&lt;&gt;"KEEP","",IF(RIGHT(B3102,10)="@gmail.com","Gmail",IF(OR(RIGHT(B3102,12)="@outlook.com",RIGHT(B3102,12)="@hotmail.com",RIGHT(B3102,9)="@live.com"),"Outlook","Domain")))</f>
        <v/>
      </c>
      <c r="F3102">
        <f>IF(B3102="","",IFERROR(RIGHT(B3102,LEN(B3102)-FIND("@",B3102)),""))</f>
        <v/>
      </c>
      <c r="G3102">
        <f>IF(D3102="KEEP",COUNTIF($D$2:D3102,"KEEP"),"")</f>
        <v/>
      </c>
      <c r="H3102">
        <f>IF(D3102="REMOVE",COUNTIF($D$2:D3102,"REMOVE"),"")</f>
        <v/>
      </c>
      <c r="I3102">
        <f>IF(E3102="Gmail",COUNTIF($E$2:E3102,"Gmail"),"")</f>
        <v/>
      </c>
      <c r="J3102">
        <f>IF(E3102="Outlook",COUNTIF($E$2:E3102,"Outlook"),"")</f>
        <v/>
      </c>
      <c r="K3102">
        <f>IF(E3102="Domain",COUNTIF($E$2:E3102,"Domain"),"")</f>
        <v/>
      </c>
    </row>
    <row r="3103">
      <c r="A3103" s="2" t="n"/>
      <c r="B3103">
        <f>LOWER(TRIM(A3103))</f>
        <v/>
      </c>
      <c r="C3103">
        <f>IF(B3103="","",IFERROR(INDEX('Bad Patterns'!$A$2:$A$120,MATCH(1,INDEX(--ISNUMBER(SEARCH('Bad Patterns'!$A$2:$A$120,B3103)),0),0)),""))</f>
        <v/>
      </c>
      <c r="D3103">
        <f>IF(B3103="","",IF(C3103&lt;&gt;"","REMOVE","KEEP"))</f>
        <v/>
      </c>
      <c r="E3103">
        <f>IF(D3103&lt;&gt;"KEEP","",IF(RIGHT(B3103,10)="@gmail.com","Gmail",IF(OR(RIGHT(B3103,12)="@outlook.com",RIGHT(B3103,12)="@hotmail.com",RIGHT(B3103,9)="@live.com"),"Outlook","Domain")))</f>
        <v/>
      </c>
      <c r="F3103">
        <f>IF(B3103="","",IFERROR(RIGHT(B3103,LEN(B3103)-FIND("@",B3103)),""))</f>
        <v/>
      </c>
      <c r="G3103">
        <f>IF(D3103="KEEP",COUNTIF($D$2:D3103,"KEEP"),"")</f>
        <v/>
      </c>
      <c r="H3103">
        <f>IF(D3103="REMOVE",COUNTIF($D$2:D3103,"REMOVE"),"")</f>
        <v/>
      </c>
      <c r="I3103">
        <f>IF(E3103="Gmail",COUNTIF($E$2:E3103,"Gmail"),"")</f>
        <v/>
      </c>
      <c r="J3103">
        <f>IF(E3103="Outlook",COUNTIF($E$2:E3103,"Outlook"),"")</f>
        <v/>
      </c>
      <c r="K3103">
        <f>IF(E3103="Domain",COUNTIF($E$2:E3103,"Domain"),"")</f>
        <v/>
      </c>
    </row>
    <row r="3104">
      <c r="A3104" s="2" t="n"/>
      <c r="B3104">
        <f>LOWER(TRIM(A3104))</f>
        <v/>
      </c>
      <c r="C3104">
        <f>IF(B3104="","",IFERROR(INDEX('Bad Patterns'!$A$2:$A$120,MATCH(1,INDEX(--ISNUMBER(SEARCH('Bad Patterns'!$A$2:$A$120,B3104)),0),0)),""))</f>
        <v/>
      </c>
      <c r="D3104">
        <f>IF(B3104="","",IF(C3104&lt;&gt;"","REMOVE","KEEP"))</f>
        <v/>
      </c>
      <c r="E3104">
        <f>IF(D3104&lt;&gt;"KEEP","",IF(RIGHT(B3104,10)="@gmail.com","Gmail",IF(OR(RIGHT(B3104,12)="@outlook.com",RIGHT(B3104,12)="@hotmail.com",RIGHT(B3104,9)="@live.com"),"Outlook","Domain")))</f>
        <v/>
      </c>
      <c r="F3104">
        <f>IF(B3104="","",IFERROR(RIGHT(B3104,LEN(B3104)-FIND("@",B3104)),""))</f>
        <v/>
      </c>
      <c r="G3104">
        <f>IF(D3104="KEEP",COUNTIF($D$2:D3104,"KEEP"),"")</f>
        <v/>
      </c>
      <c r="H3104">
        <f>IF(D3104="REMOVE",COUNTIF($D$2:D3104,"REMOVE"),"")</f>
        <v/>
      </c>
      <c r="I3104">
        <f>IF(E3104="Gmail",COUNTIF($E$2:E3104,"Gmail"),"")</f>
        <v/>
      </c>
      <c r="J3104">
        <f>IF(E3104="Outlook",COUNTIF($E$2:E3104,"Outlook"),"")</f>
        <v/>
      </c>
      <c r="K3104">
        <f>IF(E3104="Domain",COUNTIF($E$2:E3104,"Domain"),"")</f>
        <v/>
      </c>
    </row>
    <row r="3105">
      <c r="A3105" s="2" t="n"/>
      <c r="B3105">
        <f>LOWER(TRIM(A3105))</f>
        <v/>
      </c>
      <c r="C3105">
        <f>IF(B3105="","",IFERROR(INDEX('Bad Patterns'!$A$2:$A$120,MATCH(1,INDEX(--ISNUMBER(SEARCH('Bad Patterns'!$A$2:$A$120,B3105)),0),0)),""))</f>
        <v/>
      </c>
      <c r="D3105">
        <f>IF(B3105="","",IF(C3105&lt;&gt;"","REMOVE","KEEP"))</f>
        <v/>
      </c>
      <c r="E3105">
        <f>IF(D3105&lt;&gt;"KEEP","",IF(RIGHT(B3105,10)="@gmail.com","Gmail",IF(OR(RIGHT(B3105,12)="@outlook.com",RIGHT(B3105,12)="@hotmail.com",RIGHT(B3105,9)="@live.com"),"Outlook","Domain")))</f>
        <v/>
      </c>
      <c r="F3105">
        <f>IF(B3105="","",IFERROR(RIGHT(B3105,LEN(B3105)-FIND("@",B3105)),""))</f>
        <v/>
      </c>
      <c r="G3105">
        <f>IF(D3105="KEEP",COUNTIF($D$2:D3105,"KEEP"),"")</f>
        <v/>
      </c>
      <c r="H3105">
        <f>IF(D3105="REMOVE",COUNTIF($D$2:D3105,"REMOVE"),"")</f>
        <v/>
      </c>
      <c r="I3105">
        <f>IF(E3105="Gmail",COUNTIF($E$2:E3105,"Gmail"),"")</f>
        <v/>
      </c>
      <c r="J3105">
        <f>IF(E3105="Outlook",COUNTIF($E$2:E3105,"Outlook"),"")</f>
        <v/>
      </c>
      <c r="K3105">
        <f>IF(E3105="Domain",COUNTIF($E$2:E3105,"Domain"),"")</f>
        <v/>
      </c>
    </row>
    <row r="3106">
      <c r="A3106" s="2" t="n"/>
      <c r="B3106">
        <f>LOWER(TRIM(A3106))</f>
        <v/>
      </c>
      <c r="C3106">
        <f>IF(B3106="","",IFERROR(INDEX('Bad Patterns'!$A$2:$A$120,MATCH(1,INDEX(--ISNUMBER(SEARCH('Bad Patterns'!$A$2:$A$120,B3106)),0),0)),""))</f>
        <v/>
      </c>
      <c r="D3106">
        <f>IF(B3106="","",IF(C3106&lt;&gt;"","REMOVE","KEEP"))</f>
        <v/>
      </c>
      <c r="E3106">
        <f>IF(D3106&lt;&gt;"KEEP","",IF(RIGHT(B3106,10)="@gmail.com","Gmail",IF(OR(RIGHT(B3106,12)="@outlook.com",RIGHT(B3106,12)="@hotmail.com",RIGHT(B3106,9)="@live.com"),"Outlook","Domain")))</f>
        <v/>
      </c>
      <c r="F3106">
        <f>IF(B3106="","",IFERROR(RIGHT(B3106,LEN(B3106)-FIND("@",B3106)),""))</f>
        <v/>
      </c>
      <c r="G3106">
        <f>IF(D3106="KEEP",COUNTIF($D$2:D3106,"KEEP"),"")</f>
        <v/>
      </c>
      <c r="H3106">
        <f>IF(D3106="REMOVE",COUNTIF($D$2:D3106,"REMOVE"),"")</f>
        <v/>
      </c>
      <c r="I3106">
        <f>IF(E3106="Gmail",COUNTIF($E$2:E3106,"Gmail"),"")</f>
        <v/>
      </c>
      <c r="J3106">
        <f>IF(E3106="Outlook",COUNTIF($E$2:E3106,"Outlook"),"")</f>
        <v/>
      </c>
      <c r="K3106">
        <f>IF(E3106="Domain",COUNTIF($E$2:E3106,"Domain"),"")</f>
        <v/>
      </c>
    </row>
    <row r="3107">
      <c r="A3107" s="2" t="n"/>
      <c r="B3107">
        <f>LOWER(TRIM(A3107))</f>
        <v/>
      </c>
      <c r="C3107">
        <f>IF(B3107="","",IFERROR(INDEX('Bad Patterns'!$A$2:$A$120,MATCH(1,INDEX(--ISNUMBER(SEARCH('Bad Patterns'!$A$2:$A$120,B3107)),0),0)),""))</f>
        <v/>
      </c>
      <c r="D3107">
        <f>IF(B3107="","",IF(C3107&lt;&gt;"","REMOVE","KEEP"))</f>
        <v/>
      </c>
      <c r="E3107">
        <f>IF(D3107&lt;&gt;"KEEP","",IF(RIGHT(B3107,10)="@gmail.com","Gmail",IF(OR(RIGHT(B3107,12)="@outlook.com",RIGHT(B3107,12)="@hotmail.com",RIGHT(B3107,9)="@live.com"),"Outlook","Domain")))</f>
        <v/>
      </c>
      <c r="F3107">
        <f>IF(B3107="","",IFERROR(RIGHT(B3107,LEN(B3107)-FIND("@",B3107)),""))</f>
        <v/>
      </c>
      <c r="G3107">
        <f>IF(D3107="KEEP",COUNTIF($D$2:D3107,"KEEP"),"")</f>
        <v/>
      </c>
      <c r="H3107">
        <f>IF(D3107="REMOVE",COUNTIF($D$2:D3107,"REMOVE"),"")</f>
        <v/>
      </c>
      <c r="I3107">
        <f>IF(E3107="Gmail",COUNTIF($E$2:E3107,"Gmail"),"")</f>
        <v/>
      </c>
      <c r="J3107">
        <f>IF(E3107="Outlook",COUNTIF($E$2:E3107,"Outlook"),"")</f>
        <v/>
      </c>
      <c r="K3107">
        <f>IF(E3107="Domain",COUNTIF($E$2:E3107,"Domain"),"")</f>
        <v/>
      </c>
    </row>
    <row r="3108">
      <c r="A3108" s="2" t="n"/>
      <c r="B3108">
        <f>LOWER(TRIM(A3108))</f>
        <v/>
      </c>
      <c r="C3108">
        <f>IF(B3108="","",IFERROR(INDEX('Bad Patterns'!$A$2:$A$120,MATCH(1,INDEX(--ISNUMBER(SEARCH('Bad Patterns'!$A$2:$A$120,B3108)),0),0)),""))</f>
        <v/>
      </c>
      <c r="D3108">
        <f>IF(B3108="","",IF(C3108&lt;&gt;"","REMOVE","KEEP"))</f>
        <v/>
      </c>
      <c r="E3108">
        <f>IF(D3108&lt;&gt;"KEEP","",IF(RIGHT(B3108,10)="@gmail.com","Gmail",IF(OR(RIGHT(B3108,12)="@outlook.com",RIGHT(B3108,12)="@hotmail.com",RIGHT(B3108,9)="@live.com"),"Outlook","Domain")))</f>
        <v/>
      </c>
      <c r="F3108">
        <f>IF(B3108="","",IFERROR(RIGHT(B3108,LEN(B3108)-FIND("@",B3108)),""))</f>
        <v/>
      </c>
      <c r="G3108">
        <f>IF(D3108="KEEP",COUNTIF($D$2:D3108,"KEEP"),"")</f>
        <v/>
      </c>
      <c r="H3108">
        <f>IF(D3108="REMOVE",COUNTIF($D$2:D3108,"REMOVE"),"")</f>
        <v/>
      </c>
      <c r="I3108">
        <f>IF(E3108="Gmail",COUNTIF($E$2:E3108,"Gmail"),"")</f>
        <v/>
      </c>
      <c r="J3108">
        <f>IF(E3108="Outlook",COUNTIF($E$2:E3108,"Outlook"),"")</f>
        <v/>
      </c>
      <c r="K3108">
        <f>IF(E3108="Domain",COUNTIF($E$2:E3108,"Domain"),"")</f>
        <v/>
      </c>
    </row>
    <row r="3109">
      <c r="A3109" s="2" t="n"/>
      <c r="B3109">
        <f>LOWER(TRIM(A3109))</f>
        <v/>
      </c>
      <c r="C3109">
        <f>IF(B3109="","",IFERROR(INDEX('Bad Patterns'!$A$2:$A$120,MATCH(1,INDEX(--ISNUMBER(SEARCH('Bad Patterns'!$A$2:$A$120,B3109)),0),0)),""))</f>
        <v/>
      </c>
      <c r="D3109">
        <f>IF(B3109="","",IF(C3109&lt;&gt;"","REMOVE","KEEP"))</f>
        <v/>
      </c>
      <c r="E3109">
        <f>IF(D3109&lt;&gt;"KEEP","",IF(RIGHT(B3109,10)="@gmail.com","Gmail",IF(OR(RIGHT(B3109,12)="@outlook.com",RIGHT(B3109,12)="@hotmail.com",RIGHT(B3109,9)="@live.com"),"Outlook","Domain")))</f>
        <v/>
      </c>
      <c r="F3109">
        <f>IF(B3109="","",IFERROR(RIGHT(B3109,LEN(B3109)-FIND("@",B3109)),""))</f>
        <v/>
      </c>
      <c r="G3109">
        <f>IF(D3109="KEEP",COUNTIF($D$2:D3109,"KEEP"),"")</f>
        <v/>
      </c>
      <c r="H3109">
        <f>IF(D3109="REMOVE",COUNTIF($D$2:D3109,"REMOVE"),"")</f>
        <v/>
      </c>
      <c r="I3109">
        <f>IF(E3109="Gmail",COUNTIF($E$2:E3109,"Gmail"),"")</f>
        <v/>
      </c>
      <c r="J3109">
        <f>IF(E3109="Outlook",COUNTIF($E$2:E3109,"Outlook"),"")</f>
        <v/>
      </c>
      <c r="K3109">
        <f>IF(E3109="Domain",COUNTIF($E$2:E3109,"Domain"),"")</f>
        <v/>
      </c>
    </row>
    <row r="3110">
      <c r="A3110" s="2" t="n"/>
      <c r="B3110">
        <f>LOWER(TRIM(A3110))</f>
        <v/>
      </c>
      <c r="C3110">
        <f>IF(B3110="","",IFERROR(INDEX('Bad Patterns'!$A$2:$A$120,MATCH(1,INDEX(--ISNUMBER(SEARCH('Bad Patterns'!$A$2:$A$120,B3110)),0),0)),""))</f>
        <v/>
      </c>
      <c r="D3110">
        <f>IF(B3110="","",IF(C3110&lt;&gt;"","REMOVE","KEEP"))</f>
        <v/>
      </c>
      <c r="E3110">
        <f>IF(D3110&lt;&gt;"KEEP","",IF(RIGHT(B3110,10)="@gmail.com","Gmail",IF(OR(RIGHT(B3110,12)="@outlook.com",RIGHT(B3110,12)="@hotmail.com",RIGHT(B3110,9)="@live.com"),"Outlook","Domain")))</f>
        <v/>
      </c>
      <c r="F3110">
        <f>IF(B3110="","",IFERROR(RIGHT(B3110,LEN(B3110)-FIND("@",B3110)),""))</f>
        <v/>
      </c>
      <c r="G3110">
        <f>IF(D3110="KEEP",COUNTIF($D$2:D3110,"KEEP"),"")</f>
        <v/>
      </c>
      <c r="H3110">
        <f>IF(D3110="REMOVE",COUNTIF($D$2:D3110,"REMOVE"),"")</f>
        <v/>
      </c>
      <c r="I3110">
        <f>IF(E3110="Gmail",COUNTIF($E$2:E3110,"Gmail"),"")</f>
        <v/>
      </c>
      <c r="J3110">
        <f>IF(E3110="Outlook",COUNTIF($E$2:E3110,"Outlook"),"")</f>
        <v/>
      </c>
      <c r="K3110">
        <f>IF(E3110="Domain",COUNTIF($E$2:E3110,"Domain"),"")</f>
        <v/>
      </c>
    </row>
    <row r="3111">
      <c r="A3111" s="2" t="n"/>
      <c r="B3111">
        <f>LOWER(TRIM(A3111))</f>
        <v/>
      </c>
      <c r="C3111">
        <f>IF(B3111="","",IFERROR(INDEX('Bad Patterns'!$A$2:$A$120,MATCH(1,INDEX(--ISNUMBER(SEARCH('Bad Patterns'!$A$2:$A$120,B3111)),0),0)),""))</f>
        <v/>
      </c>
      <c r="D3111">
        <f>IF(B3111="","",IF(C3111&lt;&gt;"","REMOVE","KEEP"))</f>
        <v/>
      </c>
      <c r="E3111">
        <f>IF(D3111&lt;&gt;"KEEP","",IF(RIGHT(B3111,10)="@gmail.com","Gmail",IF(OR(RIGHT(B3111,12)="@outlook.com",RIGHT(B3111,12)="@hotmail.com",RIGHT(B3111,9)="@live.com"),"Outlook","Domain")))</f>
        <v/>
      </c>
      <c r="F3111">
        <f>IF(B3111="","",IFERROR(RIGHT(B3111,LEN(B3111)-FIND("@",B3111)),""))</f>
        <v/>
      </c>
      <c r="G3111">
        <f>IF(D3111="KEEP",COUNTIF($D$2:D3111,"KEEP"),"")</f>
        <v/>
      </c>
      <c r="H3111">
        <f>IF(D3111="REMOVE",COUNTIF($D$2:D3111,"REMOVE"),"")</f>
        <v/>
      </c>
      <c r="I3111">
        <f>IF(E3111="Gmail",COUNTIF($E$2:E3111,"Gmail"),"")</f>
        <v/>
      </c>
      <c r="J3111">
        <f>IF(E3111="Outlook",COUNTIF($E$2:E3111,"Outlook"),"")</f>
        <v/>
      </c>
      <c r="K3111">
        <f>IF(E3111="Domain",COUNTIF($E$2:E3111,"Domain"),"")</f>
        <v/>
      </c>
    </row>
    <row r="3112">
      <c r="A3112" s="2" t="n"/>
      <c r="B3112">
        <f>LOWER(TRIM(A3112))</f>
        <v/>
      </c>
      <c r="C3112">
        <f>IF(B3112="","",IFERROR(INDEX('Bad Patterns'!$A$2:$A$120,MATCH(1,INDEX(--ISNUMBER(SEARCH('Bad Patterns'!$A$2:$A$120,B3112)),0),0)),""))</f>
        <v/>
      </c>
      <c r="D3112">
        <f>IF(B3112="","",IF(C3112&lt;&gt;"","REMOVE","KEEP"))</f>
        <v/>
      </c>
      <c r="E3112">
        <f>IF(D3112&lt;&gt;"KEEP","",IF(RIGHT(B3112,10)="@gmail.com","Gmail",IF(OR(RIGHT(B3112,12)="@outlook.com",RIGHT(B3112,12)="@hotmail.com",RIGHT(B3112,9)="@live.com"),"Outlook","Domain")))</f>
        <v/>
      </c>
      <c r="F3112">
        <f>IF(B3112="","",IFERROR(RIGHT(B3112,LEN(B3112)-FIND("@",B3112)),""))</f>
        <v/>
      </c>
      <c r="G3112">
        <f>IF(D3112="KEEP",COUNTIF($D$2:D3112,"KEEP"),"")</f>
        <v/>
      </c>
      <c r="H3112">
        <f>IF(D3112="REMOVE",COUNTIF($D$2:D3112,"REMOVE"),"")</f>
        <v/>
      </c>
      <c r="I3112">
        <f>IF(E3112="Gmail",COUNTIF($E$2:E3112,"Gmail"),"")</f>
        <v/>
      </c>
      <c r="J3112">
        <f>IF(E3112="Outlook",COUNTIF($E$2:E3112,"Outlook"),"")</f>
        <v/>
      </c>
      <c r="K3112">
        <f>IF(E3112="Domain",COUNTIF($E$2:E3112,"Domain"),"")</f>
        <v/>
      </c>
    </row>
    <row r="3113">
      <c r="A3113" s="2" t="n"/>
      <c r="B3113">
        <f>LOWER(TRIM(A3113))</f>
        <v/>
      </c>
      <c r="C3113">
        <f>IF(B3113="","",IFERROR(INDEX('Bad Patterns'!$A$2:$A$120,MATCH(1,INDEX(--ISNUMBER(SEARCH('Bad Patterns'!$A$2:$A$120,B3113)),0),0)),""))</f>
        <v/>
      </c>
      <c r="D3113">
        <f>IF(B3113="","",IF(C3113&lt;&gt;"","REMOVE","KEEP"))</f>
        <v/>
      </c>
      <c r="E3113">
        <f>IF(D3113&lt;&gt;"KEEP","",IF(RIGHT(B3113,10)="@gmail.com","Gmail",IF(OR(RIGHT(B3113,12)="@outlook.com",RIGHT(B3113,12)="@hotmail.com",RIGHT(B3113,9)="@live.com"),"Outlook","Domain")))</f>
        <v/>
      </c>
      <c r="F3113">
        <f>IF(B3113="","",IFERROR(RIGHT(B3113,LEN(B3113)-FIND("@",B3113)),""))</f>
        <v/>
      </c>
      <c r="G3113">
        <f>IF(D3113="KEEP",COUNTIF($D$2:D3113,"KEEP"),"")</f>
        <v/>
      </c>
      <c r="H3113">
        <f>IF(D3113="REMOVE",COUNTIF($D$2:D3113,"REMOVE"),"")</f>
        <v/>
      </c>
      <c r="I3113">
        <f>IF(E3113="Gmail",COUNTIF($E$2:E3113,"Gmail"),"")</f>
        <v/>
      </c>
      <c r="J3113">
        <f>IF(E3113="Outlook",COUNTIF($E$2:E3113,"Outlook"),"")</f>
        <v/>
      </c>
      <c r="K3113">
        <f>IF(E3113="Domain",COUNTIF($E$2:E3113,"Domain"),"")</f>
        <v/>
      </c>
    </row>
    <row r="3114">
      <c r="A3114" s="2" t="n"/>
      <c r="B3114">
        <f>LOWER(TRIM(A3114))</f>
        <v/>
      </c>
      <c r="C3114">
        <f>IF(B3114="","",IFERROR(INDEX('Bad Patterns'!$A$2:$A$120,MATCH(1,INDEX(--ISNUMBER(SEARCH('Bad Patterns'!$A$2:$A$120,B3114)),0),0)),""))</f>
        <v/>
      </c>
      <c r="D3114">
        <f>IF(B3114="","",IF(C3114&lt;&gt;"","REMOVE","KEEP"))</f>
        <v/>
      </c>
      <c r="E3114">
        <f>IF(D3114&lt;&gt;"KEEP","",IF(RIGHT(B3114,10)="@gmail.com","Gmail",IF(OR(RIGHT(B3114,12)="@outlook.com",RIGHT(B3114,12)="@hotmail.com",RIGHT(B3114,9)="@live.com"),"Outlook","Domain")))</f>
        <v/>
      </c>
      <c r="F3114">
        <f>IF(B3114="","",IFERROR(RIGHT(B3114,LEN(B3114)-FIND("@",B3114)),""))</f>
        <v/>
      </c>
      <c r="G3114">
        <f>IF(D3114="KEEP",COUNTIF($D$2:D3114,"KEEP"),"")</f>
        <v/>
      </c>
      <c r="H3114">
        <f>IF(D3114="REMOVE",COUNTIF($D$2:D3114,"REMOVE"),"")</f>
        <v/>
      </c>
      <c r="I3114">
        <f>IF(E3114="Gmail",COUNTIF($E$2:E3114,"Gmail"),"")</f>
        <v/>
      </c>
      <c r="J3114">
        <f>IF(E3114="Outlook",COUNTIF($E$2:E3114,"Outlook"),"")</f>
        <v/>
      </c>
      <c r="K3114">
        <f>IF(E3114="Domain",COUNTIF($E$2:E3114,"Domain"),"")</f>
        <v/>
      </c>
    </row>
    <row r="3115">
      <c r="A3115" s="2" t="n"/>
      <c r="B3115">
        <f>LOWER(TRIM(A3115))</f>
        <v/>
      </c>
      <c r="C3115">
        <f>IF(B3115="","",IFERROR(INDEX('Bad Patterns'!$A$2:$A$120,MATCH(1,INDEX(--ISNUMBER(SEARCH('Bad Patterns'!$A$2:$A$120,B3115)),0),0)),""))</f>
        <v/>
      </c>
      <c r="D3115">
        <f>IF(B3115="","",IF(C3115&lt;&gt;"","REMOVE","KEEP"))</f>
        <v/>
      </c>
      <c r="E3115">
        <f>IF(D3115&lt;&gt;"KEEP","",IF(RIGHT(B3115,10)="@gmail.com","Gmail",IF(OR(RIGHT(B3115,12)="@outlook.com",RIGHT(B3115,12)="@hotmail.com",RIGHT(B3115,9)="@live.com"),"Outlook","Domain")))</f>
        <v/>
      </c>
      <c r="F3115">
        <f>IF(B3115="","",IFERROR(RIGHT(B3115,LEN(B3115)-FIND("@",B3115)),""))</f>
        <v/>
      </c>
      <c r="G3115">
        <f>IF(D3115="KEEP",COUNTIF($D$2:D3115,"KEEP"),"")</f>
        <v/>
      </c>
      <c r="H3115">
        <f>IF(D3115="REMOVE",COUNTIF($D$2:D3115,"REMOVE"),"")</f>
        <v/>
      </c>
      <c r="I3115">
        <f>IF(E3115="Gmail",COUNTIF($E$2:E3115,"Gmail"),"")</f>
        <v/>
      </c>
      <c r="J3115">
        <f>IF(E3115="Outlook",COUNTIF($E$2:E3115,"Outlook"),"")</f>
        <v/>
      </c>
      <c r="K3115">
        <f>IF(E3115="Domain",COUNTIF($E$2:E3115,"Domain"),"")</f>
        <v/>
      </c>
    </row>
    <row r="3116">
      <c r="A3116" s="2" t="n"/>
      <c r="B3116">
        <f>LOWER(TRIM(A3116))</f>
        <v/>
      </c>
      <c r="C3116">
        <f>IF(B3116="","",IFERROR(INDEX('Bad Patterns'!$A$2:$A$120,MATCH(1,INDEX(--ISNUMBER(SEARCH('Bad Patterns'!$A$2:$A$120,B3116)),0),0)),""))</f>
        <v/>
      </c>
      <c r="D3116">
        <f>IF(B3116="","",IF(C3116&lt;&gt;"","REMOVE","KEEP"))</f>
        <v/>
      </c>
      <c r="E3116">
        <f>IF(D3116&lt;&gt;"KEEP","",IF(RIGHT(B3116,10)="@gmail.com","Gmail",IF(OR(RIGHT(B3116,12)="@outlook.com",RIGHT(B3116,12)="@hotmail.com",RIGHT(B3116,9)="@live.com"),"Outlook","Domain")))</f>
        <v/>
      </c>
      <c r="F3116">
        <f>IF(B3116="","",IFERROR(RIGHT(B3116,LEN(B3116)-FIND("@",B3116)),""))</f>
        <v/>
      </c>
      <c r="G3116">
        <f>IF(D3116="KEEP",COUNTIF($D$2:D3116,"KEEP"),"")</f>
        <v/>
      </c>
      <c r="H3116">
        <f>IF(D3116="REMOVE",COUNTIF($D$2:D3116,"REMOVE"),"")</f>
        <v/>
      </c>
      <c r="I3116">
        <f>IF(E3116="Gmail",COUNTIF($E$2:E3116,"Gmail"),"")</f>
        <v/>
      </c>
      <c r="J3116">
        <f>IF(E3116="Outlook",COUNTIF($E$2:E3116,"Outlook"),"")</f>
        <v/>
      </c>
      <c r="K3116">
        <f>IF(E3116="Domain",COUNTIF($E$2:E3116,"Domain"),"")</f>
        <v/>
      </c>
    </row>
    <row r="3117">
      <c r="A3117" s="2" t="n"/>
      <c r="B3117">
        <f>LOWER(TRIM(A3117))</f>
        <v/>
      </c>
      <c r="C3117">
        <f>IF(B3117="","",IFERROR(INDEX('Bad Patterns'!$A$2:$A$120,MATCH(1,INDEX(--ISNUMBER(SEARCH('Bad Patterns'!$A$2:$A$120,B3117)),0),0)),""))</f>
        <v/>
      </c>
      <c r="D3117">
        <f>IF(B3117="","",IF(C3117&lt;&gt;"","REMOVE","KEEP"))</f>
        <v/>
      </c>
      <c r="E3117">
        <f>IF(D3117&lt;&gt;"KEEP","",IF(RIGHT(B3117,10)="@gmail.com","Gmail",IF(OR(RIGHT(B3117,12)="@outlook.com",RIGHT(B3117,12)="@hotmail.com",RIGHT(B3117,9)="@live.com"),"Outlook","Domain")))</f>
        <v/>
      </c>
      <c r="F3117">
        <f>IF(B3117="","",IFERROR(RIGHT(B3117,LEN(B3117)-FIND("@",B3117)),""))</f>
        <v/>
      </c>
      <c r="G3117">
        <f>IF(D3117="KEEP",COUNTIF($D$2:D3117,"KEEP"),"")</f>
        <v/>
      </c>
      <c r="H3117">
        <f>IF(D3117="REMOVE",COUNTIF($D$2:D3117,"REMOVE"),"")</f>
        <v/>
      </c>
      <c r="I3117">
        <f>IF(E3117="Gmail",COUNTIF($E$2:E3117,"Gmail"),"")</f>
        <v/>
      </c>
      <c r="J3117">
        <f>IF(E3117="Outlook",COUNTIF($E$2:E3117,"Outlook"),"")</f>
        <v/>
      </c>
      <c r="K3117">
        <f>IF(E3117="Domain",COUNTIF($E$2:E3117,"Domain"),"")</f>
        <v/>
      </c>
    </row>
    <row r="3118">
      <c r="A3118" s="2" t="n"/>
      <c r="B3118">
        <f>LOWER(TRIM(A3118))</f>
        <v/>
      </c>
      <c r="C3118">
        <f>IF(B3118="","",IFERROR(INDEX('Bad Patterns'!$A$2:$A$120,MATCH(1,INDEX(--ISNUMBER(SEARCH('Bad Patterns'!$A$2:$A$120,B3118)),0),0)),""))</f>
        <v/>
      </c>
      <c r="D3118">
        <f>IF(B3118="","",IF(C3118&lt;&gt;"","REMOVE","KEEP"))</f>
        <v/>
      </c>
      <c r="E3118">
        <f>IF(D3118&lt;&gt;"KEEP","",IF(RIGHT(B3118,10)="@gmail.com","Gmail",IF(OR(RIGHT(B3118,12)="@outlook.com",RIGHT(B3118,12)="@hotmail.com",RIGHT(B3118,9)="@live.com"),"Outlook","Domain")))</f>
        <v/>
      </c>
      <c r="F3118">
        <f>IF(B3118="","",IFERROR(RIGHT(B3118,LEN(B3118)-FIND("@",B3118)),""))</f>
        <v/>
      </c>
      <c r="G3118">
        <f>IF(D3118="KEEP",COUNTIF($D$2:D3118,"KEEP"),"")</f>
        <v/>
      </c>
      <c r="H3118">
        <f>IF(D3118="REMOVE",COUNTIF($D$2:D3118,"REMOVE"),"")</f>
        <v/>
      </c>
      <c r="I3118">
        <f>IF(E3118="Gmail",COUNTIF($E$2:E3118,"Gmail"),"")</f>
        <v/>
      </c>
      <c r="J3118">
        <f>IF(E3118="Outlook",COUNTIF($E$2:E3118,"Outlook"),"")</f>
        <v/>
      </c>
      <c r="K3118">
        <f>IF(E3118="Domain",COUNTIF($E$2:E3118,"Domain"),"")</f>
        <v/>
      </c>
    </row>
    <row r="3119">
      <c r="A3119" s="2" t="n"/>
      <c r="B3119">
        <f>LOWER(TRIM(A3119))</f>
        <v/>
      </c>
      <c r="C3119">
        <f>IF(B3119="","",IFERROR(INDEX('Bad Patterns'!$A$2:$A$120,MATCH(1,INDEX(--ISNUMBER(SEARCH('Bad Patterns'!$A$2:$A$120,B3119)),0),0)),""))</f>
        <v/>
      </c>
      <c r="D3119">
        <f>IF(B3119="","",IF(C3119&lt;&gt;"","REMOVE","KEEP"))</f>
        <v/>
      </c>
      <c r="E3119">
        <f>IF(D3119&lt;&gt;"KEEP","",IF(RIGHT(B3119,10)="@gmail.com","Gmail",IF(OR(RIGHT(B3119,12)="@outlook.com",RIGHT(B3119,12)="@hotmail.com",RIGHT(B3119,9)="@live.com"),"Outlook","Domain")))</f>
        <v/>
      </c>
      <c r="F3119">
        <f>IF(B3119="","",IFERROR(RIGHT(B3119,LEN(B3119)-FIND("@",B3119)),""))</f>
        <v/>
      </c>
      <c r="G3119">
        <f>IF(D3119="KEEP",COUNTIF($D$2:D3119,"KEEP"),"")</f>
        <v/>
      </c>
      <c r="H3119">
        <f>IF(D3119="REMOVE",COUNTIF($D$2:D3119,"REMOVE"),"")</f>
        <v/>
      </c>
      <c r="I3119">
        <f>IF(E3119="Gmail",COUNTIF($E$2:E3119,"Gmail"),"")</f>
        <v/>
      </c>
      <c r="J3119">
        <f>IF(E3119="Outlook",COUNTIF($E$2:E3119,"Outlook"),"")</f>
        <v/>
      </c>
      <c r="K3119">
        <f>IF(E3119="Domain",COUNTIF($E$2:E3119,"Domain"),"")</f>
        <v/>
      </c>
    </row>
    <row r="3120">
      <c r="A3120" s="2" t="n"/>
      <c r="B3120">
        <f>LOWER(TRIM(A3120))</f>
        <v/>
      </c>
      <c r="C3120">
        <f>IF(B3120="","",IFERROR(INDEX('Bad Patterns'!$A$2:$A$120,MATCH(1,INDEX(--ISNUMBER(SEARCH('Bad Patterns'!$A$2:$A$120,B3120)),0),0)),""))</f>
        <v/>
      </c>
      <c r="D3120">
        <f>IF(B3120="","",IF(C3120&lt;&gt;"","REMOVE","KEEP"))</f>
        <v/>
      </c>
      <c r="E3120">
        <f>IF(D3120&lt;&gt;"KEEP","",IF(RIGHT(B3120,10)="@gmail.com","Gmail",IF(OR(RIGHT(B3120,12)="@outlook.com",RIGHT(B3120,12)="@hotmail.com",RIGHT(B3120,9)="@live.com"),"Outlook","Domain")))</f>
        <v/>
      </c>
      <c r="F3120">
        <f>IF(B3120="","",IFERROR(RIGHT(B3120,LEN(B3120)-FIND("@",B3120)),""))</f>
        <v/>
      </c>
      <c r="G3120">
        <f>IF(D3120="KEEP",COUNTIF($D$2:D3120,"KEEP"),"")</f>
        <v/>
      </c>
      <c r="H3120">
        <f>IF(D3120="REMOVE",COUNTIF($D$2:D3120,"REMOVE"),"")</f>
        <v/>
      </c>
      <c r="I3120">
        <f>IF(E3120="Gmail",COUNTIF($E$2:E3120,"Gmail"),"")</f>
        <v/>
      </c>
      <c r="J3120">
        <f>IF(E3120="Outlook",COUNTIF($E$2:E3120,"Outlook"),"")</f>
        <v/>
      </c>
      <c r="K3120">
        <f>IF(E3120="Domain",COUNTIF($E$2:E3120,"Domain"),"")</f>
        <v/>
      </c>
    </row>
    <row r="3121">
      <c r="A3121" s="2" t="n"/>
      <c r="B3121">
        <f>LOWER(TRIM(A3121))</f>
        <v/>
      </c>
      <c r="C3121">
        <f>IF(B3121="","",IFERROR(INDEX('Bad Patterns'!$A$2:$A$120,MATCH(1,INDEX(--ISNUMBER(SEARCH('Bad Patterns'!$A$2:$A$120,B3121)),0),0)),""))</f>
        <v/>
      </c>
      <c r="D3121">
        <f>IF(B3121="","",IF(C3121&lt;&gt;"","REMOVE","KEEP"))</f>
        <v/>
      </c>
      <c r="E3121">
        <f>IF(D3121&lt;&gt;"KEEP","",IF(RIGHT(B3121,10)="@gmail.com","Gmail",IF(OR(RIGHT(B3121,12)="@outlook.com",RIGHT(B3121,12)="@hotmail.com",RIGHT(B3121,9)="@live.com"),"Outlook","Domain")))</f>
        <v/>
      </c>
      <c r="F3121">
        <f>IF(B3121="","",IFERROR(RIGHT(B3121,LEN(B3121)-FIND("@",B3121)),""))</f>
        <v/>
      </c>
      <c r="G3121">
        <f>IF(D3121="KEEP",COUNTIF($D$2:D3121,"KEEP"),"")</f>
        <v/>
      </c>
      <c r="H3121">
        <f>IF(D3121="REMOVE",COUNTIF($D$2:D3121,"REMOVE"),"")</f>
        <v/>
      </c>
      <c r="I3121">
        <f>IF(E3121="Gmail",COUNTIF($E$2:E3121,"Gmail"),"")</f>
        <v/>
      </c>
      <c r="J3121">
        <f>IF(E3121="Outlook",COUNTIF($E$2:E3121,"Outlook"),"")</f>
        <v/>
      </c>
      <c r="K3121">
        <f>IF(E3121="Domain",COUNTIF($E$2:E3121,"Domain"),"")</f>
        <v/>
      </c>
    </row>
    <row r="3122">
      <c r="A3122" s="2" t="n"/>
      <c r="B3122">
        <f>LOWER(TRIM(A3122))</f>
        <v/>
      </c>
      <c r="C3122">
        <f>IF(B3122="","",IFERROR(INDEX('Bad Patterns'!$A$2:$A$120,MATCH(1,INDEX(--ISNUMBER(SEARCH('Bad Patterns'!$A$2:$A$120,B3122)),0),0)),""))</f>
        <v/>
      </c>
      <c r="D3122">
        <f>IF(B3122="","",IF(C3122&lt;&gt;"","REMOVE","KEEP"))</f>
        <v/>
      </c>
      <c r="E3122">
        <f>IF(D3122&lt;&gt;"KEEP","",IF(RIGHT(B3122,10)="@gmail.com","Gmail",IF(OR(RIGHT(B3122,12)="@outlook.com",RIGHT(B3122,12)="@hotmail.com",RIGHT(B3122,9)="@live.com"),"Outlook","Domain")))</f>
        <v/>
      </c>
      <c r="F3122">
        <f>IF(B3122="","",IFERROR(RIGHT(B3122,LEN(B3122)-FIND("@",B3122)),""))</f>
        <v/>
      </c>
      <c r="G3122">
        <f>IF(D3122="KEEP",COUNTIF($D$2:D3122,"KEEP"),"")</f>
        <v/>
      </c>
      <c r="H3122">
        <f>IF(D3122="REMOVE",COUNTIF($D$2:D3122,"REMOVE"),"")</f>
        <v/>
      </c>
      <c r="I3122">
        <f>IF(E3122="Gmail",COUNTIF($E$2:E3122,"Gmail"),"")</f>
        <v/>
      </c>
      <c r="J3122">
        <f>IF(E3122="Outlook",COUNTIF($E$2:E3122,"Outlook"),"")</f>
        <v/>
      </c>
      <c r="K3122">
        <f>IF(E3122="Domain",COUNTIF($E$2:E3122,"Domain"),"")</f>
        <v/>
      </c>
    </row>
    <row r="3123">
      <c r="A3123" s="2" t="n"/>
      <c r="B3123">
        <f>LOWER(TRIM(A3123))</f>
        <v/>
      </c>
      <c r="C3123">
        <f>IF(B3123="","",IFERROR(INDEX('Bad Patterns'!$A$2:$A$120,MATCH(1,INDEX(--ISNUMBER(SEARCH('Bad Patterns'!$A$2:$A$120,B3123)),0),0)),""))</f>
        <v/>
      </c>
      <c r="D3123">
        <f>IF(B3123="","",IF(C3123&lt;&gt;"","REMOVE","KEEP"))</f>
        <v/>
      </c>
      <c r="E3123">
        <f>IF(D3123&lt;&gt;"KEEP","",IF(RIGHT(B3123,10)="@gmail.com","Gmail",IF(OR(RIGHT(B3123,12)="@outlook.com",RIGHT(B3123,12)="@hotmail.com",RIGHT(B3123,9)="@live.com"),"Outlook","Domain")))</f>
        <v/>
      </c>
      <c r="F3123">
        <f>IF(B3123="","",IFERROR(RIGHT(B3123,LEN(B3123)-FIND("@",B3123)),""))</f>
        <v/>
      </c>
      <c r="G3123">
        <f>IF(D3123="KEEP",COUNTIF($D$2:D3123,"KEEP"),"")</f>
        <v/>
      </c>
      <c r="H3123">
        <f>IF(D3123="REMOVE",COUNTIF($D$2:D3123,"REMOVE"),"")</f>
        <v/>
      </c>
      <c r="I3123">
        <f>IF(E3123="Gmail",COUNTIF($E$2:E3123,"Gmail"),"")</f>
        <v/>
      </c>
      <c r="J3123">
        <f>IF(E3123="Outlook",COUNTIF($E$2:E3123,"Outlook"),"")</f>
        <v/>
      </c>
      <c r="K3123">
        <f>IF(E3123="Domain",COUNTIF($E$2:E3123,"Domain"),"")</f>
        <v/>
      </c>
    </row>
    <row r="3124">
      <c r="A3124" s="2" t="n"/>
      <c r="B3124">
        <f>LOWER(TRIM(A3124))</f>
        <v/>
      </c>
      <c r="C3124">
        <f>IF(B3124="","",IFERROR(INDEX('Bad Patterns'!$A$2:$A$120,MATCH(1,INDEX(--ISNUMBER(SEARCH('Bad Patterns'!$A$2:$A$120,B3124)),0),0)),""))</f>
        <v/>
      </c>
      <c r="D3124">
        <f>IF(B3124="","",IF(C3124&lt;&gt;"","REMOVE","KEEP"))</f>
        <v/>
      </c>
      <c r="E3124">
        <f>IF(D3124&lt;&gt;"KEEP","",IF(RIGHT(B3124,10)="@gmail.com","Gmail",IF(OR(RIGHT(B3124,12)="@outlook.com",RIGHT(B3124,12)="@hotmail.com",RIGHT(B3124,9)="@live.com"),"Outlook","Domain")))</f>
        <v/>
      </c>
      <c r="F3124">
        <f>IF(B3124="","",IFERROR(RIGHT(B3124,LEN(B3124)-FIND("@",B3124)),""))</f>
        <v/>
      </c>
      <c r="G3124">
        <f>IF(D3124="KEEP",COUNTIF($D$2:D3124,"KEEP"),"")</f>
        <v/>
      </c>
      <c r="H3124">
        <f>IF(D3124="REMOVE",COUNTIF($D$2:D3124,"REMOVE"),"")</f>
        <v/>
      </c>
      <c r="I3124">
        <f>IF(E3124="Gmail",COUNTIF($E$2:E3124,"Gmail"),"")</f>
        <v/>
      </c>
      <c r="J3124">
        <f>IF(E3124="Outlook",COUNTIF($E$2:E3124,"Outlook"),"")</f>
        <v/>
      </c>
      <c r="K3124">
        <f>IF(E3124="Domain",COUNTIF($E$2:E3124,"Domain"),"")</f>
        <v/>
      </c>
    </row>
    <row r="3125">
      <c r="A3125" s="2" t="n"/>
      <c r="B3125">
        <f>LOWER(TRIM(A3125))</f>
        <v/>
      </c>
      <c r="C3125">
        <f>IF(B3125="","",IFERROR(INDEX('Bad Patterns'!$A$2:$A$120,MATCH(1,INDEX(--ISNUMBER(SEARCH('Bad Patterns'!$A$2:$A$120,B3125)),0),0)),""))</f>
        <v/>
      </c>
      <c r="D3125">
        <f>IF(B3125="","",IF(C3125&lt;&gt;"","REMOVE","KEEP"))</f>
        <v/>
      </c>
      <c r="E3125">
        <f>IF(D3125&lt;&gt;"KEEP","",IF(RIGHT(B3125,10)="@gmail.com","Gmail",IF(OR(RIGHT(B3125,12)="@outlook.com",RIGHT(B3125,12)="@hotmail.com",RIGHT(B3125,9)="@live.com"),"Outlook","Domain")))</f>
        <v/>
      </c>
      <c r="F3125">
        <f>IF(B3125="","",IFERROR(RIGHT(B3125,LEN(B3125)-FIND("@",B3125)),""))</f>
        <v/>
      </c>
      <c r="G3125">
        <f>IF(D3125="KEEP",COUNTIF($D$2:D3125,"KEEP"),"")</f>
        <v/>
      </c>
      <c r="H3125">
        <f>IF(D3125="REMOVE",COUNTIF($D$2:D3125,"REMOVE"),"")</f>
        <v/>
      </c>
      <c r="I3125">
        <f>IF(E3125="Gmail",COUNTIF($E$2:E3125,"Gmail"),"")</f>
        <v/>
      </c>
      <c r="J3125">
        <f>IF(E3125="Outlook",COUNTIF($E$2:E3125,"Outlook"),"")</f>
        <v/>
      </c>
      <c r="K3125">
        <f>IF(E3125="Domain",COUNTIF($E$2:E3125,"Domain"),"")</f>
        <v/>
      </c>
    </row>
    <row r="3126">
      <c r="A3126" s="2" t="n"/>
      <c r="B3126">
        <f>LOWER(TRIM(A3126))</f>
        <v/>
      </c>
      <c r="C3126">
        <f>IF(B3126="","",IFERROR(INDEX('Bad Patterns'!$A$2:$A$120,MATCH(1,INDEX(--ISNUMBER(SEARCH('Bad Patterns'!$A$2:$A$120,B3126)),0),0)),""))</f>
        <v/>
      </c>
      <c r="D3126">
        <f>IF(B3126="","",IF(C3126&lt;&gt;"","REMOVE","KEEP"))</f>
        <v/>
      </c>
      <c r="E3126">
        <f>IF(D3126&lt;&gt;"KEEP","",IF(RIGHT(B3126,10)="@gmail.com","Gmail",IF(OR(RIGHT(B3126,12)="@outlook.com",RIGHT(B3126,12)="@hotmail.com",RIGHT(B3126,9)="@live.com"),"Outlook","Domain")))</f>
        <v/>
      </c>
      <c r="F3126">
        <f>IF(B3126="","",IFERROR(RIGHT(B3126,LEN(B3126)-FIND("@",B3126)),""))</f>
        <v/>
      </c>
      <c r="G3126">
        <f>IF(D3126="KEEP",COUNTIF($D$2:D3126,"KEEP"),"")</f>
        <v/>
      </c>
      <c r="H3126">
        <f>IF(D3126="REMOVE",COUNTIF($D$2:D3126,"REMOVE"),"")</f>
        <v/>
      </c>
      <c r="I3126">
        <f>IF(E3126="Gmail",COUNTIF($E$2:E3126,"Gmail"),"")</f>
        <v/>
      </c>
      <c r="J3126">
        <f>IF(E3126="Outlook",COUNTIF($E$2:E3126,"Outlook"),"")</f>
        <v/>
      </c>
      <c r="K3126">
        <f>IF(E3126="Domain",COUNTIF($E$2:E3126,"Domain"),"")</f>
        <v/>
      </c>
    </row>
    <row r="3127">
      <c r="A3127" s="2" t="n"/>
      <c r="B3127">
        <f>LOWER(TRIM(A3127))</f>
        <v/>
      </c>
      <c r="C3127">
        <f>IF(B3127="","",IFERROR(INDEX('Bad Patterns'!$A$2:$A$120,MATCH(1,INDEX(--ISNUMBER(SEARCH('Bad Patterns'!$A$2:$A$120,B3127)),0),0)),""))</f>
        <v/>
      </c>
      <c r="D3127">
        <f>IF(B3127="","",IF(C3127&lt;&gt;"","REMOVE","KEEP"))</f>
        <v/>
      </c>
      <c r="E3127">
        <f>IF(D3127&lt;&gt;"KEEP","",IF(RIGHT(B3127,10)="@gmail.com","Gmail",IF(OR(RIGHT(B3127,12)="@outlook.com",RIGHT(B3127,12)="@hotmail.com",RIGHT(B3127,9)="@live.com"),"Outlook","Domain")))</f>
        <v/>
      </c>
      <c r="F3127">
        <f>IF(B3127="","",IFERROR(RIGHT(B3127,LEN(B3127)-FIND("@",B3127)),""))</f>
        <v/>
      </c>
      <c r="G3127">
        <f>IF(D3127="KEEP",COUNTIF($D$2:D3127,"KEEP"),"")</f>
        <v/>
      </c>
      <c r="H3127">
        <f>IF(D3127="REMOVE",COUNTIF($D$2:D3127,"REMOVE"),"")</f>
        <v/>
      </c>
      <c r="I3127">
        <f>IF(E3127="Gmail",COUNTIF($E$2:E3127,"Gmail"),"")</f>
        <v/>
      </c>
      <c r="J3127">
        <f>IF(E3127="Outlook",COUNTIF($E$2:E3127,"Outlook"),"")</f>
        <v/>
      </c>
      <c r="K3127">
        <f>IF(E3127="Domain",COUNTIF($E$2:E3127,"Domain"),"")</f>
        <v/>
      </c>
    </row>
    <row r="3128">
      <c r="A3128" s="2" t="n"/>
      <c r="B3128">
        <f>LOWER(TRIM(A3128))</f>
        <v/>
      </c>
      <c r="C3128">
        <f>IF(B3128="","",IFERROR(INDEX('Bad Patterns'!$A$2:$A$120,MATCH(1,INDEX(--ISNUMBER(SEARCH('Bad Patterns'!$A$2:$A$120,B3128)),0),0)),""))</f>
        <v/>
      </c>
      <c r="D3128">
        <f>IF(B3128="","",IF(C3128&lt;&gt;"","REMOVE","KEEP"))</f>
        <v/>
      </c>
      <c r="E3128">
        <f>IF(D3128&lt;&gt;"KEEP","",IF(RIGHT(B3128,10)="@gmail.com","Gmail",IF(OR(RIGHT(B3128,12)="@outlook.com",RIGHT(B3128,12)="@hotmail.com",RIGHT(B3128,9)="@live.com"),"Outlook","Domain")))</f>
        <v/>
      </c>
      <c r="F3128">
        <f>IF(B3128="","",IFERROR(RIGHT(B3128,LEN(B3128)-FIND("@",B3128)),""))</f>
        <v/>
      </c>
      <c r="G3128">
        <f>IF(D3128="KEEP",COUNTIF($D$2:D3128,"KEEP"),"")</f>
        <v/>
      </c>
      <c r="H3128">
        <f>IF(D3128="REMOVE",COUNTIF($D$2:D3128,"REMOVE"),"")</f>
        <v/>
      </c>
      <c r="I3128">
        <f>IF(E3128="Gmail",COUNTIF($E$2:E3128,"Gmail"),"")</f>
        <v/>
      </c>
      <c r="J3128">
        <f>IF(E3128="Outlook",COUNTIF($E$2:E3128,"Outlook"),"")</f>
        <v/>
      </c>
      <c r="K3128">
        <f>IF(E3128="Domain",COUNTIF($E$2:E3128,"Domain"),"")</f>
        <v/>
      </c>
    </row>
    <row r="3129">
      <c r="A3129" s="2" t="n"/>
      <c r="B3129">
        <f>LOWER(TRIM(A3129))</f>
        <v/>
      </c>
      <c r="C3129">
        <f>IF(B3129="","",IFERROR(INDEX('Bad Patterns'!$A$2:$A$120,MATCH(1,INDEX(--ISNUMBER(SEARCH('Bad Patterns'!$A$2:$A$120,B3129)),0),0)),""))</f>
        <v/>
      </c>
      <c r="D3129">
        <f>IF(B3129="","",IF(C3129&lt;&gt;"","REMOVE","KEEP"))</f>
        <v/>
      </c>
      <c r="E3129">
        <f>IF(D3129&lt;&gt;"KEEP","",IF(RIGHT(B3129,10)="@gmail.com","Gmail",IF(OR(RIGHT(B3129,12)="@outlook.com",RIGHT(B3129,12)="@hotmail.com",RIGHT(B3129,9)="@live.com"),"Outlook","Domain")))</f>
        <v/>
      </c>
      <c r="F3129">
        <f>IF(B3129="","",IFERROR(RIGHT(B3129,LEN(B3129)-FIND("@",B3129)),""))</f>
        <v/>
      </c>
      <c r="G3129">
        <f>IF(D3129="KEEP",COUNTIF($D$2:D3129,"KEEP"),"")</f>
        <v/>
      </c>
      <c r="H3129">
        <f>IF(D3129="REMOVE",COUNTIF($D$2:D3129,"REMOVE"),"")</f>
        <v/>
      </c>
      <c r="I3129">
        <f>IF(E3129="Gmail",COUNTIF($E$2:E3129,"Gmail"),"")</f>
        <v/>
      </c>
      <c r="J3129">
        <f>IF(E3129="Outlook",COUNTIF($E$2:E3129,"Outlook"),"")</f>
        <v/>
      </c>
      <c r="K3129">
        <f>IF(E3129="Domain",COUNTIF($E$2:E3129,"Domain"),"")</f>
        <v/>
      </c>
    </row>
    <row r="3130">
      <c r="A3130" s="2" t="n"/>
      <c r="B3130">
        <f>LOWER(TRIM(A3130))</f>
        <v/>
      </c>
      <c r="C3130">
        <f>IF(B3130="","",IFERROR(INDEX('Bad Patterns'!$A$2:$A$120,MATCH(1,INDEX(--ISNUMBER(SEARCH('Bad Patterns'!$A$2:$A$120,B3130)),0),0)),""))</f>
        <v/>
      </c>
      <c r="D3130">
        <f>IF(B3130="","",IF(C3130&lt;&gt;"","REMOVE","KEEP"))</f>
        <v/>
      </c>
      <c r="E3130">
        <f>IF(D3130&lt;&gt;"KEEP","",IF(RIGHT(B3130,10)="@gmail.com","Gmail",IF(OR(RIGHT(B3130,12)="@outlook.com",RIGHT(B3130,12)="@hotmail.com",RIGHT(B3130,9)="@live.com"),"Outlook","Domain")))</f>
        <v/>
      </c>
      <c r="F3130">
        <f>IF(B3130="","",IFERROR(RIGHT(B3130,LEN(B3130)-FIND("@",B3130)),""))</f>
        <v/>
      </c>
      <c r="G3130">
        <f>IF(D3130="KEEP",COUNTIF($D$2:D3130,"KEEP"),"")</f>
        <v/>
      </c>
      <c r="H3130">
        <f>IF(D3130="REMOVE",COUNTIF($D$2:D3130,"REMOVE"),"")</f>
        <v/>
      </c>
      <c r="I3130">
        <f>IF(E3130="Gmail",COUNTIF($E$2:E3130,"Gmail"),"")</f>
        <v/>
      </c>
      <c r="J3130">
        <f>IF(E3130="Outlook",COUNTIF($E$2:E3130,"Outlook"),"")</f>
        <v/>
      </c>
      <c r="K3130">
        <f>IF(E3130="Domain",COUNTIF($E$2:E3130,"Domain"),"")</f>
        <v/>
      </c>
    </row>
    <row r="3131">
      <c r="A3131" s="2" t="n"/>
      <c r="B3131">
        <f>LOWER(TRIM(A3131))</f>
        <v/>
      </c>
      <c r="C3131">
        <f>IF(B3131="","",IFERROR(INDEX('Bad Patterns'!$A$2:$A$120,MATCH(1,INDEX(--ISNUMBER(SEARCH('Bad Patterns'!$A$2:$A$120,B3131)),0),0)),""))</f>
        <v/>
      </c>
      <c r="D3131">
        <f>IF(B3131="","",IF(C3131&lt;&gt;"","REMOVE","KEEP"))</f>
        <v/>
      </c>
      <c r="E3131">
        <f>IF(D3131&lt;&gt;"KEEP","",IF(RIGHT(B3131,10)="@gmail.com","Gmail",IF(OR(RIGHT(B3131,12)="@outlook.com",RIGHT(B3131,12)="@hotmail.com",RIGHT(B3131,9)="@live.com"),"Outlook","Domain")))</f>
        <v/>
      </c>
      <c r="F3131">
        <f>IF(B3131="","",IFERROR(RIGHT(B3131,LEN(B3131)-FIND("@",B3131)),""))</f>
        <v/>
      </c>
      <c r="G3131">
        <f>IF(D3131="KEEP",COUNTIF($D$2:D3131,"KEEP"),"")</f>
        <v/>
      </c>
      <c r="H3131">
        <f>IF(D3131="REMOVE",COUNTIF($D$2:D3131,"REMOVE"),"")</f>
        <v/>
      </c>
      <c r="I3131">
        <f>IF(E3131="Gmail",COUNTIF($E$2:E3131,"Gmail"),"")</f>
        <v/>
      </c>
      <c r="J3131">
        <f>IF(E3131="Outlook",COUNTIF($E$2:E3131,"Outlook"),"")</f>
        <v/>
      </c>
      <c r="K3131">
        <f>IF(E3131="Domain",COUNTIF($E$2:E3131,"Domain"),"")</f>
        <v/>
      </c>
    </row>
    <row r="3132">
      <c r="A3132" s="2" t="n"/>
      <c r="B3132">
        <f>LOWER(TRIM(A3132))</f>
        <v/>
      </c>
      <c r="C3132">
        <f>IF(B3132="","",IFERROR(INDEX('Bad Patterns'!$A$2:$A$120,MATCH(1,INDEX(--ISNUMBER(SEARCH('Bad Patterns'!$A$2:$A$120,B3132)),0),0)),""))</f>
        <v/>
      </c>
      <c r="D3132">
        <f>IF(B3132="","",IF(C3132&lt;&gt;"","REMOVE","KEEP"))</f>
        <v/>
      </c>
      <c r="E3132">
        <f>IF(D3132&lt;&gt;"KEEP","",IF(RIGHT(B3132,10)="@gmail.com","Gmail",IF(OR(RIGHT(B3132,12)="@outlook.com",RIGHT(B3132,12)="@hotmail.com",RIGHT(B3132,9)="@live.com"),"Outlook","Domain")))</f>
        <v/>
      </c>
      <c r="F3132">
        <f>IF(B3132="","",IFERROR(RIGHT(B3132,LEN(B3132)-FIND("@",B3132)),""))</f>
        <v/>
      </c>
      <c r="G3132">
        <f>IF(D3132="KEEP",COUNTIF($D$2:D3132,"KEEP"),"")</f>
        <v/>
      </c>
      <c r="H3132">
        <f>IF(D3132="REMOVE",COUNTIF($D$2:D3132,"REMOVE"),"")</f>
        <v/>
      </c>
      <c r="I3132">
        <f>IF(E3132="Gmail",COUNTIF($E$2:E3132,"Gmail"),"")</f>
        <v/>
      </c>
      <c r="J3132">
        <f>IF(E3132="Outlook",COUNTIF($E$2:E3132,"Outlook"),"")</f>
        <v/>
      </c>
      <c r="K3132">
        <f>IF(E3132="Domain",COUNTIF($E$2:E3132,"Domain"),"")</f>
        <v/>
      </c>
    </row>
    <row r="3133">
      <c r="A3133" s="2" t="n"/>
      <c r="B3133">
        <f>LOWER(TRIM(A3133))</f>
        <v/>
      </c>
      <c r="C3133">
        <f>IF(B3133="","",IFERROR(INDEX('Bad Patterns'!$A$2:$A$120,MATCH(1,INDEX(--ISNUMBER(SEARCH('Bad Patterns'!$A$2:$A$120,B3133)),0),0)),""))</f>
        <v/>
      </c>
      <c r="D3133">
        <f>IF(B3133="","",IF(C3133&lt;&gt;"","REMOVE","KEEP"))</f>
        <v/>
      </c>
      <c r="E3133">
        <f>IF(D3133&lt;&gt;"KEEP","",IF(RIGHT(B3133,10)="@gmail.com","Gmail",IF(OR(RIGHT(B3133,12)="@outlook.com",RIGHT(B3133,12)="@hotmail.com",RIGHT(B3133,9)="@live.com"),"Outlook","Domain")))</f>
        <v/>
      </c>
      <c r="F3133">
        <f>IF(B3133="","",IFERROR(RIGHT(B3133,LEN(B3133)-FIND("@",B3133)),""))</f>
        <v/>
      </c>
      <c r="G3133">
        <f>IF(D3133="KEEP",COUNTIF($D$2:D3133,"KEEP"),"")</f>
        <v/>
      </c>
      <c r="H3133">
        <f>IF(D3133="REMOVE",COUNTIF($D$2:D3133,"REMOVE"),"")</f>
        <v/>
      </c>
      <c r="I3133">
        <f>IF(E3133="Gmail",COUNTIF($E$2:E3133,"Gmail"),"")</f>
        <v/>
      </c>
      <c r="J3133">
        <f>IF(E3133="Outlook",COUNTIF($E$2:E3133,"Outlook"),"")</f>
        <v/>
      </c>
      <c r="K3133">
        <f>IF(E3133="Domain",COUNTIF($E$2:E3133,"Domain"),"")</f>
        <v/>
      </c>
    </row>
    <row r="3134">
      <c r="A3134" s="2" t="n"/>
      <c r="B3134">
        <f>LOWER(TRIM(A3134))</f>
        <v/>
      </c>
      <c r="C3134">
        <f>IF(B3134="","",IFERROR(INDEX('Bad Patterns'!$A$2:$A$120,MATCH(1,INDEX(--ISNUMBER(SEARCH('Bad Patterns'!$A$2:$A$120,B3134)),0),0)),""))</f>
        <v/>
      </c>
      <c r="D3134">
        <f>IF(B3134="","",IF(C3134&lt;&gt;"","REMOVE","KEEP"))</f>
        <v/>
      </c>
      <c r="E3134">
        <f>IF(D3134&lt;&gt;"KEEP","",IF(RIGHT(B3134,10)="@gmail.com","Gmail",IF(OR(RIGHT(B3134,12)="@outlook.com",RIGHT(B3134,12)="@hotmail.com",RIGHT(B3134,9)="@live.com"),"Outlook","Domain")))</f>
        <v/>
      </c>
      <c r="F3134">
        <f>IF(B3134="","",IFERROR(RIGHT(B3134,LEN(B3134)-FIND("@",B3134)),""))</f>
        <v/>
      </c>
      <c r="G3134">
        <f>IF(D3134="KEEP",COUNTIF($D$2:D3134,"KEEP"),"")</f>
        <v/>
      </c>
      <c r="H3134">
        <f>IF(D3134="REMOVE",COUNTIF($D$2:D3134,"REMOVE"),"")</f>
        <v/>
      </c>
      <c r="I3134">
        <f>IF(E3134="Gmail",COUNTIF($E$2:E3134,"Gmail"),"")</f>
        <v/>
      </c>
      <c r="J3134">
        <f>IF(E3134="Outlook",COUNTIF($E$2:E3134,"Outlook"),"")</f>
        <v/>
      </c>
      <c r="K3134">
        <f>IF(E3134="Domain",COUNTIF($E$2:E3134,"Domain"),"")</f>
        <v/>
      </c>
    </row>
    <row r="3135">
      <c r="A3135" s="2" t="n"/>
      <c r="B3135">
        <f>LOWER(TRIM(A3135))</f>
        <v/>
      </c>
      <c r="C3135">
        <f>IF(B3135="","",IFERROR(INDEX('Bad Patterns'!$A$2:$A$120,MATCH(1,INDEX(--ISNUMBER(SEARCH('Bad Patterns'!$A$2:$A$120,B3135)),0),0)),""))</f>
        <v/>
      </c>
      <c r="D3135">
        <f>IF(B3135="","",IF(C3135&lt;&gt;"","REMOVE","KEEP"))</f>
        <v/>
      </c>
      <c r="E3135">
        <f>IF(D3135&lt;&gt;"KEEP","",IF(RIGHT(B3135,10)="@gmail.com","Gmail",IF(OR(RIGHT(B3135,12)="@outlook.com",RIGHT(B3135,12)="@hotmail.com",RIGHT(B3135,9)="@live.com"),"Outlook","Domain")))</f>
        <v/>
      </c>
      <c r="F3135">
        <f>IF(B3135="","",IFERROR(RIGHT(B3135,LEN(B3135)-FIND("@",B3135)),""))</f>
        <v/>
      </c>
      <c r="G3135">
        <f>IF(D3135="KEEP",COUNTIF($D$2:D3135,"KEEP"),"")</f>
        <v/>
      </c>
      <c r="H3135">
        <f>IF(D3135="REMOVE",COUNTIF($D$2:D3135,"REMOVE"),"")</f>
        <v/>
      </c>
      <c r="I3135">
        <f>IF(E3135="Gmail",COUNTIF($E$2:E3135,"Gmail"),"")</f>
        <v/>
      </c>
      <c r="J3135">
        <f>IF(E3135="Outlook",COUNTIF($E$2:E3135,"Outlook"),"")</f>
        <v/>
      </c>
      <c r="K3135">
        <f>IF(E3135="Domain",COUNTIF($E$2:E3135,"Domain"),"")</f>
        <v/>
      </c>
    </row>
    <row r="3136">
      <c r="A3136" s="2" t="n"/>
      <c r="B3136">
        <f>LOWER(TRIM(A3136))</f>
        <v/>
      </c>
      <c r="C3136">
        <f>IF(B3136="","",IFERROR(INDEX('Bad Patterns'!$A$2:$A$120,MATCH(1,INDEX(--ISNUMBER(SEARCH('Bad Patterns'!$A$2:$A$120,B3136)),0),0)),""))</f>
        <v/>
      </c>
      <c r="D3136">
        <f>IF(B3136="","",IF(C3136&lt;&gt;"","REMOVE","KEEP"))</f>
        <v/>
      </c>
      <c r="E3136">
        <f>IF(D3136&lt;&gt;"KEEP","",IF(RIGHT(B3136,10)="@gmail.com","Gmail",IF(OR(RIGHT(B3136,12)="@outlook.com",RIGHT(B3136,12)="@hotmail.com",RIGHT(B3136,9)="@live.com"),"Outlook","Domain")))</f>
        <v/>
      </c>
      <c r="F3136">
        <f>IF(B3136="","",IFERROR(RIGHT(B3136,LEN(B3136)-FIND("@",B3136)),""))</f>
        <v/>
      </c>
      <c r="G3136">
        <f>IF(D3136="KEEP",COUNTIF($D$2:D3136,"KEEP"),"")</f>
        <v/>
      </c>
      <c r="H3136">
        <f>IF(D3136="REMOVE",COUNTIF($D$2:D3136,"REMOVE"),"")</f>
        <v/>
      </c>
      <c r="I3136">
        <f>IF(E3136="Gmail",COUNTIF($E$2:E3136,"Gmail"),"")</f>
        <v/>
      </c>
      <c r="J3136">
        <f>IF(E3136="Outlook",COUNTIF($E$2:E3136,"Outlook"),"")</f>
        <v/>
      </c>
      <c r="K3136">
        <f>IF(E3136="Domain",COUNTIF($E$2:E3136,"Domain"),"")</f>
        <v/>
      </c>
    </row>
    <row r="3137">
      <c r="A3137" s="2" t="n"/>
      <c r="B3137">
        <f>LOWER(TRIM(A3137))</f>
        <v/>
      </c>
      <c r="C3137">
        <f>IF(B3137="","",IFERROR(INDEX('Bad Patterns'!$A$2:$A$120,MATCH(1,INDEX(--ISNUMBER(SEARCH('Bad Patterns'!$A$2:$A$120,B3137)),0),0)),""))</f>
        <v/>
      </c>
      <c r="D3137">
        <f>IF(B3137="","",IF(C3137&lt;&gt;"","REMOVE","KEEP"))</f>
        <v/>
      </c>
      <c r="E3137">
        <f>IF(D3137&lt;&gt;"KEEP","",IF(RIGHT(B3137,10)="@gmail.com","Gmail",IF(OR(RIGHT(B3137,12)="@outlook.com",RIGHT(B3137,12)="@hotmail.com",RIGHT(B3137,9)="@live.com"),"Outlook","Domain")))</f>
        <v/>
      </c>
      <c r="F3137">
        <f>IF(B3137="","",IFERROR(RIGHT(B3137,LEN(B3137)-FIND("@",B3137)),""))</f>
        <v/>
      </c>
      <c r="G3137">
        <f>IF(D3137="KEEP",COUNTIF($D$2:D3137,"KEEP"),"")</f>
        <v/>
      </c>
      <c r="H3137">
        <f>IF(D3137="REMOVE",COUNTIF($D$2:D3137,"REMOVE"),"")</f>
        <v/>
      </c>
      <c r="I3137">
        <f>IF(E3137="Gmail",COUNTIF($E$2:E3137,"Gmail"),"")</f>
        <v/>
      </c>
      <c r="J3137">
        <f>IF(E3137="Outlook",COUNTIF($E$2:E3137,"Outlook"),"")</f>
        <v/>
      </c>
      <c r="K3137">
        <f>IF(E3137="Domain",COUNTIF($E$2:E3137,"Domain"),"")</f>
        <v/>
      </c>
    </row>
    <row r="3138">
      <c r="A3138" s="2" t="n"/>
      <c r="B3138">
        <f>LOWER(TRIM(A3138))</f>
        <v/>
      </c>
      <c r="C3138">
        <f>IF(B3138="","",IFERROR(INDEX('Bad Patterns'!$A$2:$A$120,MATCH(1,INDEX(--ISNUMBER(SEARCH('Bad Patterns'!$A$2:$A$120,B3138)),0),0)),""))</f>
        <v/>
      </c>
      <c r="D3138">
        <f>IF(B3138="","",IF(C3138&lt;&gt;"","REMOVE","KEEP"))</f>
        <v/>
      </c>
      <c r="E3138">
        <f>IF(D3138&lt;&gt;"KEEP","",IF(RIGHT(B3138,10)="@gmail.com","Gmail",IF(OR(RIGHT(B3138,12)="@outlook.com",RIGHT(B3138,12)="@hotmail.com",RIGHT(B3138,9)="@live.com"),"Outlook","Domain")))</f>
        <v/>
      </c>
      <c r="F3138">
        <f>IF(B3138="","",IFERROR(RIGHT(B3138,LEN(B3138)-FIND("@",B3138)),""))</f>
        <v/>
      </c>
      <c r="G3138">
        <f>IF(D3138="KEEP",COUNTIF($D$2:D3138,"KEEP"),"")</f>
        <v/>
      </c>
      <c r="H3138">
        <f>IF(D3138="REMOVE",COUNTIF($D$2:D3138,"REMOVE"),"")</f>
        <v/>
      </c>
      <c r="I3138">
        <f>IF(E3138="Gmail",COUNTIF($E$2:E3138,"Gmail"),"")</f>
        <v/>
      </c>
      <c r="J3138">
        <f>IF(E3138="Outlook",COUNTIF($E$2:E3138,"Outlook"),"")</f>
        <v/>
      </c>
      <c r="K3138">
        <f>IF(E3138="Domain",COUNTIF($E$2:E3138,"Domain"),"")</f>
        <v/>
      </c>
    </row>
    <row r="3139">
      <c r="A3139" s="2" t="n"/>
      <c r="B3139">
        <f>LOWER(TRIM(A3139))</f>
        <v/>
      </c>
      <c r="C3139">
        <f>IF(B3139="","",IFERROR(INDEX('Bad Patterns'!$A$2:$A$120,MATCH(1,INDEX(--ISNUMBER(SEARCH('Bad Patterns'!$A$2:$A$120,B3139)),0),0)),""))</f>
        <v/>
      </c>
      <c r="D3139">
        <f>IF(B3139="","",IF(C3139&lt;&gt;"","REMOVE","KEEP"))</f>
        <v/>
      </c>
      <c r="E3139">
        <f>IF(D3139&lt;&gt;"KEEP","",IF(RIGHT(B3139,10)="@gmail.com","Gmail",IF(OR(RIGHT(B3139,12)="@outlook.com",RIGHT(B3139,12)="@hotmail.com",RIGHT(B3139,9)="@live.com"),"Outlook","Domain")))</f>
        <v/>
      </c>
      <c r="F3139">
        <f>IF(B3139="","",IFERROR(RIGHT(B3139,LEN(B3139)-FIND("@",B3139)),""))</f>
        <v/>
      </c>
      <c r="G3139">
        <f>IF(D3139="KEEP",COUNTIF($D$2:D3139,"KEEP"),"")</f>
        <v/>
      </c>
      <c r="H3139">
        <f>IF(D3139="REMOVE",COUNTIF($D$2:D3139,"REMOVE"),"")</f>
        <v/>
      </c>
      <c r="I3139">
        <f>IF(E3139="Gmail",COUNTIF($E$2:E3139,"Gmail"),"")</f>
        <v/>
      </c>
      <c r="J3139">
        <f>IF(E3139="Outlook",COUNTIF($E$2:E3139,"Outlook"),"")</f>
        <v/>
      </c>
      <c r="K3139">
        <f>IF(E3139="Domain",COUNTIF($E$2:E3139,"Domain"),"")</f>
        <v/>
      </c>
    </row>
    <row r="3140">
      <c r="A3140" s="2" t="n"/>
      <c r="B3140">
        <f>LOWER(TRIM(A3140))</f>
        <v/>
      </c>
      <c r="C3140">
        <f>IF(B3140="","",IFERROR(INDEX('Bad Patterns'!$A$2:$A$120,MATCH(1,INDEX(--ISNUMBER(SEARCH('Bad Patterns'!$A$2:$A$120,B3140)),0),0)),""))</f>
        <v/>
      </c>
      <c r="D3140">
        <f>IF(B3140="","",IF(C3140&lt;&gt;"","REMOVE","KEEP"))</f>
        <v/>
      </c>
      <c r="E3140">
        <f>IF(D3140&lt;&gt;"KEEP","",IF(RIGHT(B3140,10)="@gmail.com","Gmail",IF(OR(RIGHT(B3140,12)="@outlook.com",RIGHT(B3140,12)="@hotmail.com",RIGHT(B3140,9)="@live.com"),"Outlook","Domain")))</f>
        <v/>
      </c>
      <c r="F3140">
        <f>IF(B3140="","",IFERROR(RIGHT(B3140,LEN(B3140)-FIND("@",B3140)),""))</f>
        <v/>
      </c>
      <c r="G3140">
        <f>IF(D3140="KEEP",COUNTIF($D$2:D3140,"KEEP"),"")</f>
        <v/>
      </c>
      <c r="H3140">
        <f>IF(D3140="REMOVE",COUNTIF($D$2:D3140,"REMOVE"),"")</f>
        <v/>
      </c>
      <c r="I3140">
        <f>IF(E3140="Gmail",COUNTIF($E$2:E3140,"Gmail"),"")</f>
        <v/>
      </c>
      <c r="J3140">
        <f>IF(E3140="Outlook",COUNTIF($E$2:E3140,"Outlook"),"")</f>
        <v/>
      </c>
      <c r="K3140">
        <f>IF(E3140="Domain",COUNTIF($E$2:E3140,"Domain"),"")</f>
        <v/>
      </c>
    </row>
    <row r="3141">
      <c r="A3141" s="2" t="n"/>
      <c r="B3141">
        <f>LOWER(TRIM(A3141))</f>
        <v/>
      </c>
      <c r="C3141">
        <f>IF(B3141="","",IFERROR(INDEX('Bad Patterns'!$A$2:$A$120,MATCH(1,INDEX(--ISNUMBER(SEARCH('Bad Patterns'!$A$2:$A$120,B3141)),0),0)),""))</f>
        <v/>
      </c>
      <c r="D3141">
        <f>IF(B3141="","",IF(C3141&lt;&gt;"","REMOVE","KEEP"))</f>
        <v/>
      </c>
      <c r="E3141">
        <f>IF(D3141&lt;&gt;"KEEP","",IF(RIGHT(B3141,10)="@gmail.com","Gmail",IF(OR(RIGHT(B3141,12)="@outlook.com",RIGHT(B3141,12)="@hotmail.com",RIGHT(B3141,9)="@live.com"),"Outlook","Domain")))</f>
        <v/>
      </c>
      <c r="F3141">
        <f>IF(B3141="","",IFERROR(RIGHT(B3141,LEN(B3141)-FIND("@",B3141)),""))</f>
        <v/>
      </c>
      <c r="G3141">
        <f>IF(D3141="KEEP",COUNTIF($D$2:D3141,"KEEP"),"")</f>
        <v/>
      </c>
      <c r="H3141">
        <f>IF(D3141="REMOVE",COUNTIF($D$2:D3141,"REMOVE"),"")</f>
        <v/>
      </c>
      <c r="I3141">
        <f>IF(E3141="Gmail",COUNTIF($E$2:E3141,"Gmail"),"")</f>
        <v/>
      </c>
      <c r="J3141">
        <f>IF(E3141="Outlook",COUNTIF($E$2:E3141,"Outlook"),"")</f>
        <v/>
      </c>
      <c r="K3141">
        <f>IF(E3141="Domain",COUNTIF($E$2:E3141,"Domain"),"")</f>
        <v/>
      </c>
    </row>
    <row r="3142">
      <c r="A3142" s="2" t="n"/>
      <c r="B3142">
        <f>LOWER(TRIM(A3142))</f>
        <v/>
      </c>
      <c r="C3142">
        <f>IF(B3142="","",IFERROR(INDEX('Bad Patterns'!$A$2:$A$120,MATCH(1,INDEX(--ISNUMBER(SEARCH('Bad Patterns'!$A$2:$A$120,B3142)),0),0)),""))</f>
        <v/>
      </c>
      <c r="D3142">
        <f>IF(B3142="","",IF(C3142&lt;&gt;"","REMOVE","KEEP"))</f>
        <v/>
      </c>
      <c r="E3142">
        <f>IF(D3142&lt;&gt;"KEEP","",IF(RIGHT(B3142,10)="@gmail.com","Gmail",IF(OR(RIGHT(B3142,12)="@outlook.com",RIGHT(B3142,12)="@hotmail.com",RIGHT(B3142,9)="@live.com"),"Outlook","Domain")))</f>
        <v/>
      </c>
      <c r="F3142">
        <f>IF(B3142="","",IFERROR(RIGHT(B3142,LEN(B3142)-FIND("@",B3142)),""))</f>
        <v/>
      </c>
      <c r="G3142">
        <f>IF(D3142="KEEP",COUNTIF($D$2:D3142,"KEEP"),"")</f>
        <v/>
      </c>
      <c r="H3142">
        <f>IF(D3142="REMOVE",COUNTIF($D$2:D3142,"REMOVE"),"")</f>
        <v/>
      </c>
      <c r="I3142">
        <f>IF(E3142="Gmail",COUNTIF($E$2:E3142,"Gmail"),"")</f>
        <v/>
      </c>
      <c r="J3142">
        <f>IF(E3142="Outlook",COUNTIF($E$2:E3142,"Outlook"),"")</f>
        <v/>
      </c>
      <c r="K3142">
        <f>IF(E3142="Domain",COUNTIF($E$2:E3142,"Domain"),"")</f>
        <v/>
      </c>
    </row>
    <row r="3143">
      <c r="A3143" s="2" t="n"/>
      <c r="B3143">
        <f>LOWER(TRIM(A3143))</f>
        <v/>
      </c>
      <c r="C3143">
        <f>IF(B3143="","",IFERROR(INDEX('Bad Patterns'!$A$2:$A$120,MATCH(1,INDEX(--ISNUMBER(SEARCH('Bad Patterns'!$A$2:$A$120,B3143)),0),0)),""))</f>
        <v/>
      </c>
      <c r="D3143">
        <f>IF(B3143="","",IF(C3143&lt;&gt;"","REMOVE","KEEP"))</f>
        <v/>
      </c>
      <c r="E3143">
        <f>IF(D3143&lt;&gt;"KEEP","",IF(RIGHT(B3143,10)="@gmail.com","Gmail",IF(OR(RIGHT(B3143,12)="@outlook.com",RIGHT(B3143,12)="@hotmail.com",RIGHT(B3143,9)="@live.com"),"Outlook","Domain")))</f>
        <v/>
      </c>
      <c r="F3143">
        <f>IF(B3143="","",IFERROR(RIGHT(B3143,LEN(B3143)-FIND("@",B3143)),""))</f>
        <v/>
      </c>
      <c r="G3143">
        <f>IF(D3143="KEEP",COUNTIF($D$2:D3143,"KEEP"),"")</f>
        <v/>
      </c>
      <c r="H3143">
        <f>IF(D3143="REMOVE",COUNTIF($D$2:D3143,"REMOVE"),"")</f>
        <v/>
      </c>
      <c r="I3143">
        <f>IF(E3143="Gmail",COUNTIF($E$2:E3143,"Gmail"),"")</f>
        <v/>
      </c>
      <c r="J3143">
        <f>IF(E3143="Outlook",COUNTIF($E$2:E3143,"Outlook"),"")</f>
        <v/>
      </c>
      <c r="K3143">
        <f>IF(E3143="Domain",COUNTIF($E$2:E3143,"Domain"),"")</f>
        <v/>
      </c>
    </row>
    <row r="3144">
      <c r="A3144" s="2" t="n"/>
      <c r="B3144">
        <f>LOWER(TRIM(A3144))</f>
        <v/>
      </c>
      <c r="C3144">
        <f>IF(B3144="","",IFERROR(INDEX('Bad Patterns'!$A$2:$A$120,MATCH(1,INDEX(--ISNUMBER(SEARCH('Bad Patterns'!$A$2:$A$120,B3144)),0),0)),""))</f>
        <v/>
      </c>
      <c r="D3144">
        <f>IF(B3144="","",IF(C3144&lt;&gt;"","REMOVE","KEEP"))</f>
        <v/>
      </c>
      <c r="E3144">
        <f>IF(D3144&lt;&gt;"KEEP","",IF(RIGHT(B3144,10)="@gmail.com","Gmail",IF(OR(RIGHT(B3144,12)="@outlook.com",RIGHT(B3144,12)="@hotmail.com",RIGHT(B3144,9)="@live.com"),"Outlook","Domain")))</f>
        <v/>
      </c>
      <c r="F3144">
        <f>IF(B3144="","",IFERROR(RIGHT(B3144,LEN(B3144)-FIND("@",B3144)),""))</f>
        <v/>
      </c>
      <c r="G3144">
        <f>IF(D3144="KEEP",COUNTIF($D$2:D3144,"KEEP"),"")</f>
        <v/>
      </c>
      <c r="H3144">
        <f>IF(D3144="REMOVE",COUNTIF($D$2:D3144,"REMOVE"),"")</f>
        <v/>
      </c>
      <c r="I3144">
        <f>IF(E3144="Gmail",COUNTIF($E$2:E3144,"Gmail"),"")</f>
        <v/>
      </c>
      <c r="J3144">
        <f>IF(E3144="Outlook",COUNTIF($E$2:E3144,"Outlook"),"")</f>
        <v/>
      </c>
      <c r="K3144">
        <f>IF(E3144="Domain",COUNTIF($E$2:E3144,"Domain"),"")</f>
        <v/>
      </c>
    </row>
    <row r="3145">
      <c r="A3145" s="2" t="n"/>
      <c r="B3145">
        <f>LOWER(TRIM(A3145))</f>
        <v/>
      </c>
      <c r="C3145">
        <f>IF(B3145="","",IFERROR(INDEX('Bad Patterns'!$A$2:$A$120,MATCH(1,INDEX(--ISNUMBER(SEARCH('Bad Patterns'!$A$2:$A$120,B3145)),0),0)),""))</f>
        <v/>
      </c>
      <c r="D3145">
        <f>IF(B3145="","",IF(C3145&lt;&gt;"","REMOVE","KEEP"))</f>
        <v/>
      </c>
      <c r="E3145">
        <f>IF(D3145&lt;&gt;"KEEP","",IF(RIGHT(B3145,10)="@gmail.com","Gmail",IF(OR(RIGHT(B3145,12)="@outlook.com",RIGHT(B3145,12)="@hotmail.com",RIGHT(B3145,9)="@live.com"),"Outlook","Domain")))</f>
        <v/>
      </c>
      <c r="F3145">
        <f>IF(B3145="","",IFERROR(RIGHT(B3145,LEN(B3145)-FIND("@",B3145)),""))</f>
        <v/>
      </c>
      <c r="G3145">
        <f>IF(D3145="KEEP",COUNTIF($D$2:D3145,"KEEP"),"")</f>
        <v/>
      </c>
      <c r="H3145">
        <f>IF(D3145="REMOVE",COUNTIF($D$2:D3145,"REMOVE"),"")</f>
        <v/>
      </c>
      <c r="I3145">
        <f>IF(E3145="Gmail",COUNTIF($E$2:E3145,"Gmail"),"")</f>
        <v/>
      </c>
      <c r="J3145">
        <f>IF(E3145="Outlook",COUNTIF($E$2:E3145,"Outlook"),"")</f>
        <v/>
      </c>
      <c r="K3145">
        <f>IF(E3145="Domain",COUNTIF($E$2:E3145,"Domain"),"")</f>
        <v/>
      </c>
    </row>
    <row r="3146">
      <c r="A3146" s="2" t="n"/>
      <c r="B3146">
        <f>LOWER(TRIM(A3146))</f>
        <v/>
      </c>
      <c r="C3146">
        <f>IF(B3146="","",IFERROR(INDEX('Bad Patterns'!$A$2:$A$120,MATCH(1,INDEX(--ISNUMBER(SEARCH('Bad Patterns'!$A$2:$A$120,B3146)),0),0)),""))</f>
        <v/>
      </c>
      <c r="D3146">
        <f>IF(B3146="","",IF(C3146&lt;&gt;"","REMOVE","KEEP"))</f>
        <v/>
      </c>
      <c r="E3146">
        <f>IF(D3146&lt;&gt;"KEEP","",IF(RIGHT(B3146,10)="@gmail.com","Gmail",IF(OR(RIGHT(B3146,12)="@outlook.com",RIGHT(B3146,12)="@hotmail.com",RIGHT(B3146,9)="@live.com"),"Outlook","Domain")))</f>
        <v/>
      </c>
      <c r="F3146">
        <f>IF(B3146="","",IFERROR(RIGHT(B3146,LEN(B3146)-FIND("@",B3146)),""))</f>
        <v/>
      </c>
      <c r="G3146">
        <f>IF(D3146="KEEP",COUNTIF($D$2:D3146,"KEEP"),"")</f>
        <v/>
      </c>
      <c r="H3146">
        <f>IF(D3146="REMOVE",COUNTIF($D$2:D3146,"REMOVE"),"")</f>
        <v/>
      </c>
      <c r="I3146">
        <f>IF(E3146="Gmail",COUNTIF($E$2:E3146,"Gmail"),"")</f>
        <v/>
      </c>
      <c r="J3146">
        <f>IF(E3146="Outlook",COUNTIF($E$2:E3146,"Outlook"),"")</f>
        <v/>
      </c>
      <c r="K3146">
        <f>IF(E3146="Domain",COUNTIF($E$2:E3146,"Domain"),"")</f>
        <v/>
      </c>
    </row>
    <row r="3147">
      <c r="A3147" s="2" t="n"/>
      <c r="B3147">
        <f>LOWER(TRIM(A3147))</f>
        <v/>
      </c>
      <c r="C3147">
        <f>IF(B3147="","",IFERROR(INDEX('Bad Patterns'!$A$2:$A$120,MATCH(1,INDEX(--ISNUMBER(SEARCH('Bad Patterns'!$A$2:$A$120,B3147)),0),0)),""))</f>
        <v/>
      </c>
      <c r="D3147">
        <f>IF(B3147="","",IF(C3147&lt;&gt;"","REMOVE","KEEP"))</f>
        <v/>
      </c>
      <c r="E3147">
        <f>IF(D3147&lt;&gt;"KEEP","",IF(RIGHT(B3147,10)="@gmail.com","Gmail",IF(OR(RIGHT(B3147,12)="@outlook.com",RIGHT(B3147,12)="@hotmail.com",RIGHT(B3147,9)="@live.com"),"Outlook","Domain")))</f>
        <v/>
      </c>
      <c r="F3147">
        <f>IF(B3147="","",IFERROR(RIGHT(B3147,LEN(B3147)-FIND("@",B3147)),""))</f>
        <v/>
      </c>
      <c r="G3147">
        <f>IF(D3147="KEEP",COUNTIF($D$2:D3147,"KEEP"),"")</f>
        <v/>
      </c>
      <c r="H3147">
        <f>IF(D3147="REMOVE",COUNTIF($D$2:D3147,"REMOVE"),"")</f>
        <v/>
      </c>
      <c r="I3147">
        <f>IF(E3147="Gmail",COUNTIF($E$2:E3147,"Gmail"),"")</f>
        <v/>
      </c>
      <c r="J3147">
        <f>IF(E3147="Outlook",COUNTIF($E$2:E3147,"Outlook"),"")</f>
        <v/>
      </c>
      <c r="K3147">
        <f>IF(E3147="Domain",COUNTIF($E$2:E3147,"Domain"),"")</f>
        <v/>
      </c>
    </row>
    <row r="3148">
      <c r="A3148" s="2" t="n"/>
      <c r="B3148">
        <f>LOWER(TRIM(A3148))</f>
        <v/>
      </c>
      <c r="C3148">
        <f>IF(B3148="","",IFERROR(INDEX('Bad Patterns'!$A$2:$A$120,MATCH(1,INDEX(--ISNUMBER(SEARCH('Bad Patterns'!$A$2:$A$120,B3148)),0),0)),""))</f>
        <v/>
      </c>
      <c r="D3148">
        <f>IF(B3148="","",IF(C3148&lt;&gt;"","REMOVE","KEEP"))</f>
        <v/>
      </c>
      <c r="E3148">
        <f>IF(D3148&lt;&gt;"KEEP","",IF(RIGHT(B3148,10)="@gmail.com","Gmail",IF(OR(RIGHT(B3148,12)="@outlook.com",RIGHT(B3148,12)="@hotmail.com",RIGHT(B3148,9)="@live.com"),"Outlook","Domain")))</f>
        <v/>
      </c>
      <c r="F3148">
        <f>IF(B3148="","",IFERROR(RIGHT(B3148,LEN(B3148)-FIND("@",B3148)),""))</f>
        <v/>
      </c>
      <c r="G3148">
        <f>IF(D3148="KEEP",COUNTIF($D$2:D3148,"KEEP"),"")</f>
        <v/>
      </c>
      <c r="H3148">
        <f>IF(D3148="REMOVE",COUNTIF($D$2:D3148,"REMOVE"),"")</f>
        <v/>
      </c>
      <c r="I3148">
        <f>IF(E3148="Gmail",COUNTIF($E$2:E3148,"Gmail"),"")</f>
        <v/>
      </c>
      <c r="J3148">
        <f>IF(E3148="Outlook",COUNTIF($E$2:E3148,"Outlook"),"")</f>
        <v/>
      </c>
      <c r="K3148">
        <f>IF(E3148="Domain",COUNTIF($E$2:E3148,"Domain"),"")</f>
        <v/>
      </c>
    </row>
    <row r="3149">
      <c r="A3149" s="2" t="n"/>
      <c r="B3149">
        <f>LOWER(TRIM(A3149))</f>
        <v/>
      </c>
      <c r="C3149">
        <f>IF(B3149="","",IFERROR(INDEX('Bad Patterns'!$A$2:$A$120,MATCH(1,INDEX(--ISNUMBER(SEARCH('Bad Patterns'!$A$2:$A$120,B3149)),0),0)),""))</f>
        <v/>
      </c>
      <c r="D3149">
        <f>IF(B3149="","",IF(C3149&lt;&gt;"","REMOVE","KEEP"))</f>
        <v/>
      </c>
      <c r="E3149">
        <f>IF(D3149&lt;&gt;"KEEP","",IF(RIGHT(B3149,10)="@gmail.com","Gmail",IF(OR(RIGHT(B3149,12)="@outlook.com",RIGHT(B3149,12)="@hotmail.com",RIGHT(B3149,9)="@live.com"),"Outlook","Domain")))</f>
        <v/>
      </c>
      <c r="F3149">
        <f>IF(B3149="","",IFERROR(RIGHT(B3149,LEN(B3149)-FIND("@",B3149)),""))</f>
        <v/>
      </c>
      <c r="G3149">
        <f>IF(D3149="KEEP",COUNTIF($D$2:D3149,"KEEP"),"")</f>
        <v/>
      </c>
      <c r="H3149">
        <f>IF(D3149="REMOVE",COUNTIF($D$2:D3149,"REMOVE"),"")</f>
        <v/>
      </c>
      <c r="I3149">
        <f>IF(E3149="Gmail",COUNTIF($E$2:E3149,"Gmail"),"")</f>
        <v/>
      </c>
      <c r="J3149">
        <f>IF(E3149="Outlook",COUNTIF($E$2:E3149,"Outlook"),"")</f>
        <v/>
      </c>
      <c r="K3149">
        <f>IF(E3149="Domain",COUNTIF($E$2:E3149,"Domain"),"")</f>
        <v/>
      </c>
    </row>
    <row r="3150">
      <c r="A3150" s="2" t="n"/>
      <c r="B3150">
        <f>LOWER(TRIM(A3150))</f>
        <v/>
      </c>
      <c r="C3150">
        <f>IF(B3150="","",IFERROR(INDEX('Bad Patterns'!$A$2:$A$120,MATCH(1,INDEX(--ISNUMBER(SEARCH('Bad Patterns'!$A$2:$A$120,B3150)),0),0)),""))</f>
        <v/>
      </c>
      <c r="D3150">
        <f>IF(B3150="","",IF(C3150&lt;&gt;"","REMOVE","KEEP"))</f>
        <v/>
      </c>
      <c r="E3150">
        <f>IF(D3150&lt;&gt;"KEEP","",IF(RIGHT(B3150,10)="@gmail.com","Gmail",IF(OR(RIGHT(B3150,12)="@outlook.com",RIGHT(B3150,12)="@hotmail.com",RIGHT(B3150,9)="@live.com"),"Outlook","Domain")))</f>
        <v/>
      </c>
      <c r="F3150">
        <f>IF(B3150="","",IFERROR(RIGHT(B3150,LEN(B3150)-FIND("@",B3150)),""))</f>
        <v/>
      </c>
      <c r="G3150">
        <f>IF(D3150="KEEP",COUNTIF($D$2:D3150,"KEEP"),"")</f>
        <v/>
      </c>
      <c r="H3150">
        <f>IF(D3150="REMOVE",COUNTIF($D$2:D3150,"REMOVE"),"")</f>
        <v/>
      </c>
      <c r="I3150">
        <f>IF(E3150="Gmail",COUNTIF($E$2:E3150,"Gmail"),"")</f>
        <v/>
      </c>
      <c r="J3150">
        <f>IF(E3150="Outlook",COUNTIF($E$2:E3150,"Outlook"),"")</f>
        <v/>
      </c>
      <c r="K3150">
        <f>IF(E3150="Domain",COUNTIF($E$2:E3150,"Domain"),"")</f>
        <v/>
      </c>
    </row>
    <row r="3151">
      <c r="A3151" s="2" t="n"/>
      <c r="B3151">
        <f>LOWER(TRIM(A3151))</f>
        <v/>
      </c>
      <c r="C3151">
        <f>IF(B3151="","",IFERROR(INDEX('Bad Patterns'!$A$2:$A$120,MATCH(1,INDEX(--ISNUMBER(SEARCH('Bad Patterns'!$A$2:$A$120,B3151)),0),0)),""))</f>
        <v/>
      </c>
      <c r="D3151">
        <f>IF(B3151="","",IF(C3151&lt;&gt;"","REMOVE","KEEP"))</f>
        <v/>
      </c>
      <c r="E3151">
        <f>IF(D3151&lt;&gt;"KEEP","",IF(RIGHT(B3151,10)="@gmail.com","Gmail",IF(OR(RIGHT(B3151,12)="@outlook.com",RIGHT(B3151,12)="@hotmail.com",RIGHT(B3151,9)="@live.com"),"Outlook","Domain")))</f>
        <v/>
      </c>
      <c r="F3151">
        <f>IF(B3151="","",IFERROR(RIGHT(B3151,LEN(B3151)-FIND("@",B3151)),""))</f>
        <v/>
      </c>
      <c r="G3151">
        <f>IF(D3151="KEEP",COUNTIF($D$2:D3151,"KEEP"),"")</f>
        <v/>
      </c>
      <c r="H3151">
        <f>IF(D3151="REMOVE",COUNTIF($D$2:D3151,"REMOVE"),"")</f>
        <v/>
      </c>
      <c r="I3151">
        <f>IF(E3151="Gmail",COUNTIF($E$2:E3151,"Gmail"),"")</f>
        <v/>
      </c>
      <c r="J3151">
        <f>IF(E3151="Outlook",COUNTIF($E$2:E3151,"Outlook"),"")</f>
        <v/>
      </c>
      <c r="K3151">
        <f>IF(E3151="Domain",COUNTIF($E$2:E3151,"Domain"),"")</f>
        <v/>
      </c>
    </row>
    <row r="3152">
      <c r="A3152" s="2" t="n"/>
      <c r="B3152">
        <f>LOWER(TRIM(A3152))</f>
        <v/>
      </c>
      <c r="C3152">
        <f>IF(B3152="","",IFERROR(INDEX('Bad Patterns'!$A$2:$A$120,MATCH(1,INDEX(--ISNUMBER(SEARCH('Bad Patterns'!$A$2:$A$120,B3152)),0),0)),""))</f>
        <v/>
      </c>
      <c r="D3152">
        <f>IF(B3152="","",IF(C3152&lt;&gt;"","REMOVE","KEEP"))</f>
        <v/>
      </c>
      <c r="E3152">
        <f>IF(D3152&lt;&gt;"KEEP","",IF(RIGHT(B3152,10)="@gmail.com","Gmail",IF(OR(RIGHT(B3152,12)="@outlook.com",RIGHT(B3152,12)="@hotmail.com",RIGHT(B3152,9)="@live.com"),"Outlook","Domain")))</f>
        <v/>
      </c>
      <c r="F3152">
        <f>IF(B3152="","",IFERROR(RIGHT(B3152,LEN(B3152)-FIND("@",B3152)),""))</f>
        <v/>
      </c>
      <c r="G3152">
        <f>IF(D3152="KEEP",COUNTIF($D$2:D3152,"KEEP"),"")</f>
        <v/>
      </c>
      <c r="H3152">
        <f>IF(D3152="REMOVE",COUNTIF($D$2:D3152,"REMOVE"),"")</f>
        <v/>
      </c>
      <c r="I3152">
        <f>IF(E3152="Gmail",COUNTIF($E$2:E3152,"Gmail"),"")</f>
        <v/>
      </c>
      <c r="J3152">
        <f>IF(E3152="Outlook",COUNTIF($E$2:E3152,"Outlook"),"")</f>
        <v/>
      </c>
      <c r="K3152">
        <f>IF(E3152="Domain",COUNTIF($E$2:E3152,"Domain"),"")</f>
        <v/>
      </c>
    </row>
    <row r="3153">
      <c r="A3153" s="2" t="n"/>
      <c r="B3153">
        <f>LOWER(TRIM(A3153))</f>
        <v/>
      </c>
      <c r="C3153">
        <f>IF(B3153="","",IFERROR(INDEX('Bad Patterns'!$A$2:$A$120,MATCH(1,INDEX(--ISNUMBER(SEARCH('Bad Patterns'!$A$2:$A$120,B3153)),0),0)),""))</f>
        <v/>
      </c>
      <c r="D3153">
        <f>IF(B3153="","",IF(C3153&lt;&gt;"","REMOVE","KEEP"))</f>
        <v/>
      </c>
      <c r="E3153">
        <f>IF(D3153&lt;&gt;"KEEP","",IF(RIGHT(B3153,10)="@gmail.com","Gmail",IF(OR(RIGHT(B3153,12)="@outlook.com",RIGHT(B3153,12)="@hotmail.com",RIGHT(B3153,9)="@live.com"),"Outlook","Domain")))</f>
        <v/>
      </c>
      <c r="F3153">
        <f>IF(B3153="","",IFERROR(RIGHT(B3153,LEN(B3153)-FIND("@",B3153)),""))</f>
        <v/>
      </c>
      <c r="G3153">
        <f>IF(D3153="KEEP",COUNTIF($D$2:D3153,"KEEP"),"")</f>
        <v/>
      </c>
      <c r="H3153">
        <f>IF(D3153="REMOVE",COUNTIF($D$2:D3153,"REMOVE"),"")</f>
        <v/>
      </c>
      <c r="I3153">
        <f>IF(E3153="Gmail",COUNTIF($E$2:E3153,"Gmail"),"")</f>
        <v/>
      </c>
      <c r="J3153">
        <f>IF(E3153="Outlook",COUNTIF($E$2:E3153,"Outlook"),"")</f>
        <v/>
      </c>
      <c r="K3153">
        <f>IF(E3153="Domain",COUNTIF($E$2:E3153,"Domain"),"")</f>
        <v/>
      </c>
    </row>
    <row r="3154">
      <c r="A3154" s="2" t="n"/>
      <c r="B3154">
        <f>LOWER(TRIM(A3154))</f>
        <v/>
      </c>
      <c r="C3154">
        <f>IF(B3154="","",IFERROR(INDEX('Bad Patterns'!$A$2:$A$120,MATCH(1,INDEX(--ISNUMBER(SEARCH('Bad Patterns'!$A$2:$A$120,B3154)),0),0)),""))</f>
        <v/>
      </c>
      <c r="D3154">
        <f>IF(B3154="","",IF(C3154&lt;&gt;"","REMOVE","KEEP"))</f>
        <v/>
      </c>
      <c r="E3154">
        <f>IF(D3154&lt;&gt;"KEEP","",IF(RIGHT(B3154,10)="@gmail.com","Gmail",IF(OR(RIGHT(B3154,12)="@outlook.com",RIGHT(B3154,12)="@hotmail.com",RIGHT(B3154,9)="@live.com"),"Outlook","Domain")))</f>
        <v/>
      </c>
      <c r="F3154">
        <f>IF(B3154="","",IFERROR(RIGHT(B3154,LEN(B3154)-FIND("@",B3154)),""))</f>
        <v/>
      </c>
      <c r="G3154">
        <f>IF(D3154="KEEP",COUNTIF($D$2:D3154,"KEEP"),"")</f>
        <v/>
      </c>
      <c r="H3154">
        <f>IF(D3154="REMOVE",COUNTIF($D$2:D3154,"REMOVE"),"")</f>
        <v/>
      </c>
      <c r="I3154">
        <f>IF(E3154="Gmail",COUNTIF($E$2:E3154,"Gmail"),"")</f>
        <v/>
      </c>
      <c r="J3154">
        <f>IF(E3154="Outlook",COUNTIF($E$2:E3154,"Outlook"),"")</f>
        <v/>
      </c>
      <c r="K3154">
        <f>IF(E3154="Domain",COUNTIF($E$2:E3154,"Domain"),"")</f>
        <v/>
      </c>
    </row>
    <row r="3155">
      <c r="A3155" s="2" t="n"/>
      <c r="B3155">
        <f>LOWER(TRIM(A3155))</f>
        <v/>
      </c>
      <c r="C3155">
        <f>IF(B3155="","",IFERROR(INDEX('Bad Patterns'!$A$2:$A$120,MATCH(1,INDEX(--ISNUMBER(SEARCH('Bad Patterns'!$A$2:$A$120,B3155)),0),0)),""))</f>
        <v/>
      </c>
      <c r="D3155">
        <f>IF(B3155="","",IF(C3155&lt;&gt;"","REMOVE","KEEP"))</f>
        <v/>
      </c>
      <c r="E3155">
        <f>IF(D3155&lt;&gt;"KEEP","",IF(RIGHT(B3155,10)="@gmail.com","Gmail",IF(OR(RIGHT(B3155,12)="@outlook.com",RIGHT(B3155,12)="@hotmail.com",RIGHT(B3155,9)="@live.com"),"Outlook","Domain")))</f>
        <v/>
      </c>
      <c r="F3155">
        <f>IF(B3155="","",IFERROR(RIGHT(B3155,LEN(B3155)-FIND("@",B3155)),""))</f>
        <v/>
      </c>
      <c r="G3155">
        <f>IF(D3155="KEEP",COUNTIF($D$2:D3155,"KEEP"),"")</f>
        <v/>
      </c>
      <c r="H3155">
        <f>IF(D3155="REMOVE",COUNTIF($D$2:D3155,"REMOVE"),"")</f>
        <v/>
      </c>
      <c r="I3155">
        <f>IF(E3155="Gmail",COUNTIF($E$2:E3155,"Gmail"),"")</f>
        <v/>
      </c>
      <c r="J3155">
        <f>IF(E3155="Outlook",COUNTIF($E$2:E3155,"Outlook"),"")</f>
        <v/>
      </c>
      <c r="K3155">
        <f>IF(E3155="Domain",COUNTIF($E$2:E3155,"Domain"),"")</f>
        <v/>
      </c>
    </row>
    <row r="3156">
      <c r="A3156" s="2" t="n"/>
      <c r="B3156">
        <f>LOWER(TRIM(A3156))</f>
        <v/>
      </c>
      <c r="C3156">
        <f>IF(B3156="","",IFERROR(INDEX('Bad Patterns'!$A$2:$A$120,MATCH(1,INDEX(--ISNUMBER(SEARCH('Bad Patterns'!$A$2:$A$120,B3156)),0),0)),""))</f>
        <v/>
      </c>
      <c r="D3156">
        <f>IF(B3156="","",IF(C3156&lt;&gt;"","REMOVE","KEEP"))</f>
        <v/>
      </c>
      <c r="E3156">
        <f>IF(D3156&lt;&gt;"KEEP","",IF(RIGHT(B3156,10)="@gmail.com","Gmail",IF(OR(RIGHT(B3156,12)="@outlook.com",RIGHT(B3156,12)="@hotmail.com",RIGHT(B3156,9)="@live.com"),"Outlook","Domain")))</f>
        <v/>
      </c>
      <c r="F3156">
        <f>IF(B3156="","",IFERROR(RIGHT(B3156,LEN(B3156)-FIND("@",B3156)),""))</f>
        <v/>
      </c>
      <c r="G3156">
        <f>IF(D3156="KEEP",COUNTIF($D$2:D3156,"KEEP"),"")</f>
        <v/>
      </c>
      <c r="H3156">
        <f>IF(D3156="REMOVE",COUNTIF($D$2:D3156,"REMOVE"),"")</f>
        <v/>
      </c>
      <c r="I3156">
        <f>IF(E3156="Gmail",COUNTIF($E$2:E3156,"Gmail"),"")</f>
        <v/>
      </c>
      <c r="J3156">
        <f>IF(E3156="Outlook",COUNTIF($E$2:E3156,"Outlook"),"")</f>
        <v/>
      </c>
      <c r="K3156">
        <f>IF(E3156="Domain",COUNTIF($E$2:E3156,"Domain"),"")</f>
        <v/>
      </c>
    </row>
    <row r="3157">
      <c r="A3157" s="2" t="n"/>
      <c r="B3157">
        <f>LOWER(TRIM(A3157))</f>
        <v/>
      </c>
      <c r="C3157">
        <f>IF(B3157="","",IFERROR(INDEX('Bad Patterns'!$A$2:$A$120,MATCH(1,INDEX(--ISNUMBER(SEARCH('Bad Patterns'!$A$2:$A$120,B3157)),0),0)),""))</f>
        <v/>
      </c>
      <c r="D3157">
        <f>IF(B3157="","",IF(C3157&lt;&gt;"","REMOVE","KEEP"))</f>
        <v/>
      </c>
      <c r="E3157">
        <f>IF(D3157&lt;&gt;"KEEP","",IF(RIGHT(B3157,10)="@gmail.com","Gmail",IF(OR(RIGHT(B3157,12)="@outlook.com",RIGHT(B3157,12)="@hotmail.com",RIGHT(B3157,9)="@live.com"),"Outlook","Domain")))</f>
        <v/>
      </c>
      <c r="F3157">
        <f>IF(B3157="","",IFERROR(RIGHT(B3157,LEN(B3157)-FIND("@",B3157)),""))</f>
        <v/>
      </c>
      <c r="G3157">
        <f>IF(D3157="KEEP",COUNTIF($D$2:D3157,"KEEP"),"")</f>
        <v/>
      </c>
      <c r="H3157">
        <f>IF(D3157="REMOVE",COUNTIF($D$2:D3157,"REMOVE"),"")</f>
        <v/>
      </c>
      <c r="I3157">
        <f>IF(E3157="Gmail",COUNTIF($E$2:E3157,"Gmail"),"")</f>
        <v/>
      </c>
      <c r="J3157">
        <f>IF(E3157="Outlook",COUNTIF($E$2:E3157,"Outlook"),"")</f>
        <v/>
      </c>
      <c r="K3157">
        <f>IF(E3157="Domain",COUNTIF($E$2:E3157,"Domain"),"")</f>
        <v/>
      </c>
    </row>
    <row r="3158">
      <c r="A3158" s="2" t="n"/>
      <c r="B3158">
        <f>LOWER(TRIM(A3158))</f>
        <v/>
      </c>
      <c r="C3158">
        <f>IF(B3158="","",IFERROR(INDEX('Bad Patterns'!$A$2:$A$120,MATCH(1,INDEX(--ISNUMBER(SEARCH('Bad Patterns'!$A$2:$A$120,B3158)),0),0)),""))</f>
        <v/>
      </c>
      <c r="D3158">
        <f>IF(B3158="","",IF(C3158&lt;&gt;"","REMOVE","KEEP"))</f>
        <v/>
      </c>
      <c r="E3158">
        <f>IF(D3158&lt;&gt;"KEEP","",IF(RIGHT(B3158,10)="@gmail.com","Gmail",IF(OR(RIGHT(B3158,12)="@outlook.com",RIGHT(B3158,12)="@hotmail.com",RIGHT(B3158,9)="@live.com"),"Outlook","Domain")))</f>
        <v/>
      </c>
      <c r="F3158">
        <f>IF(B3158="","",IFERROR(RIGHT(B3158,LEN(B3158)-FIND("@",B3158)),""))</f>
        <v/>
      </c>
      <c r="G3158">
        <f>IF(D3158="KEEP",COUNTIF($D$2:D3158,"KEEP"),"")</f>
        <v/>
      </c>
      <c r="H3158">
        <f>IF(D3158="REMOVE",COUNTIF($D$2:D3158,"REMOVE"),"")</f>
        <v/>
      </c>
      <c r="I3158">
        <f>IF(E3158="Gmail",COUNTIF($E$2:E3158,"Gmail"),"")</f>
        <v/>
      </c>
      <c r="J3158">
        <f>IF(E3158="Outlook",COUNTIF($E$2:E3158,"Outlook"),"")</f>
        <v/>
      </c>
      <c r="K3158">
        <f>IF(E3158="Domain",COUNTIF($E$2:E3158,"Domain"),"")</f>
        <v/>
      </c>
    </row>
    <row r="3159">
      <c r="A3159" s="2" t="n"/>
      <c r="B3159">
        <f>LOWER(TRIM(A3159))</f>
        <v/>
      </c>
      <c r="C3159">
        <f>IF(B3159="","",IFERROR(INDEX('Bad Patterns'!$A$2:$A$120,MATCH(1,INDEX(--ISNUMBER(SEARCH('Bad Patterns'!$A$2:$A$120,B3159)),0),0)),""))</f>
        <v/>
      </c>
      <c r="D3159">
        <f>IF(B3159="","",IF(C3159&lt;&gt;"","REMOVE","KEEP"))</f>
        <v/>
      </c>
      <c r="E3159">
        <f>IF(D3159&lt;&gt;"KEEP","",IF(RIGHT(B3159,10)="@gmail.com","Gmail",IF(OR(RIGHT(B3159,12)="@outlook.com",RIGHT(B3159,12)="@hotmail.com",RIGHT(B3159,9)="@live.com"),"Outlook","Domain")))</f>
        <v/>
      </c>
      <c r="F3159">
        <f>IF(B3159="","",IFERROR(RIGHT(B3159,LEN(B3159)-FIND("@",B3159)),""))</f>
        <v/>
      </c>
      <c r="G3159">
        <f>IF(D3159="KEEP",COUNTIF($D$2:D3159,"KEEP"),"")</f>
        <v/>
      </c>
      <c r="H3159">
        <f>IF(D3159="REMOVE",COUNTIF($D$2:D3159,"REMOVE"),"")</f>
        <v/>
      </c>
      <c r="I3159">
        <f>IF(E3159="Gmail",COUNTIF($E$2:E3159,"Gmail"),"")</f>
        <v/>
      </c>
      <c r="J3159">
        <f>IF(E3159="Outlook",COUNTIF($E$2:E3159,"Outlook"),"")</f>
        <v/>
      </c>
      <c r="K3159">
        <f>IF(E3159="Domain",COUNTIF($E$2:E3159,"Domain"),"")</f>
        <v/>
      </c>
    </row>
    <row r="3160">
      <c r="A3160" s="2" t="n"/>
      <c r="B3160">
        <f>LOWER(TRIM(A3160))</f>
        <v/>
      </c>
      <c r="C3160">
        <f>IF(B3160="","",IFERROR(INDEX('Bad Patterns'!$A$2:$A$120,MATCH(1,INDEX(--ISNUMBER(SEARCH('Bad Patterns'!$A$2:$A$120,B3160)),0),0)),""))</f>
        <v/>
      </c>
      <c r="D3160">
        <f>IF(B3160="","",IF(C3160&lt;&gt;"","REMOVE","KEEP"))</f>
        <v/>
      </c>
      <c r="E3160">
        <f>IF(D3160&lt;&gt;"KEEP","",IF(RIGHT(B3160,10)="@gmail.com","Gmail",IF(OR(RIGHT(B3160,12)="@outlook.com",RIGHT(B3160,12)="@hotmail.com",RIGHT(B3160,9)="@live.com"),"Outlook","Domain")))</f>
        <v/>
      </c>
      <c r="F3160">
        <f>IF(B3160="","",IFERROR(RIGHT(B3160,LEN(B3160)-FIND("@",B3160)),""))</f>
        <v/>
      </c>
      <c r="G3160">
        <f>IF(D3160="KEEP",COUNTIF($D$2:D3160,"KEEP"),"")</f>
        <v/>
      </c>
      <c r="H3160">
        <f>IF(D3160="REMOVE",COUNTIF($D$2:D3160,"REMOVE"),"")</f>
        <v/>
      </c>
      <c r="I3160">
        <f>IF(E3160="Gmail",COUNTIF($E$2:E3160,"Gmail"),"")</f>
        <v/>
      </c>
      <c r="J3160">
        <f>IF(E3160="Outlook",COUNTIF($E$2:E3160,"Outlook"),"")</f>
        <v/>
      </c>
      <c r="K3160">
        <f>IF(E3160="Domain",COUNTIF($E$2:E3160,"Domain"),"")</f>
        <v/>
      </c>
    </row>
    <row r="3161">
      <c r="A3161" s="2" t="n"/>
      <c r="B3161">
        <f>LOWER(TRIM(A3161))</f>
        <v/>
      </c>
      <c r="C3161">
        <f>IF(B3161="","",IFERROR(INDEX('Bad Patterns'!$A$2:$A$120,MATCH(1,INDEX(--ISNUMBER(SEARCH('Bad Patterns'!$A$2:$A$120,B3161)),0),0)),""))</f>
        <v/>
      </c>
      <c r="D3161">
        <f>IF(B3161="","",IF(C3161&lt;&gt;"","REMOVE","KEEP"))</f>
        <v/>
      </c>
      <c r="E3161">
        <f>IF(D3161&lt;&gt;"KEEP","",IF(RIGHT(B3161,10)="@gmail.com","Gmail",IF(OR(RIGHT(B3161,12)="@outlook.com",RIGHT(B3161,12)="@hotmail.com",RIGHT(B3161,9)="@live.com"),"Outlook","Domain")))</f>
        <v/>
      </c>
      <c r="F3161">
        <f>IF(B3161="","",IFERROR(RIGHT(B3161,LEN(B3161)-FIND("@",B3161)),""))</f>
        <v/>
      </c>
      <c r="G3161">
        <f>IF(D3161="KEEP",COUNTIF($D$2:D3161,"KEEP"),"")</f>
        <v/>
      </c>
      <c r="H3161">
        <f>IF(D3161="REMOVE",COUNTIF($D$2:D3161,"REMOVE"),"")</f>
        <v/>
      </c>
      <c r="I3161">
        <f>IF(E3161="Gmail",COUNTIF($E$2:E3161,"Gmail"),"")</f>
        <v/>
      </c>
      <c r="J3161">
        <f>IF(E3161="Outlook",COUNTIF($E$2:E3161,"Outlook"),"")</f>
        <v/>
      </c>
      <c r="K3161">
        <f>IF(E3161="Domain",COUNTIF($E$2:E3161,"Domain"),"")</f>
        <v/>
      </c>
    </row>
    <row r="3162">
      <c r="A3162" s="2" t="n"/>
      <c r="B3162">
        <f>LOWER(TRIM(A3162))</f>
        <v/>
      </c>
      <c r="C3162">
        <f>IF(B3162="","",IFERROR(INDEX('Bad Patterns'!$A$2:$A$120,MATCH(1,INDEX(--ISNUMBER(SEARCH('Bad Patterns'!$A$2:$A$120,B3162)),0),0)),""))</f>
        <v/>
      </c>
      <c r="D3162">
        <f>IF(B3162="","",IF(C3162&lt;&gt;"","REMOVE","KEEP"))</f>
        <v/>
      </c>
      <c r="E3162">
        <f>IF(D3162&lt;&gt;"KEEP","",IF(RIGHT(B3162,10)="@gmail.com","Gmail",IF(OR(RIGHT(B3162,12)="@outlook.com",RIGHT(B3162,12)="@hotmail.com",RIGHT(B3162,9)="@live.com"),"Outlook","Domain")))</f>
        <v/>
      </c>
      <c r="F3162">
        <f>IF(B3162="","",IFERROR(RIGHT(B3162,LEN(B3162)-FIND("@",B3162)),""))</f>
        <v/>
      </c>
      <c r="G3162">
        <f>IF(D3162="KEEP",COUNTIF($D$2:D3162,"KEEP"),"")</f>
        <v/>
      </c>
      <c r="H3162">
        <f>IF(D3162="REMOVE",COUNTIF($D$2:D3162,"REMOVE"),"")</f>
        <v/>
      </c>
      <c r="I3162">
        <f>IF(E3162="Gmail",COUNTIF($E$2:E3162,"Gmail"),"")</f>
        <v/>
      </c>
      <c r="J3162">
        <f>IF(E3162="Outlook",COUNTIF($E$2:E3162,"Outlook"),"")</f>
        <v/>
      </c>
      <c r="K3162">
        <f>IF(E3162="Domain",COUNTIF($E$2:E3162,"Domain"),"")</f>
        <v/>
      </c>
    </row>
    <row r="3163">
      <c r="A3163" s="2" t="n"/>
      <c r="B3163">
        <f>LOWER(TRIM(A3163))</f>
        <v/>
      </c>
      <c r="C3163">
        <f>IF(B3163="","",IFERROR(INDEX('Bad Patterns'!$A$2:$A$120,MATCH(1,INDEX(--ISNUMBER(SEARCH('Bad Patterns'!$A$2:$A$120,B3163)),0),0)),""))</f>
        <v/>
      </c>
      <c r="D3163">
        <f>IF(B3163="","",IF(C3163&lt;&gt;"","REMOVE","KEEP"))</f>
        <v/>
      </c>
      <c r="E3163">
        <f>IF(D3163&lt;&gt;"KEEP","",IF(RIGHT(B3163,10)="@gmail.com","Gmail",IF(OR(RIGHT(B3163,12)="@outlook.com",RIGHT(B3163,12)="@hotmail.com",RIGHT(B3163,9)="@live.com"),"Outlook","Domain")))</f>
        <v/>
      </c>
      <c r="F3163">
        <f>IF(B3163="","",IFERROR(RIGHT(B3163,LEN(B3163)-FIND("@",B3163)),""))</f>
        <v/>
      </c>
      <c r="G3163">
        <f>IF(D3163="KEEP",COUNTIF($D$2:D3163,"KEEP"),"")</f>
        <v/>
      </c>
      <c r="H3163">
        <f>IF(D3163="REMOVE",COUNTIF($D$2:D3163,"REMOVE"),"")</f>
        <v/>
      </c>
      <c r="I3163">
        <f>IF(E3163="Gmail",COUNTIF($E$2:E3163,"Gmail"),"")</f>
        <v/>
      </c>
      <c r="J3163">
        <f>IF(E3163="Outlook",COUNTIF($E$2:E3163,"Outlook"),"")</f>
        <v/>
      </c>
      <c r="K3163">
        <f>IF(E3163="Domain",COUNTIF($E$2:E3163,"Domain"),"")</f>
        <v/>
      </c>
    </row>
    <row r="3164">
      <c r="A3164" s="2" t="n"/>
      <c r="B3164">
        <f>LOWER(TRIM(A3164))</f>
        <v/>
      </c>
      <c r="C3164">
        <f>IF(B3164="","",IFERROR(INDEX('Bad Patterns'!$A$2:$A$120,MATCH(1,INDEX(--ISNUMBER(SEARCH('Bad Patterns'!$A$2:$A$120,B3164)),0),0)),""))</f>
        <v/>
      </c>
      <c r="D3164">
        <f>IF(B3164="","",IF(C3164&lt;&gt;"","REMOVE","KEEP"))</f>
        <v/>
      </c>
      <c r="E3164">
        <f>IF(D3164&lt;&gt;"KEEP","",IF(RIGHT(B3164,10)="@gmail.com","Gmail",IF(OR(RIGHT(B3164,12)="@outlook.com",RIGHT(B3164,12)="@hotmail.com",RIGHT(B3164,9)="@live.com"),"Outlook","Domain")))</f>
        <v/>
      </c>
      <c r="F3164">
        <f>IF(B3164="","",IFERROR(RIGHT(B3164,LEN(B3164)-FIND("@",B3164)),""))</f>
        <v/>
      </c>
      <c r="G3164">
        <f>IF(D3164="KEEP",COUNTIF($D$2:D3164,"KEEP"),"")</f>
        <v/>
      </c>
      <c r="H3164">
        <f>IF(D3164="REMOVE",COUNTIF($D$2:D3164,"REMOVE"),"")</f>
        <v/>
      </c>
      <c r="I3164">
        <f>IF(E3164="Gmail",COUNTIF($E$2:E3164,"Gmail"),"")</f>
        <v/>
      </c>
      <c r="J3164">
        <f>IF(E3164="Outlook",COUNTIF($E$2:E3164,"Outlook"),"")</f>
        <v/>
      </c>
      <c r="K3164">
        <f>IF(E3164="Domain",COUNTIF($E$2:E3164,"Domain"),"")</f>
        <v/>
      </c>
    </row>
    <row r="3165">
      <c r="A3165" s="2" t="n"/>
      <c r="B3165">
        <f>LOWER(TRIM(A3165))</f>
        <v/>
      </c>
      <c r="C3165">
        <f>IF(B3165="","",IFERROR(INDEX('Bad Patterns'!$A$2:$A$120,MATCH(1,INDEX(--ISNUMBER(SEARCH('Bad Patterns'!$A$2:$A$120,B3165)),0),0)),""))</f>
        <v/>
      </c>
      <c r="D3165">
        <f>IF(B3165="","",IF(C3165&lt;&gt;"","REMOVE","KEEP"))</f>
        <v/>
      </c>
      <c r="E3165">
        <f>IF(D3165&lt;&gt;"KEEP","",IF(RIGHT(B3165,10)="@gmail.com","Gmail",IF(OR(RIGHT(B3165,12)="@outlook.com",RIGHT(B3165,12)="@hotmail.com",RIGHT(B3165,9)="@live.com"),"Outlook","Domain")))</f>
        <v/>
      </c>
      <c r="F3165">
        <f>IF(B3165="","",IFERROR(RIGHT(B3165,LEN(B3165)-FIND("@",B3165)),""))</f>
        <v/>
      </c>
      <c r="G3165">
        <f>IF(D3165="KEEP",COUNTIF($D$2:D3165,"KEEP"),"")</f>
        <v/>
      </c>
      <c r="H3165">
        <f>IF(D3165="REMOVE",COUNTIF($D$2:D3165,"REMOVE"),"")</f>
        <v/>
      </c>
      <c r="I3165">
        <f>IF(E3165="Gmail",COUNTIF($E$2:E3165,"Gmail"),"")</f>
        <v/>
      </c>
      <c r="J3165">
        <f>IF(E3165="Outlook",COUNTIF($E$2:E3165,"Outlook"),"")</f>
        <v/>
      </c>
      <c r="K3165">
        <f>IF(E3165="Domain",COUNTIF($E$2:E3165,"Domain"),"")</f>
        <v/>
      </c>
    </row>
    <row r="3166">
      <c r="A3166" s="2" t="n"/>
      <c r="B3166">
        <f>LOWER(TRIM(A3166))</f>
        <v/>
      </c>
      <c r="C3166">
        <f>IF(B3166="","",IFERROR(INDEX('Bad Patterns'!$A$2:$A$120,MATCH(1,INDEX(--ISNUMBER(SEARCH('Bad Patterns'!$A$2:$A$120,B3166)),0),0)),""))</f>
        <v/>
      </c>
      <c r="D3166">
        <f>IF(B3166="","",IF(C3166&lt;&gt;"","REMOVE","KEEP"))</f>
        <v/>
      </c>
      <c r="E3166">
        <f>IF(D3166&lt;&gt;"KEEP","",IF(RIGHT(B3166,10)="@gmail.com","Gmail",IF(OR(RIGHT(B3166,12)="@outlook.com",RIGHT(B3166,12)="@hotmail.com",RIGHT(B3166,9)="@live.com"),"Outlook","Domain")))</f>
        <v/>
      </c>
      <c r="F3166">
        <f>IF(B3166="","",IFERROR(RIGHT(B3166,LEN(B3166)-FIND("@",B3166)),""))</f>
        <v/>
      </c>
      <c r="G3166">
        <f>IF(D3166="KEEP",COUNTIF($D$2:D3166,"KEEP"),"")</f>
        <v/>
      </c>
      <c r="H3166">
        <f>IF(D3166="REMOVE",COUNTIF($D$2:D3166,"REMOVE"),"")</f>
        <v/>
      </c>
      <c r="I3166">
        <f>IF(E3166="Gmail",COUNTIF($E$2:E3166,"Gmail"),"")</f>
        <v/>
      </c>
      <c r="J3166">
        <f>IF(E3166="Outlook",COUNTIF($E$2:E3166,"Outlook"),"")</f>
        <v/>
      </c>
      <c r="K3166">
        <f>IF(E3166="Domain",COUNTIF($E$2:E3166,"Domain"),"")</f>
        <v/>
      </c>
    </row>
    <row r="3167">
      <c r="A3167" s="2" t="n"/>
      <c r="B3167">
        <f>LOWER(TRIM(A3167))</f>
        <v/>
      </c>
      <c r="C3167">
        <f>IF(B3167="","",IFERROR(INDEX('Bad Patterns'!$A$2:$A$120,MATCH(1,INDEX(--ISNUMBER(SEARCH('Bad Patterns'!$A$2:$A$120,B3167)),0),0)),""))</f>
        <v/>
      </c>
      <c r="D3167">
        <f>IF(B3167="","",IF(C3167&lt;&gt;"","REMOVE","KEEP"))</f>
        <v/>
      </c>
      <c r="E3167">
        <f>IF(D3167&lt;&gt;"KEEP","",IF(RIGHT(B3167,10)="@gmail.com","Gmail",IF(OR(RIGHT(B3167,12)="@outlook.com",RIGHT(B3167,12)="@hotmail.com",RIGHT(B3167,9)="@live.com"),"Outlook","Domain")))</f>
        <v/>
      </c>
      <c r="F3167">
        <f>IF(B3167="","",IFERROR(RIGHT(B3167,LEN(B3167)-FIND("@",B3167)),""))</f>
        <v/>
      </c>
      <c r="G3167">
        <f>IF(D3167="KEEP",COUNTIF($D$2:D3167,"KEEP"),"")</f>
        <v/>
      </c>
      <c r="H3167">
        <f>IF(D3167="REMOVE",COUNTIF($D$2:D3167,"REMOVE"),"")</f>
        <v/>
      </c>
      <c r="I3167">
        <f>IF(E3167="Gmail",COUNTIF($E$2:E3167,"Gmail"),"")</f>
        <v/>
      </c>
      <c r="J3167">
        <f>IF(E3167="Outlook",COUNTIF($E$2:E3167,"Outlook"),"")</f>
        <v/>
      </c>
      <c r="K3167">
        <f>IF(E3167="Domain",COUNTIF($E$2:E3167,"Domain"),"")</f>
        <v/>
      </c>
    </row>
    <row r="3168">
      <c r="A3168" s="2" t="n"/>
      <c r="B3168">
        <f>LOWER(TRIM(A3168))</f>
        <v/>
      </c>
      <c r="C3168">
        <f>IF(B3168="","",IFERROR(INDEX('Bad Patterns'!$A$2:$A$120,MATCH(1,INDEX(--ISNUMBER(SEARCH('Bad Patterns'!$A$2:$A$120,B3168)),0),0)),""))</f>
        <v/>
      </c>
      <c r="D3168">
        <f>IF(B3168="","",IF(C3168&lt;&gt;"","REMOVE","KEEP"))</f>
        <v/>
      </c>
      <c r="E3168">
        <f>IF(D3168&lt;&gt;"KEEP","",IF(RIGHT(B3168,10)="@gmail.com","Gmail",IF(OR(RIGHT(B3168,12)="@outlook.com",RIGHT(B3168,12)="@hotmail.com",RIGHT(B3168,9)="@live.com"),"Outlook","Domain")))</f>
        <v/>
      </c>
      <c r="F3168">
        <f>IF(B3168="","",IFERROR(RIGHT(B3168,LEN(B3168)-FIND("@",B3168)),""))</f>
        <v/>
      </c>
      <c r="G3168">
        <f>IF(D3168="KEEP",COUNTIF($D$2:D3168,"KEEP"),"")</f>
        <v/>
      </c>
      <c r="H3168">
        <f>IF(D3168="REMOVE",COUNTIF($D$2:D3168,"REMOVE"),"")</f>
        <v/>
      </c>
      <c r="I3168">
        <f>IF(E3168="Gmail",COUNTIF($E$2:E3168,"Gmail"),"")</f>
        <v/>
      </c>
      <c r="J3168">
        <f>IF(E3168="Outlook",COUNTIF($E$2:E3168,"Outlook"),"")</f>
        <v/>
      </c>
      <c r="K3168">
        <f>IF(E3168="Domain",COUNTIF($E$2:E3168,"Domain"),"")</f>
        <v/>
      </c>
    </row>
    <row r="3169">
      <c r="A3169" s="2" t="n"/>
      <c r="B3169">
        <f>LOWER(TRIM(A3169))</f>
        <v/>
      </c>
      <c r="C3169">
        <f>IF(B3169="","",IFERROR(INDEX('Bad Patterns'!$A$2:$A$120,MATCH(1,INDEX(--ISNUMBER(SEARCH('Bad Patterns'!$A$2:$A$120,B3169)),0),0)),""))</f>
        <v/>
      </c>
      <c r="D3169">
        <f>IF(B3169="","",IF(C3169&lt;&gt;"","REMOVE","KEEP"))</f>
        <v/>
      </c>
      <c r="E3169">
        <f>IF(D3169&lt;&gt;"KEEP","",IF(RIGHT(B3169,10)="@gmail.com","Gmail",IF(OR(RIGHT(B3169,12)="@outlook.com",RIGHT(B3169,12)="@hotmail.com",RIGHT(B3169,9)="@live.com"),"Outlook","Domain")))</f>
        <v/>
      </c>
      <c r="F3169">
        <f>IF(B3169="","",IFERROR(RIGHT(B3169,LEN(B3169)-FIND("@",B3169)),""))</f>
        <v/>
      </c>
      <c r="G3169">
        <f>IF(D3169="KEEP",COUNTIF($D$2:D3169,"KEEP"),"")</f>
        <v/>
      </c>
      <c r="H3169">
        <f>IF(D3169="REMOVE",COUNTIF($D$2:D3169,"REMOVE"),"")</f>
        <v/>
      </c>
      <c r="I3169">
        <f>IF(E3169="Gmail",COUNTIF($E$2:E3169,"Gmail"),"")</f>
        <v/>
      </c>
      <c r="J3169">
        <f>IF(E3169="Outlook",COUNTIF($E$2:E3169,"Outlook"),"")</f>
        <v/>
      </c>
      <c r="K3169">
        <f>IF(E3169="Domain",COUNTIF($E$2:E3169,"Domain"),"")</f>
        <v/>
      </c>
    </row>
    <row r="3170">
      <c r="A3170" s="2" t="n"/>
      <c r="B3170">
        <f>LOWER(TRIM(A3170))</f>
        <v/>
      </c>
      <c r="C3170">
        <f>IF(B3170="","",IFERROR(INDEX('Bad Patterns'!$A$2:$A$120,MATCH(1,INDEX(--ISNUMBER(SEARCH('Bad Patterns'!$A$2:$A$120,B3170)),0),0)),""))</f>
        <v/>
      </c>
      <c r="D3170">
        <f>IF(B3170="","",IF(C3170&lt;&gt;"","REMOVE","KEEP"))</f>
        <v/>
      </c>
      <c r="E3170">
        <f>IF(D3170&lt;&gt;"KEEP","",IF(RIGHT(B3170,10)="@gmail.com","Gmail",IF(OR(RIGHT(B3170,12)="@outlook.com",RIGHT(B3170,12)="@hotmail.com",RIGHT(B3170,9)="@live.com"),"Outlook","Domain")))</f>
        <v/>
      </c>
      <c r="F3170">
        <f>IF(B3170="","",IFERROR(RIGHT(B3170,LEN(B3170)-FIND("@",B3170)),""))</f>
        <v/>
      </c>
      <c r="G3170">
        <f>IF(D3170="KEEP",COUNTIF($D$2:D3170,"KEEP"),"")</f>
        <v/>
      </c>
      <c r="H3170">
        <f>IF(D3170="REMOVE",COUNTIF($D$2:D3170,"REMOVE"),"")</f>
        <v/>
      </c>
      <c r="I3170">
        <f>IF(E3170="Gmail",COUNTIF($E$2:E3170,"Gmail"),"")</f>
        <v/>
      </c>
      <c r="J3170">
        <f>IF(E3170="Outlook",COUNTIF($E$2:E3170,"Outlook"),"")</f>
        <v/>
      </c>
      <c r="K3170">
        <f>IF(E3170="Domain",COUNTIF($E$2:E3170,"Domain"),"")</f>
        <v/>
      </c>
    </row>
    <row r="3171">
      <c r="A3171" s="2" t="n"/>
      <c r="B3171">
        <f>LOWER(TRIM(A3171))</f>
        <v/>
      </c>
      <c r="C3171">
        <f>IF(B3171="","",IFERROR(INDEX('Bad Patterns'!$A$2:$A$120,MATCH(1,INDEX(--ISNUMBER(SEARCH('Bad Patterns'!$A$2:$A$120,B3171)),0),0)),""))</f>
        <v/>
      </c>
      <c r="D3171">
        <f>IF(B3171="","",IF(C3171&lt;&gt;"","REMOVE","KEEP"))</f>
        <v/>
      </c>
      <c r="E3171">
        <f>IF(D3171&lt;&gt;"KEEP","",IF(RIGHT(B3171,10)="@gmail.com","Gmail",IF(OR(RIGHT(B3171,12)="@outlook.com",RIGHT(B3171,12)="@hotmail.com",RIGHT(B3171,9)="@live.com"),"Outlook","Domain")))</f>
        <v/>
      </c>
      <c r="F3171">
        <f>IF(B3171="","",IFERROR(RIGHT(B3171,LEN(B3171)-FIND("@",B3171)),""))</f>
        <v/>
      </c>
      <c r="G3171">
        <f>IF(D3171="KEEP",COUNTIF($D$2:D3171,"KEEP"),"")</f>
        <v/>
      </c>
      <c r="H3171">
        <f>IF(D3171="REMOVE",COUNTIF($D$2:D3171,"REMOVE"),"")</f>
        <v/>
      </c>
      <c r="I3171">
        <f>IF(E3171="Gmail",COUNTIF($E$2:E3171,"Gmail"),"")</f>
        <v/>
      </c>
      <c r="J3171">
        <f>IF(E3171="Outlook",COUNTIF($E$2:E3171,"Outlook"),"")</f>
        <v/>
      </c>
      <c r="K3171">
        <f>IF(E3171="Domain",COUNTIF($E$2:E3171,"Domain"),"")</f>
        <v/>
      </c>
    </row>
    <row r="3172">
      <c r="A3172" s="2" t="n"/>
      <c r="B3172">
        <f>LOWER(TRIM(A3172))</f>
        <v/>
      </c>
      <c r="C3172">
        <f>IF(B3172="","",IFERROR(INDEX('Bad Patterns'!$A$2:$A$120,MATCH(1,INDEX(--ISNUMBER(SEARCH('Bad Patterns'!$A$2:$A$120,B3172)),0),0)),""))</f>
        <v/>
      </c>
      <c r="D3172">
        <f>IF(B3172="","",IF(C3172&lt;&gt;"","REMOVE","KEEP"))</f>
        <v/>
      </c>
      <c r="E3172">
        <f>IF(D3172&lt;&gt;"KEEP","",IF(RIGHT(B3172,10)="@gmail.com","Gmail",IF(OR(RIGHT(B3172,12)="@outlook.com",RIGHT(B3172,12)="@hotmail.com",RIGHT(B3172,9)="@live.com"),"Outlook","Domain")))</f>
        <v/>
      </c>
      <c r="F3172">
        <f>IF(B3172="","",IFERROR(RIGHT(B3172,LEN(B3172)-FIND("@",B3172)),""))</f>
        <v/>
      </c>
      <c r="G3172">
        <f>IF(D3172="KEEP",COUNTIF($D$2:D3172,"KEEP"),"")</f>
        <v/>
      </c>
      <c r="H3172">
        <f>IF(D3172="REMOVE",COUNTIF($D$2:D3172,"REMOVE"),"")</f>
        <v/>
      </c>
      <c r="I3172">
        <f>IF(E3172="Gmail",COUNTIF($E$2:E3172,"Gmail"),"")</f>
        <v/>
      </c>
      <c r="J3172">
        <f>IF(E3172="Outlook",COUNTIF($E$2:E3172,"Outlook"),"")</f>
        <v/>
      </c>
      <c r="K3172">
        <f>IF(E3172="Domain",COUNTIF($E$2:E3172,"Domain"),"")</f>
        <v/>
      </c>
    </row>
    <row r="3173">
      <c r="A3173" s="2" t="n"/>
      <c r="B3173">
        <f>LOWER(TRIM(A3173))</f>
        <v/>
      </c>
      <c r="C3173">
        <f>IF(B3173="","",IFERROR(INDEX('Bad Patterns'!$A$2:$A$120,MATCH(1,INDEX(--ISNUMBER(SEARCH('Bad Patterns'!$A$2:$A$120,B3173)),0),0)),""))</f>
        <v/>
      </c>
      <c r="D3173">
        <f>IF(B3173="","",IF(C3173&lt;&gt;"","REMOVE","KEEP"))</f>
        <v/>
      </c>
      <c r="E3173">
        <f>IF(D3173&lt;&gt;"KEEP","",IF(RIGHT(B3173,10)="@gmail.com","Gmail",IF(OR(RIGHT(B3173,12)="@outlook.com",RIGHT(B3173,12)="@hotmail.com",RIGHT(B3173,9)="@live.com"),"Outlook","Domain")))</f>
        <v/>
      </c>
      <c r="F3173">
        <f>IF(B3173="","",IFERROR(RIGHT(B3173,LEN(B3173)-FIND("@",B3173)),""))</f>
        <v/>
      </c>
      <c r="G3173">
        <f>IF(D3173="KEEP",COUNTIF($D$2:D3173,"KEEP"),"")</f>
        <v/>
      </c>
      <c r="H3173">
        <f>IF(D3173="REMOVE",COUNTIF($D$2:D3173,"REMOVE"),"")</f>
        <v/>
      </c>
      <c r="I3173">
        <f>IF(E3173="Gmail",COUNTIF($E$2:E3173,"Gmail"),"")</f>
        <v/>
      </c>
      <c r="J3173">
        <f>IF(E3173="Outlook",COUNTIF($E$2:E3173,"Outlook"),"")</f>
        <v/>
      </c>
      <c r="K3173">
        <f>IF(E3173="Domain",COUNTIF($E$2:E3173,"Domain"),"")</f>
        <v/>
      </c>
    </row>
    <row r="3174">
      <c r="A3174" s="2" t="n"/>
      <c r="B3174">
        <f>LOWER(TRIM(A3174))</f>
        <v/>
      </c>
      <c r="C3174">
        <f>IF(B3174="","",IFERROR(INDEX('Bad Patterns'!$A$2:$A$120,MATCH(1,INDEX(--ISNUMBER(SEARCH('Bad Patterns'!$A$2:$A$120,B3174)),0),0)),""))</f>
        <v/>
      </c>
      <c r="D3174">
        <f>IF(B3174="","",IF(C3174&lt;&gt;"","REMOVE","KEEP"))</f>
        <v/>
      </c>
      <c r="E3174">
        <f>IF(D3174&lt;&gt;"KEEP","",IF(RIGHT(B3174,10)="@gmail.com","Gmail",IF(OR(RIGHT(B3174,12)="@outlook.com",RIGHT(B3174,12)="@hotmail.com",RIGHT(B3174,9)="@live.com"),"Outlook","Domain")))</f>
        <v/>
      </c>
      <c r="F3174">
        <f>IF(B3174="","",IFERROR(RIGHT(B3174,LEN(B3174)-FIND("@",B3174)),""))</f>
        <v/>
      </c>
      <c r="G3174">
        <f>IF(D3174="KEEP",COUNTIF($D$2:D3174,"KEEP"),"")</f>
        <v/>
      </c>
      <c r="H3174">
        <f>IF(D3174="REMOVE",COUNTIF($D$2:D3174,"REMOVE"),"")</f>
        <v/>
      </c>
      <c r="I3174">
        <f>IF(E3174="Gmail",COUNTIF($E$2:E3174,"Gmail"),"")</f>
        <v/>
      </c>
      <c r="J3174">
        <f>IF(E3174="Outlook",COUNTIF($E$2:E3174,"Outlook"),"")</f>
        <v/>
      </c>
      <c r="K3174">
        <f>IF(E3174="Domain",COUNTIF($E$2:E3174,"Domain"),"")</f>
        <v/>
      </c>
    </row>
    <row r="3175">
      <c r="A3175" s="2" t="n"/>
      <c r="B3175">
        <f>LOWER(TRIM(A3175))</f>
        <v/>
      </c>
      <c r="C3175">
        <f>IF(B3175="","",IFERROR(INDEX('Bad Patterns'!$A$2:$A$120,MATCH(1,INDEX(--ISNUMBER(SEARCH('Bad Patterns'!$A$2:$A$120,B3175)),0),0)),""))</f>
        <v/>
      </c>
      <c r="D3175">
        <f>IF(B3175="","",IF(C3175&lt;&gt;"","REMOVE","KEEP"))</f>
        <v/>
      </c>
      <c r="E3175">
        <f>IF(D3175&lt;&gt;"KEEP","",IF(RIGHT(B3175,10)="@gmail.com","Gmail",IF(OR(RIGHT(B3175,12)="@outlook.com",RIGHT(B3175,12)="@hotmail.com",RIGHT(B3175,9)="@live.com"),"Outlook","Domain")))</f>
        <v/>
      </c>
      <c r="F3175">
        <f>IF(B3175="","",IFERROR(RIGHT(B3175,LEN(B3175)-FIND("@",B3175)),""))</f>
        <v/>
      </c>
      <c r="G3175">
        <f>IF(D3175="KEEP",COUNTIF($D$2:D3175,"KEEP"),"")</f>
        <v/>
      </c>
      <c r="H3175">
        <f>IF(D3175="REMOVE",COUNTIF($D$2:D3175,"REMOVE"),"")</f>
        <v/>
      </c>
      <c r="I3175">
        <f>IF(E3175="Gmail",COUNTIF($E$2:E3175,"Gmail"),"")</f>
        <v/>
      </c>
      <c r="J3175">
        <f>IF(E3175="Outlook",COUNTIF($E$2:E3175,"Outlook"),"")</f>
        <v/>
      </c>
      <c r="K3175">
        <f>IF(E3175="Domain",COUNTIF($E$2:E3175,"Domain"),"")</f>
        <v/>
      </c>
    </row>
    <row r="3176">
      <c r="A3176" s="2" t="n"/>
      <c r="B3176">
        <f>LOWER(TRIM(A3176))</f>
        <v/>
      </c>
      <c r="C3176">
        <f>IF(B3176="","",IFERROR(INDEX('Bad Patterns'!$A$2:$A$120,MATCH(1,INDEX(--ISNUMBER(SEARCH('Bad Patterns'!$A$2:$A$120,B3176)),0),0)),""))</f>
        <v/>
      </c>
      <c r="D3176">
        <f>IF(B3176="","",IF(C3176&lt;&gt;"","REMOVE","KEEP"))</f>
        <v/>
      </c>
      <c r="E3176">
        <f>IF(D3176&lt;&gt;"KEEP","",IF(RIGHT(B3176,10)="@gmail.com","Gmail",IF(OR(RIGHT(B3176,12)="@outlook.com",RIGHT(B3176,12)="@hotmail.com",RIGHT(B3176,9)="@live.com"),"Outlook","Domain")))</f>
        <v/>
      </c>
      <c r="F3176">
        <f>IF(B3176="","",IFERROR(RIGHT(B3176,LEN(B3176)-FIND("@",B3176)),""))</f>
        <v/>
      </c>
      <c r="G3176">
        <f>IF(D3176="KEEP",COUNTIF($D$2:D3176,"KEEP"),"")</f>
        <v/>
      </c>
      <c r="H3176">
        <f>IF(D3176="REMOVE",COUNTIF($D$2:D3176,"REMOVE"),"")</f>
        <v/>
      </c>
      <c r="I3176">
        <f>IF(E3176="Gmail",COUNTIF($E$2:E3176,"Gmail"),"")</f>
        <v/>
      </c>
      <c r="J3176">
        <f>IF(E3176="Outlook",COUNTIF($E$2:E3176,"Outlook"),"")</f>
        <v/>
      </c>
      <c r="K3176">
        <f>IF(E3176="Domain",COUNTIF($E$2:E3176,"Domain"),"")</f>
        <v/>
      </c>
    </row>
    <row r="3177">
      <c r="A3177" s="2" t="n"/>
      <c r="B3177">
        <f>LOWER(TRIM(A3177))</f>
        <v/>
      </c>
      <c r="C3177">
        <f>IF(B3177="","",IFERROR(INDEX('Bad Patterns'!$A$2:$A$120,MATCH(1,INDEX(--ISNUMBER(SEARCH('Bad Patterns'!$A$2:$A$120,B3177)),0),0)),""))</f>
        <v/>
      </c>
      <c r="D3177">
        <f>IF(B3177="","",IF(C3177&lt;&gt;"","REMOVE","KEEP"))</f>
        <v/>
      </c>
      <c r="E3177">
        <f>IF(D3177&lt;&gt;"KEEP","",IF(RIGHT(B3177,10)="@gmail.com","Gmail",IF(OR(RIGHT(B3177,12)="@outlook.com",RIGHT(B3177,12)="@hotmail.com",RIGHT(B3177,9)="@live.com"),"Outlook","Domain")))</f>
        <v/>
      </c>
      <c r="F3177">
        <f>IF(B3177="","",IFERROR(RIGHT(B3177,LEN(B3177)-FIND("@",B3177)),""))</f>
        <v/>
      </c>
      <c r="G3177">
        <f>IF(D3177="KEEP",COUNTIF($D$2:D3177,"KEEP"),"")</f>
        <v/>
      </c>
      <c r="H3177">
        <f>IF(D3177="REMOVE",COUNTIF($D$2:D3177,"REMOVE"),"")</f>
        <v/>
      </c>
      <c r="I3177">
        <f>IF(E3177="Gmail",COUNTIF($E$2:E3177,"Gmail"),"")</f>
        <v/>
      </c>
      <c r="J3177">
        <f>IF(E3177="Outlook",COUNTIF($E$2:E3177,"Outlook"),"")</f>
        <v/>
      </c>
      <c r="K3177">
        <f>IF(E3177="Domain",COUNTIF($E$2:E3177,"Domain"),"")</f>
        <v/>
      </c>
    </row>
    <row r="3178">
      <c r="A3178" s="2" t="n"/>
      <c r="B3178">
        <f>LOWER(TRIM(A3178))</f>
        <v/>
      </c>
      <c r="C3178">
        <f>IF(B3178="","",IFERROR(INDEX('Bad Patterns'!$A$2:$A$120,MATCH(1,INDEX(--ISNUMBER(SEARCH('Bad Patterns'!$A$2:$A$120,B3178)),0),0)),""))</f>
        <v/>
      </c>
      <c r="D3178">
        <f>IF(B3178="","",IF(C3178&lt;&gt;"","REMOVE","KEEP"))</f>
        <v/>
      </c>
      <c r="E3178">
        <f>IF(D3178&lt;&gt;"KEEP","",IF(RIGHT(B3178,10)="@gmail.com","Gmail",IF(OR(RIGHT(B3178,12)="@outlook.com",RIGHT(B3178,12)="@hotmail.com",RIGHT(B3178,9)="@live.com"),"Outlook","Domain")))</f>
        <v/>
      </c>
      <c r="F3178">
        <f>IF(B3178="","",IFERROR(RIGHT(B3178,LEN(B3178)-FIND("@",B3178)),""))</f>
        <v/>
      </c>
      <c r="G3178">
        <f>IF(D3178="KEEP",COUNTIF($D$2:D3178,"KEEP"),"")</f>
        <v/>
      </c>
      <c r="H3178">
        <f>IF(D3178="REMOVE",COUNTIF($D$2:D3178,"REMOVE"),"")</f>
        <v/>
      </c>
      <c r="I3178">
        <f>IF(E3178="Gmail",COUNTIF($E$2:E3178,"Gmail"),"")</f>
        <v/>
      </c>
      <c r="J3178">
        <f>IF(E3178="Outlook",COUNTIF($E$2:E3178,"Outlook"),"")</f>
        <v/>
      </c>
      <c r="K3178">
        <f>IF(E3178="Domain",COUNTIF($E$2:E3178,"Domain"),"")</f>
        <v/>
      </c>
    </row>
    <row r="3179">
      <c r="A3179" s="2" t="n"/>
      <c r="B3179">
        <f>LOWER(TRIM(A3179))</f>
        <v/>
      </c>
      <c r="C3179">
        <f>IF(B3179="","",IFERROR(INDEX('Bad Patterns'!$A$2:$A$120,MATCH(1,INDEX(--ISNUMBER(SEARCH('Bad Patterns'!$A$2:$A$120,B3179)),0),0)),""))</f>
        <v/>
      </c>
      <c r="D3179">
        <f>IF(B3179="","",IF(C3179&lt;&gt;"","REMOVE","KEEP"))</f>
        <v/>
      </c>
      <c r="E3179">
        <f>IF(D3179&lt;&gt;"KEEP","",IF(RIGHT(B3179,10)="@gmail.com","Gmail",IF(OR(RIGHT(B3179,12)="@outlook.com",RIGHT(B3179,12)="@hotmail.com",RIGHT(B3179,9)="@live.com"),"Outlook","Domain")))</f>
        <v/>
      </c>
      <c r="F3179">
        <f>IF(B3179="","",IFERROR(RIGHT(B3179,LEN(B3179)-FIND("@",B3179)),""))</f>
        <v/>
      </c>
      <c r="G3179">
        <f>IF(D3179="KEEP",COUNTIF($D$2:D3179,"KEEP"),"")</f>
        <v/>
      </c>
      <c r="H3179">
        <f>IF(D3179="REMOVE",COUNTIF($D$2:D3179,"REMOVE"),"")</f>
        <v/>
      </c>
      <c r="I3179">
        <f>IF(E3179="Gmail",COUNTIF($E$2:E3179,"Gmail"),"")</f>
        <v/>
      </c>
      <c r="J3179">
        <f>IF(E3179="Outlook",COUNTIF($E$2:E3179,"Outlook"),"")</f>
        <v/>
      </c>
      <c r="K3179">
        <f>IF(E3179="Domain",COUNTIF($E$2:E3179,"Domain"),"")</f>
        <v/>
      </c>
    </row>
    <row r="3180">
      <c r="A3180" s="2" t="n"/>
      <c r="B3180">
        <f>LOWER(TRIM(A3180))</f>
        <v/>
      </c>
      <c r="C3180">
        <f>IF(B3180="","",IFERROR(INDEX('Bad Patterns'!$A$2:$A$120,MATCH(1,INDEX(--ISNUMBER(SEARCH('Bad Patterns'!$A$2:$A$120,B3180)),0),0)),""))</f>
        <v/>
      </c>
      <c r="D3180">
        <f>IF(B3180="","",IF(C3180&lt;&gt;"","REMOVE","KEEP"))</f>
        <v/>
      </c>
      <c r="E3180">
        <f>IF(D3180&lt;&gt;"KEEP","",IF(RIGHT(B3180,10)="@gmail.com","Gmail",IF(OR(RIGHT(B3180,12)="@outlook.com",RIGHT(B3180,12)="@hotmail.com",RIGHT(B3180,9)="@live.com"),"Outlook","Domain")))</f>
        <v/>
      </c>
      <c r="F3180">
        <f>IF(B3180="","",IFERROR(RIGHT(B3180,LEN(B3180)-FIND("@",B3180)),""))</f>
        <v/>
      </c>
      <c r="G3180">
        <f>IF(D3180="KEEP",COUNTIF($D$2:D3180,"KEEP"),"")</f>
        <v/>
      </c>
      <c r="H3180">
        <f>IF(D3180="REMOVE",COUNTIF($D$2:D3180,"REMOVE"),"")</f>
        <v/>
      </c>
      <c r="I3180">
        <f>IF(E3180="Gmail",COUNTIF($E$2:E3180,"Gmail"),"")</f>
        <v/>
      </c>
      <c r="J3180">
        <f>IF(E3180="Outlook",COUNTIF($E$2:E3180,"Outlook"),"")</f>
        <v/>
      </c>
      <c r="K3180">
        <f>IF(E3180="Domain",COUNTIF($E$2:E3180,"Domain"),"")</f>
        <v/>
      </c>
    </row>
    <row r="3181">
      <c r="A3181" s="2" t="n"/>
      <c r="B3181">
        <f>LOWER(TRIM(A3181))</f>
        <v/>
      </c>
      <c r="C3181">
        <f>IF(B3181="","",IFERROR(INDEX('Bad Patterns'!$A$2:$A$120,MATCH(1,INDEX(--ISNUMBER(SEARCH('Bad Patterns'!$A$2:$A$120,B3181)),0),0)),""))</f>
        <v/>
      </c>
      <c r="D3181">
        <f>IF(B3181="","",IF(C3181&lt;&gt;"","REMOVE","KEEP"))</f>
        <v/>
      </c>
      <c r="E3181">
        <f>IF(D3181&lt;&gt;"KEEP","",IF(RIGHT(B3181,10)="@gmail.com","Gmail",IF(OR(RIGHT(B3181,12)="@outlook.com",RIGHT(B3181,12)="@hotmail.com",RIGHT(B3181,9)="@live.com"),"Outlook","Domain")))</f>
        <v/>
      </c>
      <c r="F3181">
        <f>IF(B3181="","",IFERROR(RIGHT(B3181,LEN(B3181)-FIND("@",B3181)),""))</f>
        <v/>
      </c>
      <c r="G3181">
        <f>IF(D3181="KEEP",COUNTIF($D$2:D3181,"KEEP"),"")</f>
        <v/>
      </c>
      <c r="H3181">
        <f>IF(D3181="REMOVE",COUNTIF($D$2:D3181,"REMOVE"),"")</f>
        <v/>
      </c>
      <c r="I3181">
        <f>IF(E3181="Gmail",COUNTIF($E$2:E3181,"Gmail"),"")</f>
        <v/>
      </c>
      <c r="J3181">
        <f>IF(E3181="Outlook",COUNTIF($E$2:E3181,"Outlook"),"")</f>
        <v/>
      </c>
      <c r="K3181">
        <f>IF(E3181="Domain",COUNTIF($E$2:E3181,"Domain"),"")</f>
        <v/>
      </c>
    </row>
    <row r="3182">
      <c r="A3182" s="2" t="n"/>
      <c r="B3182">
        <f>LOWER(TRIM(A3182))</f>
        <v/>
      </c>
      <c r="C3182">
        <f>IF(B3182="","",IFERROR(INDEX('Bad Patterns'!$A$2:$A$120,MATCH(1,INDEX(--ISNUMBER(SEARCH('Bad Patterns'!$A$2:$A$120,B3182)),0),0)),""))</f>
        <v/>
      </c>
      <c r="D3182">
        <f>IF(B3182="","",IF(C3182&lt;&gt;"","REMOVE","KEEP"))</f>
        <v/>
      </c>
      <c r="E3182">
        <f>IF(D3182&lt;&gt;"KEEP","",IF(RIGHT(B3182,10)="@gmail.com","Gmail",IF(OR(RIGHT(B3182,12)="@outlook.com",RIGHT(B3182,12)="@hotmail.com",RIGHT(B3182,9)="@live.com"),"Outlook","Domain")))</f>
        <v/>
      </c>
      <c r="F3182">
        <f>IF(B3182="","",IFERROR(RIGHT(B3182,LEN(B3182)-FIND("@",B3182)),""))</f>
        <v/>
      </c>
      <c r="G3182">
        <f>IF(D3182="KEEP",COUNTIF($D$2:D3182,"KEEP"),"")</f>
        <v/>
      </c>
      <c r="H3182">
        <f>IF(D3182="REMOVE",COUNTIF($D$2:D3182,"REMOVE"),"")</f>
        <v/>
      </c>
      <c r="I3182">
        <f>IF(E3182="Gmail",COUNTIF($E$2:E3182,"Gmail"),"")</f>
        <v/>
      </c>
      <c r="J3182">
        <f>IF(E3182="Outlook",COUNTIF($E$2:E3182,"Outlook"),"")</f>
        <v/>
      </c>
      <c r="K3182">
        <f>IF(E3182="Domain",COUNTIF($E$2:E3182,"Domain"),"")</f>
        <v/>
      </c>
    </row>
    <row r="3183">
      <c r="A3183" s="2" t="n"/>
      <c r="B3183">
        <f>LOWER(TRIM(A3183))</f>
        <v/>
      </c>
      <c r="C3183">
        <f>IF(B3183="","",IFERROR(INDEX('Bad Patterns'!$A$2:$A$120,MATCH(1,INDEX(--ISNUMBER(SEARCH('Bad Patterns'!$A$2:$A$120,B3183)),0),0)),""))</f>
        <v/>
      </c>
      <c r="D3183">
        <f>IF(B3183="","",IF(C3183&lt;&gt;"","REMOVE","KEEP"))</f>
        <v/>
      </c>
      <c r="E3183">
        <f>IF(D3183&lt;&gt;"KEEP","",IF(RIGHT(B3183,10)="@gmail.com","Gmail",IF(OR(RIGHT(B3183,12)="@outlook.com",RIGHT(B3183,12)="@hotmail.com",RIGHT(B3183,9)="@live.com"),"Outlook","Domain")))</f>
        <v/>
      </c>
      <c r="F3183">
        <f>IF(B3183="","",IFERROR(RIGHT(B3183,LEN(B3183)-FIND("@",B3183)),""))</f>
        <v/>
      </c>
      <c r="G3183">
        <f>IF(D3183="KEEP",COUNTIF($D$2:D3183,"KEEP"),"")</f>
        <v/>
      </c>
      <c r="H3183">
        <f>IF(D3183="REMOVE",COUNTIF($D$2:D3183,"REMOVE"),"")</f>
        <v/>
      </c>
      <c r="I3183">
        <f>IF(E3183="Gmail",COUNTIF($E$2:E3183,"Gmail"),"")</f>
        <v/>
      </c>
      <c r="J3183">
        <f>IF(E3183="Outlook",COUNTIF($E$2:E3183,"Outlook"),"")</f>
        <v/>
      </c>
      <c r="K3183">
        <f>IF(E3183="Domain",COUNTIF($E$2:E3183,"Domain"),"")</f>
        <v/>
      </c>
    </row>
    <row r="3184">
      <c r="A3184" s="2" t="n"/>
      <c r="B3184">
        <f>LOWER(TRIM(A3184))</f>
        <v/>
      </c>
      <c r="C3184">
        <f>IF(B3184="","",IFERROR(INDEX('Bad Patterns'!$A$2:$A$120,MATCH(1,INDEX(--ISNUMBER(SEARCH('Bad Patterns'!$A$2:$A$120,B3184)),0),0)),""))</f>
        <v/>
      </c>
      <c r="D3184">
        <f>IF(B3184="","",IF(C3184&lt;&gt;"","REMOVE","KEEP"))</f>
        <v/>
      </c>
      <c r="E3184">
        <f>IF(D3184&lt;&gt;"KEEP","",IF(RIGHT(B3184,10)="@gmail.com","Gmail",IF(OR(RIGHT(B3184,12)="@outlook.com",RIGHT(B3184,12)="@hotmail.com",RIGHT(B3184,9)="@live.com"),"Outlook","Domain")))</f>
        <v/>
      </c>
      <c r="F3184">
        <f>IF(B3184="","",IFERROR(RIGHT(B3184,LEN(B3184)-FIND("@",B3184)),""))</f>
        <v/>
      </c>
      <c r="G3184">
        <f>IF(D3184="KEEP",COUNTIF($D$2:D3184,"KEEP"),"")</f>
        <v/>
      </c>
      <c r="H3184">
        <f>IF(D3184="REMOVE",COUNTIF($D$2:D3184,"REMOVE"),"")</f>
        <v/>
      </c>
      <c r="I3184">
        <f>IF(E3184="Gmail",COUNTIF($E$2:E3184,"Gmail"),"")</f>
        <v/>
      </c>
      <c r="J3184">
        <f>IF(E3184="Outlook",COUNTIF($E$2:E3184,"Outlook"),"")</f>
        <v/>
      </c>
      <c r="K3184">
        <f>IF(E3184="Domain",COUNTIF($E$2:E3184,"Domain"),"")</f>
        <v/>
      </c>
    </row>
    <row r="3185">
      <c r="A3185" s="2" t="n"/>
      <c r="B3185">
        <f>LOWER(TRIM(A3185))</f>
        <v/>
      </c>
      <c r="C3185">
        <f>IF(B3185="","",IFERROR(INDEX('Bad Patterns'!$A$2:$A$120,MATCH(1,INDEX(--ISNUMBER(SEARCH('Bad Patterns'!$A$2:$A$120,B3185)),0),0)),""))</f>
        <v/>
      </c>
      <c r="D3185">
        <f>IF(B3185="","",IF(C3185&lt;&gt;"","REMOVE","KEEP"))</f>
        <v/>
      </c>
      <c r="E3185">
        <f>IF(D3185&lt;&gt;"KEEP","",IF(RIGHT(B3185,10)="@gmail.com","Gmail",IF(OR(RIGHT(B3185,12)="@outlook.com",RIGHT(B3185,12)="@hotmail.com",RIGHT(B3185,9)="@live.com"),"Outlook","Domain")))</f>
        <v/>
      </c>
      <c r="F3185">
        <f>IF(B3185="","",IFERROR(RIGHT(B3185,LEN(B3185)-FIND("@",B3185)),""))</f>
        <v/>
      </c>
      <c r="G3185">
        <f>IF(D3185="KEEP",COUNTIF($D$2:D3185,"KEEP"),"")</f>
        <v/>
      </c>
      <c r="H3185">
        <f>IF(D3185="REMOVE",COUNTIF($D$2:D3185,"REMOVE"),"")</f>
        <v/>
      </c>
      <c r="I3185">
        <f>IF(E3185="Gmail",COUNTIF($E$2:E3185,"Gmail"),"")</f>
        <v/>
      </c>
      <c r="J3185">
        <f>IF(E3185="Outlook",COUNTIF($E$2:E3185,"Outlook"),"")</f>
        <v/>
      </c>
      <c r="K3185">
        <f>IF(E3185="Domain",COUNTIF($E$2:E3185,"Domain"),"")</f>
        <v/>
      </c>
    </row>
    <row r="3186">
      <c r="A3186" s="2" t="n"/>
      <c r="B3186">
        <f>LOWER(TRIM(A3186))</f>
        <v/>
      </c>
      <c r="C3186">
        <f>IF(B3186="","",IFERROR(INDEX('Bad Patterns'!$A$2:$A$120,MATCH(1,INDEX(--ISNUMBER(SEARCH('Bad Patterns'!$A$2:$A$120,B3186)),0),0)),""))</f>
        <v/>
      </c>
      <c r="D3186">
        <f>IF(B3186="","",IF(C3186&lt;&gt;"","REMOVE","KEEP"))</f>
        <v/>
      </c>
      <c r="E3186">
        <f>IF(D3186&lt;&gt;"KEEP","",IF(RIGHT(B3186,10)="@gmail.com","Gmail",IF(OR(RIGHT(B3186,12)="@outlook.com",RIGHT(B3186,12)="@hotmail.com",RIGHT(B3186,9)="@live.com"),"Outlook","Domain")))</f>
        <v/>
      </c>
      <c r="F3186">
        <f>IF(B3186="","",IFERROR(RIGHT(B3186,LEN(B3186)-FIND("@",B3186)),""))</f>
        <v/>
      </c>
      <c r="G3186">
        <f>IF(D3186="KEEP",COUNTIF($D$2:D3186,"KEEP"),"")</f>
        <v/>
      </c>
      <c r="H3186">
        <f>IF(D3186="REMOVE",COUNTIF($D$2:D3186,"REMOVE"),"")</f>
        <v/>
      </c>
      <c r="I3186">
        <f>IF(E3186="Gmail",COUNTIF($E$2:E3186,"Gmail"),"")</f>
        <v/>
      </c>
      <c r="J3186">
        <f>IF(E3186="Outlook",COUNTIF($E$2:E3186,"Outlook"),"")</f>
        <v/>
      </c>
      <c r="K3186">
        <f>IF(E3186="Domain",COUNTIF($E$2:E3186,"Domain"),"")</f>
        <v/>
      </c>
    </row>
    <row r="3187">
      <c r="A3187" s="2" t="n"/>
      <c r="B3187">
        <f>LOWER(TRIM(A3187))</f>
        <v/>
      </c>
      <c r="C3187">
        <f>IF(B3187="","",IFERROR(INDEX('Bad Patterns'!$A$2:$A$120,MATCH(1,INDEX(--ISNUMBER(SEARCH('Bad Patterns'!$A$2:$A$120,B3187)),0),0)),""))</f>
        <v/>
      </c>
      <c r="D3187">
        <f>IF(B3187="","",IF(C3187&lt;&gt;"","REMOVE","KEEP"))</f>
        <v/>
      </c>
      <c r="E3187">
        <f>IF(D3187&lt;&gt;"KEEP","",IF(RIGHT(B3187,10)="@gmail.com","Gmail",IF(OR(RIGHT(B3187,12)="@outlook.com",RIGHT(B3187,12)="@hotmail.com",RIGHT(B3187,9)="@live.com"),"Outlook","Domain")))</f>
        <v/>
      </c>
      <c r="F3187">
        <f>IF(B3187="","",IFERROR(RIGHT(B3187,LEN(B3187)-FIND("@",B3187)),""))</f>
        <v/>
      </c>
      <c r="G3187">
        <f>IF(D3187="KEEP",COUNTIF($D$2:D3187,"KEEP"),"")</f>
        <v/>
      </c>
      <c r="H3187">
        <f>IF(D3187="REMOVE",COUNTIF($D$2:D3187,"REMOVE"),"")</f>
        <v/>
      </c>
      <c r="I3187">
        <f>IF(E3187="Gmail",COUNTIF($E$2:E3187,"Gmail"),"")</f>
        <v/>
      </c>
      <c r="J3187">
        <f>IF(E3187="Outlook",COUNTIF($E$2:E3187,"Outlook"),"")</f>
        <v/>
      </c>
      <c r="K3187">
        <f>IF(E3187="Domain",COUNTIF($E$2:E3187,"Domain"),"")</f>
        <v/>
      </c>
    </row>
    <row r="3188">
      <c r="A3188" s="2" t="n"/>
      <c r="B3188">
        <f>LOWER(TRIM(A3188))</f>
        <v/>
      </c>
      <c r="C3188">
        <f>IF(B3188="","",IFERROR(INDEX('Bad Patterns'!$A$2:$A$120,MATCH(1,INDEX(--ISNUMBER(SEARCH('Bad Patterns'!$A$2:$A$120,B3188)),0),0)),""))</f>
        <v/>
      </c>
      <c r="D3188">
        <f>IF(B3188="","",IF(C3188&lt;&gt;"","REMOVE","KEEP"))</f>
        <v/>
      </c>
      <c r="E3188">
        <f>IF(D3188&lt;&gt;"KEEP","",IF(RIGHT(B3188,10)="@gmail.com","Gmail",IF(OR(RIGHT(B3188,12)="@outlook.com",RIGHT(B3188,12)="@hotmail.com",RIGHT(B3188,9)="@live.com"),"Outlook","Domain")))</f>
        <v/>
      </c>
      <c r="F3188">
        <f>IF(B3188="","",IFERROR(RIGHT(B3188,LEN(B3188)-FIND("@",B3188)),""))</f>
        <v/>
      </c>
      <c r="G3188">
        <f>IF(D3188="KEEP",COUNTIF($D$2:D3188,"KEEP"),"")</f>
        <v/>
      </c>
      <c r="H3188">
        <f>IF(D3188="REMOVE",COUNTIF($D$2:D3188,"REMOVE"),"")</f>
        <v/>
      </c>
      <c r="I3188">
        <f>IF(E3188="Gmail",COUNTIF($E$2:E3188,"Gmail"),"")</f>
        <v/>
      </c>
      <c r="J3188">
        <f>IF(E3188="Outlook",COUNTIF($E$2:E3188,"Outlook"),"")</f>
        <v/>
      </c>
      <c r="K3188">
        <f>IF(E3188="Domain",COUNTIF($E$2:E3188,"Domain"),"")</f>
        <v/>
      </c>
    </row>
    <row r="3189">
      <c r="A3189" s="2" t="n"/>
      <c r="B3189">
        <f>LOWER(TRIM(A3189))</f>
        <v/>
      </c>
      <c r="C3189">
        <f>IF(B3189="","",IFERROR(INDEX('Bad Patterns'!$A$2:$A$120,MATCH(1,INDEX(--ISNUMBER(SEARCH('Bad Patterns'!$A$2:$A$120,B3189)),0),0)),""))</f>
        <v/>
      </c>
      <c r="D3189">
        <f>IF(B3189="","",IF(C3189&lt;&gt;"","REMOVE","KEEP"))</f>
        <v/>
      </c>
      <c r="E3189">
        <f>IF(D3189&lt;&gt;"KEEP","",IF(RIGHT(B3189,10)="@gmail.com","Gmail",IF(OR(RIGHT(B3189,12)="@outlook.com",RIGHT(B3189,12)="@hotmail.com",RIGHT(B3189,9)="@live.com"),"Outlook","Domain")))</f>
        <v/>
      </c>
      <c r="F3189">
        <f>IF(B3189="","",IFERROR(RIGHT(B3189,LEN(B3189)-FIND("@",B3189)),""))</f>
        <v/>
      </c>
      <c r="G3189">
        <f>IF(D3189="KEEP",COUNTIF($D$2:D3189,"KEEP"),"")</f>
        <v/>
      </c>
      <c r="H3189">
        <f>IF(D3189="REMOVE",COUNTIF($D$2:D3189,"REMOVE"),"")</f>
        <v/>
      </c>
      <c r="I3189">
        <f>IF(E3189="Gmail",COUNTIF($E$2:E3189,"Gmail"),"")</f>
        <v/>
      </c>
      <c r="J3189">
        <f>IF(E3189="Outlook",COUNTIF($E$2:E3189,"Outlook"),"")</f>
        <v/>
      </c>
      <c r="K3189">
        <f>IF(E3189="Domain",COUNTIF($E$2:E3189,"Domain"),"")</f>
        <v/>
      </c>
    </row>
    <row r="3190">
      <c r="A3190" s="2" t="n"/>
      <c r="B3190">
        <f>LOWER(TRIM(A3190))</f>
        <v/>
      </c>
      <c r="C3190">
        <f>IF(B3190="","",IFERROR(INDEX('Bad Patterns'!$A$2:$A$120,MATCH(1,INDEX(--ISNUMBER(SEARCH('Bad Patterns'!$A$2:$A$120,B3190)),0),0)),""))</f>
        <v/>
      </c>
      <c r="D3190">
        <f>IF(B3190="","",IF(C3190&lt;&gt;"","REMOVE","KEEP"))</f>
        <v/>
      </c>
      <c r="E3190">
        <f>IF(D3190&lt;&gt;"KEEP","",IF(RIGHT(B3190,10)="@gmail.com","Gmail",IF(OR(RIGHT(B3190,12)="@outlook.com",RIGHT(B3190,12)="@hotmail.com",RIGHT(B3190,9)="@live.com"),"Outlook","Domain")))</f>
        <v/>
      </c>
      <c r="F3190">
        <f>IF(B3190="","",IFERROR(RIGHT(B3190,LEN(B3190)-FIND("@",B3190)),""))</f>
        <v/>
      </c>
      <c r="G3190">
        <f>IF(D3190="KEEP",COUNTIF($D$2:D3190,"KEEP"),"")</f>
        <v/>
      </c>
      <c r="H3190">
        <f>IF(D3190="REMOVE",COUNTIF($D$2:D3190,"REMOVE"),"")</f>
        <v/>
      </c>
      <c r="I3190">
        <f>IF(E3190="Gmail",COUNTIF($E$2:E3190,"Gmail"),"")</f>
        <v/>
      </c>
      <c r="J3190">
        <f>IF(E3190="Outlook",COUNTIF($E$2:E3190,"Outlook"),"")</f>
        <v/>
      </c>
      <c r="K3190">
        <f>IF(E3190="Domain",COUNTIF($E$2:E3190,"Domain"),"")</f>
        <v/>
      </c>
    </row>
    <row r="3191">
      <c r="A3191" s="2" t="n"/>
      <c r="B3191">
        <f>LOWER(TRIM(A3191))</f>
        <v/>
      </c>
      <c r="C3191">
        <f>IF(B3191="","",IFERROR(INDEX('Bad Patterns'!$A$2:$A$120,MATCH(1,INDEX(--ISNUMBER(SEARCH('Bad Patterns'!$A$2:$A$120,B3191)),0),0)),""))</f>
        <v/>
      </c>
      <c r="D3191">
        <f>IF(B3191="","",IF(C3191&lt;&gt;"","REMOVE","KEEP"))</f>
        <v/>
      </c>
      <c r="E3191">
        <f>IF(D3191&lt;&gt;"KEEP","",IF(RIGHT(B3191,10)="@gmail.com","Gmail",IF(OR(RIGHT(B3191,12)="@outlook.com",RIGHT(B3191,12)="@hotmail.com",RIGHT(B3191,9)="@live.com"),"Outlook","Domain")))</f>
        <v/>
      </c>
      <c r="F3191">
        <f>IF(B3191="","",IFERROR(RIGHT(B3191,LEN(B3191)-FIND("@",B3191)),""))</f>
        <v/>
      </c>
      <c r="G3191">
        <f>IF(D3191="KEEP",COUNTIF($D$2:D3191,"KEEP"),"")</f>
        <v/>
      </c>
      <c r="H3191">
        <f>IF(D3191="REMOVE",COUNTIF($D$2:D3191,"REMOVE"),"")</f>
        <v/>
      </c>
      <c r="I3191">
        <f>IF(E3191="Gmail",COUNTIF($E$2:E3191,"Gmail"),"")</f>
        <v/>
      </c>
      <c r="J3191">
        <f>IF(E3191="Outlook",COUNTIF($E$2:E3191,"Outlook"),"")</f>
        <v/>
      </c>
      <c r="K3191">
        <f>IF(E3191="Domain",COUNTIF($E$2:E3191,"Domain"),"")</f>
        <v/>
      </c>
    </row>
    <row r="3192">
      <c r="A3192" s="2" t="n"/>
      <c r="B3192">
        <f>LOWER(TRIM(A3192))</f>
        <v/>
      </c>
      <c r="C3192">
        <f>IF(B3192="","",IFERROR(INDEX('Bad Patterns'!$A$2:$A$120,MATCH(1,INDEX(--ISNUMBER(SEARCH('Bad Patterns'!$A$2:$A$120,B3192)),0),0)),""))</f>
        <v/>
      </c>
      <c r="D3192">
        <f>IF(B3192="","",IF(C3192&lt;&gt;"","REMOVE","KEEP"))</f>
        <v/>
      </c>
      <c r="E3192">
        <f>IF(D3192&lt;&gt;"KEEP","",IF(RIGHT(B3192,10)="@gmail.com","Gmail",IF(OR(RIGHT(B3192,12)="@outlook.com",RIGHT(B3192,12)="@hotmail.com",RIGHT(B3192,9)="@live.com"),"Outlook","Domain")))</f>
        <v/>
      </c>
      <c r="F3192">
        <f>IF(B3192="","",IFERROR(RIGHT(B3192,LEN(B3192)-FIND("@",B3192)),""))</f>
        <v/>
      </c>
      <c r="G3192">
        <f>IF(D3192="KEEP",COUNTIF($D$2:D3192,"KEEP"),"")</f>
        <v/>
      </c>
      <c r="H3192">
        <f>IF(D3192="REMOVE",COUNTIF($D$2:D3192,"REMOVE"),"")</f>
        <v/>
      </c>
      <c r="I3192">
        <f>IF(E3192="Gmail",COUNTIF($E$2:E3192,"Gmail"),"")</f>
        <v/>
      </c>
      <c r="J3192">
        <f>IF(E3192="Outlook",COUNTIF($E$2:E3192,"Outlook"),"")</f>
        <v/>
      </c>
      <c r="K3192">
        <f>IF(E3192="Domain",COUNTIF($E$2:E3192,"Domain"),"")</f>
        <v/>
      </c>
    </row>
    <row r="3193">
      <c r="A3193" s="2" t="n"/>
      <c r="B3193">
        <f>LOWER(TRIM(A3193))</f>
        <v/>
      </c>
      <c r="C3193">
        <f>IF(B3193="","",IFERROR(INDEX('Bad Patterns'!$A$2:$A$120,MATCH(1,INDEX(--ISNUMBER(SEARCH('Bad Patterns'!$A$2:$A$120,B3193)),0),0)),""))</f>
        <v/>
      </c>
      <c r="D3193">
        <f>IF(B3193="","",IF(C3193&lt;&gt;"","REMOVE","KEEP"))</f>
        <v/>
      </c>
      <c r="E3193">
        <f>IF(D3193&lt;&gt;"KEEP","",IF(RIGHT(B3193,10)="@gmail.com","Gmail",IF(OR(RIGHT(B3193,12)="@outlook.com",RIGHT(B3193,12)="@hotmail.com",RIGHT(B3193,9)="@live.com"),"Outlook","Domain")))</f>
        <v/>
      </c>
      <c r="F3193">
        <f>IF(B3193="","",IFERROR(RIGHT(B3193,LEN(B3193)-FIND("@",B3193)),""))</f>
        <v/>
      </c>
      <c r="G3193">
        <f>IF(D3193="KEEP",COUNTIF($D$2:D3193,"KEEP"),"")</f>
        <v/>
      </c>
      <c r="H3193">
        <f>IF(D3193="REMOVE",COUNTIF($D$2:D3193,"REMOVE"),"")</f>
        <v/>
      </c>
      <c r="I3193">
        <f>IF(E3193="Gmail",COUNTIF($E$2:E3193,"Gmail"),"")</f>
        <v/>
      </c>
      <c r="J3193">
        <f>IF(E3193="Outlook",COUNTIF($E$2:E3193,"Outlook"),"")</f>
        <v/>
      </c>
      <c r="K3193">
        <f>IF(E3193="Domain",COUNTIF($E$2:E3193,"Domain"),"")</f>
        <v/>
      </c>
    </row>
    <row r="3194">
      <c r="A3194" s="2" t="n"/>
      <c r="B3194">
        <f>LOWER(TRIM(A3194))</f>
        <v/>
      </c>
      <c r="C3194">
        <f>IF(B3194="","",IFERROR(INDEX('Bad Patterns'!$A$2:$A$120,MATCH(1,INDEX(--ISNUMBER(SEARCH('Bad Patterns'!$A$2:$A$120,B3194)),0),0)),""))</f>
        <v/>
      </c>
      <c r="D3194">
        <f>IF(B3194="","",IF(C3194&lt;&gt;"","REMOVE","KEEP"))</f>
        <v/>
      </c>
      <c r="E3194">
        <f>IF(D3194&lt;&gt;"KEEP","",IF(RIGHT(B3194,10)="@gmail.com","Gmail",IF(OR(RIGHT(B3194,12)="@outlook.com",RIGHT(B3194,12)="@hotmail.com",RIGHT(B3194,9)="@live.com"),"Outlook","Domain")))</f>
        <v/>
      </c>
      <c r="F3194">
        <f>IF(B3194="","",IFERROR(RIGHT(B3194,LEN(B3194)-FIND("@",B3194)),""))</f>
        <v/>
      </c>
      <c r="G3194">
        <f>IF(D3194="KEEP",COUNTIF($D$2:D3194,"KEEP"),"")</f>
        <v/>
      </c>
      <c r="H3194">
        <f>IF(D3194="REMOVE",COUNTIF($D$2:D3194,"REMOVE"),"")</f>
        <v/>
      </c>
      <c r="I3194">
        <f>IF(E3194="Gmail",COUNTIF($E$2:E3194,"Gmail"),"")</f>
        <v/>
      </c>
      <c r="J3194">
        <f>IF(E3194="Outlook",COUNTIF($E$2:E3194,"Outlook"),"")</f>
        <v/>
      </c>
      <c r="K3194">
        <f>IF(E3194="Domain",COUNTIF($E$2:E3194,"Domain"),"")</f>
        <v/>
      </c>
    </row>
    <row r="3195">
      <c r="A3195" s="2" t="n"/>
      <c r="B3195">
        <f>LOWER(TRIM(A3195))</f>
        <v/>
      </c>
      <c r="C3195">
        <f>IF(B3195="","",IFERROR(INDEX('Bad Patterns'!$A$2:$A$120,MATCH(1,INDEX(--ISNUMBER(SEARCH('Bad Patterns'!$A$2:$A$120,B3195)),0),0)),""))</f>
        <v/>
      </c>
      <c r="D3195">
        <f>IF(B3195="","",IF(C3195&lt;&gt;"","REMOVE","KEEP"))</f>
        <v/>
      </c>
      <c r="E3195">
        <f>IF(D3195&lt;&gt;"KEEP","",IF(RIGHT(B3195,10)="@gmail.com","Gmail",IF(OR(RIGHT(B3195,12)="@outlook.com",RIGHT(B3195,12)="@hotmail.com",RIGHT(B3195,9)="@live.com"),"Outlook","Domain")))</f>
        <v/>
      </c>
      <c r="F3195">
        <f>IF(B3195="","",IFERROR(RIGHT(B3195,LEN(B3195)-FIND("@",B3195)),""))</f>
        <v/>
      </c>
      <c r="G3195">
        <f>IF(D3195="KEEP",COUNTIF($D$2:D3195,"KEEP"),"")</f>
        <v/>
      </c>
      <c r="H3195">
        <f>IF(D3195="REMOVE",COUNTIF($D$2:D3195,"REMOVE"),"")</f>
        <v/>
      </c>
      <c r="I3195">
        <f>IF(E3195="Gmail",COUNTIF($E$2:E3195,"Gmail"),"")</f>
        <v/>
      </c>
      <c r="J3195">
        <f>IF(E3195="Outlook",COUNTIF($E$2:E3195,"Outlook"),"")</f>
        <v/>
      </c>
      <c r="K3195">
        <f>IF(E3195="Domain",COUNTIF($E$2:E3195,"Domain"),"")</f>
        <v/>
      </c>
    </row>
    <row r="3196">
      <c r="A3196" s="2" t="n"/>
      <c r="B3196">
        <f>LOWER(TRIM(A3196))</f>
        <v/>
      </c>
      <c r="C3196">
        <f>IF(B3196="","",IFERROR(INDEX('Bad Patterns'!$A$2:$A$120,MATCH(1,INDEX(--ISNUMBER(SEARCH('Bad Patterns'!$A$2:$A$120,B3196)),0),0)),""))</f>
        <v/>
      </c>
      <c r="D3196">
        <f>IF(B3196="","",IF(C3196&lt;&gt;"","REMOVE","KEEP"))</f>
        <v/>
      </c>
      <c r="E3196">
        <f>IF(D3196&lt;&gt;"KEEP","",IF(RIGHT(B3196,10)="@gmail.com","Gmail",IF(OR(RIGHT(B3196,12)="@outlook.com",RIGHT(B3196,12)="@hotmail.com",RIGHT(B3196,9)="@live.com"),"Outlook","Domain")))</f>
        <v/>
      </c>
      <c r="F3196">
        <f>IF(B3196="","",IFERROR(RIGHT(B3196,LEN(B3196)-FIND("@",B3196)),""))</f>
        <v/>
      </c>
      <c r="G3196">
        <f>IF(D3196="KEEP",COUNTIF($D$2:D3196,"KEEP"),"")</f>
        <v/>
      </c>
      <c r="H3196">
        <f>IF(D3196="REMOVE",COUNTIF($D$2:D3196,"REMOVE"),"")</f>
        <v/>
      </c>
      <c r="I3196">
        <f>IF(E3196="Gmail",COUNTIF($E$2:E3196,"Gmail"),"")</f>
        <v/>
      </c>
      <c r="J3196">
        <f>IF(E3196="Outlook",COUNTIF($E$2:E3196,"Outlook"),"")</f>
        <v/>
      </c>
      <c r="K3196">
        <f>IF(E3196="Domain",COUNTIF($E$2:E3196,"Domain"),"")</f>
        <v/>
      </c>
    </row>
    <row r="3197">
      <c r="A3197" s="2" t="n"/>
      <c r="B3197">
        <f>LOWER(TRIM(A3197))</f>
        <v/>
      </c>
      <c r="C3197">
        <f>IF(B3197="","",IFERROR(INDEX('Bad Patterns'!$A$2:$A$120,MATCH(1,INDEX(--ISNUMBER(SEARCH('Bad Patterns'!$A$2:$A$120,B3197)),0),0)),""))</f>
        <v/>
      </c>
      <c r="D3197">
        <f>IF(B3197="","",IF(C3197&lt;&gt;"","REMOVE","KEEP"))</f>
        <v/>
      </c>
      <c r="E3197">
        <f>IF(D3197&lt;&gt;"KEEP","",IF(RIGHT(B3197,10)="@gmail.com","Gmail",IF(OR(RIGHT(B3197,12)="@outlook.com",RIGHT(B3197,12)="@hotmail.com",RIGHT(B3197,9)="@live.com"),"Outlook","Domain")))</f>
        <v/>
      </c>
      <c r="F3197">
        <f>IF(B3197="","",IFERROR(RIGHT(B3197,LEN(B3197)-FIND("@",B3197)),""))</f>
        <v/>
      </c>
      <c r="G3197">
        <f>IF(D3197="KEEP",COUNTIF($D$2:D3197,"KEEP"),"")</f>
        <v/>
      </c>
      <c r="H3197">
        <f>IF(D3197="REMOVE",COUNTIF($D$2:D3197,"REMOVE"),"")</f>
        <v/>
      </c>
      <c r="I3197">
        <f>IF(E3197="Gmail",COUNTIF($E$2:E3197,"Gmail"),"")</f>
        <v/>
      </c>
      <c r="J3197">
        <f>IF(E3197="Outlook",COUNTIF($E$2:E3197,"Outlook"),"")</f>
        <v/>
      </c>
      <c r="K3197">
        <f>IF(E3197="Domain",COUNTIF($E$2:E3197,"Domain"),"")</f>
        <v/>
      </c>
    </row>
    <row r="3198">
      <c r="A3198" s="2" t="n"/>
      <c r="B3198">
        <f>LOWER(TRIM(A3198))</f>
        <v/>
      </c>
      <c r="C3198">
        <f>IF(B3198="","",IFERROR(INDEX('Bad Patterns'!$A$2:$A$120,MATCH(1,INDEX(--ISNUMBER(SEARCH('Bad Patterns'!$A$2:$A$120,B3198)),0),0)),""))</f>
        <v/>
      </c>
      <c r="D3198">
        <f>IF(B3198="","",IF(C3198&lt;&gt;"","REMOVE","KEEP"))</f>
        <v/>
      </c>
      <c r="E3198">
        <f>IF(D3198&lt;&gt;"KEEP","",IF(RIGHT(B3198,10)="@gmail.com","Gmail",IF(OR(RIGHT(B3198,12)="@outlook.com",RIGHT(B3198,12)="@hotmail.com",RIGHT(B3198,9)="@live.com"),"Outlook","Domain")))</f>
        <v/>
      </c>
      <c r="F3198">
        <f>IF(B3198="","",IFERROR(RIGHT(B3198,LEN(B3198)-FIND("@",B3198)),""))</f>
        <v/>
      </c>
      <c r="G3198">
        <f>IF(D3198="KEEP",COUNTIF($D$2:D3198,"KEEP"),"")</f>
        <v/>
      </c>
      <c r="H3198">
        <f>IF(D3198="REMOVE",COUNTIF($D$2:D3198,"REMOVE"),"")</f>
        <v/>
      </c>
      <c r="I3198">
        <f>IF(E3198="Gmail",COUNTIF($E$2:E3198,"Gmail"),"")</f>
        <v/>
      </c>
      <c r="J3198">
        <f>IF(E3198="Outlook",COUNTIF($E$2:E3198,"Outlook"),"")</f>
        <v/>
      </c>
      <c r="K3198">
        <f>IF(E3198="Domain",COUNTIF($E$2:E3198,"Domain"),"")</f>
        <v/>
      </c>
    </row>
    <row r="3199">
      <c r="A3199" s="2" t="n"/>
      <c r="B3199">
        <f>LOWER(TRIM(A3199))</f>
        <v/>
      </c>
      <c r="C3199">
        <f>IF(B3199="","",IFERROR(INDEX('Bad Patterns'!$A$2:$A$120,MATCH(1,INDEX(--ISNUMBER(SEARCH('Bad Patterns'!$A$2:$A$120,B3199)),0),0)),""))</f>
        <v/>
      </c>
      <c r="D3199">
        <f>IF(B3199="","",IF(C3199&lt;&gt;"","REMOVE","KEEP"))</f>
        <v/>
      </c>
      <c r="E3199">
        <f>IF(D3199&lt;&gt;"KEEP","",IF(RIGHT(B3199,10)="@gmail.com","Gmail",IF(OR(RIGHT(B3199,12)="@outlook.com",RIGHT(B3199,12)="@hotmail.com",RIGHT(B3199,9)="@live.com"),"Outlook","Domain")))</f>
        <v/>
      </c>
      <c r="F3199">
        <f>IF(B3199="","",IFERROR(RIGHT(B3199,LEN(B3199)-FIND("@",B3199)),""))</f>
        <v/>
      </c>
      <c r="G3199">
        <f>IF(D3199="KEEP",COUNTIF($D$2:D3199,"KEEP"),"")</f>
        <v/>
      </c>
      <c r="H3199">
        <f>IF(D3199="REMOVE",COUNTIF($D$2:D3199,"REMOVE"),"")</f>
        <v/>
      </c>
      <c r="I3199">
        <f>IF(E3199="Gmail",COUNTIF($E$2:E3199,"Gmail"),"")</f>
        <v/>
      </c>
      <c r="J3199">
        <f>IF(E3199="Outlook",COUNTIF($E$2:E3199,"Outlook"),"")</f>
        <v/>
      </c>
      <c r="K3199">
        <f>IF(E3199="Domain",COUNTIF($E$2:E3199,"Domain"),"")</f>
        <v/>
      </c>
    </row>
    <row r="3200">
      <c r="A3200" s="2" t="n"/>
      <c r="B3200">
        <f>LOWER(TRIM(A3200))</f>
        <v/>
      </c>
      <c r="C3200">
        <f>IF(B3200="","",IFERROR(INDEX('Bad Patterns'!$A$2:$A$120,MATCH(1,INDEX(--ISNUMBER(SEARCH('Bad Patterns'!$A$2:$A$120,B3200)),0),0)),""))</f>
        <v/>
      </c>
      <c r="D3200">
        <f>IF(B3200="","",IF(C3200&lt;&gt;"","REMOVE","KEEP"))</f>
        <v/>
      </c>
      <c r="E3200">
        <f>IF(D3200&lt;&gt;"KEEP","",IF(RIGHT(B3200,10)="@gmail.com","Gmail",IF(OR(RIGHT(B3200,12)="@outlook.com",RIGHT(B3200,12)="@hotmail.com",RIGHT(B3200,9)="@live.com"),"Outlook","Domain")))</f>
        <v/>
      </c>
      <c r="F3200">
        <f>IF(B3200="","",IFERROR(RIGHT(B3200,LEN(B3200)-FIND("@",B3200)),""))</f>
        <v/>
      </c>
      <c r="G3200">
        <f>IF(D3200="KEEP",COUNTIF($D$2:D3200,"KEEP"),"")</f>
        <v/>
      </c>
      <c r="H3200">
        <f>IF(D3200="REMOVE",COUNTIF($D$2:D3200,"REMOVE"),"")</f>
        <v/>
      </c>
      <c r="I3200">
        <f>IF(E3200="Gmail",COUNTIF($E$2:E3200,"Gmail"),"")</f>
        <v/>
      </c>
      <c r="J3200">
        <f>IF(E3200="Outlook",COUNTIF($E$2:E3200,"Outlook"),"")</f>
        <v/>
      </c>
      <c r="K3200">
        <f>IF(E3200="Domain",COUNTIF($E$2:E3200,"Domain"),"")</f>
        <v/>
      </c>
    </row>
    <row r="3201">
      <c r="A3201" s="2" t="n"/>
      <c r="B3201">
        <f>LOWER(TRIM(A3201))</f>
        <v/>
      </c>
      <c r="C3201">
        <f>IF(B3201="","",IFERROR(INDEX('Bad Patterns'!$A$2:$A$120,MATCH(1,INDEX(--ISNUMBER(SEARCH('Bad Patterns'!$A$2:$A$120,B3201)),0),0)),""))</f>
        <v/>
      </c>
      <c r="D3201">
        <f>IF(B3201="","",IF(C3201&lt;&gt;"","REMOVE","KEEP"))</f>
        <v/>
      </c>
      <c r="E3201">
        <f>IF(D3201&lt;&gt;"KEEP","",IF(RIGHT(B3201,10)="@gmail.com","Gmail",IF(OR(RIGHT(B3201,12)="@outlook.com",RIGHT(B3201,12)="@hotmail.com",RIGHT(B3201,9)="@live.com"),"Outlook","Domain")))</f>
        <v/>
      </c>
      <c r="F3201">
        <f>IF(B3201="","",IFERROR(RIGHT(B3201,LEN(B3201)-FIND("@",B3201)),""))</f>
        <v/>
      </c>
      <c r="G3201">
        <f>IF(D3201="KEEP",COUNTIF($D$2:D3201,"KEEP"),"")</f>
        <v/>
      </c>
      <c r="H3201">
        <f>IF(D3201="REMOVE",COUNTIF($D$2:D3201,"REMOVE"),"")</f>
        <v/>
      </c>
      <c r="I3201">
        <f>IF(E3201="Gmail",COUNTIF($E$2:E3201,"Gmail"),"")</f>
        <v/>
      </c>
      <c r="J3201">
        <f>IF(E3201="Outlook",COUNTIF($E$2:E3201,"Outlook"),"")</f>
        <v/>
      </c>
      <c r="K3201">
        <f>IF(E3201="Domain",COUNTIF($E$2:E3201,"Domain"),"")</f>
        <v/>
      </c>
    </row>
    <row r="3202">
      <c r="A3202" s="2" t="n"/>
      <c r="B3202">
        <f>LOWER(TRIM(A3202))</f>
        <v/>
      </c>
      <c r="C3202">
        <f>IF(B3202="","",IFERROR(INDEX('Bad Patterns'!$A$2:$A$120,MATCH(1,INDEX(--ISNUMBER(SEARCH('Bad Patterns'!$A$2:$A$120,B3202)),0),0)),""))</f>
        <v/>
      </c>
      <c r="D3202">
        <f>IF(B3202="","",IF(C3202&lt;&gt;"","REMOVE","KEEP"))</f>
        <v/>
      </c>
      <c r="E3202">
        <f>IF(D3202&lt;&gt;"KEEP","",IF(RIGHT(B3202,10)="@gmail.com","Gmail",IF(OR(RIGHT(B3202,12)="@outlook.com",RIGHT(B3202,12)="@hotmail.com",RIGHT(B3202,9)="@live.com"),"Outlook","Domain")))</f>
        <v/>
      </c>
      <c r="F3202">
        <f>IF(B3202="","",IFERROR(RIGHT(B3202,LEN(B3202)-FIND("@",B3202)),""))</f>
        <v/>
      </c>
      <c r="G3202">
        <f>IF(D3202="KEEP",COUNTIF($D$2:D3202,"KEEP"),"")</f>
        <v/>
      </c>
      <c r="H3202">
        <f>IF(D3202="REMOVE",COUNTIF($D$2:D3202,"REMOVE"),"")</f>
        <v/>
      </c>
      <c r="I3202">
        <f>IF(E3202="Gmail",COUNTIF($E$2:E3202,"Gmail"),"")</f>
        <v/>
      </c>
      <c r="J3202">
        <f>IF(E3202="Outlook",COUNTIF($E$2:E3202,"Outlook"),"")</f>
        <v/>
      </c>
      <c r="K3202">
        <f>IF(E3202="Domain",COUNTIF($E$2:E3202,"Domain"),"")</f>
        <v/>
      </c>
    </row>
    <row r="3203">
      <c r="A3203" s="2" t="n"/>
      <c r="B3203">
        <f>LOWER(TRIM(A3203))</f>
        <v/>
      </c>
      <c r="C3203">
        <f>IF(B3203="","",IFERROR(INDEX('Bad Patterns'!$A$2:$A$120,MATCH(1,INDEX(--ISNUMBER(SEARCH('Bad Patterns'!$A$2:$A$120,B3203)),0),0)),""))</f>
        <v/>
      </c>
      <c r="D3203">
        <f>IF(B3203="","",IF(C3203&lt;&gt;"","REMOVE","KEEP"))</f>
        <v/>
      </c>
      <c r="E3203">
        <f>IF(D3203&lt;&gt;"KEEP","",IF(RIGHT(B3203,10)="@gmail.com","Gmail",IF(OR(RIGHT(B3203,12)="@outlook.com",RIGHT(B3203,12)="@hotmail.com",RIGHT(B3203,9)="@live.com"),"Outlook","Domain")))</f>
        <v/>
      </c>
      <c r="F3203">
        <f>IF(B3203="","",IFERROR(RIGHT(B3203,LEN(B3203)-FIND("@",B3203)),""))</f>
        <v/>
      </c>
      <c r="G3203">
        <f>IF(D3203="KEEP",COUNTIF($D$2:D3203,"KEEP"),"")</f>
        <v/>
      </c>
      <c r="H3203">
        <f>IF(D3203="REMOVE",COUNTIF($D$2:D3203,"REMOVE"),"")</f>
        <v/>
      </c>
      <c r="I3203">
        <f>IF(E3203="Gmail",COUNTIF($E$2:E3203,"Gmail"),"")</f>
        <v/>
      </c>
      <c r="J3203">
        <f>IF(E3203="Outlook",COUNTIF($E$2:E3203,"Outlook"),"")</f>
        <v/>
      </c>
      <c r="K3203">
        <f>IF(E3203="Domain",COUNTIF($E$2:E3203,"Domain"),"")</f>
        <v/>
      </c>
    </row>
    <row r="3204">
      <c r="A3204" s="2" t="n"/>
      <c r="B3204">
        <f>LOWER(TRIM(A3204))</f>
        <v/>
      </c>
      <c r="C3204">
        <f>IF(B3204="","",IFERROR(INDEX('Bad Patterns'!$A$2:$A$120,MATCH(1,INDEX(--ISNUMBER(SEARCH('Bad Patterns'!$A$2:$A$120,B3204)),0),0)),""))</f>
        <v/>
      </c>
      <c r="D3204">
        <f>IF(B3204="","",IF(C3204&lt;&gt;"","REMOVE","KEEP"))</f>
        <v/>
      </c>
      <c r="E3204">
        <f>IF(D3204&lt;&gt;"KEEP","",IF(RIGHT(B3204,10)="@gmail.com","Gmail",IF(OR(RIGHT(B3204,12)="@outlook.com",RIGHT(B3204,12)="@hotmail.com",RIGHT(B3204,9)="@live.com"),"Outlook","Domain")))</f>
        <v/>
      </c>
      <c r="F3204">
        <f>IF(B3204="","",IFERROR(RIGHT(B3204,LEN(B3204)-FIND("@",B3204)),""))</f>
        <v/>
      </c>
      <c r="G3204">
        <f>IF(D3204="KEEP",COUNTIF($D$2:D3204,"KEEP"),"")</f>
        <v/>
      </c>
      <c r="H3204">
        <f>IF(D3204="REMOVE",COUNTIF($D$2:D3204,"REMOVE"),"")</f>
        <v/>
      </c>
      <c r="I3204">
        <f>IF(E3204="Gmail",COUNTIF($E$2:E3204,"Gmail"),"")</f>
        <v/>
      </c>
      <c r="J3204">
        <f>IF(E3204="Outlook",COUNTIF($E$2:E3204,"Outlook"),"")</f>
        <v/>
      </c>
      <c r="K3204">
        <f>IF(E3204="Domain",COUNTIF($E$2:E3204,"Domain"),"")</f>
        <v/>
      </c>
    </row>
    <row r="3205">
      <c r="A3205" s="2" t="n"/>
      <c r="B3205">
        <f>LOWER(TRIM(A3205))</f>
        <v/>
      </c>
      <c r="C3205">
        <f>IF(B3205="","",IFERROR(INDEX('Bad Patterns'!$A$2:$A$120,MATCH(1,INDEX(--ISNUMBER(SEARCH('Bad Patterns'!$A$2:$A$120,B3205)),0),0)),""))</f>
        <v/>
      </c>
      <c r="D3205">
        <f>IF(B3205="","",IF(C3205&lt;&gt;"","REMOVE","KEEP"))</f>
        <v/>
      </c>
      <c r="E3205">
        <f>IF(D3205&lt;&gt;"KEEP","",IF(RIGHT(B3205,10)="@gmail.com","Gmail",IF(OR(RIGHT(B3205,12)="@outlook.com",RIGHT(B3205,12)="@hotmail.com",RIGHT(B3205,9)="@live.com"),"Outlook","Domain")))</f>
        <v/>
      </c>
      <c r="F3205">
        <f>IF(B3205="","",IFERROR(RIGHT(B3205,LEN(B3205)-FIND("@",B3205)),""))</f>
        <v/>
      </c>
      <c r="G3205">
        <f>IF(D3205="KEEP",COUNTIF($D$2:D3205,"KEEP"),"")</f>
        <v/>
      </c>
      <c r="H3205">
        <f>IF(D3205="REMOVE",COUNTIF($D$2:D3205,"REMOVE"),"")</f>
        <v/>
      </c>
      <c r="I3205">
        <f>IF(E3205="Gmail",COUNTIF($E$2:E3205,"Gmail"),"")</f>
        <v/>
      </c>
      <c r="J3205">
        <f>IF(E3205="Outlook",COUNTIF($E$2:E3205,"Outlook"),"")</f>
        <v/>
      </c>
      <c r="K3205">
        <f>IF(E3205="Domain",COUNTIF($E$2:E3205,"Domain"),"")</f>
        <v/>
      </c>
    </row>
    <row r="3206">
      <c r="A3206" s="2" t="n"/>
      <c r="B3206">
        <f>LOWER(TRIM(A3206))</f>
        <v/>
      </c>
      <c r="C3206">
        <f>IF(B3206="","",IFERROR(INDEX('Bad Patterns'!$A$2:$A$120,MATCH(1,INDEX(--ISNUMBER(SEARCH('Bad Patterns'!$A$2:$A$120,B3206)),0),0)),""))</f>
        <v/>
      </c>
      <c r="D3206">
        <f>IF(B3206="","",IF(C3206&lt;&gt;"","REMOVE","KEEP"))</f>
        <v/>
      </c>
      <c r="E3206">
        <f>IF(D3206&lt;&gt;"KEEP","",IF(RIGHT(B3206,10)="@gmail.com","Gmail",IF(OR(RIGHT(B3206,12)="@outlook.com",RIGHT(B3206,12)="@hotmail.com",RIGHT(B3206,9)="@live.com"),"Outlook","Domain")))</f>
        <v/>
      </c>
      <c r="F3206">
        <f>IF(B3206="","",IFERROR(RIGHT(B3206,LEN(B3206)-FIND("@",B3206)),""))</f>
        <v/>
      </c>
      <c r="G3206">
        <f>IF(D3206="KEEP",COUNTIF($D$2:D3206,"KEEP"),"")</f>
        <v/>
      </c>
      <c r="H3206">
        <f>IF(D3206="REMOVE",COUNTIF($D$2:D3206,"REMOVE"),"")</f>
        <v/>
      </c>
      <c r="I3206">
        <f>IF(E3206="Gmail",COUNTIF($E$2:E3206,"Gmail"),"")</f>
        <v/>
      </c>
      <c r="J3206">
        <f>IF(E3206="Outlook",COUNTIF($E$2:E3206,"Outlook"),"")</f>
        <v/>
      </c>
      <c r="K3206">
        <f>IF(E3206="Domain",COUNTIF($E$2:E3206,"Domain"),"")</f>
        <v/>
      </c>
    </row>
    <row r="3207">
      <c r="A3207" s="2" t="n"/>
      <c r="B3207">
        <f>LOWER(TRIM(A3207))</f>
        <v/>
      </c>
      <c r="C3207">
        <f>IF(B3207="","",IFERROR(INDEX('Bad Patterns'!$A$2:$A$120,MATCH(1,INDEX(--ISNUMBER(SEARCH('Bad Patterns'!$A$2:$A$120,B3207)),0),0)),""))</f>
        <v/>
      </c>
      <c r="D3207">
        <f>IF(B3207="","",IF(C3207&lt;&gt;"","REMOVE","KEEP"))</f>
        <v/>
      </c>
      <c r="E3207">
        <f>IF(D3207&lt;&gt;"KEEP","",IF(RIGHT(B3207,10)="@gmail.com","Gmail",IF(OR(RIGHT(B3207,12)="@outlook.com",RIGHT(B3207,12)="@hotmail.com",RIGHT(B3207,9)="@live.com"),"Outlook","Domain")))</f>
        <v/>
      </c>
      <c r="F3207">
        <f>IF(B3207="","",IFERROR(RIGHT(B3207,LEN(B3207)-FIND("@",B3207)),""))</f>
        <v/>
      </c>
      <c r="G3207">
        <f>IF(D3207="KEEP",COUNTIF($D$2:D3207,"KEEP"),"")</f>
        <v/>
      </c>
      <c r="H3207">
        <f>IF(D3207="REMOVE",COUNTIF($D$2:D3207,"REMOVE"),"")</f>
        <v/>
      </c>
      <c r="I3207">
        <f>IF(E3207="Gmail",COUNTIF($E$2:E3207,"Gmail"),"")</f>
        <v/>
      </c>
      <c r="J3207">
        <f>IF(E3207="Outlook",COUNTIF($E$2:E3207,"Outlook"),"")</f>
        <v/>
      </c>
      <c r="K3207">
        <f>IF(E3207="Domain",COUNTIF($E$2:E3207,"Domain"),"")</f>
        <v/>
      </c>
    </row>
    <row r="3208">
      <c r="A3208" s="2" t="n"/>
      <c r="B3208">
        <f>LOWER(TRIM(A3208))</f>
        <v/>
      </c>
      <c r="C3208">
        <f>IF(B3208="","",IFERROR(INDEX('Bad Patterns'!$A$2:$A$120,MATCH(1,INDEX(--ISNUMBER(SEARCH('Bad Patterns'!$A$2:$A$120,B3208)),0),0)),""))</f>
        <v/>
      </c>
      <c r="D3208">
        <f>IF(B3208="","",IF(C3208&lt;&gt;"","REMOVE","KEEP"))</f>
        <v/>
      </c>
      <c r="E3208">
        <f>IF(D3208&lt;&gt;"KEEP","",IF(RIGHT(B3208,10)="@gmail.com","Gmail",IF(OR(RIGHT(B3208,12)="@outlook.com",RIGHT(B3208,12)="@hotmail.com",RIGHT(B3208,9)="@live.com"),"Outlook","Domain")))</f>
        <v/>
      </c>
      <c r="F3208">
        <f>IF(B3208="","",IFERROR(RIGHT(B3208,LEN(B3208)-FIND("@",B3208)),""))</f>
        <v/>
      </c>
      <c r="G3208">
        <f>IF(D3208="KEEP",COUNTIF($D$2:D3208,"KEEP"),"")</f>
        <v/>
      </c>
      <c r="H3208">
        <f>IF(D3208="REMOVE",COUNTIF($D$2:D3208,"REMOVE"),"")</f>
        <v/>
      </c>
      <c r="I3208">
        <f>IF(E3208="Gmail",COUNTIF($E$2:E3208,"Gmail"),"")</f>
        <v/>
      </c>
      <c r="J3208">
        <f>IF(E3208="Outlook",COUNTIF($E$2:E3208,"Outlook"),"")</f>
        <v/>
      </c>
      <c r="K3208">
        <f>IF(E3208="Domain",COUNTIF($E$2:E3208,"Domain"),"")</f>
        <v/>
      </c>
    </row>
    <row r="3209">
      <c r="A3209" s="2" t="n"/>
      <c r="B3209">
        <f>LOWER(TRIM(A3209))</f>
        <v/>
      </c>
      <c r="C3209">
        <f>IF(B3209="","",IFERROR(INDEX('Bad Patterns'!$A$2:$A$120,MATCH(1,INDEX(--ISNUMBER(SEARCH('Bad Patterns'!$A$2:$A$120,B3209)),0),0)),""))</f>
        <v/>
      </c>
      <c r="D3209">
        <f>IF(B3209="","",IF(C3209&lt;&gt;"","REMOVE","KEEP"))</f>
        <v/>
      </c>
      <c r="E3209">
        <f>IF(D3209&lt;&gt;"KEEP","",IF(RIGHT(B3209,10)="@gmail.com","Gmail",IF(OR(RIGHT(B3209,12)="@outlook.com",RIGHT(B3209,12)="@hotmail.com",RIGHT(B3209,9)="@live.com"),"Outlook","Domain")))</f>
        <v/>
      </c>
      <c r="F3209">
        <f>IF(B3209="","",IFERROR(RIGHT(B3209,LEN(B3209)-FIND("@",B3209)),""))</f>
        <v/>
      </c>
      <c r="G3209">
        <f>IF(D3209="KEEP",COUNTIF($D$2:D3209,"KEEP"),"")</f>
        <v/>
      </c>
      <c r="H3209">
        <f>IF(D3209="REMOVE",COUNTIF($D$2:D3209,"REMOVE"),"")</f>
        <v/>
      </c>
      <c r="I3209">
        <f>IF(E3209="Gmail",COUNTIF($E$2:E3209,"Gmail"),"")</f>
        <v/>
      </c>
      <c r="J3209">
        <f>IF(E3209="Outlook",COUNTIF($E$2:E3209,"Outlook"),"")</f>
        <v/>
      </c>
      <c r="K3209">
        <f>IF(E3209="Domain",COUNTIF($E$2:E3209,"Domain"),"")</f>
        <v/>
      </c>
    </row>
    <row r="3210">
      <c r="A3210" s="2" t="n"/>
      <c r="B3210">
        <f>LOWER(TRIM(A3210))</f>
        <v/>
      </c>
      <c r="C3210">
        <f>IF(B3210="","",IFERROR(INDEX('Bad Patterns'!$A$2:$A$120,MATCH(1,INDEX(--ISNUMBER(SEARCH('Bad Patterns'!$A$2:$A$120,B3210)),0),0)),""))</f>
        <v/>
      </c>
      <c r="D3210">
        <f>IF(B3210="","",IF(C3210&lt;&gt;"","REMOVE","KEEP"))</f>
        <v/>
      </c>
      <c r="E3210">
        <f>IF(D3210&lt;&gt;"KEEP","",IF(RIGHT(B3210,10)="@gmail.com","Gmail",IF(OR(RIGHT(B3210,12)="@outlook.com",RIGHT(B3210,12)="@hotmail.com",RIGHT(B3210,9)="@live.com"),"Outlook","Domain")))</f>
        <v/>
      </c>
      <c r="F3210">
        <f>IF(B3210="","",IFERROR(RIGHT(B3210,LEN(B3210)-FIND("@",B3210)),""))</f>
        <v/>
      </c>
      <c r="G3210">
        <f>IF(D3210="KEEP",COUNTIF($D$2:D3210,"KEEP"),"")</f>
        <v/>
      </c>
      <c r="H3210">
        <f>IF(D3210="REMOVE",COUNTIF($D$2:D3210,"REMOVE"),"")</f>
        <v/>
      </c>
      <c r="I3210">
        <f>IF(E3210="Gmail",COUNTIF($E$2:E3210,"Gmail"),"")</f>
        <v/>
      </c>
      <c r="J3210">
        <f>IF(E3210="Outlook",COUNTIF($E$2:E3210,"Outlook"),"")</f>
        <v/>
      </c>
      <c r="K3210">
        <f>IF(E3210="Domain",COUNTIF($E$2:E3210,"Domain"),"")</f>
        <v/>
      </c>
    </row>
    <row r="3211">
      <c r="A3211" s="2" t="n"/>
      <c r="B3211">
        <f>LOWER(TRIM(A3211))</f>
        <v/>
      </c>
      <c r="C3211">
        <f>IF(B3211="","",IFERROR(INDEX('Bad Patterns'!$A$2:$A$120,MATCH(1,INDEX(--ISNUMBER(SEARCH('Bad Patterns'!$A$2:$A$120,B3211)),0),0)),""))</f>
        <v/>
      </c>
      <c r="D3211">
        <f>IF(B3211="","",IF(C3211&lt;&gt;"","REMOVE","KEEP"))</f>
        <v/>
      </c>
      <c r="E3211">
        <f>IF(D3211&lt;&gt;"KEEP","",IF(RIGHT(B3211,10)="@gmail.com","Gmail",IF(OR(RIGHT(B3211,12)="@outlook.com",RIGHT(B3211,12)="@hotmail.com",RIGHT(B3211,9)="@live.com"),"Outlook","Domain")))</f>
        <v/>
      </c>
      <c r="F3211">
        <f>IF(B3211="","",IFERROR(RIGHT(B3211,LEN(B3211)-FIND("@",B3211)),""))</f>
        <v/>
      </c>
      <c r="G3211">
        <f>IF(D3211="KEEP",COUNTIF($D$2:D3211,"KEEP"),"")</f>
        <v/>
      </c>
      <c r="H3211">
        <f>IF(D3211="REMOVE",COUNTIF($D$2:D3211,"REMOVE"),"")</f>
        <v/>
      </c>
      <c r="I3211">
        <f>IF(E3211="Gmail",COUNTIF($E$2:E3211,"Gmail"),"")</f>
        <v/>
      </c>
      <c r="J3211">
        <f>IF(E3211="Outlook",COUNTIF($E$2:E3211,"Outlook"),"")</f>
        <v/>
      </c>
      <c r="K3211">
        <f>IF(E3211="Domain",COUNTIF($E$2:E3211,"Domain"),"")</f>
        <v/>
      </c>
    </row>
    <row r="3212">
      <c r="A3212" s="2" t="n"/>
      <c r="B3212">
        <f>LOWER(TRIM(A3212))</f>
        <v/>
      </c>
      <c r="C3212">
        <f>IF(B3212="","",IFERROR(INDEX('Bad Patterns'!$A$2:$A$120,MATCH(1,INDEX(--ISNUMBER(SEARCH('Bad Patterns'!$A$2:$A$120,B3212)),0),0)),""))</f>
        <v/>
      </c>
      <c r="D3212">
        <f>IF(B3212="","",IF(C3212&lt;&gt;"","REMOVE","KEEP"))</f>
        <v/>
      </c>
      <c r="E3212">
        <f>IF(D3212&lt;&gt;"KEEP","",IF(RIGHT(B3212,10)="@gmail.com","Gmail",IF(OR(RIGHT(B3212,12)="@outlook.com",RIGHT(B3212,12)="@hotmail.com",RIGHT(B3212,9)="@live.com"),"Outlook","Domain")))</f>
        <v/>
      </c>
      <c r="F3212">
        <f>IF(B3212="","",IFERROR(RIGHT(B3212,LEN(B3212)-FIND("@",B3212)),""))</f>
        <v/>
      </c>
      <c r="G3212">
        <f>IF(D3212="KEEP",COUNTIF($D$2:D3212,"KEEP"),"")</f>
        <v/>
      </c>
      <c r="H3212">
        <f>IF(D3212="REMOVE",COUNTIF($D$2:D3212,"REMOVE"),"")</f>
        <v/>
      </c>
      <c r="I3212">
        <f>IF(E3212="Gmail",COUNTIF($E$2:E3212,"Gmail"),"")</f>
        <v/>
      </c>
      <c r="J3212">
        <f>IF(E3212="Outlook",COUNTIF($E$2:E3212,"Outlook"),"")</f>
        <v/>
      </c>
      <c r="K3212">
        <f>IF(E3212="Domain",COUNTIF($E$2:E3212,"Domain"),"")</f>
        <v/>
      </c>
    </row>
    <row r="3213">
      <c r="A3213" s="2" t="n"/>
      <c r="B3213">
        <f>LOWER(TRIM(A3213))</f>
        <v/>
      </c>
      <c r="C3213">
        <f>IF(B3213="","",IFERROR(INDEX('Bad Patterns'!$A$2:$A$120,MATCH(1,INDEX(--ISNUMBER(SEARCH('Bad Patterns'!$A$2:$A$120,B3213)),0),0)),""))</f>
        <v/>
      </c>
      <c r="D3213">
        <f>IF(B3213="","",IF(C3213&lt;&gt;"","REMOVE","KEEP"))</f>
        <v/>
      </c>
      <c r="E3213">
        <f>IF(D3213&lt;&gt;"KEEP","",IF(RIGHT(B3213,10)="@gmail.com","Gmail",IF(OR(RIGHT(B3213,12)="@outlook.com",RIGHT(B3213,12)="@hotmail.com",RIGHT(B3213,9)="@live.com"),"Outlook","Domain")))</f>
        <v/>
      </c>
      <c r="F3213">
        <f>IF(B3213="","",IFERROR(RIGHT(B3213,LEN(B3213)-FIND("@",B3213)),""))</f>
        <v/>
      </c>
      <c r="G3213">
        <f>IF(D3213="KEEP",COUNTIF($D$2:D3213,"KEEP"),"")</f>
        <v/>
      </c>
      <c r="H3213">
        <f>IF(D3213="REMOVE",COUNTIF($D$2:D3213,"REMOVE"),"")</f>
        <v/>
      </c>
      <c r="I3213">
        <f>IF(E3213="Gmail",COUNTIF($E$2:E3213,"Gmail"),"")</f>
        <v/>
      </c>
      <c r="J3213">
        <f>IF(E3213="Outlook",COUNTIF($E$2:E3213,"Outlook"),"")</f>
        <v/>
      </c>
      <c r="K3213">
        <f>IF(E3213="Domain",COUNTIF($E$2:E3213,"Domain"),"")</f>
        <v/>
      </c>
    </row>
    <row r="3214">
      <c r="A3214" s="2" t="n"/>
      <c r="B3214">
        <f>LOWER(TRIM(A3214))</f>
        <v/>
      </c>
      <c r="C3214">
        <f>IF(B3214="","",IFERROR(INDEX('Bad Patterns'!$A$2:$A$120,MATCH(1,INDEX(--ISNUMBER(SEARCH('Bad Patterns'!$A$2:$A$120,B3214)),0),0)),""))</f>
        <v/>
      </c>
      <c r="D3214">
        <f>IF(B3214="","",IF(C3214&lt;&gt;"","REMOVE","KEEP"))</f>
        <v/>
      </c>
      <c r="E3214">
        <f>IF(D3214&lt;&gt;"KEEP","",IF(RIGHT(B3214,10)="@gmail.com","Gmail",IF(OR(RIGHT(B3214,12)="@outlook.com",RIGHT(B3214,12)="@hotmail.com",RIGHT(B3214,9)="@live.com"),"Outlook","Domain")))</f>
        <v/>
      </c>
      <c r="F3214">
        <f>IF(B3214="","",IFERROR(RIGHT(B3214,LEN(B3214)-FIND("@",B3214)),""))</f>
        <v/>
      </c>
      <c r="G3214">
        <f>IF(D3214="KEEP",COUNTIF($D$2:D3214,"KEEP"),"")</f>
        <v/>
      </c>
      <c r="H3214">
        <f>IF(D3214="REMOVE",COUNTIF($D$2:D3214,"REMOVE"),"")</f>
        <v/>
      </c>
      <c r="I3214">
        <f>IF(E3214="Gmail",COUNTIF($E$2:E3214,"Gmail"),"")</f>
        <v/>
      </c>
      <c r="J3214">
        <f>IF(E3214="Outlook",COUNTIF($E$2:E3214,"Outlook"),"")</f>
        <v/>
      </c>
      <c r="K3214">
        <f>IF(E3214="Domain",COUNTIF($E$2:E3214,"Domain"),"")</f>
        <v/>
      </c>
    </row>
    <row r="3215">
      <c r="A3215" s="2" t="n"/>
      <c r="B3215">
        <f>LOWER(TRIM(A3215))</f>
        <v/>
      </c>
      <c r="C3215">
        <f>IF(B3215="","",IFERROR(INDEX('Bad Patterns'!$A$2:$A$120,MATCH(1,INDEX(--ISNUMBER(SEARCH('Bad Patterns'!$A$2:$A$120,B3215)),0),0)),""))</f>
        <v/>
      </c>
      <c r="D3215">
        <f>IF(B3215="","",IF(C3215&lt;&gt;"","REMOVE","KEEP"))</f>
        <v/>
      </c>
      <c r="E3215">
        <f>IF(D3215&lt;&gt;"KEEP","",IF(RIGHT(B3215,10)="@gmail.com","Gmail",IF(OR(RIGHT(B3215,12)="@outlook.com",RIGHT(B3215,12)="@hotmail.com",RIGHT(B3215,9)="@live.com"),"Outlook","Domain")))</f>
        <v/>
      </c>
      <c r="F3215">
        <f>IF(B3215="","",IFERROR(RIGHT(B3215,LEN(B3215)-FIND("@",B3215)),""))</f>
        <v/>
      </c>
      <c r="G3215">
        <f>IF(D3215="KEEP",COUNTIF($D$2:D3215,"KEEP"),"")</f>
        <v/>
      </c>
      <c r="H3215">
        <f>IF(D3215="REMOVE",COUNTIF($D$2:D3215,"REMOVE"),"")</f>
        <v/>
      </c>
      <c r="I3215">
        <f>IF(E3215="Gmail",COUNTIF($E$2:E3215,"Gmail"),"")</f>
        <v/>
      </c>
      <c r="J3215">
        <f>IF(E3215="Outlook",COUNTIF($E$2:E3215,"Outlook"),"")</f>
        <v/>
      </c>
      <c r="K3215">
        <f>IF(E3215="Domain",COUNTIF($E$2:E3215,"Domain"),"")</f>
        <v/>
      </c>
    </row>
    <row r="3216">
      <c r="A3216" s="2" t="n"/>
      <c r="B3216">
        <f>LOWER(TRIM(A3216))</f>
        <v/>
      </c>
      <c r="C3216">
        <f>IF(B3216="","",IFERROR(INDEX('Bad Patterns'!$A$2:$A$120,MATCH(1,INDEX(--ISNUMBER(SEARCH('Bad Patterns'!$A$2:$A$120,B3216)),0),0)),""))</f>
        <v/>
      </c>
      <c r="D3216">
        <f>IF(B3216="","",IF(C3216&lt;&gt;"","REMOVE","KEEP"))</f>
        <v/>
      </c>
      <c r="E3216">
        <f>IF(D3216&lt;&gt;"KEEP","",IF(RIGHT(B3216,10)="@gmail.com","Gmail",IF(OR(RIGHT(B3216,12)="@outlook.com",RIGHT(B3216,12)="@hotmail.com",RIGHT(B3216,9)="@live.com"),"Outlook","Domain")))</f>
        <v/>
      </c>
      <c r="F3216">
        <f>IF(B3216="","",IFERROR(RIGHT(B3216,LEN(B3216)-FIND("@",B3216)),""))</f>
        <v/>
      </c>
      <c r="G3216">
        <f>IF(D3216="KEEP",COUNTIF($D$2:D3216,"KEEP"),"")</f>
        <v/>
      </c>
      <c r="H3216">
        <f>IF(D3216="REMOVE",COUNTIF($D$2:D3216,"REMOVE"),"")</f>
        <v/>
      </c>
      <c r="I3216">
        <f>IF(E3216="Gmail",COUNTIF($E$2:E3216,"Gmail"),"")</f>
        <v/>
      </c>
      <c r="J3216">
        <f>IF(E3216="Outlook",COUNTIF($E$2:E3216,"Outlook"),"")</f>
        <v/>
      </c>
      <c r="K3216">
        <f>IF(E3216="Domain",COUNTIF($E$2:E3216,"Domain"),"")</f>
        <v/>
      </c>
    </row>
    <row r="3217">
      <c r="A3217" s="2" t="n"/>
      <c r="B3217">
        <f>LOWER(TRIM(A3217))</f>
        <v/>
      </c>
      <c r="C3217">
        <f>IF(B3217="","",IFERROR(INDEX('Bad Patterns'!$A$2:$A$120,MATCH(1,INDEX(--ISNUMBER(SEARCH('Bad Patterns'!$A$2:$A$120,B3217)),0),0)),""))</f>
        <v/>
      </c>
      <c r="D3217">
        <f>IF(B3217="","",IF(C3217&lt;&gt;"","REMOVE","KEEP"))</f>
        <v/>
      </c>
      <c r="E3217">
        <f>IF(D3217&lt;&gt;"KEEP","",IF(RIGHT(B3217,10)="@gmail.com","Gmail",IF(OR(RIGHT(B3217,12)="@outlook.com",RIGHT(B3217,12)="@hotmail.com",RIGHT(B3217,9)="@live.com"),"Outlook","Domain")))</f>
        <v/>
      </c>
      <c r="F3217">
        <f>IF(B3217="","",IFERROR(RIGHT(B3217,LEN(B3217)-FIND("@",B3217)),""))</f>
        <v/>
      </c>
      <c r="G3217">
        <f>IF(D3217="KEEP",COUNTIF($D$2:D3217,"KEEP"),"")</f>
        <v/>
      </c>
      <c r="H3217">
        <f>IF(D3217="REMOVE",COUNTIF($D$2:D3217,"REMOVE"),"")</f>
        <v/>
      </c>
      <c r="I3217">
        <f>IF(E3217="Gmail",COUNTIF($E$2:E3217,"Gmail"),"")</f>
        <v/>
      </c>
      <c r="J3217">
        <f>IF(E3217="Outlook",COUNTIF($E$2:E3217,"Outlook"),"")</f>
        <v/>
      </c>
      <c r="K3217">
        <f>IF(E3217="Domain",COUNTIF($E$2:E3217,"Domain"),"")</f>
        <v/>
      </c>
    </row>
    <row r="3218">
      <c r="A3218" s="2" t="n"/>
      <c r="B3218">
        <f>LOWER(TRIM(A3218))</f>
        <v/>
      </c>
      <c r="C3218">
        <f>IF(B3218="","",IFERROR(INDEX('Bad Patterns'!$A$2:$A$120,MATCH(1,INDEX(--ISNUMBER(SEARCH('Bad Patterns'!$A$2:$A$120,B3218)),0),0)),""))</f>
        <v/>
      </c>
      <c r="D3218">
        <f>IF(B3218="","",IF(C3218&lt;&gt;"","REMOVE","KEEP"))</f>
        <v/>
      </c>
      <c r="E3218">
        <f>IF(D3218&lt;&gt;"KEEP","",IF(RIGHT(B3218,10)="@gmail.com","Gmail",IF(OR(RIGHT(B3218,12)="@outlook.com",RIGHT(B3218,12)="@hotmail.com",RIGHT(B3218,9)="@live.com"),"Outlook","Domain")))</f>
        <v/>
      </c>
      <c r="F3218">
        <f>IF(B3218="","",IFERROR(RIGHT(B3218,LEN(B3218)-FIND("@",B3218)),""))</f>
        <v/>
      </c>
      <c r="G3218">
        <f>IF(D3218="KEEP",COUNTIF($D$2:D3218,"KEEP"),"")</f>
        <v/>
      </c>
      <c r="H3218">
        <f>IF(D3218="REMOVE",COUNTIF($D$2:D3218,"REMOVE"),"")</f>
        <v/>
      </c>
      <c r="I3218">
        <f>IF(E3218="Gmail",COUNTIF($E$2:E3218,"Gmail"),"")</f>
        <v/>
      </c>
      <c r="J3218">
        <f>IF(E3218="Outlook",COUNTIF($E$2:E3218,"Outlook"),"")</f>
        <v/>
      </c>
      <c r="K3218">
        <f>IF(E3218="Domain",COUNTIF($E$2:E3218,"Domain"),"")</f>
        <v/>
      </c>
    </row>
    <row r="3219">
      <c r="A3219" s="2" t="n"/>
      <c r="B3219">
        <f>LOWER(TRIM(A3219))</f>
        <v/>
      </c>
      <c r="C3219">
        <f>IF(B3219="","",IFERROR(INDEX('Bad Patterns'!$A$2:$A$120,MATCH(1,INDEX(--ISNUMBER(SEARCH('Bad Patterns'!$A$2:$A$120,B3219)),0),0)),""))</f>
        <v/>
      </c>
      <c r="D3219">
        <f>IF(B3219="","",IF(C3219&lt;&gt;"","REMOVE","KEEP"))</f>
        <v/>
      </c>
      <c r="E3219">
        <f>IF(D3219&lt;&gt;"KEEP","",IF(RIGHT(B3219,10)="@gmail.com","Gmail",IF(OR(RIGHT(B3219,12)="@outlook.com",RIGHT(B3219,12)="@hotmail.com",RIGHT(B3219,9)="@live.com"),"Outlook","Domain")))</f>
        <v/>
      </c>
      <c r="F3219">
        <f>IF(B3219="","",IFERROR(RIGHT(B3219,LEN(B3219)-FIND("@",B3219)),""))</f>
        <v/>
      </c>
      <c r="G3219">
        <f>IF(D3219="KEEP",COUNTIF($D$2:D3219,"KEEP"),"")</f>
        <v/>
      </c>
      <c r="H3219">
        <f>IF(D3219="REMOVE",COUNTIF($D$2:D3219,"REMOVE"),"")</f>
        <v/>
      </c>
      <c r="I3219">
        <f>IF(E3219="Gmail",COUNTIF($E$2:E3219,"Gmail"),"")</f>
        <v/>
      </c>
      <c r="J3219">
        <f>IF(E3219="Outlook",COUNTIF($E$2:E3219,"Outlook"),"")</f>
        <v/>
      </c>
      <c r="K3219">
        <f>IF(E3219="Domain",COUNTIF($E$2:E3219,"Domain"),"")</f>
        <v/>
      </c>
    </row>
    <row r="3220">
      <c r="A3220" s="2" t="n"/>
      <c r="B3220">
        <f>LOWER(TRIM(A3220))</f>
        <v/>
      </c>
      <c r="C3220">
        <f>IF(B3220="","",IFERROR(INDEX('Bad Patterns'!$A$2:$A$120,MATCH(1,INDEX(--ISNUMBER(SEARCH('Bad Patterns'!$A$2:$A$120,B3220)),0),0)),""))</f>
        <v/>
      </c>
      <c r="D3220">
        <f>IF(B3220="","",IF(C3220&lt;&gt;"","REMOVE","KEEP"))</f>
        <v/>
      </c>
      <c r="E3220">
        <f>IF(D3220&lt;&gt;"KEEP","",IF(RIGHT(B3220,10)="@gmail.com","Gmail",IF(OR(RIGHT(B3220,12)="@outlook.com",RIGHT(B3220,12)="@hotmail.com",RIGHT(B3220,9)="@live.com"),"Outlook","Domain")))</f>
        <v/>
      </c>
      <c r="F3220">
        <f>IF(B3220="","",IFERROR(RIGHT(B3220,LEN(B3220)-FIND("@",B3220)),""))</f>
        <v/>
      </c>
      <c r="G3220">
        <f>IF(D3220="KEEP",COUNTIF($D$2:D3220,"KEEP"),"")</f>
        <v/>
      </c>
      <c r="H3220">
        <f>IF(D3220="REMOVE",COUNTIF($D$2:D3220,"REMOVE"),"")</f>
        <v/>
      </c>
      <c r="I3220">
        <f>IF(E3220="Gmail",COUNTIF($E$2:E3220,"Gmail"),"")</f>
        <v/>
      </c>
      <c r="J3220">
        <f>IF(E3220="Outlook",COUNTIF($E$2:E3220,"Outlook"),"")</f>
        <v/>
      </c>
      <c r="K3220">
        <f>IF(E3220="Domain",COUNTIF($E$2:E3220,"Domain"),"")</f>
        <v/>
      </c>
    </row>
    <row r="3221">
      <c r="A3221" s="2" t="n"/>
      <c r="B3221">
        <f>LOWER(TRIM(A3221))</f>
        <v/>
      </c>
      <c r="C3221">
        <f>IF(B3221="","",IFERROR(INDEX('Bad Patterns'!$A$2:$A$120,MATCH(1,INDEX(--ISNUMBER(SEARCH('Bad Patterns'!$A$2:$A$120,B3221)),0),0)),""))</f>
        <v/>
      </c>
      <c r="D3221">
        <f>IF(B3221="","",IF(C3221&lt;&gt;"","REMOVE","KEEP"))</f>
        <v/>
      </c>
      <c r="E3221">
        <f>IF(D3221&lt;&gt;"KEEP","",IF(RIGHT(B3221,10)="@gmail.com","Gmail",IF(OR(RIGHT(B3221,12)="@outlook.com",RIGHT(B3221,12)="@hotmail.com",RIGHT(B3221,9)="@live.com"),"Outlook","Domain")))</f>
        <v/>
      </c>
      <c r="F3221">
        <f>IF(B3221="","",IFERROR(RIGHT(B3221,LEN(B3221)-FIND("@",B3221)),""))</f>
        <v/>
      </c>
      <c r="G3221">
        <f>IF(D3221="KEEP",COUNTIF($D$2:D3221,"KEEP"),"")</f>
        <v/>
      </c>
      <c r="H3221">
        <f>IF(D3221="REMOVE",COUNTIF($D$2:D3221,"REMOVE"),"")</f>
        <v/>
      </c>
      <c r="I3221">
        <f>IF(E3221="Gmail",COUNTIF($E$2:E3221,"Gmail"),"")</f>
        <v/>
      </c>
      <c r="J3221">
        <f>IF(E3221="Outlook",COUNTIF($E$2:E3221,"Outlook"),"")</f>
        <v/>
      </c>
      <c r="K3221">
        <f>IF(E3221="Domain",COUNTIF($E$2:E3221,"Domain"),"")</f>
        <v/>
      </c>
    </row>
    <row r="3222">
      <c r="A3222" s="2" t="n"/>
      <c r="B3222">
        <f>LOWER(TRIM(A3222))</f>
        <v/>
      </c>
      <c r="C3222">
        <f>IF(B3222="","",IFERROR(INDEX('Bad Patterns'!$A$2:$A$120,MATCH(1,INDEX(--ISNUMBER(SEARCH('Bad Patterns'!$A$2:$A$120,B3222)),0),0)),""))</f>
        <v/>
      </c>
      <c r="D3222">
        <f>IF(B3222="","",IF(C3222&lt;&gt;"","REMOVE","KEEP"))</f>
        <v/>
      </c>
      <c r="E3222">
        <f>IF(D3222&lt;&gt;"KEEP","",IF(RIGHT(B3222,10)="@gmail.com","Gmail",IF(OR(RIGHT(B3222,12)="@outlook.com",RIGHT(B3222,12)="@hotmail.com",RIGHT(B3222,9)="@live.com"),"Outlook","Domain")))</f>
        <v/>
      </c>
      <c r="F3222">
        <f>IF(B3222="","",IFERROR(RIGHT(B3222,LEN(B3222)-FIND("@",B3222)),""))</f>
        <v/>
      </c>
      <c r="G3222">
        <f>IF(D3222="KEEP",COUNTIF($D$2:D3222,"KEEP"),"")</f>
        <v/>
      </c>
      <c r="H3222">
        <f>IF(D3222="REMOVE",COUNTIF($D$2:D3222,"REMOVE"),"")</f>
        <v/>
      </c>
      <c r="I3222">
        <f>IF(E3222="Gmail",COUNTIF($E$2:E3222,"Gmail"),"")</f>
        <v/>
      </c>
      <c r="J3222">
        <f>IF(E3222="Outlook",COUNTIF($E$2:E3222,"Outlook"),"")</f>
        <v/>
      </c>
      <c r="K3222">
        <f>IF(E3222="Domain",COUNTIF($E$2:E3222,"Domain"),"")</f>
        <v/>
      </c>
    </row>
    <row r="3223">
      <c r="A3223" s="2" t="n"/>
      <c r="B3223">
        <f>LOWER(TRIM(A3223))</f>
        <v/>
      </c>
      <c r="C3223">
        <f>IF(B3223="","",IFERROR(INDEX('Bad Patterns'!$A$2:$A$120,MATCH(1,INDEX(--ISNUMBER(SEARCH('Bad Patterns'!$A$2:$A$120,B3223)),0),0)),""))</f>
        <v/>
      </c>
      <c r="D3223">
        <f>IF(B3223="","",IF(C3223&lt;&gt;"","REMOVE","KEEP"))</f>
        <v/>
      </c>
      <c r="E3223">
        <f>IF(D3223&lt;&gt;"KEEP","",IF(RIGHT(B3223,10)="@gmail.com","Gmail",IF(OR(RIGHT(B3223,12)="@outlook.com",RIGHT(B3223,12)="@hotmail.com",RIGHT(B3223,9)="@live.com"),"Outlook","Domain")))</f>
        <v/>
      </c>
      <c r="F3223">
        <f>IF(B3223="","",IFERROR(RIGHT(B3223,LEN(B3223)-FIND("@",B3223)),""))</f>
        <v/>
      </c>
      <c r="G3223">
        <f>IF(D3223="KEEP",COUNTIF($D$2:D3223,"KEEP"),"")</f>
        <v/>
      </c>
      <c r="H3223">
        <f>IF(D3223="REMOVE",COUNTIF($D$2:D3223,"REMOVE"),"")</f>
        <v/>
      </c>
      <c r="I3223">
        <f>IF(E3223="Gmail",COUNTIF($E$2:E3223,"Gmail"),"")</f>
        <v/>
      </c>
      <c r="J3223">
        <f>IF(E3223="Outlook",COUNTIF($E$2:E3223,"Outlook"),"")</f>
        <v/>
      </c>
      <c r="K3223">
        <f>IF(E3223="Domain",COUNTIF($E$2:E3223,"Domain"),"")</f>
        <v/>
      </c>
    </row>
    <row r="3224">
      <c r="A3224" s="2" t="n"/>
      <c r="B3224">
        <f>LOWER(TRIM(A3224))</f>
        <v/>
      </c>
      <c r="C3224">
        <f>IF(B3224="","",IFERROR(INDEX('Bad Patterns'!$A$2:$A$120,MATCH(1,INDEX(--ISNUMBER(SEARCH('Bad Patterns'!$A$2:$A$120,B3224)),0),0)),""))</f>
        <v/>
      </c>
      <c r="D3224">
        <f>IF(B3224="","",IF(C3224&lt;&gt;"","REMOVE","KEEP"))</f>
        <v/>
      </c>
      <c r="E3224">
        <f>IF(D3224&lt;&gt;"KEEP","",IF(RIGHT(B3224,10)="@gmail.com","Gmail",IF(OR(RIGHT(B3224,12)="@outlook.com",RIGHT(B3224,12)="@hotmail.com",RIGHT(B3224,9)="@live.com"),"Outlook","Domain")))</f>
        <v/>
      </c>
      <c r="F3224">
        <f>IF(B3224="","",IFERROR(RIGHT(B3224,LEN(B3224)-FIND("@",B3224)),""))</f>
        <v/>
      </c>
      <c r="G3224">
        <f>IF(D3224="KEEP",COUNTIF($D$2:D3224,"KEEP"),"")</f>
        <v/>
      </c>
      <c r="H3224">
        <f>IF(D3224="REMOVE",COUNTIF($D$2:D3224,"REMOVE"),"")</f>
        <v/>
      </c>
      <c r="I3224">
        <f>IF(E3224="Gmail",COUNTIF($E$2:E3224,"Gmail"),"")</f>
        <v/>
      </c>
      <c r="J3224">
        <f>IF(E3224="Outlook",COUNTIF($E$2:E3224,"Outlook"),"")</f>
        <v/>
      </c>
      <c r="K3224">
        <f>IF(E3224="Domain",COUNTIF($E$2:E3224,"Domain"),"")</f>
        <v/>
      </c>
    </row>
    <row r="3225">
      <c r="A3225" s="2" t="n"/>
      <c r="B3225">
        <f>LOWER(TRIM(A3225))</f>
        <v/>
      </c>
      <c r="C3225">
        <f>IF(B3225="","",IFERROR(INDEX('Bad Patterns'!$A$2:$A$120,MATCH(1,INDEX(--ISNUMBER(SEARCH('Bad Patterns'!$A$2:$A$120,B3225)),0),0)),""))</f>
        <v/>
      </c>
      <c r="D3225">
        <f>IF(B3225="","",IF(C3225&lt;&gt;"","REMOVE","KEEP"))</f>
        <v/>
      </c>
      <c r="E3225">
        <f>IF(D3225&lt;&gt;"KEEP","",IF(RIGHT(B3225,10)="@gmail.com","Gmail",IF(OR(RIGHT(B3225,12)="@outlook.com",RIGHT(B3225,12)="@hotmail.com",RIGHT(B3225,9)="@live.com"),"Outlook","Domain")))</f>
        <v/>
      </c>
      <c r="F3225">
        <f>IF(B3225="","",IFERROR(RIGHT(B3225,LEN(B3225)-FIND("@",B3225)),""))</f>
        <v/>
      </c>
      <c r="G3225">
        <f>IF(D3225="KEEP",COUNTIF($D$2:D3225,"KEEP"),"")</f>
        <v/>
      </c>
      <c r="H3225">
        <f>IF(D3225="REMOVE",COUNTIF($D$2:D3225,"REMOVE"),"")</f>
        <v/>
      </c>
      <c r="I3225">
        <f>IF(E3225="Gmail",COUNTIF($E$2:E3225,"Gmail"),"")</f>
        <v/>
      </c>
      <c r="J3225">
        <f>IF(E3225="Outlook",COUNTIF($E$2:E3225,"Outlook"),"")</f>
        <v/>
      </c>
      <c r="K3225">
        <f>IF(E3225="Domain",COUNTIF($E$2:E3225,"Domain"),"")</f>
        <v/>
      </c>
    </row>
    <row r="3226">
      <c r="A3226" s="2" t="n"/>
      <c r="B3226">
        <f>LOWER(TRIM(A3226))</f>
        <v/>
      </c>
      <c r="C3226">
        <f>IF(B3226="","",IFERROR(INDEX('Bad Patterns'!$A$2:$A$120,MATCH(1,INDEX(--ISNUMBER(SEARCH('Bad Patterns'!$A$2:$A$120,B3226)),0),0)),""))</f>
        <v/>
      </c>
      <c r="D3226">
        <f>IF(B3226="","",IF(C3226&lt;&gt;"","REMOVE","KEEP"))</f>
        <v/>
      </c>
      <c r="E3226">
        <f>IF(D3226&lt;&gt;"KEEP","",IF(RIGHT(B3226,10)="@gmail.com","Gmail",IF(OR(RIGHT(B3226,12)="@outlook.com",RIGHT(B3226,12)="@hotmail.com",RIGHT(B3226,9)="@live.com"),"Outlook","Domain")))</f>
        <v/>
      </c>
      <c r="F3226">
        <f>IF(B3226="","",IFERROR(RIGHT(B3226,LEN(B3226)-FIND("@",B3226)),""))</f>
        <v/>
      </c>
      <c r="G3226">
        <f>IF(D3226="KEEP",COUNTIF($D$2:D3226,"KEEP"),"")</f>
        <v/>
      </c>
      <c r="H3226">
        <f>IF(D3226="REMOVE",COUNTIF($D$2:D3226,"REMOVE"),"")</f>
        <v/>
      </c>
      <c r="I3226">
        <f>IF(E3226="Gmail",COUNTIF($E$2:E3226,"Gmail"),"")</f>
        <v/>
      </c>
      <c r="J3226">
        <f>IF(E3226="Outlook",COUNTIF($E$2:E3226,"Outlook"),"")</f>
        <v/>
      </c>
      <c r="K3226">
        <f>IF(E3226="Domain",COUNTIF($E$2:E3226,"Domain"),"")</f>
        <v/>
      </c>
    </row>
    <row r="3227">
      <c r="A3227" s="2" t="n"/>
      <c r="B3227">
        <f>LOWER(TRIM(A3227))</f>
        <v/>
      </c>
      <c r="C3227">
        <f>IF(B3227="","",IFERROR(INDEX('Bad Patterns'!$A$2:$A$120,MATCH(1,INDEX(--ISNUMBER(SEARCH('Bad Patterns'!$A$2:$A$120,B3227)),0),0)),""))</f>
        <v/>
      </c>
      <c r="D3227">
        <f>IF(B3227="","",IF(C3227&lt;&gt;"","REMOVE","KEEP"))</f>
        <v/>
      </c>
      <c r="E3227">
        <f>IF(D3227&lt;&gt;"KEEP","",IF(RIGHT(B3227,10)="@gmail.com","Gmail",IF(OR(RIGHT(B3227,12)="@outlook.com",RIGHT(B3227,12)="@hotmail.com",RIGHT(B3227,9)="@live.com"),"Outlook","Domain")))</f>
        <v/>
      </c>
      <c r="F3227">
        <f>IF(B3227="","",IFERROR(RIGHT(B3227,LEN(B3227)-FIND("@",B3227)),""))</f>
        <v/>
      </c>
      <c r="G3227">
        <f>IF(D3227="KEEP",COUNTIF($D$2:D3227,"KEEP"),"")</f>
        <v/>
      </c>
      <c r="H3227">
        <f>IF(D3227="REMOVE",COUNTIF($D$2:D3227,"REMOVE"),"")</f>
        <v/>
      </c>
      <c r="I3227">
        <f>IF(E3227="Gmail",COUNTIF($E$2:E3227,"Gmail"),"")</f>
        <v/>
      </c>
      <c r="J3227">
        <f>IF(E3227="Outlook",COUNTIF($E$2:E3227,"Outlook"),"")</f>
        <v/>
      </c>
      <c r="K3227">
        <f>IF(E3227="Domain",COUNTIF($E$2:E3227,"Domain"),"")</f>
        <v/>
      </c>
    </row>
    <row r="3228">
      <c r="A3228" s="2" t="n"/>
      <c r="B3228">
        <f>LOWER(TRIM(A3228))</f>
        <v/>
      </c>
      <c r="C3228">
        <f>IF(B3228="","",IFERROR(INDEX('Bad Patterns'!$A$2:$A$120,MATCH(1,INDEX(--ISNUMBER(SEARCH('Bad Patterns'!$A$2:$A$120,B3228)),0),0)),""))</f>
        <v/>
      </c>
      <c r="D3228">
        <f>IF(B3228="","",IF(C3228&lt;&gt;"","REMOVE","KEEP"))</f>
        <v/>
      </c>
      <c r="E3228">
        <f>IF(D3228&lt;&gt;"KEEP","",IF(RIGHT(B3228,10)="@gmail.com","Gmail",IF(OR(RIGHT(B3228,12)="@outlook.com",RIGHT(B3228,12)="@hotmail.com",RIGHT(B3228,9)="@live.com"),"Outlook","Domain")))</f>
        <v/>
      </c>
      <c r="F3228">
        <f>IF(B3228="","",IFERROR(RIGHT(B3228,LEN(B3228)-FIND("@",B3228)),""))</f>
        <v/>
      </c>
      <c r="G3228">
        <f>IF(D3228="KEEP",COUNTIF($D$2:D3228,"KEEP"),"")</f>
        <v/>
      </c>
      <c r="H3228">
        <f>IF(D3228="REMOVE",COUNTIF($D$2:D3228,"REMOVE"),"")</f>
        <v/>
      </c>
      <c r="I3228">
        <f>IF(E3228="Gmail",COUNTIF($E$2:E3228,"Gmail"),"")</f>
        <v/>
      </c>
      <c r="J3228">
        <f>IF(E3228="Outlook",COUNTIF($E$2:E3228,"Outlook"),"")</f>
        <v/>
      </c>
      <c r="K3228">
        <f>IF(E3228="Domain",COUNTIF($E$2:E3228,"Domain"),"")</f>
        <v/>
      </c>
    </row>
    <row r="3229">
      <c r="A3229" s="2" t="n"/>
      <c r="B3229">
        <f>LOWER(TRIM(A3229))</f>
        <v/>
      </c>
      <c r="C3229">
        <f>IF(B3229="","",IFERROR(INDEX('Bad Patterns'!$A$2:$A$120,MATCH(1,INDEX(--ISNUMBER(SEARCH('Bad Patterns'!$A$2:$A$120,B3229)),0),0)),""))</f>
        <v/>
      </c>
      <c r="D3229">
        <f>IF(B3229="","",IF(C3229&lt;&gt;"","REMOVE","KEEP"))</f>
        <v/>
      </c>
      <c r="E3229">
        <f>IF(D3229&lt;&gt;"KEEP","",IF(RIGHT(B3229,10)="@gmail.com","Gmail",IF(OR(RIGHT(B3229,12)="@outlook.com",RIGHT(B3229,12)="@hotmail.com",RIGHT(B3229,9)="@live.com"),"Outlook","Domain")))</f>
        <v/>
      </c>
      <c r="F3229">
        <f>IF(B3229="","",IFERROR(RIGHT(B3229,LEN(B3229)-FIND("@",B3229)),""))</f>
        <v/>
      </c>
      <c r="G3229">
        <f>IF(D3229="KEEP",COUNTIF($D$2:D3229,"KEEP"),"")</f>
        <v/>
      </c>
      <c r="H3229">
        <f>IF(D3229="REMOVE",COUNTIF($D$2:D3229,"REMOVE"),"")</f>
        <v/>
      </c>
      <c r="I3229">
        <f>IF(E3229="Gmail",COUNTIF($E$2:E3229,"Gmail"),"")</f>
        <v/>
      </c>
      <c r="J3229">
        <f>IF(E3229="Outlook",COUNTIF($E$2:E3229,"Outlook"),"")</f>
        <v/>
      </c>
      <c r="K3229">
        <f>IF(E3229="Domain",COUNTIF($E$2:E3229,"Domain"),"")</f>
        <v/>
      </c>
    </row>
    <row r="3230">
      <c r="A3230" s="2" t="n"/>
      <c r="B3230">
        <f>LOWER(TRIM(A3230))</f>
        <v/>
      </c>
      <c r="C3230">
        <f>IF(B3230="","",IFERROR(INDEX('Bad Patterns'!$A$2:$A$120,MATCH(1,INDEX(--ISNUMBER(SEARCH('Bad Patterns'!$A$2:$A$120,B3230)),0),0)),""))</f>
        <v/>
      </c>
      <c r="D3230">
        <f>IF(B3230="","",IF(C3230&lt;&gt;"","REMOVE","KEEP"))</f>
        <v/>
      </c>
      <c r="E3230">
        <f>IF(D3230&lt;&gt;"KEEP","",IF(RIGHT(B3230,10)="@gmail.com","Gmail",IF(OR(RIGHT(B3230,12)="@outlook.com",RIGHT(B3230,12)="@hotmail.com",RIGHT(B3230,9)="@live.com"),"Outlook","Domain")))</f>
        <v/>
      </c>
      <c r="F3230">
        <f>IF(B3230="","",IFERROR(RIGHT(B3230,LEN(B3230)-FIND("@",B3230)),""))</f>
        <v/>
      </c>
      <c r="G3230">
        <f>IF(D3230="KEEP",COUNTIF($D$2:D3230,"KEEP"),"")</f>
        <v/>
      </c>
      <c r="H3230">
        <f>IF(D3230="REMOVE",COUNTIF($D$2:D3230,"REMOVE"),"")</f>
        <v/>
      </c>
      <c r="I3230">
        <f>IF(E3230="Gmail",COUNTIF($E$2:E3230,"Gmail"),"")</f>
        <v/>
      </c>
      <c r="J3230">
        <f>IF(E3230="Outlook",COUNTIF($E$2:E3230,"Outlook"),"")</f>
        <v/>
      </c>
      <c r="K3230">
        <f>IF(E3230="Domain",COUNTIF($E$2:E3230,"Domain"),"")</f>
        <v/>
      </c>
    </row>
    <row r="3231">
      <c r="A3231" s="2" t="n"/>
      <c r="B3231">
        <f>LOWER(TRIM(A3231))</f>
        <v/>
      </c>
      <c r="C3231">
        <f>IF(B3231="","",IFERROR(INDEX('Bad Patterns'!$A$2:$A$120,MATCH(1,INDEX(--ISNUMBER(SEARCH('Bad Patterns'!$A$2:$A$120,B3231)),0),0)),""))</f>
        <v/>
      </c>
      <c r="D3231">
        <f>IF(B3231="","",IF(C3231&lt;&gt;"","REMOVE","KEEP"))</f>
        <v/>
      </c>
      <c r="E3231">
        <f>IF(D3231&lt;&gt;"KEEP","",IF(RIGHT(B3231,10)="@gmail.com","Gmail",IF(OR(RIGHT(B3231,12)="@outlook.com",RIGHT(B3231,12)="@hotmail.com",RIGHT(B3231,9)="@live.com"),"Outlook","Domain")))</f>
        <v/>
      </c>
      <c r="F3231">
        <f>IF(B3231="","",IFERROR(RIGHT(B3231,LEN(B3231)-FIND("@",B3231)),""))</f>
        <v/>
      </c>
      <c r="G3231">
        <f>IF(D3231="KEEP",COUNTIF($D$2:D3231,"KEEP"),"")</f>
        <v/>
      </c>
      <c r="H3231">
        <f>IF(D3231="REMOVE",COUNTIF($D$2:D3231,"REMOVE"),"")</f>
        <v/>
      </c>
      <c r="I3231">
        <f>IF(E3231="Gmail",COUNTIF($E$2:E3231,"Gmail"),"")</f>
        <v/>
      </c>
      <c r="J3231">
        <f>IF(E3231="Outlook",COUNTIF($E$2:E3231,"Outlook"),"")</f>
        <v/>
      </c>
      <c r="K3231">
        <f>IF(E3231="Domain",COUNTIF($E$2:E3231,"Domain"),"")</f>
        <v/>
      </c>
    </row>
    <row r="3232">
      <c r="A3232" s="2" t="n"/>
      <c r="B3232">
        <f>LOWER(TRIM(A3232))</f>
        <v/>
      </c>
      <c r="C3232">
        <f>IF(B3232="","",IFERROR(INDEX('Bad Patterns'!$A$2:$A$120,MATCH(1,INDEX(--ISNUMBER(SEARCH('Bad Patterns'!$A$2:$A$120,B3232)),0),0)),""))</f>
        <v/>
      </c>
      <c r="D3232">
        <f>IF(B3232="","",IF(C3232&lt;&gt;"","REMOVE","KEEP"))</f>
        <v/>
      </c>
      <c r="E3232">
        <f>IF(D3232&lt;&gt;"KEEP","",IF(RIGHT(B3232,10)="@gmail.com","Gmail",IF(OR(RIGHT(B3232,12)="@outlook.com",RIGHT(B3232,12)="@hotmail.com",RIGHT(B3232,9)="@live.com"),"Outlook","Domain")))</f>
        <v/>
      </c>
      <c r="F3232">
        <f>IF(B3232="","",IFERROR(RIGHT(B3232,LEN(B3232)-FIND("@",B3232)),""))</f>
        <v/>
      </c>
      <c r="G3232">
        <f>IF(D3232="KEEP",COUNTIF($D$2:D3232,"KEEP"),"")</f>
        <v/>
      </c>
      <c r="H3232">
        <f>IF(D3232="REMOVE",COUNTIF($D$2:D3232,"REMOVE"),"")</f>
        <v/>
      </c>
      <c r="I3232">
        <f>IF(E3232="Gmail",COUNTIF($E$2:E3232,"Gmail"),"")</f>
        <v/>
      </c>
      <c r="J3232">
        <f>IF(E3232="Outlook",COUNTIF($E$2:E3232,"Outlook"),"")</f>
        <v/>
      </c>
      <c r="K3232">
        <f>IF(E3232="Domain",COUNTIF($E$2:E3232,"Domain"),"")</f>
        <v/>
      </c>
    </row>
    <row r="3233">
      <c r="A3233" s="2" t="n"/>
      <c r="B3233">
        <f>LOWER(TRIM(A3233))</f>
        <v/>
      </c>
      <c r="C3233">
        <f>IF(B3233="","",IFERROR(INDEX('Bad Patterns'!$A$2:$A$120,MATCH(1,INDEX(--ISNUMBER(SEARCH('Bad Patterns'!$A$2:$A$120,B3233)),0),0)),""))</f>
        <v/>
      </c>
      <c r="D3233">
        <f>IF(B3233="","",IF(C3233&lt;&gt;"","REMOVE","KEEP"))</f>
        <v/>
      </c>
      <c r="E3233">
        <f>IF(D3233&lt;&gt;"KEEP","",IF(RIGHT(B3233,10)="@gmail.com","Gmail",IF(OR(RIGHT(B3233,12)="@outlook.com",RIGHT(B3233,12)="@hotmail.com",RIGHT(B3233,9)="@live.com"),"Outlook","Domain")))</f>
        <v/>
      </c>
      <c r="F3233">
        <f>IF(B3233="","",IFERROR(RIGHT(B3233,LEN(B3233)-FIND("@",B3233)),""))</f>
        <v/>
      </c>
      <c r="G3233">
        <f>IF(D3233="KEEP",COUNTIF($D$2:D3233,"KEEP"),"")</f>
        <v/>
      </c>
      <c r="H3233">
        <f>IF(D3233="REMOVE",COUNTIF($D$2:D3233,"REMOVE"),"")</f>
        <v/>
      </c>
      <c r="I3233">
        <f>IF(E3233="Gmail",COUNTIF($E$2:E3233,"Gmail"),"")</f>
        <v/>
      </c>
      <c r="J3233">
        <f>IF(E3233="Outlook",COUNTIF($E$2:E3233,"Outlook"),"")</f>
        <v/>
      </c>
      <c r="K3233">
        <f>IF(E3233="Domain",COUNTIF($E$2:E3233,"Domain"),"")</f>
        <v/>
      </c>
    </row>
    <row r="3234">
      <c r="A3234" s="2" t="n"/>
      <c r="B3234">
        <f>LOWER(TRIM(A3234))</f>
        <v/>
      </c>
      <c r="C3234">
        <f>IF(B3234="","",IFERROR(INDEX('Bad Patterns'!$A$2:$A$120,MATCH(1,INDEX(--ISNUMBER(SEARCH('Bad Patterns'!$A$2:$A$120,B3234)),0),0)),""))</f>
        <v/>
      </c>
      <c r="D3234">
        <f>IF(B3234="","",IF(C3234&lt;&gt;"","REMOVE","KEEP"))</f>
        <v/>
      </c>
      <c r="E3234">
        <f>IF(D3234&lt;&gt;"KEEP","",IF(RIGHT(B3234,10)="@gmail.com","Gmail",IF(OR(RIGHT(B3234,12)="@outlook.com",RIGHT(B3234,12)="@hotmail.com",RIGHT(B3234,9)="@live.com"),"Outlook","Domain")))</f>
        <v/>
      </c>
      <c r="F3234">
        <f>IF(B3234="","",IFERROR(RIGHT(B3234,LEN(B3234)-FIND("@",B3234)),""))</f>
        <v/>
      </c>
      <c r="G3234">
        <f>IF(D3234="KEEP",COUNTIF($D$2:D3234,"KEEP"),"")</f>
        <v/>
      </c>
      <c r="H3234">
        <f>IF(D3234="REMOVE",COUNTIF($D$2:D3234,"REMOVE"),"")</f>
        <v/>
      </c>
      <c r="I3234">
        <f>IF(E3234="Gmail",COUNTIF($E$2:E3234,"Gmail"),"")</f>
        <v/>
      </c>
      <c r="J3234">
        <f>IF(E3234="Outlook",COUNTIF($E$2:E3234,"Outlook"),"")</f>
        <v/>
      </c>
      <c r="K3234">
        <f>IF(E3234="Domain",COUNTIF($E$2:E3234,"Domain"),"")</f>
        <v/>
      </c>
    </row>
    <row r="3235">
      <c r="A3235" s="2" t="n"/>
      <c r="B3235">
        <f>LOWER(TRIM(A3235))</f>
        <v/>
      </c>
      <c r="C3235">
        <f>IF(B3235="","",IFERROR(INDEX('Bad Patterns'!$A$2:$A$120,MATCH(1,INDEX(--ISNUMBER(SEARCH('Bad Patterns'!$A$2:$A$120,B3235)),0),0)),""))</f>
        <v/>
      </c>
      <c r="D3235">
        <f>IF(B3235="","",IF(C3235&lt;&gt;"","REMOVE","KEEP"))</f>
        <v/>
      </c>
      <c r="E3235">
        <f>IF(D3235&lt;&gt;"KEEP","",IF(RIGHT(B3235,10)="@gmail.com","Gmail",IF(OR(RIGHT(B3235,12)="@outlook.com",RIGHT(B3235,12)="@hotmail.com",RIGHT(B3235,9)="@live.com"),"Outlook","Domain")))</f>
        <v/>
      </c>
      <c r="F3235">
        <f>IF(B3235="","",IFERROR(RIGHT(B3235,LEN(B3235)-FIND("@",B3235)),""))</f>
        <v/>
      </c>
      <c r="G3235">
        <f>IF(D3235="KEEP",COUNTIF($D$2:D3235,"KEEP"),"")</f>
        <v/>
      </c>
      <c r="H3235">
        <f>IF(D3235="REMOVE",COUNTIF($D$2:D3235,"REMOVE"),"")</f>
        <v/>
      </c>
      <c r="I3235">
        <f>IF(E3235="Gmail",COUNTIF($E$2:E3235,"Gmail"),"")</f>
        <v/>
      </c>
      <c r="J3235">
        <f>IF(E3235="Outlook",COUNTIF($E$2:E3235,"Outlook"),"")</f>
        <v/>
      </c>
      <c r="K3235">
        <f>IF(E3235="Domain",COUNTIF($E$2:E3235,"Domain"),"")</f>
        <v/>
      </c>
    </row>
    <row r="3236">
      <c r="A3236" s="2" t="n"/>
      <c r="B3236">
        <f>LOWER(TRIM(A3236))</f>
        <v/>
      </c>
      <c r="C3236">
        <f>IF(B3236="","",IFERROR(INDEX('Bad Patterns'!$A$2:$A$120,MATCH(1,INDEX(--ISNUMBER(SEARCH('Bad Patterns'!$A$2:$A$120,B3236)),0),0)),""))</f>
        <v/>
      </c>
      <c r="D3236">
        <f>IF(B3236="","",IF(C3236&lt;&gt;"","REMOVE","KEEP"))</f>
        <v/>
      </c>
      <c r="E3236">
        <f>IF(D3236&lt;&gt;"KEEP","",IF(RIGHT(B3236,10)="@gmail.com","Gmail",IF(OR(RIGHT(B3236,12)="@outlook.com",RIGHT(B3236,12)="@hotmail.com",RIGHT(B3236,9)="@live.com"),"Outlook","Domain")))</f>
        <v/>
      </c>
      <c r="F3236">
        <f>IF(B3236="","",IFERROR(RIGHT(B3236,LEN(B3236)-FIND("@",B3236)),""))</f>
        <v/>
      </c>
      <c r="G3236">
        <f>IF(D3236="KEEP",COUNTIF($D$2:D3236,"KEEP"),"")</f>
        <v/>
      </c>
      <c r="H3236">
        <f>IF(D3236="REMOVE",COUNTIF($D$2:D3236,"REMOVE"),"")</f>
        <v/>
      </c>
      <c r="I3236">
        <f>IF(E3236="Gmail",COUNTIF($E$2:E3236,"Gmail"),"")</f>
        <v/>
      </c>
      <c r="J3236">
        <f>IF(E3236="Outlook",COUNTIF($E$2:E3236,"Outlook"),"")</f>
        <v/>
      </c>
      <c r="K3236">
        <f>IF(E3236="Domain",COUNTIF($E$2:E3236,"Domain"),"")</f>
        <v/>
      </c>
    </row>
    <row r="3237">
      <c r="A3237" s="2" t="n"/>
      <c r="B3237">
        <f>LOWER(TRIM(A3237))</f>
        <v/>
      </c>
      <c r="C3237">
        <f>IF(B3237="","",IFERROR(INDEX('Bad Patterns'!$A$2:$A$120,MATCH(1,INDEX(--ISNUMBER(SEARCH('Bad Patterns'!$A$2:$A$120,B3237)),0),0)),""))</f>
        <v/>
      </c>
      <c r="D3237">
        <f>IF(B3237="","",IF(C3237&lt;&gt;"","REMOVE","KEEP"))</f>
        <v/>
      </c>
      <c r="E3237">
        <f>IF(D3237&lt;&gt;"KEEP","",IF(RIGHT(B3237,10)="@gmail.com","Gmail",IF(OR(RIGHT(B3237,12)="@outlook.com",RIGHT(B3237,12)="@hotmail.com",RIGHT(B3237,9)="@live.com"),"Outlook","Domain")))</f>
        <v/>
      </c>
      <c r="F3237">
        <f>IF(B3237="","",IFERROR(RIGHT(B3237,LEN(B3237)-FIND("@",B3237)),""))</f>
        <v/>
      </c>
      <c r="G3237">
        <f>IF(D3237="KEEP",COUNTIF($D$2:D3237,"KEEP"),"")</f>
        <v/>
      </c>
      <c r="H3237">
        <f>IF(D3237="REMOVE",COUNTIF($D$2:D3237,"REMOVE"),"")</f>
        <v/>
      </c>
      <c r="I3237">
        <f>IF(E3237="Gmail",COUNTIF($E$2:E3237,"Gmail"),"")</f>
        <v/>
      </c>
      <c r="J3237">
        <f>IF(E3237="Outlook",COUNTIF($E$2:E3237,"Outlook"),"")</f>
        <v/>
      </c>
      <c r="K3237">
        <f>IF(E3237="Domain",COUNTIF($E$2:E3237,"Domain"),"")</f>
        <v/>
      </c>
    </row>
    <row r="3238">
      <c r="A3238" s="2" t="n"/>
      <c r="B3238">
        <f>LOWER(TRIM(A3238))</f>
        <v/>
      </c>
      <c r="C3238">
        <f>IF(B3238="","",IFERROR(INDEX('Bad Patterns'!$A$2:$A$120,MATCH(1,INDEX(--ISNUMBER(SEARCH('Bad Patterns'!$A$2:$A$120,B3238)),0),0)),""))</f>
        <v/>
      </c>
      <c r="D3238">
        <f>IF(B3238="","",IF(C3238&lt;&gt;"","REMOVE","KEEP"))</f>
        <v/>
      </c>
      <c r="E3238">
        <f>IF(D3238&lt;&gt;"KEEP","",IF(RIGHT(B3238,10)="@gmail.com","Gmail",IF(OR(RIGHT(B3238,12)="@outlook.com",RIGHT(B3238,12)="@hotmail.com",RIGHT(B3238,9)="@live.com"),"Outlook","Domain")))</f>
        <v/>
      </c>
      <c r="F3238">
        <f>IF(B3238="","",IFERROR(RIGHT(B3238,LEN(B3238)-FIND("@",B3238)),""))</f>
        <v/>
      </c>
      <c r="G3238">
        <f>IF(D3238="KEEP",COUNTIF($D$2:D3238,"KEEP"),"")</f>
        <v/>
      </c>
      <c r="H3238">
        <f>IF(D3238="REMOVE",COUNTIF($D$2:D3238,"REMOVE"),"")</f>
        <v/>
      </c>
      <c r="I3238">
        <f>IF(E3238="Gmail",COUNTIF($E$2:E3238,"Gmail"),"")</f>
        <v/>
      </c>
      <c r="J3238">
        <f>IF(E3238="Outlook",COUNTIF($E$2:E3238,"Outlook"),"")</f>
        <v/>
      </c>
      <c r="K3238">
        <f>IF(E3238="Domain",COUNTIF($E$2:E3238,"Domain"),"")</f>
        <v/>
      </c>
    </row>
    <row r="3239">
      <c r="A3239" s="2" t="n"/>
      <c r="B3239">
        <f>LOWER(TRIM(A3239))</f>
        <v/>
      </c>
      <c r="C3239">
        <f>IF(B3239="","",IFERROR(INDEX('Bad Patterns'!$A$2:$A$120,MATCH(1,INDEX(--ISNUMBER(SEARCH('Bad Patterns'!$A$2:$A$120,B3239)),0),0)),""))</f>
        <v/>
      </c>
      <c r="D3239">
        <f>IF(B3239="","",IF(C3239&lt;&gt;"","REMOVE","KEEP"))</f>
        <v/>
      </c>
      <c r="E3239">
        <f>IF(D3239&lt;&gt;"KEEP","",IF(RIGHT(B3239,10)="@gmail.com","Gmail",IF(OR(RIGHT(B3239,12)="@outlook.com",RIGHT(B3239,12)="@hotmail.com",RIGHT(B3239,9)="@live.com"),"Outlook","Domain")))</f>
        <v/>
      </c>
      <c r="F3239">
        <f>IF(B3239="","",IFERROR(RIGHT(B3239,LEN(B3239)-FIND("@",B3239)),""))</f>
        <v/>
      </c>
      <c r="G3239">
        <f>IF(D3239="KEEP",COUNTIF($D$2:D3239,"KEEP"),"")</f>
        <v/>
      </c>
      <c r="H3239">
        <f>IF(D3239="REMOVE",COUNTIF($D$2:D3239,"REMOVE"),"")</f>
        <v/>
      </c>
      <c r="I3239">
        <f>IF(E3239="Gmail",COUNTIF($E$2:E3239,"Gmail"),"")</f>
        <v/>
      </c>
      <c r="J3239">
        <f>IF(E3239="Outlook",COUNTIF($E$2:E3239,"Outlook"),"")</f>
        <v/>
      </c>
      <c r="K3239">
        <f>IF(E3239="Domain",COUNTIF($E$2:E3239,"Domain"),"")</f>
        <v/>
      </c>
    </row>
    <row r="3240">
      <c r="A3240" s="2" t="n"/>
      <c r="B3240">
        <f>LOWER(TRIM(A3240))</f>
        <v/>
      </c>
      <c r="C3240">
        <f>IF(B3240="","",IFERROR(INDEX('Bad Patterns'!$A$2:$A$120,MATCH(1,INDEX(--ISNUMBER(SEARCH('Bad Patterns'!$A$2:$A$120,B3240)),0),0)),""))</f>
        <v/>
      </c>
      <c r="D3240">
        <f>IF(B3240="","",IF(C3240&lt;&gt;"","REMOVE","KEEP"))</f>
        <v/>
      </c>
      <c r="E3240">
        <f>IF(D3240&lt;&gt;"KEEP","",IF(RIGHT(B3240,10)="@gmail.com","Gmail",IF(OR(RIGHT(B3240,12)="@outlook.com",RIGHT(B3240,12)="@hotmail.com",RIGHT(B3240,9)="@live.com"),"Outlook","Domain")))</f>
        <v/>
      </c>
      <c r="F3240">
        <f>IF(B3240="","",IFERROR(RIGHT(B3240,LEN(B3240)-FIND("@",B3240)),""))</f>
        <v/>
      </c>
      <c r="G3240">
        <f>IF(D3240="KEEP",COUNTIF($D$2:D3240,"KEEP"),"")</f>
        <v/>
      </c>
      <c r="H3240">
        <f>IF(D3240="REMOVE",COUNTIF($D$2:D3240,"REMOVE"),"")</f>
        <v/>
      </c>
      <c r="I3240">
        <f>IF(E3240="Gmail",COUNTIF($E$2:E3240,"Gmail"),"")</f>
        <v/>
      </c>
      <c r="J3240">
        <f>IF(E3240="Outlook",COUNTIF($E$2:E3240,"Outlook"),"")</f>
        <v/>
      </c>
      <c r="K3240">
        <f>IF(E3240="Domain",COUNTIF($E$2:E3240,"Domain"),"")</f>
        <v/>
      </c>
    </row>
    <row r="3241">
      <c r="A3241" s="2" t="n"/>
      <c r="B3241">
        <f>LOWER(TRIM(A3241))</f>
        <v/>
      </c>
      <c r="C3241">
        <f>IF(B3241="","",IFERROR(INDEX('Bad Patterns'!$A$2:$A$120,MATCH(1,INDEX(--ISNUMBER(SEARCH('Bad Patterns'!$A$2:$A$120,B3241)),0),0)),""))</f>
        <v/>
      </c>
      <c r="D3241">
        <f>IF(B3241="","",IF(C3241&lt;&gt;"","REMOVE","KEEP"))</f>
        <v/>
      </c>
      <c r="E3241">
        <f>IF(D3241&lt;&gt;"KEEP","",IF(RIGHT(B3241,10)="@gmail.com","Gmail",IF(OR(RIGHT(B3241,12)="@outlook.com",RIGHT(B3241,12)="@hotmail.com",RIGHT(B3241,9)="@live.com"),"Outlook","Domain")))</f>
        <v/>
      </c>
      <c r="F3241">
        <f>IF(B3241="","",IFERROR(RIGHT(B3241,LEN(B3241)-FIND("@",B3241)),""))</f>
        <v/>
      </c>
      <c r="G3241">
        <f>IF(D3241="KEEP",COUNTIF($D$2:D3241,"KEEP"),"")</f>
        <v/>
      </c>
      <c r="H3241">
        <f>IF(D3241="REMOVE",COUNTIF($D$2:D3241,"REMOVE"),"")</f>
        <v/>
      </c>
      <c r="I3241">
        <f>IF(E3241="Gmail",COUNTIF($E$2:E3241,"Gmail"),"")</f>
        <v/>
      </c>
      <c r="J3241">
        <f>IF(E3241="Outlook",COUNTIF($E$2:E3241,"Outlook"),"")</f>
        <v/>
      </c>
      <c r="K3241">
        <f>IF(E3241="Domain",COUNTIF($E$2:E3241,"Domain"),"")</f>
        <v/>
      </c>
    </row>
    <row r="3242">
      <c r="A3242" s="2" t="n"/>
      <c r="B3242">
        <f>LOWER(TRIM(A3242))</f>
        <v/>
      </c>
      <c r="C3242">
        <f>IF(B3242="","",IFERROR(INDEX('Bad Patterns'!$A$2:$A$120,MATCH(1,INDEX(--ISNUMBER(SEARCH('Bad Patterns'!$A$2:$A$120,B3242)),0),0)),""))</f>
        <v/>
      </c>
      <c r="D3242">
        <f>IF(B3242="","",IF(C3242&lt;&gt;"","REMOVE","KEEP"))</f>
        <v/>
      </c>
      <c r="E3242">
        <f>IF(D3242&lt;&gt;"KEEP","",IF(RIGHT(B3242,10)="@gmail.com","Gmail",IF(OR(RIGHT(B3242,12)="@outlook.com",RIGHT(B3242,12)="@hotmail.com",RIGHT(B3242,9)="@live.com"),"Outlook","Domain")))</f>
        <v/>
      </c>
      <c r="F3242">
        <f>IF(B3242="","",IFERROR(RIGHT(B3242,LEN(B3242)-FIND("@",B3242)),""))</f>
        <v/>
      </c>
      <c r="G3242">
        <f>IF(D3242="KEEP",COUNTIF($D$2:D3242,"KEEP"),"")</f>
        <v/>
      </c>
      <c r="H3242">
        <f>IF(D3242="REMOVE",COUNTIF($D$2:D3242,"REMOVE"),"")</f>
        <v/>
      </c>
      <c r="I3242">
        <f>IF(E3242="Gmail",COUNTIF($E$2:E3242,"Gmail"),"")</f>
        <v/>
      </c>
      <c r="J3242">
        <f>IF(E3242="Outlook",COUNTIF($E$2:E3242,"Outlook"),"")</f>
        <v/>
      </c>
      <c r="K3242">
        <f>IF(E3242="Domain",COUNTIF($E$2:E3242,"Domain"),"")</f>
        <v/>
      </c>
    </row>
    <row r="3243">
      <c r="A3243" s="2" t="n"/>
      <c r="B3243">
        <f>LOWER(TRIM(A3243))</f>
        <v/>
      </c>
      <c r="C3243">
        <f>IF(B3243="","",IFERROR(INDEX('Bad Patterns'!$A$2:$A$120,MATCH(1,INDEX(--ISNUMBER(SEARCH('Bad Patterns'!$A$2:$A$120,B3243)),0),0)),""))</f>
        <v/>
      </c>
      <c r="D3243">
        <f>IF(B3243="","",IF(C3243&lt;&gt;"","REMOVE","KEEP"))</f>
        <v/>
      </c>
      <c r="E3243">
        <f>IF(D3243&lt;&gt;"KEEP","",IF(RIGHT(B3243,10)="@gmail.com","Gmail",IF(OR(RIGHT(B3243,12)="@outlook.com",RIGHT(B3243,12)="@hotmail.com",RIGHT(B3243,9)="@live.com"),"Outlook","Domain")))</f>
        <v/>
      </c>
      <c r="F3243">
        <f>IF(B3243="","",IFERROR(RIGHT(B3243,LEN(B3243)-FIND("@",B3243)),""))</f>
        <v/>
      </c>
      <c r="G3243">
        <f>IF(D3243="KEEP",COUNTIF($D$2:D3243,"KEEP"),"")</f>
        <v/>
      </c>
      <c r="H3243">
        <f>IF(D3243="REMOVE",COUNTIF($D$2:D3243,"REMOVE"),"")</f>
        <v/>
      </c>
      <c r="I3243">
        <f>IF(E3243="Gmail",COUNTIF($E$2:E3243,"Gmail"),"")</f>
        <v/>
      </c>
      <c r="J3243">
        <f>IF(E3243="Outlook",COUNTIF($E$2:E3243,"Outlook"),"")</f>
        <v/>
      </c>
      <c r="K3243">
        <f>IF(E3243="Domain",COUNTIF($E$2:E3243,"Domain"),"")</f>
        <v/>
      </c>
    </row>
    <row r="3244">
      <c r="A3244" s="2" t="n"/>
      <c r="B3244">
        <f>LOWER(TRIM(A3244))</f>
        <v/>
      </c>
      <c r="C3244">
        <f>IF(B3244="","",IFERROR(INDEX('Bad Patterns'!$A$2:$A$120,MATCH(1,INDEX(--ISNUMBER(SEARCH('Bad Patterns'!$A$2:$A$120,B3244)),0),0)),""))</f>
        <v/>
      </c>
      <c r="D3244">
        <f>IF(B3244="","",IF(C3244&lt;&gt;"","REMOVE","KEEP"))</f>
        <v/>
      </c>
      <c r="E3244">
        <f>IF(D3244&lt;&gt;"KEEP","",IF(RIGHT(B3244,10)="@gmail.com","Gmail",IF(OR(RIGHT(B3244,12)="@outlook.com",RIGHT(B3244,12)="@hotmail.com",RIGHT(B3244,9)="@live.com"),"Outlook","Domain")))</f>
        <v/>
      </c>
      <c r="F3244">
        <f>IF(B3244="","",IFERROR(RIGHT(B3244,LEN(B3244)-FIND("@",B3244)),""))</f>
        <v/>
      </c>
      <c r="G3244">
        <f>IF(D3244="KEEP",COUNTIF($D$2:D3244,"KEEP"),"")</f>
        <v/>
      </c>
      <c r="H3244">
        <f>IF(D3244="REMOVE",COUNTIF($D$2:D3244,"REMOVE"),"")</f>
        <v/>
      </c>
      <c r="I3244">
        <f>IF(E3244="Gmail",COUNTIF($E$2:E3244,"Gmail"),"")</f>
        <v/>
      </c>
      <c r="J3244">
        <f>IF(E3244="Outlook",COUNTIF($E$2:E3244,"Outlook"),"")</f>
        <v/>
      </c>
      <c r="K3244">
        <f>IF(E3244="Domain",COUNTIF($E$2:E3244,"Domain"),"")</f>
        <v/>
      </c>
    </row>
    <row r="3245">
      <c r="A3245" s="2" t="n"/>
      <c r="B3245">
        <f>LOWER(TRIM(A3245))</f>
        <v/>
      </c>
      <c r="C3245">
        <f>IF(B3245="","",IFERROR(INDEX('Bad Patterns'!$A$2:$A$120,MATCH(1,INDEX(--ISNUMBER(SEARCH('Bad Patterns'!$A$2:$A$120,B3245)),0),0)),""))</f>
        <v/>
      </c>
      <c r="D3245">
        <f>IF(B3245="","",IF(C3245&lt;&gt;"","REMOVE","KEEP"))</f>
        <v/>
      </c>
      <c r="E3245">
        <f>IF(D3245&lt;&gt;"KEEP","",IF(RIGHT(B3245,10)="@gmail.com","Gmail",IF(OR(RIGHT(B3245,12)="@outlook.com",RIGHT(B3245,12)="@hotmail.com",RIGHT(B3245,9)="@live.com"),"Outlook","Domain")))</f>
        <v/>
      </c>
      <c r="F3245">
        <f>IF(B3245="","",IFERROR(RIGHT(B3245,LEN(B3245)-FIND("@",B3245)),""))</f>
        <v/>
      </c>
      <c r="G3245">
        <f>IF(D3245="KEEP",COUNTIF($D$2:D3245,"KEEP"),"")</f>
        <v/>
      </c>
      <c r="H3245">
        <f>IF(D3245="REMOVE",COUNTIF($D$2:D3245,"REMOVE"),"")</f>
        <v/>
      </c>
      <c r="I3245">
        <f>IF(E3245="Gmail",COUNTIF($E$2:E3245,"Gmail"),"")</f>
        <v/>
      </c>
      <c r="J3245">
        <f>IF(E3245="Outlook",COUNTIF($E$2:E3245,"Outlook"),"")</f>
        <v/>
      </c>
      <c r="K3245">
        <f>IF(E3245="Domain",COUNTIF($E$2:E3245,"Domain"),"")</f>
        <v/>
      </c>
    </row>
    <row r="3246">
      <c r="A3246" s="2" t="n"/>
      <c r="B3246">
        <f>LOWER(TRIM(A3246))</f>
        <v/>
      </c>
      <c r="C3246">
        <f>IF(B3246="","",IFERROR(INDEX('Bad Patterns'!$A$2:$A$120,MATCH(1,INDEX(--ISNUMBER(SEARCH('Bad Patterns'!$A$2:$A$120,B3246)),0),0)),""))</f>
        <v/>
      </c>
      <c r="D3246">
        <f>IF(B3246="","",IF(C3246&lt;&gt;"","REMOVE","KEEP"))</f>
        <v/>
      </c>
      <c r="E3246">
        <f>IF(D3246&lt;&gt;"KEEP","",IF(RIGHT(B3246,10)="@gmail.com","Gmail",IF(OR(RIGHT(B3246,12)="@outlook.com",RIGHT(B3246,12)="@hotmail.com",RIGHT(B3246,9)="@live.com"),"Outlook","Domain")))</f>
        <v/>
      </c>
      <c r="F3246">
        <f>IF(B3246="","",IFERROR(RIGHT(B3246,LEN(B3246)-FIND("@",B3246)),""))</f>
        <v/>
      </c>
      <c r="G3246">
        <f>IF(D3246="KEEP",COUNTIF($D$2:D3246,"KEEP"),"")</f>
        <v/>
      </c>
      <c r="H3246">
        <f>IF(D3246="REMOVE",COUNTIF($D$2:D3246,"REMOVE"),"")</f>
        <v/>
      </c>
      <c r="I3246">
        <f>IF(E3246="Gmail",COUNTIF($E$2:E3246,"Gmail"),"")</f>
        <v/>
      </c>
      <c r="J3246">
        <f>IF(E3246="Outlook",COUNTIF($E$2:E3246,"Outlook"),"")</f>
        <v/>
      </c>
      <c r="K3246">
        <f>IF(E3246="Domain",COUNTIF($E$2:E3246,"Domain"),"")</f>
        <v/>
      </c>
    </row>
    <row r="3247">
      <c r="A3247" s="2" t="n"/>
      <c r="B3247">
        <f>LOWER(TRIM(A3247))</f>
        <v/>
      </c>
      <c r="C3247">
        <f>IF(B3247="","",IFERROR(INDEX('Bad Patterns'!$A$2:$A$120,MATCH(1,INDEX(--ISNUMBER(SEARCH('Bad Patterns'!$A$2:$A$120,B3247)),0),0)),""))</f>
        <v/>
      </c>
      <c r="D3247">
        <f>IF(B3247="","",IF(C3247&lt;&gt;"","REMOVE","KEEP"))</f>
        <v/>
      </c>
      <c r="E3247">
        <f>IF(D3247&lt;&gt;"KEEP","",IF(RIGHT(B3247,10)="@gmail.com","Gmail",IF(OR(RIGHT(B3247,12)="@outlook.com",RIGHT(B3247,12)="@hotmail.com",RIGHT(B3247,9)="@live.com"),"Outlook","Domain")))</f>
        <v/>
      </c>
      <c r="F3247">
        <f>IF(B3247="","",IFERROR(RIGHT(B3247,LEN(B3247)-FIND("@",B3247)),""))</f>
        <v/>
      </c>
      <c r="G3247">
        <f>IF(D3247="KEEP",COUNTIF($D$2:D3247,"KEEP"),"")</f>
        <v/>
      </c>
      <c r="H3247">
        <f>IF(D3247="REMOVE",COUNTIF($D$2:D3247,"REMOVE"),"")</f>
        <v/>
      </c>
      <c r="I3247">
        <f>IF(E3247="Gmail",COUNTIF($E$2:E3247,"Gmail"),"")</f>
        <v/>
      </c>
      <c r="J3247">
        <f>IF(E3247="Outlook",COUNTIF($E$2:E3247,"Outlook"),"")</f>
        <v/>
      </c>
      <c r="K3247">
        <f>IF(E3247="Domain",COUNTIF($E$2:E3247,"Domain"),"")</f>
        <v/>
      </c>
    </row>
    <row r="3248">
      <c r="A3248" s="2" t="n"/>
      <c r="B3248">
        <f>LOWER(TRIM(A3248))</f>
        <v/>
      </c>
      <c r="C3248">
        <f>IF(B3248="","",IFERROR(INDEX('Bad Patterns'!$A$2:$A$120,MATCH(1,INDEX(--ISNUMBER(SEARCH('Bad Patterns'!$A$2:$A$120,B3248)),0),0)),""))</f>
        <v/>
      </c>
      <c r="D3248">
        <f>IF(B3248="","",IF(C3248&lt;&gt;"","REMOVE","KEEP"))</f>
        <v/>
      </c>
      <c r="E3248">
        <f>IF(D3248&lt;&gt;"KEEP","",IF(RIGHT(B3248,10)="@gmail.com","Gmail",IF(OR(RIGHT(B3248,12)="@outlook.com",RIGHT(B3248,12)="@hotmail.com",RIGHT(B3248,9)="@live.com"),"Outlook","Domain")))</f>
        <v/>
      </c>
      <c r="F3248">
        <f>IF(B3248="","",IFERROR(RIGHT(B3248,LEN(B3248)-FIND("@",B3248)),""))</f>
        <v/>
      </c>
      <c r="G3248">
        <f>IF(D3248="KEEP",COUNTIF($D$2:D3248,"KEEP"),"")</f>
        <v/>
      </c>
      <c r="H3248">
        <f>IF(D3248="REMOVE",COUNTIF($D$2:D3248,"REMOVE"),"")</f>
        <v/>
      </c>
      <c r="I3248">
        <f>IF(E3248="Gmail",COUNTIF($E$2:E3248,"Gmail"),"")</f>
        <v/>
      </c>
      <c r="J3248">
        <f>IF(E3248="Outlook",COUNTIF($E$2:E3248,"Outlook"),"")</f>
        <v/>
      </c>
      <c r="K3248">
        <f>IF(E3248="Domain",COUNTIF($E$2:E3248,"Domain"),"")</f>
        <v/>
      </c>
    </row>
    <row r="3249">
      <c r="A3249" s="2" t="n"/>
      <c r="B3249">
        <f>LOWER(TRIM(A3249))</f>
        <v/>
      </c>
      <c r="C3249">
        <f>IF(B3249="","",IFERROR(INDEX('Bad Patterns'!$A$2:$A$120,MATCH(1,INDEX(--ISNUMBER(SEARCH('Bad Patterns'!$A$2:$A$120,B3249)),0),0)),""))</f>
        <v/>
      </c>
      <c r="D3249">
        <f>IF(B3249="","",IF(C3249&lt;&gt;"","REMOVE","KEEP"))</f>
        <v/>
      </c>
      <c r="E3249">
        <f>IF(D3249&lt;&gt;"KEEP","",IF(RIGHT(B3249,10)="@gmail.com","Gmail",IF(OR(RIGHT(B3249,12)="@outlook.com",RIGHT(B3249,12)="@hotmail.com",RIGHT(B3249,9)="@live.com"),"Outlook","Domain")))</f>
        <v/>
      </c>
      <c r="F3249">
        <f>IF(B3249="","",IFERROR(RIGHT(B3249,LEN(B3249)-FIND("@",B3249)),""))</f>
        <v/>
      </c>
      <c r="G3249">
        <f>IF(D3249="KEEP",COUNTIF($D$2:D3249,"KEEP"),"")</f>
        <v/>
      </c>
      <c r="H3249">
        <f>IF(D3249="REMOVE",COUNTIF($D$2:D3249,"REMOVE"),"")</f>
        <v/>
      </c>
      <c r="I3249">
        <f>IF(E3249="Gmail",COUNTIF($E$2:E3249,"Gmail"),"")</f>
        <v/>
      </c>
      <c r="J3249">
        <f>IF(E3249="Outlook",COUNTIF($E$2:E3249,"Outlook"),"")</f>
        <v/>
      </c>
      <c r="K3249">
        <f>IF(E3249="Domain",COUNTIF($E$2:E3249,"Domain"),"")</f>
        <v/>
      </c>
    </row>
    <row r="3250">
      <c r="A3250" s="2" t="n"/>
      <c r="B3250">
        <f>LOWER(TRIM(A3250))</f>
        <v/>
      </c>
      <c r="C3250">
        <f>IF(B3250="","",IFERROR(INDEX('Bad Patterns'!$A$2:$A$120,MATCH(1,INDEX(--ISNUMBER(SEARCH('Bad Patterns'!$A$2:$A$120,B3250)),0),0)),""))</f>
        <v/>
      </c>
      <c r="D3250">
        <f>IF(B3250="","",IF(C3250&lt;&gt;"","REMOVE","KEEP"))</f>
        <v/>
      </c>
      <c r="E3250">
        <f>IF(D3250&lt;&gt;"KEEP","",IF(RIGHT(B3250,10)="@gmail.com","Gmail",IF(OR(RIGHT(B3250,12)="@outlook.com",RIGHT(B3250,12)="@hotmail.com",RIGHT(B3250,9)="@live.com"),"Outlook","Domain")))</f>
        <v/>
      </c>
      <c r="F3250">
        <f>IF(B3250="","",IFERROR(RIGHT(B3250,LEN(B3250)-FIND("@",B3250)),""))</f>
        <v/>
      </c>
      <c r="G3250">
        <f>IF(D3250="KEEP",COUNTIF($D$2:D3250,"KEEP"),"")</f>
        <v/>
      </c>
      <c r="H3250">
        <f>IF(D3250="REMOVE",COUNTIF($D$2:D3250,"REMOVE"),"")</f>
        <v/>
      </c>
      <c r="I3250">
        <f>IF(E3250="Gmail",COUNTIF($E$2:E3250,"Gmail"),"")</f>
        <v/>
      </c>
      <c r="J3250">
        <f>IF(E3250="Outlook",COUNTIF($E$2:E3250,"Outlook"),"")</f>
        <v/>
      </c>
      <c r="K3250">
        <f>IF(E3250="Domain",COUNTIF($E$2:E3250,"Domain"),"")</f>
        <v/>
      </c>
    </row>
    <row r="3251">
      <c r="A3251" s="2" t="n"/>
      <c r="B3251">
        <f>LOWER(TRIM(A3251))</f>
        <v/>
      </c>
      <c r="C3251">
        <f>IF(B3251="","",IFERROR(INDEX('Bad Patterns'!$A$2:$A$120,MATCH(1,INDEX(--ISNUMBER(SEARCH('Bad Patterns'!$A$2:$A$120,B3251)),0),0)),""))</f>
        <v/>
      </c>
      <c r="D3251">
        <f>IF(B3251="","",IF(C3251&lt;&gt;"","REMOVE","KEEP"))</f>
        <v/>
      </c>
      <c r="E3251">
        <f>IF(D3251&lt;&gt;"KEEP","",IF(RIGHT(B3251,10)="@gmail.com","Gmail",IF(OR(RIGHT(B3251,12)="@outlook.com",RIGHT(B3251,12)="@hotmail.com",RIGHT(B3251,9)="@live.com"),"Outlook","Domain")))</f>
        <v/>
      </c>
      <c r="F3251">
        <f>IF(B3251="","",IFERROR(RIGHT(B3251,LEN(B3251)-FIND("@",B3251)),""))</f>
        <v/>
      </c>
      <c r="G3251">
        <f>IF(D3251="KEEP",COUNTIF($D$2:D3251,"KEEP"),"")</f>
        <v/>
      </c>
      <c r="H3251">
        <f>IF(D3251="REMOVE",COUNTIF($D$2:D3251,"REMOVE"),"")</f>
        <v/>
      </c>
      <c r="I3251">
        <f>IF(E3251="Gmail",COUNTIF($E$2:E3251,"Gmail"),"")</f>
        <v/>
      </c>
      <c r="J3251">
        <f>IF(E3251="Outlook",COUNTIF($E$2:E3251,"Outlook"),"")</f>
        <v/>
      </c>
      <c r="K3251">
        <f>IF(E3251="Domain",COUNTIF($E$2:E3251,"Domain"),"")</f>
        <v/>
      </c>
    </row>
    <row r="3252">
      <c r="A3252" s="2" t="n"/>
      <c r="B3252">
        <f>LOWER(TRIM(A3252))</f>
        <v/>
      </c>
      <c r="C3252">
        <f>IF(B3252="","",IFERROR(INDEX('Bad Patterns'!$A$2:$A$120,MATCH(1,INDEX(--ISNUMBER(SEARCH('Bad Patterns'!$A$2:$A$120,B3252)),0),0)),""))</f>
        <v/>
      </c>
      <c r="D3252">
        <f>IF(B3252="","",IF(C3252&lt;&gt;"","REMOVE","KEEP"))</f>
        <v/>
      </c>
      <c r="E3252">
        <f>IF(D3252&lt;&gt;"KEEP","",IF(RIGHT(B3252,10)="@gmail.com","Gmail",IF(OR(RIGHT(B3252,12)="@outlook.com",RIGHT(B3252,12)="@hotmail.com",RIGHT(B3252,9)="@live.com"),"Outlook","Domain")))</f>
        <v/>
      </c>
      <c r="F3252">
        <f>IF(B3252="","",IFERROR(RIGHT(B3252,LEN(B3252)-FIND("@",B3252)),""))</f>
        <v/>
      </c>
      <c r="G3252">
        <f>IF(D3252="KEEP",COUNTIF($D$2:D3252,"KEEP"),"")</f>
        <v/>
      </c>
      <c r="H3252">
        <f>IF(D3252="REMOVE",COUNTIF($D$2:D3252,"REMOVE"),"")</f>
        <v/>
      </c>
      <c r="I3252">
        <f>IF(E3252="Gmail",COUNTIF($E$2:E3252,"Gmail"),"")</f>
        <v/>
      </c>
      <c r="J3252">
        <f>IF(E3252="Outlook",COUNTIF($E$2:E3252,"Outlook"),"")</f>
        <v/>
      </c>
      <c r="K3252">
        <f>IF(E3252="Domain",COUNTIF($E$2:E3252,"Domain"),"")</f>
        <v/>
      </c>
    </row>
    <row r="3253">
      <c r="A3253" s="2" t="n"/>
      <c r="B3253">
        <f>LOWER(TRIM(A3253))</f>
        <v/>
      </c>
      <c r="C3253">
        <f>IF(B3253="","",IFERROR(INDEX('Bad Patterns'!$A$2:$A$120,MATCH(1,INDEX(--ISNUMBER(SEARCH('Bad Patterns'!$A$2:$A$120,B3253)),0),0)),""))</f>
        <v/>
      </c>
      <c r="D3253">
        <f>IF(B3253="","",IF(C3253&lt;&gt;"","REMOVE","KEEP"))</f>
        <v/>
      </c>
      <c r="E3253">
        <f>IF(D3253&lt;&gt;"KEEP","",IF(RIGHT(B3253,10)="@gmail.com","Gmail",IF(OR(RIGHT(B3253,12)="@outlook.com",RIGHT(B3253,12)="@hotmail.com",RIGHT(B3253,9)="@live.com"),"Outlook","Domain")))</f>
        <v/>
      </c>
      <c r="F3253">
        <f>IF(B3253="","",IFERROR(RIGHT(B3253,LEN(B3253)-FIND("@",B3253)),""))</f>
        <v/>
      </c>
      <c r="G3253">
        <f>IF(D3253="KEEP",COUNTIF($D$2:D3253,"KEEP"),"")</f>
        <v/>
      </c>
      <c r="H3253">
        <f>IF(D3253="REMOVE",COUNTIF($D$2:D3253,"REMOVE"),"")</f>
        <v/>
      </c>
      <c r="I3253">
        <f>IF(E3253="Gmail",COUNTIF($E$2:E3253,"Gmail"),"")</f>
        <v/>
      </c>
      <c r="J3253">
        <f>IF(E3253="Outlook",COUNTIF($E$2:E3253,"Outlook"),"")</f>
        <v/>
      </c>
      <c r="K3253">
        <f>IF(E3253="Domain",COUNTIF($E$2:E3253,"Domain"),"")</f>
        <v/>
      </c>
    </row>
    <row r="3254">
      <c r="A3254" s="2" t="n"/>
      <c r="B3254">
        <f>LOWER(TRIM(A3254))</f>
        <v/>
      </c>
      <c r="C3254">
        <f>IF(B3254="","",IFERROR(INDEX('Bad Patterns'!$A$2:$A$120,MATCH(1,INDEX(--ISNUMBER(SEARCH('Bad Patterns'!$A$2:$A$120,B3254)),0),0)),""))</f>
        <v/>
      </c>
      <c r="D3254">
        <f>IF(B3254="","",IF(C3254&lt;&gt;"","REMOVE","KEEP"))</f>
        <v/>
      </c>
      <c r="E3254">
        <f>IF(D3254&lt;&gt;"KEEP","",IF(RIGHT(B3254,10)="@gmail.com","Gmail",IF(OR(RIGHT(B3254,12)="@outlook.com",RIGHT(B3254,12)="@hotmail.com",RIGHT(B3254,9)="@live.com"),"Outlook","Domain")))</f>
        <v/>
      </c>
      <c r="F3254">
        <f>IF(B3254="","",IFERROR(RIGHT(B3254,LEN(B3254)-FIND("@",B3254)),""))</f>
        <v/>
      </c>
      <c r="G3254">
        <f>IF(D3254="KEEP",COUNTIF($D$2:D3254,"KEEP"),"")</f>
        <v/>
      </c>
      <c r="H3254">
        <f>IF(D3254="REMOVE",COUNTIF($D$2:D3254,"REMOVE"),"")</f>
        <v/>
      </c>
      <c r="I3254">
        <f>IF(E3254="Gmail",COUNTIF($E$2:E3254,"Gmail"),"")</f>
        <v/>
      </c>
      <c r="J3254">
        <f>IF(E3254="Outlook",COUNTIF($E$2:E3254,"Outlook"),"")</f>
        <v/>
      </c>
      <c r="K3254">
        <f>IF(E3254="Domain",COUNTIF($E$2:E3254,"Domain"),"")</f>
        <v/>
      </c>
    </row>
    <row r="3255">
      <c r="A3255" s="2" t="n"/>
      <c r="B3255">
        <f>LOWER(TRIM(A3255))</f>
        <v/>
      </c>
      <c r="C3255">
        <f>IF(B3255="","",IFERROR(INDEX('Bad Patterns'!$A$2:$A$120,MATCH(1,INDEX(--ISNUMBER(SEARCH('Bad Patterns'!$A$2:$A$120,B3255)),0),0)),""))</f>
        <v/>
      </c>
      <c r="D3255">
        <f>IF(B3255="","",IF(C3255&lt;&gt;"","REMOVE","KEEP"))</f>
        <v/>
      </c>
      <c r="E3255">
        <f>IF(D3255&lt;&gt;"KEEP","",IF(RIGHT(B3255,10)="@gmail.com","Gmail",IF(OR(RIGHT(B3255,12)="@outlook.com",RIGHT(B3255,12)="@hotmail.com",RIGHT(B3255,9)="@live.com"),"Outlook","Domain")))</f>
        <v/>
      </c>
      <c r="F3255">
        <f>IF(B3255="","",IFERROR(RIGHT(B3255,LEN(B3255)-FIND("@",B3255)),""))</f>
        <v/>
      </c>
      <c r="G3255">
        <f>IF(D3255="KEEP",COUNTIF($D$2:D3255,"KEEP"),"")</f>
        <v/>
      </c>
      <c r="H3255">
        <f>IF(D3255="REMOVE",COUNTIF($D$2:D3255,"REMOVE"),"")</f>
        <v/>
      </c>
      <c r="I3255">
        <f>IF(E3255="Gmail",COUNTIF($E$2:E3255,"Gmail"),"")</f>
        <v/>
      </c>
      <c r="J3255">
        <f>IF(E3255="Outlook",COUNTIF($E$2:E3255,"Outlook"),"")</f>
        <v/>
      </c>
      <c r="K3255">
        <f>IF(E3255="Domain",COUNTIF($E$2:E3255,"Domain"),"")</f>
        <v/>
      </c>
    </row>
    <row r="3256">
      <c r="A3256" s="2" t="n"/>
      <c r="B3256">
        <f>LOWER(TRIM(A3256))</f>
        <v/>
      </c>
      <c r="C3256">
        <f>IF(B3256="","",IFERROR(INDEX('Bad Patterns'!$A$2:$A$120,MATCH(1,INDEX(--ISNUMBER(SEARCH('Bad Patterns'!$A$2:$A$120,B3256)),0),0)),""))</f>
        <v/>
      </c>
      <c r="D3256">
        <f>IF(B3256="","",IF(C3256&lt;&gt;"","REMOVE","KEEP"))</f>
        <v/>
      </c>
      <c r="E3256">
        <f>IF(D3256&lt;&gt;"KEEP","",IF(RIGHT(B3256,10)="@gmail.com","Gmail",IF(OR(RIGHT(B3256,12)="@outlook.com",RIGHT(B3256,12)="@hotmail.com",RIGHT(B3256,9)="@live.com"),"Outlook","Domain")))</f>
        <v/>
      </c>
      <c r="F3256">
        <f>IF(B3256="","",IFERROR(RIGHT(B3256,LEN(B3256)-FIND("@",B3256)),""))</f>
        <v/>
      </c>
      <c r="G3256">
        <f>IF(D3256="KEEP",COUNTIF($D$2:D3256,"KEEP"),"")</f>
        <v/>
      </c>
      <c r="H3256">
        <f>IF(D3256="REMOVE",COUNTIF($D$2:D3256,"REMOVE"),"")</f>
        <v/>
      </c>
      <c r="I3256">
        <f>IF(E3256="Gmail",COUNTIF($E$2:E3256,"Gmail"),"")</f>
        <v/>
      </c>
      <c r="J3256">
        <f>IF(E3256="Outlook",COUNTIF($E$2:E3256,"Outlook"),"")</f>
        <v/>
      </c>
      <c r="K3256">
        <f>IF(E3256="Domain",COUNTIF($E$2:E3256,"Domain"),"")</f>
        <v/>
      </c>
    </row>
    <row r="3257">
      <c r="A3257" s="2" t="n"/>
      <c r="B3257">
        <f>LOWER(TRIM(A3257))</f>
        <v/>
      </c>
      <c r="C3257">
        <f>IF(B3257="","",IFERROR(INDEX('Bad Patterns'!$A$2:$A$120,MATCH(1,INDEX(--ISNUMBER(SEARCH('Bad Patterns'!$A$2:$A$120,B3257)),0),0)),""))</f>
        <v/>
      </c>
      <c r="D3257">
        <f>IF(B3257="","",IF(C3257&lt;&gt;"","REMOVE","KEEP"))</f>
        <v/>
      </c>
      <c r="E3257">
        <f>IF(D3257&lt;&gt;"KEEP","",IF(RIGHT(B3257,10)="@gmail.com","Gmail",IF(OR(RIGHT(B3257,12)="@outlook.com",RIGHT(B3257,12)="@hotmail.com",RIGHT(B3257,9)="@live.com"),"Outlook","Domain")))</f>
        <v/>
      </c>
      <c r="F3257">
        <f>IF(B3257="","",IFERROR(RIGHT(B3257,LEN(B3257)-FIND("@",B3257)),""))</f>
        <v/>
      </c>
      <c r="G3257">
        <f>IF(D3257="KEEP",COUNTIF($D$2:D3257,"KEEP"),"")</f>
        <v/>
      </c>
      <c r="H3257">
        <f>IF(D3257="REMOVE",COUNTIF($D$2:D3257,"REMOVE"),"")</f>
        <v/>
      </c>
      <c r="I3257">
        <f>IF(E3257="Gmail",COUNTIF($E$2:E3257,"Gmail"),"")</f>
        <v/>
      </c>
      <c r="J3257">
        <f>IF(E3257="Outlook",COUNTIF($E$2:E3257,"Outlook"),"")</f>
        <v/>
      </c>
      <c r="K3257">
        <f>IF(E3257="Domain",COUNTIF($E$2:E3257,"Domain"),"")</f>
        <v/>
      </c>
    </row>
    <row r="3258">
      <c r="A3258" s="2" t="n"/>
      <c r="B3258">
        <f>LOWER(TRIM(A3258))</f>
        <v/>
      </c>
      <c r="C3258">
        <f>IF(B3258="","",IFERROR(INDEX('Bad Patterns'!$A$2:$A$120,MATCH(1,INDEX(--ISNUMBER(SEARCH('Bad Patterns'!$A$2:$A$120,B3258)),0),0)),""))</f>
        <v/>
      </c>
      <c r="D3258">
        <f>IF(B3258="","",IF(C3258&lt;&gt;"","REMOVE","KEEP"))</f>
        <v/>
      </c>
      <c r="E3258">
        <f>IF(D3258&lt;&gt;"KEEP","",IF(RIGHT(B3258,10)="@gmail.com","Gmail",IF(OR(RIGHT(B3258,12)="@outlook.com",RIGHT(B3258,12)="@hotmail.com",RIGHT(B3258,9)="@live.com"),"Outlook","Domain")))</f>
        <v/>
      </c>
      <c r="F3258">
        <f>IF(B3258="","",IFERROR(RIGHT(B3258,LEN(B3258)-FIND("@",B3258)),""))</f>
        <v/>
      </c>
      <c r="G3258">
        <f>IF(D3258="KEEP",COUNTIF($D$2:D3258,"KEEP"),"")</f>
        <v/>
      </c>
      <c r="H3258">
        <f>IF(D3258="REMOVE",COUNTIF($D$2:D3258,"REMOVE"),"")</f>
        <v/>
      </c>
      <c r="I3258">
        <f>IF(E3258="Gmail",COUNTIF($E$2:E3258,"Gmail"),"")</f>
        <v/>
      </c>
      <c r="J3258">
        <f>IF(E3258="Outlook",COUNTIF($E$2:E3258,"Outlook"),"")</f>
        <v/>
      </c>
      <c r="K3258">
        <f>IF(E3258="Domain",COUNTIF($E$2:E3258,"Domain"),"")</f>
        <v/>
      </c>
    </row>
    <row r="3259">
      <c r="A3259" s="2" t="n"/>
      <c r="B3259">
        <f>LOWER(TRIM(A3259))</f>
        <v/>
      </c>
      <c r="C3259">
        <f>IF(B3259="","",IFERROR(INDEX('Bad Patterns'!$A$2:$A$120,MATCH(1,INDEX(--ISNUMBER(SEARCH('Bad Patterns'!$A$2:$A$120,B3259)),0),0)),""))</f>
        <v/>
      </c>
      <c r="D3259">
        <f>IF(B3259="","",IF(C3259&lt;&gt;"","REMOVE","KEEP"))</f>
        <v/>
      </c>
      <c r="E3259">
        <f>IF(D3259&lt;&gt;"KEEP","",IF(RIGHT(B3259,10)="@gmail.com","Gmail",IF(OR(RIGHT(B3259,12)="@outlook.com",RIGHT(B3259,12)="@hotmail.com",RIGHT(B3259,9)="@live.com"),"Outlook","Domain")))</f>
        <v/>
      </c>
      <c r="F3259">
        <f>IF(B3259="","",IFERROR(RIGHT(B3259,LEN(B3259)-FIND("@",B3259)),""))</f>
        <v/>
      </c>
      <c r="G3259">
        <f>IF(D3259="KEEP",COUNTIF($D$2:D3259,"KEEP"),"")</f>
        <v/>
      </c>
      <c r="H3259">
        <f>IF(D3259="REMOVE",COUNTIF($D$2:D3259,"REMOVE"),"")</f>
        <v/>
      </c>
      <c r="I3259">
        <f>IF(E3259="Gmail",COUNTIF($E$2:E3259,"Gmail"),"")</f>
        <v/>
      </c>
      <c r="J3259">
        <f>IF(E3259="Outlook",COUNTIF($E$2:E3259,"Outlook"),"")</f>
        <v/>
      </c>
      <c r="K3259">
        <f>IF(E3259="Domain",COUNTIF($E$2:E3259,"Domain"),"")</f>
        <v/>
      </c>
    </row>
    <row r="3260">
      <c r="A3260" s="2" t="n"/>
      <c r="B3260">
        <f>LOWER(TRIM(A3260))</f>
        <v/>
      </c>
      <c r="C3260">
        <f>IF(B3260="","",IFERROR(INDEX('Bad Patterns'!$A$2:$A$120,MATCH(1,INDEX(--ISNUMBER(SEARCH('Bad Patterns'!$A$2:$A$120,B3260)),0),0)),""))</f>
        <v/>
      </c>
      <c r="D3260">
        <f>IF(B3260="","",IF(C3260&lt;&gt;"","REMOVE","KEEP"))</f>
        <v/>
      </c>
      <c r="E3260">
        <f>IF(D3260&lt;&gt;"KEEP","",IF(RIGHT(B3260,10)="@gmail.com","Gmail",IF(OR(RIGHT(B3260,12)="@outlook.com",RIGHT(B3260,12)="@hotmail.com",RIGHT(B3260,9)="@live.com"),"Outlook","Domain")))</f>
        <v/>
      </c>
      <c r="F3260">
        <f>IF(B3260="","",IFERROR(RIGHT(B3260,LEN(B3260)-FIND("@",B3260)),""))</f>
        <v/>
      </c>
      <c r="G3260">
        <f>IF(D3260="KEEP",COUNTIF($D$2:D3260,"KEEP"),"")</f>
        <v/>
      </c>
      <c r="H3260">
        <f>IF(D3260="REMOVE",COUNTIF($D$2:D3260,"REMOVE"),"")</f>
        <v/>
      </c>
      <c r="I3260">
        <f>IF(E3260="Gmail",COUNTIF($E$2:E3260,"Gmail"),"")</f>
        <v/>
      </c>
      <c r="J3260">
        <f>IF(E3260="Outlook",COUNTIF($E$2:E3260,"Outlook"),"")</f>
        <v/>
      </c>
      <c r="K3260">
        <f>IF(E3260="Domain",COUNTIF($E$2:E3260,"Domain"),"")</f>
        <v/>
      </c>
    </row>
    <row r="3261">
      <c r="A3261" s="2" t="n"/>
      <c r="B3261">
        <f>LOWER(TRIM(A3261))</f>
        <v/>
      </c>
      <c r="C3261">
        <f>IF(B3261="","",IFERROR(INDEX('Bad Patterns'!$A$2:$A$120,MATCH(1,INDEX(--ISNUMBER(SEARCH('Bad Patterns'!$A$2:$A$120,B3261)),0),0)),""))</f>
        <v/>
      </c>
      <c r="D3261">
        <f>IF(B3261="","",IF(C3261&lt;&gt;"","REMOVE","KEEP"))</f>
        <v/>
      </c>
      <c r="E3261">
        <f>IF(D3261&lt;&gt;"KEEP","",IF(RIGHT(B3261,10)="@gmail.com","Gmail",IF(OR(RIGHT(B3261,12)="@outlook.com",RIGHT(B3261,12)="@hotmail.com",RIGHT(B3261,9)="@live.com"),"Outlook","Domain")))</f>
        <v/>
      </c>
      <c r="F3261">
        <f>IF(B3261="","",IFERROR(RIGHT(B3261,LEN(B3261)-FIND("@",B3261)),""))</f>
        <v/>
      </c>
      <c r="G3261">
        <f>IF(D3261="KEEP",COUNTIF($D$2:D3261,"KEEP"),"")</f>
        <v/>
      </c>
      <c r="H3261">
        <f>IF(D3261="REMOVE",COUNTIF($D$2:D3261,"REMOVE"),"")</f>
        <v/>
      </c>
      <c r="I3261">
        <f>IF(E3261="Gmail",COUNTIF($E$2:E3261,"Gmail"),"")</f>
        <v/>
      </c>
      <c r="J3261">
        <f>IF(E3261="Outlook",COUNTIF($E$2:E3261,"Outlook"),"")</f>
        <v/>
      </c>
      <c r="K3261">
        <f>IF(E3261="Domain",COUNTIF($E$2:E3261,"Domain"),"")</f>
        <v/>
      </c>
    </row>
    <row r="3262">
      <c r="A3262" s="2" t="n"/>
      <c r="B3262">
        <f>LOWER(TRIM(A3262))</f>
        <v/>
      </c>
      <c r="C3262">
        <f>IF(B3262="","",IFERROR(INDEX('Bad Patterns'!$A$2:$A$120,MATCH(1,INDEX(--ISNUMBER(SEARCH('Bad Patterns'!$A$2:$A$120,B3262)),0),0)),""))</f>
        <v/>
      </c>
      <c r="D3262">
        <f>IF(B3262="","",IF(C3262&lt;&gt;"","REMOVE","KEEP"))</f>
        <v/>
      </c>
      <c r="E3262">
        <f>IF(D3262&lt;&gt;"KEEP","",IF(RIGHT(B3262,10)="@gmail.com","Gmail",IF(OR(RIGHT(B3262,12)="@outlook.com",RIGHT(B3262,12)="@hotmail.com",RIGHT(B3262,9)="@live.com"),"Outlook","Domain")))</f>
        <v/>
      </c>
      <c r="F3262">
        <f>IF(B3262="","",IFERROR(RIGHT(B3262,LEN(B3262)-FIND("@",B3262)),""))</f>
        <v/>
      </c>
      <c r="G3262">
        <f>IF(D3262="KEEP",COUNTIF($D$2:D3262,"KEEP"),"")</f>
        <v/>
      </c>
      <c r="H3262">
        <f>IF(D3262="REMOVE",COUNTIF($D$2:D3262,"REMOVE"),"")</f>
        <v/>
      </c>
      <c r="I3262">
        <f>IF(E3262="Gmail",COUNTIF($E$2:E3262,"Gmail"),"")</f>
        <v/>
      </c>
      <c r="J3262">
        <f>IF(E3262="Outlook",COUNTIF($E$2:E3262,"Outlook"),"")</f>
        <v/>
      </c>
      <c r="K3262">
        <f>IF(E3262="Domain",COUNTIF($E$2:E3262,"Domain"),"")</f>
        <v/>
      </c>
    </row>
    <row r="3263">
      <c r="A3263" s="2" t="n"/>
      <c r="B3263">
        <f>LOWER(TRIM(A3263))</f>
        <v/>
      </c>
      <c r="C3263">
        <f>IF(B3263="","",IFERROR(INDEX('Bad Patterns'!$A$2:$A$120,MATCH(1,INDEX(--ISNUMBER(SEARCH('Bad Patterns'!$A$2:$A$120,B3263)),0),0)),""))</f>
        <v/>
      </c>
      <c r="D3263">
        <f>IF(B3263="","",IF(C3263&lt;&gt;"","REMOVE","KEEP"))</f>
        <v/>
      </c>
      <c r="E3263">
        <f>IF(D3263&lt;&gt;"KEEP","",IF(RIGHT(B3263,10)="@gmail.com","Gmail",IF(OR(RIGHT(B3263,12)="@outlook.com",RIGHT(B3263,12)="@hotmail.com",RIGHT(B3263,9)="@live.com"),"Outlook","Domain")))</f>
        <v/>
      </c>
      <c r="F3263">
        <f>IF(B3263="","",IFERROR(RIGHT(B3263,LEN(B3263)-FIND("@",B3263)),""))</f>
        <v/>
      </c>
      <c r="G3263">
        <f>IF(D3263="KEEP",COUNTIF($D$2:D3263,"KEEP"),"")</f>
        <v/>
      </c>
      <c r="H3263">
        <f>IF(D3263="REMOVE",COUNTIF($D$2:D3263,"REMOVE"),"")</f>
        <v/>
      </c>
      <c r="I3263">
        <f>IF(E3263="Gmail",COUNTIF($E$2:E3263,"Gmail"),"")</f>
        <v/>
      </c>
      <c r="J3263">
        <f>IF(E3263="Outlook",COUNTIF($E$2:E3263,"Outlook"),"")</f>
        <v/>
      </c>
      <c r="K3263">
        <f>IF(E3263="Domain",COUNTIF($E$2:E3263,"Domain"),"")</f>
        <v/>
      </c>
    </row>
    <row r="3264">
      <c r="A3264" s="2" t="n"/>
      <c r="B3264">
        <f>LOWER(TRIM(A3264))</f>
        <v/>
      </c>
      <c r="C3264">
        <f>IF(B3264="","",IFERROR(INDEX('Bad Patterns'!$A$2:$A$120,MATCH(1,INDEX(--ISNUMBER(SEARCH('Bad Patterns'!$A$2:$A$120,B3264)),0),0)),""))</f>
        <v/>
      </c>
      <c r="D3264">
        <f>IF(B3264="","",IF(C3264&lt;&gt;"","REMOVE","KEEP"))</f>
        <v/>
      </c>
      <c r="E3264">
        <f>IF(D3264&lt;&gt;"KEEP","",IF(RIGHT(B3264,10)="@gmail.com","Gmail",IF(OR(RIGHT(B3264,12)="@outlook.com",RIGHT(B3264,12)="@hotmail.com",RIGHT(B3264,9)="@live.com"),"Outlook","Domain")))</f>
        <v/>
      </c>
      <c r="F3264">
        <f>IF(B3264="","",IFERROR(RIGHT(B3264,LEN(B3264)-FIND("@",B3264)),""))</f>
        <v/>
      </c>
      <c r="G3264">
        <f>IF(D3264="KEEP",COUNTIF($D$2:D3264,"KEEP"),"")</f>
        <v/>
      </c>
      <c r="H3264">
        <f>IF(D3264="REMOVE",COUNTIF($D$2:D3264,"REMOVE"),"")</f>
        <v/>
      </c>
      <c r="I3264">
        <f>IF(E3264="Gmail",COUNTIF($E$2:E3264,"Gmail"),"")</f>
        <v/>
      </c>
      <c r="J3264">
        <f>IF(E3264="Outlook",COUNTIF($E$2:E3264,"Outlook"),"")</f>
        <v/>
      </c>
      <c r="K3264">
        <f>IF(E3264="Domain",COUNTIF($E$2:E3264,"Domain"),"")</f>
        <v/>
      </c>
    </row>
    <row r="3265">
      <c r="A3265" s="2" t="n"/>
      <c r="B3265">
        <f>LOWER(TRIM(A3265))</f>
        <v/>
      </c>
      <c r="C3265">
        <f>IF(B3265="","",IFERROR(INDEX('Bad Patterns'!$A$2:$A$120,MATCH(1,INDEX(--ISNUMBER(SEARCH('Bad Patterns'!$A$2:$A$120,B3265)),0),0)),""))</f>
        <v/>
      </c>
      <c r="D3265">
        <f>IF(B3265="","",IF(C3265&lt;&gt;"","REMOVE","KEEP"))</f>
        <v/>
      </c>
      <c r="E3265">
        <f>IF(D3265&lt;&gt;"KEEP","",IF(RIGHT(B3265,10)="@gmail.com","Gmail",IF(OR(RIGHT(B3265,12)="@outlook.com",RIGHT(B3265,12)="@hotmail.com",RIGHT(B3265,9)="@live.com"),"Outlook","Domain")))</f>
        <v/>
      </c>
      <c r="F3265">
        <f>IF(B3265="","",IFERROR(RIGHT(B3265,LEN(B3265)-FIND("@",B3265)),""))</f>
        <v/>
      </c>
      <c r="G3265">
        <f>IF(D3265="KEEP",COUNTIF($D$2:D3265,"KEEP"),"")</f>
        <v/>
      </c>
      <c r="H3265">
        <f>IF(D3265="REMOVE",COUNTIF($D$2:D3265,"REMOVE"),"")</f>
        <v/>
      </c>
      <c r="I3265">
        <f>IF(E3265="Gmail",COUNTIF($E$2:E3265,"Gmail"),"")</f>
        <v/>
      </c>
      <c r="J3265">
        <f>IF(E3265="Outlook",COUNTIF($E$2:E3265,"Outlook"),"")</f>
        <v/>
      </c>
      <c r="K3265">
        <f>IF(E3265="Domain",COUNTIF($E$2:E3265,"Domain"),"")</f>
        <v/>
      </c>
    </row>
    <row r="3266">
      <c r="A3266" s="2" t="n"/>
      <c r="B3266">
        <f>LOWER(TRIM(A3266))</f>
        <v/>
      </c>
      <c r="C3266">
        <f>IF(B3266="","",IFERROR(INDEX('Bad Patterns'!$A$2:$A$120,MATCH(1,INDEX(--ISNUMBER(SEARCH('Bad Patterns'!$A$2:$A$120,B3266)),0),0)),""))</f>
        <v/>
      </c>
      <c r="D3266">
        <f>IF(B3266="","",IF(C3266&lt;&gt;"","REMOVE","KEEP"))</f>
        <v/>
      </c>
      <c r="E3266">
        <f>IF(D3266&lt;&gt;"KEEP","",IF(RIGHT(B3266,10)="@gmail.com","Gmail",IF(OR(RIGHT(B3266,12)="@outlook.com",RIGHT(B3266,12)="@hotmail.com",RIGHT(B3266,9)="@live.com"),"Outlook","Domain")))</f>
        <v/>
      </c>
      <c r="F3266">
        <f>IF(B3266="","",IFERROR(RIGHT(B3266,LEN(B3266)-FIND("@",B3266)),""))</f>
        <v/>
      </c>
      <c r="G3266">
        <f>IF(D3266="KEEP",COUNTIF($D$2:D3266,"KEEP"),"")</f>
        <v/>
      </c>
      <c r="H3266">
        <f>IF(D3266="REMOVE",COUNTIF($D$2:D3266,"REMOVE"),"")</f>
        <v/>
      </c>
      <c r="I3266">
        <f>IF(E3266="Gmail",COUNTIF($E$2:E3266,"Gmail"),"")</f>
        <v/>
      </c>
      <c r="J3266">
        <f>IF(E3266="Outlook",COUNTIF($E$2:E3266,"Outlook"),"")</f>
        <v/>
      </c>
      <c r="K3266">
        <f>IF(E3266="Domain",COUNTIF($E$2:E3266,"Domain"),"")</f>
        <v/>
      </c>
    </row>
    <row r="3267">
      <c r="A3267" s="2" t="n"/>
      <c r="B3267">
        <f>LOWER(TRIM(A3267))</f>
        <v/>
      </c>
      <c r="C3267">
        <f>IF(B3267="","",IFERROR(INDEX('Bad Patterns'!$A$2:$A$120,MATCH(1,INDEX(--ISNUMBER(SEARCH('Bad Patterns'!$A$2:$A$120,B3267)),0),0)),""))</f>
        <v/>
      </c>
      <c r="D3267">
        <f>IF(B3267="","",IF(C3267&lt;&gt;"","REMOVE","KEEP"))</f>
        <v/>
      </c>
      <c r="E3267">
        <f>IF(D3267&lt;&gt;"KEEP","",IF(RIGHT(B3267,10)="@gmail.com","Gmail",IF(OR(RIGHT(B3267,12)="@outlook.com",RIGHT(B3267,12)="@hotmail.com",RIGHT(B3267,9)="@live.com"),"Outlook","Domain")))</f>
        <v/>
      </c>
      <c r="F3267">
        <f>IF(B3267="","",IFERROR(RIGHT(B3267,LEN(B3267)-FIND("@",B3267)),""))</f>
        <v/>
      </c>
      <c r="G3267">
        <f>IF(D3267="KEEP",COUNTIF($D$2:D3267,"KEEP"),"")</f>
        <v/>
      </c>
      <c r="H3267">
        <f>IF(D3267="REMOVE",COUNTIF($D$2:D3267,"REMOVE"),"")</f>
        <v/>
      </c>
      <c r="I3267">
        <f>IF(E3267="Gmail",COUNTIF($E$2:E3267,"Gmail"),"")</f>
        <v/>
      </c>
      <c r="J3267">
        <f>IF(E3267="Outlook",COUNTIF($E$2:E3267,"Outlook"),"")</f>
        <v/>
      </c>
      <c r="K3267">
        <f>IF(E3267="Domain",COUNTIF($E$2:E3267,"Domain"),"")</f>
        <v/>
      </c>
    </row>
    <row r="3268">
      <c r="A3268" s="2" t="n"/>
      <c r="B3268">
        <f>LOWER(TRIM(A3268))</f>
        <v/>
      </c>
      <c r="C3268">
        <f>IF(B3268="","",IFERROR(INDEX('Bad Patterns'!$A$2:$A$120,MATCH(1,INDEX(--ISNUMBER(SEARCH('Bad Patterns'!$A$2:$A$120,B3268)),0),0)),""))</f>
        <v/>
      </c>
      <c r="D3268">
        <f>IF(B3268="","",IF(C3268&lt;&gt;"","REMOVE","KEEP"))</f>
        <v/>
      </c>
      <c r="E3268">
        <f>IF(D3268&lt;&gt;"KEEP","",IF(RIGHT(B3268,10)="@gmail.com","Gmail",IF(OR(RIGHT(B3268,12)="@outlook.com",RIGHT(B3268,12)="@hotmail.com",RIGHT(B3268,9)="@live.com"),"Outlook","Domain")))</f>
        <v/>
      </c>
      <c r="F3268">
        <f>IF(B3268="","",IFERROR(RIGHT(B3268,LEN(B3268)-FIND("@",B3268)),""))</f>
        <v/>
      </c>
      <c r="G3268">
        <f>IF(D3268="KEEP",COUNTIF($D$2:D3268,"KEEP"),"")</f>
        <v/>
      </c>
      <c r="H3268">
        <f>IF(D3268="REMOVE",COUNTIF($D$2:D3268,"REMOVE"),"")</f>
        <v/>
      </c>
      <c r="I3268">
        <f>IF(E3268="Gmail",COUNTIF($E$2:E3268,"Gmail"),"")</f>
        <v/>
      </c>
      <c r="J3268">
        <f>IF(E3268="Outlook",COUNTIF($E$2:E3268,"Outlook"),"")</f>
        <v/>
      </c>
      <c r="K3268">
        <f>IF(E3268="Domain",COUNTIF($E$2:E3268,"Domain"),"")</f>
        <v/>
      </c>
    </row>
    <row r="3269">
      <c r="A3269" s="2" t="n"/>
      <c r="B3269">
        <f>LOWER(TRIM(A3269))</f>
        <v/>
      </c>
      <c r="C3269">
        <f>IF(B3269="","",IFERROR(INDEX('Bad Patterns'!$A$2:$A$120,MATCH(1,INDEX(--ISNUMBER(SEARCH('Bad Patterns'!$A$2:$A$120,B3269)),0),0)),""))</f>
        <v/>
      </c>
      <c r="D3269">
        <f>IF(B3269="","",IF(C3269&lt;&gt;"","REMOVE","KEEP"))</f>
        <v/>
      </c>
      <c r="E3269">
        <f>IF(D3269&lt;&gt;"KEEP","",IF(RIGHT(B3269,10)="@gmail.com","Gmail",IF(OR(RIGHT(B3269,12)="@outlook.com",RIGHT(B3269,12)="@hotmail.com",RIGHT(B3269,9)="@live.com"),"Outlook","Domain")))</f>
        <v/>
      </c>
      <c r="F3269">
        <f>IF(B3269="","",IFERROR(RIGHT(B3269,LEN(B3269)-FIND("@",B3269)),""))</f>
        <v/>
      </c>
      <c r="G3269">
        <f>IF(D3269="KEEP",COUNTIF($D$2:D3269,"KEEP"),"")</f>
        <v/>
      </c>
      <c r="H3269">
        <f>IF(D3269="REMOVE",COUNTIF($D$2:D3269,"REMOVE"),"")</f>
        <v/>
      </c>
      <c r="I3269">
        <f>IF(E3269="Gmail",COUNTIF($E$2:E3269,"Gmail"),"")</f>
        <v/>
      </c>
      <c r="J3269">
        <f>IF(E3269="Outlook",COUNTIF($E$2:E3269,"Outlook"),"")</f>
        <v/>
      </c>
      <c r="K3269">
        <f>IF(E3269="Domain",COUNTIF($E$2:E3269,"Domain"),"")</f>
        <v/>
      </c>
    </row>
    <row r="3270">
      <c r="A3270" s="2" t="n"/>
      <c r="B3270">
        <f>LOWER(TRIM(A3270))</f>
        <v/>
      </c>
      <c r="C3270">
        <f>IF(B3270="","",IFERROR(INDEX('Bad Patterns'!$A$2:$A$120,MATCH(1,INDEX(--ISNUMBER(SEARCH('Bad Patterns'!$A$2:$A$120,B3270)),0),0)),""))</f>
        <v/>
      </c>
      <c r="D3270">
        <f>IF(B3270="","",IF(C3270&lt;&gt;"","REMOVE","KEEP"))</f>
        <v/>
      </c>
      <c r="E3270">
        <f>IF(D3270&lt;&gt;"KEEP","",IF(RIGHT(B3270,10)="@gmail.com","Gmail",IF(OR(RIGHT(B3270,12)="@outlook.com",RIGHT(B3270,12)="@hotmail.com",RIGHT(B3270,9)="@live.com"),"Outlook","Domain")))</f>
        <v/>
      </c>
      <c r="F3270">
        <f>IF(B3270="","",IFERROR(RIGHT(B3270,LEN(B3270)-FIND("@",B3270)),""))</f>
        <v/>
      </c>
      <c r="G3270">
        <f>IF(D3270="KEEP",COUNTIF($D$2:D3270,"KEEP"),"")</f>
        <v/>
      </c>
      <c r="H3270">
        <f>IF(D3270="REMOVE",COUNTIF($D$2:D3270,"REMOVE"),"")</f>
        <v/>
      </c>
      <c r="I3270">
        <f>IF(E3270="Gmail",COUNTIF($E$2:E3270,"Gmail"),"")</f>
        <v/>
      </c>
      <c r="J3270">
        <f>IF(E3270="Outlook",COUNTIF($E$2:E3270,"Outlook"),"")</f>
        <v/>
      </c>
      <c r="K3270">
        <f>IF(E3270="Domain",COUNTIF($E$2:E3270,"Domain"),"")</f>
        <v/>
      </c>
    </row>
    <row r="3271">
      <c r="A3271" s="2" t="n"/>
      <c r="B3271">
        <f>LOWER(TRIM(A3271))</f>
        <v/>
      </c>
      <c r="C3271">
        <f>IF(B3271="","",IFERROR(INDEX('Bad Patterns'!$A$2:$A$120,MATCH(1,INDEX(--ISNUMBER(SEARCH('Bad Patterns'!$A$2:$A$120,B3271)),0),0)),""))</f>
        <v/>
      </c>
      <c r="D3271">
        <f>IF(B3271="","",IF(C3271&lt;&gt;"","REMOVE","KEEP"))</f>
        <v/>
      </c>
      <c r="E3271">
        <f>IF(D3271&lt;&gt;"KEEP","",IF(RIGHT(B3271,10)="@gmail.com","Gmail",IF(OR(RIGHT(B3271,12)="@outlook.com",RIGHT(B3271,12)="@hotmail.com",RIGHT(B3271,9)="@live.com"),"Outlook","Domain")))</f>
        <v/>
      </c>
      <c r="F3271">
        <f>IF(B3271="","",IFERROR(RIGHT(B3271,LEN(B3271)-FIND("@",B3271)),""))</f>
        <v/>
      </c>
      <c r="G3271">
        <f>IF(D3271="KEEP",COUNTIF($D$2:D3271,"KEEP"),"")</f>
        <v/>
      </c>
      <c r="H3271">
        <f>IF(D3271="REMOVE",COUNTIF($D$2:D3271,"REMOVE"),"")</f>
        <v/>
      </c>
      <c r="I3271">
        <f>IF(E3271="Gmail",COUNTIF($E$2:E3271,"Gmail"),"")</f>
        <v/>
      </c>
      <c r="J3271">
        <f>IF(E3271="Outlook",COUNTIF($E$2:E3271,"Outlook"),"")</f>
        <v/>
      </c>
      <c r="K3271">
        <f>IF(E3271="Domain",COUNTIF($E$2:E3271,"Domain"),"")</f>
        <v/>
      </c>
    </row>
    <row r="3272">
      <c r="A3272" s="2" t="n"/>
      <c r="B3272">
        <f>LOWER(TRIM(A3272))</f>
        <v/>
      </c>
      <c r="C3272">
        <f>IF(B3272="","",IFERROR(INDEX('Bad Patterns'!$A$2:$A$120,MATCH(1,INDEX(--ISNUMBER(SEARCH('Bad Patterns'!$A$2:$A$120,B3272)),0),0)),""))</f>
        <v/>
      </c>
      <c r="D3272">
        <f>IF(B3272="","",IF(C3272&lt;&gt;"","REMOVE","KEEP"))</f>
        <v/>
      </c>
      <c r="E3272">
        <f>IF(D3272&lt;&gt;"KEEP","",IF(RIGHT(B3272,10)="@gmail.com","Gmail",IF(OR(RIGHT(B3272,12)="@outlook.com",RIGHT(B3272,12)="@hotmail.com",RIGHT(B3272,9)="@live.com"),"Outlook","Domain")))</f>
        <v/>
      </c>
      <c r="F3272">
        <f>IF(B3272="","",IFERROR(RIGHT(B3272,LEN(B3272)-FIND("@",B3272)),""))</f>
        <v/>
      </c>
      <c r="G3272">
        <f>IF(D3272="KEEP",COUNTIF($D$2:D3272,"KEEP"),"")</f>
        <v/>
      </c>
      <c r="H3272">
        <f>IF(D3272="REMOVE",COUNTIF($D$2:D3272,"REMOVE"),"")</f>
        <v/>
      </c>
      <c r="I3272">
        <f>IF(E3272="Gmail",COUNTIF($E$2:E3272,"Gmail"),"")</f>
        <v/>
      </c>
      <c r="J3272">
        <f>IF(E3272="Outlook",COUNTIF($E$2:E3272,"Outlook"),"")</f>
        <v/>
      </c>
      <c r="K3272">
        <f>IF(E3272="Domain",COUNTIF($E$2:E3272,"Domain"),"")</f>
        <v/>
      </c>
    </row>
    <row r="3273">
      <c r="A3273" s="2" t="n"/>
      <c r="B3273">
        <f>LOWER(TRIM(A3273))</f>
        <v/>
      </c>
      <c r="C3273">
        <f>IF(B3273="","",IFERROR(INDEX('Bad Patterns'!$A$2:$A$120,MATCH(1,INDEX(--ISNUMBER(SEARCH('Bad Patterns'!$A$2:$A$120,B3273)),0),0)),""))</f>
        <v/>
      </c>
      <c r="D3273">
        <f>IF(B3273="","",IF(C3273&lt;&gt;"","REMOVE","KEEP"))</f>
        <v/>
      </c>
      <c r="E3273">
        <f>IF(D3273&lt;&gt;"KEEP","",IF(RIGHT(B3273,10)="@gmail.com","Gmail",IF(OR(RIGHT(B3273,12)="@outlook.com",RIGHT(B3273,12)="@hotmail.com",RIGHT(B3273,9)="@live.com"),"Outlook","Domain")))</f>
        <v/>
      </c>
      <c r="F3273">
        <f>IF(B3273="","",IFERROR(RIGHT(B3273,LEN(B3273)-FIND("@",B3273)),""))</f>
        <v/>
      </c>
      <c r="G3273">
        <f>IF(D3273="KEEP",COUNTIF($D$2:D3273,"KEEP"),"")</f>
        <v/>
      </c>
      <c r="H3273">
        <f>IF(D3273="REMOVE",COUNTIF($D$2:D3273,"REMOVE"),"")</f>
        <v/>
      </c>
      <c r="I3273">
        <f>IF(E3273="Gmail",COUNTIF($E$2:E3273,"Gmail"),"")</f>
        <v/>
      </c>
      <c r="J3273">
        <f>IF(E3273="Outlook",COUNTIF($E$2:E3273,"Outlook"),"")</f>
        <v/>
      </c>
      <c r="K3273">
        <f>IF(E3273="Domain",COUNTIF($E$2:E3273,"Domain"),"")</f>
        <v/>
      </c>
    </row>
    <row r="3274">
      <c r="A3274" s="2" t="n"/>
      <c r="B3274">
        <f>LOWER(TRIM(A3274))</f>
        <v/>
      </c>
      <c r="C3274">
        <f>IF(B3274="","",IFERROR(INDEX('Bad Patterns'!$A$2:$A$120,MATCH(1,INDEX(--ISNUMBER(SEARCH('Bad Patterns'!$A$2:$A$120,B3274)),0),0)),""))</f>
        <v/>
      </c>
      <c r="D3274">
        <f>IF(B3274="","",IF(C3274&lt;&gt;"","REMOVE","KEEP"))</f>
        <v/>
      </c>
      <c r="E3274">
        <f>IF(D3274&lt;&gt;"KEEP","",IF(RIGHT(B3274,10)="@gmail.com","Gmail",IF(OR(RIGHT(B3274,12)="@outlook.com",RIGHT(B3274,12)="@hotmail.com",RIGHT(B3274,9)="@live.com"),"Outlook","Domain")))</f>
        <v/>
      </c>
      <c r="F3274">
        <f>IF(B3274="","",IFERROR(RIGHT(B3274,LEN(B3274)-FIND("@",B3274)),""))</f>
        <v/>
      </c>
      <c r="G3274">
        <f>IF(D3274="KEEP",COUNTIF($D$2:D3274,"KEEP"),"")</f>
        <v/>
      </c>
      <c r="H3274">
        <f>IF(D3274="REMOVE",COUNTIF($D$2:D3274,"REMOVE"),"")</f>
        <v/>
      </c>
      <c r="I3274">
        <f>IF(E3274="Gmail",COUNTIF($E$2:E3274,"Gmail"),"")</f>
        <v/>
      </c>
      <c r="J3274">
        <f>IF(E3274="Outlook",COUNTIF($E$2:E3274,"Outlook"),"")</f>
        <v/>
      </c>
      <c r="K3274">
        <f>IF(E3274="Domain",COUNTIF($E$2:E3274,"Domain"),"")</f>
        <v/>
      </c>
    </row>
    <row r="3275">
      <c r="A3275" s="2" t="n"/>
      <c r="B3275">
        <f>LOWER(TRIM(A3275))</f>
        <v/>
      </c>
      <c r="C3275">
        <f>IF(B3275="","",IFERROR(INDEX('Bad Patterns'!$A$2:$A$120,MATCH(1,INDEX(--ISNUMBER(SEARCH('Bad Patterns'!$A$2:$A$120,B3275)),0),0)),""))</f>
        <v/>
      </c>
      <c r="D3275">
        <f>IF(B3275="","",IF(C3275&lt;&gt;"","REMOVE","KEEP"))</f>
        <v/>
      </c>
      <c r="E3275">
        <f>IF(D3275&lt;&gt;"KEEP","",IF(RIGHT(B3275,10)="@gmail.com","Gmail",IF(OR(RIGHT(B3275,12)="@outlook.com",RIGHT(B3275,12)="@hotmail.com",RIGHT(B3275,9)="@live.com"),"Outlook","Domain")))</f>
        <v/>
      </c>
      <c r="F3275">
        <f>IF(B3275="","",IFERROR(RIGHT(B3275,LEN(B3275)-FIND("@",B3275)),""))</f>
        <v/>
      </c>
      <c r="G3275">
        <f>IF(D3275="KEEP",COUNTIF($D$2:D3275,"KEEP"),"")</f>
        <v/>
      </c>
      <c r="H3275">
        <f>IF(D3275="REMOVE",COUNTIF($D$2:D3275,"REMOVE"),"")</f>
        <v/>
      </c>
      <c r="I3275">
        <f>IF(E3275="Gmail",COUNTIF($E$2:E3275,"Gmail"),"")</f>
        <v/>
      </c>
      <c r="J3275">
        <f>IF(E3275="Outlook",COUNTIF($E$2:E3275,"Outlook"),"")</f>
        <v/>
      </c>
      <c r="K3275">
        <f>IF(E3275="Domain",COUNTIF($E$2:E3275,"Domain"),"")</f>
        <v/>
      </c>
    </row>
    <row r="3276">
      <c r="A3276" s="2" t="n"/>
      <c r="B3276">
        <f>LOWER(TRIM(A3276))</f>
        <v/>
      </c>
      <c r="C3276">
        <f>IF(B3276="","",IFERROR(INDEX('Bad Patterns'!$A$2:$A$120,MATCH(1,INDEX(--ISNUMBER(SEARCH('Bad Patterns'!$A$2:$A$120,B3276)),0),0)),""))</f>
        <v/>
      </c>
      <c r="D3276">
        <f>IF(B3276="","",IF(C3276&lt;&gt;"","REMOVE","KEEP"))</f>
        <v/>
      </c>
      <c r="E3276">
        <f>IF(D3276&lt;&gt;"KEEP","",IF(RIGHT(B3276,10)="@gmail.com","Gmail",IF(OR(RIGHT(B3276,12)="@outlook.com",RIGHT(B3276,12)="@hotmail.com",RIGHT(B3276,9)="@live.com"),"Outlook","Domain")))</f>
        <v/>
      </c>
      <c r="F3276">
        <f>IF(B3276="","",IFERROR(RIGHT(B3276,LEN(B3276)-FIND("@",B3276)),""))</f>
        <v/>
      </c>
      <c r="G3276">
        <f>IF(D3276="KEEP",COUNTIF($D$2:D3276,"KEEP"),"")</f>
        <v/>
      </c>
      <c r="H3276">
        <f>IF(D3276="REMOVE",COUNTIF($D$2:D3276,"REMOVE"),"")</f>
        <v/>
      </c>
      <c r="I3276">
        <f>IF(E3276="Gmail",COUNTIF($E$2:E3276,"Gmail"),"")</f>
        <v/>
      </c>
      <c r="J3276">
        <f>IF(E3276="Outlook",COUNTIF($E$2:E3276,"Outlook"),"")</f>
        <v/>
      </c>
      <c r="K3276">
        <f>IF(E3276="Domain",COUNTIF($E$2:E3276,"Domain"),"")</f>
        <v/>
      </c>
    </row>
    <row r="3277">
      <c r="A3277" s="2" t="n"/>
      <c r="B3277">
        <f>LOWER(TRIM(A3277))</f>
        <v/>
      </c>
      <c r="C3277">
        <f>IF(B3277="","",IFERROR(INDEX('Bad Patterns'!$A$2:$A$120,MATCH(1,INDEX(--ISNUMBER(SEARCH('Bad Patterns'!$A$2:$A$120,B3277)),0),0)),""))</f>
        <v/>
      </c>
      <c r="D3277">
        <f>IF(B3277="","",IF(C3277&lt;&gt;"","REMOVE","KEEP"))</f>
        <v/>
      </c>
      <c r="E3277">
        <f>IF(D3277&lt;&gt;"KEEP","",IF(RIGHT(B3277,10)="@gmail.com","Gmail",IF(OR(RIGHT(B3277,12)="@outlook.com",RIGHT(B3277,12)="@hotmail.com",RIGHT(B3277,9)="@live.com"),"Outlook","Domain")))</f>
        <v/>
      </c>
      <c r="F3277">
        <f>IF(B3277="","",IFERROR(RIGHT(B3277,LEN(B3277)-FIND("@",B3277)),""))</f>
        <v/>
      </c>
      <c r="G3277">
        <f>IF(D3277="KEEP",COUNTIF($D$2:D3277,"KEEP"),"")</f>
        <v/>
      </c>
      <c r="H3277">
        <f>IF(D3277="REMOVE",COUNTIF($D$2:D3277,"REMOVE"),"")</f>
        <v/>
      </c>
      <c r="I3277">
        <f>IF(E3277="Gmail",COUNTIF($E$2:E3277,"Gmail"),"")</f>
        <v/>
      </c>
      <c r="J3277">
        <f>IF(E3277="Outlook",COUNTIF($E$2:E3277,"Outlook"),"")</f>
        <v/>
      </c>
      <c r="K3277">
        <f>IF(E3277="Domain",COUNTIF($E$2:E3277,"Domain"),"")</f>
        <v/>
      </c>
    </row>
    <row r="3278">
      <c r="A3278" s="2" t="n"/>
      <c r="B3278">
        <f>LOWER(TRIM(A3278))</f>
        <v/>
      </c>
      <c r="C3278">
        <f>IF(B3278="","",IFERROR(INDEX('Bad Patterns'!$A$2:$A$120,MATCH(1,INDEX(--ISNUMBER(SEARCH('Bad Patterns'!$A$2:$A$120,B3278)),0),0)),""))</f>
        <v/>
      </c>
      <c r="D3278">
        <f>IF(B3278="","",IF(C3278&lt;&gt;"","REMOVE","KEEP"))</f>
        <v/>
      </c>
      <c r="E3278">
        <f>IF(D3278&lt;&gt;"KEEP","",IF(RIGHT(B3278,10)="@gmail.com","Gmail",IF(OR(RIGHT(B3278,12)="@outlook.com",RIGHT(B3278,12)="@hotmail.com",RIGHT(B3278,9)="@live.com"),"Outlook","Domain")))</f>
        <v/>
      </c>
      <c r="F3278">
        <f>IF(B3278="","",IFERROR(RIGHT(B3278,LEN(B3278)-FIND("@",B3278)),""))</f>
        <v/>
      </c>
      <c r="G3278">
        <f>IF(D3278="KEEP",COUNTIF($D$2:D3278,"KEEP"),"")</f>
        <v/>
      </c>
      <c r="H3278">
        <f>IF(D3278="REMOVE",COUNTIF($D$2:D3278,"REMOVE"),"")</f>
        <v/>
      </c>
      <c r="I3278">
        <f>IF(E3278="Gmail",COUNTIF($E$2:E3278,"Gmail"),"")</f>
        <v/>
      </c>
      <c r="J3278">
        <f>IF(E3278="Outlook",COUNTIF($E$2:E3278,"Outlook"),"")</f>
        <v/>
      </c>
      <c r="K3278">
        <f>IF(E3278="Domain",COUNTIF($E$2:E3278,"Domain"),"")</f>
        <v/>
      </c>
    </row>
    <row r="3279">
      <c r="A3279" s="2" t="n"/>
      <c r="B3279">
        <f>LOWER(TRIM(A3279))</f>
        <v/>
      </c>
      <c r="C3279">
        <f>IF(B3279="","",IFERROR(INDEX('Bad Patterns'!$A$2:$A$120,MATCH(1,INDEX(--ISNUMBER(SEARCH('Bad Patterns'!$A$2:$A$120,B3279)),0),0)),""))</f>
        <v/>
      </c>
      <c r="D3279">
        <f>IF(B3279="","",IF(C3279&lt;&gt;"","REMOVE","KEEP"))</f>
        <v/>
      </c>
      <c r="E3279">
        <f>IF(D3279&lt;&gt;"KEEP","",IF(RIGHT(B3279,10)="@gmail.com","Gmail",IF(OR(RIGHT(B3279,12)="@outlook.com",RIGHT(B3279,12)="@hotmail.com",RIGHT(B3279,9)="@live.com"),"Outlook","Domain")))</f>
        <v/>
      </c>
      <c r="F3279">
        <f>IF(B3279="","",IFERROR(RIGHT(B3279,LEN(B3279)-FIND("@",B3279)),""))</f>
        <v/>
      </c>
      <c r="G3279">
        <f>IF(D3279="KEEP",COUNTIF($D$2:D3279,"KEEP"),"")</f>
        <v/>
      </c>
      <c r="H3279">
        <f>IF(D3279="REMOVE",COUNTIF($D$2:D3279,"REMOVE"),"")</f>
        <v/>
      </c>
      <c r="I3279">
        <f>IF(E3279="Gmail",COUNTIF($E$2:E3279,"Gmail"),"")</f>
        <v/>
      </c>
      <c r="J3279">
        <f>IF(E3279="Outlook",COUNTIF($E$2:E3279,"Outlook"),"")</f>
        <v/>
      </c>
      <c r="K3279">
        <f>IF(E3279="Domain",COUNTIF($E$2:E3279,"Domain"),"")</f>
        <v/>
      </c>
    </row>
    <row r="3280">
      <c r="A3280" s="2" t="n"/>
      <c r="B3280">
        <f>LOWER(TRIM(A3280))</f>
        <v/>
      </c>
      <c r="C3280">
        <f>IF(B3280="","",IFERROR(INDEX('Bad Patterns'!$A$2:$A$120,MATCH(1,INDEX(--ISNUMBER(SEARCH('Bad Patterns'!$A$2:$A$120,B3280)),0),0)),""))</f>
        <v/>
      </c>
      <c r="D3280">
        <f>IF(B3280="","",IF(C3280&lt;&gt;"","REMOVE","KEEP"))</f>
        <v/>
      </c>
      <c r="E3280">
        <f>IF(D3280&lt;&gt;"KEEP","",IF(RIGHT(B3280,10)="@gmail.com","Gmail",IF(OR(RIGHT(B3280,12)="@outlook.com",RIGHT(B3280,12)="@hotmail.com",RIGHT(B3280,9)="@live.com"),"Outlook","Domain")))</f>
        <v/>
      </c>
      <c r="F3280">
        <f>IF(B3280="","",IFERROR(RIGHT(B3280,LEN(B3280)-FIND("@",B3280)),""))</f>
        <v/>
      </c>
      <c r="G3280">
        <f>IF(D3280="KEEP",COUNTIF($D$2:D3280,"KEEP"),"")</f>
        <v/>
      </c>
      <c r="H3280">
        <f>IF(D3280="REMOVE",COUNTIF($D$2:D3280,"REMOVE"),"")</f>
        <v/>
      </c>
      <c r="I3280">
        <f>IF(E3280="Gmail",COUNTIF($E$2:E3280,"Gmail"),"")</f>
        <v/>
      </c>
      <c r="J3280">
        <f>IF(E3280="Outlook",COUNTIF($E$2:E3280,"Outlook"),"")</f>
        <v/>
      </c>
      <c r="K3280">
        <f>IF(E3280="Domain",COUNTIF($E$2:E3280,"Domain"),"")</f>
        <v/>
      </c>
    </row>
    <row r="3281">
      <c r="A3281" s="2" t="n"/>
      <c r="B3281">
        <f>LOWER(TRIM(A3281))</f>
        <v/>
      </c>
      <c r="C3281">
        <f>IF(B3281="","",IFERROR(INDEX('Bad Patterns'!$A$2:$A$120,MATCH(1,INDEX(--ISNUMBER(SEARCH('Bad Patterns'!$A$2:$A$120,B3281)),0),0)),""))</f>
        <v/>
      </c>
      <c r="D3281">
        <f>IF(B3281="","",IF(C3281&lt;&gt;"","REMOVE","KEEP"))</f>
        <v/>
      </c>
      <c r="E3281">
        <f>IF(D3281&lt;&gt;"KEEP","",IF(RIGHT(B3281,10)="@gmail.com","Gmail",IF(OR(RIGHT(B3281,12)="@outlook.com",RIGHT(B3281,12)="@hotmail.com",RIGHT(B3281,9)="@live.com"),"Outlook","Domain")))</f>
        <v/>
      </c>
      <c r="F3281">
        <f>IF(B3281="","",IFERROR(RIGHT(B3281,LEN(B3281)-FIND("@",B3281)),""))</f>
        <v/>
      </c>
      <c r="G3281">
        <f>IF(D3281="KEEP",COUNTIF($D$2:D3281,"KEEP"),"")</f>
        <v/>
      </c>
      <c r="H3281">
        <f>IF(D3281="REMOVE",COUNTIF($D$2:D3281,"REMOVE"),"")</f>
        <v/>
      </c>
      <c r="I3281">
        <f>IF(E3281="Gmail",COUNTIF($E$2:E3281,"Gmail"),"")</f>
        <v/>
      </c>
      <c r="J3281">
        <f>IF(E3281="Outlook",COUNTIF($E$2:E3281,"Outlook"),"")</f>
        <v/>
      </c>
      <c r="K3281">
        <f>IF(E3281="Domain",COUNTIF($E$2:E3281,"Domain"),"")</f>
        <v/>
      </c>
    </row>
    <row r="3282">
      <c r="A3282" s="2" t="n"/>
      <c r="B3282">
        <f>LOWER(TRIM(A3282))</f>
        <v/>
      </c>
      <c r="C3282">
        <f>IF(B3282="","",IFERROR(INDEX('Bad Patterns'!$A$2:$A$120,MATCH(1,INDEX(--ISNUMBER(SEARCH('Bad Patterns'!$A$2:$A$120,B3282)),0),0)),""))</f>
        <v/>
      </c>
      <c r="D3282">
        <f>IF(B3282="","",IF(C3282&lt;&gt;"","REMOVE","KEEP"))</f>
        <v/>
      </c>
      <c r="E3282">
        <f>IF(D3282&lt;&gt;"KEEP","",IF(RIGHT(B3282,10)="@gmail.com","Gmail",IF(OR(RIGHT(B3282,12)="@outlook.com",RIGHT(B3282,12)="@hotmail.com",RIGHT(B3282,9)="@live.com"),"Outlook","Domain")))</f>
        <v/>
      </c>
      <c r="F3282">
        <f>IF(B3282="","",IFERROR(RIGHT(B3282,LEN(B3282)-FIND("@",B3282)),""))</f>
        <v/>
      </c>
      <c r="G3282">
        <f>IF(D3282="KEEP",COUNTIF($D$2:D3282,"KEEP"),"")</f>
        <v/>
      </c>
      <c r="H3282">
        <f>IF(D3282="REMOVE",COUNTIF($D$2:D3282,"REMOVE"),"")</f>
        <v/>
      </c>
      <c r="I3282">
        <f>IF(E3282="Gmail",COUNTIF($E$2:E3282,"Gmail"),"")</f>
        <v/>
      </c>
      <c r="J3282">
        <f>IF(E3282="Outlook",COUNTIF($E$2:E3282,"Outlook"),"")</f>
        <v/>
      </c>
      <c r="K3282">
        <f>IF(E3282="Domain",COUNTIF($E$2:E3282,"Domain"),"")</f>
        <v/>
      </c>
    </row>
    <row r="3283">
      <c r="A3283" s="2" t="n"/>
      <c r="B3283">
        <f>LOWER(TRIM(A3283))</f>
        <v/>
      </c>
      <c r="C3283">
        <f>IF(B3283="","",IFERROR(INDEX('Bad Patterns'!$A$2:$A$120,MATCH(1,INDEX(--ISNUMBER(SEARCH('Bad Patterns'!$A$2:$A$120,B3283)),0),0)),""))</f>
        <v/>
      </c>
      <c r="D3283">
        <f>IF(B3283="","",IF(C3283&lt;&gt;"","REMOVE","KEEP"))</f>
        <v/>
      </c>
      <c r="E3283">
        <f>IF(D3283&lt;&gt;"KEEP","",IF(RIGHT(B3283,10)="@gmail.com","Gmail",IF(OR(RIGHT(B3283,12)="@outlook.com",RIGHT(B3283,12)="@hotmail.com",RIGHT(B3283,9)="@live.com"),"Outlook","Domain")))</f>
        <v/>
      </c>
      <c r="F3283">
        <f>IF(B3283="","",IFERROR(RIGHT(B3283,LEN(B3283)-FIND("@",B3283)),""))</f>
        <v/>
      </c>
      <c r="G3283">
        <f>IF(D3283="KEEP",COUNTIF($D$2:D3283,"KEEP"),"")</f>
        <v/>
      </c>
      <c r="H3283">
        <f>IF(D3283="REMOVE",COUNTIF($D$2:D3283,"REMOVE"),"")</f>
        <v/>
      </c>
      <c r="I3283">
        <f>IF(E3283="Gmail",COUNTIF($E$2:E3283,"Gmail"),"")</f>
        <v/>
      </c>
      <c r="J3283">
        <f>IF(E3283="Outlook",COUNTIF($E$2:E3283,"Outlook"),"")</f>
        <v/>
      </c>
      <c r="K3283">
        <f>IF(E3283="Domain",COUNTIF($E$2:E3283,"Domain"),"")</f>
        <v/>
      </c>
    </row>
    <row r="3284">
      <c r="A3284" s="2" t="n"/>
      <c r="B3284">
        <f>LOWER(TRIM(A3284))</f>
        <v/>
      </c>
      <c r="C3284">
        <f>IF(B3284="","",IFERROR(INDEX('Bad Patterns'!$A$2:$A$120,MATCH(1,INDEX(--ISNUMBER(SEARCH('Bad Patterns'!$A$2:$A$120,B3284)),0),0)),""))</f>
        <v/>
      </c>
      <c r="D3284">
        <f>IF(B3284="","",IF(C3284&lt;&gt;"","REMOVE","KEEP"))</f>
        <v/>
      </c>
      <c r="E3284">
        <f>IF(D3284&lt;&gt;"KEEP","",IF(RIGHT(B3284,10)="@gmail.com","Gmail",IF(OR(RIGHT(B3284,12)="@outlook.com",RIGHT(B3284,12)="@hotmail.com",RIGHT(B3284,9)="@live.com"),"Outlook","Domain")))</f>
        <v/>
      </c>
      <c r="F3284">
        <f>IF(B3284="","",IFERROR(RIGHT(B3284,LEN(B3284)-FIND("@",B3284)),""))</f>
        <v/>
      </c>
      <c r="G3284">
        <f>IF(D3284="KEEP",COUNTIF($D$2:D3284,"KEEP"),"")</f>
        <v/>
      </c>
      <c r="H3284">
        <f>IF(D3284="REMOVE",COUNTIF($D$2:D3284,"REMOVE"),"")</f>
        <v/>
      </c>
      <c r="I3284">
        <f>IF(E3284="Gmail",COUNTIF($E$2:E3284,"Gmail"),"")</f>
        <v/>
      </c>
      <c r="J3284">
        <f>IF(E3284="Outlook",COUNTIF($E$2:E3284,"Outlook"),"")</f>
        <v/>
      </c>
      <c r="K3284">
        <f>IF(E3284="Domain",COUNTIF($E$2:E3284,"Domain"),"")</f>
        <v/>
      </c>
    </row>
    <row r="3285">
      <c r="A3285" s="2" t="n"/>
      <c r="B3285">
        <f>LOWER(TRIM(A3285))</f>
        <v/>
      </c>
      <c r="C3285">
        <f>IF(B3285="","",IFERROR(INDEX('Bad Patterns'!$A$2:$A$120,MATCH(1,INDEX(--ISNUMBER(SEARCH('Bad Patterns'!$A$2:$A$120,B3285)),0),0)),""))</f>
        <v/>
      </c>
      <c r="D3285">
        <f>IF(B3285="","",IF(C3285&lt;&gt;"","REMOVE","KEEP"))</f>
        <v/>
      </c>
      <c r="E3285">
        <f>IF(D3285&lt;&gt;"KEEP","",IF(RIGHT(B3285,10)="@gmail.com","Gmail",IF(OR(RIGHT(B3285,12)="@outlook.com",RIGHT(B3285,12)="@hotmail.com",RIGHT(B3285,9)="@live.com"),"Outlook","Domain")))</f>
        <v/>
      </c>
      <c r="F3285">
        <f>IF(B3285="","",IFERROR(RIGHT(B3285,LEN(B3285)-FIND("@",B3285)),""))</f>
        <v/>
      </c>
      <c r="G3285">
        <f>IF(D3285="KEEP",COUNTIF($D$2:D3285,"KEEP"),"")</f>
        <v/>
      </c>
      <c r="H3285">
        <f>IF(D3285="REMOVE",COUNTIF($D$2:D3285,"REMOVE"),"")</f>
        <v/>
      </c>
      <c r="I3285">
        <f>IF(E3285="Gmail",COUNTIF($E$2:E3285,"Gmail"),"")</f>
        <v/>
      </c>
      <c r="J3285">
        <f>IF(E3285="Outlook",COUNTIF($E$2:E3285,"Outlook"),"")</f>
        <v/>
      </c>
      <c r="K3285">
        <f>IF(E3285="Domain",COUNTIF($E$2:E3285,"Domain"),"")</f>
        <v/>
      </c>
    </row>
    <row r="3286">
      <c r="A3286" s="2" t="n"/>
      <c r="B3286">
        <f>LOWER(TRIM(A3286))</f>
        <v/>
      </c>
      <c r="C3286">
        <f>IF(B3286="","",IFERROR(INDEX('Bad Patterns'!$A$2:$A$120,MATCH(1,INDEX(--ISNUMBER(SEARCH('Bad Patterns'!$A$2:$A$120,B3286)),0),0)),""))</f>
        <v/>
      </c>
      <c r="D3286">
        <f>IF(B3286="","",IF(C3286&lt;&gt;"","REMOVE","KEEP"))</f>
        <v/>
      </c>
      <c r="E3286">
        <f>IF(D3286&lt;&gt;"KEEP","",IF(RIGHT(B3286,10)="@gmail.com","Gmail",IF(OR(RIGHT(B3286,12)="@outlook.com",RIGHT(B3286,12)="@hotmail.com",RIGHT(B3286,9)="@live.com"),"Outlook","Domain")))</f>
        <v/>
      </c>
      <c r="F3286">
        <f>IF(B3286="","",IFERROR(RIGHT(B3286,LEN(B3286)-FIND("@",B3286)),""))</f>
        <v/>
      </c>
      <c r="G3286">
        <f>IF(D3286="KEEP",COUNTIF($D$2:D3286,"KEEP"),"")</f>
        <v/>
      </c>
      <c r="H3286">
        <f>IF(D3286="REMOVE",COUNTIF($D$2:D3286,"REMOVE"),"")</f>
        <v/>
      </c>
      <c r="I3286">
        <f>IF(E3286="Gmail",COUNTIF($E$2:E3286,"Gmail"),"")</f>
        <v/>
      </c>
      <c r="J3286">
        <f>IF(E3286="Outlook",COUNTIF($E$2:E3286,"Outlook"),"")</f>
        <v/>
      </c>
      <c r="K3286">
        <f>IF(E3286="Domain",COUNTIF($E$2:E3286,"Domain"),"")</f>
        <v/>
      </c>
    </row>
    <row r="3287">
      <c r="A3287" s="2" t="n"/>
      <c r="B3287">
        <f>LOWER(TRIM(A3287))</f>
        <v/>
      </c>
      <c r="C3287">
        <f>IF(B3287="","",IFERROR(INDEX('Bad Patterns'!$A$2:$A$120,MATCH(1,INDEX(--ISNUMBER(SEARCH('Bad Patterns'!$A$2:$A$120,B3287)),0),0)),""))</f>
        <v/>
      </c>
      <c r="D3287">
        <f>IF(B3287="","",IF(C3287&lt;&gt;"","REMOVE","KEEP"))</f>
        <v/>
      </c>
      <c r="E3287">
        <f>IF(D3287&lt;&gt;"KEEP","",IF(RIGHT(B3287,10)="@gmail.com","Gmail",IF(OR(RIGHT(B3287,12)="@outlook.com",RIGHT(B3287,12)="@hotmail.com",RIGHT(B3287,9)="@live.com"),"Outlook","Domain")))</f>
        <v/>
      </c>
      <c r="F3287">
        <f>IF(B3287="","",IFERROR(RIGHT(B3287,LEN(B3287)-FIND("@",B3287)),""))</f>
        <v/>
      </c>
      <c r="G3287">
        <f>IF(D3287="KEEP",COUNTIF($D$2:D3287,"KEEP"),"")</f>
        <v/>
      </c>
      <c r="H3287">
        <f>IF(D3287="REMOVE",COUNTIF($D$2:D3287,"REMOVE"),"")</f>
        <v/>
      </c>
      <c r="I3287">
        <f>IF(E3287="Gmail",COUNTIF($E$2:E3287,"Gmail"),"")</f>
        <v/>
      </c>
      <c r="J3287">
        <f>IF(E3287="Outlook",COUNTIF($E$2:E3287,"Outlook"),"")</f>
        <v/>
      </c>
      <c r="K3287">
        <f>IF(E3287="Domain",COUNTIF($E$2:E3287,"Domain"),"")</f>
        <v/>
      </c>
    </row>
    <row r="3288">
      <c r="A3288" s="2" t="n"/>
      <c r="B3288">
        <f>LOWER(TRIM(A3288))</f>
        <v/>
      </c>
      <c r="C3288">
        <f>IF(B3288="","",IFERROR(INDEX('Bad Patterns'!$A$2:$A$120,MATCH(1,INDEX(--ISNUMBER(SEARCH('Bad Patterns'!$A$2:$A$120,B3288)),0),0)),""))</f>
        <v/>
      </c>
      <c r="D3288">
        <f>IF(B3288="","",IF(C3288&lt;&gt;"","REMOVE","KEEP"))</f>
        <v/>
      </c>
      <c r="E3288">
        <f>IF(D3288&lt;&gt;"KEEP","",IF(RIGHT(B3288,10)="@gmail.com","Gmail",IF(OR(RIGHT(B3288,12)="@outlook.com",RIGHT(B3288,12)="@hotmail.com",RIGHT(B3288,9)="@live.com"),"Outlook","Domain")))</f>
        <v/>
      </c>
      <c r="F3288">
        <f>IF(B3288="","",IFERROR(RIGHT(B3288,LEN(B3288)-FIND("@",B3288)),""))</f>
        <v/>
      </c>
      <c r="G3288">
        <f>IF(D3288="KEEP",COUNTIF($D$2:D3288,"KEEP"),"")</f>
        <v/>
      </c>
      <c r="H3288">
        <f>IF(D3288="REMOVE",COUNTIF($D$2:D3288,"REMOVE"),"")</f>
        <v/>
      </c>
      <c r="I3288">
        <f>IF(E3288="Gmail",COUNTIF($E$2:E3288,"Gmail"),"")</f>
        <v/>
      </c>
      <c r="J3288">
        <f>IF(E3288="Outlook",COUNTIF($E$2:E3288,"Outlook"),"")</f>
        <v/>
      </c>
      <c r="K3288">
        <f>IF(E3288="Domain",COUNTIF($E$2:E3288,"Domain"),"")</f>
        <v/>
      </c>
    </row>
    <row r="3289">
      <c r="A3289" s="2" t="n"/>
      <c r="B3289">
        <f>LOWER(TRIM(A3289))</f>
        <v/>
      </c>
      <c r="C3289">
        <f>IF(B3289="","",IFERROR(INDEX('Bad Patterns'!$A$2:$A$120,MATCH(1,INDEX(--ISNUMBER(SEARCH('Bad Patterns'!$A$2:$A$120,B3289)),0),0)),""))</f>
        <v/>
      </c>
      <c r="D3289">
        <f>IF(B3289="","",IF(C3289&lt;&gt;"","REMOVE","KEEP"))</f>
        <v/>
      </c>
      <c r="E3289">
        <f>IF(D3289&lt;&gt;"KEEP","",IF(RIGHT(B3289,10)="@gmail.com","Gmail",IF(OR(RIGHT(B3289,12)="@outlook.com",RIGHT(B3289,12)="@hotmail.com",RIGHT(B3289,9)="@live.com"),"Outlook","Domain")))</f>
        <v/>
      </c>
      <c r="F3289">
        <f>IF(B3289="","",IFERROR(RIGHT(B3289,LEN(B3289)-FIND("@",B3289)),""))</f>
        <v/>
      </c>
      <c r="G3289">
        <f>IF(D3289="KEEP",COUNTIF($D$2:D3289,"KEEP"),"")</f>
        <v/>
      </c>
      <c r="H3289">
        <f>IF(D3289="REMOVE",COUNTIF($D$2:D3289,"REMOVE"),"")</f>
        <v/>
      </c>
      <c r="I3289">
        <f>IF(E3289="Gmail",COUNTIF($E$2:E3289,"Gmail"),"")</f>
        <v/>
      </c>
      <c r="J3289">
        <f>IF(E3289="Outlook",COUNTIF($E$2:E3289,"Outlook"),"")</f>
        <v/>
      </c>
      <c r="K3289">
        <f>IF(E3289="Domain",COUNTIF($E$2:E3289,"Domain"),"")</f>
        <v/>
      </c>
    </row>
    <row r="3290">
      <c r="A3290" s="2" t="n"/>
      <c r="B3290">
        <f>LOWER(TRIM(A3290))</f>
        <v/>
      </c>
      <c r="C3290">
        <f>IF(B3290="","",IFERROR(INDEX('Bad Patterns'!$A$2:$A$120,MATCH(1,INDEX(--ISNUMBER(SEARCH('Bad Patterns'!$A$2:$A$120,B3290)),0),0)),""))</f>
        <v/>
      </c>
      <c r="D3290">
        <f>IF(B3290="","",IF(C3290&lt;&gt;"","REMOVE","KEEP"))</f>
        <v/>
      </c>
      <c r="E3290">
        <f>IF(D3290&lt;&gt;"KEEP","",IF(RIGHT(B3290,10)="@gmail.com","Gmail",IF(OR(RIGHT(B3290,12)="@outlook.com",RIGHT(B3290,12)="@hotmail.com",RIGHT(B3290,9)="@live.com"),"Outlook","Domain")))</f>
        <v/>
      </c>
      <c r="F3290">
        <f>IF(B3290="","",IFERROR(RIGHT(B3290,LEN(B3290)-FIND("@",B3290)),""))</f>
        <v/>
      </c>
      <c r="G3290">
        <f>IF(D3290="KEEP",COUNTIF($D$2:D3290,"KEEP"),"")</f>
        <v/>
      </c>
      <c r="H3290">
        <f>IF(D3290="REMOVE",COUNTIF($D$2:D3290,"REMOVE"),"")</f>
        <v/>
      </c>
      <c r="I3290">
        <f>IF(E3290="Gmail",COUNTIF($E$2:E3290,"Gmail"),"")</f>
        <v/>
      </c>
      <c r="J3290">
        <f>IF(E3290="Outlook",COUNTIF($E$2:E3290,"Outlook"),"")</f>
        <v/>
      </c>
      <c r="K3290">
        <f>IF(E3290="Domain",COUNTIF($E$2:E3290,"Domain"),"")</f>
        <v/>
      </c>
    </row>
    <row r="3291">
      <c r="A3291" s="2" t="n"/>
      <c r="B3291">
        <f>LOWER(TRIM(A3291))</f>
        <v/>
      </c>
      <c r="C3291">
        <f>IF(B3291="","",IFERROR(INDEX('Bad Patterns'!$A$2:$A$120,MATCH(1,INDEX(--ISNUMBER(SEARCH('Bad Patterns'!$A$2:$A$120,B3291)),0),0)),""))</f>
        <v/>
      </c>
      <c r="D3291">
        <f>IF(B3291="","",IF(C3291&lt;&gt;"","REMOVE","KEEP"))</f>
        <v/>
      </c>
      <c r="E3291">
        <f>IF(D3291&lt;&gt;"KEEP","",IF(RIGHT(B3291,10)="@gmail.com","Gmail",IF(OR(RIGHT(B3291,12)="@outlook.com",RIGHT(B3291,12)="@hotmail.com",RIGHT(B3291,9)="@live.com"),"Outlook","Domain")))</f>
        <v/>
      </c>
      <c r="F3291">
        <f>IF(B3291="","",IFERROR(RIGHT(B3291,LEN(B3291)-FIND("@",B3291)),""))</f>
        <v/>
      </c>
      <c r="G3291">
        <f>IF(D3291="KEEP",COUNTIF($D$2:D3291,"KEEP"),"")</f>
        <v/>
      </c>
      <c r="H3291">
        <f>IF(D3291="REMOVE",COUNTIF($D$2:D3291,"REMOVE"),"")</f>
        <v/>
      </c>
      <c r="I3291">
        <f>IF(E3291="Gmail",COUNTIF($E$2:E3291,"Gmail"),"")</f>
        <v/>
      </c>
      <c r="J3291">
        <f>IF(E3291="Outlook",COUNTIF($E$2:E3291,"Outlook"),"")</f>
        <v/>
      </c>
      <c r="K3291">
        <f>IF(E3291="Domain",COUNTIF($E$2:E3291,"Domain"),"")</f>
        <v/>
      </c>
    </row>
    <row r="3292">
      <c r="A3292" s="2" t="n"/>
      <c r="B3292">
        <f>LOWER(TRIM(A3292))</f>
        <v/>
      </c>
      <c r="C3292">
        <f>IF(B3292="","",IFERROR(INDEX('Bad Patterns'!$A$2:$A$120,MATCH(1,INDEX(--ISNUMBER(SEARCH('Bad Patterns'!$A$2:$A$120,B3292)),0),0)),""))</f>
        <v/>
      </c>
      <c r="D3292">
        <f>IF(B3292="","",IF(C3292&lt;&gt;"","REMOVE","KEEP"))</f>
        <v/>
      </c>
      <c r="E3292">
        <f>IF(D3292&lt;&gt;"KEEP","",IF(RIGHT(B3292,10)="@gmail.com","Gmail",IF(OR(RIGHT(B3292,12)="@outlook.com",RIGHT(B3292,12)="@hotmail.com",RIGHT(B3292,9)="@live.com"),"Outlook","Domain")))</f>
        <v/>
      </c>
      <c r="F3292">
        <f>IF(B3292="","",IFERROR(RIGHT(B3292,LEN(B3292)-FIND("@",B3292)),""))</f>
        <v/>
      </c>
      <c r="G3292">
        <f>IF(D3292="KEEP",COUNTIF($D$2:D3292,"KEEP"),"")</f>
        <v/>
      </c>
      <c r="H3292">
        <f>IF(D3292="REMOVE",COUNTIF($D$2:D3292,"REMOVE"),"")</f>
        <v/>
      </c>
      <c r="I3292">
        <f>IF(E3292="Gmail",COUNTIF($E$2:E3292,"Gmail"),"")</f>
        <v/>
      </c>
      <c r="J3292">
        <f>IF(E3292="Outlook",COUNTIF($E$2:E3292,"Outlook"),"")</f>
        <v/>
      </c>
      <c r="K3292">
        <f>IF(E3292="Domain",COUNTIF($E$2:E3292,"Domain"),"")</f>
        <v/>
      </c>
    </row>
    <row r="3293">
      <c r="A3293" s="2" t="n"/>
      <c r="B3293">
        <f>LOWER(TRIM(A3293))</f>
        <v/>
      </c>
      <c r="C3293">
        <f>IF(B3293="","",IFERROR(INDEX('Bad Patterns'!$A$2:$A$120,MATCH(1,INDEX(--ISNUMBER(SEARCH('Bad Patterns'!$A$2:$A$120,B3293)),0),0)),""))</f>
        <v/>
      </c>
      <c r="D3293">
        <f>IF(B3293="","",IF(C3293&lt;&gt;"","REMOVE","KEEP"))</f>
        <v/>
      </c>
      <c r="E3293">
        <f>IF(D3293&lt;&gt;"KEEP","",IF(RIGHT(B3293,10)="@gmail.com","Gmail",IF(OR(RIGHT(B3293,12)="@outlook.com",RIGHT(B3293,12)="@hotmail.com",RIGHT(B3293,9)="@live.com"),"Outlook","Domain")))</f>
        <v/>
      </c>
      <c r="F3293">
        <f>IF(B3293="","",IFERROR(RIGHT(B3293,LEN(B3293)-FIND("@",B3293)),""))</f>
        <v/>
      </c>
      <c r="G3293">
        <f>IF(D3293="KEEP",COUNTIF($D$2:D3293,"KEEP"),"")</f>
        <v/>
      </c>
      <c r="H3293">
        <f>IF(D3293="REMOVE",COUNTIF($D$2:D3293,"REMOVE"),"")</f>
        <v/>
      </c>
      <c r="I3293">
        <f>IF(E3293="Gmail",COUNTIF($E$2:E3293,"Gmail"),"")</f>
        <v/>
      </c>
      <c r="J3293">
        <f>IF(E3293="Outlook",COUNTIF($E$2:E3293,"Outlook"),"")</f>
        <v/>
      </c>
      <c r="K3293">
        <f>IF(E3293="Domain",COUNTIF($E$2:E3293,"Domain"),"")</f>
        <v/>
      </c>
    </row>
    <row r="3294">
      <c r="A3294" s="2" t="n"/>
      <c r="B3294">
        <f>LOWER(TRIM(A3294))</f>
        <v/>
      </c>
      <c r="C3294">
        <f>IF(B3294="","",IFERROR(INDEX('Bad Patterns'!$A$2:$A$120,MATCH(1,INDEX(--ISNUMBER(SEARCH('Bad Patterns'!$A$2:$A$120,B3294)),0),0)),""))</f>
        <v/>
      </c>
      <c r="D3294">
        <f>IF(B3294="","",IF(C3294&lt;&gt;"","REMOVE","KEEP"))</f>
        <v/>
      </c>
      <c r="E3294">
        <f>IF(D3294&lt;&gt;"KEEP","",IF(RIGHT(B3294,10)="@gmail.com","Gmail",IF(OR(RIGHT(B3294,12)="@outlook.com",RIGHT(B3294,12)="@hotmail.com",RIGHT(B3294,9)="@live.com"),"Outlook","Domain")))</f>
        <v/>
      </c>
      <c r="F3294">
        <f>IF(B3294="","",IFERROR(RIGHT(B3294,LEN(B3294)-FIND("@",B3294)),""))</f>
        <v/>
      </c>
      <c r="G3294">
        <f>IF(D3294="KEEP",COUNTIF($D$2:D3294,"KEEP"),"")</f>
        <v/>
      </c>
      <c r="H3294">
        <f>IF(D3294="REMOVE",COUNTIF($D$2:D3294,"REMOVE"),"")</f>
        <v/>
      </c>
      <c r="I3294">
        <f>IF(E3294="Gmail",COUNTIF($E$2:E3294,"Gmail"),"")</f>
        <v/>
      </c>
      <c r="J3294">
        <f>IF(E3294="Outlook",COUNTIF($E$2:E3294,"Outlook"),"")</f>
        <v/>
      </c>
      <c r="K3294">
        <f>IF(E3294="Domain",COUNTIF($E$2:E3294,"Domain"),"")</f>
        <v/>
      </c>
    </row>
    <row r="3295">
      <c r="A3295" s="2" t="n"/>
      <c r="B3295">
        <f>LOWER(TRIM(A3295))</f>
        <v/>
      </c>
      <c r="C3295">
        <f>IF(B3295="","",IFERROR(INDEX('Bad Patterns'!$A$2:$A$120,MATCH(1,INDEX(--ISNUMBER(SEARCH('Bad Patterns'!$A$2:$A$120,B3295)),0),0)),""))</f>
        <v/>
      </c>
      <c r="D3295">
        <f>IF(B3295="","",IF(C3295&lt;&gt;"","REMOVE","KEEP"))</f>
        <v/>
      </c>
      <c r="E3295">
        <f>IF(D3295&lt;&gt;"KEEP","",IF(RIGHT(B3295,10)="@gmail.com","Gmail",IF(OR(RIGHT(B3295,12)="@outlook.com",RIGHT(B3295,12)="@hotmail.com",RIGHT(B3295,9)="@live.com"),"Outlook","Domain")))</f>
        <v/>
      </c>
      <c r="F3295">
        <f>IF(B3295="","",IFERROR(RIGHT(B3295,LEN(B3295)-FIND("@",B3295)),""))</f>
        <v/>
      </c>
      <c r="G3295">
        <f>IF(D3295="KEEP",COUNTIF($D$2:D3295,"KEEP"),"")</f>
        <v/>
      </c>
      <c r="H3295">
        <f>IF(D3295="REMOVE",COUNTIF($D$2:D3295,"REMOVE"),"")</f>
        <v/>
      </c>
      <c r="I3295">
        <f>IF(E3295="Gmail",COUNTIF($E$2:E3295,"Gmail"),"")</f>
        <v/>
      </c>
      <c r="J3295">
        <f>IF(E3295="Outlook",COUNTIF($E$2:E3295,"Outlook"),"")</f>
        <v/>
      </c>
      <c r="K3295">
        <f>IF(E3295="Domain",COUNTIF($E$2:E3295,"Domain"),"")</f>
        <v/>
      </c>
    </row>
    <row r="3296">
      <c r="A3296" s="2" t="n"/>
      <c r="B3296">
        <f>LOWER(TRIM(A3296))</f>
        <v/>
      </c>
      <c r="C3296">
        <f>IF(B3296="","",IFERROR(INDEX('Bad Patterns'!$A$2:$A$120,MATCH(1,INDEX(--ISNUMBER(SEARCH('Bad Patterns'!$A$2:$A$120,B3296)),0),0)),""))</f>
        <v/>
      </c>
      <c r="D3296">
        <f>IF(B3296="","",IF(C3296&lt;&gt;"","REMOVE","KEEP"))</f>
        <v/>
      </c>
      <c r="E3296">
        <f>IF(D3296&lt;&gt;"KEEP","",IF(RIGHT(B3296,10)="@gmail.com","Gmail",IF(OR(RIGHT(B3296,12)="@outlook.com",RIGHT(B3296,12)="@hotmail.com",RIGHT(B3296,9)="@live.com"),"Outlook","Domain")))</f>
        <v/>
      </c>
      <c r="F3296">
        <f>IF(B3296="","",IFERROR(RIGHT(B3296,LEN(B3296)-FIND("@",B3296)),""))</f>
        <v/>
      </c>
      <c r="G3296">
        <f>IF(D3296="KEEP",COUNTIF($D$2:D3296,"KEEP"),"")</f>
        <v/>
      </c>
      <c r="H3296">
        <f>IF(D3296="REMOVE",COUNTIF($D$2:D3296,"REMOVE"),"")</f>
        <v/>
      </c>
      <c r="I3296">
        <f>IF(E3296="Gmail",COUNTIF($E$2:E3296,"Gmail"),"")</f>
        <v/>
      </c>
      <c r="J3296">
        <f>IF(E3296="Outlook",COUNTIF($E$2:E3296,"Outlook"),"")</f>
        <v/>
      </c>
      <c r="K3296">
        <f>IF(E3296="Domain",COUNTIF($E$2:E3296,"Domain"),"")</f>
        <v/>
      </c>
    </row>
    <row r="3297">
      <c r="A3297" s="2" t="n"/>
      <c r="B3297">
        <f>LOWER(TRIM(A3297))</f>
        <v/>
      </c>
      <c r="C3297">
        <f>IF(B3297="","",IFERROR(INDEX('Bad Patterns'!$A$2:$A$120,MATCH(1,INDEX(--ISNUMBER(SEARCH('Bad Patterns'!$A$2:$A$120,B3297)),0),0)),""))</f>
        <v/>
      </c>
      <c r="D3297">
        <f>IF(B3297="","",IF(C3297&lt;&gt;"","REMOVE","KEEP"))</f>
        <v/>
      </c>
      <c r="E3297">
        <f>IF(D3297&lt;&gt;"KEEP","",IF(RIGHT(B3297,10)="@gmail.com","Gmail",IF(OR(RIGHT(B3297,12)="@outlook.com",RIGHT(B3297,12)="@hotmail.com",RIGHT(B3297,9)="@live.com"),"Outlook","Domain")))</f>
        <v/>
      </c>
      <c r="F3297">
        <f>IF(B3297="","",IFERROR(RIGHT(B3297,LEN(B3297)-FIND("@",B3297)),""))</f>
        <v/>
      </c>
      <c r="G3297">
        <f>IF(D3297="KEEP",COUNTIF($D$2:D3297,"KEEP"),"")</f>
        <v/>
      </c>
      <c r="H3297">
        <f>IF(D3297="REMOVE",COUNTIF($D$2:D3297,"REMOVE"),"")</f>
        <v/>
      </c>
      <c r="I3297">
        <f>IF(E3297="Gmail",COUNTIF($E$2:E3297,"Gmail"),"")</f>
        <v/>
      </c>
      <c r="J3297">
        <f>IF(E3297="Outlook",COUNTIF($E$2:E3297,"Outlook"),"")</f>
        <v/>
      </c>
      <c r="K3297">
        <f>IF(E3297="Domain",COUNTIF($E$2:E3297,"Domain"),"")</f>
        <v/>
      </c>
    </row>
    <row r="3298">
      <c r="A3298" s="2" t="n"/>
      <c r="B3298">
        <f>LOWER(TRIM(A3298))</f>
        <v/>
      </c>
      <c r="C3298">
        <f>IF(B3298="","",IFERROR(INDEX('Bad Patterns'!$A$2:$A$120,MATCH(1,INDEX(--ISNUMBER(SEARCH('Bad Patterns'!$A$2:$A$120,B3298)),0),0)),""))</f>
        <v/>
      </c>
      <c r="D3298">
        <f>IF(B3298="","",IF(C3298&lt;&gt;"","REMOVE","KEEP"))</f>
        <v/>
      </c>
      <c r="E3298">
        <f>IF(D3298&lt;&gt;"KEEP","",IF(RIGHT(B3298,10)="@gmail.com","Gmail",IF(OR(RIGHT(B3298,12)="@outlook.com",RIGHT(B3298,12)="@hotmail.com",RIGHT(B3298,9)="@live.com"),"Outlook","Domain")))</f>
        <v/>
      </c>
      <c r="F3298">
        <f>IF(B3298="","",IFERROR(RIGHT(B3298,LEN(B3298)-FIND("@",B3298)),""))</f>
        <v/>
      </c>
      <c r="G3298">
        <f>IF(D3298="KEEP",COUNTIF($D$2:D3298,"KEEP"),"")</f>
        <v/>
      </c>
      <c r="H3298">
        <f>IF(D3298="REMOVE",COUNTIF($D$2:D3298,"REMOVE"),"")</f>
        <v/>
      </c>
      <c r="I3298">
        <f>IF(E3298="Gmail",COUNTIF($E$2:E3298,"Gmail"),"")</f>
        <v/>
      </c>
      <c r="J3298">
        <f>IF(E3298="Outlook",COUNTIF($E$2:E3298,"Outlook"),"")</f>
        <v/>
      </c>
      <c r="K3298">
        <f>IF(E3298="Domain",COUNTIF($E$2:E3298,"Domain"),"")</f>
        <v/>
      </c>
    </row>
    <row r="3299">
      <c r="A3299" s="2" t="n"/>
      <c r="B3299">
        <f>LOWER(TRIM(A3299))</f>
        <v/>
      </c>
      <c r="C3299">
        <f>IF(B3299="","",IFERROR(INDEX('Bad Patterns'!$A$2:$A$120,MATCH(1,INDEX(--ISNUMBER(SEARCH('Bad Patterns'!$A$2:$A$120,B3299)),0),0)),""))</f>
        <v/>
      </c>
      <c r="D3299">
        <f>IF(B3299="","",IF(C3299&lt;&gt;"","REMOVE","KEEP"))</f>
        <v/>
      </c>
      <c r="E3299">
        <f>IF(D3299&lt;&gt;"KEEP","",IF(RIGHT(B3299,10)="@gmail.com","Gmail",IF(OR(RIGHT(B3299,12)="@outlook.com",RIGHT(B3299,12)="@hotmail.com",RIGHT(B3299,9)="@live.com"),"Outlook","Domain")))</f>
        <v/>
      </c>
      <c r="F3299">
        <f>IF(B3299="","",IFERROR(RIGHT(B3299,LEN(B3299)-FIND("@",B3299)),""))</f>
        <v/>
      </c>
      <c r="G3299">
        <f>IF(D3299="KEEP",COUNTIF($D$2:D3299,"KEEP"),"")</f>
        <v/>
      </c>
      <c r="H3299">
        <f>IF(D3299="REMOVE",COUNTIF($D$2:D3299,"REMOVE"),"")</f>
        <v/>
      </c>
      <c r="I3299">
        <f>IF(E3299="Gmail",COUNTIF($E$2:E3299,"Gmail"),"")</f>
        <v/>
      </c>
      <c r="J3299">
        <f>IF(E3299="Outlook",COUNTIF($E$2:E3299,"Outlook"),"")</f>
        <v/>
      </c>
      <c r="K3299">
        <f>IF(E3299="Domain",COUNTIF($E$2:E3299,"Domain"),"")</f>
        <v/>
      </c>
    </row>
    <row r="3300">
      <c r="A3300" s="2" t="n"/>
      <c r="B3300">
        <f>LOWER(TRIM(A3300))</f>
        <v/>
      </c>
      <c r="C3300">
        <f>IF(B3300="","",IFERROR(INDEX('Bad Patterns'!$A$2:$A$120,MATCH(1,INDEX(--ISNUMBER(SEARCH('Bad Patterns'!$A$2:$A$120,B3300)),0),0)),""))</f>
        <v/>
      </c>
      <c r="D3300">
        <f>IF(B3300="","",IF(C3300&lt;&gt;"","REMOVE","KEEP"))</f>
        <v/>
      </c>
      <c r="E3300">
        <f>IF(D3300&lt;&gt;"KEEP","",IF(RIGHT(B3300,10)="@gmail.com","Gmail",IF(OR(RIGHT(B3300,12)="@outlook.com",RIGHT(B3300,12)="@hotmail.com",RIGHT(B3300,9)="@live.com"),"Outlook","Domain")))</f>
        <v/>
      </c>
      <c r="F3300">
        <f>IF(B3300="","",IFERROR(RIGHT(B3300,LEN(B3300)-FIND("@",B3300)),""))</f>
        <v/>
      </c>
      <c r="G3300">
        <f>IF(D3300="KEEP",COUNTIF($D$2:D3300,"KEEP"),"")</f>
        <v/>
      </c>
      <c r="H3300">
        <f>IF(D3300="REMOVE",COUNTIF($D$2:D3300,"REMOVE"),"")</f>
        <v/>
      </c>
      <c r="I3300">
        <f>IF(E3300="Gmail",COUNTIF($E$2:E3300,"Gmail"),"")</f>
        <v/>
      </c>
      <c r="J3300">
        <f>IF(E3300="Outlook",COUNTIF($E$2:E3300,"Outlook"),"")</f>
        <v/>
      </c>
      <c r="K3300">
        <f>IF(E3300="Domain",COUNTIF($E$2:E3300,"Domain"),"")</f>
        <v/>
      </c>
    </row>
    <row r="3301">
      <c r="A3301" s="2" t="n"/>
      <c r="B3301">
        <f>LOWER(TRIM(A3301))</f>
        <v/>
      </c>
      <c r="C3301">
        <f>IF(B3301="","",IFERROR(INDEX('Bad Patterns'!$A$2:$A$120,MATCH(1,INDEX(--ISNUMBER(SEARCH('Bad Patterns'!$A$2:$A$120,B3301)),0),0)),""))</f>
        <v/>
      </c>
      <c r="D3301">
        <f>IF(B3301="","",IF(C3301&lt;&gt;"","REMOVE","KEEP"))</f>
        <v/>
      </c>
      <c r="E3301">
        <f>IF(D3301&lt;&gt;"KEEP","",IF(RIGHT(B3301,10)="@gmail.com","Gmail",IF(OR(RIGHT(B3301,12)="@outlook.com",RIGHT(B3301,12)="@hotmail.com",RIGHT(B3301,9)="@live.com"),"Outlook","Domain")))</f>
        <v/>
      </c>
      <c r="F3301">
        <f>IF(B3301="","",IFERROR(RIGHT(B3301,LEN(B3301)-FIND("@",B3301)),""))</f>
        <v/>
      </c>
      <c r="G3301">
        <f>IF(D3301="KEEP",COUNTIF($D$2:D3301,"KEEP"),"")</f>
        <v/>
      </c>
      <c r="H3301">
        <f>IF(D3301="REMOVE",COUNTIF($D$2:D3301,"REMOVE"),"")</f>
        <v/>
      </c>
      <c r="I3301">
        <f>IF(E3301="Gmail",COUNTIF($E$2:E3301,"Gmail"),"")</f>
        <v/>
      </c>
      <c r="J3301">
        <f>IF(E3301="Outlook",COUNTIF($E$2:E3301,"Outlook"),"")</f>
        <v/>
      </c>
      <c r="K3301">
        <f>IF(E3301="Domain",COUNTIF($E$2:E3301,"Domain"),"")</f>
        <v/>
      </c>
    </row>
    <row r="3302">
      <c r="A3302" s="2" t="n"/>
      <c r="B3302">
        <f>LOWER(TRIM(A3302))</f>
        <v/>
      </c>
      <c r="C3302">
        <f>IF(B3302="","",IFERROR(INDEX('Bad Patterns'!$A$2:$A$120,MATCH(1,INDEX(--ISNUMBER(SEARCH('Bad Patterns'!$A$2:$A$120,B3302)),0),0)),""))</f>
        <v/>
      </c>
      <c r="D3302">
        <f>IF(B3302="","",IF(C3302&lt;&gt;"","REMOVE","KEEP"))</f>
        <v/>
      </c>
      <c r="E3302">
        <f>IF(D3302&lt;&gt;"KEEP","",IF(RIGHT(B3302,10)="@gmail.com","Gmail",IF(OR(RIGHT(B3302,12)="@outlook.com",RIGHT(B3302,12)="@hotmail.com",RIGHT(B3302,9)="@live.com"),"Outlook","Domain")))</f>
        <v/>
      </c>
      <c r="F3302">
        <f>IF(B3302="","",IFERROR(RIGHT(B3302,LEN(B3302)-FIND("@",B3302)),""))</f>
        <v/>
      </c>
      <c r="G3302">
        <f>IF(D3302="KEEP",COUNTIF($D$2:D3302,"KEEP"),"")</f>
        <v/>
      </c>
      <c r="H3302">
        <f>IF(D3302="REMOVE",COUNTIF($D$2:D3302,"REMOVE"),"")</f>
        <v/>
      </c>
      <c r="I3302">
        <f>IF(E3302="Gmail",COUNTIF($E$2:E3302,"Gmail"),"")</f>
        <v/>
      </c>
      <c r="J3302">
        <f>IF(E3302="Outlook",COUNTIF($E$2:E3302,"Outlook"),"")</f>
        <v/>
      </c>
      <c r="K3302">
        <f>IF(E3302="Domain",COUNTIF($E$2:E3302,"Domain"),"")</f>
        <v/>
      </c>
    </row>
    <row r="3303">
      <c r="A3303" s="2" t="n"/>
      <c r="B3303">
        <f>LOWER(TRIM(A3303))</f>
        <v/>
      </c>
      <c r="C3303">
        <f>IF(B3303="","",IFERROR(INDEX('Bad Patterns'!$A$2:$A$120,MATCH(1,INDEX(--ISNUMBER(SEARCH('Bad Patterns'!$A$2:$A$120,B3303)),0),0)),""))</f>
        <v/>
      </c>
      <c r="D3303">
        <f>IF(B3303="","",IF(C3303&lt;&gt;"","REMOVE","KEEP"))</f>
        <v/>
      </c>
      <c r="E3303">
        <f>IF(D3303&lt;&gt;"KEEP","",IF(RIGHT(B3303,10)="@gmail.com","Gmail",IF(OR(RIGHT(B3303,12)="@outlook.com",RIGHT(B3303,12)="@hotmail.com",RIGHT(B3303,9)="@live.com"),"Outlook","Domain")))</f>
        <v/>
      </c>
      <c r="F3303">
        <f>IF(B3303="","",IFERROR(RIGHT(B3303,LEN(B3303)-FIND("@",B3303)),""))</f>
        <v/>
      </c>
      <c r="G3303">
        <f>IF(D3303="KEEP",COUNTIF($D$2:D3303,"KEEP"),"")</f>
        <v/>
      </c>
      <c r="H3303">
        <f>IF(D3303="REMOVE",COUNTIF($D$2:D3303,"REMOVE"),"")</f>
        <v/>
      </c>
      <c r="I3303">
        <f>IF(E3303="Gmail",COUNTIF($E$2:E3303,"Gmail"),"")</f>
        <v/>
      </c>
      <c r="J3303">
        <f>IF(E3303="Outlook",COUNTIF($E$2:E3303,"Outlook"),"")</f>
        <v/>
      </c>
      <c r="K3303">
        <f>IF(E3303="Domain",COUNTIF($E$2:E3303,"Domain"),"")</f>
        <v/>
      </c>
    </row>
    <row r="3304">
      <c r="A3304" s="2" t="n"/>
      <c r="B3304">
        <f>LOWER(TRIM(A3304))</f>
        <v/>
      </c>
      <c r="C3304">
        <f>IF(B3304="","",IFERROR(INDEX('Bad Patterns'!$A$2:$A$120,MATCH(1,INDEX(--ISNUMBER(SEARCH('Bad Patterns'!$A$2:$A$120,B3304)),0),0)),""))</f>
        <v/>
      </c>
      <c r="D3304">
        <f>IF(B3304="","",IF(C3304&lt;&gt;"","REMOVE","KEEP"))</f>
        <v/>
      </c>
      <c r="E3304">
        <f>IF(D3304&lt;&gt;"KEEP","",IF(RIGHT(B3304,10)="@gmail.com","Gmail",IF(OR(RIGHT(B3304,12)="@outlook.com",RIGHT(B3304,12)="@hotmail.com",RIGHT(B3304,9)="@live.com"),"Outlook","Domain")))</f>
        <v/>
      </c>
      <c r="F3304">
        <f>IF(B3304="","",IFERROR(RIGHT(B3304,LEN(B3304)-FIND("@",B3304)),""))</f>
        <v/>
      </c>
      <c r="G3304">
        <f>IF(D3304="KEEP",COUNTIF($D$2:D3304,"KEEP"),"")</f>
        <v/>
      </c>
      <c r="H3304">
        <f>IF(D3304="REMOVE",COUNTIF($D$2:D3304,"REMOVE"),"")</f>
        <v/>
      </c>
      <c r="I3304">
        <f>IF(E3304="Gmail",COUNTIF($E$2:E3304,"Gmail"),"")</f>
        <v/>
      </c>
      <c r="J3304">
        <f>IF(E3304="Outlook",COUNTIF($E$2:E3304,"Outlook"),"")</f>
        <v/>
      </c>
      <c r="K3304">
        <f>IF(E3304="Domain",COUNTIF($E$2:E3304,"Domain"),"")</f>
        <v/>
      </c>
    </row>
    <row r="3305">
      <c r="A3305" s="2" t="n"/>
      <c r="B3305">
        <f>LOWER(TRIM(A3305))</f>
        <v/>
      </c>
      <c r="C3305">
        <f>IF(B3305="","",IFERROR(INDEX('Bad Patterns'!$A$2:$A$120,MATCH(1,INDEX(--ISNUMBER(SEARCH('Bad Patterns'!$A$2:$A$120,B3305)),0),0)),""))</f>
        <v/>
      </c>
      <c r="D3305">
        <f>IF(B3305="","",IF(C3305&lt;&gt;"","REMOVE","KEEP"))</f>
        <v/>
      </c>
      <c r="E3305">
        <f>IF(D3305&lt;&gt;"KEEP","",IF(RIGHT(B3305,10)="@gmail.com","Gmail",IF(OR(RIGHT(B3305,12)="@outlook.com",RIGHT(B3305,12)="@hotmail.com",RIGHT(B3305,9)="@live.com"),"Outlook","Domain")))</f>
        <v/>
      </c>
      <c r="F3305">
        <f>IF(B3305="","",IFERROR(RIGHT(B3305,LEN(B3305)-FIND("@",B3305)),""))</f>
        <v/>
      </c>
      <c r="G3305">
        <f>IF(D3305="KEEP",COUNTIF($D$2:D3305,"KEEP"),"")</f>
        <v/>
      </c>
      <c r="H3305">
        <f>IF(D3305="REMOVE",COUNTIF($D$2:D3305,"REMOVE"),"")</f>
        <v/>
      </c>
      <c r="I3305">
        <f>IF(E3305="Gmail",COUNTIF($E$2:E3305,"Gmail"),"")</f>
        <v/>
      </c>
      <c r="J3305">
        <f>IF(E3305="Outlook",COUNTIF($E$2:E3305,"Outlook"),"")</f>
        <v/>
      </c>
      <c r="K3305">
        <f>IF(E3305="Domain",COUNTIF($E$2:E3305,"Domain"),"")</f>
        <v/>
      </c>
    </row>
    <row r="3306">
      <c r="A3306" s="2" t="n"/>
      <c r="B3306">
        <f>LOWER(TRIM(A3306))</f>
        <v/>
      </c>
      <c r="C3306">
        <f>IF(B3306="","",IFERROR(INDEX('Bad Patterns'!$A$2:$A$120,MATCH(1,INDEX(--ISNUMBER(SEARCH('Bad Patterns'!$A$2:$A$120,B3306)),0),0)),""))</f>
        <v/>
      </c>
      <c r="D3306">
        <f>IF(B3306="","",IF(C3306&lt;&gt;"","REMOVE","KEEP"))</f>
        <v/>
      </c>
      <c r="E3306">
        <f>IF(D3306&lt;&gt;"KEEP","",IF(RIGHT(B3306,10)="@gmail.com","Gmail",IF(OR(RIGHT(B3306,12)="@outlook.com",RIGHT(B3306,12)="@hotmail.com",RIGHT(B3306,9)="@live.com"),"Outlook","Domain")))</f>
        <v/>
      </c>
      <c r="F3306">
        <f>IF(B3306="","",IFERROR(RIGHT(B3306,LEN(B3306)-FIND("@",B3306)),""))</f>
        <v/>
      </c>
      <c r="G3306">
        <f>IF(D3306="KEEP",COUNTIF($D$2:D3306,"KEEP"),"")</f>
        <v/>
      </c>
      <c r="H3306">
        <f>IF(D3306="REMOVE",COUNTIF($D$2:D3306,"REMOVE"),"")</f>
        <v/>
      </c>
      <c r="I3306">
        <f>IF(E3306="Gmail",COUNTIF($E$2:E3306,"Gmail"),"")</f>
        <v/>
      </c>
      <c r="J3306">
        <f>IF(E3306="Outlook",COUNTIF($E$2:E3306,"Outlook"),"")</f>
        <v/>
      </c>
      <c r="K3306">
        <f>IF(E3306="Domain",COUNTIF($E$2:E3306,"Domain"),"")</f>
        <v/>
      </c>
    </row>
    <row r="3307">
      <c r="A3307" s="2" t="n"/>
      <c r="B3307">
        <f>LOWER(TRIM(A3307))</f>
        <v/>
      </c>
      <c r="C3307">
        <f>IF(B3307="","",IFERROR(INDEX('Bad Patterns'!$A$2:$A$120,MATCH(1,INDEX(--ISNUMBER(SEARCH('Bad Patterns'!$A$2:$A$120,B3307)),0),0)),""))</f>
        <v/>
      </c>
      <c r="D3307">
        <f>IF(B3307="","",IF(C3307&lt;&gt;"","REMOVE","KEEP"))</f>
        <v/>
      </c>
      <c r="E3307">
        <f>IF(D3307&lt;&gt;"KEEP","",IF(RIGHT(B3307,10)="@gmail.com","Gmail",IF(OR(RIGHT(B3307,12)="@outlook.com",RIGHT(B3307,12)="@hotmail.com",RIGHT(B3307,9)="@live.com"),"Outlook","Domain")))</f>
        <v/>
      </c>
      <c r="F3307">
        <f>IF(B3307="","",IFERROR(RIGHT(B3307,LEN(B3307)-FIND("@",B3307)),""))</f>
        <v/>
      </c>
      <c r="G3307">
        <f>IF(D3307="KEEP",COUNTIF($D$2:D3307,"KEEP"),"")</f>
        <v/>
      </c>
      <c r="H3307">
        <f>IF(D3307="REMOVE",COUNTIF($D$2:D3307,"REMOVE"),"")</f>
        <v/>
      </c>
      <c r="I3307">
        <f>IF(E3307="Gmail",COUNTIF($E$2:E3307,"Gmail"),"")</f>
        <v/>
      </c>
      <c r="J3307">
        <f>IF(E3307="Outlook",COUNTIF($E$2:E3307,"Outlook"),"")</f>
        <v/>
      </c>
      <c r="K3307">
        <f>IF(E3307="Domain",COUNTIF($E$2:E3307,"Domain"),"")</f>
        <v/>
      </c>
    </row>
    <row r="3308">
      <c r="A3308" s="2" t="n"/>
      <c r="B3308">
        <f>LOWER(TRIM(A3308))</f>
        <v/>
      </c>
      <c r="C3308">
        <f>IF(B3308="","",IFERROR(INDEX('Bad Patterns'!$A$2:$A$120,MATCH(1,INDEX(--ISNUMBER(SEARCH('Bad Patterns'!$A$2:$A$120,B3308)),0),0)),""))</f>
        <v/>
      </c>
      <c r="D3308">
        <f>IF(B3308="","",IF(C3308&lt;&gt;"","REMOVE","KEEP"))</f>
        <v/>
      </c>
      <c r="E3308">
        <f>IF(D3308&lt;&gt;"KEEP","",IF(RIGHT(B3308,10)="@gmail.com","Gmail",IF(OR(RIGHT(B3308,12)="@outlook.com",RIGHT(B3308,12)="@hotmail.com",RIGHT(B3308,9)="@live.com"),"Outlook","Domain")))</f>
        <v/>
      </c>
      <c r="F3308">
        <f>IF(B3308="","",IFERROR(RIGHT(B3308,LEN(B3308)-FIND("@",B3308)),""))</f>
        <v/>
      </c>
      <c r="G3308">
        <f>IF(D3308="KEEP",COUNTIF($D$2:D3308,"KEEP"),"")</f>
        <v/>
      </c>
      <c r="H3308">
        <f>IF(D3308="REMOVE",COUNTIF($D$2:D3308,"REMOVE"),"")</f>
        <v/>
      </c>
      <c r="I3308">
        <f>IF(E3308="Gmail",COUNTIF($E$2:E3308,"Gmail"),"")</f>
        <v/>
      </c>
      <c r="J3308">
        <f>IF(E3308="Outlook",COUNTIF($E$2:E3308,"Outlook"),"")</f>
        <v/>
      </c>
      <c r="K3308">
        <f>IF(E3308="Domain",COUNTIF($E$2:E3308,"Domain"),"")</f>
        <v/>
      </c>
    </row>
    <row r="3309">
      <c r="A3309" s="2" t="n"/>
      <c r="B3309">
        <f>LOWER(TRIM(A3309))</f>
        <v/>
      </c>
      <c r="C3309">
        <f>IF(B3309="","",IFERROR(INDEX('Bad Patterns'!$A$2:$A$120,MATCH(1,INDEX(--ISNUMBER(SEARCH('Bad Patterns'!$A$2:$A$120,B3309)),0),0)),""))</f>
        <v/>
      </c>
      <c r="D3309">
        <f>IF(B3309="","",IF(C3309&lt;&gt;"","REMOVE","KEEP"))</f>
        <v/>
      </c>
      <c r="E3309">
        <f>IF(D3309&lt;&gt;"KEEP","",IF(RIGHT(B3309,10)="@gmail.com","Gmail",IF(OR(RIGHT(B3309,12)="@outlook.com",RIGHT(B3309,12)="@hotmail.com",RIGHT(B3309,9)="@live.com"),"Outlook","Domain")))</f>
        <v/>
      </c>
      <c r="F3309">
        <f>IF(B3309="","",IFERROR(RIGHT(B3309,LEN(B3309)-FIND("@",B3309)),""))</f>
        <v/>
      </c>
      <c r="G3309">
        <f>IF(D3309="KEEP",COUNTIF($D$2:D3309,"KEEP"),"")</f>
        <v/>
      </c>
      <c r="H3309">
        <f>IF(D3309="REMOVE",COUNTIF($D$2:D3309,"REMOVE"),"")</f>
        <v/>
      </c>
      <c r="I3309">
        <f>IF(E3309="Gmail",COUNTIF($E$2:E3309,"Gmail"),"")</f>
        <v/>
      </c>
      <c r="J3309">
        <f>IF(E3309="Outlook",COUNTIF($E$2:E3309,"Outlook"),"")</f>
        <v/>
      </c>
      <c r="K3309">
        <f>IF(E3309="Domain",COUNTIF($E$2:E3309,"Domain"),"")</f>
        <v/>
      </c>
    </row>
    <row r="3310">
      <c r="A3310" s="2" t="n"/>
      <c r="B3310">
        <f>LOWER(TRIM(A3310))</f>
        <v/>
      </c>
      <c r="C3310">
        <f>IF(B3310="","",IFERROR(INDEX('Bad Patterns'!$A$2:$A$120,MATCH(1,INDEX(--ISNUMBER(SEARCH('Bad Patterns'!$A$2:$A$120,B3310)),0),0)),""))</f>
        <v/>
      </c>
      <c r="D3310">
        <f>IF(B3310="","",IF(C3310&lt;&gt;"","REMOVE","KEEP"))</f>
        <v/>
      </c>
      <c r="E3310">
        <f>IF(D3310&lt;&gt;"KEEP","",IF(RIGHT(B3310,10)="@gmail.com","Gmail",IF(OR(RIGHT(B3310,12)="@outlook.com",RIGHT(B3310,12)="@hotmail.com",RIGHT(B3310,9)="@live.com"),"Outlook","Domain")))</f>
        <v/>
      </c>
      <c r="F3310">
        <f>IF(B3310="","",IFERROR(RIGHT(B3310,LEN(B3310)-FIND("@",B3310)),""))</f>
        <v/>
      </c>
      <c r="G3310">
        <f>IF(D3310="KEEP",COUNTIF($D$2:D3310,"KEEP"),"")</f>
        <v/>
      </c>
      <c r="H3310">
        <f>IF(D3310="REMOVE",COUNTIF($D$2:D3310,"REMOVE"),"")</f>
        <v/>
      </c>
      <c r="I3310">
        <f>IF(E3310="Gmail",COUNTIF($E$2:E3310,"Gmail"),"")</f>
        <v/>
      </c>
      <c r="J3310">
        <f>IF(E3310="Outlook",COUNTIF($E$2:E3310,"Outlook"),"")</f>
        <v/>
      </c>
      <c r="K3310">
        <f>IF(E3310="Domain",COUNTIF($E$2:E3310,"Domain"),"")</f>
        <v/>
      </c>
    </row>
    <row r="3311">
      <c r="A3311" s="2" t="n"/>
      <c r="B3311">
        <f>LOWER(TRIM(A3311))</f>
        <v/>
      </c>
      <c r="C3311">
        <f>IF(B3311="","",IFERROR(INDEX('Bad Patterns'!$A$2:$A$120,MATCH(1,INDEX(--ISNUMBER(SEARCH('Bad Patterns'!$A$2:$A$120,B3311)),0),0)),""))</f>
        <v/>
      </c>
      <c r="D3311">
        <f>IF(B3311="","",IF(C3311&lt;&gt;"","REMOVE","KEEP"))</f>
        <v/>
      </c>
      <c r="E3311">
        <f>IF(D3311&lt;&gt;"KEEP","",IF(RIGHT(B3311,10)="@gmail.com","Gmail",IF(OR(RIGHT(B3311,12)="@outlook.com",RIGHT(B3311,12)="@hotmail.com",RIGHT(B3311,9)="@live.com"),"Outlook","Domain")))</f>
        <v/>
      </c>
      <c r="F3311">
        <f>IF(B3311="","",IFERROR(RIGHT(B3311,LEN(B3311)-FIND("@",B3311)),""))</f>
        <v/>
      </c>
      <c r="G3311">
        <f>IF(D3311="KEEP",COUNTIF($D$2:D3311,"KEEP"),"")</f>
        <v/>
      </c>
      <c r="H3311">
        <f>IF(D3311="REMOVE",COUNTIF($D$2:D3311,"REMOVE"),"")</f>
        <v/>
      </c>
      <c r="I3311">
        <f>IF(E3311="Gmail",COUNTIF($E$2:E3311,"Gmail"),"")</f>
        <v/>
      </c>
      <c r="J3311">
        <f>IF(E3311="Outlook",COUNTIF($E$2:E3311,"Outlook"),"")</f>
        <v/>
      </c>
      <c r="K3311">
        <f>IF(E3311="Domain",COUNTIF($E$2:E3311,"Domain"),"")</f>
        <v/>
      </c>
    </row>
    <row r="3312">
      <c r="A3312" s="2" t="n"/>
      <c r="B3312">
        <f>LOWER(TRIM(A3312))</f>
        <v/>
      </c>
      <c r="C3312">
        <f>IF(B3312="","",IFERROR(INDEX('Bad Patterns'!$A$2:$A$120,MATCH(1,INDEX(--ISNUMBER(SEARCH('Bad Patterns'!$A$2:$A$120,B3312)),0),0)),""))</f>
        <v/>
      </c>
      <c r="D3312">
        <f>IF(B3312="","",IF(C3312&lt;&gt;"","REMOVE","KEEP"))</f>
        <v/>
      </c>
      <c r="E3312">
        <f>IF(D3312&lt;&gt;"KEEP","",IF(RIGHT(B3312,10)="@gmail.com","Gmail",IF(OR(RIGHT(B3312,12)="@outlook.com",RIGHT(B3312,12)="@hotmail.com",RIGHT(B3312,9)="@live.com"),"Outlook","Domain")))</f>
        <v/>
      </c>
      <c r="F3312">
        <f>IF(B3312="","",IFERROR(RIGHT(B3312,LEN(B3312)-FIND("@",B3312)),""))</f>
        <v/>
      </c>
      <c r="G3312">
        <f>IF(D3312="KEEP",COUNTIF($D$2:D3312,"KEEP"),"")</f>
        <v/>
      </c>
      <c r="H3312">
        <f>IF(D3312="REMOVE",COUNTIF($D$2:D3312,"REMOVE"),"")</f>
        <v/>
      </c>
      <c r="I3312">
        <f>IF(E3312="Gmail",COUNTIF($E$2:E3312,"Gmail"),"")</f>
        <v/>
      </c>
      <c r="J3312">
        <f>IF(E3312="Outlook",COUNTIF($E$2:E3312,"Outlook"),"")</f>
        <v/>
      </c>
      <c r="K3312">
        <f>IF(E3312="Domain",COUNTIF($E$2:E3312,"Domain"),"")</f>
        <v/>
      </c>
    </row>
    <row r="3313">
      <c r="A3313" s="2" t="n"/>
      <c r="B3313">
        <f>LOWER(TRIM(A3313))</f>
        <v/>
      </c>
      <c r="C3313">
        <f>IF(B3313="","",IFERROR(INDEX('Bad Patterns'!$A$2:$A$120,MATCH(1,INDEX(--ISNUMBER(SEARCH('Bad Patterns'!$A$2:$A$120,B3313)),0),0)),""))</f>
        <v/>
      </c>
      <c r="D3313">
        <f>IF(B3313="","",IF(C3313&lt;&gt;"","REMOVE","KEEP"))</f>
        <v/>
      </c>
      <c r="E3313">
        <f>IF(D3313&lt;&gt;"KEEP","",IF(RIGHT(B3313,10)="@gmail.com","Gmail",IF(OR(RIGHT(B3313,12)="@outlook.com",RIGHT(B3313,12)="@hotmail.com",RIGHT(B3313,9)="@live.com"),"Outlook","Domain")))</f>
        <v/>
      </c>
      <c r="F3313">
        <f>IF(B3313="","",IFERROR(RIGHT(B3313,LEN(B3313)-FIND("@",B3313)),""))</f>
        <v/>
      </c>
      <c r="G3313">
        <f>IF(D3313="KEEP",COUNTIF($D$2:D3313,"KEEP"),"")</f>
        <v/>
      </c>
      <c r="H3313">
        <f>IF(D3313="REMOVE",COUNTIF($D$2:D3313,"REMOVE"),"")</f>
        <v/>
      </c>
      <c r="I3313">
        <f>IF(E3313="Gmail",COUNTIF($E$2:E3313,"Gmail"),"")</f>
        <v/>
      </c>
      <c r="J3313">
        <f>IF(E3313="Outlook",COUNTIF($E$2:E3313,"Outlook"),"")</f>
        <v/>
      </c>
      <c r="K3313">
        <f>IF(E3313="Domain",COUNTIF($E$2:E3313,"Domain"),"")</f>
        <v/>
      </c>
    </row>
    <row r="3314">
      <c r="A3314" s="2" t="n"/>
      <c r="B3314">
        <f>LOWER(TRIM(A3314))</f>
        <v/>
      </c>
      <c r="C3314">
        <f>IF(B3314="","",IFERROR(INDEX('Bad Patterns'!$A$2:$A$120,MATCH(1,INDEX(--ISNUMBER(SEARCH('Bad Patterns'!$A$2:$A$120,B3314)),0),0)),""))</f>
        <v/>
      </c>
      <c r="D3314">
        <f>IF(B3314="","",IF(C3314&lt;&gt;"","REMOVE","KEEP"))</f>
        <v/>
      </c>
      <c r="E3314">
        <f>IF(D3314&lt;&gt;"KEEP","",IF(RIGHT(B3314,10)="@gmail.com","Gmail",IF(OR(RIGHT(B3314,12)="@outlook.com",RIGHT(B3314,12)="@hotmail.com",RIGHT(B3314,9)="@live.com"),"Outlook","Domain")))</f>
        <v/>
      </c>
      <c r="F3314">
        <f>IF(B3314="","",IFERROR(RIGHT(B3314,LEN(B3314)-FIND("@",B3314)),""))</f>
        <v/>
      </c>
      <c r="G3314">
        <f>IF(D3314="KEEP",COUNTIF($D$2:D3314,"KEEP"),"")</f>
        <v/>
      </c>
      <c r="H3314">
        <f>IF(D3314="REMOVE",COUNTIF($D$2:D3314,"REMOVE"),"")</f>
        <v/>
      </c>
      <c r="I3314">
        <f>IF(E3314="Gmail",COUNTIF($E$2:E3314,"Gmail"),"")</f>
        <v/>
      </c>
      <c r="J3314">
        <f>IF(E3314="Outlook",COUNTIF($E$2:E3314,"Outlook"),"")</f>
        <v/>
      </c>
      <c r="K3314">
        <f>IF(E3314="Domain",COUNTIF($E$2:E3314,"Domain"),"")</f>
        <v/>
      </c>
    </row>
    <row r="3315">
      <c r="A3315" s="2" t="n"/>
      <c r="B3315">
        <f>LOWER(TRIM(A3315))</f>
        <v/>
      </c>
      <c r="C3315">
        <f>IF(B3315="","",IFERROR(INDEX('Bad Patterns'!$A$2:$A$120,MATCH(1,INDEX(--ISNUMBER(SEARCH('Bad Patterns'!$A$2:$A$120,B3315)),0),0)),""))</f>
        <v/>
      </c>
      <c r="D3315">
        <f>IF(B3315="","",IF(C3315&lt;&gt;"","REMOVE","KEEP"))</f>
        <v/>
      </c>
      <c r="E3315">
        <f>IF(D3315&lt;&gt;"KEEP","",IF(RIGHT(B3315,10)="@gmail.com","Gmail",IF(OR(RIGHT(B3315,12)="@outlook.com",RIGHT(B3315,12)="@hotmail.com",RIGHT(B3315,9)="@live.com"),"Outlook","Domain")))</f>
        <v/>
      </c>
      <c r="F3315">
        <f>IF(B3315="","",IFERROR(RIGHT(B3315,LEN(B3315)-FIND("@",B3315)),""))</f>
        <v/>
      </c>
      <c r="G3315">
        <f>IF(D3315="KEEP",COUNTIF($D$2:D3315,"KEEP"),"")</f>
        <v/>
      </c>
      <c r="H3315">
        <f>IF(D3315="REMOVE",COUNTIF($D$2:D3315,"REMOVE"),"")</f>
        <v/>
      </c>
      <c r="I3315">
        <f>IF(E3315="Gmail",COUNTIF($E$2:E3315,"Gmail"),"")</f>
        <v/>
      </c>
      <c r="J3315">
        <f>IF(E3315="Outlook",COUNTIF($E$2:E3315,"Outlook"),"")</f>
        <v/>
      </c>
      <c r="K3315">
        <f>IF(E3315="Domain",COUNTIF($E$2:E3315,"Domain"),"")</f>
        <v/>
      </c>
    </row>
    <row r="3316">
      <c r="A3316" s="2" t="n"/>
      <c r="B3316">
        <f>LOWER(TRIM(A3316))</f>
        <v/>
      </c>
      <c r="C3316">
        <f>IF(B3316="","",IFERROR(INDEX('Bad Patterns'!$A$2:$A$120,MATCH(1,INDEX(--ISNUMBER(SEARCH('Bad Patterns'!$A$2:$A$120,B3316)),0),0)),""))</f>
        <v/>
      </c>
      <c r="D3316">
        <f>IF(B3316="","",IF(C3316&lt;&gt;"","REMOVE","KEEP"))</f>
        <v/>
      </c>
      <c r="E3316">
        <f>IF(D3316&lt;&gt;"KEEP","",IF(RIGHT(B3316,10)="@gmail.com","Gmail",IF(OR(RIGHT(B3316,12)="@outlook.com",RIGHT(B3316,12)="@hotmail.com",RIGHT(B3316,9)="@live.com"),"Outlook","Domain")))</f>
        <v/>
      </c>
      <c r="F3316">
        <f>IF(B3316="","",IFERROR(RIGHT(B3316,LEN(B3316)-FIND("@",B3316)),""))</f>
        <v/>
      </c>
      <c r="G3316">
        <f>IF(D3316="KEEP",COUNTIF($D$2:D3316,"KEEP"),"")</f>
        <v/>
      </c>
      <c r="H3316">
        <f>IF(D3316="REMOVE",COUNTIF($D$2:D3316,"REMOVE"),"")</f>
        <v/>
      </c>
      <c r="I3316">
        <f>IF(E3316="Gmail",COUNTIF($E$2:E3316,"Gmail"),"")</f>
        <v/>
      </c>
      <c r="J3316">
        <f>IF(E3316="Outlook",COUNTIF($E$2:E3316,"Outlook"),"")</f>
        <v/>
      </c>
      <c r="K3316">
        <f>IF(E3316="Domain",COUNTIF($E$2:E3316,"Domain"),"")</f>
        <v/>
      </c>
    </row>
    <row r="3317">
      <c r="A3317" s="2" t="n"/>
      <c r="B3317">
        <f>LOWER(TRIM(A3317))</f>
        <v/>
      </c>
      <c r="C3317">
        <f>IF(B3317="","",IFERROR(INDEX('Bad Patterns'!$A$2:$A$120,MATCH(1,INDEX(--ISNUMBER(SEARCH('Bad Patterns'!$A$2:$A$120,B3317)),0),0)),""))</f>
        <v/>
      </c>
      <c r="D3317">
        <f>IF(B3317="","",IF(C3317&lt;&gt;"","REMOVE","KEEP"))</f>
        <v/>
      </c>
      <c r="E3317">
        <f>IF(D3317&lt;&gt;"KEEP","",IF(RIGHT(B3317,10)="@gmail.com","Gmail",IF(OR(RIGHT(B3317,12)="@outlook.com",RIGHT(B3317,12)="@hotmail.com",RIGHT(B3317,9)="@live.com"),"Outlook","Domain")))</f>
        <v/>
      </c>
      <c r="F3317">
        <f>IF(B3317="","",IFERROR(RIGHT(B3317,LEN(B3317)-FIND("@",B3317)),""))</f>
        <v/>
      </c>
      <c r="G3317">
        <f>IF(D3317="KEEP",COUNTIF($D$2:D3317,"KEEP"),"")</f>
        <v/>
      </c>
      <c r="H3317">
        <f>IF(D3317="REMOVE",COUNTIF($D$2:D3317,"REMOVE"),"")</f>
        <v/>
      </c>
      <c r="I3317">
        <f>IF(E3317="Gmail",COUNTIF($E$2:E3317,"Gmail"),"")</f>
        <v/>
      </c>
      <c r="J3317">
        <f>IF(E3317="Outlook",COUNTIF($E$2:E3317,"Outlook"),"")</f>
        <v/>
      </c>
      <c r="K3317">
        <f>IF(E3317="Domain",COUNTIF($E$2:E3317,"Domain"),"")</f>
        <v/>
      </c>
    </row>
    <row r="3318">
      <c r="A3318" s="2" t="n"/>
      <c r="B3318">
        <f>LOWER(TRIM(A3318))</f>
        <v/>
      </c>
      <c r="C3318">
        <f>IF(B3318="","",IFERROR(INDEX('Bad Patterns'!$A$2:$A$120,MATCH(1,INDEX(--ISNUMBER(SEARCH('Bad Patterns'!$A$2:$A$120,B3318)),0),0)),""))</f>
        <v/>
      </c>
      <c r="D3318">
        <f>IF(B3318="","",IF(C3318&lt;&gt;"","REMOVE","KEEP"))</f>
        <v/>
      </c>
      <c r="E3318">
        <f>IF(D3318&lt;&gt;"KEEP","",IF(RIGHT(B3318,10)="@gmail.com","Gmail",IF(OR(RIGHT(B3318,12)="@outlook.com",RIGHT(B3318,12)="@hotmail.com",RIGHT(B3318,9)="@live.com"),"Outlook","Domain")))</f>
        <v/>
      </c>
      <c r="F3318">
        <f>IF(B3318="","",IFERROR(RIGHT(B3318,LEN(B3318)-FIND("@",B3318)),""))</f>
        <v/>
      </c>
      <c r="G3318">
        <f>IF(D3318="KEEP",COUNTIF($D$2:D3318,"KEEP"),"")</f>
        <v/>
      </c>
      <c r="H3318">
        <f>IF(D3318="REMOVE",COUNTIF($D$2:D3318,"REMOVE"),"")</f>
        <v/>
      </c>
      <c r="I3318">
        <f>IF(E3318="Gmail",COUNTIF($E$2:E3318,"Gmail"),"")</f>
        <v/>
      </c>
      <c r="J3318">
        <f>IF(E3318="Outlook",COUNTIF($E$2:E3318,"Outlook"),"")</f>
        <v/>
      </c>
      <c r="K3318">
        <f>IF(E3318="Domain",COUNTIF($E$2:E3318,"Domain"),"")</f>
        <v/>
      </c>
    </row>
    <row r="3319">
      <c r="A3319" s="2" t="n"/>
      <c r="B3319">
        <f>LOWER(TRIM(A3319))</f>
        <v/>
      </c>
      <c r="C3319">
        <f>IF(B3319="","",IFERROR(INDEX('Bad Patterns'!$A$2:$A$120,MATCH(1,INDEX(--ISNUMBER(SEARCH('Bad Patterns'!$A$2:$A$120,B3319)),0),0)),""))</f>
        <v/>
      </c>
      <c r="D3319">
        <f>IF(B3319="","",IF(C3319&lt;&gt;"","REMOVE","KEEP"))</f>
        <v/>
      </c>
      <c r="E3319">
        <f>IF(D3319&lt;&gt;"KEEP","",IF(RIGHT(B3319,10)="@gmail.com","Gmail",IF(OR(RIGHT(B3319,12)="@outlook.com",RIGHT(B3319,12)="@hotmail.com",RIGHT(B3319,9)="@live.com"),"Outlook","Domain")))</f>
        <v/>
      </c>
      <c r="F3319">
        <f>IF(B3319="","",IFERROR(RIGHT(B3319,LEN(B3319)-FIND("@",B3319)),""))</f>
        <v/>
      </c>
      <c r="G3319">
        <f>IF(D3319="KEEP",COUNTIF($D$2:D3319,"KEEP"),"")</f>
        <v/>
      </c>
      <c r="H3319">
        <f>IF(D3319="REMOVE",COUNTIF($D$2:D3319,"REMOVE"),"")</f>
        <v/>
      </c>
      <c r="I3319">
        <f>IF(E3319="Gmail",COUNTIF($E$2:E3319,"Gmail"),"")</f>
        <v/>
      </c>
      <c r="J3319">
        <f>IF(E3319="Outlook",COUNTIF($E$2:E3319,"Outlook"),"")</f>
        <v/>
      </c>
      <c r="K3319">
        <f>IF(E3319="Domain",COUNTIF($E$2:E3319,"Domain"),"")</f>
        <v/>
      </c>
    </row>
    <row r="3320">
      <c r="A3320" s="2" t="n"/>
      <c r="B3320">
        <f>LOWER(TRIM(A3320))</f>
        <v/>
      </c>
      <c r="C3320">
        <f>IF(B3320="","",IFERROR(INDEX('Bad Patterns'!$A$2:$A$120,MATCH(1,INDEX(--ISNUMBER(SEARCH('Bad Patterns'!$A$2:$A$120,B3320)),0),0)),""))</f>
        <v/>
      </c>
      <c r="D3320">
        <f>IF(B3320="","",IF(C3320&lt;&gt;"","REMOVE","KEEP"))</f>
        <v/>
      </c>
      <c r="E3320">
        <f>IF(D3320&lt;&gt;"KEEP","",IF(RIGHT(B3320,10)="@gmail.com","Gmail",IF(OR(RIGHT(B3320,12)="@outlook.com",RIGHT(B3320,12)="@hotmail.com",RIGHT(B3320,9)="@live.com"),"Outlook","Domain")))</f>
        <v/>
      </c>
      <c r="F3320">
        <f>IF(B3320="","",IFERROR(RIGHT(B3320,LEN(B3320)-FIND("@",B3320)),""))</f>
        <v/>
      </c>
      <c r="G3320">
        <f>IF(D3320="KEEP",COUNTIF($D$2:D3320,"KEEP"),"")</f>
        <v/>
      </c>
      <c r="H3320">
        <f>IF(D3320="REMOVE",COUNTIF($D$2:D3320,"REMOVE"),"")</f>
        <v/>
      </c>
      <c r="I3320">
        <f>IF(E3320="Gmail",COUNTIF($E$2:E3320,"Gmail"),"")</f>
        <v/>
      </c>
      <c r="J3320">
        <f>IF(E3320="Outlook",COUNTIF($E$2:E3320,"Outlook"),"")</f>
        <v/>
      </c>
      <c r="K3320">
        <f>IF(E3320="Domain",COUNTIF($E$2:E3320,"Domain"),"")</f>
        <v/>
      </c>
    </row>
    <row r="3321">
      <c r="A3321" s="2" t="n"/>
      <c r="B3321">
        <f>LOWER(TRIM(A3321))</f>
        <v/>
      </c>
      <c r="C3321">
        <f>IF(B3321="","",IFERROR(INDEX('Bad Patterns'!$A$2:$A$120,MATCH(1,INDEX(--ISNUMBER(SEARCH('Bad Patterns'!$A$2:$A$120,B3321)),0),0)),""))</f>
        <v/>
      </c>
      <c r="D3321">
        <f>IF(B3321="","",IF(C3321&lt;&gt;"","REMOVE","KEEP"))</f>
        <v/>
      </c>
      <c r="E3321">
        <f>IF(D3321&lt;&gt;"KEEP","",IF(RIGHT(B3321,10)="@gmail.com","Gmail",IF(OR(RIGHT(B3321,12)="@outlook.com",RIGHT(B3321,12)="@hotmail.com",RIGHT(B3321,9)="@live.com"),"Outlook","Domain")))</f>
        <v/>
      </c>
      <c r="F3321">
        <f>IF(B3321="","",IFERROR(RIGHT(B3321,LEN(B3321)-FIND("@",B3321)),""))</f>
        <v/>
      </c>
      <c r="G3321">
        <f>IF(D3321="KEEP",COUNTIF($D$2:D3321,"KEEP"),"")</f>
        <v/>
      </c>
      <c r="H3321">
        <f>IF(D3321="REMOVE",COUNTIF($D$2:D3321,"REMOVE"),"")</f>
        <v/>
      </c>
      <c r="I3321">
        <f>IF(E3321="Gmail",COUNTIF($E$2:E3321,"Gmail"),"")</f>
        <v/>
      </c>
      <c r="J3321">
        <f>IF(E3321="Outlook",COUNTIF($E$2:E3321,"Outlook"),"")</f>
        <v/>
      </c>
      <c r="K3321">
        <f>IF(E3321="Domain",COUNTIF($E$2:E3321,"Domain"),"")</f>
        <v/>
      </c>
    </row>
    <row r="3322">
      <c r="A3322" s="2" t="n"/>
      <c r="B3322">
        <f>LOWER(TRIM(A3322))</f>
        <v/>
      </c>
      <c r="C3322">
        <f>IF(B3322="","",IFERROR(INDEX('Bad Patterns'!$A$2:$A$120,MATCH(1,INDEX(--ISNUMBER(SEARCH('Bad Patterns'!$A$2:$A$120,B3322)),0),0)),""))</f>
        <v/>
      </c>
      <c r="D3322">
        <f>IF(B3322="","",IF(C3322&lt;&gt;"","REMOVE","KEEP"))</f>
        <v/>
      </c>
      <c r="E3322">
        <f>IF(D3322&lt;&gt;"KEEP","",IF(RIGHT(B3322,10)="@gmail.com","Gmail",IF(OR(RIGHT(B3322,12)="@outlook.com",RIGHT(B3322,12)="@hotmail.com",RIGHT(B3322,9)="@live.com"),"Outlook","Domain")))</f>
        <v/>
      </c>
      <c r="F3322">
        <f>IF(B3322="","",IFERROR(RIGHT(B3322,LEN(B3322)-FIND("@",B3322)),""))</f>
        <v/>
      </c>
      <c r="G3322">
        <f>IF(D3322="KEEP",COUNTIF($D$2:D3322,"KEEP"),"")</f>
        <v/>
      </c>
      <c r="H3322">
        <f>IF(D3322="REMOVE",COUNTIF($D$2:D3322,"REMOVE"),"")</f>
        <v/>
      </c>
      <c r="I3322">
        <f>IF(E3322="Gmail",COUNTIF($E$2:E3322,"Gmail"),"")</f>
        <v/>
      </c>
      <c r="J3322">
        <f>IF(E3322="Outlook",COUNTIF($E$2:E3322,"Outlook"),"")</f>
        <v/>
      </c>
      <c r="K3322">
        <f>IF(E3322="Domain",COUNTIF($E$2:E3322,"Domain"),"")</f>
        <v/>
      </c>
    </row>
    <row r="3323">
      <c r="A3323" s="2" t="n"/>
      <c r="B3323">
        <f>LOWER(TRIM(A3323))</f>
        <v/>
      </c>
      <c r="C3323">
        <f>IF(B3323="","",IFERROR(INDEX('Bad Patterns'!$A$2:$A$120,MATCH(1,INDEX(--ISNUMBER(SEARCH('Bad Patterns'!$A$2:$A$120,B3323)),0),0)),""))</f>
        <v/>
      </c>
      <c r="D3323">
        <f>IF(B3323="","",IF(C3323&lt;&gt;"","REMOVE","KEEP"))</f>
        <v/>
      </c>
      <c r="E3323">
        <f>IF(D3323&lt;&gt;"KEEP","",IF(RIGHT(B3323,10)="@gmail.com","Gmail",IF(OR(RIGHT(B3323,12)="@outlook.com",RIGHT(B3323,12)="@hotmail.com",RIGHT(B3323,9)="@live.com"),"Outlook","Domain")))</f>
        <v/>
      </c>
      <c r="F3323">
        <f>IF(B3323="","",IFERROR(RIGHT(B3323,LEN(B3323)-FIND("@",B3323)),""))</f>
        <v/>
      </c>
      <c r="G3323">
        <f>IF(D3323="KEEP",COUNTIF($D$2:D3323,"KEEP"),"")</f>
        <v/>
      </c>
      <c r="H3323">
        <f>IF(D3323="REMOVE",COUNTIF($D$2:D3323,"REMOVE"),"")</f>
        <v/>
      </c>
      <c r="I3323">
        <f>IF(E3323="Gmail",COUNTIF($E$2:E3323,"Gmail"),"")</f>
        <v/>
      </c>
      <c r="J3323">
        <f>IF(E3323="Outlook",COUNTIF($E$2:E3323,"Outlook"),"")</f>
        <v/>
      </c>
      <c r="K3323">
        <f>IF(E3323="Domain",COUNTIF($E$2:E3323,"Domain"),"")</f>
        <v/>
      </c>
    </row>
    <row r="3324">
      <c r="A3324" s="2" t="n"/>
      <c r="B3324">
        <f>LOWER(TRIM(A3324))</f>
        <v/>
      </c>
      <c r="C3324">
        <f>IF(B3324="","",IFERROR(INDEX('Bad Patterns'!$A$2:$A$120,MATCH(1,INDEX(--ISNUMBER(SEARCH('Bad Patterns'!$A$2:$A$120,B3324)),0),0)),""))</f>
        <v/>
      </c>
      <c r="D3324">
        <f>IF(B3324="","",IF(C3324&lt;&gt;"","REMOVE","KEEP"))</f>
        <v/>
      </c>
      <c r="E3324">
        <f>IF(D3324&lt;&gt;"KEEP","",IF(RIGHT(B3324,10)="@gmail.com","Gmail",IF(OR(RIGHT(B3324,12)="@outlook.com",RIGHT(B3324,12)="@hotmail.com",RIGHT(B3324,9)="@live.com"),"Outlook","Domain")))</f>
        <v/>
      </c>
      <c r="F3324">
        <f>IF(B3324="","",IFERROR(RIGHT(B3324,LEN(B3324)-FIND("@",B3324)),""))</f>
        <v/>
      </c>
      <c r="G3324">
        <f>IF(D3324="KEEP",COUNTIF($D$2:D3324,"KEEP"),"")</f>
        <v/>
      </c>
      <c r="H3324">
        <f>IF(D3324="REMOVE",COUNTIF($D$2:D3324,"REMOVE"),"")</f>
        <v/>
      </c>
      <c r="I3324">
        <f>IF(E3324="Gmail",COUNTIF($E$2:E3324,"Gmail"),"")</f>
        <v/>
      </c>
      <c r="J3324">
        <f>IF(E3324="Outlook",COUNTIF($E$2:E3324,"Outlook"),"")</f>
        <v/>
      </c>
      <c r="K3324">
        <f>IF(E3324="Domain",COUNTIF($E$2:E3324,"Domain"),"")</f>
        <v/>
      </c>
    </row>
    <row r="3325">
      <c r="A3325" s="2" t="n"/>
      <c r="B3325">
        <f>LOWER(TRIM(A3325))</f>
        <v/>
      </c>
      <c r="C3325">
        <f>IF(B3325="","",IFERROR(INDEX('Bad Patterns'!$A$2:$A$120,MATCH(1,INDEX(--ISNUMBER(SEARCH('Bad Patterns'!$A$2:$A$120,B3325)),0),0)),""))</f>
        <v/>
      </c>
      <c r="D3325">
        <f>IF(B3325="","",IF(C3325&lt;&gt;"","REMOVE","KEEP"))</f>
        <v/>
      </c>
      <c r="E3325">
        <f>IF(D3325&lt;&gt;"KEEP","",IF(RIGHT(B3325,10)="@gmail.com","Gmail",IF(OR(RIGHT(B3325,12)="@outlook.com",RIGHT(B3325,12)="@hotmail.com",RIGHT(B3325,9)="@live.com"),"Outlook","Domain")))</f>
        <v/>
      </c>
      <c r="F3325">
        <f>IF(B3325="","",IFERROR(RIGHT(B3325,LEN(B3325)-FIND("@",B3325)),""))</f>
        <v/>
      </c>
      <c r="G3325">
        <f>IF(D3325="KEEP",COUNTIF($D$2:D3325,"KEEP"),"")</f>
        <v/>
      </c>
      <c r="H3325">
        <f>IF(D3325="REMOVE",COUNTIF($D$2:D3325,"REMOVE"),"")</f>
        <v/>
      </c>
      <c r="I3325">
        <f>IF(E3325="Gmail",COUNTIF($E$2:E3325,"Gmail"),"")</f>
        <v/>
      </c>
      <c r="J3325">
        <f>IF(E3325="Outlook",COUNTIF($E$2:E3325,"Outlook"),"")</f>
        <v/>
      </c>
      <c r="K3325">
        <f>IF(E3325="Domain",COUNTIF($E$2:E3325,"Domain"),"")</f>
        <v/>
      </c>
    </row>
    <row r="3326">
      <c r="A3326" s="2" t="n"/>
      <c r="B3326">
        <f>LOWER(TRIM(A3326))</f>
        <v/>
      </c>
      <c r="C3326">
        <f>IF(B3326="","",IFERROR(INDEX('Bad Patterns'!$A$2:$A$120,MATCH(1,INDEX(--ISNUMBER(SEARCH('Bad Patterns'!$A$2:$A$120,B3326)),0),0)),""))</f>
        <v/>
      </c>
      <c r="D3326">
        <f>IF(B3326="","",IF(C3326&lt;&gt;"","REMOVE","KEEP"))</f>
        <v/>
      </c>
      <c r="E3326">
        <f>IF(D3326&lt;&gt;"KEEP","",IF(RIGHT(B3326,10)="@gmail.com","Gmail",IF(OR(RIGHT(B3326,12)="@outlook.com",RIGHT(B3326,12)="@hotmail.com",RIGHT(B3326,9)="@live.com"),"Outlook","Domain")))</f>
        <v/>
      </c>
      <c r="F3326">
        <f>IF(B3326="","",IFERROR(RIGHT(B3326,LEN(B3326)-FIND("@",B3326)),""))</f>
        <v/>
      </c>
      <c r="G3326">
        <f>IF(D3326="KEEP",COUNTIF($D$2:D3326,"KEEP"),"")</f>
        <v/>
      </c>
      <c r="H3326">
        <f>IF(D3326="REMOVE",COUNTIF($D$2:D3326,"REMOVE"),"")</f>
        <v/>
      </c>
      <c r="I3326">
        <f>IF(E3326="Gmail",COUNTIF($E$2:E3326,"Gmail"),"")</f>
        <v/>
      </c>
      <c r="J3326">
        <f>IF(E3326="Outlook",COUNTIF($E$2:E3326,"Outlook"),"")</f>
        <v/>
      </c>
      <c r="K3326">
        <f>IF(E3326="Domain",COUNTIF($E$2:E3326,"Domain"),"")</f>
        <v/>
      </c>
    </row>
    <row r="3327">
      <c r="A3327" s="2" t="n"/>
      <c r="B3327">
        <f>LOWER(TRIM(A3327))</f>
        <v/>
      </c>
      <c r="C3327">
        <f>IF(B3327="","",IFERROR(INDEX('Bad Patterns'!$A$2:$A$120,MATCH(1,INDEX(--ISNUMBER(SEARCH('Bad Patterns'!$A$2:$A$120,B3327)),0),0)),""))</f>
        <v/>
      </c>
      <c r="D3327">
        <f>IF(B3327="","",IF(C3327&lt;&gt;"","REMOVE","KEEP"))</f>
        <v/>
      </c>
      <c r="E3327">
        <f>IF(D3327&lt;&gt;"KEEP","",IF(RIGHT(B3327,10)="@gmail.com","Gmail",IF(OR(RIGHT(B3327,12)="@outlook.com",RIGHT(B3327,12)="@hotmail.com",RIGHT(B3327,9)="@live.com"),"Outlook","Domain")))</f>
        <v/>
      </c>
      <c r="F3327">
        <f>IF(B3327="","",IFERROR(RIGHT(B3327,LEN(B3327)-FIND("@",B3327)),""))</f>
        <v/>
      </c>
      <c r="G3327">
        <f>IF(D3327="KEEP",COUNTIF($D$2:D3327,"KEEP"),"")</f>
        <v/>
      </c>
      <c r="H3327">
        <f>IF(D3327="REMOVE",COUNTIF($D$2:D3327,"REMOVE"),"")</f>
        <v/>
      </c>
      <c r="I3327">
        <f>IF(E3327="Gmail",COUNTIF($E$2:E3327,"Gmail"),"")</f>
        <v/>
      </c>
      <c r="J3327">
        <f>IF(E3327="Outlook",COUNTIF($E$2:E3327,"Outlook"),"")</f>
        <v/>
      </c>
      <c r="K3327">
        <f>IF(E3327="Domain",COUNTIF($E$2:E3327,"Domain"),"")</f>
        <v/>
      </c>
    </row>
    <row r="3328">
      <c r="A3328" s="2" t="n"/>
      <c r="B3328">
        <f>LOWER(TRIM(A3328))</f>
        <v/>
      </c>
      <c r="C3328">
        <f>IF(B3328="","",IFERROR(INDEX('Bad Patterns'!$A$2:$A$120,MATCH(1,INDEX(--ISNUMBER(SEARCH('Bad Patterns'!$A$2:$A$120,B3328)),0),0)),""))</f>
        <v/>
      </c>
      <c r="D3328">
        <f>IF(B3328="","",IF(C3328&lt;&gt;"","REMOVE","KEEP"))</f>
        <v/>
      </c>
      <c r="E3328">
        <f>IF(D3328&lt;&gt;"KEEP","",IF(RIGHT(B3328,10)="@gmail.com","Gmail",IF(OR(RIGHT(B3328,12)="@outlook.com",RIGHT(B3328,12)="@hotmail.com",RIGHT(B3328,9)="@live.com"),"Outlook","Domain")))</f>
        <v/>
      </c>
      <c r="F3328">
        <f>IF(B3328="","",IFERROR(RIGHT(B3328,LEN(B3328)-FIND("@",B3328)),""))</f>
        <v/>
      </c>
      <c r="G3328">
        <f>IF(D3328="KEEP",COUNTIF($D$2:D3328,"KEEP"),"")</f>
        <v/>
      </c>
      <c r="H3328">
        <f>IF(D3328="REMOVE",COUNTIF($D$2:D3328,"REMOVE"),"")</f>
        <v/>
      </c>
      <c r="I3328">
        <f>IF(E3328="Gmail",COUNTIF($E$2:E3328,"Gmail"),"")</f>
        <v/>
      </c>
      <c r="J3328">
        <f>IF(E3328="Outlook",COUNTIF($E$2:E3328,"Outlook"),"")</f>
        <v/>
      </c>
      <c r="K3328">
        <f>IF(E3328="Domain",COUNTIF($E$2:E3328,"Domain"),"")</f>
        <v/>
      </c>
    </row>
    <row r="3329">
      <c r="A3329" s="2" t="n"/>
      <c r="B3329">
        <f>LOWER(TRIM(A3329))</f>
        <v/>
      </c>
      <c r="C3329">
        <f>IF(B3329="","",IFERROR(INDEX('Bad Patterns'!$A$2:$A$120,MATCH(1,INDEX(--ISNUMBER(SEARCH('Bad Patterns'!$A$2:$A$120,B3329)),0),0)),""))</f>
        <v/>
      </c>
      <c r="D3329">
        <f>IF(B3329="","",IF(C3329&lt;&gt;"","REMOVE","KEEP"))</f>
        <v/>
      </c>
      <c r="E3329">
        <f>IF(D3329&lt;&gt;"KEEP","",IF(RIGHT(B3329,10)="@gmail.com","Gmail",IF(OR(RIGHT(B3329,12)="@outlook.com",RIGHT(B3329,12)="@hotmail.com",RIGHT(B3329,9)="@live.com"),"Outlook","Domain")))</f>
        <v/>
      </c>
      <c r="F3329">
        <f>IF(B3329="","",IFERROR(RIGHT(B3329,LEN(B3329)-FIND("@",B3329)),""))</f>
        <v/>
      </c>
      <c r="G3329">
        <f>IF(D3329="KEEP",COUNTIF($D$2:D3329,"KEEP"),"")</f>
        <v/>
      </c>
      <c r="H3329">
        <f>IF(D3329="REMOVE",COUNTIF($D$2:D3329,"REMOVE"),"")</f>
        <v/>
      </c>
      <c r="I3329">
        <f>IF(E3329="Gmail",COUNTIF($E$2:E3329,"Gmail"),"")</f>
        <v/>
      </c>
      <c r="J3329">
        <f>IF(E3329="Outlook",COUNTIF($E$2:E3329,"Outlook"),"")</f>
        <v/>
      </c>
      <c r="K3329">
        <f>IF(E3329="Domain",COUNTIF($E$2:E3329,"Domain"),"")</f>
        <v/>
      </c>
    </row>
    <row r="3330">
      <c r="A3330" s="2" t="n"/>
      <c r="B3330">
        <f>LOWER(TRIM(A3330))</f>
        <v/>
      </c>
      <c r="C3330">
        <f>IF(B3330="","",IFERROR(INDEX('Bad Patterns'!$A$2:$A$120,MATCH(1,INDEX(--ISNUMBER(SEARCH('Bad Patterns'!$A$2:$A$120,B3330)),0),0)),""))</f>
        <v/>
      </c>
      <c r="D3330">
        <f>IF(B3330="","",IF(C3330&lt;&gt;"","REMOVE","KEEP"))</f>
        <v/>
      </c>
      <c r="E3330">
        <f>IF(D3330&lt;&gt;"KEEP","",IF(RIGHT(B3330,10)="@gmail.com","Gmail",IF(OR(RIGHT(B3330,12)="@outlook.com",RIGHT(B3330,12)="@hotmail.com",RIGHT(B3330,9)="@live.com"),"Outlook","Domain")))</f>
        <v/>
      </c>
      <c r="F3330">
        <f>IF(B3330="","",IFERROR(RIGHT(B3330,LEN(B3330)-FIND("@",B3330)),""))</f>
        <v/>
      </c>
      <c r="G3330">
        <f>IF(D3330="KEEP",COUNTIF($D$2:D3330,"KEEP"),"")</f>
        <v/>
      </c>
      <c r="H3330">
        <f>IF(D3330="REMOVE",COUNTIF($D$2:D3330,"REMOVE"),"")</f>
        <v/>
      </c>
      <c r="I3330">
        <f>IF(E3330="Gmail",COUNTIF($E$2:E3330,"Gmail"),"")</f>
        <v/>
      </c>
      <c r="J3330">
        <f>IF(E3330="Outlook",COUNTIF($E$2:E3330,"Outlook"),"")</f>
        <v/>
      </c>
      <c r="K3330">
        <f>IF(E3330="Domain",COUNTIF($E$2:E3330,"Domain"),"")</f>
        <v/>
      </c>
    </row>
    <row r="3331">
      <c r="A3331" s="2" t="n"/>
      <c r="B3331">
        <f>LOWER(TRIM(A3331))</f>
        <v/>
      </c>
      <c r="C3331">
        <f>IF(B3331="","",IFERROR(INDEX('Bad Patterns'!$A$2:$A$120,MATCH(1,INDEX(--ISNUMBER(SEARCH('Bad Patterns'!$A$2:$A$120,B3331)),0),0)),""))</f>
        <v/>
      </c>
      <c r="D3331">
        <f>IF(B3331="","",IF(C3331&lt;&gt;"","REMOVE","KEEP"))</f>
        <v/>
      </c>
      <c r="E3331">
        <f>IF(D3331&lt;&gt;"KEEP","",IF(RIGHT(B3331,10)="@gmail.com","Gmail",IF(OR(RIGHT(B3331,12)="@outlook.com",RIGHT(B3331,12)="@hotmail.com",RIGHT(B3331,9)="@live.com"),"Outlook","Domain")))</f>
        <v/>
      </c>
      <c r="F3331">
        <f>IF(B3331="","",IFERROR(RIGHT(B3331,LEN(B3331)-FIND("@",B3331)),""))</f>
        <v/>
      </c>
      <c r="G3331">
        <f>IF(D3331="KEEP",COUNTIF($D$2:D3331,"KEEP"),"")</f>
        <v/>
      </c>
      <c r="H3331">
        <f>IF(D3331="REMOVE",COUNTIF($D$2:D3331,"REMOVE"),"")</f>
        <v/>
      </c>
      <c r="I3331">
        <f>IF(E3331="Gmail",COUNTIF($E$2:E3331,"Gmail"),"")</f>
        <v/>
      </c>
      <c r="J3331">
        <f>IF(E3331="Outlook",COUNTIF($E$2:E3331,"Outlook"),"")</f>
        <v/>
      </c>
      <c r="K3331">
        <f>IF(E3331="Domain",COUNTIF($E$2:E3331,"Domain"),"")</f>
        <v/>
      </c>
    </row>
    <row r="3332">
      <c r="A3332" s="2" t="n"/>
      <c r="B3332">
        <f>LOWER(TRIM(A3332))</f>
        <v/>
      </c>
      <c r="C3332">
        <f>IF(B3332="","",IFERROR(INDEX('Bad Patterns'!$A$2:$A$120,MATCH(1,INDEX(--ISNUMBER(SEARCH('Bad Patterns'!$A$2:$A$120,B3332)),0),0)),""))</f>
        <v/>
      </c>
      <c r="D3332">
        <f>IF(B3332="","",IF(C3332&lt;&gt;"","REMOVE","KEEP"))</f>
        <v/>
      </c>
      <c r="E3332">
        <f>IF(D3332&lt;&gt;"KEEP","",IF(RIGHT(B3332,10)="@gmail.com","Gmail",IF(OR(RIGHT(B3332,12)="@outlook.com",RIGHT(B3332,12)="@hotmail.com",RIGHT(B3332,9)="@live.com"),"Outlook","Domain")))</f>
        <v/>
      </c>
      <c r="F3332">
        <f>IF(B3332="","",IFERROR(RIGHT(B3332,LEN(B3332)-FIND("@",B3332)),""))</f>
        <v/>
      </c>
      <c r="G3332">
        <f>IF(D3332="KEEP",COUNTIF($D$2:D3332,"KEEP"),"")</f>
        <v/>
      </c>
      <c r="H3332">
        <f>IF(D3332="REMOVE",COUNTIF($D$2:D3332,"REMOVE"),"")</f>
        <v/>
      </c>
      <c r="I3332">
        <f>IF(E3332="Gmail",COUNTIF($E$2:E3332,"Gmail"),"")</f>
        <v/>
      </c>
      <c r="J3332">
        <f>IF(E3332="Outlook",COUNTIF($E$2:E3332,"Outlook"),"")</f>
        <v/>
      </c>
      <c r="K3332">
        <f>IF(E3332="Domain",COUNTIF($E$2:E3332,"Domain"),"")</f>
        <v/>
      </c>
    </row>
    <row r="3333">
      <c r="A3333" s="2" t="n"/>
      <c r="B3333">
        <f>LOWER(TRIM(A3333))</f>
        <v/>
      </c>
      <c r="C3333">
        <f>IF(B3333="","",IFERROR(INDEX('Bad Patterns'!$A$2:$A$120,MATCH(1,INDEX(--ISNUMBER(SEARCH('Bad Patterns'!$A$2:$A$120,B3333)),0),0)),""))</f>
        <v/>
      </c>
      <c r="D3333">
        <f>IF(B3333="","",IF(C3333&lt;&gt;"","REMOVE","KEEP"))</f>
        <v/>
      </c>
      <c r="E3333">
        <f>IF(D3333&lt;&gt;"KEEP","",IF(RIGHT(B3333,10)="@gmail.com","Gmail",IF(OR(RIGHT(B3333,12)="@outlook.com",RIGHT(B3333,12)="@hotmail.com",RIGHT(B3333,9)="@live.com"),"Outlook","Domain")))</f>
        <v/>
      </c>
      <c r="F3333">
        <f>IF(B3333="","",IFERROR(RIGHT(B3333,LEN(B3333)-FIND("@",B3333)),""))</f>
        <v/>
      </c>
      <c r="G3333">
        <f>IF(D3333="KEEP",COUNTIF($D$2:D3333,"KEEP"),"")</f>
        <v/>
      </c>
      <c r="H3333">
        <f>IF(D3333="REMOVE",COUNTIF($D$2:D3333,"REMOVE"),"")</f>
        <v/>
      </c>
      <c r="I3333">
        <f>IF(E3333="Gmail",COUNTIF($E$2:E3333,"Gmail"),"")</f>
        <v/>
      </c>
      <c r="J3333">
        <f>IF(E3333="Outlook",COUNTIF($E$2:E3333,"Outlook"),"")</f>
        <v/>
      </c>
      <c r="K3333">
        <f>IF(E3333="Domain",COUNTIF($E$2:E3333,"Domain"),"")</f>
        <v/>
      </c>
    </row>
    <row r="3334">
      <c r="A3334" s="2" t="n"/>
      <c r="B3334">
        <f>LOWER(TRIM(A3334))</f>
        <v/>
      </c>
      <c r="C3334">
        <f>IF(B3334="","",IFERROR(INDEX('Bad Patterns'!$A$2:$A$120,MATCH(1,INDEX(--ISNUMBER(SEARCH('Bad Patterns'!$A$2:$A$120,B3334)),0),0)),""))</f>
        <v/>
      </c>
      <c r="D3334">
        <f>IF(B3334="","",IF(C3334&lt;&gt;"","REMOVE","KEEP"))</f>
        <v/>
      </c>
      <c r="E3334">
        <f>IF(D3334&lt;&gt;"KEEP","",IF(RIGHT(B3334,10)="@gmail.com","Gmail",IF(OR(RIGHT(B3334,12)="@outlook.com",RIGHT(B3334,12)="@hotmail.com",RIGHT(B3334,9)="@live.com"),"Outlook","Domain")))</f>
        <v/>
      </c>
      <c r="F3334">
        <f>IF(B3334="","",IFERROR(RIGHT(B3334,LEN(B3334)-FIND("@",B3334)),""))</f>
        <v/>
      </c>
      <c r="G3334">
        <f>IF(D3334="KEEP",COUNTIF($D$2:D3334,"KEEP"),"")</f>
        <v/>
      </c>
      <c r="H3334">
        <f>IF(D3334="REMOVE",COUNTIF($D$2:D3334,"REMOVE"),"")</f>
        <v/>
      </c>
      <c r="I3334">
        <f>IF(E3334="Gmail",COUNTIF($E$2:E3334,"Gmail"),"")</f>
        <v/>
      </c>
      <c r="J3334">
        <f>IF(E3334="Outlook",COUNTIF($E$2:E3334,"Outlook"),"")</f>
        <v/>
      </c>
      <c r="K3334">
        <f>IF(E3334="Domain",COUNTIF($E$2:E3334,"Domain"),"")</f>
        <v/>
      </c>
    </row>
    <row r="3335">
      <c r="A3335" s="2" t="n"/>
      <c r="B3335">
        <f>LOWER(TRIM(A3335))</f>
        <v/>
      </c>
      <c r="C3335">
        <f>IF(B3335="","",IFERROR(INDEX('Bad Patterns'!$A$2:$A$120,MATCH(1,INDEX(--ISNUMBER(SEARCH('Bad Patterns'!$A$2:$A$120,B3335)),0),0)),""))</f>
        <v/>
      </c>
      <c r="D3335">
        <f>IF(B3335="","",IF(C3335&lt;&gt;"","REMOVE","KEEP"))</f>
        <v/>
      </c>
      <c r="E3335">
        <f>IF(D3335&lt;&gt;"KEEP","",IF(RIGHT(B3335,10)="@gmail.com","Gmail",IF(OR(RIGHT(B3335,12)="@outlook.com",RIGHT(B3335,12)="@hotmail.com",RIGHT(B3335,9)="@live.com"),"Outlook","Domain")))</f>
        <v/>
      </c>
      <c r="F3335">
        <f>IF(B3335="","",IFERROR(RIGHT(B3335,LEN(B3335)-FIND("@",B3335)),""))</f>
        <v/>
      </c>
      <c r="G3335">
        <f>IF(D3335="KEEP",COUNTIF($D$2:D3335,"KEEP"),"")</f>
        <v/>
      </c>
      <c r="H3335">
        <f>IF(D3335="REMOVE",COUNTIF($D$2:D3335,"REMOVE"),"")</f>
        <v/>
      </c>
      <c r="I3335">
        <f>IF(E3335="Gmail",COUNTIF($E$2:E3335,"Gmail"),"")</f>
        <v/>
      </c>
      <c r="J3335">
        <f>IF(E3335="Outlook",COUNTIF($E$2:E3335,"Outlook"),"")</f>
        <v/>
      </c>
      <c r="K3335">
        <f>IF(E3335="Domain",COUNTIF($E$2:E3335,"Domain"),"")</f>
        <v/>
      </c>
    </row>
    <row r="3336">
      <c r="A3336" s="2" t="n"/>
      <c r="B3336">
        <f>LOWER(TRIM(A3336))</f>
        <v/>
      </c>
      <c r="C3336">
        <f>IF(B3336="","",IFERROR(INDEX('Bad Patterns'!$A$2:$A$120,MATCH(1,INDEX(--ISNUMBER(SEARCH('Bad Patterns'!$A$2:$A$120,B3336)),0),0)),""))</f>
        <v/>
      </c>
      <c r="D3336">
        <f>IF(B3336="","",IF(C3336&lt;&gt;"","REMOVE","KEEP"))</f>
        <v/>
      </c>
      <c r="E3336">
        <f>IF(D3336&lt;&gt;"KEEP","",IF(RIGHT(B3336,10)="@gmail.com","Gmail",IF(OR(RIGHT(B3336,12)="@outlook.com",RIGHT(B3336,12)="@hotmail.com",RIGHT(B3336,9)="@live.com"),"Outlook","Domain")))</f>
        <v/>
      </c>
      <c r="F3336">
        <f>IF(B3336="","",IFERROR(RIGHT(B3336,LEN(B3336)-FIND("@",B3336)),""))</f>
        <v/>
      </c>
      <c r="G3336">
        <f>IF(D3336="KEEP",COUNTIF($D$2:D3336,"KEEP"),"")</f>
        <v/>
      </c>
      <c r="H3336">
        <f>IF(D3336="REMOVE",COUNTIF($D$2:D3336,"REMOVE"),"")</f>
        <v/>
      </c>
      <c r="I3336">
        <f>IF(E3336="Gmail",COUNTIF($E$2:E3336,"Gmail"),"")</f>
        <v/>
      </c>
      <c r="J3336">
        <f>IF(E3336="Outlook",COUNTIF($E$2:E3336,"Outlook"),"")</f>
        <v/>
      </c>
      <c r="K3336">
        <f>IF(E3336="Domain",COUNTIF($E$2:E3336,"Domain"),"")</f>
        <v/>
      </c>
    </row>
    <row r="3337">
      <c r="A3337" s="2" t="n"/>
      <c r="B3337">
        <f>LOWER(TRIM(A3337))</f>
        <v/>
      </c>
      <c r="C3337">
        <f>IF(B3337="","",IFERROR(INDEX('Bad Patterns'!$A$2:$A$120,MATCH(1,INDEX(--ISNUMBER(SEARCH('Bad Patterns'!$A$2:$A$120,B3337)),0),0)),""))</f>
        <v/>
      </c>
      <c r="D3337">
        <f>IF(B3337="","",IF(C3337&lt;&gt;"","REMOVE","KEEP"))</f>
        <v/>
      </c>
      <c r="E3337">
        <f>IF(D3337&lt;&gt;"KEEP","",IF(RIGHT(B3337,10)="@gmail.com","Gmail",IF(OR(RIGHT(B3337,12)="@outlook.com",RIGHT(B3337,12)="@hotmail.com",RIGHT(B3337,9)="@live.com"),"Outlook","Domain")))</f>
        <v/>
      </c>
      <c r="F3337">
        <f>IF(B3337="","",IFERROR(RIGHT(B3337,LEN(B3337)-FIND("@",B3337)),""))</f>
        <v/>
      </c>
      <c r="G3337">
        <f>IF(D3337="KEEP",COUNTIF($D$2:D3337,"KEEP"),"")</f>
        <v/>
      </c>
      <c r="H3337">
        <f>IF(D3337="REMOVE",COUNTIF($D$2:D3337,"REMOVE"),"")</f>
        <v/>
      </c>
      <c r="I3337">
        <f>IF(E3337="Gmail",COUNTIF($E$2:E3337,"Gmail"),"")</f>
        <v/>
      </c>
      <c r="J3337">
        <f>IF(E3337="Outlook",COUNTIF($E$2:E3337,"Outlook"),"")</f>
        <v/>
      </c>
      <c r="K3337">
        <f>IF(E3337="Domain",COUNTIF($E$2:E3337,"Domain"),"")</f>
        <v/>
      </c>
    </row>
    <row r="3338">
      <c r="A3338" s="2" t="n"/>
      <c r="B3338">
        <f>LOWER(TRIM(A3338))</f>
        <v/>
      </c>
      <c r="C3338">
        <f>IF(B3338="","",IFERROR(INDEX('Bad Patterns'!$A$2:$A$120,MATCH(1,INDEX(--ISNUMBER(SEARCH('Bad Patterns'!$A$2:$A$120,B3338)),0),0)),""))</f>
        <v/>
      </c>
      <c r="D3338">
        <f>IF(B3338="","",IF(C3338&lt;&gt;"","REMOVE","KEEP"))</f>
        <v/>
      </c>
      <c r="E3338">
        <f>IF(D3338&lt;&gt;"KEEP","",IF(RIGHT(B3338,10)="@gmail.com","Gmail",IF(OR(RIGHT(B3338,12)="@outlook.com",RIGHT(B3338,12)="@hotmail.com",RIGHT(B3338,9)="@live.com"),"Outlook","Domain")))</f>
        <v/>
      </c>
      <c r="F3338">
        <f>IF(B3338="","",IFERROR(RIGHT(B3338,LEN(B3338)-FIND("@",B3338)),""))</f>
        <v/>
      </c>
      <c r="G3338">
        <f>IF(D3338="KEEP",COUNTIF($D$2:D3338,"KEEP"),"")</f>
        <v/>
      </c>
      <c r="H3338">
        <f>IF(D3338="REMOVE",COUNTIF($D$2:D3338,"REMOVE"),"")</f>
        <v/>
      </c>
      <c r="I3338">
        <f>IF(E3338="Gmail",COUNTIF($E$2:E3338,"Gmail"),"")</f>
        <v/>
      </c>
      <c r="J3338">
        <f>IF(E3338="Outlook",COUNTIF($E$2:E3338,"Outlook"),"")</f>
        <v/>
      </c>
      <c r="K3338">
        <f>IF(E3338="Domain",COUNTIF($E$2:E3338,"Domain"),"")</f>
        <v/>
      </c>
    </row>
    <row r="3339">
      <c r="A3339" s="2" t="n"/>
      <c r="B3339">
        <f>LOWER(TRIM(A3339))</f>
        <v/>
      </c>
      <c r="C3339">
        <f>IF(B3339="","",IFERROR(INDEX('Bad Patterns'!$A$2:$A$120,MATCH(1,INDEX(--ISNUMBER(SEARCH('Bad Patterns'!$A$2:$A$120,B3339)),0),0)),""))</f>
        <v/>
      </c>
      <c r="D3339">
        <f>IF(B3339="","",IF(C3339&lt;&gt;"","REMOVE","KEEP"))</f>
        <v/>
      </c>
      <c r="E3339">
        <f>IF(D3339&lt;&gt;"KEEP","",IF(RIGHT(B3339,10)="@gmail.com","Gmail",IF(OR(RIGHT(B3339,12)="@outlook.com",RIGHT(B3339,12)="@hotmail.com",RIGHT(B3339,9)="@live.com"),"Outlook","Domain")))</f>
        <v/>
      </c>
      <c r="F3339">
        <f>IF(B3339="","",IFERROR(RIGHT(B3339,LEN(B3339)-FIND("@",B3339)),""))</f>
        <v/>
      </c>
      <c r="G3339">
        <f>IF(D3339="KEEP",COUNTIF($D$2:D3339,"KEEP"),"")</f>
        <v/>
      </c>
      <c r="H3339">
        <f>IF(D3339="REMOVE",COUNTIF($D$2:D3339,"REMOVE"),"")</f>
        <v/>
      </c>
      <c r="I3339">
        <f>IF(E3339="Gmail",COUNTIF($E$2:E3339,"Gmail"),"")</f>
        <v/>
      </c>
      <c r="J3339">
        <f>IF(E3339="Outlook",COUNTIF($E$2:E3339,"Outlook"),"")</f>
        <v/>
      </c>
      <c r="K3339">
        <f>IF(E3339="Domain",COUNTIF($E$2:E3339,"Domain"),"")</f>
        <v/>
      </c>
    </row>
    <row r="3340">
      <c r="A3340" s="2" t="n"/>
      <c r="B3340">
        <f>LOWER(TRIM(A3340))</f>
        <v/>
      </c>
      <c r="C3340">
        <f>IF(B3340="","",IFERROR(INDEX('Bad Patterns'!$A$2:$A$120,MATCH(1,INDEX(--ISNUMBER(SEARCH('Bad Patterns'!$A$2:$A$120,B3340)),0),0)),""))</f>
        <v/>
      </c>
      <c r="D3340">
        <f>IF(B3340="","",IF(C3340&lt;&gt;"","REMOVE","KEEP"))</f>
        <v/>
      </c>
      <c r="E3340">
        <f>IF(D3340&lt;&gt;"KEEP","",IF(RIGHT(B3340,10)="@gmail.com","Gmail",IF(OR(RIGHT(B3340,12)="@outlook.com",RIGHT(B3340,12)="@hotmail.com",RIGHT(B3340,9)="@live.com"),"Outlook","Domain")))</f>
        <v/>
      </c>
      <c r="F3340">
        <f>IF(B3340="","",IFERROR(RIGHT(B3340,LEN(B3340)-FIND("@",B3340)),""))</f>
        <v/>
      </c>
      <c r="G3340">
        <f>IF(D3340="KEEP",COUNTIF($D$2:D3340,"KEEP"),"")</f>
        <v/>
      </c>
      <c r="H3340">
        <f>IF(D3340="REMOVE",COUNTIF($D$2:D3340,"REMOVE"),"")</f>
        <v/>
      </c>
      <c r="I3340">
        <f>IF(E3340="Gmail",COUNTIF($E$2:E3340,"Gmail"),"")</f>
        <v/>
      </c>
      <c r="J3340">
        <f>IF(E3340="Outlook",COUNTIF($E$2:E3340,"Outlook"),"")</f>
        <v/>
      </c>
      <c r="K3340">
        <f>IF(E3340="Domain",COUNTIF($E$2:E3340,"Domain"),"")</f>
        <v/>
      </c>
    </row>
    <row r="3341">
      <c r="A3341" s="2" t="n"/>
      <c r="B3341">
        <f>LOWER(TRIM(A3341))</f>
        <v/>
      </c>
      <c r="C3341">
        <f>IF(B3341="","",IFERROR(INDEX('Bad Patterns'!$A$2:$A$120,MATCH(1,INDEX(--ISNUMBER(SEARCH('Bad Patterns'!$A$2:$A$120,B3341)),0),0)),""))</f>
        <v/>
      </c>
      <c r="D3341">
        <f>IF(B3341="","",IF(C3341&lt;&gt;"","REMOVE","KEEP"))</f>
        <v/>
      </c>
      <c r="E3341">
        <f>IF(D3341&lt;&gt;"KEEP","",IF(RIGHT(B3341,10)="@gmail.com","Gmail",IF(OR(RIGHT(B3341,12)="@outlook.com",RIGHT(B3341,12)="@hotmail.com",RIGHT(B3341,9)="@live.com"),"Outlook","Domain")))</f>
        <v/>
      </c>
      <c r="F3341">
        <f>IF(B3341="","",IFERROR(RIGHT(B3341,LEN(B3341)-FIND("@",B3341)),""))</f>
        <v/>
      </c>
      <c r="G3341">
        <f>IF(D3341="KEEP",COUNTIF($D$2:D3341,"KEEP"),"")</f>
        <v/>
      </c>
      <c r="H3341">
        <f>IF(D3341="REMOVE",COUNTIF($D$2:D3341,"REMOVE"),"")</f>
        <v/>
      </c>
      <c r="I3341">
        <f>IF(E3341="Gmail",COUNTIF($E$2:E3341,"Gmail"),"")</f>
        <v/>
      </c>
      <c r="J3341">
        <f>IF(E3341="Outlook",COUNTIF($E$2:E3341,"Outlook"),"")</f>
        <v/>
      </c>
      <c r="K3341">
        <f>IF(E3341="Domain",COUNTIF($E$2:E3341,"Domain"),"")</f>
        <v/>
      </c>
    </row>
    <row r="3342">
      <c r="A3342" s="2" t="n"/>
      <c r="B3342">
        <f>LOWER(TRIM(A3342))</f>
        <v/>
      </c>
      <c r="C3342">
        <f>IF(B3342="","",IFERROR(INDEX('Bad Patterns'!$A$2:$A$120,MATCH(1,INDEX(--ISNUMBER(SEARCH('Bad Patterns'!$A$2:$A$120,B3342)),0),0)),""))</f>
        <v/>
      </c>
      <c r="D3342">
        <f>IF(B3342="","",IF(C3342&lt;&gt;"","REMOVE","KEEP"))</f>
        <v/>
      </c>
      <c r="E3342">
        <f>IF(D3342&lt;&gt;"KEEP","",IF(RIGHT(B3342,10)="@gmail.com","Gmail",IF(OR(RIGHT(B3342,12)="@outlook.com",RIGHT(B3342,12)="@hotmail.com",RIGHT(B3342,9)="@live.com"),"Outlook","Domain")))</f>
        <v/>
      </c>
      <c r="F3342">
        <f>IF(B3342="","",IFERROR(RIGHT(B3342,LEN(B3342)-FIND("@",B3342)),""))</f>
        <v/>
      </c>
      <c r="G3342">
        <f>IF(D3342="KEEP",COUNTIF($D$2:D3342,"KEEP"),"")</f>
        <v/>
      </c>
      <c r="H3342">
        <f>IF(D3342="REMOVE",COUNTIF($D$2:D3342,"REMOVE"),"")</f>
        <v/>
      </c>
      <c r="I3342">
        <f>IF(E3342="Gmail",COUNTIF($E$2:E3342,"Gmail"),"")</f>
        <v/>
      </c>
      <c r="J3342">
        <f>IF(E3342="Outlook",COUNTIF($E$2:E3342,"Outlook"),"")</f>
        <v/>
      </c>
      <c r="K3342">
        <f>IF(E3342="Domain",COUNTIF($E$2:E3342,"Domain"),"")</f>
        <v/>
      </c>
    </row>
    <row r="3343">
      <c r="A3343" s="2" t="n"/>
      <c r="B3343">
        <f>LOWER(TRIM(A3343))</f>
        <v/>
      </c>
      <c r="C3343">
        <f>IF(B3343="","",IFERROR(INDEX('Bad Patterns'!$A$2:$A$120,MATCH(1,INDEX(--ISNUMBER(SEARCH('Bad Patterns'!$A$2:$A$120,B3343)),0),0)),""))</f>
        <v/>
      </c>
      <c r="D3343">
        <f>IF(B3343="","",IF(C3343&lt;&gt;"","REMOVE","KEEP"))</f>
        <v/>
      </c>
      <c r="E3343">
        <f>IF(D3343&lt;&gt;"KEEP","",IF(RIGHT(B3343,10)="@gmail.com","Gmail",IF(OR(RIGHT(B3343,12)="@outlook.com",RIGHT(B3343,12)="@hotmail.com",RIGHT(B3343,9)="@live.com"),"Outlook","Domain")))</f>
        <v/>
      </c>
      <c r="F3343">
        <f>IF(B3343="","",IFERROR(RIGHT(B3343,LEN(B3343)-FIND("@",B3343)),""))</f>
        <v/>
      </c>
      <c r="G3343">
        <f>IF(D3343="KEEP",COUNTIF($D$2:D3343,"KEEP"),"")</f>
        <v/>
      </c>
      <c r="H3343">
        <f>IF(D3343="REMOVE",COUNTIF($D$2:D3343,"REMOVE"),"")</f>
        <v/>
      </c>
      <c r="I3343">
        <f>IF(E3343="Gmail",COUNTIF($E$2:E3343,"Gmail"),"")</f>
        <v/>
      </c>
      <c r="J3343">
        <f>IF(E3343="Outlook",COUNTIF($E$2:E3343,"Outlook"),"")</f>
        <v/>
      </c>
      <c r="K3343">
        <f>IF(E3343="Domain",COUNTIF($E$2:E3343,"Domain"),"")</f>
        <v/>
      </c>
    </row>
    <row r="3344">
      <c r="A3344" s="2" t="n"/>
      <c r="B3344">
        <f>LOWER(TRIM(A3344))</f>
        <v/>
      </c>
      <c r="C3344">
        <f>IF(B3344="","",IFERROR(INDEX('Bad Patterns'!$A$2:$A$120,MATCH(1,INDEX(--ISNUMBER(SEARCH('Bad Patterns'!$A$2:$A$120,B3344)),0),0)),""))</f>
        <v/>
      </c>
      <c r="D3344">
        <f>IF(B3344="","",IF(C3344&lt;&gt;"","REMOVE","KEEP"))</f>
        <v/>
      </c>
      <c r="E3344">
        <f>IF(D3344&lt;&gt;"KEEP","",IF(RIGHT(B3344,10)="@gmail.com","Gmail",IF(OR(RIGHT(B3344,12)="@outlook.com",RIGHT(B3344,12)="@hotmail.com",RIGHT(B3344,9)="@live.com"),"Outlook","Domain")))</f>
        <v/>
      </c>
      <c r="F3344">
        <f>IF(B3344="","",IFERROR(RIGHT(B3344,LEN(B3344)-FIND("@",B3344)),""))</f>
        <v/>
      </c>
      <c r="G3344">
        <f>IF(D3344="KEEP",COUNTIF($D$2:D3344,"KEEP"),"")</f>
        <v/>
      </c>
      <c r="H3344">
        <f>IF(D3344="REMOVE",COUNTIF($D$2:D3344,"REMOVE"),"")</f>
        <v/>
      </c>
      <c r="I3344">
        <f>IF(E3344="Gmail",COUNTIF($E$2:E3344,"Gmail"),"")</f>
        <v/>
      </c>
      <c r="J3344">
        <f>IF(E3344="Outlook",COUNTIF($E$2:E3344,"Outlook"),"")</f>
        <v/>
      </c>
      <c r="K3344">
        <f>IF(E3344="Domain",COUNTIF($E$2:E3344,"Domain"),"")</f>
        <v/>
      </c>
    </row>
    <row r="3345">
      <c r="A3345" s="2" t="n"/>
      <c r="B3345">
        <f>LOWER(TRIM(A3345))</f>
        <v/>
      </c>
      <c r="C3345">
        <f>IF(B3345="","",IFERROR(INDEX('Bad Patterns'!$A$2:$A$120,MATCH(1,INDEX(--ISNUMBER(SEARCH('Bad Patterns'!$A$2:$A$120,B3345)),0),0)),""))</f>
        <v/>
      </c>
      <c r="D3345">
        <f>IF(B3345="","",IF(C3345&lt;&gt;"","REMOVE","KEEP"))</f>
        <v/>
      </c>
      <c r="E3345">
        <f>IF(D3345&lt;&gt;"KEEP","",IF(RIGHT(B3345,10)="@gmail.com","Gmail",IF(OR(RIGHT(B3345,12)="@outlook.com",RIGHT(B3345,12)="@hotmail.com",RIGHT(B3345,9)="@live.com"),"Outlook","Domain")))</f>
        <v/>
      </c>
      <c r="F3345">
        <f>IF(B3345="","",IFERROR(RIGHT(B3345,LEN(B3345)-FIND("@",B3345)),""))</f>
        <v/>
      </c>
      <c r="G3345">
        <f>IF(D3345="KEEP",COUNTIF($D$2:D3345,"KEEP"),"")</f>
        <v/>
      </c>
      <c r="H3345">
        <f>IF(D3345="REMOVE",COUNTIF($D$2:D3345,"REMOVE"),"")</f>
        <v/>
      </c>
      <c r="I3345">
        <f>IF(E3345="Gmail",COUNTIF($E$2:E3345,"Gmail"),"")</f>
        <v/>
      </c>
      <c r="J3345">
        <f>IF(E3345="Outlook",COUNTIF($E$2:E3345,"Outlook"),"")</f>
        <v/>
      </c>
      <c r="K3345">
        <f>IF(E3345="Domain",COUNTIF($E$2:E3345,"Domain"),"")</f>
        <v/>
      </c>
    </row>
    <row r="3346">
      <c r="A3346" s="2" t="n"/>
      <c r="B3346">
        <f>LOWER(TRIM(A3346))</f>
        <v/>
      </c>
      <c r="C3346">
        <f>IF(B3346="","",IFERROR(INDEX('Bad Patterns'!$A$2:$A$120,MATCH(1,INDEX(--ISNUMBER(SEARCH('Bad Patterns'!$A$2:$A$120,B3346)),0),0)),""))</f>
        <v/>
      </c>
      <c r="D3346">
        <f>IF(B3346="","",IF(C3346&lt;&gt;"","REMOVE","KEEP"))</f>
        <v/>
      </c>
      <c r="E3346">
        <f>IF(D3346&lt;&gt;"KEEP","",IF(RIGHT(B3346,10)="@gmail.com","Gmail",IF(OR(RIGHT(B3346,12)="@outlook.com",RIGHT(B3346,12)="@hotmail.com",RIGHT(B3346,9)="@live.com"),"Outlook","Domain")))</f>
        <v/>
      </c>
      <c r="F3346">
        <f>IF(B3346="","",IFERROR(RIGHT(B3346,LEN(B3346)-FIND("@",B3346)),""))</f>
        <v/>
      </c>
      <c r="G3346">
        <f>IF(D3346="KEEP",COUNTIF($D$2:D3346,"KEEP"),"")</f>
        <v/>
      </c>
      <c r="H3346">
        <f>IF(D3346="REMOVE",COUNTIF($D$2:D3346,"REMOVE"),"")</f>
        <v/>
      </c>
      <c r="I3346">
        <f>IF(E3346="Gmail",COUNTIF($E$2:E3346,"Gmail"),"")</f>
        <v/>
      </c>
      <c r="J3346">
        <f>IF(E3346="Outlook",COUNTIF($E$2:E3346,"Outlook"),"")</f>
        <v/>
      </c>
      <c r="K3346">
        <f>IF(E3346="Domain",COUNTIF($E$2:E3346,"Domain"),"")</f>
        <v/>
      </c>
    </row>
    <row r="3347">
      <c r="A3347" s="2" t="n"/>
      <c r="B3347">
        <f>LOWER(TRIM(A3347))</f>
        <v/>
      </c>
      <c r="C3347">
        <f>IF(B3347="","",IFERROR(INDEX('Bad Patterns'!$A$2:$A$120,MATCH(1,INDEX(--ISNUMBER(SEARCH('Bad Patterns'!$A$2:$A$120,B3347)),0),0)),""))</f>
        <v/>
      </c>
      <c r="D3347">
        <f>IF(B3347="","",IF(C3347&lt;&gt;"","REMOVE","KEEP"))</f>
        <v/>
      </c>
      <c r="E3347">
        <f>IF(D3347&lt;&gt;"KEEP","",IF(RIGHT(B3347,10)="@gmail.com","Gmail",IF(OR(RIGHT(B3347,12)="@outlook.com",RIGHT(B3347,12)="@hotmail.com",RIGHT(B3347,9)="@live.com"),"Outlook","Domain")))</f>
        <v/>
      </c>
      <c r="F3347">
        <f>IF(B3347="","",IFERROR(RIGHT(B3347,LEN(B3347)-FIND("@",B3347)),""))</f>
        <v/>
      </c>
      <c r="G3347">
        <f>IF(D3347="KEEP",COUNTIF($D$2:D3347,"KEEP"),"")</f>
        <v/>
      </c>
      <c r="H3347">
        <f>IF(D3347="REMOVE",COUNTIF($D$2:D3347,"REMOVE"),"")</f>
        <v/>
      </c>
      <c r="I3347">
        <f>IF(E3347="Gmail",COUNTIF($E$2:E3347,"Gmail"),"")</f>
        <v/>
      </c>
      <c r="J3347">
        <f>IF(E3347="Outlook",COUNTIF($E$2:E3347,"Outlook"),"")</f>
        <v/>
      </c>
      <c r="K3347">
        <f>IF(E3347="Domain",COUNTIF($E$2:E3347,"Domain"),"")</f>
        <v/>
      </c>
    </row>
    <row r="3348">
      <c r="A3348" s="2" t="n"/>
      <c r="B3348">
        <f>LOWER(TRIM(A3348))</f>
        <v/>
      </c>
      <c r="C3348">
        <f>IF(B3348="","",IFERROR(INDEX('Bad Patterns'!$A$2:$A$120,MATCH(1,INDEX(--ISNUMBER(SEARCH('Bad Patterns'!$A$2:$A$120,B3348)),0),0)),""))</f>
        <v/>
      </c>
      <c r="D3348">
        <f>IF(B3348="","",IF(C3348&lt;&gt;"","REMOVE","KEEP"))</f>
        <v/>
      </c>
      <c r="E3348">
        <f>IF(D3348&lt;&gt;"KEEP","",IF(RIGHT(B3348,10)="@gmail.com","Gmail",IF(OR(RIGHT(B3348,12)="@outlook.com",RIGHT(B3348,12)="@hotmail.com",RIGHT(B3348,9)="@live.com"),"Outlook","Domain")))</f>
        <v/>
      </c>
      <c r="F3348">
        <f>IF(B3348="","",IFERROR(RIGHT(B3348,LEN(B3348)-FIND("@",B3348)),""))</f>
        <v/>
      </c>
      <c r="G3348">
        <f>IF(D3348="KEEP",COUNTIF($D$2:D3348,"KEEP"),"")</f>
        <v/>
      </c>
      <c r="H3348">
        <f>IF(D3348="REMOVE",COUNTIF($D$2:D3348,"REMOVE"),"")</f>
        <v/>
      </c>
      <c r="I3348">
        <f>IF(E3348="Gmail",COUNTIF($E$2:E3348,"Gmail"),"")</f>
        <v/>
      </c>
      <c r="J3348">
        <f>IF(E3348="Outlook",COUNTIF($E$2:E3348,"Outlook"),"")</f>
        <v/>
      </c>
      <c r="K3348">
        <f>IF(E3348="Domain",COUNTIF($E$2:E3348,"Domain"),"")</f>
        <v/>
      </c>
    </row>
    <row r="3349">
      <c r="A3349" s="2" t="n"/>
      <c r="B3349">
        <f>LOWER(TRIM(A3349))</f>
        <v/>
      </c>
      <c r="C3349">
        <f>IF(B3349="","",IFERROR(INDEX('Bad Patterns'!$A$2:$A$120,MATCH(1,INDEX(--ISNUMBER(SEARCH('Bad Patterns'!$A$2:$A$120,B3349)),0),0)),""))</f>
        <v/>
      </c>
      <c r="D3349">
        <f>IF(B3349="","",IF(C3349&lt;&gt;"","REMOVE","KEEP"))</f>
        <v/>
      </c>
      <c r="E3349">
        <f>IF(D3349&lt;&gt;"KEEP","",IF(RIGHT(B3349,10)="@gmail.com","Gmail",IF(OR(RIGHT(B3349,12)="@outlook.com",RIGHT(B3349,12)="@hotmail.com",RIGHT(B3349,9)="@live.com"),"Outlook","Domain")))</f>
        <v/>
      </c>
      <c r="F3349">
        <f>IF(B3349="","",IFERROR(RIGHT(B3349,LEN(B3349)-FIND("@",B3349)),""))</f>
        <v/>
      </c>
      <c r="G3349">
        <f>IF(D3349="KEEP",COUNTIF($D$2:D3349,"KEEP"),"")</f>
        <v/>
      </c>
      <c r="H3349">
        <f>IF(D3349="REMOVE",COUNTIF($D$2:D3349,"REMOVE"),"")</f>
        <v/>
      </c>
      <c r="I3349">
        <f>IF(E3349="Gmail",COUNTIF($E$2:E3349,"Gmail"),"")</f>
        <v/>
      </c>
      <c r="J3349">
        <f>IF(E3349="Outlook",COUNTIF($E$2:E3349,"Outlook"),"")</f>
        <v/>
      </c>
      <c r="K3349">
        <f>IF(E3349="Domain",COUNTIF($E$2:E3349,"Domain"),"")</f>
        <v/>
      </c>
    </row>
    <row r="3350">
      <c r="A3350" s="2" t="n"/>
      <c r="B3350">
        <f>LOWER(TRIM(A3350))</f>
        <v/>
      </c>
      <c r="C3350">
        <f>IF(B3350="","",IFERROR(INDEX('Bad Patterns'!$A$2:$A$120,MATCH(1,INDEX(--ISNUMBER(SEARCH('Bad Patterns'!$A$2:$A$120,B3350)),0),0)),""))</f>
        <v/>
      </c>
      <c r="D3350">
        <f>IF(B3350="","",IF(C3350&lt;&gt;"","REMOVE","KEEP"))</f>
        <v/>
      </c>
      <c r="E3350">
        <f>IF(D3350&lt;&gt;"KEEP","",IF(RIGHT(B3350,10)="@gmail.com","Gmail",IF(OR(RIGHT(B3350,12)="@outlook.com",RIGHT(B3350,12)="@hotmail.com",RIGHT(B3350,9)="@live.com"),"Outlook","Domain")))</f>
        <v/>
      </c>
      <c r="F3350">
        <f>IF(B3350="","",IFERROR(RIGHT(B3350,LEN(B3350)-FIND("@",B3350)),""))</f>
        <v/>
      </c>
      <c r="G3350">
        <f>IF(D3350="KEEP",COUNTIF($D$2:D3350,"KEEP"),"")</f>
        <v/>
      </c>
      <c r="H3350">
        <f>IF(D3350="REMOVE",COUNTIF($D$2:D3350,"REMOVE"),"")</f>
        <v/>
      </c>
      <c r="I3350">
        <f>IF(E3350="Gmail",COUNTIF($E$2:E3350,"Gmail"),"")</f>
        <v/>
      </c>
      <c r="J3350">
        <f>IF(E3350="Outlook",COUNTIF($E$2:E3350,"Outlook"),"")</f>
        <v/>
      </c>
      <c r="K3350">
        <f>IF(E3350="Domain",COUNTIF($E$2:E3350,"Domain"),"")</f>
        <v/>
      </c>
    </row>
    <row r="3351">
      <c r="A3351" s="2" t="n"/>
      <c r="B3351">
        <f>LOWER(TRIM(A3351))</f>
        <v/>
      </c>
      <c r="C3351">
        <f>IF(B3351="","",IFERROR(INDEX('Bad Patterns'!$A$2:$A$120,MATCH(1,INDEX(--ISNUMBER(SEARCH('Bad Patterns'!$A$2:$A$120,B3351)),0),0)),""))</f>
        <v/>
      </c>
      <c r="D3351">
        <f>IF(B3351="","",IF(C3351&lt;&gt;"","REMOVE","KEEP"))</f>
        <v/>
      </c>
      <c r="E3351">
        <f>IF(D3351&lt;&gt;"KEEP","",IF(RIGHT(B3351,10)="@gmail.com","Gmail",IF(OR(RIGHT(B3351,12)="@outlook.com",RIGHT(B3351,12)="@hotmail.com",RIGHT(B3351,9)="@live.com"),"Outlook","Domain")))</f>
        <v/>
      </c>
      <c r="F3351">
        <f>IF(B3351="","",IFERROR(RIGHT(B3351,LEN(B3351)-FIND("@",B3351)),""))</f>
        <v/>
      </c>
      <c r="G3351">
        <f>IF(D3351="KEEP",COUNTIF($D$2:D3351,"KEEP"),"")</f>
        <v/>
      </c>
      <c r="H3351">
        <f>IF(D3351="REMOVE",COUNTIF($D$2:D3351,"REMOVE"),"")</f>
        <v/>
      </c>
      <c r="I3351">
        <f>IF(E3351="Gmail",COUNTIF($E$2:E3351,"Gmail"),"")</f>
        <v/>
      </c>
      <c r="J3351">
        <f>IF(E3351="Outlook",COUNTIF($E$2:E3351,"Outlook"),"")</f>
        <v/>
      </c>
      <c r="K3351">
        <f>IF(E3351="Domain",COUNTIF($E$2:E3351,"Domain"),"")</f>
        <v/>
      </c>
    </row>
    <row r="3352">
      <c r="A3352" s="2" t="n"/>
      <c r="B3352">
        <f>LOWER(TRIM(A3352))</f>
        <v/>
      </c>
      <c r="C3352">
        <f>IF(B3352="","",IFERROR(INDEX('Bad Patterns'!$A$2:$A$120,MATCH(1,INDEX(--ISNUMBER(SEARCH('Bad Patterns'!$A$2:$A$120,B3352)),0),0)),""))</f>
        <v/>
      </c>
      <c r="D3352">
        <f>IF(B3352="","",IF(C3352&lt;&gt;"","REMOVE","KEEP"))</f>
        <v/>
      </c>
      <c r="E3352">
        <f>IF(D3352&lt;&gt;"KEEP","",IF(RIGHT(B3352,10)="@gmail.com","Gmail",IF(OR(RIGHT(B3352,12)="@outlook.com",RIGHT(B3352,12)="@hotmail.com",RIGHT(B3352,9)="@live.com"),"Outlook","Domain")))</f>
        <v/>
      </c>
      <c r="F3352">
        <f>IF(B3352="","",IFERROR(RIGHT(B3352,LEN(B3352)-FIND("@",B3352)),""))</f>
        <v/>
      </c>
      <c r="G3352">
        <f>IF(D3352="KEEP",COUNTIF($D$2:D3352,"KEEP"),"")</f>
        <v/>
      </c>
      <c r="H3352">
        <f>IF(D3352="REMOVE",COUNTIF($D$2:D3352,"REMOVE"),"")</f>
        <v/>
      </c>
      <c r="I3352">
        <f>IF(E3352="Gmail",COUNTIF($E$2:E3352,"Gmail"),"")</f>
        <v/>
      </c>
      <c r="J3352">
        <f>IF(E3352="Outlook",COUNTIF($E$2:E3352,"Outlook"),"")</f>
        <v/>
      </c>
      <c r="K3352">
        <f>IF(E3352="Domain",COUNTIF($E$2:E3352,"Domain"),"")</f>
        <v/>
      </c>
    </row>
    <row r="3353">
      <c r="A3353" s="2" t="n"/>
      <c r="B3353">
        <f>LOWER(TRIM(A3353))</f>
        <v/>
      </c>
      <c r="C3353">
        <f>IF(B3353="","",IFERROR(INDEX('Bad Patterns'!$A$2:$A$120,MATCH(1,INDEX(--ISNUMBER(SEARCH('Bad Patterns'!$A$2:$A$120,B3353)),0),0)),""))</f>
        <v/>
      </c>
      <c r="D3353">
        <f>IF(B3353="","",IF(C3353&lt;&gt;"","REMOVE","KEEP"))</f>
        <v/>
      </c>
      <c r="E3353">
        <f>IF(D3353&lt;&gt;"KEEP","",IF(RIGHT(B3353,10)="@gmail.com","Gmail",IF(OR(RIGHT(B3353,12)="@outlook.com",RIGHT(B3353,12)="@hotmail.com",RIGHT(B3353,9)="@live.com"),"Outlook","Domain")))</f>
        <v/>
      </c>
      <c r="F3353">
        <f>IF(B3353="","",IFERROR(RIGHT(B3353,LEN(B3353)-FIND("@",B3353)),""))</f>
        <v/>
      </c>
      <c r="G3353">
        <f>IF(D3353="KEEP",COUNTIF($D$2:D3353,"KEEP"),"")</f>
        <v/>
      </c>
      <c r="H3353">
        <f>IF(D3353="REMOVE",COUNTIF($D$2:D3353,"REMOVE"),"")</f>
        <v/>
      </c>
      <c r="I3353">
        <f>IF(E3353="Gmail",COUNTIF($E$2:E3353,"Gmail"),"")</f>
        <v/>
      </c>
      <c r="J3353">
        <f>IF(E3353="Outlook",COUNTIF($E$2:E3353,"Outlook"),"")</f>
        <v/>
      </c>
      <c r="K3353">
        <f>IF(E3353="Domain",COUNTIF($E$2:E3353,"Domain"),"")</f>
        <v/>
      </c>
    </row>
    <row r="3354">
      <c r="A3354" s="2" t="n"/>
      <c r="B3354">
        <f>LOWER(TRIM(A3354))</f>
        <v/>
      </c>
      <c r="C3354">
        <f>IF(B3354="","",IFERROR(INDEX('Bad Patterns'!$A$2:$A$120,MATCH(1,INDEX(--ISNUMBER(SEARCH('Bad Patterns'!$A$2:$A$120,B3354)),0),0)),""))</f>
        <v/>
      </c>
      <c r="D3354">
        <f>IF(B3354="","",IF(C3354&lt;&gt;"","REMOVE","KEEP"))</f>
        <v/>
      </c>
      <c r="E3354">
        <f>IF(D3354&lt;&gt;"KEEP","",IF(RIGHT(B3354,10)="@gmail.com","Gmail",IF(OR(RIGHT(B3354,12)="@outlook.com",RIGHT(B3354,12)="@hotmail.com",RIGHT(B3354,9)="@live.com"),"Outlook","Domain")))</f>
        <v/>
      </c>
      <c r="F3354">
        <f>IF(B3354="","",IFERROR(RIGHT(B3354,LEN(B3354)-FIND("@",B3354)),""))</f>
        <v/>
      </c>
      <c r="G3354">
        <f>IF(D3354="KEEP",COUNTIF($D$2:D3354,"KEEP"),"")</f>
        <v/>
      </c>
      <c r="H3354">
        <f>IF(D3354="REMOVE",COUNTIF($D$2:D3354,"REMOVE"),"")</f>
        <v/>
      </c>
      <c r="I3354">
        <f>IF(E3354="Gmail",COUNTIF($E$2:E3354,"Gmail"),"")</f>
        <v/>
      </c>
      <c r="J3354">
        <f>IF(E3354="Outlook",COUNTIF($E$2:E3354,"Outlook"),"")</f>
        <v/>
      </c>
      <c r="K3354">
        <f>IF(E3354="Domain",COUNTIF($E$2:E3354,"Domain"),"")</f>
        <v/>
      </c>
    </row>
    <row r="3355">
      <c r="A3355" s="2" t="n"/>
      <c r="B3355">
        <f>LOWER(TRIM(A3355))</f>
        <v/>
      </c>
      <c r="C3355">
        <f>IF(B3355="","",IFERROR(INDEX('Bad Patterns'!$A$2:$A$120,MATCH(1,INDEX(--ISNUMBER(SEARCH('Bad Patterns'!$A$2:$A$120,B3355)),0),0)),""))</f>
        <v/>
      </c>
      <c r="D3355">
        <f>IF(B3355="","",IF(C3355&lt;&gt;"","REMOVE","KEEP"))</f>
        <v/>
      </c>
      <c r="E3355">
        <f>IF(D3355&lt;&gt;"KEEP","",IF(RIGHT(B3355,10)="@gmail.com","Gmail",IF(OR(RIGHT(B3355,12)="@outlook.com",RIGHT(B3355,12)="@hotmail.com",RIGHT(B3355,9)="@live.com"),"Outlook","Domain")))</f>
        <v/>
      </c>
      <c r="F3355">
        <f>IF(B3355="","",IFERROR(RIGHT(B3355,LEN(B3355)-FIND("@",B3355)),""))</f>
        <v/>
      </c>
      <c r="G3355">
        <f>IF(D3355="KEEP",COUNTIF($D$2:D3355,"KEEP"),"")</f>
        <v/>
      </c>
      <c r="H3355">
        <f>IF(D3355="REMOVE",COUNTIF($D$2:D3355,"REMOVE"),"")</f>
        <v/>
      </c>
      <c r="I3355">
        <f>IF(E3355="Gmail",COUNTIF($E$2:E3355,"Gmail"),"")</f>
        <v/>
      </c>
      <c r="J3355">
        <f>IF(E3355="Outlook",COUNTIF($E$2:E3355,"Outlook"),"")</f>
        <v/>
      </c>
      <c r="K3355">
        <f>IF(E3355="Domain",COUNTIF($E$2:E3355,"Domain"),"")</f>
        <v/>
      </c>
    </row>
    <row r="3356">
      <c r="A3356" s="2" t="n"/>
      <c r="B3356">
        <f>LOWER(TRIM(A3356))</f>
        <v/>
      </c>
      <c r="C3356">
        <f>IF(B3356="","",IFERROR(INDEX('Bad Patterns'!$A$2:$A$120,MATCH(1,INDEX(--ISNUMBER(SEARCH('Bad Patterns'!$A$2:$A$120,B3356)),0),0)),""))</f>
        <v/>
      </c>
      <c r="D3356">
        <f>IF(B3356="","",IF(C3356&lt;&gt;"","REMOVE","KEEP"))</f>
        <v/>
      </c>
      <c r="E3356">
        <f>IF(D3356&lt;&gt;"KEEP","",IF(RIGHT(B3356,10)="@gmail.com","Gmail",IF(OR(RIGHT(B3356,12)="@outlook.com",RIGHT(B3356,12)="@hotmail.com",RIGHT(B3356,9)="@live.com"),"Outlook","Domain")))</f>
        <v/>
      </c>
      <c r="F3356">
        <f>IF(B3356="","",IFERROR(RIGHT(B3356,LEN(B3356)-FIND("@",B3356)),""))</f>
        <v/>
      </c>
      <c r="G3356">
        <f>IF(D3356="KEEP",COUNTIF($D$2:D3356,"KEEP"),"")</f>
        <v/>
      </c>
      <c r="H3356">
        <f>IF(D3356="REMOVE",COUNTIF($D$2:D3356,"REMOVE"),"")</f>
        <v/>
      </c>
      <c r="I3356">
        <f>IF(E3356="Gmail",COUNTIF($E$2:E3356,"Gmail"),"")</f>
        <v/>
      </c>
      <c r="J3356">
        <f>IF(E3356="Outlook",COUNTIF($E$2:E3356,"Outlook"),"")</f>
        <v/>
      </c>
      <c r="K3356">
        <f>IF(E3356="Domain",COUNTIF($E$2:E3356,"Domain"),"")</f>
        <v/>
      </c>
    </row>
    <row r="3357">
      <c r="A3357" s="2" t="n"/>
      <c r="B3357">
        <f>LOWER(TRIM(A3357))</f>
        <v/>
      </c>
      <c r="C3357">
        <f>IF(B3357="","",IFERROR(INDEX('Bad Patterns'!$A$2:$A$120,MATCH(1,INDEX(--ISNUMBER(SEARCH('Bad Patterns'!$A$2:$A$120,B3357)),0),0)),""))</f>
        <v/>
      </c>
      <c r="D3357">
        <f>IF(B3357="","",IF(C3357&lt;&gt;"","REMOVE","KEEP"))</f>
        <v/>
      </c>
      <c r="E3357">
        <f>IF(D3357&lt;&gt;"KEEP","",IF(RIGHT(B3357,10)="@gmail.com","Gmail",IF(OR(RIGHT(B3357,12)="@outlook.com",RIGHT(B3357,12)="@hotmail.com",RIGHT(B3357,9)="@live.com"),"Outlook","Domain")))</f>
        <v/>
      </c>
      <c r="F3357">
        <f>IF(B3357="","",IFERROR(RIGHT(B3357,LEN(B3357)-FIND("@",B3357)),""))</f>
        <v/>
      </c>
      <c r="G3357">
        <f>IF(D3357="KEEP",COUNTIF($D$2:D3357,"KEEP"),"")</f>
        <v/>
      </c>
      <c r="H3357">
        <f>IF(D3357="REMOVE",COUNTIF($D$2:D3357,"REMOVE"),"")</f>
        <v/>
      </c>
      <c r="I3357">
        <f>IF(E3357="Gmail",COUNTIF($E$2:E3357,"Gmail"),"")</f>
        <v/>
      </c>
      <c r="J3357">
        <f>IF(E3357="Outlook",COUNTIF($E$2:E3357,"Outlook"),"")</f>
        <v/>
      </c>
      <c r="K3357">
        <f>IF(E3357="Domain",COUNTIF($E$2:E3357,"Domain"),"")</f>
        <v/>
      </c>
    </row>
    <row r="3358">
      <c r="A3358" s="2" t="n"/>
      <c r="B3358">
        <f>LOWER(TRIM(A3358))</f>
        <v/>
      </c>
      <c r="C3358">
        <f>IF(B3358="","",IFERROR(INDEX('Bad Patterns'!$A$2:$A$120,MATCH(1,INDEX(--ISNUMBER(SEARCH('Bad Patterns'!$A$2:$A$120,B3358)),0),0)),""))</f>
        <v/>
      </c>
      <c r="D3358">
        <f>IF(B3358="","",IF(C3358&lt;&gt;"","REMOVE","KEEP"))</f>
        <v/>
      </c>
      <c r="E3358">
        <f>IF(D3358&lt;&gt;"KEEP","",IF(RIGHT(B3358,10)="@gmail.com","Gmail",IF(OR(RIGHT(B3358,12)="@outlook.com",RIGHT(B3358,12)="@hotmail.com",RIGHT(B3358,9)="@live.com"),"Outlook","Domain")))</f>
        <v/>
      </c>
      <c r="F3358">
        <f>IF(B3358="","",IFERROR(RIGHT(B3358,LEN(B3358)-FIND("@",B3358)),""))</f>
        <v/>
      </c>
      <c r="G3358">
        <f>IF(D3358="KEEP",COUNTIF($D$2:D3358,"KEEP"),"")</f>
        <v/>
      </c>
      <c r="H3358">
        <f>IF(D3358="REMOVE",COUNTIF($D$2:D3358,"REMOVE"),"")</f>
        <v/>
      </c>
      <c r="I3358">
        <f>IF(E3358="Gmail",COUNTIF($E$2:E3358,"Gmail"),"")</f>
        <v/>
      </c>
      <c r="J3358">
        <f>IF(E3358="Outlook",COUNTIF($E$2:E3358,"Outlook"),"")</f>
        <v/>
      </c>
      <c r="K3358">
        <f>IF(E3358="Domain",COUNTIF($E$2:E3358,"Domain"),"")</f>
        <v/>
      </c>
    </row>
    <row r="3359">
      <c r="A3359" s="2" t="n"/>
      <c r="B3359">
        <f>LOWER(TRIM(A3359))</f>
        <v/>
      </c>
      <c r="C3359">
        <f>IF(B3359="","",IFERROR(INDEX('Bad Patterns'!$A$2:$A$120,MATCH(1,INDEX(--ISNUMBER(SEARCH('Bad Patterns'!$A$2:$A$120,B3359)),0),0)),""))</f>
        <v/>
      </c>
      <c r="D3359">
        <f>IF(B3359="","",IF(C3359&lt;&gt;"","REMOVE","KEEP"))</f>
        <v/>
      </c>
      <c r="E3359">
        <f>IF(D3359&lt;&gt;"KEEP","",IF(RIGHT(B3359,10)="@gmail.com","Gmail",IF(OR(RIGHT(B3359,12)="@outlook.com",RIGHT(B3359,12)="@hotmail.com",RIGHT(B3359,9)="@live.com"),"Outlook","Domain")))</f>
        <v/>
      </c>
      <c r="F3359">
        <f>IF(B3359="","",IFERROR(RIGHT(B3359,LEN(B3359)-FIND("@",B3359)),""))</f>
        <v/>
      </c>
      <c r="G3359">
        <f>IF(D3359="KEEP",COUNTIF($D$2:D3359,"KEEP"),"")</f>
        <v/>
      </c>
      <c r="H3359">
        <f>IF(D3359="REMOVE",COUNTIF($D$2:D3359,"REMOVE"),"")</f>
        <v/>
      </c>
      <c r="I3359">
        <f>IF(E3359="Gmail",COUNTIF($E$2:E3359,"Gmail"),"")</f>
        <v/>
      </c>
      <c r="J3359">
        <f>IF(E3359="Outlook",COUNTIF($E$2:E3359,"Outlook"),"")</f>
        <v/>
      </c>
      <c r="K3359">
        <f>IF(E3359="Domain",COUNTIF($E$2:E3359,"Domain"),"")</f>
        <v/>
      </c>
    </row>
    <row r="3360">
      <c r="A3360" s="2" t="n"/>
      <c r="B3360">
        <f>LOWER(TRIM(A3360))</f>
        <v/>
      </c>
      <c r="C3360">
        <f>IF(B3360="","",IFERROR(INDEX('Bad Patterns'!$A$2:$A$120,MATCH(1,INDEX(--ISNUMBER(SEARCH('Bad Patterns'!$A$2:$A$120,B3360)),0),0)),""))</f>
        <v/>
      </c>
      <c r="D3360">
        <f>IF(B3360="","",IF(C3360&lt;&gt;"","REMOVE","KEEP"))</f>
        <v/>
      </c>
      <c r="E3360">
        <f>IF(D3360&lt;&gt;"KEEP","",IF(RIGHT(B3360,10)="@gmail.com","Gmail",IF(OR(RIGHT(B3360,12)="@outlook.com",RIGHT(B3360,12)="@hotmail.com",RIGHT(B3360,9)="@live.com"),"Outlook","Domain")))</f>
        <v/>
      </c>
      <c r="F3360">
        <f>IF(B3360="","",IFERROR(RIGHT(B3360,LEN(B3360)-FIND("@",B3360)),""))</f>
        <v/>
      </c>
      <c r="G3360">
        <f>IF(D3360="KEEP",COUNTIF($D$2:D3360,"KEEP"),"")</f>
        <v/>
      </c>
      <c r="H3360">
        <f>IF(D3360="REMOVE",COUNTIF($D$2:D3360,"REMOVE"),"")</f>
        <v/>
      </c>
      <c r="I3360">
        <f>IF(E3360="Gmail",COUNTIF($E$2:E3360,"Gmail"),"")</f>
        <v/>
      </c>
      <c r="J3360">
        <f>IF(E3360="Outlook",COUNTIF($E$2:E3360,"Outlook"),"")</f>
        <v/>
      </c>
      <c r="K3360">
        <f>IF(E3360="Domain",COUNTIF($E$2:E3360,"Domain"),"")</f>
        <v/>
      </c>
    </row>
    <row r="3361">
      <c r="A3361" s="2" t="n"/>
      <c r="B3361">
        <f>LOWER(TRIM(A3361))</f>
        <v/>
      </c>
      <c r="C3361">
        <f>IF(B3361="","",IFERROR(INDEX('Bad Patterns'!$A$2:$A$120,MATCH(1,INDEX(--ISNUMBER(SEARCH('Bad Patterns'!$A$2:$A$120,B3361)),0),0)),""))</f>
        <v/>
      </c>
      <c r="D3361">
        <f>IF(B3361="","",IF(C3361&lt;&gt;"","REMOVE","KEEP"))</f>
        <v/>
      </c>
      <c r="E3361">
        <f>IF(D3361&lt;&gt;"KEEP","",IF(RIGHT(B3361,10)="@gmail.com","Gmail",IF(OR(RIGHT(B3361,12)="@outlook.com",RIGHT(B3361,12)="@hotmail.com",RIGHT(B3361,9)="@live.com"),"Outlook","Domain")))</f>
        <v/>
      </c>
      <c r="F3361">
        <f>IF(B3361="","",IFERROR(RIGHT(B3361,LEN(B3361)-FIND("@",B3361)),""))</f>
        <v/>
      </c>
      <c r="G3361">
        <f>IF(D3361="KEEP",COUNTIF($D$2:D3361,"KEEP"),"")</f>
        <v/>
      </c>
      <c r="H3361">
        <f>IF(D3361="REMOVE",COUNTIF($D$2:D3361,"REMOVE"),"")</f>
        <v/>
      </c>
      <c r="I3361">
        <f>IF(E3361="Gmail",COUNTIF($E$2:E3361,"Gmail"),"")</f>
        <v/>
      </c>
      <c r="J3361">
        <f>IF(E3361="Outlook",COUNTIF($E$2:E3361,"Outlook"),"")</f>
        <v/>
      </c>
      <c r="K3361">
        <f>IF(E3361="Domain",COUNTIF($E$2:E3361,"Domain"),"")</f>
        <v/>
      </c>
    </row>
    <row r="3362">
      <c r="A3362" s="2" t="n"/>
      <c r="B3362">
        <f>LOWER(TRIM(A3362))</f>
        <v/>
      </c>
      <c r="C3362">
        <f>IF(B3362="","",IFERROR(INDEX('Bad Patterns'!$A$2:$A$120,MATCH(1,INDEX(--ISNUMBER(SEARCH('Bad Patterns'!$A$2:$A$120,B3362)),0),0)),""))</f>
        <v/>
      </c>
      <c r="D3362">
        <f>IF(B3362="","",IF(C3362&lt;&gt;"","REMOVE","KEEP"))</f>
        <v/>
      </c>
      <c r="E3362">
        <f>IF(D3362&lt;&gt;"KEEP","",IF(RIGHT(B3362,10)="@gmail.com","Gmail",IF(OR(RIGHT(B3362,12)="@outlook.com",RIGHT(B3362,12)="@hotmail.com",RIGHT(B3362,9)="@live.com"),"Outlook","Domain")))</f>
        <v/>
      </c>
      <c r="F3362">
        <f>IF(B3362="","",IFERROR(RIGHT(B3362,LEN(B3362)-FIND("@",B3362)),""))</f>
        <v/>
      </c>
      <c r="G3362">
        <f>IF(D3362="KEEP",COUNTIF($D$2:D3362,"KEEP"),"")</f>
        <v/>
      </c>
      <c r="H3362">
        <f>IF(D3362="REMOVE",COUNTIF($D$2:D3362,"REMOVE"),"")</f>
        <v/>
      </c>
      <c r="I3362">
        <f>IF(E3362="Gmail",COUNTIF($E$2:E3362,"Gmail"),"")</f>
        <v/>
      </c>
      <c r="J3362">
        <f>IF(E3362="Outlook",COUNTIF($E$2:E3362,"Outlook"),"")</f>
        <v/>
      </c>
      <c r="K3362">
        <f>IF(E3362="Domain",COUNTIF($E$2:E3362,"Domain"),"")</f>
        <v/>
      </c>
    </row>
    <row r="3363">
      <c r="A3363" s="2" t="n"/>
      <c r="B3363">
        <f>LOWER(TRIM(A3363))</f>
        <v/>
      </c>
      <c r="C3363">
        <f>IF(B3363="","",IFERROR(INDEX('Bad Patterns'!$A$2:$A$120,MATCH(1,INDEX(--ISNUMBER(SEARCH('Bad Patterns'!$A$2:$A$120,B3363)),0),0)),""))</f>
        <v/>
      </c>
      <c r="D3363">
        <f>IF(B3363="","",IF(C3363&lt;&gt;"","REMOVE","KEEP"))</f>
        <v/>
      </c>
      <c r="E3363">
        <f>IF(D3363&lt;&gt;"KEEP","",IF(RIGHT(B3363,10)="@gmail.com","Gmail",IF(OR(RIGHT(B3363,12)="@outlook.com",RIGHT(B3363,12)="@hotmail.com",RIGHT(B3363,9)="@live.com"),"Outlook","Domain")))</f>
        <v/>
      </c>
      <c r="F3363">
        <f>IF(B3363="","",IFERROR(RIGHT(B3363,LEN(B3363)-FIND("@",B3363)),""))</f>
        <v/>
      </c>
      <c r="G3363">
        <f>IF(D3363="KEEP",COUNTIF($D$2:D3363,"KEEP"),"")</f>
        <v/>
      </c>
      <c r="H3363">
        <f>IF(D3363="REMOVE",COUNTIF($D$2:D3363,"REMOVE"),"")</f>
        <v/>
      </c>
      <c r="I3363">
        <f>IF(E3363="Gmail",COUNTIF($E$2:E3363,"Gmail"),"")</f>
        <v/>
      </c>
      <c r="J3363">
        <f>IF(E3363="Outlook",COUNTIF($E$2:E3363,"Outlook"),"")</f>
        <v/>
      </c>
      <c r="K3363">
        <f>IF(E3363="Domain",COUNTIF($E$2:E3363,"Domain"),"")</f>
        <v/>
      </c>
    </row>
    <row r="3364">
      <c r="A3364" s="2" t="n"/>
      <c r="B3364">
        <f>LOWER(TRIM(A3364))</f>
        <v/>
      </c>
      <c r="C3364">
        <f>IF(B3364="","",IFERROR(INDEX('Bad Patterns'!$A$2:$A$120,MATCH(1,INDEX(--ISNUMBER(SEARCH('Bad Patterns'!$A$2:$A$120,B3364)),0),0)),""))</f>
        <v/>
      </c>
      <c r="D3364">
        <f>IF(B3364="","",IF(C3364&lt;&gt;"","REMOVE","KEEP"))</f>
        <v/>
      </c>
      <c r="E3364">
        <f>IF(D3364&lt;&gt;"KEEP","",IF(RIGHT(B3364,10)="@gmail.com","Gmail",IF(OR(RIGHT(B3364,12)="@outlook.com",RIGHT(B3364,12)="@hotmail.com",RIGHT(B3364,9)="@live.com"),"Outlook","Domain")))</f>
        <v/>
      </c>
      <c r="F3364">
        <f>IF(B3364="","",IFERROR(RIGHT(B3364,LEN(B3364)-FIND("@",B3364)),""))</f>
        <v/>
      </c>
      <c r="G3364">
        <f>IF(D3364="KEEP",COUNTIF($D$2:D3364,"KEEP"),"")</f>
        <v/>
      </c>
      <c r="H3364">
        <f>IF(D3364="REMOVE",COUNTIF($D$2:D3364,"REMOVE"),"")</f>
        <v/>
      </c>
      <c r="I3364">
        <f>IF(E3364="Gmail",COUNTIF($E$2:E3364,"Gmail"),"")</f>
        <v/>
      </c>
      <c r="J3364">
        <f>IF(E3364="Outlook",COUNTIF($E$2:E3364,"Outlook"),"")</f>
        <v/>
      </c>
      <c r="K3364">
        <f>IF(E3364="Domain",COUNTIF($E$2:E3364,"Domain"),"")</f>
        <v/>
      </c>
    </row>
    <row r="3365">
      <c r="A3365" s="2" t="n"/>
      <c r="B3365">
        <f>LOWER(TRIM(A3365))</f>
        <v/>
      </c>
      <c r="C3365">
        <f>IF(B3365="","",IFERROR(INDEX('Bad Patterns'!$A$2:$A$120,MATCH(1,INDEX(--ISNUMBER(SEARCH('Bad Patterns'!$A$2:$A$120,B3365)),0),0)),""))</f>
        <v/>
      </c>
      <c r="D3365">
        <f>IF(B3365="","",IF(C3365&lt;&gt;"","REMOVE","KEEP"))</f>
        <v/>
      </c>
      <c r="E3365">
        <f>IF(D3365&lt;&gt;"KEEP","",IF(RIGHT(B3365,10)="@gmail.com","Gmail",IF(OR(RIGHT(B3365,12)="@outlook.com",RIGHT(B3365,12)="@hotmail.com",RIGHT(B3365,9)="@live.com"),"Outlook","Domain")))</f>
        <v/>
      </c>
      <c r="F3365">
        <f>IF(B3365="","",IFERROR(RIGHT(B3365,LEN(B3365)-FIND("@",B3365)),""))</f>
        <v/>
      </c>
      <c r="G3365">
        <f>IF(D3365="KEEP",COUNTIF($D$2:D3365,"KEEP"),"")</f>
        <v/>
      </c>
      <c r="H3365">
        <f>IF(D3365="REMOVE",COUNTIF($D$2:D3365,"REMOVE"),"")</f>
        <v/>
      </c>
      <c r="I3365">
        <f>IF(E3365="Gmail",COUNTIF($E$2:E3365,"Gmail"),"")</f>
        <v/>
      </c>
      <c r="J3365">
        <f>IF(E3365="Outlook",COUNTIF($E$2:E3365,"Outlook"),"")</f>
        <v/>
      </c>
      <c r="K3365">
        <f>IF(E3365="Domain",COUNTIF($E$2:E3365,"Domain"),"")</f>
        <v/>
      </c>
    </row>
    <row r="3366">
      <c r="A3366" s="2" t="n"/>
      <c r="B3366">
        <f>LOWER(TRIM(A3366))</f>
        <v/>
      </c>
      <c r="C3366">
        <f>IF(B3366="","",IFERROR(INDEX('Bad Patterns'!$A$2:$A$120,MATCH(1,INDEX(--ISNUMBER(SEARCH('Bad Patterns'!$A$2:$A$120,B3366)),0),0)),""))</f>
        <v/>
      </c>
      <c r="D3366">
        <f>IF(B3366="","",IF(C3366&lt;&gt;"","REMOVE","KEEP"))</f>
        <v/>
      </c>
      <c r="E3366">
        <f>IF(D3366&lt;&gt;"KEEP","",IF(RIGHT(B3366,10)="@gmail.com","Gmail",IF(OR(RIGHT(B3366,12)="@outlook.com",RIGHT(B3366,12)="@hotmail.com",RIGHT(B3366,9)="@live.com"),"Outlook","Domain")))</f>
        <v/>
      </c>
      <c r="F3366">
        <f>IF(B3366="","",IFERROR(RIGHT(B3366,LEN(B3366)-FIND("@",B3366)),""))</f>
        <v/>
      </c>
      <c r="G3366">
        <f>IF(D3366="KEEP",COUNTIF($D$2:D3366,"KEEP"),"")</f>
        <v/>
      </c>
      <c r="H3366">
        <f>IF(D3366="REMOVE",COUNTIF($D$2:D3366,"REMOVE"),"")</f>
        <v/>
      </c>
      <c r="I3366">
        <f>IF(E3366="Gmail",COUNTIF($E$2:E3366,"Gmail"),"")</f>
        <v/>
      </c>
      <c r="J3366">
        <f>IF(E3366="Outlook",COUNTIF($E$2:E3366,"Outlook"),"")</f>
        <v/>
      </c>
      <c r="K3366">
        <f>IF(E3366="Domain",COUNTIF($E$2:E3366,"Domain"),"")</f>
        <v/>
      </c>
    </row>
    <row r="3367">
      <c r="A3367" s="2" t="n"/>
      <c r="B3367">
        <f>LOWER(TRIM(A3367))</f>
        <v/>
      </c>
      <c r="C3367">
        <f>IF(B3367="","",IFERROR(INDEX('Bad Patterns'!$A$2:$A$120,MATCH(1,INDEX(--ISNUMBER(SEARCH('Bad Patterns'!$A$2:$A$120,B3367)),0),0)),""))</f>
        <v/>
      </c>
      <c r="D3367">
        <f>IF(B3367="","",IF(C3367&lt;&gt;"","REMOVE","KEEP"))</f>
        <v/>
      </c>
      <c r="E3367">
        <f>IF(D3367&lt;&gt;"KEEP","",IF(RIGHT(B3367,10)="@gmail.com","Gmail",IF(OR(RIGHT(B3367,12)="@outlook.com",RIGHT(B3367,12)="@hotmail.com",RIGHT(B3367,9)="@live.com"),"Outlook","Domain")))</f>
        <v/>
      </c>
      <c r="F3367">
        <f>IF(B3367="","",IFERROR(RIGHT(B3367,LEN(B3367)-FIND("@",B3367)),""))</f>
        <v/>
      </c>
      <c r="G3367">
        <f>IF(D3367="KEEP",COUNTIF($D$2:D3367,"KEEP"),"")</f>
        <v/>
      </c>
      <c r="H3367">
        <f>IF(D3367="REMOVE",COUNTIF($D$2:D3367,"REMOVE"),"")</f>
        <v/>
      </c>
      <c r="I3367">
        <f>IF(E3367="Gmail",COUNTIF($E$2:E3367,"Gmail"),"")</f>
        <v/>
      </c>
      <c r="J3367">
        <f>IF(E3367="Outlook",COUNTIF($E$2:E3367,"Outlook"),"")</f>
        <v/>
      </c>
      <c r="K3367">
        <f>IF(E3367="Domain",COUNTIF($E$2:E3367,"Domain"),"")</f>
        <v/>
      </c>
    </row>
    <row r="3368">
      <c r="A3368" s="2" t="n"/>
      <c r="B3368">
        <f>LOWER(TRIM(A3368))</f>
        <v/>
      </c>
      <c r="C3368">
        <f>IF(B3368="","",IFERROR(INDEX('Bad Patterns'!$A$2:$A$120,MATCH(1,INDEX(--ISNUMBER(SEARCH('Bad Patterns'!$A$2:$A$120,B3368)),0),0)),""))</f>
        <v/>
      </c>
      <c r="D3368">
        <f>IF(B3368="","",IF(C3368&lt;&gt;"","REMOVE","KEEP"))</f>
        <v/>
      </c>
      <c r="E3368">
        <f>IF(D3368&lt;&gt;"KEEP","",IF(RIGHT(B3368,10)="@gmail.com","Gmail",IF(OR(RIGHT(B3368,12)="@outlook.com",RIGHT(B3368,12)="@hotmail.com",RIGHT(B3368,9)="@live.com"),"Outlook","Domain")))</f>
        <v/>
      </c>
      <c r="F3368">
        <f>IF(B3368="","",IFERROR(RIGHT(B3368,LEN(B3368)-FIND("@",B3368)),""))</f>
        <v/>
      </c>
      <c r="G3368">
        <f>IF(D3368="KEEP",COUNTIF($D$2:D3368,"KEEP"),"")</f>
        <v/>
      </c>
      <c r="H3368">
        <f>IF(D3368="REMOVE",COUNTIF($D$2:D3368,"REMOVE"),"")</f>
        <v/>
      </c>
      <c r="I3368">
        <f>IF(E3368="Gmail",COUNTIF($E$2:E3368,"Gmail"),"")</f>
        <v/>
      </c>
      <c r="J3368">
        <f>IF(E3368="Outlook",COUNTIF($E$2:E3368,"Outlook"),"")</f>
        <v/>
      </c>
      <c r="K3368">
        <f>IF(E3368="Domain",COUNTIF($E$2:E3368,"Domain"),"")</f>
        <v/>
      </c>
    </row>
    <row r="3369">
      <c r="A3369" s="2" t="n"/>
      <c r="B3369">
        <f>LOWER(TRIM(A3369))</f>
        <v/>
      </c>
      <c r="C3369">
        <f>IF(B3369="","",IFERROR(INDEX('Bad Patterns'!$A$2:$A$120,MATCH(1,INDEX(--ISNUMBER(SEARCH('Bad Patterns'!$A$2:$A$120,B3369)),0),0)),""))</f>
        <v/>
      </c>
      <c r="D3369">
        <f>IF(B3369="","",IF(C3369&lt;&gt;"","REMOVE","KEEP"))</f>
        <v/>
      </c>
      <c r="E3369">
        <f>IF(D3369&lt;&gt;"KEEP","",IF(RIGHT(B3369,10)="@gmail.com","Gmail",IF(OR(RIGHT(B3369,12)="@outlook.com",RIGHT(B3369,12)="@hotmail.com",RIGHT(B3369,9)="@live.com"),"Outlook","Domain")))</f>
        <v/>
      </c>
      <c r="F3369">
        <f>IF(B3369="","",IFERROR(RIGHT(B3369,LEN(B3369)-FIND("@",B3369)),""))</f>
        <v/>
      </c>
      <c r="G3369">
        <f>IF(D3369="KEEP",COUNTIF($D$2:D3369,"KEEP"),"")</f>
        <v/>
      </c>
      <c r="H3369">
        <f>IF(D3369="REMOVE",COUNTIF($D$2:D3369,"REMOVE"),"")</f>
        <v/>
      </c>
      <c r="I3369">
        <f>IF(E3369="Gmail",COUNTIF($E$2:E3369,"Gmail"),"")</f>
        <v/>
      </c>
      <c r="J3369">
        <f>IF(E3369="Outlook",COUNTIF($E$2:E3369,"Outlook"),"")</f>
        <v/>
      </c>
      <c r="K3369">
        <f>IF(E3369="Domain",COUNTIF($E$2:E3369,"Domain"),"")</f>
        <v/>
      </c>
    </row>
    <row r="3370">
      <c r="A3370" s="2" t="n"/>
      <c r="B3370">
        <f>LOWER(TRIM(A3370))</f>
        <v/>
      </c>
      <c r="C3370">
        <f>IF(B3370="","",IFERROR(INDEX('Bad Patterns'!$A$2:$A$120,MATCH(1,INDEX(--ISNUMBER(SEARCH('Bad Patterns'!$A$2:$A$120,B3370)),0),0)),""))</f>
        <v/>
      </c>
      <c r="D3370">
        <f>IF(B3370="","",IF(C3370&lt;&gt;"","REMOVE","KEEP"))</f>
        <v/>
      </c>
      <c r="E3370">
        <f>IF(D3370&lt;&gt;"KEEP","",IF(RIGHT(B3370,10)="@gmail.com","Gmail",IF(OR(RIGHT(B3370,12)="@outlook.com",RIGHT(B3370,12)="@hotmail.com",RIGHT(B3370,9)="@live.com"),"Outlook","Domain")))</f>
        <v/>
      </c>
      <c r="F3370">
        <f>IF(B3370="","",IFERROR(RIGHT(B3370,LEN(B3370)-FIND("@",B3370)),""))</f>
        <v/>
      </c>
      <c r="G3370">
        <f>IF(D3370="KEEP",COUNTIF($D$2:D3370,"KEEP"),"")</f>
        <v/>
      </c>
      <c r="H3370">
        <f>IF(D3370="REMOVE",COUNTIF($D$2:D3370,"REMOVE"),"")</f>
        <v/>
      </c>
      <c r="I3370">
        <f>IF(E3370="Gmail",COUNTIF($E$2:E3370,"Gmail"),"")</f>
        <v/>
      </c>
      <c r="J3370">
        <f>IF(E3370="Outlook",COUNTIF($E$2:E3370,"Outlook"),"")</f>
        <v/>
      </c>
      <c r="K3370">
        <f>IF(E3370="Domain",COUNTIF($E$2:E3370,"Domain"),"")</f>
        <v/>
      </c>
    </row>
    <row r="3371">
      <c r="A3371" s="2" t="n"/>
      <c r="B3371">
        <f>LOWER(TRIM(A3371))</f>
        <v/>
      </c>
      <c r="C3371">
        <f>IF(B3371="","",IFERROR(INDEX('Bad Patterns'!$A$2:$A$120,MATCH(1,INDEX(--ISNUMBER(SEARCH('Bad Patterns'!$A$2:$A$120,B3371)),0),0)),""))</f>
        <v/>
      </c>
      <c r="D3371">
        <f>IF(B3371="","",IF(C3371&lt;&gt;"","REMOVE","KEEP"))</f>
        <v/>
      </c>
      <c r="E3371">
        <f>IF(D3371&lt;&gt;"KEEP","",IF(RIGHT(B3371,10)="@gmail.com","Gmail",IF(OR(RIGHT(B3371,12)="@outlook.com",RIGHT(B3371,12)="@hotmail.com",RIGHT(B3371,9)="@live.com"),"Outlook","Domain")))</f>
        <v/>
      </c>
      <c r="F3371">
        <f>IF(B3371="","",IFERROR(RIGHT(B3371,LEN(B3371)-FIND("@",B3371)),""))</f>
        <v/>
      </c>
      <c r="G3371">
        <f>IF(D3371="KEEP",COUNTIF($D$2:D3371,"KEEP"),"")</f>
        <v/>
      </c>
      <c r="H3371">
        <f>IF(D3371="REMOVE",COUNTIF($D$2:D3371,"REMOVE"),"")</f>
        <v/>
      </c>
      <c r="I3371">
        <f>IF(E3371="Gmail",COUNTIF($E$2:E3371,"Gmail"),"")</f>
        <v/>
      </c>
      <c r="J3371">
        <f>IF(E3371="Outlook",COUNTIF($E$2:E3371,"Outlook"),"")</f>
        <v/>
      </c>
      <c r="K3371">
        <f>IF(E3371="Domain",COUNTIF($E$2:E3371,"Domain"),"")</f>
        <v/>
      </c>
    </row>
    <row r="3372">
      <c r="A3372" s="2" t="n"/>
      <c r="B3372">
        <f>LOWER(TRIM(A3372))</f>
        <v/>
      </c>
      <c r="C3372">
        <f>IF(B3372="","",IFERROR(INDEX('Bad Patterns'!$A$2:$A$120,MATCH(1,INDEX(--ISNUMBER(SEARCH('Bad Patterns'!$A$2:$A$120,B3372)),0),0)),""))</f>
        <v/>
      </c>
      <c r="D3372">
        <f>IF(B3372="","",IF(C3372&lt;&gt;"","REMOVE","KEEP"))</f>
        <v/>
      </c>
      <c r="E3372">
        <f>IF(D3372&lt;&gt;"KEEP","",IF(RIGHT(B3372,10)="@gmail.com","Gmail",IF(OR(RIGHT(B3372,12)="@outlook.com",RIGHT(B3372,12)="@hotmail.com",RIGHT(B3372,9)="@live.com"),"Outlook","Domain")))</f>
        <v/>
      </c>
      <c r="F3372">
        <f>IF(B3372="","",IFERROR(RIGHT(B3372,LEN(B3372)-FIND("@",B3372)),""))</f>
        <v/>
      </c>
      <c r="G3372">
        <f>IF(D3372="KEEP",COUNTIF($D$2:D3372,"KEEP"),"")</f>
        <v/>
      </c>
      <c r="H3372">
        <f>IF(D3372="REMOVE",COUNTIF($D$2:D3372,"REMOVE"),"")</f>
        <v/>
      </c>
      <c r="I3372">
        <f>IF(E3372="Gmail",COUNTIF($E$2:E3372,"Gmail"),"")</f>
        <v/>
      </c>
      <c r="J3372">
        <f>IF(E3372="Outlook",COUNTIF($E$2:E3372,"Outlook"),"")</f>
        <v/>
      </c>
      <c r="K3372">
        <f>IF(E3372="Domain",COUNTIF($E$2:E3372,"Domain"),"")</f>
        <v/>
      </c>
    </row>
    <row r="3373">
      <c r="A3373" s="2" t="n"/>
      <c r="B3373">
        <f>LOWER(TRIM(A3373))</f>
        <v/>
      </c>
      <c r="C3373">
        <f>IF(B3373="","",IFERROR(INDEX('Bad Patterns'!$A$2:$A$120,MATCH(1,INDEX(--ISNUMBER(SEARCH('Bad Patterns'!$A$2:$A$120,B3373)),0),0)),""))</f>
        <v/>
      </c>
      <c r="D3373">
        <f>IF(B3373="","",IF(C3373&lt;&gt;"","REMOVE","KEEP"))</f>
        <v/>
      </c>
      <c r="E3373">
        <f>IF(D3373&lt;&gt;"KEEP","",IF(RIGHT(B3373,10)="@gmail.com","Gmail",IF(OR(RIGHT(B3373,12)="@outlook.com",RIGHT(B3373,12)="@hotmail.com",RIGHT(B3373,9)="@live.com"),"Outlook","Domain")))</f>
        <v/>
      </c>
      <c r="F3373">
        <f>IF(B3373="","",IFERROR(RIGHT(B3373,LEN(B3373)-FIND("@",B3373)),""))</f>
        <v/>
      </c>
      <c r="G3373">
        <f>IF(D3373="KEEP",COUNTIF($D$2:D3373,"KEEP"),"")</f>
        <v/>
      </c>
      <c r="H3373">
        <f>IF(D3373="REMOVE",COUNTIF($D$2:D3373,"REMOVE"),"")</f>
        <v/>
      </c>
      <c r="I3373">
        <f>IF(E3373="Gmail",COUNTIF($E$2:E3373,"Gmail"),"")</f>
        <v/>
      </c>
      <c r="J3373">
        <f>IF(E3373="Outlook",COUNTIF($E$2:E3373,"Outlook"),"")</f>
        <v/>
      </c>
      <c r="K3373">
        <f>IF(E3373="Domain",COUNTIF($E$2:E3373,"Domain"),"")</f>
        <v/>
      </c>
    </row>
    <row r="3374">
      <c r="A3374" s="2" t="n"/>
      <c r="B3374">
        <f>LOWER(TRIM(A3374))</f>
        <v/>
      </c>
      <c r="C3374">
        <f>IF(B3374="","",IFERROR(INDEX('Bad Patterns'!$A$2:$A$120,MATCH(1,INDEX(--ISNUMBER(SEARCH('Bad Patterns'!$A$2:$A$120,B3374)),0),0)),""))</f>
        <v/>
      </c>
      <c r="D3374">
        <f>IF(B3374="","",IF(C3374&lt;&gt;"","REMOVE","KEEP"))</f>
        <v/>
      </c>
      <c r="E3374">
        <f>IF(D3374&lt;&gt;"KEEP","",IF(RIGHT(B3374,10)="@gmail.com","Gmail",IF(OR(RIGHT(B3374,12)="@outlook.com",RIGHT(B3374,12)="@hotmail.com",RIGHT(B3374,9)="@live.com"),"Outlook","Domain")))</f>
        <v/>
      </c>
      <c r="F3374">
        <f>IF(B3374="","",IFERROR(RIGHT(B3374,LEN(B3374)-FIND("@",B3374)),""))</f>
        <v/>
      </c>
      <c r="G3374">
        <f>IF(D3374="KEEP",COUNTIF($D$2:D3374,"KEEP"),"")</f>
        <v/>
      </c>
      <c r="H3374">
        <f>IF(D3374="REMOVE",COUNTIF($D$2:D3374,"REMOVE"),"")</f>
        <v/>
      </c>
      <c r="I3374">
        <f>IF(E3374="Gmail",COUNTIF($E$2:E3374,"Gmail"),"")</f>
        <v/>
      </c>
      <c r="J3374">
        <f>IF(E3374="Outlook",COUNTIF($E$2:E3374,"Outlook"),"")</f>
        <v/>
      </c>
      <c r="K3374">
        <f>IF(E3374="Domain",COUNTIF($E$2:E3374,"Domain"),"")</f>
        <v/>
      </c>
    </row>
    <row r="3375">
      <c r="A3375" s="2" t="n"/>
      <c r="B3375">
        <f>LOWER(TRIM(A3375))</f>
        <v/>
      </c>
      <c r="C3375">
        <f>IF(B3375="","",IFERROR(INDEX('Bad Patterns'!$A$2:$A$120,MATCH(1,INDEX(--ISNUMBER(SEARCH('Bad Patterns'!$A$2:$A$120,B3375)),0),0)),""))</f>
        <v/>
      </c>
      <c r="D3375">
        <f>IF(B3375="","",IF(C3375&lt;&gt;"","REMOVE","KEEP"))</f>
        <v/>
      </c>
      <c r="E3375">
        <f>IF(D3375&lt;&gt;"KEEP","",IF(RIGHT(B3375,10)="@gmail.com","Gmail",IF(OR(RIGHT(B3375,12)="@outlook.com",RIGHT(B3375,12)="@hotmail.com",RIGHT(B3375,9)="@live.com"),"Outlook","Domain")))</f>
        <v/>
      </c>
      <c r="F3375">
        <f>IF(B3375="","",IFERROR(RIGHT(B3375,LEN(B3375)-FIND("@",B3375)),""))</f>
        <v/>
      </c>
      <c r="G3375">
        <f>IF(D3375="KEEP",COUNTIF($D$2:D3375,"KEEP"),"")</f>
        <v/>
      </c>
      <c r="H3375">
        <f>IF(D3375="REMOVE",COUNTIF($D$2:D3375,"REMOVE"),"")</f>
        <v/>
      </c>
      <c r="I3375">
        <f>IF(E3375="Gmail",COUNTIF($E$2:E3375,"Gmail"),"")</f>
        <v/>
      </c>
      <c r="J3375">
        <f>IF(E3375="Outlook",COUNTIF($E$2:E3375,"Outlook"),"")</f>
        <v/>
      </c>
      <c r="K3375">
        <f>IF(E3375="Domain",COUNTIF($E$2:E3375,"Domain"),"")</f>
        <v/>
      </c>
    </row>
    <row r="3376">
      <c r="A3376" s="2" t="n"/>
      <c r="B3376">
        <f>LOWER(TRIM(A3376))</f>
        <v/>
      </c>
      <c r="C3376">
        <f>IF(B3376="","",IFERROR(INDEX('Bad Patterns'!$A$2:$A$120,MATCH(1,INDEX(--ISNUMBER(SEARCH('Bad Patterns'!$A$2:$A$120,B3376)),0),0)),""))</f>
        <v/>
      </c>
      <c r="D3376">
        <f>IF(B3376="","",IF(C3376&lt;&gt;"","REMOVE","KEEP"))</f>
        <v/>
      </c>
      <c r="E3376">
        <f>IF(D3376&lt;&gt;"KEEP","",IF(RIGHT(B3376,10)="@gmail.com","Gmail",IF(OR(RIGHT(B3376,12)="@outlook.com",RIGHT(B3376,12)="@hotmail.com",RIGHT(B3376,9)="@live.com"),"Outlook","Domain")))</f>
        <v/>
      </c>
      <c r="F3376">
        <f>IF(B3376="","",IFERROR(RIGHT(B3376,LEN(B3376)-FIND("@",B3376)),""))</f>
        <v/>
      </c>
      <c r="G3376">
        <f>IF(D3376="KEEP",COUNTIF($D$2:D3376,"KEEP"),"")</f>
        <v/>
      </c>
      <c r="H3376">
        <f>IF(D3376="REMOVE",COUNTIF($D$2:D3376,"REMOVE"),"")</f>
        <v/>
      </c>
      <c r="I3376">
        <f>IF(E3376="Gmail",COUNTIF($E$2:E3376,"Gmail"),"")</f>
        <v/>
      </c>
      <c r="J3376">
        <f>IF(E3376="Outlook",COUNTIF($E$2:E3376,"Outlook"),"")</f>
        <v/>
      </c>
      <c r="K3376">
        <f>IF(E3376="Domain",COUNTIF($E$2:E3376,"Domain"),"")</f>
        <v/>
      </c>
    </row>
    <row r="3377">
      <c r="A3377" s="2" t="n"/>
      <c r="B3377">
        <f>LOWER(TRIM(A3377))</f>
        <v/>
      </c>
      <c r="C3377">
        <f>IF(B3377="","",IFERROR(INDEX('Bad Patterns'!$A$2:$A$120,MATCH(1,INDEX(--ISNUMBER(SEARCH('Bad Patterns'!$A$2:$A$120,B3377)),0),0)),""))</f>
        <v/>
      </c>
      <c r="D3377">
        <f>IF(B3377="","",IF(C3377&lt;&gt;"","REMOVE","KEEP"))</f>
        <v/>
      </c>
      <c r="E3377">
        <f>IF(D3377&lt;&gt;"KEEP","",IF(RIGHT(B3377,10)="@gmail.com","Gmail",IF(OR(RIGHT(B3377,12)="@outlook.com",RIGHT(B3377,12)="@hotmail.com",RIGHT(B3377,9)="@live.com"),"Outlook","Domain")))</f>
        <v/>
      </c>
      <c r="F3377">
        <f>IF(B3377="","",IFERROR(RIGHT(B3377,LEN(B3377)-FIND("@",B3377)),""))</f>
        <v/>
      </c>
      <c r="G3377">
        <f>IF(D3377="KEEP",COUNTIF($D$2:D3377,"KEEP"),"")</f>
        <v/>
      </c>
      <c r="H3377">
        <f>IF(D3377="REMOVE",COUNTIF($D$2:D3377,"REMOVE"),"")</f>
        <v/>
      </c>
      <c r="I3377">
        <f>IF(E3377="Gmail",COUNTIF($E$2:E3377,"Gmail"),"")</f>
        <v/>
      </c>
      <c r="J3377">
        <f>IF(E3377="Outlook",COUNTIF($E$2:E3377,"Outlook"),"")</f>
        <v/>
      </c>
      <c r="K3377">
        <f>IF(E3377="Domain",COUNTIF($E$2:E3377,"Domain"),"")</f>
        <v/>
      </c>
    </row>
    <row r="3378">
      <c r="A3378" s="2" t="n"/>
      <c r="B3378">
        <f>LOWER(TRIM(A3378))</f>
        <v/>
      </c>
      <c r="C3378">
        <f>IF(B3378="","",IFERROR(INDEX('Bad Patterns'!$A$2:$A$120,MATCH(1,INDEX(--ISNUMBER(SEARCH('Bad Patterns'!$A$2:$A$120,B3378)),0),0)),""))</f>
        <v/>
      </c>
      <c r="D3378">
        <f>IF(B3378="","",IF(C3378&lt;&gt;"","REMOVE","KEEP"))</f>
        <v/>
      </c>
      <c r="E3378">
        <f>IF(D3378&lt;&gt;"KEEP","",IF(RIGHT(B3378,10)="@gmail.com","Gmail",IF(OR(RIGHT(B3378,12)="@outlook.com",RIGHT(B3378,12)="@hotmail.com",RIGHT(B3378,9)="@live.com"),"Outlook","Domain")))</f>
        <v/>
      </c>
      <c r="F3378">
        <f>IF(B3378="","",IFERROR(RIGHT(B3378,LEN(B3378)-FIND("@",B3378)),""))</f>
        <v/>
      </c>
      <c r="G3378">
        <f>IF(D3378="KEEP",COUNTIF($D$2:D3378,"KEEP"),"")</f>
        <v/>
      </c>
      <c r="H3378">
        <f>IF(D3378="REMOVE",COUNTIF($D$2:D3378,"REMOVE"),"")</f>
        <v/>
      </c>
      <c r="I3378">
        <f>IF(E3378="Gmail",COUNTIF($E$2:E3378,"Gmail"),"")</f>
        <v/>
      </c>
      <c r="J3378">
        <f>IF(E3378="Outlook",COUNTIF($E$2:E3378,"Outlook"),"")</f>
        <v/>
      </c>
      <c r="K3378">
        <f>IF(E3378="Domain",COUNTIF($E$2:E3378,"Domain"),"")</f>
        <v/>
      </c>
    </row>
    <row r="3379">
      <c r="A3379" s="2" t="n"/>
      <c r="B3379">
        <f>LOWER(TRIM(A3379))</f>
        <v/>
      </c>
      <c r="C3379">
        <f>IF(B3379="","",IFERROR(INDEX('Bad Patterns'!$A$2:$A$120,MATCH(1,INDEX(--ISNUMBER(SEARCH('Bad Patterns'!$A$2:$A$120,B3379)),0),0)),""))</f>
        <v/>
      </c>
      <c r="D3379">
        <f>IF(B3379="","",IF(C3379&lt;&gt;"","REMOVE","KEEP"))</f>
        <v/>
      </c>
      <c r="E3379">
        <f>IF(D3379&lt;&gt;"KEEP","",IF(RIGHT(B3379,10)="@gmail.com","Gmail",IF(OR(RIGHT(B3379,12)="@outlook.com",RIGHT(B3379,12)="@hotmail.com",RIGHT(B3379,9)="@live.com"),"Outlook","Domain")))</f>
        <v/>
      </c>
      <c r="F3379">
        <f>IF(B3379="","",IFERROR(RIGHT(B3379,LEN(B3379)-FIND("@",B3379)),""))</f>
        <v/>
      </c>
      <c r="G3379">
        <f>IF(D3379="KEEP",COUNTIF($D$2:D3379,"KEEP"),"")</f>
        <v/>
      </c>
      <c r="H3379">
        <f>IF(D3379="REMOVE",COUNTIF($D$2:D3379,"REMOVE"),"")</f>
        <v/>
      </c>
      <c r="I3379">
        <f>IF(E3379="Gmail",COUNTIF($E$2:E3379,"Gmail"),"")</f>
        <v/>
      </c>
      <c r="J3379">
        <f>IF(E3379="Outlook",COUNTIF($E$2:E3379,"Outlook"),"")</f>
        <v/>
      </c>
      <c r="K3379">
        <f>IF(E3379="Domain",COUNTIF($E$2:E3379,"Domain"),"")</f>
        <v/>
      </c>
    </row>
    <row r="3380">
      <c r="A3380" s="2" t="n"/>
      <c r="B3380">
        <f>LOWER(TRIM(A3380))</f>
        <v/>
      </c>
      <c r="C3380">
        <f>IF(B3380="","",IFERROR(INDEX('Bad Patterns'!$A$2:$A$120,MATCH(1,INDEX(--ISNUMBER(SEARCH('Bad Patterns'!$A$2:$A$120,B3380)),0),0)),""))</f>
        <v/>
      </c>
      <c r="D3380">
        <f>IF(B3380="","",IF(C3380&lt;&gt;"","REMOVE","KEEP"))</f>
        <v/>
      </c>
      <c r="E3380">
        <f>IF(D3380&lt;&gt;"KEEP","",IF(RIGHT(B3380,10)="@gmail.com","Gmail",IF(OR(RIGHT(B3380,12)="@outlook.com",RIGHT(B3380,12)="@hotmail.com",RIGHT(B3380,9)="@live.com"),"Outlook","Domain")))</f>
        <v/>
      </c>
      <c r="F3380">
        <f>IF(B3380="","",IFERROR(RIGHT(B3380,LEN(B3380)-FIND("@",B3380)),""))</f>
        <v/>
      </c>
      <c r="G3380">
        <f>IF(D3380="KEEP",COUNTIF($D$2:D3380,"KEEP"),"")</f>
        <v/>
      </c>
      <c r="H3380">
        <f>IF(D3380="REMOVE",COUNTIF($D$2:D3380,"REMOVE"),"")</f>
        <v/>
      </c>
      <c r="I3380">
        <f>IF(E3380="Gmail",COUNTIF($E$2:E3380,"Gmail"),"")</f>
        <v/>
      </c>
      <c r="J3380">
        <f>IF(E3380="Outlook",COUNTIF($E$2:E3380,"Outlook"),"")</f>
        <v/>
      </c>
      <c r="K3380">
        <f>IF(E3380="Domain",COUNTIF($E$2:E3380,"Domain"),"")</f>
        <v/>
      </c>
    </row>
    <row r="3381">
      <c r="A3381" s="2" t="n"/>
      <c r="B3381">
        <f>LOWER(TRIM(A3381))</f>
        <v/>
      </c>
      <c r="C3381">
        <f>IF(B3381="","",IFERROR(INDEX('Bad Patterns'!$A$2:$A$120,MATCH(1,INDEX(--ISNUMBER(SEARCH('Bad Patterns'!$A$2:$A$120,B3381)),0),0)),""))</f>
        <v/>
      </c>
      <c r="D3381">
        <f>IF(B3381="","",IF(C3381&lt;&gt;"","REMOVE","KEEP"))</f>
        <v/>
      </c>
      <c r="E3381">
        <f>IF(D3381&lt;&gt;"KEEP","",IF(RIGHT(B3381,10)="@gmail.com","Gmail",IF(OR(RIGHT(B3381,12)="@outlook.com",RIGHT(B3381,12)="@hotmail.com",RIGHT(B3381,9)="@live.com"),"Outlook","Domain")))</f>
        <v/>
      </c>
      <c r="F3381">
        <f>IF(B3381="","",IFERROR(RIGHT(B3381,LEN(B3381)-FIND("@",B3381)),""))</f>
        <v/>
      </c>
      <c r="G3381">
        <f>IF(D3381="KEEP",COUNTIF($D$2:D3381,"KEEP"),"")</f>
        <v/>
      </c>
      <c r="H3381">
        <f>IF(D3381="REMOVE",COUNTIF($D$2:D3381,"REMOVE"),"")</f>
        <v/>
      </c>
      <c r="I3381">
        <f>IF(E3381="Gmail",COUNTIF($E$2:E3381,"Gmail"),"")</f>
        <v/>
      </c>
      <c r="J3381">
        <f>IF(E3381="Outlook",COUNTIF($E$2:E3381,"Outlook"),"")</f>
        <v/>
      </c>
      <c r="K3381">
        <f>IF(E3381="Domain",COUNTIF($E$2:E3381,"Domain"),"")</f>
        <v/>
      </c>
    </row>
    <row r="3382">
      <c r="A3382" s="2" t="n"/>
      <c r="B3382">
        <f>LOWER(TRIM(A3382))</f>
        <v/>
      </c>
      <c r="C3382">
        <f>IF(B3382="","",IFERROR(INDEX('Bad Patterns'!$A$2:$A$120,MATCH(1,INDEX(--ISNUMBER(SEARCH('Bad Patterns'!$A$2:$A$120,B3382)),0),0)),""))</f>
        <v/>
      </c>
      <c r="D3382">
        <f>IF(B3382="","",IF(C3382&lt;&gt;"","REMOVE","KEEP"))</f>
        <v/>
      </c>
      <c r="E3382">
        <f>IF(D3382&lt;&gt;"KEEP","",IF(RIGHT(B3382,10)="@gmail.com","Gmail",IF(OR(RIGHT(B3382,12)="@outlook.com",RIGHT(B3382,12)="@hotmail.com",RIGHT(B3382,9)="@live.com"),"Outlook","Domain")))</f>
        <v/>
      </c>
      <c r="F3382">
        <f>IF(B3382="","",IFERROR(RIGHT(B3382,LEN(B3382)-FIND("@",B3382)),""))</f>
        <v/>
      </c>
      <c r="G3382">
        <f>IF(D3382="KEEP",COUNTIF($D$2:D3382,"KEEP"),"")</f>
        <v/>
      </c>
      <c r="H3382">
        <f>IF(D3382="REMOVE",COUNTIF($D$2:D3382,"REMOVE"),"")</f>
        <v/>
      </c>
      <c r="I3382">
        <f>IF(E3382="Gmail",COUNTIF($E$2:E3382,"Gmail"),"")</f>
        <v/>
      </c>
      <c r="J3382">
        <f>IF(E3382="Outlook",COUNTIF($E$2:E3382,"Outlook"),"")</f>
        <v/>
      </c>
      <c r="K3382">
        <f>IF(E3382="Domain",COUNTIF($E$2:E3382,"Domain"),"")</f>
        <v/>
      </c>
    </row>
    <row r="3383">
      <c r="A3383" s="2" t="n"/>
      <c r="B3383">
        <f>LOWER(TRIM(A3383))</f>
        <v/>
      </c>
      <c r="C3383">
        <f>IF(B3383="","",IFERROR(INDEX('Bad Patterns'!$A$2:$A$120,MATCH(1,INDEX(--ISNUMBER(SEARCH('Bad Patterns'!$A$2:$A$120,B3383)),0),0)),""))</f>
        <v/>
      </c>
      <c r="D3383">
        <f>IF(B3383="","",IF(C3383&lt;&gt;"","REMOVE","KEEP"))</f>
        <v/>
      </c>
      <c r="E3383">
        <f>IF(D3383&lt;&gt;"KEEP","",IF(RIGHT(B3383,10)="@gmail.com","Gmail",IF(OR(RIGHT(B3383,12)="@outlook.com",RIGHT(B3383,12)="@hotmail.com",RIGHT(B3383,9)="@live.com"),"Outlook","Domain")))</f>
        <v/>
      </c>
      <c r="F3383">
        <f>IF(B3383="","",IFERROR(RIGHT(B3383,LEN(B3383)-FIND("@",B3383)),""))</f>
        <v/>
      </c>
      <c r="G3383">
        <f>IF(D3383="KEEP",COUNTIF($D$2:D3383,"KEEP"),"")</f>
        <v/>
      </c>
      <c r="H3383">
        <f>IF(D3383="REMOVE",COUNTIF($D$2:D3383,"REMOVE"),"")</f>
        <v/>
      </c>
      <c r="I3383">
        <f>IF(E3383="Gmail",COUNTIF($E$2:E3383,"Gmail"),"")</f>
        <v/>
      </c>
      <c r="J3383">
        <f>IF(E3383="Outlook",COUNTIF($E$2:E3383,"Outlook"),"")</f>
        <v/>
      </c>
      <c r="K3383">
        <f>IF(E3383="Domain",COUNTIF($E$2:E3383,"Domain"),"")</f>
        <v/>
      </c>
    </row>
    <row r="3384">
      <c r="A3384" s="2" t="n"/>
      <c r="B3384">
        <f>LOWER(TRIM(A3384))</f>
        <v/>
      </c>
      <c r="C3384">
        <f>IF(B3384="","",IFERROR(INDEX('Bad Patterns'!$A$2:$A$120,MATCH(1,INDEX(--ISNUMBER(SEARCH('Bad Patterns'!$A$2:$A$120,B3384)),0),0)),""))</f>
        <v/>
      </c>
      <c r="D3384">
        <f>IF(B3384="","",IF(C3384&lt;&gt;"","REMOVE","KEEP"))</f>
        <v/>
      </c>
      <c r="E3384">
        <f>IF(D3384&lt;&gt;"KEEP","",IF(RIGHT(B3384,10)="@gmail.com","Gmail",IF(OR(RIGHT(B3384,12)="@outlook.com",RIGHT(B3384,12)="@hotmail.com",RIGHT(B3384,9)="@live.com"),"Outlook","Domain")))</f>
        <v/>
      </c>
      <c r="F3384">
        <f>IF(B3384="","",IFERROR(RIGHT(B3384,LEN(B3384)-FIND("@",B3384)),""))</f>
        <v/>
      </c>
      <c r="G3384">
        <f>IF(D3384="KEEP",COUNTIF($D$2:D3384,"KEEP"),"")</f>
        <v/>
      </c>
      <c r="H3384">
        <f>IF(D3384="REMOVE",COUNTIF($D$2:D3384,"REMOVE"),"")</f>
        <v/>
      </c>
      <c r="I3384">
        <f>IF(E3384="Gmail",COUNTIF($E$2:E3384,"Gmail"),"")</f>
        <v/>
      </c>
      <c r="J3384">
        <f>IF(E3384="Outlook",COUNTIF($E$2:E3384,"Outlook"),"")</f>
        <v/>
      </c>
      <c r="K3384">
        <f>IF(E3384="Domain",COUNTIF($E$2:E3384,"Domain"),"")</f>
        <v/>
      </c>
    </row>
    <row r="3385">
      <c r="A3385" s="2" t="n"/>
      <c r="B3385">
        <f>LOWER(TRIM(A3385))</f>
        <v/>
      </c>
      <c r="C3385">
        <f>IF(B3385="","",IFERROR(INDEX('Bad Patterns'!$A$2:$A$120,MATCH(1,INDEX(--ISNUMBER(SEARCH('Bad Patterns'!$A$2:$A$120,B3385)),0),0)),""))</f>
        <v/>
      </c>
      <c r="D3385">
        <f>IF(B3385="","",IF(C3385&lt;&gt;"","REMOVE","KEEP"))</f>
        <v/>
      </c>
      <c r="E3385">
        <f>IF(D3385&lt;&gt;"KEEP","",IF(RIGHT(B3385,10)="@gmail.com","Gmail",IF(OR(RIGHT(B3385,12)="@outlook.com",RIGHT(B3385,12)="@hotmail.com",RIGHT(B3385,9)="@live.com"),"Outlook","Domain")))</f>
        <v/>
      </c>
      <c r="F3385">
        <f>IF(B3385="","",IFERROR(RIGHT(B3385,LEN(B3385)-FIND("@",B3385)),""))</f>
        <v/>
      </c>
      <c r="G3385">
        <f>IF(D3385="KEEP",COUNTIF($D$2:D3385,"KEEP"),"")</f>
        <v/>
      </c>
      <c r="H3385">
        <f>IF(D3385="REMOVE",COUNTIF($D$2:D3385,"REMOVE"),"")</f>
        <v/>
      </c>
      <c r="I3385">
        <f>IF(E3385="Gmail",COUNTIF($E$2:E3385,"Gmail"),"")</f>
        <v/>
      </c>
      <c r="J3385">
        <f>IF(E3385="Outlook",COUNTIF($E$2:E3385,"Outlook"),"")</f>
        <v/>
      </c>
      <c r="K3385">
        <f>IF(E3385="Domain",COUNTIF($E$2:E3385,"Domain"),"")</f>
        <v/>
      </c>
    </row>
    <row r="3386">
      <c r="A3386" s="2" t="n"/>
      <c r="B3386">
        <f>LOWER(TRIM(A3386))</f>
        <v/>
      </c>
      <c r="C3386">
        <f>IF(B3386="","",IFERROR(INDEX('Bad Patterns'!$A$2:$A$120,MATCH(1,INDEX(--ISNUMBER(SEARCH('Bad Patterns'!$A$2:$A$120,B3386)),0),0)),""))</f>
        <v/>
      </c>
      <c r="D3386">
        <f>IF(B3386="","",IF(C3386&lt;&gt;"","REMOVE","KEEP"))</f>
        <v/>
      </c>
      <c r="E3386">
        <f>IF(D3386&lt;&gt;"KEEP","",IF(RIGHT(B3386,10)="@gmail.com","Gmail",IF(OR(RIGHT(B3386,12)="@outlook.com",RIGHT(B3386,12)="@hotmail.com",RIGHT(B3386,9)="@live.com"),"Outlook","Domain")))</f>
        <v/>
      </c>
      <c r="F3386">
        <f>IF(B3386="","",IFERROR(RIGHT(B3386,LEN(B3386)-FIND("@",B3386)),""))</f>
        <v/>
      </c>
      <c r="G3386">
        <f>IF(D3386="KEEP",COUNTIF($D$2:D3386,"KEEP"),"")</f>
        <v/>
      </c>
      <c r="H3386">
        <f>IF(D3386="REMOVE",COUNTIF($D$2:D3386,"REMOVE"),"")</f>
        <v/>
      </c>
      <c r="I3386">
        <f>IF(E3386="Gmail",COUNTIF($E$2:E3386,"Gmail"),"")</f>
        <v/>
      </c>
      <c r="J3386">
        <f>IF(E3386="Outlook",COUNTIF($E$2:E3386,"Outlook"),"")</f>
        <v/>
      </c>
      <c r="K3386">
        <f>IF(E3386="Domain",COUNTIF($E$2:E3386,"Domain"),"")</f>
        <v/>
      </c>
    </row>
    <row r="3387">
      <c r="A3387" s="2" t="n"/>
      <c r="B3387">
        <f>LOWER(TRIM(A3387))</f>
        <v/>
      </c>
      <c r="C3387">
        <f>IF(B3387="","",IFERROR(INDEX('Bad Patterns'!$A$2:$A$120,MATCH(1,INDEX(--ISNUMBER(SEARCH('Bad Patterns'!$A$2:$A$120,B3387)),0),0)),""))</f>
        <v/>
      </c>
      <c r="D3387">
        <f>IF(B3387="","",IF(C3387&lt;&gt;"","REMOVE","KEEP"))</f>
        <v/>
      </c>
      <c r="E3387">
        <f>IF(D3387&lt;&gt;"KEEP","",IF(RIGHT(B3387,10)="@gmail.com","Gmail",IF(OR(RIGHT(B3387,12)="@outlook.com",RIGHT(B3387,12)="@hotmail.com",RIGHT(B3387,9)="@live.com"),"Outlook","Domain")))</f>
        <v/>
      </c>
      <c r="F3387">
        <f>IF(B3387="","",IFERROR(RIGHT(B3387,LEN(B3387)-FIND("@",B3387)),""))</f>
        <v/>
      </c>
      <c r="G3387">
        <f>IF(D3387="KEEP",COUNTIF($D$2:D3387,"KEEP"),"")</f>
        <v/>
      </c>
      <c r="H3387">
        <f>IF(D3387="REMOVE",COUNTIF($D$2:D3387,"REMOVE"),"")</f>
        <v/>
      </c>
      <c r="I3387">
        <f>IF(E3387="Gmail",COUNTIF($E$2:E3387,"Gmail"),"")</f>
        <v/>
      </c>
      <c r="J3387">
        <f>IF(E3387="Outlook",COUNTIF($E$2:E3387,"Outlook"),"")</f>
        <v/>
      </c>
      <c r="K3387">
        <f>IF(E3387="Domain",COUNTIF($E$2:E3387,"Domain"),"")</f>
        <v/>
      </c>
    </row>
    <row r="3388">
      <c r="A3388" s="2" t="n"/>
      <c r="B3388">
        <f>LOWER(TRIM(A3388))</f>
        <v/>
      </c>
      <c r="C3388">
        <f>IF(B3388="","",IFERROR(INDEX('Bad Patterns'!$A$2:$A$120,MATCH(1,INDEX(--ISNUMBER(SEARCH('Bad Patterns'!$A$2:$A$120,B3388)),0),0)),""))</f>
        <v/>
      </c>
      <c r="D3388">
        <f>IF(B3388="","",IF(C3388&lt;&gt;"","REMOVE","KEEP"))</f>
        <v/>
      </c>
      <c r="E3388">
        <f>IF(D3388&lt;&gt;"KEEP","",IF(RIGHT(B3388,10)="@gmail.com","Gmail",IF(OR(RIGHT(B3388,12)="@outlook.com",RIGHT(B3388,12)="@hotmail.com",RIGHT(B3388,9)="@live.com"),"Outlook","Domain")))</f>
        <v/>
      </c>
      <c r="F3388">
        <f>IF(B3388="","",IFERROR(RIGHT(B3388,LEN(B3388)-FIND("@",B3388)),""))</f>
        <v/>
      </c>
      <c r="G3388">
        <f>IF(D3388="KEEP",COUNTIF($D$2:D3388,"KEEP"),"")</f>
        <v/>
      </c>
      <c r="H3388">
        <f>IF(D3388="REMOVE",COUNTIF($D$2:D3388,"REMOVE"),"")</f>
        <v/>
      </c>
      <c r="I3388">
        <f>IF(E3388="Gmail",COUNTIF($E$2:E3388,"Gmail"),"")</f>
        <v/>
      </c>
      <c r="J3388">
        <f>IF(E3388="Outlook",COUNTIF($E$2:E3388,"Outlook"),"")</f>
        <v/>
      </c>
      <c r="K3388">
        <f>IF(E3388="Domain",COUNTIF($E$2:E3388,"Domain"),"")</f>
        <v/>
      </c>
    </row>
    <row r="3389">
      <c r="A3389" s="2" t="n"/>
      <c r="B3389">
        <f>LOWER(TRIM(A3389))</f>
        <v/>
      </c>
      <c r="C3389">
        <f>IF(B3389="","",IFERROR(INDEX('Bad Patterns'!$A$2:$A$120,MATCH(1,INDEX(--ISNUMBER(SEARCH('Bad Patterns'!$A$2:$A$120,B3389)),0),0)),""))</f>
        <v/>
      </c>
      <c r="D3389">
        <f>IF(B3389="","",IF(C3389&lt;&gt;"","REMOVE","KEEP"))</f>
        <v/>
      </c>
      <c r="E3389">
        <f>IF(D3389&lt;&gt;"KEEP","",IF(RIGHT(B3389,10)="@gmail.com","Gmail",IF(OR(RIGHT(B3389,12)="@outlook.com",RIGHT(B3389,12)="@hotmail.com",RIGHT(B3389,9)="@live.com"),"Outlook","Domain")))</f>
        <v/>
      </c>
      <c r="F3389">
        <f>IF(B3389="","",IFERROR(RIGHT(B3389,LEN(B3389)-FIND("@",B3389)),""))</f>
        <v/>
      </c>
      <c r="G3389">
        <f>IF(D3389="KEEP",COUNTIF($D$2:D3389,"KEEP"),"")</f>
        <v/>
      </c>
      <c r="H3389">
        <f>IF(D3389="REMOVE",COUNTIF($D$2:D3389,"REMOVE"),"")</f>
        <v/>
      </c>
      <c r="I3389">
        <f>IF(E3389="Gmail",COUNTIF($E$2:E3389,"Gmail"),"")</f>
        <v/>
      </c>
      <c r="J3389">
        <f>IF(E3389="Outlook",COUNTIF($E$2:E3389,"Outlook"),"")</f>
        <v/>
      </c>
      <c r="K3389">
        <f>IF(E3389="Domain",COUNTIF($E$2:E3389,"Domain"),"")</f>
        <v/>
      </c>
    </row>
    <row r="3390">
      <c r="A3390" s="2" t="n"/>
      <c r="B3390">
        <f>LOWER(TRIM(A3390))</f>
        <v/>
      </c>
      <c r="C3390">
        <f>IF(B3390="","",IFERROR(INDEX('Bad Patterns'!$A$2:$A$120,MATCH(1,INDEX(--ISNUMBER(SEARCH('Bad Patterns'!$A$2:$A$120,B3390)),0),0)),""))</f>
        <v/>
      </c>
      <c r="D3390">
        <f>IF(B3390="","",IF(C3390&lt;&gt;"","REMOVE","KEEP"))</f>
        <v/>
      </c>
      <c r="E3390">
        <f>IF(D3390&lt;&gt;"KEEP","",IF(RIGHT(B3390,10)="@gmail.com","Gmail",IF(OR(RIGHT(B3390,12)="@outlook.com",RIGHT(B3390,12)="@hotmail.com",RIGHT(B3390,9)="@live.com"),"Outlook","Domain")))</f>
        <v/>
      </c>
      <c r="F3390">
        <f>IF(B3390="","",IFERROR(RIGHT(B3390,LEN(B3390)-FIND("@",B3390)),""))</f>
        <v/>
      </c>
      <c r="G3390">
        <f>IF(D3390="KEEP",COUNTIF($D$2:D3390,"KEEP"),"")</f>
        <v/>
      </c>
      <c r="H3390">
        <f>IF(D3390="REMOVE",COUNTIF($D$2:D3390,"REMOVE"),"")</f>
        <v/>
      </c>
      <c r="I3390">
        <f>IF(E3390="Gmail",COUNTIF($E$2:E3390,"Gmail"),"")</f>
        <v/>
      </c>
      <c r="J3390">
        <f>IF(E3390="Outlook",COUNTIF($E$2:E3390,"Outlook"),"")</f>
        <v/>
      </c>
      <c r="K3390">
        <f>IF(E3390="Domain",COUNTIF($E$2:E3390,"Domain"),"")</f>
        <v/>
      </c>
    </row>
    <row r="3391">
      <c r="A3391" s="2" t="n"/>
      <c r="B3391">
        <f>LOWER(TRIM(A3391))</f>
        <v/>
      </c>
      <c r="C3391">
        <f>IF(B3391="","",IFERROR(INDEX('Bad Patterns'!$A$2:$A$120,MATCH(1,INDEX(--ISNUMBER(SEARCH('Bad Patterns'!$A$2:$A$120,B3391)),0),0)),""))</f>
        <v/>
      </c>
      <c r="D3391">
        <f>IF(B3391="","",IF(C3391&lt;&gt;"","REMOVE","KEEP"))</f>
        <v/>
      </c>
      <c r="E3391">
        <f>IF(D3391&lt;&gt;"KEEP","",IF(RIGHT(B3391,10)="@gmail.com","Gmail",IF(OR(RIGHT(B3391,12)="@outlook.com",RIGHT(B3391,12)="@hotmail.com",RIGHT(B3391,9)="@live.com"),"Outlook","Domain")))</f>
        <v/>
      </c>
      <c r="F3391">
        <f>IF(B3391="","",IFERROR(RIGHT(B3391,LEN(B3391)-FIND("@",B3391)),""))</f>
        <v/>
      </c>
      <c r="G3391">
        <f>IF(D3391="KEEP",COUNTIF($D$2:D3391,"KEEP"),"")</f>
        <v/>
      </c>
      <c r="H3391">
        <f>IF(D3391="REMOVE",COUNTIF($D$2:D3391,"REMOVE"),"")</f>
        <v/>
      </c>
      <c r="I3391">
        <f>IF(E3391="Gmail",COUNTIF($E$2:E3391,"Gmail"),"")</f>
        <v/>
      </c>
      <c r="J3391">
        <f>IF(E3391="Outlook",COUNTIF($E$2:E3391,"Outlook"),"")</f>
        <v/>
      </c>
      <c r="K3391">
        <f>IF(E3391="Domain",COUNTIF($E$2:E3391,"Domain"),"")</f>
        <v/>
      </c>
    </row>
    <row r="3392">
      <c r="A3392" s="2" t="n"/>
      <c r="B3392">
        <f>LOWER(TRIM(A3392))</f>
        <v/>
      </c>
      <c r="C3392">
        <f>IF(B3392="","",IFERROR(INDEX('Bad Patterns'!$A$2:$A$120,MATCH(1,INDEX(--ISNUMBER(SEARCH('Bad Patterns'!$A$2:$A$120,B3392)),0),0)),""))</f>
        <v/>
      </c>
      <c r="D3392">
        <f>IF(B3392="","",IF(C3392&lt;&gt;"","REMOVE","KEEP"))</f>
        <v/>
      </c>
      <c r="E3392">
        <f>IF(D3392&lt;&gt;"KEEP","",IF(RIGHT(B3392,10)="@gmail.com","Gmail",IF(OR(RIGHT(B3392,12)="@outlook.com",RIGHT(B3392,12)="@hotmail.com",RIGHT(B3392,9)="@live.com"),"Outlook","Domain")))</f>
        <v/>
      </c>
      <c r="F3392">
        <f>IF(B3392="","",IFERROR(RIGHT(B3392,LEN(B3392)-FIND("@",B3392)),""))</f>
        <v/>
      </c>
      <c r="G3392">
        <f>IF(D3392="KEEP",COUNTIF($D$2:D3392,"KEEP"),"")</f>
        <v/>
      </c>
      <c r="H3392">
        <f>IF(D3392="REMOVE",COUNTIF($D$2:D3392,"REMOVE"),"")</f>
        <v/>
      </c>
      <c r="I3392">
        <f>IF(E3392="Gmail",COUNTIF($E$2:E3392,"Gmail"),"")</f>
        <v/>
      </c>
      <c r="J3392">
        <f>IF(E3392="Outlook",COUNTIF($E$2:E3392,"Outlook"),"")</f>
        <v/>
      </c>
      <c r="K3392">
        <f>IF(E3392="Domain",COUNTIF($E$2:E3392,"Domain"),"")</f>
        <v/>
      </c>
    </row>
    <row r="3393">
      <c r="A3393" s="2" t="n"/>
      <c r="B3393">
        <f>LOWER(TRIM(A3393))</f>
        <v/>
      </c>
      <c r="C3393">
        <f>IF(B3393="","",IFERROR(INDEX('Bad Patterns'!$A$2:$A$120,MATCH(1,INDEX(--ISNUMBER(SEARCH('Bad Patterns'!$A$2:$A$120,B3393)),0),0)),""))</f>
        <v/>
      </c>
      <c r="D3393">
        <f>IF(B3393="","",IF(C3393&lt;&gt;"","REMOVE","KEEP"))</f>
        <v/>
      </c>
      <c r="E3393">
        <f>IF(D3393&lt;&gt;"KEEP","",IF(RIGHT(B3393,10)="@gmail.com","Gmail",IF(OR(RIGHT(B3393,12)="@outlook.com",RIGHT(B3393,12)="@hotmail.com",RIGHT(B3393,9)="@live.com"),"Outlook","Domain")))</f>
        <v/>
      </c>
      <c r="F3393">
        <f>IF(B3393="","",IFERROR(RIGHT(B3393,LEN(B3393)-FIND("@",B3393)),""))</f>
        <v/>
      </c>
      <c r="G3393">
        <f>IF(D3393="KEEP",COUNTIF($D$2:D3393,"KEEP"),"")</f>
        <v/>
      </c>
      <c r="H3393">
        <f>IF(D3393="REMOVE",COUNTIF($D$2:D3393,"REMOVE"),"")</f>
        <v/>
      </c>
      <c r="I3393">
        <f>IF(E3393="Gmail",COUNTIF($E$2:E3393,"Gmail"),"")</f>
        <v/>
      </c>
      <c r="J3393">
        <f>IF(E3393="Outlook",COUNTIF($E$2:E3393,"Outlook"),"")</f>
        <v/>
      </c>
      <c r="K3393">
        <f>IF(E3393="Domain",COUNTIF($E$2:E3393,"Domain"),"")</f>
        <v/>
      </c>
    </row>
    <row r="3394">
      <c r="A3394" s="2" t="n"/>
      <c r="B3394">
        <f>LOWER(TRIM(A3394))</f>
        <v/>
      </c>
      <c r="C3394">
        <f>IF(B3394="","",IFERROR(INDEX('Bad Patterns'!$A$2:$A$120,MATCH(1,INDEX(--ISNUMBER(SEARCH('Bad Patterns'!$A$2:$A$120,B3394)),0),0)),""))</f>
        <v/>
      </c>
      <c r="D3394">
        <f>IF(B3394="","",IF(C3394&lt;&gt;"","REMOVE","KEEP"))</f>
        <v/>
      </c>
      <c r="E3394">
        <f>IF(D3394&lt;&gt;"KEEP","",IF(RIGHT(B3394,10)="@gmail.com","Gmail",IF(OR(RIGHT(B3394,12)="@outlook.com",RIGHT(B3394,12)="@hotmail.com",RIGHT(B3394,9)="@live.com"),"Outlook","Domain")))</f>
        <v/>
      </c>
      <c r="F3394">
        <f>IF(B3394="","",IFERROR(RIGHT(B3394,LEN(B3394)-FIND("@",B3394)),""))</f>
        <v/>
      </c>
      <c r="G3394">
        <f>IF(D3394="KEEP",COUNTIF($D$2:D3394,"KEEP"),"")</f>
        <v/>
      </c>
      <c r="H3394">
        <f>IF(D3394="REMOVE",COUNTIF($D$2:D3394,"REMOVE"),"")</f>
        <v/>
      </c>
      <c r="I3394">
        <f>IF(E3394="Gmail",COUNTIF($E$2:E3394,"Gmail"),"")</f>
        <v/>
      </c>
      <c r="J3394">
        <f>IF(E3394="Outlook",COUNTIF($E$2:E3394,"Outlook"),"")</f>
        <v/>
      </c>
      <c r="K3394">
        <f>IF(E3394="Domain",COUNTIF($E$2:E3394,"Domain"),"")</f>
        <v/>
      </c>
    </row>
    <row r="3395">
      <c r="A3395" s="2" t="n"/>
      <c r="B3395">
        <f>LOWER(TRIM(A3395))</f>
        <v/>
      </c>
      <c r="C3395">
        <f>IF(B3395="","",IFERROR(INDEX('Bad Patterns'!$A$2:$A$120,MATCH(1,INDEX(--ISNUMBER(SEARCH('Bad Patterns'!$A$2:$A$120,B3395)),0),0)),""))</f>
        <v/>
      </c>
      <c r="D3395">
        <f>IF(B3395="","",IF(C3395&lt;&gt;"","REMOVE","KEEP"))</f>
        <v/>
      </c>
      <c r="E3395">
        <f>IF(D3395&lt;&gt;"KEEP","",IF(RIGHT(B3395,10)="@gmail.com","Gmail",IF(OR(RIGHT(B3395,12)="@outlook.com",RIGHT(B3395,12)="@hotmail.com",RIGHT(B3395,9)="@live.com"),"Outlook","Domain")))</f>
        <v/>
      </c>
      <c r="F3395">
        <f>IF(B3395="","",IFERROR(RIGHT(B3395,LEN(B3395)-FIND("@",B3395)),""))</f>
        <v/>
      </c>
      <c r="G3395">
        <f>IF(D3395="KEEP",COUNTIF($D$2:D3395,"KEEP"),"")</f>
        <v/>
      </c>
      <c r="H3395">
        <f>IF(D3395="REMOVE",COUNTIF($D$2:D3395,"REMOVE"),"")</f>
        <v/>
      </c>
      <c r="I3395">
        <f>IF(E3395="Gmail",COUNTIF($E$2:E3395,"Gmail"),"")</f>
        <v/>
      </c>
      <c r="J3395">
        <f>IF(E3395="Outlook",COUNTIF($E$2:E3395,"Outlook"),"")</f>
        <v/>
      </c>
      <c r="K3395">
        <f>IF(E3395="Domain",COUNTIF($E$2:E3395,"Domain"),"")</f>
        <v/>
      </c>
    </row>
    <row r="3396">
      <c r="A3396" s="2" t="n"/>
      <c r="B3396">
        <f>LOWER(TRIM(A3396))</f>
        <v/>
      </c>
      <c r="C3396">
        <f>IF(B3396="","",IFERROR(INDEX('Bad Patterns'!$A$2:$A$120,MATCH(1,INDEX(--ISNUMBER(SEARCH('Bad Patterns'!$A$2:$A$120,B3396)),0),0)),""))</f>
        <v/>
      </c>
      <c r="D3396">
        <f>IF(B3396="","",IF(C3396&lt;&gt;"","REMOVE","KEEP"))</f>
        <v/>
      </c>
      <c r="E3396">
        <f>IF(D3396&lt;&gt;"KEEP","",IF(RIGHT(B3396,10)="@gmail.com","Gmail",IF(OR(RIGHT(B3396,12)="@outlook.com",RIGHT(B3396,12)="@hotmail.com",RIGHT(B3396,9)="@live.com"),"Outlook","Domain")))</f>
        <v/>
      </c>
      <c r="F3396">
        <f>IF(B3396="","",IFERROR(RIGHT(B3396,LEN(B3396)-FIND("@",B3396)),""))</f>
        <v/>
      </c>
      <c r="G3396">
        <f>IF(D3396="KEEP",COUNTIF($D$2:D3396,"KEEP"),"")</f>
        <v/>
      </c>
      <c r="H3396">
        <f>IF(D3396="REMOVE",COUNTIF($D$2:D3396,"REMOVE"),"")</f>
        <v/>
      </c>
      <c r="I3396">
        <f>IF(E3396="Gmail",COUNTIF($E$2:E3396,"Gmail"),"")</f>
        <v/>
      </c>
      <c r="J3396">
        <f>IF(E3396="Outlook",COUNTIF($E$2:E3396,"Outlook"),"")</f>
        <v/>
      </c>
      <c r="K3396">
        <f>IF(E3396="Domain",COUNTIF($E$2:E3396,"Domain"),"")</f>
        <v/>
      </c>
    </row>
    <row r="3397">
      <c r="A3397" s="2" t="n"/>
      <c r="B3397">
        <f>LOWER(TRIM(A3397))</f>
        <v/>
      </c>
      <c r="C3397">
        <f>IF(B3397="","",IFERROR(INDEX('Bad Patterns'!$A$2:$A$120,MATCH(1,INDEX(--ISNUMBER(SEARCH('Bad Patterns'!$A$2:$A$120,B3397)),0),0)),""))</f>
        <v/>
      </c>
      <c r="D3397">
        <f>IF(B3397="","",IF(C3397&lt;&gt;"","REMOVE","KEEP"))</f>
        <v/>
      </c>
      <c r="E3397">
        <f>IF(D3397&lt;&gt;"KEEP","",IF(RIGHT(B3397,10)="@gmail.com","Gmail",IF(OR(RIGHT(B3397,12)="@outlook.com",RIGHT(B3397,12)="@hotmail.com",RIGHT(B3397,9)="@live.com"),"Outlook","Domain")))</f>
        <v/>
      </c>
      <c r="F3397">
        <f>IF(B3397="","",IFERROR(RIGHT(B3397,LEN(B3397)-FIND("@",B3397)),""))</f>
        <v/>
      </c>
      <c r="G3397">
        <f>IF(D3397="KEEP",COUNTIF($D$2:D3397,"KEEP"),"")</f>
        <v/>
      </c>
      <c r="H3397">
        <f>IF(D3397="REMOVE",COUNTIF($D$2:D3397,"REMOVE"),"")</f>
        <v/>
      </c>
      <c r="I3397">
        <f>IF(E3397="Gmail",COUNTIF($E$2:E3397,"Gmail"),"")</f>
        <v/>
      </c>
      <c r="J3397">
        <f>IF(E3397="Outlook",COUNTIF($E$2:E3397,"Outlook"),"")</f>
        <v/>
      </c>
      <c r="K3397">
        <f>IF(E3397="Domain",COUNTIF($E$2:E3397,"Domain"),"")</f>
        <v/>
      </c>
    </row>
    <row r="3398">
      <c r="A3398" s="2" t="n"/>
      <c r="B3398">
        <f>LOWER(TRIM(A3398))</f>
        <v/>
      </c>
      <c r="C3398">
        <f>IF(B3398="","",IFERROR(INDEX('Bad Patterns'!$A$2:$A$120,MATCH(1,INDEX(--ISNUMBER(SEARCH('Bad Patterns'!$A$2:$A$120,B3398)),0),0)),""))</f>
        <v/>
      </c>
      <c r="D3398">
        <f>IF(B3398="","",IF(C3398&lt;&gt;"","REMOVE","KEEP"))</f>
        <v/>
      </c>
      <c r="E3398">
        <f>IF(D3398&lt;&gt;"KEEP","",IF(RIGHT(B3398,10)="@gmail.com","Gmail",IF(OR(RIGHT(B3398,12)="@outlook.com",RIGHT(B3398,12)="@hotmail.com",RIGHT(B3398,9)="@live.com"),"Outlook","Domain")))</f>
        <v/>
      </c>
      <c r="F3398">
        <f>IF(B3398="","",IFERROR(RIGHT(B3398,LEN(B3398)-FIND("@",B3398)),""))</f>
        <v/>
      </c>
      <c r="G3398">
        <f>IF(D3398="KEEP",COUNTIF($D$2:D3398,"KEEP"),"")</f>
        <v/>
      </c>
      <c r="H3398">
        <f>IF(D3398="REMOVE",COUNTIF($D$2:D3398,"REMOVE"),"")</f>
        <v/>
      </c>
      <c r="I3398">
        <f>IF(E3398="Gmail",COUNTIF($E$2:E3398,"Gmail"),"")</f>
        <v/>
      </c>
      <c r="J3398">
        <f>IF(E3398="Outlook",COUNTIF($E$2:E3398,"Outlook"),"")</f>
        <v/>
      </c>
      <c r="K3398">
        <f>IF(E3398="Domain",COUNTIF($E$2:E3398,"Domain"),"")</f>
        <v/>
      </c>
    </row>
    <row r="3399">
      <c r="A3399" s="2" t="n"/>
      <c r="B3399">
        <f>LOWER(TRIM(A3399))</f>
        <v/>
      </c>
      <c r="C3399">
        <f>IF(B3399="","",IFERROR(INDEX('Bad Patterns'!$A$2:$A$120,MATCH(1,INDEX(--ISNUMBER(SEARCH('Bad Patterns'!$A$2:$A$120,B3399)),0),0)),""))</f>
        <v/>
      </c>
      <c r="D3399">
        <f>IF(B3399="","",IF(C3399&lt;&gt;"","REMOVE","KEEP"))</f>
        <v/>
      </c>
      <c r="E3399">
        <f>IF(D3399&lt;&gt;"KEEP","",IF(RIGHT(B3399,10)="@gmail.com","Gmail",IF(OR(RIGHT(B3399,12)="@outlook.com",RIGHT(B3399,12)="@hotmail.com",RIGHT(B3399,9)="@live.com"),"Outlook","Domain")))</f>
        <v/>
      </c>
      <c r="F3399">
        <f>IF(B3399="","",IFERROR(RIGHT(B3399,LEN(B3399)-FIND("@",B3399)),""))</f>
        <v/>
      </c>
      <c r="G3399">
        <f>IF(D3399="KEEP",COUNTIF($D$2:D3399,"KEEP"),"")</f>
        <v/>
      </c>
      <c r="H3399">
        <f>IF(D3399="REMOVE",COUNTIF($D$2:D3399,"REMOVE"),"")</f>
        <v/>
      </c>
      <c r="I3399">
        <f>IF(E3399="Gmail",COUNTIF($E$2:E3399,"Gmail"),"")</f>
        <v/>
      </c>
      <c r="J3399">
        <f>IF(E3399="Outlook",COUNTIF($E$2:E3399,"Outlook"),"")</f>
        <v/>
      </c>
      <c r="K3399">
        <f>IF(E3399="Domain",COUNTIF($E$2:E3399,"Domain"),"")</f>
        <v/>
      </c>
    </row>
    <row r="3400">
      <c r="A3400" s="2" t="n"/>
      <c r="B3400">
        <f>LOWER(TRIM(A3400))</f>
        <v/>
      </c>
      <c r="C3400">
        <f>IF(B3400="","",IFERROR(INDEX('Bad Patterns'!$A$2:$A$120,MATCH(1,INDEX(--ISNUMBER(SEARCH('Bad Patterns'!$A$2:$A$120,B3400)),0),0)),""))</f>
        <v/>
      </c>
      <c r="D3400">
        <f>IF(B3400="","",IF(C3400&lt;&gt;"","REMOVE","KEEP"))</f>
        <v/>
      </c>
      <c r="E3400">
        <f>IF(D3400&lt;&gt;"KEEP","",IF(RIGHT(B3400,10)="@gmail.com","Gmail",IF(OR(RIGHT(B3400,12)="@outlook.com",RIGHT(B3400,12)="@hotmail.com",RIGHT(B3400,9)="@live.com"),"Outlook","Domain")))</f>
        <v/>
      </c>
      <c r="F3400">
        <f>IF(B3400="","",IFERROR(RIGHT(B3400,LEN(B3400)-FIND("@",B3400)),""))</f>
        <v/>
      </c>
      <c r="G3400">
        <f>IF(D3400="KEEP",COUNTIF($D$2:D3400,"KEEP"),"")</f>
        <v/>
      </c>
      <c r="H3400">
        <f>IF(D3400="REMOVE",COUNTIF($D$2:D3400,"REMOVE"),"")</f>
        <v/>
      </c>
      <c r="I3400">
        <f>IF(E3400="Gmail",COUNTIF($E$2:E3400,"Gmail"),"")</f>
        <v/>
      </c>
      <c r="J3400">
        <f>IF(E3400="Outlook",COUNTIF($E$2:E3400,"Outlook"),"")</f>
        <v/>
      </c>
      <c r="K3400">
        <f>IF(E3400="Domain",COUNTIF($E$2:E3400,"Domain"),"")</f>
        <v/>
      </c>
    </row>
    <row r="3401">
      <c r="A3401" s="2" t="n"/>
      <c r="B3401">
        <f>LOWER(TRIM(A3401))</f>
        <v/>
      </c>
      <c r="C3401">
        <f>IF(B3401="","",IFERROR(INDEX('Bad Patterns'!$A$2:$A$120,MATCH(1,INDEX(--ISNUMBER(SEARCH('Bad Patterns'!$A$2:$A$120,B3401)),0),0)),""))</f>
        <v/>
      </c>
      <c r="D3401">
        <f>IF(B3401="","",IF(C3401&lt;&gt;"","REMOVE","KEEP"))</f>
        <v/>
      </c>
      <c r="E3401">
        <f>IF(D3401&lt;&gt;"KEEP","",IF(RIGHT(B3401,10)="@gmail.com","Gmail",IF(OR(RIGHT(B3401,12)="@outlook.com",RIGHT(B3401,12)="@hotmail.com",RIGHT(B3401,9)="@live.com"),"Outlook","Domain")))</f>
        <v/>
      </c>
      <c r="F3401">
        <f>IF(B3401="","",IFERROR(RIGHT(B3401,LEN(B3401)-FIND("@",B3401)),""))</f>
        <v/>
      </c>
      <c r="G3401">
        <f>IF(D3401="KEEP",COUNTIF($D$2:D3401,"KEEP"),"")</f>
        <v/>
      </c>
      <c r="H3401">
        <f>IF(D3401="REMOVE",COUNTIF($D$2:D3401,"REMOVE"),"")</f>
        <v/>
      </c>
      <c r="I3401">
        <f>IF(E3401="Gmail",COUNTIF($E$2:E3401,"Gmail"),"")</f>
        <v/>
      </c>
      <c r="J3401">
        <f>IF(E3401="Outlook",COUNTIF($E$2:E3401,"Outlook"),"")</f>
        <v/>
      </c>
      <c r="K3401">
        <f>IF(E3401="Domain",COUNTIF($E$2:E3401,"Domain"),"")</f>
        <v/>
      </c>
    </row>
    <row r="3402">
      <c r="A3402" s="2" t="n"/>
      <c r="B3402">
        <f>LOWER(TRIM(A3402))</f>
        <v/>
      </c>
      <c r="C3402">
        <f>IF(B3402="","",IFERROR(INDEX('Bad Patterns'!$A$2:$A$120,MATCH(1,INDEX(--ISNUMBER(SEARCH('Bad Patterns'!$A$2:$A$120,B3402)),0),0)),""))</f>
        <v/>
      </c>
      <c r="D3402">
        <f>IF(B3402="","",IF(C3402&lt;&gt;"","REMOVE","KEEP"))</f>
        <v/>
      </c>
      <c r="E3402">
        <f>IF(D3402&lt;&gt;"KEEP","",IF(RIGHT(B3402,10)="@gmail.com","Gmail",IF(OR(RIGHT(B3402,12)="@outlook.com",RIGHT(B3402,12)="@hotmail.com",RIGHT(B3402,9)="@live.com"),"Outlook","Domain")))</f>
        <v/>
      </c>
      <c r="F3402">
        <f>IF(B3402="","",IFERROR(RIGHT(B3402,LEN(B3402)-FIND("@",B3402)),""))</f>
        <v/>
      </c>
      <c r="G3402">
        <f>IF(D3402="KEEP",COUNTIF($D$2:D3402,"KEEP"),"")</f>
        <v/>
      </c>
      <c r="H3402">
        <f>IF(D3402="REMOVE",COUNTIF($D$2:D3402,"REMOVE"),"")</f>
        <v/>
      </c>
      <c r="I3402">
        <f>IF(E3402="Gmail",COUNTIF($E$2:E3402,"Gmail"),"")</f>
        <v/>
      </c>
      <c r="J3402">
        <f>IF(E3402="Outlook",COUNTIF($E$2:E3402,"Outlook"),"")</f>
        <v/>
      </c>
      <c r="K3402">
        <f>IF(E3402="Domain",COUNTIF($E$2:E3402,"Domain"),"")</f>
        <v/>
      </c>
    </row>
    <row r="3403">
      <c r="A3403" s="2" t="n"/>
      <c r="B3403">
        <f>LOWER(TRIM(A3403))</f>
        <v/>
      </c>
      <c r="C3403">
        <f>IF(B3403="","",IFERROR(INDEX('Bad Patterns'!$A$2:$A$120,MATCH(1,INDEX(--ISNUMBER(SEARCH('Bad Patterns'!$A$2:$A$120,B3403)),0),0)),""))</f>
        <v/>
      </c>
      <c r="D3403">
        <f>IF(B3403="","",IF(C3403&lt;&gt;"","REMOVE","KEEP"))</f>
        <v/>
      </c>
      <c r="E3403">
        <f>IF(D3403&lt;&gt;"KEEP","",IF(RIGHT(B3403,10)="@gmail.com","Gmail",IF(OR(RIGHT(B3403,12)="@outlook.com",RIGHT(B3403,12)="@hotmail.com",RIGHT(B3403,9)="@live.com"),"Outlook","Domain")))</f>
        <v/>
      </c>
      <c r="F3403">
        <f>IF(B3403="","",IFERROR(RIGHT(B3403,LEN(B3403)-FIND("@",B3403)),""))</f>
        <v/>
      </c>
      <c r="G3403">
        <f>IF(D3403="KEEP",COUNTIF($D$2:D3403,"KEEP"),"")</f>
        <v/>
      </c>
      <c r="H3403">
        <f>IF(D3403="REMOVE",COUNTIF($D$2:D3403,"REMOVE"),"")</f>
        <v/>
      </c>
      <c r="I3403">
        <f>IF(E3403="Gmail",COUNTIF($E$2:E3403,"Gmail"),"")</f>
        <v/>
      </c>
      <c r="J3403">
        <f>IF(E3403="Outlook",COUNTIF($E$2:E3403,"Outlook"),"")</f>
        <v/>
      </c>
      <c r="K3403">
        <f>IF(E3403="Domain",COUNTIF($E$2:E3403,"Domain"),"")</f>
        <v/>
      </c>
    </row>
    <row r="3404">
      <c r="A3404" s="2" t="n"/>
      <c r="B3404">
        <f>LOWER(TRIM(A3404))</f>
        <v/>
      </c>
      <c r="C3404">
        <f>IF(B3404="","",IFERROR(INDEX('Bad Patterns'!$A$2:$A$120,MATCH(1,INDEX(--ISNUMBER(SEARCH('Bad Patterns'!$A$2:$A$120,B3404)),0),0)),""))</f>
        <v/>
      </c>
      <c r="D3404">
        <f>IF(B3404="","",IF(C3404&lt;&gt;"","REMOVE","KEEP"))</f>
        <v/>
      </c>
      <c r="E3404">
        <f>IF(D3404&lt;&gt;"KEEP","",IF(RIGHT(B3404,10)="@gmail.com","Gmail",IF(OR(RIGHT(B3404,12)="@outlook.com",RIGHT(B3404,12)="@hotmail.com",RIGHT(B3404,9)="@live.com"),"Outlook","Domain")))</f>
        <v/>
      </c>
      <c r="F3404">
        <f>IF(B3404="","",IFERROR(RIGHT(B3404,LEN(B3404)-FIND("@",B3404)),""))</f>
        <v/>
      </c>
      <c r="G3404">
        <f>IF(D3404="KEEP",COUNTIF($D$2:D3404,"KEEP"),"")</f>
        <v/>
      </c>
      <c r="H3404">
        <f>IF(D3404="REMOVE",COUNTIF($D$2:D3404,"REMOVE"),"")</f>
        <v/>
      </c>
      <c r="I3404">
        <f>IF(E3404="Gmail",COUNTIF($E$2:E3404,"Gmail"),"")</f>
        <v/>
      </c>
      <c r="J3404">
        <f>IF(E3404="Outlook",COUNTIF($E$2:E3404,"Outlook"),"")</f>
        <v/>
      </c>
      <c r="K3404">
        <f>IF(E3404="Domain",COUNTIF($E$2:E3404,"Domain"),"")</f>
        <v/>
      </c>
    </row>
    <row r="3405">
      <c r="A3405" s="2" t="n"/>
      <c r="B3405">
        <f>LOWER(TRIM(A3405))</f>
        <v/>
      </c>
      <c r="C3405">
        <f>IF(B3405="","",IFERROR(INDEX('Bad Patterns'!$A$2:$A$120,MATCH(1,INDEX(--ISNUMBER(SEARCH('Bad Patterns'!$A$2:$A$120,B3405)),0),0)),""))</f>
        <v/>
      </c>
      <c r="D3405">
        <f>IF(B3405="","",IF(C3405&lt;&gt;"","REMOVE","KEEP"))</f>
        <v/>
      </c>
      <c r="E3405">
        <f>IF(D3405&lt;&gt;"KEEP","",IF(RIGHT(B3405,10)="@gmail.com","Gmail",IF(OR(RIGHT(B3405,12)="@outlook.com",RIGHT(B3405,12)="@hotmail.com",RIGHT(B3405,9)="@live.com"),"Outlook","Domain")))</f>
        <v/>
      </c>
      <c r="F3405">
        <f>IF(B3405="","",IFERROR(RIGHT(B3405,LEN(B3405)-FIND("@",B3405)),""))</f>
        <v/>
      </c>
      <c r="G3405">
        <f>IF(D3405="KEEP",COUNTIF($D$2:D3405,"KEEP"),"")</f>
        <v/>
      </c>
      <c r="H3405">
        <f>IF(D3405="REMOVE",COUNTIF($D$2:D3405,"REMOVE"),"")</f>
        <v/>
      </c>
      <c r="I3405">
        <f>IF(E3405="Gmail",COUNTIF($E$2:E3405,"Gmail"),"")</f>
        <v/>
      </c>
      <c r="J3405">
        <f>IF(E3405="Outlook",COUNTIF($E$2:E3405,"Outlook"),"")</f>
        <v/>
      </c>
      <c r="K3405">
        <f>IF(E3405="Domain",COUNTIF($E$2:E3405,"Domain"),"")</f>
        <v/>
      </c>
    </row>
    <row r="3406">
      <c r="A3406" s="2" t="n"/>
      <c r="B3406">
        <f>LOWER(TRIM(A3406))</f>
        <v/>
      </c>
      <c r="C3406">
        <f>IF(B3406="","",IFERROR(INDEX('Bad Patterns'!$A$2:$A$120,MATCH(1,INDEX(--ISNUMBER(SEARCH('Bad Patterns'!$A$2:$A$120,B3406)),0),0)),""))</f>
        <v/>
      </c>
      <c r="D3406">
        <f>IF(B3406="","",IF(C3406&lt;&gt;"","REMOVE","KEEP"))</f>
        <v/>
      </c>
      <c r="E3406">
        <f>IF(D3406&lt;&gt;"KEEP","",IF(RIGHT(B3406,10)="@gmail.com","Gmail",IF(OR(RIGHT(B3406,12)="@outlook.com",RIGHT(B3406,12)="@hotmail.com",RIGHT(B3406,9)="@live.com"),"Outlook","Domain")))</f>
        <v/>
      </c>
      <c r="F3406">
        <f>IF(B3406="","",IFERROR(RIGHT(B3406,LEN(B3406)-FIND("@",B3406)),""))</f>
        <v/>
      </c>
      <c r="G3406">
        <f>IF(D3406="KEEP",COUNTIF($D$2:D3406,"KEEP"),"")</f>
        <v/>
      </c>
      <c r="H3406">
        <f>IF(D3406="REMOVE",COUNTIF($D$2:D3406,"REMOVE"),"")</f>
        <v/>
      </c>
      <c r="I3406">
        <f>IF(E3406="Gmail",COUNTIF($E$2:E3406,"Gmail"),"")</f>
        <v/>
      </c>
      <c r="J3406">
        <f>IF(E3406="Outlook",COUNTIF($E$2:E3406,"Outlook"),"")</f>
        <v/>
      </c>
      <c r="K3406">
        <f>IF(E3406="Domain",COUNTIF($E$2:E3406,"Domain"),"")</f>
        <v/>
      </c>
    </row>
    <row r="3407">
      <c r="A3407" s="2" t="n"/>
      <c r="B3407">
        <f>LOWER(TRIM(A3407))</f>
        <v/>
      </c>
      <c r="C3407">
        <f>IF(B3407="","",IFERROR(INDEX('Bad Patterns'!$A$2:$A$120,MATCH(1,INDEX(--ISNUMBER(SEARCH('Bad Patterns'!$A$2:$A$120,B3407)),0),0)),""))</f>
        <v/>
      </c>
      <c r="D3407">
        <f>IF(B3407="","",IF(C3407&lt;&gt;"","REMOVE","KEEP"))</f>
        <v/>
      </c>
      <c r="E3407">
        <f>IF(D3407&lt;&gt;"KEEP","",IF(RIGHT(B3407,10)="@gmail.com","Gmail",IF(OR(RIGHT(B3407,12)="@outlook.com",RIGHT(B3407,12)="@hotmail.com",RIGHT(B3407,9)="@live.com"),"Outlook","Domain")))</f>
        <v/>
      </c>
      <c r="F3407">
        <f>IF(B3407="","",IFERROR(RIGHT(B3407,LEN(B3407)-FIND("@",B3407)),""))</f>
        <v/>
      </c>
      <c r="G3407">
        <f>IF(D3407="KEEP",COUNTIF($D$2:D3407,"KEEP"),"")</f>
        <v/>
      </c>
      <c r="H3407">
        <f>IF(D3407="REMOVE",COUNTIF($D$2:D3407,"REMOVE"),"")</f>
        <v/>
      </c>
      <c r="I3407">
        <f>IF(E3407="Gmail",COUNTIF($E$2:E3407,"Gmail"),"")</f>
        <v/>
      </c>
      <c r="J3407">
        <f>IF(E3407="Outlook",COUNTIF($E$2:E3407,"Outlook"),"")</f>
        <v/>
      </c>
      <c r="K3407">
        <f>IF(E3407="Domain",COUNTIF($E$2:E3407,"Domain"),"")</f>
        <v/>
      </c>
    </row>
    <row r="3408">
      <c r="A3408" s="2" t="n"/>
      <c r="B3408">
        <f>LOWER(TRIM(A3408))</f>
        <v/>
      </c>
      <c r="C3408">
        <f>IF(B3408="","",IFERROR(INDEX('Bad Patterns'!$A$2:$A$120,MATCH(1,INDEX(--ISNUMBER(SEARCH('Bad Patterns'!$A$2:$A$120,B3408)),0),0)),""))</f>
        <v/>
      </c>
      <c r="D3408">
        <f>IF(B3408="","",IF(C3408&lt;&gt;"","REMOVE","KEEP"))</f>
        <v/>
      </c>
      <c r="E3408">
        <f>IF(D3408&lt;&gt;"KEEP","",IF(RIGHT(B3408,10)="@gmail.com","Gmail",IF(OR(RIGHT(B3408,12)="@outlook.com",RIGHT(B3408,12)="@hotmail.com",RIGHT(B3408,9)="@live.com"),"Outlook","Domain")))</f>
        <v/>
      </c>
      <c r="F3408">
        <f>IF(B3408="","",IFERROR(RIGHT(B3408,LEN(B3408)-FIND("@",B3408)),""))</f>
        <v/>
      </c>
      <c r="G3408">
        <f>IF(D3408="KEEP",COUNTIF($D$2:D3408,"KEEP"),"")</f>
        <v/>
      </c>
      <c r="H3408">
        <f>IF(D3408="REMOVE",COUNTIF($D$2:D3408,"REMOVE"),"")</f>
        <v/>
      </c>
      <c r="I3408">
        <f>IF(E3408="Gmail",COUNTIF($E$2:E3408,"Gmail"),"")</f>
        <v/>
      </c>
      <c r="J3408">
        <f>IF(E3408="Outlook",COUNTIF($E$2:E3408,"Outlook"),"")</f>
        <v/>
      </c>
      <c r="K3408">
        <f>IF(E3408="Domain",COUNTIF($E$2:E3408,"Domain"),"")</f>
        <v/>
      </c>
    </row>
    <row r="3409">
      <c r="A3409" s="2" t="n"/>
      <c r="B3409">
        <f>LOWER(TRIM(A3409))</f>
        <v/>
      </c>
      <c r="C3409">
        <f>IF(B3409="","",IFERROR(INDEX('Bad Patterns'!$A$2:$A$120,MATCH(1,INDEX(--ISNUMBER(SEARCH('Bad Patterns'!$A$2:$A$120,B3409)),0),0)),""))</f>
        <v/>
      </c>
      <c r="D3409">
        <f>IF(B3409="","",IF(C3409&lt;&gt;"","REMOVE","KEEP"))</f>
        <v/>
      </c>
      <c r="E3409">
        <f>IF(D3409&lt;&gt;"KEEP","",IF(RIGHT(B3409,10)="@gmail.com","Gmail",IF(OR(RIGHT(B3409,12)="@outlook.com",RIGHT(B3409,12)="@hotmail.com",RIGHT(B3409,9)="@live.com"),"Outlook","Domain")))</f>
        <v/>
      </c>
      <c r="F3409">
        <f>IF(B3409="","",IFERROR(RIGHT(B3409,LEN(B3409)-FIND("@",B3409)),""))</f>
        <v/>
      </c>
      <c r="G3409">
        <f>IF(D3409="KEEP",COUNTIF($D$2:D3409,"KEEP"),"")</f>
        <v/>
      </c>
      <c r="H3409">
        <f>IF(D3409="REMOVE",COUNTIF($D$2:D3409,"REMOVE"),"")</f>
        <v/>
      </c>
      <c r="I3409">
        <f>IF(E3409="Gmail",COUNTIF($E$2:E3409,"Gmail"),"")</f>
        <v/>
      </c>
      <c r="J3409">
        <f>IF(E3409="Outlook",COUNTIF($E$2:E3409,"Outlook"),"")</f>
        <v/>
      </c>
      <c r="K3409">
        <f>IF(E3409="Domain",COUNTIF($E$2:E3409,"Domain"),"")</f>
        <v/>
      </c>
    </row>
    <row r="3410">
      <c r="A3410" s="2" t="n"/>
      <c r="B3410">
        <f>LOWER(TRIM(A3410))</f>
        <v/>
      </c>
      <c r="C3410">
        <f>IF(B3410="","",IFERROR(INDEX('Bad Patterns'!$A$2:$A$120,MATCH(1,INDEX(--ISNUMBER(SEARCH('Bad Patterns'!$A$2:$A$120,B3410)),0),0)),""))</f>
        <v/>
      </c>
      <c r="D3410">
        <f>IF(B3410="","",IF(C3410&lt;&gt;"","REMOVE","KEEP"))</f>
        <v/>
      </c>
      <c r="E3410">
        <f>IF(D3410&lt;&gt;"KEEP","",IF(RIGHT(B3410,10)="@gmail.com","Gmail",IF(OR(RIGHT(B3410,12)="@outlook.com",RIGHT(B3410,12)="@hotmail.com",RIGHT(B3410,9)="@live.com"),"Outlook","Domain")))</f>
        <v/>
      </c>
      <c r="F3410">
        <f>IF(B3410="","",IFERROR(RIGHT(B3410,LEN(B3410)-FIND("@",B3410)),""))</f>
        <v/>
      </c>
      <c r="G3410">
        <f>IF(D3410="KEEP",COUNTIF($D$2:D3410,"KEEP"),"")</f>
        <v/>
      </c>
      <c r="H3410">
        <f>IF(D3410="REMOVE",COUNTIF($D$2:D3410,"REMOVE"),"")</f>
        <v/>
      </c>
      <c r="I3410">
        <f>IF(E3410="Gmail",COUNTIF($E$2:E3410,"Gmail"),"")</f>
        <v/>
      </c>
      <c r="J3410">
        <f>IF(E3410="Outlook",COUNTIF($E$2:E3410,"Outlook"),"")</f>
        <v/>
      </c>
      <c r="K3410">
        <f>IF(E3410="Domain",COUNTIF($E$2:E3410,"Domain"),"")</f>
        <v/>
      </c>
    </row>
    <row r="3411">
      <c r="A3411" s="2" t="n"/>
      <c r="B3411">
        <f>LOWER(TRIM(A3411))</f>
        <v/>
      </c>
      <c r="C3411">
        <f>IF(B3411="","",IFERROR(INDEX('Bad Patterns'!$A$2:$A$120,MATCH(1,INDEX(--ISNUMBER(SEARCH('Bad Patterns'!$A$2:$A$120,B3411)),0),0)),""))</f>
        <v/>
      </c>
      <c r="D3411">
        <f>IF(B3411="","",IF(C3411&lt;&gt;"","REMOVE","KEEP"))</f>
        <v/>
      </c>
      <c r="E3411">
        <f>IF(D3411&lt;&gt;"KEEP","",IF(RIGHT(B3411,10)="@gmail.com","Gmail",IF(OR(RIGHT(B3411,12)="@outlook.com",RIGHT(B3411,12)="@hotmail.com",RIGHT(B3411,9)="@live.com"),"Outlook","Domain")))</f>
        <v/>
      </c>
      <c r="F3411">
        <f>IF(B3411="","",IFERROR(RIGHT(B3411,LEN(B3411)-FIND("@",B3411)),""))</f>
        <v/>
      </c>
      <c r="G3411">
        <f>IF(D3411="KEEP",COUNTIF($D$2:D3411,"KEEP"),"")</f>
        <v/>
      </c>
      <c r="H3411">
        <f>IF(D3411="REMOVE",COUNTIF($D$2:D3411,"REMOVE"),"")</f>
        <v/>
      </c>
      <c r="I3411">
        <f>IF(E3411="Gmail",COUNTIF($E$2:E3411,"Gmail"),"")</f>
        <v/>
      </c>
      <c r="J3411">
        <f>IF(E3411="Outlook",COUNTIF($E$2:E3411,"Outlook"),"")</f>
        <v/>
      </c>
      <c r="K3411">
        <f>IF(E3411="Domain",COUNTIF($E$2:E3411,"Domain"),"")</f>
        <v/>
      </c>
    </row>
    <row r="3412">
      <c r="A3412" s="2" t="n"/>
      <c r="B3412">
        <f>LOWER(TRIM(A3412))</f>
        <v/>
      </c>
      <c r="C3412">
        <f>IF(B3412="","",IFERROR(INDEX('Bad Patterns'!$A$2:$A$120,MATCH(1,INDEX(--ISNUMBER(SEARCH('Bad Patterns'!$A$2:$A$120,B3412)),0),0)),""))</f>
        <v/>
      </c>
      <c r="D3412">
        <f>IF(B3412="","",IF(C3412&lt;&gt;"","REMOVE","KEEP"))</f>
        <v/>
      </c>
      <c r="E3412">
        <f>IF(D3412&lt;&gt;"KEEP","",IF(RIGHT(B3412,10)="@gmail.com","Gmail",IF(OR(RIGHT(B3412,12)="@outlook.com",RIGHT(B3412,12)="@hotmail.com",RIGHT(B3412,9)="@live.com"),"Outlook","Domain")))</f>
        <v/>
      </c>
      <c r="F3412">
        <f>IF(B3412="","",IFERROR(RIGHT(B3412,LEN(B3412)-FIND("@",B3412)),""))</f>
        <v/>
      </c>
      <c r="G3412">
        <f>IF(D3412="KEEP",COUNTIF($D$2:D3412,"KEEP"),"")</f>
        <v/>
      </c>
      <c r="H3412">
        <f>IF(D3412="REMOVE",COUNTIF($D$2:D3412,"REMOVE"),"")</f>
        <v/>
      </c>
      <c r="I3412">
        <f>IF(E3412="Gmail",COUNTIF($E$2:E3412,"Gmail"),"")</f>
        <v/>
      </c>
      <c r="J3412">
        <f>IF(E3412="Outlook",COUNTIF($E$2:E3412,"Outlook"),"")</f>
        <v/>
      </c>
      <c r="K3412">
        <f>IF(E3412="Domain",COUNTIF($E$2:E3412,"Domain"),"")</f>
        <v/>
      </c>
    </row>
    <row r="3413">
      <c r="A3413" s="2" t="n"/>
      <c r="B3413">
        <f>LOWER(TRIM(A3413))</f>
        <v/>
      </c>
      <c r="C3413">
        <f>IF(B3413="","",IFERROR(INDEX('Bad Patterns'!$A$2:$A$120,MATCH(1,INDEX(--ISNUMBER(SEARCH('Bad Patterns'!$A$2:$A$120,B3413)),0),0)),""))</f>
        <v/>
      </c>
      <c r="D3413">
        <f>IF(B3413="","",IF(C3413&lt;&gt;"","REMOVE","KEEP"))</f>
        <v/>
      </c>
      <c r="E3413">
        <f>IF(D3413&lt;&gt;"KEEP","",IF(RIGHT(B3413,10)="@gmail.com","Gmail",IF(OR(RIGHT(B3413,12)="@outlook.com",RIGHT(B3413,12)="@hotmail.com",RIGHT(B3413,9)="@live.com"),"Outlook","Domain")))</f>
        <v/>
      </c>
      <c r="F3413">
        <f>IF(B3413="","",IFERROR(RIGHT(B3413,LEN(B3413)-FIND("@",B3413)),""))</f>
        <v/>
      </c>
      <c r="G3413">
        <f>IF(D3413="KEEP",COUNTIF($D$2:D3413,"KEEP"),"")</f>
        <v/>
      </c>
      <c r="H3413">
        <f>IF(D3413="REMOVE",COUNTIF($D$2:D3413,"REMOVE"),"")</f>
        <v/>
      </c>
      <c r="I3413">
        <f>IF(E3413="Gmail",COUNTIF($E$2:E3413,"Gmail"),"")</f>
        <v/>
      </c>
      <c r="J3413">
        <f>IF(E3413="Outlook",COUNTIF($E$2:E3413,"Outlook"),"")</f>
        <v/>
      </c>
      <c r="K3413">
        <f>IF(E3413="Domain",COUNTIF($E$2:E3413,"Domain"),"")</f>
        <v/>
      </c>
    </row>
    <row r="3414">
      <c r="A3414" s="2" t="n"/>
      <c r="B3414">
        <f>LOWER(TRIM(A3414))</f>
        <v/>
      </c>
      <c r="C3414">
        <f>IF(B3414="","",IFERROR(INDEX('Bad Patterns'!$A$2:$A$120,MATCH(1,INDEX(--ISNUMBER(SEARCH('Bad Patterns'!$A$2:$A$120,B3414)),0),0)),""))</f>
        <v/>
      </c>
      <c r="D3414">
        <f>IF(B3414="","",IF(C3414&lt;&gt;"","REMOVE","KEEP"))</f>
        <v/>
      </c>
      <c r="E3414">
        <f>IF(D3414&lt;&gt;"KEEP","",IF(RIGHT(B3414,10)="@gmail.com","Gmail",IF(OR(RIGHT(B3414,12)="@outlook.com",RIGHT(B3414,12)="@hotmail.com",RIGHT(B3414,9)="@live.com"),"Outlook","Domain")))</f>
        <v/>
      </c>
      <c r="F3414">
        <f>IF(B3414="","",IFERROR(RIGHT(B3414,LEN(B3414)-FIND("@",B3414)),""))</f>
        <v/>
      </c>
      <c r="G3414">
        <f>IF(D3414="KEEP",COUNTIF($D$2:D3414,"KEEP"),"")</f>
        <v/>
      </c>
      <c r="H3414">
        <f>IF(D3414="REMOVE",COUNTIF($D$2:D3414,"REMOVE"),"")</f>
        <v/>
      </c>
      <c r="I3414">
        <f>IF(E3414="Gmail",COUNTIF($E$2:E3414,"Gmail"),"")</f>
        <v/>
      </c>
      <c r="J3414">
        <f>IF(E3414="Outlook",COUNTIF($E$2:E3414,"Outlook"),"")</f>
        <v/>
      </c>
      <c r="K3414">
        <f>IF(E3414="Domain",COUNTIF($E$2:E3414,"Domain"),"")</f>
        <v/>
      </c>
    </row>
    <row r="3415">
      <c r="A3415" s="2" t="n"/>
      <c r="B3415">
        <f>LOWER(TRIM(A3415))</f>
        <v/>
      </c>
      <c r="C3415">
        <f>IF(B3415="","",IFERROR(INDEX('Bad Patterns'!$A$2:$A$120,MATCH(1,INDEX(--ISNUMBER(SEARCH('Bad Patterns'!$A$2:$A$120,B3415)),0),0)),""))</f>
        <v/>
      </c>
      <c r="D3415">
        <f>IF(B3415="","",IF(C3415&lt;&gt;"","REMOVE","KEEP"))</f>
        <v/>
      </c>
      <c r="E3415">
        <f>IF(D3415&lt;&gt;"KEEP","",IF(RIGHT(B3415,10)="@gmail.com","Gmail",IF(OR(RIGHT(B3415,12)="@outlook.com",RIGHT(B3415,12)="@hotmail.com",RIGHT(B3415,9)="@live.com"),"Outlook","Domain")))</f>
        <v/>
      </c>
      <c r="F3415">
        <f>IF(B3415="","",IFERROR(RIGHT(B3415,LEN(B3415)-FIND("@",B3415)),""))</f>
        <v/>
      </c>
      <c r="G3415">
        <f>IF(D3415="KEEP",COUNTIF($D$2:D3415,"KEEP"),"")</f>
        <v/>
      </c>
      <c r="H3415">
        <f>IF(D3415="REMOVE",COUNTIF($D$2:D3415,"REMOVE"),"")</f>
        <v/>
      </c>
      <c r="I3415">
        <f>IF(E3415="Gmail",COUNTIF($E$2:E3415,"Gmail"),"")</f>
        <v/>
      </c>
      <c r="J3415">
        <f>IF(E3415="Outlook",COUNTIF($E$2:E3415,"Outlook"),"")</f>
        <v/>
      </c>
      <c r="K3415">
        <f>IF(E3415="Domain",COUNTIF($E$2:E3415,"Domain"),"")</f>
        <v/>
      </c>
    </row>
    <row r="3416">
      <c r="A3416" s="2" t="n"/>
      <c r="B3416">
        <f>LOWER(TRIM(A3416))</f>
        <v/>
      </c>
      <c r="C3416">
        <f>IF(B3416="","",IFERROR(INDEX('Bad Patterns'!$A$2:$A$120,MATCH(1,INDEX(--ISNUMBER(SEARCH('Bad Patterns'!$A$2:$A$120,B3416)),0),0)),""))</f>
        <v/>
      </c>
      <c r="D3416">
        <f>IF(B3416="","",IF(C3416&lt;&gt;"","REMOVE","KEEP"))</f>
        <v/>
      </c>
      <c r="E3416">
        <f>IF(D3416&lt;&gt;"KEEP","",IF(RIGHT(B3416,10)="@gmail.com","Gmail",IF(OR(RIGHT(B3416,12)="@outlook.com",RIGHT(B3416,12)="@hotmail.com",RIGHT(B3416,9)="@live.com"),"Outlook","Domain")))</f>
        <v/>
      </c>
      <c r="F3416">
        <f>IF(B3416="","",IFERROR(RIGHT(B3416,LEN(B3416)-FIND("@",B3416)),""))</f>
        <v/>
      </c>
      <c r="G3416">
        <f>IF(D3416="KEEP",COUNTIF($D$2:D3416,"KEEP"),"")</f>
        <v/>
      </c>
      <c r="H3416">
        <f>IF(D3416="REMOVE",COUNTIF($D$2:D3416,"REMOVE"),"")</f>
        <v/>
      </c>
      <c r="I3416">
        <f>IF(E3416="Gmail",COUNTIF($E$2:E3416,"Gmail"),"")</f>
        <v/>
      </c>
      <c r="J3416">
        <f>IF(E3416="Outlook",COUNTIF($E$2:E3416,"Outlook"),"")</f>
        <v/>
      </c>
      <c r="K3416">
        <f>IF(E3416="Domain",COUNTIF($E$2:E3416,"Domain"),"")</f>
        <v/>
      </c>
    </row>
    <row r="3417">
      <c r="A3417" s="2" t="n"/>
      <c r="B3417">
        <f>LOWER(TRIM(A3417))</f>
        <v/>
      </c>
      <c r="C3417">
        <f>IF(B3417="","",IFERROR(INDEX('Bad Patterns'!$A$2:$A$120,MATCH(1,INDEX(--ISNUMBER(SEARCH('Bad Patterns'!$A$2:$A$120,B3417)),0),0)),""))</f>
        <v/>
      </c>
      <c r="D3417">
        <f>IF(B3417="","",IF(C3417&lt;&gt;"","REMOVE","KEEP"))</f>
        <v/>
      </c>
      <c r="E3417">
        <f>IF(D3417&lt;&gt;"KEEP","",IF(RIGHT(B3417,10)="@gmail.com","Gmail",IF(OR(RIGHT(B3417,12)="@outlook.com",RIGHT(B3417,12)="@hotmail.com",RIGHT(B3417,9)="@live.com"),"Outlook","Domain")))</f>
        <v/>
      </c>
      <c r="F3417">
        <f>IF(B3417="","",IFERROR(RIGHT(B3417,LEN(B3417)-FIND("@",B3417)),""))</f>
        <v/>
      </c>
      <c r="G3417">
        <f>IF(D3417="KEEP",COUNTIF($D$2:D3417,"KEEP"),"")</f>
        <v/>
      </c>
      <c r="H3417">
        <f>IF(D3417="REMOVE",COUNTIF($D$2:D3417,"REMOVE"),"")</f>
        <v/>
      </c>
      <c r="I3417">
        <f>IF(E3417="Gmail",COUNTIF($E$2:E3417,"Gmail"),"")</f>
        <v/>
      </c>
      <c r="J3417">
        <f>IF(E3417="Outlook",COUNTIF($E$2:E3417,"Outlook"),"")</f>
        <v/>
      </c>
      <c r="K3417">
        <f>IF(E3417="Domain",COUNTIF($E$2:E3417,"Domain"),"")</f>
        <v/>
      </c>
    </row>
    <row r="3418">
      <c r="A3418" s="2" t="n"/>
      <c r="B3418">
        <f>LOWER(TRIM(A3418))</f>
        <v/>
      </c>
      <c r="C3418">
        <f>IF(B3418="","",IFERROR(INDEX('Bad Patterns'!$A$2:$A$120,MATCH(1,INDEX(--ISNUMBER(SEARCH('Bad Patterns'!$A$2:$A$120,B3418)),0),0)),""))</f>
        <v/>
      </c>
      <c r="D3418">
        <f>IF(B3418="","",IF(C3418&lt;&gt;"","REMOVE","KEEP"))</f>
        <v/>
      </c>
      <c r="E3418">
        <f>IF(D3418&lt;&gt;"KEEP","",IF(RIGHT(B3418,10)="@gmail.com","Gmail",IF(OR(RIGHT(B3418,12)="@outlook.com",RIGHT(B3418,12)="@hotmail.com",RIGHT(B3418,9)="@live.com"),"Outlook","Domain")))</f>
        <v/>
      </c>
      <c r="F3418">
        <f>IF(B3418="","",IFERROR(RIGHT(B3418,LEN(B3418)-FIND("@",B3418)),""))</f>
        <v/>
      </c>
      <c r="G3418">
        <f>IF(D3418="KEEP",COUNTIF($D$2:D3418,"KEEP"),"")</f>
        <v/>
      </c>
      <c r="H3418">
        <f>IF(D3418="REMOVE",COUNTIF($D$2:D3418,"REMOVE"),"")</f>
        <v/>
      </c>
      <c r="I3418">
        <f>IF(E3418="Gmail",COUNTIF($E$2:E3418,"Gmail"),"")</f>
        <v/>
      </c>
      <c r="J3418">
        <f>IF(E3418="Outlook",COUNTIF($E$2:E3418,"Outlook"),"")</f>
        <v/>
      </c>
      <c r="K3418">
        <f>IF(E3418="Domain",COUNTIF($E$2:E3418,"Domain"),"")</f>
        <v/>
      </c>
    </row>
    <row r="3419">
      <c r="A3419" s="2" t="n"/>
      <c r="B3419">
        <f>LOWER(TRIM(A3419))</f>
        <v/>
      </c>
      <c r="C3419">
        <f>IF(B3419="","",IFERROR(INDEX('Bad Patterns'!$A$2:$A$120,MATCH(1,INDEX(--ISNUMBER(SEARCH('Bad Patterns'!$A$2:$A$120,B3419)),0),0)),""))</f>
        <v/>
      </c>
      <c r="D3419">
        <f>IF(B3419="","",IF(C3419&lt;&gt;"","REMOVE","KEEP"))</f>
        <v/>
      </c>
      <c r="E3419">
        <f>IF(D3419&lt;&gt;"KEEP","",IF(RIGHT(B3419,10)="@gmail.com","Gmail",IF(OR(RIGHT(B3419,12)="@outlook.com",RIGHT(B3419,12)="@hotmail.com",RIGHT(B3419,9)="@live.com"),"Outlook","Domain")))</f>
        <v/>
      </c>
      <c r="F3419">
        <f>IF(B3419="","",IFERROR(RIGHT(B3419,LEN(B3419)-FIND("@",B3419)),""))</f>
        <v/>
      </c>
      <c r="G3419">
        <f>IF(D3419="KEEP",COUNTIF($D$2:D3419,"KEEP"),"")</f>
        <v/>
      </c>
      <c r="H3419">
        <f>IF(D3419="REMOVE",COUNTIF($D$2:D3419,"REMOVE"),"")</f>
        <v/>
      </c>
      <c r="I3419">
        <f>IF(E3419="Gmail",COUNTIF($E$2:E3419,"Gmail"),"")</f>
        <v/>
      </c>
      <c r="J3419">
        <f>IF(E3419="Outlook",COUNTIF($E$2:E3419,"Outlook"),"")</f>
        <v/>
      </c>
      <c r="K3419">
        <f>IF(E3419="Domain",COUNTIF($E$2:E3419,"Domain"),"")</f>
        <v/>
      </c>
    </row>
    <row r="3420">
      <c r="A3420" s="2" t="n"/>
      <c r="B3420">
        <f>LOWER(TRIM(A3420))</f>
        <v/>
      </c>
      <c r="C3420">
        <f>IF(B3420="","",IFERROR(INDEX('Bad Patterns'!$A$2:$A$120,MATCH(1,INDEX(--ISNUMBER(SEARCH('Bad Patterns'!$A$2:$A$120,B3420)),0),0)),""))</f>
        <v/>
      </c>
      <c r="D3420">
        <f>IF(B3420="","",IF(C3420&lt;&gt;"","REMOVE","KEEP"))</f>
        <v/>
      </c>
      <c r="E3420">
        <f>IF(D3420&lt;&gt;"KEEP","",IF(RIGHT(B3420,10)="@gmail.com","Gmail",IF(OR(RIGHT(B3420,12)="@outlook.com",RIGHT(B3420,12)="@hotmail.com",RIGHT(B3420,9)="@live.com"),"Outlook","Domain")))</f>
        <v/>
      </c>
      <c r="F3420">
        <f>IF(B3420="","",IFERROR(RIGHT(B3420,LEN(B3420)-FIND("@",B3420)),""))</f>
        <v/>
      </c>
      <c r="G3420">
        <f>IF(D3420="KEEP",COUNTIF($D$2:D3420,"KEEP"),"")</f>
        <v/>
      </c>
      <c r="H3420">
        <f>IF(D3420="REMOVE",COUNTIF($D$2:D3420,"REMOVE"),"")</f>
        <v/>
      </c>
      <c r="I3420">
        <f>IF(E3420="Gmail",COUNTIF($E$2:E3420,"Gmail"),"")</f>
        <v/>
      </c>
      <c r="J3420">
        <f>IF(E3420="Outlook",COUNTIF($E$2:E3420,"Outlook"),"")</f>
        <v/>
      </c>
      <c r="K3420">
        <f>IF(E3420="Domain",COUNTIF($E$2:E3420,"Domain"),"")</f>
        <v/>
      </c>
    </row>
    <row r="3421">
      <c r="A3421" s="2" t="n"/>
      <c r="B3421">
        <f>LOWER(TRIM(A3421))</f>
        <v/>
      </c>
      <c r="C3421">
        <f>IF(B3421="","",IFERROR(INDEX('Bad Patterns'!$A$2:$A$120,MATCH(1,INDEX(--ISNUMBER(SEARCH('Bad Patterns'!$A$2:$A$120,B3421)),0),0)),""))</f>
        <v/>
      </c>
      <c r="D3421">
        <f>IF(B3421="","",IF(C3421&lt;&gt;"","REMOVE","KEEP"))</f>
        <v/>
      </c>
      <c r="E3421">
        <f>IF(D3421&lt;&gt;"KEEP","",IF(RIGHT(B3421,10)="@gmail.com","Gmail",IF(OR(RIGHT(B3421,12)="@outlook.com",RIGHT(B3421,12)="@hotmail.com",RIGHT(B3421,9)="@live.com"),"Outlook","Domain")))</f>
        <v/>
      </c>
      <c r="F3421">
        <f>IF(B3421="","",IFERROR(RIGHT(B3421,LEN(B3421)-FIND("@",B3421)),""))</f>
        <v/>
      </c>
      <c r="G3421">
        <f>IF(D3421="KEEP",COUNTIF($D$2:D3421,"KEEP"),"")</f>
        <v/>
      </c>
      <c r="H3421">
        <f>IF(D3421="REMOVE",COUNTIF($D$2:D3421,"REMOVE"),"")</f>
        <v/>
      </c>
      <c r="I3421">
        <f>IF(E3421="Gmail",COUNTIF($E$2:E3421,"Gmail"),"")</f>
        <v/>
      </c>
      <c r="J3421">
        <f>IF(E3421="Outlook",COUNTIF($E$2:E3421,"Outlook"),"")</f>
        <v/>
      </c>
      <c r="K3421">
        <f>IF(E3421="Domain",COUNTIF($E$2:E3421,"Domain"),"")</f>
        <v/>
      </c>
    </row>
    <row r="3422">
      <c r="A3422" s="2" t="n"/>
      <c r="B3422">
        <f>LOWER(TRIM(A3422))</f>
        <v/>
      </c>
      <c r="C3422">
        <f>IF(B3422="","",IFERROR(INDEX('Bad Patterns'!$A$2:$A$120,MATCH(1,INDEX(--ISNUMBER(SEARCH('Bad Patterns'!$A$2:$A$120,B3422)),0),0)),""))</f>
        <v/>
      </c>
      <c r="D3422">
        <f>IF(B3422="","",IF(C3422&lt;&gt;"","REMOVE","KEEP"))</f>
        <v/>
      </c>
      <c r="E3422">
        <f>IF(D3422&lt;&gt;"KEEP","",IF(RIGHT(B3422,10)="@gmail.com","Gmail",IF(OR(RIGHT(B3422,12)="@outlook.com",RIGHT(B3422,12)="@hotmail.com",RIGHT(B3422,9)="@live.com"),"Outlook","Domain")))</f>
        <v/>
      </c>
      <c r="F3422">
        <f>IF(B3422="","",IFERROR(RIGHT(B3422,LEN(B3422)-FIND("@",B3422)),""))</f>
        <v/>
      </c>
      <c r="G3422">
        <f>IF(D3422="KEEP",COUNTIF($D$2:D3422,"KEEP"),"")</f>
        <v/>
      </c>
      <c r="H3422">
        <f>IF(D3422="REMOVE",COUNTIF($D$2:D3422,"REMOVE"),"")</f>
        <v/>
      </c>
      <c r="I3422">
        <f>IF(E3422="Gmail",COUNTIF($E$2:E3422,"Gmail"),"")</f>
        <v/>
      </c>
      <c r="J3422">
        <f>IF(E3422="Outlook",COUNTIF($E$2:E3422,"Outlook"),"")</f>
        <v/>
      </c>
      <c r="K3422">
        <f>IF(E3422="Domain",COUNTIF($E$2:E3422,"Domain"),"")</f>
        <v/>
      </c>
    </row>
    <row r="3423">
      <c r="A3423" s="2" t="n"/>
      <c r="B3423">
        <f>LOWER(TRIM(A3423))</f>
        <v/>
      </c>
      <c r="C3423">
        <f>IF(B3423="","",IFERROR(INDEX('Bad Patterns'!$A$2:$A$120,MATCH(1,INDEX(--ISNUMBER(SEARCH('Bad Patterns'!$A$2:$A$120,B3423)),0),0)),""))</f>
        <v/>
      </c>
      <c r="D3423">
        <f>IF(B3423="","",IF(C3423&lt;&gt;"","REMOVE","KEEP"))</f>
        <v/>
      </c>
      <c r="E3423">
        <f>IF(D3423&lt;&gt;"KEEP","",IF(RIGHT(B3423,10)="@gmail.com","Gmail",IF(OR(RIGHT(B3423,12)="@outlook.com",RIGHT(B3423,12)="@hotmail.com",RIGHT(B3423,9)="@live.com"),"Outlook","Domain")))</f>
        <v/>
      </c>
      <c r="F3423">
        <f>IF(B3423="","",IFERROR(RIGHT(B3423,LEN(B3423)-FIND("@",B3423)),""))</f>
        <v/>
      </c>
      <c r="G3423">
        <f>IF(D3423="KEEP",COUNTIF($D$2:D3423,"KEEP"),"")</f>
        <v/>
      </c>
      <c r="H3423">
        <f>IF(D3423="REMOVE",COUNTIF($D$2:D3423,"REMOVE"),"")</f>
        <v/>
      </c>
      <c r="I3423">
        <f>IF(E3423="Gmail",COUNTIF($E$2:E3423,"Gmail"),"")</f>
        <v/>
      </c>
      <c r="J3423">
        <f>IF(E3423="Outlook",COUNTIF($E$2:E3423,"Outlook"),"")</f>
        <v/>
      </c>
      <c r="K3423">
        <f>IF(E3423="Domain",COUNTIF($E$2:E3423,"Domain"),"")</f>
        <v/>
      </c>
    </row>
    <row r="3424">
      <c r="A3424" s="2" t="n"/>
      <c r="B3424">
        <f>LOWER(TRIM(A3424))</f>
        <v/>
      </c>
      <c r="C3424">
        <f>IF(B3424="","",IFERROR(INDEX('Bad Patterns'!$A$2:$A$120,MATCH(1,INDEX(--ISNUMBER(SEARCH('Bad Patterns'!$A$2:$A$120,B3424)),0),0)),""))</f>
        <v/>
      </c>
      <c r="D3424">
        <f>IF(B3424="","",IF(C3424&lt;&gt;"","REMOVE","KEEP"))</f>
        <v/>
      </c>
      <c r="E3424">
        <f>IF(D3424&lt;&gt;"KEEP","",IF(RIGHT(B3424,10)="@gmail.com","Gmail",IF(OR(RIGHT(B3424,12)="@outlook.com",RIGHT(B3424,12)="@hotmail.com",RIGHT(B3424,9)="@live.com"),"Outlook","Domain")))</f>
        <v/>
      </c>
      <c r="F3424">
        <f>IF(B3424="","",IFERROR(RIGHT(B3424,LEN(B3424)-FIND("@",B3424)),""))</f>
        <v/>
      </c>
      <c r="G3424">
        <f>IF(D3424="KEEP",COUNTIF($D$2:D3424,"KEEP"),"")</f>
        <v/>
      </c>
      <c r="H3424">
        <f>IF(D3424="REMOVE",COUNTIF($D$2:D3424,"REMOVE"),"")</f>
        <v/>
      </c>
      <c r="I3424">
        <f>IF(E3424="Gmail",COUNTIF($E$2:E3424,"Gmail"),"")</f>
        <v/>
      </c>
      <c r="J3424">
        <f>IF(E3424="Outlook",COUNTIF($E$2:E3424,"Outlook"),"")</f>
        <v/>
      </c>
      <c r="K3424">
        <f>IF(E3424="Domain",COUNTIF($E$2:E3424,"Domain"),"")</f>
        <v/>
      </c>
    </row>
    <row r="3425">
      <c r="A3425" s="2" t="n"/>
      <c r="B3425">
        <f>LOWER(TRIM(A3425))</f>
        <v/>
      </c>
      <c r="C3425">
        <f>IF(B3425="","",IFERROR(INDEX('Bad Patterns'!$A$2:$A$120,MATCH(1,INDEX(--ISNUMBER(SEARCH('Bad Patterns'!$A$2:$A$120,B3425)),0),0)),""))</f>
        <v/>
      </c>
      <c r="D3425">
        <f>IF(B3425="","",IF(C3425&lt;&gt;"","REMOVE","KEEP"))</f>
        <v/>
      </c>
      <c r="E3425">
        <f>IF(D3425&lt;&gt;"KEEP","",IF(RIGHT(B3425,10)="@gmail.com","Gmail",IF(OR(RIGHT(B3425,12)="@outlook.com",RIGHT(B3425,12)="@hotmail.com",RIGHT(B3425,9)="@live.com"),"Outlook","Domain")))</f>
        <v/>
      </c>
      <c r="F3425">
        <f>IF(B3425="","",IFERROR(RIGHT(B3425,LEN(B3425)-FIND("@",B3425)),""))</f>
        <v/>
      </c>
      <c r="G3425">
        <f>IF(D3425="KEEP",COUNTIF($D$2:D3425,"KEEP"),"")</f>
        <v/>
      </c>
      <c r="H3425">
        <f>IF(D3425="REMOVE",COUNTIF($D$2:D3425,"REMOVE"),"")</f>
        <v/>
      </c>
      <c r="I3425">
        <f>IF(E3425="Gmail",COUNTIF($E$2:E3425,"Gmail"),"")</f>
        <v/>
      </c>
      <c r="J3425">
        <f>IF(E3425="Outlook",COUNTIF($E$2:E3425,"Outlook"),"")</f>
        <v/>
      </c>
      <c r="K3425">
        <f>IF(E3425="Domain",COUNTIF($E$2:E3425,"Domain"),"")</f>
        <v/>
      </c>
    </row>
    <row r="3426">
      <c r="A3426" s="2" t="n"/>
      <c r="B3426">
        <f>LOWER(TRIM(A3426))</f>
        <v/>
      </c>
      <c r="C3426">
        <f>IF(B3426="","",IFERROR(INDEX('Bad Patterns'!$A$2:$A$120,MATCH(1,INDEX(--ISNUMBER(SEARCH('Bad Patterns'!$A$2:$A$120,B3426)),0),0)),""))</f>
        <v/>
      </c>
      <c r="D3426">
        <f>IF(B3426="","",IF(C3426&lt;&gt;"","REMOVE","KEEP"))</f>
        <v/>
      </c>
      <c r="E3426">
        <f>IF(D3426&lt;&gt;"KEEP","",IF(RIGHT(B3426,10)="@gmail.com","Gmail",IF(OR(RIGHT(B3426,12)="@outlook.com",RIGHT(B3426,12)="@hotmail.com",RIGHT(B3426,9)="@live.com"),"Outlook","Domain")))</f>
        <v/>
      </c>
      <c r="F3426">
        <f>IF(B3426="","",IFERROR(RIGHT(B3426,LEN(B3426)-FIND("@",B3426)),""))</f>
        <v/>
      </c>
      <c r="G3426">
        <f>IF(D3426="KEEP",COUNTIF($D$2:D3426,"KEEP"),"")</f>
        <v/>
      </c>
      <c r="H3426">
        <f>IF(D3426="REMOVE",COUNTIF($D$2:D3426,"REMOVE"),"")</f>
        <v/>
      </c>
      <c r="I3426">
        <f>IF(E3426="Gmail",COUNTIF($E$2:E3426,"Gmail"),"")</f>
        <v/>
      </c>
      <c r="J3426">
        <f>IF(E3426="Outlook",COUNTIF($E$2:E3426,"Outlook"),"")</f>
        <v/>
      </c>
      <c r="K3426">
        <f>IF(E3426="Domain",COUNTIF($E$2:E3426,"Domain"),"")</f>
        <v/>
      </c>
    </row>
    <row r="3427">
      <c r="A3427" s="2" t="n"/>
      <c r="B3427">
        <f>LOWER(TRIM(A3427))</f>
        <v/>
      </c>
      <c r="C3427">
        <f>IF(B3427="","",IFERROR(INDEX('Bad Patterns'!$A$2:$A$120,MATCH(1,INDEX(--ISNUMBER(SEARCH('Bad Patterns'!$A$2:$A$120,B3427)),0),0)),""))</f>
        <v/>
      </c>
      <c r="D3427">
        <f>IF(B3427="","",IF(C3427&lt;&gt;"","REMOVE","KEEP"))</f>
        <v/>
      </c>
      <c r="E3427">
        <f>IF(D3427&lt;&gt;"KEEP","",IF(RIGHT(B3427,10)="@gmail.com","Gmail",IF(OR(RIGHT(B3427,12)="@outlook.com",RIGHT(B3427,12)="@hotmail.com",RIGHT(B3427,9)="@live.com"),"Outlook","Domain")))</f>
        <v/>
      </c>
      <c r="F3427">
        <f>IF(B3427="","",IFERROR(RIGHT(B3427,LEN(B3427)-FIND("@",B3427)),""))</f>
        <v/>
      </c>
      <c r="G3427">
        <f>IF(D3427="KEEP",COUNTIF($D$2:D3427,"KEEP"),"")</f>
        <v/>
      </c>
      <c r="H3427">
        <f>IF(D3427="REMOVE",COUNTIF($D$2:D3427,"REMOVE"),"")</f>
        <v/>
      </c>
      <c r="I3427">
        <f>IF(E3427="Gmail",COUNTIF($E$2:E3427,"Gmail"),"")</f>
        <v/>
      </c>
      <c r="J3427">
        <f>IF(E3427="Outlook",COUNTIF($E$2:E3427,"Outlook"),"")</f>
        <v/>
      </c>
      <c r="K3427">
        <f>IF(E3427="Domain",COUNTIF($E$2:E3427,"Domain"),"")</f>
        <v/>
      </c>
    </row>
    <row r="3428">
      <c r="A3428" s="2" t="n"/>
      <c r="B3428">
        <f>LOWER(TRIM(A3428))</f>
        <v/>
      </c>
      <c r="C3428">
        <f>IF(B3428="","",IFERROR(INDEX('Bad Patterns'!$A$2:$A$120,MATCH(1,INDEX(--ISNUMBER(SEARCH('Bad Patterns'!$A$2:$A$120,B3428)),0),0)),""))</f>
        <v/>
      </c>
      <c r="D3428">
        <f>IF(B3428="","",IF(C3428&lt;&gt;"","REMOVE","KEEP"))</f>
        <v/>
      </c>
      <c r="E3428">
        <f>IF(D3428&lt;&gt;"KEEP","",IF(RIGHT(B3428,10)="@gmail.com","Gmail",IF(OR(RIGHT(B3428,12)="@outlook.com",RIGHT(B3428,12)="@hotmail.com",RIGHT(B3428,9)="@live.com"),"Outlook","Domain")))</f>
        <v/>
      </c>
      <c r="F3428">
        <f>IF(B3428="","",IFERROR(RIGHT(B3428,LEN(B3428)-FIND("@",B3428)),""))</f>
        <v/>
      </c>
      <c r="G3428">
        <f>IF(D3428="KEEP",COUNTIF($D$2:D3428,"KEEP"),"")</f>
        <v/>
      </c>
      <c r="H3428">
        <f>IF(D3428="REMOVE",COUNTIF($D$2:D3428,"REMOVE"),"")</f>
        <v/>
      </c>
      <c r="I3428">
        <f>IF(E3428="Gmail",COUNTIF($E$2:E3428,"Gmail"),"")</f>
        <v/>
      </c>
      <c r="J3428">
        <f>IF(E3428="Outlook",COUNTIF($E$2:E3428,"Outlook"),"")</f>
        <v/>
      </c>
      <c r="K3428">
        <f>IF(E3428="Domain",COUNTIF($E$2:E3428,"Domain"),"")</f>
        <v/>
      </c>
    </row>
    <row r="3429">
      <c r="A3429" s="2" t="n"/>
      <c r="B3429">
        <f>LOWER(TRIM(A3429))</f>
        <v/>
      </c>
      <c r="C3429">
        <f>IF(B3429="","",IFERROR(INDEX('Bad Patterns'!$A$2:$A$120,MATCH(1,INDEX(--ISNUMBER(SEARCH('Bad Patterns'!$A$2:$A$120,B3429)),0),0)),""))</f>
        <v/>
      </c>
      <c r="D3429">
        <f>IF(B3429="","",IF(C3429&lt;&gt;"","REMOVE","KEEP"))</f>
        <v/>
      </c>
      <c r="E3429">
        <f>IF(D3429&lt;&gt;"KEEP","",IF(RIGHT(B3429,10)="@gmail.com","Gmail",IF(OR(RIGHT(B3429,12)="@outlook.com",RIGHT(B3429,12)="@hotmail.com",RIGHT(B3429,9)="@live.com"),"Outlook","Domain")))</f>
        <v/>
      </c>
      <c r="F3429">
        <f>IF(B3429="","",IFERROR(RIGHT(B3429,LEN(B3429)-FIND("@",B3429)),""))</f>
        <v/>
      </c>
      <c r="G3429">
        <f>IF(D3429="KEEP",COUNTIF($D$2:D3429,"KEEP"),"")</f>
        <v/>
      </c>
      <c r="H3429">
        <f>IF(D3429="REMOVE",COUNTIF($D$2:D3429,"REMOVE"),"")</f>
        <v/>
      </c>
      <c r="I3429">
        <f>IF(E3429="Gmail",COUNTIF($E$2:E3429,"Gmail"),"")</f>
        <v/>
      </c>
      <c r="J3429">
        <f>IF(E3429="Outlook",COUNTIF($E$2:E3429,"Outlook"),"")</f>
        <v/>
      </c>
      <c r="K3429">
        <f>IF(E3429="Domain",COUNTIF($E$2:E3429,"Domain"),"")</f>
        <v/>
      </c>
    </row>
    <row r="3430">
      <c r="A3430" s="2" t="n"/>
      <c r="B3430">
        <f>LOWER(TRIM(A3430))</f>
        <v/>
      </c>
      <c r="C3430">
        <f>IF(B3430="","",IFERROR(INDEX('Bad Patterns'!$A$2:$A$120,MATCH(1,INDEX(--ISNUMBER(SEARCH('Bad Patterns'!$A$2:$A$120,B3430)),0),0)),""))</f>
        <v/>
      </c>
      <c r="D3430">
        <f>IF(B3430="","",IF(C3430&lt;&gt;"","REMOVE","KEEP"))</f>
        <v/>
      </c>
      <c r="E3430">
        <f>IF(D3430&lt;&gt;"KEEP","",IF(RIGHT(B3430,10)="@gmail.com","Gmail",IF(OR(RIGHT(B3430,12)="@outlook.com",RIGHT(B3430,12)="@hotmail.com",RIGHT(B3430,9)="@live.com"),"Outlook","Domain")))</f>
        <v/>
      </c>
      <c r="F3430">
        <f>IF(B3430="","",IFERROR(RIGHT(B3430,LEN(B3430)-FIND("@",B3430)),""))</f>
        <v/>
      </c>
      <c r="G3430">
        <f>IF(D3430="KEEP",COUNTIF($D$2:D3430,"KEEP"),"")</f>
        <v/>
      </c>
      <c r="H3430">
        <f>IF(D3430="REMOVE",COUNTIF($D$2:D3430,"REMOVE"),"")</f>
        <v/>
      </c>
      <c r="I3430">
        <f>IF(E3430="Gmail",COUNTIF($E$2:E3430,"Gmail"),"")</f>
        <v/>
      </c>
      <c r="J3430">
        <f>IF(E3430="Outlook",COUNTIF($E$2:E3430,"Outlook"),"")</f>
        <v/>
      </c>
      <c r="K3430">
        <f>IF(E3430="Domain",COUNTIF($E$2:E3430,"Domain"),"")</f>
        <v/>
      </c>
    </row>
    <row r="3431">
      <c r="A3431" s="2" t="n"/>
      <c r="B3431">
        <f>LOWER(TRIM(A3431))</f>
        <v/>
      </c>
      <c r="C3431">
        <f>IF(B3431="","",IFERROR(INDEX('Bad Patterns'!$A$2:$A$120,MATCH(1,INDEX(--ISNUMBER(SEARCH('Bad Patterns'!$A$2:$A$120,B3431)),0),0)),""))</f>
        <v/>
      </c>
      <c r="D3431">
        <f>IF(B3431="","",IF(C3431&lt;&gt;"","REMOVE","KEEP"))</f>
        <v/>
      </c>
      <c r="E3431">
        <f>IF(D3431&lt;&gt;"KEEP","",IF(RIGHT(B3431,10)="@gmail.com","Gmail",IF(OR(RIGHT(B3431,12)="@outlook.com",RIGHT(B3431,12)="@hotmail.com",RIGHT(B3431,9)="@live.com"),"Outlook","Domain")))</f>
        <v/>
      </c>
      <c r="F3431">
        <f>IF(B3431="","",IFERROR(RIGHT(B3431,LEN(B3431)-FIND("@",B3431)),""))</f>
        <v/>
      </c>
      <c r="G3431">
        <f>IF(D3431="KEEP",COUNTIF($D$2:D3431,"KEEP"),"")</f>
        <v/>
      </c>
      <c r="H3431">
        <f>IF(D3431="REMOVE",COUNTIF($D$2:D3431,"REMOVE"),"")</f>
        <v/>
      </c>
      <c r="I3431">
        <f>IF(E3431="Gmail",COUNTIF($E$2:E3431,"Gmail"),"")</f>
        <v/>
      </c>
      <c r="J3431">
        <f>IF(E3431="Outlook",COUNTIF($E$2:E3431,"Outlook"),"")</f>
        <v/>
      </c>
      <c r="K3431">
        <f>IF(E3431="Domain",COUNTIF($E$2:E3431,"Domain"),"")</f>
        <v/>
      </c>
    </row>
    <row r="3432">
      <c r="A3432" s="2" t="n"/>
      <c r="B3432">
        <f>LOWER(TRIM(A3432))</f>
        <v/>
      </c>
      <c r="C3432">
        <f>IF(B3432="","",IFERROR(INDEX('Bad Patterns'!$A$2:$A$120,MATCH(1,INDEX(--ISNUMBER(SEARCH('Bad Patterns'!$A$2:$A$120,B3432)),0),0)),""))</f>
        <v/>
      </c>
      <c r="D3432">
        <f>IF(B3432="","",IF(C3432&lt;&gt;"","REMOVE","KEEP"))</f>
        <v/>
      </c>
      <c r="E3432">
        <f>IF(D3432&lt;&gt;"KEEP","",IF(RIGHT(B3432,10)="@gmail.com","Gmail",IF(OR(RIGHT(B3432,12)="@outlook.com",RIGHT(B3432,12)="@hotmail.com",RIGHT(B3432,9)="@live.com"),"Outlook","Domain")))</f>
        <v/>
      </c>
      <c r="F3432">
        <f>IF(B3432="","",IFERROR(RIGHT(B3432,LEN(B3432)-FIND("@",B3432)),""))</f>
        <v/>
      </c>
      <c r="G3432">
        <f>IF(D3432="KEEP",COUNTIF($D$2:D3432,"KEEP"),"")</f>
        <v/>
      </c>
      <c r="H3432">
        <f>IF(D3432="REMOVE",COUNTIF($D$2:D3432,"REMOVE"),"")</f>
        <v/>
      </c>
      <c r="I3432">
        <f>IF(E3432="Gmail",COUNTIF($E$2:E3432,"Gmail"),"")</f>
        <v/>
      </c>
      <c r="J3432">
        <f>IF(E3432="Outlook",COUNTIF($E$2:E3432,"Outlook"),"")</f>
        <v/>
      </c>
      <c r="K3432">
        <f>IF(E3432="Domain",COUNTIF($E$2:E3432,"Domain"),"")</f>
        <v/>
      </c>
    </row>
    <row r="3433">
      <c r="A3433" s="2" t="n"/>
      <c r="B3433">
        <f>LOWER(TRIM(A3433))</f>
        <v/>
      </c>
      <c r="C3433">
        <f>IF(B3433="","",IFERROR(INDEX('Bad Patterns'!$A$2:$A$120,MATCH(1,INDEX(--ISNUMBER(SEARCH('Bad Patterns'!$A$2:$A$120,B3433)),0),0)),""))</f>
        <v/>
      </c>
      <c r="D3433">
        <f>IF(B3433="","",IF(C3433&lt;&gt;"","REMOVE","KEEP"))</f>
        <v/>
      </c>
      <c r="E3433">
        <f>IF(D3433&lt;&gt;"KEEP","",IF(RIGHT(B3433,10)="@gmail.com","Gmail",IF(OR(RIGHT(B3433,12)="@outlook.com",RIGHT(B3433,12)="@hotmail.com",RIGHT(B3433,9)="@live.com"),"Outlook","Domain")))</f>
        <v/>
      </c>
      <c r="F3433">
        <f>IF(B3433="","",IFERROR(RIGHT(B3433,LEN(B3433)-FIND("@",B3433)),""))</f>
        <v/>
      </c>
      <c r="G3433">
        <f>IF(D3433="KEEP",COUNTIF($D$2:D3433,"KEEP"),"")</f>
        <v/>
      </c>
      <c r="H3433">
        <f>IF(D3433="REMOVE",COUNTIF($D$2:D3433,"REMOVE"),"")</f>
        <v/>
      </c>
      <c r="I3433">
        <f>IF(E3433="Gmail",COUNTIF($E$2:E3433,"Gmail"),"")</f>
        <v/>
      </c>
      <c r="J3433">
        <f>IF(E3433="Outlook",COUNTIF($E$2:E3433,"Outlook"),"")</f>
        <v/>
      </c>
      <c r="K3433">
        <f>IF(E3433="Domain",COUNTIF($E$2:E3433,"Domain"),"")</f>
        <v/>
      </c>
    </row>
    <row r="3434">
      <c r="A3434" s="2" t="n"/>
      <c r="B3434">
        <f>LOWER(TRIM(A3434))</f>
        <v/>
      </c>
      <c r="C3434">
        <f>IF(B3434="","",IFERROR(INDEX('Bad Patterns'!$A$2:$A$120,MATCH(1,INDEX(--ISNUMBER(SEARCH('Bad Patterns'!$A$2:$A$120,B3434)),0),0)),""))</f>
        <v/>
      </c>
      <c r="D3434">
        <f>IF(B3434="","",IF(C3434&lt;&gt;"","REMOVE","KEEP"))</f>
        <v/>
      </c>
      <c r="E3434">
        <f>IF(D3434&lt;&gt;"KEEP","",IF(RIGHT(B3434,10)="@gmail.com","Gmail",IF(OR(RIGHT(B3434,12)="@outlook.com",RIGHT(B3434,12)="@hotmail.com",RIGHT(B3434,9)="@live.com"),"Outlook","Domain")))</f>
        <v/>
      </c>
      <c r="F3434">
        <f>IF(B3434="","",IFERROR(RIGHT(B3434,LEN(B3434)-FIND("@",B3434)),""))</f>
        <v/>
      </c>
      <c r="G3434">
        <f>IF(D3434="KEEP",COUNTIF($D$2:D3434,"KEEP"),"")</f>
        <v/>
      </c>
      <c r="H3434">
        <f>IF(D3434="REMOVE",COUNTIF($D$2:D3434,"REMOVE"),"")</f>
        <v/>
      </c>
      <c r="I3434">
        <f>IF(E3434="Gmail",COUNTIF($E$2:E3434,"Gmail"),"")</f>
        <v/>
      </c>
      <c r="J3434">
        <f>IF(E3434="Outlook",COUNTIF($E$2:E3434,"Outlook"),"")</f>
        <v/>
      </c>
      <c r="K3434">
        <f>IF(E3434="Domain",COUNTIF($E$2:E3434,"Domain"),"")</f>
        <v/>
      </c>
    </row>
    <row r="3435">
      <c r="A3435" s="2" t="n"/>
      <c r="B3435">
        <f>LOWER(TRIM(A3435))</f>
        <v/>
      </c>
      <c r="C3435">
        <f>IF(B3435="","",IFERROR(INDEX('Bad Patterns'!$A$2:$A$120,MATCH(1,INDEX(--ISNUMBER(SEARCH('Bad Patterns'!$A$2:$A$120,B3435)),0),0)),""))</f>
        <v/>
      </c>
      <c r="D3435">
        <f>IF(B3435="","",IF(C3435&lt;&gt;"","REMOVE","KEEP"))</f>
        <v/>
      </c>
      <c r="E3435">
        <f>IF(D3435&lt;&gt;"KEEP","",IF(RIGHT(B3435,10)="@gmail.com","Gmail",IF(OR(RIGHT(B3435,12)="@outlook.com",RIGHT(B3435,12)="@hotmail.com",RIGHT(B3435,9)="@live.com"),"Outlook","Domain")))</f>
        <v/>
      </c>
      <c r="F3435">
        <f>IF(B3435="","",IFERROR(RIGHT(B3435,LEN(B3435)-FIND("@",B3435)),""))</f>
        <v/>
      </c>
      <c r="G3435">
        <f>IF(D3435="KEEP",COUNTIF($D$2:D3435,"KEEP"),"")</f>
        <v/>
      </c>
      <c r="H3435">
        <f>IF(D3435="REMOVE",COUNTIF($D$2:D3435,"REMOVE"),"")</f>
        <v/>
      </c>
      <c r="I3435">
        <f>IF(E3435="Gmail",COUNTIF($E$2:E3435,"Gmail"),"")</f>
        <v/>
      </c>
      <c r="J3435">
        <f>IF(E3435="Outlook",COUNTIF($E$2:E3435,"Outlook"),"")</f>
        <v/>
      </c>
      <c r="K3435">
        <f>IF(E3435="Domain",COUNTIF($E$2:E3435,"Domain"),"")</f>
        <v/>
      </c>
    </row>
    <row r="3436">
      <c r="A3436" s="2" t="n"/>
      <c r="B3436">
        <f>LOWER(TRIM(A3436))</f>
        <v/>
      </c>
      <c r="C3436">
        <f>IF(B3436="","",IFERROR(INDEX('Bad Patterns'!$A$2:$A$120,MATCH(1,INDEX(--ISNUMBER(SEARCH('Bad Patterns'!$A$2:$A$120,B3436)),0),0)),""))</f>
        <v/>
      </c>
      <c r="D3436">
        <f>IF(B3436="","",IF(C3436&lt;&gt;"","REMOVE","KEEP"))</f>
        <v/>
      </c>
      <c r="E3436">
        <f>IF(D3436&lt;&gt;"KEEP","",IF(RIGHT(B3436,10)="@gmail.com","Gmail",IF(OR(RIGHT(B3436,12)="@outlook.com",RIGHT(B3436,12)="@hotmail.com",RIGHT(B3436,9)="@live.com"),"Outlook","Domain")))</f>
        <v/>
      </c>
      <c r="F3436">
        <f>IF(B3436="","",IFERROR(RIGHT(B3436,LEN(B3436)-FIND("@",B3436)),""))</f>
        <v/>
      </c>
      <c r="G3436">
        <f>IF(D3436="KEEP",COUNTIF($D$2:D3436,"KEEP"),"")</f>
        <v/>
      </c>
      <c r="H3436">
        <f>IF(D3436="REMOVE",COUNTIF($D$2:D3436,"REMOVE"),"")</f>
        <v/>
      </c>
      <c r="I3436">
        <f>IF(E3436="Gmail",COUNTIF($E$2:E3436,"Gmail"),"")</f>
        <v/>
      </c>
      <c r="J3436">
        <f>IF(E3436="Outlook",COUNTIF($E$2:E3436,"Outlook"),"")</f>
        <v/>
      </c>
      <c r="K3436">
        <f>IF(E3436="Domain",COUNTIF($E$2:E3436,"Domain"),"")</f>
        <v/>
      </c>
    </row>
    <row r="3437">
      <c r="A3437" s="2" t="n"/>
      <c r="B3437">
        <f>LOWER(TRIM(A3437))</f>
        <v/>
      </c>
      <c r="C3437">
        <f>IF(B3437="","",IFERROR(INDEX('Bad Patterns'!$A$2:$A$120,MATCH(1,INDEX(--ISNUMBER(SEARCH('Bad Patterns'!$A$2:$A$120,B3437)),0),0)),""))</f>
        <v/>
      </c>
      <c r="D3437">
        <f>IF(B3437="","",IF(C3437&lt;&gt;"","REMOVE","KEEP"))</f>
        <v/>
      </c>
      <c r="E3437">
        <f>IF(D3437&lt;&gt;"KEEP","",IF(RIGHT(B3437,10)="@gmail.com","Gmail",IF(OR(RIGHT(B3437,12)="@outlook.com",RIGHT(B3437,12)="@hotmail.com",RIGHT(B3437,9)="@live.com"),"Outlook","Domain")))</f>
        <v/>
      </c>
      <c r="F3437">
        <f>IF(B3437="","",IFERROR(RIGHT(B3437,LEN(B3437)-FIND("@",B3437)),""))</f>
        <v/>
      </c>
      <c r="G3437">
        <f>IF(D3437="KEEP",COUNTIF($D$2:D3437,"KEEP"),"")</f>
        <v/>
      </c>
      <c r="H3437">
        <f>IF(D3437="REMOVE",COUNTIF($D$2:D3437,"REMOVE"),"")</f>
        <v/>
      </c>
      <c r="I3437">
        <f>IF(E3437="Gmail",COUNTIF($E$2:E3437,"Gmail"),"")</f>
        <v/>
      </c>
      <c r="J3437">
        <f>IF(E3437="Outlook",COUNTIF($E$2:E3437,"Outlook"),"")</f>
        <v/>
      </c>
      <c r="K3437">
        <f>IF(E3437="Domain",COUNTIF($E$2:E3437,"Domain"),"")</f>
        <v/>
      </c>
    </row>
    <row r="3438">
      <c r="A3438" s="2" t="n"/>
      <c r="B3438">
        <f>LOWER(TRIM(A3438))</f>
        <v/>
      </c>
      <c r="C3438">
        <f>IF(B3438="","",IFERROR(INDEX('Bad Patterns'!$A$2:$A$120,MATCH(1,INDEX(--ISNUMBER(SEARCH('Bad Patterns'!$A$2:$A$120,B3438)),0),0)),""))</f>
        <v/>
      </c>
      <c r="D3438">
        <f>IF(B3438="","",IF(C3438&lt;&gt;"","REMOVE","KEEP"))</f>
        <v/>
      </c>
      <c r="E3438">
        <f>IF(D3438&lt;&gt;"KEEP","",IF(RIGHT(B3438,10)="@gmail.com","Gmail",IF(OR(RIGHT(B3438,12)="@outlook.com",RIGHT(B3438,12)="@hotmail.com",RIGHT(B3438,9)="@live.com"),"Outlook","Domain")))</f>
        <v/>
      </c>
      <c r="F3438">
        <f>IF(B3438="","",IFERROR(RIGHT(B3438,LEN(B3438)-FIND("@",B3438)),""))</f>
        <v/>
      </c>
      <c r="G3438">
        <f>IF(D3438="KEEP",COUNTIF($D$2:D3438,"KEEP"),"")</f>
        <v/>
      </c>
      <c r="H3438">
        <f>IF(D3438="REMOVE",COUNTIF($D$2:D3438,"REMOVE"),"")</f>
        <v/>
      </c>
      <c r="I3438">
        <f>IF(E3438="Gmail",COUNTIF($E$2:E3438,"Gmail"),"")</f>
        <v/>
      </c>
      <c r="J3438">
        <f>IF(E3438="Outlook",COUNTIF($E$2:E3438,"Outlook"),"")</f>
        <v/>
      </c>
      <c r="K3438">
        <f>IF(E3438="Domain",COUNTIF($E$2:E3438,"Domain"),"")</f>
        <v/>
      </c>
    </row>
    <row r="3439">
      <c r="A3439" s="2" t="n"/>
      <c r="B3439">
        <f>LOWER(TRIM(A3439))</f>
        <v/>
      </c>
      <c r="C3439">
        <f>IF(B3439="","",IFERROR(INDEX('Bad Patterns'!$A$2:$A$120,MATCH(1,INDEX(--ISNUMBER(SEARCH('Bad Patterns'!$A$2:$A$120,B3439)),0),0)),""))</f>
        <v/>
      </c>
      <c r="D3439">
        <f>IF(B3439="","",IF(C3439&lt;&gt;"","REMOVE","KEEP"))</f>
        <v/>
      </c>
      <c r="E3439">
        <f>IF(D3439&lt;&gt;"KEEP","",IF(RIGHT(B3439,10)="@gmail.com","Gmail",IF(OR(RIGHT(B3439,12)="@outlook.com",RIGHT(B3439,12)="@hotmail.com",RIGHT(B3439,9)="@live.com"),"Outlook","Domain")))</f>
        <v/>
      </c>
      <c r="F3439">
        <f>IF(B3439="","",IFERROR(RIGHT(B3439,LEN(B3439)-FIND("@",B3439)),""))</f>
        <v/>
      </c>
      <c r="G3439">
        <f>IF(D3439="KEEP",COUNTIF($D$2:D3439,"KEEP"),"")</f>
        <v/>
      </c>
      <c r="H3439">
        <f>IF(D3439="REMOVE",COUNTIF($D$2:D3439,"REMOVE"),"")</f>
        <v/>
      </c>
      <c r="I3439">
        <f>IF(E3439="Gmail",COUNTIF($E$2:E3439,"Gmail"),"")</f>
        <v/>
      </c>
      <c r="J3439">
        <f>IF(E3439="Outlook",COUNTIF($E$2:E3439,"Outlook"),"")</f>
        <v/>
      </c>
      <c r="K3439">
        <f>IF(E3439="Domain",COUNTIF($E$2:E3439,"Domain"),"")</f>
        <v/>
      </c>
    </row>
    <row r="3440">
      <c r="A3440" s="2" t="n"/>
      <c r="B3440">
        <f>LOWER(TRIM(A3440))</f>
        <v/>
      </c>
      <c r="C3440">
        <f>IF(B3440="","",IFERROR(INDEX('Bad Patterns'!$A$2:$A$120,MATCH(1,INDEX(--ISNUMBER(SEARCH('Bad Patterns'!$A$2:$A$120,B3440)),0),0)),""))</f>
        <v/>
      </c>
      <c r="D3440">
        <f>IF(B3440="","",IF(C3440&lt;&gt;"","REMOVE","KEEP"))</f>
        <v/>
      </c>
      <c r="E3440">
        <f>IF(D3440&lt;&gt;"KEEP","",IF(RIGHT(B3440,10)="@gmail.com","Gmail",IF(OR(RIGHT(B3440,12)="@outlook.com",RIGHT(B3440,12)="@hotmail.com",RIGHT(B3440,9)="@live.com"),"Outlook","Domain")))</f>
        <v/>
      </c>
      <c r="F3440">
        <f>IF(B3440="","",IFERROR(RIGHT(B3440,LEN(B3440)-FIND("@",B3440)),""))</f>
        <v/>
      </c>
      <c r="G3440">
        <f>IF(D3440="KEEP",COUNTIF($D$2:D3440,"KEEP"),"")</f>
        <v/>
      </c>
      <c r="H3440">
        <f>IF(D3440="REMOVE",COUNTIF($D$2:D3440,"REMOVE"),"")</f>
        <v/>
      </c>
      <c r="I3440">
        <f>IF(E3440="Gmail",COUNTIF($E$2:E3440,"Gmail"),"")</f>
        <v/>
      </c>
      <c r="J3440">
        <f>IF(E3440="Outlook",COUNTIF($E$2:E3440,"Outlook"),"")</f>
        <v/>
      </c>
      <c r="K3440">
        <f>IF(E3440="Domain",COUNTIF($E$2:E3440,"Domain"),"")</f>
        <v/>
      </c>
    </row>
    <row r="3441">
      <c r="A3441" s="2" t="n"/>
      <c r="B3441">
        <f>LOWER(TRIM(A3441))</f>
        <v/>
      </c>
      <c r="C3441">
        <f>IF(B3441="","",IFERROR(INDEX('Bad Patterns'!$A$2:$A$120,MATCH(1,INDEX(--ISNUMBER(SEARCH('Bad Patterns'!$A$2:$A$120,B3441)),0),0)),""))</f>
        <v/>
      </c>
      <c r="D3441">
        <f>IF(B3441="","",IF(C3441&lt;&gt;"","REMOVE","KEEP"))</f>
        <v/>
      </c>
      <c r="E3441">
        <f>IF(D3441&lt;&gt;"KEEP","",IF(RIGHT(B3441,10)="@gmail.com","Gmail",IF(OR(RIGHT(B3441,12)="@outlook.com",RIGHT(B3441,12)="@hotmail.com",RIGHT(B3441,9)="@live.com"),"Outlook","Domain")))</f>
        <v/>
      </c>
      <c r="F3441">
        <f>IF(B3441="","",IFERROR(RIGHT(B3441,LEN(B3441)-FIND("@",B3441)),""))</f>
        <v/>
      </c>
      <c r="G3441">
        <f>IF(D3441="KEEP",COUNTIF($D$2:D3441,"KEEP"),"")</f>
        <v/>
      </c>
      <c r="H3441">
        <f>IF(D3441="REMOVE",COUNTIF($D$2:D3441,"REMOVE"),"")</f>
        <v/>
      </c>
      <c r="I3441">
        <f>IF(E3441="Gmail",COUNTIF($E$2:E3441,"Gmail"),"")</f>
        <v/>
      </c>
      <c r="J3441">
        <f>IF(E3441="Outlook",COUNTIF($E$2:E3441,"Outlook"),"")</f>
        <v/>
      </c>
      <c r="K3441">
        <f>IF(E3441="Domain",COUNTIF($E$2:E3441,"Domain"),"")</f>
        <v/>
      </c>
    </row>
    <row r="3442">
      <c r="A3442" s="2" t="n"/>
      <c r="B3442">
        <f>LOWER(TRIM(A3442))</f>
        <v/>
      </c>
      <c r="C3442">
        <f>IF(B3442="","",IFERROR(INDEX('Bad Patterns'!$A$2:$A$120,MATCH(1,INDEX(--ISNUMBER(SEARCH('Bad Patterns'!$A$2:$A$120,B3442)),0),0)),""))</f>
        <v/>
      </c>
      <c r="D3442">
        <f>IF(B3442="","",IF(C3442&lt;&gt;"","REMOVE","KEEP"))</f>
        <v/>
      </c>
      <c r="E3442">
        <f>IF(D3442&lt;&gt;"KEEP","",IF(RIGHT(B3442,10)="@gmail.com","Gmail",IF(OR(RIGHT(B3442,12)="@outlook.com",RIGHT(B3442,12)="@hotmail.com",RIGHT(B3442,9)="@live.com"),"Outlook","Domain")))</f>
        <v/>
      </c>
      <c r="F3442">
        <f>IF(B3442="","",IFERROR(RIGHT(B3442,LEN(B3442)-FIND("@",B3442)),""))</f>
        <v/>
      </c>
      <c r="G3442">
        <f>IF(D3442="KEEP",COUNTIF($D$2:D3442,"KEEP"),"")</f>
        <v/>
      </c>
      <c r="H3442">
        <f>IF(D3442="REMOVE",COUNTIF($D$2:D3442,"REMOVE"),"")</f>
        <v/>
      </c>
      <c r="I3442">
        <f>IF(E3442="Gmail",COUNTIF($E$2:E3442,"Gmail"),"")</f>
        <v/>
      </c>
      <c r="J3442">
        <f>IF(E3442="Outlook",COUNTIF($E$2:E3442,"Outlook"),"")</f>
        <v/>
      </c>
      <c r="K3442">
        <f>IF(E3442="Domain",COUNTIF($E$2:E3442,"Domain"),"")</f>
        <v/>
      </c>
    </row>
    <row r="3443">
      <c r="A3443" s="2" t="n"/>
      <c r="B3443">
        <f>LOWER(TRIM(A3443))</f>
        <v/>
      </c>
      <c r="C3443">
        <f>IF(B3443="","",IFERROR(INDEX('Bad Patterns'!$A$2:$A$120,MATCH(1,INDEX(--ISNUMBER(SEARCH('Bad Patterns'!$A$2:$A$120,B3443)),0),0)),""))</f>
        <v/>
      </c>
      <c r="D3443">
        <f>IF(B3443="","",IF(C3443&lt;&gt;"","REMOVE","KEEP"))</f>
        <v/>
      </c>
      <c r="E3443">
        <f>IF(D3443&lt;&gt;"KEEP","",IF(RIGHT(B3443,10)="@gmail.com","Gmail",IF(OR(RIGHT(B3443,12)="@outlook.com",RIGHT(B3443,12)="@hotmail.com",RIGHT(B3443,9)="@live.com"),"Outlook","Domain")))</f>
        <v/>
      </c>
      <c r="F3443">
        <f>IF(B3443="","",IFERROR(RIGHT(B3443,LEN(B3443)-FIND("@",B3443)),""))</f>
        <v/>
      </c>
      <c r="G3443">
        <f>IF(D3443="KEEP",COUNTIF($D$2:D3443,"KEEP"),"")</f>
        <v/>
      </c>
      <c r="H3443">
        <f>IF(D3443="REMOVE",COUNTIF($D$2:D3443,"REMOVE"),"")</f>
        <v/>
      </c>
      <c r="I3443">
        <f>IF(E3443="Gmail",COUNTIF($E$2:E3443,"Gmail"),"")</f>
        <v/>
      </c>
      <c r="J3443">
        <f>IF(E3443="Outlook",COUNTIF($E$2:E3443,"Outlook"),"")</f>
        <v/>
      </c>
      <c r="K3443">
        <f>IF(E3443="Domain",COUNTIF($E$2:E3443,"Domain"),"")</f>
        <v/>
      </c>
    </row>
    <row r="3444">
      <c r="A3444" s="2" t="n"/>
      <c r="B3444">
        <f>LOWER(TRIM(A3444))</f>
        <v/>
      </c>
      <c r="C3444">
        <f>IF(B3444="","",IFERROR(INDEX('Bad Patterns'!$A$2:$A$120,MATCH(1,INDEX(--ISNUMBER(SEARCH('Bad Patterns'!$A$2:$A$120,B3444)),0),0)),""))</f>
        <v/>
      </c>
      <c r="D3444">
        <f>IF(B3444="","",IF(C3444&lt;&gt;"","REMOVE","KEEP"))</f>
        <v/>
      </c>
      <c r="E3444">
        <f>IF(D3444&lt;&gt;"KEEP","",IF(RIGHT(B3444,10)="@gmail.com","Gmail",IF(OR(RIGHT(B3444,12)="@outlook.com",RIGHT(B3444,12)="@hotmail.com",RIGHT(B3444,9)="@live.com"),"Outlook","Domain")))</f>
        <v/>
      </c>
      <c r="F3444">
        <f>IF(B3444="","",IFERROR(RIGHT(B3444,LEN(B3444)-FIND("@",B3444)),""))</f>
        <v/>
      </c>
      <c r="G3444">
        <f>IF(D3444="KEEP",COUNTIF($D$2:D3444,"KEEP"),"")</f>
        <v/>
      </c>
      <c r="H3444">
        <f>IF(D3444="REMOVE",COUNTIF($D$2:D3444,"REMOVE"),"")</f>
        <v/>
      </c>
      <c r="I3444">
        <f>IF(E3444="Gmail",COUNTIF($E$2:E3444,"Gmail"),"")</f>
        <v/>
      </c>
      <c r="J3444">
        <f>IF(E3444="Outlook",COUNTIF($E$2:E3444,"Outlook"),"")</f>
        <v/>
      </c>
      <c r="K3444">
        <f>IF(E3444="Domain",COUNTIF($E$2:E3444,"Domain"),"")</f>
        <v/>
      </c>
    </row>
    <row r="3445">
      <c r="A3445" s="2" t="n"/>
      <c r="B3445">
        <f>LOWER(TRIM(A3445))</f>
        <v/>
      </c>
      <c r="C3445">
        <f>IF(B3445="","",IFERROR(INDEX('Bad Patterns'!$A$2:$A$120,MATCH(1,INDEX(--ISNUMBER(SEARCH('Bad Patterns'!$A$2:$A$120,B3445)),0),0)),""))</f>
        <v/>
      </c>
      <c r="D3445">
        <f>IF(B3445="","",IF(C3445&lt;&gt;"","REMOVE","KEEP"))</f>
        <v/>
      </c>
      <c r="E3445">
        <f>IF(D3445&lt;&gt;"KEEP","",IF(RIGHT(B3445,10)="@gmail.com","Gmail",IF(OR(RIGHT(B3445,12)="@outlook.com",RIGHT(B3445,12)="@hotmail.com",RIGHT(B3445,9)="@live.com"),"Outlook","Domain")))</f>
        <v/>
      </c>
      <c r="F3445">
        <f>IF(B3445="","",IFERROR(RIGHT(B3445,LEN(B3445)-FIND("@",B3445)),""))</f>
        <v/>
      </c>
      <c r="G3445">
        <f>IF(D3445="KEEP",COUNTIF($D$2:D3445,"KEEP"),"")</f>
        <v/>
      </c>
      <c r="H3445">
        <f>IF(D3445="REMOVE",COUNTIF($D$2:D3445,"REMOVE"),"")</f>
        <v/>
      </c>
      <c r="I3445">
        <f>IF(E3445="Gmail",COUNTIF($E$2:E3445,"Gmail"),"")</f>
        <v/>
      </c>
      <c r="J3445">
        <f>IF(E3445="Outlook",COUNTIF($E$2:E3445,"Outlook"),"")</f>
        <v/>
      </c>
      <c r="K3445">
        <f>IF(E3445="Domain",COUNTIF($E$2:E3445,"Domain"),"")</f>
        <v/>
      </c>
    </row>
    <row r="3446">
      <c r="A3446" s="2" t="n"/>
      <c r="B3446">
        <f>LOWER(TRIM(A3446))</f>
        <v/>
      </c>
      <c r="C3446">
        <f>IF(B3446="","",IFERROR(INDEX('Bad Patterns'!$A$2:$A$120,MATCH(1,INDEX(--ISNUMBER(SEARCH('Bad Patterns'!$A$2:$A$120,B3446)),0),0)),""))</f>
        <v/>
      </c>
      <c r="D3446">
        <f>IF(B3446="","",IF(C3446&lt;&gt;"","REMOVE","KEEP"))</f>
        <v/>
      </c>
      <c r="E3446">
        <f>IF(D3446&lt;&gt;"KEEP","",IF(RIGHT(B3446,10)="@gmail.com","Gmail",IF(OR(RIGHT(B3446,12)="@outlook.com",RIGHT(B3446,12)="@hotmail.com",RIGHT(B3446,9)="@live.com"),"Outlook","Domain")))</f>
        <v/>
      </c>
      <c r="F3446">
        <f>IF(B3446="","",IFERROR(RIGHT(B3446,LEN(B3446)-FIND("@",B3446)),""))</f>
        <v/>
      </c>
      <c r="G3446">
        <f>IF(D3446="KEEP",COUNTIF($D$2:D3446,"KEEP"),"")</f>
        <v/>
      </c>
      <c r="H3446">
        <f>IF(D3446="REMOVE",COUNTIF($D$2:D3446,"REMOVE"),"")</f>
        <v/>
      </c>
      <c r="I3446">
        <f>IF(E3446="Gmail",COUNTIF($E$2:E3446,"Gmail"),"")</f>
        <v/>
      </c>
      <c r="J3446">
        <f>IF(E3446="Outlook",COUNTIF($E$2:E3446,"Outlook"),"")</f>
        <v/>
      </c>
      <c r="K3446">
        <f>IF(E3446="Domain",COUNTIF($E$2:E3446,"Domain"),"")</f>
        <v/>
      </c>
    </row>
    <row r="3447">
      <c r="A3447" s="2" t="n"/>
      <c r="B3447">
        <f>LOWER(TRIM(A3447))</f>
        <v/>
      </c>
      <c r="C3447">
        <f>IF(B3447="","",IFERROR(INDEX('Bad Patterns'!$A$2:$A$120,MATCH(1,INDEX(--ISNUMBER(SEARCH('Bad Patterns'!$A$2:$A$120,B3447)),0),0)),""))</f>
        <v/>
      </c>
      <c r="D3447">
        <f>IF(B3447="","",IF(C3447&lt;&gt;"","REMOVE","KEEP"))</f>
        <v/>
      </c>
      <c r="E3447">
        <f>IF(D3447&lt;&gt;"KEEP","",IF(RIGHT(B3447,10)="@gmail.com","Gmail",IF(OR(RIGHT(B3447,12)="@outlook.com",RIGHT(B3447,12)="@hotmail.com",RIGHT(B3447,9)="@live.com"),"Outlook","Domain")))</f>
        <v/>
      </c>
      <c r="F3447">
        <f>IF(B3447="","",IFERROR(RIGHT(B3447,LEN(B3447)-FIND("@",B3447)),""))</f>
        <v/>
      </c>
      <c r="G3447">
        <f>IF(D3447="KEEP",COUNTIF($D$2:D3447,"KEEP"),"")</f>
        <v/>
      </c>
      <c r="H3447">
        <f>IF(D3447="REMOVE",COUNTIF($D$2:D3447,"REMOVE"),"")</f>
        <v/>
      </c>
      <c r="I3447">
        <f>IF(E3447="Gmail",COUNTIF($E$2:E3447,"Gmail"),"")</f>
        <v/>
      </c>
      <c r="J3447">
        <f>IF(E3447="Outlook",COUNTIF($E$2:E3447,"Outlook"),"")</f>
        <v/>
      </c>
      <c r="K3447">
        <f>IF(E3447="Domain",COUNTIF($E$2:E3447,"Domain"),"")</f>
        <v/>
      </c>
    </row>
    <row r="3448">
      <c r="A3448" s="2" t="n"/>
      <c r="B3448">
        <f>LOWER(TRIM(A3448))</f>
        <v/>
      </c>
      <c r="C3448">
        <f>IF(B3448="","",IFERROR(INDEX('Bad Patterns'!$A$2:$A$120,MATCH(1,INDEX(--ISNUMBER(SEARCH('Bad Patterns'!$A$2:$A$120,B3448)),0),0)),""))</f>
        <v/>
      </c>
      <c r="D3448">
        <f>IF(B3448="","",IF(C3448&lt;&gt;"","REMOVE","KEEP"))</f>
        <v/>
      </c>
      <c r="E3448">
        <f>IF(D3448&lt;&gt;"KEEP","",IF(RIGHT(B3448,10)="@gmail.com","Gmail",IF(OR(RIGHT(B3448,12)="@outlook.com",RIGHT(B3448,12)="@hotmail.com",RIGHT(B3448,9)="@live.com"),"Outlook","Domain")))</f>
        <v/>
      </c>
      <c r="F3448">
        <f>IF(B3448="","",IFERROR(RIGHT(B3448,LEN(B3448)-FIND("@",B3448)),""))</f>
        <v/>
      </c>
      <c r="G3448">
        <f>IF(D3448="KEEP",COUNTIF($D$2:D3448,"KEEP"),"")</f>
        <v/>
      </c>
      <c r="H3448">
        <f>IF(D3448="REMOVE",COUNTIF($D$2:D3448,"REMOVE"),"")</f>
        <v/>
      </c>
      <c r="I3448">
        <f>IF(E3448="Gmail",COUNTIF($E$2:E3448,"Gmail"),"")</f>
        <v/>
      </c>
      <c r="J3448">
        <f>IF(E3448="Outlook",COUNTIF($E$2:E3448,"Outlook"),"")</f>
        <v/>
      </c>
      <c r="K3448">
        <f>IF(E3448="Domain",COUNTIF($E$2:E3448,"Domain"),"")</f>
        <v/>
      </c>
    </row>
    <row r="3449">
      <c r="A3449" s="2" t="n"/>
      <c r="B3449">
        <f>LOWER(TRIM(A3449))</f>
        <v/>
      </c>
      <c r="C3449">
        <f>IF(B3449="","",IFERROR(INDEX('Bad Patterns'!$A$2:$A$120,MATCH(1,INDEX(--ISNUMBER(SEARCH('Bad Patterns'!$A$2:$A$120,B3449)),0),0)),""))</f>
        <v/>
      </c>
      <c r="D3449">
        <f>IF(B3449="","",IF(C3449&lt;&gt;"","REMOVE","KEEP"))</f>
        <v/>
      </c>
      <c r="E3449">
        <f>IF(D3449&lt;&gt;"KEEP","",IF(RIGHT(B3449,10)="@gmail.com","Gmail",IF(OR(RIGHT(B3449,12)="@outlook.com",RIGHT(B3449,12)="@hotmail.com",RIGHT(B3449,9)="@live.com"),"Outlook","Domain")))</f>
        <v/>
      </c>
      <c r="F3449">
        <f>IF(B3449="","",IFERROR(RIGHT(B3449,LEN(B3449)-FIND("@",B3449)),""))</f>
        <v/>
      </c>
      <c r="G3449">
        <f>IF(D3449="KEEP",COUNTIF($D$2:D3449,"KEEP"),"")</f>
        <v/>
      </c>
      <c r="H3449">
        <f>IF(D3449="REMOVE",COUNTIF($D$2:D3449,"REMOVE"),"")</f>
        <v/>
      </c>
      <c r="I3449">
        <f>IF(E3449="Gmail",COUNTIF($E$2:E3449,"Gmail"),"")</f>
        <v/>
      </c>
      <c r="J3449">
        <f>IF(E3449="Outlook",COUNTIF($E$2:E3449,"Outlook"),"")</f>
        <v/>
      </c>
      <c r="K3449">
        <f>IF(E3449="Domain",COUNTIF($E$2:E3449,"Domain"),"")</f>
        <v/>
      </c>
    </row>
    <row r="3450">
      <c r="A3450" s="2" t="n"/>
      <c r="B3450">
        <f>LOWER(TRIM(A3450))</f>
        <v/>
      </c>
      <c r="C3450">
        <f>IF(B3450="","",IFERROR(INDEX('Bad Patterns'!$A$2:$A$120,MATCH(1,INDEX(--ISNUMBER(SEARCH('Bad Patterns'!$A$2:$A$120,B3450)),0),0)),""))</f>
        <v/>
      </c>
      <c r="D3450">
        <f>IF(B3450="","",IF(C3450&lt;&gt;"","REMOVE","KEEP"))</f>
        <v/>
      </c>
      <c r="E3450">
        <f>IF(D3450&lt;&gt;"KEEP","",IF(RIGHT(B3450,10)="@gmail.com","Gmail",IF(OR(RIGHT(B3450,12)="@outlook.com",RIGHT(B3450,12)="@hotmail.com",RIGHT(B3450,9)="@live.com"),"Outlook","Domain")))</f>
        <v/>
      </c>
      <c r="F3450">
        <f>IF(B3450="","",IFERROR(RIGHT(B3450,LEN(B3450)-FIND("@",B3450)),""))</f>
        <v/>
      </c>
      <c r="G3450">
        <f>IF(D3450="KEEP",COUNTIF($D$2:D3450,"KEEP"),"")</f>
        <v/>
      </c>
      <c r="H3450">
        <f>IF(D3450="REMOVE",COUNTIF($D$2:D3450,"REMOVE"),"")</f>
        <v/>
      </c>
      <c r="I3450">
        <f>IF(E3450="Gmail",COUNTIF($E$2:E3450,"Gmail"),"")</f>
        <v/>
      </c>
      <c r="J3450">
        <f>IF(E3450="Outlook",COUNTIF($E$2:E3450,"Outlook"),"")</f>
        <v/>
      </c>
      <c r="K3450">
        <f>IF(E3450="Domain",COUNTIF($E$2:E3450,"Domain"),"")</f>
        <v/>
      </c>
    </row>
    <row r="3451">
      <c r="A3451" s="2" t="n"/>
      <c r="B3451">
        <f>LOWER(TRIM(A3451))</f>
        <v/>
      </c>
      <c r="C3451">
        <f>IF(B3451="","",IFERROR(INDEX('Bad Patterns'!$A$2:$A$120,MATCH(1,INDEX(--ISNUMBER(SEARCH('Bad Patterns'!$A$2:$A$120,B3451)),0),0)),""))</f>
        <v/>
      </c>
      <c r="D3451">
        <f>IF(B3451="","",IF(C3451&lt;&gt;"","REMOVE","KEEP"))</f>
        <v/>
      </c>
      <c r="E3451">
        <f>IF(D3451&lt;&gt;"KEEP","",IF(RIGHT(B3451,10)="@gmail.com","Gmail",IF(OR(RIGHT(B3451,12)="@outlook.com",RIGHT(B3451,12)="@hotmail.com",RIGHT(B3451,9)="@live.com"),"Outlook","Domain")))</f>
        <v/>
      </c>
      <c r="F3451">
        <f>IF(B3451="","",IFERROR(RIGHT(B3451,LEN(B3451)-FIND("@",B3451)),""))</f>
        <v/>
      </c>
      <c r="G3451">
        <f>IF(D3451="KEEP",COUNTIF($D$2:D3451,"KEEP"),"")</f>
        <v/>
      </c>
      <c r="H3451">
        <f>IF(D3451="REMOVE",COUNTIF($D$2:D3451,"REMOVE"),"")</f>
        <v/>
      </c>
      <c r="I3451">
        <f>IF(E3451="Gmail",COUNTIF($E$2:E3451,"Gmail"),"")</f>
        <v/>
      </c>
      <c r="J3451">
        <f>IF(E3451="Outlook",COUNTIF($E$2:E3451,"Outlook"),"")</f>
        <v/>
      </c>
      <c r="K3451">
        <f>IF(E3451="Domain",COUNTIF($E$2:E3451,"Domain"),"")</f>
        <v/>
      </c>
    </row>
    <row r="3452">
      <c r="A3452" s="2" t="n"/>
      <c r="B3452">
        <f>LOWER(TRIM(A3452))</f>
        <v/>
      </c>
      <c r="C3452">
        <f>IF(B3452="","",IFERROR(INDEX('Bad Patterns'!$A$2:$A$120,MATCH(1,INDEX(--ISNUMBER(SEARCH('Bad Patterns'!$A$2:$A$120,B3452)),0),0)),""))</f>
        <v/>
      </c>
      <c r="D3452">
        <f>IF(B3452="","",IF(C3452&lt;&gt;"","REMOVE","KEEP"))</f>
        <v/>
      </c>
      <c r="E3452">
        <f>IF(D3452&lt;&gt;"KEEP","",IF(RIGHT(B3452,10)="@gmail.com","Gmail",IF(OR(RIGHT(B3452,12)="@outlook.com",RIGHT(B3452,12)="@hotmail.com",RIGHT(B3452,9)="@live.com"),"Outlook","Domain")))</f>
        <v/>
      </c>
      <c r="F3452">
        <f>IF(B3452="","",IFERROR(RIGHT(B3452,LEN(B3452)-FIND("@",B3452)),""))</f>
        <v/>
      </c>
      <c r="G3452">
        <f>IF(D3452="KEEP",COUNTIF($D$2:D3452,"KEEP"),"")</f>
        <v/>
      </c>
      <c r="H3452">
        <f>IF(D3452="REMOVE",COUNTIF($D$2:D3452,"REMOVE"),"")</f>
        <v/>
      </c>
      <c r="I3452">
        <f>IF(E3452="Gmail",COUNTIF($E$2:E3452,"Gmail"),"")</f>
        <v/>
      </c>
      <c r="J3452">
        <f>IF(E3452="Outlook",COUNTIF($E$2:E3452,"Outlook"),"")</f>
        <v/>
      </c>
      <c r="K3452">
        <f>IF(E3452="Domain",COUNTIF($E$2:E3452,"Domain"),"")</f>
        <v/>
      </c>
    </row>
    <row r="3453">
      <c r="A3453" s="2" t="n"/>
      <c r="B3453">
        <f>LOWER(TRIM(A3453))</f>
        <v/>
      </c>
      <c r="C3453">
        <f>IF(B3453="","",IFERROR(INDEX('Bad Patterns'!$A$2:$A$120,MATCH(1,INDEX(--ISNUMBER(SEARCH('Bad Patterns'!$A$2:$A$120,B3453)),0),0)),""))</f>
        <v/>
      </c>
      <c r="D3453">
        <f>IF(B3453="","",IF(C3453&lt;&gt;"","REMOVE","KEEP"))</f>
        <v/>
      </c>
      <c r="E3453">
        <f>IF(D3453&lt;&gt;"KEEP","",IF(RIGHT(B3453,10)="@gmail.com","Gmail",IF(OR(RIGHT(B3453,12)="@outlook.com",RIGHT(B3453,12)="@hotmail.com",RIGHT(B3453,9)="@live.com"),"Outlook","Domain")))</f>
        <v/>
      </c>
      <c r="F3453">
        <f>IF(B3453="","",IFERROR(RIGHT(B3453,LEN(B3453)-FIND("@",B3453)),""))</f>
        <v/>
      </c>
      <c r="G3453">
        <f>IF(D3453="KEEP",COUNTIF($D$2:D3453,"KEEP"),"")</f>
        <v/>
      </c>
      <c r="H3453">
        <f>IF(D3453="REMOVE",COUNTIF($D$2:D3453,"REMOVE"),"")</f>
        <v/>
      </c>
      <c r="I3453">
        <f>IF(E3453="Gmail",COUNTIF($E$2:E3453,"Gmail"),"")</f>
        <v/>
      </c>
      <c r="J3453">
        <f>IF(E3453="Outlook",COUNTIF($E$2:E3453,"Outlook"),"")</f>
        <v/>
      </c>
      <c r="K3453">
        <f>IF(E3453="Domain",COUNTIF($E$2:E3453,"Domain"),"")</f>
        <v/>
      </c>
    </row>
    <row r="3454">
      <c r="A3454" s="2" t="n"/>
      <c r="B3454">
        <f>LOWER(TRIM(A3454))</f>
        <v/>
      </c>
      <c r="C3454">
        <f>IF(B3454="","",IFERROR(INDEX('Bad Patterns'!$A$2:$A$120,MATCH(1,INDEX(--ISNUMBER(SEARCH('Bad Patterns'!$A$2:$A$120,B3454)),0),0)),""))</f>
        <v/>
      </c>
      <c r="D3454">
        <f>IF(B3454="","",IF(C3454&lt;&gt;"","REMOVE","KEEP"))</f>
        <v/>
      </c>
      <c r="E3454">
        <f>IF(D3454&lt;&gt;"KEEP","",IF(RIGHT(B3454,10)="@gmail.com","Gmail",IF(OR(RIGHT(B3454,12)="@outlook.com",RIGHT(B3454,12)="@hotmail.com",RIGHT(B3454,9)="@live.com"),"Outlook","Domain")))</f>
        <v/>
      </c>
      <c r="F3454">
        <f>IF(B3454="","",IFERROR(RIGHT(B3454,LEN(B3454)-FIND("@",B3454)),""))</f>
        <v/>
      </c>
      <c r="G3454">
        <f>IF(D3454="KEEP",COUNTIF($D$2:D3454,"KEEP"),"")</f>
        <v/>
      </c>
      <c r="H3454">
        <f>IF(D3454="REMOVE",COUNTIF($D$2:D3454,"REMOVE"),"")</f>
        <v/>
      </c>
      <c r="I3454">
        <f>IF(E3454="Gmail",COUNTIF($E$2:E3454,"Gmail"),"")</f>
        <v/>
      </c>
      <c r="J3454">
        <f>IF(E3454="Outlook",COUNTIF($E$2:E3454,"Outlook"),"")</f>
        <v/>
      </c>
      <c r="K3454">
        <f>IF(E3454="Domain",COUNTIF($E$2:E3454,"Domain"),"")</f>
        <v/>
      </c>
    </row>
    <row r="3455">
      <c r="A3455" s="2" t="n"/>
      <c r="B3455">
        <f>LOWER(TRIM(A3455))</f>
        <v/>
      </c>
      <c r="C3455">
        <f>IF(B3455="","",IFERROR(INDEX('Bad Patterns'!$A$2:$A$120,MATCH(1,INDEX(--ISNUMBER(SEARCH('Bad Patterns'!$A$2:$A$120,B3455)),0),0)),""))</f>
        <v/>
      </c>
      <c r="D3455">
        <f>IF(B3455="","",IF(C3455&lt;&gt;"","REMOVE","KEEP"))</f>
        <v/>
      </c>
      <c r="E3455">
        <f>IF(D3455&lt;&gt;"KEEP","",IF(RIGHT(B3455,10)="@gmail.com","Gmail",IF(OR(RIGHT(B3455,12)="@outlook.com",RIGHT(B3455,12)="@hotmail.com",RIGHT(B3455,9)="@live.com"),"Outlook","Domain")))</f>
        <v/>
      </c>
      <c r="F3455">
        <f>IF(B3455="","",IFERROR(RIGHT(B3455,LEN(B3455)-FIND("@",B3455)),""))</f>
        <v/>
      </c>
      <c r="G3455">
        <f>IF(D3455="KEEP",COUNTIF($D$2:D3455,"KEEP"),"")</f>
        <v/>
      </c>
      <c r="H3455">
        <f>IF(D3455="REMOVE",COUNTIF($D$2:D3455,"REMOVE"),"")</f>
        <v/>
      </c>
      <c r="I3455">
        <f>IF(E3455="Gmail",COUNTIF($E$2:E3455,"Gmail"),"")</f>
        <v/>
      </c>
      <c r="J3455">
        <f>IF(E3455="Outlook",COUNTIF($E$2:E3455,"Outlook"),"")</f>
        <v/>
      </c>
      <c r="K3455">
        <f>IF(E3455="Domain",COUNTIF($E$2:E3455,"Domain"),"")</f>
        <v/>
      </c>
    </row>
    <row r="3456">
      <c r="A3456" s="2" t="n"/>
      <c r="B3456">
        <f>LOWER(TRIM(A3456))</f>
        <v/>
      </c>
      <c r="C3456">
        <f>IF(B3456="","",IFERROR(INDEX('Bad Patterns'!$A$2:$A$120,MATCH(1,INDEX(--ISNUMBER(SEARCH('Bad Patterns'!$A$2:$A$120,B3456)),0),0)),""))</f>
        <v/>
      </c>
      <c r="D3456">
        <f>IF(B3456="","",IF(C3456&lt;&gt;"","REMOVE","KEEP"))</f>
        <v/>
      </c>
      <c r="E3456">
        <f>IF(D3456&lt;&gt;"KEEP","",IF(RIGHT(B3456,10)="@gmail.com","Gmail",IF(OR(RIGHT(B3456,12)="@outlook.com",RIGHT(B3456,12)="@hotmail.com",RIGHT(B3456,9)="@live.com"),"Outlook","Domain")))</f>
        <v/>
      </c>
      <c r="F3456">
        <f>IF(B3456="","",IFERROR(RIGHT(B3456,LEN(B3456)-FIND("@",B3456)),""))</f>
        <v/>
      </c>
      <c r="G3456">
        <f>IF(D3456="KEEP",COUNTIF($D$2:D3456,"KEEP"),"")</f>
        <v/>
      </c>
      <c r="H3456">
        <f>IF(D3456="REMOVE",COUNTIF($D$2:D3456,"REMOVE"),"")</f>
        <v/>
      </c>
      <c r="I3456">
        <f>IF(E3456="Gmail",COUNTIF($E$2:E3456,"Gmail"),"")</f>
        <v/>
      </c>
      <c r="J3456">
        <f>IF(E3456="Outlook",COUNTIF($E$2:E3456,"Outlook"),"")</f>
        <v/>
      </c>
      <c r="K3456">
        <f>IF(E3456="Domain",COUNTIF($E$2:E3456,"Domain"),"")</f>
        <v/>
      </c>
    </row>
    <row r="3457">
      <c r="A3457" s="2" t="n"/>
      <c r="B3457">
        <f>LOWER(TRIM(A3457))</f>
        <v/>
      </c>
      <c r="C3457">
        <f>IF(B3457="","",IFERROR(INDEX('Bad Patterns'!$A$2:$A$120,MATCH(1,INDEX(--ISNUMBER(SEARCH('Bad Patterns'!$A$2:$A$120,B3457)),0),0)),""))</f>
        <v/>
      </c>
      <c r="D3457">
        <f>IF(B3457="","",IF(C3457&lt;&gt;"","REMOVE","KEEP"))</f>
        <v/>
      </c>
      <c r="E3457">
        <f>IF(D3457&lt;&gt;"KEEP","",IF(RIGHT(B3457,10)="@gmail.com","Gmail",IF(OR(RIGHT(B3457,12)="@outlook.com",RIGHT(B3457,12)="@hotmail.com",RIGHT(B3457,9)="@live.com"),"Outlook","Domain")))</f>
        <v/>
      </c>
      <c r="F3457">
        <f>IF(B3457="","",IFERROR(RIGHT(B3457,LEN(B3457)-FIND("@",B3457)),""))</f>
        <v/>
      </c>
      <c r="G3457">
        <f>IF(D3457="KEEP",COUNTIF($D$2:D3457,"KEEP"),"")</f>
        <v/>
      </c>
      <c r="H3457">
        <f>IF(D3457="REMOVE",COUNTIF($D$2:D3457,"REMOVE"),"")</f>
        <v/>
      </c>
      <c r="I3457">
        <f>IF(E3457="Gmail",COUNTIF($E$2:E3457,"Gmail"),"")</f>
        <v/>
      </c>
      <c r="J3457">
        <f>IF(E3457="Outlook",COUNTIF($E$2:E3457,"Outlook"),"")</f>
        <v/>
      </c>
      <c r="K3457">
        <f>IF(E3457="Domain",COUNTIF($E$2:E3457,"Domain"),"")</f>
        <v/>
      </c>
    </row>
    <row r="3458">
      <c r="A3458" s="2" t="n"/>
      <c r="B3458">
        <f>LOWER(TRIM(A3458))</f>
        <v/>
      </c>
      <c r="C3458">
        <f>IF(B3458="","",IFERROR(INDEX('Bad Patterns'!$A$2:$A$120,MATCH(1,INDEX(--ISNUMBER(SEARCH('Bad Patterns'!$A$2:$A$120,B3458)),0),0)),""))</f>
        <v/>
      </c>
      <c r="D3458">
        <f>IF(B3458="","",IF(C3458&lt;&gt;"","REMOVE","KEEP"))</f>
        <v/>
      </c>
      <c r="E3458">
        <f>IF(D3458&lt;&gt;"KEEP","",IF(RIGHT(B3458,10)="@gmail.com","Gmail",IF(OR(RIGHT(B3458,12)="@outlook.com",RIGHT(B3458,12)="@hotmail.com",RIGHT(B3458,9)="@live.com"),"Outlook","Domain")))</f>
        <v/>
      </c>
      <c r="F3458">
        <f>IF(B3458="","",IFERROR(RIGHT(B3458,LEN(B3458)-FIND("@",B3458)),""))</f>
        <v/>
      </c>
      <c r="G3458">
        <f>IF(D3458="KEEP",COUNTIF($D$2:D3458,"KEEP"),"")</f>
        <v/>
      </c>
      <c r="H3458">
        <f>IF(D3458="REMOVE",COUNTIF($D$2:D3458,"REMOVE"),"")</f>
        <v/>
      </c>
      <c r="I3458">
        <f>IF(E3458="Gmail",COUNTIF($E$2:E3458,"Gmail"),"")</f>
        <v/>
      </c>
      <c r="J3458">
        <f>IF(E3458="Outlook",COUNTIF($E$2:E3458,"Outlook"),"")</f>
        <v/>
      </c>
      <c r="K3458">
        <f>IF(E3458="Domain",COUNTIF($E$2:E3458,"Domain"),"")</f>
        <v/>
      </c>
    </row>
    <row r="3459">
      <c r="A3459" s="2" t="n"/>
      <c r="B3459">
        <f>LOWER(TRIM(A3459))</f>
        <v/>
      </c>
      <c r="C3459">
        <f>IF(B3459="","",IFERROR(INDEX('Bad Patterns'!$A$2:$A$120,MATCH(1,INDEX(--ISNUMBER(SEARCH('Bad Patterns'!$A$2:$A$120,B3459)),0),0)),""))</f>
        <v/>
      </c>
      <c r="D3459">
        <f>IF(B3459="","",IF(C3459&lt;&gt;"","REMOVE","KEEP"))</f>
        <v/>
      </c>
      <c r="E3459">
        <f>IF(D3459&lt;&gt;"KEEP","",IF(RIGHT(B3459,10)="@gmail.com","Gmail",IF(OR(RIGHT(B3459,12)="@outlook.com",RIGHT(B3459,12)="@hotmail.com",RIGHT(B3459,9)="@live.com"),"Outlook","Domain")))</f>
        <v/>
      </c>
      <c r="F3459">
        <f>IF(B3459="","",IFERROR(RIGHT(B3459,LEN(B3459)-FIND("@",B3459)),""))</f>
        <v/>
      </c>
      <c r="G3459">
        <f>IF(D3459="KEEP",COUNTIF($D$2:D3459,"KEEP"),"")</f>
        <v/>
      </c>
      <c r="H3459">
        <f>IF(D3459="REMOVE",COUNTIF($D$2:D3459,"REMOVE"),"")</f>
        <v/>
      </c>
      <c r="I3459">
        <f>IF(E3459="Gmail",COUNTIF($E$2:E3459,"Gmail"),"")</f>
        <v/>
      </c>
      <c r="J3459">
        <f>IF(E3459="Outlook",COUNTIF($E$2:E3459,"Outlook"),"")</f>
        <v/>
      </c>
      <c r="K3459">
        <f>IF(E3459="Domain",COUNTIF($E$2:E3459,"Domain"),"")</f>
        <v/>
      </c>
    </row>
    <row r="3460">
      <c r="A3460" s="2" t="n"/>
      <c r="B3460">
        <f>LOWER(TRIM(A3460))</f>
        <v/>
      </c>
      <c r="C3460">
        <f>IF(B3460="","",IFERROR(INDEX('Bad Patterns'!$A$2:$A$120,MATCH(1,INDEX(--ISNUMBER(SEARCH('Bad Patterns'!$A$2:$A$120,B3460)),0),0)),""))</f>
        <v/>
      </c>
      <c r="D3460">
        <f>IF(B3460="","",IF(C3460&lt;&gt;"","REMOVE","KEEP"))</f>
        <v/>
      </c>
      <c r="E3460">
        <f>IF(D3460&lt;&gt;"KEEP","",IF(RIGHT(B3460,10)="@gmail.com","Gmail",IF(OR(RIGHT(B3460,12)="@outlook.com",RIGHT(B3460,12)="@hotmail.com",RIGHT(B3460,9)="@live.com"),"Outlook","Domain")))</f>
        <v/>
      </c>
      <c r="F3460">
        <f>IF(B3460="","",IFERROR(RIGHT(B3460,LEN(B3460)-FIND("@",B3460)),""))</f>
        <v/>
      </c>
      <c r="G3460">
        <f>IF(D3460="KEEP",COUNTIF($D$2:D3460,"KEEP"),"")</f>
        <v/>
      </c>
      <c r="H3460">
        <f>IF(D3460="REMOVE",COUNTIF($D$2:D3460,"REMOVE"),"")</f>
        <v/>
      </c>
      <c r="I3460">
        <f>IF(E3460="Gmail",COUNTIF($E$2:E3460,"Gmail"),"")</f>
        <v/>
      </c>
      <c r="J3460">
        <f>IF(E3460="Outlook",COUNTIF($E$2:E3460,"Outlook"),"")</f>
        <v/>
      </c>
      <c r="K3460">
        <f>IF(E3460="Domain",COUNTIF($E$2:E3460,"Domain"),"")</f>
        <v/>
      </c>
    </row>
    <row r="3461">
      <c r="A3461" s="2" t="n"/>
      <c r="B3461">
        <f>LOWER(TRIM(A3461))</f>
        <v/>
      </c>
      <c r="C3461">
        <f>IF(B3461="","",IFERROR(INDEX('Bad Patterns'!$A$2:$A$120,MATCH(1,INDEX(--ISNUMBER(SEARCH('Bad Patterns'!$A$2:$A$120,B3461)),0),0)),""))</f>
        <v/>
      </c>
      <c r="D3461">
        <f>IF(B3461="","",IF(C3461&lt;&gt;"","REMOVE","KEEP"))</f>
        <v/>
      </c>
      <c r="E3461">
        <f>IF(D3461&lt;&gt;"KEEP","",IF(RIGHT(B3461,10)="@gmail.com","Gmail",IF(OR(RIGHT(B3461,12)="@outlook.com",RIGHT(B3461,12)="@hotmail.com",RIGHT(B3461,9)="@live.com"),"Outlook","Domain")))</f>
        <v/>
      </c>
      <c r="F3461">
        <f>IF(B3461="","",IFERROR(RIGHT(B3461,LEN(B3461)-FIND("@",B3461)),""))</f>
        <v/>
      </c>
      <c r="G3461">
        <f>IF(D3461="KEEP",COUNTIF($D$2:D3461,"KEEP"),"")</f>
        <v/>
      </c>
      <c r="H3461">
        <f>IF(D3461="REMOVE",COUNTIF($D$2:D3461,"REMOVE"),"")</f>
        <v/>
      </c>
      <c r="I3461">
        <f>IF(E3461="Gmail",COUNTIF($E$2:E3461,"Gmail"),"")</f>
        <v/>
      </c>
      <c r="J3461">
        <f>IF(E3461="Outlook",COUNTIF($E$2:E3461,"Outlook"),"")</f>
        <v/>
      </c>
      <c r="K3461">
        <f>IF(E3461="Domain",COUNTIF($E$2:E3461,"Domain"),"")</f>
        <v/>
      </c>
    </row>
    <row r="3462">
      <c r="A3462" s="2" t="n"/>
      <c r="B3462">
        <f>LOWER(TRIM(A3462))</f>
        <v/>
      </c>
      <c r="C3462">
        <f>IF(B3462="","",IFERROR(INDEX('Bad Patterns'!$A$2:$A$120,MATCH(1,INDEX(--ISNUMBER(SEARCH('Bad Patterns'!$A$2:$A$120,B3462)),0),0)),""))</f>
        <v/>
      </c>
      <c r="D3462">
        <f>IF(B3462="","",IF(C3462&lt;&gt;"","REMOVE","KEEP"))</f>
        <v/>
      </c>
      <c r="E3462">
        <f>IF(D3462&lt;&gt;"KEEP","",IF(RIGHT(B3462,10)="@gmail.com","Gmail",IF(OR(RIGHT(B3462,12)="@outlook.com",RIGHT(B3462,12)="@hotmail.com",RIGHT(B3462,9)="@live.com"),"Outlook","Domain")))</f>
        <v/>
      </c>
      <c r="F3462">
        <f>IF(B3462="","",IFERROR(RIGHT(B3462,LEN(B3462)-FIND("@",B3462)),""))</f>
        <v/>
      </c>
      <c r="G3462">
        <f>IF(D3462="KEEP",COUNTIF($D$2:D3462,"KEEP"),"")</f>
        <v/>
      </c>
      <c r="H3462">
        <f>IF(D3462="REMOVE",COUNTIF($D$2:D3462,"REMOVE"),"")</f>
        <v/>
      </c>
      <c r="I3462">
        <f>IF(E3462="Gmail",COUNTIF($E$2:E3462,"Gmail"),"")</f>
        <v/>
      </c>
      <c r="J3462">
        <f>IF(E3462="Outlook",COUNTIF($E$2:E3462,"Outlook"),"")</f>
        <v/>
      </c>
      <c r="K3462">
        <f>IF(E3462="Domain",COUNTIF($E$2:E3462,"Domain"),"")</f>
        <v/>
      </c>
    </row>
    <row r="3463">
      <c r="A3463" s="2" t="n"/>
      <c r="B3463">
        <f>LOWER(TRIM(A3463))</f>
        <v/>
      </c>
      <c r="C3463">
        <f>IF(B3463="","",IFERROR(INDEX('Bad Patterns'!$A$2:$A$120,MATCH(1,INDEX(--ISNUMBER(SEARCH('Bad Patterns'!$A$2:$A$120,B3463)),0),0)),""))</f>
        <v/>
      </c>
      <c r="D3463">
        <f>IF(B3463="","",IF(C3463&lt;&gt;"","REMOVE","KEEP"))</f>
        <v/>
      </c>
      <c r="E3463">
        <f>IF(D3463&lt;&gt;"KEEP","",IF(RIGHT(B3463,10)="@gmail.com","Gmail",IF(OR(RIGHT(B3463,12)="@outlook.com",RIGHT(B3463,12)="@hotmail.com",RIGHT(B3463,9)="@live.com"),"Outlook","Domain")))</f>
        <v/>
      </c>
      <c r="F3463">
        <f>IF(B3463="","",IFERROR(RIGHT(B3463,LEN(B3463)-FIND("@",B3463)),""))</f>
        <v/>
      </c>
      <c r="G3463">
        <f>IF(D3463="KEEP",COUNTIF($D$2:D3463,"KEEP"),"")</f>
        <v/>
      </c>
      <c r="H3463">
        <f>IF(D3463="REMOVE",COUNTIF($D$2:D3463,"REMOVE"),"")</f>
        <v/>
      </c>
      <c r="I3463">
        <f>IF(E3463="Gmail",COUNTIF($E$2:E3463,"Gmail"),"")</f>
        <v/>
      </c>
      <c r="J3463">
        <f>IF(E3463="Outlook",COUNTIF($E$2:E3463,"Outlook"),"")</f>
        <v/>
      </c>
      <c r="K3463">
        <f>IF(E3463="Domain",COUNTIF($E$2:E3463,"Domain"),"")</f>
        <v/>
      </c>
    </row>
    <row r="3464">
      <c r="A3464" s="2" t="n"/>
      <c r="B3464">
        <f>LOWER(TRIM(A3464))</f>
        <v/>
      </c>
      <c r="C3464">
        <f>IF(B3464="","",IFERROR(INDEX('Bad Patterns'!$A$2:$A$120,MATCH(1,INDEX(--ISNUMBER(SEARCH('Bad Patterns'!$A$2:$A$120,B3464)),0),0)),""))</f>
        <v/>
      </c>
      <c r="D3464">
        <f>IF(B3464="","",IF(C3464&lt;&gt;"","REMOVE","KEEP"))</f>
        <v/>
      </c>
      <c r="E3464">
        <f>IF(D3464&lt;&gt;"KEEP","",IF(RIGHT(B3464,10)="@gmail.com","Gmail",IF(OR(RIGHT(B3464,12)="@outlook.com",RIGHT(B3464,12)="@hotmail.com",RIGHT(B3464,9)="@live.com"),"Outlook","Domain")))</f>
        <v/>
      </c>
      <c r="F3464">
        <f>IF(B3464="","",IFERROR(RIGHT(B3464,LEN(B3464)-FIND("@",B3464)),""))</f>
        <v/>
      </c>
      <c r="G3464">
        <f>IF(D3464="KEEP",COUNTIF($D$2:D3464,"KEEP"),"")</f>
        <v/>
      </c>
      <c r="H3464">
        <f>IF(D3464="REMOVE",COUNTIF($D$2:D3464,"REMOVE"),"")</f>
        <v/>
      </c>
      <c r="I3464">
        <f>IF(E3464="Gmail",COUNTIF($E$2:E3464,"Gmail"),"")</f>
        <v/>
      </c>
      <c r="J3464">
        <f>IF(E3464="Outlook",COUNTIF($E$2:E3464,"Outlook"),"")</f>
        <v/>
      </c>
      <c r="K3464">
        <f>IF(E3464="Domain",COUNTIF($E$2:E3464,"Domain"),"")</f>
        <v/>
      </c>
    </row>
    <row r="3465">
      <c r="A3465" s="2" t="n"/>
      <c r="B3465">
        <f>LOWER(TRIM(A3465))</f>
        <v/>
      </c>
      <c r="C3465">
        <f>IF(B3465="","",IFERROR(INDEX('Bad Patterns'!$A$2:$A$120,MATCH(1,INDEX(--ISNUMBER(SEARCH('Bad Patterns'!$A$2:$A$120,B3465)),0),0)),""))</f>
        <v/>
      </c>
      <c r="D3465">
        <f>IF(B3465="","",IF(C3465&lt;&gt;"","REMOVE","KEEP"))</f>
        <v/>
      </c>
      <c r="E3465">
        <f>IF(D3465&lt;&gt;"KEEP","",IF(RIGHT(B3465,10)="@gmail.com","Gmail",IF(OR(RIGHT(B3465,12)="@outlook.com",RIGHT(B3465,12)="@hotmail.com",RIGHT(B3465,9)="@live.com"),"Outlook","Domain")))</f>
        <v/>
      </c>
      <c r="F3465">
        <f>IF(B3465="","",IFERROR(RIGHT(B3465,LEN(B3465)-FIND("@",B3465)),""))</f>
        <v/>
      </c>
      <c r="G3465">
        <f>IF(D3465="KEEP",COUNTIF($D$2:D3465,"KEEP"),"")</f>
        <v/>
      </c>
      <c r="H3465">
        <f>IF(D3465="REMOVE",COUNTIF($D$2:D3465,"REMOVE"),"")</f>
        <v/>
      </c>
      <c r="I3465">
        <f>IF(E3465="Gmail",COUNTIF($E$2:E3465,"Gmail"),"")</f>
        <v/>
      </c>
      <c r="J3465">
        <f>IF(E3465="Outlook",COUNTIF($E$2:E3465,"Outlook"),"")</f>
        <v/>
      </c>
      <c r="K3465">
        <f>IF(E3465="Domain",COUNTIF($E$2:E3465,"Domain"),"")</f>
        <v/>
      </c>
    </row>
    <row r="3466">
      <c r="A3466" s="2" t="n"/>
      <c r="B3466">
        <f>LOWER(TRIM(A3466))</f>
        <v/>
      </c>
      <c r="C3466">
        <f>IF(B3466="","",IFERROR(INDEX('Bad Patterns'!$A$2:$A$120,MATCH(1,INDEX(--ISNUMBER(SEARCH('Bad Patterns'!$A$2:$A$120,B3466)),0),0)),""))</f>
        <v/>
      </c>
      <c r="D3466">
        <f>IF(B3466="","",IF(C3466&lt;&gt;"","REMOVE","KEEP"))</f>
        <v/>
      </c>
      <c r="E3466">
        <f>IF(D3466&lt;&gt;"KEEP","",IF(RIGHT(B3466,10)="@gmail.com","Gmail",IF(OR(RIGHT(B3466,12)="@outlook.com",RIGHT(B3466,12)="@hotmail.com",RIGHT(B3466,9)="@live.com"),"Outlook","Domain")))</f>
        <v/>
      </c>
      <c r="F3466">
        <f>IF(B3466="","",IFERROR(RIGHT(B3466,LEN(B3466)-FIND("@",B3466)),""))</f>
        <v/>
      </c>
      <c r="G3466">
        <f>IF(D3466="KEEP",COUNTIF($D$2:D3466,"KEEP"),"")</f>
        <v/>
      </c>
      <c r="H3466">
        <f>IF(D3466="REMOVE",COUNTIF($D$2:D3466,"REMOVE"),"")</f>
        <v/>
      </c>
      <c r="I3466">
        <f>IF(E3466="Gmail",COUNTIF($E$2:E3466,"Gmail"),"")</f>
        <v/>
      </c>
      <c r="J3466">
        <f>IF(E3466="Outlook",COUNTIF($E$2:E3466,"Outlook"),"")</f>
        <v/>
      </c>
      <c r="K3466">
        <f>IF(E3466="Domain",COUNTIF($E$2:E3466,"Domain"),"")</f>
        <v/>
      </c>
    </row>
    <row r="3467">
      <c r="A3467" s="2" t="n"/>
      <c r="B3467">
        <f>LOWER(TRIM(A3467))</f>
        <v/>
      </c>
      <c r="C3467">
        <f>IF(B3467="","",IFERROR(INDEX('Bad Patterns'!$A$2:$A$120,MATCH(1,INDEX(--ISNUMBER(SEARCH('Bad Patterns'!$A$2:$A$120,B3467)),0),0)),""))</f>
        <v/>
      </c>
      <c r="D3467">
        <f>IF(B3467="","",IF(C3467&lt;&gt;"","REMOVE","KEEP"))</f>
        <v/>
      </c>
      <c r="E3467">
        <f>IF(D3467&lt;&gt;"KEEP","",IF(RIGHT(B3467,10)="@gmail.com","Gmail",IF(OR(RIGHT(B3467,12)="@outlook.com",RIGHT(B3467,12)="@hotmail.com",RIGHT(B3467,9)="@live.com"),"Outlook","Domain")))</f>
        <v/>
      </c>
      <c r="F3467">
        <f>IF(B3467="","",IFERROR(RIGHT(B3467,LEN(B3467)-FIND("@",B3467)),""))</f>
        <v/>
      </c>
      <c r="G3467">
        <f>IF(D3467="KEEP",COUNTIF($D$2:D3467,"KEEP"),"")</f>
        <v/>
      </c>
      <c r="H3467">
        <f>IF(D3467="REMOVE",COUNTIF($D$2:D3467,"REMOVE"),"")</f>
        <v/>
      </c>
      <c r="I3467">
        <f>IF(E3467="Gmail",COUNTIF($E$2:E3467,"Gmail"),"")</f>
        <v/>
      </c>
      <c r="J3467">
        <f>IF(E3467="Outlook",COUNTIF($E$2:E3467,"Outlook"),"")</f>
        <v/>
      </c>
      <c r="K3467">
        <f>IF(E3467="Domain",COUNTIF($E$2:E3467,"Domain"),"")</f>
        <v/>
      </c>
    </row>
    <row r="3468">
      <c r="A3468" s="2" t="n"/>
      <c r="B3468">
        <f>LOWER(TRIM(A3468))</f>
        <v/>
      </c>
      <c r="C3468">
        <f>IF(B3468="","",IFERROR(INDEX('Bad Patterns'!$A$2:$A$120,MATCH(1,INDEX(--ISNUMBER(SEARCH('Bad Patterns'!$A$2:$A$120,B3468)),0),0)),""))</f>
        <v/>
      </c>
      <c r="D3468">
        <f>IF(B3468="","",IF(C3468&lt;&gt;"","REMOVE","KEEP"))</f>
        <v/>
      </c>
      <c r="E3468">
        <f>IF(D3468&lt;&gt;"KEEP","",IF(RIGHT(B3468,10)="@gmail.com","Gmail",IF(OR(RIGHT(B3468,12)="@outlook.com",RIGHT(B3468,12)="@hotmail.com",RIGHT(B3468,9)="@live.com"),"Outlook","Domain")))</f>
        <v/>
      </c>
      <c r="F3468">
        <f>IF(B3468="","",IFERROR(RIGHT(B3468,LEN(B3468)-FIND("@",B3468)),""))</f>
        <v/>
      </c>
      <c r="G3468">
        <f>IF(D3468="KEEP",COUNTIF($D$2:D3468,"KEEP"),"")</f>
        <v/>
      </c>
      <c r="H3468">
        <f>IF(D3468="REMOVE",COUNTIF($D$2:D3468,"REMOVE"),"")</f>
        <v/>
      </c>
      <c r="I3468">
        <f>IF(E3468="Gmail",COUNTIF($E$2:E3468,"Gmail"),"")</f>
        <v/>
      </c>
      <c r="J3468">
        <f>IF(E3468="Outlook",COUNTIF($E$2:E3468,"Outlook"),"")</f>
        <v/>
      </c>
      <c r="K3468">
        <f>IF(E3468="Domain",COUNTIF($E$2:E3468,"Domain"),"")</f>
        <v/>
      </c>
    </row>
    <row r="3469">
      <c r="A3469" s="2" t="n"/>
      <c r="B3469">
        <f>LOWER(TRIM(A3469))</f>
        <v/>
      </c>
      <c r="C3469">
        <f>IF(B3469="","",IFERROR(INDEX('Bad Patterns'!$A$2:$A$120,MATCH(1,INDEX(--ISNUMBER(SEARCH('Bad Patterns'!$A$2:$A$120,B3469)),0),0)),""))</f>
        <v/>
      </c>
      <c r="D3469">
        <f>IF(B3469="","",IF(C3469&lt;&gt;"","REMOVE","KEEP"))</f>
        <v/>
      </c>
      <c r="E3469">
        <f>IF(D3469&lt;&gt;"KEEP","",IF(RIGHT(B3469,10)="@gmail.com","Gmail",IF(OR(RIGHT(B3469,12)="@outlook.com",RIGHT(B3469,12)="@hotmail.com",RIGHT(B3469,9)="@live.com"),"Outlook","Domain")))</f>
        <v/>
      </c>
      <c r="F3469">
        <f>IF(B3469="","",IFERROR(RIGHT(B3469,LEN(B3469)-FIND("@",B3469)),""))</f>
        <v/>
      </c>
      <c r="G3469">
        <f>IF(D3469="KEEP",COUNTIF($D$2:D3469,"KEEP"),"")</f>
        <v/>
      </c>
      <c r="H3469">
        <f>IF(D3469="REMOVE",COUNTIF($D$2:D3469,"REMOVE"),"")</f>
        <v/>
      </c>
      <c r="I3469">
        <f>IF(E3469="Gmail",COUNTIF($E$2:E3469,"Gmail"),"")</f>
        <v/>
      </c>
      <c r="J3469">
        <f>IF(E3469="Outlook",COUNTIF($E$2:E3469,"Outlook"),"")</f>
        <v/>
      </c>
      <c r="K3469">
        <f>IF(E3469="Domain",COUNTIF($E$2:E3469,"Domain"),"")</f>
        <v/>
      </c>
    </row>
    <row r="3470">
      <c r="A3470" s="2" t="n"/>
      <c r="B3470">
        <f>LOWER(TRIM(A3470))</f>
        <v/>
      </c>
      <c r="C3470">
        <f>IF(B3470="","",IFERROR(INDEX('Bad Patterns'!$A$2:$A$120,MATCH(1,INDEX(--ISNUMBER(SEARCH('Bad Patterns'!$A$2:$A$120,B3470)),0),0)),""))</f>
        <v/>
      </c>
      <c r="D3470">
        <f>IF(B3470="","",IF(C3470&lt;&gt;"","REMOVE","KEEP"))</f>
        <v/>
      </c>
      <c r="E3470">
        <f>IF(D3470&lt;&gt;"KEEP","",IF(RIGHT(B3470,10)="@gmail.com","Gmail",IF(OR(RIGHT(B3470,12)="@outlook.com",RIGHT(B3470,12)="@hotmail.com",RIGHT(B3470,9)="@live.com"),"Outlook","Domain")))</f>
        <v/>
      </c>
      <c r="F3470">
        <f>IF(B3470="","",IFERROR(RIGHT(B3470,LEN(B3470)-FIND("@",B3470)),""))</f>
        <v/>
      </c>
      <c r="G3470">
        <f>IF(D3470="KEEP",COUNTIF($D$2:D3470,"KEEP"),"")</f>
        <v/>
      </c>
      <c r="H3470">
        <f>IF(D3470="REMOVE",COUNTIF($D$2:D3470,"REMOVE"),"")</f>
        <v/>
      </c>
      <c r="I3470">
        <f>IF(E3470="Gmail",COUNTIF($E$2:E3470,"Gmail"),"")</f>
        <v/>
      </c>
      <c r="J3470">
        <f>IF(E3470="Outlook",COUNTIF($E$2:E3470,"Outlook"),"")</f>
        <v/>
      </c>
      <c r="K3470">
        <f>IF(E3470="Domain",COUNTIF($E$2:E3470,"Domain"),"")</f>
        <v/>
      </c>
    </row>
    <row r="3471">
      <c r="A3471" s="2" t="n"/>
      <c r="B3471">
        <f>LOWER(TRIM(A3471))</f>
        <v/>
      </c>
      <c r="C3471">
        <f>IF(B3471="","",IFERROR(INDEX('Bad Patterns'!$A$2:$A$120,MATCH(1,INDEX(--ISNUMBER(SEARCH('Bad Patterns'!$A$2:$A$120,B3471)),0),0)),""))</f>
        <v/>
      </c>
      <c r="D3471">
        <f>IF(B3471="","",IF(C3471&lt;&gt;"","REMOVE","KEEP"))</f>
        <v/>
      </c>
      <c r="E3471">
        <f>IF(D3471&lt;&gt;"KEEP","",IF(RIGHT(B3471,10)="@gmail.com","Gmail",IF(OR(RIGHT(B3471,12)="@outlook.com",RIGHT(B3471,12)="@hotmail.com",RIGHT(B3471,9)="@live.com"),"Outlook","Domain")))</f>
        <v/>
      </c>
      <c r="F3471">
        <f>IF(B3471="","",IFERROR(RIGHT(B3471,LEN(B3471)-FIND("@",B3471)),""))</f>
        <v/>
      </c>
      <c r="G3471">
        <f>IF(D3471="KEEP",COUNTIF($D$2:D3471,"KEEP"),"")</f>
        <v/>
      </c>
      <c r="H3471">
        <f>IF(D3471="REMOVE",COUNTIF($D$2:D3471,"REMOVE"),"")</f>
        <v/>
      </c>
      <c r="I3471">
        <f>IF(E3471="Gmail",COUNTIF($E$2:E3471,"Gmail"),"")</f>
        <v/>
      </c>
      <c r="J3471">
        <f>IF(E3471="Outlook",COUNTIF($E$2:E3471,"Outlook"),"")</f>
        <v/>
      </c>
      <c r="K3471">
        <f>IF(E3471="Domain",COUNTIF($E$2:E3471,"Domain"),"")</f>
        <v/>
      </c>
    </row>
    <row r="3472">
      <c r="A3472" s="2" t="n"/>
      <c r="B3472">
        <f>LOWER(TRIM(A3472))</f>
        <v/>
      </c>
      <c r="C3472">
        <f>IF(B3472="","",IFERROR(INDEX('Bad Patterns'!$A$2:$A$120,MATCH(1,INDEX(--ISNUMBER(SEARCH('Bad Patterns'!$A$2:$A$120,B3472)),0),0)),""))</f>
        <v/>
      </c>
      <c r="D3472">
        <f>IF(B3472="","",IF(C3472&lt;&gt;"","REMOVE","KEEP"))</f>
        <v/>
      </c>
      <c r="E3472">
        <f>IF(D3472&lt;&gt;"KEEP","",IF(RIGHT(B3472,10)="@gmail.com","Gmail",IF(OR(RIGHT(B3472,12)="@outlook.com",RIGHT(B3472,12)="@hotmail.com",RIGHT(B3472,9)="@live.com"),"Outlook","Domain")))</f>
        <v/>
      </c>
      <c r="F3472">
        <f>IF(B3472="","",IFERROR(RIGHT(B3472,LEN(B3472)-FIND("@",B3472)),""))</f>
        <v/>
      </c>
      <c r="G3472">
        <f>IF(D3472="KEEP",COUNTIF($D$2:D3472,"KEEP"),"")</f>
        <v/>
      </c>
      <c r="H3472">
        <f>IF(D3472="REMOVE",COUNTIF($D$2:D3472,"REMOVE"),"")</f>
        <v/>
      </c>
      <c r="I3472">
        <f>IF(E3472="Gmail",COUNTIF($E$2:E3472,"Gmail"),"")</f>
        <v/>
      </c>
      <c r="J3472">
        <f>IF(E3472="Outlook",COUNTIF($E$2:E3472,"Outlook"),"")</f>
        <v/>
      </c>
      <c r="K3472">
        <f>IF(E3472="Domain",COUNTIF($E$2:E3472,"Domain"),"")</f>
        <v/>
      </c>
    </row>
    <row r="3473">
      <c r="A3473" s="2" t="n"/>
      <c r="B3473">
        <f>LOWER(TRIM(A3473))</f>
        <v/>
      </c>
      <c r="C3473">
        <f>IF(B3473="","",IFERROR(INDEX('Bad Patterns'!$A$2:$A$120,MATCH(1,INDEX(--ISNUMBER(SEARCH('Bad Patterns'!$A$2:$A$120,B3473)),0),0)),""))</f>
        <v/>
      </c>
      <c r="D3473">
        <f>IF(B3473="","",IF(C3473&lt;&gt;"","REMOVE","KEEP"))</f>
        <v/>
      </c>
      <c r="E3473">
        <f>IF(D3473&lt;&gt;"KEEP","",IF(RIGHT(B3473,10)="@gmail.com","Gmail",IF(OR(RIGHT(B3473,12)="@outlook.com",RIGHT(B3473,12)="@hotmail.com",RIGHT(B3473,9)="@live.com"),"Outlook","Domain")))</f>
        <v/>
      </c>
      <c r="F3473">
        <f>IF(B3473="","",IFERROR(RIGHT(B3473,LEN(B3473)-FIND("@",B3473)),""))</f>
        <v/>
      </c>
      <c r="G3473">
        <f>IF(D3473="KEEP",COUNTIF($D$2:D3473,"KEEP"),"")</f>
        <v/>
      </c>
      <c r="H3473">
        <f>IF(D3473="REMOVE",COUNTIF($D$2:D3473,"REMOVE"),"")</f>
        <v/>
      </c>
      <c r="I3473">
        <f>IF(E3473="Gmail",COUNTIF($E$2:E3473,"Gmail"),"")</f>
        <v/>
      </c>
      <c r="J3473">
        <f>IF(E3473="Outlook",COUNTIF($E$2:E3473,"Outlook"),"")</f>
        <v/>
      </c>
      <c r="K3473">
        <f>IF(E3473="Domain",COUNTIF($E$2:E3473,"Domain"),"")</f>
        <v/>
      </c>
    </row>
    <row r="3474">
      <c r="A3474" s="2" t="n"/>
      <c r="B3474">
        <f>LOWER(TRIM(A3474))</f>
        <v/>
      </c>
      <c r="C3474">
        <f>IF(B3474="","",IFERROR(INDEX('Bad Patterns'!$A$2:$A$120,MATCH(1,INDEX(--ISNUMBER(SEARCH('Bad Patterns'!$A$2:$A$120,B3474)),0),0)),""))</f>
        <v/>
      </c>
      <c r="D3474">
        <f>IF(B3474="","",IF(C3474&lt;&gt;"","REMOVE","KEEP"))</f>
        <v/>
      </c>
      <c r="E3474">
        <f>IF(D3474&lt;&gt;"KEEP","",IF(RIGHT(B3474,10)="@gmail.com","Gmail",IF(OR(RIGHT(B3474,12)="@outlook.com",RIGHT(B3474,12)="@hotmail.com",RIGHT(B3474,9)="@live.com"),"Outlook","Domain")))</f>
        <v/>
      </c>
      <c r="F3474">
        <f>IF(B3474="","",IFERROR(RIGHT(B3474,LEN(B3474)-FIND("@",B3474)),""))</f>
        <v/>
      </c>
      <c r="G3474">
        <f>IF(D3474="KEEP",COUNTIF($D$2:D3474,"KEEP"),"")</f>
        <v/>
      </c>
      <c r="H3474">
        <f>IF(D3474="REMOVE",COUNTIF($D$2:D3474,"REMOVE"),"")</f>
        <v/>
      </c>
      <c r="I3474">
        <f>IF(E3474="Gmail",COUNTIF($E$2:E3474,"Gmail"),"")</f>
        <v/>
      </c>
      <c r="J3474">
        <f>IF(E3474="Outlook",COUNTIF($E$2:E3474,"Outlook"),"")</f>
        <v/>
      </c>
      <c r="K3474">
        <f>IF(E3474="Domain",COUNTIF($E$2:E3474,"Domain"),"")</f>
        <v/>
      </c>
    </row>
    <row r="3475">
      <c r="A3475" s="2" t="n"/>
      <c r="B3475">
        <f>LOWER(TRIM(A3475))</f>
        <v/>
      </c>
      <c r="C3475">
        <f>IF(B3475="","",IFERROR(INDEX('Bad Patterns'!$A$2:$A$120,MATCH(1,INDEX(--ISNUMBER(SEARCH('Bad Patterns'!$A$2:$A$120,B3475)),0),0)),""))</f>
        <v/>
      </c>
      <c r="D3475">
        <f>IF(B3475="","",IF(C3475&lt;&gt;"","REMOVE","KEEP"))</f>
        <v/>
      </c>
      <c r="E3475">
        <f>IF(D3475&lt;&gt;"KEEP","",IF(RIGHT(B3475,10)="@gmail.com","Gmail",IF(OR(RIGHT(B3475,12)="@outlook.com",RIGHT(B3475,12)="@hotmail.com",RIGHT(B3475,9)="@live.com"),"Outlook","Domain")))</f>
        <v/>
      </c>
      <c r="F3475">
        <f>IF(B3475="","",IFERROR(RIGHT(B3475,LEN(B3475)-FIND("@",B3475)),""))</f>
        <v/>
      </c>
      <c r="G3475">
        <f>IF(D3475="KEEP",COUNTIF($D$2:D3475,"KEEP"),"")</f>
        <v/>
      </c>
      <c r="H3475">
        <f>IF(D3475="REMOVE",COUNTIF($D$2:D3475,"REMOVE"),"")</f>
        <v/>
      </c>
      <c r="I3475">
        <f>IF(E3475="Gmail",COUNTIF($E$2:E3475,"Gmail"),"")</f>
        <v/>
      </c>
      <c r="J3475">
        <f>IF(E3475="Outlook",COUNTIF($E$2:E3475,"Outlook"),"")</f>
        <v/>
      </c>
      <c r="K3475">
        <f>IF(E3475="Domain",COUNTIF($E$2:E3475,"Domain"),"")</f>
        <v/>
      </c>
    </row>
    <row r="3476">
      <c r="A3476" s="2" t="n"/>
      <c r="B3476">
        <f>LOWER(TRIM(A3476))</f>
        <v/>
      </c>
      <c r="C3476">
        <f>IF(B3476="","",IFERROR(INDEX('Bad Patterns'!$A$2:$A$120,MATCH(1,INDEX(--ISNUMBER(SEARCH('Bad Patterns'!$A$2:$A$120,B3476)),0),0)),""))</f>
        <v/>
      </c>
      <c r="D3476">
        <f>IF(B3476="","",IF(C3476&lt;&gt;"","REMOVE","KEEP"))</f>
        <v/>
      </c>
      <c r="E3476">
        <f>IF(D3476&lt;&gt;"KEEP","",IF(RIGHT(B3476,10)="@gmail.com","Gmail",IF(OR(RIGHT(B3476,12)="@outlook.com",RIGHT(B3476,12)="@hotmail.com",RIGHT(B3476,9)="@live.com"),"Outlook","Domain")))</f>
        <v/>
      </c>
      <c r="F3476">
        <f>IF(B3476="","",IFERROR(RIGHT(B3476,LEN(B3476)-FIND("@",B3476)),""))</f>
        <v/>
      </c>
      <c r="G3476">
        <f>IF(D3476="KEEP",COUNTIF($D$2:D3476,"KEEP"),"")</f>
        <v/>
      </c>
      <c r="H3476">
        <f>IF(D3476="REMOVE",COUNTIF($D$2:D3476,"REMOVE"),"")</f>
        <v/>
      </c>
      <c r="I3476">
        <f>IF(E3476="Gmail",COUNTIF($E$2:E3476,"Gmail"),"")</f>
        <v/>
      </c>
      <c r="J3476">
        <f>IF(E3476="Outlook",COUNTIF($E$2:E3476,"Outlook"),"")</f>
        <v/>
      </c>
      <c r="K3476">
        <f>IF(E3476="Domain",COUNTIF($E$2:E3476,"Domain"),"")</f>
        <v/>
      </c>
    </row>
    <row r="3477">
      <c r="A3477" s="2" t="n"/>
      <c r="B3477">
        <f>LOWER(TRIM(A3477))</f>
        <v/>
      </c>
      <c r="C3477">
        <f>IF(B3477="","",IFERROR(INDEX('Bad Patterns'!$A$2:$A$120,MATCH(1,INDEX(--ISNUMBER(SEARCH('Bad Patterns'!$A$2:$A$120,B3477)),0),0)),""))</f>
        <v/>
      </c>
      <c r="D3477">
        <f>IF(B3477="","",IF(C3477&lt;&gt;"","REMOVE","KEEP"))</f>
        <v/>
      </c>
      <c r="E3477">
        <f>IF(D3477&lt;&gt;"KEEP","",IF(RIGHT(B3477,10)="@gmail.com","Gmail",IF(OR(RIGHT(B3477,12)="@outlook.com",RIGHT(B3477,12)="@hotmail.com",RIGHT(B3477,9)="@live.com"),"Outlook","Domain")))</f>
        <v/>
      </c>
      <c r="F3477">
        <f>IF(B3477="","",IFERROR(RIGHT(B3477,LEN(B3477)-FIND("@",B3477)),""))</f>
        <v/>
      </c>
      <c r="G3477">
        <f>IF(D3477="KEEP",COUNTIF($D$2:D3477,"KEEP"),"")</f>
        <v/>
      </c>
      <c r="H3477">
        <f>IF(D3477="REMOVE",COUNTIF($D$2:D3477,"REMOVE"),"")</f>
        <v/>
      </c>
      <c r="I3477">
        <f>IF(E3477="Gmail",COUNTIF($E$2:E3477,"Gmail"),"")</f>
        <v/>
      </c>
      <c r="J3477">
        <f>IF(E3477="Outlook",COUNTIF($E$2:E3477,"Outlook"),"")</f>
        <v/>
      </c>
      <c r="K3477">
        <f>IF(E3477="Domain",COUNTIF($E$2:E3477,"Domain"),"")</f>
        <v/>
      </c>
    </row>
    <row r="3478">
      <c r="A3478" s="2" t="n"/>
      <c r="B3478">
        <f>LOWER(TRIM(A3478))</f>
        <v/>
      </c>
      <c r="C3478">
        <f>IF(B3478="","",IFERROR(INDEX('Bad Patterns'!$A$2:$A$120,MATCH(1,INDEX(--ISNUMBER(SEARCH('Bad Patterns'!$A$2:$A$120,B3478)),0),0)),""))</f>
        <v/>
      </c>
      <c r="D3478">
        <f>IF(B3478="","",IF(C3478&lt;&gt;"","REMOVE","KEEP"))</f>
        <v/>
      </c>
      <c r="E3478">
        <f>IF(D3478&lt;&gt;"KEEP","",IF(RIGHT(B3478,10)="@gmail.com","Gmail",IF(OR(RIGHT(B3478,12)="@outlook.com",RIGHT(B3478,12)="@hotmail.com",RIGHT(B3478,9)="@live.com"),"Outlook","Domain")))</f>
        <v/>
      </c>
      <c r="F3478">
        <f>IF(B3478="","",IFERROR(RIGHT(B3478,LEN(B3478)-FIND("@",B3478)),""))</f>
        <v/>
      </c>
      <c r="G3478">
        <f>IF(D3478="KEEP",COUNTIF($D$2:D3478,"KEEP"),"")</f>
        <v/>
      </c>
      <c r="H3478">
        <f>IF(D3478="REMOVE",COUNTIF($D$2:D3478,"REMOVE"),"")</f>
        <v/>
      </c>
      <c r="I3478">
        <f>IF(E3478="Gmail",COUNTIF($E$2:E3478,"Gmail"),"")</f>
        <v/>
      </c>
      <c r="J3478">
        <f>IF(E3478="Outlook",COUNTIF($E$2:E3478,"Outlook"),"")</f>
        <v/>
      </c>
      <c r="K3478">
        <f>IF(E3478="Domain",COUNTIF($E$2:E3478,"Domain"),"")</f>
        <v/>
      </c>
    </row>
    <row r="3479">
      <c r="A3479" s="2" t="n"/>
      <c r="B3479">
        <f>LOWER(TRIM(A3479))</f>
        <v/>
      </c>
      <c r="C3479">
        <f>IF(B3479="","",IFERROR(INDEX('Bad Patterns'!$A$2:$A$120,MATCH(1,INDEX(--ISNUMBER(SEARCH('Bad Patterns'!$A$2:$A$120,B3479)),0),0)),""))</f>
        <v/>
      </c>
      <c r="D3479">
        <f>IF(B3479="","",IF(C3479&lt;&gt;"","REMOVE","KEEP"))</f>
        <v/>
      </c>
      <c r="E3479">
        <f>IF(D3479&lt;&gt;"KEEP","",IF(RIGHT(B3479,10)="@gmail.com","Gmail",IF(OR(RIGHT(B3479,12)="@outlook.com",RIGHT(B3479,12)="@hotmail.com",RIGHT(B3479,9)="@live.com"),"Outlook","Domain")))</f>
        <v/>
      </c>
      <c r="F3479">
        <f>IF(B3479="","",IFERROR(RIGHT(B3479,LEN(B3479)-FIND("@",B3479)),""))</f>
        <v/>
      </c>
      <c r="G3479">
        <f>IF(D3479="KEEP",COUNTIF($D$2:D3479,"KEEP"),"")</f>
        <v/>
      </c>
      <c r="H3479">
        <f>IF(D3479="REMOVE",COUNTIF($D$2:D3479,"REMOVE"),"")</f>
        <v/>
      </c>
      <c r="I3479">
        <f>IF(E3479="Gmail",COUNTIF($E$2:E3479,"Gmail"),"")</f>
        <v/>
      </c>
      <c r="J3479">
        <f>IF(E3479="Outlook",COUNTIF($E$2:E3479,"Outlook"),"")</f>
        <v/>
      </c>
      <c r="K3479">
        <f>IF(E3479="Domain",COUNTIF($E$2:E3479,"Domain"),"")</f>
        <v/>
      </c>
    </row>
    <row r="3480">
      <c r="A3480" s="2" t="n"/>
      <c r="B3480">
        <f>LOWER(TRIM(A3480))</f>
        <v/>
      </c>
      <c r="C3480">
        <f>IF(B3480="","",IFERROR(INDEX('Bad Patterns'!$A$2:$A$120,MATCH(1,INDEX(--ISNUMBER(SEARCH('Bad Patterns'!$A$2:$A$120,B3480)),0),0)),""))</f>
        <v/>
      </c>
      <c r="D3480">
        <f>IF(B3480="","",IF(C3480&lt;&gt;"","REMOVE","KEEP"))</f>
        <v/>
      </c>
      <c r="E3480">
        <f>IF(D3480&lt;&gt;"KEEP","",IF(RIGHT(B3480,10)="@gmail.com","Gmail",IF(OR(RIGHT(B3480,12)="@outlook.com",RIGHT(B3480,12)="@hotmail.com",RIGHT(B3480,9)="@live.com"),"Outlook","Domain")))</f>
        <v/>
      </c>
      <c r="F3480">
        <f>IF(B3480="","",IFERROR(RIGHT(B3480,LEN(B3480)-FIND("@",B3480)),""))</f>
        <v/>
      </c>
      <c r="G3480">
        <f>IF(D3480="KEEP",COUNTIF($D$2:D3480,"KEEP"),"")</f>
        <v/>
      </c>
      <c r="H3480">
        <f>IF(D3480="REMOVE",COUNTIF($D$2:D3480,"REMOVE"),"")</f>
        <v/>
      </c>
      <c r="I3480">
        <f>IF(E3480="Gmail",COUNTIF($E$2:E3480,"Gmail"),"")</f>
        <v/>
      </c>
      <c r="J3480">
        <f>IF(E3480="Outlook",COUNTIF($E$2:E3480,"Outlook"),"")</f>
        <v/>
      </c>
      <c r="K3480">
        <f>IF(E3480="Domain",COUNTIF($E$2:E3480,"Domain"),"")</f>
        <v/>
      </c>
    </row>
    <row r="3481">
      <c r="A3481" s="2" t="n"/>
      <c r="B3481">
        <f>LOWER(TRIM(A3481))</f>
        <v/>
      </c>
      <c r="C3481">
        <f>IF(B3481="","",IFERROR(INDEX('Bad Patterns'!$A$2:$A$120,MATCH(1,INDEX(--ISNUMBER(SEARCH('Bad Patterns'!$A$2:$A$120,B3481)),0),0)),""))</f>
        <v/>
      </c>
      <c r="D3481">
        <f>IF(B3481="","",IF(C3481&lt;&gt;"","REMOVE","KEEP"))</f>
        <v/>
      </c>
      <c r="E3481">
        <f>IF(D3481&lt;&gt;"KEEP","",IF(RIGHT(B3481,10)="@gmail.com","Gmail",IF(OR(RIGHT(B3481,12)="@outlook.com",RIGHT(B3481,12)="@hotmail.com",RIGHT(B3481,9)="@live.com"),"Outlook","Domain")))</f>
        <v/>
      </c>
      <c r="F3481">
        <f>IF(B3481="","",IFERROR(RIGHT(B3481,LEN(B3481)-FIND("@",B3481)),""))</f>
        <v/>
      </c>
      <c r="G3481">
        <f>IF(D3481="KEEP",COUNTIF($D$2:D3481,"KEEP"),"")</f>
        <v/>
      </c>
      <c r="H3481">
        <f>IF(D3481="REMOVE",COUNTIF($D$2:D3481,"REMOVE"),"")</f>
        <v/>
      </c>
      <c r="I3481">
        <f>IF(E3481="Gmail",COUNTIF($E$2:E3481,"Gmail"),"")</f>
        <v/>
      </c>
      <c r="J3481">
        <f>IF(E3481="Outlook",COUNTIF($E$2:E3481,"Outlook"),"")</f>
        <v/>
      </c>
      <c r="K3481">
        <f>IF(E3481="Domain",COUNTIF($E$2:E3481,"Domain"),"")</f>
        <v/>
      </c>
    </row>
    <row r="3482">
      <c r="A3482" s="2" t="n"/>
      <c r="B3482">
        <f>LOWER(TRIM(A3482))</f>
        <v/>
      </c>
      <c r="C3482">
        <f>IF(B3482="","",IFERROR(INDEX('Bad Patterns'!$A$2:$A$120,MATCH(1,INDEX(--ISNUMBER(SEARCH('Bad Patterns'!$A$2:$A$120,B3482)),0),0)),""))</f>
        <v/>
      </c>
      <c r="D3482">
        <f>IF(B3482="","",IF(C3482&lt;&gt;"","REMOVE","KEEP"))</f>
        <v/>
      </c>
      <c r="E3482">
        <f>IF(D3482&lt;&gt;"KEEP","",IF(RIGHT(B3482,10)="@gmail.com","Gmail",IF(OR(RIGHT(B3482,12)="@outlook.com",RIGHT(B3482,12)="@hotmail.com",RIGHT(B3482,9)="@live.com"),"Outlook","Domain")))</f>
        <v/>
      </c>
      <c r="F3482">
        <f>IF(B3482="","",IFERROR(RIGHT(B3482,LEN(B3482)-FIND("@",B3482)),""))</f>
        <v/>
      </c>
      <c r="G3482">
        <f>IF(D3482="KEEP",COUNTIF($D$2:D3482,"KEEP"),"")</f>
        <v/>
      </c>
      <c r="H3482">
        <f>IF(D3482="REMOVE",COUNTIF($D$2:D3482,"REMOVE"),"")</f>
        <v/>
      </c>
      <c r="I3482">
        <f>IF(E3482="Gmail",COUNTIF($E$2:E3482,"Gmail"),"")</f>
        <v/>
      </c>
      <c r="J3482">
        <f>IF(E3482="Outlook",COUNTIF($E$2:E3482,"Outlook"),"")</f>
        <v/>
      </c>
      <c r="K3482">
        <f>IF(E3482="Domain",COUNTIF($E$2:E3482,"Domain"),"")</f>
        <v/>
      </c>
    </row>
    <row r="3483">
      <c r="A3483" s="2" t="n"/>
      <c r="B3483">
        <f>LOWER(TRIM(A3483))</f>
        <v/>
      </c>
      <c r="C3483">
        <f>IF(B3483="","",IFERROR(INDEX('Bad Patterns'!$A$2:$A$120,MATCH(1,INDEX(--ISNUMBER(SEARCH('Bad Patterns'!$A$2:$A$120,B3483)),0),0)),""))</f>
        <v/>
      </c>
      <c r="D3483">
        <f>IF(B3483="","",IF(C3483&lt;&gt;"","REMOVE","KEEP"))</f>
        <v/>
      </c>
      <c r="E3483">
        <f>IF(D3483&lt;&gt;"KEEP","",IF(RIGHT(B3483,10)="@gmail.com","Gmail",IF(OR(RIGHT(B3483,12)="@outlook.com",RIGHT(B3483,12)="@hotmail.com",RIGHT(B3483,9)="@live.com"),"Outlook","Domain")))</f>
        <v/>
      </c>
      <c r="F3483">
        <f>IF(B3483="","",IFERROR(RIGHT(B3483,LEN(B3483)-FIND("@",B3483)),""))</f>
        <v/>
      </c>
      <c r="G3483">
        <f>IF(D3483="KEEP",COUNTIF($D$2:D3483,"KEEP"),"")</f>
        <v/>
      </c>
      <c r="H3483">
        <f>IF(D3483="REMOVE",COUNTIF($D$2:D3483,"REMOVE"),"")</f>
        <v/>
      </c>
      <c r="I3483">
        <f>IF(E3483="Gmail",COUNTIF($E$2:E3483,"Gmail"),"")</f>
        <v/>
      </c>
      <c r="J3483">
        <f>IF(E3483="Outlook",COUNTIF($E$2:E3483,"Outlook"),"")</f>
        <v/>
      </c>
      <c r="K3483">
        <f>IF(E3483="Domain",COUNTIF($E$2:E3483,"Domain"),"")</f>
        <v/>
      </c>
    </row>
    <row r="3484">
      <c r="A3484" s="2" t="n"/>
      <c r="B3484">
        <f>LOWER(TRIM(A3484))</f>
        <v/>
      </c>
      <c r="C3484">
        <f>IF(B3484="","",IFERROR(INDEX('Bad Patterns'!$A$2:$A$120,MATCH(1,INDEX(--ISNUMBER(SEARCH('Bad Patterns'!$A$2:$A$120,B3484)),0),0)),""))</f>
        <v/>
      </c>
      <c r="D3484">
        <f>IF(B3484="","",IF(C3484&lt;&gt;"","REMOVE","KEEP"))</f>
        <v/>
      </c>
      <c r="E3484">
        <f>IF(D3484&lt;&gt;"KEEP","",IF(RIGHT(B3484,10)="@gmail.com","Gmail",IF(OR(RIGHT(B3484,12)="@outlook.com",RIGHT(B3484,12)="@hotmail.com",RIGHT(B3484,9)="@live.com"),"Outlook","Domain")))</f>
        <v/>
      </c>
      <c r="F3484">
        <f>IF(B3484="","",IFERROR(RIGHT(B3484,LEN(B3484)-FIND("@",B3484)),""))</f>
        <v/>
      </c>
      <c r="G3484">
        <f>IF(D3484="KEEP",COUNTIF($D$2:D3484,"KEEP"),"")</f>
        <v/>
      </c>
      <c r="H3484">
        <f>IF(D3484="REMOVE",COUNTIF($D$2:D3484,"REMOVE"),"")</f>
        <v/>
      </c>
      <c r="I3484">
        <f>IF(E3484="Gmail",COUNTIF($E$2:E3484,"Gmail"),"")</f>
        <v/>
      </c>
      <c r="J3484">
        <f>IF(E3484="Outlook",COUNTIF($E$2:E3484,"Outlook"),"")</f>
        <v/>
      </c>
      <c r="K3484">
        <f>IF(E3484="Domain",COUNTIF($E$2:E3484,"Domain"),"")</f>
        <v/>
      </c>
    </row>
    <row r="3485">
      <c r="A3485" s="2" t="n"/>
      <c r="B3485">
        <f>LOWER(TRIM(A3485))</f>
        <v/>
      </c>
      <c r="C3485">
        <f>IF(B3485="","",IFERROR(INDEX('Bad Patterns'!$A$2:$A$120,MATCH(1,INDEX(--ISNUMBER(SEARCH('Bad Patterns'!$A$2:$A$120,B3485)),0),0)),""))</f>
        <v/>
      </c>
      <c r="D3485">
        <f>IF(B3485="","",IF(C3485&lt;&gt;"","REMOVE","KEEP"))</f>
        <v/>
      </c>
      <c r="E3485">
        <f>IF(D3485&lt;&gt;"KEEP","",IF(RIGHT(B3485,10)="@gmail.com","Gmail",IF(OR(RIGHT(B3485,12)="@outlook.com",RIGHT(B3485,12)="@hotmail.com",RIGHT(B3485,9)="@live.com"),"Outlook","Domain")))</f>
        <v/>
      </c>
      <c r="F3485">
        <f>IF(B3485="","",IFERROR(RIGHT(B3485,LEN(B3485)-FIND("@",B3485)),""))</f>
        <v/>
      </c>
      <c r="G3485">
        <f>IF(D3485="KEEP",COUNTIF($D$2:D3485,"KEEP"),"")</f>
        <v/>
      </c>
      <c r="H3485">
        <f>IF(D3485="REMOVE",COUNTIF($D$2:D3485,"REMOVE"),"")</f>
        <v/>
      </c>
      <c r="I3485">
        <f>IF(E3485="Gmail",COUNTIF($E$2:E3485,"Gmail"),"")</f>
        <v/>
      </c>
      <c r="J3485">
        <f>IF(E3485="Outlook",COUNTIF($E$2:E3485,"Outlook"),"")</f>
        <v/>
      </c>
      <c r="K3485">
        <f>IF(E3485="Domain",COUNTIF($E$2:E3485,"Domain"),"")</f>
        <v/>
      </c>
    </row>
    <row r="3486">
      <c r="A3486" s="2" t="n"/>
      <c r="B3486">
        <f>LOWER(TRIM(A3486))</f>
        <v/>
      </c>
      <c r="C3486">
        <f>IF(B3486="","",IFERROR(INDEX('Bad Patterns'!$A$2:$A$120,MATCH(1,INDEX(--ISNUMBER(SEARCH('Bad Patterns'!$A$2:$A$120,B3486)),0),0)),""))</f>
        <v/>
      </c>
      <c r="D3486">
        <f>IF(B3486="","",IF(C3486&lt;&gt;"","REMOVE","KEEP"))</f>
        <v/>
      </c>
      <c r="E3486">
        <f>IF(D3486&lt;&gt;"KEEP","",IF(RIGHT(B3486,10)="@gmail.com","Gmail",IF(OR(RIGHT(B3486,12)="@outlook.com",RIGHT(B3486,12)="@hotmail.com",RIGHT(B3486,9)="@live.com"),"Outlook","Domain")))</f>
        <v/>
      </c>
      <c r="F3486">
        <f>IF(B3486="","",IFERROR(RIGHT(B3486,LEN(B3486)-FIND("@",B3486)),""))</f>
        <v/>
      </c>
      <c r="G3486">
        <f>IF(D3486="KEEP",COUNTIF($D$2:D3486,"KEEP"),"")</f>
        <v/>
      </c>
      <c r="H3486">
        <f>IF(D3486="REMOVE",COUNTIF($D$2:D3486,"REMOVE"),"")</f>
        <v/>
      </c>
      <c r="I3486">
        <f>IF(E3486="Gmail",COUNTIF($E$2:E3486,"Gmail"),"")</f>
        <v/>
      </c>
      <c r="J3486">
        <f>IF(E3486="Outlook",COUNTIF($E$2:E3486,"Outlook"),"")</f>
        <v/>
      </c>
      <c r="K3486">
        <f>IF(E3486="Domain",COUNTIF($E$2:E3486,"Domain"),"")</f>
        <v/>
      </c>
    </row>
    <row r="3487">
      <c r="A3487" s="2" t="n"/>
      <c r="B3487">
        <f>LOWER(TRIM(A3487))</f>
        <v/>
      </c>
      <c r="C3487">
        <f>IF(B3487="","",IFERROR(INDEX('Bad Patterns'!$A$2:$A$120,MATCH(1,INDEX(--ISNUMBER(SEARCH('Bad Patterns'!$A$2:$A$120,B3487)),0),0)),""))</f>
        <v/>
      </c>
      <c r="D3487">
        <f>IF(B3487="","",IF(C3487&lt;&gt;"","REMOVE","KEEP"))</f>
        <v/>
      </c>
      <c r="E3487">
        <f>IF(D3487&lt;&gt;"KEEP","",IF(RIGHT(B3487,10)="@gmail.com","Gmail",IF(OR(RIGHT(B3487,12)="@outlook.com",RIGHT(B3487,12)="@hotmail.com",RIGHT(B3487,9)="@live.com"),"Outlook","Domain")))</f>
        <v/>
      </c>
      <c r="F3487">
        <f>IF(B3487="","",IFERROR(RIGHT(B3487,LEN(B3487)-FIND("@",B3487)),""))</f>
        <v/>
      </c>
      <c r="G3487">
        <f>IF(D3487="KEEP",COUNTIF($D$2:D3487,"KEEP"),"")</f>
        <v/>
      </c>
      <c r="H3487">
        <f>IF(D3487="REMOVE",COUNTIF($D$2:D3487,"REMOVE"),"")</f>
        <v/>
      </c>
      <c r="I3487">
        <f>IF(E3487="Gmail",COUNTIF($E$2:E3487,"Gmail"),"")</f>
        <v/>
      </c>
      <c r="J3487">
        <f>IF(E3487="Outlook",COUNTIF($E$2:E3487,"Outlook"),"")</f>
        <v/>
      </c>
      <c r="K3487">
        <f>IF(E3487="Domain",COUNTIF($E$2:E3487,"Domain"),"")</f>
        <v/>
      </c>
    </row>
    <row r="3488">
      <c r="A3488" s="2" t="n"/>
      <c r="B3488">
        <f>LOWER(TRIM(A3488))</f>
        <v/>
      </c>
      <c r="C3488">
        <f>IF(B3488="","",IFERROR(INDEX('Bad Patterns'!$A$2:$A$120,MATCH(1,INDEX(--ISNUMBER(SEARCH('Bad Patterns'!$A$2:$A$120,B3488)),0),0)),""))</f>
        <v/>
      </c>
      <c r="D3488">
        <f>IF(B3488="","",IF(C3488&lt;&gt;"","REMOVE","KEEP"))</f>
        <v/>
      </c>
      <c r="E3488">
        <f>IF(D3488&lt;&gt;"KEEP","",IF(RIGHT(B3488,10)="@gmail.com","Gmail",IF(OR(RIGHT(B3488,12)="@outlook.com",RIGHT(B3488,12)="@hotmail.com",RIGHT(B3488,9)="@live.com"),"Outlook","Domain")))</f>
        <v/>
      </c>
      <c r="F3488">
        <f>IF(B3488="","",IFERROR(RIGHT(B3488,LEN(B3488)-FIND("@",B3488)),""))</f>
        <v/>
      </c>
      <c r="G3488">
        <f>IF(D3488="KEEP",COUNTIF($D$2:D3488,"KEEP"),"")</f>
        <v/>
      </c>
      <c r="H3488">
        <f>IF(D3488="REMOVE",COUNTIF($D$2:D3488,"REMOVE"),"")</f>
        <v/>
      </c>
      <c r="I3488">
        <f>IF(E3488="Gmail",COUNTIF($E$2:E3488,"Gmail"),"")</f>
        <v/>
      </c>
      <c r="J3488">
        <f>IF(E3488="Outlook",COUNTIF($E$2:E3488,"Outlook"),"")</f>
        <v/>
      </c>
      <c r="K3488">
        <f>IF(E3488="Domain",COUNTIF($E$2:E3488,"Domain"),"")</f>
        <v/>
      </c>
    </row>
    <row r="3489">
      <c r="A3489" s="2" t="n"/>
      <c r="B3489">
        <f>LOWER(TRIM(A3489))</f>
        <v/>
      </c>
      <c r="C3489">
        <f>IF(B3489="","",IFERROR(INDEX('Bad Patterns'!$A$2:$A$120,MATCH(1,INDEX(--ISNUMBER(SEARCH('Bad Patterns'!$A$2:$A$120,B3489)),0),0)),""))</f>
        <v/>
      </c>
      <c r="D3489">
        <f>IF(B3489="","",IF(C3489&lt;&gt;"","REMOVE","KEEP"))</f>
        <v/>
      </c>
      <c r="E3489">
        <f>IF(D3489&lt;&gt;"KEEP","",IF(RIGHT(B3489,10)="@gmail.com","Gmail",IF(OR(RIGHT(B3489,12)="@outlook.com",RIGHT(B3489,12)="@hotmail.com",RIGHT(B3489,9)="@live.com"),"Outlook","Domain")))</f>
        <v/>
      </c>
      <c r="F3489">
        <f>IF(B3489="","",IFERROR(RIGHT(B3489,LEN(B3489)-FIND("@",B3489)),""))</f>
        <v/>
      </c>
      <c r="G3489">
        <f>IF(D3489="KEEP",COUNTIF($D$2:D3489,"KEEP"),"")</f>
        <v/>
      </c>
      <c r="H3489">
        <f>IF(D3489="REMOVE",COUNTIF($D$2:D3489,"REMOVE"),"")</f>
        <v/>
      </c>
      <c r="I3489">
        <f>IF(E3489="Gmail",COUNTIF($E$2:E3489,"Gmail"),"")</f>
        <v/>
      </c>
      <c r="J3489">
        <f>IF(E3489="Outlook",COUNTIF($E$2:E3489,"Outlook"),"")</f>
        <v/>
      </c>
      <c r="K3489">
        <f>IF(E3489="Domain",COUNTIF($E$2:E3489,"Domain"),"")</f>
        <v/>
      </c>
    </row>
    <row r="3490">
      <c r="A3490" s="2" t="n"/>
      <c r="B3490">
        <f>LOWER(TRIM(A3490))</f>
        <v/>
      </c>
      <c r="C3490">
        <f>IF(B3490="","",IFERROR(INDEX('Bad Patterns'!$A$2:$A$120,MATCH(1,INDEX(--ISNUMBER(SEARCH('Bad Patterns'!$A$2:$A$120,B3490)),0),0)),""))</f>
        <v/>
      </c>
      <c r="D3490">
        <f>IF(B3490="","",IF(C3490&lt;&gt;"","REMOVE","KEEP"))</f>
        <v/>
      </c>
      <c r="E3490">
        <f>IF(D3490&lt;&gt;"KEEP","",IF(RIGHT(B3490,10)="@gmail.com","Gmail",IF(OR(RIGHT(B3490,12)="@outlook.com",RIGHT(B3490,12)="@hotmail.com",RIGHT(B3490,9)="@live.com"),"Outlook","Domain")))</f>
        <v/>
      </c>
      <c r="F3490">
        <f>IF(B3490="","",IFERROR(RIGHT(B3490,LEN(B3490)-FIND("@",B3490)),""))</f>
        <v/>
      </c>
      <c r="G3490">
        <f>IF(D3490="KEEP",COUNTIF($D$2:D3490,"KEEP"),"")</f>
        <v/>
      </c>
      <c r="H3490">
        <f>IF(D3490="REMOVE",COUNTIF($D$2:D3490,"REMOVE"),"")</f>
        <v/>
      </c>
      <c r="I3490">
        <f>IF(E3490="Gmail",COUNTIF($E$2:E3490,"Gmail"),"")</f>
        <v/>
      </c>
      <c r="J3490">
        <f>IF(E3490="Outlook",COUNTIF($E$2:E3490,"Outlook"),"")</f>
        <v/>
      </c>
      <c r="K3490">
        <f>IF(E3490="Domain",COUNTIF($E$2:E3490,"Domain"),"")</f>
        <v/>
      </c>
    </row>
    <row r="3491">
      <c r="A3491" s="2" t="n"/>
      <c r="B3491">
        <f>LOWER(TRIM(A3491))</f>
        <v/>
      </c>
      <c r="C3491">
        <f>IF(B3491="","",IFERROR(INDEX('Bad Patterns'!$A$2:$A$120,MATCH(1,INDEX(--ISNUMBER(SEARCH('Bad Patterns'!$A$2:$A$120,B3491)),0),0)),""))</f>
        <v/>
      </c>
      <c r="D3491">
        <f>IF(B3491="","",IF(C3491&lt;&gt;"","REMOVE","KEEP"))</f>
        <v/>
      </c>
      <c r="E3491">
        <f>IF(D3491&lt;&gt;"KEEP","",IF(RIGHT(B3491,10)="@gmail.com","Gmail",IF(OR(RIGHT(B3491,12)="@outlook.com",RIGHT(B3491,12)="@hotmail.com",RIGHT(B3491,9)="@live.com"),"Outlook","Domain")))</f>
        <v/>
      </c>
      <c r="F3491">
        <f>IF(B3491="","",IFERROR(RIGHT(B3491,LEN(B3491)-FIND("@",B3491)),""))</f>
        <v/>
      </c>
      <c r="G3491">
        <f>IF(D3491="KEEP",COUNTIF($D$2:D3491,"KEEP"),"")</f>
        <v/>
      </c>
      <c r="H3491">
        <f>IF(D3491="REMOVE",COUNTIF($D$2:D3491,"REMOVE"),"")</f>
        <v/>
      </c>
      <c r="I3491">
        <f>IF(E3491="Gmail",COUNTIF($E$2:E3491,"Gmail"),"")</f>
        <v/>
      </c>
      <c r="J3491">
        <f>IF(E3491="Outlook",COUNTIF($E$2:E3491,"Outlook"),"")</f>
        <v/>
      </c>
      <c r="K3491">
        <f>IF(E3491="Domain",COUNTIF($E$2:E3491,"Domain"),"")</f>
        <v/>
      </c>
    </row>
    <row r="3492">
      <c r="A3492" s="2" t="n"/>
      <c r="B3492">
        <f>LOWER(TRIM(A3492))</f>
        <v/>
      </c>
      <c r="C3492">
        <f>IF(B3492="","",IFERROR(INDEX('Bad Patterns'!$A$2:$A$120,MATCH(1,INDEX(--ISNUMBER(SEARCH('Bad Patterns'!$A$2:$A$120,B3492)),0),0)),""))</f>
        <v/>
      </c>
      <c r="D3492">
        <f>IF(B3492="","",IF(C3492&lt;&gt;"","REMOVE","KEEP"))</f>
        <v/>
      </c>
      <c r="E3492">
        <f>IF(D3492&lt;&gt;"KEEP","",IF(RIGHT(B3492,10)="@gmail.com","Gmail",IF(OR(RIGHT(B3492,12)="@outlook.com",RIGHT(B3492,12)="@hotmail.com",RIGHT(B3492,9)="@live.com"),"Outlook","Domain")))</f>
        <v/>
      </c>
      <c r="F3492">
        <f>IF(B3492="","",IFERROR(RIGHT(B3492,LEN(B3492)-FIND("@",B3492)),""))</f>
        <v/>
      </c>
      <c r="G3492">
        <f>IF(D3492="KEEP",COUNTIF($D$2:D3492,"KEEP"),"")</f>
        <v/>
      </c>
      <c r="H3492">
        <f>IF(D3492="REMOVE",COUNTIF($D$2:D3492,"REMOVE"),"")</f>
        <v/>
      </c>
      <c r="I3492">
        <f>IF(E3492="Gmail",COUNTIF($E$2:E3492,"Gmail"),"")</f>
        <v/>
      </c>
      <c r="J3492">
        <f>IF(E3492="Outlook",COUNTIF($E$2:E3492,"Outlook"),"")</f>
        <v/>
      </c>
      <c r="K3492">
        <f>IF(E3492="Domain",COUNTIF($E$2:E3492,"Domain"),"")</f>
        <v/>
      </c>
    </row>
    <row r="3493">
      <c r="A3493" s="2" t="n"/>
      <c r="B3493">
        <f>LOWER(TRIM(A3493))</f>
        <v/>
      </c>
      <c r="C3493">
        <f>IF(B3493="","",IFERROR(INDEX('Bad Patterns'!$A$2:$A$120,MATCH(1,INDEX(--ISNUMBER(SEARCH('Bad Patterns'!$A$2:$A$120,B3493)),0),0)),""))</f>
        <v/>
      </c>
      <c r="D3493">
        <f>IF(B3493="","",IF(C3493&lt;&gt;"","REMOVE","KEEP"))</f>
        <v/>
      </c>
      <c r="E3493">
        <f>IF(D3493&lt;&gt;"KEEP","",IF(RIGHT(B3493,10)="@gmail.com","Gmail",IF(OR(RIGHT(B3493,12)="@outlook.com",RIGHT(B3493,12)="@hotmail.com",RIGHT(B3493,9)="@live.com"),"Outlook","Domain")))</f>
        <v/>
      </c>
      <c r="F3493">
        <f>IF(B3493="","",IFERROR(RIGHT(B3493,LEN(B3493)-FIND("@",B3493)),""))</f>
        <v/>
      </c>
      <c r="G3493">
        <f>IF(D3493="KEEP",COUNTIF($D$2:D3493,"KEEP"),"")</f>
        <v/>
      </c>
      <c r="H3493">
        <f>IF(D3493="REMOVE",COUNTIF($D$2:D3493,"REMOVE"),"")</f>
        <v/>
      </c>
      <c r="I3493">
        <f>IF(E3493="Gmail",COUNTIF($E$2:E3493,"Gmail"),"")</f>
        <v/>
      </c>
      <c r="J3493">
        <f>IF(E3493="Outlook",COUNTIF($E$2:E3493,"Outlook"),"")</f>
        <v/>
      </c>
      <c r="K3493">
        <f>IF(E3493="Domain",COUNTIF($E$2:E3493,"Domain"),"")</f>
        <v/>
      </c>
    </row>
    <row r="3494">
      <c r="A3494" s="2" t="n"/>
      <c r="B3494">
        <f>LOWER(TRIM(A3494))</f>
        <v/>
      </c>
      <c r="C3494">
        <f>IF(B3494="","",IFERROR(INDEX('Bad Patterns'!$A$2:$A$120,MATCH(1,INDEX(--ISNUMBER(SEARCH('Bad Patterns'!$A$2:$A$120,B3494)),0),0)),""))</f>
        <v/>
      </c>
      <c r="D3494">
        <f>IF(B3494="","",IF(C3494&lt;&gt;"","REMOVE","KEEP"))</f>
        <v/>
      </c>
      <c r="E3494">
        <f>IF(D3494&lt;&gt;"KEEP","",IF(RIGHT(B3494,10)="@gmail.com","Gmail",IF(OR(RIGHT(B3494,12)="@outlook.com",RIGHT(B3494,12)="@hotmail.com",RIGHT(B3494,9)="@live.com"),"Outlook","Domain")))</f>
        <v/>
      </c>
      <c r="F3494">
        <f>IF(B3494="","",IFERROR(RIGHT(B3494,LEN(B3494)-FIND("@",B3494)),""))</f>
        <v/>
      </c>
      <c r="G3494">
        <f>IF(D3494="KEEP",COUNTIF($D$2:D3494,"KEEP"),"")</f>
        <v/>
      </c>
      <c r="H3494">
        <f>IF(D3494="REMOVE",COUNTIF($D$2:D3494,"REMOVE"),"")</f>
        <v/>
      </c>
      <c r="I3494">
        <f>IF(E3494="Gmail",COUNTIF($E$2:E3494,"Gmail"),"")</f>
        <v/>
      </c>
      <c r="J3494">
        <f>IF(E3494="Outlook",COUNTIF($E$2:E3494,"Outlook"),"")</f>
        <v/>
      </c>
      <c r="K3494">
        <f>IF(E3494="Domain",COUNTIF($E$2:E3494,"Domain"),"")</f>
        <v/>
      </c>
    </row>
    <row r="3495">
      <c r="A3495" s="2" t="n"/>
      <c r="B3495">
        <f>LOWER(TRIM(A3495))</f>
        <v/>
      </c>
      <c r="C3495">
        <f>IF(B3495="","",IFERROR(INDEX('Bad Patterns'!$A$2:$A$120,MATCH(1,INDEX(--ISNUMBER(SEARCH('Bad Patterns'!$A$2:$A$120,B3495)),0),0)),""))</f>
        <v/>
      </c>
      <c r="D3495">
        <f>IF(B3495="","",IF(C3495&lt;&gt;"","REMOVE","KEEP"))</f>
        <v/>
      </c>
      <c r="E3495">
        <f>IF(D3495&lt;&gt;"KEEP","",IF(RIGHT(B3495,10)="@gmail.com","Gmail",IF(OR(RIGHT(B3495,12)="@outlook.com",RIGHT(B3495,12)="@hotmail.com",RIGHT(B3495,9)="@live.com"),"Outlook","Domain")))</f>
        <v/>
      </c>
      <c r="F3495">
        <f>IF(B3495="","",IFERROR(RIGHT(B3495,LEN(B3495)-FIND("@",B3495)),""))</f>
        <v/>
      </c>
      <c r="G3495">
        <f>IF(D3495="KEEP",COUNTIF($D$2:D3495,"KEEP"),"")</f>
        <v/>
      </c>
      <c r="H3495">
        <f>IF(D3495="REMOVE",COUNTIF($D$2:D3495,"REMOVE"),"")</f>
        <v/>
      </c>
      <c r="I3495">
        <f>IF(E3495="Gmail",COUNTIF($E$2:E3495,"Gmail"),"")</f>
        <v/>
      </c>
      <c r="J3495">
        <f>IF(E3495="Outlook",COUNTIF($E$2:E3495,"Outlook"),"")</f>
        <v/>
      </c>
      <c r="K3495">
        <f>IF(E3495="Domain",COUNTIF($E$2:E3495,"Domain"),"")</f>
        <v/>
      </c>
    </row>
    <row r="3496">
      <c r="A3496" s="2" t="n"/>
      <c r="B3496">
        <f>LOWER(TRIM(A3496))</f>
        <v/>
      </c>
      <c r="C3496">
        <f>IF(B3496="","",IFERROR(INDEX('Bad Patterns'!$A$2:$A$120,MATCH(1,INDEX(--ISNUMBER(SEARCH('Bad Patterns'!$A$2:$A$120,B3496)),0),0)),""))</f>
        <v/>
      </c>
      <c r="D3496">
        <f>IF(B3496="","",IF(C3496&lt;&gt;"","REMOVE","KEEP"))</f>
        <v/>
      </c>
      <c r="E3496">
        <f>IF(D3496&lt;&gt;"KEEP","",IF(RIGHT(B3496,10)="@gmail.com","Gmail",IF(OR(RIGHT(B3496,12)="@outlook.com",RIGHT(B3496,12)="@hotmail.com",RIGHT(B3496,9)="@live.com"),"Outlook","Domain")))</f>
        <v/>
      </c>
      <c r="F3496">
        <f>IF(B3496="","",IFERROR(RIGHT(B3496,LEN(B3496)-FIND("@",B3496)),""))</f>
        <v/>
      </c>
      <c r="G3496">
        <f>IF(D3496="KEEP",COUNTIF($D$2:D3496,"KEEP"),"")</f>
        <v/>
      </c>
      <c r="H3496">
        <f>IF(D3496="REMOVE",COUNTIF($D$2:D3496,"REMOVE"),"")</f>
        <v/>
      </c>
      <c r="I3496">
        <f>IF(E3496="Gmail",COUNTIF($E$2:E3496,"Gmail"),"")</f>
        <v/>
      </c>
      <c r="J3496">
        <f>IF(E3496="Outlook",COUNTIF($E$2:E3496,"Outlook"),"")</f>
        <v/>
      </c>
      <c r="K3496">
        <f>IF(E3496="Domain",COUNTIF($E$2:E3496,"Domain"),"")</f>
        <v/>
      </c>
    </row>
    <row r="3497">
      <c r="A3497" s="2" t="n"/>
      <c r="B3497">
        <f>LOWER(TRIM(A3497))</f>
        <v/>
      </c>
      <c r="C3497">
        <f>IF(B3497="","",IFERROR(INDEX('Bad Patterns'!$A$2:$A$120,MATCH(1,INDEX(--ISNUMBER(SEARCH('Bad Patterns'!$A$2:$A$120,B3497)),0),0)),""))</f>
        <v/>
      </c>
      <c r="D3497">
        <f>IF(B3497="","",IF(C3497&lt;&gt;"","REMOVE","KEEP"))</f>
        <v/>
      </c>
      <c r="E3497">
        <f>IF(D3497&lt;&gt;"KEEP","",IF(RIGHT(B3497,10)="@gmail.com","Gmail",IF(OR(RIGHT(B3497,12)="@outlook.com",RIGHT(B3497,12)="@hotmail.com",RIGHT(B3497,9)="@live.com"),"Outlook","Domain")))</f>
        <v/>
      </c>
      <c r="F3497">
        <f>IF(B3497="","",IFERROR(RIGHT(B3497,LEN(B3497)-FIND("@",B3497)),""))</f>
        <v/>
      </c>
      <c r="G3497">
        <f>IF(D3497="KEEP",COUNTIF($D$2:D3497,"KEEP"),"")</f>
        <v/>
      </c>
      <c r="H3497">
        <f>IF(D3497="REMOVE",COUNTIF($D$2:D3497,"REMOVE"),"")</f>
        <v/>
      </c>
      <c r="I3497">
        <f>IF(E3497="Gmail",COUNTIF($E$2:E3497,"Gmail"),"")</f>
        <v/>
      </c>
      <c r="J3497">
        <f>IF(E3497="Outlook",COUNTIF($E$2:E3497,"Outlook"),"")</f>
        <v/>
      </c>
      <c r="K3497">
        <f>IF(E3497="Domain",COUNTIF($E$2:E3497,"Domain"),"")</f>
        <v/>
      </c>
    </row>
    <row r="3498">
      <c r="A3498" s="2" t="n"/>
      <c r="B3498">
        <f>LOWER(TRIM(A3498))</f>
        <v/>
      </c>
      <c r="C3498">
        <f>IF(B3498="","",IFERROR(INDEX('Bad Patterns'!$A$2:$A$120,MATCH(1,INDEX(--ISNUMBER(SEARCH('Bad Patterns'!$A$2:$A$120,B3498)),0),0)),""))</f>
        <v/>
      </c>
      <c r="D3498">
        <f>IF(B3498="","",IF(C3498&lt;&gt;"","REMOVE","KEEP"))</f>
        <v/>
      </c>
      <c r="E3498">
        <f>IF(D3498&lt;&gt;"KEEP","",IF(RIGHT(B3498,10)="@gmail.com","Gmail",IF(OR(RIGHT(B3498,12)="@outlook.com",RIGHT(B3498,12)="@hotmail.com",RIGHT(B3498,9)="@live.com"),"Outlook","Domain")))</f>
        <v/>
      </c>
      <c r="F3498">
        <f>IF(B3498="","",IFERROR(RIGHT(B3498,LEN(B3498)-FIND("@",B3498)),""))</f>
        <v/>
      </c>
      <c r="G3498">
        <f>IF(D3498="KEEP",COUNTIF($D$2:D3498,"KEEP"),"")</f>
        <v/>
      </c>
      <c r="H3498">
        <f>IF(D3498="REMOVE",COUNTIF($D$2:D3498,"REMOVE"),"")</f>
        <v/>
      </c>
      <c r="I3498">
        <f>IF(E3498="Gmail",COUNTIF($E$2:E3498,"Gmail"),"")</f>
        <v/>
      </c>
      <c r="J3498">
        <f>IF(E3498="Outlook",COUNTIF($E$2:E3498,"Outlook"),"")</f>
        <v/>
      </c>
      <c r="K3498">
        <f>IF(E3498="Domain",COUNTIF($E$2:E3498,"Domain"),"")</f>
        <v/>
      </c>
    </row>
    <row r="3499">
      <c r="A3499" s="2" t="n"/>
      <c r="B3499">
        <f>LOWER(TRIM(A3499))</f>
        <v/>
      </c>
      <c r="C3499">
        <f>IF(B3499="","",IFERROR(INDEX('Bad Patterns'!$A$2:$A$120,MATCH(1,INDEX(--ISNUMBER(SEARCH('Bad Patterns'!$A$2:$A$120,B3499)),0),0)),""))</f>
        <v/>
      </c>
      <c r="D3499">
        <f>IF(B3499="","",IF(C3499&lt;&gt;"","REMOVE","KEEP"))</f>
        <v/>
      </c>
      <c r="E3499">
        <f>IF(D3499&lt;&gt;"KEEP","",IF(RIGHT(B3499,10)="@gmail.com","Gmail",IF(OR(RIGHT(B3499,12)="@outlook.com",RIGHT(B3499,12)="@hotmail.com",RIGHT(B3499,9)="@live.com"),"Outlook","Domain")))</f>
        <v/>
      </c>
      <c r="F3499">
        <f>IF(B3499="","",IFERROR(RIGHT(B3499,LEN(B3499)-FIND("@",B3499)),""))</f>
        <v/>
      </c>
      <c r="G3499">
        <f>IF(D3499="KEEP",COUNTIF($D$2:D3499,"KEEP"),"")</f>
        <v/>
      </c>
      <c r="H3499">
        <f>IF(D3499="REMOVE",COUNTIF($D$2:D3499,"REMOVE"),"")</f>
        <v/>
      </c>
      <c r="I3499">
        <f>IF(E3499="Gmail",COUNTIF($E$2:E3499,"Gmail"),"")</f>
        <v/>
      </c>
      <c r="J3499">
        <f>IF(E3499="Outlook",COUNTIF($E$2:E3499,"Outlook"),"")</f>
        <v/>
      </c>
      <c r="K3499">
        <f>IF(E3499="Domain",COUNTIF($E$2:E3499,"Domain"),"")</f>
        <v/>
      </c>
    </row>
    <row r="3500">
      <c r="A3500" s="2" t="n"/>
      <c r="B3500">
        <f>LOWER(TRIM(A3500))</f>
        <v/>
      </c>
      <c r="C3500">
        <f>IF(B3500="","",IFERROR(INDEX('Bad Patterns'!$A$2:$A$120,MATCH(1,INDEX(--ISNUMBER(SEARCH('Bad Patterns'!$A$2:$A$120,B3500)),0),0)),""))</f>
        <v/>
      </c>
      <c r="D3500">
        <f>IF(B3500="","",IF(C3500&lt;&gt;"","REMOVE","KEEP"))</f>
        <v/>
      </c>
      <c r="E3500">
        <f>IF(D3500&lt;&gt;"KEEP","",IF(RIGHT(B3500,10)="@gmail.com","Gmail",IF(OR(RIGHT(B3500,12)="@outlook.com",RIGHT(B3500,12)="@hotmail.com",RIGHT(B3500,9)="@live.com"),"Outlook","Domain")))</f>
        <v/>
      </c>
      <c r="F3500">
        <f>IF(B3500="","",IFERROR(RIGHT(B3500,LEN(B3500)-FIND("@",B3500)),""))</f>
        <v/>
      </c>
      <c r="G3500">
        <f>IF(D3500="KEEP",COUNTIF($D$2:D3500,"KEEP"),"")</f>
        <v/>
      </c>
      <c r="H3500">
        <f>IF(D3500="REMOVE",COUNTIF($D$2:D3500,"REMOVE"),"")</f>
        <v/>
      </c>
      <c r="I3500">
        <f>IF(E3500="Gmail",COUNTIF($E$2:E3500,"Gmail"),"")</f>
        <v/>
      </c>
      <c r="J3500">
        <f>IF(E3500="Outlook",COUNTIF($E$2:E3500,"Outlook"),"")</f>
        <v/>
      </c>
      <c r="K3500">
        <f>IF(E3500="Domain",COUNTIF($E$2:E3500,"Domain"),"")</f>
        <v/>
      </c>
    </row>
    <row r="3501">
      <c r="A3501" s="2" t="n"/>
      <c r="B3501">
        <f>LOWER(TRIM(A3501))</f>
        <v/>
      </c>
      <c r="C3501">
        <f>IF(B3501="","",IFERROR(INDEX('Bad Patterns'!$A$2:$A$120,MATCH(1,INDEX(--ISNUMBER(SEARCH('Bad Patterns'!$A$2:$A$120,B3501)),0),0)),""))</f>
        <v/>
      </c>
      <c r="D3501">
        <f>IF(B3501="","",IF(C3501&lt;&gt;"","REMOVE","KEEP"))</f>
        <v/>
      </c>
      <c r="E3501">
        <f>IF(D3501&lt;&gt;"KEEP","",IF(RIGHT(B3501,10)="@gmail.com","Gmail",IF(OR(RIGHT(B3501,12)="@outlook.com",RIGHT(B3501,12)="@hotmail.com",RIGHT(B3501,9)="@live.com"),"Outlook","Domain")))</f>
        <v/>
      </c>
      <c r="F3501">
        <f>IF(B3501="","",IFERROR(RIGHT(B3501,LEN(B3501)-FIND("@",B3501)),""))</f>
        <v/>
      </c>
      <c r="G3501">
        <f>IF(D3501="KEEP",COUNTIF($D$2:D3501,"KEEP"),"")</f>
        <v/>
      </c>
      <c r="H3501">
        <f>IF(D3501="REMOVE",COUNTIF($D$2:D3501,"REMOVE"),"")</f>
        <v/>
      </c>
      <c r="I3501">
        <f>IF(E3501="Gmail",COUNTIF($E$2:E3501,"Gmail"),"")</f>
        <v/>
      </c>
      <c r="J3501">
        <f>IF(E3501="Outlook",COUNTIF($E$2:E3501,"Outlook"),"")</f>
        <v/>
      </c>
      <c r="K3501">
        <f>IF(E3501="Domain",COUNTIF($E$2:E3501,"Domain"),"")</f>
        <v/>
      </c>
    </row>
    <row r="3502">
      <c r="A3502" s="2" t="n"/>
      <c r="B3502">
        <f>LOWER(TRIM(A3502))</f>
        <v/>
      </c>
      <c r="C3502">
        <f>IF(B3502="","",IFERROR(INDEX('Bad Patterns'!$A$2:$A$120,MATCH(1,INDEX(--ISNUMBER(SEARCH('Bad Patterns'!$A$2:$A$120,B3502)),0),0)),""))</f>
        <v/>
      </c>
      <c r="D3502">
        <f>IF(B3502="","",IF(C3502&lt;&gt;"","REMOVE","KEEP"))</f>
        <v/>
      </c>
      <c r="E3502">
        <f>IF(D3502&lt;&gt;"KEEP","",IF(RIGHT(B3502,10)="@gmail.com","Gmail",IF(OR(RIGHT(B3502,12)="@outlook.com",RIGHT(B3502,12)="@hotmail.com",RIGHT(B3502,9)="@live.com"),"Outlook","Domain")))</f>
        <v/>
      </c>
      <c r="F3502">
        <f>IF(B3502="","",IFERROR(RIGHT(B3502,LEN(B3502)-FIND("@",B3502)),""))</f>
        <v/>
      </c>
      <c r="G3502">
        <f>IF(D3502="KEEP",COUNTIF($D$2:D3502,"KEEP"),"")</f>
        <v/>
      </c>
      <c r="H3502">
        <f>IF(D3502="REMOVE",COUNTIF($D$2:D3502,"REMOVE"),"")</f>
        <v/>
      </c>
      <c r="I3502">
        <f>IF(E3502="Gmail",COUNTIF($E$2:E3502,"Gmail"),"")</f>
        <v/>
      </c>
      <c r="J3502">
        <f>IF(E3502="Outlook",COUNTIF($E$2:E3502,"Outlook"),"")</f>
        <v/>
      </c>
      <c r="K3502">
        <f>IF(E3502="Domain",COUNTIF($E$2:E3502,"Domain"),"")</f>
        <v/>
      </c>
    </row>
    <row r="3503">
      <c r="A3503" s="2" t="n"/>
      <c r="B3503">
        <f>LOWER(TRIM(A3503))</f>
        <v/>
      </c>
      <c r="C3503">
        <f>IF(B3503="","",IFERROR(INDEX('Bad Patterns'!$A$2:$A$120,MATCH(1,INDEX(--ISNUMBER(SEARCH('Bad Patterns'!$A$2:$A$120,B3503)),0),0)),""))</f>
        <v/>
      </c>
      <c r="D3503">
        <f>IF(B3503="","",IF(C3503&lt;&gt;"","REMOVE","KEEP"))</f>
        <v/>
      </c>
      <c r="E3503">
        <f>IF(D3503&lt;&gt;"KEEP","",IF(RIGHT(B3503,10)="@gmail.com","Gmail",IF(OR(RIGHT(B3503,12)="@outlook.com",RIGHT(B3503,12)="@hotmail.com",RIGHT(B3503,9)="@live.com"),"Outlook","Domain")))</f>
        <v/>
      </c>
      <c r="F3503">
        <f>IF(B3503="","",IFERROR(RIGHT(B3503,LEN(B3503)-FIND("@",B3503)),""))</f>
        <v/>
      </c>
      <c r="G3503">
        <f>IF(D3503="KEEP",COUNTIF($D$2:D3503,"KEEP"),"")</f>
        <v/>
      </c>
      <c r="H3503">
        <f>IF(D3503="REMOVE",COUNTIF($D$2:D3503,"REMOVE"),"")</f>
        <v/>
      </c>
      <c r="I3503">
        <f>IF(E3503="Gmail",COUNTIF($E$2:E3503,"Gmail"),"")</f>
        <v/>
      </c>
      <c r="J3503">
        <f>IF(E3503="Outlook",COUNTIF($E$2:E3503,"Outlook"),"")</f>
        <v/>
      </c>
      <c r="K3503">
        <f>IF(E3503="Domain",COUNTIF($E$2:E3503,"Domain"),"")</f>
        <v/>
      </c>
    </row>
    <row r="3504">
      <c r="A3504" s="2" t="n"/>
      <c r="B3504">
        <f>LOWER(TRIM(A3504))</f>
        <v/>
      </c>
      <c r="C3504">
        <f>IF(B3504="","",IFERROR(INDEX('Bad Patterns'!$A$2:$A$120,MATCH(1,INDEX(--ISNUMBER(SEARCH('Bad Patterns'!$A$2:$A$120,B3504)),0),0)),""))</f>
        <v/>
      </c>
      <c r="D3504">
        <f>IF(B3504="","",IF(C3504&lt;&gt;"","REMOVE","KEEP"))</f>
        <v/>
      </c>
      <c r="E3504">
        <f>IF(D3504&lt;&gt;"KEEP","",IF(RIGHT(B3504,10)="@gmail.com","Gmail",IF(OR(RIGHT(B3504,12)="@outlook.com",RIGHT(B3504,12)="@hotmail.com",RIGHT(B3504,9)="@live.com"),"Outlook","Domain")))</f>
        <v/>
      </c>
      <c r="F3504">
        <f>IF(B3504="","",IFERROR(RIGHT(B3504,LEN(B3504)-FIND("@",B3504)),""))</f>
        <v/>
      </c>
      <c r="G3504">
        <f>IF(D3504="KEEP",COUNTIF($D$2:D3504,"KEEP"),"")</f>
        <v/>
      </c>
      <c r="H3504">
        <f>IF(D3504="REMOVE",COUNTIF($D$2:D3504,"REMOVE"),"")</f>
        <v/>
      </c>
      <c r="I3504">
        <f>IF(E3504="Gmail",COUNTIF($E$2:E3504,"Gmail"),"")</f>
        <v/>
      </c>
      <c r="J3504">
        <f>IF(E3504="Outlook",COUNTIF($E$2:E3504,"Outlook"),"")</f>
        <v/>
      </c>
      <c r="K3504">
        <f>IF(E3504="Domain",COUNTIF($E$2:E3504,"Domain"),"")</f>
        <v/>
      </c>
    </row>
    <row r="3505">
      <c r="A3505" s="2" t="n"/>
      <c r="B3505">
        <f>LOWER(TRIM(A3505))</f>
        <v/>
      </c>
      <c r="C3505">
        <f>IF(B3505="","",IFERROR(INDEX('Bad Patterns'!$A$2:$A$120,MATCH(1,INDEX(--ISNUMBER(SEARCH('Bad Patterns'!$A$2:$A$120,B3505)),0),0)),""))</f>
        <v/>
      </c>
      <c r="D3505">
        <f>IF(B3505="","",IF(C3505&lt;&gt;"","REMOVE","KEEP"))</f>
        <v/>
      </c>
      <c r="E3505">
        <f>IF(D3505&lt;&gt;"KEEP","",IF(RIGHT(B3505,10)="@gmail.com","Gmail",IF(OR(RIGHT(B3505,12)="@outlook.com",RIGHT(B3505,12)="@hotmail.com",RIGHT(B3505,9)="@live.com"),"Outlook","Domain")))</f>
        <v/>
      </c>
      <c r="F3505">
        <f>IF(B3505="","",IFERROR(RIGHT(B3505,LEN(B3505)-FIND("@",B3505)),""))</f>
        <v/>
      </c>
      <c r="G3505">
        <f>IF(D3505="KEEP",COUNTIF($D$2:D3505,"KEEP"),"")</f>
        <v/>
      </c>
      <c r="H3505">
        <f>IF(D3505="REMOVE",COUNTIF($D$2:D3505,"REMOVE"),"")</f>
        <v/>
      </c>
      <c r="I3505">
        <f>IF(E3505="Gmail",COUNTIF($E$2:E3505,"Gmail"),"")</f>
        <v/>
      </c>
      <c r="J3505">
        <f>IF(E3505="Outlook",COUNTIF($E$2:E3505,"Outlook"),"")</f>
        <v/>
      </c>
      <c r="K3505">
        <f>IF(E3505="Domain",COUNTIF($E$2:E3505,"Domain"),"")</f>
        <v/>
      </c>
    </row>
    <row r="3506">
      <c r="A3506" s="2" t="n"/>
      <c r="B3506">
        <f>LOWER(TRIM(A3506))</f>
        <v/>
      </c>
      <c r="C3506">
        <f>IF(B3506="","",IFERROR(INDEX('Bad Patterns'!$A$2:$A$120,MATCH(1,INDEX(--ISNUMBER(SEARCH('Bad Patterns'!$A$2:$A$120,B3506)),0),0)),""))</f>
        <v/>
      </c>
      <c r="D3506">
        <f>IF(B3506="","",IF(C3506&lt;&gt;"","REMOVE","KEEP"))</f>
        <v/>
      </c>
      <c r="E3506">
        <f>IF(D3506&lt;&gt;"KEEP","",IF(RIGHT(B3506,10)="@gmail.com","Gmail",IF(OR(RIGHT(B3506,12)="@outlook.com",RIGHT(B3506,12)="@hotmail.com",RIGHT(B3506,9)="@live.com"),"Outlook","Domain")))</f>
        <v/>
      </c>
      <c r="F3506">
        <f>IF(B3506="","",IFERROR(RIGHT(B3506,LEN(B3506)-FIND("@",B3506)),""))</f>
        <v/>
      </c>
      <c r="G3506">
        <f>IF(D3506="KEEP",COUNTIF($D$2:D3506,"KEEP"),"")</f>
        <v/>
      </c>
      <c r="H3506">
        <f>IF(D3506="REMOVE",COUNTIF($D$2:D3506,"REMOVE"),"")</f>
        <v/>
      </c>
      <c r="I3506">
        <f>IF(E3506="Gmail",COUNTIF($E$2:E3506,"Gmail"),"")</f>
        <v/>
      </c>
      <c r="J3506">
        <f>IF(E3506="Outlook",COUNTIF($E$2:E3506,"Outlook"),"")</f>
        <v/>
      </c>
      <c r="K3506">
        <f>IF(E3506="Domain",COUNTIF($E$2:E3506,"Domain"),"")</f>
        <v/>
      </c>
    </row>
    <row r="3507">
      <c r="A3507" s="2" t="n"/>
      <c r="B3507">
        <f>LOWER(TRIM(A3507))</f>
        <v/>
      </c>
      <c r="C3507">
        <f>IF(B3507="","",IFERROR(INDEX('Bad Patterns'!$A$2:$A$120,MATCH(1,INDEX(--ISNUMBER(SEARCH('Bad Patterns'!$A$2:$A$120,B3507)),0),0)),""))</f>
        <v/>
      </c>
      <c r="D3507">
        <f>IF(B3507="","",IF(C3507&lt;&gt;"","REMOVE","KEEP"))</f>
        <v/>
      </c>
      <c r="E3507">
        <f>IF(D3507&lt;&gt;"KEEP","",IF(RIGHT(B3507,10)="@gmail.com","Gmail",IF(OR(RIGHT(B3507,12)="@outlook.com",RIGHT(B3507,12)="@hotmail.com",RIGHT(B3507,9)="@live.com"),"Outlook","Domain")))</f>
        <v/>
      </c>
      <c r="F3507">
        <f>IF(B3507="","",IFERROR(RIGHT(B3507,LEN(B3507)-FIND("@",B3507)),""))</f>
        <v/>
      </c>
      <c r="G3507">
        <f>IF(D3507="KEEP",COUNTIF($D$2:D3507,"KEEP"),"")</f>
        <v/>
      </c>
      <c r="H3507">
        <f>IF(D3507="REMOVE",COUNTIF($D$2:D3507,"REMOVE"),"")</f>
        <v/>
      </c>
      <c r="I3507">
        <f>IF(E3507="Gmail",COUNTIF($E$2:E3507,"Gmail"),"")</f>
        <v/>
      </c>
      <c r="J3507">
        <f>IF(E3507="Outlook",COUNTIF($E$2:E3507,"Outlook"),"")</f>
        <v/>
      </c>
      <c r="K3507">
        <f>IF(E3507="Domain",COUNTIF($E$2:E3507,"Domain"),"")</f>
        <v/>
      </c>
    </row>
    <row r="3508">
      <c r="A3508" s="2" t="n"/>
      <c r="B3508">
        <f>LOWER(TRIM(A3508))</f>
        <v/>
      </c>
      <c r="C3508">
        <f>IF(B3508="","",IFERROR(INDEX('Bad Patterns'!$A$2:$A$120,MATCH(1,INDEX(--ISNUMBER(SEARCH('Bad Patterns'!$A$2:$A$120,B3508)),0),0)),""))</f>
        <v/>
      </c>
      <c r="D3508">
        <f>IF(B3508="","",IF(C3508&lt;&gt;"","REMOVE","KEEP"))</f>
        <v/>
      </c>
      <c r="E3508">
        <f>IF(D3508&lt;&gt;"KEEP","",IF(RIGHT(B3508,10)="@gmail.com","Gmail",IF(OR(RIGHT(B3508,12)="@outlook.com",RIGHT(B3508,12)="@hotmail.com",RIGHT(B3508,9)="@live.com"),"Outlook","Domain")))</f>
        <v/>
      </c>
      <c r="F3508">
        <f>IF(B3508="","",IFERROR(RIGHT(B3508,LEN(B3508)-FIND("@",B3508)),""))</f>
        <v/>
      </c>
      <c r="G3508">
        <f>IF(D3508="KEEP",COUNTIF($D$2:D3508,"KEEP"),"")</f>
        <v/>
      </c>
      <c r="H3508">
        <f>IF(D3508="REMOVE",COUNTIF($D$2:D3508,"REMOVE"),"")</f>
        <v/>
      </c>
      <c r="I3508">
        <f>IF(E3508="Gmail",COUNTIF($E$2:E3508,"Gmail"),"")</f>
        <v/>
      </c>
      <c r="J3508">
        <f>IF(E3508="Outlook",COUNTIF($E$2:E3508,"Outlook"),"")</f>
        <v/>
      </c>
      <c r="K3508">
        <f>IF(E3508="Domain",COUNTIF($E$2:E3508,"Domain"),"")</f>
        <v/>
      </c>
    </row>
    <row r="3509">
      <c r="A3509" s="2" t="n"/>
      <c r="B3509">
        <f>LOWER(TRIM(A3509))</f>
        <v/>
      </c>
      <c r="C3509">
        <f>IF(B3509="","",IFERROR(INDEX('Bad Patterns'!$A$2:$A$120,MATCH(1,INDEX(--ISNUMBER(SEARCH('Bad Patterns'!$A$2:$A$120,B3509)),0),0)),""))</f>
        <v/>
      </c>
      <c r="D3509">
        <f>IF(B3509="","",IF(C3509&lt;&gt;"","REMOVE","KEEP"))</f>
        <v/>
      </c>
      <c r="E3509">
        <f>IF(D3509&lt;&gt;"KEEP","",IF(RIGHT(B3509,10)="@gmail.com","Gmail",IF(OR(RIGHT(B3509,12)="@outlook.com",RIGHT(B3509,12)="@hotmail.com",RIGHT(B3509,9)="@live.com"),"Outlook","Domain")))</f>
        <v/>
      </c>
      <c r="F3509">
        <f>IF(B3509="","",IFERROR(RIGHT(B3509,LEN(B3509)-FIND("@",B3509)),""))</f>
        <v/>
      </c>
      <c r="G3509">
        <f>IF(D3509="KEEP",COUNTIF($D$2:D3509,"KEEP"),"")</f>
        <v/>
      </c>
      <c r="H3509">
        <f>IF(D3509="REMOVE",COUNTIF($D$2:D3509,"REMOVE"),"")</f>
        <v/>
      </c>
      <c r="I3509">
        <f>IF(E3509="Gmail",COUNTIF($E$2:E3509,"Gmail"),"")</f>
        <v/>
      </c>
      <c r="J3509">
        <f>IF(E3509="Outlook",COUNTIF($E$2:E3509,"Outlook"),"")</f>
        <v/>
      </c>
      <c r="K3509">
        <f>IF(E3509="Domain",COUNTIF($E$2:E3509,"Domain"),"")</f>
        <v/>
      </c>
    </row>
    <row r="3510">
      <c r="A3510" s="2" t="n"/>
      <c r="B3510">
        <f>LOWER(TRIM(A3510))</f>
        <v/>
      </c>
      <c r="C3510">
        <f>IF(B3510="","",IFERROR(INDEX('Bad Patterns'!$A$2:$A$120,MATCH(1,INDEX(--ISNUMBER(SEARCH('Bad Patterns'!$A$2:$A$120,B3510)),0),0)),""))</f>
        <v/>
      </c>
      <c r="D3510">
        <f>IF(B3510="","",IF(C3510&lt;&gt;"","REMOVE","KEEP"))</f>
        <v/>
      </c>
      <c r="E3510">
        <f>IF(D3510&lt;&gt;"KEEP","",IF(RIGHT(B3510,10)="@gmail.com","Gmail",IF(OR(RIGHT(B3510,12)="@outlook.com",RIGHT(B3510,12)="@hotmail.com",RIGHT(B3510,9)="@live.com"),"Outlook","Domain")))</f>
        <v/>
      </c>
      <c r="F3510">
        <f>IF(B3510="","",IFERROR(RIGHT(B3510,LEN(B3510)-FIND("@",B3510)),""))</f>
        <v/>
      </c>
      <c r="G3510">
        <f>IF(D3510="KEEP",COUNTIF($D$2:D3510,"KEEP"),"")</f>
        <v/>
      </c>
      <c r="H3510">
        <f>IF(D3510="REMOVE",COUNTIF($D$2:D3510,"REMOVE"),"")</f>
        <v/>
      </c>
      <c r="I3510">
        <f>IF(E3510="Gmail",COUNTIF($E$2:E3510,"Gmail"),"")</f>
        <v/>
      </c>
      <c r="J3510">
        <f>IF(E3510="Outlook",COUNTIF($E$2:E3510,"Outlook"),"")</f>
        <v/>
      </c>
      <c r="K3510">
        <f>IF(E3510="Domain",COUNTIF($E$2:E3510,"Domain"),"")</f>
        <v/>
      </c>
    </row>
    <row r="3511">
      <c r="A3511" s="2" t="n"/>
      <c r="B3511">
        <f>LOWER(TRIM(A3511))</f>
        <v/>
      </c>
      <c r="C3511">
        <f>IF(B3511="","",IFERROR(INDEX('Bad Patterns'!$A$2:$A$120,MATCH(1,INDEX(--ISNUMBER(SEARCH('Bad Patterns'!$A$2:$A$120,B3511)),0),0)),""))</f>
        <v/>
      </c>
      <c r="D3511">
        <f>IF(B3511="","",IF(C3511&lt;&gt;"","REMOVE","KEEP"))</f>
        <v/>
      </c>
      <c r="E3511">
        <f>IF(D3511&lt;&gt;"KEEP","",IF(RIGHT(B3511,10)="@gmail.com","Gmail",IF(OR(RIGHT(B3511,12)="@outlook.com",RIGHT(B3511,12)="@hotmail.com",RIGHT(B3511,9)="@live.com"),"Outlook","Domain")))</f>
        <v/>
      </c>
      <c r="F3511">
        <f>IF(B3511="","",IFERROR(RIGHT(B3511,LEN(B3511)-FIND("@",B3511)),""))</f>
        <v/>
      </c>
      <c r="G3511">
        <f>IF(D3511="KEEP",COUNTIF($D$2:D3511,"KEEP"),"")</f>
        <v/>
      </c>
      <c r="H3511">
        <f>IF(D3511="REMOVE",COUNTIF($D$2:D3511,"REMOVE"),"")</f>
        <v/>
      </c>
      <c r="I3511">
        <f>IF(E3511="Gmail",COUNTIF($E$2:E3511,"Gmail"),"")</f>
        <v/>
      </c>
      <c r="J3511">
        <f>IF(E3511="Outlook",COUNTIF($E$2:E3511,"Outlook"),"")</f>
        <v/>
      </c>
      <c r="K3511">
        <f>IF(E3511="Domain",COUNTIF($E$2:E3511,"Domain"),"")</f>
        <v/>
      </c>
    </row>
    <row r="3512">
      <c r="A3512" s="2" t="n"/>
      <c r="B3512">
        <f>LOWER(TRIM(A3512))</f>
        <v/>
      </c>
      <c r="C3512">
        <f>IF(B3512="","",IFERROR(INDEX('Bad Patterns'!$A$2:$A$120,MATCH(1,INDEX(--ISNUMBER(SEARCH('Bad Patterns'!$A$2:$A$120,B3512)),0),0)),""))</f>
        <v/>
      </c>
      <c r="D3512">
        <f>IF(B3512="","",IF(C3512&lt;&gt;"","REMOVE","KEEP"))</f>
        <v/>
      </c>
      <c r="E3512">
        <f>IF(D3512&lt;&gt;"KEEP","",IF(RIGHT(B3512,10)="@gmail.com","Gmail",IF(OR(RIGHT(B3512,12)="@outlook.com",RIGHT(B3512,12)="@hotmail.com",RIGHT(B3512,9)="@live.com"),"Outlook","Domain")))</f>
        <v/>
      </c>
      <c r="F3512">
        <f>IF(B3512="","",IFERROR(RIGHT(B3512,LEN(B3512)-FIND("@",B3512)),""))</f>
        <v/>
      </c>
      <c r="G3512">
        <f>IF(D3512="KEEP",COUNTIF($D$2:D3512,"KEEP"),"")</f>
        <v/>
      </c>
      <c r="H3512">
        <f>IF(D3512="REMOVE",COUNTIF($D$2:D3512,"REMOVE"),"")</f>
        <v/>
      </c>
      <c r="I3512">
        <f>IF(E3512="Gmail",COUNTIF($E$2:E3512,"Gmail"),"")</f>
        <v/>
      </c>
      <c r="J3512">
        <f>IF(E3512="Outlook",COUNTIF($E$2:E3512,"Outlook"),"")</f>
        <v/>
      </c>
      <c r="K3512">
        <f>IF(E3512="Domain",COUNTIF($E$2:E3512,"Domain"),"")</f>
        <v/>
      </c>
    </row>
    <row r="3513">
      <c r="A3513" s="2" t="n"/>
      <c r="B3513">
        <f>LOWER(TRIM(A3513))</f>
        <v/>
      </c>
      <c r="C3513">
        <f>IF(B3513="","",IFERROR(INDEX('Bad Patterns'!$A$2:$A$120,MATCH(1,INDEX(--ISNUMBER(SEARCH('Bad Patterns'!$A$2:$A$120,B3513)),0),0)),""))</f>
        <v/>
      </c>
      <c r="D3513">
        <f>IF(B3513="","",IF(C3513&lt;&gt;"","REMOVE","KEEP"))</f>
        <v/>
      </c>
      <c r="E3513">
        <f>IF(D3513&lt;&gt;"KEEP","",IF(RIGHT(B3513,10)="@gmail.com","Gmail",IF(OR(RIGHT(B3513,12)="@outlook.com",RIGHT(B3513,12)="@hotmail.com",RIGHT(B3513,9)="@live.com"),"Outlook","Domain")))</f>
        <v/>
      </c>
      <c r="F3513">
        <f>IF(B3513="","",IFERROR(RIGHT(B3513,LEN(B3513)-FIND("@",B3513)),""))</f>
        <v/>
      </c>
      <c r="G3513">
        <f>IF(D3513="KEEP",COUNTIF($D$2:D3513,"KEEP"),"")</f>
        <v/>
      </c>
      <c r="H3513">
        <f>IF(D3513="REMOVE",COUNTIF($D$2:D3513,"REMOVE"),"")</f>
        <v/>
      </c>
      <c r="I3513">
        <f>IF(E3513="Gmail",COUNTIF($E$2:E3513,"Gmail"),"")</f>
        <v/>
      </c>
      <c r="J3513">
        <f>IF(E3513="Outlook",COUNTIF($E$2:E3513,"Outlook"),"")</f>
        <v/>
      </c>
      <c r="K3513">
        <f>IF(E3513="Domain",COUNTIF($E$2:E3513,"Domain"),"")</f>
        <v/>
      </c>
    </row>
    <row r="3514">
      <c r="A3514" s="2" t="n"/>
      <c r="B3514">
        <f>LOWER(TRIM(A3514))</f>
        <v/>
      </c>
      <c r="C3514">
        <f>IF(B3514="","",IFERROR(INDEX('Bad Patterns'!$A$2:$A$120,MATCH(1,INDEX(--ISNUMBER(SEARCH('Bad Patterns'!$A$2:$A$120,B3514)),0),0)),""))</f>
        <v/>
      </c>
      <c r="D3514">
        <f>IF(B3514="","",IF(C3514&lt;&gt;"","REMOVE","KEEP"))</f>
        <v/>
      </c>
      <c r="E3514">
        <f>IF(D3514&lt;&gt;"KEEP","",IF(RIGHT(B3514,10)="@gmail.com","Gmail",IF(OR(RIGHT(B3514,12)="@outlook.com",RIGHT(B3514,12)="@hotmail.com",RIGHT(B3514,9)="@live.com"),"Outlook","Domain")))</f>
        <v/>
      </c>
      <c r="F3514">
        <f>IF(B3514="","",IFERROR(RIGHT(B3514,LEN(B3514)-FIND("@",B3514)),""))</f>
        <v/>
      </c>
      <c r="G3514">
        <f>IF(D3514="KEEP",COUNTIF($D$2:D3514,"KEEP"),"")</f>
        <v/>
      </c>
      <c r="H3514">
        <f>IF(D3514="REMOVE",COUNTIF($D$2:D3514,"REMOVE"),"")</f>
        <v/>
      </c>
      <c r="I3514">
        <f>IF(E3514="Gmail",COUNTIF($E$2:E3514,"Gmail"),"")</f>
        <v/>
      </c>
      <c r="J3514">
        <f>IF(E3514="Outlook",COUNTIF($E$2:E3514,"Outlook"),"")</f>
        <v/>
      </c>
      <c r="K3514">
        <f>IF(E3514="Domain",COUNTIF($E$2:E3514,"Domain"),"")</f>
        <v/>
      </c>
    </row>
    <row r="3515">
      <c r="A3515" s="2" t="n"/>
      <c r="B3515">
        <f>LOWER(TRIM(A3515))</f>
        <v/>
      </c>
      <c r="C3515">
        <f>IF(B3515="","",IFERROR(INDEX('Bad Patterns'!$A$2:$A$120,MATCH(1,INDEX(--ISNUMBER(SEARCH('Bad Patterns'!$A$2:$A$120,B3515)),0),0)),""))</f>
        <v/>
      </c>
      <c r="D3515">
        <f>IF(B3515="","",IF(C3515&lt;&gt;"","REMOVE","KEEP"))</f>
        <v/>
      </c>
      <c r="E3515">
        <f>IF(D3515&lt;&gt;"KEEP","",IF(RIGHT(B3515,10)="@gmail.com","Gmail",IF(OR(RIGHT(B3515,12)="@outlook.com",RIGHT(B3515,12)="@hotmail.com",RIGHT(B3515,9)="@live.com"),"Outlook","Domain")))</f>
        <v/>
      </c>
      <c r="F3515">
        <f>IF(B3515="","",IFERROR(RIGHT(B3515,LEN(B3515)-FIND("@",B3515)),""))</f>
        <v/>
      </c>
      <c r="G3515">
        <f>IF(D3515="KEEP",COUNTIF($D$2:D3515,"KEEP"),"")</f>
        <v/>
      </c>
      <c r="H3515">
        <f>IF(D3515="REMOVE",COUNTIF($D$2:D3515,"REMOVE"),"")</f>
        <v/>
      </c>
      <c r="I3515">
        <f>IF(E3515="Gmail",COUNTIF($E$2:E3515,"Gmail"),"")</f>
        <v/>
      </c>
      <c r="J3515">
        <f>IF(E3515="Outlook",COUNTIF($E$2:E3515,"Outlook"),"")</f>
        <v/>
      </c>
      <c r="K3515">
        <f>IF(E3515="Domain",COUNTIF($E$2:E3515,"Domain"),"")</f>
        <v/>
      </c>
    </row>
    <row r="3516">
      <c r="A3516" s="2" t="n"/>
      <c r="B3516">
        <f>LOWER(TRIM(A3516))</f>
        <v/>
      </c>
      <c r="C3516">
        <f>IF(B3516="","",IFERROR(INDEX('Bad Patterns'!$A$2:$A$120,MATCH(1,INDEX(--ISNUMBER(SEARCH('Bad Patterns'!$A$2:$A$120,B3516)),0),0)),""))</f>
        <v/>
      </c>
      <c r="D3516">
        <f>IF(B3516="","",IF(C3516&lt;&gt;"","REMOVE","KEEP"))</f>
        <v/>
      </c>
      <c r="E3516">
        <f>IF(D3516&lt;&gt;"KEEP","",IF(RIGHT(B3516,10)="@gmail.com","Gmail",IF(OR(RIGHT(B3516,12)="@outlook.com",RIGHT(B3516,12)="@hotmail.com",RIGHT(B3516,9)="@live.com"),"Outlook","Domain")))</f>
        <v/>
      </c>
      <c r="F3516">
        <f>IF(B3516="","",IFERROR(RIGHT(B3516,LEN(B3516)-FIND("@",B3516)),""))</f>
        <v/>
      </c>
      <c r="G3516">
        <f>IF(D3516="KEEP",COUNTIF($D$2:D3516,"KEEP"),"")</f>
        <v/>
      </c>
      <c r="H3516">
        <f>IF(D3516="REMOVE",COUNTIF($D$2:D3516,"REMOVE"),"")</f>
        <v/>
      </c>
      <c r="I3516">
        <f>IF(E3516="Gmail",COUNTIF($E$2:E3516,"Gmail"),"")</f>
        <v/>
      </c>
      <c r="J3516">
        <f>IF(E3516="Outlook",COUNTIF($E$2:E3516,"Outlook"),"")</f>
        <v/>
      </c>
      <c r="K3516">
        <f>IF(E3516="Domain",COUNTIF($E$2:E3516,"Domain"),"")</f>
        <v/>
      </c>
    </row>
    <row r="3517">
      <c r="A3517" s="2" t="n"/>
      <c r="B3517">
        <f>LOWER(TRIM(A3517))</f>
        <v/>
      </c>
      <c r="C3517">
        <f>IF(B3517="","",IFERROR(INDEX('Bad Patterns'!$A$2:$A$120,MATCH(1,INDEX(--ISNUMBER(SEARCH('Bad Patterns'!$A$2:$A$120,B3517)),0),0)),""))</f>
        <v/>
      </c>
      <c r="D3517">
        <f>IF(B3517="","",IF(C3517&lt;&gt;"","REMOVE","KEEP"))</f>
        <v/>
      </c>
      <c r="E3517">
        <f>IF(D3517&lt;&gt;"KEEP","",IF(RIGHT(B3517,10)="@gmail.com","Gmail",IF(OR(RIGHT(B3517,12)="@outlook.com",RIGHT(B3517,12)="@hotmail.com",RIGHT(B3517,9)="@live.com"),"Outlook","Domain")))</f>
        <v/>
      </c>
      <c r="F3517">
        <f>IF(B3517="","",IFERROR(RIGHT(B3517,LEN(B3517)-FIND("@",B3517)),""))</f>
        <v/>
      </c>
      <c r="G3517">
        <f>IF(D3517="KEEP",COUNTIF($D$2:D3517,"KEEP"),"")</f>
        <v/>
      </c>
      <c r="H3517">
        <f>IF(D3517="REMOVE",COUNTIF($D$2:D3517,"REMOVE"),"")</f>
        <v/>
      </c>
      <c r="I3517">
        <f>IF(E3517="Gmail",COUNTIF($E$2:E3517,"Gmail"),"")</f>
        <v/>
      </c>
      <c r="J3517">
        <f>IF(E3517="Outlook",COUNTIF($E$2:E3517,"Outlook"),"")</f>
        <v/>
      </c>
      <c r="K3517">
        <f>IF(E3517="Domain",COUNTIF($E$2:E3517,"Domain"),"")</f>
        <v/>
      </c>
    </row>
    <row r="3518">
      <c r="A3518" s="2" t="n"/>
      <c r="B3518">
        <f>LOWER(TRIM(A3518))</f>
        <v/>
      </c>
      <c r="C3518">
        <f>IF(B3518="","",IFERROR(INDEX('Bad Patterns'!$A$2:$A$120,MATCH(1,INDEX(--ISNUMBER(SEARCH('Bad Patterns'!$A$2:$A$120,B3518)),0),0)),""))</f>
        <v/>
      </c>
      <c r="D3518">
        <f>IF(B3518="","",IF(C3518&lt;&gt;"","REMOVE","KEEP"))</f>
        <v/>
      </c>
      <c r="E3518">
        <f>IF(D3518&lt;&gt;"KEEP","",IF(RIGHT(B3518,10)="@gmail.com","Gmail",IF(OR(RIGHT(B3518,12)="@outlook.com",RIGHT(B3518,12)="@hotmail.com",RIGHT(B3518,9)="@live.com"),"Outlook","Domain")))</f>
        <v/>
      </c>
      <c r="F3518">
        <f>IF(B3518="","",IFERROR(RIGHT(B3518,LEN(B3518)-FIND("@",B3518)),""))</f>
        <v/>
      </c>
      <c r="G3518">
        <f>IF(D3518="KEEP",COUNTIF($D$2:D3518,"KEEP"),"")</f>
        <v/>
      </c>
      <c r="H3518">
        <f>IF(D3518="REMOVE",COUNTIF($D$2:D3518,"REMOVE"),"")</f>
        <v/>
      </c>
      <c r="I3518">
        <f>IF(E3518="Gmail",COUNTIF($E$2:E3518,"Gmail"),"")</f>
        <v/>
      </c>
      <c r="J3518">
        <f>IF(E3518="Outlook",COUNTIF($E$2:E3518,"Outlook"),"")</f>
        <v/>
      </c>
      <c r="K3518">
        <f>IF(E3518="Domain",COUNTIF($E$2:E3518,"Domain"),"")</f>
        <v/>
      </c>
    </row>
    <row r="3519">
      <c r="A3519" s="2" t="n"/>
      <c r="B3519">
        <f>LOWER(TRIM(A3519))</f>
        <v/>
      </c>
      <c r="C3519">
        <f>IF(B3519="","",IFERROR(INDEX('Bad Patterns'!$A$2:$A$120,MATCH(1,INDEX(--ISNUMBER(SEARCH('Bad Patterns'!$A$2:$A$120,B3519)),0),0)),""))</f>
        <v/>
      </c>
      <c r="D3519">
        <f>IF(B3519="","",IF(C3519&lt;&gt;"","REMOVE","KEEP"))</f>
        <v/>
      </c>
      <c r="E3519">
        <f>IF(D3519&lt;&gt;"KEEP","",IF(RIGHT(B3519,10)="@gmail.com","Gmail",IF(OR(RIGHT(B3519,12)="@outlook.com",RIGHT(B3519,12)="@hotmail.com",RIGHT(B3519,9)="@live.com"),"Outlook","Domain")))</f>
        <v/>
      </c>
      <c r="F3519">
        <f>IF(B3519="","",IFERROR(RIGHT(B3519,LEN(B3519)-FIND("@",B3519)),""))</f>
        <v/>
      </c>
      <c r="G3519">
        <f>IF(D3519="KEEP",COUNTIF($D$2:D3519,"KEEP"),"")</f>
        <v/>
      </c>
      <c r="H3519">
        <f>IF(D3519="REMOVE",COUNTIF($D$2:D3519,"REMOVE"),"")</f>
        <v/>
      </c>
      <c r="I3519">
        <f>IF(E3519="Gmail",COUNTIF($E$2:E3519,"Gmail"),"")</f>
        <v/>
      </c>
      <c r="J3519">
        <f>IF(E3519="Outlook",COUNTIF($E$2:E3519,"Outlook"),"")</f>
        <v/>
      </c>
      <c r="K3519">
        <f>IF(E3519="Domain",COUNTIF($E$2:E3519,"Domain"),"")</f>
        <v/>
      </c>
    </row>
    <row r="3520">
      <c r="A3520" s="2" t="n"/>
      <c r="B3520">
        <f>LOWER(TRIM(A3520))</f>
        <v/>
      </c>
      <c r="C3520">
        <f>IF(B3520="","",IFERROR(INDEX('Bad Patterns'!$A$2:$A$120,MATCH(1,INDEX(--ISNUMBER(SEARCH('Bad Patterns'!$A$2:$A$120,B3520)),0),0)),""))</f>
        <v/>
      </c>
      <c r="D3520">
        <f>IF(B3520="","",IF(C3520&lt;&gt;"","REMOVE","KEEP"))</f>
        <v/>
      </c>
      <c r="E3520">
        <f>IF(D3520&lt;&gt;"KEEP","",IF(RIGHT(B3520,10)="@gmail.com","Gmail",IF(OR(RIGHT(B3520,12)="@outlook.com",RIGHT(B3520,12)="@hotmail.com",RIGHT(B3520,9)="@live.com"),"Outlook","Domain")))</f>
        <v/>
      </c>
      <c r="F3520">
        <f>IF(B3520="","",IFERROR(RIGHT(B3520,LEN(B3520)-FIND("@",B3520)),""))</f>
        <v/>
      </c>
      <c r="G3520">
        <f>IF(D3520="KEEP",COUNTIF($D$2:D3520,"KEEP"),"")</f>
        <v/>
      </c>
      <c r="H3520">
        <f>IF(D3520="REMOVE",COUNTIF($D$2:D3520,"REMOVE"),"")</f>
        <v/>
      </c>
      <c r="I3520">
        <f>IF(E3520="Gmail",COUNTIF($E$2:E3520,"Gmail"),"")</f>
        <v/>
      </c>
      <c r="J3520">
        <f>IF(E3520="Outlook",COUNTIF($E$2:E3520,"Outlook"),"")</f>
        <v/>
      </c>
      <c r="K3520">
        <f>IF(E3520="Domain",COUNTIF($E$2:E3520,"Domain"),"")</f>
        <v/>
      </c>
    </row>
    <row r="3521">
      <c r="A3521" s="2" t="n"/>
      <c r="B3521">
        <f>LOWER(TRIM(A3521))</f>
        <v/>
      </c>
      <c r="C3521">
        <f>IF(B3521="","",IFERROR(INDEX('Bad Patterns'!$A$2:$A$120,MATCH(1,INDEX(--ISNUMBER(SEARCH('Bad Patterns'!$A$2:$A$120,B3521)),0),0)),""))</f>
        <v/>
      </c>
      <c r="D3521">
        <f>IF(B3521="","",IF(C3521&lt;&gt;"","REMOVE","KEEP"))</f>
        <v/>
      </c>
      <c r="E3521">
        <f>IF(D3521&lt;&gt;"KEEP","",IF(RIGHT(B3521,10)="@gmail.com","Gmail",IF(OR(RIGHT(B3521,12)="@outlook.com",RIGHT(B3521,12)="@hotmail.com",RIGHT(B3521,9)="@live.com"),"Outlook","Domain")))</f>
        <v/>
      </c>
      <c r="F3521">
        <f>IF(B3521="","",IFERROR(RIGHT(B3521,LEN(B3521)-FIND("@",B3521)),""))</f>
        <v/>
      </c>
      <c r="G3521">
        <f>IF(D3521="KEEP",COUNTIF($D$2:D3521,"KEEP"),"")</f>
        <v/>
      </c>
      <c r="H3521">
        <f>IF(D3521="REMOVE",COUNTIF($D$2:D3521,"REMOVE"),"")</f>
        <v/>
      </c>
      <c r="I3521">
        <f>IF(E3521="Gmail",COUNTIF($E$2:E3521,"Gmail"),"")</f>
        <v/>
      </c>
      <c r="J3521">
        <f>IF(E3521="Outlook",COUNTIF($E$2:E3521,"Outlook"),"")</f>
        <v/>
      </c>
      <c r="K3521">
        <f>IF(E3521="Domain",COUNTIF($E$2:E3521,"Domain"),"")</f>
        <v/>
      </c>
    </row>
    <row r="3522">
      <c r="A3522" s="2" t="n"/>
      <c r="B3522">
        <f>LOWER(TRIM(A3522))</f>
        <v/>
      </c>
      <c r="C3522">
        <f>IF(B3522="","",IFERROR(INDEX('Bad Patterns'!$A$2:$A$120,MATCH(1,INDEX(--ISNUMBER(SEARCH('Bad Patterns'!$A$2:$A$120,B3522)),0),0)),""))</f>
        <v/>
      </c>
      <c r="D3522">
        <f>IF(B3522="","",IF(C3522&lt;&gt;"","REMOVE","KEEP"))</f>
        <v/>
      </c>
      <c r="E3522">
        <f>IF(D3522&lt;&gt;"KEEP","",IF(RIGHT(B3522,10)="@gmail.com","Gmail",IF(OR(RIGHT(B3522,12)="@outlook.com",RIGHT(B3522,12)="@hotmail.com",RIGHT(B3522,9)="@live.com"),"Outlook","Domain")))</f>
        <v/>
      </c>
      <c r="F3522">
        <f>IF(B3522="","",IFERROR(RIGHT(B3522,LEN(B3522)-FIND("@",B3522)),""))</f>
        <v/>
      </c>
      <c r="G3522">
        <f>IF(D3522="KEEP",COUNTIF($D$2:D3522,"KEEP"),"")</f>
        <v/>
      </c>
      <c r="H3522">
        <f>IF(D3522="REMOVE",COUNTIF($D$2:D3522,"REMOVE"),"")</f>
        <v/>
      </c>
      <c r="I3522">
        <f>IF(E3522="Gmail",COUNTIF($E$2:E3522,"Gmail"),"")</f>
        <v/>
      </c>
      <c r="J3522">
        <f>IF(E3522="Outlook",COUNTIF($E$2:E3522,"Outlook"),"")</f>
        <v/>
      </c>
      <c r="K3522">
        <f>IF(E3522="Domain",COUNTIF($E$2:E3522,"Domain"),"")</f>
        <v/>
      </c>
    </row>
    <row r="3523">
      <c r="A3523" s="2" t="n"/>
      <c r="B3523">
        <f>LOWER(TRIM(A3523))</f>
        <v/>
      </c>
      <c r="C3523">
        <f>IF(B3523="","",IFERROR(INDEX('Bad Patterns'!$A$2:$A$120,MATCH(1,INDEX(--ISNUMBER(SEARCH('Bad Patterns'!$A$2:$A$120,B3523)),0),0)),""))</f>
        <v/>
      </c>
      <c r="D3523">
        <f>IF(B3523="","",IF(C3523&lt;&gt;"","REMOVE","KEEP"))</f>
        <v/>
      </c>
      <c r="E3523">
        <f>IF(D3523&lt;&gt;"KEEP","",IF(RIGHT(B3523,10)="@gmail.com","Gmail",IF(OR(RIGHT(B3523,12)="@outlook.com",RIGHT(B3523,12)="@hotmail.com",RIGHT(B3523,9)="@live.com"),"Outlook","Domain")))</f>
        <v/>
      </c>
      <c r="F3523">
        <f>IF(B3523="","",IFERROR(RIGHT(B3523,LEN(B3523)-FIND("@",B3523)),""))</f>
        <v/>
      </c>
      <c r="G3523">
        <f>IF(D3523="KEEP",COUNTIF($D$2:D3523,"KEEP"),"")</f>
        <v/>
      </c>
      <c r="H3523">
        <f>IF(D3523="REMOVE",COUNTIF($D$2:D3523,"REMOVE"),"")</f>
        <v/>
      </c>
      <c r="I3523">
        <f>IF(E3523="Gmail",COUNTIF($E$2:E3523,"Gmail"),"")</f>
        <v/>
      </c>
      <c r="J3523">
        <f>IF(E3523="Outlook",COUNTIF($E$2:E3523,"Outlook"),"")</f>
        <v/>
      </c>
      <c r="K3523">
        <f>IF(E3523="Domain",COUNTIF($E$2:E3523,"Domain"),"")</f>
        <v/>
      </c>
    </row>
    <row r="3524">
      <c r="A3524" s="2" t="n"/>
      <c r="B3524">
        <f>LOWER(TRIM(A3524))</f>
        <v/>
      </c>
      <c r="C3524">
        <f>IF(B3524="","",IFERROR(INDEX('Bad Patterns'!$A$2:$A$120,MATCH(1,INDEX(--ISNUMBER(SEARCH('Bad Patterns'!$A$2:$A$120,B3524)),0),0)),""))</f>
        <v/>
      </c>
      <c r="D3524">
        <f>IF(B3524="","",IF(C3524&lt;&gt;"","REMOVE","KEEP"))</f>
        <v/>
      </c>
      <c r="E3524">
        <f>IF(D3524&lt;&gt;"KEEP","",IF(RIGHT(B3524,10)="@gmail.com","Gmail",IF(OR(RIGHT(B3524,12)="@outlook.com",RIGHT(B3524,12)="@hotmail.com",RIGHT(B3524,9)="@live.com"),"Outlook","Domain")))</f>
        <v/>
      </c>
      <c r="F3524">
        <f>IF(B3524="","",IFERROR(RIGHT(B3524,LEN(B3524)-FIND("@",B3524)),""))</f>
        <v/>
      </c>
      <c r="G3524">
        <f>IF(D3524="KEEP",COUNTIF($D$2:D3524,"KEEP"),"")</f>
        <v/>
      </c>
      <c r="H3524">
        <f>IF(D3524="REMOVE",COUNTIF($D$2:D3524,"REMOVE"),"")</f>
        <v/>
      </c>
      <c r="I3524">
        <f>IF(E3524="Gmail",COUNTIF($E$2:E3524,"Gmail"),"")</f>
        <v/>
      </c>
      <c r="J3524">
        <f>IF(E3524="Outlook",COUNTIF($E$2:E3524,"Outlook"),"")</f>
        <v/>
      </c>
      <c r="K3524">
        <f>IF(E3524="Domain",COUNTIF($E$2:E3524,"Domain"),"")</f>
        <v/>
      </c>
    </row>
    <row r="3525">
      <c r="A3525" s="2" t="n"/>
      <c r="B3525">
        <f>LOWER(TRIM(A3525))</f>
        <v/>
      </c>
      <c r="C3525">
        <f>IF(B3525="","",IFERROR(INDEX('Bad Patterns'!$A$2:$A$120,MATCH(1,INDEX(--ISNUMBER(SEARCH('Bad Patterns'!$A$2:$A$120,B3525)),0),0)),""))</f>
        <v/>
      </c>
      <c r="D3525">
        <f>IF(B3525="","",IF(C3525&lt;&gt;"","REMOVE","KEEP"))</f>
        <v/>
      </c>
      <c r="E3525">
        <f>IF(D3525&lt;&gt;"KEEP","",IF(RIGHT(B3525,10)="@gmail.com","Gmail",IF(OR(RIGHT(B3525,12)="@outlook.com",RIGHT(B3525,12)="@hotmail.com",RIGHT(B3525,9)="@live.com"),"Outlook","Domain")))</f>
        <v/>
      </c>
      <c r="F3525">
        <f>IF(B3525="","",IFERROR(RIGHT(B3525,LEN(B3525)-FIND("@",B3525)),""))</f>
        <v/>
      </c>
      <c r="G3525">
        <f>IF(D3525="KEEP",COUNTIF($D$2:D3525,"KEEP"),"")</f>
        <v/>
      </c>
      <c r="H3525">
        <f>IF(D3525="REMOVE",COUNTIF($D$2:D3525,"REMOVE"),"")</f>
        <v/>
      </c>
      <c r="I3525">
        <f>IF(E3525="Gmail",COUNTIF($E$2:E3525,"Gmail"),"")</f>
        <v/>
      </c>
      <c r="J3525">
        <f>IF(E3525="Outlook",COUNTIF($E$2:E3525,"Outlook"),"")</f>
        <v/>
      </c>
      <c r="K3525">
        <f>IF(E3525="Domain",COUNTIF($E$2:E3525,"Domain"),"")</f>
        <v/>
      </c>
    </row>
    <row r="3526">
      <c r="A3526" s="2" t="n"/>
      <c r="B3526">
        <f>LOWER(TRIM(A3526))</f>
        <v/>
      </c>
      <c r="C3526">
        <f>IF(B3526="","",IFERROR(INDEX('Bad Patterns'!$A$2:$A$120,MATCH(1,INDEX(--ISNUMBER(SEARCH('Bad Patterns'!$A$2:$A$120,B3526)),0),0)),""))</f>
        <v/>
      </c>
      <c r="D3526">
        <f>IF(B3526="","",IF(C3526&lt;&gt;"","REMOVE","KEEP"))</f>
        <v/>
      </c>
      <c r="E3526">
        <f>IF(D3526&lt;&gt;"KEEP","",IF(RIGHT(B3526,10)="@gmail.com","Gmail",IF(OR(RIGHT(B3526,12)="@outlook.com",RIGHT(B3526,12)="@hotmail.com",RIGHT(B3526,9)="@live.com"),"Outlook","Domain")))</f>
        <v/>
      </c>
      <c r="F3526">
        <f>IF(B3526="","",IFERROR(RIGHT(B3526,LEN(B3526)-FIND("@",B3526)),""))</f>
        <v/>
      </c>
      <c r="G3526">
        <f>IF(D3526="KEEP",COUNTIF($D$2:D3526,"KEEP"),"")</f>
        <v/>
      </c>
      <c r="H3526">
        <f>IF(D3526="REMOVE",COUNTIF($D$2:D3526,"REMOVE"),"")</f>
        <v/>
      </c>
      <c r="I3526">
        <f>IF(E3526="Gmail",COUNTIF($E$2:E3526,"Gmail"),"")</f>
        <v/>
      </c>
      <c r="J3526">
        <f>IF(E3526="Outlook",COUNTIF($E$2:E3526,"Outlook"),"")</f>
        <v/>
      </c>
      <c r="K3526">
        <f>IF(E3526="Domain",COUNTIF($E$2:E3526,"Domain"),"")</f>
        <v/>
      </c>
    </row>
    <row r="3527">
      <c r="A3527" s="2" t="n"/>
      <c r="B3527">
        <f>LOWER(TRIM(A3527))</f>
        <v/>
      </c>
      <c r="C3527">
        <f>IF(B3527="","",IFERROR(INDEX('Bad Patterns'!$A$2:$A$120,MATCH(1,INDEX(--ISNUMBER(SEARCH('Bad Patterns'!$A$2:$A$120,B3527)),0),0)),""))</f>
        <v/>
      </c>
      <c r="D3527">
        <f>IF(B3527="","",IF(C3527&lt;&gt;"","REMOVE","KEEP"))</f>
        <v/>
      </c>
      <c r="E3527">
        <f>IF(D3527&lt;&gt;"KEEP","",IF(RIGHT(B3527,10)="@gmail.com","Gmail",IF(OR(RIGHT(B3527,12)="@outlook.com",RIGHT(B3527,12)="@hotmail.com",RIGHT(B3527,9)="@live.com"),"Outlook","Domain")))</f>
        <v/>
      </c>
      <c r="F3527">
        <f>IF(B3527="","",IFERROR(RIGHT(B3527,LEN(B3527)-FIND("@",B3527)),""))</f>
        <v/>
      </c>
      <c r="G3527">
        <f>IF(D3527="KEEP",COUNTIF($D$2:D3527,"KEEP"),"")</f>
        <v/>
      </c>
      <c r="H3527">
        <f>IF(D3527="REMOVE",COUNTIF($D$2:D3527,"REMOVE"),"")</f>
        <v/>
      </c>
      <c r="I3527">
        <f>IF(E3527="Gmail",COUNTIF($E$2:E3527,"Gmail"),"")</f>
        <v/>
      </c>
      <c r="J3527">
        <f>IF(E3527="Outlook",COUNTIF($E$2:E3527,"Outlook"),"")</f>
        <v/>
      </c>
      <c r="K3527">
        <f>IF(E3527="Domain",COUNTIF($E$2:E3527,"Domain"),"")</f>
        <v/>
      </c>
    </row>
    <row r="3528">
      <c r="A3528" s="2" t="n"/>
      <c r="B3528">
        <f>LOWER(TRIM(A3528))</f>
        <v/>
      </c>
      <c r="C3528">
        <f>IF(B3528="","",IFERROR(INDEX('Bad Patterns'!$A$2:$A$120,MATCH(1,INDEX(--ISNUMBER(SEARCH('Bad Patterns'!$A$2:$A$120,B3528)),0),0)),""))</f>
        <v/>
      </c>
      <c r="D3528">
        <f>IF(B3528="","",IF(C3528&lt;&gt;"","REMOVE","KEEP"))</f>
        <v/>
      </c>
      <c r="E3528">
        <f>IF(D3528&lt;&gt;"KEEP","",IF(RIGHT(B3528,10)="@gmail.com","Gmail",IF(OR(RIGHT(B3528,12)="@outlook.com",RIGHT(B3528,12)="@hotmail.com",RIGHT(B3528,9)="@live.com"),"Outlook","Domain")))</f>
        <v/>
      </c>
      <c r="F3528">
        <f>IF(B3528="","",IFERROR(RIGHT(B3528,LEN(B3528)-FIND("@",B3528)),""))</f>
        <v/>
      </c>
      <c r="G3528">
        <f>IF(D3528="KEEP",COUNTIF($D$2:D3528,"KEEP"),"")</f>
        <v/>
      </c>
      <c r="H3528">
        <f>IF(D3528="REMOVE",COUNTIF($D$2:D3528,"REMOVE"),"")</f>
        <v/>
      </c>
      <c r="I3528">
        <f>IF(E3528="Gmail",COUNTIF($E$2:E3528,"Gmail"),"")</f>
        <v/>
      </c>
      <c r="J3528">
        <f>IF(E3528="Outlook",COUNTIF($E$2:E3528,"Outlook"),"")</f>
        <v/>
      </c>
      <c r="K3528">
        <f>IF(E3528="Domain",COUNTIF($E$2:E3528,"Domain"),"")</f>
        <v/>
      </c>
    </row>
    <row r="3529">
      <c r="A3529" s="2" t="n"/>
      <c r="B3529">
        <f>LOWER(TRIM(A3529))</f>
        <v/>
      </c>
      <c r="C3529">
        <f>IF(B3529="","",IFERROR(INDEX('Bad Patterns'!$A$2:$A$120,MATCH(1,INDEX(--ISNUMBER(SEARCH('Bad Patterns'!$A$2:$A$120,B3529)),0),0)),""))</f>
        <v/>
      </c>
      <c r="D3529">
        <f>IF(B3529="","",IF(C3529&lt;&gt;"","REMOVE","KEEP"))</f>
        <v/>
      </c>
      <c r="E3529">
        <f>IF(D3529&lt;&gt;"KEEP","",IF(RIGHT(B3529,10)="@gmail.com","Gmail",IF(OR(RIGHT(B3529,12)="@outlook.com",RIGHT(B3529,12)="@hotmail.com",RIGHT(B3529,9)="@live.com"),"Outlook","Domain")))</f>
        <v/>
      </c>
      <c r="F3529">
        <f>IF(B3529="","",IFERROR(RIGHT(B3529,LEN(B3529)-FIND("@",B3529)),""))</f>
        <v/>
      </c>
      <c r="G3529">
        <f>IF(D3529="KEEP",COUNTIF($D$2:D3529,"KEEP"),"")</f>
        <v/>
      </c>
      <c r="H3529">
        <f>IF(D3529="REMOVE",COUNTIF($D$2:D3529,"REMOVE"),"")</f>
        <v/>
      </c>
      <c r="I3529">
        <f>IF(E3529="Gmail",COUNTIF($E$2:E3529,"Gmail"),"")</f>
        <v/>
      </c>
      <c r="J3529">
        <f>IF(E3529="Outlook",COUNTIF($E$2:E3529,"Outlook"),"")</f>
        <v/>
      </c>
      <c r="K3529">
        <f>IF(E3529="Domain",COUNTIF($E$2:E3529,"Domain"),"")</f>
        <v/>
      </c>
    </row>
    <row r="3530">
      <c r="A3530" s="2" t="n"/>
      <c r="B3530">
        <f>LOWER(TRIM(A3530))</f>
        <v/>
      </c>
      <c r="C3530">
        <f>IF(B3530="","",IFERROR(INDEX('Bad Patterns'!$A$2:$A$120,MATCH(1,INDEX(--ISNUMBER(SEARCH('Bad Patterns'!$A$2:$A$120,B3530)),0),0)),""))</f>
        <v/>
      </c>
      <c r="D3530">
        <f>IF(B3530="","",IF(C3530&lt;&gt;"","REMOVE","KEEP"))</f>
        <v/>
      </c>
      <c r="E3530">
        <f>IF(D3530&lt;&gt;"KEEP","",IF(RIGHT(B3530,10)="@gmail.com","Gmail",IF(OR(RIGHT(B3530,12)="@outlook.com",RIGHT(B3530,12)="@hotmail.com",RIGHT(B3530,9)="@live.com"),"Outlook","Domain")))</f>
        <v/>
      </c>
      <c r="F3530">
        <f>IF(B3530="","",IFERROR(RIGHT(B3530,LEN(B3530)-FIND("@",B3530)),""))</f>
        <v/>
      </c>
      <c r="G3530">
        <f>IF(D3530="KEEP",COUNTIF($D$2:D3530,"KEEP"),"")</f>
        <v/>
      </c>
      <c r="H3530">
        <f>IF(D3530="REMOVE",COUNTIF($D$2:D3530,"REMOVE"),"")</f>
        <v/>
      </c>
      <c r="I3530">
        <f>IF(E3530="Gmail",COUNTIF($E$2:E3530,"Gmail"),"")</f>
        <v/>
      </c>
      <c r="J3530">
        <f>IF(E3530="Outlook",COUNTIF($E$2:E3530,"Outlook"),"")</f>
        <v/>
      </c>
      <c r="K3530">
        <f>IF(E3530="Domain",COUNTIF($E$2:E3530,"Domain"),"")</f>
        <v/>
      </c>
    </row>
    <row r="3531">
      <c r="A3531" s="2" t="n"/>
      <c r="B3531">
        <f>LOWER(TRIM(A3531))</f>
        <v/>
      </c>
      <c r="C3531">
        <f>IF(B3531="","",IFERROR(INDEX('Bad Patterns'!$A$2:$A$120,MATCH(1,INDEX(--ISNUMBER(SEARCH('Bad Patterns'!$A$2:$A$120,B3531)),0),0)),""))</f>
        <v/>
      </c>
      <c r="D3531">
        <f>IF(B3531="","",IF(C3531&lt;&gt;"","REMOVE","KEEP"))</f>
        <v/>
      </c>
      <c r="E3531">
        <f>IF(D3531&lt;&gt;"KEEP","",IF(RIGHT(B3531,10)="@gmail.com","Gmail",IF(OR(RIGHT(B3531,12)="@outlook.com",RIGHT(B3531,12)="@hotmail.com",RIGHT(B3531,9)="@live.com"),"Outlook","Domain")))</f>
        <v/>
      </c>
      <c r="F3531">
        <f>IF(B3531="","",IFERROR(RIGHT(B3531,LEN(B3531)-FIND("@",B3531)),""))</f>
        <v/>
      </c>
      <c r="G3531">
        <f>IF(D3531="KEEP",COUNTIF($D$2:D3531,"KEEP"),"")</f>
        <v/>
      </c>
      <c r="H3531">
        <f>IF(D3531="REMOVE",COUNTIF($D$2:D3531,"REMOVE"),"")</f>
        <v/>
      </c>
      <c r="I3531">
        <f>IF(E3531="Gmail",COUNTIF($E$2:E3531,"Gmail"),"")</f>
        <v/>
      </c>
      <c r="J3531">
        <f>IF(E3531="Outlook",COUNTIF($E$2:E3531,"Outlook"),"")</f>
        <v/>
      </c>
      <c r="K3531">
        <f>IF(E3531="Domain",COUNTIF($E$2:E3531,"Domain"),"")</f>
        <v/>
      </c>
    </row>
    <row r="3532">
      <c r="A3532" s="2" t="n"/>
      <c r="B3532">
        <f>LOWER(TRIM(A3532))</f>
        <v/>
      </c>
      <c r="C3532">
        <f>IF(B3532="","",IFERROR(INDEX('Bad Patterns'!$A$2:$A$120,MATCH(1,INDEX(--ISNUMBER(SEARCH('Bad Patterns'!$A$2:$A$120,B3532)),0),0)),""))</f>
        <v/>
      </c>
      <c r="D3532">
        <f>IF(B3532="","",IF(C3532&lt;&gt;"","REMOVE","KEEP"))</f>
        <v/>
      </c>
      <c r="E3532">
        <f>IF(D3532&lt;&gt;"KEEP","",IF(RIGHT(B3532,10)="@gmail.com","Gmail",IF(OR(RIGHT(B3532,12)="@outlook.com",RIGHT(B3532,12)="@hotmail.com",RIGHT(B3532,9)="@live.com"),"Outlook","Domain")))</f>
        <v/>
      </c>
      <c r="F3532">
        <f>IF(B3532="","",IFERROR(RIGHT(B3532,LEN(B3532)-FIND("@",B3532)),""))</f>
        <v/>
      </c>
      <c r="G3532">
        <f>IF(D3532="KEEP",COUNTIF($D$2:D3532,"KEEP"),"")</f>
        <v/>
      </c>
      <c r="H3532">
        <f>IF(D3532="REMOVE",COUNTIF($D$2:D3532,"REMOVE"),"")</f>
        <v/>
      </c>
      <c r="I3532">
        <f>IF(E3532="Gmail",COUNTIF($E$2:E3532,"Gmail"),"")</f>
        <v/>
      </c>
      <c r="J3532">
        <f>IF(E3532="Outlook",COUNTIF($E$2:E3532,"Outlook"),"")</f>
        <v/>
      </c>
      <c r="K3532">
        <f>IF(E3532="Domain",COUNTIF($E$2:E3532,"Domain"),"")</f>
        <v/>
      </c>
    </row>
    <row r="3533">
      <c r="A3533" s="2" t="n"/>
      <c r="B3533">
        <f>LOWER(TRIM(A3533))</f>
        <v/>
      </c>
      <c r="C3533">
        <f>IF(B3533="","",IFERROR(INDEX('Bad Patterns'!$A$2:$A$120,MATCH(1,INDEX(--ISNUMBER(SEARCH('Bad Patterns'!$A$2:$A$120,B3533)),0),0)),""))</f>
        <v/>
      </c>
      <c r="D3533">
        <f>IF(B3533="","",IF(C3533&lt;&gt;"","REMOVE","KEEP"))</f>
        <v/>
      </c>
      <c r="E3533">
        <f>IF(D3533&lt;&gt;"KEEP","",IF(RIGHT(B3533,10)="@gmail.com","Gmail",IF(OR(RIGHT(B3533,12)="@outlook.com",RIGHT(B3533,12)="@hotmail.com",RIGHT(B3533,9)="@live.com"),"Outlook","Domain")))</f>
        <v/>
      </c>
      <c r="F3533">
        <f>IF(B3533="","",IFERROR(RIGHT(B3533,LEN(B3533)-FIND("@",B3533)),""))</f>
        <v/>
      </c>
      <c r="G3533">
        <f>IF(D3533="KEEP",COUNTIF($D$2:D3533,"KEEP"),"")</f>
        <v/>
      </c>
      <c r="H3533">
        <f>IF(D3533="REMOVE",COUNTIF($D$2:D3533,"REMOVE"),"")</f>
        <v/>
      </c>
      <c r="I3533">
        <f>IF(E3533="Gmail",COUNTIF($E$2:E3533,"Gmail"),"")</f>
        <v/>
      </c>
      <c r="J3533">
        <f>IF(E3533="Outlook",COUNTIF($E$2:E3533,"Outlook"),"")</f>
        <v/>
      </c>
      <c r="K3533">
        <f>IF(E3533="Domain",COUNTIF($E$2:E3533,"Domain"),"")</f>
        <v/>
      </c>
    </row>
    <row r="3534">
      <c r="A3534" s="2" t="n"/>
      <c r="B3534">
        <f>LOWER(TRIM(A3534))</f>
        <v/>
      </c>
      <c r="C3534">
        <f>IF(B3534="","",IFERROR(INDEX('Bad Patterns'!$A$2:$A$120,MATCH(1,INDEX(--ISNUMBER(SEARCH('Bad Patterns'!$A$2:$A$120,B3534)),0),0)),""))</f>
        <v/>
      </c>
      <c r="D3534">
        <f>IF(B3534="","",IF(C3534&lt;&gt;"","REMOVE","KEEP"))</f>
        <v/>
      </c>
      <c r="E3534">
        <f>IF(D3534&lt;&gt;"KEEP","",IF(RIGHT(B3534,10)="@gmail.com","Gmail",IF(OR(RIGHT(B3534,12)="@outlook.com",RIGHT(B3534,12)="@hotmail.com",RIGHT(B3534,9)="@live.com"),"Outlook","Domain")))</f>
        <v/>
      </c>
      <c r="F3534">
        <f>IF(B3534="","",IFERROR(RIGHT(B3534,LEN(B3534)-FIND("@",B3534)),""))</f>
        <v/>
      </c>
      <c r="G3534">
        <f>IF(D3534="KEEP",COUNTIF($D$2:D3534,"KEEP"),"")</f>
        <v/>
      </c>
      <c r="H3534">
        <f>IF(D3534="REMOVE",COUNTIF($D$2:D3534,"REMOVE"),"")</f>
        <v/>
      </c>
      <c r="I3534">
        <f>IF(E3534="Gmail",COUNTIF($E$2:E3534,"Gmail"),"")</f>
        <v/>
      </c>
      <c r="J3534">
        <f>IF(E3534="Outlook",COUNTIF($E$2:E3534,"Outlook"),"")</f>
        <v/>
      </c>
      <c r="K3534">
        <f>IF(E3534="Domain",COUNTIF($E$2:E3534,"Domain"),"")</f>
        <v/>
      </c>
    </row>
    <row r="3535">
      <c r="A3535" s="2" t="n"/>
      <c r="B3535">
        <f>LOWER(TRIM(A3535))</f>
        <v/>
      </c>
      <c r="C3535">
        <f>IF(B3535="","",IFERROR(INDEX('Bad Patterns'!$A$2:$A$120,MATCH(1,INDEX(--ISNUMBER(SEARCH('Bad Patterns'!$A$2:$A$120,B3535)),0),0)),""))</f>
        <v/>
      </c>
      <c r="D3535">
        <f>IF(B3535="","",IF(C3535&lt;&gt;"","REMOVE","KEEP"))</f>
        <v/>
      </c>
      <c r="E3535">
        <f>IF(D3535&lt;&gt;"KEEP","",IF(RIGHT(B3535,10)="@gmail.com","Gmail",IF(OR(RIGHT(B3535,12)="@outlook.com",RIGHT(B3535,12)="@hotmail.com",RIGHT(B3535,9)="@live.com"),"Outlook","Domain")))</f>
        <v/>
      </c>
      <c r="F3535">
        <f>IF(B3535="","",IFERROR(RIGHT(B3535,LEN(B3535)-FIND("@",B3535)),""))</f>
        <v/>
      </c>
      <c r="G3535">
        <f>IF(D3535="KEEP",COUNTIF($D$2:D3535,"KEEP"),"")</f>
        <v/>
      </c>
      <c r="H3535">
        <f>IF(D3535="REMOVE",COUNTIF($D$2:D3535,"REMOVE"),"")</f>
        <v/>
      </c>
      <c r="I3535">
        <f>IF(E3535="Gmail",COUNTIF($E$2:E3535,"Gmail"),"")</f>
        <v/>
      </c>
      <c r="J3535">
        <f>IF(E3535="Outlook",COUNTIF($E$2:E3535,"Outlook"),"")</f>
        <v/>
      </c>
      <c r="K3535">
        <f>IF(E3535="Domain",COUNTIF($E$2:E3535,"Domain"),"")</f>
        <v/>
      </c>
    </row>
    <row r="3536">
      <c r="A3536" s="2" t="n"/>
      <c r="B3536">
        <f>LOWER(TRIM(A3536))</f>
        <v/>
      </c>
      <c r="C3536">
        <f>IF(B3536="","",IFERROR(INDEX('Bad Patterns'!$A$2:$A$120,MATCH(1,INDEX(--ISNUMBER(SEARCH('Bad Patterns'!$A$2:$A$120,B3536)),0),0)),""))</f>
        <v/>
      </c>
      <c r="D3536">
        <f>IF(B3536="","",IF(C3536&lt;&gt;"","REMOVE","KEEP"))</f>
        <v/>
      </c>
      <c r="E3536">
        <f>IF(D3536&lt;&gt;"KEEP","",IF(RIGHT(B3536,10)="@gmail.com","Gmail",IF(OR(RIGHT(B3536,12)="@outlook.com",RIGHT(B3536,12)="@hotmail.com",RIGHT(B3536,9)="@live.com"),"Outlook","Domain")))</f>
        <v/>
      </c>
      <c r="F3536">
        <f>IF(B3536="","",IFERROR(RIGHT(B3536,LEN(B3536)-FIND("@",B3536)),""))</f>
        <v/>
      </c>
      <c r="G3536">
        <f>IF(D3536="KEEP",COUNTIF($D$2:D3536,"KEEP"),"")</f>
        <v/>
      </c>
      <c r="H3536">
        <f>IF(D3536="REMOVE",COUNTIF($D$2:D3536,"REMOVE"),"")</f>
        <v/>
      </c>
      <c r="I3536">
        <f>IF(E3536="Gmail",COUNTIF($E$2:E3536,"Gmail"),"")</f>
        <v/>
      </c>
      <c r="J3536">
        <f>IF(E3536="Outlook",COUNTIF($E$2:E3536,"Outlook"),"")</f>
        <v/>
      </c>
      <c r="K3536">
        <f>IF(E3536="Domain",COUNTIF($E$2:E3536,"Domain"),"")</f>
        <v/>
      </c>
    </row>
    <row r="3537">
      <c r="A3537" s="2" t="n"/>
      <c r="B3537">
        <f>LOWER(TRIM(A3537))</f>
        <v/>
      </c>
      <c r="C3537">
        <f>IF(B3537="","",IFERROR(INDEX('Bad Patterns'!$A$2:$A$120,MATCH(1,INDEX(--ISNUMBER(SEARCH('Bad Patterns'!$A$2:$A$120,B3537)),0),0)),""))</f>
        <v/>
      </c>
      <c r="D3537">
        <f>IF(B3537="","",IF(C3537&lt;&gt;"","REMOVE","KEEP"))</f>
        <v/>
      </c>
      <c r="E3537">
        <f>IF(D3537&lt;&gt;"KEEP","",IF(RIGHT(B3537,10)="@gmail.com","Gmail",IF(OR(RIGHT(B3537,12)="@outlook.com",RIGHT(B3537,12)="@hotmail.com",RIGHT(B3537,9)="@live.com"),"Outlook","Domain")))</f>
        <v/>
      </c>
      <c r="F3537">
        <f>IF(B3537="","",IFERROR(RIGHT(B3537,LEN(B3537)-FIND("@",B3537)),""))</f>
        <v/>
      </c>
      <c r="G3537">
        <f>IF(D3537="KEEP",COUNTIF($D$2:D3537,"KEEP"),"")</f>
        <v/>
      </c>
      <c r="H3537">
        <f>IF(D3537="REMOVE",COUNTIF($D$2:D3537,"REMOVE"),"")</f>
        <v/>
      </c>
      <c r="I3537">
        <f>IF(E3537="Gmail",COUNTIF($E$2:E3537,"Gmail"),"")</f>
        <v/>
      </c>
      <c r="J3537">
        <f>IF(E3537="Outlook",COUNTIF($E$2:E3537,"Outlook"),"")</f>
        <v/>
      </c>
      <c r="K3537">
        <f>IF(E3537="Domain",COUNTIF($E$2:E3537,"Domain"),"")</f>
        <v/>
      </c>
    </row>
    <row r="3538">
      <c r="A3538" s="2" t="n"/>
      <c r="B3538">
        <f>LOWER(TRIM(A3538))</f>
        <v/>
      </c>
      <c r="C3538">
        <f>IF(B3538="","",IFERROR(INDEX('Bad Patterns'!$A$2:$A$120,MATCH(1,INDEX(--ISNUMBER(SEARCH('Bad Patterns'!$A$2:$A$120,B3538)),0),0)),""))</f>
        <v/>
      </c>
      <c r="D3538">
        <f>IF(B3538="","",IF(C3538&lt;&gt;"","REMOVE","KEEP"))</f>
        <v/>
      </c>
      <c r="E3538">
        <f>IF(D3538&lt;&gt;"KEEP","",IF(RIGHT(B3538,10)="@gmail.com","Gmail",IF(OR(RIGHT(B3538,12)="@outlook.com",RIGHT(B3538,12)="@hotmail.com",RIGHT(B3538,9)="@live.com"),"Outlook","Domain")))</f>
        <v/>
      </c>
      <c r="F3538">
        <f>IF(B3538="","",IFERROR(RIGHT(B3538,LEN(B3538)-FIND("@",B3538)),""))</f>
        <v/>
      </c>
      <c r="G3538">
        <f>IF(D3538="KEEP",COUNTIF($D$2:D3538,"KEEP"),"")</f>
        <v/>
      </c>
      <c r="H3538">
        <f>IF(D3538="REMOVE",COUNTIF($D$2:D3538,"REMOVE"),"")</f>
        <v/>
      </c>
      <c r="I3538">
        <f>IF(E3538="Gmail",COUNTIF($E$2:E3538,"Gmail"),"")</f>
        <v/>
      </c>
      <c r="J3538">
        <f>IF(E3538="Outlook",COUNTIF($E$2:E3538,"Outlook"),"")</f>
        <v/>
      </c>
      <c r="K3538">
        <f>IF(E3538="Domain",COUNTIF($E$2:E3538,"Domain"),"")</f>
        <v/>
      </c>
    </row>
    <row r="3539">
      <c r="A3539" s="2" t="n"/>
      <c r="B3539">
        <f>LOWER(TRIM(A3539))</f>
        <v/>
      </c>
      <c r="C3539">
        <f>IF(B3539="","",IFERROR(INDEX('Bad Patterns'!$A$2:$A$120,MATCH(1,INDEX(--ISNUMBER(SEARCH('Bad Patterns'!$A$2:$A$120,B3539)),0),0)),""))</f>
        <v/>
      </c>
      <c r="D3539">
        <f>IF(B3539="","",IF(C3539&lt;&gt;"","REMOVE","KEEP"))</f>
        <v/>
      </c>
      <c r="E3539">
        <f>IF(D3539&lt;&gt;"KEEP","",IF(RIGHT(B3539,10)="@gmail.com","Gmail",IF(OR(RIGHT(B3539,12)="@outlook.com",RIGHT(B3539,12)="@hotmail.com",RIGHT(B3539,9)="@live.com"),"Outlook","Domain")))</f>
        <v/>
      </c>
      <c r="F3539">
        <f>IF(B3539="","",IFERROR(RIGHT(B3539,LEN(B3539)-FIND("@",B3539)),""))</f>
        <v/>
      </c>
      <c r="G3539">
        <f>IF(D3539="KEEP",COUNTIF($D$2:D3539,"KEEP"),"")</f>
        <v/>
      </c>
      <c r="H3539">
        <f>IF(D3539="REMOVE",COUNTIF($D$2:D3539,"REMOVE"),"")</f>
        <v/>
      </c>
      <c r="I3539">
        <f>IF(E3539="Gmail",COUNTIF($E$2:E3539,"Gmail"),"")</f>
        <v/>
      </c>
      <c r="J3539">
        <f>IF(E3539="Outlook",COUNTIF($E$2:E3539,"Outlook"),"")</f>
        <v/>
      </c>
      <c r="K3539">
        <f>IF(E3539="Domain",COUNTIF($E$2:E3539,"Domain"),"")</f>
        <v/>
      </c>
    </row>
    <row r="3540">
      <c r="A3540" s="2" t="n"/>
      <c r="B3540">
        <f>LOWER(TRIM(A3540))</f>
        <v/>
      </c>
      <c r="C3540">
        <f>IF(B3540="","",IFERROR(INDEX('Bad Patterns'!$A$2:$A$120,MATCH(1,INDEX(--ISNUMBER(SEARCH('Bad Patterns'!$A$2:$A$120,B3540)),0),0)),""))</f>
        <v/>
      </c>
      <c r="D3540">
        <f>IF(B3540="","",IF(C3540&lt;&gt;"","REMOVE","KEEP"))</f>
        <v/>
      </c>
      <c r="E3540">
        <f>IF(D3540&lt;&gt;"KEEP","",IF(RIGHT(B3540,10)="@gmail.com","Gmail",IF(OR(RIGHT(B3540,12)="@outlook.com",RIGHT(B3540,12)="@hotmail.com",RIGHT(B3540,9)="@live.com"),"Outlook","Domain")))</f>
        <v/>
      </c>
      <c r="F3540">
        <f>IF(B3540="","",IFERROR(RIGHT(B3540,LEN(B3540)-FIND("@",B3540)),""))</f>
        <v/>
      </c>
      <c r="G3540">
        <f>IF(D3540="KEEP",COUNTIF($D$2:D3540,"KEEP"),"")</f>
        <v/>
      </c>
      <c r="H3540">
        <f>IF(D3540="REMOVE",COUNTIF($D$2:D3540,"REMOVE"),"")</f>
        <v/>
      </c>
      <c r="I3540">
        <f>IF(E3540="Gmail",COUNTIF($E$2:E3540,"Gmail"),"")</f>
        <v/>
      </c>
      <c r="J3540">
        <f>IF(E3540="Outlook",COUNTIF($E$2:E3540,"Outlook"),"")</f>
        <v/>
      </c>
      <c r="K3540">
        <f>IF(E3540="Domain",COUNTIF($E$2:E3540,"Domain"),"")</f>
        <v/>
      </c>
    </row>
    <row r="3541">
      <c r="A3541" s="2" t="n"/>
      <c r="B3541">
        <f>LOWER(TRIM(A3541))</f>
        <v/>
      </c>
      <c r="C3541">
        <f>IF(B3541="","",IFERROR(INDEX('Bad Patterns'!$A$2:$A$120,MATCH(1,INDEX(--ISNUMBER(SEARCH('Bad Patterns'!$A$2:$A$120,B3541)),0),0)),""))</f>
        <v/>
      </c>
      <c r="D3541">
        <f>IF(B3541="","",IF(C3541&lt;&gt;"","REMOVE","KEEP"))</f>
        <v/>
      </c>
      <c r="E3541">
        <f>IF(D3541&lt;&gt;"KEEP","",IF(RIGHT(B3541,10)="@gmail.com","Gmail",IF(OR(RIGHT(B3541,12)="@outlook.com",RIGHT(B3541,12)="@hotmail.com",RIGHT(B3541,9)="@live.com"),"Outlook","Domain")))</f>
        <v/>
      </c>
      <c r="F3541">
        <f>IF(B3541="","",IFERROR(RIGHT(B3541,LEN(B3541)-FIND("@",B3541)),""))</f>
        <v/>
      </c>
      <c r="G3541">
        <f>IF(D3541="KEEP",COUNTIF($D$2:D3541,"KEEP"),"")</f>
        <v/>
      </c>
      <c r="H3541">
        <f>IF(D3541="REMOVE",COUNTIF($D$2:D3541,"REMOVE"),"")</f>
        <v/>
      </c>
      <c r="I3541">
        <f>IF(E3541="Gmail",COUNTIF($E$2:E3541,"Gmail"),"")</f>
        <v/>
      </c>
      <c r="J3541">
        <f>IF(E3541="Outlook",COUNTIF($E$2:E3541,"Outlook"),"")</f>
        <v/>
      </c>
      <c r="K3541">
        <f>IF(E3541="Domain",COUNTIF($E$2:E3541,"Domain"),"")</f>
        <v/>
      </c>
    </row>
    <row r="3542">
      <c r="A3542" s="2" t="n"/>
      <c r="B3542">
        <f>LOWER(TRIM(A3542))</f>
        <v/>
      </c>
      <c r="C3542">
        <f>IF(B3542="","",IFERROR(INDEX('Bad Patterns'!$A$2:$A$120,MATCH(1,INDEX(--ISNUMBER(SEARCH('Bad Patterns'!$A$2:$A$120,B3542)),0),0)),""))</f>
        <v/>
      </c>
      <c r="D3542">
        <f>IF(B3542="","",IF(C3542&lt;&gt;"","REMOVE","KEEP"))</f>
        <v/>
      </c>
      <c r="E3542">
        <f>IF(D3542&lt;&gt;"KEEP","",IF(RIGHT(B3542,10)="@gmail.com","Gmail",IF(OR(RIGHT(B3542,12)="@outlook.com",RIGHT(B3542,12)="@hotmail.com",RIGHT(B3542,9)="@live.com"),"Outlook","Domain")))</f>
        <v/>
      </c>
      <c r="F3542">
        <f>IF(B3542="","",IFERROR(RIGHT(B3542,LEN(B3542)-FIND("@",B3542)),""))</f>
        <v/>
      </c>
      <c r="G3542">
        <f>IF(D3542="KEEP",COUNTIF($D$2:D3542,"KEEP"),"")</f>
        <v/>
      </c>
      <c r="H3542">
        <f>IF(D3542="REMOVE",COUNTIF($D$2:D3542,"REMOVE"),"")</f>
        <v/>
      </c>
      <c r="I3542">
        <f>IF(E3542="Gmail",COUNTIF($E$2:E3542,"Gmail"),"")</f>
        <v/>
      </c>
      <c r="J3542">
        <f>IF(E3542="Outlook",COUNTIF($E$2:E3542,"Outlook"),"")</f>
        <v/>
      </c>
      <c r="K3542">
        <f>IF(E3542="Domain",COUNTIF($E$2:E3542,"Domain"),"")</f>
        <v/>
      </c>
    </row>
    <row r="3543">
      <c r="A3543" s="2" t="n"/>
      <c r="B3543">
        <f>LOWER(TRIM(A3543))</f>
        <v/>
      </c>
      <c r="C3543">
        <f>IF(B3543="","",IFERROR(INDEX('Bad Patterns'!$A$2:$A$120,MATCH(1,INDEX(--ISNUMBER(SEARCH('Bad Patterns'!$A$2:$A$120,B3543)),0),0)),""))</f>
        <v/>
      </c>
      <c r="D3543">
        <f>IF(B3543="","",IF(C3543&lt;&gt;"","REMOVE","KEEP"))</f>
        <v/>
      </c>
      <c r="E3543">
        <f>IF(D3543&lt;&gt;"KEEP","",IF(RIGHT(B3543,10)="@gmail.com","Gmail",IF(OR(RIGHT(B3543,12)="@outlook.com",RIGHT(B3543,12)="@hotmail.com",RIGHT(B3543,9)="@live.com"),"Outlook","Domain")))</f>
        <v/>
      </c>
      <c r="F3543">
        <f>IF(B3543="","",IFERROR(RIGHT(B3543,LEN(B3543)-FIND("@",B3543)),""))</f>
        <v/>
      </c>
      <c r="G3543">
        <f>IF(D3543="KEEP",COUNTIF($D$2:D3543,"KEEP"),"")</f>
        <v/>
      </c>
      <c r="H3543">
        <f>IF(D3543="REMOVE",COUNTIF($D$2:D3543,"REMOVE"),"")</f>
        <v/>
      </c>
      <c r="I3543">
        <f>IF(E3543="Gmail",COUNTIF($E$2:E3543,"Gmail"),"")</f>
        <v/>
      </c>
      <c r="J3543">
        <f>IF(E3543="Outlook",COUNTIF($E$2:E3543,"Outlook"),"")</f>
        <v/>
      </c>
      <c r="K3543">
        <f>IF(E3543="Domain",COUNTIF($E$2:E3543,"Domain"),"")</f>
        <v/>
      </c>
    </row>
    <row r="3544">
      <c r="A3544" s="2" t="n"/>
      <c r="B3544">
        <f>LOWER(TRIM(A3544))</f>
        <v/>
      </c>
      <c r="C3544">
        <f>IF(B3544="","",IFERROR(INDEX('Bad Patterns'!$A$2:$A$120,MATCH(1,INDEX(--ISNUMBER(SEARCH('Bad Patterns'!$A$2:$A$120,B3544)),0),0)),""))</f>
        <v/>
      </c>
      <c r="D3544">
        <f>IF(B3544="","",IF(C3544&lt;&gt;"","REMOVE","KEEP"))</f>
        <v/>
      </c>
      <c r="E3544">
        <f>IF(D3544&lt;&gt;"KEEP","",IF(RIGHT(B3544,10)="@gmail.com","Gmail",IF(OR(RIGHT(B3544,12)="@outlook.com",RIGHT(B3544,12)="@hotmail.com",RIGHT(B3544,9)="@live.com"),"Outlook","Domain")))</f>
        <v/>
      </c>
      <c r="F3544">
        <f>IF(B3544="","",IFERROR(RIGHT(B3544,LEN(B3544)-FIND("@",B3544)),""))</f>
        <v/>
      </c>
      <c r="G3544">
        <f>IF(D3544="KEEP",COUNTIF($D$2:D3544,"KEEP"),"")</f>
        <v/>
      </c>
      <c r="H3544">
        <f>IF(D3544="REMOVE",COUNTIF($D$2:D3544,"REMOVE"),"")</f>
        <v/>
      </c>
      <c r="I3544">
        <f>IF(E3544="Gmail",COUNTIF($E$2:E3544,"Gmail"),"")</f>
        <v/>
      </c>
      <c r="J3544">
        <f>IF(E3544="Outlook",COUNTIF($E$2:E3544,"Outlook"),"")</f>
        <v/>
      </c>
      <c r="K3544">
        <f>IF(E3544="Domain",COUNTIF($E$2:E3544,"Domain"),"")</f>
        <v/>
      </c>
    </row>
    <row r="3545">
      <c r="A3545" s="2" t="n"/>
      <c r="B3545">
        <f>LOWER(TRIM(A3545))</f>
        <v/>
      </c>
      <c r="C3545">
        <f>IF(B3545="","",IFERROR(INDEX('Bad Patterns'!$A$2:$A$120,MATCH(1,INDEX(--ISNUMBER(SEARCH('Bad Patterns'!$A$2:$A$120,B3545)),0),0)),""))</f>
        <v/>
      </c>
      <c r="D3545">
        <f>IF(B3545="","",IF(C3545&lt;&gt;"","REMOVE","KEEP"))</f>
        <v/>
      </c>
      <c r="E3545">
        <f>IF(D3545&lt;&gt;"KEEP","",IF(RIGHT(B3545,10)="@gmail.com","Gmail",IF(OR(RIGHT(B3545,12)="@outlook.com",RIGHT(B3545,12)="@hotmail.com",RIGHT(B3545,9)="@live.com"),"Outlook","Domain")))</f>
        <v/>
      </c>
      <c r="F3545">
        <f>IF(B3545="","",IFERROR(RIGHT(B3545,LEN(B3545)-FIND("@",B3545)),""))</f>
        <v/>
      </c>
      <c r="G3545">
        <f>IF(D3545="KEEP",COUNTIF($D$2:D3545,"KEEP"),"")</f>
        <v/>
      </c>
      <c r="H3545">
        <f>IF(D3545="REMOVE",COUNTIF($D$2:D3545,"REMOVE"),"")</f>
        <v/>
      </c>
      <c r="I3545">
        <f>IF(E3545="Gmail",COUNTIF($E$2:E3545,"Gmail"),"")</f>
        <v/>
      </c>
      <c r="J3545">
        <f>IF(E3545="Outlook",COUNTIF($E$2:E3545,"Outlook"),"")</f>
        <v/>
      </c>
      <c r="K3545">
        <f>IF(E3545="Domain",COUNTIF($E$2:E3545,"Domain"),"")</f>
        <v/>
      </c>
    </row>
    <row r="3546">
      <c r="A3546" s="2" t="n"/>
      <c r="B3546">
        <f>LOWER(TRIM(A3546))</f>
        <v/>
      </c>
      <c r="C3546">
        <f>IF(B3546="","",IFERROR(INDEX('Bad Patterns'!$A$2:$A$120,MATCH(1,INDEX(--ISNUMBER(SEARCH('Bad Patterns'!$A$2:$A$120,B3546)),0),0)),""))</f>
        <v/>
      </c>
      <c r="D3546">
        <f>IF(B3546="","",IF(C3546&lt;&gt;"","REMOVE","KEEP"))</f>
        <v/>
      </c>
      <c r="E3546">
        <f>IF(D3546&lt;&gt;"KEEP","",IF(RIGHT(B3546,10)="@gmail.com","Gmail",IF(OR(RIGHT(B3546,12)="@outlook.com",RIGHT(B3546,12)="@hotmail.com",RIGHT(B3546,9)="@live.com"),"Outlook","Domain")))</f>
        <v/>
      </c>
      <c r="F3546">
        <f>IF(B3546="","",IFERROR(RIGHT(B3546,LEN(B3546)-FIND("@",B3546)),""))</f>
        <v/>
      </c>
      <c r="G3546">
        <f>IF(D3546="KEEP",COUNTIF($D$2:D3546,"KEEP"),"")</f>
        <v/>
      </c>
      <c r="H3546">
        <f>IF(D3546="REMOVE",COUNTIF($D$2:D3546,"REMOVE"),"")</f>
        <v/>
      </c>
      <c r="I3546">
        <f>IF(E3546="Gmail",COUNTIF($E$2:E3546,"Gmail"),"")</f>
        <v/>
      </c>
      <c r="J3546">
        <f>IF(E3546="Outlook",COUNTIF($E$2:E3546,"Outlook"),"")</f>
        <v/>
      </c>
      <c r="K3546">
        <f>IF(E3546="Domain",COUNTIF($E$2:E3546,"Domain"),"")</f>
        <v/>
      </c>
    </row>
    <row r="3547">
      <c r="A3547" s="2" t="n"/>
      <c r="B3547">
        <f>LOWER(TRIM(A3547))</f>
        <v/>
      </c>
      <c r="C3547">
        <f>IF(B3547="","",IFERROR(INDEX('Bad Patterns'!$A$2:$A$120,MATCH(1,INDEX(--ISNUMBER(SEARCH('Bad Patterns'!$A$2:$A$120,B3547)),0),0)),""))</f>
        <v/>
      </c>
      <c r="D3547">
        <f>IF(B3547="","",IF(C3547&lt;&gt;"","REMOVE","KEEP"))</f>
        <v/>
      </c>
      <c r="E3547">
        <f>IF(D3547&lt;&gt;"KEEP","",IF(RIGHT(B3547,10)="@gmail.com","Gmail",IF(OR(RIGHT(B3547,12)="@outlook.com",RIGHT(B3547,12)="@hotmail.com",RIGHT(B3547,9)="@live.com"),"Outlook","Domain")))</f>
        <v/>
      </c>
      <c r="F3547">
        <f>IF(B3547="","",IFERROR(RIGHT(B3547,LEN(B3547)-FIND("@",B3547)),""))</f>
        <v/>
      </c>
      <c r="G3547">
        <f>IF(D3547="KEEP",COUNTIF($D$2:D3547,"KEEP"),"")</f>
        <v/>
      </c>
      <c r="H3547">
        <f>IF(D3547="REMOVE",COUNTIF($D$2:D3547,"REMOVE"),"")</f>
        <v/>
      </c>
      <c r="I3547">
        <f>IF(E3547="Gmail",COUNTIF($E$2:E3547,"Gmail"),"")</f>
        <v/>
      </c>
      <c r="J3547">
        <f>IF(E3547="Outlook",COUNTIF($E$2:E3547,"Outlook"),"")</f>
        <v/>
      </c>
      <c r="K3547">
        <f>IF(E3547="Domain",COUNTIF($E$2:E3547,"Domain"),"")</f>
        <v/>
      </c>
    </row>
    <row r="3548">
      <c r="A3548" s="2" t="n"/>
      <c r="B3548">
        <f>LOWER(TRIM(A3548))</f>
        <v/>
      </c>
      <c r="C3548">
        <f>IF(B3548="","",IFERROR(INDEX('Bad Patterns'!$A$2:$A$120,MATCH(1,INDEX(--ISNUMBER(SEARCH('Bad Patterns'!$A$2:$A$120,B3548)),0),0)),""))</f>
        <v/>
      </c>
      <c r="D3548">
        <f>IF(B3548="","",IF(C3548&lt;&gt;"","REMOVE","KEEP"))</f>
        <v/>
      </c>
      <c r="E3548">
        <f>IF(D3548&lt;&gt;"KEEP","",IF(RIGHT(B3548,10)="@gmail.com","Gmail",IF(OR(RIGHT(B3548,12)="@outlook.com",RIGHT(B3548,12)="@hotmail.com",RIGHT(B3548,9)="@live.com"),"Outlook","Domain")))</f>
        <v/>
      </c>
      <c r="F3548">
        <f>IF(B3548="","",IFERROR(RIGHT(B3548,LEN(B3548)-FIND("@",B3548)),""))</f>
        <v/>
      </c>
      <c r="G3548">
        <f>IF(D3548="KEEP",COUNTIF($D$2:D3548,"KEEP"),"")</f>
        <v/>
      </c>
      <c r="H3548">
        <f>IF(D3548="REMOVE",COUNTIF($D$2:D3548,"REMOVE"),"")</f>
        <v/>
      </c>
      <c r="I3548">
        <f>IF(E3548="Gmail",COUNTIF($E$2:E3548,"Gmail"),"")</f>
        <v/>
      </c>
      <c r="J3548">
        <f>IF(E3548="Outlook",COUNTIF($E$2:E3548,"Outlook"),"")</f>
        <v/>
      </c>
      <c r="K3548">
        <f>IF(E3548="Domain",COUNTIF($E$2:E3548,"Domain"),"")</f>
        <v/>
      </c>
    </row>
    <row r="3549">
      <c r="A3549" s="2" t="n"/>
      <c r="B3549">
        <f>LOWER(TRIM(A3549))</f>
        <v/>
      </c>
      <c r="C3549">
        <f>IF(B3549="","",IFERROR(INDEX('Bad Patterns'!$A$2:$A$120,MATCH(1,INDEX(--ISNUMBER(SEARCH('Bad Patterns'!$A$2:$A$120,B3549)),0),0)),""))</f>
        <v/>
      </c>
      <c r="D3549">
        <f>IF(B3549="","",IF(C3549&lt;&gt;"","REMOVE","KEEP"))</f>
        <v/>
      </c>
      <c r="E3549">
        <f>IF(D3549&lt;&gt;"KEEP","",IF(RIGHT(B3549,10)="@gmail.com","Gmail",IF(OR(RIGHT(B3549,12)="@outlook.com",RIGHT(B3549,12)="@hotmail.com",RIGHT(B3549,9)="@live.com"),"Outlook","Domain")))</f>
        <v/>
      </c>
      <c r="F3549">
        <f>IF(B3549="","",IFERROR(RIGHT(B3549,LEN(B3549)-FIND("@",B3549)),""))</f>
        <v/>
      </c>
      <c r="G3549">
        <f>IF(D3549="KEEP",COUNTIF($D$2:D3549,"KEEP"),"")</f>
        <v/>
      </c>
      <c r="H3549">
        <f>IF(D3549="REMOVE",COUNTIF($D$2:D3549,"REMOVE"),"")</f>
        <v/>
      </c>
      <c r="I3549">
        <f>IF(E3549="Gmail",COUNTIF($E$2:E3549,"Gmail"),"")</f>
        <v/>
      </c>
      <c r="J3549">
        <f>IF(E3549="Outlook",COUNTIF($E$2:E3549,"Outlook"),"")</f>
        <v/>
      </c>
      <c r="K3549">
        <f>IF(E3549="Domain",COUNTIF($E$2:E3549,"Domain"),"")</f>
        <v/>
      </c>
    </row>
    <row r="3550">
      <c r="A3550" s="2" t="n"/>
      <c r="B3550">
        <f>LOWER(TRIM(A3550))</f>
        <v/>
      </c>
      <c r="C3550">
        <f>IF(B3550="","",IFERROR(INDEX('Bad Patterns'!$A$2:$A$120,MATCH(1,INDEX(--ISNUMBER(SEARCH('Bad Patterns'!$A$2:$A$120,B3550)),0),0)),""))</f>
        <v/>
      </c>
      <c r="D3550">
        <f>IF(B3550="","",IF(C3550&lt;&gt;"","REMOVE","KEEP"))</f>
        <v/>
      </c>
      <c r="E3550">
        <f>IF(D3550&lt;&gt;"KEEP","",IF(RIGHT(B3550,10)="@gmail.com","Gmail",IF(OR(RIGHT(B3550,12)="@outlook.com",RIGHT(B3550,12)="@hotmail.com",RIGHT(B3550,9)="@live.com"),"Outlook","Domain")))</f>
        <v/>
      </c>
      <c r="F3550">
        <f>IF(B3550="","",IFERROR(RIGHT(B3550,LEN(B3550)-FIND("@",B3550)),""))</f>
        <v/>
      </c>
      <c r="G3550">
        <f>IF(D3550="KEEP",COUNTIF($D$2:D3550,"KEEP"),"")</f>
        <v/>
      </c>
      <c r="H3550">
        <f>IF(D3550="REMOVE",COUNTIF($D$2:D3550,"REMOVE"),"")</f>
        <v/>
      </c>
      <c r="I3550">
        <f>IF(E3550="Gmail",COUNTIF($E$2:E3550,"Gmail"),"")</f>
        <v/>
      </c>
      <c r="J3550">
        <f>IF(E3550="Outlook",COUNTIF($E$2:E3550,"Outlook"),"")</f>
        <v/>
      </c>
      <c r="K3550">
        <f>IF(E3550="Domain",COUNTIF($E$2:E3550,"Domain"),"")</f>
        <v/>
      </c>
    </row>
    <row r="3551">
      <c r="A3551" s="2" t="n"/>
      <c r="B3551">
        <f>LOWER(TRIM(A3551))</f>
        <v/>
      </c>
      <c r="C3551">
        <f>IF(B3551="","",IFERROR(INDEX('Bad Patterns'!$A$2:$A$120,MATCH(1,INDEX(--ISNUMBER(SEARCH('Bad Patterns'!$A$2:$A$120,B3551)),0),0)),""))</f>
        <v/>
      </c>
      <c r="D3551">
        <f>IF(B3551="","",IF(C3551&lt;&gt;"","REMOVE","KEEP"))</f>
        <v/>
      </c>
      <c r="E3551">
        <f>IF(D3551&lt;&gt;"KEEP","",IF(RIGHT(B3551,10)="@gmail.com","Gmail",IF(OR(RIGHT(B3551,12)="@outlook.com",RIGHT(B3551,12)="@hotmail.com",RIGHT(B3551,9)="@live.com"),"Outlook","Domain")))</f>
        <v/>
      </c>
      <c r="F3551">
        <f>IF(B3551="","",IFERROR(RIGHT(B3551,LEN(B3551)-FIND("@",B3551)),""))</f>
        <v/>
      </c>
      <c r="G3551">
        <f>IF(D3551="KEEP",COUNTIF($D$2:D3551,"KEEP"),"")</f>
        <v/>
      </c>
      <c r="H3551">
        <f>IF(D3551="REMOVE",COUNTIF($D$2:D3551,"REMOVE"),"")</f>
        <v/>
      </c>
      <c r="I3551">
        <f>IF(E3551="Gmail",COUNTIF($E$2:E3551,"Gmail"),"")</f>
        <v/>
      </c>
      <c r="J3551">
        <f>IF(E3551="Outlook",COUNTIF($E$2:E3551,"Outlook"),"")</f>
        <v/>
      </c>
      <c r="K3551">
        <f>IF(E3551="Domain",COUNTIF($E$2:E3551,"Domain"),"")</f>
        <v/>
      </c>
    </row>
    <row r="3552">
      <c r="A3552" s="2" t="n"/>
      <c r="B3552">
        <f>LOWER(TRIM(A3552))</f>
        <v/>
      </c>
      <c r="C3552">
        <f>IF(B3552="","",IFERROR(INDEX('Bad Patterns'!$A$2:$A$120,MATCH(1,INDEX(--ISNUMBER(SEARCH('Bad Patterns'!$A$2:$A$120,B3552)),0),0)),""))</f>
        <v/>
      </c>
      <c r="D3552">
        <f>IF(B3552="","",IF(C3552&lt;&gt;"","REMOVE","KEEP"))</f>
        <v/>
      </c>
      <c r="E3552">
        <f>IF(D3552&lt;&gt;"KEEP","",IF(RIGHT(B3552,10)="@gmail.com","Gmail",IF(OR(RIGHT(B3552,12)="@outlook.com",RIGHT(B3552,12)="@hotmail.com",RIGHT(B3552,9)="@live.com"),"Outlook","Domain")))</f>
        <v/>
      </c>
      <c r="F3552">
        <f>IF(B3552="","",IFERROR(RIGHT(B3552,LEN(B3552)-FIND("@",B3552)),""))</f>
        <v/>
      </c>
      <c r="G3552">
        <f>IF(D3552="KEEP",COUNTIF($D$2:D3552,"KEEP"),"")</f>
        <v/>
      </c>
      <c r="H3552">
        <f>IF(D3552="REMOVE",COUNTIF($D$2:D3552,"REMOVE"),"")</f>
        <v/>
      </c>
      <c r="I3552">
        <f>IF(E3552="Gmail",COUNTIF($E$2:E3552,"Gmail"),"")</f>
        <v/>
      </c>
      <c r="J3552">
        <f>IF(E3552="Outlook",COUNTIF($E$2:E3552,"Outlook"),"")</f>
        <v/>
      </c>
      <c r="K3552">
        <f>IF(E3552="Domain",COUNTIF($E$2:E3552,"Domain"),"")</f>
        <v/>
      </c>
    </row>
    <row r="3553">
      <c r="A3553" s="2" t="n"/>
      <c r="B3553">
        <f>LOWER(TRIM(A3553))</f>
        <v/>
      </c>
      <c r="C3553">
        <f>IF(B3553="","",IFERROR(INDEX('Bad Patterns'!$A$2:$A$120,MATCH(1,INDEX(--ISNUMBER(SEARCH('Bad Patterns'!$A$2:$A$120,B3553)),0),0)),""))</f>
        <v/>
      </c>
      <c r="D3553">
        <f>IF(B3553="","",IF(C3553&lt;&gt;"","REMOVE","KEEP"))</f>
        <v/>
      </c>
      <c r="E3553">
        <f>IF(D3553&lt;&gt;"KEEP","",IF(RIGHT(B3553,10)="@gmail.com","Gmail",IF(OR(RIGHT(B3553,12)="@outlook.com",RIGHT(B3553,12)="@hotmail.com",RIGHT(B3553,9)="@live.com"),"Outlook","Domain")))</f>
        <v/>
      </c>
      <c r="F3553">
        <f>IF(B3553="","",IFERROR(RIGHT(B3553,LEN(B3553)-FIND("@",B3553)),""))</f>
        <v/>
      </c>
      <c r="G3553">
        <f>IF(D3553="KEEP",COUNTIF($D$2:D3553,"KEEP"),"")</f>
        <v/>
      </c>
      <c r="H3553">
        <f>IF(D3553="REMOVE",COUNTIF($D$2:D3553,"REMOVE"),"")</f>
        <v/>
      </c>
      <c r="I3553">
        <f>IF(E3553="Gmail",COUNTIF($E$2:E3553,"Gmail"),"")</f>
        <v/>
      </c>
      <c r="J3553">
        <f>IF(E3553="Outlook",COUNTIF($E$2:E3553,"Outlook"),"")</f>
        <v/>
      </c>
      <c r="K3553">
        <f>IF(E3553="Domain",COUNTIF($E$2:E3553,"Domain"),"")</f>
        <v/>
      </c>
    </row>
    <row r="3554">
      <c r="A3554" s="2" t="n"/>
      <c r="B3554">
        <f>LOWER(TRIM(A3554))</f>
        <v/>
      </c>
      <c r="C3554">
        <f>IF(B3554="","",IFERROR(INDEX('Bad Patterns'!$A$2:$A$120,MATCH(1,INDEX(--ISNUMBER(SEARCH('Bad Patterns'!$A$2:$A$120,B3554)),0),0)),""))</f>
        <v/>
      </c>
      <c r="D3554">
        <f>IF(B3554="","",IF(C3554&lt;&gt;"","REMOVE","KEEP"))</f>
        <v/>
      </c>
      <c r="E3554">
        <f>IF(D3554&lt;&gt;"KEEP","",IF(RIGHT(B3554,10)="@gmail.com","Gmail",IF(OR(RIGHT(B3554,12)="@outlook.com",RIGHT(B3554,12)="@hotmail.com",RIGHT(B3554,9)="@live.com"),"Outlook","Domain")))</f>
        <v/>
      </c>
      <c r="F3554">
        <f>IF(B3554="","",IFERROR(RIGHT(B3554,LEN(B3554)-FIND("@",B3554)),""))</f>
        <v/>
      </c>
      <c r="G3554">
        <f>IF(D3554="KEEP",COUNTIF($D$2:D3554,"KEEP"),"")</f>
        <v/>
      </c>
      <c r="H3554">
        <f>IF(D3554="REMOVE",COUNTIF($D$2:D3554,"REMOVE"),"")</f>
        <v/>
      </c>
      <c r="I3554">
        <f>IF(E3554="Gmail",COUNTIF($E$2:E3554,"Gmail"),"")</f>
        <v/>
      </c>
      <c r="J3554">
        <f>IF(E3554="Outlook",COUNTIF($E$2:E3554,"Outlook"),"")</f>
        <v/>
      </c>
      <c r="K3554">
        <f>IF(E3554="Domain",COUNTIF($E$2:E3554,"Domain"),"")</f>
        <v/>
      </c>
    </row>
    <row r="3555">
      <c r="A3555" s="2" t="n"/>
      <c r="B3555">
        <f>LOWER(TRIM(A3555))</f>
        <v/>
      </c>
      <c r="C3555">
        <f>IF(B3555="","",IFERROR(INDEX('Bad Patterns'!$A$2:$A$120,MATCH(1,INDEX(--ISNUMBER(SEARCH('Bad Patterns'!$A$2:$A$120,B3555)),0),0)),""))</f>
        <v/>
      </c>
      <c r="D3555">
        <f>IF(B3555="","",IF(C3555&lt;&gt;"","REMOVE","KEEP"))</f>
        <v/>
      </c>
      <c r="E3555">
        <f>IF(D3555&lt;&gt;"KEEP","",IF(RIGHT(B3555,10)="@gmail.com","Gmail",IF(OR(RIGHT(B3555,12)="@outlook.com",RIGHT(B3555,12)="@hotmail.com",RIGHT(B3555,9)="@live.com"),"Outlook","Domain")))</f>
        <v/>
      </c>
      <c r="F3555">
        <f>IF(B3555="","",IFERROR(RIGHT(B3555,LEN(B3555)-FIND("@",B3555)),""))</f>
        <v/>
      </c>
      <c r="G3555">
        <f>IF(D3555="KEEP",COUNTIF($D$2:D3555,"KEEP"),"")</f>
        <v/>
      </c>
      <c r="H3555">
        <f>IF(D3555="REMOVE",COUNTIF($D$2:D3555,"REMOVE"),"")</f>
        <v/>
      </c>
      <c r="I3555">
        <f>IF(E3555="Gmail",COUNTIF($E$2:E3555,"Gmail"),"")</f>
        <v/>
      </c>
      <c r="J3555">
        <f>IF(E3555="Outlook",COUNTIF($E$2:E3555,"Outlook"),"")</f>
        <v/>
      </c>
      <c r="K3555">
        <f>IF(E3555="Domain",COUNTIF($E$2:E3555,"Domain"),"")</f>
        <v/>
      </c>
    </row>
    <row r="3556">
      <c r="A3556" s="2" t="n"/>
      <c r="B3556">
        <f>LOWER(TRIM(A3556))</f>
        <v/>
      </c>
      <c r="C3556">
        <f>IF(B3556="","",IFERROR(INDEX('Bad Patterns'!$A$2:$A$120,MATCH(1,INDEX(--ISNUMBER(SEARCH('Bad Patterns'!$A$2:$A$120,B3556)),0),0)),""))</f>
        <v/>
      </c>
      <c r="D3556">
        <f>IF(B3556="","",IF(C3556&lt;&gt;"","REMOVE","KEEP"))</f>
        <v/>
      </c>
      <c r="E3556">
        <f>IF(D3556&lt;&gt;"KEEP","",IF(RIGHT(B3556,10)="@gmail.com","Gmail",IF(OR(RIGHT(B3556,12)="@outlook.com",RIGHT(B3556,12)="@hotmail.com",RIGHT(B3556,9)="@live.com"),"Outlook","Domain")))</f>
        <v/>
      </c>
      <c r="F3556">
        <f>IF(B3556="","",IFERROR(RIGHT(B3556,LEN(B3556)-FIND("@",B3556)),""))</f>
        <v/>
      </c>
      <c r="G3556">
        <f>IF(D3556="KEEP",COUNTIF($D$2:D3556,"KEEP"),"")</f>
        <v/>
      </c>
      <c r="H3556">
        <f>IF(D3556="REMOVE",COUNTIF($D$2:D3556,"REMOVE"),"")</f>
        <v/>
      </c>
      <c r="I3556">
        <f>IF(E3556="Gmail",COUNTIF($E$2:E3556,"Gmail"),"")</f>
        <v/>
      </c>
      <c r="J3556">
        <f>IF(E3556="Outlook",COUNTIF($E$2:E3556,"Outlook"),"")</f>
        <v/>
      </c>
      <c r="K3556">
        <f>IF(E3556="Domain",COUNTIF($E$2:E3556,"Domain"),"")</f>
        <v/>
      </c>
    </row>
    <row r="3557">
      <c r="A3557" s="2" t="n"/>
      <c r="B3557">
        <f>LOWER(TRIM(A3557))</f>
        <v/>
      </c>
      <c r="C3557">
        <f>IF(B3557="","",IFERROR(INDEX('Bad Patterns'!$A$2:$A$120,MATCH(1,INDEX(--ISNUMBER(SEARCH('Bad Patterns'!$A$2:$A$120,B3557)),0),0)),""))</f>
        <v/>
      </c>
      <c r="D3557">
        <f>IF(B3557="","",IF(C3557&lt;&gt;"","REMOVE","KEEP"))</f>
        <v/>
      </c>
      <c r="E3557">
        <f>IF(D3557&lt;&gt;"KEEP","",IF(RIGHT(B3557,10)="@gmail.com","Gmail",IF(OR(RIGHT(B3557,12)="@outlook.com",RIGHT(B3557,12)="@hotmail.com",RIGHT(B3557,9)="@live.com"),"Outlook","Domain")))</f>
        <v/>
      </c>
      <c r="F3557">
        <f>IF(B3557="","",IFERROR(RIGHT(B3557,LEN(B3557)-FIND("@",B3557)),""))</f>
        <v/>
      </c>
      <c r="G3557">
        <f>IF(D3557="KEEP",COUNTIF($D$2:D3557,"KEEP"),"")</f>
        <v/>
      </c>
      <c r="H3557">
        <f>IF(D3557="REMOVE",COUNTIF($D$2:D3557,"REMOVE"),"")</f>
        <v/>
      </c>
      <c r="I3557">
        <f>IF(E3557="Gmail",COUNTIF($E$2:E3557,"Gmail"),"")</f>
        <v/>
      </c>
      <c r="J3557">
        <f>IF(E3557="Outlook",COUNTIF($E$2:E3557,"Outlook"),"")</f>
        <v/>
      </c>
      <c r="K3557">
        <f>IF(E3557="Domain",COUNTIF($E$2:E3557,"Domain"),"")</f>
        <v/>
      </c>
    </row>
    <row r="3558">
      <c r="A3558" s="2" t="n"/>
      <c r="B3558">
        <f>LOWER(TRIM(A3558))</f>
        <v/>
      </c>
      <c r="C3558">
        <f>IF(B3558="","",IFERROR(INDEX('Bad Patterns'!$A$2:$A$120,MATCH(1,INDEX(--ISNUMBER(SEARCH('Bad Patterns'!$A$2:$A$120,B3558)),0),0)),""))</f>
        <v/>
      </c>
      <c r="D3558">
        <f>IF(B3558="","",IF(C3558&lt;&gt;"","REMOVE","KEEP"))</f>
        <v/>
      </c>
      <c r="E3558">
        <f>IF(D3558&lt;&gt;"KEEP","",IF(RIGHT(B3558,10)="@gmail.com","Gmail",IF(OR(RIGHT(B3558,12)="@outlook.com",RIGHT(B3558,12)="@hotmail.com",RIGHT(B3558,9)="@live.com"),"Outlook","Domain")))</f>
        <v/>
      </c>
      <c r="F3558">
        <f>IF(B3558="","",IFERROR(RIGHT(B3558,LEN(B3558)-FIND("@",B3558)),""))</f>
        <v/>
      </c>
      <c r="G3558">
        <f>IF(D3558="KEEP",COUNTIF($D$2:D3558,"KEEP"),"")</f>
        <v/>
      </c>
      <c r="H3558">
        <f>IF(D3558="REMOVE",COUNTIF($D$2:D3558,"REMOVE"),"")</f>
        <v/>
      </c>
      <c r="I3558">
        <f>IF(E3558="Gmail",COUNTIF($E$2:E3558,"Gmail"),"")</f>
        <v/>
      </c>
      <c r="J3558">
        <f>IF(E3558="Outlook",COUNTIF($E$2:E3558,"Outlook"),"")</f>
        <v/>
      </c>
      <c r="K3558">
        <f>IF(E3558="Domain",COUNTIF($E$2:E3558,"Domain"),"")</f>
        <v/>
      </c>
    </row>
    <row r="3559">
      <c r="A3559" s="2" t="n"/>
      <c r="B3559">
        <f>LOWER(TRIM(A3559))</f>
        <v/>
      </c>
      <c r="C3559">
        <f>IF(B3559="","",IFERROR(INDEX('Bad Patterns'!$A$2:$A$120,MATCH(1,INDEX(--ISNUMBER(SEARCH('Bad Patterns'!$A$2:$A$120,B3559)),0),0)),""))</f>
        <v/>
      </c>
      <c r="D3559">
        <f>IF(B3559="","",IF(C3559&lt;&gt;"","REMOVE","KEEP"))</f>
        <v/>
      </c>
      <c r="E3559">
        <f>IF(D3559&lt;&gt;"KEEP","",IF(RIGHT(B3559,10)="@gmail.com","Gmail",IF(OR(RIGHT(B3559,12)="@outlook.com",RIGHT(B3559,12)="@hotmail.com",RIGHT(B3559,9)="@live.com"),"Outlook","Domain")))</f>
        <v/>
      </c>
      <c r="F3559">
        <f>IF(B3559="","",IFERROR(RIGHT(B3559,LEN(B3559)-FIND("@",B3559)),""))</f>
        <v/>
      </c>
      <c r="G3559">
        <f>IF(D3559="KEEP",COUNTIF($D$2:D3559,"KEEP"),"")</f>
        <v/>
      </c>
      <c r="H3559">
        <f>IF(D3559="REMOVE",COUNTIF($D$2:D3559,"REMOVE"),"")</f>
        <v/>
      </c>
      <c r="I3559">
        <f>IF(E3559="Gmail",COUNTIF($E$2:E3559,"Gmail"),"")</f>
        <v/>
      </c>
      <c r="J3559">
        <f>IF(E3559="Outlook",COUNTIF($E$2:E3559,"Outlook"),"")</f>
        <v/>
      </c>
      <c r="K3559">
        <f>IF(E3559="Domain",COUNTIF($E$2:E3559,"Domain"),"")</f>
        <v/>
      </c>
    </row>
    <row r="3560">
      <c r="A3560" s="2" t="n"/>
      <c r="B3560">
        <f>LOWER(TRIM(A3560))</f>
        <v/>
      </c>
      <c r="C3560">
        <f>IF(B3560="","",IFERROR(INDEX('Bad Patterns'!$A$2:$A$120,MATCH(1,INDEX(--ISNUMBER(SEARCH('Bad Patterns'!$A$2:$A$120,B3560)),0),0)),""))</f>
        <v/>
      </c>
      <c r="D3560">
        <f>IF(B3560="","",IF(C3560&lt;&gt;"","REMOVE","KEEP"))</f>
        <v/>
      </c>
      <c r="E3560">
        <f>IF(D3560&lt;&gt;"KEEP","",IF(RIGHT(B3560,10)="@gmail.com","Gmail",IF(OR(RIGHT(B3560,12)="@outlook.com",RIGHT(B3560,12)="@hotmail.com",RIGHT(B3560,9)="@live.com"),"Outlook","Domain")))</f>
        <v/>
      </c>
      <c r="F3560">
        <f>IF(B3560="","",IFERROR(RIGHT(B3560,LEN(B3560)-FIND("@",B3560)),""))</f>
        <v/>
      </c>
      <c r="G3560">
        <f>IF(D3560="KEEP",COUNTIF($D$2:D3560,"KEEP"),"")</f>
        <v/>
      </c>
      <c r="H3560">
        <f>IF(D3560="REMOVE",COUNTIF($D$2:D3560,"REMOVE"),"")</f>
        <v/>
      </c>
      <c r="I3560">
        <f>IF(E3560="Gmail",COUNTIF($E$2:E3560,"Gmail"),"")</f>
        <v/>
      </c>
      <c r="J3560">
        <f>IF(E3560="Outlook",COUNTIF($E$2:E3560,"Outlook"),"")</f>
        <v/>
      </c>
      <c r="K3560">
        <f>IF(E3560="Domain",COUNTIF($E$2:E3560,"Domain"),"")</f>
        <v/>
      </c>
    </row>
    <row r="3561">
      <c r="A3561" s="2" t="n"/>
      <c r="B3561">
        <f>LOWER(TRIM(A3561))</f>
        <v/>
      </c>
      <c r="C3561">
        <f>IF(B3561="","",IFERROR(INDEX('Bad Patterns'!$A$2:$A$120,MATCH(1,INDEX(--ISNUMBER(SEARCH('Bad Patterns'!$A$2:$A$120,B3561)),0),0)),""))</f>
        <v/>
      </c>
      <c r="D3561">
        <f>IF(B3561="","",IF(C3561&lt;&gt;"","REMOVE","KEEP"))</f>
        <v/>
      </c>
      <c r="E3561">
        <f>IF(D3561&lt;&gt;"KEEP","",IF(RIGHT(B3561,10)="@gmail.com","Gmail",IF(OR(RIGHT(B3561,12)="@outlook.com",RIGHT(B3561,12)="@hotmail.com",RIGHT(B3561,9)="@live.com"),"Outlook","Domain")))</f>
        <v/>
      </c>
      <c r="F3561">
        <f>IF(B3561="","",IFERROR(RIGHT(B3561,LEN(B3561)-FIND("@",B3561)),""))</f>
        <v/>
      </c>
      <c r="G3561">
        <f>IF(D3561="KEEP",COUNTIF($D$2:D3561,"KEEP"),"")</f>
        <v/>
      </c>
      <c r="H3561">
        <f>IF(D3561="REMOVE",COUNTIF($D$2:D3561,"REMOVE"),"")</f>
        <v/>
      </c>
      <c r="I3561">
        <f>IF(E3561="Gmail",COUNTIF($E$2:E3561,"Gmail"),"")</f>
        <v/>
      </c>
      <c r="J3561">
        <f>IF(E3561="Outlook",COUNTIF($E$2:E3561,"Outlook"),"")</f>
        <v/>
      </c>
      <c r="K3561">
        <f>IF(E3561="Domain",COUNTIF($E$2:E3561,"Domain"),"")</f>
        <v/>
      </c>
    </row>
    <row r="3562">
      <c r="A3562" s="2" t="n"/>
      <c r="B3562">
        <f>LOWER(TRIM(A3562))</f>
        <v/>
      </c>
      <c r="C3562">
        <f>IF(B3562="","",IFERROR(INDEX('Bad Patterns'!$A$2:$A$120,MATCH(1,INDEX(--ISNUMBER(SEARCH('Bad Patterns'!$A$2:$A$120,B3562)),0),0)),""))</f>
        <v/>
      </c>
      <c r="D3562">
        <f>IF(B3562="","",IF(C3562&lt;&gt;"","REMOVE","KEEP"))</f>
        <v/>
      </c>
      <c r="E3562">
        <f>IF(D3562&lt;&gt;"KEEP","",IF(RIGHT(B3562,10)="@gmail.com","Gmail",IF(OR(RIGHT(B3562,12)="@outlook.com",RIGHT(B3562,12)="@hotmail.com",RIGHT(B3562,9)="@live.com"),"Outlook","Domain")))</f>
        <v/>
      </c>
      <c r="F3562">
        <f>IF(B3562="","",IFERROR(RIGHT(B3562,LEN(B3562)-FIND("@",B3562)),""))</f>
        <v/>
      </c>
      <c r="G3562">
        <f>IF(D3562="KEEP",COUNTIF($D$2:D3562,"KEEP"),"")</f>
        <v/>
      </c>
      <c r="H3562">
        <f>IF(D3562="REMOVE",COUNTIF($D$2:D3562,"REMOVE"),"")</f>
        <v/>
      </c>
      <c r="I3562">
        <f>IF(E3562="Gmail",COUNTIF($E$2:E3562,"Gmail"),"")</f>
        <v/>
      </c>
      <c r="J3562">
        <f>IF(E3562="Outlook",COUNTIF($E$2:E3562,"Outlook"),"")</f>
        <v/>
      </c>
      <c r="K3562">
        <f>IF(E3562="Domain",COUNTIF($E$2:E3562,"Domain"),"")</f>
        <v/>
      </c>
    </row>
    <row r="3563">
      <c r="A3563" s="2" t="n"/>
      <c r="B3563">
        <f>LOWER(TRIM(A3563))</f>
        <v/>
      </c>
      <c r="C3563">
        <f>IF(B3563="","",IFERROR(INDEX('Bad Patterns'!$A$2:$A$120,MATCH(1,INDEX(--ISNUMBER(SEARCH('Bad Patterns'!$A$2:$A$120,B3563)),0),0)),""))</f>
        <v/>
      </c>
      <c r="D3563">
        <f>IF(B3563="","",IF(C3563&lt;&gt;"","REMOVE","KEEP"))</f>
        <v/>
      </c>
      <c r="E3563">
        <f>IF(D3563&lt;&gt;"KEEP","",IF(RIGHT(B3563,10)="@gmail.com","Gmail",IF(OR(RIGHT(B3563,12)="@outlook.com",RIGHT(B3563,12)="@hotmail.com",RIGHT(B3563,9)="@live.com"),"Outlook","Domain")))</f>
        <v/>
      </c>
      <c r="F3563">
        <f>IF(B3563="","",IFERROR(RIGHT(B3563,LEN(B3563)-FIND("@",B3563)),""))</f>
        <v/>
      </c>
      <c r="G3563">
        <f>IF(D3563="KEEP",COUNTIF($D$2:D3563,"KEEP"),"")</f>
        <v/>
      </c>
      <c r="H3563">
        <f>IF(D3563="REMOVE",COUNTIF($D$2:D3563,"REMOVE"),"")</f>
        <v/>
      </c>
      <c r="I3563">
        <f>IF(E3563="Gmail",COUNTIF($E$2:E3563,"Gmail"),"")</f>
        <v/>
      </c>
      <c r="J3563">
        <f>IF(E3563="Outlook",COUNTIF($E$2:E3563,"Outlook"),"")</f>
        <v/>
      </c>
      <c r="K3563">
        <f>IF(E3563="Domain",COUNTIF($E$2:E3563,"Domain"),"")</f>
        <v/>
      </c>
    </row>
    <row r="3564">
      <c r="A3564" s="2" t="n"/>
      <c r="B3564">
        <f>LOWER(TRIM(A3564))</f>
        <v/>
      </c>
      <c r="C3564">
        <f>IF(B3564="","",IFERROR(INDEX('Bad Patterns'!$A$2:$A$120,MATCH(1,INDEX(--ISNUMBER(SEARCH('Bad Patterns'!$A$2:$A$120,B3564)),0),0)),""))</f>
        <v/>
      </c>
      <c r="D3564">
        <f>IF(B3564="","",IF(C3564&lt;&gt;"","REMOVE","KEEP"))</f>
        <v/>
      </c>
      <c r="E3564">
        <f>IF(D3564&lt;&gt;"KEEP","",IF(RIGHT(B3564,10)="@gmail.com","Gmail",IF(OR(RIGHT(B3564,12)="@outlook.com",RIGHT(B3564,12)="@hotmail.com",RIGHT(B3564,9)="@live.com"),"Outlook","Domain")))</f>
        <v/>
      </c>
      <c r="F3564">
        <f>IF(B3564="","",IFERROR(RIGHT(B3564,LEN(B3564)-FIND("@",B3564)),""))</f>
        <v/>
      </c>
      <c r="G3564">
        <f>IF(D3564="KEEP",COUNTIF($D$2:D3564,"KEEP"),"")</f>
        <v/>
      </c>
      <c r="H3564">
        <f>IF(D3564="REMOVE",COUNTIF($D$2:D3564,"REMOVE"),"")</f>
        <v/>
      </c>
      <c r="I3564">
        <f>IF(E3564="Gmail",COUNTIF($E$2:E3564,"Gmail"),"")</f>
        <v/>
      </c>
      <c r="J3564">
        <f>IF(E3564="Outlook",COUNTIF($E$2:E3564,"Outlook"),"")</f>
        <v/>
      </c>
      <c r="K3564">
        <f>IF(E3564="Domain",COUNTIF($E$2:E3564,"Domain"),"")</f>
        <v/>
      </c>
    </row>
    <row r="3565">
      <c r="A3565" s="2" t="n"/>
      <c r="B3565">
        <f>LOWER(TRIM(A3565))</f>
        <v/>
      </c>
      <c r="C3565">
        <f>IF(B3565="","",IFERROR(INDEX('Bad Patterns'!$A$2:$A$120,MATCH(1,INDEX(--ISNUMBER(SEARCH('Bad Patterns'!$A$2:$A$120,B3565)),0),0)),""))</f>
        <v/>
      </c>
      <c r="D3565">
        <f>IF(B3565="","",IF(C3565&lt;&gt;"","REMOVE","KEEP"))</f>
        <v/>
      </c>
      <c r="E3565">
        <f>IF(D3565&lt;&gt;"KEEP","",IF(RIGHT(B3565,10)="@gmail.com","Gmail",IF(OR(RIGHT(B3565,12)="@outlook.com",RIGHT(B3565,12)="@hotmail.com",RIGHT(B3565,9)="@live.com"),"Outlook","Domain")))</f>
        <v/>
      </c>
      <c r="F3565">
        <f>IF(B3565="","",IFERROR(RIGHT(B3565,LEN(B3565)-FIND("@",B3565)),""))</f>
        <v/>
      </c>
      <c r="G3565">
        <f>IF(D3565="KEEP",COUNTIF($D$2:D3565,"KEEP"),"")</f>
        <v/>
      </c>
      <c r="H3565">
        <f>IF(D3565="REMOVE",COUNTIF($D$2:D3565,"REMOVE"),"")</f>
        <v/>
      </c>
      <c r="I3565">
        <f>IF(E3565="Gmail",COUNTIF($E$2:E3565,"Gmail"),"")</f>
        <v/>
      </c>
      <c r="J3565">
        <f>IF(E3565="Outlook",COUNTIF($E$2:E3565,"Outlook"),"")</f>
        <v/>
      </c>
      <c r="K3565">
        <f>IF(E3565="Domain",COUNTIF($E$2:E3565,"Domain"),"")</f>
        <v/>
      </c>
    </row>
    <row r="3566">
      <c r="A3566" s="2" t="n"/>
      <c r="B3566">
        <f>LOWER(TRIM(A3566))</f>
        <v/>
      </c>
      <c r="C3566">
        <f>IF(B3566="","",IFERROR(INDEX('Bad Patterns'!$A$2:$A$120,MATCH(1,INDEX(--ISNUMBER(SEARCH('Bad Patterns'!$A$2:$A$120,B3566)),0),0)),""))</f>
        <v/>
      </c>
      <c r="D3566">
        <f>IF(B3566="","",IF(C3566&lt;&gt;"","REMOVE","KEEP"))</f>
        <v/>
      </c>
      <c r="E3566">
        <f>IF(D3566&lt;&gt;"KEEP","",IF(RIGHT(B3566,10)="@gmail.com","Gmail",IF(OR(RIGHT(B3566,12)="@outlook.com",RIGHT(B3566,12)="@hotmail.com",RIGHT(B3566,9)="@live.com"),"Outlook","Domain")))</f>
        <v/>
      </c>
      <c r="F3566">
        <f>IF(B3566="","",IFERROR(RIGHT(B3566,LEN(B3566)-FIND("@",B3566)),""))</f>
        <v/>
      </c>
      <c r="G3566">
        <f>IF(D3566="KEEP",COUNTIF($D$2:D3566,"KEEP"),"")</f>
        <v/>
      </c>
      <c r="H3566">
        <f>IF(D3566="REMOVE",COUNTIF($D$2:D3566,"REMOVE"),"")</f>
        <v/>
      </c>
      <c r="I3566">
        <f>IF(E3566="Gmail",COUNTIF($E$2:E3566,"Gmail"),"")</f>
        <v/>
      </c>
      <c r="J3566">
        <f>IF(E3566="Outlook",COUNTIF($E$2:E3566,"Outlook"),"")</f>
        <v/>
      </c>
      <c r="K3566">
        <f>IF(E3566="Domain",COUNTIF($E$2:E3566,"Domain"),"")</f>
        <v/>
      </c>
    </row>
    <row r="3567">
      <c r="A3567" s="2" t="n"/>
      <c r="B3567">
        <f>LOWER(TRIM(A3567))</f>
        <v/>
      </c>
      <c r="C3567">
        <f>IF(B3567="","",IFERROR(INDEX('Bad Patterns'!$A$2:$A$120,MATCH(1,INDEX(--ISNUMBER(SEARCH('Bad Patterns'!$A$2:$A$120,B3567)),0),0)),""))</f>
        <v/>
      </c>
      <c r="D3567">
        <f>IF(B3567="","",IF(C3567&lt;&gt;"","REMOVE","KEEP"))</f>
        <v/>
      </c>
      <c r="E3567">
        <f>IF(D3567&lt;&gt;"KEEP","",IF(RIGHT(B3567,10)="@gmail.com","Gmail",IF(OR(RIGHT(B3567,12)="@outlook.com",RIGHT(B3567,12)="@hotmail.com",RIGHT(B3567,9)="@live.com"),"Outlook","Domain")))</f>
        <v/>
      </c>
      <c r="F3567">
        <f>IF(B3567="","",IFERROR(RIGHT(B3567,LEN(B3567)-FIND("@",B3567)),""))</f>
        <v/>
      </c>
      <c r="G3567">
        <f>IF(D3567="KEEP",COUNTIF($D$2:D3567,"KEEP"),"")</f>
        <v/>
      </c>
      <c r="H3567">
        <f>IF(D3567="REMOVE",COUNTIF($D$2:D3567,"REMOVE"),"")</f>
        <v/>
      </c>
      <c r="I3567">
        <f>IF(E3567="Gmail",COUNTIF($E$2:E3567,"Gmail"),"")</f>
        <v/>
      </c>
      <c r="J3567">
        <f>IF(E3567="Outlook",COUNTIF($E$2:E3567,"Outlook"),"")</f>
        <v/>
      </c>
      <c r="K3567">
        <f>IF(E3567="Domain",COUNTIF($E$2:E3567,"Domain"),"")</f>
        <v/>
      </c>
    </row>
    <row r="3568">
      <c r="A3568" s="2" t="n"/>
      <c r="B3568">
        <f>LOWER(TRIM(A3568))</f>
        <v/>
      </c>
      <c r="C3568">
        <f>IF(B3568="","",IFERROR(INDEX('Bad Patterns'!$A$2:$A$120,MATCH(1,INDEX(--ISNUMBER(SEARCH('Bad Patterns'!$A$2:$A$120,B3568)),0),0)),""))</f>
        <v/>
      </c>
      <c r="D3568">
        <f>IF(B3568="","",IF(C3568&lt;&gt;"","REMOVE","KEEP"))</f>
        <v/>
      </c>
      <c r="E3568">
        <f>IF(D3568&lt;&gt;"KEEP","",IF(RIGHT(B3568,10)="@gmail.com","Gmail",IF(OR(RIGHT(B3568,12)="@outlook.com",RIGHT(B3568,12)="@hotmail.com",RIGHT(B3568,9)="@live.com"),"Outlook","Domain")))</f>
        <v/>
      </c>
      <c r="F3568">
        <f>IF(B3568="","",IFERROR(RIGHT(B3568,LEN(B3568)-FIND("@",B3568)),""))</f>
        <v/>
      </c>
      <c r="G3568">
        <f>IF(D3568="KEEP",COUNTIF($D$2:D3568,"KEEP"),"")</f>
        <v/>
      </c>
      <c r="H3568">
        <f>IF(D3568="REMOVE",COUNTIF($D$2:D3568,"REMOVE"),"")</f>
        <v/>
      </c>
      <c r="I3568">
        <f>IF(E3568="Gmail",COUNTIF($E$2:E3568,"Gmail"),"")</f>
        <v/>
      </c>
      <c r="J3568">
        <f>IF(E3568="Outlook",COUNTIF($E$2:E3568,"Outlook"),"")</f>
        <v/>
      </c>
      <c r="K3568">
        <f>IF(E3568="Domain",COUNTIF($E$2:E3568,"Domain"),"")</f>
        <v/>
      </c>
    </row>
    <row r="3569">
      <c r="A3569" s="2" t="n"/>
      <c r="B3569">
        <f>LOWER(TRIM(A3569))</f>
        <v/>
      </c>
      <c r="C3569">
        <f>IF(B3569="","",IFERROR(INDEX('Bad Patterns'!$A$2:$A$120,MATCH(1,INDEX(--ISNUMBER(SEARCH('Bad Patterns'!$A$2:$A$120,B3569)),0),0)),""))</f>
        <v/>
      </c>
      <c r="D3569">
        <f>IF(B3569="","",IF(C3569&lt;&gt;"","REMOVE","KEEP"))</f>
        <v/>
      </c>
      <c r="E3569">
        <f>IF(D3569&lt;&gt;"KEEP","",IF(RIGHT(B3569,10)="@gmail.com","Gmail",IF(OR(RIGHT(B3569,12)="@outlook.com",RIGHT(B3569,12)="@hotmail.com",RIGHT(B3569,9)="@live.com"),"Outlook","Domain")))</f>
        <v/>
      </c>
      <c r="F3569">
        <f>IF(B3569="","",IFERROR(RIGHT(B3569,LEN(B3569)-FIND("@",B3569)),""))</f>
        <v/>
      </c>
      <c r="G3569">
        <f>IF(D3569="KEEP",COUNTIF($D$2:D3569,"KEEP"),"")</f>
        <v/>
      </c>
      <c r="H3569">
        <f>IF(D3569="REMOVE",COUNTIF($D$2:D3569,"REMOVE"),"")</f>
        <v/>
      </c>
      <c r="I3569">
        <f>IF(E3569="Gmail",COUNTIF($E$2:E3569,"Gmail"),"")</f>
        <v/>
      </c>
      <c r="J3569">
        <f>IF(E3569="Outlook",COUNTIF($E$2:E3569,"Outlook"),"")</f>
        <v/>
      </c>
      <c r="K3569">
        <f>IF(E3569="Domain",COUNTIF($E$2:E3569,"Domain"),"")</f>
        <v/>
      </c>
    </row>
    <row r="3570">
      <c r="A3570" s="2" t="n"/>
      <c r="B3570">
        <f>LOWER(TRIM(A3570))</f>
        <v/>
      </c>
      <c r="C3570">
        <f>IF(B3570="","",IFERROR(INDEX('Bad Patterns'!$A$2:$A$120,MATCH(1,INDEX(--ISNUMBER(SEARCH('Bad Patterns'!$A$2:$A$120,B3570)),0),0)),""))</f>
        <v/>
      </c>
      <c r="D3570">
        <f>IF(B3570="","",IF(C3570&lt;&gt;"","REMOVE","KEEP"))</f>
        <v/>
      </c>
      <c r="E3570">
        <f>IF(D3570&lt;&gt;"KEEP","",IF(RIGHT(B3570,10)="@gmail.com","Gmail",IF(OR(RIGHT(B3570,12)="@outlook.com",RIGHT(B3570,12)="@hotmail.com",RIGHT(B3570,9)="@live.com"),"Outlook","Domain")))</f>
        <v/>
      </c>
      <c r="F3570">
        <f>IF(B3570="","",IFERROR(RIGHT(B3570,LEN(B3570)-FIND("@",B3570)),""))</f>
        <v/>
      </c>
      <c r="G3570">
        <f>IF(D3570="KEEP",COUNTIF($D$2:D3570,"KEEP"),"")</f>
        <v/>
      </c>
      <c r="H3570">
        <f>IF(D3570="REMOVE",COUNTIF($D$2:D3570,"REMOVE"),"")</f>
        <v/>
      </c>
      <c r="I3570">
        <f>IF(E3570="Gmail",COUNTIF($E$2:E3570,"Gmail"),"")</f>
        <v/>
      </c>
      <c r="J3570">
        <f>IF(E3570="Outlook",COUNTIF($E$2:E3570,"Outlook"),"")</f>
        <v/>
      </c>
      <c r="K3570">
        <f>IF(E3570="Domain",COUNTIF($E$2:E3570,"Domain"),"")</f>
        <v/>
      </c>
    </row>
    <row r="3571">
      <c r="A3571" s="2" t="n"/>
      <c r="B3571">
        <f>LOWER(TRIM(A3571))</f>
        <v/>
      </c>
      <c r="C3571">
        <f>IF(B3571="","",IFERROR(INDEX('Bad Patterns'!$A$2:$A$120,MATCH(1,INDEX(--ISNUMBER(SEARCH('Bad Patterns'!$A$2:$A$120,B3571)),0),0)),""))</f>
        <v/>
      </c>
      <c r="D3571">
        <f>IF(B3571="","",IF(C3571&lt;&gt;"","REMOVE","KEEP"))</f>
        <v/>
      </c>
      <c r="E3571">
        <f>IF(D3571&lt;&gt;"KEEP","",IF(RIGHT(B3571,10)="@gmail.com","Gmail",IF(OR(RIGHT(B3571,12)="@outlook.com",RIGHT(B3571,12)="@hotmail.com",RIGHT(B3571,9)="@live.com"),"Outlook","Domain")))</f>
        <v/>
      </c>
      <c r="F3571">
        <f>IF(B3571="","",IFERROR(RIGHT(B3571,LEN(B3571)-FIND("@",B3571)),""))</f>
        <v/>
      </c>
      <c r="G3571">
        <f>IF(D3571="KEEP",COUNTIF($D$2:D3571,"KEEP"),"")</f>
        <v/>
      </c>
      <c r="H3571">
        <f>IF(D3571="REMOVE",COUNTIF($D$2:D3571,"REMOVE"),"")</f>
        <v/>
      </c>
      <c r="I3571">
        <f>IF(E3571="Gmail",COUNTIF($E$2:E3571,"Gmail"),"")</f>
        <v/>
      </c>
      <c r="J3571">
        <f>IF(E3571="Outlook",COUNTIF($E$2:E3571,"Outlook"),"")</f>
        <v/>
      </c>
      <c r="K3571">
        <f>IF(E3571="Domain",COUNTIF($E$2:E3571,"Domain"),"")</f>
        <v/>
      </c>
    </row>
    <row r="3572">
      <c r="A3572" s="2" t="n"/>
      <c r="B3572">
        <f>LOWER(TRIM(A3572))</f>
        <v/>
      </c>
      <c r="C3572">
        <f>IF(B3572="","",IFERROR(INDEX('Bad Patterns'!$A$2:$A$120,MATCH(1,INDEX(--ISNUMBER(SEARCH('Bad Patterns'!$A$2:$A$120,B3572)),0),0)),""))</f>
        <v/>
      </c>
      <c r="D3572">
        <f>IF(B3572="","",IF(C3572&lt;&gt;"","REMOVE","KEEP"))</f>
        <v/>
      </c>
      <c r="E3572">
        <f>IF(D3572&lt;&gt;"KEEP","",IF(RIGHT(B3572,10)="@gmail.com","Gmail",IF(OR(RIGHT(B3572,12)="@outlook.com",RIGHT(B3572,12)="@hotmail.com",RIGHT(B3572,9)="@live.com"),"Outlook","Domain")))</f>
        <v/>
      </c>
      <c r="F3572">
        <f>IF(B3572="","",IFERROR(RIGHT(B3572,LEN(B3572)-FIND("@",B3572)),""))</f>
        <v/>
      </c>
      <c r="G3572">
        <f>IF(D3572="KEEP",COUNTIF($D$2:D3572,"KEEP"),"")</f>
        <v/>
      </c>
      <c r="H3572">
        <f>IF(D3572="REMOVE",COUNTIF($D$2:D3572,"REMOVE"),"")</f>
        <v/>
      </c>
      <c r="I3572">
        <f>IF(E3572="Gmail",COUNTIF($E$2:E3572,"Gmail"),"")</f>
        <v/>
      </c>
      <c r="J3572">
        <f>IF(E3572="Outlook",COUNTIF($E$2:E3572,"Outlook"),"")</f>
        <v/>
      </c>
      <c r="K3572">
        <f>IF(E3572="Domain",COUNTIF($E$2:E3572,"Domain"),"")</f>
        <v/>
      </c>
    </row>
    <row r="3573">
      <c r="A3573" s="2" t="n"/>
      <c r="B3573">
        <f>LOWER(TRIM(A3573))</f>
        <v/>
      </c>
      <c r="C3573">
        <f>IF(B3573="","",IFERROR(INDEX('Bad Patterns'!$A$2:$A$120,MATCH(1,INDEX(--ISNUMBER(SEARCH('Bad Patterns'!$A$2:$A$120,B3573)),0),0)),""))</f>
        <v/>
      </c>
      <c r="D3573">
        <f>IF(B3573="","",IF(C3573&lt;&gt;"","REMOVE","KEEP"))</f>
        <v/>
      </c>
      <c r="E3573">
        <f>IF(D3573&lt;&gt;"KEEP","",IF(RIGHT(B3573,10)="@gmail.com","Gmail",IF(OR(RIGHT(B3573,12)="@outlook.com",RIGHT(B3573,12)="@hotmail.com",RIGHT(B3573,9)="@live.com"),"Outlook","Domain")))</f>
        <v/>
      </c>
      <c r="F3573">
        <f>IF(B3573="","",IFERROR(RIGHT(B3573,LEN(B3573)-FIND("@",B3573)),""))</f>
        <v/>
      </c>
      <c r="G3573">
        <f>IF(D3573="KEEP",COUNTIF($D$2:D3573,"KEEP"),"")</f>
        <v/>
      </c>
      <c r="H3573">
        <f>IF(D3573="REMOVE",COUNTIF($D$2:D3573,"REMOVE"),"")</f>
        <v/>
      </c>
      <c r="I3573">
        <f>IF(E3573="Gmail",COUNTIF($E$2:E3573,"Gmail"),"")</f>
        <v/>
      </c>
      <c r="J3573">
        <f>IF(E3573="Outlook",COUNTIF($E$2:E3573,"Outlook"),"")</f>
        <v/>
      </c>
      <c r="K3573">
        <f>IF(E3573="Domain",COUNTIF($E$2:E3573,"Domain"),"")</f>
        <v/>
      </c>
    </row>
    <row r="3574">
      <c r="A3574" s="2" t="n"/>
      <c r="B3574">
        <f>LOWER(TRIM(A3574))</f>
        <v/>
      </c>
      <c r="C3574">
        <f>IF(B3574="","",IFERROR(INDEX('Bad Patterns'!$A$2:$A$120,MATCH(1,INDEX(--ISNUMBER(SEARCH('Bad Patterns'!$A$2:$A$120,B3574)),0),0)),""))</f>
        <v/>
      </c>
      <c r="D3574">
        <f>IF(B3574="","",IF(C3574&lt;&gt;"","REMOVE","KEEP"))</f>
        <v/>
      </c>
      <c r="E3574">
        <f>IF(D3574&lt;&gt;"KEEP","",IF(RIGHT(B3574,10)="@gmail.com","Gmail",IF(OR(RIGHT(B3574,12)="@outlook.com",RIGHT(B3574,12)="@hotmail.com",RIGHT(B3574,9)="@live.com"),"Outlook","Domain")))</f>
        <v/>
      </c>
      <c r="F3574">
        <f>IF(B3574="","",IFERROR(RIGHT(B3574,LEN(B3574)-FIND("@",B3574)),""))</f>
        <v/>
      </c>
      <c r="G3574">
        <f>IF(D3574="KEEP",COUNTIF($D$2:D3574,"KEEP"),"")</f>
        <v/>
      </c>
      <c r="H3574">
        <f>IF(D3574="REMOVE",COUNTIF($D$2:D3574,"REMOVE"),"")</f>
        <v/>
      </c>
      <c r="I3574">
        <f>IF(E3574="Gmail",COUNTIF($E$2:E3574,"Gmail"),"")</f>
        <v/>
      </c>
      <c r="J3574">
        <f>IF(E3574="Outlook",COUNTIF($E$2:E3574,"Outlook"),"")</f>
        <v/>
      </c>
      <c r="K3574">
        <f>IF(E3574="Domain",COUNTIF($E$2:E3574,"Domain"),"")</f>
        <v/>
      </c>
    </row>
    <row r="3575">
      <c r="A3575" s="2" t="n"/>
      <c r="B3575">
        <f>LOWER(TRIM(A3575))</f>
        <v/>
      </c>
      <c r="C3575">
        <f>IF(B3575="","",IFERROR(INDEX('Bad Patterns'!$A$2:$A$120,MATCH(1,INDEX(--ISNUMBER(SEARCH('Bad Patterns'!$A$2:$A$120,B3575)),0),0)),""))</f>
        <v/>
      </c>
      <c r="D3575">
        <f>IF(B3575="","",IF(C3575&lt;&gt;"","REMOVE","KEEP"))</f>
        <v/>
      </c>
      <c r="E3575">
        <f>IF(D3575&lt;&gt;"KEEP","",IF(RIGHT(B3575,10)="@gmail.com","Gmail",IF(OR(RIGHT(B3575,12)="@outlook.com",RIGHT(B3575,12)="@hotmail.com",RIGHT(B3575,9)="@live.com"),"Outlook","Domain")))</f>
        <v/>
      </c>
      <c r="F3575">
        <f>IF(B3575="","",IFERROR(RIGHT(B3575,LEN(B3575)-FIND("@",B3575)),""))</f>
        <v/>
      </c>
      <c r="G3575">
        <f>IF(D3575="KEEP",COUNTIF($D$2:D3575,"KEEP"),"")</f>
        <v/>
      </c>
      <c r="H3575">
        <f>IF(D3575="REMOVE",COUNTIF($D$2:D3575,"REMOVE"),"")</f>
        <v/>
      </c>
      <c r="I3575">
        <f>IF(E3575="Gmail",COUNTIF($E$2:E3575,"Gmail"),"")</f>
        <v/>
      </c>
      <c r="J3575">
        <f>IF(E3575="Outlook",COUNTIF($E$2:E3575,"Outlook"),"")</f>
        <v/>
      </c>
      <c r="K3575">
        <f>IF(E3575="Domain",COUNTIF($E$2:E3575,"Domain"),"")</f>
        <v/>
      </c>
    </row>
    <row r="3576">
      <c r="A3576" s="2" t="n"/>
      <c r="B3576">
        <f>LOWER(TRIM(A3576))</f>
        <v/>
      </c>
      <c r="C3576">
        <f>IF(B3576="","",IFERROR(INDEX('Bad Patterns'!$A$2:$A$120,MATCH(1,INDEX(--ISNUMBER(SEARCH('Bad Patterns'!$A$2:$A$120,B3576)),0),0)),""))</f>
        <v/>
      </c>
      <c r="D3576">
        <f>IF(B3576="","",IF(C3576&lt;&gt;"","REMOVE","KEEP"))</f>
        <v/>
      </c>
      <c r="E3576">
        <f>IF(D3576&lt;&gt;"KEEP","",IF(RIGHT(B3576,10)="@gmail.com","Gmail",IF(OR(RIGHT(B3576,12)="@outlook.com",RIGHT(B3576,12)="@hotmail.com",RIGHT(B3576,9)="@live.com"),"Outlook","Domain")))</f>
        <v/>
      </c>
      <c r="F3576">
        <f>IF(B3576="","",IFERROR(RIGHT(B3576,LEN(B3576)-FIND("@",B3576)),""))</f>
        <v/>
      </c>
      <c r="G3576">
        <f>IF(D3576="KEEP",COUNTIF($D$2:D3576,"KEEP"),"")</f>
        <v/>
      </c>
      <c r="H3576">
        <f>IF(D3576="REMOVE",COUNTIF($D$2:D3576,"REMOVE"),"")</f>
        <v/>
      </c>
      <c r="I3576">
        <f>IF(E3576="Gmail",COUNTIF($E$2:E3576,"Gmail"),"")</f>
        <v/>
      </c>
      <c r="J3576">
        <f>IF(E3576="Outlook",COUNTIF($E$2:E3576,"Outlook"),"")</f>
        <v/>
      </c>
      <c r="K3576">
        <f>IF(E3576="Domain",COUNTIF($E$2:E3576,"Domain"),"")</f>
        <v/>
      </c>
    </row>
    <row r="3577">
      <c r="A3577" s="2" t="n"/>
      <c r="B3577">
        <f>LOWER(TRIM(A3577))</f>
        <v/>
      </c>
      <c r="C3577">
        <f>IF(B3577="","",IFERROR(INDEX('Bad Patterns'!$A$2:$A$120,MATCH(1,INDEX(--ISNUMBER(SEARCH('Bad Patterns'!$A$2:$A$120,B3577)),0),0)),""))</f>
        <v/>
      </c>
      <c r="D3577">
        <f>IF(B3577="","",IF(C3577&lt;&gt;"","REMOVE","KEEP"))</f>
        <v/>
      </c>
      <c r="E3577">
        <f>IF(D3577&lt;&gt;"KEEP","",IF(RIGHT(B3577,10)="@gmail.com","Gmail",IF(OR(RIGHT(B3577,12)="@outlook.com",RIGHT(B3577,12)="@hotmail.com",RIGHT(B3577,9)="@live.com"),"Outlook","Domain")))</f>
        <v/>
      </c>
      <c r="F3577">
        <f>IF(B3577="","",IFERROR(RIGHT(B3577,LEN(B3577)-FIND("@",B3577)),""))</f>
        <v/>
      </c>
      <c r="G3577">
        <f>IF(D3577="KEEP",COUNTIF($D$2:D3577,"KEEP"),"")</f>
        <v/>
      </c>
      <c r="H3577">
        <f>IF(D3577="REMOVE",COUNTIF($D$2:D3577,"REMOVE"),"")</f>
        <v/>
      </c>
      <c r="I3577">
        <f>IF(E3577="Gmail",COUNTIF($E$2:E3577,"Gmail"),"")</f>
        <v/>
      </c>
      <c r="J3577">
        <f>IF(E3577="Outlook",COUNTIF($E$2:E3577,"Outlook"),"")</f>
        <v/>
      </c>
      <c r="K3577">
        <f>IF(E3577="Domain",COUNTIF($E$2:E3577,"Domain"),"")</f>
        <v/>
      </c>
    </row>
    <row r="3578">
      <c r="A3578" s="2" t="n"/>
      <c r="B3578">
        <f>LOWER(TRIM(A3578))</f>
        <v/>
      </c>
      <c r="C3578">
        <f>IF(B3578="","",IFERROR(INDEX('Bad Patterns'!$A$2:$A$120,MATCH(1,INDEX(--ISNUMBER(SEARCH('Bad Patterns'!$A$2:$A$120,B3578)),0),0)),""))</f>
        <v/>
      </c>
      <c r="D3578">
        <f>IF(B3578="","",IF(C3578&lt;&gt;"","REMOVE","KEEP"))</f>
        <v/>
      </c>
      <c r="E3578">
        <f>IF(D3578&lt;&gt;"KEEP","",IF(RIGHT(B3578,10)="@gmail.com","Gmail",IF(OR(RIGHT(B3578,12)="@outlook.com",RIGHT(B3578,12)="@hotmail.com",RIGHT(B3578,9)="@live.com"),"Outlook","Domain")))</f>
        <v/>
      </c>
      <c r="F3578">
        <f>IF(B3578="","",IFERROR(RIGHT(B3578,LEN(B3578)-FIND("@",B3578)),""))</f>
        <v/>
      </c>
      <c r="G3578">
        <f>IF(D3578="KEEP",COUNTIF($D$2:D3578,"KEEP"),"")</f>
        <v/>
      </c>
      <c r="H3578">
        <f>IF(D3578="REMOVE",COUNTIF($D$2:D3578,"REMOVE"),"")</f>
        <v/>
      </c>
      <c r="I3578">
        <f>IF(E3578="Gmail",COUNTIF($E$2:E3578,"Gmail"),"")</f>
        <v/>
      </c>
      <c r="J3578">
        <f>IF(E3578="Outlook",COUNTIF($E$2:E3578,"Outlook"),"")</f>
        <v/>
      </c>
      <c r="K3578">
        <f>IF(E3578="Domain",COUNTIF($E$2:E3578,"Domain"),"")</f>
        <v/>
      </c>
    </row>
    <row r="3579">
      <c r="A3579" s="2" t="n"/>
      <c r="B3579">
        <f>LOWER(TRIM(A3579))</f>
        <v/>
      </c>
      <c r="C3579">
        <f>IF(B3579="","",IFERROR(INDEX('Bad Patterns'!$A$2:$A$120,MATCH(1,INDEX(--ISNUMBER(SEARCH('Bad Patterns'!$A$2:$A$120,B3579)),0),0)),""))</f>
        <v/>
      </c>
      <c r="D3579">
        <f>IF(B3579="","",IF(C3579&lt;&gt;"","REMOVE","KEEP"))</f>
        <v/>
      </c>
      <c r="E3579">
        <f>IF(D3579&lt;&gt;"KEEP","",IF(RIGHT(B3579,10)="@gmail.com","Gmail",IF(OR(RIGHT(B3579,12)="@outlook.com",RIGHT(B3579,12)="@hotmail.com",RIGHT(B3579,9)="@live.com"),"Outlook","Domain")))</f>
        <v/>
      </c>
      <c r="F3579">
        <f>IF(B3579="","",IFERROR(RIGHT(B3579,LEN(B3579)-FIND("@",B3579)),""))</f>
        <v/>
      </c>
      <c r="G3579">
        <f>IF(D3579="KEEP",COUNTIF($D$2:D3579,"KEEP"),"")</f>
        <v/>
      </c>
      <c r="H3579">
        <f>IF(D3579="REMOVE",COUNTIF($D$2:D3579,"REMOVE"),"")</f>
        <v/>
      </c>
      <c r="I3579">
        <f>IF(E3579="Gmail",COUNTIF($E$2:E3579,"Gmail"),"")</f>
        <v/>
      </c>
      <c r="J3579">
        <f>IF(E3579="Outlook",COUNTIF($E$2:E3579,"Outlook"),"")</f>
        <v/>
      </c>
      <c r="K3579">
        <f>IF(E3579="Domain",COUNTIF($E$2:E3579,"Domain"),"")</f>
        <v/>
      </c>
    </row>
    <row r="3580">
      <c r="A3580" s="2" t="n"/>
      <c r="B3580">
        <f>LOWER(TRIM(A3580))</f>
        <v/>
      </c>
      <c r="C3580">
        <f>IF(B3580="","",IFERROR(INDEX('Bad Patterns'!$A$2:$A$120,MATCH(1,INDEX(--ISNUMBER(SEARCH('Bad Patterns'!$A$2:$A$120,B3580)),0),0)),""))</f>
        <v/>
      </c>
      <c r="D3580">
        <f>IF(B3580="","",IF(C3580&lt;&gt;"","REMOVE","KEEP"))</f>
        <v/>
      </c>
      <c r="E3580">
        <f>IF(D3580&lt;&gt;"KEEP","",IF(RIGHT(B3580,10)="@gmail.com","Gmail",IF(OR(RIGHT(B3580,12)="@outlook.com",RIGHT(B3580,12)="@hotmail.com",RIGHT(B3580,9)="@live.com"),"Outlook","Domain")))</f>
        <v/>
      </c>
      <c r="F3580">
        <f>IF(B3580="","",IFERROR(RIGHT(B3580,LEN(B3580)-FIND("@",B3580)),""))</f>
        <v/>
      </c>
      <c r="G3580">
        <f>IF(D3580="KEEP",COUNTIF($D$2:D3580,"KEEP"),"")</f>
        <v/>
      </c>
      <c r="H3580">
        <f>IF(D3580="REMOVE",COUNTIF($D$2:D3580,"REMOVE"),"")</f>
        <v/>
      </c>
      <c r="I3580">
        <f>IF(E3580="Gmail",COUNTIF($E$2:E3580,"Gmail"),"")</f>
        <v/>
      </c>
      <c r="J3580">
        <f>IF(E3580="Outlook",COUNTIF($E$2:E3580,"Outlook"),"")</f>
        <v/>
      </c>
      <c r="K3580">
        <f>IF(E3580="Domain",COUNTIF($E$2:E3580,"Domain"),"")</f>
        <v/>
      </c>
    </row>
    <row r="3581">
      <c r="A3581" s="2" t="n"/>
      <c r="B3581">
        <f>LOWER(TRIM(A3581))</f>
        <v/>
      </c>
      <c r="C3581">
        <f>IF(B3581="","",IFERROR(INDEX('Bad Patterns'!$A$2:$A$120,MATCH(1,INDEX(--ISNUMBER(SEARCH('Bad Patterns'!$A$2:$A$120,B3581)),0),0)),""))</f>
        <v/>
      </c>
      <c r="D3581">
        <f>IF(B3581="","",IF(C3581&lt;&gt;"","REMOVE","KEEP"))</f>
        <v/>
      </c>
      <c r="E3581">
        <f>IF(D3581&lt;&gt;"KEEP","",IF(RIGHT(B3581,10)="@gmail.com","Gmail",IF(OR(RIGHT(B3581,12)="@outlook.com",RIGHT(B3581,12)="@hotmail.com",RIGHT(B3581,9)="@live.com"),"Outlook","Domain")))</f>
        <v/>
      </c>
      <c r="F3581">
        <f>IF(B3581="","",IFERROR(RIGHT(B3581,LEN(B3581)-FIND("@",B3581)),""))</f>
        <v/>
      </c>
      <c r="G3581">
        <f>IF(D3581="KEEP",COUNTIF($D$2:D3581,"KEEP"),"")</f>
        <v/>
      </c>
      <c r="H3581">
        <f>IF(D3581="REMOVE",COUNTIF($D$2:D3581,"REMOVE"),"")</f>
        <v/>
      </c>
      <c r="I3581">
        <f>IF(E3581="Gmail",COUNTIF($E$2:E3581,"Gmail"),"")</f>
        <v/>
      </c>
      <c r="J3581">
        <f>IF(E3581="Outlook",COUNTIF($E$2:E3581,"Outlook"),"")</f>
        <v/>
      </c>
      <c r="K3581">
        <f>IF(E3581="Domain",COUNTIF($E$2:E3581,"Domain"),"")</f>
        <v/>
      </c>
    </row>
    <row r="3582">
      <c r="A3582" s="2" t="n"/>
      <c r="B3582">
        <f>LOWER(TRIM(A3582))</f>
        <v/>
      </c>
      <c r="C3582">
        <f>IF(B3582="","",IFERROR(INDEX('Bad Patterns'!$A$2:$A$120,MATCH(1,INDEX(--ISNUMBER(SEARCH('Bad Patterns'!$A$2:$A$120,B3582)),0),0)),""))</f>
        <v/>
      </c>
      <c r="D3582">
        <f>IF(B3582="","",IF(C3582&lt;&gt;"","REMOVE","KEEP"))</f>
        <v/>
      </c>
      <c r="E3582">
        <f>IF(D3582&lt;&gt;"KEEP","",IF(RIGHT(B3582,10)="@gmail.com","Gmail",IF(OR(RIGHT(B3582,12)="@outlook.com",RIGHT(B3582,12)="@hotmail.com",RIGHT(B3582,9)="@live.com"),"Outlook","Domain")))</f>
        <v/>
      </c>
      <c r="F3582">
        <f>IF(B3582="","",IFERROR(RIGHT(B3582,LEN(B3582)-FIND("@",B3582)),""))</f>
        <v/>
      </c>
      <c r="G3582">
        <f>IF(D3582="KEEP",COUNTIF($D$2:D3582,"KEEP"),"")</f>
        <v/>
      </c>
      <c r="H3582">
        <f>IF(D3582="REMOVE",COUNTIF($D$2:D3582,"REMOVE"),"")</f>
        <v/>
      </c>
      <c r="I3582">
        <f>IF(E3582="Gmail",COUNTIF($E$2:E3582,"Gmail"),"")</f>
        <v/>
      </c>
      <c r="J3582">
        <f>IF(E3582="Outlook",COUNTIF($E$2:E3582,"Outlook"),"")</f>
        <v/>
      </c>
      <c r="K3582">
        <f>IF(E3582="Domain",COUNTIF($E$2:E3582,"Domain"),"")</f>
        <v/>
      </c>
    </row>
    <row r="3583">
      <c r="A3583" s="2" t="n"/>
      <c r="B3583">
        <f>LOWER(TRIM(A3583))</f>
        <v/>
      </c>
      <c r="C3583">
        <f>IF(B3583="","",IFERROR(INDEX('Bad Patterns'!$A$2:$A$120,MATCH(1,INDEX(--ISNUMBER(SEARCH('Bad Patterns'!$A$2:$A$120,B3583)),0),0)),""))</f>
        <v/>
      </c>
      <c r="D3583">
        <f>IF(B3583="","",IF(C3583&lt;&gt;"","REMOVE","KEEP"))</f>
        <v/>
      </c>
      <c r="E3583">
        <f>IF(D3583&lt;&gt;"KEEP","",IF(RIGHT(B3583,10)="@gmail.com","Gmail",IF(OR(RIGHT(B3583,12)="@outlook.com",RIGHT(B3583,12)="@hotmail.com",RIGHT(B3583,9)="@live.com"),"Outlook","Domain")))</f>
        <v/>
      </c>
      <c r="F3583">
        <f>IF(B3583="","",IFERROR(RIGHT(B3583,LEN(B3583)-FIND("@",B3583)),""))</f>
        <v/>
      </c>
      <c r="G3583">
        <f>IF(D3583="KEEP",COUNTIF($D$2:D3583,"KEEP"),"")</f>
        <v/>
      </c>
      <c r="H3583">
        <f>IF(D3583="REMOVE",COUNTIF($D$2:D3583,"REMOVE"),"")</f>
        <v/>
      </c>
      <c r="I3583">
        <f>IF(E3583="Gmail",COUNTIF($E$2:E3583,"Gmail"),"")</f>
        <v/>
      </c>
      <c r="J3583">
        <f>IF(E3583="Outlook",COUNTIF($E$2:E3583,"Outlook"),"")</f>
        <v/>
      </c>
      <c r="K3583">
        <f>IF(E3583="Domain",COUNTIF($E$2:E3583,"Domain"),"")</f>
        <v/>
      </c>
    </row>
    <row r="3584">
      <c r="A3584" s="2" t="n"/>
      <c r="B3584">
        <f>LOWER(TRIM(A3584))</f>
        <v/>
      </c>
      <c r="C3584">
        <f>IF(B3584="","",IFERROR(INDEX('Bad Patterns'!$A$2:$A$120,MATCH(1,INDEX(--ISNUMBER(SEARCH('Bad Patterns'!$A$2:$A$120,B3584)),0),0)),""))</f>
        <v/>
      </c>
      <c r="D3584">
        <f>IF(B3584="","",IF(C3584&lt;&gt;"","REMOVE","KEEP"))</f>
        <v/>
      </c>
      <c r="E3584">
        <f>IF(D3584&lt;&gt;"KEEP","",IF(RIGHT(B3584,10)="@gmail.com","Gmail",IF(OR(RIGHT(B3584,12)="@outlook.com",RIGHT(B3584,12)="@hotmail.com",RIGHT(B3584,9)="@live.com"),"Outlook","Domain")))</f>
        <v/>
      </c>
      <c r="F3584">
        <f>IF(B3584="","",IFERROR(RIGHT(B3584,LEN(B3584)-FIND("@",B3584)),""))</f>
        <v/>
      </c>
      <c r="G3584">
        <f>IF(D3584="KEEP",COUNTIF($D$2:D3584,"KEEP"),"")</f>
        <v/>
      </c>
      <c r="H3584">
        <f>IF(D3584="REMOVE",COUNTIF($D$2:D3584,"REMOVE"),"")</f>
        <v/>
      </c>
      <c r="I3584">
        <f>IF(E3584="Gmail",COUNTIF($E$2:E3584,"Gmail"),"")</f>
        <v/>
      </c>
      <c r="J3584">
        <f>IF(E3584="Outlook",COUNTIF($E$2:E3584,"Outlook"),"")</f>
        <v/>
      </c>
      <c r="K3584">
        <f>IF(E3584="Domain",COUNTIF($E$2:E3584,"Domain"),"")</f>
        <v/>
      </c>
    </row>
    <row r="3585">
      <c r="A3585" s="2" t="n"/>
      <c r="B3585">
        <f>LOWER(TRIM(A3585))</f>
        <v/>
      </c>
      <c r="C3585">
        <f>IF(B3585="","",IFERROR(INDEX('Bad Patterns'!$A$2:$A$120,MATCH(1,INDEX(--ISNUMBER(SEARCH('Bad Patterns'!$A$2:$A$120,B3585)),0),0)),""))</f>
        <v/>
      </c>
      <c r="D3585">
        <f>IF(B3585="","",IF(C3585&lt;&gt;"","REMOVE","KEEP"))</f>
        <v/>
      </c>
      <c r="E3585">
        <f>IF(D3585&lt;&gt;"KEEP","",IF(RIGHT(B3585,10)="@gmail.com","Gmail",IF(OR(RIGHT(B3585,12)="@outlook.com",RIGHT(B3585,12)="@hotmail.com",RIGHT(B3585,9)="@live.com"),"Outlook","Domain")))</f>
        <v/>
      </c>
      <c r="F3585">
        <f>IF(B3585="","",IFERROR(RIGHT(B3585,LEN(B3585)-FIND("@",B3585)),""))</f>
        <v/>
      </c>
      <c r="G3585">
        <f>IF(D3585="KEEP",COUNTIF($D$2:D3585,"KEEP"),"")</f>
        <v/>
      </c>
      <c r="H3585">
        <f>IF(D3585="REMOVE",COUNTIF($D$2:D3585,"REMOVE"),"")</f>
        <v/>
      </c>
      <c r="I3585">
        <f>IF(E3585="Gmail",COUNTIF($E$2:E3585,"Gmail"),"")</f>
        <v/>
      </c>
      <c r="J3585">
        <f>IF(E3585="Outlook",COUNTIF($E$2:E3585,"Outlook"),"")</f>
        <v/>
      </c>
      <c r="K3585">
        <f>IF(E3585="Domain",COUNTIF($E$2:E3585,"Domain"),"")</f>
        <v/>
      </c>
    </row>
    <row r="3586">
      <c r="A3586" s="2" t="n"/>
      <c r="B3586">
        <f>LOWER(TRIM(A3586))</f>
        <v/>
      </c>
      <c r="C3586">
        <f>IF(B3586="","",IFERROR(INDEX('Bad Patterns'!$A$2:$A$120,MATCH(1,INDEX(--ISNUMBER(SEARCH('Bad Patterns'!$A$2:$A$120,B3586)),0),0)),""))</f>
        <v/>
      </c>
      <c r="D3586">
        <f>IF(B3586="","",IF(C3586&lt;&gt;"","REMOVE","KEEP"))</f>
        <v/>
      </c>
      <c r="E3586">
        <f>IF(D3586&lt;&gt;"KEEP","",IF(RIGHT(B3586,10)="@gmail.com","Gmail",IF(OR(RIGHT(B3586,12)="@outlook.com",RIGHT(B3586,12)="@hotmail.com",RIGHT(B3586,9)="@live.com"),"Outlook","Domain")))</f>
        <v/>
      </c>
      <c r="F3586">
        <f>IF(B3586="","",IFERROR(RIGHT(B3586,LEN(B3586)-FIND("@",B3586)),""))</f>
        <v/>
      </c>
      <c r="G3586">
        <f>IF(D3586="KEEP",COUNTIF($D$2:D3586,"KEEP"),"")</f>
        <v/>
      </c>
      <c r="H3586">
        <f>IF(D3586="REMOVE",COUNTIF($D$2:D3586,"REMOVE"),"")</f>
        <v/>
      </c>
      <c r="I3586">
        <f>IF(E3586="Gmail",COUNTIF($E$2:E3586,"Gmail"),"")</f>
        <v/>
      </c>
      <c r="J3586">
        <f>IF(E3586="Outlook",COUNTIF($E$2:E3586,"Outlook"),"")</f>
        <v/>
      </c>
      <c r="K3586">
        <f>IF(E3586="Domain",COUNTIF($E$2:E3586,"Domain"),"")</f>
        <v/>
      </c>
    </row>
    <row r="3587">
      <c r="A3587" s="2" t="n"/>
      <c r="B3587">
        <f>LOWER(TRIM(A3587))</f>
        <v/>
      </c>
      <c r="C3587">
        <f>IF(B3587="","",IFERROR(INDEX('Bad Patterns'!$A$2:$A$120,MATCH(1,INDEX(--ISNUMBER(SEARCH('Bad Patterns'!$A$2:$A$120,B3587)),0),0)),""))</f>
        <v/>
      </c>
      <c r="D3587">
        <f>IF(B3587="","",IF(C3587&lt;&gt;"","REMOVE","KEEP"))</f>
        <v/>
      </c>
      <c r="E3587">
        <f>IF(D3587&lt;&gt;"KEEP","",IF(RIGHT(B3587,10)="@gmail.com","Gmail",IF(OR(RIGHT(B3587,12)="@outlook.com",RIGHT(B3587,12)="@hotmail.com",RIGHT(B3587,9)="@live.com"),"Outlook","Domain")))</f>
        <v/>
      </c>
      <c r="F3587">
        <f>IF(B3587="","",IFERROR(RIGHT(B3587,LEN(B3587)-FIND("@",B3587)),""))</f>
        <v/>
      </c>
      <c r="G3587">
        <f>IF(D3587="KEEP",COUNTIF($D$2:D3587,"KEEP"),"")</f>
        <v/>
      </c>
      <c r="H3587">
        <f>IF(D3587="REMOVE",COUNTIF($D$2:D3587,"REMOVE"),"")</f>
        <v/>
      </c>
      <c r="I3587">
        <f>IF(E3587="Gmail",COUNTIF($E$2:E3587,"Gmail"),"")</f>
        <v/>
      </c>
      <c r="J3587">
        <f>IF(E3587="Outlook",COUNTIF($E$2:E3587,"Outlook"),"")</f>
        <v/>
      </c>
      <c r="K3587">
        <f>IF(E3587="Domain",COUNTIF($E$2:E3587,"Domain"),"")</f>
        <v/>
      </c>
    </row>
    <row r="3588">
      <c r="A3588" s="2" t="n"/>
      <c r="B3588">
        <f>LOWER(TRIM(A3588))</f>
        <v/>
      </c>
      <c r="C3588">
        <f>IF(B3588="","",IFERROR(INDEX('Bad Patterns'!$A$2:$A$120,MATCH(1,INDEX(--ISNUMBER(SEARCH('Bad Patterns'!$A$2:$A$120,B3588)),0),0)),""))</f>
        <v/>
      </c>
      <c r="D3588">
        <f>IF(B3588="","",IF(C3588&lt;&gt;"","REMOVE","KEEP"))</f>
        <v/>
      </c>
      <c r="E3588">
        <f>IF(D3588&lt;&gt;"KEEP","",IF(RIGHT(B3588,10)="@gmail.com","Gmail",IF(OR(RIGHT(B3588,12)="@outlook.com",RIGHT(B3588,12)="@hotmail.com",RIGHT(B3588,9)="@live.com"),"Outlook","Domain")))</f>
        <v/>
      </c>
      <c r="F3588">
        <f>IF(B3588="","",IFERROR(RIGHT(B3588,LEN(B3588)-FIND("@",B3588)),""))</f>
        <v/>
      </c>
      <c r="G3588">
        <f>IF(D3588="KEEP",COUNTIF($D$2:D3588,"KEEP"),"")</f>
        <v/>
      </c>
      <c r="H3588">
        <f>IF(D3588="REMOVE",COUNTIF($D$2:D3588,"REMOVE"),"")</f>
        <v/>
      </c>
      <c r="I3588">
        <f>IF(E3588="Gmail",COUNTIF($E$2:E3588,"Gmail"),"")</f>
        <v/>
      </c>
      <c r="J3588">
        <f>IF(E3588="Outlook",COUNTIF($E$2:E3588,"Outlook"),"")</f>
        <v/>
      </c>
      <c r="K3588">
        <f>IF(E3588="Domain",COUNTIF($E$2:E3588,"Domain"),"")</f>
        <v/>
      </c>
    </row>
    <row r="3589">
      <c r="A3589" s="2" t="n"/>
      <c r="B3589">
        <f>LOWER(TRIM(A3589))</f>
        <v/>
      </c>
      <c r="C3589">
        <f>IF(B3589="","",IFERROR(INDEX('Bad Patterns'!$A$2:$A$120,MATCH(1,INDEX(--ISNUMBER(SEARCH('Bad Patterns'!$A$2:$A$120,B3589)),0),0)),""))</f>
        <v/>
      </c>
      <c r="D3589">
        <f>IF(B3589="","",IF(C3589&lt;&gt;"","REMOVE","KEEP"))</f>
        <v/>
      </c>
      <c r="E3589">
        <f>IF(D3589&lt;&gt;"KEEP","",IF(RIGHT(B3589,10)="@gmail.com","Gmail",IF(OR(RIGHT(B3589,12)="@outlook.com",RIGHT(B3589,12)="@hotmail.com",RIGHT(B3589,9)="@live.com"),"Outlook","Domain")))</f>
        <v/>
      </c>
      <c r="F3589">
        <f>IF(B3589="","",IFERROR(RIGHT(B3589,LEN(B3589)-FIND("@",B3589)),""))</f>
        <v/>
      </c>
      <c r="G3589">
        <f>IF(D3589="KEEP",COUNTIF($D$2:D3589,"KEEP"),"")</f>
        <v/>
      </c>
      <c r="H3589">
        <f>IF(D3589="REMOVE",COUNTIF($D$2:D3589,"REMOVE"),"")</f>
        <v/>
      </c>
      <c r="I3589">
        <f>IF(E3589="Gmail",COUNTIF($E$2:E3589,"Gmail"),"")</f>
        <v/>
      </c>
      <c r="J3589">
        <f>IF(E3589="Outlook",COUNTIF($E$2:E3589,"Outlook"),"")</f>
        <v/>
      </c>
      <c r="K3589">
        <f>IF(E3589="Domain",COUNTIF($E$2:E3589,"Domain"),"")</f>
        <v/>
      </c>
    </row>
    <row r="3590">
      <c r="A3590" s="2" t="n"/>
      <c r="B3590">
        <f>LOWER(TRIM(A3590))</f>
        <v/>
      </c>
      <c r="C3590">
        <f>IF(B3590="","",IFERROR(INDEX('Bad Patterns'!$A$2:$A$120,MATCH(1,INDEX(--ISNUMBER(SEARCH('Bad Patterns'!$A$2:$A$120,B3590)),0),0)),""))</f>
        <v/>
      </c>
      <c r="D3590">
        <f>IF(B3590="","",IF(C3590&lt;&gt;"","REMOVE","KEEP"))</f>
        <v/>
      </c>
      <c r="E3590">
        <f>IF(D3590&lt;&gt;"KEEP","",IF(RIGHT(B3590,10)="@gmail.com","Gmail",IF(OR(RIGHT(B3590,12)="@outlook.com",RIGHT(B3590,12)="@hotmail.com",RIGHT(B3590,9)="@live.com"),"Outlook","Domain")))</f>
        <v/>
      </c>
      <c r="F3590">
        <f>IF(B3590="","",IFERROR(RIGHT(B3590,LEN(B3590)-FIND("@",B3590)),""))</f>
        <v/>
      </c>
      <c r="G3590">
        <f>IF(D3590="KEEP",COUNTIF($D$2:D3590,"KEEP"),"")</f>
        <v/>
      </c>
      <c r="H3590">
        <f>IF(D3590="REMOVE",COUNTIF($D$2:D3590,"REMOVE"),"")</f>
        <v/>
      </c>
      <c r="I3590">
        <f>IF(E3590="Gmail",COUNTIF($E$2:E3590,"Gmail"),"")</f>
        <v/>
      </c>
      <c r="J3590">
        <f>IF(E3590="Outlook",COUNTIF($E$2:E3590,"Outlook"),"")</f>
        <v/>
      </c>
      <c r="K3590">
        <f>IF(E3590="Domain",COUNTIF($E$2:E3590,"Domain"),"")</f>
        <v/>
      </c>
    </row>
    <row r="3591">
      <c r="A3591" s="2" t="n"/>
      <c r="B3591">
        <f>LOWER(TRIM(A3591))</f>
        <v/>
      </c>
      <c r="C3591">
        <f>IF(B3591="","",IFERROR(INDEX('Bad Patterns'!$A$2:$A$120,MATCH(1,INDEX(--ISNUMBER(SEARCH('Bad Patterns'!$A$2:$A$120,B3591)),0),0)),""))</f>
        <v/>
      </c>
      <c r="D3591">
        <f>IF(B3591="","",IF(C3591&lt;&gt;"","REMOVE","KEEP"))</f>
        <v/>
      </c>
      <c r="E3591">
        <f>IF(D3591&lt;&gt;"KEEP","",IF(RIGHT(B3591,10)="@gmail.com","Gmail",IF(OR(RIGHT(B3591,12)="@outlook.com",RIGHT(B3591,12)="@hotmail.com",RIGHT(B3591,9)="@live.com"),"Outlook","Domain")))</f>
        <v/>
      </c>
      <c r="F3591">
        <f>IF(B3591="","",IFERROR(RIGHT(B3591,LEN(B3591)-FIND("@",B3591)),""))</f>
        <v/>
      </c>
      <c r="G3591">
        <f>IF(D3591="KEEP",COUNTIF($D$2:D3591,"KEEP"),"")</f>
        <v/>
      </c>
      <c r="H3591">
        <f>IF(D3591="REMOVE",COUNTIF($D$2:D3591,"REMOVE"),"")</f>
        <v/>
      </c>
      <c r="I3591">
        <f>IF(E3591="Gmail",COUNTIF($E$2:E3591,"Gmail"),"")</f>
        <v/>
      </c>
      <c r="J3591">
        <f>IF(E3591="Outlook",COUNTIF($E$2:E3591,"Outlook"),"")</f>
        <v/>
      </c>
      <c r="K3591">
        <f>IF(E3591="Domain",COUNTIF($E$2:E3591,"Domain"),"")</f>
        <v/>
      </c>
    </row>
    <row r="3592">
      <c r="A3592" s="2" t="n"/>
      <c r="B3592">
        <f>LOWER(TRIM(A3592))</f>
        <v/>
      </c>
      <c r="C3592">
        <f>IF(B3592="","",IFERROR(INDEX('Bad Patterns'!$A$2:$A$120,MATCH(1,INDEX(--ISNUMBER(SEARCH('Bad Patterns'!$A$2:$A$120,B3592)),0),0)),""))</f>
        <v/>
      </c>
      <c r="D3592">
        <f>IF(B3592="","",IF(C3592&lt;&gt;"","REMOVE","KEEP"))</f>
        <v/>
      </c>
      <c r="E3592">
        <f>IF(D3592&lt;&gt;"KEEP","",IF(RIGHT(B3592,10)="@gmail.com","Gmail",IF(OR(RIGHT(B3592,12)="@outlook.com",RIGHT(B3592,12)="@hotmail.com",RIGHT(B3592,9)="@live.com"),"Outlook","Domain")))</f>
        <v/>
      </c>
      <c r="F3592">
        <f>IF(B3592="","",IFERROR(RIGHT(B3592,LEN(B3592)-FIND("@",B3592)),""))</f>
        <v/>
      </c>
      <c r="G3592">
        <f>IF(D3592="KEEP",COUNTIF($D$2:D3592,"KEEP"),"")</f>
        <v/>
      </c>
      <c r="H3592">
        <f>IF(D3592="REMOVE",COUNTIF($D$2:D3592,"REMOVE"),"")</f>
        <v/>
      </c>
      <c r="I3592">
        <f>IF(E3592="Gmail",COUNTIF($E$2:E3592,"Gmail"),"")</f>
        <v/>
      </c>
      <c r="J3592">
        <f>IF(E3592="Outlook",COUNTIF($E$2:E3592,"Outlook"),"")</f>
        <v/>
      </c>
      <c r="K3592">
        <f>IF(E3592="Domain",COUNTIF($E$2:E3592,"Domain"),"")</f>
        <v/>
      </c>
    </row>
    <row r="3593">
      <c r="A3593" s="2" t="n"/>
      <c r="B3593">
        <f>LOWER(TRIM(A3593))</f>
        <v/>
      </c>
      <c r="C3593">
        <f>IF(B3593="","",IFERROR(INDEX('Bad Patterns'!$A$2:$A$120,MATCH(1,INDEX(--ISNUMBER(SEARCH('Bad Patterns'!$A$2:$A$120,B3593)),0),0)),""))</f>
        <v/>
      </c>
      <c r="D3593">
        <f>IF(B3593="","",IF(C3593&lt;&gt;"","REMOVE","KEEP"))</f>
        <v/>
      </c>
      <c r="E3593">
        <f>IF(D3593&lt;&gt;"KEEP","",IF(RIGHT(B3593,10)="@gmail.com","Gmail",IF(OR(RIGHT(B3593,12)="@outlook.com",RIGHT(B3593,12)="@hotmail.com",RIGHT(B3593,9)="@live.com"),"Outlook","Domain")))</f>
        <v/>
      </c>
      <c r="F3593">
        <f>IF(B3593="","",IFERROR(RIGHT(B3593,LEN(B3593)-FIND("@",B3593)),""))</f>
        <v/>
      </c>
      <c r="G3593">
        <f>IF(D3593="KEEP",COUNTIF($D$2:D3593,"KEEP"),"")</f>
        <v/>
      </c>
      <c r="H3593">
        <f>IF(D3593="REMOVE",COUNTIF($D$2:D3593,"REMOVE"),"")</f>
        <v/>
      </c>
      <c r="I3593">
        <f>IF(E3593="Gmail",COUNTIF($E$2:E3593,"Gmail"),"")</f>
        <v/>
      </c>
      <c r="J3593">
        <f>IF(E3593="Outlook",COUNTIF($E$2:E3593,"Outlook"),"")</f>
        <v/>
      </c>
      <c r="K3593">
        <f>IF(E3593="Domain",COUNTIF($E$2:E3593,"Domain"),"")</f>
        <v/>
      </c>
    </row>
    <row r="3594">
      <c r="A3594" s="2" t="n"/>
      <c r="B3594">
        <f>LOWER(TRIM(A3594))</f>
        <v/>
      </c>
      <c r="C3594">
        <f>IF(B3594="","",IFERROR(INDEX('Bad Patterns'!$A$2:$A$120,MATCH(1,INDEX(--ISNUMBER(SEARCH('Bad Patterns'!$A$2:$A$120,B3594)),0),0)),""))</f>
        <v/>
      </c>
      <c r="D3594">
        <f>IF(B3594="","",IF(C3594&lt;&gt;"","REMOVE","KEEP"))</f>
        <v/>
      </c>
      <c r="E3594">
        <f>IF(D3594&lt;&gt;"KEEP","",IF(RIGHT(B3594,10)="@gmail.com","Gmail",IF(OR(RIGHT(B3594,12)="@outlook.com",RIGHT(B3594,12)="@hotmail.com",RIGHT(B3594,9)="@live.com"),"Outlook","Domain")))</f>
        <v/>
      </c>
      <c r="F3594">
        <f>IF(B3594="","",IFERROR(RIGHT(B3594,LEN(B3594)-FIND("@",B3594)),""))</f>
        <v/>
      </c>
      <c r="G3594">
        <f>IF(D3594="KEEP",COUNTIF($D$2:D3594,"KEEP"),"")</f>
        <v/>
      </c>
      <c r="H3594">
        <f>IF(D3594="REMOVE",COUNTIF($D$2:D3594,"REMOVE"),"")</f>
        <v/>
      </c>
      <c r="I3594">
        <f>IF(E3594="Gmail",COUNTIF($E$2:E3594,"Gmail"),"")</f>
        <v/>
      </c>
      <c r="J3594">
        <f>IF(E3594="Outlook",COUNTIF($E$2:E3594,"Outlook"),"")</f>
        <v/>
      </c>
      <c r="K3594">
        <f>IF(E3594="Domain",COUNTIF($E$2:E3594,"Domain"),"")</f>
        <v/>
      </c>
    </row>
    <row r="3595">
      <c r="A3595" s="2" t="n"/>
      <c r="B3595">
        <f>LOWER(TRIM(A3595))</f>
        <v/>
      </c>
      <c r="C3595">
        <f>IF(B3595="","",IFERROR(INDEX('Bad Patterns'!$A$2:$A$120,MATCH(1,INDEX(--ISNUMBER(SEARCH('Bad Patterns'!$A$2:$A$120,B3595)),0),0)),""))</f>
        <v/>
      </c>
      <c r="D3595">
        <f>IF(B3595="","",IF(C3595&lt;&gt;"","REMOVE","KEEP"))</f>
        <v/>
      </c>
      <c r="E3595">
        <f>IF(D3595&lt;&gt;"KEEP","",IF(RIGHT(B3595,10)="@gmail.com","Gmail",IF(OR(RIGHT(B3595,12)="@outlook.com",RIGHT(B3595,12)="@hotmail.com",RIGHT(B3595,9)="@live.com"),"Outlook","Domain")))</f>
        <v/>
      </c>
      <c r="F3595">
        <f>IF(B3595="","",IFERROR(RIGHT(B3595,LEN(B3595)-FIND("@",B3595)),""))</f>
        <v/>
      </c>
      <c r="G3595">
        <f>IF(D3595="KEEP",COUNTIF($D$2:D3595,"KEEP"),"")</f>
        <v/>
      </c>
      <c r="H3595">
        <f>IF(D3595="REMOVE",COUNTIF($D$2:D3595,"REMOVE"),"")</f>
        <v/>
      </c>
      <c r="I3595">
        <f>IF(E3595="Gmail",COUNTIF($E$2:E3595,"Gmail"),"")</f>
        <v/>
      </c>
      <c r="J3595">
        <f>IF(E3595="Outlook",COUNTIF($E$2:E3595,"Outlook"),"")</f>
        <v/>
      </c>
      <c r="K3595">
        <f>IF(E3595="Domain",COUNTIF($E$2:E3595,"Domain"),"")</f>
        <v/>
      </c>
    </row>
    <row r="3596">
      <c r="A3596" s="2" t="n"/>
      <c r="B3596">
        <f>LOWER(TRIM(A3596))</f>
        <v/>
      </c>
      <c r="C3596">
        <f>IF(B3596="","",IFERROR(INDEX('Bad Patterns'!$A$2:$A$120,MATCH(1,INDEX(--ISNUMBER(SEARCH('Bad Patterns'!$A$2:$A$120,B3596)),0),0)),""))</f>
        <v/>
      </c>
      <c r="D3596">
        <f>IF(B3596="","",IF(C3596&lt;&gt;"","REMOVE","KEEP"))</f>
        <v/>
      </c>
      <c r="E3596">
        <f>IF(D3596&lt;&gt;"KEEP","",IF(RIGHT(B3596,10)="@gmail.com","Gmail",IF(OR(RIGHT(B3596,12)="@outlook.com",RIGHT(B3596,12)="@hotmail.com",RIGHT(B3596,9)="@live.com"),"Outlook","Domain")))</f>
        <v/>
      </c>
      <c r="F3596">
        <f>IF(B3596="","",IFERROR(RIGHT(B3596,LEN(B3596)-FIND("@",B3596)),""))</f>
        <v/>
      </c>
      <c r="G3596">
        <f>IF(D3596="KEEP",COUNTIF($D$2:D3596,"KEEP"),"")</f>
        <v/>
      </c>
      <c r="H3596">
        <f>IF(D3596="REMOVE",COUNTIF($D$2:D3596,"REMOVE"),"")</f>
        <v/>
      </c>
      <c r="I3596">
        <f>IF(E3596="Gmail",COUNTIF($E$2:E3596,"Gmail"),"")</f>
        <v/>
      </c>
      <c r="J3596">
        <f>IF(E3596="Outlook",COUNTIF($E$2:E3596,"Outlook"),"")</f>
        <v/>
      </c>
      <c r="K3596">
        <f>IF(E3596="Domain",COUNTIF($E$2:E3596,"Domain"),"")</f>
        <v/>
      </c>
    </row>
    <row r="3597">
      <c r="A3597" s="2" t="n"/>
      <c r="B3597">
        <f>LOWER(TRIM(A3597))</f>
        <v/>
      </c>
      <c r="C3597">
        <f>IF(B3597="","",IFERROR(INDEX('Bad Patterns'!$A$2:$A$120,MATCH(1,INDEX(--ISNUMBER(SEARCH('Bad Patterns'!$A$2:$A$120,B3597)),0),0)),""))</f>
        <v/>
      </c>
      <c r="D3597">
        <f>IF(B3597="","",IF(C3597&lt;&gt;"","REMOVE","KEEP"))</f>
        <v/>
      </c>
      <c r="E3597">
        <f>IF(D3597&lt;&gt;"KEEP","",IF(RIGHT(B3597,10)="@gmail.com","Gmail",IF(OR(RIGHT(B3597,12)="@outlook.com",RIGHT(B3597,12)="@hotmail.com",RIGHT(B3597,9)="@live.com"),"Outlook","Domain")))</f>
        <v/>
      </c>
      <c r="F3597">
        <f>IF(B3597="","",IFERROR(RIGHT(B3597,LEN(B3597)-FIND("@",B3597)),""))</f>
        <v/>
      </c>
      <c r="G3597">
        <f>IF(D3597="KEEP",COUNTIF($D$2:D3597,"KEEP"),"")</f>
        <v/>
      </c>
      <c r="H3597">
        <f>IF(D3597="REMOVE",COUNTIF($D$2:D3597,"REMOVE"),"")</f>
        <v/>
      </c>
      <c r="I3597">
        <f>IF(E3597="Gmail",COUNTIF($E$2:E3597,"Gmail"),"")</f>
        <v/>
      </c>
      <c r="J3597">
        <f>IF(E3597="Outlook",COUNTIF($E$2:E3597,"Outlook"),"")</f>
        <v/>
      </c>
      <c r="K3597">
        <f>IF(E3597="Domain",COUNTIF($E$2:E3597,"Domain"),"")</f>
        <v/>
      </c>
    </row>
    <row r="3598">
      <c r="A3598" s="2" t="n"/>
      <c r="B3598">
        <f>LOWER(TRIM(A3598))</f>
        <v/>
      </c>
      <c r="C3598">
        <f>IF(B3598="","",IFERROR(INDEX('Bad Patterns'!$A$2:$A$120,MATCH(1,INDEX(--ISNUMBER(SEARCH('Bad Patterns'!$A$2:$A$120,B3598)),0),0)),""))</f>
        <v/>
      </c>
      <c r="D3598">
        <f>IF(B3598="","",IF(C3598&lt;&gt;"","REMOVE","KEEP"))</f>
        <v/>
      </c>
      <c r="E3598">
        <f>IF(D3598&lt;&gt;"KEEP","",IF(RIGHT(B3598,10)="@gmail.com","Gmail",IF(OR(RIGHT(B3598,12)="@outlook.com",RIGHT(B3598,12)="@hotmail.com",RIGHT(B3598,9)="@live.com"),"Outlook","Domain")))</f>
        <v/>
      </c>
      <c r="F3598">
        <f>IF(B3598="","",IFERROR(RIGHT(B3598,LEN(B3598)-FIND("@",B3598)),""))</f>
        <v/>
      </c>
      <c r="G3598">
        <f>IF(D3598="KEEP",COUNTIF($D$2:D3598,"KEEP"),"")</f>
        <v/>
      </c>
      <c r="H3598">
        <f>IF(D3598="REMOVE",COUNTIF($D$2:D3598,"REMOVE"),"")</f>
        <v/>
      </c>
      <c r="I3598">
        <f>IF(E3598="Gmail",COUNTIF($E$2:E3598,"Gmail"),"")</f>
        <v/>
      </c>
      <c r="J3598">
        <f>IF(E3598="Outlook",COUNTIF($E$2:E3598,"Outlook"),"")</f>
        <v/>
      </c>
      <c r="K3598">
        <f>IF(E3598="Domain",COUNTIF($E$2:E3598,"Domain"),"")</f>
        <v/>
      </c>
    </row>
    <row r="3599">
      <c r="A3599" s="2" t="n"/>
      <c r="B3599">
        <f>LOWER(TRIM(A3599))</f>
        <v/>
      </c>
      <c r="C3599">
        <f>IF(B3599="","",IFERROR(INDEX('Bad Patterns'!$A$2:$A$120,MATCH(1,INDEX(--ISNUMBER(SEARCH('Bad Patterns'!$A$2:$A$120,B3599)),0),0)),""))</f>
        <v/>
      </c>
      <c r="D3599">
        <f>IF(B3599="","",IF(C3599&lt;&gt;"","REMOVE","KEEP"))</f>
        <v/>
      </c>
      <c r="E3599">
        <f>IF(D3599&lt;&gt;"KEEP","",IF(RIGHT(B3599,10)="@gmail.com","Gmail",IF(OR(RIGHT(B3599,12)="@outlook.com",RIGHT(B3599,12)="@hotmail.com",RIGHT(B3599,9)="@live.com"),"Outlook","Domain")))</f>
        <v/>
      </c>
      <c r="F3599">
        <f>IF(B3599="","",IFERROR(RIGHT(B3599,LEN(B3599)-FIND("@",B3599)),""))</f>
        <v/>
      </c>
      <c r="G3599">
        <f>IF(D3599="KEEP",COUNTIF($D$2:D3599,"KEEP"),"")</f>
        <v/>
      </c>
      <c r="H3599">
        <f>IF(D3599="REMOVE",COUNTIF($D$2:D3599,"REMOVE"),"")</f>
        <v/>
      </c>
      <c r="I3599">
        <f>IF(E3599="Gmail",COUNTIF($E$2:E3599,"Gmail"),"")</f>
        <v/>
      </c>
      <c r="J3599">
        <f>IF(E3599="Outlook",COUNTIF($E$2:E3599,"Outlook"),"")</f>
        <v/>
      </c>
      <c r="K3599">
        <f>IF(E3599="Domain",COUNTIF($E$2:E3599,"Domain"),"")</f>
        <v/>
      </c>
    </row>
    <row r="3600">
      <c r="A3600" s="2" t="n"/>
      <c r="B3600">
        <f>LOWER(TRIM(A3600))</f>
        <v/>
      </c>
      <c r="C3600">
        <f>IF(B3600="","",IFERROR(INDEX('Bad Patterns'!$A$2:$A$120,MATCH(1,INDEX(--ISNUMBER(SEARCH('Bad Patterns'!$A$2:$A$120,B3600)),0),0)),""))</f>
        <v/>
      </c>
      <c r="D3600">
        <f>IF(B3600="","",IF(C3600&lt;&gt;"","REMOVE","KEEP"))</f>
        <v/>
      </c>
      <c r="E3600">
        <f>IF(D3600&lt;&gt;"KEEP","",IF(RIGHT(B3600,10)="@gmail.com","Gmail",IF(OR(RIGHT(B3600,12)="@outlook.com",RIGHT(B3600,12)="@hotmail.com",RIGHT(B3600,9)="@live.com"),"Outlook","Domain")))</f>
        <v/>
      </c>
      <c r="F3600">
        <f>IF(B3600="","",IFERROR(RIGHT(B3600,LEN(B3600)-FIND("@",B3600)),""))</f>
        <v/>
      </c>
      <c r="G3600">
        <f>IF(D3600="KEEP",COUNTIF($D$2:D3600,"KEEP"),"")</f>
        <v/>
      </c>
      <c r="H3600">
        <f>IF(D3600="REMOVE",COUNTIF($D$2:D3600,"REMOVE"),"")</f>
        <v/>
      </c>
      <c r="I3600">
        <f>IF(E3600="Gmail",COUNTIF($E$2:E3600,"Gmail"),"")</f>
        <v/>
      </c>
      <c r="J3600">
        <f>IF(E3600="Outlook",COUNTIF($E$2:E3600,"Outlook"),"")</f>
        <v/>
      </c>
      <c r="K3600">
        <f>IF(E3600="Domain",COUNTIF($E$2:E3600,"Domain"),"")</f>
        <v/>
      </c>
    </row>
    <row r="3601">
      <c r="A3601" s="2" t="n"/>
      <c r="B3601">
        <f>LOWER(TRIM(A3601))</f>
        <v/>
      </c>
      <c r="C3601">
        <f>IF(B3601="","",IFERROR(INDEX('Bad Patterns'!$A$2:$A$120,MATCH(1,INDEX(--ISNUMBER(SEARCH('Bad Patterns'!$A$2:$A$120,B3601)),0),0)),""))</f>
        <v/>
      </c>
      <c r="D3601">
        <f>IF(B3601="","",IF(C3601&lt;&gt;"","REMOVE","KEEP"))</f>
        <v/>
      </c>
      <c r="E3601">
        <f>IF(D3601&lt;&gt;"KEEP","",IF(RIGHT(B3601,10)="@gmail.com","Gmail",IF(OR(RIGHT(B3601,12)="@outlook.com",RIGHT(B3601,12)="@hotmail.com",RIGHT(B3601,9)="@live.com"),"Outlook","Domain")))</f>
        <v/>
      </c>
      <c r="F3601">
        <f>IF(B3601="","",IFERROR(RIGHT(B3601,LEN(B3601)-FIND("@",B3601)),""))</f>
        <v/>
      </c>
      <c r="G3601">
        <f>IF(D3601="KEEP",COUNTIF($D$2:D3601,"KEEP"),"")</f>
        <v/>
      </c>
      <c r="H3601">
        <f>IF(D3601="REMOVE",COUNTIF($D$2:D3601,"REMOVE"),"")</f>
        <v/>
      </c>
      <c r="I3601">
        <f>IF(E3601="Gmail",COUNTIF($E$2:E3601,"Gmail"),"")</f>
        <v/>
      </c>
      <c r="J3601">
        <f>IF(E3601="Outlook",COUNTIF($E$2:E3601,"Outlook"),"")</f>
        <v/>
      </c>
      <c r="K3601">
        <f>IF(E3601="Domain",COUNTIF($E$2:E3601,"Domain"),"")</f>
        <v/>
      </c>
    </row>
    <row r="3602">
      <c r="A3602" s="2" t="n"/>
      <c r="B3602">
        <f>LOWER(TRIM(A3602))</f>
        <v/>
      </c>
      <c r="C3602">
        <f>IF(B3602="","",IFERROR(INDEX('Bad Patterns'!$A$2:$A$120,MATCH(1,INDEX(--ISNUMBER(SEARCH('Bad Patterns'!$A$2:$A$120,B3602)),0),0)),""))</f>
        <v/>
      </c>
      <c r="D3602">
        <f>IF(B3602="","",IF(C3602&lt;&gt;"","REMOVE","KEEP"))</f>
        <v/>
      </c>
      <c r="E3602">
        <f>IF(D3602&lt;&gt;"KEEP","",IF(RIGHT(B3602,10)="@gmail.com","Gmail",IF(OR(RIGHT(B3602,12)="@outlook.com",RIGHT(B3602,12)="@hotmail.com",RIGHT(B3602,9)="@live.com"),"Outlook","Domain")))</f>
        <v/>
      </c>
      <c r="F3602">
        <f>IF(B3602="","",IFERROR(RIGHT(B3602,LEN(B3602)-FIND("@",B3602)),""))</f>
        <v/>
      </c>
      <c r="G3602">
        <f>IF(D3602="KEEP",COUNTIF($D$2:D3602,"KEEP"),"")</f>
        <v/>
      </c>
      <c r="H3602">
        <f>IF(D3602="REMOVE",COUNTIF($D$2:D3602,"REMOVE"),"")</f>
        <v/>
      </c>
      <c r="I3602">
        <f>IF(E3602="Gmail",COUNTIF($E$2:E3602,"Gmail"),"")</f>
        <v/>
      </c>
      <c r="J3602">
        <f>IF(E3602="Outlook",COUNTIF($E$2:E3602,"Outlook"),"")</f>
        <v/>
      </c>
      <c r="K3602">
        <f>IF(E3602="Domain",COUNTIF($E$2:E3602,"Domain"),"")</f>
        <v/>
      </c>
    </row>
    <row r="3603">
      <c r="A3603" s="2" t="n"/>
      <c r="B3603">
        <f>LOWER(TRIM(A3603))</f>
        <v/>
      </c>
      <c r="C3603">
        <f>IF(B3603="","",IFERROR(INDEX('Bad Patterns'!$A$2:$A$120,MATCH(1,INDEX(--ISNUMBER(SEARCH('Bad Patterns'!$A$2:$A$120,B3603)),0),0)),""))</f>
        <v/>
      </c>
      <c r="D3603">
        <f>IF(B3603="","",IF(C3603&lt;&gt;"","REMOVE","KEEP"))</f>
        <v/>
      </c>
      <c r="E3603">
        <f>IF(D3603&lt;&gt;"KEEP","",IF(RIGHT(B3603,10)="@gmail.com","Gmail",IF(OR(RIGHT(B3603,12)="@outlook.com",RIGHT(B3603,12)="@hotmail.com",RIGHT(B3603,9)="@live.com"),"Outlook","Domain")))</f>
        <v/>
      </c>
      <c r="F3603">
        <f>IF(B3603="","",IFERROR(RIGHT(B3603,LEN(B3603)-FIND("@",B3603)),""))</f>
        <v/>
      </c>
      <c r="G3603">
        <f>IF(D3603="KEEP",COUNTIF($D$2:D3603,"KEEP"),"")</f>
        <v/>
      </c>
      <c r="H3603">
        <f>IF(D3603="REMOVE",COUNTIF($D$2:D3603,"REMOVE"),"")</f>
        <v/>
      </c>
      <c r="I3603">
        <f>IF(E3603="Gmail",COUNTIF($E$2:E3603,"Gmail"),"")</f>
        <v/>
      </c>
      <c r="J3603">
        <f>IF(E3603="Outlook",COUNTIF($E$2:E3603,"Outlook"),"")</f>
        <v/>
      </c>
      <c r="K3603">
        <f>IF(E3603="Domain",COUNTIF($E$2:E3603,"Domain"),"")</f>
        <v/>
      </c>
    </row>
    <row r="3604">
      <c r="A3604" s="2" t="n"/>
      <c r="B3604">
        <f>LOWER(TRIM(A3604))</f>
        <v/>
      </c>
      <c r="C3604">
        <f>IF(B3604="","",IFERROR(INDEX('Bad Patterns'!$A$2:$A$120,MATCH(1,INDEX(--ISNUMBER(SEARCH('Bad Patterns'!$A$2:$A$120,B3604)),0),0)),""))</f>
        <v/>
      </c>
      <c r="D3604">
        <f>IF(B3604="","",IF(C3604&lt;&gt;"","REMOVE","KEEP"))</f>
        <v/>
      </c>
      <c r="E3604">
        <f>IF(D3604&lt;&gt;"KEEP","",IF(RIGHT(B3604,10)="@gmail.com","Gmail",IF(OR(RIGHT(B3604,12)="@outlook.com",RIGHT(B3604,12)="@hotmail.com",RIGHT(B3604,9)="@live.com"),"Outlook","Domain")))</f>
        <v/>
      </c>
      <c r="F3604">
        <f>IF(B3604="","",IFERROR(RIGHT(B3604,LEN(B3604)-FIND("@",B3604)),""))</f>
        <v/>
      </c>
      <c r="G3604">
        <f>IF(D3604="KEEP",COUNTIF($D$2:D3604,"KEEP"),"")</f>
        <v/>
      </c>
      <c r="H3604">
        <f>IF(D3604="REMOVE",COUNTIF($D$2:D3604,"REMOVE"),"")</f>
        <v/>
      </c>
      <c r="I3604">
        <f>IF(E3604="Gmail",COUNTIF($E$2:E3604,"Gmail"),"")</f>
        <v/>
      </c>
      <c r="J3604">
        <f>IF(E3604="Outlook",COUNTIF($E$2:E3604,"Outlook"),"")</f>
        <v/>
      </c>
      <c r="K3604">
        <f>IF(E3604="Domain",COUNTIF($E$2:E3604,"Domain"),"")</f>
        <v/>
      </c>
    </row>
    <row r="3605">
      <c r="A3605" s="2" t="n"/>
      <c r="B3605">
        <f>LOWER(TRIM(A3605))</f>
        <v/>
      </c>
      <c r="C3605">
        <f>IF(B3605="","",IFERROR(INDEX('Bad Patterns'!$A$2:$A$120,MATCH(1,INDEX(--ISNUMBER(SEARCH('Bad Patterns'!$A$2:$A$120,B3605)),0),0)),""))</f>
        <v/>
      </c>
      <c r="D3605">
        <f>IF(B3605="","",IF(C3605&lt;&gt;"","REMOVE","KEEP"))</f>
        <v/>
      </c>
      <c r="E3605">
        <f>IF(D3605&lt;&gt;"KEEP","",IF(RIGHT(B3605,10)="@gmail.com","Gmail",IF(OR(RIGHT(B3605,12)="@outlook.com",RIGHT(B3605,12)="@hotmail.com",RIGHT(B3605,9)="@live.com"),"Outlook","Domain")))</f>
        <v/>
      </c>
      <c r="F3605">
        <f>IF(B3605="","",IFERROR(RIGHT(B3605,LEN(B3605)-FIND("@",B3605)),""))</f>
        <v/>
      </c>
      <c r="G3605">
        <f>IF(D3605="KEEP",COUNTIF($D$2:D3605,"KEEP"),"")</f>
        <v/>
      </c>
      <c r="H3605">
        <f>IF(D3605="REMOVE",COUNTIF($D$2:D3605,"REMOVE"),"")</f>
        <v/>
      </c>
      <c r="I3605">
        <f>IF(E3605="Gmail",COUNTIF($E$2:E3605,"Gmail"),"")</f>
        <v/>
      </c>
      <c r="J3605">
        <f>IF(E3605="Outlook",COUNTIF($E$2:E3605,"Outlook"),"")</f>
        <v/>
      </c>
      <c r="K3605">
        <f>IF(E3605="Domain",COUNTIF($E$2:E3605,"Domain"),"")</f>
        <v/>
      </c>
    </row>
    <row r="3606">
      <c r="A3606" s="2" t="n"/>
      <c r="B3606">
        <f>LOWER(TRIM(A3606))</f>
        <v/>
      </c>
      <c r="C3606">
        <f>IF(B3606="","",IFERROR(INDEX('Bad Patterns'!$A$2:$A$120,MATCH(1,INDEX(--ISNUMBER(SEARCH('Bad Patterns'!$A$2:$A$120,B3606)),0),0)),""))</f>
        <v/>
      </c>
      <c r="D3606">
        <f>IF(B3606="","",IF(C3606&lt;&gt;"","REMOVE","KEEP"))</f>
        <v/>
      </c>
      <c r="E3606">
        <f>IF(D3606&lt;&gt;"KEEP","",IF(RIGHT(B3606,10)="@gmail.com","Gmail",IF(OR(RIGHT(B3606,12)="@outlook.com",RIGHT(B3606,12)="@hotmail.com",RIGHT(B3606,9)="@live.com"),"Outlook","Domain")))</f>
        <v/>
      </c>
      <c r="F3606">
        <f>IF(B3606="","",IFERROR(RIGHT(B3606,LEN(B3606)-FIND("@",B3606)),""))</f>
        <v/>
      </c>
      <c r="G3606">
        <f>IF(D3606="KEEP",COUNTIF($D$2:D3606,"KEEP"),"")</f>
        <v/>
      </c>
      <c r="H3606">
        <f>IF(D3606="REMOVE",COUNTIF($D$2:D3606,"REMOVE"),"")</f>
        <v/>
      </c>
      <c r="I3606">
        <f>IF(E3606="Gmail",COUNTIF($E$2:E3606,"Gmail"),"")</f>
        <v/>
      </c>
      <c r="J3606">
        <f>IF(E3606="Outlook",COUNTIF($E$2:E3606,"Outlook"),"")</f>
        <v/>
      </c>
      <c r="K3606">
        <f>IF(E3606="Domain",COUNTIF($E$2:E3606,"Domain"),"")</f>
        <v/>
      </c>
    </row>
    <row r="3607">
      <c r="A3607" s="2" t="n"/>
      <c r="B3607">
        <f>LOWER(TRIM(A3607))</f>
        <v/>
      </c>
      <c r="C3607">
        <f>IF(B3607="","",IFERROR(INDEX('Bad Patterns'!$A$2:$A$120,MATCH(1,INDEX(--ISNUMBER(SEARCH('Bad Patterns'!$A$2:$A$120,B3607)),0),0)),""))</f>
        <v/>
      </c>
      <c r="D3607">
        <f>IF(B3607="","",IF(C3607&lt;&gt;"","REMOVE","KEEP"))</f>
        <v/>
      </c>
      <c r="E3607">
        <f>IF(D3607&lt;&gt;"KEEP","",IF(RIGHT(B3607,10)="@gmail.com","Gmail",IF(OR(RIGHT(B3607,12)="@outlook.com",RIGHT(B3607,12)="@hotmail.com",RIGHT(B3607,9)="@live.com"),"Outlook","Domain")))</f>
        <v/>
      </c>
      <c r="F3607">
        <f>IF(B3607="","",IFERROR(RIGHT(B3607,LEN(B3607)-FIND("@",B3607)),""))</f>
        <v/>
      </c>
      <c r="G3607">
        <f>IF(D3607="KEEP",COUNTIF($D$2:D3607,"KEEP"),"")</f>
        <v/>
      </c>
      <c r="H3607">
        <f>IF(D3607="REMOVE",COUNTIF($D$2:D3607,"REMOVE"),"")</f>
        <v/>
      </c>
      <c r="I3607">
        <f>IF(E3607="Gmail",COUNTIF($E$2:E3607,"Gmail"),"")</f>
        <v/>
      </c>
      <c r="J3607">
        <f>IF(E3607="Outlook",COUNTIF($E$2:E3607,"Outlook"),"")</f>
        <v/>
      </c>
      <c r="K3607">
        <f>IF(E3607="Domain",COUNTIF($E$2:E3607,"Domain"),"")</f>
        <v/>
      </c>
    </row>
    <row r="3608">
      <c r="A3608" s="2" t="n"/>
      <c r="B3608">
        <f>LOWER(TRIM(A3608))</f>
        <v/>
      </c>
      <c r="C3608">
        <f>IF(B3608="","",IFERROR(INDEX('Bad Patterns'!$A$2:$A$120,MATCH(1,INDEX(--ISNUMBER(SEARCH('Bad Patterns'!$A$2:$A$120,B3608)),0),0)),""))</f>
        <v/>
      </c>
      <c r="D3608">
        <f>IF(B3608="","",IF(C3608&lt;&gt;"","REMOVE","KEEP"))</f>
        <v/>
      </c>
      <c r="E3608">
        <f>IF(D3608&lt;&gt;"KEEP","",IF(RIGHT(B3608,10)="@gmail.com","Gmail",IF(OR(RIGHT(B3608,12)="@outlook.com",RIGHT(B3608,12)="@hotmail.com",RIGHT(B3608,9)="@live.com"),"Outlook","Domain")))</f>
        <v/>
      </c>
      <c r="F3608">
        <f>IF(B3608="","",IFERROR(RIGHT(B3608,LEN(B3608)-FIND("@",B3608)),""))</f>
        <v/>
      </c>
      <c r="G3608">
        <f>IF(D3608="KEEP",COUNTIF($D$2:D3608,"KEEP"),"")</f>
        <v/>
      </c>
      <c r="H3608">
        <f>IF(D3608="REMOVE",COUNTIF($D$2:D3608,"REMOVE"),"")</f>
        <v/>
      </c>
      <c r="I3608">
        <f>IF(E3608="Gmail",COUNTIF($E$2:E3608,"Gmail"),"")</f>
        <v/>
      </c>
      <c r="J3608">
        <f>IF(E3608="Outlook",COUNTIF($E$2:E3608,"Outlook"),"")</f>
        <v/>
      </c>
      <c r="K3608">
        <f>IF(E3608="Domain",COUNTIF($E$2:E3608,"Domain"),"")</f>
        <v/>
      </c>
    </row>
    <row r="3609">
      <c r="A3609" s="2" t="n"/>
      <c r="B3609">
        <f>LOWER(TRIM(A3609))</f>
        <v/>
      </c>
      <c r="C3609">
        <f>IF(B3609="","",IFERROR(INDEX('Bad Patterns'!$A$2:$A$120,MATCH(1,INDEX(--ISNUMBER(SEARCH('Bad Patterns'!$A$2:$A$120,B3609)),0),0)),""))</f>
        <v/>
      </c>
      <c r="D3609">
        <f>IF(B3609="","",IF(C3609&lt;&gt;"","REMOVE","KEEP"))</f>
        <v/>
      </c>
      <c r="E3609">
        <f>IF(D3609&lt;&gt;"KEEP","",IF(RIGHT(B3609,10)="@gmail.com","Gmail",IF(OR(RIGHT(B3609,12)="@outlook.com",RIGHT(B3609,12)="@hotmail.com",RIGHT(B3609,9)="@live.com"),"Outlook","Domain")))</f>
        <v/>
      </c>
      <c r="F3609">
        <f>IF(B3609="","",IFERROR(RIGHT(B3609,LEN(B3609)-FIND("@",B3609)),""))</f>
        <v/>
      </c>
      <c r="G3609">
        <f>IF(D3609="KEEP",COUNTIF($D$2:D3609,"KEEP"),"")</f>
        <v/>
      </c>
      <c r="H3609">
        <f>IF(D3609="REMOVE",COUNTIF($D$2:D3609,"REMOVE"),"")</f>
        <v/>
      </c>
      <c r="I3609">
        <f>IF(E3609="Gmail",COUNTIF($E$2:E3609,"Gmail"),"")</f>
        <v/>
      </c>
      <c r="J3609">
        <f>IF(E3609="Outlook",COUNTIF($E$2:E3609,"Outlook"),"")</f>
        <v/>
      </c>
      <c r="K3609">
        <f>IF(E3609="Domain",COUNTIF($E$2:E3609,"Domain"),"")</f>
        <v/>
      </c>
    </row>
    <row r="3610">
      <c r="A3610" s="2" t="n"/>
      <c r="B3610">
        <f>LOWER(TRIM(A3610))</f>
        <v/>
      </c>
      <c r="C3610">
        <f>IF(B3610="","",IFERROR(INDEX('Bad Patterns'!$A$2:$A$120,MATCH(1,INDEX(--ISNUMBER(SEARCH('Bad Patterns'!$A$2:$A$120,B3610)),0),0)),""))</f>
        <v/>
      </c>
      <c r="D3610">
        <f>IF(B3610="","",IF(C3610&lt;&gt;"","REMOVE","KEEP"))</f>
        <v/>
      </c>
      <c r="E3610">
        <f>IF(D3610&lt;&gt;"KEEP","",IF(RIGHT(B3610,10)="@gmail.com","Gmail",IF(OR(RIGHT(B3610,12)="@outlook.com",RIGHT(B3610,12)="@hotmail.com",RIGHT(B3610,9)="@live.com"),"Outlook","Domain")))</f>
        <v/>
      </c>
      <c r="F3610">
        <f>IF(B3610="","",IFERROR(RIGHT(B3610,LEN(B3610)-FIND("@",B3610)),""))</f>
        <v/>
      </c>
      <c r="G3610">
        <f>IF(D3610="KEEP",COUNTIF($D$2:D3610,"KEEP"),"")</f>
        <v/>
      </c>
      <c r="H3610">
        <f>IF(D3610="REMOVE",COUNTIF($D$2:D3610,"REMOVE"),"")</f>
        <v/>
      </c>
      <c r="I3610">
        <f>IF(E3610="Gmail",COUNTIF($E$2:E3610,"Gmail"),"")</f>
        <v/>
      </c>
      <c r="J3610">
        <f>IF(E3610="Outlook",COUNTIF($E$2:E3610,"Outlook"),"")</f>
        <v/>
      </c>
      <c r="K3610">
        <f>IF(E3610="Domain",COUNTIF($E$2:E3610,"Domain"),"")</f>
        <v/>
      </c>
    </row>
    <row r="3611">
      <c r="A3611" s="2" t="n"/>
      <c r="B3611">
        <f>LOWER(TRIM(A3611))</f>
        <v/>
      </c>
      <c r="C3611">
        <f>IF(B3611="","",IFERROR(INDEX('Bad Patterns'!$A$2:$A$120,MATCH(1,INDEX(--ISNUMBER(SEARCH('Bad Patterns'!$A$2:$A$120,B3611)),0),0)),""))</f>
        <v/>
      </c>
      <c r="D3611">
        <f>IF(B3611="","",IF(C3611&lt;&gt;"","REMOVE","KEEP"))</f>
        <v/>
      </c>
      <c r="E3611">
        <f>IF(D3611&lt;&gt;"KEEP","",IF(RIGHT(B3611,10)="@gmail.com","Gmail",IF(OR(RIGHT(B3611,12)="@outlook.com",RIGHT(B3611,12)="@hotmail.com",RIGHT(B3611,9)="@live.com"),"Outlook","Domain")))</f>
        <v/>
      </c>
      <c r="F3611">
        <f>IF(B3611="","",IFERROR(RIGHT(B3611,LEN(B3611)-FIND("@",B3611)),""))</f>
        <v/>
      </c>
      <c r="G3611">
        <f>IF(D3611="KEEP",COUNTIF($D$2:D3611,"KEEP"),"")</f>
        <v/>
      </c>
      <c r="H3611">
        <f>IF(D3611="REMOVE",COUNTIF($D$2:D3611,"REMOVE"),"")</f>
        <v/>
      </c>
      <c r="I3611">
        <f>IF(E3611="Gmail",COUNTIF($E$2:E3611,"Gmail"),"")</f>
        <v/>
      </c>
      <c r="J3611">
        <f>IF(E3611="Outlook",COUNTIF($E$2:E3611,"Outlook"),"")</f>
        <v/>
      </c>
      <c r="K3611">
        <f>IF(E3611="Domain",COUNTIF($E$2:E3611,"Domain"),"")</f>
        <v/>
      </c>
    </row>
    <row r="3612">
      <c r="A3612" s="2" t="n"/>
      <c r="B3612">
        <f>LOWER(TRIM(A3612))</f>
        <v/>
      </c>
      <c r="C3612">
        <f>IF(B3612="","",IFERROR(INDEX('Bad Patterns'!$A$2:$A$120,MATCH(1,INDEX(--ISNUMBER(SEARCH('Bad Patterns'!$A$2:$A$120,B3612)),0),0)),""))</f>
        <v/>
      </c>
      <c r="D3612">
        <f>IF(B3612="","",IF(C3612&lt;&gt;"","REMOVE","KEEP"))</f>
        <v/>
      </c>
      <c r="E3612">
        <f>IF(D3612&lt;&gt;"KEEP","",IF(RIGHT(B3612,10)="@gmail.com","Gmail",IF(OR(RIGHT(B3612,12)="@outlook.com",RIGHT(B3612,12)="@hotmail.com",RIGHT(B3612,9)="@live.com"),"Outlook","Domain")))</f>
        <v/>
      </c>
      <c r="F3612">
        <f>IF(B3612="","",IFERROR(RIGHT(B3612,LEN(B3612)-FIND("@",B3612)),""))</f>
        <v/>
      </c>
      <c r="G3612">
        <f>IF(D3612="KEEP",COUNTIF($D$2:D3612,"KEEP"),"")</f>
        <v/>
      </c>
      <c r="H3612">
        <f>IF(D3612="REMOVE",COUNTIF($D$2:D3612,"REMOVE"),"")</f>
        <v/>
      </c>
      <c r="I3612">
        <f>IF(E3612="Gmail",COUNTIF($E$2:E3612,"Gmail"),"")</f>
        <v/>
      </c>
      <c r="J3612">
        <f>IF(E3612="Outlook",COUNTIF($E$2:E3612,"Outlook"),"")</f>
        <v/>
      </c>
      <c r="K3612">
        <f>IF(E3612="Domain",COUNTIF($E$2:E3612,"Domain"),"")</f>
        <v/>
      </c>
    </row>
    <row r="3613">
      <c r="A3613" s="2" t="n"/>
      <c r="B3613">
        <f>LOWER(TRIM(A3613))</f>
        <v/>
      </c>
      <c r="C3613">
        <f>IF(B3613="","",IFERROR(INDEX('Bad Patterns'!$A$2:$A$120,MATCH(1,INDEX(--ISNUMBER(SEARCH('Bad Patterns'!$A$2:$A$120,B3613)),0),0)),""))</f>
        <v/>
      </c>
      <c r="D3613">
        <f>IF(B3613="","",IF(C3613&lt;&gt;"","REMOVE","KEEP"))</f>
        <v/>
      </c>
      <c r="E3613">
        <f>IF(D3613&lt;&gt;"KEEP","",IF(RIGHT(B3613,10)="@gmail.com","Gmail",IF(OR(RIGHT(B3613,12)="@outlook.com",RIGHT(B3613,12)="@hotmail.com",RIGHT(B3613,9)="@live.com"),"Outlook","Domain")))</f>
        <v/>
      </c>
      <c r="F3613">
        <f>IF(B3613="","",IFERROR(RIGHT(B3613,LEN(B3613)-FIND("@",B3613)),""))</f>
        <v/>
      </c>
      <c r="G3613">
        <f>IF(D3613="KEEP",COUNTIF($D$2:D3613,"KEEP"),"")</f>
        <v/>
      </c>
      <c r="H3613">
        <f>IF(D3613="REMOVE",COUNTIF($D$2:D3613,"REMOVE"),"")</f>
        <v/>
      </c>
      <c r="I3613">
        <f>IF(E3613="Gmail",COUNTIF($E$2:E3613,"Gmail"),"")</f>
        <v/>
      </c>
      <c r="J3613">
        <f>IF(E3613="Outlook",COUNTIF($E$2:E3613,"Outlook"),"")</f>
        <v/>
      </c>
      <c r="K3613">
        <f>IF(E3613="Domain",COUNTIF($E$2:E3613,"Domain"),"")</f>
        <v/>
      </c>
    </row>
    <row r="3614">
      <c r="A3614" s="2" t="n"/>
      <c r="B3614">
        <f>LOWER(TRIM(A3614))</f>
        <v/>
      </c>
      <c r="C3614">
        <f>IF(B3614="","",IFERROR(INDEX('Bad Patterns'!$A$2:$A$120,MATCH(1,INDEX(--ISNUMBER(SEARCH('Bad Patterns'!$A$2:$A$120,B3614)),0),0)),""))</f>
        <v/>
      </c>
      <c r="D3614">
        <f>IF(B3614="","",IF(C3614&lt;&gt;"","REMOVE","KEEP"))</f>
        <v/>
      </c>
      <c r="E3614">
        <f>IF(D3614&lt;&gt;"KEEP","",IF(RIGHT(B3614,10)="@gmail.com","Gmail",IF(OR(RIGHT(B3614,12)="@outlook.com",RIGHT(B3614,12)="@hotmail.com",RIGHT(B3614,9)="@live.com"),"Outlook","Domain")))</f>
        <v/>
      </c>
      <c r="F3614">
        <f>IF(B3614="","",IFERROR(RIGHT(B3614,LEN(B3614)-FIND("@",B3614)),""))</f>
        <v/>
      </c>
      <c r="G3614">
        <f>IF(D3614="KEEP",COUNTIF($D$2:D3614,"KEEP"),"")</f>
        <v/>
      </c>
      <c r="H3614">
        <f>IF(D3614="REMOVE",COUNTIF($D$2:D3614,"REMOVE"),"")</f>
        <v/>
      </c>
      <c r="I3614">
        <f>IF(E3614="Gmail",COUNTIF($E$2:E3614,"Gmail"),"")</f>
        <v/>
      </c>
      <c r="J3614">
        <f>IF(E3614="Outlook",COUNTIF($E$2:E3614,"Outlook"),"")</f>
        <v/>
      </c>
      <c r="K3614">
        <f>IF(E3614="Domain",COUNTIF($E$2:E3614,"Domain"),"")</f>
        <v/>
      </c>
    </row>
    <row r="3615">
      <c r="A3615" s="2" t="n"/>
      <c r="B3615">
        <f>LOWER(TRIM(A3615))</f>
        <v/>
      </c>
      <c r="C3615">
        <f>IF(B3615="","",IFERROR(INDEX('Bad Patterns'!$A$2:$A$120,MATCH(1,INDEX(--ISNUMBER(SEARCH('Bad Patterns'!$A$2:$A$120,B3615)),0),0)),""))</f>
        <v/>
      </c>
      <c r="D3615">
        <f>IF(B3615="","",IF(C3615&lt;&gt;"","REMOVE","KEEP"))</f>
        <v/>
      </c>
      <c r="E3615">
        <f>IF(D3615&lt;&gt;"KEEP","",IF(RIGHT(B3615,10)="@gmail.com","Gmail",IF(OR(RIGHT(B3615,12)="@outlook.com",RIGHT(B3615,12)="@hotmail.com",RIGHT(B3615,9)="@live.com"),"Outlook","Domain")))</f>
        <v/>
      </c>
      <c r="F3615">
        <f>IF(B3615="","",IFERROR(RIGHT(B3615,LEN(B3615)-FIND("@",B3615)),""))</f>
        <v/>
      </c>
      <c r="G3615">
        <f>IF(D3615="KEEP",COUNTIF($D$2:D3615,"KEEP"),"")</f>
        <v/>
      </c>
      <c r="H3615">
        <f>IF(D3615="REMOVE",COUNTIF($D$2:D3615,"REMOVE"),"")</f>
        <v/>
      </c>
      <c r="I3615">
        <f>IF(E3615="Gmail",COUNTIF($E$2:E3615,"Gmail"),"")</f>
        <v/>
      </c>
      <c r="J3615">
        <f>IF(E3615="Outlook",COUNTIF($E$2:E3615,"Outlook"),"")</f>
        <v/>
      </c>
      <c r="K3615">
        <f>IF(E3615="Domain",COUNTIF($E$2:E3615,"Domain"),"")</f>
        <v/>
      </c>
    </row>
    <row r="3616">
      <c r="A3616" s="2" t="n"/>
      <c r="B3616">
        <f>LOWER(TRIM(A3616))</f>
        <v/>
      </c>
      <c r="C3616">
        <f>IF(B3616="","",IFERROR(INDEX('Bad Patterns'!$A$2:$A$120,MATCH(1,INDEX(--ISNUMBER(SEARCH('Bad Patterns'!$A$2:$A$120,B3616)),0),0)),""))</f>
        <v/>
      </c>
      <c r="D3616">
        <f>IF(B3616="","",IF(C3616&lt;&gt;"","REMOVE","KEEP"))</f>
        <v/>
      </c>
      <c r="E3616">
        <f>IF(D3616&lt;&gt;"KEEP","",IF(RIGHT(B3616,10)="@gmail.com","Gmail",IF(OR(RIGHT(B3616,12)="@outlook.com",RIGHT(B3616,12)="@hotmail.com",RIGHT(B3616,9)="@live.com"),"Outlook","Domain")))</f>
        <v/>
      </c>
      <c r="F3616">
        <f>IF(B3616="","",IFERROR(RIGHT(B3616,LEN(B3616)-FIND("@",B3616)),""))</f>
        <v/>
      </c>
      <c r="G3616">
        <f>IF(D3616="KEEP",COUNTIF($D$2:D3616,"KEEP"),"")</f>
        <v/>
      </c>
      <c r="H3616">
        <f>IF(D3616="REMOVE",COUNTIF($D$2:D3616,"REMOVE"),"")</f>
        <v/>
      </c>
      <c r="I3616">
        <f>IF(E3616="Gmail",COUNTIF($E$2:E3616,"Gmail"),"")</f>
        <v/>
      </c>
      <c r="J3616">
        <f>IF(E3616="Outlook",COUNTIF($E$2:E3616,"Outlook"),"")</f>
        <v/>
      </c>
      <c r="K3616">
        <f>IF(E3616="Domain",COUNTIF($E$2:E3616,"Domain"),"")</f>
        <v/>
      </c>
    </row>
    <row r="3617">
      <c r="A3617" s="2" t="n"/>
      <c r="B3617">
        <f>LOWER(TRIM(A3617))</f>
        <v/>
      </c>
      <c r="C3617">
        <f>IF(B3617="","",IFERROR(INDEX('Bad Patterns'!$A$2:$A$120,MATCH(1,INDEX(--ISNUMBER(SEARCH('Bad Patterns'!$A$2:$A$120,B3617)),0),0)),""))</f>
        <v/>
      </c>
      <c r="D3617">
        <f>IF(B3617="","",IF(C3617&lt;&gt;"","REMOVE","KEEP"))</f>
        <v/>
      </c>
      <c r="E3617">
        <f>IF(D3617&lt;&gt;"KEEP","",IF(RIGHT(B3617,10)="@gmail.com","Gmail",IF(OR(RIGHT(B3617,12)="@outlook.com",RIGHT(B3617,12)="@hotmail.com",RIGHT(B3617,9)="@live.com"),"Outlook","Domain")))</f>
        <v/>
      </c>
      <c r="F3617">
        <f>IF(B3617="","",IFERROR(RIGHT(B3617,LEN(B3617)-FIND("@",B3617)),""))</f>
        <v/>
      </c>
      <c r="G3617">
        <f>IF(D3617="KEEP",COUNTIF($D$2:D3617,"KEEP"),"")</f>
        <v/>
      </c>
      <c r="H3617">
        <f>IF(D3617="REMOVE",COUNTIF($D$2:D3617,"REMOVE"),"")</f>
        <v/>
      </c>
      <c r="I3617">
        <f>IF(E3617="Gmail",COUNTIF($E$2:E3617,"Gmail"),"")</f>
        <v/>
      </c>
      <c r="J3617">
        <f>IF(E3617="Outlook",COUNTIF($E$2:E3617,"Outlook"),"")</f>
        <v/>
      </c>
      <c r="K3617">
        <f>IF(E3617="Domain",COUNTIF($E$2:E3617,"Domain"),"")</f>
        <v/>
      </c>
    </row>
    <row r="3618">
      <c r="A3618" s="2" t="n"/>
      <c r="B3618">
        <f>LOWER(TRIM(A3618))</f>
        <v/>
      </c>
      <c r="C3618">
        <f>IF(B3618="","",IFERROR(INDEX('Bad Patterns'!$A$2:$A$120,MATCH(1,INDEX(--ISNUMBER(SEARCH('Bad Patterns'!$A$2:$A$120,B3618)),0),0)),""))</f>
        <v/>
      </c>
      <c r="D3618">
        <f>IF(B3618="","",IF(C3618&lt;&gt;"","REMOVE","KEEP"))</f>
        <v/>
      </c>
      <c r="E3618">
        <f>IF(D3618&lt;&gt;"KEEP","",IF(RIGHT(B3618,10)="@gmail.com","Gmail",IF(OR(RIGHT(B3618,12)="@outlook.com",RIGHT(B3618,12)="@hotmail.com",RIGHT(B3618,9)="@live.com"),"Outlook","Domain")))</f>
        <v/>
      </c>
      <c r="F3618">
        <f>IF(B3618="","",IFERROR(RIGHT(B3618,LEN(B3618)-FIND("@",B3618)),""))</f>
        <v/>
      </c>
      <c r="G3618">
        <f>IF(D3618="KEEP",COUNTIF($D$2:D3618,"KEEP"),"")</f>
        <v/>
      </c>
      <c r="H3618">
        <f>IF(D3618="REMOVE",COUNTIF($D$2:D3618,"REMOVE"),"")</f>
        <v/>
      </c>
      <c r="I3618">
        <f>IF(E3618="Gmail",COUNTIF($E$2:E3618,"Gmail"),"")</f>
        <v/>
      </c>
      <c r="J3618">
        <f>IF(E3618="Outlook",COUNTIF($E$2:E3618,"Outlook"),"")</f>
        <v/>
      </c>
      <c r="K3618">
        <f>IF(E3618="Domain",COUNTIF($E$2:E3618,"Domain"),"")</f>
        <v/>
      </c>
    </row>
    <row r="3619">
      <c r="A3619" s="2" t="n"/>
      <c r="B3619">
        <f>LOWER(TRIM(A3619))</f>
        <v/>
      </c>
      <c r="C3619">
        <f>IF(B3619="","",IFERROR(INDEX('Bad Patterns'!$A$2:$A$120,MATCH(1,INDEX(--ISNUMBER(SEARCH('Bad Patterns'!$A$2:$A$120,B3619)),0),0)),""))</f>
        <v/>
      </c>
      <c r="D3619">
        <f>IF(B3619="","",IF(C3619&lt;&gt;"","REMOVE","KEEP"))</f>
        <v/>
      </c>
      <c r="E3619">
        <f>IF(D3619&lt;&gt;"KEEP","",IF(RIGHT(B3619,10)="@gmail.com","Gmail",IF(OR(RIGHT(B3619,12)="@outlook.com",RIGHT(B3619,12)="@hotmail.com",RIGHT(B3619,9)="@live.com"),"Outlook","Domain")))</f>
        <v/>
      </c>
      <c r="F3619">
        <f>IF(B3619="","",IFERROR(RIGHT(B3619,LEN(B3619)-FIND("@",B3619)),""))</f>
        <v/>
      </c>
      <c r="G3619">
        <f>IF(D3619="KEEP",COUNTIF($D$2:D3619,"KEEP"),"")</f>
        <v/>
      </c>
      <c r="H3619">
        <f>IF(D3619="REMOVE",COUNTIF($D$2:D3619,"REMOVE"),"")</f>
        <v/>
      </c>
      <c r="I3619">
        <f>IF(E3619="Gmail",COUNTIF($E$2:E3619,"Gmail"),"")</f>
        <v/>
      </c>
      <c r="J3619">
        <f>IF(E3619="Outlook",COUNTIF($E$2:E3619,"Outlook"),"")</f>
        <v/>
      </c>
      <c r="K3619">
        <f>IF(E3619="Domain",COUNTIF($E$2:E3619,"Domain"),"")</f>
        <v/>
      </c>
    </row>
    <row r="3620">
      <c r="A3620" s="2" t="n"/>
      <c r="B3620">
        <f>LOWER(TRIM(A3620))</f>
        <v/>
      </c>
      <c r="C3620">
        <f>IF(B3620="","",IFERROR(INDEX('Bad Patterns'!$A$2:$A$120,MATCH(1,INDEX(--ISNUMBER(SEARCH('Bad Patterns'!$A$2:$A$120,B3620)),0),0)),""))</f>
        <v/>
      </c>
      <c r="D3620">
        <f>IF(B3620="","",IF(C3620&lt;&gt;"","REMOVE","KEEP"))</f>
        <v/>
      </c>
      <c r="E3620">
        <f>IF(D3620&lt;&gt;"KEEP","",IF(RIGHT(B3620,10)="@gmail.com","Gmail",IF(OR(RIGHT(B3620,12)="@outlook.com",RIGHT(B3620,12)="@hotmail.com",RIGHT(B3620,9)="@live.com"),"Outlook","Domain")))</f>
        <v/>
      </c>
      <c r="F3620">
        <f>IF(B3620="","",IFERROR(RIGHT(B3620,LEN(B3620)-FIND("@",B3620)),""))</f>
        <v/>
      </c>
      <c r="G3620">
        <f>IF(D3620="KEEP",COUNTIF($D$2:D3620,"KEEP"),"")</f>
        <v/>
      </c>
      <c r="H3620">
        <f>IF(D3620="REMOVE",COUNTIF($D$2:D3620,"REMOVE"),"")</f>
        <v/>
      </c>
      <c r="I3620">
        <f>IF(E3620="Gmail",COUNTIF($E$2:E3620,"Gmail"),"")</f>
        <v/>
      </c>
      <c r="J3620">
        <f>IF(E3620="Outlook",COUNTIF($E$2:E3620,"Outlook"),"")</f>
        <v/>
      </c>
      <c r="K3620">
        <f>IF(E3620="Domain",COUNTIF($E$2:E3620,"Domain"),"")</f>
        <v/>
      </c>
    </row>
    <row r="3621">
      <c r="A3621" s="2" t="n"/>
      <c r="B3621">
        <f>LOWER(TRIM(A3621))</f>
        <v/>
      </c>
      <c r="C3621">
        <f>IF(B3621="","",IFERROR(INDEX('Bad Patterns'!$A$2:$A$120,MATCH(1,INDEX(--ISNUMBER(SEARCH('Bad Patterns'!$A$2:$A$120,B3621)),0),0)),""))</f>
        <v/>
      </c>
      <c r="D3621">
        <f>IF(B3621="","",IF(C3621&lt;&gt;"","REMOVE","KEEP"))</f>
        <v/>
      </c>
      <c r="E3621">
        <f>IF(D3621&lt;&gt;"KEEP","",IF(RIGHT(B3621,10)="@gmail.com","Gmail",IF(OR(RIGHT(B3621,12)="@outlook.com",RIGHT(B3621,12)="@hotmail.com",RIGHT(B3621,9)="@live.com"),"Outlook","Domain")))</f>
        <v/>
      </c>
      <c r="F3621">
        <f>IF(B3621="","",IFERROR(RIGHT(B3621,LEN(B3621)-FIND("@",B3621)),""))</f>
        <v/>
      </c>
      <c r="G3621">
        <f>IF(D3621="KEEP",COUNTIF($D$2:D3621,"KEEP"),"")</f>
        <v/>
      </c>
      <c r="H3621">
        <f>IF(D3621="REMOVE",COUNTIF($D$2:D3621,"REMOVE"),"")</f>
        <v/>
      </c>
      <c r="I3621">
        <f>IF(E3621="Gmail",COUNTIF($E$2:E3621,"Gmail"),"")</f>
        <v/>
      </c>
      <c r="J3621">
        <f>IF(E3621="Outlook",COUNTIF($E$2:E3621,"Outlook"),"")</f>
        <v/>
      </c>
      <c r="K3621">
        <f>IF(E3621="Domain",COUNTIF($E$2:E3621,"Domain"),"")</f>
        <v/>
      </c>
    </row>
    <row r="3622">
      <c r="A3622" s="2" t="n"/>
      <c r="B3622">
        <f>LOWER(TRIM(A3622))</f>
        <v/>
      </c>
      <c r="C3622">
        <f>IF(B3622="","",IFERROR(INDEX('Bad Patterns'!$A$2:$A$120,MATCH(1,INDEX(--ISNUMBER(SEARCH('Bad Patterns'!$A$2:$A$120,B3622)),0),0)),""))</f>
        <v/>
      </c>
      <c r="D3622">
        <f>IF(B3622="","",IF(C3622&lt;&gt;"","REMOVE","KEEP"))</f>
        <v/>
      </c>
      <c r="E3622">
        <f>IF(D3622&lt;&gt;"KEEP","",IF(RIGHT(B3622,10)="@gmail.com","Gmail",IF(OR(RIGHT(B3622,12)="@outlook.com",RIGHT(B3622,12)="@hotmail.com",RIGHT(B3622,9)="@live.com"),"Outlook","Domain")))</f>
        <v/>
      </c>
      <c r="F3622">
        <f>IF(B3622="","",IFERROR(RIGHT(B3622,LEN(B3622)-FIND("@",B3622)),""))</f>
        <v/>
      </c>
      <c r="G3622">
        <f>IF(D3622="KEEP",COUNTIF($D$2:D3622,"KEEP"),"")</f>
        <v/>
      </c>
      <c r="H3622">
        <f>IF(D3622="REMOVE",COUNTIF($D$2:D3622,"REMOVE"),"")</f>
        <v/>
      </c>
      <c r="I3622">
        <f>IF(E3622="Gmail",COUNTIF($E$2:E3622,"Gmail"),"")</f>
        <v/>
      </c>
      <c r="J3622">
        <f>IF(E3622="Outlook",COUNTIF($E$2:E3622,"Outlook"),"")</f>
        <v/>
      </c>
      <c r="K3622">
        <f>IF(E3622="Domain",COUNTIF($E$2:E3622,"Domain"),"")</f>
        <v/>
      </c>
    </row>
    <row r="3623">
      <c r="A3623" s="2" t="n"/>
      <c r="B3623">
        <f>LOWER(TRIM(A3623))</f>
        <v/>
      </c>
      <c r="C3623">
        <f>IF(B3623="","",IFERROR(INDEX('Bad Patterns'!$A$2:$A$120,MATCH(1,INDEX(--ISNUMBER(SEARCH('Bad Patterns'!$A$2:$A$120,B3623)),0),0)),""))</f>
        <v/>
      </c>
      <c r="D3623">
        <f>IF(B3623="","",IF(C3623&lt;&gt;"","REMOVE","KEEP"))</f>
        <v/>
      </c>
      <c r="E3623">
        <f>IF(D3623&lt;&gt;"KEEP","",IF(RIGHT(B3623,10)="@gmail.com","Gmail",IF(OR(RIGHT(B3623,12)="@outlook.com",RIGHT(B3623,12)="@hotmail.com",RIGHT(B3623,9)="@live.com"),"Outlook","Domain")))</f>
        <v/>
      </c>
      <c r="F3623">
        <f>IF(B3623="","",IFERROR(RIGHT(B3623,LEN(B3623)-FIND("@",B3623)),""))</f>
        <v/>
      </c>
      <c r="G3623">
        <f>IF(D3623="KEEP",COUNTIF($D$2:D3623,"KEEP"),"")</f>
        <v/>
      </c>
      <c r="H3623">
        <f>IF(D3623="REMOVE",COUNTIF($D$2:D3623,"REMOVE"),"")</f>
        <v/>
      </c>
      <c r="I3623">
        <f>IF(E3623="Gmail",COUNTIF($E$2:E3623,"Gmail"),"")</f>
        <v/>
      </c>
      <c r="J3623">
        <f>IF(E3623="Outlook",COUNTIF($E$2:E3623,"Outlook"),"")</f>
        <v/>
      </c>
      <c r="K3623">
        <f>IF(E3623="Domain",COUNTIF($E$2:E3623,"Domain"),"")</f>
        <v/>
      </c>
    </row>
    <row r="3624">
      <c r="A3624" s="2" t="n"/>
      <c r="B3624">
        <f>LOWER(TRIM(A3624))</f>
        <v/>
      </c>
      <c r="C3624">
        <f>IF(B3624="","",IFERROR(INDEX('Bad Patterns'!$A$2:$A$120,MATCH(1,INDEX(--ISNUMBER(SEARCH('Bad Patterns'!$A$2:$A$120,B3624)),0),0)),""))</f>
        <v/>
      </c>
      <c r="D3624">
        <f>IF(B3624="","",IF(C3624&lt;&gt;"","REMOVE","KEEP"))</f>
        <v/>
      </c>
      <c r="E3624">
        <f>IF(D3624&lt;&gt;"KEEP","",IF(RIGHT(B3624,10)="@gmail.com","Gmail",IF(OR(RIGHT(B3624,12)="@outlook.com",RIGHT(B3624,12)="@hotmail.com",RIGHT(B3624,9)="@live.com"),"Outlook","Domain")))</f>
        <v/>
      </c>
      <c r="F3624">
        <f>IF(B3624="","",IFERROR(RIGHT(B3624,LEN(B3624)-FIND("@",B3624)),""))</f>
        <v/>
      </c>
      <c r="G3624">
        <f>IF(D3624="KEEP",COUNTIF($D$2:D3624,"KEEP"),"")</f>
        <v/>
      </c>
      <c r="H3624">
        <f>IF(D3624="REMOVE",COUNTIF($D$2:D3624,"REMOVE"),"")</f>
        <v/>
      </c>
      <c r="I3624">
        <f>IF(E3624="Gmail",COUNTIF($E$2:E3624,"Gmail"),"")</f>
        <v/>
      </c>
      <c r="J3624">
        <f>IF(E3624="Outlook",COUNTIF($E$2:E3624,"Outlook"),"")</f>
        <v/>
      </c>
      <c r="K3624">
        <f>IF(E3624="Domain",COUNTIF($E$2:E3624,"Domain"),"")</f>
        <v/>
      </c>
    </row>
    <row r="3625">
      <c r="A3625" s="2" t="n"/>
      <c r="B3625">
        <f>LOWER(TRIM(A3625))</f>
        <v/>
      </c>
      <c r="C3625">
        <f>IF(B3625="","",IFERROR(INDEX('Bad Patterns'!$A$2:$A$120,MATCH(1,INDEX(--ISNUMBER(SEARCH('Bad Patterns'!$A$2:$A$120,B3625)),0),0)),""))</f>
        <v/>
      </c>
      <c r="D3625">
        <f>IF(B3625="","",IF(C3625&lt;&gt;"","REMOVE","KEEP"))</f>
        <v/>
      </c>
      <c r="E3625">
        <f>IF(D3625&lt;&gt;"KEEP","",IF(RIGHT(B3625,10)="@gmail.com","Gmail",IF(OR(RIGHT(B3625,12)="@outlook.com",RIGHT(B3625,12)="@hotmail.com",RIGHT(B3625,9)="@live.com"),"Outlook","Domain")))</f>
        <v/>
      </c>
      <c r="F3625">
        <f>IF(B3625="","",IFERROR(RIGHT(B3625,LEN(B3625)-FIND("@",B3625)),""))</f>
        <v/>
      </c>
      <c r="G3625">
        <f>IF(D3625="KEEP",COUNTIF($D$2:D3625,"KEEP"),"")</f>
        <v/>
      </c>
      <c r="H3625">
        <f>IF(D3625="REMOVE",COUNTIF($D$2:D3625,"REMOVE"),"")</f>
        <v/>
      </c>
      <c r="I3625">
        <f>IF(E3625="Gmail",COUNTIF($E$2:E3625,"Gmail"),"")</f>
        <v/>
      </c>
      <c r="J3625">
        <f>IF(E3625="Outlook",COUNTIF($E$2:E3625,"Outlook"),"")</f>
        <v/>
      </c>
      <c r="K3625">
        <f>IF(E3625="Domain",COUNTIF($E$2:E3625,"Domain"),"")</f>
        <v/>
      </c>
    </row>
    <row r="3626">
      <c r="A3626" s="2" t="n"/>
      <c r="B3626">
        <f>LOWER(TRIM(A3626))</f>
        <v/>
      </c>
      <c r="C3626">
        <f>IF(B3626="","",IFERROR(INDEX('Bad Patterns'!$A$2:$A$120,MATCH(1,INDEX(--ISNUMBER(SEARCH('Bad Patterns'!$A$2:$A$120,B3626)),0),0)),""))</f>
        <v/>
      </c>
      <c r="D3626">
        <f>IF(B3626="","",IF(C3626&lt;&gt;"","REMOVE","KEEP"))</f>
        <v/>
      </c>
      <c r="E3626">
        <f>IF(D3626&lt;&gt;"KEEP","",IF(RIGHT(B3626,10)="@gmail.com","Gmail",IF(OR(RIGHT(B3626,12)="@outlook.com",RIGHT(B3626,12)="@hotmail.com",RIGHT(B3626,9)="@live.com"),"Outlook","Domain")))</f>
        <v/>
      </c>
      <c r="F3626">
        <f>IF(B3626="","",IFERROR(RIGHT(B3626,LEN(B3626)-FIND("@",B3626)),""))</f>
        <v/>
      </c>
      <c r="G3626">
        <f>IF(D3626="KEEP",COUNTIF($D$2:D3626,"KEEP"),"")</f>
        <v/>
      </c>
      <c r="H3626">
        <f>IF(D3626="REMOVE",COUNTIF($D$2:D3626,"REMOVE"),"")</f>
        <v/>
      </c>
      <c r="I3626">
        <f>IF(E3626="Gmail",COUNTIF($E$2:E3626,"Gmail"),"")</f>
        <v/>
      </c>
      <c r="J3626">
        <f>IF(E3626="Outlook",COUNTIF($E$2:E3626,"Outlook"),"")</f>
        <v/>
      </c>
      <c r="K3626">
        <f>IF(E3626="Domain",COUNTIF($E$2:E3626,"Domain"),"")</f>
        <v/>
      </c>
    </row>
    <row r="3627">
      <c r="A3627" s="2" t="n"/>
      <c r="B3627">
        <f>LOWER(TRIM(A3627))</f>
        <v/>
      </c>
      <c r="C3627">
        <f>IF(B3627="","",IFERROR(INDEX('Bad Patterns'!$A$2:$A$120,MATCH(1,INDEX(--ISNUMBER(SEARCH('Bad Patterns'!$A$2:$A$120,B3627)),0),0)),""))</f>
        <v/>
      </c>
      <c r="D3627">
        <f>IF(B3627="","",IF(C3627&lt;&gt;"","REMOVE","KEEP"))</f>
        <v/>
      </c>
      <c r="E3627">
        <f>IF(D3627&lt;&gt;"KEEP","",IF(RIGHT(B3627,10)="@gmail.com","Gmail",IF(OR(RIGHT(B3627,12)="@outlook.com",RIGHT(B3627,12)="@hotmail.com",RIGHT(B3627,9)="@live.com"),"Outlook","Domain")))</f>
        <v/>
      </c>
      <c r="F3627">
        <f>IF(B3627="","",IFERROR(RIGHT(B3627,LEN(B3627)-FIND("@",B3627)),""))</f>
        <v/>
      </c>
      <c r="G3627">
        <f>IF(D3627="KEEP",COUNTIF($D$2:D3627,"KEEP"),"")</f>
        <v/>
      </c>
      <c r="H3627">
        <f>IF(D3627="REMOVE",COUNTIF($D$2:D3627,"REMOVE"),"")</f>
        <v/>
      </c>
      <c r="I3627">
        <f>IF(E3627="Gmail",COUNTIF($E$2:E3627,"Gmail"),"")</f>
        <v/>
      </c>
      <c r="J3627">
        <f>IF(E3627="Outlook",COUNTIF($E$2:E3627,"Outlook"),"")</f>
        <v/>
      </c>
      <c r="K3627">
        <f>IF(E3627="Domain",COUNTIF($E$2:E3627,"Domain"),"")</f>
        <v/>
      </c>
    </row>
    <row r="3628">
      <c r="A3628" s="2" t="n"/>
      <c r="B3628">
        <f>LOWER(TRIM(A3628))</f>
        <v/>
      </c>
      <c r="C3628">
        <f>IF(B3628="","",IFERROR(INDEX('Bad Patterns'!$A$2:$A$120,MATCH(1,INDEX(--ISNUMBER(SEARCH('Bad Patterns'!$A$2:$A$120,B3628)),0),0)),""))</f>
        <v/>
      </c>
      <c r="D3628">
        <f>IF(B3628="","",IF(C3628&lt;&gt;"","REMOVE","KEEP"))</f>
        <v/>
      </c>
      <c r="E3628">
        <f>IF(D3628&lt;&gt;"KEEP","",IF(RIGHT(B3628,10)="@gmail.com","Gmail",IF(OR(RIGHT(B3628,12)="@outlook.com",RIGHT(B3628,12)="@hotmail.com",RIGHT(B3628,9)="@live.com"),"Outlook","Domain")))</f>
        <v/>
      </c>
      <c r="F3628">
        <f>IF(B3628="","",IFERROR(RIGHT(B3628,LEN(B3628)-FIND("@",B3628)),""))</f>
        <v/>
      </c>
      <c r="G3628">
        <f>IF(D3628="KEEP",COUNTIF($D$2:D3628,"KEEP"),"")</f>
        <v/>
      </c>
      <c r="H3628">
        <f>IF(D3628="REMOVE",COUNTIF($D$2:D3628,"REMOVE"),"")</f>
        <v/>
      </c>
      <c r="I3628">
        <f>IF(E3628="Gmail",COUNTIF($E$2:E3628,"Gmail"),"")</f>
        <v/>
      </c>
      <c r="J3628">
        <f>IF(E3628="Outlook",COUNTIF($E$2:E3628,"Outlook"),"")</f>
        <v/>
      </c>
      <c r="K3628">
        <f>IF(E3628="Domain",COUNTIF($E$2:E3628,"Domain"),"")</f>
        <v/>
      </c>
    </row>
    <row r="3629">
      <c r="A3629" s="2" t="n"/>
      <c r="B3629">
        <f>LOWER(TRIM(A3629))</f>
        <v/>
      </c>
      <c r="C3629">
        <f>IF(B3629="","",IFERROR(INDEX('Bad Patterns'!$A$2:$A$120,MATCH(1,INDEX(--ISNUMBER(SEARCH('Bad Patterns'!$A$2:$A$120,B3629)),0),0)),""))</f>
        <v/>
      </c>
      <c r="D3629">
        <f>IF(B3629="","",IF(C3629&lt;&gt;"","REMOVE","KEEP"))</f>
        <v/>
      </c>
      <c r="E3629">
        <f>IF(D3629&lt;&gt;"KEEP","",IF(RIGHT(B3629,10)="@gmail.com","Gmail",IF(OR(RIGHT(B3629,12)="@outlook.com",RIGHT(B3629,12)="@hotmail.com",RIGHT(B3629,9)="@live.com"),"Outlook","Domain")))</f>
        <v/>
      </c>
      <c r="F3629">
        <f>IF(B3629="","",IFERROR(RIGHT(B3629,LEN(B3629)-FIND("@",B3629)),""))</f>
        <v/>
      </c>
      <c r="G3629">
        <f>IF(D3629="KEEP",COUNTIF($D$2:D3629,"KEEP"),"")</f>
        <v/>
      </c>
      <c r="H3629">
        <f>IF(D3629="REMOVE",COUNTIF($D$2:D3629,"REMOVE"),"")</f>
        <v/>
      </c>
      <c r="I3629">
        <f>IF(E3629="Gmail",COUNTIF($E$2:E3629,"Gmail"),"")</f>
        <v/>
      </c>
      <c r="J3629">
        <f>IF(E3629="Outlook",COUNTIF($E$2:E3629,"Outlook"),"")</f>
        <v/>
      </c>
      <c r="K3629">
        <f>IF(E3629="Domain",COUNTIF($E$2:E3629,"Domain"),"")</f>
        <v/>
      </c>
    </row>
    <row r="3630">
      <c r="A3630" s="2" t="n"/>
      <c r="B3630">
        <f>LOWER(TRIM(A3630))</f>
        <v/>
      </c>
      <c r="C3630">
        <f>IF(B3630="","",IFERROR(INDEX('Bad Patterns'!$A$2:$A$120,MATCH(1,INDEX(--ISNUMBER(SEARCH('Bad Patterns'!$A$2:$A$120,B3630)),0),0)),""))</f>
        <v/>
      </c>
      <c r="D3630">
        <f>IF(B3630="","",IF(C3630&lt;&gt;"","REMOVE","KEEP"))</f>
        <v/>
      </c>
      <c r="E3630">
        <f>IF(D3630&lt;&gt;"KEEP","",IF(RIGHT(B3630,10)="@gmail.com","Gmail",IF(OR(RIGHT(B3630,12)="@outlook.com",RIGHT(B3630,12)="@hotmail.com",RIGHT(B3630,9)="@live.com"),"Outlook","Domain")))</f>
        <v/>
      </c>
      <c r="F3630">
        <f>IF(B3630="","",IFERROR(RIGHT(B3630,LEN(B3630)-FIND("@",B3630)),""))</f>
        <v/>
      </c>
      <c r="G3630">
        <f>IF(D3630="KEEP",COUNTIF($D$2:D3630,"KEEP"),"")</f>
        <v/>
      </c>
      <c r="H3630">
        <f>IF(D3630="REMOVE",COUNTIF($D$2:D3630,"REMOVE"),"")</f>
        <v/>
      </c>
      <c r="I3630">
        <f>IF(E3630="Gmail",COUNTIF($E$2:E3630,"Gmail"),"")</f>
        <v/>
      </c>
      <c r="J3630">
        <f>IF(E3630="Outlook",COUNTIF($E$2:E3630,"Outlook"),"")</f>
        <v/>
      </c>
      <c r="K3630">
        <f>IF(E3630="Domain",COUNTIF($E$2:E3630,"Domain"),"")</f>
        <v/>
      </c>
    </row>
    <row r="3631">
      <c r="A3631" s="2" t="n"/>
      <c r="B3631">
        <f>LOWER(TRIM(A3631))</f>
        <v/>
      </c>
      <c r="C3631">
        <f>IF(B3631="","",IFERROR(INDEX('Bad Patterns'!$A$2:$A$120,MATCH(1,INDEX(--ISNUMBER(SEARCH('Bad Patterns'!$A$2:$A$120,B3631)),0),0)),""))</f>
        <v/>
      </c>
      <c r="D3631">
        <f>IF(B3631="","",IF(C3631&lt;&gt;"","REMOVE","KEEP"))</f>
        <v/>
      </c>
      <c r="E3631">
        <f>IF(D3631&lt;&gt;"KEEP","",IF(RIGHT(B3631,10)="@gmail.com","Gmail",IF(OR(RIGHT(B3631,12)="@outlook.com",RIGHT(B3631,12)="@hotmail.com",RIGHT(B3631,9)="@live.com"),"Outlook","Domain")))</f>
        <v/>
      </c>
      <c r="F3631">
        <f>IF(B3631="","",IFERROR(RIGHT(B3631,LEN(B3631)-FIND("@",B3631)),""))</f>
        <v/>
      </c>
      <c r="G3631">
        <f>IF(D3631="KEEP",COUNTIF($D$2:D3631,"KEEP"),"")</f>
        <v/>
      </c>
      <c r="H3631">
        <f>IF(D3631="REMOVE",COUNTIF($D$2:D3631,"REMOVE"),"")</f>
        <v/>
      </c>
      <c r="I3631">
        <f>IF(E3631="Gmail",COUNTIF($E$2:E3631,"Gmail"),"")</f>
        <v/>
      </c>
      <c r="J3631">
        <f>IF(E3631="Outlook",COUNTIF($E$2:E3631,"Outlook"),"")</f>
        <v/>
      </c>
      <c r="K3631">
        <f>IF(E3631="Domain",COUNTIF($E$2:E3631,"Domain"),"")</f>
        <v/>
      </c>
    </row>
    <row r="3632">
      <c r="A3632" s="2" t="n"/>
      <c r="B3632">
        <f>LOWER(TRIM(A3632))</f>
        <v/>
      </c>
      <c r="C3632">
        <f>IF(B3632="","",IFERROR(INDEX('Bad Patterns'!$A$2:$A$120,MATCH(1,INDEX(--ISNUMBER(SEARCH('Bad Patterns'!$A$2:$A$120,B3632)),0),0)),""))</f>
        <v/>
      </c>
      <c r="D3632">
        <f>IF(B3632="","",IF(C3632&lt;&gt;"","REMOVE","KEEP"))</f>
        <v/>
      </c>
      <c r="E3632">
        <f>IF(D3632&lt;&gt;"KEEP","",IF(RIGHT(B3632,10)="@gmail.com","Gmail",IF(OR(RIGHT(B3632,12)="@outlook.com",RIGHT(B3632,12)="@hotmail.com",RIGHT(B3632,9)="@live.com"),"Outlook","Domain")))</f>
        <v/>
      </c>
      <c r="F3632">
        <f>IF(B3632="","",IFERROR(RIGHT(B3632,LEN(B3632)-FIND("@",B3632)),""))</f>
        <v/>
      </c>
      <c r="G3632">
        <f>IF(D3632="KEEP",COUNTIF($D$2:D3632,"KEEP"),"")</f>
        <v/>
      </c>
      <c r="H3632">
        <f>IF(D3632="REMOVE",COUNTIF($D$2:D3632,"REMOVE"),"")</f>
        <v/>
      </c>
      <c r="I3632">
        <f>IF(E3632="Gmail",COUNTIF($E$2:E3632,"Gmail"),"")</f>
        <v/>
      </c>
      <c r="J3632">
        <f>IF(E3632="Outlook",COUNTIF($E$2:E3632,"Outlook"),"")</f>
        <v/>
      </c>
      <c r="K3632">
        <f>IF(E3632="Domain",COUNTIF($E$2:E3632,"Domain"),"")</f>
        <v/>
      </c>
    </row>
    <row r="3633">
      <c r="A3633" s="2" t="n"/>
      <c r="B3633">
        <f>LOWER(TRIM(A3633))</f>
        <v/>
      </c>
      <c r="C3633">
        <f>IF(B3633="","",IFERROR(INDEX('Bad Patterns'!$A$2:$A$120,MATCH(1,INDEX(--ISNUMBER(SEARCH('Bad Patterns'!$A$2:$A$120,B3633)),0),0)),""))</f>
        <v/>
      </c>
      <c r="D3633">
        <f>IF(B3633="","",IF(C3633&lt;&gt;"","REMOVE","KEEP"))</f>
        <v/>
      </c>
      <c r="E3633">
        <f>IF(D3633&lt;&gt;"KEEP","",IF(RIGHT(B3633,10)="@gmail.com","Gmail",IF(OR(RIGHT(B3633,12)="@outlook.com",RIGHT(B3633,12)="@hotmail.com",RIGHT(B3633,9)="@live.com"),"Outlook","Domain")))</f>
        <v/>
      </c>
      <c r="F3633">
        <f>IF(B3633="","",IFERROR(RIGHT(B3633,LEN(B3633)-FIND("@",B3633)),""))</f>
        <v/>
      </c>
      <c r="G3633">
        <f>IF(D3633="KEEP",COUNTIF($D$2:D3633,"KEEP"),"")</f>
        <v/>
      </c>
      <c r="H3633">
        <f>IF(D3633="REMOVE",COUNTIF($D$2:D3633,"REMOVE"),"")</f>
        <v/>
      </c>
      <c r="I3633">
        <f>IF(E3633="Gmail",COUNTIF($E$2:E3633,"Gmail"),"")</f>
        <v/>
      </c>
      <c r="J3633">
        <f>IF(E3633="Outlook",COUNTIF($E$2:E3633,"Outlook"),"")</f>
        <v/>
      </c>
      <c r="K3633">
        <f>IF(E3633="Domain",COUNTIF($E$2:E3633,"Domain"),"")</f>
        <v/>
      </c>
    </row>
    <row r="3634">
      <c r="A3634" s="2" t="n"/>
      <c r="B3634">
        <f>LOWER(TRIM(A3634))</f>
        <v/>
      </c>
      <c r="C3634">
        <f>IF(B3634="","",IFERROR(INDEX('Bad Patterns'!$A$2:$A$120,MATCH(1,INDEX(--ISNUMBER(SEARCH('Bad Patterns'!$A$2:$A$120,B3634)),0),0)),""))</f>
        <v/>
      </c>
      <c r="D3634">
        <f>IF(B3634="","",IF(C3634&lt;&gt;"","REMOVE","KEEP"))</f>
        <v/>
      </c>
      <c r="E3634">
        <f>IF(D3634&lt;&gt;"KEEP","",IF(RIGHT(B3634,10)="@gmail.com","Gmail",IF(OR(RIGHT(B3634,12)="@outlook.com",RIGHT(B3634,12)="@hotmail.com",RIGHT(B3634,9)="@live.com"),"Outlook","Domain")))</f>
        <v/>
      </c>
      <c r="F3634">
        <f>IF(B3634="","",IFERROR(RIGHT(B3634,LEN(B3634)-FIND("@",B3634)),""))</f>
        <v/>
      </c>
      <c r="G3634">
        <f>IF(D3634="KEEP",COUNTIF($D$2:D3634,"KEEP"),"")</f>
        <v/>
      </c>
      <c r="H3634">
        <f>IF(D3634="REMOVE",COUNTIF($D$2:D3634,"REMOVE"),"")</f>
        <v/>
      </c>
      <c r="I3634">
        <f>IF(E3634="Gmail",COUNTIF($E$2:E3634,"Gmail"),"")</f>
        <v/>
      </c>
      <c r="J3634">
        <f>IF(E3634="Outlook",COUNTIF($E$2:E3634,"Outlook"),"")</f>
        <v/>
      </c>
      <c r="K3634">
        <f>IF(E3634="Domain",COUNTIF($E$2:E3634,"Domain"),"")</f>
        <v/>
      </c>
    </row>
    <row r="3635">
      <c r="A3635" s="2" t="n"/>
      <c r="B3635">
        <f>LOWER(TRIM(A3635))</f>
        <v/>
      </c>
      <c r="C3635">
        <f>IF(B3635="","",IFERROR(INDEX('Bad Patterns'!$A$2:$A$120,MATCH(1,INDEX(--ISNUMBER(SEARCH('Bad Patterns'!$A$2:$A$120,B3635)),0),0)),""))</f>
        <v/>
      </c>
      <c r="D3635">
        <f>IF(B3635="","",IF(C3635&lt;&gt;"","REMOVE","KEEP"))</f>
        <v/>
      </c>
      <c r="E3635">
        <f>IF(D3635&lt;&gt;"KEEP","",IF(RIGHT(B3635,10)="@gmail.com","Gmail",IF(OR(RIGHT(B3635,12)="@outlook.com",RIGHT(B3635,12)="@hotmail.com",RIGHT(B3635,9)="@live.com"),"Outlook","Domain")))</f>
        <v/>
      </c>
      <c r="F3635">
        <f>IF(B3635="","",IFERROR(RIGHT(B3635,LEN(B3635)-FIND("@",B3635)),""))</f>
        <v/>
      </c>
      <c r="G3635">
        <f>IF(D3635="KEEP",COUNTIF($D$2:D3635,"KEEP"),"")</f>
        <v/>
      </c>
      <c r="H3635">
        <f>IF(D3635="REMOVE",COUNTIF($D$2:D3635,"REMOVE"),"")</f>
        <v/>
      </c>
      <c r="I3635">
        <f>IF(E3635="Gmail",COUNTIF($E$2:E3635,"Gmail"),"")</f>
        <v/>
      </c>
      <c r="J3635">
        <f>IF(E3635="Outlook",COUNTIF($E$2:E3635,"Outlook"),"")</f>
        <v/>
      </c>
      <c r="K3635">
        <f>IF(E3635="Domain",COUNTIF($E$2:E3635,"Domain"),"")</f>
        <v/>
      </c>
    </row>
    <row r="3636">
      <c r="A3636" s="2" t="n"/>
      <c r="B3636">
        <f>LOWER(TRIM(A3636))</f>
        <v/>
      </c>
      <c r="C3636">
        <f>IF(B3636="","",IFERROR(INDEX('Bad Patterns'!$A$2:$A$120,MATCH(1,INDEX(--ISNUMBER(SEARCH('Bad Patterns'!$A$2:$A$120,B3636)),0),0)),""))</f>
        <v/>
      </c>
      <c r="D3636">
        <f>IF(B3636="","",IF(C3636&lt;&gt;"","REMOVE","KEEP"))</f>
        <v/>
      </c>
      <c r="E3636">
        <f>IF(D3636&lt;&gt;"KEEP","",IF(RIGHT(B3636,10)="@gmail.com","Gmail",IF(OR(RIGHT(B3636,12)="@outlook.com",RIGHT(B3636,12)="@hotmail.com",RIGHT(B3636,9)="@live.com"),"Outlook","Domain")))</f>
        <v/>
      </c>
      <c r="F3636">
        <f>IF(B3636="","",IFERROR(RIGHT(B3636,LEN(B3636)-FIND("@",B3636)),""))</f>
        <v/>
      </c>
      <c r="G3636">
        <f>IF(D3636="KEEP",COUNTIF($D$2:D3636,"KEEP"),"")</f>
        <v/>
      </c>
      <c r="H3636">
        <f>IF(D3636="REMOVE",COUNTIF($D$2:D3636,"REMOVE"),"")</f>
        <v/>
      </c>
      <c r="I3636">
        <f>IF(E3636="Gmail",COUNTIF($E$2:E3636,"Gmail"),"")</f>
        <v/>
      </c>
      <c r="J3636">
        <f>IF(E3636="Outlook",COUNTIF($E$2:E3636,"Outlook"),"")</f>
        <v/>
      </c>
      <c r="K3636">
        <f>IF(E3636="Domain",COUNTIF($E$2:E3636,"Domain"),"")</f>
        <v/>
      </c>
    </row>
    <row r="3637">
      <c r="A3637" s="2" t="n"/>
      <c r="B3637">
        <f>LOWER(TRIM(A3637))</f>
        <v/>
      </c>
      <c r="C3637">
        <f>IF(B3637="","",IFERROR(INDEX('Bad Patterns'!$A$2:$A$120,MATCH(1,INDEX(--ISNUMBER(SEARCH('Bad Patterns'!$A$2:$A$120,B3637)),0),0)),""))</f>
        <v/>
      </c>
      <c r="D3637">
        <f>IF(B3637="","",IF(C3637&lt;&gt;"","REMOVE","KEEP"))</f>
        <v/>
      </c>
      <c r="E3637">
        <f>IF(D3637&lt;&gt;"KEEP","",IF(RIGHT(B3637,10)="@gmail.com","Gmail",IF(OR(RIGHT(B3637,12)="@outlook.com",RIGHT(B3637,12)="@hotmail.com",RIGHT(B3637,9)="@live.com"),"Outlook","Domain")))</f>
        <v/>
      </c>
      <c r="F3637">
        <f>IF(B3637="","",IFERROR(RIGHT(B3637,LEN(B3637)-FIND("@",B3637)),""))</f>
        <v/>
      </c>
      <c r="G3637">
        <f>IF(D3637="KEEP",COUNTIF($D$2:D3637,"KEEP"),"")</f>
        <v/>
      </c>
      <c r="H3637">
        <f>IF(D3637="REMOVE",COUNTIF($D$2:D3637,"REMOVE"),"")</f>
        <v/>
      </c>
      <c r="I3637">
        <f>IF(E3637="Gmail",COUNTIF($E$2:E3637,"Gmail"),"")</f>
        <v/>
      </c>
      <c r="J3637">
        <f>IF(E3637="Outlook",COUNTIF($E$2:E3637,"Outlook"),"")</f>
        <v/>
      </c>
      <c r="K3637">
        <f>IF(E3637="Domain",COUNTIF($E$2:E3637,"Domain"),"")</f>
        <v/>
      </c>
    </row>
    <row r="3638">
      <c r="A3638" s="2" t="n"/>
      <c r="B3638">
        <f>LOWER(TRIM(A3638))</f>
        <v/>
      </c>
      <c r="C3638">
        <f>IF(B3638="","",IFERROR(INDEX('Bad Patterns'!$A$2:$A$120,MATCH(1,INDEX(--ISNUMBER(SEARCH('Bad Patterns'!$A$2:$A$120,B3638)),0),0)),""))</f>
        <v/>
      </c>
      <c r="D3638">
        <f>IF(B3638="","",IF(C3638&lt;&gt;"","REMOVE","KEEP"))</f>
        <v/>
      </c>
      <c r="E3638">
        <f>IF(D3638&lt;&gt;"KEEP","",IF(RIGHT(B3638,10)="@gmail.com","Gmail",IF(OR(RIGHT(B3638,12)="@outlook.com",RIGHT(B3638,12)="@hotmail.com",RIGHT(B3638,9)="@live.com"),"Outlook","Domain")))</f>
        <v/>
      </c>
      <c r="F3638">
        <f>IF(B3638="","",IFERROR(RIGHT(B3638,LEN(B3638)-FIND("@",B3638)),""))</f>
        <v/>
      </c>
      <c r="G3638">
        <f>IF(D3638="KEEP",COUNTIF($D$2:D3638,"KEEP"),"")</f>
        <v/>
      </c>
      <c r="H3638">
        <f>IF(D3638="REMOVE",COUNTIF($D$2:D3638,"REMOVE"),"")</f>
        <v/>
      </c>
      <c r="I3638">
        <f>IF(E3638="Gmail",COUNTIF($E$2:E3638,"Gmail"),"")</f>
        <v/>
      </c>
      <c r="J3638">
        <f>IF(E3638="Outlook",COUNTIF($E$2:E3638,"Outlook"),"")</f>
        <v/>
      </c>
      <c r="K3638">
        <f>IF(E3638="Domain",COUNTIF($E$2:E3638,"Domain"),"")</f>
        <v/>
      </c>
    </row>
    <row r="3639">
      <c r="A3639" s="2" t="n"/>
      <c r="B3639">
        <f>LOWER(TRIM(A3639))</f>
        <v/>
      </c>
      <c r="C3639">
        <f>IF(B3639="","",IFERROR(INDEX('Bad Patterns'!$A$2:$A$120,MATCH(1,INDEX(--ISNUMBER(SEARCH('Bad Patterns'!$A$2:$A$120,B3639)),0),0)),""))</f>
        <v/>
      </c>
      <c r="D3639">
        <f>IF(B3639="","",IF(C3639&lt;&gt;"","REMOVE","KEEP"))</f>
        <v/>
      </c>
      <c r="E3639">
        <f>IF(D3639&lt;&gt;"KEEP","",IF(RIGHT(B3639,10)="@gmail.com","Gmail",IF(OR(RIGHT(B3639,12)="@outlook.com",RIGHT(B3639,12)="@hotmail.com",RIGHT(B3639,9)="@live.com"),"Outlook","Domain")))</f>
        <v/>
      </c>
      <c r="F3639">
        <f>IF(B3639="","",IFERROR(RIGHT(B3639,LEN(B3639)-FIND("@",B3639)),""))</f>
        <v/>
      </c>
      <c r="G3639">
        <f>IF(D3639="KEEP",COUNTIF($D$2:D3639,"KEEP"),"")</f>
        <v/>
      </c>
      <c r="H3639">
        <f>IF(D3639="REMOVE",COUNTIF($D$2:D3639,"REMOVE"),"")</f>
        <v/>
      </c>
      <c r="I3639">
        <f>IF(E3639="Gmail",COUNTIF($E$2:E3639,"Gmail"),"")</f>
        <v/>
      </c>
      <c r="J3639">
        <f>IF(E3639="Outlook",COUNTIF($E$2:E3639,"Outlook"),"")</f>
        <v/>
      </c>
      <c r="K3639">
        <f>IF(E3639="Domain",COUNTIF($E$2:E3639,"Domain"),"")</f>
        <v/>
      </c>
    </row>
    <row r="3640">
      <c r="A3640" s="2" t="n"/>
      <c r="B3640">
        <f>LOWER(TRIM(A3640))</f>
        <v/>
      </c>
      <c r="C3640">
        <f>IF(B3640="","",IFERROR(INDEX('Bad Patterns'!$A$2:$A$120,MATCH(1,INDEX(--ISNUMBER(SEARCH('Bad Patterns'!$A$2:$A$120,B3640)),0),0)),""))</f>
        <v/>
      </c>
      <c r="D3640">
        <f>IF(B3640="","",IF(C3640&lt;&gt;"","REMOVE","KEEP"))</f>
        <v/>
      </c>
      <c r="E3640">
        <f>IF(D3640&lt;&gt;"KEEP","",IF(RIGHT(B3640,10)="@gmail.com","Gmail",IF(OR(RIGHT(B3640,12)="@outlook.com",RIGHT(B3640,12)="@hotmail.com",RIGHT(B3640,9)="@live.com"),"Outlook","Domain")))</f>
        <v/>
      </c>
      <c r="F3640">
        <f>IF(B3640="","",IFERROR(RIGHT(B3640,LEN(B3640)-FIND("@",B3640)),""))</f>
        <v/>
      </c>
      <c r="G3640">
        <f>IF(D3640="KEEP",COUNTIF($D$2:D3640,"KEEP"),"")</f>
        <v/>
      </c>
      <c r="H3640">
        <f>IF(D3640="REMOVE",COUNTIF($D$2:D3640,"REMOVE"),"")</f>
        <v/>
      </c>
      <c r="I3640">
        <f>IF(E3640="Gmail",COUNTIF($E$2:E3640,"Gmail"),"")</f>
        <v/>
      </c>
      <c r="J3640">
        <f>IF(E3640="Outlook",COUNTIF($E$2:E3640,"Outlook"),"")</f>
        <v/>
      </c>
      <c r="K3640">
        <f>IF(E3640="Domain",COUNTIF($E$2:E3640,"Domain"),"")</f>
        <v/>
      </c>
    </row>
    <row r="3641">
      <c r="A3641" s="2" t="n"/>
      <c r="B3641">
        <f>LOWER(TRIM(A3641))</f>
        <v/>
      </c>
      <c r="C3641">
        <f>IF(B3641="","",IFERROR(INDEX('Bad Patterns'!$A$2:$A$120,MATCH(1,INDEX(--ISNUMBER(SEARCH('Bad Patterns'!$A$2:$A$120,B3641)),0),0)),""))</f>
        <v/>
      </c>
      <c r="D3641">
        <f>IF(B3641="","",IF(C3641&lt;&gt;"","REMOVE","KEEP"))</f>
        <v/>
      </c>
      <c r="E3641">
        <f>IF(D3641&lt;&gt;"KEEP","",IF(RIGHT(B3641,10)="@gmail.com","Gmail",IF(OR(RIGHT(B3641,12)="@outlook.com",RIGHT(B3641,12)="@hotmail.com",RIGHT(B3641,9)="@live.com"),"Outlook","Domain")))</f>
        <v/>
      </c>
      <c r="F3641">
        <f>IF(B3641="","",IFERROR(RIGHT(B3641,LEN(B3641)-FIND("@",B3641)),""))</f>
        <v/>
      </c>
      <c r="G3641">
        <f>IF(D3641="KEEP",COUNTIF($D$2:D3641,"KEEP"),"")</f>
        <v/>
      </c>
      <c r="H3641">
        <f>IF(D3641="REMOVE",COUNTIF($D$2:D3641,"REMOVE"),"")</f>
        <v/>
      </c>
      <c r="I3641">
        <f>IF(E3641="Gmail",COUNTIF($E$2:E3641,"Gmail"),"")</f>
        <v/>
      </c>
      <c r="J3641">
        <f>IF(E3641="Outlook",COUNTIF($E$2:E3641,"Outlook"),"")</f>
        <v/>
      </c>
      <c r="K3641">
        <f>IF(E3641="Domain",COUNTIF($E$2:E3641,"Domain"),"")</f>
        <v/>
      </c>
    </row>
    <row r="3642">
      <c r="A3642" s="2" t="n"/>
      <c r="B3642">
        <f>LOWER(TRIM(A3642))</f>
        <v/>
      </c>
      <c r="C3642">
        <f>IF(B3642="","",IFERROR(INDEX('Bad Patterns'!$A$2:$A$120,MATCH(1,INDEX(--ISNUMBER(SEARCH('Bad Patterns'!$A$2:$A$120,B3642)),0),0)),""))</f>
        <v/>
      </c>
      <c r="D3642">
        <f>IF(B3642="","",IF(C3642&lt;&gt;"","REMOVE","KEEP"))</f>
        <v/>
      </c>
      <c r="E3642">
        <f>IF(D3642&lt;&gt;"KEEP","",IF(RIGHT(B3642,10)="@gmail.com","Gmail",IF(OR(RIGHT(B3642,12)="@outlook.com",RIGHT(B3642,12)="@hotmail.com",RIGHT(B3642,9)="@live.com"),"Outlook","Domain")))</f>
        <v/>
      </c>
      <c r="F3642">
        <f>IF(B3642="","",IFERROR(RIGHT(B3642,LEN(B3642)-FIND("@",B3642)),""))</f>
        <v/>
      </c>
      <c r="G3642">
        <f>IF(D3642="KEEP",COUNTIF($D$2:D3642,"KEEP"),"")</f>
        <v/>
      </c>
      <c r="H3642">
        <f>IF(D3642="REMOVE",COUNTIF($D$2:D3642,"REMOVE"),"")</f>
        <v/>
      </c>
      <c r="I3642">
        <f>IF(E3642="Gmail",COUNTIF($E$2:E3642,"Gmail"),"")</f>
        <v/>
      </c>
      <c r="J3642">
        <f>IF(E3642="Outlook",COUNTIF($E$2:E3642,"Outlook"),"")</f>
        <v/>
      </c>
      <c r="K3642">
        <f>IF(E3642="Domain",COUNTIF($E$2:E3642,"Domain"),"")</f>
        <v/>
      </c>
    </row>
    <row r="3643">
      <c r="A3643" s="2" t="n"/>
      <c r="B3643">
        <f>LOWER(TRIM(A3643))</f>
        <v/>
      </c>
      <c r="C3643">
        <f>IF(B3643="","",IFERROR(INDEX('Bad Patterns'!$A$2:$A$120,MATCH(1,INDEX(--ISNUMBER(SEARCH('Bad Patterns'!$A$2:$A$120,B3643)),0),0)),""))</f>
        <v/>
      </c>
      <c r="D3643">
        <f>IF(B3643="","",IF(C3643&lt;&gt;"","REMOVE","KEEP"))</f>
        <v/>
      </c>
      <c r="E3643">
        <f>IF(D3643&lt;&gt;"KEEP","",IF(RIGHT(B3643,10)="@gmail.com","Gmail",IF(OR(RIGHT(B3643,12)="@outlook.com",RIGHT(B3643,12)="@hotmail.com",RIGHT(B3643,9)="@live.com"),"Outlook","Domain")))</f>
        <v/>
      </c>
      <c r="F3643">
        <f>IF(B3643="","",IFERROR(RIGHT(B3643,LEN(B3643)-FIND("@",B3643)),""))</f>
        <v/>
      </c>
      <c r="G3643">
        <f>IF(D3643="KEEP",COUNTIF($D$2:D3643,"KEEP"),"")</f>
        <v/>
      </c>
      <c r="H3643">
        <f>IF(D3643="REMOVE",COUNTIF($D$2:D3643,"REMOVE"),"")</f>
        <v/>
      </c>
      <c r="I3643">
        <f>IF(E3643="Gmail",COUNTIF($E$2:E3643,"Gmail"),"")</f>
        <v/>
      </c>
      <c r="J3643">
        <f>IF(E3643="Outlook",COUNTIF($E$2:E3643,"Outlook"),"")</f>
        <v/>
      </c>
      <c r="K3643">
        <f>IF(E3643="Domain",COUNTIF($E$2:E3643,"Domain"),"")</f>
        <v/>
      </c>
    </row>
    <row r="3644">
      <c r="A3644" s="2" t="n"/>
      <c r="B3644">
        <f>LOWER(TRIM(A3644))</f>
        <v/>
      </c>
      <c r="C3644">
        <f>IF(B3644="","",IFERROR(INDEX('Bad Patterns'!$A$2:$A$120,MATCH(1,INDEX(--ISNUMBER(SEARCH('Bad Patterns'!$A$2:$A$120,B3644)),0),0)),""))</f>
        <v/>
      </c>
      <c r="D3644">
        <f>IF(B3644="","",IF(C3644&lt;&gt;"","REMOVE","KEEP"))</f>
        <v/>
      </c>
      <c r="E3644">
        <f>IF(D3644&lt;&gt;"KEEP","",IF(RIGHT(B3644,10)="@gmail.com","Gmail",IF(OR(RIGHT(B3644,12)="@outlook.com",RIGHT(B3644,12)="@hotmail.com",RIGHT(B3644,9)="@live.com"),"Outlook","Domain")))</f>
        <v/>
      </c>
      <c r="F3644">
        <f>IF(B3644="","",IFERROR(RIGHT(B3644,LEN(B3644)-FIND("@",B3644)),""))</f>
        <v/>
      </c>
      <c r="G3644">
        <f>IF(D3644="KEEP",COUNTIF($D$2:D3644,"KEEP"),"")</f>
        <v/>
      </c>
      <c r="H3644">
        <f>IF(D3644="REMOVE",COUNTIF($D$2:D3644,"REMOVE"),"")</f>
        <v/>
      </c>
      <c r="I3644">
        <f>IF(E3644="Gmail",COUNTIF($E$2:E3644,"Gmail"),"")</f>
        <v/>
      </c>
      <c r="J3644">
        <f>IF(E3644="Outlook",COUNTIF($E$2:E3644,"Outlook"),"")</f>
        <v/>
      </c>
      <c r="K3644">
        <f>IF(E3644="Domain",COUNTIF($E$2:E3644,"Domain"),"")</f>
        <v/>
      </c>
    </row>
    <row r="3645">
      <c r="A3645" s="2" t="n"/>
      <c r="B3645">
        <f>LOWER(TRIM(A3645))</f>
        <v/>
      </c>
      <c r="C3645">
        <f>IF(B3645="","",IFERROR(INDEX('Bad Patterns'!$A$2:$A$120,MATCH(1,INDEX(--ISNUMBER(SEARCH('Bad Patterns'!$A$2:$A$120,B3645)),0),0)),""))</f>
        <v/>
      </c>
      <c r="D3645">
        <f>IF(B3645="","",IF(C3645&lt;&gt;"","REMOVE","KEEP"))</f>
        <v/>
      </c>
      <c r="E3645">
        <f>IF(D3645&lt;&gt;"KEEP","",IF(RIGHT(B3645,10)="@gmail.com","Gmail",IF(OR(RIGHT(B3645,12)="@outlook.com",RIGHT(B3645,12)="@hotmail.com",RIGHT(B3645,9)="@live.com"),"Outlook","Domain")))</f>
        <v/>
      </c>
      <c r="F3645">
        <f>IF(B3645="","",IFERROR(RIGHT(B3645,LEN(B3645)-FIND("@",B3645)),""))</f>
        <v/>
      </c>
      <c r="G3645">
        <f>IF(D3645="KEEP",COUNTIF($D$2:D3645,"KEEP"),"")</f>
        <v/>
      </c>
      <c r="H3645">
        <f>IF(D3645="REMOVE",COUNTIF($D$2:D3645,"REMOVE"),"")</f>
        <v/>
      </c>
      <c r="I3645">
        <f>IF(E3645="Gmail",COUNTIF($E$2:E3645,"Gmail"),"")</f>
        <v/>
      </c>
      <c r="J3645">
        <f>IF(E3645="Outlook",COUNTIF($E$2:E3645,"Outlook"),"")</f>
        <v/>
      </c>
      <c r="K3645">
        <f>IF(E3645="Domain",COUNTIF($E$2:E3645,"Domain"),"")</f>
        <v/>
      </c>
    </row>
    <row r="3646">
      <c r="A3646" s="2" t="n"/>
      <c r="B3646">
        <f>LOWER(TRIM(A3646))</f>
        <v/>
      </c>
      <c r="C3646">
        <f>IF(B3646="","",IFERROR(INDEX('Bad Patterns'!$A$2:$A$120,MATCH(1,INDEX(--ISNUMBER(SEARCH('Bad Patterns'!$A$2:$A$120,B3646)),0),0)),""))</f>
        <v/>
      </c>
      <c r="D3646">
        <f>IF(B3646="","",IF(C3646&lt;&gt;"","REMOVE","KEEP"))</f>
        <v/>
      </c>
      <c r="E3646">
        <f>IF(D3646&lt;&gt;"KEEP","",IF(RIGHT(B3646,10)="@gmail.com","Gmail",IF(OR(RIGHT(B3646,12)="@outlook.com",RIGHT(B3646,12)="@hotmail.com",RIGHT(B3646,9)="@live.com"),"Outlook","Domain")))</f>
        <v/>
      </c>
      <c r="F3646">
        <f>IF(B3646="","",IFERROR(RIGHT(B3646,LEN(B3646)-FIND("@",B3646)),""))</f>
        <v/>
      </c>
      <c r="G3646">
        <f>IF(D3646="KEEP",COUNTIF($D$2:D3646,"KEEP"),"")</f>
        <v/>
      </c>
      <c r="H3646">
        <f>IF(D3646="REMOVE",COUNTIF($D$2:D3646,"REMOVE"),"")</f>
        <v/>
      </c>
      <c r="I3646">
        <f>IF(E3646="Gmail",COUNTIF($E$2:E3646,"Gmail"),"")</f>
        <v/>
      </c>
      <c r="J3646">
        <f>IF(E3646="Outlook",COUNTIF($E$2:E3646,"Outlook"),"")</f>
        <v/>
      </c>
      <c r="K3646">
        <f>IF(E3646="Domain",COUNTIF($E$2:E3646,"Domain"),"")</f>
        <v/>
      </c>
    </row>
    <row r="3647">
      <c r="A3647" s="2" t="n"/>
      <c r="B3647">
        <f>LOWER(TRIM(A3647))</f>
        <v/>
      </c>
      <c r="C3647">
        <f>IF(B3647="","",IFERROR(INDEX('Bad Patterns'!$A$2:$A$120,MATCH(1,INDEX(--ISNUMBER(SEARCH('Bad Patterns'!$A$2:$A$120,B3647)),0),0)),""))</f>
        <v/>
      </c>
      <c r="D3647">
        <f>IF(B3647="","",IF(C3647&lt;&gt;"","REMOVE","KEEP"))</f>
        <v/>
      </c>
      <c r="E3647">
        <f>IF(D3647&lt;&gt;"KEEP","",IF(RIGHT(B3647,10)="@gmail.com","Gmail",IF(OR(RIGHT(B3647,12)="@outlook.com",RIGHT(B3647,12)="@hotmail.com",RIGHT(B3647,9)="@live.com"),"Outlook","Domain")))</f>
        <v/>
      </c>
      <c r="F3647">
        <f>IF(B3647="","",IFERROR(RIGHT(B3647,LEN(B3647)-FIND("@",B3647)),""))</f>
        <v/>
      </c>
      <c r="G3647">
        <f>IF(D3647="KEEP",COUNTIF($D$2:D3647,"KEEP"),"")</f>
        <v/>
      </c>
      <c r="H3647">
        <f>IF(D3647="REMOVE",COUNTIF($D$2:D3647,"REMOVE"),"")</f>
        <v/>
      </c>
      <c r="I3647">
        <f>IF(E3647="Gmail",COUNTIF($E$2:E3647,"Gmail"),"")</f>
        <v/>
      </c>
      <c r="J3647">
        <f>IF(E3647="Outlook",COUNTIF($E$2:E3647,"Outlook"),"")</f>
        <v/>
      </c>
      <c r="K3647">
        <f>IF(E3647="Domain",COUNTIF($E$2:E3647,"Domain"),"")</f>
        <v/>
      </c>
    </row>
    <row r="3648">
      <c r="A3648" s="2" t="n"/>
      <c r="B3648">
        <f>LOWER(TRIM(A3648))</f>
        <v/>
      </c>
      <c r="C3648">
        <f>IF(B3648="","",IFERROR(INDEX('Bad Patterns'!$A$2:$A$120,MATCH(1,INDEX(--ISNUMBER(SEARCH('Bad Patterns'!$A$2:$A$120,B3648)),0),0)),""))</f>
        <v/>
      </c>
      <c r="D3648">
        <f>IF(B3648="","",IF(C3648&lt;&gt;"","REMOVE","KEEP"))</f>
        <v/>
      </c>
      <c r="E3648">
        <f>IF(D3648&lt;&gt;"KEEP","",IF(RIGHT(B3648,10)="@gmail.com","Gmail",IF(OR(RIGHT(B3648,12)="@outlook.com",RIGHT(B3648,12)="@hotmail.com",RIGHT(B3648,9)="@live.com"),"Outlook","Domain")))</f>
        <v/>
      </c>
      <c r="F3648">
        <f>IF(B3648="","",IFERROR(RIGHT(B3648,LEN(B3648)-FIND("@",B3648)),""))</f>
        <v/>
      </c>
      <c r="G3648">
        <f>IF(D3648="KEEP",COUNTIF($D$2:D3648,"KEEP"),"")</f>
        <v/>
      </c>
      <c r="H3648">
        <f>IF(D3648="REMOVE",COUNTIF($D$2:D3648,"REMOVE"),"")</f>
        <v/>
      </c>
      <c r="I3648">
        <f>IF(E3648="Gmail",COUNTIF($E$2:E3648,"Gmail"),"")</f>
        <v/>
      </c>
      <c r="J3648">
        <f>IF(E3648="Outlook",COUNTIF($E$2:E3648,"Outlook"),"")</f>
        <v/>
      </c>
      <c r="K3648">
        <f>IF(E3648="Domain",COUNTIF($E$2:E3648,"Domain"),"")</f>
        <v/>
      </c>
    </row>
    <row r="3649">
      <c r="A3649" s="2" t="n"/>
      <c r="B3649">
        <f>LOWER(TRIM(A3649))</f>
        <v/>
      </c>
      <c r="C3649">
        <f>IF(B3649="","",IFERROR(INDEX('Bad Patterns'!$A$2:$A$120,MATCH(1,INDEX(--ISNUMBER(SEARCH('Bad Patterns'!$A$2:$A$120,B3649)),0),0)),""))</f>
        <v/>
      </c>
      <c r="D3649">
        <f>IF(B3649="","",IF(C3649&lt;&gt;"","REMOVE","KEEP"))</f>
        <v/>
      </c>
      <c r="E3649">
        <f>IF(D3649&lt;&gt;"KEEP","",IF(RIGHT(B3649,10)="@gmail.com","Gmail",IF(OR(RIGHT(B3649,12)="@outlook.com",RIGHT(B3649,12)="@hotmail.com",RIGHT(B3649,9)="@live.com"),"Outlook","Domain")))</f>
        <v/>
      </c>
      <c r="F3649">
        <f>IF(B3649="","",IFERROR(RIGHT(B3649,LEN(B3649)-FIND("@",B3649)),""))</f>
        <v/>
      </c>
      <c r="G3649">
        <f>IF(D3649="KEEP",COUNTIF($D$2:D3649,"KEEP"),"")</f>
        <v/>
      </c>
      <c r="H3649">
        <f>IF(D3649="REMOVE",COUNTIF($D$2:D3649,"REMOVE"),"")</f>
        <v/>
      </c>
      <c r="I3649">
        <f>IF(E3649="Gmail",COUNTIF($E$2:E3649,"Gmail"),"")</f>
        <v/>
      </c>
      <c r="J3649">
        <f>IF(E3649="Outlook",COUNTIF($E$2:E3649,"Outlook"),"")</f>
        <v/>
      </c>
      <c r="K3649">
        <f>IF(E3649="Domain",COUNTIF($E$2:E3649,"Domain"),"")</f>
        <v/>
      </c>
    </row>
    <row r="3650">
      <c r="A3650" s="2" t="n"/>
      <c r="B3650">
        <f>LOWER(TRIM(A3650))</f>
        <v/>
      </c>
      <c r="C3650">
        <f>IF(B3650="","",IFERROR(INDEX('Bad Patterns'!$A$2:$A$120,MATCH(1,INDEX(--ISNUMBER(SEARCH('Bad Patterns'!$A$2:$A$120,B3650)),0),0)),""))</f>
        <v/>
      </c>
      <c r="D3650">
        <f>IF(B3650="","",IF(C3650&lt;&gt;"","REMOVE","KEEP"))</f>
        <v/>
      </c>
      <c r="E3650">
        <f>IF(D3650&lt;&gt;"KEEP","",IF(RIGHT(B3650,10)="@gmail.com","Gmail",IF(OR(RIGHT(B3650,12)="@outlook.com",RIGHT(B3650,12)="@hotmail.com",RIGHT(B3650,9)="@live.com"),"Outlook","Domain")))</f>
        <v/>
      </c>
      <c r="F3650">
        <f>IF(B3650="","",IFERROR(RIGHT(B3650,LEN(B3650)-FIND("@",B3650)),""))</f>
        <v/>
      </c>
      <c r="G3650">
        <f>IF(D3650="KEEP",COUNTIF($D$2:D3650,"KEEP"),"")</f>
        <v/>
      </c>
      <c r="H3650">
        <f>IF(D3650="REMOVE",COUNTIF($D$2:D3650,"REMOVE"),"")</f>
        <v/>
      </c>
      <c r="I3650">
        <f>IF(E3650="Gmail",COUNTIF($E$2:E3650,"Gmail"),"")</f>
        <v/>
      </c>
      <c r="J3650">
        <f>IF(E3650="Outlook",COUNTIF($E$2:E3650,"Outlook"),"")</f>
        <v/>
      </c>
      <c r="K3650">
        <f>IF(E3650="Domain",COUNTIF($E$2:E3650,"Domain"),"")</f>
        <v/>
      </c>
    </row>
    <row r="3651">
      <c r="A3651" s="2" t="n"/>
      <c r="B3651">
        <f>LOWER(TRIM(A3651))</f>
        <v/>
      </c>
      <c r="C3651">
        <f>IF(B3651="","",IFERROR(INDEX('Bad Patterns'!$A$2:$A$120,MATCH(1,INDEX(--ISNUMBER(SEARCH('Bad Patterns'!$A$2:$A$120,B3651)),0),0)),""))</f>
        <v/>
      </c>
      <c r="D3651">
        <f>IF(B3651="","",IF(C3651&lt;&gt;"","REMOVE","KEEP"))</f>
        <v/>
      </c>
      <c r="E3651">
        <f>IF(D3651&lt;&gt;"KEEP","",IF(RIGHT(B3651,10)="@gmail.com","Gmail",IF(OR(RIGHT(B3651,12)="@outlook.com",RIGHT(B3651,12)="@hotmail.com",RIGHT(B3651,9)="@live.com"),"Outlook","Domain")))</f>
        <v/>
      </c>
      <c r="F3651">
        <f>IF(B3651="","",IFERROR(RIGHT(B3651,LEN(B3651)-FIND("@",B3651)),""))</f>
        <v/>
      </c>
      <c r="G3651">
        <f>IF(D3651="KEEP",COUNTIF($D$2:D3651,"KEEP"),"")</f>
        <v/>
      </c>
      <c r="H3651">
        <f>IF(D3651="REMOVE",COUNTIF($D$2:D3651,"REMOVE"),"")</f>
        <v/>
      </c>
      <c r="I3651">
        <f>IF(E3651="Gmail",COUNTIF($E$2:E3651,"Gmail"),"")</f>
        <v/>
      </c>
      <c r="J3651">
        <f>IF(E3651="Outlook",COUNTIF($E$2:E3651,"Outlook"),"")</f>
        <v/>
      </c>
      <c r="K3651">
        <f>IF(E3651="Domain",COUNTIF($E$2:E3651,"Domain"),"")</f>
        <v/>
      </c>
    </row>
    <row r="3652">
      <c r="A3652" s="2" t="n"/>
      <c r="B3652">
        <f>LOWER(TRIM(A3652))</f>
        <v/>
      </c>
      <c r="C3652">
        <f>IF(B3652="","",IFERROR(INDEX('Bad Patterns'!$A$2:$A$120,MATCH(1,INDEX(--ISNUMBER(SEARCH('Bad Patterns'!$A$2:$A$120,B3652)),0),0)),""))</f>
        <v/>
      </c>
      <c r="D3652">
        <f>IF(B3652="","",IF(C3652&lt;&gt;"","REMOVE","KEEP"))</f>
        <v/>
      </c>
      <c r="E3652">
        <f>IF(D3652&lt;&gt;"KEEP","",IF(RIGHT(B3652,10)="@gmail.com","Gmail",IF(OR(RIGHT(B3652,12)="@outlook.com",RIGHT(B3652,12)="@hotmail.com",RIGHT(B3652,9)="@live.com"),"Outlook","Domain")))</f>
        <v/>
      </c>
      <c r="F3652">
        <f>IF(B3652="","",IFERROR(RIGHT(B3652,LEN(B3652)-FIND("@",B3652)),""))</f>
        <v/>
      </c>
      <c r="G3652">
        <f>IF(D3652="KEEP",COUNTIF($D$2:D3652,"KEEP"),"")</f>
        <v/>
      </c>
      <c r="H3652">
        <f>IF(D3652="REMOVE",COUNTIF($D$2:D3652,"REMOVE"),"")</f>
        <v/>
      </c>
      <c r="I3652">
        <f>IF(E3652="Gmail",COUNTIF($E$2:E3652,"Gmail"),"")</f>
        <v/>
      </c>
      <c r="J3652">
        <f>IF(E3652="Outlook",COUNTIF($E$2:E3652,"Outlook"),"")</f>
        <v/>
      </c>
      <c r="K3652">
        <f>IF(E3652="Domain",COUNTIF($E$2:E3652,"Domain"),"")</f>
        <v/>
      </c>
    </row>
    <row r="3653">
      <c r="A3653" s="2" t="n"/>
      <c r="B3653">
        <f>LOWER(TRIM(A3653))</f>
        <v/>
      </c>
      <c r="C3653">
        <f>IF(B3653="","",IFERROR(INDEX('Bad Patterns'!$A$2:$A$120,MATCH(1,INDEX(--ISNUMBER(SEARCH('Bad Patterns'!$A$2:$A$120,B3653)),0),0)),""))</f>
        <v/>
      </c>
      <c r="D3653">
        <f>IF(B3653="","",IF(C3653&lt;&gt;"","REMOVE","KEEP"))</f>
        <v/>
      </c>
      <c r="E3653">
        <f>IF(D3653&lt;&gt;"KEEP","",IF(RIGHT(B3653,10)="@gmail.com","Gmail",IF(OR(RIGHT(B3653,12)="@outlook.com",RIGHT(B3653,12)="@hotmail.com",RIGHT(B3653,9)="@live.com"),"Outlook","Domain")))</f>
        <v/>
      </c>
      <c r="F3653">
        <f>IF(B3653="","",IFERROR(RIGHT(B3653,LEN(B3653)-FIND("@",B3653)),""))</f>
        <v/>
      </c>
      <c r="G3653">
        <f>IF(D3653="KEEP",COUNTIF($D$2:D3653,"KEEP"),"")</f>
        <v/>
      </c>
      <c r="H3653">
        <f>IF(D3653="REMOVE",COUNTIF($D$2:D3653,"REMOVE"),"")</f>
        <v/>
      </c>
      <c r="I3653">
        <f>IF(E3653="Gmail",COUNTIF($E$2:E3653,"Gmail"),"")</f>
        <v/>
      </c>
      <c r="J3653">
        <f>IF(E3653="Outlook",COUNTIF($E$2:E3653,"Outlook"),"")</f>
        <v/>
      </c>
      <c r="K3653">
        <f>IF(E3653="Domain",COUNTIF($E$2:E3653,"Domain"),"")</f>
        <v/>
      </c>
    </row>
    <row r="3654">
      <c r="A3654" s="2" t="n"/>
      <c r="B3654">
        <f>LOWER(TRIM(A3654))</f>
        <v/>
      </c>
      <c r="C3654">
        <f>IF(B3654="","",IFERROR(INDEX('Bad Patterns'!$A$2:$A$120,MATCH(1,INDEX(--ISNUMBER(SEARCH('Bad Patterns'!$A$2:$A$120,B3654)),0),0)),""))</f>
        <v/>
      </c>
      <c r="D3654">
        <f>IF(B3654="","",IF(C3654&lt;&gt;"","REMOVE","KEEP"))</f>
        <v/>
      </c>
      <c r="E3654">
        <f>IF(D3654&lt;&gt;"KEEP","",IF(RIGHT(B3654,10)="@gmail.com","Gmail",IF(OR(RIGHT(B3654,12)="@outlook.com",RIGHT(B3654,12)="@hotmail.com",RIGHT(B3654,9)="@live.com"),"Outlook","Domain")))</f>
        <v/>
      </c>
      <c r="F3654">
        <f>IF(B3654="","",IFERROR(RIGHT(B3654,LEN(B3654)-FIND("@",B3654)),""))</f>
        <v/>
      </c>
      <c r="G3654">
        <f>IF(D3654="KEEP",COUNTIF($D$2:D3654,"KEEP"),"")</f>
        <v/>
      </c>
      <c r="H3654">
        <f>IF(D3654="REMOVE",COUNTIF($D$2:D3654,"REMOVE"),"")</f>
        <v/>
      </c>
      <c r="I3654">
        <f>IF(E3654="Gmail",COUNTIF($E$2:E3654,"Gmail"),"")</f>
        <v/>
      </c>
      <c r="J3654">
        <f>IF(E3654="Outlook",COUNTIF($E$2:E3654,"Outlook"),"")</f>
        <v/>
      </c>
      <c r="K3654">
        <f>IF(E3654="Domain",COUNTIF($E$2:E3654,"Domain"),"")</f>
        <v/>
      </c>
    </row>
    <row r="3655">
      <c r="A3655" s="2" t="n"/>
      <c r="B3655">
        <f>LOWER(TRIM(A3655))</f>
        <v/>
      </c>
      <c r="C3655">
        <f>IF(B3655="","",IFERROR(INDEX('Bad Patterns'!$A$2:$A$120,MATCH(1,INDEX(--ISNUMBER(SEARCH('Bad Patterns'!$A$2:$A$120,B3655)),0),0)),""))</f>
        <v/>
      </c>
      <c r="D3655">
        <f>IF(B3655="","",IF(C3655&lt;&gt;"","REMOVE","KEEP"))</f>
        <v/>
      </c>
      <c r="E3655">
        <f>IF(D3655&lt;&gt;"KEEP","",IF(RIGHT(B3655,10)="@gmail.com","Gmail",IF(OR(RIGHT(B3655,12)="@outlook.com",RIGHT(B3655,12)="@hotmail.com",RIGHT(B3655,9)="@live.com"),"Outlook","Domain")))</f>
        <v/>
      </c>
      <c r="F3655">
        <f>IF(B3655="","",IFERROR(RIGHT(B3655,LEN(B3655)-FIND("@",B3655)),""))</f>
        <v/>
      </c>
      <c r="G3655">
        <f>IF(D3655="KEEP",COUNTIF($D$2:D3655,"KEEP"),"")</f>
        <v/>
      </c>
      <c r="H3655">
        <f>IF(D3655="REMOVE",COUNTIF($D$2:D3655,"REMOVE"),"")</f>
        <v/>
      </c>
      <c r="I3655">
        <f>IF(E3655="Gmail",COUNTIF($E$2:E3655,"Gmail"),"")</f>
        <v/>
      </c>
      <c r="J3655">
        <f>IF(E3655="Outlook",COUNTIF($E$2:E3655,"Outlook"),"")</f>
        <v/>
      </c>
      <c r="K3655">
        <f>IF(E3655="Domain",COUNTIF($E$2:E3655,"Domain"),"")</f>
        <v/>
      </c>
    </row>
    <row r="3656">
      <c r="A3656" s="2" t="n"/>
      <c r="B3656">
        <f>LOWER(TRIM(A3656))</f>
        <v/>
      </c>
      <c r="C3656">
        <f>IF(B3656="","",IFERROR(INDEX('Bad Patterns'!$A$2:$A$120,MATCH(1,INDEX(--ISNUMBER(SEARCH('Bad Patterns'!$A$2:$A$120,B3656)),0),0)),""))</f>
        <v/>
      </c>
      <c r="D3656">
        <f>IF(B3656="","",IF(C3656&lt;&gt;"","REMOVE","KEEP"))</f>
        <v/>
      </c>
      <c r="E3656">
        <f>IF(D3656&lt;&gt;"KEEP","",IF(RIGHT(B3656,10)="@gmail.com","Gmail",IF(OR(RIGHT(B3656,12)="@outlook.com",RIGHT(B3656,12)="@hotmail.com",RIGHT(B3656,9)="@live.com"),"Outlook","Domain")))</f>
        <v/>
      </c>
      <c r="F3656">
        <f>IF(B3656="","",IFERROR(RIGHT(B3656,LEN(B3656)-FIND("@",B3656)),""))</f>
        <v/>
      </c>
      <c r="G3656">
        <f>IF(D3656="KEEP",COUNTIF($D$2:D3656,"KEEP"),"")</f>
        <v/>
      </c>
      <c r="H3656">
        <f>IF(D3656="REMOVE",COUNTIF($D$2:D3656,"REMOVE"),"")</f>
        <v/>
      </c>
      <c r="I3656">
        <f>IF(E3656="Gmail",COUNTIF($E$2:E3656,"Gmail"),"")</f>
        <v/>
      </c>
      <c r="J3656">
        <f>IF(E3656="Outlook",COUNTIF($E$2:E3656,"Outlook"),"")</f>
        <v/>
      </c>
      <c r="K3656">
        <f>IF(E3656="Domain",COUNTIF($E$2:E3656,"Domain"),"")</f>
        <v/>
      </c>
    </row>
    <row r="3657">
      <c r="A3657" s="2" t="n"/>
      <c r="B3657">
        <f>LOWER(TRIM(A3657))</f>
        <v/>
      </c>
      <c r="C3657">
        <f>IF(B3657="","",IFERROR(INDEX('Bad Patterns'!$A$2:$A$120,MATCH(1,INDEX(--ISNUMBER(SEARCH('Bad Patterns'!$A$2:$A$120,B3657)),0),0)),""))</f>
        <v/>
      </c>
      <c r="D3657">
        <f>IF(B3657="","",IF(C3657&lt;&gt;"","REMOVE","KEEP"))</f>
        <v/>
      </c>
      <c r="E3657">
        <f>IF(D3657&lt;&gt;"KEEP","",IF(RIGHT(B3657,10)="@gmail.com","Gmail",IF(OR(RIGHT(B3657,12)="@outlook.com",RIGHT(B3657,12)="@hotmail.com",RIGHT(B3657,9)="@live.com"),"Outlook","Domain")))</f>
        <v/>
      </c>
      <c r="F3657">
        <f>IF(B3657="","",IFERROR(RIGHT(B3657,LEN(B3657)-FIND("@",B3657)),""))</f>
        <v/>
      </c>
      <c r="G3657">
        <f>IF(D3657="KEEP",COUNTIF($D$2:D3657,"KEEP"),"")</f>
        <v/>
      </c>
      <c r="H3657">
        <f>IF(D3657="REMOVE",COUNTIF($D$2:D3657,"REMOVE"),"")</f>
        <v/>
      </c>
      <c r="I3657">
        <f>IF(E3657="Gmail",COUNTIF($E$2:E3657,"Gmail"),"")</f>
        <v/>
      </c>
      <c r="J3657">
        <f>IF(E3657="Outlook",COUNTIF($E$2:E3657,"Outlook"),"")</f>
        <v/>
      </c>
      <c r="K3657">
        <f>IF(E3657="Domain",COUNTIF($E$2:E3657,"Domain"),"")</f>
        <v/>
      </c>
    </row>
    <row r="3658">
      <c r="A3658" s="2" t="n"/>
      <c r="B3658">
        <f>LOWER(TRIM(A3658))</f>
        <v/>
      </c>
      <c r="C3658">
        <f>IF(B3658="","",IFERROR(INDEX('Bad Patterns'!$A$2:$A$120,MATCH(1,INDEX(--ISNUMBER(SEARCH('Bad Patterns'!$A$2:$A$120,B3658)),0),0)),""))</f>
        <v/>
      </c>
      <c r="D3658">
        <f>IF(B3658="","",IF(C3658&lt;&gt;"","REMOVE","KEEP"))</f>
        <v/>
      </c>
      <c r="E3658">
        <f>IF(D3658&lt;&gt;"KEEP","",IF(RIGHT(B3658,10)="@gmail.com","Gmail",IF(OR(RIGHT(B3658,12)="@outlook.com",RIGHT(B3658,12)="@hotmail.com",RIGHT(B3658,9)="@live.com"),"Outlook","Domain")))</f>
        <v/>
      </c>
      <c r="F3658">
        <f>IF(B3658="","",IFERROR(RIGHT(B3658,LEN(B3658)-FIND("@",B3658)),""))</f>
        <v/>
      </c>
      <c r="G3658">
        <f>IF(D3658="KEEP",COUNTIF($D$2:D3658,"KEEP"),"")</f>
        <v/>
      </c>
      <c r="H3658">
        <f>IF(D3658="REMOVE",COUNTIF($D$2:D3658,"REMOVE"),"")</f>
        <v/>
      </c>
      <c r="I3658">
        <f>IF(E3658="Gmail",COUNTIF($E$2:E3658,"Gmail"),"")</f>
        <v/>
      </c>
      <c r="J3658">
        <f>IF(E3658="Outlook",COUNTIF($E$2:E3658,"Outlook"),"")</f>
        <v/>
      </c>
      <c r="K3658">
        <f>IF(E3658="Domain",COUNTIF($E$2:E3658,"Domain"),"")</f>
        <v/>
      </c>
    </row>
    <row r="3659">
      <c r="A3659" s="2" t="n"/>
      <c r="B3659">
        <f>LOWER(TRIM(A3659))</f>
        <v/>
      </c>
      <c r="C3659">
        <f>IF(B3659="","",IFERROR(INDEX('Bad Patterns'!$A$2:$A$120,MATCH(1,INDEX(--ISNUMBER(SEARCH('Bad Patterns'!$A$2:$A$120,B3659)),0),0)),""))</f>
        <v/>
      </c>
      <c r="D3659">
        <f>IF(B3659="","",IF(C3659&lt;&gt;"","REMOVE","KEEP"))</f>
        <v/>
      </c>
      <c r="E3659">
        <f>IF(D3659&lt;&gt;"KEEP","",IF(RIGHT(B3659,10)="@gmail.com","Gmail",IF(OR(RIGHT(B3659,12)="@outlook.com",RIGHT(B3659,12)="@hotmail.com",RIGHT(B3659,9)="@live.com"),"Outlook","Domain")))</f>
        <v/>
      </c>
      <c r="F3659">
        <f>IF(B3659="","",IFERROR(RIGHT(B3659,LEN(B3659)-FIND("@",B3659)),""))</f>
        <v/>
      </c>
      <c r="G3659">
        <f>IF(D3659="KEEP",COUNTIF($D$2:D3659,"KEEP"),"")</f>
        <v/>
      </c>
      <c r="H3659">
        <f>IF(D3659="REMOVE",COUNTIF($D$2:D3659,"REMOVE"),"")</f>
        <v/>
      </c>
      <c r="I3659">
        <f>IF(E3659="Gmail",COUNTIF($E$2:E3659,"Gmail"),"")</f>
        <v/>
      </c>
      <c r="J3659">
        <f>IF(E3659="Outlook",COUNTIF($E$2:E3659,"Outlook"),"")</f>
        <v/>
      </c>
      <c r="K3659">
        <f>IF(E3659="Domain",COUNTIF($E$2:E3659,"Domain"),"")</f>
        <v/>
      </c>
    </row>
    <row r="3660">
      <c r="A3660" s="2" t="n"/>
      <c r="B3660">
        <f>LOWER(TRIM(A3660))</f>
        <v/>
      </c>
      <c r="C3660">
        <f>IF(B3660="","",IFERROR(INDEX('Bad Patterns'!$A$2:$A$120,MATCH(1,INDEX(--ISNUMBER(SEARCH('Bad Patterns'!$A$2:$A$120,B3660)),0),0)),""))</f>
        <v/>
      </c>
      <c r="D3660">
        <f>IF(B3660="","",IF(C3660&lt;&gt;"","REMOVE","KEEP"))</f>
        <v/>
      </c>
      <c r="E3660">
        <f>IF(D3660&lt;&gt;"KEEP","",IF(RIGHT(B3660,10)="@gmail.com","Gmail",IF(OR(RIGHT(B3660,12)="@outlook.com",RIGHT(B3660,12)="@hotmail.com",RIGHT(B3660,9)="@live.com"),"Outlook","Domain")))</f>
        <v/>
      </c>
      <c r="F3660">
        <f>IF(B3660="","",IFERROR(RIGHT(B3660,LEN(B3660)-FIND("@",B3660)),""))</f>
        <v/>
      </c>
      <c r="G3660">
        <f>IF(D3660="KEEP",COUNTIF($D$2:D3660,"KEEP"),"")</f>
        <v/>
      </c>
      <c r="H3660">
        <f>IF(D3660="REMOVE",COUNTIF($D$2:D3660,"REMOVE"),"")</f>
        <v/>
      </c>
      <c r="I3660">
        <f>IF(E3660="Gmail",COUNTIF($E$2:E3660,"Gmail"),"")</f>
        <v/>
      </c>
      <c r="J3660">
        <f>IF(E3660="Outlook",COUNTIF($E$2:E3660,"Outlook"),"")</f>
        <v/>
      </c>
      <c r="K3660">
        <f>IF(E3660="Domain",COUNTIF($E$2:E3660,"Domain"),"")</f>
        <v/>
      </c>
    </row>
    <row r="3661">
      <c r="A3661" s="2" t="n"/>
      <c r="B3661">
        <f>LOWER(TRIM(A3661))</f>
        <v/>
      </c>
      <c r="C3661">
        <f>IF(B3661="","",IFERROR(INDEX('Bad Patterns'!$A$2:$A$120,MATCH(1,INDEX(--ISNUMBER(SEARCH('Bad Patterns'!$A$2:$A$120,B3661)),0),0)),""))</f>
        <v/>
      </c>
      <c r="D3661">
        <f>IF(B3661="","",IF(C3661&lt;&gt;"","REMOVE","KEEP"))</f>
        <v/>
      </c>
      <c r="E3661">
        <f>IF(D3661&lt;&gt;"KEEP","",IF(RIGHT(B3661,10)="@gmail.com","Gmail",IF(OR(RIGHT(B3661,12)="@outlook.com",RIGHT(B3661,12)="@hotmail.com",RIGHT(B3661,9)="@live.com"),"Outlook","Domain")))</f>
        <v/>
      </c>
      <c r="F3661">
        <f>IF(B3661="","",IFERROR(RIGHT(B3661,LEN(B3661)-FIND("@",B3661)),""))</f>
        <v/>
      </c>
      <c r="G3661">
        <f>IF(D3661="KEEP",COUNTIF($D$2:D3661,"KEEP"),"")</f>
        <v/>
      </c>
      <c r="H3661">
        <f>IF(D3661="REMOVE",COUNTIF($D$2:D3661,"REMOVE"),"")</f>
        <v/>
      </c>
      <c r="I3661">
        <f>IF(E3661="Gmail",COUNTIF($E$2:E3661,"Gmail"),"")</f>
        <v/>
      </c>
      <c r="J3661">
        <f>IF(E3661="Outlook",COUNTIF($E$2:E3661,"Outlook"),"")</f>
        <v/>
      </c>
      <c r="K3661">
        <f>IF(E3661="Domain",COUNTIF($E$2:E3661,"Domain"),"")</f>
        <v/>
      </c>
    </row>
    <row r="3662">
      <c r="A3662" s="2" t="n"/>
      <c r="B3662">
        <f>LOWER(TRIM(A3662))</f>
        <v/>
      </c>
      <c r="C3662">
        <f>IF(B3662="","",IFERROR(INDEX('Bad Patterns'!$A$2:$A$120,MATCH(1,INDEX(--ISNUMBER(SEARCH('Bad Patterns'!$A$2:$A$120,B3662)),0),0)),""))</f>
        <v/>
      </c>
      <c r="D3662">
        <f>IF(B3662="","",IF(C3662&lt;&gt;"","REMOVE","KEEP"))</f>
        <v/>
      </c>
      <c r="E3662">
        <f>IF(D3662&lt;&gt;"KEEP","",IF(RIGHT(B3662,10)="@gmail.com","Gmail",IF(OR(RIGHT(B3662,12)="@outlook.com",RIGHT(B3662,12)="@hotmail.com",RIGHT(B3662,9)="@live.com"),"Outlook","Domain")))</f>
        <v/>
      </c>
      <c r="F3662">
        <f>IF(B3662="","",IFERROR(RIGHT(B3662,LEN(B3662)-FIND("@",B3662)),""))</f>
        <v/>
      </c>
      <c r="G3662">
        <f>IF(D3662="KEEP",COUNTIF($D$2:D3662,"KEEP"),"")</f>
        <v/>
      </c>
      <c r="H3662">
        <f>IF(D3662="REMOVE",COUNTIF($D$2:D3662,"REMOVE"),"")</f>
        <v/>
      </c>
      <c r="I3662">
        <f>IF(E3662="Gmail",COUNTIF($E$2:E3662,"Gmail"),"")</f>
        <v/>
      </c>
      <c r="J3662">
        <f>IF(E3662="Outlook",COUNTIF($E$2:E3662,"Outlook"),"")</f>
        <v/>
      </c>
      <c r="K3662">
        <f>IF(E3662="Domain",COUNTIF($E$2:E3662,"Domain"),"")</f>
        <v/>
      </c>
    </row>
    <row r="3663">
      <c r="A3663" s="2" t="n"/>
      <c r="B3663">
        <f>LOWER(TRIM(A3663))</f>
        <v/>
      </c>
      <c r="C3663">
        <f>IF(B3663="","",IFERROR(INDEX('Bad Patterns'!$A$2:$A$120,MATCH(1,INDEX(--ISNUMBER(SEARCH('Bad Patterns'!$A$2:$A$120,B3663)),0),0)),""))</f>
        <v/>
      </c>
      <c r="D3663">
        <f>IF(B3663="","",IF(C3663&lt;&gt;"","REMOVE","KEEP"))</f>
        <v/>
      </c>
      <c r="E3663">
        <f>IF(D3663&lt;&gt;"KEEP","",IF(RIGHT(B3663,10)="@gmail.com","Gmail",IF(OR(RIGHT(B3663,12)="@outlook.com",RIGHT(B3663,12)="@hotmail.com",RIGHT(B3663,9)="@live.com"),"Outlook","Domain")))</f>
        <v/>
      </c>
      <c r="F3663">
        <f>IF(B3663="","",IFERROR(RIGHT(B3663,LEN(B3663)-FIND("@",B3663)),""))</f>
        <v/>
      </c>
      <c r="G3663">
        <f>IF(D3663="KEEP",COUNTIF($D$2:D3663,"KEEP"),"")</f>
        <v/>
      </c>
      <c r="H3663">
        <f>IF(D3663="REMOVE",COUNTIF($D$2:D3663,"REMOVE"),"")</f>
        <v/>
      </c>
      <c r="I3663">
        <f>IF(E3663="Gmail",COUNTIF($E$2:E3663,"Gmail"),"")</f>
        <v/>
      </c>
      <c r="J3663">
        <f>IF(E3663="Outlook",COUNTIF($E$2:E3663,"Outlook"),"")</f>
        <v/>
      </c>
      <c r="K3663">
        <f>IF(E3663="Domain",COUNTIF($E$2:E3663,"Domain"),"")</f>
        <v/>
      </c>
    </row>
    <row r="3664">
      <c r="A3664" s="2" t="n"/>
      <c r="B3664">
        <f>LOWER(TRIM(A3664))</f>
        <v/>
      </c>
      <c r="C3664">
        <f>IF(B3664="","",IFERROR(INDEX('Bad Patterns'!$A$2:$A$120,MATCH(1,INDEX(--ISNUMBER(SEARCH('Bad Patterns'!$A$2:$A$120,B3664)),0),0)),""))</f>
        <v/>
      </c>
      <c r="D3664">
        <f>IF(B3664="","",IF(C3664&lt;&gt;"","REMOVE","KEEP"))</f>
        <v/>
      </c>
      <c r="E3664">
        <f>IF(D3664&lt;&gt;"KEEP","",IF(RIGHT(B3664,10)="@gmail.com","Gmail",IF(OR(RIGHT(B3664,12)="@outlook.com",RIGHT(B3664,12)="@hotmail.com",RIGHT(B3664,9)="@live.com"),"Outlook","Domain")))</f>
        <v/>
      </c>
      <c r="F3664">
        <f>IF(B3664="","",IFERROR(RIGHT(B3664,LEN(B3664)-FIND("@",B3664)),""))</f>
        <v/>
      </c>
      <c r="G3664">
        <f>IF(D3664="KEEP",COUNTIF($D$2:D3664,"KEEP"),"")</f>
        <v/>
      </c>
      <c r="H3664">
        <f>IF(D3664="REMOVE",COUNTIF($D$2:D3664,"REMOVE"),"")</f>
        <v/>
      </c>
      <c r="I3664">
        <f>IF(E3664="Gmail",COUNTIF($E$2:E3664,"Gmail"),"")</f>
        <v/>
      </c>
      <c r="J3664">
        <f>IF(E3664="Outlook",COUNTIF($E$2:E3664,"Outlook"),"")</f>
        <v/>
      </c>
      <c r="K3664">
        <f>IF(E3664="Domain",COUNTIF($E$2:E3664,"Domain"),"")</f>
        <v/>
      </c>
    </row>
    <row r="3665">
      <c r="A3665" s="2" t="n"/>
      <c r="B3665">
        <f>LOWER(TRIM(A3665))</f>
        <v/>
      </c>
      <c r="C3665">
        <f>IF(B3665="","",IFERROR(INDEX('Bad Patterns'!$A$2:$A$120,MATCH(1,INDEX(--ISNUMBER(SEARCH('Bad Patterns'!$A$2:$A$120,B3665)),0),0)),""))</f>
        <v/>
      </c>
      <c r="D3665">
        <f>IF(B3665="","",IF(C3665&lt;&gt;"","REMOVE","KEEP"))</f>
        <v/>
      </c>
      <c r="E3665">
        <f>IF(D3665&lt;&gt;"KEEP","",IF(RIGHT(B3665,10)="@gmail.com","Gmail",IF(OR(RIGHT(B3665,12)="@outlook.com",RIGHT(B3665,12)="@hotmail.com",RIGHT(B3665,9)="@live.com"),"Outlook","Domain")))</f>
        <v/>
      </c>
      <c r="F3665">
        <f>IF(B3665="","",IFERROR(RIGHT(B3665,LEN(B3665)-FIND("@",B3665)),""))</f>
        <v/>
      </c>
      <c r="G3665">
        <f>IF(D3665="KEEP",COUNTIF($D$2:D3665,"KEEP"),"")</f>
        <v/>
      </c>
      <c r="H3665">
        <f>IF(D3665="REMOVE",COUNTIF($D$2:D3665,"REMOVE"),"")</f>
        <v/>
      </c>
      <c r="I3665">
        <f>IF(E3665="Gmail",COUNTIF($E$2:E3665,"Gmail"),"")</f>
        <v/>
      </c>
      <c r="J3665">
        <f>IF(E3665="Outlook",COUNTIF($E$2:E3665,"Outlook"),"")</f>
        <v/>
      </c>
      <c r="K3665">
        <f>IF(E3665="Domain",COUNTIF($E$2:E3665,"Domain"),"")</f>
        <v/>
      </c>
    </row>
    <row r="3666">
      <c r="A3666" s="2" t="n"/>
      <c r="B3666">
        <f>LOWER(TRIM(A3666))</f>
        <v/>
      </c>
      <c r="C3666">
        <f>IF(B3666="","",IFERROR(INDEX('Bad Patterns'!$A$2:$A$120,MATCH(1,INDEX(--ISNUMBER(SEARCH('Bad Patterns'!$A$2:$A$120,B3666)),0),0)),""))</f>
        <v/>
      </c>
      <c r="D3666">
        <f>IF(B3666="","",IF(C3666&lt;&gt;"","REMOVE","KEEP"))</f>
        <v/>
      </c>
      <c r="E3666">
        <f>IF(D3666&lt;&gt;"KEEP","",IF(RIGHT(B3666,10)="@gmail.com","Gmail",IF(OR(RIGHT(B3666,12)="@outlook.com",RIGHT(B3666,12)="@hotmail.com",RIGHT(B3666,9)="@live.com"),"Outlook","Domain")))</f>
        <v/>
      </c>
      <c r="F3666">
        <f>IF(B3666="","",IFERROR(RIGHT(B3666,LEN(B3666)-FIND("@",B3666)),""))</f>
        <v/>
      </c>
      <c r="G3666">
        <f>IF(D3666="KEEP",COUNTIF($D$2:D3666,"KEEP"),"")</f>
        <v/>
      </c>
      <c r="H3666">
        <f>IF(D3666="REMOVE",COUNTIF($D$2:D3666,"REMOVE"),"")</f>
        <v/>
      </c>
      <c r="I3666">
        <f>IF(E3666="Gmail",COUNTIF($E$2:E3666,"Gmail"),"")</f>
        <v/>
      </c>
      <c r="J3666">
        <f>IF(E3666="Outlook",COUNTIF($E$2:E3666,"Outlook"),"")</f>
        <v/>
      </c>
      <c r="K3666">
        <f>IF(E3666="Domain",COUNTIF($E$2:E3666,"Domain"),"")</f>
        <v/>
      </c>
    </row>
    <row r="3667">
      <c r="A3667" s="2" t="n"/>
      <c r="B3667">
        <f>LOWER(TRIM(A3667))</f>
        <v/>
      </c>
      <c r="C3667">
        <f>IF(B3667="","",IFERROR(INDEX('Bad Patterns'!$A$2:$A$120,MATCH(1,INDEX(--ISNUMBER(SEARCH('Bad Patterns'!$A$2:$A$120,B3667)),0),0)),""))</f>
        <v/>
      </c>
      <c r="D3667">
        <f>IF(B3667="","",IF(C3667&lt;&gt;"","REMOVE","KEEP"))</f>
        <v/>
      </c>
      <c r="E3667">
        <f>IF(D3667&lt;&gt;"KEEP","",IF(RIGHT(B3667,10)="@gmail.com","Gmail",IF(OR(RIGHT(B3667,12)="@outlook.com",RIGHT(B3667,12)="@hotmail.com",RIGHT(B3667,9)="@live.com"),"Outlook","Domain")))</f>
        <v/>
      </c>
      <c r="F3667">
        <f>IF(B3667="","",IFERROR(RIGHT(B3667,LEN(B3667)-FIND("@",B3667)),""))</f>
        <v/>
      </c>
      <c r="G3667">
        <f>IF(D3667="KEEP",COUNTIF($D$2:D3667,"KEEP"),"")</f>
        <v/>
      </c>
      <c r="H3667">
        <f>IF(D3667="REMOVE",COUNTIF($D$2:D3667,"REMOVE"),"")</f>
        <v/>
      </c>
      <c r="I3667">
        <f>IF(E3667="Gmail",COUNTIF($E$2:E3667,"Gmail"),"")</f>
        <v/>
      </c>
      <c r="J3667">
        <f>IF(E3667="Outlook",COUNTIF($E$2:E3667,"Outlook"),"")</f>
        <v/>
      </c>
      <c r="K3667">
        <f>IF(E3667="Domain",COUNTIF($E$2:E3667,"Domain"),"")</f>
        <v/>
      </c>
    </row>
    <row r="3668">
      <c r="A3668" s="2" t="n"/>
      <c r="B3668">
        <f>LOWER(TRIM(A3668))</f>
        <v/>
      </c>
      <c r="C3668">
        <f>IF(B3668="","",IFERROR(INDEX('Bad Patterns'!$A$2:$A$120,MATCH(1,INDEX(--ISNUMBER(SEARCH('Bad Patterns'!$A$2:$A$120,B3668)),0),0)),""))</f>
        <v/>
      </c>
      <c r="D3668">
        <f>IF(B3668="","",IF(C3668&lt;&gt;"","REMOVE","KEEP"))</f>
        <v/>
      </c>
      <c r="E3668">
        <f>IF(D3668&lt;&gt;"KEEP","",IF(RIGHT(B3668,10)="@gmail.com","Gmail",IF(OR(RIGHT(B3668,12)="@outlook.com",RIGHT(B3668,12)="@hotmail.com",RIGHT(B3668,9)="@live.com"),"Outlook","Domain")))</f>
        <v/>
      </c>
      <c r="F3668">
        <f>IF(B3668="","",IFERROR(RIGHT(B3668,LEN(B3668)-FIND("@",B3668)),""))</f>
        <v/>
      </c>
      <c r="G3668">
        <f>IF(D3668="KEEP",COUNTIF($D$2:D3668,"KEEP"),"")</f>
        <v/>
      </c>
      <c r="H3668">
        <f>IF(D3668="REMOVE",COUNTIF($D$2:D3668,"REMOVE"),"")</f>
        <v/>
      </c>
      <c r="I3668">
        <f>IF(E3668="Gmail",COUNTIF($E$2:E3668,"Gmail"),"")</f>
        <v/>
      </c>
      <c r="J3668">
        <f>IF(E3668="Outlook",COUNTIF($E$2:E3668,"Outlook"),"")</f>
        <v/>
      </c>
      <c r="K3668">
        <f>IF(E3668="Domain",COUNTIF($E$2:E3668,"Domain"),"")</f>
        <v/>
      </c>
    </row>
    <row r="3669">
      <c r="A3669" s="2" t="n"/>
      <c r="B3669">
        <f>LOWER(TRIM(A3669))</f>
        <v/>
      </c>
      <c r="C3669">
        <f>IF(B3669="","",IFERROR(INDEX('Bad Patterns'!$A$2:$A$120,MATCH(1,INDEX(--ISNUMBER(SEARCH('Bad Patterns'!$A$2:$A$120,B3669)),0),0)),""))</f>
        <v/>
      </c>
      <c r="D3669">
        <f>IF(B3669="","",IF(C3669&lt;&gt;"","REMOVE","KEEP"))</f>
        <v/>
      </c>
      <c r="E3669">
        <f>IF(D3669&lt;&gt;"KEEP","",IF(RIGHT(B3669,10)="@gmail.com","Gmail",IF(OR(RIGHT(B3669,12)="@outlook.com",RIGHT(B3669,12)="@hotmail.com",RIGHT(B3669,9)="@live.com"),"Outlook","Domain")))</f>
        <v/>
      </c>
      <c r="F3669">
        <f>IF(B3669="","",IFERROR(RIGHT(B3669,LEN(B3669)-FIND("@",B3669)),""))</f>
        <v/>
      </c>
      <c r="G3669">
        <f>IF(D3669="KEEP",COUNTIF($D$2:D3669,"KEEP"),"")</f>
        <v/>
      </c>
      <c r="H3669">
        <f>IF(D3669="REMOVE",COUNTIF($D$2:D3669,"REMOVE"),"")</f>
        <v/>
      </c>
      <c r="I3669">
        <f>IF(E3669="Gmail",COUNTIF($E$2:E3669,"Gmail"),"")</f>
        <v/>
      </c>
      <c r="J3669">
        <f>IF(E3669="Outlook",COUNTIF($E$2:E3669,"Outlook"),"")</f>
        <v/>
      </c>
      <c r="K3669">
        <f>IF(E3669="Domain",COUNTIF($E$2:E3669,"Domain"),"")</f>
        <v/>
      </c>
    </row>
    <row r="3670">
      <c r="A3670" s="2" t="n"/>
      <c r="B3670">
        <f>LOWER(TRIM(A3670))</f>
        <v/>
      </c>
      <c r="C3670">
        <f>IF(B3670="","",IFERROR(INDEX('Bad Patterns'!$A$2:$A$120,MATCH(1,INDEX(--ISNUMBER(SEARCH('Bad Patterns'!$A$2:$A$120,B3670)),0),0)),""))</f>
        <v/>
      </c>
      <c r="D3670">
        <f>IF(B3670="","",IF(C3670&lt;&gt;"","REMOVE","KEEP"))</f>
        <v/>
      </c>
      <c r="E3670">
        <f>IF(D3670&lt;&gt;"KEEP","",IF(RIGHT(B3670,10)="@gmail.com","Gmail",IF(OR(RIGHT(B3670,12)="@outlook.com",RIGHT(B3670,12)="@hotmail.com",RIGHT(B3670,9)="@live.com"),"Outlook","Domain")))</f>
        <v/>
      </c>
      <c r="F3670">
        <f>IF(B3670="","",IFERROR(RIGHT(B3670,LEN(B3670)-FIND("@",B3670)),""))</f>
        <v/>
      </c>
      <c r="G3670">
        <f>IF(D3670="KEEP",COUNTIF($D$2:D3670,"KEEP"),"")</f>
        <v/>
      </c>
      <c r="H3670">
        <f>IF(D3670="REMOVE",COUNTIF($D$2:D3670,"REMOVE"),"")</f>
        <v/>
      </c>
      <c r="I3670">
        <f>IF(E3670="Gmail",COUNTIF($E$2:E3670,"Gmail"),"")</f>
        <v/>
      </c>
      <c r="J3670">
        <f>IF(E3670="Outlook",COUNTIF($E$2:E3670,"Outlook"),"")</f>
        <v/>
      </c>
      <c r="K3670">
        <f>IF(E3670="Domain",COUNTIF($E$2:E3670,"Domain"),"")</f>
        <v/>
      </c>
    </row>
    <row r="3671">
      <c r="A3671" s="2" t="n"/>
      <c r="B3671">
        <f>LOWER(TRIM(A3671))</f>
        <v/>
      </c>
      <c r="C3671">
        <f>IF(B3671="","",IFERROR(INDEX('Bad Patterns'!$A$2:$A$120,MATCH(1,INDEX(--ISNUMBER(SEARCH('Bad Patterns'!$A$2:$A$120,B3671)),0),0)),""))</f>
        <v/>
      </c>
      <c r="D3671">
        <f>IF(B3671="","",IF(C3671&lt;&gt;"","REMOVE","KEEP"))</f>
        <v/>
      </c>
      <c r="E3671">
        <f>IF(D3671&lt;&gt;"KEEP","",IF(RIGHT(B3671,10)="@gmail.com","Gmail",IF(OR(RIGHT(B3671,12)="@outlook.com",RIGHT(B3671,12)="@hotmail.com",RIGHT(B3671,9)="@live.com"),"Outlook","Domain")))</f>
        <v/>
      </c>
      <c r="F3671">
        <f>IF(B3671="","",IFERROR(RIGHT(B3671,LEN(B3671)-FIND("@",B3671)),""))</f>
        <v/>
      </c>
      <c r="G3671">
        <f>IF(D3671="KEEP",COUNTIF($D$2:D3671,"KEEP"),"")</f>
        <v/>
      </c>
      <c r="H3671">
        <f>IF(D3671="REMOVE",COUNTIF($D$2:D3671,"REMOVE"),"")</f>
        <v/>
      </c>
      <c r="I3671">
        <f>IF(E3671="Gmail",COUNTIF($E$2:E3671,"Gmail"),"")</f>
        <v/>
      </c>
      <c r="J3671">
        <f>IF(E3671="Outlook",COUNTIF($E$2:E3671,"Outlook"),"")</f>
        <v/>
      </c>
      <c r="K3671">
        <f>IF(E3671="Domain",COUNTIF($E$2:E3671,"Domain"),"")</f>
        <v/>
      </c>
    </row>
    <row r="3672">
      <c r="A3672" s="2" t="n"/>
      <c r="B3672">
        <f>LOWER(TRIM(A3672))</f>
        <v/>
      </c>
      <c r="C3672">
        <f>IF(B3672="","",IFERROR(INDEX('Bad Patterns'!$A$2:$A$120,MATCH(1,INDEX(--ISNUMBER(SEARCH('Bad Patterns'!$A$2:$A$120,B3672)),0),0)),""))</f>
        <v/>
      </c>
      <c r="D3672">
        <f>IF(B3672="","",IF(C3672&lt;&gt;"","REMOVE","KEEP"))</f>
        <v/>
      </c>
      <c r="E3672">
        <f>IF(D3672&lt;&gt;"KEEP","",IF(RIGHT(B3672,10)="@gmail.com","Gmail",IF(OR(RIGHT(B3672,12)="@outlook.com",RIGHT(B3672,12)="@hotmail.com",RIGHT(B3672,9)="@live.com"),"Outlook","Domain")))</f>
        <v/>
      </c>
      <c r="F3672">
        <f>IF(B3672="","",IFERROR(RIGHT(B3672,LEN(B3672)-FIND("@",B3672)),""))</f>
        <v/>
      </c>
      <c r="G3672">
        <f>IF(D3672="KEEP",COUNTIF($D$2:D3672,"KEEP"),"")</f>
        <v/>
      </c>
      <c r="H3672">
        <f>IF(D3672="REMOVE",COUNTIF($D$2:D3672,"REMOVE"),"")</f>
        <v/>
      </c>
      <c r="I3672">
        <f>IF(E3672="Gmail",COUNTIF($E$2:E3672,"Gmail"),"")</f>
        <v/>
      </c>
      <c r="J3672">
        <f>IF(E3672="Outlook",COUNTIF($E$2:E3672,"Outlook"),"")</f>
        <v/>
      </c>
      <c r="K3672">
        <f>IF(E3672="Domain",COUNTIF($E$2:E3672,"Domain"),"")</f>
        <v/>
      </c>
    </row>
    <row r="3673">
      <c r="A3673" s="2" t="n"/>
      <c r="B3673">
        <f>LOWER(TRIM(A3673))</f>
        <v/>
      </c>
      <c r="C3673">
        <f>IF(B3673="","",IFERROR(INDEX('Bad Patterns'!$A$2:$A$120,MATCH(1,INDEX(--ISNUMBER(SEARCH('Bad Patterns'!$A$2:$A$120,B3673)),0),0)),""))</f>
        <v/>
      </c>
      <c r="D3673">
        <f>IF(B3673="","",IF(C3673&lt;&gt;"","REMOVE","KEEP"))</f>
        <v/>
      </c>
      <c r="E3673">
        <f>IF(D3673&lt;&gt;"KEEP","",IF(RIGHT(B3673,10)="@gmail.com","Gmail",IF(OR(RIGHT(B3673,12)="@outlook.com",RIGHT(B3673,12)="@hotmail.com",RIGHT(B3673,9)="@live.com"),"Outlook","Domain")))</f>
        <v/>
      </c>
      <c r="F3673">
        <f>IF(B3673="","",IFERROR(RIGHT(B3673,LEN(B3673)-FIND("@",B3673)),""))</f>
        <v/>
      </c>
      <c r="G3673">
        <f>IF(D3673="KEEP",COUNTIF($D$2:D3673,"KEEP"),"")</f>
        <v/>
      </c>
      <c r="H3673">
        <f>IF(D3673="REMOVE",COUNTIF($D$2:D3673,"REMOVE"),"")</f>
        <v/>
      </c>
      <c r="I3673">
        <f>IF(E3673="Gmail",COUNTIF($E$2:E3673,"Gmail"),"")</f>
        <v/>
      </c>
      <c r="J3673">
        <f>IF(E3673="Outlook",COUNTIF($E$2:E3673,"Outlook"),"")</f>
        <v/>
      </c>
      <c r="K3673">
        <f>IF(E3673="Domain",COUNTIF($E$2:E3673,"Domain"),"")</f>
        <v/>
      </c>
    </row>
    <row r="3674">
      <c r="A3674" s="2" t="n"/>
      <c r="B3674">
        <f>LOWER(TRIM(A3674))</f>
        <v/>
      </c>
      <c r="C3674">
        <f>IF(B3674="","",IFERROR(INDEX('Bad Patterns'!$A$2:$A$120,MATCH(1,INDEX(--ISNUMBER(SEARCH('Bad Patterns'!$A$2:$A$120,B3674)),0),0)),""))</f>
        <v/>
      </c>
      <c r="D3674">
        <f>IF(B3674="","",IF(C3674&lt;&gt;"","REMOVE","KEEP"))</f>
        <v/>
      </c>
      <c r="E3674">
        <f>IF(D3674&lt;&gt;"KEEP","",IF(RIGHT(B3674,10)="@gmail.com","Gmail",IF(OR(RIGHT(B3674,12)="@outlook.com",RIGHT(B3674,12)="@hotmail.com",RIGHT(B3674,9)="@live.com"),"Outlook","Domain")))</f>
        <v/>
      </c>
      <c r="F3674">
        <f>IF(B3674="","",IFERROR(RIGHT(B3674,LEN(B3674)-FIND("@",B3674)),""))</f>
        <v/>
      </c>
      <c r="G3674">
        <f>IF(D3674="KEEP",COUNTIF($D$2:D3674,"KEEP"),"")</f>
        <v/>
      </c>
      <c r="H3674">
        <f>IF(D3674="REMOVE",COUNTIF($D$2:D3674,"REMOVE"),"")</f>
        <v/>
      </c>
      <c r="I3674">
        <f>IF(E3674="Gmail",COUNTIF($E$2:E3674,"Gmail"),"")</f>
        <v/>
      </c>
      <c r="J3674">
        <f>IF(E3674="Outlook",COUNTIF($E$2:E3674,"Outlook"),"")</f>
        <v/>
      </c>
      <c r="K3674">
        <f>IF(E3674="Domain",COUNTIF($E$2:E3674,"Domain"),"")</f>
        <v/>
      </c>
    </row>
    <row r="3675">
      <c r="A3675" s="2" t="n"/>
      <c r="B3675">
        <f>LOWER(TRIM(A3675))</f>
        <v/>
      </c>
      <c r="C3675">
        <f>IF(B3675="","",IFERROR(INDEX('Bad Patterns'!$A$2:$A$120,MATCH(1,INDEX(--ISNUMBER(SEARCH('Bad Patterns'!$A$2:$A$120,B3675)),0),0)),""))</f>
        <v/>
      </c>
      <c r="D3675">
        <f>IF(B3675="","",IF(C3675&lt;&gt;"","REMOVE","KEEP"))</f>
        <v/>
      </c>
      <c r="E3675">
        <f>IF(D3675&lt;&gt;"KEEP","",IF(RIGHT(B3675,10)="@gmail.com","Gmail",IF(OR(RIGHT(B3675,12)="@outlook.com",RIGHT(B3675,12)="@hotmail.com",RIGHT(B3675,9)="@live.com"),"Outlook","Domain")))</f>
        <v/>
      </c>
      <c r="F3675">
        <f>IF(B3675="","",IFERROR(RIGHT(B3675,LEN(B3675)-FIND("@",B3675)),""))</f>
        <v/>
      </c>
      <c r="G3675">
        <f>IF(D3675="KEEP",COUNTIF($D$2:D3675,"KEEP"),"")</f>
        <v/>
      </c>
      <c r="H3675">
        <f>IF(D3675="REMOVE",COUNTIF($D$2:D3675,"REMOVE"),"")</f>
        <v/>
      </c>
      <c r="I3675">
        <f>IF(E3675="Gmail",COUNTIF($E$2:E3675,"Gmail"),"")</f>
        <v/>
      </c>
      <c r="J3675">
        <f>IF(E3675="Outlook",COUNTIF($E$2:E3675,"Outlook"),"")</f>
        <v/>
      </c>
      <c r="K3675">
        <f>IF(E3675="Domain",COUNTIF($E$2:E3675,"Domain"),"")</f>
        <v/>
      </c>
    </row>
    <row r="3676">
      <c r="A3676" s="2" t="n"/>
      <c r="B3676">
        <f>LOWER(TRIM(A3676))</f>
        <v/>
      </c>
      <c r="C3676">
        <f>IF(B3676="","",IFERROR(INDEX('Bad Patterns'!$A$2:$A$120,MATCH(1,INDEX(--ISNUMBER(SEARCH('Bad Patterns'!$A$2:$A$120,B3676)),0),0)),""))</f>
        <v/>
      </c>
      <c r="D3676">
        <f>IF(B3676="","",IF(C3676&lt;&gt;"","REMOVE","KEEP"))</f>
        <v/>
      </c>
      <c r="E3676">
        <f>IF(D3676&lt;&gt;"KEEP","",IF(RIGHT(B3676,10)="@gmail.com","Gmail",IF(OR(RIGHT(B3676,12)="@outlook.com",RIGHT(B3676,12)="@hotmail.com",RIGHT(B3676,9)="@live.com"),"Outlook","Domain")))</f>
        <v/>
      </c>
      <c r="F3676">
        <f>IF(B3676="","",IFERROR(RIGHT(B3676,LEN(B3676)-FIND("@",B3676)),""))</f>
        <v/>
      </c>
      <c r="G3676">
        <f>IF(D3676="KEEP",COUNTIF($D$2:D3676,"KEEP"),"")</f>
        <v/>
      </c>
      <c r="H3676">
        <f>IF(D3676="REMOVE",COUNTIF($D$2:D3676,"REMOVE"),"")</f>
        <v/>
      </c>
      <c r="I3676">
        <f>IF(E3676="Gmail",COUNTIF($E$2:E3676,"Gmail"),"")</f>
        <v/>
      </c>
      <c r="J3676">
        <f>IF(E3676="Outlook",COUNTIF($E$2:E3676,"Outlook"),"")</f>
        <v/>
      </c>
      <c r="K3676">
        <f>IF(E3676="Domain",COUNTIF($E$2:E3676,"Domain"),"")</f>
        <v/>
      </c>
    </row>
    <row r="3677">
      <c r="A3677" s="2" t="n"/>
      <c r="B3677">
        <f>LOWER(TRIM(A3677))</f>
        <v/>
      </c>
      <c r="C3677">
        <f>IF(B3677="","",IFERROR(INDEX('Bad Patterns'!$A$2:$A$120,MATCH(1,INDEX(--ISNUMBER(SEARCH('Bad Patterns'!$A$2:$A$120,B3677)),0),0)),""))</f>
        <v/>
      </c>
      <c r="D3677">
        <f>IF(B3677="","",IF(C3677&lt;&gt;"","REMOVE","KEEP"))</f>
        <v/>
      </c>
      <c r="E3677">
        <f>IF(D3677&lt;&gt;"KEEP","",IF(RIGHT(B3677,10)="@gmail.com","Gmail",IF(OR(RIGHT(B3677,12)="@outlook.com",RIGHT(B3677,12)="@hotmail.com",RIGHT(B3677,9)="@live.com"),"Outlook","Domain")))</f>
        <v/>
      </c>
      <c r="F3677">
        <f>IF(B3677="","",IFERROR(RIGHT(B3677,LEN(B3677)-FIND("@",B3677)),""))</f>
        <v/>
      </c>
      <c r="G3677">
        <f>IF(D3677="KEEP",COUNTIF($D$2:D3677,"KEEP"),"")</f>
        <v/>
      </c>
      <c r="H3677">
        <f>IF(D3677="REMOVE",COUNTIF($D$2:D3677,"REMOVE"),"")</f>
        <v/>
      </c>
      <c r="I3677">
        <f>IF(E3677="Gmail",COUNTIF($E$2:E3677,"Gmail"),"")</f>
        <v/>
      </c>
      <c r="J3677">
        <f>IF(E3677="Outlook",COUNTIF($E$2:E3677,"Outlook"),"")</f>
        <v/>
      </c>
      <c r="K3677">
        <f>IF(E3677="Domain",COUNTIF($E$2:E3677,"Domain"),"")</f>
        <v/>
      </c>
    </row>
    <row r="3678">
      <c r="A3678" s="2" t="n"/>
      <c r="B3678">
        <f>LOWER(TRIM(A3678))</f>
        <v/>
      </c>
      <c r="C3678">
        <f>IF(B3678="","",IFERROR(INDEX('Bad Patterns'!$A$2:$A$120,MATCH(1,INDEX(--ISNUMBER(SEARCH('Bad Patterns'!$A$2:$A$120,B3678)),0),0)),""))</f>
        <v/>
      </c>
      <c r="D3678">
        <f>IF(B3678="","",IF(C3678&lt;&gt;"","REMOVE","KEEP"))</f>
        <v/>
      </c>
      <c r="E3678">
        <f>IF(D3678&lt;&gt;"KEEP","",IF(RIGHT(B3678,10)="@gmail.com","Gmail",IF(OR(RIGHT(B3678,12)="@outlook.com",RIGHT(B3678,12)="@hotmail.com",RIGHT(B3678,9)="@live.com"),"Outlook","Domain")))</f>
        <v/>
      </c>
      <c r="F3678">
        <f>IF(B3678="","",IFERROR(RIGHT(B3678,LEN(B3678)-FIND("@",B3678)),""))</f>
        <v/>
      </c>
      <c r="G3678">
        <f>IF(D3678="KEEP",COUNTIF($D$2:D3678,"KEEP"),"")</f>
        <v/>
      </c>
      <c r="H3678">
        <f>IF(D3678="REMOVE",COUNTIF($D$2:D3678,"REMOVE"),"")</f>
        <v/>
      </c>
      <c r="I3678">
        <f>IF(E3678="Gmail",COUNTIF($E$2:E3678,"Gmail"),"")</f>
        <v/>
      </c>
      <c r="J3678">
        <f>IF(E3678="Outlook",COUNTIF($E$2:E3678,"Outlook"),"")</f>
        <v/>
      </c>
      <c r="K3678">
        <f>IF(E3678="Domain",COUNTIF($E$2:E3678,"Domain"),"")</f>
        <v/>
      </c>
    </row>
    <row r="3679">
      <c r="A3679" s="2" t="n"/>
      <c r="B3679">
        <f>LOWER(TRIM(A3679))</f>
        <v/>
      </c>
      <c r="C3679">
        <f>IF(B3679="","",IFERROR(INDEX('Bad Patterns'!$A$2:$A$120,MATCH(1,INDEX(--ISNUMBER(SEARCH('Bad Patterns'!$A$2:$A$120,B3679)),0),0)),""))</f>
        <v/>
      </c>
      <c r="D3679">
        <f>IF(B3679="","",IF(C3679&lt;&gt;"","REMOVE","KEEP"))</f>
        <v/>
      </c>
      <c r="E3679">
        <f>IF(D3679&lt;&gt;"KEEP","",IF(RIGHT(B3679,10)="@gmail.com","Gmail",IF(OR(RIGHT(B3679,12)="@outlook.com",RIGHT(B3679,12)="@hotmail.com",RIGHT(B3679,9)="@live.com"),"Outlook","Domain")))</f>
        <v/>
      </c>
      <c r="F3679">
        <f>IF(B3679="","",IFERROR(RIGHT(B3679,LEN(B3679)-FIND("@",B3679)),""))</f>
        <v/>
      </c>
      <c r="G3679">
        <f>IF(D3679="KEEP",COUNTIF($D$2:D3679,"KEEP"),"")</f>
        <v/>
      </c>
      <c r="H3679">
        <f>IF(D3679="REMOVE",COUNTIF($D$2:D3679,"REMOVE"),"")</f>
        <v/>
      </c>
      <c r="I3679">
        <f>IF(E3679="Gmail",COUNTIF($E$2:E3679,"Gmail"),"")</f>
        <v/>
      </c>
      <c r="J3679">
        <f>IF(E3679="Outlook",COUNTIF($E$2:E3679,"Outlook"),"")</f>
        <v/>
      </c>
      <c r="K3679">
        <f>IF(E3679="Domain",COUNTIF($E$2:E3679,"Domain"),"")</f>
        <v/>
      </c>
    </row>
    <row r="3680">
      <c r="A3680" s="2" t="n"/>
      <c r="B3680">
        <f>LOWER(TRIM(A3680))</f>
        <v/>
      </c>
      <c r="C3680">
        <f>IF(B3680="","",IFERROR(INDEX('Bad Patterns'!$A$2:$A$120,MATCH(1,INDEX(--ISNUMBER(SEARCH('Bad Patterns'!$A$2:$A$120,B3680)),0),0)),""))</f>
        <v/>
      </c>
      <c r="D3680">
        <f>IF(B3680="","",IF(C3680&lt;&gt;"","REMOVE","KEEP"))</f>
        <v/>
      </c>
      <c r="E3680">
        <f>IF(D3680&lt;&gt;"KEEP","",IF(RIGHT(B3680,10)="@gmail.com","Gmail",IF(OR(RIGHT(B3680,12)="@outlook.com",RIGHT(B3680,12)="@hotmail.com",RIGHT(B3680,9)="@live.com"),"Outlook","Domain")))</f>
        <v/>
      </c>
      <c r="F3680">
        <f>IF(B3680="","",IFERROR(RIGHT(B3680,LEN(B3680)-FIND("@",B3680)),""))</f>
        <v/>
      </c>
      <c r="G3680">
        <f>IF(D3680="KEEP",COUNTIF($D$2:D3680,"KEEP"),"")</f>
        <v/>
      </c>
      <c r="H3680">
        <f>IF(D3680="REMOVE",COUNTIF($D$2:D3680,"REMOVE"),"")</f>
        <v/>
      </c>
      <c r="I3680">
        <f>IF(E3680="Gmail",COUNTIF($E$2:E3680,"Gmail"),"")</f>
        <v/>
      </c>
      <c r="J3680">
        <f>IF(E3680="Outlook",COUNTIF($E$2:E3680,"Outlook"),"")</f>
        <v/>
      </c>
      <c r="K3680">
        <f>IF(E3680="Domain",COUNTIF($E$2:E3680,"Domain"),"")</f>
        <v/>
      </c>
    </row>
    <row r="3681">
      <c r="A3681" s="2" t="n"/>
      <c r="B3681">
        <f>LOWER(TRIM(A3681))</f>
        <v/>
      </c>
      <c r="C3681">
        <f>IF(B3681="","",IFERROR(INDEX('Bad Patterns'!$A$2:$A$120,MATCH(1,INDEX(--ISNUMBER(SEARCH('Bad Patterns'!$A$2:$A$120,B3681)),0),0)),""))</f>
        <v/>
      </c>
      <c r="D3681">
        <f>IF(B3681="","",IF(C3681&lt;&gt;"","REMOVE","KEEP"))</f>
        <v/>
      </c>
      <c r="E3681">
        <f>IF(D3681&lt;&gt;"KEEP","",IF(RIGHT(B3681,10)="@gmail.com","Gmail",IF(OR(RIGHT(B3681,12)="@outlook.com",RIGHT(B3681,12)="@hotmail.com",RIGHT(B3681,9)="@live.com"),"Outlook","Domain")))</f>
        <v/>
      </c>
      <c r="F3681">
        <f>IF(B3681="","",IFERROR(RIGHT(B3681,LEN(B3681)-FIND("@",B3681)),""))</f>
        <v/>
      </c>
      <c r="G3681">
        <f>IF(D3681="KEEP",COUNTIF($D$2:D3681,"KEEP"),"")</f>
        <v/>
      </c>
      <c r="H3681">
        <f>IF(D3681="REMOVE",COUNTIF($D$2:D3681,"REMOVE"),"")</f>
        <v/>
      </c>
      <c r="I3681">
        <f>IF(E3681="Gmail",COUNTIF($E$2:E3681,"Gmail"),"")</f>
        <v/>
      </c>
      <c r="J3681">
        <f>IF(E3681="Outlook",COUNTIF($E$2:E3681,"Outlook"),"")</f>
        <v/>
      </c>
      <c r="K3681">
        <f>IF(E3681="Domain",COUNTIF($E$2:E3681,"Domain"),"")</f>
        <v/>
      </c>
    </row>
    <row r="3682">
      <c r="A3682" s="2" t="n"/>
      <c r="B3682">
        <f>LOWER(TRIM(A3682))</f>
        <v/>
      </c>
      <c r="C3682">
        <f>IF(B3682="","",IFERROR(INDEX('Bad Patterns'!$A$2:$A$120,MATCH(1,INDEX(--ISNUMBER(SEARCH('Bad Patterns'!$A$2:$A$120,B3682)),0),0)),""))</f>
        <v/>
      </c>
      <c r="D3682">
        <f>IF(B3682="","",IF(C3682&lt;&gt;"","REMOVE","KEEP"))</f>
        <v/>
      </c>
      <c r="E3682">
        <f>IF(D3682&lt;&gt;"KEEP","",IF(RIGHT(B3682,10)="@gmail.com","Gmail",IF(OR(RIGHT(B3682,12)="@outlook.com",RIGHT(B3682,12)="@hotmail.com",RIGHT(B3682,9)="@live.com"),"Outlook","Domain")))</f>
        <v/>
      </c>
      <c r="F3682">
        <f>IF(B3682="","",IFERROR(RIGHT(B3682,LEN(B3682)-FIND("@",B3682)),""))</f>
        <v/>
      </c>
      <c r="G3682">
        <f>IF(D3682="KEEP",COUNTIF($D$2:D3682,"KEEP"),"")</f>
        <v/>
      </c>
      <c r="H3682">
        <f>IF(D3682="REMOVE",COUNTIF($D$2:D3682,"REMOVE"),"")</f>
        <v/>
      </c>
      <c r="I3682">
        <f>IF(E3682="Gmail",COUNTIF($E$2:E3682,"Gmail"),"")</f>
        <v/>
      </c>
      <c r="J3682">
        <f>IF(E3682="Outlook",COUNTIF($E$2:E3682,"Outlook"),"")</f>
        <v/>
      </c>
      <c r="K3682">
        <f>IF(E3682="Domain",COUNTIF($E$2:E3682,"Domain"),"")</f>
        <v/>
      </c>
    </row>
    <row r="3683">
      <c r="A3683" s="2" t="n"/>
      <c r="B3683">
        <f>LOWER(TRIM(A3683))</f>
        <v/>
      </c>
      <c r="C3683">
        <f>IF(B3683="","",IFERROR(INDEX('Bad Patterns'!$A$2:$A$120,MATCH(1,INDEX(--ISNUMBER(SEARCH('Bad Patterns'!$A$2:$A$120,B3683)),0),0)),""))</f>
        <v/>
      </c>
      <c r="D3683">
        <f>IF(B3683="","",IF(C3683&lt;&gt;"","REMOVE","KEEP"))</f>
        <v/>
      </c>
      <c r="E3683">
        <f>IF(D3683&lt;&gt;"KEEP","",IF(RIGHT(B3683,10)="@gmail.com","Gmail",IF(OR(RIGHT(B3683,12)="@outlook.com",RIGHT(B3683,12)="@hotmail.com",RIGHT(B3683,9)="@live.com"),"Outlook","Domain")))</f>
        <v/>
      </c>
      <c r="F3683">
        <f>IF(B3683="","",IFERROR(RIGHT(B3683,LEN(B3683)-FIND("@",B3683)),""))</f>
        <v/>
      </c>
      <c r="G3683">
        <f>IF(D3683="KEEP",COUNTIF($D$2:D3683,"KEEP"),"")</f>
        <v/>
      </c>
      <c r="H3683">
        <f>IF(D3683="REMOVE",COUNTIF($D$2:D3683,"REMOVE"),"")</f>
        <v/>
      </c>
      <c r="I3683">
        <f>IF(E3683="Gmail",COUNTIF($E$2:E3683,"Gmail"),"")</f>
        <v/>
      </c>
      <c r="J3683">
        <f>IF(E3683="Outlook",COUNTIF($E$2:E3683,"Outlook"),"")</f>
        <v/>
      </c>
      <c r="K3683">
        <f>IF(E3683="Domain",COUNTIF($E$2:E3683,"Domain"),"")</f>
        <v/>
      </c>
    </row>
    <row r="3684">
      <c r="A3684" s="2" t="n"/>
      <c r="B3684">
        <f>LOWER(TRIM(A3684))</f>
        <v/>
      </c>
      <c r="C3684">
        <f>IF(B3684="","",IFERROR(INDEX('Bad Patterns'!$A$2:$A$120,MATCH(1,INDEX(--ISNUMBER(SEARCH('Bad Patterns'!$A$2:$A$120,B3684)),0),0)),""))</f>
        <v/>
      </c>
      <c r="D3684">
        <f>IF(B3684="","",IF(C3684&lt;&gt;"","REMOVE","KEEP"))</f>
        <v/>
      </c>
      <c r="E3684">
        <f>IF(D3684&lt;&gt;"KEEP","",IF(RIGHT(B3684,10)="@gmail.com","Gmail",IF(OR(RIGHT(B3684,12)="@outlook.com",RIGHT(B3684,12)="@hotmail.com",RIGHT(B3684,9)="@live.com"),"Outlook","Domain")))</f>
        <v/>
      </c>
      <c r="F3684">
        <f>IF(B3684="","",IFERROR(RIGHT(B3684,LEN(B3684)-FIND("@",B3684)),""))</f>
        <v/>
      </c>
      <c r="G3684">
        <f>IF(D3684="KEEP",COUNTIF($D$2:D3684,"KEEP"),"")</f>
        <v/>
      </c>
      <c r="H3684">
        <f>IF(D3684="REMOVE",COUNTIF($D$2:D3684,"REMOVE"),"")</f>
        <v/>
      </c>
      <c r="I3684">
        <f>IF(E3684="Gmail",COUNTIF($E$2:E3684,"Gmail"),"")</f>
        <v/>
      </c>
      <c r="J3684">
        <f>IF(E3684="Outlook",COUNTIF($E$2:E3684,"Outlook"),"")</f>
        <v/>
      </c>
      <c r="K3684">
        <f>IF(E3684="Domain",COUNTIF($E$2:E3684,"Domain"),"")</f>
        <v/>
      </c>
    </row>
    <row r="3685">
      <c r="A3685" s="2" t="n"/>
      <c r="B3685">
        <f>LOWER(TRIM(A3685))</f>
        <v/>
      </c>
      <c r="C3685">
        <f>IF(B3685="","",IFERROR(INDEX('Bad Patterns'!$A$2:$A$120,MATCH(1,INDEX(--ISNUMBER(SEARCH('Bad Patterns'!$A$2:$A$120,B3685)),0),0)),""))</f>
        <v/>
      </c>
      <c r="D3685">
        <f>IF(B3685="","",IF(C3685&lt;&gt;"","REMOVE","KEEP"))</f>
        <v/>
      </c>
      <c r="E3685">
        <f>IF(D3685&lt;&gt;"KEEP","",IF(RIGHT(B3685,10)="@gmail.com","Gmail",IF(OR(RIGHT(B3685,12)="@outlook.com",RIGHT(B3685,12)="@hotmail.com",RIGHT(B3685,9)="@live.com"),"Outlook","Domain")))</f>
        <v/>
      </c>
      <c r="F3685">
        <f>IF(B3685="","",IFERROR(RIGHT(B3685,LEN(B3685)-FIND("@",B3685)),""))</f>
        <v/>
      </c>
      <c r="G3685">
        <f>IF(D3685="KEEP",COUNTIF($D$2:D3685,"KEEP"),"")</f>
        <v/>
      </c>
      <c r="H3685">
        <f>IF(D3685="REMOVE",COUNTIF($D$2:D3685,"REMOVE"),"")</f>
        <v/>
      </c>
      <c r="I3685">
        <f>IF(E3685="Gmail",COUNTIF($E$2:E3685,"Gmail"),"")</f>
        <v/>
      </c>
      <c r="J3685">
        <f>IF(E3685="Outlook",COUNTIF($E$2:E3685,"Outlook"),"")</f>
        <v/>
      </c>
      <c r="K3685">
        <f>IF(E3685="Domain",COUNTIF($E$2:E3685,"Domain"),"")</f>
        <v/>
      </c>
    </row>
    <row r="3686">
      <c r="A3686" s="2" t="n"/>
      <c r="B3686">
        <f>LOWER(TRIM(A3686))</f>
        <v/>
      </c>
      <c r="C3686">
        <f>IF(B3686="","",IFERROR(INDEX('Bad Patterns'!$A$2:$A$120,MATCH(1,INDEX(--ISNUMBER(SEARCH('Bad Patterns'!$A$2:$A$120,B3686)),0),0)),""))</f>
        <v/>
      </c>
      <c r="D3686">
        <f>IF(B3686="","",IF(C3686&lt;&gt;"","REMOVE","KEEP"))</f>
        <v/>
      </c>
      <c r="E3686">
        <f>IF(D3686&lt;&gt;"KEEP","",IF(RIGHT(B3686,10)="@gmail.com","Gmail",IF(OR(RIGHT(B3686,12)="@outlook.com",RIGHT(B3686,12)="@hotmail.com",RIGHT(B3686,9)="@live.com"),"Outlook","Domain")))</f>
        <v/>
      </c>
      <c r="F3686">
        <f>IF(B3686="","",IFERROR(RIGHT(B3686,LEN(B3686)-FIND("@",B3686)),""))</f>
        <v/>
      </c>
      <c r="G3686">
        <f>IF(D3686="KEEP",COUNTIF($D$2:D3686,"KEEP"),"")</f>
        <v/>
      </c>
      <c r="H3686">
        <f>IF(D3686="REMOVE",COUNTIF($D$2:D3686,"REMOVE"),"")</f>
        <v/>
      </c>
      <c r="I3686">
        <f>IF(E3686="Gmail",COUNTIF($E$2:E3686,"Gmail"),"")</f>
        <v/>
      </c>
      <c r="J3686">
        <f>IF(E3686="Outlook",COUNTIF($E$2:E3686,"Outlook"),"")</f>
        <v/>
      </c>
      <c r="K3686">
        <f>IF(E3686="Domain",COUNTIF($E$2:E3686,"Domain"),"")</f>
        <v/>
      </c>
    </row>
    <row r="3687">
      <c r="A3687" s="2" t="n"/>
      <c r="B3687">
        <f>LOWER(TRIM(A3687))</f>
        <v/>
      </c>
      <c r="C3687">
        <f>IF(B3687="","",IFERROR(INDEX('Bad Patterns'!$A$2:$A$120,MATCH(1,INDEX(--ISNUMBER(SEARCH('Bad Patterns'!$A$2:$A$120,B3687)),0),0)),""))</f>
        <v/>
      </c>
      <c r="D3687">
        <f>IF(B3687="","",IF(C3687&lt;&gt;"","REMOVE","KEEP"))</f>
        <v/>
      </c>
      <c r="E3687">
        <f>IF(D3687&lt;&gt;"KEEP","",IF(RIGHT(B3687,10)="@gmail.com","Gmail",IF(OR(RIGHT(B3687,12)="@outlook.com",RIGHT(B3687,12)="@hotmail.com",RIGHT(B3687,9)="@live.com"),"Outlook","Domain")))</f>
        <v/>
      </c>
      <c r="F3687">
        <f>IF(B3687="","",IFERROR(RIGHT(B3687,LEN(B3687)-FIND("@",B3687)),""))</f>
        <v/>
      </c>
      <c r="G3687">
        <f>IF(D3687="KEEP",COUNTIF($D$2:D3687,"KEEP"),"")</f>
        <v/>
      </c>
      <c r="H3687">
        <f>IF(D3687="REMOVE",COUNTIF($D$2:D3687,"REMOVE"),"")</f>
        <v/>
      </c>
      <c r="I3687">
        <f>IF(E3687="Gmail",COUNTIF($E$2:E3687,"Gmail"),"")</f>
        <v/>
      </c>
      <c r="J3687">
        <f>IF(E3687="Outlook",COUNTIF($E$2:E3687,"Outlook"),"")</f>
        <v/>
      </c>
      <c r="K3687">
        <f>IF(E3687="Domain",COUNTIF($E$2:E3687,"Domain"),"")</f>
        <v/>
      </c>
    </row>
    <row r="3688">
      <c r="A3688" s="2" t="n"/>
      <c r="B3688">
        <f>LOWER(TRIM(A3688))</f>
        <v/>
      </c>
      <c r="C3688">
        <f>IF(B3688="","",IFERROR(INDEX('Bad Patterns'!$A$2:$A$120,MATCH(1,INDEX(--ISNUMBER(SEARCH('Bad Patterns'!$A$2:$A$120,B3688)),0),0)),""))</f>
        <v/>
      </c>
      <c r="D3688">
        <f>IF(B3688="","",IF(C3688&lt;&gt;"","REMOVE","KEEP"))</f>
        <v/>
      </c>
      <c r="E3688">
        <f>IF(D3688&lt;&gt;"KEEP","",IF(RIGHT(B3688,10)="@gmail.com","Gmail",IF(OR(RIGHT(B3688,12)="@outlook.com",RIGHT(B3688,12)="@hotmail.com",RIGHT(B3688,9)="@live.com"),"Outlook","Domain")))</f>
        <v/>
      </c>
      <c r="F3688">
        <f>IF(B3688="","",IFERROR(RIGHT(B3688,LEN(B3688)-FIND("@",B3688)),""))</f>
        <v/>
      </c>
      <c r="G3688">
        <f>IF(D3688="KEEP",COUNTIF($D$2:D3688,"KEEP"),"")</f>
        <v/>
      </c>
      <c r="H3688">
        <f>IF(D3688="REMOVE",COUNTIF($D$2:D3688,"REMOVE"),"")</f>
        <v/>
      </c>
      <c r="I3688">
        <f>IF(E3688="Gmail",COUNTIF($E$2:E3688,"Gmail"),"")</f>
        <v/>
      </c>
      <c r="J3688">
        <f>IF(E3688="Outlook",COUNTIF($E$2:E3688,"Outlook"),"")</f>
        <v/>
      </c>
      <c r="K3688">
        <f>IF(E3688="Domain",COUNTIF($E$2:E3688,"Domain"),"")</f>
        <v/>
      </c>
    </row>
    <row r="3689">
      <c r="A3689" s="2" t="n"/>
      <c r="B3689">
        <f>LOWER(TRIM(A3689))</f>
        <v/>
      </c>
      <c r="C3689">
        <f>IF(B3689="","",IFERROR(INDEX('Bad Patterns'!$A$2:$A$120,MATCH(1,INDEX(--ISNUMBER(SEARCH('Bad Patterns'!$A$2:$A$120,B3689)),0),0)),""))</f>
        <v/>
      </c>
      <c r="D3689">
        <f>IF(B3689="","",IF(C3689&lt;&gt;"","REMOVE","KEEP"))</f>
        <v/>
      </c>
      <c r="E3689">
        <f>IF(D3689&lt;&gt;"KEEP","",IF(RIGHT(B3689,10)="@gmail.com","Gmail",IF(OR(RIGHT(B3689,12)="@outlook.com",RIGHT(B3689,12)="@hotmail.com",RIGHT(B3689,9)="@live.com"),"Outlook","Domain")))</f>
        <v/>
      </c>
      <c r="F3689">
        <f>IF(B3689="","",IFERROR(RIGHT(B3689,LEN(B3689)-FIND("@",B3689)),""))</f>
        <v/>
      </c>
      <c r="G3689">
        <f>IF(D3689="KEEP",COUNTIF($D$2:D3689,"KEEP"),"")</f>
        <v/>
      </c>
      <c r="H3689">
        <f>IF(D3689="REMOVE",COUNTIF($D$2:D3689,"REMOVE"),"")</f>
        <v/>
      </c>
      <c r="I3689">
        <f>IF(E3689="Gmail",COUNTIF($E$2:E3689,"Gmail"),"")</f>
        <v/>
      </c>
      <c r="J3689">
        <f>IF(E3689="Outlook",COUNTIF($E$2:E3689,"Outlook"),"")</f>
        <v/>
      </c>
      <c r="K3689">
        <f>IF(E3689="Domain",COUNTIF($E$2:E3689,"Domain"),"")</f>
        <v/>
      </c>
    </row>
    <row r="3690">
      <c r="A3690" s="2" t="n"/>
      <c r="B3690">
        <f>LOWER(TRIM(A3690))</f>
        <v/>
      </c>
      <c r="C3690">
        <f>IF(B3690="","",IFERROR(INDEX('Bad Patterns'!$A$2:$A$120,MATCH(1,INDEX(--ISNUMBER(SEARCH('Bad Patterns'!$A$2:$A$120,B3690)),0),0)),""))</f>
        <v/>
      </c>
      <c r="D3690">
        <f>IF(B3690="","",IF(C3690&lt;&gt;"","REMOVE","KEEP"))</f>
        <v/>
      </c>
      <c r="E3690">
        <f>IF(D3690&lt;&gt;"KEEP","",IF(RIGHT(B3690,10)="@gmail.com","Gmail",IF(OR(RIGHT(B3690,12)="@outlook.com",RIGHT(B3690,12)="@hotmail.com",RIGHT(B3690,9)="@live.com"),"Outlook","Domain")))</f>
        <v/>
      </c>
      <c r="F3690">
        <f>IF(B3690="","",IFERROR(RIGHT(B3690,LEN(B3690)-FIND("@",B3690)),""))</f>
        <v/>
      </c>
      <c r="G3690">
        <f>IF(D3690="KEEP",COUNTIF($D$2:D3690,"KEEP"),"")</f>
        <v/>
      </c>
      <c r="H3690">
        <f>IF(D3690="REMOVE",COUNTIF($D$2:D3690,"REMOVE"),"")</f>
        <v/>
      </c>
      <c r="I3690">
        <f>IF(E3690="Gmail",COUNTIF($E$2:E3690,"Gmail"),"")</f>
        <v/>
      </c>
      <c r="J3690">
        <f>IF(E3690="Outlook",COUNTIF($E$2:E3690,"Outlook"),"")</f>
        <v/>
      </c>
      <c r="K3690">
        <f>IF(E3690="Domain",COUNTIF($E$2:E3690,"Domain"),"")</f>
        <v/>
      </c>
    </row>
    <row r="3691">
      <c r="A3691" s="2" t="n"/>
      <c r="B3691">
        <f>LOWER(TRIM(A3691))</f>
        <v/>
      </c>
      <c r="C3691">
        <f>IF(B3691="","",IFERROR(INDEX('Bad Patterns'!$A$2:$A$120,MATCH(1,INDEX(--ISNUMBER(SEARCH('Bad Patterns'!$A$2:$A$120,B3691)),0),0)),""))</f>
        <v/>
      </c>
      <c r="D3691">
        <f>IF(B3691="","",IF(C3691&lt;&gt;"","REMOVE","KEEP"))</f>
        <v/>
      </c>
      <c r="E3691">
        <f>IF(D3691&lt;&gt;"KEEP","",IF(RIGHT(B3691,10)="@gmail.com","Gmail",IF(OR(RIGHT(B3691,12)="@outlook.com",RIGHT(B3691,12)="@hotmail.com",RIGHT(B3691,9)="@live.com"),"Outlook","Domain")))</f>
        <v/>
      </c>
      <c r="F3691">
        <f>IF(B3691="","",IFERROR(RIGHT(B3691,LEN(B3691)-FIND("@",B3691)),""))</f>
        <v/>
      </c>
      <c r="G3691">
        <f>IF(D3691="KEEP",COUNTIF($D$2:D3691,"KEEP"),"")</f>
        <v/>
      </c>
      <c r="H3691">
        <f>IF(D3691="REMOVE",COUNTIF($D$2:D3691,"REMOVE"),"")</f>
        <v/>
      </c>
      <c r="I3691">
        <f>IF(E3691="Gmail",COUNTIF($E$2:E3691,"Gmail"),"")</f>
        <v/>
      </c>
      <c r="J3691">
        <f>IF(E3691="Outlook",COUNTIF($E$2:E3691,"Outlook"),"")</f>
        <v/>
      </c>
      <c r="K3691">
        <f>IF(E3691="Domain",COUNTIF($E$2:E3691,"Domain"),"")</f>
        <v/>
      </c>
    </row>
    <row r="3692">
      <c r="A3692" s="2" t="n"/>
      <c r="B3692">
        <f>LOWER(TRIM(A3692))</f>
        <v/>
      </c>
      <c r="C3692">
        <f>IF(B3692="","",IFERROR(INDEX('Bad Patterns'!$A$2:$A$120,MATCH(1,INDEX(--ISNUMBER(SEARCH('Bad Patterns'!$A$2:$A$120,B3692)),0),0)),""))</f>
        <v/>
      </c>
      <c r="D3692">
        <f>IF(B3692="","",IF(C3692&lt;&gt;"","REMOVE","KEEP"))</f>
        <v/>
      </c>
      <c r="E3692">
        <f>IF(D3692&lt;&gt;"KEEP","",IF(RIGHT(B3692,10)="@gmail.com","Gmail",IF(OR(RIGHT(B3692,12)="@outlook.com",RIGHT(B3692,12)="@hotmail.com",RIGHT(B3692,9)="@live.com"),"Outlook","Domain")))</f>
        <v/>
      </c>
      <c r="F3692">
        <f>IF(B3692="","",IFERROR(RIGHT(B3692,LEN(B3692)-FIND("@",B3692)),""))</f>
        <v/>
      </c>
      <c r="G3692">
        <f>IF(D3692="KEEP",COUNTIF($D$2:D3692,"KEEP"),"")</f>
        <v/>
      </c>
      <c r="H3692">
        <f>IF(D3692="REMOVE",COUNTIF($D$2:D3692,"REMOVE"),"")</f>
        <v/>
      </c>
      <c r="I3692">
        <f>IF(E3692="Gmail",COUNTIF($E$2:E3692,"Gmail"),"")</f>
        <v/>
      </c>
      <c r="J3692">
        <f>IF(E3692="Outlook",COUNTIF($E$2:E3692,"Outlook"),"")</f>
        <v/>
      </c>
      <c r="K3692">
        <f>IF(E3692="Domain",COUNTIF($E$2:E3692,"Domain"),"")</f>
        <v/>
      </c>
    </row>
    <row r="3693">
      <c r="A3693" s="2" t="n"/>
      <c r="B3693">
        <f>LOWER(TRIM(A3693))</f>
        <v/>
      </c>
      <c r="C3693">
        <f>IF(B3693="","",IFERROR(INDEX('Bad Patterns'!$A$2:$A$120,MATCH(1,INDEX(--ISNUMBER(SEARCH('Bad Patterns'!$A$2:$A$120,B3693)),0),0)),""))</f>
        <v/>
      </c>
      <c r="D3693">
        <f>IF(B3693="","",IF(C3693&lt;&gt;"","REMOVE","KEEP"))</f>
        <v/>
      </c>
      <c r="E3693">
        <f>IF(D3693&lt;&gt;"KEEP","",IF(RIGHT(B3693,10)="@gmail.com","Gmail",IF(OR(RIGHT(B3693,12)="@outlook.com",RIGHT(B3693,12)="@hotmail.com",RIGHT(B3693,9)="@live.com"),"Outlook","Domain")))</f>
        <v/>
      </c>
      <c r="F3693">
        <f>IF(B3693="","",IFERROR(RIGHT(B3693,LEN(B3693)-FIND("@",B3693)),""))</f>
        <v/>
      </c>
      <c r="G3693">
        <f>IF(D3693="KEEP",COUNTIF($D$2:D3693,"KEEP"),"")</f>
        <v/>
      </c>
      <c r="H3693">
        <f>IF(D3693="REMOVE",COUNTIF($D$2:D3693,"REMOVE"),"")</f>
        <v/>
      </c>
      <c r="I3693">
        <f>IF(E3693="Gmail",COUNTIF($E$2:E3693,"Gmail"),"")</f>
        <v/>
      </c>
      <c r="J3693">
        <f>IF(E3693="Outlook",COUNTIF($E$2:E3693,"Outlook"),"")</f>
        <v/>
      </c>
      <c r="K3693">
        <f>IF(E3693="Domain",COUNTIF($E$2:E3693,"Domain"),"")</f>
        <v/>
      </c>
    </row>
    <row r="3694">
      <c r="A3694" s="2" t="n"/>
      <c r="B3694">
        <f>LOWER(TRIM(A3694))</f>
        <v/>
      </c>
      <c r="C3694">
        <f>IF(B3694="","",IFERROR(INDEX('Bad Patterns'!$A$2:$A$120,MATCH(1,INDEX(--ISNUMBER(SEARCH('Bad Patterns'!$A$2:$A$120,B3694)),0),0)),""))</f>
        <v/>
      </c>
      <c r="D3694">
        <f>IF(B3694="","",IF(C3694&lt;&gt;"","REMOVE","KEEP"))</f>
        <v/>
      </c>
      <c r="E3694">
        <f>IF(D3694&lt;&gt;"KEEP","",IF(RIGHT(B3694,10)="@gmail.com","Gmail",IF(OR(RIGHT(B3694,12)="@outlook.com",RIGHT(B3694,12)="@hotmail.com",RIGHT(B3694,9)="@live.com"),"Outlook","Domain")))</f>
        <v/>
      </c>
      <c r="F3694">
        <f>IF(B3694="","",IFERROR(RIGHT(B3694,LEN(B3694)-FIND("@",B3694)),""))</f>
        <v/>
      </c>
      <c r="G3694">
        <f>IF(D3694="KEEP",COUNTIF($D$2:D3694,"KEEP"),"")</f>
        <v/>
      </c>
      <c r="H3694">
        <f>IF(D3694="REMOVE",COUNTIF($D$2:D3694,"REMOVE"),"")</f>
        <v/>
      </c>
      <c r="I3694">
        <f>IF(E3694="Gmail",COUNTIF($E$2:E3694,"Gmail"),"")</f>
        <v/>
      </c>
      <c r="J3694">
        <f>IF(E3694="Outlook",COUNTIF($E$2:E3694,"Outlook"),"")</f>
        <v/>
      </c>
      <c r="K3694">
        <f>IF(E3694="Domain",COUNTIF($E$2:E3694,"Domain"),"")</f>
        <v/>
      </c>
    </row>
    <row r="3695">
      <c r="A3695" s="2" t="n"/>
      <c r="B3695">
        <f>LOWER(TRIM(A3695))</f>
        <v/>
      </c>
      <c r="C3695">
        <f>IF(B3695="","",IFERROR(INDEX('Bad Patterns'!$A$2:$A$120,MATCH(1,INDEX(--ISNUMBER(SEARCH('Bad Patterns'!$A$2:$A$120,B3695)),0),0)),""))</f>
        <v/>
      </c>
      <c r="D3695">
        <f>IF(B3695="","",IF(C3695&lt;&gt;"","REMOVE","KEEP"))</f>
        <v/>
      </c>
      <c r="E3695">
        <f>IF(D3695&lt;&gt;"KEEP","",IF(RIGHT(B3695,10)="@gmail.com","Gmail",IF(OR(RIGHT(B3695,12)="@outlook.com",RIGHT(B3695,12)="@hotmail.com",RIGHT(B3695,9)="@live.com"),"Outlook","Domain")))</f>
        <v/>
      </c>
      <c r="F3695">
        <f>IF(B3695="","",IFERROR(RIGHT(B3695,LEN(B3695)-FIND("@",B3695)),""))</f>
        <v/>
      </c>
      <c r="G3695">
        <f>IF(D3695="KEEP",COUNTIF($D$2:D3695,"KEEP"),"")</f>
        <v/>
      </c>
      <c r="H3695">
        <f>IF(D3695="REMOVE",COUNTIF($D$2:D3695,"REMOVE"),"")</f>
        <v/>
      </c>
      <c r="I3695">
        <f>IF(E3695="Gmail",COUNTIF($E$2:E3695,"Gmail"),"")</f>
        <v/>
      </c>
      <c r="J3695">
        <f>IF(E3695="Outlook",COUNTIF($E$2:E3695,"Outlook"),"")</f>
        <v/>
      </c>
      <c r="K3695">
        <f>IF(E3695="Domain",COUNTIF($E$2:E3695,"Domain"),"")</f>
        <v/>
      </c>
    </row>
    <row r="3696">
      <c r="A3696" s="2" t="n"/>
      <c r="B3696">
        <f>LOWER(TRIM(A3696))</f>
        <v/>
      </c>
      <c r="C3696">
        <f>IF(B3696="","",IFERROR(INDEX('Bad Patterns'!$A$2:$A$120,MATCH(1,INDEX(--ISNUMBER(SEARCH('Bad Patterns'!$A$2:$A$120,B3696)),0),0)),""))</f>
        <v/>
      </c>
      <c r="D3696">
        <f>IF(B3696="","",IF(C3696&lt;&gt;"","REMOVE","KEEP"))</f>
        <v/>
      </c>
      <c r="E3696">
        <f>IF(D3696&lt;&gt;"KEEP","",IF(RIGHT(B3696,10)="@gmail.com","Gmail",IF(OR(RIGHT(B3696,12)="@outlook.com",RIGHT(B3696,12)="@hotmail.com",RIGHT(B3696,9)="@live.com"),"Outlook","Domain")))</f>
        <v/>
      </c>
      <c r="F3696">
        <f>IF(B3696="","",IFERROR(RIGHT(B3696,LEN(B3696)-FIND("@",B3696)),""))</f>
        <v/>
      </c>
      <c r="G3696">
        <f>IF(D3696="KEEP",COUNTIF($D$2:D3696,"KEEP"),"")</f>
        <v/>
      </c>
      <c r="H3696">
        <f>IF(D3696="REMOVE",COUNTIF($D$2:D3696,"REMOVE"),"")</f>
        <v/>
      </c>
      <c r="I3696">
        <f>IF(E3696="Gmail",COUNTIF($E$2:E3696,"Gmail"),"")</f>
        <v/>
      </c>
      <c r="J3696">
        <f>IF(E3696="Outlook",COUNTIF($E$2:E3696,"Outlook"),"")</f>
        <v/>
      </c>
      <c r="K3696">
        <f>IF(E3696="Domain",COUNTIF($E$2:E3696,"Domain"),"")</f>
        <v/>
      </c>
    </row>
    <row r="3697">
      <c r="A3697" s="2" t="n"/>
      <c r="B3697">
        <f>LOWER(TRIM(A3697))</f>
        <v/>
      </c>
      <c r="C3697">
        <f>IF(B3697="","",IFERROR(INDEX('Bad Patterns'!$A$2:$A$120,MATCH(1,INDEX(--ISNUMBER(SEARCH('Bad Patterns'!$A$2:$A$120,B3697)),0),0)),""))</f>
        <v/>
      </c>
      <c r="D3697">
        <f>IF(B3697="","",IF(C3697&lt;&gt;"","REMOVE","KEEP"))</f>
        <v/>
      </c>
      <c r="E3697">
        <f>IF(D3697&lt;&gt;"KEEP","",IF(RIGHT(B3697,10)="@gmail.com","Gmail",IF(OR(RIGHT(B3697,12)="@outlook.com",RIGHT(B3697,12)="@hotmail.com",RIGHT(B3697,9)="@live.com"),"Outlook","Domain")))</f>
        <v/>
      </c>
      <c r="F3697">
        <f>IF(B3697="","",IFERROR(RIGHT(B3697,LEN(B3697)-FIND("@",B3697)),""))</f>
        <v/>
      </c>
      <c r="G3697">
        <f>IF(D3697="KEEP",COUNTIF($D$2:D3697,"KEEP"),"")</f>
        <v/>
      </c>
      <c r="H3697">
        <f>IF(D3697="REMOVE",COUNTIF($D$2:D3697,"REMOVE"),"")</f>
        <v/>
      </c>
      <c r="I3697">
        <f>IF(E3697="Gmail",COUNTIF($E$2:E3697,"Gmail"),"")</f>
        <v/>
      </c>
      <c r="J3697">
        <f>IF(E3697="Outlook",COUNTIF($E$2:E3697,"Outlook"),"")</f>
        <v/>
      </c>
      <c r="K3697">
        <f>IF(E3697="Domain",COUNTIF($E$2:E3697,"Domain"),"")</f>
        <v/>
      </c>
    </row>
    <row r="3698">
      <c r="A3698" s="2" t="n"/>
      <c r="B3698">
        <f>LOWER(TRIM(A3698))</f>
        <v/>
      </c>
      <c r="C3698">
        <f>IF(B3698="","",IFERROR(INDEX('Bad Patterns'!$A$2:$A$120,MATCH(1,INDEX(--ISNUMBER(SEARCH('Bad Patterns'!$A$2:$A$120,B3698)),0),0)),""))</f>
        <v/>
      </c>
      <c r="D3698">
        <f>IF(B3698="","",IF(C3698&lt;&gt;"","REMOVE","KEEP"))</f>
        <v/>
      </c>
      <c r="E3698">
        <f>IF(D3698&lt;&gt;"KEEP","",IF(RIGHT(B3698,10)="@gmail.com","Gmail",IF(OR(RIGHT(B3698,12)="@outlook.com",RIGHT(B3698,12)="@hotmail.com",RIGHT(B3698,9)="@live.com"),"Outlook","Domain")))</f>
        <v/>
      </c>
      <c r="F3698">
        <f>IF(B3698="","",IFERROR(RIGHT(B3698,LEN(B3698)-FIND("@",B3698)),""))</f>
        <v/>
      </c>
      <c r="G3698">
        <f>IF(D3698="KEEP",COUNTIF($D$2:D3698,"KEEP"),"")</f>
        <v/>
      </c>
      <c r="H3698">
        <f>IF(D3698="REMOVE",COUNTIF($D$2:D3698,"REMOVE"),"")</f>
        <v/>
      </c>
      <c r="I3698">
        <f>IF(E3698="Gmail",COUNTIF($E$2:E3698,"Gmail"),"")</f>
        <v/>
      </c>
      <c r="J3698">
        <f>IF(E3698="Outlook",COUNTIF($E$2:E3698,"Outlook"),"")</f>
        <v/>
      </c>
      <c r="K3698">
        <f>IF(E3698="Domain",COUNTIF($E$2:E3698,"Domain"),"")</f>
        <v/>
      </c>
    </row>
    <row r="3699">
      <c r="A3699" s="2" t="n"/>
      <c r="B3699">
        <f>LOWER(TRIM(A3699))</f>
        <v/>
      </c>
      <c r="C3699">
        <f>IF(B3699="","",IFERROR(INDEX('Bad Patterns'!$A$2:$A$120,MATCH(1,INDEX(--ISNUMBER(SEARCH('Bad Patterns'!$A$2:$A$120,B3699)),0),0)),""))</f>
        <v/>
      </c>
      <c r="D3699">
        <f>IF(B3699="","",IF(C3699&lt;&gt;"","REMOVE","KEEP"))</f>
        <v/>
      </c>
      <c r="E3699">
        <f>IF(D3699&lt;&gt;"KEEP","",IF(RIGHT(B3699,10)="@gmail.com","Gmail",IF(OR(RIGHT(B3699,12)="@outlook.com",RIGHT(B3699,12)="@hotmail.com",RIGHT(B3699,9)="@live.com"),"Outlook","Domain")))</f>
        <v/>
      </c>
      <c r="F3699">
        <f>IF(B3699="","",IFERROR(RIGHT(B3699,LEN(B3699)-FIND("@",B3699)),""))</f>
        <v/>
      </c>
      <c r="G3699">
        <f>IF(D3699="KEEP",COUNTIF($D$2:D3699,"KEEP"),"")</f>
        <v/>
      </c>
      <c r="H3699">
        <f>IF(D3699="REMOVE",COUNTIF($D$2:D3699,"REMOVE"),"")</f>
        <v/>
      </c>
      <c r="I3699">
        <f>IF(E3699="Gmail",COUNTIF($E$2:E3699,"Gmail"),"")</f>
        <v/>
      </c>
      <c r="J3699">
        <f>IF(E3699="Outlook",COUNTIF($E$2:E3699,"Outlook"),"")</f>
        <v/>
      </c>
      <c r="K3699">
        <f>IF(E3699="Domain",COUNTIF($E$2:E3699,"Domain"),"")</f>
        <v/>
      </c>
    </row>
    <row r="3700">
      <c r="A3700" s="2" t="n"/>
      <c r="B3700">
        <f>LOWER(TRIM(A3700))</f>
        <v/>
      </c>
      <c r="C3700">
        <f>IF(B3700="","",IFERROR(INDEX('Bad Patterns'!$A$2:$A$120,MATCH(1,INDEX(--ISNUMBER(SEARCH('Bad Patterns'!$A$2:$A$120,B3700)),0),0)),""))</f>
        <v/>
      </c>
      <c r="D3700">
        <f>IF(B3700="","",IF(C3700&lt;&gt;"","REMOVE","KEEP"))</f>
        <v/>
      </c>
      <c r="E3700">
        <f>IF(D3700&lt;&gt;"KEEP","",IF(RIGHT(B3700,10)="@gmail.com","Gmail",IF(OR(RIGHT(B3700,12)="@outlook.com",RIGHT(B3700,12)="@hotmail.com",RIGHT(B3700,9)="@live.com"),"Outlook","Domain")))</f>
        <v/>
      </c>
      <c r="F3700">
        <f>IF(B3700="","",IFERROR(RIGHT(B3700,LEN(B3700)-FIND("@",B3700)),""))</f>
        <v/>
      </c>
      <c r="G3700">
        <f>IF(D3700="KEEP",COUNTIF($D$2:D3700,"KEEP"),"")</f>
        <v/>
      </c>
      <c r="H3700">
        <f>IF(D3700="REMOVE",COUNTIF($D$2:D3700,"REMOVE"),"")</f>
        <v/>
      </c>
      <c r="I3700">
        <f>IF(E3700="Gmail",COUNTIF($E$2:E3700,"Gmail"),"")</f>
        <v/>
      </c>
      <c r="J3700">
        <f>IF(E3700="Outlook",COUNTIF($E$2:E3700,"Outlook"),"")</f>
        <v/>
      </c>
      <c r="K3700">
        <f>IF(E3700="Domain",COUNTIF($E$2:E3700,"Domain"),"")</f>
        <v/>
      </c>
    </row>
    <row r="3701">
      <c r="A3701" s="2" t="n"/>
      <c r="B3701">
        <f>LOWER(TRIM(A3701))</f>
        <v/>
      </c>
      <c r="C3701">
        <f>IF(B3701="","",IFERROR(INDEX('Bad Patterns'!$A$2:$A$120,MATCH(1,INDEX(--ISNUMBER(SEARCH('Bad Patterns'!$A$2:$A$120,B3701)),0),0)),""))</f>
        <v/>
      </c>
      <c r="D3701">
        <f>IF(B3701="","",IF(C3701&lt;&gt;"","REMOVE","KEEP"))</f>
        <v/>
      </c>
      <c r="E3701">
        <f>IF(D3701&lt;&gt;"KEEP","",IF(RIGHT(B3701,10)="@gmail.com","Gmail",IF(OR(RIGHT(B3701,12)="@outlook.com",RIGHT(B3701,12)="@hotmail.com",RIGHT(B3701,9)="@live.com"),"Outlook","Domain")))</f>
        <v/>
      </c>
      <c r="F3701">
        <f>IF(B3701="","",IFERROR(RIGHT(B3701,LEN(B3701)-FIND("@",B3701)),""))</f>
        <v/>
      </c>
      <c r="G3701">
        <f>IF(D3701="KEEP",COUNTIF($D$2:D3701,"KEEP"),"")</f>
        <v/>
      </c>
      <c r="H3701">
        <f>IF(D3701="REMOVE",COUNTIF($D$2:D3701,"REMOVE"),"")</f>
        <v/>
      </c>
      <c r="I3701">
        <f>IF(E3701="Gmail",COUNTIF($E$2:E3701,"Gmail"),"")</f>
        <v/>
      </c>
      <c r="J3701">
        <f>IF(E3701="Outlook",COUNTIF($E$2:E3701,"Outlook"),"")</f>
        <v/>
      </c>
      <c r="K3701">
        <f>IF(E3701="Domain",COUNTIF($E$2:E3701,"Domain"),"")</f>
        <v/>
      </c>
    </row>
    <row r="3702">
      <c r="A3702" s="2" t="n"/>
      <c r="B3702">
        <f>LOWER(TRIM(A3702))</f>
        <v/>
      </c>
      <c r="C3702">
        <f>IF(B3702="","",IFERROR(INDEX('Bad Patterns'!$A$2:$A$120,MATCH(1,INDEX(--ISNUMBER(SEARCH('Bad Patterns'!$A$2:$A$120,B3702)),0),0)),""))</f>
        <v/>
      </c>
      <c r="D3702">
        <f>IF(B3702="","",IF(C3702&lt;&gt;"","REMOVE","KEEP"))</f>
        <v/>
      </c>
      <c r="E3702">
        <f>IF(D3702&lt;&gt;"KEEP","",IF(RIGHT(B3702,10)="@gmail.com","Gmail",IF(OR(RIGHT(B3702,12)="@outlook.com",RIGHT(B3702,12)="@hotmail.com",RIGHT(B3702,9)="@live.com"),"Outlook","Domain")))</f>
        <v/>
      </c>
      <c r="F3702">
        <f>IF(B3702="","",IFERROR(RIGHT(B3702,LEN(B3702)-FIND("@",B3702)),""))</f>
        <v/>
      </c>
      <c r="G3702">
        <f>IF(D3702="KEEP",COUNTIF($D$2:D3702,"KEEP"),"")</f>
        <v/>
      </c>
      <c r="H3702">
        <f>IF(D3702="REMOVE",COUNTIF($D$2:D3702,"REMOVE"),"")</f>
        <v/>
      </c>
      <c r="I3702">
        <f>IF(E3702="Gmail",COUNTIF($E$2:E3702,"Gmail"),"")</f>
        <v/>
      </c>
      <c r="J3702">
        <f>IF(E3702="Outlook",COUNTIF($E$2:E3702,"Outlook"),"")</f>
        <v/>
      </c>
      <c r="K3702">
        <f>IF(E3702="Domain",COUNTIF($E$2:E3702,"Domain"),"")</f>
        <v/>
      </c>
    </row>
    <row r="3703">
      <c r="A3703" s="2" t="n"/>
      <c r="B3703">
        <f>LOWER(TRIM(A3703))</f>
        <v/>
      </c>
      <c r="C3703">
        <f>IF(B3703="","",IFERROR(INDEX('Bad Patterns'!$A$2:$A$120,MATCH(1,INDEX(--ISNUMBER(SEARCH('Bad Patterns'!$A$2:$A$120,B3703)),0),0)),""))</f>
        <v/>
      </c>
      <c r="D3703">
        <f>IF(B3703="","",IF(C3703&lt;&gt;"","REMOVE","KEEP"))</f>
        <v/>
      </c>
      <c r="E3703">
        <f>IF(D3703&lt;&gt;"KEEP","",IF(RIGHT(B3703,10)="@gmail.com","Gmail",IF(OR(RIGHT(B3703,12)="@outlook.com",RIGHT(B3703,12)="@hotmail.com",RIGHT(B3703,9)="@live.com"),"Outlook","Domain")))</f>
        <v/>
      </c>
      <c r="F3703">
        <f>IF(B3703="","",IFERROR(RIGHT(B3703,LEN(B3703)-FIND("@",B3703)),""))</f>
        <v/>
      </c>
      <c r="G3703">
        <f>IF(D3703="KEEP",COUNTIF($D$2:D3703,"KEEP"),"")</f>
        <v/>
      </c>
      <c r="H3703">
        <f>IF(D3703="REMOVE",COUNTIF($D$2:D3703,"REMOVE"),"")</f>
        <v/>
      </c>
      <c r="I3703">
        <f>IF(E3703="Gmail",COUNTIF($E$2:E3703,"Gmail"),"")</f>
        <v/>
      </c>
      <c r="J3703">
        <f>IF(E3703="Outlook",COUNTIF($E$2:E3703,"Outlook"),"")</f>
        <v/>
      </c>
      <c r="K3703">
        <f>IF(E3703="Domain",COUNTIF($E$2:E3703,"Domain"),"")</f>
        <v/>
      </c>
    </row>
    <row r="3704">
      <c r="A3704" s="2" t="n"/>
      <c r="B3704">
        <f>LOWER(TRIM(A3704))</f>
        <v/>
      </c>
      <c r="C3704">
        <f>IF(B3704="","",IFERROR(INDEX('Bad Patterns'!$A$2:$A$120,MATCH(1,INDEX(--ISNUMBER(SEARCH('Bad Patterns'!$A$2:$A$120,B3704)),0),0)),""))</f>
        <v/>
      </c>
      <c r="D3704">
        <f>IF(B3704="","",IF(C3704&lt;&gt;"","REMOVE","KEEP"))</f>
        <v/>
      </c>
      <c r="E3704">
        <f>IF(D3704&lt;&gt;"KEEP","",IF(RIGHT(B3704,10)="@gmail.com","Gmail",IF(OR(RIGHT(B3704,12)="@outlook.com",RIGHT(B3704,12)="@hotmail.com",RIGHT(B3704,9)="@live.com"),"Outlook","Domain")))</f>
        <v/>
      </c>
      <c r="F3704">
        <f>IF(B3704="","",IFERROR(RIGHT(B3704,LEN(B3704)-FIND("@",B3704)),""))</f>
        <v/>
      </c>
      <c r="G3704">
        <f>IF(D3704="KEEP",COUNTIF($D$2:D3704,"KEEP"),"")</f>
        <v/>
      </c>
      <c r="H3704">
        <f>IF(D3704="REMOVE",COUNTIF($D$2:D3704,"REMOVE"),"")</f>
        <v/>
      </c>
      <c r="I3704">
        <f>IF(E3704="Gmail",COUNTIF($E$2:E3704,"Gmail"),"")</f>
        <v/>
      </c>
      <c r="J3704">
        <f>IF(E3704="Outlook",COUNTIF($E$2:E3704,"Outlook"),"")</f>
        <v/>
      </c>
      <c r="K3704">
        <f>IF(E3704="Domain",COUNTIF($E$2:E3704,"Domain"),"")</f>
        <v/>
      </c>
    </row>
    <row r="3705">
      <c r="A3705" s="2" t="n"/>
      <c r="B3705">
        <f>LOWER(TRIM(A3705))</f>
        <v/>
      </c>
      <c r="C3705">
        <f>IF(B3705="","",IFERROR(INDEX('Bad Patterns'!$A$2:$A$120,MATCH(1,INDEX(--ISNUMBER(SEARCH('Bad Patterns'!$A$2:$A$120,B3705)),0),0)),""))</f>
        <v/>
      </c>
      <c r="D3705">
        <f>IF(B3705="","",IF(C3705&lt;&gt;"","REMOVE","KEEP"))</f>
        <v/>
      </c>
      <c r="E3705">
        <f>IF(D3705&lt;&gt;"KEEP","",IF(RIGHT(B3705,10)="@gmail.com","Gmail",IF(OR(RIGHT(B3705,12)="@outlook.com",RIGHT(B3705,12)="@hotmail.com",RIGHT(B3705,9)="@live.com"),"Outlook","Domain")))</f>
        <v/>
      </c>
      <c r="F3705">
        <f>IF(B3705="","",IFERROR(RIGHT(B3705,LEN(B3705)-FIND("@",B3705)),""))</f>
        <v/>
      </c>
      <c r="G3705">
        <f>IF(D3705="KEEP",COUNTIF($D$2:D3705,"KEEP"),"")</f>
        <v/>
      </c>
      <c r="H3705">
        <f>IF(D3705="REMOVE",COUNTIF($D$2:D3705,"REMOVE"),"")</f>
        <v/>
      </c>
      <c r="I3705">
        <f>IF(E3705="Gmail",COUNTIF($E$2:E3705,"Gmail"),"")</f>
        <v/>
      </c>
      <c r="J3705">
        <f>IF(E3705="Outlook",COUNTIF($E$2:E3705,"Outlook"),"")</f>
        <v/>
      </c>
      <c r="K3705">
        <f>IF(E3705="Domain",COUNTIF($E$2:E3705,"Domain"),"")</f>
        <v/>
      </c>
    </row>
    <row r="3706">
      <c r="A3706" s="2" t="n"/>
      <c r="B3706">
        <f>LOWER(TRIM(A3706))</f>
        <v/>
      </c>
      <c r="C3706">
        <f>IF(B3706="","",IFERROR(INDEX('Bad Patterns'!$A$2:$A$120,MATCH(1,INDEX(--ISNUMBER(SEARCH('Bad Patterns'!$A$2:$A$120,B3706)),0),0)),""))</f>
        <v/>
      </c>
      <c r="D3706">
        <f>IF(B3706="","",IF(C3706&lt;&gt;"","REMOVE","KEEP"))</f>
        <v/>
      </c>
      <c r="E3706">
        <f>IF(D3706&lt;&gt;"KEEP","",IF(RIGHT(B3706,10)="@gmail.com","Gmail",IF(OR(RIGHT(B3706,12)="@outlook.com",RIGHT(B3706,12)="@hotmail.com",RIGHT(B3706,9)="@live.com"),"Outlook","Domain")))</f>
        <v/>
      </c>
      <c r="F3706">
        <f>IF(B3706="","",IFERROR(RIGHT(B3706,LEN(B3706)-FIND("@",B3706)),""))</f>
        <v/>
      </c>
      <c r="G3706">
        <f>IF(D3706="KEEP",COUNTIF($D$2:D3706,"KEEP"),"")</f>
        <v/>
      </c>
      <c r="H3706">
        <f>IF(D3706="REMOVE",COUNTIF($D$2:D3706,"REMOVE"),"")</f>
        <v/>
      </c>
      <c r="I3706">
        <f>IF(E3706="Gmail",COUNTIF($E$2:E3706,"Gmail"),"")</f>
        <v/>
      </c>
      <c r="J3706">
        <f>IF(E3706="Outlook",COUNTIF($E$2:E3706,"Outlook"),"")</f>
        <v/>
      </c>
      <c r="K3706">
        <f>IF(E3706="Domain",COUNTIF($E$2:E3706,"Domain"),"")</f>
        <v/>
      </c>
    </row>
    <row r="3707">
      <c r="A3707" s="2" t="n"/>
      <c r="B3707">
        <f>LOWER(TRIM(A3707))</f>
        <v/>
      </c>
      <c r="C3707">
        <f>IF(B3707="","",IFERROR(INDEX('Bad Patterns'!$A$2:$A$120,MATCH(1,INDEX(--ISNUMBER(SEARCH('Bad Patterns'!$A$2:$A$120,B3707)),0),0)),""))</f>
        <v/>
      </c>
      <c r="D3707">
        <f>IF(B3707="","",IF(C3707&lt;&gt;"","REMOVE","KEEP"))</f>
        <v/>
      </c>
      <c r="E3707">
        <f>IF(D3707&lt;&gt;"KEEP","",IF(RIGHT(B3707,10)="@gmail.com","Gmail",IF(OR(RIGHT(B3707,12)="@outlook.com",RIGHT(B3707,12)="@hotmail.com",RIGHT(B3707,9)="@live.com"),"Outlook","Domain")))</f>
        <v/>
      </c>
      <c r="F3707">
        <f>IF(B3707="","",IFERROR(RIGHT(B3707,LEN(B3707)-FIND("@",B3707)),""))</f>
        <v/>
      </c>
      <c r="G3707">
        <f>IF(D3707="KEEP",COUNTIF($D$2:D3707,"KEEP"),"")</f>
        <v/>
      </c>
      <c r="H3707">
        <f>IF(D3707="REMOVE",COUNTIF($D$2:D3707,"REMOVE"),"")</f>
        <v/>
      </c>
      <c r="I3707">
        <f>IF(E3707="Gmail",COUNTIF($E$2:E3707,"Gmail"),"")</f>
        <v/>
      </c>
      <c r="J3707">
        <f>IF(E3707="Outlook",COUNTIF($E$2:E3707,"Outlook"),"")</f>
        <v/>
      </c>
      <c r="K3707">
        <f>IF(E3707="Domain",COUNTIF($E$2:E3707,"Domain"),"")</f>
        <v/>
      </c>
    </row>
    <row r="3708">
      <c r="A3708" s="2" t="n"/>
      <c r="B3708">
        <f>LOWER(TRIM(A3708))</f>
        <v/>
      </c>
      <c r="C3708">
        <f>IF(B3708="","",IFERROR(INDEX('Bad Patterns'!$A$2:$A$120,MATCH(1,INDEX(--ISNUMBER(SEARCH('Bad Patterns'!$A$2:$A$120,B3708)),0),0)),""))</f>
        <v/>
      </c>
      <c r="D3708">
        <f>IF(B3708="","",IF(C3708&lt;&gt;"","REMOVE","KEEP"))</f>
        <v/>
      </c>
      <c r="E3708">
        <f>IF(D3708&lt;&gt;"KEEP","",IF(RIGHT(B3708,10)="@gmail.com","Gmail",IF(OR(RIGHT(B3708,12)="@outlook.com",RIGHT(B3708,12)="@hotmail.com",RIGHT(B3708,9)="@live.com"),"Outlook","Domain")))</f>
        <v/>
      </c>
      <c r="F3708">
        <f>IF(B3708="","",IFERROR(RIGHT(B3708,LEN(B3708)-FIND("@",B3708)),""))</f>
        <v/>
      </c>
      <c r="G3708">
        <f>IF(D3708="KEEP",COUNTIF($D$2:D3708,"KEEP"),"")</f>
        <v/>
      </c>
      <c r="H3708">
        <f>IF(D3708="REMOVE",COUNTIF($D$2:D3708,"REMOVE"),"")</f>
        <v/>
      </c>
      <c r="I3708">
        <f>IF(E3708="Gmail",COUNTIF($E$2:E3708,"Gmail"),"")</f>
        <v/>
      </c>
      <c r="J3708">
        <f>IF(E3708="Outlook",COUNTIF($E$2:E3708,"Outlook"),"")</f>
        <v/>
      </c>
      <c r="K3708">
        <f>IF(E3708="Domain",COUNTIF($E$2:E3708,"Domain"),"")</f>
        <v/>
      </c>
    </row>
    <row r="3709">
      <c r="A3709" s="2" t="n"/>
      <c r="B3709">
        <f>LOWER(TRIM(A3709))</f>
        <v/>
      </c>
      <c r="C3709">
        <f>IF(B3709="","",IFERROR(INDEX('Bad Patterns'!$A$2:$A$120,MATCH(1,INDEX(--ISNUMBER(SEARCH('Bad Patterns'!$A$2:$A$120,B3709)),0),0)),""))</f>
        <v/>
      </c>
      <c r="D3709">
        <f>IF(B3709="","",IF(C3709&lt;&gt;"","REMOVE","KEEP"))</f>
        <v/>
      </c>
      <c r="E3709">
        <f>IF(D3709&lt;&gt;"KEEP","",IF(RIGHT(B3709,10)="@gmail.com","Gmail",IF(OR(RIGHT(B3709,12)="@outlook.com",RIGHT(B3709,12)="@hotmail.com",RIGHT(B3709,9)="@live.com"),"Outlook","Domain")))</f>
        <v/>
      </c>
      <c r="F3709">
        <f>IF(B3709="","",IFERROR(RIGHT(B3709,LEN(B3709)-FIND("@",B3709)),""))</f>
        <v/>
      </c>
      <c r="G3709">
        <f>IF(D3709="KEEP",COUNTIF($D$2:D3709,"KEEP"),"")</f>
        <v/>
      </c>
      <c r="H3709">
        <f>IF(D3709="REMOVE",COUNTIF($D$2:D3709,"REMOVE"),"")</f>
        <v/>
      </c>
      <c r="I3709">
        <f>IF(E3709="Gmail",COUNTIF($E$2:E3709,"Gmail"),"")</f>
        <v/>
      </c>
      <c r="J3709">
        <f>IF(E3709="Outlook",COUNTIF($E$2:E3709,"Outlook"),"")</f>
        <v/>
      </c>
      <c r="K3709">
        <f>IF(E3709="Domain",COUNTIF($E$2:E3709,"Domain"),"")</f>
        <v/>
      </c>
    </row>
    <row r="3710">
      <c r="A3710" s="2" t="n"/>
      <c r="B3710">
        <f>LOWER(TRIM(A3710))</f>
        <v/>
      </c>
      <c r="C3710">
        <f>IF(B3710="","",IFERROR(INDEX('Bad Patterns'!$A$2:$A$120,MATCH(1,INDEX(--ISNUMBER(SEARCH('Bad Patterns'!$A$2:$A$120,B3710)),0),0)),""))</f>
        <v/>
      </c>
      <c r="D3710">
        <f>IF(B3710="","",IF(C3710&lt;&gt;"","REMOVE","KEEP"))</f>
        <v/>
      </c>
      <c r="E3710">
        <f>IF(D3710&lt;&gt;"KEEP","",IF(RIGHT(B3710,10)="@gmail.com","Gmail",IF(OR(RIGHT(B3710,12)="@outlook.com",RIGHT(B3710,12)="@hotmail.com",RIGHT(B3710,9)="@live.com"),"Outlook","Domain")))</f>
        <v/>
      </c>
      <c r="F3710">
        <f>IF(B3710="","",IFERROR(RIGHT(B3710,LEN(B3710)-FIND("@",B3710)),""))</f>
        <v/>
      </c>
      <c r="G3710">
        <f>IF(D3710="KEEP",COUNTIF($D$2:D3710,"KEEP"),"")</f>
        <v/>
      </c>
      <c r="H3710">
        <f>IF(D3710="REMOVE",COUNTIF($D$2:D3710,"REMOVE"),"")</f>
        <v/>
      </c>
      <c r="I3710">
        <f>IF(E3710="Gmail",COUNTIF($E$2:E3710,"Gmail"),"")</f>
        <v/>
      </c>
      <c r="J3710">
        <f>IF(E3710="Outlook",COUNTIF($E$2:E3710,"Outlook"),"")</f>
        <v/>
      </c>
      <c r="K3710">
        <f>IF(E3710="Domain",COUNTIF($E$2:E3710,"Domain"),"")</f>
        <v/>
      </c>
    </row>
    <row r="3711">
      <c r="A3711" s="2" t="n"/>
      <c r="B3711">
        <f>LOWER(TRIM(A3711))</f>
        <v/>
      </c>
      <c r="C3711">
        <f>IF(B3711="","",IFERROR(INDEX('Bad Patterns'!$A$2:$A$120,MATCH(1,INDEX(--ISNUMBER(SEARCH('Bad Patterns'!$A$2:$A$120,B3711)),0),0)),""))</f>
        <v/>
      </c>
      <c r="D3711">
        <f>IF(B3711="","",IF(C3711&lt;&gt;"","REMOVE","KEEP"))</f>
        <v/>
      </c>
      <c r="E3711">
        <f>IF(D3711&lt;&gt;"KEEP","",IF(RIGHT(B3711,10)="@gmail.com","Gmail",IF(OR(RIGHT(B3711,12)="@outlook.com",RIGHT(B3711,12)="@hotmail.com",RIGHT(B3711,9)="@live.com"),"Outlook","Domain")))</f>
        <v/>
      </c>
      <c r="F3711">
        <f>IF(B3711="","",IFERROR(RIGHT(B3711,LEN(B3711)-FIND("@",B3711)),""))</f>
        <v/>
      </c>
      <c r="G3711">
        <f>IF(D3711="KEEP",COUNTIF($D$2:D3711,"KEEP"),"")</f>
        <v/>
      </c>
      <c r="H3711">
        <f>IF(D3711="REMOVE",COUNTIF($D$2:D3711,"REMOVE"),"")</f>
        <v/>
      </c>
      <c r="I3711">
        <f>IF(E3711="Gmail",COUNTIF($E$2:E3711,"Gmail"),"")</f>
        <v/>
      </c>
      <c r="J3711">
        <f>IF(E3711="Outlook",COUNTIF($E$2:E3711,"Outlook"),"")</f>
        <v/>
      </c>
      <c r="K3711">
        <f>IF(E3711="Domain",COUNTIF($E$2:E3711,"Domain"),"")</f>
        <v/>
      </c>
    </row>
    <row r="3712">
      <c r="A3712" s="2" t="n"/>
      <c r="B3712">
        <f>LOWER(TRIM(A3712))</f>
        <v/>
      </c>
      <c r="C3712">
        <f>IF(B3712="","",IFERROR(INDEX('Bad Patterns'!$A$2:$A$120,MATCH(1,INDEX(--ISNUMBER(SEARCH('Bad Patterns'!$A$2:$A$120,B3712)),0),0)),""))</f>
        <v/>
      </c>
      <c r="D3712">
        <f>IF(B3712="","",IF(C3712&lt;&gt;"","REMOVE","KEEP"))</f>
        <v/>
      </c>
      <c r="E3712">
        <f>IF(D3712&lt;&gt;"KEEP","",IF(RIGHT(B3712,10)="@gmail.com","Gmail",IF(OR(RIGHT(B3712,12)="@outlook.com",RIGHT(B3712,12)="@hotmail.com",RIGHT(B3712,9)="@live.com"),"Outlook","Domain")))</f>
        <v/>
      </c>
      <c r="F3712">
        <f>IF(B3712="","",IFERROR(RIGHT(B3712,LEN(B3712)-FIND("@",B3712)),""))</f>
        <v/>
      </c>
      <c r="G3712">
        <f>IF(D3712="KEEP",COUNTIF($D$2:D3712,"KEEP"),"")</f>
        <v/>
      </c>
      <c r="H3712">
        <f>IF(D3712="REMOVE",COUNTIF($D$2:D3712,"REMOVE"),"")</f>
        <v/>
      </c>
      <c r="I3712">
        <f>IF(E3712="Gmail",COUNTIF($E$2:E3712,"Gmail"),"")</f>
        <v/>
      </c>
      <c r="J3712">
        <f>IF(E3712="Outlook",COUNTIF($E$2:E3712,"Outlook"),"")</f>
        <v/>
      </c>
      <c r="K3712">
        <f>IF(E3712="Domain",COUNTIF($E$2:E3712,"Domain"),"")</f>
        <v/>
      </c>
    </row>
    <row r="3713">
      <c r="A3713" s="2" t="n"/>
      <c r="B3713">
        <f>LOWER(TRIM(A3713))</f>
        <v/>
      </c>
      <c r="C3713">
        <f>IF(B3713="","",IFERROR(INDEX('Bad Patterns'!$A$2:$A$120,MATCH(1,INDEX(--ISNUMBER(SEARCH('Bad Patterns'!$A$2:$A$120,B3713)),0),0)),""))</f>
        <v/>
      </c>
      <c r="D3713">
        <f>IF(B3713="","",IF(C3713&lt;&gt;"","REMOVE","KEEP"))</f>
        <v/>
      </c>
      <c r="E3713">
        <f>IF(D3713&lt;&gt;"KEEP","",IF(RIGHT(B3713,10)="@gmail.com","Gmail",IF(OR(RIGHT(B3713,12)="@outlook.com",RIGHT(B3713,12)="@hotmail.com",RIGHT(B3713,9)="@live.com"),"Outlook","Domain")))</f>
        <v/>
      </c>
      <c r="F3713">
        <f>IF(B3713="","",IFERROR(RIGHT(B3713,LEN(B3713)-FIND("@",B3713)),""))</f>
        <v/>
      </c>
      <c r="G3713">
        <f>IF(D3713="KEEP",COUNTIF($D$2:D3713,"KEEP"),"")</f>
        <v/>
      </c>
      <c r="H3713">
        <f>IF(D3713="REMOVE",COUNTIF($D$2:D3713,"REMOVE"),"")</f>
        <v/>
      </c>
      <c r="I3713">
        <f>IF(E3713="Gmail",COUNTIF($E$2:E3713,"Gmail"),"")</f>
        <v/>
      </c>
      <c r="J3713">
        <f>IF(E3713="Outlook",COUNTIF($E$2:E3713,"Outlook"),"")</f>
        <v/>
      </c>
      <c r="K3713">
        <f>IF(E3713="Domain",COUNTIF($E$2:E3713,"Domain"),"")</f>
        <v/>
      </c>
    </row>
    <row r="3714">
      <c r="A3714" s="2" t="n"/>
      <c r="B3714">
        <f>LOWER(TRIM(A3714))</f>
        <v/>
      </c>
      <c r="C3714">
        <f>IF(B3714="","",IFERROR(INDEX('Bad Patterns'!$A$2:$A$120,MATCH(1,INDEX(--ISNUMBER(SEARCH('Bad Patterns'!$A$2:$A$120,B3714)),0),0)),""))</f>
        <v/>
      </c>
      <c r="D3714">
        <f>IF(B3714="","",IF(C3714&lt;&gt;"","REMOVE","KEEP"))</f>
        <v/>
      </c>
      <c r="E3714">
        <f>IF(D3714&lt;&gt;"KEEP","",IF(RIGHT(B3714,10)="@gmail.com","Gmail",IF(OR(RIGHT(B3714,12)="@outlook.com",RIGHT(B3714,12)="@hotmail.com",RIGHT(B3714,9)="@live.com"),"Outlook","Domain")))</f>
        <v/>
      </c>
      <c r="F3714">
        <f>IF(B3714="","",IFERROR(RIGHT(B3714,LEN(B3714)-FIND("@",B3714)),""))</f>
        <v/>
      </c>
      <c r="G3714">
        <f>IF(D3714="KEEP",COUNTIF($D$2:D3714,"KEEP"),"")</f>
        <v/>
      </c>
      <c r="H3714">
        <f>IF(D3714="REMOVE",COUNTIF($D$2:D3714,"REMOVE"),"")</f>
        <v/>
      </c>
      <c r="I3714">
        <f>IF(E3714="Gmail",COUNTIF($E$2:E3714,"Gmail"),"")</f>
        <v/>
      </c>
      <c r="J3714">
        <f>IF(E3714="Outlook",COUNTIF($E$2:E3714,"Outlook"),"")</f>
        <v/>
      </c>
      <c r="K3714">
        <f>IF(E3714="Domain",COUNTIF($E$2:E3714,"Domain"),"")</f>
        <v/>
      </c>
    </row>
    <row r="3715">
      <c r="A3715" s="2" t="n"/>
      <c r="B3715">
        <f>LOWER(TRIM(A3715))</f>
        <v/>
      </c>
      <c r="C3715">
        <f>IF(B3715="","",IFERROR(INDEX('Bad Patterns'!$A$2:$A$120,MATCH(1,INDEX(--ISNUMBER(SEARCH('Bad Patterns'!$A$2:$A$120,B3715)),0),0)),""))</f>
        <v/>
      </c>
      <c r="D3715">
        <f>IF(B3715="","",IF(C3715&lt;&gt;"","REMOVE","KEEP"))</f>
        <v/>
      </c>
      <c r="E3715">
        <f>IF(D3715&lt;&gt;"KEEP","",IF(RIGHT(B3715,10)="@gmail.com","Gmail",IF(OR(RIGHT(B3715,12)="@outlook.com",RIGHT(B3715,12)="@hotmail.com",RIGHT(B3715,9)="@live.com"),"Outlook","Domain")))</f>
        <v/>
      </c>
      <c r="F3715">
        <f>IF(B3715="","",IFERROR(RIGHT(B3715,LEN(B3715)-FIND("@",B3715)),""))</f>
        <v/>
      </c>
      <c r="G3715">
        <f>IF(D3715="KEEP",COUNTIF($D$2:D3715,"KEEP"),"")</f>
        <v/>
      </c>
      <c r="H3715">
        <f>IF(D3715="REMOVE",COUNTIF($D$2:D3715,"REMOVE"),"")</f>
        <v/>
      </c>
      <c r="I3715">
        <f>IF(E3715="Gmail",COUNTIF($E$2:E3715,"Gmail"),"")</f>
        <v/>
      </c>
      <c r="J3715">
        <f>IF(E3715="Outlook",COUNTIF($E$2:E3715,"Outlook"),"")</f>
        <v/>
      </c>
      <c r="K3715">
        <f>IF(E3715="Domain",COUNTIF($E$2:E3715,"Domain"),"")</f>
        <v/>
      </c>
    </row>
    <row r="3716">
      <c r="A3716" s="2" t="n"/>
      <c r="B3716">
        <f>LOWER(TRIM(A3716))</f>
        <v/>
      </c>
      <c r="C3716">
        <f>IF(B3716="","",IFERROR(INDEX('Bad Patterns'!$A$2:$A$120,MATCH(1,INDEX(--ISNUMBER(SEARCH('Bad Patterns'!$A$2:$A$120,B3716)),0),0)),""))</f>
        <v/>
      </c>
      <c r="D3716">
        <f>IF(B3716="","",IF(C3716&lt;&gt;"","REMOVE","KEEP"))</f>
        <v/>
      </c>
      <c r="E3716">
        <f>IF(D3716&lt;&gt;"KEEP","",IF(RIGHT(B3716,10)="@gmail.com","Gmail",IF(OR(RIGHT(B3716,12)="@outlook.com",RIGHT(B3716,12)="@hotmail.com",RIGHT(B3716,9)="@live.com"),"Outlook","Domain")))</f>
        <v/>
      </c>
      <c r="F3716">
        <f>IF(B3716="","",IFERROR(RIGHT(B3716,LEN(B3716)-FIND("@",B3716)),""))</f>
        <v/>
      </c>
      <c r="G3716">
        <f>IF(D3716="KEEP",COUNTIF($D$2:D3716,"KEEP"),"")</f>
        <v/>
      </c>
      <c r="H3716">
        <f>IF(D3716="REMOVE",COUNTIF($D$2:D3716,"REMOVE"),"")</f>
        <v/>
      </c>
      <c r="I3716">
        <f>IF(E3716="Gmail",COUNTIF($E$2:E3716,"Gmail"),"")</f>
        <v/>
      </c>
      <c r="J3716">
        <f>IF(E3716="Outlook",COUNTIF($E$2:E3716,"Outlook"),"")</f>
        <v/>
      </c>
      <c r="K3716">
        <f>IF(E3716="Domain",COUNTIF($E$2:E3716,"Domain"),"")</f>
        <v/>
      </c>
    </row>
    <row r="3717">
      <c r="A3717" s="2" t="n"/>
      <c r="B3717">
        <f>LOWER(TRIM(A3717))</f>
        <v/>
      </c>
      <c r="C3717">
        <f>IF(B3717="","",IFERROR(INDEX('Bad Patterns'!$A$2:$A$120,MATCH(1,INDEX(--ISNUMBER(SEARCH('Bad Patterns'!$A$2:$A$120,B3717)),0),0)),""))</f>
        <v/>
      </c>
      <c r="D3717">
        <f>IF(B3717="","",IF(C3717&lt;&gt;"","REMOVE","KEEP"))</f>
        <v/>
      </c>
      <c r="E3717">
        <f>IF(D3717&lt;&gt;"KEEP","",IF(RIGHT(B3717,10)="@gmail.com","Gmail",IF(OR(RIGHT(B3717,12)="@outlook.com",RIGHT(B3717,12)="@hotmail.com",RIGHT(B3717,9)="@live.com"),"Outlook","Domain")))</f>
        <v/>
      </c>
      <c r="F3717">
        <f>IF(B3717="","",IFERROR(RIGHT(B3717,LEN(B3717)-FIND("@",B3717)),""))</f>
        <v/>
      </c>
      <c r="G3717">
        <f>IF(D3717="KEEP",COUNTIF($D$2:D3717,"KEEP"),"")</f>
        <v/>
      </c>
      <c r="H3717">
        <f>IF(D3717="REMOVE",COUNTIF($D$2:D3717,"REMOVE"),"")</f>
        <v/>
      </c>
      <c r="I3717">
        <f>IF(E3717="Gmail",COUNTIF($E$2:E3717,"Gmail"),"")</f>
        <v/>
      </c>
      <c r="J3717">
        <f>IF(E3717="Outlook",COUNTIF($E$2:E3717,"Outlook"),"")</f>
        <v/>
      </c>
      <c r="K3717">
        <f>IF(E3717="Domain",COUNTIF($E$2:E3717,"Domain"),"")</f>
        <v/>
      </c>
    </row>
    <row r="3718">
      <c r="A3718" s="2" t="n"/>
      <c r="B3718">
        <f>LOWER(TRIM(A3718))</f>
        <v/>
      </c>
      <c r="C3718">
        <f>IF(B3718="","",IFERROR(INDEX('Bad Patterns'!$A$2:$A$120,MATCH(1,INDEX(--ISNUMBER(SEARCH('Bad Patterns'!$A$2:$A$120,B3718)),0),0)),""))</f>
        <v/>
      </c>
      <c r="D3718">
        <f>IF(B3718="","",IF(C3718&lt;&gt;"","REMOVE","KEEP"))</f>
        <v/>
      </c>
      <c r="E3718">
        <f>IF(D3718&lt;&gt;"KEEP","",IF(RIGHT(B3718,10)="@gmail.com","Gmail",IF(OR(RIGHT(B3718,12)="@outlook.com",RIGHT(B3718,12)="@hotmail.com",RIGHT(B3718,9)="@live.com"),"Outlook","Domain")))</f>
        <v/>
      </c>
      <c r="F3718">
        <f>IF(B3718="","",IFERROR(RIGHT(B3718,LEN(B3718)-FIND("@",B3718)),""))</f>
        <v/>
      </c>
      <c r="G3718">
        <f>IF(D3718="KEEP",COUNTIF($D$2:D3718,"KEEP"),"")</f>
        <v/>
      </c>
      <c r="H3718">
        <f>IF(D3718="REMOVE",COUNTIF($D$2:D3718,"REMOVE"),"")</f>
        <v/>
      </c>
      <c r="I3718">
        <f>IF(E3718="Gmail",COUNTIF($E$2:E3718,"Gmail"),"")</f>
        <v/>
      </c>
      <c r="J3718">
        <f>IF(E3718="Outlook",COUNTIF($E$2:E3718,"Outlook"),"")</f>
        <v/>
      </c>
      <c r="K3718">
        <f>IF(E3718="Domain",COUNTIF($E$2:E3718,"Domain"),"")</f>
        <v/>
      </c>
    </row>
    <row r="3719">
      <c r="A3719" s="2" t="n"/>
      <c r="B3719">
        <f>LOWER(TRIM(A3719))</f>
        <v/>
      </c>
      <c r="C3719">
        <f>IF(B3719="","",IFERROR(INDEX('Bad Patterns'!$A$2:$A$120,MATCH(1,INDEX(--ISNUMBER(SEARCH('Bad Patterns'!$A$2:$A$120,B3719)),0),0)),""))</f>
        <v/>
      </c>
      <c r="D3719">
        <f>IF(B3719="","",IF(C3719&lt;&gt;"","REMOVE","KEEP"))</f>
        <v/>
      </c>
      <c r="E3719">
        <f>IF(D3719&lt;&gt;"KEEP","",IF(RIGHT(B3719,10)="@gmail.com","Gmail",IF(OR(RIGHT(B3719,12)="@outlook.com",RIGHT(B3719,12)="@hotmail.com",RIGHT(B3719,9)="@live.com"),"Outlook","Domain")))</f>
        <v/>
      </c>
      <c r="F3719">
        <f>IF(B3719="","",IFERROR(RIGHT(B3719,LEN(B3719)-FIND("@",B3719)),""))</f>
        <v/>
      </c>
      <c r="G3719">
        <f>IF(D3719="KEEP",COUNTIF($D$2:D3719,"KEEP"),"")</f>
        <v/>
      </c>
      <c r="H3719">
        <f>IF(D3719="REMOVE",COUNTIF($D$2:D3719,"REMOVE"),"")</f>
        <v/>
      </c>
      <c r="I3719">
        <f>IF(E3719="Gmail",COUNTIF($E$2:E3719,"Gmail"),"")</f>
        <v/>
      </c>
      <c r="J3719">
        <f>IF(E3719="Outlook",COUNTIF($E$2:E3719,"Outlook"),"")</f>
        <v/>
      </c>
      <c r="K3719">
        <f>IF(E3719="Domain",COUNTIF($E$2:E3719,"Domain"),"")</f>
        <v/>
      </c>
    </row>
    <row r="3720">
      <c r="A3720" s="2" t="n"/>
      <c r="B3720">
        <f>LOWER(TRIM(A3720))</f>
        <v/>
      </c>
      <c r="C3720">
        <f>IF(B3720="","",IFERROR(INDEX('Bad Patterns'!$A$2:$A$120,MATCH(1,INDEX(--ISNUMBER(SEARCH('Bad Patterns'!$A$2:$A$120,B3720)),0),0)),""))</f>
        <v/>
      </c>
      <c r="D3720">
        <f>IF(B3720="","",IF(C3720&lt;&gt;"","REMOVE","KEEP"))</f>
        <v/>
      </c>
      <c r="E3720">
        <f>IF(D3720&lt;&gt;"KEEP","",IF(RIGHT(B3720,10)="@gmail.com","Gmail",IF(OR(RIGHT(B3720,12)="@outlook.com",RIGHT(B3720,12)="@hotmail.com",RIGHT(B3720,9)="@live.com"),"Outlook","Domain")))</f>
        <v/>
      </c>
      <c r="F3720">
        <f>IF(B3720="","",IFERROR(RIGHT(B3720,LEN(B3720)-FIND("@",B3720)),""))</f>
        <v/>
      </c>
      <c r="G3720">
        <f>IF(D3720="KEEP",COUNTIF($D$2:D3720,"KEEP"),"")</f>
        <v/>
      </c>
      <c r="H3720">
        <f>IF(D3720="REMOVE",COUNTIF($D$2:D3720,"REMOVE"),"")</f>
        <v/>
      </c>
      <c r="I3720">
        <f>IF(E3720="Gmail",COUNTIF($E$2:E3720,"Gmail"),"")</f>
        <v/>
      </c>
      <c r="J3720">
        <f>IF(E3720="Outlook",COUNTIF($E$2:E3720,"Outlook"),"")</f>
        <v/>
      </c>
      <c r="K3720">
        <f>IF(E3720="Domain",COUNTIF($E$2:E3720,"Domain"),"")</f>
        <v/>
      </c>
    </row>
    <row r="3721">
      <c r="A3721" s="2" t="n"/>
      <c r="B3721">
        <f>LOWER(TRIM(A3721))</f>
        <v/>
      </c>
      <c r="C3721">
        <f>IF(B3721="","",IFERROR(INDEX('Bad Patterns'!$A$2:$A$120,MATCH(1,INDEX(--ISNUMBER(SEARCH('Bad Patterns'!$A$2:$A$120,B3721)),0),0)),""))</f>
        <v/>
      </c>
      <c r="D3721">
        <f>IF(B3721="","",IF(C3721&lt;&gt;"","REMOVE","KEEP"))</f>
        <v/>
      </c>
      <c r="E3721">
        <f>IF(D3721&lt;&gt;"KEEP","",IF(RIGHT(B3721,10)="@gmail.com","Gmail",IF(OR(RIGHT(B3721,12)="@outlook.com",RIGHT(B3721,12)="@hotmail.com",RIGHT(B3721,9)="@live.com"),"Outlook","Domain")))</f>
        <v/>
      </c>
      <c r="F3721">
        <f>IF(B3721="","",IFERROR(RIGHT(B3721,LEN(B3721)-FIND("@",B3721)),""))</f>
        <v/>
      </c>
      <c r="G3721">
        <f>IF(D3721="KEEP",COUNTIF($D$2:D3721,"KEEP"),"")</f>
        <v/>
      </c>
      <c r="H3721">
        <f>IF(D3721="REMOVE",COUNTIF($D$2:D3721,"REMOVE"),"")</f>
        <v/>
      </c>
      <c r="I3721">
        <f>IF(E3721="Gmail",COUNTIF($E$2:E3721,"Gmail"),"")</f>
        <v/>
      </c>
      <c r="J3721">
        <f>IF(E3721="Outlook",COUNTIF($E$2:E3721,"Outlook"),"")</f>
        <v/>
      </c>
      <c r="K3721">
        <f>IF(E3721="Domain",COUNTIF($E$2:E3721,"Domain"),"")</f>
        <v/>
      </c>
    </row>
    <row r="3722">
      <c r="A3722" s="2" t="n"/>
      <c r="B3722">
        <f>LOWER(TRIM(A3722))</f>
        <v/>
      </c>
      <c r="C3722">
        <f>IF(B3722="","",IFERROR(INDEX('Bad Patterns'!$A$2:$A$120,MATCH(1,INDEX(--ISNUMBER(SEARCH('Bad Patterns'!$A$2:$A$120,B3722)),0),0)),""))</f>
        <v/>
      </c>
      <c r="D3722">
        <f>IF(B3722="","",IF(C3722&lt;&gt;"","REMOVE","KEEP"))</f>
        <v/>
      </c>
      <c r="E3722">
        <f>IF(D3722&lt;&gt;"KEEP","",IF(RIGHT(B3722,10)="@gmail.com","Gmail",IF(OR(RIGHT(B3722,12)="@outlook.com",RIGHT(B3722,12)="@hotmail.com",RIGHT(B3722,9)="@live.com"),"Outlook","Domain")))</f>
        <v/>
      </c>
      <c r="F3722">
        <f>IF(B3722="","",IFERROR(RIGHT(B3722,LEN(B3722)-FIND("@",B3722)),""))</f>
        <v/>
      </c>
      <c r="G3722">
        <f>IF(D3722="KEEP",COUNTIF($D$2:D3722,"KEEP"),"")</f>
        <v/>
      </c>
      <c r="H3722">
        <f>IF(D3722="REMOVE",COUNTIF($D$2:D3722,"REMOVE"),"")</f>
        <v/>
      </c>
      <c r="I3722">
        <f>IF(E3722="Gmail",COUNTIF($E$2:E3722,"Gmail"),"")</f>
        <v/>
      </c>
      <c r="J3722">
        <f>IF(E3722="Outlook",COUNTIF($E$2:E3722,"Outlook"),"")</f>
        <v/>
      </c>
      <c r="K3722">
        <f>IF(E3722="Domain",COUNTIF($E$2:E3722,"Domain"),"")</f>
        <v/>
      </c>
    </row>
    <row r="3723">
      <c r="A3723" s="2" t="n"/>
      <c r="B3723">
        <f>LOWER(TRIM(A3723))</f>
        <v/>
      </c>
      <c r="C3723">
        <f>IF(B3723="","",IFERROR(INDEX('Bad Patterns'!$A$2:$A$120,MATCH(1,INDEX(--ISNUMBER(SEARCH('Bad Patterns'!$A$2:$A$120,B3723)),0),0)),""))</f>
        <v/>
      </c>
      <c r="D3723">
        <f>IF(B3723="","",IF(C3723&lt;&gt;"","REMOVE","KEEP"))</f>
        <v/>
      </c>
      <c r="E3723">
        <f>IF(D3723&lt;&gt;"KEEP","",IF(RIGHT(B3723,10)="@gmail.com","Gmail",IF(OR(RIGHT(B3723,12)="@outlook.com",RIGHT(B3723,12)="@hotmail.com",RIGHT(B3723,9)="@live.com"),"Outlook","Domain")))</f>
        <v/>
      </c>
      <c r="F3723">
        <f>IF(B3723="","",IFERROR(RIGHT(B3723,LEN(B3723)-FIND("@",B3723)),""))</f>
        <v/>
      </c>
      <c r="G3723">
        <f>IF(D3723="KEEP",COUNTIF($D$2:D3723,"KEEP"),"")</f>
        <v/>
      </c>
      <c r="H3723">
        <f>IF(D3723="REMOVE",COUNTIF($D$2:D3723,"REMOVE"),"")</f>
        <v/>
      </c>
      <c r="I3723">
        <f>IF(E3723="Gmail",COUNTIF($E$2:E3723,"Gmail"),"")</f>
        <v/>
      </c>
      <c r="J3723">
        <f>IF(E3723="Outlook",COUNTIF($E$2:E3723,"Outlook"),"")</f>
        <v/>
      </c>
      <c r="K3723">
        <f>IF(E3723="Domain",COUNTIF($E$2:E3723,"Domain"),"")</f>
        <v/>
      </c>
    </row>
    <row r="3724">
      <c r="A3724" s="2" t="n"/>
      <c r="B3724">
        <f>LOWER(TRIM(A3724))</f>
        <v/>
      </c>
      <c r="C3724">
        <f>IF(B3724="","",IFERROR(INDEX('Bad Patterns'!$A$2:$A$120,MATCH(1,INDEX(--ISNUMBER(SEARCH('Bad Patterns'!$A$2:$A$120,B3724)),0),0)),""))</f>
        <v/>
      </c>
      <c r="D3724">
        <f>IF(B3724="","",IF(C3724&lt;&gt;"","REMOVE","KEEP"))</f>
        <v/>
      </c>
      <c r="E3724">
        <f>IF(D3724&lt;&gt;"KEEP","",IF(RIGHT(B3724,10)="@gmail.com","Gmail",IF(OR(RIGHT(B3724,12)="@outlook.com",RIGHT(B3724,12)="@hotmail.com",RIGHT(B3724,9)="@live.com"),"Outlook","Domain")))</f>
        <v/>
      </c>
      <c r="F3724">
        <f>IF(B3724="","",IFERROR(RIGHT(B3724,LEN(B3724)-FIND("@",B3724)),""))</f>
        <v/>
      </c>
      <c r="G3724">
        <f>IF(D3724="KEEP",COUNTIF($D$2:D3724,"KEEP"),"")</f>
        <v/>
      </c>
      <c r="H3724">
        <f>IF(D3724="REMOVE",COUNTIF($D$2:D3724,"REMOVE"),"")</f>
        <v/>
      </c>
      <c r="I3724">
        <f>IF(E3724="Gmail",COUNTIF($E$2:E3724,"Gmail"),"")</f>
        <v/>
      </c>
      <c r="J3724">
        <f>IF(E3724="Outlook",COUNTIF($E$2:E3724,"Outlook"),"")</f>
        <v/>
      </c>
      <c r="K3724">
        <f>IF(E3724="Domain",COUNTIF($E$2:E3724,"Domain"),"")</f>
        <v/>
      </c>
    </row>
    <row r="3725">
      <c r="A3725" s="2" t="n"/>
      <c r="B3725">
        <f>LOWER(TRIM(A3725))</f>
        <v/>
      </c>
      <c r="C3725">
        <f>IF(B3725="","",IFERROR(INDEX('Bad Patterns'!$A$2:$A$120,MATCH(1,INDEX(--ISNUMBER(SEARCH('Bad Patterns'!$A$2:$A$120,B3725)),0),0)),""))</f>
        <v/>
      </c>
      <c r="D3725">
        <f>IF(B3725="","",IF(C3725&lt;&gt;"","REMOVE","KEEP"))</f>
        <v/>
      </c>
      <c r="E3725">
        <f>IF(D3725&lt;&gt;"KEEP","",IF(RIGHT(B3725,10)="@gmail.com","Gmail",IF(OR(RIGHT(B3725,12)="@outlook.com",RIGHT(B3725,12)="@hotmail.com",RIGHT(B3725,9)="@live.com"),"Outlook","Domain")))</f>
        <v/>
      </c>
      <c r="F3725">
        <f>IF(B3725="","",IFERROR(RIGHT(B3725,LEN(B3725)-FIND("@",B3725)),""))</f>
        <v/>
      </c>
      <c r="G3725">
        <f>IF(D3725="KEEP",COUNTIF($D$2:D3725,"KEEP"),"")</f>
        <v/>
      </c>
      <c r="H3725">
        <f>IF(D3725="REMOVE",COUNTIF($D$2:D3725,"REMOVE"),"")</f>
        <v/>
      </c>
      <c r="I3725">
        <f>IF(E3725="Gmail",COUNTIF($E$2:E3725,"Gmail"),"")</f>
        <v/>
      </c>
      <c r="J3725">
        <f>IF(E3725="Outlook",COUNTIF($E$2:E3725,"Outlook"),"")</f>
        <v/>
      </c>
      <c r="K3725">
        <f>IF(E3725="Domain",COUNTIF($E$2:E3725,"Domain"),"")</f>
        <v/>
      </c>
    </row>
    <row r="3726">
      <c r="A3726" s="2" t="n"/>
      <c r="B3726">
        <f>LOWER(TRIM(A3726))</f>
        <v/>
      </c>
      <c r="C3726">
        <f>IF(B3726="","",IFERROR(INDEX('Bad Patterns'!$A$2:$A$120,MATCH(1,INDEX(--ISNUMBER(SEARCH('Bad Patterns'!$A$2:$A$120,B3726)),0),0)),""))</f>
        <v/>
      </c>
      <c r="D3726">
        <f>IF(B3726="","",IF(C3726&lt;&gt;"","REMOVE","KEEP"))</f>
        <v/>
      </c>
      <c r="E3726">
        <f>IF(D3726&lt;&gt;"KEEP","",IF(RIGHT(B3726,10)="@gmail.com","Gmail",IF(OR(RIGHT(B3726,12)="@outlook.com",RIGHT(B3726,12)="@hotmail.com",RIGHT(B3726,9)="@live.com"),"Outlook","Domain")))</f>
        <v/>
      </c>
      <c r="F3726">
        <f>IF(B3726="","",IFERROR(RIGHT(B3726,LEN(B3726)-FIND("@",B3726)),""))</f>
        <v/>
      </c>
      <c r="G3726">
        <f>IF(D3726="KEEP",COUNTIF($D$2:D3726,"KEEP"),"")</f>
        <v/>
      </c>
      <c r="H3726">
        <f>IF(D3726="REMOVE",COUNTIF($D$2:D3726,"REMOVE"),"")</f>
        <v/>
      </c>
      <c r="I3726">
        <f>IF(E3726="Gmail",COUNTIF($E$2:E3726,"Gmail"),"")</f>
        <v/>
      </c>
      <c r="J3726">
        <f>IF(E3726="Outlook",COUNTIF($E$2:E3726,"Outlook"),"")</f>
        <v/>
      </c>
      <c r="K3726">
        <f>IF(E3726="Domain",COUNTIF($E$2:E3726,"Domain"),"")</f>
        <v/>
      </c>
    </row>
    <row r="3727">
      <c r="A3727" s="2" t="n"/>
      <c r="B3727">
        <f>LOWER(TRIM(A3727))</f>
        <v/>
      </c>
      <c r="C3727">
        <f>IF(B3727="","",IFERROR(INDEX('Bad Patterns'!$A$2:$A$120,MATCH(1,INDEX(--ISNUMBER(SEARCH('Bad Patterns'!$A$2:$A$120,B3727)),0),0)),""))</f>
        <v/>
      </c>
      <c r="D3727">
        <f>IF(B3727="","",IF(C3727&lt;&gt;"","REMOVE","KEEP"))</f>
        <v/>
      </c>
      <c r="E3727">
        <f>IF(D3727&lt;&gt;"KEEP","",IF(RIGHT(B3727,10)="@gmail.com","Gmail",IF(OR(RIGHT(B3727,12)="@outlook.com",RIGHT(B3727,12)="@hotmail.com",RIGHT(B3727,9)="@live.com"),"Outlook","Domain")))</f>
        <v/>
      </c>
      <c r="F3727">
        <f>IF(B3727="","",IFERROR(RIGHT(B3727,LEN(B3727)-FIND("@",B3727)),""))</f>
        <v/>
      </c>
      <c r="G3727">
        <f>IF(D3727="KEEP",COUNTIF($D$2:D3727,"KEEP"),"")</f>
        <v/>
      </c>
      <c r="H3727">
        <f>IF(D3727="REMOVE",COUNTIF($D$2:D3727,"REMOVE"),"")</f>
        <v/>
      </c>
      <c r="I3727">
        <f>IF(E3727="Gmail",COUNTIF($E$2:E3727,"Gmail"),"")</f>
        <v/>
      </c>
      <c r="J3727">
        <f>IF(E3727="Outlook",COUNTIF($E$2:E3727,"Outlook"),"")</f>
        <v/>
      </c>
      <c r="K3727">
        <f>IF(E3727="Domain",COUNTIF($E$2:E3727,"Domain"),"")</f>
        <v/>
      </c>
    </row>
    <row r="3728">
      <c r="A3728" s="2" t="n"/>
      <c r="B3728">
        <f>LOWER(TRIM(A3728))</f>
        <v/>
      </c>
      <c r="C3728">
        <f>IF(B3728="","",IFERROR(INDEX('Bad Patterns'!$A$2:$A$120,MATCH(1,INDEX(--ISNUMBER(SEARCH('Bad Patterns'!$A$2:$A$120,B3728)),0),0)),""))</f>
        <v/>
      </c>
      <c r="D3728">
        <f>IF(B3728="","",IF(C3728&lt;&gt;"","REMOVE","KEEP"))</f>
        <v/>
      </c>
      <c r="E3728">
        <f>IF(D3728&lt;&gt;"KEEP","",IF(RIGHT(B3728,10)="@gmail.com","Gmail",IF(OR(RIGHT(B3728,12)="@outlook.com",RIGHT(B3728,12)="@hotmail.com",RIGHT(B3728,9)="@live.com"),"Outlook","Domain")))</f>
        <v/>
      </c>
      <c r="F3728">
        <f>IF(B3728="","",IFERROR(RIGHT(B3728,LEN(B3728)-FIND("@",B3728)),""))</f>
        <v/>
      </c>
      <c r="G3728">
        <f>IF(D3728="KEEP",COUNTIF($D$2:D3728,"KEEP"),"")</f>
        <v/>
      </c>
      <c r="H3728">
        <f>IF(D3728="REMOVE",COUNTIF($D$2:D3728,"REMOVE"),"")</f>
        <v/>
      </c>
      <c r="I3728">
        <f>IF(E3728="Gmail",COUNTIF($E$2:E3728,"Gmail"),"")</f>
        <v/>
      </c>
      <c r="J3728">
        <f>IF(E3728="Outlook",COUNTIF($E$2:E3728,"Outlook"),"")</f>
        <v/>
      </c>
      <c r="K3728">
        <f>IF(E3728="Domain",COUNTIF($E$2:E3728,"Domain"),"")</f>
        <v/>
      </c>
    </row>
    <row r="3729">
      <c r="A3729" s="2" t="n"/>
      <c r="B3729">
        <f>LOWER(TRIM(A3729))</f>
        <v/>
      </c>
      <c r="C3729">
        <f>IF(B3729="","",IFERROR(INDEX('Bad Patterns'!$A$2:$A$120,MATCH(1,INDEX(--ISNUMBER(SEARCH('Bad Patterns'!$A$2:$A$120,B3729)),0),0)),""))</f>
        <v/>
      </c>
      <c r="D3729">
        <f>IF(B3729="","",IF(C3729&lt;&gt;"","REMOVE","KEEP"))</f>
        <v/>
      </c>
      <c r="E3729">
        <f>IF(D3729&lt;&gt;"KEEP","",IF(RIGHT(B3729,10)="@gmail.com","Gmail",IF(OR(RIGHT(B3729,12)="@outlook.com",RIGHT(B3729,12)="@hotmail.com",RIGHT(B3729,9)="@live.com"),"Outlook","Domain")))</f>
        <v/>
      </c>
      <c r="F3729">
        <f>IF(B3729="","",IFERROR(RIGHT(B3729,LEN(B3729)-FIND("@",B3729)),""))</f>
        <v/>
      </c>
      <c r="G3729">
        <f>IF(D3729="KEEP",COUNTIF($D$2:D3729,"KEEP"),"")</f>
        <v/>
      </c>
      <c r="H3729">
        <f>IF(D3729="REMOVE",COUNTIF($D$2:D3729,"REMOVE"),"")</f>
        <v/>
      </c>
      <c r="I3729">
        <f>IF(E3729="Gmail",COUNTIF($E$2:E3729,"Gmail"),"")</f>
        <v/>
      </c>
      <c r="J3729">
        <f>IF(E3729="Outlook",COUNTIF($E$2:E3729,"Outlook"),"")</f>
        <v/>
      </c>
      <c r="K3729">
        <f>IF(E3729="Domain",COUNTIF($E$2:E3729,"Domain"),"")</f>
        <v/>
      </c>
    </row>
    <row r="3730">
      <c r="A3730" s="2" t="n"/>
      <c r="B3730">
        <f>LOWER(TRIM(A3730))</f>
        <v/>
      </c>
      <c r="C3730">
        <f>IF(B3730="","",IFERROR(INDEX('Bad Patterns'!$A$2:$A$120,MATCH(1,INDEX(--ISNUMBER(SEARCH('Bad Patterns'!$A$2:$A$120,B3730)),0),0)),""))</f>
        <v/>
      </c>
      <c r="D3730">
        <f>IF(B3730="","",IF(C3730&lt;&gt;"","REMOVE","KEEP"))</f>
        <v/>
      </c>
      <c r="E3730">
        <f>IF(D3730&lt;&gt;"KEEP","",IF(RIGHT(B3730,10)="@gmail.com","Gmail",IF(OR(RIGHT(B3730,12)="@outlook.com",RIGHT(B3730,12)="@hotmail.com",RIGHT(B3730,9)="@live.com"),"Outlook","Domain")))</f>
        <v/>
      </c>
      <c r="F3730">
        <f>IF(B3730="","",IFERROR(RIGHT(B3730,LEN(B3730)-FIND("@",B3730)),""))</f>
        <v/>
      </c>
      <c r="G3730">
        <f>IF(D3730="KEEP",COUNTIF($D$2:D3730,"KEEP"),"")</f>
        <v/>
      </c>
      <c r="H3730">
        <f>IF(D3730="REMOVE",COUNTIF($D$2:D3730,"REMOVE"),"")</f>
        <v/>
      </c>
      <c r="I3730">
        <f>IF(E3730="Gmail",COUNTIF($E$2:E3730,"Gmail"),"")</f>
        <v/>
      </c>
      <c r="J3730">
        <f>IF(E3730="Outlook",COUNTIF($E$2:E3730,"Outlook"),"")</f>
        <v/>
      </c>
      <c r="K3730">
        <f>IF(E3730="Domain",COUNTIF($E$2:E3730,"Domain"),"")</f>
        <v/>
      </c>
    </row>
    <row r="3731">
      <c r="A3731" s="2" t="n"/>
      <c r="B3731">
        <f>LOWER(TRIM(A3731))</f>
        <v/>
      </c>
      <c r="C3731">
        <f>IF(B3731="","",IFERROR(INDEX('Bad Patterns'!$A$2:$A$120,MATCH(1,INDEX(--ISNUMBER(SEARCH('Bad Patterns'!$A$2:$A$120,B3731)),0),0)),""))</f>
        <v/>
      </c>
      <c r="D3731">
        <f>IF(B3731="","",IF(C3731&lt;&gt;"","REMOVE","KEEP"))</f>
        <v/>
      </c>
      <c r="E3731">
        <f>IF(D3731&lt;&gt;"KEEP","",IF(RIGHT(B3731,10)="@gmail.com","Gmail",IF(OR(RIGHT(B3731,12)="@outlook.com",RIGHT(B3731,12)="@hotmail.com",RIGHT(B3731,9)="@live.com"),"Outlook","Domain")))</f>
        <v/>
      </c>
      <c r="F3731">
        <f>IF(B3731="","",IFERROR(RIGHT(B3731,LEN(B3731)-FIND("@",B3731)),""))</f>
        <v/>
      </c>
      <c r="G3731">
        <f>IF(D3731="KEEP",COUNTIF($D$2:D3731,"KEEP"),"")</f>
        <v/>
      </c>
      <c r="H3731">
        <f>IF(D3731="REMOVE",COUNTIF($D$2:D3731,"REMOVE"),"")</f>
        <v/>
      </c>
      <c r="I3731">
        <f>IF(E3731="Gmail",COUNTIF($E$2:E3731,"Gmail"),"")</f>
        <v/>
      </c>
      <c r="J3731">
        <f>IF(E3731="Outlook",COUNTIF($E$2:E3731,"Outlook"),"")</f>
        <v/>
      </c>
      <c r="K3731">
        <f>IF(E3731="Domain",COUNTIF($E$2:E3731,"Domain"),"")</f>
        <v/>
      </c>
    </row>
    <row r="3732">
      <c r="A3732" s="2" t="n"/>
      <c r="B3732">
        <f>LOWER(TRIM(A3732))</f>
        <v/>
      </c>
      <c r="C3732">
        <f>IF(B3732="","",IFERROR(INDEX('Bad Patterns'!$A$2:$A$120,MATCH(1,INDEX(--ISNUMBER(SEARCH('Bad Patterns'!$A$2:$A$120,B3732)),0),0)),""))</f>
        <v/>
      </c>
      <c r="D3732">
        <f>IF(B3732="","",IF(C3732&lt;&gt;"","REMOVE","KEEP"))</f>
        <v/>
      </c>
      <c r="E3732">
        <f>IF(D3732&lt;&gt;"KEEP","",IF(RIGHT(B3732,10)="@gmail.com","Gmail",IF(OR(RIGHT(B3732,12)="@outlook.com",RIGHT(B3732,12)="@hotmail.com",RIGHT(B3732,9)="@live.com"),"Outlook","Domain")))</f>
        <v/>
      </c>
      <c r="F3732">
        <f>IF(B3732="","",IFERROR(RIGHT(B3732,LEN(B3732)-FIND("@",B3732)),""))</f>
        <v/>
      </c>
      <c r="G3732">
        <f>IF(D3732="KEEP",COUNTIF($D$2:D3732,"KEEP"),"")</f>
        <v/>
      </c>
      <c r="H3732">
        <f>IF(D3732="REMOVE",COUNTIF($D$2:D3732,"REMOVE"),"")</f>
        <v/>
      </c>
      <c r="I3732">
        <f>IF(E3732="Gmail",COUNTIF($E$2:E3732,"Gmail"),"")</f>
        <v/>
      </c>
      <c r="J3732">
        <f>IF(E3732="Outlook",COUNTIF($E$2:E3732,"Outlook"),"")</f>
        <v/>
      </c>
      <c r="K3732">
        <f>IF(E3732="Domain",COUNTIF($E$2:E3732,"Domain"),"")</f>
        <v/>
      </c>
    </row>
    <row r="3733">
      <c r="A3733" s="2" t="n"/>
      <c r="B3733">
        <f>LOWER(TRIM(A3733))</f>
        <v/>
      </c>
      <c r="C3733">
        <f>IF(B3733="","",IFERROR(INDEX('Bad Patterns'!$A$2:$A$120,MATCH(1,INDEX(--ISNUMBER(SEARCH('Bad Patterns'!$A$2:$A$120,B3733)),0),0)),""))</f>
        <v/>
      </c>
      <c r="D3733">
        <f>IF(B3733="","",IF(C3733&lt;&gt;"","REMOVE","KEEP"))</f>
        <v/>
      </c>
      <c r="E3733">
        <f>IF(D3733&lt;&gt;"KEEP","",IF(RIGHT(B3733,10)="@gmail.com","Gmail",IF(OR(RIGHT(B3733,12)="@outlook.com",RIGHT(B3733,12)="@hotmail.com",RIGHT(B3733,9)="@live.com"),"Outlook","Domain")))</f>
        <v/>
      </c>
      <c r="F3733">
        <f>IF(B3733="","",IFERROR(RIGHT(B3733,LEN(B3733)-FIND("@",B3733)),""))</f>
        <v/>
      </c>
      <c r="G3733">
        <f>IF(D3733="KEEP",COUNTIF($D$2:D3733,"KEEP"),"")</f>
        <v/>
      </c>
      <c r="H3733">
        <f>IF(D3733="REMOVE",COUNTIF($D$2:D3733,"REMOVE"),"")</f>
        <v/>
      </c>
      <c r="I3733">
        <f>IF(E3733="Gmail",COUNTIF($E$2:E3733,"Gmail"),"")</f>
        <v/>
      </c>
      <c r="J3733">
        <f>IF(E3733="Outlook",COUNTIF($E$2:E3733,"Outlook"),"")</f>
        <v/>
      </c>
      <c r="K3733">
        <f>IF(E3733="Domain",COUNTIF($E$2:E3733,"Domain"),"")</f>
        <v/>
      </c>
    </row>
    <row r="3734">
      <c r="A3734" s="2" t="n"/>
      <c r="B3734">
        <f>LOWER(TRIM(A3734))</f>
        <v/>
      </c>
      <c r="C3734">
        <f>IF(B3734="","",IFERROR(INDEX('Bad Patterns'!$A$2:$A$120,MATCH(1,INDEX(--ISNUMBER(SEARCH('Bad Patterns'!$A$2:$A$120,B3734)),0),0)),""))</f>
        <v/>
      </c>
      <c r="D3734">
        <f>IF(B3734="","",IF(C3734&lt;&gt;"","REMOVE","KEEP"))</f>
        <v/>
      </c>
      <c r="E3734">
        <f>IF(D3734&lt;&gt;"KEEP","",IF(RIGHT(B3734,10)="@gmail.com","Gmail",IF(OR(RIGHT(B3734,12)="@outlook.com",RIGHT(B3734,12)="@hotmail.com",RIGHT(B3734,9)="@live.com"),"Outlook","Domain")))</f>
        <v/>
      </c>
      <c r="F3734">
        <f>IF(B3734="","",IFERROR(RIGHT(B3734,LEN(B3734)-FIND("@",B3734)),""))</f>
        <v/>
      </c>
      <c r="G3734">
        <f>IF(D3734="KEEP",COUNTIF($D$2:D3734,"KEEP"),"")</f>
        <v/>
      </c>
      <c r="H3734">
        <f>IF(D3734="REMOVE",COUNTIF($D$2:D3734,"REMOVE"),"")</f>
        <v/>
      </c>
      <c r="I3734">
        <f>IF(E3734="Gmail",COUNTIF($E$2:E3734,"Gmail"),"")</f>
        <v/>
      </c>
      <c r="J3734">
        <f>IF(E3734="Outlook",COUNTIF($E$2:E3734,"Outlook"),"")</f>
        <v/>
      </c>
      <c r="K3734">
        <f>IF(E3734="Domain",COUNTIF($E$2:E3734,"Domain"),"")</f>
        <v/>
      </c>
    </row>
    <row r="3735">
      <c r="A3735" s="2" t="n"/>
      <c r="B3735">
        <f>LOWER(TRIM(A3735))</f>
        <v/>
      </c>
      <c r="C3735">
        <f>IF(B3735="","",IFERROR(INDEX('Bad Patterns'!$A$2:$A$120,MATCH(1,INDEX(--ISNUMBER(SEARCH('Bad Patterns'!$A$2:$A$120,B3735)),0),0)),""))</f>
        <v/>
      </c>
      <c r="D3735">
        <f>IF(B3735="","",IF(C3735&lt;&gt;"","REMOVE","KEEP"))</f>
        <v/>
      </c>
      <c r="E3735">
        <f>IF(D3735&lt;&gt;"KEEP","",IF(RIGHT(B3735,10)="@gmail.com","Gmail",IF(OR(RIGHT(B3735,12)="@outlook.com",RIGHT(B3735,12)="@hotmail.com",RIGHT(B3735,9)="@live.com"),"Outlook","Domain")))</f>
        <v/>
      </c>
      <c r="F3735">
        <f>IF(B3735="","",IFERROR(RIGHT(B3735,LEN(B3735)-FIND("@",B3735)),""))</f>
        <v/>
      </c>
      <c r="G3735">
        <f>IF(D3735="KEEP",COUNTIF($D$2:D3735,"KEEP"),"")</f>
        <v/>
      </c>
      <c r="H3735">
        <f>IF(D3735="REMOVE",COUNTIF($D$2:D3735,"REMOVE"),"")</f>
        <v/>
      </c>
      <c r="I3735">
        <f>IF(E3735="Gmail",COUNTIF($E$2:E3735,"Gmail"),"")</f>
        <v/>
      </c>
      <c r="J3735">
        <f>IF(E3735="Outlook",COUNTIF($E$2:E3735,"Outlook"),"")</f>
        <v/>
      </c>
      <c r="K3735">
        <f>IF(E3735="Domain",COUNTIF($E$2:E3735,"Domain"),"")</f>
        <v/>
      </c>
    </row>
    <row r="3736">
      <c r="A3736" s="2" t="n"/>
      <c r="B3736">
        <f>LOWER(TRIM(A3736))</f>
        <v/>
      </c>
      <c r="C3736">
        <f>IF(B3736="","",IFERROR(INDEX('Bad Patterns'!$A$2:$A$120,MATCH(1,INDEX(--ISNUMBER(SEARCH('Bad Patterns'!$A$2:$A$120,B3736)),0),0)),""))</f>
        <v/>
      </c>
      <c r="D3736">
        <f>IF(B3736="","",IF(C3736&lt;&gt;"","REMOVE","KEEP"))</f>
        <v/>
      </c>
      <c r="E3736">
        <f>IF(D3736&lt;&gt;"KEEP","",IF(RIGHT(B3736,10)="@gmail.com","Gmail",IF(OR(RIGHT(B3736,12)="@outlook.com",RIGHT(B3736,12)="@hotmail.com",RIGHT(B3736,9)="@live.com"),"Outlook","Domain")))</f>
        <v/>
      </c>
      <c r="F3736">
        <f>IF(B3736="","",IFERROR(RIGHT(B3736,LEN(B3736)-FIND("@",B3736)),""))</f>
        <v/>
      </c>
      <c r="G3736">
        <f>IF(D3736="KEEP",COUNTIF($D$2:D3736,"KEEP"),"")</f>
        <v/>
      </c>
      <c r="H3736">
        <f>IF(D3736="REMOVE",COUNTIF($D$2:D3736,"REMOVE"),"")</f>
        <v/>
      </c>
      <c r="I3736">
        <f>IF(E3736="Gmail",COUNTIF($E$2:E3736,"Gmail"),"")</f>
        <v/>
      </c>
      <c r="J3736">
        <f>IF(E3736="Outlook",COUNTIF($E$2:E3736,"Outlook"),"")</f>
        <v/>
      </c>
      <c r="K3736">
        <f>IF(E3736="Domain",COUNTIF($E$2:E3736,"Domain"),"")</f>
        <v/>
      </c>
    </row>
    <row r="3737">
      <c r="A3737" s="2" t="n"/>
      <c r="B3737">
        <f>LOWER(TRIM(A3737))</f>
        <v/>
      </c>
      <c r="C3737">
        <f>IF(B3737="","",IFERROR(INDEX('Bad Patterns'!$A$2:$A$120,MATCH(1,INDEX(--ISNUMBER(SEARCH('Bad Patterns'!$A$2:$A$120,B3737)),0),0)),""))</f>
        <v/>
      </c>
      <c r="D3737">
        <f>IF(B3737="","",IF(C3737&lt;&gt;"","REMOVE","KEEP"))</f>
        <v/>
      </c>
      <c r="E3737">
        <f>IF(D3737&lt;&gt;"KEEP","",IF(RIGHT(B3737,10)="@gmail.com","Gmail",IF(OR(RIGHT(B3737,12)="@outlook.com",RIGHT(B3737,12)="@hotmail.com",RIGHT(B3737,9)="@live.com"),"Outlook","Domain")))</f>
        <v/>
      </c>
      <c r="F3737">
        <f>IF(B3737="","",IFERROR(RIGHT(B3737,LEN(B3737)-FIND("@",B3737)),""))</f>
        <v/>
      </c>
      <c r="G3737">
        <f>IF(D3737="KEEP",COUNTIF($D$2:D3737,"KEEP"),"")</f>
        <v/>
      </c>
      <c r="H3737">
        <f>IF(D3737="REMOVE",COUNTIF($D$2:D3737,"REMOVE"),"")</f>
        <v/>
      </c>
      <c r="I3737">
        <f>IF(E3737="Gmail",COUNTIF($E$2:E3737,"Gmail"),"")</f>
        <v/>
      </c>
      <c r="J3737">
        <f>IF(E3737="Outlook",COUNTIF($E$2:E3737,"Outlook"),"")</f>
        <v/>
      </c>
      <c r="K3737">
        <f>IF(E3737="Domain",COUNTIF($E$2:E3737,"Domain"),"")</f>
        <v/>
      </c>
    </row>
    <row r="3738">
      <c r="A3738" s="2" t="n"/>
      <c r="B3738">
        <f>LOWER(TRIM(A3738))</f>
        <v/>
      </c>
      <c r="C3738">
        <f>IF(B3738="","",IFERROR(INDEX('Bad Patterns'!$A$2:$A$120,MATCH(1,INDEX(--ISNUMBER(SEARCH('Bad Patterns'!$A$2:$A$120,B3738)),0),0)),""))</f>
        <v/>
      </c>
      <c r="D3738">
        <f>IF(B3738="","",IF(C3738&lt;&gt;"","REMOVE","KEEP"))</f>
        <v/>
      </c>
      <c r="E3738">
        <f>IF(D3738&lt;&gt;"KEEP","",IF(RIGHT(B3738,10)="@gmail.com","Gmail",IF(OR(RIGHT(B3738,12)="@outlook.com",RIGHT(B3738,12)="@hotmail.com",RIGHT(B3738,9)="@live.com"),"Outlook","Domain")))</f>
        <v/>
      </c>
      <c r="F3738">
        <f>IF(B3738="","",IFERROR(RIGHT(B3738,LEN(B3738)-FIND("@",B3738)),""))</f>
        <v/>
      </c>
      <c r="G3738">
        <f>IF(D3738="KEEP",COUNTIF($D$2:D3738,"KEEP"),"")</f>
        <v/>
      </c>
      <c r="H3738">
        <f>IF(D3738="REMOVE",COUNTIF($D$2:D3738,"REMOVE"),"")</f>
        <v/>
      </c>
      <c r="I3738">
        <f>IF(E3738="Gmail",COUNTIF($E$2:E3738,"Gmail"),"")</f>
        <v/>
      </c>
      <c r="J3738">
        <f>IF(E3738="Outlook",COUNTIF($E$2:E3738,"Outlook"),"")</f>
        <v/>
      </c>
      <c r="K3738">
        <f>IF(E3738="Domain",COUNTIF($E$2:E3738,"Domain"),"")</f>
        <v/>
      </c>
    </row>
    <row r="3739">
      <c r="A3739" s="2" t="n"/>
      <c r="B3739">
        <f>LOWER(TRIM(A3739))</f>
        <v/>
      </c>
      <c r="C3739">
        <f>IF(B3739="","",IFERROR(INDEX('Bad Patterns'!$A$2:$A$120,MATCH(1,INDEX(--ISNUMBER(SEARCH('Bad Patterns'!$A$2:$A$120,B3739)),0),0)),""))</f>
        <v/>
      </c>
      <c r="D3739">
        <f>IF(B3739="","",IF(C3739&lt;&gt;"","REMOVE","KEEP"))</f>
        <v/>
      </c>
      <c r="E3739">
        <f>IF(D3739&lt;&gt;"KEEP","",IF(RIGHT(B3739,10)="@gmail.com","Gmail",IF(OR(RIGHT(B3739,12)="@outlook.com",RIGHT(B3739,12)="@hotmail.com",RIGHT(B3739,9)="@live.com"),"Outlook","Domain")))</f>
        <v/>
      </c>
      <c r="F3739">
        <f>IF(B3739="","",IFERROR(RIGHT(B3739,LEN(B3739)-FIND("@",B3739)),""))</f>
        <v/>
      </c>
      <c r="G3739">
        <f>IF(D3739="KEEP",COUNTIF($D$2:D3739,"KEEP"),"")</f>
        <v/>
      </c>
      <c r="H3739">
        <f>IF(D3739="REMOVE",COUNTIF($D$2:D3739,"REMOVE"),"")</f>
        <v/>
      </c>
      <c r="I3739">
        <f>IF(E3739="Gmail",COUNTIF($E$2:E3739,"Gmail"),"")</f>
        <v/>
      </c>
      <c r="J3739">
        <f>IF(E3739="Outlook",COUNTIF($E$2:E3739,"Outlook"),"")</f>
        <v/>
      </c>
      <c r="K3739">
        <f>IF(E3739="Domain",COUNTIF($E$2:E3739,"Domain"),"")</f>
        <v/>
      </c>
    </row>
    <row r="3740">
      <c r="A3740" s="2" t="n"/>
      <c r="B3740">
        <f>LOWER(TRIM(A3740))</f>
        <v/>
      </c>
      <c r="C3740">
        <f>IF(B3740="","",IFERROR(INDEX('Bad Patterns'!$A$2:$A$120,MATCH(1,INDEX(--ISNUMBER(SEARCH('Bad Patterns'!$A$2:$A$120,B3740)),0),0)),""))</f>
        <v/>
      </c>
      <c r="D3740">
        <f>IF(B3740="","",IF(C3740&lt;&gt;"","REMOVE","KEEP"))</f>
        <v/>
      </c>
      <c r="E3740">
        <f>IF(D3740&lt;&gt;"KEEP","",IF(RIGHT(B3740,10)="@gmail.com","Gmail",IF(OR(RIGHT(B3740,12)="@outlook.com",RIGHT(B3740,12)="@hotmail.com",RIGHT(B3740,9)="@live.com"),"Outlook","Domain")))</f>
        <v/>
      </c>
      <c r="F3740">
        <f>IF(B3740="","",IFERROR(RIGHT(B3740,LEN(B3740)-FIND("@",B3740)),""))</f>
        <v/>
      </c>
      <c r="G3740">
        <f>IF(D3740="KEEP",COUNTIF($D$2:D3740,"KEEP"),"")</f>
        <v/>
      </c>
      <c r="H3740">
        <f>IF(D3740="REMOVE",COUNTIF($D$2:D3740,"REMOVE"),"")</f>
        <v/>
      </c>
      <c r="I3740">
        <f>IF(E3740="Gmail",COUNTIF($E$2:E3740,"Gmail"),"")</f>
        <v/>
      </c>
      <c r="J3740">
        <f>IF(E3740="Outlook",COUNTIF($E$2:E3740,"Outlook"),"")</f>
        <v/>
      </c>
      <c r="K3740">
        <f>IF(E3740="Domain",COUNTIF($E$2:E3740,"Domain"),"")</f>
        <v/>
      </c>
    </row>
    <row r="3741">
      <c r="A3741" s="2" t="n"/>
      <c r="B3741">
        <f>LOWER(TRIM(A3741))</f>
        <v/>
      </c>
      <c r="C3741">
        <f>IF(B3741="","",IFERROR(INDEX('Bad Patterns'!$A$2:$A$120,MATCH(1,INDEX(--ISNUMBER(SEARCH('Bad Patterns'!$A$2:$A$120,B3741)),0),0)),""))</f>
        <v/>
      </c>
      <c r="D3741">
        <f>IF(B3741="","",IF(C3741&lt;&gt;"","REMOVE","KEEP"))</f>
        <v/>
      </c>
      <c r="E3741">
        <f>IF(D3741&lt;&gt;"KEEP","",IF(RIGHT(B3741,10)="@gmail.com","Gmail",IF(OR(RIGHT(B3741,12)="@outlook.com",RIGHT(B3741,12)="@hotmail.com",RIGHT(B3741,9)="@live.com"),"Outlook","Domain")))</f>
        <v/>
      </c>
      <c r="F3741">
        <f>IF(B3741="","",IFERROR(RIGHT(B3741,LEN(B3741)-FIND("@",B3741)),""))</f>
        <v/>
      </c>
      <c r="G3741">
        <f>IF(D3741="KEEP",COUNTIF($D$2:D3741,"KEEP"),"")</f>
        <v/>
      </c>
      <c r="H3741">
        <f>IF(D3741="REMOVE",COUNTIF($D$2:D3741,"REMOVE"),"")</f>
        <v/>
      </c>
      <c r="I3741">
        <f>IF(E3741="Gmail",COUNTIF($E$2:E3741,"Gmail"),"")</f>
        <v/>
      </c>
      <c r="J3741">
        <f>IF(E3741="Outlook",COUNTIF($E$2:E3741,"Outlook"),"")</f>
        <v/>
      </c>
      <c r="K3741">
        <f>IF(E3741="Domain",COUNTIF($E$2:E3741,"Domain"),"")</f>
        <v/>
      </c>
    </row>
    <row r="3742">
      <c r="A3742" s="2" t="n"/>
      <c r="B3742">
        <f>LOWER(TRIM(A3742))</f>
        <v/>
      </c>
      <c r="C3742">
        <f>IF(B3742="","",IFERROR(INDEX('Bad Patterns'!$A$2:$A$120,MATCH(1,INDEX(--ISNUMBER(SEARCH('Bad Patterns'!$A$2:$A$120,B3742)),0),0)),""))</f>
        <v/>
      </c>
      <c r="D3742">
        <f>IF(B3742="","",IF(C3742&lt;&gt;"","REMOVE","KEEP"))</f>
        <v/>
      </c>
      <c r="E3742">
        <f>IF(D3742&lt;&gt;"KEEP","",IF(RIGHT(B3742,10)="@gmail.com","Gmail",IF(OR(RIGHT(B3742,12)="@outlook.com",RIGHT(B3742,12)="@hotmail.com",RIGHT(B3742,9)="@live.com"),"Outlook","Domain")))</f>
        <v/>
      </c>
      <c r="F3742">
        <f>IF(B3742="","",IFERROR(RIGHT(B3742,LEN(B3742)-FIND("@",B3742)),""))</f>
        <v/>
      </c>
      <c r="G3742">
        <f>IF(D3742="KEEP",COUNTIF($D$2:D3742,"KEEP"),"")</f>
        <v/>
      </c>
      <c r="H3742">
        <f>IF(D3742="REMOVE",COUNTIF($D$2:D3742,"REMOVE"),"")</f>
        <v/>
      </c>
      <c r="I3742">
        <f>IF(E3742="Gmail",COUNTIF($E$2:E3742,"Gmail"),"")</f>
        <v/>
      </c>
      <c r="J3742">
        <f>IF(E3742="Outlook",COUNTIF($E$2:E3742,"Outlook"),"")</f>
        <v/>
      </c>
      <c r="K3742">
        <f>IF(E3742="Domain",COUNTIF($E$2:E3742,"Domain"),"")</f>
        <v/>
      </c>
    </row>
    <row r="3743">
      <c r="A3743" s="2" t="n"/>
      <c r="B3743">
        <f>LOWER(TRIM(A3743))</f>
        <v/>
      </c>
      <c r="C3743">
        <f>IF(B3743="","",IFERROR(INDEX('Bad Patterns'!$A$2:$A$120,MATCH(1,INDEX(--ISNUMBER(SEARCH('Bad Patterns'!$A$2:$A$120,B3743)),0),0)),""))</f>
        <v/>
      </c>
      <c r="D3743">
        <f>IF(B3743="","",IF(C3743&lt;&gt;"","REMOVE","KEEP"))</f>
        <v/>
      </c>
      <c r="E3743">
        <f>IF(D3743&lt;&gt;"KEEP","",IF(RIGHT(B3743,10)="@gmail.com","Gmail",IF(OR(RIGHT(B3743,12)="@outlook.com",RIGHT(B3743,12)="@hotmail.com",RIGHT(B3743,9)="@live.com"),"Outlook","Domain")))</f>
        <v/>
      </c>
      <c r="F3743">
        <f>IF(B3743="","",IFERROR(RIGHT(B3743,LEN(B3743)-FIND("@",B3743)),""))</f>
        <v/>
      </c>
      <c r="G3743">
        <f>IF(D3743="KEEP",COUNTIF($D$2:D3743,"KEEP"),"")</f>
        <v/>
      </c>
      <c r="H3743">
        <f>IF(D3743="REMOVE",COUNTIF($D$2:D3743,"REMOVE"),"")</f>
        <v/>
      </c>
      <c r="I3743">
        <f>IF(E3743="Gmail",COUNTIF($E$2:E3743,"Gmail"),"")</f>
        <v/>
      </c>
      <c r="J3743">
        <f>IF(E3743="Outlook",COUNTIF($E$2:E3743,"Outlook"),"")</f>
        <v/>
      </c>
      <c r="K3743">
        <f>IF(E3743="Domain",COUNTIF($E$2:E3743,"Domain"),"")</f>
        <v/>
      </c>
    </row>
    <row r="3744">
      <c r="A3744" s="2" t="n"/>
      <c r="B3744">
        <f>LOWER(TRIM(A3744))</f>
        <v/>
      </c>
      <c r="C3744">
        <f>IF(B3744="","",IFERROR(INDEX('Bad Patterns'!$A$2:$A$120,MATCH(1,INDEX(--ISNUMBER(SEARCH('Bad Patterns'!$A$2:$A$120,B3744)),0),0)),""))</f>
        <v/>
      </c>
      <c r="D3744">
        <f>IF(B3744="","",IF(C3744&lt;&gt;"","REMOVE","KEEP"))</f>
        <v/>
      </c>
      <c r="E3744">
        <f>IF(D3744&lt;&gt;"KEEP","",IF(RIGHT(B3744,10)="@gmail.com","Gmail",IF(OR(RIGHT(B3744,12)="@outlook.com",RIGHT(B3744,12)="@hotmail.com",RIGHT(B3744,9)="@live.com"),"Outlook","Domain")))</f>
        <v/>
      </c>
      <c r="F3744">
        <f>IF(B3744="","",IFERROR(RIGHT(B3744,LEN(B3744)-FIND("@",B3744)),""))</f>
        <v/>
      </c>
      <c r="G3744">
        <f>IF(D3744="KEEP",COUNTIF($D$2:D3744,"KEEP"),"")</f>
        <v/>
      </c>
      <c r="H3744">
        <f>IF(D3744="REMOVE",COUNTIF($D$2:D3744,"REMOVE"),"")</f>
        <v/>
      </c>
      <c r="I3744">
        <f>IF(E3744="Gmail",COUNTIF($E$2:E3744,"Gmail"),"")</f>
        <v/>
      </c>
      <c r="J3744">
        <f>IF(E3744="Outlook",COUNTIF($E$2:E3744,"Outlook"),"")</f>
        <v/>
      </c>
      <c r="K3744">
        <f>IF(E3744="Domain",COUNTIF($E$2:E3744,"Domain"),"")</f>
        <v/>
      </c>
    </row>
    <row r="3745">
      <c r="A3745" s="2" t="n"/>
      <c r="B3745">
        <f>LOWER(TRIM(A3745))</f>
        <v/>
      </c>
      <c r="C3745">
        <f>IF(B3745="","",IFERROR(INDEX('Bad Patterns'!$A$2:$A$120,MATCH(1,INDEX(--ISNUMBER(SEARCH('Bad Patterns'!$A$2:$A$120,B3745)),0),0)),""))</f>
        <v/>
      </c>
      <c r="D3745">
        <f>IF(B3745="","",IF(C3745&lt;&gt;"","REMOVE","KEEP"))</f>
        <v/>
      </c>
      <c r="E3745">
        <f>IF(D3745&lt;&gt;"KEEP","",IF(RIGHT(B3745,10)="@gmail.com","Gmail",IF(OR(RIGHT(B3745,12)="@outlook.com",RIGHT(B3745,12)="@hotmail.com",RIGHT(B3745,9)="@live.com"),"Outlook","Domain")))</f>
        <v/>
      </c>
      <c r="F3745">
        <f>IF(B3745="","",IFERROR(RIGHT(B3745,LEN(B3745)-FIND("@",B3745)),""))</f>
        <v/>
      </c>
      <c r="G3745">
        <f>IF(D3745="KEEP",COUNTIF($D$2:D3745,"KEEP"),"")</f>
        <v/>
      </c>
      <c r="H3745">
        <f>IF(D3745="REMOVE",COUNTIF($D$2:D3745,"REMOVE"),"")</f>
        <v/>
      </c>
      <c r="I3745">
        <f>IF(E3745="Gmail",COUNTIF($E$2:E3745,"Gmail"),"")</f>
        <v/>
      </c>
      <c r="J3745">
        <f>IF(E3745="Outlook",COUNTIF($E$2:E3745,"Outlook"),"")</f>
        <v/>
      </c>
      <c r="K3745">
        <f>IF(E3745="Domain",COUNTIF($E$2:E3745,"Domain"),"")</f>
        <v/>
      </c>
    </row>
    <row r="3746">
      <c r="A3746" s="2" t="n"/>
      <c r="B3746">
        <f>LOWER(TRIM(A3746))</f>
        <v/>
      </c>
      <c r="C3746">
        <f>IF(B3746="","",IFERROR(INDEX('Bad Patterns'!$A$2:$A$120,MATCH(1,INDEX(--ISNUMBER(SEARCH('Bad Patterns'!$A$2:$A$120,B3746)),0),0)),""))</f>
        <v/>
      </c>
      <c r="D3746">
        <f>IF(B3746="","",IF(C3746&lt;&gt;"","REMOVE","KEEP"))</f>
        <v/>
      </c>
      <c r="E3746">
        <f>IF(D3746&lt;&gt;"KEEP","",IF(RIGHT(B3746,10)="@gmail.com","Gmail",IF(OR(RIGHT(B3746,12)="@outlook.com",RIGHT(B3746,12)="@hotmail.com",RIGHT(B3746,9)="@live.com"),"Outlook","Domain")))</f>
        <v/>
      </c>
      <c r="F3746">
        <f>IF(B3746="","",IFERROR(RIGHT(B3746,LEN(B3746)-FIND("@",B3746)),""))</f>
        <v/>
      </c>
      <c r="G3746">
        <f>IF(D3746="KEEP",COUNTIF($D$2:D3746,"KEEP"),"")</f>
        <v/>
      </c>
      <c r="H3746">
        <f>IF(D3746="REMOVE",COUNTIF($D$2:D3746,"REMOVE"),"")</f>
        <v/>
      </c>
      <c r="I3746">
        <f>IF(E3746="Gmail",COUNTIF($E$2:E3746,"Gmail"),"")</f>
        <v/>
      </c>
      <c r="J3746">
        <f>IF(E3746="Outlook",COUNTIF($E$2:E3746,"Outlook"),"")</f>
        <v/>
      </c>
      <c r="K3746">
        <f>IF(E3746="Domain",COUNTIF($E$2:E3746,"Domain"),"")</f>
        <v/>
      </c>
    </row>
    <row r="3747">
      <c r="A3747" s="2" t="n"/>
      <c r="B3747">
        <f>LOWER(TRIM(A3747))</f>
        <v/>
      </c>
      <c r="C3747">
        <f>IF(B3747="","",IFERROR(INDEX('Bad Patterns'!$A$2:$A$120,MATCH(1,INDEX(--ISNUMBER(SEARCH('Bad Patterns'!$A$2:$A$120,B3747)),0),0)),""))</f>
        <v/>
      </c>
      <c r="D3747">
        <f>IF(B3747="","",IF(C3747&lt;&gt;"","REMOVE","KEEP"))</f>
        <v/>
      </c>
      <c r="E3747">
        <f>IF(D3747&lt;&gt;"KEEP","",IF(RIGHT(B3747,10)="@gmail.com","Gmail",IF(OR(RIGHT(B3747,12)="@outlook.com",RIGHT(B3747,12)="@hotmail.com",RIGHT(B3747,9)="@live.com"),"Outlook","Domain")))</f>
        <v/>
      </c>
      <c r="F3747">
        <f>IF(B3747="","",IFERROR(RIGHT(B3747,LEN(B3747)-FIND("@",B3747)),""))</f>
        <v/>
      </c>
      <c r="G3747">
        <f>IF(D3747="KEEP",COUNTIF($D$2:D3747,"KEEP"),"")</f>
        <v/>
      </c>
      <c r="H3747">
        <f>IF(D3747="REMOVE",COUNTIF($D$2:D3747,"REMOVE"),"")</f>
        <v/>
      </c>
      <c r="I3747">
        <f>IF(E3747="Gmail",COUNTIF($E$2:E3747,"Gmail"),"")</f>
        <v/>
      </c>
      <c r="J3747">
        <f>IF(E3747="Outlook",COUNTIF($E$2:E3747,"Outlook"),"")</f>
        <v/>
      </c>
      <c r="K3747">
        <f>IF(E3747="Domain",COUNTIF($E$2:E3747,"Domain"),"")</f>
        <v/>
      </c>
    </row>
    <row r="3748">
      <c r="A3748" s="2" t="n"/>
      <c r="B3748">
        <f>LOWER(TRIM(A3748))</f>
        <v/>
      </c>
      <c r="C3748">
        <f>IF(B3748="","",IFERROR(INDEX('Bad Patterns'!$A$2:$A$120,MATCH(1,INDEX(--ISNUMBER(SEARCH('Bad Patterns'!$A$2:$A$120,B3748)),0),0)),""))</f>
        <v/>
      </c>
      <c r="D3748">
        <f>IF(B3748="","",IF(C3748&lt;&gt;"","REMOVE","KEEP"))</f>
        <v/>
      </c>
      <c r="E3748">
        <f>IF(D3748&lt;&gt;"KEEP","",IF(RIGHT(B3748,10)="@gmail.com","Gmail",IF(OR(RIGHT(B3748,12)="@outlook.com",RIGHT(B3748,12)="@hotmail.com",RIGHT(B3748,9)="@live.com"),"Outlook","Domain")))</f>
        <v/>
      </c>
      <c r="F3748">
        <f>IF(B3748="","",IFERROR(RIGHT(B3748,LEN(B3748)-FIND("@",B3748)),""))</f>
        <v/>
      </c>
      <c r="G3748">
        <f>IF(D3748="KEEP",COUNTIF($D$2:D3748,"KEEP"),"")</f>
        <v/>
      </c>
      <c r="H3748">
        <f>IF(D3748="REMOVE",COUNTIF($D$2:D3748,"REMOVE"),"")</f>
        <v/>
      </c>
      <c r="I3748">
        <f>IF(E3748="Gmail",COUNTIF($E$2:E3748,"Gmail"),"")</f>
        <v/>
      </c>
      <c r="J3748">
        <f>IF(E3748="Outlook",COUNTIF($E$2:E3748,"Outlook"),"")</f>
        <v/>
      </c>
      <c r="K3748">
        <f>IF(E3748="Domain",COUNTIF($E$2:E3748,"Domain"),"")</f>
        <v/>
      </c>
    </row>
    <row r="3749">
      <c r="A3749" s="2" t="n"/>
      <c r="B3749">
        <f>LOWER(TRIM(A3749))</f>
        <v/>
      </c>
      <c r="C3749">
        <f>IF(B3749="","",IFERROR(INDEX('Bad Patterns'!$A$2:$A$120,MATCH(1,INDEX(--ISNUMBER(SEARCH('Bad Patterns'!$A$2:$A$120,B3749)),0),0)),""))</f>
        <v/>
      </c>
      <c r="D3749">
        <f>IF(B3749="","",IF(C3749&lt;&gt;"","REMOVE","KEEP"))</f>
        <v/>
      </c>
      <c r="E3749">
        <f>IF(D3749&lt;&gt;"KEEP","",IF(RIGHT(B3749,10)="@gmail.com","Gmail",IF(OR(RIGHT(B3749,12)="@outlook.com",RIGHT(B3749,12)="@hotmail.com",RIGHT(B3749,9)="@live.com"),"Outlook","Domain")))</f>
        <v/>
      </c>
      <c r="F3749">
        <f>IF(B3749="","",IFERROR(RIGHT(B3749,LEN(B3749)-FIND("@",B3749)),""))</f>
        <v/>
      </c>
      <c r="G3749">
        <f>IF(D3749="KEEP",COUNTIF($D$2:D3749,"KEEP"),"")</f>
        <v/>
      </c>
      <c r="H3749">
        <f>IF(D3749="REMOVE",COUNTIF($D$2:D3749,"REMOVE"),"")</f>
        <v/>
      </c>
      <c r="I3749">
        <f>IF(E3749="Gmail",COUNTIF($E$2:E3749,"Gmail"),"")</f>
        <v/>
      </c>
      <c r="J3749">
        <f>IF(E3749="Outlook",COUNTIF($E$2:E3749,"Outlook"),"")</f>
        <v/>
      </c>
      <c r="K3749">
        <f>IF(E3749="Domain",COUNTIF($E$2:E3749,"Domain"),"")</f>
        <v/>
      </c>
    </row>
    <row r="3750">
      <c r="A3750" s="2" t="n"/>
      <c r="B3750">
        <f>LOWER(TRIM(A3750))</f>
        <v/>
      </c>
      <c r="C3750">
        <f>IF(B3750="","",IFERROR(INDEX('Bad Patterns'!$A$2:$A$120,MATCH(1,INDEX(--ISNUMBER(SEARCH('Bad Patterns'!$A$2:$A$120,B3750)),0),0)),""))</f>
        <v/>
      </c>
      <c r="D3750">
        <f>IF(B3750="","",IF(C3750&lt;&gt;"","REMOVE","KEEP"))</f>
        <v/>
      </c>
      <c r="E3750">
        <f>IF(D3750&lt;&gt;"KEEP","",IF(RIGHT(B3750,10)="@gmail.com","Gmail",IF(OR(RIGHT(B3750,12)="@outlook.com",RIGHT(B3750,12)="@hotmail.com",RIGHT(B3750,9)="@live.com"),"Outlook","Domain")))</f>
        <v/>
      </c>
      <c r="F3750">
        <f>IF(B3750="","",IFERROR(RIGHT(B3750,LEN(B3750)-FIND("@",B3750)),""))</f>
        <v/>
      </c>
      <c r="G3750">
        <f>IF(D3750="KEEP",COUNTIF($D$2:D3750,"KEEP"),"")</f>
        <v/>
      </c>
      <c r="H3750">
        <f>IF(D3750="REMOVE",COUNTIF($D$2:D3750,"REMOVE"),"")</f>
        <v/>
      </c>
      <c r="I3750">
        <f>IF(E3750="Gmail",COUNTIF($E$2:E3750,"Gmail"),"")</f>
        <v/>
      </c>
      <c r="J3750">
        <f>IF(E3750="Outlook",COUNTIF($E$2:E3750,"Outlook"),"")</f>
        <v/>
      </c>
      <c r="K3750">
        <f>IF(E3750="Domain",COUNTIF($E$2:E3750,"Domain"),"")</f>
        <v/>
      </c>
    </row>
    <row r="3751">
      <c r="A3751" s="2" t="n"/>
      <c r="B3751">
        <f>LOWER(TRIM(A3751))</f>
        <v/>
      </c>
      <c r="C3751">
        <f>IF(B3751="","",IFERROR(INDEX('Bad Patterns'!$A$2:$A$120,MATCH(1,INDEX(--ISNUMBER(SEARCH('Bad Patterns'!$A$2:$A$120,B3751)),0),0)),""))</f>
        <v/>
      </c>
      <c r="D3751">
        <f>IF(B3751="","",IF(C3751&lt;&gt;"","REMOVE","KEEP"))</f>
        <v/>
      </c>
      <c r="E3751">
        <f>IF(D3751&lt;&gt;"KEEP","",IF(RIGHT(B3751,10)="@gmail.com","Gmail",IF(OR(RIGHT(B3751,12)="@outlook.com",RIGHT(B3751,12)="@hotmail.com",RIGHT(B3751,9)="@live.com"),"Outlook","Domain")))</f>
        <v/>
      </c>
      <c r="F3751">
        <f>IF(B3751="","",IFERROR(RIGHT(B3751,LEN(B3751)-FIND("@",B3751)),""))</f>
        <v/>
      </c>
      <c r="G3751">
        <f>IF(D3751="KEEP",COUNTIF($D$2:D3751,"KEEP"),"")</f>
        <v/>
      </c>
      <c r="H3751">
        <f>IF(D3751="REMOVE",COUNTIF($D$2:D3751,"REMOVE"),"")</f>
        <v/>
      </c>
      <c r="I3751">
        <f>IF(E3751="Gmail",COUNTIF($E$2:E3751,"Gmail"),"")</f>
        <v/>
      </c>
      <c r="J3751">
        <f>IF(E3751="Outlook",COUNTIF($E$2:E3751,"Outlook"),"")</f>
        <v/>
      </c>
      <c r="K3751">
        <f>IF(E3751="Domain",COUNTIF($E$2:E3751,"Domain"),"")</f>
        <v/>
      </c>
    </row>
    <row r="3752">
      <c r="A3752" s="2" t="n"/>
      <c r="B3752">
        <f>LOWER(TRIM(A3752))</f>
        <v/>
      </c>
      <c r="C3752">
        <f>IF(B3752="","",IFERROR(INDEX('Bad Patterns'!$A$2:$A$120,MATCH(1,INDEX(--ISNUMBER(SEARCH('Bad Patterns'!$A$2:$A$120,B3752)),0),0)),""))</f>
        <v/>
      </c>
      <c r="D3752">
        <f>IF(B3752="","",IF(C3752&lt;&gt;"","REMOVE","KEEP"))</f>
        <v/>
      </c>
      <c r="E3752">
        <f>IF(D3752&lt;&gt;"KEEP","",IF(RIGHT(B3752,10)="@gmail.com","Gmail",IF(OR(RIGHT(B3752,12)="@outlook.com",RIGHT(B3752,12)="@hotmail.com",RIGHT(B3752,9)="@live.com"),"Outlook","Domain")))</f>
        <v/>
      </c>
      <c r="F3752">
        <f>IF(B3752="","",IFERROR(RIGHT(B3752,LEN(B3752)-FIND("@",B3752)),""))</f>
        <v/>
      </c>
      <c r="G3752">
        <f>IF(D3752="KEEP",COUNTIF($D$2:D3752,"KEEP"),"")</f>
        <v/>
      </c>
      <c r="H3752">
        <f>IF(D3752="REMOVE",COUNTIF($D$2:D3752,"REMOVE"),"")</f>
        <v/>
      </c>
      <c r="I3752">
        <f>IF(E3752="Gmail",COUNTIF($E$2:E3752,"Gmail"),"")</f>
        <v/>
      </c>
      <c r="J3752">
        <f>IF(E3752="Outlook",COUNTIF($E$2:E3752,"Outlook"),"")</f>
        <v/>
      </c>
      <c r="K3752">
        <f>IF(E3752="Domain",COUNTIF($E$2:E3752,"Domain"),"")</f>
        <v/>
      </c>
    </row>
    <row r="3753">
      <c r="A3753" s="2" t="n"/>
      <c r="B3753">
        <f>LOWER(TRIM(A3753))</f>
        <v/>
      </c>
      <c r="C3753">
        <f>IF(B3753="","",IFERROR(INDEX('Bad Patterns'!$A$2:$A$120,MATCH(1,INDEX(--ISNUMBER(SEARCH('Bad Patterns'!$A$2:$A$120,B3753)),0),0)),""))</f>
        <v/>
      </c>
      <c r="D3753">
        <f>IF(B3753="","",IF(C3753&lt;&gt;"","REMOVE","KEEP"))</f>
        <v/>
      </c>
      <c r="E3753">
        <f>IF(D3753&lt;&gt;"KEEP","",IF(RIGHT(B3753,10)="@gmail.com","Gmail",IF(OR(RIGHT(B3753,12)="@outlook.com",RIGHT(B3753,12)="@hotmail.com",RIGHT(B3753,9)="@live.com"),"Outlook","Domain")))</f>
        <v/>
      </c>
      <c r="F3753">
        <f>IF(B3753="","",IFERROR(RIGHT(B3753,LEN(B3753)-FIND("@",B3753)),""))</f>
        <v/>
      </c>
      <c r="G3753">
        <f>IF(D3753="KEEP",COUNTIF($D$2:D3753,"KEEP"),"")</f>
        <v/>
      </c>
      <c r="H3753">
        <f>IF(D3753="REMOVE",COUNTIF($D$2:D3753,"REMOVE"),"")</f>
        <v/>
      </c>
      <c r="I3753">
        <f>IF(E3753="Gmail",COUNTIF($E$2:E3753,"Gmail"),"")</f>
        <v/>
      </c>
      <c r="J3753">
        <f>IF(E3753="Outlook",COUNTIF($E$2:E3753,"Outlook"),"")</f>
        <v/>
      </c>
      <c r="K3753">
        <f>IF(E3753="Domain",COUNTIF($E$2:E3753,"Domain"),"")</f>
        <v/>
      </c>
    </row>
    <row r="3754">
      <c r="A3754" s="2" t="n"/>
      <c r="B3754">
        <f>LOWER(TRIM(A3754))</f>
        <v/>
      </c>
      <c r="C3754">
        <f>IF(B3754="","",IFERROR(INDEX('Bad Patterns'!$A$2:$A$120,MATCH(1,INDEX(--ISNUMBER(SEARCH('Bad Patterns'!$A$2:$A$120,B3754)),0),0)),""))</f>
        <v/>
      </c>
      <c r="D3754">
        <f>IF(B3754="","",IF(C3754&lt;&gt;"","REMOVE","KEEP"))</f>
        <v/>
      </c>
      <c r="E3754">
        <f>IF(D3754&lt;&gt;"KEEP","",IF(RIGHT(B3754,10)="@gmail.com","Gmail",IF(OR(RIGHT(B3754,12)="@outlook.com",RIGHT(B3754,12)="@hotmail.com",RIGHT(B3754,9)="@live.com"),"Outlook","Domain")))</f>
        <v/>
      </c>
      <c r="F3754">
        <f>IF(B3754="","",IFERROR(RIGHT(B3754,LEN(B3754)-FIND("@",B3754)),""))</f>
        <v/>
      </c>
      <c r="G3754">
        <f>IF(D3754="KEEP",COUNTIF($D$2:D3754,"KEEP"),"")</f>
        <v/>
      </c>
      <c r="H3754">
        <f>IF(D3754="REMOVE",COUNTIF($D$2:D3754,"REMOVE"),"")</f>
        <v/>
      </c>
      <c r="I3754">
        <f>IF(E3754="Gmail",COUNTIF($E$2:E3754,"Gmail"),"")</f>
        <v/>
      </c>
      <c r="J3754">
        <f>IF(E3754="Outlook",COUNTIF($E$2:E3754,"Outlook"),"")</f>
        <v/>
      </c>
      <c r="K3754">
        <f>IF(E3754="Domain",COUNTIF($E$2:E3754,"Domain"),"")</f>
        <v/>
      </c>
    </row>
    <row r="3755">
      <c r="A3755" s="2" t="n"/>
      <c r="B3755">
        <f>LOWER(TRIM(A3755))</f>
        <v/>
      </c>
      <c r="C3755">
        <f>IF(B3755="","",IFERROR(INDEX('Bad Patterns'!$A$2:$A$120,MATCH(1,INDEX(--ISNUMBER(SEARCH('Bad Patterns'!$A$2:$A$120,B3755)),0),0)),""))</f>
        <v/>
      </c>
      <c r="D3755">
        <f>IF(B3755="","",IF(C3755&lt;&gt;"","REMOVE","KEEP"))</f>
        <v/>
      </c>
      <c r="E3755">
        <f>IF(D3755&lt;&gt;"KEEP","",IF(RIGHT(B3755,10)="@gmail.com","Gmail",IF(OR(RIGHT(B3755,12)="@outlook.com",RIGHT(B3755,12)="@hotmail.com",RIGHT(B3755,9)="@live.com"),"Outlook","Domain")))</f>
        <v/>
      </c>
      <c r="F3755">
        <f>IF(B3755="","",IFERROR(RIGHT(B3755,LEN(B3755)-FIND("@",B3755)),""))</f>
        <v/>
      </c>
      <c r="G3755">
        <f>IF(D3755="KEEP",COUNTIF($D$2:D3755,"KEEP"),"")</f>
        <v/>
      </c>
      <c r="H3755">
        <f>IF(D3755="REMOVE",COUNTIF($D$2:D3755,"REMOVE"),"")</f>
        <v/>
      </c>
      <c r="I3755">
        <f>IF(E3755="Gmail",COUNTIF($E$2:E3755,"Gmail"),"")</f>
        <v/>
      </c>
      <c r="J3755">
        <f>IF(E3755="Outlook",COUNTIF($E$2:E3755,"Outlook"),"")</f>
        <v/>
      </c>
      <c r="K3755">
        <f>IF(E3755="Domain",COUNTIF($E$2:E3755,"Domain"),"")</f>
        <v/>
      </c>
    </row>
    <row r="3756">
      <c r="A3756" s="2" t="n"/>
      <c r="B3756">
        <f>LOWER(TRIM(A3756))</f>
        <v/>
      </c>
      <c r="C3756">
        <f>IF(B3756="","",IFERROR(INDEX('Bad Patterns'!$A$2:$A$120,MATCH(1,INDEX(--ISNUMBER(SEARCH('Bad Patterns'!$A$2:$A$120,B3756)),0),0)),""))</f>
        <v/>
      </c>
      <c r="D3756">
        <f>IF(B3756="","",IF(C3756&lt;&gt;"","REMOVE","KEEP"))</f>
        <v/>
      </c>
      <c r="E3756">
        <f>IF(D3756&lt;&gt;"KEEP","",IF(RIGHT(B3756,10)="@gmail.com","Gmail",IF(OR(RIGHT(B3756,12)="@outlook.com",RIGHT(B3756,12)="@hotmail.com",RIGHT(B3756,9)="@live.com"),"Outlook","Domain")))</f>
        <v/>
      </c>
      <c r="F3756">
        <f>IF(B3756="","",IFERROR(RIGHT(B3756,LEN(B3756)-FIND("@",B3756)),""))</f>
        <v/>
      </c>
      <c r="G3756">
        <f>IF(D3756="KEEP",COUNTIF($D$2:D3756,"KEEP"),"")</f>
        <v/>
      </c>
      <c r="H3756">
        <f>IF(D3756="REMOVE",COUNTIF($D$2:D3756,"REMOVE"),"")</f>
        <v/>
      </c>
      <c r="I3756">
        <f>IF(E3756="Gmail",COUNTIF($E$2:E3756,"Gmail"),"")</f>
        <v/>
      </c>
      <c r="J3756">
        <f>IF(E3756="Outlook",COUNTIF($E$2:E3756,"Outlook"),"")</f>
        <v/>
      </c>
      <c r="K3756">
        <f>IF(E3756="Domain",COUNTIF($E$2:E3756,"Domain"),"")</f>
        <v/>
      </c>
    </row>
    <row r="3757">
      <c r="A3757" s="2" t="n"/>
      <c r="B3757">
        <f>LOWER(TRIM(A3757))</f>
        <v/>
      </c>
      <c r="C3757">
        <f>IF(B3757="","",IFERROR(INDEX('Bad Patterns'!$A$2:$A$120,MATCH(1,INDEX(--ISNUMBER(SEARCH('Bad Patterns'!$A$2:$A$120,B3757)),0),0)),""))</f>
        <v/>
      </c>
      <c r="D3757">
        <f>IF(B3757="","",IF(C3757&lt;&gt;"","REMOVE","KEEP"))</f>
        <v/>
      </c>
      <c r="E3757">
        <f>IF(D3757&lt;&gt;"KEEP","",IF(RIGHT(B3757,10)="@gmail.com","Gmail",IF(OR(RIGHT(B3757,12)="@outlook.com",RIGHT(B3757,12)="@hotmail.com",RIGHT(B3757,9)="@live.com"),"Outlook","Domain")))</f>
        <v/>
      </c>
      <c r="F3757">
        <f>IF(B3757="","",IFERROR(RIGHT(B3757,LEN(B3757)-FIND("@",B3757)),""))</f>
        <v/>
      </c>
      <c r="G3757">
        <f>IF(D3757="KEEP",COUNTIF($D$2:D3757,"KEEP"),"")</f>
        <v/>
      </c>
      <c r="H3757">
        <f>IF(D3757="REMOVE",COUNTIF($D$2:D3757,"REMOVE"),"")</f>
        <v/>
      </c>
      <c r="I3757">
        <f>IF(E3757="Gmail",COUNTIF($E$2:E3757,"Gmail"),"")</f>
        <v/>
      </c>
      <c r="J3757">
        <f>IF(E3757="Outlook",COUNTIF($E$2:E3757,"Outlook"),"")</f>
        <v/>
      </c>
      <c r="K3757">
        <f>IF(E3757="Domain",COUNTIF($E$2:E3757,"Domain"),"")</f>
        <v/>
      </c>
    </row>
    <row r="3758">
      <c r="A3758" s="2" t="n"/>
      <c r="B3758">
        <f>LOWER(TRIM(A3758))</f>
        <v/>
      </c>
      <c r="C3758">
        <f>IF(B3758="","",IFERROR(INDEX('Bad Patterns'!$A$2:$A$120,MATCH(1,INDEX(--ISNUMBER(SEARCH('Bad Patterns'!$A$2:$A$120,B3758)),0),0)),""))</f>
        <v/>
      </c>
      <c r="D3758">
        <f>IF(B3758="","",IF(C3758&lt;&gt;"","REMOVE","KEEP"))</f>
        <v/>
      </c>
      <c r="E3758">
        <f>IF(D3758&lt;&gt;"KEEP","",IF(RIGHT(B3758,10)="@gmail.com","Gmail",IF(OR(RIGHT(B3758,12)="@outlook.com",RIGHT(B3758,12)="@hotmail.com",RIGHT(B3758,9)="@live.com"),"Outlook","Domain")))</f>
        <v/>
      </c>
      <c r="F3758">
        <f>IF(B3758="","",IFERROR(RIGHT(B3758,LEN(B3758)-FIND("@",B3758)),""))</f>
        <v/>
      </c>
      <c r="G3758">
        <f>IF(D3758="KEEP",COUNTIF($D$2:D3758,"KEEP"),"")</f>
        <v/>
      </c>
      <c r="H3758">
        <f>IF(D3758="REMOVE",COUNTIF($D$2:D3758,"REMOVE"),"")</f>
        <v/>
      </c>
      <c r="I3758">
        <f>IF(E3758="Gmail",COUNTIF($E$2:E3758,"Gmail"),"")</f>
        <v/>
      </c>
      <c r="J3758">
        <f>IF(E3758="Outlook",COUNTIF($E$2:E3758,"Outlook"),"")</f>
        <v/>
      </c>
      <c r="K3758">
        <f>IF(E3758="Domain",COUNTIF($E$2:E3758,"Domain"),"")</f>
        <v/>
      </c>
    </row>
    <row r="3759">
      <c r="A3759" s="2" t="n"/>
      <c r="B3759">
        <f>LOWER(TRIM(A3759))</f>
        <v/>
      </c>
      <c r="C3759">
        <f>IF(B3759="","",IFERROR(INDEX('Bad Patterns'!$A$2:$A$120,MATCH(1,INDEX(--ISNUMBER(SEARCH('Bad Patterns'!$A$2:$A$120,B3759)),0),0)),""))</f>
        <v/>
      </c>
      <c r="D3759">
        <f>IF(B3759="","",IF(C3759&lt;&gt;"","REMOVE","KEEP"))</f>
        <v/>
      </c>
      <c r="E3759">
        <f>IF(D3759&lt;&gt;"KEEP","",IF(RIGHT(B3759,10)="@gmail.com","Gmail",IF(OR(RIGHT(B3759,12)="@outlook.com",RIGHT(B3759,12)="@hotmail.com",RIGHT(B3759,9)="@live.com"),"Outlook","Domain")))</f>
        <v/>
      </c>
      <c r="F3759">
        <f>IF(B3759="","",IFERROR(RIGHT(B3759,LEN(B3759)-FIND("@",B3759)),""))</f>
        <v/>
      </c>
      <c r="G3759">
        <f>IF(D3759="KEEP",COUNTIF($D$2:D3759,"KEEP"),"")</f>
        <v/>
      </c>
      <c r="H3759">
        <f>IF(D3759="REMOVE",COUNTIF($D$2:D3759,"REMOVE"),"")</f>
        <v/>
      </c>
      <c r="I3759">
        <f>IF(E3759="Gmail",COUNTIF($E$2:E3759,"Gmail"),"")</f>
        <v/>
      </c>
      <c r="J3759">
        <f>IF(E3759="Outlook",COUNTIF($E$2:E3759,"Outlook"),"")</f>
        <v/>
      </c>
      <c r="K3759">
        <f>IF(E3759="Domain",COUNTIF($E$2:E3759,"Domain"),"")</f>
        <v/>
      </c>
    </row>
    <row r="3760">
      <c r="A3760" s="2" t="n"/>
      <c r="B3760">
        <f>LOWER(TRIM(A3760))</f>
        <v/>
      </c>
      <c r="C3760">
        <f>IF(B3760="","",IFERROR(INDEX('Bad Patterns'!$A$2:$A$120,MATCH(1,INDEX(--ISNUMBER(SEARCH('Bad Patterns'!$A$2:$A$120,B3760)),0),0)),""))</f>
        <v/>
      </c>
      <c r="D3760">
        <f>IF(B3760="","",IF(C3760&lt;&gt;"","REMOVE","KEEP"))</f>
        <v/>
      </c>
      <c r="E3760">
        <f>IF(D3760&lt;&gt;"KEEP","",IF(RIGHT(B3760,10)="@gmail.com","Gmail",IF(OR(RIGHT(B3760,12)="@outlook.com",RIGHT(B3760,12)="@hotmail.com",RIGHT(B3760,9)="@live.com"),"Outlook","Domain")))</f>
        <v/>
      </c>
      <c r="F3760">
        <f>IF(B3760="","",IFERROR(RIGHT(B3760,LEN(B3760)-FIND("@",B3760)),""))</f>
        <v/>
      </c>
      <c r="G3760">
        <f>IF(D3760="KEEP",COUNTIF($D$2:D3760,"KEEP"),"")</f>
        <v/>
      </c>
      <c r="H3760">
        <f>IF(D3760="REMOVE",COUNTIF($D$2:D3760,"REMOVE"),"")</f>
        <v/>
      </c>
      <c r="I3760">
        <f>IF(E3760="Gmail",COUNTIF($E$2:E3760,"Gmail"),"")</f>
        <v/>
      </c>
      <c r="J3760">
        <f>IF(E3760="Outlook",COUNTIF($E$2:E3760,"Outlook"),"")</f>
        <v/>
      </c>
      <c r="K3760">
        <f>IF(E3760="Domain",COUNTIF($E$2:E3760,"Domain"),"")</f>
        <v/>
      </c>
    </row>
    <row r="3761">
      <c r="A3761" s="2" t="n"/>
      <c r="B3761">
        <f>LOWER(TRIM(A3761))</f>
        <v/>
      </c>
      <c r="C3761">
        <f>IF(B3761="","",IFERROR(INDEX('Bad Patterns'!$A$2:$A$120,MATCH(1,INDEX(--ISNUMBER(SEARCH('Bad Patterns'!$A$2:$A$120,B3761)),0),0)),""))</f>
        <v/>
      </c>
      <c r="D3761">
        <f>IF(B3761="","",IF(C3761&lt;&gt;"","REMOVE","KEEP"))</f>
        <v/>
      </c>
      <c r="E3761">
        <f>IF(D3761&lt;&gt;"KEEP","",IF(RIGHT(B3761,10)="@gmail.com","Gmail",IF(OR(RIGHT(B3761,12)="@outlook.com",RIGHT(B3761,12)="@hotmail.com",RIGHT(B3761,9)="@live.com"),"Outlook","Domain")))</f>
        <v/>
      </c>
      <c r="F3761">
        <f>IF(B3761="","",IFERROR(RIGHT(B3761,LEN(B3761)-FIND("@",B3761)),""))</f>
        <v/>
      </c>
      <c r="G3761">
        <f>IF(D3761="KEEP",COUNTIF($D$2:D3761,"KEEP"),"")</f>
        <v/>
      </c>
      <c r="H3761">
        <f>IF(D3761="REMOVE",COUNTIF($D$2:D3761,"REMOVE"),"")</f>
        <v/>
      </c>
      <c r="I3761">
        <f>IF(E3761="Gmail",COUNTIF($E$2:E3761,"Gmail"),"")</f>
        <v/>
      </c>
      <c r="J3761">
        <f>IF(E3761="Outlook",COUNTIF($E$2:E3761,"Outlook"),"")</f>
        <v/>
      </c>
      <c r="K3761">
        <f>IF(E3761="Domain",COUNTIF($E$2:E3761,"Domain"),"")</f>
        <v/>
      </c>
    </row>
    <row r="3762">
      <c r="A3762" s="2" t="n"/>
      <c r="B3762">
        <f>LOWER(TRIM(A3762))</f>
        <v/>
      </c>
      <c r="C3762">
        <f>IF(B3762="","",IFERROR(INDEX('Bad Patterns'!$A$2:$A$120,MATCH(1,INDEX(--ISNUMBER(SEARCH('Bad Patterns'!$A$2:$A$120,B3762)),0),0)),""))</f>
        <v/>
      </c>
      <c r="D3762">
        <f>IF(B3762="","",IF(C3762&lt;&gt;"","REMOVE","KEEP"))</f>
        <v/>
      </c>
      <c r="E3762">
        <f>IF(D3762&lt;&gt;"KEEP","",IF(RIGHT(B3762,10)="@gmail.com","Gmail",IF(OR(RIGHT(B3762,12)="@outlook.com",RIGHT(B3762,12)="@hotmail.com",RIGHT(B3762,9)="@live.com"),"Outlook","Domain")))</f>
        <v/>
      </c>
      <c r="F3762">
        <f>IF(B3762="","",IFERROR(RIGHT(B3762,LEN(B3762)-FIND("@",B3762)),""))</f>
        <v/>
      </c>
      <c r="G3762">
        <f>IF(D3762="KEEP",COUNTIF($D$2:D3762,"KEEP"),"")</f>
        <v/>
      </c>
      <c r="H3762">
        <f>IF(D3762="REMOVE",COUNTIF($D$2:D3762,"REMOVE"),"")</f>
        <v/>
      </c>
      <c r="I3762">
        <f>IF(E3762="Gmail",COUNTIF($E$2:E3762,"Gmail"),"")</f>
        <v/>
      </c>
      <c r="J3762">
        <f>IF(E3762="Outlook",COUNTIF($E$2:E3762,"Outlook"),"")</f>
        <v/>
      </c>
      <c r="K3762">
        <f>IF(E3762="Domain",COUNTIF($E$2:E3762,"Domain"),"")</f>
        <v/>
      </c>
    </row>
    <row r="3763">
      <c r="A3763" s="2" t="n"/>
      <c r="B3763">
        <f>LOWER(TRIM(A3763))</f>
        <v/>
      </c>
      <c r="C3763">
        <f>IF(B3763="","",IFERROR(INDEX('Bad Patterns'!$A$2:$A$120,MATCH(1,INDEX(--ISNUMBER(SEARCH('Bad Patterns'!$A$2:$A$120,B3763)),0),0)),""))</f>
        <v/>
      </c>
      <c r="D3763">
        <f>IF(B3763="","",IF(C3763&lt;&gt;"","REMOVE","KEEP"))</f>
        <v/>
      </c>
      <c r="E3763">
        <f>IF(D3763&lt;&gt;"KEEP","",IF(RIGHT(B3763,10)="@gmail.com","Gmail",IF(OR(RIGHT(B3763,12)="@outlook.com",RIGHT(B3763,12)="@hotmail.com",RIGHT(B3763,9)="@live.com"),"Outlook","Domain")))</f>
        <v/>
      </c>
      <c r="F3763">
        <f>IF(B3763="","",IFERROR(RIGHT(B3763,LEN(B3763)-FIND("@",B3763)),""))</f>
        <v/>
      </c>
      <c r="G3763">
        <f>IF(D3763="KEEP",COUNTIF($D$2:D3763,"KEEP"),"")</f>
        <v/>
      </c>
      <c r="H3763">
        <f>IF(D3763="REMOVE",COUNTIF($D$2:D3763,"REMOVE"),"")</f>
        <v/>
      </c>
      <c r="I3763">
        <f>IF(E3763="Gmail",COUNTIF($E$2:E3763,"Gmail"),"")</f>
        <v/>
      </c>
      <c r="J3763">
        <f>IF(E3763="Outlook",COUNTIF($E$2:E3763,"Outlook"),"")</f>
        <v/>
      </c>
      <c r="K3763">
        <f>IF(E3763="Domain",COUNTIF($E$2:E3763,"Domain"),"")</f>
        <v/>
      </c>
    </row>
    <row r="3764">
      <c r="A3764" s="2" t="n"/>
      <c r="B3764">
        <f>LOWER(TRIM(A3764))</f>
        <v/>
      </c>
      <c r="C3764">
        <f>IF(B3764="","",IFERROR(INDEX('Bad Patterns'!$A$2:$A$120,MATCH(1,INDEX(--ISNUMBER(SEARCH('Bad Patterns'!$A$2:$A$120,B3764)),0),0)),""))</f>
        <v/>
      </c>
      <c r="D3764">
        <f>IF(B3764="","",IF(C3764&lt;&gt;"","REMOVE","KEEP"))</f>
        <v/>
      </c>
      <c r="E3764">
        <f>IF(D3764&lt;&gt;"KEEP","",IF(RIGHT(B3764,10)="@gmail.com","Gmail",IF(OR(RIGHT(B3764,12)="@outlook.com",RIGHT(B3764,12)="@hotmail.com",RIGHT(B3764,9)="@live.com"),"Outlook","Domain")))</f>
        <v/>
      </c>
      <c r="F3764">
        <f>IF(B3764="","",IFERROR(RIGHT(B3764,LEN(B3764)-FIND("@",B3764)),""))</f>
        <v/>
      </c>
      <c r="G3764">
        <f>IF(D3764="KEEP",COUNTIF($D$2:D3764,"KEEP"),"")</f>
        <v/>
      </c>
      <c r="H3764">
        <f>IF(D3764="REMOVE",COUNTIF($D$2:D3764,"REMOVE"),"")</f>
        <v/>
      </c>
      <c r="I3764">
        <f>IF(E3764="Gmail",COUNTIF($E$2:E3764,"Gmail"),"")</f>
        <v/>
      </c>
      <c r="J3764">
        <f>IF(E3764="Outlook",COUNTIF($E$2:E3764,"Outlook"),"")</f>
        <v/>
      </c>
      <c r="K3764">
        <f>IF(E3764="Domain",COUNTIF($E$2:E3764,"Domain"),"")</f>
        <v/>
      </c>
    </row>
    <row r="3765">
      <c r="A3765" s="2" t="n"/>
      <c r="B3765">
        <f>LOWER(TRIM(A3765))</f>
        <v/>
      </c>
      <c r="C3765">
        <f>IF(B3765="","",IFERROR(INDEX('Bad Patterns'!$A$2:$A$120,MATCH(1,INDEX(--ISNUMBER(SEARCH('Bad Patterns'!$A$2:$A$120,B3765)),0),0)),""))</f>
        <v/>
      </c>
      <c r="D3765">
        <f>IF(B3765="","",IF(C3765&lt;&gt;"","REMOVE","KEEP"))</f>
        <v/>
      </c>
      <c r="E3765">
        <f>IF(D3765&lt;&gt;"KEEP","",IF(RIGHT(B3765,10)="@gmail.com","Gmail",IF(OR(RIGHT(B3765,12)="@outlook.com",RIGHT(B3765,12)="@hotmail.com",RIGHT(B3765,9)="@live.com"),"Outlook","Domain")))</f>
        <v/>
      </c>
      <c r="F3765">
        <f>IF(B3765="","",IFERROR(RIGHT(B3765,LEN(B3765)-FIND("@",B3765)),""))</f>
        <v/>
      </c>
      <c r="G3765">
        <f>IF(D3765="KEEP",COUNTIF($D$2:D3765,"KEEP"),"")</f>
        <v/>
      </c>
      <c r="H3765">
        <f>IF(D3765="REMOVE",COUNTIF($D$2:D3765,"REMOVE"),"")</f>
        <v/>
      </c>
      <c r="I3765">
        <f>IF(E3765="Gmail",COUNTIF($E$2:E3765,"Gmail"),"")</f>
        <v/>
      </c>
      <c r="J3765">
        <f>IF(E3765="Outlook",COUNTIF($E$2:E3765,"Outlook"),"")</f>
        <v/>
      </c>
      <c r="K3765">
        <f>IF(E3765="Domain",COUNTIF($E$2:E3765,"Domain"),"")</f>
        <v/>
      </c>
    </row>
    <row r="3766">
      <c r="A3766" s="2" t="n"/>
      <c r="B3766">
        <f>LOWER(TRIM(A3766))</f>
        <v/>
      </c>
      <c r="C3766">
        <f>IF(B3766="","",IFERROR(INDEX('Bad Patterns'!$A$2:$A$120,MATCH(1,INDEX(--ISNUMBER(SEARCH('Bad Patterns'!$A$2:$A$120,B3766)),0),0)),""))</f>
        <v/>
      </c>
      <c r="D3766">
        <f>IF(B3766="","",IF(C3766&lt;&gt;"","REMOVE","KEEP"))</f>
        <v/>
      </c>
      <c r="E3766">
        <f>IF(D3766&lt;&gt;"KEEP","",IF(RIGHT(B3766,10)="@gmail.com","Gmail",IF(OR(RIGHT(B3766,12)="@outlook.com",RIGHT(B3766,12)="@hotmail.com",RIGHT(B3766,9)="@live.com"),"Outlook","Domain")))</f>
        <v/>
      </c>
      <c r="F3766">
        <f>IF(B3766="","",IFERROR(RIGHT(B3766,LEN(B3766)-FIND("@",B3766)),""))</f>
        <v/>
      </c>
      <c r="G3766">
        <f>IF(D3766="KEEP",COUNTIF($D$2:D3766,"KEEP"),"")</f>
        <v/>
      </c>
      <c r="H3766">
        <f>IF(D3766="REMOVE",COUNTIF($D$2:D3766,"REMOVE"),"")</f>
        <v/>
      </c>
      <c r="I3766">
        <f>IF(E3766="Gmail",COUNTIF($E$2:E3766,"Gmail"),"")</f>
        <v/>
      </c>
      <c r="J3766">
        <f>IF(E3766="Outlook",COUNTIF($E$2:E3766,"Outlook"),"")</f>
        <v/>
      </c>
      <c r="K3766">
        <f>IF(E3766="Domain",COUNTIF($E$2:E3766,"Domain"),"")</f>
        <v/>
      </c>
    </row>
    <row r="3767">
      <c r="A3767" s="2" t="n"/>
      <c r="B3767">
        <f>LOWER(TRIM(A3767))</f>
        <v/>
      </c>
      <c r="C3767">
        <f>IF(B3767="","",IFERROR(INDEX('Bad Patterns'!$A$2:$A$120,MATCH(1,INDEX(--ISNUMBER(SEARCH('Bad Patterns'!$A$2:$A$120,B3767)),0),0)),""))</f>
        <v/>
      </c>
      <c r="D3767">
        <f>IF(B3767="","",IF(C3767&lt;&gt;"","REMOVE","KEEP"))</f>
        <v/>
      </c>
      <c r="E3767">
        <f>IF(D3767&lt;&gt;"KEEP","",IF(RIGHT(B3767,10)="@gmail.com","Gmail",IF(OR(RIGHT(B3767,12)="@outlook.com",RIGHT(B3767,12)="@hotmail.com",RIGHT(B3767,9)="@live.com"),"Outlook","Domain")))</f>
        <v/>
      </c>
      <c r="F3767">
        <f>IF(B3767="","",IFERROR(RIGHT(B3767,LEN(B3767)-FIND("@",B3767)),""))</f>
        <v/>
      </c>
      <c r="G3767">
        <f>IF(D3767="KEEP",COUNTIF($D$2:D3767,"KEEP"),"")</f>
        <v/>
      </c>
      <c r="H3767">
        <f>IF(D3767="REMOVE",COUNTIF($D$2:D3767,"REMOVE"),"")</f>
        <v/>
      </c>
      <c r="I3767">
        <f>IF(E3767="Gmail",COUNTIF($E$2:E3767,"Gmail"),"")</f>
        <v/>
      </c>
      <c r="J3767">
        <f>IF(E3767="Outlook",COUNTIF($E$2:E3767,"Outlook"),"")</f>
        <v/>
      </c>
      <c r="K3767">
        <f>IF(E3767="Domain",COUNTIF($E$2:E3767,"Domain"),"")</f>
        <v/>
      </c>
    </row>
    <row r="3768">
      <c r="A3768" s="2" t="n"/>
      <c r="B3768">
        <f>LOWER(TRIM(A3768))</f>
        <v/>
      </c>
      <c r="C3768">
        <f>IF(B3768="","",IFERROR(INDEX('Bad Patterns'!$A$2:$A$120,MATCH(1,INDEX(--ISNUMBER(SEARCH('Bad Patterns'!$A$2:$A$120,B3768)),0),0)),""))</f>
        <v/>
      </c>
      <c r="D3768">
        <f>IF(B3768="","",IF(C3768&lt;&gt;"","REMOVE","KEEP"))</f>
        <v/>
      </c>
      <c r="E3768">
        <f>IF(D3768&lt;&gt;"KEEP","",IF(RIGHT(B3768,10)="@gmail.com","Gmail",IF(OR(RIGHT(B3768,12)="@outlook.com",RIGHT(B3768,12)="@hotmail.com",RIGHT(B3768,9)="@live.com"),"Outlook","Domain")))</f>
        <v/>
      </c>
      <c r="F3768">
        <f>IF(B3768="","",IFERROR(RIGHT(B3768,LEN(B3768)-FIND("@",B3768)),""))</f>
        <v/>
      </c>
      <c r="G3768">
        <f>IF(D3768="KEEP",COUNTIF($D$2:D3768,"KEEP"),"")</f>
        <v/>
      </c>
      <c r="H3768">
        <f>IF(D3768="REMOVE",COUNTIF($D$2:D3768,"REMOVE"),"")</f>
        <v/>
      </c>
      <c r="I3768">
        <f>IF(E3768="Gmail",COUNTIF($E$2:E3768,"Gmail"),"")</f>
        <v/>
      </c>
      <c r="J3768">
        <f>IF(E3768="Outlook",COUNTIF($E$2:E3768,"Outlook"),"")</f>
        <v/>
      </c>
      <c r="K3768">
        <f>IF(E3768="Domain",COUNTIF($E$2:E3768,"Domain"),"")</f>
        <v/>
      </c>
    </row>
    <row r="3769">
      <c r="A3769" s="2" t="n"/>
      <c r="B3769">
        <f>LOWER(TRIM(A3769))</f>
        <v/>
      </c>
      <c r="C3769">
        <f>IF(B3769="","",IFERROR(INDEX('Bad Patterns'!$A$2:$A$120,MATCH(1,INDEX(--ISNUMBER(SEARCH('Bad Patterns'!$A$2:$A$120,B3769)),0),0)),""))</f>
        <v/>
      </c>
      <c r="D3769">
        <f>IF(B3769="","",IF(C3769&lt;&gt;"","REMOVE","KEEP"))</f>
        <v/>
      </c>
      <c r="E3769">
        <f>IF(D3769&lt;&gt;"KEEP","",IF(RIGHT(B3769,10)="@gmail.com","Gmail",IF(OR(RIGHT(B3769,12)="@outlook.com",RIGHT(B3769,12)="@hotmail.com",RIGHT(B3769,9)="@live.com"),"Outlook","Domain")))</f>
        <v/>
      </c>
      <c r="F3769">
        <f>IF(B3769="","",IFERROR(RIGHT(B3769,LEN(B3769)-FIND("@",B3769)),""))</f>
        <v/>
      </c>
      <c r="G3769">
        <f>IF(D3769="KEEP",COUNTIF($D$2:D3769,"KEEP"),"")</f>
        <v/>
      </c>
      <c r="H3769">
        <f>IF(D3769="REMOVE",COUNTIF($D$2:D3769,"REMOVE"),"")</f>
        <v/>
      </c>
      <c r="I3769">
        <f>IF(E3769="Gmail",COUNTIF($E$2:E3769,"Gmail"),"")</f>
        <v/>
      </c>
      <c r="J3769">
        <f>IF(E3769="Outlook",COUNTIF($E$2:E3769,"Outlook"),"")</f>
        <v/>
      </c>
      <c r="K3769">
        <f>IF(E3769="Domain",COUNTIF($E$2:E3769,"Domain"),"")</f>
        <v/>
      </c>
    </row>
    <row r="3770">
      <c r="A3770" s="2" t="n"/>
      <c r="B3770">
        <f>LOWER(TRIM(A3770))</f>
        <v/>
      </c>
      <c r="C3770">
        <f>IF(B3770="","",IFERROR(INDEX('Bad Patterns'!$A$2:$A$120,MATCH(1,INDEX(--ISNUMBER(SEARCH('Bad Patterns'!$A$2:$A$120,B3770)),0),0)),""))</f>
        <v/>
      </c>
      <c r="D3770">
        <f>IF(B3770="","",IF(C3770&lt;&gt;"","REMOVE","KEEP"))</f>
        <v/>
      </c>
      <c r="E3770">
        <f>IF(D3770&lt;&gt;"KEEP","",IF(RIGHT(B3770,10)="@gmail.com","Gmail",IF(OR(RIGHT(B3770,12)="@outlook.com",RIGHT(B3770,12)="@hotmail.com",RIGHT(B3770,9)="@live.com"),"Outlook","Domain")))</f>
        <v/>
      </c>
      <c r="F3770">
        <f>IF(B3770="","",IFERROR(RIGHT(B3770,LEN(B3770)-FIND("@",B3770)),""))</f>
        <v/>
      </c>
      <c r="G3770">
        <f>IF(D3770="KEEP",COUNTIF($D$2:D3770,"KEEP"),"")</f>
        <v/>
      </c>
      <c r="H3770">
        <f>IF(D3770="REMOVE",COUNTIF($D$2:D3770,"REMOVE"),"")</f>
        <v/>
      </c>
      <c r="I3770">
        <f>IF(E3770="Gmail",COUNTIF($E$2:E3770,"Gmail"),"")</f>
        <v/>
      </c>
      <c r="J3770">
        <f>IF(E3770="Outlook",COUNTIF($E$2:E3770,"Outlook"),"")</f>
        <v/>
      </c>
      <c r="K3770">
        <f>IF(E3770="Domain",COUNTIF($E$2:E3770,"Domain"),"")</f>
        <v/>
      </c>
    </row>
    <row r="3771">
      <c r="A3771" s="2" t="n"/>
      <c r="B3771">
        <f>LOWER(TRIM(A3771))</f>
        <v/>
      </c>
      <c r="C3771">
        <f>IF(B3771="","",IFERROR(INDEX('Bad Patterns'!$A$2:$A$120,MATCH(1,INDEX(--ISNUMBER(SEARCH('Bad Patterns'!$A$2:$A$120,B3771)),0),0)),""))</f>
        <v/>
      </c>
      <c r="D3771">
        <f>IF(B3771="","",IF(C3771&lt;&gt;"","REMOVE","KEEP"))</f>
        <v/>
      </c>
      <c r="E3771">
        <f>IF(D3771&lt;&gt;"KEEP","",IF(RIGHT(B3771,10)="@gmail.com","Gmail",IF(OR(RIGHT(B3771,12)="@outlook.com",RIGHT(B3771,12)="@hotmail.com",RIGHT(B3771,9)="@live.com"),"Outlook","Domain")))</f>
        <v/>
      </c>
      <c r="F3771">
        <f>IF(B3771="","",IFERROR(RIGHT(B3771,LEN(B3771)-FIND("@",B3771)),""))</f>
        <v/>
      </c>
      <c r="G3771">
        <f>IF(D3771="KEEP",COUNTIF($D$2:D3771,"KEEP"),"")</f>
        <v/>
      </c>
      <c r="H3771">
        <f>IF(D3771="REMOVE",COUNTIF($D$2:D3771,"REMOVE"),"")</f>
        <v/>
      </c>
      <c r="I3771">
        <f>IF(E3771="Gmail",COUNTIF($E$2:E3771,"Gmail"),"")</f>
        <v/>
      </c>
      <c r="J3771">
        <f>IF(E3771="Outlook",COUNTIF($E$2:E3771,"Outlook"),"")</f>
        <v/>
      </c>
      <c r="K3771">
        <f>IF(E3771="Domain",COUNTIF($E$2:E3771,"Domain"),"")</f>
        <v/>
      </c>
    </row>
    <row r="3772">
      <c r="A3772" s="2" t="n"/>
      <c r="B3772">
        <f>LOWER(TRIM(A3772))</f>
        <v/>
      </c>
      <c r="C3772">
        <f>IF(B3772="","",IFERROR(INDEX('Bad Patterns'!$A$2:$A$120,MATCH(1,INDEX(--ISNUMBER(SEARCH('Bad Patterns'!$A$2:$A$120,B3772)),0),0)),""))</f>
        <v/>
      </c>
      <c r="D3772">
        <f>IF(B3772="","",IF(C3772&lt;&gt;"","REMOVE","KEEP"))</f>
        <v/>
      </c>
      <c r="E3772">
        <f>IF(D3772&lt;&gt;"KEEP","",IF(RIGHT(B3772,10)="@gmail.com","Gmail",IF(OR(RIGHT(B3772,12)="@outlook.com",RIGHT(B3772,12)="@hotmail.com",RIGHT(B3772,9)="@live.com"),"Outlook","Domain")))</f>
        <v/>
      </c>
      <c r="F3772">
        <f>IF(B3772="","",IFERROR(RIGHT(B3772,LEN(B3772)-FIND("@",B3772)),""))</f>
        <v/>
      </c>
      <c r="G3772">
        <f>IF(D3772="KEEP",COUNTIF($D$2:D3772,"KEEP"),"")</f>
        <v/>
      </c>
      <c r="H3772">
        <f>IF(D3772="REMOVE",COUNTIF($D$2:D3772,"REMOVE"),"")</f>
        <v/>
      </c>
      <c r="I3772">
        <f>IF(E3772="Gmail",COUNTIF($E$2:E3772,"Gmail"),"")</f>
        <v/>
      </c>
      <c r="J3772">
        <f>IF(E3772="Outlook",COUNTIF($E$2:E3772,"Outlook"),"")</f>
        <v/>
      </c>
      <c r="K3772">
        <f>IF(E3772="Domain",COUNTIF($E$2:E3772,"Domain"),"")</f>
        <v/>
      </c>
    </row>
    <row r="3773">
      <c r="A3773" s="2" t="n"/>
      <c r="B3773">
        <f>LOWER(TRIM(A3773))</f>
        <v/>
      </c>
      <c r="C3773">
        <f>IF(B3773="","",IFERROR(INDEX('Bad Patterns'!$A$2:$A$120,MATCH(1,INDEX(--ISNUMBER(SEARCH('Bad Patterns'!$A$2:$A$120,B3773)),0),0)),""))</f>
        <v/>
      </c>
      <c r="D3773">
        <f>IF(B3773="","",IF(C3773&lt;&gt;"","REMOVE","KEEP"))</f>
        <v/>
      </c>
      <c r="E3773">
        <f>IF(D3773&lt;&gt;"KEEP","",IF(RIGHT(B3773,10)="@gmail.com","Gmail",IF(OR(RIGHT(B3773,12)="@outlook.com",RIGHT(B3773,12)="@hotmail.com",RIGHT(B3773,9)="@live.com"),"Outlook","Domain")))</f>
        <v/>
      </c>
      <c r="F3773">
        <f>IF(B3773="","",IFERROR(RIGHT(B3773,LEN(B3773)-FIND("@",B3773)),""))</f>
        <v/>
      </c>
      <c r="G3773">
        <f>IF(D3773="KEEP",COUNTIF($D$2:D3773,"KEEP"),"")</f>
        <v/>
      </c>
      <c r="H3773">
        <f>IF(D3773="REMOVE",COUNTIF($D$2:D3773,"REMOVE"),"")</f>
        <v/>
      </c>
      <c r="I3773">
        <f>IF(E3773="Gmail",COUNTIF($E$2:E3773,"Gmail"),"")</f>
        <v/>
      </c>
      <c r="J3773">
        <f>IF(E3773="Outlook",COUNTIF($E$2:E3773,"Outlook"),"")</f>
        <v/>
      </c>
      <c r="K3773">
        <f>IF(E3773="Domain",COUNTIF($E$2:E3773,"Domain"),"")</f>
        <v/>
      </c>
    </row>
    <row r="3774">
      <c r="A3774" s="2" t="n"/>
      <c r="B3774">
        <f>LOWER(TRIM(A3774))</f>
        <v/>
      </c>
      <c r="C3774">
        <f>IF(B3774="","",IFERROR(INDEX('Bad Patterns'!$A$2:$A$120,MATCH(1,INDEX(--ISNUMBER(SEARCH('Bad Patterns'!$A$2:$A$120,B3774)),0),0)),""))</f>
        <v/>
      </c>
      <c r="D3774">
        <f>IF(B3774="","",IF(C3774&lt;&gt;"","REMOVE","KEEP"))</f>
        <v/>
      </c>
      <c r="E3774">
        <f>IF(D3774&lt;&gt;"KEEP","",IF(RIGHT(B3774,10)="@gmail.com","Gmail",IF(OR(RIGHT(B3774,12)="@outlook.com",RIGHT(B3774,12)="@hotmail.com",RIGHT(B3774,9)="@live.com"),"Outlook","Domain")))</f>
        <v/>
      </c>
      <c r="F3774">
        <f>IF(B3774="","",IFERROR(RIGHT(B3774,LEN(B3774)-FIND("@",B3774)),""))</f>
        <v/>
      </c>
      <c r="G3774">
        <f>IF(D3774="KEEP",COUNTIF($D$2:D3774,"KEEP"),"")</f>
        <v/>
      </c>
      <c r="H3774">
        <f>IF(D3774="REMOVE",COUNTIF($D$2:D3774,"REMOVE"),"")</f>
        <v/>
      </c>
      <c r="I3774">
        <f>IF(E3774="Gmail",COUNTIF($E$2:E3774,"Gmail"),"")</f>
        <v/>
      </c>
      <c r="J3774">
        <f>IF(E3774="Outlook",COUNTIF($E$2:E3774,"Outlook"),"")</f>
        <v/>
      </c>
      <c r="K3774">
        <f>IF(E3774="Domain",COUNTIF($E$2:E3774,"Domain"),"")</f>
        <v/>
      </c>
    </row>
    <row r="3775">
      <c r="A3775" s="2" t="n"/>
      <c r="B3775">
        <f>LOWER(TRIM(A3775))</f>
        <v/>
      </c>
      <c r="C3775">
        <f>IF(B3775="","",IFERROR(INDEX('Bad Patterns'!$A$2:$A$120,MATCH(1,INDEX(--ISNUMBER(SEARCH('Bad Patterns'!$A$2:$A$120,B3775)),0),0)),""))</f>
        <v/>
      </c>
      <c r="D3775">
        <f>IF(B3775="","",IF(C3775&lt;&gt;"","REMOVE","KEEP"))</f>
        <v/>
      </c>
      <c r="E3775">
        <f>IF(D3775&lt;&gt;"KEEP","",IF(RIGHT(B3775,10)="@gmail.com","Gmail",IF(OR(RIGHT(B3775,12)="@outlook.com",RIGHT(B3775,12)="@hotmail.com",RIGHT(B3775,9)="@live.com"),"Outlook","Domain")))</f>
        <v/>
      </c>
      <c r="F3775">
        <f>IF(B3775="","",IFERROR(RIGHT(B3775,LEN(B3775)-FIND("@",B3775)),""))</f>
        <v/>
      </c>
      <c r="G3775">
        <f>IF(D3775="KEEP",COUNTIF($D$2:D3775,"KEEP"),"")</f>
        <v/>
      </c>
      <c r="H3775">
        <f>IF(D3775="REMOVE",COUNTIF($D$2:D3775,"REMOVE"),"")</f>
        <v/>
      </c>
      <c r="I3775">
        <f>IF(E3775="Gmail",COUNTIF($E$2:E3775,"Gmail"),"")</f>
        <v/>
      </c>
      <c r="J3775">
        <f>IF(E3775="Outlook",COUNTIF($E$2:E3775,"Outlook"),"")</f>
        <v/>
      </c>
      <c r="K3775">
        <f>IF(E3775="Domain",COUNTIF($E$2:E3775,"Domain"),"")</f>
        <v/>
      </c>
    </row>
    <row r="3776">
      <c r="A3776" s="2" t="n"/>
      <c r="B3776">
        <f>LOWER(TRIM(A3776))</f>
        <v/>
      </c>
      <c r="C3776">
        <f>IF(B3776="","",IFERROR(INDEX('Bad Patterns'!$A$2:$A$120,MATCH(1,INDEX(--ISNUMBER(SEARCH('Bad Patterns'!$A$2:$A$120,B3776)),0),0)),""))</f>
        <v/>
      </c>
      <c r="D3776">
        <f>IF(B3776="","",IF(C3776&lt;&gt;"","REMOVE","KEEP"))</f>
        <v/>
      </c>
      <c r="E3776">
        <f>IF(D3776&lt;&gt;"KEEP","",IF(RIGHT(B3776,10)="@gmail.com","Gmail",IF(OR(RIGHT(B3776,12)="@outlook.com",RIGHT(B3776,12)="@hotmail.com",RIGHT(B3776,9)="@live.com"),"Outlook","Domain")))</f>
        <v/>
      </c>
      <c r="F3776">
        <f>IF(B3776="","",IFERROR(RIGHT(B3776,LEN(B3776)-FIND("@",B3776)),""))</f>
        <v/>
      </c>
      <c r="G3776">
        <f>IF(D3776="KEEP",COUNTIF($D$2:D3776,"KEEP"),"")</f>
        <v/>
      </c>
      <c r="H3776">
        <f>IF(D3776="REMOVE",COUNTIF($D$2:D3776,"REMOVE"),"")</f>
        <v/>
      </c>
      <c r="I3776">
        <f>IF(E3776="Gmail",COUNTIF($E$2:E3776,"Gmail"),"")</f>
        <v/>
      </c>
      <c r="J3776">
        <f>IF(E3776="Outlook",COUNTIF($E$2:E3776,"Outlook"),"")</f>
        <v/>
      </c>
      <c r="K3776">
        <f>IF(E3776="Domain",COUNTIF($E$2:E3776,"Domain"),"")</f>
        <v/>
      </c>
    </row>
    <row r="3777">
      <c r="A3777" s="2" t="n"/>
      <c r="B3777">
        <f>LOWER(TRIM(A3777))</f>
        <v/>
      </c>
      <c r="C3777">
        <f>IF(B3777="","",IFERROR(INDEX('Bad Patterns'!$A$2:$A$120,MATCH(1,INDEX(--ISNUMBER(SEARCH('Bad Patterns'!$A$2:$A$120,B3777)),0),0)),""))</f>
        <v/>
      </c>
      <c r="D3777">
        <f>IF(B3777="","",IF(C3777&lt;&gt;"","REMOVE","KEEP"))</f>
        <v/>
      </c>
      <c r="E3777">
        <f>IF(D3777&lt;&gt;"KEEP","",IF(RIGHT(B3777,10)="@gmail.com","Gmail",IF(OR(RIGHT(B3777,12)="@outlook.com",RIGHT(B3777,12)="@hotmail.com",RIGHT(B3777,9)="@live.com"),"Outlook","Domain")))</f>
        <v/>
      </c>
      <c r="F3777">
        <f>IF(B3777="","",IFERROR(RIGHT(B3777,LEN(B3777)-FIND("@",B3777)),""))</f>
        <v/>
      </c>
      <c r="G3777">
        <f>IF(D3777="KEEP",COUNTIF($D$2:D3777,"KEEP"),"")</f>
        <v/>
      </c>
      <c r="H3777">
        <f>IF(D3777="REMOVE",COUNTIF($D$2:D3777,"REMOVE"),"")</f>
        <v/>
      </c>
      <c r="I3777">
        <f>IF(E3777="Gmail",COUNTIF($E$2:E3777,"Gmail"),"")</f>
        <v/>
      </c>
      <c r="J3777">
        <f>IF(E3777="Outlook",COUNTIF($E$2:E3777,"Outlook"),"")</f>
        <v/>
      </c>
      <c r="K3777">
        <f>IF(E3777="Domain",COUNTIF($E$2:E3777,"Domain"),"")</f>
        <v/>
      </c>
    </row>
    <row r="3778">
      <c r="A3778" s="2" t="n"/>
      <c r="B3778">
        <f>LOWER(TRIM(A3778))</f>
        <v/>
      </c>
      <c r="C3778">
        <f>IF(B3778="","",IFERROR(INDEX('Bad Patterns'!$A$2:$A$120,MATCH(1,INDEX(--ISNUMBER(SEARCH('Bad Patterns'!$A$2:$A$120,B3778)),0),0)),""))</f>
        <v/>
      </c>
      <c r="D3778">
        <f>IF(B3778="","",IF(C3778&lt;&gt;"","REMOVE","KEEP"))</f>
        <v/>
      </c>
      <c r="E3778">
        <f>IF(D3778&lt;&gt;"KEEP","",IF(RIGHT(B3778,10)="@gmail.com","Gmail",IF(OR(RIGHT(B3778,12)="@outlook.com",RIGHT(B3778,12)="@hotmail.com",RIGHT(B3778,9)="@live.com"),"Outlook","Domain")))</f>
        <v/>
      </c>
      <c r="F3778">
        <f>IF(B3778="","",IFERROR(RIGHT(B3778,LEN(B3778)-FIND("@",B3778)),""))</f>
        <v/>
      </c>
      <c r="G3778">
        <f>IF(D3778="KEEP",COUNTIF($D$2:D3778,"KEEP"),"")</f>
        <v/>
      </c>
      <c r="H3778">
        <f>IF(D3778="REMOVE",COUNTIF($D$2:D3778,"REMOVE"),"")</f>
        <v/>
      </c>
      <c r="I3778">
        <f>IF(E3778="Gmail",COUNTIF($E$2:E3778,"Gmail"),"")</f>
        <v/>
      </c>
      <c r="J3778">
        <f>IF(E3778="Outlook",COUNTIF($E$2:E3778,"Outlook"),"")</f>
        <v/>
      </c>
      <c r="K3778">
        <f>IF(E3778="Domain",COUNTIF($E$2:E3778,"Domain"),"")</f>
        <v/>
      </c>
    </row>
    <row r="3779">
      <c r="A3779" s="2" t="n"/>
      <c r="B3779">
        <f>LOWER(TRIM(A3779))</f>
        <v/>
      </c>
      <c r="C3779">
        <f>IF(B3779="","",IFERROR(INDEX('Bad Patterns'!$A$2:$A$120,MATCH(1,INDEX(--ISNUMBER(SEARCH('Bad Patterns'!$A$2:$A$120,B3779)),0),0)),""))</f>
        <v/>
      </c>
      <c r="D3779">
        <f>IF(B3779="","",IF(C3779&lt;&gt;"","REMOVE","KEEP"))</f>
        <v/>
      </c>
      <c r="E3779">
        <f>IF(D3779&lt;&gt;"KEEP","",IF(RIGHT(B3779,10)="@gmail.com","Gmail",IF(OR(RIGHT(B3779,12)="@outlook.com",RIGHT(B3779,12)="@hotmail.com",RIGHT(B3779,9)="@live.com"),"Outlook","Domain")))</f>
        <v/>
      </c>
      <c r="F3779">
        <f>IF(B3779="","",IFERROR(RIGHT(B3779,LEN(B3779)-FIND("@",B3779)),""))</f>
        <v/>
      </c>
      <c r="G3779">
        <f>IF(D3779="KEEP",COUNTIF($D$2:D3779,"KEEP"),"")</f>
        <v/>
      </c>
      <c r="H3779">
        <f>IF(D3779="REMOVE",COUNTIF($D$2:D3779,"REMOVE"),"")</f>
        <v/>
      </c>
      <c r="I3779">
        <f>IF(E3779="Gmail",COUNTIF($E$2:E3779,"Gmail"),"")</f>
        <v/>
      </c>
      <c r="J3779">
        <f>IF(E3779="Outlook",COUNTIF($E$2:E3779,"Outlook"),"")</f>
        <v/>
      </c>
      <c r="K3779">
        <f>IF(E3779="Domain",COUNTIF($E$2:E3779,"Domain"),"")</f>
        <v/>
      </c>
    </row>
    <row r="3780">
      <c r="A3780" s="2" t="n"/>
      <c r="B3780">
        <f>LOWER(TRIM(A3780))</f>
        <v/>
      </c>
      <c r="C3780">
        <f>IF(B3780="","",IFERROR(INDEX('Bad Patterns'!$A$2:$A$120,MATCH(1,INDEX(--ISNUMBER(SEARCH('Bad Patterns'!$A$2:$A$120,B3780)),0),0)),""))</f>
        <v/>
      </c>
      <c r="D3780">
        <f>IF(B3780="","",IF(C3780&lt;&gt;"","REMOVE","KEEP"))</f>
        <v/>
      </c>
      <c r="E3780">
        <f>IF(D3780&lt;&gt;"KEEP","",IF(RIGHT(B3780,10)="@gmail.com","Gmail",IF(OR(RIGHT(B3780,12)="@outlook.com",RIGHT(B3780,12)="@hotmail.com",RIGHT(B3780,9)="@live.com"),"Outlook","Domain")))</f>
        <v/>
      </c>
      <c r="F3780">
        <f>IF(B3780="","",IFERROR(RIGHT(B3780,LEN(B3780)-FIND("@",B3780)),""))</f>
        <v/>
      </c>
      <c r="G3780">
        <f>IF(D3780="KEEP",COUNTIF($D$2:D3780,"KEEP"),"")</f>
        <v/>
      </c>
      <c r="H3780">
        <f>IF(D3780="REMOVE",COUNTIF($D$2:D3780,"REMOVE"),"")</f>
        <v/>
      </c>
      <c r="I3780">
        <f>IF(E3780="Gmail",COUNTIF($E$2:E3780,"Gmail"),"")</f>
        <v/>
      </c>
      <c r="J3780">
        <f>IF(E3780="Outlook",COUNTIF($E$2:E3780,"Outlook"),"")</f>
        <v/>
      </c>
      <c r="K3780">
        <f>IF(E3780="Domain",COUNTIF($E$2:E3780,"Domain"),"")</f>
        <v/>
      </c>
    </row>
    <row r="3781">
      <c r="A3781" s="2" t="n"/>
      <c r="B3781">
        <f>LOWER(TRIM(A3781))</f>
        <v/>
      </c>
      <c r="C3781">
        <f>IF(B3781="","",IFERROR(INDEX('Bad Patterns'!$A$2:$A$120,MATCH(1,INDEX(--ISNUMBER(SEARCH('Bad Patterns'!$A$2:$A$120,B3781)),0),0)),""))</f>
        <v/>
      </c>
      <c r="D3781">
        <f>IF(B3781="","",IF(C3781&lt;&gt;"","REMOVE","KEEP"))</f>
        <v/>
      </c>
      <c r="E3781">
        <f>IF(D3781&lt;&gt;"KEEP","",IF(RIGHT(B3781,10)="@gmail.com","Gmail",IF(OR(RIGHT(B3781,12)="@outlook.com",RIGHT(B3781,12)="@hotmail.com",RIGHT(B3781,9)="@live.com"),"Outlook","Domain")))</f>
        <v/>
      </c>
      <c r="F3781">
        <f>IF(B3781="","",IFERROR(RIGHT(B3781,LEN(B3781)-FIND("@",B3781)),""))</f>
        <v/>
      </c>
      <c r="G3781">
        <f>IF(D3781="KEEP",COUNTIF($D$2:D3781,"KEEP"),"")</f>
        <v/>
      </c>
      <c r="H3781">
        <f>IF(D3781="REMOVE",COUNTIF($D$2:D3781,"REMOVE"),"")</f>
        <v/>
      </c>
      <c r="I3781">
        <f>IF(E3781="Gmail",COUNTIF($E$2:E3781,"Gmail"),"")</f>
        <v/>
      </c>
      <c r="J3781">
        <f>IF(E3781="Outlook",COUNTIF($E$2:E3781,"Outlook"),"")</f>
        <v/>
      </c>
      <c r="K3781">
        <f>IF(E3781="Domain",COUNTIF($E$2:E3781,"Domain"),"")</f>
        <v/>
      </c>
    </row>
    <row r="3782">
      <c r="A3782" s="2" t="n"/>
      <c r="B3782">
        <f>LOWER(TRIM(A3782))</f>
        <v/>
      </c>
      <c r="C3782">
        <f>IF(B3782="","",IFERROR(INDEX('Bad Patterns'!$A$2:$A$120,MATCH(1,INDEX(--ISNUMBER(SEARCH('Bad Patterns'!$A$2:$A$120,B3782)),0),0)),""))</f>
        <v/>
      </c>
      <c r="D3782">
        <f>IF(B3782="","",IF(C3782&lt;&gt;"","REMOVE","KEEP"))</f>
        <v/>
      </c>
      <c r="E3782">
        <f>IF(D3782&lt;&gt;"KEEP","",IF(RIGHT(B3782,10)="@gmail.com","Gmail",IF(OR(RIGHT(B3782,12)="@outlook.com",RIGHT(B3782,12)="@hotmail.com",RIGHT(B3782,9)="@live.com"),"Outlook","Domain")))</f>
        <v/>
      </c>
      <c r="F3782">
        <f>IF(B3782="","",IFERROR(RIGHT(B3782,LEN(B3782)-FIND("@",B3782)),""))</f>
        <v/>
      </c>
      <c r="G3782">
        <f>IF(D3782="KEEP",COUNTIF($D$2:D3782,"KEEP"),"")</f>
        <v/>
      </c>
      <c r="H3782">
        <f>IF(D3782="REMOVE",COUNTIF($D$2:D3782,"REMOVE"),"")</f>
        <v/>
      </c>
      <c r="I3782">
        <f>IF(E3782="Gmail",COUNTIF($E$2:E3782,"Gmail"),"")</f>
        <v/>
      </c>
      <c r="J3782">
        <f>IF(E3782="Outlook",COUNTIF($E$2:E3782,"Outlook"),"")</f>
        <v/>
      </c>
      <c r="K3782">
        <f>IF(E3782="Domain",COUNTIF($E$2:E3782,"Domain"),"")</f>
        <v/>
      </c>
    </row>
    <row r="3783">
      <c r="A3783" s="2" t="n"/>
      <c r="B3783">
        <f>LOWER(TRIM(A3783))</f>
        <v/>
      </c>
      <c r="C3783">
        <f>IF(B3783="","",IFERROR(INDEX('Bad Patterns'!$A$2:$A$120,MATCH(1,INDEX(--ISNUMBER(SEARCH('Bad Patterns'!$A$2:$A$120,B3783)),0),0)),""))</f>
        <v/>
      </c>
      <c r="D3783">
        <f>IF(B3783="","",IF(C3783&lt;&gt;"","REMOVE","KEEP"))</f>
        <v/>
      </c>
      <c r="E3783">
        <f>IF(D3783&lt;&gt;"KEEP","",IF(RIGHT(B3783,10)="@gmail.com","Gmail",IF(OR(RIGHT(B3783,12)="@outlook.com",RIGHT(B3783,12)="@hotmail.com",RIGHT(B3783,9)="@live.com"),"Outlook","Domain")))</f>
        <v/>
      </c>
      <c r="F3783">
        <f>IF(B3783="","",IFERROR(RIGHT(B3783,LEN(B3783)-FIND("@",B3783)),""))</f>
        <v/>
      </c>
      <c r="G3783">
        <f>IF(D3783="KEEP",COUNTIF($D$2:D3783,"KEEP"),"")</f>
        <v/>
      </c>
      <c r="H3783">
        <f>IF(D3783="REMOVE",COUNTIF($D$2:D3783,"REMOVE"),"")</f>
        <v/>
      </c>
      <c r="I3783">
        <f>IF(E3783="Gmail",COUNTIF($E$2:E3783,"Gmail"),"")</f>
        <v/>
      </c>
      <c r="J3783">
        <f>IF(E3783="Outlook",COUNTIF($E$2:E3783,"Outlook"),"")</f>
        <v/>
      </c>
      <c r="K3783">
        <f>IF(E3783="Domain",COUNTIF($E$2:E3783,"Domain"),"")</f>
        <v/>
      </c>
    </row>
    <row r="3784">
      <c r="A3784" s="2" t="n"/>
      <c r="B3784">
        <f>LOWER(TRIM(A3784))</f>
        <v/>
      </c>
      <c r="C3784">
        <f>IF(B3784="","",IFERROR(INDEX('Bad Patterns'!$A$2:$A$120,MATCH(1,INDEX(--ISNUMBER(SEARCH('Bad Patterns'!$A$2:$A$120,B3784)),0),0)),""))</f>
        <v/>
      </c>
      <c r="D3784">
        <f>IF(B3784="","",IF(C3784&lt;&gt;"","REMOVE","KEEP"))</f>
        <v/>
      </c>
      <c r="E3784">
        <f>IF(D3784&lt;&gt;"KEEP","",IF(RIGHT(B3784,10)="@gmail.com","Gmail",IF(OR(RIGHT(B3784,12)="@outlook.com",RIGHT(B3784,12)="@hotmail.com",RIGHT(B3784,9)="@live.com"),"Outlook","Domain")))</f>
        <v/>
      </c>
      <c r="F3784">
        <f>IF(B3784="","",IFERROR(RIGHT(B3784,LEN(B3784)-FIND("@",B3784)),""))</f>
        <v/>
      </c>
      <c r="G3784">
        <f>IF(D3784="KEEP",COUNTIF($D$2:D3784,"KEEP"),"")</f>
        <v/>
      </c>
      <c r="H3784">
        <f>IF(D3784="REMOVE",COUNTIF($D$2:D3784,"REMOVE"),"")</f>
        <v/>
      </c>
      <c r="I3784">
        <f>IF(E3784="Gmail",COUNTIF($E$2:E3784,"Gmail"),"")</f>
        <v/>
      </c>
      <c r="J3784">
        <f>IF(E3784="Outlook",COUNTIF($E$2:E3784,"Outlook"),"")</f>
        <v/>
      </c>
      <c r="K3784">
        <f>IF(E3784="Domain",COUNTIF($E$2:E3784,"Domain"),"")</f>
        <v/>
      </c>
    </row>
    <row r="3785">
      <c r="A3785" s="2" t="n"/>
      <c r="B3785">
        <f>LOWER(TRIM(A3785))</f>
        <v/>
      </c>
      <c r="C3785">
        <f>IF(B3785="","",IFERROR(INDEX('Bad Patterns'!$A$2:$A$120,MATCH(1,INDEX(--ISNUMBER(SEARCH('Bad Patterns'!$A$2:$A$120,B3785)),0),0)),""))</f>
        <v/>
      </c>
      <c r="D3785">
        <f>IF(B3785="","",IF(C3785&lt;&gt;"","REMOVE","KEEP"))</f>
        <v/>
      </c>
      <c r="E3785">
        <f>IF(D3785&lt;&gt;"KEEP","",IF(RIGHT(B3785,10)="@gmail.com","Gmail",IF(OR(RIGHT(B3785,12)="@outlook.com",RIGHT(B3785,12)="@hotmail.com",RIGHT(B3785,9)="@live.com"),"Outlook","Domain")))</f>
        <v/>
      </c>
      <c r="F3785">
        <f>IF(B3785="","",IFERROR(RIGHT(B3785,LEN(B3785)-FIND("@",B3785)),""))</f>
        <v/>
      </c>
      <c r="G3785">
        <f>IF(D3785="KEEP",COUNTIF($D$2:D3785,"KEEP"),"")</f>
        <v/>
      </c>
      <c r="H3785">
        <f>IF(D3785="REMOVE",COUNTIF($D$2:D3785,"REMOVE"),"")</f>
        <v/>
      </c>
      <c r="I3785">
        <f>IF(E3785="Gmail",COUNTIF($E$2:E3785,"Gmail"),"")</f>
        <v/>
      </c>
      <c r="J3785">
        <f>IF(E3785="Outlook",COUNTIF($E$2:E3785,"Outlook"),"")</f>
        <v/>
      </c>
      <c r="K3785">
        <f>IF(E3785="Domain",COUNTIF($E$2:E3785,"Domain"),"")</f>
        <v/>
      </c>
    </row>
    <row r="3786">
      <c r="A3786" s="2" t="n"/>
      <c r="B3786">
        <f>LOWER(TRIM(A3786))</f>
        <v/>
      </c>
      <c r="C3786">
        <f>IF(B3786="","",IFERROR(INDEX('Bad Patterns'!$A$2:$A$120,MATCH(1,INDEX(--ISNUMBER(SEARCH('Bad Patterns'!$A$2:$A$120,B3786)),0),0)),""))</f>
        <v/>
      </c>
      <c r="D3786">
        <f>IF(B3786="","",IF(C3786&lt;&gt;"","REMOVE","KEEP"))</f>
        <v/>
      </c>
      <c r="E3786">
        <f>IF(D3786&lt;&gt;"KEEP","",IF(RIGHT(B3786,10)="@gmail.com","Gmail",IF(OR(RIGHT(B3786,12)="@outlook.com",RIGHT(B3786,12)="@hotmail.com",RIGHT(B3786,9)="@live.com"),"Outlook","Domain")))</f>
        <v/>
      </c>
      <c r="F3786">
        <f>IF(B3786="","",IFERROR(RIGHT(B3786,LEN(B3786)-FIND("@",B3786)),""))</f>
        <v/>
      </c>
      <c r="G3786">
        <f>IF(D3786="KEEP",COUNTIF($D$2:D3786,"KEEP"),"")</f>
        <v/>
      </c>
      <c r="H3786">
        <f>IF(D3786="REMOVE",COUNTIF($D$2:D3786,"REMOVE"),"")</f>
        <v/>
      </c>
      <c r="I3786">
        <f>IF(E3786="Gmail",COUNTIF($E$2:E3786,"Gmail"),"")</f>
        <v/>
      </c>
      <c r="J3786">
        <f>IF(E3786="Outlook",COUNTIF($E$2:E3786,"Outlook"),"")</f>
        <v/>
      </c>
      <c r="K3786">
        <f>IF(E3786="Domain",COUNTIF($E$2:E3786,"Domain"),"")</f>
        <v/>
      </c>
    </row>
    <row r="3787">
      <c r="A3787" s="2" t="n"/>
      <c r="B3787">
        <f>LOWER(TRIM(A3787))</f>
        <v/>
      </c>
      <c r="C3787">
        <f>IF(B3787="","",IFERROR(INDEX('Bad Patterns'!$A$2:$A$120,MATCH(1,INDEX(--ISNUMBER(SEARCH('Bad Patterns'!$A$2:$A$120,B3787)),0),0)),""))</f>
        <v/>
      </c>
      <c r="D3787">
        <f>IF(B3787="","",IF(C3787&lt;&gt;"","REMOVE","KEEP"))</f>
        <v/>
      </c>
      <c r="E3787">
        <f>IF(D3787&lt;&gt;"KEEP","",IF(RIGHT(B3787,10)="@gmail.com","Gmail",IF(OR(RIGHT(B3787,12)="@outlook.com",RIGHT(B3787,12)="@hotmail.com",RIGHT(B3787,9)="@live.com"),"Outlook","Domain")))</f>
        <v/>
      </c>
      <c r="F3787">
        <f>IF(B3787="","",IFERROR(RIGHT(B3787,LEN(B3787)-FIND("@",B3787)),""))</f>
        <v/>
      </c>
      <c r="G3787">
        <f>IF(D3787="KEEP",COUNTIF($D$2:D3787,"KEEP"),"")</f>
        <v/>
      </c>
      <c r="H3787">
        <f>IF(D3787="REMOVE",COUNTIF($D$2:D3787,"REMOVE"),"")</f>
        <v/>
      </c>
      <c r="I3787">
        <f>IF(E3787="Gmail",COUNTIF($E$2:E3787,"Gmail"),"")</f>
        <v/>
      </c>
      <c r="J3787">
        <f>IF(E3787="Outlook",COUNTIF($E$2:E3787,"Outlook"),"")</f>
        <v/>
      </c>
      <c r="K3787">
        <f>IF(E3787="Domain",COUNTIF($E$2:E3787,"Domain"),"")</f>
        <v/>
      </c>
    </row>
    <row r="3788">
      <c r="A3788" s="2" t="n"/>
      <c r="B3788">
        <f>LOWER(TRIM(A3788))</f>
        <v/>
      </c>
      <c r="C3788">
        <f>IF(B3788="","",IFERROR(INDEX('Bad Patterns'!$A$2:$A$120,MATCH(1,INDEX(--ISNUMBER(SEARCH('Bad Patterns'!$A$2:$A$120,B3788)),0),0)),""))</f>
        <v/>
      </c>
      <c r="D3788">
        <f>IF(B3788="","",IF(C3788&lt;&gt;"","REMOVE","KEEP"))</f>
        <v/>
      </c>
      <c r="E3788">
        <f>IF(D3788&lt;&gt;"KEEP","",IF(RIGHT(B3788,10)="@gmail.com","Gmail",IF(OR(RIGHT(B3788,12)="@outlook.com",RIGHT(B3788,12)="@hotmail.com",RIGHT(B3788,9)="@live.com"),"Outlook","Domain")))</f>
        <v/>
      </c>
      <c r="F3788">
        <f>IF(B3788="","",IFERROR(RIGHT(B3788,LEN(B3788)-FIND("@",B3788)),""))</f>
        <v/>
      </c>
      <c r="G3788">
        <f>IF(D3788="KEEP",COUNTIF($D$2:D3788,"KEEP"),"")</f>
        <v/>
      </c>
      <c r="H3788">
        <f>IF(D3788="REMOVE",COUNTIF($D$2:D3788,"REMOVE"),"")</f>
        <v/>
      </c>
      <c r="I3788">
        <f>IF(E3788="Gmail",COUNTIF($E$2:E3788,"Gmail"),"")</f>
        <v/>
      </c>
      <c r="J3788">
        <f>IF(E3788="Outlook",COUNTIF($E$2:E3788,"Outlook"),"")</f>
        <v/>
      </c>
      <c r="K3788">
        <f>IF(E3788="Domain",COUNTIF($E$2:E3788,"Domain"),"")</f>
        <v/>
      </c>
    </row>
    <row r="3789">
      <c r="A3789" s="2" t="n"/>
      <c r="B3789">
        <f>LOWER(TRIM(A3789))</f>
        <v/>
      </c>
      <c r="C3789">
        <f>IF(B3789="","",IFERROR(INDEX('Bad Patterns'!$A$2:$A$120,MATCH(1,INDEX(--ISNUMBER(SEARCH('Bad Patterns'!$A$2:$A$120,B3789)),0),0)),""))</f>
        <v/>
      </c>
      <c r="D3789">
        <f>IF(B3789="","",IF(C3789&lt;&gt;"","REMOVE","KEEP"))</f>
        <v/>
      </c>
      <c r="E3789">
        <f>IF(D3789&lt;&gt;"KEEP","",IF(RIGHT(B3789,10)="@gmail.com","Gmail",IF(OR(RIGHT(B3789,12)="@outlook.com",RIGHT(B3789,12)="@hotmail.com",RIGHT(B3789,9)="@live.com"),"Outlook","Domain")))</f>
        <v/>
      </c>
      <c r="F3789">
        <f>IF(B3789="","",IFERROR(RIGHT(B3789,LEN(B3789)-FIND("@",B3789)),""))</f>
        <v/>
      </c>
      <c r="G3789">
        <f>IF(D3789="KEEP",COUNTIF($D$2:D3789,"KEEP"),"")</f>
        <v/>
      </c>
      <c r="H3789">
        <f>IF(D3789="REMOVE",COUNTIF($D$2:D3789,"REMOVE"),"")</f>
        <v/>
      </c>
      <c r="I3789">
        <f>IF(E3789="Gmail",COUNTIF($E$2:E3789,"Gmail"),"")</f>
        <v/>
      </c>
      <c r="J3789">
        <f>IF(E3789="Outlook",COUNTIF($E$2:E3789,"Outlook"),"")</f>
        <v/>
      </c>
      <c r="K3789">
        <f>IF(E3789="Domain",COUNTIF($E$2:E3789,"Domain"),"")</f>
        <v/>
      </c>
    </row>
    <row r="3790">
      <c r="A3790" s="2" t="n"/>
      <c r="B3790">
        <f>LOWER(TRIM(A3790))</f>
        <v/>
      </c>
      <c r="C3790">
        <f>IF(B3790="","",IFERROR(INDEX('Bad Patterns'!$A$2:$A$120,MATCH(1,INDEX(--ISNUMBER(SEARCH('Bad Patterns'!$A$2:$A$120,B3790)),0),0)),""))</f>
        <v/>
      </c>
      <c r="D3790">
        <f>IF(B3790="","",IF(C3790&lt;&gt;"","REMOVE","KEEP"))</f>
        <v/>
      </c>
      <c r="E3790">
        <f>IF(D3790&lt;&gt;"KEEP","",IF(RIGHT(B3790,10)="@gmail.com","Gmail",IF(OR(RIGHT(B3790,12)="@outlook.com",RIGHT(B3790,12)="@hotmail.com",RIGHT(B3790,9)="@live.com"),"Outlook","Domain")))</f>
        <v/>
      </c>
      <c r="F3790">
        <f>IF(B3790="","",IFERROR(RIGHT(B3790,LEN(B3790)-FIND("@",B3790)),""))</f>
        <v/>
      </c>
      <c r="G3790">
        <f>IF(D3790="KEEP",COUNTIF($D$2:D3790,"KEEP"),"")</f>
        <v/>
      </c>
      <c r="H3790">
        <f>IF(D3790="REMOVE",COUNTIF($D$2:D3790,"REMOVE"),"")</f>
        <v/>
      </c>
      <c r="I3790">
        <f>IF(E3790="Gmail",COUNTIF($E$2:E3790,"Gmail"),"")</f>
        <v/>
      </c>
      <c r="J3790">
        <f>IF(E3790="Outlook",COUNTIF($E$2:E3790,"Outlook"),"")</f>
        <v/>
      </c>
      <c r="K3790">
        <f>IF(E3790="Domain",COUNTIF($E$2:E3790,"Domain"),"")</f>
        <v/>
      </c>
    </row>
    <row r="3791">
      <c r="A3791" s="2" t="n"/>
      <c r="B3791">
        <f>LOWER(TRIM(A3791))</f>
        <v/>
      </c>
      <c r="C3791">
        <f>IF(B3791="","",IFERROR(INDEX('Bad Patterns'!$A$2:$A$120,MATCH(1,INDEX(--ISNUMBER(SEARCH('Bad Patterns'!$A$2:$A$120,B3791)),0),0)),""))</f>
        <v/>
      </c>
      <c r="D3791">
        <f>IF(B3791="","",IF(C3791&lt;&gt;"","REMOVE","KEEP"))</f>
        <v/>
      </c>
      <c r="E3791">
        <f>IF(D3791&lt;&gt;"KEEP","",IF(RIGHT(B3791,10)="@gmail.com","Gmail",IF(OR(RIGHT(B3791,12)="@outlook.com",RIGHT(B3791,12)="@hotmail.com",RIGHT(B3791,9)="@live.com"),"Outlook","Domain")))</f>
        <v/>
      </c>
      <c r="F3791">
        <f>IF(B3791="","",IFERROR(RIGHT(B3791,LEN(B3791)-FIND("@",B3791)),""))</f>
        <v/>
      </c>
      <c r="G3791">
        <f>IF(D3791="KEEP",COUNTIF($D$2:D3791,"KEEP"),"")</f>
        <v/>
      </c>
      <c r="H3791">
        <f>IF(D3791="REMOVE",COUNTIF($D$2:D3791,"REMOVE"),"")</f>
        <v/>
      </c>
      <c r="I3791">
        <f>IF(E3791="Gmail",COUNTIF($E$2:E3791,"Gmail"),"")</f>
        <v/>
      </c>
      <c r="J3791">
        <f>IF(E3791="Outlook",COUNTIF($E$2:E3791,"Outlook"),"")</f>
        <v/>
      </c>
      <c r="K3791">
        <f>IF(E3791="Domain",COUNTIF($E$2:E3791,"Domain"),"")</f>
        <v/>
      </c>
    </row>
    <row r="3792">
      <c r="A3792" s="2" t="n"/>
      <c r="B3792">
        <f>LOWER(TRIM(A3792))</f>
        <v/>
      </c>
      <c r="C3792">
        <f>IF(B3792="","",IFERROR(INDEX('Bad Patterns'!$A$2:$A$120,MATCH(1,INDEX(--ISNUMBER(SEARCH('Bad Patterns'!$A$2:$A$120,B3792)),0),0)),""))</f>
        <v/>
      </c>
      <c r="D3792">
        <f>IF(B3792="","",IF(C3792&lt;&gt;"","REMOVE","KEEP"))</f>
        <v/>
      </c>
      <c r="E3792">
        <f>IF(D3792&lt;&gt;"KEEP","",IF(RIGHT(B3792,10)="@gmail.com","Gmail",IF(OR(RIGHT(B3792,12)="@outlook.com",RIGHT(B3792,12)="@hotmail.com",RIGHT(B3792,9)="@live.com"),"Outlook","Domain")))</f>
        <v/>
      </c>
      <c r="F3792">
        <f>IF(B3792="","",IFERROR(RIGHT(B3792,LEN(B3792)-FIND("@",B3792)),""))</f>
        <v/>
      </c>
      <c r="G3792">
        <f>IF(D3792="KEEP",COUNTIF($D$2:D3792,"KEEP"),"")</f>
        <v/>
      </c>
      <c r="H3792">
        <f>IF(D3792="REMOVE",COUNTIF($D$2:D3792,"REMOVE"),"")</f>
        <v/>
      </c>
      <c r="I3792">
        <f>IF(E3792="Gmail",COUNTIF($E$2:E3792,"Gmail"),"")</f>
        <v/>
      </c>
      <c r="J3792">
        <f>IF(E3792="Outlook",COUNTIF($E$2:E3792,"Outlook"),"")</f>
        <v/>
      </c>
      <c r="K3792">
        <f>IF(E3792="Domain",COUNTIF($E$2:E3792,"Domain"),"")</f>
        <v/>
      </c>
    </row>
    <row r="3793">
      <c r="A3793" s="2" t="n"/>
      <c r="B3793">
        <f>LOWER(TRIM(A3793))</f>
        <v/>
      </c>
      <c r="C3793">
        <f>IF(B3793="","",IFERROR(INDEX('Bad Patterns'!$A$2:$A$120,MATCH(1,INDEX(--ISNUMBER(SEARCH('Bad Patterns'!$A$2:$A$120,B3793)),0),0)),""))</f>
        <v/>
      </c>
      <c r="D3793">
        <f>IF(B3793="","",IF(C3793&lt;&gt;"","REMOVE","KEEP"))</f>
        <v/>
      </c>
      <c r="E3793">
        <f>IF(D3793&lt;&gt;"KEEP","",IF(RIGHT(B3793,10)="@gmail.com","Gmail",IF(OR(RIGHT(B3793,12)="@outlook.com",RIGHT(B3793,12)="@hotmail.com",RIGHT(B3793,9)="@live.com"),"Outlook","Domain")))</f>
        <v/>
      </c>
      <c r="F3793">
        <f>IF(B3793="","",IFERROR(RIGHT(B3793,LEN(B3793)-FIND("@",B3793)),""))</f>
        <v/>
      </c>
      <c r="G3793">
        <f>IF(D3793="KEEP",COUNTIF($D$2:D3793,"KEEP"),"")</f>
        <v/>
      </c>
      <c r="H3793">
        <f>IF(D3793="REMOVE",COUNTIF($D$2:D3793,"REMOVE"),"")</f>
        <v/>
      </c>
      <c r="I3793">
        <f>IF(E3793="Gmail",COUNTIF($E$2:E3793,"Gmail"),"")</f>
        <v/>
      </c>
      <c r="J3793">
        <f>IF(E3793="Outlook",COUNTIF($E$2:E3793,"Outlook"),"")</f>
        <v/>
      </c>
      <c r="K3793">
        <f>IF(E3793="Domain",COUNTIF($E$2:E3793,"Domain"),"")</f>
        <v/>
      </c>
    </row>
    <row r="3794">
      <c r="A3794" s="2" t="n"/>
      <c r="B3794">
        <f>LOWER(TRIM(A3794))</f>
        <v/>
      </c>
      <c r="C3794">
        <f>IF(B3794="","",IFERROR(INDEX('Bad Patterns'!$A$2:$A$120,MATCH(1,INDEX(--ISNUMBER(SEARCH('Bad Patterns'!$A$2:$A$120,B3794)),0),0)),""))</f>
        <v/>
      </c>
      <c r="D3794">
        <f>IF(B3794="","",IF(C3794&lt;&gt;"","REMOVE","KEEP"))</f>
        <v/>
      </c>
      <c r="E3794">
        <f>IF(D3794&lt;&gt;"KEEP","",IF(RIGHT(B3794,10)="@gmail.com","Gmail",IF(OR(RIGHT(B3794,12)="@outlook.com",RIGHT(B3794,12)="@hotmail.com",RIGHT(B3794,9)="@live.com"),"Outlook","Domain")))</f>
        <v/>
      </c>
      <c r="F3794">
        <f>IF(B3794="","",IFERROR(RIGHT(B3794,LEN(B3794)-FIND("@",B3794)),""))</f>
        <v/>
      </c>
      <c r="G3794">
        <f>IF(D3794="KEEP",COUNTIF($D$2:D3794,"KEEP"),"")</f>
        <v/>
      </c>
      <c r="H3794">
        <f>IF(D3794="REMOVE",COUNTIF($D$2:D3794,"REMOVE"),"")</f>
        <v/>
      </c>
      <c r="I3794">
        <f>IF(E3794="Gmail",COUNTIF($E$2:E3794,"Gmail"),"")</f>
        <v/>
      </c>
      <c r="J3794">
        <f>IF(E3794="Outlook",COUNTIF($E$2:E3794,"Outlook"),"")</f>
        <v/>
      </c>
      <c r="K3794">
        <f>IF(E3794="Domain",COUNTIF($E$2:E3794,"Domain"),"")</f>
        <v/>
      </c>
    </row>
    <row r="3795">
      <c r="A3795" s="2" t="n"/>
      <c r="B3795">
        <f>LOWER(TRIM(A3795))</f>
        <v/>
      </c>
      <c r="C3795">
        <f>IF(B3795="","",IFERROR(INDEX('Bad Patterns'!$A$2:$A$120,MATCH(1,INDEX(--ISNUMBER(SEARCH('Bad Patterns'!$A$2:$A$120,B3795)),0),0)),""))</f>
        <v/>
      </c>
      <c r="D3795">
        <f>IF(B3795="","",IF(C3795&lt;&gt;"","REMOVE","KEEP"))</f>
        <v/>
      </c>
      <c r="E3795">
        <f>IF(D3795&lt;&gt;"KEEP","",IF(RIGHT(B3795,10)="@gmail.com","Gmail",IF(OR(RIGHT(B3795,12)="@outlook.com",RIGHT(B3795,12)="@hotmail.com",RIGHT(B3795,9)="@live.com"),"Outlook","Domain")))</f>
        <v/>
      </c>
      <c r="F3795">
        <f>IF(B3795="","",IFERROR(RIGHT(B3795,LEN(B3795)-FIND("@",B3795)),""))</f>
        <v/>
      </c>
      <c r="G3795">
        <f>IF(D3795="KEEP",COUNTIF($D$2:D3795,"KEEP"),"")</f>
        <v/>
      </c>
      <c r="H3795">
        <f>IF(D3795="REMOVE",COUNTIF($D$2:D3795,"REMOVE"),"")</f>
        <v/>
      </c>
      <c r="I3795">
        <f>IF(E3795="Gmail",COUNTIF($E$2:E3795,"Gmail"),"")</f>
        <v/>
      </c>
      <c r="J3795">
        <f>IF(E3795="Outlook",COUNTIF($E$2:E3795,"Outlook"),"")</f>
        <v/>
      </c>
      <c r="K3795">
        <f>IF(E3795="Domain",COUNTIF($E$2:E3795,"Domain"),"")</f>
        <v/>
      </c>
    </row>
    <row r="3796">
      <c r="A3796" s="2" t="n"/>
      <c r="B3796">
        <f>LOWER(TRIM(A3796))</f>
        <v/>
      </c>
      <c r="C3796">
        <f>IF(B3796="","",IFERROR(INDEX('Bad Patterns'!$A$2:$A$120,MATCH(1,INDEX(--ISNUMBER(SEARCH('Bad Patterns'!$A$2:$A$120,B3796)),0),0)),""))</f>
        <v/>
      </c>
      <c r="D3796">
        <f>IF(B3796="","",IF(C3796&lt;&gt;"","REMOVE","KEEP"))</f>
        <v/>
      </c>
      <c r="E3796">
        <f>IF(D3796&lt;&gt;"KEEP","",IF(RIGHT(B3796,10)="@gmail.com","Gmail",IF(OR(RIGHT(B3796,12)="@outlook.com",RIGHT(B3796,12)="@hotmail.com",RIGHT(B3796,9)="@live.com"),"Outlook","Domain")))</f>
        <v/>
      </c>
      <c r="F3796">
        <f>IF(B3796="","",IFERROR(RIGHT(B3796,LEN(B3796)-FIND("@",B3796)),""))</f>
        <v/>
      </c>
      <c r="G3796">
        <f>IF(D3796="KEEP",COUNTIF($D$2:D3796,"KEEP"),"")</f>
        <v/>
      </c>
      <c r="H3796">
        <f>IF(D3796="REMOVE",COUNTIF($D$2:D3796,"REMOVE"),"")</f>
        <v/>
      </c>
      <c r="I3796">
        <f>IF(E3796="Gmail",COUNTIF($E$2:E3796,"Gmail"),"")</f>
        <v/>
      </c>
      <c r="J3796">
        <f>IF(E3796="Outlook",COUNTIF($E$2:E3796,"Outlook"),"")</f>
        <v/>
      </c>
      <c r="K3796">
        <f>IF(E3796="Domain",COUNTIF($E$2:E3796,"Domain"),"")</f>
        <v/>
      </c>
    </row>
    <row r="3797">
      <c r="A3797" s="2" t="n"/>
      <c r="B3797">
        <f>LOWER(TRIM(A3797))</f>
        <v/>
      </c>
      <c r="C3797">
        <f>IF(B3797="","",IFERROR(INDEX('Bad Patterns'!$A$2:$A$120,MATCH(1,INDEX(--ISNUMBER(SEARCH('Bad Patterns'!$A$2:$A$120,B3797)),0),0)),""))</f>
        <v/>
      </c>
      <c r="D3797">
        <f>IF(B3797="","",IF(C3797&lt;&gt;"","REMOVE","KEEP"))</f>
        <v/>
      </c>
      <c r="E3797">
        <f>IF(D3797&lt;&gt;"KEEP","",IF(RIGHT(B3797,10)="@gmail.com","Gmail",IF(OR(RIGHT(B3797,12)="@outlook.com",RIGHT(B3797,12)="@hotmail.com",RIGHT(B3797,9)="@live.com"),"Outlook","Domain")))</f>
        <v/>
      </c>
      <c r="F3797">
        <f>IF(B3797="","",IFERROR(RIGHT(B3797,LEN(B3797)-FIND("@",B3797)),""))</f>
        <v/>
      </c>
      <c r="G3797">
        <f>IF(D3797="KEEP",COUNTIF($D$2:D3797,"KEEP"),"")</f>
        <v/>
      </c>
      <c r="H3797">
        <f>IF(D3797="REMOVE",COUNTIF($D$2:D3797,"REMOVE"),"")</f>
        <v/>
      </c>
      <c r="I3797">
        <f>IF(E3797="Gmail",COUNTIF($E$2:E3797,"Gmail"),"")</f>
        <v/>
      </c>
      <c r="J3797">
        <f>IF(E3797="Outlook",COUNTIF($E$2:E3797,"Outlook"),"")</f>
        <v/>
      </c>
      <c r="K3797">
        <f>IF(E3797="Domain",COUNTIF($E$2:E3797,"Domain"),"")</f>
        <v/>
      </c>
    </row>
    <row r="3798">
      <c r="A3798" s="2" t="n"/>
      <c r="B3798">
        <f>LOWER(TRIM(A3798))</f>
        <v/>
      </c>
      <c r="C3798">
        <f>IF(B3798="","",IFERROR(INDEX('Bad Patterns'!$A$2:$A$120,MATCH(1,INDEX(--ISNUMBER(SEARCH('Bad Patterns'!$A$2:$A$120,B3798)),0),0)),""))</f>
        <v/>
      </c>
      <c r="D3798">
        <f>IF(B3798="","",IF(C3798&lt;&gt;"","REMOVE","KEEP"))</f>
        <v/>
      </c>
      <c r="E3798">
        <f>IF(D3798&lt;&gt;"KEEP","",IF(RIGHT(B3798,10)="@gmail.com","Gmail",IF(OR(RIGHT(B3798,12)="@outlook.com",RIGHT(B3798,12)="@hotmail.com",RIGHT(B3798,9)="@live.com"),"Outlook","Domain")))</f>
        <v/>
      </c>
      <c r="F3798">
        <f>IF(B3798="","",IFERROR(RIGHT(B3798,LEN(B3798)-FIND("@",B3798)),""))</f>
        <v/>
      </c>
      <c r="G3798">
        <f>IF(D3798="KEEP",COUNTIF($D$2:D3798,"KEEP"),"")</f>
        <v/>
      </c>
      <c r="H3798">
        <f>IF(D3798="REMOVE",COUNTIF($D$2:D3798,"REMOVE"),"")</f>
        <v/>
      </c>
      <c r="I3798">
        <f>IF(E3798="Gmail",COUNTIF($E$2:E3798,"Gmail"),"")</f>
        <v/>
      </c>
      <c r="J3798">
        <f>IF(E3798="Outlook",COUNTIF($E$2:E3798,"Outlook"),"")</f>
        <v/>
      </c>
      <c r="K3798">
        <f>IF(E3798="Domain",COUNTIF($E$2:E3798,"Domain"),"")</f>
        <v/>
      </c>
    </row>
    <row r="3799">
      <c r="A3799" s="2" t="n"/>
      <c r="B3799">
        <f>LOWER(TRIM(A3799))</f>
        <v/>
      </c>
      <c r="C3799">
        <f>IF(B3799="","",IFERROR(INDEX('Bad Patterns'!$A$2:$A$120,MATCH(1,INDEX(--ISNUMBER(SEARCH('Bad Patterns'!$A$2:$A$120,B3799)),0),0)),""))</f>
        <v/>
      </c>
      <c r="D3799">
        <f>IF(B3799="","",IF(C3799&lt;&gt;"","REMOVE","KEEP"))</f>
        <v/>
      </c>
      <c r="E3799">
        <f>IF(D3799&lt;&gt;"KEEP","",IF(RIGHT(B3799,10)="@gmail.com","Gmail",IF(OR(RIGHT(B3799,12)="@outlook.com",RIGHT(B3799,12)="@hotmail.com",RIGHT(B3799,9)="@live.com"),"Outlook","Domain")))</f>
        <v/>
      </c>
      <c r="F3799">
        <f>IF(B3799="","",IFERROR(RIGHT(B3799,LEN(B3799)-FIND("@",B3799)),""))</f>
        <v/>
      </c>
      <c r="G3799">
        <f>IF(D3799="KEEP",COUNTIF($D$2:D3799,"KEEP"),"")</f>
        <v/>
      </c>
      <c r="H3799">
        <f>IF(D3799="REMOVE",COUNTIF($D$2:D3799,"REMOVE"),"")</f>
        <v/>
      </c>
      <c r="I3799">
        <f>IF(E3799="Gmail",COUNTIF($E$2:E3799,"Gmail"),"")</f>
        <v/>
      </c>
      <c r="J3799">
        <f>IF(E3799="Outlook",COUNTIF($E$2:E3799,"Outlook"),"")</f>
        <v/>
      </c>
      <c r="K3799">
        <f>IF(E3799="Domain",COUNTIF($E$2:E3799,"Domain"),"")</f>
        <v/>
      </c>
    </row>
    <row r="3800">
      <c r="A3800" s="2" t="n"/>
      <c r="B3800">
        <f>LOWER(TRIM(A3800))</f>
        <v/>
      </c>
      <c r="C3800">
        <f>IF(B3800="","",IFERROR(INDEX('Bad Patterns'!$A$2:$A$120,MATCH(1,INDEX(--ISNUMBER(SEARCH('Bad Patterns'!$A$2:$A$120,B3800)),0),0)),""))</f>
        <v/>
      </c>
      <c r="D3800">
        <f>IF(B3800="","",IF(C3800&lt;&gt;"","REMOVE","KEEP"))</f>
        <v/>
      </c>
      <c r="E3800">
        <f>IF(D3800&lt;&gt;"KEEP","",IF(RIGHT(B3800,10)="@gmail.com","Gmail",IF(OR(RIGHT(B3800,12)="@outlook.com",RIGHT(B3800,12)="@hotmail.com",RIGHT(B3800,9)="@live.com"),"Outlook","Domain")))</f>
        <v/>
      </c>
      <c r="F3800">
        <f>IF(B3800="","",IFERROR(RIGHT(B3800,LEN(B3800)-FIND("@",B3800)),""))</f>
        <v/>
      </c>
      <c r="G3800">
        <f>IF(D3800="KEEP",COUNTIF($D$2:D3800,"KEEP"),"")</f>
        <v/>
      </c>
      <c r="H3800">
        <f>IF(D3800="REMOVE",COUNTIF($D$2:D3800,"REMOVE"),"")</f>
        <v/>
      </c>
      <c r="I3800">
        <f>IF(E3800="Gmail",COUNTIF($E$2:E3800,"Gmail"),"")</f>
        <v/>
      </c>
      <c r="J3800">
        <f>IF(E3800="Outlook",COUNTIF($E$2:E3800,"Outlook"),"")</f>
        <v/>
      </c>
      <c r="K3800">
        <f>IF(E3800="Domain",COUNTIF($E$2:E3800,"Domain"),"")</f>
        <v/>
      </c>
    </row>
    <row r="3801">
      <c r="A3801" s="2" t="n"/>
      <c r="B3801">
        <f>LOWER(TRIM(A3801))</f>
        <v/>
      </c>
      <c r="C3801">
        <f>IF(B3801="","",IFERROR(INDEX('Bad Patterns'!$A$2:$A$120,MATCH(1,INDEX(--ISNUMBER(SEARCH('Bad Patterns'!$A$2:$A$120,B3801)),0),0)),""))</f>
        <v/>
      </c>
      <c r="D3801">
        <f>IF(B3801="","",IF(C3801&lt;&gt;"","REMOVE","KEEP"))</f>
        <v/>
      </c>
      <c r="E3801">
        <f>IF(D3801&lt;&gt;"KEEP","",IF(RIGHT(B3801,10)="@gmail.com","Gmail",IF(OR(RIGHT(B3801,12)="@outlook.com",RIGHT(B3801,12)="@hotmail.com",RIGHT(B3801,9)="@live.com"),"Outlook","Domain")))</f>
        <v/>
      </c>
      <c r="F3801">
        <f>IF(B3801="","",IFERROR(RIGHT(B3801,LEN(B3801)-FIND("@",B3801)),""))</f>
        <v/>
      </c>
      <c r="G3801">
        <f>IF(D3801="KEEP",COUNTIF($D$2:D3801,"KEEP"),"")</f>
        <v/>
      </c>
      <c r="H3801">
        <f>IF(D3801="REMOVE",COUNTIF($D$2:D3801,"REMOVE"),"")</f>
        <v/>
      </c>
      <c r="I3801">
        <f>IF(E3801="Gmail",COUNTIF($E$2:E3801,"Gmail"),"")</f>
        <v/>
      </c>
      <c r="J3801">
        <f>IF(E3801="Outlook",COUNTIF($E$2:E3801,"Outlook"),"")</f>
        <v/>
      </c>
      <c r="K3801">
        <f>IF(E3801="Domain",COUNTIF($E$2:E3801,"Domain"),"")</f>
        <v/>
      </c>
    </row>
    <row r="3802">
      <c r="A3802" s="2" t="n"/>
      <c r="B3802">
        <f>LOWER(TRIM(A3802))</f>
        <v/>
      </c>
      <c r="C3802">
        <f>IF(B3802="","",IFERROR(INDEX('Bad Patterns'!$A$2:$A$120,MATCH(1,INDEX(--ISNUMBER(SEARCH('Bad Patterns'!$A$2:$A$120,B3802)),0),0)),""))</f>
        <v/>
      </c>
      <c r="D3802">
        <f>IF(B3802="","",IF(C3802&lt;&gt;"","REMOVE","KEEP"))</f>
        <v/>
      </c>
      <c r="E3802">
        <f>IF(D3802&lt;&gt;"KEEP","",IF(RIGHT(B3802,10)="@gmail.com","Gmail",IF(OR(RIGHT(B3802,12)="@outlook.com",RIGHT(B3802,12)="@hotmail.com",RIGHT(B3802,9)="@live.com"),"Outlook","Domain")))</f>
        <v/>
      </c>
      <c r="F3802">
        <f>IF(B3802="","",IFERROR(RIGHT(B3802,LEN(B3802)-FIND("@",B3802)),""))</f>
        <v/>
      </c>
      <c r="G3802">
        <f>IF(D3802="KEEP",COUNTIF($D$2:D3802,"KEEP"),"")</f>
        <v/>
      </c>
      <c r="H3802">
        <f>IF(D3802="REMOVE",COUNTIF($D$2:D3802,"REMOVE"),"")</f>
        <v/>
      </c>
      <c r="I3802">
        <f>IF(E3802="Gmail",COUNTIF($E$2:E3802,"Gmail"),"")</f>
        <v/>
      </c>
      <c r="J3802">
        <f>IF(E3802="Outlook",COUNTIF($E$2:E3802,"Outlook"),"")</f>
        <v/>
      </c>
      <c r="K3802">
        <f>IF(E3802="Domain",COUNTIF($E$2:E3802,"Domain"),"")</f>
        <v/>
      </c>
    </row>
    <row r="3803">
      <c r="A3803" s="2" t="n"/>
      <c r="B3803">
        <f>LOWER(TRIM(A3803))</f>
        <v/>
      </c>
      <c r="C3803">
        <f>IF(B3803="","",IFERROR(INDEX('Bad Patterns'!$A$2:$A$120,MATCH(1,INDEX(--ISNUMBER(SEARCH('Bad Patterns'!$A$2:$A$120,B3803)),0),0)),""))</f>
        <v/>
      </c>
      <c r="D3803">
        <f>IF(B3803="","",IF(C3803&lt;&gt;"","REMOVE","KEEP"))</f>
        <v/>
      </c>
      <c r="E3803">
        <f>IF(D3803&lt;&gt;"KEEP","",IF(RIGHT(B3803,10)="@gmail.com","Gmail",IF(OR(RIGHT(B3803,12)="@outlook.com",RIGHT(B3803,12)="@hotmail.com",RIGHT(B3803,9)="@live.com"),"Outlook","Domain")))</f>
        <v/>
      </c>
      <c r="F3803">
        <f>IF(B3803="","",IFERROR(RIGHT(B3803,LEN(B3803)-FIND("@",B3803)),""))</f>
        <v/>
      </c>
      <c r="G3803">
        <f>IF(D3803="KEEP",COUNTIF($D$2:D3803,"KEEP"),"")</f>
        <v/>
      </c>
      <c r="H3803">
        <f>IF(D3803="REMOVE",COUNTIF($D$2:D3803,"REMOVE"),"")</f>
        <v/>
      </c>
      <c r="I3803">
        <f>IF(E3803="Gmail",COUNTIF($E$2:E3803,"Gmail"),"")</f>
        <v/>
      </c>
      <c r="J3803">
        <f>IF(E3803="Outlook",COUNTIF($E$2:E3803,"Outlook"),"")</f>
        <v/>
      </c>
      <c r="K3803">
        <f>IF(E3803="Domain",COUNTIF($E$2:E3803,"Domain"),"")</f>
        <v/>
      </c>
    </row>
    <row r="3804">
      <c r="A3804" s="2" t="n"/>
      <c r="B3804">
        <f>LOWER(TRIM(A3804))</f>
        <v/>
      </c>
      <c r="C3804">
        <f>IF(B3804="","",IFERROR(INDEX('Bad Patterns'!$A$2:$A$120,MATCH(1,INDEX(--ISNUMBER(SEARCH('Bad Patterns'!$A$2:$A$120,B3804)),0),0)),""))</f>
        <v/>
      </c>
      <c r="D3804">
        <f>IF(B3804="","",IF(C3804&lt;&gt;"","REMOVE","KEEP"))</f>
        <v/>
      </c>
      <c r="E3804">
        <f>IF(D3804&lt;&gt;"KEEP","",IF(RIGHT(B3804,10)="@gmail.com","Gmail",IF(OR(RIGHT(B3804,12)="@outlook.com",RIGHT(B3804,12)="@hotmail.com",RIGHT(B3804,9)="@live.com"),"Outlook","Domain")))</f>
        <v/>
      </c>
      <c r="F3804">
        <f>IF(B3804="","",IFERROR(RIGHT(B3804,LEN(B3804)-FIND("@",B3804)),""))</f>
        <v/>
      </c>
      <c r="G3804">
        <f>IF(D3804="KEEP",COUNTIF($D$2:D3804,"KEEP"),"")</f>
        <v/>
      </c>
      <c r="H3804">
        <f>IF(D3804="REMOVE",COUNTIF($D$2:D3804,"REMOVE"),"")</f>
        <v/>
      </c>
      <c r="I3804">
        <f>IF(E3804="Gmail",COUNTIF($E$2:E3804,"Gmail"),"")</f>
        <v/>
      </c>
      <c r="J3804">
        <f>IF(E3804="Outlook",COUNTIF($E$2:E3804,"Outlook"),"")</f>
        <v/>
      </c>
      <c r="K3804">
        <f>IF(E3804="Domain",COUNTIF($E$2:E3804,"Domain"),"")</f>
        <v/>
      </c>
    </row>
    <row r="3805">
      <c r="A3805" s="2" t="n"/>
      <c r="B3805">
        <f>LOWER(TRIM(A3805))</f>
        <v/>
      </c>
      <c r="C3805">
        <f>IF(B3805="","",IFERROR(INDEX('Bad Patterns'!$A$2:$A$120,MATCH(1,INDEX(--ISNUMBER(SEARCH('Bad Patterns'!$A$2:$A$120,B3805)),0),0)),""))</f>
        <v/>
      </c>
      <c r="D3805">
        <f>IF(B3805="","",IF(C3805&lt;&gt;"","REMOVE","KEEP"))</f>
        <v/>
      </c>
      <c r="E3805">
        <f>IF(D3805&lt;&gt;"KEEP","",IF(RIGHT(B3805,10)="@gmail.com","Gmail",IF(OR(RIGHT(B3805,12)="@outlook.com",RIGHT(B3805,12)="@hotmail.com",RIGHT(B3805,9)="@live.com"),"Outlook","Domain")))</f>
        <v/>
      </c>
      <c r="F3805">
        <f>IF(B3805="","",IFERROR(RIGHT(B3805,LEN(B3805)-FIND("@",B3805)),""))</f>
        <v/>
      </c>
      <c r="G3805">
        <f>IF(D3805="KEEP",COUNTIF($D$2:D3805,"KEEP"),"")</f>
        <v/>
      </c>
      <c r="H3805">
        <f>IF(D3805="REMOVE",COUNTIF($D$2:D3805,"REMOVE"),"")</f>
        <v/>
      </c>
      <c r="I3805">
        <f>IF(E3805="Gmail",COUNTIF($E$2:E3805,"Gmail"),"")</f>
        <v/>
      </c>
      <c r="J3805">
        <f>IF(E3805="Outlook",COUNTIF($E$2:E3805,"Outlook"),"")</f>
        <v/>
      </c>
      <c r="K3805">
        <f>IF(E3805="Domain",COUNTIF($E$2:E3805,"Domain"),"")</f>
        <v/>
      </c>
    </row>
    <row r="3806">
      <c r="A3806" s="2" t="n"/>
      <c r="B3806">
        <f>LOWER(TRIM(A3806))</f>
        <v/>
      </c>
      <c r="C3806">
        <f>IF(B3806="","",IFERROR(INDEX('Bad Patterns'!$A$2:$A$120,MATCH(1,INDEX(--ISNUMBER(SEARCH('Bad Patterns'!$A$2:$A$120,B3806)),0),0)),""))</f>
        <v/>
      </c>
      <c r="D3806">
        <f>IF(B3806="","",IF(C3806&lt;&gt;"","REMOVE","KEEP"))</f>
        <v/>
      </c>
      <c r="E3806">
        <f>IF(D3806&lt;&gt;"KEEP","",IF(RIGHT(B3806,10)="@gmail.com","Gmail",IF(OR(RIGHT(B3806,12)="@outlook.com",RIGHT(B3806,12)="@hotmail.com",RIGHT(B3806,9)="@live.com"),"Outlook","Domain")))</f>
        <v/>
      </c>
      <c r="F3806">
        <f>IF(B3806="","",IFERROR(RIGHT(B3806,LEN(B3806)-FIND("@",B3806)),""))</f>
        <v/>
      </c>
      <c r="G3806">
        <f>IF(D3806="KEEP",COUNTIF($D$2:D3806,"KEEP"),"")</f>
        <v/>
      </c>
      <c r="H3806">
        <f>IF(D3806="REMOVE",COUNTIF($D$2:D3806,"REMOVE"),"")</f>
        <v/>
      </c>
      <c r="I3806">
        <f>IF(E3806="Gmail",COUNTIF($E$2:E3806,"Gmail"),"")</f>
        <v/>
      </c>
      <c r="J3806">
        <f>IF(E3806="Outlook",COUNTIF($E$2:E3806,"Outlook"),"")</f>
        <v/>
      </c>
      <c r="K3806">
        <f>IF(E3806="Domain",COUNTIF($E$2:E3806,"Domain"),"")</f>
        <v/>
      </c>
    </row>
    <row r="3807">
      <c r="A3807" s="2" t="n"/>
      <c r="B3807">
        <f>LOWER(TRIM(A3807))</f>
        <v/>
      </c>
      <c r="C3807">
        <f>IF(B3807="","",IFERROR(INDEX('Bad Patterns'!$A$2:$A$120,MATCH(1,INDEX(--ISNUMBER(SEARCH('Bad Patterns'!$A$2:$A$120,B3807)),0),0)),""))</f>
        <v/>
      </c>
      <c r="D3807">
        <f>IF(B3807="","",IF(C3807&lt;&gt;"","REMOVE","KEEP"))</f>
        <v/>
      </c>
      <c r="E3807">
        <f>IF(D3807&lt;&gt;"KEEP","",IF(RIGHT(B3807,10)="@gmail.com","Gmail",IF(OR(RIGHT(B3807,12)="@outlook.com",RIGHT(B3807,12)="@hotmail.com",RIGHT(B3807,9)="@live.com"),"Outlook","Domain")))</f>
        <v/>
      </c>
      <c r="F3807">
        <f>IF(B3807="","",IFERROR(RIGHT(B3807,LEN(B3807)-FIND("@",B3807)),""))</f>
        <v/>
      </c>
      <c r="G3807">
        <f>IF(D3807="KEEP",COUNTIF($D$2:D3807,"KEEP"),"")</f>
        <v/>
      </c>
      <c r="H3807">
        <f>IF(D3807="REMOVE",COUNTIF($D$2:D3807,"REMOVE"),"")</f>
        <v/>
      </c>
      <c r="I3807">
        <f>IF(E3807="Gmail",COUNTIF($E$2:E3807,"Gmail"),"")</f>
        <v/>
      </c>
      <c r="J3807">
        <f>IF(E3807="Outlook",COUNTIF($E$2:E3807,"Outlook"),"")</f>
        <v/>
      </c>
      <c r="K3807">
        <f>IF(E3807="Domain",COUNTIF($E$2:E3807,"Domain"),"")</f>
        <v/>
      </c>
    </row>
    <row r="3808">
      <c r="A3808" s="2" t="n"/>
      <c r="B3808">
        <f>LOWER(TRIM(A3808))</f>
        <v/>
      </c>
      <c r="C3808">
        <f>IF(B3808="","",IFERROR(INDEX('Bad Patterns'!$A$2:$A$120,MATCH(1,INDEX(--ISNUMBER(SEARCH('Bad Patterns'!$A$2:$A$120,B3808)),0),0)),""))</f>
        <v/>
      </c>
      <c r="D3808">
        <f>IF(B3808="","",IF(C3808&lt;&gt;"","REMOVE","KEEP"))</f>
        <v/>
      </c>
      <c r="E3808">
        <f>IF(D3808&lt;&gt;"KEEP","",IF(RIGHT(B3808,10)="@gmail.com","Gmail",IF(OR(RIGHT(B3808,12)="@outlook.com",RIGHT(B3808,12)="@hotmail.com",RIGHT(B3808,9)="@live.com"),"Outlook","Domain")))</f>
        <v/>
      </c>
      <c r="F3808">
        <f>IF(B3808="","",IFERROR(RIGHT(B3808,LEN(B3808)-FIND("@",B3808)),""))</f>
        <v/>
      </c>
      <c r="G3808">
        <f>IF(D3808="KEEP",COUNTIF($D$2:D3808,"KEEP"),"")</f>
        <v/>
      </c>
      <c r="H3808">
        <f>IF(D3808="REMOVE",COUNTIF($D$2:D3808,"REMOVE"),"")</f>
        <v/>
      </c>
      <c r="I3808">
        <f>IF(E3808="Gmail",COUNTIF($E$2:E3808,"Gmail"),"")</f>
        <v/>
      </c>
      <c r="J3808">
        <f>IF(E3808="Outlook",COUNTIF($E$2:E3808,"Outlook"),"")</f>
        <v/>
      </c>
      <c r="K3808">
        <f>IF(E3808="Domain",COUNTIF($E$2:E3808,"Domain"),"")</f>
        <v/>
      </c>
    </row>
    <row r="3809">
      <c r="A3809" s="2" t="n"/>
      <c r="B3809">
        <f>LOWER(TRIM(A3809))</f>
        <v/>
      </c>
      <c r="C3809">
        <f>IF(B3809="","",IFERROR(INDEX('Bad Patterns'!$A$2:$A$120,MATCH(1,INDEX(--ISNUMBER(SEARCH('Bad Patterns'!$A$2:$A$120,B3809)),0),0)),""))</f>
        <v/>
      </c>
      <c r="D3809">
        <f>IF(B3809="","",IF(C3809&lt;&gt;"","REMOVE","KEEP"))</f>
        <v/>
      </c>
      <c r="E3809">
        <f>IF(D3809&lt;&gt;"KEEP","",IF(RIGHT(B3809,10)="@gmail.com","Gmail",IF(OR(RIGHT(B3809,12)="@outlook.com",RIGHT(B3809,12)="@hotmail.com",RIGHT(B3809,9)="@live.com"),"Outlook","Domain")))</f>
        <v/>
      </c>
      <c r="F3809">
        <f>IF(B3809="","",IFERROR(RIGHT(B3809,LEN(B3809)-FIND("@",B3809)),""))</f>
        <v/>
      </c>
      <c r="G3809">
        <f>IF(D3809="KEEP",COUNTIF($D$2:D3809,"KEEP"),"")</f>
        <v/>
      </c>
      <c r="H3809">
        <f>IF(D3809="REMOVE",COUNTIF($D$2:D3809,"REMOVE"),"")</f>
        <v/>
      </c>
      <c r="I3809">
        <f>IF(E3809="Gmail",COUNTIF($E$2:E3809,"Gmail"),"")</f>
        <v/>
      </c>
      <c r="J3809">
        <f>IF(E3809="Outlook",COUNTIF($E$2:E3809,"Outlook"),"")</f>
        <v/>
      </c>
      <c r="K3809">
        <f>IF(E3809="Domain",COUNTIF($E$2:E3809,"Domain"),"")</f>
        <v/>
      </c>
    </row>
    <row r="3810">
      <c r="A3810" s="2" t="n"/>
      <c r="B3810">
        <f>LOWER(TRIM(A3810))</f>
        <v/>
      </c>
      <c r="C3810">
        <f>IF(B3810="","",IFERROR(INDEX('Bad Patterns'!$A$2:$A$120,MATCH(1,INDEX(--ISNUMBER(SEARCH('Bad Patterns'!$A$2:$A$120,B3810)),0),0)),""))</f>
        <v/>
      </c>
      <c r="D3810">
        <f>IF(B3810="","",IF(C3810&lt;&gt;"","REMOVE","KEEP"))</f>
        <v/>
      </c>
      <c r="E3810">
        <f>IF(D3810&lt;&gt;"KEEP","",IF(RIGHT(B3810,10)="@gmail.com","Gmail",IF(OR(RIGHT(B3810,12)="@outlook.com",RIGHT(B3810,12)="@hotmail.com",RIGHT(B3810,9)="@live.com"),"Outlook","Domain")))</f>
        <v/>
      </c>
      <c r="F3810">
        <f>IF(B3810="","",IFERROR(RIGHT(B3810,LEN(B3810)-FIND("@",B3810)),""))</f>
        <v/>
      </c>
      <c r="G3810">
        <f>IF(D3810="KEEP",COUNTIF($D$2:D3810,"KEEP"),"")</f>
        <v/>
      </c>
      <c r="H3810">
        <f>IF(D3810="REMOVE",COUNTIF($D$2:D3810,"REMOVE"),"")</f>
        <v/>
      </c>
      <c r="I3810">
        <f>IF(E3810="Gmail",COUNTIF($E$2:E3810,"Gmail"),"")</f>
        <v/>
      </c>
      <c r="J3810">
        <f>IF(E3810="Outlook",COUNTIF($E$2:E3810,"Outlook"),"")</f>
        <v/>
      </c>
      <c r="K3810">
        <f>IF(E3810="Domain",COUNTIF($E$2:E3810,"Domain"),"")</f>
        <v/>
      </c>
    </row>
    <row r="3811">
      <c r="A3811" s="2" t="n"/>
      <c r="B3811">
        <f>LOWER(TRIM(A3811))</f>
        <v/>
      </c>
      <c r="C3811">
        <f>IF(B3811="","",IFERROR(INDEX('Bad Patterns'!$A$2:$A$120,MATCH(1,INDEX(--ISNUMBER(SEARCH('Bad Patterns'!$A$2:$A$120,B3811)),0),0)),""))</f>
        <v/>
      </c>
      <c r="D3811">
        <f>IF(B3811="","",IF(C3811&lt;&gt;"","REMOVE","KEEP"))</f>
        <v/>
      </c>
      <c r="E3811">
        <f>IF(D3811&lt;&gt;"KEEP","",IF(RIGHT(B3811,10)="@gmail.com","Gmail",IF(OR(RIGHT(B3811,12)="@outlook.com",RIGHT(B3811,12)="@hotmail.com",RIGHT(B3811,9)="@live.com"),"Outlook","Domain")))</f>
        <v/>
      </c>
      <c r="F3811">
        <f>IF(B3811="","",IFERROR(RIGHT(B3811,LEN(B3811)-FIND("@",B3811)),""))</f>
        <v/>
      </c>
      <c r="G3811">
        <f>IF(D3811="KEEP",COUNTIF($D$2:D3811,"KEEP"),"")</f>
        <v/>
      </c>
      <c r="H3811">
        <f>IF(D3811="REMOVE",COUNTIF($D$2:D3811,"REMOVE"),"")</f>
        <v/>
      </c>
      <c r="I3811">
        <f>IF(E3811="Gmail",COUNTIF($E$2:E3811,"Gmail"),"")</f>
        <v/>
      </c>
      <c r="J3811">
        <f>IF(E3811="Outlook",COUNTIF($E$2:E3811,"Outlook"),"")</f>
        <v/>
      </c>
      <c r="K3811">
        <f>IF(E3811="Domain",COUNTIF($E$2:E3811,"Domain"),"")</f>
        <v/>
      </c>
    </row>
    <row r="3812">
      <c r="A3812" s="2" t="n"/>
      <c r="B3812">
        <f>LOWER(TRIM(A3812))</f>
        <v/>
      </c>
      <c r="C3812">
        <f>IF(B3812="","",IFERROR(INDEX('Bad Patterns'!$A$2:$A$120,MATCH(1,INDEX(--ISNUMBER(SEARCH('Bad Patterns'!$A$2:$A$120,B3812)),0),0)),""))</f>
        <v/>
      </c>
      <c r="D3812">
        <f>IF(B3812="","",IF(C3812&lt;&gt;"","REMOVE","KEEP"))</f>
        <v/>
      </c>
      <c r="E3812">
        <f>IF(D3812&lt;&gt;"KEEP","",IF(RIGHT(B3812,10)="@gmail.com","Gmail",IF(OR(RIGHT(B3812,12)="@outlook.com",RIGHT(B3812,12)="@hotmail.com",RIGHT(B3812,9)="@live.com"),"Outlook","Domain")))</f>
        <v/>
      </c>
      <c r="F3812">
        <f>IF(B3812="","",IFERROR(RIGHT(B3812,LEN(B3812)-FIND("@",B3812)),""))</f>
        <v/>
      </c>
      <c r="G3812">
        <f>IF(D3812="KEEP",COUNTIF($D$2:D3812,"KEEP"),"")</f>
        <v/>
      </c>
      <c r="H3812">
        <f>IF(D3812="REMOVE",COUNTIF($D$2:D3812,"REMOVE"),"")</f>
        <v/>
      </c>
      <c r="I3812">
        <f>IF(E3812="Gmail",COUNTIF($E$2:E3812,"Gmail"),"")</f>
        <v/>
      </c>
      <c r="J3812">
        <f>IF(E3812="Outlook",COUNTIF($E$2:E3812,"Outlook"),"")</f>
        <v/>
      </c>
      <c r="K3812">
        <f>IF(E3812="Domain",COUNTIF($E$2:E3812,"Domain"),"")</f>
        <v/>
      </c>
    </row>
    <row r="3813">
      <c r="A3813" s="2" t="n"/>
      <c r="B3813">
        <f>LOWER(TRIM(A3813))</f>
        <v/>
      </c>
      <c r="C3813">
        <f>IF(B3813="","",IFERROR(INDEX('Bad Patterns'!$A$2:$A$120,MATCH(1,INDEX(--ISNUMBER(SEARCH('Bad Patterns'!$A$2:$A$120,B3813)),0),0)),""))</f>
        <v/>
      </c>
      <c r="D3813">
        <f>IF(B3813="","",IF(C3813&lt;&gt;"","REMOVE","KEEP"))</f>
        <v/>
      </c>
      <c r="E3813">
        <f>IF(D3813&lt;&gt;"KEEP","",IF(RIGHT(B3813,10)="@gmail.com","Gmail",IF(OR(RIGHT(B3813,12)="@outlook.com",RIGHT(B3813,12)="@hotmail.com",RIGHT(B3813,9)="@live.com"),"Outlook","Domain")))</f>
        <v/>
      </c>
      <c r="F3813">
        <f>IF(B3813="","",IFERROR(RIGHT(B3813,LEN(B3813)-FIND("@",B3813)),""))</f>
        <v/>
      </c>
      <c r="G3813">
        <f>IF(D3813="KEEP",COUNTIF($D$2:D3813,"KEEP"),"")</f>
        <v/>
      </c>
      <c r="H3813">
        <f>IF(D3813="REMOVE",COUNTIF($D$2:D3813,"REMOVE"),"")</f>
        <v/>
      </c>
      <c r="I3813">
        <f>IF(E3813="Gmail",COUNTIF($E$2:E3813,"Gmail"),"")</f>
        <v/>
      </c>
      <c r="J3813">
        <f>IF(E3813="Outlook",COUNTIF($E$2:E3813,"Outlook"),"")</f>
        <v/>
      </c>
      <c r="K3813">
        <f>IF(E3813="Domain",COUNTIF($E$2:E3813,"Domain"),"")</f>
        <v/>
      </c>
    </row>
    <row r="3814">
      <c r="A3814" s="2" t="n"/>
      <c r="B3814">
        <f>LOWER(TRIM(A3814))</f>
        <v/>
      </c>
      <c r="C3814">
        <f>IF(B3814="","",IFERROR(INDEX('Bad Patterns'!$A$2:$A$120,MATCH(1,INDEX(--ISNUMBER(SEARCH('Bad Patterns'!$A$2:$A$120,B3814)),0),0)),""))</f>
        <v/>
      </c>
      <c r="D3814">
        <f>IF(B3814="","",IF(C3814&lt;&gt;"","REMOVE","KEEP"))</f>
        <v/>
      </c>
      <c r="E3814">
        <f>IF(D3814&lt;&gt;"KEEP","",IF(RIGHT(B3814,10)="@gmail.com","Gmail",IF(OR(RIGHT(B3814,12)="@outlook.com",RIGHT(B3814,12)="@hotmail.com",RIGHT(B3814,9)="@live.com"),"Outlook","Domain")))</f>
        <v/>
      </c>
      <c r="F3814">
        <f>IF(B3814="","",IFERROR(RIGHT(B3814,LEN(B3814)-FIND("@",B3814)),""))</f>
        <v/>
      </c>
      <c r="G3814">
        <f>IF(D3814="KEEP",COUNTIF($D$2:D3814,"KEEP"),"")</f>
        <v/>
      </c>
      <c r="H3814">
        <f>IF(D3814="REMOVE",COUNTIF($D$2:D3814,"REMOVE"),"")</f>
        <v/>
      </c>
      <c r="I3814">
        <f>IF(E3814="Gmail",COUNTIF($E$2:E3814,"Gmail"),"")</f>
        <v/>
      </c>
      <c r="J3814">
        <f>IF(E3814="Outlook",COUNTIF($E$2:E3814,"Outlook"),"")</f>
        <v/>
      </c>
      <c r="K3814">
        <f>IF(E3814="Domain",COUNTIF($E$2:E3814,"Domain"),"")</f>
        <v/>
      </c>
    </row>
    <row r="3815">
      <c r="A3815" s="2" t="n"/>
      <c r="B3815">
        <f>LOWER(TRIM(A3815))</f>
        <v/>
      </c>
      <c r="C3815">
        <f>IF(B3815="","",IFERROR(INDEX('Bad Patterns'!$A$2:$A$120,MATCH(1,INDEX(--ISNUMBER(SEARCH('Bad Patterns'!$A$2:$A$120,B3815)),0),0)),""))</f>
        <v/>
      </c>
      <c r="D3815">
        <f>IF(B3815="","",IF(C3815&lt;&gt;"","REMOVE","KEEP"))</f>
        <v/>
      </c>
      <c r="E3815">
        <f>IF(D3815&lt;&gt;"KEEP","",IF(RIGHT(B3815,10)="@gmail.com","Gmail",IF(OR(RIGHT(B3815,12)="@outlook.com",RIGHT(B3815,12)="@hotmail.com",RIGHT(B3815,9)="@live.com"),"Outlook","Domain")))</f>
        <v/>
      </c>
      <c r="F3815">
        <f>IF(B3815="","",IFERROR(RIGHT(B3815,LEN(B3815)-FIND("@",B3815)),""))</f>
        <v/>
      </c>
      <c r="G3815">
        <f>IF(D3815="KEEP",COUNTIF($D$2:D3815,"KEEP"),"")</f>
        <v/>
      </c>
      <c r="H3815">
        <f>IF(D3815="REMOVE",COUNTIF($D$2:D3815,"REMOVE"),"")</f>
        <v/>
      </c>
      <c r="I3815">
        <f>IF(E3815="Gmail",COUNTIF($E$2:E3815,"Gmail"),"")</f>
        <v/>
      </c>
      <c r="J3815">
        <f>IF(E3815="Outlook",COUNTIF($E$2:E3815,"Outlook"),"")</f>
        <v/>
      </c>
      <c r="K3815">
        <f>IF(E3815="Domain",COUNTIF($E$2:E3815,"Domain"),"")</f>
        <v/>
      </c>
    </row>
    <row r="3816">
      <c r="A3816" s="2" t="n"/>
      <c r="B3816">
        <f>LOWER(TRIM(A3816))</f>
        <v/>
      </c>
      <c r="C3816">
        <f>IF(B3816="","",IFERROR(INDEX('Bad Patterns'!$A$2:$A$120,MATCH(1,INDEX(--ISNUMBER(SEARCH('Bad Patterns'!$A$2:$A$120,B3816)),0),0)),""))</f>
        <v/>
      </c>
      <c r="D3816">
        <f>IF(B3816="","",IF(C3816&lt;&gt;"","REMOVE","KEEP"))</f>
        <v/>
      </c>
      <c r="E3816">
        <f>IF(D3816&lt;&gt;"KEEP","",IF(RIGHT(B3816,10)="@gmail.com","Gmail",IF(OR(RIGHT(B3816,12)="@outlook.com",RIGHT(B3816,12)="@hotmail.com",RIGHT(B3816,9)="@live.com"),"Outlook","Domain")))</f>
        <v/>
      </c>
      <c r="F3816">
        <f>IF(B3816="","",IFERROR(RIGHT(B3816,LEN(B3816)-FIND("@",B3816)),""))</f>
        <v/>
      </c>
      <c r="G3816">
        <f>IF(D3816="KEEP",COUNTIF($D$2:D3816,"KEEP"),"")</f>
        <v/>
      </c>
      <c r="H3816">
        <f>IF(D3816="REMOVE",COUNTIF($D$2:D3816,"REMOVE"),"")</f>
        <v/>
      </c>
      <c r="I3816">
        <f>IF(E3816="Gmail",COUNTIF($E$2:E3816,"Gmail"),"")</f>
        <v/>
      </c>
      <c r="J3816">
        <f>IF(E3816="Outlook",COUNTIF($E$2:E3816,"Outlook"),"")</f>
        <v/>
      </c>
      <c r="K3816">
        <f>IF(E3816="Domain",COUNTIF($E$2:E3816,"Domain"),"")</f>
        <v/>
      </c>
    </row>
    <row r="3817">
      <c r="A3817" s="2" t="n"/>
      <c r="B3817">
        <f>LOWER(TRIM(A3817))</f>
        <v/>
      </c>
      <c r="C3817">
        <f>IF(B3817="","",IFERROR(INDEX('Bad Patterns'!$A$2:$A$120,MATCH(1,INDEX(--ISNUMBER(SEARCH('Bad Patterns'!$A$2:$A$120,B3817)),0),0)),""))</f>
        <v/>
      </c>
      <c r="D3817">
        <f>IF(B3817="","",IF(C3817&lt;&gt;"","REMOVE","KEEP"))</f>
        <v/>
      </c>
      <c r="E3817">
        <f>IF(D3817&lt;&gt;"KEEP","",IF(RIGHT(B3817,10)="@gmail.com","Gmail",IF(OR(RIGHT(B3817,12)="@outlook.com",RIGHT(B3817,12)="@hotmail.com",RIGHT(B3817,9)="@live.com"),"Outlook","Domain")))</f>
        <v/>
      </c>
      <c r="F3817">
        <f>IF(B3817="","",IFERROR(RIGHT(B3817,LEN(B3817)-FIND("@",B3817)),""))</f>
        <v/>
      </c>
      <c r="G3817">
        <f>IF(D3817="KEEP",COUNTIF($D$2:D3817,"KEEP"),"")</f>
        <v/>
      </c>
      <c r="H3817">
        <f>IF(D3817="REMOVE",COUNTIF($D$2:D3817,"REMOVE"),"")</f>
        <v/>
      </c>
      <c r="I3817">
        <f>IF(E3817="Gmail",COUNTIF($E$2:E3817,"Gmail"),"")</f>
        <v/>
      </c>
      <c r="J3817">
        <f>IF(E3817="Outlook",COUNTIF($E$2:E3817,"Outlook"),"")</f>
        <v/>
      </c>
      <c r="K3817">
        <f>IF(E3817="Domain",COUNTIF($E$2:E3817,"Domain"),"")</f>
        <v/>
      </c>
    </row>
    <row r="3818">
      <c r="A3818" s="2" t="n"/>
      <c r="B3818">
        <f>LOWER(TRIM(A3818))</f>
        <v/>
      </c>
      <c r="C3818">
        <f>IF(B3818="","",IFERROR(INDEX('Bad Patterns'!$A$2:$A$120,MATCH(1,INDEX(--ISNUMBER(SEARCH('Bad Patterns'!$A$2:$A$120,B3818)),0),0)),""))</f>
        <v/>
      </c>
      <c r="D3818">
        <f>IF(B3818="","",IF(C3818&lt;&gt;"","REMOVE","KEEP"))</f>
        <v/>
      </c>
      <c r="E3818">
        <f>IF(D3818&lt;&gt;"KEEP","",IF(RIGHT(B3818,10)="@gmail.com","Gmail",IF(OR(RIGHT(B3818,12)="@outlook.com",RIGHT(B3818,12)="@hotmail.com",RIGHT(B3818,9)="@live.com"),"Outlook","Domain")))</f>
        <v/>
      </c>
      <c r="F3818">
        <f>IF(B3818="","",IFERROR(RIGHT(B3818,LEN(B3818)-FIND("@",B3818)),""))</f>
        <v/>
      </c>
      <c r="G3818">
        <f>IF(D3818="KEEP",COUNTIF($D$2:D3818,"KEEP"),"")</f>
        <v/>
      </c>
      <c r="H3818">
        <f>IF(D3818="REMOVE",COUNTIF($D$2:D3818,"REMOVE"),"")</f>
        <v/>
      </c>
      <c r="I3818">
        <f>IF(E3818="Gmail",COUNTIF($E$2:E3818,"Gmail"),"")</f>
        <v/>
      </c>
      <c r="J3818">
        <f>IF(E3818="Outlook",COUNTIF($E$2:E3818,"Outlook"),"")</f>
        <v/>
      </c>
      <c r="K3818">
        <f>IF(E3818="Domain",COUNTIF($E$2:E3818,"Domain"),"")</f>
        <v/>
      </c>
    </row>
    <row r="3819">
      <c r="A3819" s="2" t="n"/>
      <c r="B3819">
        <f>LOWER(TRIM(A3819))</f>
        <v/>
      </c>
      <c r="C3819">
        <f>IF(B3819="","",IFERROR(INDEX('Bad Patterns'!$A$2:$A$120,MATCH(1,INDEX(--ISNUMBER(SEARCH('Bad Patterns'!$A$2:$A$120,B3819)),0),0)),""))</f>
        <v/>
      </c>
      <c r="D3819">
        <f>IF(B3819="","",IF(C3819&lt;&gt;"","REMOVE","KEEP"))</f>
        <v/>
      </c>
      <c r="E3819">
        <f>IF(D3819&lt;&gt;"KEEP","",IF(RIGHT(B3819,10)="@gmail.com","Gmail",IF(OR(RIGHT(B3819,12)="@outlook.com",RIGHT(B3819,12)="@hotmail.com",RIGHT(B3819,9)="@live.com"),"Outlook","Domain")))</f>
        <v/>
      </c>
      <c r="F3819">
        <f>IF(B3819="","",IFERROR(RIGHT(B3819,LEN(B3819)-FIND("@",B3819)),""))</f>
        <v/>
      </c>
      <c r="G3819">
        <f>IF(D3819="KEEP",COUNTIF($D$2:D3819,"KEEP"),"")</f>
        <v/>
      </c>
      <c r="H3819">
        <f>IF(D3819="REMOVE",COUNTIF($D$2:D3819,"REMOVE"),"")</f>
        <v/>
      </c>
      <c r="I3819">
        <f>IF(E3819="Gmail",COUNTIF($E$2:E3819,"Gmail"),"")</f>
        <v/>
      </c>
      <c r="J3819">
        <f>IF(E3819="Outlook",COUNTIF($E$2:E3819,"Outlook"),"")</f>
        <v/>
      </c>
      <c r="K3819">
        <f>IF(E3819="Domain",COUNTIF($E$2:E3819,"Domain"),"")</f>
        <v/>
      </c>
    </row>
    <row r="3820">
      <c r="A3820" s="2" t="n"/>
      <c r="B3820">
        <f>LOWER(TRIM(A3820))</f>
        <v/>
      </c>
      <c r="C3820">
        <f>IF(B3820="","",IFERROR(INDEX('Bad Patterns'!$A$2:$A$120,MATCH(1,INDEX(--ISNUMBER(SEARCH('Bad Patterns'!$A$2:$A$120,B3820)),0),0)),""))</f>
        <v/>
      </c>
      <c r="D3820">
        <f>IF(B3820="","",IF(C3820&lt;&gt;"","REMOVE","KEEP"))</f>
        <v/>
      </c>
      <c r="E3820">
        <f>IF(D3820&lt;&gt;"KEEP","",IF(RIGHT(B3820,10)="@gmail.com","Gmail",IF(OR(RIGHT(B3820,12)="@outlook.com",RIGHT(B3820,12)="@hotmail.com",RIGHT(B3820,9)="@live.com"),"Outlook","Domain")))</f>
        <v/>
      </c>
      <c r="F3820">
        <f>IF(B3820="","",IFERROR(RIGHT(B3820,LEN(B3820)-FIND("@",B3820)),""))</f>
        <v/>
      </c>
      <c r="G3820">
        <f>IF(D3820="KEEP",COUNTIF($D$2:D3820,"KEEP"),"")</f>
        <v/>
      </c>
      <c r="H3820">
        <f>IF(D3820="REMOVE",COUNTIF($D$2:D3820,"REMOVE"),"")</f>
        <v/>
      </c>
      <c r="I3820">
        <f>IF(E3820="Gmail",COUNTIF($E$2:E3820,"Gmail"),"")</f>
        <v/>
      </c>
      <c r="J3820">
        <f>IF(E3820="Outlook",COUNTIF($E$2:E3820,"Outlook"),"")</f>
        <v/>
      </c>
      <c r="K3820">
        <f>IF(E3820="Domain",COUNTIF($E$2:E3820,"Domain"),"")</f>
        <v/>
      </c>
    </row>
    <row r="3821">
      <c r="A3821" s="2" t="n"/>
      <c r="B3821">
        <f>LOWER(TRIM(A3821))</f>
        <v/>
      </c>
      <c r="C3821">
        <f>IF(B3821="","",IFERROR(INDEX('Bad Patterns'!$A$2:$A$120,MATCH(1,INDEX(--ISNUMBER(SEARCH('Bad Patterns'!$A$2:$A$120,B3821)),0),0)),""))</f>
        <v/>
      </c>
      <c r="D3821">
        <f>IF(B3821="","",IF(C3821&lt;&gt;"","REMOVE","KEEP"))</f>
        <v/>
      </c>
      <c r="E3821">
        <f>IF(D3821&lt;&gt;"KEEP","",IF(RIGHT(B3821,10)="@gmail.com","Gmail",IF(OR(RIGHT(B3821,12)="@outlook.com",RIGHT(B3821,12)="@hotmail.com",RIGHT(B3821,9)="@live.com"),"Outlook","Domain")))</f>
        <v/>
      </c>
      <c r="F3821">
        <f>IF(B3821="","",IFERROR(RIGHT(B3821,LEN(B3821)-FIND("@",B3821)),""))</f>
        <v/>
      </c>
      <c r="G3821">
        <f>IF(D3821="KEEP",COUNTIF($D$2:D3821,"KEEP"),"")</f>
        <v/>
      </c>
      <c r="H3821">
        <f>IF(D3821="REMOVE",COUNTIF($D$2:D3821,"REMOVE"),"")</f>
        <v/>
      </c>
      <c r="I3821">
        <f>IF(E3821="Gmail",COUNTIF($E$2:E3821,"Gmail"),"")</f>
        <v/>
      </c>
      <c r="J3821">
        <f>IF(E3821="Outlook",COUNTIF($E$2:E3821,"Outlook"),"")</f>
        <v/>
      </c>
      <c r="K3821">
        <f>IF(E3821="Domain",COUNTIF($E$2:E3821,"Domain"),"")</f>
        <v/>
      </c>
    </row>
    <row r="3822">
      <c r="A3822" s="2" t="n"/>
      <c r="B3822">
        <f>LOWER(TRIM(A3822))</f>
        <v/>
      </c>
      <c r="C3822">
        <f>IF(B3822="","",IFERROR(INDEX('Bad Patterns'!$A$2:$A$120,MATCH(1,INDEX(--ISNUMBER(SEARCH('Bad Patterns'!$A$2:$A$120,B3822)),0),0)),""))</f>
        <v/>
      </c>
      <c r="D3822">
        <f>IF(B3822="","",IF(C3822&lt;&gt;"","REMOVE","KEEP"))</f>
        <v/>
      </c>
      <c r="E3822">
        <f>IF(D3822&lt;&gt;"KEEP","",IF(RIGHT(B3822,10)="@gmail.com","Gmail",IF(OR(RIGHT(B3822,12)="@outlook.com",RIGHT(B3822,12)="@hotmail.com",RIGHT(B3822,9)="@live.com"),"Outlook","Domain")))</f>
        <v/>
      </c>
      <c r="F3822">
        <f>IF(B3822="","",IFERROR(RIGHT(B3822,LEN(B3822)-FIND("@",B3822)),""))</f>
        <v/>
      </c>
      <c r="G3822">
        <f>IF(D3822="KEEP",COUNTIF($D$2:D3822,"KEEP"),"")</f>
        <v/>
      </c>
      <c r="H3822">
        <f>IF(D3822="REMOVE",COUNTIF($D$2:D3822,"REMOVE"),"")</f>
        <v/>
      </c>
      <c r="I3822">
        <f>IF(E3822="Gmail",COUNTIF($E$2:E3822,"Gmail"),"")</f>
        <v/>
      </c>
      <c r="J3822">
        <f>IF(E3822="Outlook",COUNTIF($E$2:E3822,"Outlook"),"")</f>
        <v/>
      </c>
      <c r="K3822">
        <f>IF(E3822="Domain",COUNTIF($E$2:E3822,"Domain"),"")</f>
        <v/>
      </c>
    </row>
    <row r="3823">
      <c r="A3823" s="2" t="n"/>
      <c r="B3823">
        <f>LOWER(TRIM(A3823))</f>
        <v/>
      </c>
      <c r="C3823">
        <f>IF(B3823="","",IFERROR(INDEX('Bad Patterns'!$A$2:$A$120,MATCH(1,INDEX(--ISNUMBER(SEARCH('Bad Patterns'!$A$2:$A$120,B3823)),0),0)),""))</f>
        <v/>
      </c>
      <c r="D3823">
        <f>IF(B3823="","",IF(C3823&lt;&gt;"","REMOVE","KEEP"))</f>
        <v/>
      </c>
      <c r="E3823">
        <f>IF(D3823&lt;&gt;"KEEP","",IF(RIGHT(B3823,10)="@gmail.com","Gmail",IF(OR(RIGHT(B3823,12)="@outlook.com",RIGHT(B3823,12)="@hotmail.com",RIGHT(B3823,9)="@live.com"),"Outlook","Domain")))</f>
        <v/>
      </c>
      <c r="F3823">
        <f>IF(B3823="","",IFERROR(RIGHT(B3823,LEN(B3823)-FIND("@",B3823)),""))</f>
        <v/>
      </c>
      <c r="G3823">
        <f>IF(D3823="KEEP",COUNTIF($D$2:D3823,"KEEP"),"")</f>
        <v/>
      </c>
      <c r="H3823">
        <f>IF(D3823="REMOVE",COUNTIF($D$2:D3823,"REMOVE"),"")</f>
        <v/>
      </c>
      <c r="I3823">
        <f>IF(E3823="Gmail",COUNTIF($E$2:E3823,"Gmail"),"")</f>
        <v/>
      </c>
      <c r="J3823">
        <f>IF(E3823="Outlook",COUNTIF($E$2:E3823,"Outlook"),"")</f>
        <v/>
      </c>
      <c r="K3823">
        <f>IF(E3823="Domain",COUNTIF($E$2:E3823,"Domain"),"")</f>
        <v/>
      </c>
    </row>
    <row r="3824">
      <c r="A3824" s="2" t="n"/>
      <c r="B3824">
        <f>LOWER(TRIM(A3824))</f>
        <v/>
      </c>
      <c r="C3824">
        <f>IF(B3824="","",IFERROR(INDEX('Bad Patterns'!$A$2:$A$120,MATCH(1,INDEX(--ISNUMBER(SEARCH('Bad Patterns'!$A$2:$A$120,B3824)),0),0)),""))</f>
        <v/>
      </c>
      <c r="D3824">
        <f>IF(B3824="","",IF(C3824&lt;&gt;"","REMOVE","KEEP"))</f>
        <v/>
      </c>
      <c r="E3824">
        <f>IF(D3824&lt;&gt;"KEEP","",IF(RIGHT(B3824,10)="@gmail.com","Gmail",IF(OR(RIGHT(B3824,12)="@outlook.com",RIGHT(B3824,12)="@hotmail.com",RIGHT(B3824,9)="@live.com"),"Outlook","Domain")))</f>
        <v/>
      </c>
      <c r="F3824">
        <f>IF(B3824="","",IFERROR(RIGHT(B3824,LEN(B3824)-FIND("@",B3824)),""))</f>
        <v/>
      </c>
      <c r="G3824">
        <f>IF(D3824="KEEP",COUNTIF($D$2:D3824,"KEEP"),"")</f>
        <v/>
      </c>
      <c r="H3824">
        <f>IF(D3824="REMOVE",COUNTIF($D$2:D3824,"REMOVE"),"")</f>
        <v/>
      </c>
      <c r="I3824">
        <f>IF(E3824="Gmail",COUNTIF($E$2:E3824,"Gmail"),"")</f>
        <v/>
      </c>
      <c r="J3824">
        <f>IF(E3824="Outlook",COUNTIF($E$2:E3824,"Outlook"),"")</f>
        <v/>
      </c>
      <c r="K3824">
        <f>IF(E3824="Domain",COUNTIF($E$2:E3824,"Domain"),"")</f>
        <v/>
      </c>
    </row>
    <row r="3825">
      <c r="A3825" s="2" t="n"/>
      <c r="B3825">
        <f>LOWER(TRIM(A3825))</f>
        <v/>
      </c>
      <c r="C3825">
        <f>IF(B3825="","",IFERROR(INDEX('Bad Patterns'!$A$2:$A$120,MATCH(1,INDEX(--ISNUMBER(SEARCH('Bad Patterns'!$A$2:$A$120,B3825)),0),0)),""))</f>
        <v/>
      </c>
      <c r="D3825">
        <f>IF(B3825="","",IF(C3825&lt;&gt;"","REMOVE","KEEP"))</f>
        <v/>
      </c>
      <c r="E3825">
        <f>IF(D3825&lt;&gt;"KEEP","",IF(RIGHT(B3825,10)="@gmail.com","Gmail",IF(OR(RIGHT(B3825,12)="@outlook.com",RIGHT(B3825,12)="@hotmail.com",RIGHT(B3825,9)="@live.com"),"Outlook","Domain")))</f>
        <v/>
      </c>
      <c r="F3825">
        <f>IF(B3825="","",IFERROR(RIGHT(B3825,LEN(B3825)-FIND("@",B3825)),""))</f>
        <v/>
      </c>
      <c r="G3825">
        <f>IF(D3825="KEEP",COUNTIF($D$2:D3825,"KEEP"),"")</f>
        <v/>
      </c>
      <c r="H3825">
        <f>IF(D3825="REMOVE",COUNTIF($D$2:D3825,"REMOVE"),"")</f>
        <v/>
      </c>
      <c r="I3825">
        <f>IF(E3825="Gmail",COUNTIF($E$2:E3825,"Gmail"),"")</f>
        <v/>
      </c>
      <c r="J3825">
        <f>IF(E3825="Outlook",COUNTIF($E$2:E3825,"Outlook"),"")</f>
        <v/>
      </c>
      <c r="K3825">
        <f>IF(E3825="Domain",COUNTIF($E$2:E3825,"Domain"),"")</f>
        <v/>
      </c>
    </row>
    <row r="3826">
      <c r="A3826" s="2" t="n"/>
      <c r="B3826">
        <f>LOWER(TRIM(A3826))</f>
        <v/>
      </c>
      <c r="C3826">
        <f>IF(B3826="","",IFERROR(INDEX('Bad Patterns'!$A$2:$A$120,MATCH(1,INDEX(--ISNUMBER(SEARCH('Bad Patterns'!$A$2:$A$120,B3826)),0),0)),""))</f>
        <v/>
      </c>
      <c r="D3826">
        <f>IF(B3826="","",IF(C3826&lt;&gt;"","REMOVE","KEEP"))</f>
        <v/>
      </c>
      <c r="E3826">
        <f>IF(D3826&lt;&gt;"KEEP","",IF(RIGHT(B3826,10)="@gmail.com","Gmail",IF(OR(RIGHT(B3826,12)="@outlook.com",RIGHT(B3826,12)="@hotmail.com",RIGHT(B3826,9)="@live.com"),"Outlook","Domain")))</f>
        <v/>
      </c>
      <c r="F3826">
        <f>IF(B3826="","",IFERROR(RIGHT(B3826,LEN(B3826)-FIND("@",B3826)),""))</f>
        <v/>
      </c>
      <c r="G3826">
        <f>IF(D3826="KEEP",COUNTIF($D$2:D3826,"KEEP"),"")</f>
        <v/>
      </c>
      <c r="H3826">
        <f>IF(D3826="REMOVE",COUNTIF($D$2:D3826,"REMOVE"),"")</f>
        <v/>
      </c>
      <c r="I3826">
        <f>IF(E3826="Gmail",COUNTIF($E$2:E3826,"Gmail"),"")</f>
        <v/>
      </c>
      <c r="J3826">
        <f>IF(E3826="Outlook",COUNTIF($E$2:E3826,"Outlook"),"")</f>
        <v/>
      </c>
      <c r="K3826">
        <f>IF(E3826="Domain",COUNTIF($E$2:E3826,"Domain"),"")</f>
        <v/>
      </c>
    </row>
    <row r="3827">
      <c r="A3827" s="2" t="n"/>
      <c r="B3827">
        <f>LOWER(TRIM(A3827))</f>
        <v/>
      </c>
      <c r="C3827">
        <f>IF(B3827="","",IFERROR(INDEX('Bad Patterns'!$A$2:$A$120,MATCH(1,INDEX(--ISNUMBER(SEARCH('Bad Patterns'!$A$2:$A$120,B3827)),0),0)),""))</f>
        <v/>
      </c>
      <c r="D3827">
        <f>IF(B3827="","",IF(C3827&lt;&gt;"","REMOVE","KEEP"))</f>
        <v/>
      </c>
      <c r="E3827">
        <f>IF(D3827&lt;&gt;"KEEP","",IF(RIGHT(B3827,10)="@gmail.com","Gmail",IF(OR(RIGHT(B3827,12)="@outlook.com",RIGHT(B3827,12)="@hotmail.com",RIGHT(B3827,9)="@live.com"),"Outlook","Domain")))</f>
        <v/>
      </c>
      <c r="F3827">
        <f>IF(B3827="","",IFERROR(RIGHT(B3827,LEN(B3827)-FIND("@",B3827)),""))</f>
        <v/>
      </c>
      <c r="G3827">
        <f>IF(D3827="KEEP",COUNTIF($D$2:D3827,"KEEP"),"")</f>
        <v/>
      </c>
      <c r="H3827">
        <f>IF(D3827="REMOVE",COUNTIF($D$2:D3827,"REMOVE"),"")</f>
        <v/>
      </c>
      <c r="I3827">
        <f>IF(E3827="Gmail",COUNTIF($E$2:E3827,"Gmail"),"")</f>
        <v/>
      </c>
      <c r="J3827">
        <f>IF(E3827="Outlook",COUNTIF($E$2:E3827,"Outlook"),"")</f>
        <v/>
      </c>
      <c r="K3827">
        <f>IF(E3827="Domain",COUNTIF($E$2:E3827,"Domain"),"")</f>
        <v/>
      </c>
    </row>
    <row r="3828">
      <c r="A3828" s="2" t="n"/>
      <c r="B3828">
        <f>LOWER(TRIM(A3828))</f>
        <v/>
      </c>
      <c r="C3828">
        <f>IF(B3828="","",IFERROR(INDEX('Bad Patterns'!$A$2:$A$120,MATCH(1,INDEX(--ISNUMBER(SEARCH('Bad Patterns'!$A$2:$A$120,B3828)),0),0)),""))</f>
        <v/>
      </c>
      <c r="D3828">
        <f>IF(B3828="","",IF(C3828&lt;&gt;"","REMOVE","KEEP"))</f>
        <v/>
      </c>
      <c r="E3828">
        <f>IF(D3828&lt;&gt;"KEEP","",IF(RIGHT(B3828,10)="@gmail.com","Gmail",IF(OR(RIGHT(B3828,12)="@outlook.com",RIGHT(B3828,12)="@hotmail.com",RIGHT(B3828,9)="@live.com"),"Outlook","Domain")))</f>
        <v/>
      </c>
      <c r="F3828">
        <f>IF(B3828="","",IFERROR(RIGHT(B3828,LEN(B3828)-FIND("@",B3828)),""))</f>
        <v/>
      </c>
      <c r="G3828">
        <f>IF(D3828="KEEP",COUNTIF($D$2:D3828,"KEEP"),"")</f>
        <v/>
      </c>
      <c r="H3828">
        <f>IF(D3828="REMOVE",COUNTIF($D$2:D3828,"REMOVE"),"")</f>
        <v/>
      </c>
      <c r="I3828">
        <f>IF(E3828="Gmail",COUNTIF($E$2:E3828,"Gmail"),"")</f>
        <v/>
      </c>
      <c r="J3828">
        <f>IF(E3828="Outlook",COUNTIF($E$2:E3828,"Outlook"),"")</f>
        <v/>
      </c>
      <c r="K3828">
        <f>IF(E3828="Domain",COUNTIF($E$2:E3828,"Domain"),"")</f>
        <v/>
      </c>
    </row>
    <row r="3829">
      <c r="A3829" s="2" t="n"/>
      <c r="B3829">
        <f>LOWER(TRIM(A3829))</f>
        <v/>
      </c>
      <c r="C3829">
        <f>IF(B3829="","",IFERROR(INDEX('Bad Patterns'!$A$2:$A$120,MATCH(1,INDEX(--ISNUMBER(SEARCH('Bad Patterns'!$A$2:$A$120,B3829)),0),0)),""))</f>
        <v/>
      </c>
      <c r="D3829">
        <f>IF(B3829="","",IF(C3829&lt;&gt;"","REMOVE","KEEP"))</f>
        <v/>
      </c>
      <c r="E3829">
        <f>IF(D3829&lt;&gt;"KEEP","",IF(RIGHT(B3829,10)="@gmail.com","Gmail",IF(OR(RIGHT(B3829,12)="@outlook.com",RIGHT(B3829,12)="@hotmail.com",RIGHT(B3829,9)="@live.com"),"Outlook","Domain")))</f>
        <v/>
      </c>
      <c r="F3829">
        <f>IF(B3829="","",IFERROR(RIGHT(B3829,LEN(B3829)-FIND("@",B3829)),""))</f>
        <v/>
      </c>
      <c r="G3829">
        <f>IF(D3829="KEEP",COUNTIF($D$2:D3829,"KEEP"),"")</f>
        <v/>
      </c>
      <c r="H3829">
        <f>IF(D3829="REMOVE",COUNTIF($D$2:D3829,"REMOVE"),"")</f>
        <v/>
      </c>
      <c r="I3829">
        <f>IF(E3829="Gmail",COUNTIF($E$2:E3829,"Gmail"),"")</f>
        <v/>
      </c>
      <c r="J3829">
        <f>IF(E3829="Outlook",COUNTIF($E$2:E3829,"Outlook"),"")</f>
        <v/>
      </c>
      <c r="K3829">
        <f>IF(E3829="Domain",COUNTIF($E$2:E3829,"Domain"),"")</f>
        <v/>
      </c>
    </row>
    <row r="3830">
      <c r="A3830" s="2" t="n"/>
      <c r="B3830">
        <f>LOWER(TRIM(A3830))</f>
        <v/>
      </c>
      <c r="C3830">
        <f>IF(B3830="","",IFERROR(INDEX('Bad Patterns'!$A$2:$A$120,MATCH(1,INDEX(--ISNUMBER(SEARCH('Bad Patterns'!$A$2:$A$120,B3830)),0),0)),""))</f>
        <v/>
      </c>
      <c r="D3830">
        <f>IF(B3830="","",IF(C3830&lt;&gt;"","REMOVE","KEEP"))</f>
        <v/>
      </c>
      <c r="E3830">
        <f>IF(D3830&lt;&gt;"KEEP","",IF(RIGHT(B3830,10)="@gmail.com","Gmail",IF(OR(RIGHT(B3830,12)="@outlook.com",RIGHT(B3830,12)="@hotmail.com",RIGHT(B3830,9)="@live.com"),"Outlook","Domain")))</f>
        <v/>
      </c>
      <c r="F3830">
        <f>IF(B3830="","",IFERROR(RIGHT(B3830,LEN(B3830)-FIND("@",B3830)),""))</f>
        <v/>
      </c>
      <c r="G3830">
        <f>IF(D3830="KEEP",COUNTIF($D$2:D3830,"KEEP"),"")</f>
        <v/>
      </c>
      <c r="H3830">
        <f>IF(D3830="REMOVE",COUNTIF($D$2:D3830,"REMOVE"),"")</f>
        <v/>
      </c>
      <c r="I3830">
        <f>IF(E3830="Gmail",COUNTIF($E$2:E3830,"Gmail"),"")</f>
        <v/>
      </c>
      <c r="J3830">
        <f>IF(E3830="Outlook",COUNTIF($E$2:E3830,"Outlook"),"")</f>
        <v/>
      </c>
      <c r="K3830">
        <f>IF(E3830="Domain",COUNTIF($E$2:E3830,"Domain"),"")</f>
        <v/>
      </c>
    </row>
    <row r="3831">
      <c r="A3831" s="2" t="n"/>
      <c r="B3831">
        <f>LOWER(TRIM(A3831))</f>
        <v/>
      </c>
      <c r="C3831">
        <f>IF(B3831="","",IFERROR(INDEX('Bad Patterns'!$A$2:$A$120,MATCH(1,INDEX(--ISNUMBER(SEARCH('Bad Patterns'!$A$2:$A$120,B3831)),0),0)),""))</f>
        <v/>
      </c>
      <c r="D3831">
        <f>IF(B3831="","",IF(C3831&lt;&gt;"","REMOVE","KEEP"))</f>
        <v/>
      </c>
      <c r="E3831">
        <f>IF(D3831&lt;&gt;"KEEP","",IF(RIGHT(B3831,10)="@gmail.com","Gmail",IF(OR(RIGHT(B3831,12)="@outlook.com",RIGHT(B3831,12)="@hotmail.com",RIGHT(B3831,9)="@live.com"),"Outlook","Domain")))</f>
        <v/>
      </c>
      <c r="F3831">
        <f>IF(B3831="","",IFERROR(RIGHT(B3831,LEN(B3831)-FIND("@",B3831)),""))</f>
        <v/>
      </c>
      <c r="G3831">
        <f>IF(D3831="KEEP",COUNTIF($D$2:D3831,"KEEP"),"")</f>
        <v/>
      </c>
      <c r="H3831">
        <f>IF(D3831="REMOVE",COUNTIF($D$2:D3831,"REMOVE"),"")</f>
        <v/>
      </c>
      <c r="I3831">
        <f>IF(E3831="Gmail",COUNTIF($E$2:E3831,"Gmail"),"")</f>
        <v/>
      </c>
      <c r="J3831">
        <f>IF(E3831="Outlook",COUNTIF($E$2:E3831,"Outlook"),"")</f>
        <v/>
      </c>
      <c r="K3831">
        <f>IF(E3831="Domain",COUNTIF($E$2:E3831,"Domain"),"")</f>
        <v/>
      </c>
    </row>
    <row r="3832">
      <c r="A3832" s="2" t="n"/>
      <c r="B3832">
        <f>LOWER(TRIM(A3832))</f>
        <v/>
      </c>
      <c r="C3832">
        <f>IF(B3832="","",IFERROR(INDEX('Bad Patterns'!$A$2:$A$120,MATCH(1,INDEX(--ISNUMBER(SEARCH('Bad Patterns'!$A$2:$A$120,B3832)),0),0)),""))</f>
        <v/>
      </c>
      <c r="D3832">
        <f>IF(B3832="","",IF(C3832&lt;&gt;"","REMOVE","KEEP"))</f>
        <v/>
      </c>
      <c r="E3832">
        <f>IF(D3832&lt;&gt;"KEEP","",IF(RIGHT(B3832,10)="@gmail.com","Gmail",IF(OR(RIGHT(B3832,12)="@outlook.com",RIGHT(B3832,12)="@hotmail.com",RIGHT(B3832,9)="@live.com"),"Outlook","Domain")))</f>
        <v/>
      </c>
      <c r="F3832">
        <f>IF(B3832="","",IFERROR(RIGHT(B3832,LEN(B3832)-FIND("@",B3832)),""))</f>
        <v/>
      </c>
      <c r="G3832">
        <f>IF(D3832="KEEP",COUNTIF($D$2:D3832,"KEEP"),"")</f>
        <v/>
      </c>
      <c r="H3832">
        <f>IF(D3832="REMOVE",COUNTIF($D$2:D3832,"REMOVE"),"")</f>
        <v/>
      </c>
      <c r="I3832">
        <f>IF(E3832="Gmail",COUNTIF($E$2:E3832,"Gmail"),"")</f>
        <v/>
      </c>
      <c r="J3832">
        <f>IF(E3832="Outlook",COUNTIF($E$2:E3832,"Outlook"),"")</f>
        <v/>
      </c>
      <c r="K3832">
        <f>IF(E3832="Domain",COUNTIF($E$2:E3832,"Domain"),"")</f>
        <v/>
      </c>
    </row>
    <row r="3833">
      <c r="A3833" s="2" t="n"/>
      <c r="B3833">
        <f>LOWER(TRIM(A3833))</f>
        <v/>
      </c>
      <c r="C3833">
        <f>IF(B3833="","",IFERROR(INDEX('Bad Patterns'!$A$2:$A$120,MATCH(1,INDEX(--ISNUMBER(SEARCH('Bad Patterns'!$A$2:$A$120,B3833)),0),0)),""))</f>
        <v/>
      </c>
      <c r="D3833">
        <f>IF(B3833="","",IF(C3833&lt;&gt;"","REMOVE","KEEP"))</f>
        <v/>
      </c>
      <c r="E3833">
        <f>IF(D3833&lt;&gt;"KEEP","",IF(RIGHT(B3833,10)="@gmail.com","Gmail",IF(OR(RIGHT(B3833,12)="@outlook.com",RIGHT(B3833,12)="@hotmail.com",RIGHT(B3833,9)="@live.com"),"Outlook","Domain")))</f>
        <v/>
      </c>
      <c r="F3833">
        <f>IF(B3833="","",IFERROR(RIGHT(B3833,LEN(B3833)-FIND("@",B3833)),""))</f>
        <v/>
      </c>
      <c r="G3833">
        <f>IF(D3833="KEEP",COUNTIF($D$2:D3833,"KEEP"),"")</f>
        <v/>
      </c>
      <c r="H3833">
        <f>IF(D3833="REMOVE",COUNTIF($D$2:D3833,"REMOVE"),"")</f>
        <v/>
      </c>
      <c r="I3833">
        <f>IF(E3833="Gmail",COUNTIF($E$2:E3833,"Gmail"),"")</f>
        <v/>
      </c>
      <c r="J3833">
        <f>IF(E3833="Outlook",COUNTIF($E$2:E3833,"Outlook"),"")</f>
        <v/>
      </c>
      <c r="K3833">
        <f>IF(E3833="Domain",COUNTIF($E$2:E3833,"Domain"),"")</f>
        <v/>
      </c>
    </row>
    <row r="3834">
      <c r="A3834" s="2" t="n"/>
      <c r="B3834">
        <f>LOWER(TRIM(A3834))</f>
        <v/>
      </c>
      <c r="C3834">
        <f>IF(B3834="","",IFERROR(INDEX('Bad Patterns'!$A$2:$A$120,MATCH(1,INDEX(--ISNUMBER(SEARCH('Bad Patterns'!$A$2:$A$120,B3834)),0),0)),""))</f>
        <v/>
      </c>
      <c r="D3834">
        <f>IF(B3834="","",IF(C3834&lt;&gt;"","REMOVE","KEEP"))</f>
        <v/>
      </c>
      <c r="E3834">
        <f>IF(D3834&lt;&gt;"KEEP","",IF(RIGHT(B3834,10)="@gmail.com","Gmail",IF(OR(RIGHT(B3834,12)="@outlook.com",RIGHT(B3834,12)="@hotmail.com",RIGHT(B3834,9)="@live.com"),"Outlook","Domain")))</f>
        <v/>
      </c>
      <c r="F3834">
        <f>IF(B3834="","",IFERROR(RIGHT(B3834,LEN(B3834)-FIND("@",B3834)),""))</f>
        <v/>
      </c>
      <c r="G3834">
        <f>IF(D3834="KEEP",COUNTIF($D$2:D3834,"KEEP"),"")</f>
        <v/>
      </c>
      <c r="H3834">
        <f>IF(D3834="REMOVE",COUNTIF($D$2:D3834,"REMOVE"),"")</f>
        <v/>
      </c>
      <c r="I3834">
        <f>IF(E3834="Gmail",COUNTIF($E$2:E3834,"Gmail"),"")</f>
        <v/>
      </c>
      <c r="J3834">
        <f>IF(E3834="Outlook",COUNTIF($E$2:E3834,"Outlook"),"")</f>
        <v/>
      </c>
      <c r="K3834">
        <f>IF(E3834="Domain",COUNTIF($E$2:E3834,"Domain"),"")</f>
        <v/>
      </c>
    </row>
    <row r="3835">
      <c r="A3835" s="2" t="n"/>
      <c r="B3835">
        <f>LOWER(TRIM(A3835))</f>
        <v/>
      </c>
      <c r="C3835">
        <f>IF(B3835="","",IFERROR(INDEX('Bad Patterns'!$A$2:$A$120,MATCH(1,INDEX(--ISNUMBER(SEARCH('Bad Patterns'!$A$2:$A$120,B3835)),0),0)),""))</f>
        <v/>
      </c>
      <c r="D3835">
        <f>IF(B3835="","",IF(C3835&lt;&gt;"","REMOVE","KEEP"))</f>
        <v/>
      </c>
      <c r="E3835">
        <f>IF(D3835&lt;&gt;"KEEP","",IF(RIGHT(B3835,10)="@gmail.com","Gmail",IF(OR(RIGHT(B3835,12)="@outlook.com",RIGHT(B3835,12)="@hotmail.com",RIGHT(B3835,9)="@live.com"),"Outlook","Domain")))</f>
        <v/>
      </c>
      <c r="F3835">
        <f>IF(B3835="","",IFERROR(RIGHT(B3835,LEN(B3835)-FIND("@",B3835)),""))</f>
        <v/>
      </c>
      <c r="G3835">
        <f>IF(D3835="KEEP",COUNTIF($D$2:D3835,"KEEP"),"")</f>
        <v/>
      </c>
      <c r="H3835">
        <f>IF(D3835="REMOVE",COUNTIF($D$2:D3835,"REMOVE"),"")</f>
        <v/>
      </c>
      <c r="I3835">
        <f>IF(E3835="Gmail",COUNTIF($E$2:E3835,"Gmail"),"")</f>
        <v/>
      </c>
      <c r="J3835">
        <f>IF(E3835="Outlook",COUNTIF($E$2:E3835,"Outlook"),"")</f>
        <v/>
      </c>
      <c r="K3835">
        <f>IF(E3835="Domain",COUNTIF($E$2:E3835,"Domain"),"")</f>
        <v/>
      </c>
    </row>
    <row r="3836">
      <c r="A3836" s="2" t="n"/>
      <c r="B3836">
        <f>LOWER(TRIM(A3836))</f>
        <v/>
      </c>
      <c r="C3836">
        <f>IF(B3836="","",IFERROR(INDEX('Bad Patterns'!$A$2:$A$120,MATCH(1,INDEX(--ISNUMBER(SEARCH('Bad Patterns'!$A$2:$A$120,B3836)),0),0)),""))</f>
        <v/>
      </c>
      <c r="D3836">
        <f>IF(B3836="","",IF(C3836&lt;&gt;"","REMOVE","KEEP"))</f>
        <v/>
      </c>
      <c r="E3836">
        <f>IF(D3836&lt;&gt;"KEEP","",IF(RIGHT(B3836,10)="@gmail.com","Gmail",IF(OR(RIGHT(B3836,12)="@outlook.com",RIGHT(B3836,12)="@hotmail.com",RIGHT(B3836,9)="@live.com"),"Outlook","Domain")))</f>
        <v/>
      </c>
      <c r="F3836">
        <f>IF(B3836="","",IFERROR(RIGHT(B3836,LEN(B3836)-FIND("@",B3836)),""))</f>
        <v/>
      </c>
      <c r="G3836">
        <f>IF(D3836="KEEP",COUNTIF($D$2:D3836,"KEEP"),"")</f>
        <v/>
      </c>
      <c r="H3836">
        <f>IF(D3836="REMOVE",COUNTIF($D$2:D3836,"REMOVE"),"")</f>
        <v/>
      </c>
      <c r="I3836">
        <f>IF(E3836="Gmail",COUNTIF($E$2:E3836,"Gmail"),"")</f>
        <v/>
      </c>
      <c r="J3836">
        <f>IF(E3836="Outlook",COUNTIF($E$2:E3836,"Outlook"),"")</f>
        <v/>
      </c>
      <c r="K3836">
        <f>IF(E3836="Domain",COUNTIF($E$2:E3836,"Domain"),"")</f>
        <v/>
      </c>
    </row>
    <row r="3837">
      <c r="A3837" s="2" t="n"/>
      <c r="B3837">
        <f>LOWER(TRIM(A3837))</f>
        <v/>
      </c>
      <c r="C3837">
        <f>IF(B3837="","",IFERROR(INDEX('Bad Patterns'!$A$2:$A$120,MATCH(1,INDEX(--ISNUMBER(SEARCH('Bad Patterns'!$A$2:$A$120,B3837)),0),0)),""))</f>
        <v/>
      </c>
      <c r="D3837">
        <f>IF(B3837="","",IF(C3837&lt;&gt;"","REMOVE","KEEP"))</f>
        <v/>
      </c>
      <c r="E3837">
        <f>IF(D3837&lt;&gt;"KEEP","",IF(RIGHT(B3837,10)="@gmail.com","Gmail",IF(OR(RIGHT(B3837,12)="@outlook.com",RIGHT(B3837,12)="@hotmail.com",RIGHT(B3837,9)="@live.com"),"Outlook","Domain")))</f>
        <v/>
      </c>
      <c r="F3837">
        <f>IF(B3837="","",IFERROR(RIGHT(B3837,LEN(B3837)-FIND("@",B3837)),""))</f>
        <v/>
      </c>
      <c r="G3837">
        <f>IF(D3837="KEEP",COUNTIF($D$2:D3837,"KEEP"),"")</f>
        <v/>
      </c>
      <c r="H3837">
        <f>IF(D3837="REMOVE",COUNTIF($D$2:D3837,"REMOVE"),"")</f>
        <v/>
      </c>
      <c r="I3837">
        <f>IF(E3837="Gmail",COUNTIF($E$2:E3837,"Gmail"),"")</f>
        <v/>
      </c>
      <c r="J3837">
        <f>IF(E3837="Outlook",COUNTIF($E$2:E3837,"Outlook"),"")</f>
        <v/>
      </c>
      <c r="K3837">
        <f>IF(E3837="Domain",COUNTIF($E$2:E3837,"Domain"),"")</f>
        <v/>
      </c>
    </row>
    <row r="3838">
      <c r="A3838" s="2" t="n"/>
      <c r="B3838">
        <f>LOWER(TRIM(A3838))</f>
        <v/>
      </c>
      <c r="C3838">
        <f>IF(B3838="","",IFERROR(INDEX('Bad Patterns'!$A$2:$A$120,MATCH(1,INDEX(--ISNUMBER(SEARCH('Bad Patterns'!$A$2:$A$120,B3838)),0),0)),""))</f>
        <v/>
      </c>
      <c r="D3838">
        <f>IF(B3838="","",IF(C3838&lt;&gt;"","REMOVE","KEEP"))</f>
        <v/>
      </c>
      <c r="E3838">
        <f>IF(D3838&lt;&gt;"KEEP","",IF(RIGHT(B3838,10)="@gmail.com","Gmail",IF(OR(RIGHT(B3838,12)="@outlook.com",RIGHT(B3838,12)="@hotmail.com",RIGHT(B3838,9)="@live.com"),"Outlook","Domain")))</f>
        <v/>
      </c>
      <c r="F3838">
        <f>IF(B3838="","",IFERROR(RIGHT(B3838,LEN(B3838)-FIND("@",B3838)),""))</f>
        <v/>
      </c>
      <c r="G3838">
        <f>IF(D3838="KEEP",COUNTIF($D$2:D3838,"KEEP"),"")</f>
        <v/>
      </c>
      <c r="H3838">
        <f>IF(D3838="REMOVE",COUNTIF($D$2:D3838,"REMOVE"),"")</f>
        <v/>
      </c>
      <c r="I3838">
        <f>IF(E3838="Gmail",COUNTIF($E$2:E3838,"Gmail"),"")</f>
        <v/>
      </c>
      <c r="J3838">
        <f>IF(E3838="Outlook",COUNTIF($E$2:E3838,"Outlook"),"")</f>
        <v/>
      </c>
      <c r="K3838">
        <f>IF(E3838="Domain",COUNTIF($E$2:E3838,"Domain"),"")</f>
        <v/>
      </c>
    </row>
    <row r="3839">
      <c r="A3839" s="2" t="n"/>
      <c r="B3839">
        <f>LOWER(TRIM(A3839))</f>
        <v/>
      </c>
      <c r="C3839">
        <f>IF(B3839="","",IFERROR(INDEX('Bad Patterns'!$A$2:$A$120,MATCH(1,INDEX(--ISNUMBER(SEARCH('Bad Patterns'!$A$2:$A$120,B3839)),0),0)),""))</f>
        <v/>
      </c>
      <c r="D3839">
        <f>IF(B3839="","",IF(C3839&lt;&gt;"","REMOVE","KEEP"))</f>
        <v/>
      </c>
      <c r="E3839">
        <f>IF(D3839&lt;&gt;"KEEP","",IF(RIGHT(B3839,10)="@gmail.com","Gmail",IF(OR(RIGHT(B3839,12)="@outlook.com",RIGHT(B3839,12)="@hotmail.com",RIGHT(B3839,9)="@live.com"),"Outlook","Domain")))</f>
        <v/>
      </c>
      <c r="F3839">
        <f>IF(B3839="","",IFERROR(RIGHT(B3839,LEN(B3839)-FIND("@",B3839)),""))</f>
        <v/>
      </c>
      <c r="G3839">
        <f>IF(D3839="KEEP",COUNTIF($D$2:D3839,"KEEP"),"")</f>
        <v/>
      </c>
      <c r="H3839">
        <f>IF(D3839="REMOVE",COUNTIF($D$2:D3839,"REMOVE"),"")</f>
        <v/>
      </c>
      <c r="I3839">
        <f>IF(E3839="Gmail",COUNTIF($E$2:E3839,"Gmail"),"")</f>
        <v/>
      </c>
      <c r="J3839">
        <f>IF(E3839="Outlook",COUNTIF($E$2:E3839,"Outlook"),"")</f>
        <v/>
      </c>
      <c r="K3839">
        <f>IF(E3839="Domain",COUNTIF($E$2:E3839,"Domain"),"")</f>
        <v/>
      </c>
    </row>
    <row r="3840">
      <c r="A3840" s="2" t="n"/>
      <c r="B3840">
        <f>LOWER(TRIM(A3840))</f>
        <v/>
      </c>
      <c r="C3840">
        <f>IF(B3840="","",IFERROR(INDEX('Bad Patterns'!$A$2:$A$120,MATCH(1,INDEX(--ISNUMBER(SEARCH('Bad Patterns'!$A$2:$A$120,B3840)),0),0)),""))</f>
        <v/>
      </c>
      <c r="D3840">
        <f>IF(B3840="","",IF(C3840&lt;&gt;"","REMOVE","KEEP"))</f>
        <v/>
      </c>
      <c r="E3840">
        <f>IF(D3840&lt;&gt;"KEEP","",IF(RIGHT(B3840,10)="@gmail.com","Gmail",IF(OR(RIGHT(B3840,12)="@outlook.com",RIGHT(B3840,12)="@hotmail.com",RIGHT(B3840,9)="@live.com"),"Outlook","Domain")))</f>
        <v/>
      </c>
      <c r="F3840">
        <f>IF(B3840="","",IFERROR(RIGHT(B3840,LEN(B3840)-FIND("@",B3840)),""))</f>
        <v/>
      </c>
      <c r="G3840">
        <f>IF(D3840="KEEP",COUNTIF($D$2:D3840,"KEEP"),"")</f>
        <v/>
      </c>
      <c r="H3840">
        <f>IF(D3840="REMOVE",COUNTIF($D$2:D3840,"REMOVE"),"")</f>
        <v/>
      </c>
      <c r="I3840">
        <f>IF(E3840="Gmail",COUNTIF($E$2:E3840,"Gmail"),"")</f>
        <v/>
      </c>
      <c r="J3840">
        <f>IF(E3840="Outlook",COUNTIF($E$2:E3840,"Outlook"),"")</f>
        <v/>
      </c>
      <c r="K3840">
        <f>IF(E3840="Domain",COUNTIF($E$2:E3840,"Domain"),"")</f>
        <v/>
      </c>
    </row>
    <row r="3841">
      <c r="A3841" s="2" t="n"/>
      <c r="B3841">
        <f>LOWER(TRIM(A3841))</f>
        <v/>
      </c>
      <c r="C3841">
        <f>IF(B3841="","",IFERROR(INDEX('Bad Patterns'!$A$2:$A$120,MATCH(1,INDEX(--ISNUMBER(SEARCH('Bad Patterns'!$A$2:$A$120,B3841)),0),0)),""))</f>
        <v/>
      </c>
      <c r="D3841">
        <f>IF(B3841="","",IF(C3841&lt;&gt;"","REMOVE","KEEP"))</f>
        <v/>
      </c>
      <c r="E3841">
        <f>IF(D3841&lt;&gt;"KEEP","",IF(RIGHT(B3841,10)="@gmail.com","Gmail",IF(OR(RIGHT(B3841,12)="@outlook.com",RIGHT(B3841,12)="@hotmail.com",RIGHT(B3841,9)="@live.com"),"Outlook","Domain")))</f>
        <v/>
      </c>
      <c r="F3841">
        <f>IF(B3841="","",IFERROR(RIGHT(B3841,LEN(B3841)-FIND("@",B3841)),""))</f>
        <v/>
      </c>
      <c r="G3841">
        <f>IF(D3841="KEEP",COUNTIF($D$2:D3841,"KEEP"),"")</f>
        <v/>
      </c>
      <c r="H3841">
        <f>IF(D3841="REMOVE",COUNTIF($D$2:D3841,"REMOVE"),"")</f>
        <v/>
      </c>
      <c r="I3841">
        <f>IF(E3841="Gmail",COUNTIF($E$2:E3841,"Gmail"),"")</f>
        <v/>
      </c>
      <c r="J3841">
        <f>IF(E3841="Outlook",COUNTIF($E$2:E3841,"Outlook"),"")</f>
        <v/>
      </c>
      <c r="K3841">
        <f>IF(E3841="Domain",COUNTIF($E$2:E3841,"Domain"),"")</f>
        <v/>
      </c>
    </row>
    <row r="3842">
      <c r="A3842" s="2" t="n"/>
      <c r="B3842">
        <f>LOWER(TRIM(A3842))</f>
        <v/>
      </c>
      <c r="C3842">
        <f>IF(B3842="","",IFERROR(INDEX('Bad Patterns'!$A$2:$A$120,MATCH(1,INDEX(--ISNUMBER(SEARCH('Bad Patterns'!$A$2:$A$120,B3842)),0),0)),""))</f>
        <v/>
      </c>
      <c r="D3842">
        <f>IF(B3842="","",IF(C3842&lt;&gt;"","REMOVE","KEEP"))</f>
        <v/>
      </c>
      <c r="E3842">
        <f>IF(D3842&lt;&gt;"KEEP","",IF(RIGHT(B3842,10)="@gmail.com","Gmail",IF(OR(RIGHT(B3842,12)="@outlook.com",RIGHT(B3842,12)="@hotmail.com",RIGHT(B3842,9)="@live.com"),"Outlook","Domain")))</f>
        <v/>
      </c>
      <c r="F3842">
        <f>IF(B3842="","",IFERROR(RIGHT(B3842,LEN(B3842)-FIND("@",B3842)),""))</f>
        <v/>
      </c>
      <c r="G3842">
        <f>IF(D3842="KEEP",COUNTIF($D$2:D3842,"KEEP"),"")</f>
        <v/>
      </c>
      <c r="H3842">
        <f>IF(D3842="REMOVE",COUNTIF($D$2:D3842,"REMOVE"),"")</f>
        <v/>
      </c>
      <c r="I3842">
        <f>IF(E3842="Gmail",COUNTIF($E$2:E3842,"Gmail"),"")</f>
        <v/>
      </c>
      <c r="J3842">
        <f>IF(E3842="Outlook",COUNTIF($E$2:E3842,"Outlook"),"")</f>
        <v/>
      </c>
      <c r="K3842">
        <f>IF(E3842="Domain",COUNTIF($E$2:E3842,"Domain"),"")</f>
        <v/>
      </c>
    </row>
    <row r="3843">
      <c r="A3843" s="2" t="n"/>
      <c r="B3843">
        <f>LOWER(TRIM(A3843))</f>
        <v/>
      </c>
      <c r="C3843">
        <f>IF(B3843="","",IFERROR(INDEX('Bad Patterns'!$A$2:$A$120,MATCH(1,INDEX(--ISNUMBER(SEARCH('Bad Patterns'!$A$2:$A$120,B3843)),0),0)),""))</f>
        <v/>
      </c>
      <c r="D3843">
        <f>IF(B3843="","",IF(C3843&lt;&gt;"","REMOVE","KEEP"))</f>
        <v/>
      </c>
      <c r="E3843">
        <f>IF(D3843&lt;&gt;"KEEP","",IF(RIGHT(B3843,10)="@gmail.com","Gmail",IF(OR(RIGHT(B3843,12)="@outlook.com",RIGHT(B3843,12)="@hotmail.com",RIGHT(B3843,9)="@live.com"),"Outlook","Domain")))</f>
        <v/>
      </c>
      <c r="F3843">
        <f>IF(B3843="","",IFERROR(RIGHT(B3843,LEN(B3843)-FIND("@",B3843)),""))</f>
        <v/>
      </c>
      <c r="G3843">
        <f>IF(D3843="KEEP",COUNTIF($D$2:D3843,"KEEP"),"")</f>
        <v/>
      </c>
      <c r="H3843">
        <f>IF(D3843="REMOVE",COUNTIF($D$2:D3843,"REMOVE"),"")</f>
        <v/>
      </c>
      <c r="I3843">
        <f>IF(E3843="Gmail",COUNTIF($E$2:E3843,"Gmail"),"")</f>
        <v/>
      </c>
      <c r="J3843">
        <f>IF(E3843="Outlook",COUNTIF($E$2:E3843,"Outlook"),"")</f>
        <v/>
      </c>
      <c r="K3843">
        <f>IF(E3843="Domain",COUNTIF($E$2:E3843,"Domain"),"")</f>
        <v/>
      </c>
    </row>
    <row r="3844">
      <c r="A3844" s="2" t="n"/>
      <c r="B3844">
        <f>LOWER(TRIM(A3844))</f>
        <v/>
      </c>
      <c r="C3844">
        <f>IF(B3844="","",IFERROR(INDEX('Bad Patterns'!$A$2:$A$120,MATCH(1,INDEX(--ISNUMBER(SEARCH('Bad Patterns'!$A$2:$A$120,B3844)),0),0)),""))</f>
        <v/>
      </c>
      <c r="D3844">
        <f>IF(B3844="","",IF(C3844&lt;&gt;"","REMOVE","KEEP"))</f>
        <v/>
      </c>
      <c r="E3844">
        <f>IF(D3844&lt;&gt;"KEEP","",IF(RIGHT(B3844,10)="@gmail.com","Gmail",IF(OR(RIGHT(B3844,12)="@outlook.com",RIGHT(B3844,12)="@hotmail.com",RIGHT(B3844,9)="@live.com"),"Outlook","Domain")))</f>
        <v/>
      </c>
      <c r="F3844">
        <f>IF(B3844="","",IFERROR(RIGHT(B3844,LEN(B3844)-FIND("@",B3844)),""))</f>
        <v/>
      </c>
      <c r="G3844">
        <f>IF(D3844="KEEP",COUNTIF($D$2:D3844,"KEEP"),"")</f>
        <v/>
      </c>
      <c r="H3844">
        <f>IF(D3844="REMOVE",COUNTIF($D$2:D3844,"REMOVE"),"")</f>
        <v/>
      </c>
      <c r="I3844">
        <f>IF(E3844="Gmail",COUNTIF($E$2:E3844,"Gmail"),"")</f>
        <v/>
      </c>
      <c r="J3844">
        <f>IF(E3844="Outlook",COUNTIF($E$2:E3844,"Outlook"),"")</f>
        <v/>
      </c>
      <c r="K3844">
        <f>IF(E3844="Domain",COUNTIF($E$2:E3844,"Domain"),"")</f>
        <v/>
      </c>
    </row>
    <row r="3845">
      <c r="A3845" s="2" t="n"/>
      <c r="B3845">
        <f>LOWER(TRIM(A3845))</f>
        <v/>
      </c>
      <c r="C3845">
        <f>IF(B3845="","",IFERROR(INDEX('Bad Patterns'!$A$2:$A$120,MATCH(1,INDEX(--ISNUMBER(SEARCH('Bad Patterns'!$A$2:$A$120,B3845)),0),0)),""))</f>
        <v/>
      </c>
      <c r="D3845">
        <f>IF(B3845="","",IF(C3845&lt;&gt;"","REMOVE","KEEP"))</f>
        <v/>
      </c>
      <c r="E3845">
        <f>IF(D3845&lt;&gt;"KEEP","",IF(RIGHT(B3845,10)="@gmail.com","Gmail",IF(OR(RIGHT(B3845,12)="@outlook.com",RIGHT(B3845,12)="@hotmail.com",RIGHT(B3845,9)="@live.com"),"Outlook","Domain")))</f>
        <v/>
      </c>
      <c r="F3845">
        <f>IF(B3845="","",IFERROR(RIGHT(B3845,LEN(B3845)-FIND("@",B3845)),""))</f>
        <v/>
      </c>
      <c r="G3845">
        <f>IF(D3845="KEEP",COUNTIF($D$2:D3845,"KEEP"),"")</f>
        <v/>
      </c>
      <c r="H3845">
        <f>IF(D3845="REMOVE",COUNTIF($D$2:D3845,"REMOVE"),"")</f>
        <v/>
      </c>
      <c r="I3845">
        <f>IF(E3845="Gmail",COUNTIF($E$2:E3845,"Gmail"),"")</f>
        <v/>
      </c>
      <c r="J3845">
        <f>IF(E3845="Outlook",COUNTIF($E$2:E3845,"Outlook"),"")</f>
        <v/>
      </c>
      <c r="K3845">
        <f>IF(E3845="Domain",COUNTIF($E$2:E3845,"Domain"),"")</f>
        <v/>
      </c>
    </row>
    <row r="3846">
      <c r="A3846" s="2" t="n"/>
      <c r="B3846">
        <f>LOWER(TRIM(A3846))</f>
        <v/>
      </c>
      <c r="C3846">
        <f>IF(B3846="","",IFERROR(INDEX('Bad Patterns'!$A$2:$A$120,MATCH(1,INDEX(--ISNUMBER(SEARCH('Bad Patterns'!$A$2:$A$120,B3846)),0),0)),""))</f>
        <v/>
      </c>
      <c r="D3846">
        <f>IF(B3846="","",IF(C3846&lt;&gt;"","REMOVE","KEEP"))</f>
        <v/>
      </c>
      <c r="E3846">
        <f>IF(D3846&lt;&gt;"KEEP","",IF(RIGHT(B3846,10)="@gmail.com","Gmail",IF(OR(RIGHT(B3846,12)="@outlook.com",RIGHT(B3846,12)="@hotmail.com",RIGHT(B3846,9)="@live.com"),"Outlook","Domain")))</f>
        <v/>
      </c>
      <c r="F3846">
        <f>IF(B3846="","",IFERROR(RIGHT(B3846,LEN(B3846)-FIND("@",B3846)),""))</f>
        <v/>
      </c>
      <c r="G3846">
        <f>IF(D3846="KEEP",COUNTIF($D$2:D3846,"KEEP"),"")</f>
        <v/>
      </c>
      <c r="H3846">
        <f>IF(D3846="REMOVE",COUNTIF($D$2:D3846,"REMOVE"),"")</f>
        <v/>
      </c>
      <c r="I3846">
        <f>IF(E3846="Gmail",COUNTIF($E$2:E3846,"Gmail"),"")</f>
        <v/>
      </c>
      <c r="J3846">
        <f>IF(E3846="Outlook",COUNTIF($E$2:E3846,"Outlook"),"")</f>
        <v/>
      </c>
      <c r="K3846">
        <f>IF(E3846="Domain",COUNTIF($E$2:E3846,"Domain"),"")</f>
        <v/>
      </c>
    </row>
    <row r="3847">
      <c r="A3847" s="2" t="n"/>
      <c r="B3847">
        <f>LOWER(TRIM(A3847))</f>
        <v/>
      </c>
      <c r="C3847">
        <f>IF(B3847="","",IFERROR(INDEX('Bad Patterns'!$A$2:$A$120,MATCH(1,INDEX(--ISNUMBER(SEARCH('Bad Patterns'!$A$2:$A$120,B3847)),0),0)),""))</f>
        <v/>
      </c>
      <c r="D3847">
        <f>IF(B3847="","",IF(C3847&lt;&gt;"","REMOVE","KEEP"))</f>
        <v/>
      </c>
      <c r="E3847">
        <f>IF(D3847&lt;&gt;"KEEP","",IF(RIGHT(B3847,10)="@gmail.com","Gmail",IF(OR(RIGHT(B3847,12)="@outlook.com",RIGHT(B3847,12)="@hotmail.com",RIGHT(B3847,9)="@live.com"),"Outlook","Domain")))</f>
        <v/>
      </c>
      <c r="F3847">
        <f>IF(B3847="","",IFERROR(RIGHT(B3847,LEN(B3847)-FIND("@",B3847)),""))</f>
        <v/>
      </c>
      <c r="G3847">
        <f>IF(D3847="KEEP",COUNTIF($D$2:D3847,"KEEP"),"")</f>
        <v/>
      </c>
      <c r="H3847">
        <f>IF(D3847="REMOVE",COUNTIF($D$2:D3847,"REMOVE"),"")</f>
        <v/>
      </c>
      <c r="I3847">
        <f>IF(E3847="Gmail",COUNTIF($E$2:E3847,"Gmail"),"")</f>
        <v/>
      </c>
      <c r="J3847">
        <f>IF(E3847="Outlook",COUNTIF($E$2:E3847,"Outlook"),"")</f>
        <v/>
      </c>
      <c r="K3847">
        <f>IF(E3847="Domain",COUNTIF($E$2:E3847,"Domain"),"")</f>
        <v/>
      </c>
    </row>
    <row r="3848">
      <c r="A3848" s="2" t="n"/>
      <c r="B3848">
        <f>LOWER(TRIM(A3848))</f>
        <v/>
      </c>
      <c r="C3848">
        <f>IF(B3848="","",IFERROR(INDEX('Bad Patterns'!$A$2:$A$120,MATCH(1,INDEX(--ISNUMBER(SEARCH('Bad Patterns'!$A$2:$A$120,B3848)),0),0)),""))</f>
        <v/>
      </c>
      <c r="D3848">
        <f>IF(B3848="","",IF(C3848&lt;&gt;"","REMOVE","KEEP"))</f>
        <v/>
      </c>
      <c r="E3848">
        <f>IF(D3848&lt;&gt;"KEEP","",IF(RIGHT(B3848,10)="@gmail.com","Gmail",IF(OR(RIGHT(B3848,12)="@outlook.com",RIGHT(B3848,12)="@hotmail.com",RIGHT(B3848,9)="@live.com"),"Outlook","Domain")))</f>
        <v/>
      </c>
      <c r="F3848">
        <f>IF(B3848="","",IFERROR(RIGHT(B3848,LEN(B3848)-FIND("@",B3848)),""))</f>
        <v/>
      </c>
      <c r="G3848">
        <f>IF(D3848="KEEP",COUNTIF($D$2:D3848,"KEEP"),"")</f>
        <v/>
      </c>
      <c r="H3848">
        <f>IF(D3848="REMOVE",COUNTIF($D$2:D3848,"REMOVE"),"")</f>
        <v/>
      </c>
      <c r="I3848">
        <f>IF(E3848="Gmail",COUNTIF($E$2:E3848,"Gmail"),"")</f>
        <v/>
      </c>
      <c r="J3848">
        <f>IF(E3848="Outlook",COUNTIF($E$2:E3848,"Outlook"),"")</f>
        <v/>
      </c>
      <c r="K3848">
        <f>IF(E3848="Domain",COUNTIF($E$2:E3848,"Domain"),"")</f>
        <v/>
      </c>
    </row>
    <row r="3849">
      <c r="A3849" s="2" t="n"/>
      <c r="B3849">
        <f>LOWER(TRIM(A3849))</f>
        <v/>
      </c>
      <c r="C3849">
        <f>IF(B3849="","",IFERROR(INDEX('Bad Patterns'!$A$2:$A$120,MATCH(1,INDEX(--ISNUMBER(SEARCH('Bad Patterns'!$A$2:$A$120,B3849)),0),0)),""))</f>
        <v/>
      </c>
      <c r="D3849">
        <f>IF(B3849="","",IF(C3849&lt;&gt;"","REMOVE","KEEP"))</f>
        <v/>
      </c>
      <c r="E3849">
        <f>IF(D3849&lt;&gt;"KEEP","",IF(RIGHT(B3849,10)="@gmail.com","Gmail",IF(OR(RIGHT(B3849,12)="@outlook.com",RIGHT(B3849,12)="@hotmail.com",RIGHT(B3849,9)="@live.com"),"Outlook","Domain")))</f>
        <v/>
      </c>
      <c r="F3849">
        <f>IF(B3849="","",IFERROR(RIGHT(B3849,LEN(B3849)-FIND("@",B3849)),""))</f>
        <v/>
      </c>
      <c r="G3849">
        <f>IF(D3849="KEEP",COUNTIF($D$2:D3849,"KEEP"),"")</f>
        <v/>
      </c>
      <c r="H3849">
        <f>IF(D3849="REMOVE",COUNTIF($D$2:D3849,"REMOVE"),"")</f>
        <v/>
      </c>
      <c r="I3849">
        <f>IF(E3849="Gmail",COUNTIF($E$2:E3849,"Gmail"),"")</f>
        <v/>
      </c>
      <c r="J3849">
        <f>IF(E3849="Outlook",COUNTIF($E$2:E3849,"Outlook"),"")</f>
        <v/>
      </c>
      <c r="K3849">
        <f>IF(E3849="Domain",COUNTIF($E$2:E3849,"Domain"),"")</f>
        <v/>
      </c>
    </row>
    <row r="3850">
      <c r="A3850" s="2" t="n"/>
      <c r="B3850">
        <f>LOWER(TRIM(A3850))</f>
        <v/>
      </c>
      <c r="C3850">
        <f>IF(B3850="","",IFERROR(INDEX('Bad Patterns'!$A$2:$A$120,MATCH(1,INDEX(--ISNUMBER(SEARCH('Bad Patterns'!$A$2:$A$120,B3850)),0),0)),""))</f>
        <v/>
      </c>
      <c r="D3850">
        <f>IF(B3850="","",IF(C3850&lt;&gt;"","REMOVE","KEEP"))</f>
        <v/>
      </c>
      <c r="E3850">
        <f>IF(D3850&lt;&gt;"KEEP","",IF(RIGHT(B3850,10)="@gmail.com","Gmail",IF(OR(RIGHT(B3850,12)="@outlook.com",RIGHT(B3850,12)="@hotmail.com",RIGHT(B3850,9)="@live.com"),"Outlook","Domain")))</f>
        <v/>
      </c>
      <c r="F3850">
        <f>IF(B3850="","",IFERROR(RIGHT(B3850,LEN(B3850)-FIND("@",B3850)),""))</f>
        <v/>
      </c>
      <c r="G3850">
        <f>IF(D3850="KEEP",COUNTIF($D$2:D3850,"KEEP"),"")</f>
        <v/>
      </c>
      <c r="H3850">
        <f>IF(D3850="REMOVE",COUNTIF($D$2:D3850,"REMOVE"),"")</f>
        <v/>
      </c>
      <c r="I3850">
        <f>IF(E3850="Gmail",COUNTIF($E$2:E3850,"Gmail"),"")</f>
        <v/>
      </c>
      <c r="J3850">
        <f>IF(E3850="Outlook",COUNTIF($E$2:E3850,"Outlook"),"")</f>
        <v/>
      </c>
      <c r="K3850">
        <f>IF(E3850="Domain",COUNTIF($E$2:E3850,"Domain"),"")</f>
        <v/>
      </c>
    </row>
    <row r="3851">
      <c r="A3851" s="2" t="n"/>
      <c r="B3851">
        <f>LOWER(TRIM(A3851))</f>
        <v/>
      </c>
      <c r="C3851">
        <f>IF(B3851="","",IFERROR(INDEX('Bad Patterns'!$A$2:$A$120,MATCH(1,INDEX(--ISNUMBER(SEARCH('Bad Patterns'!$A$2:$A$120,B3851)),0),0)),""))</f>
        <v/>
      </c>
      <c r="D3851">
        <f>IF(B3851="","",IF(C3851&lt;&gt;"","REMOVE","KEEP"))</f>
        <v/>
      </c>
      <c r="E3851">
        <f>IF(D3851&lt;&gt;"KEEP","",IF(RIGHT(B3851,10)="@gmail.com","Gmail",IF(OR(RIGHT(B3851,12)="@outlook.com",RIGHT(B3851,12)="@hotmail.com",RIGHT(B3851,9)="@live.com"),"Outlook","Domain")))</f>
        <v/>
      </c>
      <c r="F3851">
        <f>IF(B3851="","",IFERROR(RIGHT(B3851,LEN(B3851)-FIND("@",B3851)),""))</f>
        <v/>
      </c>
      <c r="G3851">
        <f>IF(D3851="KEEP",COUNTIF($D$2:D3851,"KEEP"),"")</f>
        <v/>
      </c>
      <c r="H3851">
        <f>IF(D3851="REMOVE",COUNTIF($D$2:D3851,"REMOVE"),"")</f>
        <v/>
      </c>
      <c r="I3851">
        <f>IF(E3851="Gmail",COUNTIF($E$2:E3851,"Gmail"),"")</f>
        <v/>
      </c>
      <c r="J3851">
        <f>IF(E3851="Outlook",COUNTIF($E$2:E3851,"Outlook"),"")</f>
        <v/>
      </c>
      <c r="K3851">
        <f>IF(E3851="Domain",COUNTIF($E$2:E3851,"Domain"),"")</f>
        <v/>
      </c>
    </row>
    <row r="3852">
      <c r="A3852" s="2" t="n"/>
      <c r="B3852">
        <f>LOWER(TRIM(A3852))</f>
        <v/>
      </c>
      <c r="C3852">
        <f>IF(B3852="","",IFERROR(INDEX('Bad Patterns'!$A$2:$A$120,MATCH(1,INDEX(--ISNUMBER(SEARCH('Bad Patterns'!$A$2:$A$120,B3852)),0),0)),""))</f>
        <v/>
      </c>
      <c r="D3852">
        <f>IF(B3852="","",IF(C3852&lt;&gt;"","REMOVE","KEEP"))</f>
        <v/>
      </c>
      <c r="E3852">
        <f>IF(D3852&lt;&gt;"KEEP","",IF(RIGHT(B3852,10)="@gmail.com","Gmail",IF(OR(RIGHT(B3852,12)="@outlook.com",RIGHT(B3852,12)="@hotmail.com",RIGHT(B3852,9)="@live.com"),"Outlook","Domain")))</f>
        <v/>
      </c>
      <c r="F3852">
        <f>IF(B3852="","",IFERROR(RIGHT(B3852,LEN(B3852)-FIND("@",B3852)),""))</f>
        <v/>
      </c>
      <c r="G3852">
        <f>IF(D3852="KEEP",COUNTIF($D$2:D3852,"KEEP"),"")</f>
        <v/>
      </c>
      <c r="H3852">
        <f>IF(D3852="REMOVE",COUNTIF($D$2:D3852,"REMOVE"),"")</f>
        <v/>
      </c>
      <c r="I3852">
        <f>IF(E3852="Gmail",COUNTIF($E$2:E3852,"Gmail"),"")</f>
        <v/>
      </c>
      <c r="J3852">
        <f>IF(E3852="Outlook",COUNTIF($E$2:E3852,"Outlook"),"")</f>
        <v/>
      </c>
      <c r="K3852">
        <f>IF(E3852="Domain",COUNTIF($E$2:E3852,"Domain"),"")</f>
        <v/>
      </c>
    </row>
    <row r="3853">
      <c r="A3853" s="2" t="n"/>
      <c r="B3853">
        <f>LOWER(TRIM(A3853))</f>
        <v/>
      </c>
      <c r="C3853">
        <f>IF(B3853="","",IFERROR(INDEX('Bad Patterns'!$A$2:$A$120,MATCH(1,INDEX(--ISNUMBER(SEARCH('Bad Patterns'!$A$2:$A$120,B3853)),0),0)),""))</f>
        <v/>
      </c>
      <c r="D3853">
        <f>IF(B3853="","",IF(C3853&lt;&gt;"","REMOVE","KEEP"))</f>
        <v/>
      </c>
      <c r="E3853">
        <f>IF(D3853&lt;&gt;"KEEP","",IF(RIGHT(B3853,10)="@gmail.com","Gmail",IF(OR(RIGHT(B3853,12)="@outlook.com",RIGHT(B3853,12)="@hotmail.com",RIGHT(B3853,9)="@live.com"),"Outlook","Domain")))</f>
        <v/>
      </c>
      <c r="F3853">
        <f>IF(B3853="","",IFERROR(RIGHT(B3853,LEN(B3853)-FIND("@",B3853)),""))</f>
        <v/>
      </c>
      <c r="G3853">
        <f>IF(D3853="KEEP",COUNTIF($D$2:D3853,"KEEP"),"")</f>
        <v/>
      </c>
      <c r="H3853">
        <f>IF(D3853="REMOVE",COUNTIF($D$2:D3853,"REMOVE"),"")</f>
        <v/>
      </c>
      <c r="I3853">
        <f>IF(E3853="Gmail",COUNTIF($E$2:E3853,"Gmail"),"")</f>
        <v/>
      </c>
      <c r="J3853">
        <f>IF(E3853="Outlook",COUNTIF($E$2:E3853,"Outlook"),"")</f>
        <v/>
      </c>
      <c r="K3853">
        <f>IF(E3853="Domain",COUNTIF($E$2:E3853,"Domain"),"")</f>
        <v/>
      </c>
    </row>
    <row r="3854">
      <c r="A3854" s="2" t="n"/>
      <c r="B3854">
        <f>LOWER(TRIM(A3854))</f>
        <v/>
      </c>
      <c r="C3854">
        <f>IF(B3854="","",IFERROR(INDEX('Bad Patterns'!$A$2:$A$120,MATCH(1,INDEX(--ISNUMBER(SEARCH('Bad Patterns'!$A$2:$A$120,B3854)),0),0)),""))</f>
        <v/>
      </c>
      <c r="D3854">
        <f>IF(B3854="","",IF(C3854&lt;&gt;"","REMOVE","KEEP"))</f>
        <v/>
      </c>
      <c r="E3854">
        <f>IF(D3854&lt;&gt;"KEEP","",IF(RIGHT(B3854,10)="@gmail.com","Gmail",IF(OR(RIGHT(B3854,12)="@outlook.com",RIGHT(B3854,12)="@hotmail.com",RIGHT(B3854,9)="@live.com"),"Outlook","Domain")))</f>
        <v/>
      </c>
      <c r="F3854">
        <f>IF(B3854="","",IFERROR(RIGHT(B3854,LEN(B3854)-FIND("@",B3854)),""))</f>
        <v/>
      </c>
      <c r="G3854">
        <f>IF(D3854="KEEP",COUNTIF($D$2:D3854,"KEEP"),"")</f>
        <v/>
      </c>
      <c r="H3854">
        <f>IF(D3854="REMOVE",COUNTIF($D$2:D3854,"REMOVE"),"")</f>
        <v/>
      </c>
      <c r="I3854">
        <f>IF(E3854="Gmail",COUNTIF($E$2:E3854,"Gmail"),"")</f>
        <v/>
      </c>
      <c r="J3854">
        <f>IF(E3854="Outlook",COUNTIF($E$2:E3854,"Outlook"),"")</f>
        <v/>
      </c>
      <c r="K3854">
        <f>IF(E3854="Domain",COUNTIF($E$2:E3854,"Domain"),"")</f>
        <v/>
      </c>
    </row>
    <row r="3855">
      <c r="A3855" s="2" t="n"/>
      <c r="B3855">
        <f>LOWER(TRIM(A3855))</f>
        <v/>
      </c>
      <c r="C3855">
        <f>IF(B3855="","",IFERROR(INDEX('Bad Patterns'!$A$2:$A$120,MATCH(1,INDEX(--ISNUMBER(SEARCH('Bad Patterns'!$A$2:$A$120,B3855)),0),0)),""))</f>
        <v/>
      </c>
      <c r="D3855">
        <f>IF(B3855="","",IF(C3855&lt;&gt;"","REMOVE","KEEP"))</f>
        <v/>
      </c>
      <c r="E3855">
        <f>IF(D3855&lt;&gt;"KEEP","",IF(RIGHT(B3855,10)="@gmail.com","Gmail",IF(OR(RIGHT(B3855,12)="@outlook.com",RIGHT(B3855,12)="@hotmail.com",RIGHT(B3855,9)="@live.com"),"Outlook","Domain")))</f>
        <v/>
      </c>
      <c r="F3855">
        <f>IF(B3855="","",IFERROR(RIGHT(B3855,LEN(B3855)-FIND("@",B3855)),""))</f>
        <v/>
      </c>
      <c r="G3855">
        <f>IF(D3855="KEEP",COUNTIF($D$2:D3855,"KEEP"),"")</f>
        <v/>
      </c>
      <c r="H3855">
        <f>IF(D3855="REMOVE",COUNTIF($D$2:D3855,"REMOVE"),"")</f>
        <v/>
      </c>
      <c r="I3855">
        <f>IF(E3855="Gmail",COUNTIF($E$2:E3855,"Gmail"),"")</f>
        <v/>
      </c>
      <c r="J3855">
        <f>IF(E3855="Outlook",COUNTIF($E$2:E3855,"Outlook"),"")</f>
        <v/>
      </c>
      <c r="K3855">
        <f>IF(E3855="Domain",COUNTIF($E$2:E3855,"Domain"),"")</f>
        <v/>
      </c>
    </row>
    <row r="3856">
      <c r="A3856" s="2" t="n"/>
      <c r="B3856">
        <f>LOWER(TRIM(A3856))</f>
        <v/>
      </c>
      <c r="C3856">
        <f>IF(B3856="","",IFERROR(INDEX('Bad Patterns'!$A$2:$A$120,MATCH(1,INDEX(--ISNUMBER(SEARCH('Bad Patterns'!$A$2:$A$120,B3856)),0),0)),""))</f>
        <v/>
      </c>
      <c r="D3856">
        <f>IF(B3856="","",IF(C3856&lt;&gt;"","REMOVE","KEEP"))</f>
        <v/>
      </c>
      <c r="E3856">
        <f>IF(D3856&lt;&gt;"KEEP","",IF(RIGHT(B3856,10)="@gmail.com","Gmail",IF(OR(RIGHT(B3856,12)="@outlook.com",RIGHT(B3856,12)="@hotmail.com",RIGHT(B3856,9)="@live.com"),"Outlook","Domain")))</f>
        <v/>
      </c>
      <c r="F3856">
        <f>IF(B3856="","",IFERROR(RIGHT(B3856,LEN(B3856)-FIND("@",B3856)),""))</f>
        <v/>
      </c>
      <c r="G3856">
        <f>IF(D3856="KEEP",COUNTIF($D$2:D3856,"KEEP"),"")</f>
        <v/>
      </c>
      <c r="H3856">
        <f>IF(D3856="REMOVE",COUNTIF($D$2:D3856,"REMOVE"),"")</f>
        <v/>
      </c>
      <c r="I3856">
        <f>IF(E3856="Gmail",COUNTIF($E$2:E3856,"Gmail"),"")</f>
        <v/>
      </c>
      <c r="J3856">
        <f>IF(E3856="Outlook",COUNTIF($E$2:E3856,"Outlook"),"")</f>
        <v/>
      </c>
      <c r="K3856">
        <f>IF(E3856="Domain",COUNTIF($E$2:E3856,"Domain"),"")</f>
        <v/>
      </c>
    </row>
    <row r="3857">
      <c r="A3857" s="2" t="n"/>
      <c r="B3857">
        <f>LOWER(TRIM(A3857))</f>
        <v/>
      </c>
      <c r="C3857">
        <f>IF(B3857="","",IFERROR(INDEX('Bad Patterns'!$A$2:$A$120,MATCH(1,INDEX(--ISNUMBER(SEARCH('Bad Patterns'!$A$2:$A$120,B3857)),0),0)),""))</f>
        <v/>
      </c>
      <c r="D3857">
        <f>IF(B3857="","",IF(C3857&lt;&gt;"","REMOVE","KEEP"))</f>
        <v/>
      </c>
      <c r="E3857">
        <f>IF(D3857&lt;&gt;"KEEP","",IF(RIGHT(B3857,10)="@gmail.com","Gmail",IF(OR(RIGHT(B3857,12)="@outlook.com",RIGHT(B3857,12)="@hotmail.com",RIGHT(B3857,9)="@live.com"),"Outlook","Domain")))</f>
        <v/>
      </c>
      <c r="F3857">
        <f>IF(B3857="","",IFERROR(RIGHT(B3857,LEN(B3857)-FIND("@",B3857)),""))</f>
        <v/>
      </c>
      <c r="G3857">
        <f>IF(D3857="KEEP",COUNTIF($D$2:D3857,"KEEP"),"")</f>
        <v/>
      </c>
      <c r="H3857">
        <f>IF(D3857="REMOVE",COUNTIF($D$2:D3857,"REMOVE"),"")</f>
        <v/>
      </c>
      <c r="I3857">
        <f>IF(E3857="Gmail",COUNTIF($E$2:E3857,"Gmail"),"")</f>
        <v/>
      </c>
      <c r="J3857">
        <f>IF(E3857="Outlook",COUNTIF($E$2:E3857,"Outlook"),"")</f>
        <v/>
      </c>
      <c r="K3857">
        <f>IF(E3857="Domain",COUNTIF($E$2:E3857,"Domain"),"")</f>
        <v/>
      </c>
    </row>
    <row r="3858">
      <c r="A3858" s="2" t="n"/>
      <c r="B3858">
        <f>LOWER(TRIM(A3858))</f>
        <v/>
      </c>
      <c r="C3858">
        <f>IF(B3858="","",IFERROR(INDEX('Bad Patterns'!$A$2:$A$120,MATCH(1,INDEX(--ISNUMBER(SEARCH('Bad Patterns'!$A$2:$A$120,B3858)),0),0)),""))</f>
        <v/>
      </c>
      <c r="D3858">
        <f>IF(B3858="","",IF(C3858&lt;&gt;"","REMOVE","KEEP"))</f>
        <v/>
      </c>
      <c r="E3858">
        <f>IF(D3858&lt;&gt;"KEEP","",IF(RIGHT(B3858,10)="@gmail.com","Gmail",IF(OR(RIGHT(B3858,12)="@outlook.com",RIGHT(B3858,12)="@hotmail.com",RIGHT(B3858,9)="@live.com"),"Outlook","Domain")))</f>
        <v/>
      </c>
      <c r="F3858">
        <f>IF(B3858="","",IFERROR(RIGHT(B3858,LEN(B3858)-FIND("@",B3858)),""))</f>
        <v/>
      </c>
      <c r="G3858">
        <f>IF(D3858="KEEP",COUNTIF($D$2:D3858,"KEEP"),"")</f>
        <v/>
      </c>
      <c r="H3858">
        <f>IF(D3858="REMOVE",COUNTIF($D$2:D3858,"REMOVE"),"")</f>
        <v/>
      </c>
      <c r="I3858">
        <f>IF(E3858="Gmail",COUNTIF($E$2:E3858,"Gmail"),"")</f>
        <v/>
      </c>
      <c r="J3858">
        <f>IF(E3858="Outlook",COUNTIF($E$2:E3858,"Outlook"),"")</f>
        <v/>
      </c>
      <c r="K3858">
        <f>IF(E3858="Domain",COUNTIF($E$2:E3858,"Domain"),"")</f>
        <v/>
      </c>
    </row>
    <row r="3859">
      <c r="A3859" s="2" t="n"/>
      <c r="B3859">
        <f>LOWER(TRIM(A3859))</f>
        <v/>
      </c>
      <c r="C3859">
        <f>IF(B3859="","",IFERROR(INDEX('Bad Patterns'!$A$2:$A$120,MATCH(1,INDEX(--ISNUMBER(SEARCH('Bad Patterns'!$A$2:$A$120,B3859)),0),0)),""))</f>
        <v/>
      </c>
      <c r="D3859">
        <f>IF(B3859="","",IF(C3859&lt;&gt;"","REMOVE","KEEP"))</f>
        <v/>
      </c>
      <c r="E3859">
        <f>IF(D3859&lt;&gt;"KEEP","",IF(RIGHT(B3859,10)="@gmail.com","Gmail",IF(OR(RIGHT(B3859,12)="@outlook.com",RIGHT(B3859,12)="@hotmail.com",RIGHT(B3859,9)="@live.com"),"Outlook","Domain")))</f>
        <v/>
      </c>
      <c r="F3859">
        <f>IF(B3859="","",IFERROR(RIGHT(B3859,LEN(B3859)-FIND("@",B3859)),""))</f>
        <v/>
      </c>
      <c r="G3859">
        <f>IF(D3859="KEEP",COUNTIF($D$2:D3859,"KEEP"),"")</f>
        <v/>
      </c>
      <c r="H3859">
        <f>IF(D3859="REMOVE",COUNTIF($D$2:D3859,"REMOVE"),"")</f>
        <v/>
      </c>
      <c r="I3859">
        <f>IF(E3859="Gmail",COUNTIF($E$2:E3859,"Gmail"),"")</f>
        <v/>
      </c>
      <c r="J3859">
        <f>IF(E3859="Outlook",COUNTIF($E$2:E3859,"Outlook"),"")</f>
        <v/>
      </c>
      <c r="K3859">
        <f>IF(E3859="Domain",COUNTIF($E$2:E3859,"Domain"),"")</f>
        <v/>
      </c>
    </row>
    <row r="3860">
      <c r="A3860" s="2" t="n"/>
      <c r="B3860">
        <f>LOWER(TRIM(A3860))</f>
        <v/>
      </c>
      <c r="C3860">
        <f>IF(B3860="","",IFERROR(INDEX('Bad Patterns'!$A$2:$A$120,MATCH(1,INDEX(--ISNUMBER(SEARCH('Bad Patterns'!$A$2:$A$120,B3860)),0),0)),""))</f>
        <v/>
      </c>
      <c r="D3860">
        <f>IF(B3860="","",IF(C3860&lt;&gt;"","REMOVE","KEEP"))</f>
        <v/>
      </c>
      <c r="E3860">
        <f>IF(D3860&lt;&gt;"KEEP","",IF(RIGHT(B3860,10)="@gmail.com","Gmail",IF(OR(RIGHT(B3860,12)="@outlook.com",RIGHT(B3860,12)="@hotmail.com",RIGHT(B3860,9)="@live.com"),"Outlook","Domain")))</f>
        <v/>
      </c>
      <c r="F3860">
        <f>IF(B3860="","",IFERROR(RIGHT(B3860,LEN(B3860)-FIND("@",B3860)),""))</f>
        <v/>
      </c>
      <c r="G3860">
        <f>IF(D3860="KEEP",COUNTIF($D$2:D3860,"KEEP"),"")</f>
        <v/>
      </c>
      <c r="H3860">
        <f>IF(D3860="REMOVE",COUNTIF($D$2:D3860,"REMOVE"),"")</f>
        <v/>
      </c>
      <c r="I3860">
        <f>IF(E3860="Gmail",COUNTIF($E$2:E3860,"Gmail"),"")</f>
        <v/>
      </c>
      <c r="J3860">
        <f>IF(E3860="Outlook",COUNTIF($E$2:E3860,"Outlook"),"")</f>
        <v/>
      </c>
      <c r="K3860">
        <f>IF(E3860="Domain",COUNTIF($E$2:E3860,"Domain"),"")</f>
        <v/>
      </c>
    </row>
    <row r="3861">
      <c r="A3861" s="2" t="n"/>
      <c r="B3861">
        <f>LOWER(TRIM(A3861))</f>
        <v/>
      </c>
      <c r="C3861">
        <f>IF(B3861="","",IFERROR(INDEX('Bad Patterns'!$A$2:$A$120,MATCH(1,INDEX(--ISNUMBER(SEARCH('Bad Patterns'!$A$2:$A$120,B3861)),0),0)),""))</f>
        <v/>
      </c>
      <c r="D3861">
        <f>IF(B3861="","",IF(C3861&lt;&gt;"","REMOVE","KEEP"))</f>
        <v/>
      </c>
      <c r="E3861">
        <f>IF(D3861&lt;&gt;"KEEP","",IF(RIGHT(B3861,10)="@gmail.com","Gmail",IF(OR(RIGHT(B3861,12)="@outlook.com",RIGHT(B3861,12)="@hotmail.com",RIGHT(B3861,9)="@live.com"),"Outlook","Domain")))</f>
        <v/>
      </c>
      <c r="F3861">
        <f>IF(B3861="","",IFERROR(RIGHT(B3861,LEN(B3861)-FIND("@",B3861)),""))</f>
        <v/>
      </c>
      <c r="G3861">
        <f>IF(D3861="KEEP",COUNTIF($D$2:D3861,"KEEP"),"")</f>
        <v/>
      </c>
      <c r="H3861">
        <f>IF(D3861="REMOVE",COUNTIF($D$2:D3861,"REMOVE"),"")</f>
        <v/>
      </c>
      <c r="I3861">
        <f>IF(E3861="Gmail",COUNTIF($E$2:E3861,"Gmail"),"")</f>
        <v/>
      </c>
      <c r="J3861">
        <f>IF(E3861="Outlook",COUNTIF($E$2:E3861,"Outlook"),"")</f>
        <v/>
      </c>
      <c r="K3861">
        <f>IF(E3861="Domain",COUNTIF($E$2:E3861,"Domain"),"")</f>
        <v/>
      </c>
    </row>
    <row r="3862">
      <c r="A3862" s="2" t="n"/>
      <c r="B3862">
        <f>LOWER(TRIM(A3862))</f>
        <v/>
      </c>
      <c r="C3862">
        <f>IF(B3862="","",IFERROR(INDEX('Bad Patterns'!$A$2:$A$120,MATCH(1,INDEX(--ISNUMBER(SEARCH('Bad Patterns'!$A$2:$A$120,B3862)),0),0)),""))</f>
        <v/>
      </c>
      <c r="D3862">
        <f>IF(B3862="","",IF(C3862&lt;&gt;"","REMOVE","KEEP"))</f>
        <v/>
      </c>
      <c r="E3862">
        <f>IF(D3862&lt;&gt;"KEEP","",IF(RIGHT(B3862,10)="@gmail.com","Gmail",IF(OR(RIGHT(B3862,12)="@outlook.com",RIGHT(B3862,12)="@hotmail.com",RIGHT(B3862,9)="@live.com"),"Outlook","Domain")))</f>
        <v/>
      </c>
      <c r="F3862">
        <f>IF(B3862="","",IFERROR(RIGHT(B3862,LEN(B3862)-FIND("@",B3862)),""))</f>
        <v/>
      </c>
      <c r="G3862">
        <f>IF(D3862="KEEP",COUNTIF($D$2:D3862,"KEEP"),"")</f>
        <v/>
      </c>
      <c r="H3862">
        <f>IF(D3862="REMOVE",COUNTIF($D$2:D3862,"REMOVE"),"")</f>
        <v/>
      </c>
      <c r="I3862">
        <f>IF(E3862="Gmail",COUNTIF($E$2:E3862,"Gmail"),"")</f>
        <v/>
      </c>
      <c r="J3862">
        <f>IF(E3862="Outlook",COUNTIF($E$2:E3862,"Outlook"),"")</f>
        <v/>
      </c>
      <c r="K3862">
        <f>IF(E3862="Domain",COUNTIF($E$2:E3862,"Domain"),"")</f>
        <v/>
      </c>
    </row>
    <row r="3863">
      <c r="A3863" s="2" t="n"/>
      <c r="B3863">
        <f>LOWER(TRIM(A3863))</f>
        <v/>
      </c>
      <c r="C3863">
        <f>IF(B3863="","",IFERROR(INDEX('Bad Patterns'!$A$2:$A$120,MATCH(1,INDEX(--ISNUMBER(SEARCH('Bad Patterns'!$A$2:$A$120,B3863)),0),0)),""))</f>
        <v/>
      </c>
      <c r="D3863">
        <f>IF(B3863="","",IF(C3863&lt;&gt;"","REMOVE","KEEP"))</f>
        <v/>
      </c>
      <c r="E3863">
        <f>IF(D3863&lt;&gt;"KEEP","",IF(RIGHT(B3863,10)="@gmail.com","Gmail",IF(OR(RIGHT(B3863,12)="@outlook.com",RIGHT(B3863,12)="@hotmail.com",RIGHT(B3863,9)="@live.com"),"Outlook","Domain")))</f>
        <v/>
      </c>
      <c r="F3863">
        <f>IF(B3863="","",IFERROR(RIGHT(B3863,LEN(B3863)-FIND("@",B3863)),""))</f>
        <v/>
      </c>
      <c r="G3863">
        <f>IF(D3863="KEEP",COUNTIF($D$2:D3863,"KEEP"),"")</f>
        <v/>
      </c>
      <c r="H3863">
        <f>IF(D3863="REMOVE",COUNTIF($D$2:D3863,"REMOVE"),"")</f>
        <v/>
      </c>
      <c r="I3863">
        <f>IF(E3863="Gmail",COUNTIF($E$2:E3863,"Gmail"),"")</f>
        <v/>
      </c>
      <c r="J3863">
        <f>IF(E3863="Outlook",COUNTIF($E$2:E3863,"Outlook"),"")</f>
        <v/>
      </c>
      <c r="K3863">
        <f>IF(E3863="Domain",COUNTIF($E$2:E3863,"Domain"),"")</f>
        <v/>
      </c>
    </row>
    <row r="3864">
      <c r="A3864" s="2" t="n"/>
      <c r="B3864">
        <f>LOWER(TRIM(A3864))</f>
        <v/>
      </c>
      <c r="C3864">
        <f>IF(B3864="","",IFERROR(INDEX('Bad Patterns'!$A$2:$A$120,MATCH(1,INDEX(--ISNUMBER(SEARCH('Bad Patterns'!$A$2:$A$120,B3864)),0),0)),""))</f>
        <v/>
      </c>
      <c r="D3864">
        <f>IF(B3864="","",IF(C3864&lt;&gt;"","REMOVE","KEEP"))</f>
        <v/>
      </c>
      <c r="E3864">
        <f>IF(D3864&lt;&gt;"KEEP","",IF(RIGHT(B3864,10)="@gmail.com","Gmail",IF(OR(RIGHT(B3864,12)="@outlook.com",RIGHT(B3864,12)="@hotmail.com",RIGHT(B3864,9)="@live.com"),"Outlook","Domain")))</f>
        <v/>
      </c>
      <c r="F3864">
        <f>IF(B3864="","",IFERROR(RIGHT(B3864,LEN(B3864)-FIND("@",B3864)),""))</f>
        <v/>
      </c>
      <c r="G3864">
        <f>IF(D3864="KEEP",COUNTIF($D$2:D3864,"KEEP"),"")</f>
        <v/>
      </c>
      <c r="H3864">
        <f>IF(D3864="REMOVE",COUNTIF($D$2:D3864,"REMOVE"),"")</f>
        <v/>
      </c>
      <c r="I3864">
        <f>IF(E3864="Gmail",COUNTIF($E$2:E3864,"Gmail"),"")</f>
        <v/>
      </c>
      <c r="J3864">
        <f>IF(E3864="Outlook",COUNTIF($E$2:E3864,"Outlook"),"")</f>
        <v/>
      </c>
      <c r="K3864">
        <f>IF(E3864="Domain",COUNTIF($E$2:E3864,"Domain"),"")</f>
        <v/>
      </c>
    </row>
    <row r="3865">
      <c r="A3865" s="2" t="n"/>
      <c r="B3865">
        <f>LOWER(TRIM(A3865))</f>
        <v/>
      </c>
      <c r="C3865">
        <f>IF(B3865="","",IFERROR(INDEX('Bad Patterns'!$A$2:$A$120,MATCH(1,INDEX(--ISNUMBER(SEARCH('Bad Patterns'!$A$2:$A$120,B3865)),0),0)),""))</f>
        <v/>
      </c>
      <c r="D3865">
        <f>IF(B3865="","",IF(C3865&lt;&gt;"","REMOVE","KEEP"))</f>
        <v/>
      </c>
      <c r="E3865">
        <f>IF(D3865&lt;&gt;"KEEP","",IF(RIGHT(B3865,10)="@gmail.com","Gmail",IF(OR(RIGHT(B3865,12)="@outlook.com",RIGHT(B3865,12)="@hotmail.com",RIGHT(B3865,9)="@live.com"),"Outlook","Domain")))</f>
        <v/>
      </c>
      <c r="F3865">
        <f>IF(B3865="","",IFERROR(RIGHT(B3865,LEN(B3865)-FIND("@",B3865)),""))</f>
        <v/>
      </c>
      <c r="G3865">
        <f>IF(D3865="KEEP",COUNTIF($D$2:D3865,"KEEP"),"")</f>
        <v/>
      </c>
      <c r="H3865">
        <f>IF(D3865="REMOVE",COUNTIF($D$2:D3865,"REMOVE"),"")</f>
        <v/>
      </c>
      <c r="I3865">
        <f>IF(E3865="Gmail",COUNTIF($E$2:E3865,"Gmail"),"")</f>
        <v/>
      </c>
      <c r="J3865">
        <f>IF(E3865="Outlook",COUNTIF($E$2:E3865,"Outlook"),"")</f>
        <v/>
      </c>
      <c r="K3865">
        <f>IF(E3865="Domain",COUNTIF($E$2:E3865,"Domain"),"")</f>
        <v/>
      </c>
    </row>
    <row r="3866">
      <c r="A3866" s="2" t="n"/>
      <c r="B3866">
        <f>LOWER(TRIM(A3866))</f>
        <v/>
      </c>
      <c r="C3866">
        <f>IF(B3866="","",IFERROR(INDEX('Bad Patterns'!$A$2:$A$120,MATCH(1,INDEX(--ISNUMBER(SEARCH('Bad Patterns'!$A$2:$A$120,B3866)),0),0)),""))</f>
        <v/>
      </c>
      <c r="D3866">
        <f>IF(B3866="","",IF(C3866&lt;&gt;"","REMOVE","KEEP"))</f>
        <v/>
      </c>
      <c r="E3866">
        <f>IF(D3866&lt;&gt;"KEEP","",IF(RIGHT(B3866,10)="@gmail.com","Gmail",IF(OR(RIGHT(B3866,12)="@outlook.com",RIGHT(B3866,12)="@hotmail.com",RIGHT(B3866,9)="@live.com"),"Outlook","Domain")))</f>
        <v/>
      </c>
      <c r="F3866">
        <f>IF(B3866="","",IFERROR(RIGHT(B3866,LEN(B3866)-FIND("@",B3866)),""))</f>
        <v/>
      </c>
      <c r="G3866">
        <f>IF(D3866="KEEP",COUNTIF($D$2:D3866,"KEEP"),"")</f>
        <v/>
      </c>
      <c r="H3866">
        <f>IF(D3866="REMOVE",COUNTIF($D$2:D3866,"REMOVE"),"")</f>
        <v/>
      </c>
      <c r="I3866">
        <f>IF(E3866="Gmail",COUNTIF($E$2:E3866,"Gmail"),"")</f>
        <v/>
      </c>
      <c r="J3866">
        <f>IF(E3866="Outlook",COUNTIF($E$2:E3866,"Outlook"),"")</f>
        <v/>
      </c>
      <c r="K3866">
        <f>IF(E3866="Domain",COUNTIF($E$2:E3866,"Domain"),"")</f>
        <v/>
      </c>
    </row>
    <row r="3867">
      <c r="A3867" s="2" t="n"/>
      <c r="B3867">
        <f>LOWER(TRIM(A3867))</f>
        <v/>
      </c>
      <c r="C3867">
        <f>IF(B3867="","",IFERROR(INDEX('Bad Patterns'!$A$2:$A$120,MATCH(1,INDEX(--ISNUMBER(SEARCH('Bad Patterns'!$A$2:$A$120,B3867)),0),0)),""))</f>
        <v/>
      </c>
      <c r="D3867">
        <f>IF(B3867="","",IF(C3867&lt;&gt;"","REMOVE","KEEP"))</f>
        <v/>
      </c>
      <c r="E3867">
        <f>IF(D3867&lt;&gt;"KEEP","",IF(RIGHT(B3867,10)="@gmail.com","Gmail",IF(OR(RIGHT(B3867,12)="@outlook.com",RIGHT(B3867,12)="@hotmail.com",RIGHT(B3867,9)="@live.com"),"Outlook","Domain")))</f>
        <v/>
      </c>
      <c r="F3867">
        <f>IF(B3867="","",IFERROR(RIGHT(B3867,LEN(B3867)-FIND("@",B3867)),""))</f>
        <v/>
      </c>
      <c r="G3867">
        <f>IF(D3867="KEEP",COUNTIF($D$2:D3867,"KEEP"),"")</f>
        <v/>
      </c>
      <c r="H3867">
        <f>IF(D3867="REMOVE",COUNTIF($D$2:D3867,"REMOVE"),"")</f>
        <v/>
      </c>
      <c r="I3867">
        <f>IF(E3867="Gmail",COUNTIF($E$2:E3867,"Gmail"),"")</f>
        <v/>
      </c>
      <c r="J3867">
        <f>IF(E3867="Outlook",COUNTIF($E$2:E3867,"Outlook"),"")</f>
        <v/>
      </c>
      <c r="K3867">
        <f>IF(E3867="Domain",COUNTIF($E$2:E3867,"Domain"),"")</f>
        <v/>
      </c>
    </row>
    <row r="3868">
      <c r="A3868" s="2" t="n"/>
      <c r="B3868">
        <f>LOWER(TRIM(A3868))</f>
        <v/>
      </c>
      <c r="C3868">
        <f>IF(B3868="","",IFERROR(INDEX('Bad Patterns'!$A$2:$A$120,MATCH(1,INDEX(--ISNUMBER(SEARCH('Bad Patterns'!$A$2:$A$120,B3868)),0),0)),""))</f>
        <v/>
      </c>
      <c r="D3868">
        <f>IF(B3868="","",IF(C3868&lt;&gt;"","REMOVE","KEEP"))</f>
        <v/>
      </c>
      <c r="E3868">
        <f>IF(D3868&lt;&gt;"KEEP","",IF(RIGHT(B3868,10)="@gmail.com","Gmail",IF(OR(RIGHT(B3868,12)="@outlook.com",RIGHT(B3868,12)="@hotmail.com",RIGHT(B3868,9)="@live.com"),"Outlook","Domain")))</f>
        <v/>
      </c>
      <c r="F3868">
        <f>IF(B3868="","",IFERROR(RIGHT(B3868,LEN(B3868)-FIND("@",B3868)),""))</f>
        <v/>
      </c>
      <c r="G3868">
        <f>IF(D3868="KEEP",COUNTIF($D$2:D3868,"KEEP"),"")</f>
        <v/>
      </c>
      <c r="H3868">
        <f>IF(D3868="REMOVE",COUNTIF($D$2:D3868,"REMOVE"),"")</f>
        <v/>
      </c>
      <c r="I3868">
        <f>IF(E3868="Gmail",COUNTIF($E$2:E3868,"Gmail"),"")</f>
        <v/>
      </c>
      <c r="J3868">
        <f>IF(E3868="Outlook",COUNTIF($E$2:E3868,"Outlook"),"")</f>
        <v/>
      </c>
      <c r="K3868">
        <f>IF(E3868="Domain",COUNTIF($E$2:E3868,"Domain"),"")</f>
        <v/>
      </c>
    </row>
    <row r="3869">
      <c r="A3869" s="2" t="n"/>
      <c r="B3869">
        <f>LOWER(TRIM(A3869))</f>
        <v/>
      </c>
      <c r="C3869">
        <f>IF(B3869="","",IFERROR(INDEX('Bad Patterns'!$A$2:$A$120,MATCH(1,INDEX(--ISNUMBER(SEARCH('Bad Patterns'!$A$2:$A$120,B3869)),0),0)),""))</f>
        <v/>
      </c>
      <c r="D3869">
        <f>IF(B3869="","",IF(C3869&lt;&gt;"","REMOVE","KEEP"))</f>
        <v/>
      </c>
      <c r="E3869">
        <f>IF(D3869&lt;&gt;"KEEP","",IF(RIGHT(B3869,10)="@gmail.com","Gmail",IF(OR(RIGHT(B3869,12)="@outlook.com",RIGHT(B3869,12)="@hotmail.com",RIGHT(B3869,9)="@live.com"),"Outlook","Domain")))</f>
        <v/>
      </c>
      <c r="F3869">
        <f>IF(B3869="","",IFERROR(RIGHT(B3869,LEN(B3869)-FIND("@",B3869)),""))</f>
        <v/>
      </c>
      <c r="G3869">
        <f>IF(D3869="KEEP",COUNTIF($D$2:D3869,"KEEP"),"")</f>
        <v/>
      </c>
      <c r="H3869">
        <f>IF(D3869="REMOVE",COUNTIF($D$2:D3869,"REMOVE"),"")</f>
        <v/>
      </c>
      <c r="I3869">
        <f>IF(E3869="Gmail",COUNTIF($E$2:E3869,"Gmail"),"")</f>
        <v/>
      </c>
      <c r="J3869">
        <f>IF(E3869="Outlook",COUNTIF($E$2:E3869,"Outlook"),"")</f>
        <v/>
      </c>
      <c r="K3869">
        <f>IF(E3869="Domain",COUNTIF($E$2:E3869,"Domain"),"")</f>
        <v/>
      </c>
    </row>
    <row r="3870">
      <c r="A3870" s="2" t="n"/>
      <c r="B3870">
        <f>LOWER(TRIM(A3870))</f>
        <v/>
      </c>
      <c r="C3870">
        <f>IF(B3870="","",IFERROR(INDEX('Bad Patterns'!$A$2:$A$120,MATCH(1,INDEX(--ISNUMBER(SEARCH('Bad Patterns'!$A$2:$A$120,B3870)),0),0)),""))</f>
        <v/>
      </c>
      <c r="D3870">
        <f>IF(B3870="","",IF(C3870&lt;&gt;"","REMOVE","KEEP"))</f>
        <v/>
      </c>
      <c r="E3870">
        <f>IF(D3870&lt;&gt;"KEEP","",IF(RIGHT(B3870,10)="@gmail.com","Gmail",IF(OR(RIGHT(B3870,12)="@outlook.com",RIGHT(B3870,12)="@hotmail.com",RIGHT(B3870,9)="@live.com"),"Outlook","Domain")))</f>
        <v/>
      </c>
      <c r="F3870">
        <f>IF(B3870="","",IFERROR(RIGHT(B3870,LEN(B3870)-FIND("@",B3870)),""))</f>
        <v/>
      </c>
      <c r="G3870">
        <f>IF(D3870="KEEP",COUNTIF($D$2:D3870,"KEEP"),"")</f>
        <v/>
      </c>
      <c r="H3870">
        <f>IF(D3870="REMOVE",COUNTIF($D$2:D3870,"REMOVE"),"")</f>
        <v/>
      </c>
      <c r="I3870">
        <f>IF(E3870="Gmail",COUNTIF($E$2:E3870,"Gmail"),"")</f>
        <v/>
      </c>
      <c r="J3870">
        <f>IF(E3870="Outlook",COUNTIF($E$2:E3870,"Outlook"),"")</f>
        <v/>
      </c>
      <c r="K3870">
        <f>IF(E3870="Domain",COUNTIF($E$2:E3870,"Domain"),"")</f>
        <v/>
      </c>
    </row>
    <row r="3871">
      <c r="A3871" s="2" t="n"/>
      <c r="B3871">
        <f>LOWER(TRIM(A3871))</f>
        <v/>
      </c>
      <c r="C3871">
        <f>IF(B3871="","",IFERROR(INDEX('Bad Patterns'!$A$2:$A$120,MATCH(1,INDEX(--ISNUMBER(SEARCH('Bad Patterns'!$A$2:$A$120,B3871)),0),0)),""))</f>
        <v/>
      </c>
      <c r="D3871">
        <f>IF(B3871="","",IF(C3871&lt;&gt;"","REMOVE","KEEP"))</f>
        <v/>
      </c>
      <c r="E3871">
        <f>IF(D3871&lt;&gt;"KEEP","",IF(RIGHT(B3871,10)="@gmail.com","Gmail",IF(OR(RIGHT(B3871,12)="@outlook.com",RIGHT(B3871,12)="@hotmail.com",RIGHT(B3871,9)="@live.com"),"Outlook","Domain")))</f>
        <v/>
      </c>
      <c r="F3871">
        <f>IF(B3871="","",IFERROR(RIGHT(B3871,LEN(B3871)-FIND("@",B3871)),""))</f>
        <v/>
      </c>
      <c r="G3871">
        <f>IF(D3871="KEEP",COUNTIF($D$2:D3871,"KEEP"),"")</f>
        <v/>
      </c>
      <c r="H3871">
        <f>IF(D3871="REMOVE",COUNTIF($D$2:D3871,"REMOVE"),"")</f>
        <v/>
      </c>
      <c r="I3871">
        <f>IF(E3871="Gmail",COUNTIF($E$2:E3871,"Gmail"),"")</f>
        <v/>
      </c>
      <c r="J3871">
        <f>IF(E3871="Outlook",COUNTIF($E$2:E3871,"Outlook"),"")</f>
        <v/>
      </c>
      <c r="K3871">
        <f>IF(E3871="Domain",COUNTIF($E$2:E3871,"Domain"),"")</f>
        <v/>
      </c>
    </row>
    <row r="3872">
      <c r="A3872" s="2" t="n"/>
      <c r="B3872">
        <f>LOWER(TRIM(A3872))</f>
        <v/>
      </c>
      <c r="C3872">
        <f>IF(B3872="","",IFERROR(INDEX('Bad Patterns'!$A$2:$A$120,MATCH(1,INDEX(--ISNUMBER(SEARCH('Bad Patterns'!$A$2:$A$120,B3872)),0),0)),""))</f>
        <v/>
      </c>
      <c r="D3872">
        <f>IF(B3872="","",IF(C3872&lt;&gt;"","REMOVE","KEEP"))</f>
        <v/>
      </c>
      <c r="E3872">
        <f>IF(D3872&lt;&gt;"KEEP","",IF(RIGHT(B3872,10)="@gmail.com","Gmail",IF(OR(RIGHT(B3872,12)="@outlook.com",RIGHT(B3872,12)="@hotmail.com",RIGHT(B3872,9)="@live.com"),"Outlook","Domain")))</f>
        <v/>
      </c>
      <c r="F3872">
        <f>IF(B3872="","",IFERROR(RIGHT(B3872,LEN(B3872)-FIND("@",B3872)),""))</f>
        <v/>
      </c>
      <c r="G3872">
        <f>IF(D3872="KEEP",COUNTIF($D$2:D3872,"KEEP"),"")</f>
        <v/>
      </c>
      <c r="H3872">
        <f>IF(D3872="REMOVE",COUNTIF($D$2:D3872,"REMOVE"),"")</f>
        <v/>
      </c>
      <c r="I3872">
        <f>IF(E3872="Gmail",COUNTIF($E$2:E3872,"Gmail"),"")</f>
        <v/>
      </c>
      <c r="J3872">
        <f>IF(E3872="Outlook",COUNTIF($E$2:E3872,"Outlook"),"")</f>
        <v/>
      </c>
      <c r="K3872">
        <f>IF(E3872="Domain",COUNTIF($E$2:E3872,"Domain"),"")</f>
        <v/>
      </c>
    </row>
    <row r="3873">
      <c r="A3873" s="2" t="n"/>
      <c r="B3873">
        <f>LOWER(TRIM(A3873))</f>
        <v/>
      </c>
      <c r="C3873">
        <f>IF(B3873="","",IFERROR(INDEX('Bad Patterns'!$A$2:$A$120,MATCH(1,INDEX(--ISNUMBER(SEARCH('Bad Patterns'!$A$2:$A$120,B3873)),0),0)),""))</f>
        <v/>
      </c>
      <c r="D3873">
        <f>IF(B3873="","",IF(C3873&lt;&gt;"","REMOVE","KEEP"))</f>
        <v/>
      </c>
      <c r="E3873">
        <f>IF(D3873&lt;&gt;"KEEP","",IF(RIGHT(B3873,10)="@gmail.com","Gmail",IF(OR(RIGHT(B3873,12)="@outlook.com",RIGHT(B3873,12)="@hotmail.com",RIGHT(B3873,9)="@live.com"),"Outlook","Domain")))</f>
        <v/>
      </c>
      <c r="F3873">
        <f>IF(B3873="","",IFERROR(RIGHT(B3873,LEN(B3873)-FIND("@",B3873)),""))</f>
        <v/>
      </c>
      <c r="G3873">
        <f>IF(D3873="KEEP",COUNTIF($D$2:D3873,"KEEP"),"")</f>
        <v/>
      </c>
      <c r="H3873">
        <f>IF(D3873="REMOVE",COUNTIF($D$2:D3873,"REMOVE"),"")</f>
        <v/>
      </c>
      <c r="I3873">
        <f>IF(E3873="Gmail",COUNTIF($E$2:E3873,"Gmail"),"")</f>
        <v/>
      </c>
      <c r="J3873">
        <f>IF(E3873="Outlook",COUNTIF($E$2:E3873,"Outlook"),"")</f>
        <v/>
      </c>
      <c r="K3873">
        <f>IF(E3873="Domain",COUNTIF($E$2:E3873,"Domain"),"")</f>
        <v/>
      </c>
    </row>
    <row r="3874">
      <c r="A3874" s="2" t="n"/>
      <c r="B3874">
        <f>LOWER(TRIM(A3874))</f>
        <v/>
      </c>
      <c r="C3874">
        <f>IF(B3874="","",IFERROR(INDEX('Bad Patterns'!$A$2:$A$120,MATCH(1,INDEX(--ISNUMBER(SEARCH('Bad Patterns'!$A$2:$A$120,B3874)),0),0)),""))</f>
        <v/>
      </c>
      <c r="D3874">
        <f>IF(B3874="","",IF(C3874&lt;&gt;"","REMOVE","KEEP"))</f>
        <v/>
      </c>
      <c r="E3874">
        <f>IF(D3874&lt;&gt;"KEEP","",IF(RIGHT(B3874,10)="@gmail.com","Gmail",IF(OR(RIGHT(B3874,12)="@outlook.com",RIGHT(B3874,12)="@hotmail.com",RIGHT(B3874,9)="@live.com"),"Outlook","Domain")))</f>
        <v/>
      </c>
      <c r="F3874">
        <f>IF(B3874="","",IFERROR(RIGHT(B3874,LEN(B3874)-FIND("@",B3874)),""))</f>
        <v/>
      </c>
      <c r="G3874">
        <f>IF(D3874="KEEP",COUNTIF($D$2:D3874,"KEEP"),"")</f>
        <v/>
      </c>
      <c r="H3874">
        <f>IF(D3874="REMOVE",COUNTIF($D$2:D3874,"REMOVE"),"")</f>
        <v/>
      </c>
      <c r="I3874">
        <f>IF(E3874="Gmail",COUNTIF($E$2:E3874,"Gmail"),"")</f>
        <v/>
      </c>
      <c r="J3874">
        <f>IF(E3874="Outlook",COUNTIF($E$2:E3874,"Outlook"),"")</f>
        <v/>
      </c>
      <c r="K3874">
        <f>IF(E3874="Domain",COUNTIF($E$2:E3874,"Domain"),"")</f>
        <v/>
      </c>
    </row>
    <row r="3875">
      <c r="A3875" s="2" t="n"/>
      <c r="B3875">
        <f>LOWER(TRIM(A3875))</f>
        <v/>
      </c>
      <c r="C3875">
        <f>IF(B3875="","",IFERROR(INDEX('Bad Patterns'!$A$2:$A$120,MATCH(1,INDEX(--ISNUMBER(SEARCH('Bad Patterns'!$A$2:$A$120,B3875)),0),0)),""))</f>
        <v/>
      </c>
      <c r="D3875">
        <f>IF(B3875="","",IF(C3875&lt;&gt;"","REMOVE","KEEP"))</f>
        <v/>
      </c>
      <c r="E3875">
        <f>IF(D3875&lt;&gt;"KEEP","",IF(RIGHT(B3875,10)="@gmail.com","Gmail",IF(OR(RIGHT(B3875,12)="@outlook.com",RIGHT(B3875,12)="@hotmail.com",RIGHT(B3875,9)="@live.com"),"Outlook","Domain")))</f>
        <v/>
      </c>
      <c r="F3875">
        <f>IF(B3875="","",IFERROR(RIGHT(B3875,LEN(B3875)-FIND("@",B3875)),""))</f>
        <v/>
      </c>
      <c r="G3875">
        <f>IF(D3875="KEEP",COUNTIF($D$2:D3875,"KEEP"),"")</f>
        <v/>
      </c>
      <c r="H3875">
        <f>IF(D3875="REMOVE",COUNTIF($D$2:D3875,"REMOVE"),"")</f>
        <v/>
      </c>
      <c r="I3875">
        <f>IF(E3875="Gmail",COUNTIF($E$2:E3875,"Gmail"),"")</f>
        <v/>
      </c>
      <c r="J3875">
        <f>IF(E3875="Outlook",COUNTIF($E$2:E3875,"Outlook"),"")</f>
        <v/>
      </c>
      <c r="K3875">
        <f>IF(E3875="Domain",COUNTIF($E$2:E3875,"Domain"),"")</f>
        <v/>
      </c>
    </row>
    <row r="3876">
      <c r="A3876" s="2" t="n"/>
      <c r="B3876">
        <f>LOWER(TRIM(A3876))</f>
        <v/>
      </c>
      <c r="C3876">
        <f>IF(B3876="","",IFERROR(INDEX('Bad Patterns'!$A$2:$A$120,MATCH(1,INDEX(--ISNUMBER(SEARCH('Bad Patterns'!$A$2:$A$120,B3876)),0),0)),""))</f>
        <v/>
      </c>
      <c r="D3876">
        <f>IF(B3876="","",IF(C3876&lt;&gt;"","REMOVE","KEEP"))</f>
        <v/>
      </c>
      <c r="E3876">
        <f>IF(D3876&lt;&gt;"KEEP","",IF(RIGHT(B3876,10)="@gmail.com","Gmail",IF(OR(RIGHT(B3876,12)="@outlook.com",RIGHT(B3876,12)="@hotmail.com",RIGHT(B3876,9)="@live.com"),"Outlook","Domain")))</f>
        <v/>
      </c>
      <c r="F3876">
        <f>IF(B3876="","",IFERROR(RIGHT(B3876,LEN(B3876)-FIND("@",B3876)),""))</f>
        <v/>
      </c>
      <c r="G3876">
        <f>IF(D3876="KEEP",COUNTIF($D$2:D3876,"KEEP"),"")</f>
        <v/>
      </c>
      <c r="H3876">
        <f>IF(D3876="REMOVE",COUNTIF($D$2:D3876,"REMOVE"),"")</f>
        <v/>
      </c>
      <c r="I3876">
        <f>IF(E3876="Gmail",COUNTIF($E$2:E3876,"Gmail"),"")</f>
        <v/>
      </c>
      <c r="J3876">
        <f>IF(E3876="Outlook",COUNTIF($E$2:E3876,"Outlook"),"")</f>
        <v/>
      </c>
      <c r="K3876">
        <f>IF(E3876="Domain",COUNTIF($E$2:E3876,"Domain"),"")</f>
        <v/>
      </c>
    </row>
    <row r="3877">
      <c r="A3877" s="2" t="n"/>
      <c r="B3877">
        <f>LOWER(TRIM(A3877))</f>
        <v/>
      </c>
      <c r="C3877">
        <f>IF(B3877="","",IFERROR(INDEX('Bad Patterns'!$A$2:$A$120,MATCH(1,INDEX(--ISNUMBER(SEARCH('Bad Patterns'!$A$2:$A$120,B3877)),0),0)),""))</f>
        <v/>
      </c>
      <c r="D3877">
        <f>IF(B3877="","",IF(C3877&lt;&gt;"","REMOVE","KEEP"))</f>
        <v/>
      </c>
      <c r="E3877">
        <f>IF(D3877&lt;&gt;"KEEP","",IF(RIGHT(B3877,10)="@gmail.com","Gmail",IF(OR(RIGHT(B3877,12)="@outlook.com",RIGHT(B3877,12)="@hotmail.com",RIGHT(B3877,9)="@live.com"),"Outlook","Domain")))</f>
        <v/>
      </c>
      <c r="F3877">
        <f>IF(B3877="","",IFERROR(RIGHT(B3877,LEN(B3877)-FIND("@",B3877)),""))</f>
        <v/>
      </c>
      <c r="G3877">
        <f>IF(D3877="KEEP",COUNTIF($D$2:D3877,"KEEP"),"")</f>
        <v/>
      </c>
      <c r="H3877">
        <f>IF(D3877="REMOVE",COUNTIF($D$2:D3877,"REMOVE"),"")</f>
        <v/>
      </c>
      <c r="I3877">
        <f>IF(E3877="Gmail",COUNTIF($E$2:E3877,"Gmail"),"")</f>
        <v/>
      </c>
      <c r="J3877">
        <f>IF(E3877="Outlook",COUNTIF($E$2:E3877,"Outlook"),"")</f>
        <v/>
      </c>
      <c r="K3877">
        <f>IF(E3877="Domain",COUNTIF($E$2:E3877,"Domain"),"")</f>
        <v/>
      </c>
    </row>
    <row r="3878">
      <c r="A3878" s="2" t="n"/>
      <c r="B3878">
        <f>LOWER(TRIM(A3878))</f>
        <v/>
      </c>
      <c r="C3878">
        <f>IF(B3878="","",IFERROR(INDEX('Bad Patterns'!$A$2:$A$120,MATCH(1,INDEX(--ISNUMBER(SEARCH('Bad Patterns'!$A$2:$A$120,B3878)),0),0)),""))</f>
        <v/>
      </c>
      <c r="D3878">
        <f>IF(B3878="","",IF(C3878&lt;&gt;"","REMOVE","KEEP"))</f>
        <v/>
      </c>
      <c r="E3878">
        <f>IF(D3878&lt;&gt;"KEEP","",IF(RIGHT(B3878,10)="@gmail.com","Gmail",IF(OR(RIGHT(B3878,12)="@outlook.com",RIGHT(B3878,12)="@hotmail.com",RIGHT(B3878,9)="@live.com"),"Outlook","Domain")))</f>
        <v/>
      </c>
      <c r="F3878">
        <f>IF(B3878="","",IFERROR(RIGHT(B3878,LEN(B3878)-FIND("@",B3878)),""))</f>
        <v/>
      </c>
      <c r="G3878">
        <f>IF(D3878="KEEP",COUNTIF($D$2:D3878,"KEEP"),"")</f>
        <v/>
      </c>
      <c r="H3878">
        <f>IF(D3878="REMOVE",COUNTIF($D$2:D3878,"REMOVE"),"")</f>
        <v/>
      </c>
      <c r="I3878">
        <f>IF(E3878="Gmail",COUNTIF($E$2:E3878,"Gmail"),"")</f>
        <v/>
      </c>
      <c r="J3878">
        <f>IF(E3878="Outlook",COUNTIF($E$2:E3878,"Outlook"),"")</f>
        <v/>
      </c>
      <c r="K3878">
        <f>IF(E3878="Domain",COUNTIF($E$2:E3878,"Domain"),"")</f>
        <v/>
      </c>
    </row>
    <row r="3879">
      <c r="A3879" s="2" t="n"/>
      <c r="B3879">
        <f>LOWER(TRIM(A3879))</f>
        <v/>
      </c>
      <c r="C3879">
        <f>IF(B3879="","",IFERROR(INDEX('Bad Patterns'!$A$2:$A$120,MATCH(1,INDEX(--ISNUMBER(SEARCH('Bad Patterns'!$A$2:$A$120,B3879)),0),0)),""))</f>
        <v/>
      </c>
      <c r="D3879">
        <f>IF(B3879="","",IF(C3879&lt;&gt;"","REMOVE","KEEP"))</f>
        <v/>
      </c>
      <c r="E3879">
        <f>IF(D3879&lt;&gt;"KEEP","",IF(RIGHT(B3879,10)="@gmail.com","Gmail",IF(OR(RIGHT(B3879,12)="@outlook.com",RIGHT(B3879,12)="@hotmail.com",RIGHT(B3879,9)="@live.com"),"Outlook","Domain")))</f>
        <v/>
      </c>
      <c r="F3879">
        <f>IF(B3879="","",IFERROR(RIGHT(B3879,LEN(B3879)-FIND("@",B3879)),""))</f>
        <v/>
      </c>
      <c r="G3879">
        <f>IF(D3879="KEEP",COUNTIF($D$2:D3879,"KEEP"),"")</f>
        <v/>
      </c>
      <c r="H3879">
        <f>IF(D3879="REMOVE",COUNTIF($D$2:D3879,"REMOVE"),"")</f>
        <v/>
      </c>
      <c r="I3879">
        <f>IF(E3879="Gmail",COUNTIF($E$2:E3879,"Gmail"),"")</f>
        <v/>
      </c>
      <c r="J3879">
        <f>IF(E3879="Outlook",COUNTIF($E$2:E3879,"Outlook"),"")</f>
        <v/>
      </c>
      <c r="K3879">
        <f>IF(E3879="Domain",COUNTIF($E$2:E3879,"Domain"),"")</f>
        <v/>
      </c>
    </row>
    <row r="3880">
      <c r="A3880" s="2" t="n"/>
      <c r="B3880">
        <f>LOWER(TRIM(A3880))</f>
        <v/>
      </c>
      <c r="C3880">
        <f>IF(B3880="","",IFERROR(INDEX('Bad Patterns'!$A$2:$A$120,MATCH(1,INDEX(--ISNUMBER(SEARCH('Bad Patterns'!$A$2:$A$120,B3880)),0),0)),""))</f>
        <v/>
      </c>
      <c r="D3880">
        <f>IF(B3880="","",IF(C3880&lt;&gt;"","REMOVE","KEEP"))</f>
        <v/>
      </c>
      <c r="E3880">
        <f>IF(D3880&lt;&gt;"KEEP","",IF(RIGHT(B3880,10)="@gmail.com","Gmail",IF(OR(RIGHT(B3880,12)="@outlook.com",RIGHT(B3880,12)="@hotmail.com",RIGHT(B3880,9)="@live.com"),"Outlook","Domain")))</f>
        <v/>
      </c>
      <c r="F3880">
        <f>IF(B3880="","",IFERROR(RIGHT(B3880,LEN(B3880)-FIND("@",B3880)),""))</f>
        <v/>
      </c>
      <c r="G3880">
        <f>IF(D3880="KEEP",COUNTIF($D$2:D3880,"KEEP"),"")</f>
        <v/>
      </c>
      <c r="H3880">
        <f>IF(D3880="REMOVE",COUNTIF($D$2:D3880,"REMOVE"),"")</f>
        <v/>
      </c>
      <c r="I3880">
        <f>IF(E3880="Gmail",COUNTIF($E$2:E3880,"Gmail"),"")</f>
        <v/>
      </c>
      <c r="J3880">
        <f>IF(E3880="Outlook",COUNTIF($E$2:E3880,"Outlook"),"")</f>
        <v/>
      </c>
      <c r="K3880">
        <f>IF(E3880="Domain",COUNTIF($E$2:E3880,"Domain"),"")</f>
        <v/>
      </c>
    </row>
    <row r="3881">
      <c r="A3881" s="2" t="n"/>
      <c r="B3881">
        <f>LOWER(TRIM(A3881))</f>
        <v/>
      </c>
      <c r="C3881">
        <f>IF(B3881="","",IFERROR(INDEX('Bad Patterns'!$A$2:$A$120,MATCH(1,INDEX(--ISNUMBER(SEARCH('Bad Patterns'!$A$2:$A$120,B3881)),0),0)),""))</f>
        <v/>
      </c>
      <c r="D3881">
        <f>IF(B3881="","",IF(C3881&lt;&gt;"","REMOVE","KEEP"))</f>
        <v/>
      </c>
      <c r="E3881">
        <f>IF(D3881&lt;&gt;"KEEP","",IF(RIGHT(B3881,10)="@gmail.com","Gmail",IF(OR(RIGHT(B3881,12)="@outlook.com",RIGHT(B3881,12)="@hotmail.com",RIGHT(B3881,9)="@live.com"),"Outlook","Domain")))</f>
        <v/>
      </c>
      <c r="F3881">
        <f>IF(B3881="","",IFERROR(RIGHT(B3881,LEN(B3881)-FIND("@",B3881)),""))</f>
        <v/>
      </c>
      <c r="G3881">
        <f>IF(D3881="KEEP",COUNTIF($D$2:D3881,"KEEP"),"")</f>
        <v/>
      </c>
      <c r="H3881">
        <f>IF(D3881="REMOVE",COUNTIF($D$2:D3881,"REMOVE"),"")</f>
        <v/>
      </c>
      <c r="I3881">
        <f>IF(E3881="Gmail",COUNTIF($E$2:E3881,"Gmail"),"")</f>
        <v/>
      </c>
      <c r="J3881">
        <f>IF(E3881="Outlook",COUNTIF($E$2:E3881,"Outlook"),"")</f>
        <v/>
      </c>
      <c r="K3881">
        <f>IF(E3881="Domain",COUNTIF($E$2:E3881,"Domain"),"")</f>
        <v/>
      </c>
    </row>
    <row r="3882">
      <c r="A3882" s="2" t="n"/>
      <c r="B3882">
        <f>LOWER(TRIM(A3882))</f>
        <v/>
      </c>
      <c r="C3882">
        <f>IF(B3882="","",IFERROR(INDEX('Bad Patterns'!$A$2:$A$120,MATCH(1,INDEX(--ISNUMBER(SEARCH('Bad Patterns'!$A$2:$A$120,B3882)),0),0)),""))</f>
        <v/>
      </c>
      <c r="D3882">
        <f>IF(B3882="","",IF(C3882&lt;&gt;"","REMOVE","KEEP"))</f>
        <v/>
      </c>
      <c r="E3882">
        <f>IF(D3882&lt;&gt;"KEEP","",IF(RIGHT(B3882,10)="@gmail.com","Gmail",IF(OR(RIGHT(B3882,12)="@outlook.com",RIGHT(B3882,12)="@hotmail.com",RIGHT(B3882,9)="@live.com"),"Outlook","Domain")))</f>
        <v/>
      </c>
      <c r="F3882">
        <f>IF(B3882="","",IFERROR(RIGHT(B3882,LEN(B3882)-FIND("@",B3882)),""))</f>
        <v/>
      </c>
      <c r="G3882">
        <f>IF(D3882="KEEP",COUNTIF($D$2:D3882,"KEEP"),"")</f>
        <v/>
      </c>
      <c r="H3882">
        <f>IF(D3882="REMOVE",COUNTIF($D$2:D3882,"REMOVE"),"")</f>
        <v/>
      </c>
      <c r="I3882">
        <f>IF(E3882="Gmail",COUNTIF($E$2:E3882,"Gmail"),"")</f>
        <v/>
      </c>
      <c r="J3882">
        <f>IF(E3882="Outlook",COUNTIF($E$2:E3882,"Outlook"),"")</f>
        <v/>
      </c>
      <c r="K3882">
        <f>IF(E3882="Domain",COUNTIF($E$2:E3882,"Domain"),"")</f>
        <v/>
      </c>
    </row>
    <row r="3883">
      <c r="A3883" s="2" t="n"/>
      <c r="B3883">
        <f>LOWER(TRIM(A3883))</f>
        <v/>
      </c>
      <c r="C3883">
        <f>IF(B3883="","",IFERROR(INDEX('Bad Patterns'!$A$2:$A$120,MATCH(1,INDEX(--ISNUMBER(SEARCH('Bad Patterns'!$A$2:$A$120,B3883)),0),0)),""))</f>
        <v/>
      </c>
      <c r="D3883">
        <f>IF(B3883="","",IF(C3883&lt;&gt;"","REMOVE","KEEP"))</f>
        <v/>
      </c>
      <c r="E3883">
        <f>IF(D3883&lt;&gt;"KEEP","",IF(RIGHT(B3883,10)="@gmail.com","Gmail",IF(OR(RIGHT(B3883,12)="@outlook.com",RIGHT(B3883,12)="@hotmail.com",RIGHT(B3883,9)="@live.com"),"Outlook","Domain")))</f>
        <v/>
      </c>
      <c r="F3883">
        <f>IF(B3883="","",IFERROR(RIGHT(B3883,LEN(B3883)-FIND("@",B3883)),""))</f>
        <v/>
      </c>
      <c r="G3883">
        <f>IF(D3883="KEEP",COUNTIF($D$2:D3883,"KEEP"),"")</f>
        <v/>
      </c>
      <c r="H3883">
        <f>IF(D3883="REMOVE",COUNTIF($D$2:D3883,"REMOVE"),"")</f>
        <v/>
      </c>
      <c r="I3883">
        <f>IF(E3883="Gmail",COUNTIF($E$2:E3883,"Gmail"),"")</f>
        <v/>
      </c>
      <c r="J3883">
        <f>IF(E3883="Outlook",COUNTIF($E$2:E3883,"Outlook"),"")</f>
        <v/>
      </c>
      <c r="K3883">
        <f>IF(E3883="Domain",COUNTIF($E$2:E3883,"Domain"),"")</f>
        <v/>
      </c>
    </row>
    <row r="3884">
      <c r="A3884" s="2" t="n"/>
      <c r="B3884">
        <f>LOWER(TRIM(A3884))</f>
        <v/>
      </c>
      <c r="C3884">
        <f>IF(B3884="","",IFERROR(INDEX('Bad Patterns'!$A$2:$A$120,MATCH(1,INDEX(--ISNUMBER(SEARCH('Bad Patterns'!$A$2:$A$120,B3884)),0),0)),""))</f>
        <v/>
      </c>
      <c r="D3884">
        <f>IF(B3884="","",IF(C3884&lt;&gt;"","REMOVE","KEEP"))</f>
        <v/>
      </c>
      <c r="E3884">
        <f>IF(D3884&lt;&gt;"KEEP","",IF(RIGHT(B3884,10)="@gmail.com","Gmail",IF(OR(RIGHT(B3884,12)="@outlook.com",RIGHT(B3884,12)="@hotmail.com",RIGHT(B3884,9)="@live.com"),"Outlook","Domain")))</f>
        <v/>
      </c>
      <c r="F3884">
        <f>IF(B3884="","",IFERROR(RIGHT(B3884,LEN(B3884)-FIND("@",B3884)),""))</f>
        <v/>
      </c>
      <c r="G3884">
        <f>IF(D3884="KEEP",COUNTIF($D$2:D3884,"KEEP"),"")</f>
        <v/>
      </c>
      <c r="H3884">
        <f>IF(D3884="REMOVE",COUNTIF($D$2:D3884,"REMOVE"),"")</f>
        <v/>
      </c>
      <c r="I3884">
        <f>IF(E3884="Gmail",COUNTIF($E$2:E3884,"Gmail"),"")</f>
        <v/>
      </c>
      <c r="J3884">
        <f>IF(E3884="Outlook",COUNTIF($E$2:E3884,"Outlook"),"")</f>
        <v/>
      </c>
      <c r="K3884">
        <f>IF(E3884="Domain",COUNTIF($E$2:E3884,"Domain"),"")</f>
        <v/>
      </c>
    </row>
    <row r="3885">
      <c r="A3885" s="2" t="n"/>
      <c r="B3885">
        <f>LOWER(TRIM(A3885))</f>
        <v/>
      </c>
      <c r="C3885">
        <f>IF(B3885="","",IFERROR(INDEX('Bad Patterns'!$A$2:$A$120,MATCH(1,INDEX(--ISNUMBER(SEARCH('Bad Patterns'!$A$2:$A$120,B3885)),0),0)),""))</f>
        <v/>
      </c>
      <c r="D3885">
        <f>IF(B3885="","",IF(C3885&lt;&gt;"","REMOVE","KEEP"))</f>
        <v/>
      </c>
      <c r="E3885">
        <f>IF(D3885&lt;&gt;"KEEP","",IF(RIGHT(B3885,10)="@gmail.com","Gmail",IF(OR(RIGHT(B3885,12)="@outlook.com",RIGHT(B3885,12)="@hotmail.com",RIGHT(B3885,9)="@live.com"),"Outlook","Domain")))</f>
        <v/>
      </c>
      <c r="F3885">
        <f>IF(B3885="","",IFERROR(RIGHT(B3885,LEN(B3885)-FIND("@",B3885)),""))</f>
        <v/>
      </c>
      <c r="G3885">
        <f>IF(D3885="KEEP",COUNTIF($D$2:D3885,"KEEP"),"")</f>
        <v/>
      </c>
      <c r="H3885">
        <f>IF(D3885="REMOVE",COUNTIF($D$2:D3885,"REMOVE"),"")</f>
        <v/>
      </c>
      <c r="I3885">
        <f>IF(E3885="Gmail",COUNTIF($E$2:E3885,"Gmail"),"")</f>
        <v/>
      </c>
      <c r="J3885">
        <f>IF(E3885="Outlook",COUNTIF($E$2:E3885,"Outlook"),"")</f>
        <v/>
      </c>
      <c r="K3885">
        <f>IF(E3885="Domain",COUNTIF($E$2:E3885,"Domain"),"")</f>
        <v/>
      </c>
    </row>
    <row r="3886">
      <c r="A3886" s="2" t="n"/>
      <c r="B3886">
        <f>LOWER(TRIM(A3886))</f>
        <v/>
      </c>
      <c r="C3886">
        <f>IF(B3886="","",IFERROR(INDEX('Bad Patterns'!$A$2:$A$120,MATCH(1,INDEX(--ISNUMBER(SEARCH('Bad Patterns'!$A$2:$A$120,B3886)),0),0)),""))</f>
        <v/>
      </c>
      <c r="D3886">
        <f>IF(B3886="","",IF(C3886&lt;&gt;"","REMOVE","KEEP"))</f>
        <v/>
      </c>
      <c r="E3886">
        <f>IF(D3886&lt;&gt;"KEEP","",IF(RIGHT(B3886,10)="@gmail.com","Gmail",IF(OR(RIGHT(B3886,12)="@outlook.com",RIGHT(B3886,12)="@hotmail.com",RIGHT(B3886,9)="@live.com"),"Outlook","Domain")))</f>
        <v/>
      </c>
      <c r="F3886">
        <f>IF(B3886="","",IFERROR(RIGHT(B3886,LEN(B3886)-FIND("@",B3886)),""))</f>
        <v/>
      </c>
      <c r="G3886">
        <f>IF(D3886="KEEP",COUNTIF($D$2:D3886,"KEEP"),"")</f>
        <v/>
      </c>
      <c r="H3886">
        <f>IF(D3886="REMOVE",COUNTIF($D$2:D3886,"REMOVE"),"")</f>
        <v/>
      </c>
      <c r="I3886">
        <f>IF(E3886="Gmail",COUNTIF($E$2:E3886,"Gmail"),"")</f>
        <v/>
      </c>
      <c r="J3886">
        <f>IF(E3886="Outlook",COUNTIF($E$2:E3886,"Outlook"),"")</f>
        <v/>
      </c>
      <c r="K3886">
        <f>IF(E3886="Domain",COUNTIF($E$2:E3886,"Domain"),"")</f>
        <v/>
      </c>
    </row>
    <row r="3887">
      <c r="A3887" s="2" t="n"/>
      <c r="B3887">
        <f>LOWER(TRIM(A3887))</f>
        <v/>
      </c>
      <c r="C3887">
        <f>IF(B3887="","",IFERROR(INDEX('Bad Patterns'!$A$2:$A$120,MATCH(1,INDEX(--ISNUMBER(SEARCH('Bad Patterns'!$A$2:$A$120,B3887)),0),0)),""))</f>
        <v/>
      </c>
      <c r="D3887">
        <f>IF(B3887="","",IF(C3887&lt;&gt;"","REMOVE","KEEP"))</f>
        <v/>
      </c>
      <c r="E3887">
        <f>IF(D3887&lt;&gt;"KEEP","",IF(RIGHT(B3887,10)="@gmail.com","Gmail",IF(OR(RIGHT(B3887,12)="@outlook.com",RIGHT(B3887,12)="@hotmail.com",RIGHT(B3887,9)="@live.com"),"Outlook","Domain")))</f>
        <v/>
      </c>
      <c r="F3887">
        <f>IF(B3887="","",IFERROR(RIGHT(B3887,LEN(B3887)-FIND("@",B3887)),""))</f>
        <v/>
      </c>
      <c r="G3887">
        <f>IF(D3887="KEEP",COUNTIF($D$2:D3887,"KEEP"),"")</f>
        <v/>
      </c>
      <c r="H3887">
        <f>IF(D3887="REMOVE",COUNTIF($D$2:D3887,"REMOVE"),"")</f>
        <v/>
      </c>
      <c r="I3887">
        <f>IF(E3887="Gmail",COUNTIF($E$2:E3887,"Gmail"),"")</f>
        <v/>
      </c>
      <c r="J3887">
        <f>IF(E3887="Outlook",COUNTIF($E$2:E3887,"Outlook"),"")</f>
        <v/>
      </c>
      <c r="K3887">
        <f>IF(E3887="Domain",COUNTIF($E$2:E3887,"Domain"),"")</f>
        <v/>
      </c>
    </row>
    <row r="3888">
      <c r="A3888" s="2" t="n"/>
      <c r="B3888">
        <f>LOWER(TRIM(A3888))</f>
        <v/>
      </c>
      <c r="C3888">
        <f>IF(B3888="","",IFERROR(INDEX('Bad Patterns'!$A$2:$A$120,MATCH(1,INDEX(--ISNUMBER(SEARCH('Bad Patterns'!$A$2:$A$120,B3888)),0),0)),""))</f>
        <v/>
      </c>
      <c r="D3888">
        <f>IF(B3888="","",IF(C3888&lt;&gt;"","REMOVE","KEEP"))</f>
        <v/>
      </c>
      <c r="E3888">
        <f>IF(D3888&lt;&gt;"KEEP","",IF(RIGHT(B3888,10)="@gmail.com","Gmail",IF(OR(RIGHT(B3888,12)="@outlook.com",RIGHT(B3888,12)="@hotmail.com",RIGHT(B3888,9)="@live.com"),"Outlook","Domain")))</f>
        <v/>
      </c>
      <c r="F3888">
        <f>IF(B3888="","",IFERROR(RIGHT(B3888,LEN(B3888)-FIND("@",B3888)),""))</f>
        <v/>
      </c>
      <c r="G3888">
        <f>IF(D3888="KEEP",COUNTIF($D$2:D3888,"KEEP"),"")</f>
        <v/>
      </c>
      <c r="H3888">
        <f>IF(D3888="REMOVE",COUNTIF($D$2:D3888,"REMOVE"),"")</f>
        <v/>
      </c>
      <c r="I3888">
        <f>IF(E3888="Gmail",COUNTIF($E$2:E3888,"Gmail"),"")</f>
        <v/>
      </c>
      <c r="J3888">
        <f>IF(E3888="Outlook",COUNTIF($E$2:E3888,"Outlook"),"")</f>
        <v/>
      </c>
      <c r="K3888">
        <f>IF(E3888="Domain",COUNTIF($E$2:E3888,"Domain"),"")</f>
        <v/>
      </c>
    </row>
    <row r="3889">
      <c r="A3889" s="2" t="n"/>
      <c r="B3889">
        <f>LOWER(TRIM(A3889))</f>
        <v/>
      </c>
      <c r="C3889">
        <f>IF(B3889="","",IFERROR(INDEX('Bad Patterns'!$A$2:$A$120,MATCH(1,INDEX(--ISNUMBER(SEARCH('Bad Patterns'!$A$2:$A$120,B3889)),0),0)),""))</f>
        <v/>
      </c>
      <c r="D3889">
        <f>IF(B3889="","",IF(C3889&lt;&gt;"","REMOVE","KEEP"))</f>
        <v/>
      </c>
      <c r="E3889">
        <f>IF(D3889&lt;&gt;"KEEP","",IF(RIGHT(B3889,10)="@gmail.com","Gmail",IF(OR(RIGHT(B3889,12)="@outlook.com",RIGHT(B3889,12)="@hotmail.com",RIGHT(B3889,9)="@live.com"),"Outlook","Domain")))</f>
        <v/>
      </c>
      <c r="F3889">
        <f>IF(B3889="","",IFERROR(RIGHT(B3889,LEN(B3889)-FIND("@",B3889)),""))</f>
        <v/>
      </c>
      <c r="G3889">
        <f>IF(D3889="KEEP",COUNTIF($D$2:D3889,"KEEP"),"")</f>
        <v/>
      </c>
      <c r="H3889">
        <f>IF(D3889="REMOVE",COUNTIF($D$2:D3889,"REMOVE"),"")</f>
        <v/>
      </c>
      <c r="I3889">
        <f>IF(E3889="Gmail",COUNTIF($E$2:E3889,"Gmail"),"")</f>
        <v/>
      </c>
      <c r="J3889">
        <f>IF(E3889="Outlook",COUNTIF($E$2:E3889,"Outlook"),"")</f>
        <v/>
      </c>
      <c r="K3889">
        <f>IF(E3889="Domain",COUNTIF($E$2:E3889,"Domain"),"")</f>
        <v/>
      </c>
    </row>
    <row r="3890">
      <c r="A3890" s="2" t="n"/>
      <c r="B3890">
        <f>LOWER(TRIM(A3890))</f>
        <v/>
      </c>
      <c r="C3890">
        <f>IF(B3890="","",IFERROR(INDEX('Bad Patterns'!$A$2:$A$120,MATCH(1,INDEX(--ISNUMBER(SEARCH('Bad Patterns'!$A$2:$A$120,B3890)),0),0)),""))</f>
        <v/>
      </c>
      <c r="D3890">
        <f>IF(B3890="","",IF(C3890&lt;&gt;"","REMOVE","KEEP"))</f>
        <v/>
      </c>
      <c r="E3890">
        <f>IF(D3890&lt;&gt;"KEEP","",IF(RIGHT(B3890,10)="@gmail.com","Gmail",IF(OR(RIGHT(B3890,12)="@outlook.com",RIGHT(B3890,12)="@hotmail.com",RIGHT(B3890,9)="@live.com"),"Outlook","Domain")))</f>
        <v/>
      </c>
      <c r="F3890">
        <f>IF(B3890="","",IFERROR(RIGHT(B3890,LEN(B3890)-FIND("@",B3890)),""))</f>
        <v/>
      </c>
      <c r="G3890">
        <f>IF(D3890="KEEP",COUNTIF($D$2:D3890,"KEEP"),"")</f>
        <v/>
      </c>
      <c r="H3890">
        <f>IF(D3890="REMOVE",COUNTIF($D$2:D3890,"REMOVE"),"")</f>
        <v/>
      </c>
      <c r="I3890">
        <f>IF(E3890="Gmail",COUNTIF($E$2:E3890,"Gmail"),"")</f>
        <v/>
      </c>
      <c r="J3890">
        <f>IF(E3890="Outlook",COUNTIF($E$2:E3890,"Outlook"),"")</f>
        <v/>
      </c>
      <c r="K3890">
        <f>IF(E3890="Domain",COUNTIF($E$2:E3890,"Domain"),"")</f>
        <v/>
      </c>
    </row>
    <row r="3891">
      <c r="A3891" s="2" t="n"/>
      <c r="B3891">
        <f>LOWER(TRIM(A3891))</f>
        <v/>
      </c>
      <c r="C3891">
        <f>IF(B3891="","",IFERROR(INDEX('Bad Patterns'!$A$2:$A$120,MATCH(1,INDEX(--ISNUMBER(SEARCH('Bad Patterns'!$A$2:$A$120,B3891)),0),0)),""))</f>
        <v/>
      </c>
      <c r="D3891">
        <f>IF(B3891="","",IF(C3891&lt;&gt;"","REMOVE","KEEP"))</f>
        <v/>
      </c>
      <c r="E3891">
        <f>IF(D3891&lt;&gt;"KEEP","",IF(RIGHT(B3891,10)="@gmail.com","Gmail",IF(OR(RIGHT(B3891,12)="@outlook.com",RIGHT(B3891,12)="@hotmail.com",RIGHT(B3891,9)="@live.com"),"Outlook","Domain")))</f>
        <v/>
      </c>
      <c r="F3891">
        <f>IF(B3891="","",IFERROR(RIGHT(B3891,LEN(B3891)-FIND("@",B3891)),""))</f>
        <v/>
      </c>
      <c r="G3891">
        <f>IF(D3891="KEEP",COUNTIF($D$2:D3891,"KEEP"),"")</f>
        <v/>
      </c>
      <c r="H3891">
        <f>IF(D3891="REMOVE",COUNTIF($D$2:D3891,"REMOVE"),"")</f>
        <v/>
      </c>
      <c r="I3891">
        <f>IF(E3891="Gmail",COUNTIF($E$2:E3891,"Gmail"),"")</f>
        <v/>
      </c>
      <c r="J3891">
        <f>IF(E3891="Outlook",COUNTIF($E$2:E3891,"Outlook"),"")</f>
        <v/>
      </c>
      <c r="K3891">
        <f>IF(E3891="Domain",COUNTIF($E$2:E3891,"Domain"),"")</f>
        <v/>
      </c>
    </row>
    <row r="3892">
      <c r="A3892" s="2" t="n"/>
      <c r="B3892">
        <f>LOWER(TRIM(A3892))</f>
        <v/>
      </c>
      <c r="C3892">
        <f>IF(B3892="","",IFERROR(INDEX('Bad Patterns'!$A$2:$A$120,MATCH(1,INDEX(--ISNUMBER(SEARCH('Bad Patterns'!$A$2:$A$120,B3892)),0),0)),""))</f>
        <v/>
      </c>
      <c r="D3892">
        <f>IF(B3892="","",IF(C3892&lt;&gt;"","REMOVE","KEEP"))</f>
        <v/>
      </c>
      <c r="E3892">
        <f>IF(D3892&lt;&gt;"KEEP","",IF(RIGHT(B3892,10)="@gmail.com","Gmail",IF(OR(RIGHT(B3892,12)="@outlook.com",RIGHT(B3892,12)="@hotmail.com",RIGHT(B3892,9)="@live.com"),"Outlook","Domain")))</f>
        <v/>
      </c>
      <c r="F3892">
        <f>IF(B3892="","",IFERROR(RIGHT(B3892,LEN(B3892)-FIND("@",B3892)),""))</f>
        <v/>
      </c>
      <c r="G3892">
        <f>IF(D3892="KEEP",COUNTIF($D$2:D3892,"KEEP"),"")</f>
        <v/>
      </c>
      <c r="H3892">
        <f>IF(D3892="REMOVE",COUNTIF($D$2:D3892,"REMOVE"),"")</f>
        <v/>
      </c>
      <c r="I3892">
        <f>IF(E3892="Gmail",COUNTIF($E$2:E3892,"Gmail"),"")</f>
        <v/>
      </c>
      <c r="J3892">
        <f>IF(E3892="Outlook",COUNTIF($E$2:E3892,"Outlook"),"")</f>
        <v/>
      </c>
      <c r="K3892">
        <f>IF(E3892="Domain",COUNTIF($E$2:E3892,"Domain"),"")</f>
        <v/>
      </c>
    </row>
    <row r="3893">
      <c r="A3893" s="2" t="n"/>
      <c r="B3893">
        <f>LOWER(TRIM(A3893))</f>
        <v/>
      </c>
      <c r="C3893">
        <f>IF(B3893="","",IFERROR(INDEX('Bad Patterns'!$A$2:$A$120,MATCH(1,INDEX(--ISNUMBER(SEARCH('Bad Patterns'!$A$2:$A$120,B3893)),0),0)),""))</f>
        <v/>
      </c>
      <c r="D3893">
        <f>IF(B3893="","",IF(C3893&lt;&gt;"","REMOVE","KEEP"))</f>
        <v/>
      </c>
      <c r="E3893">
        <f>IF(D3893&lt;&gt;"KEEP","",IF(RIGHT(B3893,10)="@gmail.com","Gmail",IF(OR(RIGHT(B3893,12)="@outlook.com",RIGHT(B3893,12)="@hotmail.com",RIGHT(B3893,9)="@live.com"),"Outlook","Domain")))</f>
        <v/>
      </c>
      <c r="F3893">
        <f>IF(B3893="","",IFERROR(RIGHT(B3893,LEN(B3893)-FIND("@",B3893)),""))</f>
        <v/>
      </c>
      <c r="G3893">
        <f>IF(D3893="KEEP",COUNTIF($D$2:D3893,"KEEP"),"")</f>
        <v/>
      </c>
      <c r="H3893">
        <f>IF(D3893="REMOVE",COUNTIF($D$2:D3893,"REMOVE"),"")</f>
        <v/>
      </c>
      <c r="I3893">
        <f>IF(E3893="Gmail",COUNTIF($E$2:E3893,"Gmail"),"")</f>
        <v/>
      </c>
      <c r="J3893">
        <f>IF(E3893="Outlook",COUNTIF($E$2:E3893,"Outlook"),"")</f>
        <v/>
      </c>
      <c r="K3893">
        <f>IF(E3893="Domain",COUNTIF($E$2:E3893,"Domain"),"")</f>
        <v/>
      </c>
    </row>
    <row r="3894">
      <c r="A3894" s="2" t="n"/>
      <c r="B3894">
        <f>LOWER(TRIM(A3894))</f>
        <v/>
      </c>
      <c r="C3894">
        <f>IF(B3894="","",IFERROR(INDEX('Bad Patterns'!$A$2:$A$120,MATCH(1,INDEX(--ISNUMBER(SEARCH('Bad Patterns'!$A$2:$A$120,B3894)),0),0)),""))</f>
        <v/>
      </c>
      <c r="D3894">
        <f>IF(B3894="","",IF(C3894&lt;&gt;"","REMOVE","KEEP"))</f>
        <v/>
      </c>
      <c r="E3894">
        <f>IF(D3894&lt;&gt;"KEEP","",IF(RIGHT(B3894,10)="@gmail.com","Gmail",IF(OR(RIGHT(B3894,12)="@outlook.com",RIGHT(B3894,12)="@hotmail.com",RIGHT(B3894,9)="@live.com"),"Outlook","Domain")))</f>
        <v/>
      </c>
      <c r="F3894">
        <f>IF(B3894="","",IFERROR(RIGHT(B3894,LEN(B3894)-FIND("@",B3894)),""))</f>
        <v/>
      </c>
      <c r="G3894">
        <f>IF(D3894="KEEP",COUNTIF($D$2:D3894,"KEEP"),"")</f>
        <v/>
      </c>
      <c r="H3894">
        <f>IF(D3894="REMOVE",COUNTIF($D$2:D3894,"REMOVE"),"")</f>
        <v/>
      </c>
      <c r="I3894">
        <f>IF(E3894="Gmail",COUNTIF($E$2:E3894,"Gmail"),"")</f>
        <v/>
      </c>
      <c r="J3894">
        <f>IF(E3894="Outlook",COUNTIF($E$2:E3894,"Outlook"),"")</f>
        <v/>
      </c>
      <c r="K3894">
        <f>IF(E3894="Domain",COUNTIF($E$2:E3894,"Domain"),"")</f>
        <v/>
      </c>
    </row>
    <row r="3895">
      <c r="A3895" s="2" t="n"/>
      <c r="B3895">
        <f>LOWER(TRIM(A3895))</f>
        <v/>
      </c>
      <c r="C3895">
        <f>IF(B3895="","",IFERROR(INDEX('Bad Patterns'!$A$2:$A$120,MATCH(1,INDEX(--ISNUMBER(SEARCH('Bad Patterns'!$A$2:$A$120,B3895)),0),0)),""))</f>
        <v/>
      </c>
      <c r="D3895">
        <f>IF(B3895="","",IF(C3895&lt;&gt;"","REMOVE","KEEP"))</f>
        <v/>
      </c>
      <c r="E3895">
        <f>IF(D3895&lt;&gt;"KEEP","",IF(RIGHT(B3895,10)="@gmail.com","Gmail",IF(OR(RIGHT(B3895,12)="@outlook.com",RIGHT(B3895,12)="@hotmail.com",RIGHT(B3895,9)="@live.com"),"Outlook","Domain")))</f>
        <v/>
      </c>
      <c r="F3895">
        <f>IF(B3895="","",IFERROR(RIGHT(B3895,LEN(B3895)-FIND("@",B3895)),""))</f>
        <v/>
      </c>
      <c r="G3895">
        <f>IF(D3895="KEEP",COUNTIF($D$2:D3895,"KEEP"),"")</f>
        <v/>
      </c>
      <c r="H3895">
        <f>IF(D3895="REMOVE",COUNTIF($D$2:D3895,"REMOVE"),"")</f>
        <v/>
      </c>
      <c r="I3895">
        <f>IF(E3895="Gmail",COUNTIF($E$2:E3895,"Gmail"),"")</f>
        <v/>
      </c>
      <c r="J3895">
        <f>IF(E3895="Outlook",COUNTIF($E$2:E3895,"Outlook"),"")</f>
        <v/>
      </c>
      <c r="K3895">
        <f>IF(E3895="Domain",COUNTIF($E$2:E3895,"Domain"),"")</f>
        <v/>
      </c>
    </row>
    <row r="3896">
      <c r="A3896" s="2" t="n"/>
      <c r="B3896">
        <f>LOWER(TRIM(A3896))</f>
        <v/>
      </c>
      <c r="C3896">
        <f>IF(B3896="","",IFERROR(INDEX('Bad Patterns'!$A$2:$A$120,MATCH(1,INDEX(--ISNUMBER(SEARCH('Bad Patterns'!$A$2:$A$120,B3896)),0),0)),""))</f>
        <v/>
      </c>
      <c r="D3896">
        <f>IF(B3896="","",IF(C3896&lt;&gt;"","REMOVE","KEEP"))</f>
        <v/>
      </c>
      <c r="E3896">
        <f>IF(D3896&lt;&gt;"KEEP","",IF(RIGHT(B3896,10)="@gmail.com","Gmail",IF(OR(RIGHT(B3896,12)="@outlook.com",RIGHT(B3896,12)="@hotmail.com",RIGHT(B3896,9)="@live.com"),"Outlook","Domain")))</f>
        <v/>
      </c>
      <c r="F3896">
        <f>IF(B3896="","",IFERROR(RIGHT(B3896,LEN(B3896)-FIND("@",B3896)),""))</f>
        <v/>
      </c>
      <c r="G3896">
        <f>IF(D3896="KEEP",COUNTIF($D$2:D3896,"KEEP"),"")</f>
        <v/>
      </c>
      <c r="H3896">
        <f>IF(D3896="REMOVE",COUNTIF($D$2:D3896,"REMOVE"),"")</f>
        <v/>
      </c>
      <c r="I3896">
        <f>IF(E3896="Gmail",COUNTIF($E$2:E3896,"Gmail"),"")</f>
        <v/>
      </c>
      <c r="J3896">
        <f>IF(E3896="Outlook",COUNTIF($E$2:E3896,"Outlook"),"")</f>
        <v/>
      </c>
      <c r="K3896">
        <f>IF(E3896="Domain",COUNTIF($E$2:E3896,"Domain"),"")</f>
        <v/>
      </c>
    </row>
    <row r="3897">
      <c r="A3897" s="2" t="n"/>
      <c r="B3897">
        <f>LOWER(TRIM(A3897))</f>
        <v/>
      </c>
      <c r="C3897">
        <f>IF(B3897="","",IFERROR(INDEX('Bad Patterns'!$A$2:$A$120,MATCH(1,INDEX(--ISNUMBER(SEARCH('Bad Patterns'!$A$2:$A$120,B3897)),0),0)),""))</f>
        <v/>
      </c>
      <c r="D3897">
        <f>IF(B3897="","",IF(C3897&lt;&gt;"","REMOVE","KEEP"))</f>
        <v/>
      </c>
      <c r="E3897">
        <f>IF(D3897&lt;&gt;"KEEP","",IF(RIGHT(B3897,10)="@gmail.com","Gmail",IF(OR(RIGHT(B3897,12)="@outlook.com",RIGHT(B3897,12)="@hotmail.com",RIGHT(B3897,9)="@live.com"),"Outlook","Domain")))</f>
        <v/>
      </c>
      <c r="F3897">
        <f>IF(B3897="","",IFERROR(RIGHT(B3897,LEN(B3897)-FIND("@",B3897)),""))</f>
        <v/>
      </c>
      <c r="G3897">
        <f>IF(D3897="KEEP",COUNTIF($D$2:D3897,"KEEP"),"")</f>
        <v/>
      </c>
      <c r="H3897">
        <f>IF(D3897="REMOVE",COUNTIF($D$2:D3897,"REMOVE"),"")</f>
        <v/>
      </c>
      <c r="I3897">
        <f>IF(E3897="Gmail",COUNTIF($E$2:E3897,"Gmail"),"")</f>
        <v/>
      </c>
      <c r="J3897">
        <f>IF(E3897="Outlook",COUNTIF($E$2:E3897,"Outlook"),"")</f>
        <v/>
      </c>
      <c r="K3897">
        <f>IF(E3897="Domain",COUNTIF($E$2:E3897,"Domain"),"")</f>
        <v/>
      </c>
    </row>
    <row r="3898">
      <c r="A3898" s="2" t="n"/>
      <c r="B3898">
        <f>LOWER(TRIM(A3898))</f>
        <v/>
      </c>
      <c r="C3898">
        <f>IF(B3898="","",IFERROR(INDEX('Bad Patterns'!$A$2:$A$120,MATCH(1,INDEX(--ISNUMBER(SEARCH('Bad Patterns'!$A$2:$A$120,B3898)),0),0)),""))</f>
        <v/>
      </c>
      <c r="D3898">
        <f>IF(B3898="","",IF(C3898&lt;&gt;"","REMOVE","KEEP"))</f>
        <v/>
      </c>
      <c r="E3898">
        <f>IF(D3898&lt;&gt;"KEEP","",IF(RIGHT(B3898,10)="@gmail.com","Gmail",IF(OR(RIGHT(B3898,12)="@outlook.com",RIGHT(B3898,12)="@hotmail.com",RIGHT(B3898,9)="@live.com"),"Outlook","Domain")))</f>
        <v/>
      </c>
      <c r="F3898">
        <f>IF(B3898="","",IFERROR(RIGHT(B3898,LEN(B3898)-FIND("@",B3898)),""))</f>
        <v/>
      </c>
      <c r="G3898">
        <f>IF(D3898="KEEP",COUNTIF($D$2:D3898,"KEEP"),"")</f>
        <v/>
      </c>
      <c r="H3898">
        <f>IF(D3898="REMOVE",COUNTIF($D$2:D3898,"REMOVE"),"")</f>
        <v/>
      </c>
      <c r="I3898">
        <f>IF(E3898="Gmail",COUNTIF($E$2:E3898,"Gmail"),"")</f>
        <v/>
      </c>
      <c r="J3898">
        <f>IF(E3898="Outlook",COUNTIF($E$2:E3898,"Outlook"),"")</f>
        <v/>
      </c>
      <c r="K3898">
        <f>IF(E3898="Domain",COUNTIF($E$2:E3898,"Domain"),"")</f>
        <v/>
      </c>
    </row>
    <row r="3899">
      <c r="A3899" s="2" t="n"/>
      <c r="B3899">
        <f>LOWER(TRIM(A3899))</f>
        <v/>
      </c>
      <c r="C3899">
        <f>IF(B3899="","",IFERROR(INDEX('Bad Patterns'!$A$2:$A$120,MATCH(1,INDEX(--ISNUMBER(SEARCH('Bad Patterns'!$A$2:$A$120,B3899)),0),0)),""))</f>
        <v/>
      </c>
      <c r="D3899">
        <f>IF(B3899="","",IF(C3899&lt;&gt;"","REMOVE","KEEP"))</f>
        <v/>
      </c>
      <c r="E3899">
        <f>IF(D3899&lt;&gt;"KEEP","",IF(RIGHT(B3899,10)="@gmail.com","Gmail",IF(OR(RIGHT(B3899,12)="@outlook.com",RIGHT(B3899,12)="@hotmail.com",RIGHT(B3899,9)="@live.com"),"Outlook","Domain")))</f>
        <v/>
      </c>
      <c r="F3899">
        <f>IF(B3899="","",IFERROR(RIGHT(B3899,LEN(B3899)-FIND("@",B3899)),""))</f>
        <v/>
      </c>
      <c r="G3899">
        <f>IF(D3899="KEEP",COUNTIF($D$2:D3899,"KEEP"),"")</f>
        <v/>
      </c>
      <c r="H3899">
        <f>IF(D3899="REMOVE",COUNTIF($D$2:D3899,"REMOVE"),"")</f>
        <v/>
      </c>
      <c r="I3899">
        <f>IF(E3899="Gmail",COUNTIF($E$2:E3899,"Gmail"),"")</f>
        <v/>
      </c>
      <c r="J3899">
        <f>IF(E3899="Outlook",COUNTIF($E$2:E3899,"Outlook"),"")</f>
        <v/>
      </c>
      <c r="K3899">
        <f>IF(E3899="Domain",COUNTIF($E$2:E3899,"Domain"),"")</f>
        <v/>
      </c>
    </row>
    <row r="3900">
      <c r="A3900" s="2" t="n"/>
      <c r="B3900">
        <f>LOWER(TRIM(A3900))</f>
        <v/>
      </c>
      <c r="C3900">
        <f>IF(B3900="","",IFERROR(INDEX('Bad Patterns'!$A$2:$A$120,MATCH(1,INDEX(--ISNUMBER(SEARCH('Bad Patterns'!$A$2:$A$120,B3900)),0),0)),""))</f>
        <v/>
      </c>
      <c r="D3900">
        <f>IF(B3900="","",IF(C3900&lt;&gt;"","REMOVE","KEEP"))</f>
        <v/>
      </c>
      <c r="E3900">
        <f>IF(D3900&lt;&gt;"KEEP","",IF(RIGHT(B3900,10)="@gmail.com","Gmail",IF(OR(RIGHT(B3900,12)="@outlook.com",RIGHT(B3900,12)="@hotmail.com",RIGHT(B3900,9)="@live.com"),"Outlook","Domain")))</f>
        <v/>
      </c>
      <c r="F3900">
        <f>IF(B3900="","",IFERROR(RIGHT(B3900,LEN(B3900)-FIND("@",B3900)),""))</f>
        <v/>
      </c>
      <c r="G3900">
        <f>IF(D3900="KEEP",COUNTIF($D$2:D3900,"KEEP"),"")</f>
        <v/>
      </c>
      <c r="H3900">
        <f>IF(D3900="REMOVE",COUNTIF($D$2:D3900,"REMOVE"),"")</f>
        <v/>
      </c>
      <c r="I3900">
        <f>IF(E3900="Gmail",COUNTIF($E$2:E3900,"Gmail"),"")</f>
        <v/>
      </c>
      <c r="J3900">
        <f>IF(E3900="Outlook",COUNTIF($E$2:E3900,"Outlook"),"")</f>
        <v/>
      </c>
      <c r="K3900">
        <f>IF(E3900="Domain",COUNTIF($E$2:E3900,"Domain"),"")</f>
        <v/>
      </c>
    </row>
    <row r="3901">
      <c r="A3901" s="2" t="n"/>
      <c r="B3901">
        <f>LOWER(TRIM(A3901))</f>
        <v/>
      </c>
      <c r="C3901">
        <f>IF(B3901="","",IFERROR(INDEX('Bad Patterns'!$A$2:$A$120,MATCH(1,INDEX(--ISNUMBER(SEARCH('Bad Patterns'!$A$2:$A$120,B3901)),0),0)),""))</f>
        <v/>
      </c>
      <c r="D3901">
        <f>IF(B3901="","",IF(C3901&lt;&gt;"","REMOVE","KEEP"))</f>
        <v/>
      </c>
      <c r="E3901">
        <f>IF(D3901&lt;&gt;"KEEP","",IF(RIGHT(B3901,10)="@gmail.com","Gmail",IF(OR(RIGHT(B3901,12)="@outlook.com",RIGHT(B3901,12)="@hotmail.com",RIGHT(B3901,9)="@live.com"),"Outlook","Domain")))</f>
        <v/>
      </c>
      <c r="F3901">
        <f>IF(B3901="","",IFERROR(RIGHT(B3901,LEN(B3901)-FIND("@",B3901)),""))</f>
        <v/>
      </c>
      <c r="G3901">
        <f>IF(D3901="KEEP",COUNTIF($D$2:D3901,"KEEP"),"")</f>
        <v/>
      </c>
      <c r="H3901">
        <f>IF(D3901="REMOVE",COUNTIF($D$2:D3901,"REMOVE"),"")</f>
        <v/>
      </c>
      <c r="I3901">
        <f>IF(E3901="Gmail",COUNTIF($E$2:E3901,"Gmail"),"")</f>
        <v/>
      </c>
      <c r="J3901">
        <f>IF(E3901="Outlook",COUNTIF($E$2:E3901,"Outlook"),"")</f>
        <v/>
      </c>
      <c r="K3901">
        <f>IF(E3901="Domain",COUNTIF($E$2:E3901,"Domain"),"")</f>
        <v/>
      </c>
    </row>
    <row r="3902">
      <c r="A3902" s="2" t="n"/>
      <c r="B3902">
        <f>LOWER(TRIM(A3902))</f>
        <v/>
      </c>
      <c r="C3902">
        <f>IF(B3902="","",IFERROR(INDEX('Bad Patterns'!$A$2:$A$120,MATCH(1,INDEX(--ISNUMBER(SEARCH('Bad Patterns'!$A$2:$A$120,B3902)),0),0)),""))</f>
        <v/>
      </c>
      <c r="D3902">
        <f>IF(B3902="","",IF(C3902&lt;&gt;"","REMOVE","KEEP"))</f>
        <v/>
      </c>
      <c r="E3902">
        <f>IF(D3902&lt;&gt;"KEEP","",IF(RIGHT(B3902,10)="@gmail.com","Gmail",IF(OR(RIGHT(B3902,12)="@outlook.com",RIGHT(B3902,12)="@hotmail.com",RIGHT(B3902,9)="@live.com"),"Outlook","Domain")))</f>
        <v/>
      </c>
      <c r="F3902">
        <f>IF(B3902="","",IFERROR(RIGHT(B3902,LEN(B3902)-FIND("@",B3902)),""))</f>
        <v/>
      </c>
      <c r="G3902">
        <f>IF(D3902="KEEP",COUNTIF($D$2:D3902,"KEEP"),"")</f>
        <v/>
      </c>
      <c r="H3902">
        <f>IF(D3902="REMOVE",COUNTIF($D$2:D3902,"REMOVE"),"")</f>
        <v/>
      </c>
      <c r="I3902">
        <f>IF(E3902="Gmail",COUNTIF($E$2:E3902,"Gmail"),"")</f>
        <v/>
      </c>
      <c r="J3902">
        <f>IF(E3902="Outlook",COUNTIF($E$2:E3902,"Outlook"),"")</f>
        <v/>
      </c>
      <c r="K3902">
        <f>IF(E3902="Domain",COUNTIF($E$2:E3902,"Domain"),"")</f>
        <v/>
      </c>
    </row>
    <row r="3903">
      <c r="A3903" s="2" t="n"/>
      <c r="B3903">
        <f>LOWER(TRIM(A3903))</f>
        <v/>
      </c>
      <c r="C3903">
        <f>IF(B3903="","",IFERROR(INDEX('Bad Patterns'!$A$2:$A$120,MATCH(1,INDEX(--ISNUMBER(SEARCH('Bad Patterns'!$A$2:$A$120,B3903)),0),0)),""))</f>
        <v/>
      </c>
      <c r="D3903">
        <f>IF(B3903="","",IF(C3903&lt;&gt;"","REMOVE","KEEP"))</f>
        <v/>
      </c>
      <c r="E3903">
        <f>IF(D3903&lt;&gt;"KEEP","",IF(RIGHT(B3903,10)="@gmail.com","Gmail",IF(OR(RIGHT(B3903,12)="@outlook.com",RIGHT(B3903,12)="@hotmail.com",RIGHT(B3903,9)="@live.com"),"Outlook","Domain")))</f>
        <v/>
      </c>
      <c r="F3903">
        <f>IF(B3903="","",IFERROR(RIGHT(B3903,LEN(B3903)-FIND("@",B3903)),""))</f>
        <v/>
      </c>
      <c r="G3903">
        <f>IF(D3903="KEEP",COUNTIF($D$2:D3903,"KEEP"),"")</f>
        <v/>
      </c>
      <c r="H3903">
        <f>IF(D3903="REMOVE",COUNTIF($D$2:D3903,"REMOVE"),"")</f>
        <v/>
      </c>
      <c r="I3903">
        <f>IF(E3903="Gmail",COUNTIF($E$2:E3903,"Gmail"),"")</f>
        <v/>
      </c>
      <c r="J3903">
        <f>IF(E3903="Outlook",COUNTIF($E$2:E3903,"Outlook"),"")</f>
        <v/>
      </c>
      <c r="K3903">
        <f>IF(E3903="Domain",COUNTIF($E$2:E3903,"Domain"),"")</f>
        <v/>
      </c>
    </row>
    <row r="3904">
      <c r="A3904" s="2" t="n"/>
      <c r="B3904">
        <f>LOWER(TRIM(A3904))</f>
        <v/>
      </c>
      <c r="C3904">
        <f>IF(B3904="","",IFERROR(INDEX('Bad Patterns'!$A$2:$A$120,MATCH(1,INDEX(--ISNUMBER(SEARCH('Bad Patterns'!$A$2:$A$120,B3904)),0),0)),""))</f>
        <v/>
      </c>
      <c r="D3904">
        <f>IF(B3904="","",IF(C3904&lt;&gt;"","REMOVE","KEEP"))</f>
        <v/>
      </c>
      <c r="E3904">
        <f>IF(D3904&lt;&gt;"KEEP","",IF(RIGHT(B3904,10)="@gmail.com","Gmail",IF(OR(RIGHT(B3904,12)="@outlook.com",RIGHT(B3904,12)="@hotmail.com",RIGHT(B3904,9)="@live.com"),"Outlook","Domain")))</f>
        <v/>
      </c>
      <c r="F3904">
        <f>IF(B3904="","",IFERROR(RIGHT(B3904,LEN(B3904)-FIND("@",B3904)),""))</f>
        <v/>
      </c>
      <c r="G3904">
        <f>IF(D3904="KEEP",COUNTIF($D$2:D3904,"KEEP"),"")</f>
        <v/>
      </c>
      <c r="H3904">
        <f>IF(D3904="REMOVE",COUNTIF($D$2:D3904,"REMOVE"),"")</f>
        <v/>
      </c>
      <c r="I3904">
        <f>IF(E3904="Gmail",COUNTIF($E$2:E3904,"Gmail"),"")</f>
        <v/>
      </c>
      <c r="J3904">
        <f>IF(E3904="Outlook",COUNTIF($E$2:E3904,"Outlook"),"")</f>
        <v/>
      </c>
      <c r="K3904">
        <f>IF(E3904="Domain",COUNTIF($E$2:E3904,"Domain"),"")</f>
        <v/>
      </c>
    </row>
    <row r="3905">
      <c r="A3905" s="2" t="n"/>
      <c r="B3905">
        <f>LOWER(TRIM(A3905))</f>
        <v/>
      </c>
      <c r="C3905">
        <f>IF(B3905="","",IFERROR(INDEX('Bad Patterns'!$A$2:$A$120,MATCH(1,INDEX(--ISNUMBER(SEARCH('Bad Patterns'!$A$2:$A$120,B3905)),0),0)),""))</f>
        <v/>
      </c>
      <c r="D3905">
        <f>IF(B3905="","",IF(C3905&lt;&gt;"","REMOVE","KEEP"))</f>
        <v/>
      </c>
      <c r="E3905">
        <f>IF(D3905&lt;&gt;"KEEP","",IF(RIGHT(B3905,10)="@gmail.com","Gmail",IF(OR(RIGHT(B3905,12)="@outlook.com",RIGHT(B3905,12)="@hotmail.com",RIGHT(B3905,9)="@live.com"),"Outlook","Domain")))</f>
        <v/>
      </c>
      <c r="F3905">
        <f>IF(B3905="","",IFERROR(RIGHT(B3905,LEN(B3905)-FIND("@",B3905)),""))</f>
        <v/>
      </c>
      <c r="G3905">
        <f>IF(D3905="KEEP",COUNTIF($D$2:D3905,"KEEP"),"")</f>
        <v/>
      </c>
      <c r="H3905">
        <f>IF(D3905="REMOVE",COUNTIF($D$2:D3905,"REMOVE"),"")</f>
        <v/>
      </c>
      <c r="I3905">
        <f>IF(E3905="Gmail",COUNTIF($E$2:E3905,"Gmail"),"")</f>
        <v/>
      </c>
      <c r="J3905">
        <f>IF(E3905="Outlook",COUNTIF($E$2:E3905,"Outlook"),"")</f>
        <v/>
      </c>
      <c r="K3905">
        <f>IF(E3905="Domain",COUNTIF($E$2:E3905,"Domain"),"")</f>
        <v/>
      </c>
    </row>
    <row r="3906">
      <c r="A3906" s="2" t="n"/>
      <c r="B3906">
        <f>LOWER(TRIM(A3906))</f>
        <v/>
      </c>
      <c r="C3906">
        <f>IF(B3906="","",IFERROR(INDEX('Bad Patterns'!$A$2:$A$120,MATCH(1,INDEX(--ISNUMBER(SEARCH('Bad Patterns'!$A$2:$A$120,B3906)),0),0)),""))</f>
        <v/>
      </c>
      <c r="D3906">
        <f>IF(B3906="","",IF(C3906&lt;&gt;"","REMOVE","KEEP"))</f>
        <v/>
      </c>
      <c r="E3906">
        <f>IF(D3906&lt;&gt;"KEEP","",IF(RIGHT(B3906,10)="@gmail.com","Gmail",IF(OR(RIGHT(B3906,12)="@outlook.com",RIGHT(B3906,12)="@hotmail.com",RIGHT(B3906,9)="@live.com"),"Outlook","Domain")))</f>
        <v/>
      </c>
      <c r="F3906">
        <f>IF(B3906="","",IFERROR(RIGHT(B3906,LEN(B3906)-FIND("@",B3906)),""))</f>
        <v/>
      </c>
      <c r="G3906">
        <f>IF(D3906="KEEP",COUNTIF($D$2:D3906,"KEEP"),"")</f>
        <v/>
      </c>
      <c r="H3906">
        <f>IF(D3906="REMOVE",COUNTIF($D$2:D3906,"REMOVE"),"")</f>
        <v/>
      </c>
      <c r="I3906">
        <f>IF(E3906="Gmail",COUNTIF($E$2:E3906,"Gmail"),"")</f>
        <v/>
      </c>
      <c r="J3906">
        <f>IF(E3906="Outlook",COUNTIF($E$2:E3906,"Outlook"),"")</f>
        <v/>
      </c>
      <c r="K3906">
        <f>IF(E3906="Domain",COUNTIF($E$2:E3906,"Domain"),"")</f>
        <v/>
      </c>
    </row>
    <row r="3907">
      <c r="A3907" s="2" t="n"/>
      <c r="B3907">
        <f>LOWER(TRIM(A3907))</f>
        <v/>
      </c>
      <c r="C3907">
        <f>IF(B3907="","",IFERROR(INDEX('Bad Patterns'!$A$2:$A$120,MATCH(1,INDEX(--ISNUMBER(SEARCH('Bad Patterns'!$A$2:$A$120,B3907)),0),0)),""))</f>
        <v/>
      </c>
      <c r="D3907">
        <f>IF(B3907="","",IF(C3907&lt;&gt;"","REMOVE","KEEP"))</f>
        <v/>
      </c>
      <c r="E3907">
        <f>IF(D3907&lt;&gt;"KEEP","",IF(RIGHT(B3907,10)="@gmail.com","Gmail",IF(OR(RIGHT(B3907,12)="@outlook.com",RIGHT(B3907,12)="@hotmail.com",RIGHT(B3907,9)="@live.com"),"Outlook","Domain")))</f>
        <v/>
      </c>
      <c r="F3907">
        <f>IF(B3907="","",IFERROR(RIGHT(B3907,LEN(B3907)-FIND("@",B3907)),""))</f>
        <v/>
      </c>
      <c r="G3907">
        <f>IF(D3907="KEEP",COUNTIF($D$2:D3907,"KEEP"),"")</f>
        <v/>
      </c>
      <c r="H3907">
        <f>IF(D3907="REMOVE",COUNTIF($D$2:D3907,"REMOVE"),"")</f>
        <v/>
      </c>
      <c r="I3907">
        <f>IF(E3907="Gmail",COUNTIF($E$2:E3907,"Gmail"),"")</f>
        <v/>
      </c>
      <c r="J3907">
        <f>IF(E3907="Outlook",COUNTIF($E$2:E3907,"Outlook"),"")</f>
        <v/>
      </c>
      <c r="K3907">
        <f>IF(E3907="Domain",COUNTIF($E$2:E3907,"Domain"),"")</f>
        <v/>
      </c>
    </row>
    <row r="3908">
      <c r="A3908" s="2" t="n"/>
      <c r="B3908">
        <f>LOWER(TRIM(A3908))</f>
        <v/>
      </c>
      <c r="C3908">
        <f>IF(B3908="","",IFERROR(INDEX('Bad Patterns'!$A$2:$A$120,MATCH(1,INDEX(--ISNUMBER(SEARCH('Bad Patterns'!$A$2:$A$120,B3908)),0),0)),""))</f>
        <v/>
      </c>
      <c r="D3908">
        <f>IF(B3908="","",IF(C3908&lt;&gt;"","REMOVE","KEEP"))</f>
        <v/>
      </c>
      <c r="E3908">
        <f>IF(D3908&lt;&gt;"KEEP","",IF(RIGHT(B3908,10)="@gmail.com","Gmail",IF(OR(RIGHT(B3908,12)="@outlook.com",RIGHT(B3908,12)="@hotmail.com",RIGHT(B3908,9)="@live.com"),"Outlook","Domain")))</f>
        <v/>
      </c>
      <c r="F3908">
        <f>IF(B3908="","",IFERROR(RIGHT(B3908,LEN(B3908)-FIND("@",B3908)),""))</f>
        <v/>
      </c>
      <c r="G3908">
        <f>IF(D3908="KEEP",COUNTIF($D$2:D3908,"KEEP"),"")</f>
        <v/>
      </c>
      <c r="H3908">
        <f>IF(D3908="REMOVE",COUNTIF($D$2:D3908,"REMOVE"),"")</f>
        <v/>
      </c>
      <c r="I3908">
        <f>IF(E3908="Gmail",COUNTIF($E$2:E3908,"Gmail"),"")</f>
        <v/>
      </c>
      <c r="J3908">
        <f>IF(E3908="Outlook",COUNTIF($E$2:E3908,"Outlook"),"")</f>
        <v/>
      </c>
      <c r="K3908">
        <f>IF(E3908="Domain",COUNTIF($E$2:E3908,"Domain"),"")</f>
        <v/>
      </c>
    </row>
    <row r="3909">
      <c r="A3909" s="2" t="n"/>
      <c r="B3909">
        <f>LOWER(TRIM(A3909))</f>
        <v/>
      </c>
      <c r="C3909">
        <f>IF(B3909="","",IFERROR(INDEX('Bad Patterns'!$A$2:$A$120,MATCH(1,INDEX(--ISNUMBER(SEARCH('Bad Patterns'!$A$2:$A$120,B3909)),0),0)),""))</f>
        <v/>
      </c>
      <c r="D3909">
        <f>IF(B3909="","",IF(C3909&lt;&gt;"","REMOVE","KEEP"))</f>
        <v/>
      </c>
      <c r="E3909">
        <f>IF(D3909&lt;&gt;"KEEP","",IF(RIGHT(B3909,10)="@gmail.com","Gmail",IF(OR(RIGHT(B3909,12)="@outlook.com",RIGHT(B3909,12)="@hotmail.com",RIGHT(B3909,9)="@live.com"),"Outlook","Domain")))</f>
        <v/>
      </c>
      <c r="F3909">
        <f>IF(B3909="","",IFERROR(RIGHT(B3909,LEN(B3909)-FIND("@",B3909)),""))</f>
        <v/>
      </c>
      <c r="G3909">
        <f>IF(D3909="KEEP",COUNTIF($D$2:D3909,"KEEP"),"")</f>
        <v/>
      </c>
      <c r="H3909">
        <f>IF(D3909="REMOVE",COUNTIF($D$2:D3909,"REMOVE"),"")</f>
        <v/>
      </c>
      <c r="I3909">
        <f>IF(E3909="Gmail",COUNTIF($E$2:E3909,"Gmail"),"")</f>
        <v/>
      </c>
      <c r="J3909">
        <f>IF(E3909="Outlook",COUNTIF($E$2:E3909,"Outlook"),"")</f>
        <v/>
      </c>
      <c r="K3909">
        <f>IF(E3909="Domain",COUNTIF($E$2:E3909,"Domain"),"")</f>
        <v/>
      </c>
    </row>
    <row r="3910">
      <c r="A3910" s="2" t="n"/>
      <c r="B3910">
        <f>LOWER(TRIM(A3910))</f>
        <v/>
      </c>
      <c r="C3910">
        <f>IF(B3910="","",IFERROR(INDEX('Bad Patterns'!$A$2:$A$120,MATCH(1,INDEX(--ISNUMBER(SEARCH('Bad Patterns'!$A$2:$A$120,B3910)),0),0)),""))</f>
        <v/>
      </c>
      <c r="D3910">
        <f>IF(B3910="","",IF(C3910&lt;&gt;"","REMOVE","KEEP"))</f>
        <v/>
      </c>
      <c r="E3910">
        <f>IF(D3910&lt;&gt;"KEEP","",IF(RIGHT(B3910,10)="@gmail.com","Gmail",IF(OR(RIGHT(B3910,12)="@outlook.com",RIGHT(B3910,12)="@hotmail.com",RIGHT(B3910,9)="@live.com"),"Outlook","Domain")))</f>
        <v/>
      </c>
      <c r="F3910">
        <f>IF(B3910="","",IFERROR(RIGHT(B3910,LEN(B3910)-FIND("@",B3910)),""))</f>
        <v/>
      </c>
      <c r="G3910">
        <f>IF(D3910="KEEP",COUNTIF($D$2:D3910,"KEEP"),"")</f>
        <v/>
      </c>
      <c r="H3910">
        <f>IF(D3910="REMOVE",COUNTIF($D$2:D3910,"REMOVE"),"")</f>
        <v/>
      </c>
      <c r="I3910">
        <f>IF(E3910="Gmail",COUNTIF($E$2:E3910,"Gmail"),"")</f>
        <v/>
      </c>
      <c r="J3910">
        <f>IF(E3910="Outlook",COUNTIF($E$2:E3910,"Outlook"),"")</f>
        <v/>
      </c>
      <c r="K3910">
        <f>IF(E3910="Domain",COUNTIF($E$2:E3910,"Domain"),"")</f>
        <v/>
      </c>
    </row>
    <row r="3911">
      <c r="A3911" s="2" t="n"/>
      <c r="B3911">
        <f>LOWER(TRIM(A3911))</f>
        <v/>
      </c>
      <c r="C3911">
        <f>IF(B3911="","",IFERROR(INDEX('Bad Patterns'!$A$2:$A$120,MATCH(1,INDEX(--ISNUMBER(SEARCH('Bad Patterns'!$A$2:$A$120,B3911)),0),0)),""))</f>
        <v/>
      </c>
      <c r="D3911">
        <f>IF(B3911="","",IF(C3911&lt;&gt;"","REMOVE","KEEP"))</f>
        <v/>
      </c>
      <c r="E3911">
        <f>IF(D3911&lt;&gt;"KEEP","",IF(RIGHT(B3911,10)="@gmail.com","Gmail",IF(OR(RIGHT(B3911,12)="@outlook.com",RIGHT(B3911,12)="@hotmail.com",RIGHT(B3911,9)="@live.com"),"Outlook","Domain")))</f>
        <v/>
      </c>
      <c r="F3911">
        <f>IF(B3911="","",IFERROR(RIGHT(B3911,LEN(B3911)-FIND("@",B3911)),""))</f>
        <v/>
      </c>
      <c r="G3911">
        <f>IF(D3911="KEEP",COUNTIF($D$2:D3911,"KEEP"),"")</f>
        <v/>
      </c>
      <c r="H3911">
        <f>IF(D3911="REMOVE",COUNTIF($D$2:D3911,"REMOVE"),"")</f>
        <v/>
      </c>
      <c r="I3911">
        <f>IF(E3911="Gmail",COUNTIF($E$2:E3911,"Gmail"),"")</f>
        <v/>
      </c>
      <c r="J3911">
        <f>IF(E3911="Outlook",COUNTIF($E$2:E3911,"Outlook"),"")</f>
        <v/>
      </c>
      <c r="K3911">
        <f>IF(E3911="Domain",COUNTIF($E$2:E3911,"Domain"),"")</f>
        <v/>
      </c>
    </row>
    <row r="3912">
      <c r="A3912" s="2" t="n"/>
      <c r="B3912">
        <f>LOWER(TRIM(A3912))</f>
        <v/>
      </c>
      <c r="C3912">
        <f>IF(B3912="","",IFERROR(INDEX('Bad Patterns'!$A$2:$A$120,MATCH(1,INDEX(--ISNUMBER(SEARCH('Bad Patterns'!$A$2:$A$120,B3912)),0),0)),""))</f>
        <v/>
      </c>
      <c r="D3912">
        <f>IF(B3912="","",IF(C3912&lt;&gt;"","REMOVE","KEEP"))</f>
        <v/>
      </c>
      <c r="E3912">
        <f>IF(D3912&lt;&gt;"KEEP","",IF(RIGHT(B3912,10)="@gmail.com","Gmail",IF(OR(RIGHT(B3912,12)="@outlook.com",RIGHT(B3912,12)="@hotmail.com",RIGHT(B3912,9)="@live.com"),"Outlook","Domain")))</f>
        <v/>
      </c>
      <c r="F3912">
        <f>IF(B3912="","",IFERROR(RIGHT(B3912,LEN(B3912)-FIND("@",B3912)),""))</f>
        <v/>
      </c>
      <c r="G3912">
        <f>IF(D3912="KEEP",COUNTIF($D$2:D3912,"KEEP"),"")</f>
        <v/>
      </c>
      <c r="H3912">
        <f>IF(D3912="REMOVE",COUNTIF($D$2:D3912,"REMOVE"),"")</f>
        <v/>
      </c>
      <c r="I3912">
        <f>IF(E3912="Gmail",COUNTIF($E$2:E3912,"Gmail"),"")</f>
        <v/>
      </c>
      <c r="J3912">
        <f>IF(E3912="Outlook",COUNTIF($E$2:E3912,"Outlook"),"")</f>
        <v/>
      </c>
      <c r="K3912">
        <f>IF(E3912="Domain",COUNTIF($E$2:E3912,"Domain"),"")</f>
        <v/>
      </c>
    </row>
    <row r="3913">
      <c r="A3913" s="2" t="n"/>
      <c r="B3913">
        <f>LOWER(TRIM(A3913))</f>
        <v/>
      </c>
      <c r="C3913">
        <f>IF(B3913="","",IFERROR(INDEX('Bad Patterns'!$A$2:$A$120,MATCH(1,INDEX(--ISNUMBER(SEARCH('Bad Patterns'!$A$2:$A$120,B3913)),0),0)),""))</f>
        <v/>
      </c>
      <c r="D3913">
        <f>IF(B3913="","",IF(C3913&lt;&gt;"","REMOVE","KEEP"))</f>
        <v/>
      </c>
      <c r="E3913">
        <f>IF(D3913&lt;&gt;"KEEP","",IF(RIGHT(B3913,10)="@gmail.com","Gmail",IF(OR(RIGHT(B3913,12)="@outlook.com",RIGHT(B3913,12)="@hotmail.com",RIGHT(B3913,9)="@live.com"),"Outlook","Domain")))</f>
        <v/>
      </c>
      <c r="F3913">
        <f>IF(B3913="","",IFERROR(RIGHT(B3913,LEN(B3913)-FIND("@",B3913)),""))</f>
        <v/>
      </c>
      <c r="G3913">
        <f>IF(D3913="KEEP",COUNTIF($D$2:D3913,"KEEP"),"")</f>
        <v/>
      </c>
      <c r="H3913">
        <f>IF(D3913="REMOVE",COUNTIF($D$2:D3913,"REMOVE"),"")</f>
        <v/>
      </c>
      <c r="I3913">
        <f>IF(E3913="Gmail",COUNTIF($E$2:E3913,"Gmail"),"")</f>
        <v/>
      </c>
      <c r="J3913">
        <f>IF(E3913="Outlook",COUNTIF($E$2:E3913,"Outlook"),"")</f>
        <v/>
      </c>
      <c r="K3913">
        <f>IF(E3913="Domain",COUNTIF($E$2:E3913,"Domain"),"")</f>
        <v/>
      </c>
    </row>
    <row r="3914">
      <c r="A3914" s="2" t="n"/>
      <c r="B3914">
        <f>LOWER(TRIM(A3914))</f>
        <v/>
      </c>
      <c r="C3914">
        <f>IF(B3914="","",IFERROR(INDEX('Bad Patterns'!$A$2:$A$120,MATCH(1,INDEX(--ISNUMBER(SEARCH('Bad Patterns'!$A$2:$A$120,B3914)),0),0)),""))</f>
        <v/>
      </c>
      <c r="D3914">
        <f>IF(B3914="","",IF(C3914&lt;&gt;"","REMOVE","KEEP"))</f>
        <v/>
      </c>
      <c r="E3914">
        <f>IF(D3914&lt;&gt;"KEEP","",IF(RIGHT(B3914,10)="@gmail.com","Gmail",IF(OR(RIGHT(B3914,12)="@outlook.com",RIGHT(B3914,12)="@hotmail.com",RIGHT(B3914,9)="@live.com"),"Outlook","Domain")))</f>
        <v/>
      </c>
      <c r="F3914">
        <f>IF(B3914="","",IFERROR(RIGHT(B3914,LEN(B3914)-FIND("@",B3914)),""))</f>
        <v/>
      </c>
      <c r="G3914">
        <f>IF(D3914="KEEP",COUNTIF($D$2:D3914,"KEEP"),"")</f>
        <v/>
      </c>
      <c r="H3914">
        <f>IF(D3914="REMOVE",COUNTIF($D$2:D3914,"REMOVE"),"")</f>
        <v/>
      </c>
      <c r="I3914">
        <f>IF(E3914="Gmail",COUNTIF($E$2:E3914,"Gmail"),"")</f>
        <v/>
      </c>
      <c r="J3914">
        <f>IF(E3914="Outlook",COUNTIF($E$2:E3914,"Outlook"),"")</f>
        <v/>
      </c>
      <c r="K3914">
        <f>IF(E3914="Domain",COUNTIF($E$2:E3914,"Domain"),"")</f>
        <v/>
      </c>
    </row>
    <row r="3915">
      <c r="A3915" s="2" t="n"/>
      <c r="B3915">
        <f>LOWER(TRIM(A3915))</f>
        <v/>
      </c>
      <c r="C3915">
        <f>IF(B3915="","",IFERROR(INDEX('Bad Patterns'!$A$2:$A$120,MATCH(1,INDEX(--ISNUMBER(SEARCH('Bad Patterns'!$A$2:$A$120,B3915)),0),0)),""))</f>
        <v/>
      </c>
      <c r="D3915">
        <f>IF(B3915="","",IF(C3915&lt;&gt;"","REMOVE","KEEP"))</f>
        <v/>
      </c>
      <c r="E3915">
        <f>IF(D3915&lt;&gt;"KEEP","",IF(RIGHT(B3915,10)="@gmail.com","Gmail",IF(OR(RIGHT(B3915,12)="@outlook.com",RIGHT(B3915,12)="@hotmail.com",RIGHT(B3915,9)="@live.com"),"Outlook","Domain")))</f>
        <v/>
      </c>
      <c r="F3915">
        <f>IF(B3915="","",IFERROR(RIGHT(B3915,LEN(B3915)-FIND("@",B3915)),""))</f>
        <v/>
      </c>
      <c r="G3915">
        <f>IF(D3915="KEEP",COUNTIF($D$2:D3915,"KEEP"),"")</f>
        <v/>
      </c>
      <c r="H3915">
        <f>IF(D3915="REMOVE",COUNTIF($D$2:D3915,"REMOVE"),"")</f>
        <v/>
      </c>
      <c r="I3915">
        <f>IF(E3915="Gmail",COUNTIF($E$2:E3915,"Gmail"),"")</f>
        <v/>
      </c>
      <c r="J3915">
        <f>IF(E3915="Outlook",COUNTIF($E$2:E3915,"Outlook"),"")</f>
        <v/>
      </c>
      <c r="K3915">
        <f>IF(E3915="Domain",COUNTIF($E$2:E3915,"Domain"),"")</f>
        <v/>
      </c>
    </row>
    <row r="3916">
      <c r="A3916" s="2" t="n"/>
      <c r="B3916">
        <f>LOWER(TRIM(A3916))</f>
        <v/>
      </c>
      <c r="C3916">
        <f>IF(B3916="","",IFERROR(INDEX('Bad Patterns'!$A$2:$A$120,MATCH(1,INDEX(--ISNUMBER(SEARCH('Bad Patterns'!$A$2:$A$120,B3916)),0),0)),""))</f>
        <v/>
      </c>
      <c r="D3916">
        <f>IF(B3916="","",IF(C3916&lt;&gt;"","REMOVE","KEEP"))</f>
        <v/>
      </c>
      <c r="E3916">
        <f>IF(D3916&lt;&gt;"KEEP","",IF(RIGHT(B3916,10)="@gmail.com","Gmail",IF(OR(RIGHT(B3916,12)="@outlook.com",RIGHT(B3916,12)="@hotmail.com",RIGHT(B3916,9)="@live.com"),"Outlook","Domain")))</f>
        <v/>
      </c>
      <c r="F3916">
        <f>IF(B3916="","",IFERROR(RIGHT(B3916,LEN(B3916)-FIND("@",B3916)),""))</f>
        <v/>
      </c>
      <c r="G3916">
        <f>IF(D3916="KEEP",COUNTIF($D$2:D3916,"KEEP"),"")</f>
        <v/>
      </c>
      <c r="H3916">
        <f>IF(D3916="REMOVE",COUNTIF($D$2:D3916,"REMOVE"),"")</f>
        <v/>
      </c>
      <c r="I3916">
        <f>IF(E3916="Gmail",COUNTIF($E$2:E3916,"Gmail"),"")</f>
        <v/>
      </c>
      <c r="J3916">
        <f>IF(E3916="Outlook",COUNTIF($E$2:E3916,"Outlook"),"")</f>
        <v/>
      </c>
      <c r="K3916">
        <f>IF(E3916="Domain",COUNTIF($E$2:E3916,"Domain"),"")</f>
        <v/>
      </c>
    </row>
    <row r="3917">
      <c r="A3917" s="2" t="n"/>
      <c r="B3917">
        <f>LOWER(TRIM(A3917))</f>
        <v/>
      </c>
      <c r="C3917">
        <f>IF(B3917="","",IFERROR(INDEX('Bad Patterns'!$A$2:$A$120,MATCH(1,INDEX(--ISNUMBER(SEARCH('Bad Patterns'!$A$2:$A$120,B3917)),0),0)),""))</f>
        <v/>
      </c>
      <c r="D3917">
        <f>IF(B3917="","",IF(C3917&lt;&gt;"","REMOVE","KEEP"))</f>
        <v/>
      </c>
      <c r="E3917">
        <f>IF(D3917&lt;&gt;"KEEP","",IF(RIGHT(B3917,10)="@gmail.com","Gmail",IF(OR(RIGHT(B3917,12)="@outlook.com",RIGHT(B3917,12)="@hotmail.com",RIGHT(B3917,9)="@live.com"),"Outlook","Domain")))</f>
        <v/>
      </c>
      <c r="F3917">
        <f>IF(B3917="","",IFERROR(RIGHT(B3917,LEN(B3917)-FIND("@",B3917)),""))</f>
        <v/>
      </c>
      <c r="G3917">
        <f>IF(D3917="KEEP",COUNTIF($D$2:D3917,"KEEP"),"")</f>
        <v/>
      </c>
      <c r="H3917">
        <f>IF(D3917="REMOVE",COUNTIF($D$2:D3917,"REMOVE"),"")</f>
        <v/>
      </c>
      <c r="I3917">
        <f>IF(E3917="Gmail",COUNTIF($E$2:E3917,"Gmail"),"")</f>
        <v/>
      </c>
      <c r="J3917">
        <f>IF(E3917="Outlook",COUNTIF($E$2:E3917,"Outlook"),"")</f>
        <v/>
      </c>
      <c r="K3917">
        <f>IF(E3917="Domain",COUNTIF($E$2:E3917,"Domain"),"")</f>
        <v/>
      </c>
    </row>
    <row r="3918">
      <c r="A3918" s="2" t="n"/>
      <c r="B3918">
        <f>LOWER(TRIM(A3918))</f>
        <v/>
      </c>
      <c r="C3918">
        <f>IF(B3918="","",IFERROR(INDEX('Bad Patterns'!$A$2:$A$120,MATCH(1,INDEX(--ISNUMBER(SEARCH('Bad Patterns'!$A$2:$A$120,B3918)),0),0)),""))</f>
        <v/>
      </c>
      <c r="D3918">
        <f>IF(B3918="","",IF(C3918&lt;&gt;"","REMOVE","KEEP"))</f>
        <v/>
      </c>
      <c r="E3918">
        <f>IF(D3918&lt;&gt;"KEEP","",IF(RIGHT(B3918,10)="@gmail.com","Gmail",IF(OR(RIGHT(B3918,12)="@outlook.com",RIGHT(B3918,12)="@hotmail.com",RIGHT(B3918,9)="@live.com"),"Outlook","Domain")))</f>
        <v/>
      </c>
      <c r="F3918">
        <f>IF(B3918="","",IFERROR(RIGHT(B3918,LEN(B3918)-FIND("@",B3918)),""))</f>
        <v/>
      </c>
      <c r="G3918">
        <f>IF(D3918="KEEP",COUNTIF($D$2:D3918,"KEEP"),"")</f>
        <v/>
      </c>
      <c r="H3918">
        <f>IF(D3918="REMOVE",COUNTIF($D$2:D3918,"REMOVE"),"")</f>
        <v/>
      </c>
      <c r="I3918">
        <f>IF(E3918="Gmail",COUNTIF($E$2:E3918,"Gmail"),"")</f>
        <v/>
      </c>
      <c r="J3918">
        <f>IF(E3918="Outlook",COUNTIF($E$2:E3918,"Outlook"),"")</f>
        <v/>
      </c>
      <c r="K3918">
        <f>IF(E3918="Domain",COUNTIF($E$2:E3918,"Domain"),"")</f>
        <v/>
      </c>
    </row>
    <row r="3919">
      <c r="A3919" s="2" t="n"/>
      <c r="B3919">
        <f>LOWER(TRIM(A3919))</f>
        <v/>
      </c>
      <c r="C3919">
        <f>IF(B3919="","",IFERROR(INDEX('Bad Patterns'!$A$2:$A$120,MATCH(1,INDEX(--ISNUMBER(SEARCH('Bad Patterns'!$A$2:$A$120,B3919)),0),0)),""))</f>
        <v/>
      </c>
      <c r="D3919">
        <f>IF(B3919="","",IF(C3919&lt;&gt;"","REMOVE","KEEP"))</f>
        <v/>
      </c>
      <c r="E3919">
        <f>IF(D3919&lt;&gt;"KEEP","",IF(RIGHT(B3919,10)="@gmail.com","Gmail",IF(OR(RIGHT(B3919,12)="@outlook.com",RIGHT(B3919,12)="@hotmail.com",RIGHT(B3919,9)="@live.com"),"Outlook","Domain")))</f>
        <v/>
      </c>
      <c r="F3919">
        <f>IF(B3919="","",IFERROR(RIGHT(B3919,LEN(B3919)-FIND("@",B3919)),""))</f>
        <v/>
      </c>
      <c r="G3919">
        <f>IF(D3919="KEEP",COUNTIF($D$2:D3919,"KEEP"),"")</f>
        <v/>
      </c>
      <c r="H3919">
        <f>IF(D3919="REMOVE",COUNTIF($D$2:D3919,"REMOVE"),"")</f>
        <v/>
      </c>
      <c r="I3919">
        <f>IF(E3919="Gmail",COUNTIF($E$2:E3919,"Gmail"),"")</f>
        <v/>
      </c>
      <c r="J3919">
        <f>IF(E3919="Outlook",COUNTIF($E$2:E3919,"Outlook"),"")</f>
        <v/>
      </c>
      <c r="K3919">
        <f>IF(E3919="Domain",COUNTIF($E$2:E3919,"Domain"),"")</f>
        <v/>
      </c>
    </row>
    <row r="3920">
      <c r="A3920" s="2" t="n"/>
      <c r="B3920">
        <f>LOWER(TRIM(A3920))</f>
        <v/>
      </c>
      <c r="C3920">
        <f>IF(B3920="","",IFERROR(INDEX('Bad Patterns'!$A$2:$A$120,MATCH(1,INDEX(--ISNUMBER(SEARCH('Bad Patterns'!$A$2:$A$120,B3920)),0),0)),""))</f>
        <v/>
      </c>
      <c r="D3920">
        <f>IF(B3920="","",IF(C3920&lt;&gt;"","REMOVE","KEEP"))</f>
        <v/>
      </c>
      <c r="E3920">
        <f>IF(D3920&lt;&gt;"KEEP","",IF(RIGHT(B3920,10)="@gmail.com","Gmail",IF(OR(RIGHT(B3920,12)="@outlook.com",RIGHT(B3920,12)="@hotmail.com",RIGHT(B3920,9)="@live.com"),"Outlook","Domain")))</f>
        <v/>
      </c>
      <c r="F3920">
        <f>IF(B3920="","",IFERROR(RIGHT(B3920,LEN(B3920)-FIND("@",B3920)),""))</f>
        <v/>
      </c>
      <c r="G3920">
        <f>IF(D3920="KEEP",COUNTIF($D$2:D3920,"KEEP"),"")</f>
        <v/>
      </c>
      <c r="H3920">
        <f>IF(D3920="REMOVE",COUNTIF($D$2:D3920,"REMOVE"),"")</f>
        <v/>
      </c>
      <c r="I3920">
        <f>IF(E3920="Gmail",COUNTIF($E$2:E3920,"Gmail"),"")</f>
        <v/>
      </c>
      <c r="J3920">
        <f>IF(E3920="Outlook",COUNTIF($E$2:E3920,"Outlook"),"")</f>
        <v/>
      </c>
      <c r="K3920">
        <f>IF(E3920="Domain",COUNTIF($E$2:E3920,"Domain"),"")</f>
        <v/>
      </c>
    </row>
    <row r="3921">
      <c r="A3921" s="2" t="n"/>
      <c r="B3921">
        <f>LOWER(TRIM(A3921))</f>
        <v/>
      </c>
      <c r="C3921">
        <f>IF(B3921="","",IFERROR(INDEX('Bad Patterns'!$A$2:$A$120,MATCH(1,INDEX(--ISNUMBER(SEARCH('Bad Patterns'!$A$2:$A$120,B3921)),0),0)),""))</f>
        <v/>
      </c>
      <c r="D3921">
        <f>IF(B3921="","",IF(C3921&lt;&gt;"","REMOVE","KEEP"))</f>
        <v/>
      </c>
      <c r="E3921">
        <f>IF(D3921&lt;&gt;"KEEP","",IF(RIGHT(B3921,10)="@gmail.com","Gmail",IF(OR(RIGHT(B3921,12)="@outlook.com",RIGHT(B3921,12)="@hotmail.com",RIGHT(B3921,9)="@live.com"),"Outlook","Domain")))</f>
        <v/>
      </c>
      <c r="F3921">
        <f>IF(B3921="","",IFERROR(RIGHT(B3921,LEN(B3921)-FIND("@",B3921)),""))</f>
        <v/>
      </c>
      <c r="G3921">
        <f>IF(D3921="KEEP",COUNTIF($D$2:D3921,"KEEP"),"")</f>
        <v/>
      </c>
      <c r="H3921">
        <f>IF(D3921="REMOVE",COUNTIF($D$2:D3921,"REMOVE"),"")</f>
        <v/>
      </c>
      <c r="I3921">
        <f>IF(E3921="Gmail",COUNTIF($E$2:E3921,"Gmail"),"")</f>
        <v/>
      </c>
      <c r="J3921">
        <f>IF(E3921="Outlook",COUNTIF($E$2:E3921,"Outlook"),"")</f>
        <v/>
      </c>
      <c r="K3921">
        <f>IF(E3921="Domain",COUNTIF($E$2:E3921,"Domain"),"")</f>
        <v/>
      </c>
    </row>
    <row r="3922">
      <c r="A3922" s="2" t="n"/>
      <c r="B3922">
        <f>LOWER(TRIM(A3922))</f>
        <v/>
      </c>
      <c r="C3922">
        <f>IF(B3922="","",IFERROR(INDEX('Bad Patterns'!$A$2:$A$120,MATCH(1,INDEX(--ISNUMBER(SEARCH('Bad Patterns'!$A$2:$A$120,B3922)),0),0)),""))</f>
        <v/>
      </c>
      <c r="D3922">
        <f>IF(B3922="","",IF(C3922&lt;&gt;"","REMOVE","KEEP"))</f>
        <v/>
      </c>
      <c r="E3922">
        <f>IF(D3922&lt;&gt;"KEEP","",IF(RIGHT(B3922,10)="@gmail.com","Gmail",IF(OR(RIGHT(B3922,12)="@outlook.com",RIGHT(B3922,12)="@hotmail.com",RIGHT(B3922,9)="@live.com"),"Outlook","Domain")))</f>
        <v/>
      </c>
      <c r="F3922">
        <f>IF(B3922="","",IFERROR(RIGHT(B3922,LEN(B3922)-FIND("@",B3922)),""))</f>
        <v/>
      </c>
      <c r="G3922">
        <f>IF(D3922="KEEP",COUNTIF($D$2:D3922,"KEEP"),"")</f>
        <v/>
      </c>
      <c r="H3922">
        <f>IF(D3922="REMOVE",COUNTIF($D$2:D3922,"REMOVE"),"")</f>
        <v/>
      </c>
      <c r="I3922">
        <f>IF(E3922="Gmail",COUNTIF($E$2:E3922,"Gmail"),"")</f>
        <v/>
      </c>
      <c r="J3922">
        <f>IF(E3922="Outlook",COUNTIF($E$2:E3922,"Outlook"),"")</f>
        <v/>
      </c>
      <c r="K3922">
        <f>IF(E3922="Domain",COUNTIF($E$2:E3922,"Domain"),"")</f>
        <v/>
      </c>
    </row>
    <row r="3923">
      <c r="A3923" s="2" t="n"/>
      <c r="B3923">
        <f>LOWER(TRIM(A3923))</f>
        <v/>
      </c>
      <c r="C3923">
        <f>IF(B3923="","",IFERROR(INDEX('Bad Patterns'!$A$2:$A$120,MATCH(1,INDEX(--ISNUMBER(SEARCH('Bad Patterns'!$A$2:$A$120,B3923)),0),0)),""))</f>
        <v/>
      </c>
      <c r="D3923">
        <f>IF(B3923="","",IF(C3923&lt;&gt;"","REMOVE","KEEP"))</f>
        <v/>
      </c>
      <c r="E3923">
        <f>IF(D3923&lt;&gt;"KEEP","",IF(RIGHT(B3923,10)="@gmail.com","Gmail",IF(OR(RIGHT(B3923,12)="@outlook.com",RIGHT(B3923,12)="@hotmail.com",RIGHT(B3923,9)="@live.com"),"Outlook","Domain")))</f>
        <v/>
      </c>
      <c r="F3923">
        <f>IF(B3923="","",IFERROR(RIGHT(B3923,LEN(B3923)-FIND("@",B3923)),""))</f>
        <v/>
      </c>
      <c r="G3923">
        <f>IF(D3923="KEEP",COUNTIF($D$2:D3923,"KEEP"),"")</f>
        <v/>
      </c>
      <c r="H3923">
        <f>IF(D3923="REMOVE",COUNTIF($D$2:D3923,"REMOVE"),"")</f>
        <v/>
      </c>
      <c r="I3923">
        <f>IF(E3923="Gmail",COUNTIF($E$2:E3923,"Gmail"),"")</f>
        <v/>
      </c>
      <c r="J3923">
        <f>IF(E3923="Outlook",COUNTIF($E$2:E3923,"Outlook"),"")</f>
        <v/>
      </c>
      <c r="K3923">
        <f>IF(E3923="Domain",COUNTIF($E$2:E3923,"Domain"),"")</f>
        <v/>
      </c>
    </row>
    <row r="3924">
      <c r="A3924" s="2" t="n"/>
      <c r="B3924">
        <f>LOWER(TRIM(A3924))</f>
        <v/>
      </c>
      <c r="C3924">
        <f>IF(B3924="","",IFERROR(INDEX('Bad Patterns'!$A$2:$A$120,MATCH(1,INDEX(--ISNUMBER(SEARCH('Bad Patterns'!$A$2:$A$120,B3924)),0),0)),""))</f>
        <v/>
      </c>
      <c r="D3924">
        <f>IF(B3924="","",IF(C3924&lt;&gt;"","REMOVE","KEEP"))</f>
        <v/>
      </c>
      <c r="E3924">
        <f>IF(D3924&lt;&gt;"KEEP","",IF(RIGHT(B3924,10)="@gmail.com","Gmail",IF(OR(RIGHT(B3924,12)="@outlook.com",RIGHT(B3924,12)="@hotmail.com",RIGHT(B3924,9)="@live.com"),"Outlook","Domain")))</f>
        <v/>
      </c>
      <c r="F3924">
        <f>IF(B3924="","",IFERROR(RIGHT(B3924,LEN(B3924)-FIND("@",B3924)),""))</f>
        <v/>
      </c>
      <c r="G3924">
        <f>IF(D3924="KEEP",COUNTIF($D$2:D3924,"KEEP"),"")</f>
        <v/>
      </c>
      <c r="H3924">
        <f>IF(D3924="REMOVE",COUNTIF($D$2:D3924,"REMOVE"),"")</f>
        <v/>
      </c>
      <c r="I3924">
        <f>IF(E3924="Gmail",COUNTIF($E$2:E3924,"Gmail"),"")</f>
        <v/>
      </c>
      <c r="J3924">
        <f>IF(E3924="Outlook",COUNTIF($E$2:E3924,"Outlook"),"")</f>
        <v/>
      </c>
      <c r="K3924">
        <f>IF(E3924="Domain",COUNTIF($E$2:E3924,"Domain"),"")</f>
        <v/>
      </c>
    </row>
    <row r="3925">
      <c r="A3925" s="2" t="n"/>
      <c r="B3925">
        <f>LOWER(TRIM(A3925))</f>
        <v/>
      </c>
      <c r="C3925">
        <f>IF(B3925="","",IFERROR(INDEX('Bad Patterns'!$A$2:$A$120,MATCH(1,INDEX(--ISNUMBER(SEARCH('Bad Patterns'!$A$2:$A$120,B3925)),0),0)),""))</f>
        <v/>
      </c>
      <c r="D3925">
        <f>IF(B3925="","",IF(C3925&lt;&gt;"","REMOVE","KEEP"))</f>
        <v/>
      </c>
      <c r="E3925">
        <f>IF(D3925&lt;&gt;"KEEP","",IF(RIGHT(B3925,10)="@gmail.com","Gmail",IF(OR(RIGHT(B3925,12)="@outlook.com",RIGHT(B3925,12)="@hotmail.com",RIGHT(B3925,9)="@live.com"),"Outlook","Domain")))</f>
        <v/>
      </c>
      <c r="F3925">
        <f>IF(B3925="","",IFERROR(RIGHT(B3925,LEN(B3925)-FIND("@",B3925)),""))</f>
        <v/>
      </c>
      <c r="G3925">
        <f>IF(D3925="KEEP",COUNTIF($D$2:D3925,"KEEP"),"")</f>
        <v/>
      </c>
      <c r="H3925">
        <f>IF(D3925="REMOVE",COUNTIF($D$2:D3925,"REMOVE"),"")</f>
        <v/>
      </c>
      <c r="I3925">
        <f>IF(E3925="Gmail",COUNTIF($E$2:E3925,"Gmail"),"")</f>
        <v/>
      </c>
      <c r="J3925">
        <f>IF(E3925="Outlook",COUNTIF($E$2:E3925,"Outlook"),"")</f>
        <v/>
      </c>
      <c r="K3925">
        <f>IF(E3925="Domain",COUNTIF($E$2:E3925,"Domain"),"")</f>
        <v/>
      </c>
    </row>
    <row r="3926">
      <c r="A3926" s="2" t="n"/>
      <c r="B3926">
        <f>LOWER(TRIM(A3926))</f>
        <v/>
      </c>
      <c r="C3926">
        <f>IF(B3926="","",IFERROR(INDEX('Bad Patterns'!$A$2:$A$120,MATCH(1,INDEX(--ISNUMBER(SEARCH('Bad Patterns'!$A$2:$A$120,B3926)),0),0)),""))</f>
        <v/>
      </c>
      <c r="D3926">
        <f>IF(B3926="","",IF(C3926&lt;&gt;"","REMOVE","KEEP"))</f>
        <v/>
      </c>
      <c r="E3926">
        <f>IF(D3926&lt;&gt;"KEEP","",IF(RIGHT(B3926,10)="@gmail.com","Gmail",IF(OR(RIGHT(B3926,12)="@outlook.com",RIGHT(B3926,12)="@hotmail.com",RIGHT(B3926,9)="@live.com"),"Outlook","Domain")))</f>
        <v/>
      </c>
      <c r="F3926">
        <f>IF(B3926="","",IFERROR(RIGHT(B3926,LEN(B3926)-FIND("@",B3926)),""))</f>
        <v/>
      </c>
      <c r="G3926">
        <f>IF(D3926="KEEP",COUNTIF($D$2:D3926,"KEEP"),"")</f>
        <v/>
      </c>
      <c r="H3926">
        <f>IF(D3926="REMOVE",COUNTIF($D$2:D3926,"REMOVE"),"")</f>
        <v/>
      </c>
      <c r="I3926">
        <f>IF(E3926="Gmail",COUNTIF($E$2:E3926,"Gmail"),"")</f>
        <v/>
      </c>
      <c r="J3926">
        <f>IF(E3926="Outlook",COUNTIF($E$2:E3926,"Outlook"),"")</f>
        <v/>
      </c>
      <c r="K3926">
        <f>IF(E3926="Domain",COUNTIF($E$2:E3926,"Domain"),"")</f>
        <v/>
      </c>
    </row>
    <row r="3927">
      <c r="A3927" s="2" t="n"/>
      <c r="B3927">
        <f>LOWER(TRIM(A3927))</f>
        <v/>
      </c>
      <c r="C3927">
        <f>IF(B3927="","",IFERROR(INDEX('Bad Patterns'!$A$2:$A$120,MATCH(1,INDEX(--ISNUMBER(SEARCH('Bad Patterns'!$A$2:$A$120,B3927)),0),0)),""))</f>
        <v/>
      </c>
      <c r="D3927">
        <f>IF(B3927="","",IF(C3927&lt;&gt;"","REMOVE","KEEP"))</f>
        <v/>
      </c>
      <c r="E3927">
        <f>IF(D3927&lt;&gt;"KEEP","",IF(RIGHT(B3927,10)="@gmail.com","Gmail",IF(OR(RIGHT(B3927,12)="@outlook.com",RIGHT(B3927,12)="@hotmail.com",RIGHT(B3927,9)="@live.com"),"Outlook","Domain")))</f>
        <v/>
      </c>
      <c r="F3927">
        <f>IF(B3927="","",IFERROR(RIGHT(B3927,LEN(B3927)-FIND("@",B3927)),""))</f>
        <v/>
      </c>
      <c r="G3927">
        <f>IF(D3927="KEEP",COUNTIF($D$2:D3927,"KEEP"),"")</f>
        <v/>
      </c>
      <c r="H3927">
        <f>IF(D3927="REMOVE",COUNTIF($D$2:D3927,"REMOVE"),"")</f>
        <v/>
      </c>
      <c r="I3927">
        <f>IF(E3927="Gmail",COUNTIF($E$2:E3927,"Gmail"),"")</f>
        <v/>
      </c>
      <c r="J3927">
        <f>IF(E3927="Outlook",COUNTIF($E$2:E3927,"Outlook"),"")</f>
        <v/>
      </c>
      <c r="K3927">
        <f>IF(E3927="Domain",COUNTIF($E$2:E3927,"Domain"),"")</f>
        <v/>
      </c>
    </row>
    <row r="3928">
      <c r="A3928" s="2" t="n"/>
      <c r="B3928">
        <f>LOWER(TRIM(A3928))</f>
        <v/>
      </c>
      <c r="C3928">
        <f>IF(B3928="","",IFERROR(INDEX('Bad Patterns'!$A$2:$A$120,MATCH(1,INDEX(--ISNUMBER(SEARCH('Bad Patterns'!$A$2:$A$120,B3928)),0),0)),""))</f>
        <v/>
      </c>
      <c r="D3928">
        <f>IF(B3928="","",IF(C3928&lt;&gt;"","REMOVE","KEEP"))</f>
        <v/>
      </c>
      <c r="E3928">
        <f>IF(D3928&lt;&gt;"KEEP","",IF(RIGHT(B3928,10)="@gmail.com","Gmail",IF(OR(RIGHT(B3928,12)="@outlook.com",RIGHT(B3928,12)="@hotmail.com",RIGHT(B3928,9)="@live.com"),"Outlook","Domain")))</f>
        <v/>
      </c>
      <c r="F3928">
        <f>IF(B3928="","",IFERROR(RIGHT(B3928,LEN(B3928)-FIND("@",B3928)),""))</f>
        <v/>
      </c>
      <c r="G3928">
        <f>IF(D3928="KEEP",COUNTIF($D$2:D3928,"KEEP"),"")</f>
        <v/>
      </c>
      <c r="H3928">
        <f>IF(D3928="REMOVE",COUNTIF($D$2:D3928,"REMOVE"),"")</f>
        <v/>
      </c>
      <c r="I3928">
        <f>IF(E3928="Gmail",COUNTIF($E$2:E3928,"Gmail"),"")</f>
        <v/>
      </c>
      <c r="J3928">
        <f>IF(E3928="Outlook",COUNTIF($E$2:E3928,"Outlook"),"")</f>
        <v/>
      </c>
      <c r="K3928">
        <f>IF(E3928="Domain",COUNTIF($E$2:E3928,"Domain"),"")</f>
        <v/>
      </c>
    </row>
    <row r="3929">
      <c r="A3929" s="2" t="n"/>
      <c r="B3929">
        <f>LOWER(TRIM(A3929))</f>
        <v/>
      </c>
      <c r="C3929">
        <f>IF(B3929="","",IFERROR(INDEX('Bad Patterns'!$A$2:$A$120,MATCH(1,INDEX(--ISNUMBER(SEARCH('Bad Patterns'!$A$2:$A$120,B3929)),0),0)),""))</f>
        <v/>
      </c>
      <c r="D3929">
        <f>IF(B3929="","",IF(C3929&lt;&gt;"","REMOVE","KEEP"))</f>
        <v/>
      </c>
      <c r="E3929">
        <f>IF(D3929&lt;&gt;"KEEP","",IF(RIGHT(B3929,10)="@gmail.com","Gmail",IF(OR(RIGHT(B3929,12)="@outlook.com",RIGHT(B3929,12)="@hotmail.com",RIGHT(B3929,9)="@live.com"),"Outlook","Domain")))</f>
        <v/>
      </c>
      <c r="F3929">
        <f>IF(B3929="","",IFERROR(RIGHT(B3929,LEN(B3929)-FIND("@",B3929)),""))</f>
        <v/>
      </c>
      <c r="G3929">
        <f>IF(D3929="KEEP",COUNTIF($D$2:D3929,"KEEP"),"")</f>
        <v/>
      </c>
      <c r="H3929">
        <f>IF(D3929="REMOVE",COUNTIF($D$2:D3929,"REMOVE"),"")</f>
        <v/>
      </c>
      <c r="I3929">
        <f>IF(E3929="Gmail",COUNTIF($E$2:E3929,"Gmail"),"")</f>
        <v/>
      </c>
      <c r="J3929">
        <f>IF(E3929="Outlook",COUNTIF($E$2:E3929,"Outlook"),"")</f>
        <v/>
      </c>
      <c r="K3929">
        <f>IF(E3929="Domain",COUNTIF($E$2:E3929,"Domain"),"")</f>
        <v/>
      </c>
    </row>
    <row r="3930">
      <c r="A3930" s="2" t="n"/>
      <c r="B3930">
        <f>LOWER(TRIM(A3930))</f>
        <v/>
      </c>
      <c r="C3930">
        <f>IF(B3930="","",IFERROR(INDEX('Bad Patterns'!$A$2:$A$120,MATCH(1,INDEX(--ISNUMBER(SEARCH('Bad Patterns'!$A$2:$A$120,B3930)),0),0)),""))</f>
        <v/>
      </c>
      <c r="D3930">
        <f>IF(B3930="","",IF(C3930&lt;&gt;"","REMOVE","KEEP"))</f>
        <v/>
      </c>
      <c r="E3930">
        <f>IF(D3930&lt;&gt;"KEEP","",IF(RIGHT(B3930,10)="@gmail.com","Gmail",IF(OR(RIGHT(B3930,12)="@outlook.com",RIGHT(B3930,12)="@hotmail.com",RIGHT(B3930,9)="@live.com"),"Outlook","Domain")))</f>
        <v/>
      </c>
      <c r="F3930">
        <f>IF(B3930="","",IFERROR(RIGHT(B3930,LEN(B3930)-FIND("@",B3930)),""))</f>
        <v/>
      </c>
      <c r="G3930">
        <f>IF(D3930="KEEP",COUNTIF($D$2:D3930,"KEEP"),"")</f>
        <v/>
      </c>
      <c r="H3930">
        <f>IF(D3930="REMOVE",COUNTIF($D$2:D3930,"REMOVE"),"")</f>
        <v/>
      </c>
      <c r="I3930">
        <f>IF(E3930="Gmail",COUNTIF($E$2:E3930,"Gmail"),"")</f>
        <v/>
      </c>
      <c r="J3930">
        <f>IF(E3930="Outlook",COUNTIF($E$2:E3930,"Outlook"),"")</f>
        <v/>
      </c>
      <c r="K3930">
        <f>IF(E3930="Domain",COUNTIF($E$2:E3930,"Domain"),"")</f>
        <v/>
      </c>
    </row>
    <row r="3931">
      <c r="A3931" s="2" t="n"/>
      <c r="B3931">
        <f>LOWER(TRIM(A3931))</f>
        <v/>
      </c>
      <c r="C3931">
        <f>IF(B3931="","",IFERROR(INDEX('Bad Patterns'!$A$2:$A$120,MATCH(1,INDEX(--ISNUMBER(SEARCH('Bad Patterns'!$A$2:$A$120,B3931)),0),0)),""))</f>
        <v/>
      </c>
      <c r="D3931">
        <f>IF(B3931="","",IF(C3931&lt;&gt;"","REMOVE","KEEP"))</f>
        <v/>
      </c>
      <c r="E3931">
        <f>IF(D3931&lt;&gt;"KEEP","",IF(RIGHT(B3931,10)="@gmail.com","Gmail",IF(OR(RIGHT(B3931,12)="@outlook.com",RIGHT(B3931,12)="@hotmail.com",RIGHT(B3931,9)="@live.com"),"Outlook","Domain")))</f>
        <v/>
      </c>
      <c r="F3931">
        <f>IF(B3931="","",IFERROR(RIGHT(B3931,LEN(B3931)-FIND("@",B3931)),""))</f>
        <v/>
      </c>
      <c r="G3931">
        <f>IF(D3931="KEEP",COUNTIF($D$2:D3931,"KEEP"),"")</f>
        <v/>
      </c>
      <c r="H3931">
        <f>IF(D3931="REMOVE",COUNTIF($D$2:D3931,"REMOVE"),"")</f>
        <v/>
      </c>
      <c r="I3931">
        <f>IF(E3931="Gmail",COUNTIF($E$2:E3931,"Gmail"),"")</f>
        <v/>
      </c>
      <c r="J3931">
        <f>IF(E3931="Outlook",COUNTIF($E$2:E3931,"Outlook"),"")</f>
        <v/>
      </c>
      <c r="K3931">
        <f>IF(E3931="Domain",COUNTIF($E$2:E3931,"Domain"),"")</f>
        <v/>
      </c>
    </row>
    <row r="3932">
      <c r="A3932" s="2" t="n"/>
      <c r="B3932">
        <f>LOWER(TRIM(A3932))</f>
        <v/>
      </c>
      <c r="C3932">
        <f>IF(B3932="","",IFERROR(INDEX('Bad Patterns'!$A$2:$A$120,MATCH(1,INDEX(--ISNUMBER(SEARCH('Bad Patterns'!$A$2:$A$120,B3932)),0),0)),""))</f>
        <v/>
      </c>
      <c r="D3932">
        <f>IF(B3932="","",IF(C3932&lt;&gt;"","REMOVE","KEEP"))</f>
        <v/>
      </c>
      <c r="E3932">
        <f>IF(D3932&lt;&gt;"KEEP","",IF(RIGHT(B3932,10)="@gmail.com","Gmail",IF(OR(RIGHT(B3932,12)="@outlook.com",RIGHT(B3932,12)="@hotmail.com",RIGHT(B3932,9)="@live.com"),"Outlook","Domain")))</f>
        <v/>
      </c>
      <c r="F3932">
        <f>IF(B3932="","",IFERROR(RIGHT(B3932,LEN(B3932)-FIND("@",B3932)),""))</f>
        <v/>
      </c>
      <c r="G3932">
        <f>IF(D3932="KEEP",COUNTIF($D$2:D3932,"KEEP"),"")</f>
        <v/>
      </c>
      <c r="H3932">
        <f>IF(D3932="REMOVE",COUNTIF($D$2:D3932,"REMOVE"),"")</f>
        <v/>
      </c>
      <c r="I3932">
        <f>IF(E3932="Gmail",COUNTIF($E$2:E3932,"Gmail"),"")</f>
        <v/>
      </c>
      <c r="J3932">
        <f>IF(E3932="Outlook",COUNTIF($E$2:E3932,"Outlook"),"")</f>
        <v/>
      </c>
      <c r="K3932">
        <f>IF(E3932="Domain",COUNTIF($E$2:E3932,"Domain"),"")</f>
        <v/>
      </c>
    </row>
    <row r="3933">
      <c r="A3933" s="2" t="n"/>
      <c r="B3933">
        <f>LOWER(TRIM(A3933))</f>
        <v/>
      </c>
      <c r="C3933">
        <f>IF(B3933="","",IFERROR(INDEX('Bad Patterns'!$A$2:$A$120,MATCH(1,INDEX(--ISNUMBER(SEARCH('Bad Patterns'!$A$2:$A$120,B3933)),0),0)),""))</f>
        <v/>
      </c>
      <c r="D3933">
        <f>IF(B3933="","",IF(C3933&lt;&gt;"","REMOVE","KEEP"))</f>
        <v/>
      </c>
      <c r="E3933">
        <f>IF(D3933&lt;&gt;"KEEP","",IF(RIGHT(B3933,10)="@gmail.com","Gmail",IF(OR(RIGHT(B3933,12)="@outlook.com",RIGHT(B3933,12)="@hotmail.com",RIGHT(B3933,9)="@live.com"),"Outlook","Domain")))</f>
        <v/>
      </c>
      <c r="F3933">
        <f>IF(B3933="","",IFERROR(RIGHT(B3933,LEN(B3933)-FIND("@",B3933)),""))</f>
        <v/>
      </c>
      <c r="G3933">
        <f>IF(D3933="KEEP",COUNTIF($D$2:D3933,"KEEP"),"")</f>
        <v/>
      </c>
      <c r="H3933">
        <f>IF(D3933="REMOVE",COUNTIF($D$2:D3933,"REMOVE"),"")</f>
        <v/>
      </c>
      <c r="I3933">
        <f>IF(E3933="Gmail",COUNTIF($E$2:E3933,"Gmail"),"")</f>
        <v/>
      </c>
      <c r="J3933">
        <f>IF(E3933="Outlook",COUNTIF($E$2:E3933,"Outlook"),"")</f>
        <v/>
      </c>
      <c r="K3933">
        <f>IF(E3933="Domain",COUNTIF($E$2:E3933,"Domain"),"")</f>
        <v/>
      </c>
    </row>
    <row r="3934">
      <c r="A3934" s="2" t="n"/>
      <c r="B3934">
        <f>LOWER(TRIM(A3934))</f>
        <v/>
      </c>
      <c r="C3934">
        <f>IF(B3934="","",IFERROR(INDEX('Bad Patterns'!$A$2:$A$120,MATCH(1,INDEX(--ISNUMBER(SEARCH('Bad Patterns'!$A$2:$A$120,B3934)),0),0)),""))</f>
        <v/>
      </c>
      <c r="D3934">
        <f>IF(B3934="","",IF(C3934&lt;&gt;"","REMOVE","KEEP"))</f>
        <v/>
      </c>
      <c r="E3934">
        <f>IF(D3934&lt;&gt;"KEEP","",IF(RIGHT(B3934,10)="@gmail.com","Gmail",IF(OR(RIGHT(B3934,12)="@outlook.com",RIGHT(B3934,12)="@hotmail.com",RIGHT(B3934,9)="@live.com"),"Outlook","Domain")))</f>
        <v/>
      </c>
      <c r="F3934">
        <f>IF(B3934="","",IFERROR(RIGHT(B3934,LEN(B3934)-FIND("@",B3934)),""))</f>
        <v/>
      </c>
      <c r="G3934">
        <f>IF(D3934="KEEP",COUNTIF($D$2:D3934,"KEEP"),"")</f>
        <v/>
      </c>
      <c r="H3934">
        <f>IF(D3934="REMOVE",COUNTIF($D$2:D3934,"REMOVE"),"")</f>
        <v/>
      </c>
      <c r="I3934">
        <f>IF(E3934="Gmail",COUNTIF($E$2:E3934,"Gmail"),"")</f>
        <v/>
      </c>
      <c r="J3934">
        <f>IF(E3934="Outlook",COUNTIF($E$2:E3934,"Outlook"),"")</f>
        <v/>
      </c>
      <c r="K3934">
        <f>IF(E3934="Domain",COUNTIF($E$2:E3934,"Domain"),"")</f>
        <v/>
      </c>
    </row>
    <row r="3935">
      <c r="A3935" s="2" t="n"/>
      <c r="B3935">
        <f>LOWER(TRIM(A3935))</f>
        <v/>
      </c>
      <c r="C3935">
        <f>IF(B3935="","",IFERROR(INDEX('Bad Patterns'!$A$2:$A$120,MATCH(1,INDEX(--ISNUMBER(SEARCH('Bad Patterns'!$A$2:$A$120,B3935)),0),0)),""))</f>
        <v/>
      </c>
      <c r="D3935">
        <f>IF(B3935="","",IF(C3935&lt;&gt;"","REMOVE","KEEP"))</f>
        <v/>
      </c>
      <c r="E3935">
        <f>IF(D3935&lt;&gt;"KEEP","",IF(RIGHT(B3935,10)="@gmail.com","Gmail",IF(OR(RIGHT(B3935,12)="@outlook.com",RIGHT(B3935,12)="@hotmail.com",RIGHT(B3935,9)="@live.com"),"Outlook","Domain")))</f>
        <v/>
      </c>
      <c r="F3935">
        <f>IF(B3935="","",IFERROR(RIGHT(B3935,LEN(B3935)-FIND("@",B3935)),""))</f>
        <v/>
      </c>
      <c r="G3935">
        <f>IF(D3935="KEEP",COUNTIF($D$2:D3935,"KEEP"),"")</f>
        <v/>
      </c>
      <c r="H3935">
        <f>IF(D3935="REMOVE",COUNTIF($D$2:D3935,"REMOVE"),"")</f>
        <v/>
      </c>
      <c r="I3935">
        <f>IF(E3935="Gmail",COUNTIF($E$2:E3935,"Gmail"),"")</f>
        <v/>
      </c>
      <c r="J3935">
        <f>IF(E3935="Outlook",COUNTIF($E$2:E3935,"Outlook"),"")</f>
        <v/>
      </c>
      <c r="K3935">
        <f>IF(E3935="Domain",COUNTIF($E$2:E3935,"Domain"),"")</f>
        <v/>
      </c>
    </row>
    <row r="3936">
      <c r="A3936" s="2" t="n"/>
      <c r="B3936">
        <f>LOWER(TRIM(A3936))</f>
        <v/>
      </c>
      <c r="C3936">
        <f>IF(B3936="","",IFERROR(INDEX('Bad Patterns'!$A$2:$A$120,MATCH(1,INDEX(--ISNUMBER(SEARCH('Bad Patterns'!$A$2:$A$120,B3936)),0),0)),""))</f>
        <v/>
      </c>
      <c r="D3936">
        <f>IF(B3936="","",IF(C3936&lt;&gt;"","REMOVE","KEEP"))</f>
        <v/>
      </c>
      <c r="E3936">
        <f>IF(D3936&lt;&gt;"KEEP","",IF(RIGHT(B3936,10)="@gmail.com","Gmail",IF(OR(RIGHT(B3936,12)="@outlook.com",RIGHT(B3936,12)="@hotmail.com",RIGHT(B3936,9)="@live.com"),"Outlook","Domain")))</f>
        <v/>
      </c>
      <c r="F3936">
        <f>IF(B3936="","",IFERROR(RIGHT(B3936,LEN(B3936)-FIND("@",B3936)),""))</f>
        <v/>
      </c>
      <c r="G3936">
        <f>IF(D3936="KEEP",COUNTIF($D$2:D3936,"KEEP"),"")</f>
        <v/>
      </c>
      <c r="H3936">
        <f>IF(D3936="REMOVE",COUNTIF($D$2:D3936,"REMOVE"),"")</f>
        <v/>
      </c>
      <c r="I3936">
        <f>IF(E3936="Gmail",COUNTIF($E$2:E3936,"Gmail"),"")</f>
        <v/>
      </c>
      <c r="J3936">
        <f>IF(E3936="Outlook",COUNTIF($E$2:E3936,"Outlook"),"")</f>
        <v/>
      </c>
      <c r="K3936">
        <f>IF(E3936="Domain",COUNTIF($E$2:E3936,"Domain"),"")</f>
        <v/>
      </c>
    </row>
    <row r="3937">
      <c r="A3937" s="2" t="n"/>
      <c r="B3937">
        <f>LOWER(TRIM(A3937))</f>
        <v/>
      </c>
      <c r="C3937">
        <f>IF(B3937="","",IFERROR(INDEX('Bad Patterns'!$A$2:$A$120,MATCH(1,INDEX(--ISNUMBER(SEARCH('Bad Patterns'!$A$2:$A$120,B3937)),0),0)),""))</f>
        <v/>
      </c>
      <c r="D3937">
        <f>IF(B3937="","",IF(C3937&lt;&gt;"","REMOVE","KEEP"))</f>
        <v/>
      </c>
      <c r="E3937">
        <f>IF(D3937&lt;&gt;"KEEP","",IF(RIGHT(B3937,10)="@gmail.com","Gmail",IF(OR(RIGHT(B3937,12)="@outlook.com",RIGHT(B3937,12)="@hotmail.com",RIGHT(B3937,9)="@live.com"),"Outlook","Domain")))</f>
        <v/>
      </c>
      <c r="F3937">
        <f>IF(B3937="","",IFERROR(RIGHT(B3937,LEN(B3937)-FIND("@",B3937)),""))</f>
        <v/>
      </c>
      <c r="G3937">
        <f>IF(D3937="KEEP",COUNTIF($D$2:D3937,"KEEP"),"")</f>
        <v/>
      </c>
      <c r="H3937">
        <f>IF(D3937="REMOVE",COUNTIF($D$2:D3937,"REMOVE"),"")</f>
        <v/>
      </c>
      <c r="I3937">
        <f>IF(E3937="Gmail",COUNTIF($E$2:E3937,"Gmail"),"")</f>
        <v/>
      </c>
      <c r="J3937">
        <f>IF(E3937="Outlook",COUNTIF($E$2:E3937,"Outlook"),"")</f>
        <v/>
      </c>
      <c r="K3937">
        <f>IF(E3937="Domain",COUNTIF($E$2:E3937,"Domain"),"")</f>
        <v/>
      </c>
    </row>
    <row r="3938">
      <c r="A3938" s="2" t="n"/>
      <c r="B3938">
        <f>LOWER(TRIM(A3938))</f>
        <v/>
      </c>
      <c r="C3938">
        <f>IF(B3938="","",IFERROR(INDEX('Bad Patterns'!$A$2:$A$120,MATCH(1,INDEX(--ISNUMBER(SEARCH('Bad Patterns'!$A$2:$A$120,B3938)),0),0)),""))</f>
        <v/>
      </c>
      <c r="D3938">
        <f>IF(B3938="","",IF(C3938&lt;&gt;"","REMOVE","KEEP"))</f>
        <v/>
      </c>
      <c r="E3938">
        <f>IF(D3938&lt;&gt;"KEEP","",IF(RIGHT(B3938,10)="@gmail.com","Gmail",IF(OR(RIGHT(B3938,12)="@outlook.com",RIGHT(B3938,12)="@hotmail.com",RIGHT(B3938,9)="@live.com"),"Outlook","Domain")))</f>
        <v/>
      </c>
      <c r="F3938">
        <f>IF(B3938="","",IFERROR(RIGHT(B3938,LEN(B3938)-FIND("@",B3938)),""))</f>
        <v/>
      </c>
      <c r="G3938">
        <f>IF(D3938="KEEP",COUNTIF($D$2:D3938,"KEEP"),"")</f>
        <v/>
      </c>
      <c r="H3938">
        <f>IF(D3938="REMOVE",COUNTIF($D$2:D3938,"REMOVE"),"")</f>
        <v/>
      </c>
      <c r="I3938">
        <f>IF(E3938="Gmail",COUNTIF($E$2:E3938,"Gmail"),"")</f>
        <v/>
      </c>
      <c r="J3938">
        <f>IF(E3938="Outlook",COUNTIF($E$2:E3938,"Outlook"),"")</f>
        <v/>
      </c>
      <c r="K3938">
        <f>IF(E3938="Domain",COUNTIF($E$2:E3938,"Domain"),"")</f>
        <v/>
      </c>
    </row>
    <row r="3939">
      <c r="A3939" s="2" t="n"/>
      <c r="B3939">
        <f>LOWER(TRIM(A3939))</f>
        <v/>
      </c>
      <c r="C3939">
        <f>IF(B3939="","",IFERROR(INDEX('Bad Patterns'!$A$2:$A$120,MATCH(1,INDEX(--ISNUMBER(SEARCH('Bad Patterns'!$A$2:$A$120,B3939)),0),0)),""))</f>
        <v/>
      </c>
      <c r="D3939">
        <f>IF(B3939="","",IF(C3939&lt;&gt;"","REMOVE","KEEP"))</f>
        <v/>
      </c>
      <c r="E3939">
        <f>IF(D3939&lt;&gt;"KEEP","",IF(RIGHT(B3939,10)="@gmail.com","Gmail",IF(OR(RIGHT(B3939,12)="@outlook.com",RIGHT(B3939,12)="@hotmail.com",RIGHT(B3939,9)="@live.com"),"Outlook","Domain")))</f>
        <v/>
      </c>
      <c r="F3939">
        <f>IF(B3939="","",IFERROR(RIGHT(B3939,LEN(B3939)-FIND("@",B3939)),""))</f>
        <v/>
      </c>
      <c r="G3939">
        <f>IF(D3939="KEEP",COUNTIF($D$2:D3939,"KEEP"),"")</f>
        <v/>
      </c>
      <c r="H3939">
        <f>IF(D3939="REMOVE",COUNTIF($D$2:D3939,"REMOVE"),"")</f>
        <v/>
      </c>
      <c r="I3939">
        <f>IF(E3939="Gmail",COUNTIF($E$2:E3939,"Gmail"),"")</f>
        <v/>
      </c>
      <c r="J3939">
        <f>IF(E3939="Outlook",COUNTIF($E$2:E3939,"Outlook"),"")</f>
        <v/>
      </c>
      <c r="K3939">
        <f>IF(E3939="Domain",COUNTIF($E$2:E3939,"Domain"),"")</f>
        <v/>
      </c>
    </row>
    <row r="3940">
      <c r="A3940" s="2" t="n"/>
      <c r="B3940">
        <f>LOWER(TRIM(A3940))</f>
        <v/>
      </c>
      <c r="C3940">
        <f>IF(B3940="","",IFERROR(INDEX('Bad Patterns'!$A$2:$A$120,MATCH(1,INDEX(--ISNUMBER(SEARCH('Bad Patterns'!$A$2:$A$120,B3940)),0),0)),""))</f>
        <v/>
      </c>
      <c r="D3940">
        <f>IF(B3940="","",IF(C3940&lt;&gt;"","REMOVE","KEEP"))</f>
        <v/>
      </c>
      <c r="E3940">
        <f>IF(D3940&lt;&gt;"KEEP","",IF(RIGHT(B3940,10)="@gmail.com","Gmail",IF(OR(RIGHT(B3940,12)="@outlook.com",RIGHT(B3940,12)="@hotmail.com",RIGHT(B3940,9)="@live.com"),"Outlook","Domain")))</f>
        <v/>
      </c>
      <c r="F3940">
        <f>IF(B3940="","",IFERROR(RIGHT(B3940,LEN(B3940)-FIND("@",B3940)),""))</f>
        <v/>
      </c>
      <c r="G3940">
        <f>IF(D3940="KEEP",COUNTIF($D$2:D3940,"KEEP"),"")</f>
        <v/>
      </c>
      <c r="H3940">
        <f>IF(D3940="REMOVE",COUNTIF($D$2:D3940,"REMOVE"),"")</f>
        <v/>
      </c>
      <c r="I3940">
        <f>IF(E3940="Gmail",COUNTIF($E$2:E3940,"Gmail"),"")</f>
        <v/>
      </c>
      <c r="J3940">
        <f>IF(E3940="Outlook",COUNTIF($E$2:E3940,"Outlook"),"")</f>
        <v/>
      </c>
      <c r="K3940">
        <f>IF(E3940="Domain",COUNTIF($E$2:E3940,"Domain"),"")</f>
        <v/>
      </c>
    </row>
    <row r="3941">
      <c r="A3941" s="2" t="n"/>
      <c r="B3941">
        <f>LOWER(TRIM(A3941))</f>
        <v/>
      </c>
      <c r="C3941">
        <f>IF(B3941="","",IFERROR(INDEX('Bad Patterns'!$A$2:$A$120,MATCH(1,INDEX(--ISNUMBER(SEARCH('Bad Patterns'!$A$2:$A$120,B3941)),0),0)),""))</f>
        <v/>
      </c>
      <c r="D3941">
        <f>IF(B3941="","",IF(C3941&lt;&gt;"","REMOVE","KEEP"))</f>
        <v/>
      </c>
      <c r="E3941">
        <f>IF(D3941&lt;&gt;"KEEP","",IF(RIGHT(B3941,10)="@gmail.com","Gmail",IF(OR(RIGHT(B3941,12)="@outlook.com",RIGHT(B3941,12)="@hotmail.com",RIGHT(B3941,9)="@live.com"),"Outlook","Domain")))</f>
        <v/>
      </c>
      <c r="F3941">
        <f>IF(B3941="","",IFERROR(RIGHT(B3941,LEN(B3941)-FIND("@",B3941)),""))</f>
        <v/>
      </c>
      <c r="G3941">
        <f>IF(D3941="KEEP",COUNTIF($D$2:D3941,"KEEP"),"")</f>
        <v/>
      </c>
      <c r="H3941">
        <f>IF(D3941="REMOVE",COUNTIF($D$2:D3941,"REMOVE"),"")</f>
        <v/>
      </c>
      <c r="I3941">
        <f>IF(E3941="Gmail",COUNTIF($E$2:E3941,"Gmail"),"")</f>
        <v/>
      </c>
      <c r="J3941">
        <f>IF(E3941="Outlook",COUNTIF($E$2:E3941,"Outlook"),"")</f>
        <v/>
      </c>
      <c r="K3941">
        <f>IF(E3941="Domain",COUNTIF($E$2:E3941,"Domain"),"")</f>
        <v/>
      </c>
    </row>
    <row r="3942">
      <c r="A3942" s="2" t="n"/>
      <c r="B3942">
        <f>LOWER(TRIM(A3942))</f>
        <v/>
      </c>
      <c r="C3942">
        <f>IF(B3942="","",IFERROR(INDEX('Bad Patterns'!$A$2:$A$120,MATCH(1,INDEX(--ISNUMBER(SEARCH('Bad Patterns'!$A$2:$A$120,B3942)),0),0)),""))</f>
        <v/>
      </c>
      <c r="D3942">
        <f>IF(B3942="","",IF(C3942&lt;&gt;"","REMOVE","KEEP"))</f>
        <v/>
      </c>
      <c r="E3942">
        <f>IF(D3942&lt;&gt;"KEEP","",IF(RIGHT(B3942,10)="@gmail.com","Gmail",IF(OR(RIGHT(B3942,12)="@outlook.com",RIGHT(B3942,12)="@hotmail.com",RIGHT(B3942,9)="@live.com"),"Outlook","Domain")))</f>
        <v/>
      </c>
      <c r="F3942">
        <f>IF(B3942="","",IFERROR(RIGHT(B3942,LEN(B3942)-FIND("@",B3942)),""))</f>
        <v/>
      </c>
      <c r="G3942">
        <f>IF(D3942="KEEP",COUNTIF($D$2:D3942,"KEEP"),"")</f>
        <v/>
      </c>
      <c r="H3942">
        <f>IF(D3942="REMOVE",COUNTIF($D$2:D3942,"REMOVE"),"")</f>
        <v/>
      </c>
      <c r="I3942">
        <f>IF(E3942="Gmail",COUNTIF($E$2:E3942,"Gmail"),"")</f>
        <v/>
      </c>
      <c r="J3942">
        <f>IF(E3942="Outlook",COUNTIF($E$2:E3942,"Outlook"),"")</f>
        <v/>
      </c>
      <c r="K3942">
        <f>IF(E3942="Domain",COUNTIF($E$2:E3942,"Domain"),"")</f>
        <v/>
      </c>
    </row>
    <row r="3943">
      <c r="A3943" s="2" t="n"/>
      <c r="B3943">
        <f>LOWER(TRIM(A3943))</f>
        <v/>
      </c>
      <c r="C3943">
        <f>IF(B3943="","",IFERROR(INDEX('Bad Patterns'!$A$2:$A$120,MATCH(1,INDEX(--ISNUMBER(SEARCH('Bad Patterns'!$A$2:$A$120,B3943)),0),0)),""))</f>
        <v/>
      </c>
      <c r="D3943">
        <f>IF(B3943="","",IF(C3943&lt;&gt;"","REMOVE","KEEP"))</f>
        <v/>
      </c>
      <c r="E3943">
        <f>IF(D3943&lt;&gt;"KEEP","",IF(RIGHT(B3943,10)="@gmail.com","Gmail",IF(OR(RIGHT(B3943,12)="@outlook.com",RIGHT(B3943,12)="@hotmail.com",RIGHT(B3943,9)="@live.com"),"Outlook","Domain")))</f>
        <v/>
      </c>
      <c r="F3943">
        <f>IF(B3943="","",IFERROR(RIGHT(B3943,LEN(B3943)-FIND("@",B3943)),""))</f>
        <v/>
      </c>
      <c r="G3943">
        <f>IF(D3943="KEEP",COUNTIF($D$2:D3943,"KEEP"),"")</f>
        <v/>
      </c>
      <c r="H3943">
        <f>IF(D3943="REMOVE",COUNTIF($D$2:D3943,"REMOVE"),"")</f>
        <v/>
      </c>
      <c r="I3943">
        <f>IF(E3943="Gmail",COUNTIF($E$2:E3943,"Gmail"),"")</f>
        <v/>
      </c>
      <c r="J3943">
        <f>IF(E3943="Outlook",COUNTIF($E$2:E3943,"Outlook"),"")</f>
        <v/>
      </c>
      <c r="K3943">
        <f>IF(E3943="Domain",COUNTIF($E$2:E3943,"Domain"),"")</f>
        <v/>
      </c>
    </row>
    <row r="3944">
      <c r="A3944" s="2" t="n"/>
      <c r="B3944">
        <f>LOWER(TRIM(A3944))</f>
        <v/>
      </c>
      <c r="C3944">
        <f>IF(B3944="","",IFERROR(INDEX('Bad Patterns'!$A$2:$A$120,MATCH(1,INDEX(--ISNUMBER(SEARCH('Bad Patterns'!$A$2:$A$120,B3944)),0),0)),""))</f>
        <v/>
      </c>
      <c r="D3944">
        <f>IF(B3944="","",IF(C3944&lt;&gt;"","REMOVE","KEEP"))</f>
        <v/>
      </c>
      <c r="E3944">
        <f>IF(D3944&lt;&gt;"KEEP","",IF(RIGHT(B3944,10)="@gmail.com","Gmail",IF(OR(RIGHT(B3944,12)="@outlook.com",RIGHT(B3944,12)="@hotmail.com",RIGHT(B3944,9)="@live.com"),"Outlook","Domain")))</f>
        <v/>
      </c>
      <c r="F3944">
        <f>IF(B3944="","",IFERROR(RIGHT(B3944,LEN(B3944)-FIND("@",B3944)),""))</f>
        <v/>
      </c>
      <c r="G3944">
        <f>IF(D3944="KEEP",COUNTIF($D$2:D3944,"KEEP"),"")</f>
        <v/>
      </c>
      <c r="H3944">
        <f>IF(D3944="REMOVE",COUNTIF($D$2:D3944,"REMOVE"),"")</f>
        <v/>
      </c>
      <c r="I3944">
        <f>IF(E3944="Gmail",COUNTIF($E$2:E3944,"Gmail"),"")</f>
        <v/>
      </c>
      <c r="J3944">
        <f>IF(E3944="Outlook",COUNTIF($E$2:E3944,"Outlook"),"")</f>
        <v/>
      </c>
      <c r="K3944">
        <f>IF(E3944="Domain",COUNTIF($E$2:E3944,"Domain"),"")</f>
        <v/>
      </c>
    </row>
    <row r="3945">
      <c r="A3945" s="2" t="n"/>
      <c r="B3945">
        <f>LOWER(TRIM(A3945))</f>
        <v/>
      </c>
      <c r="C3945">
        <f>IF(B3945="","",IFERROR(INDEX('Bad Patterns'!$A$2:$A$120,MATCH(1,INDEX(--ISNUMBER(SEARCH('Bad Patterns'!$A$2:$A$120,B3945)),0),0)),""))</f>
        <v/>
      </c>
      <c r="D3945">
        <f>IF(B3945="","",IF(C3945&lt;&gt;"","REMOVE","KEEP"))</f>
        <v/>
      </c>
      <c r="E3945">
        <f>IF(D3945&lt;&gt;"KEEP","",IF(RIGHT(B3945,10)="@gmail.com","Gmail",IF(OR(RIGHT(B3945,12)="@outlook.com",RIGHT(B3945,12)="@hotmail.com",RIGHT(B3945,9)="@live.com"),"Outlook","Domain")))</f>
        <v/>
      </c>
      <c r="F3945">
        <f>IF(B3945="","",IFERROR(RIGHT(B3945,LEN(B3945)-FIND("@",B3945)),""))</f>
        <v/>
      </c>
      <c r="G3945">
        <f>IF(D3945="KEEP",COUNTIF($D$2:D3945,"KEEP"),"")</f>
        <v/>
      </c>
      <c r="H3945">
        <f>IF(D3945="REMOVE",COUNTIF($D$2:D3945,"REMOVE"),"")</f>
        <v/>
      </c>
      <c r="I3945">
        <f>IF(E3945="Gmail",COUNTIF($E$2:E3945,"Gmail"),"")</f>
        <v/>
      </c>
      <c r="J3945">
        <f>IF(E3945="Outlook",COUNTIF($E$2:E3945,"Outlook"),"")</f>
        <v/>
      </c>
      <c r="K3945">
        <f>IF(E3945="Domain",COUNTIF($E$2:E3945,"Domain"),"")</f>
        <v/>
      </c>
    </row>
    <row r="3946">
      <c r="A3946" s="2" t="n"/>
      <c r="B3946">
        <f>LOWER(TRIM(A3946))</f>
        <v/>
      </c>
      <c r="C3946">
        <f>IF(B3946="","",IFERROR(INDEX('Bad Patterns'!$A$2:$A$120,MATCH(1,INDEX(--ISNUMBER(SEARCH('Bad Patterns'!$A$2:$A$120,B3946)),0),0)),""))</f>
        <v/>
      </c>
      <c r="D3946">
        <f>IF(B3946="","",IF(C3946&lt;&gt;"","REMOVE","KEEP"))</f>
        <v/>
      </c>
      <c r="E3946">
        <f>IF(D3946&lt;&gt;"KEEP","",IF(RIGHT(B3946,10)="@gmail.com","Gmail",IF(OR(RIGHT(B3946,12)="@outlook.com",RIGHT(B3946,12)="@hotmail.com",RIGHT(B3946,9)="@live.com"),"Outlook","Domain")))</f>
        <v/>
      </c>
      <c r="F3946">
        <f>IF(B3946="","",IFERROR(RIGHT(B3946,LEN(B3946)-FIND("@",B3946)),""))</f>
        <v/>
      </c>
      <c r="G3946">
        <f>IF(D3946="KEEP",COUNTIF($D$2:D3946,"KEEP"),"")</f>
        <v/>
      </c>
      <c r="H3946">
        <f>IF(D3946="REMOVE",COUNTIF($D$2:D3946,"REMOVE"),"")</f>
        <v/>
      </c>
      <c r="I3946">
        <f>IF(E3946="Gmail",COUNTIF($E$2:E3946,"Gmail"),"")</f>
        <v/>
      </c>
      <c r="J3946">
        <f>IF(E3946="Outlook",COUNTIF($E$2:E3946,"Outlook"),"")</f>
        <v/>
      </c>
      <c r="K3946">
        <f>IF(E3946="Domain",COUNTIF($E$2:E3946,"Domain"),"")</f>
        <v/>
      </c>
    </row>
    <row r="3947">
      <c r="A3947" s="2" t="n"/>
      <c r="B3947">
        <f>LOWER(TRIM(A3947))</f>
        <v/>
      </c>
      <c r="C3947">
        <f>IF(B3947="","",IFERROR(INDEX('Bad Patterns'!$A$2:$A$120,MATCH(1,INDEX(--ISNUMBER(SEARCH('Bad Patterns'!$A$2:$A$120,B3947)),0),0)),""))</f>
        <v/>
      </c>
      <c r="D3947">
        <f>IF(B3947="","",IF(C3947&lt;&gt;"","REMOVE","KEEP"))</f>
        <v/>
      </c>
      <c r="E3947">
        <f>IF(D3947&lt;&gt;"KEEP","",IF(RIGHT(B3947,10)="@gmail.com","Gmail",IF(OR(RIGHT(B3947,12)="@outlook.com",RIGHT(B3947,12)="@hotmail.com",RIGHT(B3947,9)="@live.com"),"Outlook","Domain")))</f>
        <v/>
      </c>
      <c r="F3947">
        <f>IF(B3947="","",IFERROR(RIGHT(B3947,LEN(B3947)-FIND("@",B3947)),""))</f>
        <v/>
      </c>
      <c r="G3947">
        <f>IF(D3947="KEEP",COUNTIF($D$2:D3947,"KEEP"),"")</f>
        <v/>
      </c>
      <c r="H3947">
        <f>IF(D3947="REMOVE",COUNTIF($D$2:D3947,"REMOVE"),"")</f>
        <v/>
      </c>
      <c r="I3947">
        <f>IF(E3947="Gmail",COUNTIF($E$2:E3947,"Gmail"),"")</f>
        <v/>
      </c>
      <c r="J3947">
        <f>IF(E3947="Outlook",COUNTIF($E$2:E3947,"Outlook"),"")</f>
        <v/>
      </c>
      <c r="K3947">
        <f>IF(E3947="Domain",COUNTIF($E$2:E3947,"Domain"),"")</f>
        <v/>
      </c>
    </row>
    <row r="3948">
      <c r="A3948" s="2" t="n"/>
      <c r="B3948">
        <f>LOWER(TRIM(A3948))</f>
        <v/>
      </c>
      <c r="C3948">
        <f>IF(B3948="","",IFERROR(INDEX('Bad Patterns'!$A$2:$A$120,MATCH(1,INDEX(--ISNUMBER(SEARCH('Bad Patterns'!$A$2:$A$120,B3948)),0),0)),""))</f>
        <v/>
      </c>
      <c r="D3948">
        <f>IF(B3948="","",IF(C3948&lt;&gt;"","REMOVE","KEEP"))</f>
        <v/>
      </c>
      <c r="E3948">
        <f>IF(D3948&lt;&gt;"KEEP","",IF(RIGHT(B3948,10)="@gmail.com","Gmail",IF(OR(RIGHT(B3948,12)="@outlook.com",RIGHT(B3948,12)="@hotmail.com",RIGHT(B3948,9)="@live.com"),"Outlook","Domain")))</f>
        <v/>
      </c>
      <c r="F3948">
        <f>IF(B3948="","",IFERROR(RIGHT(B3948,LEN(B3948)-FIND("@",B3948)),""))</f>
        <v/>
      </c>
      <c r="G3948">
        <f>IF(D3948="KEEP",COUNTIF($D$2:D3948,"KEEP"),"")</f>
        <v/>
      </c>
      <c r="H3948">
        <f>IF(D3948="REMOVE",COUNTIF($D$2:D3948,"REMOVE"),"")</f>
        <v/>
      </c>
      <c r="I3948">
        <f>IF(E3948="Gmail",COUNTIF($E$2:E3948,"Gmail"),"")</f>
        <v/>
      </c>
      <c r="J3948">
        <f>IF(E3948="Outlook",COUNTIF($E$2:E3948,"Outlook"),"")</f>
        <v/>
      </c>
      <c r="K3948">
        <f>IF(E3948="Domain",COUNTIF($E$2:E3948,"Domain"),"")</f>
        <v/>
      </c>
    </row>
    <row r="3949">
      <c r="A3949" s="2" t="n"/>
      <c r="B3949">
        <f>LOWER(TRIM(A3949))</f>
        <v/>
      </c>
      <c r="C3949">
        <f>IF(B3949="","",IFERROR(INDEX('Bad Patterns'!$A$2:$A$120,MATCH(1,INDEX(--ISNUMBER(SEARCH('Bad Patterns'!$A$2:$A$120,B3949)),0),0)),""))</f>
        <v/>
      </c>
      <c r="D3949">
        <f>IF(B3949="","",IF(C3949&lt;&gt;"","REMOVE","KEEP"))</f>
        <v/>
      </c>
      <c r="E3949">
        <f>IF(D3949&lt;&gt;"KEEP","",IF(RIGHT(B3949,10)="@gmail.com","Gmail",IF(OR(RIGHT(B3949,12)="@outlook.com",RIGHT(B3949,12)="@hotmail.com",RIGHT(B3949,9)="@live.com"),"Outlook","Domain")))</f>
        <v/>
      </c>
      <c r="F3949">
        <f>IF(B3949="","",IFERROR(RIGHT(B3949,LEN(B3949)-FIND("@",B3949)),""))</f>
        <v/>
      </c>
      <c r="G3949">
        <f>IF(D3949="KEEP",COUNTIF($D$2:D3949,"KEEP"),"")</f>
        <v/>
      </c>
      <c r="H3949">
        <f>IF(D3949="REMOVE",COUNTIF($D$2:D3949,"REMOVE"),"")</f>
        <v/>
      </c>
      <c r="I3949">
        <f>IF(E3949="Gmail",COUNTIF($E$2:E3949,"Gmail"),"")</f>
        <v/>
      </c>
      <c r="J3949">
        <f>IF(E3949="Outlook",COUNTIF($E$2:E3949,"Outlook"),"")</f>
        <v/>
      </c>
      <c r="K3949">
        <f>IF(E3949="Domain",COUNTIF($E$2:E3949,"Domain"),"")</f>
        <v/>
      </c>
    </row>
    <row r="3950">
      <c r="A3950" s="2" t="n"/>
      <c r="B3950">
        <f>LOWER(TRIM(A3950))</f>
        <v/>
      </c>
      <c r="C3950">
        <f>IF(B3950="","",IFERROR(INDEX('Bad Patterns'!$A$2:$A$120,MATCH(1,INDEX(--ISNUMBER(SEARCH('Bad Patterns'!$A$2:$A$120,B3950)),0),0)),""))</f>
        <v/>
      </c>
      <c r="D3950">
        <f>IF(B3950="","",IF(C3950&lt;&gt;"","REMOVE","KEEP"))</f>
        <v/>
      </c>
      <c r="E3950">
        <f>IF(D3950&lt;&gt;"KEEP","",IF(RIGHT(B3950,10)="@gmail.com","Gmail",IF(OR(RIGHT(B3950,12)="@outlook.com",RIGHT(B3950,12)="@hotmail.com",RIGHT(B3950,9)="@live.com"),"Outlook","Domain")))</f>
        <v/>
      </c>
      <c r="F3950">
        <f>IF(B3950="","",IFERROR(RIGHT(B3950,LEN(B3950)-FIND("@",B3950)),""))</f>
        <v/>
      </c>
      <c r="G3950">
        <f>IF(D3950="KEEP",COUNTIF($D$2:D3950,"KEEP"),"")</f>
        <v/>
      </c>
      <c r="H3950">
        <f>IF(D3950="REMOVE",COUNTIF($D$2:D3950,"REMOVE"),"")</f>
        <v/>
      </c>
      <c r="I3950">
        <f>IF(E3950="Gmail",COUNTIF($E$2:E3950,"Gmail"),"")</f>
        <v/>
      </c>
      <c r="J3950">
        <f>IF(E3950="Outlook",COUNTIF($E$2:E3950,"Outlook"),"")</f>
        <v/>
      </c>
      <c r="K3950">
        <f>IF(E3950="Domain",COUNTIF($E$2:E3950,"Domain"),"")</f>
        <v/>
      </c>
    </row>
    <row r="3951">
      <c r="A3951" s="2" t="n"/>
      <c r="B3951">
        <f>LOWER(TRIM(A3951))</f>
        <v/>
      </c>
      <c r="C3951">
        <f>IF(B3951="","",IFERROR(INDEX('Bad Patterns'!$A$2:$A$120,MATCH(1,INDEX(--ISNUMBER(SEARCH('Bad Patterns'!$A$2:$A$120,B3951)),0),0)),""))</f>
        <v/>
      </c>
      <c r="D3951">
        <f>IF(B3951="","",IF(C3951&lt;&gt;"","REMOVE","KEEP"))</f>
        <v/>
      </c>
      <c r="E3951">
        <f>IF(D3951&lt;&gt;"KEEP","",IF(RIGHT(B3951,10)="@gmail.com","Gmail",IF(OR(RIGHT(B3951,12)="@outlook.com",RIGHT(B3951,12)="@hotmail.com",RIGHT(B3951,9)="@live.com"),"Outlook","Domain")))</f>
        <v/>
      </c>
      <c r="F3951">
        <f>IF(B3951="","",IFERROR(RIGHT(B3951,LEN(B3951)-FIND("@",B3951)),""))</f>
        <v/>
      </c>
      <c r="G3951">
        <f>IF(D3951="KEEP",COUNTIF($D$2:D3951,"KEEP"),"")</f>
        <v/>
      </c>
      <c r="H3951">
        <f>IF(D3951="REMOVE",COUNTIF($D$2:D3951,"REMOVE"),"")</f>
        <v/>
      </c>
      <c r="I3951">
        <f>IF(E3951="Gmail",COUNTIF($E$2:E3951,"Gmail"),"")</f>
        <v/>
      </c>
      <c r="J3951">
        <f>IF(E3951="Outlook",COUNTIF($E$2:E3951,"Outlook"),"")</f>
        <v/>
      </c>
      <c r="K3951">
        <f>IF(E3951="Domain",COUNTIF($E$2:E3951,"Domain"),"")</f>
        <v/>
      </c>
    </row>
    <row r="3952">
      <c r="A3952" s="2" t="n"/>
      <c r="B3952">
        <f>LOWER(TRIM(A3952))</f>
        <v/>
      </c>
      <c r="C3952">
        <f>IF(B3952="","",IFERROR(INDEX('Bad Patterns'!$A$2:$A$120,MATCH(1,INDEX(--ISNUMBER(SEARCH('Bad Patterns'!$A$2:$A$120,B3952)),0),0)),""))</f>
        <v/>
      </c>
      <c r="D3952">
        <f>IF(B3952="","",IF(C3952&lt;&gt;"","REMOVE","KEEP"))</f>
        <v/>
      </c>
      <c r="E3952">
        <f>IF(D3952&lt;&gt;"KEEP","",IF(RIGHT(B3952,10)="@gmail.com","Gmail",IF(OR(RIGHT(B3952,12)="@outlook.com",RIGHT(B3952,12)="@hotmail.com",RIGHT(B3952,9)="@live.com"),"Outlook","Domain")))</f>
        <v/>
      </c>
      <c r="F3952">
        <f>IF(B3952="","",IFERROR(RIGHT(B3952,LEN(B3952)-FIND("@",B3952)),""))</f>
        <v/>
      </c>
      <c r="G3952">
        <f>IF(D3952="KEEP",COUNTIF($D$2:D3952,"KEEP"),"")</f>
        <v/>
      </c>
      <c r="H3952">
        <f>IF(D3952="REMOVE",COUNTIF($D$2:D3952,"REMOVE"),"")</f>
        <v/>
      </c>
      <c r="I3952">
        <f>IF(E3952="Gmail",COUNTIF($E$2:E3952,"Gmail"),"")</f>
        <v/>
      </c>
      <c r="J3952">
        <f>IF(E3952="Outlook",COUNTIF($E$2:E3952,"Outlook"),"")</f>
        <v/>
      </c>
      <c r="K3952">
        <f>IF(E3952="Domain",COUNTIF($E$2:E3952,"Domain"),"")</f>
        <v/>
      </c>
    </row>
    <row r="3953">
      <c r="A3953" s="2" t="n"/>
      <c r="B3953">
        <f>LOWER(TRIM(A3953))</f>
        <v/>
      </c>
      <c r="C3953">
        <f>IF(B3953="","",IFERROR(INDEX('Bad Patterns'!$A$2:$A$120,MATCH(1,INDEX(--ISNUMBER(SEARCH('Bad Patterns'!$A$2:$A$120,B3953)),0),0)),""))</f>
        <v/>
      </c>
      <c r="D3953">
        <f>IF(B3953="","",IF(C3953&lt;&gt;"","REMOVE","KEEP"))</f>
        <v/>
      </c>
      <c r="E3953">
        <f>IF(D3953&lt;&gt;"KEEP","",IF(RIGHT(B3953,10)="@gmail.com","Gmail",IF(OR(RIGHT(B3953,12)="@outlook.com",RIGHT(B3953,12)="@hotmail.com",RIGHT(B3953,9)="@live.com"),"Outlook","Domain")))</f>
        <v/>
      </c>
      <c r="F3953">
        <f>IF(B3953="","",IFERROR(RIGHT(B3953,LEN(B3953)-FIND("@",B3953)),""))</f>
        <v/>
      </c>
      <c r="G3953">
        <f>IF(D3953="KEEP",COUNTIF($D$2:D3953,"KEEP"),"")</f>
        <v/>
      </c>
      <c r="H3953">
        <f>IF(D3953="REMOVE",COUNTIF($D$2:D3953,"REMOVE"),"")</f>
        <v/>
      </c>
      <c r="I3953">
        <f>IF(E3953="Gmail",COUNTIF($E$2:E3953,"Gmail"),"")</f>
        <v/>
      </c>
      <c r="J3953">
        <f>IF(E3953="Outlook",COUNTIF($E$2:E3953,"Outlook"),"")</f>
        <v/>
      </c>
      <c r="K3953">
        <f>IF(E3953="Domain",COUNTIF($E$2:E3953,"Domain"),"")</f>
        <v/>
      </c>
    </row>
    <row r="3954">
      <c r="A3954" s="2" t="n"/>
      <c r="B3954">
        <f>LOWER(TRIM(A3954))</f>
        <v/>
      </c>
      <c r="C3954">
        <f>IF(B3954="","",IFERROR(INDEX('Bad Patterns'!$A$2:$A$120,MATCH(1,INDEX(--ISNUMBER(SEARCH('Bad Patterns'!$A$2:$A$120,B3954)),0),0)),""))</f>
        <v/>
      </c>
      <c r="D3954">
        <f>IF(B3954="","",IF(C3954&lt;&gt;"","REMOVE","KEEP"))</f>
        <v/>
      </c>
      <c r="E3954">
        <f>IF(D3954&lt;&gt;"KEEP","",IF(RIGHT(B3954,10)="@gmail.com","Gmail",IF(OR(RIGHT(B3954,12)="@outlook.com",RIGHT(B3954,12)="@hotmail.com",RIGHT(B3954,9)="@live.com"),"Outlook","Domain")))</f>
        <v/>
      </c>
      <c r="F3954">
        <f>IF(B3954="","",IFERROR(RIGHT(B3954,LEN(B3954)-FIND("@",B3954)),""))</f>
        <v/>
      </c>
      <c r="G3954">
        <f>IF(D3954="KEEP",COUNTIF($D$2:D3954,"KEEP"),"")</f>
        <v/>
      </c>
      <c r="H3954">
        <f>IF(D3954="REMOVE",COUNTIF($D$2:D3954,"REMOVE"),"")</f>
        <v/>
      </c>
      <c r="I3954">
        <f>IF(E3954="Gmail",COUNTIF($E$2:E3954,"Gmail"),"")</f>
        <v/>
      </c>
      <c r="J3954">
        <f>IF(E3954="Outlook",COUNTIF($E$2:E3954,"Outlook"),"")</f>
        <v/>
      </c>
      <c r="K3954">
        <f>IF(E3954="Domain",COUNTIF($E$2:E3954,"Domain"),"")</f>
        <v/>
      </c>
    </row>
    <row r="3955">
      <c r="A3955" s="2" t="n"/>
      <c r="B3955">
        <f>LOWER(TRIM(A3955))</f>
        <v/>
      </c>
      <c r="C3955">
        <f>IF(B3955="","",IFERROR(INDEX('Bad Patterns'!$A$2:$A$120,MATCH(1,INDEX(--ISNUMBER(SEARCH('Bad Patterns'!$A$2:$A$120,B3955)),0),0)),""))</f>
        <v/>
      </c>
      <c r="D3955">
        <f>IF(B3955="","",IF(C3955&lt;&gt;"","REMOVE","KEEP"))</f>
        <v/>
      </c>
      <c r="E3955">
        <f>IF(D3955&lt;&gt;"KEEP","",IF(RIGHT(B3955,10)="@gmail.com","Gmail",IF(OR(RIGHT(B3955,12)="@outlook.com",RIGHT(B3955,12)="@hotmail.com",RIGHT(B3955,9)="@live.com"),"Outlook","Domain")))</f>
        <v/>
      </c>
      <c r="F3955">
        <f>IF(B3955="","",IFERROR(RIGHT(B3955,LEN(B3955)-FIND("@",B3955)),""))</f>
        <v/>
      </c>
      <c r="G3955">
        <f>IF(D3955="KEEP",COUNTIF($D$2:D3955,"KEEP"),"")</f>
        <v/>
      </c>
      <c r="H3955">
        <f>IF(D3955="REMOVE",COUNTIF($D$2:D3955,"REMOVE"),"")</f>
        <v/>
      </c>
      <c r="I3955">
        <f>IF(E3955="Gmail",COUNTIF($E$2:E3955,"Gmail"),"")</f>
        <v/>
      </c>
      <c r="J3955">
        <f>IF(E3955="Outlook",COUNTIF($E$2:E3955,"Outlook"),"")</f>
        <v/>
      </c>
      <c r="K3955">
        <f>IF(E3955="Domain",COUNTIF($E$2:E3955,"Domain"),"")</f>
        <v/>
      </c>
    </row>
    <row r="3956">
      <c r="A3956" s="2" t="n"/>
      <c r="B3956">
        <f>LOWER(TRIM(A3956))</f>
        <v/>
      </c>
      <c r="C3956">
        <f>IF(B3956="","",IFERROR(INDEX('Bad Patterns'!$A$2:$A$120,MATCH(1,INDEX(--ISNUMBER(SEARCH('Bad Patterns'!$A$2:$A$120,B3956)),0),0)),""))</f>
        <v/>
      </c>
      <c r="D3956">
        <f>IF(B3956="","",IF(C3956&lt;&gt;"","REMOVE","KEEP"))</f>
        <v/>
      </c>
      <c r="E3956">
        <f>IF(D3956&lt;&gt;"KEEP","",IF(RIGHT(B3956,10)="@gmail.com","Gmail",IF(OR(RIGHT(B3956,12)="@outlook.com",RIGHT(B3956,12)="@hotmail.com",RIGHT(B3956,9)="@live.com"),"Outlook","Domain")))</f>
        <v/>
      </c>
      <c r="F3956">
        <f>IF(B3956="","",IFERROR(RIGHT(B3956,LEN(B3956)-FIND("@",B3956)),""))</f>
        <v/>
      </c>
      <c r="G3956">
        <f>IF(D3956="KEEP",COUNTIF($D$2:D3956,"KEEP"),"")</f>
        <v/>
      </c>
      <c r="H3956">
        <f>IF(D3956="REMOVE",COUNTIF($D$2:D3956,"REMOVE"),"")</f>
        <v/>
      </c>
      <c r="I3956">
        <f>IF(E3956="Gmail",COUNTIF($E$2:E3956,"Gmail"),"")</f>
        <v/>
      </c>
      <c r="J3956">
        <f>IF(E3956="Outlook",COUNTIF($E$2:E3956,"Outlook"),"")</f>
        <v/>
      </c>
      <c r="K3956">
        <f>IF(E3956="Domain",COUNTIF($E$2:E3956,"Domain"),"")</f>
        <v/>
      </c>
    </row>
    <row r="3957">
      <c r="A3957" s="2" t="n"/>
      <c r="B3957">
        <f>LOWER(TRIM(A3957))</f>
        <v/>
      </c>
      <c r="C3957">
        <f>IF(B3957="","",IFERROR(INDEX('Bad Patterns'!$A$2:$A$120,MATCH(1,INDEX(--ISNUMBER(SEARCH('Bad Patterns'!$A$2:$A$120,B3957)),0),0)),""))</f>
        <v/>
      </c>
      <c r="D3957">
        <f>IF(B3957="","",IF(C3957&lt;&gt;"","REMOVE","KEEP"))</f>
        <v/>
      </c>
      <c r="E3957">
        <f>IF(D3957&lt;&gt;"KEEP","",IF(RIGHT(B3957,10)="@gmail.com","Gmail",IF(OR(RIGHT(B3957,12)="@outlook.com",RIGHT(B3957,12)="@hotmail.com",RIGHT(B3957,9)="@live.com"),"Outlook","Domain")))</f>
        <v/>
      </c>
      <c r="F3957">
        <f>IF(B3957="","",IFERROR(RIGHT(B3957,LEN(B3957)-FIND("@",B3957)),""))</f>
        <v/>
      </c>
      <c r="G3957">
        <f>IF(D3957="KEEP",COUNTIF($D$2:D3957,"KEEP"),"")</f>
        <v/>
      </c>
      <c r="H3957">
        <f>IF(D3957="REMOVE",COUNTIF($D$2:D3957,"REMOVE"),"")</f>
        <v/>
      </c>
      <c r="I3957">
        <f>IF(E3957="Gmail",COUNTIF($E$2:E3957,"Gmail"),"")</f>
        <v/>
      </c>
      <c r="J3957">
        <f>IF(E3957="Outlook",COUNTIF($E$2:E3957,"Outlook"),"")</f>
        <v/>
      </c>
      <c r="K3957">
        <f>IF(E3957="Domain",COUNTIF($E$2:E3957,"Domain"),"")</f>
        <v/>
      </c>
    </row>
    <row r="3958">
      <c r="A3958" s="2" t="n"/>
      <c r="B3958">
        <f>LOWER(TRIM(A3958))</f>
        <v/>
      </c>
      <c r="C3958">
        <f>IF(B3958="","",IFERROR(INDEX('Bad Patterns'!$A$2:$A$120,MATCH(1,INDEX(--ISNUMBER(SEARCH('Bad Patterns'!$A$2:$A$120,B3958)),0),0)),""))</f>
        <v/>
      </c>
      <c r="D3958">
        <f>IF(B3958="","",IF(C3958&lt;&gt;"","REMOVE","KEEP"))</f>
        <v/>
      </c>
      <c r="E3958">
        <f>IF(D3958&lt;&gt;"KEEP","",IF(RIGHT(B3958,10)="@gmail.com","Gmail",IF(OR(RIGHT(B3958,12)="@outlook.com",RIGHT(B3958,12)="@hotmail.com",RIGHT(B3958,9)="@live.com"),"Outlook","Domain")))</f>
        <v/>
      </c>
      <c r="F3958">
        <f>IF(B3958="","",IFERROR(RIGHT(B3958,LEN(B3958)-FIND("@",B3958)),""))</f>
        <v/>
      </c>
      <c r="G3958">
        <f>IF(D3958="KEEP",COUNTIF($D$2:D3958,"KEEP"),"")</f>
        <v/>
      </c>
      <c r="H3958">
        <f>IF(D3958="REMOVE",COUNTIF($D$2:D3958,"REMOVE"),"")</f>
        <v/>
      </c>
      <c r="I3958">
        <f>IF(E3958="Gmail",COUNTIF($E$2:E3958,"Gmail"),"")</f>
        <v/>
      </c>
      <c r="J3958">
        <f>IF(E3958="Outlook",COUNTIF($E$2:E3958,"Outlook"),"")</f>
        <v/>
      </c>
      <c r="K3958">
        <f>IF(E3958="Domain",COUNTIF($E$2:E3958,"Domain"),"")</f>
        <v/>
      </c>
    </row>
    <row r="3959">
      <c r="A3959" s="2" t="n"/>
      <c r="B3959">
        <f>LOWER(TRIM(A3959))</f>
        <v/>
      </c>
      <c r="C3959">
        <f>IF(B3959="","",IFERROR(INDEX('Bad Patterns'!$A$2:$A$120,MATCH(1,INDEX(--ISNUMBER(SEARCH('Bad Patterns'!$A$2:$A$120,B3959)),0),0)),""))</f>
        <v/>
      </c>
      <c r="D3959">
        <f>IF(B3959="","",IF(C3959&lt;&gt;"","REMOVE","KEEP"))</f>
        <v/>
      </c>
      <c r="E3959">
        <f>IF(D3959&lt;&gt;"KEEP","",IF(RIGHT(B3959,10)="@gmail.com","Gmail",IF(OR(RIGHT(B3959,12)="@outlook.com",RIGHT(B3959,12)="@hotmail.com",RIGHT(B3959,9)="@live.com"),"Outlook","Domain")))</f>
        <v/>
      </c>
      <c r="F3959">
        <f>IF(B3959="","",IFERROR(RIGHT(B3959,LEN(B3959)-FIND("@",B3959)),""))</f>
        <v/>
      </c>
      <c r="G3959">
        <f>IF(D3959="KEEP",COUNTIF($D$2:D3959,"KEEP"),"")</f>
        <v/>
      </c>
      <c r="H3959">
        <f>IF(D3959="REMOVE",COUNTIF($D$2:D3959,"REMOVE"),"")</f>
        <v/>
      </c>
      <c r="I3959">
        <f>IF(E3959="Gmail",COUNTIF($E$2:E3959,"Gmail"),"")</f>
        <v/>
      </c>
      <c r="J3959">
        <f>IF(E3959="Outlook",COUNTIF($E$2:E3959,"Outlook"),"")</f>
        <v/>
      </c>
      <c r="K3959">
        <f>IF(E3959="Domain",COUNTIF($E$2:E3959,"Domain"),"")</f>
        <v/>
      </c>
    </row>
    <row r="3960">
      <c r="A3960" s="2" t="n"/>
      <c r="B3960">
        <f>LOWER(TRIM(A3960))</f>
        <v/>
      </c>
      <c r="C3960">
        <f>IF(B3960="","",IFERROR(INDEX('Bad Patterns'!$A$2:$A$120,MATCH(1,INDEX(--ISNUMBER(SEARCH('Bad Patterns'!$A$2:$A$120,B3960)),0),0)),""))</f>
        <v/>
      </c>
      <c r="D3960">
        <f>IF(B3960="","",IF(C3960&lt;&gt;"","REMOVE","KEEP"))</f>
        <v/>
      </c>
      <c r="E3960">
        <f>IF(D3960&lt;&gt;"KEEP","",IF(RIGHT(B3960,10)="@gmail.com","Gmail",IF(OR(RIGHT(B3960,12)="@outlook.com",RIGHT(B3960,12)="@hotmail.com",RIGHT(B3960,9)="@live.com"),"Outlook","Domain")))</f>
        <v/>
      </c>
      <c r="F3960">
        <f>IF(B3960="","",IFERROR(RIGHT(B3960,LEN(B3960)-FIND("@",B3960)),""))</f>
        <v/>
      </c>
      <c r="G3960">
        <f>IF(D3960="KEEP",COUNTIF($D$2:D3960,"KEEP"),"")</f>
        <v/>
      </c>
      <c r="H3960">
        <f>IF(D3960="REMOVE",COUNTIF($D$2:D3960,"REMOVE"),"")</f>
        <v/>
      </c>
      <c r="I3960">
        <f>IF(E3960="Gmail",COUNTIF($E$2:E3960,"Gmail"),"")</f>
        <v/>
      </c>
      <c r="J3960">
        <f>IF(E3960="Outlook",COUNTIF($E$2:E3960,"Outlook"),"")</f>
        <v/>
      </c>
      <c r="K3960">
        <f>IF(E3960="Domain",COUNTIF($E$2:E3960,"Domain"),"")</f>
        <v/>
      </c>
    </row>
    <row r="3961">
      <c r="A3961" s="2" t="n"/>
      <c r="B3961">
        <f>LOWER(TRIM(A3961))</f>
        <v/>
      </c>
      <c r="C3961">
        <f>IF(B3961="","",IFERROR(INDEX('Bad Patterns'!$A$2:$A$120,MATCH(1,INDEX(--ISNUMBER(SEARCH('Bad Patterns'!$A$2:$A$120,B3961)),0),0)),""))</f>
        <v/>
      </c>
      <c r="D3961">
        <f>IF(B3961="","",IF(C3961&lt;&gt;"","REMOVE","KEEP"))</f>
        <v/>
      </c>
      <c r="E3961">
        <f>IF(D3961&lt;&gt;"KEEP","",IF(RIGHT(B3961,10)="@gmail.com","Gmail",IF(OR(RIGHT(B3961,12)="@outlook.com",RIGHT(B3961,12)="@hotmail.com",RIGHT(B3961,9)="@live.com"),"Outlook","Domain")))</f>
        <v/>
      </c>
      <c r="F3961">
        <f>IF(B3961="","",IFERROR(RIGHT(B3961,LEN(B3961)-FIND("@",B3961)),""))</f>
        <v/>
      </c>
      <c r="G3961">
        <f>IF(D3961="KEEP",COUNTIF($D$2:D3961,"KEEP"),"")</f>
        <v/>
      </c>
      <c r="H3961">
        <f>IF(D3961="REMOVE",COUNTIF($D$2:D3961,"REMOVE"),"")</f>
        <v/>
      </c>
      <c r="I3961">
        <f>IF(E3961="Gmail",COUNTIF($E$2:E3961,"Gmail"),"")</f>
        <v/>
      </c>
      <c r="J3961">
        <f>IF(E3961="Outlook",COUNTIF($E$2:E3961,"Outlook"),"")</f>
        <v/>
      </c>
      <c r="K3961">
        <f>IF(E3961="Domain",COUNTIF($E$2:E3961,"Domain"),"")</f>
        <v/>
      </c>
    </row>
    <row r="3962">
      <c r="A3962" s="2" t="n"/>
      <c r="B3962">
        <f>LOWER(TRIM(A3962))</f>
        <v/>
      </c>
      <c r="C3962">
        <f>IF(B3962="","",IFERROR(INDEX('Bad Patterns'!$A$2:$A$120,MATCH(1,INDEX(--ISNUMBER(SEARCH('Bad Patterns'!$A$2:$A$120,B3962)),0),0)),""))</f>
        <v/>
      </c>
      <c r="D3962">
        <f>IF(B3962="","",IF(C3962&lt;&gt;"","REMOVE","KEEP"))</f>
        <v/>
      </c>
      <c r="E3962">
        <f>IF(D3962&lt;&gt;"KEEP","",IF(RIGHT(B3962,10)="@gmail.com","Gmail",IF(OR(RIGHT(B3962,12)="@outlook.com",RIGHT(B3962,12)="@hotmail.com",RIGHT(B3962,9)="@live.com"),"Outlook","Domain")))</f>
        <v/>
      </c>
      <c r="F3962">
        <f>IF(B3962="","",IFERROR(RIGHT(B3962,LEN(B3962)-FIND("@",B3962)),""))</f>
        <v/>
      </c>
      <c r="G3962">
        <f>IF(D3962="KEEP",COUNTIF($D$2:D3962,"KEEP"),"")</f>
        <v/>
      </c>
      <c r="H3962">
        <f>IF(D3962="REMOVE",COUNTIF($D$2:D3962,"REMOVE"),"")</f>
        <v/>
      </c>
      <c r="I3962">
        <f>IF(E3962="Gmail",COUNTIF($E$2:E3962,"Gmail"),"")</f>
        <v/>
      </c>
      <c r="J3962">
        <f>IF(E3962="Outlook",COUNTIF($E$2:E3962,"Outlook"),"")</f>
        <v/>
      </c>
      <c r="K3962">
        <f>IF(E3962="Domain",COUNTIF($E$2:E3962,"Domain"),"")</f>
        <v/>
      </c>
    </row>
    <row r="3963">
      <c r="A3963" s="2" t="n"/>
      <c r="B3963">
        <f>LOWER(TRIM(A3963))</f>
        <v/>
      </c>
      <c r="C3963">
        <f>IF(B3963="","",IFERROR(INDEX('Bad Patterns'!$A$2:$A$120,MATCH(1,INDEX(--ISNUMBER(SEARCH('Bad Patterns'!$A$2:$A$120,B3963)),0),0)),""))</f>
        <v/>
      </c>
      <c r="D3963">
        <f>IF(B3963="","",IF(C3963&lt;&gt;"","REMOVE","KEEP"))</f>
        <v/>
      </c>
      <c r="E3963">
        <f>IF(D3963&lt;&gt;"KEEP","",IF(RIGHT(B3963,10)="@gmail.com","Gmail",IF(OR(RIGHT(B3963,12)="@outlook.com",RIGHT(B3963,12)="@hotmail.com",RIGHT(B3963,9)="@live.com"),"Outlook","Domain")))</f>
        <v/>
      </c>
      <c r="F3963">
        <f>IF(B3963="","",IFERROR(RIGHT(B3963,LEN(B3963)-FIND("@",B3963)),""))</f>
        <v/>
      </c>
      <c r="G3963">
        <f>IF(D3963="KEEP",COUNTIF($D$2:D3963,"KEEP"),"")</f>
        <v/>
      </c>
      <c r="H3963">
        <f>IF(D3963="REMOVE",COUNTIF($D$2:D3963,"REMOVE"),"")</f>
        <v/>
      </c>
      <c r="I3963">
        <f>IF(E3963="Gmail",COUNTIF($E$2:E3963,"Gmail"),"")</f>
        <v/>
      </c>
      <c r="J3963">
        <f>IF(E3963="Outlook",COUNTIF($E$2:E3963,"Outlook"),"")</f>
        <v/>
      </c>
      <c r="K3963">
        <f>IF(E3963="Domain",COUNTIF($E$2:E3963,"Domain"),"")</f>
        <v/>
      </c>
    </row>
    <row r="3964">
      <c r="A3964" s="2" t="n"/>
      <c r="B3964">
        <f>LOWER(TRIM(A3964))</f>
        <v/>
      </c>
      <c r="C3964">
        <f>IF(B3964="","",IFERROR(INDEX('Bad Patterns'!$A$2:$A$120,MATCH(1,INDEX(--ISNUMBER(SEARCH('Bad Patterns'!$A$2:$A$120,B3964)),0),0)),""))</f>
        <v/>
      </c>
      <c r="D3964">
        <f>IF(B3964="","",IF(C3964&lt;&gt;"","REMOVE","KEEP"))</f>
        <v/>
      </c>
      <c r="E3964">
        <f>IF(D3964&lt;&gt;"KEEP","",IF(RIGHT(B3964,10)="@gmail.com","Gmail",IF(OR(RIGHT(B3964,12)="@outlook.com",RIGHT(B3964,12)="@hotmail.com",RIGHT(B3964,9)="@live.com"),"Outlook","Domain")))</f>
        <v/>
      </c>
      <c r="F3964">
        <f>IF(B3964="","",IFERROR(RIGHT(B3964,LEN(B3964)-FIND("@",B3964)),""))</f>
        <v/>
      </c>
      <c r="G3964">
        <f>IF(D3964="KEEP",COUNTIF($D$2:D3964,"KEEP"),"")</f>
        <v/>
      </c>
      <c r="H3964">
        <f>IF(D3964="REMOVE",COUNTIF($D$2:D3964,"REMOVE"),"")</f>
        <v/>
      </c>
      <c r="I3964">
        <f>IF(E3964="Gmail",COUNTIF($E$2:E3964,"Gmail"),"")</f>
        <v/>
      </c>
      <c r="J3964">
        <f>IF(E3964="Outlook",COUNTIF($E$2:E3964,"Outlook"),"")</f>
        <v/>
      </c>
      <c r="K3964">
        <f>IF(E3964="Domain",COUNTIF($E$2:E3964,"Domain"),"")</f>
        <v/>
      </c>
    </row>
    <row r="3965">
      <c r="A3965" s="2" t="n"/>
      <c r="B3965">
        <f>LOWER(TRIM(A3965))</f>
        <v/>
      </c>
      <c r="C3965">
        <f>IF(B3965="","",IFERROR(INDEX('Bad Patterns'!$A$2:$A$120,MATCH(1,INDEX(--ISNUMBER(SEARCH('Bad Patterns'!$A$2:$A$120,B3965)),0),0)),""))</f>
        <v/>
      </c>
      <c r="D3965">
        <f>IF(B3965="","",IF(C3965&lt;&gt;"","REMOVE","KEEP"))</f>
        <v/>
      </c>
      <c r="E3965">
        <f>IF(D3965&lt;&gt;"KEEP","",IF(RIGHT(B3965,10)="@gmail.com","Gmail",IF(OR(RIGHT(B3965,12)="@outlook.com",RIGHT(B3965,12)="@hotmail.com",RIGHT(B3965,9)="@live.com"),"Outlook","Domain")))</f>
        <v/>
      </c>
      <c r="F3965">
        <f>IF(B3965="","",IFERROR(RIGHT(B3965,LEN(B3965)-FIND("@",B3965)),""))</f>
        <v/>
      </c>
      <c r="G3965">
        <f>IF(D3965="KEEP",COUNTIF($D$2:D3965,"KEEP"),"")</f>
        <v/>
      </c>
      <c r="H3965">
        <f>IF(D3965="REMOVE",COUNTIF($D$2:D3965,"REMOVE"),"")</f>
        <v/>
      </c>
      <c r="I3965">
        <f>IF(E3965="Gmail",COUNTIF($E$2:E3965,"Gmail"),"")</f>
        <v/>
      </c>
      <c r="J3965">
        <f>IF(E3965="Outlook",COUNTIF($E$2:E3965,"Outlook"),"")</f>
        <v/>
      </c>
      <c r="K3965">
        <f>IF(E3965="Domain",COUNTIF($E$2:E3965,"Domain"),"")</f>
        <v/>
      </c>
    </row>
    <row r="3966">
      <c r="A3966" s="2" t="n"/>
      <c r="B3966">
        <f>LOWER(TRIM(A3966))</f>
        <v/>
      </c>
      <c r="C3966">
        <f>IF(B3966="","",IFERROR(INDEX('Bad Patterns'!$A$2:$A$120,MATCH(1,INDEX(--ISNUMBER(SEARCH('Bad Patterns'!$A$2:$A$120,B3966)),0),0)),""))</f>
        <v/>
      </c>
      <c r="D3966">
        <f>IF(B3966="","",IF(C3966&lt;&gt;"","REMOVE","KEEP"))</f>
        <v/>
      </c>
      <c r="E3966">
        <f>IF(D3966&lt;&gt;"KEEP","",IF(RIGHT(B3966,10)="@gmail.com","Gmail",IF(OR(RIGHT(B3966,12)="@outlook.com",RIGHT(B3966,12)="@hotmail.com",RIGHT(B3966,9)="@live.com"),"Outlook","Domain")))</f>
        <v/>
      </c>
      <c r="F3966">
        <f>IF(B3966="","",IFERROR(RIGHT(B3966,LEN(B3966)-FIND("@",B3966)),""))</f>
        <v/>
      </c>
      <c r="G3966">
        <f>IF(D3966="KEEP",COUNTIF($D$2:D3966,"KEEP"),"")</f>
        <v/>
      </c>
      <c r="H3966">
        <f>IF(D3966="REMOVE",COUNTIF($D$2:D3966,"REMOVE"),"")</f>
        <v/>
      </c>
      <c r="I3966">
        <f>IF(E3966="Gmail",COUNTIF($E$2:E3966,"Gmail"),"")</f>
        <v/>
      </c>
      <c r="J3966">
        <f>IF(E3966="Outlook",COUNTIF($E$2:E3966,"Outlook"),"")</f>
        <v/>
      </c>
      <c r="K3966">
        <f>IF(E3966="Domain",COUNTIF($E$2:E3966,"Domain"),"")</f>
        <v/>
      </c>
    </row>
    <row r="3967">
      <c r="A3967" s="2" t="n"/>
      <c r="B3967">
        <f>LOWER(TRIM(A3967))</f>
        <v/>
      </c>
      <c r="C3967">
        <f>IF(B3967="","",IFERROR(INDEX('Bad Patterns'!$A$2:$A$120,MATCH(1,INDEX(--ISNUMBER(SEARCH('Bad Patterns'!$A$2:$A$120,B3967)),0),0)),""))</f>
        <v/>
      </c>
      <c r="D3967">
        <f>IF(B3967="","",IF(C3967&lt;&gt;"","REMOVE","KEEP"))</f>
        <v/>
      </c>
      <c r="E3967">
        <f>IF(D3967&lt;&gt;"KEEP","",IF(RIGHT(B3967,10)="@gmail.com","Gmail",IF(OR(RIGHT(B3967,12)="@outlook.com",RIGHT(B3967,12)="@hotmail.com",RIGHT(B3967,9)="@live.com"),"Outlook","Domain")))</f>
        <v/>
      </c>
      <c r="F3967">
        <f>IF(B3967="","",IFERROR(RIGHT(B3967,LEN(B3967)-FIND("@",B3967)),""))</f>
        <v/>
      </c>
      <c r="G3967">
        <f>IF(D3967="KEEP",COUNTIF($D$2:D3967,"KEEP"),"")</f>
        <v/>
      </c>
      <c r="H3967">
        <f>IF(D3967="REMOVE",COUNTIF($D$2:D3967,"REMOVE"),"")</f>
        <v/>
      </c>
      <c r="I3967">
        <f>IF(E3967="Gmail",COUNTIF($E$2:E3967,"Gmail"),"")</f>
        <v/>
      </c>
      <c r="J3967">
        <f>IF(E3967="Outlook",COUNTIF($E$2:E3967,"Outlook"),"")</f>
        <v/>
      </c>
      <c r="K3967">
        <f>IF(E3967="Domain",COUNTIF($E$2:E3967,"Domain"),"")</f>
        <v/>
      </c>
    </row>
    <row r="3968">
      <c r="A3968" s="2" t="n"/>
      <c r="B3968">
        <f>LOWER(TRIM(A3968))</f>
        <v/>
      </c>
      <c r="C3968">
        <f>IF(B3968="","",IFERROR(INDEX('Bad Patterns'!$A$2:$A$120,MATCH(1,INDEX(--ISNUMBER(SEARCH('Bad Patterns'!$A$2:$A$120,B3968)),0),0)),""))</f>
        <v/>
      </c>
      <c r="D3968">
        <f>IF(B3968="","",IF(C3968&lt;&gt;"","REMOVE","KEEP"))</f>
        <v/>
      </c>
      <c r="E3968">
        <f>IF(D3968&lt;&gt;"KEEP","",IF(RIGHT(B3968,10)="@gmail.com","Gmail",IF(OR(RIGHT(B3968,12)="@outlook.com",RIGHT(B3968,12)="@hotmail.com",RIGHT(B3968,9)="@live.com"),"Outlook","Domain")))</f>
        <v/>
      </c>
      <c r="F3968">
        <f>IF(B3968="","",IFERROR(RIGHT(B3968,LEN(B3968)-FIND("@",B3968)),""))</f>
        <v/>
      </c>
      <c r="G3968">
        <f>IF(D3968="KEEP",COUNTIF($D$2:D3968,"KEEP"),"")</f>
        <v/>
      </c>
      <c r="H3968">
        <f>IF(D3968="REMOVE",COUNTIF($D$2:D3968,"REMOVE"),"")</f>
        <v/>
      </c>
      <c r="I3968">
        <f>IF(E3968="Gmail",COUNTIF($E$2:E3968,"Gmail"),"")</f>
        <v/>
      </c>
      <c r="J3968">
        <f>IF(E3968="Outlook",COUNTIF($E$2:E3968,"Outlook"),"")</f>
        <v/>
      </c>
      <c r="K3968">
        <f>IF(E3968="Domain",COUNTIF($E$2:E3968,"Domain"),"")</f>
        <v/>
      </c>
    </row>
    <row r="3969">
      <c r="A3969" s="2" t="n"/>
      <c r="B3969">
        <f>LOWER(TRIM(A3969))</f>
        <v/>
      </c>
      <c r="C3969">
        <f>IF(B3969="","",IFERROR(INDEX('Bad Patterns'!$A$2:$A$120,MATCH(1,INDEX(--ISNUMBER(SEARCH('Bad Patterns'!$A$2:$A$120,B3969)),0),0)),""))</f>
        <v/>
      </c>
      <c r="D3969">
        <f>IF(B3969="","",IF(C3969&lt;&gt;"","REMOVE","KEEP"))</f>
        <v/>
      </c>
      <c r="E3969">
        <f>IF(D3969&lt;&gt;"KEEP","",IF(RIGHT(B3969,10)="@gmail.com","Gmail",IF(OR(RIGHT(B3969,12)="@outlook.com",RIGHT(B3969,12)="@hotmail.com",RIGHT(B3969,9)="@live.com"),"Outlook","Domain")))</f>
        <v/>
      </c>
      <c r="F3969">
        <f>IF(B3969="","",IFERROR(RIGHT(B3969,LEN(B3969)-FIND("@",B3969)),""))</f>
        <v/>
      </c>
      <c r="G3969">
        <f>IF(D3969="KEEP",COUNTIF($D$2:D3969,"KEEP"),"")</f>
        <v/>
      </c>
      <c r="H3969">
        <f>IF(D3969="REMOVE",COUNTIF($D$2:D3969,"REMOVE"),"")</f>
        <v/>
      </c>
      <c r="I3969">
        <f>IF(E3969="Gmail",COUNTIF($E$2:E3969,"Gmail"),"")</f>
        <v/>
      </c>
      <c r="J3969">
        <f>IF(E3969="Outlook",COUNTIF($E$2:E3969,"Outlook"),"")</f>
        <v/>
      </c>
      <c r="K3969">
        <f>IF(E3969="Domain",COUNTIF($E$2:E3969,"Domain"),"")</f>
        <v/>
      </c>
    </row>
    <row r="3970">
      <c r="A3970" s="2" t="n"/>
      <c r="B3970">
        <f>LOWER(TRIM(A3970))</f>
        <v/>
      </c>
      <c r="C3970">
        <f>IF(B3970="","",IFERROR(INDEX('Bad Patterns'!$A$2:$A$120,MATCH(1,INDEX(--ISNUMBER(SEARCH('Bad Patterns'!$A$2:$A$120,B3970)),0),0)),""))</f>
        <v/>
      </c>
      <c r="D3970">
        <f>IF(B3970="","",IF(C3970&lt;&gt;"","REMOVE","KEEP"))</f>
        <v/>
      </c>
      <c r="E3970">
        <f>IF(D3970&lt;&gt;"KEEP","",IF(RIGHT(B3970,10)="@gmail.com","Gmail",IF(OR(RIGHT(B3970,12)="@outlook.com",RIGHT(B3970,12)="@hotmail.com",RIGHT(B3970,9)="@live.com"),"Outlook","Domain")))</f>
        <v/>
      </c>
      <c r="F3970">
        <f>IF(B3970="","",IFERROR(RIGHT(B3970,LEN(B3970)-FIND("@",B3970)),""))</f>
        <v/>
      </c>
      <c r="G3970">
        <f>IF(D3970="KEEP",COUNTIF($D$2:D3970,"KEEP"),"")</f>
        <v/>
      </c>
      <c r="H3970">
        <f>IF(D3970="REMOVE",COUNTIF($D$2:D3970,"REMOVE"),"")</f>
        <v/>
      </c>
      <c r="I3970">
        <f>IF(E3970="Gmail",COUNTIF($E$2:E3970,"Gmail"),"")</f>
        <v/>
      </c>
      <c r="J3970">
        <f>IF(E3970="Outlook",COUNTIF($E$2:E3970,"Outlook"),"")</f>
        <v/>
      </c>
      <c r="K3970">
        <f>IF(E3970="Domain",COUNTIF($E$2:E3970,"Domain"),"")</f>
        <v/>
      </c>
    </row>
    <row r="3971">
      <c r="A3971" s="2" t="n"/>
      <c r="B3971">
        <f>LOWER(TRIM(A3971))</f>
        <v/>
      </c>
      <c r="C3971">
        <f>IF(B3971="","",IFERROR(INDEX('Bad Patterns'!$A$2:$A$120,MATCH(1,INDEX(--ISNUMBER(SEARCH('Bad Patterns'!$A$2:$A$120,B3971)),0),0)),""))</f>
        <v/>
      </c>
      <c r="D3971">
        <f>IF(B3971="","",IF(C3971&lt;&gt;"","REMOVE","KEEP"))</f>
        <v/>
      </c>
      <c r="E3971">
        <f>IF(D3971&lt;&gt;"KEEP","",IF(RIGHT(B3971,10)="@gmail.com","Gmail",IF(OR(RIGHT(B3971,12)="@outlook.com",RIGHT(B3971,12)="@hotmail.com",RIGHT(B3971,9)="@live.com"),"Outlook","Domain")))</f>
        <v/>
      </c>
      <c r="F3971">
        <f>IF(B3971="","",IFERROR(RIGHT(B3971,LEN(B3971)-FIND("@",B3971)),""))</f>
        <v/>
      </c>
      <c r="G3971">
        <f>IF(D3971="KEEP",COUNTIF($D$2:D3971,"KEEP"),"")</f>
        <v/>
      </c>
      <c r="H3971">
        <f>IF(D3971="REMOVE",COUNTIF($D$2:D3971,"REMOVE"),"")</f>
        <v/>
      </c>
      <c r="I3971">
        <f>IF(E3971="Gmail",COUNTIF($E$2:E3971,"Gmail"),"")</f>
        <v/>
      </c>
      <c r="J3971">
        <f>IF(E3971="Outlook",COUNTIF($E$2:E3971,"Outlook"),"")</f>
        <v/>
      </c>
      <c r="K3971">
        <f>IF(E3971="Domain",COUNTIF($E$2:E3971,"Domain"),"")</f>
        <v/>
      </c>
    </row>
    <row r="3972">
      <c r="A3972" s="2" t="n"/>
      <c r="B3972">
        <f>LOWER(TRIM(A3972))</f>
        <v/>
      </c>
      <c r="C3972">
        <f>IF(B3972="","",IFERROR(INDEX('Bad Patterns'!$A$2:$A$120,MATCH(1,INDEX(--ISNUMBER(SEARCH('Bad Patterns'!$A$2:$A$120,B3972)),0),0)),""))</f>
        <v/>
      </c>
      <c r="D3972">
        <f>IF(B3972="","",IF(C3972&lt;&gt;"","REMOVE","KEEP"))</f>
        <v/>
      </c>
      <c r="E3972">
        <f>IF(D3972&lt;&gt;"KEEP","",IF(RIGHT(B3972,10)="@gmail.com","Gmail",IF(OR(RIGHT(B3972,12)="@outlook.com",RIGHT(B3972,12)="@hotmail.com",RIGHT(B3972,9)="@live.com"),"Outlook","Domain")))</f>
        <v/>
      </c>
      <c r="F3972">
        <f>IF(B3972="","",IFERROR(RIGHT(B3972,LEN(B3972)-FIND("@",B3972)),""))</f>
        <v/>
      </c>
      <c r="G3972">
        <f>IF(D3972="KEEP",COUNTIF($D$2:D3972,"KEEP"),"")</f>
        <v/>
      </c>
      <c r="H3972">
        <f>IF(D3972="REMOVE",COUNTIF($D$2:D3972,"REMOVE"),"")</f>
        <v/>
      </c>
      <c r="I3972">
        <f>IF(E3972="Gmail",COUNTIF($E$2:E3972,"Gmail"),"")</f>
        <v/>
      </c>
      <c r="J3972">
        <f>IF(E3972="Outlook",COUNTIF($E$2:E3972,"Outlook"),"")</f>
        <v/>
      </c>
      <c r="K3972">
        <f>IF(E3972="Domain",COUNTIF($E$2:E3972,"Domain"),"")</f>
        <v/>
      </c>
    </row>
    <row r="3973">
      <c r="A3973" s="2" t="n"/>
      <c r="B3973">
        <f>LOWER(TRIM(A3973))</f>
        <v/>
      </c>
      <c r="C3973">
        <f>IF(B3973="","",IFERROR(INDEX('Bad Patterns'!$A$2:$A$120,MATCH(1,INDEX(--ISNUMBER(SEARCH('Bad Patterns'!$A$2:$A$120,B3973)),0),0)),""))</f>
        <v/>
      </c>
      <c r="D3973">
        <f>IF(B3973="","",IF(C3973&lt;&gt;"","REMOVE","KEEP"))</f>
        <v/>
      </c>
      <c r="E3973">
        <f>IF(D3973&lt;&gt;"KEEP","",IF(RIGHT(B3973,10)="@gmail.com","Gmail",IF(OR(RIGHT(B3973,12)="@outlook.com",RIGHT(B3973,12)="@hotmail.com",RIGHT(B3973,9)="@live.com"),"Outlook","Domain")))</f>
        <v/>
      </c>
      <c r="F3973">
        <f>IF(B3973="","",IFERROR(RIGHT(B3973,LEN(B3973)-FIND("@",B3973)),""))</f>
        <v/>
      </c>
      <c r="G3973">
        <f>IF(D3973="KEEP",COUNTIF($D$2:D3973,"KEEP"),"")</f>
        <v/>
      </c>
      <c r="H3973">
        <f>IF(D3973="REMOVE",COUNTIF($D$2:D3973,"REMOVE"),"")</f>
        <v/>
      </c>
      <c r="I3973">
        <f>IF(E3973="Gmail",COUNTIF($E$2:E3973,"Gmail"),"")</f>
        <v/>
      </c>
      <c r="J3973">
        <f>IF(E3973="Outlook",COUNTIF($E$2:E3973,"Outlook"),"")</f>
        <v/>
      </c>
      <c r="K3973">
        <f>IF(E3973="Domain",COUNTIF($E$2:E3973,"Domain"),"")</f>
        <v/>
      </c>
    </row>
    <row r="3974">
      <c r="A3974" s="2" t="n"/>
      <c r="B3974">
        <f>LOWER(TRIM(A3974))</f>
        <v/>
      </c>
      <c r="C3974">
        <f>IF(B3974="","",IFERROR(INDEX('Bad Patterns'!$A$2:$A$120,MATCH(1,INDEX(--ISNUMBER(SEARCH('Bad Patterns'!$A$2:$A$120,B3974)),0),0)),""))</f>
        <v/>
      </c>
      <c r="D3974">
        <f>IF(B3974="","",IF(C3974&lt;&gt;"","REMOVE","KEEP"))</f>
        <v/>
      </c>
      <c r="E3974">
        <f>IF(D3974&lt;&gt;"KEEP","",IF(RIGHT(B3974,10)="@gmail.com","Gmail",IF(OR(RIGHT(B3974,12)="@outlook.com",RIGHT(B3974,12)="@hotmail.com",RIGHT(B3974,9)="@live.com"),"Outlook","Domain")))</f>
        <v/>
      </c>
      <c r="F3974">
        <f>IF(B3974="","",IFERROR(RIGHT(B3974,LEN(B3974)-FIND("@",B3974)),""))</f>
        <v/>
      </c>
      <c r="G3974">
        <f>IF(D3974="KEEP",COUNTIF($D$2:D3974,"KEEP"),"")</f>
        <v/>
      </c>
      <c r="H3974">
        <f>IF(D3974="REMOVE",COUNTIF($D$2:D3974,"REMOVE"),"")</f>
        <v/>
      </c>
      <c r="I3974">
        <f>IF(E3974="Gmail",COUNTIF($E$2:E3974,"Gmail"),"")</f>
        <v/>
      </c>
      <c r="J3974">
        <f>IF(E3974="Outlook",COUNTIF($E$2:E3974,"Outlook"),"")</f>
        <v/>
      </c>
      <c r="K3974">
        <f>IF(E3974="Domain",COUNTIF($E$2:E3974,"Domain"),"")</f>
        <v/>
      </c>
    </row>
    <row r="3975">
      <c r="A3975" s="2" t="n"/>
      <c r="B3975">
        <f>LOWER(TRIM(A3975))</f>
        <v/>
      </c>
      <c r="C3975">
        <f>IF(B3975="","",IFERROR(INDEX('Bad Patterns'!$A$2:$A$120,MATCH(1,INDEX(--ISNUMBER(SEARCH('Bad Patterns'!$A$2:$A$120,B3975)),0),0)),""))</f>
        <v/>
      </c>
      <c r="D3975">
        <f>IF(B3975="","",IF(C3975&lt;&gt;"","REMOVE","KEEP"))</f>
        <v/>
      </c>
      <c r="E3975">
        <f>IF(D3975&lt;&gt;"KEEP","",IF(RIGHT(B3975,10)="@gmail.com","Gmail",IF(OR(RIGHT(B3975,12)="@outlook.com",RIGHT(B3975,12)="@hotmail.com",RIGHT(B3975,9)="@live.com"),"Outlook","Domain")))</f>
        <v/>
      </c>
      <c r="F3975">
        <f>IF(B3975="","",IFERROR(RIGHT(B3975,LEN(B3975)-FIND("@",B3975)),""))</f>
        <v/>
      </c>
      <c r="G3975">
        <f>IF(D3975="KEEP",COUNTIF($D$2:D3975,"KEEP"),"")</f>
        <v/>
      </c>
      <c r="H3975">
        <f>IF(D3975="REMOVE",COUNTIF($D$2:D3975,"REMOVE"),"")</f>
        <v/>
      </c>
      <c r="I3975">
        <f>IF(E3975="Gmail",COUNTIF($E$2:E3975,"Gmail"),"")</f>
        <v/>
      </c>
      <c r="J3975">
        <f>IF(E3975="Outlook",COUNTIF($E$2:E3975,"Outlook"),"")</f>
        <v/>
      </c>
      <c r="K3975">
        <f>IF(E3975="Domain",COUNTIF($E$2:E3975,"Domain"),"")</f>
        <v/>
      </c>
    </row>
    <row r="3976">
      <c r="A3976" s="2" t="n"/>
      <c r="B3976">
        <f>LOWER(TRIM(A3976))</f>
        <v/>
      </c>
      <c r="C3976">
        <f>IF(B3976="","",IFERROR(INDEX('Bad Patterns'!$A$2:$A$120,MATCH(1,INDEX(--ISNUMBER(SEARCH('Bad Patterns'!$A$2:$A$120,B3976)),0),0)),""))</f>
        <v/>
      </c>
      <c r="D3976">
        <f>IF(B3976="","",IF(C3976&lt;&gt;"","REMOVE","KEEP"))</f>
        <v/>
      </c>
      <c r="E3976">
        <f>IF(D3976&lt;&gt;"KEEP","",IF(RIGHT(B3976,10)="@gmail.com","Gmail",IF(OR(RIGHT(B3976,12)="@outlook.com",RIGHT(B3976,12)="@hotmail.com",RIGHT(B3976,9)="@live.com"),"Outlook","Domain")))</f>
        <v/>
      </c>
      <c r="F3976">
        <f>IF(B3976="","",IFERROR(RIGHT(B3976,LEN(B3976)-FIND("@",B3976)),""))</f>
        <v/>
      </c>
      <c r="G3976">
        <f>IF(D3976="KEEP",COUNTIF($D$2:D3976,"KEEP"),"")</f>
        <v/>
      </c>
      <c r="H3976">
        <f>IF(D3976="REMOVE",COUNTIF($D$2:D3976,"REMOVE"),"")</f>
        <v/>
      </c>
      <c r="I3976">
        <f>IF(E3976="Gmail",COUNTIF($E$2:E3976,"Gmail"),"")</f>
        <v/>
      </c>
      <c r="J3976">
        <f>IF(E3976="Outlook",COUNTIF($E$2:E3976,"Outlook"),"")</f>
        <v/>
      </c>
      <c r="K3976">
        <f>IF(E3976="Domain",COUNTIF($E$2:E3976,"Domain"),"")</f>
        <v/>
      </c>
    </row>
    <row r="3977">
      <c r="A3977" s="2" t="n"/>
      <c r="B3977">
        <f>LOWER(TRIM(A3977))</f>
        <v/>
      </c>
      <c r="C3977">
        <f>IF(B3977="","",IFERROR(INDEX('Bad Patterns'!$A$2:$A$120,MATCH(1,INDEX(--ISNUMBER(SEARCH('Bad Patterns'!$A$2:$A$120,B3977)),0),0)),""))</f>
        <v/>
      </c>
      <c r="D3977">
        <f>IF(B3977="","",IF(C3977&lt;&gt;"","REMOVE","KEEP"))</f>
        <v/>
      </c>
      <c r="E3977">
        <f>IF(D3977&lt;&gt;"KEEP","",IF(RIGHT(B3977,10)="@gmail.com","Gmail",IF(OR(RIGHT(B3977,12)="@outlook.com",RIGHT(B3977,12)="@hotmail.com",RIGHT(B3977,9)="@live.com"),"Outlook","Domain")))</f>
        <v/>
      </c>
      <c r="F3977">
        <f>IF(B3977="","",IFERROR(RIGHT(B3977,LEN(B3977)-FIND("@",B3977)),""))</f>
        <v/>
      </c>
      <c r="G3977">
        <f>IF(D3977="KEEP",COUNTIF($D$2:D3977,"KEEP"),"")</f>
        <v/>
      </c>
      <c r="H3977">
        <f>IF(D3977="REMOVE",COUNTIF($D$2:D3977,"REMOVE"),"")</f>
        <v/>
      </c>
      <c r="I3977">
        <f>IF(E3977="Gmail",COUNTIF($E$2:E3977,"Gmail"),"")</f>
        <v/>
      </c>
      <c r="J3977">
        <f>IF(E3977="Outlook",COUNTIF($E$2:E3977,"Outlook"),"")</f>
        <v/>
      </c>
      <c r="K3977">
        <f>IF(E3977="Domain",COUNTIF($E$2:E3977,"Domain"),"")</f>
        <v/>
      </c>
    </row>
    <row r="3978">
      <c r="A3978" s="2" t="n"/>
      <c r="B3978">
        <f>LOWER(TRIM(A3978))</f>
        <v/>
      </c>
      <c r="C3978">
        <f>IF(B3978="","",IFERROR(INDEX('Bad Patterns'!$A$2:$A$120,MATCH(1,INDEX(--ISNUMBER(SEARCH('Bad Patterns'!$A$2:$A$120,B3978)),0),0)),""))</f>
        <v/>
      </c>
      <c r="D3978">
        <f>IF(B3978="","",IF(C3978&lt;&gt;"","REMOVE","KEEP"))</f>
        <v/>
      </c>
      <c r="E3978">
        <f>IF(D3978&lt;&gt;"KEEP","",IF(RIGHT(B3978,10)="@gmail.com","Gmail",IF(OR(RIGHT(B3978,12)="@outlook.com",RIGHT(B3978,12)="@hotmail.com",RIGHT(B3978,9)="@live.com"),"Outlook","Domain")))</f>
        <v/>
      </c>
      <c r="F3978">
        <f>IF(B3978="","",IFERROR(RIGHT(B3978,LEN(B3978)-FIND("@",B3978)),""))</f>
        <v/>
      </c>
      <c r="G3978">
        <f>IF(D3978="KEEP",COUNTIF($D$2:D3978,"KEEP"),"")</f>
        <v/>
      </c>
      <c r="H3978">
        <f>IF(D3978="REMOVE",COUNTIF($D$2:D3978,"REMOVE"),"")</f>
        <v/>
      </c>
      <c r="I3978">
        <f>IF(E3978="Gmail",COUNTIF($E$2:E3978,"Gmail"),"")</f>
        <v/>
      </c>
      <c r="J3978">
        <f>IF(E3978="Outlook",COUNTIF($E$2:E3978,"Outlook"),"")</f>
        <v/>
      </c>
      <c r="K3978">
        <f>IF(E3978="Domain",COUNTIF($E$2:E3978,"Domain"),"")</f>
        <v/>
      </c>
    </row>
    <row r="3979">
      <c r="A3979" s="2" t="n"/>
      <c r="B3979">
        <f>LOWER(TRIM(A3979))</f>
        <v/>
      </c>
      <c r="C3979">
        <f>IF(B3979="","",IFERROR(INDEX('Bad Patterns'!$A$2:$A$120,MATCH(1,INDEX(--ISNUMBER(SEARCH('Bad Patterns'!$A$2:$A$120,B3979)),0),0)),""))</f>
        <v/>
      </c>
      <c r="D3979">
        <f>IF(B3979="","",IF(C3979&lt;&gt;"","REMOVE","KEEP"))</f>
        <v/>
      </c>
      <c r="E3979">
        <f>IF(D3979&lt;&gt;"KEEP","",IF(RIGHT(B3979,10)="@gmail.com","Gmail",IF(OR(RIGHT(B3979,12)="@outlook.com",RIGHT(B3979,12)="@hotmail.com",RIGHT(B3979,9)="@live.com"),"Outlook","Domain")))</f>
        <v/>
      </c>
      <c r="F3979">
        <f>IF(B3979="","",IFERROR(RIGHT(B3979,LEN(B3979)-FIND("@",B3979)),""))</f>
        <v/>
      </c>
      <c r="G3979">
        <f>IF(D3979="KEEP",COUNTIF($D$2:D3979,"KEEP"),"")</f>
        <v/>
      </c>
      <c r="H3979">
        <f>IF(D3979="REMOVE",COUNTIF($D$2:D3979,"REMOVE"),"")</f>
        <v/>
      </c>
      <c r="I3979">
        <f>IF(E3979="Gmail",COUNTIF($E$2:E3979,"Gmail"),"")</f>
        <v/>
      </c>
      <c r="J3979">
        <f>IF(E3979="Outlook",COUNTIF($E$2:E3979,"Outlook"),"")</f>
        <v/>
      </c>
      <c r="K3979">
        <f>IF(E3979="Domain",COUNTIF($E$2:E3979,"Domain"),"")</f>
        <v/>
      </c>
    </row>
    <row r="3980">
      <c r="A3980" s="2" t="n"/>
      <c r="B3980">
        <f>LOWER(TRIM(A3980))</f>
        <v/>
      </c>
      <c r="C3980">
        <f>IF(B3980="","",IFERROR(INDEX('Bad Patterns'!$A$2:$A$120,MATCH(1,INDEX(--ISNUMBER(SEARCH('Bad Patterns'!$A$2:$A$120,B3980)),0),0)),""))</f>
        <v/>
      </c>
      <c r="D3980">
        <f>IF(B3980="","",IF(C3980&lt;&gt;"","REMOVE","KEEP"))</f>
        <v/>
      </c>
      <c r="E3980">
        <f>IF(D3980&lt;&gt;"KEEP","",IF(RIGHT(B3980,10)="@gmail.com","Gmail",IF(OR(RIGHT(B3980,12)="@outlook.com",RIGHT(B3980,12)="@hotmail.com",RIGHT(B3980,9)="@live.com"),"Outlook","Domain")))</f>
        <v/>
      </c>
      <c r="F3980">
        <f>IF(B3980="","",IFERROR(RIGHT(B3980,LEN(B3980)-FIND("@",B3980)),""))</f>
        <v/>
      </c>
      <c r="G3980">
        <f>IF(D3980="KEEP",COUNTIF($D$2:D3980,"KEEP"),"")</f>
        <v/>
      </c>
      <c r="H3980">
        <f>IF(D3980="REMOVE",COUNTIF($D$2:D3980,"REMOVE"),"")</f>
        <v/>
      </c>
      <c r="I3980">
        <f>IF(E3980="Gmail",COUNTIF($E$2:E3980,"Gmail"),"")</f>
        <v/>
      </c>
      <c r="J3980">
        <f>IF(E3980="Outlook",COUNTIF($E$2:E3980,"Outlook"),"")</f>
        <v/>
      </c>
      <c r="K3980">
        <f>IF(E3980="Domain",COUNTIF($E$2:E3980,"Domain"),"")</f>
        <v/>
      </c>
    </row>
    <row r="3981">
      <c r="A3981" s="2" t="n"/>
      <c r="B3981">
        <f>LOWER(TRIM(A3981))</f>
        <v/>
      </c>
      <c r="C3981">
        <f>IF(B3981="","",IFERROR(INDEX('Bad Patterns'!$A$2:$A$120,MATCH(1,INDEX(--ISNUMBER(SEARCH('Bad Patterns'!$A$2:$A$120,B3981)),0),0)),""))</f>
        <v/>
      </c>
      <c r="D3981">
        <f>IF(B3981="","",IF(C3981&lt;&gt;"","REMOVE","KEEP"))</f>
        <v/>
      </c>
      <c r="E3981">
        <f>IF(D3981&lt;&gt;"KEEP","",IF(RIGHT(B3981,10)="@gmail.com","Gmail",IF(OR(RIGHT(B3981,12)="@outlook.com",RIGHT(B3981,12)="@hotmail.com",RIGHT(B3981,9)="@live.com"),"Outlook","Domain")))</f>
        <v/>
      </c>
      <c r="F3981">
        <f>IF(B3981="","",IFERROR(RIGHT(B3981,LEN(B3981)-FIND("@",B3981)),""))</f>
        <v/>
      </c>
      <c r="G3981">
        <f>IF(D3981="KEEP",COUNTIF($D$2:D3981,"KEEP"),"")</f>
        <v/>
      </c>
      <c r="H3981">
        <f>IF(D3981="REMOVE",COUNTIF($D$2:D3981,"REMOVE"),"")</f>
        <v/>
      </c>
      <c r="I3981">
        <f>IF(E3981="Gmail",COUNTIF($E$2:E3981,"Gmail"),"")</f>
        <v/>
      </c>
      <c r="J3981">
        <f>IF(E3981="Outlook",COUNTIF($E$2:E3981,"Outlook"),"")</f>
        <v/>
      </c>
      <c r="K3981">
        <f>IF(E3981="Domain",COUNTIF($E$2:E3981,"Domain"),"")</f>
        <v/>
      </c>
    </row>
    <row r="3982">
      <c r="A3982" s="2" t="n"/>
      <c r="B3982">
        <f>LOWER(TRIM(A3982))</f>
        <v/>
      </c>
      <c r="C3982">
        <f>IF(B3982="","",IFERROR(INDEX('Bad Patterns'!$A$2:$A$120,MATCH(1,INDEX(--ISNUMBER(SEARCH('Bad Patterns'!$A$2:$A$120,B3982)),0),0)),""))</f>
        <v/>
      </c>
      <c r="D3982">
        <f>IF(B3982="","",IF(C3982&lt;&gt;"","REMOVE","KEEP"))</f>
        <v/>
      </c>
      <c r="E3982">
        <f>IF(D3982&lt;&gt;"KEEP","",IF(RIGHT(B3982,10)="@gmail.com","Gmail",IF(OR(RIGHT(B3982,12)="@outlook.com",RIGHT(B3982,12)="@hotmail.com",RIGHT(B3982,9)="@live.com"),"Outlook","Domain")))</f>
        <v/>
      </c>
      <c r="F3982">
        <f>IF(B3982="","",IFERROR(RIGHT(B3982,LEN(B3982)-FIND("@",B3982)),""))</f>
        <v/>
      </c>
      <c r="G3982">
        <f>IF(D3982="KEEP",COUNTIF($D$2:D3982,"KEEP"),"")</f>
        <v/>
      </c>
      <c r="H3982">
        <f>IF(D3982="REMOVE",COUNTIF($D$2:D3982,"REMOVE"),"")</f>
        <v/>
      </c>
      <c r="I3982">
        <f>IF(E3982="Gmail",COUNTIF($E$2:E3982,"Gmail"),"")</f>
        <v/>
      </c>
      <c r="J3982">
        <f>IF(E3982="Outlook",COUNTIF($E$2:E3982,"Outlook"),"")</f>
        <v/>
      </c>
      <c r="K3982">
        <f>IF(E3982="Domain",COUNTIF($E$2:E3982,"Domain"),"")</f>
        <v/>
      </c>
    </row>
    <row r="3983">
      <c r="A3983" s="2" t="n"/>
      <c r="B3983">
        <f>LOWER(TRIM(A3983))</f>
        <v/>
      </c>
      <c r="C3983">
        <f>IF(B3983="","",IFERROR(INDEX('Bad Patterns'!$A$2:$A$120,MATCH(1,INDEX(--ISNUMBER(SEARCH('Bad Patterns'!$A$2:$A$120,B3983)),0),0)),""))</f>
        <v/>
      </c>
      <c r="D3983">
        <f>IF(B3983="","",IF(C3983&lt;&gt;"","REMOVE","KEEP"))</f>
        <v/>
      </c>
      <c r="E3983">
        <f>IF(D3983&lt;&gt;"KEEP","",IF(RIGHT(B3983,10)="@gmail.com","Gmail",IF(OR(RIGHT(B3983,12)="@outlook.com",RIGHT(B3983,12)="@hotmail.com",RIGHT(B3983,9)="@live.com"),"Outlook","Domain")))</f>
        <v/>
      </c>
      <c r="F3983">
        <f>IF(B3983="","",IFERROR(RIGHT(B3983,LEN(B3983)-FIND("@",B3983)),""))</f>
        <v/>
      </c>
      <c r="G3983">
        <f>IF(D3983="KEEP",COUNTIF($D$2:D3983,"KEEP"),"")</f>
        <v/>
      </c>
      <c r="H3983">
        <f>IF(D3983="REMOVE",COUNTIF($D$2:D3983,"REMOVE"),"")</f>
        <v/>
      </c>
      <c r="I3983">
        <f>IF(E3983="Gmail",COUNTIF($E$2:E3983,"Gmail"),"")</f>
        <v/>
      </c>
      <c r="J3983">
        <f>IF(E3983="Outlook",COUNTIF($E$2:E3983,"Outlook"),"")</f>
        <v/>
      </c>
      <c r="K3983">
        <f>IF(E3983="Domain",COUNTIF($E$2:E3983,"Domain"),"")</f>
        <v/>
      </c>
    </row>
    <row r="3984">
      <c r="A3984" s="2" t="n"/>
      <c r="B3984">
        <f>LOWER(TRIM(A3984))</f>
        <v/>
      </c>
      <c r="C3984">
        <f>IF(B3984="","",IFERROR(INDEX('Bad Patterns'!$A$2:$A$120,MATCH(1,INDEX(--ISNUMBER(SEARCH('Bad Patterns'!$A$2:$A$120,B3984)),0),0)),""))</f>
        <v/>
      </c>
      <c r="D3984">
        <f>IF(B3984="","",IF(C3984&lt;&gt;"","REMOVE","KEEP"))</f>
        <v/>
      </c>
      <c r="E3984">
        <f>IF(D3984&lt;&gt;"KEEP","",IF(RIGHT(B3984,10)="@gmail.com","Gmail",IF(OR(RIGHT(B3984,12)="@outlook.com",RIGHT(B3984,12)="@hotmail.com",RIGHT(B3984,9)="@live.com"),"Outlook","Domain")))</f>
        <v/>
      </c>
      <c r="F3984">
        <f>IF(B3984="","",IFERROR(RIGHT(B3984,LEN(B3984)-FIND("@",B3984)),""))</f>
        <v/>
      </c>
      <c r="G3984">
        <f>IF(D3984="KEEP",COUNTIF($D$2:D3984,"KEEP"),"")</f>
        <v/>
      </c>
      <c r="H3984">
        <f>IF(D3984="REMOVE",COUNTIF($D$2:D3984,"REMOVE"),"")</f>
        <v/>
      </c>
      <c r="I3984">
        <f>IF(E3984="Gmail",COUNTIF($E$2:E3984,"Gmail"),"")</f>
        <v/>
      </c>
      <c r="J3984">
        <f>IF(E3984="Outlook",COUNTIF($E$2:E3984,"Outlook"),"")</f>
        <v/>
      </c>
      <c r="K3984">
        <f>IF(E3984="Domain",COUNTIF($E$2:E3984,"Domain"),"")</f>
        <v/>
      </c>
    </row>
    <row r="3985">
      <c r="A3985" s="2" t="n"/>
      <c r="B3985">
        <f>LOWER(TRIM(A3985))</f>
        <v/>
      </c>
      <c r="C3985">
        <f>IF(B3985="","",IFERROR(INDEX('Bad Patterns'!$A$2:$A$120,MATCH(1,INDEX(--ISNUMBER(SEARCH('Bad Patterns'!$A$2:$A$120,B3985)),0),0)),""))</f>
        <v/>
      </c>
      <c r="D3985">
        <f>IF(B3985="","",IF(C3985&lt;&gt;"","REMOVE","KEEP"))</f>
        <v/>
      </c>
      <c r="E3985">
        <f>IF(D3985&lt;&gt;"KEEP","",IF(RIGHT(B3985,10)="@gmail.com","Gmail",IF(OR(RIGHT(B3985,12)="@outlook.com",RIGHT(B3985,12)="@hotmail.com",RIGHT(B3985,9)="@live.com"),"Outlook","Domain")))</f>
        <v/>
      </c>
      <c r="F3985">
        <f>IF(B3985="","",IFERROR(RIGHT(B3985,LEN(B3985)-FIND("@",B3985)),""))</f>
        <v/>
      </c>
      <c r="G3985">
        <f>IF(D3985="KEEP",COUNTIF($D$2:D3985,"KEEP"),"")</f>
        <v/>
      </c>
      <c r="H3985">
        <f>IF(D3985="REMOVE",COUNTIF($D$2:D3985,"REMOVE"),"")</f>
        <v/>
      </c>
      <c r="I3985">
        <f>IF(E3985="Gmail",COUNTIF($E$2:E3985,"Gmail"),"")</f>
        <v/>
      </c>
      <c r="J3985">
        <f>IF(E3985="Outlook",COUNTIF($E$2:E3985,"Outlook"),"")</f>
        <v/>
      </c>
      <c r="K3985">
        <f>IF(E3985="Domain",COUNTIF($E$2:E3985,"Domain"),"")</f>
        <v/>
      </c>
    </row>
    <row r="3986">
      <c r="A3986" s="2" t="n"/>
      <c r="B3986">
        <f>LOWER(TRIM(A3986))</f>
        <v/>
      </c>
      <c r="C3986">
        <f>IF(B3986="","",IFERROR(INDEX('Bad Patterns'!$A$2:$A$120,MATCH(1,INDEX(--ISNUMBER(SEARCH('Bad Patterns'!$A$2:$A$120,B3986)),0),0)),""))</f>
        <v/>
      </c>
      <c r="D3986">
        <f>IF(B3986="","",IF(C3986&lt;&gt;"","REMOVE","KEEP"))</f>
        <v/>
      </c>
      <c r="E3986">
        <f>IF(D3986&lt;&gt;"KEEP","",IF(RIGHT(B3986,10)="@gmail.com","Gmail",IF(OR(RIGHT(B3986,12)="@outlook.com",RIGHT(B3986,12)="@hotmail.com",RIGHT(B3986,9)="@live.com"),"Outlook","Domain")))</f>
        <v/>
      </c>
      <c r="F3986">
        <f>IF(B3986="","",IFERROR(RIGHT(B3986,LEN(B3986)-FIND("@",B3986)),""))</f>
        <v/>
      </c>
      <c r="G3986">
        <f>IF(D3986="KEEP",COUNTIF($D$2:D3986,"KEEP"),"")</f>
        <v/>
      </c>
      <c r="H3986">
        <f>IF(D3986="REMOVE",COUNTIF($D$2:D3986,"REMOVE"),"")</f>
        <v/>
      </c>
      <c r="I3986">
        <f>IF(E3986="Gmail",COUNTIF($E$2:E3986,"Gmail"),"")</f>
        <v/>
      </c>
      <c r="J3986">
        <f>IF(E3986="Outlook",COUNTIF($E$2:E3986,"Outlook"),"")</f>
        <v/>
      </c>
      <c r="K3986">
        <f>IF(E3986="Domain",COUNTIF($E$2:E3986,"Domain"),"")</f>
        <v/>
      </c>
    </row>
    <row r="3987">
      <c r="A3987" s="2" t="n"/>
      <c r="B3987">
        <f>LOWER(TRIM(A3987))</f>
        <v/>
      </c>
      <c r="C3987">
        <f>IF(B3987="","",IFERROR(INDEX('Bad Patterns'!$A$2:$A$120,MATCH(1,INDEX(--ISNUMBER(SEARCH('Bad Patterns'!$A$2:$A$120,B3987)),0),0)),""))</f>
        <v/>
      </c>
      <c r="D3987">
        <f>IF(B3987="","",IF(C3987&lt;&gt;"","REMOVE","KEEP"))</f>
        <v/>
      </c>
      <c r="E3987">
        <f>IF(D3987&lt;&gt;"KEEP","",IF(RIGHT(B3987,10)="@gmail.com","Gmail",IF(OR(RIGHT(B3987,12)="@outlook.com",RIGHT(B3987,12)="@hotmail.com",RIGHT(B3987,9)="@live.com"),"Outlook","Domain")))</f>
        <v/>
      </c>
      <c r="F3987">
        <f>IF(B3987="","",IFERROR(RIGHT(B3987,LEN(B3987)-FIND("@",B3987)),""))</f>
        <v/>
      </c>
      <c r="G3987">
        <f>IF(D3987="KEEP",COUNTIF($D$2:D3987,"KEEP"),"")</f>
        <v/>
      </c>
      <c r="H3987">
        <f>IF(D3987="REMOVE",COUNTIF($D$2:D3987,"REMOVE"),"")</f>
        <v/>
      </c>
      <c r="I3987">
        <f>IF(E3987="Gmail",COUNTIF($E$2:E3987,"Gmail"),"")</f>
        <v/>
      </c>
      <c r="J3987">
        <f>IF(E3987="Outlook",COUNTIF($E$2:E3987,"Outlook"),"")</f>
        <v/>
      </c>
      <c r="K3987">
        <f>IF(E3987="Domain",COUNTIF($E$2:E3987,"Domain"),"")</f>
        <v/>
      </c>
    </row>
    <row r="3988">
      <c r="A3988" s="2" t="n"/>
      <c r="B3988">
        <f>LOWER(TRIM(A3988))</f>
        <v/>
      </c>
      <c r="C3988">
        <f>IF(B3988="","",IFERROR(INDEX('Bad Patterns'!$A$2:$A$120,MATCH(1,INDEX(--ISNUMBER(SEARCH('Bad Patterns'!$A$2:$A$120,B3988)),0),0)),""))</f>
        <v/>
      </c>
      <c r="D3988">
        <f>IF(B3988="","",IF(C3988&lt;&gt;"","REMOVE","KEEP"))</f>
        <v/>
      </c>
      <c r="E3988">
        <f>IF(D3988&lt;&gt;"KEEP","",IF(RIGHT(B3988,10)="@gmail.com","Gmail",IF(OR(RIGHT(B3988,12)="@outlook.com",RIGHT(B3988,12)="@hotmail.com",RIGHT(B3988,9)="@live.com"),"Outlook","Domain")))</f>
        <v/>
      </c>
      <c r="F3988">
        <f>IF(B3988="","",IFERROR(RIGHT(B3988,LEN(B3988)-FIND("@",B3988)),""))</f>
        <v/>
      </c>
      <c r="G3988">
        <f>IF(D3988="KEEP",COUNTIF($D$2:D3988,"KEEP"),"")</f>
        <v/>
      </c>
      <c r="H3988">
        <f>IF(D3988="REMOVE",COUNTIF($D$2:D3988,"REMOVE"),"")</f>
        <v/>
      </c>
      <c r="I3988">
        <f>IF(E3988="Gmail",COUNTIF($E$2:E3988,"Gmail"),"")</f>
        <v/>
      </c>
      <c r="J3988">
        <f>IF(E3988="Outlook",COUNTIF($E$2:E3988,"Outlook"),"")</f>
        <v/>
      </c>
      <c r="K3988">
        <f>IF(E3988="Domain",COUNTIF($E$2:E3988,"Domain"),"")</f>
        <v/>
      </c>
    </row>
    <row r="3989">
      <c r="A3989" s="2" t="n"/>
      <c r="B3989">
        <f>LOWER(TRIM(A3989))</f>
        <v/>
      </c>
      <c r="C3989">
        <f>IF(B3989="","",IFERROR(INDEX('Bad Patterns'!$A$2:$A$120,MATCH(1,INDEX(--ISNUMBER(SEARCH('Bad Patterns'!$A$2:$A$120,B3989)),0),0)),""))</f>
        <v/>
      </c>
      <c r="D3989">
        <f>IF(B3989="","",IF(C3989&lt;&gt;"","REMOVE","KEEP"))</f>
        <v/>
      </c>
      <c r="E3989">
        <f>IF(D3989&lt;&gt;"KEEP","",IF(RIGHT(B3989,10)="@gmail.com","Gmail",IF(OR(RIGHT(B3989,12)="@outlook.com",RIGHT(B3989,12)="@hotmail.com",RIGHT(B3989,9)="@live.com"),"Outlook","Domain")))</f>
        <v/>
      </c>
      <c r="F3989">
        <f>IF(B3989="","",IFERROR(RIGHT(B3989,LEN(B3989)-FIND("@",B3989)),""))</f>
        <v/>
      </c>
      <c r="G3989">
        <f>IF(D3989="KEEP",COUNTIF($D$2:D3989,"KEEP"),"")</f>
        <v/>
      </c>
      <c r="H3989">
        <f>IF(D3989="REMOVE",COUNTIF($D$2:D3989,"REMOVE"),"")</f>
        <v/>
      </c>
      <c r="I3989">
        <f>IF(E3989="Gmail",COUNTIF($E$2:E3989,"Gmail"),"")</f>
        <v/>
      </c>
      <c r="J3989">
        <f>IF(E3989="Outlook",COUNTIF($E$2:E3989,"Outlook"),"")</f>
        <v/>
      </c>
      <c r="K3989">
        <f>IF(E3989="Domain",COUNTIF($E$2:E3989,"Domain"),"")</f>
        <v/>
      </c>
    </row>
    <row r="3990">
      <c r="A3990" s="2" t="n"/>
      <c r="B3990">
        <f>LOWER(TRIM(A3990))</f>
        <v/>
      </c>
      <c r="C3990">
        <f>IF(B3990="","",IFERROR(INDEX('Bad Patterns'!$A$2:$A$120,MATCH(1,INDEX(--ISNUMBER(SEARCH('Bad Patterns'!$A$2:$A$120,B3990)),0),0)),""))</f>
        <v/>
      </c>
      <c r="D3990">
        <f>IF(B3990="","",IF(C3990&lt;&gt;"","REMOVE","KEEP"))</f>
        <v/>
      </c>
      <c r="E3990">
        <f>IF(D3990&lt;&gt;"KEEP","",IF(RIGHT(B3990,10)="@gmail.com","Gmail",IF(OR(RIGHT(B3990,12)="@outlook.com",RIGHT(B3990,12)="@hotmail.com",RIGHT(B3990,9)="@live.com"),"Outlook","Domain")))</f>
        <v/>
      </c>
      <c r="F3990">
        <f>IF(B3990="","",IFERROR(RIGHT(B3990,LEN(B3990)-FIND("@",B3990)),""))</f>
        <v/>
      </c>
      <c r="G3990">
        <f>IF(D3990="KEEP",COUNTIF($D$2:D3990,"KEEP"),"")</f>
        <v/>
      </c>
      <c r="H3990">
        <f>IF(D3990="REMOVE",COUNTIF($D$2:D3990,"REMOVE"),"")</f>
        <v/>
      </c>
      <c r="I3990">
        <f>IF(E3990="Gmail",COUNTIF($E$2:E3990,"Gmail"),"")</f>
        <v/>
      </c>
      <c r="J3990">
        <f>IF(E3990="Outlook",COUNTIF($E$2:E3990,"Outlook"),"")</f>
        <v/>
      </c>
      <c r="K3990">
        <f>IF(E3990="Domain",COUNTIF($E$2:E3990,"Domain"),"")</f>
        <v/>
      </c>
    </row>
    <row r="3991">
      <c r="A3991" s="2" t="n"/>
      <c r="B3991">
        <f>LOWER(TRIM(A3991))</f>
        <v/>
      </c>
      <c r="C3991">
        <f>IF(B3991="","",IFERROR(INDEX('Bad Patterns'!$A$2:$A$120,MATCH(1,INDEX(--ISNUMBER(SEARCH('Bad Patterns'!$A$2:$A$120,B3991)),0),0)),""))</f>
        <v/>
      </c>
      <c r="D3991">
        <f>IF(B3991="","",IF(C3991&lt;&gt;"","REMOVE","KEEP"))</f>
        <v/>
      </c>
      <c r="E3991">
        <f>IF(D3991&lt;&gt;"KEEP","",IF(RIGHT(B3991,10)="@gmail.com","Gmail",IF(OR(RIGHT(B3991,12)="@outlook.com",RIGHT(B3991,12)="@hotmail.com",RIGHT(B3991,9)="@live.com"),"Outlook","Domain")))</f>
        <v/>
      </c>
      <c r="F3991">
        <f>IF(B3991="","",IFERROR(RIGHT(B3991,LEN(B3991)-FIND("@",B3991)),""))</f>
        <v/>
      </c>
      <c r="G3991">
        <f>IF(D3991="KEEP",COUNTIF($D$2:D3991,"KEEP"),"")</f>
        <v/>
      </c>
      <c r="H3991">
        <f>IF(D3991="REMOVE",COUNTIF($D$2:D3991,"REMOVE"),"")</f>
        <v/>
      </c>
      <c r="I3991">
        <f>IF(E3991="Gmail",COUNTIF($E$2:E3991,"Gmail"),"")</f>
        <v/>
      </c>
      <c r="J3991">
        <f>IF(E3991="Outlook",COUNTIF($E$2:E3991,"Outlook"),"")</f>
        <v/>
      </c>
      <c r="K3991">
        <f>IF(E3991="Domain",COUNTIF($E$2:E3991,"Domain"),"")</f>
        <v/>
      </c>
    </row>
    <row r="3992">
      <c r="A3992" s="2" t="n"/>
      <c r="B3992">
        <f>LOWER(TRIM(A3992))</f>
        <v/>
      </c>
      <c r="C3992">
        <f>IF(B3992="","",IFERROR(INDEX('Bad Patterns'!$A$2:$A$120,MATCH(1,INDEX(--ISNUMBER(SEARCH('Bad Patterns'!$A$2:$A$120,B3992)),0),0)),""))</f>
        <v/>
      </c>
      <c r="D3992">
        <f>IF(B3992="","",IF(C3992&lt;&gt;"","REMOVE","KEEP"))</f>
        <v/>
      </c>
      <c r="E3992">
        <f>IF(D3992&lt;&gt;"KEEP","",IF(RIGHT(B3992,10)="@gmail.com","Gmail",IF(OR(RIGHT(B3992,12)="@outlook.com",RIGHT(B3992,12)="@hotmail.com",RIGHT(B3992,9)="@live.com"),"Outlook","Domain")))</f>
        <v/>
      </c>
      <c r="F3992">
        <f>IF(B3992="","",IFERROR(RIGHT(B3992,LEN(B3992)-FIND("@",B3992)),""))</f>
        <v/>
      </c>
      <c r="G3992">
        <f>IF(D3992="KEEP",COUNTIF($D$2:D3992,"KEEP"),"")</f>
        <v/>
      </c>
      <c r="H3992">
        <f>IF(D3992="REMOVE",COUNTIF($D$2:D3992,"REMOVE"),"")</f>
        <v/>
      </c>
      <c r="I3992">
        <f>IF(E3992="Gmail",COUNTIF($E$2:E3992,"Gmail"),"")</f>
        <v/>
      </c>
      <c r="J3992">
        <f>IF(E3992="Outlook",COUNTIF($E$2:E3992,"Outlook"),"")</f>
        <v/>
      </c>
      <c r="K3992">
        <f>IF(E3992="Domain",COUNTIF($E$2:E3992,"Domain"),"")</f>
        <v/>
      </c>
    </row>
    <row r="3993">
      <c r="A3993" s="2" t="n"/>
      <c r="B3993">
        <f>LOWER(TRIM(A3993))</f>
        <v/>
      </c>
      <c r="C3993">
        <f>IF(B3993="","",IFERROR(INDEX('Bad Patterns'!$A$2:$A$120,MATCH(1,INDEX(--ISNUMBER(SEARCH('Bad Patterns'!$A$2:$A$120,B3993)),0),0)),""))</f>
        <v/>
      </c>
      <c r="D3993">
        <f>IF(B3993="","",IF(C3993&lt;&gt;"","REMOVE","KEEP"))</f>
        <v/>
      </c>
      <c r="E3993">
        <f>IF(D3993&lt;&gt;"KEEP","",IF(RIGHT(B3993,10)="@gmail.com","Gmail",IF(OR(RIGHT(B3993,12)="@outlook.com",RIGHT(B3993,12)="@hotmail.com",RIGHT(B3993,9)="@live.com"),"Outlook","Domain")))</f>
        <v/>
      </c>
      <c r="F3993">
        <f>IF(B3993="","",IFERROR(RIGHT(B3993,LEN(B3993)-FIND("@",B3993)),""))</f>
        <v/>
      </c>
      <c r="G3993">
        <f>IF(D3993="KEEP",COUNTIF($D$2:D3993,"KEEP"),"")</f>
        <v/>
      </c>
      <c r="H3993">
        <f>IF(D3993="REMOVE",COUNTIF($D$2:D3993,"REMOVE"),"")</f>
        <v/>
      </c>
      <c r="I3993">
        <f>IF(E3993="Gmail",COUNTIF($E$2:E3993,"Gmail"),"")</f>
        <v/>
      </c>
      <c r="J3993">
        <f>IF(E3993="Outlook",COUNTIF($E$2:E3993,"Outlook"),"")</f>
        <v/>
      </c>
      <c r="K3993">
        <f>IF(E3993="Domain",COUNTIF($E$2:E3993,"Domain"),"")</f>
        <v/>
      </c>
    </row>
    <row r="3994">
      <c r="A3994" s="2" t="n"/>
      <c r="B3994">
        <f>LOWER(TRIM(A3994))</f>
        <v/>
      </c>
      <c r="C3994">
        <f>IF(B3994="","",IFERROR(INDEX('Bad Patterns'!$A$2:$A$120,MATCH(1,INDEX(--ISNUMBER(SEARCH('Bad Patterns'!$A$2:$A$120,B3994)),0),0)),""))</f>
        <v/>
      </c>
      <c r="D3994">
        <f>IF(B3994="","",IF(C3994&lt;&gt;"","REMOVE","KEEP"))</f>
        <v/>
      </c>
      <c r="E3994">
        <f>IF(D3994&lt;&gt;"KEEP","",IF(RIGHT(B3994,10)="@gmail.com","Gmail",IF(OR(RIGHT(B3994,12)="@outlook.com",RIGHT(B3994,12)="@hotmail.com",RIGHT(B3994,9)="@live.com"),"Outlook","Domain")))</f>
        <v/>
      </c>
      <c r="F3994">
        <f>IF(B3994="","",IFERROR(RIGHT(B3994,LEN(B3994)-FIND("@",B3994)),""))</f>
        <v/>
      </c>
      <c r="G3994">
        <f>IF(D3994="KEEP",COUNTIF($D$2:D3994,"KEEP"),"")</f>
        <v/>
      </c>
      <c r="H3994">
        <f>IF(D3994="REMOVE",COUNTIF($D$2:D3994,"REMOVE"),"")</f>
        <v/>
      </c>
      <c r="I3994">
        <f>IF(E3994="Gmail",COUNTIF($E$2:E3994,"Gmail"),"")</f>
        <v/>
      </c>
      <c r="J3994">
        <f>IF(E3994="Outlook",COUNTIF($E$2:E3994,"Outlook"),"")</f>
        <v/>
      </c>
      <c r="K3994">
        <f>IF(E3994="Domain",COUNTIF($E$2:E3994,"Domain"),"")</f>
        <v/>
      </c>
    </row>
    <row r="3995">
      <c r="A3995" s="2" t="n"/>
      <c r="B3995">
        <f>LOWER(TRIM(A3995))</f>
        <v/>
      </c>
      <c r="C3995">
        <f>IF(B3995="","",IFERROR(INDEX('Bad Patterns'!$A$2:$A$120,MATCH(1,INDEX(--ISNUMBER(SEARCH('Bad Patterns'!$A$2:$A$120,B3995)),0),0)),""))</f>
        <v/>
      </c>
      <c r="D3995">
        <f>IF(B3995="","",IF(C3995&lt;&gt;"","REMOVE","KEEP"))</f>
        <v/>
      </c>
      <c r="E3995">
        <f>IF(D3995&lt;&gt;"KEEP","",IF(RIGHT(B3995,10)="@gmail.com","Gmail",IF(OR(RIGHT(B3995,12)="@outlook.com",RIGHT(B3995,12)="@hotmail.com",RIGHT(B3995,9)="@live.com"),"Outlook","Domain")))</f>
        <v/>
      </c>
      <c r="F3995">
        <f>IF(B3995="","",IFERROR(RIGHT(B3995,LEN(B3995)-FIND("@",B3995)),""))</f>
        <v/>
      </c>
      <c r="G3995">
        <f>IF(D3995="KEEP",COUNTIF($D$2:D3995,"KEEP"),"")</f>
        <v/>
      </c>
      <c r="H3995">
        <f>IF(D3995="REMOVE",COUNTIF($D$2:D3995,"REMOVE"),"")</f>
        <v/>
      </c>
      <c r="I3995">
        <f>IF(E3995="Gmail",COUNTIF($E$2:E3995,"Gmail"),"")</f>
        <v/>
      </c>
      <c r="J3995">
        <f>IF(E3995="Outlook",COUNTIF($E$2:E3995,"Outlook"),"")</f>
        <v/>
      </c>
      <c r="K3995">
        <f>IF(E3995="Domain",COUNTIF($E$2:E3995,"Domain"),"")</f>
        <v/>
      </c>
    </row>
    <row r="3996">
      <c r="A3996" s="2" t="n"/>
      <c r="B3996">
        <f>LOWER(TRIM(A3996))</f>
        <v/>
      </c>
      <c r="C3996">
        <f>IF(B3996="","",IFERROR(INDEX('Bad Patterns'!$A$2:$A$120,MATCH(1,INDEX(--ISNUMBER(SEARCH('Bad Patterns'!$A$2:$A$120,B3996)),0),0)),""))</f>
        <v/>
      </c>
      <c r="D3996">
        <f>IF(B3996="","",IF(C3996&lt;&gt;"","REMOVE","KEEP"))</f>
        <v/>
      </c>
      <c r="E3996">
        <f>IF(D3996&lt;&gt;"KEEP","",IF(RIGHT(B3996,10)="@gmail.com","Gmail",IF(OR(RIGHT(B3996,12)="@outlook.com",RIGHT(B3996,12)="@hotmail.com",RIGHT(B3996,9)="@live.com"),"Outlook","Domain")))</f>
        <v/>
      </c>
      <c r="F3996">
        <f>IF(B3996="","",IFERROR(RIGHT(B3996,LEN(B3996)-FIND("@",B3996)),""))</f>
        <v/>
      </c>
      <c r="G3996">
        <f>IF(D3996="KEEP",COUNTIF($D$2:D3996,"KEEP"),"")</f>
        <v/>
      </c>
      <c r="H3996">
        <f>IF(D3996="REMOVE",COUNTIF($D$2:D3996,"REMOVE"),"")</f>
        <v/>
      </c>
      <c r="I3996">
        <f>IF(E3996="Gmail",COUNTIF($E$2:E3996,"Gmail"),"")</f>
        <v/>
      </c>
      <c r="J3996">
        <f>IF(E3996="Outlook",COUNTIF($E$2:E3996,"Outlook"),"")</f>
        <v/>
      </c>
      <c r="K3996">
        <f>IF(E3996="Domain",COUNTIF($E$2:E3996,"Domain"),"")</f>
        <v/>
      </c>
    </row>
    <row r="3997">
      <c r="A3997" s="2" t="n"/>
      <c r="B3997">
        <f>LOWER(TRIM(A3997))</f>
        <v/>
      </c>
      <c r="C3997">
        <f>IF(B3997="","",IFERROR(INDEX('Bad Patterns'!$A$2:$A$120,MATCH(1,INDEX(--ISNUMBER(SEARCH('Bad Patterns'!$A$2:$A$120,B3997)),0),0)),""))</f>
        <v/>
      </c>
      <c r="D3997">
        <f>IF(B3997="","",IF(C3997&lt;&gt;"","REMOVE","KEEP"))</f>
        <v/>
      </c>
      <c r="E3997">
        <f>IF(D3997&lt;&gt;"KEEP","",IF(RIGHT(B3997,10)="@gmail.com","Gmail",IF(OR(RIGHT(B3997,12)="@outlook.com",RIGHT(B3997,12)="@hotmail.com",RIGHT(B3997,9)="@live.com"),"Outlook","Domain")))</f>
        <v/>
      </c>
      <c r="F3997">
        <f>IF(B3997="","",IFERROR(RIGHT(B3997,LEN(B3997)-FIND("@",B3997)),""))</f>
        <v/>
      </c>
      <c r="G3997">
        <f>IF(D3997="KEEP",COUNTIF($D$2:D3997,"KEEP"),"")</f>
        <v/>
      </c>
      <c r="H3997">
        <f>IF(D3997="REMOVE",COUNTIF($D$2:D3997,"REMOVE"),"")</f>
        <v/>
      </c>
      <c r="I3997">
        <f>IF(E3997="Gmail",COUNTIF($E$2:E3997,"Gmail"),"")</f>
        <v/>
      </c>
      <c r="J3997">
        <f>IF(E3997="Outlook",COUNTIF($E$2:E3997,"Outlook"),"")</f>
        <v/>
      </c>
      <c r="K3997">
        <f>IF(E3997="Domain",COUNTIF($E$2:E3997,"Domain"),"")</f>
        <v/>
      </c>
    </row>
    <row r="3998">
      <c r="A3998" s="2" t="n"/>
      <c r="B3998">
        <f>LOWER(TRIM(A3998))</f>
        <v/>
      </c>
      <c r="C3998">
        <f>IF(B3998="","",IFERROR(INDEX('Bad Patterns'!$A$2:$A$120,MATCH(1,INDEX(--ISNUMBER(SEARCH('Bad Patterns'!$A$2:$A$120,B3998)),0),0)),""))</f>
        <v/>
      </c>
      <c r="D3998">
        <f>IF(B3998="","",IF(C3998&lt;&gt;"","REMOVE","KEEP"))</f>
        <v/>
      </c>
      <c r="E3998">
        <f>IF(D3998&lt;&gt;"KEEP","",IF(RIGHT(B3998,10)="@gmail.com","Gmail",IF(OR(RIGHT(B3998,12)="@outlook.com",RIGHT(B3998,12)="@hotmail.com",RIGHT(B3998,9)="@live.com"),"Outlook","Domain")))</f>
        <v/>
      </c>
      <c r="F3998">
        <f>IF(B3998="","",IFERROR(RIGHT(B3998,LEN(B3998)-FIND("@",B3998)),""))</f>
        <v/>
      </c>
      <c r="G3998">
        <f>IF(D3998="KEEP",COUNTIF($D$2:D3998,"KEEP"),"")</f>
        <v/>
      </c>
      <c r="H3998">
        <f>IF(D3998="REMOVE",COUNTIF($D$2:D3998,"REMOVE"),"")</f>
        <v/>
      </c>
      <c r="I3998">
        <f>IF(E3998="Gmail",COUNTIF($E$2:E3998,"Gmail"),"")</f>
        <v/>
      </c>
      <c r="J3998">
        <f>IF(E3998="Outlook",COUNTIF($E$2:E3998,"Outlook"),"")</f>
        <v/>
      </c>
      <c r="K3998">
        <f>IF(E3998="Domain",COUNTIF($E$2:E3998,"Domain"),"")</f>
        <v/>
      </c>
    </row>
    <row r="3999">
      <c r="A3999" s="2" t="n"/>
      <c r="B3999">
        <f>LOWER(TRIM(A3999))</f>
        <v/>
      </c>
      <c r="C3999">
        <f>IF(B3999="","",IFERROR(INDEX('Bad Patterns'!$A$2:$A$120,MATCH(1,INDEX(--ISNUMBER(SEARCH('Bad Patterns'!$A$2:$A$120,B3999)),0),0)),""))</f>
        <v/>
      </c>
      <c r="D3999">
        <f>IF(B3999="","",IF(C3999&lt;&gt;"","REMOVE","KEEP"))</f>
        <v/>
      </c>
      <c r="E3999">
        <f>IF(D3999&lt;&gt;"KEEP","",IF(RIGHT(B3999,10)="@gmail.com","Gmail",IF(OR(RIGHT(B3999,12)="@outlook.com",RIGHT(B3999,12)="@hotmail.com",RIGHT(B3999,9)="@live.com"),"Outlook","Domain")))</f>
        <v/>
      </c>
      <c r="F3999">
        <f>IF(B3999="","",IFERROR(RIGHT(B3999,LEN(B3999)-FIND("@",B3999)),""))</f>
        <v/>
      </c>
      <c r="G3999">
        <f>IF(D3999="KEEP",COUNTIF($D$2:D3999,"KEEP"),"")</f>
        <v/>
      </c>
      <c r="H3999">
        <f>IF(D3999="REMOVE",COUNTIF($D$2:D3999,"REMOVE"),"")</f>
        <v/>
      </c>
      <c r="I3999">
        <f>IF(E3999="Gmail",COUNTIF($E$2:E3999,"Gmail"),"")</f>
        <v/>
      </c>
      <c r="J3999">
        <f>IF(E3999="Outlook",COUNTIF($E$2:E3999,"Outlook"),"")</f>
        <v/>
      </c>
      <c r="K3999">
        <f>IF(E3999="Domain",COUNTIF($E$2:E3999,"Domain"),"")</f>
        <v/>
      </c>
    </row>
    <row r="4000">
      <c r="A4000" s="2" t="n"/>
      <c r="B4000">
        <f>LOWER(TRIM(A4000))</f>
        <v/>
      </c>
      <c r="C4000">
        <f>IF(B4000="","",IFERROR(INDEX('Bad Patterns'!$A$2:$A$120,MATCH(1,INDEX(--ISNUMBER(SEARCH('Bad Patterns'!$A$2:$A$120,B4000)),0),0)),""))</f>
        <v/>
      </c>
      <c r="D4000">
        <f>IF(B4000="","",IF(C4000&lt;&gt;"","REMOVE","KEEP"))</f>
        <v/>
      </c>
      <c r="E4000">
        <f>IF(D4000&lt;&gt;"KEEP","",IF(RIGHT(B4000,10)="@gmail.com","Gmail",IF(OR(RIGHT(B4000,12)="@outlook.com",RIGHT(B4000,12)="@hotmail.com",RIGHT(B4000,9)="@live.com"),"Outlook","Domain")))</f>
        <v/>
      </c>
      <c r="F4000">
        <f>IF(B4000="","",IFERROR(RIGHT(B4000,LEN(B4000)-FIND("@",B4000)),""))</f>
        <v/>
      </c>
      <c r="G4000">
        <f>IF(D4000="KEEP",COUNTIF($D$2:D4000,"KEEP"),"")</f>
        <v/>
      </c>
      <c r="H4000">
        <f>IF(D4000="REMOVE",COUNTIF($D$2:D4000,"REMOVE"),"")</f>
        <v/>
      </c>
      <c r="I4000">
        <f>IF(E4000="Gmail",COUNTIF($E$2:E4000,"Gmail"),"")</f>
        <v/>
      </c>
      <c r="J4000">
        <f>IF(E4000="Outlook",COUNTIF($E$2:E4000,"Outlook"),"")</f>
        <v/>
      </c>
      <c r="K4000">
        <f>IF(E4000="Domain",COUNTIF($E$2:E4000,"Domain"),"")</f>
        <v/>
      </c>
    </row>
    <row r="4001">
      <c r="A4001" s="2" t="n"/>
      <c r="B4001">
        <f>LOWER(TRIM(A4001))</f>
        <v/>
      </c>
      <c r="C4001">
        <f>IF(B4001="","",IFERROR(INDEX('Bad Patterns'!$A$2:$A$120,MATCH(1,INDEX(--ISNUMBER(SEARCH('Bad Patterns'!$A$2:$A$120,B4001)),0),0)),""))</f>
        <v/>
      </c>
      <c r="D4001">
        <f>IF(B4001="","",IF(C4001&lt;&gt;"","REMOVE","KEEP"))</f>
        <v/>
      </c>
      <c r="E4001">
        <f>IF(D4001&lt;&gt;"KEEP","",IF(RIGHT(B4001,10)="@gmail.com","Gmail",IF(OR(RIGHT(B4001,12)="@outlook.com",RIGHT(B4001,12)="@hotmail.com",RIGHT(B4001,9)="@live.com"),"Outlook","Domain")))</f>
        <v/>
      </c>
      <c r="F4001">
        <f>IF(B4001="","",IFERROR(RIGHT(B4001,LEN(B4001)-FIND("@",B4001)),""))</f>
        <v/>
      </c>
      <c r="G4001">
        <f>IF(D4001="KEEP",COUNTIF($D$2:D4001,"KEEP"),"")</f>
        <v/>
      </c>
      <c r="H4001">
        <f>IF(D4001="REMOVE",COUNTIF($D$2:D4001,"REMOVE"),"")</f>
        <v/>
      </c>
      <c r="I4001">
        <f>IF(E4001="Gmail",COUNTIF($E$2:E4001,"Gmail"),"")</f>
        <v/>
      </c>
      <c r="J4001">
        <f>IF(E4001="Outlook",COUNTIF($E$2:E4001,"Outlook"),"")</f>
        <v/>
      </c>
      <c r="K4001">
        <f>IF(E4001="Domain",COUNTIF($E$2:E4001,"Domain"),"")</f>
        <v/>
      </c>
    </row>
    <row r="4002">
      <c r="A4002" s="2" t="n"/>
      <c r="B4002">
        <f>LOWER(TRIM(A4002))</f>
        <v/>
      </c>
      <c r="C4002">
        <f>IF(B4002="","",IFERROR(INDEX('Bad Patterns'!$A$2:$A$120,MATCH(1,INDEX(--ISNUMBER(SEARCH('Bad Patterns'!$A$2:$A$120,B4002)),0),0)),""))</f>
        <v/>
      </c>
      <c r="D4002">
        <f>IF(B4002="","",IF(C4002&lt;&gt;"","REMOVE","KEEP"))</f>
        <v/>
      </c>
      <c r="E4002">
        <f>IF(D4002&lt;&gt;"KEEP","",IF(RIGHT(B4002,10)="@gmail.com","Gmail",IF(OR(RIGHT(B4002,12)="@outlook.com",RIGHT(B4002,12)="@hotmail.com",RIGHT(B4002,9)="@live.com"),"Outlook","Domain")))</f>
        <v/>
      </c>
      <c r="F4002">
        <f>IF(B4002="","",IFERROR(RIGHT(B4002,LEN(B4002)-FIND("@",B4002)),""))</f>
        <v/>
      </c>
      <c r="G4002">
        <f>IF(D4002="KEEP",COUNTIF($D$2:D4002,"KEEP"),"")</f>
        <v/>
      </c>
      <c r="H4002">
        <f>IF(D4002="REMOVE",COUNTIF($D$2:D4002,"REMOVE"),"")</f>
        <v/>
      </c>
      <c r="I4002">
        <f>IF(E4002="Gmail",COUNTIF($E$2:E4002,"Gmail"),"")</f>
        <v/>
      </c>
      <c r="J4002">
        <f>IF(E4002="Outlook",COUNTIF($E$2:E4002,"Outlook"),"")</f>
        <v/>
      </c>
      <c r="K4002">
        <f>IF(E4002="Domain",COUNTIF($E$2:E4002,"Domain"),"")</f>
        <v/>
      </c>
    </row>
    <row r="4003">
      <c r="A4003" s="2" t="n"/>
      <c r="B4003">
        <f>LOWER(TRIM(A4003))</f>
        <v/>
      </c>
      <c r="C4003">
        <f>IF(B4003="","",IFERROR(INDEX('Bad Patterns'!$A$2:$A$120,MATCH(1,INDEX(--ISNUMBER(SEARCH('Bad Patterns'!$A$2:$A$120,B4003)),0),0)),""))</f>
        <v/>
      </c>
      <c r="D4003">
        <f>IF(B4003="","",IF(C4003&lt;&gt;"","REMOVE","KEEP"))</f>
        <v/>
      </c>
      <c r="E4003">
        <f>IF(D4003&lt;&gt;"KEEP","",IF(RIGHT(B4003,10)="@gmail.com","Gmail",IF(OR(RIGHT(B4003,12)="@outlook.com",RIGHT(B4003,12)="@hotmail.com",RIGHT(B4003,9)="@live.com"),"Outlook","Domain")))</f>
        <v/>
      </c>
      <c r="F4003">
        <f>IF(B4003="","",IFERROR(RIGHT(B4003,LEN(B4003)-FIND("@",B4003)),""))</f>
        <v/>
      </c>
      <c r="G4003">
        <f>IF(D4003="KEEP",COUNTIF($D$2:D4003,"KEEP"),"")</f>
        <v/>
      </c>
      <c r="H4003">
        <f>IF(D4003="REMOVE",COUNTIF($D$2:D4003,"REMOVE"),"")</f>
        <v/>
      </c>
      <c r="I4003">
        <f>IF(E4003="Gmail",COUNTIF($E$2:E4003,"Gmail"),"")</f>
        <v/>
      </c>
      <c r="J4003">
        <f>IF(E4003="Outlook",COUNTIF($E$2:E4003,"Outlook"),"")</f>
        <v/>
      </c>
      <c r="K4003">
        <f>IF(E4003="Domain",COUNTIF($E$2:E4003,"Domain"),"")</f>
        <v/>
      </c>
    </row>
    <row r="4004">
      <c r="A4004" s="2" t="n"/>
      <c r="B4004">
        <f>LOWER(TRIM(A4004))</f>
        <v/>
      </c>
      <c r="C4004">
        <f>IF(B4004="","",IFERROR(INDEX('Bad Patterns'!$A$2:$A$120,MATCH(1,INDEX(--ISNUMBER(SEARCH('Bad Patterns'!$A$2:$A$120,B4004)),0),0)),""))</f>
        <v/>
      </c>
      <c r="D4004">
        <f>IF(B4004="","",IF(C4004&lt;&gt;"","REMOVE","KEEP"))</f>
        <v/>
      </c>
      <c r="E4004">
        <f>IF(D4004&lt;&gt;"KEEP","",IF(RIGHT(B4004,10)="@gmail.com","Gmail",IF(OR(RIGHT(B4004,12)="@outlook.com",RIGHT(B4004,12)="@hotmail.com",RIGHT(B4004,9)="@live.com"),"Outlook","Domain")))</f>
        <v/>
      </c>
      <c r="F4004">
        <f>IF(B4004="","",IFERROR(RIGHT(B4004,LEN(B4004)-FIND("@",B4004)),""))</f>
        <v/>
      </c>
      <c r="G4004">
        <f>IF(D4004="KEEP",COUNTIF($D$2:D4004,"KEEP"),"")</f>
        <v/>
      </c>
      <c r="H4004">
        <f>IF(D4004="REMOVE",COUNTIF($D$2:D4004,"REMOVE"),"")</f>
        <v/>
      </c>
      <c r="I4004">
        <f>IF(E4004="Gmail",COUNTIF($E$2:E4004,"Gmail"),"")</f>
        <v/>
      </c>
      <c r="J4004">
        <f>IF(E4004="Outlook",COUNTIF($E$2:E4004,"Outlook"),"")</f>
        <v/>
      </c>
      <c r="K4004">
        <f>IF(E4004="Domain",COUNTIF($E$2:E4004,"Domain"),"")</f>
        <v/>
      </c>
    </row>
    <row r="4005">
      <c r="A4005" s="2" t="n"/>
      <c r="B4005">
        <f>LOWER(TRIM(A4005))</f>
        <v/>
      </c>
      <c r="C4005">
        <f>IF(B4005="","",IFERROR(INDEX('Bad Patterns'!$A$2:$A$120,MATCH(1,INDEX(--ISNUMBER(SEARCH('Bad Patterns'!$A$2:$A$120,B4005)),0),0)),""))</f>
        <v/>
      </c>
      <c r="D4005">
        <f>IF(B4005="","",IF(C4005&lt;&gt;"","REMOVE","KEEP"))</f>
        <v/>
      </c>
      <c r="E4005">
        <f>IF(D4005&lt;&gt;"KEEP","",IF(RIGHT(B4005,10)="@gmail.com","Gmail",IF(OR(RIGHT(B4005,12)="@outlook.com",RIGHT(B4005,12)="@hotmail.com",RIGHT(B4005,9)="@live.com"),"Outlook","Domain")))</f>
        <v/>
      </c>
      <c r="F4005">
        <f>IF(B4005="","",IFERROR(RIGHT(B4005,LEN(B4005)-FIND("@",B4005)),""))</f>
        <v/>
      </c>
      <c r="G4005">
        <f>IF(D4005="KEEP",COUNTIF($D$2:D4005,"KEEP"),"")</f>
        <v/>
      </c>
      <c r="H4005">
        <f>IF(D4005="REMOVE",COUNTIF($D$2:D4005,"REMOVE"),"")</f>
        <v/>
      </c>
      <c r="I4005">
        <f>IF(E4005="Gmail",COUNTIF($E$2:E4005,"Gmail"),"")</f>
        <v/>
      </c>
      <c r="J4005">
        <f>IF(E4005="Outlook",COUNTIF($E$2:E4005,"Outlook"),"")</f>
        <v/>
      </c>
      <c r="K4005">
        <f>IF(E4005="Domain",COUNTIF($E$2:E4005,"Domain"),"")</f>
        <v/>
      </c>
    </row>
    <row r="4006">
      <c r="A4006" s="2" t="n"/>
      <c r="B4006">
        <f>LOWER(TRIM(A4006))</f>
        <v/>
      </c>
      <c r="C4006">
        <f>IF(B4006="","",IFERROR(INDEX('Bad Patterns'!$A$2:$A$120,MATCH(1,INDEX(--ISNUMBER(SEARCH('Bad Patterns'!$A$2:$A$120,B4006)),0),0)),""))</f>
        <v/>
      </c>
      <c r="D4006">
        <f>IF(B4006="","",IF(C4006&lt;&gt;"","REMOVE","KEEP"))</f>
        <v/>
      </c>
      <c r="E4006">
        <f>IF(D4006&lt;&gt;"KEEP","",IF(RIGHT(B4006,10)="@gmail.com","Gmail",IF(OR(RIGHT(B4006,12)="@outlook.com",RIGHT(B4006,12)="@hotmail.com",RIGHT(B4006,9)="@live.com"),"Outlook","Domain")))</f>
        <v/>
      </c>
      <c r="F4006">
        <f>IF(B4006="","",IFERROR(RIGHT(B4006,LEN(B4006)-FIND("@",B4006)),""))</f>
        <v/>
      </c>
      <c r="G4006">
        <f>IF(D4006="KEEP",COUNTIF($D$2:D4006,"KEEP"),"")</f>
        <v/>
      </c>
      <c r="H4006">
        <f>IF(D4006="REMOVE",COUNTIF($D$2:D4006,"REMOVE"),"")</f>
        <v/>
      </c>
      <c r="I4006">
        <f>IF(E4006="Gmail",COUNTIF($E$2:E4006,"Gmail"),"")</f>
        <v/>
      </c>
      <c r="J4006">
        <f>IF(E4006="Outlook",COUNTIF($E$2:E4006,"Outlook"),"")</f>
        <v/>
      </c>
      <c r="K4006">
        <f>IF(E4006="Domain",COUNTIF($E$2:E4006,"Domain"),"")</f>
        <v/>
      </c>
    </row>
    <row r="4007">
      <c r="A4007" s="2" t="n"/>
      <c r="B4007">
        <f>LOWER(TRIM(A4007))</f>
        <v/>
      </c>
      <c r="C4007">
        <f>IF(B4007="","",IFERROR(INDEX('Bad Patterns'!$A$2:$A$120,MATCH(1,INDEX(--ISNUMBER(SEARCH('Bad Patterns'!$A$2:$A$120,B4007)),0),0)),""))</f>
        <v/>
      </c>
      <c r="D4007">
        <f>IF(B4007="","",IF(C4007&lt;&gt;"","REMOVE","KEEP"))</f>
        <v/>
      </c>
      <c r="E4007">
        <f>IF(D4007&lt;&gt;"KEEP","",IF(RIGHT(B4007,10)="@gmail.com","Gmail",IF(OR(RIGHT(B4007,12)="@outlook.com",RIGHT(B4007,12)="@hotmail.com",RIGHT(B4007,9)="@live.com"),"Outlook","Domain")))</f>
        <v/>
      </c>
      <c r="F4007">
        <f>IF(B4007="","",IFERROR(RIGHT(B4007,LEN(B4007)-FIND("@",B4007)),""))</f>
        <v/>
      </c>
      <c r="G4007">
        <f>IF(D4007="KEEP",COUNTIF($D$2:D4007,"KEEP"),"")</f>
        <v/>
      </c>
      <c r="H4007">
        <f>IF(D4007="REMOVE",COUNTIF($D$2:D4007,"REMOVE"),"")</f>
        <v/>
      </c>
      <c r="I4007">
        <f>IF(E4007="Gmail",COUNTIF($E$2:E4007,"Gmail"),"")</f>
        <v/>
      </c>
      <c r="J4007">
        <f>IF(E4007="Outlook",COUNTIF($E$2:E4007,"Outlook"),"")</f>
        <v/>
      </c>
      <c r="K4007">
        <f>IF(E4007="Domain",COUNTIF($E$2:E4007,"Domain"),"")</f>
        <v/>
      </c>
    </row>
    <row r="4008">
      <c r="A4008" s="2" t="n"/>
      <c r="B4008">
        <f>LOWER(TRIM(A4008))</f>
        <v/>
      </c>
      <c r="C4008">
        <f>IF(B4008="","",IFERROR(INDEX('Bad Patterns'!$A$2:$A$120,MATCH(1,INDEX(--ISNUMBER(SEARCH('Bad Patterns'!$A$2:$A$120,B4008)),0),0)),""))</f>
        <v/>
      </c>
      <c r="D4008">
        <f>IF(B4008="","",IF(C4008&lt;&gt;"","REMOVE","KEEP"))</f>
        <v/>
      </c>
      <c r="E4008">
        <f>IF(D4008&lt;&gt;"KEEP","",IF(RIGHT(B4008,10)="@gmail.com","Gmail",IF(OR(RIGHT(B4008,12)="@outlook.com",RIGHT(B4008,12)="@hotmail.com",RIGHT(B4008,9)="@live.com"),"Outlook","Domain")))</f>
        <v/>
      </c>
      <c r="F4008">
        <f>IF(B4008="","",IFERROR(RIGHT(B4008,LEN(B4008)-FIND("@",B4008)),""))</f>
        <v/>
      </c>
      <c r="G4008">
        <f>IF(D4008="KEEP",COUNTIF($D$2:D4008,"KEEP"),"")</f>
        <v/>
      </c>
      <c r="H4008">
        <f>IF(D4008="REMOVE",COUNTIF($D$2:D4008,"REMOVE"),"")</f>
        <v/>
      </c>
      <c r="I4008">
        <f>IF(E4008="Gmail",COUNTIF($E$2:E4008,"Gmail"),"")</f>
        <v/>
      </c>
      <c r="J4008">
        <f>IF(E4008="Outlook",COUNTIF($E$2:E4008,"Outlook"),"")</f>
        <v/>
      </c>
      <c r="K4008">
        <f>IF(E4008="Domain",COUNTIF($E$2:E4008,"Domain"),"")</f>
        <v/>
      </c>
    </row>
    <row r="4009">
      <c r="A4009" s="2" t="n"/>
      <c r="B4009">
        <f>LOWER(TRIM(A4009))</f>
        <v/>
      </c>
      <c r="C4009">
        <f>IF(B4009="","",IFERROR(INDEX('Bad Patterns'!$A$2:$A$120,MATCH(1,INDEX(--ISNUMBER(SEARCH('Bad Patterns'!$A$2:$A$120,B4009)),0),0)),""))</f>
        <v/>
      </c>
      <c r="D4009">
        <f>IF(B4009="","",IF(C4009&lt;&gt;"","REMOVE","KEEP"))</f>
        <v/>
      </c>
      <c r="E4009">
        <f>IF(D4009&lt;&gt;"KEEP","",IF(RIGHT(B4009,10)="@gmail.com","Gmail",IF(OR(RIGHT(B4009,12)="@outlook.com",RIGHT(B4009,12)="@hotmail.com",RIGHT(B4009,9)="@live.com"),"Outlook","Domain")))</f>
        <v/>
      </c>
      <c r="F4009">
        <f>IF(B4009="","",IFERROR(RIGHT(B4009,LEN(B4009)-FIND("@",B4009)),""))</f>
        <v/>
      </c>
      <c r="G4009">
        <f>IF(D4009="KEEP",COUNTIF($D$2:D4009,"KEEP"),"")</f>
        <v/>
      </c>
      <c r="H4009">
        <f>IF(D4009="REMOVE",COUNTIF($D$2:D4009,"REMOVE"),"")</f>
        <v/>
      </c>
      <c r="I4009">
        <f>IF(E4009="Gmail",COUNTIF($E$2:E4009,"Gmail"),"")</f>
        <v/>
      </c>
      <c r="J4009">
        <f>IF(E4009="Outlook",COUNTIF($E$2:E4009,"Outlook"),"")</f>
        <v/>
      </c>
      <c r="K4009">
        <f>IF(E4009="Domain",COUNTIF($E$2:E4009,"Domain"),"")</f>
        <v/>
      </c>
    </row>
    <row r="4010">
      <c r="A4010" s="2" t="n"/>
      <c r="B4010">
        <f>LOWER(TRIM(A4010))</f>
        <v/>
      </c>
      <c r="C4010">
        <f>IF(B4010="","",IFERROR(INDEX('Bad Patterns'!$A$2:$A$120,MATCH(1,INDEX(--ISNUMBER(SEARCH('Bad Patterns'!$A$2:$A$120,B4010)),0),0)),""))</f>
        <v/>
      </c>
      <c r="D4010">
        <f>IF(B4010="","",IF(C4010&lt;&gt;"","REMOVE","KEEP"))</f>
        <v/>
      </c>
      <c r="E4010">
        <f>IF(D4010&lt;&gt;"KEEP","",IF(RIGHT(B4010,10)="@gmail.com","Gmail",IF(OR(RIGHT(B4010,12)="@outlook.com",RIGHT(B4010,12)="@hotmail.com",RIGHT(B4010,9)="@live.com"),"Outlook","Domain")))</f>
        <v/>
      </c>
      <c r="F4010">
        <f>IF(B4010="","",IFERROR(RIGHT(B4010,LEN(B4010)-FIND("@",B4010)),""))</f>
        <v/>
      </c>
      <c r="G4010">
        <f>IF(D4010="KEEP",COUNTIF($D$2:D4010,"KEEP"),"")</f>
        <v/>
      </c>
      <c r="H4010">
        <f>IF(D4010="REMOVE",COUNTIF($D$2:D4010,"REMOVE"),"")</f>
        <v/>
      </c>
      <c r="I4010">
        <f>IF(E4010="Gmail",COUNTIF($E$2:E4010,"Gmail"),"")</f>
        <v/>
      </c>
      <c r="J4010">
        <f>IF(E4010="Outlook",COUNTIF($E$2:E4010,"Outlook"),"")</f>
        <v/>
      </c>
      <c r="K4010">
        <f>IF(E4010="Domain",COUNTIF($E$2:E4010,"Domain"),"")</f>
        <v/>
      </c>
    </row>
    <row r="4011">
      <c r="A4011" s="2" t="n"/>
      <c r="B4011">
        <f>LOWER(TRIM(A4011))</f>
        <v/>
      </c>
      <c r="C4011">
        <f>IF(B4011="","",IFERROR(INDEX('Bad Patterns'!$A$2:$A$120,MATCH(1,INDEX(--ISNUMBER(SEARCH('Bad Patterns'!$A$2:$A$120,B4011)),0),0)),""))</f>
        <v/>
      </c>
      <c r="D4011">
        <f>IF(B4011="","",IF(C4011&lt;&gt;"","REMOVE","KEEP"))</f>
        <v/>
      </c>
      <c r="E4011">
        <f>IF(D4011&lt;&gt;"KEEP","",IF(RIGHT(B4011,10)="@gmail.com","Gmail",IF(OR(RIGHT(B4011,12)="@outlook.com",RIGHT(B4011,12)="@hotmail.com",RIGHT(B4011,9)="@live.com"),"Outlook","Domain")))</f>
        <v/>
      </c>
      <c r="F4011">
        <f>IF(B4011="","",IFERROR(RIGHT(B4011,LEN(B4011)-FIND("@",B4011)),""))</f>
        <v/>
      </c>
      <c r="G4011">
        <f>IF(D4011="KEEP",COUNTIF($D$2:D4011,"KEEP"),"")</f>
        <v/>
      </c>
      <c r="H4011">
        <f>IF(D4011="REMOVE",COUNTIF($D$2:D4011,"REMOVE"),"")</f>
        <v/>
      </c>
      <c r="I4011">
        <f>IF(E4011="Gmail",COUNTIF($E$2:E4011,"Gmail"),"")</f>
        <v/>
      </c>
      <c r="J4011">
        <f>IF(E4011="Outlook",COUNTIF($E$2:E4011,"Outlook"),"")</f>
        <v/>
      </c>
      <c r="K4011">
        <f>IF(E4011="Domain",COUNTIF($E$2:E4011,"Domain"),"")</f>
        <v/>
      </c>
    </row>
    <row r="4012">
      <c r="A4012" s="2" t="n"/>
      <c r="B4012">
        <f>LOWER(TRIM(A4012))</f>
        <v/>
      </c>
      <c r="C4012">
        <f>IF(B4012="","",IFERROR(INDEX('Bad Patterns'!$A$2:$A$120,MATCH(1,INDEX(--ISNUMBER(SEARCH('Bad Patterns'!$A$2:$A$120,B4012)),0),0)),""))</f>
        <v/>
      </c>
      <c r="D4012">
        <f>IF(B4012="","",IF(C4012&lt;&gt;"","REMOVE","KEEP"))</f>
        <v/>
      </c>
      <c r="E4012">
        <f>IF(D4012&lt;&gt;"KEEP","",IF(RIGHT(B4012,10)="@gmail.com","Gmail",IF(OR(RIGHT(B4012,12)="@outlook.com",RIGHT(B4012,12)="@hotmail.com",RIGHT(B4012,9)="@live.com"),"Outlook","Domain")))</f>
        <v/>
      </c>
      <c r="F4012">
        <f>IF(B4012="","",IFERROR(RIGHT(B4012,LEN(B4012)-FIND("@",B4012)),""))</f>
        <v/>
      </c>
      <c r="G4012">
        <f>IF(D4012="KEEP",COUNTIF($D$2:D4012,"KEEP"),"")</f>
        <v/>
      </c>
      <c r="H4012">
        <f>IF(D4012="REMOVE",COUNTIF($D$2:D4012,"REMOVE"),"")</f>
        <v/>
      </c>
      <c r="I4012">
        <f>IF(E4012="Gmail",COUNTIF($E$2:E4012,"Gmail"),"")</f>
        <v/>
      </c>
      <c r="J4012">
        <f>IF(E4012="Outlook",COUNTIF($E$2:E4012,"Outlook"),"")</f>
        <v/>
      </c>
      <c r="K4012">
        <f>IF(E4012="Domain",COUNTIF($E$2:E4012,"Domain"),"")</f>
        <v/>
      </c>
    </row>
    <row r="4013">
      <c r="A4013" s="2" t="n"/>
      <c r="B4013">
        <f>LOWER(TRIM(A4013))</f>
        <v/>
      </c>
      <c r="C4013">
        <f>IF(B4013="","",IFERROR(INDEX('Bad Patterns'!$A$2:$A$120,MATCH(1,INDEX(--ISNUMBER(SEARCH('Bad Patterns'!$A$2:$A$120,B4013)),0),0)),""))</f>
        <v/>
      </c>
      <c r="D4013">
        <f>IF(B4013="","",IF(C4013&lt;&gt;"","REMOVE","KEEP"))</f>
        <v/>
      </c>
      <c r="E4013">
        <f>IF(D4013&lt;&gt;"KEEP","",IF(RIGHT(B4013,10)="@gmail.com","Gmail",IF(OR(RIGHT(B4013,12)="@outlook.com",RIGHT(B4013,12)="@hotmail.com",RIGHT(B4013,9)="@live.com"),"Outlook","Domain")))</f>
        <v/>
      </c>
      <c r="F4013">
        <f>IF(B4013="","",IFERROR(RIGHT(B4013,LEN(B4013)-FIND("@",B4013)),""))</f>
        <v/>
      </c>
      <c r="G4013">
        <f>IF(D4013="KEEP",COUNTIF($D$2:D4013,"KEEP"),"")</f>
        <v/>
      </c>
      <c r="H4013">
        <f>IF(D4013="REMOVE",COUNTIF($D$2:D4013,"REMOVE"),"")</f>
        <v/>
      </c>
      <c r="I4013">
        <f>IF(E4013="Gmail",COUNTIF($E$2:E4013,"Gmail"),"")</f>
        <v/>
      </c>
      <c r="J4013">
        <f>IF(E4013="Outlook",COUNTIF($E$2:E4013,"Outlook"),"")</f>
        <v/>
      </c>
      <c r="K4013">
        <f>IF(E4013="Domain",COUNTIF($E$2:E4013,"Domain"),"")</f>
        <v/>
      </c>
    </row>
    <row r="4014">
      <c r="A4014" s="2" t="n"/>
      <c r="B4014">
        <f>LOWER(TRIM(A4014))</f>
        <v/>
      </c>
      <c r="C4014">
        <f>IF(B4014="","",IFERROR(INDEX('Bad Patterns'!$A$2:$A$120,MATCH(1,INDEX(--ISNUMBER(SEARCH('Bad Patterns'!$A$2:$A$120,B4014)),0),0)),""))</f>
        <v/>
      </c>
      <c r="D4014">
        <f>IF(B4014="","",IF(C4014&lt;&gt;"","REMOVE","KEEP"))</f>
        <v/>
      </c>
      <c r="E4014">
        <f>IF(D4014&lt;&gt;"KEEP","",IF(RIGHT(B4014,10)="@gmail.com","Gmail",IF(OR(RIGHT(B4014,12)="@outlook.com",RIGHT(B4014,12)="@hotmail.com",RIGHT(B4014,9)="@live.com"),"Outlook","Domain")))</f>
        <v/>
      </c>
      <c r="F4014">
        <f>IF(B4014="","",IFERROR(RIGHT(B4014,LEN(B4014)-FIND("@",B4014)),""))</f>
        <v/>
      </c>
      <c r="G4014">
        <f>IF(D4014="KEEP",COUNTIF($D$2:D4014,"KEEP"),"")</f>
        <v/>
      </c>
      <c r="H4014">
        <f>IF(D4014="REMOVE",COUNTIF($D$2:D4014,"REMOVE"),"")</f>
        <v/>
      </c>
      <c r="I4014">
        <f>IF(E4014="Gmail",COUNTIF($E$2:E4014,"Gmail"),"")</f>
        <v/>
      </c>
      <c r="J4014">
        <f>IF(E4014="Outlook",COUNTIF($E$2:E4014,"Outlook"),"")</f>
        <v/>
      </c>
      <c r="K4014">
        <f>IF(E4014="Domain",COUNTIF($E$2:E4014,"Domain"),"")</f>
        <v/>
      </c>
    </row>
    <row r="4015">
      <c r="A4015" s="2" t="n"/>
      <c r="B4015">
        <f>LOWER(TRIM(A4015))</f>
        <v/>
      </c>
      <c r="C4015">
        <f>IF(B4015="","",IFERROR(INDEX('Bad Patterns'!$A$2:$A$120,MATCH(1,INDEX(--ISNUMBER(SEARCH('Bad Patterns'!$A$2:$A$120,B4015)),0),0)),""))</f>
        <v/>
      </c>
      <c r="D4015">
        <f>IF(B4015="","",IF(C4015&lt;&gt;"","REMOVE","KEEP"))</f>
        <v/>
      </c>
      <c r="E4015">
        <f>IF(D4015&lt;&gt;"KEEP","",IF(RIGHT(B4015,10)="@gmail.com","Gmail",IF(OR(RIGHT(B4015,12)="@outlook.com",RIGHT(B4015,12)="@hotmail.com",RIGHT(B4015,9)="@live.com"),"Outlook","Domain")))</f>
        <v/>
      </c>
      <c r="F4015">
        <f>IF(B4015="","",IFERROR(RIGHT(B4015,LEN(B4015)-FIND("@",B4015)),""))</f>
        <v/>
      </c>
      <c r="G4015">
        <f>IF(D4015="KEEP",COUNTIF($D$2:D4015,"KEEP"),"")</f>
        <v/>
      </c>
      <c r="H4015">
        <f>IF(D4015="REMOVE",COUNTIF($D$2:D4015,"REMOVE"),"")</f>
        <v/>
      </c>
      <c r="I4015">
        <f>IF(E4015="Gmail",COUNTIF($E$2:E4015,"Gmail"),"")</f>
        <v/>
      </c>
      <c r="J4015">
        <f>IF(E4015="Outlook",COUNTIF($E$2:E4015,"Outlook"),"")</f>
        <v/>
      </c>
      <c r="K4015">
        <f>IF(E4015="Domain",COUNTIF($E$2:E4015,"Domain"),"")</f>
        <v/>
      </c>
    </row>
    <row r="4016">
      <c r="A4016" s="2" t="n"/>
      <c r="B4016">
        <f>LOWER(TRIM(A4016))</f>
        <v/>
      </c>
      <c r="C4016">
        <f>IF(B4016="","",IFERROR(INDEX('Bad Patterns'!$A$2:$A$120,MATCH(1,INDEX(--ISNUMBER(SEARCH('Bad Patterns'!$A$2:$A$120,B4016)),0),0)),""))</f>
        <v/>
      </c>
      <c r="D4016">
        <f>IF(B4016="","",IF(C4016&lt;&gt;"","REMOVE","KEEP"))</f>
        <v/>
      </c>
      <c r="E4016">
        <f>IF(D4016&lt;&gt;"KEEP","",IF(RIGHT(B4016,10)="@gmail.com","Gmail",IF(OR(RIGHT(B4016,12)="@outlook.com",RIGHT(B4016,12)="@hotmail.com",RIGHT(B4016,9)="@live.com"),"Outlook","Domain")))</f>
        <v/>
      </c>
      <c r="F4016">
        <f>IF(B4016="","",IFERROR(RIGHT(B4016,LEN(B4016)-FIND("@",B4016)),""))</f>
        <v/>
      </c>
      <c r="G4016">
        <f>IF(D4016="KEEP",COUNTIF($D$2:D4016,"KEEP"),"")</f>
        <v/>
      </c>
      <c r="H4016">
        <f>IF(D4016="REMOVE",COUNTIF($D$2:D4016,"REMOVE"),"")</f>
        <v/>
      </c>
      <c r="I4016">
        <f>IF(E4016="Gmail",COUNTIF($E$2:E4016,"Gmail"),"")</f>
        <v/>
      </c>
      <c r="J4016">
        <f>IF(E4016="Outlook",COUNTIF($E$2:E4016,"Outlook"),"")</f>
        <v/>
      </c>
      <c r="K4016">
        <f>IF(E4016="Domain",COUNTIF($E$2:E4016,"Domain"),"")</f>
        <v/>
      </c>
    </row>
    <row r="4017">
      <c r="A4017" s="2" t="n"/>
      <c r="B4017">
        <f>LOWER(TRIM(A4017))</f>
        <v/>
      </c>
      <c r="C4017">
        <f>IF(B4017="","",IFERROR(INDEX('Bad Patterns'!$A$2:$A$120,MATCH(1,INDEX(--ISNUMBER(SEARCH('Bad Patterns'!$A$2:$A$120,B4017)),0),0)),""))</f>
        <v/>
      </c>
      <c r="D4017">
        <f>IF(B4017="","",IF(C4017&lt;&gt;"","REMOVE","KEEP"))</f>
        <v/>
      </c>
      <c r="E4017">
        <f>IF(D4017&lt;&gt;"KEEP","",IF(RIGHT(B4017,10)="@gmail.com","Gmail",IF(OR(RIGHT(B4017,12)="@outlook.com",RIGHT(B4017,12)="@hotmail.com",RIGHT(B4017,9)="@live.com"),"Outlook","Domain")))</f>
        <v/>
      </c>
      <c r="F4017">
        <f>IF(B4017="","",IFERROR(RIGHT(B4017,LEN(B4017)-FIND("@",B4017)),""))</f>
        <v/>
      </c>
      <c r="G4017">
        <f>IF(D4017="KEEP",COUNTIF($D$2:D4017,"KEEP"),"")</f>
        <v/>
      </c>
      <c r="H4017">
        <f>IF(D4017="REMOVE",COUNTIF($D$2:D4017,"REMOVE"),"")</f>
        <v/>
      </c>
      <c r="I4017">
        <f>IF(E4017="Gmail",COUNTIF($E$2:E4017,"Gmail"),"")</f>
        <v/>
      </c>
      <c r="J4017">
        <f>IF(E4017="Outlook",COUNTIF($E$2:E4017,"Outlook"),"")</f>
        <v/>
      </c>
      <c r="K4017">
        <f>IF(E4017="Domain",COUNTIF($E$2:E4017,"Domain"),"")</f>
        <v/>
      </c>
    </row>
    <row r="4018">
      <c r="A4018" s="2" t="n"/>
      <c r="B4018">
        <f>LOWER(TRIM(A4018))</f>
        <v/>
      </c>
      <c r="C4018">
        <f>IF(B4018="","",IFERROR(INDEX('Bad Patterns'!$A$2:$A$120,MATCH(1,INDEX(--ISNUMBER(SEARCH('Bad Patterns'!$A$2:$A$120,B4018)),0),0)),""))</f>
        <v/>
      </c>
      <c r="D4018">
        <f>IF(B4018="","",IF(C4018&lt;&gt;"","REMOVE","KEEP"))</f>
        <v/>
      </c>
      <c r="E4018">
        <f>IF(D4018&lt;&gt;"KEEP","",IF(RIGHT(B4018,10)="@gmail.com","Gmail",IF(OR(RIGHT(B4018,12)="@outlook.com",RIGHT(B4018,12)="@hotmail.com",RIGHT(B4018,9)="@live.com"),"Outlook","Domain")))</f>
        <v/>
      </c>
      <c r="F4018">
        <f>IF(B4018="","",IFERROR(RIGHT(B4018,LEN(B4018)-FIND("@",B4018)),""))</f>
        <v/>
      </c>
      <c r="G4018">
        <f>IF(D4018="KEEP",COUNTIF($D$2:D4018,"KEEP"),"")</f>
        <v/>
      </c>
      <c r="H4018">
        <f>IF(D4018="REMOVE",COUNTIF($D$2:D4018,"REMOVE"),"")</f>
        <v/>
      </c>
      <c r="I4018">
        <f>IF(E4018="Gmail",COUNTIF($E$2:E4018,"Gmail"),"")</f>
        <v/>
      </c>
      <c r="J4018">
        <f>IF(E4018="Outlook",COUNTIF($E$2:E4018,"Outlook"),"")</f>
        <v/>
      </c>
      <c r="K4018">
        <f>IF(E4018="Domain",COUNTIF($E$2:E4018,"Domain"),"")</f>
        <v/>
      </c>
    </row>
    <row r="4019">
      <c r="A4019" s="2" t="n"/>
      <c r="B4019">
        <f>LOWER(TRIM(A4019))</f>
        <v/>
      </c>
      <c r="C4019">
        <f>IF(B4019="","",IFERROR(INDEX('Bad Patterns'!$A$2:$A$120,MATCH(1,INDEX(--ISNUMBER(SEARCH('Bad Patterns'!$A$2:$A$120,B4019)),0),0)),""))</f>
        <v/>
      </c>
      <c r="D4019">
        <f>IF(B4019="","",IF(C4019&lt;&gt;"","REMOVE","KEEP"))</f>
        <v/>
      </c>
      <c r="E4019">
        <f>IF(D4019&lt;&gt;"KEEP","",IF(RIGHT(B4019,10)="@gmail.com","Gmail",IF(OR(RIGHT(B4019,12)="@outlook.com",RIGHT(B4019,12)="@hotmail.com",RIGHT(B4019,9)="@live.com"),"Outlook","Domain")))</f>
        <v/>
      </c>
      <c r="F4019">
        <f>IF(B4019="","",IFERROR(RIGHT(B4019,LEN(B4019)-FIND("@",B4019)),""))</f>
        <v/>
      </c>
      <c r="G4019">
        <f>IF(D4019="KEEP",COUNTIF($D$2:D4019,"KEEP"),"")</f>
        <v/>
      </c>
      <c r="H4019">
        <f>IF(D4019="REMOVE",COUNTIF($D$2:D4019,"REMOVE"),"")</f>
        <v/>
      </c>
      <c r="I4019">
        <f>IF(E4019="Gmail",COUNTIF($E$2:E4019,"Gmail"),"")</f>
        <v/>
      </c>
      <c r="J4019">
        <f>IF(E4019="Outlook",COUNTIF($E$2:E4019,"Outlook"),"")</f>
        <v/>
      </c>
      <c r="K4019">
        <f>IF(E4019="Domain",COUNTIF($E$2:E4019,"Domain"),"")</f>
        <v/>
      </c>
    </row>
    <row r="4020">
      <c r="A4020" s="2" t="n"/>
      <c r="B4020">
        <f>LOWER(TRIM(A4020))</f>
        <v/>
      </c>
      <c r="C4020">
        <f>IF(B4020="","",IFERROR(INDEX('Bad Patterns'!$A$2:$A$120,MATCH(1,INDEX(--ISNUMBER(SEARCH('Bad Patterns'!$A$2:$A$120,B4020)),0),0)),""))</f>
        <v/>
      </c>
      <c r="D4020">
        <f>IF(B4020="","",IF(C4020&lt;&gt;"","REMOVE","KEEP"))</f>
        <v/>
      </c>
      <c r="E4020">
        <f>IF(D4020&lt;&gt;"KEEP","",IF(RIGHT(B4020,10)="@gmail.com","Gmail",IF(OR(RIGHT(B4020,12)="@outlook.com",RIGHT(B4020,12)="@hotmail.com",RIGHT(B4020,9)="@live.com"),"Outlook","Domain")))</f>
        <v/>
      </c>
      <c r="F4020">
        <f>IF(B4020="","",IFERROR(RIGHT(B4020,LEN(B4020)-FIND("@",B4020)),""))</f>
        <v/>
      </c>
      <c r="G4020">
        <f>IF(D4020="KEEP",COUNTIF($D$2:D4020,"KEEP"),"")</f>
        <v/>
      </c>
      <c r="H4020">
        <f>IF(D4020="REMOVE",COUNTIF($D$2:D4020,"REMOVE"),"")</f>
        <v/>
      </c>
      <c r="I4020">
        <f>IF(E4020="Gmail",COUNTIF($E$2:E4020,"Gmail"),"")</f>
        <v/>
      </c>
      <c r="J4020">
        <f>IF(E4020="Outlook",COUNTIF($E$2:E4020,"Outlook"),"")</f>
        <v/>
      </c>
      <c r="K4020">
        <f>IF(E4020="Domain",COUNTIF($E$2:E4020,"Domain"),"")</f>
        <v/>
      </c>
    </row>
    <row r="4021">
      <c r="A4021" s="2" t="n"/>
      <c r="B4021">
        <f>LOWER(TRIM(A4021))</f>
        <v/>
      </c>
      <c r="C4021">
        <f>IF(B4021="","",IFERROR(INDEX('Bad Patterns'!$A$2:$A$120,MATCH(1,INDEX(--ISNUMBER(SEARCH('Bad Patterns'!$A$2:$A$120,B4021)),0),0)),""))</f>
        <v/>
      </c>
      <c r="D4021">
        <f>IF(B4021="","",IF(C4021&lt;&gt;"","REMOVE","KEEP"))</f>
        <v/>
      </c>
      <c r="E4021">
        <f>IF(D4021&lt;&gt;"KEEP","",IF(RIGHT(B4021,10)="@gmail.com","Gmail",IF(OR(RIGHT(B4021,12)="@outlook.com",RIGHT(B4021,12)="@hotmail.com",RIGHT(B4021,9)="@live.com"),"Outlook","Domain")))</f>
        <v/>
      </c>
      <c r="F4021">
        <f>IF(B4021="","",IFERROR(RIGHT(B4021,LEN(B4021)-FIND("@",B4021)),""))</f>
        <v/>
      </c>
      <c r="G4021">
        <f>IF(D4021="KEEP",COUNTIF($D$2:D4021,"KEEP"),"")</f>
        <v/>
      </c>
      <c r="H4021">
        <f>IF(D4021="REMOVE",COUNTIF($D$2:D4021,"REMOVE"),"")</f>
        <v/>
      </c>
      <c r="I4021">
        <f>IF(E4021="Gmail",COUNTIF($E$2:E4021,"Gmail"),"")</f>
        <v/>
      </c>
      <c r="J4021">
        <f>IF(E4021="Outlook",COUNTIF($E$2:E4021,"Outlook"),"")</f>
        <v/>
      </c>
      <c r="K4021">
        <f>IF(E4021="Domain",COUNTIF($E$2:E4021,"Domain"),"")</f>
        <v/>
      </c>
    </row>
    <row r="4022">
      <c r="A4022" s="2" t="n"/>
      <c r="B4022">
        <f>LOWER(TRIM(A4022))</f>
        <v/>
      </c>
      <c r="C4022">
        <f>IF(B4022="","",IFERROR(INDEX('Bad Patterns'!$A$2:$A$120,MATCH(1,INDEX(--ISNUMBER(SEARCH('Bad Patterns'!$A$2:$A$120,B4022)),0),0)),""))</f>
        <v/>
      </c>
      <c r="D4022">
        <f>IF(B4022="","",IF(C4022&lt;&gt;"","REMOVE","KEEP"))</f>
        <v/>
      </c>
      <c r="E4022">
        <f>IF(D4022&lt;&gt;"KEEP","",IF(RIGHT(B4022,10)="@gmail.com","Gmail",IF(OR(RIGHT(B4022,12)="@outlook.com",RIGHT(B4022,12)="@hotmail.com",RIGHT(B4022,9)="@live.com"),"Outlook","Domain")))</f>
        <v/>
      </c>
      <c r="F4022">
        <f>IF(B4022="","",IFERROR(RIGHT(B4022,LEN(B4022)-FIND("@",B4022)),""))</f>
        <v/>
      </c>
      <c r="G4022">
        <f>IF(D4022="KEEP",COUNTIF($D$2:D4022,"KEEP"),"")</f>
        <v/>
      </c>
      <c r="H4022">
        <f>IF(D4022="REMOVE",COUNTIF($D$2:D4022,"REMOVE"),"")</f>
        <v/>
      </c>
      <c r="I4022">
        <f>IF(E4022="Gmail",COUNTIF($E$2:E4022,"Gmail"),"")</f>
        <v/>
      </c>
      <c r="J4022">
        <f>IF(E4022="Outlook",COUNTIF($E$2:E4022,"Outlook"),"")</f>
        <v/>
      </c>
      <c r="K4022">
        <f>IF(E4022="Domain",COUNTIF($E$2:E4022,"Domain"),"")</f>
        <v/>
      </c>
    </row>
    <row r="4023">
      <c r="A4023" s="2" t="n"/>
      <c r="B4023">
        <f>LOWER(TRIM(A4023))</f>
        <v/>
      </c>
      <c r="C4023">
        <f>IF(B4023="","",IFERROR(INDEX('Bad Patterns'!$A$2:$A$120,MATCH(1,INDEX(--ISNUMBER(SEARCH('Bad Patterns'!$A$2:$A$120,B4023)),0),0)),""))</f>
        <v/>
      </c>
      <c r="D4023">
        <f>IF(B4023="","",IF(C4023&lt;&gt;"","REMOVE","KEEP"))</f>
        <v/>
      </c>
      <c r="E4023">
        <f>IF(D4023&lt;&gt;"KEEP","",IF(RIGHT(B4023,10)="@gmail.com","Gmail",IF(OR(RIGHT(B4023,12)="@outlook.com",RIGHT(B4023,12)="@hotmail.com",RIGHT(B4023,9)="@live.com"),"Outlook","Domain")))</f>
        <v/>
      </c>
      <c r="F4023">
        <f>IF(B4023="","",IFERROR(RIGHT(B4023,LEN(B4023)-FIND("@",B4023)),""))</f>
        <v/>
      </c>
      <c r="G4023">
        <f>IF(D4023="KEEP",COUNTIF($D$2:D4023,"KEEP"),"")</f>
        <v/>
      </c>
      <c r="H4023">
        <f>IF(D4023="REMOVE",COUNTIF($D$2:D4023,"REMOVE"),"")</f>
        <v/>
      </c>
      <c r="I4023">
        <f>IF(E4023="Gmail",COUNTIF($E$2:E4023,"Gmail"),"")</f>
        <v/>
      </c>
      <c r="J4023">
        <f>IF(E4023="Outlook",COUNTIF($E$2:E4023,"Outlook"),"")</f>
        <v/>
      </c>
      <c r="K4023">
        <f>IF(E4023="Domain",COUNTIF($E$2:E4023,"Domain"),"")</f>
        <v/>
      </c>
    </row>
    <row r="4024">
      <c r="A4024" s="2" t="n"/>
      <c r="B4024">
        <f>LOWER(TRIM(A4024))</f>
        <v/>
      </c>
      <c r="C4024">
        <f>IF(B4024="","",IFERROR(INDEX('Bad Patterns'!$A$2:$A$120,MATCH(1,INDEX(--ISNUMBER(SEARCH('Bad Patterns'!$A$2:$A$120,B4024)),0),0)),""))</f>
        <v/>
      </c>
      <c r="D4024">
        <f>IF(B4024="","",IF(C4024&lt;&gt;"","REMOVE","KEEP"))</f>
        <v/>
      </c>
      <c r="E4024">
        <f>IF(D4024&lt;&gt;"KEEP","",IF(RIGHT(B4024,10)="@gmail.com","Gmail",IF(OR(RIGHT(B4024,12)="@outlook.com",RIGHT(B4024,12)="@hotmail.com",RIGHT(B4024,9)="@live.com"),"Outlook","Domain")))</f>
        <v/>
      </c>
      <c r="F4024">
        <f>IF(B4024="","",IFERROR(RIGHT(B4024,LEN(B4024)-FIND("@",B4024)),""))</f>
        <v/>
      </c>
      <c r="G4024">
        <f>IF(D4024="KEEP",COUNTIF($D$2:D4024,"KEEP"),"")</f>
        <v/>
      </c>
      <c r="H4024">
        <f>IF(D4024="REMOVE",COUNTIF($D$2:D4024,"REMOVE"),"")</f>
        <v/>
      </c>
      <c r="I4024">
        <f>IF(E4024="Gmail",COUNTIF($E$2:E4024,"Gmail"),"")</f>
        <v/>
      </c>
      <c r="J4024">
        <f>IF(E4024="Outlook",COUNTIF($E$2:E4024,"Outlook"),"")</f>
        <v/>
      </c>
      <c r="K4024">
        <f>IF(E4024="Domain",COUNTIF($E$2:E4024,"Domain"),"")</f>
        <v/>
      </c>
    </row>
    <row r="4025">
      <c r="A4025" s="2" t="n"/>
      <c r="B4025">
        <f>LOWER(TRIM(A4025))</f>
        <v/>
      </c>
      <c r="C4025">
        <f>IF(B4025="","",IFERROR(INDEX('Bad Patterns'!$A$2:$A$120,MATCH(1,INDEX(--ISNUMBER(SEARCH('Bad Patterns'!$A$2:$A$120,B4025)),0),0)),""))</f>
        <v/>
      </c>
      <c r="D4025">
        <f>IF(B4025="","",IF(C4025&lt;&gt;"","REMOVE","KEEP"))</f>
        <v/>
      </c>
      <c r="E4025">
        <f>IF(D4025&lt;&gt;"KEEP","",IF(RIGHT(B4025,10)="@gmail.com","Gmail",IF(OR(RIGHT(B4025,12)="@outlook.com",RIGHT(B4025,12)="@hotmail.com",RIGHT(B4025,9)="@live.com"),"Outlook","Domain")))</f>
        <v/>
      </c>
      <c r="F4025">
        <f>IF(B4025="","",IFERROR(RIGHT(B4025,LEN(B4025)-FIND("@",B4025)),""))</f>
        <v/>
      </c>
      <c r="G4025">
        <f>IF(D4025="KEEP",COUNTIF($D$2:D4025,"KEEP"),"")</f>
        <v/>
      </c>
      <c r="H4025">
        <f>IF(D4025="REMOVE",COUNTIF($D$2:D4025,"REMOVE"),"")</f>
        <v/>
      </c>
      <c r="I4025">
        <f>IF(E4025="Gmail",COUNTIF($E$2:E4025,"Gmail"),"")</f>
        <v/>
      </c>
      <c r="J4025">
        <f>IF(E4025="Outlook",COUNTIF($E$2:E4025,"Outlook"),"")</f>
        <v/>
      </c>
      <c r="K4025">
        <f>IF(E4025="Domain",COUNTIF($E$2:E4025,"Domain"),"")</f>
        <v/>
      </c>
    </row>
    <row r="4026">
      <c r="A4026" s="2" t="n"/>
      <c r="B4026">
        <f>LOWER(TRIM(A4026))</f>
        <v/>
      </c>
      <c r="C4026">
        <f>IF(B4026="","",IFERROR(INDEX('Bad Patterns'!$A$2:$A$120,MATCH(1,INDEX(--ISNUMBER(SEARCH('Bad Patterns'!$A$2:$A$120,B4026)),0),0)),""))</f>
        <v/>
      </c>
      <c r="D4026">
        <f>IF(B4026="","",IF(C4026&lt;&gt;"","REMOVE","KEEP"))</f>
        <v/>
      </c>
      <c r="E4026">
        <f>IF(D4026&lt;&gt;"KEEP","",IF(RIGHT(B4026,10)="@gmail.com","Gmail",IF(OR(RIGHT(B4026,12)="@outlook.com",RIGHT(B4026,12)="@hotmail.com",RIGHT(B4026,9)="@live.com"),"Outlook","Domain")))</f>
        <v/>
      </c>
      <c r="F4026">
        <f>IF(B4026="","",IFERROR(RIGHT(B4026,LEN(B4026)-FIND("@",B4026)),""))</f>
        <v/>
      </c>
      <c r="G4026">
        <f>IF(D4026="KEEP",COUNTIF($D$2:D4026,"KEEP"),"")</f>
        <v/>
      </c>
      <c r="H4026">
        <f>IF(D4026="REMOVE",COUNTIF($D$2:D4026,"REMOVE"),"")</f>
        <v/>
      </c>
      <c r="I4026">
        <f>IF(E4026="Gmail",COUNTIF($E$2:E4026,"Gmail"),"")</f>
        <v/>
      </c>
      <c r="J4026">
        <f>IF(E4026="Outlook",COUNTIF($E$2:E4026,"Outlook"),"")</f>
        <v/>
      </c>
      <c r="K4026">
        <f>IF(E4026="Domain",COUNTIF($E$2:E4026,"Domain"),"")</f>
        <v/>
      </c>
    </row>
    <row r="4027">
      <c r="A4027" s="2" t="n"/>
      <c r="B4027">
        <f>LOWER(TRIM(A4027))</f>
        <v/>
      </c>
      <c r="C4027">
        <f>IF(B4027="","",IFERROR(INDEX('Bad Patterns'!$A$2:$A$120,MATCH(1,INDEX(--ISNUMBER(SEARCH('Bad Patterns'!$A$2:$A$120,B4027)),0),0)),""))</f>
        <v/>
      </c>
      <c r="D4027">
        <f>IF(B4027="","",IF(C4027&lt;&gt;"","REMOVE","KEEP"))</f>
        <v/>
      </c>
      <c r="E4027">
        <f>IF(D4027&lt;&gt;"KEEP","",IF(RIGHT(B4027,10)="@gmail.com","Gmail",IF(OR(RIGHT(B4027,12)="@outlook.com",RIGHT(B4027,12)="@hotmail.com",RIGHT(B4027,9)="@live.com"),"Outlook","Domain")))</f>
        <v/>
      </c>
      <c r="F4027">
        <f>IF(B4027="","",IFERROR(RIGHT(B4027,LEN(B4027)-FIND("@",B4027)),""))</f>
        <v/>
      </c>
      <c r="G4027">
        <f>IF(D4027="KEEP",COUNTIF($D$2:D4027,"KEEP"),"")</f>
        <v/>
      </c>
      <c r="H4027">
        <f>IF(D4027="REMOVE",COUNTIF($D$2:D4027,"REMOVE"),"")</f>
        <v/>
      </c>
      <c r="I4027">
        <f>IF(E4027="Gmail",COUNTIF($E$2:E4027,"Gmail"),"")</f>
        <v/>
      </c>
      <c r="J4027">
        <f>IF(E4027="Outlook",COUNTIF($E$2:E4027,"Outlook"),"")</f>
        <v/>
      </c>
      <c r="K4027">
        <f>IF(E4027="Domain",COUNTIF($E$2:E4027,"Domain"),"")</f>
        <v/>
      </c>
    </row>
    <row r="4028">
      <c r="A4028" s="2" t="n"/>
      <c r="B4028">
        <f>LOWER(TRIM(A4028))</f>
        <v/>
      </c>
      <c r="C4028">
        <f>IF(B4028="","",IFERROR(INDEX('Bad Patterns'!$A$2:$A$120,MATCH(1,INDEX(--ISNUMBER(SEARCH('Bad Patterns'!$A$2:$A$120,B4028)),0),0)),""))</f>
        <v/>
      </c>
      <c r="D4028">
        <f>IF(B4028="","",IF(C4028&lt;&gt;"","REMOVE","KEEP"))</f>
        <v/>
      </c>
      <c r="E4028">
        <f>IF(D4028&lt;&gt;"KEEP","",IF(RIGHT(B4028,10)="@gmail.com","Gmail",IF(OR(RIGHT(B4028,12)="@outlook.com",RIGHT(B4028,12)="@hotmail.com",RIGHT(B4028,9)="@live.com"),"Outlook","Domain")))</f>
        <v/>
      </c>
      <c r="F4028">
        <f>IF(B4028="","",IFERROR(RIGHT(B4028,LEN(B4028)-FIND("@",B4028)),""))</f>
        <v/>
      </c>
      <c r="G4028">
        <f>IF(D4028="KEEP",COUNTIF($D$2:D4028,"KEEP"),"")</f>
        <v/>
      </c>
      <c r="H4028">
        <f>IF(D4028="REMOVE",COUNTIF($D$2:D4028,"REMOVE"),"")</f>
        <v/>
      </c>
      <c r="I4028">
        <f>IF(E4028="Gmail",COUNTIF($E$2:E4028,"Gmail"),"")</f>
        <v/>
      </c>
      <c r="J4028">
        <f>IF(E4028="Outlook",COUNTIF($E$2:E4028,"Outlook"),"")</f>
        <v/>
      </c>
      <c r="K4028">
        <f>IF(E4028="Domain",COUNTIF($E$2:E4028,"Domain"),"")</f>
        <v/>
      </c>
    </row>
    <row r="4029">
      <c r="A4029" s="2" t="n"/>
      <c r="B4029">
        <f>LOWER(TRIM(A4029))</f>
        <v/>
      </c>
      <c r="C4029">
        <f>IF(B4029="","",IFERROR(INDEX('Bad Patterns'!$A$2:$A$120,MATCH(1,INDEX(--ISNUMBER(SEARCH('Bad Patterns'!$A$2:$A$120,B4029)),0),0)),""))</f>
        <v/>
      </c>
      <c r="D4029">
        <f>IF(B4029="","",IF(C4029&lt;&gt;"","REMOVE","KEEP"))</f>
        <v/>
      </c>
      <c r="E4029">
        <f>IF(D4029&lt;&gt;"KEEP","",IF(RIGHT(B4029,10)="@gmail.com","Gmail",IF(OR(RIGHT(B4029,12)="@outlook.com",RIGHT(B4029,12)="@hotmail.com",RIGHT(B4029,9)="@live.com"),"Outlook","Domain")))</f>
        <v/>
      </c>
      <c r="F4029">
        <f>IF(B4029="","",IFERROR(RIGHT(B4029,LEN(B4029)-FIND("@",B4029)),""))</f>
        <v/>
      </c>
      <c r="G4029">
        <f>IF(D4029="KEEP",COUNTIF($D$2:D4029,"KEEP"),"")</f>
        <v/>
      </c>
      <c r="H4029">
        <f>IF(D4029="REMOVE",COUNTIF($D$2:D4029,"REMOVE"),"")</f>
        <v/>
      </c>
      <c r="I4029">
        <f>IF(E4029="Gmail",COUNTIF($E$2:E4029,"Gmail"),"")</f>
        <v/>
      </c>
      <c r="J4029">
        <f>IF(E4029="Outlook",COUNTIF($E$2:E4029,"Outlook"),"")</f>
        <v/>
      </c>
      <c r="K4029">
        <f>IF(E4029="Domain",COUNTIF($E$2:E4029,"Domain"),"")</f>
        <v/>
      </c>
    </row>
    <row r="4030">
      <c r="A4030" s="2" t="n"/>
      <c r="B4030">
        <f>LOWER(TRIM(A4030))</f>
        <v/>
      </c>
      <c r="C4030">
        <f>IF(B4030="","",IFERROR(INDEX('Bad Patterns'!$A$2:$A$120,MATCH(1,INDEX(--ISNUMBER(SEARCH('Bad Patterns'!$A$2:$A$120,B4030)),0),0)),""))</f>
        <v/>
      </c>
      <c r="D4030">
        <f>IF(B4030="","",IF(C4030&lt;&gt;"","REMOVE","KEEP"))</f>
        <v/>
      </c>
      <c r="E4030">
        <f>IF(D4030&lt;&gt;"KEEP","",IF(RIGHT(B4030,10)="@gmail.com","Gmail",IF(OR(RIGHT(B4030,12)="@outlook.com",RIGHT(B4030,12)="@hotmail.com",RIGHT(B4030,9)="@live.com"),"Outlook","Domain")))</f>
        <v/>
      </c>
      <c r="F4030">
        <f>IF(B4030="","",IFERROR(RIGHT(B4030,LEN(B4030)-FIND("@",B4030)),""))</f>
        <v/>
      </c>
      <c r="G4030">
        <f>IF(D4030="KEEP",COUNTIF($D$2:D4030,"KEEP"),"")</f>
        <v/>
      </c>
      <c r="H4030">
        <f>IF(D4030="REMOVE",COUNTIF($D$2:D4030,"REMOVE"),"")</f>
        <v/>
      </c>
      <c r="I4030">
        <f>IF(E4030="Gmail",COUNTIF($E$2:E4030,"Gmail"),"")</f>
        <v/>
      </c>
      <c r="J4030">
        <f>IF(E4030="Outlook",COUNTIF($E$2:E4030,"Outlook"),"")</f>
        <v/>
      </c>
      <c r="K4030">
        <f>IF(E4030="Domain",COUNTIF($E$2:E4030,"Domain"),"")</f>
        <v/>
      </c>
    </row>
    <row r="4031">
      <c r="A4031" s="2" t="n"/>
      <c r="B4031">
        <f>LOWER(TRIM(A4031))</f>
        <v/>
      </c>
      <c r="C4031">
        <f>IF(B4031="","",IFERROR(INDEX('Bad Patterns'!$A$2:$A$120,MATCH(1,INDEX(--ISNUMBER(SEARCH('Bad Patterns'!$A$2:$A$120,B4031)),0),0)),""))</f>
        <v/>
      </c>
      <c r="D4031">
        <f>IF(B4031="","",IF(C4031&lt;&gt;"","REMOVE","KEEP"))</f>
        <v/>
      </c>
      <c r="E4031">
        <f>IF(D4031&lt;&gt;"KEEP","",IF(RIGHT(B4031,10)="@gmail.com","Gmail",IF(OR(RIGHT(B4031,12)="@outlook.com",RIGHT(B4031,12)="@hotmail.com",RIGHT(B4031,9)="@live.com"),"Outlook","Domain")))</f>
        <v/>
      </c>
      <c r="F4031">
        <f>IF(B4031="","",IFERROR(RIGHT(B4031,LEN(B4031)-FIND("@",B4031)),""))</f>
        <v/>
      </c>
      <c r="G4031">
        <f>IF(D4031="KEEP",COUNTIF($D$2:D4031,"KEEP"),"")</f>
        <v/>
      </c>
      <c r="H4031">
        <f>IF(D4031="REMOVE",COUNTIF($D$2:D4031,"REMOVE"),"")</f>
        <v/>
      </c>
      <c r="I4031">
        <f>IF(E4031="Gmail",COUNTIF($E$2:E4031,"Gmail"),"")</f>
        <v/>
      </c>
      <c r="J4031">
        <f>IF(E4031="Outlook",COUNTIF($E$2:E4031,"Outlook"),"")</f>
        <v/>
      </c>
      <c r="K4031">
        <f>IF(E4031="Domain",COUNTIF($E$2:E4031,"Domain"),"")</f>
        <v/>
      </c>
    </row>
    <row r="4032">
      <c r="A4032" s="2" t="n"/>
      <c r="B4032">
        <f>LOWER(TRIM(A4032))</f>
        <v/>
      </c>
      <c r="C4032">
        <f>IF(B4032="","",IFERROR(INDEX('Bad Patterns'!$A$2:$A$120,MATCH(1,INDEX(--ISNUMBER(SEARCH('Bad Patterns'!$A$2:$A$120,B4032)),0),0)),""))</f>
        <v/>
      </c>
      <c r="D4032">
        <f>IF(B4032="","",IF(C4032&lt;&gt;"","REMOVE","KEEP"))</f>
        <v/>
      </c>
      <c r="E4032">
        <f>IF(D4032&lt;&gt;"KEEP","",IF(RIGHT(B4032,10)="@gmail.com","Gmail",IF(OR(RIGHT(B4032,12)="@outlook.com",RIGHT(B4032,12)="@hotmail.com",RIGHT(B4032,9)="@live.com"),"Outlook","Domain")))</f>
        <v/>
      </c>
      <c r="F4032">
        <f>IF(B4032="","",IFERROR(RIGHT(B4032,LEN(B4032)-FIND("@",B4032)),""))</f>
        <v/>
      </c>
      <c r="G4032">
        <f>IF(D4032="KEEP",COUNTIF($D$2:D4032,"KEEP"),"")</f>
        <v/>
      </c>
      <c r="H4032">
        <f>IF(D4032="REMOVE",COUNTIF($D$2:D4032,"REMOVE"),"")</f>
        <v/>
      </c>
      <c r="I4032">
        <f>IF(E4032="Gmail",COUNTIF($E$2:E4032,"Gmail"),"")</f>
        <v/>
      </c>
      <c r="J4032">
        <f>IF(E4032="Outlook",COUNTIF($E$2:E4032,"Outlook"),"")</f>
        <v/>
      </c>
      <c r="K4032">
        <f>IF(E4032="Domain",COUNTIF($E$2:E4032,"Domain"),"")</f>
        <v/>
      </c>
    </row>
    <row r="4033">
      <c r="A4033" s="2" t="n"/>
      <c r="B4033">
        <f>LOWER(TRIM(A4033))</f>
        <v/>
      </c>
      <c r="C4033">
        <f>IF(B4033="","",IFERROR(INDEX('Bad Patterns'!$A$2:$A$120,MATCH(1,INDEX(--ISNUMBER(SEARCH('Bad Patterns'!$A$2:$A$120,B4033)),0),0)),""))</f>
        <v/>
      </c>
      <c r="D4033">
        <f>IF(B4033="","",IF(C4033&lt;&gt;"","REMOVE","KEEP"))</f>
        <v/>
      </c>
      <c r="E4033">
        <f>IF(D4033&lt;&gt;"KEEP","",IF(RIGHT(B4033,10)="@gmail.com","Gmail",IF(OR(RIGHT(B4033,12)="@outlook.com",RIGHT(B4033,12)="@hotmail.com",RIGHT(B4033,9)="@live.com"),"Outlook","Domain")))</f>
        <v/>
      </c>
      <c r="F4033">
        <f>IF(B4033="","",IFERROR(RIGHT(B4033,LEN(B4033)-FIND("@",B4033)),""))</f>
        <v/>
      </c>
      <c r="G4033">
        <f>IF(D4033="KEEP",COUNTIF($D$2:D4033,"KEEP"),"")</f>
        <v/>
      </c>
      <c r="H4033">
        <f>IF(D4033="REMOVE",COUNTIF($D$2:D4033,"REMOVE"),"")</f>
        <v/>
      </c>
      <c r="I4033">
        <f>IF(E4033="Gmail",COUNTIF($E$2:E4033,"Gmail"),"")</f>
        <v/>
      </c>
      <c r="J4033">
        <f>IF(E4033="Outlook",COUNTIF($E$2:E4033,"Outlook"),"")</f>
        <v/>
      </c>
      <c r="K4033">
        <f>IF(E4033="Domain",COUNTIF($E$2:E4033,"Domain"),"")</f>
        <v/>
      </c>
    </row>
    <row r="4034">
      <c r="A4034" s="2" t="n"/>
      <c r="B4034">
        <f>LOWER(TRIM(A4034))</f>
        <v/>
      </c>
      <c r="C4034">
        <f>IF(B4034="","",IFERROR(INDEX('Bad Patterns'!$A$2:$A$120,MATCH(1,INDEX(--ISNUMBER(SEARCH('Bad Patterns'!$A$2:$A$120,B4034)),0),0)),""))</f>
        <v/>
      </c>
      <c r="D4034">
        <f>IF(B4034="","",IF(C4034&lt;&gt;"","REMOVE","KEEP"))</f>
        <v/>
      </c>
      <c r="E4034">
        <f>IF(D4034&lt;&gt;"KEEP","",IF(RIGHT(B4034,10)="@gmail.com","Gmail",IF(OR(RIGHT(B4034,12)="@outlook.com",RIGHT(B4034,12)="@hotmail.com",RIGHT(B4034,9)="@live.com"),"Outlook","Domain")))</f>
        <v/>
      </c>
      <c r="F4034">
        <f>IF(B4034="","",IFERROR(RIGHT(B4034,LEN(B4034)-FIND("@",B4034)),""))</f>
        <v/>
      </c>
      <c r="G4034">
        <f>IF(D4034="KEEP",COUNTIF($D$2:D4034,"KEEP"),"")</f>
        <v/>
      </c>
      <c r="H4034">
        <f>IF(D4034="REMOVE",COUNTIF($D$2:D4034,"REMOVE"),"")</f>
        <v/>
      </c>
      <c r="I4034">
        <f>IF(E4034="Gmail",COUNTIF($E$2:E4034,"Gmail"),"")</f>
        <v/>
      </c>
      <c r="J4034">
        <f>IF(E4034="Outlook",COUNTIF($E$2:E4034,"Outlook"),"")</f>
        <v/>
      </c>
      <c r="K4034">
        <f>IF(E4034="Domain",COUNTIF($E$2:E4034,"Domain"),"")</f>
        <v/>
      </c>
    </row>
    <row r="4035">
      <c r="A4035" s="2" t="n"/>
      <c r="B4035">
        <f>LOWER(TRIM(A4035))</f>
        <v/>
      </c>
      <c r="C4035">
        <f>IF(B4035="","",IFERROR(INDEX('Bad Patterns'!$A$2:$A$120,MATCH(1,INDEX(--ISNUMBER(SEARCH('Bad Patterns'!$A$2:$A$120,B4035)),0),0)),""))</f>
        <v/>
      </c>
      <c r="D4035">
        <f>IF(B4035="","",IF(C4035&lt;&gt;"","REMOVE","KEEP"))</f>
        <v/>
      </c>
      <c r="E4035">
        <f>IF(D4035&lt;&gt;"KEEP","",IF(RIGHT(B4035,10)="@gmail.com","Gmail",IF(OR(RIGHT(B4035,12)="@outlook.com",RIGHT(B4035,12)="@hotmail.com",RIGHT(B4035,9)="@live.com"),"Outlook","Domain")))</f>
        <v/>
      </c>
      <c r="F4035">
        <f>IF(B4035="","",IFERROR(RIGHT(B4035,LEN(B4035)-FIND("@",B4035)),""))</f>
        <v/>
      </c>
      <c r="G4035">
        <f>IF(D4035="KEEP",COUNTIF($D$2:D4035,"KEEP"),"")</f>
        <v/>
      </c>
      <c r="H4035">
        <f>IF(D4035="REMOVE",COUNTIF($D$2:D4035,"REMOVE"),"")</f>
        <v/>
      </c>
      <c r="I4035">
        <f>IF(E4035="Gmail",COUNTIF($E$2:E4035,"Gmail"),"")</f>
        <v/>
      </c>
      <c r="J4035">
        <f>IF(E4035="Outlook",COUNTIF($E$2:E4035,"Outlook"),"")</f>
        <v/>
      </c>
      <c r="K4035">
        <f>IF(E4035="Domain",COUNTIF($E$2:E4035,"Domain"),"")</f>
        <v/>
      </c>
    </row>
    <row r="4036">
      <c r="A4036" s="2" t="n"/>
      <c r="B4036">
        <f>LOWER(TRIM(A4036))</f>
        <v/>
      </c>
      <c r="C4036">
        <f>IF(B4036="","",IFERROR(INDEX('Bad Patterns'!$A$2:$A$120,MATCH(1,INDEX(--ISNUMBER(SEARCH('Bad Patterns'!$A$2:$A$120,B4036)),0),0)),""))</f>
        <v/>
      </c>
      <c r="D4036">
        <f>IF(B4036="","",IF(C4036&lt;&gt;"","REMOVE","KEEP"))</f>
        <v/>
      </c>
      <c r="E4036">
        <f>IF(D4036&lt;&gt;"KEEP","",IF(RIGHT(B4036,10)="@gmail.com","Gmail",IF(OR(RIGHT(B4036,12)="@outlook.com",RIGHT(B4036,12)="@hotmail.com",RIGHT(B4036,9)="@live.com"),"Outlook","Domain")))</f>
        <v/>
      </c>
      <c r="F4036">
        <f>IF(B4036="","",IFERROR(RIGHT(B4036,LEN(B4036)-FIND("@",B4036)),""))</f>
        <v/>
      </c>
      <c r="G4036">
        <f>IF(D4036="KEEP",COUNTIF($D$2:D4036,"KEEP"),"")</f>
        <v/>
      </c>
      <c r="H4036">
        <f>IF(D4036="REMOVE",COUNTIF($D$2:D4036,"REMOVE"),"")</f>
        <v/>
      </c>
      <c r="I4036">
        <f>IF(E4036="Gmail",COUNTIF($E$2:E4036,"Gmail"),"")</f>
        <v/>
      </c>
      <c r="J4036">
        <f>IF(E4036="Outlook",COUNTIF($E$2:E4036,"Outlook"),"")</f>
        <v/>
      </c>
      <c r="K4036">
        <f>IF(E4036="Domain",COUNTIF($E$2:E4036,"Domain"),"")</f>
        <v/>
      </c>
    </row>
    <row r="4037">
      <c r="A4037" s="2" t="n"/>
      <c r="B4037">
        <f>LOWER(TRIM(A4037))</f>
        <v/>
      </c>
      <c r="C4037">
        <f>IF(B4037="","",IFERROR(INDEX('Bad Patterns'!$A$2:$A$120,MATCH(1,INDEX(--ISNUMBER(SEARCH('Bad Patterns'!$A$2:$A$120,B4037)),0),0)),""))</f>
        <v/>
      </c>
      <c r="D4037">
        <f>IF(B4037="","",IF(C4037&lt;&gt;"","REMOVE","KEEP"))</f>
        <v/>
      </c>
      <c r="E4037">
        <f>IF(D4037&lt;&gt;"KEEP","",IF(RIGHT(B4037,10)="@gmail.com","Gmail",IF(OR(RIGHT(B4037,12)="@outlook.com",RIGHT(B4037,12)="@hotmail.com",RIGHT(B4037,9)="@live.com"),"Outlook","Domain")))</f>
        <v/>
      </c>
      <c r="F4037">
        <f>IF(B4037="","",IFERROR(RIGHT(B4037,LEN(B4037)-FIND("@",B4037)),""))</f>
        <v/>
      </c>
      <c r="G4037">
        <f>IF(D4037="KEEP",COUNTIF($D$2:D4037,"KEEP"),"")</f>
        <v/>
      </c>
      <c r="H4037">
        <f>IF(D4037="REMOVE",COUNTIF($D$2:D4037,"REMOVE"),"")</f>
        <v/>
      </c>
      <c r="I4037">
        <f>IF(E4037="Gmail",COUNTIF($E$2:E4037,"Gmail"),"")</f>
        <v/>
      </c>
      <c r="J4037">
        <f>IF(E4037="Outlook",COUNTIF($E$2:E4037,"Outlook"),"")</f>
        <v/>
      </c>
      <c r="K4037">
        <f>IF(E4037="Domain",COUNTIF($E$2:E4037,"Domain"),"")</f>
        <v/>
      </c>
    </row>
    <row r="4038">
      <c r="A4038" s="2" t="n"/>
      <c r="B4038">
        <f>LOWER(TRIM(A4038))</f>
        <v/>
      </c>
      <c r="C4038">
        <f>IF(B4038="","",IFERROR(INDEX('Bad Patterns'!$A$2:$A$120,MATCH(1,INDEX(--ISNUMBER(SEARCH('Bad Patterns'!$A$2:$A$120,B4038)),0),0)),""))</f>
        <v/>
      </c>
      <c r="D4038">
        <f>IF(B4038="","",IF(C4038&lt;&gt;"","REMOVE","KEEP"))</f>
        <v/>
      </c>
      <c r="E4038">
        <f>IF(D4038&lt;&gt;"KEEP","",IF(RIGHT(B4038,10)="@gmail.com","Gmail",IF(OR(RIGHT(B4038,12)="@outlook.com",RIGHT(B4038,12)="@hotmail.com",RIGHT(B4038,9)="@live.com"),"Outlook","Domain")))</f>
        <v/>
      </c>
      <c r="F4038">
        <f>IF(B4038="","",IFERROR(RIGHT(B4038,LEN(B4038)-FIND("@",B4038)),""))</f>
        <v/>
      </c>
      <c r="G4038">
        <f>IF(D4038="KEEP",COUNTIF($D$2:D4038,"KEEP"),"")</f>
        <v/>
      </c>
      <c r="H4038">
        <f>IF(D4038="REMOVE",COUNTIF($D$2:D4038,"REMOVE"),"")</f>
        <v/>
      </c>
      <c r="I4038">
        <f>IF(E4038="Gmail",COUNTIF($E$2:E4038,"Gmail"),"")</f>
        <v/>
      </c>
      <c r="J4038">
        <f>IF(E4038="Outlook",COUNTIF($E$2:E4038,"Outlook"),"")</f>
        <v/>
      </c>
      <c r="K4038">
        <f>IF(E4038="Domain",COUNTIF($E$2:E4038,"Domain"),"")</f>
        <v/>
      </c>
    </row>
    <row r="4039">
      <c r="A4039" s="2" t="n"/>
      <c r="B4039">
        <f>LOWER(TRIM(A4039))</f>
        <v/>
      </c>
      <c r="C4039">
        <f>IF(B4039="","",IFERROR(INDEX('Bad Patterns'!$A$2:$A$120,MATCH(1,INDEX(--ISNUMBER(SEARCH('Bad Patterns'!$A$2:$A$120,B4039)),0),0)),""))</f>
        <v/>
      </c>
      <c r="D4039">
        <f>IF(B4039="","",IF(C4039&lt;&gt;"","REMOVE","KEEP"))</f>
        <v/>
      </c>
      <c r="E4039">
        <f>IF(D4039&lt;&gt;"KEEP","",IF(RIGHT(B4039,10)="@gmail.com","Gmail",IF(OR(RIGHT(B4039,12)="@outlook.com",RIGHT(B4039,12)="@hotmail.com",RIGHT(B4039,9)="@live.com"),"Outlook","Domain")))</f>
        <v/>
      </c>
      <c r="F4039">
        <f>IF(B4039="","",IFERROR(RIGHT(B4039,LEN(B4039)-FIND("@",B4039)),""))</f>
        <v/>
      </c>
      <c r="G4039">
        <f>IF(D4039="KEEP",COUNTIF($D$2:D4039,"KEEP"),"")</f>
        <v/>
      </c>
      <c r="H4039">
        <f>IF(D4039="REMOVE",COUNTIF($D$2:D4039,"REMOVE"),"")</f>
        <v/>
      </c>
      <c r="I4039">
        <f>IF(E4039="Gmail",COUNTIF($E$2:E4039,"Gmail"),"")</f>
        <v/>
      </c>
      <c r="J4039">
        <f>IF(E4039="Outlook",COUNTIF($E$2:E4039,"Outlook"),"")</f>
        <v/>
      </c>
      <c r="K4039">
        <f>IF(E4039="Domain",COUNTIF($E$2:E4039,"Domain"),"")</f>
        <v/>
      </c>
    </row>
    <row r="4040">
      <c r="A4040" s="2" t="n"/>
      <c r="B4040">
        <f>LOWER(TRIM(A4040))</f>
        <v/>
      </c>
      <c r="C4040">
        <f>IF(B4040="","",IFERROR(INDEX('Bad Patterns'!$A$2:$A$120,MATCH(1,INDEX(--ISNUMBER(SEARCH('Bad Patterns'!$A$2:$A$120,B4040)),0),0)),""))</f>
        <v/>
      </c>
      <c r="D4040">
        <f>IF(B4040="","",IF(C4040&lt;&gt;"","REMOVE","KEEP"))</f>
        <v/>
      </c>
      <c r="E4040">
        <f>IF(D4040&lt;&gt;"KEEP","",IF(RIGHT(B4040,10)="@gmail.com","Gmail",IF(OR(RIGHT(B4040,12)="@outlook.com",RIGHT(B4040,12)="@hotmail.com",RIGHT(B4040,9)="@live.com"),"Outlook","Domain")))</f>
        <v/>
      </c>
      <c r="F4040">
        <f>IF(B4040="","",IFERROR(RIGHT(B4040,LEN(B4040)-FIND("@",B4040)),""))</f>
        <v/>
      </c>
      <c r="G4040">
        <f>IF(D4040="KEEP",COUNTIF($D$2:D4040,"KEEP"),"")</f>
        <v/>
      </c>
      <c r="H4040">
        <f>IF(D4040="REMOVE",COUNTIF($D$2:D4040,"REMOVE"),"")</f>
        <v/>
      </c>
      <c r="I4040">
        <f>IF(E4040="Gmail",COUNTIF($E$2:E4040,"Gmail"),"")</f>
        <v/>
      </c>
      <c r="J4040">
        <f>IF(E4040="Outlook",COUNTIF($E$2:E4040,"Outlook"),"")</f>
        <v/>
      </c>
      <c r="K4040">
        <f>IF(E4040="Domain",COUNTIF($E$2:E4040,"Domain"),"")</f>
        <v/>
      </c>
    </row>
    <row r="4041">
      <c r="A4041" s="2" t="n"/>
      <c r="B4041">
        <f>LOWER(TRIM(A4041))</f>
        <v/>
      </c>
      <c r="C4041">
        <f>IF(B4041="","",IFERROR(INDEX('Bad Patterns'!$A$2:$A$120,MATCH(1,INDEX(--ISNUMBER(SEARCH('Bad Patterns'!$A$2:$A$120,B4041)),0),0)),""))</f>
        <v/>
      </c>
      <c r="D4041">
        <f>IF(B4041="","",IF(C4041&lt;&gt;"","REMOVE","KEEP"))</f>
        <v/>
      </c>
      <c r="E4041">
        <f>IF(D4041&lt;&gt;"KEEP","",IF(RIGHT(B4041,10)="@gmail.com","Gmail",IF(OR(RIGHT(B4041,12)="@outlook.com",RIGHT(B4041,12)="@hotmail.com",RIGHT(B4041,9)="@live.com"),"Outlook","Domain")))</f>
        <v/>
      </c>
      <c r="F4041">
        <f>IF(B4041="","",IFERROR(RIGHT(B4041,LEN(B4041)-FIND("@",B4041)),""))</f>
        <v/>
      </c>
      <c r="G4041">
        <f>IF(D4041="KEEP",COUNTIF($D$2:D4041,"KEEP"),"")</f>
        <v/>
      </c>
      <c r="H4041">
        <f>IF(D4041="REMOVE",COUNTIF($D$2:D4041,"REMOVE"),"")</f>
        <v/>
      </c>
      <c r="I4041">
        <f>IF(E4041="Gmail",COUNTIF($E$2:E4041,"Gmail"),"")</f>
        <v/>
      </c>
      <c r="J4041">
        <f>IF(E4041="Outlook",COUNTIF($E$2:E4041,"Outlook"),"")</f>
        <v/>
      </c>
      <c r="K4041">
        <f>IF(E4041="Domain",COUNTIF($E$2:E4041,"Domain"),"")</f>
        <v/>
      </c>
    </row>
    <row r="4042">
      <c r="A4042" s="2" t="n"/>
      <c r="B4042">
        <f>LOWER(TRIM(A4042))</f>
        <v/>
      </c>
      <c r="C4042">
        <f>IF(B4042="","",IFERROR(INDEX('Bad Patterns'!$A$2:$A$120,MATCH(1,INDEX(--ISNUMBER(SEARCH('Bad Patterns'!$A$2:$A$120,B4042)),0),0)),""))</f>
        <v/>
      </c>
      <c r="D4042">
        <f>IF(B4042="","",IF(C4042&lt;&gt;"","REMOVE","KEEP"))</f>
        <v/>
      </c>
      <c r="E4042">
        <f>IF(D4042&lt;&gt;"KEEP","",IF(RIGHT(B4042,10)="@gmail.com","Gmail",IF(OR(RIGHT(B4042,12)="@outlook.com",RIGHT(B4042,12)="@hotmail.com",RIGHT(B4042,9)="@live.com"),"Outlook","Domain")))</f>
        <v/>
      </c>
      <c r="F4042">
        <f>IF(B4042="","",IFERROR(RIGHT(B4042,LEN(B4042)-FIND("@",B4042)),""))</f>
        <v/>
      </c>
      <c r="G4042">
        <f>IF(D4042="KEEP",COUNTIF($D$2:D4042,"KEEP"),"")</f>
        <v/>
      </c>
      <c r="H4042">
        <f>IF(D4042="REMOVE",COUNTIF($D$2:D4042,"REMOVE"),"")</f>
        <v/>
      </c>
      <c r="I4042">
        <f>IF(E4042="Gmail",COUNTIF($E$2:E4042,"Gmail"),"")</f>
        <v/>
      </c>
      <c r="J4042">
        <f>IF(E4042="Outlook",COUNTIF($E$2:E4042,"Outlook"),"")</f>
        <v/>
      </c>
      <c r="K4042">
        <f>IF(E4042="Domain",COUNTIF($E$2:E4042,"Domain"),"")</f>
        <v/>
      </c>
    </row>
    <row r="4043">
      <c r="A4043" s="2" t="n"/>
      <c r="B4043">
        <f>LOWER(TRIM(A4043))</f>
        <v/>
      </c>
      <c r="C4043">
        <f>IF(B4043="","",IFERROR(INDEX('Bad Patterns'!$A$2:$A$120,MATCH(1,INDEX(--ISNUMBER(SEARCH('Bad Patterns'!$A$2:$A$120,B4043)),0),0)),""))</f>
        <v/>
      </c>
      <c r="D4043">
        <f>IF(B4043="","",IF(C4043&lt;&gt;"","REMOVE","KEEP"))</f>
        <v/>
      </c>
      <c r="E4043">
        <f>IF(D4043&lt;&gt;"KEEP","",IF(RIGHT(B4043,10)="@gmail.com","Gmail",IF(OR(RIGHT(B4043,12)="@outlook.com",RIGHT(B4043,12)="@hotmail.com",RIGHT(B4043,9)="@live.com"),"Outlook","Domain")))</f>
        <v/>
      </c>
      <c r="F4043">
        <f>IF(B4043="","",IFERROR(RIGHT(B4043,LEN(B4043)-FIND("@",B4043)),""))</f>
        <v/>
      </c>
      <c r="G4043">
        <f>IF(D4043="KEEP",COUNTIF($D$2:D4043,"KEEP"),"")</f>
        <v/>
      </c>
      <c r="H4043">
        <f>IF(D4043="REMOVE",COUNTIF($D$2:D4043,"REMOVE"),"")</f>
        <v/>
      </c>
      <c r="I4043">
        <f>IF(E4043="Gmail",COUNTIF($E$2:E4043,"Gmail"),"")</f>
        <v/>
      </c>
      <c r="J4043">
        <f>IF(E4043="Outlook",COUNTIF($E$2:E4043,"Outlook"),"")</f>
        <v/>
      </c>
      <c r="K4043">
        <f>IF(E4043="Domain",COUNTIF($E$2:E4043,"Domain"),"")</f>
        <v/>
      </c>
    </row>
    <row r="4044">
      <c r="A4044" s="2" t="n"/>
      <c r="B4044">
        <f>LOWER(TRIM(A4044))</f>
        <v/>
      </c>
      <c r="C4044">
        <f>IF(B4044="","",IFERROR(INDEX('Bad Patterns'!$A$2:$A$120,MATCH(1,INDEX(--ISNUMBER(SEARCH('Bad Patterns'!$A$2:$A$120,B4044)),0),0)),""))</f>
        <v/>
      </c>
      <c r="D4044">
        <f>IF(B4044="","",IF(C4044&lt;&gt;"","REMOVE","KEEP"))</f>
        <v/>
      </c>
      <c r="E4044">
        <f>IF(D4044&lt;&gt;"KEEP","",IF(RIGHT(B4044,10)="@gmail.com","Gmail",IF(OR(RIGHT(B4044,12)="@outlook.com",RIGHT(B4044,12)="@hotmail.com",RIGHT(B4044,9)="@live.com"),"Outlook","Domain")))</f>
        <v/>
      </c>
      <c r="F4044">
        <f>IF(B4044="","",IFERROR(RIGHT(B4044,LEN(B4044)-FIND("@",B4044)),""))</f>
        <v/>
      </c>
      <c r="G4044">
        <f>IF(D4044="KEEP",COUNTIF($D$2:D4044,"KEEP"),"")</f>
        <v/>
      </c>
      <c r="H4044">
        <f>IF(D4044="REMOVE",COUNTIF($D$2:D4044,"REMOVE"),"")</f>
        <v/>
      </c>
      <c r="I4044">
        <f>IF(E4044="Gmail",COUNTIF($E$2:E4044,"Gmail"),"")</f>
        <v/>
      </c>
      <c r="J4044">
        <f>IF(E4044="Outlook",COUNTIF($E$2:E4044,"Outlook"),"")</f>
        <v/>
      </c>
      <c r="K4044">
        <f>IF(E4044="Domain",COUNTIF($E$2:E4044,"Domain"),"")</f>
        <v/>
      </c>
    </row>
    <row r="4045">
      <c r="A4045" s="2" t="n"/>
      <c r="B4045">
        <f>LOWER(TRIM(A4045))</f>
        <v/>
      </c>
      <c r="C4045">
        <f>IF(B4045="","",IFERROR(INDEX('Bad Patterns'!$A$2:$A$120,MATCH(1,INDEX(--ISNUMBER(SEARCH('Bad Patterns'!$A$2:$A$120,B4045)),0),0)),""))</f>
        <v/>
      </c>
      <c r="D4045">
        <f>IF(B4045="","",IF(C4045&lt;&gt;"","REMOVE","KEEP"))</f>
        <v/>
      </c>
      <c r="E4045">
        <f>IF(D4045&lt;&gt;"KEEP","",IF(RIGHT(B4045,10)="@gmail.com","Gmail",IF(OR(RIGHT(B4045,12)="@outlook.com",RIGHT(B4045,12)="@hotmail.com",RIGHT(B4045,9)="@live.com"),"Outlook","Domain")))</f>
        <v/>
      </c>
      <c r="F4045">
        <f>IF(B4045="","",IFERROR(RIGHT(B4045,LEN(B4045)-FIND("@",B4045)),""))</f>
        <v/>
      </c>
      <c r="G4045">
        <f>IF(D4045="KEEP",COUNTIF($D$2:D4045,"KEEP"),"")</f>
        <v/>
      </c>
      <c r="H4045">
        <f>IF(D4045="REMOVE",COUNTIF($D$2:D4045,"REMOVE"),"")</f>
        <v/>
      </c>
      <c r="I4045">
        <f>IF(E4045="Gmail",COUNTIF($E$2:E4045,"Gmail"),"")</f>
        <v/>
      </c>
      <c r="J4045">
        <f>IF(E4045="Outlook",COUNTIF($E$2:E4045,"Outlook"),"")</f>
        <v/>
      </c>
      <c r="K4045">
        <f>IF(E4045="Domain",COUNTIF($E$2:E4045,"Domain"),"")</f>
        <v/>
      </c>
    </row>
    <row r="4046">
      <c r="A4046" s="2" t="n"/>
      <c r="B4046">
        <f>LOWER(TRIM(A4046))</f>
        <v/>
      </c>
      <c r="C4046">
        <f>IF(B4046="","",IFERROR(INDEX('Bad Patterns'!$A$2:$A$120,MATCH(1,INDEX(--ISNUMBER(SEARCH('Bad Patterns'!$A$2:$A$120,B4046)),0),0)),""))</f>
        <v/>
      </c>
      <c r="D4046">
        <f>IF(B4046="","",IF(C4046&lt;&gt;"","REMOVE","KEEP"))</f>
        <v/>
      </c>
      <c r="E4046">
        <f>IF(D4046&lt;&gt;"KEEP","",IF(RIGHT(B4046,10)="@gmail.com","Gmail",IF(OR(RIGHT(B4046,12)="@outlook.com",RIGHT(B4046,12)="@hotmail.com",RIGHT(B4046,9)="@live.com"),"Outlook","Domain")))</f>
        <v/>
      </c>
      <c r="F4046">
        <f>IF(B4046="","",IFERROR(RIGHT(B4046,LEN(B4046)-FIND("@",B4046)),""))</f>
        <v/>
      </c>
      <c r="G4046">
        <f>IF(D4046="KEEP",COUNTIF($D$2:D4046,"KEEP"),"")</f>
        <v/>
      </c>
      <c r="H4046">
        <f>IF(D4046="REMOVE",COUNTIF($D$2:D4046,"REMOVE"),"")</f>
        <v/>
      </c>
      <c r="I4046">
        <f>IF(E4046="Gmail",COUNTIF($E$2:E4046,"Gmail"),"")</f>
        <v/>
      </c>
      <c r="J4046">
        <f>IF(E4046="Outlook",COUNTIF($E$2:E4046,"Outlook"),"")</f>
        <v/>
      </c>
      <c r="K4046">
        <f>IF(E4046="Domain",COUNTIF($E$2:E4046,"Domain"),"")</f>
        <v/>
      </c>
    </row>
    <row r="4047">
      <c r="A4047" s="2" t="n"/>
      <c r="B4047">
        <f>LOWER(TRIM(A4047))</f>
        <v/>
      </c>
      <c r="C4047">
        <f>IF(B4047="","",IFERROR(INDEX('Bad Patterns'!$A$2:$A$120,MATCH(1,INDEX(--ISNUMBER(SEARCH('Bad Patterns'!$A$2:$A$120,B4047)),0),0)),""))</f>
        <v/>
      </c>
      <c r="D4047">
        <f>IF(B4047="","",IF(C4047&lt;&gt;"","REMOVE","KEEP"))</f>
        <v/>
      </c>
      <c r="E4047">
        <f>IF(D4047&lt;&gt;"KEEP","",IF(RIGHT(B4047,10)="@gmail.com","Gmail",IF(OR(RIGHT(B4047,12)="@outlook.com",RIGHT(B4047,12)="@hotmail.com",RIGHT(B4047,9)="@live.com"),"Outlook","Domain")))</f>
        <v/>
      </c>
      <c r="F4047">
        <f>IF(B4047="","",IFERROR(RIGHT(B4047,LEN(B4047)-FIND("@",B4047)),""))</f>
        <v/>
      </c>
      <c r="G4047">
        <f>IF(D4047="KEEP",COUNTIF($D$2:D4047,"KEEP"),"")</f>
        <v/>
      </c>
      <c r="H4047">
        <f>IF(D4047="REMOVE",COUNTIF($D$2:D4047,"REMOVE"),"")</f>
        <v/>
      </c>
      <c r="I4047">
        <f>IF(E4047="Gmail",COUNTIF($E$2:E4047,"Gmail"),"")</f>
        <v/>
      </c>
      <c r="J4047">
        <f>IF(E4047="Outlook",COUNTIF($E$2:E4047,"Outlook"),"")</f>
        <v/>
      </c>
      <c r="K4047">
        <f>IF(E4047="Domain",COUNTIF($E$2:E4047,"Domain"),"")</f>
        <v/>
      </c>
    </row>
    <row r="4048">
      <c r="A4048" s="2" t="n"/>
      <c r="B4048">
        <f>LOWER(TRIM(A4048))</f>
        <v/>
      </c>
      <c r="C4048">
        <f>IF(B4048="","",IFERROR(INDEX('Bad Patterns'!$A$2:$A$120,MATCH(1,INDEX(--ISNUMBER(SEARCH('Bad Patterns'!$A$2:$A$120,B4048)),0),0)),""))</f>
        <v/>
      </c>
      <c r="D4048">
        <f>IF(B4048="","",IF(C4048&lt;&gt;"","REMOVE","KEEP"))</f>
        <v/>
      </c>
      <c r="E4048">
        <f>IF(D4048&lt;&gt;"KEEP","",IF(RIGHT(B4048,10)="@gmail.com","Gmail",IF(OR(RIGHT(B4048,12)="@outlook.com",RIGHT(B4048,12)="@hotmail.com",RIGHT(B4048,9)="@live.com"),"Outlook","Domain")))</f>
        <v/>
      </c>
      <c r="F4048">
        <f>IF(B4048="","",IFERROR(RIGHT(B4048,LEN(B4048)-FIND("@",B4048)),""))</f>
        <v/>
      </c>
      <c r="G4048">
        <f>IF(D4048="KEEP",COUNTIF($D$2:D4048,"KEEP"),"")</f>
        <v/>
      </c>
      <c r="H4048">
        <f>IF(D4048="REMOVE",COUNTIF($D$2:D4048,"REMOVE"),"")</f>
        <v/>
      </c>
      <c r="I4048">
        <f>IF(E4048="Gmail",COUNTIF($E$2:E4048,"Gmail"),"")</f>
        <v/>
      </c>
      <c r="J4048">
        <f>IF(E4048="Outlook",COUNTIF($E$2:E4048,"Outlook"),"")</f>
        <v/>
      </c>
      <c r="K4048">
        <f>IF(E4048="Domain",COUNTIF($E$2:E4048,"Domain"),"")</f>
        <v/>
      </c>
    </row>
    <row r="4049">
      <c r="A4049" s="2" t="n"/>
      <c r="B4049">
        <f>LOWER(TRIM(A4049))</f>
        <v/>
      </c>
      <c r="C4049">
        <f>IF(B4049="","",IFERROR(INDEX('Bad Patterns'!$A$2:$A$120,MATCH(1,INDEX(--ISNUMBER(SEARCH('Bad Patterns'!$A$2:$A$120,B4049)),0),0)),""))</f>
        <v/>
      </c>
      <c r="D4049">
        <f>IF(B4049="","",IF(C4049&lt;&gt;"","REMOVE","KEEP"))</f>
        <v/>
      </c>
      <c r="E4049">
        <f>IF(D4049&lt;&gt;"KEEP","",IF(RIGHT(B4049,10)="@gmail.com","Gmail",IF(OR(RIGHT(B4049,12)="@outlook.com",RIGHT(B4049,12)="@hotmail.com",RIGHT(B4049,9)="@live.com"),"Outlook","Domain")))</f>
        <v/>
      </c>
      <c r="F4049">
        <f>IF(B4049="","",IFERROR(RIGHT(B4049,LEN(B4049)-FIND("@",B4049)),""))</f>
        <v/>
      </c>
      <c r="G4049">
        <f>IF(D4049="KEEP",COUNTIF($D$2:D4049,"KEEP"),"")</f>
        <v/>
      </c>
      <c r="H4049">
        <f>IF(D4049="REMOVE",COUNTIF($D$2:D4049,"REMOVE"),"")</f>
        <v/>
      </c>
      <c r="I4049">
        <f>IF(E4049="Gmail",COUNTIF($E$2:E4049,"Gmail"),"")</f>
        <v/>
      </c>
      <c r="J4049">
        <f>IF(E4049="Outlook",COUNTIF($E$2:E4049,"Outlook"),"")</f>
        <v/>
      </c>
      <c r="K4049">
        <f>IF(E4049="Domain",COUNTIF($E$2:E4049,"Domain"),"")</f>
        <v/>
      </c>
    </row>
    <row r="4050">
      <c r="A4050" s="2" t="n"/>
      <c r="B4050">
        <f>LOWER(TRIM(A4050))</f>
        <v/>
      </c>
      <c r="C4050">
        <f>IF(B4050="","",IFERROR(INDEX('Bad Patterns'!$A$2:$A$120,MATCH(1,INDEX(--ISNUMBER(SEARCH('Bad Patterns'!$A$2:$A$120,B4050)),0),0)),""))</f>
        <v/>
      </c>
      <c r="D4050">
        <f>IF(B4050="","",IF(C4050&lt;&gt;"","REMOVE","KEEP"))</f>
        <v/>
      </c>
      <c r="E4050">
        <f>IF(D4050&lt;&gt;"KEEP","",IF(RIGHT(B4050,10)="@gmail.com","Gmail",IF(OR(RIGHT(B4050,12)="@outlook.com",RIGHT(B4050,12)="@hotmail.com",RIGHT(B4050,9)="@live.com"),"Outlook","Domain")))</f>
        <v/>
      </c>
      <c r="F4050">
        <f>IF(B4050="","",IFERROR(RIGHT(B4050,LEN(B4050)-FIND("@",B4050)),""))</f>
        <v/>
      </c>
      <c r="G4050">
        <f>IF(D4050="KEEP",COUNTIF($D$2:D4050,"KEEP"),"")</f>
        <v/>
      </c>
      <c r="H4050">
        <f>IF(D4050="REMOVE",COUNTIF($D$2:D4050,"REMOVE"),"")</f>
        <v/>
      </c>
      <c r="I4050">
        <f>IF(E4050="Gmail",COUNTIF($E$2:E4050,"Gmail"),"")</f>
        <v/>
      </c>
      <c r="J4050">
        <f>IF(E4050="Outlook",COUNTIF($E$2:E4050,"Outlook"),"")</f>
        <v/>
      </c>
      <c r="K4050">
        <f>IF(E4050="Domain",COUNTIF($E$2:E4050,"Domain"),"")</f>
        <v/>
      </c>
    </row>
    <row r="4051">
      <c r="A4051" s="2" t="n"/>
      <c r="B4051">
        <f>LOWER(TRIM(A4051))</f>
        <v/>
      </c>
      <c r="C4051">
        <f>IF(B4051="","",IFERROR(INDEX('Bad Patterns'!$A$2:$A$120,MATCH(1,INDEX(--ISNUMBER(SEARCH('Bad Patterns'!$A$2:$A$120,B4051)),0),0)),""))</f>
        <v/>
      </c>
      <c r="D4051">
        <f>IF(B4051="","",IF(C4051&lt;&gt;"","REMOVE","KEEP"))</f>
        <v/>
      </c>
      <c r="E4051">
        <f>IF(D4051&lt;&gt;"KEEP","",IF(RIGHT(B4051,10)="@gmail.com","Gmail",IF(OR(RIGHT(B4051,12)="@outlook.com",RIGHT(B4051,12)="@hotmail.com",RIGHT(B4051,9)="@live.com"),"Outlook","Domain")))</f>
        <v/>
      </c>
      <c r="F4051">
        <f>IF(B4051="","",IFERROR(RIGHT(B4051,LEN(B4051)-FIND("@",B4051)),""))</f>
        <v/>
      </c>
      <c r="G4051">
        <f>IF(D4051="KEEP",COUNTIF($D$2:D4051,"KEEP"),"")</f>
        <v/>
      </c>
      <c r="H4051">
        <f>IF(D4051="REMOVE",COUNTIF($D$2:D4051,"REMOVE"),"")</f>
        <v/>
      </c>
      <c r="I4051">
        <f>IF(E4051="Gmail",COUNTIF($E$2:E4051,"Gmail"),"")</f>
        <v/>
      </c>
      <c r="J4051">
        <f>IF(E4051="Outlook",COUNTIF($E$2:E4051,"Outlook"),"")</f>
        <v/>
      </c>
      <c r="K4051">
        <f>IF(E4051="Domain",COUNTIF($E$2:E4051,"Domain"),"")</f>
        <v/>
      </c>
    </row>
    <row r="4052">
      <c r="A4052" s="2" t="n"/>
      <c r="B4052">
        <f>LOWER(TRIM(A4052))</f>
        <v/>
      </c>
      <c r="C4052">
        <f>IF(B4052="","",IFERROR(INDEX('Bad Patterns'!$A$2:$A$120,MATCH(1,INDEX(--ISNUMBER(SEARCH('Bad Patterns'!$A$2:$A$120,B4052)),0),0)),""))</f>
        <v/>
      </c>
      <c r="D4052">
        <f>IF(B4052="","",IF(C4052&lt;&gt;"","REMOVE","KEEP"))</f>
        <v/>
      </c>
      <c r="E4052">
        <f>IF(D4052&lt;&gt;"KEEP","",IF(RIGHT(B4052,10)="@gmail.com","Gmail",IF(OR(RIGHT(B4052,12)="@outlook.com",RIGHT(B4052,12)="@hotmail.com",RIGHT(B4052,9)="@live.com"),"Outlook","Domain")))</f>
        <v/>
      </c>
      <c r="F4052">
        <f>IF(B4052="","",IFERROR(RIGHT(B4052,LEN(B4052)-FIND("@",B4052)),""))</f>
        <v/>
      </c>
      <c r="G4052">
        <f>IF(D4052="KEEP",COUNTIF($D$2:D4052,"KEEP"),"")</f>
        <v/>
      </c>
      <c r="H4052">
        <f>IF(D4052="REMOVE",COUNTIF($D$2:D4052,"REMOVE"),"")</f>
        <v/>
      </c>
      <c r="I4052">
        <f>IF(E4052="Gmail",COUNTIF($E$2:E4052,"Gmail"),"")</f>
        <v/>
      </c>
      <c r="J4052">
        <f>IF(E4052="Outlook",COUNTIF($E$2:E4052,"Outlook"),"")</f>
        <v/>
      </c>
      <c r="K4052">
        <f>IF(E4052="Domain",COUNTIF($E$2:E4052,"Domain"),"")</f>
        <v/>
      </c>
    </row>
    <row r="4053">
      <c r="A4053" s="2" t="n"/>
      <c r="B4053">
        <f>LOWER(TRIM(A4053))</f>
        <v/>
      </c>
      <c r="C4053">
        <f>IF(B4053="","",IFERROR(INDEX('Bad Patterns'!$A$2:$A$120,MATCH(1,INDEX(--ISNUMBER(SEARCH('Bad Patterns'!$A$2:$A$120,B4053)),0),0)),""))</f>
        <v/>
      </c>
      <c r="D4053">
        <f>IF(B4053="","",IF(C4053&lt;&gt;"","REMOVE","KEEP"))</f>
        <v/>
      </c>
      <c r="E4053">
        <f>IF(D4053&lt;&gt;"KEEP","",IF(RIGHT(B4053,10)="@gmail.com","Gmail",IF(OR(RIGHT(B4053,12)="@outlook.com",RIGHT(B4053,12)="@hotmail.com",RIGHT(B4053,9)="@live.com"),"Outlook","Domain")))</f>
        <v/>
      </c>
      <c r="F4053">
        <f>IF(B4053="","",IFERROR(RIGHT(B4053,LEN(B4053)-FIND("@",B4053)),""))</f>
        <v/>
      </c>
      <c r="G4053">
        <f>IF(D4053="KEEP",COUNTIF($D$2:D4053,"KEEP"),"")</f>
        <v/>
      </c>
      <c r="H4053">
        <f>IF(D4053="REMOVE",COUNTIF($D$2:D4053,"REMOVE"),"")</f>
        <v/>
      </c>
      <c r="I4053">
        <f>IF(E4053="Gmail",COUNTIF($E$2:E4053,"Gmail"),"")</f>
        <v/>
      </c>
      <c r="J4053">
        <f>IF(E4053="Outlook",COUNTIF($E$2:E4053,"Outlook"),"")</f>
        <v/>
      </c>
      <c r="K4053">
        <f>IF(E4053="Domain",COUNTIF($E$2:E4053,"Domain"),"")</f>
        <v/>
      </c>
    </row>
    <row r="4054">
      <c r="A4054" s="2" t="n"/>
      <c r="B4054">
        <f>LOWER(TRIM(A4054))</f>
        <v/>
      </c>
      <c r="C4054">
        <f>IF(B4054="","",IFERROR(INDEX('Bad Patterns'!$A$2:$A$120,MATCH(1,INDEX(--ISNUMBER(SEARCH('Bad Patterns'!$A$2:$A$120,B4054)),0),0)),""))</f>
        <v/>
      </c>
      <c r="D4054">
        <f>IF(B4054="","",IF(C4054&lt;&gt;"","REMOVE","KEEP"))</f>
        <v/>
      </c>
      <c r="E4054">
        <f>IF(D4054&lt;&gt;"KEEP","",IF(RIGHT(B4054,10)="@gmail.com","Gmail",IF(OR(RIGHT(B4054,12)="@outlook.com",RIGHT(B4054,12)="@hotmail.com",RIGHT(B4054,9)="@live.com"),"Outlook","Domain")))</f>
        <v/>
      </c>
      <c r="F4054">
        <f>IF(B4054="","",IFERROR(RIGHT(B4054,LEN(B4054)-FIND("@",B4054)),""))</f>
        <v/>
      </c>
      <c r="G4054">
        <f>IF(D4054="KEEP",COUNTIF($D$2:D4054,"KEEP"),"")</f>
        <v/>
      </c>
      <c r="H4054">
        <f>IF(D4054="REMOVE",COUNTIF($D$2:D4054,"REMOVE"),"")</f>
        <v/>
      </c>
      <c r="I4054">
        <f>IF(E4054="Gmail",COUNTIF($E$2:E4054,"Gmail"),"")</f>
        <v/>
      </c>
      <c r="J4054">
        <f>IF(E4054="Outlook",COUNTIF($E$2:E4054,"Outlook"),"")</f>
        <v/>
      </c>
      <c r="K4054">
        <f>IF(E4054="Domain",COUNTIF($E$2:E4054,"Domain"),"")</f>
        <v/>
      </c>
    </row>
    <row r="4055">
      <c r="A4055" s="2" t="n"/>
      <c r="B4055">
        <f>LOWER(TRIM(A4055))</f>
        <v/>
      </c>
      <c r="C4055">
        <f>IF(B4055="","",IFERROR(INDEX('Bad Patterns'!$A$2:$A$120,MATCH(1,INDEX(--ISNUMBER(SEARCH('Bad Patterns'!$A$2:$A$120,B4055)),0),0)),""))</f>
        <v/>
      </c>
      <c r="D4055">
        <f>IF(B4055="","",IF(C4055&lt;&gt;"","REMOVE","KEEP"))</f>
        <v/>
      </c>
      <c r="E4055">
        <f>IF(D4055&lt;&gt;"KEEP","",IF(RIGHT(B4055,10)="@gmail.com","Gmail",IF(OR(RIGHT(B4055,12)="@outlook.com",RIGHT(B4055,12)="@hotmail.com",RIGHT(B4055,9)="@live.com"),"Outlook","Domain")))</f>
        <v/>
      </c>
      <c r="F4055">
        <f>IF(B4055="","",IFERROR(RIGHT(B4055,LEN(B4055)-FIND("@",B4055)),""))</f>
        <v/>
      </c>
      <c r="G4055">
        <f>IF(D4055="KEEP",COUNTIF($D$2:D4055,"KEEP"),"")</f>
        <v/>
      </c>
      <c r="H4055">
        <f>IF(D4055="REMOVE",COUNTIF($D$2:D4055,"REMOVE"),"")</f>
        <v/>
      </c>
      <c r="I4055">
        <f>IF(E4055="Gmail",COUNTIF($E$2:E4055,"Gmail"),"")</f>
        <v/>
      </c>
      <c r="J4055">
        <f>IF(E4055="Outlook",COUNTIF($E$2:E4055,"Outlook"),"")</f>
        <v/>
      </c>
      <c r="K4055">
        <f>IF(E4055="Domain",COUNTIF($E$2:E4055,"Domain"),"")</f>
        <v/>
      </c>
    </row>
    <row r="4056">
      <c r="A4056" s="2" t="n"/>
      <c r="B4056">
        <f>LOWER(TRIM(A4056))</f>
        <v/>
      </c>
      <c r="C4056">
        <f>IF(B4056="","",IFERROR(INDEX('Bad Patterns'!$A$2:$A$120,MATCH(1,INDEX(--ISNUMBER(SEARCH('Bad Patterns'!$A$2:$A$120,B4056)),0),0)),""))</f>
        <v/>
      </c>
      <c r="D4056">
        <f>IF(B4056="","",IF(C4056&lt;&gt;"","REMOVE","KEEP"))</f>
        <v/>
      </c>
      <c r="E4056">
        <f>IF(D4056&lt;&gt;"KEEP","",IF(RIGHT(B4056,10)="@gmail.com","Gmail",IF(OR(RIGHT(B4056,12)="@outlook.com",RIGHT(B4056,12)="@hotmail.com",RIGHT(B4056,9)="@live.com"),"Outlook","Domain")))</f>
        <v/>
      </c>
      <c r="F4056">
        <f>IF(B4056="","",IFERROR(RIGHT(B4056,LEN(B4056)-FIND("@",B4056)),""))</f>
        <v/>
      </c>
      <c r="G4056">
        <f>IF(D4056="KEEP",COUNTIF($D$2:D4056,"KEEP"),"")</f>
        <v/>
      </c>
      <c r="H4056">
        <f>IF(D4056="REMOVE",COUNTIF($D$2:D4056,"REMOVE"),"")</f>
        <v/>
      </c>
      <c r="I4056">
        <f>IF(E4056="Gmail",COUNTIF($E$2:E4056,"Gmail"),"")</f>
        <v/>
      </c>
      <c r="J4056">
        <f>IF(E4056="Outlook",COUNTIF($E$2:E4056,"Outlook"),"")</f>
        <v/>
      </c>
      <c r="K4056">
        <f>IF(E4056="Domain",COUNTIF($E$2:E4056,"Domain"),"")</f>
        <v/>
      </c>
    </row>
    <row r="4057">
      <c r="A4057" s="2" t="n"/>
      <c r="B4057">
        <f>LOWER(TRIM(A4057))</f>
        <v/>
      </c>
      <c r="C4057">
        <f>IF(B4057="","",IFERROR(INDEX('Bad Patterns'!$A$2:$A$120,MATCH(1,INDEX(--ISNUMBER(SEARCH('Bad Patterns'!$A$2:$A$120,B4057)),0),0)),""))</f>
        <v/>
      </c>
      <c r="D4057">
        <f>IF(B4057="","",IF(C4057&lt;&gt;"","REMOVE","KEEP"))</f>
        <v/>
      </c>
      <c r="E4057">
        <f>IF(D4057&lt;&gt;"KEEP","",IF(RIGHT(B4057,10)="@gmail.com","Gmail",IF(OR(RIGHT(B4057,12)="@outlook.com",RIGHT(B4057,12)="@hotmail.com",RIGHT(B4057,9)="@live.com"),"Outlook","Domain")))</f>
        <v/>
      </c>
      <c r="F4057">
        <f>IF(B4057="","",IFERROR(RIGHT(B4057,LEN(B4057)-FIND("@",B4057)),""))</f>
        <v/>
      </c>
      <c r="G4057">
        <f>IF(D4057="KEEP",COUNTIF($D$2:D4057,"KEEP"),"")</f>
        <v/>
      </c>
      <c r="H4057">
        <f>IF(D4057="REMOVE",COUNTIF($D$2:D4057,"REMOVE"),"")</f>
        <v/>
      </c>
      <c r="I4057">
        <f>IF(E4057="Gmail",COUNTIF($E$2:E4057,"Gmail"),"")</f>
        <v/>
      </c>
      <c r="J4057">
        <f>IF(E4057="Outlook",COUNTIF($E$2:E4057,"Outlook"),"")</f>
        <v/>
      </c>
      <c r="K4057">
        <f>IF(E4057="Domain",COUNTIF($E$2:E4057,"Domain"),"")</f>
        <v/>
      </c>
    </row>
    <row r="4058">
      <c r="A4058" s="2" t="n"/>
      <c r="B4058">
        <f>LOWER(TRIM(A4058))</f>
        <v/>
      </c>
      <c r="C4058">
        <f>IF(B4058="","",IFERROR(INDEX('Bad Patterns'!$A$2:$A$120,MATCH(1,INDEX(--ISNUMBER(SEARCH('Bad Patterns'!$A$2:$A$120,B4058)),0),0)),""))</f>
        <v/>
      </c>
      <c r="D4058">
        <f>IF(B4058="","",IF(C4058&lt;&gt;"","REMOVE","KEEP"))</f>
        <v/>
      </c>
      <c r="E4058">
        <f>IF(D4058&lt;&gt;"KEEP","",IF(RIGHT(B4058,10)="@gmail.com","Gmail",IF(OR(RIGHT(B4058,12)="@outlook.com",RIGHT(B4058,12)="@hotmail.com",RIGHT(B4058,9)="@live.com"),"Outlook","Domain")))</f>
        <v/>
      </c>
      <c r="F4058">
        <f>IF(B4058="","",IFERROR(RIGHT(B4058,LEN(B4058)-FIND("@",B4058)),""))</f>
        <v/>
      </c>
      <c r="G4058">
        <f>IF(D4058="KEEP",COUNTIF($D$2:D4058,"KEEP"),"")</f>
        <v/>
      </c>
      <c r="H4058">
        <f>IF(D4058="REMOVE",COUNTIF($D$2:D4058,"REMOVE"),"")</f>
        <v/>
      </c>
      <c r="I4058">
        <f>IF(E4058="Gmail",COUNTIF($E$2:E4058,"Gmail"),"")</f>
        <v/>
      </c>
      <c r="J4058">
        <f>IF(E4058="Outlook",COUNTIF($E$2:E4058,"Outlook"),"")</f>
        <v/>
      </c>
      <c r="K4058">
        <f>IF(E4058="Domain",COUNTIF($E$2:E4058,"Domain"),"")</f>
        <v/>
      </c>
    </row>
    <row r="4059">
      <c r="A4059" s="2" t="n"/>
      <c r="B4059">
        <f>LOWER(TRIM(A4059))</f>
        <v/>
      </c>
      <c r="C4059">
        <f>IF(B4059="","",IFERROR(INDEX('Bad Patterns'!$A$2:$A$120,MATCH(1,INDEX(--ISNUMBER(SEARCH('Bad Patterns'!$A$2:$A$120,B4059)),0),0)),""))</f>
        <v/>
      </c>
      <c r="D4059">
        <f>IF(B4059="","",IF(C4059&lt;&gt;"","REMOVE","KEEP"))</f>
        <v/>
      </c>
      <c r="E4059">
        <f>IF(D4059&lt;&gt;"KEEP","",IF(RIGHT(B4059,10)="@gmail.com","Gmail",IF(OR(RIGHT(B4059,12)="@outlook.com",RIGHT(B4059,12)="@hotmail.com",RIGHT(B4059,9)="@live.com"),"Outlook","Domain")))</f>
        <v/>
      </c>
      <c r="F4059">
        <f>IF(B4059="","",IFERROR(RIGHT(B4059,LEN(B4059)-FIND("@",B4059)),""))</f>
        <v/>
      </c>
      <c r="G4059">
        <f>IF(D4059="KEEP",COUNTIF($D$2:D4059,"KEEP"),"")</f>
        <v/>
      </c>
      <c r="H4059">
        <f>IF(D4059="REMOVE",COUNTIF($D$2:D4059,"REMOVE"),"")</f>
        <v/>
      </c>
      <c r="I4059">
        <f>IF(E4059="Gmail",COUNTIF($E$2:E4059,"Gmail"),"")</f>
        <v/>
      </c>
      <c r="J4059">
        <f>IF(E4059="Outlook",COUNTIF($E$2:E4059,"Outlook"),"")</f>
        <v/>
      </c>
      <c r="K4059">
        <f>IF(E4059="Domain",COUNTIF($E$2:E4059,"Domain"),"")</f>
        <v/>
      </c>
    </row>
    <row r="4060">
      <c r="A4060" s="2" t="n"/>
      <c r="B4060">
        <f>LOWER(TRIM(A4060))</f>
        <v/>
      </c>
      <c r="C4060">
        <f>IF(B4060="","",IFERROR(INDEX('Bad Patterns'!$A$2:$A$120,MATCH(1,INDEX(--ISNUMBER(SEARCH('Bad Patterns'!$A$2:$A$120,B4060)),0),0)),""))</f>
        <v/>
      </c>
      <c r="D4060">
        <f>IF(B4060="","",IF(C4060&lt;&gt;"","REMOVE","KEEP"))</f>
        <v/>
      </c>
      <c r="E4060">
        <f>IF(D4060&lt;&gt;"KEEP","",IF(RIGHT(B4060,10)="@gmail.com","Gmail",IF(OR(RIGHT(B4060,12)="@outlook.com",RIGHT(B4060,12)="@hotmail.com",RIGHT(B4060,9)="@live.com"),"Outlook","Domain")))</f>
        <v/>
      </c>
      <c r="F4060">
        <f>IF(B4060="","",IFERROR(RIGHT(B4060,LEN(B4060)-FIND("@",B4060)),""))</f>
        <v/>
      </c>
      <c r="G4060">
        <f>IF(D4060="KEEP",COUNTIF($D$2:D4060,"KEEP"),"")</f>
        <v/>
      </c>
      <c r="H4060">
        <f>IF(D4060="REMOVE",COUNTIF($D$2:D4060,"REMOVE"),"")</f>
        <v/>
      </c>
      <c r="I4060">
        <f>IF(E4060="Gmail",COUNTIF($E$2:E4060,"Gmail"),"")</f>
        <v/>
      </c>
      <c r="J4060">
        <f>IF(E4060="Outlook",COUNTIF($E$2:E4060,"Outlook"),"")</f>
        <v/>
      </c>
      <c r="K4060">
        <f>IF(E4060="Domain",COUNTIF($E$2:E4060,"Domain"),"")</f>
        <v/>
      </c>
    </row>
    <row r="4061">
      <c r="A4061" s="2" t="n"/>
      <c r="B4061">
        <f>LOWER(TRIM(A4061))</f>
        <v/>
      </c>
      <c r="C4061">
        <f>IF(B4061="","",IFERROR(INDEX('Bad Patterns'!$A$2:$A$120,MATCH(1,INDEX(--ISNUMBER(SEARCH('Bad Patterns'!$A$2:$A$120,B4061)),0),0)),""))</f>
        <v/>
      </c>
      <c r="D4061">
        <f>IF(B4061="","",IF(C4061&lt;&gt;"","REMOVE","KEEP"))</f>
        <v/>
      </c>
      <c r="E4061">
        <f>IF(D4061&lt;&gt;"KEEP","",IF(RIGHT(B4061,10)="@gmail.com","Gmail",IF(OR(RIGHT(B4061,12)="@outlook.com",RIGHT(B4061,12)="@hotmail.com",RIGHT(B4061,9)="@live.com"),"Outlook","Domain")))</f>
        <v/>
      </c>
      <c r="F4061">
        <f>IF(B4061="","",IFERROR(RIGHT(B4061,LEN(B4061)-FIND("@",B4061)),""))</f>
        <v/>
      </c>
      <c r="G4061">
        <f>IF(D4061="KEEP",COUNTIF($D$2:D4061,"KEEP"),"")</f>
        <v/>
      </c>
      <c r="H4061">
        <f>IF(D4061="REMOVE",COUNTIF($D$2:D4061,"REMOVE"),"")</f>
        <v/>
      </c>
      <c r="I4061">
        <f>IF(E4061="Gmail",COUNTIF($E$2:E4061,"Gmail"),"")</f>
        <v/>
      </c>
      <c r="J4061">
        <f>IF(E4061="Outlook",COUNTIF($E$2:E4061,"Outlook"),"")</f>
        <v/>
      </c>
      <c r="K4061">
        <f>IF(E4061="Domain",COUNTIF($E$2:E4061,"Domain"),"")</f>
        <v/>
      </c>
    </row>
    <row r="4062">
      <c r="A4062" s="2" t="n"/>
      <c r="B4062">
        <f>LOWER(TRIM(A4062))</f>
        <v/>
      </c>
      <c r="C4062">
        <f>IF(B4062="","",IFERROR(INDEX('Bad Patterns'!$A$2:$A$120,MATCH(1,INDEX(--ISNUMBER(SEARCH('Bad Patterns'!$A$2:$A$120,B4062)),0),0)),""))</f>
        <v/>
      </c>
      <c r="D4062">
        <f>IF(B4062="","",IF(C4062&lt;&gt;"","REMOVE","KEEP"))</f>
        <v/>
      </c>
      <c r="E4062">
        <f>IF(D4062&lt;&gt;"KEEP","",IF(RIGHT(B4062,10)="@gmail.com","Gmail",IF(OR(RIGHT(B4062,12)="@outlook.com",RIGHT(B4062,12)="@hotmail.com",RIGHT(B4062,9)="@live.com"),"Outlook","Domain")))</f>
        <v/>
      </c>
      <c r="F4062">
        <f>IF(B4062="","",IFERROR(RIGHT(B4062,LEN(B4062)-FIND("@",B4062)),""))</f>
        <v/>
      </c>
      <c r="G4062">
        <f>IF(D4062="KEEP",COUNTIF($D$2:D4062,"KEEP"),"")</f>
        <v/>
      </c>
      <c r="H4062">
        <f>IF(D4062="REMOVE",COUNTIF($D$2:D4062,"REMOVE"),"")</f>
        <v/>
      </c>
      <c r="I4062">
        <f>IF(E4062="Gmail",COUNTIF($E$2:E4062,"Gmail"),"")</f>
        <v/>
      </c>
      <c r="J4062">
        <f>IF(E4062="Outlook",COUNTIF($E$2:E4062,"Outlook"),"")</f>
        <v/>
      </c>
      <c r="K4062">
        <f>IF(E4062="Domain",COUNTIF($E$2:E4062,"Domain"),"")</f>
        <v/>
      </c>
    </row>
    <row r="4063">
      <c r="A4063" s="2" t="n"/>
      <c r="B4063">
        <f>LOWER(TRIM(A4063))</f>
        <v/>
      </c>
      <c r="C4063">
        <f>IF(B4063="","",IFERROR(INDEX('Bad Patterns'!$A$2:$A$120,MATCH(1,INDEX(--ISNUMBER(SEARCH('Bad Patterns'!$A$2:$A$120,B4063)),0),0)),""))</f>
        <v/>
      </c>
      <c r="D4063">
        <f>IF(B4063="","",IF(C4063&lt;&gt;"","REMOVE","KEEP"))</f>
        <v/>
      </c>
      <c r="E4063">
        <f>IF(D4063&lt;&gt;"KEEP","",IF(RIGHT(B4063,10)="@gmail.com","Gmail",IF(OR(RIGHT(B4063,12)="@outlook.com",RIGHT(B4063,12)="@hotmail.com",RIGHT(B4063,9)="@live.com"),"Outlook","Domain")))</f>
        <v/>
      </c>
      <c r="F4063">
        <f>IF(B4063="","",IFERROR(RIGHT(B4063,LEN(B4063)-FIND("@",B4063)),""))</f>
        <v/>
      </c>
      <c r="G4063">
        <f>IF(D4063="KEEP",COUNTIF($D$2:D4063,"KEEP"),"")</f>
        <v/>
      </c>
      <c r="H4063">
        <f>IF(D4063="REMOVE",COUNTIF($D$2:D4063,"REMOVE"),"")</f>
        <v/>
      </c>
      <c r="I4063">
        <f>IF(E4063="Gmail",COUNTIF($E$2:E4063,"Gmail"),"")</f>
        <v/>
      </c>
      <c r="J4063">
        <f>IF(E4063="Outlook",COUNTIF($E$2:E4063,"Outlook"),"")</f>
        <v/>
      </c>
      <c r="K4063">
        <f>IF(E4063="Domain",COUNTIF($E$2:E4063,"Domain"),"")</f>
        <v/>
      </c>
    </row>
    <row r="4064">
      <c r="A4064" s="2" t="n"/>
      <c r="B4064">
        <f>LOWER(TRIM(A4064))</f>
        <v/>
      </c>
      <c r="C4064">
        <f>IF(B4064="","",IFERROR(INDEX('Bad Patterns'!$A$2:$A$120,MATCH(1,INDEX(--ISNUMBER(SEARCH('Bad Patterns'!$A$2:$A$120,B4064)),0),0)),""))</f>
        <v/>
      </c>
      <c r="D4064">
        <f>IF(B4064="","",IF(C4064&lt;&gt;"","REMOVE","KEEP"))</f>
        <v/>
      </c>
      <c r="E4064">
        <f>IF(D4064&lt;&gt;"KEEP","",IF(RIGHT(B4064,10)="@gmail.com","Gmail",IF(OR(RIGHT(B4064,12)="@outlook.com",RIGHT(B4064,12)="@hotmail.com",RIGHT(B4064,9)="@live.com"),"Outlook","Domain")))</f>
        <v/>
      </c>
      <c r="F4064">
        <f>IF(B4064="","",IFERROR(RIGHT(B4064,LEN(B4064)-FIND("@",B4064)),""))</f>
        <v/>
      </c>
      <c r="G4064">
        <f>IF(D4064="KEEP",COUNTIF($D$2:D4064,"KEEP"),"")</f>
        <v/>
      </c>
      <c r="H4064">
        <f>IF(D4064="REMOVE",COUNTIF($D$2:D4064,"REMOVE"),"")</f>
        <v/>
      </c>
      <c r="I4064">
        <f>IF(E4064="Gmail",COUNTIF($E$2:E4064,"Gmail"),"")</f>
        <v/>
      </c>
      <c r="J4064">
        <f>IF(E4064="Outlook",COUNTIF($E$2:E4064,"Outlook"),"")</f>
        <v/>
      </c>
      <c r="K4064">
        <f>IF(E4064="Domain",COUNTIF($E$2:E4064,"Domain"),"")</f>
        <v/>
      </c>
    </row>
    <row r="4065">
      <c r="A4065" s="2" t="n"/>
      <c r="B4065">
        <f>LOWER(TRIM(A4065))</f>
        <v/>
      </c>
      <c r="C4065">
        <f>IF(B4065="","",IFERROR(INDEX('Bad Patterns'!$A$2:$A$120,MATCH(1,INDEX(--ISNUMBER(SEARCH('Bad Patterns'!$A$2:$A$120,B4065)),0),0)),""))</f>
        <v/>
      </c>
      <c r="D4065">
        <f>IF(B4065="","",IF(C4065&lt;&gt;"","REMOVE","KEEP"))</f>
        <v/>
      </c>
      <c r="E4065">
        <f>IF(D4065&lt;&gt;"KEEP","",IF(RIGHT(B4065,10)="@gmail.com","Gmail",IF(OR(RIGHT(B4065,12)="@outlook.com",RIGHT(B4065,12)="@hotmail.com",RIGHT(B4065,9)="@live.com"),"Outlook","Domain")))</f>
        <v/>
      </c>
      <c r="F4065">
        <f>IF(B4065="","",IFERROR(RIGHT(B4065,LEN(B4065)-FIND("@",B4065)),""))</f>
        <v/>
      </c>
      <c r="G4065">
        <f>IF(D4065="KEEP",COUNTIF($D$2:D4065,"KEEP"),"")</f>
        <v/>
      </c>
      <c r="H4065">
        <f>IF(D4065="REMOVE",COUNTIF($D$2:D4065,"REMOVE"),"")</f>
        <v/>
      </c>
      <c r="I4065">
        <f>IF(E4065="Gmail",COUNTIF($E$2:E4065,"Gmail"),"")</f>
        <v/>
      </c>
      <c r="J4065">
        <f>IF(E4065="Outlook",COUNTIF($E$2:E4065,"Outlook"),"")</f>
        <v/>
      </c>
      <c r="K4065">
        <f>IF(E4065="Domain",COUNTIF($E$2:E4065,"Domain"),"")</f>
        <v/>
      </c>
    </row>
    <row r="4066">
      <c r="A4066" s="2" t="n"/>
      <c r="B4066">
        <f>LOWER(TRIM(A4066))</f>
        <v/>
      </c>
      <c r="C4066">
        <f>IF(B4066="","",IFERROR(INDEX('Bad Patterns'!$A$2:$A$120,MATCH(1,INDEX(--ISNUMBER(SEARCH('Bad Patterns'!$A$2:$A$120,B4066)),0),0)),""))</f>
        <v/>
      </c>
      <c r="D4066">
        <f>IF(B4066="","",IF(C4066&lt;&gt;"","REMOVE","KEEP"))</f>
        <v/>
      </c>
      <c r="E4066">
        <f>IF(D4066&lt;&gt;"KEEP","",IF(RIGHT(B4066,10)="@gmail.com","Gmail",IF(OR(RIGHT(B4066,12)="@outlook.com",RIGHT(B4066,12)="@hotmail.com",RIGHT(B4066,9)="@live.com"),"Outlook","Domain")))</f>
        <v/>
      </c>
      <c r="F4066">
        <f>IF(B4066="","",IFERROR(RIGHT(B4066,LEN(B4066)-FIND("@",B4066)),""))</f>
        <v/>
      </c>
      <c r="G4066">
        <f>IF(D4066="KEEP",COUNTIF($D$2:D4066,"KEEP"),"")</f>
        <v/>
      </c>
      <c r="H4066">
        <f>IF(D4066="REMOVE",COUNTIF($D$2:D4066,"REMOVE"),"")</f>
        <v/>
      </c>
      <c r="I4066">
        <f>IF(E4066="Gmail",COUNTIF($E$2:E4066,"Gmail"),"")</f>
        <v/>
      </c>
      <c r="J4066">
        <f>IF(E4066="Outlook",COUNTIF($E$2:E4066,"Outlook"),"")</f>
        <v/>
      </c>
      <c r="K4066">
        <f>IF(E4066="Domain",COUNTIF($E$2:E4066,"Domain"),"")</f>
        <v/>
      </c>
    </row>
    <row r="4067">
      <c r="A4067" s="2" t="n"/>
      <c r="B4067">
        <f>LOWER(TRIM(A4067))</f>
        <v/>
      </c>
      <c r="C4067">
        <f>IF(B4067="","",IFERROR(INDEX('Bad Patterns'!$A$2:$A$120,MATCH(1,INDEX(--ISNUMBER(SEARCH('Bad Patterns'!$A$2:$A$120,B4067)),0),0)),""))</f>
        <v/>
      </c>
      <c r="D4067">
        <f>IF(B4067="","",IF(C4067&lt;&gt;"","REMOVE","KEEP"))</f>
        <v/>
      </c>
      <c r="E4067">
        <f>IF(D4067&lt;&gt;"KEEP","",IF(RIGHT(B4067,10)="@gmail.com","Gmail",IF(OR(RIGHT(B4067,12)="@outlook.com",RIGHT(B4067,12)="@hotmail.com",RIGHT(B4067,9)="@live.com"),"Outlook","Domain")))</f>
        <v/>
      </c>
      <c r="F4067">
        <f>IF(B4067="","",IFERROR(RIGHT(B4067,LEN(B4067)-FIND("@",B4067)),""))</f>
        <v/>
      </c>
      <c r="G4067">
        <f>IF(D4067="KEEP",COUNTIF($D$2:D4067,"KEEP"),"")</f>
        <v/>
      </c>
      <c r="H4067">
        <f>IF(D4067="REMOVE",COUNTIF($D$2:D4067,"REMOVE"),"")</f>
        <v/>
      </c>
      <c r="I4067">
        <f>IF(E4067="Gmail",COUNTIF($E$2:E4067,"Gmail"),"")</f>
        <v/>
      </c>
      <c r="J4067">
        <f>IF(E4067="Outlook",COUNTIF($E$2:E4067,"Outlook"),"")</f>
        <v/>
      </c>
      <c r="K4067">
        <f>IF(E4067="Domain",COUNTIF($E$2:E4067,"Domain"),"")</f>
        <v/>
      </c>
    </row>
    <row r="4068">
      <c r="A4068" s="2" t="n"/>
      <c r="B4068">
        <f>LOWER(TRIM(A4068))</f>
        <v/>
      </c>
      <c r="C4068">
        <f>IF(B4068="","",IFERROR(INDEX('Bad Patterns'!$A$2:$A$120,MATCH(1,INDEX(--ISNUMBER(SEARCH('Bad Patterns'!$A$2:$A$120,B4068)),0),0)),""))</f>
        <v/>
      </c>
      <c r="D4068">
        <f>IF(B4068="","",IF(C4068&lt;&gt;"","REMOVE","KEEP"))</f>
        <v/>
      </c>
      <c r="E4068">
        <f>IF(D4068&lt;&gt;"KEEP","",IF(RIGHT(B4068,10)="@gmail.com","Gmail",IF(OR(RIGHT(B4068,12)="@outlook.com",RIGHT(B4068,12)="@hotmail.com",RIGHT(B4068,9)="@live.com"),"Outlook","Domain")))</f>
        <v/>
      </c>
      <c r="F4068">
        <f>IF(B4068="","",IFERROR(RIGHT(B4068,LEN(B4068)-FIND("@",B4068)),""))</f>
        <v/>
      </c>
      <c r="G4068">
        <f>IF(D4068="KEEP",COUNTIF($D$2:D4068,"KEEP"),"")</f>
        <v/>
      </c>
      <c r="H4068">
        <f>IF(D4068="REMOVE",COUNTIF($D$2:D4068,"REMOVE"),"")</f>
        <v/>
      </c>
      <c r="I4068">
        <f>IF(E4068="Gmail",COUNTIF($E$2:E4068,"Gmail"),"")</f>
        <v/>
      </c>
      <c r="J4068">
        <f>IF(E4068="Outlook",COUNTIF($E$2:E4068,"Outlook"),"")</f>
        <v/>
      </c>
      <c r="K4068">
        <f>IF(E4068="Domain",COUNTIF($E$2:E4068,"Domain"),"")</f>
        <v/>
      </c>
    </row>
    <row r="4069">
      <c r="A4069" s="2" t="n"/>
      <c r="B4069">
        <f>LOWER(TRIM(A4069))</f>
        <v/>
      </c>
      <c r="C4069">
        <f>IF(B4069="","",IFERROR(INDEX('Bad Patterns'!$A$2:$A$120,MATCH(1,INDEX(--ISNUMBER(SEARCH('Bad Patterns'!$A$2:$A$120,B4069)),0),0)),""))</f>
        <v/>
      </c>
      <c r="D4069">
        <f>IF(B4069="","",IF(C4069&lt;&gt;"","REMOVE","KEEP"))</f>
        <v/>
      </c>
      <c r="E4069">
        <f>IF(D4069&lt;&gt;"KEEP","",IF(RIGHT(B4069,10)="@gmail.com","Gmail",IF(OR(RIGHT(B4069,12)="@outlook.com",RIGHT(B4069,12)="@hotmail.com",RIGHT(B4069,9)="@live.com"),"Outlook","Domain")))</f>
        <v/>
      </c>
      <c r="F4069">
        <f>IF(B4069="","",IFERROR(RIGHT(B4069,LEN(B4069)-FIND("@",B4069)),""))</f>
        <v/>
      </c>
      <c r="G4069">
        <f>IF(D4069="KEEP",COUNTIF($D$2:D4069,"KEEP"),"")</f>
        <v/>
      </c>
      <c r="H4069">
        <f>IF(D4069="REMOVE",COUNTIF($D$2:D4069,"REMOVE"),"")</f>
        <v/>
      </c>
      <c r="I4069">
        <f>IF(E4069="Gmail",COUNTIF($E$2:E4069,"Gmail"),"")</f>
        <v/>
      </c>
      <c r="J4069">
        <f>IF(E4069="Outlook",COUNTIF($E$2:E4069,"Outlook"),"")</f>
        <v/>
      </c>
      <c r="K4069">
        <f>IF(E4069="Domain",COUNTIF($E$2:E4069,"Domain"),"")</f>
        <v/>
      </c>
    </row>
    <row r="4070">
      <c r="A4070" s="2" t="n"/>
      <c r="B4070">
        <f>LOWER(TRIM(A4070))</f>
        <v/>
      </c>
      <c r="C4070">
        <f>IF(B4070="","",IFERROR(INDEX('Bad Patterns'!$A$2:$A$120,MATCH(1,INDEX(--ISNUMBER(SEARCH('Bad Patterns'!$A$2:$A$120,B4070)),0),0)),""))</f>
        <v/>
      </c>
      <c r="D4070">
        <f>IF(B4070="","",IF(C4070&lt;&gt;"","REMOVE","KEEP"))</f>
        <v/>
      </c>
      <c r="E4070">
        <f>IF(D4070&lt;&gt;"KEEP","",IF(RIGHT(B4070,10)="@gmail.com","Gmail",IF(OR(RIGHT(B4070,12)="@outlook.com",RIGHT(B4070,12)="@hotmail.com",RIGHT(B4070,9)="@live.com"),"Outlook","Domain")))</f>
        <v/>
      </c>
      <c r="F4070">
        <f>IF(B4070="","",IFERROR(RIGHT(B4070,LEN(B4070)-FIND("@",B4070)),""))</f>
        <v/>
      </c>
      <c r="G4070">
        <f>IF(D4070="KEEP",COUNTIF($D$2:D4070,"KEEP"),"")</f>
        <v/>
      </c>
      <c r="H4070">
        <f>IF(D4070="REMOVE",COUNTIF($D$2:D4070,"REMOVE"),"")</f>
        <v/>
      </c>
      <c r="I4070">
        <f>IF(E4070="Gmail",COUNTIF($E$2:E4070,"Gmail"),"")</f>
        <v/>
      </c>
      <c r="J4070">
        <f>IF(E4070="Outlook",COUNTIF($E$2:E4070,"Outlook"),"")</f>
        <v/>
      </c>
      <c r="K4070">
        <f>IF(E4070="Domain",COUNTIF($E$2:E4070,"Domain"),"")</f>
        <v/>
      </c>
    </row>
    <row r="4071">
      <c r="A4071" s="2" t="n"/>
      <c r="B4071">
        <f>LOWER(TRIM(A4071))</f>
        <v/>
      </c>
      <c r="C4071">
        <f>IF(B4071="","",IFERROR(INDEX('Bad Patterns'!$A$2:$A$120,MATCH(1,INDEX(--ISNUMBER(SEARCH('Bad Patterns'!$A$2:$A$120,B4071)),0),0)),""))</f>
        <v/>
      </c>
      <c r="D4071">
        <f>IF(B4071="","",IF(C4071&lt;&gt;"","REMOVE","KEEP"))</f>
        <v/>
      </c>
      <c r="E4071">
        <f>IF(D4071&lt;&gt;"KEEP","",IF(RIGHT(B4071,10)="@gmail.com","Gmail",IF(OR(RIGHT(B4071,12)="@outlook.com",RIGHT(B4071,12)="@hotmail.com",RIGHT(B4071,9)="@live.com"),"Outlook","Domain")))</f>
        <v/>
      </c>
      <c r="F4071">
        <f>IF(B4071="","",IFERROR(RIGHT(B4071,LEN(B4071)-FIND("@",B4071)),""))</f>
        <v/>
      </c>
      <c r="G4071">
        <f>IF(D4071="KEEP",COUNTIF($D$2:D4071,"KEEP"),"")</f>
        <v/>
      </c>
      <c r="H4071">
        <f>IF(D4071="REMOVE",COUNTIF($D$2:D4071,"REMOVE"),"")</f>
        <v/>
      </c>
      <c r="I4071">
        <f>IF(E4071="Gmail",COUNTIF($E$2:E4071,"Gmail"),"")</f>
        <v/>
      </c>
      <c r="J4071">
        <f>IF(E4071="Outlook",COUNTIF($E$2:E4071,"Outlook"),"")</f>
        <v/>
      </c>
      <c r="K4071">
        <f>IF(E4071="Domain",COUNTIF($E$2:E4071,"Domain"),"")</f>
        <v/>
      </c>
    </row>
    <row r="4072">
      <c r="A4072" s="2" t="n"/>
      <c r="B4072">
        <f>LOWER(TRIM(A4072))</f>
        <v/>
      </c>
      <c r="C4072">
        <f>IF(B4072="","",IFERROR(INDEX('Bad Patterns'!$A$2:$A$120,MATCH(1,INDEX(--ISNUMBER(SEARCH('Bad Patterns'!$A$2:$A$120,B4072)),0),0)),""))</f>
        <v/>
      </c>
      <c r="D4072">
        <f>IF(B4072="","",IF(C4072&lt;&gt;"","REMOVE","KEEP"))</f>
        <v/>
      </c>
      <c r="E4072">
        <f>IF(D4072&lt;&gt;"KEEP","",IF(RIGHT(B4072,10)="@gmail.com","Gmail",IF(OR(RIGHT(B4072,12)="@outlook.com",RIGHT(B4072,12)="@hotmail.com",RIGHT(B4072,9)="@live.com"),"Outlook","Domain")))</f>
        <v/>
      </c>
      <c r="F4072">
        <f>IF(B4072="","",IFERROR(RIGHT(B4072,LEN(B4072)-FIND("@",B4072)),""))</f>
        <v/>
      </c>
      <c r="G4072">
        <f>IF(D4072="KEEP",COUNTIF($D$2:D4072,"KEEP"),"")</f>
        <v/>
      </c>
      <c r="H4072">
        <f>IF(D4072="REMOVE",COUNTIF($D$2:D4072,"REMOVE"),"")</f>
        <v/>
      </c>
      <c r="I4072">
        <f>IF(E4072="Gmail",COUNTIF($E$2:E4072,"Gmail"),"")</f>
        <v/>
      </c>
      <c r="J4072">
        <f>IF(E4072="Outlook",COUNTIF($E$2:E4072,"Outlook"),"")</f>
        <v/>
      </c>
      <c r="K4072">
        <f>IF(E4072="Domain",COUNTIF($E$2:E4072,"Domain"),"")</f>
        <v/>
      </c>
    </row>
    <row r="4073">
      <c r="A4073" s="2" t="n"/>
      <c r="B4073">
        <f>LOWER(TRIM(A4073))</f>
        <v/>
      </c>
      <c r="C4073">
        <f>IF(B4073="","",IFERROR(INDEX('Bad Patterns'!$A$2:$A$120,MATCH(1,INDEX(--ISNUMBER(SEARCH('Bad Patterns'!$A$2:$A$120,B4073)),0),0)),""))</f>
        <v/>
      </c>
      <c r="D4073">
        <f>IF(B4073="","",IF(C4073&lt;&gt;"","REMOVE","KEEP"))</f>
        <v/>
      </c>
      <c r="E4073">
        <f>IF(D4073&lt;&gt;"KEEP","",IF(RIGHT(B4073,10)="@gmail.com","Gmail",IF(OR(RIGHT(B4073,12)="@outlook.com",RIGHT(B4073,12)="@hotmail.com",RIGHT(B4073,9)="@live.com"),"Outlook","Domain")))</f>
        <v/>
      </c>
      <c r="F4073">
        <f>IF(B4073="","",IFERROR(RIGHT(B4073,LEN(B4073)-FIND("@",B4073)),""))</f>
        <v/>
      </c>
      <c r="G4073">
        <f>IF(D4073="KEEP",COUNTIF($D$2:D4073,"KEEP"),"")</f>
        <v/>
      </c>
      <c r="H4073">
        <f>IF(D4073="REMOVE",COUNTIF($D$2:D4073,"REMOVE"),"")</f>
        <v/>
      </c>
      <c r="I4073">
        <f>IF(E4073="Gmail",COUNTIF($E$2:E4073,"Gmail"),"")</f>
        <v/>
      </c>
      <c r="J4073">
        <f>IF(E4073="Outlook",COUNTIF($E$2:E4073,"Outlook"),"")</f>
        <v/>
      </c>
      <c r="K4073">
        <f>IF(E4073="Domain",COUNTIF($E$2:E4073,"Domain"),"")</f>
        <v/>
      </c>
    </row>
    <row r="4074">
      <c r="A4074" s="2" t="n"/>
      <c r="B4074">
        <f>LOWER(TRIM(A4074))</f>
        <v/>
      </c>
      <c r="C4074">
        <f>IF(B4074="","",IFERROR(INDEX('Bad Patterns'!$A$2:$A$120,MATCH(1,INDEX(--ISNUMBER(SEARCH('Bad Patterns'!$A$2:$A$120,B4074)),0),0)),""))</f>
        <v/>
      </c>
      <c r="D4074">
        <f>IF(B4074="","",IF(C4074&lt;&gt;"","REMOVE","KEEP"))</f>
        <v/>
      </c>
      <c r="E4074">
        <f>IF(D4074&lt;&gt;"KEEP","",IF(RIGHT(B4074,10)="@gmail.com","Gmail",IF(OR(RIGHT(B4074,12)="@outlook.com",RIGHT(B4074,12)="@hotmail.com",RIGHT(B4074,9)="@live.com"),"Outlook","Domain")))</f>
        <v/>
      </c>
      <c r="F4074">
        <f>IF(B4074="","",IFERROR(RIGHT(B4074,LEN(B4074)-FIND("@",B4074)),""))</f>
        <v/>
      </c>
      <c r="G4074">
        <f>IF(D4074="KEEP",COUNTIF($D$2:D4074,"KEEP"),"")</f>
        <v/>
      </c>
      <c r="H4074">
        <f>IF(D4074="REMOVE",COUNTIF($D$2:D4074,"REMOVE"),"")</f>
        <v/>
      </c>
      <c r="I4074">
        <f>IF(E4074="Gmail",COUNTIF($E$2:E4074,"Gmail"),"")</f>
        <v/>
      </c>
      <c r="J4074">
        <f>IF(E4074="Outlook",COUNTIF($E$2:E4074,"Outlook"),"")</f>
        <v/>
      </c>
      <c r="K4074">
        <f>IF(E4074="Domain",COUNTIF($E$2:E4074,"Domain"),"")</f>
        <v/>
      </c>
    </row>
    <row r="4075">
      <c r="A4075" s="2" t="n"/>
      <c r="B4075">
        <f>LOWER(TRIM(A4075))</f>
        <v/>
      </c>
      <c r="C4075">
        <f>IF(B4075="","",IFERROR(INDEX('Bad Patterns'!$A$2:$A$120,MATCH(1,INDEX(--ISNUMBER(SEARCH('Bad Patterns'!$A$2:$A$120,B4075)),0),0)),""))</f>
        <v/>
      </c>
      <c r="D4075">
        <f>IF(B4075="","",IF(C4075&lt;&gt;"","REMOVE","KEEP"))</f>
        <v/>
      </c>
      <c r="E4075">
        <f>IF(D4075&lt;&gt;"KEEP","",IF(RIGHT(B4075,10)="@gmail.com","Gmail",IF(OR(RIGHT(B4075,12)="@outlook.com",RIGHT(B4075,12)="@hotmail.com",RIGHT(B4075,9)="@live.com"),"Outlook","Domain")))</f>
        <v/>
      </c>
      <c r="F4075">
        <f>IF(B4075="","",IFERROR(RIGHT(B4075,LEN(B4075)-FIND("@",B4075)),""))</f>
        <v/>
      </c>
      <c r="G4075">
        <f>IF(D4075="KEEP",COUNTIF($D$2:D4075,"KEEP"),"")</f>
        <v/>
      </c>
      <c r="H4075">
        <f>IF(D4075="REMOVE",COUNTIF($D$2:D4075,"REMOVE"),"")</f>
        <v/>
      </c>
      <c r="I4075">
        <f>IF(E4075="Gmail",COUNTIF($E$2:E4075,"Gmail"),"")</f>
        <v/>
      </c>
      <c r="J4075">
        <f>IF(E4075="Outlook",COUNTIF($E$2:E4075,"Outlook"),"")</f>
        <v/>
      </c>
      <c r="K4075">
        <f>IF(E4075="Domain",COUNTIF($E$2:E4075,"Domain"),"")</f>
        <v/>
      </c>
    </row>
    <row r="4076">
      <c r="A4076" s="2" t="n"/>
      <c r="B4076">
        <f>LOWER(TRIM(A4076))</f>
        <v/>
      </c>
      <c r="C4076">
        <f>IF(B4076="","",IFERROR(INDEX('Bad Patterns'!$A$2:$A$120,MATCH(1,INDEX(--ISNUMBER(SEARCH('Bad Patterns'!$A$2:$A$120,B4076)),0),0)),""))</f>
        <v/>
      </c>
      <c r="D4076">
        <f>IF(B4076="","",IF(C4076&lt;&gt;"","REMOVE","KEEP"))</f>
        <v/>
      </c>
      <c r="E4076">
        <f>IF(D4076&lt;&gt;"KEEP","",IF(RIGHT(B4076,10)="@gmail.com","Gmail",IF(OR(RIGHT(B4076,12)="@outlook.com",RIGHT(B4076,12)="@hotmail.com",RIGHT(B4076,9)="@live.com"),"Outlook","Domain")))</f>
        <v/>
      </c>
      <c r="F4076">
        <f>IF(B4076="","",IFERROR(RIGHT(B4076,LEN(B4076)-FIND("@",B4076)),""))</f>
        <v/>
      </c>
      <c r="G4076">
        <f>IF(D4076="KEEP",COUNTIF($D$2:D4076,"KEEP"),"")</f>
        <v/>
      </c>
      <c r="H4076">
        <f>IF(D4076="REMOVE",COUNTIF($D$2:D4076,"REMOVE"),"")</f>
        <v/>
      </c>
      <c r="I4076">
        <f>IF(E4076="Gmail",COUNTIF($E$2:E4076,"Gmail"),"")</f>
        <v/>
      </c>
      <c r="J4076">
        <f>IF(E4076="Outlook",COUNTIF($E$2:E4076,"Outlook"),"")</f>
        <v/>
      </c>
      <c r="K4076">
        <f>IF(E4076="Domain",COUNTIF($E$2:E4076,"Domain"),"")</f>
        <v/>
      </c>
    </row>
    <row r="4077">
      <c r="A4077" s="2" t="n"/>
      <c r="B4077">
        <f>LOWER(TRIM(A4077))</f>
        <v/>
      </c>
      <c r="C4077">
        <f>IF(B4077="","",IFERROR(INDEX('Bad Patterns'!$A$2:$A$120,MATCH(1,INDEX(--ISNUMBER(SEARCH('Bad Patterns'!$A$2:$A$120,B4077)),0),0)),""))</f>
        <v/>
      </c>
      <c r="D4077">
        <f>IF(B4077="","",IF(C4077&lt;&gt;"","REMOVE","KEEP"))</f>
        <v/>
      </c>
      <c r="E4077">
        <f>IF(D4077&lt;&gt;"KEEP","",IF(RIGHT(B4077,10)="@gmail.com","Gmail",IF(OR(RIGHT(B4077,12)="@outlook.com",RIGHT(B4077,12)="@hotmail.com",RIGHT(B4077,9)="@live.com"),"Outlook","Domain")))</f>
        <v/>
      </c>
      <c r="F4077">
        <f>IF(B4077="","",IFERROR(RIGHT(B4077,LEN(B4077)-FIND("@",B4077)),""))</f>
        <v/>
      </c>
      <c r="G4077">
        <f>IF(D4077="KEEP",COUNTIF($D$2:D4077,"KEEP"),"")</f>
        <v/>
      </c>
      <c r="H4077">
        <f>IF(D4077="REMOVE",COUNTIF($D$2:D4077,"REMOVE"),"")</f>
        <v/>
      </c>
      <c r="I4077">
        <f>IF(E4077="Gmail",COUNTIF($E$2:E4077,"Gmail"),"")</f>
        <v/>
      </c>
      <c r="J4077">
        <f>IF(E4077="Outlook",COUNTIF($E$2:E4077,"Outlook"),"")</f>
        <v/>
      </c>
      <c r="K4077">
        <f>IF(E4077="Domain",COUNTIF($E$2:E4077,"Domain"),"")</f>
        <v/>
      </c>
    </row>
    <row r="4078">
      <c r="A4078" s="2" t="n"/>
      <c r="B4078">
        <f>LOWER(TRIM(A4078))</f>
        <v/>
      </c>
      <c r="C4078">
        <f>IF(B4078="","",IFERROR(INDEX('Bad Patterns'!$A$2:$A$120,MATCH(1,INDEX(--ISNUMBER(SEARCH('Bad Patterns'!$A$2:$A$120,B4078)),0),0)),""))</f>
        <v/>
      </c>
      <c r="D4078">
        <f>IF(B4078="","",IF(C4078&lt;&gt;"","REMOVE","KEEP"))</f>
        <v/>
      </c>
      <c r="E4078">
        <f>IF(D4078&lt;&gt;"KEEP","",IF(RIGHT(B4078,10)="@gmail.com","Gmail",IF(OR(RIGHT(B4078,12)="@outlook.com",RIGHT(B4078,12)="@hotmail.com",RIGHT(B4078,9)="@live.com"),"Outlook","Domain")))</f>
        <v/>
      </c>
      <c r="F4078">
        <f>IF(B4078="","",IFERROR(RIGHT(B4078,LEN(B4078)-FIND("@",B4078)),""))</f>
        <v/>
      </c>
      <c r="G4078">
        <f>IF(D4078="KEEP",COUNTIF($D$2:D4078,"KEEP"),"")</f>
        <v/>
      </c>
      <c r="H4078">
        <f>IF(D4078="REMOVE",COUNTIF($D$2:D4078,"REMOVE"),"")</f>
        <v/>
      </c>
      <c r="I4078">
        <f>IF(E4078="Gmail",COUNTIF($E$2:E4078,"Gmail"),"")</f>
        <v/>
      </c>
      <c r="J4078">
        <f>IF(E4078="Outlook",COUNTIF($E$2:E4078,"Outlook"),"")</f>
        <v/>
      </c>
      <c r="K4078">
        <f>IF(E4078="Domain",COUNTIF($E$2:E4078,"Domain"),"")</f>
        <v/>
      </c>
    </row>
    <row r="4079">
      <c r="A4079" s="2" t="n"/>
      <c r="B4079">
        <f>LOWER(TRIM(A4079))</f>
        <v/>
      </c>
      <c r="C4079">
        <f>IF(B4079="","",IFERROR(INDEX('Bad Patterns'!$A$2:$A$120,MATCH(1,INDEX(--ISNUMBER(SEARCH('Bad Patterns'!$A$2:$A$120,B4079)),0),0)),""))</f>
        <v/>
      </c>
      <c r="D4079">
        <f>IF(B4079="","",IF(C4079&lt;&gt;"","REMOVE","KEEP"))</f>
        <v/>
      </c>
      <c r="E4079">
        <f>IF(D4079&lt;&gt;"KEEP","",IF(RIGHT(B4079,10)="@gmail.com","Gmail",IF(OR(RIGHT(B4079,12)="@outlook.com",RIGHT(B4079,12)="@hotmail.com",RIGHT(B4079,9)="@live.com"),"Outlook","Domain")))</f>
        <v/>
      </c>
      <c r="F4079">
        <f>IF(B4079="","",IFERROR(RIGHT(B4079,LEN(B4079)-FIND("@",B4079)),""))</f>
        <v/>
      </c>
      <c r="G4079">
        <f>IF(D4079="KEEP",COUNTIF($D$2:D4079,"KEEP"),"")</f>
        <v/>
      </c>
      <c r="H4079">
        <f>IF(D4079="REMOVE",COUNTIF($D$2:D4079,"REMOVE"),"")</f>
        <v/>
      </c>
      <c r="I4079">
        <f>IF(E4079="Gmail",COUNTIF($E$2:E4079,"Gmail"),"")</f>
        <v/>
      </c>
      <c r="J4079">
        <f>IF(E4079="Outlook",COUNTIF($E$2:E4079,"Outlook"),"")</f>
        <v/>
      </c>
      <c r="K4079">
        <f>IF(E4079="Domain",COUNTIF($E$2:E4079,"Domain"),"")</f>
        <v/>
      </c>
    </row>
    <row r="4080">
      <c r="A4080" s="2" t="n"/>
      <c r="B4080">
        <f>LOWER(TRIM(A4080))</f>
        <v/>
      </c>
      <c r="C4080">
        <f>IF(B4080="","",IFERROR(INDEX('Bad Patterns'!$A$2:$A$120,MATCH(1,INDEX(--ISNUMBER(SEARCH('Bad Patterns'!$A$2:$A$120,B4080)),0),0)),""))</f>
        <v/>
      </c>
      <c r="D4080">
        <f>IF(B4080="","",IF(C4080&lt;&gt;"","REMOVE","KEEP"))</f>
        <v/>
      </c>
      <c r="E4080">
        <f>IF(D4080&lt;&gt;"KEEP","",IF(RIGHT(B4080,10)="@gmail.com","Gmail",IF(OR(RIGHT(B4080,12)="@outlook.com",RIGHT(B4080,12)="@hotmail.com",RIGHT(B4080,9)="@live.com"),"Outlook","Domain")))</f>
        <v/>
      </c>
      <c r="F4080">
        <f>IF(B4080="","",IFERROR(RIGHT(B4080,LEN(B4080)-FIND("@",B4080)),""))</f>
        <v/>
      </c>
      <c r="G4080">
        <f>IF(D4080="KEEP",COUNTIF($D$2:D4080,"KEEP"),"")</f>
        <v/>
      </c>
      <c r="H4080">
        <f>IF(D4080="REMOVE",COUNTIF($D$2:D4080,"REMOVE"),"")</f>
        <v/>
      </c>
      <c r="I4080">
        <f>IF(E4080="Gmail",COUNTIF($E$2:E4080,"Gmail"),"")</f>
        <v/>
      </c>
      <c r="J4080">
        <f>IF(E4080="Outlook",COUNTIF($E$2:E4080,"Outlook"),"")</f>
        <v/>
      </c>
      <c r="K4080">
        <f>IF(E4080="Domain",COUNTIF($E$2:E4080,"Domain"),"")</f>
        <v/>
      </c>
    </row>
    <row r="4081">
      <c r="A4081" s="2" t="n"/>
      <c r="B4081">
        <f>LOWER(TRIM(A4081))</f>
        <v/>
      </c>
      <c r="C4081">
        <f>IF(B4081="","",IFERROR(INDEX('Bad Patterns'!$A$2:$A$120,MATCH(1,INDEX(--ISNUMBER(SEARCH('Bad Patterns'!$A$2:$A$120,B4081)),0),0)),""))</f>
        <v/>
      </c>
      <c r="D4081">
        <f>IF(B4081="","",IF(C4081&lt;&gt;"","REMOVE","KEEP"))</f>
        <v/>
      </c>
      <c r="E4081">
        <f>IF(D4081&lt;&gt;"KEEP","",IF(RIGHT(B4081,10)="@gmail.com","Gmail",IF(OR(RIGHT(B4081,12)="@outlook.com",RIGHT(B4081,12)="@hotmail.com",RIGHT(B4081,9)="@live.com"),"Outlook","Domain")))</f>
        <v/>
      </c>
      <c r="F4081">
        <f>IF(B4081="","",IFERROR(RIGHT(B4081,LEN(B4081)-FIND("@",B4081)),""))</f>
        <v/>
      </c>
      <c r="G4081">
        <f>IF(D4081="KEEP",COUNTIF($D$2:D4081,"KEEP"),"")</f>
        <v/>
      </c>
      <c r="H4081">
        <f>IF(D4081="REMOVE",COUNTIF($D$2:D4081,"REMOVE"),"")</f>
        <v/>
      </c>
      <c r="I4081">
        <f>IF(E4081="Gmail",COUNTIF($E$2:E4081,"Gmail"),"")</f>
        <v/>
      </c>
      <c r="J4081">
        <f>IF(E4081="Outlook",COUNTIF($E$2:E4081,"Outlook"),"")</f>
        <v/>
      </c>
      <c r="K4081">
        <f>IF(E4081="Domain",COUNTIF($E$2:E4081,"Domain"),"")</f>
        <v/>
      </c>
    </row>
    <row r="4082">
      <c r="A4082" s="2" t="n"/>
      <c r="B4082">
        <f>LOWER(TRIM(A4082))</f>
        <v/>
      </c>
      <c r="C4082">
        <f>IF(B4082="","",IFERROR(INDEX('Bad Patterns'!$A$2:$A$120,MATCH(1,INDEX(--ISNUMBER(SEARCH('Bad Patterns'!$A$2:$A$120,B4082)),0),0)),""))</f>
        <v/>
      </c>
      <c r="D4082">
        <f>IF(B4082="","",IF(C4082&lt;&gt;"","REMOVE","KEEP"))</f>
        <v/>
      </c>
      <c r="E4082">
        <f>IF(D4082&lt;&gt;"KEEP","",IF(RIGHT(B4082,10)="@gmail.com","Gmail",IF(OR(RIGHT(B4082,12)="@outlook.com",RIGHT(B4082,12)="@hotmail.com",RIGHT(B4082,9)="@live.com"),"Outlook","Domain")))</f>
        <v/>
      </c>
      <c r="F4082">
        <f>IF(B4082="","",IFERROR(RIGHT(B4082,LEN(B4082)-FIND("@",B4082)),""))</f>
        <v/>
      </c>
      <c r="G4082">
        <f>IF(D4082="KEEP",COUNTIF($D$2:D4082,"KEEP"),"")</f>
        <v/>
      </c>
      <c r="H4082">
        <f>IF(D4082="REMOVE",COUNTIF($D$2:D4082,"REMOVE"),"")</f>
        <v/>
      </c>
      <c r="I4082">
        <f>IF(E4082="Gmail",COUNTIF($E$2:E4082,"Gmail"),"")</f>
        <v/>
      </c>
      <c r="J4082">
        <f>IF(E4082="Outlook",COUNTIF($E$2:E4082,"Outlook"),"")</f>
        <v/>
      </c>
      <c r="K4082">
        <f>IF(E4082="Domain",COUNTIF($E$2:E4082,"Domain"),"")</f>
        <v/>
      </c>
    </row>
    <row r="4083">
      <c r="A4083" s="2" t="n"/>
      <c r="B4083">
        <f>LOWER(TRIM(A4083))</f>
        <v/>
      </c>
      <c r="C4083">
        <f>IF(B4083="","",IFERROR(INDEX('Bad Patterns'!$A$2:$A$120,MATCH(1,INDEX(--ISNUMBER(SEARCH('Bad Patterns'!$A$2:$A$120,B4083)),0),0)),""))</f>
        <v/>
      </c>
      <c r="D4083">
        <f>IF(B4083="","",IF(C4083&lt;&gt;"","REMOVE","KEEP"))</f>
        <v/>
      </c>
      <c r="E4083">
        <f>IF(D4083&lt;&gt;"KEEP","",IF(RIGHT(B4083,10)="@gmail.com","Gmail",IF(OR(RIGHT(B4083,12)="@outlook.com",RIGHT(B4083,12)="@hotmail.com",RIGHT(B4083,9)="@live.com"),"Outlook","Domain")))</f>
        <v/>
      </c>
      <c r="F4083">
        <f>IF(B4083="","",IFERROR(RIGHT(B4083,LEN(B4083)-FIND("@",B4083)),""))</f>
        <v/>
      </c>
      <c r="G4083">
        <f>IF(D4083="KEEP",COUNTIF($D$2:D4083,"KEEP"),"")</f>
        <v/>
      </c>
      <c r="H4083">
        <f>IF(D4083="REMOVE",COUNTIF($D$2:D4083,"REMOVE"),"")</f>
        <v/>
      </c>
      <c r="I4083">
        <f>IF(E4083="Gmail",COUNTIF($E$2:E4083,"Gmail"),"")</f>
        <v/>
      </c>
      <c r="J4083">
        <f>IF(E4083="Outlook",COUNTIF($E$2:E4083,"Outlook"),"")</f>
        <v/>
      </c>
      <c r="K4083">
        <f>IF(E4083="Domain",COUNTIF($E$2:E4083,"Domain"),"")</f>
        <v/>
      </c>
    </row>
    <row r="4084">
      <c r="A4084" s="2" t="n"/>
      <c r="B4084">
        <f>LOWER(TRIM(A4084))</f>
        <v/>
      </c>
      <c r="C4084">
        <f>IF(B4084="","",IFERROR(INDEX('Bad Patterns'!$A$2:$A$120,MATCH(1,INDEX(--ISNUMBER(SEARCH('Bad Patterns'!$A$2:$A$120,B4084)),0),0)),""))</f>
        <v/>
      </c>
      <c r="D4084">
        <f>IF(B4084="","",IF(C4084&lt;&gt;"","REMOVE","KEEP"))</f>
        <v/>
      </c>
      <c r="E4084">
        <f>IF(D4084&lt;&gt;"KEEP","",IF(RIGHT(B4084,10)="@gmail.com","Gmail",IF(OR(RIGHT(B4084,12)="@outlook.com",RIGHT(B4084,12)="@hotmail.com",RIGHT(B4084,9)="@live.com"),"Outlook","Domain")))</f>
        <v/>
      </c>
      <c r="F4084">
        <f>IF(B4084="","",IFERROR(RIGHT(B4084,LEN(B4084)-FIND("@",B4084)),""))</f>
        <v/>
      </c>
      <c r="G4084">
        <f>IF(D4084="KEEP",COUNTIF($D$2:D4084,"KEEP"),"")</f>
        <v/>
      </c>
      <c r="H4084">
        <f>IF(D4084="REMOVE",COUNTIF($D$2:D4084,"REMOVE"),"")</f>
        <v/>
      </c>
      <c r="I4084">
        <f>IF(E4084="Gmail",COUNTIF($E$2:E4084,"Gmail"),"")</f>
        <v/>
      </c>
      <c r="J4084">
        <f>IF(E4084="Outlook",COUNTIF($E$2:E4084,"Outlook"),"")</f>
        <v/>
      </c>
      <c r="K4084">
        <f>IF(E4084="Domain",COUNTIF($E$2:E4084,"Domain"),"")</f>
        <v/>
      </c>
    </row>
    <row r="4085">
      <c r="A4085" s="2" t="n"/>
      <c r="B4085">
        <f>LOWER(TRIM(A4085))</f>
        <v/>
      </c>
      <c r="C4085">
        <f>IF(B4085="","",IFERROR(INDEX('Bad Patterns'!$A$2:$A$120,MATCH(1,INDEX(--ISNUMBER(SEARCH('Bad Patterns'!$A$2:$A$120,B4085)),0),0)),""))</f>
        <v/>
      </c>
      <c r="D4085">
        <f>IF(B4085="","",IF(C4085&lt;&gt;"","REMOVE","KEEP"))</f>
        <v/>
      </c>
      <c r="E4085">
        <f>IF(D4085&lt;&gt;"KEEP","",IF(RIGHT(B4085,10)="@gmail.com","Gmail",IF(OR(RIGHT(B4085,12)="@outlook.com",RIGHT(B4085,12)="@hotmail.com",RIGHT(B4085,9)="@live.com"),"Outlook","Domain")))</f>
        <v/>
      </c>
      <c r="F4085">
        <f>IF(B4085="","",IFERROR(RIGHT(B4085,LEN(B4085)-FIND("@",B4085)),""))</f>
        <v/>
      </c>
      <c r="G4085">
        <f>IF(D4085="KEEP",COUNTIF($D$2:D4085,"KEEP"),"")</f>
        <v/>
      </c>
      <c r="H4085">
        <f>IF(D4085="REMOVE",COUNTIF($D$2:D4085,"REMOVE"),"")</f>
        <v/>
      </c>
      <c r="I4085">
        <f>IF(E4085="Gmail",COUNTIF($E$2:E4085,"Gmail"),"")</f>
        <v/>
      </c>
      <c r="J4085">
        <f>IF(E4085="Outlook",COUNTIF($E$2:E4085,"Outlook"),"")</f>
        <v/>
      </c>
      <c r="K4085">
        <f>IF(E4085="Domain",COUNTIF($E$2:E4085,"Domain"),"")</f>
        <v/>
      </c>
    </row>
    <row r="4086">
      <c r="A4086" s="2" t="n"/>
      <c r="B4086">
        <f>LOWER(TRIM(A4086))</f>
        <v/>
      </c>
      <c r="C4086">
        <f>IF(B4086="","",IFERROR(INDEX('Bad Patterns'!$A$2:$A$120,MATCH(1,INDEX(--ISNUMBER(SEARCH('Bad Patterns'!$A$2:$A$120,B4086)),0),0)),""))</f>
        <v/>
      </c>
      <c r="D4086">
        <f>IF(B4086="","",IF(C4086&lt;&gt;"","REMOVE","KEEP"))</f>
        <v/>
      </c>
      <c r="E4086">
        <f>IF(D4086&lt;&gt;"KEEP","",IF(RIGHT(B4086,10)="@gmail.com","Gmail",IF(OR(RIGHT(B4086,12)="@outlook.com",RIGHT(B4086,12)="@hotmail.com",RIGHT(B4086,9)="@live.com"),"Outlook","Domain")))</f>
        <v/>
      </c>
      <c r="F4086">
        <f>IF(B4086="","",IFERROR(RIGHT(B4086,LEN(B4086)-FIND("@",B4086)),""))</f>
        <v/>
      </c>
      <c r="G4086">
        <f>IF(D4086="KEEP",COUNTIF($D$2:D4086,"KEEP"),"")</f>
        <v/>
      </c>
      <c r="H4086">
        <f>IF(D4086="REMOVE",COUNTIF($D$2:D4086,"REMOVE"),"")</f>
        <v/>
      </c>
      <c r="I4086">
        <f>IF(E4086="Gmail",COUNTIF($E$2:E4086,"Gmail"),"")</f>
        <v/>
      </c>
      <c r="J4086">
        <f>IF(E4086="Outlook",COUNTIF($E$2:E4086,"Outlook"),"")</f>
        <v/>
      </c>
      <c r="K4086">
        <f>IF(E4086="Domain",COUNTIF($E$2:E4086,"Domain"),"")</f>
        <v/>
      </c>
    </row>
    <row r="4087">
      <c r="A4087" s="2" t="n"/>
      <c r="B4087">
        <f>LOWER(TRIM(A4087))</f>
        <v/>
      </c>
      <c r="C4087">
        <f>IF(B4087="","",IFERROR(INDEX('Bad Patterns'!$A$2:$A$120,MATCH(1,INDEX(--ISNUMBER(SEARCH('Bad Patterns'!$A$2:$A$120,B4087)),0),0)),""))</f>
        <v/>
      </c>
      <c r="D4087">
        <f>IF(B4087="","",IF(C4087&lt;&gt;"","REMOVE","KEEP"))</f>
        <v/>
      </c>
      <c r="E4087">
        <f>IF(D4087&lt;&gt;"KEEP","",IF(RIGHT(B4087,10)="@gmail.com","Gmail",IF(OR(RIGHT(B4087,12)="@outlook.com",RIGHT(B4087,12)="@hotmail.com",RIGHT(B4087,9)="@live.com"),"Outlook","Domain")))</f>
        <v/>
      </c>
      <c r="F4087">
        <f>IF(B4087="","",IFERROR(RIGHT(B4087,LEN(B4087)-FIND("@",B4087)),""))</f>
        <v/>
      </c>
      <c r="G4087">
        <f>IF(D4087="KEEP",COUNTIF($D$2:D4087,"KEEP"),"")</f>
        <v/>
      </c>
      <c r="H4087">
        <f>IF(D4087="REMOVE",COUNTIF($D$2:D4087,"REMOVE"),"")</f>
        <v/>
      </c>
      <c r="I4087">
        <f>IF(E4087="Gmail",COUNTIF($E$2:E4087,"Gmail"),"")</f>
        <v/>
      </c>
      <c r="J4087">
        <f>IF(E4087="Outlook",COUNTIF($E$2:E4087,"Outlook"),"")</f>
        <v/>
      </c>
      <c r="K4087">
        <f>IF(E4087="Domain",COUNTIF($E$2:E4087,"Domain"),"")</f>
        <v/>
      </c>
    </row>
    <row r="4088">
      <c r="A4088" s="2" t="n"/>
      <c r="B4088">
        <f>LOWER(TRIM(A4088))</f>
        <v/>
      </c>
      <c r="C4088">
        <f>IF(B4088="","",IFERROR(INDEX('Bad Patterns'!$A$2:$A$120,MATCH(1,INDEX(--ISNUMBER(SEARCH('Bad Patterns'!$A$2:$A$120,B4088)),0),0)),""))</f>
        <v/>
      </c>
      <c r="D4088">
        <f>IF(B4088="","",IF(C4088&lt;&gt;"","REMOVE","KEEP"))</f>
        <v/>
      </c>
      <c r="E4088">
        <f>IF(D4088&lt;&gt;"KEEP","",IF(RIGHT(B4088,10)="@gmail.com","Gmail",IF(OR(RIGHT(B4088,12)="@outlook.com",RIGHT(B4088,12)="@hotmail.com",RIGHT(B4088,9)="@live.com"),"Outlook","Domain")))</f>
        <v/>
      </c>
      <c r="F4088">
        <f>IF(B4088="","",IFERROR(RIGHT(B4088,LEN(B4088)-FIND("@",B4088)),""))</f>
        <v/>
      </c>
      <c r="G4088">
        <f>IF(D4088="KEEP",COUNTIF($D$2:D4088,"KEEP"),"")</f>
        <v/>
      </c>
      <c r="H4088">
        <f>IF(D4088="REMOVE",COUNTIF($D$2:D4088,"REMOVE"),"")</f>
        <v/>
      </c>
      <c r="I4088">
        <f>IF(E4088="Gmail",COUNTIF($E$2:E4088,"Gmail"),"")</f>
        <v/>
      </c>
      <c r="J4088">
        <f>IF(E4088="Outlook",COUNTIF($E$2:E4088,"Outlook"),"")</f>
        <v/>
      </c>
      <c r="K4088">
        <f>IF(E4088="Domain",COUNTIF($E$2:E4088,"Domain"),"")</f>
        <v/>
      </c>
    </row>
    <row r="4089">
      <c r="A4089" s="2" t="n"/>
      <c r="B4089">
        <f>LOWER(TRIM(A4089))</f>
        <v/>
      </c>
      <c r="C4089">
        <f>IF(B4089="","",IFERROR(INDEX('Bad Patterns'!$A$2:$A$120,MATCH(1,INDEX(--ISNUMBER(SEARCH('Bad Patterns'!$A$2:$A$120,B4089)),0),0)),""))</f>
        <v/>
      </c>
      <c r="D4089">
        <f>IF(B4089="","",IF(C4089&lt;&gt;"","REMOVE","KEEP"))</f>
        <v/>
      </c>
      <c r="E4089">
        <f>IF(D4089&lt;&gt;"KEEP","",IF(RIGHT(B4089,10)="@gmail.com","Gmail",IF(OR(RIGHT(B4089,12)="@outlook.com",RIGHT(B4089,12)="@hotmail.com",RIGHT(B4089,9)="@live.com"),"Outlook","Domain")))</f>
        <v/>
      </c>
      <c r="F4089">
        <f>IF(B4089="","",IFERROR(RIGHT(B4089,LEN(B4089)-FIND("@",B4089)),""))</f>
        <v/>
      </c>
      <c r="G4089">
        <f>IF(D4089="KEEP",COUNTIF($D$2:D4089,"KEEP"),"")</f>
        <v/>
      </c>
      <c r="H4089">
        <f>IF(D4089="REMOVE",COUNTIF($D$2:D4089,"REMOVE"),"")</f>
        <v/>
      </c>
      <c r="I4089">
        <f>IF(E4089="Gmail",COUNTIF($E$2:E4089,"Gmail"),"")</f>
        <v/>
      </c>
      <c r="J4089">
        <f>IF(E4089="Outlook",COUNTIF($E$2:E4089,"Outlook"),"")</f>
        <v/>
      </c>
      <c r="K4089">
        <f>IF(E4089="Domain",COUNTIF($E$2:E4089,"Domain"),"")</f>
        <v/>
      </c>
    </row>
    <row r="4090">
      <c r="A4090" s="2" t="n"/>
      <c r="B4090">
        <f>LOWER(TRIM(A4090))</f>
        <v/>
      </c>
      <c r="C4090">
        <f>IF(B4090="","",IFERROR(INDEX('Bad Patterns'!$A$2:$A$120,MATCH(1,INDEX(--ISNUMBER(SEARCH('Bad Patterns'!$A$2:$A$120,B4090)),0),0)),""))</f>
        <v/>
      </c>
      <c r="D4090">
        <f>IF(B4090="","",IF(C4090&lt;&gt;"","REMOVE","KEEP"))</f>
        <v/>
      </c>
      <c r="E4090">
        <f>IF(D4090&lt;&gt;"KEEP","",IF(RIGHT(B4090,10)="@gmail.com","Gmail",IF(OR(RIGHT(B4090,12)="@outlook.com",RIGHT(B4090,12)="@hotmail.com",RIGHT(B4090,9)="@live.com"),"Outlook","Domain")))</f>
        <v/>
      </c>
      <c r="F4090">
        <f>IF(B4090="","",IFERROR(RIGHT(B4090,LEN(B4090)-FIND("@",B4090)),""))</f>
        <v/>
      </c>
      <c r="G4090">
        <f>IF(D4090="KEEP",COUNTIF($D$2:D4090,"KEEP"),"")</f>
        <v/>
      </c>
      <c r="H4090">
        <f>IF(D4090="REMOVE",COUNTIF($D$2:D4090,"REMOVE"),"")</f>
        <v/>
      </c>
      <c r="I4090">
        <f>IF(E4090="Gmail",COUNTIF($E$2:E4090,"Gmail"),"")</f>
        <v/>
      </c>
      <c r="J4090">
        <f>IF(E4090="Outlook",COUNTIF($E$2:E4090,"Outlook"),"")</f>
        <v/>
      </c>
      <c r="K4090">
        <f>IF(E4090="Domain",COUNTIF($E$2:E4090,"Domain"),"")</f>
        <v/>
      </c>
    </row>
    <row r="4091">
      <c r="A4091" s="2" t="n"/>
      <c r="B4091">
        <f>LOWER(TRIM(A4091))</f>
        <v/>
      </c>
      <c r="C4091">
        <f>IF(B4091="","",IFERROR(INDEX('Bad Patterns'!$A$2:$A$120,MATCH(1,INDEX(--ISNUMBER(SEARCH('Bad Patterns'!$A$2:$A$120,B4091)),0),0)),""))</f>
        <v/>
      </c>
      <c r="D4091">
        <f>IF(B4091="","",IF(C4091&lt;&gt;"","REMOVE","KEEP"))</f>
        <v/>
      </c>
      <c r="E4091">
        <f>IF(D4091&lt;&gt;"KEEP","",IF(RIGHT(B4091,10)="@gmail.com","Gmail",IF(OR(RIGHT(B4091,12)="@outlook.com",RIGHT(B4091,12)="@hotmail.com",RIGHT(B4091,9)="@live.com"),"Outlook","Domain")))</f>
        <v/>
      </c>
      <c r="F4091">
        <f>IF(B4091="","",IFERROR(RIGHT(B4091,LEN(B4091)-FIND("@",B4091)),""))</f>
        <v/>
      </c>
      <c r="G4091">
        <f>IF(D4091="KEEP",COUNTIF($D$2:D4091,"KEEP"),"")</f>
        <v/>
      </c>
      <c r="H4091">
        <f>IF(D4091="REMOVE",COUNTIF($D$2:D4091,"REMOVE"),"")</f>
        <v/>
      </c>
      <c r="I4091">
        <f>IF(E4091="Gmail",COUNTIF($E$2:E4091,"Gmail"),"")</f>
        <v/>
      </c>
      <c r="J4091">
        <f>IF(E4091="Outlook",COUNTIF($E$2:E4091,"Outlook"),"")</f>
        <v/>
      </c>
      <c r="K4091">
        <f>IF(E4091="Domain",COUNTIF($E$2:E4091,"Domain"),"")</f>
        <v/>
      </c>
    </row>
    <row r="4092">
      <c r="A4092" s="2" t="n"/>
      <c r="B4092">
        <f>LOWER(TRIM(A4092))</f>
        <v/>
      </c>
      <c r="C4092">
        <f>IF(B4092="","",IFERROR(INDEX('Bad Patterns'!$A$2:$A$120,MATCH(1,INDEX(--ISNUMBER(SEARCH('Bad Patterns'!$A$2:$A$120,B4092)),0),0)),""))</f>
        <v/>
      </c>
      <c r="D4092">
        <f>IF(B4092="","",IF(C4092&lt;&gt;"","REMOVE","KEEP"))</f>
        <v/>
      </c>
      <c r="E4092">
        <f>IF(D4092&lt;&gt;"KEEP","",IF(RIGHT(B4092,10)="@gmail.com","Gmail",IF(OR(RIGHT(B4092,12)="@outlook.com",RIGHT(B4092,12)="@hotmail.com",RIGHT(B4092,9)="@live.com"),"Outlook","Domain")))</f>
        <v/>
      </c>
      <c r="F4092">
        <f>IF(B4092="","",IFERROR(RIGHT(B4092,LEN(B4092)-FIND("@",B4092)),""))</f>
        <v/>
      </c>
      <c r="G4092">
        <f>IF(D4092="KEEP",COUNTIF($D$2:D4092,"KEEP"),"")</f>
        <v/>
      </c>
      <c r="H4092">
        <f>IF(D4092="REMOVE",COUNTIF($D$2:D4092,"REMOVE"),"")</f>
        <v/>
      </c>
      <c r="I4092">
        <f>IF(E4092="Gmail",COUNTIF($E$2:E4092,"Gmail"),"")</f>
        <v/>
      </c>
      <c r="J4092">
        <f>IF(E4092="Outlook",COUNTIF($E$2:E4092,"Outlook"),"")</f>
        <v/>
      </c>
      <c r="K4092">
        <f>IF(E4092="Domain",COUNTIF($E$2:E4092,"Domain"),"")</f>
        <v/>
      </c>
    </row>
    <row r="4093">
      <c r="A4093" s="2" t="n"/>
      <c r="B4093">
        <f>LOWER(TRIM(A4093))</f>
        <v/>
      </c>
      <c r="C4093">
        <f>IF(B4093="","",IFERROR(INDEX('Bad Patterns'!$A$2:$A$120,MATCH(1,INDEX(--ISNUMBER(SEARCH('Bad Patterns'!$A$2:$A$120,B4093)),0),0)),""))</f>
        <v/>
      </c>
      <c r="D4093">
        <f>IF(B4093="","",IF(C4093&lt;&gt;"","REMOVE","KEEP"))</f>
        <v/>
      </c>
      <c r="E4093">
        <f>IF(D4093&lt;&gt;"KEEP","",IF(RIGHT(B4093,10)="@gmail.com","Gmail",IF(OR(RIGHT(B4093,12)="@outlook.com",RIGHT(B4093,12)="@hotmail.com",RIGHT(B4093,9)="@live.com"),"Outlook","Domain")))</f>
        <v/>
      </c>
      <c r="F4093">
        <f>IF(B4093="","",IFERROR(RIGHT(B4093,LEN(B4093)-FIND("@",B4093)),""))</f>
        <v/>
      </c>
      <c r="G4093">
        <f>IF(D4093="KEEP",COUNTIF($D$2:D4093,"KEEP"),"")</f>
        <v/>
      </c>
      <c r="H4093">
        <f>IF(D4093="REMOVE",COUNTIF($D$2:D4093,"REMOVE"),"")</f>
        <v/>
      </c>
      <c r="I4093">
        <f>IF(E4093="Gmail",COUNTIF($E$2:E4093,"Gmail"),"")</f>
        <v/>
      </c>
      <c r="J4093">
        <f>IF(E4093="Outlook",COUNTIF($E$2:E4093,"Outlook"),"")</f>
        <v/>
      </c>
      <c r="K4093">
        <f>IF(E4093="Domain",COUNTIF($E$2:E4093,"Domain"),"")</f>
        <v/>
      </c>
    </row>
    <row r="4094">
      <c r="A4094" s="2" t="n"/>
      <c r="B4094">
        <f>LOWER(TRIM(A4094))</f>
        <v/>
      </c>
      <c r="C4094">
        <f>IF(B4094="","",IFERROR(INDEX('Bad Patterns'!$A$2:$A$120,MATCH(1,INDEX(--ISNUMBER(SEARCH('Bad Patterns'!$A$2:$A$120,B4094)),0),0)),""))</f>
        <v/>
      </c>
      <c r="D4094">
        <f>IF(B4094="","",IF(C4094&lt;&gt;"","REMOVE","KEEP"))</f>
        <v/>
      </c>
      <c r="E4094">
        <f>IF(D4094&lt;&gt;"KEEP","",IF(RIGHT(B4094,10)="@gmail.com","Gmail",IF(OR(RIGHT(B4094,12)="@outlook.com",RIGHT(B4094,12)="@hotmail.com",RIGHT(B4094,9)="@live.com"),"Outlook","Domain")))</f>
        <v/>
      </c>
      <c r="F4094">
        <f>IF(B4094="","",IFERROR(RIGHT(B4094,LEN(B4094)-FIND("@",B4094)),""))</f>
        <v/>
      </c>
      <c r="G4094">
        <f>IF(D4094="KEEP",COUNTIF($D$2:D4094,"KEEP"),"")</f>
        <v/>
      </c>
      <c r="H4094">
        <f>IF(D4094="REMOVE",COUNTIF($D$2:D4094,"REMOVE"),"")</f>
        <v/>
      </c>
      <c r="I4094">
        <f>IF(E4094="Gmail",COUNTIF($E$2:E4094,"Gmail"),"")</f>
        <v/>
      </c>
      <c r="J4094">
        <f>IF(E4094="Outlook",COUNTIF($E$2:E4094,"Outlook"),"")</f>
        <v/>
      </c>
      <c r="K4094">
        <f>IF(E4094="Domain",COUNTIF($E$2:E4094,"Domain"),"")</f>
        <v/>
      </c>
    </row>
    <row r="4095">
      <c r="A4095" s="2" t="n"/>
      <c r="B4095">
        <f>LOWER(TRIM(A4095))</f>
        <v/>
      </c>
      <c r="C4095">
        <f>IF(B4095="","",IFERROR(INDEX('Bad Patterns'!$A$2:$A$120,MATCH(1,INDEX(--ISNUMBER(SEARCH('Bad Patterns'!$A$2:$A$120,B4095)),0),0)),""))</f>
        <v/>
      </c>
      <c r="D4095">
        <f>IF(B4095="","",IF(C4095&lt;&gt;"","REMOVE","KEEP"))</f>
        <v/>
      </c>
      <c r="E4095">
        <f>IF(D4095&lt;&gt;"KEEP","",IF(RIGHT(B4095,10)="@gmail.com","Gmail",IF(OR(RIGHT(B4095,12)="@outlook.com",RIGHT(B4095,12)="@hotmail.com",RIGHT(B4095,9)="@live.com"),"Outlook","Domain")))</f>
        <v/>
      </c>
      <c r="F4095">
        <f>IF(B4095="","",IFERROR(RIGHT(B4095,LEN(B4095)-FIND("@",B4095)),""))</f>
        <v/>
      </c>
      <c r="G4095">
        <f>IF(D4095="KEEP",COUNTIF($D$2:D4095,"KEEP"),"")</f>
        <v/>
      </c>
      <c r="H4095">
        <f>IF(D4095="REMOVE",COUNTIF($D$2:D4095,"REMOVE"),"")</f>
        <v/>
      </c>
      <c r="I4095">
        <f>IF(E4095="Gmail",COUNTIF($E$2:E4095,"Gmail"),"")</f>
        <v/>
      </c>
      <c r="J4095">
        <f>IF(E4095="Outlook",COUNTIF($E$2:E4095,"Outlook"),"")</f>
        <v/>
      </c>
      <c r="K4095">
        <f>IF(E4095="Domain",COUNTIF($E$2:E4095,"Domain"),"")</f>
        <v/>
      </c>
    </row>
    <row r="4096">
      <c r="A4096" s="2" t="n"/>
      <c r="B4096">
        <f>LOWER(TRIM(A4096))</f>
        <v/>
      </c>
      <c r="C4096">
        <f>IF(B4096="","",IFERROR(INDEX('Bad Patterns'!$A$2:$A$120,MATCH(1,INDEX(--ISNUMBER(SEARCH('Bad Patterns'!$A$2:$A$120,B4096)),0),0)),""))</f>
        <v/>
      </c>
      <c r="D4096">
        <f>IF(B4096="","",IF(C4096&lt;&gt;"","REMOVE","KEEP"))</f>
        <v/>
      </c>
      <c r="E4096">
        <f>IF(D4096&lt;&gt;"KEEP","",IF(RIGHT(B4096,10)="@gmail.com","Gmail",IF(OR(RIGHT(B4096,12)="@outlook.com",RIGHT(B4096,12)="@hotmail.com",RIGHT(B4096,9)="@live.com"),"Outlook","Domain")))</f>
        <v/>
      </c>
      <c r="F4096">
        <f>IF(B4096="","",IFERROR(RIGHT(B4096,LEN(B4096)-FIND("@",B4096)),""))</f>
        <v/>
      </c>
      <c r="G4096">
        <f>IF(D4096="KEEP",COUNTIF($D$2:D4096,"KEEP"),"")</f>
        <v/>
      </c>
      <c r="H4096">
        <f>IF(D4096="REMOVE",COUNTIF($D$2:D4096,"REMOVE"),"")</f>
        <v/>
      </c>
      <c r="I4096">
        <f>IF(E4096="Gmail",COUNTIF($E$2:E4096,"Gmail"),"")</f>
        <v/>
      </c>
      <c r="J4096">
        <f>IF(E4096="Outlook",COUNTIF($E$2:E4096,"Outlook"),"")</f>
        <v/>
      </c>
      <c r="K4096">
        <f>IF(E4096="Domain",COUNTIF($E$2:E4096,"Domain"),"")</f>
        <v/>
      </c>
    </row>
    <row r="4097">
      <c r="A4097" s="2" t="n"/>
      <c r="B4097">
        <f>LOWER(TRIM(A4097))</f>
        <v/>
      </c>
      <c r="C4097">
        <f>IF(B4097="","",IFERROR(INDEX('Bad Patterns'!$A$2:$A$120,MATCH(1,INDEX(--ISNUMBER(SEARCH('Bad Patterns'!$A$2:$A$120,B4097)),0),0)),""))</f>
        <v/>
      </c>
      <c r="D4097">
        <f>IF(B4097="","",IF(C4097&lt;&gt;"","REMOVE","KEEP"))</f>
        <v/>
      </c>
      <c r="E4097">
        <f>IF(D4097&lt;&gt;"KEEP","",IF(RIGHT(B4097,10)="@gmail.com","Gmail",IF(OR(RIGHT(B4097,12)="@outlook.com",RIGHT(B4097,12)="@hotmail.com",RIGHT(B4097,9)="@live.com"),"Outlook","Domain")))</f>
        <v/>
      </c>
      <c r="F4097">
        <f>IF(B4097="","",IFERROR(RIGHT(B4097,LEN(B4097)-FIND("@",B4097)),""))</f>
        <v/>
      </c>
      <c r="G4097">
        <f>IF(D4097="KEEP",COUNTIF($D$2:D4097,"KEEP"),"")</f>
        <v/>
      </c>
      <c r="H4097">
        <f>IF(D4097="REMOVE",COUNTIF($D$2:D4097,"REMOVE"),"")</f>
        <v/>
      </c>
      <c r="I4097">
        <f>IF(E4097="Gmail",COUNTIF($E$2:E4097,"Gmail"),"")</f>
        <v/>
      </c>
      <c r="J4097">
        <f>IF(E4097="Outlook",COUNTIF($E$2:E4097,"Outlook"),"")</f>
        <v/>
      </c>
      <c r="K4097">
        <f>IF(E4097="Domain",COUNTIF($E$2:E4097,"Domain"),"")</f>
        <v/>
      </c>
    </row>
    <row r="4098">
      <c r="A4098" s="2" t="n"/>
      <c r="B4098">
        <f>LOWER(TRIM(A4098))</f>
        <v/>
      </c>
      <c r="C4098">
        <f>IF(B4098="","",IFERROR(INDEX('Bad Patterns'!$A$2:$A$120,MATCH(1,INDEX(--ISNUMBER(SEARCH('Bad Patterns'!$A$2:$A$120,B4098)),0),0)),""))</f>
        <v/>
      </c>
      <c r="D4098">
        <f>IF(B4098="","",IF(C4098&lt;&gt;"","REMOVE","KEEP"))</f>
        <v/>
      </c>
      <c r="E4098">
        <f>IF(D4098&lt;&gt;"KEEP","",IF(RIGHT(B4098,10)="@gmail.com","Gmail",IF(OR(RIGHT(B4098,12)="@outlook.com",RIGHT(B4098,12)="@hotmail.com",RIGHT(B4098,9)="@live.com"),"Outlook","Domain")))</f>
        <v/>
      </c>
      <c r="F4098">
        <f>IF(B4098="","",IFERROR(RIGHT(B4098,LEN(B4098)-FIND("@",B4098)),""))</f>
        <v/>
      </c>
      <c r="G4098">
        <f>IF(D4098="KEEP",COUNTIF($D$2:D4098,"KEEP"),"")</f>
        <v/>
      </c>
      <c r="H4098">
        <f>IF(D4098="REMOVE",COUNTIF($D$2:D4098,"REMOVE"),"")</f>
        <v/>
      </c>
      <c r="I4098">
        <f>IF(E4098="Gmail",COUNTIF($E$2:E4098,"Gmail"),"")</f>
        <v/>
      </c>
      <c r="J4098">
        <f>IF(E4098="Outlook",COUNTIF($E$2:E4098,"Outlook"),"")</f>
        <v/>
      </c>
      <c r="K4098">
        <f>IF(E4098="Domain",COUNTIF($E$2:E4098,"Domain"),"")</f>
        <v/>
      </c>
    </row>
    <row r="4099">
      <c r="A4099" s="2" t="n"/>
      <c r="B4099">
        <f>LOWER(TRIM(A4099))</f>
        <v/>
      </c>
      <c r="C4099">
        <f>IF(B4099="","",IFERROR(INDEX('Bad Patterns'!$A$2:$A$120,MATCH(1,INDEX(--ISNUMBER(SEARCH('Bad Patterns'!$A$2:$A$120,B4099)),0),0)),""))</f>
        <v/>
      </c>
      <c r="D4099">
        <f>IF(B4099="","",IF(C4099&lt;&gt;"","REMOVE","KEEP"))</f>
        <v/>
      </c>
      <c r="E4099">
        <f>IF(D4099&lt;&gt;"KEEP","",IF(RIGHT(B4099,10)="@gmail.com","Gmail",IF(OR(RIGHT(B4099,12)="@outlook.com",RIGHT(B4099,12)="@hotmail.com",RIGHT(B4099,9)="@live.com"),"Outlook","Domain")))</f>
        <v/>
      </c>
      <c r="F4099">
        <f>IF(B4099="","",IFERROR(RIGHT(B4099,LEN(B4099)-FIND("@",B4099)),""))</f>
        <v/>
      </c>
      <c r="G4099">
        <f>IF(D4099="KEEP",COUNTIF($D$2:D4099,"KEEP"),"")</f>
        <v/>
      </c>
      <c r="H4099">
        <f>IF(D4099="REMOVE",COUNTIF($D$2:D4099,"REMOVE"),"")</f>
        <v/>
      </c>
      <c r="I4099">
        <f>IF(E4099="Gmail",COUNTIF($E$2:E4099,"Gmail"),"")</f>
        <v/>
      </c>
      <c r="J4099">
        <f>IF(E4099="Outlook",COUNTIF($E$2:E4099,"Outlook"),"")</f>
        <v/>
      </c>
      <c r="K4099">
        <f>IF(E4099="Domain",COUNTIF($E$2:E4099,"Domain"),"")</f>
        <v/>
      </c>
    </row>
    <row r="4100">
      <c r="A4100" s="2" t="n"/>
      <c r="B4100">
        <f>LOWER(TRIM(A4100))</f>
        <v/>
      </c>
      <c r="C4100">
        <f>IF(B4100="","",IFERROR(INDEX('Bad Patterns'!$A$2:$A$120,MATCH(1,INDEX(--ISNUMBER(SEARCH('Bad Patterns'!$A$2:$A$120,B4100)),0),0)),""))</f>
        <v/>
      </c>
      <c r="D4100">
        <f>IF(B4100="","",IF(C4100&lt;&gt;"","REMOVE","KEEP"))</f>
        <v/>
      </c>
      <c r="E4100">
        <f>IF(D4100&lt;&gt;"KEEP","",IF(RIGHT(B4100,10)="@gmail.com","Gmail",IF(OR(RIGHT(B4100,12)="@outlook.com",RIGHT(B4100,12)="@hotmail.com",RIGHT(B4100,9)="@live.com"),"Outlook","Domain")))</f>
        <v/>
      </c>
      <c r="F4100">
        <f>IF(B4100="","",IFERROR(RIGHT(B4100,LEN(B4100)-FIND("@",B4100)),""))</f>
        <v/>
      </c>
      <c r="G4100">
        <f>IF(D4100="KEEP",COUNTIF($D$2:D4100,"KEEP"),"")</f>
        <v/>
      </c>
      <c r="H4100">
        <f>IF(D4100="REMOVE",COUNTIF($D$2:D4100,"REMOVE"),"")</f>
        <v/>
      </c>
      <c r="I4100">
        <f>IF(E4100="Gmail",COUNTIF($E$2:E4100,"Gmail"),"")</f>
        <v/>
      </c>
      <c r="J4100">
        <f>IF(E4100="Outlook",COUNTIF($E$2:E4100,"Outlook"),"")</f>
        <v/>
      </c>
      <c r="K4100">
        <f>IF(E4100="Domain",COUNTIF($E$2:E4100,"Domain"),"")</f>
        <v/>
      </c>
    </row>
    <row r="4101">
      <c r="A4101" s="2" t="n"/>
      <c r="B4101">
        <f>LOWER(TRIM(A4101))</f>
        <v/>
      </c>
      <c r="C4101">
        <f>IF(B4101="","",IFERROR(INDEX('Bad Patterns'!$A$2:$A$120,MATCH(1,INDEX(--ISNUMBER(SEARCH('Bad Patterns'!$A$2:$A$120,B4101)),0),0)),""))</f>
        <v/>
      </c>
      <c r="D4101">
        <f>IF(B4101="","",IF(C4101&lt;&gt;"","REMOVE","KEEP"))</f>
        <v/>
      </c>
      <c r="E4101">
        <f>IF(D4101&lt;&gt;"KEEP","",IF(RIGHT(B4101,10)="@gmail.com","Gmail",IF(OR(RIGHT(B4101,12)="@outlook.com",RIGHT(B4101,12)="@hotmail.com",RIGHT(B4101,9)="@live.com"),"Outlook","Domain")))</f>
        <v/>
      </c>
      <c r="F4101">
        <f>IF(B4101="","",IFERROR(RIGHT(B4101,LEN(B4101)-FIND("@",B4101)),""))</f>
        <v/>
      </c>
      <c r="G4101">
        <f>IF(D4101="KEEP",COUNTIF($D$2:D4101,"KEEP"),"")</f>
        <v/>
      </c>
      <c r="H4101">
        <f>IF(D4101="REMOVE",COUNTIF($D$2:D4101,"REMOVE"),"")</f>
        <v/>
      </c>
      <c r="I4101">
        <f>IF(E4101="Gmail",COUNTIF($E$2:E4101,"Gmail"),"")</f>
        <v/>
      </c>
      <c r="J4101">
        <f>IF(E4101="Outlook",COUNTIF($E$2:E4101,"Outlook"),"")</f>
        <v/>
      </c>
      <c r="K4101">
        <f>IF(E4101="Domain",COUNTIF($E$2:E4101,"Domain"),"")</f>
        <v/>
      </c>
    </row>
    <row r="4102">
      <c r="A4102" s="2" t="n"/>
      <c r="B4102">
        <f>LOWER(TRIM(A4102))</f>
        <v/>
      </c>
      <c r="C4102">
        <f>IF(B4102="","",IFERROR(INDEX('Bad Patterns'!$A$2:$A$120,MATCH(1,INDEX(--ISNUMBER(SEARCH('Bad Patterns'!$A$2:$A$120,B4102)),0),0)),""))</f>
        <v/>
      </c>
      <c r="D4102">
        <f>IF(B4102="","",IF(C4102&lt;&gt;"","REMOVE","KEEP"))</f>
        <v/>
      </c>
      <c r="E4102">
        <f>IF(D4102&lt;&gt;"KEEP","",IF(RIGHT(B4102,10)="@gmail.com","Gmail",IF(OR(RIGHT(B4102,12)="@outlook.com",RIGHT(B4102,12)="@hotmail.com",RIGHT(B4102,9)="@live.com"),"Outlook","Domain")))</f>
        <v/>
      </c>
      <c r="F4102">
        <f>IF(B4102="","",IFERROR(RIGHT(B4102,LEN(B4102)-FIND("@",B4102)),""))</f>
        <v/>
      </c>
      <c r="G4102">
        <f>IF(D4102="KEEP",COUNTIF($D$2:D4102,"KEEP"),"")</f>
        <v/>
      </c>
      <c r="H4102">
        <f>IF(D4102="REMOVE",COUNTIF($D$2:D4102,"REMOVE"),"")</f>
        <v/>
      </c>
      <c r="I4102">
        <f>IF(E4102="Gmail",COUNTIF($E$2:E4102,"Gmail"),"")</f>
        <v/>
      </c>
      <c r="J4102">
        <f>IF(E4102="Outlook",COUNTIF($E$2:E4102,"Outlook"),"")</f>
        <v/>
      </c>
      <c r="K4102">
        <f>IF(E4102="Domain",COUNTIF($E$2:E4102,"Domain"),"")</f>
        <v/>
      </c>
    </row>
    <row r="4103">
      <c r="A4103" s="2" t="n"/>
      <c r="B4103">
        <f>LOWER(TRIM(A4103))</f>
        <v/>
      </c>
      <c r="C4103">
        <f>IF(B4103="","",IFERROR(INDEX('Bad Patterns'!$A$2:$A$120,MATCH(1,INDEX(--ISNUMBER(SEARCH('Bad Patterns'!$A$2:$A$120,B4103)),0),0)),""))</f>
        <v/>
      </c>
      <c r="D4103">
        <f>IF(B4103="","",IF(C4103&lt;&gt;"","REMOVE","KEEP"))</f>
        <v/>
      </c>
      <c r="E4103">
        <f>IF(D4103&lt;&gt;"KEEP","",IF(RIGHT(B4103,10)="@gmail.com","Gmail",IF(OR(RIGHT(B4103,12)="@outlook.com",RIGHT(B4103,12)="@hotmail.com",RIGHT(B4103,9)="@live.com"),"Outlook","Domain")))</f>
        <v/>
      </c>
      <c r="F4103">
        <f>IF(B4103="","",IFERROR(RIGHT(B4103,LEN(B4103)-FIND("@",B4103)),""))</f>
        <v/>
      </c>
      <c r="G4103">
        <f>IF(D4103="KEEP",COUNTIF($D$2:D4103,"KEEP"),"")</f>
        <v/>
      </c>
      <c r="H4103">
        <f>IF(D4103="REMOVE",COUNTIF($D$2:D4103,"REMOVE"),"")</f>
        <v/>
      </c>
      <c r="I4103">
        <f>IF(E4103="Gmail",COUNTIF($E$2:E4103,"Gmail"),"")</f>
        <v/>
      </c>
      <c r="J4103">
        <f>IF(E4103="Outlook",COUNTIF($E$2:E4103,"Outlook"),"")</f>
        <v/>
      </c>
      <c r="K4103">
        <f>IF(E4103="Domain",COUNTIF($E$2:E4103,"Domain"),"")</f>
        <v/>
      </c>
    </row>
    <row r="4104">
      <c r="A4104" s="2" t="n"/>
      <c r="B4104">
        <f>LOWER(TRIM(A4104))</f>
        <v/>
      </c>
      <c r="C4104">
        <f>IF(B4104="","",IFERROR(INDEX('Bad Patterns'!$A$2:$A$120,MATCH(1,INDEX(--ISNUMBER(SEARCH('Bad Patterns'!$A$2:$A$120,B4104)),0),0)),""))</f>
        <v/>
      </c>
      <c r="D4104">
        <f>IF(B4104="","",IF(C4104&lt;&gt;"","REMOVE","KEEP"))</f>
        <v/>
      </c>
      <c r="E4104">
        <f>IF(D4104&lt;&gt;"KEEP","",IF(RIGHT(B4104,10)="@gmail.com","Gmail",IF(OR(RIGHT(B4104,12)="@outlook.com",RIGHT(B4104,12)="@hotmail.com",RIGHT(B4104,9)="@live.com"),"Outlook","Domain")))</f>
        <v/>
      </c>
      <c r="F4104">
        <f>IF(B4104="","",IFERROR(RIGHT(B4104,LEN(B4104)-FIND("@",B4104)),""))</f>
        <v/>
      </c>
      <c r="G4104">
        <f>IF(D4104="KEEP",COUNTIF($D$2:D4104,"KEEP"),"")</f>
        <v/>
      </c>
      <c r="H4104">
        <f>IF(D4104="REMOVE",COUNTIF($D$2:D4104,"REMOVE"),"")</f>
        <v/>
      </c>
      <c r="I4104">
        <f>IF(E4104="Gmail",COUNTIF($E$2:E4104,"Gmail"),"")</f>
        <v/>
      </c>
      <c r="J4104">
        <f>IF(E4104="Outlook",COUNTIF($E$2:E4104,"Outlook"),"")</f>
        <v/>
      </c>
      <c r="K4104">
        <f>IF(E4104="Domain",COUNTIF($E$2:E4104,"Domain"),"")</f>
        <v/>
      </c>
    </row>
    <row r="4105">
      <c r="A4105" s="2" t="n"/>
      <c r="B4105">
        <f>LOWER(TRIM(A4105))</f>
        <v/>
      </c>
      <c r="C4105">
        <f>IF(B4105="","",IFERROR(INDEX('Bad Patterns'!$A$2:$A$120,MATCH(1,INDEX(--ISNUMBER(SEARCH('Bad Patterns'!$A$2:$A$120,B4105)),0),0)),""))</f>
        <v/>
      </c>
      <c r="D4105">
        <f>IF(B4105="","",IF(C4105&lt;&gt;"","REMOVE","KEEP"))</f>
        <v/>
      </c>
      <c r="E4105">
        <f>IF(D4105&lt;&gt;"KEEP","",IF(RIGHT(B4105,10)="@gmail.com","Gmail",IF(OR(RIGHT(B4105,12)="@outlook.com",RIGHT(B4105,12)="@hotmail.com",RIGHT(B4105,9)="@live.com"),"Outlook","Domain")))</f>
        <v/>
      </c>
      <c r="F4105">
        <f>IF(B4105="","",IFERROR(RIGHT(B4105,LEN(B4105)-FIND("@",B4105)),""))</f>
        <v/>
      </c>
      <c r="G4105">
        <f>IF(D4105="KEEP",COUNTIF($D$2:D4105,"KEEP"),"")</f>
        <v/>
      </c>
      <c r="H4105">
        <f>IF(D4105="REMOVE",COUNTIF($D$2:D4105,"REMOVE"),"")</f>
        <v/>
      </c>
      <c r="I4105">
        <f>IF(E4105="Gmail",COUNTIF($E$2:E4105,"Gmail"),"")</f>
        <v/>
      </c>
      <c r="J4105">
        <f>IF(E4105="Outlook",COUNTIF($E$2:E4105,"Outlook"),"")</f>
        <v/>
      </c>
      <c r="K4105">
        <f>IF(E4105="Domain",COUNTIF($E$2:E4105,"Domain"),"")</f>
        <v/>
      </c>
    </row>
    <row r="4106">
      <c r="A4106" s="2" t="n"/>
      <c r="B4106">
        <f>LOWER(TRIM(A4106))</f>
        <v/>
      </c>
      <c r="C4106">
        <f>IF(B4106="","",IFERROR(INDEX('Bad Patterns'!$A$2:$A$120,MATCH(1,INDEX(--ISNUMBER(SEARCH('Bad Patterns'!$A$2:$A$120,B4106)),0),0)),""))</f>
        <v/>
      </c>
      <c r="D4106">
        <f>IF(B4106="","",IF(C4106&lt;&gt;"","REMOVE","KEEP"))</f>
        <v/>
      </c>
      <c r="E4106">
        <f>IF(D4106&lt;&gt;"KEEP","",IF(RIGHT(B4106,10)="@gmail.com","Gmail",IF(OR(RIGHT(B4106,12)="@outlook.com",RIGHT(B4106,12)="@hotmail.com",RIGHT(B4106,9)="@live.com"),"Outlook","Domain")))</f>
        <v/>
      </c>
      <c r="F4106">
        <f>IF(B4106="","",IFERROR(RIGHT(B4106,LEN(B4106)-FIND("@",B4106)),""))</f>
        <v/>
      </c>
      <c r="G4106">
        <f>IF(D4106="KEEP",COUNTIF($D$2:D4106,"KEEP"),"")</f>
        <v/>
      </c>
      <c r="H4106">
        <f>IF(D4106="REMOVE",COUNTIF($D$2:D4106,"REMOVE"),"")</f>
        <v/>
      </c>
      <c r="I4106">
        <f>IF(E4106="Gmail",COUNTIF($E$2:E4106,"Gmail"),"")</f>
        <v/>
      </c>
      <c r="J4106">
        <f>IF(E4106="Outlook",COUNTIF($E$2:E4106,"Outlook"),"")</f>
        <v/>
      </c>
      <c r="K4106">
        <f>IF(E4106="Domain",COUNTIF($E$2:E4106,"Domain"),"")</f>
        <v/>
      </c>
    </row>
    <row r="4107">
      <c r="A4107" s="2" t="n"/>
      <c r="B4107">
        <f>LOWER(TRIM(A4107))</f>
        <v/>
      </c>
      <c r="C4107">
        <f>IF(B4107="","",IFERROR(INDEX('Bad Patterns'!$A$2:$A$120,MATCH(1,INDEX(--ISNUMBER(SEARCH('Bad Patterns'!$A$2:$A$120,B4107)),0),0)),""))</f>
        <v/>
      </c>
      <c r="D4107">
        <f>IF(B4107="","",IF(C4107&lt;&gt;"","REMOVE","KEEP"))</f>
        <v/>
      </c>
      <c r="E4107">
        <f>IF(D4107&lt;&gt;"KEEP","",IF(RIGHT(B4107,10)="@gmail.com","Gmail",IF(OR(RIGHT(B4107,12)="@outlook.com",RIGHT(B4107,12)="@hotmail.com",RIGHT(B4107,9)="@live.com"),"Outlook","Domain")))</f>
        <v/>
      </c>
      <c r="F4107">
        <f>IF(B4107="","",IFERROR(RIGHT(B4107,LEN(B4107)-FIND("@",B4107)),""))</f>
        <v/>
      </c>
      <c r="G4107">
        <f>IF(D4107="KEEP",COUNTIF($D$2:D4107,"KEEP"),"")</f>
        <v/>
      </c>
      <c r="H4107">
        <f>IF(D4107="REMOVE",COUNTIF($D$2:D4107,"REMOVE"),"")</f>
        <v/>
      </c>
      <c r="I4107">
        <f>IF(E4107="Gmail",COUNTIF($E$2:E4107,"Gmail"),"")</f>
        <v/>
      </c>
      <c r="J4107">
        <f>IF(E4107="Outlook",COUNTIF($E$2:E4107,"Outlook"),"")</f>
        <v/>
      </c>
      <c r="K4107">
        <f>IF(E4107="Domain",COUNTIF($E$2:E4107,"Domain"),"")</f>
        <v/>
      </c>
    </row>
    <row r="4108">
      <c r="A4108" s="2" t="n"/>
      <c r="B4108">
        <f>LOWER(TRIM(A4108))</f>
        <v/>
      </c>
      <c r="C4108">
        <f>IF(B4108="","",IFERROR(INDEX('Bad Patterns'!$A$2:$A$120,MATCH(1,INDEX(--ISNUMBER(SEARCH('Bad Patterns'!$A$2:$A$120,B4108)),0),0)),""))</f>
        <v/>
      </c>
      <c r="D4108">
        <f>IF(B4108="","",IF(C4108&lt;&gt;"","REMOVE","KEEP"))</f>
        <v/>
      </c>
      <c r="E4108">
        <f>IF(D4108&lt;&gt;"KEEP","",IF(RIGHT(B4108,10)="@gmail.com","Gmail",IF(OR(RIGHT(B4108,12)="@outlook.com",RIGHT(B4108,12)="@hotmail.com",RIGHT(B4108,9)="@live.com"),"Outlook","Domain")))</f>
        <v/>
      </c>
      <c r="F4108">
        <f>IF(B4108="","",IFERROR(RIGHT(B4108,LEN(B4108)-FIND("@",B4108)),""))</f>
        <v/>
      </c>
      <c r="G4108">
        <f>IF(D4108="KEEP",COUNTIF($D$2:D4108,"KEEP"),"")</f>
        <v/>
      </c>
      <c r="H4108">
        <f>IF(D4108="REMOVE",COUNTIF($D$2:D4108,"REMOVE"),"")</f>
        <v/>
      </c>
      <c r="I4108">
        <f>IF(E4108="Gmail",COUNTIF($E$2:E4108,"Gmail"),"")</f>
        <v/>
      </c>
      <c r="J4108">
        <f>IF(E4108="Outlook",COUNTIF($E$2:E4108,"Outlook"),"")</f>
        <v/>
      </c>
      <c r="K4108">
        <f>IF(E4108="Domain",COUNTIF($E$2:E4108,"Domain"),"")</f>
        <v/>
      </c>
    </row>
    <row r="4109">
      <c r="A4109" s="2" t="n"/>
      <c r="B4109">
        <f>LOWER(TRIM(A4109))</f>
        <v/>
      </c>
      <c r="C4109">
        <f>IF(B4109="","",IFERROR(INDEX('Bad Patterns'!$A$2:$A$120,MATCH(1,INDEX(--ISNUMBER(SEARCH('Bad Patterns'!$A$2:$A$120,B4109)),0),0)),""))</f>
        <v/>
      </c>
      <c r="D4109">
        <f>IF(B4109="","",IF(C4109&lt;&gt;"","REMOVE","KEEP"))</f>
        <v/>
      </c>
      <c r="E4109">
        <f>IF(D4109&lt;&gt;"KEEP","",IF(RIGHT(B4109,10)="@gmail.com","Gmail",IF(OR(RIGHT(B4109,12)="@outlook.com",RIGHT(B4109,12)="@hotmail.com",RIGHT(B4109,9)="@live.com"),"Outlook","Domain")))</f>
        <v/>
      </c>
      <c r="F4109">
        <f>IF(B4109="","",IFERROR(RIGHT(B4109,LEN(B4109)-FIND("@",B4109)),""))</f>
        <v/>
      </c>
      <c r="G4109">
        <f>IF(D4109="KEEP",COUNTIF($D$2:D4109,"KEEP"),"")</f>
        <v/>
      </c>
      <c r="H4109">
        <f>IF(D4109="REMOVE",COUNTIF($D$2:D4109,"REMOVE"),"")</f>
        <v/>
      </c>
      <c r="I4109">
        <f>IF(E4109="Gmail",COUNTIF($E$2:E4109,"Gmail"),"")</f>
        <v/>
      </c>
      <c r="J4109">
        <f>IF(E4109="Outlook",COUNTIF($E$2:E4109,"Outlook"),"")</f>
        <v/>
      </c>
      <c r="K4109">
        <f>IF(E4109="Domain",COUNTIF($E$2:E4109,"Domain"),"")</f>
        <v/>
      </c>
    </row>
    <row r="4110">
      <c r="A4110" s="2" t="n"/>
      <c r="B4110">
        <f>LOWER(TRIM(A4110))</f>
        <v/>
      </c>
      <c r="C4110">
        <f>IF(B4110="","",IFERROR(INDEX('Bad Patterns'!$A$2:$A$120,MATCH(1,INDEX(--ISNUMBER(SEARCH('Bad Patterns'!$A$2:$A$120,B4110)),0),0)),""))</f>
        <v/>
      </c>
      <c r="D4110">
        <f>IF(B4110="","",IF(C4110&lt;&gt;"","REMOVE","KEEP"))</f>
        <v/>
      </c>
      <c r="E4110">
        <f>IF(D4110&lt;&gt;"KEEP","",IF(RIGHT(B4110,10)="@gmail.com","Gmail",IF(OR(RIGHT(B4110,12)="@outlook.com",RIGHT(B4110,12)="@hotmail.com",RIGHT(B4110,9)="@live.com"),"Outlook","Domain")))</f>
        <v/>
      </c>
      <c r="F4110">
        <f>IF(B4110="","",IFERROR(RIGHT(B4110,LEN(B4110)-FIND("@",B4110)),""))</f>
        <v/>
      </c>
      <c r="G4110">
        <f>IF(D4110="KEEP",COUNTIF($D$2:D4110,"KEEP"),"")</f>
        <v/>
      </c>
      <c r="H4110">
        <f>IF(D4110="REMOVE",COUNTIF($D$2:D4110,"REMOVE"),"")</f>
        <v/>
      </c>
      <c r="I4110">
        <f>IF(E4110="Gmail",COUNTIF($E$2:E4110,"Gmail"),"")</f>
        <v/>
      </c>
      <c r="J4110">
        <f>IF(E4110="Outlook",COUNTIF($E$2:E4110,"Outlook"),"")</f>
        <v/>
      </c>
      <c r="K4110">
        <f>IF(E4110="Domain",COUNTIF($E$2:E4110,"Domain"),"")</f>
        <v/>
      </c>
    </row>
    <row r="4111">
      <c r="A4111" s="2" t="n"/>
      <c r="B4111">
        <f>LOWER(TRIM(A4111))</f>
        <v/>
      </c>
      <c r="C4111">
        <f>IF(B4111="","",IFERROR(INDEX('Bad Patterns'!$A$2:$A$120,MATCH(1,INDEX(--ISNUMBER(SEARCH('Bad Patterns'!$A$2:$A$120,B4111)),0),0)),""))</f>
        <v/>
      </c>
      <c r="D4111">
        <f>IF(B4111="","",IF(C4111&lt;&gt;"","REMOVE","KEEP"))</f>
        <v/>
      </c>
      <c r="E4111">
        <f>IF(D4111&lt;&gt;"KEEP","",IF(RIGHT(B4111,10)="@gmail.com","Gmail",IF(OR(RIGHT(B4111,12)="@outlook.com",RIGHT(B4111,12)="@hotmail.com",RIGHT(B4111,9)="@live.com"),"Outlook","Domain")))</f>
        <v/>
      </c>
      <c r="F4111">
        <f>IF(B4111="","",IFERROR(RIGHT(B4111,LEN(B4111)-FIND("@",B4111)),""))</f>
        <v/>
      </c>
      <c r="G4111">
        <f>IF(D4111="KEEP",COUNTIF($D$2:D4111,"KEEP"),"")</f>
        <v/>
      </c>
      <c r="H4111">
        <f>IF(D4111="REMOVE",COUNTIF($D$2:D4111,"REMOVE"),"")</f>
        <v/>
      </c>
      <c r="I4111">
        <f>IF(E4111="Gmail",COUNTIF($E$2:E4111,"Gmail"),"")</f>
        <v/>
      </c>
      <c r="J4111">
        <f>IF(E4111="Outlook",COUNTIF($E$2:E4111,"Outlook"),"")</f>
        <v/>
      </c>
      <c r="K4111">
        <f>IF(E4111="Domain",COUNTIF($E$2:E4111,"Domain"),"")</f>
        <v/>
      </c>
    </row>
    <row r="4112">
      <c r="A4112" s="2" t="n"/>
      <c r="B4112">
        <f>LOWER(TRIM(A4112))</f>
        <v/>
      </c>
      <c r="C4112">
        <f>IF(B4112="","",IFERROR(INDEX('Bad Patterns'!$A$2:$A$120,MATCH(1,INDEX(--ISNUMBER(SEARCH('Bad Patterns'!$A$2:$A$120,B4112)),0),0)),""))</f>
        <v/>
      </c>
      <c r="D4112">
        <f>IF(B4112="","",IF(C4112&lt;&gt;"","REMOVE","KEEP"))</f>
        <v/>
      </c>
      <c r="E4112">
        <f>IF(D4112&lt;&gt;"KEEP","",IF(RIGHT(B4112,10)="@gmail.com","Gmail",IF(OR(RIGHT(B4112,12)="@outlook.com",RIGHT(B4112,12)="@hotmail.com",RIGHT(B4112,9)="@live.com"),"Outlook","Domain")))</f>
        <v/>
      </c>
      <c r="F4112">
        <f>IF(B4112="","",IFERROR(RIGHT(B4112,LEN(B4112)-FIND("@",B4112)),""))</f>
        <v/>
      </c>
      <c r="G4112">
        <f>IF(D4112="KEEP",COUNTIF($D$2:D4112,"KEEP"),"")</f>
        <v/>
      </c>
      <c r="H4112">
        <f>IF(D4112="REMOVE",COUNTIF($D$2:D4112,"REMOVE"),"")</f>
        <v/>
      </c>
      <c r="I4112">
        <f>IF(E4112="Gmail",COUNTIF($E$2:E4112,"Gmail"),"")</f>
        <v/>
      </c>
      <c r="J4112">
        <f>IF(E4112="Outlook",COUNTIF($E$2:E4112,"Outlook"),"")</f>
        <v/>
      </c>
      <c r="K4112">
        <f>IF(E4112="Domain",COUNTIF($E$2:E4112,"Domain"),"")</f>
        <v/>
      </c>
    </row>
    <row r="4113">
      <c r="A4113" s="2" t="n"/>
      <c r="B4113">
        <f>LOWER(TRIM(A4113))</f>
        <v/>
      </c>
      <c r="C4113">
        <f>IF(B4113="","",IFERROR(INDEX('Bad Patterns'!$A$2:$A$120,MATCH(1,INDEX(--ISNUMBER(SEARCH('Bad Patterns'!$A$2:$A$120,B4113)),0),0)),""))</f>
        <v/>
      </c>
      <c r="D4113">
        <f>IF(B4113="","",IF(C4113&lt;&gt;"","REMOVE","KEEP"))</f>
        <v/>
      </c>
      <c r="E4113">
        <f>IF(D4113&lt;&gt;"KEEP","",IF(RIGHT(B4113,10)="@gmail.com","Gmail",IF(OR(RIGHT(B4113,12)="@outlook.com",RIGHT(B4113,12)="@hotmail.com",RIGHT(B4113,9)="@live.com"),"Outlook","Domain")))</f>
        <v/>
      </c>
      <c r="F4113">
        <f>IF(B4113="","",IFERROR(RIGHT(B4113,LEN(B4113)-FIND("@",B4113)),""))</f>
        <v/>
      </c>
      <c r="G4113">
        <f>IF(D4113="KEEP",COUNTIF($D$2:D4113,"KEEP"),"")</f>
        <v/>
      </c>
      <c r="H4113">
        <f>IF(D4113="REMOVE",COUNTIF($D$2:D4113,"REMOVE"),"")</f>
        <v/>
      </c>
      <c r="I4113">
        <f>IF(E4113="Gmail",COUNTIF($E$2:E4113,"Gmail"),"")</f>
        <v/>
      </c>
      <c r="J4113">
        <f>IF(E4113="Outlook",COUNTIF($E$2:E4113,"Outlook"),"")</f>
        <v/>
      </c>
      <c r="K4113">
        <f>IF(E4113="Domain",COUNTIF($E$2:E4113,"Domain"),"")</f>
        <v/>
      </c>
    </row>
    <row r="4114">
      <c r="A4114" s="2" t="n"/>
      <c r="B4114">
        <f>LOWER(TRIM(A4114))</f>
        <v/>
      </c>
      <c r="C4114">
        <f>IF(B4114="","",IFERROR(INDEX('Bad Patterns'!$A$2:$A$120,MATCH(1,INDEX(--ISNUMBER(SEARCH('Bad Patterns'!$A$2:$A$120,B4114)),0),0)),""))</f>
        <v/>
      </c>
      <c r="D4114">
        <f>IF(B4114="","",IF(C4114&lt;&gt;"","REMOVE","KEEP"))</f>
        <v/>
      </c>
      <c r="E4114">
        <f>IF(D4114&lt;&gt;"KEEP","",IF(RIGHT(B4114,10)="@gmail.com","Gmail",IF(OR(RIGHT(B4114,12)="@outlook.com",RIGHT(B4114,12)="@hotmail.com",RIGHT(B4114,9)="@live.com"),"Outlook","Domain")))</f>
        <v/>
      </c>
      <c r="F4114">
        <f>IF(B4114="","",IFERROR(RIGHT(B4114,LEN(B4114)-FIND("@",B4114)),""))</f>
        <v/>
      </c>
      <c r="G4114">
        <f>IF(D4114="KEEP",COUNTIF($D$2:D4114,"KEEP"),"")</f>
        <v/>
      </c>
      <c r="H4114">
        <f>IF(D4114="REMOVE",COUNTIF($D$2:D4114,"REMOVE"),"")</f>
        <v/>
      </c>
      <c r="I4114">
        <f>IF(E4114="Gmail",COUNTIF($E$2:E4114,"Gmail"),"")</f>
        <v/>
      </c>
      <c r="J4114">
        <f>IF(E4114="Outlook",COUNTIF($E$2:E4114,"Outlook"),"")</f>
        <v/>
      </c>
      <c r="K4114">
        <f>IF(E4114="Domain",COUNTIF($E$2:E4114,"Domain"),"")</f>
        <v/>
      </c>
    </row>
    <row r="4115">
      <c r="A4115" s="2" t="n"/>
      <c r="B4115">
        <f>LOWER(TRIM(A4115))</f>
        <v/>
      </c>
      <c r="C4115">
        <f>IF(B4115="","",IFERROR(INDEX('Bad Patterns'!$A$2:$A$120,MATCH(1,INDEX(--ISNUMBER(SEARCH('Bad Patterns'!$A$2:$A$120,B4115)),0),0)),""))</f>
        <v/>
      </c>
      <c r="D4115">
        <f>IF(B4115="","",IF(C4115&lt;&gt;"","REMOVE","KEEP"))</f>
        <v/>
      </c>
      <c r="E4115">
        <f>IF(D4115&lt;&gt;"KEEP","",IF(RIGHT(B4115,10)="@gmail.com","Gmail",IF(OR(RIGHT(B4115,12)="@outlook.com",RIGHT(B4115,12)="@hotmail.com",RIGHT(B4115,9)="@live.com"),"Outlook","Domain")))</f>
        <v/>
      </c>
      <c r="F4115">
        <f>IF(B4115="","",IFERROR(RIGHT(B4115,LEN(B4115)-FIND("@",B4115)),""))</f>
        <v/>
      </c>
      <c r="G4115">
        <f>IF(D4115="KEEP",COUNTIF($D$2:D4115,"KEEP"),"")</f>
        <v/>
      </c>
      <c r="H4115">
        <f>IF(D4115="REMOVE",COUNTIF($D$2:D4115,"REMOVE"),"")</f>
        <v/>
      </c>
      <c r="I4115">
        <f>IF(E4115="Gmail",COUNTIF($E$2:E4115,"Gmail"),"")</f>
        <v/>
      </c>
      <c r="J4115">
        <f>IF(E4115="Outlook",COUNTIF($E$2:E4115,"Outlook"),"")</f>
        <v/>
      </c>
      <c r="K4115">
        <f>IF(E4115="Domain",COUNTIF($E$2:E4115,"Domain"),"")</f>
        <v/>
      </c>
    </row>
    <row r="4116">
      <c r="A4116" s="2" t="n"/>
      <c r="B4116">
        <f>LOWER(TRIM(A4116))</f>
        <v/>
      </c>
      <c r="C4116">
        <f>IF(B4116="","",IFERROR(INDEX('Bad Patterns'!$A$2:$A$120,MATCH(1,INDEX(--ISNUMBER(SEARCH('Bad Patterns'!$A$2:$A$120,B4116)),0),0)),""))</f>
        <v/>
      </c>
      <c r="D4116">
        <f>IF(B4116="","",IF(C4116&lt;&gt;"","REMOVE","KEEP"))</f>
        <v/>
      </c>
      <c r="E4116">
        <f>IF(D4116&lt;&gt;"KEEP","",IF(RIGHT(B4116,10)="@gmail.com","Gmail",IF(OR(RIGHT(B4116,12)="@outlook.com",RIGHT(B4116,12)="@hotmail.com",RIGHT(B4116,9)="@live.com"),"Outlook","Domain")))</f>
        <v/>
      </c>
      <c r="F4116">
        <f>IF(B4116="","",IFERROR(RIGHT(B4116,LEN(B4116)-FIND("@",B4116)),""))</f>
        <v/>
      </c>
      <c r="G4116">
        <f>IF(D4116="KEEP",COUNTIF($D$2:D4116,"KEEP"),"")</f>
        <v/>
      </c>
      <c r="H4116">
        <f>IF(D4116="REMOVE",COUNTIF($D$2:D4116,"REMOVE"),"")</f>
        <v/>
      </c>
      <c r="I4116">
        <f>IF(E4116="Gmail",COUNTIF($E$2:E4116,"Gmail"),"")</f>
        <v/>
      </c>
      <c r="J4116">
        <f>IF(E4116="Outlook",COUNTIF($E$2:E4116,"Outlook"),"")</f>
        <v/>
      </c>
      <c r="K4116">
        <f>IF(E4116="Domain",COUNTIF($E$2:E4116,"Domain"),"")</f>
        <v/>
      </c>
    </row>
    <row r="4117">
      <c r="A4117" s="2" t="n"/>
      <c r="B4117">
        <f>LOWER(TRIM(A4117))</f>
        <v/>
      </c>
      <c r="C4117">
        <f>IF(B4117="","",IFERROR(INDEX('Bad Patterns'!$A$2:$A$120,MATCH(1,INDEX(--ISNUMBER(SEARCH('Bad Patterns'!$A$2:$A$120,B4117)),0),0)),""))</f>
        <v/>
      </c>
      <c r="D4117">
        <f>IF(B4117="","",IF(C4117&lt;&gt;"","REMOVE","KEEP"))</f>
        <v/>
      </c>
      <c r="E4117">
        <f>IF(D4117&lt;&gt;"KEEP","",IF(RIGHT(B4117,10)="@gmail.com","Gmail",IF(OR(RIGHT(B4117,12)="@outlook.com",RIGHT(B4117,12)="@hotmail.com",RIGHT(B4117,9)="@live.com"),"Outlook","Domain")))</f>
        <v/>
      </c>
      <c r="F4117">
        <f>IF(B4117="","",IFERROR(RIGHT(B4117,LEN(B4117)-FIND("@",B4117)),""))</f>
        <v/>
      </c>
      <c r="G4117">
        <f>IF(D4117="KEEP",COUNTIF($D$2:D4117,"KEEP"),"")</f>
        <v/>
      </c>
      <c r="H4117">
        <f>IF(D4117="REMOVE",COUNTIF($D$2:D4117,"REMOVE"),"")</f>
        <v/>
      </c>
      <c r="I4117">
        <f>IF(E4117="Gmail",COUNTIF($E$2:E4117,"Gmail"),"")</f>
        <v/>
      </c>
      <c r="J4117">
        <f>IF(E4117="Outlook",COUNTIF($E$2:E4117,"Outlook"),"")</f>
        <v/>
      </c>
      <c r="K4117">
        <f>IF(E4117="Domain",COUNTIF($E$2:E4117,"Domain"),"")</f>
        <v/>
      </c>
    </row>
    <row r="4118">
      <c r="A4118" s="2" t="n"/>
      <c r="B4118">
        <f>LOWER(TRIM(A4118))</f>
        <v/>
      </c>
      <c r="C4118">
        <f>IF(B4118="","",IFERROR(INDEX('Bad Patterns'!$A$2:$A$120,MATCH(1,INDEX(--ISNUMBER(SEARCH('Bad Patterns'!$A$2:$A$120,B4118)),0),0)),""))</f>
        <v/>
      </c>
      <c r="D4118">
        <f>IF(B4118="","",IF(C4118&lt;&gt;"","REMOVE","KEEP"))</f>
        <v/>
      </c>
      <c r="E4118">
        <f>IF(D4118&lt;&gt;"KEEP","",IF(RIGHT(B4118,10)="@gmail.com","Gmail",IF(OR(RIGHT(B4118,12)="@outlook.com",RIGHT(B4118,12)="@hotmail.com",RIGHT(B4118,9)="@live.com"),"Outlook","Domain")))</f>
        <v/>
      </c>
      <c r="F4118">
        <f>IF(B4118="","",IFERROR(RIGHT(B4118,LEN(B4118)-FIND("@",B4118)),""))</f>
        <v/>
      </c>
      <c r="G4118">
        <f>IF(D4118="KEEP",COUNTIF($D$2:D4118,"KEEP"),"")</f>
        <v/>
      </c>
      <c r="H4118">
        <f>IF(D4118="REMOVE",COUNTIF($D$2:D4118,"REMOVE"),"")</f>
        <v/>
      </c>
      <c r="I4118">
        <f>IF(E4118="Gmail",COUNTIF($E$2:E4118,"Gmail"),"")</f>
        <v/>
      </c>
      <c r="J4118">
        <f>IF(E4118="Outlook",COUNTIF($E$2:E4118,"Outlook"),"")</f>
        <v/>
      </c>
      <c r="K4118">
        <f>IF(E4118="Domain",COUNTIF($E$2:E4118,"Domain"),"")</f>
        <v/>
      </c>
    </row>
    <row r="4119">
      <c r="A4119" s="2" t="n"/>
      <c r="B4119">
        <f>LOWER(TRIM(A4119))</f>
        <v/>
      </c>
      <c r="C4119">
        <f>IF(B4119="","",IFERROR(INDEX('Bad Patterns'!$A$2:$A$120,MATCH(1,INDEX(--ISNUMBER(SEARCH('Bad Patterns'!$A$2:$A$120,B4119)),0),0)),""))</f>
        <v/>
      </c>
      <c r="D4119">
        <f>IF(B4119="","",IF(C4119&lt;&gt;"","REMOVE","KEEP"))</f>
        <v/>
      </c>
      <c r="E4119">
        <f>IF(D4119&lt;&gt;"KEEP","",IF(RIGHT(B4119,10)="@gmail.com","Gmail",IF(OR(RIGHT(B4119,12)="@outlook.com",RIGHT(B4119,12)="@hotmail.com",RIGHT(B4119,9)="@live.com"),"Outlook","Domain")))</f>
        <v/>
      </c>
      <c r="F4119">
        <f>IF(B4119="","",IFERROR(RIGHT(B4119,LEN(B4119)-FIND("@",B4119)),""))</f>
        <v/>
      </c>
      <c r="G4119">
        <f>IF(D4119="KEEP",COUNTIF($D$2:D4119,"KEEP"),"")</f>
        <v/>
      </c>
      <c r="H4119">
        <f>IF(D4119="REMOVE",COUNTIF($D$2:D4119,"REMOVE"),"")</f>
        <v/>
      </c>
      <c r="I4119">
        <f>IF(E4119="Gmail",COUNTIF($E$2:E4119,"Gmail"),"")</f>
        <v/>
      </c>
      <c r="J4119">
        <f>IF(E4119="Outlook",COUNTIF($E$2:E4119,"Outlook"),"")</f>
        <v/>
      </c>
      <c r="K4119">
        <f>IF(E4119="Domain",COUNTIF($E$2:E4119,"Domain"),"")</f>
        <v/>
      </c>
    </row>
    <row r="4120">
      <c r="A4120" s="2" t="n"/>
      <c r="B4120">
        <f>LOWER(TRIM(A4120))</f>
        <v/>
      </c>
      <c r="C4120">
        <f>IF(B4120="","",IFERROR(INDEX('Bad Patterns'!$A$2:$A$120,MATCH(1,INDEX(--ISNUMBER(SEARCH('Bad Patterns'!$A$2:$A$120,B4120)),0),0)),""))</f>
        <v/>
      </c>
      <c r="D4120">
        <f>IF(B4120="","",IF(C4120&lt;&gt;"","REMOVE","KEEP"))</f>
        <v/>
      </c>
      <c r="E4120">
        <f>IF(D4120&lt;&gt;"KEEP","",IF(RIGHT(B4120,10)="@gmail.com","Gmail",IF(OR(RIGHT(B4120,12)="@outlook.com",RIGHT(B4120,12)="@hotmail.com",RIGHT(B4120,9)="@live.com"),"Outlook","Domain")))</f>
        <v/>
      </c>
      <c r="F4120">
        <f>IF(B4120="","",IFERROR(RIGHT(B4120,LEN(B4120)-FIND("@",B4120)),""))</f>
        <v/>
      </c>
      <c r="G4120">
        <f>IF(D4120="KEEP",COUNTIF($D$2:D4120,"KEEP"),"")</f>
        <v/>
      </c>
      <c r="H4120">
        <f>IF(D4120="REMOVE",COUNTIF($D$2:D4120,"REMOVE"),"")</f>
        <v/>
      </c>
      <c r="I4120">
        <f>IF(E4120="Gmail",COUNTIF($E$2:E4120,"Gmail"),"")</f>
        <v/>
      </c>
      <c r="J4120">
        <f>IF(E4120="Outlook",COUNTIF($E$2:E4120,"Outlook"),"")</f>
        <v/>
      </c>
      <c r="K4120">
        <f>IF(E4120="Domain",COUNTIF($E$2:E4120,"Domain"),"")</f>
        <v/>
      </c>
    </row>
    <row r="4121">
      <c r="A4121" s="2" t="n"/>
      <c r="B4121">
        <f>LOWER(TRIM(A4121))</f>
        <v/>
      </c>
      <c r="C4121">
        <f>IF(B4121="","",IFERROR(INDEX('Bad Patterns'!$A$2:$A$120,MATCH(1,INDEX(--ISNUMBER(SEARCH('Bad Patterns'!$A$2:$A$120,B4121)),0),0)),""))</f>
        <v/>
      </c>
      <c r="D4121">
        <f>IF(B4121="","",IF(C4121&lt;&gt;"","REMOVE","KEEP"))</f>
        <v/>
      </c>
      <c r="E4121">
        <f>IF(D4121&lt;&gt;"KEEP","",IF(RIGHT(B4121,10)="@gmail.com","Gmail",IF(OR(RIGHT(B4121,12)="@outlook.com",RIGHT(B4121,12)="@hotmail.com",RIGHT(B4121,9)="@live.com"),"Outlook","Domain")))</f>
        <v/>
      </c>
      <c r="F4121">
        <f>IF(B4121="","",IFERROR(RIGHT(B4121,LEN(B4121)-FIND("@",B4121)),""))</f>
        <v/>
      </c>
      <c r="G4121">
        <f>IF(D4121="KEEP",COUNTIF($D$2:D4121,"KEEP"),"")</f>
        <v/>
      </c>
      <c r="H4121">
        <f>IF(D4121="REMOVE",COUNTIF($D$2:D4121,"REMOVE"),"")</f>
        <v/>
      </c>
      <c r="I4121">
        <f>IF(E4121="Gmail",COUNTIF($E$2:E4121,"Gmail"),"")</f>
        <v/>
      </c>
      <c r="J4121">
        <f>IF(E4121="Outlook",COUNTIF($E$2:E4121,"Outlook"),"")</f>
        <v/>
      </c>
      <c r="K4121">
        <f>IF(E4121="Domain",COUNTIF($E$2:E4121,"Domain"),"")</f>
        <v/>
      </c>
    </row>
    <row r="4122">
      <c r="A4122" s="2" t="n"/>
      <c r="B4122">
        <f>LOWER(TRIM(A4122))</f>
        <v/>
      </c>
      <c r="C4122">
        <f>IF(B4122="","",IFERROR(INDEX('Bad Patterns'!$A$2:$A$120,MATCH(1,INDEX(--ISNUMBER(SEARCH('Bad Patterns'!$A$2:$A$120,B4122)),0),0)),""))</f>
        <v/>
      </c>
      <c r="D4122">
        <f>IF(B4122="","",IF(C4122&lt;&gt;"","REMOVE","KEEP"))</f>
        <v/>
      </c>
      <c r="E4122">
        <f>IF(D4122&lt;&gt;"KEEP","",IF(RIGHT(B4122,10)="@gmail.com","Gmail",IF(OR(RIGHT(B4122,12)="@outlook.com",RIGHT(B4122,12)="@hotmail.com",RIGHT(B4122,9)="@live.com"),"Outlook","Domain")))</f>
        <v/>
      </c>
      <c r="F4122">
        <f>IF(B4122="","",IFERROR(RIGHT(B4122,LEN(B4122)-FIND("@",B4122)),""))</f>
        <v/>
      </c>
      <c r="G4122">
        <f>IF(D4122="KEEP",COUNTIF($D$2:D4122,"KEEP"),"")</f>
        <v/>
      </c>
      <c r="H4122">
        <f>IF(D4122="REMOVE",COUNTIF($D$2:D4122,"REMOVE"),"")</f>
        <v/>
      </c>
      <c r="I4122">
        <f>IF(E4122="Gmail",COUNTIF($E$2:E4122,"Gmail"),"")</f>
        <v/>
      </c>
      <c r="J4122">
        <f>IF(E4122="Outlook",COUNTIF($E$2:E4122,"Outlook"),"")</f>
        <v/>
      </c>
      <c r="K4122">
        <f>IF(E4122="Domain",COUNTIF($E$2:E4122,"Domain"),"")</f>
        <v/>
      </c>
    </row>
    <row r="4123">
      <c r="A4123" s="2" t="n"/>
      <c r="B4123">
        <f>LOWER(TRIM(A4123))</f>
        <v/>
      </c>
      <c r="C4123">
        <f>IF(B4123="","",IFERROR(INDEX('Bad Patterns'!$A$2:$A$120,MATCH(1,INDEX(--ISNUMBER(SEARCH('Bad Patterns'!$A$2:$A$120,B4123)),0),0)),""))</f>
        <v/>
      </c>
      <c r="D4123">
        <f>IF(B4123="","",IF(C4123&lt;&gt;"","REMOVE","KEEP"))</f>
        <v/>
      </c>
      <c r="E4123">
        <f>IF(D4123&lt;&gt;"KEEP","",IF(RIGHT(B4123,10)="@gmail.com","Gmail",IF(OR(RIGHT(B4123,12)="@outlook.com",RIGHT(B4123,12)="@hotmail.com",RIGHT(B4123,9)="@live.com"),"Outlook","Domain")))</f>
        <v/>
      </c>
      <c r="F4123">
        <f>IF(B4123="","",IFERROR(RIGHT(B4123,LEN(B4123)-FIND("@",B4123)),""))</f>
        <v/>
      </c>
      <c r="G4123">
        <f>IF(D4123="KEEP",COUNTIF($D$2:D4123,"KEEP"),"")</f>
        <v/>
      </c>
      <c r="H4123">
        <f>IF(D4123="REMOVE",COUNTIF($D$2:D4123,"REMOVE"),"")</f>
        <v/>
      </c>
      <c r="I4123">
        <f>IF(E4123="Gmail",COUNTIF($E$2:E4123,"Gmail"),"")</f>
        <v/>
      </c>
      <c r="J4123">
        <f>IF(E4123="Outlook",COUNTIF($E$2:E4123,"Outlook"),"")</f>
        <v/>
      </c>
      <c r="K4123">
        <f>IF(E4123="Domain",COUNTIF($E$2:E4123,"Domain"),"")</f>
        <v/>
      </c>
    </row>
    <row r="4124">
      <c r="A4124" s="2" t="n"/>
      <c r="B4124">
        <f>LOWER(TRIM(A4124))</f>
        <v/>
      </c>
      <c r="C4124">
        <f>IF(B4124="","",IFERROR(INDEX('Bad Patterns'!$A$2:$A$120,MATCH(1,INDEX(--ISNUMBER(SEARCH('Bad Patterns'!$A$2:$A$120,B4124)),0),0)),""))</f>
        <v/>
      </c>
      <c r="D4124">
        <f>IF(B4124="","",IF(C4124&lt;&gt;"","REMOVE","KEEP"))</f>
        <v/>
      </c>
      <c r="E4124">
        <f>IF(D4124&lt;&gt;"KEEP","",IF(RIGHT(B4124,10)="@gmail.com","Gmail",IF(OR(RIGHT(B4124,12)="@outlook.com",RIGHT(B4124,12)="@hotmail.com",RIGHT(B4124,9)="@live.com"),"Outlook","Domain")))</f>
        <v/>
      </c>
      <c r="F4124">
        <f>IF(B4124="","",IFERROR(RIGHT(B4124,LEN(B4124)-FIND("@",B4124)),""))</f>
        <v/>
      </c>
      <c r="G4124">
        <f>IF(D4124="KEEP",COUNTIF($D$2:D4124,"KEEP"),"")</f>
        <v/>
      </c>
      <c r="H4124">
        <f>IF(D4124="REMOVE",COUNTIF($D$2:D4124,"REMOVE"),"")</f>
        <v/>
      </c>
      <c r="I4124">
        <f>IF(E4124="Gmail",COUNTIF($E$2:E4124,"Gmail"),"")</f>
        <v/>
      </c>
      <c r="J4124">
        <f>IF(E4124="Outlook",COUNTIF($E$2:E4124,"Outlook"),"")</f>
        <v/>
      </c>
      <c r="K4124">
        <f>IF(E4124="Domain",COUNTIF($E$2:E4124,"Domain"),"")</f>
        <v/>
      </c>
    </row>
    <row r="4125">
      <c r="A4125" s="2" t="n"/>
      <c r="B4125">
        <f>LOWER(TRIM(A4125))</f>
        <v/>
      </c>
      <c r="C4125">
        <f>IF(B4125="","",IFERROR(INDEX('Bad Patterns'!$A$2:$A$120,MATCH(1,INDEX(--ISNUMBER(SEARCH('Bad Patterns'!$A$2:$A$120,B4125)),0),0)),""))</f>
        <v/>
      </c>
      <c r="D4125">
        <f>IF(B4125="","",IF(C4125&lt;&gt;"","REMOVE","KEEP"))</f>
        <v/>
      </c>
      <c r="E4125">
        <f>IF(D4125&lt;&gt;"KEEP","",IF(RIGHT(B4125,10)="@gmail.com","Gmail",IF(OR(RIGHT(B4125,12)="@outlook.com",RIGHT(B4125,12)="@hotmail.com",RIGHT(B4125,9)="@live.com"),"Outlook","Domain")))</f>
        <v/>
      </c>
      <c r="F4125">
        <f>IF(B4125="","",IFERROR(RIGHT(B4125,LEN(B4125)-FIND("@",B4125)),""))</f>
        <v/>
      </c>
      <c r="G4125">
        <f>IF(D4125="KEEP",COUNTIF($D$2:D4125,"KEEP"),"")</f>
        <v/>
      </c>
      <c r="H4125">
        <f>IF(D4125="REMOVE",COUNTIF($D$2:D4125,"REMOVE"),"")</f>
        <v/>
      </c>
      <c r="I4125">
        <f>IF(E4125="Gmail",COUNTIF($E$2:E4125,"Gmail"),"")</f>
        <v/>
      </c>
      <c r="J4125">
        <f>IF(E4125="Outlook",COUNTIF($E$2:E4125,"Outlook"),"")</f>
        <v/>
      </c>
      <c r="K4125">
        <f>IF(E4125="Domain",COUNTIF($E$2:E4125,"Domain"),"")</f>
        <v/>
      </c>
    </row>
    <row r="4126">
      <c r="A4126" s="2" t="n"/>
      <c r="B4126">
        <f>LOWER(TRIM(A4126))</f>
        <v/>
      </c>
      <c r="C4126">
        <f>IF(B4126="","",IFERROR(INDEX('Bad Patterns'!$A$2:$A$120,MATCH(1,INDEX(--ISNUMBER(SEARCH('Bad Patterns'!$A$2:$A$120,B4126)),0),0)),""))</f>
        <v/>
      </c>
      <c r="D4126">
        <f>IF(B4126="","",IF(C4126&lt;&gt;"","REMOVE","KEEP"))</f>
        <v/>
      </c>
      <c r="E4126">
        <f>IF(D4126&lt;&gt;"KEEP","",IF(RIGHT(B4126,10)="@gmail.com","Gmail",IF(OR(RIGHT(B4126,12)="@outlook.com",RIGHT(B4126,12)="@hotmail.com",RIGHT(B4126,9)="@live.com"),"Outlook","Domain")))</f>
        <v/>
      </c>
      <c r="F4126">
        <f>IF(B4126="","",IFERROR(RIGHT(B4126,LEN(B4126)-FIND("@",B4126)),""))</f>
        <v/>
      </c>
      <c r="G4126">
        <f>IF(D4126="KEEP",COUNTIF($D$2:D4126,"KEEP"),"")</f>
        <v/>
      </c>
      <c r="H4126">
        <f>IF(D4126="REMOVE",COUNTIF($D$2:D4126,"REMOVE"),"")</f>
        <v/>
      </c>
      <c r="I4126">
        <f>IF(E4126="Gmail",COUNTIF($E$2:E4126,"Gmail"),"")</f>
        <v/>
      </c>
      <c r="J4126">
        <f>IF(E4126="Outlook",COUNTIF($E$2:E4126,"Outlook"),"")</f>
        <v/>
      </c>
      <c r="K4126">
        <f>IF(E4126="Domain",COUNTIF($E$2:E4126,"Domain"),"")</f>
        <v/>
      </c>
    </row>
    <row r="4127">
      <c r="A4127" s="2" t="n"/>
      <c r="B4127">
        <f>LOWER(TRIM(A4127))</f>
        <v/>
      </c>
      <c r="C4127">
        <f>IF(B4127="","",IFERROR(INDEX('Bad Patterns'!$A$2:$A$120,MATCH(1,INDEX(--ISNUMBER(SEARCH('Bad Patterns'!$A$2:$A$120,B4127)),0),0)),""))</f>
        <v/>
      </c>
      <c r="D4127">
        <f>IF(B4127="","",IF(C4127&lt;&gt;"","REMOVE","KEEP"))</f>
        <v/>
      </c>
      <c r="E4127">
        <f>IF(D4127&lt;&gt;"KEEP","",IF(RIGHT(B4127,10)="@gmail.com","Gmail",IF(OR(RIGHT(B4127,12)="@outlook.com",RIGHT(B4127,12)="@hotmail.com",RIGHT(B4127,9)="@live.com"),"Outlook","Domain")))</f>
        <v/>
      </c>
      <c r="F4127">
        <f>IF(B4127="","",IFERROR(RIGHT(B4127,LEN(B4127)-FIND("@",B4127)),""))</f>
        <v/>
      </c>
      <c r="G4127">
        <f>IF(D4127="KEEP",COUNTIF($D$2:D4127,"KEEP"),"")</f>
        <v/>
      </c>
      <c r="H4127">
        <f>IF(D4127="REMOVE",COUNTIF($D$2:D4127,"REMOVE"),"")</f>
        <v/>
      </c>
      <c r="I4127">
        <f>IF(E4127="Gmail",COUNTIF($E$2:E4127,"Gmail"),"")</f>
        <v/>
      </c>
      <c r="J4127">
        <f>IF(E4127="Outlook",COUNTIF($E$2:E4127,"Outlook"),"")</f>
        <v/>
      </c>
      <c r="K4127">
        <f>IF(E4127="Domain",COUNTIF($E$2:E4127,"Domain"),"")</f>
        <v/>
      </c>
    </row>
    <row r="4128">
      <c r="A4128" s="2" t="n"/>
      <c r="B4128">
        <f>LOWER(TRIM(A4128))</f>
        <v/>
      </c>
      <c r="C4128">
        <f>IF(B4128="","",IFERROR(INDEX('Bad Patterns'!$A$2:$A$120,MATCH(1,INDEX(--ISNUMBER(SEARCH('Bad Patterns'!$A$2:$A$120,B4128)),0),0)),""))</f>
        <v/>
      </c>
      <c r="D4128">
        <f>IF(B4128="","",IF(C4128&lt;&gt;"","REMOVE","KEEP"))</f>
        <v/>
      </c>
      <c r="E4128">
        <f>IF(D4128&lt;&gt;"KEEP","",IF(RIGHT(B4128,10)="@gmail.com","Gmail",IF(OR(RIGHT(B4128,12)="@outlook.com",RIGHT(B4128,12)="@hotmail.com",RIGHT(B4128,9)="@live.com"),"Outlook","Domain")))</f>
        <v/>
      </c>
      <c r="F4128">
        <f>IF(B4128="","",IFERROR(RIGHT(B4128,LEN(B4128)-FIND("@",B4128)),""))</f>
        <v/>
      </c>
      <c r="G4128">
        <f>IF(D4128="KEEP",COUNTIF($D$2:D4128,"KEEP"),"")</f>
        <v/>
      </c>
      <c r="H4128">
        <f>IF(D4128="REMOVE",COUNTIF($D$2:D4128,"REMOVE"),"")</f>
        <v/>
      </c>
      <c r="I4128">
        <f>IF(E4128="Gmail",COUNTIF($E$2:E4128,"Gmail"),"")</f>
        <v/>
      </c>
      <c r="J4128">
        <f>IF(E4128="Outlook",COUNTIF($E$2:E4128,"Outlook"),"")</f>
        <v/>
      </c>
      <c r="K4128">
        <f>IF(E4128="Domain",COUNTIF($E$2:E4128,"Domain"),"")</f>
        <v/>
      </c>
    </row>
    <row r="4129">
      <c r="A4129" s="2" t="n"/>
      <c r="B4129">
        <f>LOWER(TRIM(A4129))</f>
        <v/>
      </c>
      <c r="C4129">
        <f>IF(B4129="","",IFERROR(INDEX('Bad Patterns'!$A$2:$A$120,MATCH(1,INDEX(--ISNUMBER(SEARCH('Bad Patterns'!$A$2:$A$120,B4129)),0),0)),""))</f>
        <v/>
      </c>
      <c r="D4129">
        <f>IF(B4129="","",IF(C4129&lt;&gt;"","REMOVE","KEEP"))</f>
        <v/>
      </c>
      <c r="E4129">
        <f>IF(D4129&lt;&gt;"KEEP","",IF(RIGHT(B4129,10)="@gmail.com","Gmail",IF(OR(RIGHT(B4129,12)="@outlook.com",RIGHT(B4129,12)="@hotmail.com",RIGHT(B4129,9)="@live.com"),"Outlook","Domain")))</f>
        <v/>
      </c>
      <c r="F4129">
        <f>IF(B4129="","",IFERROR(RIGHT(B4129,LEN(B4129)-FIND("@",B4129)),""))</f>
        <v/>
      </c>
      <c r="G4129">
        <f>IF(D4129="KEEP",COUNTIF($D$2:D4129,"KEEP"),"")</f>
        <v/>
      </c>
      <c r="H4129">
        <f>IF(D4129="REMOVE",COUNTIF($D$2:D4129,"REMOVE"),"")</f>
        <v/>
      </c>
      <c r="I4129">
        <f>IF(E4129="Gmail",COUNTIF($E$2:E4129,"Gmail"),"")</f>
        <v/>
      </c>
      <c r="J4129">
        <f>IF(E4129="Outlook",COUNTIF($E$2:E4129,"Outlook"),"")</f>
        <v/>
      </c>
      <c r="K4129">
        <f>IF(E4129="Domain",COUNTIF($E$2:E4129,"Domain"),"")</f>
        <v/>
      </c>
    </row>
    <row r="4130">
      <c r="A4130" s="2" t="n"/>
      <c r="B4130">
        <f>LOWER(TRIM(A4130))</f>
        <v/>
      </c>
      <c r="C4130">
        <f>IF(B4130="","",IFERROR(INDEX('Bad Patterns'!$A$2:$A$120,MATCH(1,INDEX(--ISNUMBER(SEARCH('Bad Patterns'!$A$2:$A$120,B4130)),0),0)),""))</f>
        <v/>
      </c>
      <c r="D4130">
        <f>IF(B4130="","",IF(C4130&lt;&gt;"","REMOVE","KEEP"))</f>
        <v/>
      </c>
      <c r="E4130">
        <f>IF(D4130&lt;&gt;"KEEP","",IF(RIGHT(B4130,10)="@gmail.com","Gmail",IF(OR(RIGHT(B4130,12)="@outlook.com",RIGHT(B4130,12)="@hotmail.com",RIGHT(B4130,9)="@live.com"),"Outlook","Domain")))</f>
        <v/>
      </c>
      <c r="F4130">
        <f>IF(B4130="","",IFERROR(RIGHT(B4130,LEN(B4130)-FIND("@",B4130)),""))</f>
        <v/>
      </c>
      <c r="G4130">
        <f>IF(D4130="KEEP",COUNTIF($D$2:D4130,"KEEP"),"")</f>
        <v/>
      </c>
      <c r="H4130">
        <f>IF(D4130="REMOVE",COUNTIF($D$2:D4130,"REMOVE"),"")</f>
        <v/>
      </c>
      <c r="I4130">
        <f>IF(E4130="Gmail",COUNTIF($E$2:E4130,"Gmail"),"")</f>
        <v/>
      </c>
      <c r="J4130">
        <f>IF(E4130="Outlook",COUNTIF($E$2:E4130,"Outlook"),"")</f>
        <v/>
      </c>
      <c r="K4130">
        <f>IF(E4130="Domain",COUNTIF($E$2:E4130,"Domain"),"")</f>
        <v/>
      </c>
    </row>
    <row r="4131">
      <c r="A4131" s="2" t="n"/>
      <c r="B4131">
        <f>LOWER(TRIM(A4131))</f>
        <v/>
      </c>
      <c r="C4131">
        <f>IF(B4131="","",IFERROR(INDEX('Bad Patterns'!$A$2:$A$120,MATCH(1,INDEX(--ISNUMBER(SEARCH('Bad Patterns'!$A$2:$A$120,B4131)),0),0)),""))</f>
        <v/>
      </c>
      <c r="D4131">
        <f>IF(B4131="","",IF(C4131&lt;&gt;"","REMOVE","KEEP"))</f>
        <v/>
      </c>
      <c r="E4131">
        <f>IF(D4131&lt;&gt;"KEEP","",IF(RIGHT(B4131,10)="@gmail.com","Gmail",IF(OR(RIGHT(B4131,12)="@outlook.com",RIGHT(B4131,12)="@hotmail.com",RIGHT(B4131,9)="@live.com"),"Outlook","Domain")))</f>
        <v/>
      </c>
      <c r="F4131">
        <f>IF(B4131="","",IFERROR(RIGHT(B4131,LEN(B4131)-FIND("@",B4131)),""))</f>
        <v/>
      </c>
      <c r="G4131">
        <f>IF(D4131="KEEP",COUNTIF($D$2:D4131,"KEEP"),"")</f>
        <v/>
      </c>
      <c r="H4131">
        <f>IF(D4131="REMOVE",COUNTIF($D$2:D4131,"REMOVE"),"")</f>
        <v/>
      </c>
      <c r="I4131">
        <f>IF(E4131="Gmail",COUNTIF($E$2:E4131,"Gmail"),"")</f>
        <v/>
      </c>
      <c r="J4131">
        <f>IF(E4131="Outlook",COUNTIF($E$2:E4131,"Outlook"),"")</f>
        <v/>
      </c>
      <c r="K4131">
        <f>IF(E4131="Domain",COUNTIF($E$2:E4131,"Domain"),"")</f>
        <v/>
      </c>
    </row>
    <row r="4132">
      <c r="A4132" s="2" t="n"/>
      <c r="B4132">
        <f>LOWER(TRIM(A4132))</f>
        <v/>
      </c>
      <c r="C4132">
        <f>IF(B4132="","",IFERROR(INDEX('Bad Patterns'!$A$2:$A$120,MATCH(1,INDEX(--ISNUMBER(SEARCH('Bad Patterns'!$A$2:$A$120,B4132)),0),0)),""))</f>
        <v/>
      </c>
      <c r="D4132">
        <f>IF(B4132="","",IF(C4132&lt;&gt;"","REMOVE","KEEP"))</f>
        <v/>
      </c>
      <c r="E4132">
        <f>IF(D4132&lt;&gt;"KEEP","",IF(RIGHT(B4132,10)="@gmail.com","Gmail",IF(OR(RIGHT(B4132,12)="@outlook.com",RIGHT(B4132,12)="@hotmail.com",RIGHT(B4132,9)="@live.com"),"Outlook","Domain")))</f>
        <v/>
      </c>
      <c r="F4132">
        <f>IF(B4132="","",IFERROR(RIGHT(B4132,LEN(B4132)-FIND("@",B4132)),""))</f>
        <v/>
      </c>
      <c r="G4132">
        <f>IF(D4132="KEEP",COUNTIF($D$2:D4132,"KEEP"),"")</f>
        <v/>
      </c>
      <c r="H4132">
        <f>IF(D4132="REMOVE",COUNTIF($D$2:D4132,"REMOVE"),"")</f>
        <v/>
      </c>
      <c r="I4132">
        <f>IF(E4132="Gmail",COUNTIF($E$2:E4132,"Gmail"),"")</f>
        <v/>
      </c>
      <c r="J4132">
        <f>IF(E4132="Outlook",COUNTIF($E$2:E4132,"Outlook"),"")</f>
        <v/>
      </c>
      <c r="K4132">
        <f>IF(E4132="Domain",COUNTIF($E$2:E4132,"Domain"),"")</f>
        <v/>
      </c>
    </row>
    <row r="4133">
      <c r="A4133" s="2" t="n"/>
      <c r="B4133">
        <f>LOWER(TRIM(A4133))</f>
        <v/>
      </c>
      <c r="C4133">
        <f>IF(B4133="","",IFERROR(INDEX('Bad Patterns'!$A$2:$A$120,MATCH(1,INDEX(--ISNUMBER(SEARCH('Bad Patterns'!$A$2:$A$120,B4133)),0),0)),""))</f>
        <v/>
      </c>
      <c r="D4133">
        <f>IF(B4133="","",IF(C4133&lt;&gt;"","REMOVE","KEEP"))</f>
        <v/>
      </c>
      <c r="E4133">
        <f>IF(D4133&lt;&gt;"KEEP","",IF(RIGHT(B4133,10)="@gmail.com","Gmail",IF(OR(RIGHT(B4133,12)="@outlook.com",RIGHT(B4133,12)="@hotmail.com",RIGHT(B4133,9)="@live.com"),"Outlook","Domain")))</f>
        <v/>
      </c>
      <c r="F4133">
        <f>IF(B4133="","",IFERROR(RIGHT(B4133,LEN(B4133)-FIND("@",B4133)),""))</f>
        <v/>
      </c>
      <c r="G4133">
        <f>IF(D4133="KEEP",COUNTIF($D$2:D4133,"KEEP"),"")</f>
        <v/>
      </c>
      <c r="H4133">
        <f>IF(D4133="REMOVE",COUNTIF($D$2:D4133,"REMOVE"),"")</f>
        <v/>
      </c>
      <c r="I4133">
        <f>IF(E4133="Gmail",COUNTIF($E$2:E4133,"Gmail"),"")</f>
        <v/>
      </c>
      <c r="J4133">
        <f>IF(E4133="Outlook",COUNTIF($E$2:E4133,"Outlook"),"")</f>
        <v/>
      </c>
      <c r="K4133">
        <f>IF(E4133="Domain",COUNTIF($E$2:E4133,"Domain"),"")</f>
        <v/>
      </c>
    </row>
    <row r="4134">
      <c r="A4134" s="2" t="n"/>
      <c r="B4134">
        <f>LOWER(TRIM(A4134))</f>
        <v/>
      </c>
      <c r="C4134">
        <f>IF(B4134="","",IFERROR(INDEX('Bad Patterns'!$A$2:$A$120,MATCH(1,INDEX(--ISNUMBER(SEARCH('Bad Patterns'!$A$2:$A$120,B4134)),0),0)),""))</f>
        <v/>
      </c>
      <c r="D4134">
        <f>IF(B4134="","",IF(C4134&lt;&gt;"","REMOVE","KEEP"))</f>
        <v/>
      </c>
      <c r="E4134">
        <f>IF(D4134&lt;&gt;"KEEP","",IF(RIGHT(B4134,10)="@gmail.com","Gmail",IF(OR(RIGHT(B4134,12)="@outlook.com",RIGHT(B4134,12)="@hotmail.com",RIGHT(B4134,9)="@live.com"),"Outlook","Domain")))</f>
        <v/>
      </c>
      <c r="F4134">
        <f>IF(B4134="","",IFERROR(RIGHT(B4134,LEN(B4134)-FIND("@",B4134)),""))</f>
        <v/>
      </c>
      <c r="G4134">
        <f>IF(D4134="KEEP",COUNTIF($D$2:D4134,"KEEP"),"")</f>
        <v/>
      </c>
      <c r="H4134">
        <f>IF(D4134="REMOVE",COUNTIF($D$2:D4134,"REMOVE"),"")</f>
        <v/>
      </c>
      <c r="I4134">
        <f>IF(E4134="Gmail",COUNTIF($E$2:E4134,"Gmail"),"")</f>
        <v/>
      </c>
      <c r="J4134">
        <f>IF(E4134="Outlook",COUNTIF($E$2:E4134,"Outlook"),"")</f>
        <v/>
      </c>
      <c r="K4134">
        <f>IF(E4134="Domain",COUNTIF($E$2:E4134,"Domain"),"")</f>
        <v/>
      </c>
    </row>
    <row r="4135">
      <c r="A4135" s="2" t="n"/>
      <c r="B4135">
        <f>LOWER(TRIM(A4135))</f>
        <v/>
      </c>
      <c r="C4135">
        <f>IF(B4135="","",IFERROR(INDEX('Bad Patterns'!$A$2:$A$120,MATCH(1,INDEX(--ISNUMBER(SEARCH('Bad Patterns'!$A$2:$A$120,B4135)),0),0)),""))</f>
        <v/>
      </c>
      <c r="D4135">
        <f>IF(B4135="","",IF(C4135&lt;&gt;"","REMOVE","KEEP"))</f>
        <v/>
      </c>
      <c r="E4135">
        <f>IF(D4135&lt;&gt;"KEEP","",IF(RIGHT(B4135,10)="@gmail.com","Gmail",IF(OR(RIGHT(B4135,12)="@outlook.com",RIGHT(B4135,12)="@hotmail.com",RIGHT(B4135,9)="@live.com"),"Outlook","Domain")))</f>
        <v/>
      </c>
      <c r="F4135">
        <f>IF(B4135="","",IFERROR(RIGHT(B4135,LEN(B4135)-FIND("@",B4135)),""))</f>
        <v/>
      </c>
      <c r="G4135">
        <f>IF(D4135="KEEP",COUNTIF($D$2:D4135,"KEEP"),"")</f>
        <v/>
      </c>
      <c r="H4135">
        <f>IF(D4135="REMOVE",COUNTIF($D$2:D4135,"REMOVE"),"")</f>
        <v/>
      </c>
      <c r="I4135">
        <f>IF(E4135="Gmail",COUNTIF($E$2:E4135,"Gmail"),"")</f>
        <v/>
      </c>
      <c r="J4135">
        <f>IF(E4135="Outlook",COUNTIF($E$2:E4135,"Outlook"),"")</f>
        <v/>
      </c>
      <c r="K4135">
        <f>IF(E4135="Domain",COUNTIF($E$2:E4135,"Domain"),"")</f>
        <v/>
      </c>
    </row>
    <row r="4136">
      <c r="A4136" s="2" t="n"/>
      <c r="B4136">
        <f>LOWER(TRIM(A4136))</f>
        <v/>
      </c>
      <c r="C4136">
        <f>IF(B4136="","",IFERROR(INDEX('Bad Patterns'!$A$2:$A$120,MATCH(1,INDEX(--ISNUMBER(SEARCH('Bad Patterns'!$A$2:$A$120,B4136)),0),0)),""))</f>
        <v/>
      </c>
      <c r="D4136">
        <f>IF(B4136="","",IF(C4136&lt;&gt;"","REMOVE","KEEP"))</f>
        <v/>
      </c>
      <c r="E4136">
        <f>IF(D4136&lt;&gt;"KEEP","",IF(RIGHT(B4136,10)="@gmail.com","Gmail",IF(OR(RIGHT(B4136,12)="@outlook.com",RIGHT(B4136,12)="@hotmail.com",RIGHT(B4136,9)="@live.com"),"Outlook","Domain")))</f>
        <v/>
      </c>
      <c r="F4136">
        <f>IF(B4136="","",IFERROR(RIGHT(B4136,LEN(B4136)-FIND("@",B4136)),""))</f>
        <v/>
      </c>
      <c r="G4136">
        <f>IF(D4136="KEEP",COUNTIF($D$2:D4136,"KEEP"),"")</f>
        <v/>
      </c>
      <c r="H4136">
        <f>IF(D4136="REMOVE",COUNTIF($D$2:D4136,"REMOVE"),"")</f>
        <v/>
      </c>
      <c r="I4136">
        <f>IF(E4136="Gmail",COUNTIF($E$2:E4136,"Gmail"),"")</f>
        <v/>
      </c>
      <c r="J4136">
        <f>IF(E4136="Outlook",COUNTIF($E$2:E4136,"Outlook"),"")</f>
        <v/>
      </c>
      <c r="K4136">
        <f>IF(E4136="Domain",COUNTIF($E$2:E4136,"Domain"),"")</f>
        <v/>
      </c>
    </row>
    <row r="4137">
      <c r="A4137" s="2" t="n"/>
      <c r="B4137">
        <f>LOWER(TRIM(A4137))</f>
        <v/>
      </c>
      <c r="C4137">
        <f>IF(B4137="","",IFERROR(INDEX('Bad Patterns'!$A$2:$A$120,MATCH(1,INDEX(--ISNUMBER(SEARCH('Bad Patterns'!$A$2:$A$120,B4137)),0),0)),""))</f>
        <v/>
      </c>
      <c r="D4137">
        <f>IF(B4137="","",IF(C4137&lt;&gt;"","REMOVE","KEEP"))</f>
        <v/>
      </c>
      <c r="E4137">
        <f>IF(D4137&lt;&gt;"KEEP","",IF(RIGHT(B4137,10)="@gmail.com","Gmail",IF(OR(RIGHT(B4137,12)="@outlook.com",RIGHT(B4137,12)="@hotmail.com",RIGHT(B4137,9)="@live.com"),"Outlook","Domain")))</f>
        <v/>
      </c>
      <c r="F4137">
        <f>IF(B4137="","",IFERROR(RIGHT(B4137,LEN(B4137)-FIND("@",B4137)),""))</f>
        <v/>
      </c>
      <c r="G4137">
        <f>IF(D4137="KEEP",COUNTIF($D$2:D4137,"KEEP"),"")</f>
        <v/>
      </c>
      <c r="H4137">
        <f>IF(D4137="REMOVE",COUNTIF($D$2:D4137,"REMOVE"),"")</f>
        <v/>
      </c>
      <c r="I4137">
        <f>IF(E4137="Gmail",COUNTIF($E$2:E4137,"Gmail"),"")</f>
        <v/>
      </c>
      <c r="J4137">
        <f>IF(E4137="Outlook",COUNTIF($E$2:E4137,"Outlook"),"")</f>
        <v/>
      </c>
      <c r="K4137">
        <f>IF(E4137="Domain",COUNTIF($E$2:E4137,"Domain"),"")</f>
        <v/>
      </c>
    </row>
    <row r="4138">
      <c r="A4138" s="2" t="n"/>
      <c r="B4138">
        <f>LOWER(TRIM(A4138))</f>
        <v/>
      </c>
      <c r="C4138">
        <f>IF(B4138="","",IFERROR(INDEX('Bad Patterns'!$A$2:$A$120,MATCH(1,INDEX(--ISNUMBER(SEARCH('Bad Patterns'!$A$2:$A$120,B4138)),0),0)),""))</f>
        <v/>
      </c>
      <c r="D4138">
        <f>IF(B4138="","",IF(C4138&lt;&gt;"","REMOVE","KEEP"))</f>
        <v/>
      </c>
      <c r="E4138">
        <f>IF(D4138&lt;&gt;"KEEP","",IF(RIGHT(B4138,10)="@gmail.com","Gmail",IF(OR(RIGHT(B4138,12)="@outlook.com",RIGHT(B4138,12)="@hotmail.com",RIGHT(B4138,9)="@live.com"),"Outlook","Domain")))</f>
        <v/>
      </c>
      <c r="F4138">
        <f>IF(B4138="","",IFERROR(RIGHT(B4138,LEN(B4138)-FIND("@",B4138)),""))</f>
        <v/>
      </c>
      <c r="G4138">
        <f>IF(D4138="KEEP",COUNTIF($D$2:D4138,"KEEP"),"")</f>
        <v/>
      </c>
      <c r="H4138">
        <f>IF(D4138="REMOVE",COUNTIF($D$2:D4138,"REMOVE"),"")</f>
        <v/>
      </c>
      <c r="I4138">
        <f>IF(E4138="Gmail",COUNTIF($E$2:E4138,"Gmail"),"")</f>
        <v/>
      </c>
      <c r="J4138">
        <f>IF(E4138="Outlook",COUNTIF($E$2:E4138,"Outlook"),"")</f>
        <v/>
      </c>
      <c r="K4138">
        <f>IF(E4138="Domain",COUNTIF($E$2:E4138,"Domain"),"")</f>
        <v/>
      </c>
    </row>
    <row r="4139">
      <c r="A4139" s="2" t="n"/>
      <c r="B4139">
        <f>LOWER(TRIM(A4139))</f>
        <v/>
      </c>
      <c r="C4139">
        <f>IF(B4139="","",IFERROR(INDEX('Bad Patterns'!$A$2:$A$120,MATCH(1,INDEX(--ISNUMBER(SEARCH('Bad Patterns'!$A$2:$A$120,B4139)),0),0)),""))</f>
        <v/>
      </c>
      <c r="D4139">
        <f>IF(B4139="","",IF(C4139&lt;&gt;"","REMOVE","KEEP"))</f>
        <v/>
      </c>
      <c r="E4139">
        <f>IF(D4139&lt;&gt;"KEEP","",IF(RIGHT(B4139,10)="@gmail.com","Gmail",IF(OR(RIGHT(B4139,12)="@outlook.com",RIGHT(B4139,12)="@hotmail.com",RIGHT(B4139,9)="@live.com"),"Outlook","Domain")))</f>
        <v/>
      </c>
      <c r="F4139">
        <f>IF(B4139="","",IFERROR(RIGHT(B4139,LEN(B4139)-FIND("@",B4139)),""))</f>
        <v/>
      </c>
      <c r="G4139">
        <f>IF(D4139="KEEP",COUNTIF($D$2:D4139,"KEEP"),"")</f>
        <v/>
      </c>
      <c r="H4139">
        <f>IF(D4139="REMOVE",COUNTIF($D$2:D4139,"REMOVE"),"")</f>
        <v/>
      </c>
      <c r="I4139">
        <f>IF(E4139="Gmail",COUNTIF($E$2:E4139,"Gmail"),"")</f>
        <v/>
      </c>
      <c r="J4139">
        <f>IF(E4139="Outlook",COUNTIF($E$2:E4139,"Outlook"),"")</f>
        <v/>
      </c>
      <c r="K4139">
        <f>IF(E4139="Domain",COUNTIF($E$2:E4139,"Domain"),"")</f>
        <v/>
      </c>
    </row>
    <row r="4140">
      <c r="A4140" s="2" t="n"/>
      <c r="B4140">
        <f>LOWER(TRIM(A4140))</f>
        <v/>
      </c>
      <c r="C4140">
        <f>IF(B4140="","",IFERROR(INDEX('Bad Patterns'!$A$2:$A$120,MATCH(1,INDEX(--ISNUMBER(SEARCH('Bad Patterns'!$A$2:$A$120,B4140)),0),0)),""))</f>
        <v/>
      </c>
      <c r="D4140">
        <f>IF(B4140="","",IF(C4140&lt;&gt;"","REMOVE","KEEP"))</f>
        <v/>
      </c>
      <c r="E4140">
        <f>IF(D4140&lt;&gt;"KEEP","",IF(RIGHT(B4140,10)="@gmail.com","Gmail",IF(OR(RIGHT(B4140,12)="@outlook.com",RIGHT(B4140,12)="@hotmail.com",RIGHT(B4140,9)="@live.com"),"Outlook","Domain")))</f>
        <v/>
      </c>
      <c r="F4140">
        <f>IF(B4140="","",IFERROR(RIGHT(B4140,LEN(B4140)-FIND("@",B4140)),""))</f>
        <v/>
      </c>
      <c r="G4140">
        <f>IF(D4140="KEEP",COUNTIF($D$2:D4140,"KEEP"),"")</f>
        <v/>
      </c>
      <c r="H4140">
        <f>IF(D4140="REMOVE",COUNTIF($D$2:D4140,"REMOVE"),"")</f>
        <v/>
      </c>
      <c r="I4140">
        <f>IF(E4140="Gmail",COUNTIF($E$2:E4140,"Gmail"),"")</f>
        <v/>
      </c>
      <c r="J4140">
        <f>IF(E4140="Outlook",COUNTIF($E$2:E4140,"Outlook"),"")</f>
        <v/>
      </c>
      <c r="K4140">
        <f>IF(E4140="Domain",COUNTIF($E$2:E4140,"Domain"),"")</f>
        <v/>
      </c>
    </row>
    <row r="4141">
      <c r="A4141" s="2" t="n"/>
      <c r="B4141">
        <f>LOWER(TRIM(A4141))</f>
        <v/>
      </c>
      <c r="C4141">
        <f>IF(B4141="","",IFERROR(INDEX('Bad Patterns'!$A$2:$A$120,MATCH(1,INDEX(--ISNUMBER(SEARCH('Bad Patterns'!$A$2:$A$120,B4141)),0),0)),""))</f>
        <v/>
      </c>
      <c r="D4141">
        <f>IF(B4141="","",IF(C4141&lt;&gt;"","REMOVE","KEEP"))</f>
        <v/>
      </c>
      <c r="E4141">
        <f>IF(D4141&lt;&gt;"KEEP","",IF(RIGHT(B4141,10)="@gmail.com","Gmail",IF(OR(RIGHT(B4141,12)="@outlook.com",RIGHT(B4141,12)="@hotmail.com",RIGHT(B4141,9)="@live.com"),"Outlook","Domain")))</f>
        <v/>
      </c>
      <c r="F4141">
        <f>IF(B4141="","",IFERROR(RIGHT(B4141,LEN(B4141)-FIND("@",B4141)),""))</f>
        <v/>
      </c>
      <c r="G4141">
        <f>IF(D4141="KEEP",COUNTIF($D$2:D4141,"KEEP"),"")</f>
        <v/>
      </c>
      <c r="H4141">
        <f>IF(D4141="REMOVE",COUNTIF($D$2:D4141,"REMOVE"),"")</f>
        <v/>
      </c>
      <c r="I4141">
        <f>IF(E4141="Gmail",COUNTIF($E$2:E4141,"Gmail"),"")</f>
        <v/>
      </c>
      <c r="J4141">
        <f>IF(E4141="Outlook",COUNTIF($E$2:E4141,"Outlook"),"")</f>
        <v/>
      </c>
      <c r="K4141">
        <f>IF(E4141="Domain",COUNTIF($E$2:E4141,"Domain"),"")</f>
        <v/>
      </c>
    </row>
    <row r="4142">
      <c r="A4142" s="2" t="n"/>
      <c r="B4142">
        <f>LOWER(TRIM(A4142))</f>
        <v/>
      </c>
      <c r="C4142">
        <f>IF(B4142="","",IFERROR(INDEX('Bad Patterns'!$A$2:$A$120,MATCH(1,INDEX(--ISNUMBER(SEARCH('Bad Patterns'!$A$2:$A$120,B4142)),0),0)),""))</f>
        <v/>
      </c>
      <c r="D4142">
        <f>IF(B4142="","",IF(C4142&lt;&gt;"","REMOVE","KEEP"))</f>
        <v/>
      </c>
      <c r="E4142">
        <f>IF(D4142&lt;&gt;"KEEP","",IF(RIGHT(B4142,10)="@gmail.com","Gmail",IF(OR(RIGHT(B4142,12)="@outlook.com",RIGHT(B4142,12)="@hotmail.com",RIGHT(B4142,9)="@live.com"),"Outlook","Domain")))</f>
        <v/>
      </c>
      <c r="F4142">
        <f>IF(B4142="","",IFERROR(RIGHT(B4142,LEN(B4142)-FIND("@",B4142)),""))</f>
        <v/>
      </c>
      <c r="G4142">
        <f>IF(D4142="KEEP",COUNTIF($D$2:D4142,"KEEP"),"")</f>
        <v/>
      </c>
      <c r="H4142">
        <f>IF(D4142="REMOVE",COUNTIF($D$2:D4142,"REMOVE"),"")</f>
        <v/>
      </c>
      <c r="I4142">
        <f>IF(E4142="Gmail",COUNTIF($E$2:E4142,"Gmail"),"")</f>
        <v/>
      </c>
      <c r="J4142">
        <f>IF(E4142="Outlook",COUNTIF($E$2:E4142,"Outlook"),"")</f>
        <v/>
      </c>
      <c r="K4142">
        <f>IF(E4142="Domain",COUNTIF($E$2:E4142,"Domain"),"")</f>
        <v/>
      </c>
    </row>
    <row r="4143">
      <c r="A4143" s="2" t="n"/>
      <c r="B4143">
        <f>LOWER(TRIM(A4143))</f>
        <v/>
      </c>
      <c r="C4143">
        <f>IF(B4143="","",IFERROR(INDEX('Bad Patterns'!$A$2:$A$120,MATCH(1,INDEX(--ISNUMBER(SEARCH('Bad Patterns'!$A$2:$A$120,B4143)),0),0)),""))</f>
        <v/>
      </c>
      <c r="D4143">
        <f>IF(B4143="","",IF(C4143&lt;&gt;"","REMOVE","KEEP"))</f>
        <v/>
      </c>
      <c r="E4143">
        <f>IF(D4143&lt;&gt;"KEEP","",IF(RIGHT(B4143,10)="@gmail.com","Gmail",IF(OR(RIGHT(B4143,12)="@outlook.com",RIGHT(B4143,12)="@hotmail.com",RIGHT(B4143,9)="@live.com"),"Outlook","Domain")))</f>
        <v/>
      </c>
      <c r="F4143">
        <f>IF(B4143="","",IFERROR(RIGHT(B4143,LEN(B4143)-FIND("@",B4143)),""))</f>
        <v/>
      </c>
      <c r="G4143">
        <f>IF(D4143="KEEP",COUNTIF($D$2:D4143,"KEEP"),"")</f>
        <v/>
      </c>
      <c r="H4143">
        <f>IF(D4143="REMOVE",COUNTIF($D$2:D4143,"REMOVE"),"")</f>
        <v/>
      </c>
      <c r="I4143">
        <f>IF(E4143="Gmail",COUNTIF($E$2:E4143,"Gmail"),"")</f>
        <v/>
      </c>
      <c r="J4143">
        <f>IF(E4143="Outlook",COUNTIF($E$2:E4143,"Outlook"),"")</f>
        <v/>
      </c>
      <c r="K4143">
        <f>IF(E4143="Domain",COUNTIF($E$2:E4143,"Domain"),"")</f>
        <v/>
      </c>
    </row>
    <row r="4144">
      <c r="A4144" s="2" t="n"/>
      <c r="B4144">
        <f>LOWER(TRIM(A4144))</f>
        <v/>
      </c>
      <c r="C4144">
        <f>IF(B4144="","",IFERROR(INDEX('Bad Patterns'!$A$2:$A$120,MATCH(1,INDEX(--ISNUMBER(SEARCH('Bad Patterns'!$A$2:$A$120,B4144)),0),0)),""))</f>
        <v/>
      </c>
      <c r="D4144">
        <f>IF(B4144="","",IF(C4144&lt;&gt;"","REMOVE","KEEP"))</f>
        <v/>
      </c>
      <c r="E4144">
        <f>IF(D4144&lt;&gt;"KEEP","",IF(RIGHT(B4144,10)="@gmail.com","Gmail",IF(OR(RIGHT(B4144,12)="@outlook.com",RIGHT(B4144,12)="@hotmail.com",RIGHT(B4144,9)="@live.com"),"Outlook","Domain")))</f>
        <v/>
      </c>
      <c r="F4144">
        <f>IF(B4144="","",IFERROR(RIGHT(B4144,LEN(B4144)-FIND("@",B4144)),""))</f>
        <v/>
      </c>
      <c r="G4144">
        <f>IF(D4144="KEEP",COUNTIF($D$2:D4144,"KEEP"),"")</f>
        <v/>
      </c>
      <c r="H4144">
        <f>IF(D4144="REMOVE",COUNTIF($D$2:D4144,"REMOVE"),"")</f>
        <v/>
      </c>
      <c r="I4144">
        <f>IF(E4144="Gmail",COUNTIF($E$2:E4144,"Gmail"),"")</f>
        <v/>
      </c>
      <c r="J4144">
        <f>IF(E4144="Outlook",COUNTIF($E$2:E4144,"Outlook"),"")</f>
        <v/>
      </c>
      <c r="K4144">
        <f>IF(E4144="Domain",COUNTIF($E$2:E4144,"Domain"),"")</f>
        <v/>
      </c>
    </row>
    <row r="4145">
      <c r="A4145" s="2" t="n"/>
      <c r="B4145">
        <f>LOWER(TRIM(A4145))</f>
        <v/>
      </c>
      <c r="C4145">
        <f>IF(B4145="","",IFERROR(INDEX('Bad Patterns'!$A$2:$A$120,MATCH(1,INDEX(--ISNUMBER(SEARCH('Bad Patterns'!$A$2:$A$120,B4145)),0),0)),""))</f>
        <v/>
      </c>
      <c r="D4145">
        <f>IF(B4145="","",IF(C4145&lt;&gt;"","REMOVE","KEEP"))</f>
        <v/>
      </c>
      <c r="E4145">
        <f>IF(D4145&lt;&gt;"KEEP","",IF(RIGHT(B4145,10)="@gmail.com","Gmail",IF(OR(RIGHT(B4145,12)="@outlook.com",RIGHT(B4145,12)="@hotmail.com",RIGHT(B4145,9)="@live.com"),"Outlook","Domain")))</f>
        <v/>
      </c>
      <c r="F4145">
        <f>IF(B4145="","",IFERROR(RIGHT(B4145,LEN(B4145)-FIND("@",B4145)),""))</f>
        <v/>
      </c>
      <c r="G4145">
        <f>IF(D4145="KEEP",COUNTIF($D$2:D4145,"KEEP"),"")</f>
        <v/>
      </c>
      <c r="H4145">
        <f>IF(D4145="REMOVE",COUNTIF($D$2:D4145,"REMOVE"),"")</f>
        <v/>
      </c>
      <c r="I4145">
        <f>IF(E4145="Gmail",COUNTIF($E$2:E4145,"Gmail"),"")</f>
        <v/>
      </c>
      <c r="J4145">
        <f>IF(E4145="Outlook",COUNTIF($E$2:E4145,"Outlook"),"")</f>
        <v/>
      </c>
      <c r="K4145">
        <f>IF(E4145="Domain",COUNTIF($E$2:E4145,"Domain"),"")</f>
        <v/>
      </c>
    </row>
    <row r="4146">
      <c r="A4146" s="2" t="n"/>
      <c r="B4146">
        <f>LOWER(TRIM(A4146))</f>
        <v/>
      </c>
      <c r="C4146">
        <f>IF(B4146="","",IFERROR(INDEX('Bad Patterns'!$A$2:$A$120,MATCH(1,INDEX(--ISNUMBER(SEARCH('Bad Patterns'!$A$2:$A$120,B4146)),0),0)),""))</f>
        <v/>
      </c>
      <c r="D4146">
        <f>IF(B4146="","",IF(C4146&lt;&gt;"","REMOVE","KEEP"))</f>
        <v/>
      </c>
      <c r="E4146">
        <f>IF(D4146&lt;&gt;"KEEP","",IF(RIGHT(B4146,10)="@gmail.com","Gmail",IF(OR(RIGHT(B4146,12)="@outlook.com",RIGHT(B4146,12)="@hotmail.com",RIGHT(B4146,9)="@live.com"),"Outlook","Domain")))</f>
        <v/>
      </c>
      <c r="F4146">
        <f>IF(B4146="","",IFERROR(RIGHT(B4146,LEN(B4146)-FIND("@",B4146)),""))</f>
        <v/>
      </c>
      <c r="G4146">
        <f>IF(D4146="KEEP",COUNTIF($D$2:D4146,"KEEP"),"")</f>
        <v/>
      </c>
      <c r="H4146">
        <f>IF(D4146="REMOVE",COUNTIF($D$2:D4146,"REMOVE"),"")</f>
        <v/>
      </c>
      <c r="I4146">
        <f>IF(E4146="Gmail",COUNTIF($E$2:E4146,"Gmail"),"")</f>
        <v/>
      </c>
      <c r="J4146">
        <f>IF(E4146="Outlook",COUNTIF($E$2:E4146,"Outlook"),"")</f>
        <v/>
      </c>
      <c r="K4146">
        <f>IF(E4146="Domain",COUNTIF($E$2:E4146,"Domain"),"")</f>
        <v/>
      </c>
    </row>
    <row r="4147">
      <c r="A4147" s="2" t="n"/>
      <c r="B4147">
        <f>LOWER(TRIM(A4147))</f>
        <v/>
      </c>
      <c r="C4147">
        <f>IF(B4147="","",IFERROR(INDEX('Bad Patterns'!$A$2:$A$120,MATCH(1,INDEX(--ISNUMBER(SEARCH('Bad Patterns'!$A$2:$A$120,B4147)),0),0)),""))</f>
        <v/>
      </c>
      <c r="D4147">
        <f>IF(B4147="","",IF(C4147&lt;&gt;"","REMOVE","KEEP"))</f>
        <v/>
      </c>
      <c r="E4147">
        <f>IF(D4147&lt;&gt;"KEEP","",IF(RIGHT(B4147,10)="@gmail.com","Gmail",IF(OR(RIGHT(B4147,12)="@outlook.com",RIGHT(B4147,12)="@hotmail.com",RIGHT(B4147,9)="@live.com"),"Outlook","Domain")))</f>
        <v/>
      </c>
      <c r="F4147">
        <f>IF(B4147="","",IFERROR(RIGHT(B4147,LEN(B4147)-FIND("@",B4147)),""))</f>
        <v/>
      </c>
      <c r="G4147">
        <f>IF(D4147="KEEP",COUNTIF($D$2:D4147,"KEEP"),"")</f>
        <v/>
      </c>
      <c r="H4147">
        <f>IF(D4147="REMOVE",COUNTIF($D$2:D4147,"REMOVE"),"")</f>
        <v/>
      </c>
      <c r="I4147">
        <f>IF(E4147="Gmail",COUNTIF($E$2:E4147,"Gmail"),"")</f>
        <v/>
      </c>
      <c r="J4147">
        <f>IF(E4147="Outlook",COUNTIF($E$2:E4147,"Outlook"),"")</f>
        <v/>
      </c>
      <c r="K4147">
        <f>IF(E4147="Domain",COUNTIF($E$2:E4147,"Domain"),"")</f>
        <v/>
      </c>
    </row>
    <row r="4148">
      <c r="A4148" s="2" t="n"/>
      <c r="B4148">
        <f>LOWER(TRIM(A4148))</f>
        <v/>
      </c>
      <c r="C4148">
        <f>IF(B4148="","",IFERROR(INDEX('Bad Patterns'!$A$2:$A$120,MATCH(1,INDEX(--ISNUMBER(SEARCH('Bad Patterns'!$A$2:$A$120,B4148)),0),0)),""))</f>
        <v/>
      </c>
      <c r="D4148">
        <f>IF(B4148="","",IF(C4148&lt;&gt;"","REMOVE","KEEP"))</f>
        <v/>
      </c>
      <c r="E4148">
        <f>IF(D4148&lt;&gt;"KEEP","",IF(RIGHT(B4148,10)="@gmail.com","Gmail",IF(OR(RIGHT(B4148,12)="@outlook.com",RIGHT(B4148,12)="@hotmail.com",RIGHT(B4148,9)="@live.com"),"Outlook","Domain")))</f>
        <v/>
      </c>
      <c r="F4148">
        <f>IF(B4148="","",IFERROR(RIGHT(B4148,LEN(B4148)-FIND("@",B4148)),""))</f>
        <v/>
      </c>
      <c r="G4148">
        <f>IF(D4148="KEEP",COUNTIF($D$2:D4148,"KEEP"),"")</f>
        <v/>
      </c>
      <c r="H4148">
        <f>IF(D4148="REMOVE",COUNTIF($D$2:D4148,"REMOVE"),"")</f>
        <v/>
      </c>
      <c r="I4148">
        <f>IF(E4148="Gmail",COUNTIF($E$2:E4148,"Gmail"),"")</f>
        <v/>
      </c>
      <c r="J4148">
        <f>IF(E4148="Outlook",COUNTIF($E$2:E4148,"Outlook"),"")</f>
        <v/>
      </c>
      <c r="K4148">
        <f>IF(E4148="Domain",COUNTIF($E$2:E4148,"Domain"),"")</f>
        <v/>
      </c>
    </row>
    <row r="4149">
      <c r="A4149" s="2" t="n"/>
      <c r="B4149">
        <f>LOWER(TRIM(A4149))</f>
        <v/>
      </c>
      <c r="C4149">
        <f>IF(B4149="","",IFERROR(INDEX('Bad Patterns'!$A$2:$A$120,MATCH(1,INDEX(--ISNUMBER(SEARCH('Bad Patterns'!$A$2:$A$120,B4149)),0),0)),""))</f>
        <v/>
      </c>
      <c r="D4149">
        <f>IF(B4149="","",IF(C4149&lt;&gt;"","REMOVE","KEEP"))</f>
        <v/>
      </c>
      <c r="E4149">
        <f>IF(D4149&lt;&gt;"KEEP","",IF(RIGHT(B4149,10)="@gmail.com","Gmail",IF(OR(RIGHT(B4149,12)="@outlook.com",RIGHT(B4149,12)="@hotmail.com",RIGHT(B4149,9)="@live.com"),"Outlook","Domain")))</f>
        <v/>
      </c>
      <c r="F4149">
        <f>IF(B4149="","",IFERROR(RIGHT(B4149,LEN(B4149)-FIND("@",B4149)),""))</f>
        <v/>
      </c>
      <c r="G4149">
        <f>IF(D4149="KEEP",COUNTIF($D$2:D4149,"KEEP"),"")</f>
        <v/>
      </c>
      <c r="H4149">
        <f>IF(D4149="REMOVE",COUNTIF($D$2:D4149,"REMOVE"),"")</f>
        <v/>
      </c>
      <c r="I4149">
        <f>IF(E4149="Gmail",COUNTIF($E$2:E4149,"Gmail"),"")</f>
        <v/>
      </c>
      <c r="J4149">
        <f>IF(E4149="Outlook",COUNTIF($E$2:E4149,"Outlook"),"")</f>
        <v/>
      </c>
      <c r="K4149">
        <f>IF(E4149="Domain",COUNTIF($E$2:E4149,"Domain"),"")</f>
        <v/>
      </c>
    </row>
    <row r="4150">
      <c r="A4150" s="2" t="n"/>
      <c r="B4150">
        <f>LOWER(TRIM(A4150))</f>
        <v/>
      </c>
      <c r="C4150">
        <f>IF(B4150="","",IFERROR(INDEX('Bad Patterns'!$A$2:$A$120,MATCH(1,INDEX(--ISNUMBER(SEARCH('Bad Patterns'!$A$2:$A$120,B4150)),0),0)),""))</f>
        <v/>
      </c>
      <c r="D4150">
        <f>IF(B4150="","",IF(C4150&lt;&gt;"","REMOVE","KEEP"))</f>
        <v/>
      </c>
      <c r="E4150">
        <f>IF(D4150&lt;&gt;"KEEP","",IF(RIGHT(B4150,10)="@gmail.com","Gmail",IF(OR(RIGHT(B4150,12)="@outlook.com",RIGHT(B4150,12)="@hotmail.com",RIGHT(B4150,9)="@live.com"),"Outlook","Domain")))</f>
        <v/>
      </c>
      <c r="F4150">
        <f>IF(B4150="","",IFERROR(RIGHT(B4150,LEN(B4150)-FIND("@",B4150)),""))</f>
        <v/>
      </c>
      <c r="G4150">
        <f>IF(D4150="KEEP",COUNTIF($D$2:D4150,"KEEP"),"")</f>
        <v/>
      </c>
      <c r="H4150">
        <f>IF(D4150="REMOVE",COUNTIF($D$2:D4150,"REMOVE"),"")</f>
        <v/>
      </c>
      <c r="I4150">
        <f>IF(E4150="Gmail",COUNTIF($E$2:E4150,"Gmail"),"")</f>
        <v/>
      </c>
      <c r="J4150">
        <f>IF(E4150="Outlook",COUNTIF($E$2:E4150,"Outlook"),"")</f>
        <v/>
      </c>
      <c r="K4150">
        <f>IF(E4150="Domain",COUNTIF($E$2:E4150,"Domain"),"")</f>
        <v/>
      </c>
    </row>
    <row r="4151">
      <c r="A4151" s="2" t="n"/>
      <c r="B4151">
        <f>LOWER(TRIM(A4151))</f>
        <v/>
      </c>
      <c r="C4151">
        <f>IF(B4151="","",IFERROR(INDEX('Bad Patterns'!$A$2:$A$120,MATCH(1,INDEX(--ISNUMBER(SEARCH('Bad Patterns'!$A$2:$A$120,B4151)),0),0)),""))</f>
        <v/>
      </c>
      <c r="D4151">
        <f>IF(B4151="","",IF(C4151&lt;&gt;"","REMOVE","KEEP"))</f>
        <v/>
      </c>
      <c r="E4151">
        <f>IF(D4151&lt;&gt;"KEEP","",IF(RIGHT(B4151,10)="@gmail.com","Gmail",IF(OR(RIGHT(B4151,12)="@outlook.com",RIGHT(B4151,12)="@hotmail.com",RIGHT(B4151,9)="@live.com"),"Outlook","Domain")))</f>
        <v/>
      </c>
      <c r="F4151">
        <f>IF(B4151="","",IFERROR(RIGHT(B4151,LEN(B4151)-FIND("@",B4151)),""))</f>
        <v/>
      </c>
      <c r="G4151">
        <f>IF(D4151="KEEP",COUNTIF($D$2:D4151,"KEEP"),"")</f>
        <v/>
      </c>
      <c r="H4151">
        <f>IF(D4151="REMOVE",COUNTIF($D$2:D4151,"REMOVE"),"")</f>
        <v/>
      </c>
      <c r="I4151">
        <f>IF(E4151="Gmail",COUNTIF($E$2:E4151,"Gmail"),"")</f>
        <v/>
      </c>
      <c r="J4151">
        <f>IF(E4151="Outlook",COUNTIF($E$2:E4151,"Outlook"),"")</f>
        <v/>
      </c>
      <c r="K4151">
        <f>IF(E4151="Domain",COUNTIF($E$2:E4151,"Domain"),"")</f>
        <v/>
      </c>
    </row>
    <row r="4152">
      <c r="A4152" s="2" t="n"/>
      <c r="B4152">
        <f>LOWER(TRIM(A4152))</f>
        <v/>
      </c>
      <c r="C4152">
        <f>IF(B4152="","",IFERROR(INDEX('Bad Patterns'!$A$2:$A$120,MATCH(1,INDEX(--ISNUMBER(SEARCH('Bad Patterns'!$A$2:$A$120,B4152)),0),0)),""))</f>
        <v/>
      </c>
      <c r="D4152">
        <f>IF(B4152="","",IF(C4152&lt;&gt;"","REMOVE","KEEP"))</f>
        <v/>
      </c>
      <c r="E4152">
        <f>IF(D4152&lt;&gt;"KEEP","",IF(RIGHT(B4152,10)="@gmail.com","Gmail",IF(OR(RIGHT(B4152,12)="@outlook.com",RIGHT(B4152,12)="@hotmail.com",RIGHT(B4152,9)="@live.com"),"Outlook","Domain")))</f>
        <v/>
      </c>
      <c r="F4152">
        <f>IF(B4152="","",IFERROR(RIGHT(B4152,LEN(B4152)-FIND("@",B4152)),""))</f>
        <v/>
      </c>
      <c r="G4152">
        <f>IF(D4152="KEEP",COUNTIF($D$2:D4152,"KEEP"),"")</f>
        <v/>
      </c>
      <c r="H4152">
        <f>IF(D4152="REMOVE",COUNTIF($D$2:D4152,"REMOVE"),"")</f>
        <v/>
      </c>
      <c r="I4152">
        <f>IF(E4152="Gmail",COUNTIF($E$2:E4152,"Gmail"),"")</f>
        <v/>
      </c>
      <c r="J4152">
        <f>IF(E4152="Outlook",COUNTIF($E$2:E4152,"Outlook"),"")</f>
        <v/>
      </c>
      <c r="K4152">
        <f>IF(E4152="Domain",COUNTIF($E$2:E4152,"Domain"),"")</f>
        <v/>
      </c>
    </row>
    <row r="4153">
      <c r="A4153" s="2" t="n"/>
      <c r="B4153">
        <f>LOWER(TRIM(A4153))</f>
        <v/>
      </c>
      <c r="C4153">
        <f>IF(B4153="","",IFERROR(INDEX('Bad Patterns'!$A$2:$A$120,MATCH(1,INDEX(--ISNUMBER(SEARCH('Bad Patterns'!$A$2:$A$120,B4153)),0),0)),""))</f>
        <v/>
      </c>
      <c r="D4153">
        <f>IF(B4153="","",IF(C4153&lt;&gt;"","REMOVE","KEEP"))</f>
        <v/>
      </c>
      <c r="E4153">
        <f>IF(D4153&lt;&gt;"KEEP","",IF(RIGHT(B4153,10)="@gmail.com","Gmail",IF(OR(RIGHT(B4153,12)="@outlook.com",RIGHT(B4153,12)="@hotmail.com",RIGHT(B4153,9)="@live.com"),"Outlook","Domain")))</f>
        <v/>
      </c>
      <c r="F4153">
        <f>IF(B4153="","",IFERROR(RIGHT(B4153,LEN(B4153)-FIND("@",B4153)),""))</f>
        <v/>
      </c>
      <c r="G4153">
        <f>IF(D4153="KEEP",COUNTIF($D$2:D4153,"KEEP"),"")</f>
        <v/>
      </c>
      <c r="H4153">
        <f>IF(D4153="REMOVE",COUNTIF($D$2:D4153,"REMOVE"),"")</f>
        <v/>
      </c>
      <c r="I4153">
        <f>IF(E4153="Gmail",COUNTIF($E$2:E4153,"Gmail"),"")</f>
        <v/>
      </c>
      <c r="J4153">
        <f>IF(E4153="Outlook",COUNTIF($E$2:E4153,"Outlook"),"")</f>
        <v/>
      </c>
      <c r="K4153">
        <f>IF(E4153="Domain",COUNTIF($E$2:E4153,"Domain"),"")</f>
        <v/>
      </c>
    </row>
    <row r="4154">
      <c r="A4154" s="2" t="n"/>
      <c r="B4154">
        <f>LOWER(TRIM(A4154))</f>
        <v/>
      </c>
      <c r="C4154">
        <f>IF(B4154="","",IFERROR(INDEX('Bad Patterns'!$A$2:$A$120,MATCH(1,INDEX(--ISNUMBER(SEARCH('Bad Patterns'!$A$2:$A$120,B4154)),0),0)),""))</f>
        <v/>
      </c>
      <c r="D4154">
        <f>IF(B4154="","",IF(C4154&lt;&gt;"","REMOVE","KEEP"))</f>
        <v/>
      </c>
      <c r="E4154">
        <f>IF(D4154&lt;&gt;"KEEP","",IF(RIGHT(B4154,10)="@gmail.com","Gmail",IF(OR(RIGHT(B4154,12)="@outlook.com",RIGHT(B4154,12)="@hotmail.com",RIGHT(B4154,9)="@live.com"),"Outlook","Domain")))</f>
        <v/>
      </c>
      <c r="F4154">
        <f>IF(B4154="","",IFERROR(RIGHT(B4154,LEN(B4154)-FIND("@",B4154)),""))</f>
        <v/>
      </c>
      <c r="G4154">
        <f>IF(D4154="KEEP",COUNTIF($D$2:D4154,"KEEP"),"")</f>
        <v/>
      </c>
      <c r="H4154">
        <f>IF(D4154="REMOVE",COUNTIF($D$2:D4154,"REMOVE"),"")</f>
        <v/>
      </c>
      <c r="I4154">
        <f>IF(E4154="Gmail",COUNTIF($E$2:E4154,"Gmail"),"")</f>
        <v/>
      </c>
      <c r="J4154">
        <f>IF(E4154="Outlook",COUNTIF($E$2:E4154,"Outlook"),"")</f>
        <v/>
      </c>
      <c r="K4154">
        <f>IF(E4154="Domain",COUNTIF($E$2:E4154,"Domain"),"")</f>
        <v/>
      </c>
    </row>
    <row r="4155">
      <c r="A4155" s="2" t="n"/>
      <c r="B4155">
        <f>LOWER(TRIM(A4155))</f>
        <v/>
      </c>
      <c r="C4155">
        <f>IF(B4155="","",IFERROR(INDEX('Bad Patterns'!$A$2:$A$120,MATCH(1,INDEX(--ISNUMBER(SEARCH('Bad Patterns'!$A$2:$A$120,B4155)),0),0)),""))</f>
        <v/>
      </c>
      <c r="D4155">
        <f>IF(B4155="","",IF(C4155&lt;&gt;"","REMOVE","KEEP"))</f>
        <v/>
      </c>
      <c r="E4155">
        <f>IF(D4155&lt;&gt;"KEEP","",IF(RIGHT(B4155,10)="@gmail.com","Gmail",IF(OR(RIGHT(B4155,12)="@outlook.com",RIGHT(B4155,12)="@hotmail.com",RIGHT(B4155,9)="@live.com"),"Outlook","Domain")))</f>
        <v/>
      </c>
      <c r="F4155">
        <f>IF(B4155="","",IFERROR(RIGHT(B4155,LEN(B4155)-FIND("@",B4155)),""))</f>
        <v/>
      </c>
      <c r="G4155">
        <f>IF(D4155="KEEP",COUNTIF($D$2:D4155,"KEEP"),"")</f>
        <v/>
      </c>
      <c r="H4155">
        <f>IF(D4155="REMOVE",COUNTIF($D$2:D4155,"REMOVE"),"")</f>
        <v/>
      </c>
      <c r="I4155">
        <f>IF(E4155="Gmail",COUNTIF($E$2:E4155,"Gmail"),"")</f>
        <v/>
      </c>
      <c r="J4155">
        <f>IF(E4155="Outlook",COUNTIF($E$2:E4155,"Outlook"),"")</f>
        <v/>
      </c>
      <c r="K4155">
        <f>IF(E4155="Domain",COUNTIF($E$2:E4155,"Domain"),"")</f>
        <v/>
      </c>
    </row>
    <row r="4156">
      <c r="A4156" s="2" t="n"/>
      <c r="B4156">
        <f>LOWER(TRIM(A4156))</f>
        <v/>
      </c>
      <c r="C4156">
        <f>IF(B4156="","",IFERROR(INDEX('Bad Patterns'!$A$2:$A$120,MATCH(1,INDEX(--ISNUMBER(SEARCH('Bad Patterns'!$A$2:$A$120,B4156)),0),0)),""))</f>
        <v/>
      </c>
      <c r="D4156">
        <f>IF(B4156="","",IF(C4156&lt;&gt;"","REMOVE","KEEP"))</f>
        <v/>
      </c>
      <c r="E4156">
        <f>IF(D4156&lt;&gt;"KEEP","",IF(RIGHT(B4156,10)="@gmail.com","Gmail",IF(OR(RIGHT(B4156,12)="@outlook.com",RIGHT(B4156,12)="@hotmail.com",RIGHT(B4156,9)="@live.com"),"Outlook","Domain")))</f>
        <v/>
      </c>
      <c r="F4156">
        <f>IF(B4156="","",IFERROR(RIGHT(B4156,LEN(B4156)-FIND("@",B4156)),""))</f>
        <v/>
      </c>
      <c r="G4156">
        <f>IF(D4156="KEEP",COUNTIF($D$2:D4156,"KEEP"),"")</f>
        <v/>
      </c>
      <c r="H4156">
        <f>IF(D4156="REMOVE",COUNTIF($D$2:D4156,"REMOVE"),"")</f>
        <v/>
      </c>
      <c r="I4156">
        <f>IF(E4156="Gmail",COUNTIF($E$2:E4156,"Gmail"),"")</f>
        <v/>
      </c>
      <c r="J4156">
        <f>IF(E4156="Outlook",COUNTIF($E$2:E4156,"Outlook"),"")</f>
        <v/>
      </c>
      <c r="K4156">
        <f>IF(E4156="Domain",COUNTIF($E$2:E4156,"Domain"),"")</f>
        <v/>
      </c>
    </row>
    <row r="4157">
      <c r="A4157" s="2" t="n"/>
      <c r="B4157">
        <f>LOWER(TRIM(A4157))</f>
        <v/>
      </c>
      <c r="C4157">
        <f>IF(B4157="","",IFERROR(INDEX('Bad Patterns'!$A$2:$A$120,MATCH(1,INDEX(--ISNUMBER(SEARCH('Bad Patterns'!$A$2:$A$120,B4157)),0),0)),""))</f>
        <v/>
      </c>
      <c r="D4157">
        <f>IF(B4157="","",IF(C4157&lt;&gt;"","REMOVE","KEEP"))</f>
        <v/>
      </c>
      <c r="E4157">
        <f>IF(D4157&lt;&gt;"KEEP","",IF(RIGHT(B4157,10)="@gmail.com","Gmail",IF(OR(RIGHT(B4157,12)="@outlook.com",RIGHT(B4157,12)="@hotmail.com",RIGHT(B4157,9)="@live.com"),"Outlook","Domain")))</f>
        <v/>
      </c>
      <c r="F4157">
        <f>IF(B4157="","",IFERROR(RIGHT(B4157,LEN(B4157)-FIND("@",B4157)),""))</f>
        <v/>
      </c>
      <c r="G4157">
        <f>IF(D4157="KEEP",COUNTIF($D$2:D4157,"KEEP"),"")</f>
        <v/>
      </c>
      <c r="H4157">
        <f>IF(D4157="REMOVE",COUNTIF($D$2:D4157,"REMOVE"),"")</f>
        <v/>
      </c>
      <c r="I4157">
        <f>IF(E4157="Gmail",COUNTIF($E$2:E4157,"Gmail"),"")</f>
        <v/>
      </c>
      <c r="J4157">
        <f>IF(E4157="Outlook",COUNTIF($E$2:E4157,"Outlook"),"")</f>
        <v/>
      </c>
      <c r="K4157">
        <f>IF(E4157="Domain",COUNTIF($E$2:E4157,"Domain"),"")</f>
        <v/>
      </c>
    </row>
    <row r="4158">
      <c r="A4158" s="2" t="n"/>
      <c r="B4158">
        <f>LOWER(TRIM(A4158))</f>
        <v/>
      </c>
      <c r="C4158">
        <f>IF(B4158="","",IFERROR(INDEX('Bad Patterns'!$A$2:$A$120,MATCH(1,INDEX(--ISNUMBER(SEARCH('Bad Patterns'!$A$2:$A$120,B4158)),0),0)),""))</f>
        <v/>
      </c>
      <c r="D4158">
        <f>IF(B4158="","",IF(C4158&lt;&gt;"","REMOVE","KEEP"))</f>
        <v/>
      </c>
      <c r="E4158">
        <f>IF(D4158&lt;&gt;"KEEP","",IF(RIGHT(B4158,10)="@gmail.com","Gmail",IF(OR(RIGHT(B4158,12)="@outlook.com",RIGHT(B4158,12)="@hotmail.com",RIGHT(B4158,9)="@live.com"),"Outlook","Domain")))</f>
        <v/>
      </c>
      <c r="F4158">
        <f>IF(B4158="","",IFERROR(RIGHT(B4158,LEN(B4158)-FIND("@",B4158)),""))</f>
        <v/>
      </c>
      <c r="G4158">
        <f>IF(D4158="KEEP",COUNTIF($D$2:D4158,"KEEP"),"")</f>
        <v/>
      </c>
      <c r="H4158">
        <f>IF(D4158="REMOVE",COUNTIF($D$2:D4158,"REMOVE"),"")</f>
        <v/>
      </c>
      <c r="I4158">
        <f>IF(E4158="Gmail",COUNTIF($E$2:E4158,"Gmail"),"")</f>
        <v/>
      </c>
      <c r="J4158">
        <f>IF(E4158="Outlook",COUNTIF($E$2:E4158,"Outlook"),"")</f>
        <v/>
      </c>
      <c r="K4158">
        <f>IF(E4158="Domain",COUNTIF($E$2:E4158,"Domain"),"")</f>
        <v/>
      </c>
    </row>
    <row r="4159">
      <c r="A4159" s="2" t="n"/>
      <c r="B4159">
        <f>LOWER(TRIM(A4159))</f>
        <v/>
      </c>
      <c r="C4159">
        <f>IF(B4159="","",IFERROR(INDEX('Bad Patterns'!$A$2:$A$120,MATCH(1,INDEX(--ISNUMBER(SEARCH('Bad Patterns'!$A$2:$A$120,B4159)),0),0)),""))</f>
        <v/>
      </c>
      <c r="D4159">
        <f>IF(B4159="","",IF(C4159&lt;&gt;"","REMOVE","KEEP"))</f>
        <v/>
      </c>
      <c r="E4159">
        <f>IF(D4159&lt;&gt;"KEEP","",IF(RIGHT(B4159,10)="@gmail.com","Gmail",IF(OR(RIGHT(B4159,12)="@outlook.com",RIGHT(B4159,12)="@hotmail.com",RIGHT(B4159,9)="@live.com"),"Outlook","Domain")))</f>
        <v/>
      </c>
      <c r="F4159">
        <f>IF(B4159="","",IFERROR(RIGHT(B4159,LEN(B4159)-FIND("@",B4159)),""))</f>
        <v/>
      </c>
      <c r="G4159">
        <f>IF(D4159="KEEP",COUNTIF($D$2:D4159,"KEEP"),"")</f>
        <v/>
      </c>
      <c r="H4159">
        <f>IF(D4159="REMOVE",COUNTIF($D$2:D4159,"REMOVE"),"")</f>
        <v/>
      </c>
      <c r="I4159">
        <f>IF(E4159="Gmail",COUNTIF($E$2:E4159,"Gmail"),"")</f>
        <v/>
      </c>
      <c r="J4159">
        <f>IF(E4159="Outlook",COUNTIF($E$2:E4159,"Outlook"),"")</f>
        <v/>
      </c>
      <c r="K4159">
        <f>IF(E4159="Domain",COUNTIF($E$2:E4159,"Domain"),"")</f>
        <v/>
      </c>
    </row>
    <row r="4160">
      <c r="A4160" s="2" t="n"/>
      <c r="B4160">
        <f>LOWER(TRIM(A4160))</f>
        <v/>
      </c>
      <c r="C4160">
        <f>IF(B4160="","",IFERROR(INDEX('Bad Patterns'!$A$2:$A$120,MATCH(1,INDEX(--ISNUMBER(SEARCH('Bad Patterns'!$A$2:$A$120,B4160)),0),0)),""))</f>
        <v/>
      </c>
      <c r="D4160">
        <f>IF(B4160="","",IF(C4160&lt;&gt;"","REMOVE","KEEP"))</f>
        <v/>
      </c>
      <c r="E4160">
        <f>IF(D4160&lt;&gt;"KEEP","",IF(RIGHT(B4160,10)="@gmail.com","Gmail",IF(OR(RIGHT(B4160,12)="@outlook.com",RIGHT(B4160,12)="@hotmail.com",RIGHT(B4160,9)="@live.com"),"Outlook","Domain")))</f>
        <v/>
      </c>
      <c r="F4160">
        <f>IF(B4160="","",IFERROR(RIGHT(B4160,LEN(B4160)-FIND("@",B4160)),""))</f>
        <v/>
      </c>
      <c r="G4160">
        <f>IF(D4160="KEEP",COUNTIF($D$2:D4160,"KEEP"),"")</f>
        <v/>
      </c>
      <c r="H4160">
        <f>IF(D4160="REMOVE",COUNTIF($D$2:D4160,"REMOVE"),"")</f>
        <v/>
      </c>
      <c r="I4160">
        <f>IF(E4160="Gmail",COUNTIF($E$2:E4160,"Gmail"),"")</f>
        <v/>
      </c>
      <c r="J4160">
        <f>IF(E4160="Outlook",COUNTIF($E$2:E4160,"Outlook"),"")</f>
        <v/>
      </c>
      <c r="K4160">
        <f>IF(E4160="Domain",COUNTIF($E$2:E4160,"Domain"),"")</f>
        <v/>
      </c>
    </row>
    <row r="4161">
      <c r="A4161" s="2" t="n"/>
      <c r="B4161">
        <f>LOWER(TRIM(A4161))</f>
        <v/>
      </c>
      <c r="C4161">
        <f>IF(B4161="","",IFERROR(INDEX('Bad Patterns'!$A$2:$A$120,MATCH(1,INDEX(--ISNUMBER(SEARCH('Bad Patterns'!$A$2:$A$120,B4161)),0),0)),""))</f>
        <v/>
      </c>
      <c r="D4161">
        <f>IF(B4161="","",IF(C4161&lt;&gt;"","REMOVE","KEEP"))</f>
        <v/>
      </c>
      <c r="E4161">
        <f>IF(D4161&lt;&gt;"KEEP","",IF(RIGHT(B4161,10)="@gmail.com","Gmail",IF(OR(RIGHT(B4161,12)="@outlook.com",RIGHT(B4161,12)="@hotmail.com",RIGHT(B4161,9)="@live.com"),"Outlook","Domain")))</f>
        <v/>
      </c>
      <c r="F4161">
        <f>IF(B4161="","",IFERROR(RIGHT(B4161,LEN(B4161)-FIND("@",B4161)),""))</f>
        <v/>
      </c>
      <c r="G4161">
        <f>IF(D4161="KEEP",COUNTIF($D$2:D4161,"KEEP"),"")</f>
        <v/>
      </c>
      <c r="H4161">
        <f>IF(D4161="REMOVE",COUNTIF($D$2:D4161,"REMOVE"),"")</f>
        <v/>
      </c>
      <c r="I4161">
        <f>IF(E4161="Gmail",COUNTIF($E$2:E4161,"Gmail"),"")</f>
        <v/>
      </c>
      <c r="J4161">
        <f>IF(E4161="Outlook",COUNTIF($E$2:E4161,"Outlook"),"")</f>
        <v/>
      </c>
      <c r="K4161">
        <f>IF(E4161="Domain",COUNTIF($E$2:E4161,"Domain"),"")</f>
        <v/>
      </c>
    </row>
    <row r="4162">
      <c r="A4162" s="2" t="n"/>
      <c r="B4162">
        <f>LOWER(TRIM(A4162))</f>
        <v/>
      </c>
      <c r="C4162">
        <f>IF(B4162="","",IFERROR(INDEX('Bad Patterns'!$A$2:$A$120,MATCH(1,INDEX(--ISNUMBER(SEARCH('Bad Patterns'!$A$2:$A$120,B4162)),0),0)),""))</f>
        <v/>
      </c>
      <c r="D4162">
        <f>IF(B4162="","",IF(C4162&lt;&gt;"","REMOVE","KEEP"))</f>
        <v/>
      </c>
      <c r="E4162">
        <f>IF(D4162&lt;&gt;"KEEP","",IF(RIGHT(B4162,10)="@gmail.com","Gmail",IF(OR(RIGHT(B4162,12)="@outlook.com",RIGHT(B4162,12)="@hotmail.com",RIGHT(B4162,9)="@live.com"),"Outlook","Domain")))</f>
        <v/>
      </c>
      <c r="F4162">
        <f>IF(B4162="","",IFERROR(RIGHT(B4162,LEN(B4162)-FIND("@",B4162)),""))</f>
        <v/>
      </c>
      <c r="G4162">
        <f>IF(D4162="KEEP",COUNTIF($D$2:D4162,"KEEP"),"")</f>
        <v/>
      </c>
      <c r="H4162">
        <f>IF(D4162="REMOVE",COUNTIF($D$2:D4162,"REMOVE"),"")</f>
        <v/>
      </c>
      <c r="I4162">
        <f>IF(E4162="Gmail",COUNTIF($E$2:E4162,"Gmail"),"")</f>
        <v/>
      </c>
      <c r="J4162">
        <f>IF(E4162="Outlook",COUNTIF($E$2:E4162,"Outlook"),"")</f>
        <v/>
      </c>
      <c r="K4162">
        <f>IF(E4162="Domain",COUNTIF($E$2:E4162,"Domain"),"")</f>
        <v/>
      </c>
    </row>
    <row r="4163">
      <c r="A4163" s="2" t="n"/>
      <c r="B4163">
        <f>LOWER(TRIM(A4163))</f>
        <v/>
      </c>
      <c r="C4163">
        <f>IF(B4163="","",IFERROR(INDEX('Bad Patterns'!$A$2:$A$120,MATCH(1,INDEX(--ISNUMBER(SEARCH('Bad Patterns'!$A$2:$A$120,B4163)),0),0)),""))</f>
        <v/>
      </c>
      <c r="D4163">
        <f>IF(B4163="","",IF(C4163&lt;&gt;"","REMOVE","KEEP"))</f>
        <v/>
      </c>
      <c r="E4163">
        <f>IF(D4163&lt;&gt;"KEEP","",IF(RIGHT(B4163,10)="@gmail.com","Gmail",IF(OR(RIGHT(B4163,12)="@outlook.com",RIGHT(B4163,12)="@hotmail.com",RIGHT(B4163,9)="@live.com"),"Outlook","Domain")))</f>
        <v/>
      </c>
      <c r="F4163">
        <f>IF(B4163="","",IFERROR(RIGHT(B4163,LEN(B4163)-FIND("@",B4163)),""))</f>
        <v/>
      </c>
      <c r="G4163">
        <f>IF(D4163="KEEP",COUNTIF($D$2:D4163,"KEEP"),"")</f>
        <v/>
      </c>
      <c r="H4163">
        <f>IF(D4163="REMOVE",COUNTIF($D$2:D4163,"REMOVE"),"")</f>
        <v/>
      </c>
      <c r="I4163">
        <f>IF(E4163="Gmail",COUNTIF($E$2:E4163,"Gmail"),"")</f>
        <v/>
      </c>
      <c r="J4163">
        <f>IF(E4163="Outlook",COUNTIF($E$2:E4163,"Outlook"),"")</f>
        <v/>
      </c>
      <c r="K4163">
        <f>IF(E4163="Domain",COUNTIF($E$2:E4163,"Domain"),"")</f>
        <v/>
      </c>
    </row>
    <row r="4164">
      <c r="A4164" s="2" t="n"/>
      <c r="B4164">
        <f>LOWER(TRIM(A4164))</f>
        <v/>
      </c>
      <c r="C4164">
        <f>IF(B4164="","",IFERROR(INDEX('Bad Patterns'!$A$2:$A$120,MATCH(1,INDEX(--ISNUMBER(SEARCH('Bad Patterns'!$A$2:$A$120,B4164)),0),0)),""))</f>
        <v/>
      </c>
      <c r="D4164">
        <f>IF(B4164="","",IF(C4164&lt;&gt;"","REMOVE","KEEP"))</f>
        <v/>
      </c>
      <c r="E4164">
        <f>IF(D4164&lt;&gt;"KEEP","",IF(RIGHT(B4164,10)="@gmail.com","Gmail",IF(OR(RIGHT(B4164,12)="@outlook.com",RIGHT(B4164,12)="@hotmail.com",RIGHT(B4164,9)="@live.com"),"Outlook","Domain")))</f>
        <v/>
      </c>
      <c r="F4164">
        <f>IF(B4164="","",IFERROR(RIGHT(B4164,LEN(B4164)-FIND("@",B4164)),""))</f>
        <v/>
      </c>
      <c r="G4164">
        <f>IF(D4164="KEEP",COUNTIF($D$2:D4164,"KEEP"),"")</f>
        <v/>
      </c>
      <c r="H4164">
        <f>IF(D4164="REMOVE",COUNTIF($D$2:D4164,"REMOVE"),"")</f>
        <v/>
      </c>
      <c r="I4164">
        <f>IF(E4164="Gmail",COUNTIF($E$2:E4164,"Gmail"),"")</f>
        <v/>
      </c>
      <c r="J4164">
        <f>IF(E4164="Outlook",COUNTIF($E$2:E4164,"Outlook"),"")</f>
        <v/>
      </c>
      <c r="K4164">
        <f>IF(E4164="Domain",COUNTIF($E$2:E4164,"Domain"),"")</f>
        <v/>
      </c>
    </row>
    <row r="4165">
      <c r="A4165" s="2" t="n"/>
      <c r="B4165">
        <f>LOWER(TRIM(A4165))</f>
        <v/>
      </c>
      <c r="C4165">
        <f>IF(B4165="","",IFERROR(INDEX('Bad Patterns'!$A$2:$A$120,MATCH(1,INDEX(--ISNUMBER(SEARCH('Bad Patterns'!$A$2:$A$120,B4165)),0),0)),""))</f>
        <v/>
      </c>
      <c r="D4165">
        <f>IF(B4165="","",IF(C4165&lt;&gt;"","REMOVE","KEEP"))</f>
        <v/>
      </c>
      <c r="E4165">
        <f>IF(D4165&lt;&gt;"KEEP","",IF(RIGHT(B4165,10)="@gmail.com","Gmail",IF(OR(RIGHT(B4165,12)="@outlook.com",RIGHT(B4165,12)="@hotmail.com",RIGHT(B4165,9)="@live.com"),"Outlook","Domain")))</f>
        <v/>
      </c>
      <c r="F4165">
        <f>IF(B4165="","",IFERROR(RIGHT(B4165,LEN(B4165)-FIND("@",B4165)),""))</f>
        <v/>
      </c>
      <c r="G4165">
        <f>IF(D4165="KEEP",COUNTIF($D$2:D4165,"KEEP"),"")</f>
        <v/>
      </c>
      <c r="H4165">
        <f>IF(D4165="REMOVE",COUNTIF($D$2:D4165,"REMOVE"),"")</f>
        <v/>
      </c>
      <c r="I4165">
        <f>IF(E4165="Gmail",COUNTIF($E$2:E4165,"Gmail"),"")</f>
        <v/>
      </c>
      <c r="J4165">
        <f>IF(E4165="Outlook",COUNTIF($E$2:E4165,"Outlook"),"")</f>
        <v/>
      </c>
      <c r="K4165">
        <f>IF(E4165="Domain",COUNTIF($E$2:E4165,"Domain"),"")</f>
        <v/>
      </c>
    </row>
    <row r="4166">
      <c r="A4166" s="2" t="n"/>
      <c r="B4166">
        <f>LOWER(TRIM(A4166))</f>
        <v/>
      </c>
      <c r="C4166">
        <f>IF(B4166="","",IFERROR(INDEX('Bad Patterns'!$A$2:$A$120,MATCH(1,INDEX(--ISNUMBER(SEARCH('Bad Patterns'!$A$2:$A$120,B4166)),0),0)),""))</f>
        <v/>
      </c>
      <c r="D4166">
        <f>IF(B4166="","",IF(C4166&lt;&gt;"","REMOVE","KEEP"))</f>
        <v/>
      </c>
      <c r="E4166">
        <f>IF(D4166&lt;&gt;"KEEP","",IF(RIGHT(B4166,10)="@gmail.com","Gmail",IF(OR(RIGHT(B4166,12)="@outlook.com",RIGHT(B4166,12)="@hotmail.com",RIGHT(B4166,9)="@live.com"),"Outlook","Domain")))</f>
        <v/>
      </c>
      <c r="F4166">
        <f>IF(B4166="","",IFERROR(RIGHT(B4166,LEN(B4166)-FIND("@",B4166)),""))</f>
        <v/>
      </c>
      <c r="G4166">
        <f>IF(D4166="KEEP",COUNTIF($D$2:D4166,"KEEP"),"")</f>
        <v/>
      </c>
      <c r="H4166">
        <f>IF(D4166="REMOVE",COUNTIF($D$2:D4166,"REMOVE"),"")</f>
        <v/>
      </c>
      <c r="I4166">
        <f>IF(E4166="Gmail",COUNTIF($E$2:E4166,"Gmail"),"")</f>
        <v/>
      </c>
      <c r="J4166">
        <f>IF(E4166="Outlook",COUNTIF($E$2:E4166,"Outlook"),"")</f>
        <v/>
      </c>
      <c r="K4166">
        <f>IF(E4166="Domain",COUNTIF($E$2:E4166,"Domain"),"")</f>
        <v/>
      </c>
    </row>
    <row r="4167">
      <c r="A4167" s="2" t="n"/>
      <c r="B4167">
        <f>LOWER(TRIM(A4167))</f>
        <v/>
      </c>
      <c r="C4167">
        <f>IF(B4167="","",IFERROR(INDEX('Bad Patterns'!$A$2:$A$120,MATCH(1,INDEX(--ISNUMBER(SEARCH('Bad Patterns'!$A$2:$A$120,B4167)),0),0)),""))</f>
        <v/>
      </c>
      <c r="D4167">
        <f>IF(B4167="","",IF(C4167&lt;&gt;"","REMOVE","KEEP"))</f>
        <v/>
      </c>
      <c r="E4167">
        <f>IF(D4167&lt;&gt;"KEEP","",IF(RIGHT(B4167,10)="@gmail.com","Gmail",IF(OR(RIGHT(B4167,12)="@outlook.com",RIGHT(B4167,12)="@hotmail.com",RIGHT(B4167,9)="@live.com"),"Outlook","Domain")))</f>
        <v/>
      </c>
      <c r="F4167">
        <f>IF(B4167="","",IFERROR(RIGHT(B4167,LEN(B4167)-FIND("@",B4167)),""))</f>
        <v/>
      </c>
      <c r="G4167">
        <f>IF(D4167="KEEP",COUNTIF($D$2:D4167,"KEEP"),"")</f>
        <v/>
      </c>
      <c r="H4167">
        <f>IF(D4167="REMOVE",COUNTIF($D$2:D4167,"REMOVE"),"")</f>
        <v/>
      </c>
      <c r="I4167">
        <f>IF(E4167="Gmail",COUNTIF($E$2:E4167,"Gmail"),"")</f>
        <v/>
      </c>
      <c r="J4167">
        <f>IF(E4167="Outlook",COUNTIF($E$2:E4167,"Outlook"),"")</f>
        <v/>
      </c>
      <c r="K4167">
        <f>IF(E4167="Domain",COUNTIF($E$2:E4167,"Domain"),"")</f>
        <v/>
      </c>
    </row>
    <row r="4168">
      <c r="A4168" s="2" t="n"/>
      <c r="B4168">
        <f>LOWER(TRIM(A4168))</f>
        <v/>
      </c>
      <c r="C4168">
        <f>IF(B4168="","",IFERROR(INDEX('Bad Patterns'!$A$2:$A$120,MATCH(1,INDEX(--ISNUMBER(SEARCH('Bad Patterns'!$A$2:$A$120,B4168)),0),0)),""))</f>
        <v/>
      </c>
      <c r="D4168">
        <f>IF(B4168="","",IF(C4168&lt;&gt;"","REMOVE","KEEP"))</f>
        <v/>
      </c>
      <c r="E4168">
        <f>IF(D4168&lt;&gt;"KEEP","",IF(RIGHT(B4168,10)="@gmail.com","Gmail",IF(OR(RIGHT(B4168,12)="@outlook.com",RIGHT(B4168,12)="@hotmail.com",RIGHT(B4168,9)="@live.com"),"Outlook","Domain")))</f>
        <v/>
      </c>
      <c r="F4168">
        <f>IF(B4168="","",IFERROR(RIGHT(B4168,LEN(B4168)-FIND("@",B4168)),""))</f>
        <v/>
      </c>
      <c r="G4168">
        <f>IF(D4168="KEEP",COUNTIF($D$2:D4168,"KEEP"),"")</f>
        <v/>
      </c>
      <c r="H4168">
        <f>IF(D4168="REMOVE",COUNTIF($D$2:D4168,"REMOVE"),"")</f>
        <v/>
      </c>
      <c r="I4168">
        <f>IF(E4168="Gmail",COUNTIF($E$2:E4168,"Gmail"),"")</f>
        <v/>
      </c>
      <c r="J4168">
        <f>IF(E4168="Outlook",COUNTIF($E$2:E4168,"Outlook"),"")</f>
        <v/>
      </c>
      <c r="K4168">
        <f>IF(E4168="Domain",COUNTIF($E$2:E4168,"Domain"),"")</f>
        <v/>
      </c>
    </row>
    <row r="4169">
      <c r="A4169" s="2" t="n"/>
      <c r="B4169">
        <f>LOWER(TRIM(A4169))</f>
        <v/>
      </c>
      <c r="C4169">
        <f>IF(B4169="","",IFERROR(INDEX('Bad Patterns'!$A$2:$A$120,MATCH(1,INDEX(--ISNUMBER(SEARCH('Bad Patterns'!$A$2:$A$120,B4169)),0),0)),""))</f>
        <v/>
      </c>
      <c r="D4169">
        <f>IF(B4169="","",IF(C4169&lt;&gt;"","REMOVE","KEEP"))</f>
        <v/>
      </c>
      <c r="E4169">
        <f>IF(D4169&lt;&gt;"KEEP","",IF(RIGHT(B4169,10)="@gmail.com","Gmail",IF(OR(RIGHT(B4169,12)="@outlook.com",RIGHT(B4169,12)="@hotmail.com",RIGHT(B4169,9)="@live.com"),"Outlook","Domain")))</f>
        <v/>
      </c>
      <c r="F4169">
        <f>IF(B4169="","",IFERROR(RIGHT(B4169,LEN(B4169)-FIND("@",B4169)),""))</f>
        <v/>
      </c>
      <c r="G4169">
        <f>IF(D4169="KEEP",COUNTIF($D$2:D4169,"KEEP"),"")</f>
        <v/>
      </c>
      <c r="H4169">
        <f>IF(D4169="REMOVE",COUNTIF($D$2:D4169,"REMOVE"),"")</f>
        <v/>
      </c>
      <c r="I4169">
        <f>IF(E4169="Gmail",COUNTIF($E$2:E4169,"Gmail"),"")</f>
        <v/>
      </c>
      <c r="J4169">
        <f>IF(E4169="Outlook",COUNTIF($E$2:E4169,"Outlook"),"")</f>
        <v/>
      </c>
      <c r="K4169">
        <f>IF(E4169="Domain",COUNTIF($E$2:E4169,"Domain"),"")</f>
        <v/>
      </c>
    </row>
    <row r="4170">
      <c r="A4170" s="2" t="n"/>
      <c r="B4170">
        <f>LOWER(TRIM(A4170))</f>
        <v/>
      </c>
      <c r="C4170">
        <f>IF(B4170="","",IFERROR(INDEX('Bad Patterns'!$A$2:$A$120,MATCH(1,INDEX(--ISNUMBER(SEARCH('Bad Patterns'!$A$2:$A$120,B4170)),0),0)),""))</f>
        <v/>
      </c>
      <c r="D4170">
        <f>IF(B4170="","",IF(C4170&lt;&gt;"","REMOVE","KEEP"))</f>
        <v/>
      </c>
      <c r="E4170">
        <f>IF(D4170&lt;&gt;"KEEP","",IF(RIGHT(B4170,10)="@gmail.com","Gmail",IF(OR(RIGHT(B4170,12)="@outlook.com",RIGHT(B4170,12)="@hotmail.com",RIGHT(B4170,9)="@live.com"),"Outlook","Domain")))</f>
        <v/>
      </c>
      <c r="F4170">
        <f>IF(B4170="","",IFERROR(RIGHT(B4170,LEN(B4170)-FIND("@",B4170)),""))</f>
        <v/>
      </c>
      <c r="G4170">
        <f>IF(D4170="KEEP",COUNTIF($D$2:D4170,"KEEP"),"")</f>
        <v/>
      </c>
      <c r="H4170">
        <f>IF(D4170="REMOVE",COUNTIF($D$2:D4170,"REMOVE"),"")</f>
        <v/>
      </c>
      <c r="I4170">
        <f>IF(E4170="Gmail",COUNTIF($E$2:E4170,"Gmail"),"")</f>
        <v/>
      </c>
      <c r="J4170">
        <f>IF(E4170="Outlook",COUNTIF($E$2:E4170,"Outlook"),"")</f>
        <v/>
      </c>
      <c r="K4170">
        <f>IF(E4170="Domain",COUNTIF($E$2:E4170,"Domain"),"")</f>
        <v/>
      </c>
    </row>
    <row r="4171">
      <c r="A4171" s="2" t="n"/>
      <c r="B4171">
        <f>LOWER(TRIM(A4171))</f>
        <v/>
      </c>
      <c r="C4171">
        <f>IF(B4171="","",IFERROR(INDEX('Bad Patterns'!$A$2:$A$120,MATCH(1,INDEX(--ISNUMBER(SEARCH('Bad Patterns'!$A$2:$A$120,B4171)),0),0)),""))</f>
        <v/>
      </c>
      <c r="D4171">
        <f>IF(B4171="","",IF(C4171&lt;&gt;"","REMOVE","KEEP"))</f>
        <v/>
      </c>
      <c r="E4171">
        <f>IF(D4171&lt;&gt;"KEEP","",IF(RIGHT(B4171,10)="@gmail.com","Gmail",IF(OR(RIGHT(B4171,12)="@outlook.com",RIGHT(B4171,12)="@hotmail.com",RIGHT(B4171,9)="@live.com"),"Outlook","Domain")))</f>
        <v/>
      </c>
      <c r="F4171">
        <f>IF(B4171="","",IFERROR(RIGHT(B4171,LEN(B4171)-FIND("@",B4171)),""))</f>
        <v/>
      </c>
      <c r="G4171">
        <f>IF(D4171="KEEP",COUNTIF($D$2:D4171,"KEEP"),"")</f>
        <v/>
      </c>
      <c r="H4171">
        <f>IF(D4171="REMOVE",COUNTIF($D$2:D4171,"REMOVE"),"")</f>
        <v/>
      </c>
      <c r="I4171">
        <f>IF(E4171="Gmail",COUNTIF($E$2:E4171,"Gmail"),"")</f>
        <v/>
      </c>
      <c r="J4171">
        <f>IF(E4171="Outlook",COUNTIF($E$2:E4171,"Outlook"),"")</f>
        <v/>
      </c>
      <c r="K4171">
        <f>IF(E4171="Domain",COUNTIF($E$2:E4171,"Domain"),"")</f>
        <v/>
      </c>
    </row>
    <row r="4172">
      <c r="A4172" s="2" t="n"/>
      <c r="B4172">
        <f>LOWER(TRIM(A4172))</f>
        <v/>
      </c>
      <c r="C4172">
        <f>IF(B4172="","",IFERROR(INDEX('Bad Patterns'!$A$2:$A$120,MATCH(1,INDEX(--ISNUMBER(SEARCH('Bad Patterns'!$A$2:$A$120,B4172)),0),0)),""))</f>
        <v/>
      </c>
      <c r="D4172">
        <f>IF(B4172="","",IF(C4172&lt;&gt;"","REMOVE","KEEP"))</f>
        <v/>
      </c>
      <c r="E4172">
        <f>IF(D4172&lt;&gt;"KEEP","",IF(RIGHT(B4172,10)="@gmail.com","Gmail",IF(OR(RIGHT(B4172,12)="@outlook.com",RIGHT(B4172,12)="@hotmail.com",RIGHT(B4172,9)="@live.com"),"Outlook","Domain")))</f>
        <v/>
      </c>
      <c r="F4172">
        <f>IF(B4172="","",IFERROR(RIGHT(B4172,LEN(B4172)-FIND("@",B4172)),""))</f>
        <v/>
      </c>
      <c r="G4172">
        <f>IF(D4172="KEEP",COUNTIF($D$2:D4172,"KEEP"),"")</f>
        <v/>
      </c>
      <c r="H4172">
        <f>IF(D4172="REMOVE",COUNTIF($D$2:D4172,"REMOVE"),"")</f>
        <v/>
      </c>
      <c r="I4172">
        <f>IF(E4172="Gmail",COUNTIF($E$2:E4172,"Gmail"),"")</f>
        <v/>
      </c>
      <c r="J4172">
        <f>IF(E4172="Outlook",COUNTIF($E$2:E4172,"Outlook"),"")</f>
        <v/>
      </c>
      <c r="K4172">
        <f>IF(E4172="Domain",COUNTIF($E$2:E4172,"Domain"),"")</f>
        <v/>
      </c>
    </row>
    <row r="4173">
      <c r="A4173" s="2" t="n"/>
      <c r="B4173">
        <f>LOWER(TRIM(A4173))</f>
        <v/>
      </c>
      <c r="C4173">
        <f>IF(B4173="","",IFERROR(INDEX('Bad Patterns'!$A$2:$A$120,MATCH(1,INDEX(--ISNUMBER(SEARCH('Bad Patterns'!$A$2:$A$120,B4173)),0),0)),""))</f>
        <v/>
      </c>
      <c r="D4173">
        <f>IF(B4173="","",IF(C4173&lt;&gt;"","REMOVE","KEEP"))</f>
        <v/>
      </c>
      <c r="E4173">
        <f>IF(D4173&lt;&gt;"KEEP","",IF(RIGHT(B4173,10)="@gmail.com","Gmail",IF(OR(RIGHT(B4173,12)="@outlook.com",RIGHT(B4173,12)="@hotmail.com",RIGHT(B4173,9)="@live.com"),"Outlook","Domain")))</f>
        <v/>
      </c>
      <c r="F4173">
        <f>IF(B4173="","",IFERROR(RIGHT(B4173,LEN(B4173)-FIND("@",B4173)),""))</f>
        <v/>
      </c>
      <c r="G4173">
        <f>IF(D4173="KEEP",COUNTIF($D$2:D4173,"KEEP"),"")</f>
        <v/>
      </c>
      <c r="H4173">
        <f>IF(D4173="REMOVE",COUNTIF($D$2:D4173,"REMOVE"),"")</f>
        <v/>
      </c>
      <c r="I4173">
        <f>IF(E4173="Gmail",COUNTIF($E$2:E4173,"Gmail"),"")</f>
        <v/>
      </c>
      <c r="J4173">
        <f>IF(E4173="Outlook",COUNTIF($E$2:E4173,"Outlook"),"")</f>
        <v/>
      </c>
      <c r="K4173">
        <f>IF(E4173="Domain",COUNTIF($E$2:E4173,"Domain"),"")</f>
        <v/>
      </c>
    </row>
    <row r="4174">
      <c r="A4174" s="2" t="n"/>
      <c r="B4174">
        <f>LOWER(TRIM(A4174))</f>
        <v/>
      </c>
      <c r="C4174">
        <f>IF(B4174="","",IFERROR(INDEX('Bad Patterns'!$A$2:$A$120,MATCH(1,INDEX(--ISNUMBER(SEARCH('Bad Patterns'!$A$2:$A$120,B4174)),0),0)),""))</f>
        <v/>
      </c>
      <c r="D4174">
        <f>IF(B4174="","",IF(C4174&lt;&gt;"","REMOVE","KEEP"))</f>
        <v/>
      </c>
      <c r="E4174">
        <f>IF(D4174&lt;&gt;"KEEP","",IF(RIGHT(B4174,10)="@gmail.com","Gmail",IF(OR(RIGHT(B4174,12)="@outlook.com",RIGHT(B4174,12)="@hotmail.com",RIGHT(B4174,9)="@live.com"),"Outlook","Domain")))</f>
        <v/>
      </c>
      <c r="F4174">
        <f>IF(B4174="","",IFERROR(RIGHT(B4174,LEN(B4174)-FIND("@",B4174)),""))</f>
        <v/>
      </c>
      <c r="G4174">
        <f>IF(D4174="KEEP",COUNTIF($D$2:D4174,"KEEP"),"")</f>
        <v/>
      </c>
      <c r="H4174">
        <f>IF(D4174="REMOVE",COUNTIF($D$2:D4174,"REMOVE"),"")</f>
        <v/>
      </c>
      <c r="I4174">
        <f>IF(E4174="Gmail",COUNTIF($E$2:E4174,"Gmail"),"")</f>
        <v/>
      </c>
      <c r="J4174">
        <f>IF(E4174="Outlook",COUNTIF($E$2:E4174,"Outlook"),"")</f>
        <v/>
      </c>
      <c r="K4174">
        <f>IF(E4174="Domain",COUNTIF($E$2:E4174,"Domain"),"")</f>
        <v/>
      </c>
    </row>
    <row r="4175">
      <c r="A4175" s="2" t="n"/>
      <c r="B4175">
        <f>LOWER(TRIM(A4175))</f>
        <v/>
      </c>
      <c r="C4175">
        <f>IF(B4175="","",IFERROR(INDEX('Bad Patterns'!$A$2:$A$120,MATCH(1,INDEX(--ISNUMBER(SEARCH('Bad Patterns'!$A$2:$A$120,B4175)),0),0)),""))</f>
        <v/>
      </c>
      <c r="D4175">
        <f>IF(B4175="","",IF(C4175&lt;&gt;"","REMOVE","KEEP"))</f>
        <v/>
      </c>
      <c r="E4175">
        <f>IF(D4175&lt;&gt;"KEEP","",IF(RIGHT(B4175,10)="@gmail.com","Gmail",IF(OR(RIGHT(B4175,12)="@outlook.com",RIGHT(B4175,12)="@hotmail.com",RIGHT(B4175,9)="@live.com"),"Outlook","Domain")))</f>
        <v/>
      </c>
      <c r="F4175">
        <f>IF(B4175="","",IFERROR(RIGHT(B4175,LEN(B4175)-FIND("@",B4175)),""))</f>
        <v/>
      </c>
      <c r="G4175">
        <f>IF(D4175="KEEP",COUNTIF($D$2:D4175,"KEEP"),"")</f>
        <v/>
      </c>
      <c r="H4175">
        <f>IF(D4175="REMOVE",COUNTIF($D$2:D4175,"REMOVE"),"")</f>
        <v/>
      </c>
      <c r="I4175">
        <f>IF(E4175="Gmail",COUNTIF($E$2:E4175,"Gmail"),"")</f>
        <v/>
      </c>
      <c r="J4175">
        <f>IF(E4175="Outlook",COUNTIF($E$2:E4175,"Outlook"),"")</f>
        <v/>
      </c>
      <c r="K4175">
        <f>IF(E4175="Domain",COUNTIF($E$2:E4175,"Domain"),"")</f>
        <v/>
      </c>
    </row>
    <row r="4176">
      <c r="A4176" s="2" t="n"/>
      <c r="B4176">
        <f>LOWER(TRIM(A4176))</f>
        <v/>
      </c>
      <c r="C4176">
        <f>IF(B4176="","",IFERROR(INDEX('Bad Patterns'!$A$2:$A$120,MATCH(1,INDEX(--ISNUMBER(SEARCH('Bad Patterns'!$A$2:$A$120,B4176)),0),0)),""))</f>
        <v/>
      </c>
      <c r="D4176">
        <f>IF(B4176="","",IF(C4176&lt;&gt;"","REMOVE","KEEP"))</f>
        <v/>
      </c>
      <c r="E4176">
        <f>IF(D4176&lt;&gt;"KEEP","",IF(RIGHT(B4176,10)="@gmail.com","Gmail",IF(OR(RIGHT(B4176,12)="@outlook.com",RIGHT(B4176,12)="@hotmail.com",RIGHT(B4176,9)="@live.com"),"Outlook","Domain")))</f>
        <v/>
      </c>
      <c r="F4176">
        <f>IF(B4176="","",IFERROR(RIGHT(B4176,LEN(B4176)-FIND("@",B4176)),""))</f>
        <v/>
      </c>
      <c r="G4176">
        <f>IF(D4176="KEEP",COUNTIF($D$2:D4176,"KEEP"),"")</f>
        <v/>
      </c>
      <c r="H4176">
        <f>IF(D4176="REMOVE",COUNTIF($D$2:D4176,"REMOVE"),"")</f>
        <v/>
      </c>
      <c r="I4176">
        <f>IF(E4176="Gmail",COUNTIF($E$2:E4176,"Gmail"),"")</f>
        <v/>
      </c>
      <c r="J4176">
        <f>IF(E4176="Outlook",COUNTIF($E$2:E4176,"Outlook"),"")</f>
        <v/>
      </c>
      <c r="K4176">
        <f>IF(E4176="Domain",COUNTIF($E$2:E4176,"Domain"),"")</f>
        <v/>
      </c>
    </row>
    <row r="4177">
      <c r="A4177" s="2" t="n"/>
      <c r="B4177">
        <f>LOWER(TRIM(A4177))</f>
        <v/>
      </c>
      <c r="C4177">
        <f>IF(B4177="","",IFERROR(INDEX('Bad Patterns'!$A$2:$A$120,MATCH(1,INDEX(--ISNUMBER(SEARCH('Bad Patterns'!$A$2:$A$120,B4177)),0),0)),""))</f>
        <v/>
      </c>
      <c r="D4177">
        <f>IF(B4177="","",IF(C4177&lt;&gt;"","REMOVE","KEEP"))</f>
        <v/>
      </c>
      <c r="E4177">
        <f>IF(D4177&lt;&gt;"KEEP","",IF(RIGHT(B4177,10)="@gmail.com","Gmail",IF(OR(RIGHT(B4177,12)="@outlook.com",RIGHT(B4177,12)="@hotmail.com",RIGHT(B4177,9)="@live.com"),"Outlook","Domain")))</f>
        <v/>
      </c>
      <c r="F4177">
        <f>IF(B4177="","",IFERROR(RIGHT(B4177,LEN(B4177)-FIND("@",B4177)),""))</f>
        <v/>
      </c>
      <c r="G4177">
        <f>IF(D4177="KEEP",COUNTIF($D$2:D4177,"KEEP"),"")</f>
        <v/>
      </c>
      <c r="H4177">
        <f>IF(D4177="REMOVE",COUNTIF($D$2:D4177,"REMOVE"),"")</f>
        <v/>
      </c>
      <c r="I4177">
        <f>IF(E4177="Gmail",COUNTIF($E$2:E4177,"Gmail"),"")</f>
        <v/>
      </c>
      <c r="J4177">
        <f>IF(E4177="Outlook",COUNTIF($E$2:E4177,"Outlook"),"")</f>
        <v/>
      </c>
      <c r="K4177">
        <f>IF(E4177="Domain",COUNTIF($E$2:E4177,"Domain"),"")</f>
        <v/>
      </c>
    </row>
    <row r="4178">
      <c r="A4178" s="2" t="n"/>
      <c r="B4178">
        <f>LOWER(TRIM(A4178))</f>
        <v/>
      </c>
      <c r="C4178">
        <f>IF(B4178="","",IFERROR(INDEX('Bad Patterns'!$A$2:$A$120,MATCH(1,INDEX(--ISNUMBER(SEARCH('Bad Patterns'!$A$2:$A$120,B4178)),0),0)),""))</f>
        <v/>
      </c>
      <c r="D4178">
        <f>IF(B4178="","",IF(C4178&lt;&gt;"","REMOVE","KEEP"))</f>
        <v/>
      </c>
      <c r="E4178">
        <f>IF(D4178&lt;&gt;"KEEP","",IF(RIGHT(B4178,10)="@gmail.com","Gmail",IF(OR(RIGHT(B4178,12)="@outlook.com",RIGHT(B4178,12)="@hotmail.com",RIGHT(B4178,9)="@live.com"),"Outlook","Domain")))</f>
        <v/>
      </c>
      <c r="F4178">
        <f>IF(B4178="","",IFERROR(RIGHT(B4178,LEN(B4178)-FIND("@",B4178)),""))</f>
        <v/>
      </c>
      <c r="G4178">
        <f>IF(D4178="KEEP",COUNTIF($D$2:D4178,"KEEP"),"")</f>
        <v/>
      </c>
      <c r="H4178">
        <f>IF(D4178="REMOVE",COUNTIF($D$2:D4178,"REMOVE"),"")</f>
        <v/>
      </c>
      <c r="I4178">
        <f>IF(E4178="Gmail",COUNTIF($E$2:E4178,"Gmail"),"")</f>
        <v/>
      </c>
      <c r="J4178">
        <f>IF(E4178="Outlook",COUNTIF($E$2:E4178,"Outlook"),"")</f>
        <v/>
      </c>
      <c r="K4178">
        <f>IF(E4178="Domain",COUNTIF($E$2:E4178,"Domain"),"")</f>
        <v/>
      </c>
    </row>
    <row r="4179">
      <c r="A4179" s="2" t="n"/>
      <c r="B4179">
        <f>LOWER(TRIM(A4179))</f>
        <v/>
      </c>
      <c r="C4179">
        <f>IF(B4179="","",IFERROR(INDEX('Bad Patterns'!$A$2:$A$120,MATCH(1,INDEX(--ISNUMBER(SEARCH('Bad Patterns'!$A$2:$A$120,B4179)),0),0)),""))</f>
        <v/>
      </c>
      <c r="D4179">
        <f>IF(B4179="","",IF(C4179&lt;&gt;"","REMOVE","KEEP"))</f>
        <v/>
      </c>
      <c r="E4179">
        <f>IF(D4179&lt;&gt;"KEEP","",IF(RIGHT(B4179,10)="@gmail.com","Gmail",IF(OR(RIGHT(B4179,12)="@outlook.com",RIGHT(B4179,12)="@hotmail.com",RIGHT(B4179,9)="@live.com"),"Outlook","Domain")))</f>
        <v/>
      </c>
      <c r="F4179">
        <f>IF(B4179="","",IFERROR(RIGHT(B4179,LEN(B4179)-FIND("@",B4179)),""))</f>
        <v/>
      </c>
      <c r="G4179">
        <f>IF(D4179="KEEP",COUNTIF($D$2:D4179,"KEEP"),"")</f>
        <v/>
      </c>
      <c r="H4179">
        <f>IF(D4179="REMOVE",COUNTIF($D$2:D4179,"REMOVE"),"")</f>
        <v/>
      </c>
      <c r="I4179">
        <f>IF(E4179="Gmail",COUNTIF($E$2:E4179,"Gmail"),"")</f>
        <v/>
      </c>
      <c r="J4179">
        <f>IF(E4179="Outlook",COUNTIF($E$2:E4179,"Outlook"),"")</f>
        <v/>
      </c>
      <c r="K4179">
        <f>IF(E4179="Domain",COUNTIF($E$2:E4179,"Domain"),"")</f>
        <v/>
      </c>
    </row>
    <row r="4180">
      <c r="A4180" s="2" t="n"/>
      <c r="B4180">
        <f>LOWER(TRIM(A4180))</f>
        <v/>
      </c>
      <c r="C4180">
        <f>IF(B4180="","",IFERROR(INDEX('Bad Patterns'!$A$2:$A$120,MATCH(1,INDEX(--ISNUMBER(SEARCH('Bad Patterns'!$A$2:$A$120,B4180)),0),0)),""))</f>
        <v/>
      </c>
      <c r="D4180">
        <f>IF(B4180="","",IF(C4180&lt;&gt;"","REMOVE","KEEP"))</f>
        <v/>
      </c>
      <c r="E4180">
        <f>IF(D4180&lt;&gt;"KEEP","",IF(RIGHT(B4180,10)="@gmail.com","Gmail",IF(OR(RIGHT(B4180,12)="@outlook.com",RIGHT(B4180,12)="@hotmail.com",RIGHT(B4180,9)="@live.com"),"Outlook","Domain")))</f>
        <v/>
      </c>
      <c r="F4180">
        <f>IF(B4180="","",IFERROR(RIGHT(B4180,LEN(B4180)-FIND("@",B4180)),""))</f>
        <v/>
      </c>
      <c r="G4180">
        <f>IF(D4180="KEEP",COUNTIF($D$2:D4180,"KEEP"),"")</f>
        <v/>
      </c>
      <c r="H4180">
        <f>IF(D4180="REMOVE",COUNTIF($D$2:D4180,"REMOVE"),"")</f>
        <v/>
      </c>
      <c r="I4180">
        <f>IF(E4180="Gmail",COUNTIF($E$2:E4180,"Gmail"),"")</f>
        <v/>
      </c>
      <c r="J4180">
        <f>IF(E4180="Outlook",COUNTIF($E$2:E4180,"Outlook"),"")</f>
        <v/>
      </c>
      <c r="K4180">
        <f>IF(E4180="Domain",COUNTIF($E$2:E4180,"Domain"),"")</f>
        <v/>
      </c>
    </row>
    <row r="4181">
      <c r="A4181" s="2" t="n"/>
      <c r="B4181">
        <f>LOWER(TRIM(A4181))</f>
        <v/>
      </c>
      <c r="C4181">
        <f>IF(B4181="","",IFERROR(INDEX('Bad Patterns'!$A$2:$A$120,MATCH(1,INDEX(--ISNUMBER(SEARCH('Bad Patterns'!$A$2:$A$120,B4181)),0),0)),""))</f>
        <v/>
      </c>
      <c r="D4181">
        <f>IF(B4181="","",IF(C4181&lt;&gt;"","REMOVE","KEEP"))</f>
        <v/>
      </c>
      <c r="E4181">
        <f>IF(D4181&lt;&gt;"KEEP","",IF(RIGHT(B4181,10)="@gmail.com","Gmail",IF(OR(RIGHT(B4181,12)="@outlook.com",RIGHT(B4181,12)="@hotmail.com",RIGHT(B4181,9)="@live.com"),"Outlook","Domain")))</f>
        <v/>
      </c>
      <c r="F4181">
        <f>IF(B4181="","",IFERROR(RIGHT(B4181,LEN(B4181)-FIND("@",B4181)),""))</f>
        <v/>
      </c>
      <c r="G4181">
        <f>IF(D4181="KEEP",COUNTIF($D$2:D4181,"KEEP"),"")</f>
        <v/>
      </c>
      <c r="H4181">
        <f>IF(D4181="REMOVE",COUNTIF($D$2:D4181,"REMOVE"),"")</f>
        <v/>
      </c>
      <c r="I4181">
        <f>IF(E4181="Gmail",COUNTIF($E$2:E4181,"Gmail"),"")</f>
        <v/>
      </c>
      <c r="J4181">
        <f>IF(E4181="Outlook",COUNTIF($E$2:E4181,"Outlook"),"")</f>
        <v/>
      </c>
      <c r="K4181">
        <f>IF(E4181="Domain",COUNTIF($E$2:E4181,"Domain"),"")</f>
        <v/>
      </c>
    </row>
    <row r="4182">
      <c r="A4182" s="2" t="n"/>
      <c r="B4182">
        <f>LOWER(TRIM(A4182))</f>
        <v/>
      </c>
      <c r="C4182">
        <f>IF(B4182="","",IFERROR(INDEX('Bad Patterns'!$A$2:$A$120,MATCH(1,INDEX(--ISNUMBER(SEARCH('Bad Patterns'!$A$2:$A$120,B4182)),0),0)),""))</f>
        <v/>
      </c>
      <c r="D4182">
        <f>IF(B4182="","",IF(C4182&lt;&gt;"","REMOVE","KEEP"))</f>
        <v/>
      </c>
      <c r="E4182">
        <f>IF(D4182&lt;&gt;"KEEP","",IF(RIGHT(B4182,10)="@gmail.com","Gmail",IF(OR(RIGHT(B4182,12)="@outlook.com",RIGHT(B4182,12)="@hotmail.com",RIGHT(B4182,9)="@live.com"),"Outlook","Domain")))</f>
        <v/>
      </c>
      <c r="F4182">
        <f>IF(B4182="","",IFERROR(RIGHT(B4182,LEN(B4182)-FIND("@",B4182)),""))</f>
        <v/>
      </c>
      <c r="G4182">
        <f>IF(D4182="KEEP",COUNTIF($D$2:D4182,"KEEP"),"")</f>
        <v/>
      </c>
      <c r="H4182">
        <f>IF(D4182="REMOVE",COUNTIF($D$2:D4182,"REMOVE"),"")</f>
        <v/>
      </c>
      <c r="I4182">
        <f>IF(E4182="Gmail",COUNTIF($E$2:E4182,"Gmail"),"")</f>
        <v/>
      </c>
      <c r="J4182">
        <f>IF(E4182="Outlook",COUNTIF($E$2:E4182,"Outlook"),"")</f>
        <v/>
      </c>
      <c r="K4182">
        <f>IF(E4182="Domain",COUNTIF($E$2:E4182,"Domain"),"")</f>
        <v/>
      </c>
    </row>
    <row r="4183">
      <c r="A4183" s="2" t="n"/>
      <c r="B4183">
        <f>LOWER(TRIM(A4183))</f>
        <v/>
      </c>
      <c r="C4183">
        <f>IF(B4183="","",IFERROR(INDEX('Bad Patterns'!$A$2:$A$120,MATCH(1,INDEX(--ISNUMBER(SEARCH('Bad Patterns'!$A$2:$A$120,B4183)),0),0)),""))</f>
        <v/>
      </c>
      <c r="D4183">
        <f>IF(B4183="","",IF(C4183&lt;&gt;"","REMOVE","KEEP"))</f>
        <v/>
      </c>
      <c r="E4183">
        <f>IF(D4183&lt;&gt;"KEEP","",IF(RIGHT(B4183,10)="@gmail.com","Gmail",IF(OR(RIGHT(B4183,12)="@outlook.com",RIGHT(B4183,12)="@hotmail.com",RIGHT(B4183,9)="@live.com"),"Outlook","Domain")))</f>
        <v/>
      </c>
      <c r="F4183">
        <f>IF(B4183="","",IFERROR(RIGHT(B4183,LEN(B4183)-FIND("@",B4183)),""))</f>
        <v/>
      </c>
      <c r="G4183">
        <f>IF(D4183="KEEP",COUNTIF($D$2:D4183,"KEEP"),"")</f>
        <v/>
      </c>
      <c r="H4183">
        <f>IF(D4183="REMOVE",COUNTIF($D$2:D4183,"REMOVE"),"")</f>
        <v/>
      </c>
      <c r="I4183">
        <f>IF(E4183="Gmail",COUNTIF($E$2:E4183,"Gmail"),"")</f>
        <v/>
      </c>
      <c r="J4183">
        <f>IF(E4183="Outlook",COUNTIF($E$2:E4183,"Outlook"),"")</f>
        <v/>
      </c>
      <c r="K4183">
        <f>IF(E4183="Domain",COUNTIF($E$2:E4183,"Domain"),"")</f>
        <v/>
      </c>
    </row>
    <row r="4184">
      <c r="A4184" s="2" t="n"/>
      <c r="B4184">
        <f>LOWER(TRIM(A4184))</f>
        <v/>
      </c>
      <c r="C4184">
        <f>IF(B4184="","",IFERROR(INDEX('Bad Patterns'!$A$2:$A$120,MATCH(1,INDEX(--ISNUMBER(SEARCH('Bad Patterns'!$A$2:$A$120,B4184)),0),0)),""))</f>
        <v/>
      </c>
      <c r="D4184">
        <f>IF(B4184="","",IF(C4184&lt;&gt;"","REMOVE","KEEP"))</f>
        <v/>
      </c>
      <c r="E4184">
        <f>IF(D4184&lt;&gt;"KEEP","",IF(RIGHT(B4184,10)="@gmail.com","Gmail",IF(OR(RIGHT(B4184,12)="@outlook.com",RIGHT(B4184,12)="@hotmail.com",RIGHT(B4184,9)="@live.com"),"Outlook","Domain")))</f>
        <v/>
      </c>
      <c r="F4184">
        <f>IF(B4184="","",IFERROR(RIGHT(B4184,LEN(B4184)-FIND("@",B4184)),""))</f>
        <v/>
      </c>
      <c r="G4184">
        <f>IF(D4184="KEEP",COUNTIF($D$2:D4184,"KEEP"),"")</f>
        <v/>
      </c>
      <c r="H4184">
        <f>IF(D4184="REMOVE",COUNTIF($D$2:D4184,"REMOVE"),"")</f>
        <v/>
      </c>
      <c r="I4184">
        <f>IF(E4184="Gmail",COUNTIF($E$2:E4184,"Gmail"),"")</f>
        <v/>
      </c>
      <c r="J4184">
        <f>IF(E4184="Outlook",COUNTIF($E$2:E4184,"Outlook"),"")</f>
        <v/>
      </c>
      <c r="K4184">
        <f>IF(E4184="Domain",COUNTIF($E$2:E4184,"Domain"),"")</f>
        <v/>
      </c>
    </row>
    <row r="4185">
      <c r="A4185" s="2" t="n"/>
      <c r="B4185">
        <f>LOWER(TRIM(A4185))</f>
        <v/>
      </c>
      <c r="C4185">
        <f>IF(B4185="","",IFERROR(INDEX('Bad Patterns'!$A$2:$A$120,MATCH(1,INDEX(--ISNUMBER(SEARCH('Bad Patterns'!$A$2:$A$120,B4185)),0),0)),""))</f>
        <v/>
      </c>
      <c r="D4185">
        <f>IF(B4185="","",IF(C4185&lt;&gt;"","REMOVE","KEEP"))</f>
        <v/>
      </c>
      <c r="E4185">
        <f>IF(D4185&lt;&gt;"KEEP","",IF(RIGHT(B4185,10)="@gmail.com","Gmail",IF(OR(RIGHT(B4185,12)="@outlook.com",RIGHT(B4185,12)="@hotmail.com",RIGHT(B4185,9)="@live.com"),"Outlook","Domain")))</f>
        <v/>
      </c>
      <c r="F4185">
        <f>IF(B4185="","",IFERROR(RIGHT(B4185,LEN(B4185)-FIND("@",B4185)),""))</f>
        <v/>
      </c>
      <c r="G4185">
        <f>IF(D4185="KEEP",COUNTIF($D$2:D4185,"KEEP"),"")</f>
        <v/>
      </c>
      <c r="H4185">
        <f>IF(D4185="REMOVE",COUNTIF($D$2:D4185,"REMOVE"),"")</f>
        <v/>
      </c>
      <c r="I4185">
        <f>IF(E4185="Gmail",COUNTIF($E$2:E4185,"Gmail"),"")</f>
        <v/>
      </c>
      <c r="J4185">
        <f>IF(E4185="Outlook",COUNTIF($E$2:E4185,"Outlook"),"")</f>
        <v/>
      </c>
      <c r="K4185">
        <f>IF(E4185="Domain",COUNTIF($E$2:E4185,"Domain"),"")</f>
        <v/>
      </c>
    </row>
    <row r="4186">
      <c r="A4186" s="2" t="n"/>
      <c r="B4186">
        <f>LOWER(TRIM(A4186))</f>
        <v/>
      </c>
      <c r="C4186">
        <f>IF(B4186="","",IFERROR(INDEX('Bad Patterns'!$A$2:$A$120,MATCH(1,INDEX(--ISNUMBER(SEARCH('Bad Patterns'!$A$2:$A$120,B4186)),0),0)),""))</f>
        <v/>
      </c>
      <c r="D4186">
        <f>IF(B4186="","",IF(C4186&lt;&gt;"","REMOVE","KEEP"))</f>
        <v/>
      </c>
      <c r="E4186">
        <f>IF(D4186&lt;&gt;"KEEP","",IF(RIGHT(B4186,10)="@gmail.com","Gmail",IF(OR(RIGHT(B4186,12)="@outlook.com",RIGHT(B4186,12)="@hotmail.com",RIGHT(B4186,9)="@live.com"),"Outlook","Domain")))</f>
        <v/>
      </c>
      <c r="F4186">
        <f>IF(B4186="","",IFERROR(RIGHT(B4186,LEN(B4186)-FIND("@",B4186)),""))</f>
        <v/>
      </c>
      <c r="G4186">
        <f>IF(D4186="KEEP",COUNTIF($D$2:D4186,"KEEP"),"")</f>
        <v/>
      </c>
      <c r="H4186">
        <f>IF(D4186="REMOVE",COUNTIF($D$2:D4186,"REMOVE"),"")</f>
        <v/>
      </c>
      <c r="I4186">
        <f>IF(E4186="Gmail",COUNTIF($E$2:E4186,"Gmail"),"")</f>
        <v/>
      </c>
      <c r="J4186">
        <f>IF(E4186="Outlook",COUNTIF($E$2:E4186,"Outlook"),"")</f>
        <v/>
      </c>
      <c r="K4186">
        <f>IF(E4186="Domain",COUNTIF($E$2:E4186,"Domain"),"")</f>
        <v/>
      </c>
    </row>
    <row r="4187">
      <c r="A4187" s="2" t="n"/>
      <c r="B4187">
        <f>LOWER(TRIM(A4187))</f>
        <v/>
      </c>
      <c r="C4187">
        <f>IF(B4187="","",IFERROR(INDEX('Bad Patterns'!$A$2:$A$120,MATCH(1,INDEX(--ISNUMBER(SEARCH('Bad Patterns'!$A$2:$A$120,B4187)),0),0)),""))</f>
        <v/>
      </c>
      <c r="D4187">
        <f>IF(B4187="","",IF(C4187&lt;&gt;"","REMOVE","KEEP"))</f>
        <v/>
      </c>
      <c r="E4187">
        <f>IF(D4187&lt;&gt;"KEEP","",IF(RIGHT(B4187,10)="@gmail.com","Gmail",IF(OR(RIGHT(B4187,12)="@outlook.com",RIGHT(B4187,12)="@hotmail.com",RIGHT(B4187,9)="@live.com"),"Outlook","Domain")))</f>
        <v/>
      </c>
      <c r="F4187">
        <f>IF(B4187="","",IFERROR(RIGHT(B4187,LEN(B4187)-FIND("@",B4187)),""))</f>
        <v/>
      </c>
      <c r="G4187">
        <f>IF(D4187="KEEP",COUNTIF($D$2:D4187,"KEEP"),"")</f>
        <v/>
      </c>
      <c r="H4187">
        <f>IF(D4187="REMOVE",COUNTIF($D$2:D4187,"REMOVE"),"")</f>
        <v/>
      </c>
      <c r="I4187">
        <f>IF(E4187="Gmail",COUNTIF($E$2:E4187,"Gmail"),"")</f>
        <v/>
      </c>
      <c r="J4187">
        <f>IF(E4187="Outlook",COUNTIF($E$2:E4187,"Outlook"),"")</f>
        <v/>
      </c>
      <c r="K4187">
        <f>IF(E4187="Domain",COUNTIF($E$2:E4187,"Domain"),"")</f>
        <v/>
      </c>
    </row>
    <row r="4188">
      <c r="A4188" s="2" t="n"/>
      <c r="B4188">
        <f>LOWER(TRIM(A4188))</f>
        <v/>
      </c>
      <c r="C4188">
        <f>IF(B4188="","",IFERROR(INDEX('Bad Patterns'!$A$2:$A$120,MATCH(1,INDEX(--ISNUMBER(SEARCH('Bad Patterns'!$A$2:$A$120,B4188)),0),0)),""))</f>
        <v/>
      </c>
      <c r="D4188">
        <f>IF(B4188="","",IF(C4188&lt;&gt;"","REMOVE","KEEP"))</f>
        <v/>
      </c>
      <c r="E4188">
        <f>IF(D4188&lt;&gt;"KEEP","",IF(RIGHT(B4188,10)="@gmail.com","Gmail",IF(OR(RIGHT(B4188,12)="@outlook.com",RIGHT(B4188,12)="@hotmail.com",RIGHT(B4188,9)="@live.com"),"Outlook","Domain")))</f>
        <v/>
      </c>
      <c r="F4188">
        <f>IF(B4188="","",IFERROR(RIGHT(B4188,LEN(B4188)-FIND("@",B4188)),""))</f>
        <v/>
      </c>
      <c r="G4188">
        <f>IF(D4188="KEEP",COUNTIF($D$2:D4188,"KEEP"),"")</f>
        <v/>
      </c>
      <c r="H4188">
        <f>IF(D4188="REMOVE",COUNTIF($D$2:D4188,"REMOVE"),"")</f>
        <v/>
      </c>
      <c r="I4188">
        <f>IF(E4188="Gmail",COUNTIF($E$2:E4188,"Gmail"),"")</f>
        <v/>
      </c>
      <c r="J4188">
        <f>IF(E4188="Outlook",COUNTIF($E$2:E4188,"Outlook"),"")</f>
        <v/>
      </c>
      <c r="K4188">
        <f>IF(E4188="Domain",COUNTIF($E$2:E4188,"Domain"),"")</f>
        <v/>
      </c>
    </row>
    <row r="4189">
      <c r="A4189" s="2" t="n"/>
      <c r="B4189">
        <f>LOWER(TRIM(A4189))</f>
        <v/>
      </c>
      <c r="C4189">
        <f>IF(B4189="","",IFERROR(INDEX('Bad Patterns'!$A$2:$A$120,MATCH(1,INDEX(--ISNUMBER(SEARCH('Bad Patterns'!$A$2:$A$120,B4189)),0),0)),""))</f>
        <v/>
      </c>
      <c r="D4189">
        <f>IF(B4189="","",IF(C4189&lt;&gt;"","REMOVE","KEEP"))</f>
        <v/>
      </c>
      <c r="E4189">
        <f>IF(D4189&lt;&gt;"KEEP","",IF(RIGHT(B4189,10)="@gmail.com","Gmail",IF(OR(RIGHT(B4189,12)="@outlook.com",RIGHT(B4189,12)="@hotmail.com",RIGHT(B4189,9)="@live.com"),"Outlook","Domain")))</f>
        <v/>
      </c>
      <c r="F4189">
        <f>IF(B4189="","",IFERROR(RIGHT(B4189,LEN(B4189)-FIND("@",B4189)),""))</f>
        <v/>
      </c>
      <c r="G4189">
        <f>IF(D4189="KEEP",COUNTIF($D$2:D4189,"KEEP"),"")</f>
        <v/>
      </c>
      <c r="H4189">
        <f>IF(D4189="REMOVE",COUNTIF($D$2:D4189,"REMOVE"),"")</f>
        <v/>
      </c>
      <c r="I4189">
        <f>IF(E4189="Gmail",COUNTIF($E$2:E4189,"Gmail"),"")</f>
        <v/>
      </c>
      <c r="J4189">
        <f>IF(E4189="Outlook",COUNTIF($E$2:E4189,"Outlook"),"")</f>
        <v/>
      </c>
      <c r="K4189">
        <f>IF(E4189="Domain",COUNTIF($E$2:E4189,"Domain"),"")</f>
        <v/>
      </c>
    </row>
    <row r="4190">
      <c r="A4190" s="2" t="n"/>
      <c r="B4190">
        <f>LOWER(TRIM(A4190))</f>
        <v/>
      </c>
      <c r="C4190">
        <f>IF(B4190="","",IFERROR(INDEX('Bad Patterns'!$A$2:$A$120,MATCH(1,INDEX(--ISNUMBER(SEARCH('Bad Patterns'!$A$2:$A$120,B4190)),0),0)),""))</f>
        <v/>
      </c>
      <c r="D4190">
        <f>IF(B4190="","",IF(C4190&lt;&gt;"","REMOVE","KEEP"))</f>
        <v/>
      </c>
      <c r="E4190">
        <f>IF(D4190&lt;&gt;"KEEP","",IF(RIGHT(B4190,10)="@gmail.com","Gmail",IF(OR(RIGHT(B4190,12)="@outlook.com",RIGHT(B4190,12)="@hotmail.com",RIGHT(B4190,9)="@live.com"),"Outlook","Domain")))</f>
        <v/>
      </c>
      <c r="F4190">
        <f>IF(B4190="","",IFERROR(RIGHT(B4190,LEN(B4190)-FIND("@",B4190)),""))</f>
        <v/>
      </c>
      <c r="G4190">
        <f>IF(D4190="KEEP",COUNTIF($D$2:D4190,"KEEP"),"")</f>
        <v/>
      </c>
      <c r="H4190">
        <f>IF(D4190="REMOVE",COUNTIF($D$2:D4190,"REMOVE"),"")</f>
        <v/>
      </c>
      <c r="I4190">
        <f>IF(E4190="Gmail",COUNTIF($E$2:E4190,"Gmail"),"")</f>
        <v/>
      </c>
      <c r="J4190">
        <f>IF(E4190="Outlook",COUNTIF($E$2:E4190,"Outlook"),"")</f>
        <v/>
      </c>
      <c r="K4190">
        <f>IF(E4190="Domain",COUNTIF($E$2:E4190,"Domain"),"")</f>
        <v/>
      </c>
    </row>
    <row r="4191">
      <c r="A4191" s="2" t="n"/>
      <c r="B4191">
        <f>LOWER(TRIM(A4191))</f>
        <v/>
      </c>
      <c r="C4191">
        <f>IF(B4191="","",IFERROR(INDEX('Bad Patterns'!$A$2:$A$120,MATCH(1,INDEX(--ISNUMBER(SEARCH('Bad Patterns'!$A$2:$A$120,B4191)),0),0)),""))</f>
        <v/>
      </c>
      <c r="D4191">
        <f>IF(B4191="","",IF(C4191&lt;&gt;"","REMOVE","KEEP"))</f>
        <v/>
      </c>
      <c r="E4191">
        <f>IF(D4191&lt;&gt;"KEEP","",IF(RIGHT(B4191,10)="@gmail.com","Gmail",IF(OR(RIGHT(B4191,12)="@outlook.com",RIGHT(B4191,12)="@hotmail.com",RIGHT(B4191,9)="@live.com"),"Outlook","Domain")))</f>
        <v/>
      </c>
      <c r="F4191">
        <f>IF(B4191="","",IFERROR(RIGHT(B4191,LEN(B4191)-FIND("@",B4191)),""))</f>
        <v/>
      </c>
      <c r="G4191">
        <f>IF(D4191="KEEP",COUNTIF($D$2:D4191,"KEEP"),"")</f>
        <v/>
      </c>
      <c r="H4191">
        <f>IF(D4191="REMOVE",COUNTIF($D$2:D4191,"REMOVE"),"")</f>
        <v/>
      </c>
      <c r="I4191">
        <f>IF(E4191="Gmail",COUNTIF($E$2:E4191,"Gmail"),"")</f>
        <v/>
      </c>
      <c r="J4191">
        <f>IF(E4191="Outlook",COUNTIF($E$2:E4191,"Outlook"),"")</f>
        <v/>
      </c>
      <c r="K4191">
        <f>IF(E4191="Domain",COUNTIF($E$2:E4191,"Domain"),"")</f>
        <v/>
      </c>
    </row>
    <row r="4192">
      <c r="A4192" s="2" t="n"/>
      <c r="B4192">
        <f>LOWER(TRIM(A4192))</f>
        <v/>
      </c>
      <c r="C4192">
        <f>IF(B4192="","",IFERROR(INDEX('Bad Patterns'!$A$2:$A$120,MATCH(1,INDEX(--ISNUMBER(SEARCH('Bad Patterns'!$A$2:$A$120,B4192)),0),0)),""))</f>
        <v/>
      </c>
      <c r="D4192">
        <f>IF(B4192="","",IF(C4192&lt;&gt;"","REMOVE","KEEP"))</f>
        <v/>
      </c>
      <c r="E4192">
        <f>IF(D4192&lt;&gt;"KEEP","",IF(RIGHT(B4192,10)="@gmail.com","Gmail",IF(OR(RIGHT(B4192,12)="@outlook.com",RIGHT(B4192,12)="@hotmail.com",RIGHT(B4192,9)="@live.com"),"Outlook","Domain")))</f>
        <v/>
      </c>
      <c r="F4192">
        <f>IF(B4192="","",IFERROR(RIGHT(B4192,LEN(B4192)-FIND("@",B4192)),""))</f>
        <v/>
      </c>
      <c r="G4192">
        <f>IF(D4192="KEEP",COUNTIF($D$2:D4192,"KEEP"),"")</f>
        <v/>
      </c>
      <c r="H4192">
        <f>IF(D4192="REMOVE",COUNTIF($D$2:D4192,"REMOVE"),"")</f>
        <v/>
      </c>
      <c r="I4192">
        <f>IF(E4192="Gmail",COUNTIF($E$2:E4192,"Gmail"),"")</f>
        <v/>
      </c>
      <c r="J4192">
        <f>IF(E4192="Outlook",COUNTIF($E$2:E4192,"Outlook"),"")</f>
        <v/>
      </c>
      <c r="K4192">
        <f>IF(E4192="Domain",COUNTIF($E$2:E4192,"Domain"),"")</f>
        <v/>
      </c>
    </row>
    <row r="4193">
      <c r="A4193" s="2" t="n"/>
      <c r="B4193">
        <f>LOWER(TRIM(A4193))</f>
        <v/>
      </c>
      <c r="C4193">
        <f>IF(B4193="","",IFERROR(INDEX('Bad Patterns'!$A$2:$A$120,MATCH(1,INDEX(--ISNUMBER(SEARCH('Bad Patterns'!$A$2:$A$120,B4193)),0),0)),""))</f>
        <v/>
      </c>
      <c r="D4193">
        <f>IF(B4193="","",IF(C4193&lt;&gt;"","REMOVE","KEEP"))</f>
        <v/>
      </c>
      <c r="E4193">
        <f>IF(D4193&lt;&gt;"KEEP","",IF(RIGHT(B4193,10)="@gmail.com","Gmail",IF(OR(RIGHT(B4193,12)="@outlook.com",RIGHT(B4193,12)="@hotmail.com",RIGHT(B4193,9)="@live.com"),"Outlook","Domain")))</f>
        <v/>
      </c>
      <c r="F4193">
        <f>IF(B4193="","",IFERROR(RIGHT(B4193,LEN(B4193)-FIND("@",B4193)),""))</f>
        <v/>
      </c>
      <c r="G4193">
        <f>IF(D4193="KEEP",COUNTIF($D$2:D4193,"KEEP"),"")</f>
        <v/>
      </c>
      <c r="H4193">
        <f>IF(D4193="REMOVE",COUNTIF($D$2:D4193,"REMOVE"),"")</f>
        <v/>
      </c>
      <c r="I4193">
        <f>IF(E4193="Gmail",COUNTIF($E$2:E4193,"Gmail"),"")</f>
        <v/>
      </c>
      <c r="J4193">
        <f>IF(E4193="Outlook",COUNTIF($E$2:E4193,"Outlook"),"")</f>
        <v/>
      </c>
      <c r="K4193">
        <f>IF(E4193="Domain",COUNTIF($E$2:E4193,"Domain"),"")</f>
        <v/>
      </c>
    </row>
    <row r="4194">
      <c r="A4194" s="2" t="n"/>
      <c r="B4194">
        <f>LOWER(TRIM(A4194))</f>
        <v/>
      </c>
      <c r="C4194">
        <f>IF(B4194="","",IFERROR(INDEX('Bad Patterns'!$A$2:$A$120,MATCH(1,INDEX(--ISNUMBER(SEARCH('Bad Patterns'!$A$2:$A$120,B4194)),0),0)),""))</f>
        <v/>
      </c>
      <c r="D4194">
        <f>IF(B4194="","",IF(C4194&lt;&gt;"","REMOVE","KEEP"))</f>
        <v/>
      </c>
      <c r="E4194">
        <f>IF(D4194&lt;&gt;"KEEP","",IF(RIGHT(B4194,10)="@gmail.com","Gmail",IF(OR(RIGHT(B4194,12)="@outlook.com",RIGHT(B4194,12)="@hotmail.com",RIGHT(B4194,9)="@live.com"),"Outlook","Domain")))</f>
        <v/>
      </c>
      <c r="F4194">
        <f>IF(B4194="","",IFERROR(RIGHT(B4194,LEN(B4194)-FIND("@",B4194)),""))</f>
        <v/>
      </c>
      <c r="G4194">
        <f>IF(D4194="KEEP",COUNTIF($D$2:D4194,"KEEP"),"")</f>
        <v/>
      </c>
      <c r="H4194">
        <f>IF(D4194="REMOVE",COUNTIF($D$2:D4194,"REMOVE"),"")</f>
        <v/>
      </c>
      <c r="I4194">
        <f>IF(E4194="Gmail",COUNTIF($E$2:E4194,"Gmail"),"")</f>
        <v/>
      </c>
      <c r="J4194">
        <f>IF(E4194="Outlook",COUNTIF($E$2:E4194,"Outlook"),"")</f>
        <v/>
      </c>
      <c r="K4194">
        <f>IF(E4194="Domain",COUNTIF($E$2:E4194,"Domain"),"")</f>
        <v/>
      </c>
    </row>
    <row r="4195">
      <c r="A4195" s="2" t="n"/>
      <c r="B4195">
        <f>LOWER(TRIM(A4195))</f>
        <v/>
      </c>
      <c r="C4195">
        <f>IF(B4195="","",IFERROR(INDEX('Bad Patterns'!$A$2:$A$120,MATCH(1,INDEX(--ISNUMBER(SEARCH('Bad Patterns'!$A$2:$A$120,B4195)),0),0)),""))</f>
        <v/>
      </c>
      <c r="D4195">
        <f>IF(B4195="","",IF(C4195&lt;&gt;"","REMOVE","KEEP"))</f>
        <v/>
      </c>
      <c r="E4195">
        <f>IF(D4195&lt;&gt;"KEEP","",IF(RIGHT(B4195,10)="@gmail.com","Gmail",IF(OR(RIGHT(B4195,12)="@outlook.com",RIGHT(B4195,12)="@hotmail.com",RIGHT(B4195,9)="@live.com"),"Outlook","Domain")))</f>
        <v/>
      </c>
      <c r="F4195">
        <f>IF(B4195="","",IFERROR(RIGHT(B4195,LEN(B4195)-FIND("@",B4195)),""))</f>
        <v/>
      </c>
      <c r="G4195">
        <f>IF(D4195="KEEP",COUNTIF($D$2:D4195,"KEEP"),"")</f>
        <v/>
      </c>
      <c r="H4195">
        <f>IF(D4195="REMOVE",COUNTIF($D$2:D4195,"REMOVE"),"")</f>
        <v/>
      </c>
      <c r="I4195">
        <f>IF(E4195="Gmail",COUNTIF($E$2:E4195,"Gmail"),"")</f>
        <v/>
      </c>
      <c r="J4195">
        <f>IF(E4195="Outlook",COUNTIF($E$2:E4195,"Outlook"),"")</f>
        <v/>
      </c>
      <c r="K4195">
        <f>IF(E4195="Domain",COUNTIF($E$2:E4195,"Domain"),"")</f>
        <v/>
      </c>
    </row>
    <row r="4196">
      <c r="A4196" s="2" t="n"/>
      <c r="B4196">
        <f>LOWER(TRIM(A4196))</f>
        <v/>
      </c>
      <c r="C4196">
        <f>IF(B4196="","",IFERROR(INDEX('Bad Patterns'!$A$2:$A$120,MATCH(1,INDEX(--ISNUMBER(SEARCH('Bad Patterns'!$A$2:$A$120,B4196)),0),0)),""))</f>
        <v/>
      </c>
      <c r="D4196">
        <f>IF(B4196="","",IF(C4196&lt;&gt;"","REMOVE","KEEP"))</f>
        <v/>
      </c>
      <c r="E4196">
        <f>IF(D4196&lt;&gt;"KEEP","",IF(RIGHT(B4196,10)="@gmail.com","Gmail",IF(OR(RIGHT(B4196,12)="@outlook.com",RIGHT(B4196,12)="@hotmail.com",RIGHT(B4196,9)="@live.com"),"Outlook","Domain")))</f>
        <v/>
      </c>
      <c r="F4196">
        <f>IF(B4196="","",IFERROR(RIGHT(B4196,LEN(B4196)-FIND("@",B4196)),""))</f>
        <v/>
      </c>
      <c r="G4196">
        <f>IF(D4196="KEEP",COUNTIF($D$2:D4196,"KEEP"),"")</f>
        <v/>
      </c>
      <c r="H4196">
        <f>IF(D4196="REMOVE",COUNTIF($D$2:D4196,"REMOVE"),"")</f>
        <v/>
      </c>
      <c r="I4196">
        <f>IF(E4196="Gmail",COUNTIF($E$2:E4196,"Gmail"),"")</f>
        <v/>
      </c>
      <c r="J4196">
        <f>IF(E4196="Outlook",COUNTIF($E$2:E4196,"Outlook"),"")</f>
        <v/>
      </c>
      <c r="K4196">
        <f>IF(E4196="Domain",COUNTIF($E$2:E4196,"Domain"),"")</f>
        <v/>
      </c>
    </row>
    <row r="4197">
      <c r="A4197" s="2" t="n"/>
      <c r="B4197">
        <f>LOWER(TRIM(A4197))</f>
        <v/>
      </c>
      <c r="C4197">
        <f>IF(B4197="","",IFERROR(INDEX('Bad Patterns'!$A$2:$A$120,MATCH(1,INDEX(--ISNUMBER(SEARCH('Bad Patterns'!$A$2:$A$120,B4197)),0),0)),""))</f>
        <v/>
      </c>
      <c r="D4197">
        <f>IF(B4197="","",IF(C4197&lt;&gt;"","REMOVE","KEEP"))</f>
        <v/>
      </c>
      <c r="E4197">
        <f>IF(D4197&lt;&gt;"KEEP","",IF(RIGHT(B4197,10)="@gmail.com","Gmail",IF(OR(RIGHT(B4197,12)="@outlook.com",RIGHT(B4197,12)="@hotmail.com",RIGHT(B4197,9)="@live.com"),"Outlook","Domain")))</f>
        <v/>
      </c>
      <c r="F4197">
        <f>IF(B4197="","",IFERROR(RIGHT(B4197,LEN(B4197)-FIND("@",B4197)),""))</f>
        <v/>
      </c>
      <c r="G4197">
        <f>IF(D4197="KEEP",COUNTIF($D$2:D4197,"KEEP"),"")</f>
        <v/>
      </c>
      <c r="H4197">
        <f>IF(D4197="REMOVE",COUNTIF($D$2:D4197,"REMOVE"),"")</f>
        <v/>
      </c>
      <c r="I4197">
        <f>IF(E4197="Gmail",COUNTIF($E$2:E4197,"Gmail"),"")</f>
        <v/>
      </c>
      <c r="J4197">
        <f>IF(E4197="Outlook",COUNTIF($E$2:E4197,"Outlook"),"")</f>
        <v/>
      </c>
      <c r="K4197">
        <f>IF(E4197="Domain",COUNTIF($E$2:E4197,"Domain"),"")</f>
        <v/>
      </c>
    </row>
    <row r="4198">
      <c r="A4198" s="2" t="n"/>
      <c r="B4198">
        <f>LOWER(TRIM(A4198))</f>
        <v/>
      </c>
      <c r="C4198">
        <f>IF(B4198="","",IFERROR(INDEX('Bad Patterns'!$A$2:$A$120,MATCH(1,INDEX(--ISNUMBER(SEARCH('Bad Patterns'!$A$2:$A$120,B4198)),0),0)),""))</f>
        <v/>
      </c>
      <c r="D4198">
        <f>IF(B4198="","",IF(C4198&lt;&gt;"","REMOVE","KEEP"))</f>
        <v/>
      </c>
      <c r="E4198">
        <f>IF(D4198&lt;&gt;"KEEP","",IF(RIGHT(B4198,10)="@gmail.com","Gmail",IF(OR(RIGHT(B4198,12)="@outlook.com",RIGHT(B4198,12)="@hotmail.com",RIGHT(B4198,9)="@live.com"),"Outlook","Domain")))</f>
        <v/>
      </c>
      <c r="F4198">
        <f>IF(B4198="","",IFERROR(RIGHT(B4198,LEN(B4198)-FIND("@",B4198)),""))</f>
        <v/>
      </c>
      <c r="G4198">
        <f>IF(D4198="KEEP",COUNTIF($D$2:D4198,"KEEP"),"")</f>
        <v/>
      </c>
      <c r="H4198">
        <f>IF(D4198="REMOVE",COUNTIF($D$2:D4198,"REMOVE"),"")</f>
        <v/>
      </c>
      <c r="I4198">
        <f>IF(E4198="Gmail",COUNTIF($E$2:E4198,"Gmail"),"")</f>
        <v/>
      </c>
      <c r="J4198">
        <f>IF(E4198="Outlook",COUNTIF($E$2:E4198,"Outlook"),"")</f>
        <v/>
      </c>
      <c r="K4198">
        <f>IF(E4198="Domain",COUNTIF($E$2:E4198,"Domain"),"")</f>
        <v/>
      </c>
    </row>
    <row r="4199">
      <c r="A4199" s="2" t="n"/>
      <c r="B4199">
        <f>LOWER(TRIM(A4199))</f>
        <v/>
      </c>
      <c r="C4199">
        <f>IF(B4199="","",IFERROR(INDEX('Bad Patterns'!$A$2:$A$120,MATCH(1,INDEX(--ISNUMBER(SEARCH('Bad Patterns'!$A$2:$A$120,B4199)),0),0)),""))</f>
        <v/>
      </c>
      <c r="D4199">
        <f>IF(B4199="","",IF(C4199&lt;&gt;"","REMOVE","KEEP"))</f>
        <v/>
      </c>
      <c r="E4199">
        <f>IF(D4199&lt;&gt;"KEEP","",IF(RIGHT(B4199,10)="@gmail.com","Gmail",IF(OR(RIGHT(B4199,12)="@outlook.com",RIGHT(B4199,12)="@hotmail.com",RIGHT(B4199,9)="@live.com"),"Outlook","Domain")))</f>
        <v/>
      </c>
      <c r="F4199">
        <f>IF(B4199="","",IFERROR(RIGHT(B4199,LEN(B4199)-FIND("@",B4199)),""))</f>
        <v/>
      </c>
      <c r="G4199">
        <f>IF(D4199="KEEP",COUNTIF($D$2:D4199,"KEEP"),"")</f>
        <v/>
      </c>
      <c r="H4199">
        <f>IF(D4199="REMOVE",COUNTIF($D$2:D4199,"REMOVE"),"")</f>
        <v/>
      </c>
      <c r="I4199">
        <f>IF(E4199="Gmail",COUNTIF($E$2:E4199,"Gmail"),"")</f>
        <v/>
      </c>
      <c r="J4199">
        <f>IF(E4199="Outlook",COUNTIF($E$2:E4199,"Outlook"),"")</f>
        <v/>
      </c>
      <c r="K4199">
        <f>IF(E4199="Domain",COUNTIF($E$2:E4199,"Domain"),"")</f>
        <v/>
      </c>
    </row>
    <row r="4200">
      <c r="A4200" s="2" t="n"/>
      <c r="B4200">
        <f>LOWER(TRIM(A4200))</f>
        <v/>
      </c>
      <c r="C4200">
        <f>IF(B4200="","",IFERROR(INDEX('Bad Patterns'!$A$2:$A$120,MATCH(1,INDEX(--ISNUMBER(SEARCH('Bad Patterns'!$A$2:$A$120,B4200)),0),0)),""))</f>
        <v/>
      </c>
      <c r="D4200">
        <f>IF(B4200="","",IF(C4200&lt;&gt;"","REMOVE","KEEP"))</f>
        <v/>
      </c>
      <c r="E4200">
        <f>IF(D4200&lt;&gt;"KEEP","",IF(RIGHT(B4200,10)="@gmail.com","Gmail",IF(OR(RIGHT(B4200,12)="@outlook.com",RIGHT(B4200,12)="@hotmail.com",RIGHT(B4200,9)="@live.com"),"Outlook","Domain")))</f>
        <v/>
      </c>
      <c r="F4200">
        <f>IF(B4200="","",IFERROR(RIGHT(B4200,LEN(B4200)-FIND("@",B4200)),""))</f>
        <v/>
      </c>
      <c r="G4200">
        <f>IF(D4200="KEEP",COUNTIF($D$2:D4200,"KEEP"),"")</f>
        <v/>
      </c>
      <c r="H4200">
        <f>IF(D4200="REMOVE",COUNTIF($D$2:D4200,"REMOVE"),"")</f>
        <v/>
      </c>
      <c r="I4200">
        <f>IF(E4200="Gmail",COUNTIF($E$2:E4200,"Gmail"),"")</f>
        <v/>
      </c>
      <c r="J4200">
        <f>IF(E4200="Outlook",COUNTIF($E$2:E4200,"Outlook"),"")</f>
        <v/>
      </c>
      <c r="K4200">
        <f>IF(E4200="Domain",COUNTIF($E$2:E4200,"Domain"),"")</f>
        <v/>
      </c>
    </row>
    <row r="4201">
      <c r="A4201" s="2" t="n"/>
      <c r="B4201">
        <f>LOWER(TRIM(A4201))</f>
        <v/>
      </c>
      <c r="C4201">
        <f>IF(B4201="","",IFERROR(INDEX('Bad Patterns'!$A$2:$A$120,MATCH(1,INDEX(--ISNUMBER(SEARCH('Bad Patterns'!$A$2:$A$120,B4201)),0),0)),""))</f>
        <v/>
      </c>
      <c r="D4201">
        <f>IF(B4201="","",IF(C4201&lt;&gt;"","REMOVE","KEEP"))</f>
        <v/>
      </c>
      <c r="E4201">
        <f>IF(D4201&lt;&gt;"KEEP","",IF(RIGHT(B4201,10)="@gmail.com","Gmail",IF(OR(RIGHT(B4201,12)="@outlook.com",RIGHT(B4201,12)="@hotmail.com",RIGHT(B4201,9)="@live.com"),"Outlook","Domain")))</f>
        <v/>
      </c>
      <c r="F4201">
        <f>IF(B4201="","",IFERROR(RIGHT(B4201,LEN(B4201)-FIND("@",B4201)),""))</f>
        <v/>
      </c>
      <c r="G4201">
        <f>IF(D4201="KEEP",COUNTIF($D$2:D4201,"KEEP"),"")</f>
        <v/>
      </c>
      <c r="H4201">
        <f>IF(D4201="REMOVE",COUNTIF($D$2:D4201,"REMOVE"),"")</f>
        <v/>
      </c>
      <c r="I4201">
        <f>IF(E4201="Gmail",COUNTIF($E$2:E4201,"Gmail"),"")</f>
        <v/>
      </c>
      <c r="J4201">
        <f>IF(E4201="Outlook",COUNTIF($E$2:E4201,"Outlook"),"")</f>
        <v/>
      </c>
      <c r="K4201">
        <f>IF(E4201="Domain",COUNTIF($E$2:E4201,"Domain"),"")</f>
        <v/>
      </c>
    </row>
    <row r="4202">
      <c r="A4202" s="2" t="n"/>
      <c r="B4202">
        <f>LOWER(TRIM(A4202))</f>
        <v/>
      </c>
      <c r="C4202">
        <f>IF(B4202="","",IFERROR(INDEX('Bad Patterns'!$A$2:$A$120,MATCH(1,INDEX(--ISNUMBER(SEARCH('Bad Patterns'!$A$2:$A$120,B4202)),0),0)),""))</f>
        <v/>
      </c>
      <c r="D4202">
        <f>IF(B4202="","",IF(C4202&lt;&gt;"","REMOVE","KEEP"))</f>
        <v/>
      </c>
      <c r="E4202">
        <f>IF(D4202&lt;&gt;"KEEP","",IF(RIGHT(B4202,10)="@gmail.com","Gmail",IF(OR(RIGHT(B4202,12)="@outlook.com",RIGHT(B4202,12)="@hotmail.com",RIGHT(B4202,9)="@live.com"),"Outlook","Domain")))</f>
        <v/>
      </c>
      <c r="F4202">
        <f>IF(B4202="","",IFERROR(RIGHT(B4202,LEN(B4202)-FIND("@",B4202)),""))</f>
        <v/>
      </c>
      <c r="G4202">
        <f>IF(D4202="KEEP",COUNTIF($D$2:D4202,"KEEP"),"")</f>
        <v/>
      </c>
      <c r="H4202">
        <f>IF(D4202="REMOVE",COUNTIF($D$2:D4202,"REMOVE"),"")</f>
        <v/>
      </c>
      <c r="I4202">
        <f>IF(E4202="Gmail",COUNTIF($E$2:E4202,"Gmail"),"")</f>
        <v/>
      </c>
      <c r="J4202">
        <f>IF(E4202="Outlook",COUNTIF($E$2:E4202,"Outlook"),"")</f>
        <v/>
      </c>
      <c r="K4202">
        <f>IF(E4202="Domain",COUNTIF($E$2:E4202,"Domain"),"")</f>
        <v/>
      </c>
    </row>
    <row r="4203">
      <c r="A4203" s="2" t="n"/>
      <c r="B4203">
        <f>LOWER(TRIM(A4203))</f>
        <v/>
      </c>
      <c r="C4203">
        <f>IF(B4203="","",IFERROR(INDEX('Bad Patterns'!$A$2:$A$120,MATCH(1,INDEX(--ISNUMBER(SEARCH('Bad Patterns'!$A$2:$A$120,B4203)),0),0)),""))</f>
        <v/>
      </c>
      <c r="D4203">
        <f>IF(B4203="","",IF(C4203&lt;&gt;"","REMOVE","KEEP"))</f>
        <v/>
      </c>
      <c r="E4203">
        <f>IF(D4203&lt;&gt;"KEEP","",IF(RIGHT(B4203,10)="@gmail.com","Gmail",IF(OR(RIGHT(B4203,12)="@outlook.com",RIGHT(B4203,12)="@hotmail.com",RIGHT(B4203,9)="@live.com"),"Outlook","Domain")))</f>
        <v/>
      </c>
      <c r="F4203">
        <f>IF(B4203="","",IFERROR(RIGHT(B4203,LEN(B4203)-FIND("@",B4203)),""))</f>
        <v/>
      </c>
      <c r="G4203">
        <f>IF(D4203="KEEP",COUNTIF($D$2:D4203,"KEEP"),"")</f>
        <v/>
      </c>
      <c r="H4203">
        <f>IF(D4203="REMOVE",COUNTIF($D$2:D4203,"REMOVE"),"")</f>
        <v/>
      </c>
      <c r="I4203">
        <f>IF(E4203="Gmail",COUNTIF($E$2:E4203,"Gmail"),"")</f>
        <v/>
      </c>
      <c r="J4203">
        <f>IF(E4203="Outlook",COUNTIF($E$2:E4203,"Outlook"),"")</f>
        <v/>
      </c>
      <c r="K4203">
        <f>IF(E4203="Domain",COUNTIF($E$2:E4203,"Domain"),"")</f>
        <v/>
      </c>
    </row>
    <row r="4204">
      <c r="A4204" s="2" t="n"/>
      <c r="B4204">
        <f>LOWER(TRIM(A4204))</f>
        <v/>
      </c>
      <c r="C4204">
        <f>IF(B4204="","",IFERROR(INDEX('Bad Patterns'!$A$2:$A$120,MATCH(1,INDEX(--ISNUMBER(SEARCH('Bad Patterns'!$A$2:$A$120,B4204)),0),0)),""))</f>
        <v/>
      </c>
      <c r="D4204">
        <f>IF(B4204="","",IF(C4204&lt;&gt;"","REMOVE","KEEP"))</f>
        <v/>
      </c>
      <c r="E4204">
        <f>IF(D4204&lt;&gt;"KEEP","",IF(RIGHT(B4204,10)="@gmail.com","Gmail",IF(OR(RIGHT(B4204,12)="@outlook.com",RIGHT(B4204,12)="@hotmail.com",RIGHT(B4204,9)="@live.com"),"Outlook","Domain")))</f>
        <v/>
      </c>
      <c r="F4204">
        <f>IF(B4204="","",IFERROR(RIGHT(B4204,LEN(B4204)-FIND("@",B4204)),""))</f>
        <v/>
      </c>
      <c r="G4204">
        <f>IF(D4204="KEEP",COUNTIF($D$2:D4204,"KEEP"),"")</f>
        <v/>
      </c>
      <c r="H4204">
        <f>IF(D4204="REMOVE",COUNTIF($D$2:D4204,"REMOVE"),"")</f>
        <v/>
      </c>
      <c r="I4204">
        <f>IF(E4204="Gmail",COUNTIF($E$2:E4204,"Gmail"),"")</f>
        <v/>
      </c>
      <c r="J4204">
        <f>IF(E4204="Outlook",COUNTIF($E$2:E4204,"Outlook"),"")</f>
        <v/>
      </c>
      <c r="K4204">
        <f>IF(E4204="Domain",COUNTIF($E$2:E4204,"Domain"),"")</f>
        <v/>
      </c>
    </row>
    <row r="4205">
      <c r="A4205" s="2" t="n"/>
      <c r="B4205">
        <f>LOWER(TRIM(A4205))</f>
        <v/>
      </c>
      <c r="C4205">
        <f>IF(B4205="","",IFERROR(INDEX('Bad Patterns'!$A$2:$A$120,MATCH(1,INDEX(--ISNUMBER(SEARCH('Bad Patterns'!$A$2:$A$120,B4205)),0),0)),""))</f>
        <v/>
      </c>
      <c r="D4205">
        <f>IF(B4205="","",IF(C4205&lt;&gt;"","REMOVE","KEEP"))</f>
        <v/>
      </c>
      <c r="E4205">
        <f>IF(D4205&lt;&gt;"KEEP","",IF(RIGHT(B4205,10)="@gmail.com","Gmail",IF(OR(RIGHT(B4205,12)="@outlook.com",RIGHT(B4205,12)="@hotmail.com",RIGHT(B4205,9)="@live.com"),"Outlook","Domain")))</f>
        <v/>
      </c>
      <c r="F4205">
        <f>IF(B4205="","",IFERROR(RIGHT(B4205,LEN(B4205)-FIND("@",B4205)),""))</f>
        <v/>
      </c>
      <c r="G4205">
        <f>IF(D4205="KEEP",COUNTIF($D$2:D4205,"KEEP"),"")</f>
        <v/>
      </c>
      <c r="H4205">
        <f>IF(D4205="REMOVE",COUNTIF($D$2:D4205,"REMOVE"),"")</f>
        <v/>
      </c>
      <c r="I4205">
        <f>IF(E4205="Gmail",COUNTIF($E$2:E4205,"Gmail"),"")</f>
        <v/>
      </c>
      <c r="J4205">
        <f>IF(E4205="Outlook",COUNTIF($E$2:E4205,"Outlook"),"")</f>
        <v/>
      </c>
      <c r="K4205">
        <f>IF(E4205="Domain",COUNTIF($E$2:E4205,"Domain"),"")</f>
        <v/>
      </c>
    </row>
    <row r="4206">
      <c r="A4206" s="2" t="n"/>
      <c r="B4206">
        <f>LOWER(TRIM(A4206))</f>
        <v/>
      </c>
      <c r="C4206">
        <f>IF(B4206="","",IFERROR(INDEX('Bad Patterns'!$A$2:$A$120,MATCH(1,INDEX(--ISNUMBER(SEARCH('Bad Patterns'!$A$2:$A$120,B4206)),0),0)),""))</f>
        <v/>
      </c>
      <c r="D4206">
        <f>IF(B4206="","",IF(C4206&lt;&gt;"","REMOVE","KEEP"))</f>
        <v/>
      </c>
      <c r="E4206">
        <f>IF(D4206&lt;&gt;"KEEP","",IF(RIGHT(B4206,10)="@gmail.com","Gmail",IF(OR(RIGHT(B4206,12)="@outlook.com",RIGHT(B4206,12)="@hotmail.com",RIGHT(B4206,9)="@live.com"),"Outlook","Domain")))</f>
        <v/>
      </c>
      <c r="F4206">
        <f>IF(B4206="","",IFERROR(RIGHT(B4206,LEN(B4206)-FIND("@",B4206)),""))</f>
        <v/>
      </c>
      <c r="G4206">
        <f>IF(D4206="KEEP",COUNTIF($D$2:D4206,"KEEP"),"")</f>
        <v/>
      </c>
      <c r="H4206">
        <f>IF(D4206="REMOVE",COUNTIF($D$2:D4206,"REMOVE"),"")</f>
        <v/>
      </c>
      <c r="I4206">
        <f>IF(E4206="Gmail",COUNTIF($E$2:E4206,"Gmail"),"")</f>
        <v/>
      </c>
      <c r="J4206">
        <f>IF(E4206="Outlook",COUNTIF($E$2:E4206,"Outlook"),"")</f>
        <v/>
      </c>
      <c r="K4206">
        <f>IF(E4206="Domain",COUNTIF($E$2:E4206,"Domain"),"")</f>
        <v/>
      </c>
    </row>
    <row r="4207">
      <c r="A4207" s="2" t="n"/>
      <c r="B4207">
        <f>LOWER(TRIM(A4207))</f>
        <v/>
      </c>
      <c r="C4207">
        <f>IF(B4207="","",IFERROR(INDEX('Bad Patterns'!$A$2:$A$120,MATCH(1,INDEX(--ISNUMBER(SEARCH('Bad Patterns'!$A$2:$A$120,B4207)),0),0)),""))</f>
        <v/>
      </c>
      <c r="D4207">
        <f>IF(B4207="","",IF(C4207&lt;&gt;"","REMOVE","KEEP"))</f>
        <v/>
      </c>
      <c r="E4207">
        <f>IF(D4207&lt;&gt;"KEEP","",IF(RIGHT(B4207,10)="@gmail.com","Gmail",IF(OR(RIGHT(B4207,12)="@outlook.com",RIGHT(B4207,12)="@hotmail.com",RIGHT(B4207,9)="@live.com"),"Outlook","Domain")))</f>
        <v/>
      </c>
      <c r="F4207">
        <f>IF(B4207="","",IFERROR(RIGHT(B4207,LEN(B4207)-FIND("@",B4207)),""))</f>
        <v/>
      </c>
      <c r="G4207">
        <f>IF(D4207="KEEP",COUNTIF($D$2:D4207,"KEEP"),"")</f>
        <v/>
      </c>
      <c r="H4207">
        <f>IF(D4207="REMOVE",COUNTIF($D$2:D4207,"REMOVE"),"")</f>
        <v/>
      </c>
      <c r="I4207">
        <f>IF(E4207="Gmail",COUNTIF($E$2:E4207,"Gmail"),"")</f>
        <v/>
      </c>
      <c r="J4207">
        <f>IF(E4207="Outlook",COUNTIF($E$2:E4207,"Outlook"),"")</f>
        <v/>
      </c>
      <c r="K4207">
        <f>IF(E4207="Domain",COUNTIF($E$2:E4207,"Domain"),"")</f>
        <v/>
      </c>
    </row>
    <row r="4208">
      <c r="A4208" s="2" t="n"/>
      <c r="B4208">
        <f>LOWER(TRIM(A4208))</f>
        <v/>
      </c>
      <c r="C4208">
        <f>IF(B4208="","",IFERROR(INDEX('Bad Patterns'!$A$2:$A$120,MATCH(1,INDEX(--ISNUMBER(SEARCH('Bad Patterns'!$A$2:$A$120,B4208)),0),0)),""))</f>
        <v/>
      </c>
      <c r="D4208">
        <f>IF(B4208="","",IF(C4208&lt;&gt;"","REMOVE","KEEP"))</f>
        <v/>
      </c>
      <c r="E4208">
        <f>IF(D4208&lt;&gt;"KEEP","",IF(RIGHT(B4208,10)="@gmail.com","Gmail",IF(OR(RIGHT(B4208,12)="@outlook.com",RIGHT(B4208,12)="@hotmail.com",RIGHT(B4208,9)="@live.com"),"Outlook","Domain")))</f>
        <v/>
      </c>
      <c r="F4208">
        <f>IF(B4208="","",IFERROR(RIGHT(B4208,LEN(B4208)-FIND("@",B4208)),""))</f>
        <v/>
      </c>
      <c r="G4208">
        <f>IF(D4208="KEEP",COUNTIF($D$2:D4208,"KEEP"),"")</f>
        <v/>
      </c>
      <c r="H4208">
        <f>IF(D4208="REMOVE",COUNTIF($D$2:D4208,"REMOVE"),"")</f>
        <v/>
      </c>
      <c r="I4208">
        <f>IF(E4208="Gmail",COUNTIF($E$2:E4208,"Gmail"),"")</f>
        <v/>
      </c>
      <c r="J4208">
        <f>IF(E4208="Outlook",COUNTIF($E$2:E4208,"Outlook"),"")</f>
        <v/>
      </c>
      <c r="K4208">
        <f>IF(E4208="Domain",COUNTIF($E$2:E4208,"Domain"),"")</f>
        <v/>
      </c>
    </row>
    <row r="4209">
      <c r="A4209" s="2" t="n"/>
      <c r="B4209">
        <f>LOWER(TRIM(A4209))</f>
        <v/>
      </c>
      <c r="C4209">
        <f>IF(B4209="","",IFERROR(INDEX('Bad Patterns'!$A$2:$A$120,MATCH(1,INDEX(--ISNUMBER(SEARCH('Bad Patterns'!$A$2:$A$120,B4209)),0),0)),""))</f>
        <v/>
      </c>
      <c r="D4209">
        <f>IF(B4209="","",IF(C4209&lt;&gt;"","REMOVE","KEEP"))</f>
        <v/>
      </c>
      <c r="E4209">
        <f>IF(D4209&lt;&gt;"KEEP","",IF(RIGHT(B4209,10)="@gmail.com","Gmail",IF(OR(RIGHT(B4209,12)="@outlook.com",RIGHT(B4209,12)="@hotmail.com",RIGHT(B4209,9)="@live.com"),"Outlook","Domain")))</f>
        <v/>
      </c>
      <c r="F4209">
        <f>IF(B4209="","",IFERROR(RIGHT(B4209,LEN(B4209)-FIND("@",B4209)),""))</f>
        <v/>
      </c>
      <c r="G4209">
        <f>IF(D4209="KEEP",COUNTIF($D$2:D4209,"KEEP"),"")</f>
        <v/>
      </c>
      <c r="H4209">
        <f>IF(D4209="REMOVE",COUNTIF($D$2:D4209,"REMOVE"),"")</f>
        <v/>
      </c>
      <c r="I4209">
        <f>IF(E4209="Gmail",COUNTIF($E$2:E4209,"Gmail"),"")</f>
        <v/>
      </c>
      <c r="J4209">
        <f>IF(E4209="Outlook",COUNTIF($E$2:E4209,"Outlook"),"")</f>
        <v/>
      </c>
      <c r="K4209">
        <f>IF(E4209="Domain",COUNTIF($E$2:E4209,"Domain"),"")</f>
        <v/>
      </c>
    </row>
    <row r="4210">
      <c r="A4210" s="2" t="n"/>
      <c r="B4210">
        <f>LOWER(TRIM(A4210))</f>
        <v/>
      </c>
      <c r="C4210">
        <f>IF(B4210="","",IFERROR(INDEX('Bad Patterns'!$A$2:$A$120,MATCH(1,INDEX(--ISNUMBER(SEARCH('Bad Patterns'!$A$2:$A$120,B4210)),0),0)),""))</f>
        <v/>
      </c>
      <c r="D4210">
        <f>IF(B4210="","",IF(C4210&lt;&gt;"","REMOVE","KEEP"))</f>
        <v/>
      </c>
      <c r="E4210">
        <f>IF(D4210&lt;&gt;"KEEP","",IF(RIGHT(B4210,10)="@gmail.com","Gmail",IF(OR(RIGHT(B4210,12)="@outlook.com",RIGHT(B4210,12)="@hotmail.com",RIGHT(B4210,9)="@live.com"),"Outlook","Domain")))</f>
        <v/>
      </c>
      <c r="F4210">
        <f>IF(B4210="","",IFERROR(RIGHT(B4210,LEN(B4210)-FIND("@",B4210)),""))</f>
        <v/>
      </c>
      <c r="G4210">
        <f>IF(D4210="KEEP",COUNTIF($D$2:D4210,"KEEP"),"")</f>
        <v/>
      </c>
      <c r="H4210">
        <f>IF(D4210="REMOVE",COUNTIF($D$2:D4210,"REMOVE"),"")</f>
        <v/>
      </c>
      <c r="I4210">
        <f>IF(E4210="Gmail",COUNTIF($E$2:E4210,"Gmail"),"")</f>
        <v/>
      </c>
      <c r="J4210">
        <f>IF(E4210="Outlook",COUNTIF($E$2:E4210,"Outlook"),"")</f>
        <v/>
      </c>
      <c r="K4210">
        <f>IF(E4210="Domain",COUNTIF($E$2:E4210,"Domain"),"")</f>
        <v/>
      </c>
    </row>
    <row r="4211">
      <c r="A4211" s="2" t="n"/>
      <c r="B4211">
        <f>LOWER(TRIM(A4211))</f>
        <v/>
      </c>
      <c r="C4211">
        <f>IF(B4211="","",IFERROR(INDEX('Bad Patterns'!$A$2:$A$120,MATCH(1,INDEX(--ISNUMBER(SEARCH('Bad Patterns'!$A$2:$A$120,B4211)),0),0)),""))</f>
        <v/>
      </c>
      <c r="D4211">
        <f>IF(B4211="","",IF(C4211&lt;&gt;"","REMOVE","KEEP"))</f>
        <v/>
      </c>
      <c r="E4211">
        <f>IF(D4211&lt;&gt;"KEEP","",IF(RIGHT(B4211,10)="@gmail.com","Gmail",IF(OR(RIGHT(B4211,12)="@outlook.com",RIGHT(B4211,12)="@hotmail.com",RIGHT(B4211,9)="@live.com"),"Outlook","Domain")))</f>
        <v/>
      </c>
      <c r="F4211">
        <f>IF(B4211="","",IFERROR(RIGHT(B4211,LEN(B4211)-FIND("@",B4211)),""))</f>
        <v/>
      </c>
      <c r="G4211">
        <f>IF(D4211="KEEP",COUNTIF($D$2:D4211,"KEEP"),"")</f>
        <v/>
      </c>
      <c r="H4211">
        <f>IF(D4211="REMOVE",COUNTIF($D$2:D4211,"REMOVE"),"")</f>
        <v/>
      </c>
      <c r="I4211">
        <f>IF(E4211="Gmail",COUNTIF($E$2:E4211,"Gmail"),"")</f>
        <v/>
      </c>
      <c r="J4211">
        <f>IF(E4211="Outlook",COUNTIF($E$2:E4211,"Outlook"),"")</f>
        <v/>
      </c>
      <c r="K4211">
        <f>IF(E4211="Domain",COUNTIF($E$2:E4211,"Domain"),"")</f>
        <v/>
      </c>
    </row>
    <row r="4212">
      <c r="A4212" s="2" t="n"/>
      <c r="B4212">
        <f>LOWER(TRIM(A4212))</f>
        <v/>
      </c>
      <c r="C4212">
        <f>IF(B4212="","",IFERROR(INDEX('Bad Patterns'!$A$2:$A$120,MATCH(1,INDEX(--ISNUMBER(SEARCH('Bad Patterns'!$A$2:$A$120,B4212)),0),0)),""))</f>
        <v/>
      </c>
      <c r="D4212">
        <f>IF(B4212="","",IF(C4212&lt;&gt;"","REMOVE","KEEP"))</f>
        <v/>
      </c>
      <c r="E4212">
        <f>IF(D4212&lt;&gt;"KEEP","",IF(RIGHT(B4212,10)="@gmail.com","Gmail",IF(OR(RIGHT(B4212,12)="@outlook.com",RIGHT(B4212,12)="@hotmail.com",RIGHT(B4212,9)="@live.com"),"Outlook","Domain")))</f>
        <v/>
      </c>
      <c r="F4212">
        <f>IF(B4212="","",IFERROR(RIGHT(B4212,LEN(B4212)-FIND("@",B4212)),""))</f>
        <v/>
      </c>
      <c r="G4212">
        <f>IF(D4212="KEEP",COUNTIF($D$2:D4212,"KEEP"),"")</f>
        <v/>
      </c>
      <c r="H4212">
        <f>IF(D4212="REMOVE",COUNTIF($D$2:D4212,"REMOVE"),"")</f>
        <v/>
      </c>
      <c r="I4212">
        <f>IF(E4212="Gmail",COUNTIF($E$2:E4212,"Gmail"),"")</f>
        <v/>
      </c>
      <c r="J4212">
        <f>IF(E4212="Outlook",COUNTIF($E$2:E4212,"Outlook"),"")</f>
        <v/>
      </c>
      <c r="K4212">
        <f>IF(E4212="Domain",COUNTIF($E$2:E4212,"Domain"),"")</f>
        <v/>
      </c>
    </row>
    <row r="4213">
      <c r="A4213" s="2" t="n"/>
      <c r="B4213">
        <f>LOWER(TRIM(A4213))</f>
        <v/>
      </c>
      <c r="C4213">
        <f>IF(B4213="","",IFERROR(INDEX('Bad Patterns'!$A$2:$A$120,MATCH(1,INDEX(--ISNUMBER(SEARCH('Bad Patterns'!$A$2:$A$120,B4213)),0),0)),""))</f>
        <v/>
      </c>
      <c r="D4213">
        <f>IF(B4213="","",IF(C4213&lt;&gt;"","REMOVE","KEEP"))</f>
        <v/>
      </c>
      <c r="E4213">
        <f>IF(D4213&lt;&gt;"KEEP","",IF(RIGHT(B4213,10)="@gmail.com","Gmail",IF(OR(RIGHT(B4213,12)="@outlook.com",RIGHT(B4213,12)="@hotmail.com",RIGHT(B4213,9)="@live.com"),"Outlook","Domain")))</f>
        <v/>
      </c>
      <c r="F4213">
        <f>IF(B4213="","",IFERROR(RIGHT(B4213,LEN(B4213)-FIND("@",B4213)),""))</f>
        <v/>
      </c>
      <c r="G4213">
        <f>IF(D4213="KEEP",COUNTIF($D$2:D4213,"KEEP"),"")</f>
        <v/>
      </c>
      <c r="H4213">
        <f>IF(D4213="REMOVE",COUNTIF($D$2:D4213,"REMOVE"),"")</f>
        <v/>
      </c>
      <c r="I4213">
        <f>IF(E4213="Gmail",COUNTIF($E$2:E4213,"Gmail"),"")</f>
        <v/>
      </c>
      <c r="J4213">
        <f>IF(E4213="Outlook",COUNTIF($E$2:E4213,"Outlook"),"")</f>
        <v/>
      </c>
      <c r="K4213">
        <f>IF(E4213="Domain",COUNTIF($E$2:E4213,"Domain"),"")</f>
        <v/>
      </c>
    </row>
    <row r="4214">
      <c r="A4214" s="2" t="n"/>
      <c r="B4214">
        <f>LOWER(TRIM(A4214))</f>
        <v/>
      </c>
      <c r="C4214">
        <f>IF(B4214="","",IFERROR(INDEX('Bad Patterns'!$A$2:$A$120,MATCH(1,INDEX(--ISNUMBER(SEARCH('Bad Patterns'!$A$2:$A$120,B4214)),0),0)),""))</f>
        <v/>
      </c>
      <c r="D4214">
        <f>IF(B4214="","",IF(C4214&lt;&gt;"","REMOVE","KEEP"))</f>
        <v/>
      </c>
      <c r="E4214">
        <f>IF(D4214&lt;&gt;"KEEP","",IF(RIGHT(B4214,10)="@gmail.com","Gmail",IF(OR(RIGHT(B4214,12)="@outlook.com",RIGHT(B4214,12)="@hotmail.com",RIGHT(B4214,9)="@live.com"),"Outlook","Domain")))</f>
        <v/>
      </c>
      <c r="F4214">
        <f>IF(B4214="","",IFERROR(RIGHT(B4214,LEN(B4214)-FIND("@",B4214)),""))</f>
        <v/>
      </c>
      <c r="G4214">
        <f>IF(D4214="KEEP",COUNTIF($D$2:D4214,"KEEP"),"")</f>
        <v/>
      </c>
      <c r="H4214">
        <f>IF(D4214="REMOVE",COUNTIF($D$2:D4214,"REMOVE"),"")</f>
        <v/>
      </c>
      <c r="I4214">
        <f>IF(E4214="Gmail",COUNTIF($E$2:E4214,"Gmail"),"")</f>
        <v/>
      </c>
      <c r="J4214">
        <f>IF(E4214="Outlook",COUNTIF($E$2:E4214,"Outlook"),"")</f>
        <v/>
      </c>
      <c r="K4214">
        <f>IF(E4214="Domain",COUNTIF($E$2:E4214,"Domain"),"")</f>
        <v/>
      </c>
    </row>
    <row r="4215">
      <c r="A4215" s="2" t="n"/>
      <c r="B4215">
        <f>LOWER(TRIM(A4215))</f>
        <v/>
      </c>
      <c r="C4215">
        <f>IF(B4215="","",IFERROR(INDEX('Bad Patterns'!$A$2:$A$120,MATCH(1,INDEX(--ISNUMBER(SEARCH('Bad Patterns'!$A$2:$A$120,B4215)),0),0)),""))</f>
        <v/>
      </c>
      <c r="D4215">
        <f>IF(B4215="","",IF(C4215&lt;&gt;"","REMOVE","KEEP"))</f>
        <v/>
      </c>
      <c r="E4215">
        <f>IF(D4215&lt;&gt;"KEEP","",IF(RIGHT(B4215,10)="@gmail.com","Gmail",IF(OR(RIGHT(B4215,12)="@outlook.com",RIGHT(B4215,12)="@hotmail.com",RIGHT(B4215,9)="@live.com"),"Outlook","Domain")))</f>
        <v/>
      </c>
      <c r="F4215">
        <f>IF(B4215="","",IFERROR(RIGHT(B4215,LEN(B4215)-FIND("@",B4215)),""))</f>
        <v/>
      </c>
      <c r="G4215">
        <f>IF(D4215="KEEP",COUNTIF($D$2:D4215,"KEEP"),"")</f>
        <v/>
      </c>
      <c r="H4215">
        <f>IF(D4215="REMOVE",COUNTIF($D$2:D4215,"REMOVE"),"")</f>
        <v/>
      </c>
      <c r="I4215">
        <f>IF(E4215="Gmail",COUNTIF($E$2:E4215,"Gmail"),"")</f>
        <v/>
      </c>
      <c r="J4215">
        <f>IF(E4215="Outlook",COUNTIF($E$2:E4215,"Outlook"),"")</f>
        <v/>
      </c>
      <c r="K4215">
        <f>IF(E4215="Domain",COUNTIF($E$2:E4215,"Domain"),"")</f>
        <v/>
      </c>
    </row>
    <row r="4216">
      <c r="A4216" s="2" t="n"/>
      <c r="B4216">
        <f>LOWER(TRIM(A4216))</f>
        <v/>
      </c>
      <c r="C4216">
        <f>IF(B4216="","",IFERROR(INDEX('Bad Patterns'!$A$2:$A$120,MATCH(1,INDEX(--ISNUMBER(SEARCH('Bad Patterns'!$A$2:$A$120,B4216)),0),0)),""))</f>
        <v/>
      </c>
      <c r="D4216">
        <f>IF(B4216="","",IF(C4216&lt;&gt;"","REMOVE","KEEP"))</f>
        <v/>
      </c>
      <c r="E4216">
        <f>IF(D4216&lt;&gt;"KEEP","",IF(RIGHT(B4216,10)="@gmail.com","Gmail",IF(OR(RIGHT(B4216,12)="@outlook.com",RIGHT(B4216,12)="@hotmail.com",RIGHT(B4216,9)="@live.com"),"Outlook","Domain")))</f>
        <v/>
      </c>
      <c r="F4216">
        <f>IF(B4216="","",IFERROR(RIGHT(B4216,LEN(B4216)-FIND("@",B4216)),""))</f>
        <v/>
      </c>
      <c r="G4216">
        <f>IF(D4216="KEEP",COUNTIF($D$2:D4216,"KEEP"),"")</f>
        <v/>
      </c>
      <c r="H4216">
        <f>IF(D4216="REMOVE",COUNTIF($D$2:D4216,"REMOVE"),"")</f>
        <v/>
      </c>
      <c r="I4216">
        <f>IF(E4216="Gmail",COUNTIF($E$2:E4216,"Gmail"),"")</f>
        <v/>
      </c>
      <c r="J4216">
        <f>IF(E4216="Outlook",COUNTIF($E$2:E4216,"Outlook"),"")</f>
        <v/>
      </c>
      <c r="K4216">
        <f>IF(E4216="Domain",COUNTIF($E$2:E4216,"Domain"),"")</f>
        <v/>
      </c>
    </row>
    <row r="4217">
      <c r="A4217" s="2" t="n"/>
      <c r="B4217">
        <f>LOWER(TRIM(A4217))</f>
        <v/>
      </c>
      <c r="C4217">
        <f>IF(B4217="","",IFERROR(INDEX('Bad Patterns'!$A$2:$A$120,MATCH(1,INDEX(--ISNUMBER(SEARCH('Bad Patterns'!$A$2:$A$120,B4217)),0),0)),""))</f>
        <v/>
      </c>
      <c r="D4217">
        <f>IF(B4217="","",IF(C4217&lt;&gt;"","REMOVE","KEEP"))</f>
        <v/>
      </c>
      <c r="E4217">
        <f>IF(D4217&lt;&gt;"KEEP","",IF(RIGHT(B4217,10)="@gmail.com","Gmail",IF(OR(RIGHT(B4217,12)="@outlook.com",RIGHT(B4217,12)="@hotmail.com",RIGHT(B4217,9)="@live.com"),"Outlook","Domain")))</f>
        <v/>
      </c>
      <c r="F4217">
        <f>IF(B4217="","",IFERROR(RIGHT(B4217,LEN(B4217)-FIND("@",B4217)),""))</f>
        <v/>
      </c>
      <c r="G4217">
        <f>IF(D4217="KEEP",COUNTIF($D$2:D4217,"KEEP"),"")</f>
        <v/>
      </c>
      <c r="H4217">
        <f>IF(D4217="REMOVE",COUNTIF($D$2:D4217,"REMOVE"),"")</f>
        <v/>
      </c>
      <c r="I4217">
        <f>IF(E4217="Gmail",COUNTIF($E$2:E4217,"Gmail"),"")</f>
        <v/>
      </c>
      <c r="J4217">
        <f>IF(E4217="Outlook",COUNTIF($E$2:E4217,"Outlook"),"")</f>
        <v/>
      </c>
      <c r="K4217">
        <f>IF(E4217="Domain",COUNTIF($E$2:E4217,"Domain"),"")</f>
        <v/>
      </c>
    </row>
    <row r="4218">
      <c r="A4218" s="2" t="n"/>
      <c r="B4218">
        <f>LOWER(TRIM(A4218))</f>
        <v/>
      </c>
      <c r="C4218">
        <f>IF(B4218="","",IFERROR(INDEX('Bad Patterns'!$A$2:$A$120,MATCH(1,INDEX(--ISNUMBER(SEARCH('Bad Patterns'!$A$2:$A$120,B4218)),0),0)),""))</f>
        <v/>
      </c>
      <c r="D4218">
        <f>IF(B4218="","",IF(C4218&lt;&gt;"","REMOVE","KEEP"))</f>
        <v/>
      </c>
      <c r="E4218">
        <f>IF(D4218&lt;&gt;"KEEP","",IF(RIGHT(B4218,10)="@gmail.com","Gmail",IF(OR(RIGHT(B4218,12)="@outlook.com",RIGHT(B4218,12)="@hotmail.com",RIGHT(B4218,9)="@live.com"),"Outlook","Domain")))</f>
        <v/>
      </c>
      <c r="F4218">
        <f>IF(B4218="","",IFERROR(RIGHT(B4218,LEN(B4218)-FIND("@",B4218)),""))</f>
        <v/>
      </c>
      <c r="G4218">
        <f>IF(D4218="KEEP",COUNTIF($D$2:D4218,"KEEP"),"")</f>
        <v/>
      </c>
      <c r="H4218">
        <f>IF(D4218="REMOVE",COUNTIF($D$2:D4218,"REMOVE"),"")</f>
        <v/>
      </c>
      <c r="I4218">
        <f>IF(E4218="Gmail",COUNTIF($E$2:E4218,"Gmail"),"")</f>
        <v/>
      </c>
      <c r="J4218">
        <f>IF(E4218="Outlook",COUNTIF($E$2:E4218,"Outlook"),"")</f>
        <v/>
      </c>
      <c r="K4218">
        <f>IF(E4218="Domain",COUNTIF($E$2:E4218,"Domain"),"")</f>
        <v/>
      </c>
    </row>
    <row r="4219">
      <c r="A4219" s="2" t="n"/>
      <c r="B4219">
        <f>LOWER(TRIM(A4219))</f>
        <v/>
      </c>
      <c r="C4219">
        <f>IF(B4219="","",IFERROR(INDEX('Bad Patterns'!$A$2:$A$120,MATCH(1,INDEX(--ISNUMBER(SEARCH('Bad Patterns'!$A$2:$A$120,B4219)),0),0)),""))</f>
        <v/>
      </c>
      <c r="D4219">
        <f>IF(B4219="","",IF(C4219&lt;&gt;"","REMOVE","KEEP"))</f>
        <v/>
      </c>
      <c r="E4219">
        <f>IF(D4219&lt;&gt;"KEEP","",IF(RIGHT(B4219,10)="@gmail.com","Gmail",IF(OR(RIGHT(B4219,12)="@outlook.com",RIGHT(B4219,12)="@hotmail.com",RIGHT(B4219,9)="@live.com"),"Outlook","Domain")))</f>
        <v/>
      </c>
      <c r="F4219">
        <f>IF(B4219="","",IFERROR(RIGHT(B4219,LEN(B4219)-FIND("@",B4219)),""))</f>
        <v/>
      </c>
      <c r="G4219">
        <f>IF(D4219="KEEP",COUNTIF($D$2:D4219,"KEEP"),"")</f>
        <v/>
      </c>
      <c r="H4219">
        <f>IF(D4219="REMOVE",COUNTIF($D$2:D4219,"REMOVE"),"")</f>
        <v/>
      </c>
      <c r="I4219">
        <f>IF(E4219="Gmail",COUNTIF($E$2:E4219,"Gmail"),"")</f>
        <v/>
      </c>
      <c r="J4219">
        <f>IF(E4219="Outlook",COUNTIF($E$2:E4219,"Outlook"),"")</f>
        <v/>
      </c>
      <c r="K4219">
        <f>IF(E4219="Domain",COUNTIF($E$2:E4219,"Domain"),"")</f>
        <v/>
      </c>
    </row>
    <row r="4220">
      <c r="A4220" s="2" t="n"/>
      <c r="B4220">
        <f>LOWER(TRIM(A4220))</f>
        <v/>
      </c>
      <c r="C4220">
        <f>IF(B4220="","",IFERROR(INDEX('Bad Patterns'!$A$2:$A$120,MATCH(1,INDEX(--ISNUMBER(SEARCH('Bad Patterns'!$A$2:$A$120,B4220)),0),0)),""))</f>
        <v/>
      </c>
      <c r="D4220">
        <f>IF(B4220="","",IF(C4220&lt;&gt;"","REMOVE","KEEP"))</f>
        <v/>
      </c>
      <c r="E4220">
        <f>IF(D4220&lt;&gt;"KEEP","",IF(RIGHT(B4220,10)="@gmail.com","Gmail",IF(OR(RIGHT(B4220,12)="@outlook.com",RIGHT(B4220,12)="@hotmail.com",RIGHT(B4220,9)="@live.com"),"Outlook","Domain")))</f>
        <v/>
      </c>
      <c r="F4220">
        <f>IF(B4220="","",IFERROR(RIGHT(B4220,LEN(B4220)-FIND("@",B4220)),""))</f>
        <v/>
      </c>
      <c r="G4220">
        <f>IF(D4220="KEEP",COUNTIF($D$2:D4220,"KEEP"),"")</f>
        <v/>
      </c>
      <c r="H4220">
        <f>IF(D4220="REMOVE",COUNTIF($D$2:D4220,"REMOVE"),"")</f>
        <v/>
      </c>
      <c r="I4220">
        <f>IF(E4220="Gmail",COUNTIF($E$2:E4220,"Gmail"),"")</f>
        <v/>
      </c>
      <c r="J4220">
        <f>IF(E4220="Outlook",COUNTIF($E$2:E4220,"Outlook"),"")</f>
        <v/>
      </c>
      <c r="K4220">
        <f>IF(E4220="Domain",COUNTIF($E$2:E4220,"Domain"),"")</f>
        <v/>
      </c>
    </row>
    <row r="4221">
      <c r="A4221" s="2" t="n"/>
      <c r="B4221">
        <f>LOWER(TRIM(A4221))</f>
        <v/>
      </c>
      <c r="C4221">
        <f>IF(B4221="","",IFERROR(INDEX('Bad Patterns'!$A$2:$A$120,MATCH(1,INDEX(--ISNUMBER(SEARCH('Bad Patterns'!$A$2:$A$120,B4221)),0),0)),""))</f>
        <v/>
      </c>
      <c r="D4221">
        <f>IF(B4221="","",IF(C4221&lt;&gt;"","REMOVE","KEEP"))</f>
        <v/>
      </c>
      <c r="E4221">
        <f>IF(D4221&lt;&gt;"KEEP","",IF(RIGHT(B4221,10)="@gmail.com","Gmail",IF(OR(RIGHT(B4221,12)="@outlook.com",RIGHT(B4221,12)="@hotmail.com",RIGHT(B4221,9)="@live.com"),"Outlook","Domain")))</f>
        <v/>
      </c>
      <c r="F4221">
        <f>IF(B4221="","",IFERROR(RIGHT(B4221,LEN(B4221)-FIND("@",B4221)),""))</f>
        <v/>
      </c>
      <c r="G4221">
        <f>IF(D4221="KEEP",COUNTIF($D$2:D4221,"KEEP"),"")</f>
        <v/>
      </c>
      <c r="H4221">
        <f>IF(D4221="REMOVE",COUNTIF($D$2:D4221,"REMOVE"),"")</f>
        <v/>
      </c>
      <c r="I4221">
        <f>IF(E4221="Gmail",COUNTIF($E$2:E4221,"Gmail"),"")</f>
        <v/>
      </c>
      <c r="J4221">
        <f>IF(E4221="Outlook",COUNTIF($E$2:E4221,"Outlook"),"")</f>
        <v/>
      </c>
      <c r="K4221">
        <f>IF(E4221="Domain",COUNTIF($E$2:E4221,"Domain"),"")</f>
        <v/>
      </c>
    </row>
    <row r="4222">
      <c r="A4222" s="2" t="n"/>
      <c r="B4222">
        <f>LOWER(TRIM(A4222))</f>
        <v/>
      </c>
      <c r="C4222">
        <f>IF(B4222="","",IFERROR(INDEX('Bad Patterns'!$A$2:$A$120,MATCH(1,INDEX(--ISNUMBER(SEARCH('Bad Patterns'!$A$2:$A$120,B4222)),0),0)),""))</f>
        <v/>
      </c>
      <c r="D4222">
        <f>IF(B4222="","",IF(C4222&lt;&gt;"","REMOVE","KEEP"))</f>
        <v/>
      </c>
      <c r="E4222">
        <f>IF(D4222&lt;&gt;"KEEP","",IF(RIGHT(B4222,10)="@gmail.com","Gmail",IF(OR(RIGHT(B4222,12)="@outlook.com",RIGHT(B4222,12)="@hotmail.com",RIGHT(B4222,9)="@live.com"),"Outlook","Domain")))</f>
        <v/>
      </c>
      <c r="F4222">
        <f>IF(B4222="","",IFERROR(RIGHT(B4222,LEN(B4222)-FIND("@",B4222)),""))</f>
        <v/>
      </c>
      <c r="G4222">
        <f>IF(D4222="KEEP",COUNTIF($D$2:D4222,"KEEP"),"")</f>
        <v/>
      </c>
      <c r="H4222">
        <f>IF(D4222="REMOVE",COUNTIF($D$2:D4222,"REMOVE"),"")</f>
        <v/>
      </c>
      <c r="I4222">
        <f>IF(E4222="Gmail",COUNTIF($E$2:E4222,"Gmail"),"")</f>
        <v/>
      </c>
      <c r="J4222">
        <f>IF(E4222="Outlook",COUNTIF($E$2:E4222,"Outlook"),"")</f>
        <v/>
      </c>
      <c r="K4222">
        <f>IF(E4222="Domain",COUNTIF($E$2:E4222,"Domain"),"")</f>
        <v/>
      </c>
    </row>
    <row r="4223">
      <c r="A4223" s="2" t="n"/>
      <c r="B4223">
        <f>LOWER(TRIM(A4223))</f>
        <v/>
      </c>
      <c r="C4223">
        <f>IF(B4223="","",IFERROR(INDEX('Bad Patterns'!$A$2:$A$120,MATCH(1,INDEX(--ISNUMBER(SEARCH('Bad Patterns'!$A$2:$A$120,B4223)),0),0)),""))</f>
        <v/>
      </c>
      <c r="D4223">
        <f>IF(B4223="","",IF(C4223&lt;&gt;"","REMOVE","KEEP"))</f>
        <v/>
      </c>
      <c r="E4223">
        <f>IF(D4223&lt;&gt;"KEEP","",IF(RIGHT(B4223,10)="@gmail.com","Gmail",IF(OR(RIGHT(B4223,12)="@outlook.com",RIGHT(B4223,12)="@hotmail.com",RIGHT(B4223,9)="@live.com"),"Outlook","Domain")))</f>
        <v/>
      </c>
      <c r="F4223">
        <f>IF(B4223="","",IFERROR(RIGHT(B4223,LEN(B4223)-FIND("@",B4223)),""))</f>
        <v/>
      </c>
      <c r="G4223">
        <f>IF(D4223="KEEP",COUNTIF($D$2:D4223,"KEEP"),"")</f>
        <v/>
      </c>
      <c r="H4223">
        <f>IF(D4223="REMOVE",COUNTIF($D$2:D4223,"REMOVE"),"")</f>
        <v/>
      </c>
      <c r="I4223">
        <f>IF(E4223="Gmail",COUNTIF($E$2:E4223,"Gmail"),"")</f>
        <v/>
      </c>
      <c r="J4223">
        <f>IF(E4223="Outlook",COUNTIF($E$2:E4223,"Outlook"),"")</f>
        <v/>
      </c>
      <c r="K4223">
        <f>IF(E4223="Domain",COUNTIF($E$2:E4223,"Domain"),"")</f>
        <v/>
      </c>
    </row>
    <row r="4224">
      <c r="A4224" s="2" t="n"/>
      <c r="B4224">
        <f>LOWER(TRIM(A4224))</f>
        <v/>
      </c>
      <c r="C4224">
        <f>IF(B4224="","",IFERROR(INDEX('Bad Patterns'!$A$2:$A$120,MATCH(1,INDEX(--ISNUMBER(SEARCH('Bad Patterns'!$A$2:$A$120,B4224)),0),0)),""))</f>
        <v/>
      </c>
      <c r="D4224">
        <f>IF(B4224="","",IF(C4224&lt;&gt;"","REMOVE","KEEP"))</f>
        <v/>
      </c>
      <c r="E4224">
        <f>IF(D4224&lt;&gt;"KEEP","",IF(RIGHT(B4224,10)="@gmail.com","Gmail",IF(OR(RIGHT(B4224,12)="@outlook.com",RIGHT(B4224,12)="@hotmail.com",RIGHT(B4224,9)="@live.com"),"Outlook","Domain")))</f>
        <v/>
      </c>
      <c r="F4224">
        <f>IF(B4224="","",IFERROR(RIGHT(B4224,LEN(B4224)-FIND("@",B4224)),""))</f>
        <v/>
      </c>
      <c r="G4224">
        <f>IF(D4224="KEEP",COUNTIF($D$2:D4224,"KEEP"),"")</f>
        <v/>
      </c>
      <c r="H4224">
        <f>IF(D4224="REMOVE",COUNTIF($D$2:D4224,"REMOVE"),"")</f>
        <v/>
      </c>
      <c r="I4224">
        <f>IF(E4224="Gmail",COUNTIF($E$2:E4224,"Gmail"),"")</f>
        <v/>
      </c>
      <c r="J4224">
        <f>IF(E4224="Outlook",COUNTIF($E$2:E4224,"Outlook"),"")</f>
        <v/>
      </c>
      <c r="K4224">
        <f>IF(E4224="Domain",COUNTIF($E$2:E4224,"Domain"),"")</f>
        <v/>
      </c>
    </row>
    <row r="4225">
      <c r="A4225" s="2" t="n"/>
      <c r="B4225">
        <f>LOWER(TRIM(A4225))</f>
        <v/>
      </c>
      <c r="C4225">
        <f>IF(B4225="","",IFERROR(INDEX('Bad Patterns'!$A$2:$A$120,MATCH(1,INDEX(--ISNUMBER(SEARCH('Bad Patterns'!$A$2:$A$120,B4225)),0),0)),""))</f>
        <v/>
      </c>
      <c r="D4225">
        <f>IF(B4225="","",IF(C4225&lt;&gt;"","REMOVE","KEEP"))</f>
        <v/>
      </c>
      <c r="E4225">
        <f>IF(D4225&lt;&gt;"KEEP","",IF(RIGHT(B4225,10)="@gmail.com","Gmail",IF(OR(RIGHT(B4225,12)="@outlook.com",RIGHT(B4225,12)="@hotmail.com",RIGHT(B4225,9)="@live.com"),"Outlook","Domain")))</f>
        <v/>
      </c>
      <c r="F4225">
        <f>IF(B4225="","",IFERROR(RIGHT(B4225,LEN(B4225)-FIND("@",B4225)),""))</f>
        <v/>
      </c>
      <c r="G4225">
        <f>IF(D4225="KEEP",COUNTIF($D$2:D4225,"KEEP"),"")</f>
        <v/>
      </c>
      <c r="H4225">
        <f>IF(D4225="REMOVE",COUNTIF($D$2:D4225,"REMOVE"),"")</f>
        <v/>
      </c>
      <c r="I4225">
        <f>IF(E4225="Gmail",COUNTIF($E$2:E4225,"Gmail"),"")</f>
        <v/>
      </c>
      <c r="J4225">
        <f>IF(E4225="Outlook",COUNTIF($E$2:E4225,"Outlook"),"")</f>
        <v/>
      </c>
      <c r="K4225">
        <f>IF(E4225="Domain",COUNTIF($E$2:E4225,"Domain"),"")</f>
        <v/>
      </c>
    </row>
    <row r="4226">
      <c r="A4226" s="2" t="n"/>
      <c r="B4226">
        <f>LOWER(TRIM(A4226))</f>
        <v/>
      </c>
      <c r="C4226">
        <f>IF(B4226="","",IFERROR(INDEX('Bad Patterns'!$A$2:$A$120,MATCH(1,INDEX(--ISNUMBER(SEARCH('Bad Patterns'!$A$2:$A$120,B4226)),0),0)),""))</f>
        <v/>
      </c>
      <c r="D4226">
        <f>IF(B4226="","",IF(C4226&lt;&gt;"","REMOVE","KEEP"))</f>
        <v/>
      </c>
      <c r="E4226">
        <f>IF(D4226&lt;&gt;"KEEP","",IF(RIGHT(B4226,10)="@gmail.com","Gmail",IF(OR(RIGHT(B4226,12)="@outlook.com",RIGHT(B4226,12)="@hotmail.com",RIGHT(B4226,9)="@live.com"),"Outlook","Domain")))</f>
        <v/>
      </c>
      <c r="F4226">
        <f>IF(B4226="","",IFERROR(RIGHT(B4226,LEN(B4226)-FIND("@",B4226)),""))</f>
        <v/>
      </c>
      <c r="G4226">
        <f>IF(D4226="KEEP",COUNTIF($D$2:D4226,"KEEP"),"")</f>
        <v/>
      </c>
      <c r="H4226">
        <f>IF(D4226="REMOVE",COUNTIF($D$2:D4226,"REMOVE"),"")</f>
        <v/>
      </c>
      <c r="I4226">
        <f>IF(E4226="Gmail",COUNTIF($E$2:E4226,"Gmail"),"")</f>
        <v/>
      </c>
      <c r="J4226">
        <f>IF(E4226="Outlook",COUNTIF($E$2:E4226,"Outlook"),"")</f>
        <v/>
      </c>
      <c r="K4226">
        <f>IF(E4226="Domain",COUNTIF($E$2:E4226,"Domain"),"")</f>
        <v/>
      </c>
    </row>
    <row r="4227">
      <c r="A4227" s="2" t="n"/>
      <c r="B4227">
        <f>LOWER(TRIM(A4227))</f>
        <v/>
      </c>
      <c r="C4227">
        <f>IF(B4227="","",IFERROR(INDEX('Bad Patterns'!$A$2:$A$120,MATCH(1,INDEX(--ISNUMBER(SEARCH('Bad Patterns'!$A$2:$A$120,B4227)),0),0)),""))</f>
        <v/>
      </c>
      <c r="D4227">
        <f>IF(B4227="","",IF(C4227&lt;&gt;"","REMOVE","KEEP"))</f>
        <v/>
      </c>
      <c r="E4227">
        <f>IF(D4227&lt;&gt;"KEEP","",IF(RIGHT(B4227,10)="@gmail.com","Gmail",IF(OR(RIGHT(B4227,12)="@outlook.com",RIGHT(B4227,12)="@hotmail.com",RIGHT(B4227,9)="@live.com"),"Outlook","Domain")))</f>
        <v/>
      </c>
      <c r="F4227">
        <f>IF(B4227="","",IFERROR(RIGHT(B4227,LEN(B4227)-FIND("@",B4227)),""))</f>
        <v/>
      </c>
      <c r="G4227">
        <f>IF(D4227="KEEP",COUNTIF($D$2:D4227,"KEEP"),"")</f>
        <v/>
      </c>
      <c r="H4227">
        <f>IF(D4227="REMOVE",COUNTIF($D$2:D4227,"REMOVE"),"")</f>
        <v/>
      </c>
      <c r="I4227">
        <f>IF(E4227="Gmail",COUNTIF($E$2:E4227,"Gmail"),"")</f>
        <v/>
      </c>
      <c r="J4227">
        <f>IF(E4227="Outlook",COUNTIF($E$2:E4227,"Outlook"),"")</f>
        <v/>
      </c>
      <c r="K4227">
        <f>IF(E4227="Domain",COUNTIF($E$2:E4227,"Domain"),"")</f>
        <v/>
      </c>
    </row>
    <row r="4228">
      <c r="A4228" s="2" t="n"/>
      <c r="B4228">
        <f>LOWER(TRIM(A4228))</f>
        <v/>
      </c>
      <c r="C4228">
        <f>IF(B4228="","",IFERROR(INDEX('Bad Patterns'!$A$2:$A$120,MATCH(1,INDEX(--ISNUMBER(SEARCH('Bad Patterns'!$A$2:$A$120,B4228)),0),0)),""))</f>
        <v/>
      </c>
      <c r="D4228">
        <f>IF(B4228="","",IF(C4228&lt;&gt;"","REMOVE","KEEP"))</f>
        <v/>
      </c>
      <c r="E4228">
        <f>IF(D4228&lt;&gt;"KEEP","",IF(RIGHT(B4228,10)="@gmail.com","Gmail",IF(OR(RIGHT(B4228,12)="@outlook.com",RIGHT(B4228,12)="@hotmail.com",RIGHT(B4228,9)="@live.com"),"Outlook","Domain")))</f>
        <v/>
      </c>
      <c r="F4228">
        <f>IF(B4228="","",IFERROR(RIGHT(B4228,LEN(B4228)-FIND("@",B4228)),""))</f>
        <v/>
      </c>
      <c r="G4228">
        <f>IF(D4228="KEEP",COUNTIF($D$2:D4228,"KEEP"),"")</f>
        <v/>
      </c>
      <c r="H4228">
        <f>IF(D4228="REMOVE",COUNTIF($D$2:D4228,"REMOVE"),"")</f>
        <v/>
      </c>
      <c r="I4228">
        <f>IF(E4228="Gmail",COUNTIF($E$2:E4228,"Gmail"),"")</f>
        <v/>
      </c>
      <c r="J4228">
        <f>IF(E4228="Outlook",COUNTIF($E$2:E4228,"Outlook"),"")</f>
        <v/>
      </c>
      <c r="K4228">
        <f>IF(E4228="Domain",COUNTIF($E$2:E4228,"Domain"),"")</f>
        <v/>
      </c>
    </row>
    <row r="4229">
      <c r="A4229" s="2" t="n"/>
      <c r="B4229">
        <f>LOWER(TRIM(A4229))</f>
        <v/>
      </c>
      <c r="C4229">
        <f>IF(B4229="","",IFERROR(INDEX('Bad Patterns'!$A$2:$A$120,MATCH(1,INDEX(--ISNUMBER(SEARCH('Bad Patterns'!$A$2:$A$120,B4229)),0),0)),""))</f>
        <v/>
      </c>
      <c r="D4229">
        <f>IF(B4229="","",IF(C4229&lt;&gt;"","REMOVE","KEEP"))</f>
        <v/>
      </c>
      <c r="E4229">
        <f>IF(D4229&lt;&gt;"KEEP","",IF(RIGHT(B4229,10)="@gmail.com","Gmail",IF(OR(RIGHT(B4229,12)="@outlook.com",RIGHT(B4229,12)="@hotmail.com",RIGHT(B4229,9)="@live.com"),"Outlook","Domain")))</f>
        <v/>
      </c>
      <c r="F4229">
        <f>IF(B4229="","",IFERROR(RIGHT(B4229,LEN(B4229)-FIND("@",B4229)),""))</f>
        <v/>
      </c>
      <c r="G4229">
        <f>IF(D4229="KEEP",COUNTIF($D$2:D4229,"KEEP"),"")</f>
        <v/>
      </c>
      <c r="H4229">
        <f>IF(D4229="REMOVE",COUNTIF($D$2:D4229,"REMOVE"),"")</f>
        <v/>
      </c>
      <c r="I4229">
        <f>IF(E4229="Gmail",COUNTIF($E$2:E4229,"Gmail"),"")</f>
        <v/>
      </c>
      <c r="J4229">
        <f>IF(E4229="Outlook",COUNTIF($E$2:E4229,"Outlook"),"")</f>
        <v/>
      </c>
      <c r="K4229">
        <f>IF(E4229="Domain",COUNTIF($E$2:E4229,"Domain"),"")</f>
        <v/>
      </c>
    </row>
    <row r="4230">
      <c r="A4230" s="2" t="n"/>
      <c r="B4230">
        <f>LOWER(TRIM(A4230))</f>
        <v/>
      </c>
      <c r="C4230">
        <f>IF(B4230="","",IFERROR(INDEX('Bad Patterns'!$A$2:$A$120,MATCH(1,INDEX(--ISNUMBER(SEARCH('Bad Patterns'!$A$2:$A$120,B4230)),0),0)),""))</f>
        <v/>
      </c>
      <c r="D4230">
        <f>IF(B4230="","",IF(C4230&lt;&gt;"","REMOVE","KEEP"))</f>
        <v/>
      </c>
      <c r="E4230">
        <f>IF(D4230&lt;&gt;"KEEP","",IF(RIGHT(B4230,10)="@gmail.com","Gmail",IF(OR(RIGHT(B4230,12)="@outlook.com",RIGHT(B4230,12)="@hotmail.com",RIGHT(B4230,9)="@live.com"),"Outlook","Domain")))</f>
        <v/>
      </c>
      <c r="F4230">
        <f>IF(B4230="","",IFERROR(RIGHT(B4230,LEN(B4230)-FIND("@",B4230)),""))</f>
        <v/>
      </c>
      <c r="G4230">
        <f>IF(D4230="KEEP",COUNTIF($D$2:D4230,"KEEP"),"")</f>
        <v/>
      </c>
      <c r="H4230">
        <f>IF(D4230="REMOVE",COUNTIF($D$2:D4230,"REMOVE"),"")</f>
        <v/>
      </c>
      <c r="I4230">
        <f>IF(E4230="Gmail",COUNTIF($E$2:E4230,"Gmail"),"")</f>
        <v/>
      </c>
      <c r="J4230">
        <f>IF(E4230="Outlook",COUNTIF($E$2:E4230,"Outlook"),"")</f>
        <v/>
      </c>
      <c r="K4230">
        <f>IF(E4230="Domain",COUNTIF($E$2:E4230,"Domain"),"")</f>
        <v/>
      </c>
    </row>
    <row r="4231">
      <c r="A4231" s="2" t="n"/>
      <c r="B4231">
        <f>LOWER(TRIM(A4231))</f>
        <v/>
      </c>
      <c r="C4231">
        <f>IF(B4231="","",IFERROR(INDEX('Bad Patterns'!$A$2:$A$120,MATCH(1,INDEX(--ISNUMBER(SEARCH('Bad Patterns'!$A$2:$A$120,B4231)),0),0)),""))</f>
        <v/>
      </c>
      <c r="D4231">
        <f>IF(B4231="","",IF(C4231&lt;&gt;"","REMOVE","KEEP"))</f>
        <v/>
      </c>
      <c r="E4231">
        <f>IF(D4231&lt;&gt;"KEEP","",IF(RIGHT(B4231,10)="@gmail.com","Gmail",IF(OR(RIGHT(B4231,12)="@outlook.com",RIGHT(B4231,12)="@hotmail.com",RIGHT(B4231,9)="@live.com"),"Outlook","Domain")))</f>
        <v/>
      </c>
      <c r="F4231">
        <f>IF(B4231="","",IFERROR(RIGHT(B4231,LEN(B4231)-FIND("@",B4231)),""))</f>
        <v/>
      </c>
      <c r="G4231">
        <f>IF(D4231="KEEP",COUNTIF($D$2:D4231,"KEEP"),"")</f>
        <v/>
      </c>
      <c r="H4231">
        <f>IF(D4231="REMOVE",COUNTIF($D$2:D4231,"REMOVE"),"")</f>
        <v/>
      </c>
      <c r="I4231">
        <f>IF(E4231="Gmail",COUNTIF($E$2:E4231,"Gmail"),"")</f>
        <v/>
      </c>
      <c r="J4231">
        <f>IF(E4231="Outlook",COUNTIF($E$2:E4231,"Outlook"),"")</f>
        <v/>
      </c>
      <c r="K4231">
        <f>IF(E4231="Domain",COUNTIF($E$2:E4231,"Domain"),"")</f>
        <v/>
      </c>
    </row>
    <row r="4232">
      <c r="A4232" s="2" t="n"/>
      <c r="B4232">
        <f>LOWER(TRIM(A4232))</f>
        <v/>
      </c>
      <c r="C4232">
        <f>IF(B4232="","",IFERROR(INDEX('Bad Patterns'!$A$2:$A$120,MATCH(1,INDEX(--ISNUMBER(SEARCH('Bad Patterns'!$A$2:$A$120,B4232)),0),0)),""))</f>
        <v/>
      </c>
      <c r="D4232">
        <f>IF(B4232="","",IF(C4232&lt;&gt;"","REMOVE","KEEP"))</f>
        <v/>
      </c>
      <c r="E4232">
        <f>IF(D4232&lt;&gt;"KEEP","",IF(RIGHT(B4232,10)="@gmail.com","Gmail",IF(OR(RIGHT(B4232,12)="@outlook.com",RIGHT(B4232,12)="@hotmail.com",RIGHT(B4232,9)="@live.com"),"Outlook","Domain")))</f>
        <v/>
      </c>
      <c r="F4232">
        <f>IF(B4232="","",IFERROR(RIGHT(B4232,LEN(B4232)-FIND("@",B4232)),""))</f>
        <v/>
      </c>
      <c r="G4232">
        <f>IF(D4232="KEEP",COUNTIF($D$2:D4232,"KEEP"),"")</f>
        <v/>
      </c>
      <c r="H4232">
        <f>IF(D4232="REMOVE",COUNTIF($D$2:D4232,"REMOVE"),"")</f>
        <v/>
      </c>
      <c r="I4232">
        <f>IF(E4232="Gmail",COUNTIF($E$2:E4232,"Gmail"),"")</f>
        <v/>
      </c>
      <c r="J4232">
        <f>IF(E4232="Outlook",COUNTIF($E$2:E4232,"Outlook"),"")</f>
        <v/>
      </c>
      <c r="K4232">
        <f>IF(E4232="Domain",COUNTIF($E$2:E4232,"Domain"),"")</f>
        <v/>
      </c>
    </row>
    <row r="4233">
      <c r="A4233" s="2" t="n"/>
      <c r="B4233">
        <f>LOWER(TRIM(A4233))</f>
        <v/>
      </c>
      <c r="C4233">
        <f>IF(B4233="","",IFERROR(INDEX('Bad Patterns'!$A$2:$A$120,MATCH(1,INDEX(--ISNUMBER(SEARCH('Bad Patterns'!$A$2:$A$120,B4233)),0),0)),""))</f>
        <v/>
      </c>
      <c r="D4233">
        <f>IF(B4233="","",IF(C4233&lt;&gt;"","REMOVE","KEEP"))</f>
        <v/>
      </c>
      <c r="E4233">
        <f>IF(D4233&lt;&gt;"KEEP","",IF(RIGHT(B4233,10)="@gmail.com","Gmail",IF(OR(RIGHT(B4233,12)="@outlook.com",RIGHT(B4233,12)="@hotmail.com",RIGHT(B4233,9)="@live.com"),"Outlook","Domain")))</f>
        <v/>
      </c>
      <c r="F4233">
        <f>IF(B4233="","",IFERROR(RIGHT(B4233,LEN(B4233)-FIND("@",B4233)),""))</f>
        <v/>
      </c>
      <c r="G4233">
        <f>IF(D4233="KEEP",COUNTIF($D$2:D4233,"KEEP"),"")</f>
        <v/>
      </c>
      <c r="H4233">
        <f>IF(D4233="REMOVE",COUNTIF($D$2:D4233,"REMOVE"),"")</f>
        <v/>
      </c>
      <c r="I4233">
        <f>IF(E4233="Gmail",COUNTIF($E$2:E4233,"Gmail"),"")</f>
        <v/>
      </c>
      <c r="J4233">
        <f>IF(E4233="Outlook",COUNTIF($E$2:E4233,"Outlook"),"")</f>
        <v/>
      </c>
      <c r="K4233">
        <f>IF(E4233="Domain",COUNTIF($E$2:E4233,"Domain"),"")</f>
        <v/>
      </c>
    </row>
    <row r="4234">
      <c r="A4234" s="2" t="n"/>
      <c r="B4234">
        <f>LOWER(TRIM(A4234))</f>
        <v/>
      </c>
      <c r="C4234">
        <f>IF(B4234="","",IFERROR(INDEX('Bad Patterns'!$A$2:$A$120,MATCH(1,INDEX(--ISNUMBER(SEARCH('Bad Patterns'!$A$2:$A$120,B4234)),0),0)),""))</f>
        <v/>
      </c>
      <c r="D4234">
        <f>IF(B4234="","",IF(C4234&lt;&gt;"","REMOVE","KEEP"))</f>
        <v/>
      </c>
      <c r="E4234">
        <f>IF(D4234&lt;&gt;"KEEP","",IF(RIGHT(B4234,10)="@gmail.com","Gmail",IF(OR(RIGHT(B4234,12)="@outlook.com",RIGHT(B4234,12)="@hotmail.com",RIGHT(B4234,9)="@live.com"),"Outlook","Domain")))</f>
        <v/>
      </c>
      <c r="F4234">
        <f>IF(B4234="","",IFERROR(RIGHT(B4234,LEN(B4234)-FIND("@",B4234)),""))</f>
        <v/>
      </c>
      <c r="G4234">
        <f>IF(D4234="KEEP",COUNTIF($D$2:D4234,"KEEP"),"")</f>
        <v/>
      </c>
      <c r="H4234">
        <f>IF(D4234="REMOVE",COUNTIF($D$2:D4234,"REMOVE"),"")</f>
        <v/>
      </c>
      <c r="I4234">
        <f>IF(E4234="Gmail",COUNTIF($E$2:E4234,"Gmail"),"")</f>
        <v/>
      </c>
      <c r="J4234">
        <f>IF(E4234="Outlook",COUNTIF($E$2:E4234,"Outlook"),"")</f>
        <v/>
      </c>
      <c r="K4234">
        <f>IF(E4234="Domain",COUNTIF($E$2:E4234,"Domain"),"")</f>
        <v/>
      </c>
    </row>
    <row r="4235">
      <c r="A4235" s="2" t="n"/>
      <c r="B4235">
        <f>LOWER(TRIM(A4235))</f>
        <v/>
      </c>
      <c r="C4235">
        <f>IF(B4235="","",IFERROR(INDEX('Bad Patterns'!$A$2:$A$120,MATCH(1,INDEX(--ISNUMBER(SEARCH('Bad Patterns'!$A$2:$A$120,B4235)),0),0)),""))</f>
        <v/>
      </c>
      <c r="D4235">
        <f>IF(B4235="","",IF(C4235&lt;&gt;"","REMOVE","KEEP"))</f>
        <v/>
      </c>
      <c r="E4235">
        <f>IF(D4235&lt;&gt;"KEEP","",IF(RIGHT(B4235,10)="@gmail.com","Gmail",IF(OR(RIGHT(B4235,12)="@outlook.com",RIGHT(B4235,12)="@hotmail.com",RIGHT(B4235,9)="@live.com"),"Outlook","Domain")))</f>
        <v/>
      </c>
      <c r="F4235">
        <f>IF(B4235="","",IFERROR(RIGHT(B4235,LEN(B4235)-FIND("@",B4235)),""))</f>
        <v/>
      </c>
      <c r="G4235">
        <f>IF(D4235="KEEP",COUNTIF($D$2:D4235,"KEEP"),"")</f>
        <v/>
      </c>
      <c r="H4235">
        <f>IF(D4235="REMOVE",COUNTIF($D$2:D4235,"REMOVE"),"")</f>
        <v/>
      </c>
      <c r="I4235">
        <f>IF(E4235="Gmail",COUNTIF($E$2:E4235,"Gmail"),"")</f>
        <v/>
      </c>
      <c r="J4235">
        <f>IF(E4235="Outlook",COUNTIF($E$2:E4235,"Outlook"),"")</f>
        <v/>
      </c>
      <c r="K4235">
        <f>IF(E4235="Domain",COUNTIF($E$2:E4235,"Domain"),"")</f>
        <v/>
      </c>
    </row>
    <row r="4236">
      <c r="A4236" s="2" t="n"/>
      <c r="B4236">
        <f>LOWER(TRIM(A4236))</f>
        <v/>
      </c>
      <c r="C4236">
        <f>IF(B4236="","",IFERROR(INDEX('Bad Patterns'!$A$2:$A$120,MATCH(1,INDEX(--ISNUMBER(SEARCH('Bad Patterns'!$A$2:$A$120,B4236)),0),0)),""))</f>
        <v/>
      </c>
      <c r="D4236">
        <f>IF(B4236="","",IF(C4236&lt;&gt;"","REMOVE","KEEP"))</f>
        <v/>
      </c>
      <c r="E4236">
        <f>IF(D4236&lt;&gt;"KEEP","",IF(RIGHT(B4236,10)="@gmail.com","Gmail",IF(OR(RIGHT(B4236,12)="@outlook.com",RIGHT(B4236,12)="@hotmail.com",RIGHT(B4236,9)="@live.com"),"Outlook","Domain")))</f>
        <v/>
      </c>
      <c r="F4236">
        <f>IF(B4236="","",IFERROR(RIGHT(B4236,LEN(B4236)-FIND("@",B4236)),""))</f>
        <v/>
      </c>
      <c r="G4236">
        <f>IF(D4236="KEEP",COUNTIF($D$2:D4236,"KEEP"),"")</f>
        <v/>
      </c>
      <c r="H4236">
        <f>IF(D4236="REMOVE",COUNTIF($D$2:D4236,"REMOVE"),"")</f>
        <v/>
      </c>
      <c r="I4236">
        <f>IF(E4236="Gmail",COUNTIF($E$2:E4236,"Gmail"),"")</f>
        <v/>
      </c>
      <c r="J4236">
        <f>IF(E4236="Outlook",COUNTIF($E$2:E4236,"Outlook"),"")</f>
        <v/>
      </c>
      <c r="K4236">
        <f>IF(E4236="Domain",COUNTIF($E$2:E4236,"Domain"),"")</f>
        <v/>
      </c>
    </row>
    <row r="4237">
      <c r="A4237" s="2" t="n"/>
      <c r="B4237">
        <f>LOWER(TRIM(A4237))</f>
        <v/>
      </c>
      <c r="C4237">
        <f>IF(B4237="","",IFERROR(INDEX('Bad Patterns'!$A$2:$A$120,MATCH(1,INDEX(--ISNUMBER(SEARCH('Bad Patterns'!$A$2:$A$120,B4237)),0),0)),""))</f>
        <v/>
      </c>
      <c r="D4237">
        <f>IF(B4237="","",IF(C4237&lt;&gt;"","REMOVE","KEEP"))</f>
        <v/>
      </c>
      <c r="E4237">
        <f>IF(D4237&lt;&gt;"KEEP","",IF(RIGHT(B4237,10)="@gmail.com","Gmail",IF(OR(RIGHT(B4237,12)="@outlook.com",RIGHT(B4237,12)="@hotmail.com",RIGHT(B4237,9)="@live.com"),"Outlook","Domain")))</f>
        <v/>
      </c>
      <c r="F4237">
        <f>IF(B4237="","",IFERROR(RIGHT(B4237,LEN(B4237)-FIND("@",B4237)),""))</f>
        <v/>
      </c>
      <c r="G4237">
        <f>IF(D4237="KEEP",COUNTIF($D$2:D4237,"KEEP"),"")</f>
        <v/>
      </c>
      <c r="H4237">
        <f>IF(D4237="REMOVE",COUNTIF($D$2:D4237,"REMOVE"),"")</f>
        <v/>
      </c>
      <c r="I4237">
        <f>IF(E4237="Gmail",COUNTIF($E$2:E4237,"Gmail"),"")</f>
        <v/>
      </c>
      <c r="J4237">
        <f>IF(E4237="Outlook",COUNTIF($E$2:E4237,"Outlook"),"")</f>
        <v/>
      </c>
      <c r="K4237">
        <f>IF(E4237="Domain",COUNTIF($E$2:E4237,"Domain"),"")</f>
        <v/>
      </c>
    </row>
    <row r="4238">
      <c r="A4238" s="2" t="n"/>
      <c r="B4238">
        <f>LOWER(TRIM(A4238))</f>
        <v/>
      </c>
      <c r="C4238">
        <f>IF(B4238="","",IFERROR(INDEX('Bad Patterns'!$A$2:$A$120,MATCH(1,INDEX(--ISNUMBER(SEARCH('Bad Patterns'!$A$2:$A$120,B4238)),0),0)),""))</f>
        <v/>
      </c>
      <c r="D4238">
        <f>IF(B4238="","",IF(C4238&lt;&gt;"","REMOVE","KEEP"))</f>
        <v/>
      </c>
      <c r="E4238">
        <f>IF(D4238&lt;&gt;"KEEP","",IF(RIGHT(B4238,10)="@gmail.com","Gmail",IF(OR(RIGHT(B4238,12)="@outlook.com",RIGHT(B4238,12)="@hotmail.com",RIGHT(B4238,9)="@live.com"),"Outlook","Domain")))</f>
        <v/>
      </c>
      <c r="F4238">
        <f>IF(B4238="","",IFERROR(RIGHT(B4238,LEN(B4238)-FIND("@",B4238)),""))</f>
        <v/>
      </c>
      <c r="G4238">
        <f>IF(D4238="KEEP",COUNTIF($D$2:D4238,"KEEP"),"")</f>
        <v/>
      </c>
      <c r="H4238">
        <f>IF(D4238="REMOVE",COUNTIF($D$2:D4238,"REMOVE"),"")</f>
        <v/>
      </c>
      <c r="I4238">
        <f>IF(E4238="Gmail",COUNTIF($E$2:E4238,"Gmail"),"")</f>
        <v/>
      </c>
      <c r="J4238">
        <f>IF(E4238="Outlook",COUNTIF($E$2:E4238,"Outlook"),"")</f>
        <v/>
      </c>
      <c r="K4238">
        <f>IF(E4238="Domain",COUNTIF($E$2:E4238,"Domain"),"")</f>
        <v/>
      </c>
    </row>
    <row r="4239">
      <c r="A4239" s="2" t="n"/>
      <c r="B4239">
        <f>LOWER(TRIM(A4239))</f>
        <v/>
      </c>
      <c r="C4239">
        <f>IF(B4239="","",IFERROR(INDEX('Bad Patterns'!$A$2:$A$120,MATCH(1,INDEX(--ISNUMBER(SEARCH('Bad Patterns'!$A$2:$A$120,B4239)),0),0)),""))</f>
        <v/>
      </c>
      <c r="D4239">
        <f>IF(B4239="","",IF(C4239&lt;&gt;"","REMOVE","KEEP"))</f>
        <v/>
      </c>
      <c r="E4239">
        <f>IF(D4239&lt;&gt;"KEEP","",IF(RIGHT(B4239,10)="@gmail.com","Gmail",IF(OR(RIGHT(B4239,12)="@outlook.com",RIGHT(B4239,12)="@hotmail.com",RIGHT(B4239,9)="@live.com"),"Outlook","Domain")))</f>
        <v/>
      </c>
      <c r="F4239">
        <f>IF(B4239="","",IFERROR(RIGHT(B4239,LEN(B4239)-FIND("@",B4239)),""))</f>
        <v/>
      </c>
      <c r="G4239">
        <f>IF(D4239="KEEP",COUNTIF($D$2:D4239,"KEEP"),"")</f>
        <v/>
      </c>
      <c r="H4239">
        <f>IF(D4239="REMOVE",COUNTIF($D$2:D4239,"REMOVE"),"")</f>
        <v/>
      </c>
      <c r="I4239">
        <f>IF(E4239="Gmail",COUNTIF($E$2:E4239,"Gmail"),"")</f>
        <v/>
      </c>
      <c r="J4239">
        <f>IF(E4239="Outlook",COUNTIF($E$2:E4239,"Outlook"),"")</f>
        <v/>
      </c>
      <c r="K4239">
        <f>IF(E4239="Domain",COUNTIF($E$2:E4239,"Domain"),"")</f>
        <v/>
      </c>
    </row>
    <row r="4240">
      <c r="A4240" s="2" t="n"/>
      <c r="B4240">
        <f>LOWER(TRIM(A4240))</f>
        <v/>
      </c>
      <c r="C4240">
        <f>IF(B4240="","",IFERROR(INDEX('Bad Patterns'!$A$2:$A$120,MATCH(1,INDEX(--ISNUMBER(SEARCH('Bad Patterns'!$A$2:$A$120,B4240)),0),0)),""))</f>
        <v/>
      </c>
      <c r="D4240">
        <f>IF(B4240="","",IF(C4240&lt;&gt;"","REMOVE","KEEP"))</f>
        <v/>
      </c>
      <c r="E4240">
        <f>IF(D4240&lt;&gt;"KEEP","",IF(RIGHT(B4240,10)="@gmail.com","Gmail",IF(OR(RIGHT(B4240,12)="@outlook.com",RIGHT(B4240,12)="@hotmail.com",RIGHT(B4240,9)="@live.com"),"Outlook","Domain")))</f>
        <v/>
      </c>
      <c r="F4240">
        <f>IF(B4240="","",IFERROR(RIGHT(B4240,LEN(B4240)-FIND("@",B4240)),""))</f>
        <v/>
      </c>
      <c r="G4240">
        <f>IF(D4240="KEEP",COUNTIF($D$2:D4240,"KEEP"),"")</f>
        <v/>
      </c>
      <c r="H4240">
        <f>IF(D4240="REMOVE",COUNTIF($D$2:D4240,"REMOVE"),"")</f>
        <v/>
      </c>
      <c r="I4240">
        <f>IF(E4240="Gmail",COUNTIF($E$2:E4240,"Gmail"),"")</f>
        <v/>
      </c>
      <c r="J4240">
        <f>IF(E4240="Outlook",COUNTIF($E$2:E4240,"Outlook"),"")</f>
        <v/>
      </c>
      <c r="K4240">
        <f>IF(E4240="Domain",COUNTIF($E$2:E4240,"Domain"),"")</f>
        <v/>
      </c>
    </row>
    <row r="4241">
      <c r="A4241" s="2" t="n"/>
      <c r="B4241">
        <f>LOWER(TRIM(A4241))</f>
        <v/>
      </c>
      <c r="C4241">
        <f>IF(B4241="","",IFERROR(INDEX('Bad Patterns'!$A$2:$A$120,MATCH(1,INDEX(--ISNUMBER(SEARCH('Bad Patterns'!$A$2:$A$120,B4241)),0),0)),""))</f>
        <v/>
      </c>
      <c r="D4241">
        <f>IF(B4241="","",IF(C4241&lt;&gt;"","REMOVE","KEEP"))</f>
        <v/>
      </c>
      <c r="E4241">
        <f>IF(D4241&lt;&gt;"KEEP","",IF(RIGHT(B4241,10)="@gmail.com","Gmail",IF(OR(RIGHT(B4241,12)="@outlook.com",RIGHT(B4241,12)="@hotmail.com",RIGHT(B4241,9)="@live.com"),"Outlook","Domain")))</f>
        <v/>
      </c>
      <c r="F4241">
        <f>IF(B4241="","",IFERROR(RIGHT(B4241,LEN(B4241)-FIND("@",B4241)),""))</f>
        <v/>
      </c>
      <c r="G4241">
        <f>IF(D4241="KEEP",COUNTIF($D$2:D4241,"KEEP"),"")</f>
        <v/>
      </c>
      <c r="H4241">
        <f>IF(D4241="REMOVE",COUNTIF($D$2:D4241,"REMOVE"),"")</f>
        <v/>
      </c>
      <c r="I4241">
        <f>IF(E4241="Gmail",COUNTIF($E$2:E4241,"Gmail"),"")</f>
        <v/>
      </c>
      <c r="J4241">
        <f>IF(E4241="Outlook",COUNTIF($E$2:E4241,"Outlook"),"")</f>
        <v/>
      </c>
      <c r="K4241">
        <f>IF(E4241="Domain",COUNTIF($E$2:E4241,"Domain"),"")</f>
        <v/>
      </c>
    </row>
    <row r="4242">
      <c r="A4242" s="2" t="n"/>
      <c r="B4242">
        <f>LOWER(TRIM(A4242))</f>
        <v/>
      </c>
      <c r="C4242">
        <f>IF(B4242="","",IFERROR(INDEX('Bad Patterns'!$A$2:$A$120,MATCH(1,INDEX(--ISNUMBER(SEARCH('Bad Patterns'!$A$2:$A$120,B4242)),0),0)),""))</f>
        <v/>
      </c>
      <c r="D4242">
        <f>IF(B4242="","",IF(C4242&lt;&gt;"","REMOVE","KEEP"))</f>
        <v/>
      </c>
      <c r="E4242">
        <f>IF(D4242&lt;&gt;"KEEP","",IF(RIGHT(B4242,10)="@gmail.com","Gmail",IF(OR(RIGHT(B4242,12)="@outlook.com",RIGHT(B4242,12)="@hotmail.com",RIGHT(B4242,9)="@live.com"),"Outlook","Domain")))</f>
        <v/>
      </c>
      <c r="F4242">
        <f>IF(B4242="","",IFERROR(RIGHT(B4242,LEN(B4242)-FIND("@",B4242)),""))</f>
        <v/>
      </c>
      <c r="G4242">
        <f>IF(D4242="KEEP",COUNTIF($D$2:D4242,"KEEP"),"")</f>
        <v/>
      </c>
      <c r="H4242">
        <f>IF(D4242="REMOVE",COUNTIF($D$2:D4242,"REMOVE"),"")</f>
        <v/>
      </c>
      <c r="I4242">
        <f>IF(E4242="Gmail",COUNTIF($E$2:E4242,"Gmail"),"")</f>
        <v/>
      </c>
      <c r="J4242">
        <f>IF(E4242="Outlook",COUNTIF($E$2:E4242,"Outlook"),"")</f>
        <v/>
      </c>
      <c r="K4242">
        <f>IF(E4242="Domain",COUNTIF($E$2:E4242,"Domain"),"")</f>
        <v/>
      </c>
    </row>
    <row r="4243">
      <c r="A4243" s="2" t="n"/>
      <c r="B4243">
        <f>LOWER(TRIM(A4243))</f>
        <v/>
      </c>
      <c r="C4243">
        <f>IF(B4243="","",IFERROR(INDEX('Bad Patterns'!$A$2:$A$120,MATCH(1,INDEX(--ISNUMBER(SEARCH('Bad Patterns'!$A$2:$A$120,B4243)),0),0)),""))</f>
        <v/>
      </c>
      <c r="D4243">
        <f>IF(B4243="","",IF(C4243&lt;&gt;"","REMOVE","KEEP"))</f>
        <v/>
      </c>
      <c r="E4243">
        <f>IF(D4243&lt;&gt;"KEEP","",IF(RIGHT(B4243,10)="@gmail.com","Gmail",IF(OR(RIGHT(B4243,12)="@outlook.com",RIGHT(B4243,12)="@hotmail.com",RIGHT(B4243,9)="@live.com"),"Outlook","Domain")))</f>
        <v/>
      </c>
      <c r="F4243">
        <f>IF(B4243="","",IFERROR(RIGHT(B4243,LEN(B4243)-FIND("@",B4243)),""))</f>
        <v/>
      </c>
      <c r="G4243">
        <f>IF(D4243="KEEP",COUNTIF($D$2:D4243,"KEEP"),"")</f>
        <v/>
      </c>
      <c r="H4243">
        <f>IF(D4243="REMOVE",COUNTIF($D$2:D4243,"REMOVE"),"")</f>
        <v/>
      </c>
      <c r="I4243">
        <f>IF(E4243="Gmail",COUNTIF($E$2:E4243,"Gmail"),"")</f>
        <v/>
      </c>
      <c r="J4243">
        <f>IF(E4243="Outlook",COUNTIF($E$2:E4243,"Outlook"),"")</f>
        <v/>
      </c>
      <c r="K4243">
        <f>IF(E4243="Domain",COUNTIF($E$2:E4243,"Domain"),"")</f>
        <v/>
      </c>
    </row>
    <row r="4244">
      <c r="A4244" s="2" t="n"/>
      <c r="B4244">
        <f>LOWER(TRIM(A4244))</f>
        <v/>
      </c>
      <c r="C4244">
        <f>IF(B4244="","",IFERROR(INDEX('Bad Patterns'!$A$2:$A$120,MATCH(1,INDEX(--ISNUMBER(SEARCH('Bad Patterns'!$A$2:$A$120,B4244)),0),0)),""))</f>
        <v/>
      </c>
      <c r="D4244">
        <f>IF(B4244="","",IF(C4244&lt;&gt;"","REMOVE","KEEP"))</f>
        <v/>
      </c>
      <c r="E4244">
        <f>IF(D4244&lt;&gt;"KEEP","",IF(RIGHT(B4244,10)="@gmail.com","Gmail",IF(OR(RIGHT(B4244,12)="@outlook.com",RIGHT(B4244,12)="@hotmail.com",RIGHT(B4244,9)="@live.com"),"Outlook","Domain")))</f>
        <v/>
      </c>
      <c r="F4244">
        <f>IF(B4244="","",IFERROR(RIGHT(B4244,LEN(B4244)-FIND("@",B4244)),""))</f>
        <v/>
      </c>
      <c r="G4244">
        <f>IF(D4244="KEEP",COUNTIF($D$2:D4244,"KEEP"),"")</f>
        <v/>
      </c>
      <c r="H4244">
        <f>IF(D4244="REMOVE",COUNTIF($D$2:D4244,"REMOVE"),"")</f>
        <v/>
      </c>
      <c r="I4244">
        <f>IF(E4244="Gmail",COUNTIF($E$2:E4244,"Gmail"),"")</f>
        <v/>
      </c>
      <c r="J4244">
        <f>IF(E4244="Outlook",COUNTIF($E$2:E4244,"Outlook"),"")</f>
        <v/>
      </c>
      <c r="K4244">
        <f>IF(E4244="Domain",COUNTIF($E$2:E4244,"Domain"),"")</f>
        <v/>
      </c>
    </row>
    <row r="4245">
      <c r="A4245" s="2" t="n"/>
      <c r="B4245">
        <f>LOWER(TRIM(A4245))</f>
        <v/>
      </c>
      <c r="C4245">
        <f>IF(B4245="","",IFERROR(INDEX('Bad Patterns'!$A$2:$A$120,MATCH(1,INDEX(--ISNUMBER(SEARCH('Bad Patterns'!$A$2:$A$120,B4245)),0),0)),""))</f>
        <v/>
      </c>
      <c r="D4245">
        <f>IF(B4245="","",IF(C4245&lt;&gt;"","REMOVE","KEEP"))</f>
        <v/>
      </c>
      <c r="E4245">
        <f>IF(D4245&lt;&gt;"KEEP","",IF(RIGHT(B4245,10)="@gmail.com","Gmail",IF(OR(RIGHT(B4245,12)="@outlook.com",RIGHT(B4245,12)="@hotmail.com",RIGHT(B4245,9)="@live.com"),"Outlook","Domain")))</f>
        <v/>
      </c>
      <c r="F4245">
        <f>IF(B4245="","",IFERROR(RIGHT(B4245,LEN(B4245)-FIND("@",B4245)),""))</f>
        <v/>
      </c>
      <c r="G4245">
        <f>IF(D4245="KEEP",COUNTIF($D$2:D4245,"KEEP"),"")</f>
        <v/>
      </c>
      <c r="H4245">
        <f>IF(D4245="REMOVE",COUNTIF($D$2:D4245,"REMOVE"),"")</f>
        <v/>
      </c>
      <c r="I4245">
        <f>IF(E4245="Gmail",COUNTIF($E$2:E4245,"Gmail"),"")</f>
        <v/>
      </c>
      <c r="J4245">
        <f>IF(E4245="Outlook",COUNTIF($E$2:E4245,"Outlook"),"")</f>
        <v/>
      </c>
      <c r="K4245">
        <f>IF(E4245="Domain",COUNTIF($E$2:E4245,"Domain"),"")</f>
        <v/>
      </c>
    </row>
    <row r="4246">
      <c r="A4246" s="2" t="n"/>
      <c r="B4246">
        <f>LOWER(TRIM(A4246))</f>
        <v/>
      </c>
      <c r="C4246">
        <f>IF(B4246="","",IFERROR(INDEX('Bad Patterns'!$A$2:$A$120,MATCH(1,INDEX(--ISNUMBER(SEARCH('Bad Patterns'!$A$2:$A$120,B4246)),0),0)),""))</f>
        <v/>
      </c>
      <c r="D4246">
        <f>IF(B4246="","",IF(C4246&lt;&gt;"","REMOVE","KEEP"))</f>
        <v/>
      </c>
      <c r="E4246">
        <f>IF(D4246&lt;&gt;"KEEP","",IF(RIGHT(B4246,10)="@gmail.com","Gmail",IF(OR(RIGHT(B4246,12)="@outlook.com",RIGHT(B4246,12)="@hotmail.com",RIGHT(B4246,9)="@live.com"),"Outlook","Domain")))</f>
        <v/>
      </c>
      <c r="F4246">
        <f>IF(B4246="","",IFERROR(RIGHT(B4246,LEN(B4246)-FIND("@",B4246)),""))</f>
        <v/>
      </c>
      <c r="G4246">
        <f>IF(D4246="KEEP",COUNTIF($D$2:D4246,"KEEP"),"")</f>
        <v/>
      </c>
      <c r="H4246">
        <f>IF(D4246="REMOVE",COUNTIF($D$2:D4246,"REMOVE"),"")</f>
        <v/>
      </c>
      <c r="I4246">
        <f>IF(E4246="Gmail",COUNTIF($E$2:E4246,"Gmail"),"")</f>
        <v/>
      </c>
      <c r="J4246">
        <f>IF(E4246="Outlook",COUNTIF($E$2:E4246,"Outlook"),"")</f>
        <v/>
      </c>
      <c r="K4246">
        <f>IF(E4246="Domain",COUNTIF($E$2:E4246,"Domain"),"")</f>
        <v/>
      </c>
    </row>
    <row r="4247">
      <c r="A4247" s="2" t="n"/>
      <c r="B4247">
        <f>LOWER(TRIM(A4247))</f>
        <v/>
      </c>
      <c r="C4247">
        <f>IF(B4247="","",IFERROR(INDEX('Bad Patterns'!$A$2:$A$120,MATCH(1,INDEX(--ISNUMBER(SEARCH('Bad Patterns'!$A$2:$A$120,B4247)),0),0)),""))</f>
        <v/>
      </c>
      <c r="D4247">
        <f>IF(B4247="","",IF(C4247&lt;&gt;"","REMOVE","KEEP"))</f>
        <v/>
      </c>
      <c r="E4247">
        <f>IF(D4247&lt;&gt;"KEEP","",IF(RIGHT(B4247,10)="@gmail.com","Gmail",IF(OR(RIGHT(B4247,12)="@outlook.com",RIGHT(B4247,12)="@hotmail.com",RIGHT(B4247,9)="@live.com"),"Outlook","Domain")))</f>
        <v/>
      </c>
      <c r="F4247">
        <f>IF(B4247="","",IFERROR(RIGHT(B4247,LEN(B4247)-FIND("@",B4247)),""))</f>
        <v/>
      </c>
      <c r="G4247">
        <f>IF(D4247="KEEP",COUNTIF($D$2:D4247,"KEEP"),"")</f>
        <v/>
      </c>
      <c r="H4247">
        <f>IF(D4247="REMOVE",COUNTIF($D$2:D4247,"REMOVE"),"")</f>
        <v/>
      </c>
      <c r="I4247">
        <f>IF(E4247="Gmail",COUNTIF($E$2:E4247,"Gmail"),"")</f>
        <v/>
      </c>
      <c r="J4247">
        <f>IF(E4247="Outlook",COUNTIF($E$2:E4247,"Outlook"),"")</f>
        <v/>
      </c>
      <c r="K4247">
        <f>IF(E4247="Domain",COUNTIF($E$2:E4247,"Domain"),"")</f>
        <v/>
      </c>
    </row>
    <row r="4248">
      <c r="A4248" s="2" t="n"/>
      <c r="B4248">
        <f>LOWER(TRIM(A4248))</f>
        <v/>
      </c>
      <c r="C4248">
        <f>IF(B4248="","",IFERROR(INDEX('Bad Patterns'!$A$2:$A$120,MATCH(1,INDEX(--ISNUMBER(SEARCH('Bad Patterns'!$A$2:$A$120,B4248)),0),0)),""))</f>
        <v/>
      </c>
      <c r="D4248">
        <f>IF(B4248="","",IF(C4248&lt;&gt;"","REMOVE","KEEP"))</f>
        <v/>
      </c>
      <c r="E4248">
        <f>IF(D4248&lt;&gt;"KEEP","",IF(RIGHT(B4248,10)="@gmail.com","Gmail",IF(OR(RIGHT(B4248,12)="@outlook.com",RIGHT(B4248,12)="@hotmail.com",RIGHT(B4248,9)="@live.com"),"Outlook","Domain")))</f>
        <v/>
      </c>
      <c r="F4248">
        <f>IF(B4248="","",IFERROR(RIGHT(B4248,LEN(B4248)-FIND("@",B4248)),""))</f>
        <v/>
      </c>
      <c r="G4248">
        <f>IF(D4248="KEEP",COUNTIF($D$2:D4248,"KEEP"),"")</f>
        <v/>
      </c>
      <c r="H4248">
        <f>IF(D4248="REMOVE",COUNTIF($D$2:D4248,"REMOVE"),"")</f>
        <v/>
      </c>
      <c r="I4248">
        <f>IF(E4248="Gmail",COUNTIF($E$2:E4248,"Gmail"),"")</f>
        <v/>
      </c>
      <c r="J4248">
        <f>IF(E4248="Outlook",COUNTIF($E$2:E4248,"Outlook"),"")</f>
        <v/>
      </c>
      <c r="K4248">
        <f>IF(E4248="Domain",COUNTIF($E$2:E4248,"Domain"),"")</f>
        <v/>
      </c>
    </row>
    <row r="4249">
      <c r="A4249" s="2" t="n"/>
      <c r="B4249">
        <f>LOWER(TRIM(A4249))</f>
        <v/>
      </c>
      <c r="C4249">
        <f>IF(B4249="","",IFERROR(INDEX('Bad Patterns'!$A$2:$A$120,MATCH(1,INDEX(--ISNUMBER(SEARCH('Bad Patterns'!$A$2:$A$120,B4249)),0),0)),""))</f>
        <v/>
      </c>
      <c r="D4249">
        <f>IF(B4249="","",IF(C4249&lt;&gt;"","REMOVE","KEEP"))</f>
        <v/>
      </c>
      <c r="E4249">
        <f>IF(D4249&lt;&gt;"KEEP","",IF(RIGHT(B4249,10)="@gmail.com","Gmail",IF(OR(RIGHT(B4249,12)="@outlook.com",RIGHT(B4249,12)="@hotmail.com",RIGHT(B4249,9)="@live.com"),"Outlook","Domain")))</f>
        <v/>
      </c>
      <c r="F4249">
        <f>IF(B4249="","",IFERROR(RIGHT(B4249,LEN(B4249)-FIND("@",B4249)),""))</f>
        <v/>
      </c>
      <c r="G4249">
        <f>IF(D4249="KEEP",COUNTIF($D$2:D4249,"KEEP"),"")</f>
        <v/>
      </c>
      <c r="H4249">
        <f>IF(D4249="REMOVE",COUNTIF($D$2:D4249,"REMOVE"),"")</f>
        <v/>
      </c>
      <c r="I4249">
        <f>IF(E4249="Gmail",COUNTIF($E$2:E4249,"Gmail"),"")</f>
        <v/>
      </c>
      <c r="J4249">
        <f>IF(E4249="Outlook",COUNTIF($E$2:E4249,"Outlook"),"")</f>
        <v/>
      </c>
      <c r="K4249">
        <f>IF(E4249="Domain",COUNTIF($E$2:E4249,"Domain"),"")</f>
        <v/>
      </c>
    </row>
    <row r="4250">
      <c r="A4250" s="2" t="n"/>
      <c r="B4250">
        <f>LOWER(TRIM(A4250))</f>
        <v/>
      </c>
      <c r="C4250">
        <f>IF(B4250="","",IFERROR(INDEX('Bad Patterns'!$A$2:$A$120,MATCH(1,INDEX(--ISNUMBER(SEARCH('Bad Patterns'!$A$2:$A$120,B4250)),0),0)),""))</f>
        <v/>
      </c>
      <c r="D4250">
        <f>IF(B4250="","",IF(C4250&lt;&gt;"","REMOVE","KEEP"))</f>
        <v/>
      </c>
      <c r="E4250">
        <f>IF(D4250&lt;&gt;"KEEP","",IF(RIGHT(B4250,10)="@gmail.com","Gmail",IF(OR(RIGHT(B4250,12)="@outlook.com",RIGHT(B4250,12)="@hotmail.com",RIGHT(B4250,9)="@live.com"),"Outlook","Domain")))</f>
        <v/>
      </c>
      <c r="F4250">
        <f>IF(B4250="","",IFERROR(RIGHT(B4250,LEN(B4250)-FIND("@",B4250)),""))</f>
        <v/>
      </c>
      <c r="G4250">
        <f>IF(D4250="KEEP",COUNTIF($D$2:D4250,"KEEP"),"")</f>
        <v/>
      </c>
      <c r="H4250">
        <f>IF(D4250="REMOVE",COUNTIF($D$2:D4250,"REMOVE"),"")</f>
        <v/>
      </c>
      <c r="I4250">
        <f>IF(E4250="Gmail",COUNTIF($E$2:E4250,"Gmail"),"")</f>
        <v/>
      </c>
      <c r="J4250">
        <f>IF(E4250="Outlook",COUNTIF($E$2:E4250,"Outlook"),"")</f>
        <v/>
      </c>
      <c r="K4250">
        <f>IF(E4250="Domain",COUNTIF($E$2:E4250,"Domain"),"")</f>
        <v/>
      </c>
    </row>
    <row r="4251">
      <c r="A4251" s="2" t="n"/>
      <c r="B4251">
        <f>LOWER(TRIM(A4251))</f>
        <v/>
      </c>
      <c r="C4251">
        <f>IF(B4251="","",IFERROR(INDEX('Bad Patterns'!$A$2:$A$120,MATCH(1,INDEX(--ISNUMBER(SEARCH('Bad Patterns'!$A$2:$A$120,B4251)),0),0)),""))</f>
        <v/>
      </c>
      <c r="D4251">
        <f>IF(B4251="","",IF(C4251&lt;&gt;"","REMOVE","KEEP"))</f>
        <v/>
      </c>
      <c r="E4251">
        <f>IF(D4251&lt;&gt;"KEEP","",IF(RIGHT(B4251,10)="@gmail.com","Gmail",IF(OR(RIGHT(B4251,12)="@outlook.com",RIGHT(B4251,12)="@hotmail.com",RIGHT(B4251,9)="@live.com"),"Outlook","Domain")))</f>
        <v/>
      </c>
      <c r="F4251">
        <f>IF(B4251="","",IFERROR(RIGHT(B4251,LEN(B4251)-FIND("@",B4251)),""))</f>
        <v/>
      </c>
      <c r="G4251">
        <f>IF(D4251="KEEP",COUNTIF($D$2:D4251,"KEEP"),"")</f>
        <v/>
      </c>
      <c r="H4251">
        <f>IF(D4251="REMOVE",COUNTIF($D$2:D4251,"REMOVE"),"")</f>
        <v/>
      </c>
      <c r="I4251">
        <f>IF(E4251="Gmail",COUNTIF($E$2:E4251,"Gmail"),"")</f>
        <v/>
      </c>
      <c r="J4251">
        <f>IF(E4251="Outlook",COUNTIF($E$2:E4251,"Outlook"),"")</f>
        <v/>
      </c>
      <c r="K4251">
        <f>IF(E4251="Domain",COUNTIF($E$2:E4251,"Domain"),"")</f>
        <v/>
      </c>
    </row>
    <row r="4252">
      <c r="A4252" s="2" t="n"/>
      <c r="B4252">
        <f>LOWER(TRIM(A4252))</f>
        <v/>
      </c>
      <c r="C4252">
        <f>IF(B4252="","",IFERROR(INDEX('Bad Patterns'!$A$2:$A$120,MATCH(1,INDEX(--ISNUMBER(SEARCH('Bad Patterns'!$A$2:$A$120,B4252)),0),0)),""))</f>
        <v/>
      </c>
      <c r="D4252">
        <f>IF(B4252="","",IF(C4252&lt;&gt;"","REMOVE","KEEP"))</f>
        <v/>
      </c>
      <c r="E4252">
        <f>IF(D4252&lt;&gt;"KEEP","",IF(RIGHT(B4252,10)="@gmail.com","Gmail",IF(OR(RIGHT(B4252,12)="@outlook.com",RIGHT(B4252,12)="@hotmail.com",RIGHT(B4252,9)="@live.com"),"Outlook","Domain")))</f>
        <v/>
      </c>
      <c r="F4252">
        <f>IF(B4252="","",IFERROR(RIGHT(B4252,LEN(B4252)-FIND("@",B4252)),""))</f>
        <v/>
      </c>
      <c r="G4252">
        <f>IF(D4252="KEEP",COUNTIF($D$2:D4252,"KEEP"),"")</f>
        <v/>
      </c>
      <c r="H4252">
        <f>IF(D4252="REMOVE",COUNTIF($D$2:D4252,"REMOVE"),"")</f>
        <v/>
      </c>
      <c r="I4252">
        <f>IF(E4252="Gmail",COUNTIF($E$2:E4252,"Gmail"),"")</f>
        <v/>
      </c>
      <c r="J4252">
        <f>IF(E4252="Outlook",COUNTIF($E$2:E4252,"Outlook"),"")</f>
        <v/>
      </c>
      <c r="K4252">
        <f>IF(E4252="Domain",COUNTIF($E$2:E4252,"Domain"),"")</f>
        <v/>
      </c>
    </row>
    <row r="4253">
      <c r="A4253" s="2" t="n"/>
      <c r="B4253">
        <f>LOWER(TRIM(A4253))</f>
        <v/>
      </c>
      <c r="C4253">
        <f>IF(B4253="","",IFERROR(INDEX('Bad Patterns'!$A$2:$A$120,MATCH(1,INDEX(--ISNUMBER(SEARCH('Bad Patterns'!$A$2:$A$120,B4253)),0),0)),""))</f>
        <v/>
      </c>
      <c r="D4253">
        <f>IF(B4253="","",IF(C4253&lt;&gt;"","REMOVE","KEEP"))</f>
        <v/>
      </c>
      <c r="E4253">
        <f>IF(D4253&lt;&gt;"KEEP","",IF(RIGHT(B4253,10)="@gmail.com","Gmail",IF(OR(RIGHT(B4253,12)="@outlook.com",RIGHT(B4253,12)="@hotmail.com",RIGHT(B4253,9)="@live.com"),"Outlook","Domain")))</f>
        <v/>
      </c>
      <c r="F4253">
        <f>IF(B4253="","",IFERROR(RIGHT(B4253,LEN(B4253)-FIND("@",B4253)),""))</f>
        <v/>
      </c>
      <c r="G4253">
        <f>IF(D4253="KEEP",COUNTIF($D$2:D4253,"KEEP"),"")</f>
        <v/>
      </c>
      <c r="H4253">
        <f>IF(D4253="REMOVE",COUNTIF($D$2:D4253,"REMOVE"),"")</f>
        <v/>
      </c>
      <c r="I4253">
        <f>IF(E4253="Gmail",COUNTIF($E$2:E4253,"Gmail"),"")</f>
        <v/>
      </c>
      <c r="J4253">
        <f>IF(E4253="Outlook",COUNTIF($E$2:E4253,"Outlook"),"")</f>
        <v/>
      </c>
      <c r="K4253">
        <f>IF(E4253="Domain",COUNTIF($E$2:E4253,"Domain"),"")</f>
        <v/>
      </c>
    </row>
    <row r="4254">
      <c r="A4254" s="2" t="n"/>
      <c r="B4254">
        <f>LOWER(TRIM(A4254))</f>
        <v/>
      </c>
      <c r="C4254">
        <f>IF(B4254="","",IFERROR(INDEX('Bad Patterns'!$A$2:$A$120,MATCH(1,INDEX(--ISNUMBER(SEARCH('Bad Patterns'!$A$2:$A$120,B4254)),0),0)),""))</f>
        <v/>
      </c>
      <c r="D4254">
        <f>IF(B4254="","",IF(C4254&lt;&gt;"","REMOVE","KEEP"))</f>
        <v/>
      </c>
      <c r="E4254">
        <f>IF(D4254&lt;&gt;"KEEP","",IF(RIGHT(B4254,10)="@gmail.com","Gmail",IF(OR(RIGHT(B4254,12)="@outlook.com",RIGHT(B4254,12)="@hotmail.com",RIGHT(B4254,9)="@live.com"),"Outlook","Domain")))</f>
        <v/>
      </c>
      <c r="F4254">
        <f>IF(B4254="","",IFERROR(RIGHT(B4254,LEN(B4254)-FIND("@",B4254)),""))</f>
        <v/>
      </c>
      <c r="G4254">
        <f>IF(D4254="KEEP",COUNTIF($D$2:D4254,"KEEP"),"")</f>
        <v/>
      </c>
      <c r="H4254">
        <f>IF(D4254="REMOVE",COUNTIF($D$2:D4254,"REMOVE"),"")</f>
        <v/>
      </c>
      <c r="I4254">
        <f>IF(E4254="Gmail",COUNTIF($E$2:E4254,"Gmail"),"")</f>
        <v/>
      </c>
      <c r="J4254">
        <f>IF(E4254="Outlook",COUNTIF($E$2:E4254,"Outlook"),"")</f>
        <v/>
      </c>
      <c r="K4254">
        <f>IF(E4254="Domain",COUNTIF($E$2:E4254,"Domain"),"")</f>
        <v/>
      </c>
    </row>
    <row r="4255">
      <c r="A4255" s="2" t="n"/>
      <c r="B4255">
        <f>LOWER(TRIM(A4255))</f>
        <v/>
      </c>
      <c r="C4255">
        <f>IF(B4255="","",IFERROR(INDEX('Bad Patterns'!$A$2:$A$120,MATCH(1,INDEX(--ISNUMBER(SEARCH('Bad Patterns'!$A$2:$A$120,B4255)),0),0)),""))</f>
        <v/>
      </c>
      <c r="D4255">
        <f>IF(B4255="","",IF(C4255&lt;&gt;"","REMOVE","KEEP"))</f>
        <v/>
      </c>
      <c r="E4255">
        <f>IF(D4255&lt;&gt;"KEEP","",IF(RIGHT(B4255,10)="@gmail.com","Gmail",IF(OR(RIGHT(B4255,12)="@outlook.com",RIGHT(B4255,12)="@hotmail.com",RIGHT(B4255,9)="@live.com"),"Outlook","Domain")))</f>
        <v/>
      </c>
      <c r="F4255">
        <f>IF(B4255="","",IFERROR(RIGHT(B4255,LEN(B4255)-FIND("@",B4255)),""))</f>
        <v/>
      </c>
      <c r="G4255">
        <f>IF(D4255="KEEP",COUNTIF($D$2:D4255,"KEEP"),"")</f>
        <v/>
      </c>
      <c r="H4255">
        <f>IF(D4255="REMOVE",COUNTIF($D$2:D4255,"REMOVE"),"")</f>
        <v/>
      </c>
      <c r="I4255">
        <f>IF(E4255="Gmail",COUNTIF($E$2:E4255,"Gmail"),"")</f>
        <v/>
      </c>
      <c r="J4255">
        <f>IF(E4255="Outlook",COUNTIF($E$2:E4255,"Outlook"),"")</f>
        <v/>
      </c>
      <c r="K4255">
        <f>IF(E4255="Domain",COUNTIF($E$2:E4255,"Domain"),"")</f>
        <v/>
      </c>
    </row>
    <row r="4256">
      <c r="A4256" s="2" t="n"/>
      <c r="B4256">
        <f>LOWER(TRIM(A4256))</f>
        <v/>
      </c>
      <c r="C4256">
        <f>IF(B4256="","",IFERROR(INDEX('Bad Patterns'!$A$2:$A$120,MATCH(1,INDEX(--ISNUMBER(SEARCH('Bad Patterns'!$A$2:$A$120,B4256)),0),0)),""))</f>
        <v/>
      </c>
      <c r="D4256">
        <f>IF(B4256="","",IF(C4256&lt;&gt;"","REMOVE","KEEP"))</f>
        <v/>
      </c>
      <c r="E4256">
        <f>IF(D4256&lt;&gt;"KEEP","",IF(RIGHT(B4256,10)="@gmail.com","Gmail",IF(OR(RIGHT(B4256,12)="@outlook.com",RIGHT(B4256,12)="@hotmail.com",RIGHT(B4256,9)="@live.com"),"Outlook","Domain")))</f>
        <v/>
      </c>
      <c r="F4256">
        <f>IF(B4256="","",IFERROR(RIGHT(B4256,LEN(B4256)-FIND("@",B4256)),""))</f>
        <v/>
      </c>
      <c r="G4256">
        <f>IF(D4256="KEEP",COUNTIF($D$2:D4256,"KEEP"),"")</f>
        <v/>
      </c>
      <c r="H4256">
        <f>IF(D4256="REMOVE",COUNTIF($D$2:D4256,"REMOVE"),"")</f>
        <v/>
      </c>
      <c r="I4256">
        <f>IF(E4256="Gmail",COUNTIF($E$2:E4256,"Gmail"),"")</f>
        <v/>
      </c>
      <c r="J4256">
        <f>IF(E4256="Outlook",COUNTIF($E$2:E4256,"Outlook"),"")</f>
        <v/>
      </c>
      <c r="K4256">
        <f>IF(E4256="Domain",COUNTIF($E$2:E4256,"Domain"),"")</f>
        <v/>
      </c>
    </row>
    <row r="4257">
      <c r="A4257" s="2" t="n"/>
      <c r="B4257">
        <f>LOWER(TRIM(A4257))</f>
        <v/>
      </c>
      <c r="C4257">
        <f>IF(B4257="","",IFERROR(INDEX('Bad Patterns'!$A$2:$A$120,MATCH(1,INDEX(--ISNUMBER(SEARCH('Bad Patterns'!$A$2:$A$120,B4257)),0),0)),""))</f>
        <v/>
      </c>
      <c r="D4257">
        <f>IF(B4257="","",IF(C4257&lt;&gt;"","REMOVE","KEEP"))</f>
        <v/>
      </c>
      <c r="E4257">
        <f>IF(D4257&lt;&gt;"KEEP","",IF(RIGHT(B4257,10)="@gmail.com","Gmail",IF(OR(RIGHT(B4257,12)="@outlook.com",RIGHT(B4257,12)="@hotmail.com",RIGHT(B4257,9)="@live.com"),"Outlook","Domain")))</f>
        <v/>
      </c>
      <c r="F4257">
        <f>IF(B4257="","",IFERROR(RIGHT(B4257,LEN(B4257)-FIND("@",B4257)),""))</f>
        <v/>
      </c>
      <c r="G4257">
        <f>IF(D4257="KEEP",COUNTIF($D$2:D4257,"KEEP"),"")</f>
        <v/>
      </c>
      <c r="H4257">
        <f>IF(D4257="REMOVE",COUNTIF($D$2:D4257,"REMOVE"),"")</f>
        <v/>
      </c>
      <c r="I4257">
        <f>IF(E4257="Gmail",COUNTIF($E$2:E4257,"Gmail"),"")</f>
        <v/>
      </c>
      <c r="J4257">
        <f>IF(E4257="Outlook",COUNTIF($E$2:E4257,"Outlook"),"")</f>
        <v/>
      </c>
      <c r="K4257">
        <f>IF(E4257="Domain",COUNTIF($E$2:E4257,"Domain"),"")</f>
        <v/>
      </c>
    </row>
    <row r="4258">
      <c r="A4258" s="2" t="n"/>
      <c r="B4258">
        <f>LOWER(TRIM(A4258))</f>
        <v/>
      </c>
      <c r="C4258">
        <f>IF(B4258="","",IFERROR(INDEX('Bad Patterns'!$A$2:$A$120,MATCH(1,INDEX(--ISNUMBER(SEARCH('Bad Patterns'!$A$2:$A$120,B4258)),0),0)),""))</f>
        <v/>
      </c>
      <c r="D4258">
        <f>IF(B4258="","",IF(C4258&lt;&gt;"","REMOVE","KEEP"))</f>
        <v/>
      </c>
      <c r="E4258">
        <f>IF(D4258&lt;&gt;"KEEP","",IF(RIGHT(B4258,10)="@gmail.com","Gmail",IF(OR(RIGHT(B4258,12)="@outlook.com",RIGHT(B4258,12)="@hotmail.com",RIGHT(B4258,9)="@live.com"),"Outlook","Domain")))</f>
        <v/>
      </c>
      <c r="F4258">
        <f>IF(B4258="","",IFERROR(RIGHT(B4258,LEN(B4258)-FIND("@",B4258)),""))</f>
        <v/>
      </c>
      <c r="G4258">
        <f>IF(D4258="KEEP",COUNTIF($D$2:D4258,"KEEP"),"")</f>
        <v/>
      </c>
      <c r="H4258">
        <f>IF(D4258="REMOVE",COUNTIF($D$2:D4258,"REMOVE"),"")</f>
        <v/>
      </c>
      <c r="I4258">
        <f>IF(E4258="Gmail",COUNTIF($E$2:E4258,"Gmail"),"")</f>
        <v/>
      </c>
      <c r="J4258">
        <f>IF(E4258="Outlook",COUNTIF($E$2:E4258,"Outlook"),"")</f>
        <v/>
      </c>
      <c r="K4258">
        <f>IF(E4258="Domain",COUNTIF($E$2:E4258,"Domain"),"")</f>
        <v/>
      </c>
    </row>
    <row r="4259">
      <c r="A4259" s="2" t="n"/>
      <c r="B4259">
        <f>LOWER(TRIM(A4259))</f>
        <v/>
      </c>
      <c r="C4259">
        <f>IF(B4259="","",IFERROR(INDEX('Bad Patterns'!$A$2:$A$120,MATCH(1,INDEX(--ISNUMBER(SEARCH('Bad Patterns'!$A$2:$A$120,B4259)),0),0)),""))</f>
        <v/>
      </c>
      <c r="D4259">
        <f>IF(B4259="","",IF(C4259&lt;&gt;"","REMOVE","KEEP"))</f>
        <v/>
      </c>
      <c r="E4259">
        <f>IF(D4259&lt;&gt;"KEEP","",IF(RIGHT(B4259,10)="@gmail.com","Gmail",IF(OR(RIGHT(B4259,12)="@outlook.com",RIGHT(B4259,12)="@hotmail.com",RIGHT(B4259,9)="@live.com"),"Outlook","Domain")))</f>
        <v/>
      </c>
      <c r="F4259">
        <f>IF(B4259="","",IFERROR(RIGHT(B4259,LEN(B4259)-FIND("@",B4259)),""))</f>
        <v/>
      </c>
      <c r="G4259">
        <f>IF(D4259="KEEP",COUNTIF($D$2:D4259,"KEEP"),"")</f>
        <v/>
      </c>
      <c r="H4259">
        <f>IF(D4259="REMOVE",COUNTIF($D$2:D4259,"REMOVE"),"")</f>
        <v/>
      </c>
      <c r="I4259">
        <f>IF(E4259="Gmail",COUNTIF($E$2:E4259,"Gmail"),"")</f>
        <v/>
      </c>
      <c r="J4259">
        <f>IF(E4259="Outlook",COUNTIF($E$2:E4259,"Outlook"),"")</f>
        <v/>
      </c>
      <c r="K4259">
        <f>IF(E4259="Domain",COUNTIF($E$2:E4259,"Domain"),"")</f>
        <v/>
      </c>
    </row>
    <row r="4260">
      <c r="A4260" s="2" t="n"/>
      <c r="B4260">
        <f>LOWER(TRIM(A4260))</f>
        <v/>
      </c>
      <c r="C4260">
        <f>IF(B4260="","",IFERROR(INDEX('Bad Patterns'!$A$2:$A$120,MATCH(1,INDEX(--ISNUMBER(SEARCH('Bad Patterns'!$A$2:$A$120,B4260)),0),0)),""))</f>
        <v/>
      </c>
      <c r="D4260">
        <f>IF(B4260="","",IF(C4260&lt;&gt;"","REMOVE","KEEP"))</f>
        <v/>
      </c>
      <c r="E4260">
        <f>IF(D4260&lt;&gt;"KEEP","",IF(RIGHT(B4260,10)="@gmail.com","Gmail",IF(OR(RIGHT(B4260,12)="@outlook.com",RIGHT(B4260,12)="@hotmail.com",RIGHT(B4260,9)="@live.com"),"Outlook","Domain")))</f>
        <v/>
      </c>
      <c r="F4260">
        <f>IF(B4260="","",IFERROR(RIGHT(B4260,LEN(B4260)-FIND("@",B4260)),""))</f>
        <v/>
      </c>
      <c r="G4260">
        <f>IF(D4260="KEEP",COUNTIF($D$2:D4260,"KEEP"),"")</f>
        <v/>
      </c>
      <c r="H4260">
        <f>IF(D4260="REMOVE",COUNTIF($D$2:D4260,"REMOVE"),"")</f>
        <v/>
      </c>
      <c r="I4260">
        <f>IF(E4260="Gmail",COUNTIF($E$2:E4260,"Gmail"),"")</f>
        <v/>
      </c>
      <c r="J4260">
        <f>IF(E4260="Outlook",COUNTIF($E$2:E4260,"Outlook"),"")</f>
        <v/>
      </c>
      <c r="K4260">
        <f>IF(E4260="Domain",COUNTIF($E$2:E4260,"Domain"),"")</f>
        <v/>
      </c>
    </row>
    <row r="4261">
      <c r="A4261" s="2" t="n"/>
      <c r="B4261">
        <f>LOWER(TRIM(A4261))</f>
        <v/>
      </c>
      <c r="C4261">
        <f>IF(B4261="","",IFERROR(INDEX('Bad Patterns'!$A$2:$A$120,MATCH(1,INDEX(--ISNUMBER(SEARCH('Bad Patterns'!$A$2:$A$120,B4261)),0),0)),""))</f>
        <v/>
      </c>
      <c r="D4261">
        <f>IF(B4261="","",IF(C4261&lt;&gt;"","REMOVE","KEEP"))</f>
        <v/>
      </c>
      <c r="E4261">
        <f>IF(D4261&lt;&gt;"KEEP","",IF(RIGHT(B4261,10)="@gmail.com","Gmail",IF(OR(RIGHT(B4261,12)="@outlook.com",RIGHT(B4261,12)="@hotmail.com",RIGHT(B4261,9)="@live.com"),"Outlook","Domain")))</f>
        <v/>
      </c>
      <c r="F4261">
        <f>IF(B4261="","",IFERROR(RIGHT(B4261,LEN(B4261)-FIND("@",B4261)),""))</f>
        <v/>
      </c>
      <c r="G4261">
        <f>IF(D4261="KEEP",COUNTIF($D$2:D4261,"KEEP"),"")</f>
        <v/>
      </c>
      <c r="H4261">
        <f>IF(D4261="REMOVE",COUNTIF($D$2:D4261,"REMOVE"),"")</f>
        <v/>
      </c>
      <c r="I4261">
        <f>IF(E4261="Gmail",COUNTIF($E$2:E4261,"Gmail"),"")</f>
        <v/>
      </c>
      <c r="J4261">
        <f>IF(E4261="Outlook",COUNTIF($E$2:E4261,"Outlook"),"")</f>
        <v/>
      </c>
      <c r="K4261">
        <f>IF(E4261="Domain",COUNTIF($E$2:E4261,"Domain"),"")</f>
        <v/>
      </c>
    </row>
    <row r="4262">
      <c r="A4262" s="2" t="n"/>
      <c r="B4262">
        <f>LOWER(TRIM(A4262))</f>
        <v/>
      </c>
      <c r="C4262">
        <f>IF(B4262="","",IFERROR(INDEX('Bad Patterns'!$A$2:$A$120,MATCH(1,INDEX(--ISNUMBER(SEARCH('Bad Patterns'!$A$2:$A$120,B4262)),0),0)),""))</f>
        <v/>
      </c>
      <c r="D4262">
        <f>IF(B4262="","",IF(C4262&lt;&gt;"","REMOVE","KEEP"))</f>
        <v/>
      </c>
      <c r="E4262">
        <f>IF(D4262&lt;&gt;"KEEP","",IF(RIGHT(B4262,10)="@gmail.com","Gmail",IF(OR(RIGHT(B4262,12)="@outlook.com",RIGHT(B4262,12)="@hotmail.com",RIGHT(B4262,9)="@live.com"),"Outlook","Domain")))</f>
        <v/>
      </c>
      <c r="F4262">
        <f>IF(B4262="","",IFERROR(RIGHT(B4262,LEN(B4262)-FIND("@",B4262)),""))</f>
        <v/>
      </c>
      <c r="G4262">
        <f>IF(D4262="KEEP",COUNTIF($D$2:D4262,"KEEP"),"")</f>
        <v/>
      </c>
      <c r="H4262">
        <f>IF(D4262="REMOVE",COUNTIF($D$2:D4262,"REMOVE"),"")</f>
        <v/>
      </c>
      <c r="I4262">
        <f>IF(E4262="Gmail",COUNTIF($E$2:E4262,"Gmail"),"")</f>
        <v/>
      </c>
      <c r="J4262">
        <f>IF(E4262="Outlook",COUNTIF($E$2:E4262,"Outlook"),"")</f>
        <v/>
      </c>
      <c r="K4262">
        <f>IF(E4262="Domain",COUNTIF($E$2:E4262,"Domain"),"")</f>
        <v/>
      </c>
    </row>
    <row r="4263">
      <c r="A4263" s="2" t="n"/>
      <c r="B4263">
        <f>LOWER(TRIM(A4263))</f>
        <v/>
      </c>
      <c r="C4263">
        <f>IF(B4263="","",IFERROR(INDEX('Bad Patterns'!$A$2:$A$120,MATCH(1,INDEX(--ISNUMBER(SEARCH('Bad Patterns'!$A$2:$A$120,B4263)),0),0)),""))</f>
        <v/>
      </c>
      <c r="D4263">
        <f>IF(B4263="","",IF(C4263&lt;&gt;"","REMOVE","KEEP"))</f>
        <v/>
      </c>
      <c r="E4263">
        <f>IF(D4263&lt;&gt;"KEEP","",IF(RIGHT(B4263,10)="@gmail.com","Gmail",IF(OR(RIGHT(B4263,12)="@outlook.com",RIGHT(B4263,12)="@hotmail.com",RIGHT(B4263,9)="@live.com"),"Outlook","Domain")))</f>
        <v/>
      </c>
      <c r="F4263">
        <f>IF(B4263="","",IFERROR(RIGHT(B4263,LEN(B4263)-FIND("@",B4263)),""))</f>
        <v/>
      </c>
      <c r="G4263">
        <f>IF(D4263="KEEP",COUNTIF($D$2:D4263,"KEEP"),"")</f>
        <v/>
      </c>
      <c r="H4263">
        <f>IF(D4263="REMOVE",COUNTIF($D$2:D4263,"REMOVE"),"")</f>
        <v/>
      </c>
      <c r="I4263">
        <f>IF(E4263="Gmail",COUNTIF($E$2:E4263,"Gmail"),"")</f>
        <v/>
      </c>
      <c r="J4263">
        <f>IF(E4263="Outlook",COUNTIF($E$2:E4263,"Outlook"),"")</f>
        <v/>
      </c>
      <c r="K4263">
        <f>IF(E4263="Domain",COUNTIF($E$2:E4263,"Domain"),"")</f>
        <v/>
      </c>
    </row>
    <row r="4264">
      <c r="A4264" s="2" t="n"/>
      <c r="B4264">
        <f>LOWER(TRIM(A4264))</f>
        <v/>
      </c>
      <c r="C4264">
        <f>IF(B4264="","",IFERROR(INDEX('Bad Patterns'!$A$2:$A$120,MATCH(1,INDEX(--ISNUMBER(SEARCH('Bad Patterns'!$A$2:$A$120,B4264)),0),0)),""))</f>
        <v/>
      </c>
      <c r="D4264">
        <f>IF(B4264="","",IF(C4264&lt;&gt;"","REMOVE","KEEP"))</f>
        <v/>
      </c>
      <c r="E4264">
        <f>IF(D4264&lt;&gt;"KEEP","",IF(RIGHT(B4264,10)="@gmail.com","Gmail",IF(OR(RIGHT(B4264,12)="@outlook.com",RIGHT(B4264,12)="@hotmail.com",RIGHT(B4264,9)="@live.com"),"Outlook","Domain")))</f>
        <v/>
      </c>
      <c r="F4264">
        <f>IF(B4264="","",IFERROR(RIGHT(B4264,LEN(B4264)-FIND("@",B4264)),""))</f>
        <v/>
      </c>
      <c r="G4264">
        <f>IF(D4264="KEEP",COUNTIF($D$2:D4264,"KEEP"),"")</f>
        <v/>
      </c>
      <c r="H4264">
        <f>IF(D4264="REMOVE",COUNTIF($D$2:D4264,"REMOVE"),"")</f>
        <v/>
      </c>
      <c r="I4264">
        <f>IF(E4264="Gmail",COUNTIF($E$2:E4264,"Gmail"),"")</f>
        <v/>
      </c>
      <c r="J4264">
        <f>IF(E4264="Outlook",COUNTIF($E$2:E4264,"Outlook"),"")</f>
        <v/>
      </c>
      <c r="K4264">
        <f>IF(E4264="Domain",COUNTIF($E$2:E4264,"Domain"),"")</f>
        <v/>
      </c>
    </row>
    <row r="4265">
      <c r="A4265" s="2" t="n"/>
      <c r="B4265">
        <f>LOWER(TRIM(A4265))</f>
        <v/>
      </c>
      <c r="C4265">
        <f>IF(B4265="","",IFERROR(INDEX('Bad Patterns'!$A$2:$A$120,MATCH(1,INDEX(--ISNUMBER(SEARCH('Bad Patterns'!$A$2:$A$120,B4265)),0),0)),""))</f>
        <v/>
      </c>
      <c r="D4265">
        <f>IF(B4265="","",IF(C4265&lt;&gt;"","REMOVE","KEEP"))</f>
        <v/>
      </c>
      <c r="E4265">
        <f>IF(D4265&lt;&gt;"KEEP","",IF(RIGHT(B4265,10)="@gmail.com","Gmail",IF(OR(RIGHT(B4265,12)="@outlook.com",RIGHT(B4265,12)="@hotmail.com",RIGHT(B4265,9)="@live.com"),"Outlook","Domain")))</f>
        <v/>
      </c>
      <c r="F4265">
        <f>IF(B4265="","",IFERROR(RIGHT(B4265,LEN(B4265)-FIND("@",B4265)),""))</f>
        <v/>
      </c>
      <c r="G4265">
        <f>IF(D4265="KEEP",COUNTIF($D$2:D4265,"KEEP"),"")</f>
        <v/>
      </c>
      <c r="H4265">
        <f>IF(D4265="REMOVE",COUNTIF($D$2:D4265,"REMOVE"),"")</f>
        <v/>
      </c>
      <c r="I4265">
        <f>IF(E4265="Gmail",COUNTIF($E$2:E4265,"Gmail"),"")</f>
        <v/>
      </c>
      <c r="J4265">
        <f>IF(E4265="Outlook",COUNTIF($E$2:E4265,"Outlook"),"")</f>
        <v/>
      </c>
      <c r="K4265">
        <f>IF(E4265="Domain",COUNTIF($E$2:E4265,"Domain"),"")</f>
        <v/>
      </c>
    </row>
    <row r="4266">
      <c r="A4266" s="2" t="n"/>
      <c r="B4266">
        <f>LOWER(TRIM(A4266))</f>
        <v/>
      </c>
      <c r="C4266">
        <f>IF(B4266="","",IFERROR(INDEX('Bad Patterns'!$A$2:$A$120,MATCH(1,INDEX(--ISNUMBER(SEARCH('Bad Patterns'!$A$2:$A$120,B4266)),0),0)),""))</f>
        <v/>
      </c>
      <c r="D4266">
        <f>IF(B4266="","",IF(C4266&lt;&gt;"","REMOVE","KEEP"))</f>
        <v/>
      </c>
      <c r="E4266">
        <f>IF(D4266&lt;&gt;"KEEP","",IF(RIGHT(B4266,10)="@gmail.com","Gmail",IF(OR(RIGHT(B4266,12)="@outlook.com",RIGHT(B4266,12)="@hotmail.com",RIGHT(B4266,9)="@live.com"),"Outlook","Domain")))</f>
        <v/>
      </c>
      <c r="F4266">
        <f>IF(B4266="","",IFERROR(RIGHT(B4266,LEN(B4266)-FIND("@",B4266)),""))</f>
        <v/>
      </c>
      <c r="G4266">
        <f>IF(D4266="KEEP",COUNTIF($D$2:D4266,"KEEP"),"")</f>
        <v/>
      </c>
      <c r="H4266">
        <f>IF(D4266="REMOVE",COUNTIF($D$2:D4266,"REMOVE"),"")</f>
        <v/>
      </c>
      <c r="I4266">
        <f>IF(E4266="Gmail",COUNTIF($E$2:E4266,"Gmail"),"")</f>
        <v/>
      </c>
      <c r="J4266">
        <f>IF(E4266="Outlook",COUNTIF($E$2:E4266,"Outlook"),"")</f>
        <v/>
      </c>
      <c r="K4266">
        <f>IF(E4266="Domain",COUNTIF($E$2:E4266,"Domain"),"")</f>
        <v/>
      </c>
    </row>
    <row r="4267">
      <c r="A4267" s="2" t="n"/>
      <c r="B4267">
        <f>LOWER(TRIM(A4267))</f>
        <v/>
      </c>
      <c r="C4267">
        <f>IF(B4267="","",IFERROR(INDEX('Bad Patterns'!$A$2:$A$120,MATCH(1,INDEX(--ISNUMBER(SEARCH('Bad Patterns'!$A$2:$A$120,B4267)),0),0)),""))</f>
        <v/>
      </c>
      <c r="D4267">
        <f>IF(B4267="","",IF(C4267&lt;&gt;"","REMOVE","KEEP"))</f>
        <v/>
      </c>
      <c r="E4267">
        <f>IF(D4267&lt;&gt;"KEEP","",IF(RIGHT(B4267,10)="@gmail.com","Gmail",IF(OR(RIGHT(B4267,12)="@outlook.com",RIGHT(B4267,12)="@hotmail.com",RIGHT(B4267,9)="@live.com"),"Outlook","Domain")))</f>
        <v/>
      </c>
      <c r="F4267">
        <f>IF(B4267="","",IFERROR(RIGHT(B4267,LEN(B4267)-FIND("@",B4267)),""))</f>
        <v/>
      </c>
      <c r="G4267">
        <f>IF(D4267="KEEP",COUNTIF($D$2:D4267,"KEEP"),"")</f>
        <v/>
      </c>
      <c r="H4267">
        <f>IF(D4267="REMOVE",COUNTIF($D$2:D4267,"REMOVE"),"")</f>
        <v/>
      </c>
      <c r="I4267">
        <f>IF(E4267="Gmail",COUNTIF($E$2:E4267,"Gmail"),"")</f>
        <v/>
      </c>
      <c r="J4267">
        <f>IF(E4267="Outlook",COUNTIF($E$2:E4267,"Outlook"),"")</f>
        <v/>
      </c>
      <c r="K4267">
        <f>IF(E4267="Domain",COUNTIF($E$2:E4267,"Domain"),"")</f>
        <v/>
      </c>
    </row>
    <row r="4268">
      <c r="A4268" s="2" t="n"/>
      <c r="B4268">
        <f>LOWER(TRIM(A4268))</f>
        <v/>
      </c>
      <c r="C4268">
        <f>IF(B4268="","",IFERROR(INDEX('Bad Patterns'!$A$2:$A$120,MATCH(1,INDEX(--ISNUMBER(SEARCH('Bad Patterns'!$A$2:$A$120,B4268)),0),0)),""))</f>
        <v/>
      </c>
      <c r="D4268">
        <f>IF(B4268="","",IF(C4268&lt;&gt;"","REMOVE","KEEP"))</f>
        <v/>
      </c>
      <c r="E4268">
        <f>IF(D4268&lt;&gt;"KEEP","",IF(RIGHT(B4268,10)="@gmail.com","Gmail",IF(OR(RIGHT(B4268,12)="@outlook.com",RIGHT(B4268,12)="@hotmail.com",RIGHT(B4268,9)="@live.com"),"Outlook","Domain")))</f>
        <v/>
      </c>
      <c r="F4268">
        <f>IF(B4268="","",IFERROR(RIGHT(B4268,LEN(B4268)-FIND("@",B4268)),""))</f>
        <v/>
      </c>
      <c r="G4268">
        <f>IF(D4268="KEEP",COUNTIF($D$2:D4268,"KEEP"),"")</f>
        <v/>
      </c>
      <c r="H4268">
        <f>IF(D4268="REMOVE",COUNTIF($D$2:D4268,"REMOVE"),"")</f>
        <v/>
      </c>
      <c r="I4268">
        <f>IF(E4268="Gmail",COUNTIF($E$2:E4268,"Gmail"),"")</f>
        <v/>
      </c>
      <c r="J4268">
        <f>IF(E4268="Outlook",COUNTIF($E$2:E4268,"Outlook"),"")</f>
        <v/>
      </c>
      <c r="K4268">
        <f>IF(E4268="Domain",COUNTIF($E$2:E4268,"Domain"),"")</f>
        <v/>
      </c>
    </row>
    <row r="4269">
      <c r="A4269" s="2" t="n"/>
      <c r="B4269">
        <f>LOWER(TRIM(A4269))</f>
        <v/>
      </c>
      <c r="C4269">
        <f>IF(B4269="","",IFERROR(INDEX('Bad Patterns'!$A$2:$A$120,MATCH(1,INDEX(--ISNUMBER(SEARCH('Bad Patterns'!$A$2:$A$120,B4269)),0),0)),""))</f>
        <v/>
      </c>
      <c r="D4269">
        <f>IF(B4269="","",IF(C4269&lt;&gt;"","REMOVE","KEEP"))</f>
        <v/>
      </c>
      <c r="E4269">
        <f>IF(D4269&lt;&gt;"KEEP","",IF(RIGHT(B4269,10)="@gmail.com","Gmail",IF(OR(RIGHT(B4269,12)="@outlook.com",RIGHT(B4269,12)="@hotmail.com",RIGHT(B4269,9)="@live.com"),"Outlook","Domain")))</f>
        <v/>
      </c>
      <c r="F4269">
        <f>IF(B4269="","",IFERROR(RIGHT(B4269,LEN(B4269)-FIND("@",B4269)),""))</f>
        <v/>
      </c>
      <c r="G4269">
        <f>IF(D4269="KEEP",COUNTIF($D$2:D4269,"KEEP"),"")</f>
        <v/>
      </c>
      <c r="H4269">
        <f>IF(D4269="REMOVE",COUNTIF($D$2:D4269,"REMOVE"),"")</f>
        <v/>
      </c>
      <c r="I4269">
        <f>IF(E4269="Gmail",COUNTIF($E$2:E4269,"Gmail"),"")</f>
        <v/>
      </c>
      <c r="J4269">
        <f>IF(E4269="Outlook",COUNTIF($E$2:E4269,"Outlook"),"")</f>
        <v/>
      </c>
      <c r="K4269">
        <f>IF(E4269="Domain",COUNTIF($E$2:E4269,"Domain"),"")</f>
        <v/>
      </c>
    </row>
    <row r="4270">
      <c r="A4270" s="2" t="n"/>
      <c r="B4270">
        <f>LOWER(TRIM(A4270))</f>
        <v/>
      </c>
      <c r="C4270">
        <f>IF(B4270="","",IFERROR(INDEX('Bad Patterns'!$A$2:$A$120,MATCH(1,INDEX(--ISNUMBER(SEARCH('Bad Patterns'!$A$2:$A$120,B4270)),0),0)),""))</f>
        <v/>
      </c>
      <c r="D4270">
        <f>IF(B4270="","",IF(C4270&lt;&gt;"","REMOVE","KEEP"))</f>
        <v/>
      </c>
      <c r="E4270">
        <f>IF(D4270&lt;&gt;"KEEP","",IF(RIGHT(B4270,10)="@gmail.com","Gmail",IF(OR(RIGHT(B4270,12)="@outlook.com",RIGHT(B4270,12)="@hotmail.com",RIGHT(B4270,9)="@live.com"),"Outlook","Domain")))</f>
        <v/>
      </c>
      <c r="F4270">
        <f>IF(B4270="","",IFERROR(RIGHT(B4270,LEN(B4270)-FIND("@",B4270)),""))</f>
        <v/>
      </c>
      <c r="G4270">
        <f>IF(D4270="KEEP",COUNTIF($D$2:D4270,"KEEP"),"")</f>
        <v/>
      </c>
      <c r="H4270">
        <f>IF(D4270="REMOVE",COUNTIF($D$2:D4270,"REMOVE"),"")</f>
        <v/>
      </c>
      <c r="I4270">
        <f>IF(E4270="Gmail",COUNTIF($E$2:E4270,"Gmail"),"")</f>
        <v/>
      </c>
      <c r="J4270">
        <f>IF(E4270="Outlook",COUNTIF($E$2:E4270,"Outlook"),"")</f>
        <v/>
      </c>
      <c r="K4270">
        <f>IF(E4270="Domain",COUNTIF($E$2:E4270,"Domain"),"")</f>
        <v/>
      </c>
    </row>
    <row r="4271">
      <c r="A4271" s="2" t="n"/>
      <c r="B4271">
        <f>LOWER(TRIM(A4271))</f>
        <v/>
      </c>
      <c r="C4271">
        <f>IF(B4271="","",IFERROR(INDEX('Bad Patterns'!$A$2:$A$120,MATCH(1,INDEX(--ISNUMBER(SEARCH('Bad Patterns'!$A$2:$A$120,B4271)),0),0)),""))</f>
        <v/>
      </c>
      <c r="D4271">
        <f>IF(B4271="","",IF(C4271&lt;&gt;"","REMOVE","KEEP"))</f>
        <v/>
      </c>
      <c r="E4271">
        <f>IF(D4271&lt;&gt;"KEEP","",IF(RIGHT(B4271,10)="@gmail.com","Gmail",IF(OR(RIGHT(B4271,12)="@outlook.com",RIGHT(B4271,12)="@hotmail.com",RIGHT(B4271,9)="@live.com"),"Outlook","Domain")))</f>
        <v/>
      </c>
      <c r="F4271">
        <f>IF(B4271="","",IFERROR(RIGHT(B4271,LEN(B4271)-FIND("@",B4271)),""))</f>
        <v/>
      </c>
      <c r="G4271">
        <f>IF(D4271="KEEP",COUNTIF($D$2:D4271,"KEEP"),"")</f>
        <v/>
      </c>
      <c r="H4271">
        <f>IF(D4271="REMOVE",COUNTIF($D$2:D4271,"REMOVE"),"")</f>
        <v/>
      </c>
      <c r="I4271">
        <f>IF(E4271="Gmail",COUNTIF($E$2:E4271,"Gmail"),"")</f>
        <v/>
      </c>
      <c r="J4271">
        <f>IF(E4271="Outlook",COUNTIF($E$2:E4271,"Outlook"),"")</f>
        <v/>
      </c>
      <c r="K4271">
        <f>IF(E4271="Domain",COUNTIF($E$2:E4271,"Domain"),"")</f>
        <v/>
      </c>
    </row>
    <row r="4272">
      <c r="A4272" s="2" t="n"/>
      <c r="B4272">
        <f>LOWER(TRIM(A4272))</f>
        <v/>
      </c>
      <c r="C4272">
        <f>IF(B4272="","",IFERROR(INDEX('Bad Patterns'!$A$2:$A$120,MATCH(1,INDEX(--ISNUMBER(SEARCH('Bad Patterns'!$A$2:$A$120,B4272)),0),0)),""))</f>
        <v/>
      </c>
      <c r="D4272">
        <f>IF(B4272="","",IF(C4272&lt;&gt;"","REMOVE","KEEP"))</f>
        <v/>
      </c>
      <c r="E4272">
        <f>IF(D4272&lt;&gt;"KEEP","",IF(RIGHT(B4272,10)="@gmail.com","Gmail",IF(OR(RIGHT(B4272,12)="@outlook.com",RIGHT(B4272,12)="@hotmail.com",RIGHT(B4272,9)="@live.com"),"Outlook","Domain")))</f>
        <v/>
      </c>
      <c r="F4272">
        <f>IF(B4272="","",IFERROR(RIGHT(B4272,LEN(B4272)-FIND("@",B4272)),""))</f>
        <v/>
      </c>
      <c r="G4272">
        <f>IF(D4272="KEEP",COUNTIF($D$2:D4272,"KEEP"),"")</f>
        <v/>
      </c>
      <c r="H4272">
        <f>IF(D4272="REMOVE",COUNTIF($D$2:D4272,"REMOVE"),"")</f>
        <v/>
      </c>
      <c r="I4272">
        <f>IF(E4272="Gmail",COUNTIF($E$2:E4272,"Gmail"),"")</f>
        <v/>
      </c>
      <c r="J4272">
        <f>IF(E4272="Outlook",COUNTIF($E$2:E4272,"Outlook"),"")</f>
        <v/>
      </c>
      <c r="K4272">
        <f>IF(E4272="Domain",COUNTIF($E$2:E4272,"Domain"),"")</f>
        <v/>
      </c>
    </row>
    <row r="4273">
      <c r="A4273" s="2" t="n"/>
      <c r="B4273">
        <f>LOWER(TRIM(A4273))</f>
        <v/>
      </c>
      <c r="C4273">
        <f>IF(B4273="","",IFERROR(INDEX('Bad Patterns'!$A$2:$A$120,MATCH(1,INDEX(--ISNUMBER(SEARCH('Bad Patterns'!$A$2:$A$120,B4273)),0),0)),""))</f>
        <v/>
      </c>
      <c r="D4273">
        <f>IF(B4273="","",IF(C4273&lt;&gt;"","REMOVE","KEEP"))</f>
        <v/>
      </c>
      <c r="E4273">
        <f>IF(D4273&lt;&gt;"KEEP","",IF(RIGHT(B4273,10)="@gmail.com","Gmail",IF(OR(RIGHT(B4273,12)="@outlook.com",RIGHT(B4273,12)="@hotmail.com",RIGHT(B4273,9)="@live.com"),"Outlook","Domain")))</f>
        <v/>
      </c>
      <c r="F4273">
        <f>IF(B4273="","",IFERROR(RIGHT(B4273,LEN(B4273)-FIND("@",B4273)),""))</f>
        <v/>
      </c>
      <c r="G4273">
        <f>IF(D4273="KEEP",COUNTIF($D$2:D4273,"KEEP"),"")</f>
        <v/>
      </c>
      <c r="H4273">
        <f>IF(D4273="REMOVE",COUNTIF($D$2:D4273,"REMOVE"),"")</f>
        <v/>
      </c>
      <c r="I4273">
        <f>IF(E4273="Gmail",COUNTIF($E$2:E4273,"Gmail"),"")</f>
        <v/>
      </c>
      <c r="J4273">
        <f>IF(E4273="Outlook",COUNTIF($E$2:E4273,"Outlook"),"")</f>
        <v/>
      </c>
      <c r="K4273">
        <f>IF(E4273="Domain",COUNTIF($E$2:E4273,"Domain"),"")</f>
        <v/>
      </c>
    </row>
    <row r="4274">
      <c r="A4274" s="2" t="n"/>
      <c r="B4274">
        <f>LOWER(TRIM(A4274))</f>
        <v/>
      </c>
      <c r="C4274">
        <f>IF(B4274="","",IFERROR(INDEX('Bad Patterns'!$A$2:$A$120,MATCH(1,INDEX(--ISNUMBER(SEARCH('Bad Patterns'!$A$2:$A$120,B4274)),0),0)),""))</f>
        <v/>
      </c>
      <c r="D4274">
        <f>IF(B4274="","",IF(C4274&lt;&gt;"","REMOVE","KEEP"))</f>
        <v/>
      </c>
      <c r="E4274">
        <f>IF(D4274&lt;&gt;"KEEP","",IF(RIGHT(B4274,10)="@gmail.com","Gmail",IF(OR(RIGHT(B4274,12)="@outlook.com",RIGHT(B4274,12)="@hotmail.com",RIGHT(B4274,9)="@live.com"),"Outlook","Domain")))</f>
        <v/>
      </c>
      <c r="F4274">
        <f>IF(B4274="","",IFERROR(RIGHT(B4274,LEN(B4274)-FIND("@",B4274)),""))</f>
        <v/>
      </c>
      <c r="G4274">
        <f>IF(D4274="KEEP",COUNTIF($D$2:D4274,"KEEP"),"")</f>
        <v/>
      </c>
      <c r="H4274">
        <f>IF(D4274="REMOVE",COUNTIF($D$2:D4274,"REMOVE"),"")</f>
        <v/>
      </c>
      <c r="I4274">
        <f>IF(E4274="Gmail",COUNTIF($E$2:E4274,"Gmail"),"")</f>
        <v/>
      </c>
      <c r="J4274">
        <f>IF(E4274="Outlook",COUNTIF($E$2:E4274,"Outlook"),"")</f>
        <v/>
      </c>
      <c r="K4274">
        <f>IF(E4274="Domain",COUNTIF($E$2:E4274,"Domain"),"")</f>
        <v/>
      </c>
    </row>
    <row r="4275">
      <c r="A4275" s="2" t="n"/>
      <c r="B4275">
        <f>LOWER(TRIM(A4275))</f>
        <v/>
      </c>
      <c r="C4275">
        <f>IF(B4275="","",IFERROR(INDEX('Bad Patterns'!$A$2:$A$120,MATCH(1,INDEX(--ISNUMBER(SEARCH('Bad Patterns'!$A$2:$A$120,B4275)),0),0)),""))</f>
        <v/>
      </c>
      <c r="D4275">
        <f>IF(B4275="","",IF(C4275&lt;&gt;"","REMOVE","KEEP"))</f>
        <v/>
      </c>
      <c r="E4275">
        <f>IF(D4275&lt;&gt;"KEEP","",IF(RIGHT(B4275,10)="@gmail.com","Gmail",IF(OR(RIGHT(B4275,12)="@outlook.com",RIGHT(B4275,12)="@hotmail.com",RIGHT(B4275,9)="@live.com"),"Outlook","Domain")))</f>
        <v/>
      </c>
      <c r="F4275">
        <f>IF(B4275="","",IFERROR(RIGHT(B4275,LEN(B4275)-FIND("@",B4275)),""))</f>
        <v/>
      </c>
      <c r="G4275">
        <f>IF(D4275="KEEP",COUNTIF($D$2:D4275,"KEEP"),"")</f>
        <v/>
      </c>
      <c r="H4275">
        <f>IF(D4275="REMOVE",COUNTIF($D$2:D4275,"REMOVE"),"")</f>
        <v/>
      </c>
      <c r="I4275">
        <f>IF(E4275="Gmail",COUNTIF($E$2:E4275,"Gmail"),"")</f>
        <v/>
      </c>
      <c r="J4275">
        <f>IF(E4275="Outlook",COUNTIF($E$2:E4275,"Outlook"),"")</f>
        <v/>
      </c>
      <c r="K4275">
        <f>IF(E4275="Domain",COUNTIF($E$2:E4275,"Domain"),"")</f>
        <v/>
      </c>
    </row>
    <row r="4276">
      <c r="A4276" s="2" t="n"/>
      <c r="B4276">
        <f>LOWER(TRIM(A4276))</f>
        <v/>
      </c>
      <c r="C4276">
        <f>IF(B4276="","",IFERROR(INDEX('Bad Patterns'!$A$2:$A$120,MATCH(1,INDEX(--ISNUMBER(SEARCH('Bad Patterns'!$A$2:$A$120,B4276)),0),0)),""))</f>
        <v/>
      </c>
      <c r="D4276">
        <f>IF(B4276="","",IF(C4276&lt;&gt;"","REMOVE","KEEP"))</f>
        <v/>
      </c>
      <c r="E4276">
        <f>IF(D4276&lt;&gt;"KEEP","",IF(RIGHT(B4276,10)="@gmail.com","Gmail",IF(OR(RIGHT(B4276,12)="@outlook.com",RIGHT(B4276,12)="@hotmail.com",RIGHT(B4276,9)="@live.com"),"Outlook","Domain")))</f>
        <v/>
      </c>
      <c r="F4276">
        <f>IF(B4276="","",IFERROR(RIGHT(B4276,LEN(B4276)-FIND("@",B4276)),""))</f>
        <v/>
      </c>
      <c r="G4276">
        <f>IF(D4276="KEEP",COUNTIF($D$2:D4276,"KEEP"),"")</f>
        <v/>
      </c>
      <c r="H4276">
        <f>IF(D4276="REMOVE",COUNTIF($D$2:D4276,"REMOVE"),"")</f>
        <v/>
      </c>
      <c r="I4276">
        <f>IF(E4276="Gmail",COUNTIF($E$2:E4276,"Gmail"),"")</f>
        <v/>
      </c>
      <c r="J4276">
        <f>IF(E4276="Outlook",COUNTIF($E$2:E4276,"Outlook"),"")</f>
        <v/>
      </c>
      <c r="K4276">
        <f>IF(E4276="Domain",COUNTIF($E$2:E4276,"Domain"),"")</f>
        <v/>
      </c>
    </row>
    <row r="4277">
      <c r="A4277" s="2" t="n"/>
      <c r="B4277">
        <f>LOWER(TRIM(A4277))</f>
        <v/>
      </c>
      <c r="C4277">
        <f>IF(B4277="","",IFERROR(INDEX('Bad Patterns'!$A$2:$A$120,MATCH(1,INDEX(--ISNUMBER(SEARCH('Bad Patterns'!$A$2:$A$120,B4277)),0),0)),""))</f>
        <v/>
      </c>
      <c r="D4277">
        <f>IF(B4277="","",IF(C4277&lt;&gt;"","REMOVE","KEEP"))</f>
        <v/>
      </c>
      <c r="E4277">
        <f>IF(D4277&lt;&gt;"KEEP","",IF(RIGHT(B4277,10)="@gmail.com","Gmail",IF(OR(RIGHT(B4277,12)="@outlook.com",RIGHT(B4277,12)="@hotmail.com",RIGHT(B4277,9)="@live.com"),"Outlook","Domain")))</f>
        <v/>
      </c>
      <c r="F4277">
        <f>IF(B4277="","",IFERROR(RIGHT(B4277,LEN(B4277)-FIND("@",B4277)),""))</f>
        <v/>
      </c>
      <c r="G4277">
        <f>IF(D4277="KEEP",COUNTIF($D$2:D4277,"KEEP"),"")</f>
        <v/>
      </c>
      <c r="H4277">
        <f>IF(D4277="REMOVE",COUNTIF($D$2:D4277,"REMOVE"),"")</f>
        <v/>
      </c>
      <c r="I4277">
        <f>IF(E4277="Gmail",COUNTIF($E$2:E4277,"Gmail"),"")</f>
        <v/>
      </c>
      <c r="J4277">
        <f>IF(E4277="Outlook",COUNTIF($E$2:E4277,"Outlook"),"")</f>
        <v/>
      </c>
      <c r="K4277">
        <f>IF(E4277="Domain",COUNTIF($E$2:E4277,"Domain"),"")</f>
        <v/>
      </c>
    </row>
    <row r="4278">
      <c r="A4278" s="2" t="n"/>
      <c r="B4278">
        <f>LOWER(TRIM(A4278))</f>
        <v/>
      </c>
      <c r="C4278">
        <f>IF(B4278="","",IFERROR(INDEX('Bad Patterns'!$A$2:$A$120,MATCH(1,INDEX(--ISNUMBER(SEARCH('Bad Patterns'!$A$2:$A$120,B4278)),0),0)),""))</f>
        <v/>
      </c>
      <c r="D4278">
        <f>IF(B4278="","",IF(C4278&lt;&gt;"","REMOVE","KEEP"))</f>
        <v/>
      </c>
      <c r="E4278">
        <f>IF(D4278&lt;&gt;"KEEP","",IF(RIGHT(B4278,10)="@gmail.com","Gmail",IF(OR(RIGHT(B4278,12)="@outlook.com",RIGHT(B4278,12)="@hotmail.com",RIGHT(B4278,9)="@live.com"),"Outlook","Domain")))</f>
        <v/>
      </c>
      <c r="F4278">
        <f>IF(B4278="","",IFERROR(RIGHT(B4278,LEN(B4278)-FIND("@",B4278)),""))</f>
        <v/>
      </c>
      <c r="G4278">
        <f>IF(D4278="KEEP",COUNTIF($D$2:D4278,"KEEP"),"")</f>
        <v/>
      </c>
      <c r="H4278">
        <f>IF(D4278="REMOVE",COUNTIF($D$2:D4278,"REMOVE"),"")</f>
        <v/>
      </c>
      <c r="I4278">
        <f>IF(E4278="Gmail",COUNTIF($E$2:E4278,"Gmail"),"")</f>
        <v/>
      </c>
      <c r="J4278">
        <f>IF(E4278="Outlook",COUNTIF($E$2:E4278,"Outlook"),"")</f>
        <v/>
      </c>
      <c r="K4278">
        <f>IF(E4278="Domain",COUNTIF($E$2:E4278,"Domain"),"")</f>
        <v/>
      </c>
    </row>
    <row r="4279">
      <c r="A4279" s="2" t="n"/>
      <c r="B4279">
        <f>LOWER(TRIM(A4279))</f>
        <v/>
      </c>
      <c r="C4279">
        <f>IF(B4279="","",IFERROR(INDEX('Bad Patterns'!$A$2:$A$120,MATCH(1,INDEX(--ISNUMBER(SEARCH('Bad Patterns'!$A$2:$A$120,B4279)),0),0)),""))</f>
        <v/>
      </c>
      <c r="D4279">
        <f>IF(B4279="","",IF(C4279&lt;&gt;"","REMOVE","KEEP"))</f>
        <v/>
      </c>
      <c r="E4279">
        <f>IF(D4279&lt;&gt;"KEEP","",IF(RIGHT(B4279,10)="@gmail.com","Gmail",IF(OR(RIGHT(B4279,12)="@outlook.com",RIGHT(B4279,12)="@hotmail.com",RIGHT(B4279,9)="@live.com"),"Outlook","Domain")))</f>
        <v/>
      </c>
      <c r="F4279">
        <f>IF(B4279="","",IFERROR(RIGHT(B4279,LEN(B4279)-FIND("@",B4279)),""))</f>
        <v/>
      </c>
      <c r="G4279">
        <f>IF(D4279="KEEP",COUNTIF($D$2:D4279,"KEEP"),"")</f>
        <v/>
      </c>
      <c r="H4279">
        <f>IF(D4279="REMOVE",COUNTIF($D$2:D4279,"REMOVE"),"")</f>
        <v/>
      </c>
      <c r="I4279">
        <f>IF(E4279="Gmail",COUNTIF($E$2:E4279,"Gmail"),"")</f>
        <v/>
      </c>
      <c r="J4279">
        <f>IF(E4279="Outlook",COUNTIF($E$2:E4279,"Outlook"),"")</f>
        <v/>
      </c>
      <c r="K4279">
        <f>IF(E4279="Domain",COUNTIF($E$2:E4279,"Domain"),"")</f>
        <v/>
      </c>
    </row>
    <row r="4280">
      <c r="A4280" s="2" t="n"/>
      <c r="B4280">
        <f>LOWER(TRIM(A4280))</f>
        <v/>
      </c>
      <c r="C4280">
        <f>IF(B4280="","",IFERROR(INDEX('Bad Patterns'!$A$2:$A$120,MATCH(1,INDEX(--ISNUMBER(SEARCH('Bad Patterns'!$A$2:$A$120,B4280)),0),0)),""))</f>
        <v/>
      </c>
      <c r="D4280">
        <f>IF(B4280="","",IF(C4280&lt;&gt;"","REMOVE","KEEP"))</f>
        <v/>
      </c>
      <c r="E4280">
        <f>IF(D4280&lt;&gt;"KEEP","",IF(RIGHT(B4280,10)="@gmail.com","Gmail",IF(OR(RIGHT(B4280,12)="@outlook.com",RIGHT(B4280,12)="@hotmail.com",RIGHT(B4280,9)="@live.com"),"Outlook","Domain")))</f>
        <v/>
      </c>
      <c r="F4280">
        <f>IF(B4280="","",IFERROR(RIGHT(B4280,LEN(B4280)-FIND("@",B4280)),""))</f>
        <v/>
      </c>
      <c r="G4280">
        <f>IF(D4280="KEEP",COUNTIF($D$2:D4280,"KEEP"),"")</f>
        <v/>
      </c>
      <c r="H4280">
        <f>IF(D4280="REMOVE",COUNTIF($D$2:D4280,"REMOVE"),"")</f>
        <v/>
      </c>
      <c r="I4280">
        <f>IF(E4280="Gmail",COUNTIF($E$2:E4280,"Gmail"),"")</f>
        <v/>
      </c>
      <c r="J4280">
        <f>IF(E4280="Outlook",COUNTIF($E$2:E4280,"Outlook"),"")</f>
        <v/>
      </c>
      <c r="K4280">
        <f>IF(E4280="Domain",COUNTIF($E$2:E4280,"Domain"),"")</f>
        <v/>
      </c>
    </row>
    <row r="4281">
      <c r="A4281" s="2" t="n"/>
      <c r="B4281">
        <f>LOWER(TRIM(A4281))</f>
        <v/>
      </c>
      <c r="C4281">
        <f>IF(B4281="","",IFERROR(INDEX('Bad Patterns'!$A$2:$A$120,MATCH(1,INDEX(--ISNUMBER(SEARCH('Bad Patterns'!$A$2:$A$120,B4281)),0),0)),""))</f>
        <v/>
      </c>
      <c r="D4281">
        <f>IF(B4281="","",IF(C4281&lt;&gt;"","REMOVE","KEEP"))</f>
        <v/>
      </c>
      <c r="E4281">
        <f>IF(D4281&lt;&gt;"KEEP","",IF(RIGHT(B4281,10)="@gmail.com","Gmail",IF(OR(RIGHT(B4281,12)="@outlook.com",RIGHT(B4281,12)="@hotmail.com",RIGHT(B4281,9)="@live.com"),"Outlook","Domain")))</f>
        <v/>
      </c>
      <c r="F4281">
        <f>IF(B4281="","",IFERROR(RIGHT(B4281,LEN(B4281)-FIND("@",B4281)),""))</f>
        <v/>
      </c>
      <c r="G4281">
        <f>IF(D4281="KEEP",COUNTIF($D$2:D4281,"KEEP"),"")</f>
        <v/>
      </c>
      <c r="H4281">
        <f>IF(D4281="REMOVE",COUNTIF($D$2:D4281,"REMOVE"),"")</f>
        <v/>
      </c>
      <c r="I4281">
        <f>IF(E4281="Gmail",COUNTIF($E$2:E4281,"Gmail"),"")</f>
        <v/>
      </c>
      <c r="J4281">
        <f>IF(E4281="Outlook",COUNTIF($E$2:E4281,"Outlook"),"")</f>
        <v/>
      </c>
      <c r="K4281">
        <f>IF(E4281="Domain",COUNTIF($E$2:E4281,"Domain"),"")</f>
        <v/>
      </c>
    </row>
    <row r="4282">
      <c r="A4282" s="2" t="n"/>
      <c r="B4282">
        <f>LOWER(TRIM(A4282))</f>
        <v/>
      </c>
      <c r="C4282">
        <f>IF(B4282="","",IFERROR(INDEX('Bad Patterns'!$A$2:$A$120,MATCH(1,INDEX(--ISNUMBER(SEARCH('Bad Patterns'!$A$2:$A$120,B4282)),0),0)),""))</f>
        <v/>
      </c>
      <c r="D4282">
        <f>IF(B4282="","",IF(C4282&lt;&gt;"","REMOVE","KEEP"))</f>
        <v/>
      </c>
      <c r="E4282">
        <f>IF(D4282&lt;&gt;"KEEP","",IF(RIGHT(B4282,10)="@gmail.com","Gmail",IF(OR(RIGHT(B4282,12)="@outlook.com",RIGHT(B4282,12)="@hotmail.com",RIGHT(B4282,9)="@live.com"),"Outlook","Domain")))</f>
        <v/>
      </c>
      <c r="F4282">
        <f>IF(B4282="","",IFERROR(RIGHT(B4282,LEN(B4282)-FIND("@",B4282)),""))</f>
        <v/>
      </c>
      <c r="G4282">
        <f>IF(D4282="KEEP",COUNTIF($D$2:D4282,"KEEP"),"")</f>
        <v/>
      </c>
      <c r="H4282">
        <f>IF(D4282="REMOVE",COUNTIF($D$2:D4282,"REMOVE"),"")</f>
        <v/>
      </c>
      <c r="I4282">
        <f>IF(E4282="Gmail",COUNTIF($E$2:E4282,"Gmail"),"")</f>
        <v/>
      </c>
      <c r="J4282">
        <f>IF(E4282="Outlook",COUNTIF($E$2:E4282,"Outlook"),"")</f>
        <v/>
      </c>
      <c r="K4282">
        <f>IF(E4282="Domain",COUNTIF($E$2:E4282,"Domain"),"")</f>
        <v/>
      </c>
    </row>
    <row r="4283">
      <c r="A4283" s="2" t="n"/>
      <c r="B4283">
        <f>LOWER(TRIM(A4283))</f>
        <v/>
      </c>
      <c r="C4283">
        <f>IF(B4283="","",IFERROR(INDEX('Bad Patterns'!$A$2:$A$120,MATCH(1,INDEX(--ISNUMBER(SEARCH('Bad Patterns'!$A$2:$A$120,B4283)),0),0)),""))</f>
        <v/>
      </c>
      <c r="D4283">
        <f>IF(B4283="","",IF(C4283&lt;&gt;"","REMOVE","KEEP"))</f>
        <v/>
      </c>
      <c r="E4283">
        <f>IF(D4283&lt;&gt;"KEEP","",IF(RIGHT(B4283,10)="@gmail.com","Gmail",IF(OR(RIGHT(B4283,12)="@outlook.com",RIGHT(B4283,12)="@hotmail.com",RIGHT(B4283,9)="@live.com"),"Outlook","Domain")))</f>
        <v/>
      </c>
      <c r="F4283">
        <f>IF(B4283="","",IFERROR(RIGHT(B4283,LEN(B4283)-FIND("@",B4283)),""))</f>
        <v/>
      </c>
      <c r="G4283">
        <f>IF(D4283="KEEP",COUNTIF($D$2:D4283,"KEEP"),"")</f>
        <v/>
      </c>
      <c r="H4283">
        <f>IF(D4283="REMOVE",COUNTIF($D$2:D4283,"REMOVE"),"")</f>
        <v/>
      </c>
      <c r="I4283">
        <f>IF(E4283="Gmail",COUNTIF($E$2:E4283,"Gmail"),"")</f>
        <v/>
      </c>
      <c r="J4283">
        <f>IF(E4283="Outlook",COUNTIF($E$2:E4283,"Outlook"),"")</f>
        <v/>
      </c>
      <c r="K4283">
        <f>IF(E4283="Domain",COUNTIF($E$2:E4283,"Domain"),"")</f>
        <v/>
      </c>
    </row>
    <row r="4284">
      <c r="A4284" s="2" t="n"/>
      <c r="B4284">
        <f>LOWER(TRIM(A4284))</f>
        <v/>
      </c>
      <c r="C4284">
        <f>IF(B4284="","",IFERROR(INDEX('Bad Patterns'!$A$2:$A$120,MATCH(1,INDEX(--ISNUMBER(SEARCH('Bad Patterns'!$A$2:$A$120,B4284)),0),0)),""))</f>
        <v/>
      </c>
      <c r="D4284">
        <f>IF(B4284="","",IF(C4284&lt;&gt;"","REMOVE","KEEP"))</f>
        <v/>
      </c>
      <c r="E4284">
        <f>IF(D4284&lt;&gt;"KEEP","",IF(RIGHT(B4284,10)="@gmail.com","Gmail",IF(OR(RIGHT(B4284,12)="@outlook.com",RIGHT(B4284,12)="@hotmail.com",RIGHT(B4284,9)="@live.com"),"Outlook","Domain")))</f>
        <v/>
      </c>
      <c r="F4284">
        <f>IF(B4284="","",IFERROR(RIGHT(B4284,LEN(B4284)-FIND("@",B4284)),""))</f>
        <v/>
      </c>
      <c r="G4284">
        <f>IF(D4284="KEEP",COUNTIF($D$2:D4284,"KEEP"),"")</f>
        <v/>
      </c>
      <c r="H4284">
        <f>IF(D4284="REMOVE",COUNTIF($D$2:D4284,"REMOVE"),"")</f>
        <v/>
      </c>
      <c r="I4284">
        <f>IF(E4284="Gmail",COUNTIF($E$2:E4284,"Gmail"),"")</f>
        <v/>
      </c>
      <c r="J4284">
        <f>IF(E4284="Outlook",COUNTIF($E$2:E4284,"Outlook"),"")</f>
        <v/>
      </c>
      <c r="K4284">
        <f>IF(E4284="Domain",COUNTIF($E$2:E4284,"Domain"),"")</f>
        <v/>
      </c>
    </row>
    <row r="4285">
      <c r="A4285" s="2" t="n"/>
      <c r="B4285">
        <f>LOWER(TRIM(A4285))</f>
        <v/>
      </c>
      <c r="C4285">
        <f>IF(B4285="","",IFERROR(INDEX('Bad Patterns'!$A$2:$A$120,MATCH(1,INDEX(--ISNUMBER(SEARCH('Bad Patterns'!$A$2:$A$120,B4285)),0),0)),""))</f>
        <v/>
      </c>
      <c r="D4285">
        <f>IF(B4285="","",IF(C4285&lt;&gt;"","REMOVE","KEEP"))</f>
        <v/>
      </c>
      <c r="E4285">
        <f>IF(D4285&lt;&gt;"KEEP","",IF(RIGHT(B4285,10)="@gmail.com","Gmail",IF(OR(RIGHT(B4285,12)="@outlook.com",RIGHT(B4285,12)="@hotmail.com",RIGHT(B4285,9)="@live.com"),"Outlook","Domain")))</f>
        <v/>
      </c>
      <c r="F4285">
        <f>IF(B4285="","",IFERROR(RIGHT(B4285,LEN(B4285)-FIND("@",B4285)),""))</f>
        <v/>
      </c>
      <c r="G4285">
        <f>IF(D4285="KEEP",COUNTIF($D$2:D4285,"KEEP"),"")</f>
        <v/>
      </c>
      <c r="H4285">
        <f>IF(D4285="REMOVE",COUNTIF($D$2:D4285,"REMOVE"),"")</f>
        <v/>
      </c>
      <c r="I4285">
        <f>IF(E4285="Gmail",COUNTIF($E$2:E4285,"Gmail"),"")</f>
        <v/>
      </c>
      <c r="J4285">
        <f>IF(E4285="Outlook",COUNTIF($E$2:E4285,"Outlook"),"")</f>
        <v/>
      </c>
      <c r="K4285">
        <f>IF(E4285="Domain",COUNTIF($E$2:E4285,"Domain"),"")</f>
        <v/>
      </c>
    </row>
    <row r="4286">
      <c r="A4286" s="2" t="n"/>
      <c r="B4286">
        <f>LOWER(TRIM(A4286))</f>
        <v/>
      </c>
      <c r="C4286">
        <f>IF(B4286="","",IFERROR(INDEX('Bad Patterns'!$A$2:$A$120,MATCH(1,INDEX(--ISNUMBER(SEARCH('Bad Patterns'!$A$2:$A$120,B4286)),0),0)),""))</f>
        <v/>
      </c>
      <c r="D4286">
        <f>IF(B4286="","",IF(C4286&lt;&gt;"","REMOVE","KEEP"))</f>
        <v/>
      </c>
      <c r="E4286">
        <f>IF(D4286&lt;&gt;"KEEP","",IF(RIGHT(B4286,10)="@gmail.com","Gmail",IF(OR(RIGHT(B4286,12)="@outlook.com",RIGHT(B4286,12)="@hotmail.com",RIGHT(B4286,9)="@live.com"),"Outlook","Domain")))</f>
        <v/>
      </c>
      <c r="F4286">
        <f>IF(B4286="","",IFERROR(RIGHT(B4286,LEN(B4286)-FIND("@",B4286)),""))</f>
        <v/>
      </c>
      <c r="G4286">
        <f>IF(D4286="KEEP",COUNTIF($D$2:D4286,"KEEP"),"")</f>
        <v/>
      </c>
      <c r="H4286">
        <f>IF(D4286="REMOVE",COUNTIF($D$2:D4286,"REMOVE"),"")</f>
        <v/>
      </c>
      <c r="I4286">
        <f>IF(E4286="Gmail",COUNTIF($E$2:E4286,"Gmail"),"")</f>
        <v/>
      </c>
      <c r="J4286">
        <f>IF(E4286="Outlook",COUNTIF($E$2:E4286,"Outlook"),"")</f>
        <v/>
      </c>
      <c r="K4286">
        <f>IF(E4286="Domain",COUNTIF($E$2:E4286,"Domain"),"")</f>
        <v/>
      </c>
    </row>
    <row r="4287">
      <c r="A4287" s="2" t="n"/>
      <c r="B4287">
        <f>LOWER(TRIM(A4287))</f>
        <v/>
      </c>
      <c r="C4287">
        <f>IF(B4287="","",IFERROR(INDEX('Bad Patterns'!$A$2:$A$120,MATCH(1,INDEX(--ISNUMBER(SEARCH('Bad Patterns'!$A$2:$A$120,B4287)),0),0)),""))</f>
        <v/>
      </c>
      <c r="D4287">
        <f>IF(B4287="","",IF(C4287&lt;&gt;"","REMOVE","KEEP"))</f>
        <v/>
      </c>
      <c r="E4287">
        <f>IF(D4287&lt;&gt;"KEEP","",IF(RIGHT(B4287,10)="@gmail.com","Gmail",IF(OR(RIGHT(B4287,12)="@outlook.com",RIGHT(B4287,12)="@hotmail.com",RIGHT(B4287,9)="@live.com"),"Outlook","Domain")))</f>
        <v/>
      </c>
      <c r="F4287">
        <f>IF(B4287="","",IFERROR(RIGHT(B4287,LEN(B4287)-FIND("@",B4287)),""))</f>
        <v/>
      </c>
      <c r="G4287">
        <f>IF(D4287="KEEP",COUNTIF($D$2:D4287,"KEEP"),"")</f>
        <v/>
      </c>
      <c r="H4287">
        <f>IF(D4287="REMOVE",COUNTIF($D$2:D4287,"REMOVE"),"")</f>
        <v/>
      </c>
      <c r="I4287">
        <f>IF(E4287="Gmail",COUNTIF($E$2:E4287,"Gmail"),"")</f>
        <v/>
      </c>
      <c r="J4287">
        <f>IF(E4287="Outlook",COUNTIF($E$2:E4287,"Outlook"),"")</f>
        <v/>
      </c>
      <c r="K4287">
        <f>IF(E4287="Domain",COUNTIF($E$2:E4287,"Domain"),"")</f>
        <v/>
      </c>
    </row>
    <row r="4288">
      <c r="A4288" s="2" t="n"/>
      <c r="B4288">
        <f>LOWER(TRIM(A4288))</f>
        <v/>
      </c>
      <c r="C4288">
        <f>IF(B4288="","",IFERROR(INDEX('Bad Patterns'!$A$2:$A$120,MATCH(1,INDEX(--ISNUMBER(SEARCH('Bad Patterns'!$A$2:$A$120,B4288)),0),0)),""))</f>
        <v/>
      </c>
      <c r="D4288">
        <f>IF(B4288="","",IF(C4288&lt;&gt;"","REMOVE","KEEP"))</f>
        <v/>
      </c>
      <c r="E4288">
        <f>IF(D4288&lt;&gt;"KEEP","",IF(RIGHT(B4288,10)="@gmail.com","Gmail",IF(OR(RIGHT(B4288,12)="@outlook.com",RIGHT(B4288,12)="@hotmail.com",RIGHT(B4288,9)="@live.com"),"Outlook","Domain")))</f>
        <v/>
      </c>
      <c r="F4288">
        <f>IF(B4288="","",IFERROR(RIGHT(B4288,LEN(B4288)-FIND("@",B4288)),""))</f>
        <v/>
      </c>
      <c r="G4288">
        <f>IF(D4288="KEEP",COUNTIF($D$2:D4288,"KEEP"),"")</f>
        <v/>
      </c>
      <c r="H4288">
        <f>IF(D4288="REMOVE",COUNTIF($D$2:D4288,"REMOVE"),"")</f>
        <v/>
      </c>
      <c r="I4288">
        <f>IF(E4288="Gmail",COUNTIF($E$2:E4288,"Gmail"),"")</f>
        <v/>
      </c>
      <c r="J4288">
        <f>IF(E4288="Outlook",COUNTIF($E$2:E4288,"Outlook"),"")</f>
        <v/>
      </c>
      <c r="K4288">
        <f>IF(E4288="Domain",COUNTIF($E$2:E4288,"Domain"),"")</f>
        <v/>
      </c>
    </row>
    <row r="4289">
      <c r="A4289" s="2" t="n"/>
      <c r="B4289">
        <f>LOWER(TRIM(A4289))</f>
        <v/>
      </c>
      <c r="C4289">
        <f>IF(B4289="","",IFERROR(INDEX('Bad Patterns'!$A$2:$A$120,MATCH(1,INDEX(--ISNUMBER(SEARCH('Bad Patterns'!$A$2:$A$120,B4289)),0),0)),""))</f>
        <v/>
      </c>
      <c r="D4289">
        <f>IF(B4289="","",IF(C4289&lt;&gt;"","REMOVE","KEEP"))</f>
        <v/>
      </c>
      <c r="E4289">
        <f>IF(D4289&lt;&gt;"KEEP","",IF(RIGHT(B4289,10)="@gmail.com","Gmail",IF(OR(RIGHT(B4289,12)="@outlook.com",RIGHT(B4289,12)="@hotmail.com",RIGHT(B4289,9)="@live.com"),"Outlook","Domain")))</f>
        <v/>
      </c>
      <c r="F4289">
        <f>IF(B4289="","",IFERROR(RIGHT(B4289,LEN(B4289)-FIND("@",B4289)),""))</f>
        <v/>
      </c>
      <c r="G4289">
        <f>IF(D4289="KEEP",COUNTIF($D$2:D4289,"KEEP"),"")</f>
        <v/>
      </c>
      <c r="H4289">
        <f>IF(D4289="REMOVE",COUNTIF($D$2:D4289,"REMOVE"),"")</f>
        <v/>
      </c>
      <c r="I4289">
        <f>IF(E4289="Gmail",COUNTIF($E$2:E4289,"Gmail"),"")</f>
        <v/>
      </c>
      <c r="J4289">
        <f>IF(E4289="Outlook",COUNTIF($E$2:E4289,"Outlook"),"")</f>
        <v/>
      </c>
      <c r="K4289">
        <f>IF(E4289="Domain",COUNTIF($E$2:E4289,"Domain"),"")</f>
        <v/>
      </c>
    </row>
    <row r="4290">
      <c r="A4290" s="2" t="n"/>
      <c r="B4290">
        <f>LOWER(TRIM(A4290))</f>
        <v/>
      </c>
      <c r="C4290">
        <f>IF(B4290="","",IFERROR(INDEX('Bad Patterns'!$A$2:$A$120,MATCH(1,INDEX(--ISNUMBER(SEARCH('Bad Patterns'!$A$2:$A$120,B4290)),0),0)),""))</f>
        <v/>
      </c>
      <c r="D4290">
        <f>IF(B4290="","",IF(C4290&lt;&gt;"","REMOVE","KEEP"))</f>
        <v/>
      </c>
      <c r="E4290">
        <f>IF(D4290&lt;&gt;"KEEP","",IF(RIGHT(B4290,10)="@gmail.com","Gmail",IF(OR(RIGHT(B4290,12)="@outlook.com",RIGHT(B4290,12)="@hotmail.com",RIGHT(B4290,9)="@live.com"),"Outlook","Domain")))</f>
        <v/>
      </c>
      <c r="F4290">
        <f>IF(B4290="","",IFERROR(RIGHT(B4290,LEN(B4290)-FIND("@",B4290)),""))</f>
        <v/>
      </c>
      <c r="G4290">
        <f>IF(D4290="KEEP",COUNTIF($D$2:D4290,"KEEP"),"")</f>
        <v/>
      </c>
      <c r="H4290">
        <f>IF(D4290="REMOVE",COUNTIF($D$2:D4290,"REMOVE"),"")</f>
        <v/>
      </c>
      <c r="I4290">
        <f>IF(E4290="Gmail",COUNTIF($E$2:E4290,"Gmail"),"")</f>
        <v/>
      </c>
      <c r="J4290">
        <f>IF(E4290="Outlook",COUNTIF($E$2:E4290,"Outlook"),"")</f>
        <v/>
      </c>
      <c r="K4290">
        <f>IF(E4290="Domain",COUNTIF($E$2:E4290,"Domain"),"")</f>
        <v/>
      </c>
    </row>
    <row r="4291">
      <c r="A4291" s="2" t="n"/>
      <c r="B4291">
        <f>LOWER(TRIM(A4291))</f>
        <v/>
      </c>
      <c r="C4291">
        <f>IF(B4291="","",IFERROR(INDEX('Bad Patterns'!$A$2:$A$120,MATCH(1,INDEX(--ISNUMBER(SEARCH('Bad Patterns'!$A$2:$A$120,B4291)),0),0)),""))</f>
        <v/>
      </c>
      <c r="D4291">
        <f>IF(B4291="","",IF(C4291&lt;&gt;"","REMOVE","KEEP"))</f>
        <v/>
      </c>
      <c r="E4291">
        <f>IF(D4291&lt;&gt;"KEEP","",IF(RIGHT(B4291,10)="@gmail.com","Gmail",IF(OR(RIGHT(B4291,12)="@outlook.com",RIGHT(B4291,12)="@hotmail.com",RIGHT(B4291,9)="@live.com"),"Outlook","Domain")))</f>
        <v/>
      </c>
      <c r="F4291">
        <f>IF(B4291="","",IFERROR(RIGHT(B4291,LEN(B4291)-FIND("@",B4291)),""))</f>
        <v/>
      </c>
      <c r="G4291">
        <f>IF(D4291="KEEP",COUNTIF($D$2:D4291,"KEEP"),"")</f>
        <v/>
      </c>
      <c r="H4291">
        <f>IF(D4291="REMOVE",COUNTIF($D$2:D4291,"REMOVE"),"")</f>
        <v/>
      </c>
      <c r="I4291">
        <f>IF(E4291="Gmail",COUNTIF($E$2:E4291,"Gmail"),"")</f>
        <v/>
      </c>
      <c r="J4291">
        <f>IF(E4291="Outlook",COUNTIF($E$2:E4291,"Outlook"),"")</f>
        <v/>
      </c>
      <c r="K4291">
        <f>IF(E4291="Domain",COUNTIF($E$2:E4291,"Domain"),"")</f>
        <v/>
      </c>
    </row>
    <row r="4292">
      <c r="A4292" s="2" t="n"/>
      <c r="B4292">
        <f>LOWER(TRIM(A4292))</f>
        <v/>
      </c>
      <c r="C4292">
        <f>IF(B4292="","",IFERROR(INDEX('Bad Patterns'!$A$2:$A$120,MATCH(1,INDEX(--ISNUMBER(SEARCH('Bad Patterns'!$A$2:$A$120,B4292)),0),0)),""))</f>
        <v/>
      </c>
      <c r="D4292">
        <f>IF(B4292="","",IF(C4292&lt;&gt;"","REMOVE","KEEP"))</f>
        <v/>
      </c>
      <c r="E4292">
        <f>IF(D4292&lt;&gt;"KEEP","",IF(RIGHT(B4292,10)="@gmail.com","Gmail",IF(OR(RIGHT(B4292,12)="@outlook.com",RIGHT(B4292,12)="@hotmail.com",RIGHT(B4292,9)="@live.com"),"Outlook","Domain")))</f>
        <v/>
      </c>
      <c r="F4292">
        <f>IF(B4292="","",IFERROR(RIGHT(B4292,LEN(B4292)-FIND("@",B4292)),""))</f>
        <v/>
      </c>
      <c r="G4292">
        <f>IF(D4292="KEEP",COUNTIF($D$2:D4292,"KEEP"),"")</f>
        <v/>
      </c>
      <c r="H4292">
        <f>IF(D4292="REMOVE",COUNTIF($D$2:D4292,"REMOVE"),"")</f>
        <v/>
      </c>
      <c r="I4292">
        <f>IF(E4292="Gmail",COUNTIF($E$2:E4292,"Gmail"),"")</f>
        <v/>
      </c>
      <c r="J4292">
        <f>IF(E4292="Outlook",COUNTIF($E$2:E4292,"Outlook"),"")</f>
        <v/>
      </c>
      <c r="K4292">
        <f>IF(E4292="Domain",COUNTIF($E$2:E4292,"Domain"),"")</f>
        <v/>
      </c>
    </row>
    <row r="4293">
      <c r="A4293" s="2" t="n"/>
      <c r="B4293">
        <f>LOWER(TRIM(A4293))</f>
        <v/>
      </c>
      <c r="C4293">
        <f>IF(B4293="","",IFERROR(INDEX('Bad Patterns'!$A$2:$A$120,MATCH(1,INDEX(--ISNUMBER(SEARCH('Bad Patterns'!$A$2:$A$120,B4293)),0),0)),""))</f>
        <v/>
      </c>
      <c r="D4293">
        <f>IF(B4293="","",IF(C4293&lt;&gt;"","REMOVE","KEEP"))</f>
        <v/>
      </c>
      <c r="E4293">
        <f>IF(D4293&lt;&gt;"KEEP","",IF(RIGHT(B4293,10)="@gmail.com","Gmail",IF(OR(RIGHT(B4293,12)="@outlook.com",RIGHT(B4293,12)="@hotmail.com",RIGHT(B4293,9)="@live.com"),"Outlook","Domain")))</f>
        <v/>
      </c>
      <c r="F4293">
        <f>IF(B4293="","",IFERROR(RIGHT(B4293,LEN(B4293)-FIND("@",B4293)),""))</f>
        <v/>
      </c>
      <c r="G4293">
        <f>IF(D4293="KEEP",COUNTIF($D$2:D4293,"KEEP"),"")</f>
        <v/>
      </c>
      <c r="H4293">
        <f>IF(D4293="REMOVE",COUNTIF($D$2:D4293,"REMOVE"),"")</f>
        <v/>
      </c>
      <c r="I4293">
        <f>IF(E4293="Gmail",COUNTIF($E$2:E4293,"Gmail"),"")</f>
        <v/>
      </c>
      <c r="J4293">
        <f>IF(E4293="Outlook",COUNTIF($E$2:E4293,"Outlook"),"")</f>
        <v/>
      </c>
      <c r="K4293">
        <f>IF(E4293="Domain",COUNTIF($E$2:E4293,"Domain"),"")</f>
        <v/>
      </c>
    </row>
    <row r="4294">
      <c r="A4294" s="2" t="n"/>
      <c r="B4294">
        <f>LOWER(TRIM(A4294))</f>
        <v/>
      </c>
      <c r="C4294">
        <f>IF(B4294="","",IFERROR(INDEX('Bad Patterns'!$A$2:$A$120,MATCH(1,INDEX(--ISNUMBER(SEARCH('Bad Patterns'!$A$2:$A$120,B4294)),0),0)),""))</f>
        <v/>
      </c>
      <c r="D4294">
        <f>IF(B4294="","",IF(C4294&lt;&gt;"","REMOVE","KEEP"))</f>
        <v/>
      </c>
      <c r="E4294">
        <f>IF(D4294&lt;&gt;"KEEP","",IF(RIGHT(B4294,10)="@gmail.com","Gmail",IF(OR(RIGHT(B4294,12)="@outlook.com",RIGHT(B4294,12)="@hotmail.com",RIGHT(B4294,9)="@live.com"),"Outlook","Domain")))</f>
        <v/>
      </c>
      <c r="F4294">
        <f>IF(B4294="","",IFERROR(RIGHT(B4294,LEN(B4294)-FIND("@",B4294)),""))</f>
        <v/>
      </c>
      <c r="G4294">
        <f>IF(D4294="KEEP",COUNTIF($D$2:D4294,"KEEP"),"")</f>
        <v/>
      </c>
      <c r="H4294">
        <f>IF(D4294="REMOVE",COUNTIF($D$2:D4294,"REMOVE"),"")</f>
        <v/>
      </c>
      <c r="I4294">
        <f>IF(E4294="Gmail",COUNTIF($E$2:E4294,"Gmail"),"")</f>
        <v/>
      </c>
      <c r="J4294">
        <f>IF(E4294="Outlook",COUNTIF($E$2:E4294,"Outlook"),"")</f>
        <v/>
      </c>
      <c r="K4294">
        <f>IF(E4294="Domain",COUNTIF($E$2:E4294,"Domain"),"")</f>
        <v/>
      </c>
    </row>
    <row r="4295">
      <c r="A4295" s="2" t="n"/>
      <c r="B4295">
        <f>LOWER(TRIM(A4295))</f>
        <v/>
      </c>
      <c r="C4295">
        <f>IF(B4295="","",IFERROR(INDEX('Bad Patterns'!$A$2:$A$120,MATCH(1,INDEX(--ISNUMBER(SEARCH('Bad Patterns'!$A$2:$A$120,B4295)),0),0)),""))</f>
        <v/>
      </c>
      <c r="D4295">
        <f>IF(B4295="","",IF(C4295&lt;&gt;"","REMOVE","KEEP"))</f>
        <v/>
      </c>
      <c r="E4295">
        <f>IF(D4295&lt;&gt;"KEEP","",IF(RIGHT(B4295,10)="@gmail.com","Gmail",IF(OR(RIGHT(B4295,12)="@outlook.com",RIGHT(B4295,12)="@hotmail.com",RIGHT(B4295,9)="@live.com"),"Outlook","Domain")))</f>
        <v/>
      </c>
      <c r="F4295">
        <f>IF(B4295="","",IFERROR(RIGHT(B4295,LEN(B4295)-FIND("@",B4295)),""))</f>
        <v/>
      </c>
      <c r="G4295">
        <f>IF(D4295="KEEP",COUNTIF($D$2:D4295,"KEEP"),"")</f>
        <v/>
      </c>
      <c r="H4295">
        <f>IF(D4295="REMOVE",COUNTIF($D$2:D4295,"REMOVE"),"")</f>
        <v/>
      </c>
      <c r="I4295">
        <f>IF(E4295="Gmail",COUNTIF($E$2:E4295,"Gmail"),"")</f>
        <v/>
      </c>
      <c r="J4295">
        <f>IF(E4295="Outlook",COUNTIF($E$2:E4295,"Outlook"),"")</f>
        <v/>
      </c>
      <c r="K4295">
        <f>IF(E4295="Domain",COUNTIF($E$2:E4295,"Domain"),"")</f>
        <v/>
      </c>
    </row>
    <row r="4296">
      <c r="A4296" s="2" t="n"/>
      <c r="B4296">
        <f>LOWER(TRIM(A4296))</f>
        <v/>
      </c>
      <c r="C4296">
        <f>IF(B4296="","",IFERROR(INDEX('Bad Patterns'!$A$2:$A$120,MATCH(1,INDEX(--ISNUMBER(SEARCH('Bad Patterns'!$A$2:$A$120,B4296)),0),0)),""))</f>
        <v/>
      </c>
      <c r="D4296">
        <f>IF(B4296="","",IF(C4296&lt;&gt;"","REMOVE","KEEP"))</f>
        <v/>
      </c>
      <c r="E4296">
        <f>IF(D4296&lt;&gt;"KEEP","",IF(RIGHT(B4296,10)="@gmail.com","Gmail",IF(OR(RIGHT(B4296,12)="@outlook.com",RIGHT(B4296,12)="@hotmail.com",RIGHT(B4296,9)="@live.com"),"Outlook","Domain")))</f>
        <v/>
      </c>
      <c r="F4296">
        <f>IF(B4296="","",IFERROR(RIGHT(B4296,LEN(B4296)-FIND("@",B4296)),""))</f>
        <v/>
      </c>
      <c r="G4296">
        <f>IF(D4296="KEEP",COUNTIF($D$2:D4296,"KEEP"),"")</f>
        <v/>
      </c>
      <c r="H4296">
        <f>IF(D4296="REMOVE",COUNTIF($D$2:D4296,"REMOVE"),"")</f>
        <v/>
      </c>
      <c r="I4296">
        <f>IF(E4296="Gmail",COUNTIF($E$2:E4296,"Gmail"),"")</f>
        <v/>
      </c>
      <c r="J4296">
        <f>IF(E4296="Outlook",COUNTIF($E$2:E4296,"Outlook"),"")</f>
        <v/>
      </c>
      <c r="K4296">
        <f>IF(E4296="Domain",COUNTIF($E$2:E4296,"Domain"),"")</f>
        <v/>
      </c>
    </row>
    <row r="4297">
      <c r="A4297" s="2" t="n"/>
      <c r="B4297">
        <f>LOWER(TRIM(A4297))</f>
        <v/>
      </c>
      <c r="C4297">
        <f>IF(B4297="","",IFERROR(INDEX('Bad Patterns'!$A$2:$A$120,MATCH(1,INDEX(--ISNUMBER(SEARCH('Bad Patterns'!$A$2:$A$120,B4297)),0),0)),""))</f>
        <v/>
      </c>
      <c r="D4297">
        <f>IF(B4297="","",IF(C4297&lt;&gt;"","REMOVE","KEEP"))</f>
        <v/>
      </c>
      <c r="E4297">
        <f>IF(D4297&lt;&gt;"KEEP","",IF(RIGHT(B4297,10)="@gmail.com","Gmail",IF(OR(RIGHT(B4297,12)="@outlook.com",RIGHT(B4297,12)="@hotmail.com",RIGHT(B4297,9)="@live.com"),"Outlook","Domain")))</f>
        <v/>
      </c>
      <c r="F4297">
        <f>IF(B4297="","",IFERROR(RIGHT(B4297,LEN(B4297)-FIND("@",B4297)),""))</f>
        <v/>
      </c>
      <c r="G4297">
        <f>IF(D4297="KEEP",COUNTIF($D$2:D4297,"KEEP"),"")</f>
        <v/>
      </c>
      <c r="H4297">
        <f>IF(D4297="REMOVE",COUNTIF($D$2:D4297,"REMOVE"),"")</f>
        <v/>
      </c>
      <c r="I4297">
        <f>IF(E4297="Gmail",COUNTIF($E$2:E4297,"Gmail"),"")</f>
        <v/>
      </c>
      <c r="J4297">
        <f>IF(E4297="Outlook",COUNTIF($E$2:E4297,"Outlook"),"")</f>
        <v/>
      </c>
      <c r="K4297">
        <f>IF(E4297="Domain",COUNTIF($E$2:E4297,"Domain"),"")</f>
        <v/>
      </c>
    </row>
    <row r="4298">
      <c r="A4298" s="2" t="n"/>
      <c r="B4298">
        <f>LOWER(TRIM(A4298))</f>
        <v/>
      </c>
      <c r="C4298">
        <f>IF(B4298="","",IFERROR(INDEX('Bad Patterns'!$A$2:$A$120,MATCH(1,INDEX(--ISNUMBER(SEARCH('Bad Patterns'!$A$2:$A$120,B4298)),0),0)),""))</f>
        <v/>
      </c>
      <c r="D4298">
        <f>IF(B4298="","",IF(C4298&lt;&gt;"","REMOVE","KEEP"))</f>
        <v/>
      </c>
      <c r="E4298">
        <f>IF(D4298&lt;&gt;"KEEP","",IF(RIGHT(B4298,10)="@gmail.com","Gmail",IF(OR(RIGHT(B4298,12)="@outlook.com",RIGHT(B4298,12)="@hotmail.com",RIGHT(B4298,9)="@live.com"),"Outlook","Domain")))</f>
        <v/>
      </c>
      <c r="F4298">
        <f>IF(B4298="","",IFERROR(RIGHT(B4298,LEN(B4298)-FIND("@",B4298)),""))</f>
        <v/>
      </c>
      <c r="G4298">
        <f>IF(D4298="KEEP",COUNTIF($D$2:D4298,"KEEP"),"")</f>
        <v/>
      </c>
      <c r="H4298">
        <f>IF(D4298="REMOVE",COUNTIF($D$2:D4298,"REMOVE"),"")</f>
        <v/>
      </c>
      <c r="I4298">
        <f>IF(E4298="Gmail",COUNTIF($E$2:E4298,"Gmail"),"")</f>
        <v/>
      </c>
      <c r="J4298">
        <f>IF(E4298="Outlook",COUNTIF($E$2:E4298,"Outlook"),"")</f>
        <v/>
      </c>
      <c r="K4298">
        <f>IF(E4298="Domain",COUNTIF($E$2:E4298,"Domain"),"")</f>
        <v/>
      </c>
    </row>
    <row r="4299">
      <c r="A4299" s="2" t="n"/>
      <c r="B4299">
        <f>LOWER(TRIM(A4299))</f>
        <v/>
      </c>
      <c r="C4299">
        <f>IF(B4299="","",IFERROR(INDEX('Bad Patterns'!$A$2:$A$120,MATCH(1,INDEX(--ISNUMBER(SEARCH('Bad Patterns'!$A$2:$A$120,B4299)),0),0)),""))</f>
        <v/>
      </c>
      <c r="D4299">
        <f>IF(B4299="","",IF(C4299&lt;&gt;"","REMOVE","KEEP"))</f>
        <v/>
      </c>
      <c r="E4299">
        <f>IF(D4299&lt;&gt;"KEEP","",IF(RIGHT(B4299,10)="@gmail.com","Gmail",IF(OR(RIGHT(B4299,12)="@outlook.com",RIGHT(B4299,12)="@hotmail.com",RIGHT(B4299,9)="@live.com"),"Outlook","Domain")))</f>
        <v/>
      </c>
      <c r="F4299">
        <f>IF(B4299="","",IFERROR(RIGHT(B4299,LEN(B4299)-FIND("@",B4299)),""))</f>
        <v/>
      </c>
      <c r="G4299">
        <f>IF(D4299="KEEP",COUNTIF($D$2:D4299,"KEEP"),"")</f>
        <v/>
      </c>
      <c r="H4299">
        <f>IF(D4299="REMOVE",COUNTIF($D$2:D4299,"REMOVE"),"")</f>
        <v/>
      </c>
      <c r="I4299">
        <f>IF(E4299="Gmail",COUNTIF($E$2:E4299,"Gmail"),"")</f>
        <v/>
      </c>
      <c r="J4299">
        <f>IF(E4299="Outlook",COUNTIF($E$2:E4299,"Outlook"),"")</f>
        <v/>
      </c>
      <c r="K4299">
        <f>IF(E4299="Domain",COUNTIF($E$2:E4299,"Domain"),"")</f>
        <v/>
      </c>
    </row>
    <row r="4300">
      <c r="A4300" s="2" t="n"/>
      <c r="B4300">
        <f>LOWER(TRIM(A4300))</f>
        <v/>
      </c>
      <c r="C4300">
        <f>IF(B4300="","",IFERROR(INDEX('Bad Patterns'!$A$2:$A$120,MATCH(1,INDEX(--ISNUMBER(SEARCH('Bad Patterns'!$A$2:$A$120,B4300)),0),0)),""))</f>
        <v/>
      </c>
      <c r="D4300">
        <f>IF(B4300="","",IF(C4300&lt;&gt;"","REMOVE","KEEP"))</f>
        <v/>
      </c>
      <c r="E4300">
        <f>IF(D4300&lt;&gt;"KEEP","",IF(RIGHT(B4300,10)="@gmail.com","Gmail",IF(OR(RIGHT(B4300,12)="@outlook.com",RIGHT(B4300,12)="@hotmail.com",RIGHT(B4300,9)="@live.com"),"Outlook","Domain")))</f>
        <v/>
      </c>
      <c r="F4300">
        <f>IF(B4300="","",IFERROR(RIGHT(B4300,LEN(B4300)-FIND("@",B4300)),""))</f>
        <v/>
      </c>
      <c r="G4300">
        <f>IF(D4300="KEEP",COUNTIF($D$2:D4300,"KEEP"),"")</f>
        <v/>
      </c>
      <c r="H4300">
        <f>IF(D4300="REMOVE",COUNTIF($D$2:D4300,"REMOVE"),"")</f>
        <v/>
      </c>
      <c r="I4300">
        <f>IF(E4300="Gmail",COUNTIF($E$2:E4300,"Gmail"),"")</f>
        <v/>
      </c>
      <c r="J4300">
        <f>IF(E4300="Outlook",COUNTIF($E$2:E4300,"Outlook"),"")</f>
        <v/>
      </c>
      <c r="K4300">
        <f>IF(E4300="Domain",COUNTIF($E$2:E4300,"Domain"),"")</f>
        <v/>
      </c>
    </row>
    <row r="4301">
      <c r="A4301" s="2" t="n"/>
      <c r="B4301">
        <f>LOWER(TRIM(A4301))</f>
        <v/>
      </c>
      <c r="C4301">
        <f>IF(B4301="","",IFERROR(INDEX('Bad Patterns'!$A$2:$A$120,MATCH(1,INDEX(--ISNUMBER(SEARCH('Bad Patterns'!$A$2:$A$120,B4301)),0),0)),""))</f>
        <v/>
      </c>
      <c r="D4301">
        <f>IF(B4301="","",IF(C4301&lt;&gt;"","REMOVE","KEEP"))</f>
        <v/>
      </c>
      <c r="E4301">
        <f>IF(D4301&lt;&gt;"KEEP","",IF(RIGHT(B4301,10)="@gmail.com","Gmail",IF(OR(RIGHT(B4301,12)="@outlook.com",RIGHT(B4301,12)="@hotmail.com",RIGHT(B4301,9)="@live.com"),"Outlook","Domain")))</f>
        <v/>
      </c>
      <c r="F4301">
        <f>IF(B4301="","",IFERROR(RIGHT(B4301,LEN(B4301)-FIND("@",B4301)),""))</f>
        <v/>
      </c>
      <c r="G4301">
        <f>IF(D4301="KEEP",COUNTIF($D$2:D4301,"KEEP"),"")</f>
        <v/>
      </c>
      <c r="H4301">
        <f>IF(D4301="REMOVE",COUNTIF($D$2:D4301,"REMOVE"),"")</f>
        <v/>
      </c>
      <c r="I4301">
        <f>IF(E4301="Gmail",COUNTIF($E$2:E4301,"Gmail"),"")</f>
        <v/>
      </c>
      <c r="J4301">
        <f>IF(E4301="Outlook",COUNTIF($E$2:E4301,"Outlook"),"")</f>
        <v/>
      </c>
      <c r="K4301">
        <f>IF(E4301="Domain",COUNTIF($E$2:E4301,"Domain"),"")</f>
        <v/>
      </c>
    </row>
    <row r="4302">
      <c r="A4302" s="2" t="n"/>
      <c r="B4302">
        <f>LOWER(TRIM(A4302))</f>
        <v/>
      </c>
      <c r="C4302">
        <f>IF(B4302="","",IFERROR(INDEX('Bad Patterns'!$A$2:$A$120,MATCH(1,INDEX(--ISNUMBER(SEARCH('Bad Patterns'!$A$2:$A$120,B4302)),0),0)),""))</f>
        <v/>
      </c>
      <c r="D4302">
        <f>IF(B4302="","",IF(C4302&lt;&gt;"","REMOVE","KEEP"))</f>
        <v/>
      </c>
      <c r="E4302">
        <f>IF(D4302&lt;&gt;"KEEP","",IF(RIGHT(B4302,10)="@gmail.com","Gmail",IF(OR(RIGHT(B4302,12)="@outlook.com",RIGHT(B4302,12)="@hotmail.com",RIGHT(B4302,9)="@live.com"),"Outlook","Domain")))</f>
        <v/>
      </c>
      <c r="F4302">
        <f>IF(B4302="","",IFERROR(RIGHT(B4302,LEN(B4302)-FIND("@",B4302)),""))</f>
        <v/>
      </c>
      <c r="G4302">
        <f>IF(D4302="KEEP",COUNTIF($D$2:D4302,"KEEP"),"")</f>
        <v/>
      </c>
      <c r="H4302">
        <f>IF(D4302="REMOVE",COUNTIF($D$2:D4302,"REMOVE"),"")</f>
        <v/>
      </c>
      <c r="I4302">
        <f>IF(E4302="Gmail",COUNTIF($E$2:E4302,"Gmail"),"")</f>
        <v/>
      </c>
      <c r="J4302">
        <f>IF(E4302="Outlook",COUNTIF($E$2:E4302,"Outlook"),"")</f>
        <v/>
      </c>
      <c r="K4302">
        <f>IF(E4302="Domain",COUNTIF($E$2:E4302,"Domain"),"")</f>
        <v/>
      </c>
    </row>
    <row r="4303">
      <c r="A4303" s="2" t="n"/>
      <c r="B4303">
        <f>LOWER(TRIM(A4303))</f>
        <v/>
      </c>
      <c r="C4303">
        <f>IF(B4303="","",IFERROR(INDEX('Bad Patterns'!$A$2:$A$120,MATCH(1,INDEX(--ISNUMBER(SEARCH('Bad Patterns'!$A$2:$A$120,B4303)),0),0)),""))</f>
        <v/>
      </c>
      <c r="D4303">
        <f>IF(B4303="","",IF(C4303&lt;&gt;"","REMOVE","KEEP"))</f>
        <v/>
      </c>
      <c r="E4303">
        <f>IF(D4303&lt;&gt;"KEEP","",IF(RIGHT(B4303,10)="@gmail.com","Gmail",IF(OR(RIGHT(B4303,12)="@outlook.com",RIGHT(B4303,12)="@hotmail.com",RIGHT(B4303,9)="@live.com"),"Outlook","Domain")))</f>
        <v/>
      </c>
      <c r="F4303">
        <f>IF(B4303="","",IFERROR(RIGHT(B4303,LEN(B4303)-FIND("@",B4303)),""))</f>
        <v/>
      </c>
      <c r="G4303">
        <f>IF(D4303="KEEP",COUNTIF($D$2:D4303,"KEEP"),"")</f>
        <v/>
      </c>
      <c r="H4303">
        <f>IF(D4303="REMOVE",COUNTIF($D$2:D4303,"REMOVE"),"")</f>
        <v/>
      </c>
      <c r="I4303">
        <f>IF(E4303="Gmail",COUNTIF($E$2:E4303,"Gmail"),"")</f>
        <v/>
      </c>
      <c r="J4303">
        <f>IF(E4303="Outlook",COUNTIF($E$2:E4303,"Outlook"),"")</f>
        <v/>
      </c>
      <c r="K4303">
        <f>IF(E4303="Domain",COUNTIF($E$2:E4303,"Domain"),"")</f>
        <v/>
      </c>
    </row>
    <row r="4304">
      <c r="A4304" s="2" t="n"/>
      <c r="B4304">
        <f>LOWER(TRIM(A4304))</f>
        <v/>
      </c>
      <c r="C4304">
        <f>IF(B4304="","",IFERROR(INDEX('Bad Patterns'!$A$2:$A$120,MATCH(1,INDEX(--ISNUMBER(SEARCH('Bad Patterns'!$A$2:$A$120,B4304)),0),0)),""))</f>
        <v/>
      </c>
      <c r="D4304">
        <f>IF(B4304="","",IF(C4304&lt;&gt;"","REMOVE","KEEP"))</f>
        <v/>
      </c>
      <c r="E4304">
        <f>IF(D4304&lt;&gt;"KEEP","",IF(RIGHT(B4304,10)="@gmail.com","Gmail",IF(OR(RIGHT(B4304,12)="@outlook.com",RIGHT(B4304,12)="@hotmail.com",RIGHT(B4304,9)="@live.com"),"Outlook","Domain")))</f>
        <v/>
      </c>
      <c r="F4304">
        <f>IF(B4304="","",IFERROR(RIGHT(B4304,LEN(B4304)-FIND("@",B4304)),""))</f>
        <v/>
      </c>
      <c r="G4304">
        <f>IF(D4304="KEEP",COUNTIF($D$2:D4304,"KEEP"),"")</f>
        <v/>
      </c>
      <c r="H4304">
        <f>IF(D4304="REMOVE",COUNTIF($D$2:D4304,"REMOVE"),"")</f>
        <v/>
      </c>
      <c r="I4304">
        <f>IF(E4304="Gmail",COUNTIF($E$2:E4304,"Gmail"),"")</f>
        <v/>
      </c>
      <c r="J4304">
        <f>IF(E4304="Outlook",COUNTIF($E$2:E4304,"Outlook"),"")</f>
        <v/>
      </c>
      <c r="K4304">
        <f>IF(E4304="Domain",COUNTIF($E$2:E4304,"Domain"),"")</f>
        <v/>
      </c>
    </row>
    <row r="4305">
      <c r="A4305" s="2" t="n"/>
      <c r="B4305">
        <f>LOWER(TRIM(A4305))</f>
        <v/>
      </c>
      <c r="C4305">
        <f>IF(B4305="","",IFERROR(INDEX('Bad Patterns'!$A$2:$A$120,MATCH(1,INDEX(--ISNUMBER(SEARCH('Bad Patterns'!$A$2:$A$120,B4305)),0),0)),""))</f>
        <v/>
      </c>
      <c r="D4305">
        <f>IF(B4305="","",IF(C4305&lt;&gt;"","REMOVE","KEEP"))</f>
        <v/>
      </c>
      <c r="E4305">
        <f>IF(D4305&lt;&gt;"KEEP","",IF(RIGHT(B4305,10)="@gmail.com","Gmail",IF(OR(RIGHT(B4305,12)="@outlook.com",RIGHT(B4305,12)="@hotmail.com",RIGHT(B4305,9)="@live.com"),"Outlook","Domain")))</f>
        <v/>
      </c>
      <c r="F4305">
        <f>IF(B4305="","",IFERROR(RIGHT(B4305,LEN(B4305)-FIND("@",B4305)),""))</f>
        <v/>
      </c>
      <c r="G4305">
        <f>IF(D4305="KEEP",COUNTIF($D$2:D4305,"KEEP"),"")</f>
        <v/>
      </c>
      <c r="H4305">
        <f>IF(D4305="REMOVE",COUNTIF($D$2:D4305,"REMOVE"),"")</f>
        <v/>
      </c>
      <c r="I4305">
        <f>IF(E4305="Gmail",COUNTIF($E$2:E4305,"Gmail"),"")</f>
        <v/>
      </c>
      <c r="J4305">
        <f>IF(E4305="Outlook",COUNTIF($E$2:E4305,"Outlook"),"")</f>
        <v/>
      </c>
      <c r="K4305">
        <f>IF(E4305="Domain",COUNTIF($E$2:E4305,"Domain"),"")</f>
        <v/>
      </c>
    </row>
    <row r="4306">
      <c r="A4306" s="2" t="n"/>
      <c r="B4306">
        <f>LOWER(TRIM(A4306))</f>
        <v/>
      </c>
      <c r="C4306">
        <f>IF(B4306="","",IFERROR(INDEX('Bad Patterns'!$A$2:$A$120,MATCH(1,INDEX(--ISNUMBER(SEARCH('Bad Patterns'!$A$2:$A$120,B4306)),0),0)),""))</f>
        <v/>
      </c>
      <c r="D4306">
        <f>IF(B4306="","",IF(C4306&lt;&gt;"","REMOVE","KEEP"))</f>
        <v/>
      </c>
      <c r="E4306">
        <f>IF(D4306&lt;&gt;"KEEP","",IF(RIGHT(B4306,10)="@gmail.com","Gmail",IF(OR(RIGHT(B4306,12)="@outlook.com",RIGHT(B4306,12)="@hotmail.com",RIGHT(B4306,9)="@live.com"),"Outlook","Domain")))</f>
        <v/>
      </c>
      <c r="F4306">
        <f>IF(B4306="","",IFERROR(RIGHT(B4306,LEN(B4306)-FIND("@",B4306)),""))</f>
        <v/>
      </c>
      <c r="G4306">
        <f>IF(D4306="KEEP",COUNTIF($D$2:D4306,"KEEP"),"")</f>
        <v/>
      </c>
      <c r="H4306">
        <f>IF(D4306="REMOVE",COUNTIF($D$2:D4306,"REMOVE"),"")</f>
        <v/>
      </c>
      <c r="I4306">
        <f>IF(E4306="Gmail",COUNTIF($E$2:E4306,"Gmail"),"")</f>
        <v/>
      </c>
      <c r="J4306">
        <f>IF(E4306="Outlook",COUNTIF($E$2:E4306,"Outlook"),"")</f>
        <v/>
      </c>
      <c r="K4306">
        <f>IF(E4306="Domain",COUNTIF($E$2:E4306,"Domain"),"")</f>
        <v/>
      </c>
    </row>
    <row r="4307">
      <c r="A4307" s="2" t="n"/>
      <c r="B4307">
        <f>LOWER(TRIM(A4307))</f>
        <v/>
      </c>
      <c r="C4307">
        <f>IF(B4307="","",IFERROR(INDEX('Bad Patterns'!$A$2:$A$120,MATCH(1,INDEX(--ISNUMBER(SEARCH('Bad Patterns'!$A$2:$A$120,B4307)),0),0)),""))</f>
        <v/>
      </c>
      <c r="D4307">
        <f>IF(B4307="","",IF(C4307&lt;&gt;"","REMOVE","KEEP"))</f>
        <v/>
      </c>
      <c r="E4307">
        <f>IF(D4307&lt;&gt;"KEEP","",IF(RIGHT(B4307,10)="@gmail.com","Gmail",IF(OR(RIGHT(B4307,12)="@outlook.com",RIGHT(B4307,12)="@hotmail.com",RIGHT(B4307,9)="@live.com"),"Outlook","Domain")))</f>
        <v/>
      </c>
      <c r="F4307">
        <f>IF(B4307="","",IFERROR(RIGHT(B4307,LEN(B4307)-FIND("@",B4307)),""))</f>
        <v/>
      </c>
      <c r="G4307">
        <f>IF(D4307="KEEP",COUNTIF($D$2:D4307,"KEEP"),"")</f>
        <v/>
      </c>
      <c r="H4307">
        <f>IF(D4307="REMOVE",COUNTIF($D$2:D4307,"REMOVE"),"")</f>
        <v/>
      </c>
      <c r="I4307">
        <f>IF(E4307="Gmail",COUNTIF($E$2:E4307,"Gmail"),"")</f>
        <v/>
      </c>
      <c r="J4307">
        <f>IF(E4307="Outlook",COUNTIF($E$2:E4307,"Outlook"),"")</f>
        <v/>
      </c>
      <c r="K4307">
        <f>IF(E4307="Domain",COUNTIF($E$2:E4307,"Domain"),"")</f>
        <v/>
      </c>
    </row>
    <row r="4308">
      <c r="A4308" s="2" t="n"/>
      <c r="B4308">
        <f>LOWER(TRIM(A4308))</f>
        <v/>
      </c>
      <c r="C4308">
        <f>IF(B4308="","",IFERROR(INDEX('Bad Patterns'!$A$2:$A$120,MATCH(1,INDEX(--ISNUMBER(SEARCH('Bad Patterns'!$A$2:$A$120,B4308)),0),0)),""))</f>
        <v/>
      </c>
      <c r="D4308">
        <f>IF(B4308="","",IF(C4308&lt;&gt;"","REMOVE","KEEP"))</f>
        <v/>
      </c>
      <c r="E4308">
        <f>IF(D4308&lt;&gt;"KEEP","",IF(RIGHT(B4308,10)="@gmail.com","Gmail",IF(OR(RIGHT(B4308,12)="@outlook.com",RIGHT(B4308,12)="@hotmail.com",RIGHT(B4308,9)="@live.com"),"Outlook","Domain")))</f>
        <v/>
      </c>
      <c r="F4308">
        <f>IF(B4308="","",IFERROR(RIGHT(B4308,LEN(B4308)-FIND("@",B4308)),""))</f>
        <v/>
      </c>
      <c r="G4308">
        <f>IF(D4308="KEEP",COUNTIF($D$2:D4308,"KEEP"),"")</f>
        <v/>
      </c>
      <c r="H4308">
        <f>IF(D4308="REMOVE",COUNTIF($D$2:D4308,"REMOVE"),"")</f>
        <v/>
      </c>
      <c r="I4308">
        <f>IF(E4308="Gmail",COUNTIF($E$2:E4308,"Gmail"),"")</f>
        <v/>
      </c>
      <c r="J4308">
        <f>IF(E4308="Outlook",COUNTIF($E$2:E4308,"Outlook"),"")</f>
        <v/>
      </c>
      <c r="K4308">
        <f>IF(E4308="Domain",COUNTIF($E$2:E4308,"Domain"),"")</f>
        <v/>
      </c>
    </row>
    <row r="4309">
      <c r="A4309" s="2" t="n"/>
      <c r="B4309">
        <f>LOWER(TRIM(A4309))</f>
        <v/>
      </c>
      <c r="C4309">
        <f>IF(B4309="","",IFERROR(INDEX('Bad Patterns'!$A$2:$A$120,MATCH(1,INDEX(--ISNUMBER(SEARCH('Bad Patterns'!$A$2:$A$120,B4309)),0),0)),""))</f>
        <v/>
      </c>
      <c r="D4309">
        <f>IF(B4309="","",IF(C4309&lt;&gt;"","REMOVE","KEEP"))</f>
        <v/>
      </c>
      <c r="E4309">
        <f>IF(D4309&lt;&gt;"KEEP","",IF(RIGHT(B4309,10)="@gmail.com","Gmail",IF(OR(RIGHT(B4309,12)="@outlook.com",RIGHT(B4309,12)="@hotmail.com",RIGHT(B4309,9)="@live.com"),"Outlook","Domain")))</f>
        <v/>
      </c>
      <c r="F4309">
        <f>IF(B4309="","",IFERROR(RIGHT(B4309,LEN(B4309)-FIND("@",B4309)),""))</f>
        <v/>
      </c>
      <c r="G4309">
        <f>IF(D4309="KEEP",COUNTIF($D$2:D4309,"KEEP"),"")</f>
        <v/>
      </c>
      <c r="H4309">
        <f>IF(D4309="REMOVE",COUNTIF($D$2:D4309,"REMOVE"),"")</f>
        <v/>
      </c>
      <c r="I4309">
        <f>IF(E4309="Gmail",COUNTIF($E$2:E4309,"Gmail"),"")</f>
        <v/>
      </c>
      <c r="J4309">
        <f>IF(E4309="Outlook",COUNTIF($E$2:E4309,"Outlook"),"")</f>
        <v/>
      </c>
      <c r="K4309">
        <f>IF(E4309="Domain",COUNTIF($E$2:E4309,"Domain"),"")</f>
        <v/>
      </c>
    </row>
    <row r="4310">
      <c r="A4310" s="2" t="n"/>
      <c r="B4310">
        <f>LOWER(TRIM(A4310))</f>
        <v/>
      </c>
      <c r="C4310">
        <f>IF(B4310="","",IFERROR(INDEX('Bad Patterns'!$A$2:$A$120,MATCH(1,INDEX(--ISNUMBER(SEARCH('Bad Patterns'!$A$2:$A$120,B4310)),0),0)),""))</f>
        <v/>
      </c>
      <c r="D4310">
        <f>IF(B4310="","",IF(C4310&lt;&gt;"","REMOVE","KEEP"))</f>
        <v/>
      </c>
      <c r="E4310">
        <f>IF(D4310&lt;&gt;"KEEP","",IF(RIGHT(B4310,10)="@gmail.com","Gmail",IF(OR(RIGHT(B4310,12)="@outlook.com",RIGHT(B4310,12)="@hotmail.com",RIGHT(B4310,9)="@live.com"),"Outlook","Domain")))</f>
        <v/>
      </c>
      <c r="F4310">
        <f>IF(B4310="","",IFERROR(RIGHT(B4310,LEN(B4310)-FIND("@",B4310)),""))</f>
        <v/>
      </c>
      <c r="G4310">
        <f>IF(D4310="KEEP",COUNTIF($D$2:D4310,"KEEP"),"")</f>
        <v/>
      </c>
      <c r="H4310">
        <f>IF(D4310="REMOVE",COUNTIF($D$2:D4310,"REMOVE"),"")</f>
        <v/>
      </c>
      <c r="I4310">
        <f>IF(E4310="Gmail",COUNTIF($E$2:E4310,"Gmail"),"")</f>
        <v/>
      </c>
      <c r="J4310">
        <f>IF(E4310="Outlook",COUNTIF($E$2:E4310,"Outlook"),"")</f>
        <v/>
      </c>
      <c r="K4310">
        <f>IF(E4310="Domain",COUNTIF($E$2:E4310,"Domain"),"")</f>
        <v/>
      </c>
    </row>
    <row r="4311">
      <c r="A4311" s="2" t="n"/>
      <c r="B4311">
        <f>LOWER(TRIM(A4311))</f>
        <v/>
      </c>
      <c r="C4311">
        <f>IF(B4311="","",IFERROR(INDEX('Bad Patterns'!$A$2:$A$120,MATCH(1,INDEX(--ISNUMBER(SEARCH('Bad Patterns'!$A$2:$A$120,B4311)),0),0)),""))</f>
        <v/>
      </c>
      <c r="D4311">
        <f>IF(B4311="","",IF(C4311&lt;&gt;"","REMOVE","KEEP"))</f>
        <v/>
      </c>
      <c r="E4311">
        <f>IF(D4311&lt;&gt;"KEEP","",IF(RIGHT(B4311,10)="@gmail.com","Gmail",IF(OR(RIGHT(B4311,12)="@outlook.com",RIGHT(B4311,12)="@hotmail.com",RIGHT(B4311,9)="@live.com"),"Outlook","Domain")))</f>
        <v/>
      </c>
      <c r="F4311">
        <f>IF(B4311="","",IFERROR(RIGHT(B4311,LEN(B4311)-FIND("@",B4311)),""))</f>
        <v/>
      </c>
      <c r="G4311">
        <f>IF(D4311="KEEP",COUNTIF($D$2:D4311,"KEEP"),"")</f>
        <v/>
      </c>
      <c r="H4311">
        <f>IF(D4311="REMOVE",COUNTIF($D$2:D4311,"REMOVE"),"")</f>
        <v/>
      </c>
      <c r="I4311">
        <f>IF(E4311="Gmail",COUNTIF($E$2:E4311,"Gmail"),"")</f>
        <v/>
      </c>
      <c r="J4311">
        <f>IF(E4311="Outlook",COUNTIF($E$2:E4311,"Outlook"),"")</f>
        <v/>
      </c>
      <c r="K4311">
        <f>IF(E4311="Domain",COUNTIF($E$2:E4311,"Domain"),"")</f>
        <v/>
      </c>
    </row>
    <row r="4312">
      <c r="A4312" s="2" t="n"/>
      <c r="B4312">
        <f>LOWER(TRIM(A4312))</f>
        <v/>
      </c>
      <c r="C4312">
        <f>IF(B4312="","",IFERROR(INDEX('Bad Patterns'!$A$2:$A$120,MATCH(1,INDEX(--ISNUMBER(SEARCH('Bad Patterns'!$A$2:$A$120,B4312)),0),0)),""))</f>
        <v/>
      </c>
      <c r="D4312">
        <f>IF(B4312="","",IF(C4312&lt;&gt;"","REMOVE","KEEP"))</f>
        <v/>
      </c>
      <c r="E4312">
        <f>IF(D4312&lt;&gt;"KEEP","",IF(RIGHT(B4312,10)="@gmail.com","Gmail",IF(OR(RIGHT(B4312,12)="@outlook.com",RIGHT(B4312,12)="@hotmail.com",RIGHT(B4312,9)="@live.com"),"Outlook","Domain")))</f>
        <v/>
      </c>
      <c r="F4312">
        <f>IF(B4312="","",IFERROR(RIGHT(B4312,LEN(B4312)-FIND("@",B4312)),""))</f>
        <v/>
      </c>
      <c r="G4312">
        <f>IF(D4312="KEEP",COUNTIF($D$2:D4312,"KEEP"),"")</f>
        <v/>
      </c>
      <c r="H4312">
        <f>IF(D4312="REMOVE",COUNTIF($D$2:D4312,"REMOVE"),"")</f>
        <v/>
      </c>
      <c r="I4312">
        <f>IF(E4312="Gmail",COUNTIF($E$2:E4312,"Gmail"),"")</f>
        <v/>
      </c>
      <c r="J4312">
        <f>IF(E4312="Outlook",COUNTIF($E$2:E4312,"Outlook"),"")</f>
        <v/>
      </c>
      <c r="K4312">
        <f>IF(E4312="Domain",COUNTIF($E$2:E4312,"Domain"),"")</f>
        <v/>
      </c>
    </row>
    <row r="4313">
      <c r="A4313" s="2" t="n"/>
      <c r="B4313">
        <f>LOWER(TRIM(A4313))</f>
        <v/>
      </c>
      <c r="C4313">
        <f>IF(B4313="","",IFERROR(INDEX('Bad Patterns'!$A$2:$A$120,MATCH(1,INDEX(--ISNUMBER(SEARCH('Bad Patterns'!$A$2:$A$120,B4313)),0),0)),""))</f>
        <v/>
      </c>
      <c r="D4313">
        <f>IF(B4313="","",IF(C4313&lt;&gt;"","REMOVE","KEEP"))</f>
        <v/>
      </c>
      <c r="E4313">
        <f>IF(D4313&lt;&gt;"KEEP","",IF(RIGHT(B4313,10)="@gmail.com","Gmail",IF(OR(RIGHT(B4313,12)="@outlook.com",RIGHT(B4313,12)="@hotmail.com",RIGHT(B4313,9)="@live.com"),"Outlook","Domain")))</f>
        <v/>
      </c>
      <c r="F4313">
        <f>IF(B4313="","",IFERROR(RIGHT(B4313,LEN(B4313)-FIND("@",B4313)),""))</f>
        <v/>
      </c>
      <c r="G4313">
        <f>IF(D4313="KEEP",COUNTIF($D$2:D4313,"KEEP"),"")</f>
        <v/>
      </c>
      <c r="H4313">
        <f>IF(D4313="REMOVE",COUNTIF($D$2:D4313,"REMOVE"),"")</f>
        <v/>
      </c>
      <c r="I4313">
        <f>IF(E4313="Gmail",COUNTIF($E$2:E4313,"Gmail"),"")</f>
        <v/>
      </c>
      <c r="J4313">
        <f>IF(E4313="Outlook",COUNTIF($E$2:E4313,"Outlook"),"")</f>
        <v/>
      </c>
      <c r="K4313">
        <f>IF(E4313="Domain",COUNTIF($E$2:E4313,"Domain"),"")</f>
        <v/>
      </c>
    </row>
    <row r="4314">
      <c r="A4314" s="2" t="n"/>
      <c r="B4314">
        <f>LOWER(TRIM(A4314))</f>
        <v/>
      </c>
      <c r="C4314">
        <f>IF(B4314="","",IFERROR(INDEX('Bad Patterns'!$A$2:$A$120,MATCH(1,INDEX(--ISNUMBER(SEARCH('Bad Patterns'!$A$2:$A$120,B4314)),0),0)),""))</f>
        <v/>
      </c>
      <c r="D4314">
        <f>IF(B4314="","",IF(C4314&lt;&gt;"","REMOVE","KEEP"))</f>
        <v/>
      </c>
      <c r="E4314">
        <f>IF(D4314&lt;&gt;"KEEP","",IF(RIGHT(B4314,10)="@gmail.com","Gmail",IF(OR(RIGHT(B4314,12)="@outlook.com",RIGHT(B4314,12)="@hotmail.com",RIGHT(B4314,9)="@live.com"),"Outlook","Domain")))</f>
        <v/>
      </c>
      <c r="F4314">
        <f>IF(B4314="","",IFERROR(RIGHT(B4314,LEN(B4314)-FIND("@",B4314)),""))</f>
        <v/>
      </c>
      <c r="G4314">
        <f>IF(D4314="KEEP",COUNTIF($D$2:D4314,"KEEP"),"")</f>
        <v/>
      </c>
      <c r="H4314">
        <f>IF(D4314="REMOVE",COUNTIF($D$2:D4314,"REMOVE"),"")</f>
        <v/>
      </c>
      <c r="I4314">
        <f>IF(E4314="Gmail",COUNTIF($E$2:E4314,"Gmail"),"")</f>
        <v/>
      </c>
      <c r="J4314">
        <f>IF(E4314="Outlook",COUNTIF($E$2:E4314,"Outlook"),"")</f>
        <v/>
      </c>
      <c r="K4314">
        <f>IF(E4314="Domain",COUNTIF($E$2:E4314,"Domain"),"")</f>
        <v/>
      </c>
    </row>
    <row r="4315">
      <c r="A4315" s="2" t="n"/>
      <c r="B4315">
        <f>LOWER(TRIM(A4315))</f>
        <v/>
      </c>
      <c r="C4315">
        <f>IF(B4315="","",IFERROR(INDEX('Bad Patterns'!$A$2:$A$120,MATCH(1,INDEX(--ISNUMBER(SEARCH('Bad Patterns'!$A$2:$A$120,B4315)),0),0)),""))</f>
        <v/>
      </c>
      <c r="D4315">
        <f>IF(B4315="","",IF(C4315&lt;&gt;"","REMOVE","KEEP"))</f>
        <v/>
      </c>
      <c r="E4315">
        <f>IF(D4315&lt;&gt;"KEEP","",IF(RIGHT(B4315,10)="@gmail.com","Gmail",IF(OR(RIGHT(B4315,12)="@outlook.com",RIGHT(B4315,12)="@hotmail.com",RIGHT(B4315,9)="@live.com"),"Outlook","Domain")))</f>
        <v/>
      </c>
      <c r="F4315">
        <f>IF(B4315="","",IFERROR(RIGHT(B4315,LEN(B4315)-FIND("@",B4315)),""))</f>
        <v/>
      </c>
      <c r="G4315">
        <f>IF(D4315="KEEP",COUNTIF($D$2:D4315,"KEEP"),"")</f>
        <v/>
      </c>
      <c r="H4315">
        <f>IF(D4315="REMOVE",COUNTIF($D$2:D4315,"REMOVE"),"")</f>
        <v/>
      </c>
      <c r="I4315">
        <f>IF(E4315="Gmail",COUNTIF($E$2:E4315,"Gmail"),"")</f>
        <v/>
      </c>
      <c r="J4315">
        <f>IF(E4315="Outlook",COUNTIF($E$2:E4315,"Outlook"),"")</f>
        <v/>
      </c>
      <c r="K4315">
        <f>IF(E4315="Domain",COUNTIF($E$2:E4315,"Domain"),"")</f>
        <v/>
      </c>
    </row>
    <row r="4316">
      <c r="A4316" s="2" t="n"/>
      <c r="B4316">
        <f>LOWER(TRIM(A4316))</f>
        <v/>
      </c>
      <c r="C4316">
        <f>IF(B4316="","",IFERROR(INDEX('Bad Patterns'!$A$2:$A$120,MATCH(1,INDEX(--ISNUMBER(SEARCH('Bad Patterns'!$A$2:$A$120,B4316)),0),0)),""))</f>
        <v/>
      </c>
      <c r="D4316">
        <f>IF(B4316="","",IF(C4316&lt;&gt;"","REMOVE","KEEP"))</f>
        <v/>
      </c>
      <c r="E4316">
        <f>IF(D4316&lt;&gt;"KEEP","",IF(RIGHT(B4316,10)="@gmail.com","Gmail",IF(OR(RIGHT(B4316,12)="@outlook.com",RIGHT(B4316,12)="@hotmail.com",RIGHT(B4316,9)="@live.com"),"Outlook","Domain")))</f>
        <v/>
      </c>
      <c r="F4316">
        <f>IF(B4316="","",IFERROR(RIGHT(B4316,LEN(B4316)-FIND("@",B4316)),""))</f>
        <v/>
      </c>
      <c r="G4316">
        <f>IF(D4316="KEEP",COUNTIF($D$2:D4316,"KEEP"),"")</f>
        <v/>
      </c>
      <c r="H4316">
        <f>IF(D4316="REMOVE",COUNTIF($D$2:D4316,"REMOVE"),"")</f>
        <v/>
      </c>
      <c r="I4316">
        <f>IF(E4316="Gmail",COUNTIF($E$2:E4316,"Gmail"),"")</f>
        <v/>
      </c>
      <c r="J4316">
        <f>IF(E4316="Outlook",COUNTIF($E$2:E4316,"Outlook"),"")</f>
        <v/>
      </c>
      <c r="K4316">
        <f>IF(E4316="Domain",COUNTIF($E$2:E4316,"Domain"),"")</f>
        <v/>
      </c>
    </row>
    <row r="4317">
      <c r="A4317" s="2" t="n"/>
      <c r="B4317">
        <f>LOWER(TRIM(A4317))</f>
        <v/>
      </c>
      <c r="C4317">
        <f>IF(B4317="","",IFERROR(INDEX('Bad Patterns'!$A$2:$A$120,MATCH(1,INDEX(--ISNUMBER(SEARCH('Bad Patterns'!$A$2:$A$120,B4317)),0),0)),""))</f>
        <v/>
      </c>
      <c r="D4317">
        <f>IF(B4317="","",IF(C4317&lt;&gt;"","REMOVE","KEEP"))</f>
        <v/>
      </c>
      <c r="E4317">
        <f>IF(D4317&lt;&gt;"KEEP","",IF(RIGHT(B4317,10)="@gmail.com","Gmail",IF(OR(RIGHT(B4317,12)="@outlook.com",RIGHT(B4317,12)="@hotmail.com",RIGHT(B4317,9)="@live.com"),"Outlook","Domain")))</f>
        <v/>
      </c>
      <c r="F4317">
        <f>IF(B4317="","",IFERROR(RIGHT(B4317,LEN(B4317)-FIND("@",B4317)),""))</f>
        <v/>
      </c>
      <c r="G4317">
        <f>IF(D4317="KEEP",COUNTIF($D$2:D4317,"KEEP"),"")</f>
        <v/>
      </c>
      <c r="H4317">
        <f>IF(D4317="REMOVE",COUNTIF($D$2:D4317,"REMOVE"),"")</f>
        <v/>
      </c>
      <c r="I4317">
        <f>IF(E4317="Gmail",COUNTIF($E$2:E4317,"Gmail"),"")</f>
        <v/>
      </c>
      <c r="J4317">
        <f>IF(E4317="Outlook",COUNTIF($E$2:E4317,"Outlook"),"")</f>
        <v/>
      </c>
      <c r="K4317">
        <f>IF(E4317="Domain",COUNTIF($E$2:E4317,"Domain"),"")</f>
        <v/>
      </c>
    </row>
    <row r="4318">
      <c r="A4318" s="2" t="n"/>
      <c r="B4318">
        <f>LOWER(TRIM(A4318))</f>
        <v/>
      </c>
      <c r="C4318">
        <f>IF(B4318="","",IFERROR(INDEX('Bad Patterns'!$A$2:$A$120,MATCH(1,INDEX(--ISNUMBER(SEARCH('Bad Patterns'!$A$2:$A$120,B4318)),0),0)),""))</f>
        <v/>
      </c>
      <c r="D4318">
        <f>IF(B4318="","",IF(C4318&lt;&gt;"","REMOVE","KEEP"))</f>
        <v/>
      </c>
      <c r="E4318">
        <f>IF(D4318&lt;&gt;"KEEP","",IF(RIGHT(B4318,10)="@gmail.com","Gmail",IF(OR(RIGHT(B4318,12)="@outlook.com",RIGHT(B4318,12)="@hotmail.com",RIGHT(B4318,9)="@live.com"),"Outlook","Domain")))</f>
        <v/>
      </c>
      <c r="F4318">
        <f>IF(B4318="","",IFERROR(RIGHT(B4318,LEN(B4318)-FIND("@",B4318)),""))</f>
        <v/>
      </c>
      <c r="G4318">
        <f>IF(D4318="KEEP",COUNTIF($D$2:D4318,"KEEP"),"")</f>
        <v/>
      </c>
      <c r="H4318">
        <f>IF(D4318="REMOVE",COUNTIF($D$2:D4318,"REMOVE"),"")</f>
        <v/>
      </c>
      <c r="I4318">
        <f>IF(E4318="Gmail",COUNTIF($E$2:E4318,"Gmail"),"")</f>
        <v/>
      </c>
      <c r="J4318">
        <f>IF(E4318="Outlook",COUNTIF($E$2:E4318,"Outlook"),"")</f>
        <v/>
      </c>
      <c r="K4318">
        <f>IF(E4318="Domain",COUNTIF($E$2:E4318,"Domain"),"")</f>
        <v/>
      </c>
    </row>
    <row r="4319">
      <c r="A4319" s="2" t="n"/>
      <c r="B4319">
        <f>LOWER(TRIM(A4319))</f>
        <v/>
      </c>
      <c r="C4319">
        <f>IF(B4319="","",IFERROR(INDEX('Bad Patterns'!$A$2:$A$120,MATCH(1,INDEX(--ISNUMBER(SEARCH('Bad Patterns'!$A$2:$A$120,B4319)),0),0)),""))</f>
        <v/>
      </c>
      <c r="D4319">
        <f>IF(B4319="","",IF(C4319&lt;&gt;"","REMOVE","KEEP"))</f>
        <v/>
      </c>
      <c r="E4319">
        <f>IF(D4319&lt;&gt;"KEEP","",IF(RIGHT(B4319,10)="@gmail.com","Gmail",IF(OR(RIGHT(B4319,12)="@outlook.com",RIGHT(B4319,12)="@hotmail.com",RIGHT(B4319,9)="@live.com"),"Outlook","Domain")))</f>
        <v/>
      </c>
      <c r="F4319">
        <f>IF(B4319="","",IFERROR(RIGHT(B4319,LEN(B4319)-FIND("@",B4319)),""))</f>
        <v/>
      </c>
      <c r="G4319">
        <f>IF(D4319="KEEP",COUNTIF($D$2:D4319,"KEEP"),"")</f>
        <v/>
      </c>
      <c r="H4319">
        <f>IF(D4319="REMOVE",COUNTIF($D$2:D4319,"REMOVE"),"")</f>
        <v/>
      </c>
      <c r="I4319">
        <f>IF(E4319="Gmail",COUNTIF($E$2:E4319,"Gmail"),"")</f>
        <v/>
      </c>
      <c r="J4319">
        <f>IF(E4319="Outlook",COUNTIF($E$2:E4319,"Outlook"),"")</f>
        <v/>
      </c>
      <c r="K4319">
        <f>IF(E4319="Domain",COUNTIF($E$2:E4319,"Domain"),"")</f>
        <v/>
      </c>
    </row>
    <row r="4320">
      <c r="A4320" s="2" t="n"/>
      <c r="B4320">
        <f>LOWER(TRIM(A4320))</f>
        <v/>
      </c>
      <c r="C4320">
        <f>IF(B4320="","",IFERROR(INDEX('Bad Patterns'!$A$2:$A$120,MATCH(1,INDEX(--ISNUMBER(SEARCH('Bad Patterns'!$A$2:$A$120,B4320)),0),0)),""))</f>
        <v/>
      </c>
      <c r="D4320">
        <f>IF(B4320="","",IF(C4320&lt;&gt;"","REMOVE","KEEP"))</f>
        <v/>
      </c>
      <c r="E4320">
        <f>IF(D4320&lt;&gt;"KEEP","",IF(RIGHT(B4320,10)="@gmail.com","Gmail",IF(OR(RIGHT(B4320,12)="@outlook.com",RIGHT(B4320,12)="@hotmail.com",RIGHT(B4320,9)="@live.com"),"Outlook","Domain")))</f>
        <v/>
      </c>
      <c r="F4320">
        <f>IF(B4320="","",IFERROR(RIGHT(B4320,LEN(B4320)-FIND("@",B4320)),""))</f>
        <v/>
      </c>
      <c r="G4320">
        <f>IF(D4320="KEEP",COUNTIF($D$2:D4320,"KEEP"),"")</f>
        <v/>
      </c>
      <c r="H4320">
        <f>IF(D4320="REMOVE",COUNTIF($D$2:D4320,"REMOVE"),"")</f>
        <v/>
      </c>
      <c r="I4320">
        <f>IF(E4320="Gmail",COUNTIF($E$2:E4320,"Gmail"),"")</f>
        <v/>
      </c>
      <c r="J4320">
        <f>IF(E4320="Outlook",COUNTIF($E$2:E4320,"Outlook"),"")</f>
        <v/>
      </c>
      <c r="K4320">
        <f>IF(E4320="Domain",COUNTIF($E$2:E4320,"Domain"),"")</f>
        <v/>
      </c>
    </row>
    <row r="4321">
      <c r="A4321" s="2" t="n"/>
      <c r="B4321">
        <f>LOWER(TRIM(A4321))</f>
        <v/>
      </c>
      <c r="C4321">
        <f>IF(B4321="","",IFERROR(INDEX('Bad Patterns'!$A$2:$A$120,MATCH(1,INDEX(--ISNUMBER(SEARCH('Bad Patterns'!$A$2:$A$120,B4321)),0),0)),""))</f>
        <v/>
      </c>
      <c r="D4321">
        <f>IF(B4321="","",IF(C4321&lt;&gt;"","REMOVE","KEEP"))</f>
        <v/>
      </c>
      <c r="E4321">
        <f>IF(D4321&lt;&gt;"KEEP","",IF(RIGHT(B4321,10)="@gmail.com","Gmail",IF(OR(RIGHT(B4321,12)="@outlook.com",RIGHT(B4321,12)="@hotmail.com",RIGHT(B4321,9)="@live.com"),"Outlook","Domain")))</f>
        <v/>
      </c>
      <c r="F4321">
        <f>IF(B4321="","",IFERROR(RIGHT(B4321,LEN(B4321)-FIND("@",B4321)),""))</f>
        <v/>
      </c>
      <c r="G4321">
        <f>IF(D4321="KEEP",COUNTIF($D$2:D4321,"KEEP"),"")</f>
        <v/>
      </c>
      <c r="H4321">
        <f>IF(D4321="REMOVE",COUNTIF($D$2:D4321,"REMOVE"),"")</f>
        <v/>
      </c>
      <c r="I4321">
        <f>IF(E4321="Gmail",COUNTIF($E$2:E4321,"Gmail"),"")</f>
        <v/>
      </c>
      <c r="J4321">
        <f>IF(E4321="Outlook",COUNTIF($E$2:E4321,"Outlook"),"")</f>
        <v/>
      </c>
      <c r="K4321">
        <f>IF(E4321="Domain",COUNTIF($E$2:E4321,"Domain"),"")</f>
        <v/>
      </c>
    </row>
    <row r="4322">
      <c r="A4322" s="2" t="n"/>
      <c r="B4322">
        <f>LOWER(TRIM(A4322))</f>
        <v/>
      </c>
      <c r="C4322">
        <f>IF(B4322="","",IFERROR(INDEX('Bad Patterns'!$A$2:$A$120,MATCH(1,INDEX(--ISNUMBER(SEARCH('Bad Patterns'!$A$2:$A$120,B4322)),0),0)),""))</f>
        <v/>
      </c>
      <c r="D4322">
        <f>IF(B4322="","",IF(C4322&lt;&gt;"","REMOVE","KEEP"))</f>
        <v/>
      </c>
      <c r="E4322">
        <f>IF(D4322&lt;&gt;"KEEP","",IF(RIGHT(B4322,10)="@gmail.com","Gmail",IF(OR(RIGHT(B4322,12)="@outlook.com",RIGHT(B4322,12)="@hotmail.com",RIGHT(B4322,9)="@live.com"),"Outlook","Domain")))</f>
        <v/>
      </c>
      <c r="F4322">
        <f>IF(B4322="","",IFERROR(RIGHT(B4322,LEN(B4322)-FIND("@",B4322)),""))</f>
        <v/>
      </c>
      <c r="G4322">
        <f>IF(D4322="KEEP",COUNTIF($D$2:D4322,"KEEP"),"")</f>
        <v/>
      </c>
      <c r="H4322">
        <f>IF(D4322="REMOVE",COUNTIF($D$2:D4322,"REMOVE"),"")</f>
        <v/>
      </c>
      <c r="I4322">
        <f>IF(E4322="Gmail",COUNTIF($E$2:E4322,"Gmail"),"")</f>
        <v/>
      </c>
      <c r="J4322">
        <f>IF(E4322="Outlook",COUNTIF($E$2:E4322,"Outlook"),"")</f>
        <v/>
      </c>
      <c r="K4322">
        <f>IF(E4322="Domain",COUNTIF($E$2:E4322,"Domain"),"")</f>
        <v/>
      </c>
    </row>
    <row r="4323">
      <c r="A4323" s="2" t="n"/>
      <c r="B4323">
        <f>LOWER(TRIM(A4323))</f>
        <v/>
      </c>
      <c r="C4323">
        <f>IF(B4323="","",IFERROR(INDEX('Bad Patterns'!$A$2:$A$120,MATCH(1,INDEX(--ISNUMBER(SEARCH('Bad Patterns'!$A$2:$A$120,B4323)),0),0)),""))</f>
        <v/>
      </c>
      <c r="D4323">
        <f>IF(B4323="","",IF(C4323&lt;&gt;"","REMOVE","KEEP"))</f>
        <v/>
      </c>
      <c r="E4323">
        <f>IF(D4323&lt;&gt;"KEEP","",IF(RIGHT(B4323,10)="@gmail.com","Gmail",IF(OR(RIGHT(B4323,12)="@outlook.com",RIGHT(B4323,12)="@hotmail.com",RIGHT(B4323,9)="@live.com"),"Outlook","Domain")))</f>
        <v/>
      </c>
      <c r="F4323">
        <f>IF(B4323="","",IFERROR(RIGHT(B4323,LEN(B4323)-FIND("@",B4323)),""))</f>
        <v/>
      </c>
      <c r="G4323">
        <f>IF(D4323="KEEP",COUNTIF($D$2:D4323,"KEEP"),"")</f>
        <v/>
      </c>
      <c r="H4323">
        <f>IF(D4323="REMOVE",COUNTIF($D$2:D4323,"REMOVE"),"")</f>
        <v/>
      </c>
      <c r="I4323">
        <f>IF(E4323="Gmail",COUNTIF($E$2:E4323,"Gmail"),"")</f>
        <v/>
      </c>
      <c r="J4323">
        <f>IF(E4323="Outlook",COUNTIF($E$2:E4323,"Outlook"),"")</f>
        <v/>
      </c>
      <c r="K4323">
        <f>IF(E4323="Domain",COUNTIF($E$2:E4323,"Domain"),"")</f>
        <v/>
      </c>
    </row>
    <row r="4324">
      <c r="A4324" s="2" t="n"/>
      <c r="B4324">
        <f>LOWER(TRIM(A4324))</f>
        <v/>
      </c>
      <c r="C4324">
        <f>IF(B4324="","",IFERROR(INDEX('Bad Patterns'!$A$2:$A$120,MATCH(1,INDEX(--ISNUMBER(SEARCH('Bad Patterns'!$A$2:$A$120,B4324)),0),0)),""))</f>
        <v/>
      </c>
      <c r="D4324">
        <f>IF(B4324="","",IF(C4324&lt;&gt;"","REMOVE","KEEP"))</f>
        <v/>
      </c>
      <c r="E4324">
        <f>IF(D4324&lt;&gt;"KEEP","",IF(RIGHT(B4324,10)="@gmail.com","Gmail",IF(OR(RIGHT(B4324,12)="@outlook.com",RIGHT(B4324,12)="@hotmail.com",RIGHT(B4324,9)="@live.com"),"Outlook","Domain")))</f>
        <v/>
      </c>
      <c r="F4324">
        <f>IF(B4324="","",IFERROR(RIGHT(B4324,LEN(B4324)-FIND("@",B4324)),""))</f>
        <v/>
      </c>
      <c r="G4324">
        <f>IF(D4324="KEEP",COUNTIF($D$2:D4324,"KEEP"),"")</f>
        <v/>
      </c>
      <c r="H4324">
        <f>IF(D4324="REMOVE",COUNTIF($D$2:D4324,"REMOVE"),"")</f>
        <v/>
      </c>
      <c r="I4324">
        <f>IF(E4324="Gmail",COUNTIF($E$2:E4324,"Gmail"),"")</f>
        <v/>
      </c>
      <c r="J4324">
        <f>IF(E4324="Outlook",COUNTIF($E$2:E4324,"Outlook"),"")</f>
        <v/>
      </c>
      <c r="K4324">
        <f>IF(E4324="Domain",COUNTIF($E$2:E4324,"Domain"),"")</f>
        <v/>
      </c>
    </row>
    <row r="4325">
      <c r="A4325" s="2" t="n"/>
      <c r="B4325">
        <f>LOWER(TRIM(A4325))</f>
        <v/>
      </c>
      <c r="C4325">
        <f>IF(B4325="","",IFERROR(INDEX('Bad Patterns'!$A$2:$A$120,MATCH(1,INDEX(--ISNUMBER(SEARCH('Bad Patterns'!$A$2:$A$120,B4325)),0),0)),""))</f>
        <v/>
      </c>
      <c r="D4325">
        <f>IF(B4325="","",IF(C4325&lt;&gt;"","REMOVE","KEEP"))</f>
        <v/>
      </c>
      <c r="E4325">
        <f>IF(D4325&lt;&gt;"KEEP","",IF(RIGHT(B4325,10)="@gmail.com","Gmail",IF(OR(RIGHT(B4325,12)="@outlook.com",RIGHT(B4325,12)="@hotmail.com",RIGHT(B4325,9)="@live.com"),"Outlook","Domain")))</f>
        <v/>
      </c>
      <c r="F4325">
        <f>IF(B4325="","",IFERROR(RIGHT(B4325,LEN(B4325)-FIND("@",B4325)),""))</f>
        <v/>
      </c>
      <c r="G4325">
        <f>IF(D4325="KEEP",COUNTIF($D$2:D4325,"KEEP"),"")</f>
        <v/>
      </c>
      <c r="H4325">
        <f>IF(D4325="REMOVE",COUNTIF($D$2:D4325,"REMOVE"),"")</f>
        <v/>
      </c>
      <c r="I4325">
        <f>IF(E4325="Gmail",COUNTIF($E$2:E4325,"Gmail"),"")</f>
        <v/>
      </c>
      <c r="J4325">
        <f>IF(E4325="Outlook",COUNTIF($E$2:E4325,"Outlook"),"")</f>
        <v/>
      </c>
      <c r="K4325">
        <f>IF(E4325="Domain",COUNTIF($E$2:E4325,"Domain"),"")</f>
        <v/>
      </c>
    </row>
    <row r="4326">
      <c r="A4326" s="2" t="n"/>
      <c r="B4326">
        <f>LOWER(TRIM(A4326))</f>
        <v/>
      </c>
      <c r="C4326">
        <f>IF(B4326="","",IFERROR(INDEX('Bad Patterns'!$A$2:$A$120,MATCH(1,INDEX(--ISNUMBER(SEARCH('Bad Patterns'!$A$2:$A$120,B4326)),0),0)),""))</f>
        <v/>
      </c>
      <c r="D4326">
        <f>IF(B4326="","",IF(C4326&lt;&gt;"","REMOVE","KEEP"))</f>
        <v/>
      </c>
      <c r="E4326">
        <f>IF(D4326&lt;&gt;"KEEP","",IF(RIGHT(B4326,10)="@gmail.com","Gmail",IF(OR(RIGHT(B4326,12)="@outlook.com",RIGHT(B4326,12)="@hotmail.com",RIGHT(B4326,9)="@live.com"),"Outlook","Domain")))</f>
        <v/>
      </c>
      <c r="F4326">
        <f>IF(B4326="","",IFERROR(RIGHT(B4326,LEN(B4326)-FIND("@",B4326)),""))</f>
        <v/>
      </c>
      <c r="G4326">
        <f>IF(D4326="KEEP",COUNTIF($D$2:D4326,"KEEP"),"")</f>
        <v/>
      </c>
      <c r="H4326">
        <f>IF(D4326="REMOVE",COUNTIF($D$2:D4326,"REMOVE"),"")</f>
        <v/>
      </c>
      <c r="I4326">
        <f>IF(E4326="Gmail",COUNTIF($E$2:E4326,"Gmail"),"")</f>
        <v/>
      </c>
      <c r="J4326">
        <f>IF(E4326="Outlook",COUNTIF($E$2:E4326,"Outlook"),"")</f>
        <v/>
      </c>
      <c r="K4326">
        <f>IF(E4326="Domain",COUNTIF($E$2:E4326,"Domain"),"")</f>
        <v/>
      </c>
    </row>
    <row r="4327">
      <c r="A4327" s="2" t="n"/>
      <c r="B4327">
        <f>LOWER(TRIM(A4327))</f>
        <v/>
      </c>
      <c r="C4327">
        <f>IF(B4327="","",IFERROR(INDEX('Bad Patterns'!$A$2:$A$120,MATCH(1,INDEX(--ISNUMBER(SEARCH('Bad Patterns'!$A$2:$A$120,B4327)),0),0)),""))</f>
        <v/>
      </c>
      <c r="D4327">
        <f>IF(B4327="","",IF(C4327&lt;&gt;"","REMOVE","KEEP"))</f>
        <v/>
      </c>
      <c r="E4327">
        <f>IF(D4327&lt;&gt;"KEEP","",IF(RIGHT(B4327,10)="@gmail.com","Gmail",IF(OR(RIGHT(B4327,12)="@outlook.com",RIGHT(B4327,12)="@hotmail.com",RIGHT(B4327,9)="@live.com"),"Outlook","Domain")))</f>
        <v/>
      </c>
      <c r="F4327">
        <f>IF(B4327="","",IFERROR(RIGHT(B4327,LEN(B4327)-FIND("@",B4327)),""))</f>
        <v/>
      </c>
      <c r="G4327">
        <f>IF(D4327="KEEP",COUNTIF($D$2:D4327,"KEEP"),"")</f>
        <v/>
      </c>
      <c r="H4327">
        <f>IF(D4327="REMOVE",COUNTIF($D$2:D4327,"REMOVE"),"")</f>
        <v/>
      </c>
      <c r="I4327">
        <f>IF(E4327="Gmail",COUNTIF($E$2:E4327,"Gmail"),"")</f>
        <v/>
      </c>
      <c r="J4327">
        <f>IF(E4327="Outlook",COUNTIF($E$2:E4327,"Outlook"),"")</f>
        <v/>
      </c>
      <c r="K4327">
        <f>IF(E4327="Domain",COUNTIF($E$2:E4327,"Domain"),"")</f>
        <v/>
      </c>
    </row>
    <row r="4328">
      <c r="A4328" s="2" t="n"/>
      <c r="B4328">
        <f>LOWER(TRIM(A4328))</f>
        <v/>
      </c>
      <c r="C4328">
        <f>IF(B4328="","",IFERROR(INDEX('Bad Patterns'!$A$2:$A$120,MATCH(1,INDEX(--ISNUMBER(SEARCH('Bad Patterns'!$A$2:$A$120,B4328)),0),0)),""))</f>
        <v/>
      </c>
      <c r="D4328">
        <f>IF(B4328="","",IF(C4328&lt;&gt;"","REMOVE","KEEP"))</f>
        <v/>
      </c>
      <c r="E4328">
        <f>IF(D4328&lt;&gt;"KEEP","",IF(RIGHT(B4328,10)="@gmail.com","Gmail",IF(OR(RIGHT(B4328,12)="@outlook.com",RIGHT(B4328,12)="@hotmail.com",RIGHT(B4328,9)="@live.com"),"Outlook","Domain")))</f>
        <v/>
      </c>
      <c r="F4328">
        <f>IF(B4328="","",IFERROR(RIGHT(B4328,LEN(B4328)-FIND("@",B4328)),""))</f>
        <v/>
      </c>
      <c r="G4328">
        <f>IF(D4328="KEEP",COUNTIF($D$2:D4328,"KEEP"),"")</f>
        <v/>
      </c>
      <c r="H4328">
        <f>IF(D4328="REMOVE",COUNTIF($D$2:D4328,"REMOVE"),"")</f>
        <v/>
      </c>
      <c r="I4328">
        <f>IF(E4328="Gmail",COUNTIF($E$2:E4328,"Gmail"),"")</f>
        <v/>
      </c>
      <c r="J4328">
        <f>IF(E4328="Outlook",COUNTIF($E$2:E4328,"Outlook"),"")</f>
        <v/>
      </c>
      <c r="K4328">
        <f>IF(E4328="Domain",COUNTIF($E$2:E4328,"Domain"),"")</f>
        <v/>
      </c>
    </row>
    <row r="4329">
      <c r="A4329" s="2" t="n"/>
      <c r="B4329">
        <f>LOWER(TRIM(A4329))</f>
        <v/>
      </c>
      <c r="C4329">
        <f>IF(B4329="","",IFERROR(INDEX('Bad Patterns'!$A$2:$A$120,MATCH(1,INDEX(--ISNUMBER(SEARCH('Bad Patterns'!$A$2:$A$120,B4329)),0),0)),""))</f>
        <v/>
      </c>
      <c r="D4329">
        <f>IF(B4329="","",IF(C4329&lt;&gt;"","REMOVE","KEEP"))</f>
        <v/>
      </c>
      <c r="E4329">
        <f>IF(D4329&lt;&gt;"KEEP","",IF(RIGHT(B4329,10)="@gmail.com","Gmail",IF(OR(RIGHT(B4329,12)="@outlook.com",RIGHT(B4329,12)="@hotmail.com",RIGHT(B4329,9)="@live.com"),"Outlook","Domain")))</f>
        <v/>
      </c>
      <c r="F4329">
        <f>IF(B4329="","",IFERROR(RIGHT(B4329,LEN(B4329)-FIND("@",B4329)),""))</f>
        <v/>
      </c>
      <c r="G4329">
        <f>IF(D4329="KEEP",COUNTIF($D$2:D4329,"KEEP"),"")</f>
        <v/>
      </c>
      <c r="H4329">
        <f>IF(D4329="REMOVE",COUNTIF($D$2:D4329,"REMOVE"),"")</f>
        <v/>
      </c>
      <c r="I4329">
        <f>IF(E4329="Gmail",COUNTIF($E$2:E4329,"Gmail"),"")</f>
        <v/>
      </c>
      <c r="J4329">
        <f>IF(E4329="Outlook",COUNTIF($E$2:E4329,"Outlook"),"")</f>
        <v/>
      </c>
      <c r="K4329">
        <f>IF(E4329="Domain",COUNTIF($E$2:E4329,"Domain"),"")</f>
        <v/>
      </c>
    </row>
    <row r="4330">
      <c r="A4330" s="2" t="n"/>
      <c r="B4330">
        <f>LOWER(TRIM(A4330))</f>
        <v/>
      </c>
      <c r="C4330">
        <f>IF(B4330="","",IFERROR(INDEX('Bad Patterns'!$A$2:$A$120,MATCH(1,INDEX(--ISNUMBER(SEARCH('Bad Patterns'!$A$2:$A$120,B4330)),0),0)),""))</f>
        <v/>
      </c>
      <c r="D4330">
        <f>IF(B4330="","",IF(C4330&lt;&gt;"","REMOVE","KEEP"))</f>
        <v/>
      </c>
      <c r="E4330">
        <f>IF(D4330&lt;&gt;"KEEP","",IF(RIGHT(B4330,10)="@gmail.com","Gmail",IF(OR(RIGHT(B4330,12)="@outlook.com",RIGHT(B4330,12)="@hotmail.com",RIGHT(B4330,9)="@live.com"),"Outlook","Domain")))</f>
        <v/>
      </c>
      <c r="F4330">
        <f>IF(B4330="","",IFERROR(RIGHT(B4330,LEN(B4330)-FIND("@",B4330)),""))</f>
        <v/>
      </c>
      <c r="G4330">
        <f>IF(D4330="KEEP",COUNTIF($D$2:D4330,"KEEP"),"")</f>
        <v/>
      </c>
      <c r="H4330">
        <f>IF(D4330="REMOVE",COUNTIF($D$2:D4330,"REMOVE"),"")</f>
        <v/>
      </c>
      <c r="I4330">
        <f>IF(E4330="Gmail",COUNTIF($E$2:E4330,"Gmail"),"")</f>
        <v/>
      </c>
      <c r="J4330">
        <f>IF(E4330="Outlook",COUNTIF($E$2:E4330,"Outlook"),"")</f>
        <v/>
      </c>
      <c r="K4330">
        <f>IF(E4330="Domain",COUNTIF($E$2:E4330,"Domain"),"")</f>
        <v/>
      </c>
    </row>
    <row r="4331">
      <c r="A4331" s="2" t="n"/>
      <c r="B4331">
        <f>LOWER(TRIM(A4331))</f>
        <v/>
      </c>
      <c r="C4331">
        <f>IF(B4331="","",IFERROR(INDEX('Bad Patterns'!$A$2:$A$120,MATCH(1,INDEX(--ISNUMBER(SEARCH('Bad Patterns'!$A$2:$A$120,B4331)),0),0)),""))</f>
        <v/>
      </c>
      <c r="D4331">
        <f>IF(B4331="","",IF(C4331&lt;&gt;"","REMOVE","KEEP"))</f>
        <v/>
      </c>
      <c r="E4331">
        <f>IF(D4331&lt;&gt;"KEEP","",IF(RIGHT(B4331,10)="@gmail.com","Gmail",IF(OR(RIGHT(B4331,12)="@outlook.com",RIGHT(B4331,12)="@hotmail.com",RIGHT(B4331,9)="@live.com"),"Outlook","Domain")))</f>
        <v/>
      </c>
      <c r="F4331">
        <f>IF(B4331="","",IFERROR(RIGHT(B4331,LEN(B4331)-FIND("@",B4331)),""))</f>
        <v/>
      </c>
      <c r="G4331">
        <f>IF(D4331="KEEP",COUNTIF($D$2:D4331,"KEEP"),"")</f>
        <v/>
      </c>
      <c r="H4331">
        <f>IF(D4331="REMOVE",COUNTIF($D$2:D4331,"REMOVE"),"")</f>
        <v/>
      </c>
      <c r="I4331">
        <f>IF(E4331="Gmail",COUNTIF($E$2:E4331,"Gmail"),"")</f>
        <v/>
      </c>
      <c r="J4331">
        <f>IF(E4331="Outlook",COUNTIF($E$2:E4331,"Outlook"),"")</f>
        <v/>
      </c>
      <c r="K4331">
        <f>IF(E4331="Domain",COUNTIF($E$2:E4331,"Domain"),"")</f>
        <v/>
      </c>
    </row>
    <row r="4332">
      <c r="A4332" s="2" t="n"/>
      <c r="B4332">
        <f>LOWER(TRIM(A4332))</f>
        <v/>
      </c>
      <c r="C4332">
        <f>IF(B4332="","",IFERROR(INDEX('Bad Patterns'!$A$2:$A$120,MATCH(1,INDEX(--ISNUMBER(SEARCH('Bad Patterns'!$A$2:$A$120,B4332)),0),0)),""))</f>
        <v/>
      </c>
      <c r="D4332">
        <f>IF(B4332="","",IF(C4332&lt;&gt;"","REMOVE","KEEP"))</f>
        <v/>
      </c>
      <c r="E4332">
        <f>IF(D4332&lt;&gt;"KEEP","",IF(RIGHT(B4332,10)="@gmail.com","Gmail",IF(OR(RIGHT(B4332,12)="@outlook.com",RIGHT(B4332,12)="@hotmail.com",RIGHT(B4332,9)="@live.com"),"Outlook","Domain")))</f>
        <v/>
      </c>
      <c r="F4332">
        <f>IF(B4332="","",IFERROR(RIGHT(B4332,LEN(B4332)-FIND("@",B4332)),""))</f>
        <v/>
      </c>
      <c r="G4332">
        <f>IF(D4332="KEEP",COUNTIF($D$2:D4332,"KEEP"),"")</f>
        <v/>
      </c>
      <c r="H4332">
        <f>IF(D4332="REMOVE",COUNTIF($D$2:D4332,"REMOVE"),"")</f>
        <v/>
      </c>
      <c r="I4332">
        <f>IF(E4332="Gmail",COUNTIF($E$2:E4332,"Gmail"),"")</f>
        <v/>
      </c>
      <c r="J4332">
        <f>IF(E4332="Outlook",COUNTIF($E$2:E4332,"Outlook"),"")</f>
        <v/>
      </c>
      <c r="K4332">
        <f>IF(E4332="Domain",COUNTIF($E$2:E4332,"Domain"),"")</f>
        <v/>
      </c>
    </row>
    <row r="4333">
      <c r="A4333" s="2" t="n"/>
      <c r="B4333">
        <f>LOWER(TRIM(A4333))</f>
        <v/>
      </c>
      <c r="C4333">
        <f>IF(B4333="","",IFERROR(INDEX('Bad Patterns'!$A$2:$A$120,MATCH(1,INDEX(--ISNUMBER(SEARCH('Bad Patterns'!$A$2:$A$120,B4333)),0),0)),""))</f>
        <v/>
      </c>
      <c r="D4333">
        <f>IF(B4333="","",IF(C4333&lt;&gt;"","REMOVE","KEEP"))</f>
        <v/>
      </c>
      <c r="E4333">
        <f>IF(D4333&lt;&gt;"KEEP","",IF(RIGHT(B4333,10)="@gmail.com","Gmail",IF(OR(RIGHT(B4333,12)="@outlook.com",RIGHT(B4333,12)="@hotmail.com",RIGHT(B4333,9)="@live.com"),"Outlook","Domain")))</f>
        <v/>
      </c>
      <c r="F4333">
        <f>IF(B4333="","",IFERROR(RIGHT(B4333,LEN(B4333)-FIND("@",B4333)),""))</f>
        <v/>
      </c>
      <c r="G4333">
        <f>IF(D4333="KEEP",COUNTIF($D$2:D4333,"KEEP"),"")</f>
        <v/>
      </c>
      <c r="H4333">
        <f>IF(D4333="REMOVE",COUNTIF($D$2:D4333,"REMOVE"),"")</f>
        <v/>
      </c>
      <c r="I4333">
        <f>IF(E4333="Gmail",COUNTIF($E$2:E4333,"Gmail"),"")</f>
        <v/>
      </c>
      <c r="J4333">
        <f>IF(E4333="Outlook",COUNTIF($E$2:E4333,"Outlook"),"")</f>
        <v/>
      </c>
      <c r="K4333">
        <f>IF(E4333="Domain",COUNTIF($E$2:E4333,"Domain"),"")</f>
        <v/>
      </c>
    </row>
    <row r="4334">
      <c r="A4334" s="2" t="n"/>
      <c r="B4334">
        <f>LOWER(TRIM(A4334))</f>
        <v/>
      </c>
      <c r="C4334">
        <f>IF(B4334="","",IFERROR(INDEX('Bad Patterns'!$A$2:$A$120,MATCH(1,INDEX(--ISNUMBER(SEARCH('Bad Patterns'!$A$2:$A$120,B4334)),0),0)),""))</f>
        <v/>
      </c>
      <c r="D4334">
        <f>IF(B4334="","",IF(C4334&lt;&gt;"","REMOVE","KEEP"))</f>
        <v/>
      </c>
      <c r="E4334">
        <f>IF(D4334&lt;&gt;"KEEP","",IF(RIGHT(B4334,10)="@gmail.com","Gmail",IF(OR(RIGHT(B4334,12)="@outlook.com",RIGHT(B4334,12)="@hotmail.com",RIGHT(B4334,9)="@live.com"),"Outlook","Domain")))</f>
        <v/>
      </c>
      <c r="F4334">
        <f>IF(B4334="","",IFERROR(RIGHT(B4334,LEN(B4334)-FIND("@",B4334)),""))</f>
        <v/>
      </c>
      <c r="G4334">
        <f>IF(D4334="KEEP",COUNTIF($D$2:D4334,"KEEP"),"")</f>
        <v/>
      </c>
      <c r="H4334">
        <f>IF(D4334="REMOVE",COUNTIF($D$2:D4334,"REMOVE"),"")</f>
        <v/>
      </c>
      <c r="I4334">
        <f>IF(E4334="Gmail",COUNTIF($E$2:E4334,"Gmail"),"")</f>
        <v/>
      </c>
      <c r="J4334">
        <f>IF(E4334="Outlook",COUNTIF($E$2:E4334,"Outlook"),"")</f>
        <v/>
      </c>
      <c r="K4334">
        <f>IF(E4334="Domain",COUNTIF($E$2:E4334,"Domain"),"")</f>
        <v/>
      </c>
    </row>
    <row r="4335">
      <c r="A4335" s="2" t="n"/>
      <c r="B4335">
        <f>LOWER(TRIM(A4335))</f>
        <v/>
      </c>
      <c r="C4335">
        <f>IF(B4335="","",IFERROR(INDEX('Bad Patterns'!$A$2:$A$120,MATCH(1,INDEX(--ISNUMBER(SEARCH('Bad Patterns'!$A$2:$A$120,B4335)),0),0)),""))</f>
        <v/>
      </c>
      <c r="D4335">
        <f>IF(B4335="","",IF(C4335&lt;&gt;"","REMOVE","KEEP"))</f>
        <v/>
      </c>
      <c r="E4335">
        <f>IF(D4335&lt;&gt;"KEEP","",IF(RIGHT(B4335,10)="@gmail.com","Gmail",IF(OR(RIGHT(B4335,12)="@outlook.com",RIGHT(B4335,12)="@hotmail.com",RIGHT(B4335,9)="@live.com"),"Outlook","Domain")))</f>
        <v/>
      </c>
      <c r="F4335">
        <f>IF(B4335="","",IFERROR(RIGHT(B4335,LEN(B4335)-FIND("@",B4335)),""))</f>
        <v/>
      </c>
      <c r="G4335">
        <f>IF(D4335="KEEP",COUNTIF($D$2:D4335,"KEEP"),"")</f>
        <v/>
      </c>
      <c r="H4335">
        <f>IF(D4335="REMOVE",COUNTIF($D$2:D4335,"REMOVE"),"")</f>
        <v/>
      </c>
      <c r="I4335">
        <f>IF(E4335="Gmail",COUNTIF($E$2:E4335,"Gmail"),"")</f>
        <v/>
      </c>
      <c r="J4335">
        <f>IF(E4335="Outlook",COUNTIF($E$2:E4335,"Outlook"),"")</f>
        <v/>
      </c>
      <c r="K4335">
        <f>IF(E4335="Domain",COUNTIF($E$2:E4335,"Domain"),"")</f>
        <v/>
      </c>
    </row>
    <row r="4336">
      <c r="A4336" s="2" t="n"/>
      <c r="B4336">
        <f>LOWER(TRIM(A4336))</f>
        <v/>
      </c>
      <c r="C4336">
        <f>IF(B4336="","",IFERROR(INDEX('Bad Patterns'!$A$2:$A$120,MATCH(1,INDEX(--ISNUMBER(SEARCH('Bad Patterns'!$A$2:$A$120,B4336)),0),0)),""))</f>
        <v/>
      </c>
      <c r="D4336">
        <f>IF(B4336="","",IF(C4336&lt;&gt;"","REMOVE","KEEP"))</f>
        <v/>
      </c>
      <c r="E4336">
        <f>IF(D4336&lt;&gt;"KEEP","",IF(RIGHT(B4336,10)="@gmail.com","Gmail",IF(OR(RIGHT(B4336,12)="@outlook.com",RIGHT(B4336,12)="@hotmail.com",RIGHT(B4336,9)="@live.com"),"Outlook","Domain")))</f>
        <v/>
      </c>
      <c r="F4336">
        <f>IF(B4336="","",IFERROR(RIGHT(B4336,LEN(B4336)-FIND("@",B4336)),""))</f>
        <v/>
      </c>
      <c r="G4336">
        <f>IF(D4336="KEEP",COUNTIF($D$2:D4336,"KEEP"),"")</f>
        <v/>
      </c>
      <c r="H4336">
        <f>IF(D4336="REMOVE",COUNTIF($D$2:D4336,"REMOVE"),"")</f>
        <v/>
      </c>
      <c r="I4336">
        <f>IF(E4336="Gmail",COUNTIF($E$2:E4336,"Gmail"),"")</f>
        <v/>
      </c>
      <c r="J4336">
        <f>IF(E4336="Outlook",COUNTIF($E$2:E4336,"Outlook"),"")</f>
        <v/>
      </c>
      <c r="K4336">
        <f>IF(E4336="Domain",COUNTIF($E$2:E4336,"Domain"),"")</f>
        <v/>
      </c>
    </row>
    <row r="4337">
      <c r="A4337" s="2" t="n"/>
      <c r="B4337">
        <f>LOWER(TRIM(A4337))</f>
        <v/>
      </c>
      <c r="C4337">
        <f>IF(B4337="","",IFERROR(INDEX('Bad Patterns'!$A$2:$A$120,MATCH(1,INDEX(--ISNUMBER(SEARCH('Bad Patterns'!$A$2:$A$120,B4337)),0),0)),""))</f>
        <v/>
      </c>
      <c r="D4337">
        <f>IF(B4337="","",IF(C4337&lt;&gt;"","REMOVE","KEEP"))</f>
        <v/>
      </c>
      <c r="E4337">
        <f>IF(D4337&lt;&gt;"KEEP","",IF(RIGHT(B4337,10)="@gmail.com","Gmail",IF(OR(RIGHT(B4337,12)="@outlook.com",RIGHT(B4337,12)="@hotmail.com",RIGHT(B4337,9)="@live.com"),"Outlook","Domain")))</f>
        <v/>
      </c>
      <c r="F4337">
        <f>IF(B4337="","",IFERROR(RIGHT(B4337,LEN(B4337)-FIND("@",B4337)),""))</f>
        <v/>
      </c>
      <c r="G4337">
        <f>IF(D4337="KEEP",COUNTIF($D$2:D4337,"KEEP"),"")</f>
        <v/>
      </c>
      <c r="H4337">
        <f>IF(D4337="REMOVE",COUNTIF($D$2:D4337,"REMOVE"),"")</f>
        <v/>
      </c>
      <c r="I4337">
        <f>IF(E4337="Gmail",COUNTIF($E$2:E4337,"Gmail"),"")</f>
        <v/>
      </c>
      <c r="J4337">
        <f>IF(E4337="Outlook",COUNTIF($E$2:E4337,"Outlook"),"")</f>
        <v/>
      </c>
      <c r="K4337">
        <f>IF(E4337="Domain",COUNTIF($E$2:E4337,"Domain"),"")</f>
        <v/>
      </c>
    </row>
    <row r="4338">
      <c r="A4338" s="2" t="n"/>
      <c r="B4338">
        <f>LOWER(TRIM(A4338))</f>
        <v/>
      </c>
      <c r="C4338">
        <f>IF(B4338="","",IFERROR(INDEX('Bad Patterns'!$A$2:$A$120,MATCH(1,INDEX(--ISNUMBER(SEARCH('Bad Patterns'!$A$2:$A$120,B4338)),0),0)),""))</f>
        <v/>
      </c>
      <c r="D4338">
        <f>IF(B4338="","",IF(C4338&lt;&gt;"","REMOVE","KEEP"))</f>
        <v/>
      </c>
      <c r="E4338">
        <f>IF(D4338&lt;&gt;"KEEP","",IF(RIGHT(B4338,10)="@gmail.com","Gmail",IF(OR(RIGHT(B4338,12)="@outlook.com",RIGHT(B4338,12)="@hotmail.com",RIGHT(B4338,9)="@live.com"),"Outlook","Domain")))</f>
        <v/>
      </c>
      <c r="F4338">
        <f>IF(B4338="","",IFERROR(RIGHT(B4338,LEN(B4338)-FIND("@",B4338)),""))</f>
        <v/>
      </c>
      <c r="G4338">
        <f>IF(D4338="KEEP",COUNTIF($D$2:D4338,"KEEP"),"")</f>
        <v/>
      </c>
      <c r="H4338">
        <f>IF(D4338="REMOVE",COUNTIF($D$2:D4338,"REMOVE"),"")</f>
        <v/>
      </c>
      <c r="I4338">
        <f>IF(E4338="Gmail",COUNTIF($E$2:E4338,"Gmail"),"")</f>
        <v/>
      </c>
      <c r="J4338">
        <f>IF(E4338="Outlook",COUNTIF($E$2:E4338,"Outlook"),"")</f>
        <v/>
      </c>
      <c r="K4338">
        <f>IF(E4338="Domain",COUNTIF($E$2:E4338,"Domain"),"")</f>
        <v/>
      </c>
    </row>
    <row r="4339">
      <c r="A4339" s="2" t="n"/>
      <c r="B4339">
        <f>LOWER(TRIM(A4339))</f>
        <v/>
      </c>
      <c r="C4339">
        <f>IF(B4339="","",IFERROR(INDEX('Bad Patterns'!$A$2:$A$120,MATCH(1,INDEX(--ISNUMBER(SEARCH('Bad Patterns'!$A$2:$A$120,B4339)),0),0)),""))</f>
        <v/>
      </c>
      <c r="D4339">
        <f>IF(B4339="","",IF(C4339&lt;&gt;"","REMOVE","KEEP"))</f>
        <v/>
      </c>
      <c r="E4339">
        <f>IF(D4339&lt;&gt;"KEEP","",IF(RIGHT(B4339,10)="@gmail.com","Gmail",IF(OR(RIGHT(B4339,12)="@outlook.com",RIGHT(B4339,12)="@hotmail.com",RIGHT(B4339,9)="@live.com"),"Outlook","Domain")))</f>
        <v/>
      </c>
      <c r="F4339">
        <f>IF(B4339="","",IFERROR(RIGHT(B4339,LEN(B4339)-FIND("@",B4339)),""))</f>
        <v/>
      </c>
      <c r="G4339">
        <f>IF(D4339="KEEP",COUNTIF($D$2:D4339,"KEEP"),"")</f>
        <v/>
      </c>
      <c r="H4339">
        <f>IF(D4339="REMOVE",COUNTIF($D$2:D4339,"REMOVE"),"")</f>
        <v/>
      </c>
      <c r="I4339">
        <f>IF(E4339="Gmail",COUNTIF($E$2:E4339,"Gmail"),"")</f>
        <v/>
      </c>
      <c r="J4339">
        <f>IF(E4339="Outlook",COUNTIF($E$2:E4339,"Outlook"),"")</f>
        <v/>
      </c>
      <c r="K4339">
        <f>IF(E4339="Domain",COUNTIF($E$2:E4339,"Domain"),"")</f>
        <v/>
      </c>
    </row>
    <row r="4340">
      <c r="A4340" s="2" t="n"/>
      <c r="B4340">
        <f>LOWER(TRIM(A4340))</f>
        <v/>
      </c>
      <c r="C4340">
        <f>IF(B4340="","",IFERROR(INDEX('Bad Patterns'!$A$2:$A$120,MATCH(1,INDEX(--ISNUMBER(SEARCH('Bad Patterns'!$A$2:$A$120,B4340)),0),0)),""))</f>
        <v/>
      </c>
      <c r="D4340">
        <f>IF(B4340="","",IF(C4340&lt;&gt;"","REMOVE","KEEP"))</f>
        <v/>
      </c>
      <c r="E4340">
        <f>IF(D4340&lt;&gt;"KEEP","",IF(RIGHT(B4340,10)="@gmail.com","Gmail",IF(OR(RIGHT(B4340,12)="@outlook.com",RIGHT(B4340,12)="@hotmail.com",RIGHT(B4340,9)="@live.com"),"Outlook","Domain")))</f>
        <v/>
      </c>
      <c r="F4340">
        <f>IF(B4340="","",IFERROR(RIGHT(B4340,LEN(B4340)-FIND("@",B4340)),""))</f>
        <v/>
      </c>
      <c r="G4340">
        <f>IF(D4340="KEEP",COUNTIF($D$2:D4340,"KEEP"),"")</f>
        <v/>
      </c>
      <c r="H4340">
        <f>IF(D4340="REMOVE",COUNTIF($D$2:D4340,"REMOVE"),"")</f>
        <v/>
      </c>
      <c r="I4340">
        <f>IF(E4340="Gmail",COUNTIF($E$2:E4340,"Gmail"),"")</f>
        <v/>
      </c>
      <c r="J4340">
        <f>IF(E4340="Outlook",COUNTIF($E$2:E4340,"Outlook"),"")</f>
        <v/>
      </c>
      <c r="K4340">
        <f>IF(E4340="Domain",COUNTIF($E$2:E4340,"Domain"),"")</f>
        <v/>
      </c>
    </row>
    <row r="4341">
      <c r="A4341" s="2" t="n"/>
      <c r="B4341">
        <f>LOWER(TRIM(A4341))</f>
        <v/>
      </c>
      <c r="C4341">
        <f>IF(B4341="","",IFERROR(INDEX('Bad Patterns'!$A$2:$A$120,MATCH(1,INDEX(--ISNUMBER(SEARCH('Bad Patterns'!$A$2:$A$120,B4341)),0),0)),""))</f>
        <v/>
      </c>
      <c r="D4341">
        <f>IF(B4341="","",IF(C4341&lt;&gt;"","REMOVE","KEEP"))</f>
        <v/>
      </c>
      <c r="E4341">
        <f>IF(D4341&lt;&gt;"KEEP","",IF(RIGHT(B4341,10)="@gmail.com","Gmail",IF(OR(RIGHT(B4341,12)="@outlook.com",RIGHT(B4341,12)="@hotmail.com",RIGHT(B4341,9)="@live.com"),"Outlook","Domain")))</f>
        <v/>
      </c>
      <c r="F4341">
        <f>IF(B4341="","",IFERROR(RIGHT(B4341,LEN(B4341)-FIND("@",B4341)),""))</f>
        <v/>
      </c>
      <c r="G4341">
        <f>IF(D4341="KEEP",COUNTIF($D$2:D4341,"KEEP"),"")</f>
        <v/>
      </c>
      <c r="H4341">
        <f>IF(D4341="REMOVE",COUNTIF($D$2:D4341,"REMOVE"),"")</f>
        <v/>
      </c>
      <c r="I4341">
        <f>IF(E4341="Gmail",COUNTIF($E$2:E4341,"Gmail"),"")</f>
        <v/>
      </c>
      <c r="J4341">
        <f>IF(E4341="Outlook",COUNTIF($E$2:E4341,"Outlook"),"")</f>
        <v/>
      </c>
      <c r="K4341">
        <f>IF(E4341="Domain",COUNTIF($E$2:E4341,"Domain"),"")</f>
        <v/>
      </c>
    </row>
    <row r="4342">
      <c r="A4342" s="2" t="n"/>
      <c r="B4342">
        <f>LOWER(TRIM(A4342))</f>
        <v/>
      </c>
      <c r="C4342">
        <f>IF(B4342="","",IFERROR(INDEX('Bad Patterns'!$A$2:$A$120,MATCH(1,INDEX(--ISNUMBER(SEARCH('Bad Patterns'!$A$2:$A$120,B4342)),0),0)),""))</f>
        <v/>
      </c>
      <c r="D4342">
        <f>IF(B4342="","",IF(C4342&lt;&gt;"","REMOVE","KEEP"))</f>
        <v/>
      </c>
      <c r="E4342">
        <f>IF(D4342&lt;&gt;"KEEP","",IF(RIGHT(B4342,10)="@gmail.com","Gmail",IF(OR(RIGHT(B4342,12)="@outlook.com",RIGHT(B4342,12)="@hotmail.com",RIGHT(B4342,9)="@live.com"),"Outlook","Domain")))</f>
        <v/>
      </c>
      <c r="F4342">
        <f>IF(B4342="","",IFERROR(RIGHT(B4342,LEN(B4342)-FIND("@",B4342)),""))</f>
        <v/>
      </c>
      <c r="G4342">
        <f>IF(D4342="KEEP",COUNTIF($D$2:D4342,"KEEP"),"")</f>
        <v/>
      </c>
      <c r="H4342">
        <f>IF(D4342="REMOVE",COUNTIF($D$2:D4342,"REMOVE"),"")</f>
        <v/>
      </c>
      <c r="I4342">
        <f>IF(E4342="Gmail",COUNTIF($E$2:E4342,"Gmail"),"")</f>
        <v/>
      </c>
      <c r="J4342">
        <f>IF(E4342="Outlook",COUNTIF($E$2:E4342,"Outlook"),"")</f>
        <v/>
      </c>
      <c r="K4342">
        <f>IF(E4342="Domain",COUNTIF($E$2:E4342,"Domain"),"")</f>
        <v/>
      </c>
    </row>
    <row r="4343">
      <c r="A4343" s="2" t="n"/>
      <c r="B4343">
        <f>LOWER(TRIM(A4343))</f>
        <v/>
      </c>
      <c r="C4343">
        <f>IF(B4343="","",IFERROR(INDEX('Bad Patterns'!$A$2:$A$120,MATCH(1,INDEX(--ISNUMBER(SEARCH('Bad Patterns'!$A$2:$A$120,B4343)),0),0)),""))</f>
        <v/>
      </c>
      <c r="D4343">
        <f>IF(B4343="","",IF(C4343&lt;&gt;"","REMOVE","KEEP"))</f>
        <v/>
      </c>
      <c r="E4343">
        <f>IF(D4343&lt;&gt;"KEEP","",IF(RIGHT(B4343,10)="@gmail.com","Gmail",IF(OR(RIGHT(B4343,12)="@outlook.com",RIGHT(B4343,12)="@hotmail.com",RIGHT(B4343,9)="@live.com"),"Outlook","Domain")))</f>
        <v/>
      </c>
      <c r="F4343">
        <f>IF(B4343="","",IFERROR(RIGHT(B4343,LEN(B4343)-FIND("@",B4343)),""))</f>
        <v/>
      </c>
      <c r="G4343">
        <f>IF(D4343="KEEP",COUNTIF($D$2:D4343,"KEEP"),"")</f>
        <v/>
      </c>
      <c r="H4343">
        <f>IF(D4343="REMOVE",COUNTIF($D$2:D4343,"REMOVE"),"")</f>
        <v/>
      </c>
      <c r="I4343">
        <f>IF(E4343="Gmail",COUNTIF($E$2:E4343,"Gmail"),"")</f>
        <v/>
      </c>
      <c r="J4343">
        <f>IF(E4343="Outlook",COUNTIF($E$2:E4343,"Outlook"),"")</f>
        <v/>
      </c>
      <c r="K4343">
        <f>IF(E4343="Domain",COUNTIF($E$2:E4343,"Domain"),"")</f>
        <v/>
      </c>
    </row>
    <row r="4344">
      <c r="A4344" s="2" t="n"/>
      <c r="B4344">
        <f>LOWER(TRIM(A4344))</f>
        <v/>
      </c>
      <c r="C4344">
        <f>IF(B4344="","",IFERROR(INDEX('Bad Patterns'!$A$2:$A$120,MATCH(1,INDEX(--ISNUMBER(SEARCH('Bad Patterns'!$A$2:$A$120,B4344)),0),0)),""))</f>
        <v/>
      </c>
      <c r="D4344">
        <f>IF(B4344="","",IF(C4344&lt;&gt;"","REMOVE","KEEP"))</f>
        <v/>
      </c>
      <c r="E4344">
        <f>IF(D4344&lt;&gt;"KEEP","",IF(RIGHT(B4344,10)="@gmail.com","Gmail",IF(OR(RIGHT(B4344,12)="@outlook.com",RIGHT(B4344,12)="@hotmail.com",RIGHT(B4344,9)="@live.com"),"Outlook","Domain")))</f>
        <v/>
      </c>
      <c r="F4344">
        <f>IF(B4344="","",IFERROR(RIGHT(B4344,LEN(B4344)-FIND("@",B4344)),""))</f>
        <v/>
      </c>
      <c r="G4344">
        <f>IF(D4344="KEEP",COUNTIF($D$2:D4344,"KEEP"),"")</f>
        <v/>
      </c>
      <c r="H4344">
        <f>IF(D4344="REMOVE",COUNTIF($D$2:D4344,"REMOVE"),"")</f>
        <v/>
      </c>
      <c r="I4344">
        <f>IF(E4344="Gmail",COUNTIF($E$2:E4344,"Gmail"),"")</f>
        <v/>
      </c>
      <c r="J4344">
        <f>IF(E4344="Outlook",COUNTIF($E$2:E4344,"Outlook"),"")</f>
        <v/>
      </c>
      <c r="K4344">
        <f>IF(E4344="Domain",COUNTIF($E$2:E4344,"Domain"),"")</f>
        <v/>
      </c>
    </row>
    <row r="4345">
      <c r="A4345" s="2" t="n"/>
      <c r="B4345">
        <f>LOWER(TRIM(A4345))</f>
        <v/>
      </c>
      <c r="C4345">
        <f>IF(B4345="","",IFERROR(INDEX('Bad Patterns'!$A$2:$A$120,MATCH(1,INDEX(--ISNUMBER(SEARCH('Bad Patterns'!$A$2:$A$120,B4345)),0),0)),""))</f>
        <v/>
      </c>
      <c r="D4345">
        <f>IF(B4345="","",IF(C4345&lt;&gt;"","REMOVE","KEEP"))</f>
        <v/>
      </c>
      <c r="E4345">
        <f>IF(D4345&lt;&gt;"KEEP","",IF(RIGHT(B4345,10)="@gmail.com","Gmail",IF(OR(RIGHT(B4345,12)="@outlook.com",RIGHT(B4345,12)="@hotmail.com",RIGHT(B4345,9)="@live.com"),"Outlook","Domain")))</f>
        <v/>
      </c>
      <c r="F4345">
        <f>IF(B4345="","",IFERROR(RIGHT(B4345,LEN(B4345)-FIND("@",B4345)),""))</f>
        <v/>
      </c>
      <c r="G4345">
        <f>IF(D4345="KEEP",COUNTIF($D$2:D4345,"KEEP"),"")</f>
        <v/>
      </c>
      <c r="H4345">
        <f>IF(D4345="REMOVE",COUNTIF($D$2:D4345,"REMOVE"),"")</f>
        <v/>
      </c>
      <c r="I4345">
        <f>IF(E4345="Gmail",COUNTIF($E$2:E4345,"Gmail"),"")</f>
        <v/>
      </c>
      <c r="J4345">
        <f>IF(E4345="Outlook",COUNTIF($E$2:E4345,"Outlook"),"")</f>
        <v/>
      </c>
      <c r="K4345">
        <f>IF(E4345="Domain",COUNTIF($E$2:E4345,"Domain"),"")</f>
        <v/>
      </c>
    </row>
    <row r="4346">
      <c r="A4346" s="2" t="n"/>
      <c r="B4346">
        <f>LOWER(TRIM(A4346))</f>
        <v/>
      </c>
      <c r="C4346">
        <f>IF(B4346="","",IFERROR(INDEX('Bad Patterns'!$A$2:$A$120,MATCH(1,INDEX(--ISNUMBER(SEARCH('Bad Patterns'!$A$2:$A$120,B4346)),0),0)),""))</f>
        <v/>
      </c>
      <c r="D4346">
        <f>IF(B4346="","",IF(C4346&lt;&gt;"","REMOVE","KEEP"))</f>
        <v/>
      </c>
      <c r="E4346">
        <f>IF(D4346&lt;&gt;"KEEP","",IF(RIGHT(B4346,10)="@gmail.com","Gmail",IF(OR(RIGHT(B4346,12)="@outlook.com",RIGHT(B4346,12)="@hotmail.com",RIGHT(B4346,9)="@live.com"),"Outlook","Domain")))</f>
        <v/>
      </c>
      <c r="F4346">
        <f>IF(B4346="","",IFERROR(RIGHT(B4346,LEN(B4346)-FIND("@",B4346)),""))</f>
        <v/>
      </c>
      <c r="G4346">
        <f>IF(D4346="KEEP",COUNTIF($D$2:D4346,"KEEP"),"")</f>
        <v/>
      </c>
      <c r="H4346">
        <f>IF(D4346="REMOVE",COUNTIF($D$2:D4346,"REMOVE"),"")</f>
        <v/>
      </c>
      <c r="I4346">
        <f>IF(E4346="Gmail",COUNTIF($E$2:E4346,"Gmail"),"")</f>
        <v/>
      </c>
      <c r="J4346">
        <f>IF(E4346="Outlook",COUNTIF($E$2:E4346,"Outlook"),"")</f>
        <v/>
      </c>
      <c r="K4346">
        <f>IF(E4346="Domain",COUNTIF($E$2:E4346,"Domain"),"")</f>
        <v/>
      </c>
    </row>
    <row r="4347">
      <c r="A4347" s="2" t="n"/>
      <c r="B4347">
        <f>LOWER(TRIM(A4347))</f>
        <v/>
      </c>
      <c r="C4347">
        <f>IF(B4347="","",IFERROR(INDEX('Bad Patterns'!$A$2:$A$120,MATCH(1,INDEX(--ISNUMBER(SEARCH('Bad Patterns'!$A$2:$A$120,B4347)),0),0)),""))</f>
        <v/>
      </c>
      <c r="D4347">
        <f>IF(B4347="","",IF(C4347&lt;&gt;"","REMOVE","KEEP"))</f>
        <v/>
      </c>
      <c r="E4347">
        <f>IF(D4347&lt;&gt;"KEEP","",IF(RIGHT(B4347,10)="@gmail.com","Gmail",IF(OR(RIGHT(B4347,12)="@outlook.com",RIGHT(B4347,12)="@hotmail.com",RIGHT(B4347,9)="@live.com"),"Outlook","Domain")))</f>
        <v/>
      </c>
      <c r="F4347">
        <f>IF(B4347="","",IFERROR(RIGHT(B4347,LEN(B4347)-FIND("@",B4347)),""))</f>
        <v/>
      </c>
      <c r="G4347">
        <f>IF(D4347="KEEP",COUNTIF($D$2:D4347,"KEEP"),"")</f>
        <v/>
      </c>
      <c r="H4347">
        <f>IF(D4347="REMOVE",COUNTIF($D$2:D4347,"REMOVE"),"")</f>
        <v/>
      </c>
      <c r="I4347">
        <f>IF(E4347="Gmail",COUNTIF($E$2:E4347,"Gmail"),"")</f>
        <v/>
      </c>
      <c r="J4347">
        <f>IF(E4347="Outlook",COUNTIF($E$2:E4347,"Outlook"),"")</f>
        <v/>
      </c>
      <c r="K4347">
        <f>IF(E4347="Domain",COUNTIF($E$2:E4347,"Domain"),"")</f>
        <v/>
      </c>
    </row>
    <row r="4348">
      <c r="A4348" s="2" t="n"/>
      <c r="B4348">
        <f>LOWER(TRIM(A4348))</f>
        <v/>
      </c>
      <c r="C4348">
        <f>IF(B4348="","",IFERROR(INDEX('Bad Patterns'!$A$2:$A$120,MATCH(1,INDEX(--ISNUMBER(SEARCH('Bad Patterns'!$A$2:$A$120,B4348)),0),0)),""))</f>
        <v/>
      </c>
      <c r="D4348">
        <f>IF(B4348="","",IF(C4348&lt;&gt;"","REMOVE","KEEP"))</f>
        <v/>
      </c>
      <c r="E4348">
        <f>IF(D4348&lt;&gt;"KEEP","",IF(RIGHT(B4348,10)="@gmail.com","Gmail",IF(OR(RIGHT(B4348,12)="@outlook.com",RIGHT(B4348,12)="@hotmail.com",RIGHT(B4348,9)="@live.com"),"Outlook","Domain")))</f>
        <v/>
      </c>
      <c r="F4348">
        <f>IF(B4348="","",IFERROR(RIGHT(B4348,LEN(B4348)-FIND("@",B4348)),""))</f>
        <v/>
      </c>
      <c r="G4348">
        <f>IF(D4348="KEEP",COUNTIF($D$2:D4348,"KEEP"),"")</f>
        <v/>
      </c>
      <c r="H4348">
        <f>IF(D4348="REMOVE",COUNTIF($D$2:D4348,"REMOVE"),"")</f>
        <v/>
      </c>
      <c r="I4348">
        <f>IF(E4348="Gmail",COUNTIF($E$2:E4348,"Gmail"),"")</f>
        <v/>
      </c>
      <c r="J4348">
        <f>IF(E4348="Outlook",COUNTIF($E$2:E4348,"Outlook"),"")</f>
        <v/>
      </c>
      <c r="K4348">
        <f>IF(E4348="Domain",COUNTIF($E$2:E4348,"Domain"),"")</f>
        <v/>
      </c>
    </row>
    <row r="4349">
      <c r="A4349" s="2" t="n"/>
      <c r="B4349">
        <f>LOWER(TRIM(A4349))</f>
        <v/>
      </c>
      <c r="C4349">
        <f>IF(B4349="","",IFERROR(INDEX('Bad Patterns'!$A$2:$A$120,MATCH(1,INDEX(--ISNUMBER(SEARCH('Bad Patterns'!$A$2:$A$120,B4349)),0),0)),""))</f>
        <v/>
      </c>
      <c r="D4349">
        <f>IF(B4349="","",IF(C4349&lt;&gt;"","REMOVE","KEEP"))</f>
        <v/>
      </c>
      <c r="E4349">
        <f>IF(D4349&lt;&gt;"KEEP","",IF(RIGHT(B4349,10)="@gmail.com","Gmail",IF(OR(RIGHT(B4349,12)="@outlook.com",RIGHT(B4349,12)="@hotmail.com",RIGHT(B4349,9)="@live.com"),"Outlook","Domain")))</f>
        <v/>
      </c>
      <c r="F4349">
        <f>IF(B4349="","",IFERROR(RIGHT(B4349,LEN(B4349)-FIND("@",B4349)),""))</f>
        <v/>
      </c>
      <c r="G4349">
        <f>IF(D4349="KEEP",COUNTIF($D$2:D4349,"KEEP"),"")</f>
        <v/>
      </c>
      <c r="H4349">
        <f>IF(D4349="REMOVE",COUNTIF($D$2:D4349,"REMOVE"),"")</f>
        <v/>
      </c>
      <c r="I4349">
        <f>IF(E4349="Gmail",COUNTIF($E$2:E4349,"Gmail"),"")</f>
        <v/>
      </c>
      <c r="J4349">
        <f>IF(E4349="Outlook",COUNTIF($E$2:E4349,"Outlook"),"")</f>
        <v/>
      </c>
      <c r="K4349">
        <f>IF(E4349="Domain",COUNTIF($E$2:E4349,"Domain"),"")</f>
        <v/>
      </c>
    </row>
    <row r="4350">
      <c r="A4350" s="2" t="n"/>
      <c r="B4350">
        <f>LOWER(TRIM(A4350))</f>
        <v/>
      </c>
      <c r="C4350">
        <f>IF(B4350="","",IFERROR(INDEX('Bad Patterns'!$A$2:$A$120,MATCH(1,INDEX(--ISNUMBER(SEARCH('Bad Patterns'!$A$2:$A$120,B4350)),0),0)),""))</f>
        <v/>
      </c>
      <c r="D4350">
        <f>IF(B4350="","",IF(C4350&lt;&gt;"","REMOVE","KEEP"))</f>
        <v/>
      </c>
      <c r="E4350">
        <f>IF(D4350&lt;&gt;"KEEP","",IF(RIGHT(B4350,10)="@gmail.com","Gmail",IF(OR(RIGHT(B4350,12)="@outlook.com",RIGHT(B4350,12)="@hotmail.com",RIGHT(B4350,9)="@live.com"),"Outlook","Domain")))</f>
        <v/>
      </c>
      <c r="F4350">
        <f>IF(B4350="","",IFERROR(RIGHT(B4350,LEN(B4350)-FIND("@",B4350)),""))</f>
        <v/>
      </c>
      <c r="G4350">
        <f>IF(D4350="KEEP",COUNTIF($D$2:D4350,"KEEP"),"")</f>
        <v/>
      </c>
      <c r="H4350">
        <f>IF(D4350="REMOVE",COUNTIF($D$2:D4350,"REMOVE"),"")</f>
        <v/>
      </c>
      <c r="I4350">
        <f>IF(E4350="Gmail",COUNTIF($E$2:E4350,"Gmail"),"")</f>
        <v/>
      </c>
      <c r="J4350">
        <f>IF(E4350="Outlook",COUNTIF($E$2:E4350,"Outlook"),"")</f>
        <v/>
      </c>
      <c r="K4350">
        <f>IF(E4350="Domain",COUNTIF($E$2:E4350,"Domain"),"")</f>
        <v/>
      </c>
    </row>
    <row r="4351">
      <c r="A4351" s="2" t="n"/>
      <c r="B4351">
        <f>LOWER(TRIM(A4351))</f>
        <v/>
      </c>
      <c r="C4351">
        <f>IF(B4351="","",IFERROR(INDEX('Bad Patterns'!$A$2:$A$120,MATCH(1,INDEX(--ISNUMBER(SEARCH('Bad Patterns'!$A$2:$A$120,B4351)),0),0)),""))</f>
        <v/>
      </c>
      <c r="D4351">
        <f>IF(B4351="","",IF(C4351&lt;&gt;"","REMOVE","KEEP"))</f>
        <v/>
      </c>
      <c r="E4351">
        <f>IF(D4351&lt;&gt;"KEEP","",IF(RIGHT(B4351,10)="@gmail.com","Gmail",IF(OR(RIGHT(B4351,12)="@outlook.com",RIGHT(B4351,12)="@hotmail.com",RIGHT(B4351,9)="@live.com"),"Outlook","Domain")))</f>
        <v/>
      </c>
      <c r="F4351">
        <f>IF(B4351="","",IFERROR(RIGHT(B4351,LEN(B4351)-FIND("@",B4351)),""))</f>
        <v/>
      </c>
      <c r="G4351">
        <f>IF(D4351="KEEP",COUNTIF($D$2:D4351,"KEEP"),"")</f>
        <v/>
      </c>
      <c r="H4351">
        <f>IF(D4351="REMOVE",COUNTIF($D$2:D4351,"REMOVE"),"")</f>
        <v/>
      </c>
      <c r="I4351">
        <f>IF(E4351="Gmail",COUNTIF($E$2:E4351,"Gmail"),"")</f>
        <v/>
      </c>
      <c r="J4351">
        <f>IF(E4351="Outlook",COUNTIF($E$2:E4351,"Outlook"),"")</f>
        <v/>
      </c>
      <c r="K4351">
        <f>IF(E4351="Domain",COUNTIF($E$2:E4351,"Domain"),"")</f>
        <v/>
      </c>
    </row>
    <row r="4352">
      <c r="A4352" s="2" t="n"/>
      <c r="B4352">
        <f>LOWER(TRIM(A4352))</f>
        <v/>
      </c>
      <c r="C4352">
        <f>IF(B4352="","",IFERROR(INDEX('Bad Patterns'!$A$2:$A$120,MATCH(1,INDEX(--ISNUMBER(SEARCH('Bad Patterns'!$A$2:$A$120,B4352)),0),0)),""))</f>
        <v/>
      </c>
      <c r="D4352">
        <f>IF(B4352="","",IF(C4352&lt;&gt;"","REMOVE","KEEP"))</f>
        <v/>
      </c>
      <c r="E4352">
        <f>IF(D4352&lt;&gt;"KEEP","",IF(RIGHT(B4352,10)="@gmail.com","Gmail",IF(OR(RIGHT(B4352,12)="@outlook.com",RIGHT(B4352,12)="@hotmail.com",RIGHT(B4352,9)="@live.com"),"Outlook","Domain")))</f>
        <v/>
      </c>
      <c r="F4352">
        <f>IF(B4352="","",IFERROR(RIGHT(B4352,LEN(B4352)-FIND("@",B4352)),""))</f>
        <v/>
      </c>
      <c r="G4352">
        <f>IF(D4352="KEEP",COUNTIF($D$2:D4352,"KEEP"),"")</f>
        <v/>
      </c>
      <c r="H4352">
        <f>IF(D4352="REMOVE",COUNTIF($D$2:D4352,"REMOVE"),"")</f>
        <v/>
      </c>
      <c r="I4352">
        <f>IF(E4352="Gmail",COUNTIF($E$2:E4352,"Gmail"),"")</f>
        <v/>
      </c>
      <c r="J4352">
        <f>IF(E4352="Outlook",COUNTIF($E$2:E4352,"Outlook"),"")</f>
        <v/>
      </c>
      <c r="K4352">
        <f>IF(E4352="Domain",COUNTIF($E$2:E4352,"Domain"),"")</f>
        <v/>
      </c>
    </row>
    <row r="4353">
      <c r="A4353" s="2" t="n"/>
      <c r="B4353">
        <f>LOWER(TRIM(A4353))</f>
        <v/>
      </c>
      <c r="C4353">
        <f>IF(B4353="","",IFERROR(INDEX('Bad Patterns'!$A$2:$A$120,MATCH(1,INDEX(--ISNUMBER(SEARCH('Bad Patterns'!$A$2:$A$120,B4353)),0),0)),""))</f>
        <v/>
      </c>
      <c r="D4353">
        <f>IF(B4353="","",IF(C4353&lt;&gt;"","REMOVE","KEEP"))</f>
        <v/>
      </c>
      <c r="E4353">
        <f>IF(D4353&lt;&gt;"KEEP","",IF(RIGHT(B4353,10)="@gmail.com","Gmail",IF(OR(RIGHT(B4353,12)="@outlook.com",RIGHT(B4353,12)="@hotmail.com",RIGHT(B4353,9)="@live.com"),"Outlook","Domain")))</f>
        <v/>
      </c>
      <c r="F4353">
        <f>IF(B4353="","",IFERROR(RIGHT(B4353,LEN(B4353)-FIND("@",B4353)),""))</f>
        <v/>
      </c>
      <c r="G4353">
        <f>IF(D4353="KEEP",COUNTIF($D$2:D4353,"KEEP"),"")</f>
        <v/>
      </c>
      <c r="H4353">
        <f>IF(D4353="REMOVE",COUNTIF($D$2:D4353,"REMOVE"),"")</f>
        <v/>
      </c>
      <c r="I4353">
        <f>IF(E4353="Gmail",COUNTIF($E$2:E4353,"Gmail"),"")</f>
        <v/>
      </c>
      <c r="J4353">
        <f>IF(E4353="Outlook",COUNTIF($E$2:E4353,"Outlook"),"")</f>
        <v/>
      </c>
      <c r="K4353">
        <f>IF(E4353="Domain",COUNTIF($E$2:E4353,"Domain"),"")</f>
        <v/>
      </c>
    </row>
    <row r="4354">
      <c r="A4354" s="2" t="n"/>
      <c r="B4354">
        <f>LOWER(TRIM(A4354))</f>
        <v/>
      </c>
      <c r="C4354">
        <f>IF(B4354="","",IFERROR(INDEX('Bad Patterns'!$A$2:$A$120,MATCH(1,INDEX(--ISNUMBER(SEARCH('Bad Patterns'!$A$2:$A$120,B4354)),0),0)),""))</f>
        <v/>
      </c>
      <c r="D4354">
        <f>IF(B4354="","",IF(C4354&lt;&gt;"","REMOVE","KEEP"))</f>
        <v/>
      </c>
      <c r="E4354">
        <f>IF(D4354&lt;&gt;"KEEP","",IF(RIGHT(B4354,10)="@gmail.com","Gmail",IF(OR(RIGHT(B4354,12)="@outlook.com",RIGHT(B4354,12)="@hotmail.com",RIGHT(B4354,9)="@live.com"),"Outlook","Domain")))</f>
        <v/>
      </c>
      <c r="F4354">
        <f>IF(B4354="","",IFERROR(RIGHT(B4354,LEN(B4354)-FIND("@",B4354)),""))</f>
        <v/>
      </c>
      <c r="G4354">
        <f>IF(D4354="KEEP",COUNTIF($D$2:D4354,"KEEP"),"")</f>
        <v/>
      </c>
      <c r="H4354">
        <f>IF(D4354="REMOVE",COUNTIF($D$2:D4354,"REMOVE"),"")</f>
        <v/>
      </c>
      <c r="I4354">
        <f>IF(E4354="Gmail",COUNTIF($E$2:E4354,"Gmail"),"")</f>
        <v/>
      </c>
      <c r="J4354">
        <f>IF(E4354="Outlook",COUNTIF($E$2:E4354,"Outlook"),"")</f>
        <v/>
      </c>
      <c r="K4354">
        <f>IF(E4354="Domain",COUNTIF($E$2:E4354,"Domain"),"")</f>
        <v/>
      </c>
    </row>
    <row r="4355">
      <c r="A4355" s="2" t="n"/>
      <c r="B4355">
        <f>LOWER(TRIM(A4355))</f>
        <v/>
      </c>
      <c r="C4355">
        <f>IF(B4355="","",IFERROR(INDEX('Bad Patterns'!$A$2:$A$120,MATCH(1,INDEX(--ISNUMBER(SEARCH('Bad Patterns'!$A$2:$A$120,B4355)),0),0)),""))</f>
        <v/>
      </c>
      <c r="D4355">
        <f>IF(B4355="","",IF(C4355&lt;&gt;"","REMOVE","KEEP"))</f>
        <v/>
      </c>
      <c r="E4355">
        <f>IF(D4355&lt;&gt;"KEEP","",IF(RIGHT(B4355,10)="@gmail.com","Gmail",IF(OR(RIGHT(B4355,12)="@outlook.com",RIGHT(B4355,12)="@hotmail.com",RIGHT(B4355,9)="@live.com"),"Outlook","Domain")))</f>
        <v/>
      </c>
      <c r="F4355">
        <f>IF(B4355="","",IFERROR(RIGHT(B4355,LEN(B4355)-FIND("@",B4355)),""))</f>
        <v/>
      </c>
      <c r="G4355">
        <f>IF(D4355="KEEP",COUNTIF($D$2:D4355,"KEEP"),"")</f>
        <v/>
      </c>
      <c r="H4355">
        <f>IF(D4355="REMOVE",COUNTIF($D$2:D4355,"REMOVE"),"")</f>
        <v/>
      </c>
      <c r="I4355">
        <f>IF(E4355="Gmail",COUNTIF($E$2:E4355,"Gmail"),"")</f>
        <v/>
      </c>
      <c r="J4355">
        <f>IF(E4355="Outlook",COUNTIF($E$2:E4355,"Outlook"),"")</f>
        <v/>
      </c>
      <c r="K4355">
        <f>IF(E4355="Domain",COUNTIF($E$2:E4355,"Domain"),"")</f>
        <v/>
      </c>
    </row>
    <row r="4356">
      <c r="A4356" s="2" t="n"/>
      <c r="B4356">
        <f>LOWER(TRIM(A4356))</f>
        <v/>
      </c>
      <c r="C4356">
        <f>IF(B4356="","",IFERROR(INDEX('Bad Patterns'!$A$2:$A$120,MATCH(1,INDEX(--ISNUMBER(SEARCH('Bad Patterns'!$A$2:$A$120,B4356)),0),0)),""))</f>
        <v/>
      </c>
      <c r="D4356">
        <f>IF(B4356="","",IF(C4356&lt;&gt;"","REMOVE","KEEP"))</f>
        <v/>
      </c>
      <c r="E4356">
        <f>IF(D4356&lt;&gt;"KEEP","",IF(RIGHT(B4356,10)="@gmail.com","Gmail",IF(OR(RIGHT(B4356,12)="@outlook.com",RIGHT(B4356,12)="@hotmail.com",RIGHT(B4356,9)="@live.com"),"Outlook","Domain")))</f>
        <v/>
      </c>
      <c r="F4356">
        <f>IF(B4356="","",IFERROR(RIGHT(B4356,LEN(B4356)-FIND("@",B4356)),""))</f>
        <v/>
      </c>
      <c r="G4356">
        <f>IF(D4356="KEEP",COUNTIF($D$2:D4356,"KEEP"),"")</f>
        <v/>
      </c>
      <c r="H4356">
        <f>IF(D4356="REMOVE",COUNTIF($D$2:D4356,"REMOVE"),"")</f>
        <v/>
      </c>
      <c r="I4356">
        <f>IF(E4356="Gmail",COUNTIF($E$2:E4356,"Gmail"),"")</f>
        <v/>
      </c>
      <c r="J4356">
        <f>IF(E4356="Outlook",COUNTIF($E$2:E4356,"Outlook"),"")</f>
        <v/>
      </c>
      <c r="K4356">
        <f>IF(E4356="Domain",COUNTIF($E$2:E4356,"Domain"),"")</f>
        <v/>
      </c>
    </row>
    <row r="4357">
      <c r="A4357" s="2" t="n"/>
      <c r="B4357">
        <f>LOWER(TRIM(A4357))</f>
        <v/>
      </c>
      <c r="C4357">
        <f>IF(B4357="","",IFERROR(INDEX('Bad Patterns'!$A$2:$A$120,MATCH(1,INDEX(--ISNUMBER(SEARCH('Bad Patterns'!$A$2:$A$120,B4357)),0),0)),""))</f>
        <v/>
      </c>
      <c r="D4357">
        <f>IF(B4357="","",IF(C4357&lt;&gt;"","REMOVE","KEEP"))</f>
        <v/>
      </c>
      <c r="E4357">
        <f>IF(D4357&lt;&gt;"KEEP","",IF(RIGHT(B4357,10)="@gmail.com","Gmail",IF(OR(RIGHT(B4357,12)="@outlook.com",RIGHT(B4357,12)="@hotmail.com",RIGHT(B4357,9)="@live.com"),"Outlook","Domain")))</f>
        <v/>
      </c>
      <c r="F4357">
        <f>IF(B4357="","",IFERROR(RIGHT(B4357,LEN(B4357)-FIND("@",B4357)),""))</f>
        <v/>
      </c>
      <c r="G4357">
        <f>IF(D4357="KEEP",COUNTIF($D$2:D4357,"KEEP"),"")</f>
        <v/>
      </c>
      <c r="H4357">
        <f>IF(D4357="REMOVE",COUNTIF($D$2:D4357,"REMOVE"),"")</f>
        <v/>
      </c>
      <c r="I4357">
        <f>IF(E4357="Gmail",COUNTIF($E$2:E4357,"Gmail"),"")</f>
        <v/>
      </c>
      <c r="J4357">
        <f>IF(E4357="Outlook",COUNTIF($E$2:E4357,"Outlook"),"")</f>
        <v/>
      </c>
      <c r="K4357">
        <f>IF(E4357="Domain",COUNTIF($E$2:E4357,"Domain"),"")</f>
        <v/>
      </c>
    </row>
    <row r="4358">
      <c r="A4358" s="2" t="n"/>
      <c r="B4358">
        <f>LOWER(TRIM(A4358))</f>
        <v/>
      </c>
      <c r="C4358">
        <f>IF(B4358="","",IFERROR(INDEX('Bad Patterns'!$A$2:$A$120,MATCH(1,INDEX(--ISNUMBER(SEARCH('Bad Patterns'!$A$2:$A$120,B4358)),0),0)),""))</f>
        <v/>
      </c>
      <c r="D4358">
        <f>IF(B4358="","",IF(C4358&lt;&gt;"","REMOVE","KEEP"))</f>
        <v/>
      </c>
      <c r="E4358">
        <f>IF(D4358&lt;&gt;"KEEP","",IF(RIGHT(B4358,10)="@gmail.com","Gmail",IF(OR(RIGHT(B4358,12)="@outlook.com",RIGHT(B4358,12)="@hotmail.com",RIGHT(B4358,9)="@live.com"),"Outlook","Domain")))</f>
        <v/>
      </c>
      <c r="F4358">
        <f>IF(B4358="","",IFERROR(RIGHT(B4358,LEN(B4358)-FIND("@",B4358)),""))</f>
        <v/>
      </c>
      <c r="G4358">
        <f>IF(D4358="KEEP",COUNTIF($D$2:D4358,"KEEP"),"")</f>
        <v/>
      </c>
      <c r="H4358">
        <f>IF(D4358="REMOVE",COUNTIF($D$2:D4358,"REMOVE"),"")</f>
        <v/>
      </c>
      <c r="I4358">
        <f>IF(E4358="Gmail",COUNTIF($E$2:E4358,"Gmail"),"")</f>
        <v/>
      </c>
      <c r="J4358">
        <f>IF(E4358="Outlook",COUNTIF($E$2:E4358,"Outlook"),"")</f>
        <v/>
      </c>
      <c r="K4358">
        <f>IF(E4358="Domain",COUNTIF($E$2:E4358,"Domain"),"")</f>
        <v/>
      </c>
    </row>
    <row r="4359">
      <c r="A4359" s="2" t="n"/>
      <c r="B4359">
        <f>LOWER(TRIM(A4359))</f>
        <v/>
      </c>
      <c r="C4359">
        <f>IF(B4359="","",IFERROR(INDEX('Bad Patterns'!$A$2:$A$120,MATCH(1,INDEX(--ISNUMBER(SEARCH('Bad Patterns'!$A$2:$A$120,B4359)),0),0)),""))</f>
        <v/>
      </c>
      <c r="D4359">
        <f>IF(B4359="","",IF(C4359&lt;&gt;"","REMOVE","KEEP"))</f>
        <v/>
      </c>
      <c r="E4359">
        <f>IF(D4359&lt;&gt;"KEEP","",IF(RIGHT(B4359,10)="@gmail.com","Gmail",IF(OR(RIGHT(B4359,12)="@outlook.com",RIGHT(B4359,12)="@hotmail.com",RIGHT(B4359,9)="@live.com"),"Outlook","Domain")))</f>
        <v/>
      </c>
      <c r="F4359">
        <f>IF(B4359="","",IFERROR(RIGHT(B4359,LEN(B4359)-FIND("@",B4359)),""))</f>
        <v/>
      </c>
      <c r="G4359">
        <f>IF(D4359="KEEP",COUNTIF($D$2:D4359,"KEEP"),"")</f>
        <v/>
      </c>
      <c r="H4359">
        <f>IF(D4359="REMOVE",COUNTIF($D$2:D4359,"REMOVE"),"")</f>
        <v/>
      </c>
      <c r="I4359">
        <f>IF(E4359="Gmail",COUNTIF($E$2:E4359,"Gmail"),"")</f>
        <v/>
      </c>
      <c r="J4359">
        <f>IF(E4359="Outlook",COUNTIF($E$2:E4359,"Outlook"),"")</f>
        <v/>
      </c>
      <c r="K4359">
        <f>IF(E4359="Domain",COUNTIF($E$2:E4359,"Domain"),"")</f>
        <v/>
      </c>
    </row>
    <row r="4360">
      <c r="A4360" s="2" t="n"/>
      <c r="B4360">
        <f>LOWER(TRIM(A4360))</f>
        <v/>
      </c>
      <c r="C4360">
        <f>IF(B4360="","",IFERROR(INDEX('Bad Patterns'!$A$2:$A$120,MATCH(1,INDEX(--ISNUMBER(SEARCH('Bad Patterns'!$A$2:$A$120,B4360)),0),0)),""))</f>
        <v/>
      </c>
      <c r="D4360">
        <f>IF(B4360="","",IF(C4360&lt;&gt;"","REMOVE","KEEP"))</f>
        <v/>
      </c>
      <c r="E4360">
        <f>IF(D4360&lt;&gt;"KEEP","",IF(RIGHT(B4360,10)="@gmail.com","Gmail",IF(OR(RIGHT(B4360,12)="@outlook.com",RIGHT(B4360,12)="@hotmail.com",RIGHT(B4360,9)="@live.com"),"Outlook","Domain")))</f>
        <v/>
      </c>
      <c r="F4360">
        <f>IF(B4360="","",IFERROR(RIGHT(B4360,LEN(B4360)-FIND("@",B4360)),""))</f>
        <v/>
      </c>
      <c r="G4360">
        <f>IF(D4360="KEEP",COUNTIF($D$2:D4360,"KEEP"),"")</f>
        <v/>
      </c>
      <c r="H4360">
        <f>IF(D4360="REMOVE",COUNTIF($D$2:D4360,"REMOVE"),"")</f>
        <v/>
      </c>
      <c r="I4360">
        <f>IF(E4360="Gmail",COUNTIF($E$2:E4360,"Gmail"),"")</f>
        <v/>
      </c>
      <c r="J4360">
        <f>IF(E4360="Outlook",COUNTIF($E$2:E4360,"Outlook"),"")</f>
        <v/>
      </c>
      <c r="K4360">
        <f>IF(E4360="Domain",COUNTIF($E$2:E4360,"Domain"),"")</f>
        <v/>
      </c>
    </row>
    <row r="4361">
      <c r="A4361" s="2" t="n"/>
      <c r="B4361">
        <f>LOWER(TRIM(A4361))</f>
        <v/>
      </c>
      <c r="C4361">
        <f>IF(B4361="","",IFERROR(INDEX('Bad Patterns'!$A$2:$A$120,MATCH(1,INDEX(--ISNUMBER(SEARCH('Bad Patterns'!$A$2:$A$120,B4361)),0),0)),""))</f>
        <v/>
      </c>
      <c r="D4361">
        <f>IF(B4361="","",IF(C4361&lt;&gt;"","REMOVE","KEEP"))</f>
        <v/>
      </c>
      <c r="E4361">
        <f>IF(D4361&lt;&gt;"KEEP","",IF(RIGHT(B4361,10)="@gmail.com","Gmail",IF(OR(RIGHT(B4361,12)="@outlook.com",RIGHT(B4361,12)="@hotmail.com",RIGHT(B4361,9)="@live.com"),"Outlook","Domain")))</f>
        <v/>
      </c>
      <c r="F4361">
        <f>IF(B4361="","",IFERROR(RIGHT(B4361,LEN(B4361)-FIND("@",B4361)),""))</f>
        <v/>
      </c>
      <c r="G4361">
        <f>IF(D4361="KEEP",COUNTIF($D$2:D4361,"KEEP"),"")</f>
        <v/>
      </c>
      <c r="H4361">
        <f>IF(D4361="REMOVE",COUNTIF($D$2:D4361,"REMOVE"),"")</f>
        <v/>
      </c>
      <c r="I4361">
        <f>IF(E4361="Gmail",COUNTIF($E$2:E4361,"Gmail"),"")</f>
        <v/>
      </c>
      <c r="J4361">
        <f>IF(E4361="Outlook",COUNTIF($E$2:E4361,"Outlook"),"")</f>
        <v/>
      </c>
      <c r="K4361">
        <f>IF(E4361="Domain",COUNTIF($E$2:E4361,"Domain"),"")</f>
        <v/>
      </c>
    </row>
    <row r="4362">
      <c r="A4362" s="2" t="n"/>
      <c r="B4362">
        <f>LOWER(TRIM(A4362))</f>
        <v/>
      </c>
      <c r="C4362">
        <f>IF(B4362="","",IFERROR(INDEX('Bad Patterns'!$A$2:$A$120,MATCH(1,INDEX(--ISNUMBER(SEARCH('Bad Patterns'!$A$2:$A$120,B4362)),0),0)),""))</f>
        <v/>
      </c>
      <c r="D4362">
        <f>IF(B4362="","",IF(C4362&lt;&gt;"","REMOVE","KEEP"))</f>
        <v/>
      </c>
      <c r="E4362">
        <f>IF(D4362&lt;&gt;"KEEP","",IF(RIGHT(B4362,10)="@gmail.com","Gmail",IF(OR(RIGHT(B4362,12)="@outlook.com",RIGHT(B4362,12)="@hotmail.com",RIGHT(B4362,9)="@live.com"),"Outlook","Domain")))</f>
        <v/>
      </c>
      <c r="F4362">
        <f>IF(B4362="","",IFERROR(RIGHT(B4362,LEN(B4362)-FIND("@",B4362)),""))</f>
        <v/>
      </c>
      <c r="G4362">
        <f>IF(D4362="KEEP",COUNTIF($D$2:D4362,"KEEP"),"")</f>
        <v/>
      </c>
      <c r="H4362">
        <f>IF(D4362="REMOVE",COUNTIF($D$2:D4362,"REMOVE"),"")</f>
        <v/>
      </c>
      <c r="I4362">
        <f>IF(E4362="Gmail",COUNTIF($E$2:E4362,"Gmail"),"")</f>
        <v/>
      </c>
      <c r="J4362">
        <f>IF(E4362="Outlook",COUNTIF($E$2:E4362,"Outlook"),"")</f>
        <v/>
      </c>
      <c r="K4362">
        <f>IF(E4362="Domain",COUNTIF($E$2:E4362,"Domain"),"")</f>
        <v/>
      </c>
    </row>
    <row r="4363">
      <c r="A4363" s="2" t="n"/>
      <c r="B4363">
        <f>LOWER(TRIM(A4363))</f>
        <v/>
      </c>
      <c r="C4363">
        <f>IF(B4363="","",IFERROR(INDEX('Bad Patterns'!$A$2:$A$120,MATCH(1,INDEX(--ISNUMBER(SEARCH('Bad Patterns'!$A$2:$A$120,B4363)),0),0)),""))</f>
        <v/>
      </c>
      <c r="D4363">
        <f>IF(B4363="","",IF(C4363&lt;&gt;"","REMOVE","KEEP"))</f>
        <v/>
      </c>
      <c r="E4363">
        <f>IF(D4363&lt;&gt;"KEEP","",IF(RIGHT(B4363,10)="@gmail.com","Gmail",IF(OR(RIGHT(B4363,12)="@outlook.com",RIGHT(B4363,12)="@hotmail.com",RIGHT(B4363,9)="@live.com"),"Outlook","Domain")))</f>
        <v/>
      </c>
      <c r="F4363">
        <f>IF(B4363="","",IFERROR(RIGHT(B4363,LEN(B4363)-FIND("@",B4363)),""))</f>
        <v/>
      </c>
      <c r="G4363">
        <f>IF(D4363="KEEP",COUNTIF($D$2:D4363,"KEEP"),"")</f>
        <v/>
      </c>
      <c r="H4363">
        <f>IF(D4363="REMOVE",COUNTIF($D$2:D4363,"REMOVE"),"")</f>
        <v/>
      </c>
      <c r="I4363">
        <f>IF(E4363="Gmail",COUNTIF($E$2:E4363,"Gmail"),"")</f>
        <v/>
      </c>
      <c r="J4363">
        <f>IF(E4363="Outlook",COUNTIF($E$2:E4363,"Outlook"),"")</f>
        <v/>
      </c>
      <c r="K4363">
        <f>IF(E4363="Domain",COUNTIF($E$2:E4363,"Domain"),"")</f>
        <v/>
      </c>
    </row>
    <row r="4364">
      <c r="A4364" s="2" t="n"/>
      <c r="B4364">
        <f>LOWER(TRIM(A4364))</f>
        <v/>
      </c>
      <c r="C4364">
        <f>IF(B4364="","",IFERROR(INDEX('Bad Patterns'!$A$2:$A$120,MATCH(1,INDEX(--ISNUMBER(SEARCH('Bad Patterns'!$A$2:$A$120,B4364)),0),0)),""))</f>
        <v/>
      </c>
      <c r="D4364">
        <f>IF(B4364="","",IF(C4364&lt;&gt;"","REMOVE","KEEP"))</f>
        <v/>
      </c>
      <c r="E4364">
        <f>IF(D4364&lt;&gt;"KEEP","",IF(RIGHT(B4364,10)="@gmail.com","Gmail",IF(OR(RIGHT(B4364,12)="@outlook.com",RIGHT(B4364,12)="@hotmail.com",RIGHT(B4364,9)="@live.com"),"Outlook","Domain")))</f>
        <v/>
      </c>
      <c r="F4364">
        <f>IF(B4364="","",IFERROR(RIGHT(B4364,LEN(B4364)-FIND("@",B4364)),""))</f>
        <v/>
      </c>
      <c r="G4364">
        <f>IF(D4364="KEEP",COUNTIF($D$2:D4364,"KEEP"),"")</f>
        <v/>
      </c>
      <c r="H4364">
        <f>IF(D4364="REMOVE",COUNTIF($D$2:D4364,"REMOVE"),"")</f>
        <v/>
      </c>
      <c r="I4364">
        <f>IF(E4364="Gmail",COUNTIF($E$2:E4364,"Gmail"),"")</f>
        <v/>
      </c>
      <c r="J4364">
        <f>IF(E4364="Outlook",COUNTIF($E$2:E4364,"Outlook"),"")</f>
        <v/>
      </c>
      <c r="K4364">
        <f>IF(E4364="Domain",COUNTIF($E$2:E4364,"Domain"),"")</f>
        <v/>
      </c>
    </row>
    <row r="4365">
      <c r="A4365" s="2" t="n"/>
      <c r="B4365">
        <f>LOWER(TRIM(A4365))</f>
        <v/>
      </c>
      <c r="C4365">
        <f>IF(B4365="","",IFERROR(INDEX('Bad Patterns'!$A$2:$A$120,MATCH(1,INDEX(--ISNUMBER(SEARCH('Bad Patterns'!$A$2:$A$120,B4365)),0),0)),""))</f>
        <v/>
      </c>
      <c r="D4365">
        <f>IF(B4365="","",IF(C4365&lt;&gt;"","REMOVE","KEEP"))</f>
        <v/>
      </c>
      <c r="E4365">
        <f>IF(D4365&lt;&gt;"KEEP","",IF(RIGHT(B4365,10)="@gmail.com","Gmail",IF(OR(RIGHT(B4365,12)="@outlook.com",RIGHT(B4365,12)="@hotmail.com",RIGHT(B4365,9)="@live.com"),"Outlook","Domain")))</f>
        <v/>
      </c>
      <c r="F4365">
        <f>IF(B4365="","",IFERROR(RIGHT(B4365,LEN(B4365)-FIND("@",B4365)),""))</f>
        <v/>
      </c>
      <c r="G4365">
        <f>IF(D4365="KEEP",COUNTIF($D$2:D4365,"KEEP"),"")</f>
        <v/>
      </c>
      <c r="H4365">
        <f>IF(D4365="REMOVE",COUNTIF($D$2:D4365,"REMOVE"),"")</f>
        <v/>
      </c>
      <c r="I4365">
        <f>IF(E4365="Gmail",COUNTIF($E$2:E4365,"Gmail"),"")</f>
        <v/>
      </c>
      <c r="J4365">
        <f>IF(E4365="Outlook",COUNTIF($E$2:E4365,"Outlook"),"")</f>
        <v/>
      </c>
      <c r="K4365">
        <f>IF(E4365="Domain",COUNTIF($E$2:E4365,"Domain"),"")</f>
        <v/>
      </c>
    </row>
    <row r="4366">
      <c r="A4366" s="2" t="n"/>
      <c r="B4366">
        <f>LOWER(TRIM(A4366))</f>
        <v/>
      </c>
      <c r="C4366">
        <f>IF(B4366="","",IFERROR(INDEX('Bad Patterns'!$A$2:$A$120,MATCH(1,INDEX(--ISNUMBER(SEARCH('Bad Patterns'!$A$2:$A$120,B4366)),0),0)),""))</f>
        <v/>
      </c>
      <c r="D4366">
        <f>IF(B4366="","",IF(C4366&lt;&gt;"","REMOVE","KEEP"))</f>
        <v/>
      </c>
      <c r="E4366">
        <f>IF(D4366&lt;&gt;"KEEP","",IF(RIGHT(B4366,10)="@gmail.com","Gmail",IF(OR(RIGHT(B4366,12)="@outlook.com",RIGHT(B4366,12)="@hotmail.com",RIGHT(B4366,9)="@live.com"),"Outlook","Domain")))</f>
        <v/>
      </c>
      <c r="F4366">
        <f>IF(B4366="","",IFERROR(RIGHT(B4366,LEN(B4366)-FIND("@",B4366)),""))</f>
        <v/>
      </c>
      <c r="G4366">
        <f>IF(D4366="KEEP",COUNTIF($D$2:D4366,"KEEP"),"")</f>
        <v/>
      </c>
      <c r="H4366">
        <f>IF(D4366="REMOVE",COUNTIF($D$2:D4366,"REMOVE"),"")</f>
        <v/>
      </c>
      <c r="I4366">
        <f>IF(E4366="Gmail",COUNTIF($E$2:E4366,"Gmail"),"")</f>
        <v/>
      </c>
      <c r="J4366">
        <f>IF(E4366="Outlook",COUNTIF($E$2:E4366,"Outlook"),"")</f>
        <v/>
      </c>
      <c r="K4366">
        <f>IF(E4366="Domain",COUNTIF($E$2:E4366,"Domain"),"")</f>
        <v/>
      </c>
    </row>
    <row r="4367">
      <c r="A4367" s="2" t="n"/>
      <c r="B4367">
        <f>LOWER(TRIM(A4367))</f>
        <v/>
      </c>
      <c r="C4367">
        <f>IF(B4367="","",IFERROR(INDEX('Bad Patterns'!$A$2:$A$120,MATCH(1,INDEX(--ISNUMBER(SEARCH('Bad Patterns'!$A$2:$A$120,B4367)),0),0)),""))</f>
        <v/>
      </c>
      <c r="D4367">
        <f>IF(B4367="","",IF(C4367&lt;&gt;"","REMOVE","KEEP"))</f>
        <v/>
      </c>
      <c r="E4367">
        <f>IF(D4367&lt;&gt;"KEEP","",IF(RIGHT(B4367,10)="@gmail.com","Gmail",IF(OR(RIGHT(B4367,12)="@outlook.com",RIGHT(B4367,12)="@hotmail.com",RIGHT(B4367,9)="@live.com"),"Outlook","Domain")))</f>
        <v/>
      </c>
      <c r="F4367">
        <f>IF(B4367="","",IFERROR(RIGHT(B4367,LEN(B4367)-FIND("@",B4367)),""))</f>
        <v/>
      </c>
      <c r="G4367">
        <f>IF(D4367="KEEP",COUNTIF($D$2:D4367,"KEEP"),"")</f>
        <v/>
      </c>
      <c r="H4367">
        <f>IF(D4367="REMOVE",COUNTIF($D$2:D4367,"REMOVE"),"")</f>
        <v/>
      </c>
      <c r="I4367">
        <f>IF(E4367="Gmail",COUNTIF($E$2:E4367,"Gmail"),"")</f>
        <v/>
      </c>
      <c r="J4367">
        <f>IF(E4367="Outlook",COUNTIF($E$2:E4367,"Outlook"),"")</f>
        <v/>
      </c>
      <c r="K4367">
        <f>IF(E4367="Domain",COUNTIF($E$2:E4367,"Domain"),"")</f>
        <v/>
      </c>
    </row>
    <row r="4368">
      <c r="A4368" s="2" t="n"/>
      <c r="B4368">
        <f>LOWER(TRIM(A4368))</f>
        <v/>
      </c>
      <c r="C4368">
        <f>IF(B4368="","",IFERROR(INDEX('Bad Patterns'!$A$2:$A$120,MATCH(1,INDEX(--ISNUMBER(SEARCH('Bad Patterns'!$A$2:$A$120,B4368)),0),0)),""))</f>
        <v/>
      </c>
      <c r="D4368">
        <f>IF(B4368="","",IF(C4368&lt;&gt;"","REMOVE","KEEP"))</f>
        <v/>
      </c>
      <c r="E4368">
        <f>IF(D4368&lt;&gt;"KEEP","",IF(RIGHT(B4368,10)="@gmail.com","Gmail",IF(OR(RIGHT(B4368,12)="@outlook.com",RIGHT(B4368,12)="@hotmail.com",RIGHT(B4368,9)="@live.com"),"Outlook","Domain")))</f>
        <v/>
      </c>
      <c r="F4368">
        <f>IF(B4368="","",IFERROR(RIGHT(B4368,LEN(B4368)-FIND("@",B4368)),""))</f>
        <v/>
      </c>
      <c r="G4368">
        <f>IF(D4368="KEEP",COUNTIF($D$2:D4368,"KEEP"),"")</f>
        <v/>
      </c>
      <c r="H4368">
        <f>IF(D4368="REMOVE",COUNTIF($D$2:D4368,"REMOVE"),"")</f>
        <v/>
      </c>
      <c r="I4368">
        <f>IF(E4368="Gmail",COUNTIF($E$2:E4368,"Gmail"),"")</f>
        <v/>
      </c>
      <c r="J4368">
        <f>IF(E4368="Outlook",COUNTIF($E$2:E4368,"Outlook"),"")</f>
        <v/>
      </c>
      <c r="K4368">
        <f>IF(E4368="Domain",COUNTIF($E$2:E4368,"Domain"),"")</f>
        <v/>
      </c>
    </row>
    <row r="4369">
      <c r="A4369" s="2" t="n"/>
      <c r="B4369">
        <f>LOWER(TRIM(A4369))</f>
        <v/>
      </c>
      <c r="C4369">
        <f>IF(B4369="","",IFERROR(INDEX('Bad Patterns'!$A$2:$A$120,MATCH(1,INDEX(--ISNUMBER(SEARCH('Bad Patterns'!$A$2:$A$120,B4369)),0),0)),""))</f>
        <v/>
      </c>
      <c r="D4369">
        <f>IF(B4369="","",IF(C4369&lt;&gt;"","REMOVE","KEEP"))</f>
        <v/>
      </c>
      <c r="E4369">
        <f>IF(D4369&lt;&gt;"KEEP","",IF(RIGHT(B4369,10)="@gmail.com","Gmail",IF(OR(RIGHT(B4369,12)="@outlook.com",RIGHT(B4369,12)="@hotmail.com",RIGHT(B4369,9)="@live.com"),"Outlook","Domain")))</f>
        <v/>
      </c>
      <c r="F4369">
        <f>IF(B4369="","",IFERROR(RIGHT(B4369,LEN(B4369)-FIND("@",B4369)),""))</f>
        <v/>
      </c>
      <c r="G4369">
        <f>IF(D4369="KEEP",COUNTIF($D$2:D4369,"KEEP"),"")</f>
        <v/>
      </c>
      <c r="H4369">
        <f>IF(D4369="REMOVE",COUNTIF($D$2:D4369,"REMOVE"),"")</f>
        <v/>
      </c>
      <c r="I4369">
        <f>IF(E4369="Gmail",COUNTIF($E$2:E4369,"Gmail"),"")</f>
        <v/>
      </c>
      <c r="J4369">
        <f>IF(E4369="Outlook",COUNTIF($E$2:E4369,"Outlook"),"")</f>
        <v/>
      </c>
      <c r="K4369">
        <f>IF(E4369="Domain",COUNTIF($E$2:E4369,"Domain"),"")</f>
        <v/>
      </c>
    </row>
    <row r="4370">
      <c r="A4370" s="2" t="n"/>
      <c r="B4370">
        <f>LOWER(TRIM(A4370))</f>
        <v/>
      </c>
      <c r="C4370">
        <f>IF(B4370="","",IFERROR(INDEX('Bad Patterns'!$A$2:$A$120,MATCH(1,INDEX(--ISNUMBER(SEARCH('Bad Patterns'!$A$2:$A$120,B4370)),0),0)),""))</f>
        <v/>
      </c>
      <c r="D4370">
        <f>IF(B4370="","",IF(C4370&lt;&gt;"","REMOVE","KEEP"))</f>
        <v/>
      </c>
      <c r="E4370">
        <f>IF(D4370&lt;&gt;"KEEP","",IF(RIGHT(B4370,10)="@gmail.com","Gmail",IF(OR(RIGHT(B4370,12)="@outlook.com",RIGHT(B4370,12)="@hotmail.com",RIGHT(B4370,9)="@live.com"),"Outlook","Domain")))</f>
        <v/>
      </c>
      <c r="F4370">
        <f>IF(B4370="","",IFERROR(RIGHT(B4370,LEN(B4370)-FIND("@",B4370)),""))</f>
        <v/>
      </c>
      <c r="G4370">
        <f>IF(D4370="KEEP",COUNTIF($D$2:D4370,"KEEP"),"")</f>
        <v/>
      </c>
      <c r="H4370">
        <f>IF(D4370="REMOVE",COUNTIF($D$2:D4370,"REMOVE"),"")</f>
        <v/>
      </c>
      <c r="I4370">
        <f>IF(E4370="Gmail",COUNTIF($E$2:E4370,"Gmail"),"")</f>
        <v/>
      </c>
      <c r="J4370">
        <f>IF(E4370="Outlook",COUNTIF($E$2:E4370,"Outlook"),"")</f>
        <v/>
      </c>
      <c r="K4370">
        <f>IF(E4370="Domain",COUNTIF($E$2:E4370,"Domain"),"")</f>
        <v/>
      </c>
    </row>
    <row r="4371">
      <c r="A4371" s="2" t="n"/>
      <c r="B4371">
        <f>LOWER(TRIM(A4371))</f>
        <v/>
      </c>
      <c r="C4371">
        <f>IF(B4371="","",IFERROR(INDEX('Bad Patterns'!$A$2:$A$120,MATCH(1,INDEX(--ISNUMBER(SEARCH('Bad Patterns'!$A$2:$A$120,B4371)),0),0)),""))</f>
        <v/>
      </c>
      <c r="D4371">
        <f>IF(B4371="","",IF(C4371&lt;&gt;"","REMOVE","KEEP"))</f>
        <v/>
      </c>
      <c r="E4371">
        <f>IF(D4371&lt;&gt;"KEEP","",IF(RIGHT(B4371,10)="@gmail.com","Gmail",IF(OR(RIGHT(B4371,12)="@outlook.com",RIGHT(B4371,12)="@hotmail.com",RIGHT(B4371,9)="@live.com"),"Outlook","Domain")))</f>
        <v/>
      </c>
      <c r="F4371">
        <f>IF(B4371="","",IFERROR(RIGHT(B4371,LEN(B4371)-FIND("@",B4371)),""))</f>
        <v/>
      </c>
      <c r="G4371">
        <f>IF(D4371="KEEP",COUNTIF($D$2:D4371,"KEEP"),"")</f>
        <v/>
      </c>
      <c r="H4371">
        <f>IF(D4371="REMOVE",COUNTIF($D$2:D4371,"REMOVE"),"")</f>
        <v/>
      </c>
      <c r="I4371">
        <f>IF(E4371="Gmail",COUNTIF($E$2:E4371,"Gmail"),"")</f>
        <v/>
      </c>
      <c r="J4371">
        <f>IF(E4371="Outlook",COUNTIF($E$2:E4371,"Outlook"),"")</f>
        <v/>
      </c>
      <c r="K4371">
        <f>IF(E4371="Domain",COUNTIF($E$2:E4371,"Domain"),"")</f>
        <v/>
      </c>
    </row>
    <row r="4372">
      <c r="A4372" s="2" t="n"/>
      <c r="B4372">
        <f>LOWER(TRIM(A4372))</f>
        <v/>
      </c>
      <c r="C4372">
        <f>IF(B4372="","",IFERROR(INDEX('Bad Patterns'!$A$2:$A$120,MATCH(1,INDEX(--ISNUMBER(SEARCH('Bad Patterns'!$A$2:$A$120,B4372)),0),0)),""))</f>
        <v/>
      </c>
      <c r="D4372">
        <f>IF(B4372="","",IF(C4372&lt;&gt;"","REMOVE","KEEP"))</f>
        <v/>
      </c>
      <c r="E4372">
        <f>IF(D4372&lt;&gt;"KEEP","",IF(RIGHT(B4372,10)="@gmail.com","Gmail",IF(OR(RIGHT(B4372,12)="@outlook.com",RIGHT(B4372,12)="@hotmail.com",RIGHT(B4372,9)="@live.com"),"Outlook","Domain")))</f>
        <v/>
      </c>
      <c r="F4372">
        <f>IF(B4372="","",IFERROR(RIGHT(B4372,LEN(B4372)-FIND("@",B4372)),""))</f>
        <v/>
      </c>
      <c r="G4372">
        <f>IF(D4372="KEEP",COUNTIF($D$2:D4372,"KEEP"),"")</f>
        <v/>
      </c>
      <c r="H4372">
        <f>IF(D4372="REMOVE",COUNTIF($D$2:D4372,"REMOVE"),"")</f>
        <v/>
      </c>
      <c r="I4372">
        <f>IF(E4372="Gmail",COUNTIF($E$2:E4372,"Gmail"),"")</f>
        <v/>
      </c>
      <c r="J4372">
        <f>IF(E4372="Outlook",COUNTIF($E$2:E4372,"Outlook"),"")</f>
        <v/>
      </c>
      <c r="K4372">
        <f>IF(E4372="Domain",COUNTIF($E$2:E4372,"Domain"),"")</f>
        <v/>
      </c>
    </row>
    <row r="4373">
      <c r="A4373" s="2" t="n"/>
      <c r="B4373">
        <f>LOWER(TRIM(A4373))</f>
        <v/>
      </c>
      <c r="C4373">
        <f>IF(B4373="","",IFERROR(INDEX('Bad Patterns'!$A$2:$A$120,MATCH(1,INDEX(--ISNUMBER(SEARCH('Bad Patterns'!$A$2:$A$120,B4373)),0),0)),""))</f>
        <v/>
      </c>
      <c r="D4373">
        <f>IF(B4373="","",IF(C4373&lt;&gt;"","REMOVE","KEEP"))</f>
        <v/>
      </c>
      <c r="E4373">
        <f>IF(D4373&lt;&gt;"KEEP","",IF(RIGHT(B4373,10)="@gmail.com","Gmail",IF(OR(RIGHT(B4373,12)="@outlook.com",RIGHT(B4373,12)="@hotmail.com",RIGHT(B4373,9)="@live.com"),"Outlook","Domain")))</f>
        <v/>
      </c>
      <c r="F4373">
        <f>IF(B4373="","",IFERROR(RIGHT(B4373,LEN(B4373)-FIND("@",B4373)),""))</f>
        <v/>
      </c>
      <c r="G4373">
        <f>IF(D4373="KEEP",COUNTIF($D$2:D4373,"KEEP"),"")</f>
        <v/>
      </c>
      <c r="H4373">
        <f>IF(D4373="REMOVE",COUNTIF($D$2:D4373,"REMOVE"),"")</f>
        <v/>
      </c>
      <c r="I4373">
        <f>IF(E4373="Gmail",COUNTIF($E$2:E4373,"Gmail"),"")</f>
        <v/>
      </c>
      <c r="J4373">
        <f>IF(E4373="Outlook",COUNTIF($E$2:E4373,"Outlook"),"")</f>
        <v/>
      </c>
      <c r="K4373">
        <f>IF(E4373="Domain",COUNTIF($E$2:E4373,"Domain"),"")</f>
        <v/>
      </c>
    </row>
    <row r="4374">
      <c r="A4374" s="2" t="n"/>
      <c r="B4374">
        <f>LOWER(TRIM(A4374))</f>
        <v/>
      </c>
      <c r="C4374">
        <f>IF(B4374="","",IFERROR(INDEX('Bad Patterns'!$A$2:$A$120,MATCH(1,INDEX(--ISNUMBER(SEARCH('Bad Patterns'!$A$2:$A$120,B4374)),0),0)),""))</f>
        <v/>
      </c>
      <c r="D4374">
        <f>IF(B4374="","",IF(C4374&lt;&gt;"","REMOVE","KEEP"))</f>
        <v/>
      </c>
      <c r="E4374">
        <f>IF(D4374&lt;&gt;"KEEP","",IF(RIGHT(B4374,10)="@gmail.com","Gmail",IF(OR(RIGHT(B4374,12)="@outlook.com",RIGHT(B4374,12)="@hotmail.com",RIGHT(B4374,9)="@live.com"),"Outlook","Domain")))</f>
        <v/>
      </c>
      <c r="F4374">
        <f>IF(B4374="","",IFERROR(RIGHT(B4374,LEN(B4374)-FIND("@",B4374)),""))</f>
        <v/>
      </c>
      <c r="G4374">
        <f>IF(D4374="KEEP",COUNTIF($D$2:D4374,"KEEP"),"")</f>
        <v/>
      </c>
      <c r="H4374">
        <f>IF(D4374="REMOVE",COUNTIF($D$2:D4374,"REMOVE"),"")</f>
        <v/>
      </c>
      <c r="I4374">
        <f>IF(E4374="Gmail",COUNTIF($E$2:E4374,"Gmail"),"")</f>
        <v/>
      </c>
      <c r="J4374">
        <f>IF(E4374="Outlook",COUNTIF($E$2:E4374,"Outlook"),"")</f>
        <v/>
      </c>
      <c r="K4374">
        <f>IF(E4374="Domain",COUNTIF($E$2:E4374,"Domain"),"")</f>
        <v/>
      </c>
    </row>
    <row r="4375">
      <c r="A4375" s="2" t="n"/>
      <c r="B4375">
        <f>LOWER(TRIM(A4375))</f>
        <v/>
      </c>
      <c r="C4375">
        <f>IF(B4375="","",IFERROR(INDEX('Bad Patterns'!$A$2:$A$120,MATCH(1,INDEX(--ISNUMBER(SEARCH('Bad Patterns'!$A$2:$A$120,B4375)),0),0)),""))</f>
        <v/>
      </c>
      <c r="D4375">
        <f>IF(B4375="","",IF(C4375&lt;&gt;"","REMOVE","KEEP"))</f>
        <v/>
      </c>
      <c r="E4375">
        <f>IF(D4375&lt;&gt;"KEEP","",IF(RIGHT(B4375,10)="@gmail.com","Gmail",IF(OR(RIGHT(B4375,12)="@outlook.com",RIGHT(B4375,12)="@hotmail.com",RIGHT(B4375,9)="@live.com"),"Outlook","Domain")))</f>
        <v/>
      </c>
      <c r="F4375">
        <f>IF(B4375="","",IFERROR(RIGHT(B4375,LEN(B4375)-FIND("@",B4375)),""))</f>
        <v/>
      </c>
      <c r="G4375">
        <f>IF(D4375="KEEP",COUNTIF($D$2:D4375,"KEEP"),"")</f>
        <v/>
      </c>
      <c r="H4375">
        <f>IF(D4375="REMOVE",COUNTIF($D$2:D4375,"REMOVE"),"")</f>
        <v/>
      </c>
      <c r="I4375">
        <f>IF(E4375="Gmail",COUNTIF($E$2:E4375,"Gmail"),"")</f>
        <v/>
      </c>
      <c r="J4375">
        <f>IF(E4375="Outlook",COUNTIF($E$2:E4375,"Outlook"),"")</f>
        <v/>
      </c>
      <c r="K4375">
        <f>IF(E4375="Domain",COUNTIF($E$2:E4375,"Domain"),"")</f>
        <v/>
      </c>
    </row>
    <row r="4376">
      <c r="A4376" s="2" t="n"/>
      <c r="B4376">
        <f>LOWER(TRIM(A4376))</f>
        <v/>
      </c>
      <c r="C4376">
        <f>IF(B4376="","",IFERROR(INDEX('Bad Patterns'!$A$2:$A$120,MATCH(1,INDEX(--ISNUMBER(SEARCH('Bad Patterns'!$A$2:$A$120,B4376)),0),0)),""))</f>
        <v/>
      </c>
      <c r="D4376">
        <f>IF(B4376="","",IF(C4376&lt;&gt;"","REMOVE","KEEP"))</f>
        <v/>
      </c>
      <c r="E4376">
        <f>IF(D4376&lt;&gt;"KEEP","",IF(RIGHT(B4376,10)="@gmail.com","Gmail",IF(OR(RIGHT(B4376,12)="@outlook.com",RIGHT(B4376,12)="@hotmail.com",RIGHT(B4376,9)="@live.com"),"Outlook","Domain")))</f>
        <v/>
      </c>
      <c r="F4376">
        <f>IF(B4376="","",IFERROR(RIGHT(B4376,LEN(B4376)-FIND("@",B4376)),""))</f>
        <v/>
      </c>
      <c r="G4376">
        <f>IF(D4376="KEEP",COUNTIF($D$2:D4376,"KEEP"),"")</f>
        <v/>
      </c>
      <c r="H4376">
        <f>IF(D4376="REMOVE",COUNTIF($D$2:D4376,"REMOVE"),"")</f>
        <v/>
      </c>
      <c r="I4376">
        <f>IF(E4376="Gmail",COUNTIF($E$2:E4376,"Gmail"),"")</f>
        <v/>
      </c>
      <c r="J4376">
        <f>IF(E4376="Outlook",COUNTIF($E$2:E4376,"Outlook"),"")</f>
        <v/>
      </c>
      <c r="K4376">
        <f>IF(E4376="Domain",COUNTIF($E$2:E4376,"Domain"),"")</f>
        <v/>
      </c>
    </row>
    <row r="4377">
      <c r="A4377" s="2" t="n"/>
      <c r="B4377">
        <f>LOWER(TRIM(A4377))</f>
        <v/>
      </c>
      <c r="C4377">
        <f>IF(B4377="","",IFERROR(INDEX('Bad Patterns'!$A$2:$A$120,MATCH(1,INDEX(--ISNUMBER(SEARCH('Bad Patterns'!$A$2:$A$120,B4377)),0),0)),""))</f>
        <v/>
      </c>
      <c r="D4377">
        <f>IF(B4377="","",IF(C4377&lt;&gt;"","REMOVE","KEEP"))</f>
        <v/>
      </c>
      <c r="E4377">
        <f>IF(D4377&lt;&gt;"KEEP","",IF(RIGHT(B4377,10)="@gmail.com","Gmail",IF(OR(RIGHT(B4377,12)="@outlook.com",RIGHT(B4377,12)="@hotmail.com",RIGHT(B4377,9)="@live.com"),"Outlook","Domain")))</f>
        <v/>
      </c>
      <c r="F4377">
        <f>IF(B4377="","",IFERROR(RIGHT(B4377,LEN(B4377)-FIND("@",B4377)),""))</f>
        <v/>
      </c>
      <c r="G4377">
        <f>IF(D4377="KEEP",COUNTIF($D$2:D4377,"KEEP"),"")</f>
        <v/>
      </c>
      <c r="H4377">
        <f>IF(D4377="REMOVE",COUNTIF($D$2:D4377,"REMOVE"),"")</f>
        <v/>
      </c>
      <c r="I4377">
        <f>IF(E4377="Gmail",COUNTIF($E$2:E4377,"Gmail"),"")</f>
        <v/>
      </c>
      <c r="J4377">
        <f>IF(E4377="Outlook",COUNTIF($E$2:E4377,"Outlook"),"")</f>
        <v/>
      </c>
      <c r="K4377">
        <f>IF(E4377="Domain",COUNTIF($E$2:E4377,"Domain"),"")</f>
        <v/>
      </c>
    </row>
    <row r="4378">
      <c r="A4378" s="2" t="n"/>
      <c r="B4378">
        <f>LOWER(TRIM(A4378))</f>
        <v/>
      </c>
      <c r="C4378">
        <f>IF(B4378="","",IFERROR(INDEX('Bad Patterns'!$A$2:$A$120,MATCH(1,INDEX(--ISNUMBER(SEARCH('Bad Patterns'!$A$2:$A$120,B4378)),0),0)),""))</f>
        <v/>
      </c>
      <c r="D4378">
        <f>IF(B4378="","",IF(C4378&lt;&gt;"","REMOVE","KEEP"))</f>
        <v/>
      </c>
      <c r="E4378">
        <f>IF(D4378&lt;&gt;"KEEP","",IF(RIGHT(B4378,10)="@gmail.com","Gmail",IF(OR(RIGHT(B4378,12)="@outlook.com",RIGHT(B4378,12)="@hotmail.com",RIGHT(B4378,9)="@live.com"),"Outlook","Domain")))</f>
        <v/>
      </c>
      <c r="F4378">
        <f>IF(B4378="","",IFERROR(RIGHT(B4378,LEN(B4378)-FIND("@",B4378)),""))</f>
        <v/>
      </c>
      <c r="G4378">
        <f>IF(D4378="KEEP",COUNTIF($D$2:D4378,"KEEP"),"")</f>
        <v/>
      </c>
      <c r="H4378">
        <f>IF(D4378="REMOVE",COUNTIF($D$2:D4378,"REMOVE"),"")</f>
        <v/>
      </c>
      <c r="I4378">
        <f>IF(E4378="Gmail",COUNTIF($E$2:E4378,"Gmail"),"")</f>
        <v/>
      </c>
      <c r="J4378">
        <f>IF(E4378="Outlook",COUNTIF($E$2:E4378,"Outlook"),"")</f>
        <v/>
      </c>
      <c r="K4378">
        <f>IF(E4378="Domain",COUNTIF($E$2:E4378,"Domain"),"")</f>
        <v/>
      </c>
    </row>
    <row r="4379">
      <c r="A4379" s="2" t="n"/>
      <c r="B4379">
        <f>LOWER(TRIM(A4379))</f>
        <v/>
      </c>
      <c r="C4379">
        <f>IF(B4379="","",IFERROR(INDEX('Bad Patterns'!$A$2:$A$120,MATCH(1,INDEX(--ISNUMBER(SEARCH('Bad Patterns'!$A$2:$A$120,B4379)),0),0)),""))</f>
        <v/>
      </c>
      <c r="D4379">
        <f>IF(B4379="","",IF(C4379&lt;&gt;"","REMOVE","KEEP"))</f>
        <v/>
      </c>
      <c r="E4379">
        <f>IF(D4379&lt;&gt;"KEEP","",IF(RIGHT(B4379,10)="@gmail.com","Gmail",IF(OR(RIGHT(B4379,12)="@outlook.com",RIGHT(B4379,12)="@hotmail.com",RIGHT(B4379,9)="@live.com"),"Outlook","Domain")))</f>
        <v/>
      </c>
      <c r="F4379">
        <f>IF(B4379="","",IFERROR(RIGHT(B4379,LEN(B4379)-FIND("@",B4379)),""))</f>
        <v/>
      </c>
      <c r="G4379">
        <f>IF(D4379="KEEP",COUNTIF($D$2:D4379,"KEEP"),"")</f>
        <v/>
      </c>
      <c r="H4379">
        <f>IF(D4379="REMOVE",COUNTIF($D$2:D4379,"REMOVE"),"")</f>
        <v/>
      </c>
      <c r="I4379">
        <f>IF(E4379="Gmail",COUNTIF($E$2:E4379,"Gmail"),"")</f>
        <v/>
      </c>
      <c r="J4379">
        <f>IF(E4379="Outlook",COUNTIF($E$2:E4379,"Outlook"),"")</f>
        <v/>
      </c>
      <c r="K4379">
        <f>IF(E4379="Domain",COUNTIF($E$2:E4379,"Domain"),"")</f>
        <v/>
      </c>
    </row>
    <row r="4380">
      <c r="A4380" s="2" t="n"/>
      <c r="B4380">
        <f>LOWER(TRIM(A4380))</f>
        <v/>
      </c>
      <c r="C4380">
        <f>IF(B4380="","",IFERROR(INDEX('Bad Patterns'!$A$2:$A$120,MATCH(1,INDEX(--ISNUMBER(SEARCH('Bad Patterns'!$A$2:$A$120,B4380)),0),0)),""))</f>
        <v/>
      </c>
      <c r="D4380">
        <f>IF(B4380="","",IF(C4380&lt;&gt;"","REMOVE","KEEP"))</f>
        <v/>
      </c>
      <c r="E4380">
        <f>IF(D4380&lt;&gt;"KEEP","",IF(RIGHT(B4380,10)="@gmail.com","Gmail",IF(OR(RIGHT(B4380,12)="@outlook.com",RIGHT(B4380,12)="@hotmail.com",RIGHT(B4380,9)="@live.com"),"Outlook","Domain")))</f>
        <v/>
      </c>
      <c r="F4380">
        <f>IF(B4380="","",IFERROR(RIGHT(B4380,LEN(B4380)-FIND("@",B4380)),""))</f>
        <v/>
      </c>
      <c r="G4380">
        <f>IF(D4380="KEEP",COUNTIF($D$2:D4380,"KEEP"),"")</f>
        <v/>
      </c>
      <c r="H4380">
        <f>IF(D4380="REMOVE",COUNTIF($D$2:D4380,"REMOVE"),"")</f>
        <v/>
      </c>
      <c r="I4380">
        <f>IF(E4380="Gmail",COUNTIF($E$2:E4380,"Gmail"),"")</f>
        <v/>
      </c>
      <c r="J4380">
        <f>IF(E4380="Outlook",COUNTIF($E$2:E4380,"Outlook"),"")</f>
        <v/>
      </c>
      <c r="K4380">
        <f>IF(E4380="Domain",COUNTIF($E$2:E4380,"Domain"),"")</f>
        <v/>
      </c>
    </row>
    <row r="4381">
      <c r="A4381" s="2" t="n"/>
      <c r="B4381">
        <f>LOWER(TRIM(A4381))</f>
        <v/>
      </c>
      <c r="C4381">
        <f>IF(B4381="","",IFERROR(INDEX('Bad Patterns'!$A$2:$A$120,MATCH(1,INDEX(--ISNUMBER(SEARCH('Bad Patterns'!$A$2:$A$120,B4381)),0),0)),""))</f>
        <v/>
      </c>
      <c r="D4381">
        <f>IF(B4381="","",IF(C4381&lt;&gt;"","REMOVE","KEEP"))</f>
        <v/>
      </c>
      <c r="E4381">
        <f>IF(D4381&lt;&gt;"KEEP","",IF(RIGHT(B4381,10)="@gmail.com","Gmail",IF(OR(RIGHT(B4381,12)="@outlook.com",RIGHT(B4381,12)="@hotmail.com",RIGHT(B4381,9)="@live.com"),"Outlook","Domain")))</f>
        <v/>
      </c>
      <c r="F4381">
        <f>IF(B4381="","",IFERROR(RIGHT(B4381,LEN(B4381)-FIND("@",B4381)),""))</f>
        <v/>
      </c>
      <c r="G4381">
        <f>IF(D4381="KEEP",COUNTIF($D$2:D4381,"KEEP"),"")</f>
        <v/>
      </c>
      <c r="H4381">
        <f>IF(D4381="REMOVE",COUNTIF($D$2:D4381,"REMOVE"),"")</f>
        <v/>
      </c>
      <c r="I4381">
        <f>IF(E4381="Gmail",COUNTIF($E$2:E4381,"Gmail"),"")</f>
        <v/>
      </c>
      <c r="J4381">
        <f>IF(E4381="Outlook",COUNTIF($E$2:E4381,"Outlook"),"")</f>
        <v/>
      </c>
      <c r="K4381">
        <f>IF(E4381="Domain",COUNTIF($E$2:E4381,"Domain"),"")</f>
        <v/>
      </c>
    </row>
    <row r="4382">
      <c r="A4382" s="2" t="n"/>
      <c r="B4382">
        <f>LOWER(TRIM(A4382))</f>
        <v/>
      </c>
      <c r="C4382">
        <f>IF(B4382="","",IFERROR(INDEX('Bad Patterns'!$A$2:$A$120,MATCH(1,INDEX(--ISNUMBER(SEARCH('Bad Patterns'!$A$2:$A$120,B4382)),0),0)),""))</f>
        <v/>
      </c>
      <c r="D4382">
        <f>IF(B4382="","",IF(C4382&lt;&gt;"","REMOVE","KEEP"))</f>
        <v/>
      </c>
      <c r="E4382">
        <f>IF(D4382&lt;&gt;"KEEP","",IF(RIGHT(B4382,10)="@gmail.com","Gmail",IF(OR(RIGHT(B4382,12)="@outlook.com",RIGHT(B4382,12)="@hotmail.com",RIGHT(B4382,9)="@live.com"),"Outlook","Domain")))</f>
        <v/>
      </c>
      <c r="F4382">
        <f>IF(B4382="","",IFERROR(RIGHT(B4382,LEN(B4382)-FIND("@",B4382)),""))</f>
        <v/>
      </c>
      <c r="G4382">
        <f>IF(D4382="KEEP",COUNTIF($D$2:D4382,"KEEP"),"")</f>
        <v/>
      </c>
      <c r="H4382">
        <f>IF(D4382="REMOVE",COUNTIF($D$2:D4382,"REMOVE"),"")</f>
        <v/>
      </c>
      <c r="I4382">
        <f>IF(E4382="Gmail",COUNTIF($E$2:E4382,"Gmail"),"")</f>
        <v/>
      </c>
      <c r="J4382">
        <f>IF(E4382="Outlook",COUNTIF($E$2:E4382,"Outlook"),"")</f>
        <v/>
      </c>
      <c r="K4382">
        <f>IF(E4382="Domain",COUNTIF($E$2:E4382,"Domain"),"")</f>
        <v/>
      </c>
    </row>
    <row r="4383">
      <c r="A4383" s="2" t="n"/>
      <c r="B4383">
        <f>LOWER(TRIM(A4383))</f>
        <v/>
      </c>
      <c r="C4383">
        <f>IF(B4383="","",IFERROR(INDEX('Bad Patterns'!$A$2:$A$120,MATCH(1,INDEX(--ISNUMBER(SEARCH('Bad Patterns'!$A$2:$A$120,B4383)),0),0)),""))</f>
        <v/>
      </c>
      <c r="D4383">
        <f>IF(B4383="","",IF(C4383&lt;&gt;"","REMOVE","KEEP"))</f>
        <v/>
      </c>
      <c r="E4383">
        <f>IF(D4383&lt;&gt;"KEEP","",IF(RIGHT(B4383,10)="@gmail.com","Gmail",IF(OR(RIGHT(B4383,12)="@outlook.com",RIGHT(B4383,12)="@hotmail.com",RIGHT(B4383,9)="@live.com"),"Outlook","Domain")))</f>
        <v/>
      </c>
      <c r="F4383">
        <f>IF(B4383="","",IFERROR(RIGHT(B4383,LEN(B4383)-FIND("@",B4383)),""))</f>
        <v/>
      </c>
      <c r="G4383">
        <f>IF(D4383="KEEP",COUNTIF($D$2:D4383,"KEEP"),"")</f>
        <v/>
      </c>
      <c r="H4383">
        <f>IF(D4383="REMOVE",COUNTIF($D$2:D4383,"REMOVE"),"")</f>
        <v/>
      </c>
      <c r="I4383">
        <f>IF(E4383="Gmail",COUNTIF($E$2:E4383,"Gmail"),"")</f>
        <v/>
      </c>
      <c r="J4383">
        <f>IF(E4383="Outlook",COUNTIF($E$2:E4383,"Outlook"),"")</f>
        <v/>
      </c>
      <c r="K4383">
        <f>IF(E4383="Domain",COUNTIF($E$2:E4383,"Domain"),"")</f>
        <v/>
      </c>
    </row>
    <row r="4384">
      <c r="A4384" s="2" t="n"/>
      <c r="B4384">
        <f>LOWER(TRIM(A4384))</f>
        <v/>
      </c>
      <c r="C4384">
        <f>IF(B4384="","",IFERROR(INDEX('Bad Patterns'!$A$2:$A$120,MATCH(1,INDEX(--ISNUMBER(SEARCH('Bad Patterns'!$A$2:$A$120,B4384)),0),0)),""))</f>
        <v/>
      </c>
      <c r="D4384">
        <f>IF(B4384="","",IF(C4384&lt;&gt;"","REMOVE","KEEP"))</f>
        <v/>
      </c>
      <c r="E4384">
        <f>IF(D4384&lt;&gt;"KEEP","",IF(RIGHT(B4384,10)="@gmail.com","Gmail",IF(OR(RIGHT(B4384,12)="@outlook.com",RIGHT(B4384,12)="@hotmail.com",RIGHT(B4384,9)="@live.com"),"Outlook","Domain")))</f>
        <v/>
      </c>
      <c r="F4384">
        <f>IF(B4384="","",IFERROR(RIGHT(B4384,LEN(B4384)-FIND("@",B4384)),""))</f>
        <v/>
      </c>
      <c r="G4384">
        <f>IF(D4384="KEEP",COUNTIF($D$2:D4384,"KEEP"),"")</f>
        <v/>
      </c>
      <c r="H4384">
        <f>IF(D4384="REMOVE",COUNTIF($D$2:D4384,"REMOVE"),"")</f>
        <v/>
      </c>
      <c r="I4384">
        <f>IF(E4384="Gmail",COUNTIF($E$2:E4384,"Gmail"),"")</f>
        <v/>
      </c>
      <c r="J4384">
        <f>IF(E4384="Outlook",COUNTIF($E$2:E4384,"Outlook"),"")</f>
        <v/>
      </c>
      <c r="K4384">
        <f>IF(E4384="Domain",COUNTIF($E$2:E4384,"Domain"),"")</f>
        <v/>
      </c>
    </row>
    <row r="4385">
      <c r="A4385" s="2" t="n"/>
      <c r="B4385">
        <f>LOWER(TRIM(A4385))</f>
        <v/>
      </c>
      <c r="C4385">
        <f>IF(B4385="","",IFERROR(INDEX('Bad Patterns'!$A$2:$A$120,MATCH(1,INDEX(--ISNUMBER(SEARCH('Bad Patterns'!$A$2:$A$120,B4385)),0),0)),""))</f>
        <v/>
      </c>
      <c r="D4385">
        <f>IF(B4385="","",IF(C4385&lt;&gt;"","REMOVE","KEEP"))</f>
        <v/>
      </c>
      <c r="E4385">
        <f>IF(D4385&lt;&gt;"KEEP","",IF(RIGHT(B4385,10)="@gmail.com","Gmail",IF(OR(RIGHT(B4385,12)="@outlook.com",RIGHT(B4385,12)="@hotmail.com",RIGHT(B4385,9)="@live.com"),"Outlook","Domain")))</f>
        <v/>
      </c>
      <c r="F4385">
        <f>IF(B4385="","",IFERROR(RIGHT(B4385,LEN(B4385)-FIND("@",B4385)),""))</f>
        <v/>
      </c>
      <c r="G4385">
        <f>IF(D4385="KEEP",COUNTIF($D$2:D4385,"KEEP"),"")</f>
        <v/>
      </c>
      <c r="H4385">
        <f>IF(D4385="REMOVE",COUNTIF($D$2:D4385,"REMOVE"),"")</f>
        <v/>
      </c>
      <c r="I4385">
        <f>IF(E4385="Gmail",COUNTIF($E$2:E4385,"Gmail"),"")</f>
        <v/>
      </c>
      <c r="J4385">
        <f>IF(E4385="Outlook",COUNTIF($E$2:E4385,"Outlook"),"")</f>
        <v/>
      </c>
      <c r="K4385">
        <f>IF(E4385="Domain",COUNTIF($E$2:E4385,"Domain"),"")</f>
        <v/>
      </c>
    </row>
    <row r="4386">
      <c r="A4386" s="2" t="n"/>
      <c r="B4386">
        <f>LOWER(TRIM(A4386))</f>
        <v/>
      </c>
      <c r="C4386">
        <f>IF(B4386="","",IFERROR(INDEX('Bad Patterns'!$A$2:$A$120,MATCH(1,INDEX(--ISNUMBER(SEARCH('Bad Patterns'!$A$2:$A$120,B4386)),0),0)),""))</f>
        <v/>
      </c>
      <c r="D4386">
        <f>IF(B4386="","",IF(C4386&lt;&gt;"","REMOVE","KEEP"))</f>
        <v/>
      </c>
      <c r="E4386">
        <f>IF(D4386&lt;&gt;"KEEP","",IF(RIGHT(B4386,10)="@gmail.com","Gmail",IF(OR(RIGHT(B4386,12)="@outlook.com",RIGHT(B4386,12)="@hotmail.com",RIGHT(B4386,9)="@live.com"),"Outlook","Domain")))</f>
        <v/>
      </c>
      <c r="F4386">
        <f>IF(B4386="","",IFERROR(RIGHT(B4386,LEN(B4386)-FIND("@",B4386)),""))</f>
        <v/>
      </c>
      <c r="G4386">
        <f>IF(D4386="KEEP",COUNTIF($D$2:D4386,"KEEP"),"")</f>
        <v/>
      </c>
      <c r="H4386">
        <f>IF(D4386="REMOVE",COUNTIF($D$2:D4386,"REMOVE"),"")</f>
        <v/>
      </c>
      <c r="I4386">
        <f>IF(E4386="Gmail",COUNTIF($E$2:E4386,"Gmail"),"")</f>
        <v/>
      </c>
      <c r="J4386">
        <f>IF(E4386="Outlook",COUNTIF($E$2:E4386,"Outlook"),"")</f>
        <v/>
      </c>
      <c r="K4386">
        <f>IF(E4386="Domain",COUNTIF($E$2:E4386,"Domain"),"")</f>
        <v/>
      </c>
    </row>
    <row r="4387">
      <c r="A4387" s="2" t="n"/>
      <c r="B4387">
        <f>LOWER(TRIM(A4387))</f>
        <v/>
      </c>
      <c r="C4387">
        <f>IF(B4387="","",IFERROR(INDEX('Bad Patterns'!$A$2:$A$120,MATCH(1,INDEX(--ISNUMBER(SEARCH('Bad Patterns'!$A$2:$A$120,B4387)),0),0)),""))</f>
        <v/>
      </c>
      <c r="D4387">
        <f>IF(B4387="","",IF(C4387&lt;&gt;"","REMOVE","KEEP"))</f>
        <v/>
      </c>
      <c r="E4387">
        <f>IF(D4387&lt;&gt;"KEEP","",IF(RIGHT(B4387,10)="@gmail.com","Gmail",IF(OR(RIGHT(B4387,12)="@outlook.com",RIGHT(B4387,12)="@hotmail.com",RIGHT(B4387,9)="@live.com"),"Outlook","Domain")))</f>
        <v/>
      </c>
      <c r="F4387">
        <f>IF(B4387="","",IFERROR(RIGHT(B4387,LEN(B4387)-FIND("@",B4387)),""))</f>
        <v/>
      </c>
      <c r="G4387">
        <f>IF(D4387="KEEP",COUNTIF($D$2:D4387,"KEEP"),"")</f>
        <v/>
      </c>
      <c r="H4387">
        <f>IF(D4387="REMOVE",COUNTIF($D$2:D4387,"REMOVE"),"")</f>
        <v/>
      </c>
      <c r="I4387">
        <f>IF(E4387="Gmail",COUNTIF($E$2:E4387,"Gmail"),"")</f>
        <v/>
      </c>
      <c r="J4387">
        <f>IF(E4387="Outlook",COUNTIF($E$2:E4387,"Outlook"),"")</f>
        <v/>
      </c>
      <c r="K4387">
        <f>IF(E4387="Domain",COUNTIF($E$2:E4387,"Domain"),"")</f>
        <v/>
      </c>
    </row>
    <row r="4388">
      <c r="A4388" s="2" t="n"/>
      <c r="B4388">
        <f>LOWER(TRIM(A4388))</f>
        <v/>
      </c>
      <c r="C4388">
        <f>IF(B4388="","",IFERROR(INDEX('Bad Patterns'!$A$2:$A$120,MATCH(1,INDEX(--ISNUMBER(SEARCH('Bad Patterns'!$A$2:$A$120,B4388)),0),0)),""))</f>
        <v/>
      </c>
      <c r="D4388">
        <f>IF(B4388="","",IF(C4388&lt;&gt;"","REMOVE","KEEP"))</f>
        <v/>
      </c>
      <c r="E4388">
        <f>IF(D4388&lt;&gt;"KEEP","",IF(RIGHT(B4388,10)="@gmail.com","Gmail",IF(OR(RIGHT(B4388,12)="@outlook.com",RIGHT(B4388,12)="@hotmail.com",RIGHT(B4388,9)="@live.com"),"Outlook","Domain")))</f>
        <v/>
      </c>
      <c r="F4388">
        <f>IF(B4388="","",IFERROR(RIGHT(B4388,LEN(B4388)-FIND("@",B4388)),""))</f>
        <v/>
      </c>
      <c r="G4388">
        <f>IF(D4388="KEEP",COUNTIF($D$2:D4388,"KEEP"),"")</f>
        <v/>
      </c>
      <c r="H4388">
        <f>IF(D4388="REMOVE",COUNTIF($D$2:D4388,"REMOVE"),"")</f>
        <v/>
      </c>
      <c r="I4388">
        <f>IF(E4388="Gmail",COUNTIF($E$2:E4388,"Gmail"),"")</f>
        <v/>
      </c>
      <c r="J4388">
        <f>IF(E4388="Outlook",COUNTIF($E$2:E4388,"Outlook"),"")</f>
        <v/>
      </c>
      <c r="K4388">
        <f>IF(E4388="Domain",COUNTIF($E$2:E4388,"Domain"),"")</f>
        <v/>
      </c>
    </row>
    <row r="4389">
      <c r="A4389" s="2" t="n"/>
      <c r="B4389">
        <f>LOWER(TRIM(A4389))</f>
        <v/>
      </c>
      <c r="C4389">
        <f>IF(B4389="","",IFERROR(INDEX('Bad Patterns'!$A$2:$A$120,MATCH(1,INDEX(--ISNUMBER(SEARCH('Bad Patterns'!$A$2:$A$120,B4389)),0),0)),""))</f>
        <v/>
      </c>
      <c r="D4389">
        <f>IF(B4389="","",IF(C4389&lt;&gt;"","REMOVE","KEEP"))</f>
        <v/>
      </c>
      <c r="E4389">
        <f>IF(D4389&lt;&gt;"KEEP","",IF(RIGHT(B4389,10)="@gmail.com","Gmail",IF(OR(RIGHT(B4389,12)="@outlook.com",RIGHT(B4389,12)="@hotmail.com",RIGHT(B4389,9)="@live.com"),"Outlook","Domain")))</f>
        <v/>
      </c>
      <c r="F4389">
        <f>IF(B4389="","",IFERROR(RIGHT(B4389,LEN(B4389)-FIND("@",B4389)),""))</f>
        <v/>
      </c>
      <c r="G4389">
        <f>IF(D4389="KEEP",COUNTIF($D$2:D4389,"KEEP"),"")</f>
        <v/>
      </c>
      <c r="H4389">
        <f>IF(D4389="REMOVE",COUNTIF($D$2:D4389,"REMOVE"),"")</f>
        <v/>
      </c>
      <c r="I4389">
        <f>IF(E4389="Gmail",COUNTIF($E$2:E4389,"Gmail"),"")</f>
        <v/>
      </c>
      <c r="J4389">
        <f>IF(E4389="Outlook",COUNTIF($E$2:E4389,"Outlook"),"")</f>
        <v/>
      </c>
      <c r="K4389">
        <f>IF(E4389="Domain",COUNTIF($E$2:E4389,"Domain"),"")</f>
        <v/>
      </c>
    </row>
    <row r="4390">
      <c r="A4390" s="2" t="n"/>
      <c r="B4390">
        <f>LOWER(TRIM(A4390))</f>
        <v/>
      </c>
      <c r="C4390">
        <f>IF(B4390="","",IFERROR(INDEX('Bad Patterns'!$A$2:$A$120,MATCH(1,INDEX(--ISNUMBER(SEARCH('Bad Patterns'!$A$2:$A$120,B4390)),0),0)),""))</f>
        <v/>
      </c>
      <c r="D4390">
        <f>IF(B4390="","",IF(C4390&lt;&gt;"","REMOVE","KEEP"))</f>
        <v/>
      </c>
      <c r="E4390">
        <f>IF(D4390&lt;&gt;"KEEP","",IF(RIGHT(B4390,10)="@gmail.com","Gmail",IF(OR(RIGHT(B4390,12)="@outlook.com",RIGHT(B4390,12)="@hotmail.com",RIGHT(B4390,9)="@live.com"),"Outlook","Domain")))</f>
        <v/>
      </c>
      <c r="F4390">
        <f>IF(B4390="","",IFERROR(RIGHT(B4390,LEN(B4390)-FIND("@",B4390)),""))</f>
        <v/>
      </c>
      <c r="G4390">
        <f>IF(D4390="KEEP",COUNTIF($D$2:D4390,"KEEP"),"")</f>
        <v/>
      </c>
      <c r="H4390">
        <f>IF(D4390="REMOVE",COUNTIF($D$2:D4390,"REMOVE"),"")</f>
        <v/>
      </c>
      <c r="I4390">
        <f>IF(E4390="Gmail",COUNTIF($E$2:E4390,"Gmail"),"")</f>
        <v/>
      </c>
      <c r="J4390">
        <f>IF(E4390="Outlook",COUNTIF($E$2:E4390,"Outlook"),"")</f>
        <v/>
      </c>
      <c r="K4390">
        <f>IF(E4390="Domain",COUNTIF($E$2:E4390,"Domain"),"")</f>
        <v/>
      </c>
    </row>
    <row r="4391">
      <c r="A4391" s="2" t="n"/>
      <c r="B4391">
        <f>LOWER(TRIM(A4391))</f>
        <v/>
      </c>
      <c r="C4391">
        <f>IF(B4391="","",IFERROR(INDEX('Bad Patterns'!$A$2:$A$120,MATCH(1,INDEX(--ISNUMBER(SEARCH('Bad Patterns'!$A$2:$A$120,B4391)),0),0)),""))</f>
        <v/>
      </c>
      <c r="D4391">
        <f>IF(B4391="","",IF(C4391&lt;&gt;"","REMOVE","KEEP"))</f>
        <v/>
      </c>
      <c r="E4391">
        <f>IF(D4391&lt;&gt;"KEEP","",IF(RIGHT(B4391,10)="@gmail.com","Gmail",IF(OR(RIGHT(B4391,12)="@outlook.com",RIGHT(B4391,12)="@hotmail.com",RIGHT(B4391,9)="@live.com"),"Outlook","Domain")))</f>
        <v/>
      </c>
      <c r="F4391">
        <f>IF(B4391="","",IFERROR(RIGHT(B4391,LEN(B4391)-FIND("@",B4391)),""))</f>
        <v/>
      </c>
      <c r="G4391">
        <f>IF(D4391="KEEP",COUNTIF($D$2:D4391,"KEEP"),"")</f>
        <v/>
      </c>
      <c r="H4391">
        <f>IF(D4391="REMOVE",COUNTIF($D$2:D4391,"REMOVE"),"")</f>
        <v/>
      </c>
      <c r="I4391">
        <f>IF(E4391="Gmail",COUNTIF($E$2:E4391,"Gmail"),"")</f>
        <v/>
      </c>
      <c r="J4391">
        <f>IF(E4391="Outlook",COUNTIF($E$2:E4391,"Outlook"),"")</f>
        <v/>
      </c>
      <c r="K4391">
        <f>IF(E4391="Domain",COUNTIF($E$2:E4391,"Domain"),"")</f>
        <v/>
      </c>
    </row>
    <row r="4392">
      <c r="A4392" s="2" t="n"/>
      <c r="B4392">
        <f>LOWER(TRIM(A4392))</f>
        <v/>
      </c>
      <c r="C4392">
        <f>IF(B4392="","",IFERROR(INDEX('Bad Patterns'!$A$2:$A$120,MATCH(1,INDEX(--ISNUMBER(SEARCH('Bad Patterns'!$A$2:$A$120,B4392)),0),0)),""))</f>
        <v/>
      </c>
      <c r="D4392">
        <f>IF(B4392="","",IF(C4392&lt;&gt;"","REMOVE","KEEP"))</f>
        <v/>
      </c>
      <c r="E4392">
        <f>IF(D4392&lt;&gt;"KEEP","",IF(RIGHT(B4392,10)="@gmail.com","Gmail",IF(OR(RIGHT(B4392,12)="@outlook.com",RIGHT(B4392,12)="@hotmail.com",RIGHT(B4392,9)="@live.com"),"Outlook","Domain")))</f>
        <v/>
      </c>
      <c r="F4392">
        <f>IF(B4392="","",IFERROR(RIGHT(B4392,LEN(B4392)-FIND("@",B4392)),""))</f>
        <v/>
      </c>
      <c r="G4392">
        <f>IF(D4392="KEEP",COUNTIF($D$2:D4392,"KEEP"),"")</f>
        <v/>
      </c>
      <c r="H4392">
        <f>IF(D4392="REMOVE",COUNTIF($D$2:D4392,"REMOVE"),"")</f>
        <v/>
      </c>
      <c r="I4392">
        <f>IF(E4392="Gmail",COUNTIF($E$2:E4392,"Gmail"),"")</f>
        <v/>
      </c>
      <c r="J4392">
        <f>IF(E4392="Outlook",COUNTIF($E$2:E4392,"Outlook"),"")</f>
        <v/>
      </c>
      <c r="K4392">
        <f>IF(E4392="Domain",COUNTIF($E$2:E4392,"Domain"),"")</f>
        <v/>
      </c>
    </row>
    <row r="4393">
      <c r="A4393" s="2" t="n"/>
      <c r="B4393">
        <f>LOWER(TRIM(A4393))</f>
        <v/>
      </c>
      <c r="C4393">
        <f>IF(B4393="","",IFERROR(INDEX('Bad Patterns'!$A$2:$A$120,MATCH(1,INDEX(--ISNUMBER(SEARCH('Bad Patterns'!$A$2:$A$120,B4393)),0),0)),""))</f>
        <v/>
      </c>
      <c r="D4393">
        <f>IF(B4393="","",IF(C4393&lt;&gt;"","REMOVE","KEEP"))</f>
        <v/>
      </c>
      <c r="E4393">
        <f>IF(D4393&lt;&gt;"KEEP","",IF(RIGHT(B4393,10)="@gmail.com","Gmail",IF(OR(RIGHT(B4393,12)="@outlook.com",RIGHT(B4393,12)="@hotmail.com",RIGHT(B4393,9)="@live.com"),"Outlook","Domain")))</f>
        <v/>
      </c>
      <c r="F4393">
        <f>IF(B4393="","",IFERROR(RIGHT(B4393,LEN(B4393)-FIND("@",B4393)),""))</f>
        <v/>
      </c>
      <c r="G4393">
        <f>IF(D4393="KEEP",COUNTIF($D$2:D4393,"KEEP"),"")</f>
        <v/>
      </c>
      <c r="H4393">
        <f>IF(D4393="REMOVE",COUNTIF($D$2:D4393,"REMOVE"),"")</f>
        <v/>
      </c>
      <c r="I4393">
        <f>IF(E4393="Gmail",COUNTIF($E$2:E4393,"Gmail"),"")</f>
        <v/>
      </c>
      <c r="J4393">
        <f>IF(E4393="Outlook",COUNTIF($E$2:E4393,"Outlook"),"")</f>
        <v/>
      </c>
      <c r="K4393">
        <f>IF(E4393="Domain",COUNTIF($E$2:E4393,"Domain"),"")</f>
        <v/>
      </c>
    </row>
    <row r="4394">
      <c r="A4394" s="2" t="n"/>
      <c r="B4394">
        <f>LOWER(TRIM(A4394))</f>
        <v/>
      </c>
      <c r="C4394">
        <f>IF(B4394="","",IFERROR(INDEX('Bad Patterns'!$A$2:$A$120,MATCH(1,INDEX(--ISNUMBER(SEARCH('Bad Patterns'!$A$2:$A$120,B4394)),0),0)),""))</f>
        <v/>
      </c>
      <c r="D4394">
        <f>IF(B4394="","",IF(C4394&lt;&gt;"","REMOVE","KEEP"))</f>
        <v/>
      </c>
      <c r="E4394">
        <f>IF(D4394&lt;&gt;"KEEP","",IF(RIGHT(B4394,10)="@gmail.com","Gmail",IF(OR(RIGHT(B4394,12)="@outlook.com",RIGHT(B4394,12)="@hotmail.com",RIGHT(B4394,9)="@live.com"),"Outlook","Domain")))</f>
        <v/>
      </c>
      <c r="F4394">
        <f>IF(B4394="","",IFERROR(RIGHT(B4394,LEN(B4394)-FIND("@",B4394)),""))</f>
        <v/>
      </c>
      <c r="G4394">
        <f>IF(D4394="KEEP",COUNTIF($D$2:D4394,"KEEP"),"")</f>
        <v/>
      </c>
      <c r="H4394">
        <f>IF(D4394="REMOVE",COUNTIF($D$2:D4394,"REMOVE"),"")</f>
        <v/>
      </c>
      <c r="I4394">
        <f>IF(E4394="Gmail",COUNTIF($E$2:E4394,"Gmail"),"")</f>
        <v/>
      </c>
      <c r="J4394">
        <f>IF(E4394="Outlook",COUNTIF($E$2:E4394,"Outlook"),"")</f>
        <v/>
      </c>
      <c r="K4394">
        <f>IF(E4394="Domain",COUNTIF($E$2:E4394,"Domain"),"")</f>
        <v/>
      </c>
    </row>
    <row r="4395">
      <c r="A4395" s="2" t="n"/>
      <c r="B4395">
        <f>LOWER(TRIM(A4395))</f>
        <v/>
      </c>
      <c r="C4395">
        <f>IF(B4395="","",IFERROR(INDEX('Bad Patterns'!$A$2:$A$120,MATCH(1,INDEX(--ISNUMBER(SEARCH('Bad Patterns'!$A$2:$A$120,B4395)),0),0)),""))</f>
        <v/>
      </c>
      <c r="D4395">
        <f>IF(B4395="","",IF(C4395&lt;&gt;"","REMOVE","KEEP"))</f>
        <v/>
      </c>
      <c r="E4395">
        <f>IF(D4395&lt;&gt;"KEEP","",IF(RIGHT(B4395,10)="@gmail.com","Gmail",IF(OR(RIGHT(B4395,12)="@outlook.com",RIGHT(B4395,12)="@hotmail.com",RIGHT(B4395,9)="@live.com"),"Outlook","Domain")))</f>
        <v/>
      </c>
      <c r="F4395">
        <f>IF(B4395="","",IFERROR(RIGHT(B4395,LEN(B4395)-FIND("@",B4395)),""))</f>
        <v/>
      </c>
      <c r="G4395">
        <f>IF(D4395="KEEP",COUNTIF($D$2:D4395,"KEEP"),"")</f>
        <v/>
      </c>
      <c r="H4395">
        <f>IF(D4395="REMOVE",COUNTIF($D$2:D4395,"REMOVE"),"")</f>
        <v/>
      </c>
      <c r="I4395">
        <f>IF(E4395="Gmail",COUNTIF($E$2:E4395,"Gmail"),"")</f>
        <v/>
      </c>
      <c r="J4395">
        <f>IF(E4395="Outlook",COUNTIF($E$2:E4395,"Outlook"),"")</f>
        <v/>
      </c>
      <c r="K4395">
        <f>IF(E4395="Domain",COUNTIF($E$2:E4395,"Domain"),"")</f>
        <v/>
      </c>
    </row>
    <row r="4396">
      <c r="A4396" s="2" t="n"/>
      <c r="B4396">
        <f>LOWER(TRIM(A4396))</f>
        <v/>
      </c>
      <c r="C4396">
        <f>IF(B4396="","",IFERROR(INDEX('Bad Patterns'!$A$2:$A$120,MATCH(1,INDEX(--ISNUMBER(SEARCH('Bad Patterns'!$A$2:$A$120,B4396)),0),0)),""))</f>
        <v/>
      </c>
      <c r="D4396">
        <f>IF(B4396="","",IF(C4396&lt;&gt;"","REMOVE","KEEP"))</f>
        <v/>
      </c>
      <c r="E4396">
        <f>IF(D4396&lt;&gt;"KEEP","",IF(RIGHT(B4396,10)="@gmail.com","Gmail",IF(OR(RIGHT(B4396,12)="@outlook.com",RIGHT(B4396,12)="@hotmail.com",RIGHT(B4396,9)="@live.com"),"Outlook","Domain")))</f>
        <v/>
      </c>
      <c r="F4396">
        <f>IF(B4396="","",IFERROR(RIGHT(B4396,LEN(B4396)-FIND("@",B4396)),""))</f>
        <v/>
      </c>
      <c r="G4396">
        <f>IF(D4396="KEEP",COUNTIF($D$2:D4396,"KEEP"),"")</f>
        <v/>
      </c>
      <c r="H4396">
        <f>IF(D4396="REMOVE",COUNTIF($D$2:D4396,"REMOVE"),"")</f>
        <v/>
      </c>
      <c r="I4396">
        <f>IF(E4396="Gmail",COUNTIF($E$2:E4396,"Gmail"),"")</f>
        <v/>
      </c>
      <c r="J4396">
        <f>IF(E4396="Outlook",COUNTIF($E$2:E4396,"Outlook"),"")</f>
        <v/>
      </c>
      <c r="K4396">
        <f>IF(E4396="Domain",COUNTIF($E$2:E4396,"Domain"),"")</f>
        <v/>
      </c>
    </row>
    <row r="4397">
      <c r="A4397" s="2" t="n"/>
      <c r="B4397">
        <f>LOWER(TRIM(A4397))</f>
        <v/>
      </c>
      <c r="C4397">
        <f>IF(B4397="","",IFERROR(INDEX('Bad Patterns'!$A$2:$A$120,MATCH(1,INDEX(--ISNUMBER(SEARCH('Bad Patterns'!$A$2:$A$120,B4397)),0),0)),""))</f>
        <v/>
      </c>
      <c r="D4397">
        <f>IF(B4397="","",IF(C4397&lt;&gt;"","REMOVE","KEEP"))</f>
        <v/>
      </c>
      <c r="E4397">
        <f>IF(D4397&lt;&gt;"KEEP","",IF(RIGHT(B4397,10)="@gmail.com","Gmail",IF(OR(RIGHT(B4397,12)="@outlook.com",RIGHT(B4397,12)="@hotmail.com",RIGHT(B4397,9)="@live.com"),"Outlook","Domain")))</f>
        <v/>
      </c>
      <c r="F4397">
        <f>IF(B4397="","",IFERROR(RIGHT(B4397,LEN(B4397)-FIND("@",B4397)),""))</f>
        <v/>
      </c>
      <c r="G4397">
        <f>IF(D4397="KEEP",COUNTIF($D$2:D4397,"KEEP"),"")</f>
        <v/>
      </c>
      <c r="H4397">
        <f>IF(D4397="REMOVE",COUNTIF($D$2:D4397,"REMOVE"),"")</f>
        <v/>
      </c>
      <c r="I4397">
        <f>IF(E4397="Gmail",COUNTIF($E$2:E4397,"Gmail"),"")</f>
        <v/>
      </c>
      <c r="J4397">
        <f>IF(E4397="Outlook",COUNTIF($E$2:E4397,"Outlook"),"")</f>
        <v/>
      </c>
      <c r="K4397">
        <f>IF(E4397="Domain",COUNTIF($E$2:E4397,"Domain"),"")</f>
        <v/>
      </c>
    </row>
    <row r="4398">
      <c r="A4398" s="2" t="n"/>
      <c r="B4398">
        <f>LOWER(TRIM(A4398))</f>
        <v/>
      </c>
      <c r="C4398">
        <f>IF(B4398="","",IFERROR(INDEX('Bad Patterns'!$A$2:$A$120,MATCH(1,INDEX(--ISNUMBER(SEARCH('Bad Patterns'!$A$2:$A$120,B4398)),0),0)),""))</f>
        <v/>
      </c>
      <c r="D4398">
        <f>IF(B4398="","",IF(C4398&lt;&gt;"","REMOVE","KEEP"))</f>
        <v/>
      </c>
      <c r="E4398">
        <f>IF(D4398&lt;&gt;"KEEP","",IF(RIGHT(B4398,10)="@gmail.com","Gmail",IF(OR(RIGHT(B4398,12)="@outlook.com",RIGHT(B4398,12)="@hotmail.com",RIGHT(B4398,9)="@live.com"),"Outlook","Domain")))</f>
        <v/>
      </c>
      <c r="F4398">
        <f>IF(B4398="","",IFERROR(RIGHT(B4398,LEN(B4398)-FIND("@",B4398)),""))</f>
        <v/>
      </c>
      <c r="G4398">
        <f>IF(D4398="KEEP",COUNTIF($D$2:D4398,"KEEP"),"")</f>
        <v/>
      </c>
      <c r="H4398">
        <f>IF(D4398="REMOVE",COUNTIF($D$2:D4398,"REMOVE"),"")</f>
        <v/>
      </c>
      <c r="I4398">
        <f>IF(E4398="Gmail",COUNTIF($E$2:E4398,"Gmail"),"")</f>
        <v/>
      </c>
      <c r="J4398">
        <f>IF(E4398="Outlook",COUNTIF($E$2:E4398,"Outlook"),"")</f>
        <v/>
      </c>
      <c r="K4398">
        <f>IF(E4398="Domain",COUNTIF($E$2:E4398,"Domain"),"")</f>
        <v/>
      </c>
    </row>
    <row r="4399">
      <c r="A4399" s="2" t="n"/>
      <c r="B4399">
        <f>LOWER(TRIM(A4399))</f>
        <v/>
      </c>
      <c r="C4399">
        <f>IF(B4399="","",IFERROR(INDEX('Bad Patterns'!$A$2:$A$120,MATCH(1,INDEX(--ISNUMBER(SEARCH('Bad Patterns'!$A$2:$A$120,B4399)),0),0)),""))</f>
        <v/>
      </c>
      <c r="D4399">
        <f>IF(B4399="","",IF(C4399&lt;&gt;"","REMOVE","KEEP"))</f>
        <v/>
      </c>
      <c r="E4399">
        <f>IF(D4399&lt;&gt;"KEEP","",IF(RIGHT(B4399,10)="@gmail.com","Gmail",IF(OR(RIGHT(B4399,12)="@outlook.com",RIGHT(B4399,12)="@hotmail.com",RIGHT(B4399,9)="@live.com"),"Outlook","Domain")))</f>
        <v/>
      </c>
      <c r="F4399">
        <f>IF(B4399="","",IFERROR(RIGHT(B4399,LEN(B4399)-FIND("@",B4399)),""))</f>
        <v/>
      </c>
      <c r="G4399">
        <f>IF(D4399="KEEP",COUNTIF($D$2:D4399,"KEEP"),"")</f>
        <v/>
      </c>
      <c r="H4399">
        <f>IF(D4399="REMOVE",COUNTIF($D$2:D4399,"REMOVE"),"")</f>
        <v/>
      </c>
      <c r="I4399">
        <f>IF(E4399="Gmail",COUNTIF($E$2:E4399,"Gmail"),"")</f>
        <v/>
      </c>
      <c r="J4399">
        <f>IF(E4399="Outlook",COUNTIF($E$2:E4399,"Outlook"),"")</f>
        <v/>
      </c>
      <c r="K4399">
        <f>IF(E4399="Domain",COUNTIF($E$2:E4399,"Domain"),"")</f>
        <v/>
      </c>
    </row>
    <row r="4400">
      <c r="A4400" s="2" t="n"/>
      <c r="B4400">
        <f>LOWER(TRIM(A4400))</f>
        <v/>
      </c>
      <c r="C4400">
        <f>IF(B4400="","",IFERROR(INDEX('Bad Patterns'!$A$2:$A$120,MATCH(1,INDEX(--ISNUMBER(SEARCH('Bad Patterns'!$A$2:$A$120,B4400)),0),0)),""))</f>
        <v/>
      </c>
      <c r="D4400">
        <f>IF(B4400="","",IF(C4400&lt;&gt;"","REMOVE","KEEP"))</f>
        <v/>
      </c>
      <c r="E4400">
        <f>IF(D4400&lt;&gt;"KEEP","",IF(RIGHT(B4400,10)="@gmail.com","Gmail",IF(OR(RIGHT(B4400,12)="@outlook.com",RIGHT(B4400,12)="@hotmail.com",RIGHT(B4400,9)="@live.com"),"Outlook","Domain")))</f>
        <v/>
      </c>
      <c r="F4400">
        <f>IF(B4400="","",IFERROR(RIGHT(B4400,LEN(B4400)-FIND("@",B4400)),""))</f>
        <v/>
      </c>
      <c r="G4400">
        <f>IF(D4400="KEEP",COUNTIF($D$2:D4400,"KEEP"),"")</f>
        <v/>
      </c>
      <c r="H4400">
        <f>IF(D4400="REMOVE",COUNTIF($D$2:D4400,"REMOVE"),"")</f>
        <v/>
      </c>
      <c r="I4400">
        <f>IF(E4400="Gmail",COUNTIF($E$2:E4400,"Gmail"),"")</f>
        <v/>
      </c>
      <c r="J4400">
        <f>IF(E4400="Outlook",COUNTIF($E$2:E4400,"Outlook"),"")</f>
        <v/>
      </c>
      <c r="K4400">
        <f>IF(E4400="Domain",COUNTIF($E$2:E4400,"Domain"),"")</f>
        <v/>
      </c>
    </row>
    <row r="4401">
      <c r="A4401" s="2" t="n"/>
      <c r="B4401">
        <f>LOWER(TRIM(A4401))</f>
        <v/>
      </c>
      <c r="C4401">
        <f>IF(B4401="","",IFERROR(INDEX('Bad Patterns'!$A$2:$A$120,MATCH(1,INDEX(--ISNUMBER(SEARCH('Bad Patterns'!$A$2:$A$120,B4401)),0),0)),""))</f>
        <v/>
      </c>
      <c r="D4401">
        <f>IF(B4401="","",IF(C4401&lt;&gt;"","REMOVE","KEEP"))</f>
        <v/>
      </c>
      <c r="E4401">
        <f>IF(D4401&lt;&gt;"KEEP","",IF(RIGHT(B4401,10)="@gmail.com","Gmail",IF(OR(RIGHT(B4401,12)="@outlook.com",RIGHT(B4401,12)="@hotmail.com",RIGHT(B4401,9)="@live.com"),"Outlook","Domain")))</f>
        <v/>
      </c>
      <c r="F4401">
        <f>IF(B4401="","",IFERROR(RIGHT(B4401,LEN(B4401)-FIND("@",B4401)),""))</f>
        <v/>
      </c>
      <c r="G4401">
        <f>IF(D4401="KEEP",COUNTIF($D$2:D4401,"KEEP"),"")</f>
        <v/>
      </c>
      <c r="H4401">
        <f>IF(D4401="REMOVE",COUNTIF($D$2:D4401,"REMOVE"),"")</f>
        <v/>
      </c>
      <c r="I4401">
        <f>IF(E4401="Gmail",COUNTIF($E$2:E4401,"Gmail"),"")</f>
        <v/>
      </c>
      <c r="J4401">
        <f>IF(E4401="Outlook",COUNTIF($E$2:E4401,"Outlook"),"")</f>
        <v/>
      </c>
      <c r="K4401">
        <f>IF(E4401="Domain",COUNTIF($E$2:E4401,"Domain"),"")</f>
        <v/>
      </c>
    </row>
    <row r="4402">
      <c r="A4402" s="2" t="n"/>
      <c r="B4402">
        <f>LOWER(TRIM(A4402))</f>
        <v/>
      </c>
      <c r="C4402">
        <f>IF(B4402="","",IFERROR(INDEX('Bad Patterns'!$A$2:$A$120,MATCH(1,INDEX(--ISNUMBER(SEARCH('Bad Patterns'!$A$2:$A$120,B4402)),0),0)),""))</f>
        <v/>
      </c>
      <c r="D4402">
        <f>IF(B4402="","",IF(C4402&lt;&gt;"","REMOVE","KEEP"))</f>
        <v/>
      </c>
      <c r="E4402">
        <f>IF(D4402&lt;&gt;"KEEP","",IF(RIGHT(B4402,10)="@gmail.com","Gmail",IF(OR(RIGHT(B4402,12)="@outlook.com",RIGHT(B4402,12)="@hotmail.com",RIGHT(B4402,9)="@live.com"),"Outlook","Domain")))</f>
        <v/>
      </c>
      <c r="F4402">
        <f>IF(B4402="","",IFERROR(RIGHT(B4402,LEN(B4402)-FIND("@",B4402)),""))</f>
        <v/>
      </c>
      <c r="G4402">
        <f>IF(D4402="KEEP",COUNTIF($D$2:D4402,"KEEP"),"")</f>
        <v/>
      </c>
      <c r="H4402">
        <f>IF(D4402="REMOVE",COUNTIF($D$2:D4402,"REMOVE"),"")</f>
        <v/>
      </c>
      <c r="I4402">
        <f>IF(E4402="Gmail",COUNTIF($E$2:E4402,"Gmail"),"")</f>
        <v/>
      </c>
      <c r="J4402">
        <f>IF(E4402="Outlook",COUNTIF($E$2:E4402,"Outlook"),"")</f>
        <v/>
      </c>
      <c r="K4402">
        <f>IF(E4402="Domain",COUNTIF($E$2:E4402,"Domain"),"")</f>
        <v/>
      </c>
    </row>
    <row r="4403">
      <c r="A4403" s="2" t="n"/>
      <c r="B4403">
        <f>LOWER(TRIM(A4403))</f>
        <v/>
      </c>
      <c r="C4403">
        <f>IF(B4403="","",IFERROR(INDEX('Bad Patterns'!$A$2:$A$120,MATCH(1,INDEX(--ISNUMBER(SEARCH('Bad Patterns'!$A$2:$A$120,B4403)),0),0)),""))</f>
        <v/>
      </c>
      <c r="D4403">
        <f>IF(B4403="","",IF(C4403&lt;&gt;"","REMOVE","KEEP"))</f>
        <v/>
      </c>
      <c r="E4403">
        <f>IF(D4403&lt;&gt;"KEEP","",IF(RIGHT(B4403,10)="@gmail.com","Gmail",IF(OR(RIGHT(B4403,12)="@outlook.com",RIGHT(B4403,12)="@hotmail.com",RIGHT(B4403,9)="@live.com"),"Outlook","Domain")))</f>
        <v/>
      </c>
      <c r="F4403">
        <f>IF(B4403="","",IFERROR(RIGHT(B4403,LEN(B4403)-FIND("@",B4403)),""))</f>
        <v/>
      </c>
      <c r="G4403">
        <f>IF(D4403="KEEP",COUNTIF($D$2:D4403,"KEEP"),"")</f>
        <v/>
      </c>
      <c r="H4403">
        <f>IF(D4403="REMOVE",COUNTIF($D$2:D4403,"REMOVE"),"")</f>
        <v/>
      </c>
      <c r="I4403">
        <f>IF(E4403="Gmail",COUNTIF($E$2:E4403,"Gmail"),"")</f>
        <v/>
      </c>
      <c r="J4403">
        <f>IF(E4403="Outlook",COUNTIF($E$2:E4403,"Outlook"),"")</f>
        <v/>
      </c>
      <c r="K4403">
        <f>IF(E4403="Domain",COUNTIF($E$2:E4403,"Domain"),"")</f>
        <v/>
      </c>
    </row>
    <row r="4404">
      <c r="A4404" s="2" t="n"/>
      <c r="B4404">
        <f>LOWER(TRIM(A4404))</f>
        <v/>
      </c>
      <c r="C4404">
        <f>IF(B4404="","",IFERROR(INDEX('Bad Patterns'!$A$2:$A$120,MATCH(1,INDEX(--ISNUMBER(SEARCH('Bad Patterns'!$A$2:$A$120,B4404)),0),0)),""))</f>
        <v/>
      </c>
      <c r="D4404">
        <f>IF(B4404="","",IF(C4404&lt;&gt;"","REMOVE","KEEP"))</f>
        <v/>
      </c>
      <c r="E4404">
        <f>IF(D4404&lt;&gt;"KEEP","",IF(RIGHT(B4404,10)="@gmail.com","Gmail",IF(OR(RIGHT(B4404,12)="@outlook.com",RIGHT(B4404,12)="@hotmail.com",RIGHT(B4404,9)="@live.com"),"Outlook","Domain")))</f>
        <v/>
      </c>
      <c r="F4404">
        <f>IF(B4404="","",IFERROR(RIGHT(B4404,LEN(B4404)-FIND("@",B4404)),""))</f>
        <v/>
      </c>
      <c r="G4404">
        <f>IF(D4404="KEEP",COUNTIF($D$2:D4404,"KEEP"),"")</f>
        <v/>
      </c>
      <c r="H4404">
        <f>IF(D4404="REMOVE",COUNTIF($D$2:D4404,"REMOVE"),"")</f>
        <v/>
      </c>
      <c r="I4404">
        <f>IF(E4404="Gmail",COUNTIF($E$2:E4404,"Gmail"),"")</f>
        <v/>
      </c>
      <c r="J4404">
        <f>IF(E4404="Outlook",COUNTIF($E$2:E4404,"Outlook"),"")</f>
        <v/>
      </c>
      <c r="K4404">
        <f>IF(E4404="Domain",COUNTIF($E$2:E4404,"Domain"),"")</f>
        <v/>
      </c>
    </row>
    <row r="4405">
      <c r="A4405" s="2" t="n"/>
      <c r="B4405">
        <f>LOWER(TRIM(A4405))</f>
        <v/>
      </c>
      <c r="C4405">
        <f>IF(B4405="","",IFERROR(INDEX('Bad Patterns'!$A$2:$A$120,MATCH(1,INDEX(--ISNUMBER(SEARCH('Bad Patterns'!$A$2:$A$120,B4405)),0),0)),""))</f>
        <v/>
      </c>
      <c r="D4405">
        <f>IF(B4405="","",IF(C4405&lt;&gt;"","REMOVE","KEEP"))</f>
        <v/>
      </c>
      <c r="E4405">
        <f>IF(D4405&lt;&gt;"KEEP","",IF(RIGHT(B4405,10)="@gmail.com","Gmail",IF(OR(RIGHT(B4405,12)="@outlook.com",RIGHT(B4405,12)="@hotmail.com",RIGHT(B4405,9)="@live.com"),"Outlook","Domain")))</f>
        <v/>
      </c>
      <c r="F4405">
        <f>IF(B4405="","",IFERROR(RIGHT(B4405,LEN(B4405)-FIND("@",B4405)),""))</f>
        <v/>
      </c>
      <c r="G4405">
        <f>IF(D4405="KEEP",COUNTIF($D$2:D4405,"KEEP"),"")</f>
        <v/>
      </c>
      <c r="H4405">
        <f>IF(D4405="REMOVE",COUNTIF($D$2:D4405,"REMOVE"),"")</f>
        <v/>
      </c>
      <c r="I4405">
        <f>IF(E4405="Gmail",COUNTIF($E$2:E4405,"Gmail"),"")</f>
        <v/>
      </c>
      <c r="J4405">
        <f>IF(E4405="Outlook",COUNTIF($E$2:E4405,"Outlook"),"")</f>
        <v/>
      </c>
      <c r="K4405">
        <f>IF(E4405="Domain",COUNTIF($E$2:E4405,"Domain"),"")</f>
        <v/>
      </c>
    </row>
    <row r="4406">
      <c r="A4406" s="2" t="n"/>
      <c r="B4406">
        <f>LOWER(TRIM(A4406))</f>
        <v/>
      </c>
      <c r="C4406">
        <f>IF(B4406="","",IFERROR(INDEX('Bad Patterns'!$A$2:$A$120,MATCH(1,INDEX(--ISNUMBER(SEARCH('Bad Patterns'!$A$2:$A$120,B4406)),0),0)),""))</f>
        <v/>
      </c>
      <c r="D4406">
        <f>IF(B4406="","",IF(C4406&lt;&gt;"","REMOVE","KEEP"))</f>
        <v/>
      </c>
      <c r="E4406">
        <f>IF(D4406&lt;&gt;"KEEP","",IF(RIGHT(B4406,10)="@gmail.com","Gmail",IF(OR(RIGHT(B4406,12)="@outlook.com",RIGHT(B4406,12)="@hotmail.com",RIGHT(B4406,9)="@live.com"),"Outlook","Domain")))</f>
        <v/>
      </c>
      <c r="F4406">
        <f>IF(B4406="","",IFERROR(RIGHT(B4406,LEN(B4406)-FIND("@",B4406)),""))</f>
        <v/>
      </c>
      <c r="G4406">
        <f>IF(D4406="KEEP",COUNTIF($D$2:D4406,"KEEP"),"")</f>
        <v/>
      </c>
      <c r="H4406">
        <f>IF(D4406="REMOVE",COUNTIF($D$2:D4406,"REMOVE"),"")</f>
        <v/>
      </c>
      <c r="I4406">
        <f>IF(E4406="Gmail",COUNTIF($E$2:E4406,"Gmail"),"")</f>
        <v/>
      </c>
      <c r="J4406">
        <f>IF(E4406="Outlook",COUNTIF($E$2:E4406,"Outlook"),"")</f>
        <v/>
      </c>
      <c r="K4406">
        <f>IF(E4406="Domain",COUNTIF($E$2:E4406,"Domain"),"")</f>
        <v/>
      </c>
    </row>
    <row r="4407">
      <c r="A4407" s="2" t="n"/>
      <c r="B4407">
        <f>LOWER(TRIM(A4407))</f>
        <v/>
      </c>
      <c r="C4407">
        <f>IF(B4407="","",IFERROR(INDEX('Bad Patterns'!$A$2:$A$120,MATCH(1,INDEX(--ISNUMBER(SEARCH('Bad Patterns'!$A$2:$A$120,B4407)),0),0)),""))</f>
        <v/>
      </c>
      <c r="D4407">
        <f>IF(B4407="","",IF(C4407&lt;&gt;"","REMOVE","KEEP"))</f>
        <v/>
      </c>
      <c r="E4407">
        <f>IF(D4407&lt;&gt;"KEEP","",IF(RIGHT(B4407,10)="@gmail.com","Gmail",IF(OR(RIGHT(B4407,12)="@outlook.com",RIGHT(B4407,12)="@hotmail.com",RIGHT(B4407,9)="@live.com"),"Outlook","Domain")))</f>
        <v/>
      </c>
      <c r="F4407">
        <f>IF(B4407="","",IFERROR(RIGHT(B4407,LEN(B4407)-FIND("@",B4407)),""))</f>
        <v/>
      </c>
      <c r="G4407">
        <f>IF(D4407="KEEP",COUNTIF($D$2:D4407,"KEEP"),"")</f>
        <v/>
      </c>
      <c r="H4407">
        <f>IF(D4407="REMOVE",COUNTIF($D$2:D4407,"REMOVE"),"")</f>
        <v/>
      </c>
      <c r="I4407">
        <f>IF(E4407="Gmail",COUNTIF($E$2:E4407,"Gmail"),"")</f>
        <v/>
      </c>
      <c r="J4407">
        <f>IF(E4407="Outlook",COUNTIF($E$2:E4407,"Outlook"),"")</f>
        <v/>
      </c>
      <c r="K4407">
        <f>IF(E4407="Domain",COUNTIF($E$2:E4407,"Domain"),"")</f>
        <v/>
      </c>
    </row>
    <row r="4408">
      <c r="A4408" s="2" t="n"/>
      <c r="B4408">
        <f>LOWER(TRIM(A4408))</f>
        <v/>
      </c>
      <c r="C4408">
        <f>IF(B4408="","",IFERROR(INDEX('Bad Patterns'!$A$2:$A$120,MATCH(1,INDEX(--ISNUMBER(SEARCH('Bad Patterns'!$A$2:$A$120,B4408)),0),0)),""))</f>
        <v/>
      </c>
      <c r="D4408">
        <f>IF(B4408="","",IF(C4408&lt;&gt;"","REMOVE","KEEP"))</f>
        <v/>
      </c>
      <c r="E4408">
        <f>IF(D4408&lt;&gt;"KEEP","",IF(RIGHT(B4408,10)="@gmail.com","Gmail",IF(OR(RIGHT(B4408,12)="@outlook.com",RIGHT(B4408,12)="@hotmail.com",RIGHT(B4408,9)="@live.com"),"Outlook","Domain")))</f>
        <v/>
      </c>
      <c r="F4408">
        <f>IF(B4408="","",IFERROR(RIGHT(B4408,LEN(B4408)-FIND("@",B4408)),""))</f>
        <v/>
      </c>
      <c r="G4408">
        <f>IF(D4408="KEEP",COUNTIF($D$2:D4408,"KEEP"),"")</f>
        <v/>
      </c>
      <c r="H4408">
        <f>IF(D4408="REMOVE",COUNTIF($D$2:D4408,"REMOVE"),"")</f>
        <v/>
      </c>
      <c r="I4408">
        <f>IF(E4408="Gmail",COUNTIF($E$2:E4408,"Gmail"),"")</f>
        <v/>
      </c>
      <c r="J4408">
        <f>IF(E4408="Outlook",COUNTIF($E$2:E4408,"Outlook"),"")</f>
        <v/>
      </c>
      <c r="K4408">
        <f>IF(E4408="Domain",COUNTIF($E$2:E4408,"Domain"),"")</f>
        <v/>
      </c>
    </row>
    <row r="4409">
      <c r="A4409" s="2" t="n"/>
      <c r="B4409">
        <f>LOWER(TRIM(A4409))</f>
        <v/>
      </c>
      <c r="C4409">
        <f>IF(B4409="","",IFERROR(INDEX('Bad Patterns'!$A$2:$A$120,MATCH(1,INDEX(--ISNUMBER(SEARCH('Bad Patterns'!$A$2:$A$120,B4409)),0),0)),""))</f>
        <v/>
      </c>
      <c r="D4409">
        <f>IF(B4409="","",IF(C4409&lt;&gt;"","REMOVE","KEEP"))</f>
        <v/>
      </c>
      <c r="E4409">
        <f>IF(D4409&lt;&gt;"KEEP","",IF(RIGHT(B4409,10)="@gmail.com","Gmail",IF(OR(RIGHT(B4409,12)="@outlook.com",RIGHT(B4409,12)="@hotmail.com",RIGHT(B4409,9)="@live.com"),"Outlook","Domain")))</f>
        <v/>
      </c>
      <c r="F4409">
        <f>IF(B4409="","",IFERROR(RIGHT(B4409,LEN(B4409)-FIND("@",B4409)),""))</f>
        <v/>
      </c>
      <c r="G4409">
        <f>IF(D4409="KEEP",COUNTIF($D$2:D4409,"KEEP"),"")</f>
        <v/>
      </c>
      <c r="H4409">
        <f>IF(D4409="REMOVE",COUNTIF($D$2:D4409,"REMOVE"),"")</f>
        <v/>
      </c>
      <c r="I4409">
        <f>IF(E4409="Gmail",COUNTIF($E$2:E4409,"Gmail"),"")</f>
        <v/>
      </c>
      <c r="J4409">
        <f>IF(E4409="Outlook",COUNTIF($E$2:E4409,"Outlook"),"")</f>
        <v/>
      </c>
      <c r="K4409">
        <f>IF(E4409="Domain",COUNTIF($E$2:E4409,"Domain"),"")</f>
        <v/>
      </c>
    </row>
    <row r="4410">
      <c r="A4410" s="2" t="n"/>
      <c r="B4410">
        <f>LOWER(TRIM(A4410))</f>
        <v/>
      </c>
      <c r="C4410">
        <f>IF(B4410="","",IFERROR(INDEX('Bad Patterns'!$A$2:$A$120,MATCH(1,INDEX(--ISNUMBER(SEARCH('Bad Patterns'!$A$2:$A$120,B4410)),0),0)),""))</f>
        <v/>
      </c>
      <c r="D4410">
        <f>IF(B4410="","",IF(C4410&lt;&gt;"","REMOVE","KEEP"))</f>
        <v/>
      </c>
      <c r="E4410">
        <f>IF(D4410&lt;&gt;"KEEP","",IF(RIGHT(B4410,10)="@gmail.com","Gmail",IF(OR(RIGHT(B4410,12)="@outlook.com",RIGHT(B4410,12)="@hotmail.com",RIGHT(B4410,9)="@live.com"),"Outlook","Domain")))</f>
        <v/>
      </c>
      <c r="F4410">
        <f>IF(B4410="","",IFERROR(RIGHT(B4410,LEN(B4410)-FIND("@",B4410)),""))</f>
        <v/>
      </c>
      <c r="G4410">
        <f>IF(D4410="KEEP",COUNTIF($D$2:D4410,"KEEP"),"")</f>
        <v/>
      </c>
      <c r="H4410">
        <f>IF(D4410="REMOVE",COUNTIF($D$2:D4410,"REMOVE"),"")</f>
        <v/>
      </c>
      <c r="I4410">
        <f>IF(E4410="Gmail",COUNTIF($E$2:E4410,"Gmail"),"")</f>
        <v/>
      </c>
      <c r="J4410">
        <f>IF(E4410="Outlook",COUNTIF($E$2:E4410,"Outlook"),"")</f>
        <v/>
      </c>
      <c r="K4410">
        <f>IF(E4410="Domain",COUNTIF($E$2:E4410,"Domain"),"")</f>
        <v/>
      </c>
    </row>
    <row r="4411">
      <c r="A4411" s="2" t="n"/>
      <c r="B4411">
        <f>LOWER(TRIM(A4411))</f>
        <v/>
      </c>
      <c r="C4411">
        <f>IF(B4411="","",IFERROR(INDEX('Bad Patterns'!$A$2:$A$120,MATCH(1,INDEX(--ISNUMBER(SEARCH('Bad Patterns'!$A$2:$A$120,B4411)),0),0)),""))</f>
        <v/>
      </c>
      <c r="D4411">
        <f>IF(B4411="","",IF(C4411&lt;&gt;"","REMOVE","KEEP"))</f>
        <v/>
      </c>
      <c r="E4411">
        <f>IF(D4411&lt;&gt;"KEEP","",IF(RIGHT(B4411,10)="@gmail.com","Gmail",IF(OR(RIGHT(B4411,12)="@outlook.com",RIGHT(B4411,12)="@hotmail.com",RIGHT(B4411,9)="@live.com"),"Outlook","Domain")))</f>
        <v/>
      </c>
      <c r="F4411">
        <f>IF(B4411="","",IFERROR(RIGHT(B4411,LEN(B4411)-FIND("@",B4411)),""))</f>
        <v/>
      </c>
      <c r="G4411">
        <f>IF(D4411="KEEP",COUNTIF($D$2:D4411,"KEEP"),"")</f>
        <v/>
      </c>
      <c r="H4411">
        <f>IF(D4411="REMOVE",COUNTIF($D$2:D4411,"REMOVE"),"")</f>
        <v/>
      </c>
      <c r="I4411">
        <f>IF(E4411="Gmail",COUNTIF($E$2:E4411,"Gmail"),"")</f>
        <v/>
      </c>
      <c r="J4411">
        <f>IF(E4411="Outlook",COUNTIF($E$2:E4411,"Outlook"),"")</f>
        <v/>
      </c>
      <c r="K4411">
        <f>IF(E4411="Domain",COUNTIF($E$2:E4411,"Domain"),"")</f>
        <v/>
      </c>
    </row>
    <row r="4412">
      <c r="A4412" s="2" t="n"/>
      <c r="B4412">
        <f>LOWER(TRIM(A4412))</f>
        <v/>
      </c>
      <c r="C4412">
        <f>IF(B4412="","",IFERROR(INDEX('Bad Patterns'!$A$2:$A$120,MATCH(1,INDEX(--ISNUMBER(SEARCH('Bad Patterns'!$A$2:$A$120,B4412)),0),0)),""))</f>
        <v/>
      </c>
      <c r="D4412">
        <f>IF(B4412="","",IF(C4412&lt;&gt;"","REMOVE","KEEP"))</f>
        <v/>
      </c>
      <c r="E4412">
        <f>IF(D4412&lt;&gt;"KEEP","",IF(RIGHT(B4412,10)="@gmail.com","Gmail",IF(OR(RIGHT(B4412,12)="@outlook.com",RIGHT(B4412,12)="@hotmail.com",RIGHT(B4412,9)="@live.com"),"Outlook","Domain")))</f>
        <v/>
      </c>
      <c r="F4412">
        <f>IF(B4412="","",IFERROR(RIGHT(B4412,LEN(B4412)-FIND("@",B4412)),""))</f>
        <v/>
      </c>
      <c r="G4412">
        <f>IF(D4412="KEEP",COUNTIF($D$2:D4412,"KEEP"),"")</f>
        <v/>
      </c>
      <c r="H4412">
        <f>IF(D4412="REMOVE",COUNTIF($D$2:D4412,"REMOVE"),"")</f>
        <v/>
      </c>
      <c r="I4412">
        <f>IF(E4412="Gmail",COUNTIF($E$2:E4412,"Gmail"),"")</f>
        <v/>
      </c>
      <c r="J4412">
        <f>IF(E4412="Outlook",COUNTIF($E$2:E4412,"Outlook"),"")</f>
        <v/>
      </c>
      <c r="K4412">
        <f>IF(E4412="Domain",COUNTIF($E$2:E4412,"Domain"),"")</f>
        <v/>
      </c>
    </row>
    <row r="4413">
      <c r="A4413" s="2" t="n"/>
      <c r="B4413">
        <f>LOWER(TRIM(A4413))</f>
        <v/>
      </c>
      <c r="C4413">
        <f>IF(B4413="","",IFERROR(INDEX('Bad Patterns'!$A$2:$A$120,MATCH(1,INDEX(--ISNUMBER(SEARCH('Bad Patterns'!$A$2:$A$120,B4413)),0),0)),""))</f>
        <v/>
      </c>
      <c r="D4413">
        <f>IF(B4413="","",IF(C4413&lt;&gt;"","REMOVE","KEEP"))</f>
        <v/>
      </c>
      <c r="E4413">
        <f>IF(D4413&lt;&gt;"KEEP","",IF(RIGHT(B4413,10)="@gmail.com","Gmail",IF(OR(RIGHT(B4413,12)="@outlook.com",RIGHT(B4413,12)="@hotmail.com",RIGHT(B4413,9)="@live.com"),"Outlook","Domain")))</f>
        <v/>
      </c>
      <c r="F4413">
        <f>IF(B4413="","",IFERROR(RIGHT(B4413,LEN(B4413)-FIND("@",B4413)),""))</f>
        <v/>
      </c>
      <c r="G4413">
        <f>IF(D4413="KEEP",COUNTIF($D$2:D4413,"KEEP"),"")</f>
        <v/>
      </c>
      <c r="H4413">
        <f>IF(D4413="REMOVE",COUNTIF($D$2:D4413,"REMOVE"),"")</f>
        <v/>
      </c>
      <c r="I4413">
        <f>IF(E4413="Gmail",COUNTIF($E$2:E4413,"Gmail"),"")</f>
        <v/>
      </c>
      <c r="J4413">
        <f>IF(E4413="Outlook",COUNTIF($E$2:E4413,"Outlook"),"")</f>
        <v/>
      </c>
      <c r="K4413">
        <f>IF(E4413="Domain",COUNTIF($E$2:E4413,"Domain"),"")</f>
        <v/>
      </c>
    </row>
    <row r="4414">
      <c r="A4414" s="2" t="n"/>
      <c r="B4414">
        <f>LOWER(TRIM(A4414))</f>
        <v/>
      </c>
      <c r="C4414">
        <f>IF(B4414="","",IFERROR(INDEX('Bad Patterns'!$A$2:$A$120,MATCH(1,INDEX(--ISNUMBER(SEARCH('Bad Patterns'!$A$2:$A$120,B4414)),0),0)),""))</f>
        <v/>
      </c>
      <c r="D4414">
        <f>IF(B4414="","",IF(C4414&lt;&gt;"","REMOVE","KEEP"))</f>
        <v/>
      </c>
      <c r="E4414">
        <f>IF(D4414&lt;&gt;"KEEP","",IF(RIGHT(B4414,10)="@gmail.com","Gmail",IF(OR(RIGHT(B4414,12)="@outlook.com",RIGHT(B4414,12)="@hotmail.com",RIGHT(B4414,9)="@live.com"),"Outlook","Domain")))</f>
        <v/>
      </c>
      <c r="F4414">
        <f>IF(B4414="","",IFERROR(RIGHT(B4414,LEN(B4414)-FIND("@",B4414)),""))</f>
        <v/>
      </c>
      <c r="G4414">
        <f>IF(D4414="KEEP",COUNTIF($D$2:D4414,"KEEP"),"")</f>
        <v/>
      </c>
      <c r="H4414">
        <f>IF(D4414="REMOVE",COUNTIF($D$2:D4414,"REMOVE"),"")</f>
        <v/>
      </c>
      <c r="I4414">
        <f>IF(E4414="Gmail",COUNTIF($E$2:E4414,"Gmail"),"")</f>
        <v/>
      </c>
      <c r="J4414">
        <f>IF(E4414="Outlook",COUNTIF($E$2:E4414,"Outlook"),"")</f>
        <v/>
      </c>
      <c r="K4414">
        <f>IF(E4414="Domain",COUNTIF($E$2:E4414,"Domain"),"")</f>
        <v/>
      </c>
    </row>
    <row r="4415">
      <c r="A4415" s="2" t="n"/>
      <c r="B4415">
        <f>LOWER(TRIM(A4415))</f>
        <v/>
      </c>
      <c r="C4415">
        <f>IF(B4415="","",IFERROR(INDEX('Bad Patterns'!$A$2:$A$120,MATCH(1,INDEX(--ISNUMBER(SEARCH('Bad Patterns'!$A$2:$A$120,B4415)),0),0)),""))</f>
        <v/>
      </c>
      <c r="D4415">
        <f>IF(B4415="","",IF(C4415&lt;&gt;"","REMOVE","KEEP"))</f>
        <v/>
      </c>
      <c r="E4415">
        <f>IF(D4415&lt;&gt;"KEEP","",IF(RIGHT(B4415,10)="@gmail.com","Gmail",IF(OR(RIGHT(B4415,12)="@outlook.com",RIGHT(B4415,12)="@hotmail.com",RIGHT(B4415,9)="@live.com"),"Outlook","Domain")))</f>
        <v/>
      </c>
      <c r="F4415">
        <f>IF(B4415="","",IFERROR(RIGHT(B4415,LEN(B4415)-FIND("@",B4415)),""))</f>
        <v/>
      </c>
      <c r="G4415">
        <f>IF(D4415="KEEP",COUNTIF($D$2:D4415,"KEEP"),"")</f>
        <v/>
      </c>
      <c r="H4415">
        <f>IF(D4415="REMOVE",COUNTIF($D$2:D4415,"REMOVE"),"")</f>
        <v/>
      </c>
      <c r="I4415">
        <f>IF(E4415="Gmail",COUNTIF($E$2:E4415,"Gmail"),"")</f>
        <v/>
      </c>
      <c r="J4415">
        <f>IF(E4415="Outlook",COUNTIF($E$2:E4415,"Outlook"),"")</f>
        <v/>
      </c>
      <c r="K4415">
        <f>IF(E4415="Domain",COUNTIF($E$2:E4415,"Domain"),"")</f>
        <v/>
      </c>
    </row>
    <row r="4416">
      <c r="A4416" s="2" t="n"/>
      <c r="B4416">
        <f>LOWER(TRIM(A4416))</f>
        <v/>
      </c>
      <c r="C4416">
        <f>IF(B4416="","",IFERROR(INDEX('Bad Patterns'!$A$2:$A$120,MATCH(1,INDEX(--ISNUMBER(SEARCH('Bad Patterns'!$A$2:$A$120,B4416)),0),0)),""))</f>
        <v/>
      </c>
      <c r="D4416">
        <f>IF(B4416="","",IF(C4416&lt;&gt;"","REMOVE","KEEP"))</f>
        <v/>
      </c>
      <c r="E4416">
        <f>IF(D4416&lt;&gt;"KEEP","",IF(RIGHT(B4416,10)="@gmail.com","Gmail",IF(OR(RIGHT(B4416,12)="@outlook.com",RIGHT(B4416,12)="@hotmail.com",RIGHT(B4416,9)="@live.com"),"Outlook","Domain")))</f>
        <v/>
      </c>
      <c r="F4416">
        <f>IF(B4416="","",IFERROR(RIGHT(B4416,LEN(B4416)-FIND("@",B4416)),""))</f>
        <v/>
      </c>
      <c r="G4416">
        <f>IF(D4416="KEEP",COUNTIF($D$2:D4416,"KEEP"),"")</f>
        <v/>
      </c>
      <c r="H4416">
        <f>IF(D4416="REMOVE",COUNTIF($D$2:D4416,"REMOVE"),"")</f>
        <v/>
      </c>
      <c r="I4416">
        <f>IF(E4416="Gmail",COUNTIF($E$2:E4416,"Gmail"),"")</f>
        <v/>
      </c>
      <c r="J4416">
        <f>IF(E4416="Outlook",COUNTIF($E$2:E4416,"Outlook"),"")</f>
        <v/>
      </c>
      <c r="K4416">
        <f>IF(E4416="Domain",COUNTIF($E$2:E4416,"Domain"),"")</f>
        <v/>
      </c>
    </row>
    <row r="4417">
      <c r="A4417" s="2" t="n"/>
      <c r="B4417">
        <f>LOWER(TRIM(A4417))</f>
        <v/>
      </c>
      <c r="C4417">
        <f>IF(B4417="","",IFERROR(INDEX('Bad Patterns'!$A$2:$A$120,MATCH(1,INDEX(--ISNUMBER(SEARCH('Bad Patterns'!$A$2:$A$120,B4417)),0),0)),""))</f>
        <v/>
      </c>
      <c r="D4417">
        <f>IF(B4417="","",IF(C4417&lt;&gt;"","REMOVE","KEEP"))</f>
        <v/>
      </c>
      <c r="E4417">
        <f>IF(D4417&lt;&gt;"KEEP","",IF(RIGHT(B4417,10)="@gmail.com","Gmail",IF(OR(RIGHT(B4417,12)="@outlook.com",RIGHT(B4417,12)="@hotmail.com",RIGHT(B4417,9)="@live.com"),"Outlook","Domain")))</f>
        <v/>
      </c>
      <c r="F4417">
        <f>IF(B4417="","",IFERROR(RIGHT(B4417,LEN(B4417)-FIND("@",B4417)),""))</f>
        <v/>
      </c>
      <c r="G4417">
        <f>IF(D4417="KEEP",COUNTIF($D$2:D4417,"KEEP"),"")</f>
        <v/>
      </c>
      <c r="H4417">
        <f>IF(D4417="REMOVE",COUNTIF($D$2:D4417,"REMOVE"),"")</f>
        <v/>
      </c>
      <c r="I4417">
        <f>IF(E4417="Gmail",COUNTIF($E$2:E4417,"Gmail"),"")</f>
        <v/>
      </c>
      <c r="J4417">
        <f>IF(E4417="Outlook",COUNTIF($E$2:E4417,"Outlook"),"")</f>
        <v/>
      </c>
      <c r="K4417">
        <f>IF(E4417="Domain",COUNTIF($E$2:E4417,"Domain"),"")</f>
        <v/>
      </c>
    </row>
    <row r="4418">
      <c r="A4418" s="2" t="n"/>
      <c r="B4418">
        <f>LOWER(TRIM(A4418))</f>
        <v/>
      </c>
      <c r="C4418">
        <f>IF(B4418="","",IFERROR(INDEX('Bad Patterns'!$A$2:$A$120,MATCH(1,INDEX(--ISNUMBER(SEARCH('Bad Patterns'!$A$2:$A$120,B4418)),0),0)),""))</f>
        <v/>
      </c>
      <c r="D4418">
        <f>IF(B4418="","",IF(C4418&lt;&gt;"","REMOVE","KEEP"))</f>
        <v/>
      </c>
      <c r="E4418">
        <f>IF(D4418&lt;&gt;"KEEP","",IF(RIGHT(B4418,10)="@gmail.com","Gmail",IF(OR(RIGHT(B4418,12)="@outlook.com",RIGHT(B4418,12)="@hotmail.com",RIGHT(B4418,9)="@live.com"),"Outlook","Domain")))</f>
        <v/>
      </c>
      <c r="F4418">
        <f>IF(B4418="","",IFERROR(RIGHT(B4418,LEN(B4418)-FIND("@",B4418)),""))</f>
        <v/>
      </c>
      <c r="G4418">
        <f>IF(D4418="KEEP",COUNTIF($D$2:D4418,"KEEP"),"")</f>
        <v/>
      </c>
      <c r="H4418">
        <f>IF(D4418="REMOVE",COUNTIF($D$2:D4418,"REMOVE"),"")</f>
        <v/>
      </c>
      <c r="I4418">
        <f>IF(E4418="Gmail",COUNTIF($E$2:E4418,"Gmail"),"")</f>
        <v/>
      </c>
      <c r="J4418">
        <f>IF(E4418="Outlook",COUNTIF($E$2:E4418,"Outlook"),"")</f>
        <v/>
      </c>
      <c r="K4418">
        <f>IF(E4418="Domain",COUNTIF($E$2:E4418,"Domain"),"")</f>
        <v/>
      </c>
    </row>
    <row r="4419">
      <c r="A4419" s="2" t="n"/>
      <c r="B4419">
        <f>LOWER(TRIM(A4419))</f>
        <v/>
      </c>
      <c r="C4419">
        <f>IF(B4419="","",IFERROR(INDEX('Bad Patterns'!$A$2:$A$120,MATCH(1,INDEX(--ISNUMBER(SEARCH('Bad Patterns'!$A$2:$A$120,B4419)),0),0)),""))</f>
        <v/>
      </c>
      <c r="D4419">
        <f>IF(B4419="","",IF(C4419&lt;&gt;"","REMOVE","KEEP"))</f>
        <v/>
      </c>
      <c r="E4419">
        <f>IF(D4419&lt;&gt;"KEEP","",IF(RIGHT(B4419,10)="@gmail.com","Gmail",IF(OR(RIGHT(B4419,12)="@outlook.com",RIGHT(B4419,12)="@hotmail.com",RIGHT(B4419,9)="@live.com"),"Outlook","Domain")))</f>
        <v/>
      </c>
      <c r="F4419">
        <f>IF(B4419="","",IFERROR(RIGHT(B4419,LEN(B4419)-FIND("@",B4419)),""))</f>
        <v/>
      </c>
      <c r="G4419">
        <f>IF(D4419="KEEP",COUNTIF($D$2:D4419,"KEEP"),"")</f>
        <v/>
      </c>
      <c r="H4419">
        <f>IF(D4419="REMOVE",COUNTIF($D$2:D4419,"REMOVE"),"")</f>
        <v/>
      </c>
      <c r="I4419">
        <f>IF(E4419="Gmail",COUNTIF($E$2:E4419,"Gmail"),"")</f>
        <v/>
      </c>
      <c r="J4419">
        <f>IF(E4419="Outlook",COUNTIF($E$2:E4419,"Outlook"),"")</f>
        <v/>
      </c>
      <c r="K4419">
        <f>IF(E4419="Domain",COUNTIF($E$2:E4419,"Domain"),"")</f>
        <v/>
      </c>
    </row>
    <row r="4420">
      <c r="A4420" s="2" t="n"/>
      <c r="B4420">
        <f>LOWER(TRIM(A4420))</f>
        <v/>
      </c>
      <c r="C4420">
        <f>IF(B4420="","",IFERROR(INDEX('Bad Patterns'!$A$2:$A$120,MATCH(1,INDEX(--ISNUMBER(SEARCH('Bad Patterns'!$A$2:$A$120,B4420)),0),0)),""))</f>
        <v/>
      </c>
      <c r="D4420">
        <f>IF(B4420="","",IF(C4420&lt;&gt;"","REMOVE","KEEP"))</f>
        <v/>
      </c>
      <c r="E4420">
        <f>IF(D4420&lt;&gt;"KEEP","",IF(RIGHT(B4420,10)="@gmail.com","Gmail",IF(OR(RIGHT(B4420,12)="@outlook.com",RIGHT(B4420,12)="@hotmail.com",RIGHT(B4420,9)="@live.com"),"Outlook","Domain")))</f>
        <v/>
      </c>
      <c r="F4420">
        <f>IF(B4420="","",IFERROR(RIGHT(B4420,LEN(B4420)-FIND("@",B4420)),""))</f>
        <v/>
      </c>
      <c r="G4420">
        <f>IF(D4420="KEEP",COUNTIF($D$2:D4420,"KEEP"),"")</f>
        <v/>
      </c>
      <c r="H4420">
        <f>IF(D4420="REMOVE",COUNTIF($D$2:D4420,"REMOVE"),"")</f>
        <v/>
      </c>
      <c r="I4420">
        <f>IF(E4420="Gmail",COUNTIF($E$2:E4420,"Gmail"),"")</f>
        <v/>
      </c>
      <c r="J4420">
        <f>IF(E4420="Outlook",COUNTIF($E$2:E4420,"Outlook"),"")</f>
        <v/>
      </c>
      <c r="K4420">
        <f>IF(E4420="Domain",COUNTIF($E$2:E4420,"Domain"),"")</f>
        <v/>
      </c>
    </row>
    <row r="4421">
      <c r="A4421" s="2" t="n"/>
      <c r="B4421">
        <f>LOWER(TRIM(A4421))</f>
        <v/>
      </c>
      <c r="C4421">
        <f>IF(B4421="","",IFERROR(INDEX('Bad Patterns'!$A$2:$A$120,MATCH(1,INDEX(--ISNUMBER(SEARCH('Bad Patterns'!$A$2:$A$120,B4421)),0),0)),""))</f>
        <v/>
      </c>
      <c r="D4421">
        <f>IF(B4421="","",IF(C4421&lt;&gt;"","REMOVE","KEEP"))</f>
        <v/>
      </c>
      <c r="E4421">
        <f>IF(D4421&lt;&gt;"KEEP","",IF(RIGHT(B4421,10)="@gmail.com","Gmail",IF(OR(RIGHT(B4421,12)="@outlook.com",RIGHT(B4421,12)="@hotmail.com",RIGHT(B4421,9)="@live.com"),"Outlook","Domain")))</f>
        <v/>
      </c>
      <c r="F4421">
        <f>IF(B4421="","",IFERROR(RIGHT(B4421,LEN(B4421)-FIND("@",B4421)),""))</f>
        <v/>
      </c>
      <c r="G4421">
        <f>IF(D4421="KEEP",COUNTIF($D$2:D4421,"KEEP"),"")</f>
        <v/>
      </c>
      <c r="H4421">
        <f>IF(D4421="REMOVE",COUNTIF($D$2:D4421,"REMOVE"),"")</f>
        <v/>
      </c>
      <c r="I4421">
        <f>IF(E4421="Gmail",COUNTIF($E$2:E4421,"Gmail"),"")</f>
        <v/>
      </c>
      <c r="J4421">
        <f>IF(E4421="Outlook",COUNTIF($E$2:E4421,"Outlook"),"")</f>
        <v/>
      </c>
      <c r="K4421">
        <f>IF(E4421="Domain",COUNTIF($E$2:E4421,"Domain"),"")</f>
        <v/>
      </c>
    </row>
    <row r="4422">
      <c r="A4422" s="2" t="n"/>
      <c r="B4422">
        <f>LOWER(TRIM(A4422))</f>
        <v/>
      </c>
      <c r="C4422">
        <f>IF(B4422="","",IFERROR(INDEX('Bad Patterns'!$A$2:$A$120,MATCH(1,INDEX(--ISNUMBER(SEARCH('Bad Patterns'!$A$2:$A$120,B4422)),0),0)),""))</f>
        <v/>
      </c>
      <c r="D4422">
        <f>IF(B4422="","",IF(C4422&lt;&gt;"","REMOVE","KEEP"))</f>
        <v/>
      </c>
      <c r="E4422">
        <f>IF(D4422&lt;&gt;"KEEP","",IF(RIGHT(B4422,10)="@gmail.com","Gmail",IF(OR(RIGHT(B4422,12)="@outlook.com",RIGHT(B4422,12)="@hotmail.com",RIGHT(B4422,9)="@live.com"),"Outlook","Domain")))</f>
        <v/>
      </c>
      <c r="F4422">
        <f>IF(B4422="","",IFERROR(RIGHT(B4422,LEN(B4422)-FIND("@",B4422)),""))</f>
        <v/>
      </c>
      <c r="G4422">
        <f>IF(D4422="KEEP",COUNTIF($D$2:D4422,"KEEP"),"")</f>
        <v/>
      </c>
      <c r="H4422">
        <f>IF(D4422="REMOVE",COUNTIF($D$2:D4422,"REMOVE"),"")</f>
        <v/>
      </c>
      <c r="I4422">
        <f>IF(E4422="Gmail",COUNTIF($E$2:E4422,"Gmail"),"")</f>
        <v/>
      </c>
      <c r="J4422">
        <f>IF(E4422="Outlook",COUNTIF($E$2:E4422,"Outlook"),"")</f>
        <v/>
      </c>
      <c r="K4422">
        <f>IF(E4422="Domain",COUNTIF($E$2:E4422,"Domain"),"")</f>
        <v/>
      </c>
    </row>
    <row r="4423">
      <c r="A4423" s="2" t="n"/>
      <c r="B4423">
        <f>LOWER(TRIM(A4423))</f>
        <v/>
      </c>
      <c r="C4423">
        <f>IF(B4423="","",IFERROR(INDEX('Bad Patterns'!$A$2:$A$120,MATCH(1,INDEX(--ISNUMBER(SEARCH('Bad Patterns'!$A$2:$A$120,B4423)),0),0)),""))</f>
        <v/>
      </c>
      <c r="D4423">
        <f>IF(B4423="","",IF(C4423&lt;&gt;"","REMOVE","KEEP"))</f>
        <v/>
      </c>
      <c r="E4423">
        <f>IF(D4423&lt;&gt;"KEEP","",IF(RIGHT(B4423,10)="@gmail.com","Gmail",IF(OR(RIGHT(B4423,12)="@outlook.com",RIGHT(B4423,12)="@hotmail.com",RIGHT(B4423,9)="@live.com"),"Outlook","Domain")))</f>
        <v/>
      </c>
      <c r="F4423">
        <f>IF(B4423="","",IFERROR(RIGHT(B4423,LEN(B4423)-FIND("@",B4423)),""))</f>
        <v/>
      </c>
      <c r="G4423">
        <f>IF(D4423="KEEP",COUNTIF($D$2:D4423,"KEEP"),"")</f>
        <v/>
      </c>
      <c r="H4423">
        <f>IF(D4423="REMOVE",COUNTIF($D$2:D4423,"REMOVE"),"")</f>
        <v/>
      </c>
      <c r="I4423">
        <f>IF(E4423="Gmail",COUNTIF($E$2:E4423,"Gmail"),"")</f>
        <v/>
      </c>
      <c r="J4423">
        <f>IF(E4423="Outlook",COUNTIF($E$2:E4423,"Outlook"),"")</f>
        <v/>
      </c>
      <c r="K4423">
        <f>IF(E4423="Domain",COUNTIF($E$2:E4423,"Domain"),"")</f>
        <v/>
      </c>
    </row>
    <row r="4424">
      <c r="A4424" s="2" t="n"/>
      <c r="B4424">
        <f>LOWER(TRIM(A4424))</f>
        <v/>
      </c>
      <c r="C4424">
        <f>IF(B4424="","",IFERROR(INDEX('Bad Patterns'!$A$2:$A$120,MATCH(1,INDEX(--ISNUMBER(SEARCH('Bad Patterns'!$A$2:$A$120,B4424)),0),0)),""))</f>
        <v/>
      </c>
      <c r="D4424">
        <f>IF(B4424="","",IF(C4424&lt;&gt;"","REMOVE","KEEP"))</f>
        <v/>
      </c>
      <c r="E4424">
        <f>IF(D4424&lt;&gt;"KEEP","",IF(RIGHT(B4424,10)="@gmail.com","Gmail",IF(OR(RIGHT(B4424,12)="@outlook.com",RIGHT(B4424,12)="@hotmail.com",RIGHT(B4424,9)="@live.com"),"Outlook","Domain")))</f>
        <v/>
      </c>
      <c r="F4424">
        <f>IF(B4424="","",IFERROR(RIGHT(B4424,LEN(B4424)-FIND("@",B4424)),""))</f>
        <v/>
      </c>
      <c r="G4424">
        <f>IF(D4424="KEEP",COUNTIF($D$2:D4424,"KEEP"),"")</f>
        <v/>
      </c>
      <c r="H4424">
        <f>IF(D4424="REMOVE",COUNTIF($D$2:D4424,"REMOVE"),"")</f>
        <v/>
      </c>
      <c r="I4424">
        <f>IF(E4424="Gmail",COUNTIF($E$2:E4424,"Gmail"),"")</f>
        <v/>
      </c>
      <c r="J4424">
        <f>IF(E4424="Outlook",COUNTIF($E$2:E4424,"Outlook"),"")</f>
        <v/>
      </c>
      <c r="K4424">
        <f>IF(E4424="Domain",COUNTIF($E$2:E4424,"Domain"),"")</f>
        <v/>
      </c>
    </row>
    <row r="4425">
      <c r="A4425" s="2" t="n"/>
      <c r="B4425">
        <f>LOWER(TRIM(A4425))</f>
        <v/>
      </c>
      <c r="C4425">
        <f>IF(B4425="","",IFERROR(INDEX('Bad Patterns'!$A$2:$A$120,MATCH(1,INDEX(--ISNUMBER(SEARCH('Bad Patterns'!$A$2:$A$120,B4425)),0),0)),""))</f>
        <v/>
      </c>
      <c r="D4425">
        <f>IF(B4425="","",IF(C4425&lt;&gt;"","REMOVE","KEEP"))</f>
        <v/>
      </c>
      <c r="E4425">
        <f>IF(D4425&lt;&gt;"KEEP","",IF(RIGHT(B4425,10)="@gmail.com","Gmail",IF(OR(RIGHT(B4425,12)="@outlook.com",RIGHT(B4425,12)="@hotmail.com",RIGHT(B4425,9)="@live.com"),"Outlook","Domain")))</f>
        <v/>
      </c>
      <c r="F4425">
        <f>IF(B4425="","",IFERROR(RIGHT(B4425,LEN(B4425)-FIND("@",B4425)),""))</f>
        <v/>
      </c>
      <c r="G4425">
        <f>IF(D4425="KEEP",COUNTIF($D$2:D4425,"KEEP"),"")</f>
        <v/>
      </c>
      <c r="H4425">
        <f>IF(D4425="REMOVE",COUNTIF($D$2:D4425,"REMOVE"),"")</f>
        <v/>
      </c>
      <c r="I4425">
        <f>IF(E4425="Gmail",COUNTIF($E$2:E4425,"Gmail"),"")</f>
        <v/>
      </c>
      <c r="J4425">
        <f>IF(E4425="Outlook",COUNTIF($E$2:E4425,"Outlook"),"")</f>
        <v/>
      </c>
      <c r="K4425">
        <f>IF(E4425="Domain",COUNTIF($E$2:E4425,"Domain"),"")</f>
        <v/>
      </c>
    </row>
    <row r="4426">
      <c r="A4426" s="2" t="n"/>
      <c r="B4426">
        <f>LOWER(TRIM(A4426))</f>
        <v/>
      </c>
      <c r="C4426">
        <f>IF(B4426="","",IFERROR(INDEX('Bad Patterns'!$A$2:$A$120,MATCH(1,INDEX(--ISNUMBER(SEARCH('Bad Patterns'!$A$2:$A$120,B4426)),0),0)),""))</f>
        <v/>
      </c>
      <c r="D4426">
        <f>IF(B4426="","",IF(C4426&lt;&gt;"","REMOVE","KEEP"))</f>
        <v/>
      </c>
      <c r="E4426">
        <f>IF(D4426&lt;&gt;"KEEP","",IF(RIGHT(B4426,10)="@gmail.com","Gmail",IF(OR(RIGHT(B4426,12)="@outlook.com",RIGHT(B4426,12)="@hotmail.com",RIGHT(B4426,9)="@live.com"),"Outlook","Domain")))</f>
        <v/>
      </c>
      <c r="F4426">
        <f>IF(B4426="","",IFERROR(RIGHT(B4426,LEN(B4426)-FIND("@",B4426)),""))</f>
        <v/>
      </c>
      <c r="G4426">
        <f>IF(D4426="KEEP",COUNTIF($D$2:D4426,"KEEP"),"")</f>
        <v/>
      </c>
      <c r="H4426">
        <f>IF(D4426="REMOVE",COUNTIF($D$2:D4426,"REMOVE"),"")</f>
        <v/>
      </c>
      <c r="I4426">
        <f>IF(E4426="Gmail",COUNTIF($E$2:E4426,"Gmail"),"")</f>
        <v/>
      </c>
      <c r="J4426">
        <f>IF(E4426="Outlook",COUNTIF($E$2:E4426,"Outlook"),"")</f>
        <v/>
      </c>
      <c r="K4426">
        <f>IF(E4426="Domain",COUNTIF($E$2:E4426,"Domain"),"")</f>
        <v/>
      </c>
    </row>
    <row r="4427">
      <c r="A4427" s="2" t="n"/>
      <c r="B4427">
        <f>LOWER(TRIM(A4427))</f>
        <v/>
      </c>
      <c r="C4427">
        <f>IF(B4427="","",IFERROR(INDEX('Bad Patterns'!$A$2:$A$120,MATCH(1,INDEX(--ISNUMBER(SEARCH('Bad Patterns'!$A$2:$A$120,B4427)),0),0)),""))</f>
        <v/>
      </c>
      <c r="D4427">
        <f>IF(B4427="","",IF(C4427&lt;&gt;"","REMOVE","KEEP"))</f>
        <v/>
      </c>
      <c r="E4427">
        <f>IF(D4427&lt;&gt;"KEEP","",IF(RIGHT(B4427,10)="@gmail.com","Gmail",IF(OR(RIGHT(B4427,12)="@outlook.com",RIGHT(B4427,12)="@hotmail.com",RIGHT(B4427,9)="@live.com"),"Outlook","Domain")))</f>
        <v/>
      </c>
      <c r="F4427">
        <f>IF(B4427="","",IFERROR(RIGHT(B4427,LEN(B4427)-FIND("@",B4427)),""))</f>
        <v/>
      </c>
      <c r="G4427">
        <f>IF(D4427="KEEP",COUNTIF($D$2:D4427,"KEEP"),"")</f>
        <v/>
      </c>
      <c r="H4427">
        <f>IF(D4427="REMOVE",COUNTIF($D$2:D4427,"REMOVE"),"")</f>
        <v/>
      </c>
      <c r="I4427">
        <f>IF(E4427="Gmail",COUNTIF($E$2:E4427,"Gmail"),"")</f>
        <v/>
      </c>
      <c r="J4427">
        <f>IF(E4427="Outlook",COUNTIF($E$2:E4427,"Outlook"),"")</f>
        <v/>
      </c>
      <c r="K4427">
        <f>IF(E4427="Domain",COUNTIF($E$2:E4427,"Domain"),"")</f>
        <v/>
      </c>
    </row>
    <row r="4428">
      <c r="A4428" s="2" t="n"/>
      <c r="B4428">
        <f>LOWER(TRIM(A4428))</f>
        <v/>
      </c>
      <c r="C4428">
        <f>IF(B4428="","",IFERROR(INDEX('Bad Patterns'!$A$2:$A$120,MATCH(1,INDEX(--ISNUMBER(SEARCH('Bad Patterns'!$A$2:$A$120,B4428)),0),0)),""))</f>
        <v/>
      </c>
      <c r="D4428">
        <f>IF(B4428="","",IF(C4428&lt;&gt;"","REMOVE","KEEP"))</f>
        <v/>
      </c>
      <c r="E4428">
        <f>IF(D4428&lt;&gt;"KEEP","",IF(RIGHT(B4428,10)="@gmail.com","Gmail",IF(OR(RIGHT(B4428,12)="@outlook.com",RIGHT(B4428,12)="@hotmail.com",RIGHT(B4428,9)="@live.com"),"Outlook","Domain")))</f>
        <v/>
      </c>
      <c r="F4428">
        <f>IF(B4428="","",IFERROR(RIGHT(B4428,LEN(B4428)-FIND("@",B4428)),""))</f>
        <v/>
      </c>
      <c r="G4428">
        <f>IF(D4428="KEEP",COUNTIF($D$2:D4428,"KEEP"),"")</f>
        <v/>
      </c>
      <c r="H4428">
        <f>IF(D4428="REMOVE",COUNTIF($D$2:D4428,"REMOVE"),"")</f>
        <v/>
      </c>
      <c r="I4428">
        <f>IF(E4428="Gmail",COUNTIF($E$2:E4428,"Gmail"),"")</f>
        <v/>
      </c>
      <c r="J4428">
        <f>IF(E4428="Outlook",COUNTIF($E$2:E4428,"Outlook"),"")</f>
        <v/>
      </c>
      <c r="K4428">
        <f>IF(E4428="Domain",COUNTIF($E$2:E4428,"Domain"),"")</f>
        <v/>
      </c>
    </row>
    <row r="4429">
      <c r="A4429" s="2" t="n"/>
      <c r="B4429">
        <f>LOWER(TRIM(A4429))</f>
        <v/>
      </c>
      <c r="C4429">
        <f>IF(B4429="","",IFERROR(INDEX('Bad Patterns'!$A$2:$A$120,MATCH(1,INDEX(--ISNUMBER(SEARCH('Bad Patterns'!$A$2:$A$120,B4429)),0),0)),""))</f>
        <v/>
      </c>
      <c r="D4429">
        <f>IF(B4429="","",IF(C4429&lt;&gt;"","REMOVE","KEEP"))</f>
        <v/>
      </c>
      <c r="E4429">
        <f>IF(D4429&lt;&gt;"KEEP","",IF(RIGHT(B4429,10)="@gmail.com","Gmail",IF(OR(RIGHT(B4429,12)="@outlook.com",RIGHT(B4429,12)="@hotmail.com",RIGHT(B4429,9)="@live.com"),"Outlook","Domain")))</f>
        <v/>
      </c>
      <c r="F4429">
        <f>IF(B4429="","",IFERROR(RIGHT(B4429,LEN(B4429)-FIND("@",B4429)),""))</f>
        <v/>
      </c>
      <c r="G4429">
        <f>IF(D4429="KEEP",COUNTIF($D$2:D4429,"KEEP"),"")</f>
        <v/>
      </c>
      <c r="H4429">
        <f>IF(D4429="REMOVE",COUNTIF($D$2:D4429,"REMOVE"),"")</f>
        <v/>
      </c>
      <c r="I4429">
        <f>IF(E4429="Gmail",COUNTIF($E$2:E4429,"Gmail"),"")</f>
        <v/>
      </c>
      <c r="J4429">
        <f>IF(E4429="Outlook",COUNTIF($E$2:E4429,"Outlook"),"")</f>
        <v/>
      </c>
      <c r="K4429">
        <f>IF(E4429="Domain",COUNTIF($E$2:E4429,"Domain"),"")</f>
        <v/>
      </c>
    </row>
    <row r="4430">
      <c r="A4430" s="2" t="n"/>
      <c r="B4430">
        <f>LOWER(TRIM(A4430))</f>
        <v/>
      </c>
      <c r="C4430">
        <f>IF(B4430="","",IFERROR(INDEX('Bad Patterns'!$A$2:$A$120,MATCH(1,INDEX(--ISNUMBER(SEARCH('Bad Patterns'!$A$2:$A$120,B4430)),0),0)),""))</f>
        <v/>
      </c>
      <c r="D4430">
        <f>IF(B4430="","",IF(C4430&lt;&gt;"","REMOVE","KEEP"))</f>
        <v/>
      </c>
      <c r="E4430">
        <f>IF(D4430&lt;&gt;"KEEP","",IF(RIGHT(B4430,10)="@gmail.com","Gmail",IF(OR(RIGHT(B4430,12)="@outlook.com",RIGHT(B4430,12)="@hotmail.com",RIGHT(B4430,9)="@live.com"),"Outlook","Domain")))</f>
        <v/>
      </c>
      <c r="F4430">
        <f>IF(B4430="","",IFERROR(RIGHT(B4430,LEN(B4430)-FIND("@",B4430)),""))</f>
        <v/>
      </c>
      <c r="G4430">
        <f>IF(D4430="KEEP",COUNTIF($D$2:D4430,"KEEP"),"")</f>
        <v/>
      </c>
      <c r="H4430">
        <f>IF(D4430="REMOVE",COUNTIF($D$2:D4430,"REMOVE"),"")</f>
        <v/>
      </c>
      <c r="I4430">
        <f>IF(E4430="Gmail",COUNTIF($E$2:E4430,"Gmail"),"")</f>
        <v/>
      </c>
      <c r="J4430">
        <f>IF(E4430="Outlook",COUNTIF($E$2:E4430,"Outlook"),"")</f>
        <v/>
      </c>
      <c r="K4430">
        <f>IF(E4430="Domain",COUNTIF($E$2:E4430,"Domain"),"")</f>
        <v/>
      </c>
    </row>
    <row r="4431">
      <c r="A4431" s="2" t="n"/>
      <c r="B4431">
        <f>LOWER(TRIM(A4431))</f>
        <v/>
      </c>
      <c r="C4431">
        <f>IF(B4431="","",IFERROR(INDEX('Bad Patterns'!$A$2:$A$120,MATCH(1,INDEX(--ISNUMBER(SEARCH('Bad Patterns'!$A$2:$A$120,B4431)),0),0)),""))</f>
        <v/>
      </c>
      <c r="D4431">
        <f>IF(B4431="","",IF(C4431&lt;&gt;"","REMOVE","KEEP"))</f>
        <v/>
      </c>
      <c r="E4431">
        <f>IF(D4431&lt;&gt;"KEEP","",IF(RIGHT(B4431,10)="@gmail.com","Gmail",IF(OR(RIGHT(B4431,12)="@outlook.com",RIGHT(B4431,12)="@hotmail.com",RIGHT(B4431,9)="@live.com"),"Outlook","Domain")))</f>
        <v/>
      </c>
      <c r="F4431">
        <f>IF(B4431="","",IFERROR(RIGHT(B4431,LEN(B4431)-FIND("@",B4431)),""))</f>
        <v/>
      </c>
      <c r="G4431">
        <f>IF(D4431="KEEP",COUNTIF($D$2:D4431,"KEEP"),"")</f>
        <v/>
      </c>
      <c r="H4431">
        <f>IF(D4431="REMOVE",COUNTIF($D$2:D4431,"REMOVE"),"")</f>
        <v/>
      </c>
      <c r="I4431">
        <f>IF(E4431="Gmail",COUNTIF($E$2:E4431,"Gmail"),"")</f>
        <v/>
      </c>
      <c r="J4431">
        <f>IF(E4431="Outlook",COUNTIF($E$2:E4431,"Outlook"),"")</f>
        <v/>
      </c>
      <c r="K4431">
        <f>IF(E4431="Domain",COUNTIF($E$2:E4431,"Domain"),"")</f>
        <v/>
      </c>
    </row>
    <row r="4432">
      <c r="A4432" s="2" t="n"/>
      <c r="B4432">
        <f>LOWER(TRIM(A4432))</f>
        <v/>
      </c>
      <c r="C4432">
        <f>IF(B4432="","",IFERROR(INDEX('Bad Patterns'!$A$2:$A$120,MATCH(1,INDEX(--ISNUMBER(SEARCH('Bad Patterns'!$A$2:$A$120,B4432)),0),0)),""))</f>
        <v/>
      </c>
      <c r="D4432">
        <f>IF(B4432="","",IF(C4432&lt;&gt;"","REMOVE","KEEP"))</f>
        <v/>
      </c>
      <c r="E4432">
        <f>IF(D4432&lt;&gt;"KEEP","",IF(RIGHT(B4432,10)="@gmail.com","Gmail",IF(OR(RIGHT(B4432,12)="@outlook.com",RIGHT(B4432,12)="@hotmail.com",RIGHT(B4432,9)="@live.com"),"Outlook","Domain")))</f>
        <v/>
      </c>
      <c r="F4432">
        <f>IF(B4432="","",IFERROR(RIGHT(B4432,LEN(B4432)-FIND("@",B4432)),""))</f>
        <v/>
      </c>
      <c r="G4432">
        <f>IF(D4432="KEEP",COUNTIF($D$2:D4432,"KEEP"),"")</f>
        <v/>
      </c>
      <c r="H4432">
        <f>IF(D4432="REMOVE",COUNTIF($D$2:D4432,"REMOVE"),"")</f>
        <v/>
      </c>
      <c r="I4432">
        <f>IF(E4432="Gmail",COUNTIF($E$2:E4432,"Gmail"),"")</f>
        <v/>
      </c>
      <c r="J4432">
        <f>IF(E4432="Outlook",COUNTIF($E$2:E4432,"Outlook"),"")</f>
        <v/>
      </c>
      <c r="K4432">
        <f>IF(E4432="Domain",COUNTIF($E$2:E4432,"Domain"),"")</f>
        <v/>
      </c>
    </row>
    <row r="4433">
      <c r="A4433" s="2" t="n"/>
      <c r="B4433">
        <f>LOWER(TRIM(A4433))</f>
        <v/>
      </c>
      <c r="C4433">
        <f>IF(B4433="","",IFERROR(INDEX('Bad Patterns'!$A$2:$A$120,MATCH(1,INDEX(--ISNUMBER(SEARCH('Bad Patterns'!$A$2:$A$120,B4433)),0),0)),""))</f>
        <v/>
      </c>
      <c r="D4433">
        <f>IF(B4433="","",IF(C4433&lt;&gt;"","REMOVE","KEEP"))</f>
        <v/>
      </c>
      <c r="E4433">
        <f>IF(D4433&lt;&gt;"KEEP","",IF(RIGHT(B4433,10)="@gmail.com","Gmail",IF(OR(RIGHT(B4433,12)="@outlook.com",RIGHT(B4433,12)="@hotmail.com",RIGHT(B4433,9)="@live.com"),"Outlook","Domain")))</f>
        <v/>
      </c>
      <c r="F4433">
        <f>IF(B4433="","",IFERROR(RIGHT(B4433,LEN(B4433)-FIND("@",B4433)),""))</f>
        <v/>
      </c>
      <c r="G4433">
        <f>IF(D4433="KEEP",COUNTIF($D$2:D4433,"KEEP"),"")</f>
        <v/>
      </c>
      <c r="H4433">
        <f>IF(D4433="REMOVE",COUNTIF($D$2:D4433,"REMOVE"),"")</f>
        <v/>
      </c>
      <c r="I4433">
        <f>IF(E4433="Gmail",COUNTIF($E$2:E4433,"Gmail"),"")</f>
        <v/>
      </c>
      <c r="J4433">
        <f>IF(E4433="Outlook",COUNTIF($E$2:E4433,"Outlook"),"")</f>
        <v/>
      </c>
      <c r="K4433">
        <f>IF(E4433="Domain",COUNTIF($E$2:E4433,"Domain"),"")</f>
        <v/>
      </c>
    </row>
    <row r="4434">
      <c r="A4434" s="2" t="n"/>
      <c r="B4434">
        <f>LOWER(TRIM(A4434))</f>
        <v/>
      </c>
      <c r="C4434">
        <f>IF(B4434="","",IFERROR(INDEX('Bad Patterns'!$A$2:$A$120,MATCH(1,INDEX(--ISNUMBER(SEARCH('Bad Patterns'!$A$2:$A$120,B4434)),0),0)),""))</f>
        <v/>
      </c>
      <c r="D4434">
        <f>IF(B4434="","",IF(C4434&lt;&gt;"","REMOVE","KEEP"))</f>
        <v/>
      </c>
      <c r="E4434">
        <f>IF(D4434&lt;&gt;"KEEP","",IF(RIGHT(B4434,10)="@gmail.com","Gmail",IF(OR(RIGHT(B4434,12)="@outlook.com",RIGHT(B4434,12)="@hotmail.com",RIGHT(B4434,9)="@live.com"),"Outlook","Domain")))</f>
        <v/>
      </c>
      <c r="F4434">
        <f>IF(B4434="","",IFERROR(RIGHT(B4434,LEN(B4434)-FIND("@",B4434)),""))</f>
        <v/>
      </c>
      <c r="G4434">
        <f>IF(D4434="KEEP",COUNTIF($D$2:D4434,"KEEP"),"")</f>
        <v/>
      </c>
      <c r="H4434">
        <f>IF(D4434="REMOVE",COUNTIF($D$2:D4434,"REMOVE"),"")</f>
        <v/>
      </c>
      <c r="I4434">
        <f>IF(E4434="Gmail",COUNTIF($E$2:E4434,"Gmail"),"")</f>
        <v/>
      </c>
      <c r="J4434">
        <f>IF(E4434="Outlook",COUNTIF($E$2:E4434,"Outlook"),"")</f>
        <v/>
      </c>
      <c r="K4434">
        <f>IF(E4434="Domain",COUNTIF($E$2:E4434,"Domain"),"")</f>
        <v/>
      </c>
    </row>
    <row r="4435">
      <c r="A4435" s="2" t="n"/>
      <c r="B4435">
        <f>LOWER(TRIM(A4435))</f>
        <v/>
      </c>
      <c r="C4435">
        <f>IF(B4435="","",IFERROR(INDEX('Bad Patterns'!$A$2:$A$120,MATCH(1,INDEX(--ISNUMBER(SEARCH('Bad Patterns'!$A$2:$A$120,B4435)),0),0)),""))</f>
        <v/>
      </c>
      <c r="D4435">
        <f>IF(B4435="","",IF(C4435&lt;&gt;"","REMOVE","KEEP"))</f>
        <v/>
      </c>
      <c r="E4435">
        <f>IF(D4435&lt;&gt;"KEEP","",IF(RIGHT(B4435,10)="@gmail.com","Gmail",IF(OR(RIGHT(B4435,12)="@outlook.com",RIGHT(B4435,12)="@hotmail.com",RIGHT(B4435,9)="@live.com"),"Outlook","Domain")))</f>
        <v/>
      </c>
      <c r="F4435">
        <f>IF(B4435="","",IFERROR(RIGHT(B4435,LEN(B4435)-FIND("@",B4435)),""))</f>
        <v/>
      </c>
      <c r="G4435">
        <f>IF(D4435="KEEP",COUNTIF($D$2:D4435,"KEEP"),"")</f>
        <v/>
      </c>
      <c r="H4435">
        <f>IF(D4435="REMOVE",COUNTIF($D$2:D4435,"REMOVE"),"")</f>
        <v/>
      </c>
      <c r="I4435">
        <f>IF(E4435="Gmail",COUNTIF($E$2:E4435,"Gmail"),"")</f>
        <v/>
      </c>
      <c r="J4435">
        <f>IF(E4435="Outlook",COUNTIF($E$2:E4435,"Outlook"),"")</f>
        <v/>
      </c>
      <c r="K4435">
        <f>IF(E4435="Domain",COUNTIF($E$2:E4435,"Domain"),"")</f>
        <v/>
      </c>
    </row>
    <row r="4436">
      <c r="A4436" s="2" t="n"/>
      <c r="B4436">
        <f>LOWER(TRIM(A4436))</f>
        <v/>
      </c>
      <c r="C4436">
        <f>IF(B4436="","",IFERROR(INDEX('Bad Patterns'!$A$2:$A$120,MATCH(1,INDEX(--ISNUMBER(SEARCH('Bad Patterns'!$A$2:$A$120,B4436)),0),0)),""))</f>
        <v/>
      </c>
      <c r="D4436">
        <f>IF(B4436="","",IF(C4436&lt;&gt;"","REMOVE","KEEP"))</f>
        <v/>
      </c>
      <c r="E4436">
        <f>IF(D4436&lt;&gt;"KEEP","",IF(RIGHT(B4436,10)="@gmail.com","Gmail",IF(OR(RIGHT(B4436,12)="@outlook.com",RIGHT(B4436,12)="@hotmail.com",RIGHT(B4436,9)="@live.com"),"Outlook","Domain")))</f>
        <v/>
      </c>
      <c r="F4436">
        <f>IF(B4436="","",IFERROR(RIGHT(B4436,LEN(B4436)-FIND("@",B4436)),""))</f>
        <v/>
      </c>
      <c r="G4436">
        <f>IF(D4436="KEEP",COUNTIF($D$2:D4436,"KEEP"),"")</f>
        <v/>
      </c>
      <c r="H4436">
        <f>IF(D4436="REMOVE",COUNTIF($D$2:D4436,"REMOVE"),"")</f>
        <v/>
      </c>
      <c r="I4436">
        <f>IF(E4436="Gmail",COUNTIF($E$2:E4436,"Gmail"),"")</f>
        <v/>
      </c>
      <c r="J4436">
        <f>IF(E4436="Outlook",COUNTIF($E$2:E4436,"Outlook"),"")</f>
        <v/>
      </c>
      <c r="K4436">
        <f>IF(E4436="Domain",COUNTIF($E$2:E4436,"Domain"),"")</f>
        <v/>
      </c>
    </row>
    <row r="4437">
      <c r="A4437" s="2" t="n"/>
      <c r="B4437">
        <f>LOWER(TRIM(A4437))</f>
        <v/>
      </c>
      <c r="C4437">
        <f>IF(B4437="","",IFERROR(INDEX('Bad Patterns'!$A$2:$A$120,MATCH(1,INDEX(--ISNUMBER(SEARCH('Bad Patterns'!$A$2:$A$120,B4437)),0),0)),""))</f>
        <v/>
      </c>
      <c r="D4437">
        <f>IF(B4437="","",IF(C4437&lt;&gt;"","REMOVE","KEEP"))</f>
        <v/>
      </c>
      <c r="E4437">
        <f>IF(D4437&lt;&gt;"KEEP","",IF(RIGHT(B4437,10)="@gmail.com","Gmail",IF(OR(RIGHT(B4437,12)="@outlook.com",RIGHT(B4437,12)="@hotmail.com",RIGHT(B4437,9)="@live.com"),"Outlook","Domain")))</f>
        <v/>
      </c>
      <c r="F4437">
        <f>IF(B4437="","",IFERROR(RIGHT(B4437,LEN(B4437)-FIND("@",B4437)),""))</f>
        <v/>
      </c>
      <c r="G4437">
        <f>IF(D4437="KEEP",COUNTIF($D$2:D4437,"KEEP"),"")</f>
        <v/>
      </c>
      <c r="H4437">
        <f>IF(D4437="REMOVE",COUNTIF($D$2:D4437,"REMOVE"),"")</f>
        <v/>
      </c>
      <c r="I4437">
        <f>IF(E4437="Gmail",COUNTIF($E$2:E4437,"Gmail"),"")</f>
        <v/>
      </c>
      <c r="J4437">
        <f>IF(E4437="Outlook",COUNTIF($E$2:E4437,"Outlook"),"")</f>
        <v/>
      </c>
      <c r="K4437">
        <f>IF(E4437="Domain",COUNTIF($E$2:E4437,"Domain"),"")</f>
        <v/>
      </c>
    </row>
    <row r="4438">
      <c r="A4438" s="2" t="n"/>
      <c r="B4438">
        <f>LOWER(TRIM(A4438))</f>
        <v/>
      </c>
      <c r="C4438">
        <f>IF(B4438="","",IFERROR(INDEX('Bad Patterns'!$A$2:$A$120,MATCH(1,INDEX(--ISNUMBER(SEARCH('Bad Patterns'!$A$2:$A$120,B4438)),0),0)),""))</f>
        <v/>
      </c>
      <c r="D4438">
        <f>IF(B4438="","",IF(C4438&lt;&gt;"","REMOVE","KEEP"))</f>
        <v/>
      </c>
      <c r="E4438">
        <f>IF(D4438&lt;&gt;"KEEP","",IF(RIGHT(B4438,10)="@gmail.com","Gmail",IF(OR(RIGHT(B4438,12)="@outlook.com",RIGHT(B4438,12)="@hotmail.com",RIGHT(B4438,9)="@live.com"),"Outlook","Domain")))</f>
        <v/>
      </c>
      <c r="F4438">
        <f>IF(B4438="","",IFERROR(RIGHT(B4438,LEN(B4438)-FIND("@",B4438)),""))</f>
        <v/>
      </c>
      <c r="G4438">
        <f>IF(D4438="KEEP",COUNTIF($D$2:D4438,"KEEP"),"")</f>
        <v/>
      </c>
      <c r="H4438">
        <f>IF(D4438="REMOVE",COUNTIF($D$2:D4438,"REMOVE"),"")</f>
        <v/>
      </c>
      <c r="I4438">
        <f>IF(E4438="Gmail",COUNTIF($E$2:E4438,"Gmail"),"")</f>
        <v/>
      </c>
      <c r="J4438">
        <f>IF(E4438="Outlook",COUNTIF($E$2:E4438,"Outlook"),"")</f>
        <v/>
      </c>
      <c r="K4438">
        <f>IF(E4438="Domain",COUNTIF($E$2:E4438,"Domain"),"")</f>
        <v/>
      </c>
    </row>
    <row r="4439">
      <c r="A4439" s="2" t="n"/>
      <c r="B4439">
        <f>LOWER(TRIM(A4439))</f>
        <v/>
      </c>
      <c r="C4439">
        <f>IF(B4439="","",IFERROR(INDEX('Bad Patterns'!$A$2:$A$120,MATCH(1,INDEX(--ISNUMBER(SEARCH('Bad Patterns'!$A$2:$A$120,B4439)),0),0)),""))</f>
        <v/>
      </c>
      <c r="D4439">
        <f>IF(B4439="","",IF(C4439&lt;&gt;"","REMOVE","KEEP"))</f>
        <v/>
      </c>
      <c r="E4439">
        <f>IF(D4439&lt;&gt;"KEEP","",IF(RIGHT(B4439,10)="@gmail.com","Gmail",IF(OR(RIGHT(B4439,12)="@outlook.com",RIGHT(B4439,12)="@hotmail.com",RIGHT(B4439,9)="@live.com"),"Outlook","Domain")))</f>
        <v/>
      </c>
      <c r="F4439">
        <f>IF(B4439="","",IFERROR(RIGHT(B4439,LEN(B4439)-FIND("@",B4439)),""))</f>
        <v/>
      </c>
      <c r="G4439">
        <f>IF(D4439="KEEP",COUNTIF($D$2:D4439,"KEEP"),"")</f>
        <v/>
      </c>
      <c r="H4439">
        <f>IF(D4439="REMOVE",COUNTIF($D$2:D4439,"REMOVE"),"")</f>
        <v/>
      </c>
      <c r="I4439">
        <f>IF(E4439="Gmail",COUNTIF($E$2:E4439,"Gmail"),"")</f>
        <v/>
      </c>
      <c r="J4439">
        <f>IF(E4439="Outlook",COUNTIF($E$2:E4439,"Outlook"),"")</f>
        <v/>
      </c>
      <c r="K4439">
        <f>IF(E4439="Domain",COUNTIF($E$2:E4439,"Domain"),"")</f>
        <v/>
      </c>
    </row>
    <row r="4440">
      <c r="A4440" s="2" t="n"/>
      <c r="B4440">
        <f>LOWER(TRIM(A4440))</f>
        <v/>
      </c>
      <c r="C4440">
        <f>IF(B4440="","",IFERROR(INDEX('Bad Patterns'!$A$2:$A$120,MATCH(1,INDEX(--ISNUMBER(SEARCH('Bad Patterns'!$A$2:$A$120,B4440)),0),0)),""))</f>
        <v/>
      </c>
      <c r="D4440">
        <f>IF(B4440="","",IF(C4440&lt;&gt;"","REMOVE","KEEP"))</f>
        <v/>
      </c>
      <c r="E4440">
        <f>IF(D4440&lt;&gt;"KEEP","",IF(RIGHT(B4440,10)="@gmail.com","Gmail",IF(OR(RIGHT(B4440,12)="@outlook.com",RIGHT(B4440,12)="@hotmail.com",RIGHT(B4440,9)="@live.com"),"Outlook","Domain")))</f>
        <v/>
      </c>
      <c r="F4440">
        <f>IF(B4440="","",IFERROR(RIGHT(B4440,LEN(B4440)-FIND("@",B4440)),""))</f>
        <v/>
      </c>
      <c r="G4440">
        <f>IF(D4440="KEEP",COUNTIF($D$2:D4440,"KEEP"),"")</f>
        <v/>
      </c>
      <c r="H4440">
        <f>IF(D4440="REMOVE",COUNTIF($D$2:D4440,"REMOVE"),"")</f>
        <v/>
      </c>
      <c r="I4440">
        <f>IF(E4440="Gmail",COUNTIF($E$2:E4440,"Gmail"),"")</f>
        <v/>
      </c>
      <c r="J4440">
        <f>IF(E4440="Outlook",COUNTIF($E$2:E4440,"Outlook"),"")</f>
        <v/>
      </c>
      <c r="K4440">
        <f>IF(E4440="Domain",COUNTIF($E$2:E4440,"Domain"),"")</f>
        <v/>
      </c>
    </row>
    <row r="4441">
      <c r="A4441" s="2" t="n"/>
      <c r="B4441">
        <f>LOWER(TRIM(A4441))</f>
        <v/>
      </c>
      <c r="C4441">
        <f>IF(B4441="","",IFERROR(INDEX('Bad Patterns'!$A$2:$A$120,MATCH(1,INDEX(--ISNUMBER(SEARCH('Bad Patterns'!$A$2:$A$120,B4441)),0),0)),""))</f>
        <v/>
      </c>
      <c r="D4441">
        <f>IF(B4441="","",IF(C4441&lt;&gt;"","REMOVE","KEEP"))</f>
        <v/>
      </c>
      <c r="E4441">
        <f>IF(D4441&lt;&gt;"KEEP","",IF(RIGHT(B4441,10)="@gmail.com","Gmail",IF(OR(RIGHT(B4441,12)="@outlook.com",RIGHT(B4441,12)="@hotmail.com",RIGHT(B4441,9)="@live.com"),"Outlook","Domain")))</f>
        <v/>
      </c>
      <c r="F4441">
        <f>IF(B4441="","",IFERROR(RIGHT(B4441,LEN(B4441)-FIND("@",B4441)),""))</f>
        <v/>
      </c>
      <c r="G4441">
        <f>IF(D4441="KEEP",COUNTIF($D$2:D4441,"KEEP"),"")</f>
        <v/>
      </c>
      <c r="H4441">
        <f>IF(D4441="REMOVE",COUNTIF($D$2:D4441,"REMOVE"),"")</f>
        <v/>
      </c>
      <c r="I4441">
        <f>IF(E4441="Gmail",COUNTIF($E$2:E4441,"Gmail"),"")</f>
        <v/>
      </c>
      <c r="J4441">
        <f>IF(E4441="Outlook",COUNTIF($E$2:E4441,"Outlook"),"")</f>
        <v/>
      </c>
      <c r="K4441">
        <f>IF(E4441="Domain",COUNTIF($E$2:E4441,"Domain"),"")</f>
        <v/>
      </c>
    </row>
    <row r="4442">
      <c r="A4442" s="2" t="n"/>
      <c r="B4442">
        <f>LOWER(TRIM(A4442))</f>
        <v/>
      </c>
      <c r="C4442">
        <f>IF(B4442="","",IFERROR(INDEX('Bad Patterns'!$A$2:$A$120,MATCH(1,INDEX(--ISNUMBER(SEARCH('Bad Patterns'!$A$2:$A$120,B4442)),0),0)),""))</f>
        <v/>
      </c>
      <c r="D4442">
        <f>IF(B4442="","",IF(C4442&lt;&gt;"","REMOVE","KEEP"))</f>
        <v/>
      </c>
      <c r="E4442">
        <f>IF(D4442&lt;&gt;"KEEP","",IF(RIGHT(B4442,10)="@gmail.com","Gmail",IF(OR(RIGHT(B4442,12)="@outlook.com",RIGHT(B4442,12)="@hotmail.com",RIGHT(B4442,9)="@live.com"),"Outlook","Domain")))</f>
        <v/>
      </c>
      <c r="F4442">
        <f>IF(B4442="","",IFERROR(RIGHT(B4442,LEN(B4442)-FIND("@",B4442)),""))</f>
        <v/>
      </c>
      <c r="G4442">
        <f>IF(D4442="KEEP",COUNTIF($D$2:D4442,"KEEP"),"")</f>
        <v/>
      </c>
      <c r="H4442">
        <f>IF(D4442="REMOVE",COUNTIF($D$2:D4442,"REMOVE"),"")</f>
        <v/>
      </c>
      <c r="I4442">
        <f>IF(E4442="Gmail",COUNTIF($E$2:E4442,"Gmail"),"")</f>
        <v/>
      </c>
      <c r="J4442">
        <f>IF(E4442="Outlook",COUNTIF($E$2:E4442,"Outlook"),"")</f>
        <v/>
      </c>
      <c r="K4442">
        <f>IF(E4442="Domain",COUNTIF($E$2:E4442,"Domain"),"")</f>
        <v/>
      </c>
    </row>
    <row r="4443">
      <c r="A4443" s="2" t="n"/>
      <c r="B4443">
        <f>LOWER(TRIM(A4443))</f>
        <v/>
      </c>
      <c r="C4443">
        <f>IF(B4443="","",IFERROR(INDEX('Bad Patterns'!$A$2:$A$120,MATCH(1,INDEX(--ISNUMBER(SEARCH('Bad Patterns'!$A$2:$A$120,B4443)),0),0)),""))</f>
        <v/>
      </c>
      <c r="D4443">
        <f>IF(B4443="","",IF(C4443&lt;&gt;"","REMOVE","KEEP"))</f>
        <v/>
      </c>
      <c r="E4443">
        <f>IF(D4443&lt;&gt;"KEEP","",IF(RIGHT(B4443,10)="@gmail.com","Gmail",IF(OR(RIGHT(B4443,12)="@outlook.com",RIGHT(B4443,12)="@hotmail.com",RIGHT(B4443,9)="@live.com"),"Outlook","Domain")))</f>
        <v/>
      </c>
      <c r="F4443">
        <f>IF(B4443="","",IFERROR(RIGHT(B4443,LEN(B4443)-FIND("@",B4443)),""))</f>
        <v/>
      </c>
      <c r="G4443">
        <f>IF(D4443="KEEP",COUNTIF($D$2:D4443,"KEEP"),"")</f>
        <v/>
      </c>
      <c r="H4443">
        <f>IF(D4443="REMOVE",COUNTIF($D$2:D4443,"REMOVE"),"")</f>
        <v/>
      </c>
      <c r="I4443">
        <f>IF(E4443="Gmail",COUNTIF($E$2:E4443,"Gmail"),"")</f>
        <v/>
      </c>
      <c r="J4443">
        <f>IF(E4443="Outlook",COUNTIF($E$2:E4443,"Outlook"),"")</f>
        <v/>
      </c>
      <c r="K4443">
        <f>IF(E4443="Domain",COUNTIF($E$2:E4443,"Domain"),"")</f>
        <v/>
      </c>
    </row>
    <row r="4444">
      <c r="A4444" s="2" t="n"/>
      <c r="B4444">
        <f>LOWER(TRIM(A4444))</f>
        <v/>
      </c>
      <c r="C4444">
        <f>IF(B4444="","",IFERROR(INDEX('Bad Patterns'!$A$2:$A$120,MATCH(1,INDEX(--ISNUMBER(SEARCH('Bad Patterns'!$A$2:$A$120,B4444)),0),0)),""))</f>
        <v/>
      </c>
      <c r="D4444">
        <f>IF(B4444="","",IF(C4444&lt;&gt;"","REMOVE","KEEP"))</f>
        <v/>
      </c>
      <c r="E4444">
        <f>IF(D4444&lt;&gt;"KEEP","",IF(RIGHT(B4444,10)="@gmail.com","Gmail",IF(OR(RIGHT(B4444,12)="@outlook.com",RIGHT(B4444,12)="@hotmail.com",RIGHT(B4444,9)="@live.com"),"Outlook","Domain")))</f>
        <v/>
      </c>
      <c r="F4444">
        <f>IF(B4444="","",IFERROR(RIGHT(B4444,LEN(B4444)-FIND("@",B4444)),""))</f>
        <v/>
      </c>
      <c r="G4444">
        <f>IF(D4444="KEEP",COUNTIF($D$2:D4444,"KEEP"),"")</f>
        <v/>
      </c>
      <c r="H4444">
        <f>IF(D4444="REMOVE",COUNTIF($D$2:D4444,"REMOVE"),"")</f>
        <v/>
      </c>
      <c r="I4444">
        <f>IF(E4444="Gmail",COUNTIF($E$2:E4444,"Gmail"),"")</f>
        <v/>
      </c>
      <c r="J4444">
        <f>IF(E4444="Outlook",COUNTIF($E$2:E4444,"Outlook"),"")</f>
        <v/>
      </c>
      <c r="K4444">
        <f>IF(E4444="Domain",COUNTIF($E$2:E4444,"Domain"),"")</f>
        <v/>
      </c>
    </row>
    <row r="4445">
      <c r="A4445" s="2" t="n"/>
      <c r="B4445">
        <f>LOWER(TRIM(A4445))</f>
        <v/>
      </c>
      <c r="C4445">
        <f>IF(B4445="","",IFERROR(INDEX('Bad Patterns'!$A$2:$A$120,MATCH(1,INDEX(--ISNUMBER(SEARCH('Bad Patterns'!$A$2:$A$120,B4445)),0),0)),""))</f>
        <v/>
      </c>
      <c r="D4445">
        <f>IF(B4445="","",IF(C4445&lt;&gt;"","REMOVE","KEEP"))</f>
        <v/>
      </c>
      <c r="E4445">
        <f>IF(D4445&lt;&gt;"KEEP","",IF(RIGHT(B4445,10)="@gmail.com","Gmail",IF(OR(RIGHT(B4445,12)="@outlook.com",RIGHT(B4445,12)="@hotmail.com",RIGHT(B4445,9)="@live.com"),"Outlook","Domain")))</f>
        <v/>
      </c>
      <c r="F4445">
        <f>IF(B4445="","",IFERROR(RIGHT(B4445,LEN(B4445)-FIND("@",B4445)),""))</f>
        <v/>
      </c>
      <c r="G4445">
        <f>IF(D4445="KEEP",COUNTIF($D$2:D4445,"KEEP"),"")</f>
        <v/>
      </c>
      <c r="H4445">
        <f>IF(D4445="REMOVE",COUNTIF($D$2:D4445,"REMOVE"),"")</f>
        <v/>
      </c>
      <c r="I4445">
        <f>IF(E4445="Gmail",COUNTIF($E$2:E4445,"Gmail"),"")</f>
        <v/>
      </c>
      <c r="J4445">
        <f>IF(E4445="Outlook",COUNTIF($E$2:E4445,"Outlook"),"")</f>
        <v/>
      </c>
      <c r="K4445">
        <f>IF(E4445="Domain",COUNTIF($E$2:E4445,"Domain"),"")</f>
        <v/>
      </c>
    </row>
    <row r="4446">
      <c r="A4446" s="2" t="n"/>
      <c r="B4446">
        <f>LOWER(TRIM(A4446))</f>
        <v/>
      </c>
      <c r="C4446">
        <f>IF(B4446="","",IFERROR(INDEX('Bad Patterns'!$A$2:$A$120,MATCH(1,INDEX(--ISNUMBER(SEARCH('Bad Patterns'!$A$2:$A$120,B4446)),0),0)),""))</f>
        <v/>
      </c>
      <c r="D4446">
        <f>IF(B4446="","",IF(C4446&lt;&gt;"","REMOVE","KEEP"))</f>
        <v/>
      </c>
      <c r="E4446">
        <f>IF(D4446&lt;&gt;"KEEP","",IF(RIGHT(B4446,10)="@gmail.com","Gmail",IF(OR(RIGHT(B4446,12)="@outlook.com",RIGHT(B4446,12)="@hotmail.com",RIGHT(B4446,9)="@live.com"),"Outlook","Domain")))</f>
        <v/>
      </c>
      <c r="F4446">
        <f>IF(B4446="","",IFERROR(RIGHT(B4446,LEN(B4446)-FIND("@",B4446)),""))</f>
        <v/>
      </c>
      <c r="G4446">
        <f>IF(D4446="KEEP",COUNTIF($D$2:D4446,"KEEP"),"")</f>
        <v/>
      </c>
      <c r="H4446">
        <f>IF(D4446="REMOVE",COUNTIF($D$2:D4446,"REMOVE"),"")</f>
        <v/>
      </c>
      <c r="I4446">
        <f>IF(E4446="Gmail",COUNTIF($E$2:E4446,"Gmail"),"")</f>
        <v/>
      </c>
      <c r="J4446">
        <f>IF(E4446="Outlook",COUNTIF($E$2:E4446,"Outlook"),"")</f>
        <v/>
      </c>
      <c r="K4446">
        <f>IF(E4446="Domain",COUNTIF($E$2:E4446,"Domain"),"")</f>
        <v/>
      </c>
    </row>
    <row r="4447">
      <c r="A4447" s="2" t="n"/>
      <c r="B4447">
        <f>LOWER(TRIM(A4447))</f>
        <v/>
      </c>
      <c r="C4447">
        <f>IF(B4447="","",IFERROR(INDEX('Bad Patterns'!$A$2:$A$120,MATCH(1,INDEX(--ISNUMBER(SEARCH('Bad Patterns'!$A$2:$A$120,B4447)),0),0)),""))</f>
        <v/>
      </c>
      <c r="D4447">
        <f>IF(B4447="","",IF(C4447&lt;&gt;"","REMOVE","KEEP"))</f>
        <v/>
      </c>
      <c r="E4447">
        <f>IF(D4447&lt;&gt;"KEEP","",IF(RIGHT(B4447,10)="@gmail.com","Gmail",IF(OR(RIGHT(B4447,12)="@outlook.com",RIGHT(B4447,12)="@hotmail.com",RIGHT(B4447,9)="@live.com"),"Outlook","Domain")))</f>
        <v/>
      </c>
      <c r="F4447">
        <f>IF(B4447="","",IFERROR(RIGHT(B4447,LEN(B4447)-FIND("@",B4447)),""))</f>
        <v/>
      </c>
      <c r="G4447">
        <f>IF(D4447="KEEP",COUNTIF($D$2:D4447,"KEEP"),"")</f>
        <v/>
      </c>
      <c r="H4447">
        <f>IF(D4447="REMOVE",COUNTIF($D$2:D4447,"REMOVE"),"")</f>
        <v/>
      </c>
      <c r="I4447">
        <f>IF(E4447="Gmail",COUNTIF($E$2:E4447,"Gmail"),"")</f>
        <v/>
      </c>
      <c r="J4447">
        <f>IF(E4447="Outlook",COUNTIF($E$2:E4447,"Outlook"),"")</f>
        <v/>
      </c>
      <c r="K4447">
        <f>IF(E4447="Domain",COUNTIF($E$2:E4447,"Domain"),"")</f>
        <v/>
      </c>
    </row>
    <row r="4448">
      <c r="A4448" s="2" t="n"/>
      <c r="B4448">
        <f>LOWER(TRIM(A4448))</f>
        <v/>
      </c>
      <c r="C4448">
        <f>IF(B4448="","",IFERROR(INDEX('Bad Patterns'!$A$2:$A$120,MATCH(1,INDEX(--ISNUMBER(SEARCH('Bad Patterns'!$A$2:$A$120,B4448)),0),0)),""))</f>
        <v/>
      </c>
      <c r="D4448">
        <f>IF(B4448="","",IF(C4448&lt;&gt;"","REMOVE","KEEP"))</f>
        <v/>
      </c>
      <c r="E4448">
        <f>IF(D4448&lt;&gt;"KEEP","",IF(RIGHT(B4448,10)="@gmail.com","Gmail",IF(OR(RIGHT(B4448,12)="@outlook.com",RIGHT(B4448,12)="@hotmail.com",RIGHT(B4448,9)="@live.com"),"Outlook","Domain")))</f>
        <v/>
      </c>
      <c r="F4448">
        <f>IF(B4448="","",IFERROR(RIGHT(B4448,LEN(B4448)-FIND("@",B4448)),""))</f>
        <v/>
      </c>
      <c r="G4448">
        <f>IF(D4448="KEEP",COUNTIF($D$2:D4448,"KEEP"),"")</f>
        <v/>
      </c>
      <c r="H4448">
        <f>IF(D4448="REMOVE",COUNTIF($D$2:D4448,"REMOVE"),"")</f>
        <v/>
      </c>
      <c r="I4448">
        <f>IF(E4448="Gmail",COUNTIF($E$2:E4448,"Gmail"),"")</f>
        <v/>
      </c>
      <c r="J4448">
        <f>IF(E4448="Outlook",COUNTIF($E$2:E4448,"Outlook"),"")</f>
        <v/>
      </c>
      <c r="K4448">
        <f>IF(E4448="Domain",COUNTIF($E$2:E4448,"Domain"),"")</f>
        <v/>
      </c>
    </row>
    <row r="4449">
      <c r="A4449" s="2" t="n"/>
      <c r="B4449">
        <f>LOWER(TRIM(A4449))</f>
        <v/>
      </c>
      <c r="C4449">
        <f>IF(B4449="","",IFERROR(INDEX('Bad Patterns'!$A$2:$A$120,MATCH(1,INDEX(--ISNUMBER(SEARCH('Bad Patterns'!$A$2:$A$120,B4449)),0),0)),""))</f>
        <v/>
      </c>
      <c r="D4449">
        <f>IF(B4449="","",IF(C4449&lt;&gt;"","REMOVE","KEEP"))</f>
        <v/>
      </c>
      <c r="E4449">
        <f>IF(D4449&lt;&gt;"KEEP","",IF(RIGHT(B4449,10)="@gmail.com","Gmail",IF(OR(RIGHT(B4449,12)="@outlook.com",RIGHT(B4449,12)="@hotmail.com",RIGHT(B4449,9)="@live.com"),"Outlook","Domain")))</f>
        <v/>
      </c>
      <c r="F4449">
        <f>IF(B4449="","",IFERROR(RIGHT(B4449,LEN(B4449)-FIND("@",B4449)),""))</f>
        <v/>
      </c>
      <c r="G4449">
        <f>IF(D4449="KEEP",COUNTIF($D$2:D4449,"KEEP"),"")</f>
        <v/>
      </c>
      <c r="H4449">
        <f>IF(D4449="REMOVE",COUNTIF($D$2:D4449,"REMOVE"),"")</f>
        <v/>
      </c>
      <c r="I4449">
        <f>IF(E4449="Gmail",COUNTIF($E$2:E4449,"Gmail"),"")</f>
        <v/>
      </c>
      <c r="J4449">
        <f>IF(E4449="Outlook",COUNTIF($E$2:E4449,"Outlook"),"")</f>
        <v/>
      </c>
      <c r="K4449">
        <f>IF(E4449="Domain",COUNTIF($E$2:E4449,"Domain"),"")</f>
        <v/>
      </c>
    </row>
    <row r="4450">
      <c r="A4450" s="2" t="n"/>
      <c r="B4450">
        <f>LOWER(TRIM(A4450))</f>
        <v/>
      </c>
      <c r="C4450">
        <f>IF(B4450="","",IFERROR(INDEX('Bad Patterns'!$A$2:$A$120,MATCH(1,INDEX(--ISNUMBER(SEARCH('Bad Patterns'!$A$2:$A$120,B4450)),0),0)),""))</f>
        <v/>
      </c>
      <c r="D4450">
        <f>IF(B4450="","",IF(C4450&lt;&gt;"","REMOVE","KEEP"))</f>
        <v/>
      </c>
      <c r="E4450">
        <f>IF(D4450&lt;&gt;"KEEP","",IF(RIGHT(B4450,10)="@gmail.com","Gmail",IF(OR(RIGHT(B4450,12)="@outlook.com",RIGHT(B4450,12)="@hotmail.com",RIGHT(B4450,9)="@live.com"),"Outlook","Domain")))</f>
        <v/>
      </c>
      <c r="F4450">
        <f>IF(B4450="","",IFERROR(RIGHT(B4450,LEN(B4450)-FIND("@",B4450)),""))</f>
        <v/>
      </c>
      <c r="G4450">
        <f>IF(D4450="KEEP",COUNTIF($D$2:D4450,"KEEP"),"")</f>
        <v/>
      </c>
      <c r="H4450">
        <f>IF(D4450="REMOVE",COUNTIF($D$2:D4450,"REMOVE"),"")</f>
        <v/>
      </c>
      <c r="I4450">
        <f>IF(E4450="Gmail",COUNTIF($E$2:E4450,"Gmail"),"")</f>
        <v/>
      </c>
      <c r="J4450">
        <f>IF(E4450="Outlook",COUNTIF($E$2:E4450,"Outlook"),"")</f>
        <v/>
      </c>
      <c r="K4450">
        <f>IF(E4450="Domain",COUNTIF($E$2:E4450,"Domain"),"")</f>
        <v/>
      </c>
    </row>
    <row r="4451">
      <c r="A4451" s="2" t="n"/>
      <c r="B4451">
        <f>LOWER(TRIM(A4451))</f>
        <v/>
      </c>
      <c r="C4451">
        <f>IF(B4451="","",IFERROR(INDEX('Bad Patterns'!$A$2:$A$120,MATCH(1,INDEX(--ISNUMBER(SEARCH('Bad Patterns'!$A$2:$A$120,B4451)),0),0)),""))</f>
        <v/>
      </c>
      <c r="D4451">
        <f>IF(B4451="","",IF(C4451&lt;&gt;"","REMOVE","KEEP"))</f>
        <v/>
      </c>
      <c r="E4451">
        <f>IF(D4451&lt;&gt;"KEEP","",IF(RIGHT(B4451,10)="@gmail.com","Gmail",IF(OR(RIGHT(B4451,12)="@outlook.com",RIGHT(B4451,12)="@hotmail.com",RIGHT(B4451,9)="@live.com"),"Outlook","Domain")))</f>
        <v/>
      </c>
      <c r="F4451">
        <f>IF(B4451="","",IFERROR(RIGHT(B4451,LEN(B4451)-FIND("@",B4451)),""))</f>
        <v/>
      </c>
      <c r="G4451">
        <f>IF(D4451="KEEP",COUNTIF($D$2:D4451,"KEEP"),"")</f>
        <v/>
      </c>
      <c r="H4451">
        <f>IF(D4451="REMOVE",COUNTIF($D$2:D4451,"REMOVE"),"")</f>
        <v/>
      </c>
      <c r="I4451">
        <f>IF(E4451="Gmail",COUNTIF($E$2:E4451,"Gmail"),"")</f>
        <v/>
      </c>
      <c r="J4451">
        <f>IF(E4451="Outlook",COUNTIF($E$2:E4451,"Outlook"),"")</f>
        <v/>
      </c>
      <c r="K4451">
        <f>IF(E4451="Domain",COUNTIF($E$2:E4451,"Domain"),"")</f>
        <v/>
      </c>
    </row>
    <row r="4452">
      <c r="A4452" s="2" t="n"/>
      <c r="B4452">
        <f>LOWER(TRIM(A4452))</f>
        <v/>
      </c>
      <c r="C4452">
        <f>IF(B4452="","",IFERROR(INDEX('Bad Patterns'!$A$2:$A$120,MATCH(1,INDEX(--ISNUMBER(SEARCH('Bad Patterns'!$A$2:$A$120,B4452)),0),0)),""))</f>
        <v/>
      </c>
      <c r="D4452">
        <f>IF(B4452="","",IF(C4452&lt;&gt;"","REMOVE","KEEP"))</f>
        <v/>
      </c>
      <c r="E4452">
        <f>IF(D4452&lt;&gt;"KEEP","",IF(RIGHT(B4452,10)="@gmail.com","Gmail",IF(OR(RIGHT(B4452,12)="@outlook.com",RIGHT(B4452,12)="@hotmail.com",RIGHT(B4452,9)="@live.com"),"Outlook","Domain")))</f>
        <v/>
      </c>
      <c r="F4452">
        <f>IF(B4452="","",IFERROR(RIGHT(B4452,LEN(B4452)-FIND("@",B4452)),""))</f>
        <v/>
      </c>
      <c r="G4452">
        <f>IF(D4452="KEEP",COUNTIF($D$2:D4452,"KEEP"),"")</f>
        <v/>
      </c>
      <c r="H4452">
        <f>IF(D4452="REMOVE",COUNTIF($D$2:D4452,"REMOVE"),"")</f>
        <v/>
      </c>
      <c r="I4452">
        <f>IF(E4452="Gmail",COUNTIF($E$2:E4452,"Gmail"),"")</f>
        <v/>
      </c>
      <c r="J4452">
        <f>IF(E4452="Outlook",COUNTIF($E$2:E4452,"Outlook"),"")</f>
        <v/>
      </c>
      <c r="K4452">
        <f>IF(E4452="Domain",COUNTIF($E$2:E4452,"Domain"),"")</f>
        <v/>
      </c>
    </row>
    <row r="4453">
      <c r="A4453" s="2" t="n"/>
      <c r="B4453">
        <f>LOWER(TRIM(A4453))</f>
        <v/>
      </c>
      <c r="C4453">
        <f>IF(B4453="","",IFERROR(INDEX('Bad Patterns'!$A$2:$A$120,MATCH(1,INDEX(--ISNUMBER(SEARCH('Bad Patterns'!$A$2:$A$120,B4453)),0),0)),""))</f>
        <v/>
      </c>
      <c r="D4453">
        <f>IF(B4453="","",IF(C4453&lt;&gt;"","REMOVE","KEEP"))</f>
        <v/>
      </c>
      <c r="E4453">
        <f>IF(D4453&lt;&gt;"KEEP","",IF(RIGHT(B4453,10)="@gmail.com","Gmail",IF(OR(RIGHT(B4453,12)="@outlook.com",RIGHT(B4453,12)="@hotmail.com",RIGHT(B4453,9)="@live.com"),"Outlook","Domain")))</f>
        <v/>
      </c>
      <c r="F4453">
        <f>IF(B4453="","",IFERROR(RIGHT(B4453,LEN(B4453)-FIND("@",B4453)),""))</f>
        <v/>
      </c>
      <c r="G4453">
        <f>IF(D4453="KEEP",COUNTIF($D$2:D4453,"KEEP"),"")</f>
        <v/>
      </c>
      <c r="H4453">
        <f>IF(D4453="REMOVE",COUNTIF($D$2:D4453,"REMOVE"),"")</f>
        <v/>
      </c>
      <c r="I4453">
        <f>IF(E4453="Gmail",COUNTIF($E$2:E4453,"Gmail"),"")</f>
        <v/>
      </c>
      <c r="J4453">
        <f>IF(E4453="Outlook",COUNTIF($E$2:E4453,"Outlook"),"")</f>
        <v/>
      </c>
      <c r="K4453">
        <f>IF(E4453="Domain",COUNTIF($E$2:E4453,"Domain"),"")</f>
        <v/>
      </c>
    </row>
    <row r="4454">
      <c r="A4454" s="2" t="n"/>
      <c r="B4454">
        <f>LOWER(TRIM(A4454))</f>
        <v/>
      </c>
      <c r="C4454">
        <f>IF(B4454="","",IFERROR(INDEX('Bad Patterns'!$A$2:$A$120,MATCH(1,INDEX(--ISNUMBER(SEARCH('Bad Patterns'!$A$2:$A$120,B4454)),0),0)),""))</f>
        <v/>
      </c>
      <c r="D4454">
        <f>IF(B4454="","",IF(C4454&lt;&gt;"","REMOVE","KEEP"))</f>
        <v/>
      </c>
      <c r="E4454">
        <f>IF(D4454&lt;&gt;"KEEP","",IF(RIGHT(B4454,10)="@gmail.com","Gmail",IF(OR(RIGHT(B4454,12)="@outlook.com",RIGHT(B4454,12)="@hotmail.com",RIGHT(B4454,9)="@live.com"),"Outlook","Domain")))</f>
        <v/>
      </c>
      <c r="F4454">
        <f>IF(B4454="","",IFERROR(RIGHT(B4454,LEN(B4454)-FIND("@",B4454)),""))</f>
        <v/>
      </c>
      <c r="G4454">
        <f>IF(D4454="KEEP",COUNTIF($D$2:D4454,"KEEP"),"")</f>
        <v/>
      </c>
      <c r="H4454">
        <f>IF(D4454="REMOVE",COUNTIF($D$2:D4454,"REMOVE"),"")</f>
        <v/>
      </c>
      <c r="I4454">
        <f>IF(E4454="Gmail",COUNTIF($E$2:E4454,"Gmail"),"")</f>
        <v/>
      </c>
      <c r="J4454">
        <f>IF(E4454="Outlook",COUNTIF($E$2:E4454,"Outlook"),"")</f>
        <v/>
      </c>
      <c r="K4454">
        <f>IF(E4454="Domain",COUNTIF($E$2:E4454,"Domain"),"")</f>
        <v/>
      </c>
    </row>
    <row r="4455">
      <c r="A4455" s="2" t="n"/>
      <c r="B4455">
        <f>LOWER(TRIM(A4455))</f>
        <v/>
      </c>
      <c r="C4455">
        <f>IF(B4455="","",IFERROR(INDEX('Bad Patterns'!$A$2:$A$120,MATCH(1,INDEX(--ISNUMBER(SEARCH('Bad Patterns'!$A$2:$A$120,B4455)),0),0)),""))</f>
        <v/>
      </c>
      <c r="D4455">
        <f>IF(B4455="","",IF(C4455&lt;&gt;"","REMOVE","KEEP"))</f>
        <v/>
      </c>
      <c r="E4455">
        <f>IF(D4455&lt;&gt;"KEEP","",IF(RIGHT(B4455,10)="@gmail.com","Gmail",IF(OR(RIGHT(B4455,12)="@outlook.com",RIGHT(B4455,12)="@hotmail.com",RIGHT(B4455,9)="@live.com"),"Outlook","Domain")))</f>
        <v/>
      </c>
      <c r="F4455">
        <f>IF(B4455="","",IFERROR(RIGHT(B4455,LEN(B4455)-FIND("@",B4455)),""))</f>
        <v/>
      </c>
      <c r="G4455">
        <f>IF(D4455="KEEP",COUNTIF($D$2:D4455,"KEEP"),"")</f>
        <v/>
      </c>
      <c r="H4455">
        <f>IF(D4455="REMOVE",COUNTIF($D$2:D4455,"REMOVE"),"")</f>
        <v/>
      </c>
      <c r="I4455">
        <f>IF(E4455="Gmail",COUNTIF($E$2:E4455,"Gmail"),"")</f>
        <v/>
      </c>
      <c r="J4455">
        <f>IF(E4455="Outlook",COUNTIF($E$2:E4455,"Outlook"),"")</f>
        <v/>
      </c>
      <c r="K4455">
        <f>IF(E4455="Domain",COUNTIF($E$2:E4455,"Domain"),"")</f>
        <v/>
      </c>
    </row>
    <row r="4456">
      <c r="A4456" s="2" t="n"/>
      <c r="B4456">
        <f>LOWER(TRIM(A4456))</f>
        <v/>
      </c>
      <c r="C4456">
        <f>IF(B4456="","",IFERROR(INDEX('Bad Patterns'!$A$2:$A$120,MATCH(1,INDEX(--ISNUMBER(SEARCH('Bad Patterns'!$A$2:$A$120,B4456)),0),0)),""))</f>
        <v/>
      </c>
      <c r="D4456">
        <f>IF(B4456="","",IF(C4456&lt;&gt;"","REMOVE","KEEP"))</f>
        <v/>
      </c>
      <c r="E4456">
        <f>IF(D4456&lt;&gt;"KEEP","",IF(RIGHT(B4456,10)="@gmail.com","Gmail",IF(OR(RIGHT(B4456,12)="@outlook.com",RIGHT(B4456,12)="@hotmail.com",RIGHT(B4456,9)="@live.com"),"Outlook","Domain")))</f>
        <v/>
      </c>
      <c r="F4456">
        <f>IF(B4456="","",IFERROR(RIGHT(B4456,LEN(B4456)-FIND("@",B4456)),""))</f>
        <v/>
      </c>
      <c r="G4456">
        <f>IF(D4456="KEEP",COUNTIF($D$2:D4456,"KEEP"),"")</f>
        <v/>
      </c>
      <c r="H4456">
        <f>IF(D4456="REMOVE",COUNTIF($D$2:D4456,"REMOVE"),"")</f>
        <v/>
      </c>
      <c r="I4456">
        <f>IF(E4456="Gmail",COUNTIF($E$2:E4456,"Gmail"),"")</f>
        <v/>
      </c>
      <c r="J4456">
        <f>IF(E4456="Outlook",COUNTIF($E$2:E4456,"Outlook"),"")</f>
        <v/>
      </c>
      <c r="K4456">
        <f>IF(E4456="Domain",COUNTIF($E$2:E4456,"Domain"),"")</f>
        <v/>
      </c>
    </row>
    <row r="4457">
      <c r="A4457" s="2" t="n"/>
      <c r="B4457">
        <f>LOWER(TRIM(A4457))</f>
        <v/>
      </c>
      <c r="C4457">
        <f>IF(B4457="","",IFERROR(INDEX('Bad Patterns'!$A$2:$A$120,MATCH(1,INDEX(--ISNUMBER(SEARCH('Bad Patterns'!$A$2:$A$120,B4457)),0),0)),""))</f>
        <v/>
      </c>
      <c r="D4457">
        <f>IF(B4457="","",IF(C4457&lt;&gt;"","REMOVE","KEEP"))</f>
        <v/>
      </c>
      <c r="E4457">
        <f>IF(D4457&lt;&gt;"KEEP","",IF(RIGHT(B4457,10)="@gmail.com","Gmail",IF(OR(RIGHT(B4457,12)="@outlook.com",RIGHT(B4457,12)="@hotmail.com",RIGHT(B4457,9)="@live.com"),"Outlook","Domain")))</f>
        <v/>
      </c>
      <c r="F4457">
        <f>IF(B4457="","",IFERROR(RIGHT(B4457,LEN(B4457)-FIND("@",B4457)),""))</f>
        <v/>
      </c>
      <c r="G4457">
        <f>IF(D4457="KEEP",COUNTIF($D$2:D4457,"KEEP"),"")</f>
        <v/>
      </c>
      <c r="H4457">
        <f>IF(D4457="REMOVE",COUNTIF($D$2:D4457,"REMOVE"),"")</f>
        <v/>
      </c>
      <c r="I4457">
        <f>IF(E4457="Gmail",COUNTIF($E$2:E4457,"Gmail"),"")</f>
        <v/>
      </c>
      <c r="J4457">
        <f>IF(E4457="Outlook",COUNTIF($E$2:E4457,"Outlook"),"")</f>
        <v/>
      </c>
      <c r="K4457">
        <f>IF(E4457="Domain",COUNTIF($E$2:E4457,"Domain"),"")</f>
        <v/>
      </c>
    </row>
    <row r="4458">
      <c r="A4458" s="2" t="n"/>
      <c r="B4458">
        <f>LOWER(TRIM(A4458))</f>
        <v/>
      </c>
      <c r="C4458">
        <f>IF(B4458="","",IFERROR(INDEX('Bad Patterns'!$A$2:$A$120,MATCH(1,INDEX(--ISNUMBER(SEARCH('Bad Patterns'!$A$2:$A$120,B4458)),0),0)),""))</f>
        <v/>
      </c>
      <c r="D4458">
        <f>IF(B4458="","",IF(C4458&lt;&gt;"","REMOVE","KEEP"))</f>
        <v/>
      </c>
      <c r="E4458">
        <f>IF(D4458&lt;&gt;"KEEP","",IF(RIGHT(B4458,10)="@gmail.com","Gmail",IF(OR(RIGHT(B4458,12)="@outlook.com",RIGHT(B4458,12)="@hotmail.com",RIGHT(B4458,9)="@live.com"),"Outlook","Domain")))</f>
        <v/>
      </c>
      <c r="F4458">
        <f>IF(B4458="","",IFERROR(RIGHT(B4458,LEN(B4458)-FIND("@",B4458)),""))</f>
        <v/>
      </c>
      <c r="G4458">
        <f>IF(D4458="KEEP",COUNTIF($D$2:D4458,"KEEP"),"")</f>
        <v/>
      </c>
      <c r="H4458">
        <f>IF(D4458="REMOVE",COUNTIF($D$2:D4458,"REMOVE"),"")</f>
        <v/>
      </c>
      <c r="I4458">
        <f>IF(E4458="Gmail",COUNTIF($E$2:E4458,"Gmail"),"")</f>
        <v/>
      </c>
      <c r="J4458">
        <f>IF(E4458="Outlook",COUNTIF($E$2:E4458,"Outlook"),"")</f>
        <v/>
      </c>
      <c r="K4458">
        <f>IF(E4458="Domain",COUNTIF($E$2:E4458,"Domain"),"")</f>
        <v/>
      </c>
    </row>
    <row r="4459">
      <c r="A4459" s="2" t="n"/>
      <c r="B4459">
        <f>LOWER(TRIM(A4459))</f>
        <v/>
      </c>
      <c r="C4459">
        <f>IF(B4459="","",IFERROR(INDEX('Bad Patterns'!$A$2:$A$120,MATCH(1,INDEX(--ISNUMBER(SEARCH('Bad Patterns'!$A$2:$A$120,B4459)),0),0)),""))</f>
        <v/>
      </c>
      <c r="D4459">
        <f>IF(B4459="","",IF(C4459&lt;&gt;"","REMOVE","KEEP"))</f>
        <v/>
      </c>
      <c r="E4459">
        <f>IF(D4459&lt;&gt;"KEEP","",IF(RIGHT(B4459,10)="@gmail.com","Gmail",IF(OR(RIGHT(B4459,12)="@outlook.com",RIGHT(B4459,12)="@hotmail.com",RIGHT(B4459,9)="@live.com"),"Outlook","Domain")))</f>
        <v/>
      </c>
      <c r="F4459">
        <f>IF(B4459="","",IFERROR(RIGHT(B4459,LEN(B4459)-FIND("@",B4459)),""))</f>
        <v/>
      </c>
      <c r="G4459">
        <f>IF(D4459="KEEP",COUNTIF($D$2:D4459,"KEEP"),"")</f>
        <v/>
      </c>
      <c r="H4459">
        <f>IF(D4459="REMOVE",COUNTIF($D$2:D4459,"REMOVE"),"")</f>
        <v/>
      </c>
      <c r="I4459">
        <f>IF(E4459="Gmail",COUNTIF($E$2:E4459,"Gmail"),"")</f>
        <v/>
      </c>
      <c r="J4459">
        <f>IF(E4459="Outlook",COUNTIF($E$2:E4459,"Outlook"),"")</f>
        <v/>
      </c>
      <c r="K4459">
        <f>IF(E4459="Domain",COUNTIF($E$2:E4459,"Domain"),"")</f>
        <v/>
      </c>
    </row>
    <row r="4460">
      <c r="A4460" s="2" t="n"/>
      <c r="B4460">
        <f>LOWER(TRIM(A4460))</f>
        <v/>
      </c>
      <c r="C4460">
        <f>IF(B4460="","",IFERROR(INDEX('Bad Patterns'!$A$2:$A$120,MATCH(1,INDEX(--ISNUMBER(SEARCH('Bad Patterns'!$A$2:$A$120,B4460)),0),0)),""))</f>
        <v/>
      </c>
      <c r="D4460">
        <f>IF(B4460="","",IF(C4460&lt;&gt;"","REMOVE","KEEP"))</f>
        <v/>
      </c>
      <c r="E4460">
        <f>IF(D4460&lt;&gt;"KEEP","",IF(RIGHT(B4460,10)="@gmail.com","Gmail",IF(OR(RIGHT(B4460,12)="@outlook.com",RIGHT(B4460,12)="@hotmail.com",RIGHT(B4460,9)="@live.com"),"Outlook","Domain")))</f>
        <v/>
      </c>
      <c r="F4460">
        <f>IF(B4460="","",IFERROR(RIGHT(B4460,LEN(B4460)-FIND("@",B4460)),""))</f>
        <v/>
      </c>
      <c r="G4460">
        <f>IF(D4460="KEEP",COUNTIF($D$2:D4460,"KEEP"),"")</f>
        <v/>
      </c>
      <c r="H4460">
        <f>IF(D4460="REMOVE",COUNTIF($D$2:D4460,"REMOVE"),"")</f>
        <v/>
      </c>
      <c r="I4460">
        <f>IF(E4460="Gmail",COUNTIF($E$2:E4460,"Gmail"),"")</f>
        <v/>
      </c>
      <c r="J4460">
        <f>IF(E4460="Outlook",COUNTIF($E$2:E4460,"Outlook"),"")</f>
        <v/>
      </c>
      <c r="K4460">
        <f>IF(E4460="Domain",COUNTIF($E$2:E4460,"Domain"),"")</f>
        <v/>
      </c>
    </row>
    <row r="4461">
      <c r="A4461" s="2" t="n"/>
      <c r="B4461">
        <f>LOWER(TRIM(A4461))</f>
        <v/>
      </c>
      <c r="C4461">
        <f>IF(B4461="","",IFERROR(INDEX('Bad Patterns'!$A$2:$A$120,MATCH(1,INDEX(--ISNUMBER(SEARCH('Bad Patterns'!$A$2:$A$120,B4461)),0),0)),""))</f>
        <v/>
      </c>
      <c r="D4461">
        <f>IF(B4461="","",IF(C4461&lt;&gt;"","REMOVE","KEEP"))</f>
        <v/>
      </c>
      <c r="E4461">
        <f>IF(D4461&lt;&gt;"KEEP","",IF(RIGHT(B4461,10)="@gmail.com","Gmail",IF(OR(RIGHT(B4461,12)="@outlook.com",RIGHT(B4461,12)="@hotmail.com",RIGHT(B4461,9)="@live.com"),"Outlook","Domain")))</f>
        <v/>
      </c>
      <c r="F4461">
        <f>IF(B4461="","",IFERROR(RIGHT(B4461,LEN(B4461)-FIND("@",B4461)),""))</f>
        <v/>
      </c>
      <c r="G4461">
        <f>IF(D4461="KEEP",COUNTIF($D$2:D4461,"KEEP"),"")</f>
        <v/>
      </c>
      <c r="H4461">
        <f>IF(D4461="REMOVE",COUNTIF($D$2:D4461,"REMOVE"),"")</f>
        <v/>
      </c>
      <c r="I4461">
        <f>IF(E4461="Gmail",COUNTIF($E$2:E4461,"Gmail"),"")</f>
        <v/>
      </c>
      <c r="J4461">
        <f>IF(E4461="Outlook",COUNTIF($E$2:E4461,"Outlook"),"")</f>
        <v/>
      </c>
      <c r="K4461">
        <f>IF(E4461="Domain",COUNTIF($E$2:E4461,"Domain"),"")</f>
        <v/>
      </c>
    </row>
    <row r="4462">
      <c r="A4462" s="2" t="n"/>
      <c r="B4462">
        <f>LOWER(TRIM(A4462))</f>
        <v/>
      </c>
      <c r="C4462">
        <f>IF(B4462="","",IFERROR(INDEX('Bad Patterns'!$A$2:$A$120,MATCH(1,INDEX(--ISNUMBER(SEARCH('Bad Patterns'!$A$2:$A$120,B4462)),0),0)),""))</f>
        <v/>
      </c>
      <c r="D4462">
        <f>IF(B4462="","",IF(C4462&lt;&gt;"","REMOVE","KEEP"))</f>
        <v/>
      </c>
      <c r="E4462">
        <f>IF(D4462&lt;&gt;"KEEP","",IF(RIGHT(B4462,10)="@gmail.com","Gmail",IF(OR(RIGHT(B4462,12)="@outlook.com",RIGHT(B4462,12)="@hotmail.com",RIGHT(B4462,9)="@live.com"),"Outlook","Domain")))</f>
        <v/>
      </c>
      <c r="F4462">
        <f>IF(B4462="","",IFERROR(RIGHT(B4462,LEN(B4462)-FIND("@",B4462)),""))</f>
        <v/>
      </c>
      <c r="G4462">
        <f>IF(D4462="KEEP",COUNTIF($D$2:D4462,"KEEP"),"")</f>
        <v/>
      </c>
      <c r="H4462">
        <f>IF(D4462="REMOVE",COUNTIF($D$2:D4462,"REMOVE"),"")</f>
        <v/>
      </c>
      <c r="I4462">
        <f>IF(E4462="Gmail",COUNTIF($E$2:E4462,"Gmail"),"")</f>
        <v/>
      </c>
      <c r="J4462">
        <f>IF(E4462="Outlook",COUNTIF($E$2:E4462,"Outlook"),"")</f>
        <v/>
      </c>
      <c r="K4462">
        <f>IF(E4462="Domain",COUNTIF($E$2:E4462,"Domain"),"")</f>
        <v/>
      </c>
    </row>
    <row r="4463">
      <c r="A4463" s="2" t="n"/>
      <c r="B4463">
        <f>LOWER(TRIM(A4463))</f>
        <v/>
      </c>
      <c r="C4463">
        <f>IF(B4463="","",IFERROR(INDEX('Bad Patterns'!$A$2:$A$120,MATCH(1,INDEX(--ISNUMBER(SEARCH('Bad Patterns'!$A$2:$A$120,B4463)),0),0)),""))</f>
        <v/>
      </c>
      <c r="D4463">
        <f>IF(B4463="","",IF(C4463&lt;&gt;"","REMOVE","KEEP"))</f>
        <v/>
      </c>
      <c r="E4463">
        <f>IF(D4463&lt;&gt;"KEEP","",IF(RIGHT(B4463,10)="@gmail.com","Gmail",IF(OR(RIGHT(B4463,12)="@outlook.com",RIGHT(B4463,12)="@hotmail.com",RIGHT(B4463,9)="@live.com"),"Outlook","Domain")))</f>
        <v/>
      </c>
      <c r="F4463">
        <f>IF(B4463="","",IFERROR(RIGHT(B4463,LEN(B4463)-FIND("@",B4463)),""))</f>
        <v/>
      </c>
      <c r="G4463">
        <f>IF(D4463="KEEP",COUNTIF($D$2:D4463,"KEEP"),"")</f>
        <v/>
      </c>
      <c r="H4463">
        <f>IF(D4463="REMOVE",COUNTIF($D$2:D4463,"REMOVE"),"")</f>
        <v/>
      </c>
      <c r="I4463">
        <f>IF(E4463="Gmail",COUNTIF($E$2:E4463,"Gmail"),"")</f>
        <v/>
      </c>
      <c r="J4463">
        <f>IF(E4463="Outlook",COUNTIF($E$2:E4463,"Outlook"),"")</f>
        <v/>
      </c>
      <c r="K4463">
        <f>IF(E4463="Domain",COUNTIF($E$2:E4463,"Domain"),"")</f>
        <v/>
      </c>
    </row>
    <row r="4464">
      <c r="A4464" s="2" t="n"/>
      <c r="B4464">
        <f>LOWER(TRIM(A4464))</f>
        <v/>
      </c>
      <c r="C4464">
        <f>IF(B4464="","",IFERROR(INDEX('Bad Patterns'!$A$2:$A$120,MATCH(1,INDEX(--ISNUMBER(SEARCH('Bad Patterns'!$A$2:$A$120,B4464)),0),0)),""))</f>
        <v/>
      </c>
      <c r="D4464">
        <f>IF(B4464="","",IF(C4464&lt;&gt;"","REMOVE","KEEP"))</f>
        <v/>
      </c>
      <c r="E4464">
        <f>IF(D4464&lt;&gt;"KEEP","",IF(RIGHT(B4464,10)="@gmail.com","Gmail",IF(OR(RIGHT(B4464,12)="@outlook.com",RIGHT(B4464,12)="@hotmail.com",RIGHT(B4464,9)="@live.com"),"Outlook","Domain")))</f>
        <v/>
      </c>
      <c r="F4464">
        <f>IF(B4464="","",IFERROR(RIGHT(B4464,LEN(B4464)-FIND("@",B4464)),""))</f>
        <v/>
      </c>
      <c r="G4464">
        <f>IF(D4464="KEEP",COUNTIF($D$2:D4464,"KEEP"),"")</f>
        <v/>
      </c>
      <c r="H4464">
        <f>IF(D4464="REMOVE",COUNTIF($D$2:D4464,"REMOVE"),"")</f>
        <v/>
      </c>
      <c r="I4464">
        <f>IF(E4464="Gmail",COUNTIF($E$2:E4464,"Gmail"),"")</f>
        <v/>
      </c>
      <c r="J4464">
        <f>IF(E4464="Outlook",COUNTIF($E$2:E4464,"Outlook"),"")</f>
        <v/>
      </c>
      <c r="K4464">
        <f>IF(E4464="Domain",COUNTIF($E$2:E4464,"Domain"),"")</f>
        <v/>
      </c>
    </row>
    <row r="4465">
      <c r="A4465" s="2" t="n"/>
      <c r="B4465">
        <f>LOWER(TRIM(A4465))</f>
        <v/>
      </c>
      <c r="C4465">
        <f>IF(B4465="","",IFERROR(INDEX('Bad Patterns'!$A$2:$A$120,MATCH(1,INDEX(--ISNUMBER(SEARCH('Bad Patterns'!$A$2:$A$120,B4465)),0),0)),""))</f>
        <v/>
      </c>
      <c r="D4465">
        <f>IF(B4465="","",IF(C4465&lt;&gt;"","REMOVE","KEEP"))</f>
        <v/>
      </c>
      <c r="E4465">
        <f>IF(D4465&lt;&gt;"KEEP","",IF(RIGHT(B4465,10)="@gmail.com","Gmail",IF(OR(RIGHT(B4465,12)="@outlook.com",RIGHT(B4465,12)="@hotmail.com",RIGHT(B4465,9)="@live.com"),"Outlook","Domain")))</f>
        <v/>
      </c>
      <c r="F4465">
        <f>IF(B4465="","",IFERROR(RIGHT(B4465,LEN(B4465)-FIND("@",B4465)),""))</f>
        <v/>
      </c>
      <c r="G4465">
        <f>IF(D4465="KEEP",COUNTIF($D$2:D4465,"KEEP"),"")</f>
        <v/>
      </c>
      <c r="H4465">
        <f>IF(D4465="REMOVE",COUNTIF($D$2:D4465,"REMOVE"),"")</f>
        <v/>
      </c>
      <c r="I4465">
        <f>IF(E4465="Gmail",COUNTIF($E$2:E4465,"Gmail"),"")</f>
        <v/>
      </c>
      <c r="J4465">
        <f>IF(E4465="Outlook",COUNTIF($E$2:E4465,"Outlook"),"")</f>
        <v/>
      </c>
      <c r="K4465">
        <f>IF(E4465="Domain",COUNTIF($E$2:E4465,"Domain"),"")</f>
        <v/>
      </c>
    </row>
    <row r="4466">
      <c r="A4466" s="2" t="n"/>
      <c r="B4466">
        <f>LOWER(TRIM(A4466))</f>
        <v/>
      </c>
      <c r="C4466">
        <f>IF(B4466="","",IFERROR(INDEX('Bad Patterns'!$A$2:$A$120,MATCH(1,INDEX(--ISNUMBER(SEARCH('Bad Patterns'!$A$2:$A$120,B4466)),0),0)),""))</f>
        <v/>
      </c>
      <c r="D4466">
        <f>IF(B4466="","",IF(C4466&lt;&gt;"","REMOVE","KEEP"))</f>
        <v/>
      </c>
      <c r="E4466">
        <f>IF(D4466&lt;&gt;"KEEP","",IF(RIGHT(B4466,10)="@gmail.com","Gmail",IF(OR(RIGHT(B4466,12)="@outlook.com",RIGHT(B4466,12)="@hotmail.com",RIGHT(B4466,9)="@live.com"),"Outlook","Domain")))</f>
        <v/>
      </c>
      <c r="F4466">
        <f>IF(B4466="","",IFERROR(RIGHT(B4466,LEN(B4466)-FIND("@",B4466)),""))</f>
        <v/>
      </c>
      <c r="G4466">
        <f>IF(D4466="KEEP",COUNTIF($D$2:D4466,"KEEP"),"")</f>
        <v/>
      </c>
      <c r="H4466">
        <f>IF(D4466="REMOVE",COUNTIF($D$2:D4466,"REMOVE"),"")</f>
        <v/>
      </c>
      <c r="I4466">
        <f>IF(E4466="Gmail",COUNTIF($E$2:E4466,"Gmail"),"")</f>
        <v/>
      </c>
      <c r="J4466">
        <f>IF(E4466="Outlook",COUNTIF($E$2:E4466,"Outlook"),"")</f>
        <v/>
      </c>
      <c r="K4466">
        <f>IF(E4466="Domain",COUNTIF($E$2:E4466,"Domain"),"")</f>
        <v/>
      </c>
    </row>
    <row r="4467">
      <c r="A4467" s="2" t="n"/>
      <c r="B4467">
        <f>LOWER(TRIM(A4467))</f>
        <v/>
      </c>
      <c r="C4467">
        <f>IF(B4467="","",IFERROR(INDEX('Bad Patterns'!$A$2:$A$120,MATCH(1,INDEX(--ISNUMBER(SEARCH('Bad Patterns'!$A$2:$A$120,B4467)),0),0)),""))</f>
        <v/>
      </c>
      <c r="D4467">
        <f>IF(B4467="","",IF(C4467&lt;&gt;"","REMOVE","KEEP"))</f>
        <v/>
      </c>
      <c r="E4467">
        <f>IF(D4467&lt;&gt;"KEEP","",IF(RIGHT(B4467,10)="@gmail.com","Gmail",IF(OR(RIGHT(B4467,12)="@outlook.com",RIGHT(B4467,12)="@hotmail.com",RIGHT(B4467,9)="@live.com"),"Outlook","Domain")))</f>
        <v/>
      </c>
      <c r="F4467">
        <f>IF(B4467="","",IFERROR(RIGHT(B4467,LEN(B4467)-FIND("@",B4467)),""))</f>
        <v/>
      </c>
      <c r="G4467">
        <f>IF(D4467="KEEP",COUNTIF($D$2:D4467,"KEEP"),"")</f>
        <v/>
      </c>
      <c r="H4467">
        <f>IF(D4467="REMOVE",COUNTIF($D$2:D4467,"REMOVE"),"")</f>
        <v/>
      </c>
      <c r="I4467">
        <f>IF(E4467="Gmail",COUNTIF($E$2:E4467,"Gmail"),"")</f>
        <v/>
      </c>
      <c r="J4467">
        <f>IF(E4467="Outlook",COUNTIF($E$2:E4467,"Outlook"),"")</f>
        <v/>
      </c>
      <c r="K4467">
        <f>IF(E4467="Domain",COUNTIF($E$2:E4467,"Domain"),"")</f>
        <v/>
      </c>
    </row>
    <row r="4468">
      <c r="A4468" s="2" t="n"/>
      <c r="B4468">
        <f>LOWER(TRIM(A4468))</f>
        <v/>
      </c>
      <c r="C4468">
        <f>IF(B4468="","",IFERROR(INDEX('Bad Patterns'!$A$2:$A$120,MATCH(1,INDEX(--ISNUMBER(SEARCH('Bad Patterns'!$A$2:$A$120,B4468)),0),0)),""))</f>
        <v/>
      </c>
      <c r="D4468">
        <f>IF(B4468="","",IF(C4468&lt;&gt;"","REMOVE","KEEP"))</f>
        <v/>
      </c>
      <c r="E4468">
        <f>IF(D4468&lt;&gt;"KEEP","",IF(RIGHT(B4468,10)="@gmail.com","Gmail",IF(OR(RIGHT(B4468,12)="@outlook.com",RIGHT(B4468,12)="@hotmail.com",RIGHT(B4468,9)="@live.com"),"Outlook","Domain")))</f>
        <v/>
      </c>
      <c r="F4468">
        <f>IF(B4468="","",IFERROR(RIGHT(B4468,LEN(B4468)-FIND("@",B4468)),""))</f>
        <v/>
      </c>
      <c r="G4468">
        <f>IF(D4468="KEEP",COUNTIF($D$2:D4468,"KEEP"),"")</f>
        <v/>
      </c>
      <c r="H4468">
        <f>IF(D4468="REMOVE",COUNTIF($D$2:D4468,"REMOVE"),"")</f>
        <v/>
      </c>
      <c r="I4468">
        <f>IF(E4468="Gmail",COUNTIF($E$2:E4468,"Gmail"),"")</f>
        <v/>
      </c>
      <c r="J4468">
        <f>IF(E4468="Outlook",COUNTIF($E$2:E4468,"Outlook"),"")</f>
        <v/>
      </c>
      <c r="K4468">
        <f>IF(E4468="Domain",COUNTIF($E$2:E4468,"Domain"),"")</f>
        <v/>
      </c>
    </row>
    <row r="4469">
      <c r="A4469" s="2" t="n"/>
      <c r="B4469">
        <f>LOWER(TRIM(A4469))</f>
        <v/>
      </c>
      <c r="C4469">
        <f>IF(B4469="","",IFERROR(INDEX('Bad Patterns'!$A$2:$A$120,MATCH(1,INDEX(--ISNUMBER(SEARCH('Bad Patterns'!$A$2:$A$120,B4469)),0),0)),""))</f>
        <v/>
      </c>
      <c r="D4469">
        <f>IF(B4469="","",IF(C4469&lt;&gt;"","REMOVE","KEEP"))</f>
        <v/>
      </c>
      <c r="E4469">
        <f>IF(D4469&lt;&gt;"KEEP","",IF(RIGHT(B4469,10)="@gmail.com","Gmail",IF(OR(RIGHT(B4469,12)="@outlook.com",RIGHT(B4469,12)="@hotmail.com",RIGHT(B4469,9)="@live.com"),"Outlook","Domain")))</f>
        <v/>
      </c>
      <c r="F4469">
        <f>IF(B4469="","",IFERROR(RIGHT(B4469,LEN(B4469)-FIND("@",B4469)),""))</f>
        <v/>
      </c>
      <c r="G4469">
        <f>IF(D4469="KEEP",COUNTIF($D$2:D4469,"KEEP"),"")</f>
        <v/>
      </c>
      <c r="H4469">
        <f>IF(D4469="REMOVE",COUNTIF($D$2:D4469,"REMOVE"),"")</f>
        <v/>
      </c>
      <c r="I4469">
        <f>IF(E4469="Gmail",COUNTIF($E$2:E4469,"Gmail"),"")</f>
        <v/>
      </c>
      <c r="J4469">
        <f>IF(E4469="Outlook",COUNTIF($E$2:E4469,"Outlook"),"")</f>
        <v/>
      </c>
      <c r="K4469">
        <f>IF(E4469="Domain",COUNTIF($E$2:E4469,"Domain"),"")</f>
        <v/>
      </c>
    </row>
    <row r="4470">
      <c r="A4470" s="2" t="n"/>
      <c r="B4470">
        <f>LOWER(TRIM(A4470))</f>
        <v/>
      </c>
      <c r="C4470">
        <f>IF(B4470="","",IFERROR(INDEX('Bad Patterns'!$A$2:$A$120,MATCH(1,INDEX(--ISNUMBER(SEARCH('Bad Patterns'!$A$2:$A$120,B4470)),0),0)),""))</f>
        <v/>
      </c>
      <c r="D4470">
        <f>IF(B4470="","",IF(C4470&lt;&gt;"","REMOVE","KEEP"))</f>
        <v/>
      </c>
      <c r="E4470">
        <f>IF(D4470&lt;&gt;"KEEP","",IF(RIGHT(B4470,10)="@gmail.com","Gmail",IF(OR(RIGHT(B4470,12)="@outlook.com",RIGHT(B4470,12)="@hotmail.com",RIGHT(B4470,9)="@live.com"),"Outlook","Domain")))</f>
        <v/>
      </c>
      <c r="F4470">
        <f>IF(B4470="","",IFERROR(RIGHT(B4470,LEN(B4470)-FIND("@",B4470)),""))</f>
        <v/>
      </c>
      <c r="G4470">
        <f>IF(D4470="KEEP",COUNTIF($D$2:D4470,"KEEP"),"")</f>
        <v/>
      </c>
      <c r="H4470">
        <f>IF(D4470="REMOVE",COUNTIF($D$2:D4470,"REMOVE"),"")</f>
        <v/>
      </c>
      <c r="I4470">
        <f>IF(E4470="Gmail",COUNTIF($E$2:E4470,"Gmail"),"")</f>
        <v/>
      </c>
      <c r="J4470">
        <f>IF(E4470="Outlook",COUNTIF($E$2:E4470,"Outlook"),"")</f>
        <v/>
      </c>
      <c r="K4470">
        <f>IF(E4470="Domain",COUNTIF($E$2:E4470,"Domain"),"")</f>
        <v/>
      </c>
    </row>
    <row r="4471">
      <c r="A4471" s="2" t="n"/>
      <c r="B4471">
        <f>LOWER(TRIM(A4471))</f>
        <v/>
      </c>
      <c r="C4471">
        <f>IF(B4471="","",IFERROR(INDEX('Bad Patterns'!$A$2:$A$120,MATCH(1,INDEX(--ISNUMBER(SEARCH('Bad Patterns'!$A$2:$A$120,B4471)),0),0)),""))</f>
        <v/>
      </c>
      <c r="D4471">
        <f>IF(B4471="","",IF(C4471&lt;&gt;"","REMOVE","KEEP"))</f>
        <v/>
      </c>
      <c r="E4471">
        <f>IF(D4471&lt;&gt;"KEEP","",IF(RIGHT(B4471,10)="@gmail.com","Gmail",IF(OR(RIGHT(B4471,12)="@outlook.com",RIGHT(B4471,12)="@hotmail.com",RIGHT(B4471,9)="@live.com"),"Outlook","Domain")))</f>
        <v/>
      </c>
      <c r="F4471">
        <f>IF(B4471="","",IFERROR(RIGHT(B4471,LEN(B4471)-FIND("@",B4471)),""))</f>
        <v/>
      </c>
      <c r="G4471">
        <f>IF(D4471="KEEP",COUNTIF($D$2:D4471,"KEEP"),"")</f>
        <v/>
      </c>
      <c r="H4471">
        <f>IF(D4471="REMOVE",COUNTIF($D$2:D4471,"REMOVE"),"")</f>
        <v/>
      </c>
      <c r="I4471">
        <f>IF(E4471="Gmail",COUNTIF($E$2:E4471,"Gmail"),"")</f>
        <v/>
      </c>
      <c r="J4471">
        <f>IF(E4471="Outlook",COUNTIF($E$2:E4471,"Outlook"),"")</f>
        <v/>
      </c>
      <c r="K4471">
        <f>IF(E4471="Domain",COUNTIF($E$2:E4471,"Domain"),"")</f>
        <v/>
      </c>
    </row>
    <row r="4472">
      <c r="A4472" s="2" t="n"/>
      <c r="B4472">
        <f>LOWER(TRIM(A4472))</f>
        <v/>
      </c>
      <c r="C4472">
        <f>IF(B4472="","",IFERROR(INDEX('Bad Patterns'!$A$2:$A$120,MATCH(1,INDEX(--ISNUMBER(SEARCH('Bad Patterns'!$A$2:$A$120,B4472)),0),0)),""))</f>
        <v/>
      </c>
      <c r="D4472">
        <f>IF(B4472="","",IF(C4472&lt;&gt;"","REMOVE","KEEP"))</f>
        <v/>
      </c>
      <c r="E4472">
        <f>IF(D4472&lt;&gt;"KEEP","",IF(RIGHT(B4472,10)="@gmail.com","Gmail",IF(OR(RIGHT(B4472,12)="@outlook.com",RIGHT(B4472,12)="@hotmail.com",RIGHT(B4472,9)="@live.com"),"Outlook","Domain")))</f>
        <v/>
      </c>
      <c r="F4472">
        <f>IF(B4472="","",IFERROR(RIGHT(B4472,LEN(B4472)-FIND("@",B4472)),""))</f>
        <v/>
      </c>
      <c r="G4472">
        <f>IF(D4472="KEEP",COUNTIF($D$2:D4472,"KEEP"),"")</f>
        <v/>
      </c>
      <c r="H4472">
        <f>IF(D4472="REMOVE",COUNTIF($D$2:D4472,"REMOVE"),"")</f>
        <v/>
      </c>
      <c r="I4472">
        <f>IF(E4472="Gmail",COUNTIF($E$2:E4472,"Gmail"),"")</f>
        <v/>
      </c>
      <c r="J4472">
        <f>IF(E4472="Outlook",COUNTIF($E$2:E4472,"Outlook"),"")</f>
        <v/>
      </c>
      <c r="K4472">
        <f>IF(E4472="Domain",COUNTIF($E$2:E4472,"Domain"),"")</f>
        <v/>
      </c>
    </row>
    <row r="4473">
      <c r="A4473" s="2" t="n"/>
      <c r="B4473">
        <f>LOWER(TRIM(A4473))</f>
        <v/>
      </c>
      <c r="C4473">
        <f>IF(B4473="","",IFERROR(INDEX('Bad Patterns'!$A$2:$A$120,MATCH(1,INDEX(--ISNUMBER(SEARCH('Bad Patterns'!$A$2:$A$120,B4473)),0),0)),""))</f>
        <v/>
      </c>
      <c r="D4473">
        <f>IF(B4473="","",IF(C4473&lt;&gt;"","REMOVE","KEEP"))</f>
        <v/>
      </c>
      <c r="E4473">
        <f>IF(D4473&lt;&gt;"KEEP","",IF(RIGHT(B4473,10)="@gmail.com","Gmail",IF(OR(RIGHT(B4473,12)="@outlook.com",RIGHT(B4473,12)="@hotmail.com",RIGHT(B4473,9)="@live.com"),"Outlook","Domain")))</f>
        <v/>
      </c>
      <c r="F4473">
        <f>IF(B4473="","",IFERROR(RIGHT(B4473,LEN(B4473)-FIND("@",B4473)),""))</f>
        <v/>
      </c>
      <c r="G4473">
        <f>IF(D4473="KEEP",COUNTIF($D$2:D4473,"KEEP"),"")</f>
        <v/>
      </c>
      <c r="H4473">
        <f>IF(D4473="REMOVE",COUNTIF($D$2:D4473,"REMOVE"),"")</f>
        <v/>
      </c>
      <c r="I4473">
        <f>IF(E4473="Gmail",COUNTIF($E$2:E4473,"Gmail"),"")</f>
        <v/>
      </c>
      <c r="J4473">
        <f>IF(E4473="Outlook",COUNTIF($E$2:E4473,"Outlook"),"")</f>
        <v/>
      </c>
      <c r="K4473">
        <f>IF(E4473="Domain",COUNTIF($E$2:E4473,"Domain"),"")</f>
        <v/>
      </c>
    </row>
    <row r="4474">
      <c r="A4474" s="2" t="n"/>
      <c r="B4474">
        <f>LOWER(TRIM(A4474))</f>
        <v/>
      </c>
      <c r="C4474">
        <f>IF(B4474="","",IFERROR(INDEX('Bad Patterns'!$A$2:$A$120,MATCH(1,INDEX(--ISNUMBER(SEARCH('Bad Patterns'!$A$2:$A$120,B4474)),0),0)),""))</f>
        <v/>
      </c>
      <c r="D4474">
        <f>IF(B4474="","",IF(C4474&lt;&gt;"","REMOVE","KEEP"))</f>
        <v/>
      </c>
      <c r="E4474">
        <f>IF(D4474&lt;&gt;"KEEP","",IF(RIGHT(B4474,10)="@gmail.com","Gmail",IF(OR(RIGHT(B4474,12)="@outlook.com",RIGHT(B4474,12)="@hotmail.com",RIGHT(B4474,9)="@live.com"),"Outlook","Domain")))</f>
        <v/>
      </c>
      <c r="F4474">
        <f>IF(B4474="","",IFERROR(RIGHT(B4474,LEN(B4474)-FIND("@",B4474)),""))</f>
        <v/>
      </c>
      <c r="G4474">
        <f>IF(D4474="KEEP",COUNTIF($D$2:D4474,"KEEP"),"")</f>
        <v/>
      </c>
      <c r="H4474">
        <f>IF(D4474="REMOVE",COUNTIF($D$2:D4474,"REMOVE"),"")</f>
        <v/>
      </c>
      <c r="I4474">
        <f>IF(E4474="Gmail",COUNTIF($E$2:E4474,"Gmail"),"")</f>
        <v/>
      </c>
      <c r="J4474">
        <f>IF(E4474="Outlook",COUNTIF($E$2:E4474,"Outlook"),"")</f>
        <v/>
      </c>
      <c r="K4474">
        <f>IF(E4474="Domain",COUNTIF($E$2:E4474,"Domain"),"")</f>
        <v/>
      </c>
    </row>
    <row r="4475">
      <c r="A4475" s="2" t="n"/>
      <c r="B4475">
        <f>LOWER(TRIM(A4475))</f>
        <v/>
      </c>
      <c r="C4475">
        <f>IF(B4475="","",IFERROR(INDEX('Bad Patterns'!$A$2:$A$120,MATCH(1,INDEX(--ISNUMBER(SEARCH('Bad Patterns'!$A$2:$A$120,B4475)),0),0)),""))</f>
        <v/>
      </c>
      <c r="D4475">
        <f>IF(B4475="","",IF(C4475&lt;&gt;"","REMOVE","KEEP"))</f>
        <v/>
      </c>
      <c r="E4475">
        <f>IF(D4475&lt;&gt;"KEEP","",IF(RIGHT(B4475,10)="@gmail.com","Gmail",IF(OR(RIGHT(B4475,12)="@outlook.com",RIGHT(B4475,12)="@hotmail.com",RIGHT(B4475,9)="@live.com"),"Outlook","Domain")))</f>
        <v/>
      </c>
      <c r="F4475">
        <f>IF(B4475="","",IFERROR(RIGHT(B4475,LEN(B4475)-FIND("@",B4475)),""))</f>
        <v/>
      </c>
      <c r="G4475">
        <f>IF(D4475="KEEP",COUNTIF($D$2:D4475,"KEEP"),"")</f>
        <v/>
      </c>
      <c r="H4475">
        <f>IF(D4475="REMOVE",COUNTIF($D$2:D4475,"REMOVE"),"")</f>
        <v/>
      </c>
      <c r="I4475">
        <f>IF(E4475="Gmail",COUNTIF($E$2:E4475,"Gmail"),"")</f>
        <v/>
      </c>
      <c r="J4475">
        <f>IF(E4475="Outlook",COUNTIF($E$2:E4475,"Outlook"),"")</f>
        <v/>
      </c>
      <c r="K4475">
        <f>IF(E4475="Domain",COUNTIF($E$2:E4475,"Domain"),"")</f>
        <v/>
      </c>
    </row>
    <row r="4476">
      <c r="A4476" s="2" t="n"/>
      <c r="B4476">
        <f>LOWER(TRIM(A4476))</f>
        <v/>
      </c>
      <c r="C4476">
        <f>IF(B4476="","",IFERROR(INDEX('Bad Patterns'!$A$2:$A$120,MATCH(1,INDEX(--ISNUMBER(SEARCH('Bad Patterns'!$A$2:$A$120,B4476)),0),0)),""))</f>
        <v/>
      </c>
      <c r="D4476">
        <f>IF(B4476="","",IF(C4476&lt;&gt;"","REMOVE","KEEP"))</f>
        <v/>
      </c>
      <c r="E4476">
        <f>IF(D4476&lt;&gt;"KEEP","",IF(RIGHT(B4476,10)="@gmail.com","Gmail",IF(OR(RIGHT(B4476,12)="@outlook.com",RIGHT(B4476,12)="@hotmail.com",RIGHT(B4476,9)="@live.com"),"Outlook","Domain")))</f>
        <v/>
      </c>
      <c r="F4476">
        <f>IF(B4476="","",IFERROR(RIGHT(B4476,LEN(B4476)-FIND("@",B4476)),""))</f>
        <v/>
      </c>
      <c r="G4476">
        <f>IF(D4476="KEEP",COUNTIF($D$2:D4476,"KEEP"),"")</f>
        <v/>
      </c>
      <c r="H4476">
        <f>IF(D4476="REMOVE",COUNTIF($D$2:D4476,"REMOVE"),"")</f>
        <v/>
      </c>
      <c r="I4476">
        <f>IF(E4476="Gmail",COUNTIF($E$2:E4476,"Gmail"),"")</f>
        <v/>
      </c>
      <c r="J4476">
        <f>IF(E4476="Outlook",COUNTIF($E$2:E4476,"Outlook"),"")</f>
        <v/>
      </c>
      <c r="K4476">
        <f>IF(E4476="Domain",COUNTIF($E$2:E4476,"Domain"),"")</f>
        <v/>
      </c>
    </row>
    <row r="4477">
      <c r="A4477" s="2" t="n"/>
      <c r="B4477">
        <f>LOWER(TRIM(A4477))</f>
        <v/>
      </c>
      <c r="C4477">
        <f>IF(B4477="","",IFERROR(INDEX('Bad Patterns'!$A$2:$A$120,MATCH(1,INDEX(--ISNUMBER(SEARCH('Bad Patterns'!$A$2:$A$120,B4477)),0),0)),""))</f>
        <v/>
      </c>
      <c r="D4477">
        <f>IF(B4477="","",IF(C4477&lt;&gt;"","REMOVE","KEEP"))</f>
        <v/>
      </c>
      <c r="E4477">
        <f>IF(D4477&lt;&gt;"KEEP","",IF(RIGHT(B4477,10)="@gmail.com","Gmail",IF(OR(RIGHT(B4477,12)="@outlook.com",RIGHT(B4477,12)="@hotmail.com",RIGHT(B4477,9)="@live.com"),"Outlook","Domain")))</f>
        <v/>
      </c>
      <c r="F4477">
        <f>IF(B4477="","",IFERROR(RIGHT(B4477,LEN(B4477)-FIND("@",B4477)),""))</f>
        <v/>
      </c>
      <c r="G4477">
        <f>IF(D4477="KEEP",COUNTIF($D$2:D4477,"KEEP"),"")</f>
        <v/>
      </c>
      <c r="H4477">
        <f>IF(D4477="REMOVE",COUNTIF($D$2:D4477,"REMOVE"),"")</f>
        <v/>
      </c>
      <c r="I4477">
        <f>IF(E4477="Gmail",COUNTIF($E$2:E4477,"Gmail"),"")</f>
        <v/>
      </c>
      <c r="J4477">
        <f>IF(E4477="Outlook",COUNTIF($E$2:E4477,"Outlook"),"")</f>
        <v/>
      </c>
      <c r="K4477">
        <f>IF(E4477="Domain",COUNTIF($E$2:E4477,"Domain"),"")</f>
        <v/>
      </c>
    </row>
    <row r="4478">
      <c r="A4478" s="2" t="n"/>
      <c r="B4478">
        <f>LOWER(TRIM(A4478))</f>
        <v/>
      </c>
      <c r="C4478">
        <f>IF(B4478="","",IFERROR(INDEX('Bad Patterns'!$A$2:$A$120,MATCH(1,INDEX(--ISNUMBER(SEARCH('Bad Patterns'!$A$2:$A$120,B4478)),0),0)),""))</f>
        <v/>
      </c>
      <c r="D4478">
        <f>IF(B4478="","",IF(C4478&lt;&gt;"","REMOVE","KEEP"))</f>
        <v/>
      </c>
      <c r="E4478">
        <f>IF(D4478&lt;&gt;"KEEP","",IF(RIGHT(B4478,10)="@gmail.com","Gmail",IF(OR(RIGHT(B4478,12)="@outlook.com",RIGHT(B4478,12)="@hotmail.com",RIGHT(B4478,9)="@live.com"),"Outlook","Domain")))</f>
        <v/>
      </c>
      <c r="F4478">
        <f>IF(B4478="","",IFERROR(RIGHT(B4478,LEN(B4478)-FIND("@",B4478)),""))</f>
        <v/>
      </c>
      <c r="G4478">
        <f>IF(D4478="KEEP",COUNTIF($D$2:D4478,"KEEP"),"")</f>
        <v/>
      </c>
      <c r="H4478">
        <f>IF(D4478="REMOVE",COUNTIF($D$2:D4478,"REMOVE"),"")</f>
        <v/>
      </c>
      <c r="I4478">
        <f>IF(E4478="Gmail",COUNTIF($E$2:E4478,"Gmail"),"")</f>
        <v/>
      </c>
      <c r="J4478">
        <f>IF(E4478="Outlook",COUNTIF($E$2:E4478,"Outlook"),"")</f>
        <v/>
      </c>
      <c r="K4478">
        <f>IF(E4478="Domain",COUNTIF($E$2:E4478,"Domain"),"")</f>
        <v/>
      </c>
    </row>
    <row r="4479">
      <c r="A4479" s="2" t="n"/>
      <c r="B4479">
        <f>LOWER(TRIM(A4479))</f>
        <v/>
      </c>
      <c r="C4479">
        <f>IF(B4479="","",IFERROR(INDEX('Bad Patterns'!$A$2:$A$120,MATCH(1,INDEX(--ISNUMBER(SEARCH('Bad Patterns'!$A$2:$A$120,B4479)),0),0)),""))</f>
        <v/>
      </c>
      <c r="D4479">
        <f>IF(B4479="","",IF(C4479&lt;&gt;"","REMOVE","KEEP"))</f>
        <v/>
      </c>
      <c r="E4479">
        <f>IF(D4479&lt;&gt;"KEEP","",IF(RIGHT(B4479,10)="@gmail.com","Gmail",IF(OR(RIGHT(B4479,12)="@outlook.com",RIGHT(B4479,12)="@hotmail.com",RIGHT(B4479,9)="@live.com"),"Outlook","Domain")))</f>
        <v/>
      </c>
      <c r="F4479">
        <f>IF(B4479="","",IFERROR(RIGHT(B4479,LEN(B4479)-FIND("@",B4479)),""))</f>
        <v/>
      </c>
      <c r="G4479">
        <f>IF(D4479="KEEP",COUNTIF($D$2:D4479,"KEEP"),"")</f>
        <v/>
      </c>
      <c r="H4479">
        <f>IF(D4479="REMOVE",COUNTIF($D$2:D4479,"REMOVE"),"")</f>
        <v/>
      </c>
      <c r="I4479">
        <f>IF(E4479="Gmail",COUNTIF($E$2:E4479,"Gmail"),"")</f>
        <v/>
      </c>
      <c r="J4479">
        <f>IF(E4479="Outlook",COUNTIF($E$2:E4479,"Outlook"),"")</f>
        <v/>
      </c>
      <c r="K4479">
        <f>IF(E4479="Domain",COUNTIF($E$2:E4479,"Domain"),"")</f>
        <v/>
      </c>
    </row>
    <row r="4480">
      <c r="A4480" s="2" t="n"/>
      <c r="B4480">
        <f>LOWER(TRIM(A4480))</f>
        <v/>
      </c>
      <c r="C4480">
        <f>IF(B4480="","",IFERROR(INDEX('Bad Patterns'!$A$2:$A$120,MATCH(1,INDEX(--ISNUMBER(SEARCH('Bad Patterns'!$A$2:$A$120,B4480)),0),0)),""))</f>
        <v/>
      </c>
      <c r="D4480">
        <f>IF(B4480="","",IF(C4480&lt;&gt;"","REMOVE","KEEP"))</f>
        <v/>
      </c>
      <c r="E4480">
        <f>IF(D4480&lt;&gt;"KEEP","",IF(RIGHT(B4480,10)="@gmail.com","Gmail",IF(OR(RIGHT(B4480,12)="@outlook.com",RIGHT(B4480,12)="@hotmail.com",RIGHT(B4480,9)="@live.com"),"Outlook","Domain")))</f>
        <v/>
      </c>
      <c r="F4480">
        <f>IF(B4480="","",IFERROR(RIGHT(B4480,LEN(B4480)-FIND("@",B4480)),""))</f>
        <v/>
      </c>
      <c r="G4480">
        <f>IF(D4480="KEEP",COUNTIF($D$2:D4480,"KEEP"),"")</f>
        <v/>
      </c>
      <c r="H4480">
        <f>IF(D4480="REMOVE",COUNTIF($D$2:D4480,"REMOVE"),"")</f>
        <v/>
      </c>
      <c r="I4480">
        <f>IF(E4480="Gmail",COUNTIF($E$2:E4480,"Gmail"),"")</f>
        <v/>
      </c>
      <c r="J4480">
        <f>IF(E4480="Outlook",COUNTIF($E$2:E4480,"Outlook"),"")</f>
        <v/>
      </c>
      <c r="K4480">
        <f>IF(E4480="Domain",COUNTIF($E$2:E4480,"Domain"),"")</f>
        <v/>
      </c>
    </row>
    <row r="4481">
      <c r="A4481" s="2" t="n"/>
      <c r="B4481">
        <f>LOWER(TRIM(A4481))</f>
        <v/>
      </c>
      <c r="C4481">
        <f>IF(B4481="","",IFERROR(INDEX('Bad Patterns'!$A$2:$A$120,MATCH(1,INDEX(--ISNUMBER(SEARCH('Bad Patterns'!$A$2:$A$120,B4481)),0),0)),""))</f>
        <v/>
      </c>
      <c r="D4481">
        <f>IF(B4481="","",IF(C4481&lt;&gt;"","REMOVE","KEEP"))</f>
        <v/>
      </c>
      <c r="E4481">
        <f>IF(D4481&lt;&gt;"KEEP","",IF(RIGHT(B4481,10)="@gmail.com","Gmail",IF(OR(RIGHT(B4481,12)="@outlook.com",RIGHT(B4481,12)="@hotmail.com",RIGHT(B4481,9)="@live.com"),"Outlook","Domain")))</f>
        <v/>
      </c>
      <c r="F4481">
        <f>IF(B4481="","",IFERROR(RIGHT(B4481,LEN(B4481)-FIND("@",B4481)),""))</f>
        <v/>
      </c>
      <c r="G4481">
        <f>IF(D4481="KEEP",COUNTIF($D$2:D4481,"KEEP"),"")</f>
        <v/>
      </c>
      <c r="H4481">
        <f>IF(D4481="REMOVE",COUNTIF($D$2:D4481,"REMOVE"),"")</f>
        <v/>
      </c>
      <c r="I4481">
        <f>IF(E4481="Gmail",COUNTIF($E$2:E4481,"Gmail"),"")</f>
        <v/>
      </c>
      <c r="J4481">
        <f>IF(E4481="Outlook",COUNTIF($E$2:E4481,"Outlook"),"")</f>
        <v/>
      </c>
      <c r="K4481">
        <f>IF(E4481="Domain",COUNTIF($E$2:E4481,"Domain"),"")</f>
        <v/>
      </c>
    </row>
    <row r="4482">
      <c r="A4482" s="2" t="n"/>
      <c r="B4482">
        <f>LOWER(TRIM(A4482))</f>
        <v/>
      </c>
      <c r="C4482">
        <f>IF(B4482="","",IFERROR(INDEX('Bad Patterns'!$A$2:$A$120,MATCH(1,INDEX(--ISNUMBER(SEARCH('Bad Patterns'!$A$2:$A$120,B4482)),0),0)),""))</f>
        <v/>
      </c>
      <c r="D4482">
        <f>IF(B4482="","",IF(C4482&lt;&gt;"","REMOVE","KEEP"))</f>
        <v/>
      </c>
      <c r="E4482">
        <f>IF(D4482&lt;&gt;"KEEP","",IF(RIGHT(B4482,10)="@gmail.com","Gmail",IF(OR(RIGHT(B4482,12)="@outlook.com",RIGHT(B4482,12)="@hotmail.com",RIGHT(B4482,9)="@live.com"),"Outlook","Domain")))</f>
        <v/>
      </c>
      <c r="F4482">
        <f>IF(B4482="","",IFERROR(RIGHT(B4482,LEN(B4482)-FIND("@",B4482)),""))</f>
        <v/>
      </c>
      <c r="G4482">
        <f>IF(D4482="KEEP",COUNTIF($D$2:D4482,"KEEP"),"")</f>
        <v/>
      </c>
      <c r="H4482">
        <f>IF(D4482="REMOVE",COUNTIF($D$2:D4482,"REMOVE"),"")</f>
        <v/>
      </c>
      <c r="I4482">
        <f>IF(E4482="Gmail",COUNTIF($E$2:E4482,"Gmail"),"")</f>
        <v/>
      </c>
      <c r="J4482">
        <f>IF(E4482="Outlook",COUNTIF($E$2:E4482,"Outlook"),"")</f>
        <v/>
      </c>
      <c r="K4482">
        <f>IF(E4482="Domain",COUNTIF($E$2:E4482,"Domain"),"")</f>
        <v/>
      </c>
    </row>
    <row r="4483">
      <c r="A4483" s="2" t="n"/>
      <c r="B4483">
        <f>LOWER(TRIM(A4483))</f>
        <v/>
      </c>
      <c r="C4483">
        <f>IF(B4483="","",IFERROR(INDEX('Bad Patterns'!$A$2:$A$120,MATCH(1,INDEX(--ISNUMBER(SEARCH('Bad Patterns'!$A$2:$A$120,B4483)),0),0)),""))</f>
        <v/>
      </c>
      <c r="D4483">
        <f>IF(B4483="","",IF(C4483&lt;&gt;"","REMOVE","KEEP"))</f>
        <v/>
      </c>
      <c r="E4483">
        <f>IF(D4483&lt;&gt;"KEEP","",IF(RIGHT(B4483,10)="@gmail.com","Gmail",IF(OR(RIGHT(B4483,12)="@outlook.com",RIGHT(B4483,12)="@hotmail.com",RIGHT(B4483,9)="@live.com"),"Outlook","Domain")))</f>
        <v/>
      </c>
      <c r="F4483">
        <f>IF(B4483="","",IFERROR(RIGHT(B4483,LEN(B4483)-FIND("@",B4483)),""))</f>
        <v/>
      </c>
      <c r="G4483">
        <f>IF(D4483="KEEP",COUNTIF($D$2:D4483,"KEEP"),"")</f>
        <v/>
      </c>
      <c r="H4483">
        <f>IF(D4483="REMOVE",COUNTIF($D$2:D4483,"REMOVE"),"")</f>
        <v/>
      </c>
      <c r="I4483">
        <f>IF(E4483="Gmail",COUNTIF($E$2:E4483,"Gmail"),"")</f>
        <v/>
      </c>
      <c r="J4483">
        <f>IF(E4483="Outlook",COUNTIF($E$2:E4483,"Outlook"),"")</f>
        <v/>
      </c>
      <c r="K4483">
        <f>IF(E4483="Domain",COUNTIF($E$2:E4483,"Domain"),"")</f>
        <v/>
      </c>
    </row>
    <row r="4484">
      <c r="A4484" s="2" t="n"/>
      <c r="B4484">
        <f>LOWER(TRIM(A4484))</f>
        <v/>
      </c>
      <c r="C4484">
        <f>IF(B4484="","",IFERROR(INDEX('Bad Patterns'!$A$2:$A$120,MATCH(1,INDEX(--ISNUMBER(SEARCH('Bad Patterns'!$A$2:$A$120,B4484)),0),0)),""))</f>
        <v/>
      </c>
      <c r="D4484">
        <f>IF(B4484="","",IF(C4484&lt;&gt;"","REMOVE","KEEP"))</f>
        <v/>
      </c>
      <c r="E4484">
        <f>IF(D4484&lt;&gt;"KEEP","",IF(RIGHT(B4484,10)="@gmail.com","Gmail",IF(OR(RIGHT(B4484,12)="@outlook.com",RIGHT(B4484,12)="@hotmail.com",RIGHT(B4484,9)="@live.com"),"Outlook","Domain")))</f>
        <v/>
      </c>
      <c r="F4484">
        <f>IF(B4484="","",IFERROR(RIGHT(B4484,LEN(B4484)-FIND("@",B4484)),""))</f>
        <v/>
      </c>
      <c r="G4484">
        <f>IF(D4484="KEEP",COUNTIF($D$2:D4484,"KEEP"),"")</f>
        <v/>
      </c>
      <c r="H4484">
        <f>IF(D4484="REMOVE",COUNTIF($D$2:D4484,"REMOVE"),"")</f>
        <v/>
      </c>
      <c r="I4484">
        <f>IF(E4484="Gmail",COUNTIF($E$2:E4484,"Gmail"),"")</f>
        <v/>
      </c>
      <c r="J4484">
        <f>IF(E4484="Outlook",COUNTIF($E$2:E4484,"Outlook"),"")</f>
        <v/>
      </c>
      <c r="K4484">
        <f>IF(E4484="Domain",COUNTIF($E$2:E4484,"Domain"),"")</f>
        <v/>
      </c>
    </row>
    <row r="4485">
      <c r="A4485" s="2" t="n"/>
      <c r="B4485">
        <f>LOWER(TRIM(A4485))</f>
        <v/>
      </c>
      <c r="C4485">
        <f>IF(B4485="","",IFERROR(INDEX('Bad Patterns'!$A$2:$A$120,MATCH(1,INDEX(--ISNUMBER(SEARCH('Bad Patterns'!$A$2:$A$120,B4485)),0),0)),""))</f>
        <v/>
      </c>
      <c r="D4485">
        <f>IF(B4485="","",IF(C4485&lt;&gt;"","REMOVE","KEEP"))</f>
        <v/>
      </c>
      <c r="E4485">
        <f>IF(D4485&lt;&gt;"KEEP","",IF(RIGHT(B4485,10)="@gmail.com","Gmail",IF(OR(RIGHT(B4485,12)="@outlook.com",RIGHT(B4485,12)="@hotmail.com",RIGHT(B4485,9)="@live.com"),"Outlook","Domain")))</f>
        <v/>
      </c>
      <c r="F4485">
        <f>IF(B4485="","",IFERROR(RIGHT(B4485,LEN(B4485)-FIND("@",B4485)),""))</f>
        <v/>
      </c>
      <c r="G4485">
        <f>IF(D4485="KEEP",COUNTIF($D$2:D4485,"KEEP"),"")</f>
        <v/>
      </c>
      <c r="H4485">
        <f>IF(D4485="REMOVE",COUNTIF($D$2:D4485,"REMOVE"),"")</f>
        <v/>
      </c>
      <c r="I4485">
        <f>IF(E4485="Gmail",COUNTIF($E$2:E4485,"Gmail"),"")</f>
        <v/>
      </c>
      <c r="J4485">
        <f>IF(E4485="Outlook",COUNTIF($E$2:E4485,"Outlook"),"")</f>
        <v/>
      </c>
      <c r="K4485">
        <f>IF(E4485="Domain",COUNTIF($E$2:E4485,"Domain"),"")</f>
        <v/>
      </c>
    </row>
    <row r="4486">
      <c r="A4486" s="2" t="n"/>
      <c r="B4486">
        <f>LOWER(TRIM(A4486))</f>
        <v/>
      </c>
      <c r="C4486">
        <f>IF(B4486="","",IFERROR(INDEX('Bad Patterns'!$A$2:$A$120,MATCH(1,INDEX(--ISNUMBER(SEARCH('Bad Patterns'!$A$2:$A$120,B4486)),0),0)),""))</f>
        <v/>
      </c>
      <c r="D4486">
        <f>IF(B4486="","",IF(C4486&lt;&gt;"","REMOVE","KEEP"))</f>
        <v/>
      </c>
      <c r="E4486">
        <f>IF(D4486&lt;&gt;"KEEP","",IF(RIGHT(B4486,10)="@gmail.com","Gmail",IF(OR(RIGHT(B4486,12)="@outlook.com",RIGHT(B4486,12)="@hotmail.com",RIGHT(B4486,9)="@live.com"),"Outlook","Domain")))</f>
        <v/>
      </c>
      <c r="F4486">
        <f>IF(B4486="","",IFERROR(RIGHT(B4486,LEN(B4486)-FIND("@",B4486)),""))</f>
        <v/>
      </c>
      <c r="G4486">
        <f>IF(D4486="KEEP",COUNTIF($D$2:D4486,"KEEP"),"")</f>
        <v/>
      </c>
      <c r="H4486">
        <f>IF(D4486="REMOVE",COUNTIF($D$2:D4486,"REMOVE"),"")</f>
        <v/>
      </c>
      <c r="I4486">
        <f>IF(E4486="Gmail",COUNTIF($E$2:E4486,"Gmail"),"")</f>
        <v/>
      </c>
      <c r="J4486">
        <f>IF(E4486="Outlook",COUNTIF($E$2:E4486,"Outlook"),"")</f>
        <v/>
      </c>
      <c r="K4486">
        <f>IF(E4486="Domain",COUNTIF($E$2:E4486,"Domain"),"")</f>
        <v/>
      </c>
    </row>
    <row r="4487">
      <c r="A4487" s="2" t="n"/>
      <c r="B4487">
        <f>LOWER(TRIM(A4487))</f>
        <v/>
      </c>
      <c r="C4487">
        <f>IF(B4487="","",IFERROR(INDEX('Bad Patterns'!$A$2:$A$120,MATCH(1,INDEX(--ISNUMBER(SEARCH('Bad Patterns'!$A$2:$A$120,B4487)),0),0)),""))</f>
        <v/>
      </c>
      <c r="D4487">
        <f>IF(B4487="","",IF(C4487&lt;&gt;"","REMOVE","KEEP"))</f>
        <v/>
      </c>
      <c r="E4487">
        <f>IF(D4487&lt;&gt;"KEEP","",IF(RIGHT(B4487,10)="@gmail.com","Gmail",IF(OR(RIGHT(B4487,12)="@outlook.com",RIGHT(B4487,12)="@hotmail.com",RIGHT(B4487,9)="@live.com"),"Outlook","Domain")))</f>
        <v/>
      </c>
      <c r="F4487">
        <f>IF(B4487="","",IFERROR(RIGHT(B4487,LEN(B4487)-FIND("@",B4487)),""))</f>
        <v/>
      </c>
      <c r="G4487">
        <f>IF(D4487="KEEP",COUNTIF($D$2:D4487,"KEEP"),"")</f>
        <v/>
      </c>
      <c r="H4487">
        <f>IF(D4487="REMOVE",COUNTIF($D$2:D4487,"REMOVE"),"")</f>
        <v/>
      </c>
      <c r="I4487">
        <f>IF(E4487="Gmail",COUNTIF($E$2:E4487,"Gmail"),"")</f>
        <v/>
      </c>
      <c r="J4487">
        <f>IF(E4487="Outlook",COUNTIF($E$2:E4487,"Outlook"),"")</f>
        <v/>
      </c>
      <c r="K4487">
        <f>IF(E4487="Domain",COUNTIF($E$2:E4487,"Domain"),"")</f>
        <v/>
      </c>
    </row>
    <row r="4488">
      <c r="A4488" s="2" t="n"/>
      <c r="B4488">
        <f>LOWER(TRIM(A4488))</f>
        <v/>
      </c>
      <c r="C4488">
        <f>IF(B4488="","",IFERROR(INDEX('Bad Patterns'!$A$2:$A$120,MATCH(1,INDEX(--ISNUMBER(SEARCH('Bad Patterns'!$A$2:$A$120,B4488)),0),0)),""))</f>
        <v/>
      </c>
      <c r="D4488">
        <f>IF(B4488="","",IF(C4488&lt;&gt;"","REMOVE","KEEP"))</f>
        <v/>
      </c>
      <c r="E4488">
        <f>IF(D4488&lt;&gt;"KEEP","",IF(RIGHT(B4488,10)="@gmail.com","Gmail",IF(OR(RIGHT(B4488,12)="@outlook.com",RIGHT(B4488,12)="@hotmail.com",RIGHT(B4488,9)="@live.com"),"Outlook","Domain")))</f>
        <v/>
      </c>
      <c r="F4488">
        <f>IF(B4488="","",IFERROR(RIGHT(B4488,LEN(B4488)-FIND("@",B4488)),""))</f>
        <v/>
      </c>
      <c r="G4488">
        <f>IF(D4488="KEEP",COUNTIF($D$2:D4488,"KEEP"),"")</f>
        <v/>
      </c>
      <c r="H4488">
        <f>IF(D4488="REMOVE",COUNTIF($D$2:D4488,"REMOVE"),"")</f>
        <v/>
      </c>
      <c r="I4488">
        <f>IF(E4488="Gmail",COUNTIF($E$2:E4488,"Gmail"),"")</f>
        <v/>
      </c>
      <c r="J4488">
        <f>IF(E4488="Outlook",COUNTIF($E$2:E4488,"Outlook"),"")</f>
        <v/>
      </c>
      <c r="K4488">
        <f>IF(E4488="Domain",COUNTIF($E$2:E4488,"Domain"),"")</f>
        <v/>
      </c>
    </row>
    <row r="4489">
      <c r="A4489" s="2" t="n"/>
      <c r="B4489">
        <f>LOWER(TRIM(A4489))</f>
        <v/>
      </c>
      <c r="C4489">
        <f>IF(B4489="","",IFERROR(INDEX('Bad Patterns'!$A$2:$A$120,MATCH(1,INDEX(--ISNUMBER(SEARCH('Bad Patterns'!$A$2:$A$120,B4489)),0),0)),""))</f>
        <v/>
      </c>
      <c r="D4489">
        <f>IF(B4489="","",IF(C4489&lt;&gt;"","REMOVE","KEEP"))</f>
        <v/>
      </c>
      <c r="E4489">
        <f>IF(D4489&lt;&gt;"KEEP","",IF(RIGHT(B4489,10)="@gmail.com","Gmail",IF(OR(RIGHT(B4489,12)="@outlook.com",RIGHT(B4489,12)="@hotmail.com",RIGHT(B4489,9)="@live.com"),"Outlook","Domain")))</f>
        <v/>
      </c>
      <c r="F4489">
        <f>IF(B4489="","",IFERROR(RIGHT(B4489,LEN(B4489)-FIND("@",B4489)),""))</f>
        <v/>
      </c>
      <c r="G4489">
        <f>IF(D4489="KEEP",COUNTIF($D$2:D4489,"KEEP"),"")</f>
        <v/>
      </c>
      <c r="H4489">
        <f>IF(D4489="REMOVE",COUNTIF($D$2:D4489,"REMOVE"),"")</f>
        <v/>
      </c>
      <c r="I4489">
        <f>IF(E4489="Gmail",COUNTIF($E$2:E4489,"Gmail"),"")</f>
        <v/>
      </c>
      <c r="J4489">
        <f>IF(E4489="Outlook",COUNTIF($E$2:E4489,"Outlook"),"")</f>
        <v/>
      </c>
      <c r="K4489">
        <f>IF(E4489="Domain",COUNTIF($E$2:E4489,"Domain"),"")</f>
        <v/>
      </c>
    </row>
    <row r="4490">
      <c r="A4490" s="2" t="n"/>
      <c r="B4490">
        <f>LOWER(TRIM(A4490))</f>
        <v/>
      </c>
      <c r="C4490">
        <f>IF(B4490="","",IFERROR(INDEX('Bad Patterns'!$A$2:$A$120,MATCH(1,INDEX(--ISNUMBER(SEARCH('Bad Patterns'!$A$2:$A$120,B4490)),0),0)),""))</f>
        <v/>
      </c>
      <c r="D4490">
        <f>IF(B4490="","",IF(C4490&lt;&gt;"","REMOVE","KEEP"))</f>
        <v/>
      </c>
      <c r="E4490">
        <f>IF(D4490&lt;&gt;"KEEP","",IF(RIGHT(B4490,10)="@gmail.com","Gmail",IF(OR(RIGHT(B4490,12)="@outlook.com",RIGHT(B4490,12)="@hotmail.com",RIGHT(B4490,9)="@live.com"),"Outlook","Domain")))</f>
        <v/>
      </c>
      <c r="F4490">
        <f>IF(B4490="","",IFERROR(RIGHT(B4490,LEN(B4490)-FIND("@",B4490)),""))</f>
        <v/>
      </c>
      <c r="G4490">
        <f>IF(D4490="KEEP",COUNTIF($D$2:D4490,"KEEP"),"")</f>
        <v/>
      </c>
      <c r="H4490">
        <f>IF(D4490="REMOVE",COUNTIF($D$2:D4490,"REMOVE"),"")</f>
        <v/>
      </c>
      <c r="I4490">
        <f>IF(E4490="Gmail",COUNTIF($E$2:E4490,"Gmail"),"")</f>
        <v/>
      </c>
      <c r="J4490">
        <f>IF(E4490="Outlook",COUNTIF($E$2:E4490,"Outlook"),"")</f>
        <v/>
      </c>
      <c r="K4490">
        <f>IF(E4490="Domain",COUNTIF($E$2:E4490,"Domain"),"")</f>
        <v/>
      </c>
    </row>
    <row r="4491">
      <c r="A4491" s="2" t="n"/>
      <c r="B4491">
        <f>LOWER(TRIM(A4491))</f>
        <v/>
      </c>
      <c r="C4491">
        <f>IF(B4491="","",IFERROR(INDEX('Bad Patterns'!$A$2:$A$120,MATCH(1,INDEX(--ISNUMBER(SEARCH('Bad Patterns'!$A$2:$A$120,B4491)),0),0)),""))</f>
        <v/>
      </c>
      <c r="D4491">
        <f>IF(B4491="","",IF(C4491&lt;&gt;"","REMOVE","KEEP"))</f>
        <v/>
      </c>
      <c r="E4491">
        <f>IF(D4491&lt;&gt;"KEEP","",IF(RIGHT(B4491,10)="@gmail.com","Gmail",IF(OR(RIGHT(B4491,12)="@outlook.com",RIGHT(B4491,12)="@hotmail.com",RIGHT(B4491,9)="@live.com"),"Outlook","Domain")))</f>
        <v/>
      </c>
      <c r="F4491">
        <f>IF(B4491="","",IFERROR(RIGHT(B4491,LEN(B4491)-FIND("@",B4491)),""))</f>
        <v/>
      </c>
      <c r="G4491">
        <f>IF(D4491="KEEP",COUNTIF($D$2:D4491,"KEEP"),"")</f>
        <v/>
      </c>
      <c r="H4491">
        <f>IF(D4491="REMOVE",COUNTIF($D$2:D4491,"REMOVE"),"")</f>
        <v/>
      </c>
      <c r="I4491">
        <f>IF(E4491="Gmail",COUNTIF($E$2:E4491,"Gmail"),"")</f>
        <v/>
      </c>
      <c r="J4491">
        <f>IF(E4491="Outlook",COUNTIF($E$2:E4491,"Outlook"),"")</f>
        <v/>
      </c>
      <c r="K4491">
        <f>IF(E4491="Domain",COUNTIF($E$2:E4491,"Domain"),"")</f>
        <v/>
      </c>
    </row>
    <row r="4492">
      <c r="A4492" s="2" t="n"/>
      <c r="B4492">
        <f>LOWER(TRIM(A4492))</f>
        <v/>
      </c>
      <c r="C4492">
        <f>IF(B4492="","",IFERROR(INDEX('Bad Patterns'!$A$2:$A$120,MATCH(1,INDEX(--ISNUMBER(SEARCH('Bad Patterns'!$A$2:$A$120,B4492)),0),0)),""))</f>
        <v/>
      </c>
      <c r="D4492">
        <f>IF(B4492="","",IF(C4492&lt;&gt;"","REMOVE","KEEP"))</f>
        <v/>
      </c>
      <c r="E4492">
        <f>IF(D4492&lt;&gt;"KEEP","",IF(RIGHT(B4492,10)="@gmail.com","Gmail",IF(OR(RIGHT(B4492,12)="@outlook.com",RIGHT(B4492,12)="@hotmail.com",RIGHT(B4492,9)="@live.com"),"Outlook","Domain")))</f>
        <v/>
      </c>
      <c r="F4492">
        <f>IF(B4492="","",IFERROR(RIGHT(B4492,LEN(B4492)-FIND("@",B4492)),""))</f>
        <v/>
      </c>
      <c r="G4492">
        <f>IF(D4492="KEEP",COUNTIF($D$2:D4492,"KEEP"),"")</f>
        <v/>
      </c>
      <c r="H4492">
        <f>IF(D4492="REMOVE",COUNTIF($D$2:D4492,"REMOVE"),"")</f>
        <v/>
      </c>
      <c r="I4492">
        <f>IF(E4492="Gmail",COUNTIF($E$2:E4492,"Gmail"),"")</f>
        <v/>
      </c>
      <c r="J4492">
        <f>IF(E4492="Outlook",COUNTIF($E$2:E4492,"Outlook"),"")</f>
        <v/>
      </c>
      <c r="K4492">
        <f>IF(E4492="Domain",COUNTIF($E$2:E4492,"Domain"),"")</f>
        <v/>
      </c>
    </row>
    <row r="4493">
      <c r="A4493" s="2" t="n"/>
      <c r="B4493">
        <f>LOWER(TRIM(A4493))</f>
        <v/>
      </c>
      <c r="C4493">
        <f>IF(B4493="","",IFERROR(INDEX('Bad Patterns'!$A$2:$A$120,MATCH(1,INDEX(--ISNUMBER(SEARCH('Bad Patterns'!$A$2:$A$120,B4493)),0),0)),""))</f>
        <v/>
      </c>
      <c r="D4493">
        <f>IF(B4493="","",IF(C4493&lt;&gt;"","REMOVE","KEEP"))</f>
        <v/>
      </c>
      <c r="E4493">
        <f>IF(D4493&lt;&gt;"KEEP","",IF(RIGHT(B4493,10)="@gmail.com","Gmail",IF(OR(RIGHT(B4493,12)="@outlook.com",RIGHT(B4493,12)="@hotmail.com",RIGHT(B4493,9)="@live.com"),"Outlook","Domain")))</f>
        <v/>
      </c>
      <c r="F4493">
        <f>IF(B4493="","",IFERROR(RIGHT(B4493,LEN(B4493)-FIND("@",B4493)),""))</f>
        <v/>
      </c>
      <c r="G4493">
        <f>IF(D4493="KEEP",COUNTIF($D$2:D4493,"KEEP"),"")</f>
        <v/>
      </c>
      <c r="H4493">
        <f>IF(D4493="REMOVE",COUNTIF($D$2:D4493,"REMOVE"),"")</f>
        <v/>
      </c>
      <c r="I4493">
        <f>IF(E4493="Gmail",COUNTIF($E$2:E4493,"Gmail"),"")</f>
        <v/>
      </c>
      <c r="J4493">
        <f>IF(E4493="Outlook",COUNTIF($E$2:E4493,"Outlook"),"")</f>
        <v/>
      </c>
      <c r="K4493">
        <f>IF(E4493="Domain",COUNTIF($E$2:E4493,"Domain"),"")</f>
        <v/>
      </c>
    </row>
    <row r="4494">
      <c r="A4494" s="2" t="n"/>
      <c r="B4494">
        <f>LOWER(TRIM(A4494))</f>
        <v/>
      </c>
      <c r="C4494">
        <f>IF(B4494="","",IFERROR(INDEX('Bad Patterns'!$A$2:$A$120,MATCH(1,INDEX(--ISNUMBER(SEARCH('Bad Patterns'!$A$2:$A$120,B4494)),0),0)),""))</f>
        <v/>
      </c>
      <c r="D4494">
        <f>IF(B4494="","",IF(C4494&lt;&gt;"","REMOVE","KEEP"))</f>
        <v/>
      </c>
      <c r="E4494">
        <f>IF(D4494&lt;&gt;"KEEP","",IF(RIGHT(B4494,10)="@gmail.com","Gmail",IF(OR(RIGHT(B4494,12)="@outlook.com",RIGHT(B4494,12)="@hotmail.com",RIGHT(B4494,9)="@live.com"),"Outlook","Domain")))</f>
        <v/>
      </c>
      <c r="F4494">
        <f>IF(B4494="","",IFERROR(RIGHT(B4494,LEN(B4494)-FIND("@",B4494)),""))</f>
        <v/>
      </c>
      <c r="G4494">
        <f>IF(D4494="KEEP",COUNTIF($D$2:D4494,"KEEP"),"")</f>
        <v/>
      </c>
      <c r="H4494">
        <f>IF(D4494="REMOVE",COUNTIF($D$2:D4494,"REMOVE"),"")</f>
        <v/>
      </c>
      <c r="I4494">
        <f>IF(E4494="Gmail",COUNTIF($E$2:E4494,"Gmail"),"")</f>
        <v/>
      </c>
      <c r="J4494">
        <f>IF(E4494="Outlook",COUNTIF($E$2:E4494,"Outlook"),"")</f>
        <v/>
      </c>
      <c r="K4494">
        <f>IF(E4494="Domain",COUNTIF($E$2:E4494,"Domain"),"")</f>
        <v/>
      </c>
    </row>
    <row r="4495">
      <c r="A4495" s="2" t="n"/>
      <c r="B4495">
        <f>LOWER(TRIM(A4495))</f>
        <v/>
      </c>
      <c r="C4495">
        <f>IF(B4495="","",IFERROR(INDEX('Bad Patterns'!$A$2:$A$120,MATCH(1,INDEX(--ISNUMBER(SEARCH('Bad Patterns'!$A$2:$A$120,B4495)),0),0)),""))</f>
        <v/>
      </c>
      <c r="D4495">
        <f>IF(B4495="","",IF(C4495&lt;&gt;"","REMOVE","KEEP"))</f>
        <v/>
      </c>
      <c r="E4495">
        <f>IF(D4495&lt;&gt;"KEEP","",IF(RIGHT(B4495,10)="@gmail.com","Gmail",IF(OR(RIGHT(B4495,12)="@outlook.com",RIGHT(B4495,12)="@hotmail.com",RIGHT(B4495,9)="@live.com"),"Outlook","Domain")))</f>
        <v/>
      </c>
      <c r="F4495">
        <f>IF(B4495="","",IFERROR(RIGHT(B4495,LEN(B4495)-FIND("@",B4495)),""))</f>
        <v/>
      </c>
      <c r="G4495">
        <f>IF(D4495="KEEP",COUNTIF($D$2:D4495,"KEEP"),"")</f>
        <v/>
      </c>
      <c r="H4495">
        <f>IF(D4495="REMOVE",COUNTIF($D$2:D4495,"REMOVE"),"")</f>
        <v/>
      </c>
      <c r="I4495">
        <f>IF(E4495="Gmail",COUNTIF($E$2:E4495,"Gmail"),"")</f>
        <v/>
      </c>
      <c r="J4495">
        <f>IF(E4495="Outlook",COUNTIF($E$2:E4495,"Outlook"),"")</f>
        <v/>
      </c>
      <c r="K4495">
        <f>IF(E4495="Domain",COUNTIF($E$2:E4495,"Domain"),"")</f>
        <v/>
      </c>
    </row>
    <row r="4496">
      <c r="A4496" s="2" t="n"/>
      <c r="B4496">
        <f>LOWER(TRIM(A4496))</f>
        <v/>
      </c>
      <c r="C4496">
        <f>IF(B4496="","",IFERROR(INDEX('Bad Patterns'!$A$2:$A$120,MATCH(1,INDEX(--ISNUMBER(SEARCH('Bad Patterns'!$A$2:$A$120,B4496)),0),0)),""))</f>
        <v/>
      </c>
      <c r="D4496">
        <f>IF(B4496="","",IF(C4496&lt;&gt;"","REMOVE","KEEP"))</f>
        <v/>
      </c>
      <c r="E4496">
        <f>IF(D4496&lt;&gt;"KEEP","",IF(RIGHT(B4496,10)="@gmail.com","Gmail",IF(OR(RIGHT(B4496,12)="@outlook.com",RIGHT(B4496,12)="@hotmail.com",RIGHT(B4496,9)="@live.com"),"Outlook","Domain")))</f>
        <v/>
      </c>
      <c r="F4496">
        <f>IF(B4496="","",IFERROR(RIGHT(B4496,LEN(B4496)-FIND("@",B4496)),""))</f>
        <v/>
      </c>
      <c r="G4496">
        <f>IF(D4496="KEEP",COUNTIF($D$2:D4496,"KEEP"),"")</f>
        <v/>
      </c>
      <c r="H4496">
        <f>IF(D4496="REMOVE",COUNTIF($D$2:D4496,"REMOVE"),"")</f>
        <v/>
      </c>
      <c r="I4496">
        <f>IF(E4496="Gmail",COUNTIF($E$2:E4496,"Gmail"),"")</f>
        <v/>
      </c>
      <c r="J4496">
        <f>IF(E4496="Outlook",COUNTIF($E$2:E4496,"Outlook"),"")</f>
        <v/>
      </c>
      <c r="K4496">
        <f>IF(E4496="Domain",COUNTIF($E$2:E4496,"Domain"),"")</f>
        <v/>
      </c>
    </row>
    <row r="4497">
      <c r="A4497" s="2" t="n"/>
      <c r="B4497">
        <f>LOWER(TRIM(A4497))</f>
        <v/>
      </c>
      <c r="C4497">
        <f>IF(B4497="","",IFERROR(INDEX('Bad Patterns'!$A$2:$A$120,MATCH(1,INDEX(--ISNUMBER(SEARCH('Bad Patterns'!$A$2:$A$120,B4497)),0),0)),""))</f>
        <v/>
      </c>
      <c r="D4497">
        <f>IF(B4497="","",IF(C4497&lt;&gt;"","REMOVE","KEEP"))</f>
        <v/>
      </c>
      <c r="E4497">
        <f>IF(D4497&lt;&gt;"KEEP","",IF(RIGHT(B4497,10)="@gmail.com","Gmail",IF(OR(RIGHT(B4497,12)="@outlook.com",RIGHT(B4497,12)="@hotmail.com",RIGHT(B4497,9)="@live.com"),"Outlook","Domain")))</f>
        <v/>
      </c>
      <c r="F4497">
        <f>IF(B4497="","",IFERROR(RIGHT(B4497,LEN(B4497)-FIND("@",B4497)),""))</f>
        <v/>
      </c>
      <c r="G4497">
        <f>IF(D4497="KEEP",COUNTIF($D$2:D4497,"KEEP"),"")</f>
        <v/>
      </c>
      <c r="H4497">
        <f>IF(D4497="REMOVE",COUNTIF($D$2:D4497,"REMOVE"),"")</f>
        <v/>
      </c>
      <c r="I4497">
        <f>IF(E4497="Gmail",COUNTIF($E$2:E4497,"Gmail"),"")</f>
        <v/>
      </c>
      <c r="J4497">
        <f>IF(E4497="Outlook",COUNTIF($E$2:E4497,"Outlook"),"")</f>
        <v/>
      </c>
      <c r="K4497">
        <f>IF(E4497="Domain",COUNTIF($E$2:E4497,"Domain"),"")</f>
        <v/>
      </c>
    </row>
    <row r="4498">
      <c r="A4498" s="2" t="n"/>
      <c r="B4498">
        <f>LOWER(TRIM(A4498))</f>
        <v/>
      </c>
      <c r="C4498">
        <f>IF(B4498="","",IFERROR(INDEX('Bad Patterns'!$A$2:$A$120,MATCH(1,INDEX(--ISNUMBER(SEARCH('Bad Patterns'!$A$2:$A$120,B4498)),0),0)),""))</f>
        <v/>
      </c>
      <c r="D4498">
        <f>IF(B4498="","",IF(C4498&lt;&gt;"","REMOVE","KEEP"))</f>
        <v/>
      </c>
      <c r="E4498">
        <f>IF(D4498&lt;&gt;"KEEP","",IF(RIGHT(B4498,10)="@gmail.com","Gmail",IF(OR(RIGHT(B4498,12)="@outlook.com",RIGHT(B4498,12)="@hotmail.com",RIGHT(B4498,9)="@live.com"),"Outlook","Domain")))</f>
        <v/>
      </c>
      <c r="F4498">
        <f>IF(B4498="","",IFERROR(RIGHT(B4498,LEN(B4498)-FIND("@",B4498)),""))</f>
        <v/>
      </c>
      <c r="G4498">
        <f>IF(D4498="KEEP",COUNTIF($D$2:D4498,"KEEP"),"")</f>
        <v/>
      </c>
      <c r="H4498">
        <f>IF(D4498="REMOVE",COUNTIF($D$2:D4498,"REMOVE"),"")</f>
        <v/>
      </c>
      <c r="I4498">
        <f>IF(E4498="Gmail",COUNTIF($E$2:E4498,"Gmail"),"")</f>
        <v/>
      </c>
      <c r="J4498">
        <f>IF(E4498="Outlook",COUNTIF($E$2:E4498,"Outlook"),"")</f>
        <v/>
      </c>
      <c r="K4498">
        <f>IF(E4498="Domain",COUNTIF($E$2:E4498,"Domain"),"")</f>
        <v/>
      </c>
    </row>
    <row r="4499">
      <c r="A4499" s="2" t="n"/>
      <c r="B4499">
        <f>LOWER(TRIM(A4499))</f>
        <v/>
      </c>
      <c r="C4499">
        <f>IF(B4499="","",IFERROR(INDEX('Bad Patterns'!$A$2:$A$120,MATCH(1,INDEX(--ISNUMBER(SEARCH('Bad Patterns'!$A$2:$A$120,B4499)),0),0)),""))</f>
        <v/>
      </c>
      <c r="D4499">
        <f>IF(B4499="","",IF(C4499&lt;&gt;"","REMOVE","KEEP"))</f>
        <v/>
      </c>
      <c r="E4499">
        <f>IF(D4499&lt;&gt;"KEEP","",IF(RIGHT(B4499,10)="@gmail.com","Gmail",IF(OR(RIGHT(B4499,12)="@outlook.com",RIGHT(B4499,12)="@hotmail.com",RIGHT(B4499,9)="@live.com"),"Outlook","Domain")))</f>
        <v/>
      </c>
      <c r="F4499">
        <f>IF(B4499="","",IFERROR(RIGHT(B4499,LEN(B4499)-FIND("@",B4499)),""))</f>
        <v/>
      </c>
      <c r="G4499">
        <f>IF(D4499="KEEP",COUNTIF($D$2:D4499,"KEEP"),"")</f>
        <v/>
      </c>
      <c r="H4499">
        <f>IF(D4499="REMOVE",COUNTIF($D$2:D4499,"REMOVE"),"")</f>
        <v/>
      </c>
      <c r="I4499">
        <f>IF(E4499="Gmail",COUNTIF($E$2:E4499,"Gmail"),"")</f>
        <v/>
      </c>
      <c r="J4499">
        <f>IF(E4499="Outlook",COUNTIF($E$2:E4499,"Outlook"),"")</f>
        <v/>
      </c>
      <c r="K4499">
        <f>IF(E4499="Domain",COUNTIF($E$2:E4499,"Domain"),"")</f>
        <v/>
      </c>
    </row>
    <row r="4500">
      <c r="A4500" s="2" t="n"/>
      <c r="B4500">
        <f>LOWER(TRIM(A4500))</f>
        <v/>
      </c>
      <c r="C4500">
        <f>IF(B4500="","",IFERROR(INDEX('Bad Patterns'!$A$2:$A$120,MATCH(1,INDEX(--ISNUMBER(SEARCH('Bad Patterns'!$A$2:$A$120,B4500)),0),0)),""))</f>
        <v/>
      </c>
      <c r="D4500">
        <f>IF(B4500="","",IF(C4500&lt;&gt;"","REMOVE","KEEP"))</f>
        <v/>
      </c>
      <c r="E4500">
        <f>IF(D4500&lt;&gt;"KEEP","",IF(RIGHT(B4500,10)="@gmail.com","Gmail",IF(OR(RIGHT(B4500,12)="@outlook.com",RIGHT(B4500,12)="@hotmail.com",RIGHT(B4500,9)="@live.com"),"Outlook","Domain")))</f>
        <v/>
      </c>
      <c r="F4500">
        <f>IF(B4500="","",IFERROR(RIGHT(B4500,LEN(B4500)-FIND("@",B4500)),""))</f>
        <v/>
      </c>
      <c r="G4500">
        <f>IF(D4500="KEEP",COUNTIF($D$2:D4500,"KEEP"),"")</f>
        <v/>
      </c>
      <c r="H4500">
        <f>IF(D4500="REMOVE",COUNTIF($D$2:D4500,"REMOVE"),"")</f>
        <v/>
      </c>
      <c r="I4500">
        <f>IF(E4500="Gmail",COUNTIF($E$2:E4500,"Gmail"),"")</f>
        <v/>
      </c>
      <c r="J4500">
        <f>IF(E4500="Outlook",COUNTIF($E$2:E4500,"Outlook"),"")</f>
        <v/>
      </c>
      <c r="K4500">
        <f>IF(E4500="Domain",COUNTIF($E$2:E4500,"Domain"),"")</f>
        <v/>
      </c>
    </row>
    <row r="4501">
      <c r="A4501" s="2" t="n"/>
      <c r="B4501">
        <f>LOWER(TRIM(A4501))</f>
        <v/>
      </c>
      <c r="C4501">
        <f>IF(B4501="","",IFERROR(INDEX('Bad Patterns'!$A$2:$A$120,MATCH(1,INDEX(--ISNUMBER(SEARCH('Bad Patterns'!$A$2:$A$120,B4501)),0),0)),""))</f>
        <v/>
      </c>
      <c r="D4501">
        <f>IF(B4501="","",IF(C4501&lt;&gt;"","REMOVE","KEEP"))</f>
        <v/>
      </c>
      <c r="E4501">
        <f>IF(D4501&lt;&gt;"KEEP","",IF(RIGHT(B4501,10)="@gmail.com","Gmail",IF(OR(RIGHT(B4501,12)="@outlook.com",RIGHT(B4501,12)="@hotmail.com",RIGHT(B4501,9)="@live.com"),"Outlook","Domain")))</f>
        <v/>
      </c>
      <c r="F4501">
        <f>IF(B4501="","",IFERROR(RIGHT(B4501,LEN(B4501)-FIND("@",B4501)),""))</f>
        <v/>
      </c>
      <c r="G4501">
        <f>IF(D4501="KEEP",COUNTIF($D$2:D4501,"KEEP"),"")</f>
        <v/>
      </c>
      <c r="H4501">
        <f>IF(D4501="REMOVE",COUNTIF($D$2:D4501,"REMOVE"),"")</f>
        <v/>
      </c>
      <c r="I4501">
        <f>IF(E4501="Gmail",COUNTIF($E$2:E4501,"Gmail"),"")</f>
        <v/>
      </c>
      <c r="J4501">
        <f>IF(E4501="Outlook",COUNTIF($E$2:E4501,"Outlook"),"")</f>
        <v/>
      </c>
      <c r="K4501">
        <f>IF(E4501="Domain",COUNTIF($E$2:E4501,"Domain"),"")</f>
        <v/>
      </c>
    </row>
    <row r="4502">
      <c r="A4502" s="2" t="n"/>
      <c r="B4502">
        <f>LOWER(TRIM(A4502))</f>
        <v/>
      </c>
      <c r="C4502">
        <f>IF(B4502="","",IFERROR(INDEX('Bad Patterns'!$A$2:$A$120,MATCH(1,INDEX(--ISNUMBER(SEARCH('Bad Patterns'!$A$2:$A$120,B4502)),0),0)),""))</f>
        <v/>
      </c>
      <c r="D4502">
        <f>IF(B4502="","",IF(C4502&lt;&gt;"","REMOVE","KEEP"))</f>
        <v/>
      </c>
      <c r="E4502">
        <f>IF(D4502&lt;&gt;"KEEP","",IF(RIGHT(B4502,10)="@gmail.com","Gmail",IF(OR(RIGHT(B4502,12)="@outlook.com",RIGHT(B4502,12)="@hotmail.com",RIGHT(B4502,9)="@live.com"),"Outlook","Domain")))</f>
        <v/>
      </c>
      <c r="F4502">
        <f>IF(B4502="","",IFERROR(RIGHT(B4502,LEN(B4502)-FIND("@",B4502)),""))</f>
        <v/>
      </c>
      <c r="G4502">
        <f>IF(D4502="KEEP",COUNTIF($D$2:D4502,"KEEP"),"")</f>
        <v/>
      </c>
      <c r="H4502">
        <f>IF(D4502="REMOVE",COUNTIF($D$2:D4502,"REMOVE"),"")</f>
        <v/>
      </c>
      <c r="I4502">
        <f>IF(E4502="Gmail",COUNTIF($E$2:E4502,"Gmail"),"")</f>
        <v/>
      </c>
      <c r="J4502">
        <f>IF(E4502="Outlook",COUNTIF($E$2:E4502,"Outlook"),"")</f>
        <v/>
      </c>
      <c r="K4502">
        <f>IF(E4502="Domain",COUNTIF($E$2:E4502,"Domain"),"")</f>
        <v/>
      </c>
    </row>
    <row r="4503">
      <c r="A4503" s="2" t="n"/>
      <c r="B4503">
        <f>LOWER(TRIM(A4503))</f>
        <v/>
      </c>
      <c r="C4503">
        <f>IF(B4503="","",IFERROR(INDEX('Bad Patterns'!$A$2:$A$120,MATCH(1,INDEX(--ISNUMBER(SEARCH('Bad Patterns'!$A$2:$A$120,B4503)),0),0)),""))</f>
        <v/>
      </c>
      <c r="D4503">
        <f>IF(B4503="","",IF(C4503&lt;&gt;"","REMOVE","KEEP"))</f>
        <v/>
      </c>
      <c r="E4503">
        <f>IF(D4503&lt;&gt;"KEEP","",IF(RIGHT(B4503,10)="@gmail.com","Gmail",IF(OR(RIGHT(B4503,12)="@outlook.com",RIGHT(B4503,12)="@hotmail.com",RIGHT(B4503,9)="@live.com"),"Outlook","Domain")))</f>
        <v/>
      </c>
      <c r="F4503">
        <f>IF(B4503="","",IFERROR(RIGHT(B4503,LEN(B4503)-FIND("@",B4503)),""))</f>
        <v/>
      </c>
      <c r="G4503">
        <f>IF(D4503="KEEP",COUNTIF($D$2:D4503,"KEEP"),"")</f>
        <v/>
      </c>
      <c r="H4503">
        <f>IF(D4503="REMOVE",COUNTIF($D$2:D4503,"REMOVE"),"")</f>
        <v/>
      </c>
      <c r="I4503">
        <f>IF(E4503="Gmail",COUNTIF($E$2:E4503,"Gmail"),"")</f>
        <v/>
      </c>
      <c r="J4503">
        <f>IF(E4503="Outlook",COUNTIF($E$2:E4503,"Outlook"),"")</f>
        <v/>
      </c>
      <c r="K4503">
        <f>IF(E4503="Domain",COUNTIF($E$2:E4503,"Domain"),"")</f>
        <v/>
      </c>
    </row>
    <row r="4504">
      <c r="A4504" s="2" t="n"/>
      <c r="B4504">
        <f>LOWER(TRIM(A4504))</f>
        <v/>
      </c>
      <c r="C4504">
        <f>IF(B4504="","",IFERROR(INDEX('Bad Patterns'!$A$2:$A$120,MATCH(1,INDEX(--ISNUMBER(SEARCH('Bad Patterns'!$A$2:$A$120,B4504)),0),0)),""))</f>
        <v/>
      </c>
      <c r="D4504">
        <f>IF(B4504="","",IF(C4504&lt;&gt;"","REMOVE","KEEP"))</f>
        <v/>
      </c>
      <c r="E4504">
        <f>IF(D4504&lt;&gt;"KEEP","",IF(RIGHT(B4504,10)="@gmail.com","Gmail",IF(OR(RIGHT(B4504,12)="@outlook.com",RIGHT(B4504,12)="@hotmail.com",RIGHT(B4504,9)="@live.com"),"Outlook","Domain")))</f>
        <v/>
      </c>
      <c r="F4504">
        <f>IF(B4504="","",IFERROR(RIGHT(B4504,LEN(B4504)-FIND("@",B4504)),""))</f>
        <v/>
      </c>
      <c r="G4504">
        <f>IF(D4504="KEEP",COUNTIF($D$2:D4504,"KEEP"),"")</f>
        <v/>
      </c>
      <c r="H4504">
        <f>IF(D4504="REMOVE",COUNTIF($D$2:D4504,"REMOVE"),"")</f>
        <v/>
      </c>
      <c r="I4504">
        <f>IF(E4504="Gmail",COUNTIF($E$2:E4504,"Gmail"),"")</f>
        <v/>
      </c>
      <c r="J4504">
        <f>IF(E4504="Outlook",COUNTIF($E$2:E4504,"Outlook"),"")</f>
        <v/>
      </c>
      <c r="K4504">
        <f>IF(E4504="Domain",COUNTIF($E$2:E4504,"Domain"),"")</f>
        <v/>
      </c>
    </row>
    <row r="4505">
      <c r="A4505" s="2" t="n"/>
      <c r="B4505">
        <f>LOWER(TRIM(A4505))</f>
        <v/>
      </c>
      <c r="C4505">
        <f>IF(B4505="","",IFERROR(INDEX('Bad Patterns'!$A$2:$A$120,MATCH(1,INDEX(--ISNUMBER(SEARCH('Bad Patterns'!$A$2:$A$120,B4505)),0),0)),""))</f>
        <v/>
      </c>
      <c r="D4505">
        <f>IF(B4505="","",IF(C4505&lt;&gt;"","REMOVE","KEEP"))</f>
        <v/>
      </c>
      <c r="E4505">
        <f>IF(D4505&lt;&gt;"KEEP","",IF(RIGHT(B4505,10)="@gmail.com","Gmail",IF(OR(RIGHT(B4505,12)="@outlook.com",RIGHT(B4505,12)="@hotmail.com",RIGHT(B4505,9)="@live.com"),"Outlook","Domain")))</f>
        <v/>
      </c>
      <c r="F4505">
        <f>IF(B4505="","",IFERROR(RIGHT(B4505,LEN(B4505)-FIND("@",B4505)),""))</f>
        <v/>
      </c>
      <c r="G4505">
        <f>IF(D4505="KEEP",COUNTIF($D$2:D4505,"KEEP"),"")</f>
        <v/>
      </c>
      <c r="H4505">
        <f>IF(D4505="REMOVE",COUNTIF($D$2:D4505,"REMOVE"),"")</f>
        <v/>
      </c>
      <c r="I4505">
        <f>IF(E4505="Gmail",COUNTIF($E$2:E4505,"Gmail"),"")</f>
        <v/>
      </c>
      <c r="J4505">
        <f>IF(E4505="Outlook",COUNTIF($E$2:E4505,"Outlook"),"")</f>
        <v/>
      </c>
      <c r="K4505">
        <f>IF(E4505="Domain",COUNTIF($E$2:E4505,"Domain"),"")</f>
        <v/>
      </c>
    </row>
    <row r="4506">
      <c r="A4506" s="2" t="n"/>
      <c r="B4506">
        <f>LOWER(TRIM(A4506))</f>
        <v/>
      </c>
      <c r="C4506">
        <f>IF(B4506="","",IFERROR(INDEX('Bad Patterns'!$A$2:$A$120,MATCH(1,INDEX(--ISNUMBER(SEARCH('Bad Patterns'!$A$2:$A$120,B4506)),0),0)),""))</f>
        <v/>
      </c>
      <c r="D4506">
        <f>IF(B4506="","",IF(C4506&lt;&gt;"","REMOVE","KEEP"))</f>
        <v/>
      </c>
      <c r="E4506">
        <f>IF(D4506&lt;&gt;"KEEP","",IF(RIGHT(B4506,10)="@gmail.com","Gmail",IF(OR(RIGHT(B4506,12)="@outlook.com",RIGHT(B4506,12)="@hotmail.com",RIGHT(B4506,9)="@live.com"),"Outlook","Domain")))</f>
        <v/>
      </c>
      <c r="F4506">
        <f>IF(B4506="","",IFERROR(RIGHT(B4506,LEN(B4506)-FIND("@",B4506)),""))</f>
        <v/>
      </c>
      <c r="G4506">
        <f>IF(D4506="KEEP",COUNTIF($D$2:D4506,"KEEP"),"")</f>
        <v/>
      </c>
      <c r="H4506">
        <f>IF(D4506="REMOVE",COUNTIF($D$2:D4506,"REMOVE"),"")</f>
        <v/>
      </c>
      <c r="I4506">
        <f>IF(E4506="Gmail",COUNTIF($E$2:E4506,"Gmail"),"")</f>
        <v/>
      </c>
      <c r="J4506">
        <f>IF(E4506="Outlook",COUNTIF($E$2:E4506,"Outlook"),"")</f>
        <v/>
      </c>
      <c r="K4506">
        <f>IF(E4506="Domain",COUNTIF($E$2:E4506,"Domain"),"")</f>
        <v/>
      </c>
    </row>
    <row r="4507">
      <c r="A4507" s="2" t="n"/>
      <c r="B4507">
        <f>LOWER(TRIM(A4507))</f>
        <v/>
      </c>
      <c r="C4507">
        <f>IF(B4507="","",IFERROR(INDEX('Bad Patterns'!$A$2:$A$120,MATCH(1,INDEX(--ISNUMBER(SEARCH('Bad Patterns'!$A$2:$A$120,B4507)),0),0)),""))</f>
        <v/>
      </c>
      <c r="D4507">
        <f>IF(B4507="","",IF(C4507&lt;&gt;"","REMOVE","KEEP"))</f>
        <v/>
      </c>
      <c r="E4507">
        <f>IF(D4507&lt;&gt;"KEEP","",IF(RIGHT(B4507,10)="@gmail.com","Gmail",IF(OR(RIGHT(B4507,12)="@outlook.com",RIGHT(B4507,12)="@hotmail.com",RIGHT(B4507,9)="@live.com"),"Outlook","Domain")))</f>
        <v/>
      </c>
      <c r="F4507">
        <f>IF(B4507="","",IFERROR(RIGHT(B4507,LEN(B4507)-FIND("@",B4507)),""))</f>
        <v/>
      </c>
      <c r="G4507">
        <f>IF(D4507="KEEP",COUNTIF($D$2:D4507,"KEEP"),"")</f>
        <v/>
      </c>
      <c r="H4507">
        <f>IF(D4507="REMOVE",COUNTIF($D$2:D4507,"REMOVE"),"")</f>
        <v/>
      </c>
      <c r="I4507">
        <f>IF(E4507="Gmail",COUNTIF($E$2:E4507,"Gmail"),"")</f>
        <v/>
      </c>
      <c r="J4507">
        <f>IF(E4507="Outlook",COUNTIF($E$2:E4507,"Outlook"),"")</f>
        <v/>
      </c>
      <c r="K4507">
        <f>IF(E4507="Domain",COUNTIF($E$2:E4507,"Domain"),"")</f>
        <v/>
      </c>
    </row>
    <row r="4508">
      <c r="A4508" s="2" t="n"/>
      <c r="B4508">
        <f>LOWER(TRIM(A4508))</f>
        <v/>
      </c>
      <c r="C4508">
        <f>IF(B4508="","",IFERROR(INDEX('Bad Patterns'!$A$2:$A$120,MATCH(1,INDEX(--ISNUMBER(SEARCH('Bad Patterns'!$A$2:$A$120,B4508)),0),0)),""))</f>
        <v/>
      </c>
      <c r="D4508">
        <f>IF(B4508="","",IF(C4508&lt;&gt;"","REMOVE","KEEP"))</f>
        <v/>
      </c>
      <c r="E4508">
        <f>IF(D4508&lt;&gt;"KEEP","",IF(RIGHT(B4508,10)="@gmail.com","Gmail",IF(OR(RIGHT(B4508,12)="@outlook.com",RIGHT(B4508,12)="@hotmail.com",RIGHT(B4508,9)="@live.com"),"Outlook","Domain")))</f>
        <v/>
      </c>
      <c r="F4508">
        <f>IF(B4508="","",IFERROR(RIGHT(B4508,LEN(B4508)-FIND("@",B4508)),""))</f>
        <v/>
      </c>
      <c r="G4508">
        <f>IF(D4508="KEEP",COUNTIF($D$2:D4508,"KEEP"),"")</f>
        <v/>
      </c>
      <c r="H4508">
        <f>IF(D4508="REMOVE",COUNTIF($D$2:D4508,"REMOVE"),"")</f>
        <v/>
      </c>
      <c r="I4508">
        <f>IF(E4508="Gmail",COUNTIF($E$2:E4508,"Gmail"),"")</f>
        <v/>
      </c>
      <c r="J4508">
        <f>IF(E4508="Outlook",COUNTIF($E$2:E4508,"Outlook"),"")</f>
        <v/>
      </c>
      <c r="K4508">
        <f>IF(E4508="Domain",COUNTIF($E$2:E4508,"Domain"),"")</f>
        <v/>
      </c>
    </row>
    <row r="4509">
      <c r="A4509" s="2" t="n"/>
      <c r="B4509">
        <f>LOWER(TRIM(A4509))</f>
        <v/>
      </c>
      <c r="C4509">
        <f>IF(B4509="","",IFERROR(INDEX('Bad Patterns'!$A$2:$A$120,MATCH(1,INDEX(--ISNUMBER(SEARCH('Bad Patterns'!$A$2:$A$120,B4509)),0),0)),""))</f>
        <v/>
      </c>
      <c r="D4509">
        <f>IF(B4509="","",IF(C4509&lt;&gt;"","REMOVE","KEEP"))</f>
        <v/>
      </c>
      <c r="E4509">
        <f>IF(D4509&lt;&gt;"KEEP","",IF(RIGHT(B4509,10)="@gmail.com","Gmail",IF(OR(RIGHT(B4509,12)="@outlook.com",RIGHT(B4509,12)="@hotmail.com",RIGHT(B4509,9)="@live.com"),"Outlook","Domain")))</f>
        <v/>
      </c>
      <c r="F4509">
        <f>IF(B4509="","",IFERROR(RIGHT(B4509,LEN(B4509)-FIND("@",B4509)),""))</f>
        <v/>
      </c>
      <c r="G4509">
        <f>IF(D4509="KEEP",COUNTIF($D$2:D4509,"KEEP"),"")</f>
        <v/>
      </c>
      <c r="H4509">
        <f>IF(D4509="REMOVE",COUNTIF($D$2:D4509,"REMOVE"),"")</f>
        <v/>
      </c>
      <c r="I4509">
        <f>IF(E4509="Gmail",COUNTIF($E$2:E4509,"Gmail"),"")</f>
        <v/>
      </c>
      <c r="J4509">
        <f>IF(E4509="Outlook",COUNTIF($E$2:E4509,"Outlook"),"")</f>
        <v/>
      </c>
      <c r="K4509">
        <f>IF(E4509="Domain",COUNTIF($E$2:E4509,"Domain"),"")</f>
        <v/>
      </c>
    </row>
    <row r="4510">
      <c r="A4510" s="2" t="n"/>
      <c r="B4510">
        <f>LOWER(TRIM(A4510))</f>
        <v/>
      </c>
      <c r="C4510">
        <f>IF(B4510="","",IFERROR(INDEX('Bad Patterns'!$A$2:$A$120,MATCH(1,INDEX(--ISNUMBER(SEARCH('Bad Patterns'!$A$2:$A$120,B4510)),0),0)),""))</f>
        <v/>
      </c>
      <c r="D4510">
        <f>IF(B4510="","",IF(C4510&lt;&gt;"","REMOVE","KEEP"))</f>
        <v/>
      </c>
      <c r="E4510">
        <f>IF(D4510&lt;&gt;"KEEP","",IF(RIGHT(B4510,10)="@gmail.com","Gmail",IF(OR(RIGHT(B4510,12)="@outlook.com",RIGHT(B4510,12)="@hotmail.com",RIGHT(B4510,9)="@live.com"),"Outlook","Domain")))</f>
        <v/>
      </c>
      <c r="F4510">
        <f>IF(B4510="","",IFERROR(RIGHT(B4510,LEN(B4510)-FIND("@",B4510)),""))</f>
        <v/>
      </c>
      <c r="G4510">
        <f>IF(D4510="KEEP",COUNTIF($D$2:D4510,"KEEP"),"")</f>
        <v/>
      </c>
      <c r="H4510">
        <f>IF(D4510="REMOVE",COUNTIF($D$2:D4510,"REMOVE"),"")</f>
        <v/>
      </c>
      <c r="I4510">
        <f>IF(E4510="Gmail",COUNTIF($E$2:E4510,"Gmail"),"")</f>
        <v/>
      </c>
      <c r="J4510">
        <f>IF(E4510="Outlook",COUNTIF($E$2:E4510,"Outlook"),"")</f>
        <v/>
      </c>
      <c r="K4510">
        <f>IF(E4510="Domain",COUNTIF($E$2:E4510,"Domain"),"")</f>
        <v/>
      </c>
    </row>
    <row r="4511">
      <c r="A4511" s="2" t="n"/>
      <c r="B4511">
        <f>LOWER(TRIM(A4511))</f>
        <v/>
      </c>
      <c r="C4511">
        <f>IF(B4511="","",IFERROR(INDEX('Bad Patterns'!$A$2:$A$120,MATCH(1,INDEX(--ISNUMBER(SEARCH('Bad Patterns'!$A$2:$A$120,B4511)),0),0)),""))</f>
        <v/>
      </c>
      <c r="D4511">
        <f>IF(B4511="","",IF(C4511&lt;&gt;"","REMOVE","KEEP"))</f>
        <v/>
      </c>
      <c r="E4511">
        <f>IF(D4511&lt;&gt;"KEEP","",IF(RIGHT(B4511,10)="@gmail.com","Gmail",IF(OR(RIGHT(B4511,12)="@outlook.com",RIGHT(B4511,12)="@hotmail.com",RIGHT(B4511,9)="@live.com"),"Outlook","Domain")))</f>
        <v/>
      </c>
      <c r="F4511">
        <f>IF(B4511="","",IFERROR(RIGHT(B4511,LEN(B4511)-FIND("@",B4511)),""))</f>
        <v/>
      </c>
      <c r="G4511">
        <f>IF(D4511="KEEP",COUNTIF($D$2:D4511,"KEEP"),"")</f>
        <v/>
      </c>
      <c r="H4511">
        <f>IF(D4511="REMOVE",COUNTIF($D$2:D4511,"REMOVE"),"")</f>
        <v/>
      </c>
      <c r="I4511">
        <f>IF(E4511="Gmail",COUNTIF($E$2:E4511,"Gmail"),"")</f>
        <v/>
      </c>
      <c r="J4511">
        <f>IF(E4511="Outlook",COUNTIF($E$2:E4511,"Outlook"),"")</f>
        <v/>
      </c>
      <c r="K4511">
        <f>IF(E4511="Domain",COUNTIF($E$2:E4511,"Domain"),"")</f>
        <v/>
      </c>
    </row>
    <row r="4512">
      <c r="A4512" s="2" t="n"/>
      <c r="B4512">
        <f>LOWER(TRIM(A4512))</f>
        <v/>
      </c>
      <c r="C4512">
        <f>IF(B4512="","",IFERROR(INDEX('Bad Patterns'!$A$2:$A$120,MATCH(1,INDEX(--ISNUMBER(SEARCH('Bad Patterns'!$A$2:$A$120,B4512)),0),0)),""))</f>
        <v/>
      </c>
      <c r="D4512">
        <f>IF(B4512="","",IF(C4512&lt;&gt;"","REMOVE","KEEP"))</f>
        <v/>
      </c>
      <c r="E4512">
        <f>IF(D4512&lt;&gt;"KEEP","",IF(RIGHT(B4512,10)="@gmail.com","Gmail",IF(OR(RIGHT(B4512,12)="@outlook.com",RIGHT(B4512,12)="@hotmail.com",RIGHT(B4512,9)="@live.com"),"Outlook","Domain")))</f>
        <v/>
      </c>
      <c r="F4512">
        <f>IF(B4512="","",IFERROR(RIGHT(B4512,LEN(B4512)-FIND("@",B4512)),""))</f>
        <v/>
      </c>
      <c r="G4512">
        <f>IF(D4512="KEEP",COUNTIF($D$2:D4512,"KEEP"),"")</f>
        <v/>
      </c>
      <c r="H4512">
        <f>IF(D4512="REMOVE",COUNTIF($D$2:D4512,"REMOVE"),"")</f>
        <v/>
      </c>
      <c r="I4512">
        <f>IF(E4512="Gmail",COUNTIF($E$2:E4512,"Gmail"),"")</f>
        <v/>
      </c>
      <c r="J4512">
        <f>IF(E4512="Outlook",COUNTIF($E$2:E4512,"Outlook"),"")</f>
        <v/>
      </c>
      <c r="K4512">
        <f>IF(E4512="Domain",COUNTIF($E$2:E4512,"Domain"),"")</f>
        <v/>
      </c>
    </row>
    <row r="4513">
      <c r="A4513" s="2" t="n"/>
      <c r="B4513">
        <f>LOWER(TRIM(A4513))</f>
        <v/>
      </c>
      <c r="C4513">
        <f>IF(B4513="","",IFERROR(INDEX('Bad Patterns'!$A$2:$A$120,MATCH(1,INDEX(--ISNUMBER(SEARCH('Bad Patterns'!$A$2:$A$120,B4513)),0),0)),""))</f>
        <v/>
      </c>
      <c r="D4513">
        <f>IF(B4513="","",IF(C4513&lt;&gt;"","REMOVE","KEEP"))</f>
        <v/>
      </c>
      <c r="E4513">
        <f>IF(D4513&lt;&gt;"KEEP","",IF(RIGHT(B4513,10)="@gmail.com","Gmail",IF(OR(RIGHT(B4513,12)="@outlook.com",RIGHT(B4513,12)="@hotmail.com",RIGHT(B4513,9)="@live.com"),"Outlook","Domain")))</f>
        <v/>
      </c>
      <c r="F4513">
        <f>IF(B4513="","",IFERROR(RIGHT(B4513,LEN(B4513)-FIND("@",B4513)),""))</f>
        <v/>
      </c>
      <c r="G4513">
        <f>IF(D4513="KEEP",COUNTIF($D$2:D4513,"KEEP"),"")</f>
        <v/>
      </c>
      <c r="H4513">
        <f>IF(D4513="REMOVE",COUNTIF($D$2:D4513,"REMOVE"),"")</f>
        <v/>
      </c>
      <c r="I4513">
        <f>IF(E4513="Gmail",COUNTIF($E$2:E4513,"Gmail"),"")</f>
        <v/>
      </c>
      <c r="J4513">
        <f>IF(E4513="Outlook",COUNTIF($E$2:E4513,"Outlook"),"")</f>
        <v/>
      </c>
      <c r="K4513">
        <f>IF(E4513="Domain",COUNTIF($E$2:E4513,"Domain"),"")</f>
        <v/>
      </c>
    </row>
    <row r="4514">
      <c r="A4514" s="2" t="n"/>
      <c r="B4514">
        <f>LOWER(TRIM(A4514))</f>
        <v/>
      </c>
      <c r="C4514">
        <f>IF(B4514="","",IFERROR(INDEX('Bad Patterns'!$A$2:$A$120,MATCH(1,INDEX(--ISNUMBER(SEARCH('Bad Patterns'!$A$2:$A$120,B4514)),0),0)),""))</f>
        <v/>
      </c>
      <c r="D4514">
        <f>IF(B4514="","",IF(C4514&lt;&gt;"","REMOVE","KEEP"))</f>
        <v/>
      </c>
      <c r="E4514">
        <f>IF(D4514&lt;&gt;"KEEP","",IF(RIGHT(B4514,10)="@gmail.com","Gmail",IF(OR(RIGHT(B4514,12)="@outlook.com",RIGHT(B4514,12)="@hotmail.com",RIGHT(B4514,9)="@live.com"),"Outlook","Domain")))</f>
        <v/>
      </c>
      <c r="F4514">
        <f>IF(B4514="","",IFERROR(RIGHT(B4514,LEN(B4514)-FIND("@",B4514)),""))</f>
        <v/>
      </c>
      <c r="G4514">
        <f>IF(D4514="KEEP",COUNTIF($D$2:D4514,"KEEP"),"")</f>
        <v/>
      </c>
      <c r="H4514">
        <f>IF(D4514="REMOVE",COUNTIF($D$2:D4514,"REMOVE"),"")</f>
        <v/>
      </c>
      <c r="I4514">
        <f>IF(E4514="Gmail",COUNTIF($E$2:E4514,"Gmail"),"")</f>
        <v/>
      </c>
      <c r="J4514">
        <f>IF(E4514="Outlook",COUNTIF($E$2:E4514,"Outlook"),"")</f>
        <v/>
      </c>
      <c r="K4514">
        <f>IF(E4514="Domain",COUNTIF($E$2:E4514,"Domain"),"")</f>
        <v/>
      </c>
    </row>
    <row r="4515">
      <c r="A4515" s="2" t="n"/>
      <c r="B4515">
        <f>LOWER(TRIM(A4515))</f>
        <v/>
      </c>
      <c r="C4515">
        <f>IF(B4515="","",IFERROR(INDEX('Bad Patterns'!$A$2:$A$120,MATCH(1,INDEX(--ISNUMBER(SEARCH('Bad Patterns'!$A$2:$A$120,B4515)),0),0)),""))</f>
        <v/>
      </c>
      <c r="D4515">
        <f>IF(B4515="","",IF(C4515&lt;&gt;"","REMOVE","KEEP"))</f>
        <v/>
      </c>
      <c r="E4515">
        <f>IF(D4515&lt;&gt;"KEEP","",IF(RIGHT(B4515,10)="@gmail.com","Gmail",IF(OR(RIGHT(B4515,12)="@outlook.com",RIGHT(B4515,12)="@hotmail.com",RIGHT(B4515,9)="@live.com"),"Outlook","Domain")))</f>
        <v/>
      </c>
      <c r="F4515">
        <f>IF(B4515="","",IFERROR(RIGHT(B4515,LEN(B4515)-FIND("@",B4515)),""))</f>
        <v/>
      </c>
      <c r="G4515">
        <f>IF(D4515="KEEP",COUNTIF($D$2:D4515,"KEEP"),"")</f>
        <v/>
      </c>
      <c r="H4515">
        <f>IF(D4515="REMOVE",COUNTIF($D$2:D4515,"REMOVE"),"")</f>
        <v/>
      </c>
      <c r="I4515">
        <f>IF(E4515="Gmail",COUNTIF($E$2:E4515,"Gmail"),"")</f>
        <v/>
      </c>
      <c r="J4515">
        <f>IF(E4515="Outlook",COUNTIF($E$2:E4515,"Outlook"),"")</f>
        <v/>
      </c>
      <c r="K4515">
        <f>IF(E4515="Domain",COUNTIF($E$2:E4515,"Domain"),"")</f>
        <v/>
      </c>
    </row>
    <row r="4516">
      <c r="A4516" s="2" t="n"/>
      <c r="B4516">
        <f>LOWER(TRIM(A4516))</f>
        <v/>
      </c>
      <c r="C4516">
        <f>IF(B4516="","",IFERROR(INDEX('Bad Patterns'!$A$2:$A$120,MATCH(1,INDEX(--ISNUMBER(SEARCH('Bad Patterns'!$A$2:$A$120,B4516)),0),0)),""))</f>
        <v/>
      </c>
      <c r="D4516">
        <f>IF(B4516="","",IF(C4516&lt;&gt;"","REMOVE","KEEP"))</f>
        <v/>
      </c>
      <c r="E4516">
        <f>IF(D4516&lt;&gt;"KEEP","",IF(RIGHT(B4516,10)="@gmail.com","Gmail",IF(OR(RIGHT(B4516,12)="@outlook.com",RIGHT(B4516,12)="@hotmail.com",RIGHT(B4516,9)="@live.com"),"Outlook","Domain")))</f>
        <v/>
      </c>
      <c r="F4516">
        <f>IF(B4516="","",IFERROR(RIGHT(B4516,LEN(B4516)-FIND("@",B4516)),""))</f>
        <v/>
      </c>
      <c r="G4516">
        <f>IF(D4516="KEEP",COUNTIF($D$2:D4516,"KEEP"),"")</f>
        <v/>
      </c>
      <c r="H4516">
        <f>IF(D4516="REMOVE",COUNTIF($D$2:D4516,"REMOVE"),"")</f>
        <v/>
      </c>
      <c r="I4516">
        <f>IF(E4516="Gmail",COUNTIF($E$2:E4516,"Gmail"),"")</f>
        <v/>
      </c>
      <c r="J4516">
        <f>IF(E4516="Outlook",COUNTIF($E$2:E4516,"Outlook"),"")</f>
        <v/>
      </c>
      <c r="K4516">
        <f>IF(E4516="Domain",COUNTIF($E$2:E4516,"Domain"),"")</f>
        <v/>
      </c>
    </row>
    <row r="4517">
      <c r="A4517" s="2" t="n"/>
      <c r="B4517">
        <f>LOWER(TRIM(A4517))</f>
        <v/>
      </c>
      <c r="C4517">
        <f>IF(B4517="","",IFERROR(INDEX('Bad Patterns'!$A$2:$A$120,MATCH(1,INDEX(--ISNUMBER(SEARCH('Bad Patterns'!$A$2:$A$120,B4517)),0),0)),""))</f>
        <v/>
      </c>
      <c r="D4517">
        <f>IF(B4517="","",IF(C4517&lt;&gt;"","REMOVE","KEEP"))</f>
        <v/>
      </c>
      <c r="E4517">
        <f>IF(D4517&lt;&gt;"KEEP","",IF(RIGHT(B4517,10)="@gmail.com","Gmail",IF(OR(RIGHT(B4517,12)="@outlook.com",RIGHT(B4517,12)="@hotmail.com",RIGHT(B4517,9)="@live.com"),"Outlook","Domain")))</f>
        <v/>
      </c>
      <c r="F4517">
        <f>IF(B4517="","",IFERROR(RIGHT(B4517,LEN(B4517)-FIND("@",B4517)),""))</f>
        <v/>
      </c>
      <c r="G4517">
        <f>IF(D4517="KEEP",COUNTIF($D$2:D4517,"KEEP"),"")</f>
        <v/>
      </c>
      <c r="H4517">
        <f>IF(D4517="REMOVE",COUNTIF($D$2:D4517,"REMOVE"),"")</f>
        <v/>
      </c>
      <c r="I4517">
        <f>IF(E4517="Gmail",COUNTIF($E$2:E4517,"Gmail"),"")</f>
        <v/>
      </c>
      <c r="J4517">
        <f>IF(E4517="Outlook",COUNTIF($E$2:E4517,"Outlook"),"")</f>
        <v/>
      </c>
      <c r="K4517">
        <f>IF(E4517="Domain",COUNTIF($E$2:E4517,"Domain"),"")</f>
        <v/>
      </c>
    </row>
    <row r="4518">
      <c r="A4518" s="2" t="n"/>
      <c r="B4518">
        <f>LOWER(TRIM(A4518))</f>
        <v/>
      </c>
      <c r="C4518">
        <f>IF(B4518="","",IFERROR(INDEX('Bad Patterns'!$A$2:$A$120,MATCH(1,INDEX(--ISNUMBER(SEARCH('Bad Patterns'!$A$2:$A$120,B4518)),0),0)),""))</f>
        <v/>
      </c>
      <c r="D4518">
        <f>IF(B4518="","",IF(C4518&lt;&gt;"","REMOVE","KEEP"))</f>
        <v/>
      </c>
      <c r="E4518">
        <f>IF(D4518&lt;&gt;"KEEP","",IF(RIGHT(B4518,10)="@gmail.com","Gmail",IF(OR(RIGHT(B4518,12)="@outlook.com",RIGHT(B4518,12)="@hotmail.com",RIGHT(B4518,9)="@live.com"),"Outlook","Domain")))</f>
        <v/>
      </c>
      <c r="F4518">
        <f>IF(B4518="","",IFERROR(RIGHT(B4518,LEN(B4518)-FIND("@",B4518)),""))</f>
        <v/>
      </c>
      <c r="G4518">
        <f>IF(D4518="KEEP",COUNTIF($D$2:D4518,"KEEP"),"")</f>
        <v/>
      </c>
      <c r="H4518">
        <f>IF(D4518="REMOVE",COUNTIF($D$2:D4518,"REMOVE"),"")</f>
        <v/>
      </c>
      <c r="I4518">
        <f>IF(E4518="Gmail",COUNTIF($E$2:E4518,"Gmail"),"")</f>
        <v/>
      </c>
      <c r="J4518">
        <f>IF(E4518="Outlook",COUNTIF($E$2:E4518,"Outlook"),"")</f>
        <v/>
      </c>
      <c r="K4518">
        <f>IF(E4518="Domain",COUNTIF($E$2:E4518,"Domain"),"")</f>
        <v/>
      </c>
    </row>
    <row r="4519">
      <c r="A4519" s="2" t="n"/>
      <c r="B4519">
        <f>LOWER(TRIM(A4519))</f>
        <v/>
      </c>
      <c r="C4519">
        <f>IF(B4519="","",IFERROR(INDEX('Bad Patterns'!$A$2:$A$120,MATCH(1,INDEX(--ISNUMBER(SEARCH('Bad Patterns'!$A$2:$A$120,B4519)),0),0)),""))</f>
        <v/>
      </c>
      <c r="D4519">
        <f>IF(B4519="","",IF(C4519&lt;&gt;"","REMOVE","KEEP"))</f>
        <v/>
      </c>
      <c r="E4519">
        <f>IF(D4519&lt;&gt;"KEEP","",IF(RIGHT(B4519,10)="@gmail.com","Gmail",IF(OR(RIGHT(B4519,12)="@outlook.com",RIGHT(B4519,12)="@hotmail.com",RIGHT(B4519,9)="@live.com"),"Outlook","Domain")))</f>
        <v/>
      </c>
      <c r="F4519">
        <f>IF(B4519="","",IFERROR(RIGHT(B4519,LEN(B4519)-FIND("@",B4519)),""))</f>
        <v/>
      </c>
      <c r="G4519">
        <f>IF(D4519="KEEP",COUNTIF($D$2:D4519,"KEEP"),"")</f>
        <v/>
      </c>
      <c r="H4519">
        <f>IF(D4519="REMOVE",COUNTIF($D$2:D4519,"REMOVE"),"")</f>
        <v/>
      </c>
      <c r="I4519">
        <f>IF(E4519="Gmail",COUNTIF($E$2:E4519,"Gmail"),"")</f>
        <v/>
      </c>
      <c r="J4519">
        <f>IF(E4519="Outlook",COUNTIF($E$2:E4519,"Outlook"),"")</f>
        <v/>
      </c>
      <c r="K4519">
        <f>IF(E4519="Domain",COUNTIF($E$2:E4519,"Domain"),"")</f>
        <v/>
      </c>
    </row>
    <row r="4520">
      <c r="A4520" s="2" t="n"/>
      <c r="B4520">
        <f>LOWER(TRIM(A4520))</f>
        <v/>
      </c>
      <c r="C4520">
        <f>IF(B4520="","",IFERROR(INDEX('Bad Patterns'!$A$2:$A$120,MATCH(1,INDEX(--ISNUMBER(SEARCH('Bad Patterns'!$A$2:$A$120,B4520)),0),0)),""))</f>
        <v/>
      </c>
      <c r="D4520">
        <f>IF(B4520="","",IF(C4520&lt;&gt;"","REMOVE","KEEP"))</f>
        <v/>
      </c>
      <c r="E4520">
        <f>IF(D4520&lt;&gt;"KEEP","",IF(RIGHT(B4520,10)="@gmail.com","Gmail",IF(OR(RIGHT(B4520,12)="@outlook.com",RIGHT(B4520,12)="@hotmail.com",RIGHT(B4520,9)="@live.com"),"Outlook","Domain")))</f>
        <v/>
      </c>
      <c r="F4520">
        <f>IF(B4520="","",IFERROR(RIGHT(B4520,LEN(B4520)-FIND("@",B4520)),""))</f>
        <v/>
      </c>
      <c r="G4520">
        <f>IF(D4520="KEEP",COUNTIF($D$2:D4520,"KEEP"),"")</f>
        <v/>
      </c>
      <c r="H4520">
        <f>IF(D4520="REMOVE",COUNTIF($D$2:D4520,"REMOVE"),"")</f>
        <v/>
      </c>
      <c r="I4520">
        <f>IF(E4520="Gmail",COUNTIF($E$2:E4520,"Gmail"),"")</f>
        <v/>
      </c>
      <c r="J4520">
        <f>IF(E4520="Outlook",COUNTIF($E$2:E4520,"Outlook"),"")</f>
        <v/>
      </c>
      <c r="K4520">
        <f>IF(E4520="Domain",COUNTIF($E$2:E4520,"Domain"),"")</f>
        <v/>
      </c>
    </row>
    <row r="4521">
      <c r="A4521" s="2" t="n"/>
      <c r="B4521">
        <f>LOWER(TRIM(A4521))</f>
        <v/>
      </c>
      <c r="C4521">
        <f>IF(B4521="","",IFERROR(INDEX('Bad Patterns'!$A$2:$A$120,MATCH(1,INDEX(--ISNUMBER(SEARCH('Bad Patterns'!$A$2:$A$120,B4521)),0),0)),""))</f>
        <v/>
      </c>
      <c r="D4521">
        <f>IF(B4521="","",IF(C4521&lt;&gt;"","REMOVE","KEEP"))</f>
        <v/>
      </c>
      <c r="E4521">
        <f>IF(D4521&lt;&gt;"KEEP","",IF(RIGHT(B4521,10)="@gmail.com","Gmail",IF(OR(RIGHT(B4521,12)="@outlook.com",RIGHT(B4521,12)="@hotmail.com",RIGHT(B4521,9)="@live.com"),"Outlook","Domain")))</f>
        <v/>
      </c>
      <c r="F4521">
        <f>IF(B4521="","",IFERROR(RIGHT(B4521,LEN(B4521)-FIND("@",B4521)),""))</f>
        <v/>
      </c>
      <c r="G4521">
        <f>IF(D4521="KEEP",COUNTIF($D$2:D4521,"KEEP"),"")</f>
        <v/>
      </c>
      <c r="H4521">
        <f>IF(D4521="REMOVE",COUNTIF($D$2:D4521,"REMOVE"),"")</f>
        <v/>
      </c>
      <c r="I4521">
        <f>IF(E4521="Gmail",COUNTIF($E$2:E4521,"Gmail"),"")</f>
        <v/>
      </c>
      <c r="J4521">
        <f>IF(E4521="Outlook",COUNTIF($E$2:E4521,"Outlook"),"")</f>
        <v/>
      </c>
      <c r="K4521">
        <f>IF(E4521="Domain",COUNTIF($E$2:E4521,"Domain"),"")</f>
        <v/>
      </c>
    </row>
    <row r="4522">
      <c r="A4522" s="2" t="n"/>
      <c r="B4522">
        <f>LOWER(TRIM(A4522))</f>
        <v/>
      </c>
      <c r="C4522">
        <f>IF(B4522="","",IFERROR(INDEX('Bad Patterns'!$A$2:$A$120,MATCH(1,INDEX(--ISNUMBER(SEARCH('Bad Patterns'!$A$2:$A$120,B4522)),0),0)),""))</f>
        <v/>
      </c>
      <c r="D4522">
        <f>IF(B4522="","",IF(C4522&lt;&gt;"","REMOVE","KEEP"))</f>
        <v/>
      </c>
      <c r="E4522">
        <f>IF(D4522&lt;&gt;"KEEP","",IF(RIGHT(B4522,10)="@gmail.com","Gmail",IF(OR(RIGHT(B4522,12)="@outlook.com",RIGHT(B4522,12)="@hotmail.com",RIGHT(B4522,9)="@live.com"),"Outlook","Domain")))</f>
        <v/>
      </c>
      <c r="F4522">
        <f>IF(B4522="","",IFERROR(RIGHT(B4522,LEN(B4522)-FIND("@",B4522)),""))</f>
        <v/>
      </c>
      <c r="G4522">
        <f>IF(D4522="KEEP",COUNTIF($D$2:D4522,"KEEP"),"")</f>
        <v/>
      </c>
      <c r="H4522">
        <f>IF(D4522="REMOVE",COUNTIF($D$2:D4522,"REMOVE"),"")</f>
        <v/>
      </c>
      <c r="I4522">
        <f>IF(E4522="Gmail",COUNTIF($E$2:E4522,"Gmail"),"")</f>
        <v/>
      </c>
      <c r="J4522">
        <f>IF(E4522="Outlook",COUNTIF($E$2:E4522,"Outlook"),"")</f>
        <v/>
      </c>
      <c r="K4522">
        <f>IF(E4522="Domain",COUNTIF($E$2:E4522,"Domain"),"")</f>
        <v/>
      </c>
    </row>
    <row r="4523">
      <c r="A4523" s="2" t="n"/>
      <c r="B4523">
        <f>LOWER(TRIM(A4523))</f>
        <v/>
      </c>
      <c r="C4523">
        <f>IF(B4523="","",IFERROR(INDEX('Bad Patterns'!$A$2:$A$120,MATCH(1,INDEX(--ISNUMBER(SEARCH('Bad Patterns'!$A$2:$A$120,B4523)),0),0)),""))</f>
        <v/>
      </c>
      <c r="D4523">
        <f>IF(B4523="","",IF(C4523&lt;&gt;"","REMOVE","KEEP"))</f>
        <v/>
      </c>
      <c r="E4523">
        <f>IF(D4523&lt;&gt;"KEEP","",IF(RIGHT(B4523,10)="@gmail.com","Gmail",IF(OR(RIGHT(B4523,12)="@outlook.com",RIGHT(B4523,12)="@hotmail.com",RIGHT(B4523,9)="@live.com"),"Outlook","Domain")))</f>
        <v/>
      </c>
      <c r="F4523">
        <f>IF(B4523="","",IFERROR(RIGHT(B4523,LEN(B4523)-FIND("@",B4523)),""))</f>
        <v/>
      </c>
      <c r="G4523">
        <f>IF(D4523="KEEP",COUNTIF($D$2:D4523,"KEEP"),"")</f>
        <v/>
      </c>
      <c r="H4523">
        <f>IF(D4523="REMOVE",COUNTIF($D$2:D4523,"REMOVE"),"")</f>
        <v/>
      </c>
      <c r="I4523">
        <f>IF(E4523="Gmail",COUNTIF($E$2:E4523,"Gmail"),"")</f>
        <v/>
      </c>
      <c r="J4523">
        <f>IF(E4523="Outlook",COUNTIF($E$2:E4523,"Outlook"),"")</f>
        <v/>
      </c>
      <c r="K4523">
        <f>IF(E4523="Domain",COUNTIF($E$2:E4523,"Domain"),"")</f>
        <v/>
      </c>
    </row>
    <row r="4524">
      <c r="A4524" s="2" t="n"/>
      <c r="B4524">
        <f>LOWER(TRIM(A4524))</f>
        <v/>
      </c>
      <c r="C4524">
        <f>IF(B4524="","",IFERROR(INDEX('Bad Patterns'!$A$2:$A$120,MATCH(1,INDEX(--ISNUMBER(SEARCH('Bad Patterns'!$A$2:$A$120,B4524)),0),0)),""))</f>
        <v/>
      </c>
      <c r="D4524">
        <f>IF(B4524="","",IF(C4524&lt;&gt;"","REMOVE","KEEP"))</f>
        <v/>
      </c>
      <c r="E4524">
        <f>IF(D4524&lt;&gt;"KEEP","",IF(RIGHT(B4524,10)="@gmail.com","Gmail",IF(OR(RIGHT(B4524,12)="@outlook.com",RIGHT(B4524,12)="@hotmail.com",RIGHT(B4524,9)="@live.com"),"Outlook","Domain")))</f>
        <v/>
      </c>
      <c r="F4524">
        <f>IF(B4524="","",IFERROR(RIGHT(B4524,LEN(B4524)-FIND("@",B4524)),""))</f>
        <v/>
      </c>
      <c r="G4524">
        <f>IF(D4524="KEEP",COUNTIF($D$2:D4524,"KEEP"),"")</f>
        <v/>
      </c>
      <c r="H4524">
        <f>IF(D4524="REMOVE",COUNTIF($D$2:D4524,"REMOVE"),"")</f>
        <v/>
      </c>
      <c r="I4524">
        <f>IF(E4524="Gmail",COUNTIF($E$2:E4524,"Gmail"),"")</f>
        <v/>
      </c>
      <c r="J4524">
        <f>IF(E4524="Outlook",COUNTIF($E$2:E4524,"Outlook"),"")</f>
        <v/>
      </c>
      <c r="K4524">
        <f>IF(E4524="Domain",COUNTIF($E$2:E4524,"Domain"),"")</f>
        <v/>
      </c>
    </row>
    <row r="4525">
      <c r="A4525" s="2" t="n"/>
      <c r="B4525">
        <f>LOWER(TRIM(A4525))</f>
        <v/>
      </c>
      <c r="C4525">
        <f>IF(B4525="","",IFERROR(INDEX('Bad Patterns'!$A$2:$A$120,MATCH(1,INDEX(--ISNUMBER(SEARCH('Bad Patterns'!$A$2:$A$120,B4525)),0),0)),""))</f>
        <v/>
      </c>
      <c r="D4525">
        <f>IF(B4525="","",IF(C4525&lt;&gt;"","REMOVE","KEEP"))</f>
        <v/>
      </c>
      <c r="E4525">
        <f>IF(D4525&lt;&gt;"KEEP","",IF(RIGHT(B4525,10)="@gmail.com","Gmail",IF(OR(RIGHT(B4525,12)="@outlook.com",RIGHT(B4525,12)="@hotmail.com",RIGHT(B4525,9)="@live.com"),"Outlook","Domain")))</f>
        <v/>
      </c>
      <c r="F4525">
        <f>IF(B4525="","",IFERROR(RIGHT(B4525,LEN(B4525)-FIND("@",B4525)),""))</f>
        <v/>
      </c>
      <c r="G4525">
        <f>IF(D4525="KEEP",COUNTIF($D$2:D4525,"KEEP"),"")</f>
        <v/>
      </c>
      <c r="H4525">
        <f>IF(D4525="REMOVE",COUNTIF($D$2:D4525,"REMOVE"),"")</f>
        <v/>
      </c>
      <c r="I4525">
        <f>IF(E4525="Gmail",COUNTIF($E$2:E4525,"Gmail"),"")</f>
        <v/>
      </c>
      <c r="J4525">
        <f>IF(E4525="Outlook",COUNTIF($E$2:E4525,"Outlook"),"")</f>
        <v/>
      </c>
      <c r="K4525">
        <f>IF(E4525="Domain",COUNTIF($E$2:E4525,"Domain"),"")</f>
        <v/>
      </c>
    </row>
    <row r="4526">
      <c r="A4526" s="2" t="n"/>
      <c r="B4526">
        <f>LOWER(TRIM(A4526))</f>
        <v/>
      </c>
      <c r="C4526">
        <f>IF(B4526="","",IFERROR(INDEX('Bad Patterns'!$A$2:$A$120,MATCH(1,INDEX(--ISNUMBER(SEARCH('Bad Patterns'!$A$2:$A$120,B4526)),0),0)),""))</f>
        <v/>
      </c>
      <c r="D4526">
        <f>IF(B4526="","",IF(C4526&lt;&gt;"","REMOVE","KEEP"))</f>
        <v/>
      </c>
      <c r="E4526">
        <f>IF(D4526&lt;&gt;"KEEP","",IF(RIGHT(B4526,10)="@gmail.com","Gmail",IF(OR(RIGHT(B4526,12)="@outlook.com",RIGHT(B4526,12)="@hotmail.com",RIGHT(B4526,9)="@live.com"),"Outlook","Domain")))</f>
        <v/>
      </c>
      <c r="F4526">
        <f>IF(B4526="","",IFERROR(RIGHT(B4526,LEN(B4526)-FIND("@",B4526)),""))</f>
        <v/>
      </c>
      <c r="G4526">
        <f>IF(D4526="KEEP",COUNTIF($D$2:D4526,"KEEP"),"")</f>
        <v/>
      </c>
      <c r="H4526">
        <f>IF(D4526="REMOVE",COUNTIF($D$2:D4526,"REMOVE"),"")</f>
        <v/>
      </c>
      <c r="I4526">
        <f>IF(E4526="Gmail",COUNTIF($E$2:E4526,"Gmail"),"")</f>
        <v/>
      </c>
      <c r="J4526">
        <f>IF(E4526="Outlook",COUNTIF($E$2:E4526,"Outlook"),"")</f>
        <v/>
      </c>
      <c r="K4526">
        <f>IF(E4526="Domain",COUNTIF($E$2:E4526,"Domain"),"")</f>
        <v/>
      </c>
    </row>
    <row r="4527">
      <c r="A4527" s="2" t="n"/>
      <c r="B4527">
        <f>LOWER(TRIM(A4527))</f>
        <v/>
      </c>
      <c r="C4527">
        <f>IF(B4527="","",IFERROR(INDEX('Bad Patterns'!$A$2:$A$120,MATCH(1,INDEX(--ISNUMBER(SEARCH('Bad Patterns'!$A$2:$A$120,B4527)),0),0)),""))</f>
        <v/>
      </c>
      <c r="D4527">
        <f>IF(B4527="","",IF(C4527&lt;&gt;"","REMOVE","KEEP"))</f>
        <v/>
      </c>
      <c r="E4527">
        <f>IF(D4527&lt;&gt;"KEEP","",IF(RIGHT(B4527,10)="@gmail.com","Gmail",IF(OR(RIGHT(B4527,12)="@outlook.com",RIGHT(B4527,12)="@hotmail.com",RIGHT(B4527,9)="@live.com"),"Outlook","Domain")))</f>
        <v/>
      </c>
      <c r="F4527">
        <f>IF(B4527="","",IFERROR(RIGHT(B4527,LEN(B4527)-FIND("@",B4527)),""))</f>
        <v/>
      </c>
      <c r="G4527">
        <f>IF(D4527="KEEP",COUNTIF($D$2:D4527,"KEEP"),"")</f>
        <v/>
      </c>
      <c r="H4527">
        <f>IF(D4527="REMOVE",COUNTIF($D$2:D4527,"REMOVE"),"")</f>
        <v/>
      </c>
      <c r="I4527">
        <f>IF(E4527="Gmail",COUNTIF($E$2:E4527,"Gmail"),"")</f>
        <v/>
      </c>
      <c r="J4527">
        <f>IF(E4527="Outlook",COUNTIF($E$2:E4527,"Outlook"),"")</f>
        <v/>
      </c>
      <c r="K4527">
        <f>IF(E4527="Domain",COUNTIF($E$2:E4527,"Domain"),"")</f>
        <v/>
      </c>
    </row>
    <row r="4528">
      <c r="A4528" s="2" t="n"/>
      <c r="B4528">
        <f>LOWER(TRIM(A4528))</f>
        <v/>
      </c>
      <c r="C4528">
        <f>IF(B4528="","",IFERROR(INDEX('Bad Patterns'!$A$2:$A$120,MATCH(1,INDEX(--ISNUMBER(SEARCH('Bad Patterns'!$A$2:$A$120,B4528)),0),0)),""))</f>
        <v/>
      </c>
      <c r="D4528">
        <f>IF(B4528="","",IF(C4528&lt;&gt;"","REMOVE","KEEP"))</f>
        <v/>
      </c>
      <c r="E4528">
        <f>IF(D4528&lt;&gt;"KEEP","",IF(RIGHT(B4528,10)="@gmail.com","Gmail",IF(OR(RIGHT(B4528,12)="@outlook.com",RIGHT(B4528,12)="@hotmail.com",RIGHT(B4528,9)="@live.com"),"Outlook","Domain")))</f>
        <v/>
      </c>
      <c r="F4528">
        <f>IF(B4528="","",IFERROR(RIGHT(B4528,LEN(B4528)-FIND("@",B4528)),""))</f>
        <v/>
      </c>
      <c r="G4528">
        <f>IF(D4528="KEEP",COUNTIF($D$2:D4528,"KEEP"),"")</f>
        <v/>
      </c>
      <c r="H4528">
        <f>IF(D4528="REMOVE",COUNTIF($D$2:D4528,"REMOVE"),"")</f>
        <v/>
      </c>
      <c r="I4528">
        <f>IF(E4528="Gmail",COUNTIF($E$2:E4528,"Gmail"),"")</f>
        <v/>
      </c>
      <c r="J4528">
        <f>IF(E4528="Outlook",COUNTIF($E$2:E4528,"Outlook"),"")</f>
        <v/>
      </c>
      <c r="K4528">
        <f>IF(E4528="Domain",COUNTIF($E$2:E4528,"Domain"),"")</f>
        <v/>
      </c>
    </row>
    <row r="4529">
      <c r="A4529" s="2" t="n"/>
      <c r="B4529">
        <f>LOWER(TRIM(A4529))</f>
        <v/>
      </c>
      <c r="C4529">
        <f>IF(B4529="","",IFERROR(INDEX('Bad Patterns'!$A$2:$A$120,MATCH(1,INDEX(--ISNUMBER(SEARCH('Bad Patterns'!$A$2:$A$120,B4529)),0),0)),""))</f>
        <v/>
      </c>
      <c r="D4529">
        <f>IF(B4529="","",IF(C4529&lt;&gt;"","REMOVE","KEEP"))</f>
        <v/>
      </c>
      <c r="E4529">
        <f>IF(D4529&lt;&gt;"KEEP","",IF(RIGHT(B4529,10)="@gmail.com","Gmail",IF(OR(RIGHT(B4529,12)="@outlook.com",RIGHT(B4529,12)="@hotmail.com",RIGHT(B4529,9)="@live.com"),"Outlook","Domain")))</f>
        <v/>
      </c>
      <c r="F4529">
        <f>IF(B4529="","",IFERROR(RIGHT(B4529,LEN(B4529)-FIND("@",B4529)),""))</f>
        <v/>
      </c>
      <c r="G4529">
        <f>IF(D4529="KEEP",COUNTIF($D$2:D4529,"KEEP"),"")</f>
        <v/>
      </c>
      <c r="H4529">
        <f>IF(D4529="REMOVE",COUNTIF($D$2:D4529,"REMOVE"),"")</f>
        <v/>
      </c>
      <c r="I4529">
        <f>IF(E4529="Gmail",COUNTIF($E$2:E4529,"Gmail"),"")</f>
        <v/>
      </c>
      <c r="J4529">
        <f>IF(E4529="Outlook",COUNTIF($E$2:E4529,"Outlook"),"")</f>
        <v/>
      </c>
      <c r="K4529">
        <f>IF(E4529="Domain",COUNTIF($E$2:E4529,"Domain"),"")</f>
        <v/>
      </c>
    </row>
    <row r="4530">
      <c r="A4530" s="2" t="n"/>
      <c r="B4530">
        <f>LOWER(TRIM(A4530))</f>
        <v/>
      </c>
      <c r="C4530">
        <f>IF(B4530="","",IFERROR(INDEX('Bad Patterns'!$A$2:$A$120,MATCH(1,INDEX(--ISNUMBER(SEARCH('Bad Patterns'!$A$2:$A$120,B4530)),0),0)),""))</f>
        <v/>
      </c>
      <c r="D4530">
        <f>IF(B4530="","",IF(C4530&lt;&gt;"","REMOVE","KEEP"))</f>
        <v/>
      </c>
      <c r="E4530">
        <f>IF(D4530&lt;&gt;"KEEP","",IF(RIGHT(B4530,10)="@gmail.com","Gmail",IF(OR(RIGHT(B4530,12)="@outlook.com",RIGHT(B4530,12)="@hotmail.com",RIGHT(B4530,9)="@live.com"),"Outlook","Domain")))</f>
        <v/>
      </c>
      <c r="F4530">
        <f>IF(B4530="","",IFERROR(RIGHT(B4530,LEN(B4530)-FIND("@",B4530)),""))</f>
        <v/>
      </c>
      <c r="G4530">
        <f>IF(D4530="KEEP",COUNTIF($D$2:D4530,"KEEP"),"")</f>
        <v/>
      </c>
      <c r="H4530">
        <f>IF(D4530="REMOVE",COUNTIF($D$2:D4530,"REMOVE"),"")</f>
        <v/>
      </c>
      <c r="I4530">
        <f>IF(E4530="Gmail",COUNTIF($E$2:E4530,"Gmail"),"")</f>
        <v/>
      </c>
      <c r="J4530">
        <f>IF(E4530="Outlook",COUNTIF($E$2:E4530,"Outlook"),"")</f>
        <v/>
      </c>
      <c r="K4530">
        <f>IF(E4530="Domain",COUNTIF($E$2:E4530,"Domain"),"")</f>
        <v/>
      </c>
    </row>
    <row r="4531">
      <c r="A4531" s="2" t="n"/>
      <c r="B4531">
        <f>LOWER(TRIM(A4531))</f>
        <v/>
      </c>
      <c r="C4531">
        <f>IF(B4531="","",IFERROR(INDEX('Bad Patterns'!$A$2:$A$120,MATCH(1,INDEX(--ISNUMBER(SEARCH('Bad Patterns'!$A$2:$A$120,B4531)),0),0)),""))</f>
        <v/>
      </c>
      <c r="D4531">
        <f>IF(B4531="","",IF(C4531&lt;&gt;"","REMOVE","KEEP"))</f>
        <v/>
      </c>
      <c r="E4531">
        <f>IF(D4531&lt;&gt;"KEEP","",IF(RIGHT(B4531,10)="@gmail.com","Gmail",IF(OR(RIGHT(B4531,12)="@outlook.com",RIGHT(B4531,12)="@hotmail.com",RIGHT(B4531,9)="@live.com"),"Outlook","Domain")))</f>
        <v/>
      </c>
      <c r="F4531">
        <f>IF(B4531="","",IFERROR(RIGHT(B4531,LEN(B4531)-FIND("@",B4531)),""))</f>
        <v/>
      </c>
      <c r="G4531">
        <f>IF(D4531="KEEP",COUNTIF($D$2:D4531,"KEEP"),"")</f>
        <v/>
      </c>
      <c r="H4531">
        <f>IF(D4531="REMOVE",COUNTIF($D$2:D4531,"REMOVE"),"")</f>
        <v/>
      </c>
      <c r="I4531">
        <f>IF(E4531="Gmail",COUNTIF($E$2:E4531,"Gmail"),"")</f>
        <v/>
      </c>
      <c r="J4531">
        <f>IF(E4531="Outlook",COUNTIF($E$2:E4531,"Outlook"),"")</f>
        <v/>
      </c>
      <c r="K4531">
        <f>IF(E4531="Domain",COUNTIF($E$2:E4531,"Domain"),"")</f>
        <v/>
      </c>
    </row>
    <row r="4532">
      <c r="A4532" s="2" t="n"/>
      <c r="B4532">
        <f>LOWER(TRIM(A4532))</f>
        <v/>
      </c>
      <c r="C4532">
        <f>IF(B4532="","",IFERROR(INDEX('Bad Patterns'!$A$2:$A$120,MATCH(1,INDEX(--ISNUMBER(SEARCH('Bad Patterns'!$A$2:$A$120,B4532)),0),0)),""))</f>
        <v/>
      </c>
      <c r="D4532">
        <f>IF(B4532="","",IF(C4532&lt;&gt;"","REMOVE","KEEP"))</f>
        <v/>
      </c>
      <c r="E4532">
        <f>IF(D4532&lt;&gt;"KEEP","",IF(RIGHT(B4532,10)="@gmail.com","Gmail",IF(OR(RIGHT(B4532,12)="@outlook.com",RIGHT(B4532,12)="@hotmail.com",RIGHT(B4532,9)="@live.com"),"Outlook","Domain")))</f>
        <v/>
      </c>
      <c r="F4532">
        <f>IF(B4532="","",IFERROR(RIGHT(B4532,LEN(B4532)-FIND("@",B4532)),""))</f>
        <v/>
      </c>
      <c r="G4532">
        <f>IF(D4532="KEEP",COUNTIF($D$2:D4532,"KEEP"),"")</f>
        <v/>
      </c>
      <c r="H4532">
        <f>IF(D4532="REMOVE",COUNTIF($D$2:D4532,"REMOVE"),"")</f>
        <v/>
      </c>
      <c r="I4532">
        <f>IF(E4532="Gmail",COUNTIF($E$2:E4532,"Gmail"),"")</f>
        <v/>
      </c>
      <c r="J4532">
        <f>IF(E4532="Outlook",COUNTIF($E$2:E4532,"Outlook"),"")</f>
        <v/>
      </c>
      <c r="K4532">
        <f>IF(E4532="Domain",COUNTIF($E$2:E4532,"Domain"),"")</f>
        <v/>
      </c>
    </row>
    <row r="4533">
      <c r="A4533" s="2" t="n"/>
      <c r="B4533">
        <f>LOWER(TRIM(A4533))</f>
        <v/>
      </c>
      <c r="C4533">
        <f>IF(B4533="","",IFERROR(INDEX('Bad Patterns'!$A$2:$A$120,MATCH(1,INDEX(--ISNUMBER(SEARCH('Bad Patterns'!$A$2:$A$120,B4533)),0),0)),""))</f>
        <v/>
      </c>
      <c r="D4533">
        <f>IF(B4533="","",IF(C4533&lt;&gt;"","REMOVE","KEEP"))</f>
        <v/>
      </c>
      <c r="E4533">
        <f>IF(D4533&lt;&gt;"KEEP","",IF(RIGHT(B4533,10)="@gmail.com","Gmail",IF(OR(RIGHT(B4533,12)="@outlook.com",RIGHT(B4533,12)="@hotmail.com",RIGHT(B4533,9)="@live.com"),"Outlook","Domain")))</f>
        <v/>
      </c>
      <c r="F4533">
        <f>IF(B4533="","",IFERROR(RIGHT(B4533,LEN(B4533)-FIND("@",B4533)),""))</f>
        <v/>
      </c>
      <c r="G4533">
        <f>IF(D4533="KEEP",COUNTIF($D$2:D4533,"KEEP"),"")</f>
        <v/>
      </c>
      <c r="H4533">
        <f>IF(D4533="REMOVE",COUNTIF($D$2:D4533,"REMOVE"),"")</f>
        <v/>
      </c>
      <c r="I4533">
        <f>IF(E4533="Gmail",COUNTIF($E$2:E4533,"Gmail"),"")</f>
        <v/>
      </c>
      <c r="J4533">
        <f>IF(E4533="Outlook",COUNTIF($E$2:E4533,"Outlook"),"")</f>
        <v/>
      </c>
      <c r="K4533">
        <f>IF(E4533="Domain",COUNTIF($E$2:E4533,"Domain"),"")</f>
        <v/>
      </c>
    </row>
    <row r="4534">
      <c r="A4534" s="2" t="n"/>
      <c r="B4534">
        <f>LOWER(TRIM(A4534))</f>
        <v/>
      </c>
      <c r="C4534">
        <f>IF(B4534="","",IFERROR(INDEX('Bad Patterns'!$A$2:$A$120,MATCH(1,INDEX(--ISNUMBER(SEARCH('Bad Patterns'!$A$2:$A$120,B4534)),0),0)),""))</f>
        <v/>
      </c>
      <c r="D4534">
        <f>IF(B4534="","",IF(C4534&lt;&gt;"","REMOVE","KEEP"))</f>
        <v/>
      </c>
      <c r="E4534">
        <f>IF(D4534&lt;&gt;"KEEP","",IF(RIGHT(B4534,10)="@gmail.com","Gmail",IF(OR(RIGHT(B4534,12)="@outlook.com",RIGHT(B4534,12)="@hotmail.com",RIGHT(B4534,9)="@live.com"),"Outlook","Domain")))</f>
        <v/>
      </c>
      <c r="F4534">
        <f>IF(B4534="","",IFERROR(RIGHT(B4534,LEN(B4534)-FIND("@",B4534)),""))</f>
        <v/>
      </c>
      <c r="G4534">
        <f>IF(D4534="KEEP",COUNTIF($D$2:D4534,"KEEP"),"")</f>
        <v/>
      </c>
      <c r="H4534">
        <f>IF(D4534="REMOVE",COUNTIF($D$2:D4534,"REMOVE"),"")</f>
        <v/>
      </c>
      <c r="I4534">
        <f>IF(E4534="Gmail",COUNTIF($E$2:E4534,"Gmail"),"")</f>
        <v/>
      </c>
      <c r="J4534">
        <f>IF(E4534="Outlook",COUNTIF($E$2:E4534,"Outlook"),"")</f>
        <v/>
      </c>
      <c r="K4534">
        <f>IF(E4534="Domain",COUNTIF($E$2:E4534,"Domain"),"")</f>
        <v/>
      </c>
    </row>
    <row r="4535">
      <c r="A4535" s="2" t="n"/>
      <c r="B4535">
        <f>LOWER(TRIM(A4535))</f>
        <v/>
      </c>
      <c r="C4535">
        <f>IF(B4535="","",IFERROR(INDEX('Bad Patterns'!$A$2:$A$120,MATCH(1,INDEX(--ISNUMBER(SEARCH('Bad Patterns'!$A$2:$A$120,B4535)),0),0)),""))</f>
        <v/>
      </c>
      <c r="D4535">
        <f>IF(B4535="","",IF(C4535&lt;&gt;"","REMOVE","KEEP"))</f>
        <v/>
      </c>
      <c r="E4535">
        <f>IF(D4535&lt;&gt;"KEEP","",IF(RIGHT(B4535,10)="@gmail.com","Gmail",IF(OR(RIGHT(B4535,12)="@outlook.com",RIGHT(B4535,12)="@hotmail.com",RIGHT(B4535,9)="@live.com"),"Outlook","Domain")))</f>
        <v/>
      </c>
      <c r="F4535">
        <f>IF(B4535="","",IFERROR(RIGHT(B4535,LEN(B4535)-FIND("@",B4535)),""))</f>
        <v/>
      </c>
      <c r="G4535">
        <f>IF(D4535="KEEP",COUNTIF($D$2:D4535,"KEEP"),"")</f>
        <v/>
      </c>
      <c r="H4535">
        <f>IF(D4535="REMOVE",COUNTIF($D$2:D4535,"REMOVE"),"")</f>
        <v/>
      </c>
      <c r="I4535">
        <f>IF(E4535="Gmail",COUNTIF($E$2:E4535,"Gmail"),"")</f>
        <v/>
      </c>
      <c r="J4535">
        <f>IF(E4535="Outlook",COUNTIF($E$2:E4535,"Outlook"),"")</f>
        <v/>
      </c>
      <c r="K4535">
        <f>IF(E4535="Domain",COUNTIF($E$2:E4535,"Domain"),"")</f>
        <v/>
      </c>
    </row>
    <row r="4536">
      <c r="A4536" s="2" t="n"/>
      <c r="B4536">
        <f>LOWER(TRIM(A4536))</f>
        <v/>
      </c>
      <c r="C4536">
        <f>IF(B4536="","",IFERROR(INDEX('Bad Patterns'!$A$2:$A$120,MATCH(1,INDEX(--ISNUMBER(SEARCH('Bad Patterns'!$A$2:$A$120,B4536)),0),0)),""))</f>
        <v/>
      </c>
      <c r="D4536">
        <f>IF(B4536="","",IF(C4536&lt;&gt;"","REMOVE","KEEP"))</f>
        <v/>
      </c>
      <c r="E4536">
        <f>IF(D4536&lt;&gt;"KEEP","",IF(RIGHT(B4536,10)="@gmail.com","Gmail",IF(OR(RIGHT(B4536,12)="@outlook.com",RIGHT(B4536,12)="@hotmail.com",RIGHT(B4536,9)="@live.com"),"Outlook","Domain")))</f>
        <v/>
      </c>
      <c r="F4536">
        <f>IF(B4536="","",IFERROR(RIGHT(B4536,LEN(B4536)-FIND("@",B4536)),""))</f>
        <v/>
      </c>
      <c r="G4536">
        <f>IF(D4536="KEEP",COUNTIF($D$2:D4536,"KEEP"),"")</f>
        <v/>
      </c>
      <c r="H4536">
        <f>IF(D4536="REMOVE",COUNTIF($D$2:D4536,"REMOVE"),"")</f>
        <v/>
      </c>
      <c r="I4536">
        <f>IF(E4536="Gmail",COUNTIF($E$2:E4536,"Gmail"),"")</f>
        <v/>
      </c>
      <c r="J4536">
        <f>IF(E4536="Outlook",COUNTIF($E$2:E4536,"Outlook"),"")</f>
        <v/>
      </c>
      <c r="K4536">
        <f>IF(E4536="Domain",COUNTIF($E$2:E4536,"Domain"),"")</f>
        <v/>
      </c>
    </row>
    <row r="4537">
      <c r="A4537" s="2" t="n"/>
      <c r="B4537">
        <f>LOWER(TRIM(A4537))</f>
        <v/>
      </c>
      <c r="C4537">
        <f>IF(B4537="","",IFERROR(INDEX('Bad Patterns'!$A$2:$A$120,MATCH(1,INDEX(--ISNUMBER(SEARCH('Bad Patterns'!$A$2:$A$120,B4537)),0),0)),""))</f>
        <v/>
      </c>
      <c r="D4537">
        <f>IF(B4537="","",IF(C4537&lt;&gt;"","REMOVE","KEEP"))</f>
        <v/>
      </c>
      <c r="E4537">
        <f>IF(D4537&lt;&gt;"KEEP","",IF(RIGHT(B4537,10)="@gmail.com","Gmail",IF(OR(RIGHT(B4537,12)="@outlook.com",RIGHT(B4537,12)="@hotmail.com",RIGHT(B4537,9)="@live.com"),"Outlook","Domain")))</f>
        <v/>
      </c>
      <c r="F4537">
        <f>IF(B4537="","",IFERROR(RIGHT(B4537,LEN(B4537)-FIND("@",B4537)),""))</f>
        <v/>
      </c>
      <c r="G4537">
        <f>IF(D4537="KEEP",COUNTIF($D$2:D4537,"KEEP"),"")</f>
        <v/>
      </c>
      <c r="H4537">
        <f>IF(D4537="REMOVE",COUNTIF($D$2:D4537,"REMOVE"),"")</f>
        <v/>
      </c>
      <c r="I4537">
        <f>IF(E4537="Gmail",COUNTIF($E$2:E4537,"Gmail"),"")</f>
        <v/>
      </c>
      <c r="J4537">
        <f>IF(E4537="Outlook",COUNTIF($E$2:E4537,"Outlook"),"")</f>
        <v/>
      </c>
      <c r="K4537">
        <f>IF(E4537="Domain",COUNTIF($E$2:E4537,"Domain"),"")</f>
        <v/>
      </c>
    </row>
    <row r="4538">
      <c r="A4538" s="2" t="n"/>
      <c r="B4538">
        <f>LOWER(TRIM(A4538))</f>
        <v/>
      </c>
      <c r="C4538">
        <f>IF(B4538="","",IFERROR(INDEX('Bad Patterns'!$A$2:$A$120,MATCH(1,INDEX(--ISNUMBER(SEARCH('Bad Patterns'!$A$2:$A$120,B4538)),0),0)),""))</f>
        <v/>
      </c>
      <c r="D4538">
        <f>IF(B4538="","",IF(C4538&lt;&gt;"","REMOVE","KEEP"))</f>
        <v/>
      </c>
      <c r="E4538">
        <f>IF(D4538&lt;&gt;"KEEP","",IF(RIGHT(B4538,10)="@gmail.com","Gmail",IF(OR(RIGHT(B4538,12)="@outlook.com",RIGHT(B4538,12)="@hotmail.com",RIGHT(B4538,9)="@live.com"),"Outlook","Domain")))</f>
        <v/>
      </c>
      <c r="F4538">
        <f>IF(B4538="","",IFERROR(RIGHT(B4538,LEN(B4538)-FIND("@",B4538)),""))</f>
        <v/>
      </c>
      <c r="G4538">
        <f>IF(D4538="KEEP",COUNTIF($D$2:D4538,"KEEP"),"")</f>
        <v/>
      </c>
      <c r="H4538">
        <f>IF(D4538="REMOVE",COUNTIF($D$2:D4538,"REMOVE"),"")</f>
        <v/>
      </c>
      <c r="I4538">
        <f>IF(E4538="Gmail",COUNTIF($E$2:E4538,"Gmail"),"")</f>
        <v/>
      </c>
      <c r="J4538">
        <f>IF(E4538="Outlook",COUNTIF($E$2:E4538,"Outlook"),"")</f>
        <v/>
      </c>
      <c r="K4538">
        <f>IF(E4538="Domain",COUNTIF($E$2:E4538,"Domain"),"")</f>
        <v/>
      </c>
    </row>
    <row r="4539">
      <c r="A4539" s="2" t="n"/>
      <c r="B4539">
        <f>LOWER(TRIM(A4539))</f>
        <v/>
      </c>
      <c r="C4539">
        <f>IF(B4539="","",IFERROR(INDEX('Bad Patterns'!$A$2:$A$120,MATCH(1,INDEX(--ISNUMBER(SEARCH('Bad Patterns'!$A$2:$A$120,B4539)),0),0)),""))</f>
        <v/>
      </c>
      <c r="D4539">
        <f>IF(B4539="","",IF(C4539&lt;&gt;"","REMOVE","KEEP"))</f>
        <v/>
      </c>
      <c r="E4539">
        <f>IF(D4539&lt;&gt;"KEEP","",IF(RIGHT(B4539,10)="@gmail.com","Gmail",IF(OR(RIGHT(B4539,12)="@outlook.com",RIGHT(B4539,12)="@hotmail.com",RIGHT(B4539,9)="@live.com"),"Outlook","Domain")))</f>
        <v/>
      </c>
      <c r="F4539">
        <f>IF(B4539="","",IFERROR(RIGHT(B4539,LEN(B4539)-FIND("@",B4539)),""))</f>
        <v/>
      </c>
      <c r="G4539">
        <f>IF(D4539="KEEP",COUNTIF($D$2:D4539,"KEEP"),"")</f>
        <v/>
      </c>
      <c r="H4539">
        <f>IF(D4539="REMOVE",COUNTIF($D$2:D4539,"REMOVE"),"")</f>
        <v/>
      </c>
      <c r="I4539">
        <f>IF(E4539="Gmail",COUNTIF($E$2:E4539,"Gmail"),"")</f>
        <v/>
      </c>
      <c r="J4539">
        <f>IF(E4539="Outlook",COUNTIF($E$2:E4539,"Outlook"),"")</f>
        <v/>
      </c>
      <c r="K4539">
        <f>IF(E4539="Domain",COUNTIF($E$2:E4539,"Domain"),"")</f>
        <v/>
      </c>
    </row>
    <row r="4540">
      <c r="A4540" s="2" t="n"/>
      <c r="B4540">
        <f>LOWER(TRIM(A4540))</f>
        <v/>
      </c>
      <c r="C4540">
        <f>IF(B4540="","",IFERROR(INDEX('Bad Patterns'!$A$2:$A$120,MATCH(1,INDEX(--ISNUMBER(SEARCH('Bad Patterns'!$A$2:$A$120,B4540)),0),0)),""))</f>
        <v/>
      </c>
      <c r="D4540">
        <f>IF(B4540="","",IF(C4540&lt;&gt;"","REMOVE","KEEP"))</f>
        <v/>
      </c>
      <c r="E4540">
        <f>IF(D4540&lt;&gt;"KEEP","",IF(RIGHT(B4540,10)="@gmail.com","Gmail",IF(OR(RIGHT(B4540,12)="@outlook.com",RIGHT(B4540,12)="@hotmail.com",RIGHT(B4540,9)="@live.com"),"Outlook","Domain")))</f>
        <v/>
      </c>
      <c r="F4540">
        <f>IF(B4540="","",IFERROR(RIGHT(B4540,LEN(B4540)-FIND("@",B4540)),""))</f>
        <v/>
      </c>
      <c r="G4540">
        <f>IF(D4540="KEEP",COUNTIF($D$2:D4540,"KEEP"),"")</f>
        <v/>
      </c>
      <c r="H4540">
        <f>IF(D4540="REMOVE",COUNTIF($D$2:D4540,"REMOVE"),"")</f>
        <v/>
      </c>
      <c r="I4540">
        <f>IF(E4540="Gmail",COUNTIF($E$2:E4540,"Gmail"),"")</f>
        <v/>
      </c>
      <c r="J4540">
        <f>IF(E4540="Outlook",COUNTIF($E$2:E4540,"Outlook"),"")</f>
        <v/>
      </c>
      <c r="K4540">
        <f>IF(E4540="Domain",COUNTIF($E$2:E4540,"Domain"),"")</f>
        <v/>
      </c>
    </row>
    <row r="4541">
      <c r="A4541" s="2" t="n"/>
      <c r="B4541">
        <f>LOWER(TRIM(A4541))</f>
        <v/>
      </c>
      <c r="C4541">
        <f>IF(B4541="","",IFERROR(INDEX('Bad Patterns'!$A$2:$A$120,MATCH(1,INDEX(--ISNUMBER(SEARCH('Bad Patterns'!$A$2:$A$120,B4541)),0),0)),""))</f>
        <v/>
      </c>
      <c r="D4541">
        <f>IF(B4541="","",IF(C4541&lt;&gt;"","REMOVE","KEEP"))</f>
        <v/>
      </c>
      <c r="E4541">
        <f>IF(D4541&lt;&gt;"KEEP","",IF(RIGHT(B4541,10)="@gmail.com","Gmail",IF(OR(RIGHT(B4541,12)="@outlook.com",RIGHT(B4541,12)="@hotmail.com",RIGHT(B4541,9)="@live.com"),"Outlook","Domain")))</f>
        <v/>
      </c>
      <c r="F4541">
        <f>IF(B4541="","",IFERROR(RIGHT(B4541,LEN(B4541)-FIND("@",B4541)),""))</f>
        <v/>
      </c>
      <c r="G4541">
        <f>IF(D4541="KEEP",COUNTIF($D$2:D4541,"KEEP"),"")</f>
        <v/>
      </c>
      <c r="H4541">
        <f>IF(D4541="REMOVE",COUNTIF($D$2:D4541,"REMOVE"),"")</f>
        <v/>
      </c>
      <c r="I4541">
        <f>IF(E4541="Gmail",COUNTIF($E$2:E4541,"Gmail"),"")</f>
        <v/>
      </c>
      <c r="J4541">
        <f>IF(E4541="Outlook",COUNTIF($E$2:E4541,"Outlook"),"")</f>
        <v/>
      </c>
      <c r="K4541">
        <f>IF(E4541="Domain",COUNTIF($E$2:E4541,"Domain"),"")</f>
        <v/>
      </c>
    </row>
    <row r="4542">
      <c r="A4542" s="2" t="n"/>
      <c r="B4542">
        <f>LOWER(TRIM(A4542))</f>
        <v/>
      </c>
      <c r="C4542">
        <f>IF(B4542="","",IFERROR(INDEX('Bad Patterns'!$A$2:$A$120,MATCH(1,INDEX(--ISNUMBER(SEARCH('Bad Patterns'!$A$2:$A$120,B4542)),0),0)),""))</f>
        <v/>
      </c>
      <c r="D4542">
        <f>IF(B4542="","",IF(C4542&lt;&gt;"","REMOVE","KEEP"))</f>
        <v/>
      </c>
      <c r="E4542">
        <f>IF(D4542&lt;&gt;"KEEP","",IF(RIGHT(B4542,10)="@gmail.com","Gmail",IF(OR(RIGHT(B4542,12)="@outlook.com",RIGHT(B4542,12)="@hotmail.com",RIGHT(B4542,9)="@live.com"),"Outlook","Domain")))</f>
        <v/>
      </c>
      <c r="F4542">
        <f>IF(B4542="","",IFERROR(RIGHT(B4542,LEN(B4542)-FIND("@",B4542)),""))</f>
        <v/>
      </c>
      <c r="G4542">
        <f>IF(D4542="KEEP",COUNTIF($D$2:D4542,"KEEP"),"")</f>
        <v/>
      </c>
      <c r="H4542">
        <f>IF(D4542="REMOVE",COUNTIF($D$2:D4542,"REMOVE"),"")</f>
        <v/>
      </c>
      <c r="I4542">
        <f>IF(E4542="Gmail",COUNTIF($E$2:E4542,"Gmail"),"")</f>
        <v/>
      </c>
      <c r="J4542">
        <f>IF(E4542="Outlook",COUNTIF($E$2:E4542,"Outlook"),"")</f>
        <v/>
      </c>
      <c r="K4542">
        <f>IF(E4542="Domain",COUNTIF($E$2:E4542,"Domain"),"")</f>
        <v/>
      </c>
    </row>
    <row r="4543">
      <c r="A4543" s="2" t="n"/>
      <c r="B4543">
        <f>LOWER(TRIM(A4543))</f>
        <v/>
      </c>
      <c r="C4543">
        <f>IF(B4543="","",IFERROR(INDEX('Bad Patterns'!$A$2:$A$120,MATCH(1,INDEX(--ISNUMBER(SEARCH('Bad Patterns'!$A$2:$A$120,B4543)),0),0)),""))</f>
        <v/>
      </c>
      <c r="D4543">
        <f>IF(B4543="","",IF(C4543&lt;&gt;"","REMOVE","KEEP"))</f>
        <v/>
      </c>
      <c r="E4543">
        <f>IF(D4543&lt;&gt;"KEEP","",IF(RIGHT(B4543,10)="@gmail.com","Gmail",IF(OR(RIGHT(B4543,12)="@outlook.com",RIGHT(B4543,12)="@hotmail.com",RIGHT(B4543,9)="@live.com"),"Outlook","Domain")))</f>
        <v/>
      </c>
      <c r="F4543">
        <f>IF(B4543="","",IFERROR(RIGHT(B4543,LEN(B4543)-FIND("@",B4543)),""))</f>
        <v/>
      </c>
      <c r="G4543">
        <f>IF(D4543="KEEP",COUNTIF($D$2:D4543,"KEEP"),"")</f>
        <v/>
      </c>
      <c r="H4543">
        <f>IF(D4543="REMOVE",COUNTIF($D$2:D4543,"REMOVE"),"")</f>
        <v/>
      </c>
      <c r="I4543">
        <f>IF(E4543="Gmail",COUNTIF($E$2:E4543,"Gmail"),"")</f>
        <v/>
      </c>
      <c r="J4543">
        <f>IF(E4543="Outlook",COUNTIF($E$2:E4543,"Outlook"),"")</f>
        <v/>
      </c>
      <c r="K4543">
        <f>IF(E4543="Domain",COUNTIF($E$2:E4543,"Domain"),"")</f>
        <v/>
      </c>
    </row>
    <row r="4544">
      <c r="A4544" s="2" t="n"/>
      <c r="B4544">
        <f>LOWER(TRIM(A4544))</f>
        <v/>
      </c>
      <c r="C4544">
        <f>IF(B4544="","",IFERROR(INDEX('Bad Patterns'!$A$2:$A$120,MATCH(1,INDEX(--ISNUMBER(SEARCH('Bad Patterns'!$A$2:$A$120,B4544)),0),0)),""))</f>
        <v/>
      </c>
      <c r="D4544">
        <f>IF(B4544="","",IF(C4544&lt;&gt;"","REMOVE","KEEP"))</f>
        <v/>
      </c>
      <c r="E4544">
        <f>IF(D4544&lt;&gt;"KEEP","",IF(RIGHT(B4544,10)="@gmail.com","Gmail",IF(OR(RIGHT(B4544,12)="@outlook.com",RIGHT(B4544,12)="@hotmail.com",RIGHT(B4544,9)="@live.com"),"Outlook","Domain")))</f>
        <v/>
      </c>
      <c r="F4544">
        <f>IF(B4544="","",IFERROR(RIGHT(B4544,LEN(B4544)-FIND("@",B4544)),""))</f>
        <v/>
      </c>
      <c r="G4544">
        <f>IF(D4544="KEEP",COUNTIF($D$2:D4544,"KEEP"),"")</f>
        <v/>
      </c>
      <c r="H4544">
        <f>IF(D4544="REMOVE",COUNTIF($D$2:D4544,"REMOVE"),"")</f>
        <v/>
      </c>
      <c r="I4544">
        <f>IF(E4544="Gmail",COUNTIF($E$2:E4544,"Gmail"),"")</f>
        <v/>
      </c>
      <c r="J4544">
        <f>IF(E4544="Outlook",COUNTIF($E$2:E4544,"Outlook"),"")</f>
        <v/>
      </c>
      <c r="K4544">
        <f>IF(E4544="Domain",COUNTIF($E$2:E4544,"Domain"),"")</f>
        <v/>
      </c>
    </row>
    <row r="4545">
      <c r="A4545" s="2" t="n"/>
      <c r="B4545">
        <f>LOWER(TRIM(A4545))</f>
        <v/>
      </c>
      <c r="C4545">
        <f>IF(B4545="","",IFERROR(INDEX('Bad Patterns'!$A$2:$A$120,MATCH(1,INDEX(--ISNUMBER(SEARCH('Bad Patterns'!$A$2:$A$120,B4545)),0),0)),""))</f>
        <v/>
      </c>
      <c r="D4545">
        <f>IF(B4545="","",IF(C4545&lt;&gt;"","REMOVE","KEEP"))</f>
        <v/>
      </c>
      <c r="E4545">
        <f>IF(D4545&lt;&gt;"KEEP","",IF(RIGHT(B4545,10)="@gmail.com","Gmail",IF(OR(RIGHT(B4545,12)="@outlook.com",RIGHT(B4545,12)="@hotmail.com",RIGHT(B4545,9)="@live.com"),"Outlook","Domain")))</f>
        <v/>
      </c>
      <c r="F4545">
        <f>IF(B4545="","",IFERROR(RIGHT(B4545,LEN(B4545)-FIND("@",B4545)),""))</f>
        <v/>
      </c>
      <c r="G4545">
        <f>IF(D4545="KEEP",COUNTIF($D$2:D4545,"KEEP"),"")</f>
        <v/>
      </c>
      <c r="H4545">
        <f>IF(D4545="REMOVE",COUNTIF($D$2:D4545,"REMOVE"),"")</f>
        <v/>
      </c>
      <c r="I4545">
        <f>IF(E4545="Gmail",COUNTIF($E$2:E4545,"Gmail"),"")</f>
        <v/>
      </c>
      <c r="J4545">
        <f>IF(E4545="Outlook",COUNTIF($E$2:E4545,"Outlook"),"")</f>
        <v/>
      </c>
      <c r="K4545">
        <f>IF(E4545="Domain",COUNTIF($E$2:E4545,"Domain"),"")</f>
        <v/>
      </c>
    </row>
    <row r="4546">
      <c r="A4546" s="2" t="n"/>
      <c r="B4546">
        <f>LOWER(TRIM(A4546))</f>
        <v/>
      </c>
      <c r="C4546">
        <f>IF(B4546="","",IFERROR(INDEX('Bad Patterns'!$A$2:$A$120,MATCH(1,INDEX(--ISNUMBER(SEARCH('Bad Patterns'!$A$2:$A$120,B4546)),0),0)),""))</f>
        <v/>
      </c>
      <c r="D4546">
        <f>IF(B4546="","",IF(C4546&lt;&gt;"","REMOVE","KEEP"))</f>
        <v/>
      </c>
      <c r="E4546">
        <f>IF(D4546&lt;&gt;"KEEP","",IF(RIGHT(B4546,10)="@gmail.com","Gmail",IF(OR(RIGHT(B4546,12)="@outlook.com",RIGHT(B4546,12)="@hotmail.com",RIGHT(B4546,9)="@live.com"),"Outlook","Domain")))</f>
        <v/>
      </c>
      <c r="F4546">
        <f>IF(B4546="","",IFERROR(RIGHT(B4546,LEN(B4546)-FIND("@",B4546)),""))</f>
        <v/>
      </c>
      <c r="G4546">
        <f>IF(D4546="KEEP",COUNTIF($D$2:D4546,"KEEP"),"")</f>
        <v/>
      </c>
      <c r="H4546">
        <f>IF(D4546="REMOVE",COUNTIF($D$2:D4546,"REMOVE"),"")</f>
        <v/>
      </c>
      <c r="I4546">
        <f>IF(E4546="Gmail",COUNTIF($E$2:E4546,"Gmail"),"")</f>
        <v/>
      </c>
      <c r="J4546">
        <f>IF(E4546="Outlook",COUNTIF($E$2:E4546,"Outlook"),"")</f>
        <v/>
      </c>
      <c r="K4546">
        <f>IF(E4546="Domain",COUNTIF($E$2:E4546,"Domain"),"")</f>
        <v/>
      </c>
    </row>
    <row r="4547">
      <c r="A4547" s="2" t="n"/>
      <c r="B4547">
        <f>LOWER(TRIM(A4547))</f>
        <v/>
      </c>
      <c r="C4547">
        <f>IF(B4547="","",IFERROR(INDEX('Bad Patterns'!$A$2:$A$120,MATCH(1,INDEX(--ISNUMBER(SEARCH('Bad Patterns'!$A$2:$A$120,B4547)),0),0)),""))</f>
        <v/>
      </c>
      <c r="D4547">
        <f>IF(B4547="","",IF(C4547&lt;&gt;"","REMOVE","KEEP"))</f>
        <v/>
      </c>
      <c r="E4547">
        <f>IF(D4547&lt;&gt;"KEEP","",IF(RIGHT(B4547,10)="@gmail.com","Gmail",IF(OR(RIGHT(B4547,12)="@outlook.com",RIGHT(B4547,12)="@hotmail.com",RIGHT(B4547,9)="@live.com"),"Outlook","Domain")))</f>
        <v/>
      </c>
      <c r="F4547">
        <f>IF(B4547="","",IFERROR(RIGHT(B4547,LEN(B4547)-FIND("@",B4547)),""))</f>
        <v/>
      </c>
      <c r="G4547">
        <f>IF(D4547="KEEP",COUNTIF($D$2:D4547,"KEEP"),"")</f>
        <v/>
      </c>
      <c r="H4547">
        <f>IF(D4547="REMOVE",COUNTIF($D$2:D4547,"REMOVE"),"")</f>
        <v/>
      </c>
      <c r="I4547">
        <f>IF(E4547="Gmail",COUNTIF($E$2:E4547,"Gmail"),"")</f>
        <v/>
      </c>
      <c r="J4547">
        <f>IF(E4547="Outlook",COUNTIF($E$2:E4547,"Outlook"),"")</f>
        <v/>
      </c>
      <c r="K4547">
        <f>IF(E4547="Domain",COUNTIF($E$2:E4547,"Domain"),"")</f>
        <v/>
      </c>
    </row>
    <row r="4548">
      <c r="A4548" s="2" t="n"/>
      <c r="B4548">
        <f>LOWER(TRIM(A4548))</f>
        <v/>
      </c>
      <c r="C4548">
        <f>IF(B4548="","",IFERROR(INDEX('Bad Patterns'!$A$2:$A$120,MATCH(1,INDEX(--ISNUMBER(SEARCH('Bad Patterns'!$A$2:$A$120,B4548)),0),0)),""))</f>
        <v/>
      </c>
      <c r="D4548">
        <f>IF(B4548="","",IF(C4548&lt;&gt;"","REMOVE","KEEP"))</f>
        <v/>
      </c>
      <c r="E4548">
        <f>IF(D4548&lt;&gt;"KEEP","",IF(RIGHT(B4548,10)="@gmail.com","Gmail",IF(OR(RIGHT(B4548,12)="@outlook.com",RIGHT(B4548,12)="@hotmail.com",RIGHT(B4548,9)="@live.com"),"Outlook","Domain")))</f>
        <v/>
      </c>
      <c r="F4548">
        <f>IF(B4548="","",IFERROR(RIGHT(B4548,LEN(B4548)-FIND("@",B4548)),""))</f>
        <v/>
      </c>
      <c r="G4548">
        <f>IF(D4548="KEEP",COUNTIF($D$2:D4548,"KEEP"),"")</f>
        <v/>
      </c>
      <c r="H4548">
        <f>IF(D4548="REMOVE",COUNTIF($D$2:D4548,"REMOVE"),"")</f>
        <v/>
      </c>
      <c r="I4548">
        <f>IF(E4548="Gmail",COUNTIF($E$2:E4548,"Gmail"),"")</f>
        <v/>
      </c>
      <c r="J4548">
        <f>IF(E4548="Outlook",COUNTIF($E$2:E4548,"Outlook"),"")</f>
        <v/>
      </c>
      <c r="K4548">
        <f>IF(E4548="Domain",COUNTIF($E$2:E4548,"Domain"),"")</f>
        <v/>
      </c>
    </row>
    <row r="4549">
      <c r="A4549" s="2" t="n"/>
      <c r="B4549">
        <f>LOWER(TRIM(A4549))</f>
        <v/>
      </c>
      <c r="C4549">
        <f>IF(B4549="","",IFERROR(INDEX('Bad Patterns'!$A$2:$A$120,MATCH(1,INDEX(--ISNUMBER(SEARCH('Bad Patterns'!$A$2:$A$120,B4549)),0),0)),""))</f>
        <v/>
      </c>
      <c r="D4549">
        <f>IF(B4549="","",IF(C4549&lt;&gt;"","REMOVE","KEEP"))</f>
        <v/>
      </c>
      <c r="E4549">
        <f>IF(D4549&lt;&gt;"KEEP","",IF(RIGHT(B4549,10)="@gmail.com","Gmail",IF(OR(RIGHT(B4549,12)="@outlook.com",RIGHT(B4549,12)="@hotmail.com",RIGHT(B4549,9)="@live.com"),"Outlook","Domain")))</f>
        <v/>
      </c>
      <c r="F4549">
        <f>IF(B4549="","",IFERROR(RIGHT(B4549,LEN(B4549)-FIND("@",B4549)),""))</f>
        <v/>
      </c>
      <c r="G4549">
        <f>IF(D4549="KEEP",COUNTIF($D$2:D4549,"KEEP"),"")</f>
        <v/>
      </c>
      <c r="H4549">
        <f>IF(D4549="REMOVE",COUNTIF($D$2:D4549,"REMOVE"),"")</f>
        <v/>
      </c>
      <c r="I4549">
        <f>IF(E4549="Gmail",COUNTIF($E$2:E4549,"Gmail"),"")</f>
        <v/>
      </c>
      <c r="J4549">
        <f>IF(E4549="Outlook",COUNTIF($E$2:E4549,"Outlook"),"")</f>
        <v/>
      </c>
      <c r="K4549">
        <f>IF(E4549="Domain",COUNTIF($E$2:E4549,"Domain"),"")</f>
        <v/>
      </c>
    </row>
    <row r="4550">
      <c r="A4550" s="2" t="n"/>
      <c r="B4550">
        <f>LOWER(TRIM(A4550))</f>
        <v/>
      </c>
      <c r="C4550">
        <f>IF(B4550="","",IFERROR(INDEX('Bad Patterns'!$A$2:$A$120,MATCH(1,INDEX(--ISNUMBER(SEARCH('Bad Patterns'!$A$2:$A$120,B4550)),0),0)),""))</f>
        <v/>
      </c>
      <c r="D4550">
        <f>IF(B4550="","",IF(C4550&lt;&gt;"","REMOVE","KEEP"))</f>
        <v/>
      </c>
      <c r="E4550">
        <f>IF(D4550&lt;&gt;"KEEP","",IF(RIGHT(B4550,10)="@gmail.com","Gmail",IF(OR(RIGHT(B4550,12)="@outlook.com",RIGHT(B4550,12)="@hotmail.com",RIGHT(B4550,9)="@live.com"),"Outlook","Domain")))</f>
        <v/>
      </c>
      <c r="F4550">
        <f>IF(B4550="","",IFERROR(RIGHT(B4550,LEN(B4550)-FIND("@",B4550)),""))</f>
        <v/>
      </c>
      <c r="G4550">
        <f>IF(D4550="KEEP",COUNTIF($D$2:D4550,"KEEP"),"")</f>
        <v/>
      </c>
      <c r="H4550">
        <f>IF(D4550="REMOVE",COUNTIF($D$2:D4550,"REMOVE"),"")</f>
        <v/>
      </c>
      <c r="I4550">
        <f>IF(E4550="Gmail",COUNTIF($E$2:E4550,"Gmail"),"")</f>
        <v/>
      </c>
      <c r="J4550">
        <f>IF(E4550="Outlook",COUNTIF($E$2:E4550,"Outlook"),"")</f>
        <v/>
      </c>
      <c r="K4550">
        <f>IF(E4550="Domain",COUNTIF($E$2:E4550,"Domain"),"")</f>
        <v/>
      </c>
    </row>
    <row r="4551">
      <c r="A4551" s="2" t="n"/>
      <c r="B4551">
        <f>LOWER(TRIM(A4551))</f>
        <v/>
      </c>
      <c r="C4551">
        <f>IF(B4551="","",IFERROR(INDEX('Bad Patterns'!$A$2:$A$120,MATCH(1,INDEX(--ISNUMBER(SEARCH('Bad Patterns'!$A$2:$A$120,B4551)),0),0)),""))</f>
        <v/>
      </c>
      <c r="D4551">
        <f>IF(B4551="","",IF(C4551&lt;&gt;"","REMOVE","KEEP"))</f>
        <v/>
      </c>
      <c r="E4551">
        <f>IF(D4551&lt;&gt;"KEEP","",IF(RIGHT(B4551,10)="@gmail.com","Gmail",IF(OR(RIGHT(B4551,12)="@outlook.com",RIGHT(B4551,12)="@hotmail.com",RIGHT(B4551,9)="@live.com"),"Outlook","Domain")))</f>
        <v/>
      </c>
      <c r="F4551">
        <f>IF(B4551="","",IFERROR(RIGHT(B4551,LEN(B4551)-FIND("@",B4551)),""))</f>
        <v/>
      </c>
      <c r="G4551">
        <f>IF(D4551="KEEP",COUNTIF($D$2:D4551,"KEEP"),"")</f>
        <v/>
      </c>
      <c r="H4551">
        <f>IF(D4551="REMOVE",COUNTIF($D$2:D4551,"REMOVE"),"")</f>
        <v/>
      </c>
      <c r="I4551">
        <f>IF(E4551="Gmail",COUNTIF($E$2:E4551,"Gmail"),"")</f>
        <v/>
      </c>
      <c r="J4551">
        <f>IF(E4551="Outlook",COUNTIF($E$2:E4551,"Outlook"),"")</f>
        <v/>
      </c>
      <c r="K4551">
        <f>IF(E4551="Domain",COUNTIF($E$2:E4551,"Domain"),"")</f>
        <v/>
      </c>
    </row>
    <row r="4552">
      <c r="A4552" s="2" t="n"/>
      <c r="B4552">
        <f>LOWER(TRIM(A4552))</f>
        <v/>
      </c>
      <c r="C4552">
        <f>IF(B4552="","",IFERROR(INDEX('Bad Patterns'!$A$2:$A$120,MATCH(1,INDEX(--ISNUMBER(SEARCH('Bad Patterns'!$A$2:$A$120,B4552)),0),0)),""))</f>
        <v/>
      </c>
      <c r="D4552">
        <f>IF(B4552="","",IF(C4552&lt;&gt;"","REMOVE","KEEP"))</f>
        <v/>
      </c>
      <c r="E4552">
        <f>IF(D4552&lt;&gt;"KEEP","",IF(RIGHT(B4552,10)="@gmail.com","Gmail",IF(OR(RIGHT(B4552,12)="@outlook.com",RIGHT(B4552,12)="@hotmail.com",RIGHT(B4552,9)="@live.com"),"Outlook","Domain")))</f>
        <v/>
      </c>
      <c r="F4552">
        <f>IF(B4552="","",IFERROR(RIGHT(B4552,LEN(B4552)-FIND("@",B4552)),""))</f>
        <v/>
      </c>
      <c r="G4552">
        <f>IF(D4552="KEEP",COUNTIF($D$2:D4552,"KEEP"),"")</f>
        <v/>
      </c>
      <c r="H4552">
        <f>IF(D4552="REMOVE",COUNTIF($D$2:D4552,"REMOVE"),"")</f>
        <v/>
      </c>
      <c r="I4552">
        <f>IF(E4552="Gmail",COUNTIF($E$2:E4552,"Gmail"),"")</f>
        <v/>
      </c>
      <c r="J4552">
        <f>IF(E4552="Outlook",COUNTIF($E$2:E4552,"Outlook"),"")</f>
        <v/>
      </c>
      <c r="K4552">
        <f>IF(E4552="Domain",COUNTIF($E$2:E4552,"Domain"),"")</f>
        <v/>
      </c>
    </row>
    <row r="4553">
      <c r="A4553" s="2" t="n"/>
      <c r="B4553">
        <f>LOWER(TRIM(A4553))</f>
        <v/>
      </c>
      <c r="C4553">
        <f>IF(B4553="","",IFERROR(INDEX('Bad Patterns'!$A$2:$A$120,MATCH(1,INDEX(--ISNUMBER(SEARCH('Bad Patterns'!$A$2:$A$120,B4553)),0),0)),""))</f>
        <v/>
      </c>
      <c r="D4553">
        <f>IF(B4553="","",IF(C4553&lt;&gt;"","REMOVE","KEEP"))</f>
        <v/>
      </c>
      <c r="E4553">
        <f>IF(D4553&lt;&gt;"KEEP","",IF(RIGHT(B4553,10)="@gmail.com","Gmail",IF(OR(RIGHT(B4553,12)="@outlook.com",RIGHT(B4553,12)="@hotmail.com",RIGHT(B4553,9)="@live.com"),"Outlook","Domain")))</f>
        <v/>
      </c>
      <c r="F4553">
        <f>IF(B4553="","",IFERROR(RIGHT(B4553,LEN(B4553)-FIND("@",B4553)),""))</f>
        <v/>
      </c>
      <c r="G4553">
        <f>IF(D4553="KEEP",COUNTIF($D$2:D4553,"KEEP"),"")</f>
        <v/>
      </c>
      <c r="H4553">
        <f>IF(D4553="REMOVE",COUNTIF($D$2:D4553,"REMOVE"),"")</f>
        <v/>
      </c>
      <c r="I4553">
        <f>IF(E4553="Gmail",COUNTIF($E$2:E4553,"Gmail"),"")</f>
        <v/>
      </c>
      <c r="J4553">
        <f>IF(E4553="Outlook",COUNTIF($E$2:E4553,"Outlook"),"")</f>
        <v/>
      </c>
      <c r="K4553">
        <f>IF(E4553="Domain",COUNTIF($E$2:E4553,"Domain"),"")</f>
        <v/>
      </c>
    </row>
    <row r="4554">
      <c r="A4554" s="2" t="n"/>
      <c r="B4554">
        <f>LOWER(TRIM(A4554))</f>
        <v/>
      </c>
      <c r="C4554">
        <f>IF(B4554="","",IFERROR(INDEX('Bad Patterns'!$A$2:$A$120,MATCH(1,INDEX(--ISNUMBER(SEARCH('Bad Patterns'!$A$2:$A$120,B4554)),0),0)),""))</f>
        <v/>
      </c>
      <c r="D4554">
        <f>IF(B4554="","",IF(C4554&lt;&gt;"","REMOVE","KEEP"))</f>
        <v/>
      </c>
      <c r="E4554">
        <f>IF(D4554&lt;&gt;"KEEP","",IF(RIGHT(B4554,10)="@gmail.com","Gmail",IF(OR(RIGHT(B4554,12)="@outlook.com",RIGHT(B4554,12)="@hotmail.com",RIGHT(B4554,9)="@live.com"),"Outlook","Domain")))</f>
        <v/>
      </c>
      <c r="F4554">
        <f>IF(B4554="","",IFERROR(RIGHT(B4554,LEN(B4554)-FIND("@",B4554)),""))</f>
        <v/>
      </c>
      <c r="G4554">
        <f>IF(D4554="KEEP",COUNTIF($D$2:D4554,"KEEP"),"")</f>
        <v/>
      </c>
      <c r="H4554">
        <f>IF(D4554="REMOVE",COUNTIF($D$2:D4554,"REMOVE"),"")</f>
        <v/>
      </c>
      <c r="I4554">
        <f>IF(E4554="Gmail",COUNTIF($E$2:E4554,"Gmail"),"")</f>
        <v/>
      </c>
      <c r="J4554">
        <f>IF(E4554="Outlook",COUNTIF($E$2:E4554,"Outlook"),"")</f>
        <v/>
      </c>
      <c r="K4554">
        <f>IF(E4554="Domain",COUNTIF($E$2:E4554,"Domain"),"")</f>
        <v/>
      </c>
    </row>
    <row r="4555">
      <c r="A4555" s="2" t="n"/>
      <c r="B4555">
        <f>LOWER(TRIM(A4555))</f>
        <v/>
      </c>
      <c r="C4555">
        <f>IF(B4555="","",IFERROR(INDEX('Bad Patterns'!$A$2:$A$120,MATCH(1,INDEX(--ISNUMBER(SEARCH('Bad Patterns'!$A$2:$A$120,B4555)),0),0)),""))</f>
        <v/>
      </c>
      <c r="D4555">
        <f>IF(B4555="","",IF(C4555&lt;&gt;"","REMOVE","KEEP"))</f>
        <v/>
      </c>
      <c r="E4555">
        <f>IF(D4555&lt;&gt;"KEEP","",IF(RIGHT(B4555,10)="@gmail.com","Gmail",IF(OR(RIGHT(B4555,12)="@outlook.com",RIGHT(B4555,12)="@hotmail.com",RIGHT(B4555,9)="@live.com"),"Outlook","Domain")))</f>
        <v/>
      </c>
      <c r="F4555">
        <f>IF(B4555="","",IFERROR(RIGHT(B4555,LEN(B4555)-FIND("@",B4555)),""))</f>
        <v/>
      </c>
      <c r="G4555">
        <f>IF(D4555="KEEP",COUNTIF($D$2:D4555,"KEEP"),"")</f>
        <v/>
      </c>
      <c r="H4555">
        <f>IF(D4555="REMOVE",COUNTIF($D$2:D4555,"REMOVE"),"")</f>
        <v/>
      </c>
      <c r="I4555">
        <f>IF(E4555="Gmail",COUNTIF($E$2:E4555,"Gmail"),"")</f>
        <v/>
      </c>
      <c r="J4555">
        <f>IF(E4555="Outlook",COUNTIF($E$2:E4555,"Outlook"),"")</f>
        <v/>
      </c>
      <c r="K4555">
        <f>IF(E4555="Domain",COUNTIF($E$2:E4555,"Domain"),"")</f>
        <v/>
      </c>
    </row>
    <row r="4556">
      <c r="A4556" s="2" t="n"/>
      <c r="B4556">
        <f>LOWER(TRIM(A4556))</f>
        <v/>
      </c>
      <c r="C4556">
        <f>IF(B4556="","",IFERROR(INDEX('Bad Patterns'!$A$2:$A$120,MATCH(1,INDEX(--ISNUMBER(SEARCH('Bad Patterns'!$A$2:$A$120,B4556)),0),0)),""))</f>
        <v/>
      </c>
      <c r="D4556">
        <f>IF(B4556="","",IF(C4556&lt;&gt;"","REMOVE","KEEP"))</f>
        <v/>
      </c>
      <c r="E4556">
        <f>IF(D4556&lt;&gt;"KEEP","",IF(RIGHT(B4556,10)="@gmail.com","Gmail",IF(OR(RIGHT(B4556,12)="@outlook.com",RIGHT(B4556,12)="@hotmail.com",RIGHT(B4556,9)="@live.com"),"Outlook","Domain")))</f>
        <v/>
      </c>
      <c r="F4556">
        <f>IF(B4556="","",IFERROR(RIGHT(B4556,LEN(B4556)-FIND("@",B4556)),""))</f>
        <v/>
      </c>
      <c r="G4556">
        <f>IF(D4556="KEEP",COUNTIF($D$2:D4556,"KEEP"),"")</f>
        <v/>
      </c>
      <c r="H4556">
        <f>IF(D4556="REMOVE",COUNTIF($D$2:D4556,"REMOVE"),"")</f>
        <v/>
      </c>
      <c r="I4556">
        <f>IF(E4556="Gmail",COUNTIF($E$2:E4556,"Gmail"),"")</f>
        <v/>
      </c>
      <c r="J4556">
        <f>IF(E4556="Outlook",COUNTIF($E$2:E4556,"Outlook"),"")</f>
        <v/>
      </c>
      <c r="K4556">
        <f>IF(E4556="Domain",COUNTIF($E$2:E4556,"Domain"),"")</f>
        <v/>
      </c>
    </row>
    <row r="4557">
      <c r="A4557" s="2" t="n"/>
      <c r="B4557">
        <f>LOWER(TRIM(A4557))</f>
        <v/>
      </c>
      <c r="C4557">
        <f>IF(B4557="","",IFERROR(INDEX('Bad Patterns'!$A$2:$A$120,MATCH(1,INDEX(--ISNUMBER(SEARCH('Bad Patterns'!$A$2:$A$120,B4557)),0),0)),""))</f>
        <v/>
      </c>
      <c r="D4557">
        <f>IF(B4557="","",IF(C4557&lt;&gt;"","REMOVE","KEEP"))</f>
        <v/>
      </c>
      <c r="E4557">
        <f>IF(D4557&lt;&gt;"KEEP","",IF(RIGHT(B4557,10)="@gmail.com","Gmail",IF(OR(RIGHT(B4557,12)="@outlook.com",RIGHT(B4557,12)="@hotmail.com",RIGHT(B4557,9)="@live.com"),"Outlook","Domain")))</f>
        <v/>
      </c>
      <c r="F4557">
        <f>IF(B4557="","",IFERROR(RIGHT(B4557,LEN(B4557)-FIND("@",B4557)),""))</f>
        <v/>
      </c>
      <c r="G4557">
        <f>IF(D4557="KEEP",COUNTIF($D$2:D4557,"KEEP"),"")</f>
        <v/>
      </c>
      <c r="H4557">
        <f>IF(D4557="REMOVE",COUNTIF($D$2:D4557,"REMOVE"),"")</f>
        <v/>
      </c>
      <c r="I4557">
        <f>IF(E4557="Gmail",COUNTIF($E$2:E4557,"Gmail"),"")</f>
        <v/>
      </c>
      <c r="J4557">
        <f>IF(E4557="Outlook",COUNTIF($E$2:E4557,"Outlook"),"")</f>
        <v/>
      </c>
      <c r="K4557">
        <f>IF(E4557="Domain",COUNTIF($E$2:E4557,"Domain"),"")</f>
        <v/>
      </c>
    </row>
    <row r="4558">
      <c r="A4558" s="2" t="n"/>
      <c r="B4558">
        <f>LOWER(TRIM(A4558))</f>
        <v/>
      </c>
      <c r="C4558">
        <f>IF(B4558="","",IFERROR(INDEX('Bad Patterns'!$A$2:$A$120,MATCH(1,INDEX(--ISNUMBER(SEARCH('Bad Patterns'!$A$2:$A$120,B4558)),0),0)),""))</f>
        <v/>
      </c>
      <c r="D4558">
        <f>IF(B4558="","",IF(C4558&lt;&gt;"","REMOVE","KEEP"))</f>
        <v/>
      </c>
      <c r="E4558">
        <f>IF(D4558&lt;&gt;"KEEP","",IF(RIGHT(B4558,10)="@gmail.com","Gmail",IF(OR(RIGHT(B4558,12)="@outlook.com",RIGHT(B4558,12)="@hotmail.com",RIGHT(B4558,9)="@live.com"),"Outlook","Domain")))</f>
        <v/>
      </c>
      <c r="F4558">
        <f>IF(B4558="","",IFERROR(RIGHT(B4558,LEN(B4558)-FIND("@",B4558)),""))</f>
        <v/>
      </c>
      <c r="G4558">
        <f>IF(D4558="KEEP",COUNTIF($D$2:D4558,"KEEP"),"")</f>
        <v/>
      </c>
      <c r="H4558">
        <f>IF(D4558="REMOVE",COUNTIF($D$2:D4558,"REMOVE"),"")</f>
        <v/>
      </c>
      <c r="I4558">
        <f>IF(E4558="Gmail",COUNTIF($E$2:E4558,"Gmail"),"")</f>
        <v/>
      </c>
      <c r="J4558">
        <f>IF(E4558="Outlook",COUNTIF($E$2:E4558,"Outlook"),"")</f>
        <v/>
      </c>
      <c r="K4558">
        <f>IF(E4558="Domain",COUNTIF($E$2:E4558,"Domain"),"")</f>
        <v/>
      </c>
    </row>
    <row r="4559">
      <c r="A4559" s="2" t="n"/>
      <c r="B4559">
        <f>LOWER(TRIM(A4559))</f>
        <v/>
      </c>
      <c r="C4559">
        <f>IF(B4559="","",IFERROR(INDEX('Bad Patterns'!$A$2:$A$120,MATCH(1,INDEX(--ISNUMBER(SEARCH('Bad Patterns'!$A$2:$A$120,B4559)),0),0)),""))</f>
        <v/>
      </c>
      <c r="D4559">
        <f>IF(B4559="","",IF(C4559&lt;&gt;"","REMOVE","KEEP"))</f>
        <v/>
      </c>
      <c r="E4559">
        <f>IF(D4559&lt;&gt;"KEEP","",IF(RIGHT(B4559,10)="@gmail.com","Gmail",IF(OR(RIGHT(B4559,12)="@outlook.com",RIGHT(B4559,12)="@hotmail.com",RIGHT(B4559,9)="@live.com"),"Outlook","Domain")))</f>
        <v/>
      </c>
      <c r="F4559">
        <f>IF(B4559="","",IFERROR(RIGHT(B4559,LEN(B4559)-FIND("@",B4559)),""))</f>
        <v/>
      </c>
      <c r="G4559">
        <f>IF(D4559="KEEP",COUNTIF($D$2:D4559,"KEEP"),"")</f>
        <v/>
      </c>
      <c r="H4559">
        <f>IF(D4559="REMOVE",COUNTIF($D$2:D4559,"REMOVE"),"")</f>
        <v/>
      </c>
      <c r="I4559">
        <f>IF(E4559="Gmail",COUNTIF($E$2:E4559,"Gmail"),"")</f>
        <v/>
      </c>
      <c r="J4559">
        <f>IF(E4559="Outlook",COUNTIF($E$2:E4559,"Outlook"),"")</f>
        <v/>
      </c>
      <c r="K4559">
        <f>IF(E4559="Domain",COUNTIF($E$2:E4559,"Domain"),"")</f>
        <v/>
      </c>
    </row>
    <row r="4560">
      <c r="A4560" s="2" t="n"/>
      <c r="B4560">
        <f>LOWER(TRIM(A4560))</f>
        <v/>
      </c>
      <c r="C4560">
        <f>IF(B4560="","",IFERROR(INDEX('Bad Patterns'!$A$2:$A$120,MATCH(1,INDEX(--ISNUMBER(SEARCH('Bad Patterns'!$A$2:$A$120,B4560)),0),0)),""))</f>
        <v/>
      </c>
      <c r="D4560">
        <f>IF(B4560="","",IF(C4560&lt;&gt;"","REMOVE","KEEP"))</f>
        <v/>
      </c>
      <c r="E4560">
        <f>IF(D4560&lt;&gt;"KEEP","",IF(RIGHT(B4560,10)="@gmail.com","Gmail",IF(OR(RIGHT(B4560,12)="@outlook.com",RIGHT(B4560,12)="@hotmail.com",RIGHT(B4560,9)="@live.com"),"Outlook","Domain")))</f>
        <v/>
      </c>
      <c r="F4560">
        <f>IF(B4560="","",IFERROR(RIGHT(B4560,LEN(B4560)-FIND("@",B4560)),""))</f>
        <v/>
      </c>
      <c r="G4560">
        <f>IF(D4560="KEEP",COUNTIF($D$2:D4560,"KEEP"),"")</f>
        <v/>
      </c>
      <c r="H4560">
        <f>IF(D4560="REMOVE",COUNTIF($D$2:D4560,"REMOVE"),"")</f>
        <v/>
      </c>
      <c r="I4560">
        <f>IF(E4560="Gmail",COUNTIF($E$2:E4560,"Gmail"),"")</f>
        <v/>
      </c>
      <c r="J4560">
        <f>IF(E4560="Outlook",COUNTIF($E$2:E4560,"Outlook"),"")</f>
        <v/>
      </c>
      <c r="K4560">
        <f>IF(E4560="Domain",COUNTIF($E$2:E4560,"Domain"),"")</f>
        <v/>
      </c>
    </row>
    <row r="4561">
      <c r="A4561" s="2" t="n"/>
      <c r="B4561">
        <f>LOWER(TRIM(A4561))</f>
        <v/>
      </c>
      <c r="C4561">
        <f>IF(B4561="","",IFERROR(INDEX('Bad Patterns'!$A$2:$A$120,MATCH(1,INDEX(--ISNUMBER(SEARCH('Bad Patterns'!$A$2:$A$120,B4561)),0),0)),""))</f>
        <v/>
      </c>
      <c r="D4561">
        <f>IF(B4561="","",IF(C4561&lt;&gt;"","REMOVE","KEEP"))</f>
        <v/>
      </c>
      <c r="E4561">
        <f>IF(D4561&lt;&gt;"KEEP","",IF(RIGHT(B4561,10)="@gmail.com","Gmail",IF(OR(RIGHT(B4561,12)="@outlook.com",RIGHT(B4561,12)="@hotmail.com",RIGHT(B4561,9)="@live.com"),"Outlook","Domain")))</f>
        <v/>
      </c>
      <c r="F4561">
        <f>IF(B4561="","",IFERROR(RIGHT(B4561,LEN(B4561)-FIND("@",B4561)),""))</f>
        <v/>
      </c>
      <c r="G4561">
        <f>IF(D4561="KEEP",COUNTIF($D$2:D4561,"KEEP"),"")</f>
        <v/>
      </c>
      <c r="H4561">
        <f>IF(D4561="REMOVE",COUNTIF($D$2:D4561,"REMOVE"),"")</f>
        <v/>
      </c>
      <c r="I4561">
        <f>IF(E4561="Gmail",COUNTIF($E$2:E4561,"Gmail"),"")</f>
        <v/>
      </c>
      <c r="J4561">
        <f>IF(E4561="Outlook",COUNTIF($E$2:E4561,"Outlook"),"")</f>
        <v/>
      </c>
      <c r="K4561">
        <f>IF(E4561="Domain",COUNTIF($E$2:E4561,"Domain"),"")</f>
        <v/>
      </c>
    </row>
    <row r="4562">
      <c r="A4562" s="2" t="n"/>
      <c r="B4562">
        <f>LOWER(TRIM(A4562))</f>
        <v/>
      </c>
      <c r="C4562">
        <f>IF(B4562="","",IFERROR(INDEX('Bad Patterns'!$A$2:$A$120,MATCH(1,INDEX(--ISNUMBER(SEARCH('Bad Patterns'!$A$2:$A$120,B4562)),0),0)),""))</f>
        <v/>
      </c>
      <c r="D4562">
        <f>IF(B4562="","",IF(C4562&lt;&gt;"","REMOVE","KEEP"))</f>
        <v/>
      </c>
      <c r="E4562">
        <f>IF(D4562&lt;&gt;"KEEP","",IF(RIGHT(B4562,10)="@gmail.com","Gmail",IF(OR(RIGHT(B4562,12)="@outlook.com",RIGHT(B4562,12)="@hotmail.com",RIGHT(B4562,9)="@live.com"),"Outlook","Domain")))</f>
        <v/>
      </c>
      <c r="F4562">
        <f>IF(B4562="","",IFERROR(RIGHT(B4562,LEN(B4562)-FIND("@",B4562)),""))</f>
        <v/>
      </c>
      <c r="G4562">
        <f>IF(D4562="KEEP",COUNTIF($D$2:D4562,"KEEP"),"")</f>
        <v/>
      </c>
      <c r="H4562">
        <f>IF(D4562="REMOVE",COUNTIF($D$2:D4562,"REMOVE"),"")</f>
        <v/>
      </c>
      <c r="I4562">
        <f>IF(E4562="Gmail",COUNTIF($E$2:E4562,"Gmail"),"")</f>
        <v/>
      </c>
      <c r="J4562">
        <f>IF(E4562="Outlook",COUNTIF($E$2:E4562,"Outlook"),"")</f>
        <v/>
      </c>
      <c r="K4562">
        <f>IF(E4562="Domain",COUNTIF($E$2:E4562,"Domain"),"")</f>
        <v/>
      </c>
    </row>
    <row r="4563">
      <c r="A4563" s="2" t="n"/>
      <c r="B4563">
        <f>LOWER(TRIM(A4563))</f>
        <v/>
      </c>
      <c r="C4563">
        <f>IF(B4563="","",IFERROR(INDEX('Bad Patterns'!$A$2:$A$120,MATCH(1,INDEX(--ISNUMBER(SEARCH('Bad Patterns'!$A$2:$A$120,B4563)),0),0)),""))</f>
        <v/>
      </c>
      <c r="D4563">
        <f>IF(B4563="","",IF(C4563&lt;&gt;"","REMOVE","KEEP"))</f>
        <v/>
      </c>
      <c r="E4563">
        <f>IF(D4563&lt;&gt;"KEEP","",IF(RIGHT(B4563,10)="@gmail.com","Gmail",IF(OR(RIGHT(B4563,12)="@outlook.com",RIGHT(B4563,12)="@hotmail.com",RIGHT(B4563,9)="@live.com"),"Outlook","Domain")))</f>
        <v/>
      </c>
      <c r="F4563">
        <f>IF(B4563="","",IFERROR(RIGHT(B4563,LEN(B4563)-FIND("@",B4563)),""))</f>
        <v/>
      </c>
      <c r="G4563">
        <f>IF(D4563="KEEP",COUNTIF($D$2:D4563,"KEEP"),"")</f>
        <v/>
      </c>
      <c r="H4563">
        <f>IF(D4563="REMOVE",COUNTIF($D$2:D4563,"REMOVE"),"")</f>
        <v/>
      </c>
      <c r="I4563">
        <f>IF(E4563="Gmail",COUNTIF($E$2:E4563,"Gmail"),"")</f>
        <v/>
      </c>
      <c r="J4563">
        <f>IF(E4563="Outlook",COUNTIF($E$2:E4563,"Outlook"),"")</f>
        <v/>
      </c>
      <c r="K4563">
        <f>IF(E4563="Domain",COUNTIF($E$2:E4563,"Domain"),"")</f>
        <v/>
      </c>
    </row>
    <row r="4564">
      <c r="A4564" s="2" t="n"/>
      <c r="B4564">
        <f>LOWER(TRIM(A4564))</f>
        <v/>
      </c>
      <c r="C4564">
        <f>IF(B4564="","",IFERROR(INDEX('Bad Patterns'!$A$2:$A$120,MATCH(1,INDEX(--ISNUMBER(SEARCH('Bad Patterns'!$A$2:$A$120,B4564)),0),0)),""))</f>
        <v/>
      </c>
      <c r="D4564">
        <f>IF(B4564="","",IF(C4564&lt;&gt;"","REMOVE","KEEP"))</f>
        <v/>
      </c>
      <c r="E4564">
        <f>IF(D4564&lt;&gt;"KEEP","",IF(RIGHT(B4564,10)="@gmail.com","Gmail",IF(OR(RIGHT(B4564,12)="@outlook.com",RIGHT(B4564,12)="@hotmail.com",RIGHT(B4564,9)="@live.com"),"Outlook","Domain")))</f>
        <v/>
      </c>
      <c r="F4564">
        <f>IF(B4564="","",IFERROR(RIGHT(B4564,LEN(B4564)-FIND("@",B4564)),""))</f>
        <v/>
      </c>
      <c r="G4564">
        <f>IF(D4564="KEEP",COUNTIF($D$2:D4564,"KEEP"),"")</f>
        <v/>
      </c>
      <c r="H4564">
        <f>IF(D4564="REMOVE",COUNTIF($D$2:D4564,"REMOVE"),"")</f>
        <v/>
      </c>
      <c r="I4564">
        <f>IF(E4564="Gmail",COUNTIF($E$2:E4564,"Gmail"),"")</f>
        <v/>
      </c>
      <c r="J4564">
        <f>IF(E4564="Outlook",COUNTIF($E$2:E4564,"Outlook"),"")</f>
        <v/>
      </c>
      <c r="K4564">
        <f>IF(E4564="Domain",COUNTIF($E$2:E4564,"Domain"),"")</f>
        <v/>
      </c>
    </row>
    <row r="4565">
      <c r="A4565" s="2" t="n"/>
      <c r="B4565">
        <f>LOWER(TRIM(A4565))</f>
        <v/>
      </c>
      <c r="C4565">
        <f>IF(B4565="","",IFERROR(INDEX('Bad Patterns'!$A$2:$A$120,MATCH(1,INDEX(--ISNUMBER(SEARCH('Bad Patterns'!$A$2:$A$120,B4565)),0),0)),""))</f>
        <v/>
      </c>
      <c r="D4565">
        <f>IF(B4565="","",IF(C4565&lt;&gt;"","REMOVE","KEEP"))</f>
        <v/>
      </c>
      <c r="E4565">
        <f>IF(D4565&lt;&gt;"KEEP","",IF(RIGHT(B4565,10)="@gmail.com","Gmail",IF(OR(RIGHT(B4565,12)="@outlook.com",RIGHT(B4565,12)="@hotmail.com",RIGHT(B4565,9)="@live.com"),"Outlook","Domain")))</f>
        <v/>
      </c>
      <c r="F4565">
        <f>IF(B4565="","",IFERROR(RIGHT(B4565,LEN(B4565)-FIND("@",B4565)),""))</f>
        <v/>
      </c>
      <c r="G4565">
        <f>IF(D4565="KEEP",COUNTIF($D$2:D4565,"KEEP"),"")</f>
        <v/>
      </c>
      <c r="H4565">
        <f>IF(D4565="REMOVE",COUNTIF($D$2:D4565,"REMOVE"),"")</f>
        <v/>
      </c>
      <c r="I4565">
        <f>IF(E4565="Gmail",COUNTIF($E$2:E4565,"Gmail"),"")</f>
        <v/>
      </c>
      <c r="J4565">
        <f>IF(E4565="Outlook",COUNTIF($E$2:E4565,"Outlook"),"")</f>
        <v/>
      </c>
      <c r="K4565">
        <f>IF(E4565="Domain",COUNTIF($E$2:E4565,"Domain"),"")</f>
        <v/>
      </c>
    </row>
    <row r="4566">
      <c r="A4566" s="2" t="n"/>
      <c r="B4566">
        <f>LOWER(TRIM(A4566))</f>
        <v/>
      </c>
      <c r="C4566">
        <f>IF(B4566="","",IFERROR(INDEX('Bad Patterns'!$A$2:$A$120,MATCH(1,INDEX(--ISNUMBER(SEARCH('Bad Patterns'!$A$2:$A$120,B4566)),0),0)),""))</f>
        <v/>
      </c>
      <c r="D4566">
        <f>IF(B4566="","",IF(C4566&lt;&gt;"","REMOVE","KEEP"))</f>
        <v/>
      </c>
      <c r="E4566">
        <f>IF(D4566&lt;&gt;"KEEP","",IF(RIGHT(B4566,10)="@gmail.com","Gmail",IF(OR(RIGHT(B4566,12)="@outlook.com",RIGHT(B4566,12)="@hotmail.com",RIGHT(B4566,9)="@live.com"),"Outlook","Domain")))</f>
        <v/>
      </c>
      <c r="F4566">
        <f>IF(B4566="","",IFERROR(RIGHT(B4566,LEN(B4566)-FIND("@",B4566)),""))</f>
        <v/>
      </c>
      <c r="G4566">
        <f>IF(D4566="KEEP",COUNTIF($D$2:D4566,"KEEP"),"")</f>
        <v/>
      </c>
      <c r="H4566">
        <f>IF(D4566="REMOVE",COUNTIF($D$2:D4566,"REMOVE"),"")</f>
        <v/>
      </c>
      <c r="I4566">
        <f>IF(E4566="Gmail",COUNTIF($E$2:E4566,"Gmail"),"")</f>
        <v/>
      </c>
      <c r="J4566">
        <f>IF(E4566="Outlook",COUNTIF($E$2:E4566,"Outlook"),"")</f>
        <v/>
      </c>
      <c r="K4566">
        <f>IF(E4566="Domain",COUNTIF($E$2:E4566,"Domain"),"")</f>
        <v/>
      </c>
    </row>
    <row r="4567">
      <c r="A4567" s="2" t="n"/>
      <c r="B4567">
        <f>LOWER(TRIM(A4567))</f>
        <v/>
      </c>
      <c r="C4567">
        <f>IF(B4567="","",IFERROR(INDEX('Bad Patterns'!$A$2:$A$120,MATCH(1,INDEX(--ISNUMBER(SEARCH('Bad Patterns'!$A$2:$A$120,B4567)),0),0)),""))</f>
        <v/>
      </c>
      <c r="D4567">
        <f>IF(B4567="","",IF(C4567&lt;&gt;"","REMOVE","KEEP"))</f>
        <v/>
      </c>
      <c r="E4567">
        <f>IF(D4567&lt;&gt;"KEEP","",IF(RIGHT(B4567,10)="@gmail.com","Gmail",IF(OR(RIGHT(B4567,12)="@outlook.com",RIGHT(B4567,12)="@hotmail.com",RIGHT(B4567,9)="@live.com"),"Outlook","Domain")))</f>
        <v/>
      </c>
      <c r="F4567">
        <f>IF(B4567="","",IFERROR(RIGHT(B4567,LEN(B4567)-FIND("@",B4567)),""))</f>
        <v/>
      </c>
      <c r="G4567">
        <f>IF(D4567="KEEP",COUNTIF($D$2:D4567,"KEEP"),"")</f>
        <v/>
      </c>
      <c r="H4567">
        <f>IF(D4567="REMOVE",COUNTIF($D$2:D4567,"REMOVE"),"")</f>
        <v/>
      </c>
      <c r="I4567">
        <f>IF(E4567="Gmail",COUNTIF($E$2:E4567,"Gmail"),"")</f>
        <v/>
      </c>
      <c r="J4567">
        <f>IF(E4567="Outlook",COUNTIF($E$2:E4567,"Outlook"),"")</f>
        <v/>
      </c>
      <c r="K4567">
        <f>IF(E4567="Domain",COUNTIF($E$2:E4567,"Domain"),"")</f>
        <v/>
      </c>
    </row>
    <row r="4568">
      <c r="A4568" s="2" t="n"/>
      <c r="B4568">
        <f>LOWER(TRIM(A4568))</f>
        <v/>
      </c>
      <c r="C4568">
        <f>IF(B4568="","",IFERROR(INDEX('Bad Patterns'!$A$2:$A$120,MATCH(1,INDEX(--ISNUMBER(SEARCH('Bad Patterns'!$A$2:$A$120,B4568)),0),0)),""))</f>
        <v/>
      </c>
      <c r="D4568">
        <f>IF(B4568="","",IF(C4568&lt;&gt;"","REMOVE","KEEP"))</f>
        <v/>
      </c>
      <c r="E4568">
        <f>IF(D4568&lt;&gt;"KEEP","",IF(RIGHT(B4568,10)="@gmail.com","Gmail",IF(OR(RIGHT(B4568,12)="@outlook.com",RIGHT(B4568,12)="@hotmail.com",RIGHT(B4568,9)="@live.com"),"Outlook","Domain")))</f>
        <v/>
      </c>
      <c r="F4568">
        <f>IF(B4568="","",IFERROR(RIGHT(B4568,LEN(B4568)-FIND("@",B4568)),""))</f>
        <v/>
      </c>
      <c r="G4568">
        <f>IF(D4568="KEEP",COUNTIF($D$2:D4568,"KEEP"),"")</f>
        <v/>
      </c>
      <c r="H4568">
        <f>IF(D4568="REMOVE",COUNTIF($D$2:D4568,"REMOVE"),"")</f>
        <v/>
      </c>
      <c r="I4568">
        <f>IF(E4568="Gmail",COUNTIF($E$2:E4568,"Gmail"),"")</f>
        <v/>
      </c>
      <c r="J4568">
        <f>IF(E4568="Outlook",COUNTIF($E$2:E4568,"Outlook"),"")</f>
        <v/>
      </c>
      <c r="K4568">
        <f>IF(E4568="Domain",COUNTIF($E$2:E4568,"Domain"),"")</f>
        <v/>
      </c>
    </row>
    <row r="4569">
      <c r="A4569" s="2" t="n"/>
      <c r="B4569">
        <f>LOWER(TRIM(A4569))</f>
        <v/>
      </c>
      <c r="C4569">
        <f>IF(B4569="","",IFERROR(INDEX('Bad Patterns'!$A$2:$A$120,MATCH(1,INDEX(--ISNUMBER(SEARCH('Bad Patterns'!$A$2:$A$120,B4569)),0),0)),""))</f>
        <v/>
      </c>
      <c r="D4569">
        <f>IF(B4569="","",IF(C4569&lt;&gt;"","REMOVE","KEEP"))</f>
        <v/>
      </c>
      <c r="E4569">
        <f>IF(D4569&lt;&gt;"KEEP","",IF(RIGHT(B4569,10)="@gmail.com","Gmail",IF(OR(RIGHT(B4569,12)="@outlook.com",RIGHT(B4569,12)="@hotmail.com",RIGHT(B4569,9)="@live.com"),"Outlook","Domain")))</f>
        <v/>
      </c>
      <c r="F4569">
        <f>IF(B4569="","",IFERROR(RIGHT(B4569,LEN(B4569)-FIND("@",B4569)),""))</f>
        <v/>
      </c>
      <c r="G4569">
        <f>IF(D4569="KEEP",COUNTIF($D$2:D4569,"KEEP"),"")</f>
        <v/>
      </c>
      <c r="H4569">
        <f>IF(D4569="REMOVE",COUNTIF($D$2:D4569,"REMOVE"),"")</f>
        <v/>
      </c>
      <c r="I4569">
        <f>IF(E4569="Gmail",COUNTIF($E$2:E4569,"Gmail"),"")</f>
        <v/>
      </c>
      <c r="J4569">
        <f>IF(E4569="Outlook",COUNTIF($E$2:E4569,"Outlook"),"")</f>
        <v/>
      </c>
      <c r="K4569">
        <f>IF(E4569="Domain",COUNTIF($E$2:E4569,"Domain"),"")</f>
        <v/>
      </c>
    </row>
    <row r="4570">
      <c r="A4570" s="2" t="n"/>
      <c r="B4570">
        <f>LOWER(TRIM(A4570))</f>
        <v/>
      </c>
      <c r="C4570">
        <f>IF(B4570="","",IFERROR(INDEX('Bad Patterns'!$A$2:$A$120,MATCH(1,INDEX(--ISNUMBER(SEARCH('Bad Patterns'!$A$2:$A$120,B4570)),0),0)),""))</f>
        <v/>
      </c>
      <c r="D4570">
        <f>IF(B4570="","",IF(C4570&lt;&gt;"","REMOVE","KEEP"))</f>
        <v/>
      </c>
      <c r="E4570">
        <f>IF(D4570&lt;&gt;"KEEP","",IF(RIGHT(B4570,10)="@gmail.com","Gmail",IF(OR(RIGHT(B4570,12)="@outlook.com",RIGHT(B4570,12)="@hotmail.com",RIGHT(B4570,9)="@live.com"),"Outlook","Domain")))</f>
        <v/>
      </c>
      <c r="F4570">
        <f>IF(B4570="","",IFERROR(RIGHT(B4570,LEN(B4570)-FIND("@",B4570)),""))</f>
        <v/>
      </c>
      <c r="G4570">
        <f>IF(D4570="KEEP",COUNTIF($D$2:D4570,"KEEP"),"")</f>
        <v/>
      </c>
      <c r="H4570">
        <f>IF(D4570="REMOVE",COUNTIF($D$2:D4570,"REMOVE"),"")</f>
        <v/>
      </c>
      <c r="I4570">
        <f>IF(E4570="Gmail",COUNTIF($E$2:E4570,"Gmail"),"")</f>
        <v/>
      </c>
      <c r="J4570">
        <f>IF(E4570="Outlook",COUNTIF($E$2:E4570,"Outlook"),"")</f>
        <v/>
      </c>
      <c r="K4570">
        <f>IF(E4570="Domain",COUNTIF($E$2:E4570,"Domain"),"")</f>
        <v/>
      </c>
    </row>
    <row r="4571">
      <c r="A4571" s="2" t="n"/>
      <c r="B4571">
        <f>LOWER(TRIM(A4571))</f>
        <v/>
      </c>
      <c r="C4571">
        <f>IF(B4571="","",IFERROR(INDEX('Bad Patterns'!$A$2:$A$120,MATCH(1,INDEX(--ISNUMBER(SEARCH('Bad Patterns'!$A$2:$A$120,B4571)),0),0)),""))</f>
        <v/>
      </c>
      <c r="D4571">
        <f>IF(B4571="","",IF(C4571&lt;&gt;"","REMOVE","KEEP"))</f>
        <v/>
      </c>
      <c r="E4571">
        <f>IF(D4571&lt;&gt;"KEEP","",IF(RIGHT(B4571,10)="@gmail.com","Gmail",IF(OR(RIGHT(B4571,12)="@outlook.com",RIGHT(B4571,12)="@hotmail.com",RIGHT(B4571,9)="@live.com"),"Outlook","Domain")))</f>
        <v/>
      </c>
      <c r="F4571">
        <f>IF(B4571="","",IFERROR(RIGHT(B4571,LEN(B4571)-FIND("@",B4571)),""))</f>
        <v/>
      </c>
      <c r="G4571">
        <f>IF(D4571="KEEP",COUNTIF($D$2:D4571,"KEEP"),"")</f>
        <v/>
      </c>
      <c r="H4571">
        <f>IF(D4571="REMOVE",COUNTIF($D$2:D4571,"REMOVE"),"")</f>
        <v/>
      </c>
      <c r="I4571">
        <f>IF(E4571="Gmail",COUNTIF($E$2:E4571,"Gmail"),"")</f>
        <v/>
      </c>
      <c r="J4571">
        <f>IF(E4571="Outlook",COUNTIF($E$2:E4571,"Outlook"),"")</f>
        <v/>
      </c>
      <c r="K4571">
        <f>IF(E4571="Domain",COUNTIF($E$2:E4571,"Domain"),"")</f>
        <v/>
      </c>
    </row>
    <row r="4572">
      <c r="A4572" s="2" t="n"/>
      <c r="B4572">
        <f>LOWER(TRIM(A4572))</f>
        <v/>
      </c>
      <c r="C4572">
        <f>IF(B4572="","",IFERROR(INDEX('Bad Patterns'!$A$2:$A$120,MATCH(1,INDEX(--ISNUMBER(SEARCH('Bad Patterns'!$A$2:$A$120,B4572)),0),0)),""))</f>
        <v/>
      </c>
      <c r="D4572">
        <f>IF(B4572="","",IF(C4572&lt;&gt;"","REMOVE","KEEP"))</f>
        <v/>
      </c>
      <c r="E4572">
        <f>IF(D4572&lt;&gt;"KEEP","",IF(RIGHT(B4572,10)="@gmail.com","Gmail",IF(OR(RIGHT(B4572,12)="@outlook.com",RIGHT(B4572,12)="@hotmail.com",RIGHT(B4572,9)="@live.com"),"Outlook","Domain")))</f>
        <v/>
      </c>
      <c r="F4572">
        <f>IF(B4572="","",IFERROR(RIGHT(B4572,LEN(B4572)-FIND("@",B4572)),""))</f>
        <v/>
      </c>
      <c r="G4572">
        <f>IF(D4572="KEEP",COUNTIF($D$2:D4572,"KEEP"),"")</f>
        <v/>
      </c>
      <c r="H4572">
        <f>IF(D4572="REMOVE",COUNTIF($D$2:D4572,"REMOVE"),"")</f>
        <v/>
      </c>
      <c r="I4572">
        <f>IF(E4572="Gmail",COUNTIF($E$2:E4572,"Gmail"),"")</f>
        <v/>
      </c>
      <c r="J4572">
        <f>IF(E4572="Outlook",COUNTIF($E$2:E4572,"Outlook"),"")</f>
        <v/>
      </c>
      <c r="K4572">
        <f>IF(E4572="Domain",COUNTIF($E$2:E4572,"Domain"),"")</f>
        <v/>
      </c>
    </row>
    <row r="4573">
      <c r="A4573" s="2" t="n"/>
      <c r="B4573">
        <f>LOWER(TRIM(A4573))</f>
        <v/>
      </c>
      <c r="C4573">
        <f>IF(B4573="","",IFERROR(INDEX('Bad Patterns'!$A$2:$A$120,MATCH(1,INDEX(--ISNUMBER(SEARCH('Bad Patterns'!$A$2:$A$120,B4573)),0),0)),""))</f>
        <v/>
      </c>
      <c r="D4573">
        <f>IF(B4573="","",IF(C4573&lt;&gt;"","REMOVE","KEEP"))</f>
        <v/>
      </c>
      <c r="E4573">
        <f>IF(D4573&lt;&gt;"KEEP","",IF(RIGHT(B4573,10)="@gmail.com","Gmail",IF(OR(RIGHT(B4573,12)="@outlook.com",RIGHT(B4573,12)="@hotmail.com",RIGHT(B4573,9)="@live.com"),"Outlook","Domain")))</f>
        <v/>
      </c>
      <c r="F4573">
        <f>IF(B4573="","",IFERROR(RIGHT(B4573,LEN(B4573)-FIND("@",B4573)),""))</f>
        <v/>
      </c>
      <c r="G4573">
        <f>IF(D4573="KEEP",COUNTIF($D$2:D4573,"KEEP"),"")</f>
        <v/>
      </c>
      <c r="H4573">
        <f>IF(D4573="REMOVE",COUNTIF($D$2:D4573,"REMOVE"),"")</f>
        <v/>
      </c>
      <c r="I4573">
        <f>IF(E4573="Gmail",COUNTIF($E$2:E4573,"Gmail"),"")</f>
        <v/>
      </c>
      <c r="J4573">
        <f>IF(E4573="Outlook",COUNTIF($E$2:E4573,"Outlook"),"")</f>
        <v/>
      </c>
      <c r="K4573">
        <f>IF(E4573="Domain",COUNTIF($E$2:E4573,"Domain"),"")</f>
        <v/>
      </c>
    </row>
    <row r="4574">
      <c r="A4574" s="2" t="n"/>
      <c r="B4574">
        <f>LOWER(TRIM(A4574))</f>
        <v/>
      </c>
      <c r="C4574">
        <f>IF(B4574="","",IFERROR(INDEX('Bad Patterns'!$A$2:$A$120,MATCH(1,INDEX(--ISNUMBER(SEARCH('Bad Patterns'!$A$2:$A$120,B4574)),0),0)),""))</f>
        <v/>
      </c>
      <c r="D4574">
        <f>IF(B4574="","",IF(C4574&lt;&gt;"","REMOVE","KEEP"))</f>
        <v/>
      </c>
      <c r="E4574">
        <f>IF(D4574&lt;&gt;"KEEP","",IF(RIGHT(B4574,10)="@gmail.com","Gmail",IF(OR(RIGHT(B4574,12)="@outlook.com",RIGHT(B4574,12)="@hotmail.com",RIGHT(B4574,9)="@live.com"),"Outlook","Domain")))</f>
        <v/>
      </c>
      <c r="F4574">
        <f>IF(B4574="","",IFERROR(RIGHT(B4574,LEN(B4574)-FIND("@",B4574)),""))</f>
        <v/>
      </c>
      <c r="G4574">
        <f>IF(D4574="KEEP",COUNTIF($D$2:D4574,"KEEP"),"")</f>
        <v/>
      </c>
      <c r="H4574">
        <f>IF(D4574="REMOVE",COUNTIF($D$2:D4574,"REMOVE"),"")</f>
        <v/>
      </c>
      <c r="I4574">
        <f>IF(E4574="Gmail",COUNTIF($E$2:E4574,"Gmail"),"")</f>
        <v/>
      </c>
      <c r="J4574">
        <f>IF(E4574="Outlook",COUNTIF($E$2:E4574,"Outlook"),"")</f>
        <v/>
      </c>
      <c r="K4574">
        <f>IF(E4574="Domain",COUNTIF($E$2:E4574,"Domain"),"")</f>
        <v/>
      </c>
    </row>
    <row r="4575">
      <c r="A4575" s="2" t="n"/>
      <c r="B4575">
        <f>LOWER(TRIM(A4575))</f>
        <v/>
      </c>
      <c r="C4575">
        <f>IF(B4575="","",IFERROR(INDEX('Bad Patterns'!$A$2:$A$120,MATCH(1,INDEX(--ISNUMBER(SEARCH('Bad Patterns'!$A$2:$A$120,B4575)),0),0)),""))</f>
        <v/>
      </c>
      <c r="D4575">
        <f>IF(B4575="","",IF(C4575&lt;&gt;"","REMOVE","KEEP"))</f>
        <v/>
      </c>
      <c r="E4575">
        <f>IF(D4575&lt;&gt;"KEEP","",IF(RIGHT(B4575,10)="@gmail.com","Gmail",IF(OR(RIGHT(B4575,12)="@outlook.com",RIGHT(B4575,12)="@hotmail.com",RIGHT(B4575,9)="@live.com"),"Outlook","Domain")))</f>
        <v/>
      </c>
      <c r="F4575">
        <f>IF(B4575="","",IFERROR(RIGHT(B4575,LEN(B4575)-FIND("@",B4575)),""))</f>
        <v/>
      </c>
      <c r="G4575">
        <f>IF(D4575="KEEP",COUNTIF($D$2:D4575,"KEEP"),"")</f>
        <v/>
      </c>
      <c r="H4575">
        <f>IF(D4575="REMOVE",COUNTIF($D$2:D4575,"REMOVE"),"")</f>
        <v/>
      </c>
      <c r="I4575">
        <f>IF(E4575="Gmail",COUNTIF($E$2:E4575,"Gmail"),"")</f>
        <v/>
      </c>
      <c r="J4575">
        <f>IF(E4575="Outlook",COUNTIF($E$2:E4575,"Outlook"),"")</f>
        <v/>
      </c>
      <c r="K4575">
        <f>IF(E4575="Domain",COUNTIF($E$2:E4575,"Domain"),"")</f>
        <v/>
      </c>
    </row>
    <row r="4576">
      <c r="A4576" s="2" t="n"/>
      <c r="B4576">
        <f>LOWER(TRIM(A4576))</f>
        <v/>
      </c>
      <c r="C4576">
        <f>IF(B4576="","",IFERROR(INDEX('Bad Patterns'!$A$2:$A$120,MATCH(1,INDEX(--ISNUMBER(SEARCH('Bad Patterns'!$A$2:$A$120,B4576)),0),0)),""))</f>
        <v/>
      </c>
      <c r="D4576">
        <f>IF(B4576="","",IF(C4576&lt;&gt;"","REMOVE","KEEP"))</f>
        <v/>
      </c>
      <c r="E4576">
        <f>IF(D4576&lt;&gt;"KEEP","",IF(RIGHT(B4576,10)="@gmail.com","Gmail",IF(OR(RIGHT(B4576,12)="@outlook.com",RIGHT(B4576,12)="@hotmail.com",RIGHT(B4576,9)="@live.com"),"Outlook","Domain")))</f>
        <v/>
      </c>
      <c r="F4576">
        <f>IF(B4576="","",IFERROR(RIGHT(B4576,LEN(B4576)-FIND("@",B4576)),""))</f>
        <v/>
      </c>
      <c r="G4576">
        <f>IF(D4576="KEEP",COUNTIF($D$2:D4576,"KEEP"),"")</f>
        <v/>
      </c>
      <c r="H4576">
        <f>IF(D4576="REMOVE",COUNTIF($D$2:D4576,"REMOVE"),"")</f>
        <v/>
      </c>
      <c r="I4576">
        <f>IF(E4576="Gmail",COUNTIF($E$2:E4576,"Gmail"),"")</f>
        <v/>
      </c>
      <c r="J4576">
        <f>IF(E4576="Outlook",COUNTIF($E$2:E4576,"Outlook"),"")</f>
        <v/>
      </c>
      <c r="K4576">
        <f>IF(E4576="Domain",COUNTIF($E$2:E4576,"Domain"),"")</f>
        <v/>
      </c>
    </row>
    <row r="4577">
      <c r="A4577" s="2" t="n"/>
      <c r="B4577">
        <f>LOWER(TRIM(A4577))</f>
        <v/>
      </c>
      <c r="C4577">
        <f>IF(B4577="","",IFERROR(INDEX('Bad Patterns'!$A$2:$A$120,MATCH(1,INDEX(--ISNUMBER(SEARCH('Bad Patterns'!$A$2:$A$120,B4577)),0),0)),""))</f>
        <v/>
      </c>
      <c r="D4577">
        <f>IF(B4577="","",IF(C4577&lt;&gt;"","REMOVE","KEEP"))</f>
        <v/>
      </c>
      <c r="E4577">
        <f>IF(D4577&lt;&gt;"KEEP","",IF(RIGHT(B4577,10)="@gmail.com","Gmail",IF(OR(RIGHT(B4577,12)="@outlook.com",RIGHT(B4577,12)="@hotmail.com",RIGHT(B4577,9)="@live.com"),"Outlook","Domain")))</f>
        <v/>
      </c>
      <c r="F4577">
        <f>IF(B4577="","",IFERROR(RIGHT(B4577,LEN(B4577)-FIND("@",B4577)),""))</f>
        <v/>
      </c>
      <c r="G4577">
        <f>IF(D4577="KEEP",COUNTIF($D$2:D4577,"KEEP"),"")</f>
        <v/>
      </c>
      <c r="H4577">
        <f>IF(D4577="REMOVE",COUNTIF($D$2:D4577,"REMOVE"),"")</f>
        <v/>
      </c>
      <c r="I4577">
        <f>IF(E4577="Gmail",COUNTIF($E$2:E4577,"Gmail"),"")</f>
        <v/>
      </c>
      <c r="J4577">
        <f>IF(E4577="Outlook",COUNTIF($E$2:E4577,"Outlook"),"")</f>
        <v/>
      </c>
      <c r="K4577">
        <f>IF(E4577="Domain",COUNTIF($E$2:E4577,"Domain"),"")</f>
        <v/>
      </c>
    </row>
    <row r="4578">
      <c r="A4578" s="2" t="n"/>
      <c r="B4578">
        <f>LOWER(TRIM(A4578))</f>
        <v/>
      </c>
      <c r="C4578">
        <f>IF(B4578="","",IFERROR(INDEX('Bad Patterns'!$A$2:$A$120,MATCH(1,INDEX(--ISNUMBER(SEARCH('Bad Patterns'!$A$2:$A$120,B4578)),0),0)),""))</f>
        <v/>
      </c>
      <c r="D4578">
        <f>IF(B4578="","",IF(C4578&lt;&gt;"","REMOVE","KEEP"))</f>
        <v/>
      </c>
      <c r="E4578">
        <f>IF(D4578&lt;&gt;"KEEP","",IF(RIGHT(B4578,10)="@gmail.com","Gmail",IF(OR(RIGHT(B4578,12)="@outlook.com",RIGHT(B4578,12)="@hotmail.com",RIGHT(B4578,9)="@live.com"),"Outlook","Domain")))</f>
        <v/>
      </c>
      <c r="F4578">
        <f>IF(B4578="","",IFERROR(RIGHT(B4578,LEN(B4578)-FIND("@",B4578)),""))</f>
        <v/>
      </c>
      <c r="G4578">
        <f>IF(D4578="KEEP",COUNTIF($D$2:D4578,"KEEP"),"")</f>
        <v/>
      </c>
      <c r="H4578">
        <f>IF(D4578="REMOVE",COUNTIF($D$2:D4578,"REMOVE"),"")</f>
        <v/>
      </c>
      <c r="I4578">
        <f>IF(E4578="Gmail",COUNTIF($E$2:E4578,"Gmail"),"")</f>
        <v/>
      </c>
      <c r="J4578">
        <f>IF(E4578="Outlook",COUNTIF($E$2:E4578,"Outlook"),"")</f>
        <v/>
      </c>
      <c r="K4578">
        <f>IF(E4578="Domain",COUNTIF($E$2:E4578,"Domain"),"")</f>
        <v/>
      </c>
    </row>
    <row r="4579">
      <c r="A4579" s="2" t="n"/>
      <c r="B4579">
        <f>LOWER(TRIM(A4579))</f>
        <v/>
      </c>
      <c r="C4579">
        <f>IF(B4579="","",IFERROR(INDEX('Bad Patterns'!$A$2:$A$120,MATCH(1,INDEX(--ISNUMBER(SEARCH('Bad Patterns'!$A$2:$A$120,B4579)),0),0)),""))</f>
        <v/>
      </c>
      <c r="D4579">
        <f>IF(B4579="","",IF(C4579&lt;&gt;"","REMOVE","KEEP"))</f>
        <v/>
      </c>
      <c r="E4579">
        <f>IF(D4579&lt;&gt;"KEEP","",IF(RIGHT(B4579,10)="@gmail.com","Gmail",IF(OR(RIGHT(B4579,12)="@outlook.com",RIGHT(B4579,12)="@hotmail.com",RIGHT(B4579,9)="@live.com"),"Outlook","Domain")))</f>
        <v/>
      </c>
      <c r="F4579">
        <f>IF(B4579="","",IFERROR(RIGHT(B4579,LEN(B4579)-FIND("@",B4579)),""))</f>
        <v/>
      </c>
      <c r="G4579">
        <f>IF(D4579="KEEP",COUNTIF($D$2:D4579,"KEEP"),"")</f>
        <v/>
      </c>
      <c r="H4579">
        <f>IF(D4579="REMOVE",COUNTIF($D$2:D4579,"REMOVE"),"")</f>
        <v/>
      </c>
      <c r="I4579">
        <f>IF(E4579="Gmail",COUNTIF($E$2:E4579,"Gmail"),"")</f>
        <v/>
      </c>
      <c r="J4579">
        <f>IF(E4579="Outlook",COUNTIF($E$2:E4579,"Outlook"),"")</f>
        <v/>
      </c>
      <c r="K4579">
        <f>IF(E4579="Domain",COUNTIF($E$2:E4579,"Domain"),"")</f>
        <v/>
      </c>
    </row>
    <row r="4580">
      <c r="A4580" s="2" t="n"/>
      <c r="B4580">
        <f>LOWER(TRIM(A4580))</f>
        <v/>
      </c>
      <c r="C4580">
        <f>IF(B4580="","",IFERROR(INDEX('Bad Patterns'!$A$2:$A$120,MATCH(1,INDEX(--ISNUMBER(SEARCH('Bad Patterns'!$A$2:$A$120,B4580)),0),0)),""))</f>
        <v/>
      </c>
      <c r="D4580">
        <f>IF(B4580="","",IF(C4580&lt;&gt;"","REMOVE","KEEP"))</f>
        <v/>
      </c>
      <c r="E4580">
        <f>IF(D4580&lt;&gt;"KEEP","",IF(RIGHT(B4580,10)="@gmail.com","Gmail",IF(OR(RIGHT(B4580,12)="@outlook.com",RIGHT(B4580,12)="@hotmail.com",RIGHT(B4580,9)="@live.com"),"Outlook","Domain")))</f>
        <v/>
      </c>
      <c r="F4580">
        <f>IF(B4580="","",IFERROR(RIGHT(B4580,LEN(B4580)-FIND("@",B4580)),""))</f>
        <v/>
      </c>
      <c r="G4580">
        <f>IF(D4580="KEEP",COUNTIF($D$2:D4580,"KEEP"),"")</f>
        <v/>
      </c>
      <c r="H4580">
        <f>IF(D4580="REMOVE",COUNTIF($D$2:D4580,"REMOVE"),"")</f>
        <v/>
      </c>
      <c r="I4580">
        <f>IF(E4580="Gmail",COUNTIF($E$2:E4580,"Gmail"),"")</f>
        <v/>
      </c>
      <c r="J4580">
        <f>IF(E4580="Outlook",COUNTIF($E$2:E4580,"Outlook"),"")</f>
        <v/>
      </c>
      <c r="K4580">
        <f>IF(E4580="Domain",COUNTIF($E$2:E4580,"Domain"),"")</f>
        <v/>
      </c>
    </row>
    <row r="4581">
      <c r="A4581" s="2" t="n"/>
      <c r="B4581">
        <f>LOWER(TRIM(A4581))</f>
        <v/>
      </c>
      <c r="C4581">
        <f>IF(B4581="","",IFERROR(INDEX('Bad Patterns'!$A$2:$A$120,MATCH(1,INDEX(--ISNUMBER(SEARCH('Bad Patterns'!$A$2:$A$120,B4581)),0),0)),""))</f>
        <v/>
      </c>
      <c r="D4581">
        <f>IF(B4581="","",IF(C4581&lt;&gt;"","REMOVE","KEEP"))</f>
        <v/>
      </c>
      <c r="E4581">
        <f>IF(D4581&lt;&gt;"KEEP","",IF(RIGHT(B4581,10)="@gmail.com","Gmail",IF(OR(RIGHT(B4581,12)="@outlook.com",RIGHT(B4581,12)="@hotmail.com",RIGHT(B4581,9)="@live.com"),"Outlook","Domain")))</f>
        <v/>
      </c>
      <c r="F4581">
        <f>IF(B4581="","",IFERROR(RIGHT(B4581,LEN(B4581)-FIND("@",B4581)),""))</f>
        <v/>
      </c>
      <c r="G4581">
        <f>IF(D4581="KEEP",COUNTIF($D$2:D4581,"KEEP"),"")</f>
        <v/>
      </c>
      <c r="H4581">
        <f>IF(D4581="REMOVE",COUNTIF($D$2:D4581,"REMOVE"),"")</f>
        <v/>
      </c>
      <c r="I4581">
        <f>IF(E4581="Gmail",COUNTIF($E$2:E4581,"Gmail"),"")</f>
        <v/>
      </c>
      <c r="J4581">
        <f>IF(E4581="Outlook",COUNTIF($E$2:E4581,"Outlook"),"")</f>
        <v/>
      </c>
      <c r="K4581">
        <f>IF(E4581="Domain",COUNTIF($E$2:E4581,"Domain"),"")</f>
        <v/>
      </c>
    </row>
    <row r="4582">
      <c r="A4582" s="2" t="n"/>
      <c r="B4582">
        <f>LOWER(TRIM(A4582))</f>
        <v/>
      </c>
      <c r="C4582">
        <f>IF(B4582="","",IFERROR(INDEX('Bad Patterns'!$A$2:$A$120,MATCH(1,INDEX(--ISNUMBER(SEARCH('Bad Patterns'!$A$2:$A$120,B4582)),0),0)),""))</f>
        <v/>
      </c>
      <c r="D4582">
        <f>IF(B4582="","",IF(C4582&lt;&gt;"","REMOVE","KEEP"))</f>
        <v/>
      </c>
      <c r="E4582">
        <f>IF(D4582&lt;&gt;"KEEP","",IF(RIGHT(B4582,10)="@gmail.com","Gmail",IF(OR(RIGHT(B4582,12)="@outlook.com",RIGHT(B4582,12)="@hotmail.com",RIGHT(B4582,9)="@live.com"),"Outlook","Domain")))</f>
        <v/>
      </c>
      <c r="F4582">
        <f>IF(B4582="","",IFERROR(RIGHT(B4582,LEN(B4582)-FIND("@",B4582)),""))</f>
        <v/>
      </c>
      <c r="G4582">
        <f>IF(D4582="KEEP",COUNTIF($D$2:D4582,"KEEP"),"")</f>
        <v/>
      </c>
      <c r="H4582">
        <f>IF(D4582="REMOVE",COUNTIF($D$2:D4582,"REMOVE"),"")</f>
        <v/>
      </c>
      <c r="I4582">
        <f>IF(E4582="Gmail",COUNTIF($E$2:E4582,"Gmail"),"")</f>
        <v/>
      </c>
      <c r="J4582">
        <f>IF(E4582="Outlook",COUNTIF($E$2:E4582,"Outlook"),"")</f>
        <v/>
      </c>
      <c r="K4582">
        <f>IF(E4582="Domain",COUNTIF($E$2:E4582,"Domain"),"")</f>
        <v/>
      </c>
    </row>
    <row r="4583">
      <c r="A4583" s="2" t="n"/>
      <c r="B4583">
        <f>LOWER(TRIM(A4583))</f>
        <v/>
      </c>
      <c r="C4583">
        <f>IF(B4583="","",IFERROR(INDEX('Bad Patterns'!$A$2:$A$120,MATCH(1,INDEX(--ISNUMBER(SEARCH('Bad Patterns'!$A$2:$A$120,B4583)),0),0)),""))</f>
        <v/>
      </c>
      <c r="D4583">
        <f>IF(B4583="","",IF(C4583&lt;&gt;"","REMOVE","KEEP"))</f>
        <v/>
      </c>
      <c r="E4583">
        <f>IF(D4583&lt;&gt;"KEEP","",IF(RIGHT(B4583,10)="@gmail.com","Gmail",IF(OR(RIGHT(B4583,12)="@outlook.com",RIGHT(B4583,12)="@hotmail.com",RIGHT(B4583,9)="@live.com"),"Outlook","Domain")))</f>
        <v/>
      </c>
      <c r="F4583">
        <f>IF(B4583="","",IFERROR(RIGHT(B4583,LEN(B4583)-FIND("@",B4583)),""))</f>
        <v/>
      </c>
      <c r="G4583">
        <f>IF(D4583="KEEP",COUNTIF($D$2:D4583,"KEEP"),"")</f>
        <v/>
      </c>
      <c r="H4583">
        <f>IF(D4583="REMOVE",COUNTIF($D$2:D4583,"REMOVE"),"")</f>
        <v/>
      </c>
      <c r="I4583">
        <f>IF(E4583="Gmail",COUNTIF($E$2:E4583,"Gmail"),"")</f>
        <v/>
      </c>
      <c r="J4583">
        <f>IF(E4583="Outlook",COUNTIF($E$2:E4583,"Outlook"),"")</f>
        <v/>
      </c>
      <c r="K4583">
        <f>IF(E4583="Domain",COUNTIF($E$2:E4583,"Domain"),"")</f>
        <v/>
      </c>
    </row>
    <row r="4584">
      <c r="A4584" s="2" t="n"/>
      <c r="B4584">
        <f>LOWER(TRIM(A4584))</f>
        <v/>
      </c>
      <c r="C4584">
        <f>IF(B4584="","",IFERROR(INDEX('Bad Patterns'!$A$2:$A$120,MATCH(1,INDEX(--ISNUMBER(SEARCH('Bad Patterns'!$A$2:$A$120,B4584)),0),0)),""))</f>
        <v/>
      </c>
      <c r="D4584">
        <f>IF(B4584="","",IF(C4584&lt;&gt;"","REMOVE","KEEP"))</f>
        <v/>
      </c>
      <c r="E4584">
        <f>IF(D4584&lt;&gt;"KEEP","",IF(RIGHT(B4584,10)="@gmail.com","Gmail",IF(OR(RIGHT(B4584,12)="@outlook.com",RIGHT(B4584,12)="@hotmail.com",RIGHT(B4584,9)="@live.com"),"Outlook","Domain")))</f>
        <v/>
      </c>
      <c r="F4584">
        <f>IF(B4584="","",IFERROR(RIGHT(B4584,LEN(B4584)-FIND("@",B4584)),""))</f>
        <v/>
      </c>
      <c r="G4584">
        <f>IF(D4584="KEEP",COUNTIF($D$2:D4584,"KEEP"),"")</f>
        <v/>
      </c>
      <c r="H4584">
        <f>IF(D4584="REMOVE",COUNTIF($D$2:D4584,"REMOVE"),"")</f>
        <v/>
      </c>
      <c r="I4584">
        <f>IF(E4584="Gmail",COUNTIF($E$2:E4584,"Gmail"),"")</f>
        <v/>
      </c>
      <c r="J4584">
        <f>IF(E4584="Outlook",COUNTIF($E$2:E4584,"Outlook"),"")</f>
        <v/>
      </c>
      <c r="K4584">
        <f>IF(E4584="Domain",COUNTIF($E$2:E4584,"Domain"),"")</f>
        <v/>
      </c>
    </row>
    <row r="4585">
      <c r="A4585" s="2" t="n"/>
      <c r="B4585">
        <f>LOWER(TRIM(A4585))</f>
        <v/>
      </c>
      <c r="C4585">
        <f>IF(B4585="","",IFERROR(INDEX('Bad Patterns'!$A$2:$A$120,MATCH(1,INDEX(--ISNUMBER(SEARCH('Bad Patterns'!$A$2:$A$120,B4585)),0),0)),""))</f>
        <v/>
      </c>
      <c r="D4585">
        <f>IF(B4585="","",IF(C4585&lt;&gt;"","REMOVE","KEEP"))</f>
        <v/>
      </c>
      <c r="E4585">
        <f>IF(D4585&lt;&gt;"KEEP","",IF(RIGHT(B4585,10)="@gmail.com","Gmail",IF(OR(RIGHT(B4585,12)="@outlook.com",RIGHT(B4585,12)="@hotmail.com",RIGHT(B4585,9)="@live.com"),"Outlook","Domain")))</f>
        <v/>
      </c>
      <c r="F4585">
        <f>IF(B4585="","",IFERROR(RIGHT(B4585,LEN(B4585)-FIND("@",B4585)),""))</f>
        <v/>
      </c>
      <c r="G4585">
        <f>IF(D4585="KEEP",COUNTIF($D$2:D4585,"KEEP"),"")</f>
        <v/>
      </c>
      <c r="H4585">
        <f>IF(D4585="REMOVE",COUNTIF($D$2:D4585,"REMOVE"),"")</f>
        <v/>
      </c>
      <c r="I4585">
        <f>IF(E4585="Gmail",COUNTIF($E$2:E4585,"Gmail"),"")</f>
        <v/>
      </c>
      <c r="J4585">
        <f>IF(E4585="Outlook",COUNTIF($E$2:E4585,"Outlook"),"")</f>
        <v/>
      </c>
      <c r="K4585">
        <f>IF(E4585="Domain",COUNTIF($E$2:E4585,"Domain"),"")</f>
        <v/>
      </c>
    </row>
    <row r="4586">
      <c r="A4586" s="2" t="n"/>
      <c r="B4586">
        <f>LOWER(TRIM(A4586))</f>
        <v/>
      </c>
      <c r="C4586">
        <f>IF(B4586="","",IFERROR(INDEX('Bad Patterns'!$A$2:$A$120,MATCH(1,INDEX(--ISNUMBER(SEARCH('Bad Patterns'!$A$2:$A$120,B4586)),0),0)),""))</f>
        <v/>
      </c>
      <c r="D4586">
        <f>IF(B4586="","",IF(C4586&lt;&gt;"","REMOVE","KEEP"))</f>
        <v/>
      </c>
      <c r="E4586">
        <f>IF(D4586&lt;&gt;"KEEP","",IF(RIGHT(B4586,10)="@gmail.com","Gmail",IF(OR(RIGHT(B4586,12)="@outlook.com",RIGHT(B4586,12)="@hotmail.com",RIGHT(B4586,9)="@live.com"),"Outlook","Domain")))</f>
        <v/>
      </c>
      <c r="F4586">
        <f>IF(B4586="","",IFERROR(RIGHT(B4586,LEN(B4586)-FIND("@",B4586)),""))</f>
        <v/>
      </c>
      <c r="G4586">
        <f>IF(D4586="KEEP",COUNTIF($D$2:D4586,"KEEP"),"")</f>
        <v/>
      </c>
      <c r="H4586">
        <f>IF(D4586="REMOVE",COUNTIF($D$2:D4586,"REMOVE"),"")</f>
        <v/>
      </c>
      <c r="I4586">
        <f>IF(E4586="Gmail",COUNTIF($E$2:E4586,"Gmail"),"")</f>
        <v/>
      </c>
      <c r="J4586">
        <f>IF(E4586="Outlook",COUNTIF($E$2:E4586,"Outlook"),"")</f>
        <v/>
      </c>
      <c r="K4586">
        <f>IF(E4586="Domain",COUNTIF($E$2:E4586,"Domain"),"")</f>
        <v/>
      </c>
    </row>
    <row r="4587">
      <c r="A4587" s="2" t="n"/>
      <c r="B4587">
        <f>LOWER(TRIM(A4587))</f>
        <v/>
      </c>
      <c r="C4587">
        <f>IF(B4587="","",IFERROR(INDEX('Bad Patterns'!$A$2:$A$120,MATCH(1,INDEX(--ISNUMBER(SEARCH('Bad Patterns'!$A$2:$A$120,B4587)),0),0)),""))</f>
        <v/>
      </c>
      <c r="D4587">
        <f>IF(B4587="","",IF(C4587&lt;&gt;"","REMOVE","KEEP"))</f>
        <v/>
      </c>
      <c r="E4587">
        <f>IF(D4587&lt;&gt;"KEEP","",IF(RIGHT(B4587,10)="@gmail.com","Gmail",IF(OR(RIGHT(B4587,12)="@outlook.com",RIGHT(B4587,12)="@hotmail.com",RIGHT(B4587,9)="@live.com"),"Outlook","Domain")))</f>
        <v/>
      </c>
      <c r="F4587">
        <f>IF(B4587="","",IFERROR(RIGHT(B4587,LEN(B4587)-FIND("@",B4587)),""))</f>
        <v/>
      </c>
      <c r="G4587">
        <f>IF(D4587="KEEP",COUNTIF($D$2:D4587,"KEEP"),"")</f>
        <v/>
      </c>
      <c r="H4587">
        <f>IF(D4587="REMOVE",COUNTIF($D$2:D4587,"REMOVE"),"")</f>
        <v/>
      </c>
      <c r="I4587">
        <f>IF(E4587="Gmail",COUNTIF($E$2:E4587,"Gmail"),"")</f>
        <v/>
      </c>
      <c r="J4587">
        <f>IF(E4587="Outlook",COUNTIF($E$2:E4587,"Outlook"),"")</f>
        <v/>
      </c>
      <c r="K4587">
        <f>IF(E4587="Domain",COUNTIF($E$2:E4587,"Domain"),"")</f>
        <v/>
      </c>
    </row>
    <row r="4588">
      <c r="A4588" s="2" t="n"/>
      <c r="B4588">
        <f>LOWER(TRIM(A4588))</f>
        <v/>
      </c>
      <c r="C4588">
        <f>IF(B4588="","",IFERROR(INDEX('Bad Patterns'!$A$2:$A$120,MATCH(1,INDEX(--ISNUMBER(SEARCH('Bad Patterns'!$A$2:$A$120,B4588)),0),0)),""))</f>
        <v/>
      </c>
      <c r="D4588">
        <f>IF(B4588="","",IF(C4588&lt;&gt;"","REMOVE","KEEP"))</f>
        <v/>
      </c>
      <c r="E4588">
        <f>IF(D4588&lt;&gt;"KEEP","",IF(RIGHT(B4588,10)="@gmail.com","Gmail",IF(OR(RIGHT(B4588,12)="@outlook.com",RIGHT(B4588,12)="@hotmail.com",RIGHT(B4588,9)="@live.com"),"Outlook","Domain")))</f>
        <v/>
      </c>
      <c r="F4588">
        <f>IF(B4588="","",IFERROR(RIGHT(B4588,LEN(B4588)-FIND("@",B4588)),""))</f>
        <v/>
      </c>
      <c r="G4588">
        <f>IF(D4588="KEEP",COUNTIF($D$2:D4588,"KEEP"),"")</f>
        <v/>
      </c>
      <c r="H4588">
        <f>IF(D4588="REMOVE",COUNTIF($D$2:D4588,"REMOVE"),"")</f>
        <v/>
      </c>
      <c r="I4588">
        <f>IF(E4588="Gmail",COUNTIF($E$2:E4588,"Gmail"),"")</f>
        <v/>
      </c>
      <c r="J4588">
        <f>IF(E4588="Outlook",COUNTIF($E$2:E4588,"Outlook"),"")</f>
        <v/>
      </c>
      <c r="K4588">
        <f>IF(E4588="Domain",COUNTIF($E$2:E4588,"Domain"),"")</f>
        <v/>
      </c>
    </row>
    <row r="4589">
      <c r="A4589" s="2" t="n"/>
      <c r="B4589">
        <f>LOWER(TRIM(A4589))</f>
        <v/>
      </c>
      <c r="C4589">
        <f>IF(B4589="","",IFERROR(INDEX('Bad Patterns'!$A$2:$A$120,MATCH(1,INDEX(--ISNUMBER(SEARCH('Bad Patterns'!$A$2:$A$120,B4589)),0),0)),""))</f>
        <v/>
      </c>
      <c r="D4589">
        <f>IF(B4589="","",IF(C4589&lt;&gt;"","REMOVE","KEEP"))</f>
        <v/>
      </c>
      <c r="E4589">
        <f>IF(D4589&lt;&gt;"KEEP","",IF(RIGHT(B4589,10)="@gmail.com","Gmail",IF(OR(RIGHT(B4589,12)="@outlook.com",RIGHT(B4589,12)="@hotmail.com",RIGHT(B4589,9)="@live.com"),"Outlook","Domain")))</f>
        <v/>
      </c>
      <c r="F4589">
        <f>IF(B4589="","",IFERROR(RIGHT(B4589,LEN(B4589)-FIND("@",B4589)),""))</f>
        <v/>
      </c>
      <c r="G4589">
        <f>IF(D4589="KEEP",COUNTIF($D$2:D4589,"KEEP"),"")</f>
        <v/>
      </c>
      <c r="H4589">
        <f>IF(D4589="REMOVE",COUNTIF($D$2:D4589,"REMOVE"),"")</f>
        <v/>
      </c>
      <c r="I4589">
        <f>IF(E4589="Gmail",COUNTIF($E$2:E4589,"Gmail"),"")</f>
        <v/>
      </c>
      <c r="J4589">
        <f>IF(E4589="Outlook",COUNTIF($E$2:E4589,"Outlook"),"")</f>
        <v/>
      </c>
      <c r="K4589">
        <f>IF(E4589="Domain",COUNTIF($E$2:E4589,"Domain"),"")</f>
        <v/>
      </c>
    </row>
    <row r="4590">
      <c r="A4590" s="2" t="n"/>
      <c r="B4590">
        <f>LOWER(TRIM(A4590))</f>
        <v/>
      </c>
      <c r="C4590">
        <f>IF(B4590="","",IFERROR(INDEX('Bad Patterns'!$A$2:$A$120,MATCH(1,INDEX(--ISNUMBER(SEARCH('Bad Patterns'!$A$2:$A$120,B4590)),0),0)),""))</f>
        <v/>
      </c>
      <c r="D4590">
        <f>IF(B4590="","",IF(C4590&lt;&gt;"","REMOVE","KEEP"))</f>
        <v/>
      </c>
      <c r="E4590">
        <f>IF(D4590&lt;&gt;"KEEP","",IF(RIGHT(B4590,10)="@gmail.com","Gmail",IF(OR(RIGHT(B4590,12)="@outlook.com",RIGHT(B4590,12)="@hotmail.com",RIGHT(B4590,9)="@live.com"),"Outlook","Domain")))</f>
        <v/>
      </c>
      <c r="F4590">
        <f>IF(B4590="","",IFERROR(RIGHT(B4590,LEN(B4590)-FIND("@",B4590)),""))</f>
        <v/>
      </c>
      <c r="G4590">
        <f>IF(D4590="KEEP",COUNTIF($D$2:D4590,"KEEP"),"")</f>
        <v/>
      </c>
      <c r="H4590">
        <f>IF(D4590="REMOVE",COUNTIF($D$2:D4590,"REMOVE"),"")</f>
        <v/>
      </c>
      <c r="I4590">
        <f>IF(E4590="Gmail",COUNTIF($E$2:E4590,"Gmail"),"")</f>
        <v/>
      </c>
      <c r="J4590">
        <f>IF(E4590="Outlook",COUNTIF($E$2:E4590,"Outlook"),"")</f>
        <v/>
      </c>
      <c r="K4590">
        <f>IF(E4590="Domain",COUNTIF($E$2:E4590,"Domain"),"")</f>
        <v/>
      </c>
    </row>
    <row r="4591">
      <c r="A4591" s="2" t="n"/>
      <c r="B4591">
        <f>LOWER(TRIM(A4591))</f>
        <v/>
      </c>
      <c r="C4591">
        <f>IF(B4591="","",IFERROR(INDEX('Bad Patterns'!$A$2:$A$120,MATCH(1,INDEX(--ISNUMBER(SEARCH('Bad Patterns'!$A$2:$A$120,B4591)),0),0)),""))</f>
        <v/>
      </c>
      <c r="D4591">
        <f>IF(B4591="","",IF(C4591&lt;&gt;"","REMOVE","KEEP"))</f>
        <v/>
      </c>
      <c r="E4591">
        <f>IF(D4591&lt;&gt;"KEEP","",IF(RIGHT(B4591,10)="@gmail.com","Gmail",IF(OR(RIGHT(B4591,12)="@outlook.com",RIGHT(B4591,12)="@hotmail.com",RIGHT(B4591,9)="@live.com"),"Outlook","Domain")))</f>
        <v/>
      </c>
      <c r="F4591">
        <f>IF(B4591="","",IFERROR(RIGHT(B4591,LEN(B4591)-FIND("@",B4591)),""))</f>
        <v/>
      </c>
      <c r="G4591">
        <f>IF(D4591="KEEP",COUNTIF($D$2:D4591,"KEEP"),"")</f>
        <v/>
      </c>
      <c r="H4591">
        <f>IF(D4591="REMOVE",COUNTIF($D$2:D4591,"REMOVE"),"")</f>
        <v/>
      </c>
      <c r="I4591">
        <f>IF(E4591="Gmail",COUNTIF($E$2:E4591,"Gmail"),"")</f>
        <v/>
      </c>
      <c r="J4591">
        <f>IF(E4591="Outlook",COUNTIF($E$2:E4591,"Outlook"),"")</f>
        <v/>
      </c>
      <c r="K4591">
        <f>IF(E4591="Domain",COUNTIF($E$2:E4591,"Domain"),"")</f>
        <v/>
      </c>
    </row>
    <row r="4592">
      <c r="A4592" s="2" t="n"/>
      <c r="B4592">
        <f>LOWER(TRIM(A4592))</f>
        <v/>
      </c>
      <c r="C4592">
        <f>IF(B4592="","",IFERROR(INDEX('Bad Patterns'!$A$2:$A$120,MATCH(1,INDEX(--ISNUMBER(SEARCH('Bad Patterns'!$A$2:$A$120,B4592)),0),0)),""))</f>
        <v/>
      </c>
      <c r="D4592">
        <f>IF(B4592="","",IF(C4592&lt;&gt;"","REMOVE","KEEP"))</f>
        <v/>
      </c>
      <c r="E4592">
        <f>IF(D4592&lt;&gt;"KEEP","",IF(RIGHT(B4592,10)="@gmail.com","Gmail",IF(OR(RIGHT(B4592,12)="@outlook.com",RIGHT(B4592,12)="@hotmail.com",RIGHT(B4592,9)="@live.com"),"Outlook","Domain")))</f>
        <v/>
      </c>
      <c r="F4592">
        <f>IF(B4592="","",IFERROR(RIGHT(B4592,LEN(B4592)-FIND("@",B4592)),""))</f>
        <v/>
      </c>
      <c r="G4592">
        <f>IF(D4592="KEEP",COUNTIF($D$2:D4592,"KEEP"),"")</f>
        <v/>
      </c>
      <c r="H4592">
        <f>IF(D4592="REMOVE",COUNTIF($D$2:D4592,"REMOVE"),"")</f>
        <v/>
      </c>
      <c r="I4592">
        <f>IF(E4592="Gmail",COUNTIF($E$2:E4592,"Gmail"),"")</f>
        <v/>
      </c>
      <c r="J4592">
        <f>IF(E4592="Outlook",COUNTIF($E$2:E4592,"Outlook"),"")</f>
        <v/>
      </c>
      <c r="K4592">
        <f>IF(E4592="Domain",COUNTIF($E$2:E4592,"Domain"),"")</f>
        <v/>
      </c>
    </row>
    <row r="4593">
      <c r="A4593" s="2" t="n"/>
      <c r="B4593">
        <f>LOWER(TRIM(A4593))</f>
        <v/>
      </c>
      <c r="C4593">
        <f>IF(B4593="","",IFERROR(INDEX('Bad Patterns'!$A$2:$A$120,MATCH(1,INDEX(--ISNUMBER(SEARCH('Bad Patterns'!$A$2:$A$120,B4593)),0),0)),""))</f>
        <v/>
      </c>
      <c r="D4593">
        <f>IF(B4593="","",IF(C4593&lt;&gt;"","REMOVE","KEEP"))</f>
        <v/>
      </c>
      <c r="E4593">
        <f>IF(D4593&lt;&gt;"KEEP","",IF(RIGHT(B4593,10)="@gmail.com","Gmail",IF(OR(RIGHT(B4593,12)="@outlook.com",RIGHT(B4593,12)="@hotmail.com",RIGHT(B4593,9)="@live.com"),"Outlook","Domain")))</f>
        <v/>
      </c>
      <c r="F4593">
        <f>IF(B4593="","",IFERROR(RIGHT(B4593,LEN(B4593)-FIND("@",B4593)),""))</f>
        <v/>
      </c>
      <c r="G4593">
        <f>IF(D4593="KEEP",COUNTIF($D$2:D4593,"KEEP"),"")</f>
        <v/>
      </c>
      <c r="H4593">
        <f>IF(D4593="REMOVE",COUNTIF($D$2:D4593,"REMOVE"),"")</f>
        <v/>
      </c>
      <c r="I4593">
        <f>IF(E4593="Gmail",COUNTIF($E$2:E4593,"Gmail"),"")</f>
        <v/>
      </c>
      <c r="J4593">
        <f>IF(E4593="Outlook",COUNTIF($E$2:E4593,"Outlook"),"")</f>
        <v/>
      </c>
      <c r="K4593">
        <f>IF(E4593="Domain",COUNTIF($E$2:E4593,"Domain"),"")</f>
        <v/>
      </c>
    </row>
    <row r="4594">
      <c r="A4594" s="2" t="n"/>
      <c r="B4594">
        <f>LOWER(TRIM(A4594))</f>
        <v/>
      </c>
      <c r="C4594">
        <f>IF(B4594="","",IFERROR(INDEX('Bad Patterns'!$A$2:$A$120,MATCH(1,INDEX(--ISNUMBER(SEARCH('Bad Patterns'!$A$2:$A$120,B4594)),0),0)),""))</f>
        <v/>
      </c>
      <c r="D4594">
        <f>IF(B4594="","",IF(C4594&lt;&gt;"","REMOVE","KEEP"))</f>
        <v/>
      </c>
      <c r="E4594">
        <f>IF(D4594&lt;&gt;"KEEP","",IF(RIGHT(B4594,10)="@gmail.com","Gmail",IF(OR(RIGHT(B4594,12)="@outlook.com",RIGHT(B4594,12)="@hotmail.com",RIGHT(B4594,9)="@live.com"),"Outlook","Domain")))</f>
        <v/>
      </c>
      <c r="F4594">
        <f>IF(B4594="","",IFERROR(RIGHT(B4594,LEN(B4594)-FIND("@",B4594)),""))</f>
        <v/>
      </c>
      <c r="G4594">
        <f>IF(D4594="KEEP",COUNTIF($D$2:D4594,"KEEP"),"")</f>
        <v/>
      </c>
      <c r="H4594">
        <f>IF(D4594="REMOVE",COUNTIF($D$2:D4594,"REMOVE"),"")</f>
        <v/>
      </c>
      <c r="I4594">
        <f>IF(E4594="Gmail",COUNTIF($E$2:E4594,"Gmail"),"")</f>
        <v/>
      </c>
      <c r="J4594">
        <f>IF(E4594="Outlook",COUNTIF($E$2:E4594,"Outlook"),"")</f>
        <v/>
      </c>
      <c r="K4594">
        <f>IF(E4594="Domain",COUNTIF($E$2:E4594,"Domain"),"")</f>
        <v/>
      </c>
    </row>
    <row r="4595">
      <c r="A4595" s="2" t="n"/>
      <c r="B4595">
        <f>LOWER(TRIM(A4595))</f>
        <v/>
      </c>
      <c r="C4595">
        <f>IF(B4595="","",IFERROR(INDEX('Bad Patterns'!$A$2:$A$120,MATCH(1,INDEX(--ISNUMBER(SEARCH('Bad Patterns'!$A$2:$A$120,B4595)),0),0)),""))</f>
        <v/>
      </c>
      <c r="D4595">
        <f>IF(B4595="","",IF(C4595&lt;&gt;"","REMOVE","KEEP"))</f>
        <v/>
      </c>
      <c r="E4595">
        <f>IF(D4595&lt;&gt;"KEEP","",IF(RIGHT(B4595,10)="@gmail.com","Gmail",IF(OR(RIGHT(B4595,12)="@outlook.com",RIGHT(B4595,12)="@hotmail.com",RIGHT(B4595,9)="@live.com"),"Outlook","Domain")))</f>
        <v/>
      </c>
      <c r="F4595">
        <f>IF(B4595="","",IFERROR(RIGHT(B4595,LEN(B4595)-FIND("@",B4595)),""))</f>
        <v/>
      </c>
      <c r="G4595">
        <f>IF(D4595="KEEP",COUNTIF($D$2:D4595,"KEEP"),"")</f>
        <v/>
      </c>
      <c r="H4595">
        <f>IF(D4595="REMOVE",COUNTIF($D$2:D4595,"REMOVE"),"")</f>
        <v/>
      </c>
      <c r="I4595">
        <f>IF(E4595="Gmail",COUNTIF($E$2:E4595,"Gmail"),"")</f>
        <v/>
      </c>
      <c r="J4595">
        <f>IF(E4595="Outlook",COUNTIF($E$2:E4595,"Outlook"),"")</f>
        <v/>
      </c>
      <c r="K4595">
        <f>IF(E4595="Domain",COUNTIF($E$2:E4595,"Domain"),"")</f>
        <v/>
      </c>
    </row>
    <row r="4596">
      <c r="A4596" s="2" t="n"/>
      <c r="B4596">
        <f>LOWER(TRIM(A4596))</f>
        <v/>
      </c>
      <c r="C4596">
        <f>IF(B4596="","",IFERROR(INDEX('Bad Patterns'!$A$2:$A$120,MATCH(1,INDEX(--ISNUMBER(SEARCH('Bad Patterns'!$A$2:$A$120,B4596)),0),0)),""))</f>
        <v/>
      </c>
      <c r="D4596">
        <f>IF(B4596="","",IF(C4596&lt;&gt;"","REMOVE","KEEP"))</f>
        <v/>
      </c>
      <c r="E4596">
        <f>IF(D4596&lt;&gt;"KEEP","",IF(RIGHT(B4596,10)="@gmail.com","Gmail",IF(OR(RIGHT(B4596,12)="@outlook.com",RIGHT(B4596,12)="@hotmail.com",RIGHT(B4596,9)="@live.com"),"Outlook","Domain")))</f>
        <v/>
      </c>
      <c r="F4596">
        <f>IF(B4596="","",IFERROR(RIGHT(B4596,LEN(B4596)-FIND("@",B4596)),""))</f>
        <v/>
      </c>
      <c r="G4596">
        <f>IF(D4596="KEEP",COUNTIF($D$2:D4596,"KEEP"),"")</f>
        <v/>
      </c>
      <c r="H4596">
        <f>IF(D4596="REMOVE",COUNTIF($D$2:D4596,"REMOVE"),"")</f>
        <v/>
      </c>
      <c r="I4596">
        <f>IF(E4596="Gmail",COUNTIF($E$2:E4596,"Gmail"),"")</f>
        <v/>
      </c>
      <c r="J4596">
        <f>IF(E4596="Outlook",COUNTIF($E$2:E4596,"Outlook"),"")</f>
        <v/>
      </c>
      <c r="K4596">
        <f>IF(E4596="Domain",COUNTIF($E$2:E4596,"Domain"),"")</f>
        <v/>
      </c>
    </row>
    <row r="4597">
      <c r="A4597" s="2" t="n"/>
      <c r="B4597">
        <f>LOWER(TRIM(A4597))</f>
        <v/>
      </c>
      <c r="C4597">
        <f>IF(B4597="","",IFERROR(INDEX('Bad Patterns'!$A$2:$A$120,MATCH(1,INDEX(--ISNUMBER(SEARCH('Bad Patterns'!$A$2:$A$120,B4597)),0),0)),""))</f>
        <v/>
      </c>
      <c r="D4597">
        <f>IF(B4597="","",IF(C4597&lt;&gt;"","REMOVE","KEEP"))</f>
        <v/>
      </c>
      <c r="E4597">
        <f>IF(D4597&lt;&gt;"KEEP","",IF(RIGHT(B4597,10)="@gmail.com","Gmail",IF(OR(RIGHT(B4597,12)="@outlook.com",RIGHT(B4597,12)="@hotmail.com",RIGHT(B4597,9)="@live.com"),"Outlook","Domain")))</f>
        <v/>
      </c>
      <c r="F4597">
        <f>IF(B4597="","",IFERROR(RIGHT(B4597,LEN(B4597)-FIND("@",B4597)),""))</f>
        <v/>
      </c>
      <c r="G4597">
        <f>IF(D4597="KEEP",COUNTIF($D$2:D4597,"KEEP"),"")</f>
        <v/>
      </c>
      <c r="H4597">
        <f>IF(D4597="REMOVE",COUNTIF($D$2:D4597,"REMOVE"),"")</f>
        <v/>
      </c>
      <c r="I4597">
        <f>IF(E4597="Gmail",COUNTIF($E$2:E4597,"Gmail"),"")</f>
        <v/>
      </c>
      <c r="J4597">
        <f>IF(E4597="Outlook",COUNTIF($E$2:E4597,"Outlook"),"")</f>
        <v/>
      </c>
      <c r="K4597">
        <f>IF(E4597="Domain",COUNTIF($E$2:E4597,"Domain"),"")</f>
        <v/>
      </c>
    </row>
    <row r="4598">
      <c r="A4598" s="2" t="n"/>
      <c r="B4598">
        <f>LOWER(TRIM(A4598))</f>
        <v/>
      </c>
      <c r="C4598">
        <f>IF(B4598="","",IFERROR(INDEX('Bad Patterns'!$A$2:$A$120,MATCH(1,INDEX(--ISNUMBER(SEARCH('Bad Patterns'!$A$2:$A$120,B4598)),0),0)),""))</f>
        <v/>
      </c>
      <c r="D4598">
        <f>IF(B4598="","",IF(C4598&lt;&gt;"","REMOVE","KEEP"))</f>
        <v/>
      </c>
      <c r="E4598">
        <f>IF(D4598&lt;&gt;"KEEP","",IF(RIGHT(B4598,10)="@gmail.com","Gmail",IF(OR(RIGHT(B4598,12)="@outlook.com",RIGHT(B4598,12)="@hotmail.com",RIGHT(B4598,9)="@live.com"),"Outlook","Domain")))</f>
        <v/>
      </c>
      <c r="F4598">
        <f>IF(B4598="","",IFERROR(RIGHT(B4598,LEN(B4598)-FIND("@",B4598)),""))</f>
        <v/>
      </c>
      <c r="G4598">
        <f>IF(D4598="KEEP",COUNTIF($D$2:D4598,"KEEP"),"")</f>
        <v/>
      </c>
      <c r="H4598">
        <f>IF(D4598="REMOVE",COUNTIF($D$2:D4598,"REMOVE"),"")</f>
        <v/>
      </c>
      <c r="I4598">
        <f>IF(E4598="Gmail",COUNTIF($E$2:E4598,"Gmail"),"")</f>
        <v/>
      </c>
      <c r="J4598">
        <f>IF(E4598="Outlook",COUNTIF($E$2:E4598,"Outlook"),"")</f>
        <v/>
      </c>
      <c r="K4598">
        <f>IF(E4598="Domain",COUNTIF($E$2:E4598,"Domain"),"")</f>
        <v/>
      </c>
    </row>
    <row r="4599">
      <c r="A4599" s="2" t="n"/>
      <c r="B4599">
        <f>LOWER(TRIM(A4599))</f>
        <v/>
      </c>
      <c r="C4599">
        <f>IF(B4599="","",IFERROR(INDEX('Bad Patterns'!$A$2:$A$120,MATCH(1,INDEX(--ISNUMBER(SEARCH('Bad Patterns'!$A$2:$A$120,B4599)),0),0)),""))</f>
        <v/>
      </c>
      <c r="D4599">
        <f>IF(B4599="","",IF(C4599&lt;&gt;"","REMOVE","KEEP"))</f>
        <v/>
      </c>
      <c r="E4599">
        <f>IF(D4599&lt;&gt;"KEEP","",IF(RIGHT(B4599,10)="@gmail.com","Gmail",IF(OR(RIGHT(B4599,12)="@outlook.com",RIGHT(B4599,12)="@hotmail.com",RIGHT(B4599,9)="@live.com"),"Outlook","Domain")))</f>
        <v/>
      </c>
      <c r="F4599">
        <f>IF(B4599="","",IFERROR(RIGHT(B4599,LEN(B4599)-FIND("@",B4599)),""))</f>
        <v/>
      </c>
      <c r="G4599">
        <f>IF(D4599="KEEP",COUNTIF($D$2:D4599,"KEEP"),"")</f>
        <v/>
      </c>
      <c r="H4599">
        <f>IF(D4599="REMOVE",COUNTIF($D$2:D4599,"REMOVE"),"")</f>
        <v/>
      </c>
      <c r="I4599">
        <f>IF(E4599="Gmail",COUNTIF($E$2:E4599,"Gmail"),"")</f>
        <v/>
      </c>
      <c r="J4599">
        <f>IF(E4599="Outlook",COUNTIF($E$2:E4599,"Outlook"),"")</f>
        <v/>
      </c>
      <c r="K4599">
        <f>IF(E4599="Domain",COUNTIF($E$2:E4599,"Domain"),"")</f>
        <v/>
      </c>
    </row>
    <row r="4600">
      <c r="A4600" s="2" t="n"/>
      <c r="B4600">
        <f>LOWER(TRIM(A4600))</f>
        <v/>
      </c>
      <c r="C4600">
        <f>IF(B4600="","",IFERROR(INDEX('Bad Patterns'!$A$2:$A$120,MATCH(1,INDEX(--ISNUMBER(SEARCH('Bad Patterns'!$A$2:$A$120,B4600)),0),0)),""))</f>
        <v/>
      </c>
      <c r="D4600">
        <f>IF(B4600="","",IF(C4600&lt;&gt;"","REMOVE","KEEP"))</f>
        <v/>
      </c>
      <c r="E4600">
        <f>IF(D4600&lt;&gt;"KEEP","",IF(RIGHT(B4600,10)="@gmail.com","Gmail",IF(OR(RIGHT(B4600,12)="@outlook.com",RIGHT(B4600,12)="@hotmail.com",RIGHT(B4600,9)="@live.com"),"Outlook","Domain")))</f>
        <v/>
      </c>
      <c r="F4600">
        <f>IF(B4600="","",IFERROR(RIGHT(B4600,LEN(B4600)-FIND("@",B4600)),""))</f>
        <v/>
      </c>
      <c r="G4600">
        <f>IF(D4600="KEEP",COUNTIF($D$2:D4600,"KEEP"),"")</f>
        <v/>
      </c>
      <c r="H4600">
        <f>IF(D4600="REMOVE",COUNTIF($D$2:D4600,"REMOVE"),"")</f>
        <v/>
      </c>
      <c r="I4600">
        <f>IF(E4600="Gmail",COUNTIF($E$2:E4600,"Gmail"),"")</f>
        <v/>
      </c>
      <c r="J4600">
        <f>IF(E4600="Outlook",COUNTIF($E$2:E4600,"Outlook"),"")</f>
        <v/>
      </c>
      <c r="K4600">
        <f>IF(E4600="Domain",COUNTIF($E$2:E4600,"Domain"),"")</f>
        <v/>
      </c>
    </row>
    <row r="4601">
      <c r="A4601" s="2" t="n"/>
      <c r="B4601">
        <f>LOWER(TRIM(A4601))</f>
        <v/>
      </c>
      <c r="C4601">
        <f>IF(B4601="","",IFERROR(INDEX('Bad Patterns'!$A$2:$A$120,MATCH(1,INDEX(--ISNUMBER(SEARCH('Bad Patterns'!$A$2:$A$120,B4601)),0),0)),""))</f>
        <v/>
      </c>
      <c r="D4601">
        <f>IF(B4601="","",IF(C4601&lt;&gt;"","REMOVE","KEEP"))</f>
        <v/>
      </c>
      <c r="E4601">
        <f>IF(D4601&lt;&gt;"KEEP","",IF(RIGHT(B4601,10)="@gmail.com","Gmail",IF(OR(RIGHT(B4601,12)="@outlook.com",RIGHT(B4601,12)="@hotmail.com",RIGHT(B4601,9)="@live.com"),"Outlook","Domain")))</f>
        <v/>
      </c>
      <c r="F4601">
        <f>IF(B4601="","",IFERROR(RIGHT(B4601,LEN(B4601)-FIND("@",B4601)),""))</f>
        <v/>
      </c>
      <c r="G4601">
        <f>IF(D4601="KEEP",COUNTIF($D$2:D4601,"KEEP"),"")</f>
        <v/>
      </c>
      <c r="H4601">
        <f>IF(D4601="REMOVE",COUNTIF($D$2:D4601,"REMOVE"),"")</f>
        <v/>
      </c>
      <c r="I4601">
        <f>IF(E4601="Gmail",COUNTIF($E$2:E4601,"Gmail"),"")</f>
        <v/>
      </c>
      <c r="J4601">
        <f>IF(E4601="Outlook",COUNTIF($E$2:E4601,"Outlook"),"")</f>
        <v/>
      </c>
      <c r="K4601">
        <f>IF(E4601="Domain",COUNTIF($E$2:E4601,"Domain"),"")</f>
        <v/>
      </c>
    </row>
    <row r="4602">
      <c r="A4602" s="2" t="n"/>
      <c r="B4602">
        <f>LOWER(TRIM(A4602))</f>
        <v/>
      </c>
      <c r="C4602">
        <f>IF(B4602="","",IFERROR(INDEX('Bad Patterns'!$A$2:$A$120,MATCH(1,INDEX(--ISNUMBER(SEARCH('Bad Patterns'!$A$2:$A$120,B4602)),0),0)),""))</f>
        <v/>
      </c>
      <c r="D4602">
        <f>IF(B4602="","",IF(C4602&lt;&gt;"","REMOVE","KEEP"))</f>
        <v/>
      </c>
      <c r="E4602">
        <f>IF(D4602&lt;&gt;"KEEP","",IF(RIGHT(B4602,10)="@gmail.com","Gmail",IF(OR(RIGHT(B4602,12)="@outlook.com",RIGHT(B4602,12)="@hotmail.com",RIGHT(B4602,9)="@live.com"),"Outlook","Domain")))</f>
        <v/>
      </c>
      <c r="F4602">
        <f>IF(B4602="","",IFERROR(RIGHT(B4602,LEN(B4602)-FIND("@",B4602)),""))</f>
        <v/>
      </c>
      <c r="G4602">
        <f>IF(D4602="KEEP",COUNTIF($D$2:D4602,"KEEP"),"")</f>
        <v/>
      </c>
      <c r="H4602">
        <f>IF(D4602="REMOVE",COUNTIF($D$2:D4602,"REMOVE"),"")</f>
        <v/>
      </c>
      <c r="I4602">
        <f>IF(E4602="Gmail",COUNTIF($E$2:E4602,"Gmail"),"")</f>
        <v/>
      </c>
      <c r="J4602">
        <f>IF(E4602="Outlook",COUNTIF($E$2:E4602,"Outlook"),"")</f>
        <v/>
      </c>
      <c r="K4602">
        <f>IF(E4602="Domain",COUNTIF($E$2:E4602,"Domain"),"")</f>
        <v/>
      </c>
    </row>
    <row r="4603">
      <c r="A4603" s="2" t="n"/>
      <c r="B4603">
        <f>LOWER(TRIM(A4603))</f>
        <v/>
      </c>
      <c r="C4603">
        <f>IF(B4603="","",IFERROR(INDEX('Bad Patterns'!$A$2:$A$120,MATCH(1,INDEX(--ISNUMBER(SEARCH('Bad Patterns'!$A$2:$A$120,B4603)),0),0)),""))</f>
        <v/>
      </c>
      <c r="D4603">
        <f>IF(B4603="","",IF(C4603&lt;&gt;"","REMOVE","KEEP"))</f>
        <v/>
      </c>
      <c r="E4603">
        <f>IF(D4603&lt;&gt;"KEEP","",IF(RIGHT(B4603,10)="@gmail.com","Gmail",IF(OR(RIGHT(B4603,12)="@outlook.com",RIGHT(B4603,12)="@hotmail.com",RIGHT(B4603,9)="@live.com"),"Outlook","Domain")))</f>
        <v/>
      </c>
      <c r="F4603">
        <f>IF(B4603="","",IFERROR(RIGHT(B4603,LEN(B4603)-FIND("@",B4603)),""))</f>
        <v/>
      </c>
      <c r="G4603">
        <f>IF(D4603="KEEP",COUNTIF($D$2:D4603,"KEEP"),"")</f>
        <v/>
      </c>
      <c r="H4603">
        <f>IF(D4603="REMOVE",COUNTIF($D$2:D4603,"REMOVE"),"")</f>
        <v/>
      </c>
      <c r="I4603">
        <f>IF(E4603="Gmail",COUNTIF($E$2:E4603,"Gmail"),"")</f>
        <v/>
      </c>
      <c r="J4603">
        <f>IF(E4603="Outlook",COUNTIF($E$2:E4603,"Outlook"),"")</f>
        <v/>
      </c>
      <c r="K4603">
        <f>IF(E4603="Domain",COUNTIF($E$2:E4603,"Domain"),"")</f>
        <v/>
      </c>
    </row>
    <row r="4604">
      <c r="A4604" s="2" t="n"/>
      <c r="B4604">
        <f>LOWER(TRIM(A4604))</f>
        <v/>
      </c>
      <c r="C4604">
        <f>IF(B4604="","",IFERROR(INDEX('Bad Patterns'!$A$2:$A$120,MATCH(1,INDEX(--ISNUMBER(SEARCH('Bad Patterns'!$A$2:$A$120,B4604)),0),0)),""))</f>
        <v/>
      </c>
      <c r="D4604">
        <f>IF(B4604="","",IF(C4604&lt;&gt;"","REMOVE","KEEP"))</f>
        <v/>
      </c>
      <c r="E4604">
        <f>IF(D4604&lt;&gt;"KEEP","",IF(RIGHT(B4604,10)="@gmail.com","Gmail",IF(OR(RIGHT(B4604,12)="@outlook.com",RIGHT(B4604,12)="@hotmail.com",RIGHT(B4604,9)="@live.com"),"Outlook","Domain")))</f>
        <v/>
      </c>
      <c r="F4604">
        <f>IF(B4604="","",IFERROR(RIGHT(B4604,LEN(B4604)-FIND("@",B4604)),""))</f>
        <v/>
      </c>
      <c r="G4604">
        <f>IF(D4604="KEEP",COUNTIF($D$2:D4604,"KEEP"),"")</f>
        <v/>
      </c>
      <c r="H4604">
        <f>IF(D4604="REMOVE",COUNTIF($D$2:D4604,"REMOVE"),"")</f>
        <v/>
      </c>
      <c r="I4604">
        <f>IF(E4604="Gmail",COUNTIF($E$2:E4604,"Gmail"),"")</f>
        <v/>
      </c>
      <c r="J4604">
        <f>IF(E4604="Outlook",COUNTIF($E$2:E4604,"Outlook"),"")</f>
        <v/>
      </c>
      <c r="K4604">
        <f>IF(E4604="Domain",COUNTIF($E$2:E4604,"Domain"),"")</f>
        <v/>
      </c>
    </row>
    <row r="4605">
      <c r="A4605" s="2" t="n"/>
      <c r="B4605">
        <f>LOWER(TRIM(A4605))</f>
        <v/>
      </c>
      <c r="C4605">
        <f>IF(B4605="","",IFERROR(INDEX('Bad Patterns'!$A$2:$A$120,MATCH(1,INDEX(--ISNUMBER(SEARCH('Bad Patterns'!$A$2:$A$120,B4605)),0),0)),""))</f>
        <v/>
      </c>
      <c r="D4605">
        <f>IF(B4605="","",IF(C4605&lt;&gt;"","REMOVE","KEEP"))</f>
        <v/>
      </c>
      <c r="E4605">
        <f>IF(D4605&lt;&gt;"KEEP","",IF(RIGHT(B4605,10)="@gmail.com","Gmail",IF(OR(RIGHT(B4605,12)="@outlook.com",RIGHT(B4605,12)="@hotmail.com",RIGHT(B4605,9)="@live.com"),"Outlook","Domain")))</f>
        <v/>
      </c>
      <c r="F4605">
        <f>IF(B4605="","",IFERROR(RIGHT(B4605,LEN(B4605)-FIND("@",B4605)),""))</f>
        <v/>
      </c>
      <c r="G4605">
        <f>IF(D4605="KEEP",COUNTIF($D$2:D4605,"KEEP"),"")</f>
        <v/>
      </c>
      <c r="H4605">
        <f>IF(D4605="REMOVE",COUNTIF($D$2:D4605,"REMOVE"),"")</f>
        <v/>
      </c>
      <c r="I4605">
        <f>IF(E4605="Gmail",COUNTIF($E$2:E4605,"Gmail"),"")</f>
        <v/>
      </c>
      <c r="J4605">
        <f>IF(E4605="Outlook",COUNTIF($E$2:E4605,"Outlook"),"")</f>
        <v/>
      </c>
      <c r="K4605">
        <f>IF(E4605="Domain",COUNTIF($E$2:E4605,"Domain"),"")</f>
        <v/>
      </c>
    </row>
    <row r="4606">
      <c r="A4606" s="2" t="n"/>
      <c r="B4606">
        <f>LOWER(TRIM(A4606))</f>
        <v/>
      </c>
      <c r="C4606">
        <f>IF(B4606="","",IFERROR(INDEX('Bad Patterns'!$A$2:$A$120,MATCH(1,INDEX(--ISNUMBER(SEARCH('Bad Patterns'!$A$2:$A$120,B4606)),0),0)),""))</f>
        <v/>
      </c>
      <c r="D4606">
        <f>IF(B4606="","",IF(C4606&lt;&gt;"","REMOVE","KEEP"))</f>
        <v/>
      </c>
      <c r="E4606">
        <f>IF(D4606&lt;&gt;"KEEP","",IF(RIGHT(B4606,10)="@gmail.com","Gmail",IF(OR(RIGHT(B4606,12)="@outlook.com",RIGHT(B4606,12)="@hotmail.com",RIGHT(B4606,9)="@live.com"),"Outlook","Domain")))</f>
        <v/>
      </c>
      <c r="F4606">
        <f>IF(B4606="","",IFERROR(RIGHT(B4606,LEN(B4606)-FIND("@",B4606)),""))</f>
        <v/>
      </c>
      <c r="G4606">
        <f>IF(D4606="KEEP",COUNTIF($D$2:D4606,"KEEP"),"")</f>
        <v/>
      </c>
      <c r="H4606">
        <f>IF(D4606="REMOVE",COUNTIF($D$2:D4606,"REMOVE"),"")</f>
        <v/>
      </c>
      <c r="I4606">
        <f>IF(E4606="Gmail",COUNTIF($E$2:E4606,"Gmail"),"")</f>
        <v/>
      </c>
      <c r="J4606">
        <f>IF(E4606="Outlook",COUNTIF($E$2:E4606,"Outlook"),"")</f>
        <v/>
      </c>
      <c r="K4606">
        <f>IF(E4606="Domain",COUNTIF($E$2:E4606,"Domain"),"")</f>
        <v/>
      </c>
    </row>
    <row r="4607">
      <c r="A4607" s="2" t="n"/>
      <c r="B4607">
        <f>LOWER(TRIM(A4607))</f>
        <v/>
      </c>
      <c r="C4607">
        <f>IF(B4607="","",IFERROR(INDEX('Bad Patterns'!$A$2:$A$120,MATCH(1,INDEX(--ISNUMBER(SEARCH('Bad Patterns'!$A$2:$A$120,B4607)),0),0)),""))</f>
        <v/>
      </c>
      <c r="D4607">
        <f>IF(B4607="","",IF(C4607&lt;&gt;"","REMOVE","KEEP"))</f>
        <v/>
      </c>
      <c r="E4607">
        <f>IF(D4607&lt;&gt;"KEEP","",IF(RIGHT(B4607,10)="@gmail.com","Gmail",IF(OR(RIGHT(B4607,12)="@outlook.com",RIGHT(B4607,12)="@hotmail.com",RIGHT(B4607,9)="@live.com"),"Outlook","Domain")))</f>
        <v/>
      </c>
      <c r="F4607">
        <f>IF(B4607="","",IFERROR(RIGHT(B4607,LEN(B4607)-FIND("@",B4607)),""))</f>
        <v/>
      </c>
      <c r="G4607">
        <f>IF(D4607="KEEP",COUNTIF($D$2:D4607,"KEEP"),"")</f>
        <v/>
      </c>
      <c r="H4607">
        <f>IF(D4607="REMOVE",COUNTIF($D$2:D4607,"REMOVE"),"")</f>
        <v/>
      </c>
      <c r="I4607">
        <f>IF(E4607="Gmail",COUNTIF($E$2:E4607,"Gmail"),"")</f>
        <v/>
      </c>
      <c r="J4607">
        <f>IF(E4607="Outlook",COUNTIF($E$2:E4607,"Outlook"),"")</f>
        <v/>
      </c>
      <c r="K4607">
        <f>IF(E4607="Domain",COUNTIF($E$2:E4607,"Domain"),"")</f>
        <v/>
      </c>
    </row>
    <row r="4608">
      <c r="A4608" s="2" t="n"/>
      <c r="B4608">
        <f>LOWER(TRIM(A4608))</f>
        <v/>
      </c>
      <c r="C4608">
        <f>IF(B4608="","",IFERROR(INDEX('Bad Patterns'!$A$2:$A$120,MATCH(1,INDEX(--ISNUMBER(SEARCH('Bad Patterns'!$A$2:$A$120,B4608)),0),0)),""))</f>
        <v/>
      </c>
      <c r="D4608">
        <f>IF(B4608="","",IF(C4608&lt;&gt;"","REMOVE","KEEP"))</f>
        <v/>
      </c>
      <c r="E4608">
        <f>IF(D4608&lt;&gt;"KEEP","",IF(RIGHT(B4608,10)="@gmail.com","Gmail",IF(OR(RIGHT(B4608,12)="@outlook.com",RIGHT(B4608,12)="@hotmail.com",RIGHT(B4608,9)="@live.com"),"Outlook","Domain")))</f>
        <v/>
      </c>
      <c r="F4608">
        <f>IF(B4608="","",IFERROR(RIGHT(B4608,LEN(B4608)-FIND("@",B4608)),""))</f>
        <v/>
      </c>
      <c r="G4608">
        <f>IF(D4608="KEEP",COUNTIF($D$2:D4608,"KEEP"),"")</f>
        <v/>
      </c>
      <c r="H4608">
        <f>IF(D4608="REMOVE",COUNTIF($D$2:D4608,"REMOVE"),"")</f>
        <v/>
      </c>
      <c r="I4608">
        <f>IF(E4608="Gmail",COUNTIF($E$2:E4608,"Gmail"),"")</f>
        <v/>
      </c>
      <c r="J4608">
        <f>IF(E4608="Outlook",COUNTIF($E$2:E4608,"Outlook"),"")</f>
        <v/>
      </c>
      <c r="K4608">
        <f>IF(E4608="Domain",COUNTIF($E$2:E4608,"Domain"),"")</f>
        <v/>
      </c>
    </row>
    <row r="4609">
      <c r="A4609" s="2" t="n"/>
      <c r="B4609">
        <f>LOWER(TRIM(A4609))</f>
        <v/>
      </c>
      <c r="C4609">
        <f>IF(B4609="","",IFERROR(INDEX('Bad Patterns'!$A$2:$A$120,MATCH(1,INDEX(--ISNUMBER(SEARCH('Bad Patterns'!$A$2:$A$120,B4609)),0),0)),""))</f>
        <v/>
      </c>
      <c r="D4609">
        <f>IF(B4609="","",IF(C4609&lt;&gt;"","REMOVE","KEEP"))</f>
        <v/>
      </c>
      <c r="E4609">
        <f>IF(D4609&lt;&gt;"KEEP","",IF(RIGHT(B4609,10)="@gmail.com","Gmail",IF(OR(RIGHT(B4609,12)="@outlook.com",RIGHT(B4609,12)="@hotmail.com",RIGHT(B4609,9)="@live.com"),"Outlook","Domain")))</f>
        <v/>
      </c>
      <c r="F4609">
        <f>IF(B4609="","",IFERROR(RIGHT(B4609,LEN(B4609)-FIND("@",B4609)),""))</f>
        <v/>
      </c>
      <c r="G4609">
        <f>IF(D4609="KEEP",COUNTIF($D$2:D4609,"KEEP"),"")</f>
        <v/>
      </c>
      <c r="H4609">
        <f>IF(D4609="REMOVE",COUNTIF($D$2:D4609,"REMOVE"),"")</f>
        <v/>
      </c>
      <c r="I4609">
        <f>IF(E4609="Gmail",COUNTIF($E$2:E4609,"Gmail"),"")</f>
        <v/>
      </c>
      <c r="J4609">
        <f>IF(E4609="Outlook",COUNTIF($E$2:E4609,"Outlook"),"")</f>
        <v/>
      </c>
      <c r="K4609">
        <f>IF(E4609="Domain",COUNTIF($E$2:E4609,"Domain"),"")</f>
        <v/>
      </c>
    </row>
    <row r="4610">
      <c r="A4610" s="2" t="n"/>
      <c r="B4610">
        <f>LOWER(TRIM(A4610))</f>
        <v/>
      </c>
      <c r="C4610">
        <f>IF(B4610="","",IFERROR(INDEX('Bad Patterns'!$A$2:$A$120,MATCH(1,INDEX(--ISNUMBER(SEARCH('Bad Patterns'!$A$2:$A$120,B4610)),0),0)),""))</f>
        <v/>
      </c>
      <c r="D4610">
        <f>IF(B4610="","",IF(C4610&lt;&gt;"","REMOVE","KEEP"))</f>
        <v/>
      </c>
      <c r="E4610">
        <f>IF(D4610&lt;&gt;"KEEP","",IF(RIGHT(B4610,10)="@gmail.com","Gmail",IF(OR(RIGHT(B4610,12)="@outlook.com",RIGHT(B4610,12)="@hotmail.com",RIGHT(B4610,9)="@live.com"),"Outlook","Domain")))</f>
        <v/>
      </c>
      <c r="F4610">
        <f>IF(B4610="","",IFERROR(RIGHT(B4610,LEN(B4610)-FIND("@",B4610)),""))</f>
        <v/>
      </c>
      <c r="G4610">
        <f>IF(D4610="KEEP",COUNTIF($D$2:D4610,"KEEP"),"")</f>
        <v/>
      </c>
      <c r="H4610">
        <f>IF(D4610="REMOVE",COUNTIF($D$2:D4610,"REMOVE"),"")</f>
        <v/>
      </c>
      <c r="I4610">
        <f>IF(E4610="Gmail",COUNTIF($E$2:E4610,"Gmail"),"")</f>
        <v/>
      </c>
      <c r="J4610">
        <f>IF(E4610="Outlook",COUNTIF($E$2:E4610,"Outlook"),"")</f>
        <v/>
      </c>
      <c r="K4610">
        <f>IF(E4610="Domain",COUNTIF($E$2:E4610,"Domain"),"")</f>
        <v/>
      </c>
    </row>
    <row r="4611">
      <c r="A4611" s="2" t="n"/>
      <c r="B4611">
        <f>LOWER(TRIM(A4611))</f>
        <v/>
      </c>
      <c r="C4611">
        <f>IF(B4611="","",IFERROR(INDEX('Bad Patterns'!$A$2:$A$120,MATCH(1,INDEX(--ISNUMBER(SEARCH('Bad Patterns'!$A$2:$A$120,B4611)),0),0)),""))</f>
        <v/>
      </c>
      <c r="D4611">
        <f>IF(B4611="","",IF(C4611&lt;&gt;"","REMOVE","KEEP"))</f>
        <v/>
      </c>
      <c r="E4611">
        <f>IF(D4611&lt;&gt;"KEEP","",IF(RIGHT(B4611,10)="@gmail.com","Gmail",IF(OR(RIGHT(B4611,12)="@outlook.com",RIGHT(B4611,12)="@hotmail.com",RIGHT(B4611,9)="@live.com"),"Outlook","Domain")))</f>
        <v/>
      </c>
      <c r="F4611">
        <f>IF(B4611="","",IFERROR(RIGHT(B4611,LEN(B4611)-FIND("@",B4611)),""))</f>
        <v/>
      </c>
      <c r="G4611">
        <f>IF(D4611="KEEP",COUNTIF($D$2:D4611,"KEEP"),"")</f>
        <v/>
      </c>
      <c r="H4611">
        <f>IF(D4611="REMOVE",COUNTIF($D$2:D4611,"REMOVE"),"")</f>
        <v/>
      </c>
      <c r="I4611">
        <f>IF(E4611="Gmail",COUNTIF($E$2:E4611,"Gmail"),"")</f>
        <v/>
      </c>
      <c r="J4611">
        <f>IF(E4611="Outlook",COUNTIF($E$2:E4611,"Outlook"),"")</f>
        <v/>
      </c>
      <c r="K4611">
        <f>IF(E4611="Domain",COUNTIF($E$2:E4611,"Domain"),"")</f>
        <v/>
      </c>
    </row>
    <row r="4612">
      <c r="A4612" s="2" t="n"/>
      <c r="B4612">
        <f>LOWER(TRIM(A4612))</f>
        <v/>
      </c>
      <c r="C4612">
        <f>IF(B4612="","",IFERROR(INDEX('Bad Patterns'!$A$2:$A$120,MATCH(1,INDEX(--ISNUMBER(SEARCH('Bad Patterns'!$A$2:$A$120,B4612)),0),0)),""))</f>
        <v/>
      </c>
      <c r="D4612">
        <f>IF(B4612="","",IF(C4612&lt;&gt;"","REMOVE","KEEP"))</f>
        <v/>
      </c>
      <c r="E4612">
        <f>IF(D4612&lt;&gt;"KEEP","",IF(RIGHT(B4612,10)="@gmail.com","Gmail",IF(OR(RIGHT(B4612,12)="@outlook.com",RIGHT(B4612,12)="@hotmail.com",RIGHT(B4612,9)="@live.com"),"Outlook","Domain")))</f>
        <v/>
      </c>
      <c r="F4612">
        <f>IF(B4612="","",IFERROR(RIGHT(B4612,LEN(B4612)-FIND("@",B4612)),""))</f>
        <v/>
      </c>
      <c r="G4612">
        <f>IF(D4612="KEEP",COUNTIF($D$2:D4612,"KEEP"),"")</f>
        <v/>
      </c>
      <c r="H4612">
        <f>IF(D4612="REMOVE",COUNTIF($D$2:D4612,"REMOVE"),"")</f>
        <v/>
      </c>
      <c r="I4612">
        <f>IF(E4612="Gmail",COUNTIF($E$2:E4612,"Gmail"),"")</f>
        <v/>
      </c>
      <c r="J4612">
        <f>IF(E4612="Outlook",COUNTIF($E$2:E4612,"Outlook"),"")</f>
        <v/>
      </c>
      <c r="K4612">
        <f>IF(E4612="Domain",COUNTIF($E$2:E4612,"Domain"),"")</f>
        <v/>
      </c>
    </row>
    <row r="4613">
      <c r="A4613" s="2" t="n"/>
      <c r="B4613">
        <f>LOWER(TRIM(A4613))</f>
        <v/>
      </c>
      <c r="C4613">
        <f>IF(B4613="","",IFERROR(INDEX('Bad Patterns'!$A$2:$A$120,MATCH(1,INDEX(--ISNUMBER(SEARCH('Bad Patterns'!$A$2:$A$120,B4613)),0),0)),""))</f>
        <v/>
      </c>
      <c r="D4613">
        <f>IF(B4613="","",IF(C4613&lt;&gt;"","REMOVE","KEEP"))</f>
        <v/>
      </c>
      <c r="E4613">
        <f>IF(D4613&lt;&gt;"KEEP","",IF(RIGHT(B4613,10)="@gmail.com","Gmail",IF(OR(RIGHT(B4613,12)="@outlook.com",RIGHT(B4613,12)="@hotmail.com",RIGHT(B4613,9)="@live.com"),"Outlook","Domain")))</f>
        <v/>
      </c>
      <c r="F4613">
        <f>IF(B4613="","",IFERROR(RIGHT(B4613,LEN(B4613)-FIND("@",B4613)),""))</f>
        <v/>
      </c>
      <c r="G4613">
        <f>IF(D4613="KEEP",COUNTIF($D$2:D4613,"KEEP"),"")</f>
        <v/>
      </c>
      <c r="H4613">
        <f>IF(D4613="REMOVE",COUNTIF($D$2:D4613,"REMOVE"),"")</f>
        <v/>
      </c>
      <c r="I4613">
        <f>IF(E4613="Gmail",COUNTIF($E$2:E4613,"Gmail"),"")</f>
        <v/>
      </c>
      <c r="J4613">
        <f>IF(E4613="Outlook",COUNTIF($E$2:E4613,"Outlook"),"")</f>
        <v/>
      </c>
      <c r="K4613">
        <f>IF(E4613="Domain",COUNTIF($E$2:E4613,"Domain"),"")</f>
        <v/>
      </c>
    </row>
    <row r="4614">
      <c r="A4614" s="2" t="n"/>
      <c r="B4614">
        <f>LOWER(TRIM(A4614))</f>
        <v/>
      </c>
      <c r="C4614">
        <f>IF(B4614="","",IFERROR(INDEX('Bad Patterns'!$A$2:$A$120,MATCH(1,INDEX(--ISNUMBER(SEARCH('Bad Patterns'!$A$2:$A$120,B4614)),0),0)),""))</f>
        <v/>
      </c>
      <c r="D4614">
        <f>IF(B4614="","",IF(C4614&lt;&gt;"","REMOVE","KEEP"))</f>
        <v/>
      </c>
      <c r="E4614">
        <f>IF(D4614&lt;&gt;"KEEP","",IF(RIGHT(B4614,10)="@gmail.com","Gmail",IF(OR(RIGHT(B4614,12)="@outlook.com",RIGHT(B4614,12)="@hotmail.com",RIGHT(B4614,9)="@live.com"),"Outlook","Domain")))</f>
        <v/>
      </c>
      <c r="F4614">
        <f>IF(B4614="","",IFERROR(RIGHT(B4614,LEN(B4614)-FIND("@",B4614)),""))</f>
        <v/>
      </c>
      <c r="G4614">
        <f>IF(D4614="KEEP",COUNTIF($D$2:D4614,"KEEP"),"")</f>
        <v/>
      </c>
      <c r="H4614">
        <f>IF(D4614="REMOVE",COUNTIF($D$2:D4614,"REMOVE"),"")</f>
        <v/>
      </c>
      <c r="I4614">
        <f>IF(E4614="Gmail",COUNTIF($E$2:E4614,"Gmail"),"")</f>
        <v/>
      </c>
      <c r="J4614">
        <f>IF(E4614="Outlook",COUNTIF($E$2:E4614,"Outlook"),"")</f>
        <v/>
      </c>
      <c r="K4614">
        <f>IF(E4614="Domain",COUNTIF($E$2:E4614,"Domain"),"")</f>
        <v/>
      </c>
    </row>
    <row r="4615">
      <c r="A4615" s="2" t="n"/>
      <c r="B4615">
        <f>LOWER(TRIM(A4615))</f>
        <v/>
      </c>
      <c r="C4615">
        <f>IF(B4615="","",IFERROR(INDEX('Bad Patterns'!$A$2:$A$120,MATCH(1,INDEX(--ISNUMBER(SEARCH('Bad Patterns'!$A$2:$A$120,B4615)),0),0)),""))</f>
        <v/>
      </c>
      <c r="D4615">
        <f>IF(B4615="","",IF(C4615&lt;&gt;"","REMOVE","KEEP"))</f>
        <v/>
      </c>
      <c r="E4615">
        <f>IF(D4615&lt;&gt;"KEEP","",IF(RIGHT(B4615,10)="@gmail.com","Gmail",IF(OR(RIGHT(B4615,12)="@outlook.com",RIGHT(B4615,12)="@hotmail.com",RIGHT(B4615,9)="@live.com"),"Outlook","Domain")))</f>
        <v/>
      </c>
      <c r="F4615">
        <f>IF(B4615="","",IFERROR(RIGHT(B4615,LEN(B4615)-FIND("@",B4615)),""))</f>
        <v/>
      </c>
      <c r="G4615">
        <f>IF(D4615="KEEP",COUNTIF($D$2:D4615,"KEEP"),"")</f>
        <v/>
      </c>
      <c r="H4615">
        <f>IF(D4615="REMOVE",COUNTIF($D$2:D4615,"REMOVE"),"")</f>
        <v/>
      </c>
      <c r="I4615">
        <f>IF(E4615="Gmail",COUNTIF($E$2:E4615,"Gmail"),"")</f>
        <v/>
      </c>
      <c r="J4615">
        <f>IF(E4615="Outlook",COUNTIF($E$2:E4615,"Outlook"),"")</f>
        <v/>
      </c>
      <c r="K4615">
        <f>IF(E4615="Domain",COUNTIF($E$2:E4615,"Domain"),"")</f>
        <v/>
      </c>
    </row>
    <row r="4616">
      <c r="A4616" s="2" t="n"/>
      <c r="B4616">
        <f>LOWER(TRIM(A4616))</f>
        <v/>
      </c>
      <c r="C4616">
        <f>IF(B4616="","",IFERROR(INDEX('Bad Patterns'!$A$2:$A$120,MATCH(1,INDEX(--ISNUMBER(SEARCH('Bad Patterns'!$A$2:$A$120,B4616)),0),0)),""))</f>
        <v/>
      </c>
      <c r="D4616">
        <f>IF(B4616="","",IF(C4616&lt;&gt;"","REMOVE","KEEP"))</f>
        <v/>
      </c>
      <c r="E4616">
        <f>IF(D4616&lt;&gt;"KEEP","",IF(RIGHT(B4616,10)="@gmail.com","Gmail",IF(OR(RIGHT(B4616,12)="@outlook.com",RIGHT(B4616,12)="@hotmail.com",RIGHT(B4616,9)="@live.com"),"Outlook","Domain")))</f>
        <v/>
      </c>
      <c r="F4616">
        <f>IF(B4616="","",IFERROR(RIGHT(B4616,LEN(B4616)-FIND("@",B4616)),""))</f>
        <v/>
      </c>
      <c r="G4616">
        <f>IF(D4616="KEEP",COUNTIF($D$2:D4616,"KEEP"),"")</f>
        <v/>
      </c>
      <c r="H4616">
        <f>IF(D4616="REMOVE",COUNTIF($D$2:D4616,"REMOVE"),"")</f>
        <v/>
      </c>
      <c r="I4616">
        <f>IF(E4616="Gmail",COUNTIF($E$2:E4616,"Gmail"),"")</f>
        <v/>
      </c>
      <c r="J4616">
        <f>IF(E4616="Outlook",COUNTIF($E$2:E4616,"Outlook"),"")</f>
        <v/>
      </c>
      <c r="K4616">
        <f>IF(E4616="Domain",COUNTIF($E$2:E4616,"Domain"),"")</f>
        <v/>
      </c>
    </row>
    <row r="4617">
      <c r="A4617" s="2" t="n"/>
      <c r="B4617">
        <f>LOWER(TRIM(A4617))</f>
        <v/>
      </c>
      <c r="C4617">
        <f>IF(B4617="","",IFERROR(INDEX('Bad Patterns'!$A$2:$A$120,MATCH(1,INDEX(--ISNUMBER(SEARCH('Bad Patterns'!$A$2:$A$120,B4617)),0),0)),""))</f>
        <v/>
      </c>
      <c r="D4617">
        <f>IF(B4617="","",IF(C4617&lt;&gt;"","REMOVE","KEEP"))</f>
        <v/>
      </c>
      <c r="E4617">
        <f>IF(D4617&lt;&gt;"KEEP","",IF(RIGHT(B4617,10)="@gmail.com","Gmail",IF(OR(RIGHT(B4617,12)="@outlook.com",RIGHT(B4617,12)="@hotmail.com",RIGHT(B4617,9)="@live.com"),"Outlook","Domain")))</f>
        <v/>
      </c>
      <c r="F4617">
        <f>IF(B4617="","",IFERROR(RIGHT(B4617,LEN(B4617)-FIND("@",B4617)),""))</f>
        <v/>
      </c>
      <c r="G4617">
        <f>IF(D4617="KEEP",COUNTIF($D$2:D4617,"KEEP"),"")</f>
        <v/>
      </c>
      <c r="H4617">
        <f>IF(D4617="REMOVE",COUNTIF($D$2:D4617,"REMOVE"),"")</f>
        <v/>
      </c>
      <c r="I4617">
        <f>IF(E4617="Gmail",COUNTIF($E$2:E4617,"Gmail"),"")</f>
        <v/>
      </c>
      <c r="J4617">
        <f>IF(E4617="Outlook",COUNTIF($E$2:E4617,"Outlook"),"")</f>
        <v/>
      </c>
      <c r="K4617">
        <f>IF(E4617="Domain",COUNTIF($E$2:E4617,"Domain"),"")</f>
        <v/>
      </c>
    </row>
    <row r="4618">
      <c r="A4618" s="2" t="n"/>
      <c r="B4618">
        <f>LOWER(TRIM(A4618))</f>
        <v/>
      </c>
      <c r="C4618">
        <f>IF(B4618="","",IFERROR(INDEX('Bad Patterns'!$A$2:$A$120,MATCH(1,INDEX(--ISNUMBER(SEARCH('Bad Patterns'!$A$2:$A$120,B4618)),0),0)),""))</f>
        <v/>
      </c>
      <c r="D4618">
        <f>IF(B4618="","",IF(C4618&lt;&gt;"","REMOVE","KEEP"))</f>
        <v/>
      </c>
      <c r="E4618">
        <f>IF(D4618&lt;&gt;"KEEP","",IF(RIGHT(B4618,10)="@gmail.com","Gmail",IF(OR(RIGHT(B4618,12)="@outlook.com",RIGHT(B4618,12)="@hotmail.com",RIGHT(B4618,9)="@live.com"),"Outlook","Domain")))</f>
        <v/>
      </c>
      <c r="F4618">
        <f>IF(B4618="","",IFERROR(RIGHT(B4618,LEN(B4618)-FIND("@",B4618)),""))</f>
        <v/>
      </c>
      <c r="G4618">
        <f>IF(D4618="KEEP",COUNTIF($D$2:D4618,"KEEP"),"")</f>
        <v/>
      </c>
      <c r="H4618">
        <f>IF(D4618="REMOVE",COUNTIF($D$2:D4618,"REMOVE"),"")</f>
        <v/>
      </c>
      <c r="I4618">
        <f>IF(E4618="Gmail",COUNTIF($E$2:E4618,"Gmail"),"")</f>
        <v/>
      </c>
      <c r="J4618">
        <f>IF(E4618="Outlook",COUNTIF($E$2:E4618,"Outlook"),"")</f>
        <v/>
      </c>
      <c r="K4618">
        <f>IF(E4618="Domain",COUNTIF($E$2:E4618,"Domain"),"")</f>
        <v/>
      </c>
    </row>
    <row r="4619">
      <c r="A4619" s="2" t="n"/>
      <c r="B4619">
        <f>LOWER(TRIM(A4619))</f>
        <v/>
      </c>
      <c r="C4619">
        <f>IF(B4619="","",IFERROR(INDEX('Bad Patterns'!$A$2:$A$120,MATCH(1,INDEX(--ISNUMBER(SEARCH('Bad Patterns'!$A$2:$A$120,B4619)),0),0)),""))</f>
        <v/>
      </c>
      <c r="D4619">
        <f>IF(B4619="","",IF(C4619&lt;&gt;"","REMOVE","KEEP"))</f>
        <v/>
      </c>
      <c r="E4619">
        <f>IF(D4619&lt;&gt;"KEEP","",IF(RIGHT(B4619,10)="@gmail.com","Gmail",IF(OR(RIGHT(B4619,12)="@outlook.com",RIGHT(B4619,12)="@hotmail.com",RIGHT(B4619,9)="@live.com"),"Outlook","Domain")))</f>
        <v/>
      </c>
      <c r="F4619">
        <f>IF(B4619="","",IFERROR(RIGHT(B4619,LEN(B4619)-FIND("@",B4619)),""))</f>
        <v/>
      </c>
      <c r="G4619">
        <f>IF(D4619="KEEP",COUNTIF($D$2:D4619,"KEEP"),"")</f>
        <v/>
      </c>
      <c r="H4619">
        <f>IF(D4619="REMOVE",COUNTIF($D$2:D4619,"REMOVE"),"")</f>
        <v/>
      </c>
      <c r="I4619">
        <f>IF(E4619="Gmail",COUNTIF($E$2:E4619,"Gmail"),"")</f>
        <v/>
      </c>
      <c r="J4619">
        <f>IF(E4619="Outlook",COUNTIF($E$2:E4619,"Outlook"),"")</f>
        <v/>
      </c>
      <c r="K4619">
        <f>IF(E4619="Domain",COUNTIF($E$2:E4619,"Domain"),"")</f>
        <v/>
      </c>
    </row>
    <row r="4620">
      <c r="A4620" s="2" t="n"/>
      <c r="B4620">
        <f>LOWER(TRIM(A4620))</f>
        <v/>
      </c>
      <c r="C4620">
        <f>IF(B4620="","",IFERROR(INDEX('Bad Patterns'!$A$2:$A$120,MATCH(1,INDEX(--ISNUMBER(SEARCH('Bad Patterns'!$A$2:$A$120,B4620)),0),0)),""))</f>
        <v/>
      </c>
      <c r="D4620">
        <f>IF(B4620="","",IF(C4620&lt;&gt;"","REMOVE","KEEP"))</f>
        <v/>
      </c>
      <c r="E4620">
        <f>IF(D4620&lt;&gt;"KEEP","",IF(RIGHT(B4620,10)="@gmail.com","Gmail",IF(OR(RIGHT(B4620,12)="@outlook.com",RIGHT(B4620,12)="@hotmail.com",RIGHT(B4620,9)="@live.com"),"Outlook","Domain")))</f>
        <v/>
      </c>
      <c r="F4620">
        <f>IF(B4620="","",IFERROR(RIGHT(B4620,LEN(B4620)-FIND("@",B4620)),""))</f>
        <v/>
      </c>
      <c r="G4620">
        <f>IF(D4620="KEEP",COUNTIF($D$2:D4620,"KEEP"),"")</f>
        <v/>
      </c>
      <c r="H4620">
        <f>IF(D4620="REMOVE",COUNTIF($D$2:D4620,"REMOVE"),"")</f>
        <v/>
      </c>
      <c r="I4620">
        <f>IF(E4620="Gmail",COUNTIF($E$2:E4620,"Gmail"),"")</f>
        <v/>
      </c>
      <c r="J4620">
        <f>IF(E4620="Outlook",COUNTIF($E$2:E4620,"Outlook"),"")</f>
        <v/>
      </c>
      <c r="K4620">
        <f>IF(E4620="Domain",COUNTIF($E$2:E4620,"Domain"),"")</f>
        <v/>
      </c>
    </row>
    <row r="4621">
      <c r="A4621" s="2" t="n"/>
      <c r="B4621">
        <f>LOWER(TRIM(A4621))</f>
        <v/>
      </c>
      <c r="C4621">
        <f>IF(B4621="","",IFERROR(INDEX('Bad Patterns'!$A$2:$A$120,MATCH(1,INDEX(--ISNUMBER(SEARCH('Bad Patterns'!$A$2:$A$120,B4621)),0),0)),""))</f>
        <v/>
      </c>
      <c r="D4621">
        <f>IF(B4621="","",IF(C4621&lt;&gt;"","REMOVE","KEEP"))</f>
        <v/>
      </c>
      <c r="E4621">
        <f>IF(D4621&lt;&gt;"KEEP","",IF(RIGHT(B4621,10)="@gmail.com","Gmail",IF(OR(RIGHT(B4621,12)="@outlook.com",RIGHT(B4621,12)="@hotmail.com",RIGHT(B4621,9)="@live.com"),"Outlook","Domain")))</f>
        <v/>
      </c>
      <c r="F4621">
        <f>IF(B4621="","",IFERROR(RIGHT(B4621,LEN(B4621)-FIND("@",B4621)),""))</f>
        <v/>
      </c>
      <c r="G4621">
        <f>IF(D4621="KEEP",COUNTIF($D$2:D4621,"KEEP"),"")</f>
        <v/>
      </c>
      <c r="H4621">
        <f>IF(D4621="REMOVE",COUNTIF($D$2:D4621,"REMOVE"),"")</f>
        <v/>
      </c>
      <c r="I4621">
        <f>IF(E4621="Gmail",COUNTIF($E$2:E4621,"Gmail"),"")</f>
        <v/>
      </c>
      <c r="J4621">
        <f>IF(E4621="Outlook",COUNTIF($E$2:E4621,"Outlook"),"")</f>
        <v/>
      </c>
      <c r="K4621">
        <f>IF(E4621="Domain",COUNTIF($E$2:E4621,"Domain"),"")</f>
        <v/>
      </c>
    </row>
    <row r="4622">
      <c r="A4622" s="2" t="n"/>
      <c r="B4622">
        <f>LOWER(TRIM(A4622))</f>
        <v/>
      </c>
      <c r="C4622">
        <f>IF(B4622="","",IFERROR(INDEX('Bad Patterns'!$A$2:$A$120,MATCH(1,INDEX(--ISNUMBER(SEARCH('Bad Patterns'!$A$2:$A$120,B4622)),0),0)),""))</f>
        <v/>
      </c>
      <c r="D4622">
        <f>IF(B4622="","",IF(C4622&lt;&gt;"","REMOVE","KEEP"))</f>
        <v/>
      </c>
      <c r="E4622">
        <f>IF(D4622&lt;&gt;"KEEP","",IF(RIGHT(B4622,10)="@gmail.com","Gmail",IF(OR(RIGHT(B4622,12)="@outlook.com",RIGHT(B4622,12)="@hotmail.com",RIGHT(B4622,9)="@live.com"),"Outlook","Domain")))</f>
        <v/>
      </c>
      <c r="F4622">
        <f>IF(B4622="","",IFERROR(RIGHT(B4622,LEN(B4622)-FIND("@",B4622)),""))</f>
        <v/>
      </c>
      <c r="G4622">
        <f>IF(D4622="KEEP",COUNTIF($D$2:D4622,"KEEP"),"")</f>
        <v/>
      </c>
      <c r="H4622">
        <f>IF(D4622="REMOVE",COUNTIF($D$2:D4622,"REMOVE"),"")</f>
        <v/>
      </c>
      <c r="I4622">
        <f>IF(E4622="Gmail",COUNTIF($E$2:E4622,"Gmail"),"")</f>
        <v/>
      </c>
      <c r="J4622">
        <f>IF(E4622="Outlook",COUNTIF($E$2:E4622,"Outlook"),"")</f>
        <v/>
      </c>
      <c r="K4622">
        <f>IF(E4622="Domain",COUNTIF($E$2:E4622,"Domain"),"")</f>
        <v/>
      </c>
    </row>
    <row r="4623">
      <c r="A4623" s="2" t="n"/>
      <c r="B4623">
        <f>LOWER(TRIM(A4623))</f>
        <v/>
      </c>
      <c r="C4623">
        <f>IF(B4623="","",IFERROR(INDEX('Bad Patterns'!$A$2:$A$120,MATCH(1,INDEX(--ISNUMBER(SEARCH('Bad Patterns'!$A$2:$A$120,B4623)),0),0)),""))</f>
        <v/>
      </c>
      <c r="D4623">
        <f>IF(B4623="","",IF(C4623&lt;&gt;"","REMOVE","KEEP"))</f>
        <v/>
      </c>
      <c r="E4623">
        <f>IF(D4623&lt;&gt;"KEEP","",IF(RIGHT(B4623,10)="@gmail.com","Gmail",IF(OR(RIGHT(B4623,12)="@outlook.com",RIGHT(B4623,12)="@hotmail.com",RIGHT(B4623,9)="@live.com"),"Outlook","Domain")))</f>
        <v/>
      </c>
      <c r="F4623">
        <f>IF(B4623="","",IFERROR(RIGHT(B4623,LEN(B4623)-FIND("@",B4623)),""))</f>
        <v/>
      </c>
      <c r="G4623">
        <f>IF(D4623="KEEP",COUNTIF($D$2:D4623,"KEEP"),"")</f>
        <v/>
      </c>
      <c r="H4623">
        <f>IF(D4623="REMOVE",COUNTIF($D$2:D4623,"REMOVE"),"")</f>
        <v/>
      </c>
      <c r="I4623">
        <f>IF(E4623="Gmail",COUNTIF($E$2:E4623,"Gmail"),"")</f>
        <v/>
      </c>
      <c r="J4623">
        <f>IF(E4623="Outlook",COUNTIF($E$2:E4623,"Outlook"),"")</f>
        <v/>
      </c>
      <c r="K4623">
        <f>IF(E4623="Domain",COUNTIF($E$2:E4623,"Domain"),"")</f>
        <v/>
      </c>
    </row>
    <row r="4624">
      <c r="A4624" s="2" t="n"/>
      <c r="B4624">
        <f>LOWER(TRIM(A4624))</f>
        <v/>
      </c>
      <c r="C4624">
        <f>IF(B4624="","",IFERROR(INDEX('Bad Patterns'!$A$2:$A$120,MATCH(1,INDEX(--ISNUMBER(SEARCH('Bad Patterns'!$A$2:$A$120,B4624)),0),0)),""))</f>
        <v/>
      </c>
      <c r="D4624">
        <f>IF(B4624="","",IF(C4624&lt;&gt;"","REMOVE","KEEP"))</f>
        <v/>
      </c>
      <c r="E4624">
        <f>IF(D4624&lt;&gt;"KEEP","",IF(RIGHT(B4624,10)="@gmail.com","Gmail",IF(OR(RIGHT(B4624,12)="@outlook.com",RIGHT(B4624,12)="@hotmail.com",RIGHT(B4624,9)="@live.com"),"Outlook","Domain")))</f>
        <v/>
      </c>
      <c r="F4624">
        <f>IF(B4624="","",IFERROR(RIGHT(B4624,LEN(B4624)-FIND("@",B4624)),""))</f>
        <v/>
      </c>
      <c r="G4624">
        <f>IF(D4624="KEEP",COUNTIF($D$2:D4624,"KEEP"),"")</f>
        <v/>
      </c>
      <c r="H4624">
        <f>IF(D4624="REMOVE",COUNTIF($D$2:D4624,"REMOVE"),"")</f>
        <v/>
      </c>
      <c r="I4624">
        <f>IF(E4624="Gmail",COUNTIF($E$2:E4624,"Gmail"),"")</f>
        <v/>
      </c>
      <c r="J4624">
        <f>IF(E4624="Outlook",COUNTIF($E$2:E4624,"Outlook"),"")</f>
        <v/>
      </c>
      <c r="K4624">
        <f>IF(E4624="Domain",COUNTIF($E$2:E4624,"Domain"),"")</f>
        <v/>
      </c>
    </row>
    <row r="4625">
      <c r="A4625" s="2" t="n"/>
      <c r="B4625">
        <f>LOWER(TRIM(A4625))</f>
        <v/>
      </c>
      <c r="C4625">
        <f>IF(B4625="","",IFERROR(INDEX('Bad Patterns'!$A$2:$A$120,MATCH(1,INDEX(--ISNUMBER(SEARCH('Bad Patterns'!$A$2:$A$120,B4625)),0),0)),""))</f>
        <v/>
      </c>
      <c r="D4625">
        <f>IF(B4625="","",IF(C4625&lt;&gt;"","REMOVE","KEEP"))</f>
        <v/>
      </c>
      <c r="E4625">
        <f>IF(D4625&lt;&gt;"KEEP","",IF(RIGHT(B4625,10)="@gmail.com","Gmail",IF(OR(RIGHT(B4625,12)="@outlook.com",RIGHT(B4625,12)="@hotmail.com",RIGHT(B4625,9)="@live.com"),"Outlook","Domain")))</f>
        <v/>
      </c>
      <c r="F4625">
        <f>IF(B4625="","",IFERROR(RIGHT(B4625,LEN(B4625)-FIND("@",B4625)),""))</f>
        <v/>
      </c>
      <c r="G4625">
        <f>IF(D4625="KEEP",COUNTIF($D$2:D4625,"KEEP"),"")</f>
        <v/>
      </c>
      <c r="H4625">
        <f>IF(D4625="REMOVE",COUNTIF($D$2:D4625,"REMOVE"),"")</f>
        <v/>
      </c>
      <c r="I4625">
        <f>IF(E4625="Gmail",COUNTIF($E$2:E4625,"Gmail"),"")</f>
        <v/>
      </c>
      <c r="J4625">
        <f>IF(E4625="Outlook",COUNTIF($E$2:E4625,"Outlook"),"")</f>
        <v/>
      </c>
      <c r="K4625">
        <f>IF(E4625="Domain",COUNTIF($E$2:E4625,"Domain"),"")</f>
        <v/>
      </c>
    </row>
    <row r="4626">
      <c r="A4626" s="2" t="n"/>
      <c r="B4626">
        <f>LOWER(TRIM(A4626))</f>
        <v/>
      </c>
      <c r="C4626">
        <f>IF(B4626="","",IFERROR(INDEX('Bad Patterns'!$A$2:$A$120,MATCH(1,INDEX(--ISNUMBER(SEARCH('Bad Patterns'!$A$2:$A$120,B4626)),0),0)),""))</f>
        <v/>
      </c>
      <c r="D4626">
        <f>IF(B4626="","",IF(C4626&lt;&gt;"","REMOVE","KEEP"))</f>
        <v/>
      </c>
      <c r="E4626">
        <f>IF(D4626&lt;&gt;"KEEP","",IF(RIGHT(B4626,10)="@gmail.com","Gmail",IF(OR(RIGHT(B4626,12)="@outlook.com",RIGHT(B4626,12)="@hotmail.com",RIGHT(B4626,9)="@live.com"),"Outlook","Domain")))</f>
        <v/>
      </c>
      <c r="F4626">
        <f>IF(B4626="","",IFERROR(RIGHT(B4626,LEN(B4626)-FIND("@",B4626)),""))</f>
        <v/>
      </c>
      <c r="G4626">
        <f>IF(D4626="KEEP",COUNTIF($D$2:D4626,"KEEP"),"")</f>
        <v/>
      </c>
      <c r="H4626">
        <f>IF(D4626="REMOVE",COUNTIF($D$2:D4626,"REMOVE"),"")</f>
        <v/>
      </c>
      <c r="I4626">
        <f>IF(E4626="Gmail",COUNTIF($E$2:E4626,"Gmail"),"")</f>
        <v/>
      </c>
      <c r="J4626">
        <f>IF(E4626="Outlook",COUNTIF($E$2:E4626,"Outlook"),"")</f>
        <v/>
      </c>
      <c r="K4626">
        <f>IF(E4626="Domain",COUNTIF($E$2:E4626,"Domain"),"")</f>
        <v/>
      </c>
    </row>
    <row r="4627">
      <c r="A4627" s="2" t="n"/>
      <c r="B4627">
        <f>LOWER(TRIM(A4627))</f>
        <v/>
      </c>
      <c r="C4627">
        <f>IF(B4627="","",IFERROR(INDEX('Bad Patterns'!$A$2:$A$120,MATCH(1,INDEX(--ISNUMBER(SEARCH('Bad Patterns'!$A$2:$A$120,B4627)),0),0)),""))</f>
        <v/>
      </c>
      <c r="D4627">
        <f>IF(B4627="","",IF(C4627&lt;&gt;"","REMOVE","KEEP"))</f>
        <v/>
      </c>
      <c r="E4627">
        <f>IF(D4627&lt;&gt;"KEEP","",IF(RIGHT(B4627,10)="@gmail.com","Gmail",IF(OR(RIGHT(B4627,12)="@outlook.com",RIGHT(B4627,12)="@hotmail.com",RIGHT(B4627,9)="@live.com"),"Outlook","Domain")))</f>
        <v/>
      </c>
      <c r="F4627">
        <f>IF(B4627="","",IFERROR(RIGHT(B4627,LEN(B4627)-FIND("@",B4627)),""))</f>
        <v/>
      </c>
      <c r="G4627">
        <f>IF(D4627="KEEP",COUNTIF($D$2:D4627,"KEEP"),"")</f>
        <v/>
      </c>
      <c r="H4627">
        <f>IF(D4627="REMOVE",COUNTIF($D$2:D4627,"REMOVE"),"")</f>
        <v/>
      </c>
      <c r="I4627">
        <f>IF(E4627="Gmail",COUNTIF($E$2:E4627,"Gmail"),"")</f>
        <v/>
      </c>
      <c r="J4627">
        <f>IF(E4627="Outlook",COUNTIF($E$2:E4627,"Outlook"),"")</f>
        <v/>
      </c>
      <c r="K4627">
        <f>IF(E4627="Domain",COUNTIF($E$2:E4627,"Domain"),"")</f>
        <v/>
      </c>
    </row>
    <row r="4628">
      <c r="A4628" s="2" t="n"/>
      <c r="B4628">
        <f>LOWER(TRIM(A4628))</f>
        <v/>
      </c>
      <c r="C4628">
        <f>IF(B4628="","",IFERROR(INDEX('Bad Patterns'!$A$2:$A$120,MATCH(1,INDEX(--ISNUMBER(SEARCH('Bad Patterns'!$A$2:$A$120,B4628)),0),0)),""))</f>
        <v/>
      </c>
      <c r="D4628">
        <f>IF(B4628="","",IF(C4628&lt;&gt;"","REMOVE","KEEP"))</f>
        <v/>
      </c>
      <c r="E4628">
        <f>IF(D4628&lt;&gt;"KEEP","",IF(RIGHT(B4628,10)="@gmail.com","Gmail",IF(OR(RIGHT(B4628,12)="@outlook.com",RIGHT(B4628,12)="@hotmail.com",RIGHT(B4628,9)="@live.com"),"Outlook","Domain")))</f>
        <v/>
      </c>
      <c r="F4628">
        <f>IF(B4628="","",IFERROR(RIGHT(B4628,LEN(B4628)-FIND("@",B4628)),""))</f>
        <v/>
      </c>
      <c r="G4628">
        <f>IF(D4628="KEEP",COUNTIF($D$2:D4628,"KEEP"),"")</f>
        <v/>
      </c>
      <c r="H4628">
        <f>IF(D4628="REMOVE",COUNTIF($D$2:D4628,"REMOVE"),"")</f>
        <v/>
      </c>
      <c r="I4628">
        <f>IF(E4628="Gmail",COUNTIF($E$2:E4628,"Gmail"),"")</f>
        <v/>
      </c>
      <c r="J4628">
        <f>IF(E4628="Outlook",COUNTIF($E$2:E4628,"Outlook"),"")</f>
        <v/>
      </c>
      <c r="K4628">
        <f>IF(E4628="Domain",COUNTIF($E$2:E4628,"Domain"),"")</f>
        <v/>
      </c>
    </row>
    <row r="4629">
      <c r="A4629" s="2" t="n"/>
      <c r="B4629">
        <f>LOWER(TRIM(A4629))</f>
        <v/>
      </c>
      <c r="C4629">
        <f>IF(B4629="","",IFERROR(INDEX('Bad Patterns'!$A$2:$A$120,MATCH(1,INDEX(--ISNUMBER(SEARCH('Bad Patterns'!$A$2:$A$120,B4629)),0),0)),""))</f>
        <v/>
      </c>
      <c r="D4629">
        <f>IF(B4629="","",IF(C4629&lt;&gt;"","REMOVE","KEEP"))</f>
        <v/>
      </c>
      <c r="E4629">
        <f>IF(D4629&lt;&gt;"KEEP","",IF(RIGHT(B4629,10)="@gmail.com","Gmail",IF(OR(RIGHT(B4629,12)="@outlook.com",RIGHT(B4629,12)="@hotmail.com",RIGHT(B4629,9)="@live.com"),"Outlook","Domain")))</f>
        <v/>
      </c>
      <c r="F4629">
        <f>IF(B4629="","",IFERROR(RIGHT(B4629,LEN(B4629)-FIND("@",B4629)),""))</f>
        <v/>
      </c>
      <c r="G4629">
        <f>IF(D4629="KEEP",COUNTIF($D$2:D4629,"KEEP"),"")</f>
        <v/>
      </c>
      <c r="H4629">
        <f>IF(D4629="REMOVE",COUNTIF($D$2:D4629,"REMOVE"),"")</f>
        <v/>
      </c>
      <c r="I4629">
        <f>IF(E4629="Gmail",COUNTIF($E$2:E4629,"Gmail"),"")</f>
        <v/>
      </c>
      <c r="J4629">
        <f>IF(E4629="Outlook",COUNTIF($E$2:E4629,"Outlook"),"")</f>
        <v/>
      </c>
      <c r="K4629">
        <f>IF(E4629="Domain",COUNTIF($E$2:E4629,"Domain"),"")</f>
        <v/>
      </c>
    </row>
    <row r="4630">
      <c r="A4630" s="2" t="n"/>
      <c r="B4630">
        <f>LOWER(TRIM(A4630))</f>
        <v/>
      </c>
      <c r="C4630">
        <f>IF(B4630="","",IFERROR(INDEX('Bad Patterns'!$A$2:$A$120,MATCH(1,INDEX(--ISNUMBER(SEARCH('Bad Patterns'!$A$2:$A$120,B4630)),0),0)),""))</f>
        <v/>
      </c>
      <c r="D4630">
        <f>IF(B4630="","",IF(C4630&lt;&gt;"","REMOVE","KEEP"))</f>
        <v/>
      </c>
      <c r="E4630">
        <f>IF(D4630&lt;&gt;"KEEP","",IF(RIGHT(B4630,10)="@gmail.com","Gmail",IF(OR(RIGHT(B4630,12)="@outlook.com",RIGHT(B4630,12)="@hotmail.com",RIGHT(B4630,9)="@live.com"),"Outlook","Domain")))</f>
        <v/>
      </c>
      <c r="F4630">
        <f>IF(B4630="","",IFERROR(RIGHT(B4630,LEN(B4630)-FIND("@",B4630)),""))</f>
        <v/>
      </c>
      <c r="G4630">
        <f>IF(D4630="KEEP",COUNTIF($D$2:D4630,"KEEP"),"")</f>
        <v/>
      </c>
      <c r="H4630">
        <f>IF(D4630="REMOVE",COUNTIF($D$2:D4630,"REMOVE"),"")</f>
        <v/>
      </c>
      <c r="I4630">
        <f>IF(E4630="Gmail",COUNTIF($E$2:E4630,"Gmail"),"")</f>
        <v/>
      </c>
      <c r="J4630">
        <f>IF(E4630="Outlook",COUNTIF($E$2:E4630,"Outlook"),"")</f>
        <v/>
      </c>
      <c r="K4630">
        <f>IF(E4630="Domain",COUNTIF($E$2:E4630,"Domain"),"")</f>
        <v/>
      </c>
    </row>
    <row r="4631">
      <c r="A4631" s="2" t="n"/>
      <c r="B4631">
        <f>LOWER(TRIM(A4631))</f>
        <v/>
      </c>
      <c r="C4631">
        <f>IF(B4631="","",IFERROR(INDEX('Bad Patterns'!$A$2:$A$120,MATCH(1,INDEX(--ISNUMBER(SEARCH('Bad Patterns'!$A$2:$A$120,B4631)),0),0)),""))</f>
        <v/>
      </c>
      <c r="D4631">
        <f>IF(B4631="","",IF(C4631&lt;&gt;"","REMOVE","KEEP"))</f>
        <v/>
      </c>
      <c r="E4631">
        <f>IF(D4631&lt;&gt;"KEEP","",IF(RIGHT(B4631,10)="@gmail.com","Gmail",IF(OR(RIGHT(B4631,12)="@outlook.com",RIGHT(B4631,12)="@hotmail.com",RIGHT(B4631,9)="@live.com"),"Outlook","Domain")))</f>
        <v/>
      </c>
      <c r="F4631">
        <f>IF(B4631="","",IFERROR(RIGHT(B4631,LEN(B4631)-FIND("@",B4631)),""))</f>
        <v/>
      </c>
      <c r="G4631">
        <f>IF(D4631="KEEP",COUNTIF($D$2:D4631,"KEEP"),"")</f>
        <v/>
      </c>
      <c r="H4631">
        <f>IF(D4631="REMOVE",COUNTIF($D$2:D4631,"REMOVE"),"")</f>
        <v/>
      </c>
      <c r="I4631">
        <f>IF(E4631="Gmail",COUNTIF($E$2:E4631,"Gmail"),"")</f>
        <v/>
      </c>
      <c r="J4631">
        <f>IF(E4631="Outlook",COUNTIF($E$2:E4631,"Outlook"),"")</f>
        <v/>
      </c>
      <c r="K4631">
        <f>IF(E4631="Domain",COUNTIF($E$2:E4631,"Domain"),"")</f>
        <v/>
      </c>
    </row>
    <row r="4632">
      <c r="A4632" s="2" t="n"/>
      <c r="B4632">
        <f>LOWER(TRIM(A4632))</f>
        <v/>
      </c>
      <c r="C4632">
        <f>IF(B4632="","",IFERROR(INDEX('Bad Patterns'!$A$2:$A$120,MATCH(1,INDEX(--ISNUMBER(SEARCH('Bad Patterns'!$A$2:$A$120,B4632)),0),0)),""))</f>
        <v/>
      </c>
      <c r="D4632">
        <f>IF(B4632="","",IF(C4632&lt;&gt;"","REMOVE","KEEP"))</f>
        <v/>
      </c>
      <c r="E4632">
        <f>IF(D4632&lt;&gt;"KEEP","",IF(RIGHT(B4632,10)="@gmail.com","Gmail",IF(OR(RIGHT(B4632,12)="@outlook.com",RIGHT(B4632,12)="@hotmail.com",RIGHT(B4632,9)="@live.com"),"Outlook","Domain")))</f>
        <v/>
      </c>
      <c r="F4632">
        <f>IF(B4632="","",IFERROR(RIGHT(B4632,LEN(B4632)-FIND("@",B4632)),""))</f>
        <v/>
      </c>
      <c r="G4632">
        <f>IF(D4632="KEEP",COUNTIF($D$2:D4632,"KEEP"),"")</f>
        <v/>
      </c>
      <c r="H4632">
        <f>IF(D4632="REMOVE",COUNTIF($D$2:D4632,"REMOVE"),"")</f>
        <v/>
      </c>
      <c r="I4632">
        <f>IF(E4632="Gmail",COUNTIF($E$2:E4632,"Gmail"),"")</f>
        <v/>
      </c>
      <c r="J4632">
        <f>IF(E4632="Outlook",COUNTIF($E$2:E4632,"Outlook"),"")</f>
        <v/>
      </c>
      <c r="K4632">
        <f>IF(E4632="Domain",COUNTIF($E$2:E4632,"Domain"),"")</f>
        <v/>
      </c>
    </row>
    <row r="4633">
      <c r="A4633" s="2" t="n"/>
      <c r="B4633">
        <f>LOWER(TRIM(A4633))</f>
        <v/>
      </c>
      <c r="C4633">
        <f>IF(B4633="","",IFERROR(INDEX('Bad Patterns'!$A$2:$A$120,MATCH(1,INDEX(--ISNUMBER(SEARCH('Bad Patterns'!$A$2:$A$120,B4633)),0),0)),""))</f>
        <v/>
      </c>
      <c r="D4633">
        <f>IF(B4633="","",IF(C4633&lt;&gt;"","REMOVE","KEEP"))</f>
        <v/>
      </c>
      <c r="E4633">
        <f>IF(D4633&lt;&gt;"KEEP","",IF(RIGHT(B4633,10)="@gmail.com","Gmail",IF(OR(RIGHT(B4633,12)="@outlook.com",RIGHT(B4633,12)="@hotmail.com",RIGHT(B4633,9)="@live.com"),"Outlook","Domain")))</f>
        <v/>
      </c>
      <c r="F4633">
        <f>IF(B4633="","",IFERROR(RIGHT(B4633,LEN(B4633)-FIND("@",B4633)),""))</f>
        <v/>
      </c>
      <c r="G4633">
        <f>IF(D4633="KEEP",COUNTIF($D$2:D4633,"KEEP"),"")</f>
        <v/>
      </c>
      <c r="H4633">
        <f>IF(D4633="REMOVE",COUNTIF($D$2:D4633,"REMOVE"),"")</f>
        <v/>
      </c>
      <c r="I4633">
        <f>IF(E4633="Gmail",COUNTIF($E$2:E4633,"Gmail"),"")</f>
        <v/>
      </c>
      <c r="J4633">
        <f>IF(E4633="Outlook",COUNTIF($E$2:E4633,"Outlook"),"")</f>
        <v/>
      </c>
      <c r="K4633">
        <f>IF(E4633="Domain",COUNTIF($E$2:E4633,"Domain"),"")</f>
        <v/>
      </c>
    </row>
    <row r="4634">
      <c r="A4634" s="2" t="n"/>
      <c r="B4634">
        <f>LOWER(TRIM(A4634))</f>
        <v/>
      </c>
      <c r="C4634">
        <f>IF(B4634="","",IFERROR(INDEX('Bad Patterns'!$A$2:$A$120,MATCH(1,INDEX(--ISNUMBER(SEARCH('Bad Patterns'!$A$2:$A$120,B4634)),0),0)),""))</f>
        <v/>
      </c>
      <c r="D4634">
        <f>IF(B4634="","",IF(C4634&lt;&gt;"","REMOVE","KEEP"))</f>
        <v/>
      </c>
      <c r="E4634">
        <f>IF(D4634&lt;&gt;"KEEP","",IF(RIGHT(B4634,10)="@gmail.com","Gmail",IF(OR(RIGHT(B4634,12)="@outlook.com",RIGHT(B4634,12)="@hotmail.com",RIGHT(B4634,9)="@live.com"),"Outlook","Domain")))</f>
        <v/>
      </c>
      <c r="F4634">
        <f>IF(B4634="","",IFERROR(RIGHT(B4634,LEN(B4634)-FIND("@",B4634)),""))</f>
        <v/>
      </c>
      <c r="G4634">
        <f>IF(D4634="KEEP",COUNTIF($D$2:D4634,"KEEP"),"")</f>
        <v/>
      </c>
      <c r="H4634">
        <f>IF(D4634="REMOVE",COUNTIF($D$2:D4634,"REMOVE"),"")</f>
        <v/>
      </c>
      <c r="I4634">
        <f>IF(E4634="Gmail",COUNTIF($E$2:E4634,"Gmail"),"")</f>
        <v/>
      </c>
      <c r="J4634">
        <f>IF(E4634="Outlook",COUNTIF($E$2:E4634,"Outlook"),"")</f>
        <v/>
      </c>
      <c r="K4634">
        <f>IF(E4634="Domain",COUNTIF($E$2:E4634,"Domain"),"")</f>
        <v/>
      </c>
    </row>
    <row r="4635">
      <c r="A4635" s="2" t="n"/>
      <c r="B4635">
        <f>LOWER(TRIM(A4635))</f>
        <v/>
      </c>
      <c r="C4635">
        <f>IF(B4635="","",IFERROR(INDEX('Bad Patterns'!$A$2:$A$120,MATCH(1,INDEX(--ISNUMBER(SEARCH('Bad Patterns'!$A$2:$A$120,B4635)),0),0)),""))</f>
        <v/>
      </c>
      <c r="D4635">
        <f>IF(B4635="","",IF(C4635&lt;&gt;"","REMOVE","KEEP"))</f>
        <v/>
      </c>
      <c r="E4635">
        <f>IF(D4635&lt;&gt;"KEEP","",IF(RIGHT(B4635,10)="@gmail.com","Gmail",IF(OR(RIGHT(B4635,12)="@outlook.com",RIGHT(B4635,12)="@hotmail.com",RIGHT(B4635,9)="@live.com"),"Outlook","Domain")))</f>
        <v/>
      </c>
      <c r="F4635">
        <f>IF(B4635="","",IFERROR(RIGHT(B4635,LEN(B4635)-FIND("@",B4635)),""))</f>
        <v/>
      </c>
      <c r="G4635">
        <f>IF(D4635="KEEP",COUNTIF($D$2:D4635,"KEEP"),"")</f>
        <v/>
      </c>
      <c r="H4635">
        <f>IF(D4635="REMOVE",COUNTIF($D$2:D4635,"REMOVE"),"")</f>
        <v/>
      </c>
      <c r="I4635">
        <f>IF(E4635="Gmail",COUNTIF($E$2:E4635,"Gmail"),"")</f>
        <v/>
      </c>
      <c r="J4635">
        <f>IF(E4635="Outlook",COUNTIF($E$2:E4635,"Outlook"),"")</f>
        <v/>
      </c>
      <c r="K4635">
        <f>IF(E4635="Domain",COUNTIF($E$2:E4635,"Domain"),"")</f>
        <v/>
      </c>
    </row>
    <row r="4636">
      <c r="A4636" s="2" t="n"/>
      <c r="B4636">
        <f>LOWER(TRIM(A4636))</f>
        <v/>
      </c>
      <c r="C4636">
        <f>IF(B4636="","",IFERROR(INDEX('Bad Patterns'!$A$2:$A$120,MATCH(1,INDEX(--ISNUMBER(SEARCH('Bad Patterns'!$A$2:$A$120,B4636)),0),0)),""))</f>
        <v/>
      </c>
      <c r="D4636">
        <f>IF(B4636="","",IF(C4636&lt;&gt;"","REMOVE","KEEP"))</f>
        <v/>
      </c>
      <c r="E4636">
        <f>IF(D4636&lt;&gt;"KEEP","",IF(RIGHT(B4636,10)="@gmail.com","Gmail",IF(OR(RIGHT(B4636,12)="@outlook.com",RIGHT(B4636,12)="@hotmail.com",RIGHT(B4636,9)="@live.com"),"Outlook","Domain")))</f>
        <v/>
      </c>
      <c r="F4636">
        <f>IF(B4636="","",IFERROR(RIGHT(B4636,LEN(B4636)-FIND("@",B4636)),""))</f>
        <v/>
      </c>
      <c r="G4636">
        <f>IF(D4636="KEEP",COUNTIF($D$2:D4636,"KEEP"),"")</f>
        <v/>
      </c>
      <c r="H4636">
        <f>IF(D4636="REMOVE",COUNTIF($D$2:D4636,"REMOVE"),"")</f>
        <v/>
      </c>
      <c r="I4636">
        <f>IF(E4636="Gmail",COUNTIF($E$2:E4636,"Gmail"),"")</f>
        <v/>
      </c>
      <c r="J4636">
        <f>IF(E4636="Outlook",COUNTIF($E$2:E4636,"Outlook"),"")</f>
        <v/>
      </c>
      <c r="K4636">
        <f>IF(E4636="Domain",COUNTIF($E$2:E4636,"Domain"),"")</f>
        <v/>
      </c>
    </row>
    <row r="4637">
      <c r="A4637" s="2" t="n"/>
      <c r="B4637">
        <f>LOWER(TRIM(A4637))</f>
        <v/>
      </c>
      <c r="C4637">
        <f>IF(B4637="","",IFERROR(INDEX('Bad Patterns'!$A$2:$A$120,MATCH(1,INDEX(--ISNUMBER(SEARCH('Bad Patterns'!$A$2:$A$120,B4637)),0),0)),""))</f>
        <v/>
      </c>
      <c r="D4637">
        <f>IF(B4637="","",IF(C4637&lt;&gt;"","REMOVE","KEEP"))</f>
        <v/>
      </c>
      <c r="E4637">
        <f>IF(D4637&lt;&gt;"KEEP","",IF(RIGHT(B4637,10)="@gmail.com","Gmail",IF(OR(RIGHT(B4637,12)="@outlook.com",RIGHT(B4637,12)="@hotmail.com",RIGHT(B4637,9)="@live.com"),"Outlook","Domain")))</f>
        <v/>
      </c>
      <c r="F4637">
        <f>IF(B4637="","",IFERROR(RIGHT(B4637,LEN(B4637)-FIND("@",B4637)),""))</f>
        <v/>
      </c>
      <c r="G4637">
        <f>IF(D4637="KEEP",COUNTIF($D$2:D4637,"KEEP"),"")</f>
        <v/>
      </c>
      <c r="H4637">
        <f>IF(D4637="REMOVE",COUNTIF($D$2:D4637,"REMOVE"),"")</f>
        <v/>
      </c>
      <c r="I4637">
        <f>IF(E4637="Gmail",COUNTIF($E$2:E4637,"Gmail"),"")</f>
        <v/>
      </c>
      <c r="J4637">
        <f>IF(E4637="Outlook",COUNTIF($E$2:E4637,"Outlook"),"")</f>
        <v/>
      </c>
      <c r="K4637">
        <f>IF(E4637="Domain",COUNTIF($E$2:E4637,"Domain"),"")</f>
        <v/>
      </c>
    </row>
    <row r="4638">
      <c r="A4638" s="2" t="n"/>
      <c r="B4638">
        <f>LOWER(TRIM(A4638))</f>
        <v/>
      </c>
      <c r="C4638">
        <f>IF(B4638="","",IFERROR(INDEX('Bad Patterns'!$A$2:$A$120,MATCH(1,INDEX(--ISNUMBER(SEARCH('Bad Patterns'!$A$2:$A$120,B4638)),0),0)),""))</f>
        <v/>
      </c>
      <c r="D4638">
        <f>IF(B4638="","",IF(C4638&lt;&gt;"","REMOVE","KEEP"))</f>
        <v/>
      </c>
      <c r="E4638">
        <f>IF(D4638&lt;&gt;"KEEP","",IF(RIGHT(B4638,10)="@gmail.com","Gmail",IF(OR(RIGHT(B4638,12)="@outlook.com",RIGHT(B4638,12)="@hotmail.com",RIGHT(B4638,9)="@live.com"),"Outlook","Domain")))</f>
        <v/>
      </c>
      <c r="F4638">
        <f>IF(B4638="","",IFERROR(RIGHT(B4638,LEN(B4638)-FIND("@",B4638)),""))</f>
        <v/>
      </c>
      <c r="G4638">
        <f>IF(D4638="KEEP",COUNTIF($D$2:D4638,"KEEP"),"")</f>
        <v/>
      </c>
      <c r="H4638">
        <f>IF(D4638="REMOVE",COUNTIF($D$2:D4638,"REMOVE"),"")</f>
        <v/>
      </c>
      <c r="I4638">
        <f>IF(E4638="Gmail",COUNTIF($E$2:E4638,"Gmail"),"")</f>
        <v/>
      </c>
      <c r="J4638">
        <f>IF(E4638="Outlook",COUNTIF($E$2:E4638,"Outlook"),"")</f>
        <v/>
      </c>
      <c r="K4638">
        <f>IF(E4638="Domain",COUNTIF($E$2:E4638,"Domain"),"")</f>
        <v/>
      </c>
    </row>
    <row r="4639">
      <c r="A4639" s="2" t="n"/>
      <c r="B4639">
        <f>LOWER(TRIM(A4639))</f>
        <v/>
      </c>
      <c r="C4639">
        <f>IF(B4639="","",IFERROR(INDEX('Bad Patterns'!$A$2:$A$120,MATCH(1,INDEX(--ISNUMBER(SEARCH('Bad Patterns'!$A$2:$A$120,B4639)),0),0)),""))</f>
        <v/>
      </c>
      <c r="D4639">
        <f>IF(B4639="","",IF(C4639&lt;&gt;"","REMOVE","KEEP"))</f>
        <v/>
      </c>
      <c r="E4639">
        <f>IF(D4639&lt;&gt;"KEEP","",IF(RIGHT(B4639,10)="@gmail.com","Gmail",IF(OR(RIGHT(B4639,12)="@outlook.com",RIGHT(B4639,12)="@hotmail.com",RIGHT(B4639,9)="@live.com"),"Outlook","Domain")))</f>
        <v/>
      </c>
      <c r="F4639">
        <f>IF(B4639="","",IFERROR(RIGHT(B4639,LEN(B4639)-FIND("@",B4639)),""))</f>
        <v/>
      </c>
      <c r="G4639">
        <f>IF(D4639="KEEP",COUNTIF($D$2:D4639,"KEEP"),"")</f>
        <v/>
      </c>
      <c r="H4639">
        <f>IF(D4639="REMOVE",COUNTIF($D$2:D4639,"REMOVE"),"")</f>
        <v/>
      </c>
      <c r="I4639">
        <f>IF(E4639="Gmail",COUNTIF($E$2:E4639,"Gmail"),"")</f>
        <v/>
      </c>
      <c r="J4639">
        <f>IF(E4639="Outlook",COUNTIF($E$2:E4639,"Outlook"),"")</f>
        <v/>
      </c>
      <c r="K4639">
        <f>IF(E4639="Domain",COUNTIF($E$2:E4639,"Domain"),"")</f>
        <v/>
      </c>
    </row>
    <row r="4640">
      <c r="A4640" s="2" t="n"/>
      <c r="B4640">
        <f>LOWER(TRIM(A4640))</f>
        <v/>
      </c>
      <c r="C4640">
        <f>IF(B4640="","",IFERROR(INDEX('Bad Patterns'!$A$2:$A$120,MATCH(1,INDEX(--ISNUMBER(SEARCH('Bad Patterns'!$A$2:$A$120,B4640)),0),0)),""))</f>
        <v/>
      </c>
      <c r="D4640">
        <f>IF(B4640="","",IF(C4640&lt;&gt;"","REMOVE","KEEP"))</f>
        <v/>
      </c>
      <c r="E4640">
        <f>IF(D4640&lt;&gt;"KEEP","",IF(RIGHT(B4640,10)="@gmail.com","Gmail",IF(OR(RIGHT(B4640,12)="@outlook.com",RIGHT(B4640,12)="@hotmail.com",RIGHT(B4640,9)="@live.com"),"Outlook","Domain")))</f>
        <v/>
      </c>
      <c r="F4640">
        <f>IF(B4640="","",IFERROR(RIGHT(B4640,LEN(B4640)-FIND("@",B4640)),""))</f>
        <v/>
      </c>
      <c r="G4640">
        <f>IF(D4640="KEEP",COUNTIF($D$2:D4640,"KEEP"),"")</f>
        <v/>
      </c>
      <c r="H4640">
        <f>IF(D4640="REMOVE",COUNTIF($D$2:D4640,"REMOVE"),"")</f>
        <v/>
      </c>
      <c r="I4640">
        <f>IF(E4640="Gmail",COUNTIF($E$2:E4640,"Gmail"),"")</f>
        <v/>
      </c>
      <c r="J4640">
        <f>IF(E4640="Outlook",COUNTIF($E$2:E4640,"Outlook"),"")</f>
        <v/>
      </c>
      <c r="K4640">
        <f>IF(E4640="Domain",COUNTIF($E$2:E4640,"Domain"),"")</f>
        <v/>
      </c>
    </row>
    <row r="4641">
      <c r="A4641" s="2" t="n"/>
      <c r="B4641">
        <f>LOWER(TRIM(A4641))</f>
        <v/>
      </c>
      <c r="C4641">
        <f>IF(B4641="","",IFERROR(INDEX('Bad Patterns'!$A$2:$A$120,MATCH(1,INDEX(--ISNUMBER(SEARCH('Bad Patterns'!$A$2:$A$120,B4641)),0),0)),""))</f>
        <v/>
      </c>
      <c r="D4641">
        <f>IF(B4641="","",IF(C4641&lt;&gt;"","REMOVE","KEEP"))</f>
        <v/>
      </c>
      <c r="E4641">
        <f>IF(D4641&lt;&gt;"KEEP","",IF(RIGHT(B4641,10)="@gmail.com","Gmail",IF(OR(RIGHT(B4641,12)="@outlook.com",RIGHT(B4641,12)="@hotmail.com",RIGHT(B4641,9)="@live.com"),"Outlook","Domain")))</f>
        <v/>
      </c>
      <c r="F4641">
        <f>IF(B4641="","",IFERROR(RIGHT(B4641,LEN(B4641)-FIND("@",B4641)),""))</f>
        <v/>
      </c>
      <c r="G4641">
        <f>IF(D4641="KEEP",COUNTIF($D$2:D4641,"KEEP"),"")</f>
        <v/>
      </c>
      <c r="H4641">
        <f>IF(D4641="REMOVE",COUNTIF($D$2:D4641,"REMOVE"),"")</f>
        <v/>
      </c>
      <c r="I4641">
        <f>IF(E4641="Gmail",COUNTIF($E$2:E4641,"Gmail"),"")</f>
        <v/>
      </c>
      <c r="J4641">
        <f>IF(E4641="Outlook",COUNTIF($E$2:E4641,"Outlook"),"")</f>
        <v/>
      </c>
      <c r="K4641">
        <f>IF(E4641="Domain",COUNTIF($E$2:E4641,"Domain"),"")</f>
        <v/>
      </c>
    </row>
    <row r="4642">
      <c r="A4642" s="2" t="n"/>
      <c r="B4642">
        <f>LOWER(TRIM(A4642))</f>
        <v/>
      </c>
      <c r="C4642">
        <f>IF(B4642="","",IFERROR(INDEX('Bad Patterns'!$A$2:$A$120,MATCH(1,INDEX(--ISNUMBER(SEARCH('Bad Patterns'!$A$2:$A$120,B4642)),0),0)),""))</f>
        <v/>
      </c>
      <c r="D4642">
        <f>IF(B4642="","",IF(C4642&lt;&gt;"","REMOVE","KEEP"))</f>
        <v/>
      </c>
      <c r="E4642">
        <f>IF(D4642&lt;&gt;"KEEP","",IF(RIGHT(B4642,10)="@gmail.com","Gmail",IF(OR(RIGHT(B4642,12)="@outlook.com",RIGHT(B4642,12)="@hotmail.com",RIGHT(B4642,9)="@live.com"),"Outlook","Domain")))</f>
        <v/>
      </c>
      <c r="F4642">
        <f>IF(B4642="","",IFERROR(RIGHT(B4642,LEN(B4642)-FIND("@",B4642)),""))</f>
        <v/>
      </c>
      <c r="G4642">
        <f>IF(D4642="KEEP",COUNTIF($D$2:D4642,"KEEP"),"")</f>
        <v/>
      </c>
      <c r="H4642">
        <f>IF(D4642="REMOVE",COUNTIF($D$2:D4642,"REMOVE"),"")</f>
        <v/>
      </c>
      <c r="I4642">
        <f>IF(E4642="Gmail",COUNTIF($E$2:E4642,"Gmail"),"")</f>
        <v/>
      </c>
      <c r="J4642">
        <f>IF(E4642="Outlook",COUNTIF($E$2:E4642,"Outlook"),"")</f>
        <v/>
      </c>
      <c r="K4642">
        <f>IF(E4642="Domain",COUNTIF($E$2:E4642,"Domain"),"")</f>
        <v/>
      </c>
    </row>
    <row r="4643">
      <c r="A4643" s="2" t="n"/>
      <c r="B4643">
        <f>LOWER(TRIM(A4643))</f>
        <v/>
      </c>
      <c r="C4643">
        <f>IF(B4643="","",IFERROR(INDEX('Bad Patterns'!$A$2:$A$120,MATCH(1,INDEX(--ISNUMBER(SEARCH('Bad Patterns'!$A$2:$A$120,B4643)),0),0)),""))</f>
        <v/>
      </c>
      <c r="D4643">
        <f>IF(B4643="","",IF(C4643&lt;&gt;"","REMOVE","KEEP"))</f>
        <v/>
      </c>
      <c r="E4643">
        <f>IF(D4643&lt;&gt;"KEEP","",IF(RIGHT(B4643,10)="@gmail.com","Gmail",IF(OR(RIGHT(B4643,12)="@outlook.com",RIGHT(B4643,12)="@hotmail.com",RIGHT(B4643,9)="@live.com"),"Outlook","Domain")))</f>
        <v/>
      </c>
      <c r="F4643">
        <f>IF(B4643="","",IFERROR(RIGHT(B4643,LEN(B4643)-FIND("@",B4643)),""))</f>
        <v/>
      </c>
      <c r="G4643">
        <f>IF(D4643="KEEP",COUNTIF($D$2:D4643,"KEEP"),"")</f>
        <v/>
      </c>
      <c r="H4643">
        <f>IF(D4643="REMOVE",COUNTIF($D$2:D4643,"REMOVE"),"")</f>
        <v/>
      </c>
      <c r="I4643">
        <f>IF(E4643="Gmail",COUNTIF($E$2:E4643,"Gmail"),"")</f>
        <v/>
      </c>
      <c r="J4643">
        <f>IF(E4643="Outlook",COUNTIF($E$2:E4643,"Outlook"),"")</f>
        <v/>
      </c>
      <c r="K4643">
        <f>IF(E4643="Domain",COUNTIF($E$2:E4643,"Domain"),"")</f>
        <v/>
      </c>
    </row>
    <row r="4644">
      <c r="A4644" s="2" t="n"/>
      <c r="B4644">
        <f>LOWER(TRIM(A4644))</f>
        <v/>
      </c>
      <c r="C4644">
        <f>IF(B4644="","",IFERROR(INDEX('Bad Patterns'!$A$2:$A$120,MATCH(1,INDEX(--ISNUMBER(SEARCH('Bad Patterns'!$A$2:$A$120,B4644)),0),0)),""))</f>
        <v/>
      </c>
      <c r="D4644">
        <f>IF(B4644="","",IF(C4644&lt;&gt;"","REMOVE","KEEP"))</f>
        <v/>
      </c>
      <c r="E4644">
        <f>IF(D4644&lt;&gt;"KEEP","",IF(RIGHT(B4644,10)="@gmail.com","Gmail",IF(OR(RIGHT(B4644,12)="@outlook.com",RIGHT(B4644,12)="@hotmail.com",RIGHT(B4644,9)="@live.com"),"Outlook","Domain")))</f>
        <v/>
      </c>
      <c r="F4644">
        <f>IF(B4644="","",IFERROR(RIGHT(B4644,LEN(B4644)-FIND("@",B4644)),""))</f>
        <v/>
      </c>
      <c r="G4644">
        <f>IF(D4644="KEEP",COUNTIF($D$2:D4644,"KEEP"),"")</f>
        <v/>
      </c>
      <c r="H4644">
        <f>IF(D4644="REMOVE",COUNTIF($D$2:D4644,"REMOVE"),"")</f>
        <v/>
      </c>
      <c r="I4644">
        <f>IF(E4644="Gmail",COUNTIF($E$2:E4644,"Gmail"),"")</f>
        <v/>
      </c>
      <c r="J4644">
        <f>IF(E4644="Outlook",COUNTIF($E$2:E4644,"Outlook"),"")</f>
        <v/>
      </c>
      <c r="K4644">
        <f>IF(E4644="Domain",COUNTIF($E$2:E4644,"Domain"),"")</f>
        <v/>
      </c>
    </row>
    <row r="4645">
      <c r="A4645" s="2" t="n"/>
      <c r="B4645">
        <f>LOWER(TRIM(A4645))</f>
        <v/>
      </c>
      <c r="C4645">
        <f>IF(B4645="","",IFERROR(INDEX('Bad Patterns'!$A$2:$A$120,MATCH(1,INDEX(--ISNUMBER(SEARCH('Bad Patterns'!$A$2:$A$120,B4645)),0),0)),""))</f>
        <v/>
      </c>
      <c r="D4645">
        <f>IF(B4645="","",IF(C4645&lt;&gt;"","REMOVE","KEEP"))</f>
        <v/>
      </c>
      <c r="E4645">
        <f>IF(D4645&lt;&gt;"KEEP","",IF(RIGHT(B4645,10)="@gmail.com","Gmail",IF(OR(RIGHT(B4645,12)="@outlook.com",RIGHT(B4645,12)="@hotmail.com",RIGHT(B4645,9)="@live.com"),"Outlook","Domain")))</f>
        <v/>
      </c>
      <c r="F4645">
        <f>IF(B4645="","",IFERROR(RIGHT(B4645,LEN(B4645)-FIND("@",B4645)),""))</f>
        <v/>
      </c>
      <c r="G4645">
        <f>IF(D4645="KEEP",COUNTIF($D$2:D4645,"KEEP"),"")</f>
        <v/>
      </c>
      <c r="H4645">
        <f>IF(D4645="REMOVE",COUNTIF($D$2:D4645,"REMOVE"),"")</f>
        <v/>
      </c>
      <c r="I4645">
        <f>IF(E4645="Gmail",COUNTIF($E$2:E4645,"Gmail"),"")</f>
        <v/>
      </c>
      <c r="J4645">
        <f>IF(E4645="Outlook",COUNTIF($E$2:E4645,"Outlook"),"")</f>
        <v/>
      </c>
      <c r="K4645">
        <f>IF(E4645="Domain",COUNTIF($E$2:E4645,"Domain"),"")</f>
        <v/>
      </c>
    </row>
    <row r="4646">
      <c r="A4646" s="2" t="n"/>
      <c r="B4646">
        <f>LOWER(TRIM(A4646))</f>
        <v/>
      </c>
      <c r="C4646">
        <f>IF(B4646="","",IFERROR(INDEX('Bad Patterns'!$A$2:$A$120,MATCH(1,INDEX(--ISNUMBER(SEARCH('Bad Patterns'!$A$2:$A$120,B4646)),0),0)),""))</f>
        <v/>
      </c>
      <c r="D4646">
        <f>IF(B4646="","",IF(C4646&lt;&gt;"","REMOVE","KEEP"))</f>
        <v/>
      </c>
      <c r="E4646">
        <f>IF(D4646&lt;&gt;"KEEP","",IF(RIGHT(B4646,10)="@gmail.com","Gmail",IF(OR(RIGHT(B4646,12)="@outlook.com",RIGHT(B4646,12)="@hotmail.com",RIGHT(B4646,9)="@live.com"),"Outlook","Domain")))</f>
        <v/>
      </c>
      <c r="F4646">
        <f>IF(B4646="","",IFERROR(RIGHT(B4646,LEN(B4646)-FIND("@",B4646)),""))</f>
        <v/>
      </c>
      <c r="G4646">
        <f>IF(D4646="KEEP",COUNTIF($D$2:D4646,"KEEP"),"")</f>
        <v/>
      </c>
      <c r="H4646">
        <f>IF(D4646="REMOVE",COUNTIF($D$2:D4646,"REMOVE"),"")</f>
        <v/>
      </c>
      <c r="I4646">
        <f>IF(E4646="Gmail",COUNTIF($E$2:E4646,"Gmail"),"")</f>
        <v/>
      </c>
      <c r="J4646">
        <f>IF(E4646="Outlook",COUNTIF($E$2:E4646,"Outlook"),"")</f>
        <v/>
      </c>
      <c r="K4646">
        <f>IF(E4646="Domain",COUNTIF($E$2:E4646,"Domain"),"")</f>
        <v/>
      </c>
    </row>
    <row r="4647">
      <c r="A4647" s="2" t="n"/>
      <c r="B4647">
        <f>LOWER(TRIM(A4647))</f>
        <v/>
      </c>
      <c r="C4647">
        <f>IF(B4647="","",IFERROR(INDEX('Bad Patterns'!$A$2:$A$120,MATCH(1,INDEX(--ISNUMBER(SEARCH('Bad Patterns'!$A$2:$A$120,B4647)),0),0)),""))</f>
        <v/>
      </c>
      <c r="D4647">
        <f>IF(B4647="","",IF(C4647&lt;&gt;"","REMOVE","KEEP"))</f>
        <v/>
      </c>
      <c r="E4647">
        <f>IF(D4647&lt;&gt;"KEEP","",IF(RIGHT(B4647,10)="@gmail.com","Gmail",IF(OR(RIGHT(B4647,12)="@outlook.com",RIGHT(B4647,12)="@hotmail.com",RIGHT(B4647,9)="@live.com"),"Outlook","Domain")))</f>
        <v/>
      </c>
      <c r="F4647">
        <f>IF(B4647="","",IFERROR(RIGHT(B4647,LEN(B4647)-FIND("@",B4647)),""))</f>
        <v/>
      </c>
      <c r="G4647">
        <f>IF(D4647="KEEP",COUNTIF($D$2:D4647,"KEEP"),"")</f>
        <v/>
      </c>
      <c r="H4647">
        <f>IF(D4647="REMOVE",COUNTIF($D$2:D4647,"REMOVE"),"")</f>
        <v/>
      </c>
      <c r="I4647">
        <f>IF(E4647="Gmail",COUNTIF($E$2:E4647,"Gmail"),"")</f>
        <v/>
      </c>
      <c r="J4647">
        <f>IF(E4647="Outlook",COUNTIF($E$2:E4647,"Outlook"),"")</f>
        <v/>
      </c>
      <c r="K4647">
        <f>IF(E4647="Domain",COUNTIF($E$2:E4647,"Domain"),"")</f>
        <v/>
      </c>
    </row>
    <row r="4648">
      <c r="A4648" s="2" t="n"/>
      <c r="B4648">
        <f>LOWER(TRIM(A4648))</f>
        <v/>
      </c>
      <c r="C4648">
        <f>IF(B4648="","",IFERROR(INDEX('Bad Patterns'!$A$2:$A$120,MATCH(1,INDEX(--ISNUMBER(SEARCH('Bad Patterns'!$A$2:$A$120,B4648)),0),0)),""))</f>
        <v/>
      </c>
      <c r="D4648">
        <f>IF(B4648="","",IF(C4648&lt;&gt;"","REMOVE","KEEP"))</f>
        <v/>
      </c>
      <c r="E4648">
        <f>IF(D4648&lt;&gt;"KEEP","",IF(RIGHT(B4648,10)="@gmail.com","Gmail",IF(OR(RIGHT(B4648,12)="@outlook.com",RIGHT(B4648,12)="@hotmail.com",RIGHT(B4648,9)="@live.com"),"Outlook","Domain")))</f>
        <v/>
      </c>
      <c r="F4648">
        <f>IF(B4648="","",IFERROR(RIGHT(B4648,LEN(B4648)-FIND("@",B4648)),""))</f>
        <v/>
      </c>
      <c r="G4648">
        <f>IF(D4648="KEEP",COUNTIF($D$2:D4648,"KEEP"),"")</f>
        <v/>
      </c>
      <c r="H4648">
        <f>IF(D4648="REMOVE",COUNTIF($D$2:D4648,"REMOVE"),"")</f>
        <v/>
      </c>
      <c r="I4648">
        <f>IF(E4648="Gmail",COUNTIF($E$2:E4648,"Gmail"),"")</f>
        <v/>
      </c>
      <c r="J4648">
        <f>IF(E4648="Outlook",COUNTIF($E$2:E4648,"Outlook"),"")</f>
        <v/>
      </c>
      <c r="K4648">
        <f>IF(E4648="Domain",COUNTIF($E$2:E4648,"Domain"),"")</f>
        <v/>
      </c>
    </row>
    <row r="4649">
      <c r="A4649" s="2" t="n"/>
      <c r="B4649">
        <f>LOWER(TRIM(A4649))</f>
        <v/>
      </c>
      <c r="C4649">
        <f>IF(B4649="","",IFERROR(INDEX('Bad Patterns'!$A$2:$A$120,MATCH(1,INDEX(--ISNUMBER(SEARCH('Bad Patterns'!$A$2:$A$120,B4649)),0),0)),""))</f>
        <v/>
      </c>
      <c r="D4649">
        <f>IF(B4649="","",IF(C4649&lt;&gt;"","REMOVE","KEEP"))</f>
        <v/>
      </c>
      <c r="E4649">
        <f>IF(D4649&lt;&gt;"KEEP","",IF(RIGHT(B4649,10)="@gmail.com","Gmail",IF(OR(RIGHT(B4649,12)="@outlook.com",RIGHT(B4649,12)="@hotmail.com",RIGHT(B4649,9)="@live.com"),"Outlook","Domain")))</f>
        <v/>
      </c>
      <c r="F4649">
        <f>IF(B4649="","",IFERROR(RIGHT(B4649,LEN(B4649)-FIND("@",B4649)),""))</f>
        <v/>
      </c>
      <c r="G4649">
        <f>IF(D4649="KEEP",COUNTIF($D$2:D4649,"KEEP"),"")</f>
        <v/>
      </c>
      <c r="H4649">
        <f>IF(D4649="REMOVE",COUNTIF($D$2:D4649,"REMOVE"),"")</f>
        <v/>
      </c>
      <c r="I4649">
        <f>IF(E4649="Gmail",COUNTIF($E$2:E4649,"Gmail"),"")</f>
        <v/>
      </c>
      <c r="J4649">
        <f>IF(E4649="Outlook",COUNTIF($E$2:E4649,"Outlook"),"")</f>
        <v/>
      </c>
      <c r="K4649">
        <f>IF(E4649="Domain",COUNTIF($E$2:E4649,"Domain"),"")</f>
        <v/>
      </c>
    </row>
    <row r="4650">
      <c r="A4650" s="2" t="n"/>
      <c r="B4650">
        <f>LOWER(TRIM(A4650))</f>
        <v/>
      </c>
      <c r="C4650">
        <f>IF(B4650="","",IFERROR(INDEX('Bad Patterns'!$A$2:$A$120,MATCH(1,INDEX(--ISNUMBER(SEARCH('Bad Patterns'!$A$2:$A$120,B4650)),0),0)),""))</f>
        <v/>
      </c>
      <c r="D4650">
        <f>IF(B4650="","",IF(C4650&lt;&gt;"","REMOVE","KEEP"))</f>
        <v/>
      </c>
      <c r="E4650">
        <f>IF(D4650&lt;&gt;"KEEP","",IF(RIGHT(B4650,10)="@gmail.com","Gmail",IF(OR(RIGHT(B4650,12)="@outlook.com",RIGHT(B4650,12)="@hotmail.com",RIGHT(B4650,9)="@live.com"),"Outlook","Domain")))</f>
        <v/>
      </c>
      <c r="F4650">
        <f>IF(B4650="","",IFERROR(RIGHT(B4650,LEN(B4650)-FIND("@",B4650)),""))</f>
        <v/>
      </c>
      <c r="G4650">
        <f>IF(D4650="KEEP",COUNTIF($D$2:D4650,"KEEP"),"")</f>
        <v/>
      </c>
      <c r="H4650">
        <f>IF(D4650="REMOVE",COUNTIF($D$2:D4650,"REMOVE"),"")</f>
        <v/>
      </c>
      <c r="I4650">
        <f>IF(E4650="Gmail",COUNTIF($E$2:E4650,"Gmail"),"")</f>
        <v/>
      </c>
      <c r="J4650">
        <f>IF(E4650="Outlook",COUNTIF($E$2:E4650,"Outlook"),"")</f>
        <v/>
      </c>
      <c r="K4650">
        <f>IF(E4650="Domain",COUNTIF($E$2:E4650,"Domain"),"")</f>
        <v/>
      </c>
    </row>
    <row r="4651">
      <c r="A4651" s="2" t="n"/>
      <c r="B4651">
        <f>LOWER(TRIM(A4651))</f>
        <v/>
      </c>
      <c r="C4651">
        <f>IF(B4651="","",IFERROR(INDEX('Bad Patterns'!$A$2:$A$120,MATCH(1,INDEX(--ISNUMBER(SEARCH('Bad Patterns'!$A$2:$A$120,B4651)),0),0)),""))</f>
        <v/>
      </c>
      <c r="D4651">
        <f>IF(B4651="","",IF(C4651&lt;&gt;"","REMOVE","KEEP"))</f>
        <v/>
      </c>
      <c r="E4651">
        <f>IF(D4651&lt;&gt;"KEEP","",IF(RIGHT(B4651,10)="@gmail.com","Gmail",IF(OR(RIGHT(B4651,12)="@outlook.com",RIGHT(B4651,12)="@hotmail.com",RIGHT(B4651,9)="@live.com"),"Outlook","Domain")))</f>
        <v/>
      </c>
      <c r="F4651">
        <f>IF(B4651="","",IFERROR(RIGHT(B4651,LEN(B4651)-FIND("@",B4651)),""))</f>
        <v/>
      </c>
      <c r="G4651">
        <f>IF(D4651="KEEP",COUNTIF($D$2:D4651,"KEEP"),"")</f>
        <v/>
      </c>
      <c r="H4651">
        <f>IF(D4651="REMOVE",COUNTIF($D$2:D4651,"REMOVE"),"")</f>
        <v/>
      </c>
      <c r="I4651">
        <f>IF(E4651="Gmail",COUNTIF($E$2:E4651,"Gmail"),"")</f>
        <v/>
      </c>
      <c r="J4651">
        <f>IF(E4651="Outlook",COUNTIF($E$2:E4651,"Outlook"),"")</f>
        <v/>
      </c>
      <c r="K4651">
        <f>IF(E4651="Domain",COUNTIF($E$2:E4651,"Domain"),"")</f>
        <v/>
      </c>
    </row>
    <row r="4652">
      <c r="A4652" s="2" t="n"/>
      <c r="B4652">
        <f>LOWER(TRIM(A4652))</f>
        <v/>
      </c>
      <c r="C4652">
        <f>IF(B4652="","",IFERROR(INDEX('Bad Patterns'!$A$2:$A$120,MATCH(1,INDEX(--ISNUMBER(SEARCH('Bad Patterns'!$A$2:$A$120,B4652)),0),0)),""))</f>
        <v/>
      </c>
      <c r="D4652">
        <f>IF(B4652="","",IF(C4652&lt;&gt;"","REMOVE","KEEP"))</f>
        <v/>
      </c>
      <c r="E4652">
        <f>IF(D4652&lt;&gt;"KEEP","",IF(RIGHT(B4652,10)="@gmail.com","Gmail",IF(OR(RIGHT(B4652,12)="@outlook.com",RIGHT(B4652,12)="@hotmail.com",RIGHT(B4652,9)="@live.com"),"Outlook","Domain")))</f>
        <v/>
      </c>
      <c r="F4652">
        <f>IF(B4652="","",IFERROR(RIGHT(B4652,LEN(B4652)-FIND("@",B4652)),""))</f>
        <v/>
      </c>
      <c r="G4652">
        <f>IF(D4652="KEEP",COUNTIF($D$2:D4652,"KEEP"),"")</f>
        <v/>
      </c>
      <c r="H4652">
        <f>IF(D4652="REMOVE",COUNTIF($D$2:D4652,"REMOVE"),"")</f>
        <v/>
      </c>
      <c r="I4652">
        <f>IF(E4652="Gmail",COUNTIF($E$2:E4652,"Gmail"),"")</f>
        <v/>
      </c>
      <c r="J4652">
        <f>IF(E4652="Outlook",COUNTIF($E$2:E4652,"Outlook"),"")</f>
        <v/>
      </c>
      <c r="K4652">
        <f>IF(E4652="Domain",COUNTIF($E$2:E4652,"Domain"),"")</f>
        <v/>
      </c>
    </row>
    <row r="4653">
      <c r="A4653" s="2" t="n"/>
      <c r="B4653">
        <f>LOWER(TRIM(A4653))</f>
        <v/>
      </c>
      <c r="C4653">
        <f>IF(B4653="","",IFERROR(INDEX('Bad Patterns'!$A$2:$A$120,MATCH(1,INDEX(--ISNUMBER(SEARCH('Bad Patterns'!$A$2:$A$120,B4653)),0),0)),""))</f>
        <v/>
      </c>
      <c r="D4653">
        <f>IF(B4653="","",IF(C4653&lt;&gt;"","REMOVE","KEEP"))</f>
        <v/>
      </c>
      <c r="E4653">
        <f>IF(D4653&lt;&gt;"KEEP","",IF(RIGHT(B4653,10)="@gmail.com","Gmail",IF(OR(RIGHT(B4653,12)="@outlook.com",RIGHT(B4653,12)="@hotmail.com",RIGHT(B4653,9)="@live.com"),"Outlook","Domain")))</f>
        <v/>
      </c>
      <c r="F4653">
        <f>IF(B4653="","",IFERROR(RIGHT(B4653,LEN(B4653)-FIND("@",B4653)),""))</f>
        <v/>
      </c>
      <c r="G4653">
        <f>IF(D4653="KEEP",COUNTIF($D$2:D4653,"KEEP"),"")</f>
        <v/>
      </c>
      <c r="H4653">
        <f>IF(D4653="REMOVE",COUNTIF($D$2:D4653,"REMOVE"),"")</f>
        <v/>
      </c>
      <c r="I4653">
        <f>IF(E4653="Gmail",COUNTIF($E$2:E4653,"Gmail"),"")</f>
        <v/>
      </c>
      <c r="J4653">
        <f>IF(E4653="Outlook",COUNTIF($E$2:E4653,"Outlook"),"")</f>
        <v/>
      </c>
      <c r="K4653">
        <f>IF(E4653="Domain",COUNTIF($E$2:E4653,"Domain"),"")</f>
        <v/>
      </c>
    </row>
    <row r="4654">
      <c r="A4654" s="2" t="n"/>
      <c r="B4654">
        <f>LOWER(TRIM(A4654))</f>
        <v/>
      </c>
      <c r="C4654">
        <f>IF(B4654="","",IFERROR(INDEX('Bad Patterns'!$A$2:$A$120,MATCH(1,INDEX(--ISNUMBER(SEARCH('Bad Patterns'!$A$2:$A$120,B4654)),0),0)),""))</f>
        <v/>
      </c>
      <c r="D4654">
        <f>IF(B4654="","",IF(C4654&lt;&gt;"","REMOVE","KEEP"))</f>
        <v/>
      </c>
      <c r="E4654">
        <f>IF(D4654&lt;&gt;"KEEP","",IF(RIGHT(B4654,10)="@gmail.com","Gmail",IF(OR(RIGHT(B4654,12)="@outlook.com",RIGHT(B4654,12)="@hotmail.com",RIGHT(B4654,9)="@live.com"),"Outlook","Domain")))</f>
        <v/>
      </c>
      <c r="F4654">
        <f>IF(B4654="","",IFERROR(RIGHT(B4654,LEN(B4654)-FIND("@",B4654)),""))</f>
        <v/>
      </c>
      <c r="G4654">
        <f>IF(D4654="KEEP",COUNTIF($D$2:D4654,"KEEP"),"")</f>
        <v/>
      </c>
      <c r="H4654">
        <f>IF(D4654="REMOVE",COUNTIF($D$2:D4654,"REMOVE"),"")</f>
        <v/>
      </c>
      <c r="I4654">
        <f>IF(E4654="Gmail",COUNTIF($E$2:E4654,"Gmail"),"")</f>
        <v/>
      </c>
      <c r="J4654">
        <f>IF(E4654="Outlook",COUNTIF($E$2:E4654,"Outlook"),"")</f>
        <v/>
      </c>
      <c r="K4654">
        <f>IF(E4654="Domain",COUNTIF($E$2:E4654,"Domain"),"")</f>
        <v/>
      </c>
    </row>
    <row r="4655">
      <c r="A4655" s="2" t="n"/>
      <c r="B4655">
        <f>LOWER(TRIM(A4655))</f>
        <v/>
      </c>
      <c r="C4655">
        <f>IF(B4655="","",IFERROR(INDEX('Bad Patterns'!$A$2:$A$120,MATCH(1,INDEX(--ISNUMBER(SEARCH('Bad Patterns'!$A$2:$A$120,B4655)),0),0)),""))</f>
        <v/>
      </c>
      <c r="D4655">
        <f>IF(B4655="","",IF(C4655&lt;&gt;"","REMOVE","KEEP"))</f>
        <v/>
      </c>
      <c r="E4655">
        <f>IF(D4655&lt;&gt;"KEEP","",IF(RIGHT(B4655,10)="@gmail.com","Gmail",IF(OR(RIGHT(B4655,12)="@outlook.com",RIGHT(B4655,12)="@hotmail.com",RIGHT(B4655,9)="@live.com"),"Outlook","Domain")))</f>
        <v/>
      </c>
      <c r="F4655">
        <f>IF(B4655="","",IFERROR(RIGHT(B4655,LEN(B4655)-FIND("@",B4655)),""))</f>
        <v/>
      </c>
      <c r="G4655">
        <f>IF(D4655="KEEP",COUNTIF($D$2:D4655,"KEEP"),"")</f>
        <v/>
      </c>
      <c r="H4655">
        <f>IF(D4655="REMOVE",COUNTIF($D$2:D4655,"REMOVE"),"")</f>
        <v/>
      </c>
      <c r="I4655">
        <f>IF(E4655="Gmail",COUNTIF($E$2:E4655,"Gmail"),"")</f>
        <v/>
      </c>
      <c r="J4655">
        <f>IF(E4655="Outlook",COUNTIF($E$2:E4655,"Outlook"),"")</f>
        <v/>
      </c>
      <c r="K4655">
        <f>IF(E4655="Domain",COUNTIF($E$2:E4655,"Domain"),"")</f>
        <v/>
      </c>
    </row>
    <row r="4656">
      <c r="A4656" s="2" t="n"/>
      <c r="B4656">
        <f>LOWER(TRIM(A4656))</f>
        <v/>
      </c>
      <c r="C4656">
        <f>IF(B4656="","",IFERROR(INDEX('Bad Patterns'!$A$2:$A$120,MATCH(1,INDEX(--ISNUMBER(SEARCH('Bad Patterns'!$A$2:$A$120,B4656)),0),0)),""))</f>
        <v/>
      </c>
      <c r="D4656">
        <f>IF(B4656="","",IF(C4656&lt;&gt;"","REMOVE","KEEP"))</f>
        <v/>
      </c>
      <c r="E4656">
        <f>IF(D4656&lt;&gt;"KEEP","",IF(RIGHT(B4656,10)="@gmail.com","Gmail",IF(OR(RIGHT(B4656,12)="@outlook.com",RIGHT(B4656,12)="@hotmail.com",RIGHT(B4656,9)="@live.com"),"Outlook","Domain")))</f>
        <v/>
      </c>
      <c r="F4656">
        <f>IF(B4656="","",IFERROR(RIGHT(B4656,LEN(B4656)-FIND("@",B4656)),""))</f>
        <v/>
      </c>
      <c r="G4656">
        <f>IF(D4656="KEEP",COUNTIF($D$2:D4656,"KEEP"),"")</f>
        <v/>
      </c>
      <c r="H4656">
        <f>IF(D4656="REMOVE",COUNTIF($D$2:D4656,"REMOVE"),"")</f>
        <v/>
      </c>
      <c r="I4656">
        <f>IF(E4656="Gmail",COUNTIF($E$2:E4656,"Gmail"),"")</f>
        <v/>
      </c>
      <c r="J4656">
        <f>IF(E4656="Outlook",COUNTIF($E$2:E4656,"Outlook"),"")</f>
        <v/>
      </c>
      <c r="K4656">
        <f>IF(E4656="Domain",COUNTIF($E$2:E4656,"Domain"),"")</f>
        <v/>
      </c>
    </row>
    <row r="4657">
      <c r="A4657" s="2" t="n"/>
      <c r="B4657">
        <f>LOWER(TRIM(A4657))</f>
        <v/>
      </c>
      <c r="C4657">
        <f>IF(B4657="","",IFERROR(INDEX('Bad Patterns'!$A$2:$A$120,MATCH(1,INDEX(--ISNUMBER(SEARCH('Bad Patterns'!$A$2:$A$120,B4657)),0),0)),""))</f>
        <v/>
      </c>
      <c r="D4657">
        <f>IF(B4657="","",IF(C4657&lt;&gt;"","REMOVE","KEEP"))</f>
        <v/>
      </c>
      <c r="E4657">
        <f>IF(D4657&lt;&gt;"KEEP","",IF(RIGHT(B4657,10)="@gmail.com","Gmail",IF(OR(RIGHT(B4657,12)="@outlook.com",RIGHT(B4657,12)="@hotmail.com",RIGHT(B4657,9)="@live.com"),"Outlook","Domain")))</f>
        <v/>
      </c>
      <c r="F4657">
        <f>IF(B4657="","",IFERROR(RIGHT(B4657,LEN(B4657)-FIND("@",B4657)),""))</f>
        <v/>
      </c>
      <c r="G4657">
        <f>IF(D4657="KEEP",COUNTIF($D$2:D4657,"KEEP"),"")</f>
        <v/>
      </c>
      <c r="H4657">
        <f>IF(D4657="REMOVE",COUNTIF($D$2:D4657,"REMOVE"),"")</f>
        <v/>
      </c>
      <c r="I4657">
        <f>IF(E4657="Gmail",COUNTIF($E$2:E4657,"Gmail"),"")</f>
        <v/>
      </c>
      <c r="J4657">
        <f>IF(E4657="Outlook",COUNTIF($E$2:E4657,"Outlook"),"")</f>
        <v/>
      </c>
      <c r="K4657">
        <f>IF(E4657="Domain",COUNTIF($E$2:E4657,"Domain"),"")</f>
        <v/>
      </c>
    </row>
    <row r="4658">
      <c r="A4658" s="2" t="n"/>
      <c r="B4658">
        <f>LOWER(TRIM(A4658))</f>
        <v/>
      </c>
      <c r="C4658">
        <f>IF(B4658="","",IFERROR(INDEX('Bad Patterns'!$A$2:$A$120,MATCH(1,INDEX(--ISNUMBER(SEARCH('Bad Patterns'!$A$2:$A$120,B4658)),0),0)),""))</f>
        <v/>
      </c>
      <c r="D4658">
        <f>IF(B4658="","",IF(C4658&lt;&gt;"","REMOVE","KEEP"))</f>
        <v/>
      </c>
      <c r="E4658">
        <f>IF(D4658&lt;&gt;"KEEP","",IF(RIGHT(B4658,10)="@gmail.com","Gmail",IF(OR(RIGHT(B4658,12)="@outlook.com",RIGHT(B4658,12)="@hotmail.com",RIGHT(B4658,9)="@live.com"),"Outlook","Domain")))</f>
        <v/>
      </c>
      <c r="F4658">
        <f>IF(B4658="","",IFERROR(RIGHT(B4658,LEN(B4658)-FIND("@",B4658)),""))</f>
        <v/>
      </c>
      <c r="G4658">
        <f>IF(D4658="KEEP",COUNTIF($D$2:D4658,"KEEP"),"")</f>
        <v/>
      </c>
      <c r="H4658">
        <f>IF(D4658="REMOVE",COUNTIF($D$2:D4658,"REMOVE"),"")</f>
        <v/>
      </c>
      <c r="I4658">
        <f>IF(E4658="Gmail",COUNTIF($E$2:E4658,"Gmail"),"")</f>
        <v/>
      </c>
      <c r="J4658">
        <f>IF(E4658="Outlook",COUNTIF($E$2:E4658,"Outlook"),"")</f>
        <v/>
      </c>
      <c r="K4658">
        <f>IF(E4658="Domain",COUNTIF($E$2:E4658,"Domain"),"")</f>
        <v/>
      </c>
    </row>
    <row r="4659">
      <c r="A4659" s="2" t="n"/>
      <c r="B4659">
        <f>LOWER(TRIM(A4659))</f>
        <v/>
      </c>
      <c r="C4659">
        <f>IF(B4659="","",IFERROR(INDEX('Bad Patterns'!$A$2:$A$120,MATCH(1,INDEX(--ISNUMBER(SEARCH('Bad Patterns'!$A$2:$A$120,B4659)),0),0)),""))</f>
        <v/>
      </c>
      <c r="D4659">
        <f>IF(B4659="","",IF(C4659&lt;&gt;"","REMOVE","KEEP"))</f>
        <v/>
      </c>
      <c r="E4659">
        <f>IF(D4659&lt;&gt;"KEEP","",IF(RIGHT(B4659,10)="@gmail.com","Gmail",IF(OR(RIGHT(B4659,12)="@outlook.com",RIGHT(B4659,12)="@hotmail.com",RIGHT(B4659,9)="@live.com"),"Outlook","Domain")))</f>
        <v/>
      </c>
      <c r="F4659">
        <f>IF(B4659="","",IFERROR(RIGHT(B4659,LEN(B4659)-FIND("@",B4659)),""))</f>
        <v/>
      </c>
      <c r="G4659">
        <f>IF(D4659="KEEP",COUNTIF($D$2:D4659,"KEEP"),"")</f>
        <v/>
      </c>
      <c r="H4659">
        <f>IF(D4659="REMOVE",COUNTIF($D$2:D4659,"REMOVE"),"")</f>
        <v/>
      </c>
      <c r="I4659">
        <f>IF(E4659="Gmail",COUNTIF($E$2:E4659,"Gmail"),"")</f>
        <v/>
      </c>
      <c r="J4659">
        <f>IF(E4659="Outlook",COUNTIF($E$2:E4659,"Outlook"),"")</f>
        <v/>
      </c>
      <c r="K4659">
        <f>IF(E4659="Domain",COUNTIF($E$2:E4659,"Domain"),"")</f>
        <v/>
      </c>
    </row>
    <row r="4660">
      <c r="A4660" s="2" t="n"/>
      <c r="B4660">
        <f>LOWER(TRIM(A4660))</f>
        <v/>
      </c>
      <c r="C4660">
        <f>IF(B4660="","",IFERROR(INDEX('Bad Patterns'!$A$2:$A$120,MATCH(1,INDEX(--ISNUMBER(SEARCH('Bad Patterns'!$A$2:$A$120,B4660)),0),0)),""))</f>
        <v/>
      </c>
      <c r="D4660">
        <f>IF(B4660="","",IF(C4660&lt;&gt;"","REMOVE","KEEP"))</f>
        <v/>
      </c>
      <c r="E4660">
        <f>IF(D4660&lt;&gt;"KEEP","",IF(RIGHT(B4660,10)="@gmail.com","Gmail",IF(OR(RIGHT(B4660,12)="@outlook.com",RIGHT(B4660,12)="@hotmail.com",RIGHT(B4660,9)="@live.com"),"Outlook","Domain")))</f>
        <v/>
      </c>
      <c r="F4660">
        <f>IF(B4660="","",IFERROR(RIGHT(B4660,LEN(B4660)-FIND("@",B4660)),""))</f>
        <v/>
      </c>
      <c r="G4660">
        <f>IF(D4660="KEEP",COUNTIF($D$2:D4660,"KEEP"),"")</f>
        <v/>
      </c>
      <c r="H4660">
        <f>IF(D4660="REMOVE",COUNTIF($D$2:D4660,"REMOVE"),"")</f>
        <v/>
      </c>
      <c r="I4660">
        <f>IF(E4660="Gmail",COUNTIF($E$2:E4660,"Gmail"),"")</f>
        <v/>
      </c>
      <c r="J4660">
        <f>IF(E4660="Outlook",COUNTIF($E$2:E4660,"Outlook"),"")</f>
        <v/>
      </c>
      <c r="K4660">
        <f>IF(E4660="Domain",COUNTIF($E$2:E4660,"Domain"),"")</f>
        <v/>
      </c>
    </row>
    <row r="4661">
      <c r="A4661" s="2" t="n"/>
      <c r="B4661">
        <f>LOWER(TRIM(A4661))</f>
        <v/>
      </c>
      <c r="C4661">
        <f>IF(B4661="","",IFERROR(INDEX('Bad Patterns'!$A$2:$A$120,MATCH(1,INDEX(--ISNUMBER(SEARCH('Bad Patterns'!$A$2:$A$120,B4661)),0),0)),""))</f>
        <v/>
      </c>
      <c r="D4661">
        <f>IF(B4661="","",IF(C4661&lt;&gt;"","REMOVE","KEEP"))</f>
        <v/>
      </c>
      <c r="E4661">
        <f>IF(D4661&lt;&gt;"KEEP","",IF(RIGHT(B4661,10)="@gmail.com","Gmail",IF(OR(RIGHT(B4661,12)="@outlook.com",RIGHT(B4661,12)="@hotmail.com",RIGHT(B4661,9)="@live.com"),"Outlook","Domain")))</f>
        <v/>
      </c>
      <c r="F4661">
        <f>IF(B4661="","",IFERROR(RIGHT(B4661,LEN(B4661)-FIND("@",B4661)),""))</f>
        <v/>
      </c>
      <c r="G4661">
        <f>IF(D4661="KEEP",COUNTIF($D$2:D4661,"KEEP"),"")</f>
        <v/>
      </c>
      <c r="H4661">
        <f>IF(D4661="REMOVE",COUNTIF($D$2:D4661,"REMOVE"),"")</f>
        <v/>
      </c>
      <c r="I4661">
        <f>IF(E4661="Gmail",COUNTIF($E$2:E4661,"Gmail"),"")</f>
        <v/>
      </c>
      <c r="J4661">
        <f>IF(E4661="Outlook",COUNTIF($E$2:E4661,"Outlook"),"")</f>
        <v/>
      </c>
      <c r="K4661">
        <f>IF(E4661="Domain",COUNTIF($E$2:E4661,"Domain"),"")</f>
        <v/>
      </c>
    </row>
    <row r="4662">
      <c r="A4662" s="2" t="n"/>
      <c r="B4662">
        <f>LOWER(TRIM(A4662))</f>
        <v/>
      </c>
      <c r="C4662">
        <f>IF(B4662="","",IFERROR(INDEX('Bad Patterns'!$A$2:$A$120,MATCH(1,INDEX(--ISNUMBER(SEARCH('Bad Patterns'!$A$2:$A$120,B4662)),0),0)),""))</f>
        <v/>
      </c>
      <c r="D4662">
        <f>IF(B4662="","",IF(C4662&lt;&gt;"","REMOVE","KEEP"))</f>
        <v/>
      </c>
      <c r="E4662">
        <f>IF(D4662&lt;&gt;"KEEP","",IF(RIGHT(B4662,10)="@gmail.com","Gmail",IF(OR(RIGHT(B4662,12)="@outlook.com",RIGHT(B4662,12)="@hotmail.com",RIGHT(B4662,9)="@live.com"),"Outlook","Domain")))</f>
        <v/>
      </c>
      <c r="F4662">
        <f>IF(B4662="","",IFERROR(RIGHT(B4662,LEN(B4662)-FIND("@",B4662)),""))</f>
        <v/>
      </c>
      <c r="G4662">
        <f>IF(D4662="KEEP",COUNTIF($D$2:D4662,"KEEP"),"")</f>
        <v/>
      </c>
      <c r="H4662">
        <f>IF(D4662="REMOVE",COUNTIF($D$2:D4662,"REMOVE"),"")</f>
        <v/>
      </c>
      <c r="I4662">
        <f>IF(E4662="Gmail",COUNTIF($E$2:E4662,"Gmail"),"")</f>
        <v/>
      </c>
      <c r="J4662">
        <f>IF(E4662="Outlook",COUNTIF($E$2:E4662,"Outlook"),"")</f>
        <v/>
      </c>
      <c r="K4662">
        <f>IF(E4662="Domain",COUNTIF($E$2:E4662,"Domain"),"")</f>
        <v/>
      </c>
    </row>
    <row r="4663">
      <c r="A4663" s="2" t="n"/>
      <c r="B4663">
        <f>LOWER(TRIM(A4663))</f>
        <v/>
      </c>
      <c r="C4663">
        <f>IF(B4663="","",IFERROR(INDEX('Bad Patterns'!$A$2:$A$120,MATCH(1,INDEX(--ISNUMBER(SEARCH('Bad Patterns'!$A$2:$A$120,B4663)),0),0)),""))</f>
        <v/>
      </c>
      <c r="D4663">
        <f>IF(B4663="","",IF(C4663&lt;&gt;"","REMOVE","KEEP"))</f>
        <v/>
      </c>
      <c r="E4663">
        <f>IF(D4663&lt;&gt;"KEEP","",IF(RIGHT(B4663,10)="@gmail.com","Gmail",IF(OR(RIGHT(B4663,12)="@outlook.com",RIGHT(B4663,12)="@hotmail.com",RIGHT(B4663,9)="@live.com"),"Outlook","Domain")))</f>
        <v/>
      </c>
      <c r="F4663">
        <f>IF(B4663="","",IFERROR(RIGHT(B4663,LEN(B4663)-FIND("@",B4663)),""))</f>
        <v/>
      </c>
      <c r="G4663">
        <f>IF(D4663="KEEP",COUNTIF($D$2:D4663,"KEEP"),"")</f>
        <v/>
      </c>
      <c r="H4663">
        <f>IF(D4663="REMOVE",COUNTIF($D$2:D4663,"REMOVE"),"")</f>
        <v/>
      </c>
      <c r="I4663">
        <f>IF(E4663="Gmail",COUNTIF($E$2:E4663,"Gmail"),"")</f>
        <v/>
      </c>
      <c r="J4663">
        <f>IF(E4663="Outlook",COUNTIF($E$2:E4663,"Outlook"),"")</f>
        <v/>
      </c>
      <c r="K4663">
        <f>IF(E4663="Domain",COUNTIF($E$2:E4663,"Domain"),"")</f>
        <v/>
      </c>
    </row>
    <row r="4664">
      <c r="A4664" s="2" t="n"/>
      <c r="B4664">
        <f>LOWER(TRIM(A4664))</f>
        <v/>
      </c>
      <c r="C4664">
        <f>IF(B4664="","",IFERROR(INDEX('Bad Patterns'!$A$2:$A$120,MATCH(1,INDEX(--ISNUMBER(SEARCH('Bad Patterns'!$A$2:$A$120,B4664)),0),0)),""))</f>
        <v/>
      </c>
      <c r="D4664">
        <f>IF(B4664="","",IF(C4664&lt;&gt;"","REMOVE","KEEP"))</f>
        <v/>
      </c>
      <c r="E4664">
        <f>IF(D4664&lt;&gt;"KEEP","",IF(RIGHT(B4664,10)="@gmail.com","Gmail",IF(OR(RIGHT(B4664,12)="@outlook.com",RIGHT(B4664,12)="@hotmail.com",RIGHT(B4664,9)="@live.com"),"Outlook","Domain")))</f>
        <v/>
      </c>
      <c r="F4664">
        <f>IF(B4664="","",IFERROR(RIGHT(B4664,LEN(B4664)-FIND("@",B4664)),""))</f>
        <v/>
      </c>
      <c r="G4664">
        <f>IF(D4664="KEEP",COUNTIF($D$2:D4664,"KEEP"),"")</f>
        <v/>
      </c>
      <c r="H4664">
        <f>IF(D4664="REMOVE",COUNTIF($D$2:D4664,"REMOVE"),"")</f>
        <v/>
      </c>
      <c r="I4664">
        <f>IF(E4664="Gmail",COUNTIF($E$2:E4664,"Gmail"),"")</f>
        <v/>
      </c>
      <c r="J4664">
        <f>IF(E4664="Outlook",COUNTIF($E$2:E4664,"Outlook"),"")</f>
        <v/>
      </c>
      <c r="K4664">
        <f>IF(E4664="Domain",COUNTIF($E$2:E4664,"Domain"),"")</f>
        <v/>
      </c>
    </row>
    <row r="4665">
      <c r="A4665" s="2" t="n"/>
      <c r="B4665">
        <f>LOWER(TRIM(A4665))</f>
        <v/>
      </c>
      <c r="C4665">
        <f>IF(B4665="","",IFERROR(INDEX('Bad Patterns'!$A$2:$A$120,MATCH(1,INDEX(--ISNUMBER(SEARCH('Bad Patterns'!$A$2:$A$120,B4665)),0),0)),""))</f>
        <v/>
      </c>
      <c r="D4665">
        <f>IF(B4665="","",IF(C4665&lt;&gt;"","REMOVE","KEEP"))</f>
        <v/>
      </c>
      <c r="E4665">
        <f>IF(D4665&lt;&gt;"KEEP","",IF(RIGHT(B4665,10)="@gmail.com","Gmail",IF(OR(RIGHT(B4665,12)="@outlook.com",RIGHT(B4665,12)="@hotmail.com",RIGHT(B4665,9)="@live.com"),"Outlook","Domain")))</f>
        <v/>
      </c>
      <c r="F4665">
        <f>IF(B4665="","",IFERROR(RIGHT(B4665,LEN(B4665)-FIND("@",B4665)),""))</f>
        <v/>
      </c>
      <c r="G4665">
        <f>IF(D4665="KEEP",COUNTIF($D$2:D4665,"KEEP"),"")</f>
        <v/>
      </c>
      <c r="H4665">
        <f>IF(D4665="REMOVE",COUNTIF($D$2:D4665,"REMOVE"),"")</f>
        <v/>
      </c>
      <c r="I4665">
        <f>IF(E4665="Gmail",COUNTIF($E$2:E4665,"Gmail"),"")</f>
        <v/>
      </c>
      <c r="J4665">
        <f>IF(E4665="Outlook",COUNTIF($E$2:E4665,"Outlook"),"")</f>
        <v/>
      </c>
      <c r="K4665">
        <f>IF(E4665="Domain",COUNTIF($E$2:E4665,"Domain"),"")</f>
        <v/>
      </c>
    </row>
    <row r="4666">
      <c r="A4666" s="2" t="n"/>
      <c r="B4666">
        <f>LOWER(TRIM(A4666))</f>
        <v/>
      </c>
      <c r="C4666">
        <f>IF(B4666="","",IFERROR(INDEX('Bad Patterns'!$A$2:$A$120,MATCH(1,INDEX(--ISNUMBER(SEARCH('Bad Patterns'!$A$2:$A$120,B4666)),0),0)),""))</f>
        <v/>
      </c>
      <c r="D4666">
        <f>IF(B4666="","",IF(C4666&lt;&gt;"","REMOVE","KEEP"))</f>
        <v/>
      </c>
      <c r="E4666">
        <f>IF(D4666&lt;&gt;"KEEP","",IF(RIGHT(B4666,10)="@gmail.com","Gmail",IF(OR(RIGHT(B4666,12)="@outlook.com",RIGHT(B4666,12)="@hotmail.com",RIGHT(B4666,9)="@live.com"),"Outlook","Domain")))</f>
        <v/>
      </c>
      <c r="F4666">
        <f>IF(B4666="","",IFERROR(RIGHT(B4666,LEN(B4666)-FIND("@",B4666)),""))</f>
        <v/>
      </c>
      <c r="G4666">
        <f>IF(D4666="KEEP",COUNTIF($D$2:D4666,"KEEP"),"")</f>
        <v/>
      </c>
      <c r="H4666">
        <f>IF(D4666="REMOVE",COUNTIF($D$2:D4666,"REMOVE"),"")</f>
        <v/>
      </c>
      <c r="I4666">
        <f>IF(E4666="Gmail",COUNTIF($E$2:E4666,"Gmail"),"")</f>
        <v/>
      </c>
      <c r="J4666">
        <f>IF(E4666="Outlook",COUNTIF($E$2:E4666,"Outlook"),"")</f>
        <v/>
      </c>
      <c r="K4666">
        <f>IF(E4666="Domain",COUNTIF($E$2:E4666,"Domain"),"")</f>
        <v/>
      </c>
    </row>
    <row r="4667">
      <c r="A4667" s="2" t="n"/>
      <c r="B4667">
        <f>LOWER(TRIM(A4667))</f>
        <v/>
      </c>
      <c r="C4667">
        <f>IF(B4667="","",IFERROR(INDEX('Bad Patterns'!$A$2:$A$120,MATCH(1,INDEX(--ISNUMBER(SEARCH('Bad Patterns'!$A$2:$A$120,B4667)),0),0)),""))</f>
        <v/>
      </c>
      <c r="D4667">
        <f>IF(B4667="","",IF(C4667&lt;&gt;"","REMOVE","KEEP"))</f>
        <v/>
      </c>
      <c r="E4667">
        <f>IF(D4667&lt;&gt;"KEEP","",IF(RIGHT(B4667,10)="@gmail.com","Gmail",IF(OR(RIGHT(B4667,12)="@outlook.com",RIGHT(B4667,12)="@hotmail.com",RIGHT(B4667,9)="@live.com"),"Outlook","Domain")))</f>
        <v/>
      </c>
      <c r="F4667">
        <f>IF(B4667="","",IFERROR(RIGHT(B4667,LEN(B4667)-FIND("@",B4667)),""))</f>
        <v/>
      </c>
      <c r="G4667">
        <f>IF(D4667="KEEP",COUNTIF($D$2:D4667,"KEEP"),"")</f>
        <v/>
      </c>
      <c r="H4667">
        <f>IF(D4667="REMOVE",COUNTIF($D$2:D4667,"REMOVE"),"")</f>
        <v/>
      </c>
      <c r="I4667">
        <f>IF(E4667="Gmail",COUNTIF($E$2:E4667,"Gmail"),"")</f>
        <v/>
      </c>
      <c r="J4667">
        <f>IF(E4667="Outlook",COUNTIF($E$2:E4667,"Outlook"),"")</f>
        <v/>
      </c>
      <c r="K4667">
        <f>IF(E4667="Domain",COUNTIF($E$2:E4667,"Domain"),"")</f>
        <v/>
      </c>
    </row>
    <row r="4668">
      <c r="A4668" s="2" t="n"/>
      <c r="B4668">
        <f>LOWER(TRIM(A4668))</f>
        <v/>
      </c>
      <c r="C4668">
        <f>IF(B4668="","",IFERROR(INDEX('Bad Patterns'!$A$2:$A$120,MATCH(1,INDEX(--ISNUMBER(SEARCH('Bad Patterns'!$A$2:$A$120,B4668)),0),0)),""))</f>
        <v/>
      </c>
      <c r="D4668">
        <f>IF(B4668="","",IF(C4668&lt;&gt;"","REMOVE","KEEP"))</f>
        <v/>
      </c>
      <c r="E4668">
        <f>IF(D4668&lt;&gt;"KEEP","",IF(RIGHT(B4668,10)="@gmail.com","Gmail",IF(OR(RIGHT(B4668,12)="@outlook.com",RIGHT(B4668,12)="@hotmail.com",RIGHT(B4668,9)="@live.com"),"Outlook","Domain")))</f>
        <v/>
      </c>
      <c r="F4668">
        <f>IF(B4668="","",IFERROR(RIGHT(B4668,LEN(B4668)-FIND("@",B4668)),""))</f>
        <v/>
      </c>
      <c r="G4668">
        <f>IF(D4668="KEEP",COUNTIF($D$2:D4668,"KEEP"),"")</f>
        <v/>
      </c>
      <c r="H4668">
        <f>IF(D4668="REMOVE",COUNTIF($D$2:D4668,"REMOVE"),"")</f>
        <v/>
      </c>
      <c r="I4668">
        <f>IF(E4668="Gmail",COUNTIF($E$2:E4668,"Gmail"),"")</f>
        <v/>
      </c>
      <c r="J4668">
        <f>IF(E4668="Outlook",COUNTIF($E$2:E4668,"Outlook"),"")</f>
        <v/>
      </c>
      <c r="K4668">
        <f>IF(E4668="Domain",COUNTIF($E$2:E4668,"Domain"),"")</f>
        <v/>
      </c>
    </row>
    <row r="4669">
      <c r="A4669" s="2" t="n"/>
      <c r="B4669">
        <f>LOWER(TRIM(A4669))</f>
        <v/>
      </c>
      <c r="C4669">
        <f>IF(B4669="","",IFERROR(INDEX('Bad Patterns'!$A$2:$A$120,MATCH(1,INDEX(--ISNUMBER(SEARCH('Bad Patterns'!$A$2:$A$120,B4669)),0),0)),""))</f>
        <v/>
      </c>
      <c r="D4669">
        <f>IF(B4669="","",IF(C4669&lt;&gt;"","REMOVE","KEEP"))</f>
        <v/>
      </c>
      <c r="E4669">
        <f>IF(D4669&lt;&gt;"KEEP","",IF(RIGHT(B4669,10)="@gmail.com","Gmail",IF(OR(RIGHT(B4669,12)="@outlook.com",RIGHT(B4669,12)="@hotmail.com",RIGHT(B4669,9)="@live.com"),"Outlook","Domain")))</f>
        <v/>
      </c>
      <c r="F4669">
        <f>IF(B4669="","",IFERROR(RIGHT(B4669,LEN(B4669)-FIND("@",B4669)),""))</f>
        <v/>
      </c>
      <c r="G4669">
        <f>IF(D4669="KEEP",COUNTIF($D$2:D4669,"KEEP"),"")</f>
        <v/>
      </c>
      <c r="H4669">
        <f>IF(D4669="REMOVE",COUNTIF($D$2:D4669,"REMOVE"),"")</f>
        <v/>
      </c>
      <c r="I4669">
        <f>IF(E4669="Gmail",COUNTIF($E$2:E4669,"Gmail"),"")</f>
        <v/>
      </c>
      <c r="J4669">
        <f>IF(E4669="Outlook",COUNTIF($E$2:E4669,"Outlook"),"")</f>
        <v/>
      </c>
      <c r="K4669">
        <f>IF(E4669="Domain",COUNTIF($E$2:E4669,"Domain"),"")</f>
        <v/>
      </c>
    </row>
    <row r="4670">
      <c r="A4670" s="2" t="n"/>
      <c r="B4670">
        <f>LOWER(TRIM(A4670))</f>
        <v/>
      </c>
      <c r="C4670">
        <f>IF(B4670="","",IFERROR(INDEX('Bad Patterns'!$A$2:$A$120,MATCH(1,INDEX(--ISNUMBER(SEARCH('Bad Patterns'!$A$2:$A$120,B4670)),0),0)),""))</f>
        <v/>
      </c>
      <c r="D4670">
        <f>IF(B4670="","",IF(C4670&lt;&gt;"","REMOVE","KEEP"))</f>
        <v/>
      </c>
      <c r="E4670">
        <f>IF(D4670&lt;&gt;"KEEP","",IF(RIGHT(B4670,10)="@gmail.com","Gmail",IF(OR(RIGHT(B4670,12)="@outlook.com",RIGHT(B4670,12)="@hotmail.com",RIGHT(B4670,9)="@live.com"),"Outlook","Domain")))</f>
        <v/>
      </c>
      <c r="F4670">
        <f>IF(B4670="","",IFERROR(RIGHT(B4670,LEN(B4670)-FIND("@",B4670)),""))</f>
        <v/>
      </c>
      <c r="G4670">
        <f>IF(D4670="KEEP",COUNTIF($D$2:D4670,"KEEP"),"")</f>
        <v/>
      </c>
      <c r="H4670">
        <f>IF(D4670="REMOVE",COUNTIF($D$2:D4670,"REMOVE"),"")</f>
        <v/>
      </c>
      <c r="I4670">
        <f>IF(E4670="Gmail",COUNTIF($E$2:E4670,"Gmail"),"")</f>
        <v/>
      </c>
      <c r="J4670">
        <f>IF(E4670="Outlook",COUNTIF($E$2:E4670,"Outlook"),"")</f>
        <v/>
      </c>
      <c r="K4670">
        <f>IF(E4670="Domain",COUNTIF($E$2:E4670,"Domain"),"")</f>
        <v/>
      </c>
    </row>
    <row r="4671">
      <c r="A4671" s="2" t="n"/>
      <c r="B4671">
        <f>LOWER(TRIM(A4671))</f>
        <v/>
      </c>
      <c r="C4671">
        <f>IF(B4671="","",IFERROR(INDEX('Bad Patterns'!$A$2:$A$120,MATCH(1,INDEX(--ISNUMBER(SEARCH('Bad Patterns'!$A$2:$A$120,B4671)),0),0)),""))</f>
        <v/>
      </c>
      <c r="D4671">
        <f>IF(B4671="","",IF(C4671&lt;&gt;"","REMOVE","KEEP"))</f>
        <v/>
      </c>
      <c r="E4671">
        <f>IF(D4671&lt;&gt;"KEEP","",IF(RIGHT(B4671,10)="@gmail.com","Gmail",IF(OR(RIGHT(B4671,12)="@outlook.com",RIGHT(B4671,12)="@hotmail.com",RIGHT(B4671,9)="@live.com"),"Outlook","Domain")))</f>
        <v/>
      </c>
      <c r="F4671">
        <f>IF(B4671="","",IFERROR(RIGHT(B4671,LEN(B4671)-FIND("@",B4671)),""))</f>
        <v/>
      </c>
      <c r="G4671">
        <f>IF(D4671="KEEP",COUNTIF($D$2:D4671,"KEEP"),"")</f>
        <v/>
      </c>
      <c r="H4671">
        <f>IF(D4671="REMOVE",COUNTIF($D$2:D4671,"REMOVE"),"")</f>
        <v/>
      </c>
      <c r="I4671">
        <f>IF(E4671="Gmail",COUNTIF($E$2:E4671,"Gmail"),"")</f>
        <v/>
      </c>
      <c r="J4671">
        <f>IF(E4671="Outlook",COUNTIF($E$2:E4671,"Outlook"),"")</f>
        <v/>
      </c>
      <c r="K4671">
        <f>IF(E4671="Domain",COUNTIF($E$2:E4671,"Domain"),"")</f>
        <v/>
      </c>
    </row>
    <row r="4672">
      <c r="A4672" s="2" t="n"/>
      <c r="B4672">
        <f>LOWER(TRIM(A4672))</f>
        <v/>
      </c>
      <c r="C4672">
        <f>IF(B4672="","",IFERROR(INDEX('Bad Patterns'!$A$2:$A$120,MATCH(1,INDEX(--ISNUMBER(SEARCH('Bad Patterns'!$A$2:$A$120,B4672)),0),0)),""))</f>
        <v/>
      </c>
      <c r="D4672">
        <f>IF(B4672="","",IF(C4672&lt;&gt;"","REMOVE","KEEP"))</f>
        <v/>
      </c>
      <c r="E4672">
        <f>IF(D4672&lt;&gt;"KEEP","",IF(RIGHT(B4672,10)="@gmail.com","Gmail",IF(OR(RIGHT(B4672,12)="@outlook.com",RIGHT(B4672,12)="@hotmail.com",RIGHT(B4672,9)="@live.com"),"Outlook","Domain")))</f>
        <v/>
      </c>
      <c r="F4672">
        <f>IF(B4672="","",IFERROR(RIGHT(B4672,LEN(B4672)-FIND("@",B4672)),""))</f>
        <v/>
      </c>
      <c r="G4672">
        <f>IF(D4672="KEEP",COUNTIF($D$2:D4672,"KEEP"),"")</f>
        <v/>
      </c>
      <c r="H4672">
        <f>IF(D4672="REMOVE",COUNTIF($D$2:D4672,"REMOVE"),"")</f>
        <v/>
      </c>
      <c r="I4672">
        <f>IF(E4672="Gmail",COUNTIF($E$2:E4672,"Gmail"),"")</f>
        <v/>
      </c>
      <c r="J4672">
        <f>IF(E4672="Outlook",COUNTIF($E$2:E4672,"Outlook"),"")</f>
        <v/>
      </c>
      <c r="K4672">
        <f>IF(E4672="Domain",COUNTIF($E$2:E4672,"Domain"),"")</f>
        <v/>
      </c>
    </row>
    <row r="4673">
      <c r="A4673" s="2" t="n"/>
      <c r="B4673">
        <f>LOWER(TRIM(A4673))</f>
        <v/>
      </c>
      <c r="C4673">
        <f>IF(B4673="","",IFERROR(INDEX('Bad Patterns'!$A$2:$A$120,MATCH(1,INDEX(--ISNUMBER(SEARCH('Bad Patterns'!$A$2:$A$120,B4673)),0),0)),""))</f>
        <v/>
      </c>
      <c r="D4673">
        <f>IF(B4673="","",IF(C4673&lt;&gt;"","REMOVE","KEEP"))</f>
        <v/>
      </c>
      <c r="E4673">
        <f>IF(D4673&lt;&gt;"KEEP","",IF(RIGHT(B4673,10)="@gmail.com","Gmail",IF(OR(RIGHT(B4673,12)="@outlook.com",RIGHT(B4673,12)="@hotmail.com",RIGHT(B4673,9)="@live.com"),"Outlook","Domain")))</f>
        <v/>
      </c>
      <c r="F4673">
        <f>IF(B4673="","",IFERROR(RIGHT(B4673,LEN(B4673)-FIND("@",B4673)),""))</f>
        <v/>
      </c>
      <c r="G4673">
        <f>IF(D4673="KEEP",COUNTIF($D$2:D4673,"KEEP"),"")</f>
        <v/>
      </c>
      <c r="H4673">
        <f>IF(D4673="REMOVE",COUNTIF($D$2:D4673,"REMOVE"),"")</f>
        <v/>
      </c>
      <c r="I4673">
        <f>IF(E4673="Gmail",COUNTIF($E$2:E4673,"Gmail"),"")</f>
        <v/>
      </c>
      <c r="J4673">
        <f>IF(E4673="Outlook",COUNTIF($E$2:E4673,"Outlook"),"")</f>
        <v/>
      </c>
      <c r="K4673">
        <f>IF(E4673="Domain",COUNTIF($E$2:E4673,"Domain"),"")</f>
        <v/>
      </c>
    </row>
    <row r="4674">
      <c r="A4674" s="2" t="n"/>
      <c r="B4674">
        <f>LOWER(TRIM(A4674))</f>
        <v/>
      </c>
      <c r="C4674">
        <f>IF(B4674="","",IFERROR(INDEX('Bad Patterns'!$A$2:$A$120,MATCH(1,INDEX(--ISNUMBER(SEARCH('Bad Patterns'!$A$2:$A$120,B4674)),0),0)),""))</f>
        <v/>
      </c>
      <c r="D4674">
        <f>IF(B4674="","",IF(C4674&lt;&gt;"","REMOVE","KEEP"))</f>
        <v/>
      </c>
      <c r="E4674">
        <f>IF(D4674&lt;&gt;"KEEP","",IF(RIGHT(B4674,10)="@gmail.com","Gmail",IF(OR(RIGHT(B4674,12)="@outlook.com",RIGHT(B4674,12)="@hotmail.com",RIGHT(B4674,9)="@live.com"),"Outlook","Domain")))</f>
        <v/>
      </c>
      <c r="F4674">
        <f>IF(B4674="","",IFERROR(RIGHT(B4674,LEN(B4674)-FIND("@",B4674)),""))</f>
        <v/>
      </c>
      <c r="G4674">
        <f>IF(D4674="KEEP",COUNTIF($D$2:D4674,"KEEP"),"")</f>
        <v/>
      </c>
      <c r="H4674">
        <f>IF(D4674="REMOVE",COUNTIF($D$2:D4674,"REMOVE"),"")</f>
        <v/>
      </c>
      <c r="I4674">
        <f>IF(E4674="Gmail",COUNTIF($E$2:E4674,"Gmail"),"")</f>
        <v/>
      </c>
      <c r="J4674">
        <f>IF(E4674="Outlook",COUNTIF($E$2:E4674,"Outlook"),"")</f>
        <v/>
      </c>
      <c r="K4674">
        <f>IF(E4674="Domain",COUNTIF($E$2:E4674,"Domain"),"")</f>
        <v/>
      </c>
    </row>
    <row r="4675">
      <c r="A4675" s="2" t="n"/>
      <c r="B4675">
        <f>LOWER(TRIM(A4675))</f>
        <v/>
      </c>
      <c r="C4675">
        <f>IF(B4675="","",IFERROR(INDEX('Bad Patterns'!$A$2:$A$120,MATCH(1,INDEX(--ISNUMBER(SEARCH('Bad Patterns'!$A$2:$A$120,B4675)),0),0)),""))</f>
        <v/>
      </c>
      <c r="D4675">
        <f>IF(B4675="","",IF(C4675&lt;&gt;"","REMOVE","KEEP"))</f>
        <v/>
      </c>
      <c r="E4675">
        <f>IF(D4675&lt;&gt;"KEEP","",IF(RIGHT(B4675,10)="@gmail.com","Gmail",IF(OR(RIGHT(B4675,12)="@outlook.com",RIGHT(B4675,12)="@hotmail.com",RIGHT(B4675,9)="@live.com"),"Outlook","Domain")))</f>
        <v/>
      </c>
      <c r="F4675">
        <f>IF(B4675="","",IFERROR(RIGHT(B4675,LEN(B4675)-FIND("@",B4675)),""))</f>
        <v/>
      </c>
      <c r="G4675">
        <f>IF(D4675="KEEP",COUNTIF($D$2:D4675,"KEEP"),"")</f>
        <v/>
      </c>
      <c r="H4675">
        <f>IF(D4675="REMOVE",COUNTIF($D$2:D4675,"REMOVE"),"")</f>
        <v/>
      </c>
      <c r="I4675">
        <f>IF(E4675="Gmail",COUNTIF($E$2:E4675,"Gmail"),"")</f>
        <v/>
      </c>
      <c r="J4675">
        <f>IF(E4675="Outlook",COUNTIF($E$2:E4675,"Outlook"),"")</f>
        <v/>
      </c>
      <c r="K4675">
        <f>IF(E4675="Domain",COUNTIF($E$2:E4675,"Domain"),"")</f>
        <v/>
      </c>
    </row>
    <row r="4676">
      <c r="A4676" s="2" t="n"/>
      <c r="B4676">
        <f>LOWER(TRIM(A4676))</f>
        <v/>
      </c>
      <c r="C4676">
        <f>IF(B4676="","",IFERROR(INDEX('Bad Patterns'!$A$2:$A$120,MATCH(1,INDEX(--ISNUMBER(SEARCH('Bad Patterns'!$A$2:$A$120,B4676)),0),0)),""))</f>
        <v/>
      </c>
      <c r="D4676">
        <f>IF(B4676="","",IF(C4676&lt;&gt;"","REMOVE","KEEP"))</f>
        <v/>
      </c>
      <c r="E4676">
        <f>IF(D4676&lt;&gt;"KEEP","",IF(RIGHT(B4676,10)="@gmail.com","Gmail",IF(OR(RIGHT(B4676,12)="@outlook.com",RIGHT(B4676,12)="@hotmail.com",RIGHT(B4676,9)="@live.com"),"Outlook","Domain")))</f>
        <v/>
      </c>
      <c r="F4676">
        <f>IF(B4676="","",IFERROR(RIGHT(B4676,LEN(B4676)-FIND("@",B4676)),""))</f>
        <v/>
      </c>
      <c r="G4676">
        <f>IF(D4676="KEEP",COUNTIF($D$2:D4676,"KEEP"),"")</f>
        <v/>
      </c>
      <c r="H4676">
        <f>IF(D4676="REMOVE",COUNTIF($D$2:D4676,"REMOVE"),"")</f>
        <v/>
      </c>
      <c r="I4676">
        <f>IF(E4676="Gmail",COUNTIF($E$2:E4676,"Gmail"),"")</f>
        <v/>
      </c>
      <c r="J4676">
        <f>IF(E4676="Outlook",COUNTIF($E$2:E4676,"Outlook"),"")</f>
        <v/>
      </c>
      <c r="K4676">
        <f>IF(E4676="Domain",COUNTIF($E$2:E4676,"Domain"),"")</f>
        <v/>
      </c>
    </row>
    <row r="4677">
      <c r="A4677" s="2" t="n"/>
      <c r="B4677">
        <f>LOWER(TRIM(A4677))</f>
        <v/>
      </c>
      <c r="C4677">
        <f>IF(B4677="","",IFERROR(INDEX('Bad Patterns'!$A$2:$A$120,MATCH(1,INDEX(--ISNUMBER(SEARCH('Bad Patterns'!$A$2:$A$120,B4677)),0),0)),""))</f>
        <v/>
      </c>
      <c r="D4677">
        <f>IF(B4677="","",IF(C4677&lt;&gt;"","REMOVE","KEEP"))</f>
        <v/>
      </c>
      <c r="E4677">
        <f>IF(D4677&lt;&gt;"KEEP","",IF(RIGHT(B4677,10)="@gmail.com","Gmail",IF(OR(RIGHT(B4677,12)="@outlook.com",RIGHT(B4677,12)="@hotmail.com",RIGHT(B4677,9)="@live.com"),"Outlook","Domain")))</f>
        <v/>
      </c>
      <c r="F4677">
        <f>IF(B4677="","",IFERROR(RIGHT(B4677,LEN(B4677)-FIND("@",B4677)),""))</f>
        <v/>
      </c>
      <c r="G4677">
        <f>IF(D4677="KEEP",COUNTIF($D$2:D4677,"KEEP"),"")</f>
        <v/>
      </c>
      <c r="H4677">
        <f>IF(D4677="REMOVE",COUNTIF($D$2:D4677,"REMOVE"),"")</f>
        <v/>
      </c>
      <c r="I4677">
        <f>IF(E4677="Gmail",COUNTIF($E$2:E4677,"Gmail"),"")</f>
        <v/>
      </c>
      <c r="J4677">
        <f>IF(E4677="Outlook",COUNTIF($E$2:E4677,"Outlook"),"")</f>
        <v/>
      </c>
      <c r="K4677">
        <f>IF(E4677="Domain",COUNTIF($E$2:E4677,"Domain"),"")</f>
        <v/>
      </c>
    </row>
    <row r="4678">
      <c r="A4678" s="2" t="n"/>
      <c r="B4678">
        <f>LOWER(TRIM(A4678))</f>
        <v/>
      </c>
      <c r="C4678">
        <f>IF(B4678="","",IFERROR(INDEX('Bad Patterns'!$A$2:$A$120,MATCH(1,INDEX(--ISNUMBER(SEARCH('Bad Patterns'!$A$2:$A$120,B4678)),0),0)),""))</f>
        <v/>
      </c>
      <c r="D4678">
        <f>IF(B4678="","",IF(C4678&lt;&gt;"","REMOVE","KEEP"))</f>
        <v/>
      </c>
      <c r="E4678">
        <f>IF(D4678&lt;&gt;"KEEP","",IF(RIGHT(B4678,10)="@gmail.com","Gmail",IF(OR(RIGHT(B4678,12)="@outlook.com",RIGHT(B4678,12)="@hotmail.com",RIGHT(B4678,9)="@live.com"),"Outlook","Domain")))</f>
        <v/>
      </c>
      <c r="F4678">
        <f>IF(B4678="","",IFERROR(RIGHT(B4678,LEN(B4678)-FIND("@",B4678)),""))</f>
        <v/>
      </c>
      <c r="G4678">
        <f>IF(D4678="KEEP",COUNTIF($D$2:D4678,"KEEP"),"")</f>
        <v/>
      </c>
      <c r="H4678">
        <f>IF(D4678="REMOVE",COUNTIF($D$2:D4678,"REMOVE"),"")</f>
        <v/>
      </c>
      <c r="I4678">
        <f>IF(E4678="Gmail",COUNTIF($E$2:E4678,"Gmail"),"")</f>
        <v/>
      </c>
      <c r="J4678">
        <f>IF(E4678="Outlook",COUNTIF($E$2:E4678,"Outlook"),"")</f>
        <v/>
      </c>
      <c r="K4678">
        <f>IF(E4678="Domain",COUNTIF($E$2:E4678,"Domain"),"")</f>
        <v/>
      </c>
    </row>
    <row r="4679">
      <c r="A4679" s="2" t="n"/>
      <c r="B4679">
        <f>LOWER(TRIM(A4679))</f>
        <v/>
      </c>
      <c r="C4679">
        <f>IF(B4679="","",IFERROR(INDEX('Bad Patterns'!$A$2:$A$120,MATCH(1,INDEX(--ISNUMBER(SEARCH('Bad Patterns'!$A$2:$A$120,B4679)),0),0)),""))</f>
        <v/>
      </c>
      <c r="D4679">
        <f>IF(B4679="","",IF(C4679&lt;&gt;"","REMOVE","KEEP"))</f>
        <v/>
      </c>
      <c r="E4679">
        <f>IF(D4679&lt;&gt;"KEEP","",IF(RIGHT(B4679,10)="@gmail.com","Gmail",IF(OR(RIGHT(B4679,12)="@outlook.com",RIGHT(B4679,12)="@hotmail.com",RIGHT(B4679,9)="@live.com"),"Outlook","Domain")))</f>
        <v/>
      </c>
      <c r="F4679">
        <f>IF(B4679="","",IFERROR(RIGHT(B4679,LEN(B4679)-FIND("@",B4679)),""))</f>
        <v/>
      </c>
      <c r="G4679">
        <f>IF(D4679="KEEP",COUNTIF($D$2:D4679,"KEEP"),"")</f>
        <v/>
      </c>
      <c r="H4679">
        <f>IF(D4679="REMOVE",COUNTIF($D$2:D4679,"REMOVE"),"")</f>
        <v/>
      </c>
      <c r="I4679">
        <f>IF(E4679="Gmail",COUNTIF($E$2:E4679,"Gmail"),"")</f>
        <v/>
      </c>
      <c r="J4679">
        <f>IF(E4679="Outlook",COUNTIF($E$2:E4679,"Outlook"),"")</f>
        <v/>
      </c>
      <c r="K4679">
        <f>IF(E4679="Domain",COUNTIF($E$2:E4679,"Domain"),"")</f>
        <v/>
      </c>
    </row>
    <row r="4680">
      <c r="A4680" s="2" t="n"/>
      <c r="B4680">
        <f>LOWER(TRIM(A4680))</f>
        <v/>
      </c>
      <c r="C4680">
        <f>IF(B4680="","",IFERROR(INDEX('Bad Patterns'!$A$2:$A$120,MATCH(1,INDEX(--ISNUMBER(SEARCH('Bad Patterns'!$A$2:$A$120,B4680)),0),0)),""))</f>
        <v/>
      </c>
      <c r="D4680">
        <f>IF(B4680="","",IF(C4680&lt;&gt;"","REMOVE","KEEP"))</f>
        <v/>
      </c>
      <c r="E4680">
        <f>IF(D4680&lt;&gt;"KEEP","",IF(RIGHT(B4680,10)="@gmail.com","Gmail",IF(OR(RIGHT(B4680,12)="@outlook.com",RIGHT(B4680,12)="@hotmail.com",RIGHT(B4680,9)="@live.com"),"Outlook","Domain")))</f>
        <v/>
      </c>
      <c r="F4680">
        <f>IF(B4680="","",IFERROR(RIGHT(B4680,LEN(B4680)-FIND("@",B4680)),""))</f>
        <v/>
      </c>
      <c r="G4680">
        <f>IF(D4680="KEEP",COUNTIF($D$2:D4680,"KEEP"),"")</f>
        <v/>
      </c>
      <c r="H4680">
        <f>IF(D4680="REMOVE",COUNTIF($D$2:D4680,"REMOVE"),"")</f>
        <v/>
      </c>
      <c r="I4680">
        <f>IF(E4680="Gmail",COUNTIF($E$2:E4680,"Gmail"),"")</f>
        <v/>
      </c>
      <c r="J4680">
        <f>IF(E4680="Outlook",COUNTIF($E$2:E4680,"Outlook"),"")</f>
        <v/>
      </c>
      <c r="K4680">
        <f>IF(E4680="Domain",COUNTIF($E$2:E4680,"Domain"),"")</f>
        <v/>
      </c>
    </row>
    <row r="4681">
      <c r="A4681" s="2" t="n"/>
      <c r="B4681">
        <f>LOWER(TRIM(A4681))</f>
        <v/>
      </c>
      <c r="C4681">
        <f>IF(B4681="","",IFERROR(INDEX('Bad Patterns'!$A$2:$A$120,MATCH(1,INDEX(--ISNUMBER(SEARCH('Bad Patterns'!$A$2:$A$120,B4681)),0),0)),""))</f>
        <v/>
      </c>
      <c r="D4681">
        <f>IF(B4681="","",IF(C4681&lt;&gt;"","REMOVE","KEEP"))</f>
        <v/>
      </c>
      <c r="E4681">
        <f>IF(D4681&lt;&gt;"KEEP","",IF(RIGHT(B4681,10)="@gmail.com","Gmail",IF(OR(RIGHT(B4681,12)="@outlook.com",RIGHT(B4681,12)="@hotmail.com",RIGHT(B4681,9)="@live.com"),"Outlook","Domain")))</f>
        <v/>
      </c>
      <c r="F4681">
        <f>IF(B4681="","",IFERROR(RIGHT(B4681,LEN(B4681)-FIND("@",B4681)),""))</f>
        <v/>
      </c>
      <c r="G4681">
        <f>IF(D4681="KEEP",COUNTIF($D$2:D4681,"KEEP"),"")</f>
        <v/>
      </c>
      <c r="H4681">
        <f>IF(D4681="REMOVE",COUNTIF($D$2:D4681,"REMOVE"),"")</f>
        <v/>
      </c>
      <c r="I4681">
        <f>IF(E4681="Gmail",COUNTIF($E$2:E4681,"Gmail"),"")</f>
        <v/>
      </c>
      <c r="J4681">
        <f>IF(E4681="Outlook",COUNTIF($E$2:E4681,"Outlook"),"")</f>
        <v/>
      </c>
      <c r="K4681">
        <f>IF(E4681="Domain",COUNTIF($E$2:E4681,"Domain"),"")</f>
        <v/>
      </c>
    </row>
    <row r="4682">
      <c r="A4682" s="2" t="n"/>
      <c r="B4682">
        <f>LOWER(TRIM(A4682))</f>
        <v/>
      </c>
      <c r="C4682">
        <f>IF(B4682="","",IFERROR(INDEX('Bad Patterns'!$A$2:$A$120,MATCH(1,INDEX(--ISNUMBER(SEARCH('Bad Patterns'!$A$2:$A$120,B4682)),0),0)),""))</f>
        <v/>
      </c>
      <c r="D4682">
        <f>IF(B4682="","",IF(C4682&lt;&gt;"","REMOVE","KEEP"))</f>
        <v/>
      </c>
      <c r="E4682">
        <f>IF(D4682&lt;&gt;"KEEP","",IF(RIGHT(B4682,10)="@gmail.com","Gmail",IF(OR(RIGHT(B4682,12)="@outlook.com",RIGHT(B4682,12)="@hotmail.com",RIGHT(B4682,9)="@live.com"),"Outlook","Domain")))</f>
        <v/>
      </c>
      <c r="F4682">
        <f>IF(B4682="","",IFERROR(RIGHT(B4682,LEN(B4682)-FIND("@",B4682)),""))</f>
        <v/>
      </c>
      <c r="G4682">
        <f>IF(D4682="KEEP",COUNTIF($D$2:D4682,"KEEP"),"")</f>
        <v/>
      </c>
      <c r="H4682">
        <f>IF(D4682="REMOVE",COUNTIF($D$2:D4682,"REMOVE"),"")</f>
        <v/>
      </c>
      <c r="I4682">
        <f>IF(E4682="Gmail",COUNTIF($E$2:E4682,"Gmail"),"")</f>
        <v/>
      </c>
      <c r="J4682">
        <f>IF(E4682="Outlook",COUNTIF($E$2:E4682,"Outlook"),"")</f>
        <v/>
      </c>
      <c r="K4682">
        <f>IF(E4682="Domain",COUNTIF($E$2:E4682,"Domain"),"")</f>
        <v/>
      </c>
    </row>
    <row r="4683">
      <c r="A4683" s="2" t="n"/>
      <c r="B4683">
        <f>LOWER(TRIM(A4683))</f>
        <v/>
      </c>
      <c r="C4683">
        <f>IF(B4683="","",IFERROR(INDEX('Bad Patterns'!$A$2:$A$120,MATCH(1,INDEX(--ISNUMBER(SEARCH('Bad Patterns'!$A$2:$A$120,B4683)),0),0)),""))</f>
        <v/>
      </c>
      <c r="D4683">
        <f>IF(B4683="","",IF(C4683&lt;&gt;"","REMOVE","KEEP"))</f>
        <v/>
      </c>
      <c r="E4683">
        <f>IF(D4683&lt;&gt;"KEEP","",IF(RIGHT(B4683,10)="@gmail.com","Gmail",IF(OR(RIGHT(B4683,12)="@outlook.com",RIGHT(B4683,12)="@hotmail.com",RIGHT(B4683,9)="@live.com"),"Outlook","Domain")))</f>
        <v/>
      </c>
      <c r="F4683">
        <f>IF(B4683="","",IFERROR(RIGHT(B4683,LEN(B4683)-FIND("@",B4683)),""))</f>
        <v/>
      </c>
      <c r="G4683">
        <f>IF(D4683="KEEP",COUNTIF($D$2:D4683,"KEEP"),"")</f>
        <v/>
      </c>
      <c r="H4683">
        <f>IF(D4683="REMOVE",COUNTIF($D$2:D4683,"REMOVE"),"")</f>
        <v/>
      </c>
      <c r="I4683">
        <f>IF(E4683="Gmail",COUNTIF($E$2:E4683,"Gmail"),"")</f>
        <v/>
      </c>
      <c r="J4683">
        <f>IF(E4683="Outlook",COUNTIF($E$2:E4683,"Outlook"),"")</f>
        <v/>
      </c>
      <c r="K4683">
        <f>IF(E4683="Domain",COUNTIF($E$2:E4683,"Domain"),"")</f>
        <v/>
      </c>
    </row>
    <row r="4684">
      <c r="A4684" s="2" t="n"/>
      <c r="B4684">
        <f>LOWER(TRIM(A4684))</f>
        <v/>
      </c>
      <c r="C4684">
        <f>IF(B4684="","",IFERROR(INDEX('Bad Patterns'!$A$2:$A$120,MATCH(1,INDEX(--ISNUMBER(SEARCH('Bad Patterns'!$A$2:$A$120,B4684)),0),0)),""))</f>
        <v/>
      </c>
      <c r="D4684">
        <f>IF(B4684="","",IF(C4684&lt;&gt;"","REMOVE","KEEP"))</f>
        <v/>
      </c>
      <c r="E4684">
        <f>IF(D4684&lt;&gt;"KEEP","",IF(RIGHT(B4684,10)="@gmail.com","Gmail",IF(OR(RIGHT(B4684,12)="@outlook.com",RIGHT(B4684,12)="@hotmail.com",RIGHT(B4684,9)="@live.com"),"Outlook","Domain")))</f>
        <v/>
      </c>
      <c r="F4684">
        <f>IF(B4684="","",IFERROR(RIGHT(B4684,LEN(B4684)-FIND("@",B4684)),""))</f>
        <v/>
      </c>
      <c r="G4684">
        <f>IF(D4684="KEEP",COUNTIF($D$2:D4684,"KEEP"),"")</f>
        <v/>
      </c>
      <c r="H4684">
        <f>IF(D4684="REMOVE",COUNTIF($D$2:D4684,"REMOVE"),"")</f>
        <v/>
      </c>
      <c r="I4684">
        <f>IF(E4684="Gmail",COUNTIF($E$2:E4684,"Gmail"),"")</f>
        <v/>
      </c>
      <c r="J4684">
        <f>IF(E4684="Outlook",COUNTIF($E$2:E4684,"Outlook"),"")</f>
        <v/>
      </c>
      <c r="K4684">
        <f>IF(E4684="Domain",COUNTIF($E$2:E4684,"Domain"),"")</f>
        <v/>
      </c>
    </row>
    <row r="4685">
      <c r="A4685" s="2" t="n"/>
      <c r="B4685">
        <f>LOWER(TRIM(A4685))</f>
        <v/>
      </c>
      <c r="C4685">
        <f>IF(B4685="","",IFERROR(INDEX('Bad Patterns'!$A$2:$A$120,MATCH(1,INDEX(--ISNUMBER(SEARCH('Bad Patterns'!$A$2:$A$120,B4685)),0),0)),""))</f>
        <v/>
      </c>
      <c r="D4685">
        <f>IF(B4685="","",IF(C4685&lt;&gt;"","REMOVE","KEEP"))</f>
        <v/>
      </c>
      <c r="E4685">
        <f>IF(D4685&lt;&gt;"KEEP","",IF(RIGHT(B4685,10)="@gmail.com","Gmail",IF(OR(RIGHT(B4685,12)="@outlook.com",RIGHT(B4685,12)="@hotmail.com",RIGHT(B4685,9)="@live.com"),"Outlook","Domain")))</f>
        <v/>
      </c>
      <c r="F4685">
        <f>IF(B4685="","",IFERROR(RIGHT(B4685,LEN(B4685)-FIND("@",B4685)),""))</f>
        <v/>
      </c>
      <c r="G4685">
        <f>IF(D4685="KEEP",COUNTIF($D$2:D4685,"KEEP"),"")</f>
        <v/>
      </c>
      <c r="H4685">
        <f>IF(D4685="REMOVE",COUNTIF($D$2:D4685,"REMOVE"),"")</f>
        <v/>
      </c>
      <c r="I4685">
        <f>IF(E4685="Gmail",COUNTIF($E$2:E4685,"Gmail"),"")</f>
        <v/>
      </c>
      <c r="J4685">
        <f>IF(E4685="Outlook",COUNTIF($E$2:E4685,"Outlook"),"")</f>
        <v/>
      </c>
      <c r="K4685">
        <f>IF(E4685="Domain",COUNTIF($E$2:E4685,"Domain"),"")</f>
        <v/>
      </c>
    </row>
    <row r="4686">
      <c r="A4686" s="2" t="n"/>
      <c r="B4686">
        <f>LOWER(TRIM(A4686))</f>
        <v/>
      </c>
      <c r="C4686">
        <f>IF(B4686="","",IFERROR(INDEX('Bad Patterns'!$A$2:$A$120,MATCH(1,INDEX(--ISNUMBER(SEARCH('Bad Patterns'!$A$2:$A$120,B4686)),0),0)),""))</f>
        <v/>
      </c>
      <c r="D4686">
        <f>IF(B4686="","",IF(C4686&lt;&gt;"","REMOVE","KEEP"))</f>
        <v/>
      </c>
      <c r="E4686">
        <f>IF(D4686&lt;&gt;"KEEP","",IF(RIGHT(B4686,10)="@gmail.com","Gmail",IF(OR(RIGHT(B4686,12)="@outlook.com",RIGHT(B4686,12)="@hotmail.com",RIGHT(B4686,9)="@live.com"),"Outlook","Domain")))</f>
        <v/>
      </c>
      <c r="F4686">
        <f>IF(B4686="","",IFERROR(RIGHT(B4686,LEN(B4686)-FIND("@",B4686)),""))</f>
        <v/>
      </c>
      <c r="G4686">
        <f>IF(D4686="KEEP",COUNTIF($D$2:D4686,"KEEP"),"")</f>
        <v/>
      </c>
      <c r="H4686">
        <f>IF(D4686="REMOVE",COUNTIF($D$2:D4686,"REMOVE"),"")</f>
        <v/>
      </c>
      <c r="I4686">
        <f>IF(E4686="Gmail",COUNTIF($E$2:E4686,"Gmail"),"")</f>
        <v/>
      </c>
      <c r="J4686">
        <f>IF(E4686="Outlook",COUNTIF($E$2:E4686,"Outlook"),"")</f>
        <v/>
      </c>
      <c r="K4686">
        <f>IF(E4686="Domain",COUNTIF($E$2:E4686,"Domain"),"")</f>
        <v/>
      </c>
    </row>
    <row r="4687">
      <c r="A4687" s="2" t="n"/>
      <c r="B4687">
        <f>LOWER(TRIM(A4687))</f>
        <v/>
      </c>
      <c r="C4687">
        <f>IF(B4687="","",IFERROR(INDEX('Bad Patterns'!$A$2:$A$120,MATCH(1,INDEX(--ISNUMBER(SEARCH('Bad Patterns'!$A$2:$A$120,B4687)),0),0)),""))</f>
        <v/>
      </c>
      <c r="D4687">
        <f>IF(B4687="","",IF(C4687&lt;&gt;"","REMOVE","KEEP"))</f>
        <v/>
      </c>
      <c r="E4687">
        <f>IF(D4687&lt;&gt;"KEEP","",IF(RIGHT(B4687,10)="@gmail.com","Gmail",IF(OR(RIGHT(B4687,12)="@outlook.com",RIGHT(B4687,12)="@hotmail.com",RIGHT(B4687,9)="@live.com"),"Outlook","Domain")))</f>
        <v/>
      </c>
      <c r="F4687">
        <f>IF(B4687="","",IFERROR(RIGHT(B4687,LEN(B4687)-FIND("@",B4687)),""))</f>
        <v/>
      </c>
      <c r="G4687">
        <f>IF(D4687="KEEP",COUNTIF($D$2:D4687,"KEEP"),"")</f>
        <v/>
      </c>
      <c r="H4687">
        <f>IF(D4687="REMOVE",COUNTIF($D$2:D4687,"REMOVE"),"")</f>
        <v/>
      </c>
      <c r="I4687">
        <f>IF(E4687="Gmail",COUNTIF($E$2:E4687,"Gmail"),"")</f>
        <v/>
      </c>
      <c r="J4687">
        <f>IF(E4687="Outlook",COUNTIF($E$2:E4687,"Outlook"),"")</f>
        <v/>
      </c>
      <c r="K4687">
        <f>IF(E4687="Domain",COUNTIF($E$2:E4687,"Domain"),"")</f>
        <v/>
      </c>
    </row>
    <row r="4688">
      <c r="A4688" s="2" t="n"/>
      <c r="B4688">
        <f>LOWER(TRIM(A4688))</f>
        <v/>
      </c>
      <c r="C4688">
        <f>IF(B4688="","",IFERROR(INDEX('Bad Patterns'!$A$2:$A$120,MATCH(1,INDEX(--ISNUMBER(SEARCH('Bad Patterns'!$A$2:$A$120,B4688)),0),0)),""))</f>
        <v/>
      </c>
      <c r="D4688">
        <f>IF(B4688="","",IF(C4688&lt;&gt;"","REMOVE","KEEP"))</f>
        <v/>
      </c>
      <c r="E4688">
        <f>IF(D4688&lt;&gt;"KEEP","",IF(RIGHT(B4688,10)="@gmail.com","Gmail",IF(OR(RIGHT(B4688,12)="@outlook.com",RIGHT(B4688,12)="@hotmail.com",RIGHT(B4688,9)="@live.com"),"Outlook","Domain")))</f>
        <v/>
      </c>
      <c r="F4688">
        <f>IF(B4688="","",IFERROR(RIGHT(B4688,LEN(B4688)-FIND("@",B4688)),""))</f>
        <v/>
      </c>
      <c r="G4688">
        <f>IF(D4688="KEEP",COUNTIF($D$2:D4688,"KEEP"),"")</f>
        <v/>
      </c>
      <c r="H4688">
        <f>IF(D4688="REMOVE",COUNTIF($D$2:D4688,"REMOVE"),"")</f>
        <v/>
      </c>
      <c r="I4688">
        <f>IF(E4688="Gmail",COUNTIF($E$2:E4688,"Gmail"),"")</f>
        <v/>
      </c>
      <c r="J4688">
        <f>IF(E4688="Outlook",COUNTIF($E$2:E4688,"Outlook"),"")</f>
        <v/>
      </c>
      <c r="K4688">
        <f>IF(E4688="Domain",COUNTIF($E$2:E4688,"Domain"),"")</f>
        <v/>
      </c>
    </row>
    <row r="4689">
      <c r="A4689" s="2" t="n"/>
      <c r="B4689">
        <f>LOWER(TRIM(A4689))</f>
        <v/>
      </c>
      <c r="C4689">
        <f>IF(B4689="","",IFERROR(INDEX('Bad Patterns'!$A$2:$A$120,MATCH(1,INDEX(--ISNUMBER(SEARCH('Bad Patterns'!$A$2:$A$120,B4689)),0),0)),""))</f>
        <v/>
      </c>
      <c r="D4689">
        <f>IF(B4689="","",IF(C4689&lt;&gt;"","REMOVE","KEEP"))</f>
        <v/>
      </c>
      <c r="E4689">
        <f>IF(D4689&lt;&gt;"KEEP","",IF(RIGHT(B4689,10)="@gmail.com","Gmail",IF(OR(RIGHT(B4689,12)="@outlook.com",RIGHT(B4689,12)="@hotmail.com",RIGHT(B4689,9)="@live.com"),"Outlook","Domain")))</f>
        <v/>
      </c>
      <c r="F4689">
        <f>IF(B4689="","",IFERROR(RIGHT(B4689,LEN(B4689)-FIND("@",B4689)),""))</f>
        <v/>
      </c>
      <c r="G4689">
        <f>IF(D4689="KEEP",COUNTIF($D$2:D4689,"KEEP"),"")</f>
        <v/>
      </c>
      <c r="H4689">
        <f>IF(D4689="REMOVE",COUNTIF($D$2:D4689,"REMOVE"),"")</f>
        <v/>
      </c>
      <c r="I4689">
        <f>IF(E4689="Gmail",COUNTIF($E$2:E4689,"Gmail"),"")</f>
        <v/>
      </c>
      <c r="J4689">
        <f>IF(E4689="Outlook",COUNTIF($E$2:E4689,"Outlook"),"")</f>
        <v/>
      </c>
      <c r="K4689">
        <f>IF(E4689="Domain",COUNTIF($E$2:E4689,"Domain"),"")</f>
        <v/>
      </c>
    </row>
    <row r="4690">
      <c r="A4690" s="2" t="n"/>
      <c r="B4690">
        <f>LOWER(TRIM(A4690))</f>
        <v/>
      </c>
      <c r="C4690">
        <f>IF(B4690="","",IFERROR(INDEX('Bad Patterns'!$A$2:$A$120,MATCH(1,INDEX(--ISNUMBER(SEARCH('Bad Patterns'!$A$2:$A$120,B4690)),0),0)),""))</f>
        <v/>
      </c>
      <c r="D4690">
        <f>IF(B4690="","",IF(C4690&lt;&gt;"","REMOVE","KEEP"))</f>
        <v/>
      </c>
      <c r="E4690">
        <f>IF(D4690&lt;&gt;"KEEP","",IF(RIGHT(B4690,10)="@gmail.com","Gmail",IF(OR(RIGHT(B4690,12)="@outlook.com",RIGHT(B4690,12)="@hotmail.com",RIGHT(B4690,9)="@live.com"),"Outlook","Domain")))</f>
        <v/>
      </c>
      <c r="F4690">
        <f>IF(B4690="","",IFERROR(RIGHT(B4690,LEN(B4690)-FIND("@",B4690)),""))</f>
        <v/>
      </c>
      <c r="G4690">
        <f>IF(D4690="KEEP",COUNTIF($D$2:D4690,"KEEP"),"")</f>
        <v/>
      </c>
      <c r="H4690">
        <f>IF(D4690="REMOVE",COUNTIF($D$2:D4690,"REMOVE"),"")</f>
        <v/>
      </c>
      <c r="I4690">
        <f>IF(E4690="Gmail",COUNTIF($E$2:E4690,"Gmail"),"")</f>
        <v/>
      </c>
      <c r="J4690">
        <f>IF(E4690="Outlook",COUNTIF($E$2:E4690,"Outlook"),"")</f>
        <v/>
      </c>
      <c r="K4690">
        <f>IF(E4690="Domain",COUNTIF($E$2:E4690,"Domain"),"")</f>
        <v/>
      </c>
    </row>
    <row r="4691">
      <c r="A4691" s="2" t="n"/>
      <c r="B4691">
        <f>LOWER(TRIM(A4691))</f>
        <v/>
      </c>
      <c r="C4691">
        <f>IF(B4691="","",IFERROR(INDEX('Bad Patterns'!$A$2:$A$120,MATCH(1,INDEX(--ISNUMBER(SEARCH('Bad Patterns'!$A$2:$A$120,B4691)),0),0)),""))</f>
        <v/>
      </c>
      <c r="D4691">
        <f>IF(B4691="","",IF(C4691&lt;&gt;"","REMOVE","KEEP"))</f>
        <v/>
      </c>
      <c r="E4691">
        <f>IF(D4691&lt;&gt;"KEEP","",IF(RIGHT(B4691,10)="@gmail.com","Gmail",IF(OR(RIGHT(B4691,12)="@outlook.com",RIGHT(B4691,12)="@hotmail.com",RIGHT(B4691,9)="@live.com"),"Outlook","Domain")))</f>
        <v/>
      </c>
      <c r="F4691">
        <f>IF(B4691="","",IFERROR(RIGHT(B4691,LEN(B4691)-FIND("@",B4691)),""))</f>
        <v/>
      </c>
      <c r="G4691">
        <f>IF(D4691="KEEP",COUNTIF($D$2:D4691,"KEEP"),"")</f>
        <v/>
      </c>
      <c r="H4691">
        <f>IF(D4691="REMOVE",COUNTIF($D$2:D4691,"REMOVE"),"")</f>
        <v/>
      </c>
      <c r="I4691">
        <f>IF(E4691="Gmail",COUNTIF($E$2:E4691,"Gmail"),"")</f>
        <v/>
      </c>
      <c r="J4691">
        <f>IF(E4691="Outlook",COUNTIF($E$2:E4691,"Outlook"),"")</f>
        <v/>
      </c>
      <c r="K4691">
        <f>IF(E4691="Domain",COUNTIF($E$2:E4691,"Domain"),"")</f>
        <v/>
      </c>
    </row>
    <row r="4692">
      <c r="A4692" s="2" t="n"/>
      <c r="B4692">
        <f>LOWER(TRIM(A4692))</f>
        <v/>
      </c>
      <c r="C4692">
        <f>IF(B4692="","",IFERROR(INDEX('Bad Patterns'!$A$2:$A$120,MATCH(1,INDEX(--ISNUMBER(SEARCH('Bad Patterns'!$A$2:$A$120,B4692)),0),0)),""))</f>
        <v/>
      </c>
      <c r="D4692">
        <f>IF(B4692="","",IF(C4692&lt;&gt;"","REMOVE","KEEP"))</f>
        <v/>
      </c>
      <c r="E4692">
        <f>IF(D4692&lt;&gt;"KEEP","",IF(RIGHT(B4692,10)="@gmail.com","Gmail",IF(OR(RIGHT(B4692,12)="@outlook.com",RIGHT(B4692,12)="@hotmail.com",RIGHT(B4692,9)="@live.com"),"Outlook","Domain")))</f>
        <v/>
      </c>
      <c r="F4692">
        <f>IF(B4692="","",IFERROR(RIGHT(B4692,LEN(B4692)-FIND("@",B4692)),""))</f>
        <v/>
      </c>
      <c r="G4692">
        <f>IF(D4692="KEEP",COUNTIF($D$2:D4692,"KEEP"),"")</f>
        <v/>
      </c>
      <c r="H4692">
        <f>IF(D4692="REMOVE",COUNTIF($D$2:D4692,"REMOVE"),"")</f>
        <v/>
      </c>
      <c r="I4692">
        <f>IF(E4692="Gmail",COUNTIF($E$2:E4692,"Gmail"),"")</f>
        <v/>
      </c>
      <c r="J4692">
        <f>IF(E4692="Outlook",COUNTIF($E$2:E4692,"Outlook"),"")</f>
        <v/>
      </c>
      <c r="K4692">
        <f>IF(E4692="Domain",COUNTIF($E$2:E4692,"Domain"),"")</f>
        <v/>
      </c>
    </row>
    <row r="4693">
      <c r="A4693" s="2" t="n"/>
      <c r="B4693">
        <f>LOWER(TRIM(A4693))</f>
        <v/>
      </c>
      <c r="C4693">
        <f>IF(B4693="","",IFERROR(INDEX('Bad Patterns'!$A$2:$A$120,MATCH(1,INDEX(--ISNUMBER(SEARCH('Bad Patterns'!$A$2:$A$120,B4693)),0),0)),""))</f>
        <v/>
      </c>
      <c r="D4693">
        <f>IF(B4693="","",IF(C4693&lt;&gt;"","REMOVE","KEEP"))</f>
        <v/>
      </c>
      <c r="E4693">
        <f>IF(D4693&lt;&gt;"KEEP","",IF(RIGHT(B4693,10)="@gmail.com","Gmail",IF(OR(RIGHT(B4693,12)="@outlook.com",RIGHT(B4693,12)="@hotmail.com",RIGHT(B4693,9)="@live.com"),"Outlook","Domain")))</f>
        <v/>
      </c>
      <c r="F4693">
        <f>IF(B4693="","",IFERROR(RIGHT(B4693,LEN(B4693)-FIND("@",B4693)),""))</f>
        <v/>
      </c>
      <c r="G4693">
        <f>IF(D4693="KEEP",COUNTIF($D$2:D4693,"KEEP"),"")</f>
        <v/>
      </c>
      <c r="H4693">
        <f>IF(D4693="REMOVE",COUNTIF($D$2:D4693,"REMOVE"),"")</f>
        <v/>
      </c>
      <c r="I4693">
        <f>IF(E4693="Gmail",COUNTIF($E$2:E4693,"Gmail"),"")</f>
        <v/>
      </c>
      <c r="J4693">
        <f>IF(E4693="Outlook",COUNTIF($E$2:E4693,"Outlook"),"")</f>
        <v/>
      </c>
      <c r="K4693">
        <f>IF(E4693="Domain",COUNTIF($E$2:E4693,"Domain"),"")</f>
        <v/>
      </c>
    </row>
    <row r="4694">
      <c r="A4694" s="2" t="n"/>
      <c r="B4694">
        <f>LOWER(TRIM(A4694))</f>
        <v/>
      </c>
      <c r="C4694">
        <f>IF(B4694="","",IFERROR(INDEX('Bad Patterns'!$A$2:$A$120,MATCH(1,INDEX(--ISNUMBER(SEARCH('Bad Patterns'!$A$2:$A$120,B4694)),0),0)),""))</f>
        <v/>
      </c>
      <c r="D4694">
        <f>IF(B4694="","",IF(C4694&lt;&gt;"","REMOVE","KEEP"))</f>
        <v/>
      </c>
      <c r="E4694">
        <f>IF(D4694&lt;&gt;"KEEP","",IF(RIGHT(B4694,10)="@gmail.com","Gmail",IF(OR(RIGHT(B4694,12)="@outlook.com",RIGHT(B4694,12)="@hotmail.com",RIGHT(B4694,9)="@live.com"),"Outlook","Domain")))</f>
        <v/>
      </c>
      <c r="F4694">
        <f>IF(B4694="","",IFERROR(RIGHT(B4694,LEN(B4694)-FIND("@",B4694)),""))</f>
        <v/>
      </c>
      <c r="G4694">
        <f>IF(D4694="KEEP",COUNTIF($D$2:D4694,"KEEP"),"")</f>
        <v/>
      </c>
      <c r="H4694">
        <f>IF(D4694="REMOVE",COUNTIF($D$2:D4694,"REMOVE"),"")</f>
        <v/>
      </c>
      <c r="I4694">
        <f>IF(E4694="Gmail",COUNTIF($E$2:E4694,"Gmail"),"")</f>
        <v/>
      </c>
      <c r="J4694">
        <f>IF(E4694="Outlook",COUNTIF($E$2:E4694,"Outlook"),"")</f>
        <v/>
      </c>
      <c r="K4694">
        <f>IF(E4694="Domain",COUNTIF($E$2:E4694,"Domain"),"")</f>
        <v/>
      </c>
    </row>
    <row r="4695">
      <c r="A4695" s="2" t="n"/>
      <c r="B4695">
        <f>LOWER(TRIM(A4695))</f>
        <v/>
      </c>
      <c r="C4695">
        <f>IF(B4695="","",IFERROR(INDEX('Bad Patterns'!$A$2:$A$120,MATCH(1,INDEX(--ISNUMBER(SEARCH('Bad Patterns'!$A$2:$A$120,B4695)),0),0)),""))</f>
        <v/>
      </c>
      <c r="D4695">
        <f>IF(B4695="","",IF(C4695&lt;&gt;"","REMOVE","KEEP"))</f>
        <v/>
      </c>
      <c r="E4695">
        <f>IF(D4695&lt;&gt;"KEEP","",IF(RIGHT(B4695,10)="@gmail.com","Gmail",IF(OR(RIGHT(B4695,12)="@outlook.com",RIGHT(B4695,12)="@hotmail.com",RIGHT(B4695,9)="@live.com"),"Outlook","Domain")))</f>
        <v/>
      </c>
      <c r="F4695">
        <f>IF(B4695="","",IFERROR(RIGHT(B4695,LEN(B4695)-FIND("@",B4695)),""))</f>
        <v/>
      </c>
      <c r="G4695">
        <f>IF(D4695="KEEP",COUNTIF($D$2:D4695,"KEEP"),"")</f>
        <v/>
      </c>
      <c r="H4695">
        <f>IF(D4695="REMOVE",COUNTIF($D$2:D4695,"REMOVE"),"")</f>
        <v/>
      </c>
      <c r="I4695">
        <f>IF(E4695="Gmail",COUNTIF($E$2:E4695,"Gmail"),"")</f>
        <v/>
      </c>
      <c r="J4695">
        <f>IF(E4695="Outlook",COUNTIF($E$2:E4695,"Outlook"),"")</f>
        <v/>
      </c>
      <c r="K4695">
        <f>IF(E4695="Domain",COUNTIF($E$2:E4695,"Domain"),"")</f>
        <v/>
      </c>
    </row>
    <row r="4696">
      <c r="A4696" s="2" t="n"/>
      <c r="B4696">
        <f>LOWER(TRIM(A4696))</f>
        <v/>
      </c>
      <c r="C4696">
        <f>IF(B4696="","",IFERROR(INDEX('Bad Patterns'!$A$2:$A$120,MATCH(1,INDEX(--ISNUMBER(SEARCH('Bad Patterns'!$A$2:$A$120,B4696)),0),0)),""))</f>
        <v/>
      </c>
      <c r="D4696">
        <f>IF(B4696="","",IF(C4696&lt;&gt;"","REMOVE","KEEP"))</f>
        <v/>
      </c>
      <c r="E4696">
        <f>IF(D4696&lt;&gt;"KEEP","",IF(RIGHT(B4696,10)="@gmail.com","Gmail",IF(OR(RIGHT(B4696,12)="@outlook.com",RIGHT(B4696,12)="@hotmail.com",RIGHT(B4696,9)="@live.com"),"Outlook","Domain")))</f>
        <v/>
      </c>
      <c r="F4696">
        <f>IF(B4696="","",IFERROR(RIGHT(B4696,LEN(B4696)-FIND("@",B4696)),""))</f>
        <v/>
      </c>
      <c r="G4696">
        <f>IF(D4696="KEEP",COUNTIF($D$2:D4696,"KEEP"),"")</f>
        <v/>
      </c>
      <c r="H4696">
        <f>IF(D4696="REMOVE",COUNTIF($D$2:D4696,"REMOVE"),"")</f>
        <v/>
      </c>
      <c r="I4696">
        <f>IF(E4696="Gmail",COUNTIF($E$2:E4696,"Gmail"),"")</f>
        <v/>
      </c>
      <c r="J4696">
        <f>IF(E4696="Outlook",COUNTIF($E$2:E4696,"Outlook"),"")</f>
        <v/>
      </c>
      <c r="K4696">
        <f>IF(E4696="Domain",COUNTIF($E$2:E4696,"Domain"),"")</f>
        <v/>
      </c>
    </row>
    <row r="4697">
      <c r="A4697" s="2" t="n"/>
      <c r="B4697">
        <f>LOWER(TRIM(A4697))</f>
        <v/>
      </c>
      <c r="C4697">
        <f>IF(B4697="","",IFERROR(INDEX('Bad Patterns'!$A$2:$A$120,MATCH(1,INDEX(--ISNUMBER(SEARCH('Bad Patterns'!$A$2:$A$120,B4697)),0),0)),""))</f>
        <v/>
      </c>
      <c r="D4697">
        <f>IF(B4697="","",IF(C4697&lt;&gt;"","REMOVE","KEEP"))</f>
        <v/>
      </c>
      <c r="E4697">
        <f>IF(D4697&lt;&gt;"KEEP","",IF(RIGHT(B4697,10)="@gmail.com","Gmail",IF(OR(RIGHT(B4697,12)="@outlook.com",RIGHT(B4697,12)="@hotmail.com",RIGHT(B4697,9)="@live.com"),"Outlook","Domain")))</f>
        <v/>
      </c>
      <c r="F4697">
        <f>IF(B4697="","",IFERROR(RIGHT(B4697,LEN(B4697)-FIND("@",B4697)),""))</f>
        <v/>
      </c>
      <c r="G4697">
        <f>IF(D4697="KEEP",COUNTIF($D$2:D4697,"KEEP"),"")</f>
        <v/>
      </c>
      <c r="H4697">
        <f>IF(D4697="REMOVE",COUNTIF($D$2:D4697,"REMOVE"),"")</f>
        <v/>
      </c>
      <c r="I4697">
        <f>IF(E4697="Gmail",COUNTIF($E$2:E4697,"Gmail"),"")</f>
        <v/>
      </c>
      <c r="J4697">
        <f>IF(E4697="Outlook",COUNTIF($E$2:E4697,"Outlook"),"")</f>
        <v/>
      </c>
      <c r="K4697">
        <f>IF(E4697="Domain",COUNTIF($E$2:E4697,"Domain"),"")</f>
        <v/>
      </c>
    </row>
    <row r="4698">
      <c r="A4698" s="2" t="n"/>
      <c r="B4698">
        <f>LOWER(TRIM(A4698))</f>
        <v/>
      </c>
      <c r="C4698">
        <f>IF(B4698="","",IFERROR(INDEX('Bad Patterns'!$A$2:$A$120,MATCH(1,INDEX(--ISNUMBER(SEARCH('Bad Patterns'!$A$2:$A$120,B4698)),0),0)),""))</f>
        <v/>
      </c>
      <c r="D4698">
        <f>IF(B4698="","",IF(C4698&lt;&gt;"","REMOVE","KEEP"))</f>
        <v/>
      </c>
      <c r="E4698">
        <f>IF(D4698&lt;&gt;"KEEP","",IF(RIGHT(B4698,10)="@gmail.com","Gmail",IF(OR(RIGHT(B4698,12)="@outlook.com",RIGHT(B4698,12)="@hotmail.com",RIGHT(B4698,9)="@live.com"),"Outlook","Domain")))</f>
        <v/>
      </c>
      <c r="F4698">
        <f>IF(B4698="","",IFERROR(RIGHT(B4698,LEN(B4698)-FIND("@",B4698)),""))</f>
        <v/>
      </c>
      <c r="G4698">
        <f>IF(D4698="KEEP",COUNTIF($D$2:D4698,"KEEP"),"")</f>
        <v/>
      </c>
      <c r="H4698">
        <f>IF(D4698="REMOVE",COUNTIF($D$2:D4698,"REMOVE"),"")</f>
        <v/>
      </c>
      <c r="I4698">
        <f>IF(E4698="Gmail",COUNTIF($E$2:E4698,"Gmail"),"")</f>
        <v/>
      </c>
      <c r="J4698">
        <f>IF(E4698="Outlook",COUNTIF($E$2:E4698,"Outlook"),"")</f>
        <v/>
      </c>
      <c r="K4698">
        <f>IF(E4698="Domain",COUNTIF($E$2:E4698,"Domain"),"")</f>
        <v/>
      </c>
    </row>
    <row r="4699">
      <c r="A4699" s="2" t="n"/>
      <c r="B4699">
        <f>LOWER(TRIM(A4699))</f>
        <v/>
      </c>
      <c r="C4699">
        <f>IF(B4699="","",IFERROR(INDEX('Bad Patterns'!$A$2:$A$120,MATCH(1,INDEX(--ISNUMBER(SEARCH('Bad Patterns'!$A$2:$A$120,B4699)),0),0)),""))</f>
        <v/>
      </c>
      <c r="D4699">
        <f>IF(B4699="","",IF(C4699&lt;&gt;"","REMOVE","KEEP"))</f>
        <v/>
      </c>
      <c r="E4699">
        <f>IF(D4699&lt;&gt;"KEEP","",IF(RIGHT(B4699,10)="@gmail.com","Gmail",IF(OR(RIGHT(B4699,12)="@outlook.com",RIGHT(B4699,12)="@hotmail.com",RIGHT(B4699,9)="@live.com"),"Outlook","Domain")))</f>
        <v/>
      </c>
      <c r="F4699">
        <f>IF(B4699="","",IFERROR(RIGHT(B4699,LEN(B4699)-FIND("@",B4699)),""))</f>
        <v/>
      </c>
      <c r="G4699">
        <f>IF(D4699="KEEP",COUNTIF($D$2:D4699,"KEEP"),"")</f>
        <v/>
      </c>
      <c r="H4699">
        <f>IF(D4699="REMOVE",COUNTIF($D$2:D4699,"REMOVE"),"")</f>
        <v/>
      </c>
      <c r="I4699">
        <f>IF(E4699="Gmail",COUNTIF($E$2:E4699,"Gmail"),"")</f>
        <v/>
      </c>
      <c r="J4699">
        <f>IF(E4699="Outlook",COUNTIF($E$2:E4699,"Outlook"),"")</f>
        <v/>
      </c>
      <c r="K4699">
        <f>IF(E4699="Domain",COUNTIF($E$2:E4699,"Domain"),"")</f>
        <v/>
      </c>
    </row>
    <row r="4700">
      <c r="A4700" s="2" t="n"/>
      <c r="B4700">
        <f>LOWER(TRIM(A4700))</f>
        <v/>
      </c>
      <c r="C4700">
        <f>IF(B4700="","",IFERROR(INDEX('Bad Patterns'!$A$2:$A$120,MATCH(1,INDEX(--ISNUMBER(SEARCH('Bad Patterns'!$A$2:$A$120,B4700)),0),0)),""))</f>
        <v/>
      </c>
      <c r="D4700">
        <f>IF(B4700="","",IF(C4700&lt;&gt;"","REMOVE","KEEP"))</f>
        <v/>
      </c>
      <c r="E4700">
        <f>IF(D4700&lt;&gt;"KEEP","",IF(RIGHT(B4700,10)="@gmail.com","Gmail",IF(OR(RIGHT(B4700,12)="@outlook.com",RIGHT(B4700,12)="@hotmail.com",RIGHT(B4700,9)="@live.com"),"Outlook","Domain")))</f>
        <v/>
      </c>
      <c r="F4700">
        <f>IF(B4700="","",IFERROR(RIGHT(B4700,LEN(B4700)-FIND("@",B4700)),""))</f>
        <v/>
      </c>
      <c r="G4700">
        <f>IF(D4700="KEEP",COUNTIF($D$2:D4700,"KEEP"),"")</f>
        <v/>
      </c>
      <c r="H4700">
        <f>IF(D4700="REMOVE",COUNTIF($D$2:D4700,"REMOVE"),"")</f>
        <v/>
      </c>
      <c r="I4700">
        <f>IF(E4700="Gmail",COUNTIF($E$2:E4700,"Gmail"),"")</f>
        <v/>
      </c>
      <c r="J4700">
        <f>IF(E4700="Outlook",COUNTIF($E$2:E4700,"Outlook"),"")</f>
        <v/>
      </c>
      <c r="K4700">
        <f>IF(E4700="Domain",COUNTIF($E$2:E4700,"Domain"),"")</f>
        <v/>
      </c>
    </row>
    <row r="4701">
      <c r="A4701" s="2" t="n"/>
      <c r="B4701">
        <f>LOWER(TRIM(A4701))</f>
        <v/>
      </c>
      <c r="C4701">
        <f>IF(B4701="","",IFERROR(INDEX('Bad Patterns'!$A$2:$A$120,MATCH(1,INDEX(--ISNUMBER(SEARCH('Bad Patterns'!$A$2:$A$120,B4701)),0),0)),""))</f>
        <v/>
      </c>
      <c r="D4701">
        <f>IF(B4701="","",IF(C4701&lt;&gt;"","REMOVE","KEEP"))</f>
        <v/>
      </c>
      <c r="E4701">
        <f>IF(D4701&lt;&gt;"KEEP","",IF(RIGHT(B4701,10)="@gmail.com","Gmail",IF(OR(RIGHT(B4701,12)="@outlook.com",RIGHT(B4701,12)="@hotmail.com",RIGHT(B4701,9)="@live.com"),"Outlook","Domain")))</f>
        <v/>
      </c>
      <c r="F4701">
        <f>IF(B4701="","",IFERROR(RIGHT(B4701,LEN(B4701)-FIND("@",B4701)),""))</f>
        <v/>
      </c>
      <c r="G4701">
        <f>IF(D4701="KEEP",COUNTIF($D$2:D4701,"KEEP"),"")</f>
        <v/>
      </c>
      <c r="H4701">
        <f>IF(D4701="REMOVE",COUNTIF($D$2:D4701,"REMOVE"),"")</f>
        <v/>
      </c>
      <c r="I4701">
        <f>IF(E4701="Gmail",COUNTIF($E$2:E4701,"Gmail"),"")</f>
        <v/>
      </c>
      <c r="J4701">
        <f>IF(E4701="Outlook",COUNTIF($E$2:E4701,"Outlook"),"")</f>
        <v/>
      </c>
      <c r="K4701">
        <f>IF(E4701="Domain",COUNTIF($E$2:E4701,"Domain"),"")</f>
        <v/>
      </c>
    </row>
    <row r="4702">
      <c r="A4702" s="2" t="n"/>
      <c r="B4702">
        <f>LOWER(TRIM(A4702))</f>
        <v/>
      </c>
      <c r="C4702">
        <f>IF(B4702="","",IFERROR(INDEX('Bad Patterns'!$A$2:$A$120,MATCH(1,INDEX(--ISNUMBER(SEARCH('Bad Patterns'!$A$2:$A$120,B4702)),0),0)),""))</f>
        <v/>
      </c>
      <c r="D4702">
        <f>IF(B4702="","",IF(C4702&lt;&gt;"","REMOVE","KEEP"))</f>
        <v/>
      </c>
      <c r="E4702">
        <f>IF(D4702&lt;&gt;"KEEP","",IF(RIGHT(B4702,10)="@gmail.com","Gmail",IF(OR(RIGHT(B4702,12)="@outlook.com",RIGHT(B4702,12)="@hotmail.com",RIGHT(B4702,9)="@live.com"),"Outlook","Domain")))</f>
        <v/>
      </c>
      <c r="F4702">
        <f>IF(B4702="","",IFERROR(RIGHT(B4702,LEN(B4702)-FIND("@",B4702)),""))</f>
        <v/>
      </c>
      <c r="G4702">
        <f>IF(D4702="KEEP",COUNTIF($D$2:D4702,"KEEP"),"")</f>
        <v/>
      </c>
      <c r="H4702">
        <f>IF(D4702="REMOVE",COUNTIF($D$2:D4702,"REMOVE"),"")</f>
        <v/>
      </c>
      <c r="I4702">
        <f>IF(E4702="Gmail",COUNTIF($E$2:E4702,"Gmail"),"")</f>
        <v/>
      </c>
      <c r="J4702">
        <f>IF(E4702="Outlook",COUNTIF($E$2:E4702,"Outlook"),"")</f>
        <v/>
      </c>
      <c r="K4702">
        <f>IF(E4702="Domain",COUNTIF($E$2:E4702,"Domain"),"")</f>
        <v/>
      </c>
    </row>
    <row r="4703">
      <c r="A4703" s="2" t="n"/>
      <c r="B4703">
        <f>LOWER(TRIM(A4703))</f>
        <v/>
      </c>
      <c r="C4703">
        <f>IF(B4703="","",IFERROR(INDEX('Bad Patterns'!$A$2:$A$120,MATCH(1,INDEX(--ISNUMBER(SEARCH('Bad Patterns'!$A$2:$A$120,B4703)),0),0)),""))</f>
        <v/>
      </c>
      <c r="D4703">
        <f>IF(B4703="","",IF(C4703&lt;&gt;"","REMOVE","KEEP"))</f>
        <v/>
      </c>
      <c r="E4703">
        <f>IF(D4703&lt;&gt;"KEEP","",IF(RIGHT(B4703,10)="@gmail.com","Gmail",IF(OR(RIGHT(B4703,12)="@outlook.com",RIGHT(B4703,12)="@hotmail.com",RIGHT(B4703,9)="@live.com"),"Outlook","Domain")))</f>
        <v/>
      </c>
      <c r="F4703">
        <f>IF(B4703="","",IFERROR(RIGHT(B4703,LEN(B4703)-FIND("@",B4703)),""))</f>
        <v/>
      </c>
      <c r="G4703">
        <f>IF(D4703="KEEP",COUNTIF($D$2:D4703,"KEEP"),"")</f>
        <v/>
      </c>
      <c r="H4703">
        <f>IF(D4703="REMOVE",COUNTIF($D$2:D4703,"REMOVE"),"")</f>
        <v/>
      </c>
      <c r="I4703">
        <f>IF(E4703="Gmail",COUNTIF($E$2:E4703,"Gmail"),"")</f>
        <v/>
      </c>
      <c r="J4703">
        <f>IF(E4703="Outlook",COUNTIF($E$2:E4703,"Outlook"),"")</f>
        <v/>
      </c>
      <c r="K4703">
        <f>IF(E4703="Domain",COUNTIF($E$2:E4703,"Domain"),"")</f>
        <v/>
      </c>
    </row>
    <row r="4704">
      <c r="A4704" s="2" t="n"/>
      <c r="B4704">
        <f>LOWER(TRIM(A4704))</f>
        <v/>
      </c>
      <c r="C4704">
        <f>IF(B4704="","",IFERROR(INDEX('Bad Patterns'!$A$2:$A$120,MATCH(1,INDEX(--ISNUMBER(SEARCH('Bad Patterns'!$A$2:$A$120,B4704)),0),0)),""))</f>
        <v/>
      </c>
      <c r="D4704">
        <f>IF(B4704="","",IF(C4704&lt;&gt;"","REMOVE","KEEP"))</f>
        <v/>
      </c>
      <c r="E4704">
        <f>IF(D4704&lt;&gt;"KEEP","",IF(RIGHT(B4704,10)="@gmail.com","Gmail",IF(OR(RIGHT(B4704,12)="@outlook.com",RIGHT(B4704,12)="@hotmail.com",RIGHT(B4704,9)="@live.com"),"Outlook","Domain")))</f>
        <v/>
      </c>
      <c r="F4704">
        <f>IF(B4704="","",IFERROR(RIGHT(B4704,LEN(B4704)-FIND("@",B4704)),""))</f>
        <v/>
      </c>
      <c r="G4704">
        <f>IF(D4704="KEEP",COUNTIF($D$2:D4704,"KEEP"),"")</f>
        <v/>
      </c>
      <c r="H4704">
        <f>IF(D4704="REMOVE",COUNTIF($D$2:D4704,"REMOVE"),"")</f>
        <v/>
      </c>
      <c r="I4704">
        <f>IF(E4704="Gmail",COUNTIF($E$2:E4704,"Gmail"),"")</f>
        <v/>
      </c>
      <c r="J4704">
        <f>IF(E4704="Outlook",COUNTIF($E$2:E4704,"Outlook"),"")</f>
        <v/>
      </c>
      <c r="K4704">
        <f>IF(E4704="Domain",COUNTIF($E$2:E4704,"Domain"),"")</f>
        <v/>
      </c>
    </row>
    <row r="4705">
      <c r="A4705" s="2" t="n"/>
      <c r="B4705">
        <f>LOWER(TRIM(A4705))</f>
        <v/>
      </c>
      <c r="C4705">
        <f>IF(B4705="","",IFERROR(INDEX('Bad Patterns'!$A$2:$A$120,MATCH(1,INDEX(--ISNUMBER(SEARCH('Bad Patterns'!$A$2:$A$120,B4705)),0),0)),""))</f>
        <v/>
      </c>
      <c r="D4705">
        <f>IF(B4705="","",IF(C4705&lt;&gt;"","REMOVE","KEEP"))</f>
        <v/>
      </c>
      <c r="E4705">
        <f>IF(D4705&lt;&gt;"KEEP","",IF(RIGHT(B4705,10)="@gmail.com","Gmail",IF(OR(RIGHT(B4705,12)="@outlook.com",RIGHT(B4705,12)="@hotmail.com",RIGHT(B4705,9)="@live.com"),"Outlook","Domain")))</f>
        <v/>
      </c>
      <c r="F4705">
        <f>IF(B4705="","",IFERROR(RIGHT(B4705,LEN(B4705)-FIND("@",B4705)),""))</f>
        <v/>
      </c>
      <c r="G4705">
        <f>IF(D4705="KEEP",COUNTIF($D$2:D4705,"KEEP"),"")</f>
        <v/>
      </c>
      <c r="H4705">
        <f>IF(D4705="REMOVE",COUNTIF($D$2:D4705,"REMOVE"),"")</f>
        <v/>
      </c>
      <c r="I4705">
        <f>IF(E4705="Gmail",COUNTIF($E$2:E4705,"Gmail"),"")</f>
        <v/>
      </c>
      <c r="J4705">
        <f>IF(E4705="Outlook",COUNTIF($E$2:E4705,"Outlook"),"")</f>
        <v/>
      </c>
      <c r="K4705">
        <f>IF(E4705="Domain",COUNTIF($E$2:E4705,"Domain"),"")</f>
        <v/>
      </c>
    </row>
    <row r="4706">
      <c r="A4706" s="2" t="n"/>
      <c r="B4706">
        <f>LOWER(TRIM(A4706))</f>
        <v/>
      </c>
      <c r="C4706">
        <f>IF(B4706="","",IFERROR(INDEX('Bad Patterns'!$A$2:$A$120,MATCH(1,INDEX(--ISNUMBER(SEARCH('Bad Patterns'!$A$2:$A$120,B4706)),0),0)),""))</f>
        <v/>
      </c>
      <c r="D4706">
        <f>IF(B4706="","",IF(C4706&lt;&gt;"","REMOVE","KEEP"))</f>
        <v/>
      </c>
      <c r="E4706">
        <f>IF(D4706&lt;&gt;"KEEP","",IF(RIGHT(B4706,10)="@gmail.com","Gmail",IF(OR(RIGHT(B4706,12)="@outlook.com",RIGHT(B4706,12)="@hotmail.com",RIGHT(B4706,9)="@live.com"),"Outlook","Domain")))</f>
        <v/>
      </c>
      <c r="F4706">
        <f>IF(B4706="","",IFERROR(RIGHT(B4706,LEN(B4706)-FIND("@",B4706)),""))</f>
        <v/>
      </c>
      <c r="G4706">
        <f>IF(D4706="KEEP",COUNTIF($D$2:D4706,"KEEP"),"")</f>
        <v/>
      </c>
      <c r="H4706">
        <f>IF(D4706="REMOVE",COUNTIF($D$2:D4706,"REMOVE"),"")</f>
        <v/>
      </c>
      <c r="I4706">
        <f>IF(E4706="Gmail",COUNTIF($E$2:E4706,"Gmail"),"")</f>
        <v/>
      </c>
      <c r="J4706">
        <f>IF(E4706="Outlook",COUNTIF($E$2:E4706,"Outlook"),"")</f>
        <v/>
      </c>
      <c r="K4706">
        <f>IF(E4706="Domain",COUNTIF($E$2:E4706,"Domain"),"")</f>
        <v/>
      </c>
    </row>
    <row r="4707">
      <c r="A4707" s="2" t="n"/>
      <c r="B4707">
        <f>LOWER(TRIM(A4707))</f>
        <v/>
      </c>
      <c r="C4707">
        <f>IF(B4707="","",IFERROR(INDEX('Bad Patterns'!$A$2:$A$120,MATCH(1,INDEX(--ISNUMBER(SEARCH('Bad Patterns'!$A$2:$A$120,B4707)),0),0)),""))</f>
        <v/>
      </c>
      <c r="D4707">
        <f>IF(B4707="","",IF(C4707&lt;&gt;"","REMOVE","KEEP"))</f>
        <v/>
      </c>
      <c r="E4707">
        <f>IF(D4707&lt;&gt;"KEEP","",IF(RIGHT(B4707,10)="@gmail.com","Gmail",IF(OR(RIGHT(B4707,12)="@outlook.com",RIGHT(B4707,12)="@hotmail.com",RIGHT(B4707,9)="@live.com"),"Outlook","Domain")))</f>
        <v/>
      </c>
      <c r="F4707">
        <f>IF(B4707="","",IFERROR(RIGHT(B4707,LEN(B4707)-FIND("@",B4707)),""))</f>
        <v/>
      </c>
      <c r="G4707">
        <f>IF(D4707="KEEP",COUNTIF($D$2:D4707,"KEEP"),"")</f>
        <v/>
      </c>
      <c r="H4707">
        <f>IF(D4707="REMOVE",COUNTIF($D$2:D4707,"REMOVE"),"")</f>
        <v/>
      </c>
      <c r="I4707">
        <f>IF(E4707="Gmail",COUNTIF($E$2:E4707,"Gmail"),"")</f>
        <v/>
      </c>
      <c r="J4707">
        <f>IF(E4707="Outlook",COUNTIF($E$2:E4707,"Outlook"),"")</f>
        <v/>
      </c>
      <c r="K4707">
        <f>IF(E4707="Domain",COUNTIF($E$2:E4707,"Domain"),"")</f>
        <v/>
      </c>
    </row>
    <row r="4708">
      <c r="A4708" s="2" t="n"/>
      <c r="B4708">
        <f>LOWER(TRIM(A4708))</f>
        <v/>
      </c>
      <c r="C4708">
        <f>IF(B4708="","",IFERROR(INDEX('Bad Patterns'!$A$2:$A$120,MATCH(1,INDEX(--ISNUMBER(SEARCH('Bad Patterns'!$A$2:$A$120,B4708)),0),0)),""))</f>
        <v/>
      </c>
      <c r="D4708">
        <f>IF(B4708="","",IF(C4708&lt;&gt;"","REMOVE","KEEP"))</f>
        <v/>
      </c>
      <c r="E4708">
        <f>IF(D4708&lt;&gt;"KEEP","",IF(RIGHT(B4708,10)="@gmail.com","Gmail",IF(OR(RIGHT(B4708,12)="@outlook.com",RIGHT(B4708,12)="@hotmail.com",RIGHT(B4708,9)="@live.com"),"Outlook","Domain")))</f>
        <v/>
      </c>
      <c r="F4708">
        <f>IF(B4708="","",IFERROR(RIGHT(B4708,LEN(B4708)-FIND("@",B4708)),""))</f>
        <v/>
      </c>
      <c r="G4708">
        <f>IF(D4708="KEEP",COUNTIF($D$2:D4708,"KEEP"),"")</f>
        <v/>
      </c>
      <c r="H4708">
        <f>IF(D4708="REMOVE",COUNTIF($D$2:D4708,"REMOVE"),"")</f>
        <v/>
      </c>
      <c r="I4708">
        <f>IF(E4708="Gmail",COUNTIF($E$2:E4708,"Gmail"),"")</f>
        <v/>
      </c>
      <c r="J4708">
        <f>IF(E4708="Outlook",COUNTIF($E$2:E4708,"Outlook"),"")</f>
        <v/>
      </c>
      <c r="K4708">
        <f>IF(E4708="Domain",COUNTIF($E$2:E4708,"Domain"),"")</f>
        <v/>
      </c>
    </row>
    <row r="4709">
      <c r="A4709" s="2" t="n"/>
      <c r="B4709">
        <f>LOWER(TRIM(A4709))</f>
        <v/>
      </c>
      <c r="C4709">
        <f>IF(B4709="","",IFERROR(INDEX('Bad Patterns'!$A$2:$A$120,MATCH(1,INDEX(--ISNUMBER(SEARCH('Bad Patterns'!$A$2:$A$120,B4709)),0),0)),""))</f>
        <v/>
      </c>
      <c r="D4709">
        <f>IF(B4709="","",IF(C4709&lt;&gt;"","REMOVE","KEEP"))</f>
        <v/>
      </c>
      <c r="E4709">
        <f>IF(D4709&lt;&gt;"KEEP","",IF(RIGHT(B4709,10)="@gmail.com","Gmail",IF(OR(RIGHT(B4709,12)="@outlook.com",RIGHT(B4709,12)="@hotmail.com",RIGHT(B4709,9)="@live.com"),"Outlook","Domain")))</f>
        <v/>
      </c>
      <c r="F4709">
        <f>IF(B4709="","",IFERROR(RIGHT(B4709,LEN(B4709)-FIND("@",B4709)),""))</f>
        <v/>
      </c>
      <c r="G4709">
        <f>IF(D4709="KEEP",COUNTIF($D$2:D4709,"KEEP"),"")</f>
        <v/>
      </c>
      <c r="H4709">
        <f>IF(D4709="REMOVE",COUNTIF($D$2:D4709,"REMOVE"),"")</f>
        <v/>
      </c>
      <c r="I4709">
        <f>IF(E4709="Gmail",COUNTIF($E$2:E4709,"Gmail"),"")</f>
        <v/>
      </c>
      <c r="J4709">
        <f>IF(E4709="Outlook",COUNTIF($E$2:E4709,"Outlook"),"")</f>
        <v/>
      </c>
      <c r="K4709">
        <f>IF(E4709="Domain",COUNTIF($E$2:E4709,"Domain"),"")</f>
        <v/>
      </c>
    </row>
    <row r="4710">
      <c r="A4710" s="2" t="n"/>
      <c r="B4710">
        <f>LOWER(TRIM(A4710))</f>
        <v/>
      </c>
      <c r="C4710">
        <f>IF(B4710="","",IFERROR(INDEX('Bad Patterns'!$A$2:$A$120,MATCH(1,INDEX(--ISNUMBER(SEARCH('Bad Patterns'!$A$2:$A$120,B4710)),0),0)),""))</f>
        <v/>
      </c>
      <c r="D4710">
        <f>IF(B4710="","",IF(C4710&lt;&gt;"","REMOVE","KEEP"))</f>
        <v/>
      </c>
      <c r="E4710">
        <f>IF(D4710&lt;&gt;"KEEP","",IF(RIGHT(B4710,10)="@gmail.com","Gmail",IF(OR(RIGHT(B4710,12)="@outlook.com",RIGHT(B4710,12)="@hotmail.com",RIGHT(B4710,9)="@live.com"),"Outlook","Domain")))</f>
        <v/>
      </c>
      <c r="F4710">
        <f>IF(B4710="","",IFERROR(RIGHT(B4710,LEN(B4710)-FIND("@",B4710)),""))</f>
        <v/>
      </c>
      <c r="G4710">
        <f>IF(D4710="KEEP",COUNTIF($D$2:D4710,"KEEP"),"")</f>
        <v/>
      </c>
      <c r="H4710">
        <f>IF(D4710="REMOVE",COUNTIF($D$2:D4710,"REMOVE"),"")</f>
        <v/>
      </c>
      <c r="I4710">
        <f>IF(E4710="Gmail",COUNTIF($E$2:E4710,"Gmail"),"")</f>
        <v/>
      </c>
      <c r="J4710">
        <f>IF(E4710="Outlook",COUNTIF($E$2:E4710,"Outlook"),"")</f>
        <v/>
      </c>
      <c r="K4710">
        <f>IF(E4710="Domain",COUNTIF($E$2:E4710,"Domain"),"")</f>
        <v/>
      </c>
    </row>
    <row r="4711">
      <c r="A4711" s="2" t="n"/>
      <c r="B4711">
        <f>LOWER(TRIM(A4711))</f>
        <v/>
      </c>
      <c r="C4711">
        <f>IF(B4711="","",IFERROR(INDEX('Bad Patterns'!$A$2:$A$120,MATCH(1,INDEX(--ISNUMBER(SEARCH('Bad Patterns'!$A$2:$A$120,B4711)),0),0)),""))</f>
        <v/>
      </c>
      <c r="D4711">
        <f>IF(B4711="","",IF(C4711&lt;&gt;"","REMOVE","KEEP"))</f>
        <v/>
      </c>
      <c r="E4711">
        <f>IF(D4711&lt;&gt;"KEEP","",IF(RIGHT(B4711,10)="@gmail.com","Gmail",IF(OR(RIGHT(B4711,12)="@outlook.com",RIGHT(B4711,12)="@hotmail.com",RIGHT(B4711,9)="@live.com"),"Outlook","Domain")))</f>
        <v/>
      </c>
      <c r="F4711">
        <f>IF(B4711="","",IFERROR(RIGHT(B4711,LEN(B4711)-FIND("@",B4711)),""))</f>
        <v/>
      </c>
      <c r="G4711">
        <f>IF(D4711="KEEP",COUNTIF($D$2:D4711,"KEEP"),"")</f>
        <v/>
      </c>
      <c r="H4711">
        <f>IF(D4711="REMOVE",COUNTIF($D$2:D4711,"REMOVE"),"")</f>
        <v/>
      </c>
      <c r="I4711">
        <f>IF(E4711="Gmail",COUNTIF($E$2:E4711,"Gmail"),"")</f>
        <v/>
      </c>
      <c r="J4711">
        <f>IF(E4711="Outlook",COUNTIF($E$2:E4711,"Outlook"),"")</f>
        <v/>
      </c>
      <c r="K4711">
        <f>IF(E4711="Domain",COUNTIF($E$2:E4711,"Domain"),"")</f>
        <v/>
      </c>
    </row>
    <row r="4712">
      <c r="A4712" s="2" t="n"/>
      <c r="B4712">
        <f>LOWER(TRIM(A4712))</f>
        <v/>
      </c>
      <c r="C4712">
        <f>IF(B4712="","",IFERROR(INDEX('Bad Patterns'!$A$2:$A$120,MATCH(1,INDEX(--ISNUMBER(SEARCH('Bad Patterns'!$A$2:$A$120,B4712)),0),0)),""))</f>
        <v/>
      </c>
      <c r="D4712">
        <f>IF(B4712="","",IF(C4712&lt;&gt;"","REMOVE","KEEP"))</f>
        <v/>
      </c>
      <c r="E4712">
        <f>IF(D4712&lt;&gt;"KEEP","",IF(RIGHT(B4712,10)="@gmail.com","Gmail",IF(OR(RIGHT(B4712,12)="@outlook.com",RIGHT(B4712,12)="@hotmail.com",RIGHT(B4712,9)="@live.com"),"Outlook","Domain")))</f>
        <v/>
      </c>
      <c r="F4712">
        <f>IF(B4712="","",IFERROR(RIGHT(B4712,LEN(B4712)-FIND("@",B4712)),""))</f>
        <v/>
      </c>
      <c r="G4712">
        <f>IF(D4712="KEEP",COUNTIF($D$2:D4712,"KEEP"),"")</f>
        <v/>
      </c>
      <c r="H4712">
        <f>IF(D4712="REMOVE",COUNTIF($D$2:D4712,"REMOVE"),"")</f>
        <v/>
      </c>
      <c r="I4712">
        <f>IF(E4712="Gmail",COUNTIF($E$2:E4712,"Gmail"),"")</f>
        <v/>
      </c>
      <c r="J4712">
        <f>IF(E4712="Outlook",COUNTIF($E$2:E4712,"Outlook"),"")</f>
        <v/>
      </c>
      <c r="K4712">
        <f>IF(E4712="Domain",COUNTIF($E$2:E4712,"Domain"),"")</f>
        <v/>
      </c>
    </row>
    <row r="4713">
      <c r="A4713" s="2" t="n"/>
      <c r="B4713">
        <f>LOWER(TRIM(A4713))</f>
        <v/>
      </c>
      <c r="C4713">
        <f>IF(B4713="","",IFERROR(INDEX('Bad Patterns'!$A$2:$A$120,MATCH(1,INDEX(--ISNUMBER(SEARCH('Bad Patterns'!$A$2:$A$120,B4713)),0),0)),""))</f>
        <v/>
      </c>
      <c r="D4713">
        <f>IF(B4713="","",IF(C4713&lt;&gt;"","REMOVE","KEEP"))</f>
        <v/>
      </c>
      <c r="E4713">
        <f>IF(D4713&lt;&gt;"KEEP","",IF(RIGHT(B4713,10)="@gmail.com","Gmail",IF(OR(RIGHT(B4713,12)="@outlook.com",RIGHT(B4713,12)="@hotmail.com",RIGHT(B4713,9)="@live.com"),"Outlook","Domain")))</f>
        <v/>
      </c>
      <c r="F4713">
        <f>IF(B4713="","",IFERROR(RIGHT(B4713,LEN(B4713)-FIND("@",B4713)),""))</f>
        <v/>
      </c>
      <c r="G4713">
        <f>IF(D4713="KEEP",COUNTIF($D$2:D4713,"KEEP"),"")</f>
        <v/>
      </c>
      <c r="H4713">
        <f>IF(D4713="REMOVE",COUNTIF($D$2:D4713,"REMOVE"),"")</f>
        <v/>
      </c>
      <c r="I4713">
        <f>IF(E4713="Gmail",COUNTIF($E$2:E4713,"Gmail"),"")</f>
        <v/>
      </c>
      <c r="J4713">
        <f>IF(E4713="Outlook",COUNTIF($E$2:E4713,"Outlook"),"")</f>
        <v/>
      </c>
      <c r="K4713">
        <f>IF(E4713="Domain",COUNTIF($E$2:E4713,"Domain"),"")</f>
        <v/>
      </c>
    </row>
    <row r="4714">
      <c r="A4714" s="2" t="n"/>
      <c r="B4714">
        <f>LOWER(TRIM(A4714))</f>
        <v/>
      </c>
      <c r="C4714">
        <f>IF(B4714="","",IFERROR(INDEX('Bad Patterns'!$A$2:$A$120,MATCH(1,INDEX(--ISNUMBER(SEARCH('Bad Patterns'!$A$2:$A$120,B4714)),0),0)),""))</f>
        <v/>
      </c>
      <c r="D4714">
        <f>IF(B4714="","",IF(C4714&lt;&gt;"","REMOVE","KEEP"))</f>
        <v/>
      </c>
      <c r="E4714">
        <f>IF(D4714&lt;&gt;"KEEP","",IF(RIGHT(B4714,10)="@gmail.com","Gmail",IF(OR(RIGHT(B4714,12)="@outlook.com",RIGHT(B4714,12)="@hotmail.com",RIGHT(B4714,9)="@live.com"),"Outlook","Domain")))</f>
        <v/>
      </c>
      <c r="F4714">
        <f>IF(B4714="","",IFERROR(RIGHT(B4714,LEN(B4714)-FIND("@",B4714)),""))</f>
        <v/>
      </c>
      <c r="G4714">
        <f>IF(D4714="KEEP",COUNTIF($D$2:D4714,"KEEP"),"")</f>
        <v/>
      </c>
      <c r="H4714">
        <f>IF(D4714="REMOVE",COUNTIF($D$2:D4714,"REMOVE"),"")</f>
        <v/>
      </c>
      <c r="I4714">
        <f>IF(E4714="Gmail",COUNTIF($E$2:E4714,"Gmail"),"")</f>
        <v/>
      </c>
      <c r="J4714">
        <f>IF(E4714="Outlook",COUNTIF($E$2:E4714,"Outlook"),"")</f>
        <v/>
      </c>
      <c r="K4714">
        <f>IF(E4714="Domain",COUNTIF($E$2:E4714,"Domain"),"")</f>
        <v/>
      </c>
    </row>
    <row r="4715">
      <c r="A4715" s="2" t="n"/>
      <c r="B4715">
        <f>LOWER(TRIM(A4715))</f>
        <v/>
      </c>
      <c r="C4715">
        <f>IF(B4715="","",IFERROR(INDEX('Bad Patterns'!$A$2:$A$120,MATCH(1,INDEX(--ISNUMBER(SEARCH('Bad Patterns'!$A$2:$A$120,B4715)),0),0)),""))</f>
        <v/>
      </c>
      <c r="D4715">
        <f>IF(B4715="","",IF(C4715&lt;&gt;"","REMOVE","KEEP"))</f>
        <v/>
      </c>
      <c r="E4715">
        <f>IF(D4715&lt;&gt;"KEEP","",IF(RIGHT(B4715,10)="@gmail.com","Gmail",IF(OR(RIGHT(B4715,12)="@outlook.com",RIGHT(B4715,12)="@hotmail.com",RIGHT(B4715,9)="@live.com"),"Outlook","Domain")))</f>
        <v/>
      </c>
      <c r="F4715">
        <f>IF(B4715="","",IFERROR(RIGHT(B4715,LEN(B4715)-FIND("@",B4715)),""))</f>
        <v/>
      </c>
      <c r="G4715">
        <f>IF(D4715="KEEP",COUNTIF($D$2:D4715,"KEEP"),"")</f>
        <v/>
      </c>
      <c r="H4715">
        <f>IF(D4715="REMOVE",COUNTIF($D$2:D4715,"REMOVE"),"")</f>
        <v/>
      </c>
      <c r="I4715">
        <f>IF(E4715="Gmail",COUNTIF($E$2:E4715,"Gmail"),"")</f>
        <v/>
      </c>
      <c r="J4715">
        <f>IF(E4715="Outlook",COUNTIF($E$2:E4715,"Outlook"),"")</f>
        <v/>
      </c>
      <c r="K4715">
        <f>IF(E4715="Domain",COUNTIF($E$2:E4715,"Domain"),"")</f>
        <v/>
      </c>
    </row>
    <row r="4716">
      <c r="A4716" s="2" t="n"/>
      <c r="B4716">
        <f>LOWER(TRIM(A4716))</f>
        <v/>
      </c>
      <c r="C4716">
        <f>IF(B4716="","",IFERROR(INDEX('Bad Patterns'!$A$2:$A$120,MATCH(1,INDEX(--ISNUMBER(SEARCH('Bad Patterns'!$A$2:$A$120,B4716)),0),0)),""))</f>
        <v/>
      </c>
      <c r="D4716">
        <f>IF(B4716="","",IF(C4716&lt;&gt;"","REMOVE","KEEP"))</f>
        <v/>
      </c>
      <c r="E4716">
        <f>IF(D4716&lt;&gt;"KEEP","",IF(RIGHT(B4716,10)="@gmail.com","Gmail",IF(OR(RIGHT(B4716,12)="@outlook.com",RIGHT(B4716,12)="@hotmail.com",RIGHT(B4716,9)="@live.com"),"Outlook","Domain")))</f>
        <v/>
      </c>
      <c r="F4716">
        <f>IF(B4716="","",IFERROR(RIGHT(B4716,LEN(B4716)-FIND("@",B4716)),""))</f>
        <v/>
      </c>
      <c r="G4716">
        <f>IF(D4716="KEEP",COUNTIF($D$2:D4716,"KEEP"),"")</f>
        <v/>
      </c>
      <c r="H4716">
        <f>IF(D4716="REMOVE",COUNTIF($D$2:D4716,"REMOVE"),"")</f>
        <v/>
      </c>
      <c r="I4716">
        <f>IF(E4716="Gmail",COUNTIF($E$2:E4716,"Gmail"),"")</f>
        <v/>
      </c>
      <c r="J4716">
        <f>IF(E4716="Outlook",COUNTIF($E$2:E4716,"Outlook"),"")</f>
        <v/>
      </c>
      <c r="K4716">
        <f>IF(E4716="Domain",COUNTIF($E$2:E4716,"Domain"),"")</f>
        <v/>
      </c>
    </row>
    <row r="4717">
      <c r="A4717" s="2" t="n"/>
      <c r="B4717">
        <f>LOWER(TRIM(A4717))</f>
        <v/>
      </c>
      <c r="C4717">
        <f>IF(B4717="","",IFERROR(INDEX('Bad Patterns'!$A$2:$A$120,MATCH(1,INDEX(--ISNUMBER(SEARCH('Bad Patterns'!$A$2:$A$120,B4717)),0),0)),""))</f>
        <v/>
      </c>
      <c r="D4717">
        <f>IF(B4717="","",IF(C4717&lt;&gt;"","REMOVE","KEEP"))</f>
        <v/>
      </c>
      <c r="E4717">
        <f>IF(D4717&lt;&gt;"KEEP","",IF(RIGHT(B4717,10)="@gmail.com","Gmail",IF(OR(RIGHT(B4717,12)="@outlook.com",RIGHT(B4717,12)="@hotmail.com",RIGHT(B4717,9)="@live.com"),"Outlook","Domain")))</f>
        <v/>
      </c>
      <c r="F4717">
        <f>IF(B4717="","",IFERROR(RIGHT(B4717,LEN(B4717)-FIND("@",B4717)),""))</f>
        <v/>
      </c>
      <c r="G4717">
        <f>IF(D4717="KEEP",COUNTIF($D$2:D4717,"KEEP"),"")</f>
        <v/>
      </c>
      <c r="H4717">
        <f>IF(D4717="REMOVE",COUNTIF($D$2:D4717,"REMOVE"),"")</f>
        <v/>
      </c>
      <c r="I4717">
        <f>IF(E4717="Gmail",COUNTIF($E$2:E4717,"Gmail"),"")</f>
        <v/>
      </c>
      <c r="J4717">
        <f>IF(E4717="Outlook",COUNTIF($E$2:E4717,"Outlook"),"")</f>
        <v/>
      </c>
      <c r="K4717">
        <f>IF(E4717="Domain",COUNTIF($E$2:E4717,"Domain"),"")</f>
        <v/>
      </c>
    </row>
    <row r="4718">
      <c r="A4718" s="2" t="n"/>
      <c r="B4718">
        <f>LOWER(TRIM(A4718))</f>
        <v/>
      </c>
      <c r="C4718">
        <f>IF(B4718="","",IFERROR(INDEX('Bad Patterns'!$A$2:$A$120,MATCH(1,INDEX(--ISNUMBER(SEARCH('Bad Patterns'!$A$2:$A$120,B4718)),0),0)),""))</f>
        <v/>
      </c>
      <c r="D4718">
        <f>IF(B4718="","",IF(C4718&lt;&gt;"","REMOVE","KEEP"))</f>
        <v/>
      </c>
      <c r="E4718">
        <f>IF(D4718&lt;&gt;"KEEP","",IF(RIGHT(B4718,10)="@gmail.com","Gmail",IF(OR(RIGHT(B4718,12)="@outlook.com",RIGHT(B4718,12)="@hotmail.com",RIGHT(B4718,9)="@live.com"),"Outlook","Domain")))</f>
        <v/>
      </c>
      <c r="F4718">
        <f>IF(B4718="","",IFERROR(RIGHT(B4718,LEN(B4718)-FIND("@",B4718)),""))</f>
        <v/>
      </c>
      <c r="G4718">
        <f>IF(D4718="KEEP",COUNTIF($D$2:D4718,"KEEP"),"")</f>
        <v/>
      </c>
      <c r="H4718">
        <f>IF(D4718="REMOVE",COUNTIF($D$2:D4718,"REMOVE"),"")</f>
        <v/>
      </c>
      <c r="I4718">
        <f>IF(E4718="Gmail",COUNTIF($E$2:E4718,"Gmail"),"")</f>
        <v/>
      </c>
      <c r="J4718">
        <f>IF(E4718="Outlook",COUNTIF($E$2:E4718,"Outlook"),"")</f>
        <v/>
      </c>
      <c r="K4718">
        <f>IF(E4718="Domain",COUNTIF($E$2:E4718,"Domain"),"")</f>
        <v/>
      </c>
    </row>
    <row r="4719">
      <c r="A4719" s="2" t="n"/>
      <c r="B4719">
        <f>LOWER(TRIM(A4719))</f>
        <v/>
      </c>
      <c r="C4719">
        <f>IF(B4719="","",IFERROR(INDEX('Bad Patterns'!$A$2:$A$120,MATCH(1,INDEX(--ISNUMBER(SEARCH('Bad Patterns'!$A$2:$A$120,B4719)),0),0)),""))</f>
        <v/>
      </c>
      <c r="D4719">
        <f>IF(B4719="","",IF(C4719&lt;&gt;"","REMOVE","KEEP"))</f>
        <v/>
      </c>
      <c r="E4719">
        <f>IF(D4719&lt;&gt;"KEEP","",IF(RIGHT(B4719,10)="@gmail.com","Gmail",IF(OR(RIGHT(B4719,12)="@outlook.com",RIGHT(B4719,12)="@hotmail.com",RIGHT(B4719,9)="@live.com"),"Outlook","Domain")))</f>
        <v/>
      </c>
      <c r="F4719">
        <f>IF(B4719="","",IFERROR(RIGHT(B4719,LEN(B4719)-FIND("@",B4719)),""))</f>
        <v/>
      </c>
      <c r="G4719">
        <f>IF(D4719="KEEP",COUNTIF($D$2:D4719,"KEEP"),"")</f>
        <v/>
      </c>
      <c r="H4719">
        <f>IF(D4719="REMOVE",COUNTIF($D$2:D4719,"REMOVE"),"")</f>
        <v/>
      </c>
      <c r="I4719">
        <f>IF(E4719="Gmail",COUNTIF($E$2:E4719,"Gmail"),"")</f>
        <v/>
      </c>
      <c r="J4719">
        <f>IF(E4719="Outlook",COUNTIF($E$2:E4719,"Outlook"),"")</f>
        <v/>
      </c>
      <c r="K4719">
        <f>IF(E4719="Domain",COUNTIF($E$2:E4719,"Domain"),"")</f>
        <v/>
      </c>
    </row>
    <row r="4720">
      <c r="A4720" s="2" t="n"/>
      <c r="B4720">
        <f>LOWER(TRIM(A4720))</f>
        <v/>
      </c>
      <c r="C4720">
        <f>IF(B4720="","",IFERROR(INDEX('Bad Patterns'!$A$2:$A$120,MATCH(1,INDEX(--ISNUMBER(SEARCH('Bad Patterns'!$A$2:$A$120,B4720)),0),0)),""))</f>
        <v/>
      </c>
      <c r="D4720">
        <f>IF(B4720="","",IF(C4720&lt;&gt;"","REMOVE","KEEP"))</f>
        <v/>
      </c>
      <c r="E4720">
        <f>IF(D4720&lt;&gt;"KEEP","",IF(RIGHT(B4720,10)="@gmail.com","Gmail",IF(OR(RIGHT(B4720,12)="@outlook.com",RIGHT(B4720,12)="@hotmail.com",RIGHT(B4720,9)="@live.com"),"Outlook","Domain")))</f>
        <v/>
      </c>
      <c r="F4720">
        <f>IF(B4720="","",IFERROR(RIGHT(B4720,LEN(B4720)-FIND("@",B4720)),""))</f>
        <v/>
      </c>
      <c r="G4720">
        <f>IF(D4720="KEEP",COUNTIF($D$2:D4720,"KEEP"),"")</f>
        <v/>
      </c>
      <c r="H4720">
        <f>IF(D4720="REMOVE",COUNTIF($D$2:D4720,"REMOVE"),"")</f>
        <v/>
      </c>
      <c r="I4720">
        <f>IF(E4720="Gmail",COUNTIF($E$2:E4720,"Gmail"),"")</f>
        <v/>
      </c>
      <c r="J4720">
        <f>IF(E4720="Outlook",COUNTIF($E$2:E4720,"Outlook"),"")</f>
        <v/>
      </c>
      <c r="K4720">
        <f>IF(E4720="Domain",COUNTIF($E$2:E4720,"Domain"),"")</f>
        <v/>
      </c>
    </row>
    <row r="4721">
      <c r="A4721" s="2" t="n"/>
      <c r="B4721">
        <f>LOWER(TRIM(A4721))</f>
        <v/>
      </c>
      <c r="C4721">
        <f>IF(B4721="","",IFERROR(INDEX('Bad Patterns'!$A$2:$A$120,MATCH(1,INDEX(--ISNUMBER(SEARCH('Bad Patterns'!$A$2:$A$120,B4721)),0),0)),""))</f>
        <v/>
      </c>
      <c r="D4721">
        <f>IF(B4721="","",IF(C4721&lt;&gt;"","REMOVE","KEEP"))</f>
        <v/>
      </c>
      <c r="E4721">
        <f>IF(D4721&lt;&gt;"KEEP","",IF(RIGHT(B4721,10)="@gmail.com","Gmail",IF(OR(RIGHT(B4721,12)="@outlook.com",RIGHT(B4721,12)="@hotmail.com",RIGHT(B4721,9)="@live.com"),"Outlook","Domain")))</f>
        <v/>
      </c>
      <c r="F4721">
        <f>IF(B4721="","",IFERROR(RIGHT(B4721,LEN(B4721)-FIND("@",B4721)),""))</f>
        <v/>
      </c>
      <c r="G4721">
        <f>IF(D4721="KEEP",COUNTIF($D$2:D4721,"KEEP"),"")</f>
        <v/>
      </c>
      <c r="H4721">
        <f>IF(D4721="REMOVE",COUNTIF($D$2:D4721,"REMOVE"),"")</f>
        <v/>
      </c>
      <c r="I4721">
        <f>IF(E4721="Gmail",COUNTIF($E$2:E4721,"Gmail"),"")</f>
        <v/>
      </c>
      <c r="J4721">
        <f>IF(E4721="Outlook",COUNTIF($E$2:E4721,"Outlook"),"")</f>
        <v/>
      </c>
      <c r="K4721">
        <f>IF(E4721="Domain",COUNTIF($E$2:E4721,"Domain"),"")</f>
        <v/>
      </c>
    </row>
    <row r="4722">
      <c r="A4722" s="2" t="n"/>
      <c r="B4722">
        <f>LOWER(TRIM(A4722))</f>
        <v/>
      </c>
      <c r="C4722">
        <f>IF(B4722="","",IFERROR(INDEX('Bad Patterns'!$A$2:$A$120,MATCH(1,INDEX(--ISNUMBER(SEARCH('Bad Patterns'!$A$2:$A$120,B4722)),0),0)),""))</f>
        <v/>
      </c>
      <c r="D4722">
        <f>IF(B4722="","",IF(C4722&lt;&gt;"","REMOVE","KEEP"))</f>
        <v/>
      </c>
      <c r="E4722">
        <f>IF(D4722&lt;&gt;"KEEP","",IF(RIGHT(B4722,10)="@gmail.com","Gmail",IF(OR(RIGHT(B4722,12)="@outlook.com",RIGHT(B4722,12)="@hotmail.com",RIGHT(B4722,9)="@live.com"),"Outlook","Domain")))</f>
        <v/>
      </c>
      <c r="F4722">
        <f>IF(B4722="","",IFERROR(RIGHT(B4722,LEN(B4722)-FIND("@",B4722)),""))</f>
        <v/>
      </c>
      <c r="G4722">
        <f>IF(D4722="KEEP",COUNTIF($D$2:D4722,"KEEP"),"")</f>
        <v/>
      </c>
      <c r="H4722">
        <f>IF(D4722="REMOVE",COUNTIF($D$2:D4722,"REMOVE"),"")</f>
        <v/>
      </c>
      <c r="I4722">
        <f>IF(E4722="Gmail",COUNTIF($E$2:E4722,"Gmail"),"")</f>
        <v/>
      </c>
      <c r="J4722">
        <f>IF(E4722="Outlook",COUNTIF($E$2:E4722,"Outlook"),"")</f>
        <v/>
      </c>
      <c r="K4722">
        <f>IF(E4722="Domain",COUNTIF($E$2:E4722,"Domain"),"")</f>
        <v/>
      </c>
    </row>
    <row r="4723">
      <c r="A4723" s="2" t="n"/>
      <c r="B4723">
        <f>LOWER(TRIM(A4723))</f>
        <v/>
      </c>
      <c r="C4723">
        <f>IF(B4723="","",IFERROR(INDEX('Bad Patterns'!$A$2:$A$120,MATCH(1,INDEX(--ISNUMBER(SEARCH('Bad Patterns'!$A$2:$A$120,B4723)),0),0)),""))</f>
        <v/>
      </c>
      <c r="D4723">
        <f>IF(B4723="","",IF(C4723&lt;&gt;"","REMOVE","KEEP"))</f>
        <v/>
      </c>
      <c r="E4723">
        <f>IF(D4723&lt;&gt;"KEEP","",IF(RIGHT(B4723,10)="@gmail.com","Gmail",IF(OR(RIGHT(B4723,12)="@outlook.com",RIGHT(B4723,12)="@hotmail.com",RIGHT(B4723,9)="@live.com"),"Outlook","Domain")))</f>
        <v/>
      </c>
      <c r="F4723">
        <f>IF(B4723="","",IFERROR(RIGHT(B4723,LEN(B4723)-FIND("@",B4723)),""))</f>
        <v/>
      </c>
      <c r="G4723">
        <f>IF(D4723="KEEP",COUNTIF($D$2:D4723,"KEEP"),"")</f>
        <v/>
      </c>
      <c r="H4723">
        <f>IF(D4723="REMOVE",COUNTIF($D$2:D4723,"REMOVE"),"")</f>
        <v/>
      </c>
      <c r="I4723">
        <f>IF(E4723="Gmail",COUNTIF($E$2:E4723,"Gmail"),"")</f>
        <v/>
      </c>
      <c r="J4723">
        <f>IF(E4723="Outlook",COUNTIF($E$2:E4723,"Outlook"),"")</f>
        <v/>
      </c>
      <c r="K4723">
        <f>IF(E4723="Domain",COUNTIF($E$2:E4723,"Domain"),"")</f>
        <v/>
      </c>
    </row>
    <row r="4724">
      <c r="A4724" s="2" t="n"/>
      <c r="B4724">
        <f>LOWER(TRIM(A4724))</f>
        <v/>
      </c>
      <c r="C4724">
        <f>IF(B4724="","",IFERROR(INDEX('Bad Patterns'!$A$2:$A$120,MATCH(1,INDEX(--ISNUMBER(SEARCH('Bad Patterns'!$A$2:$A$120,B4724)),0),0)),""))</f>
        <v/>
      </c>
      <c r="D4724">
        <f>IF(B4724="","",IF(C4724&lt;&gt;"","REMOVE","KEEP"))</f>
        <v/>
      </c>
      <c r="E4724">
        <f>IF(D4724&lt;&gt;"KEEP","",IF(RIGHT(B4724,10)="@gmail.com","Gmail",IF(OR(RIGHT(B4724,12)="@outlook.com",RIGHT(B4724,12)="@hotmail.com",RIGHT(B4724,9)="@live.com"),"Outlook","Domain")))</f>
        <v/>
      </c>
      <c r="F4724">
        <f>IF(B4724="","",IFERROR(RIGHT(B4724,LEN(B4724)-FIND("@",B4724)),""))</f>
        <v/>
      </c>
      <c r="G4724">
        <f>IF(D4724="KEEP",COUNTIF($D$2:D4724,"KEEP"),"")</f>
        <v/>
      </c>
      <c r="H4724">
        <f>IF(D4724="REMOVE",COUNTIF($D$2:D4724,"REMOVE"),"")</f>
        <v/>
      </c>
      <c r="I4724">
        <f>IF(E4724="Gmail",COUNTIF($E$2:E4724,"Gmail"),"")</f>
        <v/>
      </c>
      <c r="J4724">
        <f>IF(E4724="Outlook",COUNTIF($E$2:E4724,"Outlook"),"")</f>
        <v/>
      </c>
      <c r="K4724">
        <f>IF(E4724="Domain",COUNTIF($E$2:E4724,"Domain"),"")</f>
        <v/>
      </c>
    </row>
    <row r="4725">
      <c r="A4725" s="2" t="n"/>
      <c r="B4725">
        <f>LOWER(TRIM(A4725))</f>
        <v/>
      </c>
      <c r="C4725">
        <f>IF(B4725="","",IFERROR(INDEX('Bad Patterns'!$A$2:$A$120,MATCH(1,INDEX(--ISNUMBER(SEARCH('Bad Patterns'!$A$2:$A$120,B4725)),0),0)),""))</f>
        <v/>
      </c>
      <c r="D4725">
        <f>IF(B4725="","",IF(C4725&lt;&gt;"","REMOVE","KEEP"))</f>
        <v/>
      </c>
      <c r="E4725">
        <f>IF(D4725&lt;&gt;"KEEP","",IF(RIGHT(B4725,10)="@gmail.com","Gmail",IF(OR(RIGHT(B4725,12)="@outlook.com",RIGHT(B4725,12)="@hotmail.com",RIGHT(B4725,9)="@live.com"),"Outlook","Domain")))</f>
        <v/>
      </c>
      <c r="F4725">
        <f>IF(B4725="","",IFERROR(RIGHT(B4725,LEN(B4725)-FIND("@",B4725)),""))</f>
        <v/>
      </c>
      <c r="G4725">
        <f>IF(D4725="KEEP",COUNTIF($D$2:D4725,"KEEP"),"")</f>
        <v/>
      </c>
      <c r="H4725">
        <f>IF(D4725="REMOVE",COUNTIF($D$2:D4725,"REMOVE"),"")</f>
        <v/>
      </c>
      <c r="I4725">
        <f>IF(E4725="Gmail",COUNTIF($E$2:E4725,"Gmail"),"")</f>
        <v/>
      </c>
      <c r="J4725">
        <f>IF(E4725="Outlook",COUNTIF($E$2:E4725,"Outlook"),"")</f>
        <v/>
      </c>
      <c r="K4725">
        <f>IF(E4725="Domain",COUNTIF($E$2:E4725,"Domain"),"")</f>
        <v/>
      </c>
    </row>
    <row r="4726">
      <c r="A4726" s="2" t="n"/>
      <c r="B4726">
        <f>LOWER(TRIM(A4726))</f>
        <v/>
      </c>
      <c r="C4726">
        <f>IF(B4726="","",IFERROR(INDEX('Bad Patterns'!$A$2:$A$120,MATCH(1,INDEX(--ISNUMBER(SEARCH('Bad Patterns'!$A$2:$A$120,B4726)),0),0)),""))</f>
        <v/>
      </c>
      <c r="D4726">
        <f>IF(B4726="","",IF(C4726&lt;&gt;"","REMOVE","KEEP"))</f>
        <v/>
      </c>
      <c r="E4726">
        <f>IF(D4726&lt;&gt;"KEEP","",IF(RIGHT(B4726,10)="@gmail.com","Gmail",IF(OR(RIGHT(B4726,12)="@outlook.com",RIGHT(B4726,12)="@hotmail.com",RIGHT(B4726,9)="@live.com"),"Outlook","Domain")))</f>
        <v/>
      </c>
      <c r="F4726">
        <f>IF(B4726="","",IFERROR(RIGHT(B4726,LEN(B4726)-FIND("@",B4726)),""))</f>
        <v/>
      </c>
      <c r="G4726">
        <f>IF(D4726="KEEP",COUNTIF($D$2:D4726,"KEEP"),"")</f>
        <v/>
      </c>
      <c r="H4726">
        <f>IF(D4726="REMOVE",COUNTIF($D$2:D4726,"REMOVE"),"")</f>
        <v/>
      </c>
      <c r="I4726">
        <f>IF(E4726="Gmail",COUNTIF($E$2:E4726,"Gmail"),"")</f>
        <v/>
      </c>
      <c r="J4726">
        <f>IF(E4726="Outlook",COUNTIF($E$2:E4726,"Outlook"),"")</f>
        <v/>
      </c>
      <c r="K4726">
        <f>IF(E4726="Domain",COUNTIF($E$2:E4726,"Domain"),"")</f>
        <v/>
      </c>
    </row>
    <row r="4727">
      <c r="A4727" s="2" t="n"/>
      <c r="B4727">
        <f>LOWER(TRIM(A4727))</f>
        <v/>
      </c>
      <c r="C4727">
        <f>IF(B4727="","",IFERROR(INDEX('Bad Patterns'!$A$2:$A$120,MATCH(1,INDEX(--ISNUMBER(SEARCH('Bad Patterns'!$A$2:$A$120,B4727)),0),0)),""))</f>
        <v/>
      </c>
      <c r="D4727">
        <f>IF(B4727="","",IF(C4727&lt;&gt;"","REMOVE","KEEP"))</f>
        <v/>
      </c>
      <c r="E4727">
        <f>IF(D4727&lt;&gt;"KEEP","",IF(RIGHT(B4727,10)="@gmail.com","Gmail",IF(OR(RIGHT(B4727,12)="@outlook.com",RIGHT(B4727,12)="@hotmail.com",RIGHT(B4727,9)="@live.com"),"Outlook","Domain")))</f>
        <v/>
      </c>
      <c r="F4727">
        <f>IF(B4727="","",IFERROR(RIGHT(B4727,LEN(B4727)-FIND("@",B4727)),""))</f>
        <v/>
      </c>
      <c r="G4727">
        <f>IF(D4727="KEEP",COUNTIF($D$2:D4727,"KEEP"),"")</f>
        <v/>
      </c>
      <c r="H4727">
        <f>IF(D4727="REMOVE",COUNTIF($D$2:D4727,"REMOVE"),"")</f>
        <v/>
      </c>
      <c r="I4727">
        <f>IF(E4727="Gmail",COUNTIF($E$2:E4727,"Gmail"),"")</f>
        <v/>
      </c>
      <c r="J4727">
        <f>IF(E4727="Outlook",COUNTIF($E$2:E4727,"Outlook"),"")</f>
        <v/>
      </c>
      <c r="K4727">
        <f>IF(E4727="Domain",COUNTIF($E$2:E4727,"Domain"),"")</f>
        <v/>
      </c>
    </row>
    <row r="4728">
      <c r="A4728" s="2" t="n"/>
      <c r="B4728">
        <f>LOWER(TRIM(A4728))</f>
        <v/>
      </c>
      <c r="C4728">
        <f>IF(B4728="","",IFERROR(INDEX('Bad Patterns'!$A$2:$A$120,MATCH(1,INDEX(--ISNUMBER(SEARCH('Bad Patterns'!$A$2:$A$120,B4728)),0),0)),""))</f>
        <v/>
      </c>
      <c r="D4728">
        <f>IF(B4728="","",IF(C4728&lt;&gt;"","REMOVE","KEEP"))</f>
        <v/>
      </c>
      <c r="E4728">
        <f>IF(D4728&lt;&gt;"KEEP","",IF(RIGHT(B4728,10)="@gmail.com","Gmail",IF(OR(RIGHT(B4728,12)="@outlook.com",RIGHT(B4728,12)="@hotmail.com",RIGHT(B4728,9)="@live.com"),"Outlook","Domain")))</f>
        <v/>
      </c>
      <c r="F4728">
        <f>IF(B4728="","",IFERROR(RIGHT(B4728,LEN(B4728)-FIND("@",B4728)),""))</f>
        <v/>
      </c>
      <c r="G4728">
        <f>IF(D4728="KEEP",COUNTIF($D$2:D4728,"KEEP"),"")</f>
        <v/>
      </c>
      <c r="H4728">
        <f>IF(D4728="REMOVE",COUNTIF($D$2:D4728,"REMOVE"),"")</f>
        <v/>
      </c>
      <c r="I4728">
        <f>IF(E4728="Gmail",COUNTIF($E$2:E4728,"Gmail"),"")</f>
        <v/>
      </c>
      <c r="J4728">
        <f>IF(E4728="Outlook",COUNTIF($E$2:E4728,"Outlook"),"")</f>
        <v/>
      </c>
      <c r="K4728">
        <f>IF(E4728="Domain",COUNTIF($E$2:E4728,"Domain"),"")</f>
        <v/>
      </c>
    </row>
    <row r="4729">
      <c r="A4729" s="2" t="n"/>
      <c r="B4729">
        <f>LOWER(TRIM(A4729))</f>
        <v/>
      </c>
      <c r="C4729">
        <f>IF(B4729="","",IFERROR(INDEX('Bad Patterns'!$A$2:$A$120,MATCH(1,INDEX(--ISNUMBER(SEARCH('Bad Patterns'!$A$2:$A$120,B4729)),0),0)),""))</f>
        <v/>
      </c>
      <c r="D4729">
        <f>IF(B4729="","",IF(C4729&lt;&gt;"","REMOVE","KEEP"))</f>
        <v/>
      </c>
      <c r="E4729">
        <f>IF(D4729&lt;&gt;"KEEP","",IF(RIGHT(B4729,10)="@gmail.com","Gmail",IF(OR(RIGHT(B4729,12)="@outlook.com",RIGHT(B4729,12)="@hotmail.com",RIGHT(B4729,9)="@live.com"),"Outlook","Domain")))</f>
        <v/>
      </c>
      <c r="F4729">
        <f>IF(B4729="","",IFERROR(RIGHT(B4729,LEN(B4729)-FIND("@",B4729)),""))</f>
        <v/>
      </c>
      <c r="G4729">
        <f>IF(D4729="KEEP",COUNTIF($D$2:D4729,"KEEP"),"")</f>
        <v/>
      </c>
      <c r="H4729">
        <f>IF(D4729="REMOVE",COUNTIF($D$2:D4729,"REMOVE"),"")</f>
        <v/>
      </c>
      <c r="I4729">
        <f>IF(E4729="Gmail",COUNTIF($E$2:E4729,"Gmail"),"")</f>
        <v/>
      </c>
      <c r="J4729">
        <f>IF(E4729="Outlook",COUNTIF($E$2:E4729,"Outlook"),"")</f>
        <v/>
      </c>
      <c r="K4729">
        <f>IF(E4729="Domain",COUNTIF($E$2:E4729,"Domain"),"")</f>
        <v/>
      </c>
    </row>
    <row r="4730">
      <c r="A4730" s="2" t="n"/>
      <c r="B4730">
        <f>LOWER(TRIM(A4730))</f>
        <v/>
      </c>
      <c r="C4730">
        <f>IF(B4730="","",IFERROR(INDEX('Bad Patterns'!$A$2:$A$120,MATCH(1,INDEX(--ISNUMBER(SEARCH('Bad Patterns'!$A$2:$A$120,B4730)),0),0)),""))</f>
        <v/>
      </c>
      <c r="D4730">
        <f>IF(B4730="","",IF(C4730&lt;&gt;"","REMOVE","KEEP"))</f>
        <v/>
      </c>
      <c r="E4730">
        <f>IF(D4730&lt;&gt;"KEEP","",IF(RIGHT(B4730,10)="@gmail.com","Gmail",IF(OR(RIGHT(B4730,12)="@outlook.com",RIGHT(B4730,12)="@hotmail.com",RIGHT(B4730,9)="@live.com"),"Outlook","Domain")))</f>
        <v/>
      </c>
      <c r="F4730">
        <f>IF(B4730="","",IFERROR(RIGHT(B4730,LEN(B4730)-FIND("@",B4730)),""))</f>
        <v/>
      </c>
      <c r="G4730">
        <f>IF(D4730="KEEP",COUNTIF($D$2:D4730,"KEEP"),"")</f>
        <v/>
      </c>
      <c r="H4730">
        <f>IF(D4730="REMOVE",COUNTIF($D$2:D4730,"REMOVE"),"")</f>
        <v/>
      </c>
      <c r="I4730">
        <f>IF(E4730="Gmail",COUNTIF($E$2:E4730,"Gmail"),"")</f>
        <v/>
      </c>
      <c r="J4730">
        <f>IF(E4730="Outlook",COUNTIF($E$2:E4730,"Outlook"),"")</f>
        <v/>
      </c>
      <c r="K4730">
        <f>IF(E4730="Domain",COUNTIF($E$2:E4730,"Domain"),"")</f>
        <v/>
      </c>
    </row>
    <row r="4731">
      <c r="A4731" s="2" t="n"/>
      <c r="B4731">
        <f>LOWER(TRIM(A4731))</f>
        <v/>
      </c>
      <c r="C4731">
        <f>IF(B4731="","",IFERROR(INDEX('Bad Patterns'!$A$2:$A$120,MATCH(1,INDEX(--ISNUMBER(SEARCH('Bad Patterns'!$A$2:$A$120,B4731)),0),0)),""))</f>
        <v/>
      </c>
      <c r="D4731">
        <f>IF(B4731="","",IF(C4731&lt;&gt;"","REMOVE","KEEP"))</f>
        <v/>
      </c>
      <c r="E4731">
        <f>IF(D4731&lt;&gt;"KEEP","",IF(RIGHT(B4731,10)="@gmail.com","Gmail",IF(OR(RIGHT(B4731,12)="@outlook.com",RIGHT(B4731,12)="@hotmail.com",RIGHT(B4731,9)="@live.com"),"Outlook","Domain")))</f>
        <v/>
      </c>
      <c r="F4731">
        <f>IF(B4731="","",IFERROR(RIGHT(B4731,LEN(B4731)-FIND("@",B4731)),""))</f>
        <v/>
      </c>
      <c r="G4731">
        <f>IF(D4731="KEEP",COUNTIF($D$2:D4731,"KEEP"),"")</f>
        <v/>
      </c>
      <c r="H4731">
        <f>IF(D4731="REMOVE",COUNTIF($D$2:D4731,"REMOVE"),"")</f>
        <v/>
      </c>
      <c r="I4731">
        <f>IF(E4731="Gmail",COUNTIF($E$2:E4731,"Gmail"),"")</f>
        <v/>
      </c>
      <c r="J4731">
        <f>IF(E4731="Outlook",COUNTIF($E$2:E4731,"Outlook"),"")</f>
        <v/>
      </c>
      <c r="K4731">
        <f>IF(E4731="Domain",COUNTIF($E$2:E4731,"Domain"),"")</f>
        <v/>
      </c>
    </row>
    <row r="4732">
      <c r="A4732" s="2" t="n"/>
      <c r="B4732">
        <f>LOWER(TRIM(A4732))</f>
        <v/>
      </c>
      <c r="C4732">
        <f>IF(B4732="","",IFERROR(INDEX('Bad Patterns'!$A$2:$A$120,MATCH(1,INDEX(--ISNUMBER(SEARCH('Bad Patterns'!$A$2:$A$120,B4732)),0),0)),""))</f>
        <v/>
      </c>
      <c r="D4732">
        <f>IF(B4732="","",IF(C4732&lt;&gt;"","REMOVE","KEEP"))</f>
        <v/>
      </c>
      <c r="E4732">
        <f>IF(D4732&lt;&gt;"KEEP","",IF(RIGHT(B4732,10)="@gmail.com","Gmail",IF(OR(RIGHT(B4732,12)="@outlook.com",RIGHT(B4732,12)="@hotmail.com",RIGHT(B4732,9)="@live.com"),"Outlook","Domain")))</f>
        <v/>
      </c>
      <c r="F4732">
        <f>IF(B4732="","",IFERROR(RIGHT(B4732,LEN(B4732)-FIND("@",B4732)),""))</f>
        <v/>
      </c>
      <c r="G4732">
        <f>IF(D4732="KEEP",COUNTIF($D$2:D4732,"KEEP"),"")</f>
        <v/>
      </c>
      <c r="H4732">
        <f>IF(D4732="REMOVE",COUNTIF($D$2:D4732,"REMOVE"),"")</f>
        <v/>
      </c>
      <c r="I4732">
        <f>IF(E4732="Gmail",COUNTIF($E$2:E4732,"Gmail"),"")</f>
        <v/>
      </c>
      <c r="J4732">
        <f>IF(E4732="Outlook",COUNTIF($E$2:E4732,"Outlook"),"")</f>
        <v/>
      </c>
      <c r="K4732">
        <f>IF(E4732="Domain",COUNTIF($E$2:E4732,"Domain"),"")</f>
        <v/>
      </c>
    </row>
    <row r="4733">
      <c r="A4733" s="2" t="n"/>
      <c r="B4733">
        <f>LOWER(TRIM(A4733))</f>
        <v/>
      </c>
      <c r="C4733">
        <f>IF(B4733="","",IFERROR(INDEX('Bad Patterns'!$A$2:$A$120,MATCH(1,INDEX(--ISNUMBER(SEARCH('Bad Patterns'!$A$2:$A$120,B4733)),0),0)),""))</f>
        <v/>
      </c>
      <c r="D4733">
        <f>IF(B4733="","",IF(C4733&lt;&gt;"","REMOVE","KEEP"))</f>
        <v/>
      </c>
      <c r="E4733">
        <f>IF(D4733&lt;&gt;"KEEP","",IF(RIGHT(B4733,10)="@gmail.com","Gmail",IF(OR(RIGHT(B4733,12)="@outlook.com",RIGHT(B4733,12)="@hotmail.com",RIGHT(B4733,9)="@live.com"),"Outlook","Domain")))</f>
        <v/>
      </c>
      <c r="F4733">
        <f>IF(B4733="","",IFERROR(RIGHT(B4733,LEN(B4733)-FIND("@",B4733)),""))</f>
        <v/>
      </c>
      <c r="G4733">
        <f>IF(D4733="KEEP",COUNTIF($D$2:D4733,"KEEP"),"")</f>
        <v/>
      </c>
      <c r="H4733">
        <f>IF(D4733="REMOVE",COUNTIF($D$2:D4733,"REMOVE"),"")</f>
        <v/>
      </c>
      <c r="I4733">
        <f>IF(E4733="Gmail",COUNTIF($E$2:E4733,"Gmail"),"")</f>
        <v/>
      </c>
      <c r="J4733">
        <f>IF(E4733="Outlook",COUNTIF($E$2:E4733,"Outlook"),"")</f>
        <v/>
      </c>
      <c r="K4733">
        <f>IF(E4733="Domain",COUNTIF($E$2:E4733,"Domain"),"")</f>
        <v/>
      </c>
    </row>
    <row r="4734">
      <c r="A4734" s="2" t="n"/>
      <c r="B4734">
        <f>LOWER(TRIM(A4734))</f>
        <v/>
      </c>
      <c r="C4734">
        <f>IF(B4734="","",IFERROR(INDEX('Bad Patterns'!$A$2:$A$120,MATCH(1,INDEX(--ISNUMBER(SEARCH('Bad Patterns'!$A$2:$A$120,B4734)),0),0)),""))</f>
        <v/>
      </c>
      <c r="D4734">
        <f>IF(B4734="","",IF(C4734&lt;&gt;"","REMOVE","KEEP"))</f>
        <v/>
      </c>
      <c r="E4734">
        <f>IF(D4734&lt;&gt;"KEEP","",IF(RIGHT(B4734,10)="@gmail.com","Gmail",IF(OR(RIGHT(B4734,12)="@outlook.com",RIGHT(B4734,12)="@hotmail.com",RIGHT(B4734,9)="@live.com"),"Outlook","Domain")))</f>
        <v/>
      </c>
      <c r="F4734">
        <f>IF(B4734="","",IFERROR(RIGHT(B4734,LEN(B4734)-FIND("@",B4734)),""))</f>
        <v/>
      </c>
      <c r="G4734">
        <f>IF(D4734="KEEP",COUNTIF($D$2:D4734,"KEEP"),"")</f>
        <v/>
      </c>
      <c r="H4734">
        <f>IF(D4734="REMOVE",COUNTIF($D$2:D4734,"REMOVE"),"")</f>
        <v/>
      </c>
      <c r="I4734">
        <f>IF(E4734="Gmail",COUNTIF($E$2:E4734,"Gmail"),"")</f>
        <v/>
      </c>
      <c r="J4734">
        <f>IF(E4734="Outlook",COUNTIF($E$2:E4734,"Outlook"),"")</f>
        <v/>
      </c>
      <c r="K4734">
        <f>IF(E4734="Domain",COUNTIF($E$2:E4734,"Domain"),"")</f>
        <v/>
      </c>
    </row>
    <row r="4735">
      <c r="A4735" s="2" t="n"/>
      <c r="B4735">
        <f>LOWER(TRIM(A4735))</f>
        <v/>
      </c>
      <c r="C4735">
        <f>IF(B4735="","",IFERROR(INDEX('Bad Patterns'!$A$2:$A$120,MATCH(1,INDEX(--ISNUMBER(SEARCH('Bad Patterns'!$A$2:$A$120,B4735)),0),0)),""))</f>
        <v/>
      </c>
      <c r="D4735">
        <f>IF(B4735="","",IF(C4735&lt;&gt;"","REMOVE","KEEP"))</f>
        <v/>
      </c>
      <c r="E4735">
        <f>IF(D4735&lt;&gt;"KEEP","",IF(RIGHT(B4735,10)="@gmail.com","Gmail",IF(OR(RIGHT(B4735,12)="@outlook.com",RIGHT(B4735,12)="@hotmail.com",RIGHT(B4735,9)="@live.com"),"Outlook","Domain")))</f>
        <v/>
      </c>
      <c r="F4735">
        <f>IF(B4735="","",IFERROR(RIGHT(B4735,LEN(B4735)-FIND("@",B4735)),""))</f>
        <v/>
      </c>
      <c r="G4735">
        <f>IF(D4735="KEEP",COUNTIF($D$2:D4735,"KEEP"),"")</f>
        <v/>
      </c>
      <c r="H4735">
        <f>IF(D4735="REMOVE",COUNTIF($D$2:D4735,"REMOVE"),"")</f>
        <v/>
      </c>
      <c r="I4735">
        <f>IF(E4735="Gmail",COUNTIF($E$2:E4735,"Gmail"),"")</f>
        <v/>
      </c>
      <c r="J4735">
        <f>IF(E4735="Outlook",COUNTIF($E$2:E4735,"Outlook"),"")</f>
        <v/>
      </c>
      <c r="K4735">
        <f>IF(E4735="Domain",COUNTIF($E$2:E4735,"Domain"),"")</f>
        <v/>
      </c>
    </row>
    <row r="4736">
      <c r="A4736" s="2" t="n"/>
      <c r="B4736">
        <f>LOWER(TRIM(A4736))</f>
        <v/>
      </c>
      <c r="C4736">
        <f>IF(B4736="","",IFERROR(INDEX('Bad Patterns'!$A$2:$A$120,MATCH(1,INDEX(--ISNUMBER(SEARCH('Bad Patterns'!$A$2:$A$120,B4736)),0),0)),""))</f>
        <v/>
      </c>
      <c r="D4736">
        <f>IF(B4736="","",IF(C4736&lt;&gt;"","REMOVE","KEEP"))</f>
        <v/>
      </c>
      <c r="E4736">
        <f>IF(D4736&lt;&gt;"KEEP","",IF(RIGHT(B4736,10)="@gmail.com","Gmail",IF(OR(RIGHT(B4736,12)="@outlook.com",RIGHT(B4736,12)="@hotmail.com",RIGHT(B4736,9)="@live.com"),"Outlook","Domain")))</f>
        <v/>
      </c>
      <c r="F4736">
        <f>IF(B4736="","",IFERROR(RIGHT(B4736,LEN(B4736)-FIND("@",B4736)),""))</f>
        <v/>
      </c>
      <c r="G4736">
        <f>IF(D4736="KEEP",COUNTIF($D$2:D4736,"KEEP"),"")</f>
        <v/>
      </c>
      <c r="H4736">
        <f>IF(D4736="REMOVE",COUNTIF($D$2:D4736,"REMOVE"),"")</f>
        <v/>
      </c>
      <c r="I4736">
        <f>IF(E4736="Gmail",COUNTIF($E$2:E4736,"Gmail"),"")</f>
        <v/>
      </c>
      <c r="J4736">
        <f>IF(E4736="Outlook",COUNTIF($E$2:E4736,"Outlook"),"")</f>
        <v/>
      </c>
      <c r="K4736">
        <f>IF(E4736="Domain",COUNTIF($E$2:E4736,"Domain"),"")</f>
        <v/>
      </c>
    </row>
    <row r="4737">
      <c r="A4737" s="2" t="n"/>
      <c r="B4737">
        <f>LOWER(TRIM(A4737))</f>
        <v/>
      </c>
      <c r="C4737">
        <f>IF(B4737="","",IFERROR(INDEX('Bad Patterns'!$A$2:$A$120,MATCH(1,INDEX(--ISNUMBER(SEARCH('Bad Patterns'!$A$2:$A$120,B4737)),0),0)),""))</f>
        <v/>
      </c>
      <c r="D4737">
        <f>IF(B4737="","",IF(C4737&lt;&gt;"","REMOVE","KEEP"))</f>
        <v/>
      </c>
      <c r="E4737">
        <f>IF(D4737&lt;&gt;"KEEP","",IF(RIGHT(B4737,10)="@gmail.com","Gmail",IF(OR(RIGHT(B4737,12)="@outlook.com",RIGHT(B4737,12)="@hotmail.com",RIGHT(B4737,9)="@live.com"),"Outlook","Domain")))</f>
        <v/>
      </c>
      <c r="F4737">
        <f>IF(B4737="","",IFERROR(RIGHT(B4737,LEN(B4737)-FIND("@",B4737)),""))</f>
        <v/>
      </c>
      <c r="G4737">
        <f>IF(D4737="KEEP",COUNTIF($D$2:D4737,"KEEP"),"")</f>
        <v/>
      </c>
      <c r="H4737">
        <f>IF(D4737="REMOVE",COUNTIF($D$2:D4737,"REMOVE"),"")</f>
        <v/>
      </c>
      <c r="I4737">
        <f>IF(E4737="Gmail",COUNTIF($E$2:E4737,"Gmail"),"")</f>
        <v/>
      </c>
      <c r="J4737">
        <f>IF(E4737="Outlook",COUNTIF($E$2:E4737,"Outlook"),"")</f>
        <v/>
      </c>
      <c r="K4737">
        <f>IF(E4737="Domain",COUNTIF($E$2:E4737,"Domain"),"")</f>
        <v/>
      </c>
    </row>
    <row r="4738">
      <c r="A4738" s="2" t="n"/>
      <c r="B4738">
        <f>LOWER(TRIM(A4738))</f>
        <v/>
      </c>
      <c r="C4738">
        <f>IF(B4738="","",IFERROR(INDEX('Bad Patterns'!$A$2:$A$120,MATCH(1,INDEX(--ISNUMBER(SEARCH('Bad Patterns'!$A$2:$A$120,B4738)),0),0)),""))</f>
        <v/>
      </c>
      <c r="D4738">
        <f>IF(B4738="","",IF(C4738&lt;&gt;"","REMOVE","KEEP"))</f>
        <v/>
      </c>
      <c r="E4738">
        <f>IF(D4738&lt;&gt;"KEEP","",IF(RIGHT(B4738,10)="@gmail.com","Gmail",IF(OR(RIGHT(B4738,12)="@outlook.com",RIGHT(B4738,12)="@hotmail.com",RIGHT(B4738,9)="@live.com"),"Outlook","Domain")))</f>
        <v/>
      </c>
      <c r="F4738">
        <f>IF(B4738="","",IFERROR(RIGHT(B4738,LEN(B4738)-FIND("@",B4738)),""))</f>
        <v/>
      </c>
      <c r="G4738">
        <f>IF(D4738="KEEP",COUNTIF($D$2:D4738,"KEEP"),"")</f>
        <v/>
      </c>
      <c r="H4738">
        <f>IF(D4738="REMOVE",COUNTIF($D$2:D4738,"REMOVE"),"")</f>
        <v/>
      </c>
      <c r="I4738">
        <f>IF(E4738="Gmail",COUNTIF($E$2:E4738,"Gmail"),"")</f>
        <v/>
      </c>
      <c r="J4738">
        <f>IF(E4738="Outlook",COUNTIF($E$2:E4738,"Outlook"),"")</f>
        <v/>
      </c>
      <c r="K4738">
        <f>IF(E4738="Domain",COUNTIF($E$2:E4738,"Domain"),"")</f>
        <v/>
      </c>
    </row>
    <row r="4739">
      <c r="A4739" s="2" t="n"/>
      <c r="B4739">
        <f>LOWER(TRIM(A4739))</f>
        <v/>
      </c>
      <c r="C4739">
        <f>IF(B4739="","",IFERROR(INDEX('Bad Patterns'!$A$2:$A$120,MATCH(1,INDEX(--ISNUMBER(SEARCH('Bad Patterns'!$A$2:$A$120,B4739)),0),0)),""))</f>
        <v/>
      </c>
      <c r="D4739">
        <f>IF(B4739="","",IF(C4739&lt;&gt;"","REMOVE","KEEP"))</f>
        <v/>
      </c>
      <c r="E4739">
        <f>IF(D4739&lt;&gt;"KEEP","",IF(RIGHT(B4739,10)="@gmail.com","Gmail",IF(OR(RIGHT(B4739,12)="@outlook.com",RIGHT(B4739,12)="@hotmail.com",RIGHT(B4739,9)="@live.com"),"Outlook","Domain")))</f>
        <v/>
      </c>
      <c r="F4739">
        <f>IF(B4739="","",IFERROR(RIGHT(B4739,LEN(B4739)-FIND("@",B4739)),""))</f>
        <v/>
      </c>
      <c r="G4739">
        <f>IF(D4739="KEEP",COUNTIF($D$2:D4739,"KEEP"),"")</f>
        <v/>
      </c>
      <c r="H4739">
        <f>IF(D4739="REMOVE",COUNTIF($D$2:D4739,"REMOVE"),"")</f>
        <v/>
      </c>
      <c r="I4739">
        <f>IF(E4739="Gmail",COUNTIF($E$2:E4739,"Gmail"),"")</f>
        <v/>
      </c>
      <c r="J4739">
        <f>IF(E4739="Outlook",COUNTIF($E$2:E4739,"Outlook"),"")</f>
        <v/>
      </c>
      <c r="K4739">
        <f>IF(E4739="Domain",COUNTIF($E$2:E4739,"Domain"),"")</f>
        <v/>
      </c>
    </row>
    <row r="4740">
      <c r="A4740" s="2" t="n"/>
      <c r="B4740">
        <f>LOWER(TRIM(A4740))</f>
        <v/>
      </c>
      <c r="C4740">
        <f>IF(B4740="","",IFERROR(INDEX('Bad Patterns'!$A$2:$A$120,MATCH(1,INDEX(--ISNUMBER(SEARCH('Bad Patterns'!$A$2:$A$120,B4740)),0),0)),""))</f>
        <v/>
      </c>
      <c r="D4740">
        <f>IF(B4740="","",IF(C4740&lt;&gt;"","REMOVE","KEEP"))</f>
        <v/>
      </c>
      <c r="E4740">
        <f>IF(D4740&lt;&gt;"KEEP","",IF(RIGHT(B4740,10)="@gmail.com","Gmail",IF(OR(RIGHT(B4740,12)="@outlook.com",RIGHT(B4740,12)="@hotmail.com",RIGHT(B4740,9)="@live.com"),"Outlook","Domain")))</f>
        <v/>
      </c>
      <c r="F4740">
        <f>IF(B4740="","",IFERROR(RIGHT(B4740,LEN(B4740)-FIND("@",B4740)),""))</f>
        <v/>
      </c>
      <c r="G4740">
        <f>IF(D4740="KEEP",COUNTIF($D$2:D4740,"KEEP"),"")</f>
        <v/>
      </c>
      <c r="H4740">
        <f>IF(D4740="REMOVE",COUNTIF($D$2:D4740,"REMOVE"),"")</f>
        <v/>
      </c>
      <c r="I4740">
        <f>IF(E4740="Gmail",COUNTIF($E$2:E4740,"Gmail"),"")</f>
        <v/>
      </c>
      <c r="J4740">
        <f>IF(E4740="Outlook",COUNTIF($E$2:E4740,"Outlook"),"")</f>
        <v/>
      </c>
      <c r="K4740">
        <f>IF(E4740="Domain",COUNTIF($E$2:E4740,"Domain"),"")</f>
        <v/>
      </c>
    </row>
    <row r="4741">
      <c r="A4741" s="2" t="n"/>
      <c r="B4741">
        <f>LOWER(TRIM(A4741))</f>
        <v/>
      </c>
      <c r="C4741">
        <f>IF(B4741="","",IFERROR(INDEX('Bad Patterns'!$A$2:$A$120,MATCH(1,INDEX(--ISNUMBER(SEARCH('Bad Patterns'!$A$2:$A$120,B4741)),0),0)),""))</f>
        <v/>
      </c>
      <c r="D4741">
        <f>IF(B4741="","",IF(C4741&lt;&gt;"","REMOVE","KEEP"))</f>
        <v/>
      </c>
      <c r="E4741">
        <f>IF(D4741&lt;&gt;"KEEP","",IF(RIGHT(B4741,10)="@gmail.com","Gmail",IF(OR(RIGHT(B4741,12)="@outlook.com",RIGHT(B4741,12)="@hotmail.com",RIGHT(B4741,9)="@live.com"),"Outlook","Domain")))</f>
        <v/>
      </c>
      <c r="F4741">
        <f>IF(B4741="","",IFERROR(RIGHT(B4741,LEN(B4741)-FIND("@",B4741)),""))</f>
        <v/>
      </c>
      <c r="G4741">
        <f>IF(D4741="KEEP",COUNTIF($D$2:D4741,"KEEP"),"")</f>
        <v/>
      </c>
      <c r="H4741">
        <f>IF(D4741="REMOVE",COUNTIF($D$2:D4741,"REMOVE"),"")</f>
        <v/>
      </c>
      <c r="I4741">
        <f>IF(E4741="Gmail",COUNTIF($E$2:E4741,"Gmail"),"")</f>
        <v/>
      </c>
      <c r="J4741">
        <f>IF(E4741="Outlook",COUNTIF($E$2:E4741,"Outlook"),"")</f>
        <v/>
      </c>
      <c r="K4741">
        <f>IF(E4741="Domain",COUNTIF($E$2:E4741,"Domain"),"")</f>
        <v/>
      </c>
    </row>
    <row r="4742">
      <c r="A4742" s="2" t="n"/>
      <c r="B4742">
        <f>LOWER(TRIM(A4742))</f>
        <v/>
      </c>
      <c r="C4742">
        <f>IF(B4742="","",IFERROR(INDEX('Bad Patterns'!$A$2:$A$120,MATCH(1,INDEX(--ISNUMBER(SEARCH('Bad Patterns'!$A$2:$A$120,B4742)),0),0)),""))</f>
        <v/>
      </c>
      <c r="D4742">
        <f>IF(B4742="","",IF(C4742&lt;&gt;"","REMOVE","KEEP"))</f>
        <v/>
      </c>
      <c r="E4742">
        <f>IF(D4742&lt;&gt;"KEEP","",IF(RIGHT(B4742,10)="@gmail.com","Gmail",IF(OR(RIGHT(B4742,12)="@outlook.com",RIGHT(B4742,12)="@hotmail.com",RIGHT(B4742,9)="@live.com"),"Outlook","Domain")))</f>
        <v/>
      </c>
      <c r="F4742">
        <f>IF(B4742="","",IFERROR(RIGHT(B4742,LEN(B4742)-FIND("@",B4742)),""))</f>
        <v/>
      </c>
      <c r="G4742">
        <f>IF(D4742="KEEP",COUNTIF($D$2:D4742,"KEEP"),"")</f>
        <v/>
      </c>
      <c r="H4742">
        <f>IF(D4742="REMOVE",COUNTIF($D$2:D4742,"REMOVE"),"")</f>
        <v/>
      </c>
      <c r="I4742">
        <f>IF(E4742="Gmail",COUNTIF($E$2:E4742,"Gmail"),"")</f>
        <v/>
      </c>
      <c r="J4742">
        <f>IF(E4742="Outlook",COUNTIF($E$2:E4742,"Outlook"),"")</f>
        <v/>
      </c>
      <c r="K4742">
        <f>IF(E4742="Domain",COUNTIF($E$2:E4742,"Domain"),"")</f>
        <v/>
      </c>
    </row>
    <row r="4743">
      <c r="A4743" s="2" t="n"/>
      <c r="B4743">
        <f>LOWER(TRIM(A4743))</f>
        <v/>
      </c>
      <c r="C4743">
        <f>IF(B4743="","",IFERROR(INDEX('Bad Patterns'!$A$2:$A$120,MATCH(1,INDEX(--ISNUMBER(SEARCH('Bad Patterns'!$A$2:$A$120,B4743)),0),0)),""))</f>
        <v/>
      </c>
      <c r="D4743">
        <f>IF(B4743="","",IF(C4743&lt;&gt;"","REMOVE","KEEP"))</f>
        <v/>
      </c>
      <c r="E4743">
        <f>IF(D4743&lt;&gt;"KEEP","",IF(RIGHT(B4743,10)="@gmail.com","Gmail",IF(OR(RIGHT(B4743,12)="@outlook.com",RIGHT(B4743,12)="@hotmail.com",RIGHT(B4743,9)="@live.com"),"Outlook","Domain")))</f>
        <v/>
      </c>
      <c r="F4743">
        <f>IF(B4743="","",IFERROR(RIGHT(B4743,LEN(B4743)-FIND("@",B4743)),""))</f>
        <v/>
      </c>
      <c r="G4743">
        <f>IF(D4743="KEEP",COUNTIF($D$2:D4743,"KEEP"),"")</f>
        <v/>
      </c>
      <c r="H4743">
        <f>IF(D4743="REMOVE",COUNTIF($D$2:D4743,"REMOVE"),"")</f>
        <v/>
      </c>
      <c r="I4743">
        <f>IF(E4743="Gmail",COUNTIF($E$2:E4743,"Gmail"),"")</f>
        <v/>
      </c>
      <c r="J4743">
        <f>IF(E4743="Outlook",COUNTIF($E$2:E4743,"Outlook"),"")</f>
        <v/>
      </c>
      <c r="K4743">
        <f>IF(E4743="Domain",COUNTIF($E$2:E4743,"Domain"),"")</f>
        <v/>
      </c>
    </row>
    <row r="4744">
      <c r="A4744" s="2" t="n"/>
      <c r="B4744">
        <f>LOWER(TRIM(A4744))</f>
        <v/>
      </c>
      <c r="C4744">
        <f>IF(B4744="","",IFERROR(INDEX('Bad Patterns'!$A$2:$A$120,MATCH(1,INDEX(--ISNUMBER(SEARCH('Bad Patterns'!$A$2:$A$120,B4744)),0),0)),""))</f>
        <v/>
      </c>
      <c r="D4744">
        <f>IF(B4744="","",IF(C4744&lt;&gt;"","REMOVE","KEEP"))</f>
        <v/>
      </c>
      <c r="E4744">
        <f>IF(D4744&lt;&gt;"KEEP","",IF(RIGHT(B4744,10)="@gmail.com","Gmail",IF(OR(RIGHT(B4744,12)="@outlook.com",RIGHT(B4744,12)="@hotmail.com",RIGHT(B4744,9)="@live.com"),"Outlook","Domain")))</f>
        <v/>
      </c>
      <c r="F4744">
        <f>IF(B4744="","",IFERROR(RIGHT(B4744,LEN(B4744)-FIND("@",B4744)),""))</f>
        <v/>
      </c>
      <c r="G4744">
        <f>IF(D4744="KEEP",COUNTIF($D$2:D4744,"KEEP"),"")</f>
        <v/>
      </c>
      <c r="H4744">
        <f>IF(D4744="REMOVE",COUNTIF($D$2:D4744,"REMOVE"),"")</f>
        <v/>
      </c>
      <c r="I4744">
        <f>IF(E4744="Gmail",COUNTIF($E$2:E4744,"Gmail"),"")</f>
        <v/>
      </c>
      <c r="J4744">
        <f>IF(E4744="Outlook",COUNTIF($E$2:E4744,"Outlook"),"")</f>
        <v/>
      </c>
      <c r="K4744">
        <f>IF(E4744="Domain",COUNTIF($E$2:E4744,"Domain"),"")</f>
        <v/>
      </c>
    </row>
    <row r="4745">
      <c r="A4745" s="2" t="n"/>
      <c r="B4745">
        <f>LOWER(TRIM(A4745))</f>
        <v/>
      </c>
      <c r="C4745">
        <f>IF(B4745="","",IFERROR(INDEX('Bad Patterns'!$A$2:$A$120,MATCH(1,INDEX(--ISNUMBER(SEARCH('Bad Patterns'!$A$2:$A$120,B4745)),0),0)),""))</f>
        <v/>
      </c>
      <c r="D4745">
        <f>IF(B4745="","",IF(C4745&lt;&gt;"","REMOVE","KEEP"))</f>
        <v/>
      </c>
      <c r="E4745">
        <f>IF(D4745&lt;&gt;"KEEP","",IF(RIGHT(B4745,10)="@gmail.com","Gmail",IF(OR(RIGHT(B4745,12)="@outlook.com",RIGHT(B4745,12)="@hotmail.com",RIGHT(B4745,9)="@live.com"),"Outlook","Domain")))</f>
        <v/>
      </c>
      <c r="F4745">
        <f>IF(B4745="","",IFERROR(RIGHT(B4745,LEN(B4745)-FIND("@",B4745)),""))</f>
        <v/>
      </c>
      <c r="G4745">
        <f>IF(D4745="KEEP",COUNTIF($D$2:D4745,"KEEP"),"")</f>
        <v/>
      </c>
      <c r="H4745">
        <f>IF(D4745="REMOVE",COUNTIF($D$2:D4745,"REMOVE"),"")</f>
        <v/>
      </c>
      <c r="I4745">
        <f>IF(E4745="Gmail",COUNTIF($E$2:E4745,"Gmail"),"")</f>
        <v/>
      </c>
      <c r="J4745">
        <f>IF(E4745="Outlook",COUNTIF($E$2:E4745,"Outlook"),"")</f>
        <v/>
      </c>
      <c r="K4745">
        <f>IF(E4745="Domain",COUNTIF($E$2:E4745,"Domain"),"")</f>
        <v/>
      </c>
    </row>
    <row r="4746">
      <c r="A4746" s="2" t="n"/>
      <c r="B4746">
        <f>LOWER(TRIM(A4746))</f>
        <v/>
      </c>
      <c r="C4746">
        <f>IF(B4746="","",IFERROR(INDEX('Bad Patterns'!$A$2:$A$120,MATCH(1,INDEX(--ISNUMBER(SEARCH('Bad Patterns'!$A$2:$A$120,B4746)),0),0)),""))</f>
        <v/>
      </c>
      <c r="D4746">
        <f>IF(B4746="","",IF(C4746&lt;&gt;"","REMOVE","KEEP"))</f>
        <v/>
      </c>
      <c r="E4746">
        <f>IF(D4746&lt;&gt;"KEEP","",IF(RIGHT(B4746,10)="@gmail.com","Gmail",IF(OR(RIGHT(B4746,12)="@outlook.com",RIGHT(B4746,12)="@hotmail.com",RIGHT(B4746,9)="@live.com"),"Outlook","Domain")))</f>
        <v/>
      </c>
      <c r="F4746">
        <f>IF(B4746="","",IFERROR(RIGHT(B4746,LEN(B4746)-FIND("@",B4746)),""))</f>
        <v/>
      </c>
      <c r="G4746">
        <f>IF(D4746="KEEP",COUNTIF($D$2:D4746,"KEEP"),"")</f>
        <v/>
      </c>
      <c r="H4746">
        <f>IF(D4746="REMOVE",COUNTIF($D$2:D4746,"REMOVE"),"")</f>
        <v/>
      </c>
      <c r="I4746">
        <f>IF(E4746="Gmail",COUNTIF($E$2:E4746,"Gmail"),"")</f>
        <v/>
      </c>
      <c r="J4746">
        <f>IF(E4746="Outlook",COUNTIF($E$2:E4746,"Outlook"),"")</f>
        <v/>
      </c>
      <c r="K4746">
        <f>IF(E4746="Domain",COUNTIF($E$2:E4746,"Domain"),"")</f>
        <v/>
      </c>
    </row>
    <row r="4747">
      <c r="A4747" s="2" t="n"/>
      <c r="B4747">
        <f>LOWER(TRIM(A4747))</f>
        <v/>
      </c>
      <c r="C4747">
        <f>IF(B4747="","",IFERROR(INDEX('Bad Patterns'!$A$2:$A$120,MATCH(1,INDEX(--ISNUMBER(SEARCH('Bad Patterns'!$A$2:$A$120,B4747)),0),0)),""))</f>
        <v/>
      </c>
      <c r="D4747">
        <f>IF(B4747="","",IF(C4747&lt;&gt;"","REMOVE","KEEP"))</f>
        <v/>
      </c>
      <c r="E4747">
        <f>IF(D4747&lt;&gt;"KEEP","",IF(RIGHT(B4747,10)="@gmail.com","Gmail",IF(OR(RIGHT(B4747,12)="@outlook.com",RIGHT(B4747,12)="@hotmail.com",RIGHT(B4747,9)="@live.com"),"Outlook","Domain")))</f>
        <v/>
      </c>
      <c r="F4747">
        <f>IF(B4747="","",IFERROR(RIGHT(B4747,LEN(B4747)-FIND("@",B4747)),""))</f>
        <v/>
      </c>
      <c r="G4747">
        <f>IF(D4747="KEEP",COUNTIF($D$2:D4747,"KEEP"),"")</f>
        <v/>
      </c>
      <c r="H4747">
        <f>IF(D4747="REMOVE",COUNTIF($D$2:D4747,"REMOVE"),"")</f>
        <v/>
      </c>
      <c r="I4747">
        <f>IF(E4747="Gmail",COUNTIF($E$2:E4747,"Gmail"),"")</f>
        <v/>
      </c>
      <c r="J4747">
        <f>IF(E4747="Outlook",COUNTIF($E$2:E4747,"Outlook"),"")</f>
        <v/>
      </c>
      <c r="K4747">
        <f>IF(E4747="Domain",COUNTIF($E$2:E4747,"Domain"),"")</f>
        <v/>
      </c>
    </row>
    <row r="4748">
      <c r="A4748" s="2" t="n"/>
      <c r="B4748">
        <f>LOWER(TRIM(A4748))</f>
        <v/>
      </c>
      <c r="C4748">
        <f>IF(B4748="","",IFERROR(INDEX('Bad Patterns'!$A$2:$A$120,MATCH(1,INDEX(--ISNUMBER(SEARCH('Bad Patterns'!$A$2:$A$120,B4748)),0),0)),""))</f>
        <v/>
      </c>
      <c r="D4748">
        <f>IF(B4748="","",IF(C4748&lt;&gt;"","REMOVE","KEEP"))</f>
        <v/>
      </c>
      <c r="E4748">
        <f>IF(D4748&lt;&gt;"KEEP","",IF(RIGHT(B4748,10)="@gmail.com","Gmail",IF(OR(RIGHT(B4748,12)="@outlook.com",RIGHT(B4748,12)="@hotmail.com",RIGHT(B4748,9)="@live.com"),"Outlook","Domain")))</f>
        <v/>
      </c>
      <c r="F4748">
        <f>IF(B4748="","",IFERROR(RIGHT(B4748,LEN(B4748)-FIND("@",B4748)),""))</f>
        <v/>
      </c>
      <c r="G4748">
        <f>IF(D4748="KEEP",COUNTIF($D$2:D4748,"KEEP"),"")</f>
        <v/>
      </c>
      <c r="H4748">
        <f>IF(D4748="REMOVE",COUNTIF($D$2:D4748,"REMOVE"),"")</f>
        <v/>
      </c>
      <c r="I4748">
        <f>IF(E4748="Gmail",COUNTIF($E$2:E4748,"Gmail"),"")</f>
        <v/>
      </c>
      <c r="J4748">
        <f>IF(E4748="Outlook",COUNTIF($E$2:E4748,"Outlook"),"")</f>
        <v/>
      </c>
      <c r="K4748">
        <f>IF(E4748="Domain",COUNTIF($E$2:E4748,"Domain"),"")</f>
        <v/>
      </c>
    </row>
    <row r="4749">
      <c r="A4749" s="2" t="n"/>
      <c r="B4749">
        <f>LOWER(TRIM(A4749))</f>
        <v/>
      </c>
      <c r="C4749">
        <f>IF(B4749="","",IFERROR(INDEX('Bad Patterns'!$A$2:$A$120,MATCH(1,INDEX(--ISNUMBER(SEARCH('Bad Patterns'!$A$2:$A$120,B4749)),0),0)),""))</f>
        <v/>
      </c>
      <c r="D4749">
        <f>IF(B4749="","",IF(C4749&lt;&gt;"","REMOVE","KEEP"))</f>
        <v/>
      </c>
      <c r="E4749">
        <f>IF(D4749&lt;&gt;"KEEP","",IF(RIGHT(B4749,10)="@gmail.com","Gmail",IF(OR(RIGHT(B4749,12)="@outlook.com",RIGHT(B4749,12)="@hotmail.com",RIGHT(B4749,9)="@live.com"),"Outlook","Domain")))</f>
        <v/>
      </c>
      <c r="F4749">
        <f>IF(B4749="","",IFERROR(RIGHT(B4749,LEN(B4749)-FIND("@",B4749)),""))</f>
        <v/>
      </c>
      <c r="G4749">
        <f>IF(D4749="KEEP",COUNTIF($D$2:D4749,"KEEP"),"")</f>
        <v/>
      </c>
      <c r="H4749">
        <f>IF(D4749="REMOVE",COUNTIF($D$2:D4749,"REMOVE"),"")</f>
        <v/>
      </c>
      <c r="I4749">
        <f>IF(E4749="Gmail",COUNTIF($E$2:E4749,"Gmail"),"")</f>
        <v/>
      </c>
      <c r="J4749">
        <f>IF(E4749="Outlook",COUNTIF($E$2:E4749,"Outlook"),"")</f>
        <v/>
      </c>
      <c r="K4749">
        <f>IF(E4749="Domain",COUNTIF($E$2:E4749,"Domain"),"")</f>
        <v/>
      </c>
    </row>
    <row r="4750">
      <c r="A4750" s="2" t="n"/>
      <c r="B4750">
        <f>LOWER(TRIM(A4750))</f>
        <v/>
      </c>
      <c r="C4750">
        <f>IF(B4750="","",IFERROR(INDEX('Bad Patterns'!$A$2:$A$120,MATCH(1,INDEX(--ISNUMBER(SEARCH('Bad Patterns'!$A$2:$A$120,B4750)),0),0)),""))</f>
        <v/>
      </c>
      <c r="D4750">
        <f>IF(B4750="","",IF(C4750&lt;&gt;"","REMOVE","KEEP"))</f>
        <v/>
      </c>
      <c r="E4750">
        <f>IF(D4750&lt;&gt;"KEEP","",IF(RIGHT(B4750,10)="@gmail.com","Gmail",IF(OR(RIGHT(B4750,12)="@outlook.com",RIGHT(B4750,12)="@hotmail.com",RIGHT(B4750,9)="@live.com"),"Outlook","Domain")))</f>
        <v/>
      </c>
      <c r="F4750">
        <f>IF(B4750="","",IFERROR(RIGHT(B4750,LEN(B4750)-FIND("@",B4750)),""))</f>
        <v/>
      </c>
      <c r="G4750">
        <f>IF(D4750="KEEP",COUNTIF($D$2:D4750,"KEEP"),"")</f>
        <v/>
      </c>
      <c r="H4750">
        <f>IF(D4750="REMOVE",COUNTIF($D$2:D4750,"REMOVE"),"")</f>
        <v/>
      </c>
      <c r="I4750">
        <f>IF(E4750="Gmail",COUNTIF($E$2:E4750,"Gmail"),"")</f>
        <v/>
      </c>
      <c r="J4750">
        <f>IF(E4750="Outlook",COUNTIF($E$2:E4750,"Outlook"),"")</f>
        <v/>
      </c>
      <c r="K4750">
        <f>IF(E4750="Domain",COUNTIF($E$2:E4750,"Domain"),"")</f>
        <v/>
      </c>
    </row>
    <row r="4751">
      <c r="A4751" s="2" t="n"/>
      <c r="B4751">
        <f>LOWER(TRIM(A4751))</f>
        <v/>
      </c>
      <c r="C4751">
        <f>IF(B4751="","",IFERROR(INDEX('Bad Patterns'!$A$2:$A$120,MATCH(1,INDEX(--ISNUMBER(SEARCH('Bad Patterns'!$A$2:$A$120,B4751)),0),0)),""))</f>
        <v/>
      </c>
      <c r="D4751">
        <f>IF(B4751="","",IF(C4751&lt;&gt;"","REMOVE","KEEP"))</f>
        <v/>
      </c>
      <c r="E4751">
        <f>IF(D4751&lt;&gt;"KEEP","",IF(RIGHT(B4751,10)="@gmail.com","Gmail",IF(OR(RIGHT(B4751,12)="@outlook.com",RIGHT(B4751,12)="@hotmail.com",RIGHT(B4751,9)="@live.com"),"Outlook","Domain")))</f>
        <v/>
      </c>
      <c r="F4751">
        <f>IF(B4751="","",IFERROR(RIGHT(B4751,LEN(B4751)-FIND("@",B4751)),""))</f>
        <v/>
      </c>
      <c r="G4751">
        <f>IF(D4751="KEEP",COUNTIF($D$2:D4751,"KEEP"),"")</f>
        <v/>
      </c>
      <c r="H4751">
        <f>IF(D4751="REMOVE",COUNTIF($D$2:D4751,"REMOVE"),"")</f>
        <v/>
      </c>
      <c r="I4751">
        <f>IF(E4751="Gmail",COUNTIF($E$2:E4751,"Gmail"),"")</f>
        <v/>
      </c>
      <c r="J4751">
        <f>IF(E4751="Outlook",COUNTIF($E$2:E4751,"Outlook"),"")</f>
        <v/>
      </c>
      <c r="K4751">
        <f>IF(E4751="Domain",COUNTIF($E$2:E4751,"Domain"),"")</f>
        <v/>
      </c>
    </row>
    <row r="4752">
      <c r="A4752" s="2" t="n"/>
      <c r="B4752">
        <f>LOWER(TRIM(A4752))</f>
        <v/>
      </c>
      <c r="C4752">
        <f>IF(B4752="","",IFERROR(INDEX('Bad Patterns'!$A$2:$A$120,MATCH(1,INDEX(--ISNUMBER(SEARCH('Bad Patterns'!$A$2:$A$120,B4752)),0),0)),""))</f>
        <v/>
      </c>
      <c r="D4752">
        <f>IF(B4752="","",IF(C4752&lt;&gt;"","REMOVE","KEEP"))</f>
        <v/>
      </c>
      <c r="E4752">
        <f>IF(D4752&lt;&gt;"KEEP","",IF(RIGHT(B4752,10)="@gmail.com","Gmail",IF(OR(RIGHT(B4752,12)="@outlook.com",RIGHT(B4752,12)="@hotmail.com",RIGHT(B4752,9)="@live.com"),"Outlook","Domain")))</f>
        <v/>
      </c>
      <c r="F4752">
        <f>IF(B4752="","",IFERROR(RIGHT(B4752,LEN(B4752)-FIND("@",B4752)),""))</f>
        <v/>
      </c>
      <c r="G4752">
        <f>IF(D4752="KEEP",COUNTIF($D$2:D4752,"KEEP"),"")</f>
        <v/>
      </c>
      <c r="H4752">
        <f>IF(D4752="REMOVE",COUNTIF($D$2:D4752,"REMOVE"),"")</f>
        <v/>
      </c>
      <c r="I4752">
        <f>IF(E4752="Gmail",COUNTIF($E$2:E4752,"Gmail"),"")</f>
        <v/>
      </c>
      <c r="J4752">
        <f>IF(E4752="Outlook",COUNTIF($E$2:E4752,"Outlook"),"")</f>
        <v/>
      </c>
      <c r="K4752">
        <f>IF(E4752="Domain",COUNTIF($E$2:E4752,"Domain"),"")</f>
        <v/>
      </c>
    </row>
    <row r="4753">
      <c r="A4753" s="2" t="n"/>
      <c r="B4753">
        <f>LOWER(TRIM(A4753))</f>
        <v/>
      </c>
      <c r="C4753">
        <f>IF(B4753="","",IFERROR(INDEX('Bad Patterns'!$A$2:$A$120,MATCH(1,INDEX(--ISNUMBER(SEARCH('Bad Patterns'!$A$2:$A$120,B4753)),0),0)),""))</f>
        <v/>
      </c>
      <c r="D4753">
        <f>IF(B4753="","",IF(C4753&lt;&gt;"","REMOVE","KEEP"))</f>
        <v/>
      </c>
      <c r="E4753">
        <f>IF(D4753&lt;&gt;"KEEP","",IF(RIGHT(B4753,10)="@gmail.com","Gmail",IF(OR(RIGHT(B4753,12)="@outlook.com",RIGHT(B4753,12)="@hotmail.com",RIGHT(B4753,9)="@live.com"),"Outlook","Domain")))</f>
        <v/>
      </c>
      <c r="F4753">
        <f>IF(B4753="","",IFERROR(RIGHT(B4753,LEN(B4753)-FIND("@",B4753)),""))</f>
        <v/>
      </c>
      <c r="G4753">
        <f>IF(D4753="KEEP",COUNTIF($D$2:D4753,"KEEP"),"")</f>
        <v/>
      </c>
      <c r="H4753">
        <f>IF(D4753="REMOVE",COUNTIF($D$2:D4753,"REMOVE"),"")</f>
        <v/>
      </c>
      <c r="I4753">
        <f>IF(E4753="Gmail",COUNTIF($E$2:E4753,"Gmail"),"")</f>
        <v/>
      </c>
      <c r="J4753">
        <f>IF(E4753="Outlook",COUNTIF($E$2:E4753,"Outlook"),"")</f>
        <v/>
      </c>
      <c r="K4753">
        <f>IF(E4753="Domain",COUNTIF($E$2:E4753,"Domain"),"")</f>
        <v/>
      </c>
    </row>
    <row r="4754">
      <c r="A4754" s="2" t="n"/>
      <c r="B4754">
        <f>LOWER(TRIM(A4754))</f>
        <v/>
      </c>
      <c r="C4754">
        <f>IF(B4754="","",IFERROR(INDEX('Bad Patterns'!$A$2:$A$120,MATCH(1,INDEX(--ISNUMBER(SEARCH('Bad Patterns'!$A$2:$A$120,B4754)),0),0)),""))</f>
        <v/>
      </c>
      <c r="D4754">
        <f>IF(B4754="","",IF(C4754&lt;&gt;"","REMOVE","KEEP"))</f>
        <v/>
      </c>
      <c r="E4754">
        <f>IF(D4754&lt;&gt;"KEEP","",IF(RIGHT(B4754,10)="@gmail.com","Gmail",IF(OR(RIGHT(B4754,12)="@outlook.com",RIGHT(B4754,12)="@hotmail.com",RIGHT(B4754,9)="@live.com"),"Outlook","Domain")))</f>
        <v/>
      </c>
      <c r="F4754">
        <f>IF(B4754="","",IFERROR(RIGHT(B4754,LEN(B4754)-FIND("@",B4754)),""))</f>
        <v/>
      </c>
      <c r="G4754">
        <f>IF(D4754="KEEP",COUNTIF($D$2:D4754,"KEEP"),"")</f>
        <v/>
      </c>
      <c r="H4754">
        <f>IF(D4754="REMOVE",COUNTIF($D$2:D4754,"REMOVE"),"")</f>
        <v/>
      </c>
      <c r="I4754">
        <f>IF(E4754="Gmail",COUNTIF($E$2:E4754,"Gmail"),"")</f>
        <v/>
      </c>
      <c r="J4754">
        <f>IF(E4754="Outlook",COUNTIF($E$2:E4754,"Outlook"),"")</f>
        <v/>
      </c>
      <c r="K4754">
        <f>IF(E4754="Domain",COUNTIF($E$2:E4754,"Domain"),"")</f>
        <v/>
      </c>
    </row>
    <row r="4755">
      <c r="A4755" s="2" t="n"/>
      <c r="B4755">
        <f>LOWER(TRIM(A4755))</f>
        <v/>
      </c>
      <c r="C4755">
        <f>IF(B4755="","",IFERROR(INDEX('Bad Patterns'!$A$2:$A$120,MATCH(1,INDEX(--ISNUMBER(SEARCH('Bad Patterns'!$A$2:$A$120,B4755)),0),0)),""))</f>
        <v/>
      </c>
      <c r="D4755">
        <f>IF(B4755="","",IF(C4755&lt;&gt;"","REMOVE","KEEP"))</f>
        <v/>
      </c>
      <c r="E4755">
        <f>IF(D4755&lt;&gt;"KEEP","",IF(RIGHT(B4755,10)="@gmail.com","Gmail",IF(OR(RIGHT(B4755,12)="@outlook.com",RIGHT(B4755,12)="@hotmail.com",RIGHT(B4755,9)="@live.com"),"Outlook","Domain")))</f>
        <v/>
      </c>
      <c r="F4755">
        <f>IF(B4755="","",IFERROR(RIGHT(B4755,LEN(B4755)-FIND("@",B4755)),""))</f>
        <v/>
      </c>
      <c r="G4755">
        <f>IF(D4755="KEEP",COUNTIF($D$2:D4755,"KEEP"),"")</f>
        <v/>
      </c>
      <c r="H4755">
        <f>IF(D4755="REMOVE",COUNTIF($D$2:D4755,"REMOVE"),"")</f>
        <v/>
      </c>
      <c r="I4755">
        <f>IF(E4755="Gmail",COUNTIF($E$2:E4755,"Gmail"),"")</f>
        <v/>
      </c>
      <c r="J4755">
        <f>IF(E4755="Outlook",COUNTIF($E$2:E4755,"Outlook"),"")</f>
        <v/>
      </c>
      <c r="K4755">
        <f>IF(E4755="Domain",COUNTIF($E$2:E4755,"Domain"),"")</f>
        <v/>
      </c>
    </row>
    <row r="4756">
      <c r="A4756" s="2" t="n"/>
      <c r="B4756">
        <f>LOWER(TRIM(A4756))</f>
        <v/>
      </c>
      <c r="C4756">
        <f>IF(B4756="","",IFERROR(INDEX('Bad Patterns'!$A$2:$A$120,MATCH(1,INDEX(--ISNUMBER(SEARCH('Bad Patterns'!$A$2:$A$120,B4756)),0),0)),""))</f>
        <v/>
      </c>
      <c r="D4756">
        <f>IF(B4756="","",IF(C4756&lt;&gt;"","REMOVE","KEEP"))</f>
        <v/>
      </c>
      <c r="E4756">
        <f>IF(D4756&lt;&gt;"KEEP","",IF(RIGHT(B4756,10)="@gmail.com","Gmail",IF(OR(RIGHT(B4756,12)="@outlook.com",RIGHT(B4756,12)="@hotmail.com",RIGHT(B4756,9)="@live.com"),"Outlook","Domain")))</f>
        <v/>
      </c>
      <c r="F4756">
        <f>IF(B4756="","",IFERROR(RIGHT(B4756,LEN(B4756)-FIND("@",B4756)),""))</f>
        <v/>
      </c>
      <c r="G4756">
        <f>IF(D4756="KEEP",COUNTIF($D$2:D4756,"KEEP"),"")</f>
        <v/>
      </c>
      <c r="H4756">
        <f>IF(D4756="REMOVE",COUNTIF($D$2:D4756,"REMOVE"),"")</f>
        <v/>
      </c>
      <c r="I4756">
        <f>IF(E4756="Gmail",COUNTIF($E$2:E4756,"Gmail"),"")</f>
        <v/>
      </c>
      <c r="J4756">
        <f>IF(E4756="Outlook",COUNTIF($E$2:E4756,"Outlook"),"")</f>
        <v/>
      </c>
      <c r="K4756">
        <f>IF(E4756="Domain",COUNTIF($E$2:E4756,"Domain"),"")</f>
        <v/>
      </c>
    </row>
    <row r="4757">
      <c r="A4757" s="2" t="n"/>
      <c r="B4757">
        <f>LOWER(TRIM(A4757))</f>
        <v/>
      </c>
      <c r="C4757">
        <f>IF(B4757="","",IFERROR(INDEX('Bad Patterns'!$A$2:$A$120,MATCH(1,INDEX(--ISNUMBER(SEARCH('Bad Patterns'!$A$2:$A$120,B4757)),0),0)),""))</f>
        <v/>
      </c>
      <c r="D4757">
        <f>IF(B4757="","",IF(C4757&lt;&gt;"","REMOVE","KEEP"))</f>
        <v/>
      </c>
      <c r="E4757">
        <f>IF(D4757&lt;&gt;"KEEP","",IF(RIGHT(B4757,10)="@gmail.com","Gmail",IF(OR(RIGHT(B4757,12)="@outlook.com",RIGHT(B4757,12)="@hotmail.com",RIGHT(B4757,9)="@live.com"),"Outlook","Domain")))</f>
        <v/>
      </c>
      <c r="F4757">
        <f>IF(B4757="","",IFERROR(RIGHT(B4757,LEN(B4757)-FIND("@",B4757)),""))</f>
        <v/>
      </c>
      <c r="G4757">
        <f>IF(D4757="KEEP",COUNTIF($D$2:D4757,"KEEP"),"")</f>
        <v/>
      </c>
      <c r="H4757">
        <f>IF(D4757="REMOVE",COUNTIF($D$2:D4757,"REMOVE"),"")</f>
        <v/>
      </c>
      <c r="I4757">
        <f>IF(E4757="Gmail",COUNTIF($E$2:E4757,"Gmail"),"")</f>
        <v/>
      </c>
      <c r="J4757">
        <f>IF(E4757="Outlook",COUNTIF($E$2:E4757,"Outlook"),"")</f>
        <v/>
      </c>
      <c r="K4757">
        <f>IF(E4757="Domain",COUNTIF($E$2:E4757,"Domain"),"")</f>
        <v/>
      </c>
    </row>
    <row r="4758">
      <c r="A4758" s="2" t="n"/>
      <c r="B4758">
        <f>LOWER(TRIM(A4758))</f>
        <v/>
      </c>
      <c r="C4758">
        <f>IF(B4758="","",IFERROR(INDEX('Bad Patterns'!$A$2:$A$120,MATCH(1,INDEX(--ISNUMBER(SEARCH('Bad Patterns'!$A$2:$A$120,B4758)),0),0)),""))</f>
        <v/>
      </c>
      <c r="D4758">
        <f>IF(B4758="","",IF(C4758&lt;&gt;"","REMOVE","KEEP"))</f>
        <v/>
      </c>
      <c r="E4758">
        <f>IF(D4758&lt;&gt;"KEEP","",IF(RIGHT(B4758,10)="@gmail.com","Gmail",IF(OR(RIGHT(B4758,12)="@outlook.com",RIGHT(B4758,12)="@hotmail.com",RIGHT(B4758,9)="@live.com"),"Outlook","Domain")))</f>
        <v/>
      </c>
      <c r="F4758">
        <f>IF(B4758="","",IFERROR(RIGHT(B4758,LEN(B4758)-FIND("@",B4758)),""))</f>
        <v/>
      </c>
      <c r="G4758">
        <f>IF(D4758="KEEP",COUNTIF($D$2:D4758,"KEEP"),"")</f>
        <v/>
      </c>
      <c r="H4758">
        <f>IF(D4758="REMOVE",COUNTIF($D$2:D4758,"REMOVE"),"")</f>
        <v/>
      </c>
      <c r="I4758">
        <f>IF(E4758="Gmail",COUNTIF($E$2:E4758,"Gmail"),"")</f>
        <v/>
      </c>
      <c r="J4758">
        <f>IF(E4758="Outlook",COUNTIF($E$2:E4758,"Outlook"),"")</f>
        <v/>
      </c>
      <c r="K4758">
        <f>IF(E4758="Domain",COUNTIF($E$2:E4758,"Domain"),"")</f>
        <v/>
      </c>
    </row>
    <row r="4759">
      <c r="A4759" s="2" t="n"/>
      <c r="B4759">
        <f>LOWER(TRIM(A4759))</f>
        <v/>
      </c>
      <c r="C4759">
        <f>IF(B4759="","",IFERROR(INDEX('Bad Patterns'!$A$2:$A$120,MATCH(1,INDEX(--ISNUMBER(SEARCH('Bad Patterns'!$A$2:$A$120,B4759)),0),0)),""))</f>
        <v/>
      </c>
      <c r="D4759">
        <f>IF(B4759="","",IF(C4759&lt;&gt;"","REMOVE","KEEP"))</f>
        <v/>
      </c>
      <c r="E4759">
        <f>IF(D4759&lt;&gt;"KEEP","",IF(RIGHT(B4759,10)="@gmail.com","Gmail",IF(OR(RIGHT(B4759,12)="@outlook.com",RIGHT(B4759,12)="@hotmail.com",RIGHT(B4759,9)="@live.com"),"Outlook","Domain")))</f>
        <v/>
      </c>
      <c r="F4759">
        <f>IF(B4759="","",IFERROR(RIGHT(B4759,LEN(B4759)-FIND("@",B4759)),""))</f>
        <v/>
      </c>
      <c r="G4759">
        <f>IF(D4759="KEEP",COUNTIF($D$2:D4759,"KEEP"),"")</f>
        <v/>
      </c>
      <c r="H4759">
        <f>IF(D4759="REMOVE",COUNTIF($D$2:D4759,"REMOVE"),"")</f>
        <v/>
      </c>
      <c r="I4759">
        <f>IF(E4759="Gmail",COUNTIF($E$2:E4759,"Gmail"),"")</f>
        <v/>
      </c>
      <c r="J4759">
        <f>IF(E4759="Outlook",COUNTIF($E$2:E4759,"Outlook"),"")</f>
        <v/>
      </c>
      <c r="K4759">
        <f>IF(E4759="Domain",COUNTIF($E$2:E4759,"Domain"),"")</f>
        <v/>
      </c>
    </row>
    <row r="4760">
      <c r="A4760" s="2" t="n"/>
      <c r="B4760">
        <f>LOWER(TRIM(A4760))</f>
        <v/>
      </c>
      <c r="C4760">
        <f>IF(B4760="","",IFERROR(INDEX('Bad Patterns'!$A$2:$A$120,MATCH(1,INDEX(--ISNUMBER(SEARCH('Bad Patterns'!$A$2:$A$120,B4760)),0),0)),""))</f>
        <v/>
      </c>
      <c r="D4760">
        <f>IF(B4760="","",IF(C4760&lt;&gt;"","REMOVE","KEEP"))</f>
        <v/>
      </c>
      <c r="E4760">
        <f>IF(D4760&lt;&gt;"KEEP","",IF(RIGHT(B4760,10)="@gmail.com","Gmail",IF(OR(RIGHT(B4760,12)="@outlook.com",RIGHT(B4760,12)="@hotmail.com",RIGHT(B4760,9)="@live.com"),"Outlook","Domain")))</f>
        <v/>
      </c>
      <c r="F4760">
        <f>IF(B4760="","",IFERROR(RIGHT(B4760,LEN(B4760)-FIND("@",B4760)),""))</f>
        <v/>
      </c>
      <c r="G4760">
        <f>IF(D4760="KEEP",COUNTIF($D$2:D4760,"KEEP"),"")</f>
        <v/>
      </c>
      <c r="H4760">
        <f>IF(D4760="REMOVE",COUNTIF($D$2:D4760,"REMOVE"),"")</f>
        <v/>
      </c>
      <c r="I4760">
        <f>IF(E4760="Gmail",COUNTIF($E$2:E4760,"Gmail"),"")</f>
        <v/>
      </c>
      <c r="J4760">
        <f>IF(E4760="Outlook",COUNTIF($E$2:E4760,"Outlook"),"")</f>
        <v/>
      </c>
      <c r="K4760">
        <f>IF(E4760="Domain",COUNTIF($E$2:E4760,"Domain"),"")</f>
        <v/>
      </c>
    </row>
    <row r="4761">
      <c r="A4761" s="2" t="n"/>
      <c r="B4761">
        <f>LOWER(TRIM(A4761))</f>
        <v/>
      </c>
      <c r="C4761">
        <f>IF(B4761="","",IFERROR(INDEX('Bad Patterns'!$A$2:$A$120,MATCH(1,INDEX(--ISNUMBER(SEARCH('Bad Patterns'!$A$2:$A$120,B4761)),0),0)),""))</f>
        <v/>
      </c>
      <c r="D4761">
        <f>IF(B4761="","",IF(C4761&lt;&gt;"","REMOVE","KEEP"))</f>
        <v/>
      </c>
      <c r="E4761">
        <f>IF(D4761&lt;&gt;"KEEP","",IF(RIGHT(B4761,10)="@gmail.com","Gmail",IF(OR(RIGHT(B4761,12)="@outlook.com",RIGHT(B4761,12)="@hotmail.com",RIGHT(B4761,9)="@live.com"),"Outlook","Domain")))</f>
        <v/>
      </c>
      <c r="F4761">
        <f>IF(B4761="","",IFERROR(RIGHT(B4761,LEN(B4761)-FIND("@",B4761)),""))</f>
        <v/>
      </c>
      <c r="G4761">
        <f>IF(D4761="KEEP",COUNTIF($D$2:D4761,"KEEP"),"")</f>
        <v/>
      </c>
      <c r="H4761">
        <f>IF(D4761="REMOVE",COUNTIF($D$2:D4761,"REMOVE"),"")</f>
        <v/>
      </c>
      <c r="I4761">
        <f>IF(E4761="Gmail",COUNTIF($E$2:E4761,"Gmail"),"")</f>
        <v/>
      </c>
      <c r="J4761">
        <f>IF(E4761="Outlook",COUNTIF($E$2:E4761,"Outlook"),"")</f>
        <v/>
      </c>
      <c r="K4761">
        <f>IF(E4761="Domain",COUNTIF($E$2:E4761,"Domain"),"")</f>
        <v/>
      </c>
    </row>
    <row r="4762">
      <c r="A4762" s="2" t="n"/>
      <c r="B4762">
        <f>LOWER(TRIM(A4762))</f>
        <v/>
      </c>
      <c r="C4762">
        <f>IF(B4762="","",IFERROR(INDEX('Bad Patterns'!$A$2:$A$120,MATCH(1,INDEX(--ISNUMBER(SEARCH('Bad Patterns'!$A$2:$A$120,B4762)),0),0)),""))</f>
        <v/>
      </c>
      <c r="D4762">
        <f>IF(B4762="","",IF(C4762&lt;&gt;"","REMOVE","KEEP"))</f>
        <v/>
      </c>
      <c r="E4762">
        <f>IF(D4762&lt;&gt;"KEEP","",IF(RIGHT(B4762,10)="@gmail.com","Gmail",IF(OR(RIGHT(B4762,12)="@outlook.com",RIGHT(B4762,12)="@hotmail.com",RIGHT(B4762,9)="@live.com"),"Outlook","Domain")))</f>
        <v/>
      </c>
      <c r="F4762">
        <f>IF(B4762="","",IFERROR(RIGHT(B4762,LEN(B4762)-FIND("@",B4762)),""))</f>
        <v/>
      </c>
      <c r="G4762">
        <f>IF(D4762="KEEP",COUNTIF($D$2:D4762,"KEEP"),"")</f>
        <v/>
      </c>
      <c r="H4762">
        <f>IF(D4762="REMOVE",COUNTIF($D$2:D4762,"REMOVE"),"")</f>
        <v/>
      </c>
      <c r="I4762">
        <f>IF(E4762="Gmail",COUNTIF($E$2:E4762,"Gmail"),"")</f>
        <v/>
      </c>
      <c r="J4762">
        <f>IF(E4762="Outlook",COUNTIF($E$2:E4762,"Outlook"),"")</f>
        <v/>
      </c>
      <c r="K4762">
        <f>IF(E4762="Domain",COUNTIF($E$2:E4762,"Domain"),"")</f>
        <v/>
      </c>
    </row>
    <row r="4763">
      <c r="A4763" s="2" t="n"/>
      <c r="B4763">
        <f>LOWER(TRIM(A4763))</f>
        <v/>
      </c>
      <c r="C4763">
        <f>IF(B4763="","",IFERROR(INDEX('Bad Patterns'!$A$2:$A$120,MATCH(1,INDEX(--ISNUMBER(SEARCH('Bad Patterns'!$A$2:$A$120,B4763)),0),0)),""))</f>
        <v/>
      </c>
      <c r="D4763">
        <f>IF(B4763="","",IF(C4763&lt;&gt;"","REMOVE","KEEP"))</f>
        <v/>
      </c>
      <c r="E4763">
        <f>IF(D4763&lt;&gt;"KEEP","",IF(RIGHT(B4763,10)="@gmail.com","Gmail",IF(OR(RIGHT(B4763,12)="@outlook.com",RIGHT(B4763,12)="@hotmail.com",RIGHT(B4763,9)="@live.com"),"Outlook","Domain")))</f>
        <v/>
      </c>
      <c r="F4763">
        <f>IF(B4763="","",IFERROR(RIGHT(B4763,LEN(B4763)-FIND("@",B4763)),""))</f>
        <v/>
      </c>
      <c r="G4763">
        <f>IF(D4763="KEEP",COUNTIF($D$2:D4763,"KEEP"),"")</f>
        <v/>
      </c>
      <c r="H4763">
        <f>IF(D4763="REMOVE",COUNTIF($D$2:D4763,"REMOVE"),"")</f>
        <v/>
      </c>
      <c r="I4763">
        <f>IF(E4763="Gmail",COUNTIF($E$2:E4763,"Gmail"),"")</f>
        <v/>
      </c>
      <c r="J4763">
        <f>IF(E4763="Outlook",COUNTIF($E$2:E4763,"Outlook"),"")</f>
        <v/>
      </c>
      <c r="K4763">
        <f>IF(E4763="Domain",COUNTIF($E$2:E4763,"Domain"),"")</f>
        <v/>
      </c>
    </row>
    <row r="4764">
      <c r="A4764" s="2" t="n"/>
      <c r="B4764">
        <f>LOWER(TRIM(A4764))</f>
        <v/>
      </c>
      <c r="C4764">
        <f>IF(B4764="","",IFERROR(INDEX('Bad Patterns'!$A$2:$A$120,MATCH(1,INDEX(--ISNUMBER(SEARCH('Bad Patterns'!$A$2:$A$120,B4764)),0),0)),""))</f>
        <v/>
      </c>
      <c r="D4764">
        <f>IF(B4764="","",IF(C4764&lt;&gt;"","REMOVE","KEEP"))</f>
        <v/>
      </c>
      <c r="E4764">
        <f>IF(D4764&lt;&gt;"KEEP","",IF(RIGHT(B4764,10)="@gmail.com","Gmail",IF(OR(RIGHT(B4764,12)="@outlook.com",RIGHT(B4764,12)="@hotmail.com",RIGHT(B4764,9)="@live.com"),"Outlook","Domain")))</f>
        <v/>
      </c>
      <c r="F4764">
        <f>IF(B4764="","",IFERROR(RIGHT(B4764,LEN(B4764)-FIND("@",B4764)),""))</f>
        <v/>
      </c>
      <c r="G4764">
        <f>IF(D4764="KEEP",COUNTIF($D$2:D4764,"KEEP"),"")</f>
        <v/>
      </c>
      <c r="H4764">
        <f>IF(D4764="REMOVE",COUNTIF($D$2:D4764,"REMOVE"),"")</f>
        <v/>
      </c>
      <c r="I4764">
        <f>IF(E4764="Gmail",COUNTIF($E$2:E4764,"Gmail"),"")</f>
        <v/>
      </c>
      <c r="J4764">
        <f>IF(E4764="Outlook",COUNTIF($E$2:E4764,"Outlook"),"")</f>
        <v/>
      </c>
      <c r="K4764">
        <f>IF(E4764="Domain",COUNTIF($E$2:E4764,"Domain"),"")</f>
        <v/>
      </c>
    </row>
    <row r="4765">
      <c r="A4765" s="2" t="n"/>
      <c r="B4765">
        <f>LOWER(TRIM(A4765))</f>
        <v/>
      </c>
      <c r="C4765">
        <f>IF(B4765="","",IFERROR(INDEX('Bad Patterns'!$A$2:$A$120,MATCH(1,INDEX(--ISNUMBER(SEARCH('Bad Patterns'!$A$2:$A$120,B4765)),0),0)),""))</f>
        <v/>
      </c>
      <c r="D4765">
        <f>IF(B4765="","",IF(C4765&lt;&gt;"","REMOVE","KEEP"))</f>
        <v/>
      </c>
      <c r="E4765">
        <f>IF(D4765&lt;&gt;"KEEP","",IF(RIGHT(B4765,10)="@gmail.com","Gmail",IF(OR(RIGHT(B4765,12)="@outlook.com",RIGHT(B4765,12)="@hotmail.com",RIGHT(B4765,9)="@live.com"),"Outlook","Domain")))</f>
        <v/>
      </c>
      <c r="F4765">
        <f>IF(B4765="","",IFERROR(RIGHT(B4765,LEN(B4765)-FIND("@",B4765)),""))</f>
        <v/>
      </c>
      <c r="G4765">
        <f>IF(D4765="KEEP",COUNTIF($D$2:D4765,"KEEP"),"")</f>
        <v/>
      </c>
      <c r="H4765">
        <f>IF(D4765="REMOVE",COUNTIF($D$2:D4765,"REMOVE"),"")</f>
        <v/>
      </c>
      <c r="I4765">
        <f>IF(E4765="Gmail",COUNTIF($E$2:E4765,"Gmail"),"")</f>
        <v/>
      </c>
      <c r="J4765">
        <f>IF(E4765="Outlook",COUNTIF($E$2:E4765,"Outlook"),"")</f>
        <v/>
      </c>
      <c r="K4765">
        <f>IF(E4765="Domain",COUNTIF($E$2:E4765,"Domain"),"")</f>
        <v/>
      </c>
    </row>
    <row r="4766">
      <c r="A4766" s="2" t="n"/>
      <c r="B4766">
        <f>LOWER(TRIM(A4766))</f>
        <v/>
      </c>
      <c r="C4766">
        <f>IF(B4766="","",IFERROR(INDEX('Bad Patterns'!$A$2:$A$120,MATCH(1,INDEX(--ISNUMBER(SEARCH('Bad Patterns'!$A$2:$A$120,B4766)),0),0)),""))</f>
        <v/>
      </c>
      <c r="D4766">
        <f>IF(B4766="","",IF(C4766&lt;&gt;"","REMOVE","KEEP"))</f>
        <v/>
      </c>
      <c r="E4766">
        <f>IF(D4766&lt;&gt;"KEEP","",IF(RIGHT(B4766,10)="@gmail.com","Gmail",IF(OR(RIGHT(B4766,12)="@outlook.com",RIGHT(B4766,12)="@hotmail.com",RIGHT(B4766,9)="@live.com"),"Outlook","Domain")))</f>
        <v/>
      </c>
      <c r="F4766">
        <f>IF(B4766="","",IFERROR(RIGHT(B4766,LEN(B4766)-FIND("@",B4766)),""))</f>
        <v/>
      </c>
      <c r="G4766">
        <f>IF(D4766="KEEP",COUNTIF($D$2:D4766,"KEEP"),"")</f>
        <v/>
      </c>
      <c r="H4766">
        <f>IF(D4766="REMOVE",COUNTIF($D$2:D4766,"REMOVE"),"")</f>
        <v/>
      </c>
      <c r="I4766">
        <f>IF(E4766="Gmail",COUNTIF($E$2:E4766,"Gmail"),"")</f>
        <v/>
      </c>
      <c r="J4766">
        <f>IF(E4766="Outlook",COUNTIF($E$2:E4766,"Outlook"),"")</f>
        <v/>
      </c>
      <c r="K4766">
        <f>IF(E4766="Domain",COUNTIF($E$2:E4766,"Domain"),"")</f>
        <v/>
      </c>
    </row>
    <row r="4767">
      <c r="A4767" s="2" t="n"/>
      <c r="B4767">
        <f>LOWER(TRIM(A4767))</f>
        <v/>
      </c>
      <c r="C4767">
        <f>IF(B4767="","",IFERROR(INDEX('Bad Patterns'!$A$2:$A$120,MATCH(1,INDEX(--ISNUMBER(SEARCH('Bad Patterns'!$A$2:$A$120,B4767)),0),0)),""))</f>
        <v/>
      </c>
      <c r="D4767">
        <f>IF(B4767="","",IF(C4767&lt;&gt;"","REMOVE","KEEP"))</f>
        <v/>
      </c>
      <c r="E4767">
        <f>IF(D4767&lt;&gt;"KEEP","",IF(RIGHT(B4767,10)="@gmail.com","Gmail",IF(OR(RIGHT(B4767,12)="@outlook.com",RIGHT(B4767,12)="@hotmail.com",RIGHT(B4767,9)="@live.com"),"Outlook","Domain")))</f>
        <v/>
      </c>
      <c r="F4767">
        <f>IF(B4767="","",IFERROR(RIGHT(B4767,LEN(B4767)-FIND("@",B4767)),""))</f>
        <v/>
      </c>
      <c r="G4767">
        <f>IF(D4767="KEEP",COUNTIF($D$2:D4767,"KEEP"),"")</f>
        <v/>
      </c>
      <c r="H4767">
        <f>IF(D4767="REMOVE",COUNTIF($D$2:D4767,"REMOVE"),"")</f>
        <v/>
      </c>
      <c r="I4767">
        <f>IF(E4767="Gmail",COUNTIF($E$2:E4767,"Gmail"),"")</f>
        <v/>
      </c>
      <c r="J4767">
        <f>IF(E4767="Outlook",COUNTIF($E$2:E4767,"Outlook"),"")</f>
        <v/>
      </c>
      <c r="K4767">
        <f>IF(E4767="Domain",COUNTIF($E$2:E4767,"Domain"),"")</f>
        <v/>
      </c>
    </row>
    <row r="4768">
      <c r="A4768" s="2" t="n"/>
      <c r="B4768">
        <f>LOWER(TRIM(A4768))</f>
        <v/>
      </c>
      <c r="C4768">
        <f>IF(B4768="","",IFERROR(INDEX('Bad Patterns'!$A$2:$A$120,MATCH(1,INDEX(--ISNUMBER(SEARCH('Bad Patterns'!$A$2:$A$120,B4768)),0),0)),""))</f>
        <v/>
      </c>
      <c r="D4768">
        <f>IF(B4768="","",IF(C4768&lt;&gt;"","REMOVE","KEEP"))</f>
        <v/>
      </c>
      <c r="E4768">
        <f>IF(D4768&lt;&gt;"KEEP","",IF(RIGHT(B4768,10)="@gmail.com","Gmail",IF(OR(RIGHT(B4768,12)="@outlook.com",RIGHT(B4768,12)="@hotmail.com",RIGHT(B4768,9)="@live.com"),"Outlook","Domain")))</f>
        <v/>
      </c>
      <c r="F4768">
        <f>IF(B4768="","",IFERROR(RIGHT(B4768,LEN(B4768)-FIND("@",B4768)),""))</f>
        <v/>
      </c>
      <c r="G4768">
        <f>IF(D4768="KEEP",COUNTIF($D$2:D4768,"KEEP"),"")</f>
        <v/>
      </c>
      <c r="H4768">
        <f>IF(D4768="REMOVE",COUNTIF($D$2:D4768,"REMOVE"),"")</f>
        <v/>
      </c>
      <c r="I4768">
        <f>IF(E4768="Gmail",COUNTIF($E$2:E4768,"Gmail"),"")</f>
        <v/>
      </c>
      <c r="J4768">
        <f>IF(E4768="Outlook",COUNTIF($E$2:E4768,"Outlook"),"")</f>
        <v/>
      </c>
      <c r="K4768">
        <f>IF(E4768="Domain",COUNTIF($E$2:E4768,"Domain"),"")</f>
        <v/>
      </c>
    </row>
    <row r="4769">
      <c r="A4769" s="2" t="n"/>
      <c r="B4769">
        <f>LOWER(TRIM(A4769))</f>
        <v/>
      </c>
      <c r="C4769">
        <f>IF(B4769="","",IFERROR(INDEX('Bad Patterns'!$A$2:$A$120,MATCH(1,INDEX(--ISNUMBER(SEARCH('Bad Patterns'!$A$2:$A$120,B4769)),0),0)),""))</f>
        <v/>
      </c>
      <c r="D4769">
        <f>IF(B4769="","",IF(C4769&lt;&gt;"","REMOVE","KEEP"))</f>
        <v/>
      </c>
      <c r="E4769">
        <f>IF(D4769&lt;&gt;"KEEP","",IF(RIGHT(B4769,10)="@gmail.com","Gmail",IF(OR(RIGHT(B4769,12)="@outlook.com",RIGHT(B4769,12)="@hotmail.com",RIGHT(B4769,9)="@live.com"),"Outlook","Domain")))</f>
        <v/>
      </c>
      <c r="F4769">
        <f>IF(B4769="","",IFERROR(RIGHT(B4769,LEN(B4769)-FIND("@",B4769)),""))</f>
        <v/>
      </c>
      <c r="G4769">
        <f>IF(D4769="KEEP",COUNTIF($D$2:D4769,"KEEP"),"")</f>
        <v/>
      </c>
      <c r="H4769">
        <f>IF(D4769="REMOVE",COUNTIF($D$2:D4769,"REMOVE"),"")</f>
        <v/>
      </c>
      <c r="I4769">
        <f>IF(E4769="Gmail",COUNTIF($E$2:E4769,"Gmail"),"")</f>
        <v/>
      </c>
      <c r="J4769">
        <f>IF(E4769="Outlook",COUNTIF($E$2:E4769,"Outlook"),"")</f>
        <v/>
      </c>
      <c r="K4769">
        <f>IF(E4769="Domain",COUNTIF($E$2:E4769,"Domain"),"")</f>
        <v/>
      </c>
    </row>
    <row r="4770">
      <c r="A4770" s="2" t="n"/>
      <c r="B4770">
        <f>LOWER(TRIM(A4770))</f>
        <v/>
      </c>
      <c r="C4770">
        <f>IF(B4770="","",IFERROR(INDEX('Bad Patterns'!$A$2:$A$120,MATCH(1,INDEX(--ISNUMBER(SEARCH('Bad Patterns'!$A$2:$A$120,B4770)),0),0)),""))</f>
        <v/>
      </c>
      <c r="D4770">
        <f>IF(B4770="","",IF(C4770&lt;&gt;"","REMOVE","KEEP"))</f>
        <v/>
      </c>
      <c r="E4770">
        <f>IF(D4770&lt;&gt;"KEEP","",IF(RIGHT(B4770,10)="@gmail.com","Gmail",IF(OR(RIGHT(B4770,12)="@outlook.com",RIGHT(B4770,12)="@hotmail.com",RIGHT(B4770,9)="@live.com"),"Outlook","Domain")))</f>
        <v/>
      </c>
      <c r="F4770">
        <f>IF(B4770="","",IFERROR(RIGHT(B4770,LEN(B4770)-FIND("@",B4770)),""))</f>
        <v/>
      </c>
      <c r="G4770">
        <f>IF(D4770="KEEP",COUNTIF($D$2:D4770,"KEEP"),"")</f>
        <v/>
      </c>
      <c r="H4770">
        <f>IF(D4770="REMOVE",COUNTIF($D$2:D4770,"REMOVE"),"")</f>
        <v/>
      </c>
      <c r="I4770">
        <f>IF(E4770="Gmail",COUNTIF($E$2:E4770,"Gmail"),"")</f>
        <v/>
      </c>
      <c r="J4770">
        <f>IF(E4770="Outlook",COUNTIF($E$2:E4770,"Outlook"),"")</f>
        <v/>
      </c>
      <c r="K4770">
        <f>IF(E4770="Domain",COUNTIF($E$2:E4770,"Domain"),"")</f>
        <v/>
      </c>
    </row>
    <row r="4771">
      <c r="A4771" s="2" t="n"/>
      <c r="B4771">
        <f>LOWER(TRIM(A4771))</f>
        <v/>
      </c>
      <c r="C4771">
        <f>IF(B4771="","",IFERROR(INDEX('Bad Patterns'!$A$2:$A$120,MATCH(1,INDEX(--ISNUMBER(SEARCH('Bad Patterns'!$A$2:$A$120,B4771)),0),0)),""))</f>
        <v/>
      </c>
      <c r="D4771">
        <f>IF(B4771="","",IF(C4771&lt;&gt;"","REMOVE","KEEP"))</f>
        <v/>
      </c>
      <c r="E4771">
        <f>IF(D4771&lt;&gt;"KEEP","",IF(RIGHT(B4771,10)="@gmail.com","Gmail",IF(OR(RIGHT(B4771,12)="@outlook.com",RIGHT(B4771,12)="@hotmail.com",RIGHT(B4771,9)="@live.com"),"Outlook","Domain")))</f>
        <v/>
      </c>
      <c r="F4771">
        <f>IF(B4771="","",IFERROR(RIGHT(B4771,LEN(B4771)-FIND("@",B4771)),""))</f>
        <v/>
      </c>
      <c r="G4771">
        <f>IF(D4771="KEEP",COUNTIF($D$2:D4771,"KEEP"),"")</f>
        <v/>
      </c>
      <c r="H4771">
        <f>IF(D4771="REMOVE",COUNTIF($D$2:D4771,"REMOVE"),"")</f>
        <v/>
      </c>
      <c r="I4771">
        <f>IF(E4771="Gmail",COUNTIF($E$2:E4771,"Gmail"),"")</f>
        <v/>
      </c>
      <c r="J4771">
        <f>IF(E4771="Outlook",COUNTIF($E$2:E4771,"Outlook"),"")</f>
        <v/>
      </c>
      <c r="K4771">
        <f>IF(E4771="Domain",COUNTIF($E$2:E4771,"Domain"),"")</f>
        <v/>
      </c>
    </row>
    <row r="4772">
      <c r="A4772" s="2" t="n"/>
      <c r="B4772">
        <f>LOWER(TRIM(A4772))</f>
        <v/>
      </c>
      <c r="C4772">
        <f>IF(B4772="","",IFERROR(INDEX('Bad Patterns'!$A$2:$A$120,MATCH(1,INDEX(--ISNUMBER(SEARCH('Bad Patterns'!$A$2:$A$120,B4772)),0),0)),""))</f>
        <v/>
      </c>
      <c r="D4772">
        <f>IF(B4772="","",IF(C4772&lt;&gt;"","REMOVE","KEEP"))</f>
        <v/>
      </c>
      <c r="E4772">
        <f>IF(D4772&lt;&gt;"KEEP","",IF(RIGHT(B4772,10)="@gmail.com","Gmail",IF(OR(RIGHT(B4772,12)="@outlook.com",RIGHT(B4772,12)="@hotmail.com",RIGHT(B4772,9)="@live.com"),"Outlook","Domain")))</f>
        <v/>
      </c>
      <c r="F4772">
        <f>IF(B4772="","",IFERROR(RIGHT(B4772,LEN(B4772)-FIND("@",B4772)),""))</f>
        <v/>
      </c>
      <c r="G4772">
        <f>IF(D4772="KEEP",COUNTIF($D$2:D4772,"KEEP"),"")</f>
        <v/>
      </c>
      <c r="H4772">
        <f>IF(D4772="REMOVE",COUNTIF($D$2:D4772,"REMOVE"),"")</f>
        <v/>
      </c>
      <c r="I4772">
        <f>IF(E4772="Gmail",COUNTIF($E$2:E4772,"Gmail"),"")</f>
        <v/>
      </c>
      <c r="J4772">
        <f>IF(E4772="Outlook",COUNTIF($E$2:E4772,"Outlook"),"")</f>
        <v/>
      </c>
      <c r="K4772">
        <f>IF(E4772="Domain",COUNTIF($E$2:E4772,"Domain"),"")</f>
        <v/>
      </c>
    </row>
    <row r="4773">
      <c r="A4773" s="2" t="n"/>
      <c r="B4773">
        <f>LOWER(TRIM(A4773))</f>
        <v/>
      </c>
      <c r="C4773">
        <f>IF(B4773="","",IFERROR(INDEX('Bad Patterns'!$A$2:$A$120,MATCH(1,INDEX(--ISNUMBER(SEARCH('Bad Patterns'!$A$2:$A$120,B4773)),0),0)),""))</f>
        <v/>
      </c>
      <c r="D4773">
        <f>IF(B4773="","",IF(C4773&lt;&gt;"","REMOVE","KEEP"))</f>
        <v/>
      </c>
      <c r="E4773">
        <f>IF(D4773&lt;&gt;"KEEP","",IF(RIGHT(B4773,10)="@gmail.com","Gmail",IF(OR(RIGHT(B4773,12)="@outlook.com",RIGHT(B4773,12)="@hotmail.com",RIGHT(B4773,9)="@live.com"),"Outlook","Domain")))</f>
        <v/>
      </c>
      <c r="F4773">
        <f>IF(B4773="","",IFERROR(RIGHT(B4773,LEN(B4773)-FIND("@",B4773)),""))</f>
        <v/>
      </c>
      <c r="G4773">
        <f>IF(D4773="KEEP",COUNTIF($D$2:D4773,"KEEP"),"")</f>
        <v/>
      </c>
      <c r="H4773">
        <f>IF(D4773="REMOVE",COUNTIF($D$2:D4773,"REMOVE"),"")</f>
        <v/>
      </c>
      <c r="I4773">
        <f>IF(E4773="Gmail",COUNTIF($E$2:E4773,"Gmail"),"")</f>
        <v/>
      </c>
      <c r="J4773">
        <f>IF(E4773="Outlook",COUNTIF($E$2:E4773,"Outlook"),"")</f>
        <v/>
      </c>
      <c r="K4773">
        <f>IF(E4773="Domain",COUNTIF($E$2:E4773,"Domain"),"")</f>
        <v/>
      </c>
    </row>
    <row r="4774">
      <c r="A4774" s="2" t="n"/>
      <c r="B4774">
        <f>LOWER(TRIM(A4774))</f>
        <v/>
      </c>
      <c r="C4774">
        <f>IF(B4774="","",IFERROR(INDEX('Bad Patterns'!$A$2:$A$120,MATCH(1,INDEX(--ISNUMBER(SEARCH('Bad Patterns'!$A$2:$A$120,B4774)),0),0)),""))</f>
        <v/>
      </c>
      <c r="D4774">
        <f>IF(B4774="","",IF(C4774&lt;&gt;"","REMOVE","KEEP"))</f>
        <v/>
      </c>
      <c r="E4774">
        <f>IF(D4774&lt;&gt;"KEEP","",IF(RIGHT(B4774,10)="@gmail.com","Gmail",IF(OR(RIGHT(B4774,12)="@outlook.com",RIGHT(B4774,12)="@hotmail.com",RIGHT(B4774,9)="@live.com"),"Outlook","Domain")))</f>
        <v/>
      </c>
      <c r="F4774">
        <f>IF(B4774="","",IFERROR(RIGHT(B4774,LEN(B4774)-FIND("@",B4774)),""))</f>
        <v/>
      </c>
      <c r="G4774">
        <f>IF(D4774="KEEP",COUNTIF($D$2:D4774,"KEEP"),"")</f>
        <v/>
      </c>
      <c r="H4774">
        <f>IF(D4774="REMOVE",COUNTIF($D$2:D4774,"REMOVE"),"")</f>
        <v/>
      </c>
      <c r="I4774">
        <f>IF(E4774="Gmail",COUNTIF($E$2:E4774,"Gmail"),"")</f>
        <v/>
      </c>
      <c r="J4774">
        <f>IF(E4774="Outlook",COUNTIF($E$2:E4774,"Outlook"),"")</f>
        <v/>
      </c>
      <c r="K4774">
        <f>IF(E4774="Domain",COUNTIF($E$2:E4774,"Domain"),"")</f>
        <v/>
      </c>
    </row>
    <row r="4775">
      <c r="A4775" s="2" t="n"/>
      <c r="B4775">
        <f>LOWER(TRIM(A4775))</f>
        <v/>
      </c>
      <c r="C4775">
        <f>IF(B4775="","",IFERROR(INDEX('Bad Patterns'!$A$2:$A$120,MATCH(1,INDEX(--ISNUMBER(SEARCH('Bad Patterns'!$A$2:$A$120,B4775)),0),0)),""))</f>
        <v/>
      </c>
      <c r="D4775">
        <f>IF(B4775="","",IF(C4775&lt;&gt;"","REMOVE","KEEP"))</f>
        <v/>
      </c>
      <c r="E4775">
        <f>IF(D4775&lt;&gt;"KEEP","",IF(RIGHT(B4775,10)="@gmail.com","Gmail",IF(OR(RIGHT(B4775,12)="@outlook.com",RIGHT(B4775,12)="@hotmail.com",RIGHT(B4775,9)="@live.com"),"Outlook","Domain")))</f>
        <v/>
      </c>
      <c r="F4775">
        <f>IF(B4775="","",IFERROR(RIGHT(B4775,LEN(B4775)-FIND("@",B4775)),""))</f>
        <v/>
      </c>
      <c r="G4775">
        <f>IF(D4775="KEEP",COUNTIF($D$2:D4775,"KEEP"),"")</f>
        <v/>
      </c>
      <c r="H4775">
        <f>IF(D4775="REMOVE",COUNTIF($D$2:D4775,"REMOVE"),"")</f>
        <v/>
      </c>
      <c r="I4775">
        <f>IF(E4775="Gmail",COUNTIF($E$2:E4775,"Gmail"),"")</f>
        <v/>
      </c>
      <c r="J4775">
        <f>IF(E4775="Outlook",COUNTIF($E$2:E4775,"Outlook"),"")</f>
        <v/>
      </c>
      <c r="K4775">
        <f>IF(E4775="Domain",COUNTIF($E$2:E4775,"Domain"),"")</f>
        <v/>
      </c>
    </row>
    <row r="4776">
      <c r="A4776" s="2" t="n"/>
      <c r="B4776">
        <f>LOWER(TRIM(A4776))</f>
        <v/>
      </c>
      <c r="C4776">
        <f>IF(B4776="","",IFERROR(INDEX('Bad Patterns'!$A$2:$A$120,MATCH(1,INDEX(--ISNUMBER(SEARCH('Bad Patterns'!$A$2:$A$120,B4776)),0),0)),""))</f>
        <v/>
      </c>
      <c r="D4776">
        <f>IF(B4776="","",IF(C4776&lt;&gt;"","REMOVE","KEEP"))</f>
        <v/>
      </c>
      <c r="E4776">
        <f>IF(D4776&lt;&gt;"KEEP","",IF(RIGHT(B4776,10)="@gmail.com","Gmail",IF(OR(RIGHT(B4776,12)="@outlook.com",RIGHT(B4776,12)="@hotmail.com",RIGHT(B4776,9)="@live.com"),"Outlook","Domain")))</f>
        <v/>
      </c>
      <c r="F4776">
        <f>IF(B4776="","",IFERROR(RIGHT(B4776,LEN(B4776)-FIND("@",B4776)),""))</f>
        <v/>
      </c>
      <c r="G4776">
        <f>IF(D4776="KEEP",COUNTIF($D$2:D4776,"KEEP"),"")</f>
        <v/>
      </c>
      <c r="H4776">
        <f>IF(D4776="REMOVE",COUNTIF($D$2:D4776,"REMOVE"),"")</f>
        <v/>
      </c>
      <c r="I4776">
        <f>IF(E4776="Gmail",COUNTIF($E$2:E4776,"Gmail"),"")</f>
        <v/>
      </c>
      <c r="J4776">
        <f>IF(E4776="Outlook",COUNTIF($E$2:E4776,"Outlook"),"")</f>
        <v/>
      </c>
      <c r="K4776">
        <f>IF(E4776="Domain",COUNTIF($E$2:E4776,"Domain"),"")</f>
        <v/>
      </c>
    </row>
    <row r="4777">
      <c r="A4777" s="2" t="n"/>
      <c r="B4777">
        <f>LOWER(TRIM(A4777))</f>
        <v/>
      </c>
      <c r="C4777">
        <f>IF(B4777="","",IFERROR(INDEX('Bad Patterns'!$A$2:$A$120,MATCH(1,INDEX(--ISNUMBER(SEARCH('Bad Patterns'!$A$2:$A$120,B4777)),0),0)),""))</f>
        <v/>
      </c>
      <c r="D4777">
        <f>IF(B4777="","",IF(C4777&lt;&gt;"","REMOVE","KEEP"))</f>
        <v/>
      </c>
      <c r="E4777">
        <f>IF(D4777&lt;&gt;"KEEP","",IF(RIGHT(B4777,10)="@gmail.com","Gmail",IF(OR(RIGHT(B4777,12)="@outlook.com",RIGHT(B4777,12)="@hotmail.com",RIGHT(B4777,9)="@live.com"),"Outlook","Domain")))</f>
        <v/>
      </c>
      <c r="F4777">
        <f>IF(B4777="","",IFERROR(RIGHT(B4777,LEN(B4777)-FIND("@",B4777)),""))</f>
        <v/>
      </c>
      <c r="G4777">
        <f>IF(D4777="KEEP",COUNTIF($D$2:D4777,"KEEP"),"")</f>
        <v/>
      </c>
      <c r="H4777">
        <f>IF(D4777="REMOVE",COUNTIF($D$2:D4777,"REMOVE"),"")</f>
        <v/>
      </c>
      <c r="I4777">
        <f>IF(E4777="Gmail",COUNTIF($E$2:E4777,"Gmail"),"")</f>
        <v/>
      </c>
      <c r="J4777">
        <f>IF(E4777="Outlook",COUNTIF($E$2:E4777,"Outlook"),"")</f>
        <v/>
      </c>
      <c r="K4777">
        <f>IF(E4777="Domain",COUNTIF($E$2:E4777,"Domain"),"")</f>
        <v/>
      </c>
    </row>
    <row r="4778">
      <c r="A4778" s="2" t="n"/>
      <c r="B4778">
        <f>LOWER(TRIM(A4778))</f>
        <v/>
      </c>
      <c r="C4778">
        <f>IF(B4778="","",IFERROR(INDEX('Bad Patterns'!$A$2:$A$120,MATCH(1,INDEX(--ISNUMBER(SEARCH('Bad Patterns'!$A$2:$A$120,B4778)),0),0)),""))</f>
        <v/>
      </c>
      <c r="D4778">
        <f>IF(B4778="","",IF(C4778&lt;&gt;"","REMOVE","KEEP"))</f>
        <v/>
      </c>
      <c r="E4778">
        <f>IF(D4778&lt;&gt;"KEEP","",IF(RIGHT(B4778,10)="@gmail.com","Gmail",IF(OR(RIGHT(B4778,12)="@outlook.com",RIGHT(B4778,12)="@hotmail.com",RIGHT(B4778,9)="@live.com"),"Outlook","Domain")))</f>
        <v/>
      </c>
      <c r="F4778">
        <f>IF(B4778="","",IFERROR(RIGHT(B4778,LEN(B4778)-FIND("@",B4778)),""))</f>
        <v/>
      </c>
      <c r="G4778">
        <f>IF(D4778="KEEP",COUNTIF($D$2:D4778,"KEEP"),"")</f>
        <v/>
      </c>
      <c r="H4778">
        <f>IF(D4778="REMOVE",COUNTIF($D$2:D4778,"REMOVE"),"")</f>
        <v/>
      </c>
      <c r="I4778">
        <f>IF(E4778="Gmail",COUNTIF($E$2:E4778,"Gmail"),"")</f>
        <v/>
      </c>
      <c r="J4778">
        <f>IF(E4778="Outlook",COUNTIF($E$2:E4778,"Outlook"),"")</f>
        <v/>
      </c>
      <c r="K4778">
        <f>IF(E4778="Domain",COUNTIF($E$2:E4778,"Domain"),"")</f>
        <v/>
      </c>
    </row>
    <row r="4779">
      <c r="A4779" s="2" t="n"/>
      <c r="B4779">
        <f>LOWER(TRIM(A4779))</f>
        <v/>
      </c>
      <c r="C4779">
        <f>IF(B4779="","",IFERROR(INDEX('Bad Patterns'!$A$2:$A$120,MATCH(1,INDEX(--ISNUMBER(SEARCH('Bad Patterns'!$A$2:$A$120,B4779)),0),0)),""))</f>
        <v/>
      </c>
      <c r="D4779">
        <f>IF(B4779="","",IF(C4779&lt;&gt;"","REMOVE","KEEP"))</f>
        <v/>
      </c>
      <c r="E4779">
        <f>IF(D4779&lt;&gt;"KEEP","",IF(RIGHT(B4779,10)="@gmail.com","Gmail",IF(OR(RIGHT(B4779,12)="@outlook.com",RIGHT(B4779,12)="@hotmail.com",RIGHT(B4779,9)="@live.com"),"Outlook","Domain")))</f>
        <v/>
      </c>
      <c r="F4779">
        <f>IF(B4779="","",IFERROR(RIGHT(B4779,LEN(B4779)-FIND("@",B4779)),""))</f>
        <v/>
      </c>
      <c r="G4779">
        <f>IF(D4779="KEEP",COUNTIF($D$2:D4779,"KEEP"),"")</f>
        <v/>
      </c>
      <c r="H4779">
        <f>IF(D4779="REMOVE",COUNTIF($D$2:D4779,"REMOVE"),"")</f>
        <v/>
      </c>
      <c r="I4779">
        <f>IF(E4779="Gmail",COUNTIF($E$2:E4779,"Gmail"),"")</f>
        <v/>
      </c>
      <c r="J4779">
        <f>IF(E4779="Outlook",COUNTIF($E$2:E4779,"Outlook"),"")</f>
        <v/>
      </c>
      <c r="K4779">
        <f>IF(E4779="Domain",COUNTIF($E$2:E4779,"Domain"),"")</f>
        <v/>
      </c>
    </row>
    <row r="4780">
      <c r="A4780" s="2" t="n"/>
      <c r="B4780">
        <f>LOWER(TRIM(A4780))</f>
        <v/>
      </c>
      <c r="C4780">
        <f>IF(B4780="","",IFERROR(INDEX('Bad Patterns'!$A$2:$A$120,MATCH(1,INDEX(--ISNUMBER(SEARCH('Bad Patterns'!$A$2:$A$120,B4780)),0),0)),""))</f>
        <v/>
      </c>
      <c r="D4780">
        <f>IF(B4780="","",IF(C4780&lt;&gt;"","REMOVE","KEEP"))</f>
        <v/>
      </c>
      <c r="E4780">
        <f>IF(D4780&lt;&gt;"KEEP","",IF(RIGHT(B4780,10)="@gmail.com","Gmail",IF(OR(RIGHT(B4780,12)="@outlook.com",RIGHT(B4780,12)="@hotmail.com",RIGHT(B4780,9)="@live.com"),"Outlook","Domain")))</f>
        <v/>
      </c>
      <c r="F4780">
        <f>IF(B4780="","",IFERROR(RIGHT(B4780,LEN(B4780)-FIND("@",B4780)),""))</f>
        <v/>
      </c>
      <c r="G4780">
        <f>IF(D4780="KEEP",COUNTIF($D$2:D4780,"KEEP"),"")</f>
        <v/>
      </c>
      <c r="H4780">
        <f>IF(D4780="REMOVE",COUNTIF($D$2:D4780,"REMOVE"),"")</f>
        <v/>
      </c>
      <c r="I4780">
        <f>IF(E4780="Gmail",COUNTIF($E$2:E4780,"Gmail"),"")</f>
        <v/>
      </c>
      <c r="J4780">
        <f>IF(E4780="Outlook",COUNTIF($E$2:E4780,"Outlook"),"")</f>
        <v/>
      </c>
      <c r="K4780">
        <f>IF(E4780="Domain",COUNTIF($E$2:E4780,"Domain"),"")</f>
        <v/>
      </c>
    </row>
    <row r="4781">
      <c r="A4781" s="2" t="n"/>
      <c r="B4781">
        <f>LOWER(TRIM(A4781))</f>
        <v/>
      </c>
      <c r="C4781">
        <f>IF(B4781="","",IFERROR(INDEX('Bad Patterns'!$A$2:$A$120,MATCH(1,INDEX(--ISNUMBER(SEARCH('Bad Patterns'!$A$2:$A$120,B4781)),0),0)),""))</f>
        <v/>
      </c>
      <c r="D4781">
        <f>IF(B4781="","",IF(C4781&lt;&gt;"","REMOVE","KEEP"))</f>
        <v/>
      </c>
      <c r="E4781">
        <f>IF(D4781&lt;&gt;"KEEP","",IF(RIGHT(B4781,10)="@gmail.com","Gmail",IF(OR(RIGHT(B4781,12)="@outlook.com",RIGHT(B4781,12)="@hotmail.com",RIGHT(B4781,9)="@live.com"),"Outlook","Domain")))</f>
        <v/>
      </c>
      <c r="F4781">
        <f>IF(B4781="","",IFERROR(RIGHT(B4781,LEN(B4781)-FIND("@",B4781)),""))</f>
        <v/>
      </c>
      <c r="G4781">
        <f>IF(D4781="KEEP",COUNTIF($D$2:D4781,"KEEP"),"")</f>
        <v/>
      </c>
      <c r="H4781">
        <f>IF(D4781="REMOVE",COUNTIF($D$2:D4781,"REMOVE"),"")</f>
        <v/>
      </c>
      <c r="I4781">
        <f>IF(E4781="Gmail",COUNTIF($E$2:E4781,"Gmail"),"")</f>
        <v/>
      </c>
      <c r="J4781">
        <f>IF(E4781="Outlook",COUNTIF($E$2:E4781,"Outlook"),"")</f>
        <v/>
      </c>
      <c r="K4781">
        <f>IF(E4781="Domain",COUNTIF($E$2:E4781,"Domain"),"")</f>
        <v/>
      </c>
    </row>
    <row r="4782">
      <c r="A4782" s="2" t="n"/>
      <c r="B4782">
        <f>LOWER(TRIM(A4782))</f>
        <v/>
      </c>
      <c r="C4782">
        <f>IF(B4782="","",IFERROR(INDEX('Bad Patterns'!$A$2:$A$120,MATCH(1,INDEX(--ISNUMBER(SEARCH('Bad Patterns'!$A$2:$A$120,B4782)),0),0)),""))</f>
        <v/>
      </c>
      <c r="D4782">
        <f>IF(B4782="","",IF(C4782&lt;&gt;"","REMOVE","KEEP"))</f>
        <v/>
      </c>
      <c r="E4782">
        <f>IF(D4782&lt;&gt;"KEEP","",IF(RIGHT(B4782,10)="@gmail.com","Gmail",IF(OR(RIGHT(B4782,12)="@outlook.com",RIGHT(B4782,12)="@hotmail.com",RIGHT(B4782,9)="@live.com"),"Outlook","Domain")))</f>
        <v/>
      </c>
      <c r="F4782">
        <f>IF(B4782="","",IFERROR(RIGHT(B4782,LEN(B4782)-FIND("@",B4782)),""))</f>
        <v/>
      </c>
      <c r="G4782">
        <f>IF(D4782="KEEP",COUNTIF($D$2:D4782,"KEEP"),"")</f>
        <v/>
      </c>
      <c r="H4782">
        <f>IF(D4782="REMOVE",COUNTIF($D$2:D4782,"REMOVE"),"")</f>
        <v/>
      </c>
      <c r="I4782">
        <f>IF(E4782="Gmail",COUNTIF($E$2:E4782,"Gmail"),"")</f>
        <v/>
      </c>
      <c r="J4782">
        <f>IF(E4782="Outlook",COUNTIF($E$2:E4782,"Outlook"),"")</f>
        <v/>
      </c>
      <c r="K4782">
        <f>IF(E4782="Domain",COUNTIF($E$2:E4782,"Domain"),"")</f>
        <v/>
      </c>
    </row>
    <row r="4783">
      <c r="A4783" s="2" t="n"/>
      <c r="B4783">
        <f>LOWER(TRIM(A4783))</f>
        <v/>
      </c>
      <c r="C4783">
        <f>IF(B4783="","",IFERROR(INDEX('Bad Patterns'!$A$2:$A$120,MATCH(1,INDEX(--ISNUMBER(SEARCH('Bad Patterns'!$A$2:$A$120,B4783)),0),0)),""))</f>
        <v/>
      </c>
      <c r="D4783">
        <f>IF(B4783="","",IF(C4783&lt;&gt;"","REMOVE","KEEP"))</f>
        <v/>
      </c>
      <c r="E4783">
        <f>IF(D4783&lt;&gt;"KEEP","",IF(RIGHT(B4783,10)="@gmail.com","Gmail",IF(OR(RIGHT(B4783,12)="@outlook.com",RIGHT(B4783,12)="@hotmail.com",RIGHT(B4783,9)="@live.com"),"Outlook","Domain")))</f>
        <v/>
      </c>
      <c r="F4783">
        <f>IF(B4783="","",IFERROR(RIGHT(B4783,LEN(B4783)-FIND("@",B4783)),""))</f>
        <v/>
      </c>
      <c r="G4783">
        <f>IF(D4783="KEEP",COUNTIF($D$2:D4783,"KEEP"),"")</f>
        <v/>
      </c>
      <c r="H4783">
        <f>IF(D4783="REMOVE",COUNTIF($D$2:D4783,"REMOVE"),"")</f>
        <v/>
      </c>
      <c r="I4783">
        <f>IF(E4783="Gmail",COUNTIF($E$2:E4783,"Gmail"),"")</f>
        <v/>
      </c>
      <c r="J4783">
        <f>IF(E4783="Outlook",COUNTIF($E$2:E4783,"Outlook"),"")</f>
        <v/>
      </c>
      <c r="K4783">
        <f>IF(E4783="Domain",COUNTIF($E$2:E4783,"Domain"),"")</f>
        <v/>
      </c>
    </row>
    <row r="4784">
      <c r="A4784" s="2" t="n"/>
      <c r="B4784">
        <f>LOWER(TRIM(A4784))</f>
        <v/>
      </c>
      <c r="C4784">
        <f>IF(B4784="","",IFERROR(INDEX('Bad Patterns'!$A$2:$A$120,MATCH(1,INDEX(--ISNUMBER(SEARCH('Bad Patterns'!$A$2:$A$120,B4784)),0),0)),""))</f>
        <v/>
      </c>
      <c r="D4784">
        <f>IF(B4784="","",IF(C4784&lt;&gt;"","REMOVE","KEEP"))</f>
        <v/>
      </c>
      <c r="E4784">
        <f>IF(D4784&lt;&gt;"KEEP","",IF(RIGHT(B4784,10)="@gmail.com","Gmail",IF(OR(RIGHT(B4784,12)="@outlook.com",RIGHT(B4784,12)="@hotmail.com",RIGHT(B4784,9)="@live.com"),"Outlook","Domain")))</f>
        <v/>
      </c>
      <c r="F4784">
        <f>IF(B4784="","",IFERROR(RIGHT(B4784,LEN(B4784)-FIND("@",B4784)),""))</f>
        <v/>
      </c>
      <c r="G4784">
        <f>IF(D4784="KEEP",COUNTIF($D$2:D4784,"KEEP"),"")</f>
        <v/>
      </c>
      <c r="H4784">
        <f>IF(D4784="REMOVE",COUNTIF($D$2:D4784,"REMOVE"),"")</f>
        <v/>
      </c>
      <c r="I4784">
        <f>IF(E4784="Gmail",COUNTIF($E$2:E4784,"Gmail"),"")</f>
        <v/>
      </c>
      <c r="J4784">
        <f>IF(E4784="Outlook",COUNTIF($E$2:E4784,"Outlook"),"")</f>
        <v/>
      </c>
      <c r="K4784">
        <f>IF(E4784="Domain",COUNTIF($E$2:E4784,"Domain"),"")</f>
        <v/>
      </c>
    </row>
    <row r="4785">
      <c r="A4785" s="2" t="n"/>
      <c r="B4785">
        <f>LOWER(TRIM(A4785))</f>
        <v/>
      </c>
      <c r="C4785">
        <f>IF(B4785="","",IFERROR(INDEX('Bad Patterns'!$A$2:$A$120,MATCH(1,INDEX(--ISNUMBER(SEARCH('Bad Patterns'!$A$2:$A$120,B4785)),0),0)),""))</f>
        <v/>
      </c>
      <c r="D4785">
        <f>IF(B4785="","",IF(C4785&lt;&gt;"","REMOVE","KEEP"))</f>
        <v/>
      </c>
      <c r="E4785">
        <f>IF(D4785&lt;&gt;"KEEP","",IF(RIGHT(B4785,10)="@gmail.com","Gmail",IF(OR(RIGHT(B4785,12)="@outlook.com",RIGHT(B4785,12)="@hotmail.com",RIGHT(B4785,9)="@live.com"),"Outlook","Domain")))</f>
        <v/>
      </c>
      <c r="F4785">
        <f>IF(B4785="","",IFERROR(RIGHT(B4785,LEN(B4785)-FIND("@",B4785)),""))</f>
        <v/>
      </c>
      <c r="G4785">
        <f>IF(D4785="KEEP",COUNTIF($D$2:D4785,"KEEP"),"")</f>
        <v/>
      </c>
      <c r="H4785">
        <f>IF(D4785="REMOVE",COUNTIF($D$2:D4785,"REMOVE"),"")</f>
        <v/>
      </c>
      <c r="I4785">
        <f>IF(E4785="Gmail",COUNTIF($E$2:E4785,"Gmail"),"")</f>
        <v/>
      </c>
      <c r="J4785">
        <f>IF(E4785="Outlook",COUNTIF($E$2:E4785,"Outlook"),"")</f>
        <v/>
      </c>
      <c r="K4785">
        <f>IF(E4785="Domain",COUNTIF($E$2:E4785,"Domain"),"")</f>
        <v/>
      </c>
    </row>
    <row r="4786">
      <c r="A4786" s="2" t="n"/>
      <c r="B4786">
        <f>LOWER(TRIM(A4786))</f>
        <v/>
      </c>
      <c r="C4786">
        <f>IF(B4786="","",IFERROR(INDEX('Bad Patterns'!$A$2:$A$120,MATCH(1,INDEX(--ISNUMBER(SEARCH('Bad Patterns'!$A$2:$A$120,B4786)),0),0)),""))</f>
        <v/>
      </c>
      <c r="D4786">
        <f>IF(B4786="","",IF(C4786&lt;&gt;"","REMOVE","KEEP"))</f>
        <v/>
      </c>
      <c r="E4786">
        <f>IF(D4786&lt;&gt;"KEEP","",IF(RIGHT(B4786,10)="@gmail.com","Gmail",IF(OR(RIGHT(B4786,12)="@outlook.com",RIGHT(B4786,12)="@hotmail.com",RIGHT(B4786,9)="@live.com"),"Outlook","Domain")))</f>
        <v/>
      </c>
      <c r="F4786">
        <f>IF(B4786="","",IFERROR(RIGHT(B4786,LEN(B4786)-FIND("@",B4786)),""))</f>
        <v/>
      </c>
      <c r="G4786">
        <f>IF(D4786="KEEP",COUNTIF($D$2:D4786,"KEEP"),"")</f>
        <v/>
      </c>
      <c r="H4786">
        <f>IF(D4786="REMOVE",COUNTIF($D$2:D4786,"REMOVE"),"")</f>
        <v/>
      </c>
      <c r="I4786">
        <f>IF(E4786="Gmail",COUNTIF($E$2:E4786,"Gmail"),"")</f>
        <v/>
      </c>
      <c r="J4786">
        <f>IF(E4786="Outlook",COUNTIF($E$2:E4786,"Outlook"),"")</f>
        <v/>
      </c>
      <c r="K4786">
        <f>IF(E4786="Domain",COUNTIF($E$2:E4786,"Domain"),"")</f>
        <v/>
      </c>
    </row>
    <row r="4787">
      <c r="A4787" s="2" t="n"/>
      <c r="B4787">
        <f>LOWER(TRIM(A4787))</f>
        <v/>
      </c>
      <c r="C4787">
        <f>IF(B4787="","",IFERROR(INDEX('Bad Patterns'!$A$2:$A$120,MATCH(1,INDEX(--ISNUMBER(SEARCH('Bad Patterns'!$A$2:$A$120,B4787)),0),0)),""))</f>
        <v/>
      </c>
      <c r="D4787">
        <f>IF(B4787="","",IF(C4787&lt;&gt;"","REMOVE","KEEP"))</f>
        <v/>
      </c>
      <c r="E4787">
        <f>IF(D4787&lt;&gt;"KEEP","",IF(RIGHT(B4787,10)="@gmail.com","Gmail",IF(OR(RIGHT(B4787,12)="@outlook.com",RIGHT(B4787,12)="@hotmail.com",RIGHT(B4787,9)="@live.com"),"Outlook","Domain")))</f>
        <v/>
      </c>
      <c r="F4787">
        <f>IF(B4787="","",IFERROR(RIGHT(B4787,LEN(B4787)-FIND("@",B4787)),""))</f>
        <v/>
      </c>
      <c r="G4787">
        <f>IF(D4787="KEEP",COUNTIF($D$2:D4787,"KEEP"),"")</f>
        <v/>
      </c>
      <c r="H4787">
        <f>IF(D4787="REMOVE",COUNTIF($D$2:D4787,"REMOVE"),"")</f>
        <v/>
      </c>
      <c r="I4787">
        <f>IF(E4787="Gmail",COUNTIF($E$2:E4787,"Gmail"),"")</f>
        <v/>
      </c>
      <c r="J4787">
        <f>IF(E4787="Outlook",COUNTIF($E$2:E4787,"Outlook"),"")</f>
        <v/>
      </c>
      <c r="K4787">
        <f>IF(E4787="Domain",COUNTIF($E$2:E4787,"Domain"),"")</f>
        <v/>
      </c>
    </row>
    <row r="4788">
      <c r="A4788" s="2" t="n"/>
      <c r="B4788">
        <f>LOWER(TRIM(A4788))</f>
        <v/>
      </c>
      <c r="C4788">
        <f>IF(B4788="","",IFERROR(INDEX('Bad Patterns'!$A$2:$A$120,MATCH(1,INDEX(--ISNUMBER(SEARCH('Bad Patterns'!$A$2:$A$120,B4788)),0),0)),""))</f>
        <v/>
      </c>
      <c r="D4788">
        <f>IF(B4788="","",IF(C4788&lt;&gt;"","REMOVE","KEEP"))</f>
        <v/>
      </c>
      <c r="E4788">
        <f>IF(D4788&lt;&gt;"KEEP","",IF(RIGHT(B4788,10)="@gmail.com","Gmail",IF(OR(RIGHT(B4788,12)="@outlook.com",RIGHT(B4788,12)="@hotmail.com",RIGHT(B4788,9)="@live.com"),"Outlook","Domain")))</f>
        <v/>
      </c>
      <c r="F4788">
        <f>IF(B4788="","",IFERROR(RIGHT(B4788,LEN(B4788)-FIND("@",B4788)),""))</f>
        <v/>
      </c>
      <c r="G4788">
        <f>IF(D4788="KEEP",COUNTIF($D$2:D4788,"KEEP"),"")</f>
        <v/>
      </c>
      <c r="H4788">
        <f>IF(D4788="REMOVE",COUNTIF($D$2:D4788,"REMOVE"),"")</f>
        <v/>
      </c>
      <c r="I4788">
        <f>IF(E4788="Gmail",COUNTIF($E$2:E4788,"Gmail"),"")</f>
        <v/>
      </c>
      <c r="J4788">
        <f>IF(E4788="Outlook",COUNTIF($E$2:E4788,"Outlook"),"")</f>
        <v/>
      </c>
      <c r="K4788">
        <f>IF(E4788="Domain",COUNTIF($E$2:E4788,"Domain"),"")</f>
        <v/>
      </c>
    </row>
    <row r="4789">
      <c r="A4789" s="2" t="n"/>
      <c r="B4789">
        <f>LOWER(TRIM(A4789))</f>
        <v/>
      </c>
      <c r="C4789">
        <f>IF(B4789="","",IFERROR(INDEX('Bad Patterns'!$A$2:$A$120,MATCH(1,INDEX(--ISNUMBER(SEARCH('Bad Patterns'!$A$2:$A$120,B4789)),0),0)),""))</f>
        <v/>
      </c>
      <c r="D4789">
        <f>IF(B4789="","",IF(C4789&lt;&gt;"","REMOVE","KEEP"))</f>
        <v/>
      </c>
      <c r="E4789">
        <f>IF(D4789&lt;&gt;"KEEP","",IF(RIGHT(B4789,10)="@gmail.com","Gmail",IF(OR(RIGHT(B4789,12)="@outlook.com",RIGHT(B4789,12)="@hotmail.com",RIGHT(B4789,9)="@live.com"),"Outlook","Domain")))</f>
        <v/>
      </c>
      <c r="F4789">
        <f>IF(B4789="","",IFERROR(RIGHT(B4789,LEN(B4789)-FIND("@",B4789)),""))</f>
        <v/>
      </c>
      <c r="G4789">
        <f>IF(D4789="KEEP",COUNTIF($D$2:D4789,"KEEP"),"")</f>
        <v/>
      </c>
      <c r="H4789">
        <f>IF(D4789="REMOVE",COUNTIF($D$2:D4789,"REMOVE"),"")</f>
        <v/>
      </c>
      <c r="I4789">
        <f>IF(E4789="Gmail",COUNTIF($E$2:E4789,"Gmail"),"")</f>
        <v/>
      </c>
      <c r="J4789">
        <f>IF(E4789="Outlook",COUNTIF($E$2:E4789,"Outlook"),"")</f>
        <v/>
      </c>
      <c r="K4789">
        <f>IF(E4789="Domain",COUNTIF($E$2:E4789,"Domain"),"")</f>
        <v/>
      </c>
    </row>
    <row r="4790">
      <c r="A4790" s="2" t="n"/>
      <c r="B4790">
        <f>LOWER(TRIM(A4790))</f>
        <v/>
      </c>
      <c r="C4790">
        <f>IF(B4790="","",IFERROR(INDEX('Bad Patterns'!$A$2:$A$120,MATCH(1,INDEX(--ISNUMBER(SEARCH('Bad Patterns'!$A$2:$A$120,B4790)),0),0)),""))</f>
        <v/>
      </c>
      <c r="D4790">
        <f>IF(B4790="","",IF(C4790&lt;&gt;"","REMOVE","KEEP"))</f>
        <v/>
      </c>
      <c r="E4790">
        <f>IF(D4790&lt;&gt;"KEEP","",IF(RIGHT(B4790,10)="@gmail.com","Gmail",IF(OR(RIGHT(B4790,12)="@outlook.com",RIGHT(B4790,12)="@hotmail.com",RIGHT(B4790,9)="@live.com"),"Outlook","Domain")))</f>
        <v/>
      </c>
      <c r="F4790">
        <f>IF(B4790="","",IFERROR(RIGHT(B4790,LEN(B4790)-FIND("@",B4790)),""))</f>
        <v/>
      </c>
      <c r="G4790">
        <f>IF(D4790="KEEP",COUNTIF($D$2:D4790,"KEEP"),"")</f>
        <v/>
      </c>
      <c r="H4790">
        <f>IF(D4790="REMOVE",COUNTIF($D$2:D4790,"REMOVE"),"")</f>
        <v/>
      </c>
      <c r="I4790">
        <f>IF(E4790="Gmail",COUNTIF($E$2:E4790,"Gmail"),"")</f>
        <v/>
      </c>
      <c r="J4790">
        <f>IF(E4790="Outlook",COUNTIF($E$2:E4790,"Outlook"),"")</f>
        <v/>
      </c>
      <c r="K4790">
        <f>IF(E4790="Domain",COUNTIF($E$2:E4790,"Domain"),"")</f>
        <v/>
      </c>
    </row>
    <row r="4791">
      <c r="A4791" s="2" t="n"/>
      <c r="B4791">
        <f>LOWER(TRIM(A4791))</f>
        <v/>
      </c>
      <c r="C4791">
        <f>IF(B4791="","",IFERROR(INDEX('Bad Patterns'!$A$2:$A$120,MATCH(1,INDEX(--ISNUMBER(SEARCH('Bad Patterns'!$A$2:$A$120,B4791)),0),0)),""))</f>
        <v/>
      </c>
      <c r="D4791">
        <f>IF(B4791="","",IF(C4791&lt;&gt;"","REMOVE","KEEP"))</f>
        <v/>
      </c>
      <c r="E4791">
        <f>IF(D4791&lt;&gt;"KEEP","",IF(RIGHT(B4791,10)="@gmail.com","Gmail",IF(OR(RIGHT(B4791,12)="@outlook.com",RIGHT(B4791,12)="@hotmail.com",RIGHT(B4791,9)="@live.com"),"Outlook","Domain")))</f>
        <v/>
      </c>
      <c r="F4791">
        <f>IF(B4791="","",IFERROR(RIGHT(B4791,LEN(B4791)-FIND("@",B4791)),""))</f>
        <v/>
      </c>
      <c r="G4791">
        <f>IF(D4791="KEEP",COUNTIF($D$2:D4791,"KEEP"),"")</f>
        <v/>
      </c>
      <c r="H4791">
        <f>IF(D4791="REMOVE",COUNTIF($D$2:D4791,"REMOVE"),"")</f>
        <v/>
      </c>
      <c r="I4791">
        <f>IF(E4791="Gmail",COUNTIF($E$2:E4791,"Gmail"),"")</f>
        <v/>
      </c>
      <c r="J4791">
        <f>IF(E4791="Outlook",COUNTIF($E$2:E4791,"Outlook"),"")</f>
        <v/>
      </c>
      <c r="K4791">
        <f>IF(E4791="Domain",COUNTIF($E$2:E4791,"Domain"),"")</f>
        <v/>
      </c>
    </row>
    <row r="4792">
      <c r="A4792" s="2" t="n"/>
      <c r="B4792">
        <f>LOWER(TRIM(A4792))</f>
        <v/>
      </c>
      <c r="C4792">
        <f>IF(B4792="","",IFERROR(INDEX('Bad Patterns'!$A$2:$A$120,MATCH(1,INDEX(--ISNUMBER(SEARCH('Bad Patterns'!$A$2:$A$120,B4792)),0),0)),""))</f>
        <v/>
      </c>
      <c r="D4792">
        <f>IF(B4792="","",IF(C4792&lt;&gt;"","REMOVE","KEEP"))</f>
        <v/>
      </c>
      <c r="E4792">
        <f>IF(D4792&lt;&gt;"KEEP","",IF(RIGHT(B4792,10)="@gmail.com","Gmail",IF(OR(RIGHT(B4792,12)="@outlook.com",RIGHT(B4792,12)="@hotmail.com",RIGHT(B4792,9)="@live.com"),"Outlook","Domain")))</f>
        <v/>
      </c>
      <c r="F4792">
        <f>IF(B4792="","",IFERROR(RIGHT(B4792,LEN(B4792)-FIND("@",B4792)),""))</f>
        <v/>
      </c>
      <c r="G4792">
        <f>IF(D4792="KEEP",COUNTIF($D$2:D4792,"KEEP"),"")</f>
        <v/>
      </c>
      <c r="H4792">
        <f>IF(D4792="REMOVE",COUNTIF($D$2:D4792,"REMOVE"),"")</f>
        <v/>
      </c>
      <c r="I4792">
        <f>IF(E4792="Gmail",COUNTIF($E$2:E4792,"Gmail"),"")</f>
        <v/>
      </c>
      <c r="J4792">
        <f>IF(E4792="Outlook",COUNTIF($E$2:E4792,"Outlook"),"")</f>
        <v/>
      </c>
      <c r="K4792">
        <f>IF(E4792="Domain",COUNTIF($E$2:E4792,"Domain"),"")</f>
        <v/>
      </c>
    </row>
    <row r="4793">
      <c r="A4793" s="2" t="n"/>
      <c r="B4793">
        <f>LOWER(TRIM(A4793))</f>
        <v/>
      </c>
      <c r="C4793">
        <f>IF(B4793="","",IFERROR(INDEX('Bad Patterns'!$A$2:$A$120,MATCH(1,INDEX(--ISNUMBER(SEARCH('Bad Patterns'!$A$2:$A$120,B4793)),0),0)),""))</f>
        <v/>
      </c>
      <c r="D4793">
        <f>IF(B4793="","",IF(C4793&lt;&gt;"","REMOVE","KEEP"))</f>
        <v/>
      </c>
      <c r="E4793">
        <f>IF(D4793&lt;&gt;"KEEP","",IF(RIGHT(B4793,10)="@gmail.com","Gmail",IF(OR(RIGHT(B4793,12)="@outlook.com",RIGHT(B4793,12)="@hotmail.com",RIGHT(B4793,9)="@live.com"),"Outlook","Domain")))</f>
        <v/>
      </c>
      <c r="F4793">
        <f>IF(B4793="","",IFERROR(RIGHT(B4793,LEN(B4793)-FIND("@",B4793)),""))</f>
        <v/>
      </c>
      <c r="G4793">
        <f>IF(D4793="KEEP",COUNTIF($D$2:D4793,"KEEP"),"")</f>
        <v/>
      </c>
      <c r="H4793">
        <f>IF(D4793="REMOVE",COUNTIF($D$2:D4793,"REMOVE"),"")</f>
        <v/>
      </c>
      <c r="I4793">
        <f>IF(E4793="Gmail",COUNTIF($E$2:E4793,"Gmail"),"")</f>
        <v/>
      </c>
      <c r="J4793">
        <f>IF(E4793="Outlook",COUNTIF($E$2:E4793,"Outlook"),"")</f>
        <v/>
      </c>
      <c r="K4793">
        <f>IF(E4793="Domain",COUNTIF($E$2:E4793,"Domain"),"")</f>
        <v/>
      </c>
    </row>
    <row r="4794">
      <c r="A4794" s="2" t="n"/>
      <c r="B4794">
        <f>LOWER(TRIM(A4794))</f>
        <v/>
      </c>
      <c r="C4794">
        <f>IF(B4794="","",IFERROR(INDEX('Bad Patterns'!$A$2:$A$120,MATCH(1,INDEX(--ISNUMBER(SEARCH('Bad Patterns'!$A$2:$A$120,B4794)),0),0)),""))</f>
        <v/>
      </c>
      <c r="D4794">
        <f>IF(B4794="","",IF(C4794&lt;&gt;"","REMOVE","KEEP"))</f>
        <v/>
      </c>
      <c r="E4794">
        <f>IF(D4794&lt;&gt;"KEEP","",IF(RIGHT(B4794,10)="@gmail.com","Gmail",IF(OR(RIGHT(B4794,12)="@outlook.com",RIGHT(B4794,12)="@hotmail.com",RIGHT(B4794,9)="@live.com"),"Outlook","Domain")))</f>
        <v/>
      </c>
      <c r="F4794">
        <f>IF(B4794="","",IFERROR(RIGHT(B4794,LEN(B4794)-FIND("@",B4794)),""))</f>
        <v/>
      </c>
      <c r="G4794">
        <f>IF(D4794="KEEP",COUNTIF($D$2:D4794,"KEEP"),"")</f>
        <v/>
      </c>
      <c r="H4794">
        <f>IF(D4794="REMOVE",COUNTIF($D$2:D4794,"REMOVE"),"")</f>
        <v/>
      </c>
      <c r="I4794">
        <f>IF(E4794="Gmail",COUNTIF($E$2:E4794,"Gmail"),"")</f>
        <v/>
      </c>
      <c r="J4794">
        <f>IF(E4794="Outlook",COUNTIF($E$2:E4794,"Outlook"),"")</f>
        <v/>
      </c>
      <c r="K4794">
        <f>IF(E4794="Domain",COUNTIF($E$2:E4794,"Domain"),"")</f>
        <v/>
      </c>
    </row>
    <row r="4795">
      <c r="A4795" s="2" t="n"/>
      <c r="B4795">
        <f>LOWER(TRIM(A4795))</f>
        <v/>
      </c>
      <c r="C4795">
        <f>IF(B4795="","",IFERROR(INDEX('Bad Patterns'!$A$2:$A$120,MATCH(1,INDEX(--ISNUMBER(SEARCH('Bad Patterns'!$A$2:$A$120,B4795)),0),0)),""))</f>
        <v/>
      </c>
      <c r="D4795">
        <f>IF(B4795="","",IF(C4795&lt;&gt;"","REMOVE","KEEP"))</f>
        <v/>
      </c>
      <c r="E4795">
        <f>IF(D4795&lt;&gt;"KEEP","",IF(RIGHT(B4795,10)="@gmail.com","Gmail",IF(OR(RIGHT(B4795,12)="@outlook.com",RIGHT(B4795,12)="@hotmail.com",RIGHT(B4795,9)="@live.com"),"Outlook","Domain")))</f>
        <v/>
      </c>
      <c r="F4795">
        <f>IF(B4795="","",IFERROR(RIGHT(B4795,LEN(B4795)-FIND("@",B4795)),""))</f>
        <v/>
      </c>
      <c r="G4795">
        <f>IF(D4795="KEEP",COUNTIF($D$2:D4795,"KEEP"),"")</f>
        <v/>
      </c>
      <c r="H4795">
        <f>IF(D4795="REMOVE",COUNTIF($D$2:D4795,"REMOVE"),"")</f>
        <v/>
      </c>
      <c r="I4795">
        <f>IF(E4795="Gmail",COUNTIF($E$2:E4795,"Gmail"),"")</f>
        <v/>
      </c>
      <c r="J4795">
        <f>IF(E4795="Outlook",COUNTIF($E$2:E4795,"Outlook"),"")</f>
        <v/>
      </c>
      <c r="K4795">
        <f>IF(E4795="Domain",COUNTIF($E$2:E4795,"Domain"),"")</f>
        <v/>
      </c>
    </row>
    <row r="4796">
      <c r="A4796" s="2" t="n"/>
      <c r="B4796">
        <f>LOWER(TRIM(A4796))</f>
        <v/>
      </c>
      <c r="C4796">
        <f>IF(B4796="","",IFERROR(INDEX('Bad Patterns'!$A$2:$A$120,MATCH(1,INDEX(--ISNUMBER(SEARCH('Bad Patterns'!$A$2:$A$120,B4796)),0),0)),""))</f>
        <v/>
      </c>
      <c r="D4796">
        <f>IF(B4796="","",IF(C4796&lt;&gt;"","REMOVE","KEEP"))</f>
        <v/>
      </c>
      <c r="E4796">
        <f>IF(D4796&lt;&gt;"KEEP","",IF(RIGHT(B4796,10)="@gmail.com","Gmail",IF(OR(RIGHT(B4796,12)="@outlook.com",RIGHT(B4796,12)="@hotmail.com",RIGHT(B4796,9)="@live.com"),"Outlook","Domain")))</f>
        <v/>
      </c>
      <c r="F4796">
        <f>IF(B4796="","",IFERROR(RIGHT(B4796,LEN(B4796)-FIND("@",B4796)),""))</f>
        <v/>
      </c>
      <c r="G4796">
        <f>IF(D4796="KEEP",COUNTIF($D$2:D4796,"KEEP"),"")</f>
        <v/>
      </c>
      <c r="H4796">
        <f>IF(D4796="REMOVE",COUNTIF($D$2:D4796,"REMOVE"),"")</f>
        <v/>
      </c>
      <c r="I4796">
        <f>IF(E4796="Gmail",COUNTIF($E$2:E4796,"Gmail"),"")</f>
        <v/>
      </c>
      <c r="J4796">
        <f>IF(E4796="Outlook",COUNTIF($E$2:E4796,"Outlook"),"")</f>
        <v/>
      </c>
      <c r="K4796">
        <f>IF(E4796="Domain",COUNTIF($E$2:E4796,"Domain"),"")</f>
        <v/>
      </c>
    </row>
    <row r="4797">
      <c r="A4797" s="2" t="n"/>
      <c r="B4797">
        <f>LOWER(TRIM(A4797))</f>
        <v/>
      </c>
      <c r="C4797">
        <f>IF(B4797="","",IFERROR(INDEX('Bad Patterns'!$A$2:$A$120,MATCH(1,INDEX(--ISNUMBER(SEARCH('Bad Patterns'!$A$2:$A$120,B4797)),0),0)),""))</f>
        <v/>
      </c>
      <c r="D4797">
        <f>IF(B4797="","",IF(C4797&lt;&gt;"","REMOVE","KEEP"))</f>
        <v/>
      </c>
      <c r="E4797">
        <f>IF(D4797&lt;&gt;"KEEP","",IF(RIGHT(B4797,10)="@gmail.com","Gmail",IF(OR(RIGHT(B4797,12)="@outlook.com",RIGHT(B4797,12)="@hotmail.com",RIGHT(B4797,9)="@live.com"),"Outlook","Domain")))</f>
        <v/>
      </c>
      <c r="F4797">
        <f>IF(B4797="","",IFERROR(RIGHT(B4797,LEN(B4797)-FIND("@",B4797)),""))</f>
        <v/>
      </c>
      <c r="G4797">
        <f>IF(D4797="KEEP",COUNTIF($D$2:D4797,"KEEP"),"")</f>
        <v/>
      </c>
      <c r="H4797">
        <f>IF(D4797="REMOVE",COUNTIF($D$2:D4797,"REMOVE"),"")</f>
        <v/>
      </c>
      <c r="I4797">
        <f>IF(E4797="Gmail",COUNTIF($E$2:E4797,"Gmail"),"")</f>
        <v/>
      </c>
      <c r="J4797">
        <f>IF(E4797="Outlook",COUNTIF($E$2:E4797,"Outlook"),"")</f>
        <v/>
      </c>
      <c r="K4797">
        <f>IF(E4797="Domain",COUNTIF($E$2:E4797,"Domain"),"")</f>
        <v/>
      </c>
    </row>
    <row r="4798">
      <c r="A4798" s="2" t="n"/>
      <c r="B4798">
        <f>LOWER(TRIM(A4798))</f>
        <v/>
      </c>
      <c r="C4798">
        <f>IF(B4798="","",IFERROR(INDEX('Bad Patterns'!$A$2:$A$120,MATCH(1,INDEX(--ISNUMBER(SEARCH('Bad Patterns'!$A$2:$A$120,B4798)),0),0)),""))</f>
        <v/>
      </c>
      <c r="D4798">
        <f>IF(B4798="","",IF(C4798&lt;&gt;"","REMOVE","KEEP"))</f>
        <v/>
      </c>
      <c r="E4798">
        <f>IF(D4798&lt;&gt;"KEEP","",IF(RIGHT(B4798,10)="@gmail.com","Gmail",IF(OR(RIGHT(B4798,12)="@outlook.com",RIGHT(B4798,12)="@hotmail.com",RIGHT(B4798,9)="@live.com"),"Outlook","Domain")))</f>
        <v/>
      </c>
      <c r="F4798">
        <f>IF(B4798="","",IFERROR(RIGHT(B4798,LEN(B4798)-FIND("@",B4798)),""))</f>
        <v/>
      </c>
      <c r="G4798">
        <f>IF(D4798="KEEP",COUNTIF($D$2:D4798,"KEEP"),"")</f>
        <v/>
      </c>
      <c r="H4798">
        <f>IF(D4798="REMOVE",COUNTIF($D$2:D4798,"REMOVE"),"")</f>
        <v/>
      </c>
      <c r="I4798">
        <f>IF(E4798="Gmail",COUNTIF($E$2:E4798,"Gmail"),"")</f>
        <v/>
      </c>
      <c r="J4798">
        <f>IF(E4798="Outlook",COUNTIF($E$2:E4798,"Outlook"),"")</f>
        <v/>
      </c>
      <c r="K4798">
        <f>IF(E4798="Domain",COUNTIF($E$2:E4798,"Domain"),"")</f>
        <v/>
      </c>
    </row>
    <row r="4799">
      <c r="A4799" s="2" t="n"/>
      <c r="B4799">
        <f>LOWER(TRIM(A4799))</f>
        <v/>
      </c>
      <c r="C4799">
        <f>IF(B4799="","",IFERROR(INDEX('Bad Patterns'!$A$2:$A$120,MATCH(1,INDEX(--ISNUMBER(SEARCH('Bad Patterns'!$A$2:$A$120,B4799)),0),0)),""))</f>
        <v/>
      </c>
      <c r="D4799">
        <f>IF(B4799="","",IF(C4799&lt;&gt;"","REMOVE","KEEP"))</f>
        <v/>
      </c>
      <c r="E4799">
        <f>IF(D4799&lt;&gt;"KEEP","",IF(RIGHT(B4799,10)="@gmail.com","Gmail",IF(OR(RIGHT(B4799,12)="@outlook.com",RIGHT(B4799,12)="@hotmail.com",RIGHT(B4799,9)="@live.com"),"Outlook","Domain")))</f>
        <v/>
      </c>
      <c r="F4799">
        <f>IF(B4799="","",IFERROR(RIGHT(B4799,LEN(B4799)-FIND("@",B4799)),""))</f>
        <v/>
      </c>
      <c r="G4799">
        <f>IF(D4799="KEEP",COUNTIF($D$2:D4799,"KEEP"),"")</f>
        <v/>
      </c>
      <c r="H4799">
        <f>IF(D4799="REMOVE",COUNTIF($D$2:D4799,"REMOVE"),"")</f>
        <v/>
      </c>
      <c r="I4799">
        <f>IF(E4799="Gmail",COUNTIF($E$2:E4799,"Gmail"),"")</f>
        <v/>
      </c>
      <c r="J4799">
        <f>IF(E4799="Outlook",COUNTIF($E$2:E4799,"Outlook"),"")</f>
        <v/>
      </c>
      <c r="K4799">
        <f>IF(E4799="Domain",COUNTIF($E$2:E4799,"Domain"),"")</f>
        <v/>
      </c>
    </row>
    <row r="4800">
      <c r="A4800" s="2" t="n"/>
      <c r="B4800">
        <f>LOWER(TRIM(A4800))</f>
        <v/>
      </c>
      <c r="C4800">
        <f>IF(B4800="","",IFERROR(INDEX('Bad Patterns'!$A$2:$A$120,MATCH(1,INDEX(--ISNUMBER(SEARCH('Bad Patterns'!$A$2:$A$120,B4800)),0),0)),""))</f>
        <v/>
      </c>
      <c r="D4800">
        <f>IF(B4800="","",IF(C4800&lt;&gt;"","REMOVE","KEEP"))</f>
        <v/>
      </c>
      <c r="E4800">
        <f>IF(D4800&lt;&gt;"KEEP","",IF(RIGHT(B4800,10)="@gmail.com","Gmail",IF(OR(RIGHT(B4800,12)="@outlook.com",RIGHT(B4800,12)="@hotmail.com",RIGHT(B4800,9)="@live.com"),"Outlook","Domain")))</f>
        <v/>
      </c>
      <c r="F4800">
        <f>IF(B4800="","",IFERROR(RIGHT(B4800,LEN(B4800)-FIND("@",B4800)),""))</f>
        <v/>
      </c>
      <c r="G4800">
        <f>IF(D4800="KEEP",COUNTIF($D$2:D4800,"KEEP"),"")</f>
        <v/>
      </c>
      <c r="H4800">
        <f>IF(D4800="REMOVE",COUNTIF($D$2:D4800,"REMOVE"),"")</f>
        <v/>
      </c>
      <c r="I4800">
        <f>IF(E4800="Gmail",COUNTIF($E$2:E4800,"Gmail"),"")</f>
        <v/>
      </c>
      <c r="J4800">
        <f>IF(E4800="Outlook",COUNTIF($E$2:E4800,"Outlook"),"")</f>
        <v/>
      </c>
      <c r="K4800">
        <f>IF(E4800="Domain",COUNTIF($E$2:E4800,"Domain"),"")</f>
        <v/>
      </c>
    </row>
    <row r="4801">
      <c r="A4801" s="2" t="n"/>
      <c r="B4801">
        <f>LOWER(TRIM(A4801))</f>
        <v/>
      </c>
      <c r="C4801">
        <f>IF(B4801="","",IFERROR(INDEX('Bad Patterns'!$A$2:$A$120,MATCH(1,INDEX(--ISNUMBER(SEARCH('Bad Patterns'!$A$2:$A$120,B4801)),0),0)),""))</f>
        <v/>
      </c>
      <c r="D4801">
        <f>IF(B4801="","",IF(C4801&lt;&gt;"","REMOVE","KEEP"))</f>
        <v/>
      </c>
      <c r="E4801">
        <f>IF(D4801&lt;&gt;"KEEP","",IF(RIGHT(B4801,10)="@gmail.com","Gmail",IF(OR(RIGHT(B4801,12)="@outlook.com",RIGHT(B4801,12)="@hotmail.com",RIGHT(B4801,9)="@live.com"),"Outlook","Domain")))</f>
        <v/>
      </c>
      <c r="F4801">
        <f>IF(B4801="","",IFERROR(RIGHT(B4801,LEN(B4801)-FIND("@",B4801)),""))</f>
        <v/>
      </c>
      <c r="G4801">
        <f>IF(D4801="KEEP",COUNTIF($D$2:D4801,"KEEP"),"")</f>
        <v/>
      </c>
      <c r="H4801">
        <f>IF(D4801="REMOVE",COUNTIF($D$2:D4801,"REMOVE"),"")</f>
        <v/>
      </c>
      <c r="I4801">
        <f>IF(E4801="Gmail",COUNTIF($E$2:E4801,"Gmail"),"")</f>
        <v/>
      </c>
      <c r="J4801">
        <f>IF(E4801="Outlook",COUNTIF($E$2:E4801,"Outlook"),"")</f>
        <v/>
      </c>
      <c r="K4801">
        <f>IF(E4801="Domain",COUNTIF($E$2:E4801,"Domain"),"")</f>
        <v/>
      </c>
    </row>
    <row r="4802">
      <c r="A4802" s="2" t="n"/>
      <c r="B4802">
        <f>LOWER(TRIM(A4802))</f>
        <v/>
      </c>
      <c r="C4802">
        <f>IF(B4802="","",IFERROR(INDEX('Bad Patterns'!$A$2:$A$120,MATCH(1,INDEX(--ISNUMBER(SEARCH('Bad Patterns'!$A$2:$A$120,B4802)),0),0)),""))</f>
        <v/>
      </c>
      <c r="D4802">
        <f>IF(B4802="","",IF(C4802&lt;&gt;"","REMOVE","KEEP"))</f>
        <v/>
      </c>
      <c r="E4802">
        <f>IF(D4802&lt;&gt;"KEEP","",IF(RIGHT(B4802,10)="@gmail.com","Gmail",IF(OR(RIGHT(B4802,12)="@outlook.com",RIGHT(B4802,12)="@hotmail.com",RIGHT(B4802,9)="@live.com"),"Outlook","Domain")))</f>
        <v/>
      </c>
      <c r="F4802">
        <f>IF(B4802="","",IFERROR(RIGHT(B4802,LEN(B4802)-FIND("@",B4802)),""))</f>
        <v/>
      </c>
      <c r="G4802">
        <f>IF(D4802="KEEP",COUNTIF($D$2:D4802,"KEEP"),"")</f>
        <v/>
      </c>
      <c r="H4802">
        <f>IF(D4802="REMOVE",COUNTIF($D$2:D4802,"REMOVE"),"")</f>
        <v/>
      </c>
      <c r="I4802">
        <f>IF(E4802="Gmail",COUNTIF($E$2:E4802,"Gmail"),"")</f>
        <v/>
      </c>
      <c r="J4802">
        <f>IF(E4802="Outlook",COUNTIF($E$2:E4802,"Outlook"),"")</f>
        <v/>
      </c>
      <c r="K4802">
        <f>IF(E4802="Domain",COUNTIF($E$2:E4802,"Domain"),"")</f>
        <v/>
      </c>
    </row>
    <row r="4803">
      <c r="A4803" s="2" t="n"/>
      <c r="B4803">
        <f>LOWER(TRIM(A4803))</f>
        <v/>
      </c>
      <c r="C4803">
        <f>IF(B4803="","",IFERROR(INDEX('Bad Patterns'!$A$2:$A$120,MATCH(1,INDEX(--ISNUMBER(SEARCH('Bad Patterns'!$A$2:$A$120,B4803)),0),0)),""))</f>
        <v/>
      </c>
      <c r="D4803">
        <f>IF(B4803="","",IF(C4803&lt;&gt;"","REMOVE","KEEP"))</f>
        <v/>
      </c>
      <c r="E4803">
        <f>IF(D4803&lt;&gt;"KEEP","",IF(RIGHT(B4803,10)="@gmail.com","Gmail",IF(OR(RIGHT(B4803,12)="@outlook.com",RIGHT(B4803,12)="@hotmail.com",RIGHT(B4803,9)="@live.com"),"Outlook","Domain")))</f>
        <v/>
      </c>
      <c r="F4803">
        <f>IF(B4803="","",IFERROR(RIGHT(B4803,LEN(B4803)-FIND("@",B4803)),""))</f>
        <v/>
      </c>
      <c r="G4803">
        <f>IF(D4803="KEEP",COUNTIF($D$2:D4803,"KEEP"),"")</f>
        <v/>
      </c>
      <c r="H4803">
        <f>IF(D4803="REMOVE",COUNTIF($D$2:D4803,"REMOVE"),"")</f>
        <v/>
      </c>
      <c r="I4803">
        <f>IF(E4803="Gmail",COUNTIF($E$2:E4803,"Gmail"),"")</f>
        <v/>
      </c>
      <c r="J4803">
        <f>IF(E4803="Outlook",COUNTIF($E$2:E4803,"Outlook"),"")</f>
        <v/>
      </c>
      <c r="K4803">
        <f>IF(E4803="Domain",COUNTIF($E$2:E4803,"Domain"),"")</f>
        <v/>
      </c>
    </row>
    <row r="4804">
      <c r="A4804" s="2" t="n"/>
      <c r="B4804">
        <f>LOWER(TRIM(A4804))</f>
        <v/>
      </c>
      <c r="C4804">
        <f>IF(B4804="","",IFERROR(INDEX('Bad Patterns'!$A$2:$A$120,MATCH(1,INDEX(--ISNUMBER(SEARCH('Bad Patterns'!$A$2:$A$120,B4804)),0),0)),""))</f>
        <v/>
      </c>
      <c r="D4804">
        <f>IF(B4804="","",IF(C4804&lt;&gt;"","REMOVE","KEEP"))</f>
        <v/>
      </c>
      <c r="E4804">
        <f>IF(D4804&lt;&gt;"KEEP","",IF(RIGHT(B4804,10)="@gmail.com","Gmail",IF(OR(RIGHT(B4804,12)="@outlook.com",RIGHT(B4804,12)="@hotmail.com",RIGHT(B4804,9)="@live.com"),"Outlook","Domain")))</f>
        <v/>
      </c>
      <c r="F4804">
        <f>IF(B4804="","",IFERROR(RIGHT(B4804,LEN(B4804)-FIND("@",B4804)),""))</f>
        <v/>
      </c>
      <c r="G4804">
        <f>IF(D4804="KEEP",COUNTIF($D$2:D4804,"KEEP"),"")</f>
        <v/>
      </c>
      <c r="H4804">
        <f>IF(D4804="REMOVE",COUNTIF($D$2:D4804,"REMOVE"),"")</f>
        <v/>
      </c>
      <c r="I4804">
        <f>IF(E4804="Gmail",COUNTIF($E$2:E4804,"Gmail"),"")</f>
        <v/>
      </c>
      <c r="J4804">
        <f>IF(E4804="Outlook",COUNTIF($E$2:E4804,"Outlook"),"")</f>
        <v/>
      </c>
      <c r="K4804">
        <f>IF(E4804="Domain",COUNTIF($E$2:E4804,"Domain"),"")</f>
        <v/>
      </c>
    </row>
    <row r="4805">
      <c r="A4805" s="2" t="n"/>
      <c r="B4805">
        <f>LOWER(TRIM(A4805))</f>
        <v/>
      </c>
      <c r="C4805">
        <f>IF(B4805="","",IFERROR(INDEX('Bad Patterns'!$A$2:$A$120,MATCH(1,INDEX(--ISNUMBER(SEARCH('Bad Patterns'!$A$2:$A$120,B4805)),0),0)),""))</f>
        <v/>
      </c>
      <c r="D4805">
        <f>IF(B4805="","",IF(C4805&lt;&gt;"","REMOVE","KEEP"))</f>
        <v/>
      </c>
      <c r="E4805">
        <f>IF(D4805&lt;&gt;"KEEP","",IF(RIGHT(B4805,10)="@gmail.com","Gmail",IF(OR(RIGHT(B4805,12)="@outlook.com",RIGHT(B4805,12)="@hotmail.com",RIGHT(B4805,9)="@live.com"),"Outlook","Domain")))</f>
        <v/>
      </c>
      <c r="F4805">
        <f>IF(B4805="","",IFERROR(RIGHT(B4805,LEN(B4805)-FIND("@",B4805)),""))</f>
        <v/>
      </c>
      <c r="G4805">
        <f>IF(D4805="KEEP",COUNTIF($D$2:D4805,"KEEP"),"")</f>
        <v/>
      </c>
      <c r="H4805">
        <f>IF(D4805="REMOVE",COUNTIF($D$2:D4805,"REMOVE"),"")</f>
        <v/>
      </c>
      <c r="I4805">
        <f>IF(E4805="Gmail",COUNTIF($E$2:E4805,"Gmail"),"")</f>
        <v/>
      </c>
      <c r="J4805">
        <f>IF(E4805="Outlook",COUNTIF($E$2:E4805,"Outlook"),"")</f>
        <v/>
      </c>
      <c r="K4805">
        <f>IF(E4805="Domain",COUNTIF($E$2:E4805,"Domain"),"")</f>
        <v/>
      </c>
    </row>
    <row r="4806">
      <c r="A4806" s="2" t="n"/>
      <c r="B4806">
        <f>LOWER(TRIM(A4806))</f>
        <v/>
      </c>
      <c r="C4806">
        <f>IF(B4806="","",IFERROR(INDEX('Bad Patterns'!$A$2:$A$120,MATCH(1,INDEX(--ISNUMBER(SEARCH('Bad Patterns'!$A$2:$A$120,B4806)),0),0)),""))</f>
        <v/>
      </c>
      <c r="D4806">
        <f>IF(B4806="","",IF(C4806&lt;&gt;"","REMOVE","KEEP"))</f>
        <v/>
      </c>
      <c r="E4806">
        <f>IF(D4806&lt;&gt;"KEEP","",IF(RIGHT(B4806,10)="@gmail.com","Gmail",IF(OR(RIGHT(B4806,12)="@outlook.com",RIGHT(B4806,12)="@hotmail.com",RIGHT(B4806,9)="@live.com"),"Outlook","Domain")))</f>
        <v/>
      </c>
      <c r="F4806">
        <f>IF(B4806="","",IFERROR(RIGHT(B4806,LEN(B4806)-FIND("@",B4806)),""))</f>
        <v/>
      </c>
      <c r="G4806">
        <f>IF(D4806="KEEP",COUNTIF($D$2:D4806,"KEEP"),"")</f>
        <v/>
      </c>
      <c r="H4806">
        <f>IF(D4806="REMOVE",COUNTIF($D$2:D4806,"REMOVE"),"")</f>
        <v/>
      </c>
      <c r="I4806">
        <f>IF(E4806="Gmail",COUNTIF($E$2:E4806,"Gmail"),"")</f>
        <v/>
      </c>
      <c r="J4806">
        <f>IF(E4806="Outlook",COUNTIF($E$2:E4806,"Outlook"),"")</f>
        <v/>
      </c>
      <c r="K4806">
        <f>IF(E4806="Domain",COUNTIF($E$2:E4806,"Domain"),"")</f>
        <v/>
      </c>
    </row>
    <row r="4807">
      <c r="A4807" s="2" t="n"/>
      <c r="B4807">
        <f>LOWER(TRIM(A4807))</f>
        <v/>
      </c>
      <c r="C4807">
        <f>IF(B4807="","",IFERROR(INDEX('Bad Patterns'!$A$2:$A$120,MATCH(1,INDEX(--ISNUMBER(SEARCH('Bad Patterns'!$A$2:$A$120,B4807)),0),0)),""))</f>
        <v/>
      </c>
      <c r="D4807">
        <f>IF(B4807="","",IF(C4807&lt;&gt;"","REMOVE","KEEP"))</f>
        <v/>
      </c>
      <c r="E4807">
        <f>IF(D4807&lt;&gt;"KEEP","",IF(RIGHT(B4807,10)="@gmail.com","Gmail",IF(OR(RIGHT(B4807,12)="@outlook.com",RIGHT(B4807,12)="@hotmail.com",RIGHT(B4807,9)="@live.com"),"Outlook","Domain")))</f>
        <v/>
      </c>
      <c r="F4807">
        <f>IF(B4807="","",IFERROR(RIGHT(B4807,LEN(B4807)-FIND("@",B4807)),""))</f>
        <v/>
      </c>
      <c r="G4807">
        <f>IF(D4807="KEEP",COUNTIF($D$2:D4807,"KEEP"),"")</f>
        <v/>
      </c>
      <c r="H4807">
        <f>IF(D4807="REMOVE",COUNTIF($D$2:D4807,"REMOVE"),"")</f>
        <v/>
      </c>
      <c r="I4807">
        <f>IF(E4807="Gmail",COUNTIF($E$2:E4807,"Gmail"),"")</f>
        <v/>
      </c>
      <c r="J4807">
        <f>IF(E4807="Outlook",COUNTIF($E$2:E4807,"Outlook"),"")</f>
        <v/>
      </c>
      <c r="K4807">
        <f>IF(E4807="Domain",COUNTIF($E$2:E4807,"Domain"),"")</f>
        <v/>
      </c>
    </row>
    <row r="4808">
      <c r="A4808" s="2" t="n"/>
      <c r="B4808">
        <f>LOWER(TRIM(A4808))</f>
        <v/>
      </c>
      <c r="C4808">
        <f>IF(B4808="","",IFERROR(INDEX('Bad Patterns'!$A$2:$A$120,MATCH(1,INDEX(--ISNUMBER(SEARCH('Bad Patterns'!$A$2:$A$120,B4808)),0),0)),""))</f>
        <v/>
      </c>
      <c r="D4808">
        <f>IF(B4808="","",IF(C4808&lt;&gt;"","REMOVE","KEEP"))</f>
        <v/>
      </c>
      <c r="E4808">
        <f>IF(D4808&lt;&gt;"KEEP","",IF(RIGHT(B4808,10)="@gmail.com","Gmail",IF(OR(RIGHT(B4808,12)="@outlook.com",RIGHT(B4808,12)="@hotmail.com",RIGHT(B4808,9)="@live.com"),"Outlook","Domain")))</f>
        <v/>
      </c>
      <c r="F4808">
        <f>IF(B4808="","",IFERROR(RIGHT(B4808,LEN(B4808)-FIND("@",B4808)),""))</f>
        <v/>
      </c>
      <c r="G4808">
        <f>IF(D4808="KEEP",COUNTIF($D$2:D4808,"KEEP"),"")</f>
        <v/>
      </c>
      <c r="H4808">
        <f>IF(D4808="REMOVE",COUNTIF($D$2:D4808,"REMOVE"),"")</f>
        <v/>
      </c>
      <c r="I4808">
        <f>IF(E4808="Gmail",COUNTIF($E$2:E4808,"Gmail"),"")</f>
        <v/>
      </c>
      <c r="J4808">
        <f>IF(E4808="Outlook",COUNTIF($E$2:E4808,"Outlook"),"")</f>
        <v/>
      </c>
      <c r="K4808">
        <f>IF(E4808="Domain",COUNTIF($E$2:E4808,"Domain"),"")</f>
        <v/>
      </c>
    </row>
    <row r="4809">
      <c r="A4809" s="2" t="n"/>
      <c r="B4809">
        <f>LOWER(TRIM(A4809))</f>
        <v/>
      </c>
      <c r="C4809">
        <f>IF(B4809="","",IFERROR(INDEX('Bad Patterns'!$A$2:$A$120,MATCH(1,INDEX(--ISNUMBER(SEARCH('Bad Patterns'!$A$2:$A$120,B4809)),0),0)),""))</f>
        <v/>
      </c>
      <c r="D4809">
        <f>IF(B4809="","",IF(C4809&lt;&gt;"","REMOVE","KEEP"))</f>
        <v/>
      </c>
      <c r="E4809">
        <f>IF(D4809&lt;&gt;"KEEP","",IF(RIGHT(B4809,10)="@gmail.com","Gmail",IF(OR(RIGHT(B4809,12)="@outlook.com",RIGHT(B4809,12)="@hotmail.com",RIGHT(B4809,9)="@live.com"),"Outlook","Domain")))</f>
        <v/>
      </c>
      <c r="F4809">
        <f>IF(B4809="","",IFERROR(RIGHT(B4809,LEN(B4809)-FIND("@",B4809)),""))</f>
        <v/>
      </c>
      <c r="G4809">
        <f>IF(D4809="KEEP",COUNTIF($D$2:D4809,"KEEP"),"")</f>
        <v/>
      </c>
      <c r="H4809">
        <f>IF(D4809="REMOVE",COUNTIF($D$2:D4809,"REMOVE"),"")</f>
        <v/>
      </c>
      <c r="I4809">
        <f>IF(E4809="Gmail",COUNTIF($E$2:E4809,"Gmail"),"")</f>
        <v/>
      </c>
      <c r="J4809">
        <f>IF(E4809="Outlook",COUNTIF($E$2:E4809,"Outlook"),"")</f>
        <v/>
      </c>
      <c r="K4809">
        <f>IF(E4809="Domain",COUNTIF($E$2:E4809,"Domain"),"")</f>
        <v/>
      </c>
    </row>
    <row r="4810">
      <c r="A4810" s="2" t="n"/>
      <c r="B4810">
        <f>LOWER(TRIM(A4810))</f>
        <v/>
      </c>
      <c r="C4810">
        <f>IF(B4810="","",IFERROR(INDEX('Bad Patterns'!$A$2:$A$120,MATCH(1,INDEX(--ISNUMBER(SEARCH('Bad Patterns'!$A$2:$A$120,B4810)),0),0)),""))</f>
        <v/>
      </c>
      <c r="D4810">
        <f>IF(B4810="","",IF(C4810&lt;&gt;"","REMOVE","KEEP"))</f>
        <v/>
      </c>
      <c r="E4810">
        <f>IF(D4810&lt;&gt;"KEEP","",IF(RIGHT(B4810,10)="@gmail.com","Gmail",IF(OR(RIGHT(B4810,12)="@outlook.com",RIGHT(B4810,12)="@hotmail.com",RIGHT(B4810,9)="@live.com"),"Outlook","Domain")))</f>
        <v/>
      </c>
      <c r="F4810">
        <f>IF(B4810="","",IFERROR(RIGHT(B4810,LEN(B4810)-FIND("@",B4810)),""))</f>
        <v/>
      </c>
      <c r="G4810">
        <f>IF(D4810="KEEP",COUNTIF($D$2:D4810,"KEEP"),"")</f>
        <v/>
      </c>
      <c r="H4810">
        <f>IF(D4810="REMOVE",COUNTIF($D$2:D4810,"REMOVE"),"")</f>
        <v/>
      </c>
      <c r="I4810">
        <f>IF(E4810="Gmail",COUNTIF($E$2:E4810,"Gmail"),"")</f>
        <v/>
      </c>
      <c r="J4810">
        <f>IF(E4810="Outlook",COUNTIF($E$2:E4810,"Outlook"),"")</f>
        <v/>
      </c>
      <c r="K4810">
        <f>IF(E4810="Domain",COUNTIF($E$2:E4810,"Domain"),"")</f>
        <v/>
      </c>
    </row>
    <row r="4811">
      <c r="A4811" s="2" t="n"/>
      <c r="B4811">
        <f>LOWER(TRIM(A4811))</f>
        <v/>
      </c>
      <c r="C4811">
        <f>IF(B4811="","",IFERROR(INDEX('Bad Patterns'!$A$2:$A$120,MATCH(1,INDEX(--ISNUMBER(SEARCH('Bad Patterns'!$A$2:$A$120,B4811)),0),0)),""))</f>
        <v/>
      </c>
      <c r="D4811">
        <f>IF(B4811="","",IF(C4811&lt;&gt;"","REMOVE","KEEP"))</f>
        <v/>
      </c>
      <c r="E4811">
        <f>IF(D4811&lt;&gt;"KEEP","",IF(RIGHT(B4811,10)="@gmail.com","Gmail",IF(OR(RIGHT(B4811,12)="@outlook.com",RIGHT(B4811,12)="@hotmail.com",RIGHT(B4811,9)="@live.com"),"Outlook","Domain")))</f>
        <v/>
      </c>
      <c r="F4811">
        <f>IF(B4811="","",IFERROR(RIGHT(B4811,LEN(B4811)-FIND("@",B4811)),""))</f>
        <v/>
      </c>
      <c r="G4811">
        <f>IF(D4811="KEEP",COUNTIF($D$2:D4811,"KEEP"),"")</f>
        <v/>
      </c>
      <c r="H4811">
        <f>IF(D4811="REMOVE",COUNTIF($D$2:D4811,"REMOVE"),"")</f>
        <v/>
      </c>
      <c r="I4811">
        <f>IF(E4811="Gmail",COUNTIF($E$2:E4811,"Gmail"),"")</f>
        <v/>
      </c>
      <c r="J4811">
        <f>IF(E4811="Outlook",COUNTIF($E$2:E4811,"Outlook"),"")</f>
        <v/>
      </c>
      <c r="K4811">
        <f>IF(E4811="Domain",COUNTIF($E$2:E4811,"Domain"),"")</f>
        <v/>
      </c>
    </row>
    <row r="4812">
      <c r="A4812" s="2" t="n"/>
      <c r="B4812">
        <f>LOWER(TRIM(A4812))</f>
        <v/>
      </c>
      <c r="C4812">
        <f>IF(B4812="","",IFERROR(INDEX('Bad Patterns'!$A$2:$A$120,MATCH(1,INDEX(--ISNUMBER(SEARCH('Bad Patterns'!$A$2:$A$120,B4812)),0),0)),""))</f>
        <v/>
      </c>
      <c r="D4812">
        <f>IF(B4812="","",IF(C4812&lt;&gt;"","REMOVE","KEEP"))</f>
        <v/>
      </c>
      <c r="E4812">
        <f>IF(D4812&lt;&gt;"KEEP","",IF(RIGHT(B4812,10)="@gmail.com","Gmail",IF(OR(RIGHT(B4812,12)="@outlook.com",RIGHT(B4812,12)="@hotmail.com",RIGHT(B4812,9)="@live.com"),"Outlook","Domain")))</f>
        <v/>
      </c>
      <c r="F4812">
        <f>IF(B4812="","",IFERROR(RIGHT(B4812,LEN(B4812)-FIND("@",B4812)),""))</f>
        <v/>
      </c>
      <c r="G4812">
        <f>IF(D4812="KEEP",COUNTIF($D$2:D4812,"KEEP"),"")</f>
        <v/>
      </c>
      <c r="H4812">
        <f>IF(D4812="REMOVE",COUNTIF($D$2:D4812,"REMOVE"),"")</f>
        <v/>
      </c>
      <c r="I4812">
        <f>IF(E4812="Gmail",COUNTIF($E$2:E4812,"Gmail"),"")</f>
        <v/>
      </c>
      <c r="J4812">
        <f>IF(E4812="Outlook",COUNTIF($E$2:E4812,"Outlook"),"")</f>
        <v/>
      </c>
      <c r="K4812">
        <f>IF(E4812="Domain",COUNTIF($E$2:E4812,"Domain"),"")</f>
        <v/>
      </c>
    </row>
    <row r="4813">
      <c r="A4813" s="2" t="n"/>
      <c r="B4813">
        <f>LOWER(TRIM(A4813))</f>
        <v/>
      </c>
      <c r="C4813">
        <f>IF(B4813="","",IFERROR(INDEX('Bad Patterns'!$A$2:$A$120,MATCH(1,INDEX(--ISNUMBER(SEARCH('Bad Patterns'!$A$2:$A$120,B4813)),0),0)),""))</f>
        <v/>
      </c>
      <c r="D4813">
        <f>IF(B4813="","",IF(C4813&lt;&gt;"","REMOVE","KEEP"))</f>
        <v/>
      </c>
      <c r="E4813">
        <f>IF(D4813&lt;&gt;"KEEP","",IF(RIGHT(B4813,10)="@gmail.com","Gmail",IF(OR(RIGHT(B4813,12)="@outlook.com",RIGHT(B4813,12)="@hotmail.com",RIGHT(B4813,9)="@live.com"),"Outlook","Domain")))</f>
        <v/>
      </c>
      <c r="F4813">
        <f>IF(B4813="","",IFERROR(RIGHT(B4813,LEN(B4813)-FIND("@",B4813)),""))</f>
        <v/>
      </c>
      <c r="G4813">
        <f>IF(D4813="KEEP",COUNTIF($D$2:D4813,"KEEP"),"")</f>
        <v/>
      </c>
      <c r="H4813">
        <f>IF(D4813="REMOVE",COUNTIF($D$2:D4813,"REMOVE"),"")</f>
        <v/>
      </c>
      <c r="I4813">
        <f>IF(E4813="Gmail",COUNTIF($E$2:E4813,"Gmail"),"")</f>
        <v/>
      </c>
      <c r="J4813">
        <f>IF(E4813="Outlook",COUNTIF($E$2:E4813,"Outlook"),"")</f>
        <v/>
      </c>
      <c r="K4813">
        <f>IF(E4813="Domain",COUNTIF($E$2:E4813,"Domain"),"")</f>
        <v/>
      </c>
    </row>
    <row r="4814">
      <c r="A4814" s="2" t="n"/>
      <c r="B4814">
        <f>LOWER(TRIM(A4814))</f>
        <v/>
      </c>
      <c r="C4814">
        <f>IF(B4814="","",IFERROR(INDEX('Bad Patterns'!$A$2:$A$120,MATCH(1,INDEX(--ISNUMBER(SEARCH('Bad Patterns'!$A$2:$A$120,B4814)),0),0)),""))</f>
        <v/>
      </c>
      <c r="D4814">
        <f>IF(B4814="","",IF(C4814&lt;&gt;"","REMOVE","KEEP"))</f>
        <v/>
      </c>
      <c r="E4814">
        <f>IF(D4814&lt;&gt;"KEEP","",IF(RIGHT(B4814,10)="@gmail.com","Gmail",IF(OR(RIGHT(B4814,12)="@outlook.com",RIGHT(B4814,12)="@hotmail.com",RIGHT(B4814,9)="@live.com"),"Outlook","Domain")))</f>
        <v/>
      </c>
      <c r="F4814">
        <f>IF(B4814="","",IFERROR(RIGHT(B4814,LEN(B4814)-FIND("@",B4814)),""))</f>
        <v/>
      </c>
      <c r="G4814">
        <f>IF(D4814="KEEP",COUNTIF($D$2:D4814,"KEEP"),"")</f>
        <v/>
      </c>
      <c r="H4814">
        <f>IF(D4814="REMOVE",COUNTIF($D$2:D4814,"REMOVE"),"")</f>
        <v/>
      </c>
      <c r="I4814">
        <f>IF(E4814="Gmail",COUNTIF($E$2:E4814,"Gmail"),"")</f>
        <v/>
      </c>
      <c r="J4814">
        <f>IF(E4814="Outlook",COUNTIF($E$2:E4814,"Outlook"),"")</f>
        <v/>
      </c>
      <c r="K4814">
        <f>IF(E4814="Domain",COUNTIF($E$2:E4814,"Domain"),"")</f>
        <v/>
      </c>
    </row>
    <row r="4815">
      <c r="A4815" s="2" t="n"/>
      <c r="B4815">
        <f>LOWER(TRIM(A4815))</f>
        <v/>
      </c>
      <c r="C4815">
        <f>IF(B4815="","",IFERROR(INDEX('Bad Patterns'!$A$2:$A$120,MATCH(1,INDEX(--ISNUMBER(SEARCH('Bad Patterns'!$A$2:$A$120,B4815)),0),0)),""))</f>
        <v/>
      </c>
      <c r="D4815">
        <f>IF(B4815="","",IF(C4815&lt;&gt;"","REMOVE","KEEP"))</f>
        <v/>
      </c>
      <c r="E4815">
        <f>IF(D4815&lt;&gt;"KEEP","",IF(RIGHT(B4815,10)="@gmail.com","Gmail",IF(OR(RIGHT(B4815,12)="@outlook.com",RIGHT(B4815,12)="@hotmail.com",RIGHT(B4815,9)="@live.com"),"Outlook","Domain")))</f>
        <v/>
      </c>
      <c r="F4815">
        <f>IF(B4815="","",IFERROR(RIGHT(B4815,LEN(B4815)-FIND("@",B4815)),""))</f>
        <v/>
      </c>
      <c r="G4815">
        <f>IF(D4815="KEEP",COUNTIF($D$2:D4815,"KEEP"),"")</f>
        <v/>
      </c>
      <c r="H4815">
        <f>IF(D4815="REMOVE",COUNTIF($D$2:D4815,"REMOVE"),"")</f>
        <v/>
      </c>
      <c r="I4815">
        <f>IF(E4815="Gmail",COUNTIF($E$2:E4815,"Gmail"),"")</f>
        <v/>
      </c>
      <c r="J4815">
        <f>IF(E4815="Outlook",COUNTIF($E$2:E4815,"Outlook"),"")</f>
        <v/>
      </c>
      <c r="K4815">
        <f>IF(E4815="Domain",COUNTIF($E$2:E4815,"Domain"),"")</f>
        <v/>
      </c>
    </row>
    <row r="4816">
      <c r="A4816" s="2" t="n"/>
      <c r="B4816">
        <f>LOWER(TRIM(A4816))</f>
        <v/>
      </c>
      <c r="C4816">
        <f>IF(B4816="","",IFERROR(INDEX('Bad Patterns'!$A$2:$A$120,MATCH(1,INDEX(--ISNUMBER(SEARCH('Bad Patterns'!$A$2:$A$120,B4816)),0),0)),""))</f>
        <v/>
      </c>
      <c r="D4816">
        <f>IF(B4816="","",IF(C4816&lt;&gt;"","REMOVE","KEEP"))</f>
        <v/>
      </c>
      <c r="E4816">
        <f>IF(D4816&lt;&gt;"KEEP","",IF(RIGHT(B4816,10)="@gmail.com","Gmail",IF(OR(RIGHT(B4816,12)="@outlook.com",RIGHT(B4816,12)="@hotmail.com",RIGHT(B4816,9)="@live.com"),"Outlook","Domain")))</f>
        <v/>
      </c>
      <c r="F4816">
        <f>IF(B4816="","",IFERROR(RIGHT(B4816,LEN(B4816)-FIND("@",B4816)),""))</f>
        <v/>
      </c>
      <c r="G4816">
        <f>IF(D4816="KEEP",COUNTIF($D$2:D4816,"KEEP"),"")</f>
        <v/>
      </c>
      <c r="H4816">
        <f>IF(D4816="REMOVE",COUNTIF($D$2:D4816,"REMOVE"),"")</f>
        <v/>
      </c>
      <c r="I4816">
        <f>IF(E4816="Gmail",COUNTIF($E$2:E4816,"Gmail"),"")</f>
        <v/>
      </c>
      <c r="J4816">
        <f>IF(E4816="Outlook",COUNTIF($E$2:E4816,"Outlook"),"")</f>
        <v/>
      </c>
      <c r="K4816">
        <f>IF(E4816="Domain",COUNTIF($E$2:E4816,"Domain"),"")</f>
        <v/>
      </c>
    </row>
    <row r="4817">
      <c r="A4817" s="2" t="n"/>
      <c r="B4817">
        <f>LOWER(TRIM(A4817))</f>
        <v/>
      </c>
      <c r="C4817">
        <f>IF(B4817="","",IFERROR(INDEX('Bad Patterns'!$A$2:$A$120,MATCH(1,INDEX(--ISNUMBER(SEARCH('Bad Patterns'!$A$2:$A$120,B4817)),0),0)),""))</f>
        <v/>
      </c>
      <c r="D4817">
        <f>IF(B4817="","",IF(C4817&lt;&gt;"","REMOVE","KEEP"))</f>
        <v/>
      </c>
      <c r="E4817">
        <f>IF(D4817&lt;&gt;"KEEP","",IF(RIGHT(B4817,10)="@gmail.com","Gmail",IF(OR(RIGHT(B4817,12)="@outlook.com",RIGHT(B4817,12)="@hotmail.com",RIGHT(B4817,9)="@live.com"),"Outlook","Domain")))</f>
        <v/>
      </c>
      <c r="F4817">
        <f>IF(B4817="","",IFERROR(RIGHT(B4817,LEN(B4817)-FIND("@",B4817)),""))</f>
        <v/>
      </c>
      <c r="G4817">
        <f>IF(D4817="KEEP",COUNTIF($D$2:D4817,"KEEP"),"")</f>
        <v/>
      </c>
      <c r="H4817">
        <f>IF(D4817="REMOVE",COUNTIF($D$2:D4817,"REMOVE"),"")</f>
        <v/>
      </c>
      <c r="I4817">
        <f>IF(E4817="Gmail",COUNTIF($E$2:E4817,"Gmail"),"")</f>
        <v/>
      </c>
      <c r="J4817">
        <f>IF(E4817="Outlook",COUNTIF($E$2:E4817,"Outlook"),"")</f>
        <v/>
      </c>
      <c r="K4817">
        <f>IF(E4817="Domain",COUNTIF($E$2:E4817,"Domain"),"")</f>
        <v/>
      </c>
    </row>
    <row r="4818">
      <c r="A4818" s="2" t="n"/>
      <c r="B4818">
        <f>LOWER(TRIM(A4818))</f>
        <v/>
      </c>
      <c r="C4818">
        <f>IF(B4818="","",IFERROR(INDEX('Bad Patterns'!$A$2:$A$120,MATCH(1,INDEX(--ISNUMBER(SEARCH('Bad Patterns'!$A$2:$A$120,B4818)),0),0)),""))</f>
        <v/>
      </c>
      <c r="D4818">
        <f>IF(B4818="","",IF(C4818&lt;&gt;"","REMOVE","KEEP"))</f>
        <v/>
      </c>
      <c r="E4818">
        <f>IF(D4818&lt;&gt;"KEEP","",IF(RIGHT(B4818,10)="@gmail.com","Gmail",IF(OR(RIGHT(B4818,12)="@outlook.com",RIGHT(B4818,12)="@hotmail.com",RIGHT(B4818,9)="@live.com"),"Outlook","Domain")))</f>
        <v/>
      </c>
      <c r="F4818">
        <f>IF(B4818="","",IFERROR(RIGHT(B4818,LEN(B4818)-FIND("@",B4818)),""))</f>
        <v/>
      </c>
      <c r="G4818">
        <f>IF(D4818="KEEP",COUNTIF($D$2:D4818,"KEEP"),"")</f>
        <v/>
      </c>
      <c r="H4818">
        <f>IF(D4818="REMOVE",COUNTIF($D$2:D4818,"REMOVE"),"")</f>
        <v/>
      </c>
      <c r="I4818">
        <f>IF(E4818="Gmail",COUNTIF($E$2:E4818,"Gmail"),"")</f>
        <v/>
      </c>
      <c r="J4818">
        <f>IF(E4818="Outlook",COUNTIF($E$2:E4818,"Outlook"),"")</f>
        <v/>
      </c>
      <c r="K4818">
        <f>IF(E4818="Domain",COUNTIF($E$2:E4818,"Domain"),"")</f>
        <v/>
      </c>
    </row>
    <row r="4819">
      <c r="A4819" s="2" t="n"/>
      <c r="B4819">
        <f>LOWER(TRIM(A4819))</f>
        <v/>
      </c>
      <c r="C4819">
        <f>IF(B4819="","",IFERROR(INDEX('Bad Patterns'!$A$2:$A$120,MATCH(1,INDEX(--ISNUMBER(SEARCH('Bad Patterns'!$A$2:$A$120,B4819)),0),0)),""))</f>
        <v/>
      </c>
      <c r="D4819">
        <f>IF(B4819="","",IF(C4819&lt;&gt;"","REMOVE","KEEP"))</f>
        <v/>
      </c>
      <c r="E4819">
        <f>IF(D4819&lt;&gt;"KEEP","",IF(RIGHT(B4819,10)="@gmail.com","Gmail",IF(OR(RIGHT(B4819,12)="@outlook.com",RIGHT(B4819,12)="@hotmail.com",RIGHT(B4819,9)="@live.com"),"Outlook","Domain")))</f>
        <v/>
      </c>
      <c r="F4819">
        <f>IF(B4819="","",IFERROR(RIGHT(B4819,LEN(B4819)-FIND("@",B4819)),""))</f>
        <v/>
      </c>
      <c r="G4819">
        <f>IF(D4819="KEEP",COUNTIF($D$2:D4819,"KEEP"),"")</f>
        <v/>
      </c>
      <c r="H4819">
        <f>IF(D4819="REMOVE",COUNTIF($D$2:D4819,"REMOVE"),"")</f>
        <v/>
      </c>
      <c r="I4819">
        <f>IF(E4819="Gmail",COUNTIF($E$2:E4819,"Gmail"),"")</f>
        <v/>
      </c>
      <c r="J4819">
        <f>IF(E4819="Outlook",COUNTIF($E$2:E4819,"Outlook"),"")</f>
        <v/>
      </c>
      <c r="K4819">
        <f>IF(E4819="Domain",COUNTIF($E$2:E4819,"Domain"),"")</f>
        <v/>
      </c>
    </row>
    <row r="4820">
      <c r="A4820" s="2" t="n"/>
      <c r="B4820">
        <f>LOWER(TRIM(A4820))</f>
        <v/>
      </c>
      <c r="C4820">
        <f>IF(B4820="","",IFERROR(INDEX('Bad Patterns'!$A$2:$A$120,MATCH(1,INDEX(--ISNUMBER(SEARCH('Bad Patterns'!$A$2:$A$120,B4820)),0),0)),""))</f>
        <v/>
      </c>
      <c r="D4820">
        <f>IF(B4820="","",IF(C4820&lt;&gt;"","REMOVE","KEEP"))</f>
        <v/>
      </c>
      <c r="E4820">
        <f>IF(D4820&lt;&gt;"KEEP","",IF(RIGHT(B4820,10)="@gmail.com","Gmail",IF(OR(RIGHT(B4820,12)="@outlook.com",RIGHT(B4820,12)="@hotmail.com",RIGHT(B4820,9)="@live.com"),"Outlook","Domain")))</f>
        <v/>
      </c>
      <c r="F4820">
        <f>IF(B4820="","",IFERROR(RIGHT(B4820,LEN(B4820)-FIND("@",B4820)),""))</f>
        <v/>
      </c>
      <c r="G4820">
        <f>IF(D4820="KEEP",COUNTIF($D$2:D4820,"KEEP"),"")</f>
        <v/>
      </c>
      <c r="H4820">
        <f>IF(D4820="REMOVE",COUNTIF($D$2:D4820,"REMOVE"),"")</f>
        <v/>
      </c>
      <c r="I4820">
        <f>IF(E4820="Gmail",COUNTIF($E$2:E4820,"Gmail"),"")</f>
        <v/>
      </c>
      <c r="J4820">
        <f>IF(E4820="Outlook",COUNTIF($E$2:E4820,"Outlook"),"")</f>
        <v/>
      </c>
      <c r="K4820">
        <f>IF(E4820="Domain",COUNTIF($E$2:E4820,"Domain"),"")</f>
        <v/>
      </c>
    </row>
    <row r="4821">
      <c r="A4821" s="2" t="n"/>
      <c r="B4821">
        <f>LOWER(TRIM(A4821))</f>
        <v/>
      </c>
      <c r="C4821">
        <f>IF(B4821="","",IFERROR(INDEX('Bad Patterns'!$A$2:$A$120,MATCH(1,INDEX(--ISNUMBER(SEARCH('Bad Patterns'!$A$2:$A$120,B4821)),0),0)),""))</f>
        <v/>
      </c>
      <c r="D4821">
        <f>IF(B4821="","",IF(C4821&lt;&gt;"","REMOVE","KEEP"))</f>
        <v/>
      </c>
      <c r="E4821">
        <f>IF(D4821&lt;&gt;"KEEP","",IF(RIGHT(B4821,10)="@gmail.com","Gmail",IF(OR(RIGHT(B4821,12)="@outlook.com",RIGHT(B4821,12)="@hotmail.com",RIGHT(B4821,9)="@live.com"),"Outlook","Domain")))</f>
        <v/>
      </c>
      <c r="F4821">
        <f>IF(B4821="","",IFERROR(RIGHT(B4821,LEN(B4821)-FIND("@",B4821)),""))</f>
        <v/>
      </c>
      <c r="G4821">
        <f>IF(D4821="KEEP",COUNTIF($D$2:D4821,"KEEP"),"")</f>
        <v/>
      </c>
      <c r="H4821">
        <f>IF(D4821="REMOVE",COUNTIF($D$2:D4821,"REMOVE"),"")</f>
        <v/>
      </c>
      <c r="I4821">
        <f>IF(E4821="Gmail",COUNTIF($E$2:E4821,"Gmail"),"")</f>
        <v/>
      </c>
      <c r="J4821">
        <f>IF(E4821="Outlook",COUNTIF($E$2:E4821,"Outlook"),"")</f>
        <v/>
      </c>
      <c r="K4821">
        <f>IF(E4821="Domain",COUNTIF($E$2:E4821,"Domain"),"")</f>
        <v/>
      </c>
    </row>
    <row r="4822">
      <c r="A4822" s="2" t="n"/>
      <c r="B4822">
        <f>LOWER(TRIM(A4822))</f>
        <v/>
      </c>
      <c r="C4822">
        <f>IF(B4822="","",IFERROR(INDEX('Bad Patterns'!$A$2:$A$120,MATCH(1,INDEX(--ISNUMBER(SEARCH('Bad Patterns'!$A$2:$A$120,B4822)),0),0)),""))</f>
        <v/>
      </c>
      <c r="D4822">
        <f>IF(B4822="","",IF(C4822&lt;&gt;"","REMOVE","KEEP"))</f>
        <v/>
      </c>
      <c r="E4822">
        <f>IF(D4822&lt;&gt;"KEEP","",IF(RIGHT(B4822,10)="@gmail.com","Gmail",IF(OR(RIGHT(B4822,12)="@outlook.com",RIGHT(B4822,12)="@hotmail.com",RIGHT(B4822,9)="@live.com"),"Outlook","Domain")))</f>
        <v/>
      </c>
      <c r="F4822">
        <f>IF(B4822="","",IFERROR(RIGHT(B4822,LEN(B4822)-FIND("@",B4822)),""))</f>
        <v/>
      </c>
      <c r="G4822">
        <f>IF(D4822="KEEP",COUNTIF($D$2:D4822,"KEEP"),"")</f>
        <v/>
      </c>
      <c r="H4822">
        <f>IF(D4822="REMOVE",COUNTIF($D$2:D4822,"REMOVE"),"")</f>
        <v/>
      </c>
      <c r="I4822">
        <f>IF(E4822="Gmail",COUNTIF($E$2:E4822,"Gmail"),"")</f>
        <v/>
      </c>
      <c r="J4822">
        <f>IF(E4822="Outlook",COUNTIF($E$2:E4822,"Outlook"),"")</f>
        <v/>
      </c>
      <c r="K4822">
        <f>IF(E4822="Domain",COUNTIF($E$2:E4822,"Domain"),"")</f>
        <v/>
      </c>
    </row>
    <row r="4823">
      <c r="A4823" s="2" t="n"/>
      <c r="B4823">
        <f>LOWER(TRIM(A4823))</f>
        <v/>
      </c>
      <c r="C4823">
        <f>IF(B4823="","",IFERROR(INDEX('Bad Patterns'!$A$2:$A$120,MATCH(1,INDEX(--ISNUMBER(SEARCH('Bad Patterns'!$A$2:$A$120,B4823)),0),0)),""))</f>
        <v/>
      </c>
      <c r="D4823">
        <f>IF(B4823="","",IF(C4823&lt;&gt;"","REMOVE","KEEP"))</f>
        <v/>
      </c>
      <c r="E4823">
        <f>IF(D4823&lt;&gt;"KEEP","",IF(RIGHT(B4823,10)="@gmail.com","Gmail",IF(OR(RIGHT(B4823,12)="@outlook.com",RIGHT(B4823,12)="@hotmail.com",RIGHT(B4823,9)="@live.com"),"Outlook","Domain")))</f>
        <v/>
      </c>
      <c r="F4823">
        <f>IF(B4823="","",IFERROR(RIGHT(B4823,LEN(B4823)-FIND("@",B4823)),""))</f>
        <v/>
      </c>
      <c r="G4823">
        <f>IF(D4823="KEEP",COUNTIF($D$2:D4823,"KEEP"),"")</f>
        <v/>
      </c>
      <c r="H4823">
        <f>IF(D4823="REMOVE",COUNTIF($D$2:D4823,"REMOVE"),"")</f>
        <v/>
      </c>
      <c r="I4823">
        <f>IF(E4823="Gmail",COUNTIF($E$2:E4823,"Gmail"),"")</f>
        <v/>
      </c>
      <c r="J4823">
        <f>IF(E4823="Outlook",COUNTIF($E$2:E4823,"Outlook"),"")</f>
        <v/>
      </c>
      <c r="K4823">
        <f>IF(E4823="Domain",COUNTIF($E$2:E4823,"Domain"),"")</f>
        <v/>
      </c>
    </row>
    <row r="4824">
      <c r="A4824" s="2" t="n"/>
      <c r="B4824">
        <f>LOWER(TRIM(A4824))</f>
        <v/>
      </c>
      <c r="C4824">
        <f>IF(B4824="","",IFERROR(INDEX('Bad Patterns'!$A$2:$A$120,MATCH(1,INDEX(--ISNUMBER(SEARCH('Bad Patterns'!$A$2:$A$120,B4824)),0),0)),""))</f>
        <v/>
      </c>
      <c r="D4824">
        <f>IF(B4824="","",IF(C4824&lt;&gt;"","REMOVE","KEEP"))</f>
        <v/>
      </c>
      <c r="E4824">
        <f>IF(D4824&lt;&gt;"KEEP","",IF(RIGHT(B4824,10)="@gmail.com","Gmail",IF(OR(RIGHT(B4824,12)="@outlook.com",RIGHT(B4824,12)="@hotmail.com",RIGHT(B4824,9)="@live.com"),"Outlook","Domain")))</f>
        <v/>
      </c>
      <c r="F4824">
        <f>IF(B4824="","",IFERROR(RIGHT(B4824,LEN(B4824)-FIND("@",B4824)),""))</f>
        <v/>
      </c>
      <c r="G4824">
        <f>IF(D4824="KEEP",COUNTIF($D$2:D4824,"KEEP"),"")</f>
        <v/>
      </c>
      <c r="H4824">
        <f>IF(D4824="REMOVE",COUNTIF($D$2:D4824,"REMOVE"),"")</f>
        <v/>
      </c>
      <c r="I4824">
        <f>IF(E4824="Gmail",COUNTIF($E$2:E4824,"Gmail"),"")</f>
        <v/>
      </c>
      <c r="J4824">
        <f>IF(E4824="Outlook",COUNTIF($E$2:E4824,"Outlook"),"")</f>
        <v/>
      </c>
      <c r="K4824">
        <f>IF(E4824="Domain",COUNTIF($E$2:E4824,"Domain"),"")</f>
        <v/>
      </c>
    </row>
    <row r="4825">
      <c r="A4825" s="2" t="n"/>
      <c r="B4825">
        <f>LOWER(TRIM(A4825))</f>
        <v/>
      </c>
      <c r="C4825">
        <f>IF(B4825="","",IFERROR(INDEX('Bad Patterns'!$A$2:$A$120,MATCH(1,INDEX(--ISNUMBER(SEARCH('Bad Patterns'!$A$2:$A$120,B4825)),0),0)),""))</f>
        <v/>
      </c>
      <c r="D4825">
        <f>IF(B4825="","",IF(C4825&lt;&gt;"","REMOVE","KEEP"))</f>
        <v/>
      </c>
      <c r="E4825">
        <f>IF(D4825&lt;&gt;"KEEP","",IF(RIGHT(B4825,10)="@gmail.com","Gmail",IF(OR(RIGHT(B4825,12)="@outlook.com",RIGHT(B4825,12)="@hotmail.com",RIGHT(B4825,9)="@live.com"),"Outlook","Domain")))</f>
        <v/>
      </c>
      <c r="F4825">
        <f>IF(B4825="","",IFERROR(RIGHT(B4825,LEN(B4825)-FIND("@",B4825)),""))</f>
        <v/>
      </c>
      <c r="G4825">
        <f>IF(D4825="KEEP",COUNTIF($D$2:D4825,"KEEP"),"")</f>
        <v/>
      </c>
      <c r="H4825">
        <f>IF(D4825="REMOVE",COUNTIF($D$2:D4825,"REMOVE"),"")</f>
        <v/>
      </c>
      <c r="I4825">
        <f>IF(E4825="Gmail",COUNTIF($E$2:E4825,"Gmail"),"")</f>
        <v/>
      </c>
      <c r="J4825">
        <f>IF(E4825="Outlook",COUNTIF($E$2:E4825,"Outlook"),"")</f>
        <v/>
      </c>
      <c r="K4825">
        <f>IF(E4825="Domain",COUNTIF($E$2:E4825,"Domain"),"")</f>
        <v/>
      </c>
    </row>
    <row r="4826">
      <c r="A4826" s="2" t="n"/>
      <c r="B4826">
        <f>LOWER(TRIM(A4826))</f>
        <v/>
      </c>
      <c r="C4826">
        <f>IF(B4826="","",IFERROR(INDEX('Bad Patterns'!$A$2:$A$120,MATCH(1,INDEX(--ISNUMBER(SEARCH('Bad Patterns'!$A$2:$A$120,B4826)),0),0)),""))</f>
        <v/>
      </c>
      <c r="D4826">
        <f>IF(B4826="","",IF(C4826&lt;&gt;"","REMOVE","KEEP"))</f>
        <v/>
      </c>
      <c r="E4826">
        <f>IF(D4826&lt;&gt;"KEEP","",IF(RIGHT(B4826,10)="@gmail.com","Gmail",IF(OR(RIGHT(B4826,12)="@outlook.com",RIGHT(B4826,12)="@hotmail.com",RIGHT(B4826,9)="@live.com"),"Outlook","Domain")))</f>
        <v/>
      </c>
      <c r="F4826">
        <f>IF(B4826="","",IFERROR(RIGHT(B4826,LEN(B4826)-FIND("@",B4826)),""))</f>
        <v/>
      </c>
      <c r="G4826">
        <f>IF(D4826="KEEP",COUNTIF($D$2:D4826,"KEEP"),"")</f>
        <v/>
      </c>
      <c r="H4826">
        <f>IF(D4826="REMOVE",COUNTIF($D$2:D4826,"REMOVE"),"")</f>
        <v/>
      </c>
      <c r="I4826">
        <f>IF(E4826="Gmail",COUNTIF($E$2:E4826,"Gmail"),"")</f>
        <v/>
      </c>
      <c r="J4826">
        <f>IF(E4826="Outlook",COUNTIF($E$2:E4826,"Outlook"),"")</f>
        <v/>
      </c>
      <c r="K4826">
        <f>IF(E4826="Domain",COUNTIF($E$2:E4826,"Domain"),"")</f>
        <v/>
      </c>
    </row>
    <row r="4827">
      <c r="A4827" s="2" t="n"/>
      <c r="B4827">
        <f>LOWER(TRIM(A4827))</f>
        <v/>
      </c>
      <c r="C4827">
        <f>IF(B4827="","",IFERROR(INDEX('Bad Patterns'!$A$2:$A$120,MATCH(1,INDEX(--ISNUMBER(SEARCH('Bad Patterns'!$A$2:$A$120,B4827)),0),0)),""))</f>
        <v/>
      </c>
      <c r="D4827">
        <f>IF(B4827="","",IF(C4827&lt;&gt;"","REMOVE","KEEP"))</f>
        <v/>
      </c>
      <c r="E4827">
        <f>IF(D4827&lt;&gt;"KEEP","",IF(RIGHT(B4827,10)="@gmail.com","Gmail",IF(OR(RIGHT(B4827,12)="@outlook.com",RIGHT(B4827,12)="@hotmail.com",RIGHT(B4827,9)="@live.com"),"Outlook","Domain")))</f>
        <v/>
      </c>
      <c r="F4827">
        <f>IF(B4827="","",IFERROR(RIGHT(B4827,LEN(B4827)-FIND("@",B4827)),""))</f>
        <v/>
      </c>
      <c r="G4827">
        <f>IF(D4827="KEEP",COUNTIF($D$2:D4827,"KEEP"),"")</f>
        <v/>
      </c>
      <c r="H4827">
        <f>IF(D4827="REMOVE",COUNTIF($D$2:D4827,"REMOVE"),"")</f>
        <v/>
      </c>
      <c r="I4827">
        <f>IF(E4827="Gmail",COUNTIF($E$2:E4827,"Gmail"),"")</f>
        <v/>
      </c>
      <c r="J4827">
        <f>IF(E4827="Outlook",COUNTIF($E$2:E4827,"Outlook"),"")</f>
        <v/>
      </c>
      <c r="K4827">
        <f>IF(E4827="Domain",COUNTIF($E$2:E4827,"Domain"),"")</f>
        <v/>
      </c>
    </row>
    <row r="4828">
      <c r="A4828" s="2" t="n"/>
      <c r="B4828">
        <f>LOWER(TRIM(A4828))</f>
        <v/>
      </c>
      <c r="C4828">
        <f>IF(B4828="","",IFERROR(INDEX('Bad Patterns'!$A$2:$A$120,MATCH(1,INDEX(--ISNUMBER(SEARCH('Bad Patterns'!$A$2:$A$120,B4828)),0),0)),""))</f>
        <v/>
      </c>
      <c r="D4828">
        <f>IF(B4828="","",IF(C4828&lt;&gt;"","REMOVE","KEEP"))</f>
        <v/>
      </c>
      <c r="E4828">
        <f>IF(D4828&lt;&gt;"KEEP","",IF(RIGHT(B4828,10)="@gmail.com","Gmail",IF(OR(RIGHT(B4828,12)="@outlook.com",RIGHT(B4828,12)="@hotmail.com",RIGHT(B4828,9)="@live.com"),"Outlook","Domain")))</f>
        <v/>
      </c>
      <c r="F4828">
        <f>IF(B4828="","",IFERROR(RIGHT(B4828,LEN(B4828)-FIND("@",B4828)),""))</f>
        <v/>
      </c>
      <c r="G4828">
        <f>IF(D4828="KEEP",COUNTIF($D$2:D4828,"KEEP"),"")</f>
        <v/>
      </c>
      <c r="H4828">
        <f>IF(D4828="REMOVE",COUNTIF($D$2:D4828,"REMOVE"),"")</f>
        <v/>
      </c>
      <c r="I4828">
        <f>IF(E4828="Gmail",COUNTIF($E$2:E4828,"Gmail"),"")</f>
        <v/>
      </c>
      <c r="J4828">
        <f>IF(E4828="Outlook",COUNTIF($E$2:E4828,"Outlook"),"")</f>
        <v/>
      </c>
      <c r="K4828">
        <f>IF(E4828="Domain",COUNTIF($E$2:E4828,"Domain"),"")</f>
        <v/>
      </c>
    </row>
    <row r="4829">
      <c r="A4829" s="2" t="n"/>
      <c r="B4829">
        <f>LOWER(TRIM(A4829))</f>
        <v/>
      </c>
      <c r="C4829">
        <f>IF(B4829="","",IFERROR(INDEX('Bad Patterns'!$A$2:$A$120,MATCH(1,INDEX(--ISNUMBER(SEARCH('Bad Patterns'!$A$2:$A$120,B4829)),0),0)),""))</f>
        <v/>
      </c>
      <c r="D4829">
        <f>IF(B4829="","",IF(C4829&lt;&gt;"","REMOVE","KEEP"))</f>
        <v/>
      </c>
      <c r="E4829">
        <f>IF(D4829&lt;&gt;"KEEP","",IF(RIGHT(B4829,10)="@gmail.com","Gmail",IF(OR(RIGHT(B4829,12)="@outlook.com",RIGHT(B4829,12)="@hotmail.com",RIGHT(B4829,9)="@live.com"),"Outlook","Domain")))</f>
        <v/>
      </c>
      <c r="F4829">
        <f>IF(B4829="","",IFERROR(RIGHT(B4829,LEN(B4829)-FIND("@",B4829)),""))</f>
        <v/>
      </c>
      <c r="G4829">
        <f>IF(D4829="KEEP",COUNTIF($D$2:D4829,"KEEP"),"")</f>
        <v/>
      </c>
      <c r="H4829">
        <f>IF(D4829="REMOVE",COUNTIF($D$2:D4829,"REMOVE"),"")</f>
        <v/>
      </c>
      <c r="I4829">
        <f>IF(E4829="Gmail",COUNTIF($E$2:E4829,"Gmail"),"")</f>
        <v/>
      </c>
      <c r="J4829">
        <f>IF(E4829="Outlook",COUNTIF($E$2:E4829,"Outlook"),"")</f>
        <v/>
      </c>
      <c r="K4829">
        <f>IF(E4829="Domain",COUNTIF($E$2:E4829,"Domain"),"")</f>
        <v/>
      </c>
    </row>
    <row r="4830">
      <c r="A4830" s="2" t="n"/>
      <c r="B4830">
        <f>LOWER(TRIM(A4830))</f>
        <v/>
      </c>
      <c r="C4830">
        <f>IF(B4830="","",IFERROR(INDEX('Bad Patterns'!$A$2:$A$120,MATCH(1,INDEX(--ISNUMBER(SEARCH('Bad Patterns'!$A$2:$A$120,B4830)),0),0)),""))</f>
        <v/>
      </c>
      <c r="D4830">
        <f>IF(B4830="","",IF(C4830&lt;&gt;"","REMOVE","KEEP"))</f>
        <v/>
      </c>
      <c r="E4830">
        <f>IF(D4830&lt;&gt;"KEEP","",IF(RIGHT(B4830,10)="@gmail.com","Gmail",IF(OR(RIGHT(B4830,12)="@outlook.com",RIGHT(B4830,12)="@hotmail.com",RIGHT(B4830,9)="@live.com"),"Outlook","Domain")))</f>
        <v/>
      </c>
      <c r="F4830">
        <f>IF(B4830="","",IFERROR(RIGHT(B4830,LEN(B4830)-FIND("@",B4830)),""))</f>
        <v/>
      </c>
      <c r="G4830">
        <f>IF(D4830="KEEP",COUNTIF($D$2:D4830,"KEEP"),"")</f>
        <v/>
      </c>
      <c r="H4830">
        <f>IF(D4830="REMOVE",COUNTIF($D$2:D4830,"REMOVE"),"")</f>
        <v/>
      </c>
      <c r="I4830">
        <f>IF(E4830="Gmail",COUNTIF($E$2:E4830,"Gmail"),"")</f>
        <v/>
      </c>
      <c r="J4830">
        <f>IF(E4830="Outlook",COUNTIF($E$2:E4830,"Outlook"),"")</f>
        <v/>
      </c>
      <c r="K4830">
        <f>IF(E4830="Domain",COUNTIF($E$2:E4830,"Domain"),"")</f>
        <v/>
      </c>
    </row>
    <row r="4831">
      <c r="A4831" s="2" t="n"/>
      <c r="B4831">
        <f>LOWER(TRIM(A4831))</f>
        <v/>
      </c>
      <c r="C4831">
        <f>IF(B4831="","",IFERROR(INDEX('Bad Patterns'!$A$2:$A$120,MATCH(1,INDEX(--ISNUMBER(SEARCH('Bad Patterns'!$A$2:$A$120,B4831)),0),0)),""))</f>
        <v/>
      </c>
      <c r="D4831">
        <f>IF(B4831="","",IF(C4831&lt;&gt;"","REMOVE","KEEP"))</f>
        <v/>
      </c>
      <c r="E4831">
        <f>IF(D4831&lt;&gt;"KEEP","",IF(RIGHT(B4831,10)="@gmail.com","Gmail",IF(OR(RIGHT(B4831,12)="@outlook.com",RIGHT(B4831,12)="@hotmail.com",RIGHT(B4831,9)="@live.com"),"Outlook","Domain")))</f>
        <v/>
      </c>
      <c r="F4831">
        <f>IF(B4831="","",IFERROR(RIGHT(B4831,LEN(B4831)-FIND("@",B4831)),""))</f>
        <v/>
      </c>
      <c r="G4831">
        <f>IF(D4831="KEEP",COUNTIF($D$2:D4831,"KEEP"),"")</f>
        <v/>
      </c>
      <c r="H4831">
        <f>IF(D4831="REMOVE",COUNTIF($D$2:D4831,"REMOVE"),"")</f>
        <v/>
      </c>
      <c r="I4831">
        <f>IF(E4831="Gmail",COUNTIF($E$2:E4831,"Gmail"),"")</f>
        <v/>
      </c>
      <c r="J4831">
        <f>IF(E4831="Outlook",COUNTIF($E$2:E4831,"Outlook"),"")</f>
        <v/>
      </c>
      <c r="K4831">
        <f>IF(E4831="Domain",COUNTIF($E$2:E4831,"Domain"),"")</f>
        <v/>
      </c>
    </row>
    <row r="4832">
      <c r="A4832" s="2" t="n"/>
      <c r="B4832">
        <f>LOWER(TRIM(A4832))</f>
        <v/>
      </c>
      <c r="C4832">
        <f>IF(B4832="","",IFERROR(INDEX('Bad Patterns'!$A$2:$A$120,MATCH(1,INDEX(--ISNUMBER(SEARCH('Bad Patterns'!$A$2:$A$120,B4832)),0),0)),""))</f>
        <v/>
      </c>
      <c r="D4832">
        <f>IF(B4832="","",IF(C4832&lt;&gt;"","REMOVE","KEEP"))</f>
        <v/>
      </c>
      <c r="E4832">
        <f>IF(D4832&lt;&gt;"KEEP","",IF(RIGHT(B4832,10)="@gmail.com","Gmail",IF(OR(RIGHT(B4832,12)="@outlook.com",RIGHT(B4832,12)="@hotmail.com",RIGHT(B4832,9)="@live.com"),"Outlook","Domain")))</f>
        <v/>
      </c>
      <c r="F4832">
        <f>IF(B4832="","",IFERROR(RIGHT(B4832,LEN(B4832)-FIND("@",B4832)),""))</f>
        <v/>
      </c>
      <c r="G4832">
        <f>IF(D4832="KEEP",COUNTIF($D$2:D4832,"KEEP"),"")</f>
        <v/>
      </c>
      <c r="H4832">
        <f>IF(D4832="REMOVE",COUNTIF($D$2:D4832,"REMOVE"),"")</f>
        <v/>
      </c>
      <c r="I4832">
        <f>IF(E4832="Gmail",COUNTIF($E$2:E4832,"Gmail"),"")</f>
        <v/>
      </c>
      <c r="J4832">
        <f>IF(E4832="Outlook",COUNTIF($E$2:E4832,"Outlook"),"")</f>
        <v/>
      </c>
      <c r="K4832">
        <f>IF(E4832="Domain",COUNTIF($E$2:E4832,"Domain"),"")</f>
        <v/>
      </c>
    </row>
    <row r="4833">
      <c r="A4833" s="2" t="n"/>
      <c r="B4833">
        <f>LOWER(TRIM(A4833))</f>
        <v/>
      </c>
      <c r="C4833">
        <f>IF(B4833="","",IFERROR(INDEX('Bad Patterns'!$A$2:$A$120,MATCH(1,INDEX(--ISNUMBER(SEARCH('Bad Patterns'!$A$2:$A$120,B4833)),0),0)),""))</f>
        <v/>
      </c>
      <c r="D4833">
        <f>IF(B4833="","",IF(C4833&lt;&gt;"","REMOVE","KEEP"))</f>
        <v/>
      </c>
      <c r="E4833">
        <f>IF(D4833&lt;&gt;"KEEP","",IF(RIGHT(B4833,10)="@gmail.com","Gmail",IF(OR(RIGHT(B4833,12)="@outlook.com",RIGHT(B4833,12)="@hotmail.com",RIGHT(B4833,9)="@live.com"),"Outlook","Domain")))</f>
        <v/>
      </c>
      <c r="F4833">
        <f>IF(B4833="","",IFERROR(RIGHT(B4833,LEN(B4833)-FIND("@",B4833)),""))</f>
        <v/>
      </c>
      <c r="G4833">
        <f>IF(D4833="KEEP",COUNTIF($D$2:D4833,"KEEP"),"")</f>
        <v/>
      </c>
      <c r="H4833">
        <f>IF(D4833="REMOVE",COUNTIF($D$2:D4833,"REMOVE"),"")</f>
        <v/>
      </c>
      <c r="I4833">
        <f>IF(E4833="Gmail",COUNTIF($E$2:E4833,"Gmail"),"")</f>
        <v/>
      </c>
      <c r="J4833">
        <f>IF(E4833="Outlook",COUNTIF($E$2:E4833,"Outlook"),"")</f>
        <v/>
      </c>
      <c r="K4833">
        <f>IF(E4833="Domain",COUNTIF($E$2:E4833,"Domain"),"")</f>
        <v/>
      </c>
    </row>
    <row r="4834">
      <c r="A4834" s="2" t="n"/>
      <c r="B4834">
        <f>LOWER(TRIM(A4834))</f>
        <v/>
      </c>
      <c r="C4834">
        <f>IF(B4834="","",IFERROR(INDEX('Bad Patterns'!$A$2:$A$120,MATCH(1,INDEX(--ISNUMBER(SEARCH('Bad Patterns'!$A$2:$A$120,B4834)),0),0)),""))</f>
        <v/>
      </c>
      <c r="D4834">
        <f>IF(B4834="","",IF(C4834&lt;&gt;"","REMOVE","KEEP"))</f>
        <v/>
      </c>
      <c r="E4834">
        <f>IF(D4834&lt;&gt;"KEEP","",IF(RIGHT(B4834,10)="@gmail.com","Gmail",IF(OR(RIGHT(B4834,12)="@outlook.com",RIGHT(B4834,12)="@hotmail.com",RIGHT(B4834,9)="@live.com"),"Outlook","Domain")))</f>
        <v/>
      </c>
      <c r="F4834">
        <f>IF(B4834="","",IFERROR(RIGHT(B4834,LEN(B4834)-FIND("@",B4834)),""))</f>
        <v/>
      </c>
      <c r="G4834">
        <f>IF(D4834="KEEP",COUNTIF($D$2:D4834,"KEEP"),"")</f>
        <v/>
      </c>
      <c r="H4834">
        <f>IF(D4834="REMOVE",COUNTIF($D$2:D4834,"REMOVE"),"")</f>
        <v/>
      </c>
      <c r="I4834">
        <f>IF(E4834="Gmail",COUNTIF($E$2:E4834,"Gmail"),"")</f>
        <v/>
      </c>
      <c r="J4834">
        <f>IF(E4834="Outlook",COUNTIF($E$2:E4834,"Outlook"),"")</f>
        <v/>
      </c>
      <c r="K4834">
        <f>IF(E4834="Domain",COUNTIF($E$2:E4834,"Domain"),"")</f>
        <v/>
      </c>
    </row>
    <row r="4835">
      <c r="A4835" s="2" t="n"/>
      <c r="B4835">
        <f>LOWER(TRIM(A4835))</f>
        <v/>
      </c>
      <c r="C4835">
        <f>IF(B4835="","",IFERROR(INDEX('Bad Patterns'!$A$2:$A$120,MATCH(1,INDEX(--ISNUMBER(SEARCH('Bad Patterns'!$A$2:$A$120,B4835)),0),0)),""))</f>
        <v/>
      </c>
      <c r="D4835">
        <f>IF(B4835="","",IF(C4835&lt;&gt;"","REMOVE","KEEP"))</f>
        <v/>
      </c>
      <c r="E4835">
        <f>IF(D4835&lt;&gt;"KEEP","",IF(RIGHT(B4835,10)="@gmail.com","Gmail",IF(OR(RIGHT(B4835,12)="@outlook.com",RIGHT(B4835,12)="@hotmail.com",RIGHT(B4835,9)="@live.com"),"Outlook","Domain")))</f>
        <v/>
      </c>
      <c r="F4835">
        <f>IF(B4835="","",IFERROR(RIGHT(B4835,LEN(B4835)-FIND("@",B4835)),""))</f>
        <v/>
      </c>
      <c r="G4835">
        <f>IF(D4835="KEEP",COUNTIF($D$2:D4835,"KEEP"),"")</f>
        <v/>
      </c>
      <c r="H4835">
        <f>IF(D4835="REMOVE",COUNTIF($D$2:D4835,"REMOVE"),"")</f>
        <v/>
      </c>
      <c r="I4835">
        <f>IF(E4835="Gmail",COUNTIF($E$2:E4835,"Gmail"),"")</f>
        <v/>
      </c>
      <c r="J4835">
        <f>IF(E4835="Outlook",COUNTIF($E$2:E4835,"Outlook"),"")</f>
        <v/>
      </c>
      <c r="K4835">
        <f>IF(E4835="Domain",COUNTIF($E$2:E4835,"Domain"),"")</f>
        <v/>
      </c>
    </row>
    <row r="4836">
      <c r="A4836" s="2" t="n"/>
      <c r="B4836">
        <f>LOWER(TRIM(A4836))</f>
        <v/>
      </c>
      <c r="C4836">
        <f>IF(B4836="","",IFERROR(INDEX('Bad Patterns'!$A$2:$A$120,MATCH(1,INDEX(--ISNUMBER(SEARCH('Bad Patterns'!$A$2:$A$120,B4836)),0),0)),""))</f>
        <v/>
      </c>
      <c r="D4836">
        <f>IF(B4836="","",IF(C4836&lt;&gt;"","REMOVE","KEEP"))</f>
        <v/>
      </c>
      <c r="E4836">
        <f>IF(D4836&lt;&gt;"KEEP","",IF(RIGHT(B4836,10)="@gmail.com","Gmail",IF(OR(RIGHT(B4836,12)="@outlook.com",RIGHT(B4836,12)="@hotmail.com",RIGHT(B4836,9)="@live.com"),"Outlook","Domain")))</f>
        <v/>
      </c>
      <c r="F4836">
        <f>IF(B4836="","",IFERROR(RIGHT(B4836,LEN(B4836)-FIND("@",B4836)),""))</f>
        <v/>
      </c>
      <c r="G4836">
        <f>IF(D4836="KEEP",COUNTIF($D$2:D4836,"KEEP"),"")</f>
        <v/>
      </c>
      <c r="H4836">
        <f>IF(D4836="REMOVE",COUNTIF($D$2:D4836,"REMOVE"),"")</f>
        <v/>
      </c>
      <c r="I4836">
        <f>IF(E4836="Gmail",COUNTIF($E$2:E4836,"Gmail"),"")</f>
        <v/>
      </c>
      <c r="J4836">
        <f>IF(E4836="Outlook",COUNTIF($E$2:E4836,"Outlook"),"")</f>
        <v/>
      </c>
      <c r="K4836">
        <f>IF(E4836="Domain",COUNTIF($E$2:E4836,"Domain"),"")</f>
        <v/>
      </c>
    </row>
    <row r="4837">
      <c r="A4837" s="2" t="n"/>
      <c r="B4837">
        <f>LOWER(TRIM(A4837))</f>
        <v/>
      </c>
      <c r="C4837">
        <f>IF(B4837="","",IFERROR(INDEX('Bad Patterns'!$A$2:$A$120,MATCH(1,INDEX(--ISNUMBER(SEARCH('Bad Patterns'!$A$2:$A$120,B4837)),0),0)),""))</f>
        <v/>
      </c>
      <c r="D4837">
        <f>IF(B4837="","",IF(C4837&lt;&gt;"","REMOVE","KEEP"))</f>
        <v/>
      </c>
      <c r="E4837">
        <f>IF(D4837&lt;&gt;"KEEP","",IF(RIGHT(B4837,10)="@gmail.com","Gmail",IF(OR(RIGHT(B4837,12)="@outlook.com",RIGHT(B4837,12)="@hotmail.com",RIGHT(B4837,9)="@live.com"),"Outlook","Domain")))</f>
        <v/>
      </c>
      <c r="F4837">
        <f>IF(B4837="","",IFERROR(RIGHT(B4837,LEN(B4837)-FIND("@",B4837)),""))</f>
        <v/>
      </c>
      <c r="G4837">
        <f>IF(D4837="KEEP",COUNTIF($D$2:D4837,"KEEP"),"")</f>
        <v/>
      </c>
      <c r="H4837">
        <f>IF(D4837="REMOVE",COUNTIF($D$2:D4837,"REMOVE"),"")</f>
        <v/>
      </c>
      <c r="I4837">
        <f>IF(E4837="Gmail",COUNTIF($E$2:E4837,"Gmail"),"")</f>
        <v/>
      </c>
      <c r="J4837">
        <f>IF(E4837="Outlook",COUNTIF($E$2:E4837,"Outlook"),"")</f>
        <v/>
      </c>
      <c r="K4837">
        <f>IF(E4837="Domain",COUNTIF($E$2:E4837,"Domain"),"")</f>
        <v/>
      </c>
    </row>
    <row r="4838">
      <c r="A4838" s="2" t="n"/>
      <c r="B4838">
        <f>LOWER(TRIM(A4838))</f>
        <v/>
      </c>
      <c r="C4838">
        <f>IF(B4838="","",IFERROR(INDEX('Bad Patterns'!$A$2:$A$120,MATCH(1,INDEX(--ISNUMBER(SEARCH('Bad Patterns'!$A$2:$A$120,B4838)),0),0)),""))</f>
        <v/>
      </c>
      <c r="D4838">
        <f>IF(B4838="","",IF(C4838&lt;&gt;"","REMOVE","KEEP"))</f>
        <v/>
      </c>
      <c r="E4838">
        <f>IF(D4838&lt;&gt;"KEEP","",IF(RIGHT(B4838,10)="@gmail.com","Gmail",IF(OR(RIGHT(B4838,12)="@outlook.com",RIGHT(B4838,12)="@hotmail.com",RIGHT(B4838,9)="@live.com"),"Outlook","Domain")))</f>
        <v/>
      </c>
      <c r="F4838">
        <f>IF(B4838="","",IFERROR(RIGHT(B4838,LEN(B4838)-FIND("@",B4838)),""))</f>
        <v/>
      </c>
      <c r="G4838">
        <f>IF(D4838="KEEP",COUNTIF($D$2:D4838,"KEEP"),"")</f>
        <v/>
      </c>
      <c r="H4838">
        <f>IF(D4838="REMOVE",COUNTIF($D$2:D4838,"REMOVE"),"")</f>
        <v/>
      </c>
      <c r="I4838">
        <f>IF(E4838="Gmail",COUNTIF($E$2:E4838,"Gmail"),"")</f>
        <v/>
      </c>
      <c r="J4838">
        <f>IF(E4838="Outlook",COUNTIF($E$2:E4838,"Outlook"),"")</f>
        <v/>
      </c>
      <c r="K4838">
        <f>IF(E4838="Domain",COUNTIF($E$2:E4838,"Domain"),"")</f>
        <v/>
      </c>
    </row>
    <row r="4839">
      <c r="A4839" s="2" t="n"/>
      <c r="B4839">
        <f>LOWER(TRIM(A4839))</f>
        <v/>
      </c>
      <c r="C4839">
        <f>IF(B4839="","",IFERROR(INDEX('Bad Patterns'!$A$2:$A$120,MATCH(1,INDEX(--ISNUMBER(SEARCH('Bad Patterns'!$A$2:$A$120,B4839)),0),0)),""))</f>
        <v/>
      </c>
      <c r="D4839">
        <f>IF(B4839="","",IF(C4839&lt;&gt;"","REMOVE","KEEP"))</f>
        <v/>
      </c>
      <c r="E4839">
        <f>IF(D4839&lt;&gt;"KEEP","",IF(RIGHT(B4839,10)="@gmail.com","Gmail",IF(OR(RIGHT(B4839,12)="@outlook.com",RIGHT(B4839,12)="@hotmail.com",RIGHT(B4839,9)="@live.com"),"Outlook","Domain")))</f>
        <v/>
      </c>
      <c r="F4839">
        <f>IF(B4839="","",IFERROR(RIGHT(B4839,LEN(B4839)-FIND("@",B4839)),""))</f>
        <v/>
      </c>
      <c r="G4839">
        <f>IF(D4839="KEEP",COUNTIF($D$2:D4839,"KEEP"),"")</f>
        <v/>
      </c>
      <c r="H4839">
        <f>IF(D4839="REMOVE",COUNTIF($D$2:D4839,"REMOVE"),"")</f>
        <v/>
      </c>
      <c r="I4839">
        <f>IF(E4839="Gmail",COUNTIF($E$2:E4839,"Gmail"),"")</f>
        <v/>
      </c>
      <c r="J4839">
        <f>IF(E4839="Outlook",COUNTIF($E$2:E4839,"Outlook"),"")</f>
        <v/>
      </c>
      <c r="K4839">
        <f>IF(E4839="Domain",COUNTIF($E$2:E4839,"Domain"),"")</f>
        <v/>
      </c>
    </row>
    <row r="4840">
      <c r="A4840" s="2" t="n"/>
      <c r="B4840">
        <f>LOWER(TRIM(A4840))</f>
        <v/>
      </c>
      <c r="C4840">
        <f>IF(B4840="","",IFERROR(INDEX('Bad Patterns'!$A$2:$A$120,MATCH(1,INDEX(--ISNUMBER(SEARCH('Bad Patterns'!$A$2:$A$120,B4840)),0),0)),""))</f>
        <v/>
      </c>
      <c r="D4840">
        <f>IF(B4840="","",IF(C4840&lt;&gt;"","REMOVE","KEEP"))</f>
        <v/>
      </c>
      <c r="E4840">
        <f>IF(D4840&lt;&gt;"KEEP","",IF(RIGHT(B4840,10)="@gmail.com","Gmail",IF(OR(RIGHT(B4840,12)="@outlook.com",RIGHT(B4840,12)="@hotmail.com",RIGHT(B4840,9)="@live.com"),"Outlook","Domain")))</f>
        <v/>
      </c>
      <c r="F4840">
        <f>IF(B4840="","",IFERROR(RIGHT(B4840,LEN(B4840)-FIND("@",B4840)),""))</f>
        <v/>
      </c>
      <c r="G4840">
        <f>IF(D4840="KEEP",COUNTIF($D$2:D4840,"KEEP"),"")</f>
        <v/>
      </c>
      <c r="H4840">
        <f>IF(D4840="REMOVE",COUNTIF($D$2:D4840,"REMOVE"),"")</f>
        <v/>
      </c>
      <c r="I4840">
        <f>IF(E4840="Gmail",COUNTIF($E$2:E4840,"Gmail"),"")</f>
        <v/>
      </c>
      <c r="J4840">
        <f>IF(E4840="Outlook",COUNTIF($E$2:E4840,"Outlook"),"")</f>
        <v/>
      </c>
      <c r="K4840">
        <f>IF(E4840="Domain",COUNTIF($E$2:E4840,"Domain"),"")</f>
        <v/>
      </c>
    </row>
    <row r="4841">
      <c r="A4841" s="2" t="n"/>
      <c r="B4841">
        <f>LOWER(TRIM(A4841))</f>
        <v/>
      </c>
      <c r="C4841">
        <f>IF(B4841="","",IFERROR(INDEX('Bad Patterns'!$A$2:$A$120,MATCH(1,INDEX(--ISNUMBER(SEARCH('Bad Patterns'!$A$2:$A$120,B4841)),0),0)),""))</f>
        <v/>
      </c>
      <c r="D4841">
        <f>IF(B4841="","",IF(C4841&lt;&gt;"","REMOVE","KEEP"))</f>
        <v/>
      </c>
      <c r="E4841">
        <f>IF(D4841&lt;&gt;"KEEP","",IF(RIGHT(B4841,10)="@gmail.com","Gmail",IF(OR(RIGHT(B4841,12)="@outlook.com",RIGHT(B4841,12)="@hotmail.com",RIGHT(B4841,9)="@live.com"),"Outlook","Domain")))</f>
        <v/>
      </c>
      <c r="F4841">
        <f>IF(B4841="","",IFERROR(RIGHT(B4841,LEN(B4841)-FIND("@",B4841)),""))</f>
        <v/>
      </c>
      <c r="G4841">
        <f>IF(D4841="KEEP",COUNTIF($D$2:D4841,"KEEP"),"")</f>
        <v/>
      </c>
      <c r="H4841">
        <f>IF(D4841="REMOVE",COUNTIF($D$2:D4841,"REMOVE"),"")</f>
        <v/>
      </c>
      <c r="I4841">
        <f>IF(E4841="Gmail",COUNTIF($E$2:E4841,"Gmail"),"")</f>
        <v/>
      </c>
      <c r="J4841">
        <f>IF(E4841="Outlook",COUNTIF($E$2:E4841,"Outlook"),"")</f>
        <v/>
      </c>
      <c r="K4841">
        <f>IF(E4841="Domain",COUNTIF($E$2:E4841,"Domain"),"")</f>
        <v/>
      </c>
    </row>
    <row r="4842">
      <c r="A4842" s="2" t="n"/>
      <c r="B4842">
        <f>LOWER(TRIM(A4842))</f>
        <v/>
      </c>
      <c r="C4842">
        <f>IF(B4842="","",IFERROR(INDEX('Bad Patterns'!$A$2:$A$120,MATCH(1,INDEX(--ISNUMBER(SEARCH('Bad Patterns'!$A$2:$A$120,B4842)),0),0)),""))</f>
        <v/>
      </c>
      <c r="D4842">
        <f>IF(B4842="","",IF(C4842&lt;&gt;"","REMOVE","KEEP"))</f>
        <v/>
      </c>
      <c r="E4842">
        <f>IF(D4842&lt;&gt;"KEEP","",IF(RIGHT(B4842,10)="@gmail.com","Gmail",IF(OR(RIGHT(B4842,12)="@outlook.com",RIGHT(B4842,12)="@hotmail.com",RIGHT(B4842,9)="@live.com"),"Outlook","Domain")))</f>
        <v/>
      </c>
      <c r="F4842">
        <f>IF(B4842="","",IFERROR(RIGHT(B4842,LEN(B4842)-FIND("@",B4842)),""))</f>
        <v/>
      </c>
      <c r="G4842">
        <f>IF(D4842="KEEP",COUNTIF($D$2:D4842,"KEEP"),"")</f>
        <v/>
      </c>
      <c r="H4842">
        <f>IF(D4842="REMOVE",COUNTIF($D$2:D4842,"REMOVE"),"")</f>
        <v/>
      </c>
      <c r="I4842">
        <f>IF(E4842="Gmail",COUNTIF($E$2:E4842,"Gmail"),"")</f>
        <v/>
      </c>
      <c r="J4842">
        <f>IF(E4842="Outlook",COUNTIF($E$2:E4842,"Outlook"),"")</f>
        <v/>
      </c>
      <c r="K4842">
        <f>IF(E4842="Domain",COUNTIF($E$2:E4842,"Domain"),"")</f>
        <v/>
      </c>
    </row>
    <row r="4843">
      <c r="A4843" s="2" t="n"/>
      <c r="B4843">
        <f>LOWER(TRIM(A4843))</f>
        <v/>
      </c>
      <c r="C4843">
        <f>IF(B4843="","",IFERROR(INDEX('Bad Patterns'!$A$2:$A$120,MATCH(1,INDEX(--ISNUMBER(SEARCH('Bad Patterns'!$A$2:$A$120,B4843)),0),0)),""))</f>
        <v/>
      </c>
      <c r="D4843">
        <f>IF(B4843="","",IF(C4843&lt;&gt;"","REMOVE","KEEP"))</f>
        <v/>
      </c>
      <c r="E4843">
        <f>IF(D4843&lt;&gt;"KEEP","",IF(RIGHT(B4843,10)="@gmail.com","Gmail",IF(OR(RIGHT(B4843,12)="@outlook.com",RIGHT(B4843,12)="@hotmail.com",RIGHT(B4843,9)="@live.com"),"Outlook","Domain")))</f>
        <v/>
      </c>
      <c r="F4843">
        <f>IF(B4843="","",IFERROR(RIGHT(B4843,LEN(B4843)-FIND("@",B4843)),""))</f>
        <v/>
      </c>
      <c r="G4843">
        <f>IF(D4843="KEEP",COUNTIF($D$2:D4843,"KEEP"),"")</f>
        <v/>
      </c>
      <c r="H4843">
        <f>IF(D4843="REMOVE",COUNTIF($D$2:D4843,"REMOVE"),"")</f>
        <v/>
      </c>
      <c r="I4843">
        <f>IF(E4843="Gmail",COUNTIF($E$2:E4843,"Gmail"),"")</f>
        <v/>
      </c>
      <c r="J4843">
        <f>IF(E4843="Outlook",COUNTIF($E$2:E4843,"Outlook"),"")</f>
        <v/>
      </c>
      <c r="K4843">
        <f>IF(E4843="Domain",COUNTIF($E$2:E4843,"Domain"),"")</f>
        <v/>
      </c>
    </row>
    <row r="4844">
      <c r="A4844" s="2" t="n"/>
      <c r="B4844">
        <f>LOWER(TRIM(A4844))</f>
        <v/>
      </c>
      <c r="C4844">
        <f>IF(B4844="","",IFERROR(INDEX('Bad Patterns'!$A$2:$A$120,MATCH(1,INDEX(--ISNUMBER(SEARCH('Bad Patterns'!$A$2:$A$120,B4844)),0),0)),""))</f>
        <v/>
      </c>
      <c r="D4844">
        <f>IF(B4844="","",IF(C4844&lt;&gt;"","REMOVE","KEEP"))</f>
        <v/>
      </c>
      <c r="E4844">
        <f>IF(D4844&lt;&gt;"KEEP","",IF(RIGHT(B4844,10)="@gmail.com","Gmail",IF(OR(RIGHT(B4844,12)="@outlook.com",RIGHT(B4844,12)="@hotmail.com",RIGHT(B4844,9)="@live.com"),"Outlook","Domain")))</f>
        <v/>
      </c>
      <c r="F4844">
        <f>IF(B4844="","",IFERROR(RIGHT(B4844,LEN(B4844)-FIND("@",B4844)),""))</f>
        <v/>
      </c>
      <c r="G4844">
        <f>IF(D4844="KEEP",COUNTIF($D$2:D4844,"KEEP"),"")</f>
        <v/>
      </c>
      <c r="H4844">
        <f>IF(D4844="REMOVE",COUNTIF($D$2:D4844,"REMOVE"),"")</f>
        <v/>
      </c>
      <c r="I4844">
        <f>IF(E4844="Gmail",COUNTIF($E$2:E4844,"Gmail"),"")</f>
        <v/>
      </c>
      <c r="J4844">
        <f>IF(E4844="Outlook",COUNTIF($E$2:E4844,"Outlook"),"")</f>
        <v/>
      </c>
      <c r="K4844">
        <f>IF(E4844="Domain",COUNTIF($E$2:E4844,"Domain"),"")</f>
        <v/>
      </c>
    </row>
    <row r="4845">
      <c r="A4845" s="2" t="n"/>
      <c r="B4845">
        <f>LOWER(TRIM(A4845))</f>
        <v/>
      </c>
      <c r="C4845">
        <f>IF(B4845="","",IFERROR(INDEX('Bad Patterns'!$A$2:$A$120,MATCH(1,INDEX(--ISNUMBER(SEARCH('Bad Patterns'!$A$2:$A$120,B4845)),0),0)),""))</f>
        <v/>
      </c>
      <c r="D4845">
        <f>IF(B4845="","",IF(C4845&lt;&gt;"","REMOVE","KEEP"))</f>
        <v/>
      </c>
      <c r="E4845">
        <f>IF(D4845&lt;&gt;"KEEP","",IF(RIGHT(B4845,10)="@gmail.com","Gmail",IF(OR(RIGHT(B4845,12)="@outlook.com",RIGHT(B4845,12)="@hotmail.com",RIGHT(B4845,9)="@live.com"),"Outlook","Domain")))</f>
        <v/>
      </c>
      <c r="F4845">
        <f>IF(B4845="","",IFERROR(RIGHT(B4845,LEN(B4845)-FIND("@",B4845)),""))</f>
        <v/>
      </c>
      <c r="G4845">
        <f>IF(D4845="KEEP",COUNTIF($D$2:D4845,"KEEP"),"")</f>
        <v/>
      </c>
      <c r="H4845">
        <f>IF(D4845="REMOVE",COUNTIF($D$2:D4845,"REMOVE"),"")</f>
        <v/>
      </c>
      <c r="I4845">
        <f>IF(E4845="Gmail",COUNTIF($E$2:E4845,"Gmail"),"")</f>
        <v/>
      </c>
      <c r="J4845">
        <f>IF(E4845="Outlook",COUNTIF($E$2:E4845,"Outlook"),"")</f>
        <v/>
      </c>
      <c r="K4845">
        <f>IF(E4845="Domain",COUNTIF($E$2:E4845,"Domain"),"")</f>
        <v/>
      </c>
    </row>
    <row r="4846">
      <c r="A4846" s="2" t="n"/>
      <c r="B4846">
        <f>LOWER(TRIM(A4846))</f>
        <v/>
      </c>
      <c r="C4846">
        <f>IF(B4846="","",IFERROR(INDEX('Bad Patterns'!$A$2:$A$120,MATCH(1,INDEX(--ISNUMBER(SEARCH('Bad Patterns'!$A$2:$A$120,B4846)),0),0)),""))</f>
        <v/>
      </c>
      <c r="D4846">
        <f>IF(B4846="","",IF(C4846&lt;&gt;"","REMOVE","KEEP"))</f>
        <v/>
      </c>
      <c r="E4846">
        <f>IF(D4846&lt;&gt;"KEEP","",IF(RIGHT(B4846,10)="@gmail.com","Gmail",IF(OR(RIGHT(B4846,12)="@outlook.com",RIGHT(B4846,12)="@hotmail.com",RIGHT(B4846,9)="@live.com"),"Outlook","Domain")))</f>
        <v/>
      </c>
      <c r="F4846">
        <f>IF(B4846="","",IFERROR(RIGHT(B4846,LEN(B4846)-FIND("@",B4846)),""))</f>
        <v/>
      </c>
      <c r="G4846">
        <f>IF(D4846="KEEP",COUNTIF($D$2:D4846,"KEEP"),"")</f>
        <v/>
      </c>
      <c r="H4846">
        <f>IF(D4846="REMOVE",COUNTIF($D$2:D4846,"REMOVE"),"")</f>
        <v/>
      </c>
      <c r="I4846">
        <f>IF(E4846="Gmail",COUNTIF($E$2:E4846,"Gmail"),"")</f>
        <v/>
      </c>
      <c r="J4846">
        <f>IF(E4846="Outlook",COUNTIF($E$2:E4846,"Outlook"),"")</f>
        <v/>
      </c>
      <c r="K4846">
        <f>IF(E4846="Domain",COUNTIF($E$2:E4846,"Domain"),"")</f>
        <v/>
      </c>
    </row>
    <row r="4847">
      <c r="A4847" s="2" t="n"/>
      <c r="B4847">
        <f>LOWER(TRIM(A4847))</f>
        <v/>
      </c>
      <c r="C4847">
        <f>IF(B4847="","",IFERROR(INDEX('Bad Patterns'!$A$2:$A$120,MATCH(1,INDEX(--ISNUMBER(SEARCH('Bad Patterns'!$A$2:$A$120,B4847)),0),0)),""))</f>
        <v/>
      </c>
      <c r="D4847">
        <f>IF(B4847="","",IF(C4847&lt;&gt;"","REMOVE","KEEP"))</f>
        <v/>
      </c>
      <c r="E4847">
        <f>IF(D4847&lt;&gt;"KEEP","",IF(RIGHT(B4847,10)="@gmail.com","Gmail",IF(OR(RIGHT(B4847,12)="@outlook.com",RIGHT(B4847,12)="@hotmail.com",RIGHT(B4847,9)="@live.com"),"Outlook","Domain")))</f>
        <v/>
      </c>
      <c r="F4847">
        <f>IF(B4847="","",IFERROR(RIGHT(B4847,LEN(B4847)-FIND("@",B4847)),""))</f>
        <v/>
      </c>
      <c r="G4847">
        <f>IF(D4847="KEEP",COUNTIF($D$2:D4847,"KEEP"),"")</f>
        <v/>
      </c>
      <c r="H4847">
        <f>IF(D4847="REMOVE",COUNTIF($D$2:D4847,"REMOVE"),"")</f>
        <v/>
      </c>
      <c r="I4847">
        <f>IF(E4847="Gmail",COUNTIF($E$2:E4847,"Gmail"),"")</f>
        <v/>
      </c>
      <c r="J4847">
        <f>IF(E4847="Outlook",COUNTIF($E$2:E4847,"Outlook"),"")</f>
        <v/>
      </c>
      <c r="K4847">
        <f>IF(E4847="Domain",COUNTIF($E$2:E4847,"Domain"),"")</f>
        <v/>
      </c>
    </row>
    <row r="4848">
      <c r="A4848" s="2" t="n"/>
      <c r="B4848">
        <f>LOWER(TRIM(A4848))</f>
        <v/>
      </c>
      <c r="C4848">
        <f>IF(B4848="","",IFERROR(INDEX('Bad Patterns'!$A$2:$A$120,MATCH(1,INDEX(--ISNUMBER(SEARCH('Bad Patterns'!$A$2:$A$120,B4848)),0),0)),""))</f>
        <v/>
      </c>
      <c r="D4848">
        <f>IF(B4848="","",IF(C4848&lt;&gt;"","REMOVE","KEEP"))</f>
        <v/>
      </c>
      <c r="E4848">
        <f>IF(D4848&lt;&gt;"KEEP","",IF(RIGHT(B4848,10)="@gmail.com","Gmail",IF(OR(RIGHT(B4848,12)="@outlook.com",RIGHT(B4848,12)="@hotmail.com",RIGHT(B4848,9)="@live.com"),"Outlook","Domain")))</f>
        <v/>
      </c>
      <c r="F4848">
        <f>IF(B4848="","",IFERROR(RIGHT(B4848,LEN(B4848)-FIND("@",B4848)),""))</f>
        <v/>
      </c>
      <c r="G4848">
        <f>IF(D4848="KEEP",COUNTIF($D$2:D4848,"KEEP"),"")</f>
        <v/>
      </c>
      <c r="H4848">
        <f>IF(D4848="REMOVE",COUNTIF($D$2:D4848,"REMOVE"),"")</f>
        <v/>
      </c>
      <c r="I4848">
        <f>IF(E4848="Gmail",COUNTIF($E$2:E4848,"Gmail"),"")</f>
        <v/>
      </c>
      <c r="J4848">
        <f>IF(E4848="Outlook",COUNTIF($E$2:E4848,"Outlook"),"")</f>
        <v/>
      </c>
      <c r="K4848">
        <f>IF(E4848="Domain",COUNTIF($E$2:E4848,"Domain"),"")</f>
        <v/>
      </c>
    </row>
    <row r="4849">
      <c r="A4849" s="2" t="n"/>
      <c r="B4849">
        <f>LOWER(TRIM(A4849))</f>
        <v/>
      </c>
      <c r="C4849">
        <f>IF(B4849="","",IFERROR(INDEX('Bad Patterns'!$A$2:$A$120,MATCH(1,INDEX(--ISNUMBER(SEARCH('Bad Patterns'!$A$2:$A$120,B4849)),0),0)),""))</f>
        <v/>
      </c>
      <c r="D4849">
        <f>IF(B4849="","",IF(C4849&lt;&gt;"","REMOVE","KEEP"))</f>
        <v/>
      </c>
      <c r="E4849">
        <f>IF(D4849&lt;&gt;"KEEP","",IF(RIGHT(B4849,10)="@gmail.com","Gmail",IF(OR(RIGHT(B4849,12)="@outlook.com",RIGHT(B4849,12)="@hotmail.com",RIGHT(B4849,9)="@live.com"),"Outlook","Domain")))</f>
        <v/>
      </c>
      <c r="F4849">
        <f>IF(B4849="","",IFERROR(RIGHT(B4849,LEN(B4849)-FIND("@",B4849)),""))</f>
        <v/>
      </c>
      <c r="G4849">
        <f>IF(D4849="KEEP",COUNTIF($D$2:D4849,"KEEP"),"")</f>
        <v/>
      </c>
      <c r="H4849">
        <f>IF(D4849="REMOVE",COUNTIF($D$2:D4849,"REMOVE"),"")</f>
        <v/>
      </c>
      <c r="I4849">
        <f>IF(E4849="Gmail",COUNTIF($E$2:E4849,"Gmail"),"")</f>
        <v/>
      </c>
      <c r="J4849">
        <f>IF(E4849="Outlook",COUNTIF($E$2:E4849,"Outlook"),"")</f>
        <v/>
      </c>
      <c r="K4849">
        <f>IF(E4849="Domain",COUNTIF($E$2:E4849,"Domain"),"")</f>
        <v/>
      </c>
    </row>
    <row r="4850">
      <c r="A4850" s="2" t="n"/>
      <c r="B4850">
        <f>LOWER(TRIM(A4850))</f>
        <v/>
      </c>
      <c r="C4850">
        <f>IF(B4850="","",IFERROR(INDEX('Bad Patterns'!$A$2:$A$120,MATCH(1,INDEX(--ISNUMBER(SEARCH('Bad Patterns'!$A$2:$A$120,B4850)),0),0)),""))</f>
        <v/>
      </c>
      <c r="D4850">
        <f>IF(B4850="","",IF(C4850&lt;&gt;"","REMOVE","KEEP"))</f>
        <v/>
      </c>
      <c r="E4850">
        <f>IF(D4850&lt;&gt;"KEEP","",IF(RIGHT(B4850,10)="@gmail.com","Gmail",IF(OR(RIGHT(B4850,12)="@outlook.com",RIGHT(B4850,12)="@hotmail.com",RIGHT(B4850,9)="@live.com"),"Outlook","Domain")))</f>
        <v/>
      </c>
      <c r="F4850">
        <f>IF(B4850="","",IFERROR(RIGHT(B4850,LEN(B4850)-FIND("@",B4850)),""))</f>
        <v/>
      </c>
      <c r="G4850">
        <f>IF(D4850="KEEP",COUNTIF($D$2:D4850,"KEEP"),"")</f>
        <v/>
      </c>
      <c r="H4850">
        <f>IF(D4850="REMOVE",COUNTIF($D$2:D4850,"REMOVE"),"")</f>
        <v/>
      </c>
      <c r="I4850">
        <f>IF(E4850="Gmail",COUNTIF($E$2:E4850,"Gmail"),"")</f>
        <v/>
      </c>
      <c r="J4850">
        <f>IF(E4850="Outlook",COUNTIF($E$2:E4850,"Outlook"),"")</f>
        <v/>
      </c>
      <c r="K4850">
        <f>IF(E4850="Domain",COUNTIF($E$2:E4850,"Domain"),"")</f>
        <v/>
      </c>
    </row>
    <row r="4851">
      <c r="A4851" s="2" t="n"/>
      <c r="B4851">
        <f>LOWER(TRIM(A4851))</f>
        <v/>
      </c>
      <c r="C4851">
        <f>IF(B4851="","",IFERROR(INDEX('Bad Patterns'!$A$2:$A$120,MATCH(1,INDEX(--ISNUMBER(SEARCH('Bad Patterns'!$A$2:$A$120,B4851)),0),0)),""))</f>
        <v/>
      </c>
      <c r="D4851">
        <f>IF(B4851="","",IF(C4851&lt;&gt;"","REMOVE","KEEP"))</f>
        <v/>
      </c>
      <c r="E4851">
        <f>IF(D4851&lt;&gt;"KEEP","",IF(RIGHT(B4851,10)="@gmail.com","Gmail",IF(OR(RIGHT(B4851,12)="@outlook.com",RIGHT(B4851,12)="@hotmail.com",RIGHT(B4851,9)="@live.com"),"Outlook","Domain")))</f>
        <v/>
      </c>
      <c r="F4851">
        <f>IF(B4851="","",IFERROR(RIGHT(B4851,LEN(B4851)-FIND("@",B4851)),""))</f>
        <v/>
      </c>
      <c r="G4851">
        <f>IF(D4851="KEEP",COUNTIF($D$2:D4851,"KEEP"),"")</f>
        <v/>
      </c>
      <c r="H4851">
        <f>IF(D4851="REMOVE",COUNTIF($D$2:D4851,"REMOVE"),"")</f>
        <v/>
      </c>
      <c r="I4851">
        <f>IF(E4851="Gmail",COUNTIF($E$2:E4851,"Gmail"),"")</f>
        <v/>
      </c>
      <c r="J4851">
        <f>IF(E4851="Outlook",COUNTIF($E$2:E4851,"Outlook"),"")</f>
        <v/>
      </c>
      <c r="K4851">
        <f>IF(E4851="Domain",COUNTIF($E$2:E4851,"Domain"),"")</f>
        <v/>
      </c>
    </row>
    <row r="4852">
      <c r="A4852" s="2" t="n"/>
      <c r="B4852">
        <f>LOWER(TRIM(A4852))</f>
        <v/>
      </c>
      <c r="C4852">
        <f>IF(B4852="","",IFERROR(INDEX('Bad Patterns'!$A$2:$A$120,MATCH(1,INDEX(--ISNUMBER(SEARCH('Bad Patterns'!$A$2:$A$120,B4852)),0),0)),""))</f>
        <v/>
      </c>
      <c r="D4852">
        <f>IF(B4852="","",IF(C4852&lt;&gt;"","REMOVE","KEEP"))</f>
        <v/>
      </c>
      <c r="E4852">
        <f>IF(D4852&lt;&gt;"KEEP","",IF(RIGHT(B4852,10)="@gmail.com","Gmail",IF(OR(RIGHT(B4852,12)="@outlook.com",RIGHT(B4852,12)="@hotmail.com",RIGHT(B4852,9)="@live.com"),"Outlook","Domain")))</f>
        <v/>
      </c>
      <c r="F4852">
        <f>IF(B4852="","",IFERROR(RIGHT(B4852,LEN(B4852)-FIND("@",B4852)),""))</f>
        <v/>
      </c>
      <c r="G4852">
        <f>IF(D4852="KEEP",COUNTIF($D$2:D4852,"KEEP"),"")</f>
        <v/>
      </c>
      <c r="H4852">
        <f>IF(D4852="REMOVE",COUNTIF($D$2:D4852,"REMOVE"),"")</f>
        <v/>
      </c>
      <c r="I4852">
        <f>IF(E4852="Gmail",COUNTIF($E$2:E4852,"Gmail"),"")</f>
        <v/>
      </c>
      <c r="J4852">
        <f>IF(E4852="Outlook",COUNTIF($E$2:E4852,"Outlook"),"")</f>
        <v/>
      </c>
      <c r="K4852">
        <f>IF(E4852="Domain",COUNTIF($E$2:E4852,"Domain"),"")</f>
        <v/>
      </c>
    </row>
    <row r="4853">
      <c r="A4853" s="2" t="n"/>
      <c r="B4853">
        <f>LOWER(TRIM(A4853))</f>
        <v/>
      </c>
      <c r="C4853">
        <f>IF(B4853="","",IFERROR(INDEX('Bad Patterns'!$A$2:$A$120,MATCH(1,INDEX(--ISNUMBER(SEARCH('Bad Patterns'!$A$2:$A$120,B4853)),0),0)),""))</f>
        <v/>
      </c>
      <c r="D4853">
        <f>IF(B4853="","",IF(C4853&lt;&gt;"","REMOVE","KEEP"))</f>
        <v/>
      </c>
      <c r="E4853">
        <f>IF(D4853&lt;&gt;"KEEP","",IF(RIGHT(B4853,10)="@gmail.com","Gmail",IF(OR(RIGHT(B4853,12)="@outlook.com",RIGHT(B4853,12)="@hotmail.com",RIGHT(B4853,9)="@live.com"),"Outlook","Domain")))</f>
        <v/>
      </c>
      <c r="F4853">
        <f>IF(B4853="","",IFERROR(RIGHT(B4853,LEN(B4853)-FIND("@",B4853)),""))</f>
        <v/>
      </c>
      <c r="G4853">
        <f>IF(D4853="KEEP",COUNTIF($D$2:D4853,"KEEP"),"")</f>
        <v/>
      </c>
      <c r="H4853">
        <f>IF(D4853="REMOVE",COUNTIF($D$2:D4853,"REMOVE"),"")</f>
        <v/>
      </c>
      <c r="I4853">
        <f>IF(E4853="Gmail",COUNTIF($E$2:E4853,"Gmail"),"")</f>
        <v/>
      </c>
      <c r="J4853">
        <f>IF(E4853="Outlook",COUNTIF($E$2:E4853,"Outlook"),"")</f>
        <v/>
      </c>
      <c r="K4853">
        <f>IF(E4853="Domain",COUNTIF($E$2:E4853,"Domain"),"")</f>
        <v/>
      </c>
    </row>
    <row r="4854">
      <c r="A4854" s="2" t="n"/>
      <c r="B4854">
        <f>LOWER(TRIM(A4854))</f>
        <v/>
      </c>
      <c r="C4854">
        <f>IF(B4854="","",IFERROR(INDEX('Bad Patterns'!$A$2:$A$120,MATCH(1,INDEX(--ISNUMBER(SEARCH('Bad Patterns'!$A$2:$A$120,B4854)),0),0)),""))</f>
        <v/>
      </c>
      <c r="D4854">
        <f>IF(B4854="","",IF(C4854&lt;&gt;"","REMOVE","KEEP"))</f>
        <v/>
      </c>
      <c r="E4854">
        <f>IF(D4854&lt;&gt;"KEEP","",IF(RIGHT(B4854,10)="@gmail.com","Gmail",IF(OR(RIGHT(B4854,12)="@outlook.com",RIGHT(B4854,12)="@hotmail.com",RIGHT(B4854,9)="@live.com"),"Outlook","Domain")))</f>
        <v/>
      </c>
      <c r="F4854">
        <f>IF(B4854="","",IFERROR(RIGHT(B4854,LEN(B4854)-FIND("@",B4854)),""))</f>
        <v/>
      </c>
      <c r="G4854">
        <f>IF(D4854="KEEP",COUNTIF($D$2:D4854,"KEEP"),"")</f>
        <v/>
      </c>
      <c r="H4854">
        <f>IF(D4854="REMOVE",COUNTIF($D$2:D4854,"REMOVE"),"")</f>
        <v/>
      </c>
      <c r="I4854">
        <f>IF(E4854="Gmail",COUNTIF($E$2:E4854,"Gmail"),"")</f>
        <v/>
      </c>
      <c r="J4854">
        <f>IF(E4854="Outlook",COUNTIF($E$2:E4854,"Outlook"),"")</f>
        <v/>
      </c>
      <c r="K4854">
        <f>IF(E4854="Domain",COUNTIF($E$2:E4854,"Domain"),"")</f>
        <v/>
      </c>
    </row>
    <row r="4855">
      <c r="A4855" s="2" t="n"/>
      <c r="B4855">
        <f>LOWER(TRIM(A4855))</f>
        <v/>
      </c>
      <c r="C4855">
        <f>IF(B4855="","",IFERROR(INDEX('Bad Patterns'!$A$2:$A$120,MATCH(1,INDEX(--ISNUMBER(SEARCH('Bad Patterns'!$A$2:$A$120,B4855)),0),0)),""))</f>
        <v/>
      </c>
      <c r="D4855">
        <f>IF(B4855="","",IF(C4855&lt;&gt;"","REMOVE","KEEP"))</f>
        <v/>
      </c>
      <c r="E4855">
        <f>IF(D4855&lt;&gt;"KEEP","",IF(RIGHT(B4855,10)="@gmail.com","Gmail",IF(OR(RIGHT(B4855,12)="@outlook.com",RIGHT(B4855,12)="@hotmail.com",RIGHT(B4855,9)="@live.com"),"Outlook","Domain")))</f>
        <v/>
      </c>
      <c r="F4855">
        <f>IF(B4855="","",IFERROR(RIGHT(B4855,LEN(B4855)-FIND("@",B4855)),""))</f>
        <v/>
      </c>
      <c r="G4855">
        <f>IF(D4855="KEEP",COUNTIF($D$2:D4855,"KEEP"),"")</f>
        <v/>
      </c>
      <c r="H4855">
        <f>IF(D4855="REMOVE",COUNTIF($D$2:D4855,"REMOVE"),"")</f>
        <v/>
      </c>
      <c r="I4855">
        <f>IF(E4855="Gmail",COUNTIF($E$2:E4855,"Gmail"),"")</f>
        <v/>
      </c>
      <c r="J4855">
        <f>IF(E4855="Outlook",COUNTIF($E$2:E4855,"Outlook"),"")</f>
        <v/>
      </c>
      <c r="K4855">
        <f>IF(E4855="Domain",COUNTIF($E$2:E4855,"Domain"),"")</f>
        <v/>
      </c>
    </row>
    <row r="4856">
      <c r="A4856" s="2" t="n"/>
      <c r="B4856">
        <f>LOWER(TRIM(A4856))</f>
        <v/>
      </c>
      <c r="C4856">
        <f>IF(B4856="","",IFERROR(INDEX('Bad Patterns'!$A$2:$A$120,MATCH(1,INDEX(--ISNUMBER(SEARCH('Bad Patterns'!$A$2:$A$120,B4856)),0),0)),""))</f>
        <v/>
      </c>
      <c r="D4856">
        <f>IF(B4856="","",IF(C4856&lt;&gt;"","REMOVE","KEEP"))</f>
        <v/>
      </c>
      <c r="E4856">
        <f>IF(D4856&lt;&gt;"KEEP","",IF(RIGHT(B4856,10)="@gmail.com","Gmail",IF(OR(RIGHT(B4856,12)="@outlook.com",RIGHT(B4856,12)="@hotmail.com",RIGHT(B4856,9)="@live.com"),"Outlook","Domain")))</f>
        <v/>
      </c>
      <c r="F4856">
        <f>IF(B4856="","",IFERROR(RIGHT(B4856,LEN(B4856)-FIND("@",B4856)),""))</f>
        <v/>
      </c>
      <c r="G4856">
        <f>IF(D4856="KEEP",COUNTIF($D$2:D4856,"KEEP"),"")</f>
        <v/>
      </c>
      <c r="H4856">
        <f>IF(D4856="REMOVE",COUNTIF($D$2:D4856,"REMOVE"),"")</f>
        <v/>
      </c>
      <c r="I4856">
        <f>IF(E4856="Gmail",COUNTIF($E$2:E4856,"Gmail"),"")</f>
        <v/>
      </c>
      <c r="J4856">
        <f>IF(E4856="Outlook",COUNTIF($E$2:E4856,"Outlook"),"")</f>
        <v/>
      </c>
      <c r="K4856">
        <f>IF(E4856="Domain",COUNTIF($E$2:E4856,"Domain"),"")</f>
        <v/>
      </c>
    </row>
    <row r="4857">
      <c r="A4857" s="2" t="n"/>
      <c r="B4857">
        <f>LOWER(TRIM(A4857))</f>
        <v/>
      </c>
      <c r="C4857">
        <f>IF(B4857="","",IFERROR(INDEX('Bad Patterns'!$A$2:$A$120,MATCH(1,INDEX(--ISNUMBER(SEARCH('Bad Patterns'!$A$2:$A$120,B4857)),0),0)),""))</f>
        <v/>
      </c>
      <c r="D4857">
        <f>IF(B4857="","",IF(C4857&lt;&gt;"","REMOVE","KEEP"))</f>
        <v/>
      </c>
      <c r="E4857">
        <f>IF(D4857&lt;&gt;"KEEP","",IF(RIGHT(B4857,10)="@gmail.com","Gmail",IF(OR(RIGHT(B4857,12)="@outlook.com",RIGHT(B4857,12)="@hotmail.com",RIGHT(B4857,9)="@live.com"),"Outlook","Domain")))</f>
        <v/>
      </c>
      <c r="F4857">
        <f>IF(B4857="","",IFERROR(RIGHT(B4857,LEN(B4857)-FIND("@",B4857)),""))</f>
        <v/>
      </c>
      <c r="G4857">
        <f>IF(D4857="KEEP",COUNTIF($D$2:D4857,"KEEP"),"")</f>
        <v/>
      </c>
      <c r="H4857">
        <f>IF(D4857="REMOVE",COUNTIF($D$2:D4857,"REMOVE"),"")</f>
        <v/>
      </c>
      <c r="I4857">
        <f>IF(E4857="Gmail",COUNTIF($E$2:E4857,"Gmail"),"")</f>
        <v/>
      </c>
      <c r="J4857">
        <f>IF(E4857="Outlook",COUNTIF($E$2:E4857,"Outlook"),"")</f>
        <v/>
      </c>
      <c r="K4857">
        <f>IF(E4857="Domain",COUNTIF($E$2:E4857,"Domain"),"")</f>
        <v/>
      </c>
    </row>
    <row r="4858">
      <c r="A4858" s="2" t="n"/>
      <c r="B4858">
        <f>LOWER(TRIM(A4858))</f>
        <v/>
      </c>
      <c r="C4858">
        <f>IF(B4858="","",IFERROR(INDEX('Bad Patterns'!$A$2:$A$120,MATCH(1,INDEX(--ISNUMBER(SEARCH('Bad Patterns'!$A$2:$A$120,B4858)),0),0)),""))</f>
        <v/>
      </c>
      <c r="D4858">
        <f>IF(B4858="","",IF(C4858&lt;&gt;"","REMOVE","KEEP"))</f>
        <v/>
      </c>
      <c r="E4858">
        <f>IF(D4858&lt;&gt;"KEEP","",IF(RIGHT(B4858,10)="@gmail.com","Gmail",IF(OR(RIGHT(B4858,12)="@outlook.com",RIGHT(B4858,12)="@hotmail.com",RIGHT(B4858,9)="@live.com"),"Outlook","Domain")))</f>
        <v/>
      </c>
      <c r="F4858">
        <f>IF(B4858="","",IFERROR(RIGHT(B4858,LEN(B4858)-FIND("@",B4858)),""))</f>
        <v/>
      </c>
      <c r="G4858">
        <f>IF(D4858="KEEP",COUNTIF($D$2:D4858,"KEEP"),"")</f>
        <v/>
      </c>
      <c r="H4858">
        <f>IF(D4858="REMOVE",COUNTIF($D$2:D4858,"REMOVE"),"")</f>
        <v/>
      </c>
      <c r="I4858">
        <f>IF(E4858="Gmail",COUNTIF($E$2:E4858,"Gmail"),"")</f>
        <v/>
      </c>
      <c r="J4858">
        <f>IF(E4858="Outlook",COUNTIF($E$2:E4858,"Outlook"),"")</f>
        <v/>
      </c>
      <c r="K4858">
        <f>IF(E4858="Domain",COUNTIF($E$2:E4858,"Domain"),"")</f>
        <v/>
      </c>
    </row>
    <row r="4859">
      <c r="A4859" s="2" t="n"/>
      <c r="B4859">
        <f>LOWER(TRIM(A4859))</f>
        <v/>
      </c>
      <c r="C4859">
        <f>IF(B4859="","",IFERROR(INDEX('Bad Patterns'!$A$2:$A$120,MATCH(1,INDEX(--ISNUMBER(SEARCH('Bad Patterns'!$A$2:$A$120,B4859)),0),0)),""))</f>
        <v/>
      </c>
      <c r="D4859">
        <f>IF(B4859="","",IF(C4859&lt;&gt;"","REMOVE","KEEP"))</f>
        <v/>
      </c>
      <c r="E4859">
        <f>IF(D4859&lt;&gt;"KEEP","",IF(RIGHT(B4859,10)="@gmail.com","Gmail",IF(OR(RIGHT(B4859,12)="@outlook.com",RIGHT(B4859,12)="@hotmail.com",RIGHT(B4859,9)="@live.com"),"Outlook","Domain")))</f>
        <v/>
      </c>
      <c r="F4859">
        <f>IF(B4859="","",IFERROR(RIGHT(B4859,LEN(B4859)-FIND("@",B4859)),""))</f>
        <v/>
      </c>
      <c r="G4859">
        <f>IF(D4859="KEEP",COUNTIF($D$2:D4859,"KEEP"),"")</f>
        <v/>
      </c>
      <c r="H4859">
        <f>IF(D4859="REMOVE",COUNTIF($D$2:D4859,"REMOVE"),"")</f>
        <v/>
      </c>
      <c r="I4859">
        <f>IF(E4859="Gmail",COUNTIF($E$2:E4859,"Gmail"),"")</f>
        <v/>
      </c>
      <c r="J4859">
        <f>IF(E4859="Outlook",COUNTIF($E$2:E4859,"Outlook"),"")</f>
        <v/>
      </c>
      <c r="K4859">
        <f>IF(E4859="Domain",COUNTIF($E$2:E4859,"Domain"),"")</f>
        <v/>
      </c>
    </row>
    <row r="4860">
      <c r="A4860" s="2" t="n"/>
      <c r="B4860">
        <f>LOWER(TRIM(A4860))</f>
        <v/>
      </c>
      <c r="C4860">
        <f>IF(B4860="","",IFERROR(INDEX('Bad Patterns'!$A$2:$A$120,MATCH(1,INDEX(--ISNUMBER(SEARCH('Bad Patterns'!$A$2:$A$120,B4860)),0),0)),""))</f>
        <v/>
      </c>
      <c r="D4860">
        <f>IF(B4860="","",IF(C4860&lt;&gt;"","REMOVE","KEEP"))</f>
        <v/>
      </c>
      <c r="E4860">
        <f>IF(D4860&lt;&gt;"KEEP","",IF(RIGHT(B4860,10)="@gmail.com","Gmail",IF(OR(RIGHT(B4860,12)="@outlook.com",RIGHT(B4860,12)="@hotmail.com",RIGHT(B4860,9)="@live.com"),"Outlook","Domain")))</f>
        <v/>
      </c>
      <c r="F4860">
        <f>IF(B4860="","",IFERROR(RIGHT(B4860,LEN(B4860)-FIND("@",B4860)),""))</f>
        <v/>
      </c>
      <c r="G4860">
        <f>IF(D4860="KEEP",COUNTIF($D$2:D4860,"KEEP"),"")</f>
        <v/>
      </c>
      <c r="H4860">
        <f>IF(D4860="REMOVE",COUNTIF($D$2:D4860,"REMOVE"),"")</f>
        <v/>
      </c>
      <c r="I4860">
        <f>IF(E4860="Gmail",COUNTIF($E$2:E4860,"Gmail"),"")</f>
        <v/>
      </c>
      <c r="J4860">
        <f>IF(E4860="Outlook",COUNTIF($E$2:E4860,"Outlook"),"")</f>
        <v/>
      </c>
      <c r="K4860">
        <f>IF(E4860="Domain",COUNTIF($E$2:E4860,"Domain"),"")</f>
        <v/>
      </c>
    </row>
    <row r="4861">
      <c r="A4861" s="2" t="n"/>
      <c r="B4861">
        <f>LOWER(TRIM(A4861))</f>
        <v/>
      </c>
      <c r="C4861">
        <f>IF(B4861="","",IFERROR(INDEX('Bad Patterns'!$A$2:$A$120,MATCH(1,INDEX(--ISNUMBER(SEARCH('Bad Patterns'!$A$2:$A$120,B4861)),0),0)),""))</f>
        <v/>
      </c>
      <c r="D4861">
        <f>IF(B4861="","",IF(C4861&lt;&gt;"","REMOVE","KEEP"))</f>
        <v/>
      </c>
      <c r="E4861">
        <f>IF(D4861&lt;&gt;"KEEP","",IF(RIGHT(B4861,10)="@gmail.com","Gmail",IF(OR(RIGHT(B4861,12)="@outlook.com",RIGHT(B4861,12)="@hotmail.com",RIGHT(B4861,9)="@live.com"),"Outlook","Domain")))</f>
        <v/>
      </c>
      <c r="F4861">
        <f>IF(B4861="","",IFERROR(RIGHT(B4861,LEN(B4861)-FIND("@",B4861)),""))</f>
        <v/>
      </c>
      <c r="G4861">
        <f>IF(D4861="KEEP",COUNTIF($D$2:D4861,"KEEP"),"")</f>
        <v/>
      </c>
      <c r="H4861">
        <f>IF(D4861="REMOVE",COUNTIF($D$2:D4861,"REMOVE"),"")</f>
        <v/>
      </c>
      <c r="I4861">
        <f>IF(E4861="Gmail",COUNTIF($E$2:E4861,"Gmail"),"")</f>
        <v/>
      </c>
      <c r="J4861">
        <f>IF(E4861="Outlook",COUNTIF($E$2:E4861,"Outlook"),"")</f>
        <v/>
      </c>
      <c r="K4861">
        <f>IF(E4861="Domain",COUNTIF($E$2:E4861,"Domain"),"")</f>
        <v/>
      </c>
    </row>
    <row r="4862">
      <c r="A4862" s="2" t="n"/>
      <c r="B4862">
        <f>LOWER(TRIM(A4862))</f>
        <v/>
      </c>
      <c r="C4862">
        <f>IF(B4862="","",IFERROR(INDEX('Bad Patterns'!$A$2:$A$120,MATCH(1,INDEX(--ISNUMBER(SEARCH('Bad Patterns'!$A$2:$A$120,B4862)),0),0)),""))</f>
        <v/>
      </c>
      <c r="D4862">
        <f>IF(B4862="","",IF(C4862&lt;&gt;"","REMOVE","KEEP"))</f>
        <v/>
      </c>
      <c r="E4862">
        <f>IF(D4862&lt;&gt;"KEEP","",IF(RIGHT(B4862,10)="@gmail.com","Gmail",IF(OR(RIGHT(B4862,12)="@outlook.com",RIGHT(B4862,12)="@hotmail.com",RIGHT(B4862,9)="@live.com"),"Outlook","Domain")))</f>
        <v/>
      </c>
      <c r="F4862">
        <f>IF(B4862="","",IFERROR(RIGHT(B4862,LEN(B4862)-FIND("@",B4862)),""))</f>
        <v/>
      </c>
      <c r="G4862">
        <f>IF(D4862="KEEP",COUNTIF($D$2:D4862,"KEEP"),"")</f>
        <v/>
      </c>
      <c r="H4862">
        <f>IF(D4862="REMOVE",COUNTIF($D$2:D4862,"REMOVE"),"")</f>
        <v/>
      </c>
      <c r="I4862">
        <f>IF(E4862="Gmail",COUNTIF($E$2:E4862,"Gmail"),"")</f>
        <v/>
      </c>
      <c r="J4862">
        <f>IF(E4862="Outlook",COUNTIF($E$2:E4862,"Outlook"),"")</f>
        <v/>
      </c>
      <c r="K4862">
        <f>IF(E4862="Domain",COUNTIF($E$2:E4862,"Domain"),"")</f>
        <v/>
      </c>
    </row>
    <row r="4863">
      <c r="A4863" s="2" t="n"/>
      <c r="B4863">
        <f>LOWER(TRIM(A4863))</f>
        <v/>
      </c>
      <c r="C4863">
        <f>IF(B4863="","",IFERROR(INDEX('Bad Patterns'!$A$2:$A$120,MATCH(1,INDEX(--ISNUMBER(SEARCH('Bad Patterns'!$A$2:$A$120,B4863)),0),0)),""))</f>
        <v/>
      </c>
      <c r="D4863">
        <f>IF(B4863="","",IF(C4863&lt;&gt;"","REMOVE","KEEP"))</f>
        <v/>
      </c>
      <c r="E4863">
        <f>IF(D4863&lt;&gt;"KEEP","",IF(RIGHT(B4863,10)="@gmail.com","Gmail",IF(OR(RIGHT(B4863,12)="@outlook.com",RIGHT(B4863,12)="@hotmail.com",RIGHT(B4863,9)="@live.com"),"Outlook","Domain")))</f>
        <v/>
      </c>
      <c r="F4863">
        <f>IF(B4863="","",IFERROR(RIGHT(B4863,LEN(B4863)-FIND("@",B4863)),""))</f>
        <v/>
      </c>
      <c r="G4863">
        <f>IF(D4863="KEEP",COUNTIF($D$2:D4863,"KEEP"),"")</f>
        <v/>
      </c>
      <c r="H4863">
        <f>IF(D4863="REMOVE",COUNTIF($D$2:D4863,"REMOVE"),"")</f>
        <v/>
      </c>
      <c r="I4863">
        <f>IF(E4863="Gmail",COUNTIF($E$2:E4863,"Gmail"),"")</f>
        <v/>
      </c>
      <c r="J4863">
        <f>IF(E4863="Outlook",COUNTIF($E$2:E4863,"Outlook"),"")</f>
        <v/>
      </c>
      <c r="K4863">
        <f>IF(E4863="Domain",COUNTIF($E$2:E4863,"Domain"),"")</f>
        <v/>
      </c>
    </row>
    <row r="4864">
      <c r="A4864" s="2" t="n"/>
      <c r="B4864">
        <f>LOWER(TRIM(A4864))</f>
        <v/>
      </c>
      <c r="C4864">
        <f>IF(B4864="","",IFERROR(INDEX('Bad Patterns'!$A$2:$A$120,MATCH(1,INDEX(--ISNUMBER(SEARCH('Bad Patterns'!$A$2:$A$120,B4864)),0),0)),""))</f>
        <v/>
      </c>
      <c r="D4864">
        <f>IF(B4864="","",IF(C4864&lt;&gt;"","REMOVE","KEEP"))</f>
        <v/>
      </c>
      <c r="E4864">
        <f>IF(D4864&lt;&gt;"KEEP","",IF(RIGHT(B4864,10)="@gmail.com","Gmail",IF(OR(RIGHT(B4864,12)="@outlook.com",RIGHT(B4864,12)="@hotmail.com",RIGHT(B4864,9)="@live.com"),"Outlook","Domain")))</f>
        <v/>
      </c>
      <c r="F4864">
        <f>IF(B4864="","",IFERROR(RIGHT(B4864,LEN(B4864)-FIND("@",B4864)),""))</f>
        <v/>
      </c>
      <c r="G4864">
        <f>IF(D4864="KEEP",COUNTIF($D$2:D4864,"KEEP"),"")</f>
        <v/>
      </c>
      <c r="H4864">
        <f>IF(D4864="REMOVE",COUNTIF($D$2:D4864,"REMOVE"),"")</f>
        <v/>
      </c>
      <c r="I4864">
        <f>IF(E4864="Gmail",COUNTIF($E$2:E4864,"Gmail"),"")</f>
        <v/>
      </c>
      <c r="J4864">
        <f>IF(E4864="Outlook",COUNTIF($E$2:E4864,"Outlook"),"")</f>
        <v/>
      </c>
      <c r="K4864">
        <f>IF(E4864="Domain",COUNTIF($E$2:E4864,"Domain"),"")</f>
        <v/>
      </c>
    </row>
    <row r="4865">
      <c r="A4865" s="2" t="n"/>
      <c r="B4865">
        <f>LOWER(TRIM(A4865))</f>
        <v/>
      </c>
      <c r="C4865">
        <f>IF(B4865="","",IFERROR(INDEX('Bad Patterns'!$A$2:$A$120,MATCH(1,INDEX(--ISNUMBER(SEARCH('Bad Patterns'!$A$2:$A$120,B4865)),0),0)),""))</f>
        <v/>
      </c>
      <c r="D4865">
        <f>IF(B4865="","",IF(C4865&lt;&gt;"","REMOVE","KEEP"))</f>
        <v/>
      </c>
      <c r="E4865">
        <f>IF(D4865&lt;&gt;"KEEP","",IF(RIGHT(B4865,10)="@gmail.com","Gmail",IF(OR(RIGHT(B4865,12)="@outlook.com",RIGHT(B4865,12)="@hotmail.com",RIGHT(B4865,9)="@live.com"),"Outlook","Domain")))</f>
        <v/>
      </c>
      <c r="F4865">
        <f>IF(B4865="","",IFERROR(RIGHT(B4865,LEN(B4865)-FIND("@",B4865)),""))</f>
        <v/>
      </c>
      <c r="G4865">
        <f>IF(D4865="KEEP",COUNTIF($D$2:D4865,"KEEP"),"")</f>
        <v/>
      </c>
      <c r="H4865">
        <f>IF(D4865="REMOVE",COUNTIF($D$2:D4865,"REMOVE"),"")</f>
        <v/>
      </c>
      <c r="I4865">
        <f>IF(E4865="Gmail",COUNTIF($E$2:E4865,"Gmail"),"")</f>
        <v/>
      </c>
      <c r="J4865">
        <f>IF(E4865="Outlook",COUNTIF($E$2:E4865,"Outlook"),"")</f>
        <v/>
      </c>
      <c r="K4865">
        <f>IF(E4865="Domain",COUNTIF($E$2:E4865,"Domain"),"")</f>
        <v/>
      </c>
    </row>
    <row r="4866">
      <c r="A4866" s="2" t="n"/>
      <c r="B4866">
        <f>LOWER(TRIM(A4866))</f>
        <v/>
      </c>
      <c r="C4866">
        <f>IF(B4866="","",IFERROR(INDEX('Bad Patterns'!$A$2:$A$120,MATCH(1,INDEX(--ISNUMBER(SEARCH('Bad Patterns'!$A$2:$A$120,B4866)),0),0)),""))</f>
        <v/>
      </c>
      <c r="D4866">
        <f>IF(B4866="","",IF(C4866&lt;&gt;"","REMOVE","KEEP"))</f>
        <v/>
      </c>
      <c r="E4866">
        <f>IF(D4866&lt;&gt;"KEEP","",IF(RIGHT(B4866,10)="@gmail.com","Gmail",IF(OR(RIGHT(B4866,12)="@outlook.com",RIGHT(B4866,12)="@hotmail.com",RIGHT(B4866,9)="@live.com"),"Outlook","Domain")))</f>
        <v/>
      </c>
      <c r="F4866">
        <f>IF(B4866="","",IFERROR(RIGHT(B4866,LEN(B4866)-FIND("@",B4866)),""))</f>
        <v/>
      </c>
      <c r="G4866">
        <f>IF(D4866="KEEP",COUNTIF($D$2:D4866,"KEEP"),"")</f>
        <v/>
      </c>
      <c r="H4866">
        <f>IF(D4866="REMOVE",COUNTIF($D$2:D4866,"REMOVE"),"")</f>
        <v/>
      </c>
      <c r="I4866">
        <f>IF(E4866="Gmail",COUNTIF($E$2:E4866,"Gmail"),"")</f>
        <v/>
      </c>
      <c r="J4866">
        <f>IF(E4866="Outlook",COUNTIF($E$2:E4866,"Outlook"),"")</f>
        <v/>
      </c>
      <c r="K4866">
        <f>IF(E4866="Domain",COUNTIF($E$2:E4866,"Domain"),"")</f>
        <v/>
      </c>
    </row>
    <row r="4867">
      <c r="A4867" s="2" t="n"/>
      <c r="B4867">
        <f>LOWER(TRIM(A4867))</f>
        <v/>
      </c>
      <c r="C4867">
        <f>IF(B4867="","",IFERROR(INDEX('Bad Patterns'!$A$2:$A$120,MATCH(1,INDEX(--ISNUMBER(SEARCH('Bad Patterns'!$A$2:$A$120,B4867)),0),0)),""))</f>
        <v/>
      </c>
      <c r="D4867">
        <f>IF(B4867="","",IF(C4867&lt;&gt;"","REMOVE","KEEP"))</f>
        <v/>
      </c>
      <c r="E4867">
        <f>IF(D4867&lt;&gt;"KEEP","",IF(RIGHT(B4867,10)="@gmail.com","Gmail",IF(OR(RIGHT(B4867,12)="@outlook.com",RIGHT(B4867,12)="@hotmail.com",RIGHT(B4867,9)="@live.com"),"Outlook","Domain")))</f>
        <v/>
      </c>
      <c r="F4867">
        <f>IF(B4867="","",IFERROR(RIGHT(B4867,LEN(B4867)-FIND("@",B4867)),""))</f>
        <v/>
      </c>
      <c r="G4867">
        <f>IF(D4867="KEEP",COUNTIF($D$2:D4867,"KEEP"),"")</f>
        <v/>
      </c>
      <c r="H4867">
        <f>IF(D4867="REMOVE",COUNTIF($D$2:D4867,"REMOVE"),"")</f>
        <v/>
      </c>
      <c r="I4867">
        <f>IF(E4867="Gmail",COUNTIF($E$2:E4867,"Gmail"),"")</f>
        <v/>
      </c>
      <c r="J4867">
        <f>IF(E4867="Outlook",COUNTIF($E$2:E4867,"Outlook"),"")</f>
        <v/>
      </c>
      <c r="K4867">
        <f>IF(E4867="Domain",COUNTIF($E$2:E4867,"Domain"),"")</f>
        <v/>
      </c>
    </row>
    <row r="4868">
      <c r="A4868" s="2" t="n"/>
      <c r="B4868">
        <f>LOWER(TRIM(A4868))</f>
        <v/>
      </c>
      <c r="C4868">
        <f>IF(B4868="","",IFERROR(INDEX('Bad Patterns'!$A$2:$A$120,MATCH(1,INDEX(--ISNUMBER(SEARCH('Bad Patterns'!$A$2:$A$120,B4868)),0),0)),""))</f>
        <v/>
      </c>
      <c r="D4868">
        <f>IF(B4868="","",IF(C4868&lt;&gt;"","REMOVE","KEEP"))</f>
        <v/>
      </c>
      <c r="E4868">
        <f>IF(D4868&lt;&gt;"KEEP","",IF(RIGHT(B4868,10)="@gmail.com","Gmail",IF(OR(RIGHT(B4868,12)="@outlook.com",RIGHT(B4868,12)="@hotmail.com",RIGHT(B4868,9)="@live.com"),"Outlook","Domain")))</f>
        <v/>
      </c>
      <c r="F4868">
        <f>IF(B4868="","",IFERROR(RIGHT(B4868,LEN(B4868)-FIND("@",B4868)),""))</f>
        <v/>
      </c>
      <c r="G4868">
        <f>IF(D4868="KEEP",COUNTIF($D$2:D4868,"KEEP"),"")</f>
        <v/>
      </c>
      <c r="H4868">
        <f>IF(D4868="REMOVE",COUNTIF($D$2:D4868,"REMOVE"),"")</f>
        <v/>
      </c>
      <c r="I4868">
        <f>IF(E4868="Gmail",COUNTIF($E$2:E4868,"Gmail"),"")</f>
        <v/>
      </c>
      <c r="J4868">
        <f>IF(E4868="Outlook",COUNTIF($E$2:E4868,"Outlook"),"")</f>
        <v/>
      </c>
      <c r="K4868">
        <f>IF(E4868="Domain",COUNTIF($E$2:E4868,"Domain"),"")</f>
        <v/>
      </c>
    </row>
    <row r="4869">
      <c r="A4869" s="2" t="n"/>
      <c r="B4869">
        <f>LOWER(TRIM(A4869))</f>
        <v/>
      </c>
      <c r="C4869">
        <f>IF(B4869="","",IFERROR(INDEX('Bad Patterns'!$A$2:$A$120,MATCH(1,INDEX(--ISNUMBER(SEARCH('Bad Patterns'!$A$2:$A$120,B4869)),0),0)),""))</f>
        <v/>
      </c>
      <c r="D4869">
        <f>IF(B4869="","",IF(C4869&lt;&gt;"","REMOVE","KEEP"))</f>
        <v/>
      </c>
      <c r="E4869">
        <f>IF(D4869&lt;&gt;"KEEP","",IF(RIGHT(B4869,10)="@gmail.com","Gmail",IF(OR(RIGHT(B4869,12)="@outlook.com",RIGHT(B4869,12)="@hotmail.com",RIGHT(B4869,9)="@live.com"),"Outlook","Domain")))</f>
        <v/>
      </c>
      <c r="F4869">
        <f>IF(B4869="","",IFERROR(RIGHT(B4869,LEN(B4869)-FIND("@",B4869)),""))</f>
        <v/>
      </c>
      <c r="G4869">
        <f>IF(D4869="KEEP",COUNTIF($D$2:D4869,"KEEP"),"")</f>
        <v/>
      </c>
      <c r="H4869">
        <f>IF(D4869="REMOVE",COUNTIF($D$2:D4869,"REMOVE"),"")</f>
        <v/>
      </c>
      <c r="I4869">
        <f>IF(E4869="Gmail",COUNTIF($E$2:E4869,"Gmail"),"")</f>
        <v/>
      </c>
      <c r="J4869">
        <f>IF(E4869="Outlook",COUNTIF($E$2:E4869,"Outlook"),"")</f>
        <v/>
      </c>
      <c r="K4869">
        <f>IF(E4869="Domain",COUNTIF($E$2:E4869,"Domain"),"")</f>
        <v/>
      </c>
    </row>
    <row r="4870">
      <c r="A4870" s="2" t="n"/>
      <c r="B4870">
        <f>LOWER(TRIM(A4870))</f>
        <v/>
      </c>
      <c r="C4870">
        <f>IF(B4870="","",IFERROR(INDEX('Bad Patterns'!$A$2:$A$120,MATCH(1,INDEX(--ISNUMBER(SEARCH('Bad Patterns'!$A$2:$A$120,B4870)),0),0)),""))</f>
        <v/>
      </c>
      <c r="D4870">
        <f>IF(B4870="","",IF(C4870&lt;&gt;"","REMOVE","KEEP"))</f>
        <v/>
      </c>
      <c r="E4870">
        <f>IF(D4870&lt;&gt;"KEEP","",IF(RIGHT(B4870,10)="@gmail.com","Gmail",IF(OR(RIGHT(B4870,12)="@outlook.com",RIGHT(B4870,12)="@hotmail.com",RIGHT(B4870,9)="@live.com"),"Outlook","Domain")))</f>
        <v/>
      </c>
      <c r="F4870">
        <f>IF(B4870="","",IFERROR(RIGHT(B4870,LEN(B4870)-FIND("@",B4870)),""))</f>
        <v/>
      </c>
      <c r="G4870">
        <f>IF(D4870="KEEP",COUNTIF($D$2:D4870,"KEEP"),"")</f>
        <v/>
      </c>
      <c r="H4870">
        <f>IF(D4870="REMOVE",COUNTIF($D$2:D4870,"REMOVE"),"")</f>
        <v/>
      </c>
      <c r="I4870">
        <f>IF(E4870="Gmail",COUNTIF($E$2:E4870,"Gmail"),"")</f>
        <v/>
      </c>
      <c r="J4870">
        <f>IF(E4870="Outlook",COUNTIF($E$2:E4870,"Outlook"),"")</f>
        <v/>
      </c>
      <c r="K4870">
        <f>IF(E4870="Domain",COUNTIF($E$2:E4870,"Domain"),"")</f>
        <v/>
      </c>
    </row>
    <row r="4871">
      <c r="A4871" s="2" t="n"/>
      <c r="B4871">
        <f>LOWER(TRIM(A4871))</f>
        <v/>
      </c>
      <c r="C4871">
        <f>IF(B4871="","",IFERROR(INDEX('Bad Patterns'!$A$2:$A$120,MATCH(1,INDEX(--ISNUMBER(SEARCH('Bad Patterns'!$A$2:$A$120,B4871)),0),0)),""))</f>
        <v/>
      </c>
      <c r="D4871">
        <f>IF(B4871="","",IF(C4871&lt;&gt;"","REMOVE","KEEP"))</f>
        <v/>
      </c>
      <c r="E4871">
        <f>IF(D4871&lt;&gt;"KEEP","",IF(RIGHT(B4871,10)="@gmail.com","Gmail",IF(OR(RIGHT(B4871,12)="@outlook.com",RIGHT(B4871,12)="@hotmail.com",RIGHT(B4871,9)="@live.com"),"Outlook","Domain")))</f>
        <v/>
      </c>
      <c r="F4871">
        <f>IF(B4871="","",IFERROR(RIGHT(B4871,LEN(B4871)-FIND("@",B4871)),""))</f>
        <v/>
      </c>
      <c r="G4871">
        <f>IF(D4871="KEEP",COUNTIF($D$2:D4871,"KEEP"),"")</f>
        <v/>
      </c>
      <c r="H4871">
        <f>IF(D4871="REMOVE",COUNTIF($D$2:D4871,"REMOVE"),"")</f>
        <v/>
      </c>
      <c r="I4871">
        <f>IF(E4871="Gmail",COUNTIF($E$2:E4871,"Gmail"),"")</f>
        <v/>
      </c>
      <c r="J4871">
        <f>IF(E4871="Outlook",COUNTIF($E$2:E4871,"Outlook"),"")</f>
        <v/>
      </c>
      <c r="K4871">
        <f>IF(E4871="Domain",COUNTIF($E$2:E4871,"Domain"),"")</f>
        <v/>
      </c>
    </row>
    <row r="4872">
      <c r="A4872" s="2" t="n"/>
      <c r="B4872">
        <f>LOWER(TRIM(A4872))</f>
        <v/>
      </c>
      <c r="C4872">
        <f>IF(B4872="","",IFERROR(INDEX('Bad Patterns'!$A$2:$A$120,MATCH(1,INDEX(--ISNUMBER(SEARCH('Bad Patterns'!$A$2:$A$120,B4872)),0),0)),""))</f>
        <v/>
      </c>
      <c r="D4872">
        <f>IF(B4872="","",IF(C4872&lt;&gt;"","REMOVE","KEEP"))</f>
        <v/>
      </c>
      <c r="E4872">
        <f>IF(D4872&lt;&gt;"KEEP","",IF(RIGHT(B4872,10)="@gmail.com","Gmail",IF(OR(RIGHT(B4872,12)="@outlook.com",RIGHT(B4872,12)="@hotmail.com",RIGHT(B4872,9)="@live.com"),"Outlook","Domain")))</f>
        <v/>
      </c>
      <c r="F4872">
        <f>IF(B4872="","",IFERROR(RIGHT(B4872,LEN(B4872)-FIND("@",B4872)),""))</f>
        <v/>
      </c>
      <c r="G4872">
        <f>IF(D4872="KEEP",COUNTIF($D$2:D4872,"KEEP"),"")</f>
        <v/>
      </c>
      <c r="H4872">
        <f>IF(D4872="REMOVE",COUNTIF($D$2:D4872,"REMOVE"),"")</f>
        <v/>
      </c>
      <c r="I4872">
        <f>IF(E4872="Gmail",COUNTIF($E$2:E4872,"Gmail"),"")</f>
        <v/>
      </c>
      <c r="J4872">
        <f>IF(E4872="Outlook",COUNTIF($E$2:E4872,"Outlook"),"")</f>
        <v/>
      </c>
      <c r="K4872">
        <f>IF(E4872="Domain",COUNTIF($E$2:E4872,"Domain"),"")</f>
        <v/>
      </c>
    </row>
    <row r="4873">
      <c r="A4873" s="2" t="n"/>
      <c r="B4873">
        <f>LOWER(TRIM(A4873))</f>
        <v/>
      </c>
      <c r="C4873">
        <f>IF(B4873="","",IFERROR(INDEX('Bad Patterns'!$A$2:$A$120,MATCH(1,INDEX(--ISNUMBER(SEARCH('Bad Patterns'!$A$2:$A$120,B4873)),0),0)),""))</f>
        <v/>
      </c>
      <c r="D4873">
        <f>IF(B4873="","",IF(C4873&lt;&gt;"","REMOVE","KEEP"))</f>
        <v/>
      </c>
      <c r="E4873">
        <f>IF(D4873&lt;&gt;"KEEP","",IF(RIGHT(B4873,10)="@gmail.com","Gmail",IF(OR(RIGHT(B4873,12)="@outlook.com",RIGHT(B4873,12)="@hotmail.com",RIGHT(B4873,9)="@live.com"),"Outlook","Domain")))</f>
        <v/>
      </c>
      <c r="F4873">
        <f>IF(B4873="","",IFERROR(RIGHT(B4873,LEN(B4873)-FIND("@",B4873)),""))</f>
        <v/>
      </c>
      <c r="G4873">
        <f>IF(D4873="KEEP",COUNTIF($D$2:D4873,"KEEP"),"")</f>
        <v/>
      </c>
      <c r="H4873">
        <f>IF(D4873="REMOVE",COUNTIF($D$2:D4873,"REMOVE"),"")</f>
        <v/>
      </c>
      <c r="I4873">
        <f>IF(E4873="Gmail",COUNTIF($E$2:E4873,"Gmail"),"")</f>
        <v/>
      </c>
      <c r="J4873">
        <f>IF(E4873="Outlook",COUNTIF($E$2:E4873,"Outlook"),"")</f>
        <v/>
      </c>
      <c r="K4873">
        <f>IF(E4873="Domain",COUNTIF($E$2:E4873,"Domain"),"")</f>
        <v/>
      </c>
    </row>
    <row r="4874">
      <c r="A4874" s="2" t="n"/>
      <c r="B4874">
        <f>LOWER(TRIM(A4874))</f>
        <v/>
      </c>
      <c r="C4874">
        <f>IF(B4874="","",IFERROR(INDEX('Bad Patterns'!$A$2:$A$120,MATCH(1,INDEX(--ISNUMBER(SEARCH('Bad Patterns'!$A$2:$A$120,B4874)),0),0)),""))</f>
        <v/>
      </c>
      <c r="D4874">
        <f>IF(B4874="","",IF(C4874&lt;&gt;"","REMOVE","KEEP"))</f>
        <v/>
      </c>
      <c r="E4874">
        <f>IF(D4874&lt;&gt;"KEEP","",IF(RIGHT(B4874,10)="@gmail.com","Gmail",IF(OR(RIGHT(B4874,12)="@outlook.com",RIGHT(B4874,12)="@hotmail.com",RIGHT(B4874,9)="@live.com"),"Outlook","Domain")))</f>
        <v/>
      </c>
      <c r="F4874">
        <f>IF(B4874="","",IFERROR(RIGHT(B4874,LEN(B4874)-FIND("@",B4874)),""))</f>
        <v/>
      </c>
      <c r="G4874">
        <f>IF(D4874="KEEP",COUNTIF($D$2:D4874,"KEEP"),"")</f>
        <v/>
      </c>
      <c r="H4874">
        <f>IF(D4874="REMOVE",COUNTIF($D$2:D4874,"REMOVE"),"")</f>
        <v/>
      </c>
      <c r="I4874">
        <f>IF(E4874="Gmail",COUNTIF($E$2:E4874,"Gmail"),"")</f>
        <v/>
      </c>
      <c r="J4874">
        <f>IF(E4874="Outlook",COUNTIF($E$2:E4874,"Outlook"),"")</f>
        <v/>
      </c>
      <c r="K4874">
        <f>IF(E4874="Domain",COUNTIF($E$2:E4874,"Domain"),"")</f>
        <v/>
      </c>
    </row>
    <row r="4875">
      <c r="A4875" s="2" t="n"/>
      <c r="B4875">
        <f>LOWER(TRIM(A4875))</f>
        <v/>
      </c>
      <c r="C4875">
        <f>IF(B4875="","",IFERROR(INDEX('Bad Patterns'!$A$2:$A$120,MATCH(1,INDEX(--ISNUMBER(SEARCH('Bad Patterns'!$A$2:$A$120,B4875)),0),0)),""))</f>
        <v/>
      </c>
      <c r="D4875">
        <f>IF(B4875="","",IF(C4875&lt;&gt;"","REMOVE","KEEP"))</f>
        <v/>
      </c>
      <c r="E4875">
        <f>IF(D4875&lt;&gt;"KEEP","",IF(RIGHT(B4875,10)="@gmail.com","Gmail",IF(OR(RIGHT(B4875,12)="@outlook.com",RIGHT(B4875,12)="@hotmail.com",RIGHT(B4875,9)="@live.com"),"Outlook","Domain")))</f>
        <v/>
      </c>
      <c r="F4875">
        <f>IF(B4875="","",IFERROR(RIGHT(B4875,LEN(B4875)-FIND("@",B4875)),""))</f>
        <v/>
      </c>
      <c r="G4875">
        <f>IF(D4875="KEEP",COUNTIF($D$2:D4875,"KEEP"),"")</f>
        <v/>
      </c>
      <c r="H4875">
        <f>IF(D4875="REMOVE",COUNTIF($D$2:D4875,"REMOVE"),"")</f>
        <v/>
      </c>
      <c r="I4875">
        <f>IF(E4875="Gmail",COUNTIF($E$2:E4875,"Gmail"),"")</f>
        <v/>
      </c>
      <c r="J4875">
        <f>IF(E4875="Outlook",COUNTIF($E$2:E4875,"Outlook"),"")</f>
        <v/>
      </c>
      <c r="K4875">
        <f>IF(E4875="Domain",COUNTIF($E$2:E4875,"Domain"),"")</f>
        <v/>
      </c>
    </row>
    <row r="4876">
      <c r="A4876" s="2" t="n"/>
      <c r="B4876">
        <f>LOWER(TRIM(A4876))</f>
        <v/>
      </c>
      <c r="C4876">
        <f>IF(B4876="","",IFERROR(INDEX('Bad Patterns'!$A$2:$A$120,MATCH(1,INDEX(--ISNUMBER(SEARCH('Bad Patterns'!$A$2:$A$120,B4876)),0),0)),""))</f>
        <v/>
      </c>
      <c r="D4876">
        <f>IF(B4876="","",IF(C4876&lt;&gt;"","REMOVE","KEEP"))</f>
        <v/>
      </c>
      <c r="E4876">
        <f>IF(D4876&lt;&gt;"KEEP","",IF(RIGHT(B4876,10)="@gmail.com","Gmail",IF(OR(RIGHT(B4876,12)="@outlook.com",RIGHT(B4876,12)="@hotmail.com",RIGHT(B4876,9)="@live.com"),"Outlook","Domain")))</f>
        <v/>
      </c>
      <c r="F4876">
        <f>IF(B4876="","",IFERROR(RIGHT(B4876,LEN(B4876)-FIND("@",B4876)),""))</f>
        <v/>
      </c>
      <c r="G4876">
        <f>IF(D4876="KEEP",COUNTIF($D$2:D4876,"KEEP"),"")</f>
        <v/>
      </c>
      <c r="H4876">
        <f>IF(D4876="REMOVE",COUNTIF($D$2:D4876,"REMOVE"),"")</f>
        <v/>
      </c>
      <c r="I4876">
        <f>IF(E4876="Gmail",COUNTIF($E$2:E4876,"Gmail"),"")</f>
        <v/>
      </c>
      <c r="J4876">
        <f>IF(E4876="Outlook",COUNTIF($E$2:E4876,"Outlook"),"")</f>
        <v/>
      </c>
      <c r="K4876">
        <f>IF(E4876="Domain",COUNTIF($E$2:E4876,"Domain"),"")</f>
        <v/>
      </c>
    </row>
    <row r="4877">
      <c r="A4877" s="2" t="n"/>
      <c r="B4877">
        <f>LOWER(TRIM(A4877))</f>
        <v/>
      </c>
      <c r="C4877">
        <f>IF(B4877="","",IFERROR(INDEX('Bad Patterns'!$A$2:$A$120,MATCH(1,INDEX(--ISNUMBER(SEARCH('Bad Patterns'!$A$2:$A$120,B4877)),0),0)),""))</f>
        <v/>
      </c>
      <c r="D4877">
        <f>IF(B4877="","",IF(C4877&lt;&gt;"","REMOVE","KEEP"))</f>
        <v/>
      </c>
      <c r="E4877">
        <f>IF(D4877&lt;&gt;"KEEP","",IF(RIGHT(B4877,10)="@gmail.com","Gmail",IF(OR(RIGHT(B4877,12)="@outlook.com",RIGHT(B4877,12)="@hotmail.com",RIGHT(B4877,9)="@live.com"),"Outlook","Domain")))</f>
        <v/>
      </c>
      <c r="F4877">
        <f>IF(B4877="","",IFERROR(RIGHT(B4877,LEN(B4877)-FIND("@",B4877)),""))</f>
        <v/>
      </c>
      <c r="G4877">
        <f>IF(D4877="KEEP",COUNTIF($D$2:D4877,"KEEP"),"")</f>
        <v/>
      </c>
      <c r="H4877">
        <f>IF(D4877="REMOVE",COUNTIF($D$2:D4877,"REMOVE"),"")</f>
        <v/>
      </c>
      <c r="I4877">
        <f>IF(E4877="Gmail",COUNTIF($E$2:E4877,"Gmail"),"")</f>
        <v/>
      </c>
      <c r="J4877">
        <f>IF(E4877="Outlook",COUNTIF($E$2:E4877,"Outlook"),"")</f>
        <v/>
      </c>
      <c r="K4877">
        <f>IF(E4877="Domain",COUNTIF($E$2:E4877,"Domain"),"")</f>
        <v/>
      </c>
    </row>
    <row r="4878">
      <c r="A4878" s="2" t="n"/>
      <c r="B4878">
        <f>LOWER(TRIM(A4878))</f>
        <v/>
      </c>
      <c r="C4878">
        <f>IF(B4878="","",IFERROR(INDEX('Bad Patterns'!$A$2:$A$120,MATCH(1,INDEX(--ISNUMBER(SEARCH('Bad Patterns'!$A$2:$A$120,B4878)),0),0)),""))</f>
        <v/>
      </c>
      <c r="D4878">
        <f>IF(B4878="","",IF(C4878&lt;&gt;"","REMOVE","KEEP"))</f>
        <v/>
      </c>
      <c r="E4878">
        <f>IF(D4878&lt;&gt;"KEEP","",IF(RIGHT(B4878,10)="@gmail.com","Gmail",IF(OR(RIGHT(B4878,12)="@outlook.com",RIGHT(B4878,12)="@hotmail.com",RIGHT(B4878,9)="@live.com"),"Outlook","Domain")))</f>
        <v/>
      </c>
      <c r="F4878">
        <f>IF(B4878="","",IFERROR(RIGHT(B4878,LEN(B4878)-FIND("@",B4878)),""))</f>
        <v/>
      </c>
      <c r="G4878">
        <f>IF(D4878="KEEP",COUNTIF($D$2:D4878,"KEEP"),"")</f>
        <v/>
      </c>
      <c r="H4878">
        <f>IF(D4878="REMOVE",COUNTIF($D$2:D4878,"REMOVE"),"")</f>
        <v/>
      </c>
      <c r="I4878">
        <f>IF(E4878="Gmail",COUNTIF($E$2:E4878,"Gmail"),"")</f>
        <v/>
      </c>
      <c r="J4878">
        <f>IF(E4878="Outlook",COUNTIF($E$2:E4878,"Outlook"),"")</f>
        <v/>
      </c>
      <c r="K4878">
        <f>IF(E4878="Domain",COUNTIF($E$2:E4878,"Domain"),"")</f>
        <v/>
      </c>
    </row>
    <row r="4879">
      <c r="A4879" s="2" t="n"/>
      <c r="B4879">
        <f>LOWER(TRIM(A4879))</f>
        <v/>
      </c>
      <c r="C4879">
        <f>IF(B4879="","",IFERROR(INDEX('Bad Patterns'!$A$2:$A$120,MATCH(1,INDEX(--ISNUMBER(SEARCH('Bad Patterns'!$A$2:$A$120,B4879)),0),0)),""))</f>
        <v/>
      </c>
      <c r="D4879">
        <f>IF(B4879="","",IF(C4879&lt;&gt;"","REMOVE","KEEP"))</f>
        <v/>
      </c>
      <c r="E4879">
        <f>IF(D4879&lt;&gt;"KEEP","",IF(RIGHT(B4879,10)="@gmail.com","Gmail",IF(OR(RIGHT(B4879,12)="@outlook.com",RIGHT(B4879,12)="@hotmail.com",RIGHT(B4879,9)="@live.com"),"Outlook","Domain")))</f>
        <v/>
      </c>
      <c r="F4879">
        <f>IF(B4879="","",IFERROR(RIGHT(B4879,LEN(B4879)-FIND("@",B4879)),""))</f>
        <v/>
      </c>
      <c r="G4879">
        <f>IF(D4879="KEEP",COUNTIF($D$2:D4879,"KEEP"),"")</f>
        <v/>
      </c>
      <c r="H4879">
        <f>IF(D4879="REMOVE",COUNTIF($D$2:D4879,"REMOVE"),"")</f>
        <v/>
      </c>
      <c r="I4879">
        <f>IF(E4879="Gmail",COUNTIF($E$2:E4879,"Gmail"),"")</f>
        <v/>
      </c>
      <c r="J4879">
        <f>IF(E4879="Outlook",COUNTIF($E$2:E4879,"Outlook"),"")</f>
        <v/>
      </c>
      <c r="K4879">
        <f>IF(E4879="Domain",COUNTIF($E$2:E4879,"Domain"),"")</f>
        <v/>
      </c>
    </row>
    <row r="4880">
      <c r="A4880" s="2" t="n"/>
      <c r="B4880">
        <f>LOWER(TRIM(A4880))</f>
        <v/>
      </c>
      <c r="C4880">
        <f>IF(B4880="","",IFERROR(INDEX('Bad Patterns'!$A$2:$A$120,MATCH(1,INDEX(--ISNUMBER(SEARCH('Bad Patterns'!$A$2:$A$120,B4880)),0),0)),""))</f>
        <v/>
      </c>
      <c r="D4880">
        <f>IF(B4880="","",IF(C4880&lt;&gt;"","REMOVE","KEEP"))</f>
        <v/>
      </c>
      <c r="E4880">
        <f>IF(D4880&lt;&gt;"KEEP","",IF(RIGHT(B4880,10)="@gmail.com","Gmail",IF(OR(RIGHT(B4880,12)="@outlook.com",RIGHT(B4880,12)="@hotmail.com",RIGHT(B4880,9)="@live.com"),"Outlook","Domain")))</f>
        <v/>
      </c>
      <c r="F4880">
        <f>IF(B4880="","",IFERROR(RIGHT(B4880,LEN(B4880)-FIND("@",B4880)),""))</f>
        <v/>
      </c>
      <c r="G4880">
        <f>IF(D4880="KEEP",COUNTIF($D$2:D4880,"KEEP"),"")</f>
        <v/>
      </c>
      <c r="H4880">
        <f>IF(D4880="REMOVE",COUNTIF($D$2:D4880,"REMOVE"),"")</f>
        <v/>
      </c>
      <c r="I4880">
        <f>IF(E4880="Gmail",COUNTIF($E$2:E4880,"Gmail"),"")</f>
        <v/>
      </c>
      <c r="J4880">
        <f>IF(E4880="Outlook",COUNTIF($E$2:E4880,"Outlook"),"")</f>
        <v/>
      </c>
      <c r="K4880">
        <f>IF(E4880="Domain",COUNTIF($E$2:E4880,"Domain"),"")</f>
        <v/>
      </c>
    </row>
    <row r="4881">
      <c r="A4881" s="2" t="n"/>
      <c r="B4881">
        <f>LOWER(TRIM(A4881))</f>
        <v/>
      </c>
      <c r="C4881">
        <f>IF(B4881="","",IFERROR(INDEX('Bad Patterns'!$A$2:$A$120,MATCH(1,INDEX(--ISNUMBER(SEARCH('Bad Patterns'!$A$2:$A$120,B4881)),0),0)),""))</f>
        <v/>
      </c>
      <c r="D4881">
        <f>IF(B4881="","",IF(C4881&lt;&gt;"","REMOVE","KEEP"))</f>
        <v/>
      </c>
      <c r="E4881">
        <f>IF(D4881&lt;&gt;"KEEP","",IF(RIGHT(B4881,10)="@gmail.com","Gmail",IF(OR(RIGHT(B4881,12)="@outlook.com",RIGHT(B4881,12)="@hotmail.com",RIGHT(B4881,9)="@live.com"),"Outlook","Domain")))</f>
        <v/>
      </c>
      <c r="F4881">
        <f>IF(B4881="","",IFERROR(RIGHT(B4881,LEN(B4881)-FIND("@",B4881)),""))</f>
        <v/>
      </c>
      <c r="G4881">
        <f>IF(D4881="KEEP",COUNTIF($D$2:D4881,"KEEP"),"")</f>
        <v/>
      </c>
      <c r="H4881">
        <f>IF(D4881="REMOVE",COUNTIF($D$2:D4881,"REMOVE"),"")</f>
        <v/>
      </c>
      <c r="I4881">
        <f>IF(E4881="Gmail",COUNTIF($E$2:E4881,"Gmail"),"")</f>
        <v/>
      </c>
      <c r="J4881">
        <f>IF(E4881="Outlook",COUNTIF($E$2:E4881,"Outlook"),"")</f>
        <v/>
      </c>
      <c r="K4881">
        <f>IF(E4881="Domain",COUNTIF($E$2:E4881,"Domain"),"")</f>
        <v/>
      </c>
    </row>
    <row r="4882">
      <c r="A4882" s="2" t="n"/>
      <c r="B4882">
        <f>LOWER(TRIM(A4882))</f>
        <v/>
      </c>
      <c r="C4882">
        <f>IF(B4882="","",IFERROR(INDEX('Bad Patterns'!$A$2:$A$120,MATCH(1,INDEX(--ISNUMBER(SEARCH('Bad Patterns'!$A$2:$A$120,B4882)),0),0)),""))</f>
        <v/>
      </c>
      <c r="D4882">
        <f>IF(B4882="","",IF(C4882&lt;&gt;"","REMOVE","KEEP"))</f>
        <v/>
      </c>
      <c r="E4882">
        <f>IF(D4882&lt;&gt;"KEEP","",IF(RIGHT(B4882,10)="@gmail.com","Gmail",IF(OR(RIGHT(B4882,12)="@outlook.com",RIGHT(B4882,12)="@hotmail.com",RIGHT(B4882,9)="@live.com"),"Outlook","Domain")))</f>
        <v/>
      </c>
      <c r="F4882">
        <f>IF(B4882="","",IFERROR(RIGHT(B4882,LEN(B4882)-FIND("@",B4882)),""))</f>
        <v/>
      </c>
      <c r="G4882">
        <f>IF(D4882="KEEP",COUNTIF($D$2:D4882,"KEEP"),"")</f>
        <v/>
      </c>
      <c r="H4882">
        <f>IF(D4882="REMOVE",COUNTIF($D$2:D4882,"REMOVE"),"")</f>
        <v/>
      </c>
      <c r="I4882">
        <f>IF(E4882="Gmail",COUNTIF($E$2:E4882,"Gmail"),"")</f>
        <v/>
      </c>
      <c r="J4882">
        <f>IF(E4882="Outlook",COUNTIF($E$2:E4882,"Outlook"),"")</f>
        <v/>
      </c>
      <c r="K4882">
        <f>IF(E4882="Domain",COUNTIF($E$2:E4882,"Domain"),"")</f>
        <v/>
      </c>
    </row>
    <row r="4883">
      <c r="A4883" s="2" t="n"/>
      <c r="B4883">
        <f>LOWER(TRIM(A4883))</f>
        <v/>
      </c>
      <c r="C4883">
        <f>IF(B4883="","",IFERROR(INDEX('Bad Patterns'!$A$2:$A$120,MATCH(1,INDEX(--ISNUMBER(SEARCH('Bad Patterns'!$A$2:$A$120,B4883)),0),0)),""))</f>
        <v/>
      </c>
      <c r="D4883">
        <f>IF(B4883="","",IF(C4883&lt;&gt;"","REMOVE","KEEP"))</f>
        <v/>
      </c>
      <c r="E4883">
        <f>IF(D4883&lt;&gt;"KEEP","",IF(RIGHT(B4883,10)="@gmail.com","Gmail",IF(OR(RIGHT(B4883,12)="@outlook.com",RIGHT(B4883,12)="@hotmail.com",RIGHT(B4883,9)="@live.com"),"Outlook","Domain")))</f>
        <v/>
      </c>
      <c r="F4883">
        <f>IF(B4883="","",IFERROR(RIGHT(B4883,LEN(B4883)-FIND("@",B4883)),""))</f>
        <v/>
      </c>
      <c r="G4883">
        <f>IF(D4883="KEEP",COUNTIF($D$2:D4883,"KEEP"),"")</f>
        <v/>
      </c>
      <c r="H4883">
        <f>IF(D4883="REMOVE",COUNTIF($D$2:D4883,"REMOVE"),"")</f>
        <v/>
      </c>
      <c r="I4883">
        <f>IF(E4883="Gmail",COUNTIF($E$2:E4883,"Gmail"),"")</f>
        <v/>
      </c>
      <c r="J4883">
        <f>IF(E4883="Outlook",COUNTIF($E$2:E4883,"Outlook"),"")</f>
        <v/>
      </c>
      <c r="K4883">
        <f>IF(E4883="Domain",COUNTIF($E$2:E4883,"Domain"),"")</f>
        <v/>
      </c>
    </row>
    <row r="4884">
      <c r="A4884" s="2" t="n"/>
      <c r="B4884">
        <f>LOWER(TRIM(A4884))</f>
        <v/>
      </c>
      <c r="C4884">
        <f>IF(B4884="","",IFERROR(INDEX('Bad Patterns'!$A$2:$A$120,MATCH(1,INDEX(--ISNUMBER(SEARCH('Bad Patterns'!$A$2:$A$120,B4884)),0),0)),""))</f>
        <v/>
      </c>
      <c r="D4884">
        <f>IF(B4884="","",IF(C4884&lt;&gt;"","REMOVE","KEEP"))</f>
        <v/>
      </c>
      <c r="E4884">
        <f>IF(D4884&lt;&gt;"KEEP","",IF(RIGHT(B4884,10)="@gmail.com","Gmail",IF(OR(RIGHT(B4884,12)="@outlook.com",RIGHT(B4884,12)="@hotmail.com",RIGHT(B4884,9)="@live.com"),"Outlook","Domain")))</f>
        <v/>
      </c>
      <c r="F4884">
        <f>IF(B4884="","",IFERROR(RIGHT(B4884,LEN(B4884)-FIND("@",B4884)),""))</f>
        <v/>
      </c>
      <c r="G4884">
        <f>IF(D4884="KEEP",COUNTIF($D$2:D4884,"KEEP"),"")</f>
        <v/>
      </c>
      <c r="H4884">
        <f>IF(D4884="REMOVE",COUNTIF($D$2:D4884,"REMOVE"),"")</f>
        <v/>
      </c>
      <c r="I4884">
        <f>IF(E4884="Gmail",COUNTIF($E$2:E4884,"Gmail"),"")</f>
        <v/>
      </c>
      <c r="J4884">
        <f>IF(E4884="Outlook",COUNTIF($E$2:E4884,"Outlook"),"")</f>
        <v/>
      </c>
      <c r="K4884">
        <f>IF(E4884="Domain",COUNTIF($E$2:E4884,"Domain"),"")</f>
        <v/>
      </c>
    </row>
    <row r="4885">
      <c r="A4885" s="2" t="n"/>
      <c r="B4885">
        <f>LOWER(TRIM(A4885))</f>
        <v/>
      </c>
      <c r="C4885">
        <f>IF(B4885="","",IFERROR(INDEX('Bad Patterns'!$A$2:$A$120,MATCH(1,INDEX(--ISNUMBER(SEARCH('Bad Patterns'!$A$2:$A$120,B4885)),0),0)),""))</f>
        <v/>
      </c>
      <c r="D4885">
        <f>IF(B4885="","",IF(C4885&lt;&gt;"","REMOVE","KEEP"))</f>
        <v/>
      </c>
      <c r="E4885">
        <f>IF(D4885&lt;&gt;"KEEP","",IF(RIGHT(B4885,10)="@gmail.com","Gmail",IF(OR(RIGHT(B4885,12)="@outlook.com",RIGHT(B4885,12)="@hotmail.com",RIGHT(B4885,9)="@live.com"),"Outlook","Domain")))</f>
        <v/>
      </c>
      <c r="F4885">
        <f>IF(B4885="","",IFERROR(RIGHT(B4885,LEN(B4885)-FIND("@",B4885)),""))</f>
        <v/>
      </c>
      <c r="G4885">
        <f>IF(D4885="KEEP",COUNTIF($D$2:D4885,"KEEP"),"")</f>
        <v/>
      </c>
      <c r="H4885">
        <f>IF(D4885="REMOVE",COUNTIF($D$2:D4885,"REMOVE"),"")</f>
        <v/>
      </c>
      <c r="I4885">
        <f>IF(E4885="Gmail",COUNTIF($E$2:E4885,"Gmail"),"")</f>
        <v/>
      </c>
      <c r="J4885">
        <f>IF(E4885="Outlook",COUNTIF($E$2:E4885,"Outlook"),"")</f>
        <v/>
      </c>
      <c r="K4885">
        <f>IF(E4885="Domain",COUNTIF($E$2:E4885,"Domain"),"")</f>
        <v/>
      </c>
    </row>
    <row r="4886">
      <c r="A4886" s="2" t="n"/>
      <c r="B4886">
        <f>LOWER(TRIM(A4886))</f>
        <v/>
      </c>
      <c r="C4886">
        <f>IF(B4886="","",IFERROR(INDEX('Bad Patterns'!$A$2:$A$120,MATCH(1,INDEX(--ISNUMBER(SEARCH('Bad Patterns'!$A$2:$A$120,B4886)),0),0)),""))</f>
        <v/>
      </c>
      <c r="D4886">
        <f>IF(B4886="","",IF(C4886&lt;&gt;"","REMOVE","KEEP"))</f>
        <v/>
      </c>
      <c r="E4886">
        <f>IF(D4886&lt;&gt;"KEEP","",IF(RIGHT(B4886,10)="@gmail.com","Gmail",IF(OR(RIGHT(B4886,12)="@outlook.com",RIGHT(B4886,12)="@hotmail.com",RIGHT(B4886,9)="@live.com"),"Outlook","Domain")))</f>
        <v/>
      </c>
      <c r="F4886">
        <f>IF(B4886="","",IFERROR(RIGHT(B4886,LEN(B4886)-FIND("@",B4886)),""))</f>
        <v/>
      </c>
      <c r="G4886">
        <f>IF(D4886="KEEP",COUNTIF($D$2:D4886,"KEEP"),"")</f>
        <v/>
      </c>
      <c r="H4886">
        <f>IF(D4886="REMOVE",COUNTIF($D$2:D4886,"REMOVE"),"")</f>
        <v/>
      </c>
      <c r="I4886">
        <f>IF(E4886="Gmail",COUNTIF($E$2:E4886,"Gmail"),"")</f>
        <v/>
      </c>
      <c r="J4886">
        <f>IF(E4886="Outlook",COUNTIF($E$2:E4886,"Outlook"),"")</f>
        <v/>
      </c>
      <c r="K4886">
        <f>IF(E4886="Domain",COUNTIF($E$2:E4886,"Domain"),"")</f>
        <v/>
      </c>
    </row>
    <row r="4887">
      <c r="A4887" s="2" t="n"/>
      <c r="B4887">
        <f>LOWER(TRIM(A4887))</f>
        <v/>
      </c>
      <c r="C4887">
        <f>IF(B4887="","",IFERROR(INDEX('Bad Patterns'!$A$2:$A$120,MATCH(1,INDEX(--ISNUMBER(SEARCH('Bad Patterns'!$A$2:$A$120,B4887)),0),0)),""))</f>
        <v/>
      </c>
      <c r="D4887">
        <f>IF(B4887="","",IF(C4887&lt;&gt;"","REMOVE","KEEP"))</f>
        <v/>
      </c>
      <c r="E4887">
        <f>IF(D4887&lt;&gt;"KEEP","",IF(RIGHT(B4887,10)="@gmail.com","Gmail",IF(OR(RIGHT(B4887,12)="@outlook.com",RIGHT(B4887,12)="@hotmail.com",RIGHT(B4887,9)="@live.com"),"Outlook","Domain")))</f>
        <v/>
      </c>
      <c r="F4887">
        <f>IF(B4887="","",IFERROR(RIGHT(B4887,LEN(B4887)-FIND("@",B4887)),""))</f>
        <v/>
      </c>
      <c r="G4887">
        <f>IF(D4887="KEEP",COUNTIF($D$2:D4887,"KEEP"),"")</f>
        <v/>
      </c>
      <c r="H4887">
        <f>IF(D4887="REMOVE",COUNTIF($D$2:D4887,"REMOVE"),"")</f>
        <v/>
      </c>
      <c r="I4887">
        <f>IF(E4887="Gmail",COUNTIF($E$2:E4887,"Gmail"),"")</f>
        <v/>
      </c>
      <c r="J4887">
        <f>IF(E4887="Outlook",COUNTIF($E$2:E4887,"Outlook"),"")</f>
        <v/>
      </c>
      <c r="K4887">
        <f>IF(E4887="Domain",COUNTIF($E$2:E4887,"Domain"),"")</f>
        <v/>
      </c>
    </row>
    <row r="4888">
      <c r="A4888" s="2" t="n"/>
      <c r="B4888">
        <f>LOWER(TRIM(A4888))</f>
        <v/>
      </c>
      <c r="C4888">
        <f>IF(B4888="","",IFERROR(INDEX('Bad Patterns'!$A$2:$A$120,MATCH(1,INDEX(--ISNUMBER(SEARCH('Bad Patterns'!$A$2:$A$120,B4888)),0),0)),""))</f>
        <v/>
      </c>
      <c r="D4888">
        <f>IF(B4888="","",IF(C4888&lt;&gt;"","REMOVE","KEEP"))</f>
        <v/>
      </c>
      <c r="E4888">
        <f>IF(D4888&lt;&gt;"KEEP","",IF(RIGHT(B4888,10)="@gmail.com","Gmail",IF(OR(RIGHT(B4888,12)="@outlook.com",RIGHT(B4888,12)="@hotmail.com",RIGHT(B4888,9)="@live.com"),"Outlook","Domain")))</f>
        <v/>
      </c>
      <c r="F4888">
        <f>IF(B4888="","",IFERROR(RIGHT(B4888,LEN(B4888)-FIND("@",B4888)),""))</f>
        <v/>
      </c>
      <c r="G4888">
        <f>IF(D4888="KEEP",COUNTIF($D$2:D4888,"KEEP"),"")</f>
        <v/>
      </c>
      <c r="H4888">
        <f>IF(D4888="REMOVE",COUNTIF($D$2:D4888,"REMOVE"),"")</f>
        <v/>
      </c>
      <c r="I4888">
        <f>IF(E4888="Gmail",COUNTIF($E$2:E4888,"Gmail"),"")</f>
        <v/>
      </c>
      <c r="J4888">
        <f>IF(E4888="Outlook",COUNTIF($E$2:E4888,"Outlook"),"")</f>
        <v/>
      </c>
      <c r="K4888">
        <f>IF(E4888="Domain",COUNTIF($E$2:E4888,"Domain"),"")</f>
        <v/>
      </c>
    </row>
    <row r="4889">
      <c r="A4889" s="2" t="n"/>
      <c r="B4889">
        <f>LOWER(TRIM(A4889))</f>
        <v/>
      </c>
      <c r="C4889">
        <f>IF(B4889="","",IFERROR(INDEX('Bad Patterns'!$A$2:$A$120,MATCH(1,INDEX(--ISNUMBER(SEARCH('Bad Patterns'!$A$2:$A$120,B4889)),0),0)),""))</f>
        <v/>
      </c>
      <c r="D4889">
        <f>IF(B4889="","",IF(C4889&lt;&gt;"","REMOVE","KEEP"))</f>
        <v/>
      </c>
      <c r="E4889">
        <f>IF(D4889&lt;&gt;"KEEP","",IF(RIGHT(B4889,10)="@gmail.com","Gmail",IF(OR(RIGHT(B4889,12)="@outlook.com",RIGHT(B4889,12)="@hotmail.com",RIGHT(B4889,9)="@live.com"),"Outlook","Domain")))</f>
        <v/>
      </c>
      <c r="F4889">
        <f>IF(B4889="","",IFERROR(RIGHT(B4889,LEN(B4889)-FIND("@",B4889)),""))</f>
        <v/>
      </c>
      <c r="G4889">
        <f>IF(D4889="KEEP",COUNTIF($D$2:D4889,"KEEP"),"")</f>
        <v/>
      </c>
      <c r="H4889">
        <f>IF(D4889="REMOVE",COUNTIF($D$2:D4889,"REMOVE"),"")</f>
        <v/>
      </c>
      <c r="I4889">
        <f>IF(E4889="Gmail",COUNTIF($E$2:E4889,"Gmail"),"")</f>
        <v/>
      </c>
      <c r="J4889">
        <f>IF(E4889="Outlook",COUNTIF($E$2:E4889,"Outlook"),"")</f>
        <v/>
      </c>
      <c r="K4889">
        <f>IF(E4889="Domain",COUNTIF($E$2:E4889,"Domain"),"")</f>
        <v/>
      </c>
    </row>
    <row r="4890">
      <c r="A4890" s="2" t="n"/>
      <c r="B4890">
        <f>LOWER(TRIM(A4890))</f>
        <v/>
      </c>
      <c r="C4890">
        <f>IF(B4890="","",IFERROR(INDEX('Bad Patterns'!$A$2:$A$120,MATCH(1,INDEX(--ISNUMBER(SEARCH('Bad Patterns'!$A$2:$A$120,B4890)),0),0)),""))</f>
        <v/>
      </c>
      <c r="D4890">
        <f>IF(B4890="","",IF(C4890&lt;&gt;"","REMOVE","KEEP"))</f>
        <v/>
      </c>
      <c r="E4890">
        <f>IF(D4890&lt;&gt;"KEEP","",IF(RIGHT(B4890,10)="@gmail.com","Gmail",IF(OR(RIGHT(B4890,12)="@outlook.com",RIGHT(B4890,12)="@hotmail.com",RIGHT(B4890,9)="@live.com"),"Outlook","Domain")))</f>
        <v/>
      </c>
      <c r="F4890">
        <f>IF(B4890="","",IFERROR(RIGHT(B4890,LEN(B4890)-FIND("@",B4890)),""))</f>
        <v/>
      </c>
      <c r="G4890">
        <f>IF(D4890="KEEP",COUNTIF($D$2:D4890,"KEEP"),"")</f>
        <v/>
      </c>
      <c r="H4890">
        <f>IF(D4890="REMOVE",COUNTIF($D$2:D4890,"REMOVE"),"")</f>
        <v/>
      </c>
      <c r="I4890">
        <f>IF(E4890="Gmail",COUNTIF($E$2:E4890,"Gmail"),"")</f>
        <v/>
      </c>
      <c r="J4890">
        <f>IF(E4890="Outlook",COUNTIF($E$2:E4890,"Outlook"),"")</f>
        <v/>
      </c>
      <c r="K4890">
        <f>IF(E4890="Domain",COUNTIF($E$2:E4890,"Domain"),"")</f>
        <v/>
      </c>
    </row>
    <row r="4891">
      <c r="A4891" s="2" t="n"/>
      <c r="B4891">
        <f>LOWER(TRIM(A4891))</f>
        <v/>
      </c>
      <c r="C4891">
        <f>IF(B4891="","",IFERROR(INDEX('Bad Patterns'!$A$2:$A$120,MATCH(1,INDEX(--ISNUMBER(SEARCH('Bad Patterns'!$A$2:$A$120,B4891)),0),0)),""))</f>
        <v/>
      </c>
      <c r="D4891">
        <f>IF(B4891="","",IF(C4891&lt;&gt;"","REMOVE","KEEP"))</f>
        <v/>
      </c>
      <c r="E4891">
        <f>IF(D4891&lt;&gt;"KEEP","",IF(RIGHT(B4891,10)="@gmail.com","Gmail",IF(OR(RIGHT(B4891,12)="@outlook.com",RIGHT(B4891,12)="@hotmail.com",RIGHT(B4891,9)="@live.com"),"Outlook","Domain")))</f>
        <v/>
      </c>
      <c r="F4891">
        <f>IF(B4891="","",IFERROR(RIGHT(B4891,LEN(B4891)-FIND("@",B4891)),""))</f>
        <v/>
      </c>
      <c r="G4891">
        <f>IF(D4891="KEEP",COUNTIF($D$2:D4891,"KEEP"),"")</f>
        <v/>
      </c>
      <c r="H4891">
        <f>IF(D4891="REMOVE",COUNTIF($D$2:D4891,"REMOVE"),"")</f>
        <v/>
      </c>
      <c r="I4891">
        <f>IF(E4891="Gmail",COUNTIF($E$2:E4891,"Gmail"),"")</f>
        <v/>
      </c>
      <c r="J4891">
        <f>IF(E4891="Outlook",COUNTIF($E$2:E4891,"Outlook"),"")</f>
        <v/>
      </c>
      <c r="K4891">
        <f>IF(E4891="Domain",COUNTIF($E$2:E4891,"Domain"),"")</f>
        <v/>
      </c>
    </row>
    <row r="4892">
      <c r="A4892" s="2" t="n"/>
      <c r="B4892">
        <f>LOWER(TRIM(A4892))</f>
        <v/>
      </c>
      <c r="C4892">
        <f>IF(B4892="","",IFERROR(INDEX('Bad Patterns'!$A$2:$A$120,MATCH(1,INDEX(--ISNUMBER(SEARCH('Bad Patterns'!$A$2:$A$120,B4892)),0),0)),""))</f>
        <v/>
      </c>
      <c r="D4892">
        <f>IF(B4892="","",IF(C4892&lt;&gt;"","REMOVE","KEEP"))</f>
        <v/>
      </c>
      <c r="E4892">
        <f>IF(D4892&lt;&gt;"KEEP","",IF(RIGHT(B4892,10)="@gmail.com","Gmail",IF(OR(RIGHT(B4892,12)="@outlook.com",RIGHT(B4892,12)="@hotmail.com",RIGHT(B4892,9)="@live.com"),"Outlook","Domain")))</f>
        <v/>
      </c>
      <c r="F4892">
        <f>IF(B4892="","",IFERROR(RIGHT(B4892,LEN(B4892)-FIND("@",B4892)),""))</f>
        <v/>
      </c>
      <c r="G4892">
        <f>IF(D4892="KEEP",COUNTIF($D$2:D4892,"KEEP"),"")</f>
        <v/>
      </c>
      <c r="H4892">
        <f>IF(D4892="REMOVE",COUNTIF($D$2:D4892,"REMOVE"),"")</f>
        <v/>
      </c>
      <c r="I4892">
        <f>IF(E4892="Gmail",COUNTIF($E$2:E4892,"Gmail"),"")</f>
        <v/>
      </c>
      <c r="J4892">
        <f>IF(E4892="Outlook",COUNTIF($E$2:E4892,"Outlook"),"")</f>
        <v/>
      </c>
      <c r="K4892">
        <f>IF(E4892="Domain",COUNTIF($E$2:E4892,"Domain"),"")</f>
        <v/>
      </c>
    </row>
    <row r="4893">
      <c r="A4893" s="2" t="n"/>
      <c r="B4893">
        <f>LOWER(TRIM(A4893))</f>
        <v/>
      </c>
      <c r="C4893">
        <f>IF(B4893="","",IFERROR(INDEX('Bad Patterns'!$A$2:$A$120,MATCH(1,INDEX(--ISNUMBER(SEARCH('Bad Patterns'!$A$2:$A$120,B4893)),0),0)),""))</f>
        <v/>
      </c>
      <c r="D4893">
        <f>IF(B4893="","",IF(C4893&lt;&gt;"","REMOVE","KEEP"))</f>
        <v/>
      </c>
      <c r="E4893">
        <f>IF(D4893&lt;&gt;"KEEP","",IF(RIGHT(B4893,10)="@gmail.com","Gmail",IF(OR(RIGHT(B4893,12)="@outlook.com",RIGHT(B4893,12)="@hotmail.com",RIGHT(B4893,9)="@live.com"),"Outlook","Domain")))</f>
        <v/>
      </c>
      <c r="F4893">
        <f>IF(B4893="","",IFERROR(RIGHT(B4893,LEN(B4893)-FIND("@",B4893)),""))</f>
        <v/>
      </c>
      <c r="G4893">
        <f>IF(D4893="KEEP",COUNTIF($D$2:D4893,"KEEP"),"")</f>
        <v/>
      </c>
      <c r="H4893">
        <f>IF(D4893="REMOVE",COUNTIF($D$2:D4893,"REMOVE"),"")</f>
        <v/>
      </c>
      <c r="I4893">
        <f>IF(E4893="Gmail",COUNTIF($E$2:E4893,"Gmail"),"")</f>
        <v/>
      </c>
      <c r="J4893">
        <f>IF(E4893="Outlook",COUNTIF($E$2:E4893,"Outlook"),"")</f>
        <v/>
      </c>
      <c r="K4893">
        <f>IF(E4893="Domain",COUNTIF($E$2:E4893,"Domain"),"")</f>
        <v/>
      </c>
    </row>
    <row r="4894">
      <c r="A4894" s="2" t="n"/>
      <c r="B4894">
        <f>LOWER(TRIM(A4894))</f>
        <v/>
      </c>
      <c r="C4894">
        <f>IF(B4894="","",IFERROR(INDEX('Bad Patterns'!$A$2:$A$120,MATCH(1,INDEX(--ISNUMBER(SEARCH('Bad Patterns'!$A$2:$A$120,B4894)),0),0)),""))</f>
        <v/>
      </c>
      <c r="D4894">
        <f>IF(B4894="","",IF(C4894&lt;&gt;"","REMOVE","KEEP"))</f>
        <v/>
      </c>
      <c r="E4894">
        <f>IF(D4894&lt;&gt;"KEEP","",IF(RIGHT(B4894,10)="@gmail.com","Gmail",IF(OR(RIGHT(B4894,12)="@outlook.com",RIGHT(B4894,12)="@hotmail.com",RIGHT(B4894,9)="@live.com"),"Outlook","Domain")))</f>
        <v/>
      </c>
      <c r="F4894">
        <f>IF(B4894="","",IFERROR(RIGHT(B4894,LEN(B4894)-FIND("@",B4894)),""))</f>
        <v/>
      </c>
      <c r="G4894">
        <f>IF(D4894="KEEP",COUNTIF($D$2:D4894,"KEEP"),"")</f>
        <v/>
      </c>
      <c r="H4894">
        <f>IF(D4894="REMOVE",COUNTIF($D$2:D4894,"REMOVE"),"")</f>
        <v/>
      </c>
      <c r="I4894">
        <f>IF(E4894="Gmail",COUNTIF($E$2:E4894,"Gmail"),"")</f>
        <v/>
      </c>
      <c r="J4894">
        <f>IF(E4894="Outlook",COUNTIF($E$2:E4894,"Outlook"),"")</f>
        <v/>
      </c>
      <c r="K4894">
        <f>IF(E4894="Domain",COUNTIF($E$2:E4894,"Domain"),"")</f>
        <v/>
      </c>
    </row>
    <row r="4895">
      <c r="A4895" s="2" t="n"/>
      <c r="B4895">
        <f>LOWER(TRIM(A4895))</f>
        <v/>
      </c>
      <c r="C4895">
        <f>IF(B4895="","",IFERROR(INDEX('Bad Patterns'!$A$2:$A$120,MATCH(1,INDEX(--ISNUMBER(SEARCH('Bad Patterns'!$A$2:$A$120,B4895)),0),0)),""))</f>
        <v/>
      </c>
      <c r="D4895">
        <f>IF(B4895="","",IF(C4895&lt;&gt;"","REMOVE","KEEP"))</f>
        <v/>
      </c>
      <c r="E4895">
        <f>IF(D4895&lt;&gt;"KEEP","",IF(RIGHT(B4895,10)="@gmail.com","Gmail",IF(OR(RIGHT(B4895,12)="@outlook.com",RIGHT(B4895,12)="@hotmail.com",RIGHT(B4895,9)="@live.com"),"Outlook","Domain")))</f>
        <v/>
      </c>
      <c r="F4895">
        <f>IF(B4895="","",IFERROR(RIGHT(B4895,LEN(B4895)-FIND("@",B4895)),""))</f>
        <v/>
      </c>
      <c r="G4895">
        <f>IF(D4895="KEEP",COUNTIF($D$2:D4895,"KEEP"),"")</f>
        <v/>
      </c>
      <c r="H4895">
        <f>IF(D4895="REMOVE",COUNTIF($D$2:D4895,"REMOVE"),"")</f>
        <v/>
      </c>
      <c r="I4895">
        <f>IF(E4895="Gmail",COUNTIF($E$2:E4895,"Gmail"),"")</f>
        <v/>
      </c>
      <c r="J4895">
        <f>IF(E4895="Outlook",COUNTIF($E$2:E4895,"Outlook"),"")</f>
        <v/>
      </c>
      <c r="K4895">
        <f>IF(E4895="Domain",COUNTIF($E$2:E4895,"Domain"),"")</f>
        <v/>
      </c>
    </row>
    <row r="4896">
      <c r="A4896" s="2" t="n"/>
      <c r="B4896">
        <f>LOWER(TRIM(A4896))</f>
        <v/>
      </c>
      <c r="C4896">
        <f>IF(B4896="","",IFERROR(INDEX('Bad Patterns'!$A$2:$A$120,MATCH(1,INDEX(--ISNUMBER(SEARCH('Bad Patterns'!$A$2:$A$120,B4896)),0),0)),""))</f>
        <v/>
      </c>
      <c r="D4896">
        <f>IF(B4896="","",IF(C4896&lt;&gt;"","REMOVE","KEEP"))</f>
        <v/>
      </c>
      <c r="E4896">
        <f>IF(D4896&lt;&gt;"KEEP","",IF(RIGHT(B4896,10)="@gmail.com","Gmail",IF(OR(RIGHT(B4896,12)="@outlook.com",RIGHT(B4896,12)="@hotmail.com",RIGHT(B4896,9)="@live.com"),"Outlook","Domain")))</f>
        <v/>
      </c>
      <c r="F4896">
        <f>IF(B4896="","",IFERROR(RIGHT(B4896,LEN(B4896)-FIND("@",B4896)),""))</f>
        <v/>
      </c>
      <c r="G4896">
        <f>IF(D4896="KEEP",COUNTIF($D$2:D4896,"KEEP"),"")</f>
        <v/>
      </c>
      <c r="H4896">
        <f>IF(D4896="REMOVE",COUNTIF($D$2:D4896,"REMOVE"),"")</f>
        <v/>
      </c>
      <c r="I4896">
        <f>IF(E4896="Gmail",COUNTIF($E$2:E4896,"Gmail"),"")</f>
        <v/>
      </c>
      <c r="J4896">
        <f>IF(E4896="Outlook",COUNTIF($E$2:E4896,"Outlook"),"")</f>
        <v/>
      </c>
      <c r="K4896">
        <f>IF(E4896="Domain",COUNTIF($E$2:E4896,"Domain"),"")</f>
        <v/>
      </c>
    </row>
    <row r="4897">
      <c r="A4897" s="2" t="n"/>
      <c r="B4897">
        <f>LOWER(TRIM(A4897))</f>
        <v/>
      </c>
      <c r="C4897">
        <f>IF(B4897="","",IFERROR(INDEX('Bad Patterns'!$A$2:$A$120,MATCH(1,INDEX(--ISNUMBER(SEARCH('Bad Patterns'!$A$2:$A$120,B4897)),0),0)),""))</f>
        <v/>
      </c>
      <c r="D4897">
        <f>IF(B4897="","",IF(C4897&lt;&gt;"","REMOVE","KEEP"))</f>
        <v/>
      </c>
      <c r="E4897">
        <f>IF(D4897&lt;&gt;"KEEP","",IF(RIGHT(B4897,10)="@gmail.com","Gmail",IF(OR(RIGHT(B4897,12)="@outlook.com",RIGHT(B4897,12)="@hotmail.com",RIGHT(B4897,9)="@live.com"),"Outlook","Domain")))</f>
        <v/>
      </c>
      <c r="F4897">
        <f>IF(B4897="","",IFERROR(RIGHT(B4897,LEN(B4897)-FIND("@",B4897)),""))</f>
        <v/>
      </c>
      <c r="G4897">
        <f>IF(D4897="KEEP",COUNTIF($D$2:D4897,"KEEP"),"")</f>
        <v/>
      </c>
      <c r="H4897">
        <f>IF(D4897="REMOVE",COUNTIF($D$2:D4897,"REMOVE"),"")</f>
        <v/>
      </c>
      <c r="I4897">
        <f>IF(E4897="Gmail",COUNTIF($E$2:E4897,"Gmail"),"")</f>
        <v/>
      </c>
      <c r="J4897">
        <f>IF(E4897="Outlook",COUNTIF($E$2:E4897,"Outlook"),"")</f>
        <v/>
      </c>
      <c r="K4897">
        <f>IF(E4897="Domain",COUNTIF($E$2:E4897,"Domain"),"")</f>
        <v/>
      </c>
    </row>
    <row r="4898">
      <c r="A4898" s="2" t="n"/>
      <c r="B4898">
        <f>LOWER(TRIM(A4898))</f>
        <v/>
      </c>
      <c r="C4898">
        <f>IF(B4898="","",IFERROR(INDEX('Bad Patterns'!$A$2:$A$120,MATCH(1,INDEX(--ISNUMBER(SEARCH('Bad Patterns'!$A$2:$A$120,B4898)),0),0)),""))</f>
        <v/>
      </c>
      <c r="D4898">
        <f>IF(B4898="","",IF(C4898&lt;&gt;"","REMOVE","KEEP"))</f>
        <v/>
      </c>
      <c r="E4898">
        <f>IF(D4898&lt;&gt;"KEEP","",IF(RIGHT(B4898,10)="@gmail.com","Gmail",IF(OR(RIGHT(B4898,12)="@outlook.com",RIGHT(B4898,12)="@hotmail.com",RIGHT(B4898,9)="@live.com"),"Outlook","Domain")))</f>
        <v/>
      </c>
      <c r="F4898">
        <f>IF(B4898="","",IFERROR(RIGHT(B4898,LEN(B4898)-FIND("@",B4898)),""))</f>
        <v/>
      </c>
      <c r="G4898">
        <f>IF(D4898="KEEP",COUNTIF($D$2:D4898,"KEEP"),"")</f>
        <v/>
      </c>
      <c r="H4898">
        <f>IF(D4898="REMOVE",COUNTIF($D$2:D4898,"REMOVE"),"")</f>
        <v/>
      </c>
      <c r="I4898">
        <f>IF(E4898="Gmail",COUNTIF($E$2:E4898,"Gmail"),"")</f>
        <v/>
      </c>
      <c r="J4898">
        <f>IF(E4898="Outlook",COUNTIF($E$2:E4898,"Outlook"),"")</f>
        <v/>
      </c>
      <c r="K4898">
        <f>IF(E4898="Domain",COUNTIF($E$2:E4898,"Domain"),"")</f>
        <v/>
      </c>
    </row>
    <row r="4899">
      <c r="A4899" s="2" t="n"/>
      <c r="B4899">
        <f>LOWER(TRIM(A4899))</f>
        <v/>
      </c>
      <c r="C4899">
        <f>IF(B4899="","",IFERROR(INDEX('Bad Patterns'!$A$2:$A$120,MATCH(1,INDEX(--ISNUMBER(SEARCH('Bad Patterns'!$A$2:$A$120,B4899)),0),0)),""))</f>
        <v/>
      </c>
      <c r="D4899">
        <f>IF(B4899="","",IF(C4899&lt;&gt;"","REMOVE","KEEP"))</f>
        <v/>
      </c>
      <c r="E4899">
        <f>IF(D4899&lt;&gt;"KEEP","",IF(RIGHT(B4899,10)="@gmail.com","Gmail",IF(OR(RIGHT(B4899,12)="@outlook.com",RIGHT(B4899,12)="@hotmail.com",RIGHT(B4899,9)="@live.com"),"Outlook","Domain")))</f>
        <v/>
      </c>
      <c r="F4899">
        <f>IF(B4899="","",IFERROR(RIGHT(B4899,LEN(B4899)-FIND("@",B4899)),""))</f>
        <v/>
      </c>
      <c r="G4899">
        <f>IF(D4899="KEEP",COUNTIF($D$2:D4899,"KEEP"),"")</f>
        <v/>
      </c>
      <c r="H4899">
        <f>IF(D4899="REMOVE",COUNTIF($D$2:D4899,"REMOVE"),"")</f>
        <v/>
      </c>
      <c r="I4899">
        <f>IF(E4899="Gmail",COUNTIF($E$2:E4899,"Gmail"),"")</f>
        <v/>
      </c>
      <c r="J4899">
        <f>IF(E4899="Outlook",COUNTIF($E$2:E4899,"Outlook"),"")</f>
        <v/>
      </c>
      <c r="K4899">
        <f>IF(E4899="Domain",COUNTIF($E$2:E4899,"Domain"),"")</f>
        <v/>
      </c>
    </row>
    <row r="4900">
      <c r="A4900" s="2" t="n"/>
      <c r="B4900">
        <f>LOWER(TRIM(A4900))</f>
        <v/>
      </c>
      <c r="C4900">
        <f>IF(B4900="","",IFERROR(INDEX('Bad Patterns'!$A$2:$A$120,MATCH(1,INDEX(--ISNUMBER(SEARCH('Bad Patterns'!$A$2:$A$120,B4900)),0),0)),""))</f>
        <v/>
      </c>
      <c r="D4900">
        <f>IF(B4900="","",IF(C4900&lt;&gt;"","REMOVE","KEEP"))</f>
        <v/>
      </c>
      <c r="E4900">
        <f>IF(D4900&lt;&gt;"KEEP","",IF(RIGHT(B4900,10)="@gmail.com","Gmail",IF(OR(RIGHT(B4900,12)="@outlook.com",RIGHT(B4900,12)="@hotmail.com",RIGHT(B4900,9)="@live.com"),"Outlook","Domain")))</f>
        <v/>
      </c>
      <c r="F4900">
        <f>IF(B4900="","",IFERROR(RIGHT(B4900,LEN(B4900)-FIND("@",B4900)),""))</f>
        <v/>
      </c>
      <c r="G4900">
        <f>IF(D4900="KEEP",COUNTIF($D$2:D4900,"KEEP"),"")</f>
        <v/>
      </c>
      <c r="H4900">
        <f>IF(D4900="REMOVE",COUNTIF($D$2:D4900,"REMOVE"),"")</f>
        <v/>
      </c>
      <c r="I4900">
        <f>IF(E4900="Gmail",COUNTIF($E$2:E4900,"Gmail"),"")</f>
        <v/>
      </c>
      <c r="J4900">
        <f>IF(E4900="Outlook",COUNTIF($E$2:E4900,"Outlook"),"")</f>
        <v/>
      </c>
      <c r="K4900">
        <f>IF(E4900="Domain",COUNTIF($E$2:E4900,"Domain"),"")</f>
        <v/>
      </c>
    </row>
    <row r="4901">
      <c r="A4901" s="2" t="n"/>
      <c r="B4901">
        <f>LOWER(TRIM(A4901))</f>
        <v/>
      </c>
      <c r="C4901">
        <f>IF(B4901="","",IFERROR(INDEX('Bad Patterns'!$A$2:$A$120,MATCH(1,INDEX(--ISNUMBER(SEARCH('Bad Patterns'!$A$2:$A$120,B4901)),0),0)),""))</f>
        <v/>
      </c>
      <c r="D4901">
        <f>IF(B4901="","",IF(C4901&lt;&gt;"","REMOVE","KEEP"))</f>
        <v/>
      </c>
      <c r="E4901">
        <f>IF(D4901&lt;&gt;"KEEP","",IF(RIGHT(B4901,10)="@gmail.com","Gmail",IF(OR(RIGHT(B4901,12)="@outlook.com",RIGHT(B4901,12)="@hotmail.com",RIGHT(B4901,9)="@live.com"),"Outlook","Domain")))</f>
        <v/>
      </c>
      <c r="F4901">
        <f>IF(B4901="","",IFERROR(RIGHT(B4901,LEN(B4901)-FIND("@",B4901)),""))</f>
        <v/>
      </c>
      <c r="G4901">
        <f>IF(D4901="KEEP",COUNTIF($D$2:D4901,"KEEP"),"")</f>
        <v/>
      </c>
      <c r="H4901">
        <f>IF(D4901="REMOVE",COUNTIF($D$2:D4901,"REMOVE"),"")</f>
        <v/>
      </c>
      <c r="I4901">
        <f>IF(E4901="Gmail",COUNTIF($E$2:E4901,"Gmail"),"")</f>
        <v/>
      </c>
      <c r="J4901">
        <f>IF(E4901="Outlook",COUNTIF($E$2:E4901,"Outlook"),"")</f>
        <v/>
      </c>
      <c r="K4901">
        <f>IF(E4901="Domain",COUNTIF($E$2:E4901,"Domain"),"")</f>
        <v/>
      </c>
    </row>
    <row r="4902">
      <c r="A4902" s="2" t="n"/>
      <c r="B4902">
        <f>LOWER(TRIM(A4902))</f>
        <v/>
      </c>
      <c r="C4902">
        <f>IF(B4902="","",IFERROR(INDEX('Bad Patterns'!$A$2:$A$120,MATCH(1,INDEX(--ISNUMBER(SEARCH('Bad Patterns'!$A$2:$A$120,B4902)),0),0)),""))</f>
        <v/>
      </c>
      <c r="D4902">
        <f>IF(B4902="","",IF(C4902&lt;&gt;"","REMOVE","KEEP"))</f>
        <v/>
      </c>
      <c r="E4902">
        <f>IF(D4902&lt;&gt;"KEEP","",IF(RIGHT(B4902,10)="@gmail.com","Gmail",IF(OR(RIGHT(B4902,12)="@outlook.com",RIGHT(B4902,12)="@hotmail.com",RIGHT(B4902,9)="@live.com"),"Outlook","Domain")))</f>
        <v/>
      </c>
      <c r="F4902">
        <f>IF(B4902="","",IFERROR(RIGHT(B4902,LEN(B4902)-FIND("@",B4902)),""))</f>
        <v/>
      </c>
      <c r="G4902">
        <f>IF(D4902="KEEP",COUNTIF($D$2:D4902,"KEEP"),"")</f>
        <v/>
      </c>
      <c r="H4902">
        <f>IF(D4902="REMOVE",COUNTIF($D$2:D4902,"REMOVE"),"")</f>
        <v/>
      </c>
      <c r="I4902">
        <f>IF(E4902="Gmail",COUNTIF($E$2:E4902,"Gmail"),"")</f>
        <v/>
      </c>
      <c r="J4902">
        <f>IF(E4902="Outlook",COUNTIF($E$2:E4902,"Outlook"),"")</f>
        <v/>
      </c>
      <c r="K4902">
        <f>IF(E4902="Domain",COUNTIF($E$2:E4902,"Domain"),"")</f>
        <v/>
      </c>
    </row>
    <row r="4903">
      <c r="A4903" s="2" t="n"/>
      <c r="B4903">
        <f>LOWER(TRIM(A4903))</f>
        <v/>
      </c>
      <c r="C4903">
        <f>IF(B4903="","",IFERROR(INDEX('Bad Patterns'!$A$2:$A$120,MATCH(1,INDEX(--ISNUMBER(SEARCH('Bad Patterns'!$A$2:$A$120,B4903)),0),0)),""))</f>
        <v/>
      </c>
      <c r="D4903">
        <f>IF(B4903="","",IF(C4903&lt;&gt;"","REMOVE","KEEP"))</f>
        <v/>
      </c>
      <c r="E4903">
        <f>IF(D4903&lt;&gt;"KEEP","",IF(RIGHT(B4903,10)="@gmail.com","Gmail",IF(OR(RIGHT(B4903,12)="@outlook.com",RIGHT(B4903,12)="@hotmail.com",RIGHT(B4903,9)="@live.com"),"Outlook","Domain")))</f>
        <v/>
      </c>
      <c r="F4903">
        <f>IF(B4903="","",IFERROR(RIGHT(B4903,LEN(B4903)-FIND("@",B4903)),""))</f>
        <v/>
      </c>
      <c r="G4903">
        <f>IF(D4903="KEEP",COUNTIF($D$2:D4903,"KEEP"),"")</f>
        <v/>
      </c>
      <c r="H4903">
        <f>IF(D4903="REMOVE",COUNTIF($D$2:D4903,"REMOVE"),"")</f>
        <v/>
      </c>
      <c r="I4903">
        <f>IF(E4903="Gmail",COUNTIF($E$2:E4903,"Gmail"),"")</f>
        <v/>
      </c>
      <c r="J4903">
        <f>IF(E4903="Outlook",COUNTIF($E$2:E4903,"Outlook"),"")</f>
        <v/>
      </c>
      <c r="K4903">
        <f>IF(E4903="Domain",COUNTIF($E$2:E4903,"Domain"),"")</f>
        <v/>
      </c>
    </row>
    <row r="4904">
      <c r="A4904" s="2" t="n"/>
      <c r="B4904">
        <f>LOWER(TRIM(A4904))</f>
        <v/>
      </c>
      <c r="C4904">
        <f>IF(B4904="","",IFERROR(INDEX('Bad Patterns'!$A$2:$A$120,MATCH(1,INDEX(--ISNUMBER(SEARCH('Bad Patterns'!$A$2:$A$120,B4904)),0),0)),""))</f>
        <v/>
      </c>
      <c r="D4904">
        <f>IF(B4904="","",IF(C4904&lt;&gt;"","REMOVE","KEEP"))</f>
        <v/>
      </c>
      <c r="E4904">
        <f>IF(D4904&lt;&gt;"KEEP","",IF(RIGHT(B4904,10)="@gmail.com","Gmail",IF(OR(RIGHT(B4904,12)="@outlook.com",RIGHT(B4904,12)="@hotmail.com",RIGHT(B4904,9)="@live.com"),"Outlook","Domain")))</f>
        <v/>
      </c>
      <c r="F4904">
        <f>IF(B4904="","",IFERROR(RIGHT(B4904,LEN(B4904)-FIND("@",B4904)),""))</f>
        <v/>
      </c>
      <c r="G4904">
        <f>IF(D4904="KEEP",COUNTIF($D$2:D4904,"KEEP"),"")</f>
        <v/>
      </c>
      <c r="H4904">
        <f>IF(D4904="REMOVE",COUNTIF($D$2:D4904,"REMOVE"),"")</f>
        <v/>
      </c>
      <c r="I4904">
        <f>IF(E4904="Gmail",COUNTIF($E$2:E4904,"Gmail"),"")</f>
        <v/>
      </c>
      <c r="J4904">
        <f>IF(E4904="Outlook",COUNTIF($E$2:E4904,"Outlook"),"")</f>
        <v/>
      </c>
      <c r="K4904">
        <f>IF(E4904="Domain",COUNTIF($E$2:E4904,"Domain"),"")</f>
        <v/>
      </c>
    </row>
    <row r="4905">
      <c r="A4905" s="2" t="n"/>
      <c r="B4905">
        <f>LOWER(TRIM(A4905))</f>
        <v/>
      </c>
      <c r="C4905">
        <f>IF(B4905="","",IFERROR(INDEX('Bad Patterns'!$A$2:$A$120,MATCH(1,INDEX(--ISNUMBER(SEARCH('Bad Patterns'!$A$2:$A$120,B4905)),0),0)),""))</f>
        <v/>
      </c>
      <c r="D4905">
        <f>IF(B4905="","",IF(C4905&lt;&gt;"","REMOVE","KEEP"))</f>
        <v/>
      </c>
      <c r="E4905">
        <f>IF(D4905&lt;&gt;"KEEP","",IF(RIGHT(B4905,10)="@gmail.com","Gmail",IF(OR(RIGHT(B4905,12)="@outlook.com",RIGHT(B4905,12)="@hotmail.com",RIGHT(B4905,9)="@live.com"),"Outlook","Domain")))</f>
        <v/>
      </c>
      <c r="F4905">
        <f>IF(B4905="","",IFERROR(RIGHT(B4905,LEN(B4905)-FIND("@",B4905)),""))</f>
        <v/>
      </c>
      <c r="G4905">
        <f>IF(D4905="KEEP",COUNTIF($D$2:D4905,"KEEP"),"")</f>
        <v/>
      </c>
      <c r="H4905">
        <f>IF(D4905="REMOVE",COUNTIF($D$2:D4905,"REMOVE"),"")</f>
        <v/>
      </c>
      <c r="I4905">
        <f>IF(E4905="Gmail",COUNTIF($E$2:E4905,"Gmail"),"")</f>
        <v/>
      </c>
      <c r="J4905">
        <f>IF(E4905="Outlook",COUNTIF($E$2:E4905,"Outlook"),"")</f>
        <v/>
      </c>
      <c r="K4905">
        <f>IF(E4905="Domain",COUNTIF($E$2:E4905,"Domain"),"")</f>
        <v/>
      </c>
    </row>
    <row r="4906">
      <c r="A4906" s="2" t="n"/>
      <c r="B4906">
        <f>LOWER(TRIM(A4906))</f>
        <v/>
      </c>
      <c r="C4906">
        <f>IF(B4906="","",IFERROR(INDEX('Bad Patterns'!$A$2:$A$120,MATCH(1,INDEX(--ISNUMBER(SEARCH('Bad Patterns'!$A$2:$A$120,B4906)),0),0)),""))</f>
        <v/>
      </c>
      <c r="D4906">
        <f>IF(B4906="","",IF(C4906&lt;&gt;"","REMOVE","KEEP"))</f>
        <v/>
      </c>
      <c r="E4906">
        <f>IF(D4906&lt;&gt;"KEEP","",IF(RIGHT(B4906,10)="@gmail.com","Gmail",IF(OR(RIGHT(B4906,12)="@outlook.com",RIGHT(B4906,12)="@hotmail.com",RIGHT(B4906,9)="@live.com"),"Outlook","Domain")))</f>
        <v/>
      </c>
      <c r="F4906">
        <f>IF(B4906="","",IFERROR(RIGHT(B4906,LEN(B4906)-FIND("@",B4906)),""))</f>
        <v/>
      </c>
      <c r="G4906">
        <f>IF(D4906="KEEP",COUNTIF($D$2:D4906,"KEEP"),"")</f>
        <v/>
      </c>
      <c r="H4906">
        <f>IF(D4906="REMOVE",COUNTIF($D$2:D4906,"REMOVE"),"")</f>
        <v/>
      </c>
      <c r="I4906">
        <f>IF(E4906="Gmail",COUNTIF($E$2:E4906,"Gmail"),"")</f>
        <v/>
      </c>
      <c r="J4906">
        <f>IF(E4906="Outlook",COUNTIF($E$2:E4906,"Outlook"),"")</f>
        <v/>
      </c>
      <c r="K4906">
        <f>IF(E4906="Domain",COUNTIF($E$2:E4906,"Domain"),"")</f>
        <v/>
      </c>
    </row>
    <row r="4907">
      <c r="A4907" s="2" t="n"/>
      <c r="B4907">
        <f>LOWER(TRIM(A4907))</f>
        <v/>
      </c>
      <c r="C4907">
        <f>IF(B4907="","",IFERROR(INDEX('Bad Patterns'!$A$2:$A$120,MATCH(1,INDEX(--ISNUMBER(SEARCH('Bad Patterns'!$A$2:$A$120,B4907)),0),0)),""))</f>
        <v/>
      </c>
      <c r="D4907">
        <f>IF(B4907="","",IF(C4907&lt;&gt;"","REMOVE","KEEP"))</f>
        <v/>
      </c>
      <c r="E4907">
        <f>IF(D4907&lt;&gt;"KEEP","",IF(RIGHT(B4907,10)="@gmail.com","Gmail",IF(OR(RIGHT(B4907,12)="@outlook.com",RIGHT(B4907,12)="@hotmail.com",RIGHT(B4907,9)="@live.com"),"Outlook","Domain")))</f>
        <v/>
      </c>
      <c r="F4907">
        <f>IF(B4907="","",IFERROR(RIGHT(B4907,LEN(B4907)-FIND("@",B4907)),""))</f>
        <v/>
      </c>
      <c r="G4907">
        <f>IF(D4907="KEEP",COUNTIF($D$2:D4907,"KEEP"),"")</f>
        <v/>
      </c>
      <c r="H4907">
        <f>IF(D4907="REMOVE",COUNTIF($D$2:D4907,"REMOVE"),"")</f>
        <v/>
      </c>
      <c r="I4907">
        <f>IF(E4907="Gmail",COUNTIF($E$2:E4907,"Gmail"),"")</f>
        <v/>
      </c>
      <c r="J4907">
        <f>IF(E4907="Outlook",COUNTIF($E$2:E4907,"Outlook"),"")</f>
        <v/>
      </c>
      <c r="K4907">
        <f>IF(E4907="Domain",COUNTIF($E$2:E4907,"Domain"),"")</f>
        <v/>
      </c>
    </row>
    <row r="4908">
      <c r="A4908" s="2" t="n"/>
      <c r="B4908">
        <f>LOWER(TRIM(A4908))</f>
        <v/>
      </c>
      <c r="C4908">
        <f>IF(B4908="","",IFERROR(INDEX('Bad Patterns'!$A$2:$A$120,MATCH(1,INDEX(--ISNUMBER(SEARCH('Bad Patterns'!$A$2:$A$120,B4908)),0),0)),""))</f>
        <v/>
      </c>
      <c r="D4908">
        <f>IF(B4908="","",IF(C4908&lt;&gt;"","REMOVE","KEEP"))</f>
        <v/>
      </c>
      <c r="E4908">
        <f>IF(D4908&lt;&gt;"KEEP","",IF(RIGHT(B4908,10)="@gmail.com","Gmail",IF(OR(RIGHT(B4908,12)="@outlook.com",RIGHT(B4908,12)="@hotmail.com",RIGHT(B4908,9)="@live.com"),"Outlook","Domain")))</f>
        <v/>
      </c>
      <c r="F4908">
        <f>IF(B4908="","",IFERROR(RIGHT(B4908,LEN(B4908)-FIND("@",B4908)),""))</f>
        <v/>
      </c>
      <c r="G4908">
        <f>IF(D4908="KEEP",COUNTIF($D$2:D4908,"KEEP"),"")</f>
        <v/>
      </c>
      <c r="H4908">
        <f>IF(D4908="REMOVE",COUNTIF($D$2:D4908,"REMOVE"),"")</f>
        <v/>
      </c>
      <c r="I4908">
        <f>IF(E4908="Gmail",COUNTIF($E$2:E4908,"Gmail"),"")</f>
        <v/>
      </c>
      <c r="J4908">
        <f>IF(E4908="Outlook",COUNTIF($E$2:E4908,"Outlook"),"")</f>
        <v/>
      </c>
      <c r="K4908">
        <f>IF(E4908="Domain",COUNTIF($E$2:E4908,"Domain"),"")</f>
        <v/>
      </c>
    </row>
    <row r="4909">
      <c r="A4909" s="2" t="n"/>
      <c r="B4909">
        <f>LOWER(TRIM(A4909))</f>
        <v/>
      </c>
      <c r="C4909">
        <f>IF(B4909="","",IFERROR(INDEX('Bad Patterns'!$A$2:$A$120,MATCH(1,INDEX(--ISNUMBER(SEARCH('Bad Patterns'!$A$2:$A$120,B4909)),0),0)),""))</f>
        <v/>
      </c>
      <c r="D4909">
        <f>IF(B4909="","",IF(C4909&lt;&gt;"","REMOVE","KEEP"))</f>
        <v/>
      </c>
      <c r="E4909">
        <f>IF(D4909&lt;&gt;"KEEP","",IF(RIGHT(B4909,10)="@gmail.com","Gmail",IF(OR(RIGHT(B4909,12)="@outlook.com",RIGHT(B4909,12)="@hotmail.com",RIGHT(B4909,9)="@live.com"),"Outlook","Domain")))</f>
        <v/>
      </c>
      <c r="F4909">
        <f>IF(B4909="","",IFERROR(RIGHT(B4909,LEN(B4909)-FIND("@",B4909)),""))</f>
        <v/>
      </c>
      <c r="G4909">
        <f>IF(D4909="KEEP",COUNTIF($D$2:D4909,"KEEP"),"")</f>
        <v/>
      </c>
      <c r="H4909">
        <f>IF(D4909="REMOVE",COUNTIF($D$2:D4909,"REMOVE"),"")</f>
        <v/>
      </c>
      <c r="I4909">
        <f>IF(E4909="Gmail",COUNTIF($E$2:E4909,"Gmail"),"")</f>
        <v/>
      </c>
      <c r="J4909">
        <f>IF(E4909="Outlook",COUNTIF($E$2:E4909,"Outlook"),"")</f>
        <v/>
      </c>
      <c r="K4909">
        <f>IF(E4909="Domain",COUNTIF($E$2:E4909,"Domain"),"")</f>
        <v/>
      </c>
    </row>
    <row r="4910">
      <c r="A4910" s="2" t="n"/>
      <c r="B4910">
        <f>LOWER(TRIM(A4910))</f>
        <v/>
      </c>
      <c r="C4910">
        <f>IF(B4910="","",IFERROR(INDEX('Bad Patterns'!$A$2:$A$120,MATCH(1,INDEX(--ISNUMBER(SEARCH('Bad Patterns'!$A$2:$A$120,B4910)),0),0)),""))</f>
        <v/>
      </c>
      <c r="D4910">
        <f>IF(B4910="","",IF(C4910&lt;&gt;"","REMOVE","KEEP"))</f>
        <v/>
      </c>
      <c r="E4910">
        <f>IF(D4910&lt;&gt;"KEEP","",IF(RIGHT(B4910,10)="@gmail.com","Gmail",IF(OR(RIGHT(B4910,12)="@outlook.com",RIGHT(B4910,12)="@hotmail.com",RIGHT(B4910,9)="@live.com"),"Outlook","Domain")))</f>
        <v/>
      </c>
      <c r="F4910">
        <f>IF(B4910="","",IFERROR(RIGHT(B4910,LEN(B4910)-FIND("@",B4910)),""))</f>
        <v/>
      </c>
      <c r="G4910">
        <f>IF(D4910="KEEP",COUNTIF($D$2:D4910,"KEEP"),"")</f>
        <v/>
      </c>
      <c r="H4910">
        <f>IF(D4910="REMOVE",COUNTIF($D$2:D4910,"REMOVE"),"")</f>
        <v/>
      </c>
      <c r="I4910">
        <f>IF(E4910="Gmail",COUNTIF($E$2:E4910,"Gmail"),"")</f>
        <v/>
      </c>
      <c r="J4910">
        <f>IF(E4910="Outlook",COUNTIF($E$2:E4910,"Outlook"),"")</f>
        <v/>
      </c>
      <c r="K4910">
        <f>IF(E4910="Domain",COUNTIF($E$2:E4910,"Domain"),"")</f>
        <v/>
      </c>
    </row>
    <row r="4911">
      <c r="A4911" s="2" t="n"/>
      <c r="B4911">
        <f>LOWER(TRIM(A4911))</f>
        <v/>
      </c>
      <c r="C4911">
        <f>IF(B4911="","",IFERROR(INDEX('Bad Patterns'!$A$2:$A$120,MATCH(1,INDEX(--ISNUMBER(SEARCH('Bad Patterns'!$A$2:$A$120,B4911)),0),0)),""))</f>
        <v/>
      </c>
      <c r="D4911">
        <f>IF(B4911="","",IF(C4911&lt;&gt;"","REMOVE","KEEP"))</f>
        <v/>
      </c>
      <c r="E4911">
        <f>IF(D4911&lt;&gt;"KEEP","",IF(RIGHT(B4911,10)="@gmail.com","Gmail",IF(OR(RIGHT(B4911,12)="@outlook.com",RIGHT(B4911,12)="@hotmail.com",RIGHT(B4911,9)="@live.com"),"Outlook","Domain")))</f>
        <v/>
      </c>
      <c r="F4911">
        <f>IF(B4911="","",IFERROR(RIGHT(B4911,LEN(B4911)-FIND("@",B4911)),""))</f>
        <v/>
      </c>
      <c r="G4911">
        <f>IF(D4911="KEEP",COUNTIF($D$2:D4911,"KEEP"),"")</f>
        <v/>
      </c>
      <c r="H4911">
        <f>IF(D4911="REMOVE",COUNTIF($D$2:D4911,"REMOVE"),"")</f>
        <v/>
      </c>
      <c r="I4911">
        <f>IF(E4911="Gmail",COUNTIF($E$2:E4911,"Gmail"),"")</f>
        <v/>
      </c>
      <c r="J4911">
        <f>IF(E4911="Outlook",COUNTIF($E$2:E4911,"Outlook"),"")</f>
        <v/>
      </c>
      <c r="K4911">
        <f>IF(E4911="Domain",COUNTIF($E$2:E4911,"Domain"),"")</f>
        <v/>
      </c>
    </row>
    <row r="4912">
      <c r="A4912" s="2" t="n"/>
      <c r="B4912">
        <f>LOWER(TRIM(A4912))</f>
        <v/>
      </c>
      <c r="C4912">
        <f>IF(B4912="","",IFERROR(INDEX('Bad Patterns'!$A$2:$A$120,MATCH(1,INDEX(--ISNUMBER(SEARCH('Bad Patterns'!$A$2:$A$120,B4912)),0),0)),""))</f>
        <v/>
      </c>
      <c r="D4912">
        <f>IF(B4912="","",IF(C4912&lt;&gt;"","REMOVE","KEEP"))</f>
        <v/>
      </c>
      <c r="E4912">
        <f>IF(D4912&lt;&gt;"KEEP","",IF(RIGHT(B4912,10)="@gmail.com","Gmail",IF(OR(RIGHT(B4912,12)="@outlook.com",RIGHT(B4912,12)="@hotmail.com",RIGHT(B4912,9)="@live.com"),"Outlook","Domain")))</f>
        <v/>
      </c>
      <c r="F4912">
        <f>IF(B4912="","",IFERROR(RIGHT(B4912,LEN(B4912)-FIND("@",B4912)),""))</f>
        <v/>
      </c>
      <c r="G4912">
        <f>IF(D4912="KEEP",COUNTIF($D$2:D4912,"KEEP"),"")</f>
        <v/>
      </c>
      <c r="H4912">
        <f>IF(D4912="REMOVE",COUNTIF($D$2:D4912,"REMOVE"),"")</f>
        <v/>
      </c>
      <c r="I4912">
        <f>IF(E4912="Gmail",COUNTIF($E$2:E4912,"Gmail"),"")</f>
        <v/>
      </c>
      <c r="J4912">
        <f>IF(E4912="Outlook",COUNTIF($E$2:E4912,"Outlook"),"")</f>
        <v/>
      </c>
      <c r="K4912">
        <f>IF(E4912="Domain",COUNTIF($E$2:E4912,"Domain"),"")</f>
        <v/>
      </c>
    </row>
    <row r="4913">
      <c r="A4913" s="2" t="n"/>
      <c r="B4913">
        <f>LOWER(TRIM(A4913))</f>
        <v/>
      </c>
      <c r="C4913">
        <f>IF(B4913="","",IFERROR(INDEX('Bad Patterns'!$A$2:$A$120,MATCH(1,INDEX(--ISNUMBER(SEARCH('Bad Patterns'!$A$2:$A$120,B4913)),0),0)),""))</f>
        <v/>
      </c>
      <c r="D4913">
        <f>IF(B4913="","",IF(C4913&lt;&gt;"","REMOVE","KEEP"))</f>
        <v/>
      </c>
      <c r="E4913">
        <f>IF(D4913&lt;&gt;"KEEP","",IF(RIGHT(B4913,10)="@gmail.com","Gmail",IF(OR(RIGHT(B4913,12)="@outlook.com",RIGHT(B4913,12)="@hotmail.com",RIGHT(B4913,9)="@live.com"),"Outlook","Domain")))</f>
        <v/>
      </c>
      <c r="F4913">
        <f>IF(B4913="","",IFERROR(RIGHT(B4913,LEN(B4913)-FIND("@",B4913)),""))</f>
        <v/>
      </c>
      <c r="G4913">
        <f>IF(D4913="KEEP",COUNTIF($D$2:D4913,"KEEP"),"")</f>
        <v/>
      </c>
      <c r="H4913">
        <f>IF(D4913="REMOVE",COUNTIF($D$2:D4913,"REMOVE"),"")</f>
        <v/>
      </c>
      <c r="I4913">
        <f>IF(E4913="Gmail",COUNTIF($E$2:E4913,"Gmail"),"")</f>
        <v/>
      </c>
      <c r="J4913">
        <f>IF(E4913="Outlook",COUNTIF($E$2:E4913,"Outlook"),"")</f>
        <v/>
      </c>
      <c r="K4913">
        <f>IF(E4913="Domain",COUNTIF($E$2:E4913,"Domain"),"")</f>
        <v/>
      </c>
    </row>
    <row r="4914">
      <c r="A4914" s="2" t="n"/>
      <c r="B4914">
        <f>LOWER(TRIM(A4914))</f>
        <v/>
      </c>
      <c r="C4914">
        <f>IF(B4914="","",IFERROR(INDEX('Bad Patterns'!$A$2:$A$120,MATCH(1,INDEX(--ISNUMBER(SEARCH('Bad Patterns'!$A$2:$A$120,B4914)),0),0)),""))</f>
        <v/>
      </c>
      <c r="D4914">
        <f>IF(B4914="","",IF(C4914&lt;&gt;"","REMOVE","KEEP"))</f>
        <v/>
      </c>
      <c r="E4914">
        <f>IF(D4914&lt;&gt;"KEEP","",IF(RIGHT(B4914,10)="@gmail.com","Gmail",IF(OR(RIGHT(B4914,12)="@outlook.com",RIGHT(B4914,12)="@hotmail.com",RIGHT(B4914,9)="@live.com"),"Outlook","Domain")))</f>
        <v/>
      </c>
      <c r="F4914">
        <f>IF(B4914="","",IFERROR(RIGHT(B4914,LEN(B4914)-FIND("@",B4914)),""))</f>
        <v/>
      </c>
      <c r="G4914">
        <f>IF(D4914="KEEP",COUNTIF($D$2:D4914,"KEEP"),"")</f>
        <v/>
      </c>
      <c r="H4914">
        <f>IF(D4914="REMOVE",COUNTIF($D$2:D4914,"REMOVE"),"")</f>
        <v/>
      </c>
      <c r="I4914">
        <f>IF(E4914="Gmail",COUNTIF($E$2:E4914,"Gmail"),"")</f>
        <v/>
      </c>
      <c r="J4914">
        <f>IF(E4914="Outlook",COUNTIF($E$2:E4914,"Outlook"),"")</f>
        <v/>
      </c>
      <c r="K4914">
        <f>IF(E4914="Domain",COUNTIF($E$2:E4914,"Domain"),"")</f>
        <v/>
      </c>
    </row>
    <row r="4915">
      <c r="A4915" s="2" t="n"/>
      <c r="B4915">
        <f>LOWER(TRIM(A4915))</f>
        <v/>
      </c>
      <c r="C4915">
        <f>IF(B4915="","",IFERROR(INDEX('Bad Patterns'!$A$2:$A$120,MATCH(1,INDEX(--ISNUMBER(SEARCH('Bad Patterns'!$A$2:$A$120,B4915)),0),0)),""))</f>
        <v/>
      </c>
      <c r="D4915">
        <f>IF(B4915="","",IF(C4915&lt;&gt;"","REMOVE","KEEP"))</f>
        <v/>
      </c>
      <c r="E4915">
        <f>IF(D4915&lt;&gt;"KEEP","",IF(RIGHT(B4915,10)="@gmail.com","Gmail",IF(OR(RIGHT(B4915,12)="@outlook.com",RIGHT(B4915,12)="@hotmail.com",RIGHT(B4915,9)="@live.com"),"Outlook","Domain")))</f>
        <v/>
      </c>
      <c r="F4915">
        <f>IF(B4915="","",IFERROR(RIGHT(B4915,LEN(B4915)-FIND("@",B4915)),""))</f>
        <v/>
      </c>
      <c r="G4915">
        <f>IF(D4915="KEEP",COUNTIF($D$2:D4915,"KEEP"),"")</f>
        <v/>
      </c>
      <c r="H4915">
        <f>IF(D4915="REMOVE",COUNTIF($D$2:D4915,"REMOVE"),"")</f>
        <v/>
      </c>
      <c r="I4915">
        <f>IF(E4915="Gmail",COUNTIF($E$2:E4915,"Gmail"),"")</f>
        <v/>
      </c>
      <c r="J4915">
        <f>IF(E4915="Outlook",COUNTIF($E$2:E4915,"Outlook"),"")</f>
        <v/>
      </c>
      <c r="K4915">
        <f>IF(E4915="Domain",COUNTIF($E$2:E4915,"Domain"),"")</f>
        <v/>
      </c>
    </row>
    <row r="4916">
      <c r="A4916" s="2" t="n"/>
      <c r="B4916">
        <f>LOWER(TRIM(A4916))</f>
        <v/>
      </c>
      <c r="C4916">
        <f>IF(B4916="","",IFERROR(INDEX('Bad Patterns'!$A$2:$A$120,MATCH(1,INDEX(--ISNUMBER(SEARCH('Bad Patterns'!$A$2:$A$120,B4916)),0),0)),""))</f>
        <v/>
      </c>
      <c r="D4916">
        <f>IF(B4916="","",IF(C4916&lt;&gt;"","REMOVE","KEEP"))</f>
        <v/>
      </c>
      <c r="E4916">
        <f>IF(D4916&lt;&gt;"KEEP","",IF(RIGHT(B4916,10)="@gmail.com","Gmail",IF(OR(RIGHT(B4916,12)="@outlook.com",RIGHT(B4916,12)="@hotmail.com",RIGHT(B4916,9)="@live.com"),"Outlook","Domain")))</f>
        <v/>
      </c>
      <c r="F4916">
        <f>IF(B4916="","",IFERROR(RIGHT(B4916,LEN(B4916)-FIND("@",B4916)),""))</f>
        <v/>
      </c>
      <c r="G4916">
        <f>IF(D4916="KEEP",COUNTIF($D$2:D4916,"KEEP"),"")</f>
        <v/>
      </c>
      <c r="H4916">
        <f>IF(D4916="REMOVE",COUNTIF($D$2:D4916,"REMOVE"),"")</f>
        <v/>
      </c>
      <c r="I4916">
        <f>IF(E4916="Gmail",COUNTIF($E$2:E4916,"Gmail"),"")</f>
        <v/>
      </c>
      <c r="J4916">
        <f>IF(E4916="Outlook",COUNTIF($E$2:E4916,"Outlook"),"")</f>
        <v/>
      </c>
      <c r="K4916">
        <f>IF(E4916="Domain",COUNTIF($E$2:E4916,"Domain"),"")</f>
        <v/>
      </c>
    </row>
    <row r="4917">
      <c r="A4917" s="2" t="n"/>
      <c r="B4917">
        <f>LOWER(TRIM(A4917))</f>
        <v/>
      </c>
      <c r="C4917">
        <f>IF(B4917="","",IFERROR(INDEX('Bad Patterns'!$A$2:$A$120,MATCH(1,INDEX(--ISNUMBER(SEARCH('Bad Patterns'!$A$2:$A$120,B4917)),0),0)),""))</f>
        <v/>
      </c>
      <c r="D4917">
        <f>IF(B4917="","",IF(C4917&lt;&gt;"","REMOVE","KEEP"))</f>
        <v/>
      </c>
      <c r="E4917">
        <f>IF(D4917&lt;&gt;"KEEP","",IF(RIGHT(B4917,10)="@gmail.com","Gmail",IF(OR(RIGHT(B4917,12)="@outlook.com",RIGHT(B4917,12)="@hotmail.com",RIGHT(B4917,9)="@live.com"),"Outlook","Domain")))</f>
        <v/>
      </c>
      <c r="F4917">
        <f>IF(B4917="","",IFERROR(RIGHT(B4917,LEN(B4917)-FIND("@",B4917)),""))</f>
        <v/>
      </c>
      <c r="G4917">
        <f>IF(D4917="KEEP",COUNTIF($D$2:D4917,"KEEP"),"")</f>
        <v/>
      </c>
      <c r="H4917">
        <f>IF(D4917="REMOVE",COUNTIF($D$2:D4917,"REMOVE"),"")</f>
        <v/>
      </c>
      <c r="I4917">
        <f>IF(E4917="Gmail",COUNTIF($E$2:E4917,"Gmail"),"")</f>
        <v/>
      </c>
      <c r="J4917">
        <f>IF(E4917="Outlook",COUNTIF($E$2:E4917,"Outlook"),"")</f>
        <v/>
      </c>
      <c r="K4917">
        <f>IF(E4917="Domain",COUNTIF($E$2:E4917,"Domain"),"")</f>
        <v/>
      </c>
    </row>
    <row r="4918">
      <c r="A4918" s="2" t="n"/>
      <c r="B4918">
        <f>LOWER(TRIM(A4918))</f>
        <v/>
      </c>
      <c r="C4918">
        <f>IF(B4918="","",IFERROR(INDEX('Bad Patterns'!$A$2:$A$120,MATCH(1,INDEX(--ISNUMBER(SEARCH('Bad Patterns'!$A$2:$A$120,B4918)),0),0)),""))</f>
        <v/>
      </c>
      <c r="D4918">
        <f>IF(B4918="","",IF(C4918&lt;&gt;"","REMOVE","KEEP"))</f>
        <v/>
      </c>
      <c r="E4918">
        <f>IF(D4918&lt;&gt;"KEEP","",IF(RIGHT(B4918,10)="@gmail.com","Gmail",IF(OR(RIGHT(B4918,12)="@outlook.com",RIGHT(B4918,12)="@hotmail.com",RIGHT(B4918,9)="@live.com"),"Outlook","Domain")))</f>
        <v/>
      </c>
      <c r="F4918">
        <f>IF(B4918="","",IFERROR(RIGHT(B4918,LEN(B4918)-FIND("@",B4918)),""))</f>
        <v/>
      </c>
      <c r="G4918">
        <f>IF(D4918="KEEP",COUNTIF($D$2:D4918,"KEEP"),"")</f>
        <v/>
      </c>
      <c r="H4918">
        <f>IF(D4918="REMOVE",COUNTIF($D$2:D4918,"REMOVE"),"")</f>
        <v/>
      </c>
      <c r="I4918">
        <f>IF(E4918="Gmail",COUNTIF($E$2:E4918,"Gmail"),"")</f>
        <v/>
      </c>
      <c r="J4918">
        <f>IF(E4918="Outlook",COUNTIF($E$2:E4918,"Outlook"),"")</f>
        <v/>
      </c>
      <c r="K4918">
        <f>IF(E4918="Domain",COUNTIF($E$2:E4918,"Domain"),"")</f>
        <v/>
      </c>
    </row>
    <row r="4919">
      <c r="A4919" s="2" t="n"/>
      <c r="B4919">
        <f>LOWER(TRIM(A4919))</f>
        <v/>
      </c>
      <c r="C4919">
        <f>IF(B4919="","",IFERROR(INDEX('Bad Patterns'!$A$2:$A$120,MATCH(1,INDEX(--ISNUMBER(SEARCH('Bad Patterns'!$A$2:$A$120,B4919)),0),0)),""))</f>
        <v/>
      </c>
      <c r="D4919">
        <f>IF(B4919="","",IF(C4919&lt;&gt;"","REMOVE","KEEP"))</f>
        <v/>
      </c>
      <c r="E4919">
        <f>IF(D4919&lt;&gt;"KEEP","",IF(RIGHT(B4919,10)="@gmail.com","Gmail",IF(OR(RIGHT(B4919,12)="@outlook.com",RIGHT(B4919,12)="@hotmail.com",RIGHT(B4919,9)="@live.com"),"Outlook","Domain")))</f>
        <v/>
      </c>
      <c r="F4919">
        <f>IF(B4919="","",IFERROR(RIGHT(B4919,LEN(B4919)-FIND("@",B4919)),""))</f>
        <v/>
      </c>
      <c r="G4919">
        <f>IF(D4919="KEEP",COUNTIF($D$2:D4919,"KEEP"),"")</f>
        <v/>
      </c>
      <c r="H4919">
        <f>IF(D4919="REMOVE",COUNTIF($D$2:D4919,"REMOVE"),"")</f>
        <v/>
      </c>
      <c r="I4919">
        <f>IF(E4919="Gmail",COUNTIF($E$2:E4919,"Gmail"),"")</f>
        <v/>
      </c>
      <c r="J4919">
        <f>IF(E4919="Outlook",COUNTIF($E$2:E4919,"Outlook"),"")</f>
        <v/>
      </c>
      <c r="K4919">
        <f>IF(E4919="Domain",COUNTIF($E$2:E4919,"Domain"),"")</f>
        <v/>
      </c>
    </row>
    <row r="4920">
      <c r="A4920" s="2" t="n"/>
      <c r="B4920">
        <f>LOWER(TRIM(A4920))</f>
        <v/>
      </c>
      <c r="C4920">
        <f>IF(B4920="","",IFERROR(INDEX('Bad Patterns'!$A$2:$A$120,MATCH(1,INDEX(--ISNUMBER(SEARCH('Bad Patterns'!$A$2:$A$120,B4920)),0),0)),""))</f>
        <v/>
      </c>
      <c r="D4920">
        <f>IF(B4920="","",IF(C4920&lt;&gt;"","REMOVE","KEEP"))</f>
        <v/>
      </c>
      <c r="E4920">
        <f>IF(D4920&lt;&gt;"KEEP","",IF(RIGHT(B4920,10)="@gmail.com","Gmail",IF(OR(RIGHT(B4920,12)="@outlook.com",RIGHT(B4920,12)="@hotmail.com",RIGHT(B4920,9)="@live.com"),"Outlook","Domain")))</f>
        <v/>
      </c>
      <c r="F4920">
        <f>IF(B4920="","",IFERROR(RIGHT(B4920,LEN(B4920)-FIND("@",B4920)),""))</f>
        <v/>
      </c>
      <c r="G4920">
        <f>IF(D4920="KEEP",COUNTIF($D$2:D4920,"KEEP"),"")</f>
        <v/>
      </c>
      <c r="H4920">
        <f>IF(D4920="REMOVE",COUNTIF($D$2:D4920,"REMOVE"),"")</f>
        <v/>
      </c>
      <c r="I4920">
        <f>IF(E4920="Gmail",COUNTIF($E$2:E4920,"Gmail"),"")</f>
        <v/>
      </c>
      <c r="J4920">
        <f>IF(E4920="Outlook",COUNTIF($E$2:E4920,"Outlook"),"")</f>
        <v/>
      </c>
      <c r="K4920">
        <f>IF(E4920="Domain",COUNTIF($E$2:E4920,"Domain"),"")</f>
        <v/>
      </c>
    </row>
    <row r="4921">
      <c r="A4921" s="2" t="n"/>
      <c r="B4921">
        <f>LOWER(TRIM(A4921))</f>
        <v/>
      </c>
      <c r="C4921">
        <f>IF(B4921="","",IFERROR(INDEX('Bad Patterns'!$A$2:$A$120,MATCH(1,INDEX(--ISNUMBER(SEARCH('Bad Patterns'!$A$2:$A$120,B4921)),0),0)),""))</f>
        <v/>
      </c>
      <c r="D4921">
        <f>IF(B4921="","",IF(C4921&lt;&gt;"","REMOVE","KEEP"))</f>
        <v/>
      </c>
      <c r="E4921">
        <f>IF(D4921&lt;&gt;"KEEP","",IF(RIGHT(B4921,10)="@gmail.com","Gmail",IF(OR(RIGHT(B4921,12)="@outlook.com",RIGHT(B4921,12)="@hotmail.com",RIGHT(B4921,9)="@live.com"),"Outlook","Domain")))</f>
        <v/>
      </c>
      <c r="F4921">
        <f>IF(B4921="","",IFERROR(RIGHT(B4921,LEN(B4921)-FIND("@",B4921)),""))</f>
        <v/>
      </c>
      <c r="G4921">
        <f>IF(D4921="KEEP",COUNTIF($D$2:D4921,"KEEP"),"")</f>
        <v/>
      </c>
      <c r="H4921">
        <f>IF(D4921="REMOVE",COUNTIF($D$2:D4921,"REMOVE"),"")</f>
        <v/>
      </c>
      <c r="I4921">
        <f>IF(E4921="Gmail",COUNTIF($E$2:E4921,"Gmail"),"")</f>
        <v/>
      </c>
      <c r="J4921">
        <f>IF(E4921="Outlook",COUNTIF($E$2:E4921,"Outlook"),"")</f>
        <v/>
      </c>
      <c r="K4921">
        <f>IF(E4921="Domain",COUNTIF($E$2:E4921,"Domain"),"")</f>
        <v/>
      </c>
    </row>
    <row r="4922">
      <c r="A4922" s="2" t="n"/>
      <c r="B4922">
        <f>LOWER(TRIM(A4922))</f>
        <v/>
      </c>
      <c r="C4922">
        <f>IF(B4922="","",IFERROR(INDEX('Bad Patterns'!$A$2:$A$120,MATCH(1,INDEX(--ISNUMBER(SEARCH('Bad Patterns'!$A$2:$A$120,B4922)),0),0)),""))</f>
        <v/>
      </c>
      <c r="D4922">
        <f>IF(B4922="","",IF(C4922&lt;&gt;"","REMOVE","KEEP"))</f>
        <v/>
      </c>
      <c r="E4922">
        <f>IF(D4922&lt;&gt;"KEEP","",IF(RIGHT(B4922,10)="@gmail.com","Gmail",IF(OR(RIGHT(B4922,12)="@outlook.com",RIGHT(B4922,12)="@hotmail.com",RIGHT(B4922,9)="@live.com"),"Outlook","Domain")))</f>
        <v/>
      </c>
      <c r="F4922">
        <f>IF(B4922="","",IFERROR(RIGHT(B4922,LEN(B4922)-FIND("@",B4922)),""))</f>
        <v/>
      </c>
      <c r="G4922">
        <f>IF(D4922="KEEP",COUNTIF($D$2:D4922,"KEEP"),"")</f>
        <v/>
      </c>
      <c r="H4922">
        <f>IF(D4922="REMOVE",COUNTIF($D$2:D4922,"REMOVE"),"")</f>
        <v/>
      </c>
      <c r="I4922">
        <f>IF(E4922="Gmail",COUNTIF($E$2:E4922,"Gmail"),"")</f>
        <v/>
      </c>
      <c r="J4922">
        <f>IF(E4922="Outlook",COUNTIF($E$2:E4922,"Outlook"),"")</f>
        <v/>
      </c>
      <c r="K4922">
        <f>IF(E4922="Domain",COUNTIF($E$2:E4922,"Domain"),"")</f>
        <v/>
      </c>
    </row>
    <row r="4923">
      <c r="A4923" s="2" t="n"/>
      <c r="B4923">
        <f>LOWER(TRIM(A4923))</f>
        <v/>
      </c>
      <c r="C4923">
        <f>IF(B4923="","",IFERROR(INDEX('Bad Patterns'!$A$2:$A$120,MATCH(1,INDEX(--ISNUMBER(SEARCH('Bad Patterns'!$A$2:$A$120,B4923)),0),0)),""))</f>
        <v/>
      </c>
      <c r="D4923">
        <f>IF(B4923="","",IF(C4923&lt;&gt;"","REMOVE","KEEP"))</f>
        <v/>
      </c>
      <c r="E4923">
        <f>IF(D4923&lt;&gt;"KEEP","",IF(RIGHT(B4923,10)="@gmail.com","Gmail",IF(OR(RIGHT(B4923,12)="@outlook.com",RIGHT(B4923,12)="@hotmail.com",RIGHT(B4923,9)="@live.com"),"Outlook","Domain")))</f>
        <v/>
      </c>
      <c r="F4923">
        <f>IF(B4923="","",IFERROR(RIGHT(B4923,LEN(B4923)-FIND("@",B4923)),""))</f>
        <v/>
      </c>
      <c r="G4923">
        <f>IF(D4923="KEEP",COUNTIF($D$2:D4923,"KEEP"),"")</f>
        <v/>
      </c>
      <c r="H4923">
        <f>IF(D4923="REMOVE",COUNTIF($D$2:D4923,"REMOVE"),"")</f>
        <v/>
      </c>
      <c r="I4923">
        <f>IF(E4923="Gmail",COUNTIF($E$2:E4923,"Gmail"),"")</f>
        <v/>
      </c>
      <c r="J4923">
        <f>IF(E4923="Outlook",COUNTIF($E$2:E4923,"Outlook"),"")</f>
        <v/>
      </c>
      <c r="K4923">
        <f>IF(E4923="Domain",COUNTIF($E$2:E4923,"Domain"),"")</f>
        <v/>
      </c>
    </row>
    <row r="4924">
      <c r="A4924" s="2" t="n"/>
      <c r="B4924">
        <f>LOWER(TRIM(A4924))</f>
        <v/>
      </c>
      <c r="C4924">
        <f>IF(B4924="","",IFERROR(INDEX('Bad Patterns'!$A$2:$A$120,MATCH(1,INDEX(--ISNUMBER(SEARCH('Bad Patterns'!$A$2:$A$120,B4924)),0),0)),""))</f>
        <v/>
      </c>
      <c r="D4924">
        <f>IF(B4924="","",IF(C4924&lt;&gt;"","REMOVE","KEEP"))</f>
        <v/>
      </c>
      <c r="E4924">
        <f>IF(D4924&lt;&gt;"KEEP","",IF(RIGHT(B4924,10)="@gmail.com","Gmail",IF(OR(RIGHT(B4924,12)="@outlook.com",RIGHT(B4924,12)="@hotmail.com",RIGHT(B4924,9)="@live.com"),"Outlook","Domain")))</f>
        <v/>
      </c>
      <c r="F4924">
        <f>IF(B4924="","",IFERROR(RIGHT(B4924,LEN(B4924)-FIND("@",B4924)),""))</f>
        <v/>
      </c>
      <c r="G4924">
        <f>IF(D4924="KEEP",COUNTIF($D$2:D4924,"KEEP"),"")</f>
        <v/>
      </c>
      <c r="H4924">
        <f>IF(D4924="REMOVE",COUNTIF($D$2:D4924,"REMOVE"),"")</f>
        <v/>
      </c>
      <c r="I4924">
        <f>IF(E4924="Gmail",COUNTIF($E$2:E4924,"Gmail"),"")</f>
        <v/>
      </c>
      <c r="J4924">
        <f>IF(E4924="Outlook",COUNTIF($E$2:E4924,"Outlook"),"")</f>
        <v/>
      </c>
      <c r="K4924">
        <f>IF(E4924="Domain",COUNTIF($E$2:E4924,"Domain"),"")</f>
        <v/>
      </c>
    </row>
    <row r="4925">
      <c r="A4925" s="2" t="n"/>
      <c r="B4925">
        <f>LOWER(TRIM(A4925))</f>
        <v/>
      </c>
      <c r="C4925">
        <f>IF(B4925="","",IFERROR(INDEX('Bad Patterns'!$A$2:$A$120,MATCH(1,INDEX(--ISNUMBER(SEARCH('Bad Patterns'!$A$2:$A$120,B4925)),0),0)),""))</f>
        <v/>
      </c>
      <c r="D4925">
        <f>IF(B4925="","",IF(C4925&lt;&gt;"","REMOVE","KEEP"))</f>
        <v/>
      </c>
      <c r="E4925">
        <f>IF(D4925&lt;&gt;"KEEP","",IF(RIGHT(B4925,10)="@gmail.com","Gmail",IF(OR(RIGHT(B4925,12)="@outlook.com",RIGHT(B4925,12)="@hotmail.com",RIGHT(B4925,9)="@live.com"),"Outlook","Domain")))</f>
        <v/>
      </c>
      <c r="F4925">
        <f>IF(B4925="","",IFERROR(RIGHT(B4925,LEN(B4925)-FIND("@",B4925)),""))</f>
        <v/>
      </c>
      <c r="G4925">
        <f>IF(D4925="KEEP",COUNTIF($D$2:D4925,"KEEP"),"")</f>
        <v/>
      </c>
      <c r="H4925">
        <f>IF(D4925="REMOVE",COUNTIF($D$2:D4925,"REMOVE"),"")</f>
        <v/>
      </c>
      <c r="I4925">
        <f>IF(E4925="Gmail",COUNTIF($E$2:E4925,"Gmail"),"")</f>
        <v/>
      </c>
      <c r="J4925">
        <f>IF(E4925="Outlook",COUNTIF($E$2:E4925,"Outlook"),"")</f>
        <v/>
      </c>
      <c r="K4925">
        <f>IF(E4925="Domain",COUNTIF($E$2:E4925,"Domain"),"")</f>
        <v/>
      </c>
    </row>
    <row r="4926">
      <c r="A4926" s="2" t="n"/>
      <c r="B4926">
        <f>LOWER(TRIM(A4926))</f>
        <v/>
      </c>
      <c r="C4926">
        <f>IF(B4926="","",IFERROR(INDEX('Bad Patterns'!$A$2:$A$120,MATCH(1,INDEX(--ISNUMBER(SEARCH('Bad Patterns'!$A$2:$A$120,B4926)),0),0)),""))</f>
        <v/>
      </c>
      <c r="D4926">
        <f>IF(B4926="","",IF(C4926&lt;&gt;"","REMOVE","KEEP"))</f>
        <v/>
      </c>
      <c r="E4926">
        <f>IF(D4926&lt;&gt;"KEEP","",IF(RIGHT(B4926,10)="@gmail.com","Gmail",IF(OR(RIGHT(B4926,12)="@outlook.com",RIGHT(B4926,12)="@hotmail.com",RIGHT(B4926,9)="@live.com"),"Outlook","Domain")))</f>
        <v/>
      </c>
      <c r="F4926">
        <f>IF(B4926="","",IFERROR(RIGHT(B4926,LEN(B4926)-FIND("@",B4926)),""))</f>
        <v/>
      </c>
      <c r="G4926">
        <f>IF(D4926="KEEP",COUNTIF($D$2:D4926,"KEEP"),"")</f>
        <v/>
      </c>
      <c r="H4926">
        <f>IF(D4926="REMOVE",COUNTIF($D$2:D4926,"REMOVE"),"")</f>
        <v/>
      </c>
      <c r="I4926">
        <f>IF(E4926="Gmail",COUNTIF($E$2:E4926,"Gmail"),"")</f>
        <v/>
      </c>
      <c r="J4926">
        <f>IF(E4926="Outlook",COUNTIF($E$2:E4926,"Outlook"),"")</f>
        <v/>
      </c>
      <c r="K4926">
        <f>IF(E4926="Domain",COUNTIF($E$2:E4926,"Domain"),"")</f>
        <v/>
      </c>
    </row>
    <row r="4927">
      <c r="A4927" s="2" t="n"/>
      <c r="B4927">
        <f>LOWER(TRIM(A4927))</f>
        <v/>
      </c>
      <c r="C4927">
        <f>IF(B4927="","",IFERROR(INDEX('Bad Patterns'!$A$2:$A$120,MATCH(1,INDEX(--ISNUMBER(SEARCH('Bad Patterns'!$A$2:$A$120,B4927)),0),0)),""))</f>
        <v/>
      </c>
      <c r="D4927">
        <f>IF(B4927="","",IF(C4927&lt;&gt;"","REMOVE","KEEP"))</f>
        <v/>
      </c>
      <c r="E4927">
        <f>IF(D4927&lt;&gt;"KEEP","",IF(RIGHT(B4927,10)="@gmail.com","Gmail",IF(OR(RIGHT(B4927,12)="@outlook.com",RIGHT(B4927,12)="@hotmail.com",RIGHT(B4927,9)="@live.com"),"Outlook","Domain")))</f>
        <v/>
      </c>
      <c r="F4927">
        <f>IF(B4927="","",IFERROR(RIGHT(B4927,LEN(B4927)-FIND("@",B4927)),""))</f>
        <v/>
      </c>
      <c r="G4927">
        <f>IF(D4927="KEEP",COUNTIF($D$2:D4927,"KEEP"),"")</f>
        <v/>
      </c>
      <c r="H4927">
        <f>IF(D4927="REMOVE",COUNTIF($D$2:D4927,"REMOVE"),"")</f>
        <v/>
      </c>
      <c r="I4927">
        <f>IF(E4927="Gmail",COUNTIF($E$2:E4927,"Gmail"),"")</f>
        <v/>
      </c>
      <c r="J4927">
        <f>IF(E4927="Outlook",COUNTIF($E$2:E4927,"Outlook"),"")</f>
        <v/>
      </c>
      <c r="K4927">
        <f>IF(E4927="Domain",COUNTIF($E$2:E4927,"Domain"),"")</f>
        <v/>
      </c>
    </row>
    <row r="4928">
      <c r="A4928" s="2" t="n"/>
      <c r="B4928">
        <f>LOWER(TRIM(A4928))</f>
        <v/>
      </c>
      <c r="C4928">
        <f>IF(B4928="","",IFERROR(INDEX('Bad Patterns'!$A$2:$A$120,MATCH(1,INDEX(--ISNUMBER(SEARCH('Bad Patterns'!$A$2:$A$120,B4928)),0),0)),""))</f>
        <v/>
      </c>
      <c r="D4928">
        <f>IF(B4928="","",IF(C4928&lt;&gt;"","REMOVE","KEEP"))</f>
        <v/>
      </c>
      <c r="E4928">
        <f>IF(D4928&lt;&gt;"KEEP","",IF(RIGHT(B4928,10)="@gmail.com","Gmail",IF(OR(RIGHT(B4928,12)="@outlook.com",RIGHT(B4928,12)="@hotmail.com",RIGHT(B4928,9)="@live.com"),"Outlook","Domain")))</f>
        <v/>
      </c>
      <c r="F4928">
        <f>IF(B4928="","",IFERROR(RIGHT(B4928,LEN(B4928)-FIND("@",B4928)),""))</f>
        <v/>
      </c>
      <c r="G4928">
        <f>IF(D4928="KEEP",COUNTIF($D$2:D4928,"KEEP"),"")</f>
        <v/>
      </c>
      <c r="H4928">
        <f>IF(D4928="REMOVE",COUNTIF($D$2:D4928,"REMOVE"),"")</f>
        <v/>
      </c>
      <c r="I4928">
        <f>IF(E4928="Gmail",COUNTIF($E$2:E4928,"Gmail"),"")</f>
        <v/>
      </c>
      <c r="J4928">
        <f>IF(E4928="Outlook",COUNTIF($E$2:E4928,"Outlook"),"")</f>
        <v/>
      </c>
      <c r="K4928">
        <f>IF(E4928="Domain",COUNTIF($E$2:E4928,"Domain"),"")</f>
        <v/>
      </c>
    </row>
    <row r="4929">
      <c r="A4929" s="2" t="n"/>
      <c r="B4929">
        <f>LOWER(TRIM(A4929))</f>
        <v/>
      </c>
      <c r="C4929">
        <f>IF(B4929="","",IFERROR(INDEX('Bad Patterns'!$A$2:$A$120,MATCH(1,INDEX(--ISNUMBER(SEARCH('Bad Patterns'!$A$2:$A$120,B4929)),0),0)),""))</f>
        <v/>
      </c>
      <c r="D4929">
        <f>IF(B4929="","",IF(C4929&lt;&gt;"","REMOVE","KEEP"))</f>
        <v/>
      </c>
      <c r="E4929">
        <f>IF(D4929&lt;&gt;"KEEP","",IF(RIGHT(B4929,10)="@gmail.com","Gmail",IF(OR(RIGHT(B4929,12)="@outlook.com",RIGHT(B4929,12)="@hotmail.com",RIGHT(B4929,9)="@live.com"),"Outlook","Domain")))</f>
        <v/>
      </c>
      <c r="F4929">
        <f>IF(B4929="","",IFERROR(RIGHT(B4929,LEN(B4929)-FIND("@",B4929)),""))</f>
        <v/>
      </c>
      <c r="G4929">
        <f>IF(D4929="KEEP",COUNTIF($D$2:D4929,"KEEP"),"")</f>
        <v/>
      </c>
      <c r="H4929">
        <f>IF(D4929="REMOVE",COUNTIF($D$2:D4929,"REMOVE"),"")</f>
        <v/>
      </c>
      <c r="I4929">
        <f>IF(E4929="Gmail",COUNTIF($E$2:E4929,"Gmail"),"")</f>
        <v/>
      </c>
      <c r="J4929">
        <f>IF(E4929="Outlook",COUNTIF($E$2:E4929,"Outlook"),"")</f>
        <v/>
      </c>
      <c r="K4929">
        <f>IF(E4929="Domain",COUNTIF($E$2:E4929,"Domain"),"")</f>
        <v/>
      </c>
    </row>
    <row r="4930">
      <c r="A4930" s="2" t="n"/>
      <c r="B4930">
        <f>LOWER(TRIM(A4930))</f>
        <v/>
      </c>
      <c r="C4930">
        <f>IF(B4930="","",IFERROR(INDEX('Bad Patterns'!$A$2:$A$120,MATCH(1,INDEX(--ISNUMBER(SEARCH('Bad Patterns'!$A$2:$A$120,B4930)),0),0)),""))</f>
        <v/>
      </c>
      <c r="D4930">
        <f>IF(B4930="","",IF(C4930&lt;&gt;"","REMOVE","KEEP"))</f>
        <v/>
      </c>
      <c r="E4930">
        <f>IF(D4930&lt;&gt;"KEEP","",IF(RIGHT(B4930,10)="@gmail.com","Gmail",IF(OR(RIGHT(B4930,12)="@outlook.com",RIGHT(B4930,12)="@hotmail.com",RIGHT(B4930,9)="@live.com"),"Outlook","Domain")))</f>
        <v/>
      </c>
      <c r="F4930">
        <f>IF(B4930="","",IFERROR(RIGHT(B4930,LEN(B4930)-FIND("@",B4930)),""))</f>
        <v/>
      </c>
      <c r="G4930">
        <f>IF(D4930="KEEP",COUNTIF($D$2:D4930,"KEEP"),"")</f>
        <v/>
      </c>
      <c r="H4930">
        <f>IF(D4930="REMOVE",COUNTIF($D$2:D4930,"REMOVE"),"")</f>
        <v/>
      </c>
      <c r="I4930">
        <f>IF(E4930="Gmail",COUNTIF($E$2:E4930,"Gmail"),"")</f>
        <v/>
      </c>
      <c r="J4930">
        <f>IF(E4930="Outlook",COUNTIF($E$2:E4930,"Outlook"),"")</f>
        <v/>
      </c>
      <c r="K4930">
        <f>IF(E4930="Domain",COUNTIF($E$2:E4930,"Domain"),"")</f>
        <v/>
      </c>
    </row>
    <row r="4931">
      <c r="A4931" s="2" t="n"/>
      <c r="B4931">
        <f>LOWER(TRIM(A4931))</f>
        <v/>
      </c>
      <c r="C4931">
        <f>IF(B4931="","",IFERROR(INDEX('Bad Patterns'!$A$2:$A$120,MATCH(1,INDEX(--ISNUMBER(SEARCH('Bad Patterns'!$A$2:$A$120,B4931)),0),0)),""))</f>
        <v/>
      </c>
      <c r="D4931">
        <f>IF(B4931="","",IF(C4931&lt;&gt;"","REMOVE","KEEP"))</f>
        <v/>
      </c>
      <c r="E4931">
        <f>IF(D4931&lt;&gt;"KEEP","",IF(RIGHT(B4931,10)="@gmail.com","Gmail",IF(OR(RIGHT(B4931,12)="@outlook.com",RIGHT(B4931,12)="@hotmail.com",RIGHT(B4931,9)="@live.com"),"Outlook","Domain")))</f>
        <v/>
      </c>
      <c r="F4931">
        <f>IF(B4931="","",IFERROR(RIGHT(B4931,LEN(B4931)-FIND("@",B4931)),""))</f>
        <v/>
      </c>
      <c r="G4931">
        <f>IF(D4931="KEEP",COUNTIF($D$2:D4931,"KEEP"),"")</f>
        <v/>
      </c>
      <c r="H4931">
        <f>IF(D4931="REMOVE",COUNTIF($D$2:D4931,"REMOVE"),"")</f>
        <v/>
      </c>
      <c r="I4931">
        <f>IF(E4931="Gmail",COUNTIF($E$2:E4931,"Gmail"),"")</f>
        <v/>
      </c>
      <c r="J4931">
        <f>IF(E4931="Outlook",COUNTIF($E$2:E4931,"Outlook"),"")</f>
        <v/>
      </c>
      <c r="K4931">
        <f>IF(E4931="Domain",COUNTIF($E$2:E4931,"Domain"),"")</f>
        <v/>
      </c>
    </row>
    <row r="4932">
      <c r="A4932" s="2" t="n"/>
      <c r="B4932">
        <f>LOWER(TRIM(A4932))</f>
        <v/>
      </c>
      <c r="C4932">
        <f>IF(B4932="","",IFERROR(INDEX('Bad Patterns'!$A$2:$A$120,MATCH(1,INDEX(--ISNUMBER(SEARCH('Bad Patterns'!$A$2:$A$120,B4932)),0),0)),""))</f>
        <v/>
      </c>
      <c r="D4932">
        <f>IF(B4932="","",IF(C4932&lt;&gt;"","REMOVE","KEEP"))</f>
        <v/>
      </c>
      <c r="E4932">
        <f>IF(D4932&lt;&gt;"KEEP","",IF(RIGHT(B4932,10)="@gmail.com","Gmail",IF(OR(RIGHT(B4932,12)="@outlook.com",RIGHT(B4932,12)="@hotmail.com",RIGHT(B4932,9)="@live.com"),"Outlook","Domain")))</f>
        <v/>
      </c>
      <c r="F4932">
        <f>IF(B4932="","",IFERROR(RIGHT(B4932,LEN(B4932)-FIND("@",B4932)),""))</f>
        <v/>
      </c>
      <c r="G4932">
        <f>IF(D4932="KEEP",COUNTIF($D$2:D4932,"KEEP"),"")</f>
        <v/>
      </c>
      <c r="H4932">
        <f>IF(D4932="REMOVE",COUNTIF($D$2:D4932,"REMOVE"),"")</f>
        <v/>
      </c>
      <c r="I4932">
        <f>IF(E4932="Gmail",COUNTIF($E$2:E4932,"Gmail"),"")</f>
        <v/>
      </c>
      <c r="J4932">
        <f>IF(E4932="Outlook",COUNTIF($E$2:E4932,"Outlook"),"")</f>
        <v/>
      </c>
      <c r="K4932">
        <f>IF(E4932="Domain",COUNTIF($E$2:E4932,"Domain"),"")</f>
        <v/>
      </c>
    </row>
    <row r="4933">
      <c r="A4933" s="2" t="n"/>
      <c r="B4933">
        <f>LOWER(TRIM(A4933))</f>
        <v/>
      </c>
      <c r="C4933">
        <f>IF(B4933="","",IFERROR(INDEX('Bad Patterns'!$A$2:$A$120,MATCH(1,INDEX(--ISNUMBER(SEARCH('Bad Patterns'!$A$2:$A$120,B4933)),0),0)),""))</f>
        <v/>
      </c>
      <c r="D4933">
        <f>IF(B4933="","",IF(C4933&lt;&gt;"","REMOVE","KEEP"))</f>
        <v/>
      </c>
      <c r="E4933">
        <f>IF(D4933&lt;&gt;"KEEP","",IF(RIGHT(B4933,10)="@gmail.com","Gmail",IF(OR(RIGHT(B4933,12)="@outlook.com",RIGHT(B4933,12)="@hotmail.com",RIGHT(B4933,9)="@live.com"),"Outlook","Domain")))</f>
        <v/>
      </c>
      <c r="F4933">
        <f>IF(B4933="","",IFERROR(RIGHT(B4933,LEN(B4933)-FIND("@",B4933)),""))</f>
        <v/>
      </c>
      <c r="G4933">
        <f>IF(D4933="KEEP",COUNTIF($D$2:D4933,"KEEP"),"")</f>
        <v/>
      </c>
      <c r="H4933">
        <f>IF(D4933="REMOVE",COUNTIF($D$2:D4933,"REMOVE"),"")</f>
        <v/>
      </c>
      <c r="I4933">
        <f>IF(E4933="Gmail",COUNTIF($E$2:E4933,"Gmail"),"")</f>
        <v/>
      </c>
      <c r="J4933">
        <f>IF(E4933="Outlook",COUNTIF($E$2:E4933,"Outlook"),"")</f>
        <v/>
      </c>
      <c r="K4933">
        <f>IF(E4933="Domain",COUNTIF($E$2:E4933,"Domain"),"")</f>
        <v/>
      </c>
    </row>
    <row r="4934">
      <c r="A4934" s="2" t="n"/>
      <c r="B4934">
        <f>LOWER(TRIM(A4934))</f>
        <v/>
      </c>
      <c r="C4934">
        <f>IF(B4934="","",IFERROR(INDEX('Bad Patterns'!$A$2:$A$120,MATCH(1,INDEX(--ISNUMBER(SEARCH('Bad Patterns'!$A$2:$A$120,B4934)),0),0)),""))</f>
        <v/>
      </c>
      <c r="D4934">
        <f>IF(B4934="","",IF(C4934&lt;&gt;"","REMOVE","KEEP"))</f>
        <v/>
      </c>
      <c r="E4934">
        <f>IF(D4934&lt;&gt;"KEEP","",IF(RIGHT(B4934,10)="@gmail.com","Gmail",IF(OR(RIGHT(B4934,12)="@outlook.com",RIGHT(B4934,12)="@hotmail.com",RIGHT(B4934,9)="@live.com"),"Outlook","Domain")))</f>
        <v/>
      </c>
      <c r="F4934">
        <f>IF(B4934="","",IFERROR(RIGHT(B4934,LEN(B4934)-FIND("@",B4934)),""))</f>
        <v/>
      </c>
      <c r="G4934">
        <f>IF(D4934="KEEP",COUNTIF($D$2:D4934,"KEEP"),"")</f>
        <v/>
      </c>
      <c r="H4934">
        <f>IF(D4934="REMOVE",COUNTIF($D$2:D4934,"REMOVE"),"")</f>
        <v/>
      </c>
      <c r="I4934">
        <f>IF(E4934="Gmail",COUNTIF($E$2:E4934,"Gmail"),"")</f>
        <v/>
      </c>
      <c r="J4934">
        <f>IF(E4934="Outlook",COUNTIF($E$2:E4934,"Outlook"),"")</f>
        <v/>
      </c>
      <c r="K4934">
        <f>IF(E4934="Domain",COUNTIF($E$2:E4934,"Domain"),"")</f>
        <v/>
      </c>
    </row>
    <row r="4935">
      <c r="A4935" s="2" t="n"/>
      <c r="B4935">
        <f>LOWER(TRIM(A4935))</f>
        <v/>
      </c>
      <c r="C4935">
        <f>IF(B4935="","",IFERROR(INDEX('Bad Patterns'!$A$2:$A$120,MATCH(1,INDEX(--ISNUMBER(SEARCH('Bad Patterns'!$A$2:$A$120,B4935)),0),0)),""))</f>
        <v/>
      </c>
      <c r="D4935">
        <f>IF(B4935="","",IF(C4935&lt;&gt;"","REMOVE","KEEP"))</f>
        <v/>
      </c>
      <c r="E4935">
        <f>IF(D4935&lt;&gt;"KEEP","",IF(RIGHT(B4935,10)="@gmail.com","Gmail",IF(OR(RIGHT(B4935,12)="@outlook.com",RIGHT(B4935,12)="@hotmail.com",RIGHT(B4935,9)="@live.com"),"Outlook","Domain")))</f>
        <v/>
      </c>
      <c r="F4935">
        <f>IF(B4935="","",IFERROR(RIGHT(B4935,LEN(B4935)-FIND("@",B4935)),""))</f>
        <v/>
      </c>
      <c r="G4935">
        <f>IF(D4935="KEEP",COUNTIF($D$2:D4935,"KEEP"),"")</f>
        <v/>
      </c>
      <c r="H4935">
        <f>IF(D4935="REMOVE",COUNTIF($D$2:D4935,"REMOVE"),"")</f>
        <v/>
      </c>
      <c r="I4935">
        <f>IF(E4935="Gmail",COUNTIF($E$2:E4935,"Gmail"),"")</f>
        <v/>
      </c>
      <c r="J4935">
        <f>IF(E4935="Outlook",COUNTIF($E$2:E4935,"Outlook"),"")</f>
        <v/>
      </c>
      <c r="K4935">
        <f>IF(E4935="Domain",COUNTIF($E$2:E4935,"Domain"),"")</f>
        <v/>
      </c>
    </row>
    <row r="4936">
      <c r="A4936" s="2" t="n"/>
      <c r="B4936">
        <f>LOWER(TRIM(A4936))</f>
        <v/>
      </c>
      <c r="C4936">
        <f>IF(B4936="","",IFERROR(INDEX('Bad Patterns'!$A$2:$A$120,MATCH(1,INDEX(--ISNUMBER(SEARCH('Bad Patterns'!$A$2:$A$120,B4936)),0),0)),""))</f>
        <v/>
      </c>
      <c r="D4936">
        <f>IF(B4936="","",IF(C4936&lt;&gt;"","REMOVE","KEEP"))</f>
        <v/>
      </c>
      <c r="E4936">
        <f>IF(D4936&lt;&gt;"KEEP","",IF(RIGHT(B4936,10)="@gmail.com","Gmail",IF(OR(RIGHT(B4936,12)="@outlook.com",RIGHT(B4936,12)="@hotmail.com",RIGHT(B4936,9)="@live.com"),"Outlook","Domain")))</f>
        <v/>
      </c>
      <c r="F4936">
        <f>IF(B4936="","",IFERROR(RIGHT(B4936,LEN(B4936)-FIND("@",B4936)),""))</f>
        <v/>
      </c>
      <c r="G4936">
        <f>IF(D4936="KEEP",COUNTIF($D$2:D4936,"KEEP"),"")</f>
        <v/>
      </c>
      <c r="H4936">
        <f>IF(D4936="REMOVE",COUNTIF($D$2:D4936,"REMOVE"),"")</f>
        <v/>
      </c>
      <c r="I4936">
        <f>IF(E4936="Gmail",COUNTIF($E$2:E4936,"Gmail"),"")</f>
        <v/>
      </c>
      <c r="J4936">
        <f>IF(E4936="Outlook",COUNTIF($E$2:E4936,"Outlook"),"")</f>
        <v/>
      </c>
      <c r="K4936">
        <f>IF(E4936="Domain",COUNTIF($E$2:E4936,"Domain"),"")</f>
        <v/>
      </c>
    </row>
    <row r="4937">
      <c r="A4937" s="2" t="n"/>
      <c r="B4937">
        <f>LOWER(TRIM(A4937))</f>
        <v/>
      </c>
      <c r="C4937">
        <f>IF(B4937="","",IFERROR(INDEX('Bad Patterns'!$A$2:$A$120,MATCH(1,INDEX(--ISNUMBER(SEARCH('Bad Patterns'!$A$2:$A$120,B4937)),0),0)),""))</f>
        <v/>
      </c>
      <c r="D4937">
        <f>IF(B4937="","",IF(C4937&lt;&gt;"","REMOVE","KEEP"))</f>
        <v/>
      </c>
      <c r="E4937">
        <f>IF(D4937&lt;&gt;"KEEP","",IF(RIGHT(B4937,10)="@gmail.com","Gmail",IF(OR(RIGHT(B4937,12)="@outlook.com",RIGHT(B4937,12)="@hotmail.com",RIGHT(B4937,9)="@live.com"),"Outlook","Domain")))</f>
        <v/>
      </c>
      <c r="F4937">
        <f>IF(B4937="","",IFERROR(RIGHT(B4937,LEN(B4937)-FIND("@",B4937)),""))</f>
        <v/>
      </c>
      <c r="G4937">
        <f>IF(D4937="KEEP",COUNTIF($D$2:D4937,"KEEP"),"")</f>
        <v/>
      </c>
      <c r="H4937">
        <f>IF(D4937="REMOVE",COUNTIF($D$2:D4937,"REMOVE"),"")</f>
        <v/>
      </c>
      <c r="I4937">
        <f>IF(E4937="Gmail",COUNTIF($E$2:E4937,"Gmail"),"")</f>
        <v/>
      </c>
      <c r="J4937">
        <f>IF(E4937="Outlook",COUNTIF($E$2:E4937,"Outlook"),"")</f>
        <v/>
      </c>
      <c r="K4937">
        <f>IF(E4937="Domain",COUNTIF($E$2:E4937,"Domain"),"")</f>
        <v/>
      </c>
    </row>
    <row r="4938">
      <c r="A4938" s="2" t="n"/>
      <c r="B4938">
        <f>LOWER(TRIM(A4938))</f>
        <v/>
      </c>
      <c r="C4938">
        <f>IF(B4938="","",IFERROR(INDEX('Bad Patterns'!$A$2:$A$120,MATCH(1,INDEX(--ISNUMBER(SEARCH('Bad Patterns'!$A$2:$A$120,B4938)),0),0)),""))</f>
        <v/>
      </c>
      <c r="D4938">
        <f>IF(B4938="","",IF(C4938&lt;&gt;"","REMOVE","KEEP"))</f>
        <v/>
      </c>
      <c r="E4938">
        <f>IF(D4938&lt;&gt;"KEEP","",IF(RIGHT(B4938,10)="@gmail.com","Gmail",IF(OR(RIGHT(B4938,12)="@outlook.com",RIGHT(B4938,12)="@hotmail.com",RIGHT(B4938,9)="@live.com"),"Outlook","Domain")))</f>
        <v/>
      </c>
      <c r="F4938">
        <f>IF(B4938="","",IFERROR(RIGHT(B4938,LEN(B4938)-FIND("@",B4938)),""))</f>
        <v/>
      </c>
      <c r="G4938">
        <f>IF(D4938="KEEP",COUNTIF($D$2:D4938,"KEEP"),"")</f>
        <v/>
      </c>
      <c r="H4938">
        <f>IF(D4938="REMOVE",COUNTIF($D$2:D4938,"REMOVE"),"")</f>
        <v/>
      </c>
      <c r="I4938">
        <f>IF(E4938="Gmail",COUNTIF($E$2:E4938,"Gmail"),"")</f>
        <v/>
      </c>
      <c r="J4938">
        <f>IF(E4938="Outlook",COUNTIF($E$2:E4938,"Outlook"),"")</f>
        <v/>
      </c>
      <c r="K4938">
        <f>IF(E4938="Domain",COUNTIF($E$2:E4938,"Domain"),"")</f>
        <v/>
      </c>
    </row>
    <row r="4939">
      <c r="A4939" s="2" t="n"/>
      <c r="B4939">
        <f>LOWER(TRIM(A4939))</f>
        <v/>
      </c>
      <c r="C4939">
        <f>IF(B4939="","",IFERROR(INDEX('Bad Patterns'!$A$2:$A$120,MATCH(1,INDEX(--ISNUMBER(SEARCH('Bad Patterns'!$A$2:$A$120,B4939)),0),0)),""))</f>
        <v/>
      </c>
      <c r="D4939">
        <f>IF(B4939="","",IF(C4939&lt;&gt;"","REMOVE","KEEP"))</f>
        <v/>
      </c>
      <c r="E4939">
        <f>IF(D4939&lt;&gt;"KEEP","",IF(RIGHT(B4939,10)="@gmail.com","Gmail",IF(OR(RIGHT(B4939,12)="@outlook.com",RIGHT(B4939,12)="@hotmail.com",RIGHT(B4939,9)="@live.com"),"Outlook","Domain")))</f>
        <v/>
      </c>
      <c r="F4939">
        <f>IF(B4939="","",IFERROR(RIGHT(B4939,LEN(B4939)-FIND("@",B4939)),""))</f>
        <v/>
      </c>
      <c r="G4939">
        <f>IF(D4939="KEEP",COUNTIF($D$2:D4939,"KEEP"),"")</f>
        <v/>
      </c>
      <c r="H4939">
        <f>IF(D4939="REMOVE",COUNTIF($D$2:D4939,"REMOVE"),"")</f>
        <v/>
      </c>
      <c r="I4939">
        <f>IF(E4939="Gmail",COUNTIF($E$2:E4939,"Gmail"),"")</f>
        <v/>
      </c>
      <c r="J4939">
        <f>IF(E4939="Outlook",COUNTIF($E$2:E4939,"Outlook"),"")</f>
        <v/>
      </c>
      <c r="K4939">
        <f>IF(E4939="Domain",COUNTIF($E$2:E4939,"Domain"),"")</f>
        <v/>
      </c>
    </row>
    <row r="4940">
      <c r="A4940" s="2" t="n"/>
      <c r="B4940">
        <f>LOWER(TRIM(A4940))</f>
        <v/>
      </c>
      <c r="C4940">
        <f>IF(B4940="","",IFERROR(INDEX('Bad Patterns'!$A$2:$A$120,MATCH(1,INDEX(--ISNUMBER(SEARCH('Bad Patterns'!$A$2:$A$120,B4940)),0),0)),""))</f>
        <v/>
      </c>
      <c r="D4940">
        <f>IF(B4940="","",IF(C4940&lt;&gt;"","REMOVE","KEEP"))</f>
        <v/>
      </c>
      <c r="E4940">
        <f>IF(D4940&lt;&gt;"KEEP","",IF(RIGHT(B4940,10)="@gmail.com","Gmail",IF(OR(RIGHT(B4940,12)="@outlook.com",RIGHT(B4940,12)="@hotmail.com",RIGHT(B4940,9)="@live.com"),"Outlook","Domain")))</f>
        <v/>
      </c>
      <c r="F4940">
        <f>IF(B4940="","",IFERROR(RIGHT(B4940,LEN(B4940)-FIND("@",B4940)),""))</f>
        <v/>
      </c>
      <c r="G4940">
        <f>IF(D4940="KEEP",COUNTIF($D$2:D4940,"KEEP"),"")</f>
        <v/>
      </c>
      <c r="H4940">
        <f>IF(D4940="REMOVE",COUNTIF($D$2:D4940,"REMOVE"),"")</f>
        <v/>
      </c>
      <c r="I4940">
        <f>IF(E4940="Gmail",COUNTIF($E$2:E4940,"Gmail"),"")</f>
        <v/>
      </c>
      <c r="J4940">
        <f>IF(E4940="Outlook",COUNTIF($E$2:E4940,"Outlook"),"")</f>
        <v/>
      </c>
      <c r="K4940">
        <f>IF(E4940="Domain",COUNTIF($E$2:E4940,"Domain"),"")</f>
        <v/>
      </c>
    </row>
    <row r="4941">
      <c r="A4941" s="2" t="n"/>
      <c r="B4941">
        <f>LOWER(TRIM(A4941))</f>
        <v/>
      </c>
      <c r="C4941">
        <f>IF(B4941="","",IFERROR(INDEX('Bad Patterns'!$A$2:$A$120,MATCH(1,INDEX(--ISNUMBER(SEARCH('Bad Patterns'!$A$2:$A$120,B4941)),0),0)),""))</f>
        <v/>
      </c>
      <c r="D4941">
        <f>IF(B4941="","",IF(C4941&lt;&gt;"","REMOVE","KEEP"))</f>
        <v/>
      </c>
      <c r="E4941">
        <f>IF(D4941&lt;&gt;"KEEP","",IF(RIGHT(B4941,10)="@gmail.com","Gmail",IF(OR(RIGHT(B4941,12)="@outlook.com",RIGHT(B4941,12)="@hotmail.com",RIGHT(B4941,9)="@live.com"),"Outlook","Domain")))</f>
        <v/>
      </c>
      <c r="F4941">
        <f>IF(B4941="","",IFERROR(RIGHT(B4941,LEN(B4941)-FIND("@",B4941)),""))</f>
        <v/>
      </c>
      <c r="G4941">
        <f>IF(D4941="KEEP",COUNTIF($D$2:D4941,"KEEP"),"")</f>
        <v/>
      </c>
      <c r="H4941">
        <f>IF(D4941="REMOVE",COUNTIF($D$2:D4941,"REMOVE"),"")</f>
        <v/>
      </c>
      <c r="I4941">
        <f>IF(E4941="Gmail",COUNTIF($E$2:E4941,"Gmail"),"")</f>
        <v/>
      </c>
      <c r="J4941">
        <f>IF(E4941="Outlook",COUNTIF($E$2:E4941,"Outlook"),"")</f>
        <v/>
      </c>
      <c r="K4941">
        <f>IF(E4941="Domain",COUNTIF($E$2:E4941,"Domain"),"")</f>
        <v/>
      </c>
    </row>
    <row r="4942">
      <c r="A4942" s="2" t="n"/>
      <c r="B4942">
        <f>LOWER(TRIM(A4942))</f>
        <v/>
      </c>
      <c r="C4942">
        <f>IF(B4942="","",IFERROR(INDEX('Bad Patterns'!$A$2:$A$120,MATCH(1,INDEX(--ISNUMBER(SEARCH('Bad Patterns'!$A$2:$A$120,B4942)),0),0)),""))</f>
        <v/>
      </c>
      <c r="D4942">
        <f>IF(B4942="","",IF(C4942&lt;&gt;"","REMOVE","KEEP"))</f>
        <v/>
      </c>
      <c r="E4942">
        <f>IF(D4942&lt;&gt;"KEEP","",IF(RIGHT(B4942,10)="@gmail.com","Gmail",IF(OR(RIGHT(B4942,12)="@outlook.com",RIGHT(B4942,12)="@hotmail.com",RIGHT(B4942,9)="@live.com"),"Outlook","Domain")))</f>
        <v/>
      </c>
      <c r="F4942">
        <f>IF(B4942="","",IFERROR(RIGHT(B4942,LEN(B4942)-FIND("@",B4942)),""))</f>
        <v/>
      </c>
      <c r="G4942">
        <f>IF(D4942="KEEP",COUNTIF($D$2:D4942,"KEEP"),"")</f>
        <v/>
      </c>
      <c r="H4942">
        <f>IF(D4942="REMOVE",COUNTIF($D$2:D4942,"REMOVE"),"")</f>
        <v/>
      </c>
      <c r="I4942">
        <f>IF(E4942="Gmail",COUNTIF($E$2:E4942,"Gmail"),"")</f>
        <v/>
      </c>
      <c r="J4942">
        <f>IF(E4942="Outlook",COUNTIF($E$2:E4942,"Outlook"),"")</f>
        <v/>
      </c>
      <c r="K4942">
        <f>IF(E4942="Domain",COUNTIF($E$2:E4942,"Domain"),"")</f>
        <v/>
      </c>
    </row>
    <row r="4943">
      <c r="A4943" s="2" t="n"/>
      <c r="B4943">
        <f>LOWER(TRIM(A4943))</f>
        <v/>
      </c>
      <c r="C4943">
        <f>IF(B4943="","",IFERROR(INDEX('Bad Patterns'!$A$2:$A$120,MATCH(1,INDEX(--ISNUMBER(SEARCH('Bad Patterns'!$A$2:$A$120,B4943)),0),0)),""))</f>
        <v/>
      </c>
      <c r="D4943">
        <f>IF(B4943="","",IF(C4943&lt;&gt;"","REMOVE","KEEP"))</f>
        <v/>
      </c>
      <c r="E4943">
        <f>IF(D4943&lt;&gt;"KEEP","",IF(RIGHT(B4943,10)="@gmail.com","Gmail",IF(OR(RIGHT(B4943,12)="@outlook.com",RIGHT(B4943,12)="@hotmail.com",RIGHT(B4943,9)="@live.com"),"Outlook","Domain")))</f>
        <v/>
      </c>
      <c r="F4943">
        <f>IF(B4943="","",IFERROR(RIGHT(B4943,LEN(B4943)-FIND("@",B4943)),""))</f>
        <v/>
      </c>
      <c r="G4943">
        <f>IF(D4943="KEEP",COUNTIF($D$2:D4943,"KEEP"),"")</f>
        <v/>
      </c>
      <c r="H4943">
        <f>IF(D4943="REMOVE",COUNTIF($D$2:D4943,"REMOVE"),"")</f>
        <v/>
      </c>
      <c r="I4943">
        <f>IF(E4943="Gmail",COUNTIF($E$2:E4943,"Gmail"),"")</f>
        <v/>
      </c>
      <c r="J4943">
        <f>IF(E4943="Outlook",COUNTIF($E$2:E4943,"Outlook"),"")</f>
        <v/>
      </c>
      <c r="K4943">
        <f>IF(E4943="Domain",COUNTIF($E$2:E4943,"Domain"),"")</f>
        <v/>
      </c>
    </row>
    <row r="4944">
      <c r="A4944" s="2" t="n"/>
      <c r="B4944">
        <f>LOWER(TRIM(A4944))</f>
        <v/>
      </c>
      <c r="C4944">
        <f>IF(B4944="","",IFERROR(INDEX('Bad Patterns'!$A$2:$A$120,MATCH(1,INDEX(--ISNUMBER(SEARCH('Bad Patterns'!$A$2:$A$120,B4944)),0),0)),""))</f>
        <v/>
      </c>
      <c r="D4944">
        <f>IF(B4944="","",IF(C4944&lt;&gt;"","REMOVE","KEEP"))</f>
        <v/>
      </c>
      <c r="E4944">
        <f>IF(D4944&lt;&gt;"KEEP","",IF(RIGHT(B4944,10)="@gmail.com","Gmail",IF(OR(RIGHT(B4944,12)="@outlook.com",RIGHT(B4944,12)="@hotmail.com",RIGHT(B4944,9)="@live.com"),"Outlook","Domain")))</f>
        <v/>
      </c>
      <c r="F4944">
        <f>IF(B4944="","",IFERROR(RIGHT(B4944,LEN(B4944)-FIND("@",B4944)),""))</f>
        <v/>
      </c>
      <c r="G4944">
        <f>IF(D4944="KEEP",COUNTIF($D$2:D4944,"KEEP"),"")</f>
        <v/>
      </c>
      <c r="H4944">
        <f>IF(D4944="REMOVE",COUNTIF($D$2:D4944,"REMOVE"),"")</f>
        <v/>
      </c>
      <c r="I4944">
        <f>IF(E4944="Gmail",COUNTIF($E$2:E4944,"Gmail"),"")</f>
        <v/>
      </c>
      <c r="J4944">
        <f>IF(E4944="Outlook",COUNTIF($E$2:E4944,"Outlook"),"")</f>
        <v/>
      </c>
      <c r="K4944">
        <f>IF(E4944="Domain",COUNTIF($E$2:E4944,"Domain"),"")</f>
        <v/>
      </c>
    </row>
    <row r="4945">
      <c r="A4945" s="2" t="n"/>
      <c r="B4945">
        <f>LOWER(TRIM(A4945))</f>
        <v/>
      </c>
      <c r="C4945">
        <f>IF(B4945="","",IFERROR(INDEX('Bad Patterns'!$A$2:$A$120,MATCH(1,INDEX(--ISNUMBER(SEARCH('Bad Patterns'!$A$2:$A$120,B4945)),0),0)),""))</f>
        <v/>
      </c>
      <c r="D4945">
        <f>IF(B4945="","",IF(C4945&lt;&gt;"","REMOVE","KEEP"))</f>
        <v/>
      </c>
      <c r="E4945">
        <f>IF(D4945&lt;&gt;"KEEP","",IF(RIGHT(B4945,10)="@gmail.com","Gmail",IF(OR(RIGHT(B4945,12)="@outlook.com",RIGHT(B4945,12)="@hotmail.com",RIGHT(B4945,9)="@live.com"),"Outlook","Domain")))</f>
        <v/>
      </c>
      <c r="F4945">
        <f>IF(B4945="","",IFERROR(RIGHT(B4945,LEN(B4945)-FIND("@",B4945)),""))</f>
        <v/>
      </c>
      <c r="G4945">
        <f>IF(D4945="KEEP",COUNTIF($D$2:D4945,"KEEP"),"")</f>
        <v/>
      </c>
      <c r="H4945">
        <f>IF(D4945="REMOVE",COUNTIF($D$2:D4945,"REMOVE"),"")</f>
        <v/>
      </c>
      <c r="I4945">
        <f>IF(E4945="Gmail",COUNTIF($E$2:E4945,"Gmail"),"")</f>
        <v/>
      </c>
      <c r="J4945">
        <f>IF(E4945="Outlook",COUNTIF($E$2:E4945,"Outlook"),"")</f>
        <v/>
      </c>
      <c r="K4945">
        <f>IF(E4945="Domain",COUNTIF($E$2:E4945,"Domain"),"")</f>
        <v/>
      </c>
    </row>
    <row r="4946">
      <c r="A4946" s="2" t="n"/>
      <c r="B4946">
        <f>LOWER(TRIM(A4946))</f>
        <v/>
      </c>
      <c r="C4946">
        <f>IF(B4946="","",IFERROR(INDEX('Bad Patterns'!$A$2:$A$120,MATCH(1,INDEX(--ISNUMBER(SEARCH('Bad Patterns'!$A$2:$A$120,B4946)),0),0)),""))</f>
        <v/>
      </c>
      <c r="D4946">
        <f>IF(B4946="","",IF(C4946&lt;&gt;"","REMOVE","KEEP"))</f>
        <v/>
      </c>
      <c r="E4946">
        <f>IF(D4946&lt;&gt;"KEEP","",IF(RIGHT(B4946,10)="@gmail.com","Gmail",IF(OR(RIGHT(B4946,12)="@outlook.com",RIGHT(B4946,12)="@hotmail.com",RIGHT(B4946,9)="@live.com"),"Outlook","Domain")))</f>
        <v/>
      </c>
      <c r="F4946">
        <f>IF(B4946="","",IFERROR(RIGHT(B4946,LEN(B4946)-FIND("@",B4946)),""))</f>
        <v/>
      </c>
      <c r="G4946">
        <f>IF(D4946="KEEP",COUNTIF($D$2:D4946,"KEEP"),"")</f>
        <v/>
      </c>
      <c r="H4946">
        <f>IF(D4946="REMOVE",COUNTIF($D$2:D4946,"REMOVE"),"")</f>
        <v/>
      </c>
      <c r="I4946">
        <f>IF(E4946="Gmail",COUNTIF($E$2:E4946,"Gmail"),"")</f>
        <v/>
      </c>
      <c r="J4946">
        <f>IF(E4946="Outlook",COUNTIF($E$2:E4946,"Outlook"),"")</f>
        <v/>
      </c>
      <c r="K4946">
        <f>IF(E4946="Domain",COUNTIF($E$2:E4946,"Domain"),"")</f>
        <v/>
      </c>
    </row>
    <row r="4947">
      <c r="A4947" s="2" t="n"/>
      <c r="B4947">
        <f>LOWER(TRIM(A4947))</f>
        <v/>
      </c>
      <c r="C4947">
        <f>IF(B4947="","",IFERROR(INDEX('Bad Patterns'!$A$2:$A$120,MATCH(1,INDEX(--ISNUMBER(SEARCH('Bad Patterns'!$A$2:$A$120,B4947)),0),0)),""))</f>
        <v/>
      </c>
      <c r="D4947">
        <f>IF(B4947="","",IF(C4947&lt;&gt;"","REMOVE","KEEP"))</f>
        <v/>
      </c>
      <c r="E4947">
        <f>IF(D4947&lt;&gt;"KEEP","",IF(RIGHT(B4947,10)="@gmail.com","Gmail",IF(OR(RIGHT(B4947,12)="@outlook.com",RIGHT(B4947,12)="@hotmail.com",RIGHT(B4947,9)="@live.com"),"Outlook","Domain")))</f>
        <v/>
      </c>
      <c r="F4947">
        <f>IF(B4947="","",IFERROR(RIGHT(B4947,LEN(B4947)-FIND("@",B4947)),""))</f>
        <v/>
      </c>
      <c r="G4947">
        <f>IF(D4947="KEEP",COUNTIF($D$2:D4947,"KEEP"),"")</f>
        <v/>
      </c>
      <c r="H4947">
        <f>IF(D4947="REMOVE",COUNTIF($D$2:D4947,"REMOVE"),"")</f>
        <v/>
      </c>
      <c r="I4947">
        <f>IF(E4947="Gmail",COUNTIF($E$2:E4947,"Gmail"),"")</f>
        <v/>
      </c>
      <c r="J4947">
        <f>IF(E4947="Outlook",COUNTIF($E$2:E4947,"Outlook"),"")</f>
        <v/>
      </c>
      <c r="K4947">
        <f>IF(E4947="Domain",COUNTIF($E$2:E4947,"Domain"),"")</f>
        <v/>
      </c>
    </row>
    <row r="4948">
      <c r="A4948" s="2" t="n"/>
      <c r="B4948">
        <f>LOWER(TRIM(A4948))</f>
        <v/>
      </c>
      <c r="C4948">
        <f>IF(B4948="","",IFERROR(INDEX('Bad Patterns'!$A$2:$A$120,MATCH(1,INDEX(--ISNUMBER(SEARCH('Bad Patterns'!$A$2:$A$120,B4948)),0),0)),""))</f>
        <v/>
      </c>
      <c r="D4948">
        <f>IF(B4948="","",IF(C4948&lt;&gt;"","REMOVE","KEEP"))</f>
        <v/>
      </c>
      <c r="E4948">
        <f>IF(D4948&lt;&gt;"KEEP","",IF(RIGHT(B4948,10)="@gmail.com","Gmail",IF(OR(RIGHT(B4948,12)="@outlook.com",RIGHT(B4948,12)="@hotmail.com",RIGHT(B4948,9)="@live.com"),"Outlook","Domain")))</f>
        <v/>
      </c>
      <c r="F4948">
        <f>IF(B4948="","",IFERROR(RIGHT(B4948,LEN(B4948)-FIND("@",B4948)),""))</f>
        <v/>
      </c>
      <c r="G4948">
        <f>IF(D4948="KEEP",COUNTIF($D$2:D4948,"KEEP"),"")</f>
        <v/>
      </c>
      <c r="H4948">
        <f>IF(D4948="REMOVE",COUNTIF($D$2:D4948,"REMOVE"),"")</f>
        <v/>
      </c>
      <c r="I4948">
        <f>IF(E4948="Gmail",COUNTIF($E$2:E4948,"Gmail"),"")</f>
        <v/>
      </c>
      <c r="J4948">
        <f>IF(E4948="Outlook",COUNTIF($E$2:E4948,"Outlook"),"")</f>
        <v/>
      </c>
      <c r="K4948">
        <f>IF(E4948="Domain",COUNTIF($E$2:E4948,"Domain"),"")</f>
        <v/>
      </c>
    </row>
    <row r="4949">
      <c r="A4949" s="2" t="n"/>
      <c r="B4949">
        <f>LOWER(TRIM(A4949))</f>
        <v/>
      </c>
      <c r="C4949">
        <f>IF(B4949="","",IFERROR(INDEX('Bad Patterns'!$A$2:$A$120,MATCH(1,INDEX(--ISNUMBER(SEARCH('Bad Patterns'!$A$2:$A$120,B4949)),0),0)),""))</f>
        <v/>
      </c>
      <c r="D4949">
        <f>IF(B4949="","",IF(C4949&lt;&gt;"","REMOVE","KEEP"))</f>
        <v/>
      </c>
      <c r="E4949">
        <f>IF(D4949&lt;&gt;"KEEP","",IF(RIGHT(B4949,10)="@gmail.com","Gmail",IF(OR(RIGHT(B4949,12)="@outlook.com",RIGHT(B4949,12)="@hotmail.com",RIGHT(B4949,9)="@live.com"),"Outlook","Domain")))</f>
        <v/>
      </c>
      <c r="F4949">
        <f>IF(B4949="","",IFERROR(RIGHT(B4949,LEN(B4949)-FIND("@",B4949)),""))</f>
        <v/>
      </c>
      <c r="G4949">
        <f>IF(D4949="KEEP",COUNTIF($D$2:D4949,"KEEP"),"")</f>
        <v/>
      </c>
      <c r="H4949">
        <f>IF(D4949="REMOVE",COUNTIF($D$2:D4949,"REMOVE"),"")</f>
        <v/>
      </c>
      <c r="I4949">
        <f>IF(E4949="Gmail",COUNTIF($E$2:E4949,"Gmail"),"")</f>
        <v/>
      </c>
      <c r="J4949">
        <f>IF(E4949="Outlook",COUNTIF($E$2:E4949,"Outlook"),"")</f>
        <v/>
      </c>
      <c r="K4949">
        <f>IF(E4949="Domain",COUNTIF($E$2:E4949,"Domain"),"")</f>
        <v/>
      </c>
    </row>
    <row r="4950">
      <c r="A4950" s="2" t="n"/>
      <c r="B4950">
        <f>LOWER(TRIM(A4950))</f>
        <v/>
      </c>
      <c r="C4950">
        <f>IF(B4950="","",IFERROR(INDEX('Bad Patterns'!$A$2:$A$120,MATCH(1,INDEX(--ISNUMBER(SEARCH('Bad Patterns'!$A$2:$A$120,B4950)),0),0)),""))</f>
        <v/>
      </c>
      <c r="D4950">
        <f>IF(B4950="","",IF(C4950&lt;&gt;"","REMOVE","KEEP"))</f>
        <v/>
      </c>
      <c r="E4950">
        <f>IF(D4950&lt;&gt;"KEEP","",IF(RIGHT(B4950,10)="@gmail.com","Gmail",IF(OR(RIGHT(B4950,12)="@outlook.com",RIGHT(B4950,12)="@hotmail.com",RIGHT(B4950,9)="@live.com"),"Outlook","Domain")))</f>
        <v/>
      </c>
      <c r="F4950">
        <f>IF(B4950="","",IFERROR(RIGHT(B4950,LEN(B4950)-FIND("@",B4950)),""))</f>
        <v/>
      </c>
      <c r="G4950">
        <f>IF(D4950="KEEP",COUNTIF($D$2:D4950,"KEEP"),"")</f>
        <v/>
      </c>
      <c r="H4950">
        <f>IF(D4950="REMOVE",COUNTIF($D$2:D4950,"REMOVE"),"")</f>
        <v/>
      </c>
      <c r="I4950">
        <f>IF(E4950="Gmail",COUNTIF($E$2:E4950,"Gmail"),"")</f>
        <v/>
      </c>
      <c r="J4950">
        <f>IF(E4950="Outlook",COUNTIF($E$2:E4950,"Outlook"),"")</f>
        <v/>
      </c>
      <c r="K4950">
        <f>IF(E4950="Domain",COUNTIF($E$2:E4950,"Domain"),"")</f>
        <v/>
      </c>
    </row>
    <row r="4951">
      <c r="A4951" s="2" t="n"/>
      <c r="B4951">
        <f>LOWER(TRIM(A4951))</f>
        <v/>
      </c>
      <c r="C4951">
        <f>IF(B4951="","",IFERROR(INDEX('Bad Patterns'!$A$2:$A$120,MATCH(1,INDEX(--ISNUMBER(SEARCH('Bad Patterns'!$A$2:$A$120,B4951)),0),0)),""))</f>
        <v/>
      </c>
      <c r="D4951">
        <f>IF(B4951="","",IF(C4951&lt;&gt;"","REMOVE","KEEP"))</f>
        <v/>
      </c>
      <c r="E4951">
        <f>IF(D4951&lt;&gt;"KEEP","",IF(RIGHT(B4951,10)="@gmail.com","Gmail",IF(OR(RIGHT(B4951,12)="@outlook.com",RIGHT(B4951,12)="@hotmail.com",RIGHT(B4951,9)="@live.com"),"Outlook","Domain")))</f>
        <v/>
      </c>
      <c r="F4951">
        <f>IF(B4951="","",IFERROR(RIGHT(B4951,LEN(B4951)-FIND("@",B4951)),""))</f>
        <v/>
      </c>
      <c r="G4951">
        <f>IF(D4951="KEEP",COUNTIF($D$2:D4951,"KEEP"),"")</f>
        <v/>
      </c>
      <c r="H4951">
        <f>IF(D4951="REMOVE",COUNTIF($D$2:D4951,"REMOVE"),"")</f>
        <v/>
      </c>
      <c r="I4951">
        <f>IF(E4951="Gmail",COUNTIF($E$2:E4951,"Gmail"),"")</f>
        <v/>
      </c>
      <c r="J4951">
        <f>IF(E4951="Outlook",COUNTIF($E$2:E4951,"Outlook"),"")</f>
        <v/>
      </c>
      <c r="K4951">
        <f>IF(E4951="Domain",COUNTIF($E$2:E4951,"Domain"),"")</f>
        <v/>
      </c>
    </row>
    <row r="4952">
      <c r="A4952" s="2" t="n"/>
      <c r="B4952">
        <f>LOWER(TRIM(A4952))</f>
        <v/>
      </c>
      <c r="C4952">
        <f>IF(B4952="","",IFERROR(INDEX('Bad Patterns'!$A$2:$A$120,MATCH(1,INDEX(--ISNUMBER(SEARCH('Bad Patterns'!$A$2:$A$120,B4952)),0),0)),""))</f>
        <v/>
      </c>
      <c r="D4952">
        <f>IF(B4952="","",IF(C4952&lt;&gt;"","REMOVE","KEEP"))</f>
        <v/>
      </c>
      <c r="E4952">
        <f>IF(D4952&lt;&gt;"KEEP","",IF(RIGHT(B4952,10)="@gmail.com","Gmail",IF(OR(RIGHT(B4952,12)="@outlook.com",RIGHT(B4952,12)="@hotmail.com",RIGHT(B4952,9)="@live.com"),"Outlook","Domain")))</f>
        <v/>
      </c>
      <c r="F4952">
        <f>IF(B4952="","",IFERROR(RIGHT(B4952,LEN(B4952)-FIND("@",B4952)),""))</f>
        <v/>
      </c>
      <c r="G4952">
        <f>IF(D4952="KEEP",COUNTIF($D$2:D4952,"KEEP"),"")</f>
        <v/>
      </c>
      <c r="H4952">
        <f>IF(D4952="REMOVE",COUNTIF($D$2:D4952,"REMOVE"),"")</f>
        <v/>
      </c>
      <c r="I4952">
        <f>IF(E4952="Gmail",COUNTIF($E$2:E4952,"Gmail"),"")</f>
        <v/>
      </c>
      <c r="J4952">
        <f>IF(E4952="Outlook",COUNTIF($E$2:E4952,"Outlook"),"")</f>
        <v/>
      </c>
      <c r="K4952">
        <f>IF(E4952="Domain",COUNTIF($E$2:E4952,"Domain"),"")</f>
        <v/>
      </c>
    </row>
    <row r="4953">
      <c r="A4953" s="2" t="n"/>
      <c r="B4953">
        <f>LOWER(TRIM(A4953))</f>
        <v/>
      </c>
      <c r="C4953">
        <f>IF(B4953="","",IFERROR(INDEX('Bad Patterns'!$A$2:$A$120,MATCH(1,INDEX(--ISNUMBER(SEARCH('Bad Patterns'!$A$2:$A$120,B4953)),0),0)),""))</f>
        <v/>
      </c>
      <c r="D4953">
        <f>IF(B4953="","",IF(C4953&lt;&gt;"","REMOVE","KEEP"))</f>
        <v/>
      </c>
      <c r="E4953">
        <f>IF(D4953&lt;&gt;"KEEP","",IF(RIGHT(B4953,10)="@gmail.com","Gmail",IF(OR(RIGHT(B4953,12)="@outlook.com",RIGHT(B4953,12)="@hotmail.com",RIGHT(B4953,9)="@live.com"),"Outlook","Domain")))</f>
        <v/>
      </c>
      <c r="F4953">
        <f>IF(B4953="","",IFERROR(RIGHT(B4953,LEN(B4953)-FIND("@",B4953)),""))</f>
        <v/>
      </c>
      <c r="G4953">
        <f>IF(D4953="KEEP",COUNTIF($D$2:D4953,"KEEP"),"")</f>
        <v/>
      </c>
      <c r="H4953">
        <f>IF(D4953="REMOVE",COUNTIF($D$2:D4953,"REMOVE"),"")</f>
        <v/>
      </c>
      <c r="I4953">
        <f>IF(E4953="Gmail",COUNTIF($E$2:E4953,"Gmail"),"")</f>
        <v/>
      </c>
      <c r="J4953">
        <f>IF(E4953="Outlook",COUNTIF($E$2:E4953,"Outlook"),"")</f>
        <v/>
      </c>
      <c r="K4953">
        <f>IF(E4953="Domain",COUNTIF($E$2:E4953,"Domain"),"")</f>
        <v/>
      </c>
    </row>
    <row r="4954">
      <c r="A4954" s="2" t="n"/>
      <c r="B4954">
        <f>LOWER(TRIM(A4954))</f>
        <v/>
      </c>
      <c r="C4954">
        <f>IF(B4954="","",IFERROR(INDEX('Bad Patterns'!$A$2:$A$120,MATCH(1,INDEX(--ISNUMBER(SEARCH('Bad Patterns'!$A$2:$A$120,B4954)),0),0)),""))</f>
        <v/>
      </c>
      <c r="D4954">
        <f>IF(B4954="","",IF(C4954&lt;&gt;"","REMOVE","KEEP"))</f>
        <v/>
      </c>
      <c r="E4954">
        <f>IF(D4954&lt;&gt;"KEEP","",IF(RIGHT(B4954,10)="@gmail.com","Gmail",IF(OR(RIGHT(B4954,12)="@outlook.com",RIGHT(B4954,12)="@hotmail.com",RIGHT(B4954,9)="@live.com"),"Outlook","Domain")))</f>
        <v/>
      </c>
      <c r="F4954">
        <f>IF(B4954="","",IFERROR(RIGHT(B4954,LEN(B4954)-FIND("@",B4954)),""))</f>
        <v/>
      </c>
      <c r="G4954">
        <f>IF(D4954="KEEP",COUNTIF($D$2:D4954,"KEEP"),"")</f>
        <v/>
      </c>
      <c r="H4954">
        <f>IF(D4954="REMOVE",COUNTIF($D$2:D4954,"REMOVE"),"")</f>
        <v/>
      </c>
      <c r="I4954">
        <f>IF(E4954="Gmail",COUNTIF($E$2:E4954,"Gmail"),"")</f>
        <v/>
      </c>
      <c r="J4954">
        <f>IF(E4954="Outlook",COUNTIF($E$2:E4954,"Outlook"),"")</f>
        <v/>
      </c>
      <c r="K4954">
        <f>IF(E4954="Domain",COUNTIF($E$2:E4954,"Domain"),"")</f>
        <v/>
      </c>
    </row>
    <row r="4955">
      <c r="A4955" s="2" t="n"/>
      <c r="B4955">
        <f>LOWER(TRIM(A4955))</f>
        <v/>
      </c>
      <c r="C4955">
        <f>IF(B4955="","",IFERROR(INDEX('Bad Patterns'!$A$2:$A$120,MATCH(1,INDEX(--ISNUMBER(SEARCH('Bad Patterns'!$A$2:$A$120,B4955)),0),0)),""))</f>
        <v/>
      </c>
      <c r="D4955">
        <f>IF(B4955="","",IF(C4955&lt;&gt;"","REMOVE","KEEP"))</f>
        <v/>
      </c>
      <c r="E4955">
        <f>IF(D4955&lt;&gt;"KEEP","",IF(RIGHT(B4955,10)="@gmail.com","Gmail",IF(OR(RIGHT(B4955,12)="@outlook.com",RIGHT(B4955,12)="@hotmail.com",RIGHT(B4955,9)="@live.com"),"Outlook","Domain")))</f>
        <v/>
      </c>
      <c r="F4955">
        <f>IF(B4955="","",IFERROR(RIGHT(B4955,LEN(B4955)-FIND("@",B4955)),""))</f>
        <v/>
      </c>
      <c r="G4955">
        <f>IF(D4955="KEEP",COUNTIF($D$2:D4955,"KEEP"),"")</f>
        <v/>
      </c>
      <c r="H4955">
        <f>IF(D4955="REMOVE",COUNTIF($D$2:D4955,"REMOVE"),"")</f>
        <v/>
      </c>
      <c r="I4955">
        <f>IF(E4955="Gmail",COUNTIF($E$2:E4955,"Gmail"),"")</f>
        <v/>
      </c>
      <c r="J4955">
        <f>IF(E4955="Outlook",COUNTIF($E$2:E4955,"Outlook"),"")</f>
        <v/>
      </c>
      <c r="K4955">
        <f>IF(E4955="Domain",COUNTIF($E$2:E4955,"Domain"),"")</f>
        <v/>
      </c>
    </row>
    <row r="4956">
      <c r="A4956" s="2" t="n"/>
      <c r="B4956">
        <f>LOWER(TRIM(A4956))</f>
        <v/>
      </c>
      <c r="C4956">
        <f>IF(B4956="","",IFERROR(INDEX('Bad Patterns'!$A$2:$A$120,MATCH(1,INDEX(--ISNUMBER(SEARCH('Bad Patterns'!$A$2:$A$120,B4956)),0),0)),""))</f>
        <v/>
      </c>
      <c r="D4956">
        <f>IF(B4956="","",IF(C4956&lt;&gt;"","REMOVE","KEEP"))</f>
        <v/>
      </c>
      <c r="E4956">
        <f>IF(D4956&lt;&gt;"KEEP","",IF(RIGHT(B4956,10)="@gmail.com","Gmail",IF(OR(RIGHT(B4956,12)="@outlook.com",RIGHT(B4956,12)="@hotmail.com",RIGHT(B4956,9)="@live.com"),"Outlook","Domain")))</f>
        <v/>
      </c>
      <c r="F4956">
        <f>IF(B4956="","",IFERROR(RIGHT(B4956,LEN(B4956)-FIND("@",B4956)),""))</f>
        <v/>
      </c>
      <c r="G4956">
        <f>IF(D4956="KEEP",COUNTIF($D$2:D4956,"KEEP"),"")</f>
        <v/>
      </c>
      <c r="H4956">
        <f>IF(D4956="REMOVE",COUNTIF($D$2:D4956,"REMOVE"),"")</f>
        <v/>
      </c>
      <c r="I4956">
        <f>IF(E4956="Gmail",COUNTIF($E$2:E4956,"Gmail"),"")</f>
        <v/>
      </c>
      <c r="J4956">
        <f>IF(E4956="Outlook",COUNTIF($E$2:E4956,"Outlook"),"")</f>
        <v/>
      </c>
      <c r="K4956">
        <f>IF(E4956="Domain",COUNTIF($E$2:E4956,"Domain"),"")</f>
        <v/>
      </c>
    </row>
    <row r="4957">
      <c r="A4957" s="2" t="n"/>
      <c r="B4957">
        <f>LOWER(TRIM(A4957))</f>
        <v/>
      </c>
      <c r="C4957">
        <f>IF(B4957="","",IFERROR(INDEX('Bad Patterns'!$A$2:$A$120,MATCH(1,INDEX(--ISNUMBER(SEARCH('Bad Patterns'!$A$2:$A$120,B4957)),0),0)),""))</f>
        <v/>
      </c>
      <c r="D4957">
        <f>IF(B4957="","",IF(C4957&lt;&gt;"","REMOVE","KEEP"))</f>
        <v/>
      </c>
      <c r="E4957">
        <f>IF(D4957&lt;&gt;"KEEP","",IF(RIGHT(B4957,10)="@gmail.com","Gmail",IF(OR(RIGHT(B4957,12)="@outlook.com",RIGHT(B4957,12)="@hotmail.com",RIGHT(B4957,9)="@live.com"),"Outlook","Domain")))</f>
        <v/>
      </c>
      <c r="F4957">
        <f>IF(B4957="","",IFERROR(RIGHT(B4957,LEN(B4957)-FIND("@",B4957)),""))</f>
        <v/>
      </c>
      <c r="G4957">
        <f>IF(D4957="KEEP",COUNTIF($D$2:D4957,"KEEP"),"")</f>
        <v/>
      </c>
      <c r="H4957">
        <f>IF(D4957="REMOVE",COUNTIF($D$2:D4957,"REMOVE"),"")</f>
        <v/>
      </c>
      <c r="I4957">
        <f>IF(E4957="Gmail",COUNTIF($E$2:E4957,"Gmail"),"")</f>
        <v/>
      </c>
      <c r="J4957">
        <f>IF(E4957="Outlook",COUNTIF($E$2:E4957,"Outlook"),"")</f>
        <v/>
      </c>
      <c r="K4957">
        <f>IF(E4957="Domain",COUNTIF($E$2:E4957,"Domain"),"")</f>
        <v/>
      </c>
    </row>
    <row r="4958">
      <c r="A4958" s="2" t="n"/>
      <c r="B4958">
        <f>LOWER(TRIM(A4958))</f>
        <v/>
      </c>
      <c r="C4958">
        <f>IF(B4958="","",IFERROR(INDEX('Bad Patterns'!$A$2:$A$120,MATCH(1,INDEX(--ISNUMBER(SEARCH('Bad Patterns'!$A$2:$A$120,B4958)),0),0)),""))</f>
        <v/>
      </c>
      <c r="D4958">
        <f>IF(B4958="","",IF(C4958&lt;&gt;"","REMOVE","KEEP"))</f>
        <v/>
      </c>
      <c r="E4958">
        <f>IF(D4958&lt;&gt;"KEEP","",IF(RIGHT(B4958,10)="@gmail.com","Gmail",IF(OR(RIGHT(B4958,12)="@outlook.com",RIGHT(B4958,12)="@hotmail.com",RIGHT(B4958,9)="@live.com"),"Outlook","Domain")))</f>
        <v/>
      </c>
      <c r="F4958">
        <f>IF(B4958="","",IFERROR(RIGHT(B4958,LEN(B4958)-FIND("@",B4958)),""))</f>
        <v/>
      </c>
      <c r="G4958">
        <f>IF(D4958="KEEP",COUNTIF($D$2:D4958,"KEEP"),"")</f>
        <v/>
      </c>
      <c r="H4958">
        <f>IF(D4958="REMOVE",COUNTIF($D$2:D4958,"REMOVE"),"")</f>
        <v/>
      </c>
      <c r="I4958">
        <f>IF(E4958="Gmail",COUNTIF($E$2:E4958,"Gmail"),"")</f>
        <v/>
      </c>
      <c r="J4958">
        <f>IF(E4958="Outlook",COUNTIF($E$2:E4958,"Outlook"),"")</f>
        <v/>
      </c>
      <c r="K4958">
        <f>IF(E4958="Domain",COUNTIF($E$2:E4958,"Domain"),"")</f>
        <v/>
      </c>
    </row>
    <row r="4959">
      <c r="A4959" s="2" t="n"/>
      <c r="B4959">
        <f>LOWER(TRIM(A4959))</f>
        <v/>
      </c>
      <c r="C4959">
        <f>IF(B4959="","",IFERROR(INDEX('Bad Patterns'!$A$2:$A$120,MATCH(1,INDEX(--ISNUMBER(SEARCH('Bad Patterns'!$A$2:$A$120,B4959)),0),0)),""))</f>
        <v/>
      </c>
      <c r="D4959">
        <f>IF(B4959="","",IF(C4959&lt;&gt;"","REMOVE","KEEP"))</f>
        <v/>
      </c>
      <c r="E4959">
        <f>IF(D4959&lt;&gt;"KEEP","",IF(RIGHT(B4959,10)="@gmail.com","Gmail",IF(OR(RIGHT(B4959,12)="@outlook.com",RIGHT(B4959,12)="@hotmail.com",RIGHT(B4959,9)="@live.com"),"Outlook","Domain")))</f>
        <v/>
      </c>
      <c r="F4959">
        <f>IF(B4959="","",IFERROR(RIGHT(B4959,LEN(B4959)-FIND("@",B4959)),""))</f>
        <v/>
      </c>
      <c r="G4959">
        <f>IF(D4959="KEEP",COUNTIF($D$2:D4959,"KEEP"),"")</f>
        <v/>
      </c>
      <c r="H4959">
        <f>IF(D4959="REMOVE",COUNTIF($D$2:D4959,"REMOVE"),"")</f>
        <v/>
      </c>
      <c r="I4959">
        <f>IF(E4959="Gmail",COUNTIF($E$2:E4959,"Gmail"),"")</f>
        <v/>
      </c>
      <c r="J4959">
        <f>IF(E4959="Outlook",COUNTIF($E$2:E4959,"Outlook"),"")</f>
        <v/>
      </c>
      <c r="K4959">
        <f>IF(E4959="Domain",COUNTIF($E$2:E4959,"Domain"),"")</f>
        <v/>
      </c>
    </row>
    <row r="4960">
      <c r="A4960" s="2" t="n"/>
      <c r="B4960">
        <f>LOWER(TRIM(A4960))</f>
        <v/>
      </c>
      <c r="C4960">
        <f>IF(B4960="","",IFERROR(INDEX('Bad Patterns'!$A$2:$A$120,MATCH(1,INDEX(--ISNUMBER(SEARCH('Bad Patterns'!$A$2:$A$120,B4960)),0),0)),""))</f>
        <v/>
      </c>
      <c r="D4960">
        <f>IF(B4960="","",IF(C4960&lt;&gt;"","REMOVE","KEEP"))</f>
        <v/>
      </c>
      <c r="E4960">
        <f>IF(D4960&lt;&gt;"KEEP","",IF(RIGHT(B4960,10)="@gmail.com","Gmail",IF(OR(RIGHT(B4960,12)="@outlook.com",RIGHT(B4960,12)="@hotmail.com",RIGHT(B4960,9)="@live.com"),"Outlook","Domain")))</f>
        <v/>
      </c>
      <c r="F4960">
        <f>IF(B4960="","",IFERROR(RIGHT(B4960,LEN(B4960)-FIND("@",B4960)),""))</f>
        <v/>
      </c>
      <c r="G4960">
        <f>IF(D4960="KEEP",COUNTIF($D$2:D4960,"KEEP"),"")</f>
        <v/>
      </c>
      <c r="H4960">
        <f>IF(D4960="REMOVE",COUNTIF($D$2:D4960,"REMOVE"),"")</f>
        <v/>
      </c>
      <c r="I4960">
        <f>IF(E4960="Gmail",COUNTIF($E$2:E4960,"Gmail"),"")</f>
        <v/>
      </c>
      <c r="J4960">
        <f>IF(E4960="Outlook",COUNTIF($E$2:E4960,"Outlook"),"")</f>
        <v/>
      </c>
      <c r="K4960">
        <f>IF(E4960="Domain",COUNTIF($E$2:E4960,"Domain"),"")</f>
        <v/>
      </c>
    </row>
    <row r="4961">
      <c r="A4961" s="2" t="n"/>
      <c r="B4961">
        <f>LOWER(TRIM(A4961))</f>
        <v/>
      </c>
      <c r="C4961">
        <f>IF(B4961="","",IFERROR(INDEX('Bad Patterns'!$A$2:$A$120,MATCH(1,INDEX(--ISNUMBER(SEARCH('Bad Patterns'!$A$2:$A$120,B4961)),0),0)),""))</f>
        <v/>
      </c>
      <c r="D4961">
        <f>IF(B4961="","",IF(C4961&lt;&gt;"","REMOVE","KEEP"))</f>
        <v/>
      </c>
      <c r="E4961">
        <f>IF(D4961&lt;&gt;"KEEP","",IF(RIGHT(B4961,10)="@gmail.com","Gmail",IF(OR(RIGHT(B4961,12)="@outlook.com",RIGHT(B4961,12)="@hotmail.com",RIGHT(B4961,9)="@live.com"),"Outlook","Domain")))</f>
        <v/>
      </c>
      <c r="F4961">
        <f>IF(B4961="","",IFERROR(RIGHT(B4961,LEN(B4961)-FIND("@",B4961)),""))</f>
        <v/>
      </c>
      <c r="G4961">
        <f>IF(D4961="KEEP",COUNTIF($D$2:D4961,"KEEP"),"")</f>
        <v/>
      </c>
      <c r="H4961">
        <f>IF(D4961="REMOVE",COUNTIF($D$2:D4961,"REMOVE"),"")</f>
        <v/>
      </c>
      <c r="I4961">
        <f>IF(E4961="Gmail",COUNTIF($E$2:E4961,"Gmail"),"")</f>
        <v/>
      </c>
      <c r="J4961">
        <f>IF(E4961="Outlook",COUNTIF($E$2:E4961,"Outlook"),"")</f>
        <v/>
      </c>
      <c r="K4961">
        <f>IF(E4961="Domain",COUNTIF($E$2:E4961,"Domain"),"")</f>
        <v/>
      </c>
    </row>
    <row r="4962">
      <c r="A4962" s="2" t="n"/>
      <c r="B4962">
        <f>LOWER(TRIM(A4962))</f>
        <v/>
      </c>
      <c r="C4962">
        <f>IF(B4962="","",IFERROR(INDEX('Bad Patterns'!$A$2:$A$120,MATCH(1,INDEX(--ISNUMBER(SEARCH('Bad Patterns'!$A$2:$A$120,B4962)),0),0)),""))</f>
        <v/>
      </c>
      <c r="D4962">
        <f>IF(B4962="","",IF(C4962&lt;&gt;"","REMOVE","KEEP"))</f>
        <v/>
      </c>
      <c r="E4962">
        <f>IF(D4962&lt;&gt;"KEEP","",IF(RIGHT(B4962,10)="@gmail.com","Gmail",IF(OR(RIGHT(B4962,12)="@outlook.com",RIGHT(B4962,12)="@hotmail.com",RIGHT(B4962,9)="@live.com"),"Outlook","Domain")))</f>
        <v/>
      </c>
      <c r="F4962">
        <f>IF(B4962="","",IFERROR(RIGHT(B4962,LEN(B4962)-FIND("@",B4962)),""))</f>
        <v/>
      </c>
      <c r="G4962">
        <f>IF(D4962="KEEP",COUNTIF($D$2:D4962,"KEEP"),"")</f>
        <v/>
      </c>
      <c r="H4962">
        <f>IF(D4962="REMOVE",COUNTIF($D$2:D4962,"REMOVE"),"")</f>
        <v/>
      </c>
      <c r="I4962">
        <f>IF(E4962="Gmail",COUNTIF($E$2:E4962,"Gmail"),"")</f>
        <v/>
      </c>
      <c r="J4962">
        <f>IF(E4962="Outlook",COUNTIF($E$2:E4962,"Outlook"),"")</f>
        <v/>
      </c>
      <c r="K4962">
        <f>IF(E4962="Domain",COUNTIF($E$2:E4962,"Domain"),"")</f>
        <v/>
      </c>
    </row>
    <row r="4963">
      <c r="A4963" s="2" t="n"/>
      <c r="B4963">
        <f>LOWER(TRIM(A4963))</f>
        <v/>
      </c>
      <c r="C4963">
        <f>IF(B4963="","",IFERROR(INDEX('Bad Patterns'!$A$2:$A$120,MATCH(1,INDEX(--ISNUMBER(SEARCH('Bad Patterns'!$A$2:$A$120,B4963)),0),0)),""))</f>
        <v/>
      </c>
      <c r="D4963">
        <f>IF(B4963="","",IF(C4963&lt;&gt;"","REMOVE","KEEP"))</f>
        <v/>
      </c>
      <c r="E4963">
        <f>IF(D4963&lt;&gt;"KEEP","",IF(RIGHT(B4963,10)="@gmail.com","Gmail",IF(OR(RIGHT(B4963,12)="@outlook.com",RIGHT(B4963,12)="@hotmail.com",RIGHT(B4963,9)="@live.com"),"Outlook","Domain")))</f>
        <v/>
      </c>
      <c r="F4963">
        <f>IF(B4963="","",IFERROR(RIGHT(B4963,LEN(B4963)-FIND("@",B4963)),""))</f>
        <v/>
      </c>
      <c r="G4963">
        <f>IF(D4963="KEEP",COUNTIF($D$2:D4963,"KEEP"),"")</f>
        <v/>
      </c>
      <c r="H4963">
        <f>IF(D4963="REMOVE",COUNTIF($D$2:D4963,"REMOVE"),"")</f>
        <v/>
      </c>
      <c r="I4963">
        <f>IF(E4963="Gmail",COUNTIF($E$2:E4963,"Gmail"),"")</f>
        <v/>
      </c>
      <c r="J4963">
        <f>IF(E4963="Outlook",COUNTIF($E$2:E4963,"Outlook"),"")</f>
        <v/>
      </c>
      <c r="K4963">
        <f>IF(E4963="Domain",COUNTIF($E$2:E4963,"Domain"),"")</f>
        <v/>
      </c>
    </row>
    <row r="4964">
      <c r="A4964" s="2" t="n"/>
      <c r="B4964">
        <f>LOWER(TRIM(A4964))</f>
        <v/>
      </c>
      <c r="C4964">
        <f>IF(B4964="","",IFERROR(INDEX('Bad Patterns'!$A$2:$A$120,MATCH(1,INDEX(--ISNUMBER(SEARCH('Bad Patterns'!$A$2:$A$120,B4964)),0),0)),""))</f>
        <v/>
      </c>
      <c r="D4964">
        <f>IF(B4964="","",IF(C4964&lt;&gt;"","REMOVE","KEEP"))</f>
        <v/>
      </c>
      <c r="E4964">
        <f>IF(D4964&lt;&gt;"KEEP","",IF(RIGHT(B4964,10)="@gmail.com","Gmail",IF(OR(RIGHT(B4964,12)="@outlook.com",RIGHT(B4964,12)="@hotmail.com",RIGHT(B4964,9)="@live.com"),"Outlook","Domain")))</f>
        <v/>
      </c>
      <c r="F4964">
        <f>IF(B4964="","",IFERROR(RIGHT(B4964,LEN(B4964)-FIND("@",B4964)),""))</f>
        <v/>
      </c>
      <c r="G4964">
        <f>IF(D4964="KEEP",COUNTIF($D$2:D4964,"KEEP"),"")</f>
        <v/>
      </c>
      <c r="H4964">
        <f>IF(D4964="REMOVE",COUNTIF($D$2:D4964,"REMOVE"),"")</f>
        <v/>
      </c>
      <c r="I4964">
        <f>IF(E4964="Gmail",COUNTIF($E$2:E4964,"Gmail"),"")</f>
        <v/>
      </c>
      <c r="J4964">
        <f>IF(E4964="Outlook",COUNTIF($E$2:E4964,"Outlook"),"")</f>
        <v/>
      </c>
      <c r="K4964">
        <f>IF(E4964="Domain",COUNTIF($E$2:E4964,"Domain"),"")</f>
        <v/>
      </c>
    </row>
    <row r="4965">
      <c r="A4965" s="2" t="n"/>
      <c r="B4965">
        <f>LOWER(TRIM(A4965))</f>
        <v/>
      </c>
      <c r="C4965">
        <f>IF(B4965="","",IFERROR(INDEX('Bad Patterns'!$A$2:$A$120,MATCH(1,INDEX(--ISNUMBER(SEARCH('Bad Patterns'!$A$2:$A$120,B4965)),0),0)),""))</f>
        <v/>
      </c>
      <c r="D4965">
        <f>IF(B4965="","",IF(C4965&lt;&gt;"","REMOVE","KEEP"))</f>
        <v/>
      </c>
      <c r="E4965">
        <f>IF(D4965&lt;&gt;"KEEP","",IF(RIGHT(B4965,10)="@gmail.com","Gmail",IF(OR(RIGHT(B4965,12)="@outlook.com",RIGHT(B4965,12)="@hotmail.com",RIGHT(B4965,9)="@live.com"),"Outlook","Domain")))</f>
        <v/>
      </c>
      <c r="F4965">
        <f>IF(B4965="","",IFERROR(RIGHT(B4965,LEN(B4965)-FIND("@",B4965)),""))</f>
        <v/>
      </c>
      <c r="G4965">
        <f>IF(D4965="KEEP",COUNTIF($D$2:D4965,"KEEP"),"")</f>
        <v/>
      </c>
      <c r="H4965">
        <f>IF(D4965="REMOVE",COUNTIF($D$2:D4965,"REMOVE"),"")</f>
        <v/>
      </c>
      <c r="I4965">
        <f>IF(E4965="Gmail",COUNTIF($E$2:E4965,"Gmail"),"")</f>
        <v/>
      </c>
      <c r="J4965">
        <f>IF(E4965="Outlook",COUNTIF($E$2:E4965,"Outlook"),"")</f>
        <v/>
      </c>
      <c r="K4965">
        <f>IF(E4965="Domain",COUNTIF($E$2:E4965,"Domain"),"")</f>
        <v/>
      </c>
    </row>
    <row r="4966">
      <c r="A4966" s="2" t="n"/>
      <c r="B4966">
        <f>LOWER(TRIM(A4966))</f>
        <v/>
      </c>
      <c r="C4966">
        <f>IF(B4966="","",IFERROR(INDEX('Bad Patterns'!$A$2:$A$120,MATCH(1,INDEX(--ISNUMBER(SEARCH('Bad Patterns'!$A$2:$A$120,B4966)),0),0)),""))</f>
        <v/>
      </c>
      <c r="D4966">
        <f>IF(B4966="","",IF(C4966&lt;&gt;"","REMOVE","KEEP"))</f>
        <v/>
      </c>
      <c r="E4966">
        <f>IF(D4966&lt;&gt;"KEEP","",IF(RIGHT(B4966,10)="@gmail.com","Gmail",IF(OR(RIGHT(B4966,12)="@outlook.com",RIGHT(B4966,12)="@hotmail.com",RIGHT(B4966,9)="@live.com"),"Outlook","Domain")))</f>
        <v/>
      </c>
      <c r="F4966">
        <f>IF(B4966="","",IFERROR(RIGHT(B4966,LEN(B4966)-FIND("@",B4966)),""))</f>
        <v/>
      </c>
      <c r="G4966">
        <f>IF(D4966="KEEP",COUNTIF($D$2:D4966,"KEEP"),"")</f>
        <v/>
      </c>
      <c r="H4966">
        <f>IF(D4966="REMOVE",COUNTIF($D$2:D4966,"REMOVE"),"")</f>
        <v/>
      </c>
      <c r="I4966">
        <f>IF(E4966="Gmail",COUNTIF($E$2:E4966,"Gmail"),"")</f>
        <v/>
      </c>
      <c r="J4966">
        <f>IF(E4966="Outlook",COUNTIF($E$2:E4966,"Outlook"),"")</f>
        <v/>
      </c>
      <c r="K4966">
        <f>IF(E4966="Domain",COUNTIF($E$2:E4966,"Domain"),"")</f>
        <v/>
      </c>
    </row>
    <row r="4967">
      <c r="A4967" s="2" t="n"/>
      <c r="B4967">
        <f>LOWER(TRIM(A4967))</f>
        <v/>
      </c>
      <c r="C4967">
        <f>IF(B4967="","",IFERROR(INDEX('Bad Patterns'!$A$2:$A$120,MATCH(1,INDEX(--ISNUMBER(SEARCH('Bad Patterns'!$A$2:$A$120,B4967)),0),0)),""))</f>
        <v/>
      </c>
      <c r="D4967">
        <f>IF(B4967="","",IF(C4967&lt;&gt;"","REMOVE","KEEP"))</f>
        <v/>
      </c>
      <c r="E4967">
        <f>IF(D4967&lt;&gt;"KEEP","",IF(RIGHT(B4967,10)="@gmail.com","Gmail",IF(OR(RIGHT(B4967,12)="@outlook.com",RIGHT(B4967,12)="@hotmail.com",RIGHT(B4967,9)="@live.com"),"Outlook","Domain")))</f>
        <v/>
      </c>
      <c r="F4967">
        <f>IF(B4967="","",IFERROR(RIGHT(B4967,LEN(B4967)-FIND("@",B4967)),""))</f>
        <v/>
      </c>
      <c r="G4967">
        <f>IF(D4967="KEEP",COUNTIF($D$2:D4967,"KEEP"),"")</f>
        <v/>
      </c>
      <c r="H4967">
        <f>IF(D4967="REMOVE",COUNTIF($D$2:D4967,"REMOVE"),"")</f>
        <v/>
      </c>
      <c r="I4967">
        <f>IF(E4967="Gmail",COUNTIF($E$2:E4967,"Gmail"),"")</f>
        <v/>
      </c>
      <c r="J4967">
        <f>IF(E4967="Outlook",COUNTIF($E$2:E4967,"Outlook"),"")</f>
        <v/>
      </c>
      <c r="K4967">
        <f>IF(E4967="Domain",COUNTIF($E$2:E4967,"Domain"),"")</f>
        <v/>
      </c>
    </row>
    <row r="4968">
      <c r="A4968" s="2" t="n"/>
      <c r="B4968">
        <f>LOWER(TRIM(A4968))</f>
        <v/>
      </c>
      <c r="C4968">
        <f>IF(B4968="","",IFERROR(INDEX('Bad Patterns'!$A$2:$A$120,MATCH(1,INDEX(--ISNUMBER(SEARCH('Bad Patterns'!$A$2:$A$120,B4968)),0),0)),""))</f>
        <v/>
      </c>
      <c r="D4968">
        <f>IF(B4968="","",IF(C4968&lt;&gt;"","REMOVE","KEEP"))</f>
        <v/>
      </c>
      <c r="E4968">
        <f>IF(D4968&lt;&gt;"KEEP","",IF(RIGHT(B4968,10)="@gmail.com","Gmail",IF(OR(RIGHT(B4968,12)="@outlook.com",RIGHT(B4968,12)="@hotmail.com",RIGHT(B4968,9)="@live.com"),"Outlook","Domain")))</f>
        <v/>
      </c>
      <c r="F4968">
        <f>IF(B4968="","",IFERROR(RIGHT(B4968,LEN(B4968)-FIND("@",B4968)),""))</f>
        <v/>
      </c>
      <c r="G4968">
        <f>IF(D4968="KEEP",COUNTIF($D$2:D4968,"KEEP"),"")</f>
        <v/>
      </c>
      <c r="H4968">
        <f>IF(D4968="REMOVE",COUNTIF($D$2:D4968,"REMOVE"),"")</f>
        <v/>
      </c>
      <c r="I4968">
        <f>IF(E4968="Gmail",COUNTIF($E$2:E4968,"Gmail"),"")</f>
        <v/>
      </c>
      <c r="J4968">
        <f>IF(E4968="Outlook",COUNTIF($E$2:E4968,"Outlook"),"")</f>
        <v/>
      </c>
      <c r="K4968">
        <f>IF(E4968="Domain",COUNTIF($E$2:E4968,"Domain"),"")</f>
        <v/>
      </c>
    </row>
    <row r="4969">
      <c r="A4969" s="2" t="n"/>
      <c r="B4969">
        <f>LOWER(TRIM(A4969))</f>
        <v/>
      </c>
      <c r="C4969">
        <f>IF(B4969="","",IFERROR(INDEX('Bad Patterns'!$A$2:$A$120,MATCH(1,INDEX(--ISNUMBER(SEARCH('Bad Patterns'!$A$2:$A$120,B4969)),0),0)),""))</f>
        <v/>
      </c>
      <c r="D4969">
        <f>IF(B4969="","",IF(C4969&lt;&gt;"","REMOVE","KEEP"))</f>
        <v/>
      </c>
      <c r="E4969">
        <f>IF(D4969&lt;&gt;"KEEP","",IF(RIGHT(B4969,10)="@gmail.com","Gmail",IF(OR(RIGHT(B4969,12)="@outlook.com",RIGHT(B4969,12)="@hotmail.com",RIGHT(B4969,9)="@live.com"),"Outlook","Domain")))</f>
        <v/>
      </c>
      <c r="F4969">
        <f>IF(B4969="","",IFERROR(RIGHT(B4969,LEN(B4969)-FIND("@",B4969)),""))</f>
        <v/>
      </c>
      <c r="G4969">
        <f>IF(D4969="KEEP",COUNTIF($D$2:D4969,"KEEP"),"")</f>
        <v/>
      </c>
      <c r="H4969">
        <f>IF(D4969="REMOVE",COUNTIF($D$2:D4969,"REMOVE"),"")</f>
        <v/>
      </c>
      <c r="I4969">
        <f>IF(E4969="Gmail",COUNTIF($E$2:E4969,"Gmail"),"")</f>
        <v/>
      </c>
      <c r="J4969">
        <f>IF(E4969="Outlook",COUNTIF($E$2:E4969,"Outlook"),"")</f>
        <v/>
      </c>
      <c r="K4969">
        <f>IF(E4969="Domain",COUNTIF($E$2:E4969,"Domain"),"")</f>
        <v/>
      </c>
    </row>
    <row r="4970">
      <c r="A4970" s="2" t="n"/>
      <c r="B4970">
        <f>LOWER(TRIM(A4970))</f>
        <v/>
      </c>
      <c r="C4970">
        <f>IF(B4970="","",IFERROR(INDEX('Bad Patterns'!$A$2:$A$120,MATCH(1,INDEX(--ISNUMBER(SEARCH('Bad Patterns'!$A$2:$A$120,B4970)),0),0)),""))</f>
        <v/>
      </c>
      <c r="D4970">
        <f>IF(B4970="","",IF(C4970&lt;&gt;"","REMOVE","KEEP"))</f>
        <v/>
      </c>
      <c r="E4970">
        <f>IF(D4970&lt;&gt;"KEEP","",IF(RIGHT(B4970,10)="@gmail.com","Gmail",IF(OR(RIGHT(B4970,12)="@outlook.com",RIGHT(B4970,12)="@hotmail.com",RIGHT(B4970,9)="@live.com"),"Outlook","Domain")))</f>
        <v/>
      </c>
      <c r="F4970">
        <f>IF(B4970="","",IFERROR(RIGHT(B4970,LEN(B4970)-FIND("@",B4970)),""))</f>
        <v/>
      </c>
      <c r="G4970">
        <f>IF(D4970="KEEP",COUNTIF($D$2:D4970,"KEEP"),"")</f>
        <v/>
      </c>
      <c r="H4970">
        <f>IF(D4970="REMOVE",COUNTIF($D$2:D4970,"REMOVE"),"")</f>
        <v/>
      </c>
      <c r="I4970">
        <f>IF(E4970="Gmail",COUNTIF($E$2:E4970,"Gmail"),"")</f>
        <v/>
      </c>
      <c r="J4970">
        <f>IF(E4970="Outlook",COUNTIF($E$2:E4970,"Outlook"),"")</f>
        <v/>
      </c>
      <c r="K4970">
        <f>IF(E4970="Domain",COUNTIF($E$2:E4970,"Domain"),"")</f>
        <v/>
      </c>
    </row>
    <row r="4971">
      <c r="A4971" s="2" t="n"/>
      <c r="B4971">
        <f>LOWER(TRIM(A4971))</f>
        <v/>
      </c>
      <c r="C4971">
        <f>IF(B4971="","",IFERROR(INDEX('Bad Patterns'!$A$2:$A$120,MATCH(1,INDEX(--ISNUMBER(SEARCH('Bad Patterns'!$A$2:$A$120,B4971)),0),0)),""))</f>
        <v/>
      </c>
      <c r="D4971">
        <f>IF(B4971="","",IF(C4971&lt;&gt;"","REMOVE","KEEP"))</f>
        <v/>
      </c>
      <c r="E4971">
        <f>IF(D4971&lt;&gt;"KEEP","",IF(RIGHT(B4971,10)="@gmail.com","Gmail",IF(OR(RIGHT(B4971,12)="@outlook.com",RIGHT(B4971,12)="@hotmail.com",RIGHT(B4971,9)="@live.com"),"Outlook","Domain")))</f>
        <v/>
      </c>
      <c r="F4971">
        <f>IF(B4971="","",IFERROR(RIGHT(B4971,LEN(B4971)-FIND("@",B4971)),""))</f>
        <v/>
      </c>
      <c r="G4971">
        <f>IF(D4971="KEEP",COUNTIF($D$2:D4971,"KEEP"),"")</f>
        <v/>
      </c>
      <c r="H4971">
        <f>IF(D4971="REMOVE",COUNTIF($D$2:D4971,"REMOVE"),"")</f>
        <v/>
      </c>
      <c r="I4971">
        <f>IF(E4971="Gmail",COUNTIF($E$2:E4971,"Gmail"),"")</f>
        <v/>
      </c>
      <c r="J4971">
        <f>IF(E4971="Outlook",COUNTIF($E$2:E4971,"Outlook"),"")</f>
        <v/>
      </c>
      <c r="K4971">
        <f>IF(E4971="Domain",COUNTIF($E$2:E4971,"Domain"),"")</f>
        <v/>
      </c>
    </row>
    <row r="4972">
      <c r="A4972" s="2" t="n"/>
      <c r="B4972">
        <f>LOWER(TRIM(A4972))</f>
        <v/>
      </c>
      <c r="C4972">
        <f>IF(B4972="","",IFERROR(INDEX('Bad Patterns'!$A$2:$A$120,MATCH(1,INDEX(--ISNUMBER(SEARCH('Bad Patterns'!$A$2:$A$120,B4972)),0),0)),""))</f>
        <v/>
      </c>
      <c r="D4972">
        <f>IF(B4972="","",IF(C4972&lt;&gt;"","REMOVE","KEEP"))</f>
        <v/>
      </c>
      <c r="E4972">
        <f>IF(D4972&lt;&gt;"KEEP","",IF(RIGHT(B4972,10)="@gmail.com","Gmail",IF(OR(RIGHT(B4972,12)="@outlook.com",RIGHT(B4972,12)="@hotmail.com",RIGHT(B4972,9)="@live.com"),"Outlook","Domain")))</f>
        <v/>
      </c>
      <c r="F4972">
        <f>IF(B4972="","",IFERROR(RIGHT(B4972,LEN(B4972)-FIND("@",B4972)),""))</f>
        <v/>
      </c>
      <c r="G4972">
        <f>IF(D4972="KEEP",COUNTIF($D$2:D4972,"KEEP"),"")</f>
        <v/>
      </c>
      <c r="H4972">
        <f>IF(D4972="REMOVE",COUNTIF($D$2:D4972,"REMOVE"),"")</f>
        <v/>
      </c>
      <c r="I4972">
        <f>IF(E4972="Gmail",COUNTIF($E$2:E4972,"Gmail"),"")</f>
        <v/>
      </c>
      <c r="J4972">
        <f>IF(E4972="Outlook",COUNTIF($E$2:E4972,"Outlook"),"")</f>
        <v/>
      </c>
      <c r="K4972">
        <f>IF(E4972="Domain",COUNTIF($E$2:E4972,"Domain"),"")</f>
        <v/>
      </c>
    </row>
    <row r="4973">
      <c r="A4973" s="2" t="n"/>
      <c r="B4973">
        <f>LOWER(TRIM(A4973))</f>
        <v/>
      </c>
      <c r="C4973">
        <f>IF(B4973="","",IFERROR(INDEX('Bad Patterns'!$A$2:$A$120,MATCH(1,INDEX(--ISNUMBER(SEARCH('Bad Patterns'!$A$2:$A$120,B4973)),0),0)),""))</f>
        <v/>
      </c>
      <c r="D4973">
        <f>IF(B4973="","",IF(C4973&lt;&gt;"","REMOVE","KEEP"))</f>
        <v/>
      </c>
      <c r="E4973">
        <f>IF(D4973&lt;&gt;"KEEP","",IF(RIGHT(B4973,10)="@gmail.com","Gmail",IF(OR(RIGHT(B4973,12)="@outlook.com",RIGHT(B4973,12)="@hotmail.com",RIGHT(B4973,9)="@live.com"),"Outlook","Domain")))</f>
        <v/>
      </c>
      <c r="F4973">
        <f>IF(B4973="","",IFERROR(RIGHT(B4973,LEN(B4973)-FIND("@",B4973)),""))</f>
        <v/>
      </c>
      <c r="G4973">
        <f>IF(D4973="KEEP",COUNTIF($D$2:D4973,"KEEP"),"")</f>
        <v/>
      </c>
      <c r="H4973">
        <f>IF(D4973="REMOVE",COUNTIF($D$2:D4973,"REMOVE"),"")</f>
        <v/>
      </c>
      <c r="I4973">
        <f>IF(E4973="Gmail",COUNTIF($E$2:E4973,"Gmail"),"")</f>
        <v/>
      </c>
      <c r="J4973">
        <f>IF(E4973="Outlook",COUNTIF($E$2:E4973,"Outlook"),"")</f>
        <v/>
      </c>
      <c r="K4973">
        <f>IF(E4973="Domain",COUNTIF($E$2:E4973,"Domain"),"")</f>
        <v/>
      </c>
    </row>
    <row r="4974">
      <c r="A4974" s="2" t="n"/>
      <c r="B4974">
        <f>LOWER(TRIM(A4974))</f>
        <v/>
      </c>
      <c r="C4974">
        <f>IF(B4974="","",IFERROR(INDEX('Bad Patterns'!$A$2:$A$120,MATCH(1,INDEX(--ISNUMBER(SEARCH('Bad Patterns'!$A$2:$A$120,B4974)),0),0)),""))</f>
        <v/>
      </c>
      <c r="D4974">
        <f>IF(B4974="","",IF(C4974&lt;&gt;"","REMOVE","KEEP"))</f>
        <v/>
      </c>
      <c r="E4974">
        <f>IF(D4974&lt;&gt;"KEEP","",IF(RIGHT(B4974,10)="@gmail.com","Gmail",IF(OR(RIGHT(B4974,12)="@outlook.com",RIGHT(B4974,12)="@hotmail.com",RIGHT(B4974,9)="@live.com"),"Outlook","Domain")))</f>
        <v/>
      </c>
      <c r="F4974">
        <f>IF(B4974="","",IFERROR(RIGHT(B4974,LEN(B4974)-FIND("@",B4974)),""))</f>
        <v/>
      </c>
      <c r="G4974">
        <f>IF(D4974="KEEP",COUNTIF($D$2:D4974,"KEEP"),"")</f>
        <v/>
      </c>
      <c r="H4974">
        <f>IF(D4974="REMOVE",COUNTIF($D$2:D4974,"REMOVE"),"")</f>
        <v/>
      </c>
      <c r="I4974">
        <f>IF(E4974="Gmail",COUNTIF($E$2:E4974,"Gmail"),"")</f>
        <v/>
      </c>
      <c r="J4974">
        <f>IF(E4974="Outlook",COUNTIF($E$2:E4974,"Outlook"),"")</f>
        <v/>
      </c>
      <c r="K4974">
        <f>IF(E4974="Domain",COUNTIF($E$2:E4974,"Domain"),"")</f>
        <v/>
      </c>
    </row>
    <row r="4975">
      <c r="A4975" s="2" t="n"/>
      <c r="B4975">
        <f>LOWER(TRIM(A4975))</f>
        <v/>
      </c>
      <c r="C4975">
        <f>IF(B4975="","",IFERROR(INDEX('Bad Patterns'!$A$2:$A$120,MATCH(1,INDEX(--ISNUMBER(SEARCH('Bad Patterns'!$A$2:$A$120,B4975)),0),0)),""))</f>
        <v/>
      </c>
      <c r="D4975">
        <f>IF(B4975="","",IF(C4975&lt;&gt;"","REMOVE","KEEP"))</f>
        <v/>
      </c>
      <c r="E4975">
        <f>IF(D4975&lt;&gt;"KEEP","",IF(RIGHT(B4975,10)="@gmail.com","Gmail",IF(OR(RIGHT(B4975,12)="@outlook.com",RIGHT(B4975,12)="@hotmail.com",RIGHT(B4975,9)="@live.com"),"Outlook","Domain")))</f>
        <v/>
      </c>
      <c r="F4975">
        <f>IF(B4975="","",IFERROR(RIGHT(B4975,LEN(B4975)-FIND("@",B4975)),""))</f>
        <v/>
      </c>
      <c r="G4975">
        <f>IF(D4975="KEEP",COUNTIF($D$2:D4975,"KEEP"),"")</f>
        <v/>
      </c>
      <c r="H4975">
        <f>IF(D4975="REMOVE",COUNTIF($D$2:D4975,"REMOVE"),"")</f>
        <v/>
      </c>
      <c r="I4975">
        <f>IF(E4975="Gmail",COUNTIF($E$2:E4975,"Gmail"),"")</f>
        <v/>
      </c>
      <c r="J4975">
        <f>IF(E4975="Outlook",COUNTIF($E$2:E4975,"Outlook"),"")</f>
        <v/>
      </c>
      <c r="K4975">
        <f>IF(E4975="Domain",COUNTIF($E$2:E4975,"Domain"),"")</f>
        <v/>
      </c>
    </row>
    <row r="4976">
      <c r="A4976" s="2" t="n"/>
      <c r="B4976">
        <f>LOWER(TRIM(A4976))</f>
        <v/>
      </c>
      <c r="C4976">
        <f>IF(B4976="","",IFERROR(INDEX('Bad Patterns'!$A$2:$A$120,MATCH(1,INDEX(--ISNUMBER(SEARCH('Bad Patterns'!$A$2:$A$120,B4976)),0),0)),""))</f>
        <v/>
      </c>
      <c r="D4976">
        <f>IF(B4976="","",IF(C4976&lt;&gt;"","REMOVE","KEEP"))</f>
        <v/>
      </c>
      <c r="E4976">
        <f>IF(D4976&lt;&gt;"KEEP","",IF(RIGHT(B4976,10)="@gmail.com","Gmail",IF(OR(RIGHT(B4976,12)="@outlook.com",RIGHT(B4976,12)="@hotmail.com",RIGHT(B4976,9)="@live.com"),"Outlook","Domain")))</f>
        <v/>
      </c>
      <c r="F4976">
        <f>IF(B4976="","",IFERROR(RIGHT(B4976,LEN(B4976)-FIND("@",B4976)),""))</f>
        <v/>
      </c>
      <c r="G4976">
        <f>IF(D4976="KEEP",COUNTIF($D$2:D4976,"KEEP"),"")</f>
        <v/>
      </c>
      <c r="H4976">
        <f>IF(D4976="REMOVE",COUNTIF($D$2:D4976,"REMOVE"),"")</f>
        <v/>
      </c>
      <c r="I4976">
        <f>IF(E4976="Gmail",COUNTIF($E$2:E4976,"Gmail"),"")</f>
        <v/>
      </c>
      <c r="J4976">
        <f>IF(E4976="Outlook",COUNTIF($E$2:E4976,"Outlook"),"")</f>
        <v/>
      </c>
      <c r="K4976">
        <f>IF(E4976="Domain",COUNTIF($E$2:E4976,"Domain"),"")</f>
        <v/>
      </c>
    </row>
    <row r="4977">
      <c r="A4977" s="2" t="n"/>
      <c r="B4977">
        <f>LOWER(TRIM(A4977))</f>
        <v/>
      </c>
      <c r="C4977">
        <f>IF(B4977="","",IFERROR(INDEX('Bad Patterns'!$A$2:$A$120,MATCH(1,INDEX(--ISNUMBER(SEARCH('Bad Patterns'!$A$2:$A$120,B4977)),0),0)),""))</f>
        <v/>
      </c>
      <c r="D4977">
        <f>IF(B4977="","",IF(C4977&lt;&gt;"","REMOVE","KEEP"))</f>
        <v/>
      </c>
      <c r="E4977">
        <f>IF(D4977&lt;&gt;"KEEP","",IF(RIGHT(B4977,10)="@gmail.com","Gmail",IF(OR(RIGHT(B4977,12)="@outlook.com",RIGHT(B4977,12)="@hotmail.com",RIGHT(B4977,9)="@live.com"),"Outlook","Domain")))</f>
        <v/>
      </c>
      <c r="F4977">
        <f>IF(B4977="","",IFERROR(RIGHT(B4977,LEN(B4977)-FIND("@",B4977)),""))</f>
        <v/>
      </c>
      <c r="G4977">
        <f>IF(D4977="KEEP",COUNTIF($D$2:D4977,"KEEP"),"")</f>
        <v/>
      </c>
      <c r="H4977">
        <f>IF(D4977="REMOVE",COUNTIF($D$2:D4977,"REMOVE"),"")</f>
        <v/>
      </c>
      <c r="I4977">
        <f>IF(E4977="Gmail",COUNTIF($E$2:E4977,"Gmail"),"")</f>
        <v/>
      </c>
      <c r="J4977">
        <f>IF(E4977="Outlook",COUNTIF($E$2:E4977,"Outlook"),"")</f>
        <v/>
      </c>
      <c r="K4977">
        <f>IF(E4977="Domain",COUNTIF($E$2:E4977,"Domain"),"")</f>
        <v/>
      </c>
    </row>
    <row r="4978">
      <c r="A4978" s="2" t="n"/>
      <c r="B4978">
        <f>LOWER(TRIM(A4978))</f>
        <v/>
      </c>
      <c r="C4978">
        <f>IF(B4978="","",IFERROR(INDEX('Bad Patterns'!$A$2:$A$120,MATCH(1,INDEX(--ISNUMBER(SEARCH('Bad Patterns'!$A$2:$A$120,B4978)),0),0)),""))</f>
        <v/>
      </c>
      <c r="D4978">
        <f>IF(B4978="","",IF(C4978&lt;&gt;"","REMOVE","KEEP"))</f>
        <v/>
      </c>
      <c r="E4978">
        <f>IF(D4978&lt;&gt;"KEEP","",IF(RIGHT(B4978,10)="@gmail.com","Gmail",IF(OR(RIGHT(B4978,12)="@outlook.com",RIGHT(B4978,12)="@hotmail.com",RIGHT(B4978,9)="@live.com"),"Outlook","Domain")))</f>
        <v/>
      </c>
      <c r="F4978">
        <f>IF(B4978="","",IFERROR(RIGHT(B4978,LEN(B4978)-FIND("@",B4978)),""))</f>
        <v/>
      </c>
      <c r="G4978">
        <f>IF(D4978="KEEP",COUNTIF($D$2:D4978,"KEEP"),"")</f>
        <v/>
      </c>
      <c r="H4978">
        <f>IF(D4978="REMOVE",COUNTIF($D$2:D4978,"REMOVE"),"")</f>
        <v/>
      </c>
      <c r="I4978">
        <f>IF(E4978="Gmail",COUNTIF($E$2:E4978,"Gmail"),"")</f>
        <v/>
      </c>
      <c r="J4978">
        <f>IF(E4978="Outlook",COUNTIF($E$2:E4978,"Outlook"),"")</f>
        <v/>
      </c>
      <c r="K4978">
        <f>IF(E4978="Domain",COUNTIF($E$2:E4978,"Domain"),"")</f>
        <v/>
      </c>
    </row>
    <row r="4979">
      <c r="A4979" s="2" t="n"/>
      <c r="B4979">
        <f>LOWER(TRIM(A4979))</f>
        <v/>
      </c>
      <c r="C4979">
        <f>IF(B4979="","",IFERROR(INDEX('Bad Patterns'!$A$2:$A$120,MATCH(1,INDEX(--ISNUMBER(SEARCH('Bad Patterns'!$A$2:$A$120,B4979)),0),0)),""))</f>
        <v/>
      </c>
      <c r="D4979">
        <f>IF(B4979="","",IF(C4979&lt;&gt;"","REMOVE","KEEP"))</f>
        <v/>
      </c>
      <c r="E4979">
        <f>IF(D4979&lt;&gt;"KEEP","",IF(RIGHT(B4979,10)="@gmail.com","Gmail",IF(OR(RIGHT(B4979,12)="@outlook.com",RIGHT(B4979,12)="@hotmail.com",RIGHT(B4979,9)="@live.com"),"Outlook","Domain")))</f>
        <v/>
      </c>
      <c r="F4979">
        <f>IF(B4979="","",IFERROR(RIGHT(B4979,LEN(B4979)-FIND("@",B4979)),""))</f>
        <v/>
      </c>
      <c r="G4979">
        <f>IF(D4979="KEEP",COUNTIF($D$2:D4979,"KEEP"),"")</f>
        <v/>
      </c>
      <c r="H4979">
        <f>IF(D4979="REMOVE",COUNTIF($D$2:D4979,"REMOVE"),"")</f>
        <v/>
      </c>
      <c r="I4979">
        <f>IF(E4979="Gmail",COUNTIF($E$2:E4979,"Gmail"),"")</f>
        <v/>
      </c>
      <c r="J4979">
        <f>IF(E4979="Outlook",COUNTIF($E$2:E4979,"Outlook"),"")</f>
        <v/>
      </c>
      <c r="K4979">
        <f>IF(E4979="Domain",COUNTIF($E$2:E4979,"Domain"),"")</f>
        <v/>
      </c>
    </row>
    <row r="4980">
      <c r="A4980" s="2" t="n"/>
      <c r="B4980">
        <f>LOWER(TRIM(A4980))</f>
        <v/>
      </c>
      <c r="C4980">
        <f>IF(B4980="","",IFERROR(INDEX('Bad Patterns'!$A$2:$A$120,MATCH(1,INDEX(--ISNUMBER(SEARCH('Bad Patterns'!$A$2:$A$120,B4980)),0),0)),""))</f>
        <v/>
      </c>
      <c r="D4980">
        <f>IF(B4980="","",IF(C4980&lt;&gt;"","REMOVE","KEEP"))</f>
        <v/>
      </c>
      <c r="E4980">
        <f>IF(D4980&lt;&gt;"KEEP","",IF(RIGHT(B4980,10)="@gmail.com","Gmail",IF(OR(RIGHT(B4980,12)="@outlook.com",RIGHT(B4980,12)="@hotmail.com",RIGHT(B4980,9)="@live.com"),"Outlook","Domain")))</f>
        <v/>
      </c>
      <c r="F4980">
        <f>IF(B4980="","",IFERROR(RIGHT(B4980,LEN(B4980)-FIND("@",B4980)),""))</f>
        <v/>
      </c>
      <c r="G4980">
        <f>IF(D4980="KEEP",COUNTIF($D$2:D4980,"KEEP"),"")</f>
        <v/>
      </c>
      <c r="H4980">
        <f>IF(D4980="REMOVE",COUNTIF($D$2:D4980,"REMOVE"),"")</f>
        <v/>
      </c>
      <c r="I4980">
        <f>IF(E4980="Gmail",COUNTIF($E$2:E4980,"Gmail"),"")</f>
        <v/>
      </c>
      <c r="J4980">
        <f>IF(E4980="Outlook",COUNTIF($E$2:E4980,"Outlook"),"")</f>
        <v/>
      </c>
      <c r="K4980">
        <f>IF(E4980="Domain",COUNTIF($E$2:E4980,"Domain"),"")</f>
        <v/>
      </c>
    </row>
    <row r="4981">
      <c r="A4981" s="2" t="n"/>
      <c r="B4981">
        <f>LOWER(TRIM(A4981))</f>
        <v/>
      </c>
      <c r="C4981">
        <f>IF(B4981="","",IFERROR(INDEX('Bad Patterns'!$A$2:$A$120,MATCH(1,INDEX(--ISNUMBER(SEARCH('Bad Patterns'!$A$2:$A$120,B4981)),0),0)),""))</f>
        <v/>
      </c>
      <c r="D4981">
        <f>IF(B4981="","",IF(C4981&lt;&gt;"","REMOVE","KEEP"))</f>
        <v/>
      </c>
      <c r="E4981">
        <f>IF(D4981&lt;&gt;"KEEP","",IF(RIGHT(B4981,10)="@gmail.com","Gmail",IF(OR(RIGHT(B4981,12)="@outlook.com",RIGHT(B4981,12)="@hotmail.com",RIGHT(B4981,9)="@live.com"),"Outlook","Domain")))</f>
        <v/>
      </c>
      <c r="F4981">
        <f>IF(B4981="","",IFERROR(RIGHT(B4981,LEN(B4981)-FIND("@",B4981)),""))</f>
        <v/>
      </c>
      <c r="G4981">
        <f>IF(D4981="KEEP",COUNTIF($D$2:D4981,"KEEP"),"")</f>
        <v/>
      </c>
      <c r="H4981">
        <f>IF(D4981="REMOVE",COUNTIF($D$2:D4981,"REMOVE"),"")</f>
        <v/>
      </c>
      <c r="I4981">
        <f>IF(E4981="Gmail",COUNTIF($E$2:E4981,"Gmail"),"")</f>
        <v/>
      </c>
      <c r="J4981">
        <f>IF(E4981="Outlook",COUNTIF($E$2:E4981,"Outlook"),"")</f>
        <v/>
      </c>
      <c r="K4981">
        <f>IF(E4981="Domain",COUNTIF($E$2:E4981,"Domain"),"")</f>
        <v/>
      </c>
    </row>
    <row r="4982">
      <c r="A4982" s="2" t="n"/>
      <c r="B4982">
        <f>LOWER(TRIM(A4982))</f>
        <v/>
      </c>
      <c r="C4982">
        <f>IF(B4982="","",IFERROR(INDEX('Bad Patterns'!$A$2:$A$120,MATCH(1,INDEX(--ISNUMBER(SEARCH('Bad Patterns'!$A$2:$A$120,B4982)),0),0)),""))</f>
        <v/>
      </c>
      <c r="D4982">
        <f>IF(B4982="","",IF(C4982&lt;&gt;"","REMOVE","KEEP"))</f>
        <v/>
      </c>
      <c r="E4982">
        <f>IF(D4982&lt;&gt;"KEEP","",IF(RIGHT(B4982,10)="@gmail.com","Gmail",IF(OR(RIGHT(B4982,12)="@outlook.com",RIGHT(B4982,12)="@hotmail.com",RIGHT(B4982,9)="@live.com"),"Outlook","Domain")))</f>
        <v/>
      </c>
      <c r="F4982">
        <f>IF(B4982="","",IFERROR(RIGHT(B4982,LEN(B4982)-FIND("@",B4982)),""))</f>
        <v/>
      </c>
      <c r="G4982">
        <f>IF(D4982="KEEP",COUNTIF($D$2:D4982,"KEEP"),"")</f>
        <v/>
      </c>
      <c r="H4982">
        <f>IF(D4982="REMOVE",COUNTIF($D$2:D4982,"REMOVE"),"")</f>
        <v/>
      </c>
      <c r="I4982">
        <f>IF(E4982="Gmail",COUNTIF($E$2:E4982,"Gmail"),"")</f>
        <v/>
      </c>
      <c r="J4982">
        <f>IF(E4982="Outlook",COUNTIF($E$2:E4982,"Outlook"),"")</f>
        <v/>
      </c>
      <c r="K4982">
        <f>IF(E4982="Domain",COUNTIF($E$2:E4982,"Domain"),"")</f>
        <v/>
      </c>
    </row>
    <row r="4983">
      <c r="A4983" s="2" t="n"/>
      <c r="B4983">
        <f>LOWER(TRIM(A4983))</f>
        <v/>
      </c>
      <c r="C4983">
        <f>IF(B4983="","",IFERROR(INDEX('Bad Patterns'!$A$2:$A$120,MATCH(1,INDEX(--ISNUMBER(SEARCH('Bad Patterns'!$A$2:$A$120,B4983)),0),0)),""))</f>
        <v/>
      </c>
      <c r="D4983">
        <f>IF(B4983="","",IF(C4983&lt;&gt;"","REMOVE","KEEP"))</f>
        <v/>
      </c>
      <c r="E4983">
        <f>IF(D4983&lt;&gt;"KEEP","",IF(RIGHT(B4983,10)="@gmail.com","Gmail",IF(OR(RIGHT(B4983,12)="@outlook.com",RIGHT(B4983,12)="@hotmail.com",RIGHT(B4983,9)="@live.com"),"Outlook","Domain")))</f>
        <v/>
      </c>
      <c r="F4983">
        <f>IF(B4983="","",IFERROR(RIGHT(B4983,LEN(B4983)-FIND("@",B4983)),""))</f>
        <v/>
      </c>
      <c r="G4983">
        <f>IF(D4983="KEEP",COUNTIF($D$2:D4983,"KEEP"),"")</f>
        <v/>
      </c>
      <c r="H4983">
        <f>IF(D4983="REMOVE",COUNTIF($D$2:D4983,"REMOVE"),"")</f>
        <v/>
      </c>
      <c r="I4983">
        <f>IF(E4983="Gmail",COUNTIF($E$2:E4983,"Gmail"),"")</f>
        <v/>
      </c>
      <c r="J4983">
        <f>IF(E4983="Outlook",COUNTIF($E$2:E4983,"Outlook"),"")</f>
        <v/>
      </c>
      <c r="K4983">
        <f>IF(E4983="Domain",COUNTIF($E$2:E4983,"Domain"),"")</f>
        <v/>
      </c>
    </row>
    <row r="4984">
      <c r="A4984" s="2" t="n"/>
      <c r="B4984">
        <f>LOWER(TRIM(A4984))</f>
        <v/>
      </c>
      <c r="C4984">
        <f>IF(B4984="","",IFERROR(INDEX('Bad Patterns'!$A$2:$A$120,MATCH(1,INDEX(--ISNUMBER(SEARCH('Bad Patterns'!$A$2:$A$120,B4984)),0),0)),""))</f>
        <v/>
      </c>
      <c r="D4984">
        <f>IF(B4984="","",IF(C4984&lt;&gt;"","REMOVE","KEEP"))</f>
        <v/>
      </c>
      <c r="E4984">
        <f>IF(D4984&lt;&gt;"KEEP","",IF(RIGHT(B4984,10)="@gmail.com","Gmail",IF(OR(RIGHT(B4984,12)="@outlook.com",RIGHT(B4984,12)="@hotmail.com",RIGHT(B4984,9)="@live.com"),"Outlook","Domain")))</f>
        <v/>
      </c>
      <c r="F4984">
        <f>IF(B4984="","",IFERROR(RIGHT(B4984,LEN(B4984)-FIND("@",B4984)),""))</f>
        <v/>
      </c>
      <c r="G4984">
        <f>IF(D4984="KEEP",COUNTIF($D$2:D4984,"KEEP"),"")</f>
        <v/>
      </c>
      <c r="H4984">
        <f>IF(D4984="REMOVE",COUNTIF($D$2:D4984,"REMOVE"),"")</f>
        <v/>
      </c>
      <c r="I4984">
        <f>IF(E4984="Gmail",COUNTIF($E$2:E4984,"Gmail"),"")</f>
        <v/>
      </c>
      <c r="J4984">
        <f>IF(E4984="Outlook",COUNTIF($E$2:E4984,"Outlook"),"")</f>
        <v/>
      </c>
      <c r="K4984">
        <f>IF(E4984="Domain",COUNTIF($E$2:E4984,"Domain"),"")</f>
        <v/>
      </c>
    </row>
    <row r="4985">
      <c r="A4985" s="2" t="n"/>
      <c r="B4985">
        <f>LOWER(TRIM(A4985))</f>
        <v/>
      </c>
      <c r="C4985">
        <f>IF(B4985="","",IFERROR(INDEX('Bad Patterns'!$A$2:$A$120,MATCH(1,INDEX(--ISNUMBER(SEARCH('Bad Patterns'!$A$2:$A$120,B4985)),0),0)),""))</f>
        <v/>
      </c>
      <c r="D4985">
        <f>IF(B4985="","",IF(C4985&lt;&gt;"","REMOVE","KEEP"))</f>
        <v/>
      </c>
      <c r="E4985">
        <f>IF(D4985&lt;&gt;"KEEP","",IF(RIGHT(B4985,10)="@gmail.com","Gmail",IF(OR(RIGHT(B4985,12)="@outlook.com",RIGHT(B4985,12)="@hotmail.com",RIGHT(B4985,9)="@live.com"),"Outlook","Domain")))</f>
        <v/>
      </c>
      <c r="F4985">
        <f>IF(B4985="","",IFERROR(RIGHT(B4985,LEN(B4985)-FIND("@",B4985)),""))</f>
        <v/>
      </c>
      <c r="G4985">
        <f>IF(D4985="KEEP",COUNTIF($D$2:D4985,"KEEP"),"")</f>
        <v/>
      </c>
      <c r="H4985">
        <f>IF(D4985="REMOVE",COUNTIF($D$2:D4985,"REMOVE"),"")</f>
        <v/>
      </c>
      <c r="I4985">
        <f>IF(E4985="Gmail",COUNTIF($E$2:E4985,"Gmail"),"")</f>
        <v/>
      </c>
      <c r="J4985">
        <f>IF(E4985="Outlook",COUNTIF($E$2:E4985,"Outlook"),"")</f>
        <v/>
      </c>
      <c r="K4985">
        <f>IF(E4985="Domain",COUNTIF($E$2:E4985,"Domain"),"")</f>
        <v/>
      </c>
    </row>
    <row r="4986">
      <c r="A4986" s="2" t="n"/>
      <c r="B4986">
        <f>LOWER(TRIM(A4986))</f>
        <v/>
      </c>
      <c r="C4986">
        <f>IF(B4986="","",IFERROR(INDEX('Bad Patterns'!$A$2:$A$120,MATCH(1,INDEX(--ISNUMBER(SEARCH('Bad Patterns'!$A$2:$A$120,B4986)),0),0)),""))</f>
        <v/>
      </c>
      <c r="D4986">
        <f>IF(B4986="","",IF(C4986&lt;&gt;"","REMOVE","KEEP"))</f>
        <v/>
      </c>
      <c r="E4986">
        <f>IF(D4986&lt;&gt;"KEEP","",IF(RIGHT(B4986,10)="@gmail.com","Gmail",IF(OR(RIGHT(B4986,12)="@outlook.com",RIGHT(B4986,12)="@hotmail.com",RIGHT(B4986,9)="@live.com"),"Outlook","Domain")))</f>
        <v/>
      </c>
      <c r="F4986">
        <f>IF(B4986="","",IFERROR(RIGHT(B4986,LEN(B4986)-FIND("@",B4986)),""))</f>
        <v/>
      </c>
      <c r="G4986">
        <f>IF(D4986="KEEP",COUNTIF($D$2:D4986,"KEEP"),"")</f>
        <v/>
      </c>
      <c r="H4986">
        <f>IF(D4986="REMOVE",COUNTIF($D$2:D4986,"REMOVE"),"")</f>
        <v/>
      </c>
      <c r="I4986">
        <f>IF(E4986="Gmail",COUNTIF($E$2:E4986,"Gmail"),"")</f>
        <v/>
      </c>
      <c r="J4986">
        <f>IF(E4986="Outlook",COUNTIF($E$2:E4986,"Outlook"),"")</f>
        <v/>
      </c>
      <c r="K4986">
        <f>IF(E4986="Domain",COUNTIF($E$2:E4986,"Domain"),"")</f>
        <v/>
      </c>
    </row>
    <row r="4987">
      <c r="A4987" s="2" t="n"/>
      <c r="B4987">
        <f>LOWER(TRIM(A4987))</f>
        <v/>
      </c>
      <c r="C4987">
        <f>IF(B4987="","",IFERROR(INDEX('Bad Patterns'!$A$2:$A$120,MATCH(1,INDEX(--ISNUMBER(SEARCH('Bad Patterns'!$A$2:$A$120,B4987)),0),0)),""))</f>
        <v/>
      </c>
      <c r="D4987">
        <f>IF(B4987="","",IF(C4987&lt;&gt;"","REMOVE","KEEP"))</f>
        <v/>
      </c>
      <c r="E4987">
        <f>IF(D4987&lt;&gt;"KEEP","",IF(RIGHT(B4987,10)="@gmail.com","Gmail",IF(OR(RIGHT(B4987,12)="@outlook.com",RIGHT(B4987,12)="@hotmail.com",RIGHT(B4987,9)="@live.com"),"Outlook","Domain")))</f>
        <v/>
      </c>
      <c r="F4987">
        <f>IF(B4987="","",IFERROR(RIGHT(B4987,LEN(B4987)-FIND("@",B4987)),""))</f>
        <v/>
      </c>
      <c r="G4987">
        <f>IF(D4987="KEEP",COUNTIF($D$2:D4987,"KEEP"),"")</f>
        <v/>
      </c>
      <c r="H4987">
        <f>IF(D4987="REMOVE",COUNTIF($D$2:D4987,"REMOVE"),"")</f>
        <v/>
      </c>
      <c r="I4987">
        <f>IF(E4987="Gmail",COUNTIF($E$2:E4987,"Gmail"),"")</f>
        <v/>
      </c>
      <c r="J4987">
        <f>IF(E4987="Outlook",COUNTIF($E$2:E4987,"Outlook"),"")</f>
        <v/>
      </c>
      <c r="K4987">
        <f>IF(E4987="Domain",COUNTIF($E$2:E4987,"Domain"),"")</f>
        <v/>
      </c>
    </row>
    <row r="4988">
      <c r="A4988" s="2" t="n"/>
      <c r="B4988">
        <f>LOWER(TRIM(A4988))</f>
        <v/>
      </c>
      <c r="C4988">
        <f>IF(B4988="","",IFERROR(INDEX('Bad Patterns'!$A$2:$A$120,MATCH(1,INDEX(--ISNUMBER(SEARCH('Bad Patterns'!$A$2:$A$120,B4988)),0),0)),""))</f>
        <v/>
      </c>
      <c r="D4988">
        <f>IF(B4988="","",IF(C4988&lt;&gt;"","REMOVE","KEEP"))</f>
        <v/>
      </c>
      <c r="E4988">
        <f>IF(D4988&lt;&gt;"KEEP","",IF(RIGHT(B4988,10)="@gmail.com","Gmail",IF(OR(RIGHT(B4988,12)="@outlook.com",RIGHT(B4988,12)="@hotmail.com",RIGHT(B4988,9)="@live.com"),"Outlook","Domain")))</f>
        <v/>
      </c>
      <c r="F4988">
        <f>IF(B4988="","",IFERROR(RIGHT(B4988,LEN(B4988)-FIND("@",B4988)),""))</f>
        <v/>
      </c>
      <c r="G4988">
        <f>IF(D4988="KEEP",COUNTIF($D$2:D4988,"KEEP"),"")</f>
        <v/>
      </c>
      <c r="H4988">
        <f>IF(D4988="REMOVE",COUNTIF($D$2:D4988,"REMOVE"),"")</f>
        <v/>
      </c>
      <c r="I4988">
        <f>IF(E4988="Gmail",COUNTIF($E$2:E4988,"Gmail"),"")</f>
        <v/>
      </c>
      <c r="J4988">
        <f>IF(E4988="Outlook",COUNTIF($E$2:E4988,"Outlook"),"")</f>
        <v/>
      </c>
      <c r="K4988">
        <f>IF(E4988="Domain",COUNTIF($E$2:E4988,"Domain"),"")</f>
        <v/>
      </c>
    </row>
    <row r="4989">
      <c r="A4989" s="2" t="n"/>
      <c r="B4989">
        <f>LOWER(TRIM(A4989))</f>
        <v/>
      </c>
      <c r="C4989">
        <f>IF(B4989="","",IFERROR(INDEX('Bad Patterns'!$A$2:$A$120,MATCH(1,INDEX(--ISNUMBER(SEARCH('Bad Patterns'!$A$2:$A$120,B4989)),0),0)),""))</f>
        <v/>
      </c>
      <c r="D4989">
        <f>IF(B4989="","",IF(C4989&lt;&gt;"","REMOVE","KEEP"))</f>
        <v/>
      </c>
      <c r="E4989">
        <f>IF(D4989&lt;&gt;"KEEP","",IF(RIGHT(B4989,10)="@gmail.com","Gmail",IF(OR(RIGHT(B4989,12)="@outlook.com",RIGHT(B4989,12)="@hotmail.com",RIGHT(B4989,9)="@live.com"),"Outlook","Domain")))</f>
        <v/>
      </c>
      <c r="F4989">
        <f>IF(B4989="","",IFERROR(RIGHT(B4989,LEN(B4989)-FIND("@",B4989)),""))</f>
        <v/>
      </c>
      <c r="G4989">
        <f>IF(D4989="KEEP",COUNTIF($D$2:D4989,"KEEP"),"")</f>
        <v/>
      </c>
      <c r="H4989">
        <f>IF(D4989="REMOVE",COUNTIF($D$2:D4989,"REMOVE"),"")</f>
        <v/>
      </c>
      <c r="I4989">
        <f>IF(E4989="Gmail",COUNTIF($E$2:E4989,"Gmail"),"")</f>
        <v/>
      </c>
      <c r="J4989">
        <f>IF(E4989="Outlook",COUNTIF($E$2:E4989,"Outlook"),"")</f>
        <v/>
      </c>
      <c r="K4989">
        <f>IF(E4989="Domain",COUNTIF($E$2:E4989,"Domain"),"")</f>
        <v/>
      </c>
    </row>
    <row r="4990">
      <c r="A4990" s="2" t="n"/>
      <c r="B4990">
        <f>LOWER(TRIM(A4990))</f>
        <v/>
      </c>
      <c r="C4990">
        <f>IF(B4990="","",IFERROR(INDEX('Bad Patterns'!$A$2:$A$120,MATCH(1,INDEX(--ISNUMBER(SEARCH('Bad Patterns'!$A$2:$A$120,B4990)),0),0)),""))</f>
        <v/>
      </c>
      <c r="D4990">
        <f>IF(B4990="","",IF(C4990&lt;&gt;"","REMOVE","KEEP"))</f>
        <v/>
      </c>
      <c r="E4990">
        <f>IF(D4990&lt;&gt;"KEEP","",IF(RIGHT(B4990,10)="@gmail.com","Gmail",IF(OR(RIGHT(B4990,12)="@outlook.com",RIGHT(B4990,12)="@hotmail.com",RIGHT(B4990,9)="@live.com"),"Outlook","Domain")))</f>
        <v/>
      </c>
      <c r="F4990">
        <f>IF(B4990="","",IFERROR(RIGHT(B4990,LEN(B4990)-FIND("@",B4990)),""))</f>
        <v/>
      </c>
      <c r="G4990">
        <f>IF(D4990="KEEP",COUNTIF($D$2:D4990,"KEEP"),"")</f>
        <v/>
      </c>
      <c r="H4990">
        <f>IF(D4990="REMOVE",COUNTIF($D$2:D4990,"REMOVE"),"")</f>
        <v/>
      </c>
      <c r="I4990">
        <f>IF(E4990="Gmail",COUNTIF($E$2:E4990,"Gmail"),"")</f>
        <v/>
      </c>
      <c r="J4990">
        <f>IF(E4990="Outlook",COUNTIF($E$2:E4990,"Outlook"),"")</f>
        <v/>
      </c>
      <c r="K4990">
        <f>IF(E4990="Domain",COUNTIF($E$2:E4990,"Domain"),"")</f>
        <v/>
      </c>
    </row>
    <row r="4991">
      <c r="A4991" s="2" t="n"/>
      <c r="B4991">
        <f>LOWER(TRIM(A4991))</f>
        <v/>
      </c>
      <c r="C4991">
        <f>IF(B4991="","",IFERROR(INDEX('Bad Patterns'!$A$2:$A$120,MATCH(1,INDEX(--ISNUMBER(SEARCH('Bad Patterns'!$A$2:$A$120,B4991)),0),0)),""))</f>
        <v/>
      </c>
      <c r="D4991">
        <f>IF(B4991="","",IF(C4991&lt;&gt;"","REMOVE","KEEP"))</f>
        <v/>
      </c>
      <c r="E4991">
        <f>IF(D4991&lt;&gt;"KEEP","",IF(RIGHT(B4991,10)="@gmail.com","Gmail",IF(OR(RIGHT(B4991,12)="@outlook.com",RIGHT(B4991,12)="@hotmail.com",RIGHT(B4991,9)="@live.com"),"Outlook","Domain")))</f>
        <v/>
      </c>
      <c r="F4991">
        <f>IF(B4991="","",IFERROR(RIGHT(B4991,LEN(B4991)-FIND("@",B4991)),""))</f>
        <v/>
      </c>
      <c r="G4991">
        <f>IF(D4991="KEEP",COUNTIF($D$2:D4991,"KEEP"),"")</f>
        <v/>
      </c>
      <c r="H4991">
        <f>IF(D4991="REMOVE",COUNTIF($D$2:D4991,"REMOVE"),"")</f>
        <v/>
      </c>
      <c r="I4991">
        <f>IF(E4991="Gmail",COUNTIF($E$2:E4991,"Gmail"),"")</f>
        <v/>
      </c>
      <c r="J4991">
        <f>IF(E4991="Outlook",COUNTIF($E$2:E4991,"Outlook"),"")</f>
        <v/>
      </c>
      <c r="K4991">
        <f>IF(E4991="Domain",COUNTIF($E$2:E4991,"Domain"),"")</f>
        <v/>
      </c>
    </row>
    <row r="4992">
      <c r="A4992" s="2" t="n"/>
      <c r="B4992">
        <f>LOWER(TRIM(A4992))</f>
        <v/>
      </c>
      <c r="C4992">
        <f>IF(B4992="","",IFERROR(INDEX('Bad Patterns'!$A$2:$A$120,MATCH(1,INDEX(--ISNUMBER(SEARCH('Bad Patterns'!$A$2:$A$120,B4992)),0),0)),""))</f>
        <v/>
      </c>
      <c r="D4992">
        <f>IF(B4992="","",IF(C4992&lt;&gt;"","REMOVE","KEEP"))</f>
        <v/>
      </c>
      <c r="E4992">
        <f>IF(D4992&lt;&gt;"KEEP","",IF(RIGHT(B4992,10)="@gmail.com","Gmail",IF(OR(RIGHT(B4992,12)="@outlook.com",RIGHT(B4992,12)="@hotmail.com",RIGHT(B4992,9)="@live.com"),"Outlook","Domain")))</f>
        <v/>
      </c>
      <c r="F4992">
        <f>IF(B4992="","",IFERROR(RIGHT(B4992,LEN(B4992)-FIND("@",B4992)),""))</f>
        <v/>
      </c>
      <c r="G4992">
        <f>IF(D4992="KEEP",COUNTIF($D$2:D4992,"KEEP"),"")</f>
        <v/>
      </c>
      <c r="H4992">
        <f>IF(D4992="REMOVE",COUNTIF($D$2:D4992,"REMOVE"),"")</f>
        <v/>
      </c>
      <c r="I4992">
        <f>IF(E4992="Gmail",COUNTIF($E$2:E4992,"Gmail"),"")</f>
        <v/>
      </c>
      <c r="J4992">
        <f>IF(E4992="Outlook",COUNTIF($E$2:E4992,"Outlook"),"")</f>
        <v/>
      </c>
      <c r="K4992">
        <f>IF(E4992="Domain",COUNTIF($E$2:E4992,"Domain"),"")</f>
        <v/>
      </c>
    </row>
    <row r="4993">
      <c r="A4993" s="2" t="n"/>
      <c r="B4993">
        <f>LOWER(TRIM(A4993))</f>
        <v/>
      </c>
      <c r="C4993">
        <f>IF(B4993="","",IFERROR(INDEX('Bad Patterns'!$A$2:$A$120,MATCH(1,INDEX(--ISNUMBER(SEARCH('Bad Patterns'!$A$2:$A$120,B4993)),0),0)),""))</f>
        <v/>
      </c>
      <c r="D4993">
        <f>IF(B4993="","",IF(C4993&lt;&gt;"","REMOVE","KEEP"))</f>
        <v/>
      </c>
      <c r="E4993">
        <f>IF(D4993&lt;&gt;"KEEP","",IF(RIGHT(B4993,10)="@gmail.com","Gmail",IF(OR(RIGHT(B4993,12)="@outlook.com",RIGHT(B4993,12)="@hotmail.com",RIGHT(B4993,9)="@live.com"),"Outlook","Domain")))</f>
        <v/>
      </c>
      <c r="F4993">
        <f>IF(B4993="","",IFERROR(RIGHT(B4993,LEN(B4993)-FIND("@",B4993)),""))</f>
        <v/>
      </c>
      <c r="G4993">
        <f>IF(D4993="KEEP",COUNTIF($D$2:D4993,"KEEP"),"")</f>
        <v/>
      </c>
      <c r="H4993">
        <f>IF(D4993="REMOVE",COUNTIF($D$2:D4993,"REMOVE"),"")</f>
        <v/>
      </c>
      <c r="I4993">
        <f>IF(E4993="Gmail",COUNTIF($E$2:E4993,"Gmail"),"")</f>
        <v/>
      </c>
      <c r="J4993">
        <f>IF(E4993="Outlook",COUNTIF($E$2:E4993,"Outlook"),"")</f>
        <v/>
      </c>
      <c r="K4993">
        <f>IF(E4993="Domain",COUNTIF($E$2:E4993,"Domain"),"")</f>
        <v/>
      </c>
    </row>
    <row r="4994">
      <c r="A4994" s="2" t="n"/>
      <c r="B4994">
        <f>LOWER(TRIM(A4994))</f>
        <v/>
      </c>
      <c r="C4994">
        <f>IF(B4994="","",IFERROR(INDEX('Bad Patterns'!$A$2:$A$120,MATCH(1,INDEX(--ISNUMBER(SEARCH('Bad Patterns'!$A$2:$A$120,B4994)),0),0)),""))</f>
        <v/>
      </c>
      <c r="D4994">
        <f>IF(B4994="","",IF(C4994&lt;&gt;"","REMOVE","KEEP"))</f>
        <v/>
      </c>
      <c r="E4994">
        <f>IF(D4994&lt;&gt;"KEEP","",IF(RIGHT(B4994,10)="@gmail.com","Gmail",IF(OR(RIGHT(B4994,12)="@outlook.com",RIGHT(B4994,12)="@hotmail.com",RIGHT(B4994,9)="@live.com"),"Outlook","Domain")))</f>
        <v/>
      </c>
      <c r="F4994">
        <f>IF(B4994="","",IFERROR(RIGHT(B4994,LEN(B4994)-FIND("@",B4994)),""))</f>
        <v/>
      </c>
      <c r="G4994">
        <f>IF(D4994="KEEP",COUNTIF($D$2:D4994,"KEEP"),"")</f>
        <v/>
      </c>
      <c r="H4994">
        <f>IF(D4994="REMOVE",COUNTIF($D$2:D4994,"REMOVE"),"")</f>
        <v/>
      </c>
      <c r="I4994">
        <f>IF(E4994="Gmail",COUNTIF($E$2:E4994,"Gmail"),"")</f>
        <v/>
      </c>
      <c r="J4994">
        <f>IF(E4994="Outlook",COUNTIF($E$2:E4994,"Outlook"),"")</f>
        <v/>
      </c>
      <c r="K4994">
        <f>IF(E4994="Domain",COUNTIF($E$2:E4994,"Domain"),"")</f>
        <v/>
      </c>
    </row>
    <row r="4995">
      <c r="A4995" s="2" t="n"/>
      <c r="B4995">
        <f>LOWER(TRIM(A4995))</f>
        <v/>
      </c>
      <c r="C4995">
        <f>IF(B4995="","",IFERROR(INDEX('Bad Patterns'!$A$2:$A$120,MATCH(1,INDEX(--ISNUMBER(SEARCH('Bad Patterns'!$A$2:$A$120,B4995)),0),0)),""))</f>
        <v/>
      </c>
      <c r="D4995">
        <f>IF(B4995="","",IF(C4995&lt;&gt;"","REMOVE","KEEP"))</f>
        <v/>
      </c>
      <c r="E4995">
        <f>IF(D4995&lt;&gt;"KEEP","",IF(RIGHT(B4995,10)="@gmail.com","Gmail",IF(OR(RIGHT(B4995,12)="@outlook.com",RIGHT(B4995,12)="@hotmail.com",RIGHT(B4995,9)="@live.com"),"Outlook","Domain")))</f>
        <v/>
      </c>
      <c r="F4995">
        <f>IF(B4995="","",IFERROR(RIGHT(B4995,LEN(B4995)-FIND("@",B4995)),""))</f>
        <v/>
      </c>
      <c r="G4995">
        <f>IF(D4995="KEEP",COUNTIF($D$2:D4995,"KEEP"),"")</f>
        <v/>
      </c>
      <c r="H4995">
        <f>IF(D4995="REMOVE",COUNTIF($D$2:D4995,"REMOVE"),"")</f>
        <v/>
      </c>
      <c r="I4995">
        <f>IF(E4995="Gmail",COUNTIF($E$2:E4995,"Gmail"),"")</f>
        <v/>
      </c>
      <c r="J4995">
        <f>IF(E4995="Outlook",COUNTIF($E$2:E4995,"Outlook"),"")</f>
        <v/>
      </c>
      <c r="K4995">
        <f>IF(E4995="Domain",COUNTIF($E$2:E4995,"Domain"),"")</f>
        <v/>
      </c>
    </row>
    <row r="4996">
      <c r="A4996" s="2" t="n"/>
      <c r="B4996">
        <f>LOWER(TRIM(A4996))</f>
        <v/>
      </c>
      <c r="C4996">
        <f>IF(B4996="","",IFERROR(INDEX('Bad Patterns'!$A$2:$A$120,MATCH(1,INDEX(--ISNUMBER(SEARCH('Bad Patterns'!$A$2:$A$120,B4996)),0),0)),""))</f>
        <v/>
      </c>
      <c r="D4996">
        <f>IF(B4996="","",IF(C4996&lt;&gt;"","REMOVE","KEEP"))</f>
        <v/>
      </c>
      <c r="E4996">
        <f>IF(D4996&lt;&gt;"KEEP","",IF(RIGHT(B4996,10)="@gmail.com","Gmail",IF(OR(RIGHT(B4996,12)="@outlook.com",RIGHT(B4996,12)="@hotmail.com",RIGHT(B4996,9)="@live.com"),"Outlook","Domain")))</f>
        <v/>
      </c>
      <c r="F4996">
        <f>IF(B4996="","",IFERROR(RIGHT(B4996,LEN(B4996)-FIND("@",B4996)),""))</f>
        <v/>
      </c>
      <c r="G4996">
        <f>IF(D4996="KEEP",COUNTIF($D$2:D4996,"KEEP"),"")</f>
        <v/>
      </c>
      <c r="H4996">
        <f>IF(D4996="REMOVE",COUNTIF($D$2:D4996,"REMOVE"),"")</f>
        <v/>
      </c>
      <c r="I4996">
        <f>IF(E4996="Gmail",COUNTIF($E$2:E4996,"Gmail"),"")</f>
        <v/>
      </c>
      <c r="J4996">
        <f>IF(E4996="Outlook",COUNTIF($E$2:E4996,"Outlook"),"")</f>
        <v/>
      </c>
      <c r="K4996">
        <f>IF(E4996="Domain",COUNTIF($E$2:E4996,"Domain"),"")</f>
        <v/>
      </c>
    </row>
    <row r="4997">
      <c r="A4997" s="2" t="n"/>
      <c r="B4997">
        <f>LOWER(TRIM(A4997))</f>
        <v/>
      </c>
      <c r="C4997">
        <f>IF(B4997="","",IFERROR(INDEX('Bad Patterns'!$A$2:$A$120,MATCH(1,INDEX(--ISNUMBER(SEARCH('Bad Patterns'!$A$2:$A$120,B4997)),0),0)),""))</f>
        <v/>
      </c>
      <c r="D4997">
        <f>IF(B4997="","",IF(C4997&lt;&gt;"","REMOVE","KEEP"))</f>
        <v/>
      </c>
      <c r="E4997">
        <f>IF(D4997&lt;&gt;"KEEP","",IF(RIGHT(B4997,10)="@gmail.com","Gmail",IF(OR(RIGHT(B4997,12)="@outlook.com",RIGHT(B4997,12)="@hotmail.com",RIGHT(B4997,9)="@live.com"),"Outlook","Domain")))</f>
        <v/>
      </c>
      <c r="F4997">
        <f>IF(B4997="","",IFERROR(RIGHT(B4997,LEN(B4997)-FIND("@",B4997)),""))</f>
        <v/>
      </c>
      <c r="G4997">
        <f>IF(D4997="KEEP",COUNTIF($D$2:D4997,"KEEP"),"")</f>
        <v/>
      </c>
      <c r="H4997">
        <f>IF(D4997="REMOVE",COUNTIF($D$2:D4997,"REMOVE"),"")</f>
        <v/>
      </c>
      <c r="I4997">
        <f>IF(E4997="Gmail",COUNTIF($E$2:E4997,"Gmail"),"")</f>
        <v/>
      </c>
      <c r="J4997">
        <f>IF(E4997="Outlook",COUNTIF($E$2:E4997,"Outlook"),"")</f>
        <v/>
      </c>
      <c r="K4997">
        <f>IF(E4997="Domain",COUNTIF($E$2:E4997,"Domain"),"")</f>
        <v/>
      </c>
    </row>
    <row r="4998">
      <c r="A4998" s="2" t="n"/>
      <c r="B4998">
        <f>LOWER(TRIM(A4998))</f>
        <v/>
      </c>
      <c r="C4998">
        <f>IF(B4998="","",IFERROR(INDEX('Bad Patterns'!$A$2:$A$120,MATCH(1,INDEX(--ISNUMBER(SEARCH('Bad Patterns'!$A$2:$A$120,B4998)),0),0)),""))</f>
        <v/>
      </c>
      <c r="D4998">
        <f>IF(B4998="","",IF(C4998&lt;&gt;"","REMOVE","KEEP"))</f>
        <v/>
      </c>
      <c r="E4998">
        <f>IF(D4998&lt;&gt;"KEEP","",IF(RIGHT(B4998,10)="@gmail.com","Gmail",IF(OR(RIGHT(B4998,12)="@outlook.com",RIGHT(B4998,12)="@hotmail.com",RIGHT(B4998,9)="@live.com"),"Outlook","Domain")))</f>
        <v/>
      </c>
      <c r="F4998">
        <f>IF(B4998="","",IFERROR(RIGHT(B4998,LEN(B4998)-FIND("@",B4998)),""))</f>
        <v/>
      </c>
      <c r="G4998">
        <f>IF(D4998="KEEP",COUNTIF($D$2:D4998,"KEEP"),"")</f>
        <v/>
      </c>
      <c r="H4998">
        <f>IF(D4998="REMOVE",COUNTIF($D$2:D4998,"REMOVE"),"")</f>
        <v/>
      </c>
      <c r="I4998">
        <f>IF(E4998="Gmail",COUNTIF($E$2:E4998,"Gmail"),"")</f>
        <v/>
      </c>
      <c r="J4998">
        <f>IF(E4998="Outlook",COUNTIF($E$2:E4998,"Outlook"),"")</f>
        <v/>
      </c>
      <c r="K4998">
        <f>IF(E4998="Domain",COUNTIF($E$2:E4998,"Domain"),"")</f>
        <v/>
      </c>
    </row>
    <row r="4999">
      <c r="A4999" s="2" t="n"/>
      <c r="B4999">
        <f>LOWER(TRIM(A4999))</f>
        <v/>
      </c>
      <c r="C4999">
        <f>IF(B4999="","",IFERROR(INDEX('Bad Patterns'!$A$2:$A$120,MATCH(1,INDEX(--ISNUMBER(SEARCH('Bad Patterns'!$A$2:$A$120,B4999)),0),0)),""))</f>
        <v/>
      </c>
      <c r="D4999">
        <f>IF(B4999="","",IF(C4999&lt;&gt;"","REMOVE","KEEP"))</f>
        <v/>
      </c>
      <c r="E4999">
        <f>IF(D4999&lt;&gt;"KEEP","",IF(RIGHT(B4999,10)="@gmail.com","Gmail",IF(OR(RIGHT(B4999,12)="@outlook.com",RIGHT(B4999,12)="@hotmail.com",RIGHT(B4999,9)="@live.com"),"Outlook","Domain")))</f>
        <v/>
      </c>
      <c r="F4999">
        <f>IF(B4999="","",IFERROR(RIGHT(B4999,LEN(B4999)-FIND("@",B4999)),""))</f>
        <v/>
      </c>
      <c r="G4999">
        <f>IF(D4999="KEEP",COUNTIF($D$2:D4999,"KEEP"),"")</f>
        <v/>
      </c>
      <c r="H4999">
        <f>IF(D4999="REMOVE",COUNTIF($D$2:D4999,"REMOVE"),"")</f>
        <v/>
      </c>
      <c r="I4999">
        <f>IF(E4999="Gmail",COUNTIF($E$2:E4999,"Gmail"),"")</f>
        <v/>
      </c>
      <c r="J4999">
        <f>IF(E4999="Outlook",COUNTIF($E$2:E4999,"Outlook"),"")</f>
        <v/>
      </c>
      <c r="K4999">
        <f>IF(E4999="Domain",COUNTIF($E$2:E4999,"Domain"),"")</f>
        <v/>
      </c>
    </row>
    <row r="5000">
      <c r="A5000" s="2" t="n"/>
      <c r="B5000">
        <f>LOWER(TRIM(A5000))</f>
        <v/>
      </c>
      <c r="C5000">
        <f>IF(B5000="","",IFERROR(INDEX('Bad Patterns'!$A$2:$A$120,MATCH(1,INDEX(--ISNUMBER(SEARCH('Bad Patterns'!$A$2:$A$120,B5000)),0),0)),""))</f>
        <v/>
      </c>
      <c r="D5000">
        <f>IF(B5000="","",IF(C5000&lt;&gt;"","REMOVE","KEEP"))</f>
        <v/>
      </c>
      <c r="E5000">
        <f>IF(D5000&lt;&gt;"KEEP","",IF(RIGHT(B5000,10)="@gmail.com","Gmail",IF(OR(RIGHT(B5000,12)="@outlook.com",RIGHT(B5000,12)="@hotmail.com",RIGHT(B5000,9)="@live.com"),"Outlook","Domain")))</f>
        <v/>
      </c>
      <c r="F5000">
        <f>IF(B5000="","",IFERROR(RIGHT(B5000,LEN(B5000)-FIND("@",B5000)),""))</f>
        <v/>
      </c>
      <c r="G5000">
        <f>IF(D5000="KEEP",COUNTIF($D$2:D5000,"KEEP"),"")</f>
        <v/>
      </c>
      <c r="H5000">
        <f>IF(D5000="REMOVE",COUNTIF($D$2:D5000,"REMOVE"),"")</f>
        <v/>
      </c>
      <c r="I5000">
        <f>IF(E5000="Gmail",COUNTIF($E$2:E5000,"Gmail"),"")</f>
        <v/>
      </c>
      <c r="J5000">
        <f>IF(E5000="Outlook",COUNTIF($E$2:E5000,"Outlook"),"")</f>
        <v/>
      </c>
      <c r="K5000">
        <f>IF(E5000="Domain",COUNTIF($E$2:E5000,"Domain"),"")</f>
        <v/>
      </c>
    </row>
    <row r="5001">
      <c r="A5001" s="2" t="n"/>
      <c r="B5001">
        <f>LOWER(TRIM(A5001))</f>
        <v/>
      </c>
      <c r="C5001">
        <f>IF(B5001="","",IFERROR(INDEX('Bad Patterns'!$A$2:$A$120,MATCH(1,INDEX(--ISNUMBER(SEARCH('Bad Patterns'!$A$2:$A$120,B5001)),0),0)),""))</f>
        <v/>
      </c>
      <c r="D5001">
        <f>IF(B5001="","",IF(C5001&lt;&gt;"","REMOVE","KEEP"))</f>
        <v/>
      </c>
      <c r="E5001">
        <f>IF(D5001&lt;&gt;"KEEP","",IF(RIGHT(B5001,10)="@gmail.com","Gmail",IF(OR(RIGHT(B5001,12)="@outlook.com",RIGHT(B5001,12)="@hotmail.com",RIGHT(B5001,9)="@live.com"),"Outlook","Domain")))</f>
        <v/>
      </c>
      <c r="F5001">
        <f>IF(B5001="","",IFERROR(RIGHT(B5001,LEN(B5001)-FIND("@",B5001)),""))</f>
        <v/>
      </c>
      <c r="G5001">
        <f>IF(D5001="KEEP",COUNTIF($D$2:D5001,"KEEP"),"")</f>
        <v/>
      </c>
      <c r="H5001">
        <f>IF(D5001="REMOVE",COUNTIF($D$2:D5001,"REMOVE"),"")</f>
        <v/>
      </c>
      <c r="I5001">
        <f>IF(E5001="Gmail",COUNTIF($E$2:E5001,"Gmail"),"")</f>
        <v/>
      </c>
      <c r="J5001">
        <f>IF(E5001="Outlook",COUNTIF($E$2:E5001,"Outlook"),"")</f>
        <v/>
      </c>
      <c r="K5001">
        <f>IF(E5001="Domain",COUNTIF($E$2:E5001,"Domain"),"")</f>
        <v/>
      </c>
    </row>
    <row r="5002">
      <c r="A5002" s="2" t="n"/>
      <c r="B5002">
        <f>LOWER(TRIM(A5002))</f>
        <v/>
      </c>
      <c r="C5002">
        <f>IF(B5002="","",IFERROR(INDEX('Bad Patterns'!$A$2:$A$120,MATCH(1,INDEX(--ISNUMBER(SEARCH('Bad Patterns'!$A$2:$A$120,B5002)),0),0)),""))</f>
        <v/>
      </c>
      <c r="D5002">
        <f>IF(B5002="","",IF(C5002&lt;&gt;"","REMOVE","KEEP"))</f>
        <v/>
      </c>
      <c r="E5002">
        <f>IF(D5002&lt;&gt;"KEEP","",IF(RIGHT(B5002,10)="@gmail.com","Gmail",IF(OR(RIGHT(B5002,12)="@outlook.com",RIGHT(B5002,12)="@hotmail.com",RIGHT(B5002,9)="@live.com"),"Outlook","Domain")))</f>
        <v/>
      </c>
      <c r="F5002">
        <f>IF(B5002="","",IFERROR(RIGHT(B5002,LEN(B5002)-FIND("@",B5002)),""))</f>
        <v/>
      </c>
      <c r="G5002">
        <f>IF(D5002="KEEP",COUNTIF($D$2:D5002,"KEEP"),"")</f>
        <v/>
      </c>
      <c r="H5002">
        <f>IF(D5002="REMOVE",COUNTIF($D$2:D5002,"REMOVE"),"")</f>
        <v/>
      </c>
      <c r="I5002">
        <f>IF(E5002="Gmail",COUNTIF($E$2:E5002,"Gmail"),"")</f>
        <v/>
      </c>
      <c r="J5002">
        <f>IF(E5002="Outlook",COUNTIF($E$2:E5002,"Outlook"),"")</f>
        <v/>
      </c>
      <c r="K5002">
        <f>IF(E5002="Domain",COUNTIF($E$2:E5002,"Domain"),"")</f>
        <v/>
      </c>
    </row>
    <row r="5003">
      <c r="A5003" s="2" t="n"/>
      <c r="B5003">
        <f>LOWER(TRIM(A5003))</f>
        <v/>
      </c>
      <c r="C5003">
        <f>IF(B5003="","",IFERROR(INDEX('Bad Patterns'!$A$2:$A$120,MATCH(1,INDEX(--ISNUMBER(SEARCH('Bad Patterns'!$A$2:$A$120,B5003)),0),0)),""))</f>
        <v/>
      </c>
      <c r="D5003">
        <f>IF(B5003="","",IF(C5003&lt;&gt;"","REMOVE","KEEP"))</f>
        <v/>
      </c>
      <c r="E5003">
        <f>IF(D5003&lt;&gt;"KEEP","",IF(RIGHT(B5003,10)="@gmail.com","Gmail",IF(OR(RIGHT(B5003,12)="@outlook.com",RIGHT(B5003,12)="@hotmail.com",RIGHT(B5003,9)="@live.com"),"Outlook","Domain")))</f>
        <v/>
      </c>
      <c r="F5003">
        <f>IF(B5003="","",IFERROR(RIGHT(B5003,LEN(B5003)-FIND("@",B5003)),""))</f>
        <v/>
      </c>
      <c r="G5003">
        <f>IF(D5003="KEEP",COUNTIF($D$2:D5003,"KEEP"),"")</f>
        <v/>
      </c>
      <c r="H5003">
        <f>IF(D5003="REMOVE",COUNTIF($D$2:D5003,"REMOVE"),"")</f>
        <v/>
      </c>
      <c r="I5003">
        <f>IF(E5003="Gmail",COUNTIF($E$2:E5003,"Gmail"),"")</f>
        <v/>
      </c>
      <c r="J5003">
        <f>IF(E5003="Outlook",COUNTIF($E$2:E5003,"Outlook"),"")</f>
        <v/>
      </c>
      <c r="K5003">
        <f>IF(E5003="Domain",COUNTIF($E$2:E5003,"Domain"),"")</f>
        <v/>
      </c>
    </row>
    <row r="5004">
      <c r="A5004" s="2" t="n"/>
      <c r="B5004">
        <f>LOWER(TRIM(A5004))</f>
        <v/>
      </c>
      <c r="C5004">
        <f>IF(B5004="","",IFERROR(INDEX('Bad Patterns'!$A$2:$A$120,MATCH(1,INDEX(--ISNUMBER(SEARCH('Bad Patterns'!$A$2:$A$120,B5004)),0),0)),""))</f>
        <v/>
      </c>
      <c r="D5004">
        <f>IF(B5004="","",IF(C5004&lt;&gt;"","REMOVE","KEEP"))</f>
        <v/>
      </c>
      <c r="E5004">
        <f>IF(D5004&lt;&gt;"KEEP","",IF(RIGHT(B5004,10)="@gmail.com","Gmail",IF(OR(RIGHT(B5004,12)="@outlook.com",RIGHT(B5004,12)="@hotmail.com",RIGHT(B5004,9)="@live.com"),"Outlook","Domain")))</f>
        <v/>
      </c>
      <c r="F5004">
        <f>IF(B5004="","",IFERROR(RIGHT(B5004,LEN(B5004)-FIND("@",B5004)),""))</f>
        <v/>
      </c>
      <c r="G5004">
        <f>IF(D5004="KEEP",COUNTIF($D$2:D5004,"KEEP"),"")</f>
        <v/>
      </c>
      <c r="H5004">
        <f>IF(D5004="REMOVE",COUNTIF($D$2:D5004,"REMOVE"),"")</f>
        <v/>
      </c>
      <c r="I5004">
        <f>IF(E5004="Gmail",COUNTIF($E$2:E5004,"Gmail"),"")</f>
        <v/>
      </c>
      <c r="J5004">
        <f>IF(E5004="Outlook",COUNTIF($E$2:E5004,"Outlook"),"")</f>
        <v/>
      </c>
      <c r="K5004">
        <f>IF(E5004="Domain",COUNTIF($E$2:E5004,"Domain"),"")</f>
        <v/>
      </c>
    </row>
    <row r="5005">
      <c r="A5005" s="2" t="n"/>
      <c r="B5005">
        <f>LOWER(TRIM(A5005))</f>
        <v/>
      </c>
      <c r="C5005">
        <f>IF(B5005="","",IFERROR(INDEX('Bad Patterns'!$A$2:$A$120,MATCH(1,INDEX(--ISNUMBER(SEARCH('Bad Patterns'!$A$2:$A$120,B5005)),0),0)),""))</f>
        <v/>
      </c>
      <c r="D5005">
        <f>IF(B5005="","",IF(C5005&lt;&gt;"","REMOVE","KEEP"))</f>
        <v/>
      </c>
      <c r="E5005">
        <f>IF(D5005&lt;&gt;"KEEP","",IF(RIGHT(B5005,10)="@gmail.com","Gmail",IF(OR(RIGHT(B5005,12)="@outlook.com",RIGHT(B5005,12)="@hotmail.com",RIGHT(B5005,9)="@live.com"),"Outlook","Domain")))</f>
        <v/>
      </c>
      <c r="F5005">
        <f>IF(B5005="","",IFERROR(RIGHT(B5005,LEN(B5005)-FIND("@",B5005)),""))</f>
        <v/>
      </c>
      <c r="G5005">
        <f>IF(D5005="KEEP",COUNTIF($D$2:D5005,"KEEP"),"")</f>
        <v/>
      </c>
      <c r="H5005">
        <f>IF(D5005="REMOVE",COUNTIF($D$2:D5005,"REMOVE"),"")</f>
        <v/>
      </c>
      <c r="I5005">
        <f>IF(E5005="Gmail",COUNTIF($E$2:E5005,"Gmail"),"")</f>
        <v/>
      </c>
      <c r="J5005">
        <f>IF(E5005="Outlook",COUNTIF($E$2:E5005,"Outlook"),"")</f>
        <v/>
      </c>
      <c r="K5005">
        <f>IF(E5005="Domain",COUNTIF($E$2:E5005,"Domain"),"")</f>
        <v/>
      </c>
    </row>
    <row r="5006">
      <c r="A5006" s="2" t="n"/>
      <c r="B5006">
        <f>LOWER(TRIM(A5006))</f>
        <v/>
      </c>
      <c r="C5006">
        <f>IF(B5006="","",IFERROR(INDEX('Bad Patterns'!$A$2:$A$120,MATCH(1,INDEX(--ISNUMBER(SEARCH('Bad Patterns'!$A$2:$A$120,B5006)),0),0)),""))</f>
        <v/>
      </c>
      <c r="D5006">
        <f>IF(B5006="","",IF(C5006&lt;&gt;"","REMOVE","KEEP"))</f>
        <v/>
      </c>
      <c r="E5006">
        <f>IF(D5006&lt;&gt;"KEEP","",IF(RIGHT(B5006,10)="@gmail.com","Gmail",IF(OR(RIGHT(B5006,12)="@outlook.com",RIGHT(B5006,12)="@hotmail.com",RIGHT(B5006,9)="@live.com"),"Outlook","Domain")))</f>
        <v/>
      </c>
      <c r="F5006">
        <f>IF(B5006="","",IFERROR(RIGHT(B5006,LEN(B5006)-FIND("@",B5006)),""))</f>
        <v/>
      </c>
      <c r="G5006">
        <f>IF(D5006="KEEP",COUNTIF($D$2:D5006,"KEEP"),"")</f>
        <v/>
      </c>
      <c r="H5006">
        <f>IF(D5006="REMOVE",COUNTIF($D$2:D5006,"REMOVE"),"")</f>
        <v/>
      </c>
      <c r="I5006">
        <f>IF(E5006="Gmail",COUNTIF($E$2:E5006,"Gmail"),"")</f>
        <v/>
      </c>
      <c r="J5006">
        <f>IF(E5006="Outlook",COUNTIF($E$2:E5006,"Outlook"),"")</f>
        <v/>
      </c>
      <c r="K5006">
        <f>IF(E5006="Domain",COUNTIF($E$2:E5006,"Domain"),"")</f>
        <v/>
      </c>
    </row>
    <row r="5007">
      <c r="A5007" s="2" t="n"/>
      <c r="B5007">
        <f>LOWER(TRIM(A5007))</f>
        <v/>
      </c>
      <c r="C5007">
        <f>IF(B5007="","",IFERROR(INDEX('Bad Patterns'!$A$2:$A$120,MATCH(1,INDEX(--ISNUMBER(SEARCH('Bad Patterns'!$A$2:$A$120,B5007)),0),0)),""))</f>
        <v/>
      </c>
      <c r="D5007">
        <f>IF(B5007="","",IF(C5007&lt;&gt;"","REMOVE","KEEP"))</f>
        <v/>
      </c>
      <c r="E5007">
        <f>IF(D5007&lt;&gt;"KEEP","",IF(RIGHT(B5007,10)="@gmail.com","Gmail",IF(OR(RIGHT(B5007,12)="@outlook.com",RIGHT(B5007,12)="@hotmail.com",RIGHT(B5007,9)="@live.com"),"Outlook","Domain")))</f>
        <v/>
      </c>
      <c r="F5007">
        <f>IF(B5007="","",IFERROR(RIGHT(B5007,LEN(B5007)-FIND("@",B5007)),""))</f>
        <v/>
      </c>
      <c r="G5007">
        <f>IF(D5007="KEEP",COUNTIF($D$2:D5007,"KEEP"),"")</f>
        <v/>
      </c>
      <c r="H5007">
        <f>IF(D5007="REMOVE",COUNTIF($D$2:D5007,"REMOVE"),"")</f>
        <v/>
      </c>
      <c r="I5007">
        <f>IF(E5007="Gmail",COUNTIF($E$2:E5007,"Gmail"),"")</f>
        <v/>
      </c>
      <c r="J5007">
        <f>IF(E5007="Outlook",COUNTIF($E$2:E5007,"Outlook"),"")</f>
        <v/>
      </c>
      <c r="K5007">
        <f>IF(E5007="Domain",COUNTIF($E$2:E5007,"Domain"),"")</f>
        <v/>
      </c>
    </row>
    <row r="5008">
      <c r="A5008" s="2" t="n"/>
      <c r="B5008">
        <f>LOWER(TRIM(A5008))</f>
        <v/>
      </c>
      <c r="C5008">
        <f>IF(B5008="","",IFERROR(INDEX('Bad Patterns'!$A$2:$A$120,MATCH(1,INDEX(--ISNUMBER(SEARCH('Bad Patterns'!$A$2:$A$120,B5008)),0),0)),""))</f>
        <v/>
      </c>
      <c r="D5008">
        <f>IF(B5008="","",IF(C5008&lt;&gt;"","REMOVE","KEEP"))</f>
        <v/>
      </c>
      <c r="E5008">
        <f>IF(D5008&lt;&gt;"KEEP","",IF(RIGHT(B5008,10)="@gmail.com","Gmail",IF(OR(RIGHT(B5008,12)="@outlook.com",RIGHT(B5008,12)="@hotmail.com",RIGHT(B5008,9)="@live.com"),"Outlook","Domain")))</f>
        <v/>
      </c>
      <c r="F5008">
        <f>IF(B5008="","",IFERROR(RIGHT(B5008,LEN(B5008)-FIND("@",B5008)),""))</f>
        <v/>
      </c>
      <c r="G5008">
        <f>IF(D5008="KEEP",COUNTIF($D$2:D5008,"KEEP"),"")</f>
        <v/>
      </c>
      <c r="H5008">
        <f>IF(D5008="REMOVE",COUNTIF($D$2:D5008,"REMOVE"),"")</f>
        <v/>
      </c>
      <c r="I5008">
        <f>IF(E5008="Gmail",COUNTIF($E$2:E5008,"Gmail"),"")</f>
        <v/>
      </c>
      <c r="J5008">
        <f>IF(E5008="Outlook",COUNTIF($E$2:E5008,"Outlook"),"")</f>
        <v/>
      </c>
      <c r="K5008">
        <f>IF(E5008="Domain",COUNTIF($E$2:E5008,"Domain"),"")</f>
        <v/>
      </c>
    </row>
    <row r="5009">
      <c r="A5009" s="2" t="n"/>
      <c r="B5009">
        <f>LOWER(TRIM(A5009))</f>
        <v/>
      </c>
      <c r="C5009">
        <f>IF(B5009="","",IFERROR(INDEX('Bad Patterns'!$A$2:$A$120,MATCH(1,INDEX(--ISNUMBER(SEARCH('Bad Patterns'!$A$2:$A$120,B5009)),0),0)),""))</f>
        <v/>
      </c>
      <c r="D5009">
        <f>IF(B5009="","",IF(C5009&lt;&gt;"","REMOVE","KEEP"))</f>
        <v/>
      </c>
      <c r="E5009">
        <f>IF(D5009&lt;&gt;"KEEP","",IF(RIGHT(B5009,10)="@gmail.com","Gmail",IF(OR(RIGHT(B5009,12)="@outlook.com",RIGHT(B5009,12)="@hotmail.com",RIGHT(B5009,9)="@live.com"),"Outlook","Domain")))</f>
        <v/>
      </c>
      <c r="F5009">
        <f>IF(B5009="","",IFERROR(RIGHT(B5009,LEN(B5009)-FIND("@",B5009)),""))</f>
        <v/>
      </c>
      <c r="G5009">
        <f>IF(D5009="KEEP",COUNTIF($D$2:D5009,"KEEP"),"")</f>
        <v/>
      </c>
      <c r="H5009">
        <f>IF(D5009="REMOVE",COUNTIF($D$2:D5009,"REMOVE"),"")</f>
        <v/>
      </c>
      <c r="I5009">
        <f>IF(E5009="Gmail",COUNTIF($E$2:E5009,"Gmail"),"")</f>
        <v/>
      </c>
      <c r="J5009">
        <f>IF(E5009="Outlook",COUNTIF($E$2:E5009,"Outlook"),"")</f>
        <v/>
      </c>
      <c r="K5009">
        <f>IF(E5009="Domain",COUNTIF($E$2:E5009,"Domain"),"")</f>
        <v/>
      </c>
    </row>
    <row r="5010">
      <c r="A5010" s="2" t="n"/>
      <c r="B5010">
        <f>LOWER(TRIM(A5010))</f>
        <v/>
      </c>
      <c r="C5010">
        <f>IF(B5010="","",IFERROR(INDEX('Bad Patterns'!$A$2:$A$120,MATCH(1,INDEX(--ISNUMBER(SEARCH('Bad Patterns'!$A$2:$A$120,B5010)),0),0)),""))</f>
        <v/>
      </c>
      <c r="D5010">
        <f>IF(B5010="","",IF(C5010&lt;&gt;"","REMOVE","KEEP"))</f>
        <v/>
      </c>
      <c r="E5010">
        <f>IF(D5010&lt;&gt;"KEEP","",IF(RIGHT(B5010,10)="@gmail.com","Gmail",IF(OR(RIGHT(B5010,12)="@outlook.com",RIGHT(B5010,12)="@hotmail.com",RIGHT(B5010,9)="@live.com"),"Outlook","Domain")))</f>
        <v/>
      </c>
      <c r="F5010">
        <f>IF(B5010="","",IFERROR(RIGHT(B5010,LEN(B5010)-FIND("@",B5010)),""))</f>
        <v/>
      </c>
      <c r="G5010">
        <f>IF(D5010="KEEP",COUNTIF($D$2:D5010,"KEEP"),"")</f>
        <v/>
      </c>
      <c r="H5010">
        <f>IF(D5010="REMOVE",COUNTIF($D$2:D5010,"REMOVE"),"")</f>
        <v/>
      </c>
      <c r="I5010">
        <f>IF(E5010="Gmail",COUNTIF($E$2:E5010,"Gmail"),"")</f>
        <v/>
      </c>
      <c r="J5010">
        <f>IF(E5010="Outlook",COUNTIF($E$2:E5010,"Outlook"),"")</f>
        <v/>
      </c>
      <c r="K5010">
        <f>IF(E5010="Domain",COUNTIF($E$2:E5010,"Domain"),"")</f>
        <v/>
      </c>
    </row>
    <row r="5011">
      <c r="A5011" s="2" t="n"/>
      <c r="B5011">
        <f>LOWER(TRIM(A5011))</f>
        <v/>
      </c>
      <c r="C5011">
        <f>IF(B5011="","",IFERROR(INDEX('Bad Patterns'!$A$2:$A$120,MATCH(1,INDEX(--ISNUMBER(SEARCH('Bad Patterns'!$A$2:$A$120,B5011)),0),0)),""))</f>
        <v/>
      </c>
      <c r="D5011">
        <f>IF(B5011="","",IF(C5011&lt;&gt;"","REMOVE","KEEP"))</f>
        <v/>
      </c>
      <c r="E5011">
        <f>IF(D5011&lt;&gt;"KEEP","",IF(RIGHT(B5011,10)="@gmail.com","Gmail",IF(OR(RIGHT(B5011,12)="@outlook.com",RIGHT(B5011,12)="@hotmail.com",RIGHT(B5011,9)="@live.com"),"Outlook","Domain")))</f>
        <v/>
      </c>
      <c r="F5011">
        <f>IF(B5011="","",IFERROR(RIGHT(B5011,LEN(B5011)-FIND("@",B5011)),""))</f>
        <v/>
      </c>
      <c r="G5011">
        <f>IF(D5011="KEEP",COUNTIF($D$2:D5011,"KEEP"),"")</f>
        <v/>
      </c>
      <c r="H5011">
        <f>IF(D5011="REMOVE",COUNTIF($D$2:D5011,"REMOVE"),"")</f>
        <v/>
      </c>
      <c r="I5011">
        <f>IF(E5011="Gmail",COUNTIF($E$2:E5011,"Gmail"),"")</f>
        <v/>
      </c>
      <c r="J5011">
        <f>IF(E5011="Outlook",COUNTIF($E$2:E5011,"Outlook"),"")</f>
        <v/>
      </c>
      <c r="K5011">
        <f>IF(E5011="Domain",COUNTIF($E$2:E5011,"Domain"),"")</f>
        <v/>
      </c>
    </row>
    <row r="5012">
      <c r="A5012" s="2" t="n"/>
      <c r="B5012">
        <f>LOWER(TRIM(A5012))</f>
        <v/>
      </c>
      <c r="C5012">
        <f>IF(B5012="","",IFERROR(INDEX('Bad Patterns'!$A$2:$A$120,MATCH(1,INDEX(--ISNUMBER(SEARCH('Bad Patterns'!$A$2:$A$120,B5012)),0),0)),""))</f>
        <v/>
      </c>
      <c r="D5012">
        <f>IF(B5012="","",IF(C5012&lt;&gt;"","REMOVE","KEEP"))</f>
        <v/>
      </c>
      <c r="E5012">
        <f>IF(D5012&lt;&gt;"KEEP","",IF(RIGHT(B5012,10)="@gmail.com","Gmail",IF(OR(RIGHT(B5012,12)="@outlook.com",RIGHT(B5012,12)="@hotmail.com",RIGHT(B5012,9)="@live.com"),"Outlook","Domain")))</f>
        <v/>
      </c>
      <c r="F5012">
        <f>IF(B5012="","",IFERROR(RIGHT(B5012,LEN(B5012)-FIND("@",B5012)),""))</f>
        <v/>
      </c>
      <c r="G5012">
        <f>IF(D5012="KEEP",COUNTIF($D$2:D5012,"KEEP"),"")</f>
        <v/>
      </c>
      <c r="H5012">
        <f>IF(D5012="REMOVE",COUNTIF($D$2:D5012,"REMOVE"),"")</f>
        <v/>
      </c>
      <c r="I5012">
        <f>IF(E5012="Gmail",COUNTIF($E$2:E5012,"Gmail"),"")</f>
        <v/>
      </c>
      <c r="J5012">
        <f>IF(E5012="Outlook",COUNTIF($E$2:E5012,"Outlook"),"")</f>
        <v/>
      </c>
      <c r="K5012">
        <f>IF(E5012="Domain",COUNTIF($E$2:E5012,"Domain"),"")</f>
        <v/>
      </c>
    </row>
    <row r="5013">
      <c r="A5013" s="2" t="n"/>
      <c r="B5013">
        <f>LOWER(TRIM(A5013))</f>
        <v/>
      </c>
      <c r="C5013">
        <f>IF(B5013="","",IFERROR(INDEX('Bad Patterns'!$A$2:$A$120,MATCH(1,INDEX(--ISNUMBER(SEARCH('Bad Patterns'!$A$2:$A$120,B5013)),0),0)),""))</f>
        <v/>
      </c>
      <c r="D5013">
        <f>IF(B5013="","",IF(C5013&lt;&gt;"","REMOVE","KEEP"))</f>
        <v/>
      </c>
      <c r="E5013">
        <f>IF(D5013&lt;&gt;"KEEP","",IF(RIGHT(B5013,10)="@gmail.com","Gmail",IF(OR(RIGHT(B5013,12)="@outlook.com",RIGHT(B5013,12)="@hotmail.com",RIGHT(B5013,9)="@live.com"),"Outlook","Domain")))</f>
        <v/>
      </c>
      <c r="F5013">
        <f>IF(B5013="","",IFERROR(RIGHT(B5013,LEN(B5013)-FIND("@",B5013)),""))</f>
        <v/>
      </c>
      <c r="G5013">
        <f>IF(D5013="KEEP",COUNTIF($D$2:D5013,"KEEP"),"")</f>
        <v/>
      </c>
      <c r="H5013">
        <f>IF(D5013="REMOVE",COUNTIF($D$2:D5013,"REMOVE"),"")</f>
        <v/>
      </c>
      <c r="I5013">
        <f>IF(E5013="Gmail",COUNTIF($E$2:E5013,"Gmail"),"")</f>
        <v/>
      </c>
      <c r="J5013">
        <f>IF(E5013="Outlook",COUNTIF($E$2:E5013,"Outlook"),"")</f>
        <v/>
      </c>
      <c r="K5013">
        <f>IF(E5013="Domain",COUNTIF($E$2:E5013,"Domain"),"")</f>
        <v/>
      </c>
    </row>
    <row r="5014">
      <c r="A5014" s="2" t="n"/>
      <c r="B5014">
        <f>LOWER(TRIM(A5014))</f>
        <v/>
      </c>
      <c r="C5014">
        <f>IF(B5014="","",IFERROR(INDEX('Bad Patterns'!$A$2:$A$120,MATCH(1,INDEX(--ISNUMBER(SEARCH('Bad Patterns'!$A$2:$A$120,B5014)),0),0)),""))</f>
        <v/>
      </c>
      <c r="D5014">
        <f>IF(B5014="","",IF(C5014&lt;&gt;"","REMOVE","KEEP"))</f>
        <v/>
      </c>
      <c r="E5014">
        <f>IF(D5014&lt;&gt;"KEEP","",IF(RIGHT(B5014,10)="@gmail.com","Gmail",IF(OR(RIGHT(B5014,12)="@outlook.com",RIGHT(B5014,12)="@hotmail.com",RIGHT(B5014,9)="@live.com"),"Outlook","Domain")))</f>
        <v/>
      </c>
      <c r="F5014">
        <f>IF(B5014="","",IFERROR(RIGHT(B5014,LEN(B5014)-FIND("@",B5014)),""))</f>
        <v/>
      </c>
      <c r="G5014">
        <f>IF(D5014="KEEP",COUNTIF($D$2:D5014,"KEEP"),"")</f>
        <v/>
      </c>
      <c r="H5014">
        <f>IF(D5014="REMOVE",COUNTIF($D$2:D5014,"REMOVE"),"")</f>
        <v/>
      </c>
      <c r="I5014">
        <f>IF(E5014="Gmail",COUNTIF($E$2:E5014,"Gmail"),"")</f>
        <v/>
      </c>
      <c r="J5014">
        <f>IF(E5014="Outlook",COUNTIF($E$2:E5014,"Outlook"),"")</f>
        <v/>
      </c>
      <c r="K5014">
        <f>IF(E5014="Domain",COUNTIF($E$2:E5014,"Domain"),"")</f>
        <v/>
      </c>
    </row>
    <row r="5015">
      <c r="A5015" s="2" t="n"/>
      <c r="B5015">
        <f>LOWER(TRIM(A5015))</f>
        <v/>
      </c>
      <c r="C5015">
        <f>IF(B5015="","",IFERROR(INDEX('Bad Patterns'!$A$2:$A$120,MATCH(1,INDEX(--ISNUMBER(SEARCH('Bad Patterns'!$A$2:$A$120,B5015)),0),0)),""))</f>
        <v/>
      </c>
      <c r="D5015">
        <f>IF(B5015="","",IF(C5015&lt;&gt;"","REMOVE","KEEP"))</f>
        <v/>
      </c>
      <c r="E5015">
        <f>IF(D5015&lt;&gt;"KEEP","",IF(RIGHT(B5015,10)="@gmail.com","Gmail",IF(OR(RIGHT(B5015,12)="@outlook.com",RIGHT(B5015,12)="@hotmail.com",RIGHT(B5015,9)="@live.com"),"Outlook","Domain")))</f>
        <v/>
      </c>
      <c r="F5015">
        <f>IF(B5015="","",IFERROR(RIGHT(B5015,LEN(B5015)-FIND("@",B5015)),""))</f>
        <v/>
      </c>
      <c r="G5015">
        <f>IF(D5015="KEEP",COUNTIF($D$2:D5015,"KEEP"),"")</f>
        <v/>
      </c>
      <c r="H5015">
        <f>IF(D5015="REMOVE",COUNTIF($D$2:D5015,"REMOVE"),"")</f>
        <v/>
      </c>
      <c r="I5015">
        <f>IF(E5015="Gmail",COUNTIF($E$2:E5015,"Gmail"),"")</f>
        <v/>
      </c>
      <c r="J5015">
        <f>IF(E5015="Outlook",COUNTIF($E$2:E5015,"Outlook"),"")</f>
        <v/>
      </c>
      <c r="K5015">
        <f>IF(E5015="Domain",COUNTIF($E$2:E5015,"Domain"),"")</f>
        <v/>
      </c>
    </row>
    <row r="5016">
      <c r="A5016" s="2" t="n"/>
      <c r="B5016">
        <f>LOWER(TRIM(A5016))</f>
        <v/>
      </c>
      <c r="C5016">
        <f>IF(B5016="","",IFERROR(INDEX('Bad Patterns'!$A$2:$A$120,MATCH(1,INDEX(--ISNUMBER(SEARCH('Bad Patterns'!$A$2:$A$120,B5016)),0),0)),""))</f>
        <v/>
      </c>
      <c r="D5016">
        <f>IF(B5016="","",IF(C5016&lt;&gt;"","REMOVE","KEEP"))</f>
        <v/>
      </c>
      <c r="E5016">
        <f>IF(D5016&lt;&gt;"KEEP","",IF(RIGHT(B5016,10)="@gmail.com","Gmail",IF(OR(RIGHT(B5016,12)="@outlook.com",RIGHT(B5016,12)="@hotmail.com",RIGHT(B5016,9)="@live.com"),"Outlook","Domain")))</f>
        <v/>
      </c>
      <c r="F5016">
        <f>IF(B5016="","",IFERROR(RIGHT(B5016,LEN(B5016)-FIND("@",B5016)),""))</f>
        <v/>
      </c>
      <c r="G5016">
        <f>IF(D5016="KEEP",COUNTIF($D$2:D5016,"KEEP"),"")</f>
        <v/>
      </c>
      <c r="H5016">
        <f>IF(D5016="REMOVE",COUNTIF($D$2:D5016,"REMOVE"),"")</f>
        <v/>
      </c>
      <c r="I5016">
        <f>IF(E5016="Gmail",COUNTIF($E$2:E5016,"Gmail"),"")</f>
        <v/>
      </c>
      <c r="J5016">
        <f>IF(E5016="Outlook",COUNTIF($E$2:E5016,"Outlook"),"")</f>
        <v/>
      </c>
      <c r="K5016">
        <f>IF(E5016="Domain",COUNTIF($E$2:E5016,"Domain"),"")</f>
        <v/>
      </c>
    </row>
    <row r="5017">
      <c r="A5017" s="2" t="n"/>
      <c r="B5017">
        <f>LOWER(TRIM(A5017))</f>
        <v/>
      </c>
      <c r="C5017">
        <f>IF(B5017="","",IFERROR(INDEX('Bad Patterns'!$A$2:$A$120,MATCH(1,INDEX(--ISNUMBER(SEARCH('Bad Patterns'!$A$2:$A$120,B5017)),0),0)),""))</f>
        <v/>
      </c>
      <c r="D5017">
        <f>IF(B5017="","",IF(C5017&lt;&gt;"","REMOVE","KEEP"))</f>
        <v/>
      </c>
      <c r="E5017">
        <f>IF(D5017&lt;&gt;"KEEP","",IF(RIGHT(B5017,10)="@gmail.com","Gmail",IF(OR(RIGHT(B5017,12)="@outlook.com",RIGHT(B5017,12)="@hotmail.com",RIGHT(B5017,9)="@live.com"),"Outlook","Domain")))</f>
        <v/>
      </c>
      <c r="F5017">
        <f>IF(B5017="","",IFERROR(RIGHT(B5017,LEN(B5017)-FIND("@",B5017)),""))</f>
        <v/>
      </c>
      <c r="G5017">
        <f>IF(D5017="KEEP",COUNTIF($D$2:D5017,"KEEP"),"")</f>
        <v/>
      </c>
      <c r="H5017">
        <f>IF(D5017="REMOVE",COUNTIF($D$2:D5017,"REMOVE"),"")</f>
        <v/>
      </c>
      <c r="I5017">
        <f>IF(E5017="Gmail",COUNTIF($E$2:E5017,"Gmail"),"")</f>
        <v/>
      </c>
      <c r="J5017">
        <f>IF(E5017="Outlook",COUNTIF($E$2:E5017,"Outlook"),"")</f>
        <v/>
      </c>
      <c r="K5017">
        <f>IF(E5017="Domain",COUNTIF($E$2:E5017,"Domain"),"")</f>
        <v/>
      </c>
    </row>
    <row r="5018">
      <c r="A5018" s="2" t="n"/>
      <c r="B5018">
        <f>LOWER(TRIM(A5018))</f>
        <v/>
      </c>
      <c r="C5018">
        <f>IF(B5018="","",IFERROR(INDEX('Bad Patterns'!$A$2:$A$120,MATCH(1,INDEX(--ISNUMBER(SEARCH('Bad Patterns'!$A$2:$A$120,B5018)),0),0)),""))</f>
        <v/>
      </c>
      <c r="D5018">
        <f>IF(B5018="","",IF(C5018&lt;&gt;"","REMOVE","KEEP"))</f>
        <v/>
      </c>
      <c r="E5018">
        <f>IF(D5018&lt;&gt;"KEEP","",IF(RIGHT(B5018,10)="@gmail.com","Gmail",IF(OR(RIGHT(B5018,12)="@outlook.com",RIGHT(B5018,12)="@hotmail.com",RIGHT(B5018,9)="@live.com"),"Outlook","Domain")))</f>
        <v/>
      </c>
      <c r="F5018">
        <f>IF(B5018="","",IFERROR(RIGHT(B5018,LEN(B5018)-FIND("@",B5018)),""))</f>
        <v/>
      </c>
      <c r="G5018">
        <f>IF(D5018="KEEP",COUNTIF($D$2:D5018,"KEEP"),"")</f>
        <v/>
      </c>
      <c r="H5018">
        <f>IF(D5018="REMOVE",COUNTIF($D$2:D5018,"REMOVE"),"")</f>
        <v/>
      </c>
      <c r="I5018">
        <f>IF(E5018="Gmail",COUNTIF($E$2:E5018,"Gmail"),"")</f>
        <v/>
      </c>
      <c r="J5018">
        <f>IF(E5018="Outlook",COUNTIF($E$2:E5018,"Outlook"),"")</f>
        <v/>
      </c>
      <c r="K5018">
        <f>IF(E5018="Domain",COUNTIF($E$2:E5018,"Domain"),"")</f>
        <v/>
      </c>
    </row>
    <row r="5019">
      <c r="A5019" s="2" t="n"/>
      <c r="B5019">
        <f>LOWER(TRIM(A5019))</f>
        <v/>
      </c>
      <c r="C5019">
        <f>IF(B5019="","",IFERROR(INDEX('Bad Patterns'!$A$2:$A$120,MATCH(1,INDEX(--ISNUMBER(SEARCH('Bad Patterns'!$A$2:$A$120,B5019)),0),0)),""))</f>
        <v/>
      </c>
      <c r="D5019">
        <f>IF(B5019="","",IF(C5019&lt;&gt;"","REMOVE","KEEP"))</f>
        <v/>
      </c>
      <c r="E5019">
        <f>IF(D5019&lt;&gt;"KEEP","",IF(RIGHT(B5019,10)="@gmail.com","Gmail",IF(OR(RIGHT(B5019,12)="@outlook.com",RIGHT(B5019,12)="@hotmail.com",RIGHT(B5019,9)="@live.com"),"Outlook","Domain")))</f>
        <v/>
      </c>
      <c r="F5019">
        <f>IF(B5019="","",IFERROR(RIGHT(B5019,LEN(B5019)-FIND("@",B5019)),""))</f>
        <v/>
      </c>
      <c r="G5019">
        <f>IF(D5019="KEEP",COUNTIF($D$2:D5019,"KEEP"),"")</f>
        <v/>
      </c>
      <c r="H5019">
        <f>IF(D5019="REMOVE",COUNTIF($D$2:D5019,"REMOVE"),"")</f>
        <v/>
      </c>
      <c r="I5019">
        <f>IF(E5019="Gmail",COUNTIF($E$2:E5019,"Gmail"),"")</f>
        <v/>
      </c>
      <c r="J5019">
        <f>IF(E5019="Outlook",COUNTIF($E$2:E5019,"Outlook"),"")</f>
        <v/>
      </c>
      <c r="K5019">
        <f>IF(E5019="Domain",COUNTIF($E$2:E5019,"Domain"),"")</f>
        <v/>
      </c>
    </row>
    <row r="5020">
      <c r="A5020" s="2" t="n"/>
      <c r="B5020">
        <f>LOWER(TRIM(A5020))</f>
        <v/>
      </c>
      <c r="C5020">
        <f>IF(B5020="","",IFERROR(INDEX('Bad Patterns'!$A$2:$A$120,MATCH(1,INDEX(--ISNUMBER(SEARCH('Bad Patterns'!$A$2:$A$120,B5020)),0),0)),""))</f>
        <v/>
      </c>
      <c r="D5020">
        <f>IF(B5020="","",IF(C5020&lt;&gt;"","REMOVE","KEEP"))</f>
        <v/>
      </c>
      <c r="E5020">
        <f>IF(D5020&lt;&gt;"KEEP","",IF(RIGHT(B5020,10)="@gmail.com","Gmail",IF(OR(RIGHT(B5020,12)="@outlook.com",RIGHT(B5020,12)="@hotmail.com",RIGHT(B5020,9)="@live.com"),"Outlook","Domain")))</f>
        <v/>
      </c>
      <c r="F5020">
        <f>IF(B5020="","",IFERROR(RIGHT(B5020,LEN(B5020)-FIND("@",B5020)),""))</f>
        <v/>
      </c>
      <c r="G5020">
        <f>IF(D5020="KEEP",COUNTIF($D$2:D5020,"KEEP"),"")</f>
        <v/>
      </c>
      <c r="H5020">
        <f>IF(D5020="REMOVE",COUNTIF($D$2:D5020,"REMOVE"),"")</f>
        <v/>
      </c>
      <c r="I5020">
        <f>IF(E5020="Gmail",COUNTIF($E$2:E5020,"Gmail"),"")</f>
        <v/>
      </c>
      <c r="J5020">
        <f>IF(E5020="Outlook",COUNTIF($E$2:E5020,"Outlook"),"")</f>
        <v/>
      </c>
      <c r="K5020">
        <f>IF(E5020="Domain",COUNTIF($E$2:E5020,"Domain"),"")</f>
        <v/>
      </c>
    </row>
    <row r="5021">
      <c r="A5021" s="2" t="n"/>
      <c r="B5021">
        <f>LOWER(TRIM(A5021))</f>
        <v/>
      </c>
      <c r="C5021">
        <f>IF(B5021="","",IFERROR(INDEX('Bad Patterns'!$A$2:$A$120,MATCH(1,INDEX(--ISNUMBER(SEARCH('Bad Patterns'!$A$2:$A$120,B5021)),0),0)),""))</f>
        <v/>
      </c>
      <c r="D5021">
        <f>IF(B5021="","",IF(C5021&lt;&gt;"","REMOVE","KEEP"))</f>
        <v/>
      </c>
      <c r="E5021">
        <f>IF(D5021&lt;&gt;"KEEP","",IF(RIGHT(B5021,10)="@gmail.com","Gmail",IF(OR(RIGHT(B5021,12)="@outlook.com",RIGHT(B5021,12)="@hotmail.com",RIGHT(B5021,9)="@live.com"),"Outlook","Domain")))</f>
        <v/>
      </c>
      <c r="F5021">
        <f>IF(B5021="","",IFERROR(RIGHT(B5021,LEN(B5021)-FIND("@",B5021)),""))</f>
        <v/>
      </c>
      <c r="G5021">
        <f>IF(D5021="KEEP",COUNTIF($D$2:D5021,"KEEP"),"")</f>
        <v/>
      </c>
      <c r="H5021">
        <f>IF(D5021="REMOVE",COUNTIF($D$2:D5021,"REMOVE"),"")</f>
        <v/>
      </c>
      <c r="I5021">
        <f>IF(E5021="Gmail",COUNTIF($E$2:E5021,"Gmail"),"")</f>
        <v/>
      </c>
      <c r="J5021">
        <f>IF(E5021="Outlook",COUNTIF($E$2:E5021,"Outlook"),"")</f>
        <v/>
      </c>
      <c r="K5021">
        <f>IF(E5021="Domain",COUNTIF($E$2:E5021,"Domain"),"")</f>
        <v/>
      </c>
    </row>
    <row r="5022">
      <c r="A5022" s="2" t="n"/>
      <c r="B5022">
        <f>LOWER(TRIM(A5022))</f>
        <v/>
      </c>
      <c r="C5022">
        <f>IF(B5022="","",IFERROR(INDEX('Bad Patterns'!$A$2:$A$120,MATCH(1,INDEX(--ISNUMBER(SEARCH('Bad Patterns'!$A$2:$A$120,B5022)),0),0)),""))</f>
        <v/>
      </c>
      <c r="D5022">
        <f>IF(B5022="","",IF(C5022&lt;&gt;"","REMOVE","KEEP"))</f>
        <v/>
      </c>
      <c r="E5022">
        <f>IF(D5022&lt;&gt;"KEEP","",IF(RIGHT(B5022,10)="@gmail.com","Gmail",IF(OR(RIGHT(B5022,12)="@outlook.com",RIGHT(B5022,12)="@hotmail.com",RIGHT(B5022,9)="@live.com"),"Outlook","Domain")))</f>
        <v/>
      </c>
      <c r="F5022">
        <f>IF(B5022="","",IFERROR(RIGHT(B5022,LEN(B5022)-FIND("@",B5022)),""))</f>
        <v/>
      </c>
      <c r="G5022">
        <f>IF(D5022="KEEP",COUNTIF($D$2:D5022,"KEEP"),"")</f>
        <v/>
      </c>
      <c r="H5022">
        <f>IF(D5022="REMOVE",COUNTIF($D$2:D5022,"REMOVE"),"")</f>
        <v/>
      </c>
      <c r="I5022">
        <f>IF(E5022="Gmail",COUNTIF($E$2:E5022,"Gmail"),"")</f>
        <v/>
      </c>
      <c r="J5022">
        <f>IF(E5022="Outlook",COUNTIF($E$2:E5022,"Outlook"),"")</f>
        <v/>
      </c>
      <c r="K5022">
        <f>IF(E5022="Domain",COUNTIF($E$2:E5022,"Domain"),"")</f>
        <v/>
      </c>
    </row>
    <row r="5023">
      <c r="A5023" s="2" t="n"/>
      <c r="B5023">
        <f>LOWER(TRIM(A5023))</f>
        <v/>
      </c>
      <c r="C5023">
        <f>IF(B5023="","",IFERROR(INDEX('Bad Patterns'!$A$2:$A$120,MATCH(1,INDEX(--ISNUMBER(SEARCH('Bad Patterns'!$A$2:$A$120,B5023)),0),0)),""))</f>
        <v/>
      </c>
      <c r="D5023">
        <f>IF(B5023="","",IF(C5023&lt;&gt;"","REMOVE","KEEP"))</f>
        <v/>
      </c>
      <c r="E5023">
        <f>IF(D5023&lt;&gt;"KEEP","",IF(RIGHT(B5023,10)="@gmail.com","Gmail",IF(OR(RIGHT(B5023,12)="@outlook.com",RIGHT(B5023,12)="@hotmail.com",RIGHT(B5023,9)="@live.com"),"Outlook","Domain")))</f>
        <v/>
      </c>
      <c r="F5023">
        <f>IF(B5023="","",IFERROR(RIGHT(B5023,LEN(B5023)-FIND("@",B5023)),""))</f>
        <v/>
      </c>
      <c r="G5023">
        <f>IF(D5023="KEEP",COUNTIF($D$2:D5023,"KEEP"),"")</f>
        <v/>
      </c>
      <c r="H5023">
        <f>IF(D5023="REMOVE",COUNTIF($D$2:D5023,"REMOVE"),"")</f>
        <v/>
      </c>
      <c r="I5023">
        <f>IF(E5023="Gmail",COUNTIF($E$2:E5023,"Gmail"),"")</f>
        <v/>
      </c>
      <c r="J5023">
        <f>IF(E5023="Outlook",COUNTIF($E$2:E5023,"Outlook"),"")</f>
        <v/>
      </c>
      <c r="K5023">
        <f>IF(E5023="Domain",COUNTIF($E$2:E5023,"Domain"),"")</f>
        <v/>
      </c>
    </row>
    <row r="5024">
      <c r="A5024" s="2" t="n"/>
      <c r="B5024">
        <f>LOWER(TRIM(A5024))</f>
        <v/>
      </c>
      <c r="C5024">
        <f>IF(B5024="","",IFERROR(INDEX('Bad Patterns'!$A$2:$A$120,MATCH(1,INDEX(--ISNUMBER(SEARCH('Bad Patterns'!$A$2:$A$120,B5024)),0),0)),""))</f>
        <v/>
      </c>
      <c r="D5024">
        <f>IF(B5024="","",IF(C5024&lt;&gt;"","REMOVE","KEEP"))</f>
        <v/>
      </c>
      <c r="E5024">
        <f>IF(D5024&lt;&gt;"KEEP","",IF(RIGHT(B5024,10)="@gmail.com","Gmail",IF(OR(RIGHT(B5024,12)="@outlook.com",RIGHT(B5024,12)="@hotmail.com",RIGHT(B5024,9)="@live.com"),"Outlook","Domain")))</f>
        <v/>
      </c>
      <c r="F5024">
        <f>IF(B5024="","",IFERROR(RIGHT(B5024,LEN(B5024)-FIND("@",B5024)),""))</f>
        <v/>
      </c>
      <c r="G5024">
        <f>IF(D5024="KEEP",COUNTIF($D$2:D5024,"KEEP"),"")</f>
        <v/>
      </c>
      <c r="H5024">
        <f>IF(D5024="REMOVE",COUNTIF($D$2:D5024,"REMOVE"),"")</f>
        <v/>
      </c>
      <c r="I5024">
        <f>IF(E5024="Gmail",COUNTIF($E$2:E5024,"Gmail"),"")</f>
        <v/>
      </c>
      <c r="J5024">
        <f>IF(E5024="Outlook",COUNTIF($E$2:E5024,"Outlook"),"")</f>
        <v/>
      </c>
      <c r="K5024">
        <f>IF(E5024="Domain",COUNTIF($E$2:E5024,"Domain"),"")</f>
        <v/>
      </c>
    </row>
    <row r="5025">
      <c r="A5025" s="2" t="n"/>
      <c r="B5025">
        <f>LOWER(TRIM(A5025))</f>
        <v/>
      </c>
      <c r="C5025">
        <f>IF(B5025="","",IFERROR(INDEX('Bad Patterns'!$A$2:$A$120,MATCH(1,INDEX(--ISNUMBER(SEARCH('Bad Patterns'!$A$2:$A$120,B5025)),0),0)),""))</f>
        <v/>
      </c>
      <c r="D5025">
        <f>IF(B5025="","",IF(C5025&lt;&gt;"","REMOVE","KEEP"))</f>
        <v/>
      </c>
      <c r="E5025">
        <f>IF(D5025&lt;&gt;"KEEP","",IF(RIGHT(B5025,10)="@gmail.com","Gmail",IF(OR(RIGHT(B5025,12)="@outlook.com",RIGHT(B5025,12)="@hotmail.com",RIGHT(B5025,9)="@live.com"),"Outlook","Domain")))</f>
        <v/>
      </c>
      <c r="F5025">
        <f>IF(B5025="","",IFERROR(RIGHT(B5025,LEN(B5025)-FIND("@",B5025)),""))</f>
        <v/>
      </c>
      <c r="G5025">
        <f>IF(D5025="KEEP",COUNTIF($D$2:D5025,"KEEP"),"")</f>
        <v/>
      </c>
      <c r="H5025">
        <f>IF(D5025="REMOVE",COUNTIF($D$2:D5025,"REMOVE"),"")</f>
        <v/>
      </c>
      <c r="I5025">
        <f>IF(E5025="Gmail",COUNTIF($E$2:E5025,"Gmail"),"")</f>
        <v/>
      </c>
      <c r="J5025">
        <f>IF(E5025="Outlook",COUNTIF($E$2:E5025,"Outlook"),"")</f>
        <v/>
      </c>
      <c r="K5025">
        <f>IF(E5025="Domain",COUNTIF($E$2:E5025,"Domain"),"")</f>
        <v/>
      </c>
    </row>
    <row r="5026">
      <c r="A5026" s="2" t="n"/>
      <c r="B5026">
        <f>LOWER(TRIM(A5026))</f>
        <v/>
      </c>
      <c r="C5026">
        <f>IF(B5026="","",IFERROR(INDEX('Bad Patterns'!$A$2:$A$120,MATCH(1,INDEX(--ISNUMBER(SEARCH('Bad Patterns'!$A$2:$A$120,B5026)),0),0)),""))</f>
        <v/>
      </c>
      <c r="D5026">
        <f>IF(B5026="","",IF(C5026&lt;&gt;"","REMOVE","KEEP"))</f>
        <v/>
      </c>
      <c r="E5026">
        <f>IF(D5026&lt;&gt;"KEEP","",IF(RIGHT(B5026,10)="@gmail.com","Gmail",IF(OR(RIGHT(B5026,12)="@outlook.com",RIGHT(B5026,12)="@hotmail.com",RIGHT(B5026,9)="@live.com"),"Outlook","Domain")))</f>
        <v/>
      </c>
      <c r="F5026">
        <f>IF(B5026="","",IFERROR(RIGHT(B5026,LEN(B5026)-FIND("@",B5026)),""))</f>
        <v/>
      </c>
      <c r="G5026">
        <f>IF(D5026="KEEP",COUNTIF($D$2:D5026,"KEEP"),"")</f>
        <v/>
      </c>
      <c r="H5026">
        <f>IF(D5026="REMOVE",COUNTIF($D$2:D5026,"REMOVE"),"")</f>
        <v/>
      </c>
      <c r="I5026">
        <f>IF(E5026="Gmail",COUNTIF($E$2:E5026,"Gmail"),"")</f>
        <v/>
      </c>
      <c r="J5026">
        <f>IF(E5026="Outlook",COUNTIF($E$2:E5026,"Outlook"),"")</f>
        <v/>
      </c>
      <c r="K5026">
        <f>IF(E5026="Domain",COUNTIF($E$2:E5026,"Domain"),"")</f>
        <v/>
      </c>
    </row>
    <row r="5027">
      <c r="A5027" s="2" t="n"/>
      <c r="B5027">
        <f>LOWER(TRIM(A5027))</f>
        <v/>
      </c>
      <c r="C5027">
        <f>IF(B5027="","",IFERROR(INDEX('Bad Patterns'!$A$2:$A$120,MATCH(1,INDEX(--ISNUMBER(SEARCH('Bad Patterns'!$A$2:$A$120,B5027)),0),0)),""))</f>
        <v/>
      </c>
      <c r="D5027">
        <f>IF(B5027="","",IF(C5027&lt;&gt;"","REMOVE","KEEP"))</f>
        <v/>
      </c>
      <c r="E5027">
        <f>IF(D5027&lt;&gt;"KEEP","",IF(RIGHT(B5027,10)="@gmail.com","Gmail",IF(OR(RIGHT(B5027,12)="@outlook.com",RIGHT(B5027,12)="@hotmail.com",RIGHT(B5027,9)="@live.com"),"Outlook","Domain")))</f>
        <v/>
      </c>
      <c r="F5027">
        <f>IF(B5027="","",IFERROR(RIGHT(B5027,LEN(B5027)-FIND("@",B5027)),""))</f>
        <v/>
      </c>
      <c r="G5027">
        <f>IF(D5027="KEEP",COUNTIF($D$2:D5027,"KEEP"),"")</f>
        <v/>
      </c>
      <c r="H5027">
        <f>IF(D5027="REMOVE",COUNTIF($D$2:D5027,"REMOVE"),"")</f>
        <v/>
      </c>
      <c r="I5027">
        <f>IF(E5027="Gmail",COUNTIF($E$2:E5027,"Gmail"),"")</f>
        <v/>
      </c>
      <c r="J5027">
        <f>IF(E5027="Outlook",COUNTIF($E$2:E5027,"Outlook"),"")</f>
        <v/>
      </c>
      <c r="K5027">
        <f>IF(E5027="Domain",COUNTIF($E$2:E5027,"Domain"),"")</f>
        <v/>
      </c>
    </row>
    <row r="5028">
      <c r="A5028" s="2" t="n"/>
      <c r="B5028">
        <f>LOWER(TRIM(A5028))</f>
        <v/>
      </c>
      <c r="C5028">
        <f>IF(B5028="","",IFERROR(INDEX('Bad Patterns'!$A$2:$A$120,MATCH(1,INDEX(--ISNUMBER(SEARCH('Bad Patterns'!$A$2:$A$120,B5028)),0),0)),""))</f>
        <v/>
      </c>
      <c r="D5028">
        <f>IF(B5028="","",IF(C5028&lt;&gt;"","REMOVE","KEEP"))</f>
        <v/>
      </c>
      <c r="E5028">
        <f>IF(D5028&lt;&gt;"KEEP","",IF(RIGHT(B5028,10)="@gmail.com","Gmail",IF(OR(RIGHT(B5028,12)="@outlook.com",RIGHT(B5028,12)="@hotmail.com",RIGHT(B5028,9)="@live.com"),"Outlook","Domain")))</f>
        <v/>
      </c>
      <c r="F5028">
        <f>IF(B5028="","",IFERROR(RIGHT(B5028,LEN(B5028)-FIND("@",B5028)),""))</f>
        <v/>
      </c>
      <c r="G5028">
        <f>IF(D5028="KEEP",COUNTIF($D$2:D5028,"KEEP"),"")</f>
        <v/>
      </c>
      <c r="H5028">
        <f>IF(D5028="REMOVE",COUNTIF($D$2:D5028,"REMOVE"),"")</f>
        <v/>
      </c>
      <c r="I5028">
        <f>IF(E5028="Gmail",COUNTIF($E$2:E5028,"Gmail"),"")</f>
        <v/>
      </c>
      <c r="J5028">
        <f>IF(E5028="Outlook",COUNTIF($E$2:E5028,"Outlook"),"")</f>
        <v/>
      </c>
      <c r="K5028">
        <f>IF(E5028="Domain",COUNTIF($E$2:E5028,"Domain"),"")</f>
        <v/>
      </c>
    </row>
    <row r="5029">
      <c r="A5029" s="2" t="n"/>
      <c r="B5029">
        <f>LOWER(TRIM(A5029))</f>
        <v/>
      </c>
      <c r="C5029">
        <f>IF(B5029="","",IFERROR(INDEX('Bad Patterns'!$A$2:$A$120,MATCH(1,INDEX(--ISNUMBER(SEARCH('Bad Patterns'!$A$2:$A$120,B5029)),0),0)),""))</f>
        <v/>
      </c>
      <c r="D5029">
        <f>IF(B5029="","",IF(C5029&lt;&gt;"","REMOVE","KEEP"))</f>
        <v/>
      </c>
      <c r="E5029">
        <f>IF(D5029&lt;&gt;"KEEP","",IF(RIGHT(B5029,10)="@gmail.com","Gmail",IF(OR(RIGHT(B5029,12)="@outlook.com",RIGHT(B5029,12)="@hotmail.com",RIGHT(B5029,9)="@live.com"),"Outlook","Domain")))</f>
        <v/>
      </c>
      <c r="F5029">
        <f>IF(B5029="","",IFERROR(RIGHT(B5029,LEN(B5029)-FIND("@",B5029)),""))</f>
        <v/>
      </c>
      <c r="G5029">
        <f>IF(D5029="KEEP",COUNTIF($D$2:D5029,"KEEP"),"")</f>
        <v/>
      </c>
      <c r="H5029">
        <f>IF(D5029="REMOVE",COUNTIF($D$2:D5029,"REMOVE"),"")</f>
        <v/>
      </c>
      <c r="I5029">
        <f>IF(E5029="Gmail",COUNTIF($E$2:E5029,"Gmail"),"")</f>
        <v/>
      </c>
      <c r="J5029">
        <f>IF(E5029="Outlook",COUNTIF($E$2:E5029,"Outlook"),"")</f>
        <v/>
      </c>
      <c r="K5029">
        <f>IF(E5029="Domain",COUNTIF($E$2:E5029,"Domain"),"")</f>
        <v/>
      </c>
    </row>
    <row r="5030">
      <c r="A5030" s="2" t="n"/>
      <c r="B5030">
        <f>LOWER(TRIM(A5030))</f>
        <v/>
      </c>
      <c r="C5030">
        <f>IF(B5030="","",IFERROR(INDEX('Bad Patterns'!$A$2:$A$120,MATCH(1,INDEX(--ISNUMBER(SEARCH('Bad Patterns'!$A$2:$A$120,B5030)),0),0)),""))</f>
        <v/>
      </c>
      <c r="D5030">
        <f>IF(B5030="","",IF(C5030&lt;&gt;"","REMOVE","KEEP"))</f>
        <v/>
      </c>
      <c r="E5030">
        <f>IF(D5030&lt;&gt;"KEEP","",IF(RIGHT(B5030,10)="@gmail.com","Gmail",IF(OR(RIGHT(B5030,12)="@outlook.com",RIGHT(B5030,12)="@hotmail.com",RIGHT(B5030,9)="@live.com"),"Outlook","Domain")))</f>
        <v/>
      </c>
      <c r="F5030">
        <f>IF(B5030="","",IFERROR(RIGHT(B5030,LEN(B5030)-FIND("@",B5030)),""))</f>
        <v/>
      </c>
      <c r="G5030">
        <f>IF(D5030="KEEP",COUNTIF($D$2:D5030,"KEEP"),"")</f>
        <v/>
      </c>
      <c r="H5030">
        <f>IF(D5030="REMOVE",COUNTIF($D$2:D5030,"REMOVE"),"")</f>
        <v/>
      </c>
      <c r="I5030">
        <f>IF(E5030="Gmail",COUNTIF($E$2:E5030,"Gmail"),"")</f>
        <v/>
      </c>
      <c r="J5030">
        <f>IF(E5030="Outlook",COUNTIF($E$2:E5030,"Outlook"),"")</f>
        <v/>
      </c>
      <c r="K5030">
        <f>IF(E5030="Domain",COUNTIF($E$2:E5030,"Domain"),"")</f>
        <v/>
      </c>
    </row>
    <row r="5031">
      <c r="A5031" s="2" t="n"/>
      <c r="B5031">
        <f>LOWER(TRIM(A5031))</f>
        <v/>
      </c>
      <c r="C5031">
        <f>IF(B5031="","",IFERROR(INDEX('Bad Patterns'!$A$2:$A$120,MATCH(1,INDEX(--ISNUMBER(SEARCH('Bad Patterns'!$A$2:$A$120,B5031)),0),0)),""))</f>
        <v/>
      </c>
      <c r="D5031">
        <f>IF(B5031="","",IF(C5031&lt;&gt;"","REMOVE","KEEP"))</f>
        <v/>
      </c>
      <c r="E5031">
        <f>IF(D5031&lt;&gt;"KEEP","",IF(RIGHT(B5031,10)="@gmail.com","Gmail",IF(OR(RIGHT(B5031,12)="@outlook.com",RIGHT(B5031,12)="@hotmail.com",RIGHT(B5031,9)="@live.com"),"Outlook","Domain")))</f>
        <v/>
      </c>
      <c r="F5031">
        <f>IF(B5031="","",IFERROR(RIGHT(B5031,LEN(B5031)-FIND("@",B5031)),""))</f>
        <v/>
      </c>
      <c r="G5031">
        <f>IF(D5031="KEEP",COUNTIF($D$2:D5031,"KEEP"),"")</f>
        <v/>
      </c>
      <c r="H5031">
        <f>IF(D5031="REMOVE",COUNTIF($D$2:D5031,"REMOVE"),"")</f>
        <v/>
      </c>
      <c r="I5031">
        <f>IF(E5031="Gmail",COUNTIF($E$2:E5031,"Gmail"),"")</f>
        <v/>
      </c>
      <c r="J5031">
        <f>IF(E5031="Outlook",COUNTIF($E$2:E5031,"Outlook"),"")</f>
        <v/>
      </c>
      <c r="K5031">
        <f>IF(E5031="Domain",COUNTIF($E$2:E5031,"Domain"),"")</f>
        <v/>
      </c>
    </row>
    <row r="5032">
      <c r="A5032" s="2" t="n"/>
      <c r="B5032">
        <f>LOWER(TRIM(A5032))</f>
        <v/>
      </c>
      <c r="C5032">
        <f>IF(B5032="","",IFERROR(INDEX('Bad Patterns'!$A$2:$A$120,MATCH(1,INDEX(--ISNUMBER(SEARCH('Bad Patterns'!$A$2:$A$120,B5032)),0),0)),""))</f>
        <v/>
      </c>
      <c r="D5032">
        <f>IF(B5032="","",IF(C5032&lt;&gt;"","REMOVE","KEEP"))</f>
        <v/>
      </c>
      <c r="E5032">
        <f>IF(D5032&lt;&gt;"KEEP","",IF(RIGHT(B5032,10)="@gmail.com","Gmail",IF(OR(RIGHT(B5032,12)="@outlook.com",RIGHT(B5032,12)="@hotmail.com",RIGHT(B5032,9)="@live.com"),"Outlook","Domain")))</f>
        <v/>
      </c>
      <c r="F5032">
        <f>IF(B5032="","",IFERROR(RIGHT(B5032,LEN(B5032)-FIND("@",B5032)),""))</f>
        <v/>
      </c>
      <c r="G5032">
        <f>IF(D5032="KEEP",COUNTIF($D$2:D5032,"KEEP"),"")</f>
        <v/>
      </c>
      <c r="H5032">
        <f>IF(D5032="REMOVE",COUNTIF($D$2:D5032,"REMOVE"),"")</f>
        <v/>
      </c>
      <c r="I5032">
        <f>IF(E5032="Gmail",COUNTIF($E$2:E5032,"Gmail"),"")</f>
        <v/>
      </c>
      <c r="J5032">
        <f>IF(E5032="Outlook",COUNTIF($E$2:E5032,"Outlook"),"")</f>
        <v/>
      </c>
      <c r="K5032">
        <f>IF(E5032="Domain",COUNTIF($E$2:E5032,"Domain"),"")</f>
        <v/>
      </c>
    </row>
    <row r="5033">
      <c r="A5033" s="2" t="n"/>
      <c r="B5033">
        <f>LOWER(TRIM(A5033))</f>
        <v/>
      </c>
      <c r="C5033">
        <f>IF(B5033="","",IFERROR(INDEX('Bad Patterns'!$A$2:$A$120,MATCH(1,INDEX(--ISNUMBER(SEARCH('Bad Patterns'!$A$2:$A$120,B5033)),0),0)),""))</f>
        <v/>
      </c>
      <c r="D5033">
        <f>IF(B5033="","",IF(C5033&lt;&gt;"","REMOVE","KEEP"))</f>
        <v/>
      </c>
      <c r="E5033">
        <f>IF(D5033&lt;&gt;"KEEP","",IF(RIGHT(B5033,10)="@gmail.com","Gmail",IF(OR(RIGHT(B5033,12)="@outlook.com",RIGHT(B5033,12)="@hotmail.com",RIGHT(B5033,9)="@live.com"),"Outlook","Domain")))</f>
        <v/>
      </c>
      <c r="F5033">
        <f>IF(B5033="","",IFERROR(RIGHT(B5033,LEN(B5033)-FIND("@",B5033)),""))</f>
        <v/>
      </c>
      <c r="G5033">
        <f>IF(D5033="KEEP",COUNTIF($D$2:D5033,"KEEP"),"")</f>
        <v/>
      </c>
      <c r="H5033">
        <f>IF(D5033="REMOVE",COUNTIF($D$2:D5033,"REMOVE"),"")</f>
        <v/>
      </c>
      <c r="I5033">
        <f>IF(E5033="Gmail",COUNTIF($E$2:E5033,"Gmail"),"")</f>
        <v/>
      </c>
      <c r="J5033">
        <f>IF(E5033="Outlook",COUNTIF($E$2:E5033,"Outlook"),"")</f>
        <v/>
      </c>
      <c r="K5033">
        <f>IF(E5033="Domain",COUNTIF($E$2:E5033,"Domain"),"")</f>
        <v/>
      </c>
    </row>
    <row r="5034">
      <c r="A5034" s="2" t="n"/>
      <c r="B5034">
        <f>LOWER(TRIM(A5034))</f>
        <v/>
      </c>
      <c r="C5034">
        <f>IF(B5034="","",IFERROR(INDEX('Bad Patterns'!$A$2:$A$120,MATCH(1,INDEX(--ISNUMBER(SEARCH('Bad Patterns'!$A$2:$A$120,B5034)),0),0)),""))</f>
        <v/>
      </c>
      <c r="D5034">
        <f>IF(B5034="","",IF(C5034&lt;&gt;"","REMOVE","KEEP"))</f>
        <v/>
      </c>
      <c r="E5034">
        <f>IF(D5034&lt;&gt;"KEEP","",IF(RIGHT(B5034,10)="@gmail.com","Gmail",IF(OR(RIGHT(B5034,12)="@outlook.com",RIGHT(B5034,12)="@hotmail.com",RIGHT(B5034,9)="@live.com"),"Outlook","Domain")))</f>
        <v/>
      </c>
      <c r="F5034">
        <f>IF(B5034="","",IFERROR(RIGHT(B5034,LEN(B5034)-FIND("@",B5034)),""))</f>
        <v/>
      </c>
      <c r="G5034">
        <f>IF(D5034="KEEP",COUNTIF($D$2:D5034,"KEEP"),"")</f>
        <v/>
      </c>
      <c r="H5034">
        <f>IF(D5034="REMOVE",COUNTIF($D$2:D5034,"REMOVE"),"")</f>
        <v/>
      </c>
      <c r="I5034">
        <f>IF(E5034="Gmail",COUNTIF($E$2:E5034,"Gmail"),"")</f>
        <v/>
      </c>
      <c r="J5034">
        <f>IF(E5034="Outlook",COUNTIF($E$2:E5034,"Outlook"),"")</f>
        <v/>
      </c>
      <c r="K5034">
        <f>IF(E5034="Domain",COUNTIF($E$2:E5034,"Domain"),"")</f>
        <v/>
      </c>
    </row>
    <row r="5035">
      <c r="A5035" s="2" t="n"/>
      <c r="B5035">
        <f>LOWER(TRIM(A5035))</f>
        <v/>
      </c>
      <c r="C5035">
        <f>IF(B5035="","",IFERROR(INDEX('Bad Patterns'!$A$2:$A$120,MATCH(1,INDEX(--ISNUMBER(SEARCH('Bad Patterns'!$A$2:$A$120,B5035)),0),0)),""))</f>
        <v/>
      </c>
      <c r="D5035">
        <f>IF(B5035="","",IF(C5035&lt;&gt;"","REMOVE","KEEP"))</f>
        <v/>
      </c>
      <c r="E5035">
        <f>IF(D5035&lt;&gt;"KEEP","",IF(RIGHT(B5035,10)="@gmail.com","Gmail",IF(OR(RIGHT(B5035,12)="@outlook.com",RIGHT(B5035,12)="@hotmail.com",RIGHT(B5035,9)="@live.com"),"Outlook","Domain")))</f>
        <v/>
      </c>
      <c r="F5035">
        <f>IF(B5035="","",IFERROR(RIGHT(B5035,LEN(B5035)-FIND("@",B5035)),""))</f>
        <v/>
      </c>
      <c r="G5035">
        <f>IF(D5035="KEEP",COUNTIF($D$2:D5035,"KEEP"),"")</f>
        <v/>
      </c>
      <c r="H5035">
        <f>IF(D5035="REMOVE",COUNTIF($D$2:D5035,"REMOVE"),"")</f>
        <v/>
      </c>
      <c r="I5035">
        <f>IF(E5035="Gmail",COUNTIF($E$2:E5035,"Gmail"),"")</f>
        <v/>
      </c>
      <c r="J5035">
        <f>IF(E5035="Outlook",COUNTIF($E$2:E5035,"Outlook"),"")</f>
        <v/>
      </c>
      <c r="K5035">
        <f>IF(E5035="Domain",COUNTIF($E$2:E5035,"Domain"),"")</f>
        <v/>
      </c>
    </row>
    <row r="5036">
      <c r="A5036" s="2" t="n"/>
      <c r="B5036">
        <f>LOWER(TRIM(A5036))</f>
        <v/>
      </c>
      <c r="C5036">
        <f>IF(B5036="","",IFERROR(INDEX('Bad Patterns'!$A$2:$A$120,MATCH(1,INDEX(--ISNUMBER(SEARCH('Bad Patterns'!$A$2:$A$120,B5036)),0),0)),""))</f>
        <v/>
      </c>
      <c r="D5036">
        <f>IF(B5036="","",IF(C5036&lt;&gt;"","REMOVE","KEEP"))</f>
        <v/>
      </c>
      <c r="E5036">
        <f>IF(D5036&lt;&gt;"KEEP","",IF(RIGHT(B5036,10)="@gmail.com","Gmail",IF(OR(RIGHT(B5036,12)="@outlook.com",RIGHT(B5036,12)="@hotmail.com",RIGHT(B5036,9)="@live.com"),"Outlook","Domain")))</f>
        <v/>
      </c>
      <c r="F5036">
        <f>IF(B5036="","",IFERROR(RIGHT(B5036,LEN(B5036)-FIND("@",B5036)),""))</f>
        <v/>
      </c>
      <c r="G5036">
        <f>IF(D5036="KEEP",COUNTIF($D$2:D5036,"KEEP"),"")</f>
        <v/>
      </c>
      <c r="H5036">
        <f>IF(D5036="REMOVE",COUNTIF($D$2:D5036,"REMOVE"),"")</f>
        <v/>
      </c>
      <c r="I5036">
        <f>IF(E5036="Gmail",COUNTIF($E$2:E5036,"Gmail"),"")</f>
        <v/>
      </c>
      <c r="J5036">
        <f>IF(E5036="Outlook",COUNTIF($E$2:E5036,"Outlook"),"")</f>
        <v/>
      </c>
      <c r="K5036">
        <f>IF(E5036="Domain",COUNTIF($E$2:E5036,"Domain"),"")</f>
        <v/>
      </c>
    </row>
    <row r="5037">
      <c r="A5037" s="2" t="n"/>
      <c r="B5037">
        <f>LOWER(TRIM(A5037))</f>
        <v/>
      </c>
      <c r="C5037">
        <f>IF(B5037="","",IFERROR(INDEX('Bad Patterns'!$A$2:$A$120,MATCH(1,INDEX(--ISNUMBER(SEARCH('Bad Patterns'!$A$2:$A$120,B5037)),0),0)),""))</f>
        <v/>
      </c>
      <c r="D5037">
        <f>IF(B5037="","",IF(C5037&lt;&gt;"","REMOVE","KEEP"))</f>
        <v/>
      </c>
      <c r="E5037">
        <f>IF(D5037&lt;&gt;"KEEP","",IF(RIGHT(B5037,10)="@gmail.com","Gmail",IF(OR(RIGHT(B5037,12)="@outlook.com",RIGHT(B5037,12)="@hotmail.com",RIGHT(B5037,9)="@live.com"),"Outlook","Domain")))</f>
        <v/>
      </c>
      <c r="F5037">
        <f>IF(B5037="","",IFERROR(RIGHT(B5037,LEN(B5037)-FIND("@",B5037)),""))</f>
        <v/>
      </c>
      <c r="G5037">
        <f>IF(D5037="KEEP",COUNTIF($D$2:D5037,"KEEP"),"")</f>
        <v/>
      </c>
      <c r="H5037">
        <f>IF(D5037="REMOVE",COUNTIF($D$2:D5037,"REMOVE"),"")</f>
        <v/>
      </c>
      <c r="I5037">
        <f>IF(E5037="Gmail",COUNTIF($E$2:E5037,"Gmail"),"")</f>
        <v/>
      </c>
      <c r="J5037">
        <f>IF(E5037="Outlook",COUNTIF($E$2:E5037,"Outlook"),"")</f>
        <v/>
      </c>
      <c r="K5037">
        <f>IF(E5037="Domain",COUNTIF($E$2:E5037,"Domain"),"")</f>
        <v/>
      </c>
    </row>
    <row r="5038">
      <c r="A5038" s="2" t="n"/>
      <c r="B5038">
        <f>LOWER(TRIM(A5038))</f>
        <v/>
      </c>
      <c r="C5038">
        <f>IF(B5038="","",IFERROR(INDEX('Bad Patterns'!$A$2:$A$120,MATCH(1,INDEX(--ISNUMBER(SEARCH('Bad Patterns'!$A$2:$A$120,B5038)),0),0)),""))</f>
        <v/>
      </c>
      <c r="D5038">
        <f>IF(B5038="","",IF(C5038&lt;&gt;"","REMOVE","KEEP"))</f>
        <v/>
      </c>
      <c r="E5038">
        <f>IF(D5038&lt;&gt;"KEEP","",IF(RIGHT(B5038,10)="@gmail.com","Gmail",IF(OR(RIGHT(B5038,12)="@outlook.com",RIGHT(B5038,12)="@hotmail.com",RIGHT(B5038,9)="@live.com"),"Outlook","Domain")))</f>
        <v/>
      </c>
      <c r="F5038">
        <f>IF(B5038="","",IFERROR(RIGHT(B5038,LEN(B5038)-FIND("@",B5038)),""))</f>
        <v/>
      </c>
      <c r="G5038">
        <f>IF(D5038="KEEP",COUNTIF($D$2:D5038,"KEEP"),"")</f>
        <v/>
      </c>
      <c r="H5038">
        <f>IF(D5038="REMOVE",COUNTIF($D$2:D5038,"REMOVE"),"")</f>
        <v/>
      </c>
      <c r="I5038">
        <f>IF(E5038="Gmail",COUNTIF($E$2:E5038,"Gmail"),"")</f>
        <v/>
      </c>
      <c r="J5038">
        <f>IF(E5038="Outlook",COUNTIF($E$2:E5038,"Outlook"),"")</f>
        <v/>
      </c>
      <c r="K5038">
        <f>IF(E5038="Domain",COUNTIF($E$2:E5038,"Domain"),"")</f>
        <v/>
      </c>
    </row>
    <row r="5039">
      <c r="A5039" s="2" t="n"/>
      <c r="B5039">
        <f>LOWER(TRIM(A5039))</f>
        <v/>
      </c>
      <c r="C5039">
        <f>IF(B5039="","",IFERROR(INDEX('Bad Patterns'!$A$2:$A$120,MATCH(1,INDEX(--ISNUMBER(SEARCH('Bad Patterns'!$A$2:$A$120,B5039)),0),0)),""))</f>
        <v/>
      </c>
      <c r="D5039">
        <f>IF(B5039="","",IF(C5039&lt;&gt;"","REMOVE","KEEP"))</f>
        <v/>
      </c>
      <c r="E5039">
        <f>IF(D5039&lt;&gt;"KEEP","",IF(RIGHT(B5039,10)="@gmail.com","Gmail",IF(OR(RIGHT(B5039,12)="@outlook.com",RIGHT(B5039,12)="@hotmail.com",RIGHT(B5039,9)="@live.com"),"Outlook","Domain")))</f>
        <v/>
      </c>
      <c r="F5039">
        <f>IF(B5039="","",IFERROR(RIGHT(B5039,LEN(B5039)-FIND("@",B5039)),""))</f>
        <v/>
      </c>
      <c r="G5039">
        <f>IF(D5039="KEEP",COUNTIF($D$2:D5039,"KEEP"),"")</f>
        <v/>
      </c>
      <c r="H5039">
        <f>IF(D5039="REMOVE",COUNTIF($D$2:D5039,"REMOVE"),"")</f>
        <v/>
      </c>
      <c r="I5039">
        <f>IF(E5039="Gmail",COUNTIF($E$2:E5039,"Gmail"),"")</f>
        <v/>
      </c>
      <c r="J5039">
        <f>IF(E5039="Outlook",COUNTIF($E$2:E5039,"Outlook"),"")</f>
        <v/>
      </c>
      <c r="K5039">
        <f>IF(E5039="Domain",COUNTIF($E$2:E5039,"Domain"),"")</f>
        <v/>
      </c>
    </row>
    <row r="5040">
      <c r="A5040" s="2" t="n"/>
      <c r="B5040">
        <f>LOWER(TRIM(A5040))</f>
        <v/>
      </c>
      <c r="C5040">
        <f>IF(B5040="","",IFERROR(INDEX('Bad Patterns'!$A$2:$A$120,MATCH(1,INDEX(--ISNUMBER(SEARCH('Bad Patterns'!$A$2:$A$120,B5040)),0),0)),""))</f>
        <v/>
      </c>
      <c r="D5040">
        <f>IF(B5040="","",IF(C5040&lt;&gt;"","REMOVE","KEEP"))</f>
        <v/>
      </c>
      <c r="E5040">
        <f>IF(D5040&lt;&gt;"KEEP","",IF(RIGHT(B5040,10)="@gmail.com","Gmail",IF(OR(RIGHT(B5040,12)="@outlook.com",RIGHT(B5040,12)="@hotmail.com",RIGHT(B5040,9)="@live.com"),"Outlook","Domain")))</f>
        <v/>
      </c>
      <c r="F5040">
        <f>IF(B5040="","",IFERROR(RIGHT(B5040,LEN(B5040)-FIND("@",B5040)),""))</f>
        <v/>
      </c>
      <c r="G5040">
        <f>IF(D5040="KEEP",COUNTIF($D$2:D5040,"KEEP"),"")</f>
        <v/>
      </c>
      <c r="H5040">
        <f>IF(D5040="REMOVE",COUNTIF($D$2:D5040,"REMOVE"),"")</f>
        <v/>
      </c>
      <c r="I5040">
        <f>IF(E5040="Gmail",COUNTIF($E$2:E5040,"Gmail"),"")</f>
        <v/>
      </c>
      <c r="J5040">
        <f>IF(E5040="Outlook",COUNTIF($E$2:E5040,"Outlook"),"")</f>
        <v/>
      </c>
      <c r="K5040">
        <f>IF(E5040="Domain",COUNTIF($E$2:E5040,"Domain"),"")</f>
        <v/>
      </c>
    </row>
    <row r="5041">
      <c r="A5041" s="2" t="n"/>
      <c r="B5041">
        <f>LOWER(TRIM(A5041))</f>
        <v/>
      </c>
      <c r="C5041">
        <f>IF(B5041="","",IFERROR(INDEX('Bad Patterns'!$A$2:$A$120,MATCH(1,INDEX(--ISNUMBER(SEARCH('Bad Patterns'!$A$2:$A$120,B5041)),0),0)),""))</f>
        <v/>
      </c>
      <c r="D5041">
        <f>IF(B5041="","",IF(C5041&lt;&gt;"","REMOVE","KEEP"))</f>
        <v/>
      </c>
      <c r="E5041">
        <f>IF(D5041&lt;&gt;"KEEP","",IF(RIGHT(B5041,10)="@gmail.com","Gmail",IF(OR(RIGHT(B5041,12)="@outlook.com",RIGHT(B5041,12)="@hotmail.com",RIGHT(B5041,9)="@live.com"),"Outlook","Domain")))</f>
        <v/>
      </c>
      <c r="F5041">
        <f>IF(B5041="","",IFERROR(RIGHT(B5041,LEN(B5041)-FIND("@",B5041)),""))</f>
        <v/>
      </c>
      <c r="G5041">
        <f>IF(D5041="KEEP",COUNTIF($D$2:D5041,"KEEP"),"")</f>
        <v/>
      </c>
      <c r="H5041">
        <f>IF(D5041="REMOVE",COUNTIF($D$2:D5041,"REMOVE"),"")</f>
        <v/>
      </c>
      <c r="I5041">
        <f>IF(E5041="Gmail",COUNTIF($E$2:E5041,"Gmail"),"")</f>
        <v/>
      </c>
      <c r="J5041">
        <f>IF(E5041="Outlook",COUNTIF($E$2:E5041,"Outlook"),"")</f>
        <v/>
      </c>
      <c r="K5041">
        <f>IF(E5041="Domain",COUNTIF($E$2:E5041,"Domain"),"")</f>
        <v/>
      </c>
    </row>
    <row r="5042">
      <c r="A5042" s="2" t="n"/>
      <c r="B5042">
        <f>LOWER(TRIM(A5042))</f>
        <v/>
      </c>
      <c r="C5042">
        <f>IF(B5042="","",IFERROR(INDEX('Bad Patterns'!$A$2:$A$120,MATCH(1,INDEX(--ISNUMBER(SEARCH('Bad Patterns'!$A$2:$A$120,B5042)),0),0)),""))</f>
        <v/>
      </c>
      <c r="D5042">
        <f>IF(B5042="","",IF(C5042&lt;&gt;"","REMOVE","KEEP"))</f>
        <v/>
      </c>
      <c r="E5042">
        <f>IF(D5042&lt;&gt;"KEEP","",IF(RIGHT(B5042,10)="@gmail.com","Gmail",IF(OR(RIGHT(B5042,12)="@outlook.com",RIGHT(B5042,12)="@hotmail.com",RIGHT(B5042,9)="@live.com"),"Outlook","Domain")))</f>
        <v/>
      </c>
      <c r="F5042">
        <f>IF(B5042="","",IFERROR(RIGHT(B5042,LEN(B5042)-FIND("@",B5042)),""))</f>
        <v/>
      </c>
      <c r="G5042">
        <f>IF(D5042="KEEP",COUNTIF($D$2:D5042,"KEEP"),"")</f>
        <v/>
      </c>
      <c r="H5042">
        <f>IF(D5042="REMOVE",COUNTIF($D$2:D5042,"REMOVE"),"")</f>
        <v/>
      </c>
      <c r="I5042">
        <f>IF(E5042="Gmail",COUNTIF($E$2:E5042,"Gmail"),"")</f>
        <v/>
      </c>
      <c r="J5042">
        <f>IF(E5042="Outlook",COUNTIF($E$2:E5042,"Outlook"),"")</f>
        <v/>
      </c>
      <c r="K5042">
        <f>IF(E5042="Domain",COUNTIF($E$2:E5042,"Domain"),"")</f>
        <v/>
      </c>
    </row>
    <row r="5043">
      <c r="A5043" s="2" t="n"/>
      <c r="B5043">
        <f>LOWER(TRIM(A5043))</f>
        <v/>
      </c>
      <c r="C5043">
        <f>IF(B5043="","",IFERROR(INDEX('Bad Patterns'!$A$2:$A$120,MATCH(1,INDEX(--ISNUMBER(SEARCH('Bad Patterns'!$A$2:$A$120,B5043)),0),0)),""))</f>
        <v/>
      </c>
      <c r="D5043">
        <f>IF(B5043="","",IF(C5043&lt;&gt;"","REMOVE","KEEP"))</f>
        <v/>
      </c>
      <c r="E5043">
        <f>IF(D5043&lt;&gt;"KEEP","",IF(RIGHT(B5043,10)="@gmail.com","Gmail",IF(OR(RIGHT(B5043,12)="@outlook.com",RIGHT(B5043,12)="@hotmail.com",RIGHT(B5043,9)="@live.com"),"Outlook","Domain")))</f>
        <v/>
      </c>
      <c r="F5043">
        <f>IF(B5043="","",IFERROR(RIGHT(B5043,LEN(B5043)-FIND("@",B5043)),""))</f>
        <v/>
      </c>
      <c r="G5043">
        <f>IF(D5043="KEEP",COUNTIF($D$2:D5043,"KEEP"),"")</f>
        <v/>
      </c>
      <c r="H5043">
        <f>IF(D5043="REMOVE",COUNTIF($D$2:D5043,"REMOVE"),"")</f>
        <v/>
      </c>
      <c r="I5043">
        <f>IF(E5043="Gmail",COUNTIF($E$2:E5043,"Gmail"),"")</f>
        <v/>
      </c>
      <c r="J5043">
        <f>IF(E5043="Outlook",COUNTIF($E$2:E5043,"Outlook"),"")</f>
        <v/>
      </c>
      <c r="K5043">
        <f>IF(E5043="Domain",COUNTIF($E$2:E5043,"Domain"),"")</f>
        <v/>
      </c>
    </row>
    <row r="5044">
      <c r="A5044" s="2" t="n"/>
      <c r="B5044">
        <f>LOWER(TRIM(A5044))</f>
        <v/>
      </c>
      <c r="C5044">
        <f>IF(B5044="","",IFERROR(INDEX('Bad Patterns'!$A$2:$A$120,MATCH(1,INDEX(--ISNUMBER(SEARCH('Bad Patterns'!$A$2:$A$120,B5044)),0),0)),""))</f>
        <v/>
      </c>
      <c r="D5044">
        <f>IF(B5044="","",IF(C5044&lt;&gt;"","REMOVE","KEEP"))</f>
        <v/>
      </c>
      <c r="E5044">
        <f>IF(D5044&lt;&gt;"KEEP","",IF(RIGHT(B5044,10)="@gmail.com","Gmail",IF(OR(RIGHT(B5044,12)="@outlook.com",RIGHT(B5044,12)="@hotmail.com",RIGHT(B5044,9)="@live.com"),"Outlook","Domain")))</f>
        <v/>
      </c>
      <c r="F5044">
        <f>IF(B5044="","",IFERROR(RIGHT(B5044,LEN(B5044)-FIND("@",B5044)),""))</f>
        <v/>
      </c>
      <c r="G5044">
        <f>IF(D5044="KEEP",COUNTIF($D$2:D5044,"KEEP"),"")</f>
        <v/>
      </c>
      <c r="H5044">
        <f>IF(D5044="REMOVE",COUNTIF($D$2:D5044,"REMOVE"),"")</f>
        <v/>
      </c>
      <c r="I5044">
        <f>IF(E5044="Gmail",COUNTIF($E$2:E5044,"Gmail"),"")</f>
        <v/>
      </c>
      <c r="J5044">
        <f>IF(E5044="Outlook",COUNTIF($E$2:E5044,"Outlook"),"")</f>
        <v/>
      </c>
      <c r="K5044">
        <f>IF(E5044="Domain",COUNTIF($E$2:E5044,"Domain"),"")</f>
        <v/>
      </c>
    </row>
    <row r="5045">
      <c r="A5045" s="2" t="n"/>
      <c r="B5045">
        <f>LOWER(TRIM(A5045))</f>
        <v/>
      </c>
      <c r="C5045">
        <f>IF(B5045="","",IFERROR(INDEX('Bad Patterns'!$A$2:$A$120,MATCH(1,INDEX(--ISNUMBER(SEARCH('Bad Patterns'!$A$2:$A$120,B5045)),0),0)),""))</f>
        <v/>
      </c>
      <c r="D5045">
        <f>IF(B5045="","",IF(C5045&lt;&gt;"","REMOVE","KEEP"))</f>
        <v/>
      </c>
      <c r="E5045">
        <f>IF(D5045&lt;&gt;"KEEP","",IF(RIGHT(B5045,10)="@gmail.com","Gmail",IF(OR(RIGHT(B5045,12)="@outlook.com",RIGHT(B5045,12)="@hotmail.com",RIGHT(B5045,9)="@live.com"),"Outlook","Domain")))</f>
        <v/>
      </c>
      <c r="F5045">
        <f>IF(B5045="","",IFERROR(RIGHT(B5045,LEN(B5045)-FIND("@",B5045)),""))</f>
        <v/>
      </c>
      <c r="G5045">
        <f>IF(D5045="KEEP",COUNTIF($D$2:D5045,"KEEP"),"")</f>
        <v/>
      </c>
      <c r="H5045">
        <f>IF(D5045="REMOVE",COUNTIF($D$2:D5045,"REMOVE"),"")</f>
        <v/>
      </c>
      <c r="I5045">
        <f>IF(E5045="Gmail",COUNTIF($E$2:E5045,"Gmail"),"")</f>
        <v/>
      </c>
      <c r="J5045">
        <f>IF(E5045="Outlook",COUNTIF($E$2:E5045,"Outlook"),"")</f>
        <v/>
      </c>
      <c r="K5045">
        <f>IF(E5045="Domain",COUNTIF($E$2:E5045,"Domain"),"")</f>
        <v/>
      </c>
    </row>
    <row r="5046">
      <c r="A5046" s="2" t="n"/>
      <c r="B5046">
        <f>LOWER(TRIM(A5046))</f>
        <v/>
      </c>
      <c r="C5046">
        <f>IF(B5046="","",IFERROR(INDEX('Bad Patterns'!$A$2:$A$120,MATCH(1,INDEX(--ISNUMBER(SEARCH('Bad Patterns'!$A$2:$A$120,B5046)),0),0)),""))</f>
        <v/>
      </c>
      <c r="D5046">
        <f>IF(B5046="","",IF(C5046&lt;&gt;"","REMOVE","KEEP"))</f>
        <v/>
      </c>
      <c r="E5046">
        <f>IF(D5046&lt;&gt;"KEEP","",IF(RIGHT(B5046,10)="@gmail.com","Gmail",IF(OR(RIGHT(B5046,12)="@outlook.com",RIGHT(B5046,12)="@hotmail.com",RIGHT(B5046,9)="@live.com"),"Outlook","Domain")))</f>
        <v/>
      </c>
      <c r="F5046">
        <f>IF(B5046="","",IFERROR(RIGHT(B5046,LEN(B5046)-FIND("@",B5046)),""))</f>
        <v/>
      </c>
      <c r="G5046">
        <f>IF(D5046="KEEP",COUNTIF($D$2:D5046,"KEEP"),"")</f>
        <v/>
      </c>
      <c r="H5046">
        <f>IF(D5046="REMOVE",COUNTIF($D$2:D5046,"REMOVE"),"")</f>
        <v/>
      </c>
      <c r="I5046">
        <f>IF(E5046="Gmail",COUNTIF($E$2:E5046,"Gmail"),"")</f>
        <v/>
      </c>
      <c r="J5046">
        <f>IF(E5046="Outlook",COUNTIF($E$2:E5046,"Outlook"),"")</f>
        <v/>
      </c>
      <c r="K5046">
        <f>IF(E5046="Domain",COUNTIF($E$2:E5046,"Domain"),"")</f>
        <v/>
      </c>
    </row>
    <row r="5047">
      <c r="A5047" s="2" t="n"/>
      <c r="B5047">
        <f>LOWER(TRIM(A5047))</f>
        <v/>
      </c>
      <c r="C5047">
        <f>IF(B5047="","",IFERROR(INDEX('Bad Patterns'!$A$2:$A$120,MATCH(1,INDEX(--ISNUMBER(SEARCH('Bad Patterns'!$A$2:$A$120,B5047)),0),0)),""))</f>
        <v/>
      </c>
      <c r="D5047">
        <f>IF(B5047="","",IF(C5047&lt;&gt;"","REMOVE","KEEP"))</f>
        <v/>
      </c>
      <c r="E5047">
        <f>IF(D5047&lt;&gt;"KEEP","",IF(RIGHT(B5047,10)="@gmail.com","Gmail",IF(OR(RIGHT(B5047,12)="@outlook.com",RIGHT(B5047,12)="@hotmail.com",RIGHT(B5047,9)="@live.com"),"Outlook","Domain")))</f>
        <v/>
      </c>
      <c r="F5047">
        <f>IF(B5047="","",IFERROR(RIGHT(B5047,LEN(B5047)-FIND("@",B5047)),""))</f>
        <v/>
      </c>
      <c r="G5047">
        <f>IF(D5047="KEEP",COUNTIF($D$2:D5047,"KEEP"),"")</f>
        <v/>
      </c>
      <c r="H5047">
        <f>IF(D5047="REMOVE",COUNTIF($D$2:D5047,"REMOVE"),"")</f>
        <v/>
      </c>
      <c r="I5047">
        <f>IF(E5047="Gmail",COUNTIF($E$2:E5047,"Gmail"),"")</f>
        <v/>
      </c>
      <c r="J5047">
        <f>IF(E5047="Outlook",COUNTIF($E$2:E5047,"Outlook"),"")</f>
        <v/>
      </c>
      <c r="K5047">
        <f>IF(E5047="Domain",COUNTIF($E$2:E5047,"Domain"),"")</f>
        <v/>
      </c>
    </row>
    <row r="5048">
      <c r="A5048" s="2" t="n"/>
      <c r="B5048">
        <f>LOWER(TRIM(A5048))</f>
        <v/>
      </c>
      <c r="C5048">
        <f>IF(B5048="","",IFERROR(INDEX('Bad Patterns'!$A$2:$A$120,MATCH(1,INDEX(--ISNUMBER(SEARCH('Bad Patterns'!$A$2:$A$120,B5048)),0),0)),""))</f>
        <v/>
      </c>
      <c r="D5048">
        <f>IF(B5048="","",IF(C5048&lt;&gt;"","REMOVE","KEEP"))</f>
        <v/>
      </c>
      <c r="E5048">
        <f>IF(D5048&lt;&gt;"KEEP","",IF(RIGHT(B5048,10)="@gmail.com","Gmail",IF(OR(RIGHT(B5048,12)="@outlook.com",RIGHT(B5048,12)="@hotmail.com",RIGHT(B5048,9)="@live.com"),"Outlook","Domain")))</f>
        <v/>
      </c>
      <c r="F5048">
        <f>IF(B5048="","",IFERROR(RIGHT(B5048,LEN(B5048)-FIND("@",B5048)),""))</f>
        <v/>
      </c>
      <c r="G5048">
        <f>IF(D5048="KEEP",COUNTIF($D$2:D5048,"KEEP"),"")</f>
        <v/>
      </c>
      <c r="H5048">
        <f>IF(D5048="REMOVE",COUNTIF($D$2:D5048,"REMOVE"),"")</f>
        <v/>
      </c>
      <c r="I5048">
        <f>IF(E5048="Gmail",COUNTIF($E$2:E5048,"Gmail"),"")</f>
        <v/>
      </c>
      <c r="J5048">
        <f>IF(E5048="Outlook",COUNTIF($E$2:E5048,"Outlook"),"")</f>
        <v/>
      </c>
      <c r="K5048">
        <f>IF(E5048="Domain",COUNTIF($E$2:E5048,"Domain"),"")</f>
        <v/>
      </c>
    </row>
    <row r="5049">
      <c r="A5049" s="2" t="n"/>
      <c r="B5049">
        <f>LOWER(TRIM(A5049))</f>
        <v/>
      </c>
      <c r="C5049">
        <f>IF(B5049="","",IFERROR(INDEX('Bad Patterns'!$A$2:$A$120,MATCH(1,INDEX(--ISNUMBER(SEARCH('Bad Patterns'!$A$2:$A$120,B5049)),0),0)),""))</f>
        <v/>
      </c>
      <c r="D5049">
        <f>IF(B5049="","",IF(C5049&lt;&gt;"","REMOVE","KEEP"))</f>
        <v/>
      </c>
      <c r="E5049">
        <f>IF(D5049&lt;&gt;"KEEP","",IF(RIGHT(B5049,10)="@gmail.com","Gmail",IF(OR(RIGHT(B5049,12)="@outlook.com",RIGHT(B5049,12)="@hotmail.com",RIGHT(B5049,9)="@live.com"),"Outlook","Domain")))</f>
        <v/>
      </c>
      <c r="F5049">
        <f>IF(B5049="","",IFERROR(RIGHT(B5049,LEN(B5049)-FIND("@",B5049)),""))</f>
        <v/>
      </c>
      <c r="G5049">
        <f>IF(D5049="KEEP",COUNTIF($D$2:D5049,"KEEP"),"")</f>
        <v/>
      </c>
      <c r="H5049">
        <f>IF(D5049="REMOVE",COUNTIF($D$2:D5049,"REMOVE"),"")</f>
        <v/>
      </c>
      <c r="I5049">
        <f>IF(E5049="Gmail",COUNTIF($E$2:E5049,"Gmail"),"")</f>
        <v/>
      </c>
      <c r="J5049">
        <f>IF(E5049="Outlook",COUNTIF($E$2:E5049,"Outlook"),"")</f>
        <v/>
      </c>
      <c r="K5049">
        <f>IF(E5049="Domain",COUNTIF($E$2:E5049,"Domain"),"")</f>
        <v/>
      </c>
    </row>
    <row r="5050">
      <c r="A5050" s="2" t="n"/>
      <c r="B5050">
        <f>LOWER(TRIM(A5050))</f>
        <v/>
      </c>
      <c r="C5050">
        <f>IF(B5050="","",IFERROR(INDEX('Bad Patterns'!$A$2:$A$120,MATCH(1,INDEX(--ISNUMBER(SEARCH('Bad Patterns'!$A$2:$A$120,B5050)),0),0)),""))</f>
        <v/>
      </c>
      <c r="D5050">
        <f>IF(B5050="","",IF(C5050&lt;&gt;"","REMOVE","KEEP"))</f>
        <v/>
      </c>
      <c r="E5050">
        <f>IF(D5050&lt;&gt;"KEEP","",IF(RIGHT(B5050,10)="@gmail.com","Gmail",IF(OR(RIGHT(B5050,12)="@outlook.com",RIGHT(B5050,12)="@hotmail.com",RIGHT(B5050,9)="@live.com"),"Outlook","Domain")))</f>
        <v/>
      </c>
      <c r="F5050">
        <f>IF(B5050="","",IFERROR(RIGHT(B5050,LEN(B5050)-FIND("@",B5050)),""))</f>
        <v/>
      </c>
      <c r="G5050">
        <f>IF(D5050="KEEP",COUNTIF($D$2:D5050,"KEEP"),"")</f>
        <v/>
      </c>
      <c r="H5050">
        <f>IF(D5050="REMOVE",COUNTIF($D$2:D5050,"REMOVE"),"")</f>
        <v/>
      </c>
      <c r="I5050">
        <f>IF(E5050="Gmail",COUNTIF($E$2:E5050,"Gmail"),"")</f>
        <v/>
      </c>
      <c r="J5050">
        <f>IF(E5050="Outlook",COUNTIF($E$2:E5050,"Outlook"),"")</f>
        <v/>
      </c>
      <c r="K5050">
        <f>IF(E5050="Domain",COUNTIF($E$2:E5050,"Domain"),"")</f>
        <v/>
      </c>
    </row>
    <row r="5051">
      <c r="A5051" s="2" t="n"/>
      <c r="B5051">
        <f>LOWER(TRIM(A5051))</f>
        <v/>
      </c>
      <c r="C5051">
        <f>IF(B5051="","",IFERROR(INDEX('Bad Patterns'!$A$2:$A$120,MATCH(1,INDEX(--ISNUMBER(SEARCH('Bad Patterns'!$A$2:$A$120,B5051)),0),0)),""))</f>
        <v/>
      </c>
      <c r="D5051">
        <f>IF(B5051="","",IF(C5051&lt;&gt;"","REMOVE","KEEP"))</f>
        <v/>
      </c>
      <c r="E5051">
        <f>IF(D5051&lt;&gt;"KEEP","",IF(RIGHT(B5051,10)="@gmail.com","Gmail",IF(OR(RIGHT(B5051,12)="@outlook.com",RIGHT(B5051,12)="@hotmail.com",RIGHT(B5051,9)="@live.com"),"Outlook","Domain")))</f>
        <v/>
      </c>
      <c r="F5051">
        <f>IF(B5051="","",IFERROR(RIGHT(B5051,LEN(B5051)-FIND("@",B5051)),""))</f>
        <v/>
      </c>
      <c r="G5051">
        <f>IF(D5051="KEEP",COUNTIF($D$2:D5051,"KEEP"),"")</f>
        <v/>
      </c>
      <c r="H5051">
        <f>IF(D5051="REMOVE",COUNTIF($D$2:D5051,"REMOVE"),"")</f>
        <v/>
      </c>
      <c r="I5051">
        <f>IF(E5051="Gmail",COUNTIF($E$2:E5051,"Gmail"),"")</f>
        <v/>
      </c>
      <c r="J5051">
        <f>IF(E5051="Outlook",COUNTIF($E$2:E5051,"Outlook"),"")</f>
        <v/>
      </c>
      <c r="K5051">
        <f>IF(E5051="Domain",COUNTIF($E$2:E5051,"Domain"),"")</f>
        <v/>
      </c>
    </row>
    <row r="5052">
      <c r="A5052" s="2" t="n"/>
      <c r="B5052">
        <f>LOWER(TRIM(A5052))</f>
        <v/>
      </c>
      <c r="C5052">
        <f>IF(B5052="","",IFERROR(INDEX('Bad Patterns'!$A$2:$A$120,MATCH(1,INDEX(--ISNUMBER(SEARCH('Bad Patterns'!$A$2:$A$120,B5052)),0),0)),""))</f>
        <v/>
      </c>
      <c r="D5052">
        <f>IF(B5052="","",IF(C5052&lt;&gt;"","REMOVE","KEEP"))</f>
        <v/>
      </c>
      <c r="E5052">
        <f>IF(D5052&lt;&gt;"KEEP","",IF(RIGHT(B5052,10)="@gmail.com","Gmail",IF(OR(RIGHT(B5052,12)="@outlook.com",RIGHT(B5052,12)="@hotmail.com",RIGHT(B5052,9)="@live.com"),"Outlook","Domain")))</f>
        <v/>
      </c>
      <c r="F5052">
        <f>IF(B5052="","",IFERROR(RIGHT(B5052,LEN(B5052)-FIND("@",B5052)),""))</f>
        <v/>
      </c>
      <c r="G5052">
        <f>IF(D5052="KEEP",COUNTIF($D$2:D5052,"KEEP"),"")</f>
        <v/>
      </c>
      <c r="H5052">
        <f>IF(D5052="REMOVE",COUNTIF($D$2:D5052,"REMOVE"),"")</f>
        <v/>
      </c>
      <c r="I5052">
        <f>IF(E5052="Gmail",COUNTIF($E$2:E5052,"Gmail"),"")</f>
        <v/>
      </c>
      <c r="J5052">
        <f>IF(E5052="Outlook",COUNTIF($E$2:E5052,"Outlook"),"")</f>
        <v/>
      </c>
      <c r="K5052">
        <f>IF(E5052="Domain",COUNTIF($E$2:E5052,"Domain"),"")</f>
        <v/>
      </c>
    </row>
    <row r="5053">
      <c r="A5053" s="2" t="n"/>
      <c r="B5053">
        <f>LOWER(TRIM(A5053))</f>
        <v/>
      </c>
      <c r="C5053">
        <f>IF(B5053="","",IFERROR(INDEX('Bad Patterns'!$A$2:$A$120,MATCH(1,INDEX(--ISNUMBER(SEARCH('Bad Patterns'!$A$2:$A$120,B5053)),0),0)),""))</f>
        <v/>
      </c>
      <c r="D5053">
        <f>IF(B5053="","",IF(C5053&lt;&gt;"","REMOVE","KEEP"))</f>
        <v/>
      </c>
      <c r="E5053">
        <f>IF(D5053&lt;&gt;"KEEP","",IF(RIGHT(B5053,10)="@gmail.com","Gmail",IF(OR(RIGHT(B5053,12)="@outlook.com",RIGHT(B5053,12)="@hotmail.com",RIGHT(B5053,9)="@live.com"),"Outlook","Domain")))</f>
        <v/>
      </c>
      <c r="F5053">
        <f>IF(B5053="","",IFERROR(RIGHT(B5053,LEN(B5053)-FIND("@",B5053)),""))</f>
        <v/>
      </c>
      <c r="G5053">
        <f>IF(D5053="KEEP",COUNTIF($D$2:D5053,"KEEP"),"")</f>
        <v/>
      </c>
      <c r="H5053">
        <f>IF(D5053="REMOVE",COUNTIF($D$2:D5053,"REMOVE"),"")</f>
        <v/>
      </c>
      <c r="I5053">
        <f>IF(E5053="Gmail",COUNTIF($E$2:E5053,"Gmail"),"")</f>
        <v/>
      </c>
      <c r="J5053">
        <f>IF(E5053="Outlook",COUNTIF($E$2:E5053,"Outlook"),"")</f>
        <v/>
      </c>
      <c r="K5053">
        <f>IF(E5053="Domain",COUNTIF($E$2:E5053,"Domain"),"")</f>
        <v/>
      </c>
    </row>
    <row r="5054">
      <c r="A5054" s="2" t="n"/>
      <c r="B5054">
        <f>LOWER(TRIM(A5054))</f>
        <v/>
      </c>
      <c r="C5054">
        <f>IF(B5054="","",IFERROR(INDEX('Bad Patterns'!$A$2:$A$120,MATCH(1,INDEX(--ISNUMBER(SEARCH('Bad Patterns'!$A$2:$A$120,B5054)),0),0)),""))</f>
        <v/>
      </c>
      <c r="D5054">
        <f>IF(B5054="","",IF(C5054&lt;&gt;"","REMOVE","KEEP"))</f>
        <v/>
      </c>
      <c r="E5054">
        <f>IF(D5054&lt;&gt;"KEEP","",IF(RIGHT(B5054,10)="@gmail.com","Gmail",IF(OR(RIGHT(B5054,12)="@outlook.com",RIGHT(B5054,12)="@hotmail.com",RIGHT(B5054,9)="@live.com"),"Outlook","Domain")))</f>
        <v/>
      </c>
      <c r="F5054">
        <f>IF(B5054="","",IFERROR(RIGHT(B5054,LEN(B5054)-FIND("@",B5054)),""))</f>
        <v/>
      </c>
      <c r="G5054">
        <f>IF(D5054="KEEP",COUNTIF($D$2:D5054,"KEEP"),"")</f>
        <v/>
      </c>
      <c r="H5054">
        <f>IF(D5054="REMOVE",COUNTIF($D$2:D5054,"REMOVE"),"")</f>
        <v/>
      </c>
      <c r="I5054">
        <f>IF(E5054="Gmail",COUNTIF($E$2:E5054,"Gmail"),"")</f>
        <v/>
      </c>
      <c r="J5054">
        <f>IF(E5054="Outlook",COUNTIF($E$2:E5054,"Outlook"),"")</f>
        <v/>
      </c>
      <c r="K5054">
        <f>IF(E5054="Domain",COUNTIF($E$2:E5054,"Domain"),"")</f>
        <v/>
      </c>
    </row>
    <row r="5055">
      <c r="A5055" s="2" t="n"/>
      <c r="B5055">
        <f>LOWER(TRIM(A5055))</f>
        <v/>
      </c>
      <c r="C5055">
        <f>IF(B5055="","",IFERROR(INDEX('Bad Patterns'!$A$2:$A$120,MATCH(1,INDEX(--ISNUMBER(SEARCH('Bad Patterns'!$A$2:$A$120,B5055)),0),0)),""))</f>
        <v/>
      </c>
      <c r="D5055">
        <f>IF(B5055="","",IF(C5055&lt;&gt;"","REMOVE","KEEP"))</f>
        <v/>
      </c>
      <c r="E5055">
        <f>IF(D5055&lt;&gt;"KEEP","",IF(RIGHT(B5055,10)="@gmail.com","Gmail",IF(OR(RIGHT(B5055,12)="@outlook.com",RIGHT(B5055,12)="@hotmail.com",RIGHT(B5055,9)="@live.com"),"Outlook","Domain")))</f>
        <v/>
      </c>
      <c r="F5055">
        <f>IF(B5055="","",IFERROR(RIGHT(B5055,LEN(B5055)-FIND("@",B5055)),""))</f>
        <v/>
      </c>
      <c r="G5055">
        <f>IF(D5055="KEEP",COUNTIF($D$2:D5055,"KEEP"),"")</f>
        <v/>
      </c>
      <c r="H5055">
        <f>IF(D5055="REMOVE",COUNTIF($D$2:D5055,"REMOVE"),"")</f>
        <v/>
      </c>
      <c r="I5055">
        <f>IF(E5055="Gmail",COUNTIF($E$2:E5055,"Gmail"),"")</f>
        <v/>
      </c>
      <c r="J5055">
        <f>IF(E5055="Outlook",COUNTIF($E$2:E5055,"Outlook"),"")</f>
        <v/>
      </c>
      <c r="K5055">
        <f>IF(E5055="Domain",COUNTIF($E$2:E5055,"Domain"),"")</f>
        <v/>
      </c>
    </row>
    <row r="5056">
      <c r="A5056" s="2" t="n"/>
      <c r="B5056">
        <f>LOWER(TRIM(A5056))</f>
        <v/>
      </c>
      <c r="C5056">
        <f>IF(B5056="","",IFERROR(INDEX('Bad Patterns'!$A$2:$A$120,MATCH(1,INDEX(--ISNUMBER(SEARCH('Bad Patterns'!$A$2:$A$120,B5056)),0),0)),""))</f>
        <v/>
      </c>
      <c r="D5056">
        <f>IF(B5056="","",IF(C5056&lt;&gt;"","REMOVE","KEEP"))</f>
        <v/>
      </c>
      <c r="E5056">
        <f>IF(D5056&lt;&gt;"KEEP","",IF(RIGHT(B5056,10)="@gmail.com","Gmail",IF(OR(RIGHT(B5056,12)="@outlook.com",RIGHT(B5056,12)="@hotmail.com",RIGHT(B5056,9)="@live.com"),"Outlook","Domain")))</f>
        <v/>
      </c>
      <c r="F5056">
        <f>IF(B5056="","",IFERROR(RIGHT(B5056,LEN(B5056)-FIND("@",B5056)),""))</f>
        <v/>
      </c>
      <c r="G5056">
        <f>IF(D5056="KEEP",COUNTIF($D$2:D5056,"KEEP"),"")</f>
        <v/>
      </c>
      <c r="H5056">
        <f>IF(D5056="REMOVE",COUNTIF($D$2:D5056,"REMOVE"),"")</f>
        <v/>
      </c>
      <c r="I5056">
        <f>IF(E5056="Gmail",COUNTIF($E$2:E5056,"Gmail"),"")</f>
        <v/>
      </c>
      <c r="J5056">
        <f>IF(E5056="Outlook",COUNTIF($E$2:E5056,"Outlook"),"")</f>
        <v/>
      </c>
      <c r="K5056">
        <f>IF(E5056="Domain",COUNTIF($E$2:E5056,"Domain"),"")</f>
        <v/>
      </c>
    </row>
    <row r="5057">
      <c r="A5057" s="2" t="n"/>
      <c r="B5057">
        <f>LOWER(TRIM(A5057))</f>
        <v/>
      </c>
      <c r="C5057">
        <f>IF(B5057="","",IFERROR(INDEX('Bad Patterns'!$A$2:$A$120,MATCH(1,INDEX(--ISNUMBER(SEARCH('Bad Patterns'!$A$2:$A$120,B5057)),0),0)),""))</f>
        <v/>
      </c>
      <c r="D5057">
        <f>IF(B5057="","",IF(C5057&lt;&gt;"","REMOVE","KEEP"))</f>
        <v/>
      </c>
      <c r="E5057">
        <f>IF(D5057&lt;&gt;"KEEP","",IF(RIGHT(B5057,10)="@gmail.com","Gmail",IF(OR(RIGHT(B5057,12)="@outlook.com",RIGHT(B5057,12)="@hotmail.com",RIGHT(B5057,9)="@live.com"),"Outlook","Domain")))</f>
        <v/>
      </c>
      <c r="F5057">
        <f>IF(B5057="","",IFERROR(RIGHT(B5057,LEN(B5057)-FIND("@",B5057)),""))</f>
        <v/>
      </c>
      <c r="G5057">
        <f>IF(D5057="KEEP",COUNTIF($D$2:D5057,"KEEP"),"")</f>
        <v/>
      </c>
      <c r="H5057">
        <f>IF(D5057="REMOVE",COUNTIF($D$2:D5057,"REMOVE"),"")</f>
        <v/>
      </c>
      <c r="I5057">
        <f>IF(E5057="Gmail",COUNTIF($E$2:E5057,"Gmail"),"")</f>
        <v/>
      </c>
      <c r="J5057">
        <f>IF(E5057="Outlook",COUNTIF($E$2:E5057,"Outlook"),"")</f>
        <v/>
      </c>
      <c r="K5057">
        <f>IF(E5057="Domain",COUNTIF($E$2:E5057,"Domain"),"")</f>
        <v/>
      </c>
    </row>
    <row r="5058">
      <c r="A5058" s="2" t="n"/>
      <c r="B5058">
        <f>LOWER(TRIM(A5058))</f>
        <v/>
      </c>
      <c r="C5058">
        <f>IF(B5058="","",IFERROR(INDEX('Bad Patterns'!$A$2:$A$120,MATCH(1,INDEX(--ISNUMBER(SEARCH('Bad Patterns'!$A$2:$A$120,B5058)),0),0)),""))</f>
        <v/>
      </c>
      <c r="D5058">
        <f>IF(B5058="","",IF(C5058&lt;&gt;"","REMOVE","KEEP"))</f>
        <v/>
      </c>
      <c r="E5058">
        <f>IF(D5058&lt;&gt;"KEEP","",IF(RIGHT(B5058,10)="@gmail.com","Gmail",IF(OR(RIGHT(B5058,12)="@outlook.com",RIGHT(B5058,12)="@hotmail.com",RIGHT(B5058,9)="@live.com"),"Outlook","Domain")))</f>
        <v/>
      </c>
      <c r="F5058">
        <f>IF(B5058="","",IFERROR(RIGHT(B5058,LEN(B5058)-FIND("@",B5058)),""))</f>
        <v/>
      </c>
      <c r="G5058">
        <f>IF(D5058="KEEP",COUNTIF($D$2:D5058,"KEEP"),"")</f>
        <v/>
      </c>
      <c r="H5058">
        <f>IF(D5058="REMOVE",COUNTIF($D$2:D5058,"REMOVE"),"")</f>
        <v/>
      </c>
      <c r="I5058">
        <f>IF(E5058="Gmail",COUNTIF($E$2:E5058,"Gmail"),"")</f>
        <v/>
      </c>
      <c r="J5058">
        <f>IF(E5058="Outlook",COUNTIF($E$2:E5058,"Outlook"),"")</f>
        <v/>
      </c>
      <c r="K5058">
        <f>IF(E5058="Domain",COUNTIF($E$2:E5058,"Domain"),"")</f>
        <v/>
      </c>
    </row>
    <row r="5059">
      <c r="A5059" s="2" t="n"/>
      <c r="B5059">
        <f>LOWER(TRIM(A5059))</f>
        <v/>
      </c>
      <c r="C5059">
        <f>IF(B5059="","",IFERROR(INDEX('Bad Patterns'!$A$2:$A$120,MATCH(1,INDEX(--ISNUMBER(SEARCH('Bad Patterns'!$A$2:$A$120,B5059)),0),0)),""))</f>
        <v/>
      </c>
      <c r="D5059">
        <f>IF(B5059="","",IF(C5059&lt;&gt;"","REMOVE","KEEP"))</f>
        <v/>
      </c>
      <c r="E5059">
        <f>IF(D5059&lt;&gt;"KEEP","",IF(RIGHT(B5059,10)="@gmail.com","Gmail",IF(OR(RIGHT(B5059,12)="@outlook.com",RIGHT(B5059,12)="@hotmail.com",RIGHT(B5059,9)="@live.com"),"Outlook","Domain")))</f>
        <v/>
      </c>
      <c r="F5059">
        <f>IF(B5059="","",IFERROR(RIGHT(B5059,LEN(B5059)-FIND("@",B5059)),""))</f>
        <v/>
      </c>
      <c r="G5059">
        <f>IF(D5059="KEEP",COUNTIF($D$2:D5059,"KEEP"),"")</f>
        <v/>
      </c>
      <c r="H5059">
        <f>IF(D5059="REMOVE",COUNTIF($D$2:D5059,"REMOVE"),"")</f>
        <v/>
      </c>
      <c r="I5059">
        <f>IF(E5059="Gmail",COUNTIF($E$2:E5059,"Gmail"),"")</f>
        <v/>
      </c>
      <c r="J5059">
        <f>IF(E5059="Outlook",COUNTIF($E$2:E5059,"Outlook"),"")</f>
        <v/>
      </c>
      <c r="K5059">
        <f>IF(E5059="Domain",COUNTIF($E$2:E5059,"Domain"),"")</f>
        <v/>
      </c>
    </row>
    <row r="5060">
      <c r="A5060" s="2" t="n"/>
      <c r="B5060">
        <f>LOWER(TRIM(A5060))</f>
        <v/>
      </c>
      <c r="C5060">
        <f>IF(B5060="","",IFERROR(INDEX('Bad Patterns'!$A$2:$A$120,MATCH(1,INDEX(--ISNUMBER(SEARCH('Bad Patterns'!$A$2:$A$120,B5060)),0),0)),""))</f>
        <v/>
      </c>
      <c r="D5060">
        <f>IF(B5060="","",IF(C5060&lt;&gt;"","REMOVE","KEEP"))</f>
        <v/>
      </c>
      <c r="E5060">
        <f>IF(D5060&lt;&gt;"KEEP","",IF(RIGHT(B5060,10)="@gmail.com","Gmail",IF(OR(RIGHT(B5060,12)="@outlook.com",RIGHT(B5060,12)="@hotmail.com",RIGHT(B5060,9)="@live.com"),"Outlook","Domain")))</f>
        <v/>
      </c>
      <c r="F5060">
        <f>IF(B5060="","",IFERROR(RIGHT(B5060,LEN(B5060)-FIND("@",B5060)),""))</f>
        <v/>
      </c>
      <c r="G5060">
        <f>IF(D5060="KEEP",COUNTIF($D$2:D5060,"KEEP"),"")</f>
        <v/>
      </c>
      <c r="H5060">
        <f>IF(D5060="REMOVE",COUNTIF($D$2:D5060,"REMOVE"),"")</f>
        <v/>
      </c>
      <c r="I5060">
        <f>IF(E5060="Gmail",COUNTIF($E$2:E5060,"Gmail"),"")</f>
        <v/>
      </c>
      <c r="J5060">
        <f>IF(E5060="Outlook",COUNTIF($E$2:E5060,"Outlook"),"")</f>
        <v/>
      </c>
      <c r="K5060">
        <f>IF(E5060="Domain",COUNTIF($E$2:E5060,"Domain"),"")</f>
        <v/>
      </c>
    </row>
    <row r="5061">
      <c r="A5061" s="2" t="n"/>
      <c r="B5061">
        <f>LOWER(TRIM(A5061))</f>
        <v/>
      </c>
      <c r="C5061">
        <f>IF(B5061="","",IFERROR(INDEX('Bad Patterns'!$A$2:$A$120,MATCH(1,INDEX(--ISNUMBER(SEARCH('Bad Patterns'!$A$2:$A$120,B5061)),0),0)),""))</f>
        <v/>
      </c>
      <c r="D5061">
        <f>IF(B5061="","",IF(C5061&lt;&gt;"","REMOVE","KEEP"))</f>
        <v/>
      </c>
      <c r="E5061">
        <f>IF(D5061&lt;&gt;"KEEP","",IF(RIGHT(B5061,10)="@gmail.com","Gmail",IF(OR(RIGHT(B5061,12)="@outlook.com",RIGHT(B5061,12)="@hotmail.com",RIGHT(B5061,9)="@live.com"),"Outlook","Domain")))</f>
        <v/>
      </c>
      <c r="F5061">
        <f>IF(B5061="","",IFERROR(RIGHT(B5061,LEN(B5061)-FIND("@",B5061)),""))</f>
        <v/>
      </c>
      <c r="G5061">
        <f>IF(D5061="KEEP",COUNTIF($D$2:D5061,"KEEP"),"")</f>
        <v/>
      </c>
      <c r="H5061">
        <f>IF(D5061="REMOVE",COUNTIF($D$2:D5061,"REMOVE"),"")</f>
        <v/>
      </c>
      <c r="I5061">
        <f>IF(E5061="Gmail",COUNTIF($E$2:E5061,"Gmail"),"")</f>
        <v/>
      </c>
      <c r="J5061">
        <f>IF(E5061="Outlook",COUNTIF($E$2:E5061,"Outlook"),"")</f>
        <v/>
      </c>
      <c r="K5061">
        <f>IF(E5061="Domain",COUNTIF($E$2:E5061,"Domain"),"")</f>
        <v/>
      </c>
    </row>
    <row r="5062">
      <c r="A5062" s="2" t="n"/>
      <c r="B5062">
        <f>LOWER(TRIM(A5062))</f>
        <v/>
      </c>
      <c r="C5062">
        <f>IF(B5062="","",IFERROR(INDEX('Bad Patterns'!$A$2:$A$120,MATCH(1,INDEX(--ISNUMBER(SEARCH('Bad Patterns'!$A$2:$A$120,B5062)),0),0)),""))</f>
        <v/>
      </c>
      <c r="D5062">
        <f>IF(B5062="","",IF(C5062&lt;&gt;"","REMOVE","KEEP"))</f>
        <v/>
      </c>
      <c r="E5062">
        <f>IF(D5062&lt;&gt;"KEEP","",IF(RIGHT(B5062,10)="@gmail.com","Gmail",IF(OR(RIGHT(B5062,12)="@outlook.com",RIGHT(B5062,12)="@hotmail.com",RIGHT(B5062,9)="@live.com"),"Outlook","Domain")))</f>
        <v/>
      </c>
      <c r="F5062">
        <f>IF(B5062="","",IFERROR(RIGHT(B5062,LEN(B5062)-FIND("@",B5062)),""))</f>
        <v/>
      </c>
      <c r="G5062">
        <f>IF(D5062="KEEP",COUNTIF($D$2:D5062,"KEEP"),"")</f>
        <v/>
      </c>
      <c r="H5062">
        <f>IF(D5062="REMOVE",COUNTIF($D$2:D5062,"REMOVE"),"")</f>
        <v/>
      </c>
      <c r="I5062">
        <f>IF(E5062="Gmail",COUNTIF($E$2:E5062,"Gmail"),"")</f>
        <v/>
      </c>
      <c r="J5062">
        <f>IF(E5062="Outlook",COUNTIF($E$2:E5062,"Outlook"),"")</f>
        <v/>
      </c>
      <c r="K5062">
        <f>IF(E5062="Domain",COUNTIF($E$2:E5062,"Domain"),"")</f>
        <v/>
      </c>
    </row>
    <row r="5063">
      <c r="A5063" s="2" t="n"/>
      <c r="B5063">
        <f>LOWER(TRIM(A5063))</f>
        <v/>
      </c>
      <c r="C5063">
        <f>IF(B5063="","",IFERROR(INDEX('Bad Patterns'!$A$2:$A$120,MATCH(1,INDEX(--ISNUMBER(SEARCH('Bad Patterns'!$A$2:$A$120,B5063)),0),0)),""))</f>
        <v/>
      </c>
      <c r="D5063">
        <f>IF(B5063="","",IF(C5063&lt;&gt;"","REMOVE","KEEP"))</f>
        <v/>
      </c>
      <c r="E5063">
        <f>IF(D5063&lt;&gt;"KEEP","",IF(RIGHT(B5063,10)="@gmail.com","Gmail",IF(OR(RIGHT(B5063,12)="@outlook.com",RIGHT(B5063,12)="@hotmail.com",RIGHT(B5063,9)="@live.com"),"Outlook","Domain")))</f>
        <v/>
      </c>
      <c r="F5063">
        <f>IF(B5063="","",IFERROR(RIGHT(B5063,LEN(B5063)-FIND("@",B5063)),""))</f>
        <v/>
      </c>
      <c r="G5063">
        <f>IF(D5063="KEEP",COUNTIF($D$2:D5063,"KEEP"),"")</f>
        <v/>
      </c>
      <c r="H5063">
        <f>IF(D5063="REMOVE",COUNTIF($D$2:D5063,"REMOVE"),"")</f>
        <v/>
      </c>
      <c r="I5063">
        <f>IF(E5063="Gmail",COUNTIF($E$2:E5063,"Gmail"),"")</f>
        <v/>
      </c>
      <c r="J5063">
        <f>IF(E5063="Outlook",COUNTIF($E$2:E5063,"Outlook"),"")</f>
        <v/>
      </c>
      <c r="K5063">
        <f>IF(E5063="Domain",COUNTIF($E$2:E5063,"Domain"),"")</f>
        <v/>
      </c>
    </row>
    <row r="5064">
      <c r="A5064" s="2" t="n"/>
      <c r="B5064">
        <f>LOWER(TRIM(A5064))</f>
        <v/>
      </c>
      <c r="C5064">
        <f>IF(B5064="","",IFERROR(INDEX('Bad Patterns'!$A$2:$A$120,MATCH(1,INDEX(--ISNUMBER(SEARCH('Bad Patterns'!$A$2:$A$120,B5064)),0),0)),""))</f>
        <v/>
      </c>
      <c r="D5064">
        <f>IF(B5064="","",IF(C5064&lt;&gt;"","REMOVE","KEEP"))</f>
        <v/>
      </c>
      <c r="E5064">
        <f>IF(D5064&lt;&gt;"KEEP","",IF(RIGHT(B5064,10)="@gmail.com","Gmail",IF(OR(RIGHT(B5064,12)="@outlook.com",RIGHT(B5064,12)="@hotmail.com",RIGHT(B5064,9)="@live.com"),"Outlook","Domain")))</f>
        <v/>
      </c>
      <c r="F5064">
        <f>IF(B5064="","",IFERROR(RIGHT(B5064,LEN(B5064)-FIND("@",B5064)),""))</f>
        <v/>
      </c>
      <c r="G5064">
        <f>IF(D5064="KEEP",COUNTIF($D$2:D5064,"KEEP"),"")</f>
        <v/>
      </c>
      <c r="H5064">
        <f>IF(D5064="REMOVE",COUNTIF($D$2:D5064,"REMOVE"),"")</f>
        <v/>
      </c>
      <c r="I5064">
        <f>IF(E5064="Gmail",COUNTIF($E$2:E5064,"Gmail"),"")</f>
        <v/>
      </c>
      <c r="J5064">
        <f>IF(E5064="Outlook",COUNTIF($E$2:E5064,"Outlook"),"")</f>
        <v/>
      </c>
      <c r="K5064">
        <f>IF(E5064="Domain",COUNTIF($E$2:E5064,"Domain"),"")</f>
        <v/>
      </c>
    </row>
    <row r="5065">
      <c r="A5065" s="2" t="n"/>
      <c r="B5065">
        <f>LOWER(TRIM(A5065))</f>
        <v/>
      </c>
      <c r="C5065">
        <f>IF(B5065="","",IFERROR(INDEX('Bad Patterns'!$A$2:$A$120,MATCH(1,INDEX(--ISNUMBER(SEARCH('Bad Patterns'!$A$2:$A$120,B5065)),0),0)),""))</f>
        <v/>
      </c>
      <c r="D5065">
        <f>IF(B5065="","",IF(C5065&lt;&gt;"","REMOVE","KEEP"))</f>
        <v/>
      </c>
      <c r="E5065">
        <f>IF(D5065&lt;&gt;"KEEP","",IF(RIGHT(B5065,10)="@gmail.com","Gmail",IF(OR(RIGHT(B5065,12)="@outlook.com",RIGHT(B5065,12)="@hotmail.com",RIGHT(B5065,9)="@live.com"),"Outlook","Domain")))</f>
        <v/>
      </c>
      <c r="F5065">
        <f>IF(B5065="","",IFERROR(RIGHT(B5065,LEN(B5065)-FIND("@",B5065)),""))</f>
        <v/>
      </c>
      <c r="G5065">
        <f>IF(D5065="KEEP",COUNTIF($D$2:D5065,"KEEP"),"")</f>
        <v/>
      </c>
      <c r="H5065">
        <f>IF(D5065="REMOVE",COUNTIF($D$2:D5065,"REMOVE"),"")</f>
        <v/>
      </c>
      <c r="I5065">
        <f>IF(E5065="Gmail",COUNTIF($E$2:E5065,"Gmail"),"")</f>
        <v/>
      </c>
      <c r="J5065">
        <f>IF(E5065="Outlook",COUNTIF($E$2:E5065,"Outlook"),"")</f>
        <v/>
      </c>
      <c r="K5065">
        <f>IF(E5065="Domain",COUNTIF($E$2:E5065,"Domain"),"")</f>
        <v/>
      </c>
    </row>
    <row r="5066">
      <c r="A5066" s="2" t="n"/>
      <c r="B5066">
        <f>LOWER(TRIM(A5066))</f>
        <v/>
      </c>
      <c r="C5066">
        <f>IF(B5066="","",IFERROR(INDEX('Bad Patterns'!$A$2:$A$120,MATCH(1,INDEX(--ISNUMBER(SEARCH('Bad Patterns'!$A$2:$A$120,B5066)),0),0)),""))</f>
        <v/>
      </c>
      <c r="D5066">
        <f>IF(B5066="","",IF(C5066&lt;&gt;"","REMOVE","KEEP"))</f>
        <v/>
      </c>
      <c r="E5066">
        <f>IF(D5066&lt;&gt;"KEEP","",IF(RIGHT(B5066,10)="@gmail.com","Gmail",IF(OR(RIGHT(B5066,12)="@outlook.com",RIGHT(B5066,12)="@hotmail.com",RIGHT(B5066,9)="@live.com"),"Outlook","Domain")))</f>
        <v/>
      </c>
      <c r="F5066">
        <f>IF(B5066="","",IFERROR(RIGHT(B5066,LEN(B5066)-FIND("@",B5066)),""))</f>
        <v/>
      </c>
      <c r="G5066">
        <f>IF(D5066="KEEP",COUNTIF($D$2:D5066,"KEEP"),"")</f>
        <v/>
      </c>
      <c r="H5066">
        <f>IF(D5066="REMOVE",COUNTIF($D$2:D5066,"REMOVE"),"")</f>
        <v/>
      </c>
      <c r="I5066">
        <f>IF(E5066="Gmail",COUNTIF($E$2:E5066,"Gmail"),"")</f>
        <v/>
      </c>
      <c r="J5066">
        <f>IF(E5066="Outlook",COUNTIF($E$2:E5066,"Outlook"),"")</f>
        <v/>
      </c>
      <c r="K5066">
        <f>IF(E5066="Domain",COUNTIF($E$2:E5066,"Domain"),"")</f>
        <v/>
      </c>
    </row>
    <row r="5067">
      <c r="A5067" s="2" t="n"/>
      <c r="B5067">
        <f>LOWER(TRIM(A5067))</f>
        <v/>
      </c>
      <c r="C5067">
        <f>IF(B5067="","",IFERROR(INDEX('Bad Patterns'!$A$2:$A$120,MATCH(1,INDEX(--ISNUMBER(SEARCH('Bad Patterns'!$A$2:$A$120,B5067)),0),0)),""))</f>
        <v/>
      </c>
      <c r="D5067">
        <f>IF(B5067="","",IF(C5067&lt;&gt;"","REMOVE","KEEP"))</f>
        <v/>
      </c>
      <c r="E5067">
        <f>IF(D5067&lt;&gt;"KEEP","",IF(RIGHT(B5067,10)="@gmail.com","Gmail",IF(OR(RIGHT(B5067,12)="@outlook.com",RIGHT(B5067,12)="@hotmail.com",RIGHT(B5067,9)="@live.com"),"Outlook","Domain")))</f>
        <v/>
      </c>
      <c r="F5067">
        <f>IF(B5067="","",IFERROR(RIGHT(B5067,LEN(B5067)-FIND("@",B5067)),""))</f>
        <v/>
      </c>
      <c r="G5067">
        <f>IF(D5067="KEEP",COUNTIF($D$2:D5067,"KEEP"),"")</f>
        <v/>
      </c>
      <c r="H5067">
        <f>IF(D5067="REMOVE",COUNTIF($D$2:D5067,"REMOVE"),"")</f>
        <v/>
      </c>
      <c r="I5067">
        <f>IF(E5067="Gmail",COUNTIF($E$2:E5067,"Gmail"),"")</f>
        <v/>
      </c>
      <c r="J5067">
        <f>IF(E5067="Outlook",COUNTIF($E$2:E5067,"Outlook"),"")</f>
        <v/>
      </c>
      <c r="K5067">
        <f>IF(E5067="Domain",COUNTIF($E$2:E5067,"Domain"),"")</f>
        <v/>
      </c>
    </row>
    <row r="5068">
      <c r="A5068" s="2" t="n"/>
      <c r="B5068">
        <f>LOWER(TRIM(A5068))</f>
        <v/>
      </c>
      <c r="C5068">
        <f>IF(B5068="","",IFERROR(INDEX('Bad Patterns'!$A$2:$A$120,MATCH(1,INDEX(--ISNUMBER(SEARCH('Bad Patterns'!$A$2:$A$120,B5068)),0),0)),""))</f>
        <v/>
      </c>
      <c r="D5068">
        <f>IF(B5068="","",IF(C5068&lt;&gt;"","REMOVE","KEEP"))</f>
        <v/>
      </c>
      <c r="E5068">
        <f>IF(D5068&lt;&gt;"KEEP","",IF(RIGHT(B5068,10)="@gmail.com","Gmail",IF(OR(RIGHT(B5068,12)="@outlook.com",RIGHT(B5068,12)="@hotmail.com",RIGHT(B5068,9)="@live.com"),"Outlook","Domain")))</f>
        <v/>
      </c>
      <c r="F5068">
        <f>IF(B5068="","",IFERROR(RIGHT(B5068,LEN(B5068)-FIND("@",B5068)),""))</f>
        <v/>
      </c>
      <c r="G5068">
        <f>IF(D5068="KEEP",COUNTIF($D$2:D5068,"KEEP"),"")</f>
        <v/>
      </c>
      <c r="H5068">
        <f>IF(D5068="REMOVE",COUNTIF($D$2:D5068,"REMOVE"),"")</f>
        <v/>
      </c>
      <c r="I5068">
        <f>IF(E5068="Gmail",COUNTIF($E$2:E5068,"Gmail"),"")</f>
        <v/>
      </c>
      <c r="J5068">
        <f>IF(E5068="Outlook",COUNTIF($E$2:E5068,"Outlook"),"")</f>
        <v/>
      </c>
      <c r="K5068">
        <f>IF(E5068="Domain",COUNTIF($E$2:E5068,"Domain"),"")</f>
        <v/>
      </c>
    </row>
    <row r="5069">
      <c r="A5069" s="2" t="n"/>
      <c r="B5069">
        <f>LOWER(TRIM(A5069))</f>
        <v/>
      </c>
      <c r="C5069">
        <f>IF(B5069="","",IFERROR(INDEX('Bad Patterns'!$A$2:$A$120,MATCH(1,INDEX(--ISNUMBER(SEARCH('Bad Patterns'!$A$2:$A$120,B5069)),0),0)),""))</f>
        <v/>
      </c>
      <c r="D5069">
        <f>IF(B5069="","",IF(C5069&lt;&gt;"","REMOVE","KEEP"))</f>
        <v/>
      </c>
      <c r="E5069">
        <f>IF(D5069&lt;&gt;"KEEP","",IF(RIGHT(B5069,10)="@gmail.com","Gmail",IF(OR(RIGHT(B5069,12)="@outlook.com",RIGHT(B5069,12)="@hotmail.com",RIGHT(B5069,9)="@live.com"),"Outlook","Domain")))</f>
        <v/>
      </c>
      <c r="F5069">
        <f>IF(B5069="","",IFERROR(RIGHT(B5069,LEN(B5069)-FIND("@",B5069)),""))</f>
        <v/>
      </c>
      <c r="G5069">
        <f>IF(D5069="KEEP",COUNTIF($D$2:D5069,"KEEP"),"")</f>
        <v/>
      </c>
      <c r="H5069">
        <f>IF(D5069="REMOVE",COUNTIF($D$2:D5069,"REMOVE"),"")</f>
        <v/>
      </c>
      <c r="I5069">
        <f>IF(E5069="Gmail",COUNTIF($E$2:E5069,"Gmail"),"")</f>
        <v/>
      </c>
      <c r="J5069">
        <f>IF(E5069="Outlook",COUNTIF($E$2:E5069,"Outlook"),"")</f>
        <v/>
      </c>
      <c r="K5069">
        <f>IF(E5069="Domain",COUNTIF($E$2:E5069,"Domain"),"")</f>
        <v/>
      </c>
    </row>
    <row r="5070">
      <c r="A5070" s="2" t="n"/>
      <c r="B5070">
        <f>LOWER(TRIM(A5070))</f>
        <v/>
      </c>
      <c r="C5070">
        <f>IF(B5070="","",IFERROR(INDEX('Bad Patterns'!$A$2:$A$120,MATCH(1,INDEX(--ISNUMBER(SEARCH('Bad Patterns'!$A$2:$A$120,B5070)),0),0)),""))</f>
        <v/>
      </c>
      <c r="D5070">
        <f>IF(B5070="","",IF(C5070&lt;&gt;"","REMOVE","KEEP"))</f>
        <v/>
      </c>
      <c r="E5070">
        <f>IF(D5070&lt;&gt;"KEEP","",IF(RIGHT(B5070,10)="@gmail.com","Gmail",IF(OR(RIGHT(B5070,12)="@outlook.com",RIGHT(B5070,12)="@hotmail.com",RIGHT(B5070,9)="@live.com"),"Outlook","Domain")))</f>
        <v/>
      </c>
      <c r="F5070">
        <f>IF(B5070="","",IFERROR(RIGHT(B5070,LEN(B5070)-FIND("@",B5070)),""))</f>
        <v/>
      </c>
      <c r="G5070">
        <f>IF(D5070="KEEP",COUNTIF($D$2:D5070,"KEEP"),"")</f>
        <v/>
      </c>
      <c r="H5070">
        <f>IF(D5070="REMOVE",COUNTIF($D$2:D5070,"REMOVE"),"")</f>
        <v/>
      </c>
      <c r="I5070">
        <f>IF(E5070="Gmail",COUNTIF($E$2:E5070,"Gmail"),"")</f>
        <v/>
      </c>
      <c r="J5070">
        <f>IF(E5070="Outlook",COUNTIF($E$2:E5070,"Outlook"),"")</f>
        <v/>
      </c>
      <c r="K5070">
        <f>IF(E5070="Domain",COUNTIF($E$2:E5070,"Domain"),"")</f>
        <v/>
      </c>
    </row>
    <row r="5071">
      <c r="A5071" s="2" t="n"/>
      <c r="B5071">
        <f>LOWER(TRIM(A5071))</f>
        <v/>
      </c>
      <c r="C5071">
        <f>IF(B5071="","",IFERROR(INDEX('Bad Patterns'!$A$2:$A$120,MATCH(1,INDEX(--ISNUMBER(SEARCH('Bad Patterns'!$A$2:$A$120,B5071)),0),0)),""))</f>
        <v/>
      </c>
      <c r="D5071">
        <f>IF(B5071="","",IF(C5071&lt;&gt;"","REMOVE","KEEP"))</f>
        <v/>
      </c>
      <c r="E5071">
        <f>IF(D5071&lt;&gt;"KEEP","",IF(RIGHT(B5071,10)="@gmail.com","Gmail",IF(OR(RIGHT(B5071,12)="@outlook.com",RIGHT(B5071,12)="@hotmail.com",RIGHT(B5071,9)="@live.com"),"Outlook","Domain")))</f>
        <v/>
      </c>
      <c r="F5071">
        <f>IF(B5071="","",IFERROR(RIGHT(B5071,LEN(B5071)-FIND("@",B5071)),""))</f>
        <v/>
      </c>
      <c r="G5071">
        <f>IF(D5071="KEEP",COUNTIF($D$2:D5071,"KEEP"),"")</f>
        <v/>
      </c>
      <c r="H5071">
        <f>IF(D5071="REMOVE",COUNTIF($D$2:D5071,"REMOVE"),"")</f>
        <v/>
      </c>
      <c r="I5071">
        <f>IF(E5071="Gmail",COUNTIF($E$2:E5071,"Gmail"),"")</f>
        <v/>
      </c>
      <c r="J5071">
        <f>IF(E5071="Outlook",COUNTIF($E$2:E5071,"Outlook"),"")</f>
        <v/>
      </c>
      <c r="K5071">
        <f>IF(E5071="Domain",COUNTIF($E$2:E5071,"Domain"),"")</f>
        <v/>
      </c>
    </row>
    <row r="5072">
      <c r="A5072" s="2" t="n"/>
      <c r="B5072">
        <f>LOWER(TRIM(A5072))</f>
        <v/>
      </c>
      <c r="C5072">
        <f>IF(B5072="","",IFERROR(INDEX('Bad Patterns'!$A$2:$A$120,MATCH(1,INDEX(--ISNUMBER(SEARCH('Bad Patterns'!$A$2:$A$120,B5072)),0),0)),""))</f>
        <v/>
      </c>
      <c r="D5072">
        <f>IF(B5072="","",IF(C5072&lt;&gt;"","REMOVE","KEEP"))</f>
        <v/>
      </c>
      <c r="E5072">
        <f>IF(D5072&lt;&gt;"KEEP","",IF(RIGHT(B5072,10)="@gmail.com","Gmail",IF(OR(RIGHT(B5072,12)="@outlook.com",RIGHT(B5072,12)="@hotmail.com",RIGHT(B5072,9)="@live.com"),"Outlook","Domain")))</f>
        <v/>
      </c>
      <c r="F5072">
        <f>IF(B5072="","",IFERROR(RIGHT(B5072,LEN(B5072)-FIND("@",B5072)),""))</f>
        <v/>
      </c>
      <c r="G5072">
        <f>IF(D5072="KEEP",COUNTIF($D$2:D5072,"KEEP"),"")</f>
        <v/>
      </c>
      <c r="H5072">
        <f>IF(D5072="REMOVE",COUNTIF($D$2:D5072,"REMOVE"),"")</f>
        <v/>
      </c>
      <c r="I5072">
        <f>IF(E5072="Gmail",COUNTIF($E$2:E5072,"Gmail"),"")</f>
        <v/>
      </c>
      <c r="J5072">
        <f>IF(E5072="Outlook",COUNTIF($E$2:E5072,"Outlook"),"")</f>
        <v/>
      </c>
      <c r="K5072">
        <f>IF(E5072="Domain",COUNTIF($E$2:E5072,"Domain"),"")</f>
        <v/>
      </c>
    </row>
    <row r="5073">
      <c r="A5073" s="2" t="n"/>
      <c r="B5073">
        <f>LOWER(TRIM(A5073))</f>
        <v/>
      </c>
      <c r="C5073">
        <f>IF(B5073="","",IFERROR(INDEX('Bad Patterns'!$A$2:$A$120,MATCH(1,INDEX(--ISNUMBER(SEARCH('Bad Patterns'!$A$2:$A$120,B5073)),0),0)),""))</f>
        <v/>
      </c>
      <c r="D5073">
        <f>IF(B5073="","",IF(C5073&lt;&gt;"","REMOVE","KEEP"))</f>
        <v/>
      </c>
      <c r="E5073">
        <f>IF(D5073&lt;&gt;"KEEP","",IF(RIGHT(B5073,10)="@gmail.com","Gmail",IF(OR(RIGHT(B5073,12)="@outlook.com",RIGHT(B5073,12)="@hotmail.com",RIGHT(B5073,9)="@live.com"),"Outlook","Domain")))</f>
        <v/>
      </c>
      <c r="F5073">
        <f>IF(B5073="","",IFERROR(RIGHT(B5073,LEN(B5073)-FIND("@",B5073)),""))</f>
        <v/>
      </c>
      <c r="G5073">
        <f>IF(D5073="KEEP",COUNTIF($D$2:D5073,"KEEP"),"")</f>
        <v/>
      </c>
      <c r="H5073">
        <f>IF(D5073="REMOVE",COUNTIF($D$2:D5073,"REMOVE"),"")</f>
        <v/>
      </c>
      <c r="I5073">
        <f>IF(E5073="Gmail",COUNTIF($E$2:E5073,"Gmail"),"")</f>
        <v/>
      </c>
      <c r="J5073">
        <f>IF(E5073="Outlook",COUNTIF($E$2:E5073,"Outlook"),"")</f>
        <v/>
      </c>
      <c r="K5073">
        <f>IF(E5073="Domain",COUNTIF($E$2:E5073,"Domain"),"")</f>
        <v/>
      </c>
    </row>
    <row r="5074">
      <c r="A5074" s="2" t="n"/>
      <c r="B5074">
        <f>LOWER(TRIM(A5074))</f>
        <v/>
      </c>
      <c r="C5074">
        <f>IF(B5074="","",IFERROR(INDEX('Bad Patterns'!$A$2:$A$120,MATCH(1,INDEX(--ISNUMBER(SEARCH('Bad Patterns'!$A$2:$A$120,B5074)),0),0)),""))</f>
        <v/>
      </c>
      <c r="D5074">
        <f>IF(B5074="","",IF(C5074&lt;&gt;"","REMOVE","KEEP"))</f>
        <v/>
      </c>
      <c r="E5074">
        <f>IF(D5074&lt;&gt;"KEEP","",IF(RIGHT(B5074,10)="@gmail.com","Gmail",IF(OR(RIGHT(B5074,12)="@outlook.com",RIGHT(B5074,12)="@hotmail.com",RIGHT(B5074,9)="@live.com"),"Outlook","Domain")))</f>
        <v/>
      </c>
      <c r="F5074">
        <f>IF(B5074="","",IFERROR(RIGHT(B5074,LEN(B5074)-FIND("@",B5074)),""))</f>
        <v/>
      </c>
      <c r="G5074">
        <f>IF(D5074="KEEP",COUNTIF($D$2:D5074,"KEEP"),"")</f>
        <v/>
      </c>
      <c r="H5074">
        <f>IF(D5074="REMOVE",COUNTIF($D$2:D5074,"REMOVE"),"")</f>
        <v/>
      </c>
      <c r="I5074">
        <f>IF(E5074="Gmail",COUNTIF($E$2:E5074,"Gmail"),"")</f>
        <v/>
      </c>
      <c r="J5074">
        <f>IF(E5074="Outlook",COUNTIF($E$2:E5074,"Outlook"),"")</f>
        <v/>
      </c>
      <c r="K5074">
        <f>IF(E5074="Domain",COUNTIF($E$2:E5074,"Domain"),"")</f>
        <v/>
      </c>
    </row>
    <row r="5075">
      <c r="A5075" s="2" t="n"/>
      <c r="B5075">
        <f>LOWER(TRIM(A5075))</f>
        <v/>
      </c>
      <c r="C5075">
        <f>IF(B5075="","",IFERROR(INDEX('Bad Patterns'!$A$2:$A$120,MATCH(1,INDEX(--ISNUMBER(SEARCH('Bad Patterns'!$A$2:$A$120,B5075)),0),0)),""))</f>
        <v/>
      </c>
      <c r="D5075">
        <f>IF(B5075="","",IF(C5075&lt;&gt;"","REMOVE","KEEP"))</f>
        <v/>
      </c>
      <c r="E5075">
        <f>IF(D5075&lt;&gt;"KEEP","",IF(RIGHT(B5075,10)="@gmail.com","Gmail",IF(OR(RIGHT(B5075,12)="@outlook.com",RIGHT(B5075,12)="@hotmail.com",RIGHT(B5075,9)="@live.com"),"Outlook","Domain")))</f>
        <v/>
      </c>
      <c r="F5075">
        <f>IF(B5075="","",IFERROR(RIGHT(B5075,LEN(B5075)-FIND("@",B5075)),""))</f>
        <v/>
      </c>
      <c r="G5075">
        <f>IF(D5075="KEEP",COUNTIF($D$2:D5075,"KEEP"),"")</f>
        <v/>
      </c>
      <c r="H5075">
        <f>IF(D5075="REMOVE",COUNTIF($D$2:D5075,"REMOVE"),"")</f>
        <v/>
      </c>
      <c r="I5075">
        <f>IF(E5075="Gmail",COUNTIF($E$2:E5075,"Gmail"),"")</f>
        <v/>
      </c>
      <c r="J5075">
        <f>IF(E5075="Outlook",COUNTIF($E$2:E5075,"Outlook"),"")</f>
        <v/>
      </c>
      <c r="K5075">
        <f>IF(E5075="Domain",COUNTIF($E$2:E5075,"Domain"),"")</f>
        <v/>
      </c>
    </row>
    <row r="5076">
      <c r="A5076" s="2" t="n"/>
      <c r="B5076">
        <f>LOWER(TRIM(A5076))</f>
        <v/>
      </c>
      <c r="C5076">
        <f>IF(B5076="","",IFERROR(INDEX('Bad Patterns'!$A$2:$A$120,MATCH(1,INDEX(--ISNUMBER(SEARCH('Bad Patterns'!$A$2:$A$120,B5076)),0),0)),""))</f>
        <v/>
      </c>
      <c r="D5076">
        <f>IF(B5076="","",IF(C5076&lt;&gt;"","REMOVE","KEEP"))</f>
        <v/>
      </c>
      <c r="E5076">
        <f>IF(D5076&lt;&gt;"KEEP","",IF(RIGHT(B5076,10)="@gmail.com","Gmail",IF(OR(RIGHT(B5076,12)="@outlook.com",RIGHT(B5076,12)="@hotmail.com",RIGHT(B5076,9)="@live.com"),"Outlook","Domain")))</f>
        <v/>
      </c>
      <c r="F5076">
        <f>IF(B5076="","",IFERROR(RIGHT(B5076,LEN(B5076)-FIND("@",B5076)),""))</f>
        <v/>
      </c>
      <c r="G5076">
        <f>IF(D5076="KEEP",COUNTIF($D$2:D5076,"KEEP"),"")</f>
        <v/>
      </c>
      <c r="H5076">
        <f>IF(D5076="REMOVE",COUNTIF($D$2:D5076,"REMOVE"),"")</f>
        <v/>
      </c>
      <c r="I5076">
        <f>IF(E5076="Gmail",COUNTIF($E$2:E5076,"Gmail"),"")</f>
        <v/>
      </c>
      <c r="J5076">
        <f>IF(E5076="Outlook",COUNTIF($E$2:E5076,"Outlook"),"")</f>
        <v/>
      </c>
      <c r="K5076">
        <f>IF(E5076="Domain",COUNTIF($E$2:E5076,"Domain"),"")</f>
        <v/>
      </c>
    </row>
    <row r="5077">
      <c r="A5077" s="2" t="n"/>
      <c r="B5077">
        <f>LOWER(TRIM(A5077))</f>
        <v/>
      </c>
      <c r="C5077">
        <f>IF(B5077="","",IFERROR(INDEX('Bad Patterns'!$A$2:$A$120,MATCH(1,INDEX(--ISNUMBER(SEARCH('Bad Patterns'!$A$2:$A$120,B5077)),0),0)),""))</f>
        <v/>
      </c>
      <c r="D5077">
        <f>IF(B5077="","",IF(C5077&lt;&gt;"","REMOVE","KEEP"))</f>
        <v/>
      </c>
      <c r="E5077">
        <f>IF(D5077&lt;&gt;"KEEP","",IF(RIGHT(B5077,10)="@gmail.com","Gmail",IF(OR(RIGHT(B5077,12)="@outlook.com",RIGHT(B5077,12)="@hotmail.com",RIGHT(B5077,9)="@live.com"),"Outlook","Domain")))</f>
        <v/>
      </c>
      <c r="F5077">
        <f>IF(B5077="","",IFERROR(RIGHT(B5077,LEN(B5077)-FIND("@",B5077)),""))</f>
        <v/>
      </c>
      <c r="G5077">
        <f>IF(D5077="KEEP",COUNTIF($D$2:D5077,"KEEP"),"")</f>
        <v/>
      </c>
      <c r="H5077">
        <f>IF(D5077="REMOVE",COUNTIF($D$2:D5077,"REMOVE"),"")</f>
        <v/>
      </c>
      <c r="I5077">
        <f>IF(E5077="Gmail",COUNTIF($E$2:E5077,"Gmail"),"")</f>
        <v/>
      </c>
      <c r="J5077">
        <f>IF(E5077="Outlook",COUNTIF($E$2:E5077,"Outlook"),"")</f>
        <v/>
      </c>
      <c r="K5077">
        <f>IF(E5077="Domain",COUNTIF($E$2:E5077,"Domain"),"")</f>
        <v/>
      </c>
    </row>
    <row r="5078">
      <c r="A5078" s="2" t="n"/>
      <c r="B5078">
        <f>LOWER(TRIM(A5078))</f>
        <v/>
      </c>
      <c r="C5078">
        <f>IF(B5078="","",IFERROR(INDEX('Bad Patterns'!$A$2:$A$120,MATCH(1,INDEX(--ISNUMBER(SEARCH('Bad Patterns'!$A$2:$A$120,B5078)),0),0)),""))</f>
        <v/>
      </c>
      <c r="D5078">
        <f>IF(B5078="","",IF(C5078&lt;&gt;"","REMOVE","KEEP"))</f>
        <v/>
      </c>
      <c r="E5078">
        <f>IF(D5078&lt;&gt;"KEEP","",IF(RIGHT(B5078,10)="@gmail.com","Gmail",IF(OR(RIGHT(B5078,12)="@outlook.com",RIGHT(B5078,12)="@hotmail.com",RIGHT(B5078,9)="@live.com"),"Outlook","Domain")))</f>
        <v/>
      </c>
      <c r="F5078">
        <f>IF(B5078="","",IFERROR(RIGHT(B5078,LEN(B5078)-FIND("@",B5078)),""))</f>
        <v/>
      </c>
      <c r="G5078">
        <f>IF(D5078="KEEP",COUNTIF($D$2:D5078,"KEEP"),"")</f>
        <v/>
      </c>
      <c r="H5078">
        <f>IF(D5078="REMOVE",COUNTIF($D$2:D5078,"REMOVE"),"")</f>
        <v/>
      </c>
      <c r="I5078">
        <f>IF(E5078="Gmail",COUNTIF($E$2:E5078,"Gmail"),"")</f>
        <v/>
      </c>
      <c r="J5078">
        <f>IF(E5078="Outlook",COUNTIF($E$2:E5078,"Outlook"),"")</f>
        <v/>
      </c>
      <c r="K5078">
        <f>IF(E5078="Domain",COUNTIF($E$2:E5078,"Domain"),"")</f>
        <v/>
      </c>
    </row>
    <row r="5079">
      <c r="A5079" s="2" t="n"/>
      <c r="B5079">
        <f>LOWER(TRIM(A5079))</f>
        <v/>
      </c>
      <c r="C5079">
        <f>IF(B5079="","",IFERROR(INDEX('Bad Patterns'!$A$2:$A$120,MATCH(1,INDEX(--ISNUMBER(SEARCH('Bad Patterns'!$A$2:$A$120,B5079)),0),0)),""))</f>
        <v/>
      </c>
      <c r="D5079">
        <f>IF(B5079="","",IF(C5079&lt;&gt;"","REMOVE","KEEP"))</f>
        <v/>
      </c>
      <c r="E5079">
        <f>IF(D5079&lt;&gt;"KEEP","",IF(RIGHT(B5079,10)="@gmail.com","Gmail",IF(OR(RIGHT(B5079,12)="@outlook.com",RIGHT(B5079,12)="@hotmail.com",RIGHT(B5079,9)="@live.com"),"Outlook","Domain")))</f>
        <v/>
      </c>
      <c r="F5079">
        <f>IF(B5079="","",IFERROR(RIGHT(B5079,LEN(B5079)-FIND("@",B5079)),""))</f>
        <v/>
      </c>
      <c r="G5079">
        <f>IF(D5079="KEEP",COUNTIF($D$2:D5079,"KEEP"),"")</f>
        <v/>
      </c>
      <c r="H5079">
        <f>IF(D5079="REMOVE",COUNTIF($D$2:D5079,"REMOVE"),"")</f>
        <v/>
      </c>
      <c r="I5079">
        <f>IF(E5079="Gmail",COUNTIF($E$2:E5079,"Gmail"),"")</f>
        <v/>
      </c>
      <c r="J5079">
        <f>IF(E5079="Outlook",COUNTIF($E$2:E5079,"Outlook"),"")</f>
        <v/>
      </c>
      <c r="K5079">
        <f>IF(E5079="Domain",COUNTIF($E$2:E5079,"Domain"),"")</f>
        <v/>
      </c>
    </row>
    <row r="5080">
      <c r="A5080" s="2" t="n"/>
      <c r="B5080">
        <f>LOWER(TRIM(A5080))</f>
        <v/>
      </c>
      <c r="C5080">
        <f>IF(B5080="","",IFERROR(INDEX('Bad Patterns'!$A$2:$A$120,MATCH(1,INDEX(--ISNUMBER(SEARCH('Bad Patterns'!$A$2:$A$120,B5080)),0),0)),""))</f>
        <v/>
      </c>
      <c r="D5080">
        <f>IF(B5080="","",IF(C5080&lt;&gt;"","REMOVE","KEEP"))</f>
        <v/>
      </c>
      <c r="E5080">
        <f>IF(D5080&lt;&gt;"KEEP","",IF(RIGHT(B5080,10)="@gmail.com","Gmail",IF(OR(RIGHT(B5080,12)="@outlook.com",RIGHT(B5080,12)="@hotmail.com",RIGHT(B5080,9)="@live.com"),"Outlook","Domain")))</f>
        <v/>
      </c>
      <c r="F5080">
        <f>IF(B5080="","",IFERROR(RIGHT(B5080,LEN(B5080)-FIND("@",B5080)),""))</f>
        <v/>
      </c>
      <c r="G5080">
        <f>IF(D5080="KEEP",COUNTIF($D$2:D5080,"KEEP"),"")</f>
        <v/>
      </c>
      <c r="H5080">
        <f>IF(D5080="REMOVE",COUNTIF($D$2:D5080,"REMOVE"),"")</f>
        <v/>
      </c>
      <c r="I5080">
        <f>IF(E5080="Gmail",COUNTIF($E$2:E5080,"Gmail"),"")</f>
        <v/>
      </c>
      <c r="J5080">
        <f>IF(E5080="Outlook",COUNTIF($E$2:E5080,"Outlook"),"")</f>
        <v/>
      </c>
      <c r="K5080">
        <f>IF(E5080="Domain",COUNTIF($E$2:E5080,"Domain"),"")</f>
        <v/>
      </c>
    </row>
    <row r="5081">
      <c r="A5081" s="2" t="n"/>
      <c r="B5081">
        <f>LOWER(TRIM(A5081))</f>
        <v/>
      </c>
      <c r="C5081">
        <f>IF(B5081="","",IFERROR(INDEX('Bad Patterns'!$A$2:$A$120,MATCH(1,INDEX(--ISNUMBER(SEARCH('Bad Patterns'!$A$2:$A$120,B5081)),0),0)),""))</f>
        <v/>
      </c>
      <c r="D5081">
        <f>IF(B5081="","",IF(C5081&lt;&gt;"","REMOVE","KEEP"))</f>
        <v/>
      </c>
      <c r="E5081">
        <f>IF(D5081&lt;&gt;"KEEP","",IF(RIGHT(B5081,10)="@gmail.com","Gmail",IF(OR(RIGHT(B5081,12)="@outlook.com",RIGHT(B5081,12)="@hotmail.com",RIGHT(B5081,9)="@live.com"),"Outlook","Domain")))</f>
        <v/>
      </c>
      <c r="F5081">
        <f>IF(B5081="","",IFERROR(RIGHT(B5081,LEN(B5081)-FIND("@",B5081)),""))</f>
        <v/>
      </c>
      <c r="G5081">
        <f>IF(D5081="KEEP",COUNTIF($D$2:D5081,"KEEP"),"")</f>
        <v/>
      </c>
      <c r="H5081">
        <f>IF(D5081="REMOVE",COUNTIF($D$2:D5081,"REMOVE"),"")</f>
        <v/>
      </c>
      <c r="I5081">
        <f>IF(E5081="Gmail",COUNTIF($E$2:E5081,"Gmail"),"")</f>
        <v/>
      </c>
      <c r="J5081">
        <f>IF(E5081="Outlook",COUNTIF($E$2:E5081,"Outlook"),"")</f>
        <v/>
      </c>
      <c r="K5081">
        <f>IF(E5081="Domain",COUNTIF($E$2:E5081,"Domain"),"")</f>
        <v/>
      </c>
    </row>
    <row r="5082">
      <c r="A5082" s="2" t="n"/>
      <c r="B5082">
        <f>LOWER(TRIM(A5082))</f>
        <v/>
      </c>
      <c r="C5082">
        <f>IF(B5082="","",IFERROR(INDEX('Bad Patterns'!$A$2:$A$120,MATCH(1,INDEX(--ISNUMBER(SEARCH('Bad Patterns'!$A$2:$A$120,B5082)),0),0)),""))</f>
        <v/>
      </c>
      <c r="D5082">
        <f>IF(B5082="","",IF(C5082&lt;&gt;"","REMOVE","KEEP"))</f>
        <v/>
      </c>
      <c r="E5082">
        <f>IF(D5082&lt;&gt;"KEEP","",IF(RIGHT(B5082,10)="@gmail.com","Gmail",IF(OR(RIGHT(B5082,12)="@outlook.com",RIGHT(B5082,12)="@hotmail.com",RIGHT(B5082,9)="@live.com"),"Outlook","Domain")))</f>
        <v/>
      </c>
      <c r="F5082">
        <f>IF(B5082="","",IFERROR(RIGHT(B5082,LEN(B5082)-FIND("@",B5082)),""))</f>
        <v/>
      </c>
      <c r="G5082">
        <f>IF(D5082="KEEP",COUNTIF($D$2:D5082,"KEEP"),"")</f>
        <v/>
      </c>
      <c r="H5082">
        <f>IF(D5082="REMOVE",COUNTIF($D$2:D5082,"REMOVE"),"")</f>
        <v/>
      </c>
      <c r="I5082">
        <f>IF(E5082="Gmail",COUNTIF($E$2:E5082,"Gmail"),"")</f>
        <v/>
      </c>
      <c r="J5082">
        <f>IF(E5082="Outlook",COUNTIF($E$2:E5082,"Outlook"),"")</f>
        <v/>
      </c>
      <c r="K5082">
        <f>IF(E5082="Domain",COUNTIF($E$2:E5082,"Domain"),"")</f>
        <v/>
      </c>
    </row>
    <row r="5083">
      <c r="A5083" s="2" t="n"/>
      <c r="B5083">
        <f>LOWER(TRIM(A5083))</f>
        <v/>
      </c>
      <c r="C5083">
        <f>IF(B5083="","",IFERROR(INDEX('Bad Patterns'!$A$2:$A$120,MATCH(1,INDEX(--ISNUMBER(SEARCH('Bad Patterns'!$A$2:$A$120,B5083)),0),0)),""))</f>
        <v/>
      </c>
      <c r="D5083">
        <f>IF(B5083="","",IF(C5083&lt;&gt;"","REMOVE","KEEP"))</f>
        <v/>
      </c>
      <c r="E5083">
        <f>IF(D5083&lt;&gt;"KEEP","",IF(RIGHT(B5083,10)="@gmail.com","Gmail",IF(OR(RIGHT(B5083,12)="@outlook.com",RIGHT(B5083,12)="@hotmail.com",RIGHT(B5083,9)="@live.com"),"Outlook","Domain")))</f>
        <v/>
      </c>
      <c r="F5083">
        <f>IF(B5083="","",IFERROR(RIGHT(B5083,LEN(B5083)-FIND("@",B5083)),""))</f>
        <v/>
      </c>
      <c r="G5083">
        <f>IF(D5083="KEEP",COUNTIF($D$2:D5083,"KEEP"),"")</f>
        <v/>
      </c>
      <c r="H5083">
        <f>IF(D5083="REMOVE",COUNTIF($D$2:D5083,"REMOVE"),"")</f>
        <v/>
      </c>
      <c r="I5083">
        <f>IF(E5083="Gmail",COUNTIF($E$2:E5083,"Gmail"),"")</f>
        <v/>
      </c>
      <c r="J5083">
        <f>IF(E5083="Outlook",COUNTIF($E$2:E5083,"Outlook"),"")</f>
        <v/>
      </c>
      <c r="K5083">
        <f>IF(E5083="Domain",COUNTIF($E$2:E5083,"Domain"),"")</f>
        <v/>
      </c>
    </row>
    <row r="5084">
      <c r="A5084" s="2" t="n"/>
      <c r="B5084">
        <f>LOWER(TRIM(A5084))</f>
        <v/>
      </c>
      <c r="C5084">
        <f>IF(B5084="","",IFERROR(INDEX('Bad Patterns'!$A$2:$A$120,MATCH(1,INDEX(--ISNUMBER(SEARCH('Bad Patterns'!$A$2:$A$120,B5084)),0),0)),""))</f>
        <v/>
      </c>
      <c r="D5084">
        <f>IF(B5084="","",IF(C5084&lt;&gt;"","REMOVE","KEEP"))</f>
        <v/>
      </c>
      <c r="E5084">
        <f>IF(D5084&lt;&gt;"KEEP","",IF(RIGHT(B5084,10)="@gmail.com","Gmail",IF(OR(RIGHT(B5084,12)="@outlook.com",RIGHT(B5084,12)="@hotmail.com",RIGHT(B5084,9)="@live.com"),"Outlook","Domain")))</f>
        <v/>
      </c>
      <c r="F5084">
        <f>IF(B5084="","",IFERROR(RIGHT(B5084,LEN(B5084)-FIND("@",B5084)),""))</f>
        <v/>
      </c>
      <c r="G5084">
        <f>IF(D5084="KEEP",COUNTIF($D$2:D5084,"KEEP"),"")</f>
        <v/>
      </c>
      <c r="H5084">
        <f>IF(D5084="REMOVE",COUNTIF($D$2:D5084,"REMOVE"),"")</f>
        <v/>
      </c>
      <c r="I5084">
        <f>IF(E5084="Gmail",COUNTIF($E$2:E5084,"Gmail"),"")</f>
        <v/>
      </c>
      <c r="J5084">
        <f>IF(E5084="Outlook",COUNTIF($E$2:E5084,"Outlook"),"")</f>
        <v/>
      </c>
      <c r="K5084">
        <f>IF(E5084="Domain",COUNTIF($E$2:E5084,"Domain"),"")</f>
        <v/>
      </c>
    </row>
    <row r="5085">
      <c r="A5085" s="2" t="n"/>
      <c r="B5085">
        <f>LOWER(TRIM(A5085))</f>
        <v/>
      </c>
      <c r="C5085">
        <f>IF(B5085="","",IFERROR(INDEX('Bad Patterns'!$A$2:$A$120,MATCH(1,INDEX(--ISNUMBER(SEARCH('Bad Patterns'!$A$2:$A$120,B5085)),0),0)),""))</f>
        <v/>
      </c>
      <c r="D5085">
        <f>IF(B5085="","",IF(C5085&lt;&gt;"","REMOVE","KEEP"))</f>
        <v/>
      </c>
      <c r="E5085">
        <f>IF(D5085&lt;&gt;"KEEP","",IF(RIGHT(B5085,10)="@gmail.com","Gmail",IF(OR(RIGHT(B5085,12)="@outlook.com",RIGHT(B5085,12)="@hotmail.com",RIGHT(B5085,9)="@live.com"),"Outlook","Domain")))</f>
        <v/>
      </c>
      <c r="F5085">
        <f>IF(B5085="","",IFERROR(RIGHT(B5085,LEN(B5085)-FIND("@",B5085)),""))</f>
        <v/>
      </c>
      <c r="G5085">
        <f>IF(D5085="KEEP",COUNTIF($D$2:D5085,"KEEP"),"")</f>
        <v/>
      </c>
      <c r="H5085">
        <f>IF(D5085="REMOVE",COUNTIF($D$2:D5085,"REMOVE"),"")</f>
        <v/>
      </c>
      <c r="I5085">
        <f>IF(E5085="Gmail",COUNTIF($E$2:E5085,"Gmail"),"")</f>
        <v/>
      </c>
      <c r="J5085">
        <f>IF(E5085="Outlook",COUNTIF($E$2:E5085,"Outlook"),"")</f>
        <v/>
      </c>
      <c r="K5085">
        <f>IF(E5085="Domain",COUNTIF($E$2:E5085,"Domain"),"")</f>
        <v/>
      </c>
    </row>
    <row r="5086">
      <c r="A5086" s="2" t="n"/>
      <c r="B5086">
        <f>LOWER(TRIM(A5086))</f>
        <v/>
      </c>
      <c r="C5086">
        <f>IF(B5086="","",IFERROR(INDEX('Bad Patterns'!$A$2:$A$120,MATCH(1,INDEX(--ISNUMBER(SEARCH('Bad Patterns'!$A$2:$A$120,B5086)),0),0)),""))</f>
        <v/>
      </c>
      <c r="D5086">
        <f>IF(B5086="","",IF(C5086&lt;&gt;"","REMOVE","KEEP"))</f>
        <v/>
      </c>
      <c r="E5086">
        <f>IF(D5086&lt;&gt;"KEEP","",IF(RIGHT(B5086,10)="@gmail.com","Gmail",IF(OR(RIGHT(B5086,12)="@outlook.com",RIGHT(B5086,12)="@hotmail.com",RIGHT(B5086,9)="@live.com"),"Outlook","Domain")))</f>
        <v/>
      </c>
      <c r="F5086">
        <f>IF(B5086="","",IFERROR(RIGHT(B5086,LEN(B5086)-FIND("@",B5086)),""))</f>
        <v/>
      </c>
      <c r="G5086">
        <f>IF(D5086="KEEP",COUNTIF($D$2:D5086,"KEEP"),"")</f>
        <v/>
      </c>
      <c r="H5086">
        <f>IF(D5086="REMOVE",COUNTIF($D$2:D5086,"REMOVE"),"")</f>
        <v/>
      </c>
      <c r="I5086">
        <f>IF(E5086="Gmail",COUNTIF($E$2:E5086,"Gmail"),"")</f>
        <v/>
      </c>
      <c r="J5086">
        <f>IF(E5086="Outlook",COUNTIF($E$2:E5086,"Outlook"),"")</f>
        <v/>
      </c>
      <c r="K5086">
        <f>IF(E5086="Domain",COUNTIF($E$2:E5086,"Domain"),"")</f>
        <v/>
      </c>
    </row>
    <row r="5087">
      <c r="A5087" s="2" t="n"/>
      <c r="B5087">
        <f>LOWER(TRIM(A5087))</f>
        <v/>
      </c>
      <c r="C5087">
        <f>IF(B5087="","",IFERROR(INDEX('Bad Patterns'!$A$2:$A$120,MATCH(1,INDEX(--ISNUMBER(SEARCH('Bad Patterns'!$A$2:$A$120,B5087)),0),0)),""))</f>
        <v/>
      </c>
      <c r="D5087">
        <f>IF(B5087="","",IF(C5087&lt;&gt;"","REMOVE","KEEP"))</f>
        <v/>
      </c>
      <c r="E5087">
        <f>IF(D5087&lt;&gt;"KEEP","",IF(RIGHT(B5087,10)="@gmail.com","Gmail",IF(OR(RIGHT(B5087,12)="@outlook.com",RIGHT(B5087,12)="@hotmail.com",RIGHT(B5087,9)="@live.com"),"Outlook","Domain")))</f>
        <v/>
      </c>
      <c r="F5087">
        <f>IF(B5087="","",IFERROR(RIGHT(B5087,LEN(B5087)-FIND("@",B5087)),""))</f>
        <v/>
      </c>
      <c r="G5087">
        <f>IF(D5087="KEEP",COUNTIF($D$2:D5087,"KEEP"),"")</f>
        <v/>
      </c>
      <c r="H5087">
        <f>IF(D5087="REMOVE",COUNTIF($D$2:D5087,"REMOVE"),"")</f>
        <v/>
      </c>
      <c r="I5087">
        <f>IF(E5087="Gmail",COUNTIF($E$2:E5087,"Gmail"),"")</f>
        <v/>
      </c>
      <c r="J5087">
        <f>IF(E5087="Outlook",COUNTIF($E$2:E5087,"Outlook"),"")</f>
        <v/>
      </c>
      <c r="K5087">
        <f>IF(E5087="Domain",COUNTIF($E$2:E5087,"Domain"),"")</f>
        <v/>
      </c>
    </row>
    <row r="5088">
      <c r="A5088" s="2" t="n"/>
      <c r="B5088">
        <f>LOWER(TRIM(A5088))</f>
        <v/>
      </c>
      <c r="C5088">
        <f>IF(B5088="","",IFERROR(INDEX('Bad Patterns'!$A$2:$A$120,MATCH(1,INDEX(--ISNUMBER(SEARCH('Bad Patterns'!$A$2:$A$120,B5088)),0),0)),""))</f>
        <v/>
      </c>
      <c r="D5088">
        <f>IF(B5088="","",IF(C5088&lt;&gt;"","REMOVE","KEEP"))</f>
        <v/>
      </c>
      <c r="E5088">
        <f>IF(D5088&lt;&gt;"KEEP","",IF(RIGHT(B5088,10)="@gmail.com","Gmail",IF(OR(RIGHT(B5088,12)="@outlook.com",RIGHT(B5088,12)="@hotmail.com",RIGHT(B5088,9)="@live.com"),"Outlook","Domain")))</f>
        <v/>
      </c>
      <c r="F5088">
        <f>IF(B5088="","",IFERROR(RIGHT(B5088,LEN(B5088)-FIND("@",B5088)),""))</f>
        <v/>
      </c>
      <c r="G5088">
        <f>IF(D5088="KEEP",COUNTIF($D$2:D5088,"KEEP"),"")</f>
        <v/>
      </c>
      <c r="H5088">
        <f>IF(D5088="REMOVE",COUNTIF($D$2:D5088,"REMOVE"),"")</f>
        <v/>
      </c>
      <c r="I5088">
        <f>IF(E5088="Gmail",COUNTIF($E$2:E5088,"Gmail"),"")</f>
        <v/>
      </c>
      <c r="J5088">
        <f>IF(E5088="Outlook",COUNTIF($E$2:E5088,"Outlook"),"")</f>
        <v/>
      </c>
      <c r="K5088">
        <f>IF(E5088="Domain",COUNTIF($E$2:E5088,"Domain"),"")</f>
        <v/>
      </c>
    </row>
    <row r="5089">
      <c r="A5089" s="2" t="n"/>
      <c r="B5089">
        <f>LOWER(TRIM(A5089))</f>
        <v/>
      </c>
      <c r="C5089">
        <f>IF(B5089="","",IFERROR(INDEX('Bad Patterns'!$A$2:$A$120,MATCH(1,INDEX(--ISNUMBER(SEARCH('Bad Patterns'!$A$2:$A$120,B5089)),0),0)),""))</f>
        <v/>
      </c>
      <c r="D5089">
        <f>IF(B5089="","",IF(C5089&lt;&gt;"","REMOVE","KEEP"))</f>
        <v/>
      </c>
      <c r="E5089">
        <f>IF(D5089&lt;&gt;"KEEP","",IF(RIGHT(B5089,10)="@gmail.com","Gmail",IF(OR(RIGHT(B5089,12)="@outlook.com",RIGHT(B5089,12)="@hotmail.com",RIGHT(B5089,9)="@live.com"),"Outlook","Domain")))</f>
        <v/>
      </c>
      <c r="F5089">
        <f>IF(B5089="","",IFERROR(RIGHT(B5089,LEN(B5089)-FIND("@",B5089)),""))</f>
        <v/>
      </c>
      <c r="G5089">
        <f>IF(D5089="KEEP",COUNTIF($D$2:D5089,"KEEP"),"")</f>
        <v/>
      </c>
      <c r="H5089">
        <f>IF(D5089="REMOVE",COUNTIF($D$2:D5089,"REMOVE"),"")</f>
        <v/>
      </c>
      <c r="I5089">
        <f>IF(E5089="Gmail",COUNTIF($E$2:E5089,"Gmail"),"")</f>
        <v/>
      </c>
      <c r="J5089">
        <f>IF(E5089="Outlook",COUNTIF($E$2:E5089,"Outlook"),"")</f>
        <v/>
      </c>
      <c r="K5089">
        <f>IF(E5089="Domain",COUNTIF($E$2:E5089,"Domain"),"")</f>
        <v/>
      </c>
    </row>
    <row r="5090">
      <c r="A5090" s="2" t="n"/>
      <c r="B5090">
        <f>LOWER(TRIM(A5090))</f>
        <v/>
      </c>
      <c r="C5090">
        <f>IF(B5090="","",IFERROR(INDEX('Bad Patterns'!$A$2:$A$120,MATCH(1,INDEX(--ISNUMBER(SEARCH('Bad Patterns'!$A$2:$A$120,B5090)),0),0)),""))</f>
        <v/>
      </c>
      <c r="D5090">
        <f>IF(B5090="","",IF(C5090&lt;&gt;"","REMOVE","KEEP"))</f>
        <v/>
      </c>
      <c r="E5090">
        <f>IF(D5090&lt;&gt;"KEEP","",IF(RIGHT(B5090,10)="@gmail.com","Gmail",IF(OR(RIGHT(B5090,12)="@outlook.com",RIGHT(B5090,12)="@hotmail.com",RIGHT(B5090,9)="@live.com"),"Outlook","Domain")))</f>
        <v/>
      </c>
      <c r="F5090">
        <f>IF(B5090="","",IFERROR(RIGHT(B5090,LEN(B5090)-FIND("@",B5090)),""))</f>
        <v/>
      </c>
      <c r="G5090">
        <f>IF(D5090="KEEP",COUNTIF($D$2:D5090,"KEEP"),"")</f>
        <v/>
      </c>
      <c r="H5090">
        <f>IF(D5090="REMOVE",COUNTIF($D$2:D5090,"REMOVE"),"")</f>
        <v/>
      </c>
      <c r="I5090">
        <f>IF(E5090="Gmail",COUNTIF($E$2:E5090,"Gmail"),"")</f>
        <v/>
      </c>
      <c r="J5090">
        <f>IF(E5090="Outlook",COUNTIF($E$2:E5090,"Outlook"),"")</f>
        <v/>
      </c>
      <c r="K5090">
        <f>IF(E5090="Domain",COUNTIF($E$2:E5090,"Domain"),"")</f>
        <v/>
      </c>
    </row>
    <row r="5091">
      <c r="A5091" s="2" t="n"/>
      <c r="B5091">
        <f>LOWER(TRIM(A5091))</f>
        <v/>
      </c>
      <c r="C5091">
        <f>IF(B5091="","",IFERROR(INDEX('Bad Patterns'!$A$2:$A$120,MATCH(1,INDEX(--ISNUMBER(SEARCH('Bad Patterns'!$A$2:$A$120,B5091)),0),0)),""))</f>
        <v/>
      </c>
      <c r="D5091">
        <f>IF(B5091="","",IF(C5091&lt;&gt;"","REMOVE","KEEP"))</f>
        <v/>
      </c>
      <c r="E5091">
        <f>IF(D5091&lt;&gt;"KEEP","",IF(RIGHT(B5091,10)="@gmail.com","Gmail",IF(OR(RIGHT(B5091,12)="@outlook.com",RIGHT(B5091,12)="@hotmail.com",RIGHT(B5091,9)="@live.com"),"Outlook","Domain")))</f>
        <v/>
      </c>
      <c r="F5091">
        <f>IF(B5091="","",IFERROR(RIGHT(B5091,LEN(B5091)-FIND("@",B5091)),""))</f>
        <v/>
      </c>
      <c r="G5091">
        <f>IF(D5091="KEEP",COUNTIF($D$2:D5091,"KEEP"),"")</f>
        <v/>
      </c>
      <c r="H5091">
        <f>IF(D5091="REMOVE",COUNTIF($D$2:D5091,"REMOVE"),"")</f>
        <v/>
      </c>
      <c r="I5091">
        <f>IF(E5091="Gmail",COUNTIF($E$2:E5091,"Gmail"),"")</f>
        <v/>
      </c>
      <c r="J5091">
        <f>IF(E5091="Outlook",COUNTIF($E$2:E5091,"Outlook"),"")</f>
        <v/>
      </c>
      <c r="K5091">
        <f>IF(E5091="Domain",COUNTIF($E$2:E5091,"Domain"),"")</f>
        <v/>
      </c>
    </row>
    <row r="5092">
      <c r="A5092" s="2" t="n"/>
      <c r="B5092">
        <f>LOWER(TRIM(A5092))</f>
        <v/>
      </c>
      <c r="C5092">
        <f>IF(B5092="","",IFERROR(INDEX('Bad Patterns'!$A$2:$A$120,MATCH(1,INDEX(--ISNUMBER(SEARCH('Bad Patterns'!$A$2:$A$120,B5092)),0),0)),""))</f>
        <v/>
      </c>
      <c r="D5092">
        <f>IF(B5092="","",IF(C5092&lt;&gt;"","REMOVE","KEEP"))</f>
        <v/>
      </c>
      <c r="E5092">
        <f>IF(D5092&lt;&gt;"KEEP","",IF(RIGHT(B5092,10)="@gmail.com","Gmail",IF(OR(RIGHT(B5092,12)="@outlook.com",RIGHT(B5092,12)="@hotmail.com",RIGHT(B5092,9)="@live.com"),"Outlook","Domain")))</f>
        <v/>
      </c>
      <c r="F5092">
        <f>IF(B5092="","",IFERROR(RIGHT(B5092,LEN(B5092)-FIND("@",B5092)),""))</f>
        <v/>
      </c>
      <c r="G5092">
        <f>IF(D5092="KEEP",COUNTIF($D$2:D5092,"KEEP"),"")</f>
        <v/>
      </c>
      <c r="H5092">
        <f>IF(D5092="REMOVE",COUNTIF($D$2:D5092,"REMOVE"),"")</f>
        <v/>
      </c>
      <c r="I5092">
        <f>IF(E5092="Gmail",COUNTIF($E$2:E5092,"Gmail"),"")</f>
        <v/>
      </c>
      <c r="J5092">
        <f>IF(E5092="Outlook",COUNTIF($E$2:E5092,"Outlook"),"")</f>
        <v/>
      </c>
      <c r="K5092">
        <f>IF(E5092="Domain",COUNTIF($E$2:E5092,"Domain"),"")</f>
        <v/>
      </c>
    </row>
    <row r="5093">
      <c r="A5093" s="2" t="n"/>
      <c r="B5093">
        <f>LOWER(TRIM(A5093))</f>
        <v/>
      </c>
      <c r="C5093">
        <f>IF(B5093="","",IFERROR(INDEX('Bad Patterns'!$A$2:$A$120,MATCH(1,INDEX(--ISNUMBER(SEARCH('Bad Patterns'!$A$2:$A$120,B5093)),0),0)),""))</f>
        <v/>
      </c>
      <c r="D5093">
        <f>IF(B5093="","",IF(C5093&lt;&gt;"","REMOVE","KEEP"))</f>
        <v/>
      </c>
      <c r="E5093">
        <f>IF(D5093&lt;&gt;"KEEP","",IF(RIGHT(B5093,10)="@gmail.com","Gmail",IF(OR(RIGHT(B5093,12)="@outlook.com",RIGHT(B5093,12)="@hotmail.com",RIGHT(B5093,9)="@live.com"),"Outlook","Domain")))</f>
        <v/>
      </c>
      <c r="F5093">
        <f>IF(B5093="","",IFERROR(RIGHT(B5093,LEN(B5093)-FIND("@",B5093)),""))</f>
        <v/>
      </c>
      <c r="G5093">
        <f>IF(D5093="KEEP",COUNTIF($D$2:D5093,"KEEP"),"")</f>
        <v/>
      </c>
      <c r="H5093">
        <f>IF(D5093="REMOVE",COUNTIF($D$2:D5093,"REMOVE"),"")</f>
        <v/>
      </c>
      <c r="I5093">
        <f>IF(E5093="Gmail",COUNTIF($E$2:E5093,"Gmail"),"")</f>
        <v/>
      </c>
      <c r="J5093">
        <f>IF(E5093="Outlook",COUNTIF($E$2:E5093,"Outlook"),"")</f>
        <v/>
      </c>
      <c r="K5093">
        <f>IF(E5093="Domain",COUNTIF($E$2:E5093,"Domain"),"")</f>
        <v/>
      </c>
    </row>
    <row r="5094">
      <c r="A5094" s="2" t="n"/>
      <c r="B5094">
        <f>LOWER(TRIM(A5094))</f>
        <v/>
      </c>
      <c r="C5094">
        <f>IF(B5094="","",IFERROR(INDEX('Bad Patterns'!$A$2:$A$120,MATCH(1,INDEX(--ISNUMBER(SEARCH('Bad Patterns'!$A$2:$A$120,B5094)),0),0)),""))</f>
        <v/>
      </c>
      <c r="D5094">
        <f>IF(B5094="","",IF(C5094&lt;&gt;"","REMOVE","KEEP"))</f>
        <v/>
      </c>
      <c r="E5094">
        <f>IF(D5094&lt;&gt;"KEEP","",IF(RIGHT(B5094,10)="@gmail.com","Gmail",IF(OR(RIGHT(B5094,12)="@outlook.com",RIGHT(B5094,12)="@hotmail.com",RIGHT(B5094,9)="@live.com"),"Outlook","Domain")))</f>
        <v/>
      </c>
      <c r="F5094">
        <f>IF(B5094="","",IFERROR(RIGHT(B5094,LEN(B5094)-FIND("@",B5094)),""))</f>
        <v/>
      </c>
      <c r="G5094">
        <f>IF(D5094="KEEP",COUNTIF($D$2:D5094,"KEEP"),"")</f>
        <v/>
      </c>
      <c r="H5094">
        <f>IF(D5094="REMOVE",COUNTIF($D$2:D5094,"REMOVE"),"")</f>
        <v/>
      </c>
      <c r="I5094">
        <f>IF(E5094="Gmail",COUNTIF($E$2:E5094,"Gmail"),"")</f>
        <v/>
      </c>
      <c r="J5094">
        <f>IF(E5094="Outlook",COUNTIF($E$2:E5094,"Outlook"),"")</f>
        <v/>
      </c>
      <c r="K5094">
        <f>IF(E5094="Domain",COUNTIF($E$2:E5094,"Domain"),"")</f>
        <v/>
      </c>
    </row>
    <row r="5095">
      <c r="A5095" s="2" t="n"/>
      <c r="B5095">
        <f>LOWER(TRIM(A5095))</f>
        <v/>
      </c>
      <c r="C5095">
        <f>IF(B5095="","",IFERROR(INDEX('Bad Patterns'!$A$2:$A$120,MATCH(1,INDEX(--ISNUMBER(SEARCH('Bad Patterns'!$A$2:$A$120,B5095)),0),0)),""))</f>
        <v/>
      </c>
      <c r="D5095">
        <f>IF(B5095="","",IF(C5095&lt;&gt;"","REMOVE","KEEP"))</f>
        <v/>
      </c>
      <c r="E5095">
        <f>IF(D5095&lt;&gt;"KEEP","",IF(RIGHT(B5095,10)="@gmail.com","Gmail",IF(OR(RIGHT(B5095,12)="@outlook.com",RIGHT(B5095,12)="@hotmail.com",RIGHT(B5095,9)="@live.com"),"Outlook","Domain")))</f>
        <v/>
      </c>
      <c r="F5095">
        <f>IF(B5095="","",IFERROR(RIGHT(B5095,LEN(B5095)-FIND("@",B5095)),""))</f>
        <v/>
      </c>
      <c r="G5095">
        <f>IF(D5095="KEEP",COUNTIF($D$2:D5095,"KEEP"),"")</f>
        <v/>
      </c>
      <c r="H5095">
        <f>IF(D5095="REMOVE",COUNTIF($D$2:D5095,"REMOVE"),"")</f>
        <v/>
      </c>
      <c r="I5095">
        <f>IF(E5095="Gmail",COUNTIF($E$2:E5095,"Gmail"),"")</f>
        <v/>
      </c>
      <c r="J5095">
        <f>IF(E5095="Outlook",COUNTIF($E$2:E5095,"Outlook"),"")</f>
        <v/>
      </c>
      <c r="K5095">
        <f>IF(E5095="Domain",COUNTIF($E$2:E5095,"Domain"),"")</f>
        <v/>
      </c>
    </row>
    <row r="5096">
      <c r="A5096" s="2" t="n"/>
      <c r="B5096">
        <f>LOWER(TRIM(A5096))</f>
        <v/>
      </c>
      <c r="C5096">
        <f>IF(B5096="","",IFERROR(INDEX('Bad Patterns'!$A$2:$A$120,MATCH(1,INDEX(--ISNUMBER(SEARCH('Bad Patterns'!$A$2:$A$120,B5096)),0),0)),""))</f>
        <v/>
      </c>
      <c r="D5096">
        <f>IF(B5096="","",IF(C5096&lt;&gt;"","REMOVE","KEEP"))</f>
        <v/>
      </c>
      <c r="E5096">
        <f>IF(D5096&lt;&gt;"KEEP","",IF(RIGHT(B5096,10)="@gmail.com","Gmail",IF(OR(RIGHT(B5096,12)="@outlook.com",RIGHT(B5096,12)="@hotmail.com",RIGHT(B5096,9)="@live.com"),"Outlook","Domain")))</f>
        <v/>
      </c>
      <c r="F5096">
        <f>IF(B5096="","",IFERROR(RIGHT(B5096,LEN(B5096)-FIND("@",B5096)),""))</f>
        <v/>
      </c>
      <c r="G5096">
        <f>IF(D5096="KEEP",COUNTIF($D$2:D5096,"KEEP"),"")</f>
        <v/>
      </c>
      <c r="H5096">
        <f>IF(D5096="REMOVE",COUNTIF($D$2:D5096,"REMOVE"),"")</f>
        <v/>
      </c>
      <c r="I5096">
        <f>IF(E5096="Gmail",COUNTIF($E$2:E5096,"Gmail"),"")</f>
        <v/>
      </c>
      <c r="J5096">
        <f>IF(E5096="Outlook",COUNTIF($E$2:E5096,"Outlook"),"")</f>
        <v/>
      </c>
      <c r="K5096">
        <f>IF(E5096="Domain",COUNTIF($E$2:E5096,"Domain"),"")</f>
        <v/>
      </c>
    </row>
    <row r="5097">
      <c r="A5097" s="2" t="n"/>
      <c r="B5097">
        <f>LOWER(TRIM(A5097))</f>
        <v/>
      </c>
      <c r="C5097">
        <f>IF(B5097="","",IFERROR(INDEX('Bad Patterns'!$A$2:$A$120,MATCH(1,INDEX(--ISNUMBER(SEARCH('Bad Patterns'!$A$2:$A$120,B5097)),0),0)),""))</f>
        <v/>
      </c>
      <c r="D5097">
        <f>IF(B5097="","",IF(C5097&lt;&gt;"","REMOVE","KEEP"))</f>
        <v/>
      </c>
      <c r="E5097">
        <f>IF(D5097&lt;&gt;"KEEP","",IF(RIGHT(B5097,10)="@gmail.com","Gmail",IF(OR(RIGHT(B5097,12)="@outlook.com",RIGHT(B5097,12)="@hotmail.com",RIGHT(B5097,9)="@live.com"),"Outlook","Domain")))</f>
        <v/>
      </c>
      <c r="F5097">
        <f>IF(B5097="","",IFERROR(RIGHT(B5097,LEN(B5097)-FIND("@",B5097)),""))</f>
        <v/>
      </c>
      <c r="G5097">
        <f>IF(D5097="KEEP",COUNTIF($D$2:D5097,"KEEP"),"")</f>
        <v/>
      </c>
      <c r="H5097">
        <f>IF(D5097="REMOVE",COUNTIF($D$2:D5097,"REMOVE"),"")</f>
        <v/>
      </c>
      <c r="I5097">
        <f>IF(E5097="Gmail",COUNTIF($E$2:E5097,"Gmail"),"")</f>
        <v/>
      </c>
      <c r="J5097">
        <f>IF(E5097="Outlook",COUNTIF($E$2:E5097,"Outlook"),"")</f>
        <v/>
      </c>
      <c r="K5097">
        <f>IF(E5097="Domain",COUNTIF($E$2:E5097,"Domain"),"")</f>
        <v/>
      </c>
    </row>
    <row r="5098">
      <c r="A5098" s="2" t="n"/>
      <c r="B5098">
        <f>LOWER(TRIM(A5098))</f>
        <v/>
      </c>
      <c r="C5098">
        <f>IF(B5098="","",IFERROR(INDEX('Bad Patterns'!$A$2:$A$120,MATCH(1,INDEX(--ISNUMBER(SEARCH('Bad Patterns'!$A$2:$A$120,B5098)),0),0)),""))</f>
        <v/>
      </c>
      <c r="D5098">
        <f>IF(B5098="","",IF(C5098&lt;&gt;"","REMOVE","KEEP"))</f>
        <v/>
      </c>
      <c r="E5098">
        <f>IF(D5098&lt;&gt;"KEEP","",IF(RIGHT(B5098,10)="@gmail.com","Gmail",IF(OR(RIGHT(B5098,12)="@outlook.com",RIGHT(B5098,12)="@hotmail.com",RIGHT(B5098,9)="@live.com"),"Outlook","Domain")))</f>
        <v/>
      </c>
      <c r="F5098">
        <f>IF(B5098="","",IFERROR(RIGHT(B5098,LEN(B5098)-FIND("@",B5098)),""))</f>
        <v/>
      </c>
      <c r="G5098">
        <f>IF(D5098="KEEP",COUNTIF($D$2:D5098,"KEEP"),"")</f>
        <v/>
      </c>
      <c r="H5098">
        <f>IF(D5098="REMOVE",COUNTIF($D$2:D5098,"REMOVE"),"")</f>
        <v/>
      </c>
      <c r="I5098">
        <f>IF(E5098="Gmail",COUNTIF($E$2:E5098,"Gmail"),"")</f>
        <v/>
      </c>
      <c r="J5098">
        <f>IF(E5098="Outlook",COUNTIF($E$2:E5098,"Outlook"),"")</f>
        <v/>
      </c>
      <c r="K5098">
        <f>IF(E5098="Domain",COUNTIF($E$2:E5098,"Domain"),"")</f>
        <v/>
      </c>
    </row>
    <row r="5099">
      <c r="A5099" s="2" t="n"/>
      <c r="B5099">
        <f>LOWER(TRIM(A5099))</f>
        <v/>
      </c>
      <c r="C5099">
        <f>IF(B5099="","",IFERROR(INDEX('Bad Patterns'!$A$2:$A$120,MATCH(1,INDEX(--ISNUMBER(SEARCH('Bad Patterns'!$A$2:$A$120,B5099)),0),0)),""))</f>
        <v/>
      </c>
      <c r="D5099">
        <f>IF(B5099="","",IF(C5099&lt;&gt;"","REMOVE","KEEP"))</f>
        <v/>
      </c>
      <c r="E5099">
        <f>IF(D5099&lt;&gt;"KEEP","",IF(RIGHT(B5099,10)="@gmail.com","Gmail",IF(OR(RIGHT(B5099,12)="@outlook.com",RIGHT(B5099,12)="@hotmail.com",RIGHT(B5099,9)="@live.com"),"Outlook","Domain")))</f>
        <v/>
      </c>
      <c r="F5099">
        <f>IF(B5099="","",IFERROR(RIGHT(B5099,LEN(B5099)-FIND("@",B5099)),""))</f>
        <v/>
      </c>
      <c r="G5099">
        <f>IF(D5099="KEEP",COUNTIF($D$2:D5099,"KEEP"),"")</f>
        <v/>
      </c>
      <c r="H5099">
        <f>IF(D5099="REMOVE",COUNTIF($D$2:D5099,"REMOVE"),"")</f>
        <v/>
      </c>
      <c r="I5099">
        <f>IF(E5099="Gmail",COUNTIF($E$2:E5099,"Gmail"),"")</f>
        <v/>
      </c>
      <c r="J5099">
        <f>IF(E5099="Outlook",COUNTIF($E$2:E5099,"Outlook"),"")</f>
        <v/>
      </c>
      <c r="K5099">
        <f>IF(E5099="Domain",COUNTIF($E$2:E5099,"Domain"),"")</f>
        <v/>
      </c>
    </row>
    <row r="5100">
      <c r="A5100" s="2" t="n"/>
      <c r="B5100">
        <f>LOWER(TRIM(A5100))</f>
        <v/>
      </c>
      <c r="C5100">
        <f>IF(B5100="","",IFERROR(INDEX('Bad Patterns'!$A$2:$A$120,MATCH(1,INDEX(--ISNUMBER(SEARCH('Bad Patterns'!$A$2:$A$120,B5100)),0),0)),""))</f>
        <v/>
      </c>
      <c r="D5100">
        <f>IF(B5100="","",IF(C5100&lt;&gt;"","REMOVE","KEEP"))</f>
        <v/>
      </c>
      <c r="E5100">
        <f>IF(D5100&lt;&gt;"KEEP","",IF(RIGHT(B5100,10)="@gmail.com","Gmail",IF(OR(RIGHT(B5100,12)="@outlook.com",RIGHT(B5100,12)="@hotmail.com",RIGHT(B5100,9)="@live.com"),"Outlook","Domain")))</f>
        <v/>
      </c>
      <c r="F5100">
        <f>IF(B5100="","",IFERROR(RIGHT(B5100,LEN(B5100)-FIND("@",B5100)),""))</f>
        <v/>
      </c>
      <c r="G5100">
        <f>IF(D5100="KEEP",COUNTIF($D$2:D5100,"KEEP"),"")</f>
        <v/>
      </c>
      <c r="H5100">
        <f>IF(D5100="REMOVE",COUNTIF($D$2:D5100,"REMOVE"),"")</f>
        <v/>
      </c>
      <c r="I5100">
        <f>IF(E5100="Gmail",COUNTIF($E$2:E5100,"Gmail"),"")</f>
        <v/>
      </c>
      <c r="J5100">
        <f>IF(E5100="Outlook",COUNTIF($E$2:E5100,"Outlook"),"")</f>
        <v/>
      </c>
      <c r="K5100">
        <f>IF(E5100="Domain",COUNTIF($E$2:E5100,"Domain"),"")</f>
        <v/>
      </c>
    </row>
    <row r="5101">
      <c r="A5101" s="2" t="n"/>
      <c r="B5101">
        <f>LOWER(TRIM(A5101))</f>
        <v/>
      </c>
      <c r="C5101">
        <f>IF(B5101="","",IFERROR(INDEX('Bad Patterns'!$A$2:$A$120,MATCH(1,INDEX(--ISNUMBER(SEARCH('Bad Patterns'!$A$2:$A$120,B5101)),0),0)),""))</f>
        <v/>
      </c>
      <c r="D5101">
        <f>IF(B5101="","",IF(C5101&lt;&gt;"","REMOVE","KEEP"))</f>
        <v/>
      </c>
      <c r="E5101">
        <f>IF(D5101&lt;&gt;"KEEP","",IF(RIGHT(B5101,10)="@gmail.com","Gmail",IF(OR(RIGHT(B5101,12)="@outlook.com",RIGHT(B5101,12)="@hotmail.com",RIGHT(B5101,9)="@live.com"),"Outlook","Domain")))</f>
        <v/>
      </c>
      <c r="F5101">
        <f>IF(B5101="","",IFERROR(RIGHT(B5101,LEN(B5101)-FIND("@",B5101)),""))</f>
        <v/>
      </c>
      <c r="G5101">
        <f>IF(D5101="KEEP",COUNTIF($D$2:D5101,"KEEP"),"")</f>
        <v/>
      </c>
      <c r="H5101">
        <f>IF(D5101="REMOVE",COUNTIF($D$2:D5101,"REMOVE"),"")</f>
        <v/>
      </c>
      <c r="I5101">
        <f>IF(E5101="Gmail",COUNTIF($E$2:E5101,"Gmail"),"")</f>
        <v/>
      </c>
      <c r="J5101">
        <f>IF(E5101="Outlook",COUNTIF($E$2:E5101,"Outlook"),"")</f>
        <v/>
      </c>
      <c r="K5101">
        <f>IF(E5101="Domain",COUNTIF($E$2:E5101,"Domain"),"")</f>
        <v/>
      </c>
    </row>
    <row r="5102">
      <c r="A5102" s="2" t="n"/>
      <c r="B5102">
        <f>LOWER(TRIM(A5102))</f>
        <v/>
      </c>
      <c r="C5102">
        <f>IF(B5102="","",IFERROR(INDEX('Bad Patterns'!$A$2:$A$120,MATCH(1,INDEX(--ISNUMBER(SEARCH('Bad Patterns'!$A$2:$A$120,B5102)),0),0)),""))</f>
        <v/>
      </c>
      <c r="D5102">
        <f>IF(B5102="","",IF(C5102&lt;&gt;"","REMOVE","KEEP"))</f>
        <v/>
      </c>
      <c r="E5102">
        <f>IF(D5102&lt;&gt;"KEEP","",IF(RIGHT(B5102,10)="@gmail.com","Gmail",IF(OR(RIGHT(B5102,12)="@outlook.com",RIGHT(B5102,12)="@hotmail.com",RIGHT(B5102,9)="@live.com"),"Outlook","Domain")))</f>
        <v/>
      </c>
      <c r="F5102">
        <f>IF(B5102="","",IFERROR(RIGHT(B5102,LEN(B5102)-FIND("@",B5102)),""))</f>
        <v/>
      </c>
      <c r="G5102">
        <f>IF(D5102="KEEP",COUNTIF($D$2:D5102,"KEEP"),"")</f>
        <v/>
      </c>
      <c r="H5102">
        <f>IF(D5102="REMOVE",COUNTIF($D$2:D5102,"REMOVE"),"")</f>
        <v/>
      </c>
      <c r="I5102">
        <f>IF(E5102="Gmail",COUNTIF($E$2:E5102,"Gmail"),"")</f>
        <v/>
      </c>
      <c r="J5102">
        <f>IF(E5102="Outlook",COUNTIF($E$2:E5102,"Outlook"),"")</f>
        <v/>
      </c>
      <c r="K5102">
        <f>IF(E5102="Domain",COUNTIF($E$2:E5102,"Domain"),"")</f>
        <v/>
      </c>
    </row>
    <row r="5103">
      <c r="A5103" s="2" t="n"/>
      <c r="B5103">
        <f>LOWER(TRIM(A5103))</f>
        <v/>
      </c>
      <c r="C5103">
        <f>IF(B5103="","",IFERROR(INDEX('Bad Patterns'!$A$2:$A$120,MATCH(1,INDEX(--ISNUMBER(SEARCH('Bad Patterns'!$A$2:$A$120,B5103)),0),0)),""))</f>
        <v/>
      </c>
      <c r="D5103">
        <f>IF(B5103="","",IF(C5103&lt;&gt;"","REMOVE","KEEP"))</f>
        <v/>
      </c>
      <c r="E5103">
        <f>IF(D5103&lt;&gt;"KEEP","",IF(RIGHT(B5103,10)="@gmail.com","Gmail",IF(OR(RIGHT(B5103,12)="@outlook.com",RIGHT(B5103,12)="@hotmail.com",RIGHT(B5103,9)="@live.com"),"Outlook","Domain")))</f>
        <v/>
      </c>
      <c r="F5103">
        <f>IF(B5103="","",IFERROR(RIGHT(B5103,LEN(B5103)-FIND("@",B5103)),""))</f>
        <v/>
      </c>
      <c r="G5103">
        <f>IF(D5103="KEEP",COUNTIF($D$2:D5103,"KEEP"),"")</f>
        <v/>
      </c>
      <c r="H5103">
        <f>IF(D5103="REMOVE",COUNTIF($D$2:D5103,"REMOVE"),"")</f>
        <v/>
      </c>
      <c r="I5103">
        <f>IF(E5103="Gmail",COUNTIF($E$2:E5103,"Gmail"),"")</f>
        <v/>
      </c>
      <c r="J5103">
        <f>IF(E5103="Outlook",COUNTIF($E$2:E5103,"Outlook"),"")</f>
        <v/>
      </c>
      <c r="K5103">
        <f>IF(E5103="Domain",COUNTIF($E$2:E5103,"Domain"),"")</f>
        <v/>
      </c>
    </row>
    <row r="5104">
      <c r="A5104" s="2" t="n"/>
      <c r="B5104">
        <f>LOWER(TRIM(A5104))</f>
        <v/>
      </c>
      <c r="C5104">
        <f>IF(B5104="","",IFERROR(INDEX('Bad Patterns'!$A$2:$A$120,MATCH(1,INDEX(--ISNUMBER(SEARCH('Bad Patterns'!$A$2:$A$120,B5104)),0),0)),""))</f>
        <v/>
      </c>
      <c r="D5104">
        <f>IF(B5104="","",IF(C5104&lt;&gt;"","REMOVE","KEEP"))</f>
        <v/>
      </c>
      <c r="E5104">
        <f>IF(D5104&lt;&gt;"KEEP","",IF(RIGHT(B5104,10)="@gmail.com","Gmail",IF(OR(RIGHT(B5104,12)="@outlook.com",RIGHT(B5104,12)="@hotmail.com",RIGHT(B5104,9)="@live.com"),"Outlook","Domain")))</f>
        <v/>
      </c>
      <c r="F5104">
        <f>IF(B5104="","",IFERROR(RIGHT(B5104,LEN(B5104)-FIND("@",B5104)),""))</f>
        <v/>
      </c>
      <c r="G5104">
        <f>IF(D5104="KEEP",COUNTIF($D$2:D5104,"KEEP"),"")</f>
        <v/>
      </c>
      <c r="H5104">
        <f>IF(D5104="REMOVE",COUNTIF($D$2:D5104,"REMOVE"),"")</f>
        <v/>
      </c>
      <c r="I5104">
        <f>IF(E5104="Gmail",COUNTIF($E$2:E5104,"Gmail"),"")</f>
        <v/>
      </c>
      <c r="J5104">
        <f>IF(E5104="Outlook",COUNTIF($E$2:E5104,"Outlook"),"")</f>
        <v/>
      </c>
      <c r="K5104">
        <f>IF(E5104="Domain",COUNTIF($E$2:E5104,"Domain"),"")</f>
        <v/>
      </c>
    </row>
    <row r="5105">
      <c r="A5105" s="2" t="n"/>
      <c r="B5105">
        <f>LOWER(TRIM(A5105))</f>
        <v/>
      </c>
      <c r="C5105">
        <f>IF(B5105="","",IFERROR(INDEX('Bad Patterns'!$A$2:$A$120,MATCH(1,INDEX(--ISNUMBER(SEARCH('Bad Patterns'!$A$2:$A$120,B5105)),0),0)),""))</f>
        <v/>
      </c>
      <c r="D5105">
        <f>IF(B5105="","",IF(C5105&lt;&gt;"","REMOVE","KEEP"))</f>
        <v/>
      </c>
      <c r="E5105">
        <f>IF(D5105&lt;&gt;"KEEP","",IF(RIGHT(B5105,10)="@gmail.com","Gmail",IF(OR(RIGHT(B5105,12)="@outlook.com",RIGHT(B5105,12)="@hotmail.com",RIGHT(B5105,9)="@live.com"),"Outlook","Domain")))</f>
        <v/>
      </c>
      <c r="F5105">
        <f>IF(B5105="","",IFERROR(RIGHT(B5105,LEN(B5105)-FIND("@",B5105)),""))</f>
        <v/>
      </c>
      <c r="G5105">
        <f>IF(D5105="KEEP",COUNTIF($D$2:D5105,"KEEP"),"")</f>
        <v/>
      </c>
      <c r="H5105">
        <f>IF(D5105="REMOVE",COUNTIF($D$2:D5105,"REMOVE"),"")</f>
        <v/>
      </c>
      <c r="I5105">
        <f>IF(E5105="Gmail",COUNTIF($E$2:E5105,"Gmail"),"")</f>
        <v/>
      </c>
      <c r="J5105">
        <f>IF(E5105="Outlook",COUNTIF($E$2:E5105,"Outlook"),"")</f>
        <v/>
      </c>
      <c r="K5105">
        <f>IF(E5105="Domain",COUNTIF($E$2:E5105,"Domain"),"")</f>
        <v/>
      </c>
    </row>
    <row r="5106">
      <c r="A5106" s="2" t="n"/>
      <c r="B5106">
        <f>LOWER(TRIM(A5106))</f>
        <v/>
      </c>
      <c r="C5106">
        <f>IF(B5106="","",IFERROR(INDEX('Bad Patterns'!$A$2:$A$120,MATCH(1,INDEX(--ISNUMBER(SEARCH('Bad Patterns'!$A$2:$A$120,B5106)),0),0)),""))</f>
        <v/>
      </c>
      <c r="D5106">
        <f>IF(B5106="","",IF(C5106&lt;&gt;"","REMOVE","KEEP"))</f>
        <v/>
      </c>
      <c r="E5106">
        <f>IF(D5106&lt;&gt;"KEEP","",IF(RIGHT(B5106,10)="@gmail.com","Gmail",IF(OR(RIGHT(B5106,12)="@outlook.com",RIGHT(B5106,12)="@hotmail.com",RIGHT(B5106,9)="@live.com"),"Outlook","Domain")))</f>
        <v/>
      </c>
      <c r="F5106">
        <f>IF(B5106="","",IFERROR(RIGHT(B5106,LEN(B5106)-FIND("@",B5106)),""))</f>
        <v/>
      </c>
      <c r="G5106">
        <f>IF(D5106="KEEP",COUNTIF($D$2:D5106,"KEEP"),"")</f>
        <v/>
      </c>
      <c r="H5106">
        <f>IF(D5106="REMOVE",COUNTIF($D$2:D5106,"REMOVE"),"")</f>
        <v/>
      </c>
      <c r="I5106">
        <f>IF(E5106="Gmail",COUNTIF($E$2:E5106,"Gmail"),"")</f>
        <v/>
      </c>
      <c r="J5106">
        <f>IF(E5106="Outlook",COUNTIF($E$2:E5106,"Outlook"),"")</f>
        <v/>
      </c>
      <c r="K5106">
        <f>IF(E5106="Domain",COUNTIF($E$2:E5106,"Domain"),"")</f>
        <v/>
      </c>
    </row>
    <row r="5107">
      <c r="A5107" s="2" t="n"/>
      <c r="B5107">
        <f>LOWER(TRIM(A5107))</f>
        <v/>
      </c>
      <c r="C5107">
        <f>IF(B5107="","",IFERROR(INDEX('Bad Patterns'!$A$2:$A$120,MATCH(1,INDEX(--ISNUMBER(SEARCH('Bad Patterns'!$A$2:$A$120,B5107)),0),0)),""))</f>
        <v/>
      </c>
      <c r="D5107">
        <f>IF(B5107="","",IF(C5107&lt;&gt;"","REMOVE","KEEP"))</f>
        <v/>
      </c>
      <c r="E5107">
        <f>IF(D5107&lt;&gt;"KEEP","",IF(RIGHT(B5107,10)="@gmail.com","Gmail",IF(OR(RIGHT(B5107,12)="@outlook.com",RIGHT(B5107,12)="@hotmail.com",RIGHT(B5107,9)="@live.com"),"Outlook","Domain")))</f>
        <v/>
      </c>
      <c r="F5107">
        <f>IF(B5107="","",IFERROR(RIGHT(B5107,LEN(B5107)-FIND("@",B5107)),""))</f>
        <v/>
      </c>
      <c r="G5107">
        <f>IF(D5107="KEEP",COUNTIF($D$2:D5107,"KEEP"),"")</f>
        <v/>
      </c>
      <c r="H5107">
        <f>IF(D5107="REMOVE",COUNTIF($D$2:D5107,"REMOVE"),"")</f>
        <v/>
      </c>
      <c r="I5107">
        <f>IF(E5107="Gmail",COUNTIF($E$2:E5107,"Gmail"),"")</f>
        <v/>
      </c>
      <c r="J5107">
        <f>IF(E5107="Outlook",COUNTIF($E$2:E5107,"Outlook"),"")</f>
        <v/>
      </c>
      <c r="K5107">
        <f>IF(E5107="Domain",COUNTIF($E$2:E5107,"Domain"),"")</f>
        <v/>
      </c>
    </row>
    <row r="5108">
      <c r="A5108" s="2" t="n"/>
      <c r="B5108">
        <f>LOWER(TRIM(A5108))</f>
        <v/>
      </c>
      <c r="C5108">
        <f>IF(B5108="","",IFERROR(INDEX('Bad Patterns'!$A$2:$A$120,MATCH(1,INDEX(--ISNUMBER(SEARCH('Bad Patterns'!$A$2:$A$120,B5108)),0),0)),""))</f>
        <v/>
      </c>
      <c r="D5108">
        <f>IF(B5108="","",IF(C5108&lt;&gt;"","REMOVE","KEEP"))</f>
        <v/>
      </c>
      <c r="E5108">
        <f>IF(D5108&lt;&gt;"KEEP","",IF(RIGHT(B5108,10)="@gmail.com","Gmail",IF(OR(RIGHT(B5108,12)="@outlook.com",RIGHT(B5108,12)="@hotmail.com",RIGHT(B5108,9)="@live.com"),"Outlook","Domain")))</f>
        <v/>
      </c>
      <c r="F5108">
        <f>IF(B5108="","",IFERROR(RIGHT(B5108,LEN(B5108)-FIND("@",B5108)),""))</f>
        <v/>
      </c>
      <c r="G5108">
        <f>IF(D5108="KEEP",COUNTIF($D$2:D5108,"KEEP"),"")</f>
        <v/>
      </c>
      <c r="H5108">
        <f>IF(D5108="REMOVE",COUNTIF($D$2:D5108,"REMOVE"),"")</f>
        <v/>
      </c>
      <c r="I5108">
        <f>IF(E5108="Gmail",COUNTIF($E$2:E5108,"Gmail"),"")</f>
        <v/>
      </c>
      <c r="J5108">
        <f>IF(E5108="Outlook",COUNTIF($E$2:E5108,"Outlook"),"")</f>
        <v/>
      </c>
      <c r="K5108">
        <f>IF(E5108="Domain",COUNTIF($E$2:E5108,"Domain"),"")</f>
        <v/>
      </c>
    </row>
    <row r="5109">
      <c r="A5109" s="2" t="n"/>
      <c r="B5109">
        <f>LOWER(TRIM(A5109))</f>
        <v/>
      </c>
      <c r="C5109">
        <f>IF(B5109="","",IFERROR(INDEX('Bad Patterns'!$A$2:$A$120,MATCH(1,INDEX(--ISNUMBER(SEARCH('Bad Patterns'!$A$2:$A$120,B5109)),0),0)),""))</f>
        <v/>
      </c>
      <c r="D5109">
        <f>IF(B5109="","",IF(C5109&lt;&gt;"","REMOVE","KEEP"))</f>
        <v/>
      </c>
      <c r="E5109">
        <f>IF(D5109&lt;&gt;"KEEP","",IF(RIGHT(B5109,10)="@gmail.com","Gmail",IF(OR(RIGHT(B5109,12)="@outlook.com",RIGHT(B5109,12)="@hotmail.com",RIGHT(B5109,9)="@live.com"),"Outlook","Domain")))</f>
        <v/>
      </c>
      <c r="F5109">
        <f>IF(B5109="","",IFERROR(RIGHT(B5109,LEN(B5109)-FIND("@",B5109)),""))</f>
        <v/>
      </c>
      <c r="G5109">
        <f>IF(D5109="KEEP",COUNTIF($D$2:D5109,"KEEP"),"")</f>
        <v/>
      </c>
      <c r="H5109">
        <f>IF(D5109="REMOVE",COUNTIF($D$2:D5109,"REMOVE"),"")</f>
        <v/>
      </c>
      <c r="I5109">
        <f>IF(E5109="Gmail",COUNTIF($E$2:E5109,"Gmail"),"")</f>
        <v/>
      </c>
      <c r="J5109">
        <f>IF(E5109="Outlook",COUNTIF($E$2:E5109,"Outlook"),"")</f>
        <v/>
      </c>
      <c r="K5109">
        <f>IF(E5109="Domain",COUNTIF($E$2:E5109,"Domain"),"")</f>
        <v/>
      </c>
    </row>
    <row r="5110">
      <c r="A5110" s="2" t="n"/>
      <c r="B5110">
        <f>LOWER(TRIM(A5110))</f>
        <v/>
      </c>
      <c r="C5110">
        <f>IF(B5110="","",IFERROR(INDEX('Bad Patterns'!$A$2:$A$120,MATCH(1,INDEX(--ISNUMBER(SEARCH('Bad Patterns'!$A$2:$A$120,B5110)),0),0)),""))</f>
        <v/>
      </c>
      <c r="D5110">
        <f>IF(B5110="","",IF(C5110&lt;&gt;"","REMOVE","KEEP"))</f>
        <v/>
      </c>
      <c r="E5110">
        <f>IF(D5110&lt;&gt;"KEEP","",IF(RIGHT(B5110,10)="@gmail.com","Gmail",IF(OR(RIGHT(B5110,12)="@outlook.com",RIGHT(B5110,12)="@hotmail.com",RIGHT(B5110,9)="@live.com"),"Outlook","Domain")))</f>
        <v/>
      </c>
      <c r="F5110">
        <f>IF(B5110="","",IFERROR(RIGHT(B5110,LEN(B5110)-FIND("@",B5110)),""))</f>
        <v/>
      </c>
      <c r="G5110">
        <f>IF(D5110="KEEP",COUNTIF($D$2:D5110,"KEEP"),"")</f>
        <v/>
      </c>
      <c r="H5110">
        <f>IF(D5110="REMOVE",COUNTIF($D$2:D5110,"REMOVE"),"")</f>
        <v/>
      </c>
      <c r="I5110">
        <f>IF(E5110="Gmail",COUNTIF($E$2:E5110,"Gmail"),"")</f>
        <v/>
      </c>
      <c r="J5110">
        <f>IF(E5110="Outlook",COUNTIF($E$2:E5110,"Outlook"),"")</f>
        <v/>
      </c>
      <c r="K5110">
        <f>IF(E5110="Domain",COUNTIF($E$2:E5110,"Domain"),"")</f>
        <v/>
      </c>
    </row>
    <row r="5111">
      <c r="A5111" s="2" t="n"/>
      <c r="B5111">
        <f>LOWER(TRIM(A5111))</f>
        <v/>
      </c>
      <c r="C5111">
        <f>IF(B5111="","",IFERROR(INDEX('Bad Patterns'!$A$2:$A$120,MATCH(1,INDEX(--ISNUMBER(SEARCH('Bad Patterns'!$A$2:$A$120,B5111)),0),0)),""))</f>
        <v/>
      </c>
      <c r="D5111">
        <f>IF(B5111="","",IF(C5111&lt;&gt;"","REMOVE","KEEP"))</f>
        <v/>
      </c>
      <c r="E5111">
        <f>IF(D5111&lt;&gt;"KEEP","",IF(RIGHT(B5111,10)="@gmail.com","Gmail",IF(OR(RIGHT(B5111,12)="@outlook.com",RIGHT(B5111,12)="@hotmail.com",RIGHT(B5111,9)="@live.com"),"Outlook","Domain")))</f>
        <v/>
      </c>
      <c r="F5111">
        <f>IF(B5111="","",IFERROR(RIGHT(B5111,LEN(B5111)-FIND("@",B5111)),""))</f>
        <v/>
      </c>
      <c r="G5111">
        <f>IF(D5111="KEEP",COUNTIF($D$2:D5111,"KEEP"),"")</f>
        <v/>
      </c>
      <c r="H5111">
        <f>IF(D5111="REMOVE",COUNTIF($D$2:D5111,"REMOVE"),"")</f>
        <v/>
      </c>
      <c r="I5111">
        <f>IF(E5111="Gmail",COUNTIF($E$2:E5111,"Gmail"),"")</f>
        <v/>
      </c>
      <c r="J5111">
        <f>IF(E5111="Outlook",COUNTIF($E$2:E5111,"Outlook"),"")</f>
        <v/>
      </c>
      <c r="K5111">
        <f>IF(E5111="Domain",COUNTIF($E$2:E5111,"Domain"),"")</f>
        <v/>
      </c>
    </row>
    <row r="5112">
      <c r="A5112" s="2" t="n"/>
      <c r="B5112">
        <f>LOWER(TRIM(A5112))</f>
        <v/>
      </c>
      <c r="C5112">
        <f>IF(B5112="","",IFERROR(INDEX('Bad Patterns'!$A$2:$A$120,MATCH(1,INDEX(--ISNUMBER(SEARCH('Bad Patterns'!$A$2:$A$120,B5112)),0),0)),""))</f>
        <v/>
      </c>
      <c r="D5112">
        <f>IF(B5112="","",IF(C5112&lt;&gt;"","REMOVE","KEEP"))</f>
        <v/>
      </c>
      <c r="E5112">
        <f>IF(D5112&lt;&gt;"KEEP","",IF(RIGHT(B5112,10)="@gmail.com","Gmail",IF(OR(RIGHT(B5112,12)="@outlook.com",RIGHT(B5112,12)="@hotmail.com",RIGHT(B5112,9)="@live.com"),"Outlook","Domain")))</f>
        <v/>
      </c>
      <c r="F5112">
        <f>IF(B5112="","",IFERROR(RIGHT(B5112,LEN(B5112)-FIND("@",B5112)),""))</f>
        <v/>
      </c>
      <c r="G5112">
        <f>IF(D5112="KEEP",COUNTIF($D$2:D5112,"KEEP"),"")</f>
        <v/>
      </c>
      <c r="H5112">
        <f>IF(D5112="REMOVE",COUNTIF($D$2:D5112,"REMOVE"),"")</f>
        <v/>
      </c>
      <c r="I5112">
        <f>IF(E5112="Gmail",COUNTIF($E$2:E5112,"Gmail"),"")</f>
        <v/>
      </c>
      <c r="J5112">
        <f>IF(E5112="Outlook",COUNTIF($E$2:E5112,"Outlook"),"")</f>
        <v/>
      </c>
      <c r="K5112">
        <f>IF(E5112="Domain",COUNTIF($E$2:E5112,"Domain"),"")</f>
        <v/>
      </c>
    </row>
    <row r="5113">
      <c r="A5113" s="2" t="n"/>
      <c r="B5113">
        <f>LOWER(TRIM(A5113))</f>
        <v/>
      </c>
      <c r="C5113">
        <f>IF(B5113="","",IFERROR(INDEX('Bad Patterns'!$A$2:$A$120,MATCH(1,INDEX(--ISNUMBER(SEARCH('Bad Patterns'!$A$2:$A$120,B5113)),0),0)),""))</f>
        <v/>
      </c>
      <c r="D5113">
        <f>IF(B5113="","",IF(C5113&lt;&gt;"","REMOVE","KEEP"))</f>
        <v/>
      </c>
      <c r="E5113">
        <f>IF(D5113&lt;&gt;"KEEP","",IF(RIGHT(B5113,10)="@gmail.com","Gmail",IF(OR(RIGHT(B5113,12)="@outlook.com",RIGHT(B5113,12)="@hotmail.com",RIGHT(B5113,9)="@live.com"),"Outlook","Domain")))</f>
        <v/>
      </c>
      <c r="F5113">
        <f>IF(B5113="","",IFERROR(RIGHT(B5113,LEN(B5113)-FIND("@",B5113)),""))</f>
        <v/>
      </c>
      <c r="G5113">
        <f>IF(D5113="KEEP",COUNTIF($D$2:D5113,"KEEP"),"")</f>
        <v/>
      </c>
      <c r="H5113">
        <f>IF(D5113="REMOVE",COUNTIF($D$2:D5113,"REMOVE"),"")</f>
        <v/>
      </c>
      <c r="I5113">
        <f>IF(E5113="Gmail",COUNTIF($E$2:E5113,"Gmail"),"")</f>
        <v/>
      </c>
      <c r="J5113">
        <f>IF(E5113="Outlook",COUNTIF($E$2:E5113,"Outlook"),"")</f>
        <v/>
      </c>
      <c r="K5113">
        <f>IF(E5113="Domain",COUNTIF($E$2:E5113,"Domain"),"")</f>
        <v/>
      </c>
    </row>
    <row r="5114">
      <c r="A5114" s="2" t="n"/>
      <c r="B5114">
        <f>LOWER(TRIM(A5114))</f>
        <v/>
      </c>
      <c r="C5114">
        <f>IF(B5114="","",IFERROR(INDEX('Bad Patterns'!$A$2:$A$120,MATCH(1,INDEX(--ISNUMBER(SEARCH('Bad Patterns'!$A$2:$A$120,B5114)),0),0)),""))</f>
        <v/>
      </c>
      <c r="D5114">
        <f>IF(B5114="","",IF(C5114&lt;&gt;"","REMOVE","KEEP"))</f>
        <v/>
      </c>
      <c r="E5114">
        <f>IF(D5114&lt;&gt;"KEEP","",IF(RIGHT(B5114,10)="@gmail.com","Gmail",IF(OR(RIGHT(B5114,12)="@outlook.com",RIGHT(B5114,12)="@hotmail.com",RIGHT(B5114,9)="@live.com"),"Outlook","Domain")))</f>
        <v/>
      </c>
      <c r="F5114">
        <f>IF(B5114="","",IFERROR(RIGHT(B5114,LEN(B5114)-FIND("@",B5114)),""))</f>
        <v/>
      </c>
      <c r="G5114">
        <f>IF(D5114="KEEP",COUNTIF($D$2:D5114,"KEEP"),"")</f>
        <v/>
      </c>
      <c r="H5114">
        <f>IF(D5114="REMOVE",COUNTIF($D$2:D5114,"REMOVE"),"")</f>
        <v/>
      </c>
      <c r="I5114">
        <f>IF(E5114="Gmail",COUNTIF($E$2:E5114,"Gmail"),"")</f>
        <v/>
      </c>
      <c r="J5114">
        <f>IF(E5114="Outlook",COUNTIF($E$2:E5114,"Outlook"),"")</f>
        <v/>
      </c>
      <c r="K5114">
        <f>IF(E5114="Domain",COUNTIF($E$2:E5114,"Domain"),"")</f>
        <v/>
      </c>
    </row>
    <row r="5115">
      <c r="A5115" s="2" t="n"/>
      <c r="B5115">
        <f>LOWER(TRIM(A5115))</f>
        <v/>
      </c>
      <c r="C5115">
        <f>IF(B5115="","",IFERROR(INDEX('Bad Patterns'!$A$2:$A$120,MATCH(1,INDEX(--ISNUMBER(SEARCH('Bad Patterns'!$A$2:$A$120,B5115)),0),0)),""))</f>
        <v/>
      </c>
      <c r="D5115">
        <f>IF(B5115="","",IF(C5115&lt;&gt;"","REMOVE","KEEP"))</f>
        <v/>
      </c>
      <c r="E5115">
        <f>IF(D5115&lt;&gt;"KEEP","",IF(RIGHT(B5115,10)="@gmail.com","Gmail",IF(OR(RIGHT(B5115,12)="@outlook.com",RIGHT(B5115,12)="@hotmail.com",RIGHT(B5115,9)="@live.com"),"Outlook","Domain")))</f>
        <v/>
      </c>
      <c r="F5115">
        <f>IF(B5115="","",IFERROR(RIGHT(B5115,LEN(B5115)-FIND("@",B5115)),""))</f>
        <v/>
      </c>
      <c r="G5115">
        <f>IF(D5115="KEEP",COUNTIF($D$2:D5115,"KEEP"),"")</f>
        <v/>
      </c>
      <c r="H5115">
        <f>IF(D5115="REMOVE",COUNTIF($D$2:D5115,"REMOVE"),"")</f>
        <v/>
      </c>
      <c r="I5115">
        <f>IF(E5115="Gmail",COUNTIF($E$2:E5115,"Gmail"),"")</f>
        <v/>
      </c>
      <c r="J5115">
        <f>IF(E5115="Outlook",COUNTIF($E$2:E5115,"Outlook"),"")</f>
        <v/>
      </c>
      <c r="K5115">
        <f>IF(E5115="Domain",COUNTIF($E$2:E5115,"Domain"),"")</f>
        <v/>
      </c>
    </row>
    <row r="5116">
      <c r="A5116" s="2" t="n"/>
      <c r="B5116">
        <f>LOWER(TRIM(A5116))</f>
        <v/>
      </c>
      <c r="C5116">
        <f>IF(B5116="","",IFERROR(INDEX('Bad Patterns'!$A$2:$A$120,MATCH(1,INDEX(--ISNUMBER(SEARCH('Bad Patterns'!$A$2:$A$120,B5116)),0),0)),""))</f>
        <v/>
      </c>
      <c r="D5116">
        <f>IF(B5116="","",IF(C5116&lt;&gt;"","REMOVE","KEEP"))</f>
        <v/>
      </c>
      <c r="E5116">
        <f>IF(D5116&lt;&gt;"KEEP","",IF(RIGHT(B5116,10)="@gmail.com","Gmail",IF(OR(RIGHT(B5116,12)="@outlook.com",RIGHT(B5116,12)="@hotmail.com",RIGHT(B5116,9)="@live.com"),"Outlook","Domain")))</f>
        <v/>
      </c>
      <c r="F5116">
        <f>IF(B5116="","",IFERROR(RIGHT(B5116,LEN(B5116)-FIND("@",B5116)),""))</f>
        <v/>
      </c>
      <c r="G5116">
        <f>IF(D5116="KEEP",COUNTIF($D$2:D5116,"KEEP"),"")</f>
        <v/>
      </c>
      <c r="H5116">
        <f>IF(D5116="REMOVE",COUNTIF($D$2:D5116,"REMOVE"),"")</f>
        <v/>
      </c>
      <c r="I5116">
        <f>IF(E5116="Gmail",COUNTIF($E$2:E5116,"Gmail"),"")</f>
        <v/>
      </c>
      <c r="J5116">
        <f>IF(E5116="Outlook",COUNTIF($E$2:E5116,"Outlook"),"")</f>
        <v/>
      </c>
      <c r="K5116">
        <f>IF(E5116="Domain",COUNTIF($E$2:E5116,"Domain"),"")</f>
        <v/>
      </c>
    </row>
    <row r="5117">
      <c r="A5117" s="2" t="n"/>
      <c r="B5117">
        <f>LOWER(TRIM(A5117))</f>
        <v/>
      </c>
      <c r="C5117">
        <f>IF(B5117="","",IFERROR(INDEX('Bad Patterns'!$A$2:$A$120,MATCH(1,INDEX(--ISNUMBER(SEARCH('Bad Patterns'!$A$2:$A$120,B5117)),0),0)),""))</f>
        <v/>
      </c>
      <c r="D5117">
        <f>IF(B5117="","",IF(C5117&lt;&gt;"","REMOVE","KEEP"))</f>
        <v/>
      </c>
      <c r="E5117">
        <f>IF(D5117&lt;&gt;"KEEP","",IF(RIGHT(B5117,10)="@gmail.com","Gmail",IF(OR(RIGHT(B5117,12)="@outlook.com",RIGHT(B5117,12)="@hotmail.com",RIGHT(B5117,9)="@live.com"),"Outlook","Domain")))</f>
        <v/>
      </c>
      <c r="F5117">
        <f>IF(B5117="","",IFERROR(RIGHT(B5117,LEN(B5117)-FIND("@",B5117)),""))</f>
        <v/>
      </c>
      <c r="G5117">
        <f>IF(D5117="KEEP",COUNTIF($D$2:D5117,"KEEP"),"")</f>
        <v/>
      </c>
      <c r="H5117">
        <f>IF(D5117="REMOVE",COUNTIF($D$2:D5117,"REMOVE"),"")</f>
        <v/>
      </c>
      <c r="I5117">
        <f>IF(E5117="Gmail",COUNTIF($E$2:E5117,"Gmail"),"")</f>
        <v/>
      </c>
      <c r="J5117">
        <f>IF(E5117="Outlook",COUNTIF($E$2:E5117,"Outlook"),"")</f>
        <v/>
      </c>
      <c r="K5117">
        <f>IF(E5117="Domain",COUNTIF($E$2:E5117,"Domain"),"")</f>
        <v/>
      </c>
    </row>
    <row r="5118">
      <c r="A5118" s="2" t="n"/>
      <c r="B5118">
        <f>LOWER(TRIM(A5118))</f>
        <v/>
      </c>
      <c r="C5118">
        <f>IF(B5118="","",IFERROR(INDEX('Bad Patterns'!$A$2:$A$120,MATCH(1,INDEX(--ISNUMBER(SEARCH('Bad Patterns'!$A$2:$A$120,B5118)),0),0)),""))</f>
        <v/>
      </c>
      <c r="D5118">
        <f>IF(B5118="","",IF(C5118&lt;&gt;"","REMOVE","KEEP"))</f>
        <v/>
      </c>
      <c r="E5118">
        <f>IF(D5118&lt;&gt;"KEEP","",IF(RIGHT(B5118,10)="@gmail.com","Gmail",IF(OR(RIGHT(B5118,12)="@outlook.com",RIGHT(B5118,12)="@hotmail.com",RIGHT(B5118,9)="@live.com"),"Outlook","Domain")))</f>
        <v/>
      </c>
      <c r="F5118">
        <f>IF(B5118="","",IFERROR(RIGHT(B5118,LEN(B5118)-FIND("@",B5118)),""))</f>
        <v/>
      </c>
      <c r="G5118">
        <f>IF(D5118="KEEP",COUNTIF($D$2:D5118,"KEEP"),"")</f>
        <v/>
      </c>
      <c r="H5118">
        <f>IF(D5118="REMOVE",COUNTIF($D$2:D5118,"REMOVE"),"")</f>
        <v/>
      </c>
      <c r="I5118">
        <f>IF(E5118="Gmail",COUNTIF($E$2:E5118,"Gmail"),"")</f>
        <v/>
      </c>
      <c r="J5118">
        <f>IF(E5118="Outlook",COUNTIF($E$2:E5118,"Outlook"),"")</f>
        <v/>
      </c>
      <c r="K5118">
        <f>IF(E5118="Domain",COUNTIF($E$2:E5118,"Domain"),"")</f>
        <v/>
      </c>
    </row>
    <row r="5119">
      <c r="A5119" s="2" t="n"/>
      <c r="B5119">
        <f>LOWER(TRIM(A5119))</f>
        <v/>
      </c>
      <c r="C5119">
        <f>IF(B5119="","",IFERROR(INDEX('Bad Patterns'!$A$2:$A$120,MATCH(1,INDEX(--ISNUMBER(SEARCH('Bad Patterns'!$A$2:$A$120,B5119)),0),0)),""))</f>
        <v/>
      </c>
      <c r="D5119">
        <f>IF(B5119="","",IF(C5119&lt;&gt;"","REMOVE","KEEP"))</f>
        <v/>
      </c>
      <c r="E5119">
        <f>IF(D5119&lt;&gt;"KEEP","",IF(RIGHT(B5119,10)="@gmail.com","Gmail",IF(OR(RIGHT(B5119,12)="@outlook.com",RIGHT(B5119,12)="@hotmail.com",RIGHT(B5119,9)="@live.com"),"Outlook","Domain")))</f>
        <v/>
      </c>
      <c r="F5119">
        <f>IF(B5119="","",IFERROR(RIGHT(B5119,LEN(B5119)-FIND("@",B5119)),""))</f>
        <v/>
      </c>
      <c r="G5119">
        <f>IF(D5119="KEEP",COUNTIF($D$2:D5119,"KEEP"),"")</f>
        <v/>
      </c>
      <c r="H5119">
        <f>IF(D5119="REMOVE",COUNTIF($D$2:D5119,"REMOVE"),"")</f>
        <v/>
      </c>
      <c r="I5119">
        <f>IF(E5119="Gmail",COUNTIF($E$2:E5119,"Gmail"),"")</f>
        <v/>
      </c>
      <c r="J5119">
        <f>IF(E5119="Outlook",COUNTIF($E$2:E5119,"Outlook"),"")</f>
        <v/>
      </c>
      <c r="K5119">
        <f>IF(E5119="Domain",COUNTIF($E$2:E5119,"Domain"),"")</f>
        <v/>
      </c>
    </row>
    <row r="5120">
      <c r="A5120" s="2" t="n"/>
      <c r="B5120">
        <f>LOWER(TRIM(A5120))</f>
        <v/>
      </c>
      <c r="C5120">
        <f>IF(B5120="","",IFERROR(INDEX('Bad Patterns'!$A$2:$A$120,MATCH(1,INDEX(--ISNUMBER(SEARCH('Bad Patterns'!$A$2:$A$120,B5120)),0),0)),""))</f>
        <v/>
      </c>
      <c r="D5120">
        <f>IF(B5120="","",IF(C5120&lt;&gt;"","REMOVE","KEEP"))</f>
        <v/>
      </c>
      <c r="E5120">
        <f>IF(D5120&lt;&gt;"KEEP","",IF(RIGHT(B5120,10)="@gmail.com","Gmail",IF(OR(RIGHT(B5120,12)="@outlook.com",RIGHT(B5120,12)="@hotmail.com",RIGHT(B5120,9)="@live.com"),"Outlook","Domain")))</f>
        <v/>
      </c>
      <c r="F5120">
        <f>IF(B5120="","",IFERROR(RIGHT(B5120,LEN(B5120)-FIND("@",B5120)),""))</f>
        <v/>
      </c>
      <c r="G5120">
        <f>IF(D5120="KEEP",COUNTIF($D$2:D5120,"KEEP"),"")</f>
        <v/>
      </c>
      <c r="H5120">
        <f>IF(D5120="REMOVE",COUNTIF($D$2:D5120,"REMOVE"),"")</f>
        <v/>
      </c>
      <c r="I5120">
        <f>IF(E5120="Gmail",COUNTIF($E$2:E5120,"Gmail"),"")</f>
        <v/>
      </c>
      <c r="J5120">
        <f>IF(E5120="Outlook",COUNTIF($E$2:E5120,"Outlook"),"")</f>
        <v/>
      </c>
      <c r="K5120">
        <f>IF(E5120="Domain",COUNTIF($E$2:E5120,"Domain"),"")</f>
        <v/>
      </c>
    </row>
    <row r="5121">
      <c r="A5121" s="2" t="n"/>
      <c r="B5121">
        <f>LOWER(TRIM(A5121))</f>
        <v/>
      </c>
      <c r="C5121">
        <f>IF(B5121="","",IFERROR(INDEX('Bad Patterns'!$A$2:$A$120,MATCH(1,INDEX(--ISNUMBER(SEARCH('Bad Patterns'!$A$2:$A$120,B5121)),0),0)),""))</f>
        <v/>
      </c>
      <c r="D5121">
        <f>IF(B5121="","",IF(C5121&lt;&gt;"","REMOVE","KEEP"))</f>
        <v/>
      </c>
      <c r="E5121">
        <f>IF(D5121&lt;&gt;"KEEP","",IF(RIGHT(B5121,10)="@gmail.com","Gmail",IF(OR(RIGHT(B5121,12)="@outlook.com",RIGHT(B5121,12)="@hotmail.com",RIGHT(B5121,9)="@live.com"),"Outlook","Domain")))</f>
        <v/>
      </c>
      <c r="F5121">
        <f>IF(B5121="","",IFERROR(RIGHT(B5121,LEN(B5121)-FIND("@",B5121)),""))</f>
        <v/>
      </c>
      <c r="G5121">
        <f>IF(D5121="KEEP",COUNTIF($D$2:D5121,"KEEP"),"")</f>
        <v/>
      </c>
      <c r="H5121">
        <f>IF(D5121="REMOVE",COUNTIF($D$2:D5121,"REMOVE"),"")</f>
        <v/>
      </c>
      <c r="I5121">
        <f>IF(E5121="Gmail",COUNTIF($E$2:E5121,"Gmail"),"")</f>
        <v/>
      </c>
      <c r="J5121">
        <f>IF(E5121="Outlook",COUNTIF($E$2:E5121,"Outlook"),"")</f>
        <v/>
      </c>
      <c r="K5121">
        <f>IF(E5121="Domain",COUNTIF($E$2:E5121,"Domain"),"")</f>
        <v/>
      </c>
    </row>
    <row r="5122">
      <c r="A5122" s="2" t="n"/>
      <c r="B5122">
        <f>LOWER(TRIM(A5122))</f>
        <v/>
      </c>
      <c r="C5122">
        <f>IF(B5122="","",IFERROR(INDEX('Bad Patterns'!$A$2:$A$120,MATCH(1,INDEX(--ISNUMBER(SEARCH('Bad Patterns'!$A$2:$A$120,B5122)),0),0)),""))</f>
        <v/>
      </c>
      <c r="D5122">
        <f>IF(B5122="","",IF(C5122&lt;&gt;"","REMOVE","KEEP"))</f>
        <v/>
      </c>
      <c r="E5122">
        <f>IF(D5122&lt;&gt;"KEEP","",IF(RIGHT(B5122,10)="@gmail.com","Gmail",IF(OR(RIGHT(B5122,12)="@outlook.com",RIGHT(B5122,12)="@hotmail.com",RIGHT(B5122,9)="@live.com"),"Outlook","Domain")))</f>
        <v/>
      </c>
      <c r="F5122">
        <f>IF(B5122="","",IFERROR(RIGHT(B5122,LEN(B5122)-FIND("@",B5122)),""))</f>
        <v/>
      </c>
      <c r="G5122">
        <f>IF(D5122="KEEP",COUNTIF($D$2:D5122,"KEEP"),"")</f>
        <v/>
      </c>
      <c r="H5122">
        <f>IF(D5122="REMOVE",COUNTIF($D$2:D5122,"REMOVE"),"")</f>
        <v/>
      </c>
      <c r="I5122">
        <f>IF(E5122="Gmail",COUNTIF($E$2:E5122,"Gmail"),"")</f>
        <v/>
      </c>
      <c r="J5122">
        <f>IF(E5122="Outlook",COUNTIF($E$2:E5122,"Outlook"),"")</f>
        <v/>
      </c>
      <c r="K5122">
        <f>IF(E5122="Domain",COUNTIF($E$2:E5122,"Domain"),"")</f>
        <v/>
      </c>
    </row>
    <row r="5123">
      <c r="A5123" s="2" t="n"/>
      <c r="B5123">
        <f>LOWER(TRIM(A5123))</f>
        <v/>
      </c>
      <c r="C5123">
        <f>IF(B5123="","",IFERROR(INDEX('Bad Patterns'!$A$2:$A$120,MATCH(1,INDEX(--ISNUMBER(SEARCH('Bad Patterns'!$A$2:$A$120,B5123)),0),0)),""))</f>
        <v/>
      </c>
      <c r="D5123">
        <f>IF(B5123="","",IF(C5123&lt;&gt;"","REMOVE","KEEP"))</f>
        <v/>
      </c>
      <c r="E5123">
        <f>IF(D5123&lt;&gt;"KEEP","",IF(RIGHT(B5123,10)="@gmail.com","Gmail",IF(OR(RIGHT(B5123,12)="@outlook.com",RIGHT(B5123,12)="@hotmail.com",RIGHT(B5123,9)="@live.com"),"Outlook","Domain")))</f>
        <v/>
      </c>
      <c r="F5123">
        <f>IF(B5123="","",IFERROR(RIGHT(B5123,LEN(B5123)-FIND("@",B5123)),""))</f>
        <v/>
      </c>
      <c r="G5123">
        <f>IF(D5123="KEEP",COUNTIF($D$2:D5123,"KEEP"),"")</f>
        <v/>
      </c>
      <c r="H5123">
        <f>IF(D5123="REMOVE",COUNTIF($D$2:D5123,"REMOVE"),"")</f>
        <v/>
      </c>
      <c r="I5123">
        <f>IF(E5123="Gmail",COUNTIF($E$2:E5123,"Gmail"),"")</f>
        <v/>
      </c>
      <c r="J5123">
        <f>IF(E5123="Outlook",COUNTIF($E$2:E5123,"Outlook"),"")</f>
        <v/>
      </c>
      <c r="K5123">
        <f>IF(E5123="Domain",COUNTIF($E$2:E5123,"Domain"),"")</f>
        <v/>
      </c>
    </row>
    <row r="5124">
      <c r="A5124" s="2" t="n"/>
      <c r="B5124">
        <f>LOWER(TRIM(A5124))</f>
        <v/>
      </c>
      <c r="C5124">
        <f>IF(B5124="","",IFERROR(INDEX('Bad Patterns'!$A$2:$A$120,MATCH(1,INDEX(--ISNUMBER(SEARCH('Bad Patterns'!$A$2:$A$120,B5124)),0),0)),""))</f>
        <v/>
      </c>
      <c r="D5124">
        <f>IF(B5124="","",IF(C5124&lt;&gt;"","REMOVE","KEEP"))</f>
        <v/>
      </c>
      <c r="E5124">
        <f>IF(D5124&lt;&gt;"KEEP","",IF(RIGHT(B5124,10)="@gmail.com","Gmail",IF(OR(RIGHT(B5124,12)="@outlook.com",RIGHT(B5124,12)="@hotmail.com",RIGHT(B5124,9)="@live.com"),"Outlook","Domain")))</f>
        <v/>
      </c>
      <c r="F5124">
        <f>IF(B5124="","",IFERROR(RIGHT(B5124,LEN(B5124)-FIND("@",B5124)),""))</f>
        <v/>
      </c>
      <c r="G5124">
        <f>IF(D5124="KEEP",COUNTIF($D$2:D5124,"KEEP"),"")</f>
        <v/>
      </c>
      <c r="H5124">
        <f>IF(D5124="REMOVE",COUNTIF($D$2:D5124,"REMOVE"),"")</f>
        <v/>
      </c>
      <c r="I5124">
        <f>IF(E5124="Gmail",COUNTIF($E$2:E5124,"Gmail"),"")</f>
        <v/>
      </c>
      <c r="J5124">
        <f>IF(E5124="Outlook",COUNTIF($E$2:E5124,"Outlook"),"")</f>
        <v/>
      </c>
      <c r="K5124">
        <f>IF(E5124="Domain",COUNTIF($E$2:E5124,"Domain"),"")</f>
        <v/>
      </c>
    </row>
    <row r="5125">
      <c r="A5125" s="2" t="n"/>
      <c r="B5125">
        <f>LOWER(TRIM(A5125))</f>
        <v/>
      </c>
      <c r="C5125">
        <f>IF(B5125="","",IFERROR(INDEX('Bad Patterns'!$A$2:$A$120,MATCH(1,INDEX(--ISNUMBER(SEARCH('Bad Patterns'!$A$2:$A$120,B5125)),0),0)),""))</f>
        <v/>
      </c>
      <c r="D5125">
        <f>IF(B5125="","",IF(C5125&lt;&gt;"","REMOVE","KEEP"))</f>
        <v/>
      </c>
      <c r="E5125">
        <f>IF(D5125&lt;&gt;"KEEP","",IF(RIGHT(B5125,10)="@gmail.com","Gmail",IF(OR(RIGHT(B5125,12)="@outlook.com",RIGHT(B5125,12)="@hotmail.com",RIGHT(B5125,9)="@live.com"),"Outlook","Domain")))</f>
        <v/>
      </c>
      <c r="F5125">
        <f>IF(B5125="","",IFERROR(RIGHT(B5125,LEN(B5125)-FIND("@",B5125)),""))</f>
        <v/>
      </c>
      <c r="G5125">
        <f>IF(D5125="KEEP",COUNTIF($D$2:D5125,"KEEP"),"")</f>
        <v/>
      </c>
      <c r="H5125">
        <f>IF(D5125="REMOVE",COUNTIF($D$2:D5125,"REMOVE"),"")</f>
        <v/>
      </c>
      <c r="I5125">
        <f>IF(E5125="Gmail",COUNTIF($E$2:E5125,"Gmail"),"")</f>
        <v/>
      </c>
      <c r="J5125">
        <f>IF(E5125="Outlook",COUNTIF($E$2:E5125,"Outlook"),"")</f>
        <v/>
      </c>
      <c r="K5125">
        <f>IF(E5125="Domain",COUNTIF($E$2:E5125,"Domain"),"")</f>
        <v/>
      </c>
    </row>
    <row r="5126">
      <c r="A5126" s="2" t="n"/>
      <c r="B5126">
        <f>LOWER(TRIM(A5126))</f>
        <v/>
      </c>
      <c r="C5126">
        <f>IF(B5126="","",IFERROR(INDEX('Bad Patterns'!$A$2:$A$120,MATCH(1,INDEX(--ISNUMBER(SEARCH('Bad Patterns'!$A$2:$A$120,B5126)),0),0)),""))</f>
        <v/>
      </c>
      <c r="D5126">
        <f>IF(B5126="","",IF(C5126&lt;&gt;"","REMOVE","KEEP"))</f>
        <v/>
      </c>
      <c r="E5126">
        <f>IF(D5126&lt;&gt;"KEEP","",IF(RIGHT(B5126,10)="@gmail.com","Gmail",IF(OR(RIGHT(B5126,12)="@outlook.com",RIGHT(B5126,12)="@hotmail.com",RIGHT(B5126,9)="@live.com"),"Outlook","Domain")))</f>
        <v/>
      </c>
      <c r="F5126">
        <f>IF(B5126="","",IFERROR(RIGHT(B5126,LEN(B5126)-FIND("@",B5126)),""))</f>
        <v/>
      </c>
      <c r="G5126">
        <f>IF(D5126="KEEP",COUNTIF($D$2:D5126,"KEEP"),"")</f>
        <v/>
      </c>
      <c r="H5126">
        <f>IF(D5126="REMOVE",COUNTIF($D$2:D5126,"REMOVE"),"")</f>
        <v/>
      </c>
      <c r="I5126">
        <f>IF(E5126="Gmail",COUNTIF($E$2:E5126,"Gmail"),"")</f>
        <v/>
      </c>
      <c r="J5126">
        <f>IF(E5126="Outlook",COUNTIF($E$2:E5126,"Outlook"),"")</f>
        <v/>
      </c>
      <c r="K5126">
        <f>IF(E5126="Domain",COUNTIF($E$2:E5126,"Domain"),"")</f>
        <v/>
      </c>
    </row>
    <row r="5127">
      <c r="A5127" s="2" t="n"/>
      <c r="B5127">
        <f>LOWER(TRIM(A5127))</f>
        <v/>
      </c>
      <c r="C5127">
        <f>IF(B5127="","",IFERROR(INDEX('Bad Patterns'!$A$2:$A$120,MATCH(1,INDEX(--ISNUMBER(SEARCH('Bad Patterns'!$A$2:$A$120,B5127)),0),0)),""))</f>
        <v/>
      </c>
      <c r="D5127">
        <f>IF(B5127="","",IF(C5127&lt;&gt;"","REMOVE","KEEP"))</f>
        <v/>
      </c>
      <c r="E5127">
        <f>IF(D5127&lt;&gt;"KEEP","",IF(RIGHT(B5127,10)="@gmail.com","Gmail",IF(OR(RIGHT(B5127,12)="@outlook.com",RIGHT(B5127,12)="@hotmail.com",RIGHT(B5127,9)="@live.com"),"Outlook","Domain")))</f>
        <v/>
      </c>
      <c r="F5127">
        <f>IF(B5127="","",IFERROR(RIGHT(B5127,LEN(B5127)-FIND("@",B5127)),""))</f>
        <v/>
      </c>
      <c r="G5127">
        <f>IF(D5127="KEEP",COUNTIF($D$2:D5127,"KEEP"),"")</f>
        <v/>
      </c>
      <c r="H5127">
        <f>IF(D5127="REMOVE",COUNTIF($D$2:D5127,"REMOVE"),"")</f>
        <v/>
      </c>
      <c r="I5127">
        <f>IF(E5127="Gmail",COUNTIF($E$2:E5127,"Gmail"),"")</f>
        <v/>
      </c>
      <c r="J5127">
        <f>IF(E5127="Outlook",COUNTIF($E$2:E5127,"Outlook"),"")</f>
        <v/>
      </c>
      <c r="K5127">
        <f>IF(E5127="Domain",COUNTIF($E$2:E5127,"Domain"),"")</f>
        <v/>
      </c>
    </row>
    <row r="5128">
      <c r="A5128" s="2" t="n"/>
      <c r="B5128">
        <f>LOWER(TRIM(A5128))</f>
        <v/>
      </c>
      <c r="C5128">
        <f>IF(B5128="","",IFERROR(INDEX('Bad Patterns'!$A$2:$A$120,MATCH(1,INDEX(--ISNUMBER(SEARCH('Bad Patterns'!$A$2:$A$120,B5128)),0),0)),""))</f>
        <v/>
      </c>
      <c r="D5128">
        <f>IF(B5128="","",IF(C5128&lt;&gt;"","REMOVE","KEEP"))</f>
        <v/>
      </c>
      <c r="E5128">
        <f>IF(D5128&lt;&gt;"KEEP","",IF(RIGHT(B5128,10)="@gmail.com","Gmail",IF(OR(RIGHT(B5128,12)="@outlook.com",RIGHT(B5128,12)="@hotmail.com",RIGHT(B5128,9)="@live.com"),"Outlook","Domain")))</f>
        <v/>
      </c>
      <c r="F5128">
        <f>IF(B5128="","",IFERROR(RIGHT(B5128,LEN(B5128)-FIND("@",B5128)),""))</f>
        <v/>
      </c>
      <c r="G5128">
        <f>IF(D5128="KEEP",COUNTIF($D$2:D5128,"KEEP"),"")</f>
        <v/>
      </c>
      <c r="H5128">
        <f>IF(D5128="REMOVE",COUNTIF($D$2:D5128,"REMOVE"),"")</f>
        <v/>
      </c>
      <c r="I5128">
        <f>IF(E5128="Gmail",COUNTIF($E$2:E5128,"Gmail"),"")</f>
        <v/>
      </c>
      <c r="J5128">
        <f>IF(E5128="Outlook",COUNTIF($E$2:E5128,"Outlook"),"")</f>
        <v/>
      </c>
      <c r="K5128">
        <f>IF(E5128="Domain",COUNTIF($E$2:E5128,"Domain"),"")</f>
        <v/>
      </c>
    </row>
    <row r="5129">
      <c r="A5129" s="2" t="n"/>
      <c r="B5129">
        <f>LOWER(TRIM(A5129))</f>
        <v/>
      </c>
      <c r="C5129">
        <f>IF(B5129="","",IFERROR(INDEX('Bad Patterns'!$A$2:$A$120,MATCH(1,INDEX(--ISNUMBER(SEARCH('Bad Patterns'!$A$2:$A$120,B5129)),0),0)),""))</f>
        <v/>
      </c>
      <c r="D5129">
        <f>IF(B5129="","",IF(C5129&lt;&gt;"","REMOVE","KEEP"))</f>
        <v/>
      </c>
      <c r="E5129">
        <f>IF(D5129&lt;&gt;"KEEP","",IF(RIGHT(B5129,10)="@gmail.com","Gmail",IF(OR(RIGHT(B5129,12)="@outlook.com",RIGHT(B5129,12)="@hotmail.com",RIGHT(B5129,9)="@live.com"),"Outlook","Domain")))</f>
        <v/>
      </c>
      <c r="F5129">
        <f>IF(B5129="","",IFERROR(RIGHT(B5129,LEN(B5129)-FIND("@",B5129)),""))</f>
        <v/>
      </c>
      <c r="G5129">
        <f>IF(D5129="KEEP",COUNTIF($D$2:D5129,"KEEP"),"")</f>
        <v/>
      </c>
      <c r="H5129">
        <f>IF(D5129="REMOVE",COUNTIF($D$2:D5129,"REMOVE"),"")</f>
        <v/>
      </c>
      <c r="I5129">
        <f>IF(E5129="Gmail",COUNTIF($E$2:E5129,"Gmail"),"")</f>
        <v/>
      </c>
      <c r="J5129">
        <f>IF(E5129="Outlook",COUNTIF($E$2:E5129,"Outlook"),"")</f>
        <v/>
      </c>
      <c r="K5129">
        <f>IF(E5129="Domain",COUNTIF($E$2:E5129,"Domain"),"")</f>
        <v/>
      </c>
    </row>
    <row r="5130">
      <c r="A5130" s="2" t="n"/>
      <c r="B5130">
        <f>LOWER(TRIM(A5130))</f>
        <v/>
      </c>
      <c r="C5130">
        <f>IF(B5130="","",IFERROR(INDEX('Bad Patterns'!$A$2:$A$120,MATCH(1,INDEX(--ISNUMBER(SEARCH('Bad Patterns'!$A$2:$A$120,B5130)),0),0)),""))</f>
        <v/>
      </c>
      <c r="D5130">
        <f>IF(B5130="","",IF(C5130&lt;&gt;"","REMOVE","KEEP"))</f>
        <v/>
      </c>
      <c r="E5130">
        <f>IF(D5130&lt;&gt;"KEEP","",IF(RIGHT(B5130,10)="@gmail.com","Gmail",IF(OR(RIGHT(B5130,12)="@outlook.com",RIGHT(B5130,12)="@hotmail.com",RIGHT(B5130,9)="@live.com"),"Outlook","Domain")))</f>
        <v/>
      </c>
      <c r="F5130">
        <f>IF(B5130="","",IFERROR(RIGHT(B5130,LEN(B5130)-FIND("@",B5130)),""))</f>
        <v/>
      </c>
      <c r="G5130">
        <f>IF(D5130="KEEP",COUNTIF($D$2:D5130,"KEEP"),"")</f>
        <v/>
      </c>
      <c r="H5130">
        <f>IF(D5130="REMOVE",COUNTIF($D$2:D5130,"REMOVE"),"")</f>
        <v/>
      </c>
      <c r="I5130">
        <f>IF(E5130="Gmail",COUNTIF($E$2:E5130,"Gmail"),"")</f>
        <v/>
      </c>
      <c r="J5130">
        <f>IF(E5130="Outlook",COUNTIF($E$2:E5130,"Outlook"),"")</f>
        <v/>
      </c>
      <c r="K5130">
        <f>IF(E5130="Domain",COUNTIF($E$2:E5130,"Domain"),"")</f>
        <v/>
      </c>
    </row>
    <row r="5131">
      <c r="A5131" s="2" t="n"/>
      <c r="B5131">
        <f>LOWER(TRIM(A5131))</f>
        <v/>
      </c>
      <c r="C5131">
        <f>IF(B5131="","",IFERROR(INDEX('Bad Patterns'!$A$2:$A$120,MATCH(1,INDEX(--ISNUMBER(SEARCH('Bad Patterns'!$A$2:$A$120,B5131)),0),0)),""))</f>
        <v/>
      </c>
      <c r="D5131">
        <f>IF(B5131="","",IF(C5131&lt;&gt;"","REMOVE","KEEP"))</f>
        <v/>
      </c>
      <c r="E5131">
        <f>IF(D5131&lt;&gt;"KEEP","",IF(RIGHT(B5131,10)="@gmail.com","Gmail",IF(OR(RIGHT(B5131,12)="@outlook.com",RIGHT(B5131,12)="@hotmail.com",RIGHT(B5131,9)="@live.com"),"Outlook","Domain")))</f>
        <v/>
      </c>
      <c r="F5131">
        <f>IF(B5131="","",IFERROR(RIGHT(B5131,LEN(B5131)-FIND("@",B5131)),""))</f>
        <v/>
      </c>
      <c r="G5131">
        <f>IF(D5131="KEEP",COUNTIF($D$2:D5131,"KEEP"),"")</f>
        <v/>
      </c>
      <c r="H5131">
        <f>IF(D5131="REMOVE",COUNTIF($D$2:D5131,"REMOVE"),"")</f>
        <v/>
      </c>
      <c r="I5131">
        <f>IF(E5131="Gmail",COUNTIF($E$2:E5131,"Gmail"),"")</f>
        <v/>
      </c>
      <c r="J5131">
        <f>IF(E5131="Outlook",COUNTIF($E$2:E5131,"Outlook"),"")</f>
        <v/>
      </c>
      <c r="K5131">
        <f>IF(E5131="Domain",COUNTIF($E$2:E5131,"Domain"),"")</f>
        <v/>
      </c>
    </row>
    <row r="5132">
      <c r="A5132" s="2" t="n"/>
      <c r="B5132">
        <f>LOWER(TRIM(A5132))</f>
        <v/>
      </c>
      <c r="C5132">
        <f>IF(B5132="","",IFERROR(INDEX('Bad Patterns'!$A$2:$A$120,MATCH(1,INDEX(--ISNUMBER(SEARCH('Bad Patterns'!$A$2:$A$120,B5132)),0),0)),""))</f>
        <v/>
      </c>
      <c r="D5132">
        <f>IF(B5132="","",IF(C5132&lt;&gt;"","REMOVE","KEEP"))</f>
        <v/>
      </c>
      <c r="E5132">
        <f>IF(D5132&lt;&gt;"KEEP","",IF(RIGHT(B5132,10)="@gmail.com","Gmail",IF(OR(RIGHT(B5132,12)="@outlook.com",RIGHT(B5132,12)="@hotmail.com",RIGHT(B5132,9)="@live.com"),"Outlook","Domain")))</f>
        <v/>
      </c>
      <c r="F5132">
        <f>IF(B5132="","",IFERROR(RIGHT(B5132,LEN(B5132)-FIND("@",B5132)),""))</f>
        <v/>
      </c>
      <c r="G5132">
        <f>IF(D5132="KEEP",COUNTIF($D$2:D5132,"KEEP"),"")</f>
        <v/>
      </c>
      <c r="H5132">
        <f>IF(D5132="REMOVE",COUNTIF($D$2:D5132,"REMOVE"),"")</f>
        <v/>
      </c>
      <c r="I5132">
        <f>IF(E5132="Gmail",COUNTIF($E$2:E5132,"Gmail"),"")</f>
        <v/>
      </c>
      <c r="J5132">
        <f>IF(E5132="Outlook",COUNTIF($E$2:E5132,"Outlook"),"")</f>
        <v/>
      </c>
      <c r="K5132">
        <f>IF(E5132="Domain",COUNTIF($E$2:E5132,"Domain"),"")</f>
        <v/>
      </c>
    </row>
    <row r="5133">
      <c r="A5133" s="2" t="n"/>
      <c r="B5133">
        <f>LOWER(TRIM(A5133))</f>
        <v/>
      </c>
      <c r="C5133">
        <f>IF(B5133="","",IFERROR(INDEX('Bad Patterns'!$A$2:$A$120,MATCH(1,INDEX(--ISNUMBER(SEARCH('Bad Patterns'!$A$2:$A$120,B5133)),0),0)),""))</f>
        <v/>
      </c>
      <c r="D5133">
        <f>IF(B5133="","",IF(C5133&lt;&gt;"","REMOVE","KEEP"))</f>
        <v/>
      </c>
      <c r="E5133">
        <f>IF(D5133&lt;&gt;"KEEP","",IF(RIGHT(B5133,10)="@gmail.com","Gmail",IF(OR(RIGHT(B5133,12)="@outlook.com",RIGHT(B5133,12)="@hotmail.com",RIGHT(B5133,9)="@live.com"),"Outlook","Domain")))</f>
        <v/>
      </c>
      <c r="F5133">
        <f>IF(B5133="","",IFERROR(RIGHT(B5133,LEN(B5133)-FIND("@",B5133)),""))</f>
        <v/>
      </c>
      <c r="G5133">
        <f>IF(D5133="KEEP",COUNTIF($D$2:D5133,"KEEP"),"")</f>
        <v/>
      </c>
      <c r="H5133">
        <f>IF(D5133="REMOVE",COUNTIF($D$2:D5133,"REMOVE"),"")</f>
        <v/>
      </c>
      <c r="I5133">
        <f>IF(E5133="Gmail",COUNTIF($E$2:E5133,"Gmail"),"")</f>
        <v/>
      </c>
      <c r="J5133">
        <f>IF(E5133="Outlook",COUNTIF($E$2:E5133,"Outlook"),"")</f>
        <v/>
      </c>
      <c r="K5133">
        <f>IF(E5133="Domain",COUNTIF($E$2:E5133,"Domain"),"")</f>
        <v/>
      </c>
    </row>
    <row r="5134">
      <c r="A5134" s="2" t="n"/>
      <c r="B5134">
        <f>LOWER(TRIM(A5134))</f>
        <v/>
      </c>
      <c r="C5134">
        <f>IF(B5134="","",IFERROR(INDEX('Bad Patterns'!$A$2:$A$120,MATCH(1,INDEX(--ISNUMBER(SEARCH('Bad Patterns'!$A$2:$A$120,B5134)),0),0)),""))</f>
        <v/>
      </c>
      <c r="D5134">
        <f>IF(B5134="","",IF(C5134&lt;&gt;"","REMOVE","KEEP"))</f>
        <v/>
      </c>
      <c r="E5134">
        <f>IF(D5134&lt;&gt;"KEEP","",IF(RIGHT(B5134,10)="@gmail.com","Gmail",IF(OR(RIGHT(B5134,12)="@outlook.com",RIGHT(B5134,12)="@hotmail.com",RIGHT(B5134,9)="@live.com"),"Outlook","Domain")))</f>
        <v/>
      </c>
      <c r="F5134">
        <f>IF(B5134="","",IFERROR(RIGHT(B5134,LEN(B5134)-FIND("@",B5134)),""))</f>
        <v/>
      </c>
      <c r="G5134">
        <f>IF(D5134="KEEP",COUNTIF($D$2:D5134,"KEEP"),"")</f>
        <v/>
      </c>
      <c r="H5134">
        <f>IF(D5134="REMOVE",COUNTIF($D$2:D5134,"REMOVE"),"")</f>
        <v/>
      </c>
      <c r="I5134">
        <f>IF(E5134="Gmail",COUNTIF($E$2:E5134,"Gmail"),"")</f>
        <v/>
      </c>
      <c r="J5134">
        <f>IF(E5134="Outlook",COUNTIF($E$2:E5134,"Outlook"),"")</f>
        <v/>
      </c>
      <c r="K5134">
        <f>IF(E5134="Domain",COUNTIF($E$2:E5134,"Domain"),"")</f>
        <v/>
      </c>
    </row>
    <row r="5135">
      <c r="A5135" s="2" t="n"/>
      <c r="B5135">
        <f>LOWER(TRIM(A5135))</f>
        <v/>
      </c>
      <c r="C5135">
        <f>IF(B5135="","",IFERROR(INDEX('Bad Patterns'!$A$2:$A$120,MATCH(1,INDEX(--ISNUMBER(SEARCH('Bad Patterns'!$A$2:$A$120,B5135)),0),0)),""))</f>
        <v/>
      </c>
      <c r="D5135">
        <f>IF(B5135="","",IF(C5135&lt;&gt;"","REMOVE","KEEP"))</f>
        <v/>
      </c>
      <c r="E5135">
        <f>IF(D5135&lt;&gt;"KEEP","",IF(RIGHT(B5135,10)="@gmail.com","Gmail",IF(OR(RIGHT(B5135,12)="@outlook.com",RIGHT(B5135,12)="@hotmail.com",RIGHT(B5135,9)="@live.com"),"Outlook","Domain")))</f>
        <v/>
      </c>
      <c r="F5135">
        <f>IF(B5135="","",IFERROR(RIGHT(B5135,LEN(B5135)-FIND("@",B5135)),""))</f>
        <v/>
      </c>
      <c r="G5135">
        <f>IF(D5135="KEEP",COUNTIF($D$2:D5135,"KEEP"),"")</f>
        <v/>
      </c>
      <c r="H5135">
        <f>IF(D5135="REMOVE",COUNTIF($D$2:D5135,"REMOVE"),"")</f>
        <v/>
      </c>
      <c r="I5135">
        <f>IF(E5135="Gmail",COUNTIF($E$2:E5135,"Gmail"),"")</f>
        <v/>
      </c>
      <c r="J5135">
        <f>IF(E5135="Outlook",COUNTIF($E$2:E5135,"Outlook"),"")</f>
        <v/>
      </c>
      <c r="K5135">
        <f>IF(E5135="Domain",COUNTIF($E$2:E5135,"Domain"),"")</f>
        <v/>
      </c>
    </row>
    <row r="5136">
      <c r="A5136" s="2" t="n"/>
      <c r="B5136">
        <f>LOWER(TRIM(A5136))</f>
        <v/>
      </c>
      <c r="C5136">
        <f>IF(B5136="","",IFERROR(INDEX('Bad Patterns'!$A$2:$A$120,MATCH(1,INDEX(--ISNUMBER(SEARCH('Bad Patterns'!$A$2:$A$120,B5136)),0),0)),""))</f>
        <v/>
      </c>
      <c r="D5136">
        <f>IF(B5136="","",IF(C5136&lt;&gt;"","REMOVE","KEEP"))</f>
        <v/>
      </c>
      <c r="E5136">
        <f>IF(D5136&lt;&gt;"KEEP","",IF(RIGHT(B5136,10)="@gmail.com","Gmail",IF(OR(RIGHT(B5136,12)="@outlook.com",RIGHT(B5136,12)="@hotmail.com",RIGHT(B5136,9)="@live.com"),"Outlook","Domain")))</f>
        <v/>
      </c>
      <c r="F5136">
        <f>IF(B5136="","",IFERROR(RIGHT(B5136,LEN(B5136)-FIND("@",B5136)),""))</f>
        <v/>
      </c>
      <c r="G5136">
        <f>IF(D5136="KEEP",COUNTIF($D$2:D5136,"KEEP"),"")</f>
        <v/>
      </c>
      <c r="H5136">
        <f>IF(D5136="REMOVE",COUNTIF($D$2:D5136,"REMOVE"),"")</f>
        <v/>
      </c>
      <c r="I5136">
        <f>IF(E5136="Gmail",COUNTIF($E$2:E5136,"Gmail"),"")</f>
        <v/>
      </c>
      <c r="J5136">
        <f>IF(E5136="Outlook",COUNTIF($E$2:E5136,"Outlook"),"")</f>
        <v/>
      </c>
      <c r="K5136">
        <f>IF(E5136="Domain",COUNTIF($E$2:E5136,"Domain"),"")</f>
        <v/>
      </c>
    </row>
    <row r="5137">
      <c r="A5137" s="2" t="n"/>
      <c r="B5137">
        <f>LOWER(TRIM(A5137))</f>
        <v/>
      </c>
      <c r="C5137">
        <f>IF(B5137="","",IFERROR(INDEX('Bad Patterns'!$A$2:$A$120,MATCH(1,INDEX(--ISNUMBER(SEARCH('Bad Patterns'!$A$2:$A$120,B5137)),0),0)),""))</f>
        <v/>
      </c>
      <c r="D5137">
        <f>IF(B5137="","",IF(C5137&lt;&gt;"","REMOVE","KEEP"))</f>
        <v/>
      </c>
      <c r="E5137">
        <f>IF(D5137&lt;&gt;"KEEP","",IF(RIGHT(B5137,10)="@gmail.com","Gmail",IF(OR(RIGHT(B5137,12)="@outlook.com",RIGHT(B5137,12)="@hotmail.com",RIGHT(B5137,9)="@live.com"),"Outlook","Domain")))</f>
        <v/>
      </c>
      <c r="F5137">
        <f>IF(B5137="","",IFERROR(RIGHT(B5137,LEN(B5137)-FIND("@",B5137)),""))</f>
        <v/>
      </c>
      <c r="G5137">
        <f>IF(D5137="KEEP",COUNTIF($D$2:D5137,"KEEP"),"")</f>
        <v/>
      </c>
      <c r="H5137">
        <f>IF(D5137="REMOVE",COUNTIF($D$2:D5137,"REMOVE"),"")</f>
        <v/>
      </c>
      <c r="I5137">
        <f>IF(E5137="Gmail",COUNTIF($E$2:E5137,"Gmail"),"")</f>
        <v/>
      </c>
      <c r="J5137">
        <f>IF(E5137="Outlook",COUNTIF($E$2:E5137,"Outlook"),"")</f>
        <v/>
      </c>
      <c r="K5137">
        <f>IF(E5137="Domain",COUNTIF($E$2:E5137,"Domain"),"")</f>
        <v/>
      </c>
    </row>
    <row r="5138">
      <c r="A5138" s="2" t="n"/>
      <c r="B5138">
        <f>LOWER(TRIM(A5138))</f>
        <v/>
      </c>
      <c r="C5138">
        <f>IF(B5138="","",IFERROR(INDEX('Bad Patterns'!$A$2:$A$120,MATCH(1,INDEX(--ISNUMBER(SEARCH('Bad Patterns'!$A$2:$A$120,B5138)),0),0)),""))</f>
        <v/>
      </c>
      <c r="D5138">
        <f>IF(B5138="","",IF(C5138&lt;&gt;"","REMOVE","KEEP"))</f>
        <v/>
      </c>
      <c r="E5138">
        <f>IF(D5138&lt;&gt;"KEEP","",IF(RIGHT(B5138,10)="@gmail.com","Gmail",IF(OR(RIGHT(B5138,12)="@outlook.com",RIGHT(B5138,12)="@hotmail.com",RIGHT(B5138,9)="@live.com"),"Outlook","Domain")))</f>
        <v/>
      </c>
      <c r="F5138">
        <f>IF(B5138="","",IFERROR(RIGHT(B5138,LEN(B5138)-FIND("@",B5138)),""))</f>
        <v/>
      </c>
      <c r="G5138">
        <f>IF(D5138="KEEP",COUNTIF($D$2:D5138,"KEEP"),"")</f>
        <v/>
      </c>
      <c r="H5138">
        <f>IF(D5138="REMOVE",COUNTIF($D$2:D5138,"REMOVE"),"")</f>
        <v/>
      </c>
      <c r="I5138">
        <f>IF(E5138="Gmail",COUNTIF($E$2:E5138,"Gmail"),"")</f>
        <v/>
      </c>
      <c r="J5138">
        <f>IF(E5138="Outlook",COUNTIF($E$2:E5138,"Outlook"),"")</f>
        <v/>
      </c>
      <c r="K5138">
        <f>IF(E5138="Domain",COUNTIF($E$2:E5138,"Domain"),"")</f>
        <v/>
      </c>
    </row>
    <row r="5139">
      <c r="A5139" s="2" t="n"/>
      <c r="B5139">
        <f>LOWER(TRIM(A5139))</f>
        <v/>
      </c>
      <c r="C5139">
        <f>IF(B5139="","",IFERROR(INDEX('Bad Patterns'!$A$2:$A$120,MATCH(1,INDEX(--ISNUMBER(SEARCH('Bad Patterns'!$A$2:$A$120,B5139)),0),0)),""))</f>
        <v/>
      </c>
      <c r="D5139">
        <f>IF(B5139="","",IF(C5139&lt;&gt;"","REMOVE","KEEP"))</f>
        <v/>
      </c>
      <c r="E5139">
        <f>IF(D5139&lt;&gt;"KEEP","",IF(RIGHT(B5139,10)="@gmail.com","Gmail",IF(OR(RIGHT(B5139,12)="@outlook.com",RIGHT(B5139,12)="@hotmail.com",RIGHT(B5139,9)="@live.com"),"Outlook","Domain")))</f>
        <v/>
      </c>
      <c r="F5139">
        <f>IF(B5139="","",IFERROR(RIGHT(B5139,LEN(B5139)-FIND("@",B5139)),""))</f>
        <v/>
      </c>
      <c r="G5139">
        <f>IF(D5139="KEEP",COUNTIF($D$2:D5139,"KEEP"),"")</f>
        <v/>
      </c>
      <c r="H5139">
        <f>IF(D5139="REMOVE",COUNTIF($D$2:D5139,"REMOVE"),"")</f>
        <v/>
      </c>
      <c r="I5139">
        <f>IF(E5139="Gmail",COUNTIF($E$2:E5139,"Gmail"),"")</f>
        <v/>
      </c>
      <c r="J5139">
        <f>IF(E5139="Outlook",COUNTIF($E$2:E5139,"Outlook"),"")</f>
        <v/>
      </c>
      <c r="K5139">
        <f>IF(E5139="Domain",COUNTIF($E$2:E5139,"Domain"),"")</f>
        <v/>
      </c>
    </row>
    <row r="5140">
      <c r="A5140" s="2" t="n"/>
      <c r="B5140">
        <f>LOWER(TRIM(A5140))</f>
        <v/>
      </c>
      <c r="C5140">
        <f>IF(B5140="","",IFERROR(INDEX('Bad Patterns'!$A$2:$A$120,MATCH(1,INDEX(--ISNUMBER(SEARCH('Bad Patterns'!$A$2:$A$120,B5140)),0),0)),""))</f>
        <v/>
      </c>
      <c r="D5140">
        <f>IF(B5140="","",IF(C5140&lt;&gt;"","REMOVE","KEEP"))</f>
        <v/>
      </c>
      <c r="E5140">
        <f>IF(D5140&lt;&gt;"KEEP","",IF(RIGHT(B5140,10)="@gmail.com","Gmail",IF(OR(RIGHT(B5140,12)="@outlook.com",RIGHT(B5140,12)="@hotmail.com",RIGHT(B5140,9)="@live.com"),"Outlook","Domain")))</f>
        <v/>
      </c>
      <c r="F5140">
        <f>IF(B5140="","",IFERROR(RIGHT(B5140,LEN(B5140)-FIND("@",B5140)),""))</f>
        <v/>
      </c>
      <c r="G5140">
        <f>IF(D5140="KEEP",COUNTIF($D$2:D5140,"KEEP"),"")</f>
        <v/>
      </c>
      <c r="H5140">
        <f>IF(D5140="REMOVE",COUNTIF($D$2:D5140,"REMOVE"),"")</f>
        <v/>
      </c>
      <c r="I5140">
        <f>IF(E5140="Gmail",COUNTIF($E$2:E5140,"Gmail"),"")</f>
        <v/>
      </c>
      <c r="J5140">
        <f>IF(E5140="Outlook",COUNTIF($E$2:E5140,"Outlook"),"")</f>
        <v/>
      </c>
      <c r="K5140">
        <f>IF(E5140="Domain",COUNTIF($E$2:E5140,"Domain"),"")</f>
        <v/>
      </c>
    </row>
    <row r="5141">
      <c r="A5141" s="2" t="n"/>
      <c r="B5141">
        <f>LOWER(TRIM(A5141))</f>
        <v/>
      </c>
      <c r="C5141">
        <f>IF(B5141="","",IFERROR(INDEX('Bad Patterns'!$A$2:$A$120,MATCH(1,INDEX(--ISNUMBER(SEARCH('Bad Patterns'!$A$2:$A$120,B5141)),0),0)),""))</f>
        <v/>
      </c>
      <c r="D5141">
        <f>IF(B5141="","",IF(C5141&lt;&gt;"","REMOVE","KEEP"))</f>
        <v/>
      </c>
      <c r="E5141">
        <f>IF(D5141&lt;&gt;"KEEP","",IF(RIGHT(B5141,10)="@gmail.com","Gmail",IF(OR(RIGHT(B5141,12)="@outlook.com",RIGHT(B5141,12)="@hotmail.com",RIGHT(B5141,9)="@live.com"),"Outlook","Domain")))</f>
        <v/>
      </c>
      <c r="F5141">
        <f>IF(B5141="","",IFERROR(RIGHT(B5141,LEN(B5141)-FIND("@",B5141)),""))</f>
        <v/>
      </c>
      <c r="G5141">
        <f>IF(D5141="KEEP",COUNTIF($D$2:D5141,"KEEP"),"")</f>
        <v/>
      </c>
      <c r="H5141">
        <f>IF(D5141="REMOVE",COUNTIF($D$2:D5141,"REMOVE"),"")</f>
        <v/>
      </c>
      <c r="I5141">
        <f>IF(E5141="Gmail",COUNTIF($E$2:E5141,"Gmail"),"")</f>
        <v/>
      </c>
      <c r="J5141">
        <f>IF(E5141="Outlook",COUNTIF($E$2:E5141,"Outlook"),"")</f>
        <v/>
      </c>
      <c r="K5141">
        <f>IF(E5141="Domain",COUNTIF($E$2:E5141,"Domain"),"")</f>
        <v/>
      </c>
    </row>
    <row r="5142">
      <c r="A5142" s="2" t="n"/>
      <c r="B5142">
        <f>LOWER(TRIM(A5142))</f>
        <v/>
      </c>
      <c r="C5142">
        <f>IF(B5142="","",IFERROR(INDEX('Bad Patterns'!$A$2:$A$120,MATCH(1,INDEX(--ISNUMBER(SEARCH('Bad Patterns'!$A$2:$A$120,B5142)),0),0)),""))</f>
        <v/>
      </c>
      <c r="D5142">
        <f>IF(B5142="","",IF(C5142&lt;&gt;"","REMOVE","KEEP"))</f>
        <v/>
      </c>
      <c r="E5142">
        <f>IF(D5142&lt;&gt;"KEEP","",IF(RIGHT(B5142,10)="@gmail.com","Gmail",IF(OR(RIGHT(B5142,12)="@outlook.com",RIGHT(B5142,12)="@hotmail.com",RIGHT(B5142,9)="@live.com"),"Outlook","Domain")))</f>
        <v/>
      </c>
      <c r="F5142">
        <f>IF(B5142="","",IFERROR(RIGHT(B5142,LEN(B5142)-FIND("@",B5142)),""))</f>
        <v/>
      </c>
      <c r="G5142">
        <f>IF(D5142="KEEP",COUNTIF($D$2:D5142,"KEEP"),"")</f>
        <v/>
      </c>
      <c r="H5142">
        <f>IF(D5142="REMOVE",COUNTIF($D$2:D5142,"REMOVE"),"")</f>
        <v/>
      </c>
      <c r="I5142">
        <f>IF(E5142="Gmail",COUNTIF($E$2:E5142,"Gmail"),"")</f>
        <v/>
      </c>
      <c r="J5142">
        <f>IF(E5142="Outlook",COUNTIF($E$2:E5142,"Outlook"),"")</f>
        <v/>
      </c>
      <c r="K5142">
        <f>IF(E5142="Domain",COUNTIF($E$2:E5142,"Domain"),"")</f>
        <v/>
      </c>
    </row>
    <row r="5143">
      <c r="A5143" s="2" t="n"/>
      <c r="B5143">
        <f>LOWER(TRIM(A5143))</f>
        <v/>
      </c>
      <c r="C5143">
        <f>IF(B5143="","",IFERROR(INDEX('Bad Patterns'!$A$2:$A$120,MATCH(1,INDEX(--ISNUMBER(SEARCH('Bad Patterns'!$A$2:$A$120,B5143)),0),0)),""))</f>
        <v/>
      </c>
      <c r="D5143">
        <f>IF(B5143="","",IF(C5143&lt;&gt;"","REMOVE","KEEP"))</f>
        <v/>
      </c>
      <c r="E5143">
        <f>IF(D5143&lt;&gt;"KEEP","",IF(RIGHT(B5143,10)="@gmail.com","Gmail",IF(OR(RIGHT(B5143,12)="@outlook.com",RIGHT(B5143,12)="@hotmail.com",RIGHT(B5143,9)="@live.com"),"Outlook","Domain")))</f>
        <v/>
      </c>
      <c r="F5143">
        <f>IF(B5143="","",IFERROR(RIGHT(B5143,LEN(B5143)-FIND("@",B5143)),""))</f>
        <v/>
      </c>
      <c r="G5143">
        <f>IF(D5143="KEEP",COUNTIF($D$2:D5143,"KEEP"),"")</f>
        <v/>
      </c>
      <c r="H5143">
        <f>IF(D5143="REMOVE",COUNTIF($D$2:D5143,"REMOVE"),"")</f>
        <v/>
      </c>
      <c r="I5143">
        <f>IF(E5143="Gmail",COUNTIF($E$2:E5143,"Gmail"),"")</f>
        <v/>
      </c>
      <c r="J5143">
        <f>IF(E5143="Outlook",COUNTIF($E$2:E5143,"Outlook"),"")</f>
        <v/>
      </c>
      <c r="K5143">
        <f>IF(E5143="Domain",COUNTIF($E$2:E5143,"Domain"),"")</f>
        <v/>
      </c>
    </row>
    <row r="5144">
      <c r="A5144" s="2" t="n"/>
      <c r="B5144">
        <f>LOWER(TRIM(A5144))</f>
        <v/>
      </c>
      <c r="C5144">
        <f>IF(B5144="","",IFERROR(INDEX('Bad Patterns'!$A$2:$A$120,MATCH(1,INDEX(--ISNUMBER(SEARCH('Bad Patterns'!$A$2:$A$120,B5144)),0),0)),""))</f>
        <v/>
      </c>
      <c r="D5144">
        <f>IF(B5144="","",IF(C5144&lt;&gt;"","REMOVE","KEEP"))</f>
        <v/>
      </c>
      <c r="E5144">
        <f>IF(D5144&lt;&gt;"KEEP","",IF(RIGHT(B5144,10)="@gmail.com","Gmail",IF(OR(RIGHT(B5144,12)="@outlook.com",RIGHT(B5144,12)="@hotmail.com",RIGHT(B5144,9)="@live.com"),"Outlook","Domain")))</f>
        <v/>
      </c>
      <c r="F5144">
        <f>IF(B5144="","",IFERROR(RIGHT(B5144,LEN(B5144)-FIND("@",B5144)),""))</f>
        <v/>
      </c>
      <c r="G5144">
        <f>IF(D5144="KEEP",COUNTIF($D$2:D5144,"KEEP"),"")</f>
        <v/>
      </c>
      <c r="H5144">
        <f>IF(D5144="REMOVE",COUNTIF($D$2:D5144,"REMOVE"),"")</f>
        <v/>
      </c>
      <c r="I5144">
        <f>IF(E5144="Gmail",COUNTIF($E$2:E5144,"Gmail"),"")</f>
        <v/>
      </c>
      <c r="J5144">
        <f>IF(E5144="Outlook",COUNTIF($E$2:E5144,"Outlook"),"")</f>
        <v/>
      </c>
      <c r="K5144">
        <f>IF(E5144="Domain",COUNTIF($E$2:E5144,"Domain"),"")</f>
        <v/>
      </c>
    </row>
    <row r="5145">
      <c r="A5145" s="2" t="n"/>
      <c r="B5145">
        <f>LOWER(TRIM(A5145))</f>
        <v/>
      </c>
      <c r="C5145">
        <f>IF(B5145="","",IFERROR(INDEX('Bad Patterns'!$A$2:$A$120,MATCH(1,INDEX(--ISNUMBER(SEARCH('Bad Patterns'!$A$2:$A$120,B5145)),0),0)),""))</f>
        <v/>
      </c>
      <c r="D5145">
        <f>IF(B5145="","",IF(C5145&lt;&gt;"","REMOVE","KEEP"))</f>
        <v/>
      </c>
      <c r="E5145">
        <f>IF(D5145&lt;&gt;"KEEP","",IF(RIGHT(B5145,10)="@gmail.com","Gmail",IF(OR(RIGHT(B5145,12)="@outlook.com",RIGHT(B5145,12)="@hotmail.com",RIGHT(B5145,9)="@live.com"),"Outlook","Domain")))</f>
        <v/>
      </c>
      <c r="F5145">
        <f>IF(B5145="","",IFERROR(RIGHT(B5145,LEN(B5145)-FIND("@",B5145)),""))</f>
        <v/>
      </c>
      <c r="G5145">
        <f>IF(D5145="KEEP",COUNTIF($D$2:D5145,"KEEP"),"")</f>
        <v/>
      </c>
      <c r="H5145">
        <f>IF(D5145="REMOVE",COUNTIF($D$2:D5145,"REMOVE"),"")</f>
        <v/>
      </c>
      <c r="I5145">
        <f>IF(E5145="Gmail",COUNTIF($E$2:E5145,"Gmail"),"")</f>
        <v/>
      </c>
      <c r="J5145">
        <f>IF(E5145="Outlook",COUNTIF($E$2:E5145,"Outlook"),"")</f>
        <v/>
      </c>
      <c r="K5145">
        <f>IF(E5145="Domain",COUNTIF($E$2:E5145,"Domain"),"")</f>
        <v/>
      </c>
    </row>
    <row r="5146">
      <c r="A5146" s="2" t="n"/>
      <c r="B5146">
        <f>LOWER(TRIM(A5146))</f>
        <v/>
      </c>
      <c r="C5146">
        <f>IF(B5146="","",IFERROR(INDEX('Bad Patterns'!$A$2:$A$120,MATCH(1,INDEX(--ISNUMBER(SEARCH('Bad Patterns'!$A$2:$A$120,B5146)),0),0)),""))</f>
        <v/>
      </c>
      <c r="D5146">
        <f>IF(B5146="","",IF(C5146&lt;&gt;"","REMOVE","KEEP"))</f>
        <v/>
      </c>
      <c r="E5146">
        <f>IF(D5146&lt;&gt;"KEEP","",IF(RIGHT(B5146,10)="@gmail.com","Gmail",IF(OR(RIGHT(B5146,12)="@outlook.com",RIGHT(B5146,12)="@hotmail.com",RIGHT(B5146,9)="@live.com"),"Outlook","Domain")))</f>
        <v/>
      </c>
      <c r="F5146">
        <f>IF(B5146="","",IFERROR(RIGHT(B5146,LEN(B5146)-FIND("@",B5146)),""))</f>
        <v/>
      </c>
      <c r="G5146">
        <f>IF(D5146="KEEP",COUNTIF($D$2:D5146,"KEEP"),"")</f>
        <v/>
      </c>
      <c r="H5146">
        <f>IF(D5146="REMOVE",COUNTIF($D$2:D5146,"REMOVE"),"")</f>
        <v/>
      </c>
      <c r="I5146">
        <f>IF(E5146="Gmail",COUNTIF($E$2:E5146,"Gmail"),"")</f>
        <v/>
      </c>
      <c r="J5146">
        <f>IF(E5146="Outlook",COUNTIF($E$2:E5146,"Outlook"),"")</f>
        <v/>
      </c>
      <c r="K5146">
        <f>IF(E5146="Domain",COUNTIF($E$2:E5146,"Domain"),"")</f>
        <v/>
      </c>
    </row>
    <row r="5147">
      <c r="A5147" s="2" t="n"/>
      <c r="B5147">
        <f>LOWER(TRIM(A5147))</f>
        <v/>
      </c>
      <c r="C5147">
        <f>IF(B5147="","",IFERROR(INDEX('Bad Patterns'!$A$2:$A$120,MATCH(1,INDEX(--ISNUMBER(SEARCH('Bad Patterns'!$A$2:$A$120,B5147)),0),0)),""))</f>
        <v/>
      </c>
      <c r="D5147">
        <f>IF(B5147="","",IF(C5147&lt;&gt;"","REMOVE","KEEP"))</f>
        <v/>
      </c>
      <c r="E5147">
        <f>IF(D5147&lt;&gt;"KEEP","",IF(RIGHT(B5147,10)="@gmail.com","Gmail",IF(OR(RIGHT(B5147,12)="@outlook.com",RIGHT(B5147,12)="@hotmail.com",RIGHT(B5147,9)="@live.com"),"Outlook","Domain")))</f>
        <v/>
      </c>
      <c r="F5147">
        <f>IF(B5147="","",IFERROR(RIGHT(B5147,LEN(B5147)-FIND("@",B5147)),""))</f>
        <v/>
      </c>
      <c r="G5147">
        <f>IF(D5147="KEEP",COUNTIF($D$2:D5147,"KEEP"),"")</f>
        <v/>
      </c>
      <c r="H5147">
        <f>IF(D5147="REMOVE",COUNTIF($D$2:D5147,"REMOVE"),"")</f>
        <v/>
      </c>
      <c r="I5147">
        <f>IF(E5147="Gmail",COUNTIF($E$2:E5147,"Gmail"),"")</f>
        <v/>
      </c>
      <c r="J5147">
        <f>IF(E5147="Outlook",COUNTIF($E$2:E5147,"Outlook"),"")</f>
        <v/>
      </c>
      <c r="K5147">
        <f>IF(E5147="Domain",COUNTIF($E$2:E5147,"Domain"),"")</f>
        <v/>
      </c>
    </row>
    <row r="5148">
      <c r="A5148" s="2" t="n"/>
      <c r="B5148">
        <f>LOWER(TRIM(A5148))</f>
        <v/>
      </c>
      <c r="C5148">
        <f>IF(B5148="","",IFERROR(INDEX('Bad Patterns'!$A$2:$A$120,MATCH(1,INDEX(--ISNUMBER(SEARCH('Bad Patterns'!$A$2:$A$120,B5148)),0),0)),""))</f>
        <v/>
      </c>
      <c r="D5148">
        <f>IF(B5148="","",IF(C5148&lt;&gt;"","REMOVE","KEEP"))</f>
        <v/>
      </c>
      <c r="E5148">
        <f>IF(D5148&lt;&gt;"KEEP","",IF(RIGHT(B5148,10)="@gmail.com","Gmail",IF(OR(RIGHT(B5148,12)="@outlook.com",RIGHT(B5148,12)="@hotmail.com",RIGHT(B5148,9)="@live.com"),"Outlook","Domain")))</f>
        <v/>
      </c>
      <c r="F5148">
        <f>IF(B5148="","",IFERROR(RIGHT(B5148,LEN(B5148)-FIND("@",B5148)),""))</f>
        <v/>
      </c>
      <c r="G5148">
        <f>IF(D5148="KEEP",COUNTIF($D$2:D5148,"KEEP"),"")</f>
        <v/>
      </c>
      <c r="H5148">
        <f>IF(D5148="REMOVE",COUNTIF($D$2:D5148,"REMOVE"),"")</f>
        <v/>
      </c>
      <c r="I5148">
        <f>IF(E5148="Gmail",COUNTIF($E$2:E5148,"Gmail"),"")</f>
        <v/>
      </c>
      <c r="J5148">
        <f>IF(E5148="Outlook",COUNTIF($E$2:E5148,"Outlook"),"")</f>
        <v/>
      </c>
      <c r="K5148">
        <f>IF(E5148="Domain",COUNTIF($E$2:E5148,"Domain"),"")</f>
        <v/>
      </c>
    </row>
    <row r="5149">
      <c r="A5149" s="2" t="n"/>
      <c r="B5149">
        <f>LOWER(TRIM(A5149))</f>
        <v/>
      </c>
      <c r="C5149">
        <f>IF(B5149="","",IFERROR(INDEX('Bad Patterns'!$A$2:$A$120,MATCH(1,INDEX(--ISNUMBER(SEARCH('Bad Patterns'!$A$2:$A$120,B5149)),0),0)),""))</f>
        <v/>
      </c>
      <c r="D5149">
        <f>IF(B5149="","",IF(C5149&lt;&gt;"","REMOVE","KEEP"))</f>
        <v/>
      </c>
      <c r="E5149">
        <f>IF(D5149&lt;&gt;"KEEP","",IF(RIGHT(B5149,10)="@gmail.com","Gmail",IF(OR(RIGHT(B5149,12)="@outlook.com",RIGHT(B5149,12)="@hotmail.com",RIGHT(B5149,9)="@live.com"),"Outlook","Domain")))</f>
        <v/>
      </c>
      <c r="F5149">
        <f>IF(B5149="","",IFERROR(RIGHT(B5149,LEN(B5149)-FIND("@",B5149)),""))</f>
        <v/>
      </c>
      <c r="G5149">
        <f>IF(D5149="KEEP",COUNTIF($D$2:D5149,"KEEP"),"")</f>
        <v/>
      </c>
      <c r="H5149">
        <f>IF(D5149="REMOVE",COUNTIF($D$2:D5149,"REMOVE"),"")</f>
        <v/>
      </c>
      <c r="I5149">
        <f>IF(E5149="Gmail",COUNTIF($E$2:E5149,"Gmail"),"")</f>
        <v/>
      </c>
      <c r="J5149">
        <f>IF(E5149="Outlook",COUNTIF($E$2:E5149,"Outlook"),"")</f>
        <v/>
      </c>
      <c r="K5149">
        <f>IF(E5149="Domain",COUNTIF($E$2:E5149,"Domain"),"")</f>
        <v/>
      </c>
    </row>
    <row r="5150">
      <c r="A5150" s="2" t="n"/>
      <c r="B5150">
        <f>LOWER(TRIM(A5150))</f>
        <v/>
      </c>
      <c r="C5150">
        <f>IF(B5150="","",IFERROR(INDEX('Bad Patterns'!$A$2:$A$120,MATCH(1,INDEX(--ISNUMBER(SEARCH('Bad Patterns'!$A$2:$A$120,B5150)),0),0)),""))</f>
        <v/>
      </c>
      <c r="D5150">
        <f>IF(B5150="","",IF(C5150&lt;&gt;"","REMOVE","KEEP"))</f>
        <v/>
      </c>
      <c r="E5150">
        <f>IF(D5150&lt;&gt;"KEEP","",IF(RIGHT(B5150,10)="@gmail.com","Gmail",IF(OR(RIGHT(B5150,12)="@outlook.com",RIGHT(B5150,12)="@hotmail.com",RIGHT(B5150,9)="@live.com"),"Outlook","Domain")))</f>
        <v/>
      </c>
      <c r="F5150">
        <f>IF(B5150="","",IFERROR(RIGHT(B5150,LEN(B5150)-FIND("@",B5150)),""))</f>
        <v/>
      </c>
      <c r="G5150">
        <f>IF(D5150="KEEP",COUNTIF($D$2:D5150,"KEEP"),"")</f>
        <v/>
      </c>
      <c r="H5150">
        <f>IF(D5150="REMOVE",COUNTIF($D$2:D5150,"REMOVE"),"")</f>
        <v/>
      </c>
      <c r="I5150">
        <f>IF(E5150="Gmail",COUNTIF($E$2:E5150,"Gmail"),"")</f>
        <v/>
      </c>
      <c r="J5150">
        <f>IF(E5150="Outlook",COUNTIF($E$2:E5150,"Outlook"),"")</f>
        <v/>
      </c>
      <c r="K5150">
        <f>IF(E5150="Domain",COUNTIF($E$2:E5150,"Domain"),"")</f>
        <v/>
      </c>
    </row>
    <row r="5151">
      <c r="A5151" s="2" t="n"/>
      <c r="B5151">
        <f>LOWER(TRIM(A5151))</f>
        <v/>
      </c>
      <c r="C5151">
        <f>IF(B5151="","",IFERROR(INDEX('Bad Patterns'!$A$2:$A$120,MATCH(1,INDEX(--ISNUMBER(SEARCH('Bad Patterns'!$A$2:$A$120,B5151)),0),0)),""))</f>
        <v/>
      </c>
      <c r="D5151">
        <f>IF(B5151="","",IF(C5151&lt;&gt;"","REMOVE","KEEP"))</f>
        <v/>
      </c>
      <c r="E5151">
        <f>IF(D5151&lt;&gt;"KEEP","",IF(RIGHT(B5151,10)="@gmail.com","Gmail",IF(OR(RIGHT(B5151,12)="@outlook.com",RIGHT(B5151,12)="@hotmail.com",RIGHT(B5151,9)="@live.com"),"Outlook","Domain")))</f>
        <v/>
      </c>
      <c r="F5151">
        <f>IF(B5151="","",IFERROR(RIGHT(B5151,LEN(B5151)-FIND("@",B5151)),""))</f>
        <v/>
      </c>
      <c r="G5151">
        <f>IF(D5151="KEEP",COUNTIF($D$2:D5151,"KEEP"),"")</f>
        <v/>
      </c>
      <c r="H5151">
        <f>IF(D5151="REMOVE",COUNTIF($D$2:D5151,"REMOVE"),"")</f>
        <v/>
      </c>
      <c r="I5151">
        <f>IF(E5151="Gmail",COUNTIF($E$2:E5151,"Gmail"),"")</f>
        <v/>
      </c>
      <c r="J5151">
        <f>IF(E5151="Outlook",COUNTIF($E$2:E5151,"Outlook"),"")</f>
        <v/>
      </c>
      <c r="K5151">
        <f>IF(E5151="Domain",COUNTIF($E$2:E5151,"Domain"),"")</f>
        <v/>
      </c>
    </row>
    <row r="5152">
      <c r="A5152" s="2" t="n"/>
      <c r="B5152">
        <f>LOWER(TRIM(A5152))</f>
        <v/>
      </c>
      <c r="C5152">
        <f>IF(B5152="","",IFERROR(INDEX('Bad Patterns'!$A$2:$A$120,MATCH(1,INDEX(--ISNUMBER(SEARCH('Bad Patterns'!$A$2:$A$120,B5152)),0),0)),""))</f>
        <v/>
      </c>
      <c r="D5152">
        <f>IF(B5152="","",IF(C5152&lt;&gt;"","REMOVE","KEEP"))</f>
        <v/>
      </c>
      <c r="E5152">
        <f>IF(D5152&lt;&gt;"KEEP","",IF(RIGHT(B5152,10)="@gmail.com","Gmail",IF(OR(RIGHT(B5152,12)="@outlook.com",RIGHT(B5152,12)="@hotmail.com",RIGHT(B5152,9)="@live.com"),"Outlook","Domain")))</f>
        <v/>
      </c>
      <c r="F5152">
        <f>IF(B5152="","",IFERROR(RIGHT(B5152,LEN(B5152)-FIND("@",B5152)),""))</f>
        <v/>
      </c>
      <c r="G5152">
        <f>IF(D5152="KEEP",COUNTIF($D$2:D5152,"KEEP"),"")</f>
        <v/>
      </c>
      <c r="H5152">
        <f>IF(D5152="REMOVE",COUNTIF($D$2:D5152,"REMOVE"),"")</f>
        <v/>
      </c>
      <c r="I5152">
        <f>IF(E5152="Gmail",COUNTIF($E$2:E5152,"Gmail"),"")</f>
        <v/>
      </c>
      <c r="J5152">
        <f>IF(E5152="Outlook",COUNTIF($E$2:E5152,"Outlook"),"")</f>
        <v/>
      </c>
      <c r="K5152">
        <f>IF(E5152="Domain",COUNTIF($E$2:E5152,"Domain"),"")</f>
        <v/>
      </c>
    </row>
    <row r="5153">
      <c r="A5153" s="2" t="n"/>
      <c r="B5153">
        <f>LOWER(TRIM(A5153))</f>
        <v/>
      </c>
      <c r="C5153">
        <f>IF(B5153="","",IFERROR(INDEX('Bad Patterns'!$A$2:$A$120,MATCH(1,INDEX(--ISNUMBER(SEARCH('Bad Patterns'!$A$2:$A$120,B5153)),0),0)),""))</f>
        <v/>
      </c>
      <c r="D5153">
        <f>IF(B5153="","",IF(C5153&lt;&gt;"","REMOVE","KEEP"))</f>
        <v/>
      </c>
      <c r="E5153">
        <f>IF(D5153&lt;&gt;"KEEP","",IF(RIGHT(B5153,10)="@gmail.com","Gmail",IF(OR(RIGHT(B5153,12)="@outlook.com",RIGHT(B5153,12)="@hotmail.com",RIGHT(B5153,9)="@live.com"),"Outlook","Domain")))</f>
        <v/>
      </c>
      <c r="F5153">
        <f>IF(B5153="","",IFERROR(RIGHT(B5153,LEN(B5153)-FIND("@",B5153)),""))</f>
        <v/>
      </c>
      <c r="G5153">
        <f>IF(D5153="KEEP",COUNTIF($D$2:D5153,"KEEP"),"")</f>
        <v/>
      </c>
      <c r="H5153">
        <f>IF(D5153="REMOVE",COUNTIF($D$2:D5153,"REMOVE"),"")</f>
        <v/>
      </c>
      <c r="I5153">
        <f>IF(E5153="Gmail",COUNTIF($E$2:E5153,"Gmail"),"")</f>
        <v/>
      </c>
      <c r="J5153">
        <f>IF(E5153="Outlook",COUNTIF($E$2:E5153,"Outlook"),"")</f>
        <v/>
      </c>
      <c r="K5153">
        <f>IF(E5153="Domain",COUNTIF($E$2:E5153,"Domain"),"")</f>
        <v/>
      </c>
    </row>
    <row r="5154">
      <c r="A5154" s="2" t="n"/>
      <c r="B5154">
        <f>LOWER(TRIM(A5154))</f>
        <v/>
      </c>
      <c r="C5154">
        <f>IF(B5154="","",IFERROR(INDEX('Bad Patterns'!$A$2:$A$120,MATCH(1,INDEX(--ISNUMBER(SEARCH('Bad Patterns'!$A$2:$A$120,B5154)),0),0)),""))</f>
        <v/>
      </c>
      <c r="D5154">
        <f>IF(B5154="","",IF(C5154&lt;&gt;"","REMOVE","KEEP"))</f>
        <v/>
      </c>
      <c r="E5154">
        <f>IF(D5154&lt;&gt;"KEEP","",IF(RIGHT(B5154,10)="@gmail.com","Gmail",IF(OR(RIGHT(B5154,12)="@outlook.com",RIGHT(B5154,12)="@hotmail.com",RIGHT(B5154,9)="@live.com"),"Outlook","Domain")))</f>
        <v/>
      </c>
      <c r="F5154">
        <f>IF(B5154="","",IFERROR(RIGHT(B5154,LEN(B5154)-FIND("@",B5154)),""))</f>
        <v/>
      </c>
      <c r="G5154">
        <f>IF(D5154="KEEP",COUNTIF($D$2:D5154,"KEEP"),"")</f>
        <v/>
      </c>
      <c r="H5154">
        <f>IF(D5154="REMOVE",COUNTIF($D$2:D5154,"REMOVE"),"")</f>
        <v/>
      </c>
      <c r="I5154">
        <f>IF(E5154="Gmail",COUNTIF($E$2:E5154,"Gmail"),"")</f>
        <v/>
      </c>
      <c r="J5154">
        <f>IF(E5154="Outlook",COUNTIF($E$2:E5154,"Outlook"),"")</f>
        <v/>
      </c>
      <c r="K5154">
        <f>IF(E5154="Domain",COUNTIF($E$2:E5154,"Domain"),"")</f>
        <v/>
      </c>
    </row>
    <row r="5155">
      <c r="A5155" s="2" t="n"/>
      <c r="B5155">
        <f>LOWER(TRIM(A5155))</f>
        <v/>
      </c>
      <c r="C5155">
        <f>IF(B5155="","",IFERROR(INDEX('Bad Patterns'!$A$2:$A$120,MATCH(1,INDEX(--ISNUMBER(SEARCH('Bad Patterns'!$A$2:$A$120,B5155)),0),0)),""))</f>
        <v/>
      </c>
      <c r="D5155">
        <f>IF(B5155="","",IF(C5155&lt;&gt;"","REMOVE","KEEP"))</f>
        <v/>
      </c>
      <c r="E5155">
        <f>IF(D5155&lt;&gt;"KEEP","",IF(RIGHT(B5155,10)="@gmail.com","Gmail",IF(OR(RIGHT(B5155,12)="@outlook.com",RIGHT(B5155,12)="@hotmail.com",RIGHT(B5155,9)="@live.com"),"Outlook","Domain")))</f>
        <v/>
      </c>
      <c r="F5155">
        <f>IF(B5155="","",IFERROR(RIGHT(B5155,LEN(B5155)-FIND("@",B5155)),""))</f>
        <v/>
      </c>
      <c r="G5155">
        <f>IF(D5155="KEEP",COUNTIF($D$2:D5155,"KEEP"),"")</f>
        <v/>
      </c>
      <c r="H5155">
        <f>IF(D5155="REMOVE",COUNTIF($D$2:D5155,"REMOVE"),"")</f>
        <v/>
      </c>
      <c r="I5155">
        <f>IF(E5155="Gmail",COUNTIF($E$2:E5155,"Gmail"),"")</f>
        <v/>
      </c>
      <c r="J5155">
        <f>IF(E5155="Outlook",COUNTIF($E$2:E5155,"Outlook"),"")</f>
        <v/>
      </c>
      <c r="K5155">
        <f>IF(E5155="Domain",COUNTIF($E$2:E5155,"Domain"),"")</f>
        <v/>
      </c>
    </row>
    <row r="5156">
      <c r="A5156" s="2" t="n"/>
      <c r="B5156">
        <f>LOWER(TRIM(A5156))</f>
        <v/>
      </c>
      <c r="C5156">
        <f>IF(B5156="","",IFERROR(INDEX('Bad Patterns'!$A$2:$A$120,MATCH(1,INDEX(--ISNUMBER(SEARCH('Bad Patterns'!$A$2:$A$120,B5156)),0),0)),""))</f>
        <v/>
      </c>
      <c r="D5156">
        <f>IF(B5156="","",IF(C5156&lt;&gt;"","REMOVE","KEEP"))</f>
        <v/>
      </c>
      <c r="E5156">
        <f>IF(D5156&lt;&gt;"KEEP","",IF(RIGHT(B5156,10)="@gmail.com","Gmail",IF(OR(RIGHT(B5156,12)="@outlook.com",RIGHT(B5156,12)="@hotmail.com",RIGHT(B5156,9)="@live.com"),"Outlook","Domain")))</f>
        <v/>
      </c>
      <c r="F5156">
        <f>IF(B5156="","",IFERROR(RIGHT(B5156,LEN(B5156)-FIND("@",B5156)),""))</f>
        <v/>
      </c>
      <c r="G5156">
        <f>IF(D5156="KEEP",COUNTIF($D$2:D5156,"KEEP"),"")</f>
        <v/>
      </c>
      <c r="H5156">
        <f>IF(D5156="REMOVE",COUNTIF($D$2:D5156,"REMOVE"),"")</f>
        <v/>
      </c>
      <c r="I5156">
        <f>IF(E5156="Gmail",COUNTIF($E$2:E5156,"Gmail"),"")</f>
        <v/>
      </c>
      <c r="J5156">
        <f>IF(E5156="Outlook",COUNTIF($E$2:E5156,"Outlook"),"")</f>
        <v/>
      </c>
      <c r="K5156">
        <f>IF(E5156="Domain",COUNTIF($E$2:E5156,"Domain"),"")</f>
        <v/>
      </c>
    </row>
    <row r="5157">
      <c r="A5157" s="2" t="n"/>
      <c r="B5157">
        <f>LOWER(TRIM(A5157))</f>
        <v/>
      </c>
      <c r="C5157">
        <f>IF(B5157="","",IFERROR(INDEX('Bad Patterns'!$A$2:$A$120,MATCH(1,INDEX(--ISNUMBER(SEARCH('Bad Patterns'!$A$2:$A$120,B5157)),0),0)),""))</f>
        <v/>
      </c>
      <c r="D5157">
        <f>IF(B5157="","",IF(C5157&lt;&gt;"","REMOVE","KEEP"))</f>
        <v/>
      </c>
      <c r="E5157">
        <f>IF(D5157&lt;&gt;"KEEP","",IF(RIGHT(B5157,10)="@gmail.com","Gmail",IF(OR(RIGHT(B5157,12)="@outlook.com",RIGHT(B5157,12)="@hotmail.com",RIGHT(B5157,9)="@live.com"),"Outlook","Domain")))</f>
        <v/>
      </c>
      <c r="F5157">
        <f>IF(B5157="","",IFERROR(RIGHT(B5157,LEN(B5157)-FIND("@",B5157)),""))</f>
        <v/>
      </c>
      <c r="G5157">
        <f>IF(D5157="KEEP",COUNTIF($D$2:D5157,"KEEP"),"")</f>
        <v/>
      </c>
      <c r="H5157">
        <f>IF(D5157="REMOVE",COUNTIF($D$2:D5157,"REMOVE"),"")</f>
        <v/>
      </c>
      <c r="I5157">
        <f>IF(E5157="Gmail",COUNTIF($E$2:E5157,"Gmail"),"")</f>
        <v/>
      </c>
      <c r="J5157">
        <f>IF(E5157="Outlook",COUNTIF($E$2:E5157,"Outlook"),"")</f>
        <v/>
      </c>
      <c r="K5157">
        <f>IF(E5157="Domain",COUNTIF($E$2:E5157,"Domain"),"")</f>
        <v/>
      </c>
    </row>
    <row r="5158">
      <c r="A5158" s="2" t="n"/>
      <c r="B5158">
        <f>LOWER(TRIM(A5158))</f>
        <v/>
      </c>
      <c r="C5158">
        <f>IF(B5158="","",IFERROR(INDEX('Bad Patterns'!$A$2:$A$120,MATCH(1,INDEX(--ISNUMBER(SEARCH('Bad Patterns'!$A$2:$A$120,B5158)),0),0)),""))</f>
        <v/>
      </c>
      <c r="D5158">
        <f>IF(B5158="","",IF(C5158&lt;&gt;"","REMOVE","KEEP"))</f>
        <v/>
      </c>
      <c r="E5158">
        <f>IF(D5158&lt;&gt;"KEEP","",IF(RIGHT(B5158,10)="@gmail.com","Gmail",IF(OR(RIGHT(B5158,12)="@outlook.com",RIGHT(B5158,12)="@hotmail.com",RIGHT(B5158,9)="@live.com"),"Outlook","Domain")))</f>
        <v/>
      </c>
      <c r="F5158">
        <f>IF(B5158="","",IFERROR(RIGHT(B5158,LEN(B5158)-FIND("@",B5158)),""))</f>
        <v/>
      </c>
      <c r="G5158">
        <f>IF(D5158="KEEP",COUNTIF($D$2:D5158,"KEEP"),"")</f>
        <v/>
      </c>
      <c r="H5158">
        <f>IF(D5158="REMOVE",COUNTIF($D$2:D5158,"REMOVE"),"")</f>
        <v/>
      </c>
      <c r="I5158">
        <f>IF(E5158="Gmail",COUNTIF($E$2:E5158,"Gmail"),"")</f>
        <v/>
      </c>
      <c r="J5158">
        <f>IF(E5158="Outlook",COUNTIF($E$2:E5158,"Outlook"),"")</f>
        <v/>
      </c>
      <c r="K5158">
        <f>IF(E5158="Domain",COUNTIF($E$2:E5158,"Domain"),"")</f>
        <v/>
      </c>
    </row>
    <row r="5159">
      <c r="A5159" s="2" t="n"/>
      <c r="B5159">
        <f>LOWER(TRIM(A5159))</f>
        <v/>
      </c>
      <c r="C5159">
        <f>IF(B5159="","",IFERROR(INDEX('Bad Patterns'!$A$2:$A$120,MATCH(1,INDEX(--ISNUMBER(SEARCH('Bad Patterns'!$A$2:$A$120,B5159)),0),0)),""))</f>
        <v/>
      </c>
      <c r="D5159">
        <f>IF(B5159="","",IF(C5159&lt;&gt;"","REMOVE","KEEP"))</f>
        <v/>
      </c>
      <c r="E5159">
        <f>IF(D5159&lt;&gt;"KEEP","",IF(RIGHT(B5159,10)="@gmail.com","Gmail",IF(OR(RIGHT(B5159,12)="@outlook.com",RIGHT(B5159,12)="@hotmail.com",RIGHT(B5159,9)="@live.com"),"Outlook","Domain")))</f>
        <v/>
      </c>
      <c r="F5159">
        <f>IF(B5159="","",IFERROR(RIGHT(B5159,LEN(B5159)-FIND("@",B5159)),""))</f>
        <v/>
      </c>
      <c r="G5159">
        <f>IF(D5159="KEEP",COUNTIF($D$2:D5159,"KEEP"),"")</f>
        <v/>
      </c>
      <c r="H5159">
        <f>IF(D5159="REMOVE",COUNTIF($D$2:D5159,"REMOVE"),"")</f>
        <v/>
      </c>
      <c r="I5159">
        <f>IF(E5159="Gmail",COUNTIF($E$2:E5159,"Gmail"),"")</f>
        <v/>
      </c>
      <c r="J5159">
        <f>IF(E5159="Outlook",COUNTIF($E$2:E5159,"Outlook"),"")</f>
        <v/>
      </c>
      <c r="K5159">
        <f>IF(E5159="Domain",COUNTIF($E$2:E5159,"Domain"),"")</f>
        <v/>
      </c>
    </row>
    <row r="5160">
      <c r="A5160" s="2" t="n"/>
      <c r="B5160">
        <f>LOWER(TRIM(A5160))</f>
        <v/>
      </c>
      <c r="C5160">
        <f>IF(B5160="","",IFERROR(INDEX('Bad Patterns'!$A$2:$A$120,MATCH(1,INDEX(--ISNUMBER(SEARCH('Bad Patterns'!$A$2:$A$120,B5160)),0),0)),""))</f>
        <v/>
      </c>
      <c r="D5160">
        <f>IF(B5160="","",IF(C5160&lt;&gt;"","REMOVE","KEEP"))</f>
        <v/>
      </c>
      <c r="E5160">
        <f>IF(D5160&lt;&gt;"KEEP","",IF(RIGHT(B5160,10)="@gmail.com","Gmail",IF(OR(RIGHT(B5160,12)="@outlook.com",RIGHT(B5160,12)="@hotmail.com",RIGHT(B5160,9)="@live.com"),"Outlook","Domain")))</f>
        <v/>
      </c>
      <c r="F5160">
        <f>IF(B5160="","",IFERROR(RIGHT(B5160,LEN(B5160)-FIND("@",B5160)),""))</f>
        <v/>
      </c>
      <c r="G5160">
        <f>IF(D5160="KEEP",COUNTIF($D$2:D5160,"KEEP"),"")</f>
        <v/>
      </c>
      <c r="H5160">
        <f>IF(D5160="REMOVE",COUNTIF($D$2:D5160,"REMOVE"),"")</f>
        <v/>
      </c>
      <c r="I5160">
        <f>IF(E5160="Gmail",COUNTIF($E$2:E5160,"Gmail"),"")</f>
        <v/>
      </c>
      <c r="J5160">
        <f>IF(E5160="Outlook",COUNTIF($E$2:E5160,"Outlook"),"")</f>
        <v/>
      </c>
      <c r="K5160">
        <f>IF(E5160="Domain",COUNTIF($E$2:E5160,"Domain"),"")</f>
        <v/>
      </c>
    </row>
    <row r="5161">
      <c r="A5161" s="2" t="n"/>
      <c r="B5161">
        <f>LOWER(TRIM(A5161))</f>
        <v/>
      </c>
      <c r="C5161">
        <f>IF(B5161="","",IFERROR(INDEX('Bad Patterns'!$A$2:$A$120,MATCH(1,INDEX(--ISNUMBER(SEARCH('Bad Patterns'!$A$2:$A$120,B5161)),0),0)),""))</f>
        <v/>
      </c>
      <c r="D5161">
        <f>IF(B5161="","",IF(C5161&lt;&gt;"","REMOVE","KEEP"))</f>
        <v/>
      </c>
      <c r="E5161">
        <f>IF(D5161&lt;&gt;"KEEP","",IF(RIGHT(B5161,10)="@gmail.com","Gmail",IF(OR(RIGHT(B5161,12)="@outlook.com",RIGHT(B5161,12)="@hotmail.com",RIGHT(B5161,9)="@live.com"),"Outlook","Domain")))</f>
        <v/>
      </c>
      <c r="F5161">
        <f>IF(B5161="","",IFERROR(RIGHT(B5161,LEN(B5161)-FIND("@",B5161)),""))</f>
        <v/>
      </c>
      <c r="G5161">
        <f>IF(D5161="KEEP",COUNTIF($D$2:D5161,"KEEP"),"")</f>
        <v/>
      </c>
      <c r="H5161">
        <f>IF(D5161="REMOVE",COUNTIF($D$2:D5161,"REMOVE"),"")</f>
        <v/>
      </c>
      <c r="I5161">
        <f>IF(E5161="Gmail",COUNTIF($E$2:E5161,"Gmail"),"")</f>
        <v/>
      </c>
      <c r="J5161">
        <f>IF(E5161="Outlook",COUNTIF($E$2:E5161,"Outlook"),"")</f>
        <v/>
      </c>
      <c r="K5161">
        <f>IF(E5161="Domain",COUNTIF($E$2:E5161,"Domain"),"")</f>
        <v/>
      </c>
    </row>
    <row r="5162">
      <c r="A5162" s="2" t="n"/>
      <c r="B5162">
        <f>LOWER(TRIM(A5162))</f>
        <v/>
      </c>
      <c r="C5162">
        <f>IF(B5162="","",IFERROR(INDEX('Bad Patterns'!$A$2:$A$120,MATCH(1,INDEX(--ISNUMBER(SEARCH('Bad Patterns'!$A$2:$A$120,B5162)),0),0)),""))</f>
        <v/>
      </c>
      <c r="D5162">
        <f>IF(B5162="","",IF(C5162&lt;&gt;"","REMOVE","KEEP"))</f>
        <v/>
      </c>
      <c r="E5162">
        <f>IF(D5162&lt;&gt;"KEEP","",IF(RIGHT(B5162,10)="@gmail.com","Gmail",IF(OR(RIGHT(B5162,12)="@outlook.com",RIGHT(B5162,12)="@hotmail.com",RIGHT(B5162,9)="@live.com"),"Outlook","Domain")))</f>
        <v/>
      </c>
      <c r="F5162">
        <f>IF(B5162="","",IFERROR(RIGHT(B5162,LEN(B5162)-FIND("@",B5162)),""))</f>
        <v/>
      </c>
      <c r="G5162">
        <f>IF(D5162="KEEP",COUNTIF($D$2:D5162,"KEEP"),"")</f>
        <v/>
      </c>
      <c r="H5162">
        <f>IF(D5162="REMOVE",COUNTIF($D$2:D5162,"REMOVE"),"")</f>
        <v/>
      </c>
      <c r="I5162">
        <f>IF(E5162="Gmail",COUNTIF($E$2:E5162,"Gmail"),"")</f>
        <v/>
      </c>
      <c r="J5162">
        <f>IF(E5162="Outlook",COUNTIF($E$2:E5162,"Outlook"),"")</f>
        <v/>
      </c>
      <c r="K5162">
        <f>IF(E5162="Domain",COUNTIF($E$2:E5162,"Domain"),"")</f>
        <v/>
      </c>
    </row>
    <row r="5163">
      <c r="A5163" s="2" t="n"/>
      <c r="B5163">
        <f>LOWER(TRIM(A5163))</f>
        <v/>
      </c>
      <c r="C5163">
        <f>IF(B5163="","",IFERROR(INDEX('Bad Patterns'!$A$2:$A$120,MATCH(1,INDEX(--ISNUMBER(SEARCH('Bad Patterns'!$A$2:$A$120,B5163)),0),0)),""))</f>
        <v/>
      </c>
      <c r="D5163">
        <f>IF(B5163="","",IF(C5163&lt;&gt;"","REMOVE","KEEP"))</f>
        <v/>
      </c>
      <c r="E5163">
        <f>IF(D5163&lt;&gt;"KEEP","",IF(RIGHT(B5163,10)="@gmail.com","Gmail",IF(OR(RIGHT(B5163,12)="@outlook.com",RIGHT(B5163,12)="@hotmail.com",RIGHT(B5163,9)="@live.com"),"Outlook","Domain")))</f>
        <v/>
      </c>
      <c r="F5163">
        <f>IF(B5163="","",IFERROR(RIGHT(B5163,LEN(B5163)-FIND("@",B5163)),""))</f>
        <v/>
      </c>
      <c r="G5163">
        <f>IF(D5163="KEEP",COUNTIF($D$2:D5163,"KEEP"),"")</f>
        <v/>
      </c>
      <c r="H5163">
        <f>IF(D5163="REMOVE",COUNTIF($D$2:D5163,"REMOVE"),"")</f>
        <v/>
      </c>
      <c r="I5163">
        <f>IF(E5163="Gmail",COUNTIF($E$2:E5163,"Gmail"),"")</f>
        <v/>
      </c>
      <c r="J5163">
        <f>IF(E5163="Outlook",COUNTIF($E$2:E5163,"Outlook"),"")</f>
        <v/>
      </c>
      <c r="K5163">
        <f>IF(E5163="Domain",COUNTIF($E$2:E5163,"Domain"),"")</f>
        <v/>
      </c>
    </row>
    <row r="5164">
      <c r="A5164" s="2" t="n"/>
      <c r="B5164">
        <f>LOWER(TRIM(A5164))</f>
        <v/>
      </c>
      <c r="C5164">
        <f>IF(B5164="","",IFERROR(INDEX('Bad Patterns'!$A$2:$A$120,MATCH(1,INDEX(--ISNUMBER(SEARCH('Bad Patterns'!$A$2:$A$120,B5164)),0),0)),""))</f>
        <v/>
      </c>
      <c r="D5164">
        <f>IF(B5164="","",IF(C5164&lt;&gt;"","REMOVE","KEEP"))</f>
        <v/>
      </c>
      <c r="E5164">
        <f>IF(D5164&lt;&gt;"KEEP","",IF(RIGHT(B5164,10)="@gmail.com","Gmail",IF(OR(RIGHT(B5164,12)="@outlook.com",RIGHT(B5164,12)="@hotmail.com",RIGHT(B5164,9)="@live.com"),"Outlook","Domain")))</f>
        <v/>
      </c>
      <c r="F5164">
        <f>IF(B5164="","",IFERROR(RIGHT(B5164,LEN(B5164)-FIND("@",B5164)),""))</f>
        <v/>
      </c>
      <c r="G5164">
        <f>IF(D5164="KEEP",COUNTIF($D$2:D5164,"KEEP"),"")</f>
        <v/>
      </c>
      <c r="H5164">
        <f>IF(D5164="REMOVE",COUNTIF($D$2:D5164,"REMOVE"),"")</f>
        <v/>
      </c>
      <c r="I5164">
        <f>IF(E5164="Gmail",COUNTIF($E$2:E5164,"Gmail"),"")</f>
        <v/>
      </c>
      <c r="J5164">
        <f>IF(E5164="Outlook",COUNTIF($E$2:E5164,"Outlook"),"")</f>
        <v/>
      </c>
      <c r="K5164">
        <f>IF(E5164="Domain",COUNTIF($E$2:E5164,"Domain"),"")</f>
        <v/>
      </c>
    </row>
    <row r="5165">
      <c r="A5165" s="2" t="n"/>
      <c r="B5165">
        <f>LOWER(TRIM(A5165))</f>
        <v/>
      </c>
      <c r="C5165">
        <f>IF(B5165="","",IFERROR(INDEX('Bad Patterns'!$A$2:$A$120,MATCH(1,INDEX(--ISNUMBER(SEARCH('Bad Patterns'!$A$2:$A$120,B5165)),0),0)),""))</f>
        <v/>
      </c>
      <c r="D5165">
        <f>IF(B5165="","",IF(C5165&lt;&gt;"","REMOVE","KEEP"))</f>
        <v/>
      </c>
      <c r="E5165">
        <f>IF(D5165&lt;&gt;"KEEP","",IF(RIGHT(B5165,10)="@gmail.com","Gmail",IF(OR(RIGHT(B5165,12)="@outlook.com",RIGHT(B5165,12)="@hotmail.com",RIGHT(B5165,9)="@live.com"),"Outlook","Domain")))</f>
        <v/>
      </c>
      <c r="F5165">
        <f>IF(B5165="","",IFERROR(RIGHT(B5165,LEN(B5165)-FIND("@",B5165)),""))</f>
        <v/>
      </c>
      <c r="G5165">
        <f>IF(D5165="KEEP",COUNTIF($D$2:D5165,"KEEP"),"")</f>
        <v/>
      </c>
      <c r="H5165">
        <f>IF(D5165="REMOVE",COUNTIF($D$2:D5165,"REMOVE"),"")</f>
        <v/>
      </c>
      <c r="I5165">
        <f>IF(E5165="Gmail",COUNTIF($E$2:E5165,"Gmail"),"")</f>
        <v/>
      </c>
      <c r="J5165">
        <f>IF(E5165="Outlook",COUNTIF($E$2:E5165,"Outlook"),"")</f>
        <v/>
      </c>
      <c r="K5165">
        <f>IF(E5165="Domain",COUNTIF($E$2:E5165,"Domain"),"")</f>
        <v/>
      </c>
    </row>
    <row r="5166">
      <c r="A5166" s="2" t="n"/>
      <c r="B5166">
        <f>LOWER(TRIM(A5166))</f>
        <v/>
      </c>
      <c r="C5166">
        <f>IF(B5166="","",IFERROR(INDEX('Bad Patterns'!$A$2:$A$120,MATCH(1,INDEX(--ISNUMBER(SEARCH('Bad Patterns'!$A$2:$A$120,B5166)),0),0)),""))</f>
        <v/>
      </c>
      <c r="D5166">
        <f>IF(B5166="","",IF(C5166&lt;&gt;"","REMOVE","KEEP"))</f>
        <v/>
      </c>
      <c r="E5166">
        <f>IF(D5166&lt;&gt;"KEEP","",IF(RIGHT(B5166,10)="@gmail.com","Gmail",IF(OR(RIGHT(B5166,12)="@outlook.com",RIGHT(B5166,12)="@hotmail.com",RIGHT(B5166,9)="@live.com"),"Outlook","Domain")))</f>
        <v/>
      </c>
      <c r="F5166">
        <f>IF(B5166="","",IFERROR(RIGHT(B5166,LEN(B5166)-FIND("@",B5166)),""))</f>
        <v/>
      </c>
      <c r="G5166">
        <f>IF(D5166="KEEP",COUNTIF($D$2:D5166,"KEEP"),"")</f>
        <v/>
      </c>
      <c r="H5166">
        <f>IF(D5166="REMOVE",COUNTIF($D$2:D5166,"REMOVE"),"")</f>
        <v/>
      </c>
      <c r="I5166">
        <f>IF(E5166="Gmail",COUNTIF($E$2:E5166,"Gmail"),"")</f>
        <v/>
      </c>
      <c r="J5166">
        <f>IF(E5166="Outlook",COUNTIF($E$2:E5166,"Outlook"),"")</f>
        <v/>
      </c>
      <c r="K5166">
        <f>IF(E5166="Domain",COUNTIF($E$2:E5166,"Domain"),"")</f>
        <v/>
      </c>
    </row>
    <row r="5167">
      <c r="A5167" s="2" t="n"/>
      <c r="B5167">
        <f>LOWER(TRIM(A5167))</f>
        <v/>
      </c>
      <c r="C5167">
        <f>IF(B5167="","",IFERROR(INDEX('Bad Patterns'!$A$2:$A$120,MATCH(1,INDEX(--ISNUMBER(SEARCH('Bad Patterns'!$A$2:$A$120,B5167)),0),0)),""))</f>
        <v/>
      </c>
      <c r="D5167">
        <f>IF(B5167="","",IF(C5167&lt;&gt;"","REMOVE","KEEP"))</f>
        <v/>
      </c>
      <c r="E5167">
        <f>IF(D5167&lt;&gt;"KEEP","",IF(RIGHT(B5167,10)="@gmail.com","Gmail",IF(OR(RIGHT(B5167,12)="@outlook.com",RIGHT(B5167,12)="@hotmail.com",RIGHT(B5167,9)="@live.com"),"Outlook","Domain")))</f>
        <v/>
      </c>
      <c r="F5167">
        <f>IF(B5167="","",IFERROR(RIGHT(B5167,LEN(B5167)-FIND("@",B5167)),""))</f>
        <v/>
      </c>
      <c r="G5167">
        <f>IF(D5167="KEEP",COUNTIF($D$2:D5167,"KEEP"),"")</f>
        <v/>
      </c>
      <c r="H5167">
        <f>IF(D5167="REMOVE",COUNTIF($D$2:D5167,"REMOVE"),"")</f>
        <v/>
      </c>
      <c r="I5167">
        <f>IF(E5167="Gmail",COUNTIF($E$2:E5167,"Gmail"),"")</f>
        <v/>
      </c>
      <c r="J5167">
        <f>IF(E5167="Outlook",COUNTIF($E$2:E5167,"Outlook"),"")</f>
        <v/>
      </c>
      <c r="K5167">
        <f>IF(E5167="Domain",COUNTIF($E$2:E5167,"Domain"),"")</f>
        <v/>
      </c>
    </row>
    <row r="5168">
      <c r="A5168" s="2" t="n"/>
      <c r="B5168">
        <f>LOWER(TRIM(A5168))</f>
        <v/>
      </c>
      <c r="C5168">
        <f>IF(B5168="","",IFERROR(INDEX('Bad Patterns'!$A$2:$A$120,MATCH(1,INDEX(--ISNUMBER(SEARCH('Bad Patterns'!$A$2:$A$120,B5168)),0),0)),""))</f>
        <v/>
      </c>
      <c r="D5168">
        <f>IF(B5168="","",IF(C5168&lt;&gt;"","REMOVE","KEEP"))</f>
        <v/>
      </c>
      <c r="E5168">
        <f>IF(D5168&lt;&gt;"KEEP","",IF(RIGHT(B5168,10)="@gmail.com","Gmail",IF(OR(RIGHT(B5168,12)="@outlook.com",RIGHT(B5168,12)="@hotmail.com",RIGHT(B5168,9)="@live.com"),"Outlook","Domain")))</f>
        <v/>
      </c>
      <c r="F5168">
        <f>IF(B5168="","",IFERROR(RIGHT(B5168,LEN(B5168)-FIND("@",B5168)),""))</f>
        <v/>
      </c>
      <c r="G5168">
        <f>IF(D5168="KEEP",COUNTIF($D$2:D5168,"KEEP"),"")</f>
        <v/>
      </c>
      <c r="H5168">
        <f>IF(D5168="REMOVE",COUNTIF($D$2:D5168,"REMOVE"),"")</f>
        <v/>
      </c>
      <c r="I5168">
        <f>IF(E5168="Gmail",COUNTIF($E$2:E5168,"Gmail"),"")</f>
        <v/>
      </c>
      <c r="J5168">
        <f>IF(E5168="Outlook",COUNTIF($E$2:E5168,"Outlook"),"")</f>
        <v/>
      </c>
      <c r="K5168">
        <f>IF(E5168="Domain",COUNTIF($E$2:E5168,"Domain"),"")</f>
        <v/>
      </c>
    </row>
    <row r="5169">
      <c r="A5169" s="2" t="n"/>
      <c r="B5169">
        <f>LOWER(TRIM(A5169))</f>
        <v/>
      </c>
      <c r="C5169">
        <f>IF(B5169="","",IFERROR(INDEX('Bad Patterns'!$A$2:$A$120,MATCH(1,INDEX(--ISNUMBER(SEARCH('Bad Patterns'!$A$2:$A$120,B5169)),0),0)),""))</f>
        <v/>
      </c>
      <c r="D5169">
        <f>IF(B5169="","",IF(C5169&lt;&gt;"","REMOVE","KEEP"))</f>
        <v/>
      </c>
      <c r="E5169">
        <f>IF(D5169&lt;&gt;"KEEP","",IF(RIGHT(B5169,10)="@gmail.com","Gmail",IF(OR(RIGHT(B5169,12)="@outlook.com",RIGHT(B5169,12)="@hotmail.com",RIGHT(B5169,9)="@live.com"),"Outlook","Domain")))</f>
        <v/>
      </c>
      <c r="F5169">
        <f>IF(B5169="","",IFERROR(RIGHT(B5169,LEN(B5169)-FIND("@",B5169)),""))</f>
        <v/>
      </c>
      <c r="G5169">
        <f>IF(D5169="KEEP",COUNTIF($D$2:D5169,"KEEP"),"")</f>
        <v/>
      </c>
      <c r="H5169">
        <f>IF(D5169="REMOVE",COUNTIF($D$2:D5169,"REMOVE"),"")</f>
        <v/>
      </c>
      <c r="I5169">
        <f>IF(E5169="Gmail",COUNTIF($E$2:E5169,"Gmail"),"")</f>
        <v/>
      </c>
      <c r="J5169">
        <f>IF(E5169="Outlook",COUNTIF($E$2:E5169,"Outlook"),"")</f>
        <v/>
      </c>
      <c r="K5169">
        <f>IF(E5169="Domain",COUNTIF($E$2:E5169,"Domain"),"")</f>
        <v/>
      </c>
    </row>
    <row r="5170">
      <c r="A5170" s="2" t="n"/>
      <c r="B5170">
        <f>LOWER(TRIM(A5170))</f>
        <v/>
      </c>
      <c r="C5170">
        <f>IF(B5170="","",IFERROR(INDEX('Bad Patterns'!$A$2:$A$120,MATCH(1,INDEX(--ISNUMBER(SEARCH('Bad Patterns'!$A$2:$A$120,B5170)),0),0)),""))</f>
        <v/>
      </c>
      <c r="D5170">
        <f>IF(B5170="","",IF(C5170&lt;&gt;"","REMOVE","KEEP"))</f>
        <v/>
      </c>
      <c r="E5170">
        <f>IF(D5170&lt;&gt;"KEEP","",IF(RIGHT(B5170,10)="@gmail.com","Gmail",IF(OR(RIGHT(B5170,12)="@outlook.com",RIGHT(B5170,12)="@hotmail.com",RIGHT(B5170,9)="@live.com"),"Outlook","Domain")))</f>
        <v/>
      </c>
      <c r="F5170">
        <f>IF(B5170="","",IFERROR(RIGHT(B5170,LEN(B5170)-FIND("@",B5170)),""))</f>
        <v/>
      </c>
      <c r="G5170">
        <f>IF(D5170="KEEP",COUNTIF($D$2:D5170,"KEEP"),"")</f>
        <v/>
      </c>
      <c r="H5170">
        <f>IF(D5170="REMOVE",COUNTIF($D$2:D5170,"REMOVE"),"")</f>
        <v/>
      </c>
      <c r="I5170">
        <f>IF(E5170="Gmail",COUNTIF($E$2:E5170,"Gmail"),"")</f>
        <v/>
      </c>
      <c r="J5170">
        <f>IF(E5170="Outlook",COUNTIF($E$2:E5170,"Outlook"),"")</f>
        <v/>
      </c>
      <c r="K5170">
        <f>IF(E5170="Domain",COUNTIF($E$2:E5170,"Domain"),"")</f>
        <v/>
      </c>
    </row>
    <row r="5171">
      <c r="A5171" s="2" t="n"/>
      <c r="B5171">
        <f>LOWER(TRIM(A5171))</f>
        <v/>
      </c>
      <c r="C5171">
        <f>IF(B5171="","",IFERROR(INDEX('Bad Patterns'!$A$2:$A$120,MATCH(1,INDEX(--ISNUMBER(SEARCH('Bad Patterns'!$A$2:$A$120,B5171)),0),0)),""))</f>
        <v/>
      </c>
      <c r="D5171">
        <f>IF(B5171="","",IF(C5171&lt;&gt;"","REMOVE","KEEP"))</f>
        <v/>
      </c>
      <c r="E5171">
        <f>IF(D5171&lt;&gt;"KEEP","",IF(RIGHT(B5171,10)="@gmail.com","Gmail",IF(OR(RIGHT(B5171,12)="@outlook.com",RIGHT(B5171,12)="@hotmail.com",RIGHT(B5171,9)="@live.com"),"Outlook","Domain")))</f>
        <v/>
      </c>
      <c r="F5171">
        <f>IF(B5171="","",IFERROR(RIGHT(B5171,LEN(B5171)-FIND("@",B5171)),""))</f>
        <v/>
      </c>
      <c r="G5171">
        <f>IF(D5171="KEEP",COUNTIF($D$2:D5171,"KEEP"),"")</f>
        <v/>
      </c>
      <c r="H5171">
        <f>IF(D5171="REMOVE",COUNTIF($D$2:D5171,"REMOVE"),"")</f>
        <v/>
      </c>
      <c r="I5171">
        <f>IF(E5171="Gmail",COUNTIF($E$2:E5171,"Gmail"),"")</f>
        <v/>
      </c>
      <c r="J5171">
        <f>IF(E5171="Outlook",COUNTIF($E$2:E5171,"Outlook"),"")</f>
        <v/>
      </c>
      <c r="K5171">
        <f>IF(E5171="Domain",COUNTIF($E$2:E5171,"Domain"),"")</f>
        <v/>
      </c>
    </row>
    <row r="5172">
      <c r="A5172" s="2" t="n"/>
      <c r="B5172">
        <f>LOWER(TRIM(A5172))</f>
        <v/>
      </c>
      <c r="C5172">
        <f>IF(B5172="","",IFERROR(INDEX('Bad Patterns'!$A$2:$A$120,MATCH(1,INDEX(--ISNUMBER(SEARCH('Bad Patterns'!$A$2:$A$120,B5172)),0),0)),""))</f>
        <v/>
      </c>
      <c r="D5172">
        <f>IF(B5172="","",IF(C5172&lt;&gt;"","REMOVE","KEEP"))</f>
        <v/>
      </c>
      <c r="E5172">
        <f>IF(D5172&lt;&gt;"KEEP","",IF(RIGHT(B5172,10)="@gmail.com","Gmail",IF(OR(RIGHT(B5172,12)="@outlook.com",RIGHT(B5172,12)="@hotmail.com",RIGHT(B5172,9)="@live.com"),"Outlook","Domain")))</f>
        <v/>
      </c>
      <c r="F5172">
        <f>IF(B5172="","",IFERROR(RIGHT(B5172,LEN(B5172)-FIND("@",B5172)),""))</f>
        <v/>
      </c>
      <c r="G5172">
        <f>IF(D5172="KEEP",COUNTIF($D$2:D5172,"KEEP"),"")</f>
        <v/>
      </c>
      <c r="H5172">
        <f>IF(D5172="REMOVE",COUNTIF($D$2:D5172,"REMOVE"),"")</f>
        <v/>
      </c>
      <c r="I5172">
        <f>IF(E5172="Gmail",COUNTIF($E$2:E5172,"Gmail"),"")</f>
        <v/>
      </c>
      <c r="J5172">
        <f>IF(E5172="Outlook",COUNTIF($E$2:E5172,"Outlook"),"")</f>
        <v/>
      </c>
      <c r="K5172">
        <f>IF(E5172="Domain",COUNTIF($E$2:E5172,"Domain"),"")</f>
        <v/>
      </c>
    </row>
    <row r="5173">
      <c r="A5173" s="2" t="n"/>
      <c r="B5173">
        <f>LOWER(TRIM(A5173))</f>
        <v/>
      </c>
      <c r="C5173">
        <f>IF(B5173="","",IFERROR(INDEX('Bad Patterns'!$A$2:$A$120,MATCH(1,INDEX(--ISNUMBER(SEARCH('Bad Patterns'!$A$2:$A$120,B5173)),0),0)),""))</f>
        <v/>
      </c>
      <c r="D5173">
        <f>IF(B5173="","",IF(C5173&lt;&gt;"","REMOVE","KEEP"))</f>
        <v/>
      </c>
      <c r="E5173">
        <f>IF(D5173&lt;&gt;"KEEP","",IF(RIGHT(B5173,10)="@gmail.com","Gmail",IF(OR(RIGHT(B5173,12)="@outlook.com",RIGHT(B5173,12)="@hotmail.com",RIGHT(B5173,9)="@live.com"),"Outlook","Domain")))</f>
        <v/>
      </c>
      <c r="F5173">
        <f>IF(B5173="","",IFERROR(RIGHT(B5173,LEN(B5173)-FIND("@",B5173)),""))</f>
        <v/>
      </c>
      <c r="G5173">
        <f>IF(D5173="KEEP",COUNTIF($D$2:D5173,"KEEP"),"")</f>
        <v/>
      </c>
      <c r="H5173">
        <f>IF(D5173="REMOVE",COUNTIF($D$2:D5173,"REMOVE"),"")</f>
        <v/>
      </c>
      <c r="I5173">
        <f>IF(E5173="Gmail",COUNTIF($E$2:E5173,"Gmail"),"")</f>
        <v/>
      </c>
      <c r="J5173">
        <f>IF(E5173="Outlook",COUNTIF($E$2:E5173,"Outlook"),"")</f>
        <v/>
      </c>
      <c r="K5173">
        <f>IF(E5173="Domain",COUNTIF($E$2:E5173,"Domain"),"")</f>
        <v/>
      </c>
    </row>
    <row r="5174">
      <c r="A5174" s="2" t="n"/>
      <c r="B5174">
        <f>LOWER(TRIM(A5174))</f>
        <v/>
      </c>
      <c r="C5174">
        <f>IF(B5174="","",IFERROR(INDEX('Bad Patterns'!$A$2:$A$120,MATCH(1,INDEX(--ISNUMBER(SEARCH('Bad Patterns'!$A$2:$A$120,B5174)),0),0)),""))</f>
        <v/>
      </c>
      <c r="D5174">
        <f>IF(B5174="","",IF(C5174&lt;&gt;"","REMOVE","KEEP"))</f>
        <v/>
      </c>
      <c r="E5174">
        <f>IF(D5174&lt;&gt;"KEEP","",IF(RIGHT(B5174,10)="@gmail.com","Gmail",IF(OR(RIGHT(B5174,12)="@outlook.com",RIGHT(B5174,12)="@hotmail.com",RIGHT(B5174,9)="@live.com"),"Outlook","Domain")))</f>
        <v/>
      </c>
      <c r="F5174">
        <f>IF(B5174="","",IFERROR(RIGHT(B5174,LEN(B5174)-FIND("@",B5174)),""))</f>
        <v/>
      </c>
      <c r="G5174">
        <f>IF(D5174="KEEP",COUNTIF($D$2:D5174,"KEEP"),"")</f>
        <v/>
      </c>
      <c r="H5174">
        <f>IF(D5174="REMOVE",COUNTIF($D$2:D5174,"REMOVE"),"")</f>
        <v/>
      </c>
      <c r="I5174">
        <f>IF(E5174="Gmail",COUNTIF($E$2:E5174,"Gmail"),"")</f>
        <v/>
      </c>
      <c r="J5174">
        <f>IF(E5174="Outlook",COUNTIF($E$2:E5174,"Outlook"),"")</f>
        <v/>
      </c>
      <c r="K5174">
        <f>IF(E5174="Domain",COUNTIF($E$2:E5174,"Domain"),"")</f>
        <v/>
      </c>
    </row>
    <row r="5175">
      <c r="A5175" s="2" t="n"/>
      <c r="B5175">
        <f>LOWER(TRIM(A5175))</f>
        <v/>
      </c>
      <c r="C5175">
        <f>IF(B5175="","",IFERROR(INDEX('Bad Patterns'!$A$2:$A$120,MATCH(1,INDEX(--ISNUMBER(SEARCH('Bad Patterns'!$A$2:$A$120,B5175)),0),0)),""))</f>
        <v/>
      </c>
      <c r="D5175">
        <f>IF(B5175="","",IF(C5175&lt;&gt;"","REMOVE","KEEP"))</f>
        <v/>
      </c>
      <c r="E5175">
        <f>IF(D5175&lt;&gt;"KEEP","",IF(RIGHT(B5175,10)="@gmail.com","Gmail",IF(OR(RIGHT(B5175,12)="@outlook.com",RIGHT(B5175,12)="@hotmail.com",RIGHT(B5175,9)="@live.com"),"Outlook","Domain")))</f>
        <v/>
      </c>
      <c r="F5175">
        <f>IF(B5175="","",IFERROR(RIGHT(B5175,LEN(B5175)-FIND("@",B5175)),""))</f>
        <v/>
      </c>
      <c r="G5175">
        <f>IF(D5175="KEEP",COUNTIF($D$2:D5175,"KEEP"),"")</f>
        <v/>
      </c>
      <c r="H5175">
        <f>IF(D5175="REMOVE",COUNTIF($D$2:D5175,"REMOVE"),"")</f>
        <v/>
      </c>
      <c r="I5175">
        <f>IF(E5175="Gmail",COUNTIF($E$2:E5175,"Gmail"),"")</f>
        <v/>
      </c>
      <c r="J5175">
        <f>IF(E5175="Outlook",COUNTIF($E$2:E5175,"Outlook"),"")</f>
        <v/>
      </c>
      <c r="K5175">
        <f>IF(E5175="Domain",COUNTIF($E$2:E5175,"Domain"),"")</f>
        <v/>
      </c>
    </row>
    <row r="5176">
      <c r="A5176" s="2" t="n"/>
      <c r="B5176">
        <f>LOWER(TRIM(A5176))</f>
        <v/>
      </c>
      <c r="C5176">
        <f>IF(B5176="","",IFERROR(INDEX('Bad Patterns'!$A$2:$A$120,MATCH(1,INDEX(--ISNUMBER(SEARCH('Bad Patterns'!$A$2:$A$120,B5176)),0),0)),""))</f>
        <v/>
      </c>
      <c r="D5176">
        <f>IF(B5176="","",IF(C5176&lt;&gt;"","REMOVE","KEEP"))</f>
        <v/>
      </c>
      <c r="E5176">
        <f>IF(D5176&lt;&gt;"KEEP","",IF(RIGHT(B5176,10)="@gmail.com","Gmail",IF(OR(RIGHT(B5176,12)="@outlook.com",RIGHT(B5176,12)="@hotmail.com",RIGHT(B5176,9)="@live.com"),"Outlook","Domain")))</f>
        <v/>
      </c>
      <c r="F5176">
        <f>IF(B5176="","",IFERROR(RIGHT(B5176,LEN(B5176)-FIND("@",B5176)),""))</f>
        <v/>
      </c>
      <c r="G5176">
        <f>IF(D5176="KEEP",COUNTIF($D$2:D5176,"KEEP"),"")</f>
        <v/>
      </c>
      <c r="H5176">
        <f>IF(D5176="REMOVE",COUNTIF($D$2:D5176,"REMOVE"),"")</f>
        <v/>
      </c>
      <c r="I5176">
        <f>IF(E5176="Gmail",COUNTIF($E$2:E5176,"Gmail"),"")</f>
        <v/>
      </c>
      <c r="J5176">
        <f>IF(E5176="Outlook",COUNTIF($E$2:E5176,"Outlook"),"")</f>
        <v/>
      </c>
      <c r="K5176">
        <f>IF(E5176="Domain",COUNTIF($E$2:E5176,"Domain"),"")</f>
        <v/>
      </c>
    </row>
    <row r="5177">
      <c r="A5177" s="2" t="n"/>
      <c r="B5177">
        <f>LOWER(TRIM(A5177))</f>
        <v/>
      </c>
      <c r="C5177">
        <f>IF(B5177="","",IFERROR(INDEX('Bad Patterns'!$A$2:$A$120,MATCH(1,INDEX(--ISNUMBER(SEARCH('Bad Patterns'!$A$2:$A$120,B5177)),0),0)),""))</f>
        <v/>
      </c>
      <c r="D5177">
        <f>IF(B5177="","",IF(C5177&lt;&gt;"","REMOVE","KEEP"))</f>
        <v/>
      </c>
      <c r="E5177">
        <f>IF(D5177&lt;&gt;"KEEP","",IF(RIGHT(B5177,10)="@gmail.com","Gmail",IF(OR(RIGHT(B5177,12)="@outlook.com",RIGHT(B5177,12)="@hotmail.com",RIGHT(B5177,9)="@live.com"),"Outlook","Domain")))</f>
        <v/>
      </c>
      <c r="F5177">
        <f>IF(B5177="","",IFERROR(RIGHT(B5177,LEN(B5177)-FIND("@",B5177)),""))</f>
        <v/>
      </c>
      <c r="G5177">
        <f>IF(D5177="KEEP",COUNTIF($D$2:D5177,"KEEP"),"")</f>
        <v/>
      </c>
      <c r="H5177">
        <f>IF(D5177="REMOVE",COUNTIF($D$2:D5177,"REMOVE"),"")</f>
        <v/>
      </c>
      <c r="I5177">
        <f>IF(E5177="Gmail",COUNTIF($E$2:E5177,"Gmail"),"")</f>
        <v/>
      </c>
      <c r="J5177">
        <f>IF(E5177="Outlook",COUNTIF($E$2:E5177,"Outlook"),"")</f>
        <v/>
      </c>
      <c r="K5177">
        <f>IF(E5177="Domain",COUNTIF($E$2:E5177,"Domain"),"")</f>
        <v/>
      </c>
    </row>
    <row r="5178">
      <c r="A5178" s="2" t="n"/>
      <c r="B5178">
        <f>LOWER(TRIM(A5178))</f>
        <v/>
      </c>
      <c r="C5178">
        <f>IF(B5178="","",IFERROR(INDEX('Bad Patterns'!$A$2:$A$120,MATCH(1,INDEX(--ISNUMBER(SEARCH('Bad Patterns'!$A$2:$A$120,B5178)),0),0)),""))</f>
        <v/>
      </c>
      <c r="D5178">
        <f>IF(B5178="","",IF(C5178&lt;&gt;"","REMOVE","KEEP"))</f>
        <v/>
      </c>
      <c r="E5178">
        <f>IF(D5178&lt;&gt;"KEEP","",IF(RIGHT(B5178,10)="@gmail.com","Gmail",IF(OR(RIGHT(B5178,12)="@outlook.com",RIGHT(B5178,12)="@hotmail.com",RIGHT(B5178,9)="@live.com"),"Outlook","Domain")))</f>
        <v/>
      </c>
      <c r="F5178">
        <f>IF(B5178="","",IFERROR(RIGHT(B5178,LEN(B5178)-FIND("@",B5178)),""))</f>
        <v/>
      </c>
      <c r="G5178">
        <f>IF(D5178="KEEP",COUNTIF($D$2:D5178,"KEEP"),"")</f>
        <v/>
      </c>
      <c r="H5178">
        <f>IF(D5178="REMOVE",COUNTIF($D$2:D5178,"REMOVE"),"")</f>
        <v/>
      </c>
      <c r="I5178">
        <f>IF(E5178="Gmail",COUNTIF($E$2:E5178,"Gmail"),"")</f>
        <v/>
      </c>
      <c r="J5178">
        <f>IF(E5178="Outlook",COUNTIF($E$2:E5178,"Outlook"),"")</f>
        <v/>
      </c>
      <c r="K5178">
        <f>IF(E5178="Domain",COUNTIF($E$2:E5178,"Domain"),"")</f>
        <v/>
      </c>
    </row>
    <row r="5179">
      <c r="A5179" s="2" t="n"/>
      <c r="B5179">
        <f>LOWER(TRIM(A5179))</f>
        <v/>
      </c>
      <c r="C5179">
        <f>IF(B5179="","",IFERROR(INDEX('Bad Patterns'!$A$2:$A$120,MATCH(1,INDEX(--ISNUMBER(SEARCH('Bad Patterns'!$A$2:$A$120,B5179)),0),0)),""))</f>
        <v/>
      </c>
      <c r="D5179">
        <f>IF(B5179="","",IF(C5179&lt;&gt;"","REMOVE","KEEP"))</f>
        <v/>
      </c>
      <c r="E5179">
        <f>IF(D5179&lt;&gt;"KEEP","",IF(RIGHT(B5179,10)="@gmail.com","Gmail",IF(OR(RIGHT(B5179,12)="@outlook.com",RIGHT(B5179,12)="@hotmail.com",RIGHT(B5179,9)="@live.com"),"Outlook","Domain")))</f>
        <v/>
      </c>
      <c r="F5179">
        <f>IF(B5179="","",IFERROR(RIGHT(B5179,LEN(B5179)-FIND("@",B5179)),""))</f>
        <v/>
      </c>
      <c r="G5179">
        <f>IF(D5179="KEEP",COUNTIF($D$2:D5179,"KEEP"),"")</f>
        <v/>
      </c>
      <c r="H5179">
        <f>IF(D5179="REMOVE",COUNTIF($D$2:D5179,"REMOVE"),"")</f>
        <v/>
      </c>
      <c r="I5179">
        <f>IF(E5179="Gmail",COUNTIF($E$2:E5179,"Gmail"),"")</f>
        <v/>
      </c>
      <c r="J5179">
        <f>IF(E5179="Outlook",COUNTIF($E$2:E5179,"Outlook"),"")</f>
        <v/>
      </c>
      <c r="K5179">
        <f>IF(E5179="Domain",COUNTIF($E$2:E5179,"Domain"),"")</f>
        <v/>
      </c>
    </row>
    <row r="5180">
      <c r="A5180" s="2" t="n"/>
      <c r="B5180">
        <f>LOWER(TRIM(A5180))</f>
        <v/>
      </c>
      <c r="C5180">
        <f>IF(B5180="","",IFERROR(INDEX('Bad Patterns'!$A$2:$A$120,MATCH(1,INDEX(--ISNUMBER(SEARCH('Bad Patterns'!$A$2:$A$120,B5180)),0),0)),""))</f>
        <v/>
      </c>
      <c r="D5180">
        <f>IF(B5180="","",IF(C5180&lt;&gt;"","REMOVE","KEEP"))</f>
        <v/>
      </c>
      <c r="E5180">
        <f>IF(D5180&lt;&gt;"KEEP","",IF(RIGHT(B5180,10)="@gmail.com","Gmail",IF(OR(RIGHT(B5180,12)="@outlook.com",RIGHT(B5180,12)="@hotmail.com",RIGHT(B5180,9)="@live.com"),"Outlook","Domain")))</f>
        <v/>
      </c>
      <c r="F5180">
        <f>IF(B5180="","",IFERROR(RIGHT(B5180,LEN(B5180)-FIND("@",B5180)),""))</f>
        <v/>
      </c>
      <c r="G5180">
        <f>IF(D5180="KEEP",COUNTIF($D$2:D5180,"KEEP"),"")</f>
        <v/>
      </c>
      <c r="H5180">
        <f>IF(D5180="REMOVE",COUNTIF($D$2:D5180,"REMOVE"),"")</f>
        <v/>
      </c>
      <c r="I5180">
        <f>IF(E5180="Gmail",COUNTIF($E$2:E5180,"Gmail"),"")</f>
        <v/>
      </c>
      <c r="J5180">
        <f>IF(E5180="Outlook",COUNTIF($E$2:E5180,"Outlook"),"")</f>
        <v/>
      </c>
      <c r="K5180">
        <f>IF(E5180="Domain",COUNTIF($E$2:E5180,"Domain"),"")</f>
        <v/>
      </c>
    </row>
    <row r="5181">
      <c r="A5181" s="2" t="n"/>
      <c r="B5181">
        <f>LOWER(TRIM(A5181))</f>
        <v/>
      </c>
      <c r="C5181">
        <f>IF(B5181="","",IFERROR(INDEX('Bad Patterns'!$A$2:$A$120,MATCH(1,INDEX(--ISNUMBER(SEARCH('Bad Patterns'!$A$2:$A$120,B5181)),0),0)),""))</f>
        <v/>
      </c>
      <c r="D5181">
        <f>IF(B5181="","",IF(C5181&lt;&gt;"","REMOVE","KEEP"))</f>
        <v/>
      </c>
      <c r="E5181">
        <f>IF(D5181&lt;&gt;"KEEP","",IF(RIGHT(B5181,10)="@gmail.com","Gmail",IF(OR(RIGHT(B5181,12)="@outlook.com",RIGHT(B5181,12)="@hotmail.com",RIGHT(B5181,9)="@live.com"),"Outlook","Domain")))</f>
        <v/>
      </c>
      <c r="F5181">
        <f>IF(B5181="","",IFERROR(RIGHT(B5181,LEN(B5181)-FIND("@",B5181)),""))</f>
        <v/>
      </c>
      <c r="G5181">
        <f>IF(D5181="KEEP",COUNTIF($D$2:D5181,"KEEP"),"")</f>
        <v/>
      </c>
      <c r="H5181">
        <f>IF(D5181="REMOVE",COUNTIF($D$2:D5181,"REMOVE"),"")</f>
        <v/>
      </c>
      <c r="I5181">
        <f>IF(E5181="Gmail",COUNTIF($E$2:E5181,"Gmail"),"")</f>
        <v/>
      </c>
      <c r="J5181">
        <f>IF(E5181="Outlook",COUNTIF($E$2:E5181,"Outlook"),"")</f>
        <v/>
      </c>
      <c r="K5181">
        <f>IF(E5181="Domain",COUNTIF($E$2:E5181,"Domain"),"")</f>
        <v/>
      </c>
    </row>
    <row r="5182">
      <c r="A5182" s="2" t="n"/>
      <c r="B5182">
        <f>LOWER(TRIM(A5182))</f>
        <v/>
      </c>
      <c r="C5182">
        <f>IF(B5182="","",IFERROR(INDEX('Bad Patterns'!$A$2:$A$120,MATCH(1,INDEX(--ISNUMBER(SEARCH('Bad Patterns'!$A$2:$A$120,B5182)),0),0)),""))</f>
        <v/>
      </c>
      <c r="D5182">
        <f>IF(B5182="","",IF(C5182&lt;&gt;"","REMOVE","KEEP"))</f>
        <v/>
      </c>
      <c r="E5182">
        <f>IF(D5182&lt;&gt;"KEEP","",IF(RIGHT(B5182,10)="@gmail.com","Gmail",IF(OR(RIGHT(B5182,12)="@outlook.com",RIGHT(B5182,12)="@hotmail.com",RIGHT(B5182,9)="@live.com"),"Outlook","Domain")))</f>
        <v/>
      </c>
      <c r="F5182">
        <f>IF(B5182="","",IFERROR(RIGHT(B5182,LEN(B5182)-FIND("@",B5182)),""))</f>
        <v/>
      </c>
      <c r="G5182">
        <f>IF(D5182="KEEP",COUNTIF($D$2:D5182,"KEEP"),"")</f>
        <v/>
      </c>
      <c r="H5182">
        <f>IF(D5182="REMOVE",COUNTIF($D$2:D5182,"REMOVE"),"")</f>
        <v/>
      </c>
      <c r="I5182">
        <f>IF(E5182="Gmail",COUNTIF($E$2:E5182,"Gmail"),"")</f>
        <v/>
      </c>
      <c r="J5182">
        <f>IF(E5182="Outlook",COUNTIF($E$2:E5182,"Outlook"),"")</f>
        <v/>
      </c>
      <c r="K5182">
        <f>IF(E5182="Domain",COUNTIF($E$2:E5182,"Domain"),"")</f>
        <v/>
      </c>
    </row>
    <row r="5183">
      <c r="A5183" s="2" t="n"/>
      <c r="B5183">
        <f>LOWER(TRIM(A5183))</f>
        <v/>
      </c>
      <c r="C5183">
        <f>IF(B5183="","",IFERROR(INDEX('Bad Patterns'!$A$2:$A$120,MATCH(1,INDEX(--ISNUMBER(SEARCH('Bad Patterns'!$A$2:$A$120,B5183)),0),0)),""))</f>
        <v/>
      </c>
      <c r="D5183">
        <f>IF(B5183="","",IF(C5183&lt;&gt;"","REMOVE","KEEP"))</f>
        <v/>
      </c>
      <c r="E5183">
        <f>IF(D5183&lt;&gt;"KEEP","",IF(RIGHT(B5183,10)="@gmail.com","Gmail",IF(OR(RIGHT(B5183,12)="@outlook.com",RIGHT(B5183,12)="@hotmail.com",RIGHT(B5183,9)="@live.com"),"Outlook","Domain")))</f>
        <v/>
      </c>
      <c r="F5183">
        <f>IF(B5183="","",IFERROR(RIGHT(B5183,LEN(B5183)-FIND("@",B5183)),""))</f>
        <v/>
      </c>
      <c r="G5183">
        <f>IF(D5183="KEEP",COUNTIF($D$2:D5183,"KEEP"),"")</f>
        <v/>
      </c>
      <c r="H5183">
        <f>IF(D5183="REMOVE",COUNTIF($D$2:D5183,"REMOVE"),"")</f>
        <v/>
      </c>
      <c r="I5183">
        <f>IF(E5183="Gmail",COUNTIF($E$2:E5183,"Gmail"),"")</f>
        <v/>
      </c>
      <c r="J5183">
        <f>IF(E5183="Outlook",COUNTIF($E$2:E5183,"Outlook"),"")</f>
        <v/>
      </c>
      <c r="K5183">
        <f>IF(E5183="Domain",COUNTIF($E$2:E5183,"Domain"),"")</f>
        <v/>
      </c>
    </row>
    <row r="5184">
      <c r="A5184" s="2" t="n"/>
      <c r="B5184">
        <f>LOWER(TRIM(A5184))</f>
        <v/>
      </c>
      <c r="C5184">
        <f>IF(B5184="","",IFERROR(INDEX('Bad Patterns'!$A$2:$A$120,MATCH(1,INDEX(--ISNUMBER(SEARCH('Bad Patterns'!$A$2:$A$120,B5184)),0),0)),""))</f>
        <v/>
      </c>
      <c r="D5184">
        <f>IF(B5184="","",IF(C5184&lt;&gt;"","REMOVE","KEEP"))</f>
        <v/>
      </c>
      <c r="E5184">
        <f>IF(D5184&lt;&gt;"KEEP","",IF(RIGHT(B5184,10)="@gmail.com","Gmail",IF(OR(RIGHT(B5184,12)="@outlook.com",RIGHT(B5184,12)="@hotmail.com",RIGHT(B5184,9)="@live.com"),"Outlook","Domain")))</f>
        <v/>
      </c>
      <c r="F5184">
        <f>IF(B5184="","",IFERROR(RIGHT(B5184,LEN(B5184)-FIND("@",B5184)),""))</f>
        <v/>
      </c>
      <c r="G5184">
        <f>IF(D5184="KEEP",COUNTIF($D$2:D5184,"KEEP"),"")</f>
        <v/>
      </c>
      <c r="H5184">
        <f>IF(D5184="REMOVE",COUNTIF($D$2:D5184,"REMOVE"),"")</f>
        <v/>
      </c>
      <c r="I5184">
        <f>IF(E5184="Gmail",COUNTIF($E$2:E5184,"Gmail"),"")</f>
        <v/>
      </c>
      <c r="J5184">
        <f>IF(E5184="Outlook",COUNTIF($E$2:E5184,"Outlook"),"")</f>
        <v/>
      </c>
      <c r="K5184">
        <f>IF(E5184="Domain",COUNTIF($E$2:E5184,"Domain"),"")</f>
        <v/>
      </c>
    </row>
    <row r="5185">
      <c r="A5185" s="2" t="n"/>
      <c r="B5185">
        <f>LOWER(TRIM(A5185))</f>
        <v/>
      </c>
      <c r="C5185">
        <f>IF(B5185="","",IFERROR(INDEX('Bad Patterns'!$A$2:$A$120,MATCH(1,INDEX(--ISNUMBER(SEARCH('Bad Patterns'!$A$2:$A$120,B5185)),0),0)),""))</f>
        <v/>
      </c>
      <c r="D5185">
        <f>IF(B5185="","",IF(C5185&lt;&gt;"","REMOVE","KEEP"))</f>
        <v/>
      </c>
      <c r="E5185">
        <f>IF(D5185&lt;&gt;"KEEP","",IF(RIGHT(B5185,10)="@gmail.com","Gmail",IF(OR(RIGHT(B5185,12)="@outlook.com",RIGHT(B5185,12)="@hotmail.com",RIGHT(B5185,9)="@live.com"),"Outlook","Domain")))</f>
        <v/>
      </c>
      <c r="F5185">
        <f>IF(B5185="","",IFERROR(RIGHT(B5185,LEN(B5185)-FIND("@",B5185)),""))</f>
        <v/>
      </c>
      <c r="G5185">
        <f>IF(D5185="KEEP",COUNTIF($D$2:D5185,"KEEP"),"")</f>
        <v/>
      </c>
      <c r="H5185">
        <f>IF(D5185="REMOVE",COUNTIF($D$2:D5185,"REMOVE"),"")</f>
        <v/>
      </c>
      <c r="I5185">
        <f>IF(E5185="Gmail",COUNTIF($E$2:E5185,"Gmail"),"")</f>
        <v/>
      </c>
      <c r="J5185">
        <f>IF(E5185="Outlook",COUNTIF($E$2:E5185,"Outlook"),"")</f>
        <v/>
      </c>
      <c r="K5185">
        <f>IF(E5185="Domain",COUNTIF($E$2:E5185,"Domain"),"")</f>
        <v/>
      </c>
    </row>
    <row r="5186">
      <c r="A5186" s="2" t="n"/>
      <c r="B5186">
        <f>LOWER(TRIM(A5186))</f>
        <v/>
      </c>
      <c r="C5186">
        <f>IF(B5186="","",IFERROR(INDEX('Bad Patterns'!$A$2:$A$120,MATCH(1,INDEX(--ISNUMBER(SEARCH('Bad Patterns'!$A$2:$A$120,B5186)),0),0)),""))</f>
        <v/>
      </c>
      <c r="D5186">
        <f>IF(B5186="","",IF(C5186&lt;&gt;"","REMOVE","KEEP"))</f>
        <v/>
      </c>
      <c r="E5186">
        <f>IF(D5186&lt;&gt;"KEEP","",IF(RIGHT(B5186,10)="@gmail.com","Gmail",IF(OR(RIGHT(B5186,12)="@outlook.com",RIGHT(B5186,12)="@hotmail.com",RIGHT(B5186,9)="@live.com"),"Outlook","Domain")))</f>
        <v/>
      </c>
      <c r="F5186">
        <f>IF(B5186="","",IFERROR(RIGHT(B5186,LEN(B5186)-FIND("@",B5186)),""))</f>
        <v/>
      </c>
      <c r="G5186">
        <f>IF(D5186="KEEP",COUNTIF($D$2:D5186,"KEEP"),"")</f>
        <v/>
      </c>
      <c r="H5186">
        <f>IF(D5186="REMOVE",COUNTIF($D$2:D5186,"REMOVE"),"")</f>
        <v/>
      </c>
      <c r="I5186">
        <f>IF(E5186="Gmail",COUNTIF($E$2:E5186,"Gmail"),"")</f>
        <v/>
      </c>
      <c r="J5186">
        <f>IF(E5186="Outlook",COUNTIF($E$2:E5186,"Outlook"),"")</f>
        <v/>
      </c>
      <c r="K5186">
        <f>IF(E5186="Domain",COUNTIF($E$2:E5186,"Domain"),"")</f>
        <v/>
      </c>
    </row>
    <row r="5187">
      <c r="A5187" s="2" t="n"/>
      <c r="B5187">
        <f>LOWER(TRIM(A5187))</f>
        <v/>
      </c>
      <c r="C5187">
        <f>IF(B5187="","",IFERROR(INDEX('Bad Patterns'!$A$2:$A$120,MATCH(1,INDEX(--ISNUMBER(SEARCH('Bad Patterns'!$A$2:$A$120,B5187)),0),0)),""))</f>
        <v/>
      </c>
      <c r="D5187">
        <f>IF(B5187="","",IF(C5187&lt;&gt;"","REMOVE","KEEP"))</f>
        <v/>
      </c>
      <c r="E5187">
        <f>IF(D5187&lt;&gt;"KEEP","",IF(RIGHT(B5187,10)="@gmail.com","Gmail",IF(OR(RIGHT(B5187,12)="@outlook.com",RIGHT(B5187,12)="@hotmail.com",RIGHT(B5187,9)="@live.com"),"Outlook","Domain")))</f>
        <v/>
      </c>
      <c r="F5187">
        <f>IF(B5187="","",IFERROR(RIGHT(B5187,LEN(B5187)-FIND("@",B5187)),""))</f>
        <v/>
      </c>
      <c r="G5187">
        <f>IF(D5187="KEEP",COUNTIF($D$2:D5187,"KEEP"),"")</f>
        <v/>
      </c>
      <c r="H5187">
        <f>IF(D5187="REMOVE",COUNTIF($D$2:D5187,"REMOVE"),"")</f>
        <v/>
      </c>
      <c r="I5187">
        <f>IF(E5187="Gmail",COUNTIF($E$2:E5187,"Gmail"),"")</f>
        <v/>
      </c>
      <c r="J5187">
        <f>IF(E5187="Outlook",COUNTIF($E$2:E5187,"Outlook"),"")</f>
        <v/>
      </c>
      <c r="K5187">
        <f>IF(E5187="Domain",COUNTIF($E$2:E5187,"Domain"),"")</f>
        <v/>
      </c>
    </row>
    <row r="5188">
      <c r="A5188" s="2" t="n"/>
      <c r="B5188">
        <f>LOWER(TRIM(A5188))</f>
        <v/>
      </c>
      <c r="C5188">
        <f>IF(B5188="","",IFERROR(INDEX('Bad Patterns'!$A$2:$A$120,MATCH(1,INDEX(--ISNUMBER(SEARCH('Bad Patterns'!$A$2:$A$120,B5188)),0),0)),""))</f>
        <v/>
      </c>
      <c r="D5188">
        <f>IF(B5188="","",IF(C5188&lt;&gt;"","REMOVE","KEEP"))</f>
        <v/>
      </c>
      <c r="E5188">
        <f>IF(D5188&lt;&gt;"KEEP","",IF(RIGHT(B5188,10)="@gmail.com","Gmail",IF(OR(RIGHT(B5188,12)="@outlook.com",RIGHT(B5188,12)="@hotmail.com",RIGHT(B5188,9)="@live.com"),"Outlook","Domain")))</f>
        <v/>
      </c>
      <c r="F5188">
        <f>IF(B5188="","",IFERROR(RIGHT(B5188,LEN(B5188)-FIND("@",B5188)),""))</f>
        <v/>
      </c>
      <c r="G5188">
        <f>IF(D5188="KEEP",COUNTIF($D$2:D5188,"KEEP"),"")</f>
        <v/>
      </c>
      <c r="H5188">
        <f>IF(D5188="REMOVE",COUNTIF($D$2:D5188,"REMOVE"),"")</f>
        <v/>
      </c>
      <c r="I5188">
        <f>IF(E5188="Gmail",COUNTIF($E$2:E5188,"Gmail"),"")</f>
        <v/>
      </c>
      <c r="J5188">
        <f>IF(E5188="Outlook",COUNTIF($E$2:E5188,"Outlook"),"")</f>
        <v/>
      </c>
      <c r="K5188">
        <f>IF(E5188="Domain",COUNTIF($E$2:E5188,"Domain"),"")</f>
        <v/>
      </c>
    </row>
    <row r="5189">
      <c r="A5189" s="2" t="n"/>
      <c r="B5189">
        <f>LOWER(TRIM(A5189))</f>
        <v/>
      </c>
      <c r="C5189">
        <f>IF(B5189="","",IFERROR(INDEX('Bad Patterns'!$A$2:$A$120,MATCH(1,INDEX(--ISNUMBER(SEARCH('Bad Patterns'!$A$2:$A$120,B5189)),0),0)),""))</f>
        <v/>
      </c>
      <c r="D5189">
        <f>IF(B5189="","",IF(C5189&lt;&gt;"","REMOVE","KEEP"))</f>
        <v/>
      </c>
      <c r="E5189">
        <f>IF(D5189&lt;&gt;"KEEP","",IF(RIGHT(B5189,10)="@gmail.com","Gmail",IF(OR(RIGHT(B5189,12)="@outlook.com",RIGHT(B5189,12)="@hotmail.com",RIGHT(B5189,9)="@live.com"),"Outlook","Domain")))</f>
        <v/>
      </c>
      <c r="F5189">
        <f>IF(B5189="","",IFERROR(RIGHT(B5189,LEN(B5189)-FIND("@",B5189)),""))</f>
        <v/>
      </c>
      <c r="G5189">
        <f>IF(D5189="KEEP",COUNTIF($D$2:D5189,"KEEP"),"")</f>
        <v/>
      </c>
      <c r="H5189">
        <f>IF(D5189="REMOVE",COUNTIF($D$2:D5189,"REMOVE"),"")</f>
        <v/>
      </c>
      <c r="I5189">
        <f>IF(E5189="Gmail",COUNTIF($E$2:E5189,"Gmail"),"")</f>
        <v/>
      </c>
      <c r="J5189">
        <f>IF(E5189="Outlook",COUNTIF($E$2:E5189,"Outlook"),"")</f>
        <v/>
      </c>
      <c r="K5189">
        <f>IF(E5189="Domain",COUNTIF($E$2:E5189,"Domain"),"")</f>
        <v/>
      </c>
    </row>
    <row r="5190">
      <c r="A5190" s="2" t="n"/>
      <c r="B5190">
        <f>LOWER(TRIM(A5190))</f>
        <v/>
      </c>
      <c r="C5190">
        <f>IF(B5190="","",IFERROR(INDEX('Bad Patterns'!$A$2:$A$120,MATCH(1,INDEX(--ISNUMBER(SEARCH('Bad Patterns'!$A$2:$A$120,B5190)),0),0)),""))</f>
        <v/>
      </c>
      <c r="D5190">
        <f>IF(B5190="","",IF(C5190&lt;&gt;"","REMOVE","KEEP"))</f>
        <v/>
      </c>
      <c r="E5190">
        <f>IF(D5190&lt;&gt;"KEEP","",IF(RIGHT(B5190,10)="@gmail.com","Gmail",IF(OR(RIGHT(B5190,12)="@outlook.com",RIGHT(B5190,12)="@hotmail.com",RIGHT(B5190,9)="@live.com"),"Outlook","Domain")))</f>
        <v/>
      </c>
      <c r="F5190">
        <f>IF(B5190="","",IFERROR(RIGHT(B5190,LEN(B5190)-FIND("@",B5190)),""))</f>
        <v/>
      </c>
      <c r="G5190">
        <f>IF(D5190="KEEP",COUNTIF($D$2:D5190,"KEEP"),"")</f>
        <v/>
      </c>
      <c r="H5190">
        <f>IF(D5190="REMOVE",COUNTIF($D$2:D5190,"REMOVE"),"")</f>
        <v/>
      </c>
      <c r="I5190">
        <f>IF(E5190="Gmail",COUNTIF($E$2:E5190,"Gmail"),"")</f>
        <v/>
      </c>
      <c r="J5190">
        <f>IF(E5190="Outlook",COUNTIF($E$2:E5190,"Outlook"),"")</f>
        <v/>
      </c>
      <c r="K5190">
        <f>IF(E5190="Domain",COUNTIF($E$2:E5190,"Domain"),"")</f>
        <v/>
      </c>
    </row>
    <row r="5191">
      <c r="A5191" s="2" t="n"/>
      <c r="B5191">
        <f>LOWER(TRIM(A5191))</f>
        <v/>
      </c>
      <c r="C5191">
        <f>IF(B5191="","",IFERROR(INDEX('Bad Patterns'!$A$2:$A$120,MATCH(1,INDEX(--ISNUMBER(SEARCH('Bad Patterns'!$A$2:$A$120,B5191)),0),0)),""))</f>
        <v/>
      </c>
      <c r="D5191">
        <f>IF(B5191="","",IF(C5191&lt;&gt;"","REMOVE","KEEP"))</f>
        <v/>
      </c>
      <c r="E5191">
        <f>IF(D5191&lt;&gt;"KEEP","",IF(RIGHT(B5191,10)="@gmail.com","Gmail",IF(OR(RIGHT(B5191,12)="@outlook.com",RIGHT(B5191,12)="@hotmail.com",RIGHT(B5191,9)="@live.com"),"Outlook","Domain")))</f>
        <v/>
      </c>
      <c r="F5191">
        <f>IF(B5191="","",IFERROR(RIGHT(B5191,LEN(B5191)-FIND("@",B5191)),""))</f>
        <v/>
      </c>
      <c r="G5191">
        <f>IF(D5191="KEEP",COUNTIF($D$2:D5191,"KEEP"),"")</f>
        <v/>
      </c>
      <c r="H5191">
        <f>IF(D5191="REMOVE",COUNTIF($D$2:D5191,"REMOVE"),"")</f>
        <v/>
      </c>
      <c r="I5191">
        <f>IF(E5191="Gmail",COUNTIF($E$2:E5191,"Gmail"),"")</f>
        <v/>
      </c>
      <c r="J5191">
        <f>IF(E5191="Outlook",COUNTIF($E$2:E5191,"Outlook"),"")</f>
        <v/>
      </c>
      <c r="K5191">
        <f>IF(E5191="Domain",COUNTIF($E$2:E5191,"Domain"),"")</f>
        <v/>
      </c>
    </row>
    <row r="5192">
      <c r="A5192" s="2" t="n"/>
      <c r="B5192">
        <f>LOWER(TRIM(A5192))</f>
        <v/>
      </c>
      <c r="C5192">
        <f>IF(B5192="","",IFERROR(INDEX('Bad Patterns'!$A$2:$A$120,MATCH(1,INDEX(--ISNUMBER(SEARCH('Bad Patterns'!$A$2:$A$120,B5192)),0),0)),""))</f>
        <v/>
      </c>
      <c r="D5192">
        <f>IF(B5192="","",IF(C5192&lt;&gt;"","REMOVE","KEEP"))</f>
        <v/>
      </c>
      <c r="E5192">
        <f>IF(D5192&lt;&gt;"KEEP","",IF(RIGHT(B5192,10)="@gmail.com","Gmail",IF(OR(RIGHT(B5192,12)="@outlook.com",RIGHT(B5192,12)="@hotmail.com",RIGHT(B5192,9)="@live.com"),"Outlook","Domain")))</f>
        <v/>
      </c>
      <c r="F5192">
        <f>IF(B5192="","",IFERROR(RIGHT(B5192,LEN(B5192)-FIND("@",B5192)),""))</f>
        <v/>
      </c>
      <c r="G5192">
        <f>IF(D5192="KEEP",COUNTIF($D$2:D5192,"KEEP"),"")</f>
        <v/>
      </c>
      <c r="H5192">
        <f>IF(D5192="REMOVE",COUNTIF($D$2:D5192,"REMOVE"),"")</f>
        <v/>
      </c>
      <c r="I5192">
        <f>IF(E5192="Gmail",COUNTIF($E$2:E5192,"Gmail"),"")</f>
        <v/>
      </c>
      <c r="J5192">
        <f>IF(E5192="Outlook",COUNTIF($E$2:E5192,"Outlook"),"")</f>
        <v/>
      </c>
      <c r="K5192">
        <f>IF(E5192="Domain",COUNTIF($E$2:E5192,"Domain"),"")</f>
        <v/>
      </c>
    </row>
    <row r="5193">
      <c r="A5193" s="2" t="n"/>
      <c r="B5193">
        <f>LOWER(TRIM(A5193))</f>
        <v/>
      </c>
      <c r="C5193">
        <f>IF(B5193="","",IFERROR(INDEX('Bad Patterns'!$A$2:$A$120,MATCH(1,INDEX(--ISNUMBER(SEARCH('Bad Patterns'!$A$2:$A$120,B5193)),0),0)),""))</f>
        <v/>
      </c>
      <c r="D5193">
        <f>IF(B5193="","",IF(C5193&lt;&gt;"","REMOVE","KEEP"))</f>
        <v/>
      </c>
      <c r="E5193">
        <f>IF(D5193&lt;&gt;"KEEP","",IF(RIGHT(B5193,10)="@gmail.com","Gmail",IF(OR(RIGHT(B5193,12)="@outlook.com",RIGHT(B5193,12)="@hotmail.com",RIGHT(B5193,9)="@live.com"),"Outlook","Domain")))</f>
        <v/>
      </c>
      <c r="F5193">
        <f>IF(B5193="","",IFERROR(RIGHT(B5193,LEN(B5193)-FIND("@",B5193)),""))</f>
        <v/>
      </c>
      <c r="G5193">
        <f>IF(D5193="KEEP",COUNTIF($D$2:D5193,"KEEP"),"")</f>
        <v/>
      </c>
      <c r="H5193">
        <f>IF(D5193="REMOVE",COUNTIF($D$2:D5193,"REMOVE"),"")</f>
        <v/>
      </c>
      <c r="I5193">
        <f>IF(E5193="Gmail",COUNTIF($E$2:E5193,"Gmail"),"")</f>
        <v/>
      </c>
      <c r="J5193">
        <f>IF(E5193="Outlook",COUNTIF($E$2:E5193,"Outlook"),"")</f>
        <v/>
      </c>
      <c r="K5193">
        <f>IF(E5193="Domain",COUNTIF($E$2:E5193,"Domain"),"")</f>
        <v/>
      </c>
    </row>
    <row r="5194">
      <c r="A5194" s="2" t="n"/>
      <c r="B5194">
        <f>LOWER(TRIM(A5194))</f>
        <v/>
      </c>
      <c r="C5194">
        <f>IF(B5194="","",IFERROR(INDEX('Bad Patterns'!$A$2:$A$120,MATCH(1,INDEX(--ISNUMBER(SEARCH('Bad Patterns'!$A$2:$A$120,B5194)),0),0)),""))</f>
        <v/>
      </c>
      <c r="D5194">
        <f>IF(B5194="","",IF(C5194&lt;&gt;"","REMOVE","KEEP"))</f>
        <v/>
      </c>
      <c r="E5194">
        <f>IF(D5194&lt;&gt;"KEEP","",IF(RIGHT(B5194,10)="@gmail.com","Gmail",IF(OR(RIGHT(B5194,12)="@outlook.com",RIGHT(B5194,12)="@hotmail.com",RIGHT(B5194,9)="@live.com"),"Outlook","Domain")))</f>
        <v/>
      </c>
      <c r="F5194">
        <f>IF(B5194="","",IFERROR(RIGHT(B5194,LEN(B5194)-FIND("@",B5194)),""))</f>
        <v/>
      </c>
      <c r="G5194">
        <f>IF(D5194="KEEP",COUNTIF($D$2:D5194,"KEEP"),"")</f>
        <v/>
      </c>
      <c r="H5194">
        <f>IF(D5194="REMOVE",COUNTIF($D$2:D5194,"REMOVE"),"")</f>
        <v/>
      </c>
      <c r="I5194">
        <f>IF(E5194="Gmail",COUNTIF($E$2:E5194,"Gmail"),"")</f>
        <v/>
      </c>
      <c r="J5194">
        <f>IF(E5194="Outlook",COUNTIF($E$2:E5194,"Outlook"),"")</f>
        <v/>
      </c>
      <c r="K5194">
        <f>IF(E5194="Domain",COUNTIF($E$2:E5194,"Domain"),"")</f>
        <v/>
      </c>
    </row>
    <row r="5195">
      <c r="A5195" s="2" t="n"/>
      <c r="B5195">
        <f>LOWER(TRIM(A5195))</f>
        <v/>
      </c>
      <c r="C5195">
        <f>IF(B5195="","",IFERROR(INDEX('Bad Patterns'!$A$2:$A$120,MATCH(1,INDEX(--ISNUMBER(SEARCH('Bad Patterns'!$A$2:$A$120,B5195)),0),0)),""))</f>
        <v/>
      </c>
      <c r="D5195">
        <f>IF(B5195="","",IF(C5195&lt;&gt;"","REMOVE","KEEP"))</f>
        <v/>
      </c>
      <c r="E5195">
        <f>IF(D5195&lt;&gt;"KEEP","",IF(RIGHT(B5195,10)="@gmail.com","Gmail",IF(OR(RIGHT(B5195,12)="@outlook.com",RIGHT(B5195,12)="@hotmail.com",RIGHT(B5195,9)="@live.com"),"Outlook","Domain")))</f>
        <v/>
      </c>
      <c r="F5195">
        <f>IF(B5195="","",IFERROR(RIGHT(B5195,LEN(B5195)-FIND("@",B5195)),""))</f>
        <v/>
      </c>
      <c r="G5195">
        <f>IF(D5195="KEEP",COUNTIF($D$2:D5195,"KEEP"),"")</f>
        <v/>
      </c>
      <c r="H5195">
        <f>IF(D5195="REMOVE",COUNTIF($D$2:D5195,"REMOVE"),"")</f>
        <v/>
      </c>
      <c r="I5195">
        <f>IF(E5195="Gmail",COUNTIF($E$2:E5195,"Gmail"),"")</f>
        <v/>
      </c>
      <c r="J5195">
        <f>IF(E5195="Outlook",COUNTIF($E$2:E5195,"Outlook"),"")</f>
        <v/>
      </c>
      <c r="K5195">
        <f>IF(E5195="Domain",COUNTIF($E$2:E5195,"Domain"),"")</f>
        <v/>
      </c>
    </row>
    <row r="5196">
      <c r="A5196" s="2" t="n"/>
      <c r="B5196">
        <f>LOWER(TRIM(A5196))</f>
        <v/>
      </c>
      <c r="C5196">
        <f>IF(B5196="","",IFERROR(INDEX('Bad Patterns'!$A$2:$A$120,MATCH(1,INDEX(--ISNUMBER(SEARCH('Bad Patterns'!$A$2:$A$120,B5196)),0),0)),""))</f>
        <v/>
      </c>
      <c r="D5196">
        <f>IF(B5196="","",IF(C5196&lt;&gt;"","REMOVE","KEEP"))</f>
        <v/>
      </c>
      <c r="E5196">
        <f>IF(D5196&lt;&gt;"KEEP","",IF(RIGHT(B5196,10)="@gmail.com","Gmail",IF(OR(RIGHT(B5196,12)="@outlook.com",RIGHT(B5196,12)="@hotmail.com",RIGHT(B5196,9)="@live.com"),"Outlook","Domain")))</f>
        <v/>
      </c>
      <c r="F5196">
        <f>IF(B5196="","",IFERROR(RIGHT(B5196,LEN(B5196)-FIND("@",B5196)),""))</f>
        <v/>
      </c>
      <c r="G5196">
        <f>IF(D5196="KEEP",COUNTIF($D$2:D5196,"KEEP"),"")</f>
        <v/>
      </c>
      <c r="H5196">
        <f>IF(D5196="REMOVE",COUNTIF($D$2:D5196,"REMOVE"),"")</f>
        <v/>
      </c>
      <c r="I5196">
        <f>IF(E5196="Gmail",COUNTIF($E$2:E5196,"Gmail"),"")</f>
        <v/>
      </c>
      <c r="J5196">
        <f>IF(E5196="Outlook",COUNTIF($E$2:E5196,"Outlook"),"")</f>
        <v/>
      </c>
      <c r="K5196">
        <f>IF(E5196="Domain",COUNTIF($E$2:E5196,"Domain"),"")</f>
        <v/>
      </c>
    </row>
    <row r="5197">
      <c r="A5197" s="2" t="n"/>
      <c r="B5197">
        <f>LOWER(TRIM(A5197))</f>
        <v/>
      </c>
      <c r="C5197">
        <f>IF(B5197="","",IFERROR(INDEX('Bad Patterns'!$A$2:$A$120,MATCH(1,INDEX(--ISNUMBER(SEARCH('Bad Patterns'!$A$2:$A$120,B5197)),0),0)),""))</f>
        <v/>
      </c>
      <c r="D5197">
        <f>IF(B5197="","",IF(C5197&lt;&gt;"","REMOVE","KEEP"))</f>
        <v/>
      </c>
      <c r="E5197">
        <f>IF(D5197&lt;&gt;"KEEP","",IF(RIGHT(B5197,10)="@gmail.com","Gmail",IF(OR(RIGHT(B5197,12)="@outlook.com",RIGHT(B5197,12)="@hotmail.com",RIGHT(B5197,9)="@live.com"),"Outlook","Domain")))</f>
        <v/>
      </c>
      <c r="F5197">
        <f>IF(B5197="","",IFERROR(RIGHT(B5197,LEN(B5197)-FIND("@",B5197)),""))</f>
        <v/>
      </c>
      <c r="G5197">
        <f>IF(D5197="KEEP",COUNTIF($D$2:D5197,"KEEP"),"")</f>
        <v/>
      </c>
      <c r="H5197">
        <f>IF(D5197="REMOVE",COUNTIF($D$2:D5197,"REMOVE"),"")</f>
        <v/>
      </c>
      <c r="I5197">
        <f>IF(E5197="Gmail",COUNTIF($E$2:E5197,"Gmail"),"")</f>
        <v/>
      </c>
      <c r="J5197">
        <f>IF(E5197="Outlook",COUNTIF($E$2:E5197,"Outlook"),"")</f>
        <v/>
      </c>
      <c r="K5197">
        <f>IF(E5197="Domain",COUNTIF($E$2:E5197,"Domain"),"")</f>
        <v/>
      </c>
    </row>
    <row r="5198">
      <c r="A5198" s="2" t="n"/>
      <c r="B5198">
        <f>LOWER(TRIM(A5198))</f>
        <v/>
      </c>
      <c r="C5198">
        <f>IF(B5198="","",IFERROR(INDEX('Bad Patterns'!$A$2:$A$120,MATCH(1,INDEX(--ISNUMBER(SEARCH('Bad Patterns'!$A$2:$A$120,B5198)),0),0)),""))</f>
        <v/>
      </c>
      <c r="D5198">
        <f>IF(B5198="","",IF(C5198&lt;&gt;"","REMOVE","KEEP"))</f>
        <v/>
      </c>
      <c r="E5198">
        <f>IF(D5198&lt;&gt;"KEEP","",IF(RIGHT(B5198,10)="@gmail.com","Gmail",IF(OR(RIGHT(B5198,12)="@outlook.com",RIGHT(B5198,12)="@hotmail.com",RIGHT(B5198,9)="@live.com"),"Outlook","Domain")))</f>
        <v/>
      </c>
      <c r="F5198">
        <f>IF(B5198="","",IFERROR(RIGHT(B5198,LEN(B5198)-FIND("@",B5198)),""))</f>
        <v/>
      </c>
      <c r="G5198">
        <f>IF(D5198="KEEP",COUNTIF($D$2:D5198,"KEEP"),"")</f>
        <v/>
      </c>
      <c r="H5198">
        <f>IF(D5198="REMOVE",COUNTIF($D$2:D5198,"REMOVE"),"")</f>
        <v/>
      </c>
      <c r="I5198">
        <f>IF(E5198="Gmail",COUNTIF($E$2:E5198,"Gmail"),"")</f>
        <v/>
      </c>
      <c r="J5198">
        <f>IF(E5198="Outlook",COUNTIF($E$2:E5198,"Outlook"),"")</f>
        <v/>
      </c>
      <c r="K5198">
        <f>IF(E5198="Domain",COUNTIF($E$2:E5198,"Domain"),"")</f>
        <v/>
      </c>
    </row>
    <row r="5199">
      <c r="A5199" s="2" t="n"/>
      <c r="B5199">
        <f>LOWER(TRIM(A5199))</f>
        <v/>
      </c>
      <c r="C5199">
        <f>IF(B5199="","",IFERROR(INDEX('Bad Patterns'!$A$2:$A$120,MATCH(1,INDEX(--ISNUMBER(SEARCH('Bad Patterns'!$A$2:$A$120,B5199)),0),0)),""))</f>
        <v/>
      </c>
      <c r="D5199">
        <f>IF(B5199="","",IF(C5199&lt;&gt;"","REMOVE","KEEP"))</f>
        <v/>
      </c>
      <c r="E5199">
        <f>IF(D5199&lt;&gt;"KEEP","",IF(RIGHT(B5199,10)="@gmail.com","Gmail",IF(OR(RIGHT(B5199,12)="@outlook.com",RIGHT(B5199,12)="@hotmail.com",RIGHT(B5199,9)="@live.com"),"Outlook","Domain")))</f>
        <v/>
      </c>
      <c r="F5199">
        <f>IF(B5199="","",IFERROR(RIGHT(B5199,LEN(B5199)-FIND("@",B5199)),""))</f>
        <v/>
      </c>
      <c r="G5199">
        <f>IF(D5199="KEEP",COUNTIF($D$2:D5199,"KEEP"),"")</f>
        <v/>
      </c>
      <c r="H5199">
        <f>IF(D5199="REMOVE",COUNTIF($D$2:D5199,"REMOVE"),"")</f>
        <v/>
      </c>
      <c r="I5199">
        <f>IF(E5199="Gmail",COUNTIF($E$2:E5199,"Gmail"),"")</f>
        <v/>
      </c>
      <c r="J5199">
        <f>IF(E5199="Outlook",COUNTIF($E$2:E5199,"Outlook"),"")</f>
        <v/>
      </c>
      <c r="K5199">
        <f>IF(E5199="Domain",COUNTIF($E$2:E5199,"Domain"),"")</f>
        <v/>
      </c>
    </row>
    <row r="5200">
      <c r="A5200" s="2" t="n"/>
      <c r="B5200">
        <f>LOWER(TRIM(A5200))</f>
        <v/>
      </c>
      <c r="C5200">
        <f>IF(B5200="","",IFERROR(INDEX('Bad Patterns'!$A$2:$A$120,MATCH(1,INDEX(--ISNUMBER(SEARCH('Bad Patterns'!$A$2:$A$120,B5200)),0),0)),""))</f>
        <v/>
      </c>
      <c r="D5200">
        <f>IF(B5200="","",IF(C5200&lt;&gt;"","REMOVE","KEEP"))</f>
        <v/>
      </c>
      <c r="E5200">
        <f>IF(D5200&lt;&gt;"KEEP","",IF(RIGHT(B5200,10)="@gmail.com","Gmail",IF(OR(RIGHT(B5200,12)="@outlook.com",RIGHT(B5200,12)="@hotmail.com",RIGHT(B5200,9)="@live.com"),"Outlook","Domain")))</f>
        <v/>
      </c>
      <c r="F5200">
        <f>IF(B5200="","",IFERROR(RIGHT(B5200,LEN(B5200)-FIND("@",B5200)),""))</f>
        <v/>
      </c>
      <c r="G5200">
        <f>IF(D5200="KEEP",COUNTIF($D$2:D5200,"KEEP"),"")</f>
        <v/>
      </c>
      <c r="H5200">
        <f>IF(D5200="REMOVE",COUNTIF($D$2:D5200,"REMOVE"),"")</f>
        <v/>
      </c>
      <c r="I5200">
        <f>IF(E5200="Gmail",COUNTIF($E$2:E5200,"Gmail"),"")</f>
        <v/>
      </c>
      <c r="J5200">
        <f>IF(E5200="Outlook",COUNTIF($E$2:E5200,"Outlook"),"")</f>
        <v/>
      </c>
      <c r="K5200">
        <f>IF(E5200="Domain",COUNTIF($E$2:E5200,"Domain"),"")</f>
        <v/>
      </c>
    </row>
    <row r="5201">
      <c r="A5201" s="2" t="n"/>
      <c r="B5201">
        <f>LOWER(TRIM(A5201))</f>
        <v/>
      </c>
      <c r="C5201">
        <f>IF(B5201="","",IFERROR(INDEX('Bad Patterns'!$A$2:$A$120,MATCH(1,INDEX(--ISNUMBER(SEARCH('Bad Patterns'!$A$2:$A$120,B5201)),0),0)),""))</f>
        <v/>
      </c>
      <c r="D5201">
        <f>IF(B5201="","",IF(C5201&lt;&gt;"","REMOVE","KEEP"))</f>
        <v/>
      </c>
      <c r="E5201">
        <f>IF(D5201&lt;&gt;"KEEP","",IF(RIGHT(B5201,10)="@gmail.com","Gmail",IF(OR(RIGHT(B5201,12)="@outlook.com",RIGHT(B5201,12)="@hotmail.com",RIGHT(B5201,9)="@live.com"),"Outlook","Domain")))</f>
        <v/>
      </c>
      <c r="F5201">
        <f>IF(B5201="","",IFERROR(RIGHT(B5201,LEN(B5201)-FIND("@",B5201)),""))</f>
        <v/>
      </c>
      <c r="G5201">
        <f>IF(D5201="KEEP",COUNTIF($D$2:D5201,"KEEP"),"")</f>
        <v/>
      </c>
      <c r="H5201">
        <f>IF(D5201="REMOVE",COUNTIF($D$2:D5201,"REMOVE"),"")</f>
        <v/>
      </c>
      <c r="I5201">
        <f>IF(E5201="Gmail",COUNTIF($E$2:E5201,"Gmail"),"")</f>
        <v/>
      </c>
      <c r="J5201">
        <f>IF(E5201="Outlook",COUNTIF($E$2:E5201,"Outlook"),"")</f>
        <v/>
      </c>
      <c r="K5201">
        <f>IF(E5201="Domain",COUNTIF($E$2:E5201,"Domain"),"")</f>
        <v/>
      </c>
    </row>
    <row r="5202">
      <c r="A5202" s="2" t="n"/>
      <c r="B5202">
        <f>LOWER(TRIM(A5202))</f>
        <v/>
      </c>
      <c r="C5202">
        <f>IF(B5202="","",IFERROR(INDEX('Bad Patterns'!$A$2:$A$120,MATCH(1,INDEX(--ISNUMBER(SEARCH('Bad Patterns'!$A$2:$A$120,B5202)),0),0)),""))</f>
        <v/>
      </c>
      <c r="D5202">
        <f>IF(B5202="","",IF(C5202&lt;&gt;"","REMOVE","KEEP"))</f>
        <v/>
      </c>
      <c r="E5202">
        <f>IF(D5202&lt;&gt;"KEEP","",IF(RIGHT(B5202,10)="@gmail.com","Gmail",IF(OR(RIGHT(B5202,12)="@outlook.com",RIGHT(B5202,12)="@hotmail.com",RIGHT(B5202,9)="@live.com"),"Outlook","Domain")))</f>
        <v/>
      </c>
      <c r="F5202">
        <f>IF(B5202="","",IFERROR(RIGHT(B5202,LEN(B5202)-FIND("@",B5202)),""))</f>
        <v/>
      </c>
      <c r="G5202">
        <f>IF(D5202="KEEP",COUNTIF($D$2:D5202,"KEEP"),"")</f>
        <v/>
      </c>
      <c r="H5202">
        <f>IF(D5202="REMOVE",COUNTIF($D$2:D5202,"REMOVE"),"")</f>
        <v/>
      </c>
      <c r="I5202">
        <f>IF(E5202="Gmail",COUNTIF($E$2:E5202,"Gmail"),"")</f>
        <v/>
      </c>
      <c r="J5202">
        <f>IF(E5202="Outlook",COUNTIF($E$2:E5202,"Outlook"),"")</f>
        <v/>
      </c>
      <c r="K5202">
        <f>IF(E5202="Domain",COUNTIF($E$2:E5202,"Domain"),"")</f>
        <v/>
      </c>
    </row>
    <row r="5203">
      <c r="A5203" s="2" t="n"/>
      <c r="B5203">
        <f>LOWER(TRIM(A5203))</f>
        <v/>
      </c>
      <c r="C5203">
        <f>IF(B5203="","",IFERROR(INDEX('Bad Patterns'!$A$2:$A$120,MATCH(1,INDEX(--ISNUMBER(SEARCH('Bad Patterns'!$A$2:$A$120,B5203)),0),0)),""))</f>
        <v/>
      </c>
      <c r="D5203">
        <f>IF(B5203="","",IF(C5203&lt;&gt;"","REMOVE","KEEP"))</f>
        <v/>
      </c>
      <c r="E5203">
        <f>IF(D5203&lt;&gt;"KEEP","",IF(RIGHT(B5203,10)="@gmail.com","Gmail",IF(OR(RIGHT(B5203,12)="@outlook.com",RIGHT(B5203,12)="@hotmail.com",RIGHT(B5203,9)="@live.com"),"Outlook","Domain")))</f>
        <v/>
      </c>
      <c r="F5203">
        <f>IF(B5203="","",IFERROR(RIGHT(B5203,LEN(B5203)-FIND("@",B5203)),""))</f>
        <v/>
      </c>
      <c r="G5203">
        <f>IF(D5203="KEEP",COUNTIF($D$2:D5203,"KEEP"),"")</f>
        <v/>
      </c>
      <c r="H5203">
        <f>IF(D5203="REMOVE",COUNTIF($D$2:D5203,"REMOVE"),"")</f>
        <v/>
      </c>
      <c r="I5203">
        <f>IF(E5203="Gmail",COUNTIF($E$2:E5203,"Gmail"),"")</f>
        <v/>
      </c>
      <c r="J5203">
        <f>IF(E5203="Outlook",COUNTIF($E$2:E5203,"Outlook"),"")</f>
        <v/>
      </c>
      <c r="K5203">
        <f>IF(E5203="Domain",COUNTIF($E$2:E5203,"Domain"),"")</f>
        <v/>
      </c>
    </row>
    <row r="5204">
      <c r="A5204" s="2" t="n"/>
      <c r="B5204">
        <f>LOWER(TRIM(A5204))</f>
        <v/>
      </c>
      <c r="C5204">
        <f>IF(B5204="","",IFERROR(INDEX('Bad Patterns'!$A$2:$A$120,MATCH(1,INDEX(--ISNUMBER(SEARCH('Bad Patterns'!$A$2:$A$120,B5204)),0),0)),""))</f>
        <v/>
      </c>
      <c r="D5204">
        <f>IF(B5204="","",IF(C5204&lt;&gt;"","REMOVE","KEEP"))</f>
        <v/>
      </c>
      <c r="E5204">
        <f>IF(D5204&lt;&gt;"KEEP","",IF(RIGHT(B5204,10)="@gmail.com","Gmail",IF(OR(RIGHT(B5204,12)="@outlook.com",RIGHT(B5204,12)="@hotmail.com",RIGHT(B5204,9)="@live.com"),"Outlook","Domain")))</f>
        <v/>
      </c>
      <c r="F5204">
        <f>IF(B5204="","",IFERROR(RIGHT(B5204,LEN(B5204)-FIND("@",B5204)),""))</f>
        <v/>
      </c>
      <c r="G5204">
        <f>IF(D5204="KEEP",COUNTIF($D$2:D5204,"KEEP"),"")</f>
        <v/>
      </c>
      <c r="H5204">
        <f>IF(D5204="REMOVE",COUNTIF($D$2:D5204,"REMOVE"),"")</f>
        <v/>
      </c>
      <c r="I5204">
        <f>IF(E5204="Gmail",COUNTIF($E$2:E5204,"Gmail"),"")</f>
        <v/>
      </c>
      <c r="J5204">
        <f>IF(E5204="Outlook",COUNTIF($E$2:E5204,"Outlook"),"")</f>
        <v/>
      </c>
      <c r="K5204">
        <f>IF(E5204="Domain",COUNTIF($E$2:E5204,"Domain"),"")</f>
        <v/>
      </c>
    </row>
    <row r="5205">
      <c r="A5205" s="2" t="n"/>
      <c r="B5205">
        <f>LOWER(TRIM(A5205))</f>
        <v/>
      </c>
      <c r="C5205">
        <f>IF(B5205="","",IFERROR(INDEX('Bad Patterns'!$A$2:$A$120,MATCH(1,INDEX(--ISNUMBER(SEARCH('Bad Patterns'!$A$2:$A$120,B5205)),0),0)),""))</f>
        <v/>
      </c>
      <c r="D5205">
        <f>IF(B5205="","",IF(C5205&lt;&gt;"","REMOVE","KEEP"))</f>
        <v/>
      </c>
      <c r="E5205">
        <f>IF(D5205&lt;&gt;"KEEP","",IF(RIGHT(B5205,10)="@gmail.com","Gmail",IF(OR(RIGHT(B5205,12)="@outlook.com",RIGHT(B5205,12)="@hotmail.com",RIGHT(B5205,9)="@live.com"),"Outlook","Domain")))</f>
        <v/>
      </c>
      <c r="F5205">
        <f>IF(B5205="","",IFERROR(RIGHT(B5205,LEN(B5205)-FIND("@",B5205)),""))</f>
        <v/>
      </c>
      <c r="G5205">
        <f>IF(D5205="KEEP",COUNTIF($D$2:D5205,"KEEP"),"")</f>
        <v/>
      </c>
      <c r="H5205">
        <f>IF(D5205="REMOVE",COUNTIF($D$2:D5205,"REMOVE"),"")</f>
        <v/>
      </c>
      <c r="I5205">
        <f>IF(E5205="Gmail",COUNTIF($E$2:E5205,"Gmail"),"")</f>
        <v/>
      </c>
      <c r="J5205">
        <f>IF(E5205="Outlook",COUNTIF($E$2:E5205,"Outlook"),"")</f>
        <v/>
      </c>
      <c r="K5205">
        <f>IF(E5205="Domain",COUNTIF($E$2:E5205,"Domain"),"")</f>
        <v/>
      </c>
    </row>
    <row r="5206">
      <c r="A5206" s="2" t="n"/>
      <c r="B5206">
        <f>LOWER(TRIM(A5206))</f>
        <v/>
      </c>
      <c r="C5206">
        <f>IF(B5206="","",IFERROR(INDEX('Bad Patterns'!$A$2:$A$120,MATCH(1,INDEX(--ISNUMBER(SEARCH('Bad Patterns'!$A$2:$A$120,B5206)),0),0)),""))</f>
        <v/>
      </c>
      <c r="D5206">
        <f>IF(B5206="","",IF(C5206&lt;&gt;"","REMOVE","KEEP"))</f>
        <v/>
      </c>
      <c r="E5206">
        <f>IF(D5206&lt;&gt;"KEEP","",IF(RIGHT(B5206,10)="@gmail.com","Gmail",IF(OR(RIGHT(B5206,12)="@outlook.com",RIGHT(B5206,12)="@hotmail.com",RIGHT(B5206,9)="@live.com"),"Outlook","Domain")))</f>
        <v/>
      </c>
      <c r="F5206">
        <f>IF(B5206="","",IFERROR(RIGHT(B5206,LEN(B5206)-FIND("@",B5206)),""))</f>
        <v/>
      </c>
      <c r="G5206">
        <f>IF(D5206="KEEP",COUNTIF($D$2:D5206,"KEEP"),"")</f>
        <v/>
      </c>
      <c r="H5206">
        <f>IF(D5206="REMOVE",COUNTIF($D$2:D5206,"REMOVE"),"")</f>
        <v/>
      </c>
      <c r="I5206">
        <f>IF(E5206="Gmail",COUNTIF($E$2:E5206,"Gmail"),"")</f>
        <v/>
      </c>
      <c r="J5206">
        <f>IF(E5206="Outlook",COUNTIF($E$2:E5206,"Outlook"),"")</f>
        <v/>
      </c>
      <c r="K5206">
        <f>IF(E5206="Domain",COUNTIF($E$2:E5206,"Domain"),"")</f>
        <v/>
      </c>
    </row>
    <row r="5207">
      <c r="A5207" s="2" t="n"/>
      <c r="B5207">
        <f>LOWER(TRIM(A5207))</f>
        <v/>
      </c>
      <c r="C5207">
        <f>IF(B5207="","",IFERROR(INDEX('Bad Patterns'!$A$2:$A$120,MATCH(1,INDEX(--ISNUMBER(SEARCH('Bad Patterns'!$A$2:$A$120,B5207)),0),0)),""))</f>
        <v/>
      </c>
      <c r="D5207">
        <f>IF(B5207="","",IF(C5207&lt;&gt;"","REMOVE","KEEP"))</f>
        <v/>
      </c>
      <c r="E5207">
        <f>IF(D5207&lt;&gt;"KEEP","",IF(RIGHT(B5207,10)="@gmail.com","Gmail",IF(OR(RIGHT(B5207,12)="@outlook.com",RIGHT(B5207,12)="@hotmail.com",RIGHT(B5207,9)="@live.com"),"Outlook","Domain")))</f>
        <v/>
      </c>
      <c r="F5207">
        <f>IF(B5207="","",IFERROR(RIGHT(B5207,LEN(B5207)-FIND("@",B5207)),""))</f>
        <v/>
      </c>
      <c r="G5207">
        <f>IF(D5207="KEEP",COUNTIF($D$2:D5207,"KEEP"),"")</f>
        <v/>
      </c>
      <c r="H5207">
        <f>IF(D5207="REMOVE",COUNTIF($D$2:D5207,"REMOVE"),"")</f>
        <v/>
      </c>
      <c r="I5207">
        <f>IF(E5207="Gmail",COUNTIF($E$2:E5207,"Gmail"),"")</f>
        <v/>
      </c>
      <c r="J5207">
        <f>IF(E5207="Outlook",COUNTIF($E$2:E5207,"Outlook"),"")</f>
        <v/>
      </c>
      <c r="K5207">
        <f>IF(E5207="Domain",COUNTIF($E$2:E5207,"Domain"),"")</f>
        <v/>
      </c>
    </row>
    <row r="5208">
      <c r="A5208" s="2" t="n"/>
      <c r="B5208">
        <f>LOWER(TRIM(A5208))</f>
        <v/>
      </c>
      <c r="C5208">
        <f>IF(B5208="","",IFERROR(INDEX('Bad Patterns'!$A$2:$A$120,MATCH(1,INDEX(--ISNUMBER(SEARCH('Bad Patterns'!$A$2:$A$120,B5208)),0),0)),""))</f>
        <v/>
      </c>
      <c r="D5208">
        <f>IF(B5208="","",IF(C5208&lt;&gt;"","REMOVE","KEEP"))</f>
        <v/>
      </c>
      <c r="E5208">
        <f>IF(D5208&lt;&gt;"KEEP","",IF(RIGHT(B5208,10)="@gmail.com","Gmail",IF(OR(RIGHT(B5208,12)="@outlook.com",RIGHT(B5208,12)="@hotmail.com",RIGHT(B5208,9)="@live.com"),"Outlook","Domain")))</f>
        <v/>
      </c>
      <c r="F5208">
        <f>IF(B5208="","",IFERROR(RIGHT(B5208,LEN(B5208)-FIND("@",B5208)),""))</f>
        <v/>
      </c>
      <c r="G5208">
        <f>IF(D5208="KEEP",COUNTIF($D$2:D5208,"KEEP"),"")</f>
        <v/>
      </c>
      <c r="H5208">
        <f>IF(D5208="REMOVE",COUNTIF($D$2:D5208,"REMOVE"),"")</f>
        <v/>
      </c>
      <c r="I5208">
        <f>IF(E5208="Gmail",COUNTIF($E$2:E5208,"Gmail"),"")</f>
        <v/>
      </c>
      <c r="J5208">
        <f>IF(E5208="Outlook",COUNTIF($E$2:E5208,"Outlook"),"")</f>
        <v/>
      </c>
      <c r="K5208">
        <f>IF(E5208="Domain",COUNTIF($E$2:E5208,"Domain"),"")</f>
        <v/>
      </c>
    </row>
    <row r="5209">
      <c r="A5209" s="2" t="n"/>
      <c r="B5209">
        <f>LOWER(TRIM(A5209))</f>
        <v/>
      </c>
      <c r="C5209">
        <f>IF(B5209="","",IFERROR(INDEX('Bad Patterns'!$A$2:$A$120,MATCH(1,INDEX(--ISNUMBER(SEARCH('Bad Patterns'!$A$2:$A$120,B5209)),0),0)),""))</f>
        <v/>
      </c>
      <c r="D5209">
        <f>IF(B5209="","",IF(C5209&lt;&gt;"","REMOVE","KEEP"))</f>
        <v/>
      </c>
      <c r="E5209">
        <f>IF(D5209&lt;&gt;"KEEP","",IF(RIGHT(B5209,10)="@gmail.com","Gmail",IF(OR(RIGHT(B5209,12)="@outlook.com",RIGHT(B5209,12)="@hotmail.com",RIGHT(B5209,9)="@live.com"),"Outlook","Domain")))</f>
        <v/>
      </c>
      <c r="F5209">
        <f>IF(B5209="","",IFERROR(RIGHT(B5209,LEN(B5209)-FIND("@",B5209)),""))</f>
        <v/>
      </c>
      <c r="G5209">
        <f>IF(D5209="KEEP",COUNTIF($D$2:D5209,"KEEP"),"")</f>
        <v/>
      </c>
      <c r="H5209">
        <f>IF(D5209="REMOVE",COUNTIF($D$2:D5209,"REMOVE"),"")</f>
        <v/>
      </c>
      <c r="I5209">
        <f>IF(E5209="Gmail",COUNTIF($E$2:E5209,"Gmail"),"")</f>
        <v/>
      </c>
      <c r="J5209">
        <f>IF(E5209="Outlook",COUNTIF($E$2:E5209,"Outlook"),"")</f>
        <v/>
      </c>
      <c r="K5209">
        <f>IF(E5209="Domain",COUNTIF($E$2:E5209,"Domain"),"")</f>
        <v/>
      </c>
    </row>
    <row r="5210">
      <c r="A5210" s="2" t="n"/>
      <c r="B5210">
        <f>LOWER(TRIM(A5210))</f>
        <v/>
      </c>
      <c r="C5210">
        <f>IF(B5210="","",IFERROR(INDEX('Bad Patterns'!$A$2:$A$120,MATCH(1,INDEX(--ISNUMBER(SEARCH('Bad Patterns'!$A$2:$A$120,B5210)),0),0)),""))</f>
        <v/>
      </c>
      <c r="D5210">
        <f>IF(B5210="","",IF(C5210&lt;&gt;"","REMOVE","KEEP"))</f>
        <v/>
      </c>
      <c r="E5210">
        <f>IF(D5210&lt;&gt;"KEEP","",IF(RIGHT(B5210,10)="@gmail.com","Gmail",IF(OR(RIGHT(B5210,12)="@outlook.com",RIGHT(B5210,12)="@hotmail.com",RIGHT(B5210,9)="@live.com"),"Outlook","Domain")))</f>
        <v/>
      </c>
      <c r="F5210">
        <f>IF(B5210="","",IFERROR(RIGHT(B5210,LEN(B5210)-FIND("@",B5210)),""))</f>
        <v/>
      </c>
      <c r="G5210">
        <f>IF(D5210="KEEP",COUNTIF($D$2:D5210,"KEEP"),"")</f>
        <v/>
      </c>
      <c r="H5210">
        <f>IF(D5210="REMOVE",COUNTIF($D$2:D5210,"REMOVE"),"")</f>
        <v/>
      </c>
      <c r="I5210">
        <f>IF(E5210="Gmail",COUNTIF($E$2:E5210,"Gmail"),"")</f>
        <v/>
      </c>
      <c r="J5210">
        <f>IF(E5210="Outlook",COUNTIF($E$2:E5210,"Outlook"),"")</f>
        <v/>
      </c>
      <c r="K5210">
        <f>IF(E5210="Domain",COUNTIF($E$2:E5210,"Domain"),"")</f>
        <v/>
      </c>
    </row>
    <row r="5211">
      <c r="A5211" s="2" t="n"/>
      <c r="B5211">
        <f>LOWER(TRIM(A5211))</f>
        <v/>
      </c>
      <c r="C5211">
        <f>IF(B5211="","",IFERROR(INDEX('Bad Patterns'!$A$2:$A$120,MATCH(1,INDEX(--ISNUMBER(SEARCH('Bad Patterns'!$A$2:$A$120,B5211)),0),0)),""))</f>
        <v/>
      </c>
      <c r="D5211">
        <f>IF(B5211="","",IF(C5211&lt;&gt;"","REMOVE","KEEP"))</f>
        <v/>
      </c>
      <c r="E5211">
        <f>IF(D5211&lt;&gt;"KEEP","",IF(RIGHT(B5211,10)="@gmail.com","Gmail",IF(OR(RIGHT(B5211,12)="@outlook.com",RIGHT(B5211,12)="@hotmail.com",RIGHT(B5211,9)="@live.com"),"Outlook","Domain")))</f>
        <v/>
      </c>
      <c r="F5211">
        <f>IF(B5211="","",IFERROR(RIGHT(B5211,LEN(B5211)-FIND("@",B5211)),""))</f>
        <v/>
      </c>
      <c r="G5211">
        <f>IF(D5211="KEEP",COUNTIF($D$2:D5211,"KEEP"),"")</f>
        <v/>
      </c>
      <c r="H5211">
        <f>IF(D5211="REMOVE",COUNTIF($D$2:D5211,"REMOVE"),"")</f>
        <v/>
      </c>
      <c r="I5211">
        <f>IF(E5211="Gmail",COUNTIF($E$2:E5211,"Gmail"),"")</f>
        <v/>
      </c>
      <c r="J5211">
        <f>IF(E5211="Outlook",COUNTIF($E$2:E5211,"Outlook"),"")</f>
        <v/>
      </c>
      <c r="K5211">
        <f>IF(E5211="Domain",COUNTIF($E$2:E5211,"Domain"),"")</f>
        <v/>
      </c>
    </row>
    <row r="5212">
      <c r="A5212" s="2" t="n"/>
      <c r="B5212">
        <f>LOWER(TRIM(A5212))</f>
        <v/>
      </c>
      <c r="C5212">
        <f>IF(B5212="","",IFERROR(INDEX('Bad Patterns'!$A$2:$A$120,MATCH(1,INDEX(--ISNUMBER(SEARCH('Bad Patterns'!$A$2:$A$120,B5212)),0),0)),""))</f>
        <v/>
      </c>
      <c r="D5212">
        <f>IF(B5212="","",IF(C5212&lt;&gt;"","REMOVE","KEEP"))</f>
        <v/>
      </c>
      <c r="E5212">
        <f>IF(D5212&lt;&gt;"KEEP","",IF(RIGHT(B5212,10)="@gmail.com","Gmail",IF(OR(RIGHT(B5212,12)="@outlook.com",RIGHT(B5212,12)="@hotmail.com",RIGHT(B5212,9)="@live.com"),"Outlook","Domain")))</f>
        <v/>
      </c>
      <c r="F5212">
        <f>IF(B5212="","",IFERROR(RIGHT(B5212,LEN(B5212)-FIND("@",B5212)),""))</f>
        <v/>
      </c>
      <c r="G5212">
        <f>IF(D5212="KEEP",COUNTIF($D$2:D5212,"KEEP"),"")</f>
        <v/>
      </c>
      <c r="H5212">
        <f>IF(D5212="REMOVE",COUNTIF($D$2:D5212,"REMOVE"),"")</f>
        <v/>
      </c>
      <c r="I5212">
        <f>IF(E5212="Gmail",COUNTIF($E$2:E5212,"Gmail"),"")</f>
        <v/>
      </c>
      <c r="J5212">
        <f>IF(E5212="Outlook",COUNTIF($E$2:E5212,"Outlook"),"")</f>
        <v/>
      </c>
      <c r="K5212">
        <f>IF(E5212="Domain",COUNTIF($E$2:E5212,"Domain"),"")</f>
        <v/>
      </c>
    </row>
    <row r="5213">
      <c r="A5213" s="2" t="n"/>
      <c r="B5213">
        <f>LOWER(TRIM(A5213))</f>
        <v/>
      </c>
      <c r="C5213">
        <f>IF(B5213="","",IFERROR(INDEX('Bad Patterns'!$A$2:$A$120,MATCH(1,INDEX(--ISNUMBER(SEARCH('Bad Patterns'!$A$2:$A$120,B5213)),0),0)),""))</f>
        <v/>
      </c>
      <c r="D5213">
        <f>IF(B5213="","",IF(C5213&lt;&gt;"","REMOVE","KEEP"))</f>
        <v/>
      </c>
      <c r="E5213">
        <f>IF(D5213&lt;&gt;"KEEP","",IF(RIGHT(B5213,10)="@gmail.com","Gmail",IF(OR(RIGHT(B5213,12)="@outlook.com",RIGHT(B5213,12)="@hotmail.com",RIGHT(B5213,9)="@live.com"),"Outlook","Domain")))</f>
        <v/>
      </c>
      <c r="F5213">
        <f>IF(B5213="","",IFERROR(RIGHT(B5213,LEN(B5213)-FIND("@",B5213)),""))</f>
        <v/>
      </c>
      <c r="G5213">
        <f>IF(D5213="KEEP",COUNTIF($D$2:D5213,"KEEP"),"")</f>
        <v/>
      </c>
      <c r="H5213">
        <f>IF(D5213="REMOVE",COUNTIF($D$2:D5213,"REMOVE"),"")</f>
        <v/>
      </c>
      <c r="I5213">
        <f>IF(E5213="Gmail",COUNTIF($E$2:E5213,"Gmail"),"")</f>
        <v/>
      </c>
      <c r="J5213">
        <f>IF(E5213="Outlook",COUNTIF($E$2:E5213,"Outlook"),"")</f>
        <v/>
      </c>
      <c r="K5213">
        <f>IF(E5213="Domain",COUNTIF($E$2:E5213,"Domain"),"")</f>
        <v/>
      </c>
    </row>
    <row r="5214">
      <c r="A5214" s="2" t="n"/>
      <c r="B5214">
        <f>LOWER(TRIM(A5214))</f>
        <v/>
      </c>
      <c r="C5214">
        <f>IF(B5214="","",IFERROR(INDEX('Bad Patterns'!$A$2:$A$120,MATCH(1,INDEX(--ISNUMBER(SEARCH('Bad Patterns'!$A$2:$A$120,B5214)),0),0)),""))</f>
        <v/>
      </c>
      <c r="D5214">
        <f>IF(B5214="","",IF(C5214&lt;&gt;"","REMOVE","KEEP"))</f>
        <v/>
      </c>
      <c r="E5214">
        <f>IF(D5214&lt;&gt;"KEEP","",IF(RIGHT(B5214,10)="@gmail.com","Gmail",IF(OR(RIGHT(B5214,12)="@outlook.com",RIGHT(B5214,12)="@hotmail.com",RIGHT(B5214,9)="@live.com"),"Outlook","Domain")))</f>
        <v/>
      </c>
      <c r="F5214">
        <f>IF(B5214="","",IFERROR(RIGHT(B5214,LEN(B5214)-FIND("@",B5214)),""))</f>
        <v/>
      </c>
      <c r="G5214">
        <f>IF(D5214="KEEP",COUNTIF($D$2:D5214,"KEEP"),"")</f>
        <v/>
      </c>
      <c r="H5214">
        <f>IF(D5214="REMOVE",COUNTIF($D$2:D5214,"REMOVE"),"")</f>
        <v/>
      </c>
      <c r="I5214">
        <f>IF(E5214="Gmail",COUNTIF($E$2:E5214,"Gmail"),"")</f>
        <v/>
      </c>
      <c r="J5214">
        <f>IF(E5214="Outlook",COUNTIF($E$2:E5214,"Outlook"),"")</f>
        <v/>
      </c>
      <c r="K5214">
        <f>IF(E5214="Domain",COUNTIF($E$2:E5214,"Domain"),"")</f>
        <v/>
      </c>
    </row>
    <row r="5215">
      <c r="A5215" s="2" t="n"/>
      <c r="B5215">
        <f>LOWER(TRIM(A5215))</f>
        <v/>
      </c>
      <c r="C5215">
        <f>IF(B5215="","",IFERROR(INDEX('Bad Patterns'!$A$2:$A$120,MATCH(1,INDEX(--ISNUMBER(SEARCH('Bad Patterns'!$A$2:$A$120,B5215)),0),0)),""))</f>
        <v/>
      </c>
      <c r="D5215">
        <f>IF(B5215="","",IF(C5215&lt;&gt;"","REMOVE","KEEP"))</f>
        <v/>
      </c>
      <c r="E5215">
        <f>IF(D5215&lt;&gt;"KEEP","",IF(RIGHT(B5215,10)="@gmail.com","Gmail",IF(OR(RIGHT(B5215,12)="@outlook.com",RIGHT(B5215,12)="@hotmail.com",RIGHT(B5215,9)="@live.com"),"Outlook","Domain")))</f>
        <v/>
      </c>
      <c r="F5215">
        <f>IF(B5215="","",IFERROR(RIGHT(B5215,LEN(B5215)-FIND("@",B5215)),""))</f>
        <v/>
      </c>
      <c r="G5215">
        <f>IF(D5215="KEEP",COUNTIF($D$2:D5215,"KEEP"),"")</f>
        <v/>
      </c>
      <c r="H5215">
        <f>IF(D5215="REMOVE",COUNTIF($D$2:D5215,"REMOVE"),"")</f>
        <v/>
      </c>
      <c r="I5215">
        <f>IF(E5215="Gmail",COUNTIF($E$2:E5215,"Gmail"),"")</f>
        <v/>
      </c>
      <c r="J5215">
        <f>IF(E5215="Outlook",COUNTIF($E$2:E5215,"Outlook"),"")</f>
        <v/>
      </c>
      <c r="K5215">
        <f>IF(E5215="Domain",COUNTIF($E$2:E5215,"Domain"),"")</f>
        <v/>
      </c>
    </row>
    <row r="5216">
      <c r="A5216" s="2" t="n"/>
      <c r="B5216">
        <f>LOWER(TRIM(A5216))</f>
        <v/>
      </c>
      <c r="C5216">
        <f>IF(B5216="","",IFERROR(INDEX('Bad Patterns'!$A$2:$A$120,MATCH(1,INDEX(--ISNUMBER(SEARCH('Bad Patterns'!$A$2:$A$120,B5216)),0),0)),""))</f>
        <v/>
      </c>
      <c r="D5216">
        <f>IF(B5216="","",IF(C5216&lt;&gt;"","REMOVE","KEEP"))</f>
        <v/>
      </c>
      <c r="E5216">
        <f>IF(D5216&lt;&gt;"KEEP","",IF(RIGHT(B5216,10)="@gmail.com","Gmail",IF(OR(RIGHT(B5216,12)="@outlook.com",RIGHT(B5216,12)="@hotmail.com",RIGHT(B5216,9)="@live.com"),"Outlook","Domain")))</f>
        <v/>
      </c>
      <c r="F5216">
        <f>IF(B5216="","",IFERROR(RIGHT(B5216,LEN(B5216)-FIND("@",B5216)),""))</f>
        <v/>
      </c>
      <c r="G5216">
        <f>IF(D5216="KEEP",COUNTIF($D$2:D5216,"KEEP"),"")</f>
        <v/>
      </c>
      <c r="H5216">
        <f>IF(D5216="REMOVE",COUNTIF($D$2:D5216,"REMOVE"),"")</f>
        <v/>
      </c>
      <c r="I5216">
        <f>IF(E5216="Gmail",COUNTIF($E$2:E5216,"Gmail"),"")</f>
        <v/>
      </c>
      <c r="J5216">
        <f>IF(E5216="Outlook",COUNTIF($E$2:E5216,"Outlook"),"")</f>
        <v/>
      </c>
      <c r="K5216">
        <f>IF(E5216="Domain",COUNTIF($E$2:E5216,"Domain"),"")</f>
        <v/>
      </c>
    </row>
    <row r="5217">
      <c r="A5217" s="2" t="n"/>
      <c r="B5217">
        <f>LOWER(TRIM(A5217))</f>
        <v/>
      </c>
      <c r="C5217">
        <f>IF(B5217="","",IFERROR(INDEX('Bad Patterns'!$A$2:$A$120,MATCH(1,INDEX(--ISNUMBER(SEARCH('Bad Patterns'!$A$2:$A$120,B5217)),0),0)),""))</f>
        <v/>
      </c>
      <c r="D5217">
        <f>IF(B5217="","",IF(C5217&lt;&gt;"","REMOVE","KEEP"))</f>
        <v/>
      </c>
      <c r="E5217">
        <f>IF(D5217&lt;&gt;"KEEP","",IF(RIGHT(B5217,10)="@gmail.com","Gmail",IF(OR(RIGHT(B5217,12)="@outlook.com",RIGHT(B5217,12)="@hotmail.com",RIGHT(B5217,9)="@live.com"),"Outlook","Domain")))</f>
        <v/>
      </c>
      <c r="F5217">
        <f>IF(B5217="","",IFERROR(RIGHT(B5217,LEN(B5217)-FIND("@",B5217)),""))</f>
        <v/>
      </c>
      <c r="G5217">
        <f>IF(D5217="KEEP",COUNTIF($D$2:D5217,"KEEP"),"")</f>
        <v/>
      </c>
      <c r="H5217">
        <f>IF(D5217="REMOVE",COUNTIF($D$2:D5217,"REMOVE"),"")</f>
        <v/>
      </c>
      <c r="I5217">
        <f>IF(E5217="Gmail",COUNTIF($E$2:E5217,"Gmail"),"")</f>
        <v/>
      </c>
      <c r="J5217">
        <f>IF(E5217="Outlook",COUNTIF($E$2:E5217,"Outlook"),"")</f>
        <v/>
      </c>
      <c r="K5217">
        <f>IF(E5217="Domain",COUNTIF($E$2:E5217,"Domain"),"")</f>
        <v/>
      </c>
    </row>
    <row r="5218">
      <c r="A5218" s="2" t="n"/>
      <c r="B5218">
        <f>LOWER(TRIM(A5218))</f>
        <v/>
      </c>
      <c r="C5218">
        <f>IF(B5218="","",IFERROR(INDEX('Bad Patterns'!$A$2:$A$120,MATCH(1,INDEX(--ISNUMBER(SEARCH('Bad Patterns'!$A$2:$A$120,B5218)),0),0)),""))</f>
        <v/>
      </c>
      <c r="D5218">
        <f>IF(B5218="","",IF(C5218&lt;&gt;"","REMOVE","KEEP"))</f>
        <v/>
      </c>
      <c r="E5218">
        <f>IF(D5218&lt;&gt;"KEEP","",IF(RIGHT(B5218,10)="@gmail.com","Gmail",IF(OR(RIGHT(B5218,12)="@outlook.com",RIGHT(B5218,12)="@hotmail.com",RIGHT(B5218,9)="@live.com"),"Outlook","Domain")))</f>
        <v/>
      </c>
      <c r="F5218">
        <f>IF(B5218="","",IFERROR(RIGHT(B5218,LEN(B5218)-FIND("@",B5218)),""))</f>
        <v/>
      </c>
      <c r="G5218">
        <f>IF(D5218="KEEP",COUNTIF($D$2:D5218,"KEEP"),"")</f>
        <v/>
      </c>
      <c r="H5218">
        <f>IF(D5218="REMOVE",COUNTIF($D$2:D5218,"REMOVE"),"")</f>
        <v/>
      </c>
      <c r="I5218">
        <f>IF(E5218="Gmail",COUNTIF($E$2:E5218,"Gmail"),"")</f>
        <v/>
      </c>
      <c r="J5218">
        <f>IF(E5218="Outlook",COUNTIF($E$2:E5218,"Outlook"),"")</f>
        <v/>
      </c>
      <c r="K5218">
        <f>IF(E5218="Domain",COUNTIF($E$2:E5218,"Domain"),"")</f>
        <v/>
      </c>
    </row>
    <row r="5219">
      <c r="A5219" s="2" t="n"/>
      <c r="B5219">
        <f>LOWER(TRIM(A5219))</f>
        <v/>
      </c>
      <c r="C5219">
        <f>IF(B5219="","",IFERROR(INDEX('Bad Patterns'!$A$2:$A$120,MATCH(1,INDEX(--ISNUMBER(SEARCH('Bad Patterns'!$A$2:$A$120,B5219)),0),0)),""))</f>
        <v/>
      </c>
      <c r="D5219">
        <f>IF(B5219="","",IF(C5219&lt;&gt;"","REMOVE","KEEP"))</f>
        <v/>
      </c>
      <c r="E5219">
        <f>IF(D5219&lt;&gt;"KEEP","",IF(RIGHT(B5219,10)="@gmail.com","Gmail",IF(OR(RIGHT(B5219,12)="@outlook.com",RIGHT(B5219,12)="@hotmail.com",RIGHT(B5219,9)="@live.com"),"Outlook","Domain")))</f>
        <v/>
      </c>
      <c r="F5219">
        <f>IF(B5219="","",IFERROR(RIGHT(B5219,LEN(B5219)-FIND("@",B5219)),""))</f>
        <v/>
      </c>
      <c r="G5219">
        <f>IF(D5219="KEEP",COUNTIF($D$2:D5219,"KEEP"),"")</f>
        <v/>
      </c>
      <c r="H5219">
        <f>IF(D5219="REMOVE",COUNTIF($D$2:D5219,"REMOVE"),"")</f>
        <v/>
      </c>
      <c r="I5219">
        <f>IF(E5219="Gmail",COUNTIF($E$2:E5219,"Gmail"),"")</f>
        <v/>
      </c>
      <c r="J5219">
        <f>IF(E5219="Outlook",COUNTIF($E$2:E5219,"Outlook"),"")</f>
        <v/>
      </c>
      <c r="K5219">
        <f>IF(E5219="Domain",COUNTIF($E$2:E5219,"Domain"),"")</f>
        <v/>
      </c>
    </row>
    <row r="5220">
      <c r="A5220" s="2" t="n"/>
      <c r="B5220">
        <f>LOWER(TRIM(A5220))</f>
        <v/>
      </c>
      <c r="C5220">
        <f>IF(B5220="","",IFERROR(INDEX('Bad Patterns'!$A$2:$A$120,MATCH(1,INDEX(--ISNUMBER(SEARCH('Bad Patterns'!$A$2:$A$120,B5220)),0),0)),""))</f>
        <v/>
      </c>
      <c r="D5220">
        <f>IF(B5220="","",IF(C5220&lt;&gt;"","REMOVE","KEEP"))</f>
        <v/>
      </c>
      <c r="E5220">
        <f>IF(D5220&lt;&gt;"KEEP","",IF(RIGHT(B5220,10)="@gmail.com","Gmail",IF(OR(RIGHT(B5220,12)="@outlook.com",RIGHT(B5220,12)="@hotmail.com",RIGHT(B5220,9)="@live.com"),"Outlook","Domain")))</f>
        <v/>
      </c>
      <c r="F5220">
        <f>IF(B5220="","",IFERROR(RIGHT(B5220,LEN(B5220)-FIND("@",B5220)),""))</f>
        <v/>
      </c>
      <c r="G5220">
        <f>IF(D5220="KEEP",COUNTIF($D$2:D5220,"KEEP"),"")</f>
        <v/>
      </c>
      <c r="H5220">
        <f>IF(D5220="REMOVE",COUNTIF($D$2:D5220,"REMOVE"),"")</f>
        <v/>
      </c>
      <c r="I5220">
        <f>IF(E5220="Gmail",COUNTIF($E$2:E5220,"Gmail"),"")</f>
        <v/>
      </c>
      <c r="J5220">
        <f>IF(E5220="Outlook",COUNTIF($E$2:E5220,"Outlook"),"")</f>
        <v/>
      </c>
      <c r="K5220">
        <f>IF(E5220="Domain",COUNTIF($E$2:E5220,"Domain"),"")</f>
        <v/>
      </c>
    </row>
    <row r="5221">
      <c r="A5221" s="2" t="n"/>
      <c r="B5221">
        <f>LOWER(TRIM(A5221))</f>
        <v/>
      </c>
      <c r="C5221">
        <f>IF(B5221="","",IFERROR(INDEX('Bad Patterns'!$A$2:$A$120,MATCH(1,INDEX(--ISNUMBER(SEARCH('Bad Patterns'!$A$2:$A$120,B5221)),0),0)),""))</f>
        <v/>
      </c>
      <c r="D5221">
        <f>IF(B5221="","",IF(C5221&lt;&gt;"","REMOVE","KEEP"))</f>
        <v/>
      </c>
      <c r="E5221">
        <f>IF(D5221&lt;&gt;"KEEP","",IF(RIGHT(B5221,10)="@gmail.com","Gmail",IF(OR(RIGHT(B5221,12)="@outlook.com",RIGHT(B5221,12)="@hotmail.com",RIGHT(B5221,9)="@live.com"),"Outlook","Domain")))</f>
        <v/>
      </c>
      <c r="F5221">
        <f>IF(B5221="","",IFERROR(RIGHT(B5221,LEN(B5221)-FIND("@",B5221)),""))</f>
        <v/>
      </c>
      <c r="G5221">
        <f>IF(D5221="KEEP",COUNTIF($D$2:D5221,"KEEP"),"")</f>
        <v/>
      </c>
      <c r="H5221">
        <f>IF(D5221="REMOVE",COUNTIF($D$2:D5221,"REMOVE"),"")</f>
        <v/>
      </c>
      <c r="I5221">
        <f>IF(E5221="Gmail",COUNTIF($E$2:E5221,"Gmail"),"")</f>
        <v/>
      </c>
      <c r="J5221">
        <f>IF(E5221="Outlook",COUNTIF($E$2:E5221,"Outlook"),"")</f>
        <v/>
      </c>
      <c r="K5221">
        <f>IF(E5221="Domain",COUNTIF($E$2:E5221,"Domain"),"")</f>
        <v/>
      </c>
    </row>
    <row r="5222">
      <c r="A5222" s="2" t="n"/>
      <c r="B5222">
        <f>LOWER(TRIM(A5222))</f>
        <v/>
      </c>
      <c r="C5222">
        <f>IF(B5222="","",IFERROR(INDEX('Bad Patterns'!$A$2:$A$120,MATCH(1,INDEX(--ISNUMBER(SEARCH('Bad Patterns'!$A$2:$A$120,B5222)),0),0)),""))</f>
        <v/>
      </c>
      <c r="D5222">
        <f>IF(B5222="","",IF(C5222&lt;&gt;"","REMOVE","KEEP"))</f>
        <v/>
      </c>
      <c r="E5222">
        <f>IF(D5222&lt;&gt;"KEEP","",IF(RIGHT(B5222,10)="@gmail.com","Gmail",IF(OR(RIGHT(B5222,12)="@outlook.com",RIGHT(B5222,12)="@hotmail.com",RIGHT(B5222,9)="@live.com"),"Outlook","Domain")))</f>
        <v/>
      </c>
      <c r="F5222">
        <f>IF(B5222="","",IFERROR(RIGHT(B5222,LEN(B5222)-FIND("@",B5222)),""))</f>
        <v/>
      </c>
      <c r="G5222">
        <f>IF(D5222="KEEP",COUNTIF($D$2:D5222,"KEEP"),"")</f>
        <v/>
      </c>
      <c r="H5222">
        <f>IF(D5222="REMOVE",COUNTIF($D$2:D5222,"REMOVE"),"")</f>
        <v/>
      </c>
      <c r="I5222">
        <f>IF(E5222="Gmail",COUNTIF($E$2:E5222,"Gmail"),"")</f>
        <v/>
      </c>
      <c r="J5222">
        <f>IF(E5222="Outlook",COUNTIF($E$2:E5222,"Outlook"),"")</f>
        <v/>
      </c>
      <c r="K5222">
        <f>IF(E5222="Domain",COUNTIF($E$2:E5222,"Domain"),"")</f>
        <v/>
      </c>
    </row>
    <row r="5223">
      <c r="A5223" s="2" t="n"/>
      <c r="B5223">
        <f>LOWER(TRIM(A5223))</f>
        <v/>
      </c>
      <c r="C5223">
        <f>IF(B5223="","",IFERROR(INDEX('Bad Patterns'!$A$2:$A$120,MATCH(1,INDEX(--ISNUMBER(SEARCH('Bad Patterns'!$A$2:$A$120,B5223)),0),0)),""))</f>
        <v/>
      </c>
      <c r="D5223">
        <f>IF(B5223="","",IF(C5223&lt;&gt;"","REMOVE","KEEP"))</f>
        <v/>
      </c>
      <c r="E5223">
        <f>IF(D5223&lt;&gt;"KEEP","",IF(RIGHT(B5223,10)="@gmail.com","Gmail",IF(OR(RIGHT(B5223,12)="@outlook.com",RIGHT(B5223,12)="@hotmail.com",RIGHT(B5223,9)="@live.com"),"Outlook","Domain")))</f>
        <v/>
      </c>
      <c r="F5223">
        <f>IF(B5223="","",IFERROR(RIGHT(B5223,LEN(B5223)-FIND("@",B5223)),""))</f>
        <v/>
      </c>
      <c r="G5223">
        <f>IF(D5223="KEEP",COUNTIF($D$2:D5223,"KEEP"),"")</f>
        <v/>
      </c>
      <c r="H5223">
        <f>IF(D5223="REMOVE",COUNTIF($D$2:D5223,"REMOVE"),"")</f>
        <v/>
      </c>
      <c r="I5223">
        <f>IF(E5223="Gmail",COUNTIF($E$2:E5223,"Gmail"),"")</f>
        <v/>
      </c>
      <c r="J5223">
        <f>IF(E5223="Outlook",COUNTIF($E$2:E5223,"Outlook"),"")</f>
        <v/>
      </c>
      <c r="K5223">
        <f>IF(E5223="Domain",COUNTIF($E$2:E5223,"Domain"),"")</f>
        <v/>
      </c>
    </row>
    <row r="5224">
      <c r="A5224" s="2" t="n"/>
      <c r="B5224">
        <f>LOWER(TRIM(A5224))</f>
        <v/>
      </c>
      <c r="C5224">
        <f>IF(B5224="","",IFERROR(INDEX('Bad Patterns'!$A$2:$A$120,MATCH(1,INDEX(--ISNUMBER(SEARCH('Bad Patterns'!$A$2:$A$120,B5224)),0),0)),""))</f>
        <v/>
      </c>
      <c r="D5224">
        <f>IF(B5224="","",IF(C5224&lt;&gt;"","REMOVE","KEEP"))</f>
        <v/>
      </c>
      <c r="E5224">
        <f>IF(D5224&lt;&gt;"KEEP","",IF(RIGHT(B5224,10)="@gmail.com","Gmail",IF(OR(RIGHT(B5224,12)="@outlook.com",RIGHT(B5224,12)="@hotmail.com",RIGHT(B5224,9)="@live.com"),"Outlook","Domain")))</f>
        <v/>
      </c>
      <c r="F5224">
        <f>IF(B5224="","",IFERROR(RIGHT(B5224,LEN(B5224)-FIND("@",B5224)),""))</f>
        <v/>
      </c>
      <c r="G5224">
        <f>IF(D5224="KEEP",COUNTIF($D$2:D5224,"KEEP"),"")</f>
        <v/>
      </c>
      <c r="H5224">
        <f>IF(D5224="REMOVE",COUNTIF($D$2:D5224,"REMOVE"),"")</f>
        <v/>
      </c>
      <c r="I5224">
        <f>IF(E5224="Gmail",COUNTIF($E$2:E5224,"Gmail"),"")</f>
        <v/>
      </c>
      <c r="J5224">
        <f>IF(E5224="Outlook",COUNTIF($E$2:E5224,"Outlook"),"")</f>
        <v/>
      </c>
      <c r="K5224">
        <f>IF(E5224="Domain",COUNTIF($E$2:E5224,"Domain"),"")</f>
        <v/>
      </c>
    </row>
    <row r="5225">
      <c r="A5225" s="2" t="n"/>
      <c r="B5225">
        <f>LOWER(TRIM(A5225))</f>
        <v/>
      </c>
      <c r="C5225">
        <f>IF(B5225="","",IFERROR(INDEX('Bad Patterns'!$A$2:$A$120,MATCH(1,INDEX(--ISNUMBER(SEARCH('Bad Patterns'!$A$2:$A$120,B5225)),0),0)),""))</f>
        <v/>
      </c>
      <c r="D5225">
        <f>IF(B5225="","",IF(C5225&lt;&gt;"","REMOVE","KEEP"))</f>
        <v/>
      </c>
      <c r="E5225">
        <f>IF(D5225&lt;&gt;"KEEP","",IF(RIGHT(B5225,10)="@gmail.com","Gmail",IF(OR(RIGHT(B5225,12)="@outlook.com",RIGHT(B5225,12)="@hotmail.com",RIGHT(B5225,9)="@live.com"),"Outlook","Domain")))</f>
        <v/>
      </c>
      <c r="F5225">
        <f>IF(B5225="","",IFERROR(RIGHT(B5225,LEN(B5225)-FIND("@",B5225)),""))</f>
        <v/>
      </c>
      <c r="G5225">
        <f>IF(D5225="KEEP",COUNTIF($D$2:D5225,"KEEP"),"")</f>
        <v/>
      </c>
      <c r="H5225">
        <f>IF(D5225="REMOVE",COUNTIF($D$2:D5225,"REMOVE"),"")</f>
        <v/>
      </c>
      <c r="I5225">
        <f>IF(E5225="Gmail",COUNTIF($E$2:E5225,"Gmail"),"")</f>
        <v/>
      </c>
      <c r="J5225">
        <f>IF(E5225="Outlook",COUNTIF($E$2:E5225,"Outlook"),"")</f>
        <v/>
      </c>
      <c r="K5225">
        <f>IF(E5225="Domain",COUNTIF($E$2:E5225,"Domain"),"")</f>
        <v/>
      </c>
    </row>
    <row r="5226">
      <c r="A5226" s="2" t="n"/>
      <c r="B5226">
        <f>LOWER(TRIM(A5226))</f>
        <v/>
      </c>
      <c r="C5226">
        <f>IF(B5226="","",IFERROR(INDEX('Bad Patterns'!$A$2:$A$120,MATCH(1,INDEX(--ISNUMBER(SEARCH('Bad Patterns'!$A$2:$A$120,B5226)),0),0)),""))</f>
        <v/>
      </c>
      <c r="D5226">
        <f>IF(B5226="","",IF(C5226&lt;&gt;"","REMOVE","KEEP"))</f>
        <v/>
      </c>
      <c r="E5226">
        <f>IF(D5226&lt;&gt;"KEEP","",IF(RIGHT(B5226,10)="@gmail.com","Gmail",IF(OR(RIGHT(B5226,12)="@outlook.com",RIGHT(B5226,12)="@hotmail.com",RIGHT(B5226,9)="@live.com"),"Outlook","Domain")))</f>
        <v/>
      </c>
      <c r="F5226">
        <f>IF(B5226="","",IFERROR(RIGHT(B5226,LEN(B5226)-FIND("@",B5226)),""))</f>
        <v/>
      </c>
      <c r="G5226">
        <f>IF(D5226="KEEP",COUNTIF($D$2:D5226,"KEEP"),"")</f>
        <v/>
      </c>
      <c r="H5226">
        <f>IF(D5226="REMOVE",COUNTIF($D$2:D5226,"REMOVE"),"")</f>
        <v/>
      </c>
      <c r="I5226">
        <f>IF(E5226="Gmail",COUNTIF($E$2:E5226,"Gmail"),"")</f>
        <v/>
      </c>
      <c r="J5226">
        <f>IF(E5226="Outlook",COUNTIF($E$2:E5226,"Outlook"),"")</f>
        <v/>
      </c>
      <c r="K5226">
        <f>IF(E5226="Domain",COUNTIF($E$2:E5226,"Domain"),"")</f>
        <v/>
      </c>
    </row>
    <row r="5227">
      <c r="A5227" s="2" t="n"/>
      <c r="B5227">
        <f>LOWER(TRIM(A5227))</f>
        <v/>
      </c>
      <c r="C5227">
        <f>IF(B5227="","",IFERROR(INDEX('Bad Patterns'!$A$2:$A$120,MATCH(1,INDEX(--ISNUMBER(SEARCH('Bad Patterns'!$A$2:$A$120,B5227)),0),0)),""))</f>
        <v/>
      </c>
      <c r="D5227">
        <f>IF(B5227="","",IF(C5227&lt;&gt;"","REMOVE","KEEP"))</f>
        <v/>
      </c>
      <c r="E5227">
        <f>IF(D5227&lt;&gt;"KEEP","",IF(RIGHT(B5227,10)="@gmail.com","Gmail",IF(OR(RIGHT(B5227,12)="@outlook.com",RIGHT(B5227,12)="@hotmail.com",RIGHT(B5227,9)="@live.com"),"Outlook","Domain")))</f>
        <v/>
      </c>
      <c r="F5227">
        <f>IF(B5227="","",IFERROR(RIGHT(B5227,LEN(B5227)-FIND("@",B5227)),""))</f>
        <v/>
      </c>
      <c r="G5227">
        <f>IF(D5227="KEEP",COUNTIF($D$2:D5227,"KEEP"),"")</f>
        <v/>
      </c>
      <c r="H5227">
        <f>IF(D5227="REMOVE",COUNTIF($D$2:D5227,"REMOVE"),"")</f>
        <v/>
      </c>
      <c r="I5227">
        <f>IF(E5227="Gmail",COUNTIF($E$2:E5227,"Gmail"),"")</f>
        <v/>
      </c>
      <c r="J5227">
        <f>IF(E5227="Outlook",COUNTIF($E$2:E5227,"Outlook"),"")</f>
        <v/>
      </c>
      <c r="K5227">
        <f>IF(E5227="Domain",COUNTIF($E$2:E5227,"Domain"),"")</f>
        <v/>
      </c>
    </row>
    <row r="5228">
      <c r="A5228" s="2" t="n"/>
      <c r="B5228">
        <f>LOWER(TRIM(A5228))</f>
        <v/>
      </c>
      <c r="C5228">
        <f>IF(B5228="","",IFERROR(INDEX('Bad Patterns'!$A$2:$A$120,MATCH(1,INDEX(--ISNUMBER(SEARCH('Bad Patterns'!$A$2:$A$120,B5228)),0),0)),""))</f>
        <v/>
      </c>
      <c r="D5228">
        <f>IF(B5228="","",IF(C5228&lt;&gt;"","REMOVE","KEEP"))</f>
        <v/>
      </c>
      <c r="E5228">
        <f>IF(D5228&lt;&gt;"KEEP","",IF(RIGHT(B5228,10)="@gmail.com","Gmail",IF(OR(RIGHT(B5228,12)="@outlook.com",RIGHT(B5228,12)="@hotmail.com",RIGHT(B5228,9)="@live.com"),"Outlook","Domain")))</f>
        <v/>
      </c>
      <c r="F5228">
        <f>IF(B5228="","",IFERROR(RIGHT(B5228,LEN(B5228)-FIND("@",B5228)),""))</f>
        <v/>
      </c>
      <c r="G5228">
        <f>IF(D5228="KEEP",COUNTIF($D$2:D5228,"KEEP"),"")</f>
        <v/>
      </c>
      <c r="H5228">
        <f>IF(D5228="REMOVE",COUNTIF($D$2:D5228,"REMOVE"),"")</f>
        <v/>
      </c>
      <c r="I5228">
        <f>IF(E5228="Gmail",COUNTIF($E$2:E5228,"Gmail"),"")</f>
        <v/>
      </c>
      <c r="J5228">
        <f>IF(E5228="Outlook",COUNTIF($E$2:E5228,"Outlook"),"")</f>
        <v/>
      </c>
      <c r="K5228">
        <f>IF(E5228="Domain",COUNTIF($E$2:E5228,"Domain"),"")</f>
        <v/>
      </c>
    </row>
    <row r="5229">
      <c r="A5229" s="2" t="n"/>
      <c r="B5229">
        <f>LOWER(TRIM(A5229))</f>
        <v/>
      </c>
      <c r="C5229">
        <f>IF(B5229="","",IFERROR(INDEX('Bad Patterns'!$A$2:$A$120,MATCH(1,INDEX(--ISNUMBER(SEARCH('Bad Patterns'!$A$2:$A$120,B5229)),0),0)),""))</f>
        <v/>
      </c>
      <c r="D5229">
        <f>IF(B5229="","",IF(C5229&lt;&gt;"","REMOVE","KEEP"))</f>
        <v/>
      </c>
      <c r="E5229">
        <f>IF(D5229&lt;&gt;"KEEP","",IF(RIGHT(B5229,10)="@gmail.com","Gmail",IF(OR(RIGHT(B5229,12)="@outlook.com",RIGHT(B5229,12)="@hotmail.com",RIGHT(B5229,9)="@live.com"),"Outlook","Domain")))</f>
        <v/>
      </c>
      <c r="F5229">
        <f>IF(B5229="","",IFERROR(RIGHT(B5229,LEN(B5229)-FIND("@",B5229)),""))</f>
        <v/>
      </c>
      <c r="G5229">
        <f>IF(D5229="KEEP",COUNTIF($D$2:D5229,"KEEP"),"")</f>
        <v/>
      </c>
      <c r="H5229">
        <f>IF(D5229="REMOVE",COUNTIF($D$2:D5229,"REMOVE"),"")</f>
        <v/>
      </c>
      <c r="I5229">
        <f>IF(E5229="Gmail",COUNTIF($E$2:E5229,"Gmail"),"")</f>
        <v/>
      </c>
      <c r="J5229">
        <f>IF(E5229="Outlook",COUNTIF($E$2:E5229,"Outlook"),"")</f>
        <v/>
      </c>
      <c r="K5229">
        <f>IF(E5229="Domain",COUNTIF($E$2:E5229,"Domain"),"")</f>
        <v/>
      </c>
    </row>
    <row r="5230">
      <c r="A5230" s="2" t="n"/>
      <c r="B5230">
        <f>LOWER(TRIM(A5230))</f>
        <v/>
      </c>
      <c r="C5230">
        <f>IF(B5230="","",IFERROR(INDEX('Bad Patterns'!$A$2:$A$120,MATCH(1,INDEX(--ISNUMBER(SEARCH('Bad Patterns'!$A$2:$A$120,B5230)),0),0)),""))</f>
        <v/>
      </c>
      <c r="D5230">
        <f>IF(B5230="","",IF(C5230&lt;&gt;"","REMOVE","KEEP"))</f>
        <v/>
      </c>
      <c r="E5230">
        <f>IF(D5230&lt;&gt;"KEEP","",IF(RIGHT(B5230,10)="@gmail.com","Gmail",IF(OR(RIGHT(B5230,12)="@outlook.com",RIGHT(B5230,12)="@hotmail.com",RIGHT(B5230,9)="@live.com"),"Outlook","Domain")))</f>
        <v/>
      </c>
      <c r="F5230">
        <f>IF(B5230="","",IFERROR(RIGHT(B5230,LEN(B5230)-FIND("@",B5230)),""))</f>
        <v/>
      </c>
      <c r="G5230">
        <f>IF(D5230="KEEP",COUNTIF($D$2:D5230,"KEEP"),"")</f>
        <v/>
      </c>
      <c r="H5230">
        <f>IF(D5230="REMOVE",COUNTIF($D$2:D5230,"REMOVE"),"")</f>
        <v/>
      </c>
      <c r="I5230">
        <f>IF(E5230="Gmail",COUNTIF($E$2:E5230,"Gmail"),"")</f>
        <v/>
      </c>
      <c r="J5230">
        <f>IF(E5230="Outlook",COUNTIF($E$2:E5230,"Outlook"),"")</f>
        <v/>
      </c>
      <c r="K5230">
        <f>IF(E5230="Domain",COUNTIF($E$2:E5230,"Domain"),"")</f>
        <v/>
      </c>
    </row>
    <row r="5231">
      <c r="A5231" s="2" t="n"/>
      <c r="B5231">
        <f>LOWER(TRIM(A5231))</f>
        <v/>
      </c>
      <c r="C5231">
        <f>IF(B5231="","",IFERROR(INDEX('Bad Patterns'!$A$2:$A$120,MATCH(1,INDEX(--ISNUMBER(SEARCH('Bad Patterns'!$A$2:$A$120,B5231)),0),0)),""))</f>
        <v/>
      </c>
      <c r="D5231">
        <f>IF(B5231="","",IF(C5231&lt;&gt;"","REMOVE","KEEP"))</f>
        <v/>
      </c>
      <c r="E5231">
        <f>IF(D5231&lt;&gt;"KEEP","",IF(RIGHT(B5231,10)="@gmail.com","Gmail",IF(OR(RIGHT(B5231,12)="@outlook.com",RIGHT(B5231,12)="@hotmail.com",RIGHT(B5231,9)="@live.com"),"Outlook","Domain")))</f>
        <v/>
      </c>
      <c r="F5231">
        <f>IF(B5231="","",IFERROR(RIGHT(B5231,LEN(B5231)-FIND("@",B5231)),""))</f>
        <v/>
      </c>
      <c r="G5231">
        <f>IF(D5231="KEEP",COUNTIF($D$2:D5231,"KEEP"),"")</f>
        <v/>
      </c>
      <c r="H5231">
        <f>IF(D5231="REMOVE",COUNTIF($D$2:D5231,"REMOVE"),"")</f>
        <v/>
      </c>
      <c r="I5231">
        <f>IF(E5231="Gmail",COUNTIF($E$2:E5231,"Gmail"),"")</f>
        <v/>
      </c>
      <c r="J5231">
        <f>IF(E5231="Outlook",COUNTIF($E$2:E5231,"Outlook"),"")</f>
        <v/>
      </c>
      <c r="K5231">
        <f>IF(E5231="Domain",COUNTIF($E$2:E5231,"Domain"),"")</f>
        <v/>
      </c>
    </row>
    <row r="5232">
      <c r="A5232" s="2" t="n"/>
      <c r="B5232">
        <f>LOWER(TRIM(A5232))</f>
        <v/>
      </c>
      <c r="C5232">
        <f>IF(B5232="","",IFERROR(INDEX('Bad Patterns'!$A$2:$A$120,MATCH(1,INDEX(--ISNUMBER(SEARCH('Bad Patterns'!$A$2:$A$120,B5232)),0),0)),""))</f>
        <v/>
      </c>
      <c r="D5232">
        <f>IF(B5232="","",IF(C5232&lt;&gt;"","REMOVE","KEEP"))</f>
        <v/>
      </c>
      <c r="E5232">
        <f>IF(D5232&lt;&gt;"KEEP","",IF(RIGHT(B5232,10)="@gmail.com","Gmail",IF(OR(RIGHT(B5232,12)="@outlook.com",RIGHT(B5232,12)="@hotmail.com",RIGHT(B5232,9)="@live.com"),"Outlook","Domain")))</f>
        <v/>
      </c>
      <c r="F5232">
        <f>IF(B5232="","",IFERROR(RIGHT(B5232,LEN(B5232)-FIND("@",B5232)),""))</f>
        <v/>
      </c>
      <c r="G5232">
        <f>IF(D5232="KEEP",COUNTIF($D$2:D5232,"KEEP"),"")</f>
        <v/>
      </c>
      <c r="H5232">
        <f>IF(D5232="REMOVE",COUNTIF($D$2:D5232,"REMOVE"),"")</f>
        <v/>
      </c>
      <c r="I5232">
        <f>IF(E5232="Gmail",COUNTIF($E$2:E5232,"Gmail"),"")</f>
        <v/>
      </c>
      <c r="J5232">
        <f>IF(E5232="Outlook",COUNTIF($E$2:E5232,"Outlook"),"")</f>
        <v/>
      </c>
      <c r="K5232">
        <f>IF(E5232="Domain",COUNTIF($E$2:E5232,"Domain"),"")</f>
        <v/>
      </c>
    </row>
    <row r="5233">
      <c r="A5233" s="2" t="n"/>
      <c r="B5233">
        <f>LOWER(TRIM(A5233))</f>
        <v/>
      </c>
      <c r="C5233">
        <f>IF(B5233="","",IFERROR(INDEX('Bad Patterns'!$A$2:$A$120,MATCH(1,INDEX(--ISNUMBER(SEARCH('Bad Patterns'!$A$2:$A$120,B5233)),0),0)),""))</f>
        <v/>
      </c>
      <c r="D5233">
        <f>IF(B5233="","",IF(C5233&lt;&gt;"","REMOVE","KEEP"))</f>
        <v/>
      </c>
      <c r="E5233">
        <f>IF(D5233&lt;&gt;"KEEP","",IF(RIGHT(B5233,10)="@gmail.com","Gmail",IF(OR(RIGHT(B5233,12)="@outlook.com",RIGHT(B5233,12)="@hotmail.com",RIGHT(B5233,9)="@live.com"),"Outlook","Domain")))</f>
        <v/>
      </c>
      <c r="F5233">
        <f>IF(B5233="","",IFERROR(RIGHT(B5233,LEN(B5233)-FIND("@",B5233)),""))</f>
        <v/>
      </c>
      <c r="G5233">
        <f>IF(D5233="KEEP",COUNTIF($D$2:D5233,"KEEP"),"")</f>
        <v/>
      </c>
      <c r="H5233">
        <f>IF(D5233="REMOVE",COUNTIF($D$2:D5233,"REMOVE"),"")</f>
        <v/>
      </c>
      <c r="I5233">
        <f>IF(E5233="Gmail",COUNTIF($E$2:E5233,"Gmail"),"")</f>
        <v/>
      </c>
      <c r="J5233">
        <f>IF(E5233="Outlook",COUNTIF($E$2:E5233,"Outlook"),"")</f>
        <v/>
      </c>
      <c r="K5233">
        <f>IF(E5233="Domain",COUNTIF($E$2:E5233,"Domain"),"")</f>
        <v/>
      </c>
    </row>
    <row r="5234">
      <c r="A5234" s="2" t="n"/>
      <c r="B5234">
        <f>LOWER(TRIM(A5234))</f>
        <v/>
      </c>
      <c r="C5234">
        <f>IF(B5234="","",IFERROR(INDEX('Bad Patterns'!$A$2:$A$120,MATCH(1,INDEX(--ISNUMBER(SEARCH('Bad Patterns'!$A$2:$A$120,B5234)),0),0)),""))</f>
        <v/>
      </c>
      <c r="D5234">
        <f>IF(B5234="","",IF(C5234&lt;&gt;"","REMOVE","KEEP"))</f>
        <v/>
      </c>
      <c r="E5234">
        <f>IF(D5234&lt;&gt;"KEEP","",IF(RIGHT(B5234,10)="@gmail.com","Gmail",IF(OR(RIGHT(B5234,12)="@outlook.com",RIGHT(B5234,12)="@hotmail.com",RIGHT(B5234,9)="@live.com"),"Outlook","Domain")))</f>
        <v/>
      </c>
      <c r="F5234">
        <f>IF(B5234="","",IFERROR(RIGHT(B5234,LEN(B5234)-FIND("@",B5234)),""))</f>
        <v/>
      </c>
      <c r="G5234">
        <f>IF(D5234="KEEP",COUNTIF($D$2:D5234,"KEEP"),"")</f>
        <v/>
      </c>
      <c r="H5234">
        <f>IF(D5234="REMOVE",COUNTIF($D$2:D5234,"REMOVE"),"")</f>
        <v/>
      </c>
      <c r="I5234">
        <f>IF(E5234="Gmail",COUNTIF($E$2:E5234,"Gmail"),"")</f>
        <v/>
      </c>
      <c r="J5234">
        <f>IF(E5234="Outlook",COUNTIF($E$2:E5234,"Outlook"),"")</f>
        <v/>
      </c>
      <c r="K5234">
        <f>IF(E5234="Domain",COUNTIF($E$2:E5234,"Domain"),"")</f>
        <v/>
      </c>
    </row>
    <row r="5235">
      <c r="A5235" s="2" t="n"/>
      <c r="B5235">
        <f>LOWER(TRIM(A5235))</f>
        <v/>
      </c>
      <c r="C5235">
        <f>IF(B5235="","",IFERROR(INDEX('Bad Patterns'!$A$2:$A$120,MATCH(1,INDEX(--ISNUMBER(SEARCH('Bad Patterns'!$A$2:$A$120,B5235)),0),0)),""))</f>
        <v/>
      </c>
      <c r="D5235">
        <f>IF(B5235="","",IF(C5235&lt;&gt;"","REMOVE","KEEP"))</f>
        <v/>
      </c>
      <c r="E5235">
        <f>IF(D5235&lt;&gt;"KEEP","",IF(RIGHT(B5235,10)="@gmail.com","Gmail",IF(OR(RIGHT(B5235,12)="@outlook.com",RIGHT(B5235,12)="@hotmail.com",RIGHT(B5235,9)="@live.com"),"Outlook","Domain")))</f>
        <v/>
      </c>
      <c r="F5235">
        <f>IF(B5235="","",IFERROR(RIGHT(B5235,LEN(B5235)-FIND("@",B5235)),""))</f>
        <v/>
      </c>
      <c r="G5235">
        <f>IF(D5235="KEEP",COUNTIF($D$2:D5235,"KEEP"),"")</f>
        <v/>
      </c>
      <c r="H5235">
        <f>IF(D5235="REMOVE",COUNTIF($D$2:D5235,"REMOVE"),"")</f>
        <v/>
      </c>
      <c r="I5235">
        <f>IF(E5235="Gmail",COUNTIF($E$2:E5235,"Gmail"),"")</f>
        <v/>
      </c>
      <c r="J5235">
        <f>IF(E5235="Outlook",COUNTIF($E$2:E5235,"Outlook"),"")</f>
        <v/>
      </c>
      <c r="K5235">
        <f>IF(E5235="Domain",COUNTIF($E$2:E5235,"Domain"),"")</f>
        <v/>
      </c>
    </row>
    <row r="5236">
      <c r="A5236" s="2" t="n"/>
      <c r="B5236">
        <f>LOWER(TRIM(A5236))</f>
        <v/>
      </c>
      <c r="C5236">
        <f>IF(B5236="","",IFERROR(INDEX('Bad Patterns'!$A$2:$A$120,MATCH(1,INDEX(--ISNUMBER(SEARCH('Bad Patterns'!$A$2:$A$120,B5236)),0),0)),""))</f>
        <v/>
      </c>
      <c r="D5236">
        <f>IF(B5236="","",IF(C5236&lt;&gt;"","REMOVE","KEEP"))</f>
        <v/>
      </c>
      <c r="E5236">
        <f>IF(D5236&lt;&gt;"KEEP","",IF(RIGHT(B5236,10)="@gmail.com","Gmail",IF(OR(RIGHT(B5236,12)="@outlook.com",RIGHT(B5236,12)="@hotmail.com",RIGHT(B5236,9)="@live.com"),"Outlook","Domain")))</f>
        <v/>
      </c>
      <c r="F5236">
        <f>IF(B5236="","",IFERROR(RIGHT(B5236,LEN(B5236)-FIND("@",B5236)),""))</f>
        <v/>
      </c>
      <c r="G5236">
        <f>IF(D5236="KEEP",COUNTIF($D$2:D5236,"KEEP"),"")</f>
        <v/>
      </c>
      <c r="H5236">
        <f>IF(D5236="REMOVE",COUNTIF($D$2:D5236,"REMOVE"),"")</f>
        <v/>
      </c>
      <c r="I5236">
        <f>IF(E5236="Gmail",COUNTIF($E$2:E5236,"Gmail"),"")</f>
        <v/>
      </c>
      <c r="J5236">
        <f>IF(E5236="Outlook",COUNTIF($E$2:E5236,"Outlook"),"")</f>
        <v/>
      </c>
      <c r="K5236">
        <f>IF(E5236="Domain",COUNTIF($E$2:E5236,"Domain"),"")</f>
        <v/>
      </c>
    </row>
    <row r="5237">
      <c r="A5237" s="2" t="n"/>
      <c r="B5237">
        <f>LOWER(TRIM(A5237))</f>
        <v/>
      </c>
      <c r="C5237">
        <f>IF(B5237="","",IFERROR(INDEX('Bad Patterns'!$A$2:$A$120,MATCH(1,INDEX(--ISNUMBER(SEARCH('Bad Patterns'!$A$2:$A$120,B5237)),0),0)),""))</f>
        <v/>
      </c>
      <c r="D5237">
        <f>IF(B5237="","",IF(C5237&lt;&gt;"","REMOVE","KEEP"))</f>
        <v/>
      </c>
      <c r="E5237">
        <f>IF(D5237&lt;&gt;"KEEP","",IF(RIGHT(B5237,10)="@gmail.com","Gmail",IF(OR(RIGHT(B5237,12)="@outlook.com",RIGHT(B5237,12)="@hotmail.com",RIGHT(B5237,9)="@live.com"),"Outlook","Domain")))</f>
        <v/>
      </c>
      <c r="F5237">
        <f>IF(B5237="","",IFERROR(RIGHT(B5237,LEN(B5237)-FIND("@",B5237)),""))</f>
        <v/>
      </c>
      <c r="G5237">
        <f>IF(D5237="KEEP",COUNTIF($D$2:D5237,"KEEP"),"")</f>
        <v/>
      </c>
      <c r="H5237">
        <f>IF(D5237="REMOVE",COUNTIF($D$2:D5237,"REMOVE"),"")</f>
        <v/>
      </c>
      <c r="I5237">
        <f>IF(E5237="Gmail",COUNTIF($E$2:E5237,"Gmail"),"")</f>
        <v/>
      </c>
      <c r="J5237">
        <f>IF(E5237="Outlook",COUNTIF($E$2:E5237,"Outlook"),"")</f>
        <v/>
      </c>
      <c r="K5237">
        <f>IF(E5237="Domain",COUNTIF($E$2:E5237,"Domain"),"")</f>
        <v/>
      </c>
    </row>
    <row r="5238">
      <c r="A5238" s="2" t="n"/>
      <c r="B5238">
        <f>LOWER(TRIM(A5238))</f>
        <v/>
      </c>
      <c r="C5238">
        <f>IF(B5238="","",IFERROR(INDEX('Bad Patterns'!$A$2:$A$120,MATCH(1,INDEX(--ISNUMBER(SEARCH('Bad Patterns'!$A$2:$A$120,B5238)),0),0)),""))</f>
        <v/>
      </c>
      <c r="D5238">
        <f>IF(B5238="","",IF(C5238&lt;&gt;"","REMOVE","KEEP"))</f>
        <v/>
      </c>
      <c r="E5238">
        <f>IF(D5238&lt;&gt;"KEEP","",IF(RIGHT(B5238,10)="@gmail.com","Gmail",IF(OR(RIGHT(B5238,12)="@outlook.com",RIGHT(B5238,12)="@hotmail.com",RIGHT(B5238,9)="@live.com"),"Outlook","Domain")))</f>
        <v/>
      </c>
      <c r="F5238">
        <f>IF(B5238="","",IFERROR(RIGHT(B5238,LEN(B5238)-FIND("@",B5238)),""))</f>
        <v/>
      </c>
      <c r="G5238">
        <f>IF(D5238="KEEP",COUNTIF($D$2:D5238,"KEEP"),"")</f>
        <v/>
      </c>
      <c r="H5238">
        <f>IF(D5238="REMOVE",COUNTIF($D$2:D5238,"REMOVE"),"")</f>
        <v/>
      </c>
      <c r="I5238">
        <f>IF(E5238="Gmail",COUNTIF($E$2:E5238,"Gmail"),"")</f>
        <v/>
      </c>
      <c r="J5238">
        <f>IF(E5238="Outlook",COUNTIF($E$2:E5238,"Outlook"),"")</f>
        <v/>
      </c>
      <c r="K5238">
        <f>IF(E5238="Domain",COUNTIF($E$2:E5238,"Domain"),"")</f>
        <v/>
      </c>
    </row>
    <row r="5239">
      <c r="A5239" s="2" t="n"/>
      <c r="B5239">
        <f>LOWER(TRIM(A5239))</f>
        <v/>
      </c>
      <c r="C5239">
        <f>IF(B5239="","",IFERROR(INDEX('Bad Patterns'!$A$2:$A$120,MATCH(1,INDEX(--ISNUMBER(SEARCH('Bad Patterns'!$A$2:$A$120,B5239)),0),0)),""))</f>
        <v/>
      </c>
      <c r="D5239">
        <f>IF(B5239="","",IF(C5239&lt;&gt;"","REMOVE","KEEP"))</f>
        <v/>
      </c>
      <c r="E5239">
        <f>IF(D5239&lt;&gt;"KEEP","",IF(RIGHT(B5239,10)="@gmail.com","Gmail",IF(OR(RIGHT(B5239,12)="@outlook.com",RIGHT(B5239,12)="@hotmail.com",RIGHT(B5239,9)="@live.com"),"Outlook","Domain")))</f>
        <v/>
      </c>
      <c r="F5239">
        <f>IF(B5239="","",IFERROR(RIGHT(B5239,LEN(B5239)-FIND("@",B5239)),""))</f>
        <v/>
      </c>
      <c r="G5239">
        <f>IF(D5239="KEEP",COUNTIF($D$2:D5239,"KEEP"),"")</f>
        <v/>
      </c>
      <c r="H5239">
        <f>IF(D5239="REMOVE",COUNTIF($D$2:D5239,"REMOVE"),"")</f>
        <v/>
      </c>
      <c r="I5239">
        <f>IF(E5239="Gmail",COUNTIF($E$2:E5239,"Gmail"),"")</f>
        <v/>
      </c>
      <c r="J5239">
        <f>IF(E5239="Outlook",COUNTIF($E$2:E5239,"Outlook"),"")</f>
        <v/>
      </c>
      <c r="K5239">
        <f>IF(E5239="Domain",COUNTIF($E$2:E5239,"Domain"),"")</f>
        <v/>
      </c>
    </row>
    <row r="5240">
      <c r="A5240" s="2" t="n"/>
      <c r="B5240">
        <f>LOWER(TRIM(A5240))</f>
        <v/>
      </c>
      <c r="C5240">
        <f>IF(B5240="","",IFERROR(INDEX('Bad Patterns'!$A$2:$A$120,MATCH(1,INDEX(--ISNUMBER(SEARCH('Bad Patterns'!$A$2:$A$120,B5240)),0),0)),""))</f>
        <v/>
      </c>
      <c r="D5240">
        <f>IF(B5240="","",IF(C5240&lt;&gt;"","REMOVE","KEEP"))</f>
        <v/>
      </c>
      <c r="E5240">
        <f>IF(D5240&lt;&gt;"KEEP","",IF(RIGHT(B5240,10)="@gmail.com","Gmail",IF(OR(RIGHT(B5240,12)="@outlook.com",RIGHT(B5240,12)="@hotmail.com",RIGHT(B5240,9)="@live.com"),"Outlook","Domain")))</f>
        <v/>
      </c>
      <c r="F5240">
        <f>IF(B5240="","",IFERROR(RIGHT(B5240,LEN(B5240)-FIND("@",B5240)),""))</f>
        <v/>
      </c>
      <c r="G5240">
        <f>IF(D5240="KEEP",COUNTIF($D$2:D5240,"KEEP"),"")</f>
        <v/>
      </c>
      <c r="H5240">
        <f>IF(D5240="REMOVE",COUNTIF($D$2:D5240,"REMOVE"),"")</f>
        <v/>
      </c>
      <c r="I5240">
        <f>IF(E5240="Gmail",COUNTIF($E$2:E5240,"Gmail"),"")</f>
        <v/>
      </c>
      <c r="J5240">
        <f>IF(E5240="Outlook",COUNTIF($E$2:E5240,"Outlook"),"")</f>
        <v/>
      </c>
      <c r="K5240">
        <f>IF(E5240="Domain",COUNTIF($E$2:E5240,"Domain"),"")</f>
        <v/>
      </c>
    </row>
    <row r="5241">
      <c r="A5241" s="2" t="n"/>
      <c r="B5241">
        <f>LOWER(TRIM(A5241))</f>
        <v/>
      </c>
      <c r="C5241">
        <f>IF(B5241="","",IFERROR(INDEX('Bad Patterns'!$A$2:$A$120,MATCH(1,INDEX(--ISNUMBER(SEARCH('Bad Patterns'!$A$2:$A$120,B5241)),0),0)),""))</f>
        <v/>
      </c>
      <c r="D5241">
        <f>IF(B5241="","",IF(C5241&lt;&gt;"","REMOVE","KEEP"))</f>
        <v/>
      </c>
      <c r="E5241">
        <f>IF(D5241&lt;&gt;"KEEP","",IF(RIGHT(B5241,10)="@gmail.com","Gmail",IF(OR(RIGHT(B5241,12)="@outlook.com",RIGHT(B5241,12)="@hotmail.com",RIGHT(B5241,9)="@live.com"),"Outlook","Domain")))</f>
        <v/>
      </c>
      <c r="F5241">
        <f>IF(B5241="","",IFERROR(RIGHT(B5241,LEN(B5241)-FIND("@",B5241)),""))</f>
        <v/>
      </c>
      <c r="G5241">
        <f>IF(D5241="KEEP",COUNTIF($D$2:D5241,"KEEP"),"")</f>
        <v/>
      </c>
      <c r="H5241">
        <f>IF(D5241="REMOVE",COUNTIF($D$2:D5241,"REMOVE"),"")</f>
        <v/>
      </c>
      <c r="I5241">
        <f>IF(E5241="Gmail",COUNTIF($E$2:E5241,"Gmail"),"")</f>
        <v/>
      </c>
      <c r="J5241">
        <f>IF(E5241="Outlook",COUNTIF($E$2:E5241,"Outlook"),"")</f>
        <v/>
      </c>
      <c r="K5241">
        <f>IF(E5241="Domain",COUNTIF($E$2:E5241,"Domain"),"")</f>
        <v/>
      </c>
    </row>
    <row r="5242">
      <c r="A5242" s="2" t="n"/>
      <c r="B5242">
        <f>LOWER(TRIM(A5242))</f>
        <v/>
      </c>
      <c r="C5242">
        <f>IF(B5242="","",IFERROR(INDEX('Bad Patterns'!$A$2:$A$120,MATCH(1,INDEX(--ISNUMBER(SEARCH('Bad Patterns'!$A$2:$A$120,B5242)),0),0)),""))</f>
        <v/>
      </c>
      <c r="D5242">
        <f>IF(B5242="","",IF(C5242&lt;&gt;"","REMOVE","KEEP"))</f>
        <v/>
      </c>
      <c r="E5242">
        <f>IF(D5242&lt;&gt;"KEEP","",IF(RIGHT(B5242,10)="@gmail.com","Gmail",IF(OR(RIGHT(B5242,12)="@outlook.com",RIGHT(B5242,12)="@hotmail.com",RIGHT(B5242,9)="@live.com"),"Outlook","Domain")))</f>
        <v/>
      </c>
      <c r="F5242">
        <f>IF(B5242="","",IFERROR(RIGHT(B5242,LEN(B5242)-FIND("@",B5242)),""))</f>
        <v/>
      </c>
      <c r="G5242">
        <f>IF(D5242="KEEP",COUNTIF($D$2:D5242,"KEEP"),"")</f>
        <v/>
      </c>
      <c r="H5242">
        <f>IF(D5242="REMOVE",COUNTIF($D$2:D5242,"REMOVE"),"")</f>
        <v/>
      </c>
      <c r="I5242">
        <f>IF(E5242="Gmail",COUNTIF($E$2:E5242,"Gmail"),"")</f>
        <v/>
      </c>
      <c r="J5242">
        <f>IF(E5242="Outlook",COUNTIF($E$2:E5242,"Outlook"),"")</f>
        <v/>
      </c>
      <c r="K5242">
        <f>IF(E5242="Domain",COUNTIF($E$2:E5242,"Domain"),"")</f>
        <v/>
      </c>
    </row>
    <row r="5243">
      <c r="A5243" s="2" t="n"/>
      <c r="B5243">
        <f>LOWER(TRIM(A5243))</f>
        <v/>
      </c>
      <c r="C5243">
        <f>IF(B5243="","",IFERROR(INDEX('Bad Patterns'!$A$2:$A$120,MATCH(1,INDEX(--ISNUMBER(SEARCH('Bad Patterns'!$A$2:$A$120,B5243)),0),0)),""))</f>
        <v/>
      </c>
      <c r="D5243">
        <f>IF(B5243="","",IF(C5243&lt;&gt;"","REMOVE","KEEP"))</f>
        <v/>
      </c>
      <c r="E5243">
        <f>IF(D5243&lt;&gt;"KEEP","",IF(RIGHT(B5243,10)="@gmail.com","Gmail",IF(OR(RIGHT(B5243,12)="@outlook.com",RIGHT(B5243,12)="@hotmail.com",RIGHT(B5243,9)="@live.com"),"Outlook","Domain")))</f>
        <v/>
      </c>
      <c r="F5243">
        <f>IF(B5243="","",IFERROR(RIGHT(B5243,LEN(B5243)-FIND("@",B5243)),""))</f>
        <v/>
      </c>
      <c r="G5243">
        <f>IF(D5243="KEEP",COUNTIF($D$2:D5243,"KEEP"),"")</f>
        <v/>
      </c>
      <c r="H5243">
        <f>IF(D5243="REMOVE",COUNTIF($D$2:D5243,"REMOVE"),"")</f>
        <v/>
      </c>
      <c r="I5243">
        <f>IF(E5243="Gmail",COUNTIF($E$2:E5243,"Gmail"),"")</f>
        <v/>
      </c>
      <c r="J5243">
        <f>IF(E5243="Outlook",COUNTIF($E$2:E5243,"Outlook"),"")</f>
        <v/>
      </c>
      <c r="K5243">
        <f>IF(E5243="Domain",COUNTIF($E$2:E5243,"Domain"),"")</f>
        <v/>
      </c>
    </row>
    <row r="5244">
      <c r="A5244" s="2" t="n"/>
      <c r="B5244">
        <f>LOWER(TRIM(A5244))</f>
        <v/>
      </c>
      <c r="C5244">
        <f>IF(B5244="","",IFERROR(INDEX('Bad Patterns'!$A$2:$A$120,MATCH(1,INDEX(--ISNUMBER(SEARCH('Bad Patterns'!$A$2:$A$120,B5244)),0),0)),""))</f>
        <v/>
      </c>
      <c r="D5244">
        <f>IF(B5244="","",IF(C5244&lt;&gt;"","REMOVE","KEEP"))</f>
        <v/>
      </c>
      <c r="E5244">
        <f>IF(D5244&lt;&gt;"KEEP","",IF(RIGHT(B5244,10)="@gmail.com","Gmail",IF(OR(RIGHT(B5244,12)="@outlook.com",RIGHT(B5244,12)="@hotmail.com",RIGHT(B5244,9)="@live.com"),"Outlook","Domain")))</f>
        <v/>
      </c>
      <c r="F5244">
        <f>IF(B5244="","",IFERROR(RIGHT(B5244,LEN(B5244)-FIND("@",B5244)),""))</f>
        <v/>
      </c>
      <c r="G5244">
        <f>IF(D5244="KEEP",COUNTIF($D$2:D5244,"KEEP"),"")</f>
        <v/>
      </c>
      <c r="H5244">
        <f>IF(D5244="REMOVE",COUNTIF($D$2:D5244,"REMOVE"),"")</f>
        <v/>
      </c>
      <c r="I5244">
        <f>IF(E5244="Gmail",COUNTIF($E$2:E5244,"Gmail"),"")</f>
        <v/>
      </c>
      <c r="J5244">
        <f>IF(E5244="Outlook",COUNTIF($E$2:E5244,"Outlook"),"")</f>
        <v/>
      </c>
      <c r="K5244">
        <f>IF(E5244="Domain",COUNTIF($E$2:E5244,"Domain"),"")</f>
        <v/>
      </c>
    </row>
    <row r="5245">
      <c r="A5245" s="2" t="n"/>
      <c r="B5245">
        <f>LOWER(TRIM(A5245))</f>
        <v/>
      </c>
      <c r="C5245">
        <f>IF(B5245="","",IFERROR(INDEX('Bad Patterns'!$A$2:$A$120,MATCH(1,INDEX(--ISNUMBER(SEARCH('Bad Patterns'!$A$2:$A$120,B5245)),0),0)),""))</f>
        <v/>
      </c>
      <c r="D5245">
        <f>IF(B5245="","",IF(C5245&lt;&gt;"","REMOVE","KEEP"))</f>
        <v/>
      </c>
      <c r="E5245">
        <f>IF(D5245&lt;&gt;"KEEP","",IF(RIGHT(B5245,10)="@gmail.com","Gmail",IF(OR(RIGHT(B5245,12)="@outlook.com",RIGHT(B5245,12)="@hotmail.com",RIGHT(B5245,9)="@live.com"),"Outlook","Domain")))</f>
        <v/>
      </c>
      <c r="F5245">
        <f>IF(B5245="","",IFERROR(RIGHT(B5245,LEN(B5245)-FIND("@",B5245)),""))</f>
        <v/>
      </c>
      <c r="G5245">
        <f>IF(D5245="KEEP",COUNTIF($D$2:D5245,"KEEP"),"")</f>
        <v/>
      </c>
      <c r="H5245">
        <f>IF(D5245="REMOVE",COUNTIF($D$2:D5245,"REMOVE"),"")</f>
        <v/>
      </c>
      <c r="I5245">
        <f>IF(E5245="Gmail",COUNTIF($E$2:E5245,"Gmail"),"")</f>
        <v/>
      </c>
      <c r="J5245">
        <f>IF(E5245="Outlook",COUNTIF($E$2:E5245,"Outlook"),"")</f>
        <v/>
      </c>
      <c r="K5245">
        <f>IF(E5245="Domain",COUNTIF($E$2:E5245,"Domain"),"")</f>
        <v/>
      </c>
    </row>
    <row r="5246">
      <c r="A5246" s="2" t="n"/>
      <c r="B5246">
        <f>LOWER(TRIM(A5246))</f>
        <v/>
      </c>
      <c r="C5246">
        <f>IF(B5246="","",IFERROR(INDEX('Bad Patterns'!$A$2:$A$120,MATCH(1,INDEX(--ISNUMBER(SEARCH('Bad Patterns'!$A$2:$A$120,B5246)),0),0)),""))</f>
        <v/>
      </c>
      <c r="D5246">
        <f>IF(B5246="","",IF(C5246&lt;&gt;"","REMOVE","KEEP"))</f>
        <v/>
      </c>
      <c r="E5246">
        <f>IF(D5246&lt;&gt;"KEEP","",IF(RIGHT(B5246,10)="@gmail.com","Gmail",IF(OR(RIGHT(B5246,12)="@outlook.com",RIGHT(B5246,12)="@hotmail.com",RIGHT(B5246,9)="@live.com"),"Outlook","Domain")))</f>
        <v/>
      </c>
      <c r="F5246">
        <f>IF(B5246="","",IFERROR(RIGHT(B5246,LEN(B5246)-FIND("@",B5246)),""))</f>
        <v/>
      </c>
      <c r="G5246">
        <f>IF(D5246="KEEP",COUNTIF($D$2:D5246,"KEEP"),"")</f>
        <v/>
      </c>
      <c r="H5246">
        <f>IF(D5246="REMOVE",COUNTIF($D$2:D5246,"REMOVE"),"")</f>
        <v/>
      </c>
      <c r="I5246">
        <f>IF(E5246="Gmail",COUNTIF($E$2:E5246,"Gmail"),"")</f>
        <v/>
      </c>
      <c r="J5246">
        <f>IF(E5246="Outlook",COUNTIF($E$2:E5246,"Outlook"),"")</f>
        <v/>
      </c>
      <c r="K5246">
        <f>IF(E5246="Domain",COUNTIF($E$2:E5246,"Domain"),"")</f>
        <v/>
      </c>
    </row>
    <row r="5247">
      <c r="A5247" s="2" t="n"/>
      <c r="B5247">
        <f>LOWER(TRIM(A5247))</f>
        <v/>
      </c>
      <c r="C5247">
        <f>IF(B5247="","",IFERROR(INDEX('Bad Patterns'!$A$2:$A$120,MATCH(1,INDEX(--ISNUMBER(SEARCH('Bad Patterns'!$A$2:$A$120,B5247)),0),0)),""))</f>
        <v/>
      </c>
      <c r="D5247">
        <f>IF(B5247="","",IF(C5247&lt;&gt;"","REMOVE","KEEP"))</f>
        <v/>
      </c>
      <c r="E5247">
        <f>IF(D5247&lt;&gt;"KEEP","",IF(RIGHT(B5247,10)="@gmail.com","Gmail",IF(OR(RIGHT(B5247,12)="@outlook.com",RIGHT(B5247,12)="@hotmail.com",RIGHT(B5247,9)="@live.com"),"Outlook","Domain")))</f>
        <v/>
      </c>
      <c r="F5247">
        <f>IF(B5247="","",IFERROR(RIGHT(B5247,LEN(B5247)-FIND("@",B5247)),""))</f>
        <v/>
      </c>
      <c r="G5247">
        <f>IF(D5247="KEEP",COUNTIF($D$2:D5247,"KEEP"),"")</f>
        <v/>
      </c>
      <c r="H5247">
        <f>IF(D5247="REMOVE",COUNTIF($D$2:D5247,"REMOVE"),"")</f>
        <v/>
      </c>
      <c r="I5247">
        <f>IF(E5247="Gmail",COUNTIF($E$2:E5247,"Gmail"),"")</f>
        <v/>
      </c>
      <c r="J5247">
        <f>IF(E5247="Outlook",COUNTIF($E$2:E5247,"Outlook"),"")</f>
        <v/>
      </c>
      <c r="K5247">
        <f>IF(E5247="Domain",COUNTIF($E$2:E5247,"Domain"),"")</f>
        <v/>
      </c>
    </row>
    <row r="5248">
      <c r="A5248" s="2" t="n"/>
      <c r="B5248">
        <f>LOWER(TRIM(A5248))</f>
        <v/>
      </c>
      <c r="C5248">
        <f>IF(B5248="","",IFERROR(INDEX('Bad Patterns'!$A$2:$A$120,MATCH(1,INDEX(--ISNUMBER(SEARCH('Bad Patterns'!$A$2:$A$120,B5248)),0),0)),""))</f>
        <v/>
      </c>
      <c r="D5248">
        <f>IF(B5248="","",IF(C5248&lt;&gt;"","REMOVE","KEEP"))</f>
        <v/>
      </c>
      <c r="E5248">
        <f>IF(D5248&lt;&gt;"KEEP","",IF(RIGHT(B5248,10)="@gmail.com","Gmail",IF(OR(RIGHT(B5248,12)="@outlook.com",RIGHT(B5248,12)="@hotmail.com",RIGHT(B5248,9)="@live.com"),"Outlook","Domain")))</f>
        <v/>
      </c>
      <c r="F5248">
        <f>IF(B5248="","",IFERROR(RIGHT(B5248,LEN(B5248)-FIND("@",B5248)),""))</f>
        <v/>
      </c>
      <c r="G5248">
        <f>IF(D5248="KEEP",COUNTIF($D$2:D5248,"KEEP"),"")</f>
        <v/>
      </c>
      <c r="H5248">
        <f>IF(D5248="REMOVE",COUNTIF($D$2:D5248,"REMOVE"),"")</f>
        <v/>
      </c>
      <c r="I5248">
        <f>IF(E5248="Gmail",COUNTIF($E$2:E5248,"Gmail"),"")</f>
        <v/>
      </c>
      <c r="J5248">
        <f>IF(E5248="Outlook",COUNTIF($E$2:E5248,"Outlook"),"")</f>
        <v/>
      </c>
      <c r="K5248">
        <f>IF(E5248="Domain",COUNTIF($E$2:E5248,"Domain"),"")</f>
        <v/>
      </c>
    </row>
    <row r="5249">
      <c r="A5249" s="2" t="n"/>
      <c r="B5249">
        <f>LOWER(TRIM(A5249))</f>
        <v/>
      </c>
      <c r="C5249">
        <f>IF(B5249="","",IFERROR(INDEX('Bad Patterns'!$A$2:$A$120,MATCH(1,INDEX(--ISNUMBER(SEARCH('Bad Patterns'!$A$2:$A$120,B5249)),0),0)),""))</f>
        <v/>
      </c>
      <c r="D5249">
        <f>IF(B5249="","",IF(C5249&lt;&gt;"","REMOVE","KEEP"))</f>
        <v/>
      </c>
      <c r="E5249">
        <f>IF(D5249&lt;&gt;"KEEP","",IF(RIGHT(B5249,10)="@gmail.com","Gmail",IF(OR(RIGHT(B5249,12)="@outlook.com",RIGHT(B5249,12)="@hotmail.com",RIGHT(B5249,9)="@live.com"),"Outlook","Domain")))</f>
        <v/>
      </c>
      <c r="F5249">
        <f>IF(B5249="","",IFERROR(RIGHT(B5249,LEN(B5249)-FIND("@",B5249)),""))</f>
        <v/>
      </c>
      <c r="G5249">
        <f>IF(D5249="KEEP",COUNTIF($D$2:D5249,"KEEP"),"")</f>
        <v/>
      </c>
      <c r="H5249">
        <f>IF(D5249="REMOVE",COUNTIF($D$2:D5249,"REMOVE"),"")</f>
        <v/>
      </c>
      <c r="I5249">
        <f>IF(E5249="Gmail",COUNTIF($E$2:E5249,"Gmail"),"")</f>
        <v/>
      </c>
      <c r="J5249">
        <f>IF(E5249="Outlook",COUNTIF($E$2:E5249,"Outlook"),"")</f>
        <v/>
      </c>
      <c r="K5249">
        <f>IF(E5249="Domain",COUNTIF($E$2:E5249,"Domain"),"")</f>
        <v/>
      </c>
    </row>
    <row r="5250">
      <c r="A5250" s="2" t="n"/>
      <c r="B5250">
        <f>LOWER(TRIM(A5250))</f>
        <v/>
      </c>
      <c r="C5250">
        <f>IF(B5250="","",IFERROR(INDEX('Bad Patterns'!$A$2:$A$120,MATCH(1,INDEX(--ISNUMBER(SEARCH('Bad Patterns'!$A$2:$A$120,B5250)),0),0)),""))</f>
        <v/>
      </c>
      <c r="D5250">
        <f>IF(B5250="","",IF(C5250&lt;&gt;"","REMOVE","KEEP"))</f>
        <v/>
      </c>
      <c r="E5250">
        <f>IF(D5250&lt;&gt;"KEEP","",IF(RIGHT(B5250,10)="@gmail.com","Gmail",IF(OR(RIGHT(B5250,12)="@outlook.com",RIGHT(B5250,12)="@hotmail.com",RIGHT(B5250,9)="@live.com"),"Outlook","Domain")))</f>
        <v/>
      </c>
      <c r="F5250">
        <f>IF(B5250="","",IFERROR(RIGHT(B5250,LEN(B5250)-FIND("@",B5250)),""))</f>
        <v/>
      </c>
      <c r="G5250">
        <f>IF(D5250="KEEP",COUNTIF($D$2:D5250,"KEEP"),"")</f>
        <v/>
      </c>
      <c r="H5250">
        <f>IF(D5250="REMOVE",COUNTIF($D$2:D5250,"REMOVE"),"")</f>
        <v/>
      </c>
      <c r="I5250">
        <f>IF(E5250="Gmail",COUNTIF($E$2:E5250,"Gmail"),"")</f>
        <v/>
      </c>
      <c r="J5250">
        <f>IF(E5250="Outlook",COUNTIF($E$2:E5250,"Outlook"),"")</f>
        <v/>
      </c>
      <c r="K5250">
        <f>IF(E5250="Domain",COUNTIF($E$2:E5250,"Domain"),"")</f>
        <v/>
      </c>
    </row>
    <row r="5251">
      <c r="A5251" s="2" t="n"/>
      <c r="B5251">
        <f>LOWER(TRIM(A5251))</f>
        <v/>
      </c>
      <c r="C5251">
        <f>IF(B5251="","",IFERROR(INDEX('Bad Patterns'!$A$2:$A$120,MATCH(1,INDEX(--ISNUMBER(SEARCH('Bad Patterns'!$A$2:$A$120,B5251)),0),0)),""))</f>
        <v/>
      </c>
      <c r="D5251">
        <f>IF(B5251="","",IF(C5251&lt;&gt;"","REMOVE","KEEP"))</f>
        <v/>
      </c>
      <c r="E5251">
        <f>IF(D5251&lt;&gt;"KEEP","",IF(RIGHT(B5251,10)="@gmail.com","Gmail",IF(OR(RIGHT(B5251,12)="@outlook.com",RIGHT(B5251,12)="@hotmail.com",RIGHT(B5251,9)="@live.com"),"Outlook","Domain")))</f>
        <v/>
      </c>
      <c r="F5251">
        <f>IF(B5251="","",IFERROR(RIGHT(B5251,LEN(B5251)-FIND("@",B5251)),""))</f>
        <v/>
      </c>
      <c r="G5251">
        <f>IF(D5251="KEEP",COUNTIF($D$2:D5251,"KEEP"),"")</f>
        <v/>
      </c>
      <c r="H5251">
        <f>IF(D5251="REMOVE",COUNTIF($D$2:D5251,"REMOVE"),"")</f>
        <v/>
      </c>
      <c r="I5251">
        <f>IF(E5251="Gmail",COUNTIF($E$2:E5251,"Gmail"),"")</f>
        <v/>
      </c>
      <c r="J5251">
        <f>IF(E5251="Outlook",COUNTIF($E$2:E5251,"Outlook"),"")</f>
        <v/>
      </c>
      <c r="K5251">
        <f>IF(E5251="Domain",COUNTIF($E$2:E5251,"Domain"),"")</f>
        <v/>
      </c>
    </row>
    <row r="5252">
      <c r="A5252" s="2" t="n"/>
      <c r="B5252">
        <f>LOWER(TRIM(A5252))</f>
        <v/>
      </c>
      <c r="C5252">
        <f>IF(B5252="","",IFERROR(INDEX('Bad Patterns'!$A$2:$A$120,MATCH(1,INDEX(--ISNUMBER(SEARCH('Bad Patterns'!$A$2:$A$120,B5252)),0),0)),""))</f>
        <v/>
      </c>
      <c r="D5252">
        <f>IF(B5252="","",IF(C5252&lt;&gt;"","REMOVE","KEEP"))</f>
        <v/>
      </c>
      <c r="E5252">
        <f>IF(D5252&lt;&gt;"KEEP","",IF(RIGHT(B5252,10)="@gmail.com","Gmail",IF(OR(RIGHT(B5252,12)="@outlook.com",RIGHT(B5252,12)="@hotmail.com",RIGHT(B5252,9)="@live.com"),"Outlook","Domain")))</f>
        <v/>
      </c>
      <c r="F5252">
        <f>IF(B5252="","",IFERROR(RIGHT(B5252,LEN(B5252)-FIND("@",B5252)),""))</f>
        <v/>
      </c>
      <c r="G5252">
        <f>IF(D5252="KEEP",COUNTIF($D$2:D5252,"KEEP"),"")</f>
        <v/>
      </c>
      <c r="H5252">
        <f>IF(D5252="REMOVE",COUNTIF($D$2:D5252,"REMOVE"),"")</f>
        <v/>
      </c>
      <c r="I5252">
        <f>IF(E5252="Gmail",COUNTIF($E$2:E5252,"Gmail"),"")</f>
        <v/>
      </c>
      <c r="J5252">
        <f>IF(E5252="Outlook",COUNTIF($E$2:E5252,"Outlook"),"")</f>
        <v/>
      </c>
      <c r="K5252">
        <f>IF(E5252="Domain",COUNTIF($E$2:E5252,"Domain"),"")</f>
        <v/>
      </c>
    </row>
    <row r="5253">
      <c r="A5253" s="2" t="n"/>
      <c r="B5253">
        <f>LOWER(TRIM(A5253))</f>
        <v/>
      </c>
      <c r="C5253">
        <f>IF(B5253="","",IFERROR(INDEX('Bad Patterns'!$A$2:$A$120,MATCH(1,INDEX(--ISNUMBER(SEARCH('Bad Patterns'!$A$2:$A$120,B5253)),0),0)),""))</f>
        <v/>
      </c>
      <c r="D5253">
        <f>IF(B5253="","",IF(C5253&lt;&gt;"","REMOVE","KEEP"))</f>
        <v/>
      </c>
      <c r="E5253">
        <f>IF(D5253&lt;&gt;"KEEP","",IF(RIGHT(B5253,10)="@gmail.com","Gmail",IF(OR(RIGHT(B5253,12)="@outlook.com",RIGHT(B5253,12)="@hotmail.com",RIGHT(B5253,9)="@live.com"),"Outlook","Domain")))</f>
        <v/>
      </c>
      <c r="F5253">
        <f>IF(B5253="","",IFERROR(RIGHT(B5253,LEN(B5253)-FIND("@",B5253)),""))</f>
        <v/>
      </c>
      <c r="G5253">
        <f>IF(D5253="KEEP",COUNTIF($D$2:D5253,"KEEP"),"")</f>
        <v/>
      </c>
      <c r="H5253">
        <f>IF(D5253="REMOVE",COUNTIF($D$2:D5253,"REMOVE"),"")</f>
        <v/>
      </c>
      <c r="I5253">
        <f>IF(E5253="Gmail",COUNTIF($E$2:E5253,"Gmail"),"")</f>
        <v/>
      </c>
      <c r="J5253">
        <f>IF(E5253="Outlook",COUNTIF($E$2:E5253,"Outlook"),"")</f>
        <v/>
      </c>
      <c r="K5253">
        <f>IF(E5253="Domain",COUNTIF($E$2:E5253,"Domain"),"")</f>
        <v/>
      </c>
    </row>
    <row r="5254">
      <c r="A5254" s="2" t="n"/>
      <c r="B5254">
        <f>LOWER(TRIM(A5254))</f>
        <v/>
      </c>
      <c r="C5254">
        <f>IF(B5254="","",IFERROR(INDEX('Bad Patterns'!$A$2:$A$120,MATCH(1,INDEX(--ISNUMBER(SEARCH('Bad Patterns'!$A$2:$A$120,B5254)),0),0)),""))</f>
        <v/>
      </c>
      <c r="D5254">
        <f>IF(B5254="","",IF(C5254&lt;&gt;"","REMOVE","KEEP"))</f>
        <v/>
      </c>
      <c r="E5254">
        <f>IF(D5254&lt;&gt;"KEEP","",IF(RIGHT(B5254,10)="@gmail.com","Gmail",IF(OR(RIGHT(B5254,12)="@outlook.com",RIGHT(B5254,12)="@hotmail.com",RIGHT(B5254,9)="@live.com"),"Outlook","Domain")))</f>
        <v/>
      </c>
      <c r="F5254">
        <f>IF(B5254="","",IFERROR(RIGHT(B5254,LEN(B5254)-FIND("@",B5254)),""))</f>
        <v/>
      </c>
      <c r="G5254">
        <f>IF(D5254="KEEP",COUNTIF($D$2:D5254,"KEEP"),"")</f>
        <v/>
      </c>
      <c r="H5254">
        <f>IF(D5254="REMOVE",COUNTIF($D$2:D5254,"REMOVE"),"")</f>
        <v/>
      </c>
      <c r="I5254">
        <f>IF(E5254="Gmail",COUNTIF($E$2:E5254,"Gmail"),"")</f>
        <v/>
      </c>
      <c r="J5254">
        <f>IF(E5254="Outlook",COUNTIF($E$2:E5254,"Outlook"),"")</f>
        <v/>
      </c>
      <c r="K5254">
        <f>IF(E5254="Domain",COUNTIF($E$2:E5254,"Domain"),"")</f>
        <v/>
      </c>
    </row>
    <row r="5255">
      <c r="A5255" s="2" t="n"/>
      <c r="B5255">
        <f>LOWER(TRIM(A5255))</f>
        <v/>
      </c>
      <c r="C5255">
        <f>IF(B5255="","",IFERROR(INDEX('Bad Patterns'!$A$2:$A$120,MATCH(1,INDEX(--ISNUMBER(SEARCH('Bad Patterns'!$A$2:$A$120,B5255)),0),0)),""))</f>
        <v/>
      </c>
      <c r="D5255">
        <f>IF(B5255="","",IF(C5255&lt;&gt;"","REMOVE","KEEP"))</f>
        <v/>
      </c>
      <c r="E5255">
        <f>IF(D5255&lt;&gt;"KEEP","",IF(RIGHT(B5255,10)="@gmail.com","Gmail",IF(OR(RIGHT(B5255,12)="@outlook.com",RIGHT(B5255,12)="@hotmail.com",RIGHT(B5255,9)="@live.com"),"Outlook","Domain")))</f>
        <v/>
      </c>
      <c r="F5255">
        <f>IF(B5255="","",IFERROR(RIGHT(B5255,LEN(B5255)-FIND("@",B5255)),""))</f>
        <v/>
      </c>
      <c r="G5255">
        <f>IF(D5255="KEEP",COUNTIF($D$2:D5255,"KEEP"),"")</f>
        <v/>
      </c>
      <c r="H5255">
        <f>IF(D5255="REMOVE",COUNTIF($D$2:D5255,"REMOVE"),"")</f>
        <v/>
      </c>
      <c r="I5255">
        <f>IF(E5255="Gmail",COUNTIF($E$2:E5255,"Gmail"),"")</f>
        <v/>
      </c>
      <c r="J5255">
        <f>IF(E5255="Outlook",COUNTIF($E$2:E5255,"Outlook"),"")</f>
        <v/>
      </c>
      <c r="K5255">
        <f>IF(E5255="Domain",COUNTIF($E$2:E5255,"Domain"),"")</f>
        <v/>
      </c>
    </row>
    <row r="5256">
      <c r="A5256" s="2" t="n"/>
      <c r="B5256">
        <f>LOWER(TRIM(A5256))</f>
        <v/>
      </c>
      <c r="C5256">
        <f>IF(B5256="","",IFERROR(INDEX('Bad Patterns'!$A$2:$A$120,MATCH(1,INDEX(--ISNUMBER(SEARCH('Bad Patterns'!$A$2:$A$120,B5256)),0),0)),""))</f>
        <v/>
      </c>
      <c r="D5256">
        <f>IF(B5256="","",IF(C5256&lt;&gt;"","REMOVE","KEEP"))</f>
        <v/>
      </c>
      <c r="E5256">
        <f>IF(D5256&lt;&gt;"KEEP","",IF(RIGHT(B5256,10)="@gmail.com","Gmail",IF(OR(RIGHT(B5256,12)="@outlook.com",RIGHT(B5256,12)="@hotmail.com",RIGHT(B5256,9)="@live.com"),"Outlook","Domain")))</f>
        <v/>
      </c>
      <c r="F5256">
        <f>IF(B5256="","",IFERROR(RIGHT(B5256,LEN(B5256)-FIND("@",B5256)),""))</f>
        <v/>
      </c>
      <c r="G5256">
        <f>IF(D5256="KEEP",COUNTIF($D$2:D5256,"KEEP"),"")</f>
        <v/>
      </c>
      <c r="H5256">
        <f>IF(D5256="REMOVE",COUNTIF($D$2:D5256,"REMOVE"),"")</f>
        <v/>
      </c>
      <c r="I5256">
        <f>IF(E5256="Gmail",COUNTIF($E$2:E5256,"Gmail"),"")</f>
        <v/>
      </c>
      <c r="J5256">
        <f>IF(E5256="Outlook",COUNTIF($E$2:E5256,"Outlook"),"")</f>
        <v/>
      </c>
      <c r="K5256">
        <f>IF(E5256="Domain",COUNTIF($E$2:E5256,"Domain"),"")</f>
        <v/>
      </c>
    </row>
    <row r="5257">
      <c r="A5257" s="2" t="n"/>
      <c r="B5257">
        <f>LOWER(TRIM(A5257))</f>
        <v/>
      </c>
      <c r="C5257">
        <f>IF(B5257="","",IFERROR(INDEX('Bad Patterns'!$A$2:$A$120,MATCH(1,INDEX(--ISNUMBER(SEARCH('Bad Patterns'!$A$2:$A$120,B5257)),0),0)),""))</f>
        <v/>
      </c>
      <c r="D5257">
        <f>IF(B5257="","",IF(C5257&lt;&gt;"","REMOVE","KEEP"))</f>
        <v/>
      </c>
      <c r="E5257">
        <f>IF(D5257&lt;&gt;"KEEP","",IF(RIGHT(B5257,10)="@gmail.com","Gmail",IF(OR(RIGHT(B5257,12)="@outlook.com",RIGHT(B5257,12)="@hotmail.com",RIGHT(B5257,9)="@live.com"),"Outlook","Domain")))</f>
        <v/>
      </c>
      <c r="F5257">
        <f>IF(B5257="","",IFERROR(RIGHT(B5257,LEN(B5257)-FIND("@",B5257)),""))</f>
        <v/>
      </c>
      <c r="G5257">
        <f>IF(D5257="KEEP",COUNTIF($D$2:D5257,"KEEP"),"")</f>
        <v/>
      </c>
      <c r="H5257">
        <f>IF(D5257="REMOVE",COUNTIF($D$2:D5257,"REMOVE"),"")</f>
        <v/>
      </c>
      <c r="I5257">
        <f>IF(E5257="Gmail",COUNTIF($E$2:E5257,"Gmail"),"")</f>
        <v/>
      </c>
      <c r="J5257">
        <f>IF(E5257="Outlook",COUNTIF($E$2:E5257,"Outlook"),"")</f>
        <v/>
      </c>
      <c r="K5257">
        <f>IF(E5257="Domain",COUNTIF($E$2:E5257,"Domain"),"")</f>
        <v/>
      </c>
    </row>
    <row r="5258">
      <c r="A5258" s="2" t="n"/>
      <c r="B5258">
        <f>LOWER(TRIM(A5258))</f>
        <v/>
      </c>
      <c r="C5258">
        <f>IF(B5258="","",IFERROR(INDEX('Bad Patterns'!$A$2:$A$120,MATCH(1,INDEX(--ISNUMBER(SEARCH('Bad Patterns'!$A$2:$A$120,B5258)),0),0)),""))</f>
        <v/>
      </c>
      <c r="D5258">
        <f>IF(B5258="","",IF(C5258&lt;&gt;"","REMOVE","KEEP"))</f>
        <v/>
      </c>
      <c r="E5258">
        <f>IF(D5258&lt;&gt;"KEEP","",IF(RIGHT(B5258,10)="@gmail.com","Gmail",IF(OR(RIGHT(B5258,12)="@outlook.com",RIGHT(B5258,12)="@hotmail.com",RIGHT(B5258,9)="@live.com"),"Outlook","Domain")))</f>
        <v/>
      </c>
      <c r="F5258">
        <f>IF(B5258="","",IFERROR(RIGHT(B5258,LEN(B5258)-FIND("@",B5258)),""))</f>
        <v/>
      </c>
      <c r="G5258">
        <f>IF(D5258="KEEP",COUNTIF($D$2:D5258,"KEEP"),"")</f>
        <v/>
      </c>
      <c r="H5258">
        <f>IF(D5258="REMOVE",COUNTIF($D$2:D5258,"REMOVE"),"")</f>
        <v/>
      </c>
      <c r="I5258">
        <f>IF(E5258="Gmail",COUNTIF($E$2:E5258,"Gmail"),"")</f>
        <v/>
      </c>
      <c r="J5258">
        <f>IF(E5258="Outlook",COUNTIF($E$2:E5258,"Outlook"),"")</f>
        <v/>
      </c>
      <c r="K5258">
        <f>IF(E5258="Domain",COUNTIF($E$2:E5258,"Domain"),"")</f>
        <v/>
      </c>
    </row>
    <row r="5259">
      <c r="A5259" s="2" t="n"/>
      <c r="B5259">
        <f>LOWER(TRIM(A5259))</f>
        <v/>
      </c>
      <c r="C5259">
        <f>IF(B5259="","",IFERROR(INDEX('Bad Patterns'!$A$2:$A$120,MATCH(1,INDEX(--ISNUMBER(SEARCH('Bad Patterns'!$A$2:$A$120,B5259)),0),0)),""))</f>
        <v/>
      </c>
      <c r="D5259">
        <f>IF(B5259="","",IF(C5259&lt;&gt;"","REMOVE","KEEP"))</f>
        <v/>
      </c>
      <c r="E5259">
        <f>IF(D5259&lt;&gt;"KEEP","",IF(RIGHT(B5259,10)="@gmail.com","Gmail",IF(OR(RIGHT(B5259,12)="@outlook.com",RIGHT(B5259,12)="@hotmail.com",RIGHT(B5259,9)="@live.com"),"Outlook","Domain")))</f>
        <v/>
      </c>
      <c r="F5259">
        <f>IF(B5259="","",IFERROR(RIGHT(B5259,LEN(B5259)-FIND("@",B5259)),""))</f>
        <v/>
      </c>
      <c r="G5259">
        <f>IF(D5259="KEEP",COUNTIF($D$2:D5259,"KEEP"),"")</f>
        <v/>
      </c>
      <c r="H5259">
        <f>IF(D5259="REMOVE",COUNTIF($D$2:D5259,"REMOVE"),"")</f>
        <v/>
      </c>
      <c r="I5259">
        <f>IF(E5259="Gmail",COUNTIF($E$2:E5259,"Gmail"),"")</f>
        <v/>
      </c>
      <c r="J5259">
        <f>IF(E5259="Outlook",COUNTIF($E$2:E5259,"Outlook"),"")</f>
        <v/>
      </c>
      <c r="K5259">
        <f>IF(E5259="Domain",COUNTIF($E$2:E5259,"Domain"),"")</f>
        <v/>
      </c>
    </row>
    <row r="5260">
      <c r="A5260" s="2" t="n"/>
      <c r="B5260">
        <f>LOWER(TRIM(A5260))</f>
        <v/>
      </c>
      <c r="C5260">
        <f>IF(B5260="","",IFERROR(INDEX('Bad Patterns'!$A$2:$A$120,MATCH(1,INDEX(--ISNUMBER(SEARCH('Bad Patterns'!$A$2:$A$120,B5260)),0),0)),""))</f>
        <v/>
      </c>
      <c r="D5260">
        <f>IF(B5260="","",IF(C5260&lt;&gt;"","REMOVE","KEEP"))</f>
        <v/>
      </c>
      <c r="E5260">
        <f>IF(D5260&lt;&gt;"KEEP","",IF(RIGHT(B5260,10)="@gmail.com","Gmail",IF(OR(RIGHT(B5260,12)="@outlook.com",RIGHT(B5260,12)="@hotmail.com",RIGHT(B5260,9)="@live.com"),"Outlook","Domain")))</f>
        <v/>
      </c>
      <c r="F5260">
        <f>IF(B5260="","",IFERROR(RIGHT(B5260,LEN(B5260)-FIND("@",B5260)),""))</f>
        <v/>
      </c>
      <c r="G5260">
        <f>IF(D5260="KEEP",COUNTIF($D$2:D5260,"KEEP"),"")</f>
        <v/>
      </c>
      <c r="H5260">
        <f>IF(D5260="REMOVE",COUNTIF($D$2:D5260,"REMOVE"),"")</f>
        <v/>
      </c>
      <c r="I5260">
        <f>IF(E5260="Gmail",COUNTIF($E$2:E5260,"Gmail"),"")</f>
        <v/>
      </c>
      <c r="J5260">
        <f>IF(E5260="Outlook",COUNTIF($E$2:E5260,"Outlook"),"")</f>
        <v/>
      </c>
      <c r="K5260">
        <f>IF(E5260="Domain",COUNTIF($E$2:E5260,"Domain"),"")</f>
        <v/>
      </c>
    </row>
    <row r="5261">
      <c r="A5261" s="2" t="n"/>
      <c r="B5261">
        <f>LOWER(TRIM(A5261))</f>
        <v/>
      </c>
      <c r="C5261">
        <f>IF(B5261="","",IFERROR(INDEX('Bad Patterns'!$A$2:$A$120,MATCH(1,INDEX(--ISNUMBER(SEARCH('Bad Patterns'!$A$2:$A$120,B5261)),0),0)),""))</f>
        <v/>
      </c>
      <c r="D5261">
        <f>IF(B5261="","",IF(C5261&lt;&gt;"","REMOVE","KEEP"))</f>
        <v/>
      </c>
      <c r="E5261">
        <f>IF(D5261&lt;&gt;"KEEP","",IF(RIGHT(B5261,10)="@gmail.com","Gmail",IF(OR(RIGHT(B5261,12)="@outlook.com",RIGHT(B5261,12)="@hotmail.com",RIGHT(B5261,9)="@live.com"),"Outlook","Domain")))</f>
        <v/>
      </c>
      <c r="F5261">
        <f>IF(B5261="","",IFERROR(RIGHT(B5261,LEN(B5261)-FIND("@",B5261)),""))</f>
        <v/>
      </c>
      <c r="G5261">
        <f>IF(D5261="KEEP",COUNTIF($D$2:D5261,"KEEP"),"")</f>
        <v/>
      </c>
      <c r="H5261">
        <f>IF(D5261="REMOVE",COUNTIF($D$2:D5261,"REMOVE"),"")</f>
        <v/>
      </c>
      <c r="I5261">
        <f>IF(E5261="Gmail",COUNTIF($E$2:E5261,"Gmail"),"")</f>
        <v/>
      </c>
      <c r="J5261">
        <f>IF(E5261="Outlook",COUNTIF($E$2:E5261,"Outlook"),"")</f>
        <v/>
      </c>
      <c r="K5261">
        <f>IF(E5261="Domain",COUNTIF($E$2:E5261,"Domain"),"")</f>
        <v/>
      </c>
    </row>
    <row r="5262">
      <c r="A5262" s="2" t="n"/>
      <c r="B5262">
        <f>LOWER(TRIM(A5262))</f>
        <v/>
      </c>
      <c r="C5262">
        <f>IF(B5262="","",IFERROR(INDEX('Bad Patterns'!$A$2:$A$120,MATCH(1,INDEX(--ISNUMBER(SEARCH('Bad Patterns'!$A$2:$A$120,B5262)),0),0)),""))</f>
        <v/>
      </c>
      <c r="D5262">
        <f>IF(B5262="","",IF(C5262&lt;&gt;"","REMOVE","KEEP"))</f>
        <v/>
      </c>
      <c r="E5262">
        <f>IF(D5262&lt;&gt;"KEEP","",IF(RIGHT(B5262,10)="@gmail.com","Gmail",IF(OR(RIGHT(B5262,12)="@outlook.com",RIGHT(B5262,12)="@hotmail.com",RIGHT(B5262,9)="@live.com"),"Outlook","Domain")))</f>
        <v/>
      </c>
      <c r="F5262">
        <f>IF(B5262="","",IFERROR(RIGHT(B5262,LEN(B5262)-FIND("@",B5262)),""))</f>
        <v/>
      </c>
      <c r="G5262">
        <f>IF(D5262="KEEP",COUNTIF($D$2:D5262,"KEEP"),"")</f>
        <v/>
      </c>
      <c r="H5262">
        <f>IF(D5262="REMOVE",COUNTIF($D$2:D5262,"REMOVE"),"")</f>
        <v/>
      </c>
      <c r="I5262">
        <f>IF(E5262="Gmail",COUNTIF($E$2:E5262,"Gmail"),"")</f>
        <v/>
      </c>
      <c r="J5262">
        <f>IF(E5262="Outlook",COUNTIF($E$2:E5262,"Outlook"),"")</f>
        <v/>
      </c>
      <c r="K5262">
        <f>IF(E5262="Domain",COUNTIF($E$2:E5262,"Domain"),"")</f>
        <v/>
      </c>
    </row>
    <row r="5263">
      <c r="A5263" s="2" t="n"/>
      <c r="B5263">
        <f>LOWER(TRIM(A5263))</f>
        <v/>
      </c>
      <c r="C5263">
        <f>IF(B5263="","",IFERROR(INDEX('Bad Patterns'!$A$2:$A$120,MATCH(1,INDEX(--ISNUMBER(SEARCH('Bad Patterns'!$A$2:$A$120,B5263)),0),0)),""))</f>
        <v/>
      </c>
      <c r="D5263">
        <f>IF(B5263="","",IF(C5263&lt;&gt;"","REMOVE","KEEP"))</f>
        <v/>
      </c>
      <c r="E5263">
        <f>IF(D5263&lt;&gt;"KEEP","",IF(RIGHT(B5263,10)="@gmail.com","Gmail",IF(OR(RIGHT(B5263,12)="@outlook.com",RIGHT(B5263,12)="@hotmail.com",RIGHT(B5263,9)="@live.com"),"Outlook","Domain")))</f>
        <v/>
      </c>
      <c r="F5263">
        <f>IF(B5263="","",IFERROR(RIGHT(B5263,LEN(B5263)-FIND("@",B5263)),""))</f>
        <v/>
      </c>
      <c r="G5263">
        <f>IF(D5263="KEEP",COUNTIF($D$2:D5263,"KEEP"),"")</f>
        <v/>
      </c>
      <c r="H5263">
        <f>IF(D5263="REMOVE",COUNTIF($D$2:D5263,"REMOVE"),"")</f>
        <v/>
      </c>
      <c r="I5263">
        <f>IF(E5263="Gmail",COUNTIF($E$2:E5263,"Gmail"),"")</f>
        <v/>
      </c>
      <c r="J5263">
        <f>IF(E5263="Outlook",COUNTIF($E$2:E5263,"Outlook"),"")</f>
        <v/>
      </c>
      <c r="K5263">
        <f>IF(E5263="Domain",COUNTIF($E$2:E5263,"Domain"),"")</f>
        <v/>
      </c>
    </row>
    <row r="5264">
      <c r="A5264" s="2" t="n"/>
      <c r="B5264">
        <f>LOWER(TRIM(A5264))</f>
        <v/>
      </c>
      <c r="C5264">
        <f>IF(B5264="","",IFERROR(INDEX('Bad Patterns'!$A$2:$A$120,MATCH(1,INDEX(--ISNUMBER(SEARCH('Bad Patterns'!$A$2:$A$120,B5264)),0),0)),""))</f>
        <v/>
      </c>
      <c r="D5264">
        <f>IF(B5264="","",IF(C5264&lt;&gt;"","REMOVE","KEEP"))</f>
        <v/>
      </c>
      <c r="E5264">
        <f>IF(D5264&lt;&gt;"KEEP","",IF(RIGHT(B5264,10)="@gmail.com","Gmail",IF(OR(RIGHT(B5264,12)="@outlook.com",RIGHT(B5264,12)="@hotmail.com",RIGHT(B5264,9)="@live.com"),"Outlook","Domain")))</f>
        <v/>
      </c>
      <c r="F5264">
        <f>IF(B5264="","",IFERROR(RIGHT(B5264,LEN(B5264)-FIND("@",B5264)),""))</f>
        <v/>
      </c>
      <c r="G5264">
        <f>IF(D5264="KEEP",COUNTIF($D$2:D5264,"KEEP"),"")</f>
        <v/>
      </c>
      <c r="H5264">
        <f>IF(D5264="REMOVE",COUNTIF($D$2:D5264,"REMOVE"),"")</f>
        <v/>
      </c>
      <c r="I5264">
        <f>IF(E5264="Gmail",COUNTIF($E$2:E5264,"Gmail"),"")</f>
        <v/>
      </c>
      <c r="J5264">
        <f>IF(E5264="Outlook",COUNTIF($E$2:E5264,"Outlook"),"")</f>
        <v/>
      </c>
      <c r="K5264">
        <f>IF(E5264="Domain",COUNTIF($E$2:E5264,"Domain"),"")</f>
        <v/>
      </c>
    </row>
    <row r="5265">
      <c r="A5265" s="2" t="n"/>
      <c r="B5265">
        <f>LOWER(TRIM(A5265))</f>
        <v/>
      </c>
      <c r="C5265">
        <f>IF(B5265="","",IFERROR(INDEX('Bad Patterns'!$A$2:$A$120,MATCH(1,INDEX(--ISNUMBER(SEARCH('Bad Patterns'!$A$2:$A$120,B5265)),0),0)),""))</f>
        <v/>
      </c>
      <c r="D5265">
        <f>IF(B5265="","",IF(C5265&lt;&gt;"","REMOVE","KEEP"))</f>
        <v/>
      </c>
      <c r="E5265">
        <f>IF(D5265&lt;&gt;"KEEP","",IF(RIGHT(B5265,10)="@gmail.com","Gmail",IF(OR(RIGHT(B5265,12)="@outlook.com",RIGHT(B5265,12)="@hotmail.com",RIGHT(B5265,9)="@live.com"),"Outlook","Domain")))</f>
        <v/>
      </c>
      <c r="F5265">
        <f>IF(B5265="","",IFERROR(RIGHT(B5265,LEN(B5265)-FIND("@",B5265)),""))</f>
        <v/>
      </c>
      <c r="G5265">
        <f>IF(D5265="KEEP",COUNTIF($D$2:D5265,"KEEP"),"")</f>
        <v/>
      </c>
      <c r="H5265">
        <f>IF(D5265="REMOVE",COUNTIF($D$2:D5265,"REMOVE"),"")</f>
        <v/>
      </c>
      <c r="I5265">
        <f>IF(E5265="Gmail",COUNTIF($E$2:E5265,"Gmail"),"")</f>
        <v/>
      </c>
      <c r="J5265">
        <f>IF(E5265="Outlook",COUNTIF($E$2:E5265,"Outlook"),"")</f>
        <v/>
      </c>
      <c r="K5265">
        <f>IF(E5265="Domain",COUNTIF($E$2:E5265,"Domain"),"")</f>
        <v/>
      </c>
    </row>
    <row r="5266">
      <c r="A5266" s="2" t="n"/>
      <c r="B5266">
        <f>LOWER(TRIM(A5266))</f>
        <v/>
      </c>
      <c r="C5266">
        <f>IF(B5266="","",IFERROR(INDEX('Bad Patterns'!$A$2:$A$120,MATCH(1,INDEX(--ISNUMBER(SEARCH('Bad Patterns'!$A$2:$A$120,B5266)),0),0)),""))</f>
        <v/>
      </c>
      <c r="D5266">
        <f>IF(B5266="","",IF(C5266&lt;&gt;"","REMOVE","KEEP"))</f>
        <v/>
      </c>
      <c r="E5266">
        <f>IF(D5266&lt;&gt;"KEEP","",IF(RIGHT(B5266,10)="@gmail.com","Gmail",IF(OR(RIGHT(B5266,12)="@outlook.com",RIGHT(B5266,12)="@hotmail.com",RIGHT(B5266,9)="@live.com"),"Outlook","Domain")))</f>
        <v/>
      </c>
      <c r="F5266">
        <f>IF(B5266="","",IFERROR(RIGHT(B5266,LEN(B5266)-FIND("@",B5266)),""))</f>
        <v/>
      </c>
      <c r="G5266">
        <f>IF(D5266="KEEP",COUNTIF($D$2:D5266,"KEEP"),"")</f>
        <v/>
      </c>
      <c r="H5266">
        <f>IF(D5266="REMOVE",COUNTIF($D$2:D5266,"REMOVE"),"")</f>
        <v/>
      </c>
      <c r="I5266">
        <f>IF(E5266="Gmail",COUNTIF($E$2:E5266,"Gmail"),"")</f>
        <v/>
      </c>
      <c r="J5266">
        <f>IF(E5266="Outlook",COUNTIF($E$2:E5266,"Outlook"),"")</f>
        <v/>
      </c>
      <c r="K5266">
        <f>IF(E5266="Domain",COUNTIF($E$2:E5266,"Domain"),"")</f>
        <v/>
      </c>
    </row>
    <row r="5267">
      <c r="A5267" s="2" t="n"/>
      <c r="B5267">
        <f>LOWER(TRIM(A5267))</f>
        <v/>
      </c>
      <c r="C5267">
        <f>IF(B5267="","",IFERROR(INDEX('Bad Patterns'!$A$2:$A$120,MATCH(1,INDEX(--ISNUMBER(SEARCH('Bad Patterns'!$A$2:$A$120,B5267)),0),0)),""))</f>
        <v/>
      </c>
      <c r="D5267">
        <f>IF(B5267="","",IF(C5267&lt;&gt;"","REMOVE","KEEP"))</f>
        <v/>
      </c>
      <c r="E5267">
        <f>IF(D5267&lt;&gt;"KEEP","",IF(RIGHT(B5267,10)="@gmail.com","Gmail",IF(OR(RIGHT(B5267,12)="@outlook.com",RIGHT(B5267,12)="@hotmail.com",RIGHT(B5267,9)="@live.com"),"Outlook","Domain")))</f>
        <v/>
      </c>
      <c r="F5267">
        <f>IF(B5267="","",IFERROR(RIGHT(B5267,LEN(B5267)-FIND("@",B5267)),""))</f>
        <v/>
      </c>
      <c r="G5267">
        <f>IF(D5267="KEEP",COUNTIF($D$2:D5267,"KEEP"),"")</f>
        <v/>
      </c>
      <c r="H5267">
        <f>IF(D5267="REMOVE",COUNTIF($D$2:D5267,"REMOVE"),"")</f>
        <v/>
      </c>
      <c r="I5267">
        <f>IF(E5267="Gmail",COUNTIF($E$2:E5267,"Gmail"),"")</f>
        <v/>
      </c>
      <c r="J5267">
        <f>IF(E5267="Outlook",COUNTIF($E$2:E5267,"Outlook"),"")</f>
        <v/>
      </c>
      <c r="K5267">
        <f>IF(E5267="Domain",COUNTIF($E$2:E5267,"Domain"),"")</f>
        <v/>
      </c>
    </row>
    <row r="5268">
      <c r="A5268" s="2" t="n"/>
      <c r="B5268">
        <f>LOWER(TRIM(A5268))</f>
        <v/>
      </c>
      <c r="C5268">
        <f>IF(B5268="","",IFERROR(INDEX('Bad Patterns'!$A$2:$A$120,MATCH(1,INDEX(--ISNUMBER(SEARCH('Bad Patterns'!$A$2:$A$120,B5268)),0),0)),""))</f>
        <v/>
      </c>
      <c r="D5268">
        <f>IF(B5268="","",IF(C5268&lt;&gt;"","REMOVE","KEEP"))</f>
        <v/>
      </c>
      <c r="E5268">
        <f>IF(D5268&lt;&gt;"KEEP","",IF(RIGHT(B5268,10)="@gmail.com","Gmail",IF(OR(RIGHT(B5268,12)="@outlook.com",RIGHT(B5268,12)="@hotmail.com",RIGHT(B5268,9)="@live.com"),"Outlook","Domain")))</f>
        <v/>
      </c>
      <c r="F5268">
        <f>IF(B5268="","",IFERROR(RIGHT(B5268,LEN(B5268)-FIND("@",B5268)),""))</f>
        <v/>
      </c>
      <c r="G5268">
        <f>IF(D5268="KEEP",COUNTIF($D$2:D5268,"KEEP"),"")</f>
        <v/>
      </c>
      <c r="H5268">
        <f>IF(D5268="REMOVE",COUNTIF($D$2:D5268,"REMOVE"),"")</f>
        <v/>
      </c>
      <c r="I5268">
        <f>IF(E5268="Gmail",COUNTIF($E$2:E5268,"Gmail"),"")</f>
        <v/>
      </c>
      <c r="J5268">
        <f>IF(E5268="Outlook",COUNTIF($E$2:E5268,"Outlook"),"")</f>
        <v/>
      </c>
      <c r="K5268">
        <f>IF(E5268="Domain",COUNTIF($E$2:E5268,"Domain"),"")</f>
        <v/>
      </c>
    </row>
    <row r="5269">
      <c r="A5269" s="2" t="n"/>
      <c r="B5269">
        <f>LOWER(TRIM(A5269))</f>
        <v/>
      </c>
      <c r="C5269">
        <f>IF(B5269="","",IFERROR(INDEX('Bad Patterns'!$A$2:$A$120,MATCH(1,INDEX(--ISNUMBER(SEARCH('Bad Patterns'!$A$2:$A$120,B5269)),0),0)),""))</f>
        <v/>
      </c>
      <c r="D5269">
        <f>IF(B5269="","",IF(C5269&lt;&gt;"","REMOVE","KEEP"))</f>
        <v/>
      </c>
      <c r="E5269">
        <f>IF(D5269&lt;&gt;"KEEP","",IF(RIGHT(B5269,10)="@gmail.com","Gmail",IF(OR(RIGHT(B5269,12)="@outlook.com",RIGHT(B5269,12)="@hotmail.com",RIGHT(B5269,9)="@live.com"),"Outlook","Domain")))</f>
        <v/>
      </c>
      <c r="F5269">
        <f>IF(B5269="","",IFERROR(RIGHT(B5269,LEN(B5269)-FIND("@",B5269)),""))</f>
        <v/>
      </c>
      <c r="G5269">
        <f>IF(D5269="KEEP",COUNTIF($D$2:D5269,"KEEP"),"")</f>
        <v/>
      </c>
      <c r="H5269">
        <f>IF(D5269="REMOVE",COUNTIF($D$2:D5269,"REMOVE"),"")</f>
        <v/>
      </c>
      <c r="I5269">
        <f>IF(E5269="Gmail",COUNTIF($E$2:E5269,"Gmail"),"")</f>
        <v/>
      </c>
      <c r="J5269">
        <f>IF(E5269="Outlook",COUNTIF($E$2:E5269,"Outlook"),"")</f>
        <v/>
      </c>
      <c r="K5269">
        <f>IF(E5269="Domain",COUNTIF($E$2:E5269,"Domain"),"")</f>
        <v/>
      </c>
    </row>
    <row r="5270">
      <c r="A5270" s="2" t="n"/>
      <c r="B5270">
        <f>LOWER(TRIM(A5270))</f>
        <v/>
      </c>
      <c r="C5270">
        <f>IF(B5270="","",IFERROR(INDEX('Bad Patterns'!$A$2:$A$120,MATCH(1,INDEX(--ISNUMBER(SEARCH('Bad Patterns'!$A$2:$A$120,B5270)),0),0)),""))</f>
        <v/>
      </c>
      <c r="D5270">
        <f>IF(B5270="","",IF(C5270&lt;&gt;"","REMOVE","KEEP"))</f>
        <v/>
      </c>
      <c r="E5270">
        <f>IF(D5270&lt;&gt;"KEEP","",IF(RIGHT(B5270,10)="@gmail.com","Gmail",IF(OR(RIGHT(B5270,12)="@outlook.com",RIGHT(B5270,12)="@hotmail.com",RIGHT(B5270,9)="@live.com"),"Outlook","Domain")))</f>
        <v/>
      </c>
      <c r="F5270">
        <f>IF(B5270="","",IFERROR(RIGHT(B5270,LEN(B5270)-FIND("@",B5270)),""))</f>
        <v/>
      </c>
      <c r="G5270">
        <f>IF(D5270="KEEP",COUNTIF($D$2:D5270,"KEEP"),"")</f>
        <v/>
      </c>
      <c r="H5270">
        <f>IF(D5270="REMOVE",COUNTIF($D$2:D5270,"REMOVE"),"")</f>
        <v/>
      </c>
      <c r="I5270">
        <f>IF(E5270="Gmail",COUNTIF($E$2:E5270,"Gmail"),"")</f>
        <v/>
      </c>
      <c r="J5270">
        <f>IF(E5270="Outlook",COUNTIF($E$2:E5270,"Outlook"),"")</f>
        <v/>
      </c>
      <c r="K5270">
        <f>IF(E5270="Domain",COUNTIF($E$2:E5270,"Domain"),"")</f>
        <v/>
      </c>
    </row>
    <row r="5271">
      <c r="A5271" s="2" t="n"/>
      <c r="B5271">
        <f>LOWER(TRIM(A5271))</f>
        <v/>
      </c>
      <c r="C5271">
        <f>IF(B5271="","",IFERROR(INDEX('Bad Patterns'!$A$2:$A$120,MATCH(1,INDEX(--ISNUMBER(SEARCH('Bad Patterns'!$A$2:$A$120,B5271)),0),0)),""))</f>
        <v/>
      </c>
      <c r="D5271">
        <f>IF(B5271="","",IF(C5271&lt;&gt;"","REMOVE","KEEP"))</f>
        <v/>
      </c>
      <c r="E5271">
        <f>IF(D5271&lt;&gt;"KEEP","",IF(RIGHT(B5271,10)="@gmail.com","Gmail",IF(OR(RIGHT(B5271,12)="@outlook.com",RIGHT(B5271,12)="@hotmail.com",RIGHT(B5271,9)="@live.com"),"Outlook","Domain")))</f>
        <v/>
      </c>
      <c r="F5271">
        <f>IF(B5271="","",IFERROR(RIGHT(B5271,LEN(B5271)-FIND("@",B5271)),""))</f>
        <v/>
      </c>
      <c r="G5271">
        <f>IF(D5271="KEEP",COUNTIF($D$2:D5271,"KEEP"),"")</f>
        <v/>
      </c>
      <c r="H5271">
        <f>IF(D5271="REMOVE",COUNTIF($D$2:D5271,"REMOVE"),"")</f>
        <v/>
      </c>
      <c r="I5271">
        <f>IF(E5271="Gmail",COUNTIF($E$2:E5271,"Gmail"),"")</f>
        <v/>
      </c>
      <c r="J5271">
        <f>IF(E5271="Outlook",COUNTIF($E$2:E5271,"Outlook"),"")</f>
        <v/>
      </c>
      <c r="K5271">
        <f>IF(E5271="Domain",COUNTIF($E$2:E5271,"Domain"),"")</f>
        <v/>
      </c>
    </row>
    <row r="5272">
      <c r="A5272" s="2" t="n"/>
      <c r="B5272">
        <f>LOWER(TRIM(A5272))</f>
        <v/>
      </c>
      <c r="C5272">
        <f>IF(B5272="","",IFERROR(INDEX('Bad Patterns'!$A$2:$A$120,MATCH(1,INDEX(--ISNUMBER(SEARCH('Bad Patterns'!$A$2:$A$120,B5272)),0),0)),""))</f>
        <v/>
      </c>
      <c r="D5272">
        <f>IF(B5272="","",IF(C5272&lt;&gt;"","REMOVE","KEEP"))</f>
        <v/>
      </c>
      <c r="E5272">
        <f>IF(D5272&lt;&gt;"KEEP","",IF(RIGHT(B5272,10)="@gmail.com","Gmail",IF(OR(RIGHT(B5272,12)="@outlook.com",RIGHT(B5272,12)="@hotmail.com",RIGHT(B5272,9)="@live.com"),"Outlook","Domain")))</f>
        <v/>
      </c>
      <c r="F5272">
        <f>IF(B5272="","",IFERROR(RIGHT(B5272,LEN(B5272)-FIND("@",B5272)),""))</f>
        <v/>
      </c>
      <c r="G5272">
        <f>IF(D5272="KEEP",COUNTIF($D$2:D5272,"KEEP"),"")</f>
        <v/>
      </c>
      <c r="H5272">
        <f>IF(D5272="REMOVE",COUNTIF($D$2:D5272,"REMOVE"),"")</f>
        <v/>
      </c>
      <c r="I5272">
        <f>IF(E5272="Gmail",COUNTIF($E$2:E5272,"Gmail"),"")</f>
        <v/>
      </c>
      <c r="J5272">
        <f>IF(E5272="Outlook",COUNTIF($E$2:E5272,"Outlook"),"")</f>
        <v/>
      </c>
      <c r="K5272">
        <f>IF(E5272="Domain",COUNTIF($E$2:E5272,"Domain"),"")</f>
        <v/>
      </c>
    </row>
    <row r="5273">
      <c r="A5273" s="2" t="n"/>
      <c r="B5273">
        <f>LOWER(TRIM(A5273))</f>
        <v/>
      </c>
      <c r="C5273">
        <f>IF(B5273="","",IFERROR(INDEX('Bad Patterns'!$A$2:$A$120,MATCH(1,INDEX(--ISNUMBER(SEARCH('Bad Patterns'!$A$2:$A$120,B5273)),0),0)),""))</f>
        <v/>
      </c>
      <c r="D5273">
        <f>IF(B5273="","",IF(C5273&lt;&gt;"","REMOVE","KEEP"))</f>
        <v/>
      </c>
      <c r="E5273">
        <f>IF(D5273&lt;&gt;"KEEP","",IF(RIGHT(B5273,10)="@gmail.com","Gmail",IF(OR(RIGHT(B5273,12)="@outlook.com",RIGHT(B5273,12)="@hotmail.com",RIGHT(B5273,9)="@live.com"),"Outlook","Domain")))</f>
        <v/>
      </c>
      <c r="F5273">
        <f>IF(B5273="","",IFERROR(RIGHT(B5273,LEN(B5273)-FIND("@",B5273)),""))</f>
        <v/>
      </c>
      <c r="G5273">
        <f>IF(D5273="KEEP",COUNTIF($D$2:D5273,"KEEP"),"")</f>
        <v/>
      </c>
      <c r="H5273">
        <f>IF(D5273="REMOVE",COUNTIF($D$2:D5273,"REMOVE"),"")</f>
        <v/>
      </c>
      <c r="I5273">
        <f>IF(E5273="Gmail",COUNTIF($E$2:E5273,"Gmail"),"")</f>
        <v/>
      </c>
      <c r="J5273">
        <f>IF(E5273="Outlook",COUNTIF($E$2:E5273,"Outlook"),"")</f>
        <v/>
      </c>
      <c r="K5273">
        <f>IF(E5273="Domain",COUNTIF($E$2:E5273,"Domain"),"")</f>
        <v/>
      </c>
    </row>
    <row r="5274">
      <c r="A5274" s="2" t="n"/>
      <c r="B5274">
        <f>LOWER(TRIM(A5274))</f>
        <v/>
      </c>
      <c r="C5274">
        <f>IF(B5274="","",IFERROR(INDEX('Bad Patterns'!$A$2:$A$120,MATCH(1,INDEX(--ISNUMBER(SEARCH('Bad Patterns'!$A$2:$A$120,B5274)),0),0)),""))</f>
        <v/>
      </c>
      <c r="D5274">
        <f>IF(B5274="","",IF(C5274&lt;&gt;"","REMOVE","KEEP"))</f>
        <v/>
      </c>
      <c r="E5274">
        <f>IF(D5274&lt;&gt;"KEEP","",IF(RIGHT(B5274,10)="@gmail.com","Gmail",IF(OR(RIGHT(B5274,12)="@outlook.com",RIGHT(B5274,12)="@hotmail.com",RIGHT(B5274,9)="@live.com"),"Outlook","Domain")))</f>
        <v/>
      </c>
      <c r="F5274">
        <f>IF(B5274="","",IFERROR(RIGHT(B5274,LEN(B5274)-FIND("@",B5274)),""))</f>
        <v/>
      </c>
      <c r="G5274">
        <f>IF(D5274="KEEP",COUNTIF($D$2:D5274,"KEEP"),"")</f>
        <v/>
      </c>
      <c r="H5274">
        <f>IF(D5274="REMOVE",COUNTIF($D$2:D5274,"REMOVE"),"")</f>
        <v/>
      </c>
      <c r="I5274">
        <f>IF(E5274="Gmail",COUNTIF($E$2:E5274,"Gmail"),"")</f>
        <v/>
      </c>
      <c r="J5274">
        <f>IF(E5274="Outlook",COUNTIF($E$2:E5274,"Outlook"),"")</f>
        <v/>
      </c>
      <c r="K5274">
        <f>IF(E5274="Domain",COUNTIF($E$2:E5274,"Domain"),"")</f>
        <v/>
      </c>
    </row>
    <row r="5275">
      <c r="A5275" s="2" t="n"/>
      <c r="B5275">
        <f>LOWER(TRIM(A5275))</f>
        <v/>
      </c>
      <c r="C5275">
        <f>IF(B5275="","",IFERROR(INDEX('Bad Patterns'!$A$2:$A$120,MATCH(1,INDEX(--ISNUMBER(SEARCH('Bad Patterns'!$A$2:$A$120,B5275)),0),0)),""))</f>
        <v/>
      </c>
      <c r="D5275">
        <f>IF(B5275="","",IF(C5275&lt;&gt;"","REMOVE","KEEP"))</f>
        <v/>
      </c>
      <c r="E5275">
        <f>IF(D5275&lt;&gt;"KEEP","",IF(RIGHT(B5275,10)="@gmail.com","Gmail",IF(OR(RIGHT(B5275,12)="@outlook.com",RIGHT(B5275,12)="@hotmail.com",RIGHT(B5275,9)="@live.com"),"Outlook","Domain")))</f>
        <v/>
      </c>
      <c r="F5275">
        <f>IF(B5275="","",IFERROR(RIGHT(B5275,LEN(B5275)-FIND("@",B5275)),""))</f>
        <v/>
      </c>
      <c r="G5275">
        <f>IF(D5275="KEEP",COUNTIF($D$2:D5275,"KEEP"),"")</f>
        <v/>
      </c>
      <c r="H5275">
        <f>IF(D5275="REMOVE",COUNTIF($D$2:D5275,"REMOVE"),"")</f>
        <v/>
      </c>
      <c r="I5275">
        <f>IF(E5275="Gmail",COUNTIF($E$2:E5275,"Gmail"),"")</f>
        <v/>
      </c>
      <c r="J5275">
        <f>IF(E5275="Outlook",COUNTIF($E$2:E5275,"Outlook"),"")</f>
        <v/>
      </c>
      <c r="K5275">
        <f>IF(E5275="Domain",COUNTIF($E$2:E5275,"Domain"),"")</f>
        <v/>
      </c>
    </row>
    <row r="5276">
      <c r="A5276" s="2" t="n"/>
      <c r="B5276">
        <f>LOWER(TRIM(A5276))</f>
        <v/>
      </c>
      <c r="C5276">
        <f>IF(B5276="","",IFERROR(INDEX('Bad Patterns'!$A$2:$A$120,MATCH(1,INDEX(--ISNUMBER(SEARCH('Bad Patterns'!$A$2:$A$120,B5276)),0),0)),""))</f>
        <v/>
      </c>
      <c r="D5276">
        <f>IF(B5276="","",IF(C5276&lt;&gt;"","REMOVE","KEEP"))</f>
        <v/>
      </c>
      <c r="E5276">
        <f>IF(D5276&lt;&gt;"KEEP","",IF(RIGHT(B5276,10)="@gmail.com","Gmail",IF(OR(RIGHT(B5276,12)="@outlook.com",RIGHT(B5276,12)="@hotmail.com",RIGHT(B5276,9)="@live.com"),"Outlook","Domain")))</f>
        <v/>
      </c>
      <c r="F5276">
        <f>IF(B5276="","",IFERROR(RIGHT(B5276,LEN(B5276)-FIND("@",B5276)),""))</f>
        <v/>
      </c>
      <c r="G5276">
        <f>IF(D5276="KEEP",COUNTIF($D$2:D5276,"KEEP"),"")</f>
        <v/>
      </c>
      <c r="H5276">
        <f>IF(D5276="REMOVE",COUNTIF($D$2:D5276,"REMOVE"),"")</f>
        <v/>
      </c>
      <c r="I5276">
        <f>IF(E5276="Gmail",COUNTIF($E$2:E5276,"Gmail"),"")</f>
        <v/>
      </c>
      <c r="J5276">
        <f>IF(E5276="Outlook",COUNTIF($E$2:E5276,"Outlook"),"")</f>
        <v/>
      </c>
      <c r="K5276">
        <f>IF(E5276="Domain",COUNTIF($E$2:E5276,"Domain"),"")</f>
        <v/>
      </c>
    </row>
    <row r="5277">
      <c r="A5277" s="2" t="n"/>
      <c r="B5277">
        <f>LOWER(TRIM(A5277))</f>
        <v/>
      </c>
      <c r="C5277">
        <f>IF(B5277="","",IFERROR(INDEX('Bad Patterns'!$A$2:$A$120,MATCH(1,INDEX(--ISNUMBER(SEARCH('Bad Patterns'!$A$2:$A$120,B5277)),0),0)),""))</f>
        <v/>
      </c>
      <c r="D5277">
        <f>IF(B5277="","",IF(C5277&lt;&gt;"","REMOVE","KEEP"))</f>
        <v/>
      </c>
      <c r="E5277">
        <f>IF(D5277&lt;&gt;"KEEP","",IF(RIGHT(B5277,10)="@gmail.com","Gmail",IF(OR(RIGHT(B5277,12)="@outlook.com",RIGHT(B5277,12)="@hotmail.com",RIGHT(B5277,9)="@live.com"),"Outlook","Domain")))</f>
        <v/>
      </c>
      <c r="F5277">
        <f>IF(B5277="","",IFERROR(RIGHT(B5277,LEN(B5277)-FIND("@",B5277)),""))</f>
        <v/>
      </c>
      <c r="G5277">
        <f>IF(D5277="KEEP",COUNTIF($D$2:D5277,"KEEP"),"")</f>
        <v/>
      </c>
      <c r="H5277">
        <f>IF(D5277="REMOVE",COUNTIF($D$2:D5277,"REMOVE"),"")</f>
        <v/>
      </c>
      <c r="I5277">
        <f>IF(E5277="Gmail",COUNTIF($E$2:E5277,"Gmail"),"")</f>
        <v/>
      </c>
      <c r="J5277">
        <f>IF(E5277="Outlook",COUNTIF($E$2:E5277,"Outlook"),"")</f>
        <v/>
      </c>
      <c r="K5277">
        <f>IF(E5277="Domain",COUNTIF($E$2:E5277,"Domain"),"")</f>
        <v/>
      </c>
    </row>
    <row r="5278">
      <c r="A5278" s="2" t="n"/>
      <c r="B5278">
        <f>LOWER(TRIM(A5278))</f>
        <v/>
      </c>
      <c r="C5278">
        <f>IF(B5278="","",IFERROR(INDEX('Bad Patterns'!$A$2:$A$120,MATCH(1,INDEX(--ISNUMBER(SEARCH('Bad Patterns'!$A$2:$A$120,B5278)),0),0)),""))</f>
        <v/>
      </c>
      <c r="D5278">
        <f>IF(B5278="","",IF(C5278&lt;&gt;"","REMOVE","KEEP"))</f>
        <v/>
      </c>
      <c r="E5278">
        <f>IF(D5278&lt;&gt;"KEEP","",IF(RIGHT(B5278,10)="@gmail.com","Gmail",IF(OR(RIGHT(B5278,12)="@outlook.com",RIGHT(B5278,12)="@hotmail.com",RIGHT(B5278,9)="@live.com"),"Outlook","Domain")))</f>
        <v/>
      </c>
      <c r="F5278">
        <f>IF(B5278="","",IFERROR(RIGHT(B5278,LEN(B5278)-FIND("@",B5278)),""))</f>
        <v/>
      </c>
      <c r="G5278">
        <f>IF(D5278="KEEP",COUNTIF($D$2:D5278,"KEEP"),"")</f>
        <v/>
      </c>
      <c r="H5278">
        <f>IF(D5278="REMOVE",COUNTIF($D$2:D5278,"REMOVE"),"")</f>
        <v/>
      </c>
      <c r="I5278">
        <f>IF(E5278="Gmail",COUNTIF($E$2:E5278,"Gmail"),"")</f>
        <v/>
      </c>
      <c r="J5278">
        <f>IF(E5278="Outlook",COUNTIF($E$2:E5278,"Outlook"),"")</f>
        <v/>
      </c>
      <c r="K5278">
        <f>IF(E5278="Domain",COUNTIF($E$2:E5278,"Domain"),"")</f>
        <v/>
      </c>
    </row>
    <row r="5279">
      <c r="A5279" s="2" t="n"/>
      <c r="B5279">
        <f>LOWER(TRIM(A5279))</f>
        <v/>
      </c>
      <c r="C5279">
        <f>IF(B5279="","",IFERROR(INDEX('Bad Patterns'!$A$2:$A$120,MATCH(1,INDEX(--ISNUMBER(SEARCH('Bad Patterns'!$A$2:$A$120,B5279)),0),0)),""))</f>
        <v/>
      </c>
      <c r="D5279">
        <f>IF(B5279="","",IF(C5279&lt;&gt;"","REMOVE","KEEP"))</f>
        <v/>
      </c>
      <c r="E5279">
        <f>IF(D5279&lt;&gt;"KEEP","",IF(RIGHT(B5279,10)="@gmail.com","Gmail",IF(OR(RIGHT(B5279,12)="@outlook.com",RIGHT(B5279,12)="@hotmail.com",RIGHT(B5279,9)="@live.com"),"Outlook","Domain")))</f>
        <v/>
      </c>
      <c r="F5279">
        <f>IF(B5279="","",IFERROR(RIGHT(B5279,LEN(B5279)-FIND("@",B5279)),""))</f>
        <v/>
      </c>
      <c r="G5279">
        <f>IF(D5279="KEEP",COUNTIF($D$2:D5279,"KEEP"),"")</f>
        <v/>
      </c>
      <c r="H5279">
        <f>IF(D5279="REMOVE",COUNTIF($D$2:D5279,"REMOVE"),"")</f>
        <v/>
      </c>
      <c r="I5279">
        <f>IF(E5279="Gmail",COUNTIF($E$2:E5279,"Gmail"),"")</f>
        <v/>
      </c>
      <c r="J5279">
        <f>IF(E5279="Outlook",COUNTIF($E$2:E5279,"Outlook"),"")</f>
        <v/>
      </c>
      <c r="K5279">
        <f>IF(E5279="Domain",COUNTIF($E$2:E5279,"Domain"),"")</f>
        <v/>
      </c>
    </row>
    <row r="5280">
      <c r="A5280" s="2" t="n"/>
      <c r="B5280">
        <f>LOWER(TRIM(A5280))</f>
        <v/>
      </c>
      <c r="C5280">
        <f>IF(B5280="","",IFERROR(INDEX('Bad Patterns'!$A$2:$A$120,MATCH(1,INDEX(--ISNUMBER(SEARCH('Bad Patterns'!$A$2:$A$120,B5280)),0),0)),""))</f>
        <v/>
      </c>
      <c r="D5280">
        <f>IF(B5280="","",IF(C5280&lt;&gt;"","REMOVE","KEEP"))</f>
        <v/>
      </c>
      <c r="E5280">
        <f>IF(D5280&lt;&gt;"KEEP","",IF(RIGHT(B5280,10)="@gmail.com","Gmail",IF(OR(RIGHT(B5280,12)="@outlook.com",RIGHT(B5280,12)="@hotmail.com",RIGHT(B5280,9)="@live.com"),"Outlook","Domain")))</f>
        <v/>
      </c>
      <c r="F5280">
        <f>IF(B5280="","",IFERROR(RIGHT(B5280,LEN(B5280)-FIND("@",B5280)),""))</f>
        <v/>
      </c>
      <c r="G5280">
        <f>IF(D5280="KEEP",COUNTIF($D$2:D5280,"KEEP"),"")</f>
        <v/>
      </c>
      <c r="H5280">
        <f>IF(D5280="REMOVE",COUNTIF($D$2:D5280,"REMOVE"),"")</f>
        <v/>
      </c>
      <c r="I5280">
        <f>IF(E5280="Gmail",COUNTIF($E$2:E5280,"Gmail"),"")</f>
        <v/>
      </c>
      <c r="J5280">
        <f>IF(E5280="Outlook",COUNTIF($E$2:E5280,"Outlook"),"")</f>
        <v/>
      </c>
      <c r="K5280">
        <f>IF(E5280="Domain",COUNTIF($E$2:E5280,"Domain"),"")</f>
        <v/>
      </c>
    </row>
    <row r="5281">
      <c r="A5281" s="2" t="n"/>
      <c r="B5281">
        <f>LOWER(TRIM(A5281))</f>
        <v/>
      </c>
      <c r="C5281">
        <f>IF(B5281="","",IFERROR(INDEX('Bad Patterns'!$A$2:$A$120,MATCH(1,INDEX(--ISNUMBER(SEARCH('Bad Patterns'!$A$2:$A$120,B5281)),0),0)),""))</f>
        <v/>
      </c>
      <c r="D5281">
        <f>IF(B5281="","",IF(C5281&lt;&gt;"","REMOVE","KEEP"))</f>
        <v/>
      </c>
      <c r="E5281">
        <f>IF(D5281&lt;&gt;"KEEP","",IF(RIGHT(B5281,10)="@gmail.com","Gmail",IF(OR(RIGHT(B5281,12)="@outlook.com",RIGHT(B5281,12)="@hotmail.com",RIGHT(B5281,9)="@live.com"),"Outlook","Domain")))</f>
        <v/>
      </c>
      <c r="F5281">
        <f>IF(B5281="","",IFERROR(RIGHT(B5281,LEN(B5281)-FIND("@",B5281)),""))</f>
        <v/>
      </c>
      <c r="G5281">
        <f>IF(D5281="KEEP",COUNTIF($D$2:D5281,"KEEP"),"")</f>
        <v/>
      </c>
      <c r="H5281">
        <f>IF(D5281="REMOVE",COUNTIF($D$2:D5281,"REMOVE"),"")</f>
        <v/>
      </c>
      <c r="I5281">
        <f>IF(E5281="Gmail",COUNTIF($E$2:E5281,"Gmail"),"")</f>
        <v/>
      </c>
      <c r="J5281">
        <f>IF(E5281="Outlook",COUNTIF($E$2:E5281,"Outlook"),"")</f>
        <v/>
      </c>
      <c r="K5281">
        <f>IF(E5281="Domain",COUNTIF($E$2:E5281,"Domain"),"")</f>
        <v/>
      </c>
    </row>
    <row r="5282">
      <c r="A5282" s="2" t="n"/>
      <c r="B5282">
        <f>LOWER(TRIM(A5282))</f>
        <v/>
      </c>
      <c r="C5282">
        <f>IF(B5282="","",IFERROR(INDEX('Bad Patterns'!$A$2:$A$120,MATCH(1,INDEX(--ISNUMBER(SEARCH('Bad Patterns'!$A$2:$A$120,B5282)),0),0)),""))</f>
        <v/>
      </c>
      <c r="D5282">
        <f>IF(B5282="","",IF(C5282&lt;&gt;"","REMOVE","KEEP"))</f>
        <v/>
      </c>
      <c r="E5282">
        <f>IF(D5282&lt;&gt;"KEEP","",IF(RIGHT(B5282,10)="@gmail.com","Gmail",IF(OR(RIGHT(B5282,12)="@outlook.com",RIGHT(B5282,12)="@hotmail.com",RIGHT(B5282,9)="@live.com"),"Outlook","Domain")))</f>
        <v/>
      </c>
      <c r="F5282">
        <f>IF(B5282="","",IFERROR(RIGHT(B5282,LEN(B5282)-FIND("@",B5282)),""))</f>
        <v/>
      </c>
      <c r="G5282">
        <f>IF(D5282="KEEP",COUNTIF($D$2:D5282,"KEEP"),"")</f>
        <v/>
      </c>
      <c r="H5282">
        <f>IF(D5282="REMOVE",COUNTIF($D$2:D5282,"REMOVE"),"")</f>
        <v/>
      </c>
      <c r="I5282">
        <f>IF(E5282="Gmail",COUNTIF($E$2:E5282,"Gmail"),"")</f>
        <v/>
      </c>
      <c r="J5282">
        <f>IF(E5282="Outlook",COUNTIF($E$2:E5282,"Outlook"),"")</f>
        <v/>
      </c>
      <c r="K5282">
        <f>IF(E5282="Domain",COUNTIF($E$2:E5282,"Domain"),"")</f>
        <v/>
      </c>
    </row>
    <row r="5283">
      <c r="A5283" s="2" t="n"/>
      <c r="B5283">
        <f>LOWER(TRIM(A5283))</f>
        <v/>
      </c>
      <c r="C5283">
        <f>IF(B5283="","",IFERROR(INDEX('Bad Patterns'!$A$2:$A$120,MATCH(1,INDEX(--ISNUMBER(SEARCH('Bad Patterns'!$A$2:$A$120,B5283)),0),0)),""))</f>
        <v/>
      </c>
      <c r="D5283">
        <f>IF(B5283="","",IF(C5283&lt;&gt;"","REMOVE","KEEP"))</f>
        <v/>
      </c>
      <c r="E5283">
        <f>IF(D5283&lt;&gt;"KEEP","",IF(RIGHT(B5283,10)="@gmail.com","Gmail",IF(OR(RIGHT(B5283,12)="@outlook.com",RIGHT(B5283,12)="@hotmail.com",RIGHT(B5283,9)="@live.com"),"Outlook","Domain")))</f>
        <v/>
      </c>
      <c r="F5283">
        <f>IF(B5283="","",IFERROR(RIGHT(B5283,LEN(B5283)-FIND("@",B5283)),""))</f>
        <v/>
      </c>
      <c r="G5283">
        <f>IF(D5283="KEEP",COUNTIF($D$2:D5283,"KEEP"),"")</f>
        <v/>
      </c>
      <c r="H5283">
        <f>IF(D5283="REMOVE",COUNTIF($D$2:D5283,"REMOVE"),"")</f>
        <v/>
      </c>
      <c r="I5283">
        <f>IF(E5283="Gmail",COUNTIF($E$2:E5283,"Gmail"),"")</f>
        <v/>
      </c>
      <c r="J5283">
        <f>IF(E5283="Outlook",COUNTIF($E$2:E5283,"Outlook"),"")</f>
        <v/>
      </c>
      <c r="K5283">
        <f>IF(E5283="Domain",COUNTIF($E$2:E5283,"Domain"),"")</f>
        <v/>
      </c>
    </row>
    <row r="5284">
      <c r="A5284" s="2" t="n"/>
      <c r="B5284">
        <f>LOWER(TRIM(A5284))</f>
        <v/>
      </c>
      <c r="C5284">
        <f>IF(B5284="","",IFERROR(INDEX('Bad Patterns'!$A$2:$A$120,MATCH(1,INDEX(--ISNUMBER(SEARCH('Bad Patterns'!$A$2:$A$120,B5284)),0),0)),""))</f>
        <v/>
      </c>
      <c r="D5284">
        <f>IF(B5284="","",IF(C5284&lt;&gt;"","REMOVE","KEEP"))</f>
        <v/>
      </c>
      <c r="E5284">
        <f>IF(D5284&lt;&gt;"KEEP","",IF(RIGHT(B5284,10)="@gmail.com","Gmail",IF(OR(RIGHT(B5284,12)="@outlook.com",RIGHT(B5284,12)="@hotmail.com",RIGHT(B5284,9)="@live.com"),"Outlook","Domain")))</f>
        <v/>
      </c>
      <c r="F5284">
        <f>IF(B5284="","",IFERROR(RIGHT(B5284,LEN(B5284)-FIND("@",B5284)),""))</f>
        <v/>
      </c>
      <c r="G5284">
        <f>IF(D5284="KEEP",COUNTIF($D$2:D5284,"KEEP"),"")</f>
        <v/>
      </c>
      <c r="H5284">
        <f>IF(D5284="REMOVE",COUNTIF($D$2:D5284,"REMOVE"),"")</f>
        <v/>
      </c>
      <c r="I5284">
        <f>IF(E5284="Gmail",COUNTIF($E$2:E5284,"Gmail"),"")</f>
        <v/>
      </c>
      <c r="J5284">
        <f>IF(E5284="Outlook",COUNTIF($E$2:E5284,"Outlook"),"")</f>
        <v/>
      </c>
      <c r="K5284">
        <f>IF(E5284="Domain",COUNTIF($E$2:E5284,"Domain"),"")</f>
        <v/>
      </c>
    </row>
    <row r="5285">
      <c r="A5285" s="2" t="n"/>
      <c r="B5285">
        <f>LOWER(TRIM(A5285))</f>
        <v/>
      </c>
      <c r="C5285">
        <f>IF(B5285="","",IFERROR(INDEX('Bad Patterns'!$A$2:$A$120,MATCH(1,INDEX(--ISNUMBER(SEARCH('Bad Patterns'!$A$2:$A$120,B5285)),0),0)),""))</f>
        <v/>
      </c>
      <c r="D5285">
        <f>IF(B5285="","",IF(C5285&lt;&gt;"","REMOVE","KEEP"))</f>
        <v/>
      </c>
      <c r="E5285">
        <f>IF(D5285&lt;&gt;"KEEP","",IF(RIGHT(B5285,10)="@gmail.com","Gmail",IF(OR(RIGHT(B5285,12)="@outlook.com",RIGHT(B5285,12)="@hotmail.com",RIGHT(B5285,9)="@live.com"),"Outlook","Domain")))</f>
        <v/>
      </c>
      <c r="F5285">
        <f>IF(B5285="","",IFERROR(RIGHT(B5285,LEN(B5285)-FIND("@",B5285)),""))</f>
        <v/>
      </c>
      <c r="G5285">
        <f>IF(D5285="KEEP",COUNTIF($D$2:D5285,"KEEP"),"")</f>
        <v/>
      </c>
      <c r="H5285">
        <f>IF(D5285="REMOVE",COUNTIF($D$2:D5285,"REMOVE"),"")</f>
        <v/>
      </c>
      <c r="I5285">
        <f>IF(E5285="Gmail",COUNTIF($E$2:E5285,"Gmail"),"")</f>
        <v/>
      </c>
      <c r="J5285">
        <f>IF(E5285="Outlook",COUNTIF($E$2:E5285,"Outlook"),"")</f>
        <v/>
      </c>
      <c r="K5285">
        <f>IF(E5285="Domain",COUNTIF($E$2:E5285,"Domain"),"")</f>
        <v/>
      </c>
    </row>
    <row r="5286">
      <c r="A5286" s="2" t="n"/>
      <c r="B5286">
        <f>LOWER(TRIM(A5286))</f>
        <v/>
      </c>
      <c r="C5286">
        <f>IF(B5286="","",IFERROR(INDEX('Bad Patterns'!$A$2:$A$120,MATCH(1,INDEX(--ISNUMBER(SEARCH('Bad Patterns'!$A$2:$A$120,B5286)),0),0)),""))</f>
        <v/>
      </c>
      <c r="D5286">
        <f>IF(B5286="","",IF(C5286&lt;&gt;"","REMOVE","KEEP"))</f>
        <v/>
      </c>
      <c r="E5286">
        <f>IF(D5286&lt;&gt;"KEEP","",IF(RIGHT(B5286,10)="@gmail.com","Gmail",IF(OR(RIGHT(B5286,12)="@outlook.com",RIGHT(B5286,12)="@hotmail.com",RIGHT(B5286,9)="@live.com"),"Outlook","Domain")))</f>
        <v/>
      </c>
      <c r="F5286">
        <f>IF(B5286="","",IFERROR(RIGHT(B5286,LEN(B5286)-FIND("@",B5286)),""))</f>
        <v/>
      </c>
      <c r="G5286">
        <f>IF(D5286="KEEP",COUNTIF($D$2:D5286,"KEEP"),"")</f>
        <v/>
      </c>
      <c r="H5286">
        <f>IF(D5286="REMOVE",COUNTIF($D$2:D5286,"REMOVE"),"")</f>
        <v/>
      </c>
      <c r="I5286">
        <f>IF(E5286="Gmail",COUNTIF($E$2:E5286,"Gmail"),"")</f>
        <v/>
      </c>
      <c r="J5286">
        <f>IF(E5286="Outlook",COUNTIF($E$2:E5286,"Outlook"),"")</f>
        <v/>
      </c>
      <c r="K5286">
        <f>IF(E5286="Domain",COUNTIF($E$2:E5286,"Domain"),"")</f>
        <v/>
      </c>
    </row>
    <row r="5287">
      <c r="A5287" s="2" t="n"/>
      <c r="B5287">
        <f>LOWER(TRIM(A5287))</f>
        <v/>
      </c>
      <c r="C5287">
        <f>IF(B5287="","",IFERROR(INDEX('Bad Patterns'!$A$2:$A$120,MATCH(1,INDEX(--ISNUMBER(SEARCH('Bad Patterns'!$A$2:$A$120,B5287)),0),0)),""))</f>
        <v/>
      </c>
      <c r="D5287">
        <f>IF(B5287="","",IF(C5287&lt;&gt;"","REMOVE","KEEP"))</f>
        <v/>
      </c>
      <c r="E5287">
        <f>IF(D5287&lt;&gt;"KEEP","",IF(RIGHT(B5287,10)="@gmail.com","Gmail",IF(OR(RIGHT(B5287,12)="@outlook.com",RIGHT(B5287,12)="@hotmail.com",RIGHT(B5287,9)="@live.com"),"Outlook","Domain")))</f>
        <v/>
      </c>
      <c r="F5287">
        <f>IF(B5287="","",IFERROR(RIGHT(B5287,LEN(B5287)-FIND("@",B5287)),""))</f>
        <v/>
      </c>
      <c r="G5287">
        <f>IF(D5287="KEEP",COUNTIF($D$2:D5287,"KEEP"),"")</f>
        <v/>
      </c>
      <c r="H5287">
        <f>IF(D5287="REMOVE",COUNTIF($D$2:D5287,"REMOVE"),"")</f>
        <v/>
      </c>
      <c r="I5287">
        <f>IF(E5287="Gmail",COUNTIF($E$2:E5287,"Gmail"),"")</f>
        <v/>
      </c>
      <c r="J5287">
        <f>IF(E5287="Outlook",COUNTIF($E$2:E5287,"Outlook"),"")</f>
        <v/>
      </c>
      <c r="K5287">
        <f>IF(E5287="Domain",COUNTIF($E$2:E5287,"Domain"),"")</f>
        <v/>
      </c>
    </row>
    <row r="5288">
      <c r="A5288" s="2" t="n"/>
      <c r="B5288">
        <f>LOWER(TRIM(A5288))</f>
        <v/>
      </c>
      <c r="C5288">
        <f>IF(B5288="","",IFERROR(INDEX('Bad Patterns'!$A$2:$A$120,MATCH(1,INDEX(--ISNUMBER(SEARCH('Bad Patterns'!$A$2:$A$120,B5288)),0),0)),""))</f>
        <v/>
      </c>
      <c r="D5288">
        <f>IF(B5288="","",IF(C5288&lt;&gt;"","REMOVE","KEEP"))</f>
        <v/>
      </c>
      <c r="E5288">
        <f>IF(D5288&lt;&gt;"KEEP","",IF(RIGHT(B5288,10)="@gmail.com","Gmail",IF(OR(RIGHT(B5288,12)="@outlook.com",RIGHT(B5288,12)="@hotmail.com",RIGHT(B5288,9)="@live.com"),"Outlook","Domain")))</f>
        <v/>
      </c>
      <c r="F5288">
        <f>IF(B5288="","",IFERROR(RIGHT(B5288,LEN(B5288)-FIND("@",B5288)),""))</f>
        <v/>
      </c>
      <c r="G5288">
        <f>IF(D5288="KEEP",COUNTIF($D$2:D5288,"KEEP"),"")</f>
        <v/>
      </c>
      <c r="H5288">
        <f>IF(D5288="REMOVE",COUNTIF($D$2:D5288,"REMOVE"),"")</f>
        <v/>
      </c>
      <c r="I5288">
        <f>IF(E5288="Gmail",COUNTIF($E$2:E5288,"Gmail"),"")</f>
        <v/>
      </c>
      <c r="J5288">
        <f>IF(E5288="Outlook",COUNTIF($E$2:E5288,"Outlook"),"")</f>
        <v/>
      </c>
      <c r="K5288">
        <f>IF(E5288="Domain",COUNTIF($E$2:E5288,"Domain"),"")</f>
        <v/>
      </c>
    </row>
    <row r="5289">
      <c r="A5289" s="2" t="n"/>
      <c r="B5289">
        <f>LOWER(TRIM(A5289))</f>
        <v/>
      </c>
      <c r="C5289">
        <f>IF(B5289="","",IFERROR(INDEX('Bad Patterns'!$A$2:$A$120,MATCH(1,INDEX(--ISNUMBER(SEARCH('Bad Patterns'!$A$2:$A$120,B5289)),0),0)),""))</f>
        <v/>
      </c>
      <c r="D5289">
        <f>IF(B5289="","",IF(C5289&lt;&gt;"","REMOVE","KEEP"))</f>
        <v/>
      </c>
      <c r="E5289">
        <f>IF(D5289&lt;&gt;"KEEP","",IF(RIGHT(B5289,10)="@gmail.com","Gmail",IF(OR(RIGHT(B5289,12)="@outlook.com",RIGHT(B5289,12)="@hotmail.com",RIGHT(B5289,9)="@live.com"),"Outlook","Domain")))</f>
        <v/>
      </c>
      <c r="F5289">
        <f>IF(B5289="","",IFERROR(RIGHT(B5289,LEN(B5289)-FIND("@",B5289)),""))</f>
        <v/>
      </c>
      <c r="G5289">
        <f>IF(D5289="KEEP",COUNTIF($D$2:D5289,"KEEP"),"")</f>
        <v/>
      </c>
      <c r="H5289">
        <f>IF(D5289="REMOVE",COUNTIF($D$2:D5289,"REMOVE"),"")</f>
        <v/>
      </c>
      <c r="I5289">
        <f>IF(E5289="Gmail",COUNTIF($E$2:E5289,"Gmail"),"")</f>
        <v/>
      </c>
      <c r="J5289">
        <f>IF(E5289="Outlook",COUNTIF($E$2:E5289,"Outlook"),"")</f>
        <v/>
      </c>
      <c r="K5289">
        <f>IF(E5289="Domain",COUNTIF($E$2:E5289,"Domain"),"")</f>
        <v/>
      </c>
    </row>
    <row r="5290">
      <c r="A5290" s="2" t="n"/>
      <c r="B5290">
        <f>LOWER(TRIM(A5290))</f>
        <v/>
      </c>
      <c r="C5290">
        <f>IF(B5290="","",IFERROR(INDEX('Bad Patterns'!$A$2:$A$120,MATCH(1,INDEX(--ISNUMBER(SEARCH('Bad Patterns'!$A$2:$A$120,B5290)),0),0)),""))</f>
        <v/>
      </c>
      <c r="D5290">
        <f>IF(B5290="","",IF(C5290&lt;&gt;"","REMOVE","KEEP"))</f>
        <v/>
      </c>
      <c r="E5290">
        <f>IF(D5290&lt;&gt;"KEEP","",IF(RIGHT(B5290,10)="@gmail.com","Gmail",IF(OR(RIGHT(B5290,12)="@outlook.com",RIGHT(B5290,12)="@hotmail.com",RIGHT(B5290,9)="@live.com"),"Outlook","Domain")))</f>
        <v/>
      </c>
      <c r="F5290">
        <f>IF(B5290="","",IFERROR(RIGHT(B5290,LEN(B5290)-FIND("@",B5290)),""))</f>
        <v/>
      </c>
      <c r="G5290">
        <f>IF(D5290="KEEP",COUNTIF($D$2:D5290,"KEEP"),"")</f>
        <v/>
      </c>
      <c r="H5290">
        <f>IF(D5290="REMOVE",COUNTIF($D$2:D5290,"REMOVE"),"")</f>
        <v/>
      </c>
      <c r="I5290">
        <f>IF(E5290="Gmail",COUNTIF($E$2:E5290,"Gmail"),"")</f>
        <v/>
      </c>
      <c r="J5290">
        <f>IF(E5290="Outlook",COUNTIF($E$2:E5290,"Outlook"),"")</f>
        <v/>
      </c>
      <c r="K5290">
        <f>IF(E5290="Domain",COUNTIF($E$2:E5290,"Domain"),"")</f>
        <v/>
      </c>
    </row>
    <row r="5291">
      <c r="A5291" s="2" t="n"/>
      <c r="B5291">
        <f>LOWER(TRIM(A5291))</f>
        <v/>
      </c>
      <c r="C5291">
        <f>IF(B5291="","",IFERROR(INDEX('Bad Patterns'!$A$2:$A$120,MATCH(1,INDEX(--ISNUMBER(SEARCH('Bad Patterns'!$A$2:$A$120,B5291)),0),0)),""))</f>
        <v/>
      </c>
      <c r="D5291">
        <f>IF(B5291="","",IF(C5291&lt;&gt;"","REMOVE","KEEP"))</f>
        <v/>
      </c>
      <c r="E5291">
        <f>IF(D5291&lt;&gt;"KEEP","",IF(RIGHT(B5291,10)="@gmail.com","Gmail",IF(OR(RIGHT(B5291,12)="@outlook.com",RIGHT(B5291,12)="@hotmail.com",RIGHT(B5291,9)="@live.com"),"Outlook","Domain")))</f>
        <v/>
      </c>
      <c r="F5291">
        <f>IF(B5291="","",IFERROR(RIGHT(B5291,LEN(B5291)-FIND("@",B5291)),""))</f>
        <v/>
      </c>
      <c r="G5291">
        <f>IF(D5291="KEEP",COUNTIF($D$2:D5291,"KEEP"),"")</f>
        <v/>
      </c>
      <c r="H5291">
        <f>IF(D5291="REMOVE",COUNTIF($D$2:D5291,"REMOVE"),"")</f>
        <v/>
      </c>
      <c r="I5291">
        <f>IF(E5291="Gmail",COUNTIF($E$2:E5291,"Gmail"),"")</f>
        <v/>
      </c>
      <c r="J5291">
        <f>IF(E5291="Outlook",COUNTIF($E$2:E5291,"Outlook"),"")</f>
        <v/>
      </c>
      <c r="K5291">
        <f>IF(E5291="Domain",COUNTIF($E$2:E5291,"Domain"),"")</f>
        <v/>
      </c>
    </row>
    <row r="5292">
      <c r="A5292" s="2" t="n"/>
      <c r="B5292">
        <f>LOWER(TRIM(A5292))</f>
        <v/>
      </c>
      <c r="C5292">
        <f>IF(B5292="","",IFERROR(INDEX('Bad Patterns'!$A$2:$A$120,MATCH(1,INDEX(--ISNUMBER(SEARCH('Bad Patterns'!$A$2:$A$120,B5292)),0),0)),""))</f>
        <v/>
      </c>
      <c r="D5292">
        <f>IF(B5292="","",IF(C5292&lt;&gt;"","REMOVE","KEEP"))</f>
        <v/>
      </c>
      <c r="E5292">
        <f>IF(D5292&lt;&gt;"KEEP","",IF(RIGHT(B5292,10)="@gmail.com","Gmail",IF(OR(RIGHT(B5292,12)="@outlook.com",RIGHT(B5292,12)="@hotmail.com",RIGHT(B5292,9)="@live.com"),"Outlook","Domain")))</f>
        <v/>
      </c>
      <c r="F5292">
        <f>IF(B5292="","",IFERROR(RIGHT(B5292,LEN(B5292)-FIND("@",B5292)),""))</f>
        <v/>
      </c>
      <c r="G5292">
        <f>IF(D5292="KEEP",COUNTIF($D$2:D5292,"KEEP"),"")</f>
        <v/>
      </c>
      <c r="H5292">
        <f>IF(D5292="REMOVE",COUNTIF($D$2:D5292,"REMOVE"),"")</f>
        <v/>
      </c>
      <c r="I5292">
        <f>IF(E5292="Gmail",COUNTIF($E$2:E5292,"Gmail"),"")</f>
        <v/>
      </c>
      <c r="J5292">
        <f>IF(E5292="Outlook",COUNTIF($E$2:E5292,"Outlook"),"")</f>
        <v/>
      </c>
      <c r="K5292">
        <f>IF(E5292="Domain",COUNTIF($E$2:E5292,"Domain"),"")</f>
        <v/>
      </c>
    </row>
    <row r="5293">
      <c r="A5293" s="2" t="n"/>
      <c r="B5293">
        <f>LOWER(TRIM(A5293))</f>
        <v/>
      </c>
      <c r="C5293">
        <f>IF(B5293="","",IFERROR(INDEX('Bad Patterns'!$A$2:$A$120,MATCH(1,INDEX(--ISNUMBER(SEARCH('Bad Patterns'!$A$2:$A$120,B5293)),0),0)),""))</f>
        <v/>
      </c>
      <c r="D5293">
        <f>IF(B5293="","",IF(C5293&lt;&gt;"","REMOVE","KEEP"))</f>
        <v/>
      </c>
      <c r="E5293">
        <f>IF(D5293&lt;&gt;"KEEP","",IF(RIGHT(B5293,10)="@gmail.com","Gmail",IF(OR(RIGHT(B5293,12)="@outlook.com",RIGHT(B5293,12)="@hotmail.com",RIGHT(B5293,9)="@live.com"),"Outlook","Domain")))</f>
        <v/>
      </c>
      <c r="F5293">
        <f>IF(B5293="","",IFERROR(RIGHT(B5293,LEN(B5293)-FIND("@",B5293)),""))</f>
        <v/>
      </c>
      <c r="G5293">
        <f>IF(D5293="KEEP",COUNTIF($D$2:D5293,"KEEP"),"")</f>
        <v/>
      </c>
      <c r="H5293">
        <f>IF(D5293="REMOVE",COUNTIF($D$2:D5293,"REMOVE"),"")</f>
        <v/>
      </c>
      <c r="I5293">
        <f>IF(E5293="Gmail",COUNTIF($E$2:E5293,"Gmail"),"")</f>
        <v/>
      </c>
      <c r="J5293">
        <f>IF(E5293="Outlook",COUNTIF($E$2:E5293,"Outlook"),"")</f>
        <v/>
      </c>
      <c r="K5293">
        <f>IF(E5293="Domain",COUNTIF($E$2:E5293,"Domain"),"")</f>
        <v/>
      </c>
    </row>
    <row r="5294">
      <c r="A5294" s="2" t="n"/>
      <c r="B5294">
        <f>LOWER(TRIM(A5294))</f>
        <v/>
      </c>
      <c r="C5294">
        <f>IF(B5294="","",IFERROR(INDEX('Bad Patterns'!$A$2:$A$120,MATCH(1,INDEX(--ISNUMBER(SEARCH('Bad Patterns'!$A$2:$A$120,B5294)),0),0)),""))</f>
        <v/>
      </c>
      <c r="D5294">
        <f>IF(B5294="","",IF(C5294&lt;&gt;"","REMOVE","KEEP"))</f>
        <v/>
      </c>
      <c r="E5294">
        <f>IF(D5294&lt;&gt;"KEEP","",IF(RIGHT(B5294,10)="@gmail.com","Gmail",IF(OR(RIGHT(B5294,12)="@outlook.com",RIGHT(B5294,12)="@hotmail.com",RIGHT(B5294,9)="@live.com"),"Outlook","Domain")))</f>
        <v/>
      </c>
      <c r="F5294">
        <f>IF(B5294="","",IFERROR(RIGHT(B5294,LEN(B5294)-FIND("@",B5294)),""))</f>
        <v/>
      </c>
      <c r="G5294">
        <f>IF(D5294="KEEP",COUNTIF($D$2:D5294,"KEEP"),"")</f>
        <v/>
      </c>
      <c r="H5294">
        <f>IF(D5294="REMOVE",COUNTIF($D$2:D5294,"REMOVE"),"")</f>
        <v/>
      </c>
      <c r="I5294">
        <f>IF(E5294="Gmail",COUNTIF($E$2:E5294,"Gmail"),"")</f>
        <v/>
      </c>
      <c r="J5294">
        <f>IF(E5294="Outlook",COUNTIF($E$2:E5294,"Outlook"),"")</f>
        <v/>
      </c>
      <c r="K5294">
        <f>IF(E5294="Domain",COUNTIF($E$2:E5294,"Domain"),"")</f>
        <v/>
      </c>
    </row>
    <row r="5295">
      <c r="A5295" s="2" t="n"/>
      <c r="B5295">
        <f>LOWER(TRIM(A5295))</f>
        <v/>
      </c>
      <c r="C5295">
        <f>IF(B5295="","",IFERROR(INDEX('Bad Patterns'!$A$2:$A$120,MATCH(1,INDEX(--ISNUMBER(SEARCH('Bad Patterns'!$A$2:$A$120,B5295)),0),0)),""))</f>
        <v/>
      </c>
      <c r="D5295">
        <f>IF(B5295="","",IF(C5295&lt;&gt;"","REMOVE","KEEP"))</f>
        <v/>
      </c>
      <c r="E5295">
        <f>IF(D5295&lt;&gt;"KEEP","",IF(RIGHT(B5295,10)="@gmail.com","Gmail",IF(OR(RIGHT(B5295,12)="@outlook.com",RIGHT(B5295,12)="@hotmail.com",RIGHT(B5295,9)="@live.com"),"Outlook","Domain")))</f>
        <v/>
      </c>
      <c r="F5295">
        <f>IF(B5295="","",IFERROR(RIGHT(B5295,LEN(B5295)-FIND("@",B5295)),""))</f>
        <v/>
      </c>
      <c r="G5295">
        <f>IF(D5295="KEEP",COUNTIF($D$2:D5295,"KEEP"),"")</f>
        <v/>
      </c>
      <c r="H5295">
        <f>IF(D5295="REMOVE",COUNTIF($D$2:D5295,"REMOVE"),"")</f>
        <v/>
      </c>
      <c r="I5295">
        <f>IF(E5295="Gmail",COUNTIF($E$2:E5295,"Gmail"),"")</f>
        <v/>
      </c>
      <c r="J5295">
        <f>IF(E5295="Outlook",COUNTIF($E$2:E5295,"Outlook"),"")</f>
        <v/>
      </c>
      <c r="K5295">
        <f>IF(E5295="Domain",COUNTIF($E$2:E5295,"Domain"),"")</f>
        <v/>
      </c>
    </row>
    <row r="5296">
      <c r="A5296" s="2" t="n"/>
      <c r="B5296">
        <f>LOWER(TRIM(A5296))</f>
        <v/>
      </c>
      <c r="C5296">
        <f>IF(B5296="","",IFERROR(INDEX('Bad Patterns'!$A$2:$A$120,MATCH(1,INDEX(--ISNUMBER(SEARCH('Bad Patterns'!$A$2:$A$120,B5296)),0),0)),""))</f>
        <v/>
      </c>
      <c r="D5296">
        <f>IF(B5296="","",IF(C5296&lt;&gt;"","REMOVE","KEEP"))</f>
        <v/>
      </c>
      <c r="E5296">
        <f>IF(D5296&lt;&gt;"KEEP","",IF(RIGHT(B5296,10)="@gmail.com","Gmail",IF(OR(RIGHT(B5296,12)="@outlook.com",RIGHT(B5296,12)="@hotmail.com",RIGHT(B5296,9)="@live.com"),"Outlook","Domain")))</f>
        <v/>
      </c>
      <c r="F5296">
        <f>IF(B5296="","",IFERROR(RIGHT(B5296,LEN(B5296)-FIND("@",B5296)),""))</f>
        <v/>
      </c>
      <c r="G5296">
        <f>IF(D5296="KEEP",COUNTIF($D$2:D5296,"KEEP"),"")</f>
        <v/>
      </c>
      <c r="H5296">
        <f>IF(D5296="REMOVE",COUNTIF($D$2:D5296,"REMOVE"),"")</f>
        <v/>
      </c>
      <c r="I5296">
        <f>IF(E5296="Gmail",COUNTIF($E$2:E5296,"Gmail"),"")</f>
        <v/>
      </c>
      <c r="J5296">
        <f>IF(E5296="Outlook",COUNTIF($E$2:E5296,"Outlook"),"")</f>
        <v/>
      </c>
      <c r="K5296">
        <f>IF(E5296="Domain",COUNTIF($E$2:E5296,"Domain"),"")</f>
        <v/>
      </c>
    </row>
    <row r="5297">
      <c r="A5297" s="2" t="n"/>
      <c r="B5297">
        <f>LOWER(TRIM(A5297))</f>
        <v/>
      </c>
      <c r="C5297">
        <f>IF(B5297="","",IFERROR(INDEX('Bad Patterns'!$A$2:$A$120,MATCH(1,INDEX(--ISNUMBER(SEARCH('Bad Patterns'!$A$2:$A$120,B5297)),0),0)),""))</f>
        <v/>
      </c>
      <c r="D5297">
        <f>IF(B5297="","",IF(C5297&lt;&gt;"","REMOVE","KEEP"))</f>
        <v/>
      </c>
      <c r="E5297">
        <f>IF(D5297&lt;&gt;"KEEP","",IF(RIGHT(B5297,10)="@gmail.com","Gmail",IF(OR(RIGHT(B5297,12)="@outlook.com",RIGHT(B5297,12)="@hotmail.com",RIGHT(B5297,9)="@live.com"),"Outlook","Domain")))</f>
        <v/>
      </c>
      <c r="F5297">
        <f>IF(B5297="","",IFERROR(RIGHT(B5297,LEN(B5297)-FIND("@",B5297)),""))</f>
        <v/>
      </c>
      <c r="G5297">
        <f>IF(D5297="KEEP",COUNTIF($D$2:D5297,"KEEP"),"")</f>
        <v/>
      </c>
      <c r="H5297">
        <f>IF(D5297="REMOVE",COUNTIF($D$2:D5297,"REMOVE"),"")</f>
        <v/>
      </c>
      <c r="I5297">
        <f>IF(E5297="Gmail",COUNTIF($E$2:E5297,"Gmail"),"")</f>
        <v/>
      </c>
      <c r="J5297">
        <f>IF(E5297="Outlook",COUNTIF($E$2:E5297,"Outlook"),"")</f>
        <v/>
      </c>
      <c r="K5297">
        <f>IF(E5297="Domain",COUNTIF($E$2:E5297,"Domain"),"")</f>
        <v/>
      </c>
    </row>
    <row r="5298">
      <c r="A5298" s="2" t="n"/>
      <c r="B5298">
        <f>LOWER(TRIM(A5298))</f>
        <v/>
      </c>
      <c r="C5298">
        <f>IF(B5298="","",IFERROR(INDEX('Bad Patterns'!$A$2:$A$120,MATCH(1,INDEX(--ISNUMBER(SEARCH('Bad Patterns'!$A$2:$A$120,B5298)),0),0)),""))</f>
        <v/>
      </c>
      <c r="D5298">
        <f>IF(B5298="","",IF(C5298&lt;&gt;"","REMOVE","KEEP"))</f>
        <v/>
      </c>
      <c r="E5298">
        <f>IF(D5298&lt;&gt;"KEEP","",IF(RIGHT(B5298,10)="@gmail.com","Gmail",IF(OR(RIGHT(B5298,12)="@outlook.com",RIGHT(B5298,12)="@hotmail.com",RIGHT(B5298,9)="@live.com"),"Outlook","Domain")))</f>
        <v/>
      </c>
      <c r="F5298">
        <f>IF(B5298="","",IFERROR(RIGHT(B5298,LEN(B5298)-FIND("@",B5298)),""))</f>
        <v/>
      </c>
      <c r="G5298">
        <f>IF(D5298="KEEP",COUNTIF($D$2:D5298,"KEEP"),"")</f>
        <v/>
      </c>
      <c r="H5298">
        <f>IF(D5298="REMOVE",COUNTIF($D$2:D5298,"REMOVE"),"")</f>
        <v/>
      </c>
      <c r="I5298">
        <f>IF(E5298="Gmail",COUNTIF($E$2:E5298,"Gmail"),"")</f>
        <v/>
      </c>
      <c r="J5298">
        <f>IF(E5298="Outlook",COUNTIF($E$2:E5298,"Outlook"),"")</f>
        <v/>
      </c>
      <c r="K5298">
        <f>IF(E5298="Domain",COUNTIF($E$2:E5298,"Domain"),"")</f>
        <v/>
      </c>
    </row>
    <row r="5299">
      <c r="A5299" s="2" t="n"/>
      <c r="B5299">
        <f>LOWER(TRIM(A5299))</f>
        <v/>
      </c>
      <c r="C5299">
        <f>IF(B5299="","",IFERROR(INDEX('Bad Patterns'!$A$2:$A$120,MATCH(1,INDEX(--ISNUMBER(SEARCH('Bad Patterns'!$A$2:$A$120,B5299)),0),0)),""))</f>
        <v/>
      </c>
      <c r="D5299">
        <f>IF(B5299="","",IF(C5299&lt;&gt;"","REMOVE","KEEP"))</f>
        <v/>
      </c>
      <c r="E5299">
        <f>IF(D5299&lt;&gt;"KEEP","",IF(RIGHT(B5299,10)="@gmail.com","Gmail",IF(OR(RIGHT(B5299,12)="@outlook.com",RIGHT(B5299,12)="@hotmail.com",RIGHT(B5299,9)="@live.com"),"Outlook","Domain")))</f>
        <v/>
      </c>
      <c r="F5299">
        <f>IF(B5299="","",IFERROR(RIGHT(B5299,LEN(B5299)-FIND("@",B5299)),""))</f>
        <v/>
      </c>
      <c r="G5299">
        <f>IF(D5299="KEEP",COUNTIF($D$2:D5299,"KEEP"),"")</f>
        <v/>
      </c>
      <c r="H5299">
        <f>IF(D5299="REMOVE",COUNTIF($D$2:D5299,"REMOVE"),"")</f>
        <v/>
      </c>
      <c r="I5299">
        <f>IF(E5299="Gmail",COUNTIF($E$2:E5299,"Gmail"),"")</f>
        <v/>
      </c>
      <c r="J5299">
        <f>IF(E5299="Outlook",COUNTIF($E$2:E5299,"Outlook"),"")</f>
        <v/>
      </c>
      <c r="K5299">
        <f>IF(E5299="Domain",COUNTIF($E$2:E5299,"Domain"),"")</f>
        <v/>
      </c>
    </row>
    <row r="5300">
      <c r="A5300" s="2" t="n"/>
      <c r="B5300">
        <f>LOWER(TRIM(A5300))</f>
        <v/>
      </c>
      <c r="C5300">
        <f>IF(B5300="","",IFERROR(INDEX('Bad Patterns'!$A$2:$A$120,MATCH(1,INDEX(--ISNUMBER(SEARCH('Bad Patterns'!$A$2:$A$120,B5300)),0),0)),""))</f>
        <v/>
      </c>
      <c r="D5300">
        <f>IF(B5300="","",IF(C5300&lt;&gt;"","REMOVE","KEEP"))</f>
        <v/>
      </c>
      <c r="E5300">
        <f>IF(D5300&lt;&gt;"KEEP","",IF(RIGHT(B5300,10)="@gmail.com","Gmail",IF(OR(RIGHT(B5300,12)="@outlook.com",RIGHT(B5300,12)="@hotmail.com",RIGHT(B5300,9)="@live.com"),"Outlook","Domain")))</f>
        <v/>
      </c>
      <c r="F5300">
        <f>IF(B5300="","",IFERROR(RIGHT(B5300,LEN(B5300)-FIND("@",B5300)),""))</f>
        <v/>
      </c>
      <c r="G5300">
        <f>IF(D5300="KEEP",COUNTIF($D$2:D5300,"KEEP"),"")</f>
        <v/>
      </c>
      <c r="H5300">
        <f>IF(D5300="REMOVE",COUNTIF($D$2:D5300,"REMOVE"),"")</f>
        <v/>
      </c>
      <c r="I5300">
        <f>IF(E5300="Gmail",COUNTIF($E$2:E5300,"Gmail"),"")</f>
        <v/>
      </c>
      <c r="J5300">
        <f>IF(E5300="Outlook",COUNTIF($E$2:E5300,"Outlook"),"")</f>
        <v/>
      </c>
      <c r="K5300">
        <f>IF(E5300="Domain",COUNTIF($E$2:E5300,"Domain"),"")</f>
        <v/>
      </c>
    </row>
    <row r="5301">
      <c r="A5301" s="2" t="n"/>
      <c r="B5301">
        <f>LOWER(TRIM(A5301))</f>
        <v/>
      </c>
      <c r="C5301">
        <f>IF(B5301="","",IFERROR(INDEX('Bad Patterns'!$A$2:$A$120,MATCH(1,INDEX(--ISNUMBER(SEARCH('Bad Patterns'!$A$2:$A$120,B5301)),0),0)),""))</f>
        <v/>
      </c>
      <c r="D5301">
        <f>IF(B5301="","",IF(C5301&lt;&gt;"","REMOVE","KEEP"))</f>
        <v/>
      </c>
      <c r="E5301">
        <f>IF(D5301&lt;&gt;"KEEP","",IF(RIGHT(B5301,10)="@gmail.com","Gmail",IF(OR(RIGHT(B5301,12)="@outlook.com",RIGHT(B5301,12)="@hotmail.com",RIGHT(B5301,9)="@live.com"),"Outlook","Domain")))</f>
        <v/>
      </c>
      <c r="F5301">
        <f>IF(B5301="","",IFERROR(RIGHT(B5301,LEN(B5301)-FIND("@",B5301)),""))</f>
        <v/>
      </c>
      <c r="G5301">
        <f>IF(D5301="KEEP",COUNTIF($D$2:D5301,"KEEP"),"")</f>
        <v/>
      </c>
      <c r="H5301">
        <f>IF(D5301="REMOVE",COUNTIF($D$2:D5301,"REMOVE"),"")</f>
        <v/>
      </c>
      <c r="I5301">
        <f>IF(E5301="Gmail",COUNTIF($E$2:E5301,"Gmail"),"")</f>
        <v/>
      </c>
      <c r="J5301">
        <f>IF(E5301="Outlook",COUNTIF($E$2:E5301,"Outlook"),"")</f>
        <v/>
      </c>
      <c r="K5301">
        <f>IF(E5301="Domain",COUNTIF($E$2:E5301,"Domain"),"")</f>
        <v/>
      </c>
    </row>
    <row r="5302">
      <c r="A5302" s="2" t="n"/>
      <c r="B5302">
        <f>LOWER(TRIM(A5302))</f>
        <v/>
      </c>
      <c r="C5302">
        <f>IF(B5302="","",IFERROR(INDEX('Bad Patterns'!$A$2:$A$120,MATCH(1,INDEX(--ISNUMBER(SEARCH('Bad Patterns'!$A$2:$A$120,B5302)),0),0)),""))</f>
        <v/>
      </c>
      <c r="D5302">
        <f>IF(B5302="","",IF(C5302&lt;&gt;"","REMOVE","KEEP"))</f>
        <v/>
      </c>
      <c r="E5302">
        <f>IF(D5302&lt;&gt;"KEEP","",IF(RIGHT(B5302,10)="@gmail.com","Gmail",IF(OR(RIGHT(B5302,12)="@outlook.com",RIGHT(B5302,12)="@hotmail.com",RIGHT(B5302,9)="@live.com"),"Outlook","Domain")))</f>
        <v/>
      </c>
      <c r="F5302">
        <f>IF(B5302="","",IFERROR(RIGHT(B5302,LEN(B5302)-FIND("@",B5302)),""))</f>
        <v/>
      </c>
      <c r="G5302">
        <f>IF(D5302="KEEP",COUNTIF($D$2:D5302,"KEEP"),"")</f>
        <v/>
      </c>
      <c r="H5302">
        <f>IF(D5302="REMOVE",COUNTIF($D$2:D5302,"REMOVE"),"")</f>
        <v/>
      </c>
      <c r="I5302">
        <f>IF(E5302="Gmail",COUNTIF($E$2:E5302,"Gmail"),"")</f>
        <v/>
      </c>
      <c r="J5302">
        <f>IF(E5302="Outlook",COUNTIF($E$2:E5302,"Outlook"),"")</f>
        <v/>
      </c>
      <c r="K5302">
        <f>IF(E5302="Domain",COUNTIF($E$2:E5302,"Domain"),"")</f>
        <v/>
      </c>
    </row>
    <row r="5303">
      <c r="A5303" s="2" t="n"/>
      <c r="B5303">
        <f>LOWER(TRIM(A5303))</f>
        <v/>
      </c>
      <c r="C5303">
        <f>IF(B5303="","",IFERROR(INDEX('Bad Patterns'!$A$2:$A$120,MATCH(1,INDEX(--ISNUMBER(SEARCH('Bad Patterns'!$A$2:$A$120,B5303)),0),0)),""))</f>
        <v/>
      </c>
      <c r="D5303">
        <f>IF(B5303="","",IF(C5303&lt;&gt;"","REMOVE","KEEP"))</f>
        <v/>
      </c>
      <c r="E5303">
        <f>IF(D5303&lt;&gt;"KEEP","",IF(RIGHT(B5303,10)="@gmail.com","Gmail",IF(OR(RIGHT(B5303,12)="@outlook.com",RIGHT(B5303,12)="@hotmail.com",RIGHT(B5303,9)="@live.com"),"Outlook","Domain")))</f>
        <v/>
      </c>
      <c r="F5303">
        <f>IF(B5303="","",IFERROR(RIGHT(B5303,LEN(B5303)-FIND("@",B5303)),""))</f>
        <v/>
      </c>
      <c r="G5303">
        <f>IF(D5303="KEEP",COUNTIF($D$2:D5303,"KEEP"),"")</f>
        <v/>
      </c>
      <c r="H5303">
        <f>IF(D5303="REMOVE",COUNTIF($D$2:D5303,"REMOVE"),"")</f>
        <v/>
      </c>
      <c r="I5303">
        <f>IF(E5303="Gmail",COUNTIF($E$2:E5303,"Gmail"),"")</f>
        <v/>
      </c>
      <c r="J5303">
        <f>IF(E5303="Outlook",COUNTIF($E$2:E5303,"Outlook"),"")</f>
        <v/>
      </c>
      <c r="K5303">
        <f>IF(E5303="Domain",COUNTIF($E$2:E5303,"Domain"),"")</f>
        <v/>
      </c>
    </row>
    <row r="5304">
      <c r="A5304" s="2" t="n"/>
      <c r="B5304">
        <f>LOWER(TRIM(A5304))</f>
        <v/>
      </c>
      <c r="C5304">
        <f>IF(B5304="","",IFERROR(INDEX('Bad Patterns'!$A$2:$A$120,MATCH(1,INDEX(--ISNUMBER(SEARCH('Bad Patterns'!$A$2:$A$120,B5304)),0),0)),""))</f>
        <v/>
      </c>
      <c r="D5304">
        <f>IF(B5304="","",IF(C5304&lt;&gt;"","REMOVE","KEEP"))</f>
        <v/>
      </c>
      <c r="E5304">
        <f>IF(D5304&lt;&gt;"KEEP","",IF(RIGHT(B5304,10)="@gmail.com","Gmail",IF(OR(RIGHT(B5304,12)="@outlook.com",RIGHT(B5304,12)="@hotmail.com",RIGHT(B5304,9)="@live.com"),"Outlook","Domain")))</f>
        <v/>
      </c>
      <c r="F5304">
        <f>IF(B5304="","",IFERROR(RIGHT(B5304,LEN(B5304)-FIND("@",B5304)),""))</f>
        <v/>
      </c>
      <c r="G5304">
        <f>IF(D5304="KEEP",COUNTIF($D$2:D5304,"KEEP"),"")</f>
        <v/>
      </c>
      <c r="H5304">
        <f>IF(D5304="REMOVE",COUNTIF($D$2:D5304,"REMOVE"),"")</f>
        <v/>
      </c>
      <c r="I5304">
        <f>IF(E5304="Gmail",COUNTIF($E$2:E5304,"Gmail"),"")</f>
        <v/>
      </c>
      <c r="J5304">
        <f>IF(E5304="Outlook",COUNTIF($E$2:E5304,"Outlook"),"")</f>
        <v/>
      </c>
      <c r="K5304">
        <f>IF(E5304="Domain",COUNTIF($E$2:E5304,"Domain"),"")</f>
        <v/>
      </c>
    </row>
    <row r="5305">
      <c r="A5305" s="2" t="n"/>
      <c r="B5305">
        <f>LOWER(TRIM(A5305))</f>
        <v/>
      </c>
      <c r="C5305">
        <f>IF(B5305="","",IFERROR(INDEX('Bad Patterns'!$A$2:$A$120,MATCH(1,INDEX(--ISNUMBER(SEARCH('Bad Patterns'!$A$2:$A$120,B5305)),0),0)),""))</f>
        <v/>
      </c>
      <c r="D5305">
        <f>IF(B5305="","",IF(C5305&lt;&gt;"","REMOVE","KEEP"))</f>
        <v/>
      </c>
      <c r="E5305">
        <f>IF(D5305&lt;&gt;"KEEP","",IF(RIGHT(B5305,10)="@gmail.com","Gmail",IF(OR(RIGHT(B5305,12)="@outlook.com",RIGHT(B5305,12)="@hotmail.com",RIGHT(B5305,9)="@live.com"),"Outlook","Domain")))</f>
        <v/>
      </c>
      <c r="F5305">
        <f>IF(B5305="","",IFERROR(RIGHT(B5305,LEN(B5305)-FIND("@",B5305)),""))</f>
        <v/>
      </c>
      <c r="G5305">
        <f>IF(D5305="KEEP",COUNTIF($D$2:D5305,"KEEP"),"")</f>
        <v/>
      </c>
      <c r="H5305">
        <f>IF(D5305="REMOVE",COUNTIF($D$2:D5305,"REMOVE"),"")</f>
        <v/>
      </c>
      <c r="I5305">
        <f>IF(E5305="Gmail",COUNTIF($E$2:E5305,"Gmail"),"")</f>
        <v/>
      </c>
      <c r="J5305">
        <f>IF(E5305="Outlook",COUNTIF($E$2:E5305,"Outlook"),"")</f>
        <v/>
      </c>
      <c r="K5305">
        <f>IF(E5305="Domain",COUNTIF($E$2:E5305,"Domain"),"")</f>
        <v/>
      </c>
    </row>
    <row r="5306">
      <c r="A5306" s="2" t="n"/>
      <c r="B5306">
        <f>LOWER(TRIM(A5306))</f>
        <v/>
      </c>
      <c r="C5306">
        <f>IF(B5306="","",IFERROR(INDEX('Bad Patterns'!$A$2:$A$120,MATCH(1,INDEX(--ISNUMBER(SEARCH('Bad Patterns'!$A$2:$A$120,B5306)),0),0)),""))</f>
        <v/>
      </c>
      <c r="D5306">
        <f>IF(B5306="","",IF(C5306&lt;&gt;"","REMOVE","KEEP"))</f>
        <v/>
      </c>
      <c r="E5306">
        <f>IF(D5306&lt;&gt;"KEEP","",IF(RIGHT(B5306,10)="@gmail.com","Gmail",IF(OR(RIGHT(B5306,12)="@outlook.com",RIGHT(B5306,12)="@hotmail.com",RIGHT(B5306,9)="@live.com"),"Outlook","Domain")))</f>
        <v/>
      </c>
      <c r="F5306">
        <f>IF(B5306="","",IFERROR(RIGHT(B5306,LEN(B5306)-FIND("@",B5306)),""))</f>
        <v/>
      </c>
      <c r="G5306">
        <f>IF(D5306="KEEP",COUNTIF($D$2:D5306,"KEEP"),"")</f>
        <v/>
      </c>
      <c r="H5306">
        <f>IF(D5306="REMOVE",COUNTIF($D$2:D5306,"REMOVE"),"")</f>
        <v/>
      </c>
      <c r="I5306">
        <f>IF(E5306="Gmail",COUNTIF($E$2:E5306,"Gmail"),"")</f>
        <v/>
      </c>
      <c r="J5306">
        <f>IF(E5306="Outlook",COUNTIF($E$2:E5306,"Outlook"),"")</f>
        <v/>
      </c>
      <c r="K5306">
        <f>IF(E5306="Domain",COUNTIF($E$2:E5306,"Domain"),"")</f>
        <v/>
      </c>
    </row>
    <row r="5307">
      <c r="A5307" s="2" t="n"/>
      <c r="B5307">
        <f>LOWER(TRIM(A5307))</f>
        <v/>
      </c>
      <c r="C5307">
        <f>IF(B5307="","",IFERROR(INDEX('Bad Patterns'!$A$2:$A$120,MATCH(1,INDEX(--ISNUMBER(SEARCH('Bad Patterns'!$A$2:$A$120,B5307)),0),0)),""))</f>
        <v/>
      </c>
      <c r="D5307">
        <f>IF(B5307="","",IF(C5307&lt;&gt;"","REMOVE","KEEP"))</f>
        <v/>
      </c>
      <c r="E5307">
        <f>IF(D5307&lt;&gt;"KEEP","",IF(RIGHT(B5307,10)="@gmail.com","Gmail",IF(OR(RIGHT(B5307,12)="@outlook.com",RIGHT(B5307,12)="@hotmail.com",RIGHT(B5307,9)="@live.com"),"Outlook","Domain")))</f>
        <v/>
      </c>
      <c r="F5307">
        <f>IF(B5307="","",IFERROR(RIGHT(B5307,LEN(B5307)-FIND("@",B5307)),""))</f>
        <v/>
      </c>
      <c r="G5307">
        <f>IF(D5307="KEEP",COUNTIF($D$2:D5307,"KEEP"),"")</f>
        <v/>
      </c>
      <c r="H5307">
        <f>IF(D5307="REMOVE",COUNTIF($D$2:D5307,"REMOVE"),"")</f>
        <v/>
      </c>
      <c r="I5307">
        <f>IF(E5307="Gmail",COUNTIF($E$2:E5307,"Gmail"),"")</f>
        <v/>
      </c>
      <c r="J5307">
        <f>IF(E5307="Outlook",COUNTIF($E$2:E5307,"Outlook"),"")</f>
        <v/>
      </c>
      <c r="K5307">
        <f>IF(E5307="Domain",COUNTIF($E$2:E5307,"Domain"),"")</f>
        <v/>
      </c>
    </row>
    <row r="5308">
      <c r="A5308" s="2" t="n"/>
      <c r="B5308">
        <f>LOWER(TRIM(A5308))</f>
        <v/>
      </c>
      <c r="C5308">
        <f>IF(B5308="","",IFERROR(INDEX('Bad Patterns'!$A$2:$A$120,MATCH(1,INDEX(--ISNUMBER(SEARCH('Bad Patterns'!$A$2:$A$120,B5308)),0),0)),""))</f>
        <v/>
      </c>
      <c r="D5308">
        <f>IF(B5308="","",IF(C5308&lt;&gt;"","REMOVE","KEEP"))</f>
        <v/>
      </c>
      <c r="E5308">
        <f>IF(D5308&lt;&gt;"KEEP","",IF(RIGHT(B5308,10)="@gmail.com","Gmail",IF(OR(RIGHT(B5308,12)="@outlook.com",RIGHT(B5308,12)="@hotmail.com",RIGHT(B5308,9)="@live.com"),"Outlook","Domain")))</f>
        <v/>
      </c>
      <c r="F5308">
        <f>IF(B5308="","",IFERROR(RIGHT(B5308,LEN(B5308)-FIND("@",B5308)),""))</f>
        <v/>
      </c>
      <c r="G5308">
        <f>IF(D5308="KEEP",COUNTIF($D$2:D5308,"KEEP"),"")</f>
        <v/>
      </c>
      <c r="H5308">
        <f>IF(D5308="REMOVE",COUNTIF($D$2:D5308,"REMOVE"),"")</f>
        <v/>
      </c>
      <c r="I5308">
        <f>IF(E5308="Gmail",COUNTIF($E$2:E5308,"Gmail"),"")</f>
        <v/>
      </c>
      <c r="J5308">
        <f>IF(E5308="Outlook",COUNTIF($E$2:E5308,"Outlook"),"")</f>
        <v/>
      </c>
      <c r="K5308">
        <f>IF(E5308="Domain",COUNTIF($E$2:E5308,"Domain"),"")</f>
        <v/>
      </c>
    </row>
    <row r="5309">
      <c r="A5309" s="2" t="n"/>
      <c r="B5309">
        <f>LOWER(TRIM(A5309))</f>
        <v/>
      </c>
      <c r="C5309">
        <f>IF(B5309="","",IFERROR(INDEX('Bad Patterns'!$A$2:$A$120,MATCH(1,INDEX(--ISNUMBER(SEARCH('Bad Patterns'!$A$2:$A$120,B5309)),0),0)),""))</f>
        <v/>
      </c>
      <c r="D5309">
        <f>IF(B5309="","",IF(C5309&lt;&gt;"","REMOVE","KEEP"))</f>
        <v/>
      </c>
      <c r="E5309">
        <f>IF(D5309&lt;&gt;"KEEP","",IF(RIGHT(B5309,10)="@gmail.com","Gmail",IF(OR(RIGHT(B5309,12)="@outlook.com",RIGHT(B5309,12)="@hotmail.com",RIGHT(B5309,9)="@live.com"),"Outlook","Domain")))</f>
        <v/>
      </c>
      <c r="F5309">
        <f>IF(B5309="","",IFERROR(RIGHT(B5309,LEN(B5309)-FIND("@",B5309)),""))</f>
        <v/>
      </c>
      <c r="G5309">
        <f>IF(D5309="KEEP",COUNTIF($D$2:D5309,"KEEP"),"")</f>
        <v/>
      </c>
      <c r="H5309">
        <f>IF(D5309="REMOVE",COUNTIF($D$2:D5309,"REMOVE"),"")</f>
        <v/>
      </c>
      <c r="I5309">
        <f>IF(E5309="Gmail",COUNTIF($E$2:E5309,"Gmail"),"")</f>
        <v/>
      </c>
      <c r="J5309">
        <f>IF(E5309="Outlook",COUNTIF($E$2:E5309,"Outlook"),"")</f>
        <v/>
      </c>
      <c r="K5309">
        <f>IF(E5309="Domain",COUNTIF($E$2:E5309,"Domain"),"")</f>
        <v/>
      </c>
    </row>
    <row r="5310">
      <c r="A5310" s="2" t="n"/>
      <c r="B5310">
        <f>LOWER(TRIM(A5310))</f>
        <v/>
      </c>
      <c r="C5310">
        <f>IF(B5310="","",IFERROR(INDEX('Bad Patterns'!$A$2:$A$120,MATCH(1,INDEX(--ISNUMBER(SEARCH('Bad Patterns'!$A$2:$A$120,B5310)),0),0)),""))</f>
        <v/>
      </c>
      <c r="D5310">
        <f>IF(B5310="","",IF(C5310&lt;&gt;"","REMOVE","KEEP"))</f>
        <v/>
      </c>
      <c r="E5310">
        <f>IF(D5310&lt;&gt;"KEEP","",IF(RIGHT(B5310,10)="@gmail.com","Gmail",IF(OR(RIGHT(B5310,12)="@outlook.com",RIGHT(B5310,12)="@hotmail.com",RIGHT(B5310,9)="@live.com"),"Outlook","Domain")))</f>
        <v/>
      </c>
      <c r="F5310">
        <f>IF(B5310="","",IFERROR(RIGHT(B5310,LEN(B5310)-FIND("@",B5310)),""))</f>
        <v/>
      </c>
      <c r="G5310">
        <f>IF(D5310="KEEP",COUNTIF($D$2:D5310,"KEEP"),"")</f>
        <v/>
      </c>
      <c r="H5310">
        <f>IF(D5310="REMOVE",COUNTIF($D$2:D5310,"REMOVE"),"")</f>
        <v/>
      </c>
      <c r="I5310">
        <f>IF(E5310="Gmail",COUNTIF($E$2:E5310,"Gmail"),"")</f>
        <v/>
      </c>
      <c r="J5310">
        <f>IF(E5310="Outlook",COUNTIF($E$2:E5310,"Outlook"),"")</f>
        <v/>
      </c>
      <c r="K5310">
        <f>IF(E5310="Domain",COUNTIF($E$2:E5310,"Domain"),"")</f>
        <v/>
      </c>
    </row>
    <row r="5311">
      <c r="A5311" s="2" t="n"/>
      <c r="B5311">
        <f>LOWER(TRIM(A5311))</f>
        <v/>
      </c>
      <c r="C5311">
        <f>IF(B5311="","",IFERROR(INDEX('Bad Patterns'!$A$2:$A$120,MATCH(1,INDEX(--ISNUMBER(SEARCH('Bad Patterns'!$A$2:$A$120,B5311)),0),0)),""))</f>
        <v/>
      </c>
      <c r="D5311">
        <f>IF(B5311="","",IF(C5311&lt;&gt;"","REMOVE","KEEP"))</f>
        <v/>
      </c>
      <c r="E5311">
        <f>IF(D5311&lt;&gt;"KEEP","",IF(RIGHT(B5311,10)="@gmail.com","Gmail",IF(OR(RIGHT(B5311,12)="@outlook.com",RIGHT(B5311,12)="@hotmail.com",RIGHT(B5311,9)="@live.com"),"Outlook","Domain")))</f>
        <v/>
      </c>
      <c r="F5311">
        <f>IF(B5311="","",IFERROR(RIGHT(B5311,LEN(B5311)-FIND("@",B5311)),""))</f>
        <v/>
      </c>
      <c r="G5311">
        <f>IF(D5311="KEEP",COUNTIF($D$2:D5311,"KEEP"),"")</f>
        <v/>
      </c>
      <c r="H5311">
        <f>IF(D5311="REMOVE",COUNTIF($D$2:D5311,"REMOVE"),"")</f>
        <v/>
      </c>
      <c r="I5311">
        <f>IF(E5311="Gmail",COUNTIF($E$2:E5311,"Gmail"),"")</f>
        <v/>
      </c>
      <c r="J5311">
        <f>IF(E5311="Outlook",COUNTIF($E$2:E5311,"Outlook"),"")</f>
        <v/>
      </c>
      <c r="K5311">
        <f>IF(E5311="Domain",COUNTIF($E$2:E5311,"Domain"),"")</f>
        <v/>
      </c>
    </row>
    <row r="5312">
      <c r="A5312" s="2" t="n"/>
      <c r="B5312">
        <f>LOWER(TRIM(A5312))</f>
        <v/>
      </c>
      <c r="C5312">
        <f>IF(B5312="","",IFERROR(INDEX('Bad Patterns'!$A$2:$A$120,MATCH(1,INDEX(--ISNUMBER(SEARCH('Bad Patterns'!$A$2:$A$120,B5312)),0),0)),""))</f>
        <v/>
      </c>
      <c r="D5312">
        <f>IF(B5312="","",IF(C5312&lt;&gt;"","REMOVE","KEEP"))</f>
        <v/>
      </c>
      <c r="E5312">
        <f>IF(D5312&lt;&gt;"KEEP","",IF(RIGHT(B5312,10)="@gmail.com","Gmail",IF(OR(RIGHT(B5312,12)="@outlook.com",RIGHT(B5312,12)="@hotmail.com",RIGHT(B5312,9)="@live.com"),"Outlook","Domain")))</f>
        <v/>
      </c>
      <c r="F5312">
        <f>IF(B5312="","",IFERROR(RIGHT(B5312,LEN(B5312)-FIND("@",B5312)),""))</f>
        <v/>
      </c>
      <c r="G5312">
        <f>IF(D5312="KEEP",COUNTIF($D$2:D5312,"KEEP"),"")</f>
        <v/>
      </c>
      <c r="H5312">
        <f>IF(D5312="REMOVE",COUNTIF($D$2:D5312,"REMOVE"),"")</f>
        <v/>
      </c>
      <c r="I5312">
        <f>IF(E5312="Gmail",COUNTIF($E$2:E5312,"Gmail"),"")</f>
        <v/>
      </c>
      <c r="J5312">
        <f>IF(E5312="Outlook",COUNTIF($E$2:E5312,"Outlook"),"")</f>
        <v/>
      </c>
      <c r="K5312">
        <f>IF(E5312="Domain",COUNTIF($E$2:E5312,"Domain"),"")</f>
        <v/>
      </c>
    </row>
    <row r="5313">
      <c r="A5313" s="2" t="n"/>
      <c r="B5313">
        <f>LOWER(TRIM(A5313))</f>
        <v/>
      </c>
      <c r="C5313">
        <f>IF(B5313="","",IFERROR(INDEX('Bad Patterns'!$A$2:$A$120,MATCH(1,INDEX(--ISNUMBER(SEARCH('Bad Patterns'!$A$2:$A$120,B5313)),0),0)),""))</f>
        <v/>
      </c>
      <c r="D5313">
        <f>IF(B5313="","",IF(C5313&lt;&gt;"","REMOVE","KEEP"))</f>
        <v/>
      </c>
      <c r="E5313">
        <f>IF(D5313&lt;&gt;"KEEP","",IF(RIGHT(B5313,10)="@gmail.com","Gmail",IF(OR(RIGHT(B5313,12)="@outlook.com",RIGHT(B5313,12)="@hotmail.com",RIGHT(B5313,9)="@live.com"),"Outlook","Domain")))</f>
        <v/>
      </c>
      <c r="F5313">
        <f>IF(B5313="","",IFERROR(RIGHT(B5313,LEN(B5313)-FIND("@",B5313)),""))</f>
        <v/>
      </c>
      <c r="G5313">
        <f>IF(D5313="KEEP",COUNTIF($D$2:D5313,"KEEP"),"")</f>
        <v/>
      </c>
      <c r="H5313">
        <f>IF(D5313="REMOVE",COUNTIF($D$2:D5313,"REMOVE"),"")</f>
        <v/>
      </c>
      <c r="I5313">
        <f>IF(E5313="Gmail",COUNTIF($E$2:E5313,"Gmail"),"")</f>
        <v/>
      </c>
      <c r="J5313">
        <f>IF(E5313="Outlook",COUNTIF($E$2:E5313,"Outlook"),"")</f>
        <v/>
      </c>
      <c r="K5313">
        <f>IF(E5313="Domain",COUNTIF($E$2:E5313,"Domain"),"")</f>
        <v/>
      </c>
    </row>
    <row r="5314">
      <c r="A5314" s="2" t="n"/>
      <c r="B5314">
        <f>LOWER(TRIM(A5314))</f>
        <v/>
      </c>
      <c r="C5314">
        <f>IF(B5314="","",IFERROR(INDEX('Bad Patterns'!$A$2:$A$120,MATCH(1,INDEX(--ISNUMBER(SEARCH('Bad Patterns'!$A$2:$A$120,B5314)),0),0)),""))</f>
        <v/>
      </c>
      <c r="D5314">
        <f>IF(B5314="","",IF(C5314&lt;&gt;"","REMOVE","KEEP"))</f>
        <v/>
      </c>
      <c r="E5314">
        <f>IF(D5314&lt;&gt;"KEEP","",IF(RIGHT(B5314,10)="@gmail.com","Gmail",IF(OR(RIGHT(B5314,12)="@outlook.com",RIGHT(B5314,12)="@hotmail.com",RIGHT(B5314,9)="@live.com"),"Outlook","Domain")))</f>
        <v/>
      </c>
      <c r="F5314">
        <f>IF(B5314="","",IFERROR(RIGHT(B5314,LEN(B5314)-FIND("@",B5314)),""))</f>
        <v/>
      </c>
      <c r="G5314">
        <f>IF(D5314="KEEP",COUNTIF($D$2:D5314,"KEEP"),"")</f>
        <v/>
      </c>
      <c r="H5314">
        <f>IF(D5314="REMOVE",COUNTIF($D$2:D5314,"REMOVE"),"")</f>
        <v/>
      </c>
      <c r="I5314">
        <f>IF(E5314="Gmail",COUNTIF($E$2:E5314,"Gmail"),"")</f>
        <v/>
      </c>
      <c r="J5314">
        <f>IF(E5314="Outlook",COUNTIF($E$2:E5314,"Outlook"),"")</f>
        <v/>
      </c>
      <c r="K5314">
        <f>IF(E5314="Domain",COUNTIF($E$2:E5314,"Domain"),"")</f>
        <v/>
      </c>
    </row>
    <row r="5315">
      <c r="A5315" s="2" t="n"/>
      <c r="B5315">
        <f>LOWER(TRIM(A5315))</f>
        <v/>
      </c>
      <c r="C5315">
        <f>IF(B5315="","",IFERROR(INDEX('Bad Patterns'!$A$2:$A$120,MATCH(1,INDEX(--ISNUMBER(SEARCH('Bad Patterns'!$A$2:$A$120,B5315)),0),0)),""))</f>
        <v/>
      </c>
      <c r="D5315">
        <f>IF(B5315="","",IF(C5315&lt;&gt;"","REMOVE","KEEP"))</f>
        <v/>
      </c>
      <c r="E5315">
        <f>IF(D5315&lt;&gt;"KEEP","",IF(RIGHT(B5315,10)="@gmail.com","Gmail",IF(OR(RIGHT(B5315,12)="@outlook.com",RIGHT(B5315,12)="@hotmail.com",RIGHT(B5315,9)="@live.com"),"Outlook","Domain")))</f>
        <v/>
      </c>
      <c r="F5315">
        <f>IF(B5315="","",IFERROR(RIGHT(B5315,LEN(B5315)-FIND("@",B5315)),""))</f>
        <v/>
      </c>
      <c r="G5315">
        <f>IF(D5315="KEEP",COUNTIF($D$2:D5315,"KEEP"),"")</f>
        <v/>
      </c>
      <c r="H5315">
        <f>IF(D5315="REMOVE",COUNTIF($D$2:D5315,"REMOVE"),"")</f>
        <v/>
      </c>
      <c r="I5315">
        <f>IF(E5315="Gmail",COUNTIF($E$2:E5315,"Gmail"),"")</f>
        <v/>
      </c>
      <c r="J5315">
        <f>IF(E5315="Outlook",COUNTIF($E$2:E5315,"Outlook"),"")</f>
        <v/>
      </c>
      <c r="K5315">
        <f>IF(E5315="Domain",COUNTIF($E$2:E5315,"Domain"),"")</f>
        <v/>
      </c>
    </row>
    <row r="5316">
      <c r="A5316" s="2" t="n"/>
      <c r="B5316">
        <f>LOWER(TRIM(A5316))</f>
        <v/>
      </c>
      <c r="C5316">
        <f>IF(B5316="","",IFERROR(INDEX('Bad Patterns'!$A$2:$A$120,MATCH(1,INDEX(--ISNUMBER(SEARCH('Bad Patterns'!$A$2:$A$120,B5316)),0),0)),""))</f>
        <v/>
      </c>
      <c r="D5316">
        <f>IF(B5316="","",IF(C5316&lt;&gt;"","REMOVE","KEEP"))</f>
        <v/>
      </c>
      <c r="E5316">
        <f>IF(D5316&lt;&gt;"KEEP","",IF(RIGHT(B5316,10)="@gmail.com","Gmail",IF(OR(RIGHT(B5316,12)="@outlook.com",RIGHT(B5316,12)="@hotmail.com",RIGHT(B5316,9)="@live.com"),"Outlook","Domain")))</f>
        <v/>
      </c>
      <c r="F5316">
        <f>IF(B5316="","",IFERROR(RIGHT(B5316,LEN(B5316)-FIND("@",B5316)),""))</f>
        <v/>
      </c>
      <c r="G5316">
        <f>IF(D5316="KEEP",COUNTIF($D$2:D5316,"KEEP"),"")</f>
        <v/>
      </c>
      <c r="H5316">
        <f>IF(D5316="REMOVE",COUNTIF($D$2:D5316,"REMOVE"),"")</f>
        <v/>
      </c>
      <c r="I5316">
        <f>IF(E5316="Gmail",COUNTIF($E$2:E5316,"Gmail"),"")</f>
        <v/>
      </c>
      <c r="J5316">
        <f>IF(E5316="Outlook",COUNTIF($E$2:E5316,"Outlook"),"")</f>
        <v/>
      </c>
      <c r="K5316">
        <f>IF(E5316="Domain",COUNTIF($E$2:E5316,"Domain"),"")</f>
        <v/>
      </c>
    </row>
    <row r="5317">
      <c r="A5317" s="2" t="n"/>
      <c r="B5317">
        <f>LOWER(TRIM(A5317))</f>
        <v/>
      </c>
      <c r="C5317">
        <f>IF(B5317="","",IFERROR(INDEX('Bad Patterns'!$A$2:$A$120,MATCH(1,INDEX(--ISNUMBER(SEARCH('Bad Patterns'!$A$2:$A$120,B5317)),0),0)),""))</f>
        <v/>
      </c>
      <c r="D5317">
        <f>IF(B5317="","",IF(C5317&lt;&gt;"","REMOVE","KEEP"))</f>
        <v/>
      </c>
      <c r="E5317">
        <f>IF(D5317&lt;&gt;"KEEP","",IF(RIGHT(B5317,10)="@gmail.com","Gmail",IF(OR(RIGHT(B5317,12)="@outlook.com",RIGHT(B5317,12)="@hotmail.com",RIGHT(B5317,9)="@live.com"),"Outlook","Domain")))</f>
        <v/>
      </c>
      <c r="F5317">
        <f>IF(B5317="","",IFERROR(RIGHT(B5317,LEN(B5317)-FIND("@",B5317)),""))</f>
        <v/>
      </c>
      <c r="G5317">
        <f>IF(D5317="KEEP",COUNTIF($D$2:D5317,"KEEP"),"")</f>
        <v/>
      </c>
      <c r="H5317">
        <f>IF(D5317="REMOVE",COUNTIF($D$2:D5317,"REMOVE"),"")</f>
        <v/>
      </c>
      <c r="I5317">
        <f>IF(E5317="Gmail",COUNTIF($E$2:E5317,"Gmail"),"")</f>
        <v/>
      </c>
      <c r="J5317">
        <f>IF(E5317="Outlook",COUNTIF($E$2:E5317,"Outlook"),"")</f>
        <v/>
      </c>
      <c r="K5317">
        <f>IF(E5317="Domain",COUNTIF($E$2:E5317,"Domain"),"")</f>
        <v/>
      </c>
    </row>
    <row r="5318">
      <c r="A5318" s="2" t="n"/>
      <c r="B5318">
        <f>LOWER(TRIM(A5318))</f>
        <v/>
      </c>
      <c r="C5318">
        <f>IF(B5318="","",IFERROR(INDEX('Bad Patterns'!$A$2:$A$120,MATCH(1,INDEX(--ISNUMBER(SEARCH('Bad Patterns'!$A$2:$A$120,B5318)),0),0)),""))</f>
        <v/>
      </c>
      <c r="D5318">
        <f>IF(B5318="","",IF(C5318&lt;&gt;"","REMOVE","KEEP"))</f>
        <v/>
      </c>
      <c r="E5318">
        <f>IF(D5318&lt;&gt;"KEEP","",IF(RIGHT(B5318,10)="@gmail.com","Gmail",IF(OR(RIGHT(B5318,12)="@outlook.com",RIGHT(B5318,12)="@hotmail.com",RIGHT(B5318,9)="@live.com"),"Outlook","Domain")))</f>
        <v/>
      </c>
      <c r="F5318">
        <f>IF(B5318="","",IFERROR(RIGHT(B5318,LEN(B5318)-FIND("@",B5318)),""))</f>
        <v/>
      </c>
      <c r="G5318">
        <f>IF(D5318="KEEP",COUNTIF($D$2:D5318,"KEEP"),"")</f>
        <v/>
      </c>
      <c r="H5318">
        <f>IF(D5318="REMOVE",COUNTIF($D$2:D5318,"REMOVE"),"")</f>
        <v/>
      </c>
      <c r="I5318">
        <f>IF(E5318="Gmail",COUNTIF($E$2:E5318,"Gmail"),"")</f>
        <v/>
      </c>
      <c r="J5318">
        <f>IF(E5318="Outlook",COUNTIF($E$2:E5318,"Outlook"),"")</f>
        <v/>
      </c>
      <c r="K5318">
        <f>IF(E5318="Domain",COUNTIF($E$2:E5318,"Domain"),"")</f>
        <v/>
      </c>
    </row>
    <row r="5319">
      <c r="A5319" s="2" t="n"/>
      <c r="B5319">
        <f>LOWER(TRIM(A5319))</f>
        <v/>
      </c>
      <c r="C5319">
        <f>IF(B5319="","",IFERROR(INDEX('Bad Patterns'!$A$2:$A$120,MATCH(1,INDEX(--ISNUMBER(SEARCH('Bad Patterns'!$A$2:$A$120,B5319)),0),0)),""))</f>
        <v/>
      </c>
      <c r="D5319">
        <f>IF(B5319="","",IF(C5319&lt;&gt;"","REMOVE","KEEP"))</f>
        <v/>
      </c>
      <c r="E5319">
        <f>IF(D5319&lt;&gt;"KEEP","",IF(RIGHT(B5319,10)="@gmail.com","Gmail",IF(OR(RIGHT(B5319,12)="@outlook.com",RIGHT(B5319,12)="@hotmail.com",RIGHT(B5319,9)="@live.com"),"Outlook","Domain")))</f>
        <v/>
      </c>
      <c r="F5319">
        <f>IF(B5319="","",IFERROR(RIGHT(B5319,LEN(B5319)-FIND("@",B5319)),""))</f>
        <v/>
      </c>
      <c r="G5319">
        <f>IF(D5319="KEEP",COUNTIF($D$2:D5319,"KEEP"),"")</f>
        <v/>
      </c>
      <c r="H5319">
        <f>IF(D5319="REMOVE",COUNTIF($D$2:D5319,"REMOVE"),"")</f>
        <v/>
      </c>
      <c r="I5319">
        <f>IF(E5319="Gmail",COUNTIF($E$2:E5319,"Gmail"),"")</f>
        <v/>
      </c>
      <c r="J5319">
        <f>IF(E5319="Outlook",COUNTIF($E$2:E5319,"Outlook"),"")</f>
        <v/>
      </c>
      <c r="K5319">
        <f>IF(E5319="Domain",COUNTIF($E$2:E5319,"Domain"),"")</f>
        <v/>
      </c>
    </row>
    <row r="5320">
      <c r="A5320" s="2" t="n"/>
      <c r="B5320">
        <f>LOWER(TRIM(A5320))</f>
        <v/>
      </c>
      <c r="C5320">
        <f>IF(B5320="","",IFERROR(INDEX('Bad Patterns'!$A$2:$A$120,MATCH(1,INDEX(--ISNUMBER(SEARCH('Bad Patterns'!$A$2:$A$120,B5320)),0),0)),""))</f>
        <v/>
      </c>
      <c r="D5320">
        <f>IF(B5320="","",IF(C5320&lt;&gt;"","REMOVE","KEEP"))</f>
        <v/>
      </c>
      <c r="E5320">
        <f>IF(D5320&lt;&gt;"KEEP","",IF(RIGHT(B5320,10)="@gmail.com","Gmail",IF(OR(RIGHT(B5320,12)="@outlook.com",RIGHT(B5320,12)="@hotmail.com",RIGHT(B5320,9)="@live.com"),"Outlook","Domain")))</f>
        <v/>
      </c>
      <c r="F5320">
        <f>IF(B5320="","",IFERROR(RIGHT(B5320,LEN(B5320)-FIND("@",B5320)),""))</f>
        <v/>
      </c>
      <c r="G5320">
        <f>IF(D5320="KEEP",COUNTIF($D$2:D5320,"KEEP"),"")</f>
        <v/>
      </c>
      <c r="H5320">
        <f>IF(D5320="REMOVE",COUNTIF($D$2:D5320,"REMOVE"),"")</f>
        <v/>
      </c>
      <c r="I5320">
        <f>IF(E5320="Gmail",COUNTIF($E$2:E5320,"Gmail"),"")</f>
        <v/>
      </c>
      <c r="J5320">
        <f>IF(E5320="Outlook",COUNTIF($E$2:E5320,"Outlook"),"")</f>
        <v/>
      </c>
      <c r="K5320">
        <f>IF(E5320="Domain",COUNTIF($E$2:E5320,"Domain"),"")</f>
        <v/>
      </c>
    </row>
    <row r="5321">
      <c r="A5321" s="2" t="n"/>
      <c r="B5321">
        <f>LOWER(TRIM(A5321))</f>
        <v/>
      </c>
      <c r="C5321">
        <f>IF(B5321="","",IFERROR(INDEX('Bad Patterns'!$A$2:$A$120,MATCH(1,INDEX(--ISNUMBER(SEARCH('Bad Patterns'!$A$2:$A$120,B5321)),0),0)),""))</f>
        <v/>
      </c>
      <c r="D5321">
        <f>IF(B5321="","",IF(C5321&lt;&gt;"","REMOVE","KEEP"))</f>
        <v/>
      </c>
      <c r="E5321">
        <f>IF(D5321&lt;&gt;"KEEP","",IF(RIGHT(B5321,10)="@gmail.com","Gmail",IF(OR(RIGHT(B5321,12)="@outlook.com",RIGHT(B5321,12)="@hotmail.com",RIGHT(B5321,9)="@live.com"),"Outlook","Domain")))</f>
        <v/>
      </c>
      <c r="F5321">
        <f>IF(B5321="","",IFERROR(RIGHT(B5321,LEN(B5321)-FIND("@",B5321)),""))</f>
        <v/>
      </c>
      <c r="G5321">
        <f>IF(D5321="KEEP",COUNTIF($D$2:D5321,"KEEP"),"")</f>
        <v/>
      </c>
      <c r="H5321">
        <f>IF(D5321="REMOVE",COUNTIF($D$2:D5321,"REMOVE"),"")</f>
        <v/>
      </c>
      <c r="I5321">
        <f>IF(E5321="Gmail",COUNTIF($E$2:E5321,"Gmail"),"")</f>
        <v/>
      </c>
      <c r="J5321">
        <f>IF(E5321="Outlook",COUNTIF($E$2:E5321,"Outlook"),"")</f>
        <v/>
      </c>
      <c r="K5321">
        <f>IF(E5321="Domain",COUNTIF($E$2:E5321,"Domain"),"")</f>
        <v/>
      </c>
    </row>
    <row r="5322">
      <c r="A5322" s="2" t="n"/>
      <c r="B5322">
        <f>LOWER(TRIM(A5322))</f>
        <v/>
      </c>
      <c r="C5322">
        <f>IF(B5322="","",IFERROR(INDEX('Bad Patterns'!$A$2:$A$120,MATCH(1,INDEX(--ISNUMBER(SEARCH('Bad Patterns'!$A$2:$A$120,B5322)),0),0)),""))</f>
        <v/>
      </c>
      <c r="D5322">
        <f>IF(B5322="","",IF(C5322&lt;&gt;"","REMOVE","KEEP"))</f>
        <v/>
      </c>
      <c r="E5322">
        <f>IF(D5322&lt;&gt;"KEEP","",IF(RIGHT(B5322,10)="@gmail.com","Gmail",IF(OR(RIGHT(B5322,12)="@outlook.com",RIGHT(B5322,12)="@hotmail.com",RIGHT(B5322,9)="@live.com"),"Outlook","Domain")))</f>
        <v/>
      </c>
      <c r="F5322">
        <f>IF(B5322="","",IFERROR(RIGHT(B5322,LEN(B5322)-FIND("@",B5322)),""))</f>
        <v/>
      </c>
      <c r="G5322">
        <f>IF(D5322="KEEP",COUNTIF($D$2:D5322,"KEEP"),"")</f>
        <v/>
      </c>
      <c r="H5322">
        <f>IF(D5322="REMOVE",COUNTIF($D$2:D5322,"REMOVE"),"")</f>
        <v/>
      </c>
      <c r="I5322">
        <f>IF(E5322="Gmail",COUNTIF($E$2:E5322,"Gmail"),"")</f>
        <v/>
      </c>
      <c r="J5322">
        <f>IF(E5322="Outlook",COUNTIF($E$2:E5322,"Outlook"),"")</f>
        <v/>
      </c>
      <c r="K5322">
        <f>IF(E5322="Domain",COUNTIF($E$2:E5322,"Domain"),"")</f>
        <v/>
      </c>
    </row>
    <row r="5323">
      <c r="A5323" s="2" t="n"/>
      <c r="B5323">
        <f>LOWER(TRIM(A5323))</f>
        <v/>
      </c>
      <c r="C5323">
        <f>IF(B5323="","",IFERROR(INDEX('Bad Patterns'!$A$2:$A$120,MATCH(1,INDEX(--ISNUMBER(SEARCH('Bad Patterns'!$A$2:$A$120,B5323)),0),0)),""))</f>
        <v/>
      </c>
      <c r="D5323">
        <f>IF(B5323="","",IF(C5323&lt;&gt;"","REMOVE","KEEP"))</f>
        <v/>
      </c>
      <c r="E5323">
        <f>IF(D5323&lt;&gt;"KEEP","",IF(RIGHT(B5323,10)="@gmail.com","Gmail",IF(OR(RIGHT(B5323,12)="@outlook.com",RIGHT(B5323,12)="@hotmail.com",RIGHT(B5323,9)="@live.com"),"Outlook","Domain")))</f>
        <v/>
      </c>
      <c r="F5323">
        <f>IF(B5323="","",IFERROR(RIGHT(B5323,LEN(B5323)-FIND("@",B5323)),""))</f>
        <v/>
      </c>
      <c r="G5323">
        <f>IF(D5323="KEEP",COUNTIF($D$2:D5323,"KEEP"),"")</f>
        <v/>
      </c>
      <c r="H5323">
        <f>IF(D5323="REMOVE",COUNTIF($D$2:D5323,"REMOVE"),"")</f>
        <v/>
      </c>
      <c r="I5323">
        <f>IF(E5323="Gmail",COUNTIF($E$2:E5323,"Gmail"),"")</f>
        <v/>
      </c>
      <c r="J5323">
        <f>IF(E5323="Outlook",COUNTIF($E$2:E5323,"Outlook"),"")</f>
        <v/>
      </c>
      <c r="K5323">
        <f>IF(E5323="Domain",COUNTIF($E$2:E5323,"Domain"),"")</f>
        <v/>
      </c>
    </row>
    <row r="5324">
      <c r="A5324" s="2" t="n"/>
      <c r="B5324">
        <f>LOWER(TRIM(A5324))</f>
        <v/>
      </c>
      <c r="C5324">
        <f>IF(B5324="","",IFERROR(INDEX('Bad Patterns'!$A$2:$A$120,MATCH(1,INDEX(--ISNUMBER(SEARCH('Bad Patterns'!$A$2:$A$120,B5324)),0),0)),""))</f>
        <v/>
      </c>
      <c r="D5324">
        <f>IF(B5324="","",IF(C5324&lt;&gt;"","REMOVE","KEEP"))</f>
        <v/>
      </c>
      <c r="E5324">
        <f>IF(D5324&lt;&gt;"KEEP","",IF(RIGHT(B5324,10)="@gmail.com","Gmail",IF(OR(RIGHT(B5324,12)="@outlook.com",RIGHT(B5324,12)="@hotmail.com",RIGHT(B5324,9)="@live.com"),"Outlook","Domain")))</f>
        <v/>
      </c>
      <c r="F5324">
        <f>IF(B5324="","",IFERROR(RIGHT(B5324,LEN(B5324)-FIND("@",B5324)),""))</f>
        <v/>
      </c>
      <c r="G5324">
        <f>IF(D5324="KEEP",COUNTIF($D$2:D5324,"KEEP"),"")</f>
        <v/>
      </c>
      <c r="H5324">
        <f>IF(D5324="REMOVE",COUNTIF($D$2:D5324,"REMOVE"),"")</f>
        <v/>
      </c>
      <c r="I5324">
        <f>IF(E5324="Gmail",COUNTIF($E$2:E5324,"Gmail"),"")</f>
        <v/>
      </c>
      <c r="J5324">
        <f>IF(E5324="Outlook",COUNTIF($E$2:E5324,"Outlook"),"")</f>
        <v/>
      </c>
      <c r="K5324">
        <f>IF(E5324="Domain",COUNTIF($E$2:E5324,"Domain"),"")</f>
        <v/>
      </c>
    </row>
    <row r="5325">
      <c r="A5325" s="2" t="n"/>
      <c r="B5325">
        <f>LOWER(TRIM(A5325))</f>
        <v/>
      </c>
      <c r="C5325">
        <f>IF(B5325="","",IFERROR(INDEX('Bad Patterns'!$A$2:$A$120,MATCH(1,INDEX(--ISNUMBER(SEARCH('Bad Patterns'!$A$2:$A$120,B5325)),0),0)),""))</f>
        <v/>
      </c>
      <c r="D5325">
        <f>IF(B5325="","",IF(C5325&lt;&gt;"","REMOVE","KEEP"))</f>
        <v/>
      </c>
      <c r="E5325">
        <f>IF(D5325&lt;&gt;"KEEP","",IF(RIGHT(B5325,10)="@gmail.com","Gmail",IF(OR(RIGHT(B5325,12)="@outlook.com",RIGHT(B5325,12)="@hotmail.com",RIGHT(B5325,9)="@live.com"),"Outlook","Domain")))</f>
        <v/>
      </c>
      <c r="F5325">
        <f>IF(B5325="","",IFERROR(RIGHT(B5325,LEN(B5325)-FIND("@",B5325)),""))</f>
        <v/>
      </c>
      <c r="G5325">
        <f>IF(D5325="KEEP",COUNTIF($D$2:D5325,"KEEP"),"")</f>
        <v/>
      </c>
      <c r="H5325">
        <f>IF(D5325="REMOVE",COUNTIF($D$2:D5325,"REMOVE"),"")</f>
        <v/>
      </c>
      <c r="I5325">
        <f>IF(E5325="Gmail",COUNTIF($E$2:E5325,"Gmail"),"")</f>
        <v/>
      </c>
      <c r="J5325">
        <f>IF(E5325="Outlook",COUNTIF($E$2:E5325,"Outlook"),"")</f>
        <v/>
      </c>
      <c r="K5325">
        <f>IF(E5325="Domain",COUNTIF($E$2:E5325,"Domain"),"")</f>
        <v/>
      </c>
    </row>
    <row r="5326">
      <c r="A5326" s="2" t="n"/>
      <c r="B5326">
        <f>LOWER(TRIM(A5326))</f>
        <v/>
      </c>
      <c r="C5326">
        <f>IF(B5326="","",IFERROR(INDEX('Bad Patterns'!$A$2:$A$120,MATCH(1,INDEX(--ISNUMBER(SEARCH('Bad Patterns'!$A$2:$A$120,B5326)),0),0)),""))</f>
        <v/>
      </c>
      <c r="D5326">
        <f>IF(B5326="","",IF(C5326&lt;&gt;"","REMOVE","KEEP"))</f>
        <v/>
      </c>
      <c r="E5326">
        <f>IF(D5326&lt;&gt;"KEEP","",IF(RIGHT(B5326,10)="@gmail.com","Gmail",IF(OR(RIGHT(B5326,12)="@outlook.com",RIGHT(B5326,12)="@hotmail.com",RIGHT(B5326,9)="@live.com"),"Outlook","Domain")))</f>
        <v/>
      </c>
      <c r="F5326">
        <f>IF(B5326="","",IFERROR(RIGHT(B5326,LEN(B5326)-FIND("@",B5326)),""))</f>
        <v/>
      </c>
      <c r="G5326">
        <f>IF(D5326="KEEP",COUNTIF($D$2:D5326,"KEEP"),"")</f>
        <v/>
      </c>
      <c r="H5326">
        <f>IF(D5326="REMOVE",COUNTIF($D$2:D5326,"REMOVE"),"")</f>
        <v/>
      </c>
      <c r="I5326">
        <f>IF(E5326="Gmail",COUNTIF($E$2:E5326,"Gmail"),"")</f>
        <v/>
      </c>
      <c r="J5326">
        <f>IF(E5326="Outlook",COUNTIF($E$2:E5326,"Outlook"),"")</f>
        <v/>
      </c>
      <c r="K5326">
        <f>IF(E5326="Domain",COUNTIF($E$2:E5326,"Domain"),"")</f>
        <v/>
      </c>
    </row>
    <row r="5327">
      <c r="A5327" s="2" t="n"/>
      <c r="B5327">
        <f>LOWER(TRIM(A5327))</f>
        <v/>
      </c>
      <c r="C5327">
        <f>IF(B5327="","",IFERROR(INDEX('Bad Patterns'!$A$2:$A$120,MATCH(1,INDEX(--ISNUMBER(SEARCH('Bad Patterns'!$A$2:$A$120,B5327)),0),0)),""))</f>
        <v/>
      </c>
      <c r="D5327">
        <f>IF(B5327="","",IF(C5327&lt;&gt;"","REMOVE","KEEP"))</f>
        <v/>
      </c>
      <c r="E5327">
        <f>IF(D5327&lt;&gt;"KEEP","",IF(RIGHT(B5327,10)="@gmail.com","Gmail",IF(OR(RIGHT(B5327,12)="@outlook.com",RIGHT(B5327,12)="@hotmail.com",RIGHT(B5327,9)="@live.com"),"Outlook","Domain")))</f>
        <v/>
      </c>
      <c r="F5327">
        <f>IF(B5327="","",IFERROR(RIGHT(B5327,LEN(B5327)-FIND("@",B5327)),""))</f>
        <v/>
      </c>
      <c r="G5327">
        <f>IF(D5327="KEEP",COUNTIF($D$2:D5327,"KEEP"),"")</f>
        <v/>
      </c>
      <c r="H5327">
        <f>IF(D5327="REMOVE",COUNTIF($D$2:D5327,"REMOVE"),"")</f>
        <v/>
      </c>
      <c r="I5327">
        <f>IF(E5327="Gmail",COUNTIF($E$2:E5327,"Gmail"),"")</f>
        <v/>
      </c>
      <c r="J5327">
        <f>IF(E5327="Outlook",COUNTIF($E$2:E5327,"Outlook"),"")</f>
        <v/>
      </c>
      <c r="K5327">
        <f>IF(E5327="Domain",COUNTIF($E$2:E5327,"Domain"),"")</f>
        <v/>
      </c>
    </row>
    <row r="5328">
      <c r="A5328" s="2" t="n"/>
      <c r="B5328">
        <f>LOWER(TRIM(A5328))</f>
        <v/>
      </c>
      <c r="C5328">
        <f>IF(B5328="","",IFERROR(INDEX('Bad Patterns'!$A$2:$A$120,MATCH(1,INDEX(--ISNUMBER(SEARCH('Bad Patterns'!$A$2:$A$120,B5328)),0),0)),""))</f>
        <v/>
      </c>
      <c r="D5328">
        <f>IF(B5328="","",IF(C5328&lt;&gt;"","REMOVE","KEEP"))</f>
        <v/>
      </c>
      <c r="E5328">
        <f>IF(D5328&lt;&gt;"KEEP","",IF(RIGHT(B5328,10)="@gmail.com","Gmail",IF(OR(RIGHT(B5328,12)="@outlook.com",RIGHT(B5328,12)="@hotmail.com",RIGHT(B5328,9)="@live.com"),"Outlook","Domain")))</f>
        <v/>
      </c>
      <c r="F5328">
        <f>IF(B5328="","",IFERROR(RIGHT(B5328,LEN(B5328)-FIND("@",B5328)),""))</f>
        <v/>
      </c>
      <c r="G5328">
        <f>IF(D5328="KEEP",COUNTIF($D$2:D5328,"KEEP"),"")</f>
        <v/>
      </c>
      <c r="H5328">
        <f>IF(D5328="REMOVE",COUNTIF($D$2:D5328,"REMOVE"),"")</f>
        <v/>
      </c>
      <c r="I5328">
        <f>IF(E5328="Gmail",COUNTIF($E$2:E5328,"Gmail"),"")</f>
        <v/>
      </c>
      <c r="J5328">
        <f>IF(E5328="Outlook",COUNTIF($E$2:E5328,"Outlook"),"")</f>
        <v/>
      </c>
      <c r="K5328">
        <f>IF(E5328="Domain",COUNTIF($E$2:E5328,"Domain"),"")</f>
        <v/>
      </c>
    </row>
    <row r="5329">
      <c r="A5329" s="2" t="n"/>
      <c r="B5329">
        <f>LOWER(TRIM(A5329))</f>
        <v/>
      </c>
      <c r="C5329">
        <f>IF(B5329="","",IFERROR(INDEX('Bad Patterns'!$A$2:$A$120,MATCH(1,INDEX(--ISNUMBER(SEARCH('Bad Patterns'!$A$2:$A$120,B5329)),0),0)),""))</f>
        <v/>
      </c>
      <c r="D5329">
        <f>IF(B5329="","",IF(C5329&lt;&gt;"","REMOVE","KEEP"))</f>
        <v/>
      </c>
      <c r="E5329">
        <f>IF(D5329&lt;&gt;"KEEP","",IF(RIGHT(B5329,10)="@gmail.com","Gmail",IF(OR(RIGHT(B5329,12)="@outlook.com",RIGHT(B5329,12)="@hotmail.com",RIGHT(B5329,9)="@live.com"),"Outlook","Domain")))</f>
        <v/>
      </c>
      <c r="F5329">
        <f>IF(B5329="","",IFERROR(RIGHT(B5329,LEN(B5329)-FIND("@",B5329)),""))</f>
        <v/>
      </c>
      <c r="G5329">
        <f>IF(D5329="KEEP",COUNTIF($D$2:D5329,"KEEP"),"")</f>
        <v/>
      </c>
      <c r="H5329">
        <f>IF(D5329="REMOVE",COUNTIF($D$2:D5329,"REMOVE"),"")</f>
        <v/>
      </c>
      <c r="I5329">
        <f>IF(E5329="Gmail",COUNTIF($E$2:E5329,"Gmail"),"")</f>
        <v/>
      </c>
      <c r="J5329">
        <f>IF(E5329="Outlook",COUNTIF($E$2:E5329,"Outlook"),"")</f>
        <v/>
      </c>
      <c r="K5329">
        <f>IF(E5329="Domain",COUNTIF($E$2:E5329,"Domain"),"")</f>
        <v/>
      </c>
    </row>
    <row r="5330">
      <c r="A5330" s="2" t="n"/>
      <c r="B5330">
        <f>LOWER(TRIM(A5330))</f>
        <v/>
      </c>
      <c r="C5330">
        <f>IF(B5330="","",IFERROR(INDEX('Bad Patterns'!$A$2:$A$120,MATCH(1,INDEX(--ISNUMBER(SEARCH('Bad Patterns'!$A$2:$A$120,B5330)),0),0)),""))</f>
        <v/>
      </c>
      <c r="D5330">
        <f>IF(B5330="","",IF(C5330&lt;&gt;"","REMOVE","KEEP"))</f>
        <v/>
      </c>
      <c r="E5330">
        <f>IF(D5330&lt;&gt;"KEEP","",IF(RIGHT(B5330,10)="@gmail.com","Gmail",IF(OR(RIGHT(B5330,12)="@outlook.com",RIGHT(B5330,12)="@hotmail.com",RIGHT(B5330,9)="@live.com"),"Outlook","Domain")))</f>
        <v/>
      </c>
      <c r="F5330">
        <f>IF(B5330="","",IFERROR(RIGHT(B5330,LEN(B5330)-FIND("@",B5330)),""))</f>
        <v/>
      </c>
      <c r="G5330">
        <f>IF(D5330="KEEP",COUNTIF($D$2:D5330,"KEEP"),"")</f>
        <v/>
      </c>
      <c r="H5330">
        <f>IF(D5330="REMOVE",COUNTIF($D$2:D5330,"REMOVE"),"")</f>
        <v/>
      </c>
      <c r="I5330">
        <f>IF(E5330="Gmail",COUNTIF($E$2:E5330,"Gmail"),"")</f>
        <v/>
      </c>
      <c r="J5330">
        <f>IF(E5330="Outlook",COUNTIF($E$2:E5330,"Outlook"),"")</f>
        <v/>
      </c>
      <c r="K5330">
        <f>IF(E5330="Domain",COUNTIF($E$2:E5330,"Domain"),"")</f>
        <v/>
      </c>
    </row>
    <row r="5331">
      <c r="A5331" s="2" t="n"/>
      <c r="B5331">
        <f>LOWER(TRIM(A5331))</f>
        <v/>
      </c>
      <c r="C5331">
        <f>IF(B5331="","",IFERROR(INDEX('Bad Patterns'!$A$2:$A$120,MATCH(1,INDEX(--ISNUMBER(SEARCH('Bad Patterns'!$A$2:$A$120,B5331)),0),0)),""))</f>
        <v/>
      </c>
      <c r="D5331">
        <f>IF(B5331="","",IF(C5331&lt;&gt;"","REMOVE","KEEP"))</f>
        <v/>
      </c>
      <c r="E5331">
        <f>IF(D5331&lt;&gt;"KEEP","",IF(RIGHT(B5331,10)="@gmail.com","Gmail",IF(OR(RIGHT(B5331,12)="@outlook.com",RIGHT(B5331,12)="@hotmail.com",RIGHT(B5331,9)="@live.com"),"Outlook","Domain")))</f>
        <v/>
      </c>
      <c r="F5331">
        <f>IF(B5331="","",IFERROR(RIGHT(B5331,LEN(B5331)-FIND("@",B5331)),""))</f>
        <v/>
      </c>
      <c r="G5331">
        <f>IF(D5331="KEEP",COUNTIF($D$2:D5331,"KEEP"),"")</f>
        <v/>
      </c>
      <c r="H5331">
        <f>IF(D5331="REMOVE",COUNTIF($D$2:D5331,"REMOVE"),"")</f>
        <v/>
      </c>
      <c r="I5331">
        <f>IF(E5331="Gmail",COUNTIF($E$2:E5331,"Gmail"),"")</f>
        <v/>
      </c>
      <c r="J5331">
        <f>IF(E5331="Outlook",COUNTIF($E$2:E5331,"Outlook"),"")</f>
        <v/>
      </c>
      <c r="K5331">
        <f>IF(E5331="Domain",COUNTIF($E$2:E5331,"Domain"),"")</f>
        <v/>
      </c>
    </row>
    <row r="5332">
      <c r="A5332" s="2" t="n"/>
      <c r="B5332">
        <f>LOWER(TRIM(A5332))</f>
        <v/>
      </c>
      <c r="C5332">
        <f>IF(B5332="","",IFERROR(INDEX('Bad Patterns'!$A$2:$A$120,MATCH(1,INDEX(--ISNUMBER(SEARCH('Bad Patterns'!$A$2:$A$120,B5332)),0),0)),""))</f>
        <v/>
      </c>
      <c r="D5332">
        <f>IF(B5332="","",IF(C5332&lt;&gt;"","REMOVE","KEEP"))</f>
        <v/>
      </c>
      <c r="E5332">
        <f>IF(D5332&lt;&gt;"KEEP","",IF(RIGHT(B5332,10)="@gmail.com","Gmail",IF(OR(RIGHT(B5332,12)="@outlook.com",RIGHT(B5332,12)="@hotmail.com",RIGHT(B5332,9)="@live.com"),"Outlook","Domain")))</f>
        <v/>
      </c>
      <c r="F5332">
        <f>IF(B5332="","",IFERROR(RIGHT(B5332,LEN(B5332)-FIND("@",B5332)),""))</f>
        <v/>
      </c>
      <c r="G5332">
        <f>IF(D5332="KEEP",COUNTIF($D$2:D5332,"KEEP"),"")</f>
        <v/>
      </c>
      <c r="H5332">
        <f>IF(D5332="REMOVE",COUNTIF($D$2:D5332,"REMOVE"),"")</f>
        <v/>
      </c>
      <c r="I5332">
        <f>IF(E5332="Gmail",COUNTIF($E$2:E5332,"Gmail"),"")</f>
        <v/>
      </c>
      <c r="J5332">
        <f>IF(E5332="Outlook",COUNTIF($E$2:E5332,"Outlook"),"")</f>
        <v/>
      </c>
      <c r="K5332">
        <f>IF(E5332="Domain",COUNTIF($E$2:E5332,"Domain"),"")</f>
        <v/>
      </c>
    </row>
    <row r="5333">
      <c r="A5333" s="2" t="n"/>
      <c r="B5333">
        <f>LOWER(TRIM(A5333))</f>
        <v/>
      </c>
      <c r="C5333">
        <f>IF(B5333="","",IFERROR(INDEX('Bad Patterns'!$A$2:$A$120,MATCH(1,INDEX(--ISNUMBER(SEARCH('Bad Patterns'!$A$2:$A$120,B5333)),0),0)),""))</f>
        <v/>
      </c>
      <c r="D5333">
        <f>IF(B5333="","",IF(C5333&lt;&gt;"","REMOVE","KEEP"))</f>
        <v/>
      </c>
      <c r="E5333">
        <f>IF(D5333&lt;&gt;"KEEP","",IF(RIGHT(B5333,10)="@gmail.com","Gmail",IF(OR(RIGHT(B5333,12)="@outlook.com",RIGHT(B5333,12)="@hotmail.com",RIGHT(B5333,9)="@live.com"),"Outlook","Domain")))</f>
        <v/>
      </c>
      <c r="F5333">
        <f>IF(B5333="","",IFERROR(RIGHT(B5333,LEN(B5333)-FIND("@",B5333)),""))</f>
        <v/>
      </c>
      <c r="G5333">
        <f>IF(D5333="KEEP",COUNTIF($D$2:D5333,"KEEP"),"")</f>
        <v/>
      </c>
      <c r="H5333">
        <f>IF(D5333="REMOVE",COUNTIF($D$2:D5333,"REMOVE"),"")</f>
        <v/>
      </c>
      <c r="I5333">
        <f>IF(E5333="Gmail",COUNTIF($E$2:E5333,"Gmail"),"")</f>
        <v/>
      </c>
      <c r="J5333">
        <f>IF(E5333="Outlook",COUNTIF($E$2:E5333,"Outlook"),"")</f>
        <v/>
      </c>
      <c r="K5333">
        <f>IF(E5333="Domain",COUNTIF($E$2:E5333,"Domain"),"")</f>
        <v/>
      </c>
    </row>
    <row r="5334">
      <c r="A5334" s="2" t="n"/>
      <c r="B5334">
        <f>LOWER(TRIM(A5334))</f>
        <v/>
      </c>
      <c r="C5334">
        <f>IF(B5334="","",IFERROR(INDEX('Bad Patterns'!$A$2:$A$120,MATCH(1,INDEX(--ISNUMBER(SEARCH('Bad Patterns'!$A$2:$A$120,B5334)),0),0)),""))</f>
        <v/>
      </c>
      <c r="D5334">
        <f>IF(B5334="","",IF(C5334&lt;&gt;"","REMOVE","KEEP"))</f>
        <v/>
      </c>
      <c r="E5334">
        <f>IF(D5334&lt;&gt;"KEEP","",IF(RIGHT(B5334,10)="@gmail.com","Gmail",IF(OR(RIGHT(B5334,12)="@outlook.com",RIGHT(B5334,12)="@hotmail.com",RIGHT(B5334,9)="@live.com"),"Outlook","Domain")))</f>
        <v/>
      </c>
      <c r="F5334">
        <f>IF(B5334="","",IFERROR(RIGHT(B5334,LEN(B5334)-FIND("@",B5334)),""))</f>
        <v/>
      </c>
      <c r="G5334">
        <f>IF(D5334="KEEP",COUNTIF($D$2:D5334,"KEEP"),"")</f>
        <v/>
      </c>
      <c r="H5334">
        <f>IF(D5334="REMOVE",COUNTIF($D$2:D5334,"REMOVE"),"")</f>
        <v/>
      </c>
      <c r="I5334">
        <f>IF(E5334="Gmail",COUNTIF($E$2:E5334,"Gmail"),"")</f>
        <v/>
      </c>
      <c r="J5334">
        <f>IF(E5334="Outlook",COUNTIF($E$2:E5334,"Outlook"),"")</f>
        <v/>
      </c>
      <c r="K5334">
        <f>IF(E5334="Domain",COUNTIF($E$2:E5334,"Domain"),"")</f>
        <v/>
      </c>
    </row>
    <row r="5335">
      <c r="A5335" s="2" t="n"/>
      <c r="B5335">
        <f>LOWER(TRIM(A5335))</f>
        <v/>
      </c>
      <c r="C5335">
        <f>IF(B5335="","",IFERROR(INDEX('Bad Patterns'!$A$2:$A$120,MATCH(1,INDEX(--ISNUMBER(SEARCH('Bad Patterns'!$A$2:$A$120,B5335)),0),0)),""))</f>
        <v/>
      </c>
      <c r="D5335">
        <f>IF(B5335="","",IF(C5335&lt;&gt;"","REMOVE","KEEP"))</f>
        <v/>
      </c>
      <c r="E5335">
        <f>IF(D5335&lt;&gt;"KEEP","",IF(RIGHT(B5335,10)="@gmail.com","Gmail",IF(OR(RIGHT(B5335,12)="@outlook.com",RIGHT(B5335,12)="@hotmail.com",RIGHT(B5335,9)="@live.com"),"Outlook","Domain")))</f>
        <v/>
      </c>
      <c r="F5335">
        <f>IF(B5335="","",IFERROR(RIGHT(B5335,LEN(B5335)-FIND("@",B5335)),""))</f>
        <v/>
      </c>
      <c r="G5335">
        <f>IF(D5335="KEEP",COUNTIF($D$2:D5335,"KEEP"),"")</f>
        <v/>
      </c>
      <c r="H5335">
        <f>IF(D5335="REMOVE",COUNTIF($D$2:D5335,"REMOVE"),"")</f>
        <v/>
      </c>
      <c r="I5335">
        <f>IF(E5335="Gmail",COUNTIF($E$2:E5335,"Gmail"),"")</f>
        <v/>
      </c>
      <c r="J5335">
        <f>IF(E5335="Outlook",COUNTIF($E$2:E5335,"Outlook"),"")</f>
        <v/>
      </c>
      <c r="K5335">
        <f>IF(E5335="Domain",COUNTIF($E$2:E5335,"Domain"),"")</f>
        <v/>
      </c>
    </row>
    <row r="5336">
      <c r="A5336" s="2" t="n"/>
      <c r="B5336">
        <f>LOWER(TRIM(A5336))</f>
        <v/>
      </c>
      <c r="C5336">
        <f>IF(B5336="","",IFERROR(INDEX('Bad Patterns'!$A$2:$A$120,MATCH(1,INDEX(--ISNUMBER(SEARCH('Bad Patterns'!$A$2:$A$120,B5336)),0),0)),""))</f>
        <v/>
      </c>
      <c r="D5336">
        <f>IF(B5336="","",IF(C5336&lt;&gt;"","REMOVE","KEEP"))</f>
        <v/>
      </c>
      <c r="E5336">
        <f>IF(D5336&lt;&gt;"KEEP","",IF(RIGHT(B5336,10)="@gmail.com","Gmail",IF(OR(RIGHT(B5336,12)="@outlook.com",RIGHT(B5336,12)="@hotmail.com",RIGHT(B5336,9)="@live.com"),"Outlook","Domain")))</f>
        <v/>
      </c>
      <c r="F5336">
        <f>IF(B5336="","",IFERROR(RIGHT(B5336,LEN(B5336)-FIND("@",B5336)),""))</f>
        <v/>
      </c>
      <c r="G5336">
        <f>IF(D5336="KEEP",COUNTIF($D$2:D5336,"KEEP"),"")</f>
        <v/>
      </c>
      <c r="H5336">
        <f>IF(D5336="REMOVE",COUNTIF($D$2:D5336,"REMOVE"),"")</f>
        <v/>
      </c>
      <c r="I5336">
        <f>IF(E5336="Gmail",COUNTIF($E$2:E5336,"Gmail"),"")</f>
        <v/>
      </c>
      <c r="J5336">
        <f>IF(E5336="Outlook",COUNTIF($E$2:E5336,"Outlook"),"")</f>
        <v/>
      </c>
      <c r="K5336">
        <f>IF(E5336="Domain",COUNTIF($E$2:E5336,"Domain"),"")</f>
        <v/>
      </c>
    </row>
    <row r="5337">
      <c r="A5337" s="2" t="n"/>
      <c r="B5337">
        <f>LOWER(TRIM(A5337))</f>
        <v/>
      </c>
      <c r="C5337">
        <f>IF(B5337="","",IFERROR(INDEX('Bad Patterns'!$A$2:$A$120,MATCH(1,INDEX(--ISNUMBER(SEARCH('Bad Patterns'!$A$2:$A$120,B5337)),0),0)),""))</f>
        <v/>
      </c>
      <c r="D5337">
        <f>IF(B5337="","",IF(C5337&lt;&gt;"","REMOVE","KEEP"))</f>
        <v/>
      </c>
      <c r="E5337">
        <f>IF(D5337&lt;&gt;"KEEP","",IF(RIGHT(B5337,10)="@gmail.com","Gmail",IF(OR(RIGHT(B5337,12)="@outlook.com",RIGHT(B5337,12)="@hotmail.com",RIGHT(B5337,9)="@live.com"),"Outlook","Domain")))</f>
        <v/>
      </c>
      <c r="F5337">
        <f>IF(B5337="","",IFERROR(RIGHT(B5337,LEN(B5337)-FIND("@",B5337)),""))</f>
        <v/>
      </c>
      <c r="G5337">
        <f>IF(D5337="KEEP",COUNTIF($D$2:D5337,"KEEP"),"")</f>
        <v/>
      </c>
      <c r="H5337">
        <f>IF(D5337="REMOVE",COUNTIF($D$2:D5337,"REMOVE"),"")</f>
        <v/>
      </c>
      <c r="I5337">
        <f>IF(E5337="Gmail",COUNTIF($E$2:E5337,"Gmail"),"")</f>
        <v/>
      </c>
      <c r="J5337">
        <f>IF(E5337="Outlook",COUNTIF($E$2:E5337,"Outlook"),"")</f>
        <v/>
      </c>
      <c r="K5337">
        <f>IF(E5337="Domain",COUNTIF($E$2:E5337,"Domain"),"")</f>
        <v/>
      </c>
    </row>
    <row r="5338">
      <c r="A5338" s="2" t="n"/>
      <c r="B5338">
        <f>LOWER(TRIM(A5338))</f>
        <v/>
      </c>
      <c r="C5338">
        <f>IF(B5338="","",IFERROR(INDEX('Bad Patterns'!$A$2:$A$120,MATCH(1,INDEX(--ISNUMBER(SEARCH('Bad Patterns'!$A$2:$A$120,B5338)),0),0)),""))</f>
        <v/>
      </c>
      <c r="D5338">
        <f>IF(B5338="","",IF(C5338&lt;&gt;"","REMOVE","KEEP"))</f>
        <v/>
      </c>
      <c r="E5338">
        <f>IF(D5338&lt;&gt;"KEEP","",IF(RIGHT(B5338,10)="@gmail.com","Gmail",IF(OR(RIGHT(B5338,12)="@outlook.com",RIGHT(B5338,12)="@hotmail.com",RIGHT(B5338,9)="@live.com"),"Outlook","Domain")))</f>
        <v/>
      </c>
      <c r="F5338">
        <f>IF(B5338="","",IFERROR(RIGHT(B5338,LEN(B5338)-FIND("@",B5338)),""))</f>
        <v/>
      </c>
      <c r="G5338">
        <f>IF(D5338="KEEP",COUNTIF($D$2:D5338,"KEEP"),"")</f>
        <v/>
      </c>
      <c r="H5338">
        <f>IF(D5338="REMOVE",COUNTIF($D$2:D5338,"REMOVE"),"")</f>
        <v/>
      </c>
      <c r="I5338">
        <f>IF(E5338="Gmail",COUNTIF($E$2:E5338,"Gmail"),"")</f>
        <v/>
      </c>
      <c r="J5338">
        <f>IF(E5338="Outlook",COUNTIF($E$2:E5338,"Outlook"),"")</f>
        <v/>
      </c>
      <c r="K5338">
        <f>IF(E5338="Domain",COUNTIF($E$2:E5338,"Domain"),"")</f>
        <v/>
      </c>
    </row>
    <row r="5339">
      <c r="A5339" s="2" t="n"/>
      <c r="B5339">
        <f>LOWER(TRIM(A5339))</f>
        <v/>
      </c>
      <c r="C5339">
        <f>IF(B5339="","",IFERROR(INDEX('Bad Patterns'!$A$2:$A$120,MATCH(1,INDEX(--ISNUMBER(SEARCH('Bad Patterns'!$A$2:$A$120,B5339)),0),0)),""))</f>
        <v/>
      </c>
      <c r="D5339">
        <f>IF(B5339="","",IF(C5339&lt;&gt;"","REMOVE","KEEP"))</f>
        <v/>
      </c>
      <c r="E5339">
        <f>IF(D5339&lt;&gt;"KEEP","",IF(RIGHT(B5339,10)="@gmail.com","Gmail",IF(OR(RIGHT(B5339,12)="@outlook.com",RIGHT(B5339,12)="@hotmail.com",RIGHT(B5339,9)="@live.com"),"Outlook","Domain")))</f>
        <v/>
      </c>
      <c r="F5339">
        <f>IF(B5339="","",IFERROR(RIGHT(B5339,LEN(B5339)-FIND("@",B5339)),""))</f>
        <v/>
      </c>
      <c r="G5339">
        <f>IF(D5339="KEEP",COUNTIF($D$2:D5339,"KEEP"),"")</f>
        <v/>
      </c>
      <c r="H5339">
        <f>IF(D5339="REMOVE",COUNTIF($D$2:D5339,"REMOVE"),"")</f>
        <v/>
      </c>
      <c r="I5339">
        <f>IF(E5339="Gmail",COUNTIF($E$2:E5339,"Gmail"),"")</f>
        <v/>
      </c>
      <c r="J5339">
        <f>IF(E5339="Outlook",COUNTIF($E$2:E5339,"Outlook"),"")</f>
        <v/>
      </c>
      <c r="K5339">
        <f>IF(E5339="Domain",COUNTIF($E$2:E5339,"Domain"),"")</f>
        <v/>
      </c>
    </row>
    <row r="5340">
      <c r="A5340" s="2" t="n"/>
      <c r="B5340">
        <f>LOWER(TRIM(A5340))</f>
        <v/>
      </c>
      <c r="C5340">
        <f>IF(B5340="","",IFERROR(INDEX('Bad Patterns'!$A$2:$A$120,MATCH(1,INDEX(--ISNUMBER(SEARCH('Bad Patterns'!$A$2:$A$120,B5340)),0),0)),""))</f>
        <v/>
      </c>
      <c r="D5340">
        <f>IF(B5340="","",IF(C5340&lt;&gt;"","REMOVE","KEEP"))</f>
        <v/>
      </c>
      <c r="E5340">
        <f>IF(D5340&lt;&gt;"KEEP","",IF(RIGHT(B5340,10)="@gmail.com","Gmail",IF(OR(RIGHT(B5340,12)="@outlook.com",RIGHT(B5340,12)="@hotmail.com",RIGHT(B5340,9)="@live.com"),"Outlook","Domain")))</f>
        <v/>
      </c>
      <c r="F5340">
        <f>IF(B5340="","",IFERROR(RIGHT(B5340,LEN(B5340)-FIND("@",B5340)),""))</f>
        <v/>
      </c>
      <c r="G5340">
        <f>IF(D5340="KEEP",COUNTIF($D$2:D5340,"KEEP"),"")</f>
        <v/>
      </c>
      <c r="H5340">
        <f>IF(D5340="REMOVE",COUNTIF($D$2:D5340,"REMOVE"),"")</f>
        <v/>
      </c>
      <c r="I5340">
        <f>IF(E5340="Gmail",COUNTIF($E$2:E5340,"Gmail"),"")</f>
        <v/>
      </c>
      <c r="J5340">
        <f>IF(E5340="Outlook",COUNTIF($E$2:E5340,"Outlook"),"")</f>
        <v/>
      </c>
      <c r="K5340">
        <f>IF(E5340="Domain",COUNTIF($E$2:E5340,"Domain"),"")</f>
        <v/>
      </c>
    </row>
    <row r="5341">
      <c r="A5341" s="2" t="n"/>
      <c r="B5341">
        <f>LOWER(TRIM(A5341))</f>
        <v/>
      </c>
      <c r="C5341">
        <f>IF(B5341="","",IFERROR(INDEX('Bad Patterns'!$A$2:$A$120,MATCH(1,INDEX(--ISNUMBER(SEARCH('Bad Patterns'!$A$2:$A$120,B5341)),0),0)),""))</f>
        <v/>
      </c>
      <c r="D5341">
        <f>IF(B5341="","",IF(C5341&lt;&gt;"","REMOVE","KEEP"))</f>
        <v/>
      </c>
      <c r="E5341">
        <f>IF(D5341&lt;&gt;"KEEP","",IF(RIGHT(B5341,10)="@gmail.com","Gmail",IF(OR(RIGHT(B5341,12)="@outlook.com",RIGHT(B5341,12)="@hotmail.com",RIGHT(B5341,9)="@live.com"),"Outlook","Domain")))</f>
        <v/>
      </c>
      <c r="F5341">
        <f>IF(B5341="","",IFERROR(RIGHT(B5341,LEN(B5341)-FIND("@",B5341)),""))</f>
        <v/>
      </c>
      <c r="G5341">
        <f>IF(D5341="KEEP",COUNTIF($D$2:D5341,"KEEP"),"")</f>
        <v/>
      </c>
      <c r="H5341">
        <f>IF(D5341="REMOVE",COUNTIF($D$2:D5341,"REMOVE"),"")</f>
        <v/>
      </c>
      <c r="I5341">
        <f>IF(E5341="Gmail",COUNTIF($E$2:E5341,"Gmail"),"")</f>
        <v/>
      </c>
      <c r="J5341">
        <f>IF(E5341="Outlook",COUNTIF($E$2:E5341,"Outlook"),"")</f>
        <v/>
      </c>
      <c r="K5341">
        <f>IF(E5341="Domain",COUNTIF($E$2:E5341,"Domain"),"")</f>
        <v/>
      </c>
    </row>
    <row r="5342">
      <c r="A5342" s="2" t="n"/>
      <c r="B5342">
        <f>LOWER(TRIM(A5342))</f>
        <v/>
      </c>
      <c r="C5342">
        <f>IF(B5342="","",IFERROR(INDEX('Bad Patterns'!$A$2:$A$120,MATCH(1,INDEX(--ISNUMBER(SEARCH('Bad Patterns'!$A$2:$A$120,B5342)),0),0)),""))</f>
        <v/>
      </c>
      <c r="D5342">
        <f>IF(B5342="","",IF(C5342&lt;&gt;"","REMOVE","KEEP"))</f>
        <v/>
      </c>
      <c r="E5342">
        <f>IF(D5342&lt;&gt;"KEEP","",IF(RIGHT(B5342,10)="@gmail.com","Gmail",IF(OR(RIGHT(B5342,12)="@outlook.com",RIGHT(B5342,12)="@hotmail.com",RIGHT(B5342,9)="@live.com"),"Outlook","Domain")))</f>
        <v/>
      </c>
      <c r="F5342">
        <f>IF(B5342="","",IFERROR(RIGHT(B5342,LEN(B5342)-FIND("@",B5342)),""))</f>
        <v/>
      </c>
      <c r="G5342">
        <f>IF(D5342="KEEP",COUNTIF($D$2:D5342,"KEEP"),"")</f>
        <v/>
      </c>
      <c r="H5342">
        <f>IF(D5342="REMOVE",COUNTIF($D$2:D5342,"REMOVE"),"")</f>
        <v/>
      </c>
      <c r="I5342">
        <f>IF(E5342="Gmail",COUNTIF($E$2:E5342,"Gmail"),"")</f>
        <v/>
      </c>
      <c r="J5342">
        <f>IF(E5342="Outlook",COUNTIF($E$2:E5342,"Outlook"),"")</f>
        <v/>
      </c>
      <c r="K5342">
        <f>IF(E5342="Domain",COUNTIF($E$2:E5342,"Domain"),"")</f>
        <v/>
      </c>
    </row>
    <row r="5343">
      <c r="A5343" s="2" t="n"/>
      <c r="B5343">
        <f>LOWER(TRIM(A5343))</f>
        <v/>
      </c>
      <c r="C5343">
        <f>IF(B5343="","",IFERROR(INDEX('Bad Patterns'!$A$2:$A$120,MATCH(1,INDEX(--ISNUMBER(SEARCH('Bad Patterns'!$A$2:$A$120,B5343)),0),0)),""))</f>
        <v/>
      </c>
      <c r="D5343">
        <f>IF(B5343="","",IF(C5343&lt;&gt;"","REMOVE","KEEP"))</f>
        <v/>
      </c>
      <c r="E5343">
        <f>IF(D5343&lt;&gt;"KEEP","",IF(RIGHT(B5343,10)="@gmail.com","Gmail",IF(OR(RIGHT(B5343,12)="@outlook.com",RIGHT(B5343,12)="@hotmail.com",RIGHT(B5343,9)="@live.com"),"Outlook","Domain")))</f>
        <v/>
      </c>
      <c r="F5343">
        <f>IF(B5343="","",IFERROR(RIGHT(B5343,LEN(B5343)-FIND("@",B5343)),""))</f>
        <v/>
      </c>
      <c r="G5343">
        <f>IF(D5343="KEEP",COUNTIF($D$2:D5343,"KEEP"),"")</f>
        <v/>
      </c>
      <c r="H5343">
        <f>IF(D5343="REMOVE",COUNTIF($D$2:D5343,"REMOVE"),"")</f>
        <v/>
      </c>
      <c r="I5343">
        <f>IF(E5343="Gmail",COUNTIF($E$2:E5343,"Gmail"),"")</f>
        <v/>
      </c>
      <c r="J5343">
        <f>IF(E5343="Outlook",COUNTIF($E$2:E5343,"Outlook"),"")</f>
        <v/>
      </c>
      <c r="K5343">
        <f>IF(E5343="Domain",COUNTIF($E$2:E5343,"Domain"),"")</f>
        <v/>
      </c>
    </row>
    <row r="5344">
      <c r="A5344" s="2" t="n"/>
      <c r="B5344">
        <f>LOWER(TRIM(A5344))</f>
        <v/>
      </c>
      <c r="C5344">
        <f>IF(B5344="","",IFERROR(INDEX('Bad Patterns'!$A$2:$A$120,MATCH(1,INDEX(--ISNUMBER(SEARCH('Bad Patterns'!$A$2:$A$120,B5344)),0),0)),""))</f>
        <v/>
      </c>
      <c r="D5344">
        <f>IF(B5344="","",IF(C5344&lt;&gt;"","REMOVE","KEEP"))</f>
        <v/>
      </c>
      <c r="E5344">
        <f>IF(D5344&lt;&gt;"KEEP","",IF(RIGHT(B5344,10)="@gmail.com","Gmail",IF(OR(RIGHT(B5344,12)="@outlook.com",RIGHT(B5344,12)="@hotmail.com",RIGHT(B5344,9)="@live.com"),"Outlook","Domain")))</f>
        <v/>
      </c>
      <c r="F5344">
        <f>IF(B5344="","",IFERROR(RIGHT(B5344,LEN(B5344)-FIND("@",B5344)),""))</f>
        <v/>
      </c>
      <c r="G5344">
        <f>IF(D5344="KEEP",COUNTIF($D$2:D5344,"KEEP"),"")</f>
        <v/>
      </c>
      <c r="H5344">
        <f>IF(D5344="REMOVE",COUNTIF($D$2:D5344,"REMOVE"),"")</f>
        <v/>
      </c>
      <c r="I5344">
        <f>IF(E5344="Gmail",COUNTIF($E$2:E5344,"Gmail"),"")</f>
        <v/>
      </c>
      <c r="J5344">
        <f>IF(E5344="Outlook",COUNTIF($E$2:E5344,"Outlook"),"")</f>
        <v/>
      </c>
      <c r="K5344">
        <f>IF(E5344="Domain",COUNTIF($E$2:E5344,"Domain"),"")</f>
        <v/>
      </c>
    </row>
    <row r="5345">
      <c r="A5345" s="2" t="n"/>
      <c r="B5345">
        <f>LOWER(TRIM(A5345))</f>
        <v/>
      </c>
      <c r="C5345">
        <f>IF(B5345="","",IFERROR(INDEX('Bad Patterns'!$A$2:$A$120,MATCH(1,INDEX(--ISNUMBER(SEARCH('Bad Patterns'!$A$2:$A$120,B5345)),0),0)),""))</f>
        <v/>
      </c>
      <c r="D5345">
        <f>IF(B5345="","",IF(C5345&lt;&gt;"","REMOVE","KEEP"))</f>
        <v/>
      </c>
      <c r="E5345">
        <f>IF(D5345&lt;&gt;"KEEP","",IF(RIGHT(B5345,10)="@gmail.com","Gmail",IF(OR(RIGHT(B5345,12)="@outlook.com",RIGHT(B5345,12)="@hotmail.com",RIGHT(B5345,9)="@live.com"),"Outlook","Domain")))</f>
        <v/>
      </c>
      <c r="F5345">
        <f>IF(B5345="","",IFERROR(RIGHT(B5345,LEN(B5345)-FIND("@",B5345)),""))</f>
        <v/>
      </c>
      <c r="G5345">
        <f>IF(D5345="KEEP",COUNTIF($D$2:D5345,"KEEP"),"")</f>
        <v/>
      </c>
      <c r="H5345">
        <f>IF(D5345="REMOVE",COUNTIF($D$2:D5345,"REMOVE"),"")</f>
        <v/>
      </c>
      <c r="I5345">
        <f>IF(E5345="Gmail",COUNTIF($E$2:E5345,"Gmail"),"")</f>
        <v/>
      </c>
      <c r="J5345">
        <f>IF(E5345="Outlook",COUNTIF($E$2:E5345,"Outlook"),"")</f>
        <v/>
      </c>
      <c r="K5345">
        <f>IF(E5345="Domain",COUNTIF($E$2:E5345,"Domain"),"")</f>
        <v/>
      </c>
    </row>
    <row r="5346">
      <c r="A5346" s="2" t="n"/>
      <c r="B5346">
        <f>LOWER(TRIM(A5346))</f>
        <v/>
      </c>
      <c r="C5346">
        <f>IF(B5346="","",IFERROR(INDEX('Bad Patterns'!$A$2:$A$120,MATCH(1,INDEX(--ISNUMBER(SEARCH('Bad Patterns'!$A$2:$A$120,B5346)),0),0)),""))</f>
        <v/>
      </c>
      <c r="D5346">
        <f>IF(B5346="","",IF(C5346&lt;&gt;"","REMOVE","KEEP"))</f>
        <v/>
      </c>
      <c r="E5346">
        <f>IF(D5346&lt;&gt;"KEEP","",IF(RIGHT(B5346,10)="@gmail.com","Gmail",IF(OR(RIGHT(B5346,12)="@outlook.com",RIGHT(B5346,12)="@hotmail.com",RIGHT(B5346,9)="@live.com"),"Outlook","Domain")))</f>
        <v/>
      </c>
      <c r="F5346">
        <f>IF(B5346="","",IFERROR(RIGHT(B5346,LEN(B5346)-FIND("@",B5346)),""))</f>
        <v/>
      </c>
      <c r="G5346">
        <f>IF(D5346="KEEP",COUNTIF($D$2:D5346,"KEEP"),"")</f>
        <v/>
      </c>
      <c r="H5346">
        <f>IF(D5346="REMOVE",COUNTIF($D$2:D5346,"REMOVE"),"")</f>
        <v/>
      </c>
      <c r="I5346">
        <f>IF(E5346="Gmail",COUNTIF($E$2:E5346,"Gmail"),"")</f>
        <v/>
      </c>
      <c r="J5346">
        <f>IF(E5346="Outlook",COUNTIF($E$2:E5346,"Outlook"),"")</f>
        <v/>
      </c>
      <c r="K5346">
        <f>IF(E5346="Domain",COUNTIF($E$2:E5346,"Domain"),"")</f>
        <v/>
      </c>
    </row>
    <row r="5347">
      <c r="A5347" s="2" t="n"/>
      <c r="B5347">
        <f>LOWER(TRIM(A5347))</f>
        <v/>
      </c>
      <c r="C5347">
        <f>IF(B5347="","",IFERROR(INDEX('Bad Patterns'!$A$2:$A$120,MATCH(1,INDEX(--ISNUMBER(SEARCH('Bad Patterns'!$A$2:$A$120,B5347)),0),0)),""))</f>
        <v/>
      </c>
      <c r="D5347">
        <f>IF(B5347="","",IF(C5347&lt;&gt;"","REMOVE","KEEP"))</f>
        <v/>
      </c>
      <c r="E5347">
        <f>IF(D5347&lt;&gt;"KEEP","",IF(RIGHT(B5347,10)="@gmail.com","Gmail",IF(OR(RIGHT(B5347,12)="@outlook.com",RIGHT(B5347,12)="@hotmail.com",RIGHT(B5347,9)="@live.com"),"Outlook","Domain")))</f>
        <v/>
      </c>
      <c r="F5347">
        <f>IF(B5347="","",IFERROR(RIGHT(B5347,LEN(B5347)-FIND("@",B5347)),""))</f>
        <v/>
      </c>
      <c r="G5347">
        <f>IF(D5347="KEEP",COUNTIF($D$2:D5347,"KEEP"),"")</f>
        <v/>
      </c>
      <c r="H5347">
        <f>IF(D5347="REMOVE",COUNTIF($D$2:D5347,"REMOVE"),"")</f>
        <v/>
      </c>
      <c r="I5347">
        <f>IF(E5347="Gmail",COUNTIF($E$2:E5347,"Gmail"),"")</f>
        <v/>
      </c>
      <c r="J5347">
        <f>IF(E5347="Outlook",COUNTIF($E$2:E5347,"Outlook"),"")</f>
        <v/>
      </c>
      <c r="K5347">
        <f>IF(E5347="Domain",COUNTIF($E$2:E5347,"Domain"),"")</f>
        <v/>
      </c>
    </row>
    <row r="5348">
      <c r="A5348" s="2" t="n"/>
      <c r="B5348">
        <f>LOWER(TRIM(A5348))</f>
        <v/>
      </c>
      <c r="C5348">
        <f>IF(B5348="","",IFERROR(INDEX('Bad Patterns'!$A$2:$A$120,MATCH(1,INDEX(--ISNUMBER(SEARCH('Bad Patterns'!$A$2:$A$120,B5348)),0),0)),""))</f>
        <v/>
      </c>
      <c r="D5348">
        <f>IF(B5348="","",IF(C5348&lt;&gt;"","REMOVE","KEEP"))</f>
        <v/>
      </c>
      <c r="E5348">
        <f>IF(D5348&lt;&gt;"KEEP","",IF(RIGHT(B5348,10)="@gmail.com","Gmail",IF(OR(RIGHT(B5348,12)="@outlook.com",RIGHT(B5348,12)="@hotmail.com",RIGHT(B5348,9)="@live.com"),"Outlook","Domain")))</f>
        <v/>
      </c>
      <c r="F5348">
        <f>IF(B5348="","",IFERROR(RIGHT(B5348,LEN(B5348)-FIND("@",B5348)),""))</f>
        <v/>
      </c>
      <c r="G5348">
        <f>IF(D5348="KEEP",COUNTIF($D$2:D5348,"KEEP"),"")</f>
        <v/>
      </c>
      <c r="H5348">
        <f>IF(D5348="REMOVE",COUNTIF($D$2:D5348,"REMOVE"),"")</f>
        <v/>
      </c>
      <c r="I5348">
        <f>IF(E5348="Gmail",COUNTIF($E$2:E5348,"Gmail"),"")</f>
        <v/>
      </c>
      <c r="J5348">
        <f>IF(E5348="Outlook",COUNTIF($E$2:E5348,"Outlook"),"")</f>
        <v/>
      </c>
      <c r="K5348">
        <f>IF(E5348="Domain",COUNTIF($E$2:E5348,"Domain"),"")</f>
        <v/>
      </c>
    </row>
    <row r="5349">
      <c r="A5349" s="2" t="n"/>
      <c r="B5349">
        <f>LOWER(TRIM(A5349))</f>
        <v/>
      </c>
      <c r="C5349">
        <f>IF(B5349="","",IFERROR(INDEX('Bad Patterns'!$A$2:$A$120,MATCH(1,INDEX(--ISNUMBER(SEARCH('Bad Patterns'!$A$2:$A$120,B5349)),0),0)),""))</f>
        <v/>
      </c>
      <c r="D5349">
        <f>IF(B5349="","",IF(C5349&lt;&gt;"","REMOVE","KEEP"))</f>
        <v/>
      </c>
      <c r="E5349">
        <f>IF(D5349&lt;&gt;"KEEP","",IF(RIGHT(B5349,10)="@gmail.com","Gmail",IF(OR(RIGHT(B5349,12)="@outlook.com",RIGHT(B5349,12)="@hotmail.com",RIGHT(B5349,9)="@live.com"),"Outlook","Domain")))</f>
        <v/>
      </c>
      <c r="F5349">
        <f>IF(B5349="","",IFERROR(RIGHT(B5349,LEN(B5349)-FIND("@",B5349)),""))</f>
        <v/>
      </c>
      <c r="G5349">
        <f>IF(D5349="KEEP",COUNTIF($D$2:D5349,"KEEP"),"")</f>
        <v/>
      </c>
      <c r="H5349">
        <f>IF(D5349="REMOVE",COUNTIF($D$2:D5349,"REMOVE"),"")</f>
        <v/>
      </c>
      <c r="I5349">
        <f>IF(E5349="Gmail",COUNTIF($E$2:E5349,"Gmail"),"")</f>
        <v/>
      </c>
      <c r="J5349">
        <f>IF(E5349="Outlook",COUNTIF($E$2:E5349,"Outlook"),"")</f>
        <v/>
      </c>
      <c r="K5349">
        <f>IF(E5349="Domain",COUNTIF($E$2:E5349,"Domain"),"")</f>
        <v/>
      </c>
    </row>
    <row r="5350">
      <c r="A5350" s="2" t="n"/>
      <c r="B5350">
        <f>LOWER(TRIM(A5350))</f>
        <v/>
      </c>
      <c r="C5350">
        <f>IF(B5350="","",IFERROR(INDEX('Bad Patterns'!$A$2:$A$120,MATCH(1,INDEX(--ISNUMBER(SEARCH('Bad Patterns'!$A$2:$A$120,B5350)),0),0)),""))</f>
        <v/>
      </c>
      <c r="D5350">
        <f>IF(B5350="","",IF(C5350&lt;&gt;"","REMOVE","KEEP"))</f>
        <v/>
      </c>
      <c r="E5350">
        <f>IF(D5350&lt;&gt;"KEEP","",IF(RIGHT(B5350,10)="@gmail.com","Gmail",IF(OR(RIGHT(B5350,12)="@outlook.com",RIGHT(B5350,12)="@hotmail.com",RIGHT(B5350,9)="@live.com"),"Outlook","Domain")))</f>
        <v/>
      </c>
      <c r="F5350">
        <f>IF(B5350="","",IFERROR(RIGHT(B5350,LEN(B5350)-FIND("@",B5350)),""))</f>
        <v/>
      </c>
      <c r="G5350">
        <f>IF(D5350="KEEP",COUNTIF($D$2:D5350,"KEEP"),"")</f>
        <v/>
      </c>
      <c r="H5350">
        <f>IF(D5350="REMOVE",COUNTIF($D$2:D5350,"REMOVE"),"")</f>
        <v/>
      </c>
      <c r="I5350">
        <f>IF(E5350="Gmail",COUNTIF($E$2:E5350,"Gmail"),"")</f>
        <v/>
      </c>
      <c r="J5350">
        <f>IF(E5350="Outlook",COUNTIF($E$2:E5350,"Outlook"),"")</f>
        <v/>
      </c>
      <c r="K5350">
        <f>IF(E5350="Domain",COUNTIF($E$2:E5350,"Domain"),"")</f>
        <v/>
      </c>
    </row>
    <row r="5351">
      <c r="A5351" s="2" t="n"/>
      <c r="B5351">
        <f>LOWER(TRIM(A5351))</f>
        <v/>
      </c>
      <c r="C5351">
        <f>IF(B5351="","",IFERROR(INDEX('Bad Patterns'!$A$2:$A$120,MATCH(1,INDEX(--ISNUMBER(SEARCH('Bad Patterns'!$A$2:$A$120,B5351)),0),0)),""))</f>
        <v/>
      </c>
      <c r="D5351">
        <f>IF(B5351="","",IF(C5351&lt;&gt;"","REMOVE","KEEP"))</f>
        <v/>
      </c>
      <c r="E5351">
        <f>IF(D5351&lt;&gt;"KEEP","",IF(RIGHT(B5351,10)="@gmail.com","Gmail",IF(OR(RIGHT(B5351,12)="@outlook.com",RIGHT(B5351,12)="@hotmail.com",RIGHT(B5351,9)="@live.com"),"Outlook","Domain")))</f>
        <v/>
      </c>
      <c r="F5351">
        <f>IF(B5351="","",IFERROR(RIGHT(B5351,LEN(B5351)-FIND("@",B5351)),""))</f>
        <v/>
      </c>
      <c r="G5351">
        <f>IF(D5351="KEEP",COUNTIF($D$2:D5351,"KEEP"),"")</f>
        <v/>
      </c>
      <c r="H5351">
        <f>IF(D5351="REMOVE",COUNTIF($D$2:D5351,"REMOVE"),"")</f>
        <v/>
      </c>
      <c r="I5351">
        <f>IF(E5351="Gmail",COUNTIF($E$2:E5351,"Gmail"),"")</f>
        <v/>
      </c>
      <c r="J5351">
        <f>IF(E5351="Outlook",COUNTIF($E$2:E5351,"Outlook"),"")</f>
        <v/>
      </c>
      <c r="K5351">
        <f>IF(E5351="Domain",COUNTIF($E$2:E5351,"Domain"),"")</f>
        <v/>
      </c>
    </row>
    <row r="5352">
      <c r="A5352" s="2" t="n"/>
      <c r="B5352">
        <f>LOWER(TRIM(A5352))</f>
        <v/>
      </c>
      <c r="C5352">
        <f>IF(B5352="","",IFERROR(INDEX('Bad Patterns'!$A$2:$A$120,MATCH(1,INDEX(--ISNUMBER(SEARCH('Bad Patterns'!$A$2:$A$120,B5352)),0),0)),""))</f>
        <v/>
      </c>
      <c r="D5352">
        <f>IF(B5352="","",IF(C5352&lt;&gt;"","REMOVE","KEEP"))</f>
        <v/>
      </c>
      <c r="E5352">
        <f>IF(D5352&lt;&gt;"KEEP","",IF(RIGHT(B5352,10)="@gmail.com","Gmail",IF(OR(RIGHT(B5352,12)="@outlook.com",RIGHT(B5352,12)="@hotmail.com",RIGHT(B5352,9)="@live.com"),"Outlook","Domain")))</f>
        <v/>
      </c>
      <c r="F5352">
        <f>IF(B5352="","",IFERROR(RIGHT(B5352,LEN(B5352)-FIND("@",B5352)),""))</f>
        <v/>
      </c>
      <c r="G5352">
        <f>IF(D5352="KEEP",COUNTIF($D$2:D5352,"KEEP"),"")</f>
        <v/>
      </c>
      <c r="H5352">
        <f>IF(D5352="REMOVE",COUNTIF($D$2:D5352,"REMOVE"),"")</f>
        <v/>
      </c>
      <c r="I5352">
        <f>IF(E5352="Gmail",COUNTIF($E$2:E5352,"Gmail"),"")</f>
        <v/>
      </c>
      <c r="J5352">
        <f>IF(E5352="Outlook",COUNTIF($E$2:E5352,"Outlook"),"")</f>
        <v/>
      </c>
      <c r="K5352">
        <f>IF(E5352="Domain",COUNTIF($E$2:E5352,"Domain"),"")</f>
        <v/>
      </c>
    </row>
    <row r="5353">
      <c r="A5353" s="2" t="n"/>
      <c r="B5353">
        <f>LOWER(TRIM(A5353))</f>
        <v/>
      </c>
      <c r="C5353">
        <f>IF(B5353="","",IFERROR(INDEX('Bad Patterns'!$A$2:$A$120,MATCH(1,INDEX(--ISNUMBER(SEARCH('Bad Patterns'!$A$2:$A$120,B5353)),0),0)),""))</f>
        <v/>
      </c>
      <c r="D5353">
        <f>IF(B5353="","",IF(C5353&lt;&gt;"","REMOVE","KEEP"))</f>
        <v/>
      </c>
      <c r="E5353">
        <f>IF(D5353&lt;&gt;"KEEP","",IF(RIGHT(B5353,10)="@gmail.com","Gmail",IF(OR(RIGHT(B5353,12)="@outlook.com",RIGHT(B5353,12)="@hotmail.com",RIGHT(B5353,9)="@live.com"),"Outlook","Domain")))</f>
        <v/>
      </c>
      <c r="F5353">
        <f>IF(B5353="","",IFERROR(RIGHT(B5353,LEN(B5353)-FIND("@",B5353)),""))</f>
        <v/>
      </c>
      <c r="G5353">
        <f>IF(D5353="KEEP",COUNTIF($D$2:D5353,"KEEP"),"")</f>
        <v/>
      </c>
      <c r="H5353">
        <f>IF(D5353="REMOVE",COUNTIF($D$2:D5353,"REMOVE"),"")</f>
        <v/>
      </c>
      <c r="I5353">
        <f>IF(E5353="Gmail",COUNTIF($E$2:E5353,"Gmail"),"")</f>
        <v/>
      </c>
      <c r="J5353">
        <f>IF(E5353="Outlook",COUNTIF($E$2:E5353,"Outlook"),"")</f>
        <v/>
      </c>
      <c r="K5353">
        <f>IF(E5353="Domain",COUNTIF($E$2:E5353,"Domain"),"")</f>
        <v/>
      </c>
    </row>
    <row r="5354">
      <c r="A5354" s="2" t="n"/>
      <c r="B5354">
        <f>LOWER(TRIM(A5354))</f>
        <v/>
      </c>
      <c r="C5354">
        <f>IF(B5354="","",IFERROR(INDEX('Bad Patterns'!$A$2:$A$120,MATCH(1,INDEX(--ISNUMBER(SEARCH('Bad Patterns'!$A$2:$A$120,B5354)),0),0)),""))</f>
        <v/>
      </c>
      <c r="D5354">
        <f>IF(B5354="","",IF(C5354&lt;&gt;"","REMOVE","KEEP"))</f>
        <v/>
      </c>
      <c r="E5354">
        <f>IF(D5354&lt;&gt;"KEEP","",IF(RIGHT(B5354,10)="@gmail.com","Gmail",IF(OR(RIGHT(B5354,12)="@outlook.com",RIGHT(B5354,12)="@hotmail.com",RIGHT(B5354,9)="@live.com"),"Outlook","Domain")))</f>
        <v/>
      </c>
      <c r="F5354">
        <f>IF(B5354="","",IFERROR(RIGHT(B5354,LEN(B5354)-FIND("@",B5354)),""))</f>
        <v/>
      </c>
      <c r="G5354">
        <f>IF(D5354="KEEP",COUNTIF($D$2:D5354,"KEEP"),"")</f>
        <v/>
      </c>
      <c r="H5354">
        <f>IF(D5354="REMOVE",COUNTIF($D$2:D5354,"REMOVE"),"")</f>
        <v/>
      </c>
      <c r="I5354">
        <f>IF(E5354="Gmail",COUNTIF($E$2:E5354,"Gmail"),"")</f>
        <v/>
      </c>
      <c r="J5354">
        <f>IF(E5354="Outlook",COUNTIF($E$2:E5354,"Outlook"),"")</f>
        <v/>
      </c>
      <c r="K5354">
        <f>IF(E5354="Domain",COUNTIF($E$2:E5354,"Domain"),"")</f>
        <v/>
      </c>
    </row>
    <row r="5355">
      <c r="A5355" s="2" t="n"/>
      <c r="B5355">
        <f>LOWER(TRIM(A5355))</f>
        <v/>
      </c>
      <c r="C5355">
        <f>IF(B5355="","",IFERROR(INDEX('Bad Patterns'!$A$2:$A$120,MATCH(1,INDEX(--ISNUMBER(SEARCH('Bad Patterns'!$A$2:$A$120,B5355)),0),0)),""))</f>
        <v/>
      </c>
      <c r="D5355">
        <f>IF(B5355="","",IF(C5355&lt;&gt;"","REMOVE","KEEP"))</f>
        <v/>
      </c>
      <c r="E5355">
        <f>IF(D5355&lt;&gt;"KEEP","",IF(RIGHT(B5355,10)="@gmail.com","Gmail",IF(OR(RIGHT(B5355,12)="@outlook.com",RIGHT(B5355,12)="@hotmail.com",RIGHT(B5355,9)="@live.com"),"Outlook","Domain")))</f>
        <v/>
      </c>
      <c r="F5355">
        <f>IF(B5355="","",IFERROR(RIGHT(B5355,LEN(B5355)-FIND("@",B5355)),""))</f>
        <v/>
      </c>
      <c r="G5355">
        <f>IF(D5355="KEEP",COUNTIF($D$2:D5355,"KEEP"),"")</f>
        <v/>
      </c>
      <c r="H5355">
        <f>IF(D5355="REMOVE",COUNTIF($D$2:D5355,"REMOVE"),"")</f>
        <v/>
      </c>
      <c r="I5355">
        <f>IF(E5355="Gmail",COUNTIF($E$2:E5355,"Gmail"),"")</f>
        <v/>
      </c>
      <c r="J5355">
        <f>IF(E5355="Outlook",COUNTIF($E$2:E5355,"Outlook"),"")</f>
        <v/>
      </c>
      <c r="K5355">
        <f>IF(E5355="Domain",COUNTIF($E$2:E5355,"Domain"),"")</f>
        <v/>
      </c>
    </row>
    <row r="5356">
      <c r="A5356" s="2" t="n"/>
      <c r="B5356">
        <f>LOWER(TRIM(A5356))</f>
        <v/>
      </c>
      <c r="C5356">
        <f>IF(B5356="","",IFERROR(INDEX('Bad Patterns'!$A$2:$A$120,MATCH(1,INDEX(--ISNUMBER(SEARCH('Bad Patterns'!$A$2:$A$120,B5356)),0),0)),""))</f>
        <v/>
      </c>
      <c r="D5356">
        <f>IF(B5356="","",IF(C5356&lt;&gt;"","REMOVE","KEEP"))</f>
        <v/>
      </c>
      <c r="E5356">
        <f>IF(D5356&lt;&gt;"KEEP","",IF(RIGHT(B5356,10)="@gmail.com","Gmail",IF(OR(RIGHT(B5356,12)="@outlook.com",RIGHT(B5356,12)="@hotmail.com",RIGHT(B5356,9)="@live.com"),"Outlook","Domain")))</f>
        <v/>
      </c>
      <c r="F5356">
        <f>IF(B5356="","",IFERROR(RIGHT(B5356,LEN(B5356)-FIND("@",B5356)),""))</f>
        <v/>
      </c>
      <c r="G5356">
        <f>IF(D5356="KEEP",COUNTIF($D$2:D5356,"KEEP"),"")</f>
        <v/>
      </c>
      <c r="H5356">
        <f>IF(D5356="REMOVE",COUNTIF($D$2:D5356,"REMOVE"),"")</f>
        <v/>
      </c>
      <c r="I5356">
        <f>IF(E5356="Gmail",COUNTIF($E$2:E5356,"Gmail"),"")</f>
        <v/>
      </c>
      <c r="J5356">
        <f>IF(E5356="Outlook",COUNTIF($E$2:E5356,"Outlook"),"")</f>
        <v/>
      </c>
      <c r="K5356">
        <f>IF(E5356="Domain",COUNTIF($E$2:E5356,"Domain"),"")</f>
        <v/>
      </c>
    </row>
    <row r="5357">
      <c r="A5357" s="2" t="n"/>
      <c r="B5357">
        <f>LOWER(TRIM(A5357))</f>
        <v/>
      </c>
      <c r="C5357">
        <f>IF(B5357="","",IFERROR(INDEX('Bad Patterns'!$A$2:$A$120,MATCH(1,INDEX(--ISNUMBER(SEARCH('Bad Patterns'!$A$2:$A$120,B5357)),0),0)),""))</f>
        <v/>
      </c>
      <c r="D5357">
        <f>IF(B5357="","",IF(C5357&lt;&gt;"","REMOVE","KEEP"))</f>
        <v/>
      </c>
      <c r="E5357">
        <f>IF(D5357&lt;&gt;"KEEP","",IF(RIGHT(B5357,10)="@gmail.com","Gmail",IF(OR(RIGHT(B5357,12)="@outlook.com",RIGHT(B5357,12)="@hotmail.com",RIGHT(B5357,9)="@live.com"),"Outlook","Domain")))</f>
        <v/>
      </c>
      <c r="F5357">
        <f>IF(B5357="","",IFERROR(RIGHT(B5357,LEN(B5357)-FIND("@",B5357)),""))</f>
        <v/>
      </c>
      <c r="G5357">
        <f>IF(D5357="KEEP",COUNTIF($D$2:D5357,"KEEP"),"")</f>
        <v/>
      </c>
      <c r="H5357">
        <f>IF(D5357="REMOVE",COUNTIF($D$2:D5357,"REMOVE"),"")</f>
        <v/>
      </c>
      <c r="I5357">
        <f>IF(E5357="Gmail",COUNTIF($E$2:E5357,"Gmail"),"")</f>
        <v/>
      </c>
      <c r="J5357">
        <f>IF(E5357="Outlook",COUNTIF($E$2:E5357,"Outlook"),"")</f>
        <v/>
      </c>
      <c r="K5357">
        <f>IF(E5357="Domain",COUNTIF($E$2:E5357,"Domain"),"")</f>
        <v/>
      </c>
    </row>
    <row r="5358">
      <c r="A5358" s="2" t="n"/>
      <c r="B5358">
        <f>LOWER(TRIM(A5358))</f>
        <v/>
      </c>
      <c r="C5358">
        <f>IF(B5358="","",IFERROR(INDEX('Bad Patterns'!$A$2:$A$120,MATCH(1,INDEX(--ISNUMBER(SEARCH('Bad Patterns'!$A$2:$A$120,B5358)),0),0)),""))</f>
        <v/>
      </c>
      <c r="D5358">
        <f>IF(B5358="","",IF(C5358&lt;&gt;"","REMOVE","KEEP"))</f>
        <v/>
      </c>
      <c r="E5358">
        <f>IF(D5358&lt;&gt;"KEEP","",IF(RIGHT(B5358,10)="@gmail.com","Gmail",IF(OR(RIGHT(B5358,12)="@outlook.com",RIGHT(B5358,12)="@hotmail.com",RIGHT(B5358,9)="@live.com"),"Outlook","Domain")))</f>
        <v/>
      </c>
      <c r="F5358">
        <f>IF(B5358="","",IFERROR(RIGHT(B5358,LEN(B5358)-FIND("@",B5358)),""))</f>
        <v/>
      </c>
      <c r="G5358">
        <f>IF(D5358="KEEP",COUNTIF($D$2:D5358,"KEEP"),"")</f>
        <v/>
      </c>
      <c r="H5358">
        <f>IF(D5358="REMOVE",COUNTIF($D$2:D5358,"REMOVE"),"")</f>
        <v/>
      </c>
      <c r="I5358">
        <f>IF(E5358="Gmail",COUNTIF($E$2:E5358,"Gmail"),"")</f>
        <v/>
      </c>
      <c r="J5358">
        <f>IF(E5358="Outlook",COUNTIF($E$2:E5358,"Outlook"),"")</f>
        <v/>
      </c>
      <c r="K5358">
        <f>IF(E5358="Domain",COUNTIF($E$2:E5358,"Domain"),"")</f>
        <v/>
      </c>
    </row>
    <row r="5359">
      <c r="A5359" s="2" t="n"/>
      <c r="B5359">
        <f>LOWER(TRIM(A5359))</f>
        <v/>
      </c>
      <c r="C5359">
        <f>IF(B5359="","",IFERROR(INDEX('Bad Patterns'!$A$2:$A$120,MATCH(1,INDEX(--ISNUMBER(SEARCH('Bad Patterns'!$A$2:$A$120,B5359)),0),0)),""))</f>
        <v/>
      </c>
      <c r="D5359">
        <f>IF(B5359="","",IF(C5359&lt;&gt;"","REMOVE","KEEP"))</f>
        <v/>
      </c>
      <c r="E5359">
        <f>IF(D5359&lt;&gt;"KEEP","",IF(RIGHT(B5359,10)="@gmail.com","Gmail",IF(OR(RIGHT(B5359,12)="@outlook.com",RIGHT(B5359,12)="@hotmail.com",RIGHT(B5359,9)="@live.com"),"Outlook","Domain")))</f>
        <v/>
      </c>
      <c r="F5359">
        <f>IF(B5359="","",IFERROR(RIGHT(B5359,LEN(B5359)-FIND("@",B5359)),""))</f>
        <v/>
      </c>
      <c r="G5359">
        <f>IF(D5359="KEEP",COUNTIF($D$2:D5359,"KEEP"),"")</f>
        <v/>
      </c>
      <c r="H5359">
        <f>IF(D5359="REMOVE",COUNTIF($D$2:D5359,"REMOVE"),"")</f>
        <v/>
      </c>
      <c r="I5359">
        <f>IF(E5359="Gmail",COUNTIF($E$2:E5359,"Gmail"),"")</f>
        <v/>
      </c>
      <c r="J5359">
        <f>IF(E5359="Outlook",COUNTIF($E$2:E5359,"Outlook"),"")</f>
        <v/>
      </c>
      <c r="K5359">
        <f>IF(E5359="Domain",COUNTIF($E$2:E5359,"Domain"),"")</f>
        <v/>
      </c>
    </row>
    <row r="5360">
      <c r="A5360" s="2" t="n"/>
      <c r="B5360">
        <f>LOWER(TRIM(A5360))</f>
        <v/>
      </c>
      <c r="C5360">
        <f>IF(B5360="","",IFERROR(INDEX('Bad Patterns'!$A$2:$A$120,MATCH(1,INDEX(--ISNUMBER(SEARCH('Bad Patterns'!$A$2:$A$120,B5360)),0),0)),""))</f>
        <v/>
      </c>
      <c r="D5360">
        <f>IF(B5360="","",IF(C5360&lt;&gt;"","REMOVE","KEEP"))</f>
        <v/>
      </c>
      <c r="E5360">
        <f>IF(D5360&lt;&gt;"KEEP","",IF(RIGHT(B5360,10)="@gmail.com","Gmail",IF(OR(RIGHT(B5360,12)="@outlook.com",RIGHT(B5360,12)="@hotmail.com",RIGHT(B5360,9)="@live.com"),"Outlook","Domain")))</f>
        <v/>
      </c>
      <c r="F5360">
        <f>IF(B5360="","",IFERROR(RIGHT(B5360,LEN(B5360)-FIND("@",B5360)),""))</f>
        <v/>
      </c>
      <c r="G5360">
        <f>IF(D5360="KEEP",COUNTIF($D$2:D5360,"KEEP"),"")</f>
        <v/>
      </c>
      <c r="H5360">
        <f>IF(D5360="REMOVE",COUNTIF($D$2:D5360,"REMOVE"),"")</f>
        <v/>
      </c>
      <c r="I5360">
        <f>IF(E5360="Gmail",COUNTIF($E$2:E5360,"Gmail"),"")</f>
        <v/>
      </c>
      <c r="J5360">
        <f>IF(E5360="Outlook",COUNTIF($E$2:E5360,"Outlook"),"")</f>
        <v/>
      </c>
      <c r="K5360">
        <f>IF(E5360="Domain",COUNTIF($E$2:E5360,"Domain"),"")</f>
        <v/>
      </c>
    </row>
    <row r="5361">
      <c r="A5361" s="2" t="n"/>
      <c r="B5361">
        <f>LOWER(TRIM(A5361))</f>
        <v/>
      </c>
      <c r="C5361">
        <f>IF(B5361="","",IFERROR(INDEX('Bad Patterns'!$A$2:$A$120,MATCH(1,INDEX(--ISNUMBER(SEARCH('Bad Patterns'!$A$2:$A$120,B5361)),0),0)),""))</f>
        <v/>
      </c>
      <c r="D5361">
        <f>IF(B5361="","",IF(C5361&lt;&gt;"","REMOVE","KEEP"))</f>
        <v/>
      </c>
      <c r="E5361">
        <f>IF(D5361&lt;&gt;"KEEP","",IF(RIGHT(B5361,10)="@gmail.com","Gmail",IF(OR(RIGHT(B5361,12)="@outlook.com",RIGHT(B5361,12)="@hotmail.com",RIGHT(B5361,9)="@live.com"),"Outlook","Domain")))</f>
        <v/>
      </c>
      <c r="F5361">
        <f>IF(B5361="","",IFERROR(RIGHT(B5361,LEN(B5361)-FIND("@",B5361)),""))</f>
        <v/>
      </c>
      <c r="G5361">
        <f>IF(D5361="KEEP",COUNTIF($D$2:D5361,"KEEP"),"")</f>
        <v/>
      </c>
      <c r="H5361">
        <f>IF(D5361="REMOVE",COUNTIF($D$2:D5361,"REMOVE"),"")</f>
        <v/>
      </c>
      <c r="I5361">
        <f>IF(E5361="Gmail",COUNTIF($E$2:E5361,"Gmail"),"")</f>
        <v/>
      </c>
      <c r="J5361">
        <f>IF(E5361="Outlook",COUNTIF($E$2:E5361,"Outlook"),"")</f>
        <v/>
      </c>
      <c r="K5361">
        <f>IF(E5361="Domain",COUNTIF($E$2:E5361,"Domain"),"")</f>
        <v/>
      </c>
    </row>
    <row r="5362">
      <c r="A5362" s="2" t="n"/>
      <c r="B5362">
        <f>LOWER(TRIM(A5362))</f>
        <v/>
      </c>
      <c r="C5362">
        <f>IF(B5362="","",IFERROR(INDEX('Bad Patterns'!$A$2:$A$120,MATCH(1,INDEX(--ISNUMBER(SEARCH('Bad Patterns'!$A$2:$A$120,B5362)),0),0)),""))</f>
        <v/>
      </c>
      <c r="D5362">
        <f>IF(B5362="","",IF(C5362&lt;&gt;"","REMOVE","KEEP"))</f>
        <v/>
      </c>
      <c r="E5362">
        <f>IF(D5362&lt;&gt;"KEEP","",IF(RIGHT(B5362,10)="@gmail.com","Gmail",IF(OR(RIGHT(B5362,12)="@outlook.com",RIGHT(B5362,12)="@hotmail.com",RIGHT(B5362,9)="@live.com"),"Outlook","Domain")))</f>
        <v/>
      </c>
      <c r="F5362">
        <f>IF(B5362="","",IFERROR(RIGHT(B5362,LEN(B5362)-FIND("@",B5362)),""))</f>
        <v/>
      </c>
      <c r="G5362">
        <f>IF(D5362="KEEP",COUNTIF($D$2:D5362,"KEEP"),"")</f>
        <v/>
      </c>
      <c r="H5362">
        <f>IF(D5362="REMOVE",COUNTIF($D$2:D5362,"REMOVE"),"")</f>
        <v/>
      </c>
      <c r="I5362">
        <f>IF(E5362="Gmail",COUNTIF($E$2:E5362,"Gmail"),"")</f>
        <v/>
      </c>
      <c r="J5362">
        <f>IF(E5362="Outlook",COUNTIF($E$2:E5362,"Outlook"),"")</f>
        <v/>
      </c>
      <c r="K5362">
        <f>IF(E5362="Domain",COUNTIF($E$2:E5362,"Domain"),"")</f>
        <v/>
      </c>
    </row>
    <row r="5363">
      <c r="A5363" s="2" t="n"/>
      <c r="B5363">
        <f>LOWER(TRIM(A5363))</f>
        <v/>
      </c>
      <c r="C5363">
        <f>IF(B5363="","",IFERROR(INDEX('Bad Patterns'!$A$2:$A$120,MATCH(1,INDEX(--ISNUMBER(SEARCH('Bad Patterns'!$A$2:$A$120,B5363)),0),0)),""))</f>
        <v/>
      </c>
      <c r="D5363">
        <f>IF(B5363="","",IF(C5363&lt;&gt;"","REMOVE","KEEP"))</f>
        <v/>
      </c>
      <c r="E5363">
        <f>IF(D5363&lt;&gt;"KEEP","",IF(RIGHT(B5363,10)="@gmail.com","Gmail",IF(OR(RIGHT(B5363,12)="@outlook.com",RIGHT(B5363,12)="@hotmail.com",RIGHT(B5363,9)="@live.com"),"Outlook","Domain")))</f>
        <v/>
      </c>
      <c r="F5363">
        <f>IF(B5363="","",IFERROR(RIGHT(B5363,LEN(B5363)-FIND("@",B5363)),""))</f>
        <v/>
      </c>
      <c r="G5363">
        <f>IF(D5363="KEEP",COUNTIF($D$2:D5363,"KEEP"),"")</f>
        <v/>
      </c>
      <c r="H5363">
        <f>IF(D5363="REMOVE",COUNTIF($D$2:D5363,"REMOVE"),"")</f>
        <v/>
      </c>
      <c r="I5363">
        <f>IF(E5363="Gmail",COUNTIF($E$2:E5363,"Gmail"),"")</f>
        <v/>
      </c>
      <c r="J5363">
        <f>IF(E5363="Outlook",COUNTIF($E$2:E5363,"Outlook"),"")</f>
        <v/>
      </c>
      <c r="K5363">
        <f>IF(E5363="Domain",COUNTIF($E$2:E5363,"Domain"),"")</f>
        <v/>
      </c>
    </row>
    <row r="5364">
      <c r="A5364" s="2" t="n"/>
      <c r="B5364">
        <f>LOWER(TRIM(A5364))</f>
        <v/>
      </c>
      <c r="C5364">
        <f>IF(B5364="","",IFERROR(INDEX('Bad Patterns'!$A$2:$A$120,MATCH(1,INDEX(--ISNUMBER(SEARCH('Bad Patterns'!$A$2:$A$120,B5364)),0),0)),""))</f>
        <v/>
      </c>
      <c r="D5364">
        <f>IF(B5364="","",IF(C5364&lt;&gt;"","REMOVE","KEEP"))</f>
        <v/>
      </c>
      <c r="E5364">
        <f>IF(D5364&lt;&gt;"KEEP","",IF(RIGHT(B5364,10)="@gmail.com","Gmail",IF(OR(RIGHT(B5364,12)="@outlook.com",RIGHT(B5364,12)="@hotmail.com",RIGHT(B5364,9)="@live.com"),"Outlook","Domain")))</f>
        <v/>
      </c>
      <c r="F5364">
        <f>IF(B5364="","",IFERROR(RIGHT(B5364,LEN(B5364)-FIND("@",B5364)),""))</f>
        <v/>
      </c>
      <c r="G5364">
        <f>IF(D5364="KEEP",COUNTIF($D$2:D5364,"KEEP"),"")</f>
        <v/>
      </c>
      <c r="H5364">
        <f>IF(D5364="REMOVE",COUNTIF($D$2:D5364,"REMOVE"),"")</f>
        <v/>
      </c>
      <c r="I5364">
        <f>IF(E5364="Gmail",COUNTIF($E$2:E5364,"Gmail"),"")</f>
        <v/>
      </c>
      <c r="J5364">
        <f>IF(E5364="Outlook",COUNTIF($E$2:E5364,"Outlook"),"")</f>
        <v/>
      </c>
      <c r="K5364">
        <f>IF(E5364="Domain",COUNTIF($E$2:E5364,"Domain"),"")</f>
        <v/>
      </c>
    </row>
    <row r="5365">
      <c r="A5365" s="2" t="n"/>
      <c r="B5365">
        <f>LOWER(TRIM(A5365))</f>
        <v/>
      </c>
      <c r="C5365">
        <f>IF(B5365="","",IFERROR(INDEX('Bad Patterns'!$A$2:$A$120,MATCH(1,INDEX(--ISNUMBER(SEARCH('Bad Patterns'!$A$2:$A$120,B5365)),0),0)),""))</f>
        <v/>
      </c>
      <c r="D5365">
        <f>IF(B5365="","",IF(C5365&lt;&gt;"","REMOVE","KEEP"))</f>
        <v/>
      </c>
      <c r="E5365">
        <f>IF(D5365&lt;&gt;"KEEP","",IF(RIGHT(B5365,10)="@gmail.com","Gmail",IF(OR(RIGHT(B5365,12)="@outlook.com",RIGHT(B5365,12)="@hotmail.com",RIGHT(B5365,9)="@live.com"),"Outlook","Domain")))</f>
        <v/>
      </c>
      <c r="F5365">
        <f>IF(B5365="","",IFERROR(RIGHT(B5365,LEN(B5365)-FIND("@",B5365)),""))</f>
        <v/>
      </c>
      <c r="G5365">
        <f>IF(D5365="KEEP",COUNTIF($D$2:D5365,"KEEP"),"")</f>
        <v/>
      </c>
      <c r="H5365">
        <f>IF(D5365="REMOVE",COUNTIF($D$2:D5365,"REMOVE"),"")</f>
        <v/>
      </c>
      <c r="I5365">
        <f>IF(E5365="Gmail",COUNTIF($E$2:E5365,"Gmail"),"")</f>
        <v/>
      </c>
      <c r="J5365">
        <f>IF(E5365="Outlook",COUNTIF($E$2:E5365,"Outlook"),"")</f>
        <v/>
      </c>
      <c r="K5365">
        <f>IF(E5365="Domain",COUNTIF($E$2:E5365,"Domain"),"")</f>
        <v/>
      </c>
    </row>
    <row r="5366">
      <c r="A5366" s="2" t="n"/>
      <c r="B5366">
        <f>LOWER(TRIM(A5366))</f>
        <v/>
      </c>
      <c r="C5366">
        <f>IF(B5366="","",IFERROR(INDEX('Bad Patterns'!$A$2:$A$120,MATCH(1,INDEX(--ISNUMBER(SEARCH('Bad Patterns'!$A$2:$A$120,B5366)),0),0)),""))</f>
        <v/>
      </c>
      <c r="D5366">
        <f>IF(B5366="","",IF(C5366&lt;&gt;"","REMOVE","KEEP"))</f>
        <v/>
      </c>
      <c r="E5366">
        <f>IF(D5366&lt;&gt;"KEEP","",IF(RIGHT(B5366,10)="@gmail.com","Gmail",IF(OR(RIGHT(B5366,12)="@outlook.com",RIGHT(B5366,12)="@hotmail.com",RIGHT(B5366,9)="@live.com"),"Outlook","Domain")))</f>
        <v/>
      </c>
      <c r="F5366">
        <f>IF(B5366="","",IFERROR(RIGHT(B5366,LEN(B5366)-FIND("@",B5366)),""))</f>
        <v/>
      </c>
      <c r="G5366">
        <f>IF(D5366="KEEP",COUNTIF($D$2:D5366,"KEEP"),"")</f>
        <v/>
      </c>
      <c r="H5366">
        <f>IF(D5366="REMOVE",COUNTIF($D$2:D5366,"REMOVE"),"")</f>
        <v/>
      </c>
      <c r="I5366">
        <f>IF(E5366="Gmail",COUNTIF($E$2:E5366,"Gmail"),"")</f>
        <v/>
      </c>
      <c r="J5366">
        <f>IF(E5366="Outlook",COUNTIF($E$2:E5366,"Outlook"),"")</f>
        <v/>
      </c>
      <c r="K5366">
        <f>IF(E5366="Domain",COUNTIF($E$2:E5366,"Domain"),"")</f>
        <v/>
      </c>
    </row>
    <row r="5367">
      <c r="A5367" s="2" t="n"/>
      <c r="B5367">
        <f>LOWER(TRIM(A5367))</f>
        <v/>
      </c>
      <c r="C5367">
        <f>IF(B5367="","",IFERROR(INDEX('Bad Patterns'!$A$2:$A$120,MATCH(1,INDEX(--ISNUMBER(SEARCH('Bad Patterns'!$A$2:$A$120,B5367)),0),0)),""))</f>
        <v/>
      </c>
      <c r="D5367">
        <f>IF(B5367="","",IF(C5367&lt;&gt;"","REMOVE","KEEP"))</f>
        <v/>
      </c>
      <c r="E5367">
        <f>IF(D5367&lt;&gt;"KEEP","",IF(RIGHT(B5367,10)="@gmail.com","Gmail",IF(OR(RIGHT(B5367,12)="@outlook.com",RIGHT(B5367,12)="@hotmail.com",RIGHT(B5367,9)="@live.com"),"Outlook","Domain")))</f>
        <v/>
      </c>
      <c r="F5367">
        <f>IF(B5367="","",IFERROR(RIGHT(B5367,LEN(B5367)-FIND("@",B5367)),""))</f>
        <v/>
      </c>
      <c r="G5367">
        <f>IF(D5367="KEEP",COUNTIF($D$2:D5367,"KEEP"),"")</f>
        <v/>
      </c>
      <c r="H5367">
        <f>IF(D5367="REMOVE",COUNTIF($D$2:D5367,"REMOVE"),"")</f>
        <v/>
      </c>
      <c r="I5367">
        <f>IF(E5367="Gmail",COUNTIF($E$2:E5367,"Gmail"),"")</f>
        <v/>
      </c>
      <c r="J5367">
        <f>IF(E5367="Outlook",COUNTIF($E$2:E5367,"Outlook"),"")</f>
        <v/>
      </c>
      <c r="K5367">
        <f>IF(E5367="Domain",COUNTIF($E$2:E5367,"Domain"),"")</f>
        <v/>
      </c>
    </row>
    <row r="5368">
      <c r="A5368" s="2" t="n"/>
      <c r="B5368">
        <f>LOWER(TRIM(A5368))</f>
        <v/>
      </c>
      <c r="C5368">
        <f>IF(B5368="","",IFERROR(INDEX('Bad Patterns'!$A$2:$A$120,MATCH(1,INDEX(--ISNUMBER(SEARCH('Bad Patterns'!$A$2:$A$120,B5368)),0),0)),""))</f>
        <v/>
      </c>
      <c r="D5368">
        <f>IF(B5368="","",IF(C5368&lt;&gt;"","REMOVE","KEEP"))</f>
        <v/>
      </c>
      <c r="E5368">
        <f>IF(D5368&lt;&gt;"KEEP","",IF(RIGHT(B5368,10)="@gmail.com","Gmail",IF(OR(RIGHT(B5368,12)="@outlook.com",RIGHT(B5368,12)="@hotmail.com",RIGHT(B5368,9)="@live.com"),"Outlook","Domain")))</f>
        <v/>
      </c>
      <c r="F5368">
        <f>IF(B5368="","",IFERROR(RIGHT(B5368,LEN(B5368)-FIND("@",B5368)),""))</f>
        <v/>
      </c>
      <c r="G5368">
        <f>IF(D5368="KEEP",COUNTIF($D$2:D5368,"KEEP"),"")</f>
        <v/>
      </c>
      <c r="H5368">
        <f>IF(D5368="REMOVE",COUNTIF($D$2:D5368,"REMOVE"),"")</f>
        <v/>
      </c>
      <c r="I5368">
        <f>IF(E5368="Gmail",COUNTIF($E$2:E5368,"Gmail"),"")</f>
        <v/>
      </c>
      <c r="J5368">
        <f>IF(E5368="Outlook",COUNTIF($E$2:E5368,"Outlook"),"")</f>
        <v/>
      </c>
      <c r="K5368">
        <f>IF(E5368="Domain",COUNTIF($E$2:E5368,"Domain"),"")</f>
        <v/>
      </c>
    </row>
    <row r="5369">
      <c r="A5369" s="2" t="n"/>
      <c r="B5369">
        <f>LOWER(TRIM(A5369))</f>
        <v/>
      </c>
      <c r="C5369">
        <f>IF(B5369="","",IFERROR(INDEX('Bad Patterns'!$A$2:$A$120,MATCH(1,INDEX(--ISNUMBER(SEARCH('Bad Patterns'!$A$2:$A$120,B5369)),0),0)),""))</f>
        <v/>
      </c>
      <c r="D5369">
        <f>IF(B5369="","",IF(C5369&lt;&gt;"","REMOVE","KEEP"))</f>
        <v/>
      </c>
      <c r="E5369">
        <f>IF(D5369&lt;&gt;"KEEP","",IF(RIGHT(B5369,10)="@gmail.com","Gmail",IF(OR(RIGHT(B5369,12)="@outlook.com",RIGHT(B5369,12)="@hotmail.com",RIGHT(B5369,9)="@live.com"),"Outlook","Domain")))</f>
        <v/>
      </c>
      <c r="F5369">
        <f>IF(B5369="","",IFERROR(RIGHT(B5369,LEN(B5369)-FIND("@",B5369)),""))</f>
        <v/>
      </c>
      <c r="G5369">
        <f>IF(D5369="KEEP",COUNTIF($D$2:D5369,"KEEP"),"")</f>
        <v/>
      </c>
      <c r="H5369">
        <f>IF(D5369="REMOVE",COUNTIF($D$2:D5369,"REMOVE"),"")</f>
        <v/>
      </c>
      <c r="I5369">
        <f>IF(E5369="Gmail",COUNTIF($E$2:E5369,"Gmail"),"")</f>
        <v/>
      </c>
      <c r="J5369">
        <f>IF(E5369="Outlook",COUNTIF($E$2:E5369,"Outlook"),"")</f>
        <v/>
      </c>
      <c r="K5369">
        <f>IF(E5369="Domain",COUNTIF($E$2:E5369,"Domain"),"")</f>
        <v/>
      </c>
    </row>
    <row r="5370">
      <c r="A5370" s="2" t="n"/>
      <c r="B5370">
        <f>LOWER(TRIM(A5370))</f>
        <v/>
      </c>
      <c r="C5370">
        <f>IF(B5370="","",IFERROR(INDEX('Bad Patterns'!$A$2:$A$120,MATCH(1,INDEX(--ISNUMBER(SEARCH('Bad Patterns'!$A$2:$A$120,B5370)),0),0)),""))</f>
        <v/>
      </c>
      <c r="D5370">
        <f>IF(B5370="","",IF(C5370&lt;&gt;"","REMOVE","KEEP"))</f>
        <v/>
      </c>
      <c r="E5370">
        <f>IF(D5370&lt;&gt;"KEEP","",IF(RIGHT(B5370,10)="@gmail.com","Gmail",IF(OR(RIGHT(B5370,12)="@outlook.com",RIGHT(B5370,12)="@hotmail.com",RIGHT(B5370,9)="@live.com"),"Outlook","Domain")))</f>
        <v/>
      </c>
      <c r="F5370">
        <f>IF(B5370="","",IFERROR(RIGHT(B5370,LEN(B5370)-FIND("@",B5370)),""))</f>
        <v/>
      </c>
      <c r="G5370">
        <f>IF(D5370="KEEP",COUNTIF($D$2:D5370,"KEEP"),"")</f>
        <v/>
      </c>
      <c r="H5370">
        <f>IF(D5370="REMOVE",COUNTIF($D$2:D5370,"REMOVE"),"")</f>
        <v/>
      </c>
      <c r="I5370">
        <f>IF(E5370="Gmail",COUNTIF($E$2:E5370,"Gmail"),"")</f>
        <v/>
      </c>
      <c r="J5370">
        <f>IF(E5370="Outlook",COUNTIF($E$2:E5370,"Outlook"),"")</f>
        <v/>
      </c>
      <c r="K5370">
        <f>IF(E5370="Domain",COUNTIF($E$2:E5370,"Domain"),"")</f>
        <v/>
      </c>
    </row>
    <row r="5371">
      <c r="A5371" s="2" t="n"/>
      <c r="B5371">
        <f>LOWER(TRIM(A5371))</f>
        <v/>
      </c>
      <c r="C5371">
        <f>IF(B5371="","",IFERROR(INDEX('Bad Patterns'!$A$2:$A$120,MATCH(1,INDEX(--ISNUMBER(SEARCH('Bad Patterns'!$A$2:$A$120,B5371)),0),0)),""))</f>
        <v/>
      </c>
      <c r="D5371">
        <f>IF(B5371="","",IF(C5371&lt;&gt;"","REMOVE","KEEP"))</f>
        <v/>
      </c>
      <c r="E5371">
        <f>IF(D5371&lt;&gt;"KEEP","",IF(RIGHT(B5371,10)="@gmail.com","Gmail",IF(OR(RIGHT(B5371,12)="@outlook.com",RIGHT(B5371,12)="@hotmail.com",RIGHT(B5371,9)="@live.com"),"Outlook","Domain")))</f>
        <v/>
      </c>
      <c r="F5371">
        <f>IF(B5371="","",IFERROR(RIGHT(B5371,LEN(B5371)-FIND("@",B5371)),""))</f>
        <v/>
      </c>
      <c r="G5371">
        <f>IF(D5371="KEEP",COUNTIF($D$2:D5371,"KEEP"),"")</f>
        <v/>
      </c>
      <c r="H5371">
        <f>IF(D5371="REMOVE",COUNTIF($D$2:D5371,"REMOVE"),"")</f>
        <v/>
      </c>
      <c r="I5371">
        <f>IF(E5371="Gmail",COUNTIF($E$2:E5371,"Gmail"),"")</f>
        <v/>
      </c>
      <c r="J5371">
        <f>IF(E5371="Outlook",COUNTIF($E$2:E5371,"Outlook"),"")</f>
        <v/>
      </c>
      <c r="K5371">
        <f>IF(E5371="Domain",COUNTIF($E$2:E5371,"Domain"),"")</f>
        <v/>
      </c>
    </row>
    <row r="5372">
      <c r="A5372" s="2" t="n"/>
      <c r="B5372">
        <f>LOWER(TRIM(A5372))</f>
        <v/>
      </c>
      <c r="C5372">
        <f>IF(B5372="","",IFERROR(INDEX('Bad Patterns'!$A$2:$A$120,MATCH(1,INDEX(--ISNUMBER(SEARCH('Bad Patterns'!$A$2:$A$120,B5372)),0),0)),""))</f>
        <v/>
      </c>
      <c r="D5372">
        <f>IF(B5372="","",IF(C5372&lt;&gt;"","REMOVE","KEEP"))</f>
        <v/>
      </c>
      <c r="E5372">
        <f>IF(D5372&lt;&gt;"KEEP","",IF(RIGHT(B5372,10)="@gmail.com","Gmail",IF(OR(RIGHT(B5372,12)="@outlook.com",RIGHT(B5372,12)="@hotmail.com",RIGHT(B5372,9)="@live.com"),"Outlook","Domain")))</f>
        <v/>
      </c>
      <c r="F5372">
        <f>IF(B5372="","",IFERROR(RIGHT(B5372,LEN(B5372)-FIND("@",B5372)),""))</f>
        <v/>
      </c>
      <c r="G5372">
        <f>IF(D5372="KEEP",COUNTIF($D$2:D5372,"KEEP"),"")</f>
        <v/>
      </c>
      <c r="H5372">
        <f>IF(D5372="REMOVE",COUNTIF($D$2:D5372,"REMOVE"),"")</f>
        <v/>
      </c>
      <c r="I5372">
        <f>IF(E5372="Gmail",COUNTIF($E$2:E5372,"Gmail"),"")</f>
        <v/>
      </c>
      <c r="J5372">
        <f>IF(E5372="Outlook",COUNTIF($E$2:E5372,"Outlook"),"")</f>
        <v/>
      </c>
      <c r="K5372">
        <f>IF(E5372="Domain",COUNTIF($E$2:E5372,"Domain"),"")</f>
        <v/>
      </c>
    </row>
    <row r="5373">
      <c r="A5373" s="2" t="n"/>
      <c r="B5373">
        <f>LOWER(TRIM(A5373))</f>
        <v/>
      </c>
      <c r="C5373">
        <f>IF(B5373="","",IFERROR(INDEX('Bad Patterns'!$A$2:$A$120,MATCH(1,INDEX(--ISNUMBER(SEARCH('Bad Patterns'!$A$2:$A$120,B5373)),0),0)),""))</f>
        <v/>
      </c>
      <c r="D5373">
        <f>IF(B5373="","",IF(C5373&lt;&gt;"","REMOVE","KEEP"))</f>
        <v/>
      </c>
      <c r="E5373">
        <f>IF(D5373&lt;&gt;"KEEP","",IF(RIGHT(B5373,10)="@gmail.com","Gmail",IF(OR(RIGHT(B5373,12)="@outlook.com",RIGHT(B5373,12)="@hotmail.com",RIGHT(B5373,9)="@live.com"),"Outlook","Domain")))</f>
        <v/>
      </c>
      <c r="F5373">
        <f>IF(B5373="","",IFERROR(RIGHT(B5373,LEN(B5373)-FIND("@",B5373)),""))</f>
        <v/>
      </c>
      <c r="G5373">
        <f>IF(D5373="KEEP",COUNTIF($D$2:D5373,"KEEP"),"")</f>
        <v/>
      </c>
      <c r="H5373">
        <f>IF(D5373="REMOVE",COUNTIF($D$2:D5373,"REMOVE"),"")</f>
        <v/>
      </c>
      <c r="I5373">
        <f>IF(E5373="Gmail",COUNTIF($E$2:E5373,"Gmail"),"")</f>
        <v/>
      </c>
      <c r="J5373">
        <f>IF(E5373="Outlook",COUNTIF($E$2:E5373,"Outlook"),"")</f>
        <v/>
      </c>
      <c r="K5373">
        <f>IF(E5373="Domain",COUNTIF($E$2:E5373,"Domain"),"")</f>
        <v/>
      </c>
    </row>
    <row r="5374">
      <c r="A5374" s="2" t="n"/>
      <c r="B5374">
        <f>LOWER(TRIM(A5374))</f>
        <v/>
      </c>
      <c r="C5374">
        <f>IF(B5374="","",IFERROR(INDEX('Bad Patterns'!$A$2:$A$120,MATCH(1,INDEX(--ISNUMBER(SEARCH('Bad Patterns'!$A$2:$A$120,B5374)),0),0)),""))</f>
        <v/>
      </c>
      <c r="D5374">
        <f>IF(B5374="","",IF(C5374&lt;&gt;"","REMOVE","KEEP"))</f>
        <v/>
      </c>
      <c r="E5374">
        <f>IF(D5374&lt;&gt;"KEEP","",IF(RIGHT(B5374,10)="@gmail.com","Gmail",IF(OR(RIGHT(B5374,12)="@outlook.com",RIGHT(B5374,12)="@hotmail.com",RIGHT(B5374,9)="@live.com"),"Outlook","Domain")))</f>
        <v/>
      </c>
      <c r="F5374">
        <f>IF(B5374="","",IFERROR(RIGHT(B5374,LEN(B5374)-FIND("@",B5374)),""))</f>
        <v/>
      </c>
      <c r="G5374">
        <f>IF(D5374="KEEP",COUNTIF($D$2:D5374,"KEEP"),"")</f>
        <v/>
      </c>
      <c r="H5374">
        <f>IF(D5374="REMOVE",COUNTIF($D$2:D5374,"REMOVE"),"")</f>
        <v/>
      </c>
      <c r="I5374">
        <f>IF(E5374="Gmail",COUNTIF($E$2:E5374,"Gmail"),"")</f>
        <v/>
      </c>
      <c r="J5374">
        <f>IF(E5374="Outlook",COUNTIF($E$2:E5374,"Outlook"),"")</f>
        <v/>
      </c>
      <c r="K5374">
        <f>IF(E5374="Domain",COUNTIF($E$2:E5374,"Domain"),"")</f>
        <v/>
      </c>
    </row>
    <row r="5375">
      <c r="A5375" s="2" t="n"/>
      <c r="B5375">
        <f>LOWER(TRIM(A5375))</f>
        <v/>
      </c>
      <c r="C5375">
        <f>IF(B5375="","",IFERROR(INDEX('Bad Patterns'!$A$2:$A$120,MATCH(1,INDEX(--ISNUMBER(SEARCH('Bad Patterns'!$A$2:$A$120,B5375)),0),0)),""))</f>
        <v/>
      </c>
      <c r="D5375">
        <f>IF(B5375="","",IF(C5375&lt;&gt;"","REMOVE","KEEP"))</f>
        <v/>
      </c>
      <c r="E5375">
        <f>IF(D5375&lt;&gt;"KEEP","",IF(RIGHT(B5375,10)="@gmail.com","Gmail",IF(OR(RIGHT(B5375,12)="@outlook.com",RIGHT(B5375,12)="@hotmail.com",RIGHT(B5375,9)="@live.com"),"Outlook","Domain")))</f>
        <v/>
      </c>
      <c r="F5375">
        <f>IF(B5375="","",IFERROR(RIGHT(B5375,LEN(B5375)-FIND("@",B5375)),""))</f>
        <v/>
      </c>
      <c r="G5375">
        <f>IF(D5375="KEEP",COUNTIF($D$2:D5375,"KEEP"),"")</f>
        <v/>
      </c>
      <c r="H5375">
        <f>IF(D5375="REMOVE",COUNTIF($D$2:D5375,"REMOVE"),"")</f>
        <v/>
      </c>
      <c r="I5375">
        <f>IF(E5375="Gmail",COUNTIF($E$2:E5375,"Gmail"),"")</f>
        <v/>
      </c>
      <c r="J5375">
        <f>IF(E5375="Outlook",COUNTIF($E$2:E5375,"Outlook"),"")</f>
        <v/>
      </c>
      <c r="K5375">
        <f>IF(E5375="Domain",COUNTIF($E$2:E5375,"Domain"),"")</f>
        <v/>
      </c>
    </row>
    <row r="5376">
      <c r="A5376" s="2" t="n"/>
      <c r="B5376">
        <f>LOWER(TRIM(A5376))</f>
        <v/>
      </c>
      <c r="C5376">
        <f>IF(B5376="","",IFERROR(INDEX('Bad Patterns'!$A$2:$A$120,MATCH(1,INDEX(--ISNUMBER(SEARCH('Bad Patterns'!$A$2:$A$120,B5376)),0),0)),""))</f>
        <v/>
      </c>
      <c r="D5376">
        <f>IF(B5376="","",IF(C5376&lt;&gt;"","REMOVE","KEEP"))</f>
        <v/>
      </c>
      <c r="E5376">
        <f>IF(D5376&lt;&gt;"KEEP","",IF(RIGHT(B5376,10)="@gmail.com","Gmail",IF(OR(RIGHT(B5376,12)="@outlook.com",RIGHT(B5376,12)="@hotmail.com",RIGHT(B5376,9)="@live.com"),"Outlook","Domain")))</f>
        <v/>
      </c>
      <c r="F5376">
        <f>IF(B5376="","",IFERROR(RIGHT(B5376,LEN(B5376)-FIND("@",B5376)),""))</f>
        <v/>
      </c>
      <c r="G5376">
        <f>IF(D5376="KEEP",COUNTIF($D$2:D5376,"KEEP"),"")</f>
        <v/>
      </c>
      <c r="H5376">
        <f>IF(D5376="REMOVE",COUNTIF($D$2:D5376,"REMOVE"),"")</f>
        <v/>
      </c>
      <c r="I5376">
        <f>IF(E5376="Gmail",COUNTIF($E$2:E5376,"Gmail"),"")</f>
        <v/>
      </c>
      <c r="J5376">
        <f>IF(E5376="Outlook",COUNTIF($E$2:E5376,"Outlook"),"")</f>
        <v/>
      </c>
      <c r="K5376">
        <f>IF(E5376="Domain",COUNTIF($E$2:E5376,"Domain"),"")</f>
        <v/>
      </c>
    </row>
    <row r="5377">
      <c r="A5377" s="2" t="n"/>
      <c r="B5377">
        <f>LOWER(TRIM(A5377))</f>
        <v/>
      </c>
      <c r="C5377">
        <f>IF(B5377="","",IFERROR(INDEX('Bad Patterns'!$A$2:$A$120,MATCH(1,INDEX(--ISNUMBER(SEARCH('Bad Patterns'!$A$2:$A$120,B5377)),0),0)),""))</f>
        <v/>
      </c>
      <c r="D5377">
        <f>IF(B5377="","",IF(C5377&lt;&gt;"","REMOVE","KEEP"))</f>
        <v/>
      </c>
      <c r="E5377">
        <f>IF(D5377&lt;&gt;"KEEP","",IF(RIGHT(B5377,10)="@gmail.com","Gmail",IF(OR(RIGHT(B5377,12)="@outlook.com",RIGHT(B5377,12)="@hotmail.com",RIGHT(B5377,9)="@live.com"),"Outlook","Domain")))</f>
        <v/>
      </c>
      <c r="F5377">
        <f>IF(B5377="","",IFERROR(RIGHT(B5377,LEN(B5377)-FIND("@",B5377)),""))</f>
        <v/>
      </c>
      <c r="G5377">
        <f>IF(D5377="KEEP",COUNTIF($D$2:D5377,"KEEP"),"")</f>
        <v/>
      </c>
      <c r="H5377">
        <f>IF(D5377="REMOVE",COUNTIF($D$2:D5377,"REMOVE"),"")</f>
        <v/>
      </c>
      <c r="I5377">
        <f>IF(E5377="Gmail",COUNTIF($E$2:E5377,"Gmail"),"")</f>
        <v/>
      </c>
      <c r="J5377">
        <f>IF(E5377="Outlook",COUNTIF($E$2:E5377,"Outlook"),"")</f>
        <v/>
      </c>
      <c r="K5377">
        <f>IF(E5377="Domain",COUNTIF($E$2:E5377,"Domain"),"")</f>
        <v/>
      </c>
    </row>
    <row r="5378">
      <c r="A5378" s="2" t="n"/>
      <c r="B5378">
        <f>LOWER(TRIM(A5378))</f>
        <v/>
      </c>
      <c r="C5378">
        <f>IF(B5378="","",IFERROR(INDEX('Bad Patterns'!$A$2:$A$120,MATCH(1,INDEX(--ISNUMBER(SEARCH('Bad Patterns'!$A$2:$A$120,B5378)),0),0)),""))</f>
        <v/>
      </c>
      <c r="D5378">
        <f>IF(B5378="","",IF(C5378&lt;&gt;"","REMOVE","KEEP"))</f>
        <v/>
      </c>
      <c r="E5378">
        <f>IF(D5378&lt;&gt;"KEEP","",IF(RIGHT(B5378,10)="@gmail.com","Gmail",IF(OR(RIGHT(B5378,12)="@outlook.com",RIGHT(B5378,12)="@hotmail.com",RIGHT(B5378,9)="@live.com"),"Outlook","Domain")))</f>
        <v/>
      </c>
      <c r="F5378">
        <f>IF(B5378="","",IFERROR(RIGHT(B5378,LEN(B5378)-FIND("@",B5378)),""))</f>
        <v/>
      </c>
      <c r="G5378">
        <f>IF(D5378="KEEP",COUNTIF($D$2:D5378,"KEEP"),"")</f>
        <v/>
      </c>
      <c r="H5378">
        <f>IF(D5378="REMOVE",COUNTIF($D$2:D5378,"REMOVE"),"")</f>
        <v/>
      </c>
      <c r="I5378">
        <f>IF(E5378="Gmail",COUNTIF($E$2:E5378,"Gmail"),"")</f>
        <v/>
      </c>
      <c r="J5378">
        <f>IF(E5378="Outlook",COUNTIF($E$2:E5378,"Outlook"),"")</f>
        <v/>
      </c>
      <c r="K5378">
        <f>IF(E5378="Domain",COUNTIF($E$2:E5378,"Domain"),"")</f>
        <v/>
      </c>
    </row>
    <row r="5379">
      <c r="A5379" s="2" t="n"/>
      <c r="B5379">
        <f>LOWER(TRIM(A5379))</f>
        <v/>
      </c>
      <c r="C5379">
        <f>IF(B5379="","",IFERROR(INDEX('Bad Patterns'!$A$2:$A$120,MATCH(1,INDEX(--ISNUMBER(SEARCH('Bad Patterns'!$A$2:$A$120,B5379)),0),0)),""))</f>
        <v/>
      </c>
      <c r="D5379">
        <f>IF(B5379="","",IF(C5379&lt;&gt;"","REMOVE","KEEP"))</f>
        <v/>
      </c>
      <c r="E5379">
        <f>IF(D5379&lt;&gt;"KEEP","",IF(RIGHT(B5379,10)="@gmail.com","Gmail",IF(OR(RIGHT(B5379,12)="@outlook.com",RIGHT(B5379,12)="@hotmail.com",RIGHT(B5379,9)="@live.com"),"Outlook","Domain")))</f>
        <v/>
      </c>
      <c r="F5379">
        <f>IF(B5379="","",IFERROR(RIGHT(B5379,LEN(B5379)-FIND("@",B5379)),""))</f>
        <v/>
      </c>
      <c r="G5379">
        <f>IF(D5379="KEEP",COUNTIF($D$2:D5379,"KEEP"),"")</f>
        <v/>
      </c>
      <c r="H5379">
        <f>IF(D5379="REMOVE",COUNTIF($D$2:D5379,"REMOVE"),"")</f>
        <v/>
      </c>
      <c r="I5379">
        <f>IF(E5379="Gmail",COUNTIF($E$2:E5379,"Gmail"),"")</f>
        <v/>
      </c>
      <c r="J5379">
        <f>IF(E5379="Outlook",COUNTIF($E$2:E5379,"Outlook"),"")</f>
        <v/>
      </c>
      <c r="K5379">
        <f>IF(E5379="Domain",COUNTIF($E$2:E5379,"Domain"),"")</f>
        <v/>
      </c>
    </row>
    <row r="5380">
      <c r="A5380" s="2" t="n"/>
      <c r="B5380">
        <f>LOWER(TRIM(A5380))</f>
        <v/>
      </c>
      <c r="C5380">
        <f>IF(B5380="","",IFERROR(INDEX('Bad Patterns'!$A$2:$A$120,MATCH(1,INDEX(--ISNUMBER(SEARCH('Bad Patterns'!$A$2:$A$120,B5380)),0),0)),""))</f>
        <v/>
      </c>
      <c r="D5380">
        <f>IF(B5380="","",IF(C5380&lt;&gt;"","REMOVE","KEEP"))</f>
        <v/>
      </c>
      <c r="E5380">
        <f>IF(D5380&lt;&gt;"KEEP","",IF(RIGHT(B5380,10)="@gmail.com","Gmail",IF(OR(RIGHT(B5380,12)="@outlook.com",RIGHT(B5380,12)="@hotmail.com",RIGHT(B5380,9)="@live.com"),"Outlook","Domain")))</f>
        <v/>
      </c>
      <c r="F5380">
        <f>IF(B5380="","",IFERROR(RIGHT(B5380,LEN(B5380)-FIND("@",B5380)),""))</f>
        <v/>
      </c>
      <c r="G5380">
        <f>IF(D5380="KEEP",COUNTIF($D$2:D5380,"KEEP"),"")</f>
        <v/>
      </c>
      <c r="H5380">
        <f>IF(D5380="REMOVE",COUNTIF($D$2:D5380,"REMOVE"),"")</f>
        <v/>
      </c>
      <c r="I5380">
        <f>IF(E5380="Gmail",COUNTIF($E$2:E5380,"Gmail"),"")</f>
        <v/>
      </c>
      <c r="J5380">
        <f>IF(E5380="Outlook",COUNTIF($E$2:E5380,"Outlook"),"")</f>
        <v/>
      </c>
      <c r="K5380">
        <f>IF(E5380="Domain",COUNTIF($E$2:E5380,"Domain"),"")</f>
        <v/>
      </c>
    </row>
    <row r="5381">
      <c r="A5381" s="2" t="n"/>
      <c r="B5381">
        <f>LOWER(TRIM(A5381))</f>
        <v/>
      </c>
      <c r="C5381">
        <f>IF(B5381="","",IFERROR(INDEX('Bad Patterns'!$A$2:$A$120,MATCH(1,INDEX(--ISNUMBER(SEARCH('Bad Patterns'!$A$2:$A$120,B5381)),0),0)),""))</f>
        <v/>
      </c>
      <c r="D5381">
        <f>IF(B5381="","",IF(C5381&lt;&gt;"","REMOVE","KEEP"))</f>
        <v/>
      </c>
      <c r="E5381">
        <f>IF(D5381&lt;&gt;"KEEP","",IF(RIGHT(B5381,10)="@gmail.com","Gmail",IF(OR(RIGHT(B5381,12)="@outlook.com",RIGHT(B5381,12)="@hotmail.com",RIGHT(B5381,9)="@live.com"),"Outlook","Domain")))</f>
        <v/>
      </c>
      <c r="F5381">
        <f>IF(B5381="","",IFERROR(RIGHT(B5381,LEN(B5381)-FIND("@",B5381)),""))</f>
        <v/>
      </c>
      <c r="G5381">
        <f>IF(D5381="KEEP",COUNTIF($D$2:D5381,"KEEP"),"")</f>
        <v/>
      </c>
      <c r="H5381">
        <f>IF(D5381="REMOVE",COUNTIF($D$2:D5381,"REMOVE"),"")</f>
        <v/>
      </c>
      <c r="I5381">
        <f>IF(E5381="Gmail",COUNTIF($E$2:E5381,"Gmail"),"")</f>
        <v/>
      </c>
      <c r="J5381">
        <f>IF(E5381="Outlook",COUNTIF($E$2:E5381,"Outlook"),"")</f>
        <v/>
      </c>
      <c r="K5381">
        <f>IF(E5381="Domain",COUNTIF($E$2:E5381,"Domain"),"")</f>
        <v/>
      </c>
    </row>
    <row r="5382">
      <c r="A5382" s="2" t="n"/>
      <c r="B5382">
        <f>LOWER(TRIM(A5382))</f>
        <v/>
      </c>
      <c r="C5382">
        <f>IF(B5382="","",IFERROR(INDEX('Bad Patterns'!$A$2:$A$120,MATCH(1,INDEX(--ISNUMBER(SEARCH('Bad Patterns'!$A$2:$A$120,B5382)),0),0)),""))</f>
        <v/>
      </c>
      <c r="D5382">
        <f>IF(B5382="","",IF(C5382&lt;&gt;"","REMOVE","KEEP"))</f>
        <v/>
      </c>
      <c r="E5382">
        <f>IF(D5382&lt;&gt;"KEEP","",IF(RIGHT(B5382,10)="@gmail.com","Gmail",IF(OR(RIGHT(B5382,12)="@outlook.com",RIGHT(B5382,12)="@hotmail.com",RIGHT(B5382,9)="@live.com"),"Outlook","Domain")))</f>
        <v/>
      </c>
      <c r="F5382">
        <f>IF(B5382="","",IFERROR(RIGHT(B5382,LEN(B5382)-FIND("@",B5382)),""))</f>
        <v/>
      </c>
      <c r="G5382">
        <f>IF(D5382="KEEP",COUNTIF($D$2:D5382,"KEEP"),"")</f>
        <v/>
      </c>
      <c r="H5382">
        <f>IF(D5382="REMOVE",COUNTIF($D$2:D5382,"REMOVE"),"")</f>
        <v/>
      </c>
      <c r="I5382">
        <f>IF(E5382="Gmail",COUNTIF($E$2:E5382,"Gmail"),"")</f>
        <v/>
      </c>
      <c r="J5382">
        <f>IF(E5382="Outlook",COUNTIF($E$2:E5382,"Outlook"),"")</f>
        <v/>
      </c>
      <c r="K5382">
        <f>IF(E5382="Domain",COUNTIF($E$2:E5382,"Domain"),"")</f>
        <v/>
      </c>
    </row>
    <row r="5383">
      <c r="A5383" s="2" t="n"/>
      <c r="B5383">
        <f>LOWER(TRIM(A5383))</f>
        <v/>
      </c>
      <c r="C5383">
        <f>IF(B5383="","",IFERROR(INDEX('Bad Patterns'!$A$2:$A$120,MATCH(1,INDEX(--ISNUMBER(SEARCH('Bad Patterns'!$A$2:$A$120,B5383)),0),0)),""))</f>
        <v/>
      </c>
      <c r="D5383">
        <f>IF(B5383="","",IF(C5383&lt;&gt;"","REMOVE","KEEP"))</f>
        <v/>
      </c>
      <c r="E5383">
        <f>IF(D5383&lt;&gt;"KEEP","",IF(RIGHT(B5383,10)="@gmail.com","Gmail",IF(OR(RIGHT(B5383,12)="@outlook.com",RIGHT(B5383,12)="@hotmail.com",RIGHT(B5383,9)="@live.com"),"Outlook","Domain")))</f>
        <v/>
      </c>
      <c r="F5383">
        <f>IF(B5383="","",IFERROR(RIGHT(B5383,LEN(B5383)-FIND("@",B5383)),""))</f>
        <v/>
      </c>
      <c r="G5383">
        <f>IF(D5383="KEEP",COUNTIF($D$2:D5383,"KEEP"),"")</f>
        <v/>
      </c>
      <c r="H5383">
        <f>IF(D5383="REMOVE",COUNTIF($D$2:D5383,"REMOVE"),"")</f>
        <v/>
      </c>
      <c r="I5383">
        <f>IF(E5383="Gmail",COUNTIF($E$2:E5383,"Gmail"),"")</f>
        <v/>
      </c>
      <c r="J5383">
        <f>IF(E5383="Outlook",COUNTIF($E$2:E5383,"Outlook"),"")</f>
        <v/>
      </c>
      <c r="K5383">
        <f>IF(E5383="Domain",COUNTIF($E$2:E5383,"Domain"),"")</f>
        <v/>
      </c>
    </row>
    <row r="5384">
      <c r="A5384" s="2" t="n"/>
      <c r="B5384">
        <f>LOWER(TRIM(A5384))</f>
        <v/>
      </c>
      <c r="C5384">
        <f>IF(B5384="","",IFERROR(INDEX('Bad Patterns'!$A$2:$A$120,MATCH(1,INDEX(--ISNUMBER(SEARCH('Bad Patterns'!$A$2:$A$120,B5384)),0),0)),""))</f>
        <v/>
      </c>
      <c r="D5384">
        <f>IF(B5384="","",IF(C5384&lt;&gt;"","REMOVE","KEEP"))</f>
        <v/>
      </c>
      <c r="E5384">
        <f>IF(D5384&lt;&gt;"KEEP","",IF(RIGHT(B5384,10)="@gmail.com","Gmail",IF(OR(RIGHT(B5384,12)="@outlook.com",RIGHT(B5384,12)="@hotmail.com",RIGHT(B5384,9)="@live.com"),"Outlook","Domain")))</f>
        <v/>
      </c>
      <c r="F5384">
        <f>IF(B5384="","",IFERROR(RIGHT(B5384,LEN(B5384)-FIND("@",B5384)),""))</f>
        <v/>
      </c>
      <c r="G5384">
        <f>IF(D5384="KEEP",COUNTIF($D$2:D5384,"KEEP"),"")</f>
        <v/>
      </c>
      <c r="H5384">
        <f>IF(D5384="REMOVE",COUNTIF($D$2:D5384,"REMOVE"),"")</f>
        <v/>
      </c>
      <c r="I5384">
        <f>IF(E5384="Gmail",COUNTIF($E$2:E5384,"Gmail"),"")</f>
        <v/>
      </c>
      <c r="J5384">
        <f>IF(E5384="Outlook",COUNTIF($E$2:E5384,"Outlook"),"")</f>
        <v/>
      </c>
      <c r="K5384">
        <f>IF(E5384="Domain",COUNTIF($E$2:E5384,"Domain"),"")</f>
        <v/>
      </c>
    </row>
    <row r="5385">
      <c r="A5385" s="2" t="n"/>
      <c r="B5385">
        <f>LOWER(TRIM(A5385))</f>
        <v/>
      </c>
      <c r="C5385">
        <f>IF(B5385="","",IFERROR(INDEX('Bad Patterns'!$A$2:$A$120,MATCH(1,INDEX(--ISNUMBER(SEARCH('Bad Patterns'!$A$2:$A$120,B5385)),0),0)),""))</f>
        <v/>
      </c>
      <c r="D5385">
        <f>IF(B5385="","",IF(C5385&lt;&gt;"","REMOVE","KEEP"))</f>
        <v/>
      </c>
      <c r="E5385">
        <f>IF(D5385&lt;&gt;"KEEP","",IF(RIGHT(B5385,10)="@gmail.com","Gmail",IF(OR(RIGHT(B5385,12)="@outlook.com",RIGHT(B5385,12)="@hotmail.com",RIGHT(B5385,9)="@live.com"),"Outlook","Domain")))</f>
        <v/>
      </c>
      <c r="F5385">
        <f>IF(B5385="","",IFERROR(RIGHT(B5385,LEN(B5385)-FIND("@",B5385)),""))</f>
        <v/>
      </c>
      <c r="G5385">
        <f>IF(D5385="KEEP",COUNTIF($D$2:D5385,"KEEP"),"")</f>
        <v/>
      </c>
      <c r="H5385">
        <f>IF(D5385="REMOVE",COUNTIF($D$2:D5385,"REMOVE"),"")</f>
        <v/>
      </c>
      <c r="I5385">
        <f>IF(E5385="Gmail",COUNTIF($E$2:E5385,"Gmail"),"")</f>
        <v/>
      </c>
      <c r="J5385">
        <f>IF(E5385="Outlook",COUNTIF($E$2:E5385,"Outlook"),"")</f>
        <v/>
      </c>
      <c r="K5385">
        <f>IF(E5385="Domain",COUNTIF($E$2:E5385,"Domain"),"")</f>
        <v/>
      </c>
    </row>
    <row r="5386">
      <c r="A5386" s="2" t="n"/>
      <c r="B5386">
        <f>LOWER(TRIM(A5386))</f>
        <v/>
      </c>
      <c r="C5386">
        <f>IF(B5386="","",IFERROR(INDEX('Bad Patterns'!$A$2:$A$120,MATCH(1,INDEX(--ISNUMBER(SEARCH('Bad Patterns'!$A$2:$A$120,B5386)),0),0)),""))</f>
        <v/>
      </c>
      <c r="D5386">
        <f>IF(B5386="","",IF(C5386&lt;&gt;"","REMOVE","KEEP"))</f>
        <v/>
      </c>
      <c r="E5386">
        <f>IF(D5386&lt;&gt;"KEEP","",IF(RIGHT(B5386,10)="@gmail.com","Gmail",IF(OR(RIGHT(B5386,12)="@outlook.com",RIGHT(B5386,12)="@hotmail.com",RIGHT(B5386,9)="@live.com"),"Outlook","Domain")))</f>
        <v/>
      </c>
      <c r="F5386">
        <f>IF(B5386="","",IFERROR(RIGHT(B5386,LEN(B5386)-FIND("@",B5386)),""))</f>
        <v/>
      </c>
      <c r="G5386">
        <f>IF(D5386="KEEP",COUNTIF($D$2:D5386,"KEEP"),"")</f>
        <v/>
      </c>
      <c r="H5386">
        <f>IF(D5386="REMOVE",COUNTIF($D$2:D5386,"REMOVE"),"")</f>
        <v/>
      </c>
      <c r="I5386">
        <f>IF(E5386="Gmail",COUNTIF($E$2:E5386,"Gmail"),"")</f>
        <v/>
      </c>
      <c r="J5386">
        <f>IF(E5386="Outlook",COUNTIF($E$2:E5386,"Outlook"),"")</f>
        <v/>
      </c>
      <c r="K5386">
        <f>IF(E5386="Domain",COUNTIF($E$2:E5386,"Domain"),"")</f>
        <v/>
      </c>
    </row>
    <row r="5387">
      <c r="A5387" s="2" t="n"/>
      <c r="B5387">
        <f>LOWER(TRIM(A5387))</f>
        <v/>
      </c>
      <c r="C5387">
        <f>IF(B5387="","",IFERROR(INDEX('Bad Patterns'!$A$2:$A$120,MATCH(1,INDEX(--ISNUMBER(SEARCH('Bad Patterns'!$A$2:$A$120,B5387)),0),0)),""))</f>
        <v/>
      </c>
      <c r="D5387">
        <f>IF(B5387="","",IF(C5387&lt;&gt;"","REMOVE","KEEP"))</f>
        <v/>
      </c>
      <c r="E5387">
        <f>IF(D5387&lt;&gt;"KEEP","",IF(RIGHT(B5387,10)="@gmail.com","Gmail",IF(OR(RIGHT(B5387,12)="@outlook.com",RIGHT(B5387,12)="@hotmail.com",RIGHT(B5387,9)="@live.com"),"Outlook","Domain")))</f>
        <v/>
      </c>
      <c r="F5387">
        <f>IF(B5387="","",IFERROR(RIGHT(B5387,LEN(B5387)-FIND("@",B5387)),""))</f>
        <v/>
      </c>
      <c r="G5387">
        <f>IF(D5387="KEEP",COUNTIF($D$2:D5387,"KEEP"),"")</f>
        <v/>
      </c>
      <c r="H5387">
        <f>IF(D5387="REMOVE",COUNTIF($D$2:D5387,"REMOVE"),"")</f>
        <v/>
      </c>
      <c r="I5387">
        <f>IF(E5387="Gmail",COUNTIF($E$2:E5387,"Gmail"),"")</f>
        <v/>
      </c>
      <c r="J5387">
        <f>IF(E5387="Outlook",COUNTIF($E$2:E5387,"Outlook"),"")</f>
        <v/>
      </c>
      <c r="K5387">
        <f>IF(E5387="Domain",COUNTIF($E$2:E5387,"Domain"),"")</f>
        <v/>
      </c>
    </row>
    <row r="5388">
      <c r="A5388" s="2" t="n"/>
      <c r="B5388">
        <f>LOWER(TRIM(A5388))</f>
        <v/>
      </c>
      <c r="C5388">
        <f>IF(B5388="","",IFERROR(INDEX('Bad Patterns'!$A$2:$A$120,MATCH(1,INDEX(--ISNUMBER(SEARCH('Bad Patterns'!$A$2:$A$120,B5388)),0),0)),""))</f>
        <v/>
      </c>
      <c r="D5388">
        <f>IF(B5388="","",IF(C5388&lt;&gt;"","REMOVE","KEEP"))</f>
        <v/>
      </c>
      <c r="E5388">
        <f>IF(D5388&lt;&gt;"KEEP","",IF(RIGHT(B5388,10)="@gmail.com","Gmail",IF(OR(RIGHT(B5388,12)="@outlook.com",RIGHT(B5388,12)="@hotmail.com",RIGHT(B5388,9)="@live.com"),"Outlook","Domain")))</f>
        <v/>
      </c>
      <c r="F5388">
        <f>IF(B5388="","",IFERROR(RIGHT(B5388,LEN(B5388)-FIND("@",B5388)),""))</f>
        <v/>
      </c>
      <c r="G5388">
        <f>IF(D5388="KEEP",COUNTIF($D$2:D5388,"KEEP"),"")</f>
        <v/>
      </c>
      <c r="H5388">
        <f>IF(D5388="REMOVE",COUNTIF($D$2:D5388,"REMOVE"),"")</f>
        <v/>
      </c>
      <c r="I5388">
        <f>IF(E5388="Gmail",COUNTIF($E$2:E5388,"Gmail"),"")</f>
        <v/>
      </c>
      <c r="J5388">
        <f>IF(E5388="Outlook",COUNTIF($E$2:E5388,"Outlook"),"")</f>
        <v/>
      </c>
      <c r="K5388">
        <f>IF(E5388="Domain",COUNTIF($E$2:E5388,"Domain"),"")</f>
        <v/>
      </c>
    </row>
    <row r="5389">
      <c r="A5389" s="2" t="n"/>
      <c r="B5389">
        <f>LOWER(TRIM(A5389))</f>
        <v/>
      </c>
      <c r="C5389">
        <f>IF(B5389="","",IFERROR(INDEX('Bad Patterns'!$A$2:$A$120,MATCH(1,INDEX(--ISNUMBER(SEARCH('Bad Patterns'!$A$2:$A$120,B5389)),0),0)),""))</f>
        <v/>
      </c>
      <c r="D5389">
        <f>IF(B5389="","",IF(C5389&lt;&gt;"","REMOVE","KEEP"))</f>
        <v/>
      </c>
      <c r="E5389">
        <f>IF(D5389&lt;&gt;"KEEP","",IF(RIGHT(B5389,10)="@gmail.com","Gmail",IF(OR(RIGHT(B5389,12)="@outlook.com",RIGHT(B5389,12)="@hotmail.com",RIGHT(B5389,9)="@live.com"),"Outlook","Domain")))</f>
        <v/>
      </c>
      <c r="F5389">
        <f>IF(B5389="","",IFERROR(RIGHT(B5389,LEN(B5389)-FIND("@",B5389)),""))</f>
        <v/>
      </c>
      <c r="G5389">
        <f>IF(D5389="KEEP",COUNTIF($D$2:D5389,"KEEP"),"")</f>
        <v/>
      </c>
      <c r="H5389">
        <f>IF(D5389="REMOVE",COUNTIF($D$2:D5389,"REMOVE"),"")</f>
        <v/>
      </c>
      <c r="I5389">
        <f>IF(E5389="Gmail",COUNTIF($E$2:E5389,"Gmail"),"")</f>
        <v/>
      </c>
      <c r="J5389">
        <f>IF(E5389="Outlook",COUNTIF($E$2:E5389,"Outlook"),"")</f>
        <v/>
      </c>
      <c r="K5389">
        <f>IF(E5389="Domain",COUNTIF($E$2:E5389,"Domain"),"")</f>
        <v/>
      </c>
    </row>
    <row r="5390">
      <c r="A5390" s="2" t="n"/>
      <c r="B5390">
        <f>LOWER(TRIM(A5390))</f>
        <v/>
      </c>
      <c r="C5390">
        <f>IF(B5390="","",IFERROR(INDEX('Bad Patterns'!$A$2:$A$120,MATCH(1,INDEX(--ISNUMBER(SEARCH('Bad Patterns'!$A$2:$A$120,B5390)),0),0)),""))</f>
        <v/>
      </c>
      <c r="D5390">
        <f>IF(B5390="","",IF(C5390&lt;&gt;"","REMOVE","KEEP"))</f>
        <v/>
      </c>
      <c r="E5390">
        <f>IF(D5390&lt;&gt;"KEEP","",IF(RIGHT(B5390,10)="@gmail.com","Gmail",IF(OR(RIGHT(B5390,12)="@outlook.com",RIGHT(B5390,12)="@hotmail.com",RIGHT(B5390,9)="@live.com"),"Outlook","Domain")))</f>
        <v/>
      </c>
      <c r="F5390">
        <f>IF(B5390="","",IFERROR(RIGHT(B5390,LEN(B5390)-FIND("@",B5390)),""))</f>
        <v/>
      </c>
      <c r="G5390">
        <f>IF(D5390="KEEP",COUNTIF($D$2:D5390,"KEEP"),"")</f>
        <v/>
      </c>
      <c r="H5390">
        <f>IF(D5390="REMOVE",COUNTIF($D$2:D5390,"REMOVE"),"")</f>
        <v/>
      </c>
      <c r="I5390">
        <f>IF(E5390="Gmail",COUNTIF($E$2:E5390,"Gmail"),"")</f>
        <v/>
      </c>
      <c r="J5390">
        <f>IF(E5390="Outlook",COUNTIF($E$2:E5390,"Outlook"),"")</f>
        <v/>
      </c>
      <c r="K5390">
        <f>IF(E5390="Domain",COUNTIF($E$2:E5390,"Domain"),"")</f>
        <v/>
      </c>
    </row>
    <row r="5391">
      <c r="A5391" s="2" t="n"/>
      <c r="B5391">
        <f>LOWER(TRIM(A5391))</f>
        <v/>
      </c>
      <c r="C5391">
        <f>IF(B5391="","",IFERROR(INDEX('Bad Patterns'!$A$2:$A$120,MATCH(1,INDEX(--ISNUMBER(SEARCH('Bad Patterns'!$A$2:$A$120,B5391)),0),0)),""))</f>
        <v/>
      </c>
      <c r="D5391">
        <f>IF(B5391="","",IF(C5391&lt;&gt;"","REMOVE","KEEP"))</f>
        <v/>
      </c>
      <c r="E5391">
        <f>IF(D5391&lt;&gt;"KEEP","",IF(RIGHT(B5391,10)="@gmail.com","Gmail",IF(OR(RIGHT(B5391,12)="@outlook.com",RIGHT(B5391,12)="@hotmail.com",RIGHT(B5391,9)="@live.com"),"Outlook","Domain")))</f>
        <v/>
      </c>
      <c r="F5391">
        <f>IF(B5391="","",IFERROR(RIGHT(B5391,LEN(B5391)-FIND("@",B5391)),""))</f>
        <v/>
      </c>
      <c r="G5391">
        <f>IF(D5391="KEEP",COUNTIF($D$2:D5391,"KEEP"),"")</f>
        <v/>
      </c>
      <c r="H5391">
        <f>IF(D5391="REMOVE",COUNTIF($D$2:D5391,"REMOVE"),"")</f>
        <v/>
      </c>
      <c r="I5391">
        <f>IF(E5391="Gmail",COUNTIF($E$2:E5391,"Gmail"),"")</f>
        <v/>
      </c>
      <c r="J5391">
        <f>IF(E5391="Outlook",COUNTIF($E$2:E5391,"Outlook"),"")</f>
        <v/>
      </c>
      <c r="K5391">
        <f>IF(E5391="Domain",COUNTIF($E$2:E5391,"Domain"),"")</f>
        <v/>
      </c>
    </row>
    <row r="5392">
      <c r="A5392" s="2" t="n"/>
      <c r="B5392">
        <f>LOWER(TRIM(A5392))</f>
        <v/>
      </c>
      <c r="C5392">
        <f>IF(B5392="","",IFERROR(INDEX('Bad Patterns'!$A$2:$A$120,MATCH(1,INDEX(--ISNUMBER(SEARCH('Bad Patterns'!$A$2:$A$120,B5392)),0),0)),""))</f>
        <v/>
      </c>
      <c r="D5392">
        <f>IF(B5392="","",IF(C5392&lt;&gt;"","REMOVE","KEEP"))</f>
        <v/>
      </c>
      <c r="E5392">
        <f>IF(D5392&lt;&gt;"KEEP","",IF(RIGHT(B5392,10)="@gmail.com","Gmail",IF(OR(RIGHT(B5392,12)="@outlook.com",RIGHT(B5392,12)="@hotmail.com",RIGHT(B5392,9)="@live.com"),"Outlook","Domain")))</f>
        <v/>
      </c>
      <c r="F5392">
        <f>IF(B5392="","",IFERROR(RIGHT(B5392,LEN(B5392)-FIND("@",B5392)),""))</f>
        <v/>
      </c>
      <c r="G5392">
        <f>IF(D5392="KEEP",COUNTIF($D$2:D5392,"KEEP"),"")</f>
        <v/>
      </c>
      <c r="H5392">
        <f>IF(D5392="REMOVE",COUNTIF($D$2:D5392,"REMOVE"),"")</f>
        <v/>
      </c>
      <c r="I5392">
        <f>IF(E5392="Gmail",COUNTIF($E$2:E5392,"Gmail"),"")</f>
        <v/>
      </c>
      <c r="J5392">
        <f>IF(E5392="Outlook",COUNTIF($E$2:E5392,"Outlook"),"")</f>
        <v/>
      </c>
      <c r="K5392">
        <f>IF(E5392="Domain",COUNTIF($E$2:E5392,"Domain"),"")</f>
        <v/>
      </c>
    </row>
    <row r="5393">
      <c r="A5393" s="2" t="n"/>
      <c r="B5393">
        <f>LOWER(TRIM(A5393))</f>
        <v/>
      </c>
      <c r="C5393">
        <f>IF(B5393="","",IFERROR(INDEX('Bad Patterns'!$A$2:$A$120,MATCH(1,INDEX(--ISNUMBER(SEARCH('Bad Patterns'!$A$2:$A$120,B5393)),0),0)),""))</f>
        <v/>
      </c>
      <c r="D5393">
        <f>IF(B5393="","",IF(C5393&lt;&gt;"","REMOVE","KEEP"))</f>
        <v/>
      </c>
      <c r="E5393">
        <f>IF(D5393&lt;&gt;"KEEP","",IF(RIGHT(B5393,10)="@gmail.com","Gmail",IF(OR(RIGHT(B5393,12)="@outlook.com",RIGHT(B5393,12)="@hotmail.com",RIGHT(B5393,9)="@live.com"),"Outlook","Domain")))</f>
        <v/>
      </c>
      <c r="F5393">
        <f>IF(B5393="","",IFERROR(RIGHT(B5393,LEN(B5393)-FIND("@",B5393)),""))</f>
        <v/>
      </c>
      <c r="G5393">
        <f>IF(D5393="KEEP",COUNTIF($D$2:D5393,"KEEP"),"")</f>
        <v/>
      </c>
      <c r="H5393">
        <f>IF(D5393="REMOVE",COUNTIF($D$2:D5393,"REMOVE"),"")</f>
        <v/>
      </c>
      <c r="I5393">
        <f>IF(E5393="Gmail",COUNTIF($E$2:E5393,"Gmail"),"")</f>
        <v/>
      </c>
      <c r="J5393">
        <f>IF(E5393="Outlook",COUNTIF($E$2:E5393,"Outlook"),"")</f>
        <v/>
      </c>
      <c r="K5393">
        <f>IF(E5393="Domain",COUNTIF($E$2:E5393,"Domain"),"")</f>
        <v/>
      </c>
    </row>
    <row r="5394">
      <c r="A5394" s="2" t="n"/>
      <c r="B5394">
        <f>LOWER(TRIM(A5394))</f>
        <v/>
      </c>
      <c r="C5394">
        <f>IF(B5394="","",IFERROR(INDEX('Bad Patterns'!$A$2:$A$120,MATCH(1,INDEX(--ISNUMBER(SEARCH('Bad Patterns'!$A$2:$A$120,B5394)),0),0)),""))</f>
        <v/>
      </c>
      <c r="D5394">
        <f>IF(B5394="","",IF(C5394&lt;&gt;"","REMOVE","KEEP"))</f>
        <v/>
      </c>
      <c r="E5394">
        <f>IF(D5394&lt;&gt;"KEEP","",IF(RIGHT(B5394,10)="@gmail.com","Gmail",IF(OR(RIGHT(B5394,12)="@outlook.com",RIGHT(B5394,12)="@hotmail.com",RIGHT(B5394,9)="@live.com"),"Outlook","Domain")))</f>
        <v/>
      </c>
      <c r="F5394">
        <f>IF(B5394="","",IFERROR(RIGHT(B5394,LEN(B5394)-FIND("@",B5394)),""))</f>
        <v/>
      </c>
      <c r="G5394">
        <f>IF(D5394="KEEP",COUNTIF($D$2:D5394,"KEEP"),"")</f>
        <v/>
      </c>
      <c r="H5394">
        <f>IF(D5394="REMOVE",COUNTIF($D$2:D5394,"REMOVE"),"")</f>
        <v/>
      </c>
      <c r="I5394">
        <f>IF(E5394="Gmail",COUNTIF($E$2:E5394,"Gmail"),"")</f>
        <v/>
      </c>
      <c r="J5394">
        <f>IF(E5394="Outlook",COUNTIF($E$2:E5394,"Outlook"),"")</f>
        <v/>
      </c>
      <c r="K5394">
        <f>IF(E5394="Domain",COUNTIF($E$2:E5394,"Domain"),"")</f>
        <v/>
      </c>
    </row>
    <row r="5395">
      <c r="A5395" s="2" t="n"/>
      <c r="B5395">
        <f>LOWER(TRIM(A5395))</f>
        <v/>
      </c>
      <c r="C5395">
        <f>IF(B5395="","",IFERROR(INDEX('Bad Patterns'!$A$2:$A$120,MATCH(1,INDEX(--ISNUMBER(SEARCH('Bad Patterns'!$A$2:$A$120,B5395)),0),0)),""))</f>
        <v/>
      </c>
      <c r="D5395">
        <f>IF(B5395="","",IF(C5395&lt;&gt;"","REMOVE","KEEP"))</f>
        <v/>
      </c>
      <c r="E5395">
        <f>IF(D5395&lt;&gt;"KEEP","",IF(RIGHT(B5395,10)="@gmail.com","Gmail",IF(OR(RIGHT(B5395,12)="@outlook.com",RIGHT(B5395,12)="@hotmail.com",RIGHT(B5395,9)="@live.com"),"Outlook","Domain")))</f>
        <v/>
      </c>
      <c r="F5395">
        <f>IF(B5395="","",IFERROR(RIGHT(B5395,LEN(B5395)-FIND("@",B5395)),""))</f>
        <v/>
      </c>
      <c r="G5395">
        <f>IF(D5395="KEEP",COUNTIF($D$2:D5395,"KEEP"),"")</f>
        <v/>
      </c>
      <c r="H5395">
        <f>IF(D5395="REMOVE",COUNTIF($D$2:D5395,"REMOVE"),"")</f>
        <v/>
      </c>
      <c r="I5395">
        <f>IF(E5395="Gmail",COUNTIF($E$2:E5395,"Gmail"),"")</f>
        <v/>
      </c>
      <c r="J5395">
        <f>IF(E5395="Outlook",COUNTIF($E$2:E5395,"Outlook"),"")</f>
        <v/>
      </c>
      <c r="K5395">
        <f>IF(E5395="Domain",COUNTIF($E$2:E5395,"Domain"),"")</f>
        <v/>
      </c>
    </row>
    <row r="5396">
      <c r="A5396" s="2" t="n"/>
      <c r="B5396">
        <f>LOWER(TRIM(A5396))</f>
        <v/>
      </c>
      <c r="C5396">
        <f>IF(B5396="","",IFERROR(INDEX('Bad Patterns'!$A$2:$A$120,MATCH(1,INDEX(--ISNUMBER(SEARCH('Bad Patterns'!$A$2:$A$120,B5396)),0),0)),""))</f>
        <v/>
      </c>
      <c r="D5396">
        <f>IF(B5396="","",IF(C5396&lt;&gt;"","REMOVE","KEEP"))</f>
        <v/>
      </c>
      <c r="E5396">
        <f>IF(D5396&lt;&gt;"KEEP","",IF(RIGHT(B5396,10)="@gmail.com","Gmail",IF(OR(RIGHT(B5396,12)="@outlook.com",RIGHT(B5396,12)="@hotmail.com",RIGHT(B5396,9)="@live.com"),"Outlook","Domain")))</f>
        <v/>
      </c>
      <c r="F5396">
        <f>IF(B5396="","",IFERROR(RIGHT(B5396,LEN(B5396)-FIND("@",B5396)),""))</f>
        <v/>
      </c>
      <c r="G5396">
        <f>IF(D5396="KEEP",COUNTIF($D$2:D5396,"KEEP"),"")</f>
        <v/>
      </c>
      <c r="H5396">
        <f>IF(D5396="REMOVE",COUNTIF($D$2:D5396,"REMOVE"),"")</f>
        <v/>
      </c>
      <c r="I5396">
        <f>IF(E5396="Gmail",COUNTIF($E$2:E5396,"Gmail"),"")</f>
        <v/>
      </c>
      <c r="J5396">
        <f>IF(E5396="Outlook",COUNTIF($E$2:E5396,"Outlook"),"")</f>
        <v/>
      </c>
      <c r="K5396">
        <f>IF(E5396="Domain",COUNTIF($E$2:E5396,"Domain"),"")</f>
        <v/>
      </c>
    </row>
    <row r="5397">
      <c r="A5397" s="2" t="n"/>
      <c r="B5397">
        <f>LOWER(TRIM(A5397))</f>
        <v/>
      </c>
      <c r="C5397">
        <f>IF(B5397="","",IFERROR(INDEX('Bad Patterns'!$A$2:$A$120,MATCH(1,INDEX(--ISNUMBER(SEARCH('Bad Patterns'!$A$2:$A$120,B5397)),0),0)),""))</f>
        <v/>
      </c>
      <c r="D5397">
        <f>IF(B5397="","",IF(C5397&lt;&gt;"","REMOVE","KEEP"))</f>
        <v/>
      </c>
      <c r="E5397">
        <f>IF(D5397&lt;&gt;"KEEP","",IF(RIGHT(B5397,10)="@gmail.com","Gmail",IF(OR(RIGHT(B5397,12)="@outlook.com",RIGHT(B5397,12)="@hotmail.com",RIGHT(B5397,9)="@live.com"),"Outlook","Domain")))</f>
        <v/>
      </c>
      <c r="F5397">
        <f>IF(B5397="","",IFERROR(RIGHT(B5397,LEN(B5397)-FIND("@",B5397)),""))</f>
        <v/>
      </c>
      <c r="G5397">
        <f>IF(D5397="KEEP",COUNTIF($D$2:D5397,"KEEP"),"")</f>
        <v/>
      </c>
      <c r="H5397">
        <f>IF(D5397="REMOVE",COUNTIF($D$2:D5397,"REMOVE"),"")</f>
        <v/>
      </c>
      <c r="I5397">
        <f>IF(E5397="Gmail",COUNTIF($E$2:E5397,"Gmail"),"")</f>
        <v/>
      </c>
      <c r="J5397">
        <f>IF(E5397="Outlook",COUNTIF($E$2:E5397,"Outlook"),"")</f>
        <v/>
      </c>
      <c r="K5397">
        <f>IF(E5397="Domain",COUNTIF($E$2:E5397,"Domain"),"")</f>
        <v/>
      </c>
    </row>
    <row r="5398">
      <c r="A5398" s="2" t="n"/>
      <c r="B5398">
        <f>LOWER(TRIM(A5398))</f>
        <v/>
      </c>
      <c r="C5398">
        <f>IF(B5398="","",IFERROR(INDEX('Bad Patterns'!$A$2:$A$120,MATCH(1,INDEX(--ISNUMBER(SEARCH('Bad Patterns'!$A$2:$A$120,B5398)),0),0)),""))</f>
        <v/>
      </c>
      <c r="D5398">
        <f>IF(B5398="","",IF(C5398&lt;&gt;"","REMOVE","KEEP"))</f>
        <v/>
      </c>
      <c r="E5398">
        <f>IF(D5398&lt;&gt;"KEEP","",IF(RIGHT(B5398,10)="@gmail.com","Gmail",IF(OR(RIGHT(B5398,12)="@outlook.com",RIGHT(B5398,12)="@hotmail.com",RIGHT(B5398,9)="@live.com"),"Outlook","Domain")))</f>
        <v/>
      </c>
      <c r="F5398">
        <f>IF(B5398="","",IFERROR(RIGHT(B5398,LEN(B5398)-FIND("@",B5398)),""))</f>
        <v/>
      </c>
      <c r="G5398">
        <f>IF(D5398="KEEP",COUNTIF($D$2:D5398,"KEEP"),"")</f>
        <v/>
      </c>
      <c r="H5398">
        <f>IF(D5398="REMOVE",COUNTIF($D$2:D5398,"REMOVE"),"")</f>
        <v/>
      </c>
      <c r="I5398">
        <f>IF(E5398="Gmail",COUNTIF($E$2:E5398,"Gmail"),"")</f>
        <v/>
      </c>
      <c r="J5398">
        <f>IF(E5398="Outlook",COUNTIF($E$2:E5398,"Outlook"),"")</f>
        <v/>
      </c>
      <c r="K5398">
        <f>IF(E5398="Domain",COUNTIF($E$2:E5398,"Domain"),"")</f>
        <v/>
      </c>
    </row>
    <row r="5399">
      <c r="A5399" s="2" t="n"/>
      <c r="B5399">
        <f>LOWER(TRIM(A5399))</f>
        <v/>
      </c>
      <c r="C5399">
        <f>IF(B5399="","",IFERROR(INDEX('Bad Patterns'!$A$2:$A$120,MATCH(1,INDEX(--ISNUMBER(SEARCH('Bad Patterns'!$A$2:$A$120,B5399)),0),0)),""))</f>
        <v/>
      </c>
      <c r="D5399">
        <f>IF(B5399="","",IF(C5399&lt;&gt;"","REMOVE","KEEP"))</f>
        <v/>
      </c>
      <c r="E5399">
        <f>IF(D5399&lt;&gt;"KEEP","",IF(RIGHT(B5399,10)="@gmail.com","Gmail",IF(OR(RIGHT(B5399,12)="@outlook.com",RIGHT(B5399,12)="@hotmail.com",RIGHT(B5399,9)="@live.com"),"Outlook","Domain")))</f>
        <v/>
      </c>
      <c r="F5399">
        <f>IF(B5399="","",IFERROR(RIGHT(B5399,LEN(B5399)-FIND("@",B5399)),""))</f>
        <v/>
      </c>
      <c r="G5399">
        <f>IF(D5399="KEEP",COUNTIF($D$2:D5399,"KEEP"),"")</f>
        <v/>
      </c>
      <c r="H5399">
        <f>IF(D5399="REMOVE",COUNTIF($D$2:D5399,"REMOVE"),"")</f>
        <v/>
      </c>
      <c r="I5399">
        <f>IF(E5399="Gmail",COUNTIF($E$2:E5399,"Gmail"),"")</f>
        <v/>
      </c>
      <c r="J5399">
        <f>IF(E5399="Outlook",COUNTIF($E$2:E5399,"Outlook"),"")</f>
        <v/>
      </c>
      <c r="K5399">
        <f>IF(E5399="Domain",COUNTIF($E$2:E5399,"Domain"),"")</f>
        <v/>
      </c>
    </row>
    <row r="5400">
      <c r="A5400" s="2" t="n"/>
      <c r="B5400">
        <f>LOWER(TRIM(A5400))</f>
        <v/>
      </c>
      <c r="C5400">
        <f>IF(B5400="","",IFERROR(INDEX('Bad Patterns'!$A$2:$A$120,MATCH(1,INDEX(--ISNUMBER(SEARCH('Bad Patterns'!$A$2:$A$120,B5400)),0),0)),""))</f>
        <v/>
      </c>
      <c r="D5400">
        <f>IF(B5400="","",IF(C5400&lt;&gt;"","REMOVE","KEEP"))</f>
        <v/>
      </c>
      <c r="E5400">
        <f>IF(D5400&lt;&gt;"KEEP","",IF(RIGHT(B5400,10)="@gmail.com","Gmail",IF(OR(RIGHT(B5400,12)="@outlook.com",RIGHT(B5400,12)="@hotmail.com",RIGHT(B5400,9)="@live.com"),"Outlook","Domain")))</f>
        <v/>
      </c>
      <c r="F5400">
        <f>IF(B5400="","",IFERROR(RIGHT(B5400,LEN(B5400)-FIND("@",B5400)),""))</f>
        <v/>
      </c>
      <c r="G5400">
        <f>IF(D5400="KEEP",COUNTIF($D$2:D5400,"KEEP"),"")</f>
        <v/>
      </c>
      <c r="H5400">
        <f>IF(D5400="REMOVE",COUNTIF($D$2:D5400,"REMOVE"),"")</f>
        <v/>
      </c>
      <c r="I5400">
        <f>IF(E5400="Gmail",COUNTIF($E$2:E5400,"Gmail"),"")</f>
        <v/>
      </c>
      <c r="J5400">
        <f>IF(E5400="Outlook",COUNTIF($E$2:E5400,"Outlook"),"")</f>
        <v/>
      </c>
      <c r="K5400">
        <f>IF(E5400="Domain",COUNTIF($E$2:E5400,"Domain"),"")</f>
        <v/>
      </c>
    </row>
    <row r="5401">
      <c r="A5401" s="2" t="n"/>
      <c r="B5401">
        <f>LOWER(TRIM(A5401))</f>
        <v/>
      </c>
      <c r="C5401">
        <f>IF(B5401="","",IFERROR(INDEX('Bad Patterns'!$A$2:$A$120,MATCH(1,INDEX(--ISNUMBER(SEARCH('Bad Patterns'!$A$2:$A$120,B5401)),0),0)),""))</f>
        <v/>
      </c>
      <c r="D5401">
        <f>IF(B5401="","",IF(C5401&lt;&gt;"","REMOVE","KEEP"))</f>
        <v/>
      </c>
      <c r="E5401">
        <f>IF(D5401&lt;&gt;"KEEP","",IF(RIGHT(B5401,10)="@gmail.com","Gmail",IF(OR(RIGHT(B5401,12)="@outlook.com",RIGHT(B5401,12)="@hotmail.com",RIGHT(B5401,9)="@live.com"),"Outlook","Domain")))</f>
        <v/>
      </c>
      <c r="F5401">
        <f>IF(B5401="","",IFERROR(RIGHT(B5401,LEN(B5401)-FIND("@",B5401)),""))</f>
        <v/>
      </c>
      <c r="G5401">
        <f>IF(D5401="KEEP",COUNTIF($D$2:D5401,"KEEP"),"")</f>
        <v/>
      </c>
      <c r="H5401">
        <f>IF(D5401="REMOVE",COUNTIF($D$2:D5401,"REMOVE"),"")</f>
        <v/>
      </c>
      <c r="I5401">
        <f>IF(E5401="Gmail",COUNTIF($E$2:E5401,"Gmail"),"")</f>
        <v/>
      </c>
      <c r="J5401">
        <f>IF(E5401="Outlook",COUNTIF($E$2:E5401,"Outlook"),"")</f>
        <v/>
      </c>
      <c r="K5401">
        <f>IF(E5401="Domain",COUNTIF($E$2:E5401,"Domain"),"")</f>
        <v/>
      </c>
    </row>
    <row r="5402">
      <c r="A5402" s="2" t="n"/>
      <c r="B5402">
        <f>LOWER(TRIM(A5402))</f>
        <v/>
      </c>
      <c r="C5402">
        <f>IF(B5402="","",IFERROR(INDEX('Bad Patterns'!$A$2:$A$120,MATCH(1,INDEX(--ISNUMBER(SEARCH('Bad Patterns'!$A$2:$A$120,B5402)),0),0)),""))</f>
        <v/>
      </c>
      <c r="D5402">
        <f>IF(B5402="","",IF(C5402&lt;&gt;"","REMOVE","KEEP"))</f>
        <v/>
      </c>
      <c r="E5402">
        <f>IF(D5402&lt;&gt;"KEEP","",IF(RIGHT(B5402,10)="@gmail.com","Gmail",IF(OR(RIGHT(B5402,12)="@outlook.com",RIGHT(B5402,12)="@hotmail.com",RIGHT(B5402,9)="@live.com"),"Outlook","Domain")))</f>
        <v/>
      </c>
      <c r="F5402">
        <f>IF(B5402="","",IFERROR(RIGHT(B5402,LEN(B5402)-FIND("@",B5402)),""))</f>
        <v/>
      </c>
      <c r="G5402">
        <f>IF(D5402="KEEP",COUNTIF($D$2:D5402,"KEEP"),"")</f>
        <v/>
      </c>
      <c r="H5402">
        <f>IF(D5402="REMOVE",COUNTIF($D$2:D5402,"REMOVE"),"")</f>
        <v/>
      </c>
      <c r="I5402">
        <f>IF(E5402="Gmail",COUNTIF($E$2:E5402,"Gmail"),"")</f>
        <v/>
      </c>
      <c r="J5402">
        <f>IF(E5402="Outlook",COUNTIF($E$2:E5402,"Outlook"),"")</f>
        <v/>
      </c>
      <c r="K5402">
        <f>IF(E5402="Domain",COUNTIF($E$2:E5402,"Domain"),"")</f>
        <v/>
      </c>
    </row>
    <row r="5403">
      <c r="A5403" s="2" t="n"/>
      <c r="B5403">
        <f>LOWER(TRIM(A5403))</f>
        <v/>
      </c>
      <c r="C5403">
        <f>IF(B5403="","",IFERROR(INDEX('Bad Patterns'!$A$2:$A$120,MATCH(1,INDEX(--ISNUMBER(SEARCH('Bad Patterns'!$A$2:$A$120,B5403)),0),0)),""))</f>
        <v/>
      </c>
      <c r="D5403">
        <f>IF(B5403="","",IF(C5403&lt;&gt;"","REMOVE","KEEP"))</f>
        <v/>
      </c>
      <c r="E5403">
        <f>IF(D5403&lt;&gt;"KEEP","",IF(RIGHT(B5403,10)="@gmail.com","Gmail",IF(OR(RIGHT(B5403,12)="@outlook.com",RIGHT(B5403,12)="@hotmail.com",RIGHT(B5403,9)="@live.com"),"Outlook","Domain")))</f>
        <v/>
      </c>
      <c r="F5403">
        <f>IF(B5403="","",IFERROR(RIGHT(B5403,LEN(B5403)-FIND("@",B5403)),""))</f>
        <v/>
      </c>
      <c r="G5403">
        <f>IF(D5403="KEEP",COUNTIF($D$2:D5403,"KEEP"),"")</f>
        <v/>
      </c>
      <c r="H5403">
        <f>IF(D5403="REMOVE",COUNTIF($D$2:D5403,"REMOVE"),"")</f>
        <v/>
      </c>
      <c r="I5403">
        <f>IF(E5403="Gmail",COUNTIF($E$2:E5403,"Gmail"),"")</f>
        <v/>
      </c>
      <c r="J5403">
        <f>IF(E5403="Outlook",COUNTIF($E$2:E5403,"Outlook"),"")</f>
        <v/>
      </c>
      <c r="K5403">
        <f>IF(E5403="Domain",COUNTIF($E$2:E5403,"Domain"),"")</f>
        <v/>
      </c>
    </row>
    <row r="5404">
      <c r="A5404" s="2" t="n"/>
      <c r="B5404">
        <f>LOWER(TRIM(A5404))</f>
        <v/>
      </c>
      <c r="C5404">
        <f>IF(B5404="","",IFERROR(INDEX('Bad Patterns'!$A$2:$A$120,MATCH(1,INDEX(--ISNUMBER(SEARCH('Bad Patterns'!$A$2:$A$120,B5404)),0),0)),""))</f>
        <v/>
      </c>
      <c r="D5404">
        <f>IF(B5404="","",IF(C5404&lt;&gt;"","REMOVE","KEEP"))</f>
        <v/>
      </c>
      <c r="E5404">
        <f>IF(D5404&lt;&gt;"KEEP","",IF(RIGHT(B5404,10)="@gmail.com","Gmail",IF(OR(RIGHT(B5404,12)="@outlook.com",RIGHT(B5404,12)="@hotmail.com",RIGHT(B5404,9)="@live.com"),"Outlook","Domain")))</f>
        <v/>
      </c>
      <c r="F5404">
        <f>IF(B5404="","",IFERROR(RIGHT(B5404,LEN(B5404)-FIND("@",B5404)),""))</f>
        <v/>
      </c>
      <c r="G5404">
        <f>IF(D5404="KEEP",COUNTIF($D$2:D5404,"KEEP"),"")</f>
        <v/>
      </c>
      <c r="H5404">
        <f>IF(D5404="REMOVE",COUNTIF($D$2:D5404,"REMOVE"),"")</f>
        <v/>
      </c>
      <c r="I5404">
        <f>IF(E5404="Gmail",COUNTIF($E$2:E5404,"Gmail"),"")</f>
        <v/>
      </c>
      <c r="J5404">
        <f>IF(E5404="Outlook",COUNTIF($E$2:E5404,"Outlook"),"")</f>
        <v/>
      </c>
      <c r="K5404">
        <f>IF(E5404="Domain",COUNTIF($E$2:E5404,"Domain"),"")</f>
        <v/>
      </c>
    </row>
    <row r="5405">
      <c r="A5405" s="2" t="n"/>
      <c r="B5405">
        <f>LOWER(TRIM(A5405))</f>
        <v/>
      </c>
      <c r="C5405">
        <f>IF(B5405="","",IFERROR(INDEX('Bad Patterns'!$A$2:$A$120,MATCH(1,INDEX(--ISNUMBER(SEARCH('Bad Patterns'!$A$2:$A$120,B5405)),0),0)),""))</f>
        <v/>
      </c>
      <c r="D5405">
        <f>IF(B5405="","",IF(C5405&lt;&gt;"","REMOVE","KEEP"))</f>
        <v/>
      </c>
      <c r="E5405">
        <f>IF(D5405&lt;&gt;"KEEP","",IF(RIGHT(B5405,10)="@gmail.com","Gmail",IF(OR(RIGHT(B5405,12)="@outlook.com",RIGHT(B5405,12)="@hotmail.com",RIGHT(B5405,9)="@live.com"),"Outlook","Domain")))</f>
        <v/>
      </c>
      <c r="F5405">
        <f>IF(B5405="","",IFERROR(RIGHT(B5405,LEN(B5405)-FIND("@",B5405)),""))</f>
        <v/>
      </c>
      <c r="G5405">
        <f>IF(D5405="KEEP",COUNTIF($D$2:D5405,"KEEP"),"")</f>
        <v/>
      </c>
      <c r="H5405">
        <f>IF(D5405="REMOVE",COUNTIF($D$2:D5405,"REMOVE"),"")</f>
        <v/>
      </c>
      <c r="I5405">
        <f>IF(E5405="Gmail",COUNTIF($E$2:E5405,"Gmail"),"")</f>
        <v/>
      </c>
      <c r="J5405">
        <f>IF(E5405="Outlook",COUNTIF($E$2:E5405,"Outlook"),"")</f>
        <v/>
      </c>
      <c r="K5405">
        <f>IF(E5405="Domain",COUNTIF($E$2:E5405,"Domain"),"")</f>
        <v/>
      </c>
    </row>
    <row r="5406">
      <c r="A5406" s="2" t="n"/>
      <c r="B5406">
        <f>LOWER(TRIM(A5406))</f>
        <v/>
      </c>
      <c r="C5406">
        <f>IF(B5406="","",IFERROR(INDEX('Bad Patterns'!$A$2:$A$120,MATCH(1,INDEX(--ISNUMBER(SEARCH('Bad Patterns'!$A$2:$A$120,B5406)),0),0)),""))</f>
        <v/>
      </c>
      <c r="D5406">
        <f>IF(B5406="","",IF(C5406&lt;&gt;"","REMOVE","KEEP"))</f>
        <v/>
      </c>
      <c r="E5406">
        <f>IF(D5406&lt;&gt;"KEEP","",IF(RIGHT(B5406,10)="@gmail.com","Gmail",IF(OR(RIGHT(B5406,12)="@outlook.com",RIGHT(B5406,12)="@hotmail.com",RIGHT(B5406,9)="@live.com"),"Outlook","Domain")))</f>
        <v/>
      </c>
      <c r="F5406">
        <f>IF(B5406="","",IFERROR(RIGHT(B5406,LEN(B5406)-FIND("@",B5406)),""))</f>
        <v/>
      </c>
      <c r="G5406">
        <f>IF(D5406="KEEP",COUNTIF($D$2:D5406,"KEEP"),"")</f>
        <v/>
      </c>
      <c r="H5406">
        <f>IF(D5406="REMOVE",COUNTIF($D$2:D5406,"REMOVE"),"")</f>
        <v/>
      </c>
      <c r="I5406">
        <f>IF(E5406="Gmail",COUNTIF($E$2:E5406,"Gmail"),"")</f>
        <v/>
      </c>
      <c r="J5406">
        <f>IF(E5406="Outlook",COUNTIF($E$2:E5406,"Outlook"),"")</f>
        <v/>
      </c>
      <c r="K5406">
        <f>IF(E5406="Domain",COUNTIF($E$2:E5406,"Domain"),"")</f>
        <v/>
      </c>
    </row>
    <row r="5407">
      <c r="A5407" s="2" t="n"/>
      <c r="B5407">
        <f>LOWER(TRIM(A5407))</f>
        <v/>
      </c>
      <c r="C5407">
        <f>IF(B5407="","",IFERROR(INDEX('Bad Patterns'!$A$2:$A$120,MATCH(1,INDEX(--ISNUMBER(SEARCH('Bad Patterns'!$A$2:$A$120,B5407)),0),0)),""))</f>
        <v/>
      </c>
      <c r="D5407">
        <f>IF(B5407="","",IF(C5407&lt;&gt;"","REMOVE","KEEP"))</f>
        <v/>
      </c>
      <c r="E5407">
        <f>IF(D5407&lt;&gt;"KEEP","",IF(RIGHT(B5407,10)="@gmail.com","Gmail",IF(OR(RIGHT(B5407,12)="@outlook.com",RIGHT(B5407,12)="@hotmail.com",RIGHT(B5407,9)="@live.com"),"Outlook","Domain")))</f>
        <v/>
      </c>
      <c r="F5407">
        <f>IF(B5407="","",IFERROR(RIGHT(B5407,LEN(B5407)-FIND("@",B5407)),""))</f>
        <v/>
      </c>
      <c r="G5407">
        <f>IF(D5407="KEEP",COUNTIF($D$2:D5407,"KEEP"),"")</f>
        <v/>
      </c>
      <c r="H5407">
        <f>IF(D5407="REMOVE",COUNTIF($D$2:D5407,"REMOVE"),"")</f>
        <v/>
      </c>
      <c r="I5407">
        <f>IF(E5407="Gmail",COUNTIF($E$2:E5407,"Gmail"),"")</f>
        <v/>
      </c>
      <c r="J5407">
        <f>IF(E5407="Outlook",COUNTIF($E$2:E5407,"Outlook"),"")</f>
        <v/>
      </c>
      <c r="K5407">
        <f>IF(E5407="Domain",COUNTIF($E$2:E5407,"Domain"),"")</f>
        <v/>
      </c>
    </row>
    <row r="5408">
      <c r="A5408" s="2" t="n"/>
      <c r="B5408">
        <f>LOWER(TRIM(A5408))</f>
        <v/>
      </c>
      <c r="C5408">
        <f>IF(B5408="","",IFERROR(INDEX('Bad Patterns'!$A$2:$A$120,MATCH(1,INDEX(--ISNUMBER(SEARCH('Bad Patterns'!$A$2:$A$120,B5408)),0),0)),""))</f>
        <v/>
      </c>
      <c r="D5408">
        <f>IF(B5408="","",IF(C5408&lt;&gt;"","REMOVE","KEEP"))</f>
        <v/>
      </c>
      <c r="E5408">
        <f>IF(D5408&lt;&gt;"KEEP","",IF(RIGHT(B5408,10)="@gmail.com","Gmail",IF(OR(RIGHT(B5408,12)="@outlook.com",RIGHT(B5408,12)="@hotmail.com",RIGHT(B5408,9)="@live.com"),"Outlook","Domain")))</f>
        <v/>
      </c>
      <c r="F5408">
        <f>IF(B5408="","",IFERROR(RIGHT(B5408,LEN(B5408)-FIND("@",B5408)),""))</f>
        <v/>
      </c>
      <c r="G5408">
        <f>IF(D5408="KEEP",COUNTIF($D$2:D5408,"KEEP"),"")</f>
        <v/>
      </c>
      <c r="H5408">
        <f>IF(D5408="REMOVE",COUNTIF($D$2:D5408,"REMOVE"),"")</f>
        <v/>
      </c>
      <c r="I5408">
        <f>IF(E5408="Gmail",COUNTIF($E$2:E5408,"Gmail"),"")</f>
        <v/>
      </c>
      <c r="J5408">
        <f>IF(E5408="Outlook",COUNTIF($E$2:E5408,"Outlook"),"")</f>
        <v/>
      </c>
      <c r="K5408">
        <f>IF(E5408="Domain",COUNTIF($E$2:E5408,"Domain"),"")</f>
        <v/>
      </c>
    </row>
    <row r="5409">
      <c r="A5409" s="2" t="n"/>
      <c r="B5409">
        <f>LOWER(TRIM(A5409))</f>
        <v/>
      </c>
      <c r="C5409">
        <f>IF(B5409="","",IFERROR(INDEX('Bad Patterns'!$A$2:$A$120,MATCH(1,INDEX(--ISNUMBER(SEARCH('Bad Patterns'!$A$2:$A$120,B5409)),0),0)),""))</f>
        <v/>
      </c>
      <c r="D5409">
        <f>IF(B5409="","",IF(C5409&lt;&gt;"","REMOVE","KEEP"))</f>
        <v/>
      </c>
      <c r="E5409">
        <f>IF(D5409&lt;&gt;"KEEP","",IF(RIGHT(B5409,10)="@gmail.com","Gmail",IF(OR(RIGHT(B5409,12)="@outlook.com",RIGHT(B5409,12)="@hotmail.com",RIGHT(B5409,9)="@live.com"),"Outlook","Domain")))</f>
        <v/>
      </c>
      <c r="F5409">
        <f>IF(B5409="","",IFERROR(RIGHT(B5409,LEN(B5409)-FIND("@",B5409)),""))</f>
        <v/>
      </c>
      <c r="G5409">
        <f>IF(D5409="KEEP",COUNTIF($D$2:D5409,"KEEP"),"")</f>
        <v/>
      </c>
      <c r="H5409">
        <f>IF(D5409="REMOVE",COUNTIF($D$2:D5409,"REMOVE"),"")</f>
        <v/>
      </c>
      <c r="I5409">
        <f>IF(E5409="Gmail",COUNTIF($E$2:E5409,"Gmail"),"")</f>
        <v/>
      </c>
      <c r="J5409">
        <f>IF(E5409="Outlook",COUNTIF($E$2:E5409,"Outlook"),"")</f>
        <v/>
      </c>
      <c r="K5409">
        <f>IF(E5409="Domain",COUNTIF($E$2:E5409,"Domain"),"")</f>
        <v/>
      </c>
    </row>
    <row r="5410">
      <c r="A5410" s="2" t="n"/>
      <c r="B5410">
        <f>LOWER(TRIM(A5410))</f>
        <v/>
      </c>
      <c r="C5410">
        <f>IF(B5410="","",IFERROR(INDEX('Bad Patterns'!$A$2:$A$120,MATCH(1,INDEX(--ISNUMBER(SEARCH('Bad Patterns'!$A$2:$A$120,B5410)),0),0)),""))</f>
        <v/>
      </c>
      <c r="D5410">
        <f>IF(B5410="","",IF(C5410&lt;&gt;"","REMOVE","KEEP"))</f>
        <v/>
      </c>
      <c r="E5410">
        <f>IF(D5410&lt;&gt;"KEEP","",IF(RIGHT(B5410,10)="@gmail.com","Gmail",IF(OR(RIGHT(B5410,12)="@outlook.com",RIGHT(B5410,12)="@hotmail.com",RIGHT(B5410,9)="@live.com"),"Outlook","Domain")))</f>
        <v/>
      </c>
      <c r="F5410">
        <f>IF(B5410="","",IFERROR(RIGHT(B5410,LEN(B5410)-FIND("@",B5410)),""))</f>
        <v/>
      </c>
      <c r="G5410">
        <f>IF(D5410="KEEP",COUNTIF($D$2:D5410,"KEEP"),"")</f>
        <v/>
      </c>
      <c r="H5410">
        <f>IF(D5410="REMOVE",COUNTIF($D$2:D5410,"REMOVE"),"")</f>
        <v/>
      </c>
      <c r="I5410">
        <f>IF(E5410="Gmail",COUNTIF($E$2:E5410,"Gmail"),"")</f>
        <v/>
      </c>
      <c r="J5410">
        <f>IF(E5410="Outlook",COUNTIF($E$2:E5410,"Outlook"),"")</f>
        <v/>
      </c>
      <c r="K5410">
        <f>IF(E5410="Domain",COUNTIF($E$2:E5410,"Domain"),"")</f>
        <v/>
      </c>
    </row>
    <row r="5411">
      <c r="A5411" s="2" t="n"/>
      <c r="B5411">
        <f>LOWER(TRIM(A5411))</f>
        <v/>
      </c>
      <c r="C5411">
        <f>IF(B5411="","",IFERROR(INDEX('Bad Patterns'!$A$2:$A$120,MATCH(1,INDEX(--ISNUMBER(SEARCH('Bad Patterns'!$A$2:$A$120,B5411)),0),0)),""))</f>
        <v/>
      </c>
      <c r="D5411">
        <f>IF(B5411="","",IF(C5411&lt;&gt;"","REMOVE","KEEP"))</f>
        <v/>
      </c>
      <c r="E5411">
        <f>IF(D5411&lt;&gt;"KEEP","",IF(RIGHT(B5411,10)="@gmail.com","Gmail",IF(OR(RIGHT(B5411,12)="@outlook.com",RIGHT(B5411,12)="@hotmail.com",RIGHT(B5411,9)="@live.com"),"Outlook","Domain")))</f>
        <v/>
      </c>
      <c r="F5411">
        <f>IF(B5411="","",IFERROR(RIGHT(B5411,LEN(B5411)-FIND("@",B5411)),""))</f>
        <v/>
      </c>
      <c r="G5411">
        <f>IF(D5411="KEEP",COUNTIF($D$2:D5411,"KEEP"),"")</f>
        <v/>
      </c>
      <c r="H5411">
        <f>IF(D5411="REMOVE",COUNTIF($D$2:D5411,"REMOVE"),"")</f>
        <v/>
      </c>
      <c r="I5411">
        <f>IF(E5411="Gmail",COUNTIF($E$2:E5411,"Gmail"),"")</f>
        <v/>
      </c>
      <c r="J5411">
        <f>IF(E5411="Outlook",COUNTIF($E$2:E5411,"Outlook"),"")</f>
        <v/>
      </c>
      <c r="K5411">
        <f>IF(E5411="Domain",COUNTIF($E$2:E5411,"Domain"),"")</f>
        <v/>
      </c>
    </row>
    <row r="5412">
      <c r="A5412" s="2" t="n"/>
      <c r="B5412">
        <f>LOWER(TRIM(A5412))</f>
        <v/>
      </c>
      <c r="C5412">
        <f>IF(B5412="","",IFERROR(INDEX('Bad Patterns'!$A$2:$A$120,MATCH(1,INDEX(--ISNUMBER(SEARCH('Bad Patterns'!$A$2:$A$120,B5412)),0),0)),""))</f>
        <v/>
      </c>
      <c r="D5412">
        <f>IF(B5412="","",IF(C5412&lt;&gt;"","REMOVE","KEEP"))</f>
        <v/>
      </c>
      <c r="E5412">
        <f>IF(D5412&lt;&gt;"KEEP","",IF(RIGHT(B5412,10)="@gmail.com","Gmail",IF(OR(RIGHT(B5412,12)="@outlook.com",RIGHT(B5412,12)="@hotmail.com",RIGHT(B5412,9)="@live.com"),"Outlook","Domain")))</f>
        <v/>
      </c>
      <c r="F5412">
        <f>IF(B5412="","",IFERROR(RIGHT(B5412,LEN(B5412)-FIND("@",B5412)),""))</f>
        <v/>
      </c>
      <c r="G5412">
        <f>IF(D5412="KEEP",COUNTIF($D$2:D5412,"KEEP"),"")</f>
        <v/>
      </c>
      <c r="H5412">
        <f>IF(D5412="REMOVE",COUNTIF($D$2:D5412,"REMOVE"),"")</f>
        <v/>
      </c>
      <c r="I5412">
        <f>IF(E5412="Gmail",COUNTIF($E$2:E5412,"Gmail"),"")</f>
        <v/>
      </c>
      <c r="J5412">
        <f>IF(E5412="Outlook",COUNTIF($E$2:E5412,"Outlook"),"")</f>
        <v/>
      </c>
      <c r="K5412">
        <f>IF(E5412="Domain",COUNTIF($E$2:E5412,"Domain"),"")</f>
        <v/>
      </c>
    </row>
    <row r="5413">
      <c r="A5413" s="2" t="n"/>
      <c r="B5413">
        <f>LOWER(TRIM(A5413))</f>
        <v/>
      </c>
      <c r="C5413">
        <f>IF(B5413="","",IFERROR(INDEX('Bad Patterns'!$A$2:$A$120,MATCH(1,INDEX(--ISNUMBER(SEARCH('Bad Patterns'!$A$2:$A$120,B5413)),0),0)),""))</f>
        <v/>
      </c>
      <c r="D5413">
        <f>IF(B5413="","",IF(C5413&lt;&gt;"","REMOVE","KEEP"))</f>
        <v/>
      </c>
      <c r="E5413">
        <f>IF(D5413&lt;&gt;"KEEP","",IF(RIGHT(B5413,10)="@gmail.com","Gmail",IF(OR(RIGHT(B5413,12)="@outlook.com",RIGHT(B5413,12)="@hotmail.com",RIGHT(B5413,9)="@live.com"),"Outlook","Domain")))</f>
        <v/>
      </c>
      <c r="F5413">
        <f>IF(B5413="","",IFERROR(RIGHT(B5413,LEN(B5413)-FIND("@",B5413)),""))</f>
        <v/>
      </c>
      <c r="G5413">
        <f>IF(D5413="KEEP",COUNTIF($D$2:D5413,"KEEP"),"")</f>
        <v/>
      </c>
      <c r="H5413">
        <f>IF(D5413="REMOVE",COUNTIF($D$2:D5413,"REMOVE"),"")</f>
        <v/>
      </c>
      <c r="I5413">
        <f>IF(E5413="Gmail",COUNTIF($E$2:E5413,"Gmail"),"")</f>
        <v/>
      </c>
      <c r="J5413">
        <f>IF(E5413="Outlook",COUNTIF($E$2:E5413,"Outlook"),"")</f>
        <v/>
      </c>
      <c r="K5413">
        <f>IF(E5413="Domain",COUNTIF($E$2:E5413,"Domain"),"")</f>
        <v/>
      </c>
    </row>
    <row r="5414">
      <c r="A5414" s="2" t="n"/>
      <c r="B5414">
        <f>LOWER(TRIM(A5414))</f>
        <v/>
      </c>
      <c r="C5414">
        <f>IF(B5414="","",IFERROR(INDEX('Bad Patterns'!$A$2:$A$120,MATCH(1,INDEX(--ISNUMBER(SEARCH('Bad Patterns'!$A$2:$A$120,B5414)),0),0)),""))</f>
        <v/>
      </c>
      <c r="D5414">
        <f>IF(B5414="","",IF(C5414&lt;&gt;"","REMOVE","KEEP"))</f>
        <v/>
      </c>
      <c r="E5414">
        <f>IF(D5414&lt;&gt;"KEEP","",IF(RIGHT(B5414,10)="@gmail.com","Gmail",IF(OR(RIGHT(B5414,12)="@outlook.com",RIGHT(B5414,12)="@hotmail.com",RIGHT(B5414,9)="@live.com"),"Outlook","Domain")))</f>
        <v/>
      </c>
      <c r="F5414">
        <f>IF(B5414="","",IFERROR(RIGHT(B5414,LEN(B5414)-FIND("@",B5414)),""))</f>
        <v/>
      </c>
      <c r="G5414">
        <f>IF(D5414="KEEP",COUNTIF($D$2:D5414,"KEEP"),"")</f>
        <v/>
      </c>
      <c r="H5414">
        <f>IF(D5414="REMOVE",COUNTIF($D$2:D5414,"REMOVE"),"")</f>
        <v/>
      </c>
      <c r="I5414">
        <f>IF(E5414="Gmail",COUNTIF($E$2:E5414,"Gmail"),"")</f>
        <v/>
      </c>
      <c r="J5414">
        <f>IF(E5414="Outlook",COUNTIF($E$2:E5414,"Outlook"),"")</f>
        <v/>
      </c>
      <c r="K5414">
        <f>IF(E5414="Domain",COUNTIF($E$2:E5414,"Domain"),"")</f>
        <v/>
      </c>
    </row>
    <row r="5415">
      <c r="A5415" s="2" t="n"/>
      <c r="B5415">
        <f>LOWER(TRIM(A5415))</f>
        <v/>
      </c>
      <c r="C5415">
        <f>IF(B5415="","",IFERROR(INDEX('Bad Patterns'!$A$2:$A$120,MATCH(1,INDEX(--ISNUMBER(SEARCH('Bad Patterns'!$A$2:$A$120,B5415)),0),0)),""))</f>
        <v/>
      </c>
      <c r="D5415">
        <f>IF(B5415="","",IF(C5415&lt;&gt;"","REMOVE","KEEP"))</f>
        <v/>
      </c>
      <c r="E5415">
        <f>IF(D5415&lt;&gt;"KEEP","",IF(RIGHT(B5415,10)="@gmail.com","Gmail",IF(OR(RIGHT(B5415,12)="@outlook.com",RIGHT(B5415,12)="@hotmail.com",RIGHT(B5415,9)="@live.com"),"Outlook","Domain")))</f>
        <v/>
      </c>
      <c r="F5415">
        <f>IF(B5415="","",IFERROR(RIGHT(B5415,LEN(B5415)-FIND("@",B5415)),""))</f>
        <v/>
      </c>
      <c r="G5415">
        <f>IF(D5415="KEEP",COUNTIF($D$2:D5415,"KEEP"),"")</f>
        <v/>
      </c>
      <c r="H5415">
        <f>IF(D5415="REMOVE",COUNTIF($D$2:D5415,"REMOVE"),"")</f>
        <v/>
      </c>
      <c r="I5415">
        <f>IF(E5415="Gmail",COUNTIF($E$2:E5415,"Gmail"),"")</f>
        <v/>
      </c>
      <c r="J5415">
        <f>IF(E5415="Outlook",COUNTIF($E$2:E5415,"Outlook"),"")</f>
        <v/>
      </c>
      <c r="K5415">
        <f>IF(E5415="Domain",COUNTIF($E$2:E5415,"Domain"),"")</f>
        <v/>
      </c>
    </row>
    <row r="5416">
      <c r="A5416" s="2" t="n"/>
      <c r="B5416">
        <f>LOWER(TRIM(A5416))</f>
        <v/>
      </c>
      <c r="C5416">
        <f>IF(B5416="","",IFERROR(INDEX('Bad Patterns'!$A$2:$A$120,MATCH(1,INDEX(--ISNUMBER(SEARCH('Bad Patterns'!$A$2:$A$120,B5416)),0),0)),""))</f>
        <v/>
      </c>
      <c r="D5416">
        <f>IF(B5416="","",IF(C5416&lt;&gt;"","REMOVE","KEEP"))</f>
        <v/>
      </c>
      <c r="E5416">
        <f>IF(D5416&lt;&gt;"KEEP","",IF(RIGHT(B5416,10)="@gmail.com","Gmail",IF(OR(RIGHT(B5416,12)="@outlook.com",RIGHT(B5416,12)="@hotmail.com",RIGHT(B5416,9)="@live.com"),"Outlook","Domain")))</f>
        <v/>
      </c>
      <c r="F5416">
        <f>IF(B5416="","",IFERROR(RIGHT(B5416,LEN(B5416)-FIND("@",B5416)),""))</f>
        <v/>
      </c>
      <c r="G5416">
        <f>IF(D5416="KEEP",COUNTIF($D$2:D5416,"KEEP"),"")</f>
        <v/>
      </c>
      <c r="H5416">
        <f>IF(D5416="REMOVE",COUNTIF($D$2:D5416,"REMOVE"),"")</f>
        <v/>
      </c>
      <c r="I5416">
        <f>IF(E5416="Gmail",COUNTIF($E$2:E5416,"Gmail"),"")</f>
        <v/>
      </c>
      <c r="J5416">
        <f>IF(E5416="Outlook",COUNTIF($E$2:E5416,"Outlook"),"")</f>
        <v/>
      </c>
      <c r="K5416">
        <f>IF(E5416="Domain",COUNTIF($E$2:E5416,"Domain"),"")</f>
        <v/>
      </c>
    </row>
    <row r="5417">
      <c r="A5417" s="2" t="n"/>
      <c r="B5417">
        <f>LOWER(TRIM(A5417))</f>
        <v/>
      </c>
      <c r="C5417">
        <f>IF(B5417="","",IFERROR(INDEX('Bad Patterns'!$A$2:$A$120,MATCH(1,INDEX(--ISNUMBER(SEARCH('Bad Patterns'!$A$2:$A$120,B5417)),0),0)),""))</f>
        <v/>
      </c>
      <c r="D5417">
        <f>IF(B5417="","",IF(C5417&lt;&gt;"","REMOVE","KEEP"))</f>
        <v/>
      </c>
      <c r="E5417">
        <f>IF(D5417&lt;&gt;"KEEP","",IF(RIGHT(B5417,10)="@gmail.com","Gmail",IF(OR(RIGHT(B5417,12)="@outlook.com",RIGHT(B5417,12)="@hotmail.com",RIGHT(B5417,9)="@live.com"),"Outlook","Domain")))</f>
        <v/>
      </c>
      <c r="F5417">
        <f>IF(B5417="","",IFERROR(RIGHT(B5417,LEN(B5417)-FIND("@",B5417)),""))</f>
        <v/>
      </c>
      <c r="G5417">
        <f>IF(D5417="KEEP",COUNTIF($D$2:D5417,"KEEP"),"")</f>
        <v/>
      </c>
      <c r="H5417">
        <f>IF(D5417="REMOVE",COUNTIF($D$2:D5417,"REMOVE"),"")</f>
        <v/>
      </c>
      <c r="I5417">
        <f>IF(E5417="Gmail",COUNTIF($E$2:E5417,"Gmail"),"")</f>
        <v/>
      </c>
      <c r="J5417">
        <f>IF(E5417="Outlook",COUNTIF($E$2:E5417,"Outlook"),"")</f>
        <v/>
      </c>
      <c r="K5417">
        <f>IF(E5417="Domain",COUNTIF($E$2:E5417,"Domain"),"")</f>
        <v/>
      </c>
    </row>
    <row r="5418">
      <c r="A5418" s="2" t="n"/>
      <c r="B5418">
        <f>LOWER(TRIM(A5418))</f>
        <v/>
      </c>
      <c r="C5418">
        <f>IF(B5418="","",IFERROR(INDEX('Bad Patterns'!$A$2:$A$120,MATCH(1,INDEX(--ISNUMBER(SEARCH('Bad Patterns'!$A$2:$A$120,B5418)),0),0)),""))</f>
        <v/>
      </c>
      <c r="D5418">
        <f>IF(B5418="","",IF(C5418&lt;&gt;"","REMOVE","KEEP"))</f>
        <v/>
      </c>
      <c r="E5418">
        <f>IF(D5418&lt;&gt;"KEEP","",IF(RIGHT(B5418,10)="@gmail.com","Gmail",IF(OR(RIGHT(B5418,12)="@outlook.com",RIGHT(B5418,12)="@hotmail.com",RIGHT(B5418,9)="@live.com"),"Outlook","Domain")))</f>
        <v/>
      </c>
      <c r="F5418">
        <f>IF(B5418="","",IFERROR(RIGHT(B5418,LEN(B5418)-FIND("@",B5418)),""))</f>
        <v/>
      </c>
      <c r="G5418">
        <f>IF(D5418="KEEP",COUNTIF($D$2:D5418,"KEEP"),"")</f>
        <v/>
      </c>
      <c r="H5418">
        <f>IF(D5418="REMOVE",COUNTIF($D$2:D5418,"REMOVE"),"")</f>
        <v/>
      </c>
      <c r="I5418">
        <f>IF(E5418="Gmail",COUNTIF($E$2:E5418,"Gmail"),"")</f>
        <v/>
      </c>
      <c r="J5418">
        <f>IF(E5418="Outlook",COUNTIF($E$2:E5418,"Outlook"),"")</f>
        <v/>
      </c>
      <c r="K5418">
        <f>IF(E5418="Domain",COUNTIF($E$2:E5418,"Domain"),"")</f>
        <v/>
      </c>
    </row>
    <row r="5419">
      <c r="A5419" s="2" t="n"/>
      <c r="B5419">
        <f>LOWER(TRIM(A5419))</f>
        <v/>
      </c>
      <c r="C5419">
        <f>IF(B5419="","",IFERROR(INDEX('Bad Patterns'!$A$2:$A$120,MATCH(1,INDEX(--ISNUMBER(SEARCH('Bad Patterns'!$A$2:$A$120,B5419)),0),0)),""))</f>
        <v/>
      </c>
      <c r="D5419">
        <f>IF(B5419="","",IF(C5419&lt;&gt;"","REMOVE","KEEP"))</f>
        <v/>
      </c>
      <c r="E5419">
        <f>IF(D5419&lt;&gt;"KEEP","",IF(RIGHT(B5419,10)="@gmail.com","Gmail",IF(OR(RIGHT(B5419,12)="@outlook.com",RIGHT(B5419,12)="@hotmail.com",RIGHT(B5419,9)="@live.com"),"Outlook","Domain")))</f>
        <v/>
      </c>
      <c r="F5419">
        <f>IF(B5419="","",IFERROR(RIGHT(B5419,LEN(B5419)-FIND("@",B5419)),""))</f>
        <v/>
      </c>
      <c r="G5419">
        <f>IF(D5419="KEEP",COUNTIF($D$2:D5419,"KEEP"),"")</f>
        <v/>
      </c>
      <c r="H5419">
        <f>IF(D5419="REMOVE",COUNTIF($D$2:D5419,"REMOVE"),"")</f>
        <v/>
      </c>
      <c r="I5419">
        <f>IF(E5419="Gmail",COUNTIF($E$2:E5419,"Gmail"),"")</f>
        <v/>
      </c>
      <c r="J5419">
        <f>IF(E5419="Outlook",COUNTIF($E$2:E5419,"Outlook"),"")</f>
        <v/>
      </c>
      <c r="K5419">
        <f>IF(E5419="Domain",COUNTIF($E$2:E5419,"Domain"),"")</f>
        <v/>
      </c>
    </row>
    <row r="5420">
      <c r="A5420" s="2" t="n"/>
      <c r="B5420">
        <f>LOWER(TRIM(A5420))</f>
        <v/>
      </c>
      <c r="C5420">
        <f>IF(B5420="","",IFERROR(INDEX('Bad Patterns'!$A$2:$A$120,MATCH(1,INDEX(--ISNUMBER(SEARCH('Bad Patterns'!$A$2:$A$120,B5420)),0),0)),""))</f>
        <v/>
      </c>
      <c r="D5420">
        <f>IF(B5420="","",IF(C5420&lt;&gt;"","REMOVE","KEEP"))</f>
        <v/>
      </c>
      <c r="E5420">
        <f>IF(D5420&lt;&gt;"KEEP","",IF(RIGHT(B5420,10)="@gmail.com","Gmail",IF(OR(RIGHT(B5420,12)="@outlook.com",RIGHT(B5420,12)="@hotmail.com",RIGHT(B5420,9)="@live.com"),"Outlook","Domain")))</f>
        <v/>
      </c>
      <c r="F5420">
        <f>IF(B5420="","",IFERROR(RIGHT(B5420,LEN(B5420)-FIND("@",B5420)),""))</f>
        <v/>
      </c>
      <c r="G5420">
        <f>IF(D5420="KEEP",COUNTIF($D$2:D5420,"KEEP"),"")</f>
        <v/>
      </c>
      <c r="H5420">
        <f>IF(D5420="REMOVE",COUNTIF($D$2:D5420,"REMOVE"),"")</f>
        <v/>
      </c>
      <c r="I5420">
        <f>IF(E5420="Gmail",COUNTIF($E$2:E5420,"Gmail"),"")</f>
        <v/>
      </c>
      <c r="J5420">
        <f>IF(E5420="Outlook",COUNTIF($E$2:E5420,"Outlook"),"")</f>
        <v/>
      </c>
      <c r="K5420">
        <f>IF(E5420="Domain",COUNTIF($E$2:E5420,"Domain"),"")</f>
        <v/>
      </c>
    </row>
    <row r="5421">
      <c r="A5421" s="2" t="n"/>
      <c r="B5421">
        <f>LOWER(TRIM(A5421))</f>
        <v/>
      </c>
      <c r="C5421">
        <f>IF(B5421="","",IFERROR(INDEX('Bad Patterns'!$A$2:$A$120,MATCH(1,INDEX(--ISNUMBER(SEARCH('Bad Patterns'!$A$2:$A$120,B5421)),0),0)),""))</f>
        <v/>
      </c>
      <c r="D5421">
        <f>IF(B5421="","",IF(C5421&lt;&gt;"","REMOVE","KEEP"))</f>
        <v/>
      </c>
      <c r="E5421">
        <f>IF(D5421&lt;&gt;"KEEP","",IF(RIGHT(B5421,10)="@gmail.com","Gmail",IF(OR(RIGHT(B5421,12)="@outlook.com",RIGHT(B5421,12)="@hotmail.com",RIGHT(B5421,9)="@live.com"),"Outlook","Domain")))</f>
        <v/>
      </c>
      <c r="F5421">
        <f>IF(B5421="","",IFERROR(RIGHT(B5421,LEN(B5421)-FIND("@",B5421)),""))</f>
        <v/>
      </c>
      <c r="G5421">
        <f>IF(D5421="KEEP",COUNTIF($D$2:D5421,"KEEP"),"")</f>
        <v/>
      </c>
      <c r="H5421">
        <f>IF(D5421="REMOVE",COUNTIF($D$2:D5421,"REMOVE"),"")</f>
        <v/>
      </c>
      <c r="I5421">
        <f>IF(E5421="Gmail",COUNTIF($E$2:E5421,"Gmail"),"")</f>
        <v/>
      </c>
      <c r="J5421">
        <f>IF(E5421="Outlook",COUNTIF($E$2:E5421,"Outlook"),"")</f>
        <v/>
      </c>
      <c r="K5421">
        <f>IF(E5421="Domain",COUNTIF($E$2:E5421,"Domain"),"")</f>
        <v/>
      </c>
    </row>
    <row r="5422">
      <c r="A5422" s="2" t="n"/>
      <c r="B5422">
        <f>LOWER(TRIM(A5422))</f>
        <v/>
      </c>
      <c r="C5422">
        <f>IF(B5422="","",IFERROR(INDEX('Bad Patterns'!$A$2:$A$120,MATCH(1,INDEX(--ISNUMBER(SEARCH('Bad Patterns'!$A$2:$A$120,B5422)),0),0)),""))</f>
        <v/>
      </c>
      <c r="D5422">
        <f>IF(B5422="","",IF(C5422&lt;&gt;"","REMOVE","KEEP"))</f>
        <v/>
      </c>
      <c r="E5422">
        <f>IF(D5422&lt;&gt;"KEEP","",IF(RIGHT(B5422,10)="@gmail.com","Gmail",IF(OR(RIGHT(B5422,12)="@outlook.com",RIGHT(B5422,12)="@hotmail.com",RIGHT(B5422,9)="@live.com"),"Outlook","Domain")))</f>
        <v/>
      </c>
      <c r="F5422">
        <f>IF(B5422="","",IFERROR(RIGHT(B5422,LEN(B5422)-FIND("@",B5422)),""))</f>
        <v/>
      </c>
      <c r="G5422">
        <f>IF(D5422="KEEP",COUNTIF($D$2:D5422,"KEEP"),"")</f>
        <v/>
      </c>
      <c r="H5422">
        <f>IF(D5422="REMOVE",COUNTIF($D$2:D5422,"REMOVE"),"")</f>
        <v/>
      </c>
      <c r="I5422">
        <f>IF(E5422="Gmail",COUNTIF($E$2:E5422,"Gmail"),"")</f>
        <v/>
      </c>
      <c r="J5422">
        <f>IF(E5422="Outlook",COUNTIF($E$2:E5422,"Outlook"),"")</f>
        <v/>
      </c>
      <c r="K5422">
        <f>IF(E5422="Domain",COUNTIF($E$2:E5422,"Domain"),"")</f>
        <v/>
      </c>
    </row>
    <row r="5423">
      <c r="A5423" s="2" t="n"/>
      <c r="B5423">
        <f>LOWER(TRIM(A5423))</f>
        <v/>
      </c>
      <c r="C5423">
        <f>IF(B5423="","",IFERROR(INDEX('Bad Patterns'!$A$2:$A$120,MATCH(1,INDEX(--ISNUMBER(SEARCH('Bad Patterns'!$A$2:$A$120,B5423)),0),0)),""))</f>
        <v/>
      </c>
      <c r="D5423">
        <f>IF(B5423="","",IF(C5423&lt;&gt;"","REMOVE","KEEP"))</f>
        <v/>
      </c>
      <c r="E5423">
        <f>IF(D5423&lt;&gt;"KEEP","",IF(RIGHT(B5423,10)="@gmail.com","Gmail",IF(OR(RIGHT(B5423,12)="@outlook.com",RIGHT(B5423,12)="@hotmail.com",RIGHT(B5423,9)="@live.com"),"Outlook","Domain")))</f>
        <v/>
      </c>
      <c r="F5423">
        <f>IF(B5423="","",IFERROR(RIGHT(B5423,LEN(B5423)-FIND("@",B5423)),""))</f>
        <v/>
      </c>
      <c r="G5423">
        <f>IF(D5423="KEEP",COUNTIF($D$2:D5423,"KEEP"),"")</f>
        <v/>
      </c>
      <c r="H5423">
        <f>IF(D5423="REMOVE",COUNTIF($D$2:D5423,"REMOVE"),"")</f>
        <v/>
      </c>
      <c r="I5423">
        <f>IF(E5423="Gmail",COUNTIF($E$2:E5423,"Gmail"),"")</f>
        <v/>
      </c>
      <c r="J5423">
        <f>IF(E5423="Outlook",COUNTIF($E$2:E5423,"Outlook"),"")</f>
        <v/>
      </c>
      <c r="K5423">
        <f>IF(E5423="Domain",COUNTIF($E$2:E5423,"Domain"),"")</f>
        <v/>
      </c>
    </row>
    <row r="5424">
      <c r="A5424" s="2" t="n"/>
      <c r="B5424">
        <f>LOWER(TRIM(A5424))</f>
        <v/>
      </c>
      <c r="C5424">
        <f>IF(B5424="","",IFERROR(INDEX('Bad Patterns'!$A$2:$A$120,MATCH(1,INDEX(--ISNUMBER(SEARCH('Bad Patterns'!$A$2:$A$120,B5424)),0),0)),""))</f>
        <v/>
      </c>
      <c r="D5424">
        <f>IF(B5424="","",IF(C5424&lt;&gt;"","REMOVE","KEEP"))</f>
        <v/>
      </c>
      <c r="E5424">
        <f>IF(D5424&lt;&gt;"KEEP","",IF(RIGHT(B5424,10)="@gmail.com","Gmail",IF(OR(RIGHT(B5424,12)="@outlook.com",RIGHT(B5424,12)="@hotmail.com",RIGHT(B5424,9)="@live.com"),"Outlook","Domain")))</f>
        <v/>
      </c>
      <c r="F5424">
        <f>IF(B5424="","",IFERROR(RIGHT(B5424,LEN(B5424)-FIND("@",B5424)),""))</f>
        <v/>
      </c>
      <c r="G5424">
        <f>IF(D5424="KEEP",COUNTIF($D$2:D5424,"KEEP"),"")</f>
        <v/>
      </c>
      <c r="H5424">
        <f>IF(D5424="REMOVE",COUNTIF($D$2:D5424,"REMOVE"),"")</f>
        <v/>
      </c>
      <c r="I5424">
        <f>IF(E5424="Gmail",COUNTIF($E$2:E5424,"Gmail"),"")</f>
        <v/>
      </c>
      <c r="J5424">
        <f>IF(E5424="Outlook",COUNTIF($E$2:E5424,"Outlook"),"")</f>
        <v/>
      </c>
      <c r="K5424">
        <f>IF(E5424="Domain",COUNTIF($E$2:E5424,"Domain"),"")</f>
        <v/>
      </c>
    </row>
    <row r="5425">
      <c r="A5425" s="2" t="n"/>
      <c r="B5425">
        <f>LOWER(TRIM(A5425))</f>
        <v/>
      </c>
      <c r="C5425">
        <f>IF(B5425="","",IFERROR(INDEX('Bad Patterns'!$A$2:$A$120,MATCH(1,INDEX(--ISNUMBER(SEARCH('Bad Patterns'!$A$2:$A$120,B5425)),0),0)),""))</f>
        <v/>
      </c>
      <c r="D5425">
        <f>IF(B5425="","",IF(C5425&lt;&gt;"","REMOVE","KEEP"))</f>
        <v/>
      </c>
      <c r="E5425">
        <f>IF(D5425&lt;&gt;"KEEP","",IF(RIGHT(B5425,10)="@gmail.com","Gmail",IF(OR(RIGHT(B5425,12)="@outlook.com",RIGHT(B5425,12)="@hotmail.com",RIGHT(B5425,9)="@live.com"),"Outlook","Domain")))</f>
        <v/>
      </c>
      <c r="F5425">
        <f>IF(B5425="","",IFERROR(RIGHT(B5425,LEN(B5425)-FIND("@",B5425)),""))</f>
        <v/>
      </c>
      <c r="G5425">
        <f>IF(D5425="KEEP",COUNTIF($D$2:D5425,"KEEP"),"")</f>
        <v/>
      </c>
      <c r="H5425">
        <f>IF(D5425="REMOVE",COUNTIF($D$2:D5425,"REMOVE"),"")</f>
        <v/>
      </c>
      <c r="I5425">
        <f>IF(E5425="Gmail",COUNTIF($E$2:E5425,"Gmail"),"")</f>
        <v/>
      </c>
      <c r="J5425">
        <f>IF(E5425="Outlook",COUNTIF($E$2:E5425,"Outlook"),"")</f>
        <v/>
      </c>
      <c r="K5425">
        <f>IF(E5425="Domain",COUNTIF($E$2:E5425,"Domain"),"")</f>
        <v/>
      </c>
    </row>
    <row r="5426">
      <c r="A5426" s="2" t="n"/>
      <c r="B5426">
        <f>LOWER(TRIM(A5426))</f>
        <v/>
      </c>
      <c r="C5426">
        <f>IF(B5426="","",IFERROR(INDEX('Bad Patterns'!$A$2:$A$120,MATCH(1,INDEX(--ISNUMBER(SEARCH('Bad Patterns'!$A$2:$A$120,B5426)),0),0)),""))</f>
        <v/>
      </c>
      <c r="D5426">
        <f>IF(B5426="","",IF(C5426&lt;&gt;"","REMOVE","KEEP"))</f>
        <v/>
      </c>
      <c r="E5426">
        <f>IF(D5426&lt;&gt;"KEEP","",IF(RIGHT(B5426,10)="@gmail.com","Gmail",IF(OR(RIGHT(B5426,12)="@outlook.com",RIGHT(B5426,12)="@hotmail.com",RIGHT(B5426,9)="@live.com"),"Outlook","Domain")))</f>
        <v/>
      </c>
      <c r="F5426">
        <f>IF(B5426="","",IFERROR(RIGHT(B5426,LEN(B5426)-FIND("@",B5426)),""))</f>
        <v/>
      </c>
      <c r="G5426">
        <f>IF(D5426="KEEP",COUNTIF($D$2:D5426,"KEEP"),"")</f>
        <v/>
      </c>
      <c r="H5426">
        <f>IF(D5426="REMOVE",COUNTIF($D$2:D5426,"REMOVE"),"")</f>
        <v/>
      </c>
      <c r="I5426">
        <f>IF(E5426="Gmail",COUNTIF($E$2:E5426,"Gmail"),"")</f>
        <v/>
      </c>
      <c r="J5426">
        <f>IF(E5426="Outlook",COUNTIF($E$2:E5426,"Outlook"),"")</f>
        <v/>
      </c>
      <c r="K5426">
        <f>IF(E5426="Domain",COUNTIF($E$2:E5426,"Domain"),"")</f>
        <v/>
      </c>
    </row>
    <row r="5427">
      <c r="A5427" s="2" t="n"/>
      <c r="B5427">
        <f>LOWER(TRIM(A5427))</f>
        <v/>
      </c>
      <c r="C5427">
        <f>IF(B5427="","",IFERROR(INDEX('Bad Patterns'!$A$2:$A$120,MATCH(1,INDEX(--ISNUMBER(SEARCH('Bad Patterns'!$A$2:$A$120,B5427)),0),0)),""))</f>
        <v/>
      </c>
      <c r="D5427">
        <f>IF(B5427="","",IF(C5427&lt;&gt;"","REMOVE","KEEP"))</f>
        <v/>
      </c>
      <c r="E5427">
        <f>IF(D5427&lt;&gt;"KEEP","",IF(RIGHT(B5427,10)="@gmail.com","Gmail",IF(OR(RIGHT(B5427,12)="@outlook.com",RIGHT(B5427,12)="@hotmail.com",RIGHT(B5427,9)="@live.com"),"Outlook","Domain")))</f>
        <v/>
      </c>
      <c r="F5427">
        <f>IF(B5427="","",IFERROR(RIGHT(B5427,LEN(B5427)-FIND("@",B5427)),""))</f>
        <v/>
      </c>
      <c r="G5427">
        <f>IF(D5427="KEEP",COUNTIF($D$2:D5427,"KEEP"),"")</f>
        <v/>
      </c>
      <c r="H5427">
        <f>IF(D5427="REMOVE",COUNTIF($D$2:D5427,"REMOVE"),"")</f>
        <v/>
      </c>
      <c r="I5427">
        <f>IF(E5427="Gmail",COUNTIF($E$2:E5427,"Gmail"),"")</f>
        <v/>
      </c>
      <c r="J5427">
        <f>IF(E5427="Outlook",COUNTIF($E$2:E5427,"Outlook"),"")</f>
        <v/>
      </c>
      <c r="K5427">
        <f>IF(E5427="Domain",COUNTIF($E$2:E5427,"Domain"),"")</f>
        <v/>
      </c>
    </row>
    <row r="5428">
      <c r="A5428" s="2" t="n"/>
      <c r="B5428">
        <f>LOWER(TRIM(A5428))</f>
        <v/>
      </c>
      <c r="C5428">
        <f>IF(B5428="","",IFERROR(INDEX('Bad Patterns'!$A$2:$A$120,MATCH(1,INDEX(--ISNUMBER(SEARCH('Bad Patterns'!$A$2:$A$120,B5428)),0),0)),""))</f>
        <v/>
      </c>
      <c r="D5428">
        <f>IF(B5428="","",IF(C5428&lt;&gt;"","REMOVE","KEEP"))</f>
        <v/>
      </c>
      <c r="E5428">
        <f>IF(D5428&lt;&gt;"KEEP","",IF(RIGHT(B5428,10)="@gmail.com","Gmail",IF(OR(RIGHT(B5428,12)="@outlook.com",RIGHT(B5428,12)="@hotmail.com",RIGHT(B5428,9)="@live.com"),"Outlook","Domain")))</f>
        <v/>
      </c>
      <c r="F5428">
        <f>IF(B5428="","",IFERROR(RIGHT(B5428,LEN(B5428)-FIND("@",B5428)),""))</f>
        <v/>
      </c>
      <c r="G5428">
        <f>IF(D5428="KEEP",COUNTIF($D$2:D5428,"KEEP"),"")</f>
        <v/>
      </c>
      <c r="H5428">
        <f>IF(D5428="REMOVE",COUNTIF($D$2:D5428,"REMOVE"),"")</f>
        <v/>
      </c>
      <c r="I5428">
        <f>IF(E5428="Gmail",COUNTIF($E$2:E5428,"Gmail"),"")</f>
        <v/>
      </c>
      <c r="J5428">
        <f>IF(E5428="Outlook",COUNTIF($E$2:E5428,"Outlook"),"")</f>
        <v/>
      </c>
      <c r="K5428">
        <f>IF(E5428="Domain",COUNTIF($E$2:E5428,"Domain"),"")</f>
        <v/>
      </c>
    </row>
    <row r="5429">
      <c r="A5429" s="2" t="n"/>
      <c r="B5429">
        <f>LOWER(TRIM(A5429))</f>
        <v/>
      </c>
      <c r="C5429">
        <f>IF(B5429="","",IFERROR(INDEX('Bad Patterns'!$A$2:$A$120,MATCH(1,INDEX(--ISNUMBER(SEARCH('Bad Patterns'!$A$2:$A$120,B5429)),0),0)),""))</f>
        <v/>
      </c>
      <c r="D5429">
        <f>IF(B5429="","",IF(C5429&lt;&gt;"","REMOVE","KEEP"))</f>
        <v/>
      </c>
      <c r="E5429">
        <f>IF(D5429&lt;&gt;"KEEP","",IF(RIGHT(B5429,10)="@gmail.com","Gmail",IF(OR(RIGHT(B5429,12)="@outlook.com",RIGHT(B5429,12)="@hotmail.com",RIGHT(B5429,9)="@live.com"),"Outlook","Domain")))</f>
        <v/>
      </c>
      <c r="F5429">
        <f>IF(B5429="","",IFERROR(RIGHT(B5429,LEN(B5429)-FIND("@",B5429)),""))</f>
        <v/>
      </c>
      <c r="G5429">
        <f>IF(D5429="KEEP",COUNTIF($D$2:D5429,"KEEP"),"")</f>
        <v/>
      </c>
      <c r="H5429">
        <f>IF(D5429="REMOVE",COUNTIF($D$2:D5429,"REMOVE"),"")</f>
        <v/>
      </c>
      <c r="I5429">
        <f>IF(E5429="Gmail",COUNTIF($E$2:E5429,"Gmail"),"")</f>
        <v/>
      </c>
      <c r="J5429">
        <f>IF(E5429="Outlook",COUNTIF($E$2:E5429,"Outlook"),"")</f>
        <v/>
      </c>
      <c r="K5429">
        <f>IF(E5429="Domain",COUNTIF($E$2:E5429,"Domain"),"")</f>
        <v/>
      </c>
    </row>
    <row r="5430">
      <c r="A5430" s="2" t="n"/>
      <c r="B5430">
        <f>LOWER(TRIM(A5430))</f>
        <v/>
      </c>
      <c r="C5430">
        <f>IF(B5430="","",IFERROR(INDEX('Bad Patterns'!$A$2:$A$120,MATCH(1,INDEX(--ISNUMBER(SEARCH('Bad Patterns'!$A$2:$A$120,B5430)),0),0)),""))</f>
        <v/>
      </c>
      <c r="D5430">
        <f>IF(B5430="","",IF(C5430&lt;&gt;"","REMOVE","KEEP"))</f>
        <v/>
      </c>
      <c r="E5430">
        <f>IF(D5430&lt;&gt;"KEEP","",IF(RIGHT(B5430,10)="@gmail.com","Gmail",IF(OR(RIGHT(B5430,12)="@outlook.com",RIGHT(B5430,12)="@hotmail.com",RIGHT(B5430,9)="@live.com"),"Outlook","Domain")))</f>
        <v/>
      </c>
      <c r="F5430">
        <f>IF(B5430="","",IFERROR(RIGHT(B5430,LEN(B5430)-FIND("@",B5430)),""))</f>
        <v/>
      </c>
      <c r="G5430">
        <f>IF(D5430="KEEP",COUNTIF($D$2:D5430,"KEEP"),"")</f>
        <v/>
      </c>
      <c r="H5430">
        <f>IF(D5430="REMOVE",COUNTIF($D$2:D5430,"REMOVE"),"")</f>
        <v/>
      </c>
      <c r="I5430">
        <f>IF(E5430="Gmail",COUNTIF($E$2:E5430,"Gmail"),"")</f>
        <v/>
      </c>
      <c r="J5430">
        <f>IF(E5430="Outlook",COUNTIF($E$2:E5430,"Outlook"),"")</f>
        <v/>
      </c>
      <c r="K5430">
        <f>IF(E5430="Domain",COUNTIF($E$2:E5430,"Domain"),"")</f>
        <v/>
      </c>
    </row>
    <row r="5431">
      <c r="A5431" s="2" t="n"/>
      <c r="B5431">
        <f>LOWER(TRIM(A5431))</f>
        <v/>
      </c>
      <c r="C5431">
        <f>IF(B5431="","",IFERROR(INDEX('Bad Patterns'!$A$2:$A$120,MATCH(1,INDEX(--ISNUMBER(SEARCH('Bad Patterns'!$A$2:$A$120,B5431)),0),0)),""))</f>
        <v/>
      </c>
      <c r="D5431">
        <f>IF(B5431="","",IF(C5431&lt;&gt;"","REMOVE","KEEP"))</f>
        <v/>
      </c>
      <c r="E5431">
        <f>IF(D5431&lt;&gt;"KEEP","",IF(RIGHT(B5431,10)="@gmail.com","Gmail",IF(OR(RIGHT(B5431,12)="@outlook.com",RIGHT(B5431,12)="@hotmail.com",RIGHT(B5431,9)="@live.com"),"Outlook","Domain")))</f>
        <v/>
      </c>
      <c r="F5431">
        <f>IF(B5431="","",IFERROR(RIGHT(B5431,LEN(B5431)-FIND("@",B5431)),""))</f>
        <v/>
      </c>
      <c r="G5431">
        <f>IF(D5431="KEEP",COUNTIF($D$2:D5431,"KEEP"),"")</f>
        <v/>
      </c>
      <c r="H5431">
        <f>IF(D5431="REMOVE",COUNTIF($D$2:D5431,"REMOVE"),"")</f>
        <v/>
      </c>
      <c r="I5431">
        <f>IF(E5431="Gmail",COUNTIF($E$2:E5431,"Gmail"),"")</f>
        <v/>
      </c>
      <c r="J5431">
        <f>IF(E5431="Outlook",COUNTIF($E$2:E5431,"Outlook"),"")</f>
        <v/>
      </c>
      <c r="K5431">
        <f>IF(E5431="Domain",COUNTIF($E$2:E5431,"Domain"),"")</f>
        <v/>
      </c>
    </row>
    <row r="5432">
      <c r="A5432" s="2" t="n"/>
      <c r="B5432">
        <f>LOWER(TRIM(A5432))</f>
        <v/>
      </c>
      <c r="C5432">
        <f>IF(B5432="","",IFERROR(INDEX('Bad Patterns'!$A$2:$A$120,MATCH(1,INDEX(--ISNUMBER(SEARCH('Bad Patterns'!$A$2:$A$120,B5432)),0),0)),""))</f>
        <v/>
      </c>
      <c r="D5432">
        <f>IF(B5432="","",IF(C5432&lt;&gt;"","REMOVE","KEEP"))</f>
        <v/>
      </c>
      <c r="E5432">
        <f>IF(D5432&lt;&gt;"KEEP","",IF(RIGHT(B5432,10)="@gmail.com","Gmail",IF(OR(RIGHT(B5432,12)="@outlook.com",RIGHT(B5432,12)="@hotmail.com",RIGHT(B5432,9)="@live.com"),"Outlook","Domain")))</f>
        <v/>
      </c>
      <c r="F5432">
        <f>IF(B5432="","",IFERROR(RIGHT(B5432,LEN(B5432)-FIND("@",B5432)),""))</f>
        <v/>
      </c>
      <c r="G5432">
        <f>IF(D5432="KEEP",COUNTIF($D$2:D5432,"KEEP"),"")</f>
        <v/>
      </c>
      <c r="H5432">
        <f>IF(D5432="REMOVE",COUNTIF($D$2:D5432,"REMOVE"),"")</f>
        <v/>
      </c>
      <c r="I5432">
        <f>IF(E5432="Gmail",COUNTIF($E$2:E5432,"Gmail"),"")</f>
        <v/>
      </c>
      <c r="J5432">
        <f>IF(E5432="Outlook",COUNTIF($E$2:E5432,"Outlook"),"")</f>
        <v/>
      </c>
      <c r="K5432">
        <f>IF(E5432="Domain",COUNTIF($E$2:E5432,"Domain"),"")</f>
        <v/>
      </c>
    </row>
    <row r="5433">
      <c r="A5433" s="2" t="n"/>
      <c r="B5433">
        <f>LOWER(TRIM(A5433))</f>
        <v/>
      </c>
      <c r="C5433">
        <f>IF(B5433="","",IFERROR(INDEX('Bad Patterns'!$A$2:$A$120,MATCH(1,INDEX(--ISNUMBER(SEARCH('Bad Patterns'!$A$2:$A$120,B5433)),0),0)),""))</f>
        <v/>
      </c>
      <c r="D5433">
        <f>IF(B5433="","",IF(C5433&lt;&gt;"","REMOVE","KEEP"))</f>
        <v/>
      </c>
      <c r="E5433">
        <f>IF(D5433&lt;&gt;"KEEP","",IF(RIGHT(B5433,10)="@gmail.com","Gmail",IF(OR(RIGHT(B5433,12)="@outlook.com",RIGHT(B5433,12)="@hotmail.com",RIGHT(B5433,9)="@live.com"),"Outlook","Domain")))</f>
        <v/>
      </c>
      <c r="F5433">
        <f>IF(B5433="","",IFERROR(RIGHT(B5433,LEN(B5433)-FIND("@",B5433)),""))</f>
        <v/>
      </c>
      <c r="G5433">
        <f>IF(D5433="KEEP",COUNTIF($D$2:D5433,"KEEP"),"")</f>
        <v/>
      </c>
      <c r="H5433">
        <f>IF(D5433="REMOVE",COUNTIF($D$2:D5433,"REMOVE"),"")</f>
        <v/>
      </c>
      <c r="I5433">
        <f>IF(E5433="Gmail",COUNTIF($E$2:E5433,"Gmail"),"")</f>
        <v/>
      </c>
      <c r="J5433">
        <f>IF(E5433="Outlook",COUNTIF($E$2:E5433,"Outlook"),"")</f>
        <v/>
      </c>
      <c r="K5433">
        <f>IF(E5433="Domain",COUNTIF($E$2:E5433,"Domain"),"")</f>
        <v/>
      </c>
    </row>
    <row r="5434">
      <c r="A5434" s="2" t="n"/>
      <c r="B5434">
        <f>LOWER(TRIM(A5434))</f>
        <v/>
      </c>
      <c r="C5434">
        <f>IF(B5434="","",IFERROR(INDEX('Bad Patterns'!$A$2:$A$120,MATCH(1,INDEX(--ISNUMBER(SEARCH('Bad Patterns'!$A$2:$A$120,B5434)),0),0)),""))</f>
        <v/>
      </c>
      <c r="D5434">
        <f>IF(B5434="","",IF(C5434&lt;&gt;"","REMOVE","KEEP"))</f>
        <v/>
      </c>
      <c r="E5434">
        <f>IF(D5434&lt;&gt;"KEEP","",IF(RIGHT(B5434,10)="@gmail.com","Gmail",IF(OR(RIGHT(B5434,12)="@outlook.com",RIGHT(B5434,12)="@hotmail.com",RIGHT(B5434,9)="@live.com"),"Outlook","Domain")))</f>
        <v/>
      </c>
      <c r="F5434">
        <f>IF(B5434="","",IFERROR(RIGHT(B5434,LEN(B5434)-FIND("@",B5434)),""))</f>
        <v/>
      </c>
      <c r="G5434">
        <f>IF(D5434="KEEP",COUNTIF($D$2:D5434,"KEEP"),"")</f>
        <v/>
      </c>
      <c r="H5434">
        <f>IF(D5434="REMOVE",COUNTIF($D$2:D5434,"REMOVE"),"")</f>
        <v/>
      </c>
      <c r="I5434">
        <f>IF(E5434="Gmail",COUNTIF($E$2:E5434,"Gmail"),"")</f>
        <v/>
      </c>
      <c r="J5434">
        <f>IF(E5434="Outlook",COUNTIF($E$2:E5434,"Outlook"),"")</f>
        <v/>
      </c>
      <c r="K5434">
        <f>IF(E5434="Domain",COUNTIF($E$2:E5434,"Domain"),"")</f>
        <v/>
      </c>
    </row>
    <row r="5435">
      <c r="A5435" s="2" t="n"/>
      <c r="B5435">
        <f>LOWER(TRIM(A5435))</f>
        <v/>
      </c>
      <c r="C5435">
        <f>IF(B5435="","",IFERROR(INDEX('Bad Patterns'!$A$2:$A$120,MATCH(1,INDEX(--ISNUMBER(SEARCH('Bad Patterns'!$A$2:$A$120,B5435)),0),0)),""))</f>
        <v/>
      </c>
      <c r="D5435">
        <f>IF(B5435="","",IF(C5435&lt;&gt;"","REMOVE","KEEP"))</f>
        <v/>
      </c>
      <c r="E5435">
        <f>IF(D5435&lt;&gt;"KEEP","",IF(RIGHT(B5435,10)="@gmail.com","Gmail",IF(OR(RIGHT(B5435,12)="@outlook.com",RIGHT(B5435,12)="@hotmail.com",RIGHT(B5435,9)="@live.com"),"Outlook","Domain")))</f>
        <v/>
      </c>
      <c r="F5435">
        <f>IF(B5435="","",IFERROR(RIGHT(B5435,LEN(B5435)-FIND("@",B5435)),""))</f>
        <v/>
      </c>
      <c r="G5435">
        <f>IF(D5435="KEEP",COUNTIF($D$2:D5435,"KEEP"),"")</f>
        <v/>
      </c>
      <c r="H5435">
        <f>IF(D5435="REMOVE",COUNTIF($D$2:D5435,"REMOVE"),"")</f>
        <v/>
      </c>
      <c r="I5435">
        <f>IF(E5435="Gmail",COUNTIF($E$2:E5435,"Gmail"),"")</f>
        <v/>
      </c>
      <c r="J5435">
        <f>IF(E5435="Outlook",COUNTIF($E$2:E5435,"Outlook"),"")</f>
        <v/>
      </c>
      <c r="K5435">
        <f>IF(E5435="Domain",COUNTIF($E$2:E5435,"Domain"),"")</f>
        <v/>
      </c>
    </row>
    <row r="5436">
      <c r="A5436" s="2" t="n"/>
      <c r="B5436">
        <f>LOWER(TRIM(A5436))</f>
        <v/>
      </c>
      <c r="C5436">
        <f>IF(B5436="","",IFERROR(INDEX('Bad Patterns'!$A$2:$A$120,MATCH(1,INDEX(--ISNUMBER(SEARCH('Bad Patterns'!$A$2:$A$120,B5436)),0),0)),""))</f>
        <v/>
      </c>
      <c r="D5436">
        <f>IF(B5436="","",IF(C5436&lt;&gt;"","REMOVE","KEEP"))</f>
        <v/>
      </c>
      <c r="E5436">
        <f>IF(D5436&lt;&gt;"KEEP","",IF(RIGHT(B5436,10)="@gmail.com","Gmail",IF(OR(RIGHT(B5436,12)="@outlook.com",RIGHT(B5436,12)="@hotmail.com",RIGHT(B5436,9)="@live.com"),"Outlook","Domain")))</f>
        <v/>
      </c>
      <c r="F5436">
        <f>IF(B5436="","",IFERROR(RIGHT(B5436,LEN(B5436)-FIND("@",B5436)),""))</f>
        <v/>
      </c>
      <c r="G5436">
        <f>IF(D5436="KEEP",COUNTIF($D$2:D5436,"KEEP"),"")</f>
        <v/>
      </c>
      <c r="H5436">
        <f>IF(D5436="REMOVE",COUNTIF($D$2:D5436,"REMOVE"),"")</f>
        <v/>
      </c>
      <c r="I5436">
        <f>IF(E5436="Gmail",COUNTIF($E$2:E5436,"Gmail"),"")</f>
        <v/>
      </c>
      <c r="J5436">
        <f>IF(E5436="Outlook",COUNTIF($E$2:E5436,"Outlook"),"")</f>
        <v/>
      </c>
      <c r="K5436">
        <f>IF(E5436="Domain",COUNTIF($E$2:E5436,"Domain"),"")</f>
        <v/>
      </c>
    </row>
    <row r="5437">
      <c r="A5437" s="2" t="n"/>
      <c r="B5437">
        <f>LOWER(TRIM(A5437))</f>
        <v/>
      </c>
      <c r="C5437">
        <f>IF(B5437="","",IFERROR(INDEX('Bad Patterns'!$A$2:$A$120,MATCH(1,INDEX(--ISNUMBER(SEARCH('Bad Patterns'!$A$2:$A$120,B5437)),0),0)),""))</f>
        <v/>
      </c>
      <c r="D5437">
        <f>IF(B5437="","",IF(C5437&lt;&gt;"","REMOVE","KEEP"))</f>
        <v/>
      </c>
      <c r="E5437">
        <f>IF(D5437&lt;&gt;"KEEP","",IF(RIGHT(B5437,10)="@gmail.com","Gmail",IF(OR(RIGHT(B5437,12)="@outlook.com",RIGHT(B5437,12)="@hotmail.com",RIGHT(B5437,9)="@live.com"),"Outlook","Domain")))</f>
        <v/>
      </c>
      <c r="F5437">
        <f>IF(B5437="","",IFERROR(RIGHT(B5437,LEN(B5437)-FIND("@",B5437)),""))</f>
        <v/>
      </c>
      <c r="G5437">
        <f>IF(D5437="KEEP",COUNTIF($D$2:D5437,"KEEP"),"")</f>
        <v/>
      </c>
      <c r="H5437">
        <f>IF(D5437="REMOVE",COUNTIF($D$2:D5437,"REMOVE"),"")</f>
        <v/>
      </c>
      <c r="I5437">
        <f>IF(E5437="Gmail",COUNTIF($E$2:E5437,"Gmail"),"")</f>
        <v/>
      </c>
      <c r="J5437">
        <f>IF(E5437="Outlook",COUNTIF($E$2:E5437,"Outlook"),"")</f>
        <v/>
      </c>
      <c r="K5437">
        <f>IF(E5437="Domain",COUNTIF($E$2:E5437,"Domain"),"")</f>
        <v/>
      </c>
    </row>
    <row r="5438">
      <c r="A5438" s="2" t="n"/>
      <c r="B5438">
        <f>LOWER(TRIM(A5438))</f>
        <v/>
      </c>
      <c r="C5438">
        <f>IF(B5438="","",IFERROR(INDEX('Bad Patterns'!$A$2:$A$120,MATCH(1,INDEX(--ISNUMBER(SEARCH('Bad Patterns'!$A$2:$A$120,B5438)),0),0)),""))</f>
        <v/>
      </c>
      <c r="D5438">
        <f>IF(B5438="","",IF(C5438&lt;&gt;"","REMOVE","KEEP"))</f>
        <v/>
      </c>
      <c r="E5438">
        <f>IF(D5438&lt;&gt;"KEEP","",IF(RIGHT(B5438,10)="@gmail.com","Gmail",IF(OR(RIGHT(B5438,12)="@outlook.com",RIGHT(B5438,12)="@hotmail.com",RIGHT(B5438,9)="@live.com"),"Outlook","Domain")))</f>
        <v/>
      </c>
      <c r="F5438">
        <f>IF(B5438="","",IFERROR(RIGHT(B5438,LEN(B5438)-FIND("@",B5438)),""))</f>
        <v/>
      </c>
      <c r="G5438">
        <f>IF(D5438="KEEP",COUNTIF($D$2:D5438,"KEEP"),"")</f>
        <v/>
      </c>
      <c r="H5438">
        <f>IF(D5438="REMOVE",COUNTIF($D$2:D5438,"REMOVE"),"")</f>
        <v/>
      </c>
      <c r="I5438">
        <f>IF(E5438="Gmail",COUNTIF($E$2:E5438,"Gmail"),"")</f>
        <v/>
      </c>
      <c r="J5438">
        <f>IF(E5438="Outlook",COUNTIF($E$2:E5438,"Outlook"),"")</f>
        <v/>
      </c>
      <c r="K5438">
        <f>IF(E5438="Domain",COUNTIF($E$2:E5438,"Domain"),"")</f>
        <v/>
      </c>
    </row>
    <row r="5439">
      <c r="A5439" s="2" t="n"/>
      <c r="B5439">
        <f>LOWER(TRIM(A5439))</f>
        <v/>
      </c>
      <c r="C5439">
        <f>IF(B5439="","",IFERROR(INDEX('Bad Patterns'!$A$2:$A$120,MATCH(1,INDEX(--ISNUMBER(SEARCH('Bad Patterns'!$A$2:$A$120,B5439)),0),0)),""))</f>
        <v/>
      </c>
      <c r="D5439">
        <f>IF(B5439="","",IF(C5439&lt;&gt;"","REMOVE","KEEP"))</f>
        <v/>
      </c>
      <c r="E5439">
        <f>IF(D5439&lt;&gt;"KEEP","",IF(RIGHT(B5439,10)="@gmail.com","Gmail",IF(OR(RIGHT(B5439,12)="@outlook.com",RIGHT(B5439,12)="@hotmail.com",RIGHT(B5439,9)="@live.com"),"Outlook","Domain")))</f>
        <v/>
      </c>
      <c r="F5439">
        <f>IF(B5439="","",IFERROR(RIGHT(B5439,LEN(B5439)-FIND("@",B5439)),""))</f>
        <v/>
      </c>
      <c r="G5439">
        <f>IF(D5439="KEEP",COUNTIF($D$2:D5439,"KEEP"),"")</f>
        <v/>
      </c>
      <c r="H5439">
        <f>IF(D5439="REMOVE",COUNTIF($D$2:D5439,"REMOVE"),"")</f>
        <v/>
      </c>
      <c r="I5439">
        <f>IF(E5439="Gmail",COUNTIF($E$2:E5439,"Gmail"),"")</f>
        <v/>
      </c>
      <c r="J5439">
        <f>IF(E5439="Outlook",COUNTIF($E$2:E5439,"Outlook"),"")</f>
        <v/>
      </c>
      <c r="K5439">
        <f>IF(E5439="Domain",COUNTIF($E$2:E5439,"Domain"),"")</f>
        <v/>
      </c>
    </row>
    <row r="5440">
      <c r="A5440" s="2" t="n"/>
      <c r="B5440">
        <f>LOWER(TRIM(A5440))</f>
        <v/>
      </c>
      <c r="C5440">
        <f>IF(B5440="","",IFERROR(INDEX('Bad Patterns'!$A$2:$A$120,MATCH(1,INDEX(--ISNUMBER(SEARCH('Bad Patterns'!$A$2:$A$120,B5440)),0),0)),""))</f>
        <v/>
      </c>
      <c r="D5440">
        <f>IF(B5440="","",IF(C5440&lt;&gt;"","REMOVE","KEEP"))</f>
        <v/>
      </c>
      <c r="E5440">
        <f>IF(D5440&lt;&gt;"KEEP","",IF(RIGHT(B5440,10)="@gmail.com","Gmail",IF(OR(RIGHT(B5440,12)="@outlook.com",RIGHT(B5440,12)="@hotmail.com",RIGHT(B5440,9)="@live.com"),"Outlook","Domain")))</f>
        <v/>
      </c>
      <c r="F5440">
        <f>IF(B5440="","",IFERROR(RIGHT(B5440,LEN(B5440)-FIND("@",B5440)),""))</f>
        <v/>
      </c>
      <c r="G5440">
        <f>IF(D5440="KEEP",COUNTIF($D$2:D5440,"KEEP"),"")</f>
        <v/>
      </c>
      <c r="H5440">
        <f>IF(D5440="REMOVE",COUNTIF($D$2:D5440,"REMOVE"),"")</f>
        <v/>
      </c>
      <c r="I5440">
        <f>IF(E5440="Gmail",COUNTIF($E$2:E5440,"Gmail"),"")</f>
        <v/>
      </c>
      <c r="J5440">
        <f>IF(E5440="Outlook",COUNTIF($E$2:E5440,"Outlook"),"")</f>
        <v/>
      </c>
      <c r="K5440">
        <f>IF(E5440="Domain",COUNTIF($E$2:E5440,"Domain"),"")</f>
        <v/>
      </c>
    </row>
    <row r="5441">
      <c r="A5441" s="2" t="n"/>
      <c r="B5441">
        <f>LOWER(TRIM(A5441))</f>
        <v/>
      </c>
      <c r="C5441">
        <f>IF(B5441="","",IFERROR(INDEX('Bad Patterns'!$A$2:$A$120,MATCH(1,INDEX(--ISNUMBER(SEARCH('Bad Patterns'!$A$2:$A$120,B5441)),0),0)),""))</f>
        <v/>
      </c>
      <c r="D5441">
        <f>IF(B5441="","",IF(C5441&lt;&gt;"","REMOVE","KEEP"))</f>
        <v/>
      </c>
      <c r="E5441">
        <f>IF(D5441&lt;&gt;"KEEP","",IF(RIGHT(B5441,10)="@gmail.com","Gmail",IF(OR(RIGHT(B5441,12)="@outlook.com",RIGHT(B5441,12)="@hotmail.com",RIGHT(B5441,9)="@live.com"),"Outlook","Domain")))</f>
        <v/>
      </c>
      <c r="F5441">
        <f>IF(B5441="","",IFERROR(RIGHT(B5441,LEN(B5441)-FIND("@",B5441)),""))</f>
        <v/>
      </c>
      <c r="G5441">
        <f>IF(D5441="KEEP",COUNTIF($D$2:D5441,"KEEP"),"")</f>
        <v/>
      </c>
      <c r="H5441">
        <f>IF(D5441="REMOVE",COUNTIF($D$2:D5441,"REMOVE"),"")</f>
        <v/>
      </c>
      <c r="I5441">
        <f>IF(E5441="Gmail",COUNTIF($E$2:E5441,"Gmail"),"")</f>
        <v/>
      </c>
      <c r="J5441">
        <f>IF(E5441="Outlook",COUNTIF($E$2:E5441,"Outlook"),"")</f>
        <v/>
      </c>
      <c r="K5441">
        <f>IF(E5441="Domain",COUNTIF($E$2:E5441,"Domain"),"")</f>
        <v/>
      </c>
    </row>
    <row r="5442">
      <c r="A5442" s="2" t="n"/>
      <c r="B5442">
        <f>LOWER(TRIM(A5442))</f>
        <v/>
      </c>
      <c r="C5442">
        <f>IF(B5442="","",IFERROR(INDEX('Bad Patterns'!$A$2:$A$120,MATCH(1,INDEX(--ISNUMBER(SEARCH('Bad Patterns'!$A$2:$A$120,B5442)),0),0)),""))</f>
        <v/>
      </c>
      <c r="D5442">
        <f>IF(B5442="","",IF(C5442&lt;&gt;"","REMOVE","KEEP"))</f>
        <v/>
      </c>
      <c r="E5442">
        <f>IF(D5442&lt;&gt;"KEEP","",IF(RIGHT(B5442,10)="@gmail.com","Gmail",IF(OR(RIGHT(B5442,12)="@outlook.com",RIGHT(B5442,12)="@hotmail.com",RIGHT(B5442,9)="@live.com"),"Outlook","Domain")))</f>
        <v/>
      </c>
      <c r="F5442">
        <f>IF(B5442="","",IFERROR(RIGHT(B5442,LEN(B5442)-FIND("@",B5442)),""))</f>
        <v/>
      </c>
      <c r="G5442">
        <f>IF(D5442="KEEP",COUNTIF($D$2:D5442,"KEEP"),"")</f>
        <v/>
      </c>
      <c r="H5442">
        <f>IF(D5442="REMOVE",COUNTIF($D$2:D5442,"REMOVE"),"")</f>
        <v/>
      </c>
      <c r="I5442">
        <f>IF(E5442="Gmail",COUNTIF($E$2:E5442,"Gmail"),"")</f>
        <v/>
      </c>
      <c r="J5442">
        <f>IF(E5442="Outlook",COUNTIF($E$2:E5442,"Outlook"),"")</f>
        <v/>
      </c>
      <c r="K5442">
        <f>IF(E5442="Domain",COUNTIF($E$2:E5442,"Domain"),"")</f>
        <v/>
      </c>
    </row>
    <row r="5443">
      <c r="A5443" s="2" t="n"/>
      <c r="B5443">
        <f>LOWER(TRIM(A5443))</f>
        <v/>
      </c>
      <c r="C5443">
        <f>IF(B5443="","",IFERROR(INDEX('Bad Patterns'!$A$2:$A$120,MATCH(1,INDEX(--ISNUMBER(SEARCH('Bad Patterns'!$A$2:$A$120,B5443)),0),0)),""))</f>
        <v/>
      </c>
      <c r="D5443">
        <f>IF(B5443="","",IF(C5443&lt;&gt;"","REMOVE","KEEP"))</f>
        <v/>
      </c>
      <c r="E5443">
        <f>IF(D5443&lt;&gt;"KEEP","",IF(RIGHT(B5443,10)="@gmail.com","Gmail",IF(OR(RIGHT(B5443,12)="@outlook.com",RIGHT(B5443,12)="@hotmail.com",RIGHT(B5443,9)="@live.com"),"Outlook","Domain")))</f>
        <v/>
      </c>
      <c r="F5443">
        <f>IF(B5443="","",IFERROR(RIGHT(B5443,LEN(B5443)-FIND("@",B5443)),""))</f>
        <v/>
      </c>
      <c r="G5443">
        <f>IF(D5443="KEEP",COUNTIF($D$2:D5443,"KEEP"),"")</f>
        <v/>
      </c>
      <c r="H5443">
        <f>IF(D5443="REMOVE",COUNTIF($D$2:D5443,"REMOVE"),"")</f>
        <v/>
      </c>
      <c r="I5443">
        <f>IF(E5443="Gmail",COUNTIF($E$2:E5443,"Gmail"),"")</f>
        <v/>
      </c>
      <c r="J5443">
        <f>IF(E5443="Outlook",COUNTIF($E$2:E5443,"Outlook"),"")</f>
        <v/>
      </c>
      <c r="K5443">
        <f>IF(E5443="Domain",COUNTIF($E$2:E5443,"Domain"),"")</f>
        <v/>
      </c>
    </row>
    <row r="5444">
      <c r="A5444" s="2" t="n"/>
      <c r="B5444">
        <f>LOWER(TRIM(A5444))</f>
        <v/>
      </c>
      <c r="C5444">
        <f>IF(B5444="","",IFERROR(INDEX('Bad Patterns'!$A$2:$A$120,MATCH(1,INDEX(--ISNUMBER(SEARCH('Bad Patterns'!$A$2:$A$120,B5444)),0),0)),""))</f>
        <v/>
      </c>
      <c r="D5444">
        <f>IF(B5444="","",IF(C5444&lt;&gt;"","REMOVE","KEEP"))</f>
        <v/>
      </c>
      <c r="E5444">
        <f>IF(D5444&lt;&gt;"KEEP","",IF(RIGHT(B5444,10)="@gmail.com","Gmail",IF(OR(RIGHT(B5444,12)="@outlook.com",RIGHT(B5444,12)="@hotmail.com",RIGHT(B5444,9)="@live.com"),"Outlook","Domain")))</f>
        <v/>
      </c>
      <c r="F5444">
        <f>IF(B5444="","",IFERROR(RIGHT(B5444,LEN(B5444)-FIND("@",B5444)),""))</f>
        <v/>
      </c>
      <c r="G5444">
        <f>IF(D5444="KEEP",COUNTIF($D$2:D5444,"KEEP"),"")</f>
        <v/>
      </c>
      <c r="H5444">
        <f>IF(D5444="REMOVE",COUNTIF($D$2:D5444,"REMOVE"),"")</f>
        <v/>
      </c>
      <c r="I5444">
        <f>IF(E5444="Gmail",COUNTIF($E$2:E5444,"Gmail"),"")</f>
        <v/>
      </c>
      <c r="J5444">
        <f>IF(E5444="Outlook",COUNTIF($E$2:E5444,"Outlook"),"")</f>
        <v/>
      </c>
      <c r="K5444">
        <f>IF(E5444="Domain",COUNTIF($E$2:E5444,"Domain"),"")</f>
        <v/>
      </c>
    </row>
    <row r="5445">
      <c r="A5445" s="2" t="n"/>
      <c r="B5445">
        <f>LOWER(TRIM(A5445))</f>
        <v/>
      </c>
      <c r="C5445">
        <f>IF(B5445="","",IFERROR(INDEX('Bad Patterns'!$A$2:$A$120,MATCH(1,INDEX(--ISNUMBER(SEARCH('Bad Patterns'!$A$2:$A$120,B5445)),0),0)),""))</f>
        <v/>
      </c>
      <c r="D5445">
        <f>IF(B5445="","",IF(C5445&lt;&gt;"","REMOVE","KEEP"))</f>
        <v/>
      </c>
      <c r="E5445">
        <f>IF(D5445&lt;&gt;"KEEP","",IF(RIGHT(B5445,10)="@gmail.com","Gmail",IF(OR(RIGHT(B5445,12)="@outlook.com",RIGHT(B5445,12)="@hotmail.com",RIGHT(B5445,9)="@live.com"),"Outlook","Domain")))</f>
        <v/>
      </c>
      <c r="F5445">
        <f>IF(B5445="","",IFERROR(RIGHT(B5445,LEN(B5445)-FIND("@",B5445)),""))</f>
        <v/>
      </c>
      <c r="G5445">
        <f>IF(D5445="KEEP",COUNTIF($D$2:D5445,"KEEP"),"")</f>
        <v/>
      </c>
      <c r="H5445">
        <f>IF(D5445="REMOVE",COUNTIF($D$2:D5445,"REMOVE"),"")</f>
        <v/>
      </c>
      <c r="I5445">
        <f>IF(E5445="Gmail",COUNTIF($E$2:E5445,"Gmail"),"")</f>
        <v/>
      </c>
      <c r="J5445">
        <f>IF(E5445="Outlook",COUNTIF($E$2:E5445,"Outlook"),"")</f>
        <v/>
      </c>
      <c r="K5445">
        <f>IF(E5445="Domain",COUNTIF($E$2:E5445,"Domain"),"")</f>
        <v/>
      </c>
    </row>
    <row r="5446">
      <c r="A5446" s="2" t="n"/>
      <c r="B5446">
        <f>LOWER(TRIM(A5446))</f>
        <v/>
      </c>
      <c r="C5446">
        <f>IF(B5446="","",IFERROR(INDEX('Bad Patterns'!$A$2:$A$120,MATCH(1,INDEX(--ISNUMBER(SEARCH('Bad Patterns'!$A$2:$A$120,B5446)),0),0)),""))</f>
        <v/>
      </c>
      <c r="D5446">
        <f>IF(B5446="","",IF(C5446&lt;&gt;"","REMOVE","KEEP"))</f>
        <v/>
      </c>
      <c r="E5446">
        <f>IF(D5446&lt;&gt;"KEEP","",IF(RIGHT(B5446,10)="@gmail.com","Gmail",IF(OR(RIGHT(B5446,12)="@outlook.com",RIGHT(B5446,12)="@hotmail.com",RIGHT(B5446,9)="@live.com"),"Outlook","Domain")))</f>
        <v/>
      </c>
      <c r="F5446">
        <f>IF(B5446="","",IFERROR(RIGHT(B5446,LEN(B5446)-FIND("@",B5446)),""))</f>
        <v/>
      </c>
      <c r="G5446">
        <f>IF(D5446="KEEP",COUNTIF($D$2:D5446,"KEEP"),"")</f>
        <v/>
      </c>
      <c r="H5446">
        <f>IF(D5446="REMOVE",COUNTIF($D$2:D5446,"REMOVE"),"")</f>
        <v/>
      </c>
      <c r="I5446">
        <f>IF(E5446="Gmail",COUNTIF($E$2:E5446,"Gmail"),"")</f>
        <v/>
      </c>
      <c r="J5446">
        <f>IF(E5446="Outlook",COUNTIF($E$2:E5446,"Outlook"),"")</f>
        <v/>
      </c>
      <c r="K5446">
        <f>IF(E5446="Domain",COUNTIF($E$2:E5446,"Domain"),"")</f>
        <v/>
      </c>
    </row>
    <row r="5447">
      <c r="A5447" s="2" t="n"/>
      <c r="B5447">
        <f>LOWER(TRIM(A5447))</f>
        <v/>
      </c>
      <c r="C5447">
        <f>IF(B5447="","",IFERROR(INDEX('Bad Patterns'!$A$2:$A$120,MATCH(1,INDEX(--ISNUMBER(SEARCH('Bad Patterns'!$A$2:$A$120,B5447)),0),0)),""))</f>
        <v/>
      </c>
      <c r="D5447">
        <f>IF(B5447="","",IF(C5447&lt;&gt;"","REMOVE","KEEP"))</f>
        <v/>
      </c>
      <c r="E5447">
        <f>IF(D5447&lt;&gt;"KEEP","",IF(RIGHT(B5447,10)="@gmail.com","Gmail",IF(OR(RIGHT(B5447,12)="@outlook.com",RIGHT(B5447,12)="@hotmail.com",RIGHT(B5447,9)="@live.com"),"Outlook","Domain")))</f>
        <v/>
      </c>
      <c r="F5447">
        <f>IF(B5447="","",IFERROR(RIGHT(B5447,LEN(B5447)-FIND("@",B5447)),""))</f>
        <v/>
      </c>
      <c r="G5447">
        <f>IF(D5447="KEEP",COUNTIF($D$2:D5447,"KEEP"),"")</f>
        <v/>
      </c>
      <c r="H5447">
        <f>IF(D5447="REMOVE",COUNTIF($D$2:D5447,"REMOVE"),"")</f>
        <v/>
      </c>
      <c r="I5447">
        <f>IF(E5447="Gmail",COUNTIF($E$2:E5447,"Gmail"),"")</f>
        <v/>
      </c>
      <c r="J5447">
        <f>IF(E5447="Outlook",COUNTIF($E$2:E5447,"Outlook"),"")</f>
        <v/>
      </c>
      <c r="K5447">
        <f>IF(E5447="Domain",COUNTIF($E$2:E5447,"Domain"),"")</f>
        <v/>
      </c>
    </row>
    <row r="5448">
      <c r="A5448" s="2" t="n"/>
      <c r="B5448">
        <f>LOWER(TRIM(A5448))</f>
        <v/>
      </c>
      <c r="C5448">
        <f>IF(B5448="","",IFERROR(INDEX('Bad Patterns'!$A$2:$A$120,MATCH(1,INDEX(--ISNUMBER(SEARCH('Bad Patterns'!$A$2:$A$120,B5448)),0),0)),""))</f>
        <v/>
      </c>
      <c r="D5448">
        <f>IF(B5448="","",IF(C5448&lt;&gt;"","REMOVE","KEEP"))</f>
        <v/>
      </c>
      <c r="E5448">
        <f>IF(D5448&lt;&gt;"KEEP","",IF(RIGHT(B5448,10)="@gmail.com","Gmail",IF(OR(RIGHT(B5448,12)="@outlook.com",RIGHT(B5448,12)="@hotmail.com",RIGHT(B5448,9)="@live.com"),"Outlook","Domain")))</f>
        <v/>
      </c>
      <c r="F5448">
        <f>IF(B5448="","",IFERROR(RIGHT(B5448,LEN(B5448)-FIND("@",B5448)),""))</f>
        <v/>
      </c>
      <c r="G5448">
        <f>IF(D5448="KEEP",COUNTIF($D$2:D5448,"KEEP"),"")</f>
        <v/>
      </c>
      <c r="H5448">
        <f>IF(D5448="REMOVE",COUNTIF($D$2:D5448,"REMOVE"),"")</f>
        <v/>
      </c>
      <c r="I5448">
        <f>IF(E5448="Gmail",COUNTIF($E$2:E5448,"Gmail"),"")</f>
        <v/>
      </c>
      <c r="J5448">
        <f>IF(E5448="Outlook",COUNTIF($E$2:E5448,"Outlook"),"")</f>
        <v/>
      </c>
      <c r="K5448">
        <f>IF(E5448="Domain",COUNTIF($E$2:E5448,"Domain"),"")</f>
        <v/>
      </c>
    </row>
    <row r="5449">
      <c r="A5449" s="2" t="n"/>
      <c r="B5449">
        <f>LOWER(TRIM(A5449))</f>
        <v/>
      </c>
      <c r="C5449">
        <f>IF(B5449="","",IFERROR(INDEX('Bad Patterns'!$A$2:$A$120,MATCH(1,INDEX(--ISNUMBER(SEARCH('Bad Patterns'!$A$2:$A$120,B5449)),0),0)),""))</f>
        <v/>
      </c>
      <c r="D5449">
        <f>IF(B5449="","",IF(C5449&lt;&gt;"","REMOVE","KEEP"))</f>
        <v/>
      </c>
      <c r="E5449">
        <f>IF(D5449&lt;&gt;"KEEP","",IF(RIGHT(B5449,10)="@gmail.com","Gmail",IF(OR(RIGHT(B5449,12)="@outlook.com",RIGHT(B5449,12)="@hotmail.com",RIGHT(B5449,9)="@live.com"),"Outlook","Domain")))</f>
        <v/>
      </c>
      <c r="F5449">
        <f>IF(B5449="","",IFERROR(RIGHT(B5449,LEN(B5449)-FIND("@",B5449)),""))</f>
        <v/>
      </c>
      <c r="G5449">
        <f>IF(D5449="KEEP",COUNTIF($D$2:D5449,"KEEP"),"")</f>
        <v/>
      </c>
      <c r="H5449">
        <f>IF(D5449="REMOVE",COUNTIF($D$2:D5449,"REMOVE"),"")</f>
        <v/>
      </c>
      <c r="I5449">
        <f>IF(E5449="Gmail",COUNTIF($E$2:E5449,"Gmail"),"")</f>
        <v/>
      </c>
      <c r="J5449">
        <f>IF(E5449="Outlook",COUNTIF($E$2:E5449,"Outlook"),"")</f>
        <v/>
      </c>
      <c r="K5449">
        <f>IF(E5449="Domain",COUNTIF($E$2:E5449,"Domain"),"")</f>
        <v/>
      </c>
    </row>
    <row r="5450">
      <c r="A5450" s="2" t="n"/>
      <c r="B5450">
        <f>LOWER(TRIM(A5450))</f>
        <v/>
      </c>
      <c r="C5450">
        <f>IF(B5450="","",IFERROR(INDEX('Bad Patterns'!$A$2:$A$120,MATCH(1,INDEX(--ISNUMBER(SEARCH('Bad Patterns'!$A$2:$A$120,B5450)),0),0)),""))</f>
        <v/>
      </c>
      <c r="D5450">
        <f>IF(B5450="","",IF(C5450&lt;&gt;"","REMOVE","KEEP"))</f>
        <v/>
      </c>
      <c r="E5450">
        <f>IF(D5450&lt;&gt;"KEEP","",IF(RIGHT(B5450,10)="@gmail.com","Gmail",IF(OR(RIGHT(B5450,12)="@outlook.com",RIGHT(B5450,12)="@hotmail.com",RIGHT(B5450,9)="@live.com"),"Outlook","Domain")))</f>
        <v/>
      </c>
      <c r="F5450">
        <f>IF(B5450="","",IFERROR(RIGHT(B5450,LEN(B5450)-FIND("@",B5450)),""))</f>
        <v/>
      </c>
      <c r="G5450">
        <f>IF(D5450="KEEP",COUNTIF($D$2:D5450,"KEEP"),"")</f>
        <v/>
      </c>
      <c r="H5450">
        <f>IF(D5450="REMOVE",COUNTIF($D$2:D5450,"REMOVE"),"")</f>
        <v/>
      </c>
      <c r="I5450">
        <f>IF(E5450="Gmail",COUNTIF($E$2:E5450,"Gmail"),"")</f>
        <v/>
      </c>
      <c r="J5450">
        <f>IF(E5450="Outlook",COUNTIF($E$2:E5450,"Outlook"),"")</f>
        <v/>
      </c>
      <c r="K5450">
        <f>IF(E5450="Domain",COUNTIF($E$2:E5450,"Domain"),"")</f>
        <v/>
      </c>
    </row>
    <row r="5451">
      <c r="A5451" s="2" t="n"/>
      <c r="B5451">
        <f>LOWER(TRIM(A5451))</f>
        <v/>
      </c>
      <c r="C5451">
        <f>IF(B5451="","",IFERROR(INDEX('Bad Patterns'!$A$2:$A$120,MATCH(1,INDEX(--ISNUMBER(SEARCH('Bad Patterns'!$A$2:$A$120,B5451)),0),0)),""))</f>
        <v/>
      </c>
      <c r="D5451">
        <f>IF(B5451="","",IF(C5451&lt;&gt;"","REMOVE","KEEP"))</f>
        <v/>
      </c>
      <c r="E5451">
        <f>IF(D5451&lt;&gt;"KEEP","",IF(RIGHT(B5451,10)="@gmail.com","Gmail",IF(OR(RIGHT(B5451,12)="@outlook.com",RIGHT(B5451,12)="@hotmail.com",RIGHT(B5451,9)="@live.com"),"Outlook","Domain")))</f>
        <v/>
      </c>
      <c r="F5451">
        <f>IF(B5451="","",IFERROR(RIGHT(B5451,LEN(B5451)-FIND("@",B5451)),""))</f>
        <v/>
      </c>
      <c r="G5451">
        <f>IF(D5451="KEEP",COUNTIF($D$2:D5451,"KEEP"),"")</f>
        <v/>
      </c>
      <c r="H5451">
        <f>IF(D5451="REMOVE",COUNTIF($D$2:D5451,"REMOVE"),"")</f>
        <v/>
      </c>
      <c r="I5451">
        <f>IF(E5451="Gmail",COUNTIF($E$2:E5451,"Gmail"),"")</f>
        <v/>
      </c>
      <c r="J5451">
        <f>IF(E5451="Outlook",COUNTIF($E$2:E5451,"Outlook"),"")</f>
        <v/>
      </c>
      <c r="K5451">
        <f>IF(E5451="Domain",COUNTIF($E$2:E5451,"Domain"),"")</f>
        <v/>
      </c>
    </row>
    <row r="5452">
      <c r="A5452" s="2" t="n"/>
      <c r="B5452">
        <f>LOWER(TRIM(A5452))</f>
        <v/>
      </c>
      <c r="C5452">
        <f>IF(B5452="","",IFERROR(INDEX('Bad Patterns'!$A$2:$A$120,MATCH(1,INDEX(--ISNUMBER(SEARCH('Bad Patterns'!$A$2:$A$120,B5452)),0),0)),""))</f>
        <v/>
      </c>
      <c r="D5452">
        <f>IF(B5452="","",IF(C5452&lt;&gt;"","REMOVE","KEEP"))</f>
        <v/>
      </c>
      <c r="E5452">
        <f>IF(D5452&lt;&gt;"KEEP","",IF(RIGHT(B5452,10)="@gmail.com","Gmail",IF(OR(RIGHT(B5452,12)="@outlook.com",RIGHT(B5452,12)="@hotmail.com",RIGHT(B5452,9)="@live.com"),"Outlook","Domain")))</f>
        <v/>
      </c>
      <c r="F5452">
        <f>IF(B5452="","",IFERROR(RIGHT(B5452,LEN(B5452)-FIND("@",B5452)),""))</f>
        <v/>
      </c>
      <c r="G5452">
        <f>IF(D5452="KEEP",COUNTIF($D$2:D5452,"KEEP"),"")</f>
        <v/>
      </c>
      <c r="H5452">
        <f>IF(D5452="REMOVE",COUNTIF($D$2:D5452,"REMOVE"),"")</f>
        <v/>
      </c>
      <c r="I5452">
        <f>IF(E5452="Gmail",COUNTIF($E$2:E5452,"Gmail"),"")</f>
        <v/>
      </c>
      <c r="J5452">
        <f>IF(E5452="Outlook",COUNTIF($E$2:E5452,"Outlook"),"")</f>
        <v/>
      </c>
      <c r="K5452">
        <f>IF(E5452="Domain",COUNTIF($E$2:E5452,"Domain"),"")</f>
        <v/>
      </c>
    </row>
    <row r="5453">
      <c r="A5453" s="2" t="n"/>
      <c r="B5453">
        <f>LOWER(TRIM(A5453))</f>
        <v/>
      </c>
      <c r="C5453">
        <f>IF(B5453="","",IFERROR(INDEX('Bad Patterns'!$A$2:$A$120,MATCH(1,INDEX(--ISNUMBER(SEARCH('Bad Patterns'!$A$2:$A$120,B5453)),0),0)),""))</f>
        <v/>
      </c>
      <c r="D5453">
        <f>IF(B5453="","",IF(C5453&lt;&gt;"","REMOVE","KEEP"))</f>
        <v/>
      </c>
      <c r="E5453">
        <f>IF(D5453&lt;&gt;"KEEP","",IF(RIGHT(B5453,10)="@gmail.com","Gmail",IF(OR(RIGHT(B5453,12)="@outlook.com",RIGHT(B5453,12)="@hotmail.com",RIGHT(B5453,9)="@live.com"),"Outlook","Domain")))</f>
        <v/>
      </c>
      <c r="F5453">
        <f>IF(B5453="","",IFERROR(RIGHT(B5453,LEN(B5453)-FIND("@",B5453)),""))</f>
        <v/>
      </c>
      <c r="G5453">
        <f>IF(D5453="KEEP",COUNTIF($D$2:D5453,"KEEP"),"")</f>
        <v/>
      </c>
      <c r="H5453">
        <f>IF(D5453="REMOVE",COUNTIF($D$2:D5453,"REMOVE"),"")</f>
        <v/>
      </c>
      <c r="I5453">
        <f>IF(E5453="Gmail",COUNTIF($E$2:E5453,"Gmail"),"")</f>
        <v/>
      </c>
      <c r="J5453">
        <f>IF(E5453="Outlook",COUNTIF($E$2:E5453,"Outlook"),"")</f>
        <v/>
      </c>
      <c r="K5453">
        <f>IF(E5453="Domain",COUNTIF($E$2:E5453,"Domain"),"")</f>
        <v/>
      </c>
    </row>
    <row r="5454">
      <c r="A5454" s="2" t="n"/>
      <c r="B5454">
        <f>LOWER(TRIM(A5454))</f>
        <v/>
      </c>
      <c r="C5454">
        <f>IF(B5454="","",IFERROR(INDEX('Bad Patterns'!$A$2:$A$120,MATCH(1,INDEX(--ISNUMBER(SEARCH('Bad Patterns'!$A$2:$A$120,B5454)),0),0)),""))</f>
        <v/>
      </c>
      <c r="D5454">
        <f>IF(B5454="","",IF(C5454&lt;&gt;"","REMOVE","KEEP"))</f>
        <v/>
      </c>
      <c r="E5454">
        <f>IF(D5454&lt;&gt;"KEEP","",IF(RIGHT(B5454,10)="@gmail.com","Gmail",IF(OR(RIGHT(B5454,12)="@outlook.com",RIGHT(B5454,12)="@hotmail.com",RIGHT(B5454,9)="@live.com"),"Outlook","Domain")))</f>
        <v/>
      </c>
      <c r="F5454">
        <f>IF(B5454="","",IFERROR(RIGHT(B5454,LEN(B5454)-FIND("@",B5454)),""))</f>
        <v/>
      </c>
      <c r="G5454">
        <f>IF(D5454="KEEP",COUNTIF($D$2:D5454,"KEEP"),"")</f>
        <v/>
      </c>
      <c r="H5454">
        <f>IF(D5454="REMOVE",COUNTIF($D$2:D5454,"REMOVE"),"")</f>
        <v/>
      </c>
      <c r="I5454">
        <f>IF(E5454="Gmail",COUNTIF($E$2:E5454,"Gmail"),"")</f>
        <v/>
      </c>
      <c r="J5454">
        <f>IF(E5454="Outlook",COUNTIF($E$2:E5454,"Outlook"),"")</f>
        <v/>
      </c>
      <c r="K5454">
        <f>IF(E5454="Domain",COUNTIF($E$2:E5454,"Domain"),"")</f>
        <v/>
      </c>
    </row>
    <row r="5455">
      <c r="A5455" s="2" t="n"/>
      <c r="B5455">
        <f>LOWER(TRIM(A5455))</f>
        <v/>
      </c>
      <c r="C5455">
        <f>IF(B5455="","",IFERROR(INDEX('Bad Patterns'!$A$2:$A$120,MATCH(1,INDEX(--ISNUMBER(SEARCH('Bad Patterns'!$A$2:$A$120,B5455)),0),0)),""))</f>
        <v/>
      </c>
      <c r="D5455">
        <f>IF(B5455="","",IF(C5455&lt;&gt;"","REMOVE","KEEP"))</f>
        <v/>
      </c>
      <c r="E5455">
        <f>IF(D5455&lt;&gt;"KEEP","",IF(RIGHT(B5455,10)="@gmail.com","Gmail",IF(OR(RIGHT(B5455,12)="@outlook.com",RIGHT(B5455,12)="@hotmail.com",RIGHT(B5455,9)="@live.com"),"Outlook","Domain")))</f>
        <v/>
      </c>
      <c r="F5455">
        <f>IF(B5455="","",IFERROR(RIGHT(B5455,LEN(B5455)-FIND("@",B5455)),""))</f>
        <v/>
      </c>
      <c r="G5455">
        <f>IF(D5455="KEEP",COUNTIF($D$2:D5455,"KEEP"),"")</f>
        <v/>
      </c>
      <c r="H5455">
        <f>IF(D5455="REMOVE",COUNTIF($D$2:D5455,"REMOVE"),"")</f>
        <v/>
      </c>
      <c r="I5455">
        <f>IF(E5455="Gmail",COUNTIF($E$2:E5455,"Gmail"),"")</f>
        <v/>
      </c>
      <c r="J5455">
        <f>IF(E5455="Outlook",COUNTIF($E$2:E5455,"Outlook"),"")</f>
        <v/>
      </c>
      <c r="K5455">
        <f>IF(E5455="Domain",COUNTIF($E$2:E5455,"Domain"),"")</f>
        <v/>
      </c>
    </row>
    <row r="5456">
      <c r="A5456" s="2" t="n"/>
      <c r="B5456">
        <f>LOWER(TRIM(A5456))</f>
        <v/>
      </c>
      <c r="C5456">
        <f>IF(B5456="","",IFERROR(INDEX('Bad Patterns'!$A$2:$A$120,MATCH(1,INDEX(--ISNUMBER(SEARCH('Bad Patterns'!$A$2:$A$120,B5456)),0),0)),""))</f>
        <v/>
      </c>
      <c r="D5456">
        <f>IF(B5456="","",IF(C5456&lt;&gt;"","REMOVE","KEEP"))</f>
        <v/>
      </c>
      <c r="E5456">
        <f>IF(D5456&lt;&gt;"KEEP","",IF(RIGHT(B5456,10)="@gmail.com","Gmail",IF(OR(RIGHT(B5456,12)="@outlook.com",RIGHT(B5456,12)="@hotmail.com",RIGHT(B5456,9)="@live.com"),"Outlook","Domain")))</f>
        <v/>
      </c>
      <c r="F5456">
        <f>IF(B5456="","",IFERROR(RIGHT(B5456,LEN(B5456)-FIND("@",B5456)),""))</f>
        <v/>
      </c>
      <c r="G5456">
        <f>IF(D5456="KEEP",COUNTIF($D$2:D5456,"KEEP"),"")</f>
        <v/>
      </c>
      <c r="H5456">
        <f>IF(D5456="REMOVE",COUNTIF($D$2:D5456,"REMOVE"),"")</f>
        <v/>
      </c>
      <c r="I5456">
        <f>IF(E5456="Gmail",COUNTIF($E$2:E5456,"Gmail"),"")</f>
        <v/>
      </c>
      <c r="J5456">
        <f>IF(E5456="Outlook",COUNTIF($E$2:E5456,"Outlook"),"")</f>
        <v/>
      </c>
      <c r="K5456">
        <f>IF(E5456="Domain",COUNTIF($E$2:E5456,"Domain"),"")</f>
        <v/>
      </c>
    </row>
    <row r="5457">
      <c r="A5457" s="2" t="n"/>
      <c r="B5457">
        <f>LOWER(TRIM(A5457))</f>
        <v/>
      </c>
      <c r="C5457">
        <f>IF(B5457="","",IFERROR(INDEX('Bad Patterns'!$A$2:$A$120,MATCH(1,INDEX(--ISNUMBER(SEARCH('Bad Patterns'!$A$2:$A$120,B5457)),0),0)),""))</f>
        <v/>
      </c>
      <c r="D5457">
        <f>IF(B5457="","",IF(C5457&lt;&gt;"","REMOVE","KEEP"))</f>
        <v/>
      </c>
      <c r="E5457">
        <f>IF(D5457&lt;&gt;"KEEP","",IF(RIGHT(B5457,10)="@gmail.com","Gmail",IF(OR(RIGHT(B5457,12)="@outlook.com",RIGHT(B5457,12)="@hotmail.com",RIGHT(B5457,9)="@live.com"),"Outlook","Domain")))</f>
        <v/>
      </c>
      <c r="F5457">
        <f>IF(B5457="","",IFERROR(RIGHT(B5457,LEN(B5457)-FIND("@",B5457)),""))</f>
        <v/>
      </c>
      <c r="G5457">
        <f>IF(D5457="KEEP",COUNTIF($D$2:D5457,"KEEP"),"")</f>
        <v/>
      </c>
      <c r="H5457">
        <f>IF(D5457="REMOVE",COUNTIF($D$2:D5457,"REMOVE"),"")</f>
        <v/>
      </c>
      <c r="I5457">
        <f>IF(E5457="Gmail",COUNTIF($E$2:E5457,"Gmail"),"")</f>
        <v/>
      </c>
      <c r="J5457">
        <f>IF(E5457="Outlook",COUNTIF($E$2:E5457,"Outlook"),"")</f>
        <v/>
      </c>
      <c r="K5457">
        <f>IF(E5457="Domain",COUNTIF($E$2:E5457,"Domain"),"")</f>
        <v/>
      </c>
    </row>
    <row r="5458">
      <c r="A5458" s="2" t="n"/>
      <c r="B5458">
        <f>LOWER(TRIM(A5458))</f>
        <v/>
      </c>
      <c r="C5458">
        <f>IF(B5458="","",IFERROR(INDEX('Bad Patterns'!$A$2:$A$120,MATCH(1,INDEX(--ISNUMBER(SEARCH('Bad Patterns'!$A$2:$A$120,B5458)),0),0)),""))</f>
        <v/>
      </c>
      <c r="D5458">
        <f>IF(B5458="","",IF(C5458&lt;&gt;"","REMOVE","KEEP"))</f>
        <v/>
      </c>
      <c r="E5458">
        <f>IF(D5458&lt;&gt;"KEEP","",IF(RIGHT(B5458,10)="@gmail.com","Gmail",IF(OR(RIGHT(B5458,12)="@outlook.com",RIGHT(B5458,12)="@hotmail.com",RIGHT(B5458,9)="@live.com"),"Outlook","Domain")))</f>
        <v/>
      </c>
      <c r="F5458">
        <f>IF(B5458="","",IFERROR(RIGHT(B5458,LEN(B5458)-FIND("@",B5458)),""))</f>
        <v/>
      </c>
      <c r="G5458">
        <f>IF(D5458="KEEP",COUNTIF($D$2:D5458,"KEEP"),"")</f>
        <v/>
      </c>
      <c r="H5458">
        <f>IF(D5458="REMOVE",COUNTIF($D$2:D5458,"REMOVE"),"")</f>
        <v/>
      </c>
      <c r="I5458">
        <f>IF(E5458="Gmail",COUNTIF($E$2:E5458,"Gmail"),"")</f>
        <v/>
      </c>
      <c r="J5458">
        <f>IF(E5458="Outlook",COUNTIF($E$2:E5458,"Outlook"),"")</f>
        <v/>
      </c>
      <c r="K5458">
        <f>IF(E5458="Domain",COUNTIF($E$2:E5458,"Domain"),"")</f>
        <v/>
      </c>
    </row>
    <row r="5459">
      <c r="A5459" s="2" t="n"/>
      <c r="B5459">
        <f>LOWER(TRIM(A5459))</f>
        <v/>
      </c>
      <c r="C5459">
        <f>IF(B5459="","",IFERROR(INDEX('Bad Patterns'!$A$2:$A$120,MATCH(1,INDEX(--ISNUMBER(SEARCH('Bad Patterns'!$A$2:$A$120,B5459)),0),0)),""))</f>
        <v/>
      </c>
      <c r="D5459">
        <f>IF(B5459="","",IF(C5459&lt;&gt;"","REMOVE","KEEP"))</f>
        <v/>
      </c>
      <c r="E5459">
        <f>IF(D5459&lt;&gt;"KEEP","",IF(RIGHT(B5459,10)="@gmail.com","Gmail",IF(OR(RIGHT(B5459,12)="@outlook.com",RIGHT(B5459,12)="@hotmail.com",RIGHT(B5459,9)="@live.com"),"Outlook","Domain")))</f>
        <v/>
      </c>
      <c r="F5459">
        <f>IF(B5459="","",IFERROR(RIGHT(B5459,LEN(B5459)-FIND("@",B5459)),""))</f>
        <v/>
      </c>
      <c r="G5459">
        <f>IF(D5459="KEEP",COUNTIF($D$2:D5459,"KEEP"),"")</f>
        <v/>
      </c>
      <c r="H5459">
        <f>IF(D5459="REMOVE",COUNTIF($D$2:D5459,"REMOVE"),"")</f>
        <v/>
      </c>
      <c r="I5459">
        <f>IF(E5459="Gmail",COUNTIF($E$2:E5459,"Gmail"),"")</f>
        <v/>
      </c>
      <c r="J5459">
        <f>IF(E5459="Outlook",COUNTIF($E$2:E5459,"Outlook"),"")</f>
        <v/>
      </c>
      <c r="K5459">
        <f>IF(E5459="Domain",COUNTIF($E$2:E5459,"Domain"),"")</f>
        <v/>
      </c>
    </row>
    <row r="5460">
      <c r="A5460" s="2" t="n"/>
      <c r="B5460">
        <f>LOWER(TRIM(A5460))</f>
        <v/>
      </c>
      <c r="C5460">
        <f>IF(B5460="","",IFERROR(INDEX('Bad Patterns'!$A$2:$A$120,MATCH(1,INDEX(--ISNUMBER(SEARCH('Bad Patterns'!$A$2:$A$120,B5460)),0),0)),""))</f>
        <v/>
      </c>
      <c r="D5460">
        <f>IF(B5460="","",IF(C5460&lt;&gt;"","REMOVE","KEEP"))</f>
        <v/>
      </c>
      <c r="E5460">
        <f>IF(D5460&lt;&gt;"KEEP","",IF(RIGHT(B5460,10)="@gmail.com","Gmail",IF(OR(RIGHT(B5460,12)="@outlook.com",RIGHT(B5460,12)="@hotmail.com",RIGHT(B5460,9)="@live.com"),"Outlook","Domain")))</f>
        <v/>
      </c>
      <c r="F5460">
        <f>IF(B5460="","",IFERROR(RIGHT(B5460,LEN(B5460)-FIND("@",B5460)),""))</f>
        <v/>
      </c>
      <c r="G5460">
        <f>IF(D5460="KEEP",COUNTIF($D$2:D5460,"KEEP"),"")</f>
        <v/>
      </c>
      <c r="H5460">
        <f>IF(D5460="REMOVE",COUNTIF($D$2:D5460,"REMOVE"),"")</f>
        <v/>
      </c>
      <c r="I5460">
        <f>IF(E5460="Gmail",COUNTIF($E$2:E5460,"Gmail"),"")</f>
        <v/>
      </c>
      <c r="J5460">
        <f>IF(E5460="Outlook",COUNTIF($E$2:E5460,"Outlook"),"")</f>
        <v/>
      </c>
      <c r="K5460">
        <f>IF(E5460="Domain",COUNTIF($E$2:E5460,"Domain"),"")</f>
        <v/>
      </c>
    </row>
    <row r="5461">
      <c r="A5461" s="2" t="n"/>
      <c r="B5461">
        <f>LOWER(TRIM(A5461))</f>
        <v/>
      </c>
      <c r="C5461">
        <f>IF(B5461="","",IFERROR(INDEX('Bad Patterns'!$A$2:$A$120,MATCH(1,INDEX(--ISNUMBER(SEARCH('Bad Patterns'!$A$2:$A$120,B5461)),0),0)),""))</f>
        <v/>
      </c>
      <c r="D5461">
        <f>IF(B5461="","",IF(C5461&lt;&gt;"","REMOVE","KEEP"))</f>
        <v/>
      </c>
      <c r="E5461">
        <f>IF(D5461&lt;&gt;"KEEP","",IF(RIGHT(B5461,10)="@gmail.com","Gmail",IF(OR(RIGHT(B5461,12)="@outlook.com",RIGHT(B5461,12)="@hotmail.com",RIGHT(B5461,9)="@live.com"),"Outlook","Domain")))</f>
        <v/>
      </c>
      <c r="F5461">
        <f>IF(B5461="","",IFERROR(RIGHT(B5461,LEN(B5461)-FIND("@",B5461)),""))</f>
        <v/>
      </c>
      <c r="G5461">
        <f>IF(D5461="KEEP",COUNTIF($D$2:D5461,"KEEP"),"")</f>
        <v/>
      </c>
      <c r="H5461">
        <f>IF(D5461="REMOVE",COUNTIF($D$2:D5461,"REMOVE"),"")</f>
        <v/>
      </c>
      <c r="I5461">
        <f>IF(E5461="Gmail",COUNTIF($E$2:E5461,"Gmail"),"")</f>
        <v/>
      </c>
      <c r="J5461">
        <f>IF(E5461="Outlook",COUNTIF($E$2:E5461,"Outlook"),"")</f>
        <v/>
      </c>
      <c r="K5461">
        <f>IF(E5461="Domain",COUNTIF($E$2:E5461,"Domain"),"")</f>
        <v/>
      </c>
    </row>
    <row r="5462">
      <c r="A5462" s="2" t="n"/>
      <c r="B5462">
        <f>LOWER(TRIM(A5462))</f>
        <v/>
      </c>
      <c r="C5462">
        <f>IF(B5462="","",IFERROR(INDEX('Bad Patterns'!$A$2:$A$120,MATCH(1,INDEX(--ISNUMBER(SEARCH('Bad Patterns'!$A$2:$A$120,B5462)),0),0)),""))</f>
        <v/>
      </c>
      <c r="D5462">
        <f>IF(B5462="","",IF(C5462&lt;&gt;"","REMOVE","KEEP"))</f>
        <v/>
      </c>
      <c r="E5462">
        <f>IF(D5462&lt;&gt;"KEEP","",IF(RIGHT(B5462,10)="@gmail.com","Gmail",IF(OR(RIGHT(B5462,12)="@outlook.com",RIGHT(B5462,12)="@hotmail.com",RIGHT(B5462,9)="@live.com"),"Outlook","Domain")))</f>
        <v/>
      </c>
      <c r="F5462">
        <f>IF(B5462="","",IFERROR(RIGHT(B5462,LEN(B5462)-FIND("@",B5462)),""))</f>
        <v/>
      </c>
      <c r="G5462">
        <f>IF(D5462="KEEP",COUNTIF($D$2:D5462,"KEEP"),"")</f>
        <v/>
      </c>
      <c r="H5462">
        <f>IF(D5462="REMOVE",COUNTIF($D$2:D5462,"REMOVE"),"")</f>
        <v/>
      </c>
      <c r="I5462">
        <f>IF(E5462="Gmail",COUNTIF($E$2:E5462,"Gmail"),"")</f>
        <v/>
      </c>
      <c r="J5462">
        <f>IF(E5462="Outlook",COUNTIF($E$2:E5462,"Outlook"),"")</f>
        <v/>
      </c>
      <c r="K5462">
        <f>IF(E5462="Domain",COUNTIF($E$2:E5462,"Domain"),"")</f>
        <v/>
      </c>
    </row>
    <row r="5463">
      <c r="A5463" s="2" t="n"/>
      <c r="B5463">
        <f>LOWER(TRIM(A5463))</f>
        <v/>
      </c>
      <c r="C5463">
        <f>IF(B5463="","",IFERROR(INDEX('Bad Patterns'!$A$2:$A$120,MATCH(1,INDEX(--ISNUMBER(SEARCH('Bad Patterns'!$A$2:$A$120,B5463)),0),0)),""))</f>
        <v/>
      </c>
      <c r="D5463">
        <f>IF(B5463="","",IF(C5463&lt;&gt;"","REMOVE","KEEP"))</f>
        <v/>
      </c>
      <c r="E5463">
        <f>IF(D5463&lt;&gt;"KEEP","",IF(RIGHT(B5463,10)="@gmail.com","Gmail",IF(OR(RIGHT(B5463,12)="@outlook.com",RIGHT(B5463,12)="@hotmail.com",RIGHT(B5463,9)="@live.com"),"Outlook","Domain")))</f>
        <v/>
      </c>
      <c r="F5463">
        <f>IF(B5463="","",IFERROR(RIGHT(B5463,LEN(B5463)-FIND("@",B5463)),""))</f>
        <v/>
      </c>
      <c r="G5463">
        <f>IF(D5463="KEEP",COUNTIF($D$2:D5463,"KEEP"),"")</f>
        <v/>
      </c>
      <c r="H5463">
        <f>IF(D5463="REMOVE",COUNTIF($D$2:D5463,"REMOVE"),"")</f>
        <v/>
      </c>
      <c r="I5463">
        <f>IF(E5463="Gmail",COUNTIF($E$2:E5463,"Gmail"),"")</f>
        <v/>
      </c>
      <c r="J5463">
        <f>IF(E5463="Outlook",COUNTIF($E$2:E5463,"Outlook"),"")</f>
        <v/>
      </c>
      <c r="K5463">
        <f>IF(E5463="Domain",COUNTIF($E$2:E5463,"Domain"),"")</f>
        <v/>
      </c>
    </row>
    <row r="5464">
      <c r="A5464" s="2" t="n"/>
      <c r="B5464">
        <f>LOWER(TRIM(A5464))</f>
        <v/>
      </c>
      <c r="C5464">
        <f>IF(B5464="","",IFERROR(INDEX('Bad Patterns'!$A$2:$A$120,MATCH(1,INDEX(--ISNUMBER(SEARCH('Bad Patterns'!$A$2:$A$120,B5464)),0),0)),""))</f>
        <v/>
      </c>
      <c r="D5464">
        <f>IF(B5464="","",IF(C5464&lt;&gt;"","REMOVE","KEEP"))</f>
        <v/>
      </c>
      <c r="E5464">
        <f>IF(D5464&lt;&gt;"KEEP","",IF(RIGHT(B5464,10)="@gmail.com","Gmail",IF(OR(RIGHT(B5464,12)="@outlook.com",RIGHT(B5464,12)="@hotmail.com",RIGHT(B5464,9)="@live.com"),"Outlook","Domain")))</f>
        <v/>
      </c>
      <c r="F5464">
        <f>IF(B5464="","",IFERROR(RIGHT(B5464,LEN(B5464)-FIND("@",B5464)),""))</f>
        <v/>
      </c>
      <c r="G5464">
        <f>IF(D5464="KEEP",COUNTIF($D$2:D5464,"KEEP"),"")</f>
        <v/>
      </c>
      <c r="H5464">
        <f>IF(D5464="REMOVE",COUNTIF($D$2:D5464,"REMOVE"),"")</f>
        <v/>
      </c>
      <c r="I5464">
        <f>IF(E5464="Gmail",COUNTIF($E$2:E5464,"Gmail"),"")</f>
        <v/>
      </c>
      <c r="J5464">
        <f>IF(E5464="Outlook",COUNTIF($E$2:E5464,"Outlook"),"")</f>
        <v/>
      </c>
      <c r="K5464">
        <f>IF(E5464="Domain",COUNTIF($E$2:E5464,"Domain"),"")</f>
        <v/>
      </c>
    </row>
    <row r="5465">
      <c r="A5465" s="2" t="n"/>
      <c r="B5465">
        <f>LOWER(TRIM(A5465))</f>
        <v/>
      </c>
      <c r="C5465">
        <f>IF(B5465="","",IFERROR(INDEX('Bad Patterns'!$A$2:$A$120,MATCH(1,INDEX(--ISNUMBER(SEARCH('Bad Patterns'!$A$2:$A$120,B5465)),0),0)),""))</f>
        <v/>
      </c>
      <c r="D5465">
        <f>IF(B5465="","",IF(C5465&lt;&gt;"","REMOVE","KEEP"))</f>
        <v/>
      </c>
      <c r="E5465">
        <f>IF(D5465&lt;&gt;"KEEP","",IF(RIGHT(B5465,10)="@gmail.com","Gmail",IF(OR(RIGHT(B5465,12)="@outlook.com",RIGHT(B5465,12)="@hotmail.com",RIGHT(B5465,9)="@live.com"),"Outlook","Domain")))</f>
        <v/>
      </c>
      <c r="F5465">
        <f>IF(B5465="","",IFERROR(RIGHT(B5465,LEN(B5465)-FIND("@",B5465)),""))</f>
        <v/>
      </c>
      <c r="G5465">
        <f>IF(D5465="KEEP",COUNTIF($D$2:D5465,"KEEP"),"")</f>
        <v/>
      </c>
      <c r="H5465">
        <f>IF(D5465="REMOVE",COUNTIF($D$2:D5465,"REMOVE"),"")</f>
        <v/>
      </c>
      <c r="I5465">
        <f>IF(E5465="Gmail",COUNTIF($E$2:E5465,"Gmail"),"")</f>
        <v/>
      </c>
      <c r="J5465">
        <f>IF(E5465="Outlook",COUNTIF($E$2:E5465,"Outlook"),"")</f>
        <v/>
      </c>
      <c r="K5465">
        <f>IF(E5465="Domain",COUNTIF($E$2:E5465,"Domain"),"")</f>
        <v/>
      </c>
    </row>
    <row r="5466">
      <c r="A5466" s="2" t="n"/>
      <c r="B5466">
        <f>LOWER(TRIM(A5466))</f>
        <v/>
      </c>
      <c r="C5466">
        <f>IF(B5466="","",IFERROR(INDEX('Bad Patterns'!$A$2:$A$120,MATCH(1,INDEX(--ISNUMBER(SEARCH('Bad Patterns'!$A$2:$A$120,B5466)),0),0)),""))</f>
        <v/>
      </c>
      <c r="D5466">
        <f>IF(B5466="","",IF(C5466&lt;&gt;"","REMOVE","KEEP"))</f>
        <v/>
      </c>
      <c r="E5466">
        <f>IF(D5466&lt;&gt;"KEEP","",IF(RIGHT(B5466,10)="@gmail.com","Gmail",IF(OR(RIGHT(B5466,12)="@outlook.com",RIGHT(B5466,12)="@hotmail.com",RIGHT(B5466,9)="@live.com"),"Outlook","Domain")))</f>
        <v/>
      </c>
      <c r="F5466">
        <f>IF(B5466="","",IFERROR(RIGHT(B5466,LEN(B5466)-FIND("@",B5466)),""))</f>
        <v/>
      </c>
      <c r="G5466">
        <f>IF(D5466="KEEP",COUNTIF($D$2:D5466,"KEEP"),"")</f>
        <v/>
      </c>
      <c r="H5466">
        <f>IF(D5466="REMOVE",COUNTIF($D$2:D5466,"REMOVE"),"")</f>
        <v/>
      </c>
      <c r="I5466">
        <f>IF(E5466="Gmail",COUNTIF($E$2:E5466,"Gmail"),"")</f>
        <v/>
      </c>
      <c r="J5466">
        <f>IF(E5466="Outlook",COUNTIF($E$2:E5466,"Outlook"),"")</f>
        <v/>
      </c>
      <c r="K5466">
        <f>IF(E5466="Domain",COUNTIF($E$2:E5466,"Domain"),"")</f>
        <v/>
      </c>
    </row>
    <row r="5467">
      <c r="A5467" s="2" t="n"/>
      <c r="B5467">
        <f>LOWER(TRIM(A5467))</f>
        <v/>
      </c>
      <c r="C5467">
        <f>IF(B5467="","",IFERROR(INDEX('Bad Patterns'!$A$2:$A$120,MATCH(1,INDEX(--ISNUMBER(SEARCH('Bad Patterns'!$A$2:$A$120,B5467)),0),0)),""))</f>
        <v/>
      </c>
      <c r="D5467">
        <f>IF(B5467="","",IF(C5467&lt;&gt;"","REMOVE","KEEP"))</f>
        <v/>
      </c>
      <c r="E5467">
        <f>IF(D5467&lt;&gt;"KEEP","",IF(RIGHT(B5467,10)="@gmail.com","Gmail",IF(OR(RIGHT(B5467,12)="@outlook.com",RIGHT(B5467,12)="@hotmail.com",RIGHT(B5467,9)="@live.com"),"Outlook","Domain")))</f>
        <v/>
      </c>
      <c r="F5467">
        <f>IF(B5467="","",IFERROR(RIGHT(B5467,LEN(B5467)-FIND("@",B5467)),""))</f>
        <v/>
      </c>
      <c r="G5467">
        <f>IF(D5467="KEEP",COUNTIF($D$2:D5467,"KEEP"),"")</f>
        <v/>
      </c>
      <c r="H5467">
        <f>IF(D5467="REMOVE",COUNTIF($D$2:D5467,"REMOVE"),"")</f>
        <v/>
      </c>
      <c r="I5467">
        <f>IF(E5467="Gmail",COUNTIF($E$2:E5467,"Gmail"),"")</f>
        <v/>
      </c>
      <c r="J5467">
        <f>IF(E5467="Outlook",COUNTIF($E$2:E5467,"Outlook"),"")</f>
        <v/>
      </c>
      <c r="K5467">
        <f>IF(E5467="Domain",COUNTIF($E$2:E5467,"Domain"),"")</f>
        <v/>
      </c>
    </row>
    <row r="5468">
      <c r="A5468" s="2" t="n"/>
      <c r="B5468">
        <f>LOWER(TRIM(A5468))</f>
        <v/>
      </c>
      <c r="C5468">
        <f>IF(B5468="","",IFERROR(INDEX('Bad Patterns'!$A$2:$A$120,MATCH(1,INDEX(--ISNUMBER(SEARCH('Bad Patterns'!$A$2:$A$120,B5468)),0),0)),""))</f>
        <v/>
      </c>
      <c r="D5468">
        <f>IF(B5468="","",IF(C5468&lt;&gt;"","REMOVE","KEEP"))</f>
        <v/>
      </c>
      <c r="E5468">
        <f>IF(D5468&lt;&gt;"KEEP","",IF(RIGHT(B5468,10)="@gmail.com","Gmail",IF(OR(RIGHT(B5468,12)="@outlook.com",RIGHT(B5468,12)="@hotmail.com",RIGHT(B5468,9)="@live.com"),"Outlook","Domain")))</f>
        <v/>
      </c>
      <c r="F5468">
        <f>IF(B5468="","",IFERROR(RIGHT(B5468,LEN(B5468)-FIND("@",B5468)),""))</f>
        <v/>
      </c>
      <c r="G5468">
        <f>IF(D5468="KEEP",COUNTIF($D$2:D5468,"KEEP"),"")</f>
        <v/>
      </c>
      <c r="H5468">
        <f>IF(D5468="REMOVE",COUNTIF($D$2:D5468,"REMOVE"),"")</f>
        <v/>
      </c>
      <c r="I5468">
        <f>IF(E5468="Gmail",COUNTIF($E$2:E5468,"Gmail"),"")</f>
        <v/>
      </c>
      <c r="J5468">
        <f>IF(E5468="Outlook",COUNTIF($E$2:E5468,"Outlook"),"")</f>
        <v/>
      </c>
      <c r="K5468">
        <f>IF(E5468="Domain",COUNTIF($E$2:E5468,"Domain"),"")</f>
        <v/>
      </c>
    </row>
    <row r="5469">
      <c r="A5469" s="2" t="n"/>
      <c r="B5469">
        <f>LOWER(TRIM(A5469))</f>
        <v/>
      </c>
      <c r="C5469">
        <f>IF(B5469="","",IFERROR(INDEX('Bad Patterns'!$A$2:$A$120,MATCH(1,INDEX(--ISNUMBER(SEARCH('Bad Patterns'!$A$2:$A$120,B5469)),0),0)),""))</f>
        <v/>
      </c>
      <c r="D5469">
        <f>IF(B5469="","",IF(C5469&lt;&gt;"","REMOVE","KEEP"))</f>
        <v/>
      </c>
      <c r="E5469">
        <f>IF(D5469&lt;&gt;"KEEP","",IF(RIGHT(B5469,10)="@gmail.com","Gmail",IF(OR(RIGHT(B5469,12)="@outlook.com",RIGHT(B5469,12)="@hotmail.com",RIGHT(B5469,9)="@live.com"),"Outlook","Domain")))</f>
        <v/>
      </c>
      <c r="F5469">
        <f>IF(B5469="","",IFERROR(RIGHT(B5469,LEN(B5469)-FIND("@",B5469)),""))</f>
        <v/>
      </c>
      <c r="G5469">
        <f>IF(D5469="KEEP",COUNTIF($D$2:D5469,"KEEP"),"")</f>
        <v/>
      </c>
      <c r="H5469">
        <f>IF(D5469="REMOVE",COUNTIF($D$2:D5469,"REMOVE"),"")</f>
        <v/>
      </c>
      <c r="I5469">
        <f>IF(E5469="Gmail",COUNTIF($E$2:E5469,"Gmail"),"")</f>
        <v/>
      </c>
      <c r="J5469">
        <f>IF(E5469="Outlook",COUNTIF($E$2:E5469,"Outlook"),"")</f>
        <v/>
      </c>
      <c r="K5469">
        <f>IF(E5469="Domain",COUNTIF($E$2:E5469,"Domain"),"")</f>
        <v/>
      </c>
    </row>
    <row r="5470">
      <c r="A5470" s="2" t="n"/>
      <c r="B5470">
        <f>LOWER(TRIM(A5470))</f>
        <v/>
      </c>
      <c r="C5470">
        <f>IF(B5470="","",IFERROR(INDEX('Bad Patterns'!$A$2:$A$120,MATCH(1,INDEX(--ISNUMBER(SEARCH('Bad Patterns'!$A$2:$A$120,B5470)),0),0)),""))</f>
        <v/>
      </c>
      <c r="D5470">
        <f>IF(B5470="","",IF(C5470&lt;&gt;"","REMOVE","KEEP"))</f>
        <v/>
      </c>
      <c r="E5470">
        <f>IF(D5470&lt;&gt;"KEEP","",IF(RIGHT(B5470,10)="@gmail.com","Gmail",IF(OR(RIGHT(B5470,12)="@outlook.com",RIGHT(B5470,12)="@hotmail.com",RIGHT(B5470,9)="@live.com"),"Outlook","Domain")))</f>
        <v/>
      </c>
      <c r="F5470">
        <f>IF(B5470="","",IFERROR(RIGHT(B5470,LEN(B5470)-FIND("@",B5470)),""))</f>
        <v/>
      </c>
      <c r="G5470">
        <f>IF(D5470="KEEP",COUNTIF($D$2:D5470,"KEEP"),"")</f>
        <v/>
      </c>
      <c r="H5470">
        <f>IF(D5470="REMOVE",COUNTIF($D$2:D5470,"REMOVE"),"")</f>
        <v/>
      </c>
      <c r="I5470">
        <f>IF(E5470="Gmail",COUNTIF($E$2:E5470,"Gmail"),"")</f>
        <v/>
      </c>
      <c r="J5470">
        <f>IF(E5470="Outlook",COUNTIF($E$2:E5470,"Outlook"),"")</f>
        <v/>
      </c>
      <c r="K5470">
        <f>IF(E5470="Domain",COUNTIF($E$2:E5470,"Domain"),"")</f>
        <v/>
      </c>
    </row>
    <row r="5471">
      <c r="A5471" s="2" t="n"/>
      <c r="B5471">
        <f>LOWER(TRIM(A5471))</f>
        <v/>
      </c>
      <c r="C5471">
        <f>IF(B5471="","",IFERROR(INDEX('Bad Patterns'!$A$2:$A$120,MATCH(1,INDEX(--ISNUMBER(SEARCH('Bad Patterns'!$A$2:$A$120,B5471)),0),0)),""))</f>
        <v/>
      </c>
      <c r="D5471">
        <f>IF(B5471="","",IF(C5471&lt;&gt;"","REMOVE","KEEP"))</f>
        <v/>
      </c>
      <c r="E5471">
        <f>IF(D5471&lt;&gt;"KEEP","",IF(RIGHT(B5471,10)="@gmail.com","Gmail",IF(OR(RIGHT(B5471,12)="@outlook.com",RIGHT(B5471,12)="@hotmail.com",RIGHT(B5471,9)="@live.com"),"Outlook","Domain")))</f>
        <v/>
      </c>
      <c r="F5471">
        <f>IF(B5471="","",IFERROR(RIGHT(B5471,LEN(B5471)-FIND("@",B5471)),""))</f>
        <v/>
      </c>
      <c r="G5471">
        <f>IF(D5471="KEEP",COUNTIF($D$2:D5471,"KEEP"),"")</f>
        <v/>
      </c>
      <c r="H5471">
        <f>IF(D5471="REMOVE",COUNTIF($D$2:D5471,"REMOVE"),"")</f>
        <v/>
      </c>
      <c r="I5471">
        <f>IF(E5471="Gmail",COUNTIF($E$2:E5471,"Gmail"),"")</f>
        <v/>
      </c>
      <c r="J5471">
        <f>IF(E5471="Outlook",COUNTIF($E$2:E5471,"Outlook"),"")</f>
        <v/>
      </c>
      <c r="K5471">
        <f>IF(E5471="Domain",COUNTIF($E$2:E5471,"Domain"),"")</f>
        <v/>
      </c>
    </row>
    <row r="5472">
      <c r="A5472" s="2" t="n"/>
      <c r="B5472">
        <f>LOWER(TRIM(A5472))</f>
        <v/>
      </c>
      <c r="C5472">
        <f>IF(B5472="","",IFERROR(INDEX('Bad Patterns'!$A$2:$A$120,MATCH(1,INDEX(--ISNUMBER(SEARCH('Bad Patterns'!$A$2:$A$120,B5472)),0),0)),""))</f>
        <v/>
      </c>
      <c r="D5472">
        <f>IF(B5472="","",IF(C5472&lt;&gt;"","REMOVE","KEEP"))</f>
        <v/>
      </c>
      <c r="E5472">
        <f>IF(D5472&lt;&gt;"KEEP","",IF(RIGHT(B5472,10)="@gmail.com","Gmail",IF(OR(RIGHT(B5472,12)="@outlook.com",RIGHT(B5472,12)="@hotmail.com",RIGHT(B5472,9)="@live.com"),"Outlook","Domain")))</f>
        <v/>
      </c>
      <c r="F5472">
        <f>IF(B5472="","",IFERROR(RIGHT(B5472,LEN(B5472)-FIND("@",B5472)),""))</f>
        <v/>
      </c>
      <c r="G5472">
        <f>IF(D5472="KEEP",COUNTIF($D$2:D5472,"KEEP"),"")</f>
        <v/>
      </c>
      <c r="H5472">
        <f>IF(D5472="REMOVE",COUNTIF($D$2:D5472,"REMOVE"),"")</f>
        <v/>
      </c>
      <c r="I5472">
        <f>IF(E5472="Gmail",COUNTIF($E$2:E5472,"Gmail"),"")</f>
        <v/>
      </c>
      <c r="J5472">
        <f>IF(E5472="Outlook",COUNTIF($E$2:E5472,"Outlook"),"")</f>
        <v/>
      </c>
      <c r="K5472">
        <f>IF(E5472="Domain",COUNTIF($E$2:E5472,"Domain"),"")</f>
        <v/>
      </c>
    </row>
    <row r="5473">
      <c r="A5473" s="2" t="n"/>
      <c r="B5473">
        <f>LOWER(TRIM(A5473))</f>
        <v/>
      </c>
      <c r="C5473">
        <f>IF(B5473="","",IFERROR(INDEX('Bad Patterns'!$A$2:$A$120,MATCH(1,INDEX(--ISNUMBER(SEARCH('Bad Patterns'!$A$2:$A$120,B5473)),0),0)),""))</f>
        <v/>
      </c>
      <c r="D5473">
        <f>IF(B5473="","",IF(C5473&lt;&gt;"","REMOVE","KEEP"))</f>
        <v/>
      </c>
      <c r="E5473">
        <f>IF(D5473&lt;&gt;"KEEP","",IF(RIGHT(B5473,10)="@gmail.com","Gmail",IF(OR(RIGHT(B5473,12)="@outlook.com",RIGHT(B5473,12)="@hotmail.com",RIGHT(B5473,9)="@live.com"),"Outlook","Domain")))</f>
        <v/>
      </c>
      <c r="F5473">
        <f>IF(B5473="","",IFERROR(RIGHT(B5473,LEN(B5473)-FIND("@",B5473)),""))</f>
        <v/>
      </c>
      <c r="G5473">
        <f>IF(D5473="KEEP",COUNTIF($D$2:D5473,"KEEP"),"")</f>
        <v/>
      </c>
      <c r="H5473">
        <f>IF(D5473="REMOVE",COUNTIF($D$2:D5473,"REMOVE"),"")</f>
        <v/>
      </c>
      <c r="I5473">
        <f>IF(E5473="Gmail",COUNTIF($E$2:E5473,"Gmail"),"")</f>
        <v/>
      </c>
      <c r="J5473">
        <f>IF(E5473="Outlook",COUNTIF($E$2:E5473,"Outlook"),"")</f>
        <v/>
      </c>
      <c r="K5473">
        <f>IF(E5473="Domain",COUNTIF($E$2:E5473,"Domain"),"")</f>
        <v/>
      </c>
    </row>
    <row r="5474">
      <c r="A5474" s="2" t="n"/>
      <c r="B5474">
        <f>LOWER(TRIM(A5474))</f>
        <v/>
      </c>
      <c r="C5474">
        <f>IF(B5474="","",IFERROR(INDEX('Bad Patterns'!$A$2:$A$120,MATCH(1,INDEX(--ISNUMBER(SEARCH('Bad Patterns'!$A$2:$A$120,B5474)),0),0)),""))</f>
        <v/>
      </c>
      <c r="D5474">
        <f>IF(B5474="","",IF(C5474&lt;&gt;"","REMOVE","KEEP"))</f>
        <v/>
      </c>
      <c r="E5474">
        <f>IF(D5474&lt;&gt;"KEEP","",IF(RIGHT(B5474,10)="@gmail.com","Gmail",IF(OR(RIGHT(B5474,12)="@outlook.com",RIGHT(B5474,12)="@hotmail.com",RIGHT(B5474,9)="@live.com"),"Outlook","Domain")))</f>
        <v/>
      </c>
      <c r="F5474">
        <f>IF(B5474="","",IFERROR(RIGHT(B5474,LEN(B5474)-FIND("@",B5474)),""))</f>
        <v/>
      </c>
      <c r="G5474">
        <f>IF(D5474="KEEP",COUNTIF($D$2:D5474,"KEEP"),"")</f>
        <v/>
      </c>
      <c r="H5474">
        <f>IF(D5474="REMOVE",COUNTIF($D$2:D5474,"REMOVE"),"")</f>
        <v/>
      </c>
      <c r="I5474">
        <f>IF(E5474="Gmail",COUNTIF($E$2:E5474,"Gmail"),"")</f>
        <v/>
      </c>
      <c r="J5474">
        <f>IF(E5474="Outlook",COUNTIF($E$2:E5474,"Outlook"),"")</f>
        <v/>
      </c>
      <c r="K5474">
        <f>IF(E5474="Domain",COUNTIF($E$2:E5474,"Domain"),"")</f>
        <v/>
      </c>
    </row>
    <row r="5475">
      <c r="A5475" s="2" t="n"/>
      <c r="B5475">
        <f>LOWER(TRIM(A5475))</f>
        <v/>
      </c>
      <c r="C5475">
        <f>IF(B5475="","",IFERROR(INDEX('Bad Patterns'!$A$2:$A$120,MATCH(1,INDEX(--ISNUMBER(SEARCH('Bad Patterns'!$A$2:$A$120,B5475)),0),0)),""))</f>
        <v/>
      </c>
      <c r="D5475">
        <f>IF(B5475="","",IF(C5475&lt;&gt;"","REMOVE","KEEP"))</f>
        <v/>
      </c>
      <c r="E5475">
        <f>IF(D5475&lt;&gt;"KEEP","",IF(RIGHT(B5475,10)="@gmail.com","Gmail",IF(OR(RIGHT(B5475,12)="@outlook.com",RIGHT(B5475,12)="@hotmail.com",RIGHT(B5475,9)="@live.com"),"Outlook","Domain")))</f>
        <v/>
      </c>
      <c r="F5475">
        <f>IF(B5475="","",IFERROR(RIGHT(B5475,LEN(B5475)-FIND("@",B5475)),""))</f>
        <v/>
      </c>
      <c r="G5475">
        <f>IF(D5475="KEEP",COUNTIF($D$2:D5475,"KEEP"),"")</f>
        <v/>
      </c>
      <c r="H5475">
        <f>IF(D5475="REMOVE",COUNTIF($D$2:D5475,"REMOVE"),"")</f>
        <v/>
      </c>
      <c r="I5475">
        <f>IF(E5475="Gmail",COUNTIF($E$2:E5475,"Gmail"),"")</f>
        <v/>
      </c>
      <c r="J5475">
        <f>IF(E5475="Outlook",COUNTIF($E$2:E5475,"Outlook"),"")</f>
        <v/>
      </c>
      <c r="K5475">
        <f>IF(E5475="Domain",COUNTIF($E$2:E5475,"Domain"),"")</f>
        <v/>
      </c>
    </row>
    <row r="5476">
      <c r="A5476" s="2" t="n"/>
      <c r="B5476">
        <f>LOWER(TRIM(A5476))</f>
        <v/>
      </c>
      <c r="C5476">
        <f>IF(B5476="","",IFERROR(INDEX('Bad Patterns'!$A$2:$A$120,MATCH(1,INDEX(--ISNUMBER(SEARCH('Bad Patterns'!$A$2:$A$120,B5476)),0),0)),""))</f>
        <v/>
      </c>
      <c r="D5476">
        <f>IF(B5476="","",IF(C5476&lt;&gt;"","REMOVE","KEEP"))</f>
        <v/>
      </c>
      <c r="E5476">
        <f>IF(D5476&lt;&gt;"KEEP","",IF(RIGHT(B5476,10)="@gmail.com","Gmail",IF(OR(RIGHT(B5476,12)="@outlook.com",RIGHT(B5476,12)="@hotmail.com",RIGHT(B5476,9)="@live.com"),"Outlook","Domain")))</f>
        <v/>
      </c>
      <c r="F5476">
        <f>IF(B5476="","",IFERROR(RIGHT(B5476,LEN(B5476)-FIND("@",B5476)),""))</f>
        <v/>
      </c>
      <c r="G5476">
        <f>IF(D5476="KEEP",COUNTIF($D$2:D5476,"KEEP"),"")</f>
        <v/>
      </c>
      <c r="H5476">
        <f>IF(D5476="REMOVE",COUNTIF($D$2:D5476,"REMOVE"),"")</f>
        <v/>
      </c>
      <c r="I5476">
        <f>IF(E5476="Gmail",COUNTIF($E$2:E5476,"Gmail"),"")</f>
        <v/>
      </c>
      <c r="J5476">
        <f>IF(E5476="Outlook",COUNTIF($E$2:E5476,"Outlook"),"")</f>
        <v/>
      </c>
      <c r="K5476">
        <f>IF(E5476="Domain",COUNTIF($E$2:E5476,"Domain"),"")</f>
        <v/>
      </c>
    </row>
    <row r="5477">
      <c r="A5477" s="2" t="n"/>
      <c r="B5477">
        <f>LOWER(TRIM(A5477))</f>
        <v/>
      </c>
      <c r="C5477">
        <f>IF(B5477="","",IFERROR(INDEX('Bad Patterns'!$A$2:$A$120,MATCH(1,INDEX(--ISNUMBER(SEARCH('Bad Patterns'!$A$2:$A$120,B5477)),0),0)),""))</f>
        <v/>
      </c>
      <c r="D5477">
        <f>IF(B5477="","",IF(C5477&lt;&gt;"","REMOVE","KEEP"))</f>
        <v/>
      </c>
      <c r="E5477">
        <f>IF(D5477&lt;&gt;"KEEP","",IF(RIGHT(B5477,10)="@gmail.com","Gmail",IF(OR(RIGHT(B5477,12)="@outlook.com",RIGHT(B5477,12)="@hotmail.com",RIGHT(B5477,9)="@live.com"),"Outlook","Domain")))</f>
        <v/>
      </c>
      <c r="F5477">
        <f>IF(B5477="","",IFERROR(RIGHT(B5477,LEN(B5477)-FIND("@",B5477)),""))</f>
        <v/>
      </c>
      <c r="G5477">
        <f>IF(D5477="KEEP",COUNTIF($D$2:D5477,"KEEP"),"")</f>
        <v/>
      </c>
      <c r="H5477">
        <f>IF(D5477="REMOVE",COUNTIF($D$2:D5477,"REMOVE"),"")</f>
        <v/>
      </c>
      <c r="I5477">
        <f>IF(E5477="Gmail",COUNTIF($E$2:E5477,"Gmail"),"")</f>
        <v/>
      </c>
      <c r="J5477">
        <f>IF(E5477="Outlook",COUNTIF($E$2:E5477,"Outlook"),"")</f>
        <v/>
      </c>
      <c r="K5477">
        <f>IF(E5477="Domain",COUNTIF($E$2:E5477,"Domain"),"")</f>
        <v/>
      </c>
    </row>
    <row r="5478">
      <c r="A5478" s="2" t="n"/>
      <c r="B5478">
        <f>LOWER(TRIM(A5478))</f>
        <v/>
      </c>
      <c r="C5478">
        <f>IF(B5478="","",IFERROR(INDEX('Bad Patterns'!$A$2:$A$120,MATCH(1,INDEX(--ISNUMBER(SEARCH('Bad Patterns'!$A$2:$A$120,B5478)),0),0)),""))</f>
        <v/>
      </c>
      <c r="D5478">
        <f>IF(B5478="","",IF(C5478&lt;&gt;"","REMOVE","KEEP"))</f>
        <v/>
      </c>
      <c r="E5478">
        <f>IF(D5478&lt;&gt;"KEEP","",IF(RIGHT(B5478,10)="@gmail.com","Gmail",IF(OR(RIGHT(B5478,12)="@outlook.com",RIGHT(B5478,12)="@hotmail.com",RIGHT(B5478,9)="@live.com"),"Outlook","Domain")))</f>
        <v/>
      </c>
      <c r="F5478">
        <f>IF(B5478="","",IFERROR(RIGHT(B5478,LEN(B5478)-FIND("@",B5478)),""))</f>
        <v/>
      </c>
      <c r="G5478">
        <f>IF(D5478="KEEP",COUNTIF($D$2:D5478,"KEEP"),"")</f>
        <v/>
      </c>
      <c r="H5478">
        <f>IF(D5478="REMOVE",COUNTIF($D$2:D5478,"REMOVE"),"")</f>
        <v/>
      </c>
      <c r="I5478">
        <f>IF(E5478="Gmail",COUNTIF($E$2:E5478,"Gmail"),"")</f>
        <v/>
      </c>
      <c r="J5478">
        <f>IF(E5478="Outlook",COUNTIF($E$2:E5478,"Outlook"),"")</f>
        <v/>
      </c>
      <c r="K5478">
        <f>IF(E5478="Domain",COUNTIF($E$2:E5478,"Domain"),"")</f>
        <v/>
      </c>
    </row>
    <row r="5479">
      <c r="A5479" s="2" t="n"/>
      <c r="B5479">
        <f>LOWER(TRIM(A5479))</f>
        <v/>
      </c>
      <c r="C5479">
        <f>IF(B5479="","",IFERROR(INDEX('Bad Patterns'!$A$2:$A$120,MATCH(1,INDEX(--ISNUMBER(SEARCH('Bad Patterns'!$A$2:$A$120,B5479)),0),0)),""))</f>
        <v/>
      </c>
      <c r="D5479">
        <f>IF(B5479="","",IF(C5479&lt;&gt;"","REMOVE","KEEP"))</f>
        <v/>
      </c>
      <c r="E5479">
        <f>IF(D5479&lt;&gt;"KEEP","",IF(RIGHT(B5479,10)="@gmail.com","Gmail",IF(OR(RIGHT(B5479,12)="@outlook.com",RIGHT(B5479,12)="@hotmail.com",RIGHT(B5479,9)="@live.com"),"Outlook","Domain")))</f>
        <v/>
      </c>
      <c r="F5479">
        <f>IF(B5479="","",IFERROR(RIGHT(B5479,LEN(B5479)-FIND("@",B5479)),""))</f>
        <v/>
      </c>
      <c r="G5479">
        <f>IF(D5479="KEEP",COUNTIF($D$2:D5479,"KEEP"),"")</f>
        <v/>
      </c>
      <c r="H5479">
        <f>IF(D5479="REMOVE",COUNTIF($D$2:D5479,"REMOVE"),"")</f>
        <v/>
      </c>
      <c r="I5479">
        <f>IF(E5479="Gmail",COUNTIF($E$2:E5479,"Gmail"),"")</f>
        <v/>
      </c>
      <c r="J5479">
        <f>IF(E5479="Outlook",COUNTIF($E$2:E5479,"Outlook"),"")</f>
        <v/>
      </c>
      <c r="K5479">
        <f>IF(E5479="Domain",COUNTIF($E$2:E5479,"Domain"),"")</f>
        <v/>
      </c>
    </row>
    <row r="5480">
      <c r="A5480" s="2" t="n"/>
      <c r="B5480">
        <f>LOWER(TRIM(A5480))</f>
        <v/>
      </c>
      <c r="C5480">
        <f>IF(B5480="","",IFERROR(INDEX('Bad Patterns'!$A$2:$A$120,MATCH(1,INDEX(--ISNUMBER(SEARCH('Bad Patterns'!$A$2:$A$120,B5480)),0),0)),""))</f>
        <v/>
      </c>
      <c r="D5480">
        <f>IF(B5480="","",IF(C5480&lt;&gt;"","REMOVE","KEEP"))</f>
        <v/>
      </c>
      <c r="E5480">
        <f>IF(D5480&lt;&gt;"KEEP","",IF(RIGHT(B5480,10)="@gmail.com","Gmail",IF(OR(RIGHT(B5480,12)="@outlook.com",RIGHT(B5480,12)="@hotmail.com",RIGHT(B5480,9)="@live.com"),"Outlook","Domain")))</f>
        <v/>
      </c>
      <c r="F5480">
        <f>IF(B5480="","",IFERROR(RIGHT(B5480,LEN(B5480)-FIND("@",B5480)),""))</f>
        <v/>
      </c>
      <c r="G5480">
        <f>IF(D5480="KEEP",COUNTIF($D$2:D5480,"KEEP"),"")</f>
        <v/>
      </c>
      <c r="H5480">
        <f>IF(D5480="REMOVE",COUNTIF($D$2:D5480,"REMOVE"),"")</f>
        <v/>
      </c>
      <c r="I5480">
        <f>IF(E5480="Gmail",COUNTIF($E$2:E5480,"Gmail"),"")</f>
        <v/>
      </c>
      <c r="J5480">
        <f>IF(E5480="Outlook",COUNTIF($E$2:E5480,"Outlook"),"")</f>
        <v/>
      </c>
      <c r="K5480">
        <f>IF(E5480="Domain",COUNTIF($E$2:E5480,"Domain"),"")</f>
        <v/>
      </c>
    </row>
    <row r="5481">
      <c r="A5481" s="2" t="n"/>
      <c r="B5481">
        <f>LOWER(TRIM(A5481))</f>
        <v/>
      </c>
      <c r="C5481">
        <f>IF(B5481="","",IFERROR(INDEX('Bad Patterns'!$A$2:$A$120,MATCH(1,INDEX(--ISNUMBER(SEARCH('Bad Patterns'!$A$2:$A$120,B5481)),0),0)),""))</f>
        <v/>
      </c>
      <c r="D5481">
        <f>IF(B5481="","",IF(C5481&lt;&gt;"","REMOVE","KEEP"))</f>
        <v/>
      </c>
      <c r="E5481">
        <f>IF(D5481&lt;&gt;"KEEP","",IF(RIGHT(B5481,10)="@gmail.com","Gmail",IF(OR(RIGHT(B5481,12)="@outlook.com",RIGHT(B5481,12)="@hotmail.com",RIGHT(B5481,9)="@live.com"),"Outlook","Domain")))</f>
        <v/>
      </c>
      <c r="F5481">
        <f>IF(B5481="","",IFERROR(RIGHT(B5481,LEN(B5481)-FIND("@",B5481)),""))</f>
        <v/>
      </c>
      <c r="G5481">
        <f>IF(D5481="KEEP",COUNTIF($D$2:D5481,"KEEP"),"")</f>
        <v/>
      </c>
      <c r="H5481">
        <f>IF(D5481="REMOVE",COUNTIF($D$2:D5481,"REMOVE"),"")</f>
        <v/>
      </c>
      <c r="I5481">
        <f>IF(E5481="Gmail",COUNTIF($E$2:E5481,"Gmail"),"")</f>
        <v/>
      </c>
      <c r="J5481">
        <f>IF(E5481="Outlook",COUNTIF($E$2:E5481,"Outlook"),"")</f>
        <v/>
      </c>
      <c r="K5481">
        <f>IF(E5481="Domain",COUNTIF($E$2:E5481,"Domain"),"")</f>
        <v/>
      </c>
    </row>
    <row r="5482">
      <c r="A5482" s="2" t="n"/>
      <c r="B5482">
        <f>LOWER(TRIM(A5482))</f>
        <v/>
      </c>
      <c r="C5482">
        <f>IF(B5482="","",IFERROR(INDEX('Bad Patterns'!$A$2:$A$120,MATCH(1,INDEX(--ISNUMBER(SEARCH('Bad Patterns'!$A$2:$A$120,B5482)),0),0)),""))</f>
        <v/>
      </c>
      <c r="D5482">
        <f>IF(B5482="","",IF(C5482&lt;&gt;"","REMOVE","KEEP"))</f>
        <v/>
      </c>
      <c r="E5482">
        <f>IF(D5482&lt;&gt;"KEEP","",IF(RIGHT(B5482,10)="@gmail.com","Gmail",IF(OR(RIGHT(B5482,12)="@outlook.com",RIGHT(B5482,12)="@hotmail.com",RIGHT(B5482,9)="@live.com"),"Outlook","Domain")))</f>
        <v/>
      </c>
      <c r="F5482">
        <f>IF(B5482="","",IFERROR(RIGHT(B5482,LEN(B5482)-FIND("@",B5482)),""))</f>
        <v/>
      </c>
      <c r="G5482">
        <f>IF(D5482="KEEP",COUNTIF($D$2:D5482,"KEEP"),"")</f>
        <v/>
      </c>
      <c r="H5482">
        <f>IF(D5482="REMOVE",COUNTIF($D$2:D5482,"REMOVE"),"")</f>
        <v/>
      </c>
      <c r="I5482">
        <f>IF(E5482="Gmail",COUNTIF($E$2:E5482,"Gmail"),"")</f>
        <v/>
      </c>
      <c r="J5482">
        <f>IF(E5482="Outlook",COUNTIF($E$2:E5482,"Outlook"),"")</f>
        <v/>
      </c>
      <c r="K5482">
        <f>IF(E5482="Domain",COUNTIF($E$2:E5482,"Domain"),"")</f>
        <v/>
      </c>
    </row>
    <row r="5483">
      <c r="A5483" s="2" t="n"/>
      <c r="B5483">
        <f>LOWER(TRIM(A5483))</f>
        <v/>
      </c>
      <c r="C5483">
        <f>IF(B5483="","",IFERROR(INDEX('Bad Patterns'!$A$2:$A$120,MATCH(1,INDEX(--ISNUMBER(SEARCH('Bad Patterns'!$A$2:$A$120,B5483)),0),0)),""))</f>
        <v/>
      </c>
      <c r="D5483">
        <f>IF(B5483="","",IF(C5483&lt;&gt;"","REMOVE","KEEP"))</f>
        <v/>
      </c>
      <c r="E5483">
        <f>IF(D5483&lt;&gt;"KEEP","",IF(RIGHT(B5483,10)="@gmail.com","Gmail",IF(OR(RIGHT(B5483,12)="@outlook.com",RIGHT(B5483,12)="@hotmail.com",RIGHT(B5483,9)="@live.com"),"Outlook","Domain")))</f>
        <v/>
      </c>
      <c r="F5483">
        <f>IF(B5483="","",IFERROR(RIGHT(B5483,LEN(B5483)-FIND("@",B5483)),""))</f>
        <v/>
      </c>
      <c r="G5483">
        <f>IF(D5483="KEEP",COUNTIF($D$2:D5483,"KEEP"),"")</f>
        <v/>
      </c>
      <c r="H5483">
        <f>IF(D5483="REMOVE",COUNTIF($D$2:D5483,"REMOVE"),"")</f>
        <v/>
      </c>
      <c r="I5483">
        <f>IF(E5483="Gmail",COUNTIF($E$2:E5483,"Gmail"),"")</f>
        <v/>
      </c>
      <c r="J5483">
        <f>IF(E5483="Outlook",COUNTIF($E$2:E5483,"Outlook"),"")</f>
        <v/>
      </c>
      <c r="K5483">
        <f>IF(E5483="Domain",COUNTIF($E$2:E5483,"Domain"),"")</f>
        <v/>
      </c>
    </row>
    <row r="5484">
      <c r="A5484" s="2" t="n"/>
      <c r="B5484">
        <f>LOWER(TRIM(A5484))</f>
        <v/>
      </c>
      <c r="C5484">
        <f>IF(B5484="","",IFERROR(INDEX('Bad Patterns'!$A$2:$A$120,MATCH(1,INDEX(--ISNUMBER(SEARCH('Bad Patterns'!$A$2:$A$120,B5484)),0),0)),""))</f>
        <v/>
      </c>
      <c r="D5484">
        <f>IF(B5484="","",IF(C5484&lt;&gt;"","REMOVE","KEEP"))</f>
        <v/>
      </c>
      <c r="E5484">
        <f>IF(D5484&lt;&gt;"KEEP","",IF(RIGHT(B5484,10)="@gmail.com","Gmail",IF(OR(RIGHT(B5484,12)="@outlook.com",RIGHT(B5484,12)="@hotmail.com",RIGHT(B5484,9)="@live.com"),"Outlook","Domain")))</f>
        <v/>
      </c>
      <c r="F5484">
        <f>IF(B5484="","",IFERROR(RIGHT(B5484,LEN(B5484)-FIND("@",B5484)),""))</f>
        <v/>
      </c>
      <c r="G5484">
        <f>IF(D5484="KEEP",COUNTIF($D$2:D5484,"KEEP"),"")</f>
        <v/>
      </c>
      <c r="H5484">
        <f>IF(D5484="REMOVE",COUNTIF($D$2:D5484,"REMOVE"),"")</f>
        <v/>
      </c>
      <c r="I5484">
        <f>IF(E5484="Gmail",COUNTIF($E$2:E5484,"Gmail"),"")</f>
        <v/>
      </c>
      <c r="J5484">
        <f>IF(E5484="Outlook",COUNTIF($E$2:E5484,"Outlook"),"")</f>
        <v/>
      </c>
      <c r="K5484">
        <f>IF(E5484="Domain",COUNTIF($E$2:E5484,"Domain"),"")</f>
        <v/>
      </c>
    </row>
    <row r="5485">
      <c r="A5485" s="2" t="n"/>
      <c r="B5485">
        <f>LOWER(TRIM(A5485))</f>
        <v/>
      </c>
      <c r="C5485">
        <f>IF(B5485="","",IFERROR(INDEX('Bad Patterns'!$A$2:$A$120,MATCH(1,INDEX(--ISNUMBER(SEARCH('Bad Patterns'!$A$2:$A$120,B5485)),0),0)),""))</f>
        <v/>
      </c>
      <c r="D5485">
        <f>IF(B5485="","",IF(C5485&lt;&gt;"","REMOVE","KEEP"))</f>
        <v/>
      </c>
      <c r="E5485">
        <f>IF(D5485&lt;&gt;"KEEP","",IF(RIGHT(B5485,10)="@gmail.com","Gmail",IF(OR(RIGHT(B5485,12)="@outlook.com",RIGHT(B5485,12)="@hotmail.com",RIGHT(B5485,9)="@live.com"),"Outlook","Domain")))</f>
        <v/>
      </c>
      <c r="F5485">
        <f>IF(B5485="","",IFERROR(RIGHT(B5485,LEN(B5485)-FIND("@",B5485)),""))</f>
        <v/>
      </c>
      <c r="G5485">
        <f>IF(D5485="KEEP",COUNTIF($D$2:D5485,"KEEP"),"")</f>
        <v/>
      </c>
      <c r="H5485">
        <f>IF(D5485="REMOVE",COUNTIF($D$2:D5485,"REMOVE"),"")</f>
        <v/>
      </c>
      <c r="I5485">
        <f>IF(E5485="Gmail",COUNTIF($E$2:E5485,"Gmail"),"")</f>
        <v/>
      </c>
      <c r="J5485">
        <f>IF(E5485="Outlook",COUNTIF($E$2:E5485,"Outlook"),"")</f>
        <v/>
      </c>
      <c r="K5485">
        <f>IF(E5485="Domain",COUNTIF($E$2:E5485,"Domain"),"")</f>
        <v/>
      </c>
    </row>
    <row r="5486">
      <c r="A5486" s="2" t="n"/>
      <c r="B5486">
        <f>LOWER(TRIM(A5486))</f>
        <v/>
      </c>
      <c r="C5486">
        <f>IF(B5486="","",IFERROR(INDEX('Bad Patterns'!$A$2:$A$120,MATCH(1,INDEX(--ISNUMBER(SEARCH('Bad Patterns'!$A$2:$A$120,B5486)),0),0)),""))</f>
        <v/>
      </c>
      <c r="D5486">
        <f>IF(B5486="","",IF(C5486&lt;&gt;"","REMOVE","KEEP"))</f>
        <v/>
      </c>
      <c r="E5486">
        <f>IF(D5486&lt;&gt;"KEEP","",IF(RIGHT(B5486,10)="@gmail.com","Gmail",IF(OR(RIGHT(B5486,12)="@outlook.com",RIGHT(B5486,12)="@hotmail.com",RIGHT(B5486,9)="@live.com"),"Outlook","Domain")))</f>
        <v/>
      </c>
      <c r="F5486">
        <f>IF(B5486="","",IFERROR(RIGHT(B5486,LEN(B5486)-FIND("@",B5486)),""))</f>
        <v/>
      </c>
      <c r="G5486">
        <f>IF(D5486="KEEP",COUNTIF($D$2:D5486,"KEEP"),"")</f>
        <v/>
      </c>
      <c r="H5486">
        <f>IF(D5486="REMOVE",COUNTIF($D$2:D5486,"REMOVE"),"")</f>
        <v/>
      </c>
      <c r="I5486">
        <f>IF(E5486="Gmail",COUNTIF($E$2:E5486,"Gmail"),"")</f>
        <v/>
      </c>
      <c r="J5486">
        <f>IF(E5486="Outlook",COUNTIF($E$2:E5486,"Outlook"),"")</f>
        <v/>
      </c>
      <c r="K5486">
        <f>IF(E5486="Domain",COUNTIF($E$2:E5486,"Domain"),"")</f>
        <v/>
      </c>
    </row>
    <row r="5487">
      <c r="A5487" s="2" t="n"/>
      <c r="B5487">
        <f>LOWER(TRIM(A5487))</f>
        <v/>
      </c>
      <c r="C5487">
        <f>IF(B5487="","",IFERROR(INDEX('Bad Patterns'!$A$2:$A$120,MATCH(1,INDEX(--ISNUMBER(SEARCH('Bad Patterns'!$A$2:$A$120,B5487)),0),0)),""))</f>
        <v/>
      </c>
      <c r="D5487">
        <f>IF(B5487="","",IF(C5487&lt;&gt;"","REMOVE","KEEP"))</f>
        <v/>
      </c>
      <c r="E5487">
        <f>IF(D5487&lt;&gt;"KEEP","",IF(RIGHT(B5487,10)="@gmail.com","Gmail",IF(OR(RIGHT(B5487,12)="@outlook.com",RIGHT(B5487,12)="@hotmail.com",RIGHT(B5487,9)="@live.com"),"Outlook","Domain")))</f>
        <v/>
      </c>
      <c r="F5487">
        <f>IF(B5487="","",IFERROR(RIGHT(B5487,LEN(B5487)-FIND("@",B5487)),""))</f>
        <v/>
      </c>
      <c r="G5487">
        <f>IF(D5487="KEEP",COUNTIF($D$2:D5487,"KEEP"),"")</f>
        <v/>
      </c>
      <c r="H5487">
        <f>IF(D5487="REMOVE",COUNTIF($D$2:D5487,"REMOVE"),"")</f>
        <v/>
      </c>
      <c r="I5487">
        <f>IF(E5487="Gmail",COUNTIF($E$2:E5487,"Gmail"),"")</f>
        <v/>
      </c>
      <c r="J5487">
        <f>IF(E5487="Outlook",COUNTIF($E$2:E5487,"Outlook"),"")</f>
        <v/>
      </c>
      <c r="K5487">
        <f>IF(E5487="Domain",COUNTIF($E$2:E5487,"Domain"),"")</f>
        <v/>
      </c>
    </row>
    <row r="5488">
      <c r="A5488" s="2" t="n"/>
      <c r="B5488">
        <f>LOWER(TRIM(A5488))</f>
        <v/>
      </c>
      <c r="C5488">
        <f>IF(B5488="","",IFERROR(INDEX('Bad Patterns'!$A$2:$A$120,MATCH(1,INDEX(--ISNUMBER(SEARCH('Bad Patterns'!$A$2:$A$120,B5488)),0),0)),""))</f>
        <v/>
      </c>
      <c r="D5488">
        <f>IF(B5488="","",IF(C5488&lt;&gt;"","REMOVE","KEEP"))</f>
        <v/>
      </c>
      <c r="E5488">
        <f>IF(D5488&lt;&gt;"KEEP","",IF(RIGHT(B5488,10)="@gmail.com","Gmail",IF(OR(RIGHT(B5488,12)="@outlook.com",RIGHT(B5488,12)="@hotmail.com",RIGHT(B5488,9)="@live.com"),"Outlook","Domain")))</f>
        <v/>
      </c>
      <c r="F5488">
        <f>IF(B5488="","",IFERROR(RIGHT(B5488,LEN(B5488)-FIND("@",B5488)),""))</f>
        <v/>
      </c>
      <c r="G5488">
        <f>IF(D5488="KEEP",COUNTIF($D$2:D5488,"KEEP"),"")</f>
        <v/>
      </c>
      <c r="H5488">
        <f>IF(D5488="REMOVE",COUNTIF($D$2:D5488,"REMOVE"),"")</f>
        <v/>
      </c>
      <c r="I5488">
        <f>IF(E5488="Gmail",COUNTIF($E$2:E5488,"Gmail"),"")</f>
        <v/>
      </c>
      <c r="J5488">
        <f>IF(E5488="Outlook",COUNTIF($E$2:E5488,"Outlook"),"")</f>
        <v/>
      </c>
      <c r="K5488">
        <f>IF(E5488="Domain",COUNTIF($E$2:E5488,"Domain"),"")</f>
        <v/>
      </c>
    </row>
    <row r="5489">
      <c r="A5489" s="2" t="n"/>
      <c r="B5489">
        <f>LOWER(TRIM(A5489))</f>
        <v/>
      </c>
      <c r="C5489">
        <f>IF(B5489="","",IFERROR(INDEX('Bad Patterns'!$A$2:$A$120,MATCH(1,INDEX(--ISNUMBER(SEARCH('Bad Patterns'!$A$2:$A$120,B5489)),0),0)),""))</f>
        <v/>
      </c>
      <c r="D5489">
        <f>IF(B5489="","",IF(C5489&lt;&gt;"","REMOVE","KEEP"))</f>
        <v/>
      </c>
      <c r="E5489">
        <f>IF(D5489&lt;&gt;"KEEP","",IF(RIGHT(B5489,10)="@gmail.com","Gmail",IF(OR(RIGHT(B5489,12)="@outlook.com",RIGHT(B5489,12)="@hotmail.com",RIGHT(B5489,9)="@live.com"),"Outlook","Domain")))</f>
        <v/>
      </c>
      <c r="F5489">
        <f>IF(B5489="","",IFERROR(RIGHT(B5489,LEN(B5489)-FIND("@",B5489)),""))</f>
        <v/>
      </c>
      <c r="G5489">
        <f>IF(D5489="KEEP",COUNTIF($D$2:D5489,"KEEP"),"")</f>
        <v/>
      </c>
      <c r="H5489">
        <f>IF(D5489="REMOVE",COUNTIF($D$2:D5489,"REMOVE"),"")</f>
        <v/>
      </c>
      <c r="I5489">
        <f>IF(E5489="Gmail",COUNTIF($E$2:E5489,"Gmail"),"")</f>
        <v/>
      </c>
      <c r="J5489">
        <f>IF(E5489="Outlook",COUNTIF($E$2:E5489,"Outlook"),"")</f>
        <v/>
      </c>
      <c r="K5489">
        <f>IF(E5489="Domain",COUNTIF($E$2:E5489,"Domain"),"")</f>
        <v/>
      </c>
    </row>
    <row r="5490">
      <c r="A5490" s="2" t="n"/>
      <c r="B5490">
        <f>LOWER(TRIM(A5490))</f>
        <v/>
      </c>
      <c r="C5490">
        <f>IF(B5490="","",IFERROR(INDEX('Bad Patterns'!$A$2:$A$120,MATCH(1,INDEX(--ISNUMBER(SEARCH('Bad Patterns'!$A$2:$A$120,B5490)),0),0)),""))</f>
        <v/>
      </c>
      <c r="D5490">
        <f>IF(B5490="","",IF(C5490&lt;&gt;"","REMOVE","KEEP"))</f>
        <v/>
      </c>
      <c r="E5490">
        <f>IF(D5490&lt;&gt;"KEEP","",IF(RIGHT(B5490,10)="@gmail.com","Gmail",IF(OR(RIGHT(B5490,12)="@outlook.com",RIGHT(B5490,12)="@hotmail.com",RIGHT(B5490,9)="@live.com"),"Outlook","Domain")))</f>
        <v/>
      </c>
      <c r="F5490">
        <f>IF(B5490="","",IFERROR(RIGHT(B5490,LEN(B5490)-FIND("@",B5490)),""))</f>
        <v/>
      </c>
      <c r="G5490">
        <f>IF(D5490="KEEP",COUNTIF($D$2:D5490,"KEEP"),"")</f>
        <v/>
      </c>
      <c r="H5490">
        <f>IF(D5490="REMOVE",COUNTIF($D$2:D5490,"REMOVE"),"")</f>
        <v/>
      </c>
      <c r="I5490">
        <f>IF(E5490="Gmail",COUNTIF($E$2:E5490,"Gmail"),"")</f>
        <v/>
      </c>
      <c r="J5490">
        <f>IF(E5490="Outlook",COUNTIF($E$2:E5490,"Outlook"),"")</f>
        <v/>
      </c>
      <c r="K5490">
        <f>IF(E5490="Domain",COUNTIF($E$2:E5490,"Domain"),"")</f>
        <v/>
      </c>
    </row>
    <row r="5491">
      <c r="A5491" s="2" t="n"/>
      <c r="B5491">
        <f>LOWER(TRIM(A5491))</f>
        <v/>
      </c>
      <c r="C5491">
        <f>IF(B5491="","",IFERROR(INDEX('Bad Patterns'!$A$2:$A$120,MATCH(1,INDEX(--ISNUMBER(SEARCH('Bad Patterns'!$A$2:$A$120,B5491)),0),0)),""))</f>
        <v/>
      </c>
      <c r="D5491">
        <f>IF(B5491="","",IF(C5491&lt;&gt;"","REMOVE","KEEP"))</f>
        <v/>
      </c>
      <c r="E5491">
        <f>IF(D5491&lt;&gt;"KEEP","",IF(RIGHT(B5491,10)="@gmail.com","Gmail",IF(OR(RIGHT(B5491,12)="@outlook.com",RIGHT(B5491,12)="@hotmail.com",RIGHT(B5491,9)="@live.com"),"Outlook","Domain")))</f>
        <v/>
      </c>
      <c r="F5491">
        <f>IF(B5491="","",IFERROR(RIGHT(B5491,LEN(B5491)-FIND("@",B5491)),""))</f>
        <v/>
      </c>
      <c r="G5491">
        <f>IF(D5491="KEEP",COUNTIF($D$2:D5491,"KEEP"),"")</f>
        <v/>
      </c>
      <c r="H5491">
        <f>IF(D5491="REMOVE",COUNTIF($D$2:D5491,"REMOVE"),"")</f>
        <v/>
      </c>
      <c r="I5491">
        <f>IF(E5491="Gmail",COUNTIF($E$2:E5491,"Gmail"),"")</f>
        <v/>
      </c>
      <c r="J5491">
        <f>IF(E5491="Outlook",COUNTIF($E$2:E5491,"Outlook"),"")</f>
        <v/>
      </c>
      <c r="K5491">
        <f>IF(E5491="Domain",COUNTIF($E$2:E5491,"Domain"),"")</f>
        <v/>
      </c>
    </row>
    <row r="5492">
      <c r="A5492" s="2" t="n"/>
      <c r="B5492">
        <f>LOWER(TRIM(A5492))</f>
        <v/>
      </c>
      <c r="C5492">
        <f>IF(B5492="","",IFERROR(INDEX('Bad Patterns'!$A$2:$A$120,MATCH(1,INDEX(--ISNUMBER(SEARCH('Bad Patterns'!$A$2:$A$120,B5492)),0),0)),""))</f>
        <v/>
      </c>
      <c r="D5492">
        <f>IF(B5492="","",IF(C5492&lt;&gt;"","REMOVE","KEEP"))</f>
        <v/>
      </c>
      <c r="E5492">
        <f>IF(D5492&lt;&gt;"KEEP","",IF(RIGHT(B5492,10)="@gmail.com","Gmail",IF(OR(RIGHT(B5492,12)="@outlook.com",RIGHT(B5492,12)="@hotmail.com",RIGHT(B5492,9)="@live.com"),"Outlook","Domain")))</f>
        <v/>
      </c>
      <c r="F5492">
        <f>IF(B5492="","",IFERROR(RIGHT(B5492,LEN(B5492)-FIND("@",B5492)),""))</f>
        <v/>
      </c>
      <c r="G5492">
        <f>IF(D5492="KEEP",COUNTIF($D$2:D5492,"KEEP"),"")</f>
        <v/>
      </c>
      <c r="H5492">
        <f>IF(D5492="REMOVE",COUNTIF($D$2:D5492,"REMOVE"),"")</f>
        <v/>
      </c>
      <c r="I5492">
        <f>IF(E5492="Gmail",COUNTIF($E$2:E5492,"Gmail"),"")</f>
        <v/>
      </c>
      <c r="J5492">
        <f>IF(E5492="Outlook",COUNTIF($E$2:E5492,"Outlook"),"")</f>
        <v/>
      </c>
      <c r="K5492">
        <f>IF(E5492="Domain",COUNTIF($E$2:E5492,"Domain"),"")</f>
        <v/>
      </c>
    </row>
    <row r="5493">
      <c r="A5493" s="2" t="n"/>
      <c r="B5493">
        <f>LOWER(TRIM(A5493))</f>
        <v/>
      </c>
      <c r="C5493">
        <f>IF(B5493="","",IFERROR(INDEX('Bad Patterns'!$A$2:$A$120,MATCH(1,INDEX(--ISNUMBER(SEARCH('Bad Patterns'!$A$2:$A$120,B5493)),0),0)),""))</f>
        <v/>
      </c>
      <c r="D5493">
        <f>IF(B5493="","",IF(C5493&lt;&gt;"","REMOVE","KEEP"))</f>
        <v/>
      </c>
      <c r="E5493">
        <f>IF(D5493&lt;&gt;"KEEP","",IF(RIGHT(B5493,10)="@gmail.com","Gmail",IF(OR(RIGHT(B5493,12)="@outlook.com",RIGHT(B5493,12)="@hotmail.com",RIGHT(B5493,9)="@live.com"),"Outlook","Domain")))</f>
        <v/>
      </c>
      <c r="F5493">
        <f>IF(B5493="","",IFERROR(RIGHT(B5493,LEN(B5493)-FIND("@",B5493)),""))</f>
        <v/>
      </c>
      <c r="G5493">
        <f>IF(D5493="KEEP",COUNTIF($D$2:D5493,"KEEP"),"")</f>
        <v/>
      </c>
      <c r="H5493">
        <f>IF(D5493="REMOVE",COUNTIF($D$2:D5493,"REMOVE"),"")</f>
        <v/>
      </c>
      <c r="I5493">
        <f>IF(E5493="Gmail",COUNTIF($E$2:E5493,"Gmail"),"")</f>
        <v/>
      </c>
      <c r="J5493">
        <f>IF(E5493="Outlook",COUNTIF($E$2:E5493,"Outlook"),"")</f>
        <v/>
      </c>
      <c r="K5493">
        <f>IF(E5493="Domain",COUNTIF($E$2:E5493,"Domain"),"")</f>
        <v/>
      </c>
    </row>
    <row r="5494">
      <c r="A5494" s="2" t="n"/>
      <c r="B5494">
        <f>LOWER(TRIM(A5494))</f>
        <v/>
      </c>
      <c r="C5494">
        <f>IF(B5494="","",IFERROR(INDEX('Bad Patterns'!$A$2:$A$120,MATCH(1,INDEX(--ISNUMBER(SEARCH('Bad Patterns'!$A$2:$A$120,B5494)),0),0)),""))</f>
        <v/>
      </c>
      <c r="D5494">
        <f>IF(B5494="","",IF(C5494&lt;&gt;"","REMOVE","KEEP"))</f>
        <v/>
      </c>
      <c r="E5494">
        <f>IF(D5494&lt;&gt;"KEEP","",IF(RIGHT(B5494,10)="@gmail.com","Gmail",IF(OR(RIGHT(B5494,12)="@outlook.com",RIGHT(B5494,12)="@hotmail.com",RIGHT(B5494,9)="@live.com"),"Outlook","Domain")))</f>
        <v/>
      </c>
      <c r="F5494">
        <f>IF(B5494="","",IFERROR(RIGHT(B5494,LEN(B5494)-FIND("@",B5494)),""))</f>
        <v/>
      </c>
      <c r="G5494">
        <f>IF(D5494="KEEP",COUNTIF($D$2:D5494,"KEEP"),"")</f>
        <v/>
      </c>
      <c r="H5494">
        <f>IF(D5494="REMOVE",COUNTIF($D$2:D5494,"REMOVE"),"")</f>
        <v/>
      </c>
      <c r="I5494">
        <f>IF(E5494="Gmail",COUNTIF($E$2:E5494,"Gmail"),"")</f>
        <v/>
      </c>
      <c r="J5494">
        <f>IF(E5494="Outlook",COUNTIF($E$2:E5494,"Outlook"),"")</f>
        <v/>
      </c>
      <c r="K5494">
        <f>IF(E5494="Domain",COUNTIF($E$2:E5494,"Domain"),"")</f>
        <v/>
      </c>
    </row>
    <row r="5495">
      <c r="A5495" s="2" t="n"/>
      <c r="B5495">
        <f>LOWER(TRIM(A5495))</f>
        <v/>
      </c>
      <c r="C5495">
        <f>IF(B5495="","",IFERROR(INDEX('Bad Patterns'!$A$2:$A$120,MATCH(1,INDEX(--ISNUMBER(SEARCH('Bad Patterns'!$A$2:$A$120,B5495)),0),0)),""))</f>
        <v/>
      </c>
      <c r="D5495">
        <f>IF(B5495="","",IF(C5495&lt;&gt;"","REMOVE","KEEP"))</f>
        <v/>
      </c>
      <c r="E5495">
        <f>IF(D5495&lt;&gt;"KEEP","",IF(RIGHT(B5495,10)="@gmail.com","Gmail",IF(OR(RIGHT(B5495,12)="@outlook.com",RIGHT(B5495,12)="@hotmail.com",RIGHT(B5495,9)="@live.com"),"Outlook","Domain")))</f>
        <v/>
      </c>
      <c r="F5495">
        <f>IF(B5495="","",IFERROR(RIGHT(B5495,LEN(B5495)-FIND("@",B5495)),""))</f>
        <v/>
      </c>
      <c r="G5495">
        <f>IF(D5495="KEEP",COUNTIF($D$2:D5495,"KEEP"),"")</f>
        <v/>
      </c>
      <c r="H5495">
        <f>IF(D5495="REMOVE",COUNTIF($D$2:D5495,"REMOVE"),"")</f>
        <v/>
      </c>
      <c r="I5495">
        <f>IF(E5495="Gmail",COUNTIF($E$2:E5495,"Gmail"),"")</f>
        <v/>
      </c>
      <c r="J5495">
        <f>IF(E5495="Outlook",COUNTIF($E$2:E5495,"Outlook"),"")</f>
        <v/>
      </c>
      <c r="K5495">
        <f>IF(E5495="Domain",COUNTIF($E$2:E5495,"Domain"),"")</f>
        <v/>
      </c>
    </row>
    <row r="5496">
      <c r="A5496" s="2" t="n"/>
      <c r="B5496">
        <f>LOWER(TRIM(A5496))</f>
        <v/>
      </c>
      <c r="C5496">
        <f>IF(B5496="","",IFERROR(INDEX('Bad Patterns'!$A$2:$A$120,MATCH(1,INDEX(--ISNUMBER(SEARCH('Bad Patterns'!$A$2:$A$120,B5496)),0),0)),""))</f>
        <v/>
      </c>
      <c r="D5496">
        <f>IF(B5496="","",IF(C5496&lt;&gt;"","REMOVE","KEEP"))</f>
        <v/>
      </c>
      <c r="E5496">
        <f>IF(D5496&lt;&gt;"KEEP","",IF(RIGHT(B5496,10)="@gmail.com","Gmail",IF(OR(RIGHT(B5496,12)="@outlook.com",RIGHT(B5496,12)="@hotmail.com",RIGHT(B5496,9)="@live.com"),"Outlook","Domain")))</f>
        <v/>
      </c>
      <c r="F5496">
        <f>IF(B5496="","",IFERROR(RIGHT(B5496,LEN(B5496)-FIND("@",B5496)),""))</f>
        <v/>
      </c>
      <c r="G5496">
        <f>IF(D5496="KEEP",COUNTIF($D$2:D5496,"KEEP"),"")</f>
        <v/>
      </c>
      <c r="H5496">
        <f>IF(D5496="REMOVE",COUNTIF($D$2:D5496,"REMOVE"),"")</f>
        <v/>
      </c>
      <c r="I5496">
        <f>IF(E5496="Gmail",COUNTIF($E$2:E5496,"Gmail"),"")</f>
        <v/>
      </c>
      <c r="J5496">
        <f>IF(E5496="Outlook",COUNTIF($E$2:E5496,"Outlook"),"")</f>
        <v/>
      </c>
      <c r="K5496">
        <f>IF(E5496="Domain",COUNTIF($E$2:E5496,"Domain"),"")</f>
        <v/>
      </c>
    </row>
    <row r="5497">
      <c r="A5497" s="2" t="n"/>
      <c r="B5497">
        <f>LOWER(TRIM(A5497))</f>
        <v/>
      </c>
      <c r="C5497">
        <f>IF(B5497="","",IFERROR(INDEX('Bad Patterns'!$A$2:$A$120,MATCH(1,INDEX(--ISNUMBER(SEARCH('Bad Patterns'!$A$2:$A$120,B5497)),0),0)),""))</f>
        <v/>
      </c>
      <c r="D5497">
        <f>IF(B5497="","",IF(C5497&lt;&gt;"","REMOVE","KEEP"))</f>
        <v/>
      </c>
      <c r="E5497">
        <f>IF(D5497&lt;&gt;"KEEP","",IF(RIGHT(B5497,10)="@gmail.com","Gmail",IF(OR(RIGHT(B5497,12)="@outlook.com",RIGHT(B5497,12)="@hotmail.com",RIGHT(B5497,9)="@live.com"),"Outlook","Domain")))</f>
        <v/>
      </c>
      <c r="F5497">
        <f>IF(B5497="","",IFERROR(RIGHT(B5497,LEN(B5497)-FIND("@",B5497)),""))</f>
        <v/>
      </c>
      <c r="G5497">
        <f>IF(D5497="KEEP",COUNTIF($D$2:D5497,"KEEP"),"")</f>
        <v/>
      </c>
      <c r="H5497">
        <f>IF(D5497="REMOVE",COUNTIF($D$2:D5497,"REMOVE"),"")</f>
        <v/>
      </c>
      <c r="I5497">
        <f>IF(E5497="Gmail",COUNTIF($E$2:E5497,"Gmail"),"")</f>
        <v/>
      </c>
      <c r="J5497">
        <f>IF(E5497="Outlook",COUNTIF($E$2:E5497,"Outlook"),"")</f>
        <v/>
      </c>
      <c r="K5497">
        <f>IF(E5497="Domain",COUNTIF($E$2:E5497,"Domain"),"")</f>
        <v/>
      </c>
    </row>
    <row r="5498">
      <c r="A5498" s="2" t="n"/>
      <c r="B5498">
        <f>LOWER(TRIM(A5498))</f>
        <v/>
      </c>
      <c r="C5498">
        <f>IF(B5498="","",IFERROR(INDEX('Bad Patterns'!$A$2:$A$120,MATCH(1,INDEX(--ISNUMBER(SEARCH('Bad Patterns'!$A$2:$A$120,B5498)),0),0)),""))</f>
        <v/>
      </c>
      <c r="D5498">
        <f>IF(B5498="","",IF(C5498&lt;&gt;"","REMOVE","KEEP"))</f>
        <v/>
      </c>
      <c r="E5498">
        <f>IF(D5498&lt;&gt;"KEEP","",IF(RIGHT(B5498,10)="@gmail.com","Gmail",IF(OR(RIGHT(B5498,12)="@outlook.com",RIGHT(B5498,12)="@hotmail.com",RIGHT(B5498,9)="@live.com"),"Outlook","Domain")))</f>
        <v/>
      </c>
      <c r="F5498">
        <f>IF(B5498="","",IFERROR(RIGHT(B5498,LEN(B5498)-FIND("@",B5498)),""))</f>
        <v/>
      </c>
      <c r="G5498">
        <f>IF(D5498="KEEP",COUNTIF($D$2:D5498,"KEEP"),"")</f>
        <v/>
      </c>
      <c r="H5498">
        <f>IF(D5498="REMOVE",COUNTIF($D$2:D5498,"REMOVE"),"")</f>
        <v/>
      </c>
      <c r="I5498">
        <f>IF(E5498="Gmail",COUNTIF($E$2:E5498,"Gmail"),"")</f>
        <v/>
      </c>
      <c r="J5498">
        <f>IF(E5498="Outlook",COUNTIF($E$2:E5498,"Outlook"),"")</f>
        <v/>
      </c>
      <c r="K5498">
        <f>IF(E5498="Domain",COUNTIF($E$2:E5498,"Domain"),"")</f>
        <v/>
      </c>
    </row>
    <row r="5499">
      <c r="A5499" s="2" t="n"/>
      <c r="B5499">
        <f>LOWER(TRIM(A5499))</f>
        <v/>
      </c>
      <c r="C5499">
        <f>IF(B5499="","",IFERROR(INDEX('Bad Patterns'!$A$2:$A$120,MATCH(1,INDEX(--ISNUMBER(SEARCH('Bad Patterns'!$A$2:$A$120,B5499)),0),0)),""))</f>
        <v/>
      </c>
      <c r="D5499">
        <f>IF(B5499="","",IF(C5499&lt;&gt;"","REMOVE","KEEP"))</f>
        <v/>
      </c>
      <c r="E5499">
        <f>IF(D5499&lt;&gt;"KEEP","",IF(RIGHT(B5499,10)="@gmail.com","Gmail",IF(OR(RIGHT(B5499,12)="@outlook.com",RIGHT(B5499,12)="@hotmail.com",RIGHT(B5499,9)="@live.com"),"Outlook","Domain")))</f>
        <v/>
      </c>
      <c r="F5499">
        <f>IF(B5499="","",IFERROR(RIGHT(B5499,LEN(B5499)-FIND("@",B5499)),""))</f>
        <v/>
      </c>
      <c r="G5499">
        <f>IF(D5499="KEEP",COUNTIF($D$2:D5499,"KEEP"),"")</f>
        <v/>
      </c>
      <c r="H5499">
        <f>IF(D5499="REMOVE",COUNTIF($D$2:D5499,"REMOVE"),"")</f>
        <v/>
      </c>
      <c r="I5499">
        <f>IF(E5499="Gmail",COUNTIF($E$2:E5499,"Gmail"),"")</f>
        <v/>
      </c>
      <c r="J5499">
        <f>IF(E5499="Outlook",COUNTIF($E$2:E5499,"Outlook"),"")</f>
        <v/>
      </c>
      <c r="K5499">
        <f>IF(E5499="Domain",COUNTIF($E$2:E5499,"Domain"),"")</f>
        <v/>
      </c>
    </row>
    <row r="5500">
      <c r="A5500" s="2" t="n"/>
      <c r="B5500">
        <f>LOWER(TRIM(A5500))</f>
        <v/>
      </c>
      <c r="C5500">
        <f>IF(B5500="","",IFERROR(INDEX('Bad Patterns'!$A$2:$A$120,MATCH(1,INDEX(--ISNUMBER(SEARCH('Bad Patterns'!$A$2:$A$120,B5500)),0),0)),""))</f>
        <v/>
      </c>
      <c r="D5500">
        <f>IF(B5500="","",IF(C5500&lt;&gt;"","REMOVE","KEEP"))</f>
        <v/>
      </c>
      <c r="E5500">
        <f>IF(D5500&lt;&gt;"KEEP","",IF(RIGHT(B5500,10)="@gmail.com","Gmail",IF(OR(RIGHT(B5500,12)="@outlook.com",RIGHT(B5500,12)="@hotmail.com",RIGHT(B5500,9)="@live.com"),"Outlook","Domain")))</f>
        <v/>
      </c>
      <c r="F5500">
        <f>IF(B5500="","",IFERROR(RIGHT(B5500,LEN(B5500)-FIND("@",B5500)),""))</f>
        <v/>
      </c>
      <c r="G5500">
        <f>IF(D5500="KEEP",COUNTIF($D$2:D5500,"KEEP"),"")</f>
        <v/>
      </c>
      <c r="H5500">
        <f>IF(D5500="REMOVE",COUNTIF($D$2:D5500,"REMOVE"),"")</f>
        <v/>
      </c>
      <c r="I5500">
        <f>IF(E5500="Gmail",COUNTIF($E$2:E5500,"Gmail"),"")</f>
        <v/>
      </c>
      <c r="J5500">
        <f>IF(E5500="Outlook",COUNTIF($E$2:E5500,"Outlook"),"")</f>
        <v/>
      </c>
      <c r="K5500">
        <f>IF(E5500="Domain",COUNTIF($E$2:E5500,"Domain"),"")</f>
        <v/>
      </c>
    </row>
    <row r="5501">
      <c r="A5501" s="2" t="n"/>
      <c r="B5501">
        <f>LOWER(TRIM(A5501))</f>
        <v/>
      </c>
      <c r="C5501">
        <f>IF(B5501="","",IFERROR(INDEX('Bad Patterns'!$A$2:$A$120,MATCH(1,INDEX(--ISNUMBER(SEARCH('Bad Patterns'!$A$2:$A$120,B5501)),0),0)),""))</f>
        <v/>
      </c>
      <c r="D5501">
        <f>IF(B5501="","",IF(C5501&lt;&gt;"","REMOVE","KEEP"))</f>
        <v/>
      </c>
      <c r="E5501">
        <f>IF(D5501&lt;&gt;"KEEP","",IF(RIGHT(B5501,10)="@gmail.com","Gmail",IF(OR(RIGHT(B5501,12)="@outlook.com",RIGHT(B5501,12)="@hotmail.com",RIGHT(B5501,9)="@live.com"),"Outlook","Domain")))</f>
        <v/>
      </c>
      <c r="F5501">
        <f>IF(B5501="","",IFERROR(RIGHT(B5501,LEN(B5501)-FIND("@",B5501)),""))</f>
        <v/>
      </c>
      <c r="G5501">
        <f>IF(D5501="KEEP",COUNTIF($D$2:D5501,"KEEP"),"")</f>
        <v/>
      </c>
      <c r="H5501">
        <f>IF(D5501="REMOVE",COUNTIF($D$2:D5501,"REMOVE"),"")</f>
        <v/>
      </c>
      <c r="I5501">
        <f>IF(E5501="Gmail",COUNTIF($E$2:E5501,"Gmail"),"")</f>
        <v/>
      </c>
      <c r="J5501">
        <f>IF(E5501="Outlook",COUNTIF($E$2:E5501,"Outlook"),"")</f>
        <v/>
      </c>
      <c r="K5501">
        <f>IF(E5501="Domain",COUNTIF($E$2:E5501,"Domain"),"")</f>
        <v/>
      </c>
    </row>
    <row r="5502">
      <c r="A5502" s="2" t="n"/>
      <c r="B5502">
        <f>LOWER(TRIM(A5502))</f>
        <v/>
      </c>
      <c r="C5502">
        <f>IF(B5502="","",IFERROR(INDEX('Bad Patterns'!$A$2:$A$120,MATCH(1,INDEX(--ISNUMBER(SEARCH('Bad Patterns'!$A$2:$A$120,B5502)),0),0)),""))</f>
        <v/>
      </c>
      <c r="D5502">
        <f>IF(B5502="","",IF(C5502&lt;&gt;"","REMOVE","KEEP"))</f>
        <v/>
      </c>
      <c r="E5502">
        <f>IF(D5502&lt;&gt;"KEEP","",IF(RIGHT(B5502,10)="@gmail.com","Gmail",IF(OR(RIGHT(B5502,12)="@outlook.com",RIGHT(B5502,12)="@hotmail.com",RIGHT(B5502,9)="@live.com"),"Outlook","Domain")))</f>
        <v/>
      </c>
      <c r="F5502">
        <f>IF(B5502="","",IFERROR(RIGHT(B5502,LEN(B5502)-FIND("@",B5502)),""))</f>
        <v/>
      </c>
      <c r="G5502">
        <f>IF(D5502="KEEP",COUNTIF($D$2:D5502,"KEEP"),"")</f>
        <v/>
      </c>
      <c r="H5502">
        <f>IF(D5502="REMOVE",COUNTIF($D$2:D5502,"REMOVE"),"")</f>
        <v/>
      </c>
      <c r="I5502">
        <f>IF(E5502="Gmail",COUNTIF($E$2:E5502,"Gmail"),"")</f>
        <v/>
      </c>
      <c r="J5502">
        <f>IF(E5502="Outlook",COUNTIF($E$2:E5502,"Outlook"),"")</f>
        <v/>
      </c>
      <c r="K5502">
        <f>IF(E5502="Domain",COUNTIF($E$2:E5502,"Domain"),"")</f>
        <v/>
      </c>
    </row>
    <row r="5503">
      <c r="A5503" s="2" t="n"/>
      <c r="B5503">
        <f>LOWER(TRIM(A5503))</f>
        <v/>
      </c>
      <c r="C5503">
        <f>IF(B5503="","",IFERROR(INDEX('Bad Patterns'!$A$2:$A$120,MATCH(1,INDEX(--ISNUMBER(SEARCH('Bad Patterns'!$A$2:$A$120,B5503)),0),0)),""))</f>
        <v/>
      </c>
      <c r="D5503">
        <f>IF(B5503="","",IF(C5503&lt;&gt;"","REMOVE","KEEP"))</f>
        <v/>
      </c>
      <c r="E5503">
        <f>IF(D5503&lt;&gt;"KEEP","",IF(RIGHT(B5503,10)="@gmail.com","Gmail",IF(OR(RIGHT(B5503,12)="@outlook.com",RIGHT(B5503,12)="@hotmail.com",RIGHT(B5503,9)="@live.com"),"Outlook","Domain")))</f>
        <v/>
      </c>
      <c r="F5503">
        <f>IF(B5503="","",IFERROR(RIGHT(B5503,LEN(B5503)-FIND("@",B5503)),""))</f>
        <v/>
      </c>
      <c r="G5503">
        <f>IF(D5503="KEEP",COUNTIF($D$2:D5503,"KEEP"),"")</f>
        <v/>
      </c>
      <c r="H5503">
        <f>IF(D5503="REMOVE",COUNTIF($D$2:D5503,"REMOVE"),"")</f>
        <v/>
      </c>
      <c r="I5503">
        <f>IF(E5503="Gmail",COUNTIF($E$2:E5503,"Gmail"),"")</f>
        <v/>
      </c>
      <c r="J5503">
        <f>IF(E5503="Outlook",COUNTIF($E$2:E5503,"Outlook"),"")</f>
        <v/>
      </c>
      <c r="K5503">
        <f>IF(E5503="Domain",COUNTIF($E$2:E5503,"Domain"),"")</f>
        <v/>
      </c>
    </row>
    <row r="5504">
      <c r="A5504" s="2" t="n"/>
      <c r="B5504">
        <f>LOWER(TRIM(A5504))</f>
        <v/>
      </c>
      <c r="C5504">
        <f>IF(B5504="","",IFERROR(INDEX('Bad Patterns'!$A$2:$A$120,MATCH(1,INDEX(--ISNUMBER(SEARCH('Bad Patterns'!$A$2:$A$120,B5504)),0),0)),""))</f>
        <v/>
      </c>
      <c r="D5504">
        <f>IF(B5504="","",IF(C5504&lt;&gt;"","REMOVE","KEEP"))</f>
        <v/>
      </c>
      <c r="E5504">
        <f>IF(D5504&lt;&gt;"KEEP","",IF(RIGHT(B5504,10)="@gmail.com","Gmail",IF(OR(RIGHT(B5504,12)="@outlook.com",RIGHT(B5504,12)="@hotmail.com",RIGHT(B5504,9)="@live.com"),"Outlook","Domain")))</f>
        <v/>
      </c>
      <c r="F5504">
        <f>IF(B5504="","",IFERROR(RIGHT(B5504,LEN(B5504)-FIND("@",B5504)),""))</f>
        <v/>
      </c>
      <c r="G5504">
        <f>IF(D5504="KEEP",COUNTIF($D$2:D5504,"KEEP"),"")</f>
        <v/>
      </c>
      <c r="H5504">
        <f>IF(D5504="REMOVE",COUNTIF($D$2:D5504,"REMOVE"),"")</f>
        <v/>
      </c>
      <c r="I5504">
        <f>IF(E5504="Gmail",COUNTIF($E$2:E5504,"Gmail"),"")</f>
        <v/>
      </c>
      <c r="J5504">
        <f>IF(E5504="Outlook",COUNTIF($E$2:E5504,"Outlook"),"")</f>
        <v/>
      </c>
      <c r="K5504">
        <f>IF(E5504="Domain",COUNTIF($E$2:E5504,"Domain"),"")</f>
        <v/>
      </c>
    </row>
    <row r="5505">
      <c r="A5505" s="2" t="n"/>
      <c r="B5505">
        <f>LOWER(TRIM(A5505))</f>
        <v/>
      </c>
      <c r="C5505">
        <f>IF(B5505="","",IFERROR(INDEX('Bad Patterns'!$A$2:$A$120,MATCH(1,INDEX(--ISNUMBER(SEARCH('Bad Patterns'!$A$2:$A$120,B5505)),0),0)),""))</f>
        <v/>
      </c>
      <c r="D5505">
        <f>IF(B5505="","",IF(C5505&lt;&gt;"","REMOVE","KEEP"))</f>
        <v/>
      </c>
      <c r="E5505">
        <f>IF(D5505&lt;&gt;"KEEP","",IF(RIGHT(B5505,10)="@gmail.com","Gmail",IF(OR(RIGHT(B5505,12)="@outlook.com",RIGHT(B5505,12)="@hotmail.com",RIGHT(B5505,9)="@live.com"),"Outlook","Domain")))</f>
        <v/>
      </c>
      <c r="F5505">
        <f>IF(B5505="","",IFERROR(RIGHT(B5505,LEN(B5505)-FIND("@",B5505)),""))</f>
        <v/>
      </c>
      <c r="G5505">
        <f>IF(D5505="KEEP",COUNTIF($D$2:D5505,"KEEP"),"")</f>
        <v/>
      </c>
      <c r="H5505">
        <f>IF(D5505="REMOVE",COUNTIF($D$2:D5505,"REMOVE"),"")</f>
        <v/>
      </c>
      <c r="I5505">
        <f>IF(E5505="Gmail",COUNTIF($E$2:E5505,"Gmail"),"")</f>
        <v/>
      </c>
      <c r="J5505">
        <f>IF(E5505="Outlook",COUNTIF($E$2:E5505,"Outlook"),"")</f>
        <v/>
      </c>
      <c r="K5505">
        <f>IF(E5505="Domain",COUNTIF($E$2:E5505,"Domain"),"")</f>
        <v/>
      </c>
    </row>
    <row r="5506">
      <c r="A5506" s="2" t="n"/>
      <c r="B5506">
        <f>LOWER(TRIM(A5506))</f>
        <v/>
      </c>
      <c r="C5506">
        <f>IF(B5506="","",IFERROR(INDEX('Bad Patterns'!$A$2:$A$120,MATCH(1,INDEX(--ISNUMBER(SEARCH('Bad Patterns'!$A$2:$A$120,B5506)),0),0)),""))</f>
        <v/>
      </c>
      <c r="D5506">
        <f>IF(B5506="","",IF(C5506&lt;&gt;"","REMOVE","KEEP"))</f>
        <v/>
      </c>
      <c r="E5506">
        <f>IF(D5506&lt;&gt;"KEEP","",IF(RIGHT(B5506,10)="@gmail.com","Gmail",IF(OR(RIGHT(B5506,12)="@outlook.com",RIGHT(B5506,12)="@hotmail.com",RIGHT(B5506,9)="@live.com"),"Outlook","Domain")))</f>
        <v/>
      </c>
      <c r="F5506">
        <f>IF(B5506="","",IFERROR(RIGHT(B5506,LEN(B5506)-FIND("@",B5506)),""))</f>
        <v/>
      </c>
      <c r="G5506">
        <f>IF(D5506="KEEP",COUNTIF($D$2:D5506,"KEEP"),"")</f>
        <v/>
      </c>
      <c r="H5506">
        <f>IF(D5506="REMOVE",COUNTIF($D$2:D5506,"REMOVE"),"")</f>
        <v/>
      </c>
      <c r="I5506">
        <f>IF(E5506="Gmail",COUNTIF($E$2:E5506,"Gmail"),"")</f>
        <v/>
      </c>
      <c r="J5506">
        <f>IF(E5506="Outlook",COUNTIF($E$2:E5506,"Outlook"),"")</f>
        <v/>
      </c>
      <c r="K5506">
        <f>IF(E5506="Domain",COUNTIF($E$2:E5506,"Domain"),"")</f>
        <v/>
      </c>
    </row>
    <row r="5507">
      <c r="A5507" s="2" t="n"/>
      <c r="B5507">
        <f>LOWER(TRIM(A5507))</f>
        <v/>
      </c>
      <c r="C5507">
        <f>IF(B5507="","",IFERROR(INDEX('Bad Patterns'!$A$2:$A$120,MATCH(1,INDEX(--ISNUMBER(SEARCH('Bad Patterns'!$A$2:$A$120,B5507)),0),0)),""))</f>
        <v/>
      </c>
      <c r="D5507">
        <f>IF(B5507="","",IF(C5507&lt;&gt;"","REMOVE","KEEP"))</f>
        <v/>
      </c>
      <c r="E5507">
        <f>IF(D5507&lt;&gt;"KEEP","",IF(RIGHT(B5507,10)="@gmail.com","Gmail",IF(OR(RIGHT(B5507,12)="@outlook.com",RIGHT(B5507,12)="@hotmail.com",RIGHT(B5507,9)="@live.com"),"Outlook","Domain")))</f>
        <v/>
      </c>
      <c r="F5507">
        <f>IF(B5507="","",IFERROR(RIGHT(B5507,LEN(B5507)-FIND("@",B5507)),""))</f>
        <v/>
      </c>
      <c r="G5507">
        <f>IF(D5507="KEEP",COUNTIF($D$2:D5507,"KEEP"),"")</f>
        <v/>
      </c>
      <c r="H5507">
        <f>IF(D5507="REMOVE",COUNTIF($D$2:D5507,"REMOVE"),"")</f>
        <v/>
      </c>
      <c r="I5507">
        <f>IF(E5507="Gmail",COUNTIF($E$2:E5507,"Gmail"),"")</f>
        <v/>
      </c>
      <c r="J5507">
        <f>IF(E5507="Outlook",COUNTIF($E$2:E5507,"Outlook"),"")</f>
        <v/>
      </c>
      <c r="K5507">
        <f>IF(E5507="Domain",COUNTIF($E$2:E5507,"Domain"),"")</f>
        <v/>
      </c>
    </row>
    <row r="5508">
      <c r="A5508" s="2" t="n"/>
      <c r="B5508">
        <f>LOWER(TRIM(A5508))</f>
        <v/>
      </c>
      <c r="C5508">
        <f>IF(B5508="","",IFERROR(INDEX('Bad Patterns'!$A$2:$A$120,MATCH(1,INDEX(--ISNUMBER(SEARCH('Bad Patterns'!$A$2:$A$120,B5508)),0),0)),""))</f>
        <v/>
      </c>
      <c r="D5508">
        <f>IF(B5508="","",IF(C5508&lt;&gt;"","REMOVE","KEEP"))</f>
        <v/>
      </c>
      <c r="E5508">
        <f>IF(D5508&lt;&gt;"KEEP","",IF(RIGHT(B5508,10)="@gmail.com","Gmail",IF(OR(RIGHT(B5508,12)="@outlook.com",RIGHT(B5508,12)="@hotmail.com",RIGHT(B5508,9)="@live.com"),"Outlook","Domain")))</f>
        <v/>
      </c>
      <c r="F5508">
        <f>IF(B5508="","",IFERROR(RIGHT(B5508,LEN(B5508)-FIND("@",B5508)),""))</f>
        <v/>
      </c>
      <c r="G5508">
        <f>IF(D5508="KEEP",COUNTIF($D$2:D5508,"KEEP"),"")</f>
        <v/>
      </c>
      <c r="H5508">
        <f>IF(D5508="REMOVE",COUNTIF($D$2:D5508,"REMOVE"),"")</f>
        <v/>
      </c>
      <c r="I5508">
        <f>IF(E5508="Gmail",COUNTIF($E$2:E5508,"Gmail"),"")</f>
        <v/>
      </c>
      <c r="J5508">
        <f>IF(E5508="Outlook",COUNTIF($E$2:E5508,"Outlook"),"")</f>
        <v/>
      </c>
      <c r="K5508">
        <f>IF(E5508="Domain",COUNTIF($E$2:E5508,"Domain"),"")</f>
        <v/>
      </c>
    </row>
    <row r="5509">
      <c r="A5509" s="2" t="n"/>
      <c r="B5509">
        <f>LOWER(TRIM(A5509))</f>
        <v/>
      </c>
      <c r="C5509">
        <f>IF(B5509="","",IFERROR(INDEX('Bad Patterns'!$A$2:$A$120,MATCH(1,INDEX(--ISNUMBER(SEARCH('Bad Patterns'!$A$2:$A$120,B5509)),0),0)),""))</f>
        <v/>
      </c>
      <c r="D5509">
        <f>IF(B5509="","",IF(C5509&lt;&gt;"","REMOVE","KEEP"))</f>
        <v/>
      </c>
      <c r="E5509">
        <f>IF(D5509&lt;&gt;"KEEP","",IF(RIGHT(B5509,10)="@gmail.com","Gmail",IF(OR(RIGHT(B5509,12)="@outlook.com",RIGHT(B5509,12)="@hotmail.com",RIGHT(B5509,9)="@live.com"),"Outlook","Domain")))</f>
        <v/>
      </c>
      <c r="F5509">
        <f>IF(B5509="","",IFERROR(RIGHT(B5509,LEN(B5509)-FIND("@",B5509)),""))</f>
        <v/>
      </c>
      <c r="G5509">
        <f>IF(D5509="KEEP",COUNTIF($D$2:D5509,"KEEP"),"")</f>
        <v/>
      </c>
      <c r="H5509">
        <f>IF(D5509="REMOVE",COUNTIF($D$2:D5509,"REMOVE"),"")</f>
        <v/>
      </c>
      <c r="I5509">
        <f>IF(E5509="Gmail",COUNTIF($E$2:E5509,"Gmail"),"")</f>
        <v/>
      </c>
      <c r="J5509">
        <f>IF(E5509="Outlook",COUNTIF($E$2:E5509,"Outlook"),"")</f>
        <v/>
      </c>
      <c r="K5509">
        <f>IF(E5509="Domain",COUNTIF($E$2:E5509,"Domain"),"")</f>
        <v/>
      </c>
    </row>
    <row r="5510">
      <c r="A5510" s="2" t="n"/>
      <c r="B5510">
        <f>LOWER(TRIM(A5510))</f>
        <v/>
      </c>
      <c r="C5510">
        <f>IF(B5510="","",IFERROR(INDEX('Bad Patterns'!$A$2:$A$120,MATCH(1,INDEX(--ISNUMBER(SEARCH('Bad Patterns'!$A$2:$A$120,B5510)),0),0)),""))</f>
        <v/>
      </c>
      <c r="D5510">
        <f>IF(B5510="","",IF(C5510&lt;&gt;"","REMOVE","KEEP"))</f>
        <v/>
      </c>
      <c r="E5510">
        <f>IF(D5510&lt;&gt;"KEEP","",IF(RIGHT(B5510,10)="@gmail.com","Gmail",IF(OR(RIGHT(B5510,12)="@outlook.com",RIGHT(B5510,12)="@hotmail.com",RIGHT(B5510,9)="@live.com"),"Outlook","Domain")))</f>
        <v/>
      </c>
      <c r="F5510">
        <f>IF(B5510="","",IFERROR(RIGHT(B5510,LEN(B5510)-FIND("@",B5510)),""))</f>
        <v/>
      </c>
      <c r="G5510">
        <f>IF(D5510="KEEP",COUNTIF($D$2:D5510,"KEEP"),"")</f>
        <v/>
      </c>
      <c r="H5510">
        <f>IF(D5510="REMOVE",COUNTIF($D$2:D5510,"REMOVE"),"")</f>
        <v/>
      </c>
      <c r="I5510">
        <f>IF(E5510="Gmail",COUNTIF($E$2:E5510,"Gmail"),"")</f>
        <v/>
      </c>
      <c r="J5510">
        <f>IF(E5510="Outlook",COUNTIF($E$2:E5510,"Outlook"),"")</f>
        <v/>
      </c>
      <c r="K5510">
        <f>IF(E5510="Domain",COUNTIF($E$2:E5510,"Domain"),"")</f>
        <v/>
      </c>
    </row>
    <row r="5511">
      <c r="A5511" s="2" t="n"/>
      <c r="B5511">
        <f>LOWER(TRIM(A5511))</f>
        <v/>
      </c>
      <c r="C5511">
        <f>IF(B5511="","",IFERROR(INDEX('Bad Patterns'!$A$2:$A$120,MATCH(1,INDEX(--ISNUMBER(SEARCH('Bad Patterns'!$A$2:$A$120,B5511)),0),0)),""))</f>
        <v/>
      </c>
      <c r="D5511">
        <f>IF(B5511="","",IF(C5511&lt;&gt;"","REMOVE","KEEP"))</f>
        <v/>
      </c>
      <c r="E5511">
        <f>IF(D5511&lt;&gt;"KEEP","",IF(RIGHT(B5511,10)="@gmail.com","Gmail",IF(OR(RIGHT(B5511,12)="@outlook.com",RIGHT(B5511,12)="@hotmail.com",RIGHT(B5511,9)="@live.com"),"Outlook","Domain")))</f>
        <v/>
      </c>
      <c r="F5511">
        <f>IF(B5511="","",IFERROR(RIGHT(B5511,LEN(B5511)-FIND("@",B5511)),""))</f>
        <v/>
      </c>
      <c r="G5511">
        <f>IF(D5511="KEEP",COUNTIF($D$2:D5511,"KEEP"),"")</f>
        <v/>
      </c>
      <c r="H5511">
        <f>IF(D5511="REMOVE",COUNTIF($D$2:D5511,"REMOVE"),"")</f>
        <v/>
      </c>
      <c r="I5511">
        <f>IF(E5511="Gmail",COUNTIF($E$2:E5511,"Gmail"),"")</f>
        <v/>
      </c>
      <c r="J5511">
        <f>IF(E5511="Outlook",COUNTIF($E$2:E5511,"Outlook"),"")</f>
        <v/>
      </c>
      <c r="K5511">
        <f>IF(E5511="Domain",COUNTIF($E$2:E5511,"Domain"),"")</f>
        <v/>
      </c>
    </row>
    <row r="5512">
      <c r="A5512" s="2" t="n"/>
      <c r="B5512">
        <f>LOWER(TRIM(A5512))</f>
        <v/>
      </c>
      <c r="C5512">
        <f>IF(B5512="","",IFERROR(INDEX('Bad Patterns'!$A$2:$A$120,MATCH(1,INDEX(--ISNUMBER(SEARCH('Bad Patterns'!$A$2:$A$120,B5512)),0),0)),""))</f>
        <v/>
      </c>
      <c r="D5512">
        <f>IF(B5512="","",IF(C5512&lt;&gt;"","REMOVE","KEEP"))</f>
        <v/>
      </c>
      <c r="E5512">
        <f>IF(D5512&lt;&gt;"KEEP","",IF(RIGHT(B5512,10)="@gmail.com","Gmail",IF(OR(RIGHT(B5512,12)="@outlook.com",RIGHT(B5512,12)="@hotmail.com",RIGHT(B5512,9)="@live.com"),"Outlook","Domain")))</f>
        <v/>
      </c>
      <c r="F5512">
        <f>IF(B5512="","",IFERROR(RIGHT(B5512,LEN(B5512)-FIND("@",B5512)),""))</f>
        <v/>
      </c>
      <c r="G5512">
        <f>IF(D5512="KEEP",COUNTIF($D$2:D5512,"KEEP"),"")</f>
        <v/>
      </c>
      <c r="H5512">
        <f>IF(D5512="REMOVE",COUNTIF($D$2:D5512,"REMOVE"),"")</f>
        <v/>
      </c>
      <c r="I5512">
        <f>IF(E5512="Gmail",COUNTIF($E$2:E5512,"Gmail"),"")</f>
        <v/>
      </c>
      <c r="J5512">
        <f>IF(E5512="Outlook",COUNTIF($E$2:E5512,"Outlook"),"")</f>
        <v/>
      </c>
      <c r="K5512">
        <f>IF(E5512="Domain",COUNTIF($E$2:E5512,"Domain"),"")</f>
        <v/>
      </c>
    </row>
    <row r="5513">
      <c r="A5513" s="2" t="n"/>
      <c r="B5513">
        <f>LOWER(TRIM(A5513))</f>
        <v/>
      </c>
      <c r="C5513">
        <f>IF(B5513="","",IFERROR(INDEX('Bad Patterns'!$A$2:$A$120,MATCH(1,INDEX(--ISNUMBER(SEARCH('Bad Patterns'!$A$2:$A$120,B5513)),0),0)),""))</f>
        <v/>
      </c>
      <c r="D5513">
        <f>IF(B5513="","",IF(C5513&lt;&gt;"","REMOVE","KEEP"))</f>
        <v/>
      </c>
      <c r="E5513">
        <f>IF(D5513&lt;&gt;"KEEP","",IF(RIGHT(B5513,10)="@gmail.com","Gmail",IF(OR(RIGHT(B5513,12)="@outlook.com",RIGHT(B5513,12)="@hotmail.com",RIGHT(B5513,9)="@live.com"),"Outlook","Domain")))</f>
        <v/>
      </c>
      <c r="F5513">
        <f>IF(B5513="","",IFERROR(RIGHT(B5513,LEN(B5513)-FIND("@",B5513)),""))</f>
        <v/>
      </c>
      <c r="G5513">
        <f>IF(D5513="KEEP",COUNTIF($D$2:D5513,"KEEP"),"")</f>
        <v/>
      </c>
      <c r="H5513">
        <f>IF(D5513="REMOVE",COUNTIF($D$2:D5513,"REMOVE"),"")</f>
        <v/>
      </c>
      <c r="I5513">
        <f>IF(E5513="Gmail",COUNTIF($E$2:E5513,"Gmail"),"")</f>
        <v/>
      </c>
      <c r="J5513">
        <f>IF(E5513="Outlook",COUNTIF($E$2:E5513,"Outlook"),"")</f>
        <v/>
      </c>
      <c r="K5513">
        <f>IF(E5513="Domain",COUNTIF($E$2:E5513,"Domain"),"")</f>
        <v/>
      </c>
    </row>
    <row r="5514">
      <c r="A5514" s="2" t="n"/>
      <c r="B5514">
        <f>LOWER(TRIM(A5514))</f>
        <v/>
      </c>
      <c r="C5514">
        <f>IF(B5514="","",IFERROR(INDEX('Bad Patterns'!$A$2:$A$120,MATCH(1,INDEX(--ISNUMBER(SEARCH('Bad Patterns'!$A$2:$A$120,B5514)),0),0)),""))</f>
        <v/>
      </c>
      <c r="D5514">
        <f>IF(B5514="","",IF(C5514&lt;&gt;"","REMOVE","KEEP"))</f>
        <v/>
      </c>
      <c r="E5514">
        <f>IF(D5514&lt;&gt;"KEEP","",IF(RIGHT(B5514,10)="@gmail.com","Gmail",IF(OR(RIGHT(B5514,12)="@outlook.com",RIGHT(B5514,12)="@hotmail.com",RIGHT(B5514,9)="@live.com"),"Outlook","Domain")))</f>
        <v/>
      </c>
      <c r="F5514">
        <f>IF(B5514="","",IFERROR(RIGHT(B5514,LEN(B5514)-FIND("@",B5514)),""))</f>
        <v/>
      </c>
      <c r="G5514">
        <f>IF(D5514="KEEP",COUNTIF($D$2:D5514,"KEEP"),"")</f>
        <v/>
      </c>
      <c r="H5514">
        <f>IF(D5514="REMOVE",COUNTIF($D$2:D5514,"REMOVE"),"")</f>
        <v/>
      </c>
      <c r="I5514">
        <f>IF(E5514="Gmail",COUNTIF($E$2:E5514,"Gmail"),"")</f>
        <v/>
      </c>
      <c r="J5514">
        <f>IF(E5514="Outlook",COUNTIF($E$2:E5514,"Outlook"),"")</f>
        <v/>
      </c>
      <c r="K5514">
        <f>IF(E5514="Domain",COUNTIF($E$2:E5514,"Domain"),"")</f>
        <v/>
      </c>
    </row>
    <row r="5515">
      <c r="A5515" s="2" t="n"/>
      <c r="B5515">
        <f>LOWER(TRIM(A5515))</f>
        <v/>
      </c>
      <c r="C5515">
        <f>IF(B5515="","",IFERROR(INDEX('Bad Patterns'!$A$2:$A$120,MATCH(1,INDEX(--ISNUMBER(SEARCH('Bad Patterns'!$A$2:$A$120,B5515)),0),0)),""))</f>
        <v/>
      </c>
      <c r="D5515">
        <f>IF(B5515="","",IF(C5515&lt;&gt;"","REMOVE","KEEP"))</f>
        <v/>
      </c>
      <c r="E5515">
        <f>IF(D5515&lt;&gt;"KEEP","",IF(RIGHT(B5515,10)="@gmail.com","Gmail",IF(OR(RIGHT(B5515,12)="@outlook.com",RIGHT(B5515,12)="@hotmail.com",RIGHT(B5515,9)="@live.com"),"Outlook","Domain")))</f>
        <v/>
      </c>
      <c r="F5515">
        <f>IF(B5515="","",IFERROR(RIGHT(B5515,LEN(B5515)-FIND("@",B5515)),""))</f>
        <v/>
      </c>
      <c r="G5515">
        <f>IF(D5515="KEEP",COUNTIF($D$2:D5515,"KEEP"),"")</f>
        <v/>
      </c>
      <c r="H5515">
        <f>IF(D5515="REMOVE",COUNTIF($D$2:D5515,"REMOVE"),"")</f>
        <v/>
      </c>
      <c r="I5515">
        <f>IF(E5515="Gmail",COUNTIF($E$2:E5515,"Gmail"),"")</f>
        <v/>
      </c>
      <c r="J5515">
        <f>IF(E5515="Outlook",COUNTIF($E$2:E5515,"Outlook"),"")</f>
        <v/>
      </c>
      <c r="K5515">
        <f>IF(E5515="Domain",COUNTIF($E$2:E5515,"Domain"),"")</f>
        <v/>
      </c>
    </row>
    <row r="5516">
      <c r="A5516" s="2" t="n"/>
      <c r="B5516">
        <f>LOWER(TRIM(A5516))</f>
        <v/>
      </c>
      <c r="C5516">
        <f>IF(B5516="","",IFERROR(INDEX('Bad Patterns'!$A$2:$A$120,MATCH(1,INDEX(--ISNUMBER(SEARCH('Bad Patterns'!$A$2:$A$120,B5516)),0),0)),""))</f>
        <v/>
      </c>
      <c r="D5516">
        <f>IF(B5516="","",IF(C5516&lt;&gt;"","REMOVE","KEEP"))</f>
        <v/>
      </c>
      <c r="E5516">
        <f>IF(D5516&lt;&gt;"KEEP","",IF(RIGHT(B5516,10)="@gmail.com","Gmail",IF(OR(RIGHT(B5516,12)="@outlook.com",RIGHT(B5516,12)="@hotmail.com",RIGHT(B5516,9)="@live.com"),"Outlook","Domain")))</f>
        <v/>
      </c>
      <c r="F5516">
        <f>IF(B5516="","",IFERROR(RIGHT(B5516,LEN(B5516)-FIND("@",B5516)),""))</f>
        <v/>
      </c>
      <c r="G5516">
        <f>IF(D5516="KEEP",COUNTIF($D$2:D5516,"KEEP"),"")</f>
        <v/>
      </c>
      <c r="H5516">
        <f>IF(D5516="REMOVE",COUNTIF($D$2:D5516,"REMOVE"),"")</f>
        <v/>
      </c>
      <c r="I5516">
        <f>IF(E5516="Gmail",COUNTIF($E$2:E5516,"Gmail"),"")</f>
        <v/>
      </c>
      <c r="J5516">
        <f>IF(E5516="Outlook",COUNTIF($E$2:E5516,"Outlook"),"")</f>
        <v/>
      </c>
      <c r="K5516">
        <f>IF(E5516="Domain",COUNTIF($E$2:E5516,"Domain"),"")</f>
        <v/>
      </c>
    </row>
    <row r="5517">
      <c r="A5517" s="2" t="n"/>
      <c r="B5517">
        <f>LOWER(TRIM(A5517))</f>
        <v/>
      </c>
      <c r="C5517">
        <f>IF(B5517="","",IFERROR(INDEX('Bad Patterns'!$A$2:$A$120,MATCH(1,INDEX(--ISNUMBER(SEARCH('Bad Patterns'!$A$2:$A$120,B5517)),0),0)),""))</f>
        <v/>
      </c>
      <c r="D5517">
        <f>IF(B5517="","",IF(C5517&lt;&gt;"","REMOVE","KEEP"))</f>
        <v/>
      </c>
      <c r="E5517">
        <f>IF(D5517&lt;&gt;"KEEP","",IF(RIGHT(B5517,10)="@gmail.com","Gmail",IF(OR(RIGHT(B5517,12)="@outlook.com",RIGHT(B5517,12)="@hotmail.com",RIGHT(B5517,9)="@live.com"),"Outlook","Domain")))</f>
        <v/>
      </c>
      <c r="F5517">
        <f>IF(B5517="","",IFERROR(RIGHT(B5517,LEN(B5517)-FIND("@",B5517)),""))</f>
        <v/>
      </c>
      <c r="G5517">
        <f>IF(D5517="KEEP",COUNTIF($D$2:D5517,"KEEP"),"")</f>
        <v/>
      </c>
      <c r="H5517">
        <f>IF(D5517="REMOVE",COUNTIF($D$2:D5517,"REMOVE"),"")</f>
        <v/>
      </c>
      <c r="I5517">
        <f>IF(E5517="Gmail",COUNTIF($E$2:E5517,"Gmail"),"")</f>
        <v/>
      </c>
      <c r="J5517">
        <f>IF(E5517="Outlook",COUNTIF($E$2:E5517,"Outlook"),"")</f>
        <v/>
      </c>
      <c r="K5517">
        <f>IF(E5517="Domain",COUNTIF($E$2:E5517,"Domain"),"")</f>
        <v/>
      </c>
    </row>
    <row r="5518">
      <c r="A5518" s="2" t="n"/>
      <c r="B5518">
        <f>LOWER(TRIM(A5518))</f>
        <v/>
      </c>
      <c r="C5518">
        <f>IF(B5518="","",IFERROR(INDEX('Bad Patterns'!$A$2:$A$120,MATCH(1,INDEX(--ISNUMBER(SEARCH('Bad Patterns'!$A$2:$A$120,B5518)),0),0)),""))</f>
        <v/>
      </c>
      <c r="D5518">
        <f>IF(B5518="","",IF(C5518&lt;&gt;"","REMOVE","KEEP"))</f>
        <v/>
      </c>
      <c r="E5518">
        <f>IF(D5518&lt;&gt;"KEEP","",IF(RIGHT(B5518,10)="@gmail.com","Gmail",IF(OR(RIGHT(B5518,12)="@outlook.com",RIGHT(B5518,12)="@hotmail.com",RIGHT(B5518,9)="@live.com"),"Outlook","Domain")))</f>
        <v/>
      </c>
      <c r="F5518">
        <f>IF(B5518="","",IFERROR(RIGHT(B5518,LEN(B5518)-FIND("@",B5518)),""))</f>
        <v/>
      </c>
      <c r="G5518">
        <f>IF(D5518="KEEP",COUNTIF($D$2:D5518,"KEEP"),"")</f>
        <v/>
      </c>
      <c r="H5518">
        <f>IF(D5518="REMOVE",COUNTIF($D$2:D5518,"REMOVE"),"")</f>
        <v/>
      </c>
      <c r="I5518">
        <f>IF(E5518="Gmail",COUNTIF($E$2:E5518,"Gmail"),"")</f>
        <v/>
      </c>
      <c r="J5518">
        <f>IF(E5518="Outlook",COUNTIF($E$2:E5518,"Outlook"),"")</f>
        <v/>
      </c>
      <c r="K5518">
        <f>IF(E5518="Domain",COUNTIF($E$2:E5518,"Domain"),"")</f>
        <v/>
      </c>
    </row>
    <row r="5519">
      <c r="A5519" s="2" t="n"/>
      <c r="B5519">
        <f>LOWER(TRIM(A5519))</f>
        <v/>
      </c>
      <c r="C5519">
        <f>IF(B5519="","",IFERROR(INDEX('Bad Patterns'!$A$2:$A$120,MATCH(1,INDEX(--ISNUMBER(SEARCH('Bad Patterns'!$A$2:$A$120,B5519)),0),0)),""))</f>
        <v/>
      </c>
      <c r="D5519">
        <f>IF(B5519="","",IF(C5519&lt;&gt;"","REMOVE","KEEP"))</f>
        <v/>
      </c>
      <c r="E5519">
        <f>IF(D5519&lt;&gt;"KEEP","",IF(RIGHT(B5519,10)="@gmail.com","Gmail",IF(OR(RIGHT(B5519,12)="@outlook.com",RIGHT(B5519,12)="@hotmail.com",RIGHT(B5519,9)="@live.com"),"Outlook","Domain")))</f>
        <v/>
      </c>
      <c r="F5519">
        <f>IF(B5519="","",IFERROR(RIGHT(B5519,LEN(B5519)-FIND("@",B5519)),""))</f>
        <v/>
      </c>
      <c r="G5519">
        <f>IF(D5519="KEEP",COUNTIF($D$2:D5519,"KEEP"),"")</f>
        <v/>
      </c>
      <c r="H5519">
        <f>IF(D5519="REMOVE",COUNTIF($D$2:D5519,"REMOVE"),"")</f>
        <v/>
      </c>
      <c r="I5519">
        <f>IF(E5519="Gmail",COUNTIF($E$2:E5519,"Gmail"),"")</f>
        <v/>
      </c>
      <c r="J5519">
        <f>IF(E5519="Outlook",COUNTIF($E$2:E5519,"Outlook"),"")</f>
        <v/>
      </c>
      <c r="K5519">
        <f>IF(E5519="Domain",COUNTIF($E$2:E5519,"Domain"),"")</f>
        <v/>
      </c>
    </row>
    <row r="5520">
      <c r="A5520" s="2" t="n"/>
      <c r="B5520">
        <f>LOWER(TRIM(A5520))</f>
        <v/>
      </c>
      <c r="C5520">
        <f>IF(B5520="","",IFERROR(INDEX('Bad Patterns'!$A$2:$A$120,MATCH(1,INDEX(--ISNUMBER(SEARCH('Bad Patterns'!$A$2:$A$120,B5520)),0),0)),""))</f>
        <v/>
      </c>
      <c r="D5520">
        <f>IF(B5520="","",IF(C5520&lt;&gt;"","REMOVE","KEEP"))</f>
        <v/>
      </c>
      <c r="E5520">
        <f>IF(D5520&lt;&gt;"KEEP","",IF(RIGHT(B5520,10)="@gmail.com","Gmail",IF(OR(RIGHT(B5520,12)="@outlook.com",RIGHT(B5520,12)="@hotmail.com",RIGHT(B5520,9)="@live.com"),"Outlook","Domain")))</f>
        <v/>
      </c>
      <c r="F5520">
        <f>IF(B5520="","",IFERROR(RIGHT(B5520,LEN(B5520)-FIND("@",B5520)),""))</f>
        <v/>
      </c>
      <c r="G5520">
        <f>IF(D5520="KEEP",COUNTIF($D$2:D5520,"KEEP"),"")</f>
        <v/>
      </c>
      <c r="H5520">
        <f>IF(D5520="REMOVE",COUNTIF($D$2:D5520,"REMOVE"),"")</f>
        <v/>
      </c>
      <c r="I5520">
        <f>IF(E5520="Gmail",COUNTIF($E$2:E5520,"Gmail"),"")</f>
        <v/>
      </c>
      <c r="J5520">
        <f>IF(E5520="Outlook",COUNTIF($E$2:E5520,"Outlook"),"")</f>
        <v/>
      </c>
      <c r="K5520">
        <f>IF(E5520="Domain",COUNTIF($E$2:E5520,"Domain"),"")</f>
        <v/>
      </c>
    </row>
    <row r="5521">
      <c r="A5521" s="2" t="n"/>
      <c r="B5521">
        <f>LOWER(TRIM(A5521))</f>
        <v/>
      </c>
      <c r="C5521">
        <f>IF(B5521="","",IFERROR(INDEX('Bad Patterns'!$A$2:$A$120,MATCH(1,INDEX(--ISNUMBER(SEARCH('Bad Patterns'!$A$2:$A$120,B5521)),0),0)),""))</f>
        <v/>
      </c>
      <c r="D5521">
        <f>IF(B5521="","",IF(C5521&lt;&gt;"","REMOVE","KEEP"))</f>
        <v/>
      </c>
      <c r="E5521">
        <f>IF(D5521&lt;&gt;"KEEP","",IF(RIGHT(B5521,10)="@gmail.com","Gmail",IF(OR(RIGHT(B5521,12)="@outlook.com",RIGHT(B5521,12)="@hotmail.com",RIGHT(B5521,9)="@live.com"),"Outlook","Domain")))</f>
        <v/>
      </c>
      <c r="F5521">
        <f>IF(B5521="","",IFERROR(RIGHT(B5521,LEN(B5521)-FIND("@",B5521)),""))</f>
        <v/>
      </c>
      <c r="G5521">
        <f>IF(D5521="KEEP",COUNTIF($D$2:D5521,"KEEP"),"")</f>
        <v/>
      </c>
      <c r="H5521">
        <f>IF(D5521="REMOVE",COUNTIF($D$2:D5521,"REMOVE"),"")</f>
        <v/>
      </c>
      <c r="I5521">
        <f>IF(E5521="Gmail",COUNTIF($E$2:E5521,"Gmail"),"")</f>
        <v/>
      </c>
      <c r="J5521">
        <f>IF(E5521="Outlook",COUNTIF($E$2:E5521,"Outlook"),"")</f>
        <v/>
      </c>
      <c r="K5521">
        <f>IF(E5521="Domain",COUNTIF($E$2:E5521,"Domain"),"")</f>
        <v/>
      </c>
    </row>
    <row r="5522">
      <c r="A5522" s="2" t="n"/>
      <c r="B5522">
        <f>LOWER(TRIM(A5522))</f>
        <v/>
      </c>
      <c r="C5522">
        <f>IF(B5522="","",IFERROR(INDEX('Bad Patterns'!$A$2:$A$120,MATCH(1,INDEX(--ISNUMBER(SEARCH('Bad Patterns'!$A$2:$A$120,B5522)),0),0)),""))</f>
        <v/>
      </c>
      <c r="D5522">
        <f>IF(B5522="","",IF(C5522&lt;&gt;"","REMOVE","KEEP"))</f>
        <v/>
      </c>
      <c r="E5522">
        <f>IF(D5522&lt;&gt;"KEEP","",IF(RIGHT(B5522,10)="@gmail.com","Gmail",IF(OR(RIGHT(B5522,12)="@outlook.com",RIGHT(B5522,12)="@hotmail.com",RIGHT(B5522,9)="@live.com"),"Outlook","Domain")))</f>
        <v/>
      </c>
      <c r="F5522">
        <f>IF(B5522="","",IFERROR(RIGHT(B5522,LEN(B5522)-FIND("@",B5522)),""))</f>
        <v/>
      </c>
      <c r="G5522">
        <f>IF(D5522="KEEP",COUNTIF($D$2:D5522,"KEEP"),"")</f>
        <v/>
      </c>
      <c r="H5522">
        <f>IF(D5522="REMOVE",COUNTIF($D$2:D5522,"REMOVE"),"")</f>
        <v/>
      </c>
      <c r="I5522">
        <f>IF(E5522="Gmail",COUNTIF($E$2:E5522,"Gmail"),"")</f>
        <v/>
      </c>
      <c r="J5522">
        <f>IF(E5522="Outlook",COUNTIF($E$2:E5522,"Outlook"),"")</f>
        <v/>
      </c>
      <c r="K5522">
        <f>IF(E5522="Domain",COUNTIF($E$2:E5522,"Domain"),"")</f>
        <v/>
      </c>
    </row>
    <row r="5523">
      <c r="A5523" s="2" t="n"/>
      <c r="B5523">
        <f>LOWER(TRIM(A5523))</f>
        <v/>
      </c>
      <c r="C5523">
        <f>IF(B5523="","",IFERROR(INDEX('Bad Patterns'!$A$2:$A$120,MATCH(1,INDEX(--ISNUMBER(SEARCH('Bad Patterns'!$A$2:$A$120,B5523)),0),0)),""))</f>
        <v/>
      </c>
      <c r="D5523">
        <f>IF(B5523="","",IF(C5523&lt;&gt;"","REMOVE","KEEP"))</f>
        <v/>
      </c>
      <c r="E5523">
        <f>IF(D5523&lt;&gt;"KEEP","",IF(RIGHT(B5523,10)="@gmail.com","Gmail",IF(OR(RIGHT(B5523,12)="@outlook.com",RIGHT(B5523,12)="@hotmail.com",RIGHT(B5523,9)="@live.com"),"Outlook","Domain")))</f>
        <v/>
      </c>
      <c r="F5523">
        <f>IF(B5523="","",IFERROR(RIGHT(B5523,LEN(B5523)-FIND("@",B5523)),""))</f>
        <v/>
      </c>
      <c r="G5523">
        <f>IF(D5523="KEEP",COUNTIF($D$2:D5523,"KEEP"),"")</f>
        <v/>
      </c>
      <c r="H5523">
        <f>IF(D5523="REMOVE",COUNTIF($D$2:D5523,"REMOVE"),"")</f>
        <v/>
      </c>
      <c r="I5523">
        <f>IF(E5523="Gmail",COUNTIF($E$2:E5523,"Gmail"),"")</f>
        <v/>
      </c>
      <c r="J5523">
        <f>IF(E5523="Outlook",COUNTIF($E$2:E5523,"Outlook"),"")</f>
        <v/>
      </c>
      <c r="K5523">
        <f>IF(E5523="Domain",COUNTIF($E$2:E5523,"Domain"),"")</f>
        <v/>
      </c>
    </row>
    <row r="5524">
      <c r="A5524" s="2" t="n"/>
      <c r="B5524">
        <f>LOWER(TRIM(A5524))</f>
        <v/>
      </c>
      <c r="C5524">
        <f>IF(B5524="","",IFERROR(INDEX('Bad Patterns'!$A$2:$A$120,MATCH(1,INDEX(--ISNUMBER(SEARCH('Bad Patterns'!$A$2:$A$120,B5524)),0),0)),""))</f>
        <v/>
      </c>
      <c r="D5524">
        <f>IF(B5524="","",IF(C5524&lt;&gt;"","REMOVE","KEEP"))</f>
        <v/>
      </c>
      <c r="E5524">
        <f>IF(D5524&lt;&gt;"KEEP","",IF(RIGHT(B5524,10)="@gmail.com","Gmail",IF(OR(RIGHT(B5524,12)="@outlook.com",RIGHT(B5524,12)="@hotmail.com",RIGHT(B5524,9)="@live.com"),"Outlook","Domain")))</f>
        <v/>
      </c>
      <c r="F5524">
        <f>IF(B5524="","",IFERROR(RIGHT(B5524,LEN(B5524)-FIND("@",B5524)),""))</f>
        <v/>
      </c>
      <c r="G5524">
        <f>IF(D5524="KEEP",COUNTIF($D$2:D5524,"KEEP"),"")</f>
        <v/>
      </c>
      <c r="H5524">
        <f>IF(D5524="REMOVE",COUNTIF($D$2:D5524,"REMOVE"),"")</f>
        <v/>
      </c>
      <c r="I5524">
        <f>IF(E5524="Gmail",COUNTIF($E$2:E5524,"Gmail"),"")</f>
        <v/>
      </c>
      <c r="J5524">
        <f>IF(E5524="Outlook",COUNTIF($E$2:E5524,"Outlook"),"")</f>
        <v/>
      </c>
      <c r="K5524">
        <f>IF(E5524="Domain",COUNTIF($E$2:E5524,"Domain"),"")</f>
        <v/>
      </c>
    </row>
    <row r="5525">
      <c r="A5525" s="2" t="n"/>
      <c r="B5525">
        <f>LOWER(TRIM(A5525))</f>
        <v/>
      </c>
      <c r="C5525">
        <f>IF(B5525="","",IFERROR(INDEX('Bad Patterns'!$A$2:$A$120,MATCH(1,INDEX(--ISNUMBER(SEARCH('Bad Patterns'!$A$2:$A$120,B5525)),0),0)),""))</f>
        <v/>
      </c>
      <c r="D5525">
        <f>IF(B5525="","",IF(C5525&lt;&gt;"","REMOVE","KEEP"))</f>
        <v/>
      </c>
      <c r="E5525">
        <f>IF(D5525&lt;&gt;"KEEP","",IF(RIGHT(B5525,10)="@gmail.com","Gmail",IF(OR(RIGHT(B5525,12)="@outlook.com",RIGHT(B5525,12)="@hotmail.com",RIGHT(B5525,9)="@live.com"),"Outlook","Domain")))</f>
        <v/>
      </c>
      <c r="F5525">
        <f>IF(B5525="","",IFERROR(RIGHT(B5525,LEN(B5525)-FIND("@",B5525)),""))</f>
        <v/>
      </c>
      <c r="G5525">
        <f>IF(D5525="KEEP",COUNTIF($D$2:D5525,"KEEP"),"")</f>
        <v/>
      </c>
      <c r="H5525">
        <f>IF(D5525="REMOVE",COUNTIF($D$2:D5525,"REMOVE"),"")</f>
        <v/>
      </c>
      <c r="I5525">
        <f>IF(E5525="Gmail",COUNTIF($E$2:E5525,"Gmail"),"")</f>
        <v/>
      </c>
      <c r="J5525">
        <f>IF(E5525="Outlook",COUNTIF($E$2:E5525,"Outlook"),"")</f>
        <v/>
      </c>
      <c r="K5525">
        <f>IF(E5525="Domain",COUNTIF($E$2:E5525,"Domain"),"")</f>
        <v/>
      </c>
    </row>
    <row r="5526">
      <c r="A5526" s="2" t="n"/>
      <c r="B5526">
        <f>LOWER(TRIM(A5526))</f>
        <v/>
      </c>
      <c r="C5526">
        <f>IF(B5526="","",IFERROR(INDEX('Bad Patterns'!$A$2:$A$120,MATCH(1,INDEX(--ISNUMBER(SEARCH('Bad Patterns'!$A$2:$A$120,B5526)),0),0)),""))</f>
        <v/>
      </c>
      <c r="D5526">
        <f>IF(B5526="","",IF(C5526&lt;&gt;"","REMOVE","KEEP"))</f>
        <v/>
      </c>
      <c r="E5526">
        <f>IF(D5526&lt;&gt;"KEEP","",IF(RIGHT(B5526,10)="@gmail.com","Gmail",IF(OR(RIGHT(B5526,12)="@outlook.com",RIGHT(B5526,12)="@hotmail.com",RIGHT(B5526,9)="@live.com"),"Outlook","Domain")))</f>
        <v/>
      </c>
      <c r="F5526">
        <f>IF(B5526="","",IFERROR(RIGHT(B5526,LEN(B5526)-FIND("@",B5526)),""))</f>
        <v/>
      </c>
      <c r="G5526">
        <f>IF(D5526="KEEP",COUNTIF($D$2:D5526,"KEEP"),"")</f>
        <v/>
      </c>
      <c r="H5526">
        <f>IF(D5526="REMOVE",COUNTIF($D$2:D5526,"REMOVE"),"")</f>
        <v/>
      </c>
      <c r="I5526">
        <f>IF(E5526="Gmail",COUNTIF($E$2:E5526,"Gmail"),"")</f>
        <v/>
      </c>
      <c r="J5526">
        <f>IF(E5526="Outlook",COUNTIF($E$2:E5526,"Outlook"),"")</f>
        <v/>
      </c>
      <c r="K5526">
        <f>IF(E5526="Domain",COUNTIF($E$2:E5526,"Domain"),"")</f>
        <v/>
      </c>
    </row>
    <row r="5527">
      <c r="A5527" s="2" t="n"/>
      <c r="B5527">
        <f>LOWER(TRIM(A5527))</f>
        <v/>
      </c>
      <c r="C5527">
        <f>IF(B5527="","",IFERROR(INDEX('Bad Patterns'!$A$2:$A$120,MATCH(1,INDEX(--ISNUMBER(SEARCH('Bad Patterns'!$A$2:$A$120,B5527)),0),0)),""))</f>
        <v/>
      </c>
      <c r="D5527">
        <f>IF(B5527="","",IF(C5527&lt;&gt;"","REMOVE","KEEP"))</f>
        <v/>
      </c>
      <c r="E5527">
        <f>IF(D5527&lt;&gt;"KEEP","",IF(RIGHT(B5527,10)="@gmail.com","Gmail",IF(OR(RIGHT(B5527,12)="@outlook.com",RIGHT(B5527,12)="@hotmail.com",RIGHT(B5527,9)="@live.com"),"Outlook","Domain")))</f>
        <v/>
      </c>
      <c r="F5527">
        <f>IF(B5527="","",IFERROR(RIGHT(B5527,LEN(B5527)-FIND("@",B5527)),""))</f>
        <v/>
      </c>
      <c r="G5527">
        <f>IF(D5527="KEEP",COUNTIF($D$2:D5527,"KEEP"),"")</f>
        <v/>
      </c>
      <c r="H5527">
        <f>IF(D5527="REMOVE",COUNTIF($D$2:D5527,"REMOVE"),"")</f>
        <v/>
      </c>
      <c r="I5527">
        <f>IF(E5527="Gmail",COUNTIF($E$2:E5527,"Gmail"),"")</f>
        <v/>
      </c>
      <c r="J5527">
        <f>IF(E5527="Outlook",COUNTIF($E$2:E5527,"Outlook"),"")</f>
        <v/>
      </c>
      <c r="K5527">
        <f>IF(E5527="Domain",COUNTIF($E$2:E5527,"Domain"),"")</f>
        <v/>
      </c>
    </row>
    <row r="5528">
      <c r="A5528" s="2" t="n"/>
      <c r="B5528">
        <f>LOWER(TRIM(A5528))</f>
        <v/>
      </c>
      <c r="C5528">
        <f>IF(B5528="","",IFERROR(INDEX('Bad Patterns'!$A$2:$A$120,MATCH(1,INDEX(--ISNUMBER(SEARCH('Bad Patterns'!$A$2:$A$120,B5528)),0),0)),""))</f>
        <v/>
      </c>
      <c r="D5528">
        <f>IF(B5528="","",IF(C5528&lt;&gt;"","REMOVE","KEEP"))</f>
        <v/>
      </c>
      <c r="E5528">
        <f>IF(D5528&lt;&gt;"KEEP","",IF(RIGHT(B5528,10)="@gmail.com","Gmail",IF(OR(RIGHT(B5528,12)="@outlook.com",RIGHT(B5528,12)="@hotmail.com",RIGHT(B5528,9)="@live.com"),"Outlook","Domain")))</f>
        <v/>
      </c>
      <c r="F5528">
        <f>IF(B5528="","",IFERROR(RIGHT(B5528,LEN(B5528)-FIND("@",B5528)),""))</f>
        <v/>
      </c>
      <c r="G5528">
        <f>IF(D5528="KEEP",COUNTIF($D$2:D5528,"KEEP"),"")</f>
        <v/>
      </c>
      <c r="H5528">
        <f>IF(D5528="REMOVE",COUNTIF($D$2:D5528,"REMOVE"),"")</f>
        <v/>
      </c>
      <c r="I5528">
        <f>IF(E5528="Gmail",COUNTIF($E$2:E5528,"Gmail"),"")</f>
        <v/>
      </c>
      <c r="J5528">
        <f>IF(E5528="Outlook",COUNTIF($E$2:E5528,"Outlook"),"")</f>
        <v/>
      </c>
      <c r="K5528">
        <f>IF(E5528="Domain",COUNTIF($E$2:E5528,"Domain"),"")</f>
        <v/>
      </c>
    </row>
    <row r="5529">
      <c r="A5529" s="2" t="n"/>
      <c r="B5529">
        <f>LOWER(TRIM(A5529))</f>
        <v/>
      </c>
      <c r="C5529">
        <f>IF(B5529="","",IFERROR(INDEX('Bad Patterns'!$A$2:$A$120,MATCH(1,INDEX(--ISNUMBER(SEARCH('Bad Patterns'!$A$2:$A$120,B5529)),0),0)),""))</f>
        <v/>
      </c>
      <c r="D5529">
        <f>IF(B5529="","",IF(C5529&lt;&gt;"","REMOVE","KEEP"))</f>
        <v/>
      </c>
      <c r="E5529">
        <f>IF(D5529&lt;&gt;"KEEP","",IF(RIGHT(B5529,10)="@gmail.com","Gmail",IF(OR(RIGHT(B5529,12)="@outlook.com",RIGHT(B5529,12)="@hotmail.com",RIGHT(B5529,9)="@live.com"),"Outlook","Domain")))</f>
        <v/>
      </c>
      <c r="F5529">
        <f>IF(B5529="","",IFERROR(RIGHT(B5529,LEN(B5529)-FIND("@",B5529)),""))</f>
        <v/>
      </c>
      <c r="G5529">
        <f>IF(D5529="KEEP",COUNTIF($D$2:D5529,"KEEP"),"")</f>
        <v/>
      </c>
      <c r="H5529">
        <f>IF(D5529="REMOVE",COUNTIF($D$2:D5529,"REMOVE"),"")</f>
        <v/>
      </c>
      <c r="I5529">
        <f>IF(E5529="Gmail",COUNTIF($E$2:E5529,"Gmail"),"")</f>
        <v/>
      </c>
      <c r="J5529">
        <f>IF(E5529="Outlook",COUNTIF($E$2:E5529,"Outlook"),"")</f>
        <v/>
      </c>
      <c r="K5529">
        <f>IF(E5529="Domain",COUNTIF($E$2:E5529,"Domain"),"")</f>
        <v/>
      </c>
    </row>
    <row r="5530">
      <c r="A5530" s="2" t="n"/>
      <c r="B5530">
        <f>LOWER(TRIM(A5530))</f>
        <v/>
      </c>
      <c r="C5530">
        <f>IF(B5530="","",IFERROR(INDEX('Bad Patterns'!$A$2:$A$120,MATCH(1,INDEX(--ISNUMBER(SEARCH('Bad Patterns'!$A$2:$A$120,B5530)),0),0)),""))</f>
        <v/>
      </c>
      <c r="D5530">
        <f>IF(B5530="","",IF(C5530&lt;&gt;"","REMOVE","KEEP"))</f>
        <v/>
      </c>
      <c r="E5530">
        <f>IF(D5530&lt;&gt;"KEEP","",IF(RIGHT(B5530,10)="@gmail.com","Gmail",IF(OR(RIGHT(B5530,12)="@outlook.com",RIGHT(B5530,12)="@hotmail.com",RIGHT(B5530,9)="@live.com"),"Outlook","Domain")))</f>
        <v/>
      </c>
      <c r="F5530">
        <f>IF(B5530="","",IFERROR(RIGHT(B5530,LEN(B5530)-FIND("@",B5530)),""))</f>
        <v/>
      </c>
      <c r="G5530">
        <f>IF(D5530="KEEP",COUNTIF($D$2:D5530,"KEEP"),"")</f>
        <v/>
      </c>
      <c r="H5530">
        <f>IF(D5530="REMOVE",COUNTIF($D$2:D5530,"REMOVE"),"")</f>
        <v/>
      </c>
      <c r="I5530">
        <f>IF(E5530="Gmail",COUNTIF($E$2:E5530,"Gmail"),"")</f>
        <v/>
      </c>
      <c r="J5530">
        <f>IF(E5530="Outlook",COUNTIF($E$2:E5530,"Outlook"),"")</f>
        <v/>
      </c>
      <c r="K5530">
        <f>IF(E5530="Domain",COUNTIF($E$2:E5530,"Domain"),"")</f>
        <v/>
      </c>
    </row>
    <row r="5531">
      <c r="A5531" s="2" t="n"/>
      <c r="B5531">
        <f>LOWER(TRIM(A5531))</f>
        <v/>
      </c>
      <c r="C5531">
        <f>IF(B5531="","",IFERROR(INDEX('Bad Patterns'!$A$2:$A$120,MATCH(1,INDEX(--ISNUMBER(SEARCH('Bad Patterns'!$A$2:$A$120,B5531)),0),0)),""))</f>
        <v/>
      </c>
      <c r="D5531">
        <f>IF(B5531="","",IF(C5531&lt;&gt;"","REMOVE","KEEP"))</f>
        <v/>
      </c>
      <c r="E5531">
        <f>IF(D5531&lt;&gt;"KEEP","",IF(RIGHT(B5531,10)="@gmail.com","Gmail",IF(OR(RIGHT(B5531,12)="@outlook.com",RIGHT(B5531,12)="@hotmail.com",RIGHT(B5531,9)="@live.com"),"Outlook","Domain")))</f>
        <v/>
      </c>
      <c r="F5531">
        <f>IF(B5531="","",IFERROR(RIGHT(B5531,LEN(B5531)-FIND("@",B5531)),""))</f>
        <v/>
      </c>
      <c r="G5531">
        <f>IF(D5531="KEEP",COUNTIF($D$2:D5531,"KEEP"),"")</f>
        <v/>
      </c>
      <c r="H5531">
        <f>IF(D5531="REMOVE",COUNTIF($D$2:D5531,"REMOVE"),"")</f>
        <v/>
      </c>
      <c r="I5531">
        <f>IF(E5531="Gmail",COUNTIF($E$2:E5531,"Gmail"),"")</f>
        <v/>
      </c>
      <c r="J5531">
        <f>IF(E5531="Outlook",COUNTIF($E$2:E5531,"Outlook"),"")</f>
        <v/>
      </c>
      <c r="K5531">
        <f>IF(E5531="Domain",COUNTIF($E$2:E5531,"Domain"),"")</f>
        <v/>
      </c>
    </row>
    <row r="5532">
      <c r="A5532" s="2" t="n"/>
      <c r="B5532">
        <f>LOWER(TRIM(A5532))</f>
        <v/>
      </c>
      <c r="C5532">
        <f>IF(B5532="","",IFERROR(INDEX('Bad Patterns'!$A$2:$A$120,MATCH(1,INDEX(--ISNUMBER(SEARCH('Bad Patterns'!$A$2:$A$120,B5532)),0),0)),""))</f>
        <v/>
      </c>
      <c r="D5532">
        <f>IF(B5532="","",IF(C5532&lt;&gt;"","REMOVE","KEEP"))</f>
        <v/>
      </c>
      <c r="E5532">
        <f>IF(D5532&lt;&gt;"KEEP","",IF(RIGHT(B5532,10)="@gmail.com","Gmail",IF(OR(RIGHT(B5532,12)="@outlook.com",RIGHT(B5532,12)="@hotmail.com",RIGHT(B5532,9)="@live.com"),"Outlook","Domain")))</f>
        <v/>
      </c>
      <c r="F5532">
        <f>IF(B5532="","",IFERROR(RIGHT(B5532,LEN(B5532)-FIND("@",B5532)),""))</f>
        <v/>
      </c>
      <c r="G5532">
        <f>IF(D5532="KEEP",COUNTIF($D$2:D5532,"KEEP"),"")</f>
        <v/>
      </c>
      <c r="H5532">
        <f>IF(D5532="REMOVE",COUNTIF($D$2:D5532,"REMOVE"),"")</f>
        <v/>
      </c>
      <c r="I5532">
        <f>IF(E5532="Gmail",COUNTIF($E$2:E5532,"Gmail"),"")</f>
        <v/>
      </c>
      <c r="J5532">
        <f>IF(E5532="Outlook",COUNTIF($E$2:E5532,"Outlook"),"")</f>
        <v/>
      </c>
      <c r="K5532">
        <f>IF(E5532="Domain",COUNTIF($E$2:E5532,"Domain"),"")</f>
        <v/>
      </c>
    </row>
    <row r="5533">
      <c r="A5533" s="2" t="n"/>
      <c r="B5533">
        <f>LOWER(TRIM(A5533))</f>
        <v/>
      </c>
      <c r="C5533">
        <f>IF(B5533="","",IFERROR(INDEX('Bad Patterns'!$A$2:$A$120,MATCH(1,INDEX(--ISNUMBER(SEARCH('Bad Patterns'!$A$2:$A$120,B5533)),0),0)),""))</f>
        <v/>
      </c>
      <c r="D5533">
        <f>IF(B5533="","",IF(C5533&lt;&gt;"","REMOVE","KEEP"))</f>
        <v/>
      </c>
      <c r="E5533">
        <f>IF(D5533&lt;&gt;"KEEP","",IF(RIGHT(B5533,10)="@gmail.com","Gmail",IF(OR(RIGHT(B5533,12)="@outlook.com",RIGHT(B5533,12)="@hotmail.com",RIGHT(B5533,9)="@live.com"),"Outlook","Domain")))</f>
        <v/>
      </c>
      <c r="F5533">
        <f>IF(B5533="","",IFERROR(RIGHT(B5533,LEN(B5533)-FIND("@",B5533)),""))</f>
        <v/>
      </c>
      <c r="G5533">
        <f>IF(D5533="KEEP",COUNTIF($D$2:D5533,"KEEP"),"")</f>
        <v/>
      </c>
      <c r="H5533">
        <f>IF(D5533="REMOVE",COUNTIF($D$2:D5533,"REMOVE"),"")</f>
        <v/>
      </c>
      <c r="I5533">
        <f>IF(E5533="Gmail",COUNTIF($E$2:E5533,"Gmail"),"")</f>
        <v/>
      </c>
      <c r="J5533">
        <f>IF(E5533="Outlook",COUNTIF($E$2:E5533,"Outlook"),"")</f>
        <v/>
      </c>
      <c r="K5533">
        <f>IF(E5533="Domain",COUNTIF($E$2:E5533,"Domain"),"")</f>
        <v/>
      </c>
    </row>
    <row r="5534">
      <c r="A5534" s="2" t="n"/>
      <c r="B5534">
        <f>LOWER(TRIM(A5534))</f>
        <v/>
      </c>
      <c r="C5534">
        <f>IF(B5534="","",IFERROR(INDEX('Bad Patterns'!$A$2:$A$120,MATCH(1,INDEX(--ISNUMBER(SEARCH('Bad Patterns'!$A$2:$A$120,B5534)),0),0)),""))</f>
        <v/>
      </c>
      <c r="D5534">
        <f>IF(B5534="","",IF(C5534&lt;&gt;"","REMOVE","KEEP"))</f>
        <v/>
      </c>
      <c r="E5534">
        <f>IF(D5534&lt;&gt;"KEEP","",IF(RIGHT(B5534,10)="@gmail.com","Gmail",IF(OR(RIGHT(B5534,12)="@outlook.com",RIGHT(B5534,12)="@hotmail.com",RIGHT(B5534,9)="@live.com"),"Outlook","Domain")))</f>
        <v/>
      </c>
      <c r="F5534">
        <f>IF(B5534="","",IFERROR(RIGHT(B5534,LEN(B5534)-FIND("@",B5534)),""))</f>
        <v/>
      </c>
      <c r="G5534">
        <f>IF(D5534="KEEP",COUNTIF($D$2:D5534,"KEEP"),"")</f>
        <v/>
      </c>
      <c r="H5534">
        <f>IF(D5534="REMOVE",COUNTIF($D$2:D5534,"REMOVE"),"")</f>
        <v/>
      </c>
      <c r="I5534">
        <f>IF(E5534="Gmail",COUNTIF($E$2:E5534,"Gmail"),"")</f>
        <v/>
      </c>
      <c r="J5534">
        <f>IF(E5534="Outlook",COUNTIF($E$2:E5534,"Outlook"),"")</f>
        <v/>
      </c>
      <c r="K5534">
        <f>IF(E5534="Domain",COUNTIF($E$2:E5534,"Domain"),"")</f>
        <v/>
      </c>
    </row>
    <row r="5535">
      <c r="A5535" s="2" t="n"/>
      <c r="B5535">
        <f>LOWER(TRIM(A5535))</f>
        <v/>
      </c>
      <c r="C5535">
        <f>IF(B5535="","",IFERROR(INDEX('Bad Patterns'!$A$2:$A$120,MATCH(1,INDEX(--ISNUMBER(SEARCH('Bad Patterns'!$A$2:$A$120,B5535)),0),0)),""))</f>
        <v/>
      </c>
      <c r="D5535">
        <f>IF(B5535="","",IF(C5535&lt;&gt;"","REMOVE","KEEP"))</f>
        <v/>
      </c>
      <c r="E5535">
        <f>IF(D5535&lt;&gt;"KEEP","",IF(RIGHT(B5535,10)="@gmail.com","Gmail",IF(OR(RIGHT(B5535,12)="@outlook.com",RIGHT(B5535,12)="@hotmail.com",RIGHT(B5535,9)="@live.com"),"Outlook","Domain")))</f>
        <v/>
      </c>
      <c r="F5535">
        <f>IF(B5535="","",IFERROR(RIGHT(B5535,LEN(B5535)-FIND("@",B5535)),""))</f>
        <v/>
      </c>
      <c r="G5535">
        <f>IF(D5535="KEEP",COUNTIF($D$2:D5535,"KEEP"),"")</f>
        <v/>
      </c>
      <c r="H5535">
        <f>IF(D5535="REMOVE",COUNTIF($D$2:D5535,"REMOVE"),"")</f>
        <v/>
      </c>
      <c r="I5535">
        <f>IF(E5535="Gmail",COUNTIF($E$2:E5535,"Gmail"),"")</f>
        <v/>
      </c>
      <c r="J5535">
        <f>IF(E5535="Outlook",COUNTIF($E$2:E5535,"Outlook"),"")</f>
        <v/>
      </c>
      <c r="K5535">
        <f>IF(E5535="Domain",COUNTIF($E$2:E5535,"Domain"),"")</f>
        <v/>
      </c>
    </row>
    <row r="5536">
      <c r="A5536" s="2" t="n"/>
      <c r="B5536">
        <f>LOWER(TRIM(A5536))</f>
        <v/>
      </c>
      <c r="C5536">
        <f>IF(B5536="","",IFERROR(INDEX('Bad Patterns'!$A$2:$A$120,MATCH(1,INDEX(--ISNUMBER(SEARCH('Bad Patterns'!$A$2:$A$120,B5536)),0),0)),""))</f>
        <v/>
      </c>
      <c r="D5536">
        <f>IF(B5536="","",IF(C5536&lt;&gt;"","REMOVE","KEEP"))</f>
        <v/>
      </c>
      <c r="E5536">
        <f>IF(D5536&lt;&gt;"KEEP","",IF(RIGHT(B5536,10)="@gmail.com","Gmail",IF(OR(RIGHT(B5536,12)="@outlook.com",RIGHT(B5536,12)="@hotmail.com",RIGHT(B5536,9)="@live.com"),"Outlook","Domain")))</f>
        <v/>
      </c>
      <c r="F5536">
        <f>IF(B5536="","",IFERROR(RIGHT(B5536,LEN(B5536)-FIND("@",B5536)),""))</f>
        <v/>
      </c>
      <c r="G5536">
        <f>IF(D5536="KEEP",COUNTIF($D$2:D5536,"KEEP"),"")</f>
        <v/>
      </c>
      <c r="H5536">
        <f>IF(D5536="REMOVE",COUNTIF($D$2:D5536,"REMOVE"),"")</f>
        <v/>
      </c>
      <c r="I5536">
        <f>IF(E5536="Gmail",COUNTIF($E$2:E5536,"Gmail"),"")</f>
        <v/>
      </c>
      <c r="J5536">
        <f>IF(E5536="Outlook",COUNTIF($E$2:E5536,"Outlook"),"")</f>
        <v/>
      </c>
      <c r="K5536">
        <f>IF(E5536="Domain",COUNTIF($E$2:E5536,"Domain"),"")</f>
        <v/>
      </c>
    </row>
    <row r="5537">
      <c r="A5537" s="2" t="n"/>
      <c r="B5537">
        <f>LOWER(TRIM(A5537))</f>
        <v/>
      </c>
      <c r="C5537">
        <f>IF(B5537="","",IFERROR(INDEX('Bad Patterns'!$A$2:$A$120,MATCH(1,INDEX(--ISNUMBER(SEARCH('Bad Patterns'!$A$2:$A$120,B5537)),0),0)),""))</f>
        <v/>
      </c>
      <c r="D5537">
        <f>IF(B5537="","",IF(C5537&lt;&gt;"","REMOVE","KEEP"))</f>
        <v/>
      </c>
      <c r="E5537">
        <f>IF(D5537&lt;&gt;"KEEP","",IF(RIGHT(B5537,10)="@gmail.com","Gmail",IF(OR(RIGHT(B5537,12)="@outlook.com",RIGHT(B5537,12)="@hotmail.com",RIGHT(B5537,9)="@live.com"),"Outlook","Domain")))</f>
        <v/>
      </c>
      <c r="F5537">
        <f>IF(B5537="","",IFERROR(RIGHT(B5537,LEN(B5537)-FIND("@",B5537)),""))</f>
        <v/>
      </c>
      <c r="G5537">
        <f>IF(D5537="KEEP",COUNTIF($D$2:D5537,"KEEP"),"")</f>
        <v/>
      </c>
      <c r="H5537">
        <f>IF(D5537="REMOVE",COUNTIF($D$2:D5537,"REMOVE"),"")</f>
        <v/>
      </c>
      <c r="I5537">
        <f>IF(E5537="Gmail",COUNTIF($E$2:E5537,"Gmail"),"")</f>
        <v/>
      </c>
      <c r="J5537">
        <f>IF(E5537="Outlook",COUNTIF($E$2:E5537,"Outlook"),"")</f>
        <v/>
      </c>
      <c r="K5537">
        <f>IF(E5537="Domain",COUNTIF($E$2:E5537,"Domain"),"")</f>
        <v/>
      </c>
    </row>
    <row r="5538">
      <c r="A5538" s="2" t="n"/>
      <c r="B5538">
        <f>LOWER(TRIM(A5538))</f>
        <v/>
      </c>
      <c r="C5538">
        <f>IF(B5538="","",IFERROR(INDEX('Bad Patterns'!$A$2:$A$120,MATCH(1,INDEX(--ISNUMBER(SEARCH('Bad Patterns'!$A$2:$A$120,B5538)),0),0)),""))</f>
        <v/>
      </c>
      <c r="D5538">
        <f>IF(B5538="","",IF(C5538&lt;&gt;"","REMOVE","KEEP"))</f>
        <v/>
      </c>
      <c r="E5538">
        <f>IF(D5538&lt;&gt;"KEEP","",IF(RIGHT(B5538,10)="@gmail.com","Gmail",IF(OR(RIGHT(B5538,12)="@outlook.com",RIGHT(B5538,12)="@hotmail.com",RIGHT(B5538,9)="@live.com"),"Outlook","Domain")))</f>
        <v/>
      </c>
      <c r="F5538">
        <f>IF(B5538="","",IFERROR(RIGHT(B5538,LEN(B5538)-FIND("@",B5538)),""))</f>
        <v/>
      </c>
      <c r="G5538">
        <f>IF(D5538="KEEP",COUNTIF($D$2:D5538,"KEEP"),"")</f>
        <v/>
      </c>
      <c r="H5538">
        <f>IF(D5538="REMOVE",COUNTIF($D$2:D5538,"REMOVE"),"")</f>
        <v/>
      </c>
      <c r="I5538">
        <f>IF(E5538="Gmail",COUNTIF($E$2:E5538,"Gmail"),"")</f>
        <v/>
      </c>
      <c r="J5538">
        <f>IF(E5538="Outlook",COUNTIF($E$2:E5538,"Outlook"),"")</f>
        <v/>
      </c>
      <c r="K5538">
        <f>IF(E5538="Domain",COUNTIF($E$2:E5538,"Domain"),"")</f>
        <v/>
      </c>
    </row>
    <row r="5539">
      <c r="A5539" s="2" t="n"/>
      <c r="B5539">
        <f>LOWER(TRIM(A5539))</f>
        <v/>
      </c>
      <c r="C5539">
        <f>IF(B5539="","",IFERROR(INDEX('Bad Patterns'!$A$2:$A$120,MATCH(1,INDEX(--ISNUMBER(SEARCH('Bad Patterns'!$A$2:$A$120,B5539)),0),0)),""))</f>
        <v/>
      </c>
      <c r="D5539">
        <f>IF(B5539="","",IF(C5539&lt;&gt;"","REMOVE","KEEP"))</f>
        <v/>
      </c>
      <c r="E5539">
        <f>IF(D5539&lt;&gt;"KEEP","",IF(RIGHT(B5539,10)="@gmail.com","Gmail",IF(OR(RIGHT(B5539,12)="@outlook.com",RIGHT(B5539,12)="@hotmail.com",RIGHT(B5539,9)="@live.com"),"Outlook","Domain")))</f>
        <v/>
      </c>
      <c r="F5539">
        <f>IF(B5539="","",IFERROR(RIGHT(B5539,LEN(B5539)-FIND("@",B5539)),""))</f>
        <v/>
      </c>
      <c r="G5539">
        <f>IF(D5539="KEEP",COUNTIF($D$2:D5539,"KEEP"),"")</f>
        <v/>
      </c>
      <c r="H5539">
        <f>IF(D5539="REMOVE",COUNTIF($D$2:D5539,"REMOVE"),"")</f>
        <v/>
      </c>
      <c r="I5539">
        <f>IF(E5539="Gmail",COUNTIF($E$2:E5539,"Gmail"),"")</f>
        <v/>
      </c>
      <c r="J5539">
        <f>IF(E5539="Outlook",COUNTIF($E$2:E5539,"Outlook"),"")</f>
        <v/>
      </c>
      <c r="K5539">
        <f>IF(E5539="Domain",COUNTIF($E$2:E5539,"Domain"),"")</f>
        <v/>
      </c>
    </row>
    <row r="5540">
      <c r="A5540" s="2" t="n"/>
      <c r="B5540">
        <f>LOWER(TRIM(A5540))</f>
        <v/>
      </c>
      <c r="C5540">
        <f>IF(B5540="","",IFERROR(INDEX('Bad Patterns'!$A$2:$A$120,MATCH(1,INDEX(--ISNUMBER(SEARCH('Bad Patterns'!$A$2:$A$120,B5540)),0),0)),""))</f>
        <v/>
      </c>
      <c r="D5540">
        <f>IF(B5540="","",IF(C5540&lt;&gt;"","REMOVE","KEEP"))</f>
        <v/>
      </c>
      <c r="E5540">
        <f>IF(D5540&lt;&gt;"KEEP","",IF(RIGHT(B5540,10)="@gmail.com","Gmail",IF(OR(RIGHT(B5540,12)="@outlook.com",RIGHT(B5540,12)="@hotmail.com",RIGHT(B5540,9)="@live.com"),"Outlook","Domain")))</f>
        <v/>
      </c>
      <c r="F5540">
        <f>IF(B5540="","",IFERROR(RIGHT(B5540,LEN(B5540)-FIND("@",B5540)),""))</f>
        <v/>
      </c>
      <c r="G5540">
        <f>IF(D5540="KEEP",COUNTIF($D$2:D5540,"KEEP"),"")</f>
        <v/>
      </c>
      <c r="H5540">
        <f>IF(D5540="REMOVE",COUNTIF($D$2:D5540,"REMOVE"),"")</f>
        <v/>
      </c>
      <c r="I5540">
        <f>IF(E5540="Gmail",COUNTIF($E$2:E5540,"Gmail"),"")</f>
        <v/>
      </c>
      <c r="J5540">
        <f>IF(E5540="Outlook",COUNTIF($E$2:E5540,"Outlook"),"")</f>
        <v/>
      </c>
      <c r="K5540">
        <f>IF(E5540="Domain",COUNTIF($E$2:E5540,"Domain"),"")</f>
        <v/>
      </c>
    </row>
    <row r="5541">
      <c r="A5541" s="2" t="n"/>
      <c r="B5541">
        <f>LOWER(TRIM(A5541))</f>
        <v/>
      </c>
      <c r="C5541">
        <f>IF(B5541="","",IFERROR(INDEX('Bad Patterns'!$A$2:$A$120,MATCH(1,INDEX(--ISNUMBER(SEARCH('Bad Patterns'!$A$2:$A$120,B5541)),0),0)),""))</f>
        <v/>
      </c>
      <c r="D5541">
        <f>IF(B5541="","",IF(C5541&lt;&gt;"","REMOVE","KEEP"))</f>
        <v/>
      </c>
      <c r="E5541">
        <f>IF(D5541&lt;&gt;"KEEP","",IF(RIGHT(B5541,10)="@gmail.com","Gmail",IF(OR(RIGHT(B5541,12)="@outlook.com",RIGHT(B5541,12)="@hotmail.com",RIGHT(B5541,9)="@live.com"),"Outlook","Domain")))</f>
        <v/>
      </c>
      <c r="F5541">
        <f>IF(B5541="","",IFERROR(RIGHT(B5541,LEN(B5541)-FIND("@",B5541)),""))</f>
        <v/>
      </c>
      <c r="G5541">
        <f>IF(D5541="KEEP",COUNTIF($D$2:D5541,"KEEP"),"")</f>
        <v/>
      </c>
      <c r="H5541">
        <f>IF(D5541="REMOVE",COUNTIF($D$2:D5541,"REMOVE"),"")</f>
        <v/>
      </c>
      <c r="I5541">
        <f>IF(E5541="Gmail",COUNTIF($E$2:E5541,"Gmail"),"")</f>
        <v/>
      </c>
      <c r="J5541">
        <f>IF(E5541="Outlook",COUNTIF($E$2:E5541,"Outlook"),"")</f>
        <v/>
      </c>
      <c r="K5541">
        <f>IF(E5541="Domain",COUNTIF($E$2:E5541,"Domain"),"")</f>
        <v/>
      </c>
    </row>
    <row r="5542">
      <c r="A5542" s="2" t="n"/>
      <c r="B5542">
        <f>LOWER(TRIM(A5542))</f>
        <v/>
      </c>
      <c r="C5542">
        <f>IF(B5542="","",IFERROR(INDEX('Bad Patterns'!$A$2:$A$120,MATCH(1,INDEX(--ISNUMBER(SEARCH('Bad Patterns'!$A$2:$A$120,B5542)),0),0)),""))</f>
        <v/>
      </c>
      <c r="D5542">
        <f>IF(B5542="","",IF(C5542&lt;&gt;"","REMOVE","KEEP"))</f>
        <v/>
      </c>
      <c r="E5542">
        <f>IF(D5542&lt;&gt;"KEEP","",IF(RIGHT(B5542,10)="@gmail.com","Gmail",IF(OR(RIGHT(B5542,12)="@outlook.com",RIGHT(B5542,12)="@hotmail.com",RIGHT(B5542,9)="@live.com"),"Outlook","Domain")))</f>
        <v/>
      </c>
      <c r="F5542">
        <f>IF(B5542="","",IFERROR(RIGHT(B5542,LEN(B5542)-FIND("@",B5542)),""))</f>
        <v/>
      </c>
      <c r="G5542">
        <f>IF(D5542="KEEP",COUNTIF($D$2:D5542,"KEEP"),"")</f>
        <v/>
      </c>
      <c r="H5542">
        <f>IF(D5542="REMOVE",COUNTIF($D$2:D5542,"REMOVE"),"")</f>
        <v/>
      </c>
      <c r="I5542">
        <f>IF(E5542="Gmail",COUNTIF($E$2:E5542,"Gmail"),"")</f>
        <v/>
      </c>
      <c r="J5542">
        <f>IF(E5542="Outlook",COUNTIF($E$2:E5542,"Outlook"),"")</f>
        <v/>
      </c>
      <c r="K5542">
        <f>IF(E5542="Domain",COUNTIF($E$2:E5542,"Domain"),"")</f>
        <v/>
      </c>
    </row>
    <row r="5543">
      <c r="A5543" s="2" t="n"/>
      <c r="B5543">
        <f>LOWER(TRIM(A5543))</f>
        <v/>
      </c>
      <c r="C5543">
        <f>IF(B5543="","",IFERROR(INDEX('Bad Patterns'!$A$2:$A$120,MATCH(1,INDEX(--ISNUMBER(SEARCH('Bad Patterns'!$A$2:$A$120,B5543)),0),0)),""))</f>
        <v/>
      </c>
      <c r="D5543">
        <f>IF(B5543="","",IF(C5543&lt;&gt;"","REMOVE","KEEP"))</f>
        <v/>
      </c>
      <c r="E5543">
        <f>IF(D5543&lt;&gt;"KEEP","",IF(RIGHT(B5543,10)="@gmail.com","Gmail",IF(OR(RIGHT(B5543,12)="@outlook.com",RIGHT(B5543,12)="@hotmail.com",RIGHT(B5543,9)="@live.com"),"Outlook","Domain")))</f>
        <v/>
      </c>
      <c r="F5543">
        <f>IF(B5543="","",IFERROR(RIGHT(B5543,LEN(B5543)-FIND("@",B5543)),""))</f>
        <v/>
      </c>
      <c r="G5543">
        <f>IF(D5543="KEEP",COUNTIF($D$2:D5543,"KEEP"),"")</f>
        <v/>
      </c>
      <c r="H5543">
        <f>IF(D5543="REMOVE",COUNTIF($D$2:D5543,"REMOVE"),"")</f>
        <v/>
      </c>
      <c r="I5543">
        <f>IF(E5543="Gmail",COUNTIF($E$2:E5543,"Gmail"),"")</f>
        <v/>
      </c>
      <c r="J5543">
        <f>IF(E5543="Outlook",COUNTIF($E$2:E5543,"Outlook"),"")</f>
        <v/>
      </c>
      <c r="K5543">
        <f>IF(E5543="Domain",COUNTIF($E$2:E5543,"Domain"),"")</f>
        <v/>
      </c>
    </row>
    <row r="5544">
      <c r="A5544" s="2" t="n"/>
      <c r="B5544">
        <f>LOWER(TRIM(A5544))</f>
        <v/>
      </c>
      <c r="C5544">
        <f>IF(B5544="","",IFERROR(INDEX('Bad Patterns'!$A$2:$A$120,MATCH(1,INDEX(--ISNUMBER(SEARCH('Bad Patterns'!$A$2:$A$120,B5544)),0),0)),""))</f>
        <v/>
      </c>
      <c r="D5544">
        <f>IF(B5544="","",IF(C5544&lt;&gt;"","REMOVE","KEEP"))</f>
        <v/>
      </c>
      <c r="E5544">
        <f>IF(D5544&lt;&gt;"KEEP","",IF(RIGHT(B5544,10)="@gmail.com","Gmail",IF(OR(RIGHT(B5544,12)="@outlook.com",RIGHT(B5544,12)="@hotmail.com",RIGHT(B5544,9)="@live.com"),"Outlook","Domain")))</f>
        <v/>
      </c>
      <c r="F5544">
        <f>IF(B5544="","",IFERROR(RIGHT(B5544,LEN(B5544)-FIND("@",B5544)),""))</f>
        <v/>
      </c>
      <c r="G5544">
        <f>IF(D5544="KEEP",COUNTIF($D$2:D5544,"KEEP"),"")</f>
        <v/>
      </c>
      <c r="H5544">
        <f>IF(D5544="REMOVE",COUNTIF($D$2:D5544,"REMOVE"),"")</f>
        <v/>
      </c>
      <c r="I5544">
        <f>IF(E5544="Gmail",COUNTIF($E$2:E5544,"Gmail"),"")</f>
        <v/>
      </c>
      <c r="J5544">
        <f>IF(E5544="Outlook",COUNTIF($E$2:E5544,"Outlook"),"")</f>
        <v/>
      </c>
      <c r="K5544">
        <f>IF(E5544="Domain",COUNTIF($E$2:E5544,"Domain"),"")</f>
        <v/>
      </c>
    </row>
    <row r="5545">
      <c r="A5545" s="2" t="n"/>
      <c r="B5545">
        <f>LOWER(TRIM(A5545))</f>
        <v/>
      </c>
      <c r="C5545">
        <f>IF(B5545="","",IFERROR(INDEX('Bad Patterns'!$A$2:$A$120,MATCH(1,INDEX(--ISNUMBER(SEARCH('Bad Patterns'!$A$2:$A$120,B5545)),0),0)),""))</f>
        <v/>
      </c>
      <c r="D5545">
        <f>IF(B5545="","",IF(C5545&lt;&gt;"","REMOVE","KEEP"))</f>
        <v/>
      </c>
      <c r="E5545">
        <f>IF(D5545&lt;&gt;"KEEP","",IF(RIGHT(B5545,10)="@gmail.com","Gmail",IF(OR(RIGHT(B5545,12)="@outlook.com",RIGHT(B5545,12)="@hotmail.com",RIGHT(B5545,9)="@live.com"),"Outlook","Domain")))</f>
        <v/>
      </c>
      <c r="F5545">
        <f>IF(B5545="","",IFERROR(RIGHT(B5545,LEN(B5545)-FIND("@",B5545)),""))</f>
        <v/>
      </c>
      <c r="G5545">
        <f>IF(D5545="KEEP",COUNTIF($D$2:D5545,"KEEP"),"")</f>
        <v/>
      </c>
      <c r="H5545">
        <f>IF(D5545="REMOVE",COUNTIF($D$2:D5545,"REMOVE"),"")</f>
        <v/>
      </c>
      <c r="I5545">
        <f>IF(E5545="Gmail",COUNTIF($E$2:E5545,"Gmail"),"")</f>
        <v/>
      </c>
      <c r="J5545">
        <f>IF(E5545="Outlook",COUNTIF($E$2:E5545,"Outlook"),"")</f>
        <v/>
      </c>
      <c r="K5545">
        <f>IF(E5545="Domain",COUNTIF($E$2:E5545,"Domain"),"")</f>
        <v/>
      </c>
    </row>
    <row r="5546">
      <c r="A5546" s="2" t="n"/>
      <c r="B5546">
        <f>LOWER(TRIM(A5546))</f>
        <v/>
      </c>
      <c r="C5546">
        <f>IF(B5546="","",IFERROR(INDEX('Bad Patterns'!$A$2:$A$120,MATCH(1,INDEX(--ISNUMBER(SEARCH('Bad Patterns'!$A$2:$A$120,B5546)),0),0)),""))</f>
        <v/>
      </c>
      <c r="D5546">
        <f>IF(B5546="","",IF(C5546&lt;&gt;"","REMOVE","KEEP"))</f>
        <v/>
      </c>
      <c r="E5546">
        <f>IF(D5546&lt;&gt;"KEEP","",IF(RIGHT(B5546,10)="@gmail.com","Gmail",IF(OR(RIGHT(B5546,12)="@outlook.com",RIGHT(B5546,12)="@hotmail.com",RIGHT(B5546,9)="@live.com"),"Outlook","Domain")))</f>
        <v/>
      </c>
      <c r="F5546">
        <f>IF(B5546="","",IFERROR(RIGHT(B5546,LEN(B5546)-FIND("@",B5546)),""))</f>
        <v/>
      </c>
      <c r="G5546">
        <f>IF(D5546="KEEP",COUNTIF($D$2:D5546,"KEEP"),"")</f>
        <v/>
      </c>
      <c r="H5546">
        <f>IF(D5546="REMOVE",COUNTIF($D$2:D5546,"REMOVE"),"")</f>
        <v/>
      </c>
      <c r="I5546">
        <f>IF(E5546="Gmail",COUNTIF($E$2:E5546,"Gmail"),"")</f>
        <v/>
      </c>
      <c r="J5546">
        <f>IF(E5546="Outlook",COUNTIF($E$2:E5546,"Outlook"),"")</f>
        <v/>
      </c>
      <c r="K5546">
        <f>IF(E5546="Domain",COUNTIF($E$2:E5546,"Domain"),"")</f>
        <v/>
      </c>
    </row>
    <row r="5547">
      <c r="A5547" s="2" t="n"/>
      <c r="B5547">
        <f>LOWER(TRIM(A5547))</f>
        <v/>
      </c>
      <c r="C5547">
        <f>IF(B5547="","",IFERROR(INDEX('Bad Patterns'!$A$2:$A$120,MATCH(1,INDEX(--ISNUMBER(SEARCH('Bad Patterns'!$A$2:$A$120,B5547)),0),0)),""))</f>
        <v/>
      </c>
      <c r="D5547">
        <f>IF(B5547="","",IF(C5547&lt;&gt;"","REMOVE","KEEP"))</f>
        <v/>
      </c>
      <c r="E5547">
        <f>IF(D5547&lt;&gt;"KEEP","",IF(RIGHT(B5547,10)="@gmail.com","Gmail",IF(OR(RIGHT(B5547,12)="@outlook.com",RIGHT(B5547,12)="@hotmail.com",RIGHT(B5547,9)="@live.com"),"Outlook","Domain")))</f>
        <v/>
      </c>
      <c r="F5547">
        <f>IF(B5547="","",IFERROR(RIGHT(B5547,LEN(B5547)-FIND("@",B5547)),""))</f>
        <v/>
      </c>
      <c r="G5547">
        <f>IF(D5547="KEEP",COUNTIF($D$2:D5547,"KEEP"),"")</f>
        <v/>
      </c>
      <c r="H5547">
        <f>IF(D5547="REMOVE",COUNTIF($D$2:D5547,"REMOVE"),"")</f>
        <v/>
      </c>
      <c r="I5547">
        <f>IF(E5547="Gmail",COUNTIF($E$2:E5547,"Gmail"),"")</f>
        <v/>
      </c>
      <c r="J5547">
        <f>IF(E5547="Outlook",COUNTIF($E$2:E5547,"Outlook"),"")</f>
        <v/>
      </c>
      <c r="K5547">
        <f>IF(E5547="Domain",COUNTIF($E$2:E5547,"Domain"),"")</f>
        <v/>
      </c>
    </row>
    <row r="5548">
      <c r="A5548" s="2" t="n"/>
      <c r="B5548">
        <f>LOWER(TRIM(A5548))</f>
        <v/>
      </c>
      <c r="C5548">
        <f>IF(B5548="","",IFERROR(INDEX('Bad Patterns'!$A$2:$A$120,MATCH(1,INDEX(--ISNUMBER(SEARCH('Bad Patterns'!$A$2:$A$120,B5548)),0),0)),""))</f>
        <v/>
      </c>
      <c r="D5548">
        <f>IF(B5548="","",IF(C5548&lt;&gt;"","REMOVE","KEEP"))</f>
        <v/>
      </c>
      <c r="E5548">
        <f>IF(D5548&lt;&gt;"KEEP","",IF(RIGHT(B5548,10)="@gmail.com","Gmail",IF(OR(RIGHT(B5548,12)="@outlook.com",RIGHT(B5548,12)="@hotmail.com",RIGHT(B5548,9)="@live.com"),"Outlook","Domain")))</f>
        <v/>
      </c>
      <c r="F5548">
        <f>IF(B5548="","",IFERROR(RIGHT(B5548,LEN(B5548)-FIND("@",B5548)),""))</f>
        <v/>
      </c>
      <c r="G5548">
        <f>IF(D5548="KEEP",COUNTIF($D$2:D5548,"KEEP"),"")</f>
        <v/>
      </c>
      <c r="H5548">
        <f>IF(D5548="REMOVE",COUNTIF($D$2:D5548,"REMOVE"),"")</f>
        <v/>
      </c>
      <c r="I5548">
        <f>IF(E5548="Gmail",COUNTIF($E$2:E5548,"Gmail"),"")</f>
        <v/>
      </c>
      <c r="J5548">
        <f>IF(E5548="Outlook",COUNTIF($E$2:E5548,"Outlook"),"")</f>
        <v/>
      </c>
      <c r="K5548">
        <f>IF(E5548="Domain",COUNTIF($E$2:E5548,"Domain"),"")</f>
        <v/>
      </c>
    </row>
    <row r="5549">
      <c r="A5549" s="2" t="n"/>
      <c r="B5549">
        <f>LOWER(TRIM(A5549))</f>
        <v/>
      </c>
      <c r="C5549">
        <f>IF(B5549="","",IFERROR(INDEX('Bad Patterns'!$A$2:$A$120,MATCH(1,INDEX(--ISNUMBER(SEARCH('Bad Patterns'!$A$2:$A$120,B5549)),0),0)),""))</f>
        <v/>
      </c>
      <c r="D5549">
        <f>IF(B5549="","",IF(C5549&lt;&gt;"","REMOVE","KEEP"))</f>
        <v/>
      </c>
      <c r="E5549">
        <f>IF(D5549&lt;&gt;"KEEP","",IF(RIGHT(B5549,10)="@gmail.com","Gmail",IF(OR(RIGHT(B5549,12)="@outlook.com",RIGHT(B5549,12)="@hotmail.com",RIGHT(B5549,9)="@live.com"),"Outlook","Domain")))</f>
        <v/>
      </c>
      <c r="F5549">
        <f>IF(B5549="","",IFERROR(RIGHT(B5549,LEN(B5549)-FIND("@",B5549)),""))</f>
        <v/>
      </c>
      <c r="G5549">
        <f>IF(D5549="KEEP",COUNTIF($D$2:D5549,"KEEP"),"")</f>
        <v/>
      </c>
      <c r="H5549">
        <f>IF(D5549="REMOVE",COUNTIF($D$2:D5549,"REMOVE"),"")</f>
        <v/>
      </c>
      <c r="I5549">
        <f>IF(E5549="Gmail",COUNTIF($E$2:E5549,"Gmail"),"")</f>
        <v/>
      </c>
      <c r="J5549">
        <f>IF(E5549="Outlook",COUNTIF($E$2:E5549,"Outlook"),"")</f>
        <v/>
      </c>
      <c r="K5549">
        <f>IF(E5549="Domain",COUNTIF($E$2:E5549,"Domain"),"")</f>
        <v/>
      </c>
    </row>
    <row r="5550">
      <c r="A5550" s="2" t="n"/>
      <c r="B5550">
        <f>LOWER(TRIM(A5550))</f>
        <v/>
      </c>
      <c r="C5550">
        <f>IF(B5550="","",IFERROR(INDEX('Bad Patterns'!$A$2:$A$120,MATCH(1,INDEX(--ISNUMBER(SEARCH('Bad Patterns'!$A$2:$A$120,B5550)),0),0)),""))</f>
        <v/>
      </c>
      <c r="D5550">
        <f>IF(B5550="","",IF(C5550&lt;&gt;"","REMOVE","KEEP"))</f>
        <v/>
      </c>
      <c r="E5550">
        <f>IF(D5550&lt;&gt;"KEEP","",IF(RIGHT(B5550,10)="@gmail.com","Gmail",IF(OR(RIGHT(B5550,12)="@outlook.com",RIGHT(B5550,12)="@hotmail.com",RIGHT(B5550,9)="@live.com"),"Outlook","Domain")))</f>
        <v/>
      </c>
      <c r="F5550">
        <f>IF(B5550="","",IFERROR(RIGHT(B5550,LEN(B5550)-FIND("@",B5550)),""))</f>
        <v/>
      </c>
      <c r="G5550">
        <f>IF(D5550="KEEP",COUNTIF($D$2:D5550,"KEEP"),"")</f>
        <v/>
      </c>
      <c r="H5550">
        <f>IF(D5550="REMOVE",COUNTIF($D$2:D5550,"REMOVE"),"")</f>
        <v/>
      </c>
      <c r="I5550">
        <f>IF(E5550="Gmail",COUNTIF($E$2:E5550,"Gmail"),"")</f>
        <v/>
      </c>
      <c r="J5550">
        <f>IF(E5550="Outlook",COUNTIF($E$2:E5550,"Outlook"),"")</f>
        <v/>
      </c>
      <c r="K5550">
        <f>IF(E5550="Domain",COUNTIF($E$2:E5550,"Domain"),"")</f>
        <v/>
      </c>
    </row>
    <row r="5551">
      <c r="A5551" s="2" t="n"/>
      <c r="B5551">
        <f>LOWER(TRIM(A5551))</f>
        <v/>
      </c>
      <c r="C5551">
        <f>IF(B5551="","",IFERROR(INDEX('Bad Patterns'!$A$2:$A$120,MATCH(1,INDEX(--ISNUMBER(SEARCH('Bad Patterns'!$A$2:$A$120,B5551)),0),0)),""))</f>
        <v/>
      </c>
      <c r="D5551">
        <f>IF(B5551="","",IF(C5551&lt;&gt;"","REMOVE","KEEP"))</f>
        <v/>
      </c>
      <c r="E5551">
        <f>IF(D5551&lt;&gt;"KEEP","",IF(RIGHT(B5551,10)="@gmail.com","Gmail",IF(OR(RIGHT(B5551,12)="@outlook.com",RIGHT(B5551,12)="@hotmail.com",RIGHT(B5551,9)="@live.com"),"Outlook","Domain")))</f>
        <v/>
      </c>
      <c r="F5551">
        <f>IF(B5551="","",IFERROR(RIGHT(B5551,LEN(B5551)-FIND("@",B5551)),""))</f>
        <v/>
      </c>
      <c r="G5551">
        <f>IF(D5551="KEEP",COUNTIF($D$2:D5551,"KEEP"),"")</f>
        <v/>
      </c>
      <c r="H5551">
        <f>IF(D5551="REMOVE",COUNTIF($D$2:D5551,"REMOVE"),"")</f>
        <v/>
      </c>
      <c r="I5551">
        <f>IF(E5551="Gmail",COUNTIF($E$2:E5551,"Gmail"),"")</f>
        <v/>
      </c>
      <c r="J5551">
        <f>IF(E5551="Outlook",COUNTIF($E$2:E5551,"Outlook"),"")</f>
        <v/>
      </c>
      <c r="K5551">
        <f>IF(E5551="Domain",COUNTIF($E$2:E5551,"Domain"),"")</f>
        <v/>
      </c>
    </row>
    <row r="5552">
      <c r="A5552" s="2" t="n"/>
      <c r="B5552">
        <f>LOWER(TRIM(A5552))</f>
        <v/>
      </c>
      <c r="C5552">
        <f>IF(B5552="","",IFERROR(INDEX('Bad Patterns'!$A$2:$A$120,MATCH(1,INDEX(--ISNUMBER(SEARCH('Bad Patterns'!$A$2:$A$120,B5552)),0),0)),""))</f>
        <v/>
      </c>
      <c r="D5552">
        <f>IF(B5552="","",IF(C5552&lt;&gt;"","REMOVE","KEEP"))</f>
        <v/>
      </c>
      <c r="E5552">
        <f>IF(D5552&lt;&gt;"KEEP","",IF(RIGHT(B5552,10)="@gmail.com","Gmail",IF(OR(RIGHT(B5552,12)="@outlook.com",RIGHT(B5552,12)="@hotmail.com",RIGHT(B5552,9)="@live.com"),"Outlook","Domain")))</f>
        <v/>
      </c>
      <c r="F5552">
        <f>IF(B5552="","",IFERROR(RIGHT(B5552,LEN(B5552)-FIND("@",B5552)),""))</f>
        <v/>
      </c>
      <c r="G5552">
        <f>IF(D5552="KEEP",COUNTIF($D$2:D5552,"KEEP"),"")</f>
        <v/>
      </c>
      <c r="H5552">
        <f>IF(D5552="REMOVE",COUNTIF($D$2:D5552,"REMOVE"),"")</f>
        <v/>
      </c>
      <c r="I5552">
        <f>IF(E5552="Gmail",COUNTIF($E$2:E5552,"Gmail"),"")</f>
        <v/>
      </c>
      <c r="J5552">
        <f>IF(E5552="Outlook",COUNTIF($E$2:E5552,"Outlook"),"")</f>
        <v/>
      </c>
      <c r="K5552">
        <f>IF(E5552="Domain",COUNTIF($E$2:E5552,"Domain"),"")</f>
        <v/>
      </c>
    </row>
    <row r="5553">
      <c r="A5553" s="2" t="n"/>
      <c r="B5553">
        <f>LOWER(TRIM(A5553))</f>
        <v/>
      </c>
      <c r="C5553">
        <f>IF(B5553="","",IFERROR(INDEX('Bad Patterns'!$A$2:$A$120,MATCH(1,INDEX(--ISNUMBER(SEARCH('Bad Patterns'!$A$2:$A$120,B5553)),0),0)),""))</f>
        <v/>
      </c>
      <c r="D5553">
        <f>IF(B5553="","",IF(C5553&lt;&gt;"","REMOVE","KEEP"))</f>
        <v/>
      </c>
      <c r="E5553">
        <f>IF(D5553&lt;&gt;"KEEP","",IF(RIGHT(B5553,10)="@gmail.com","Gmail",IF(OR(RIGHT(B5553,12)="@outlook.com",RIGHT(B5553,12)="@hotmail.com",RIGHT(B5553,9)="@live.com"),"Outlook","Domain")))</f>
        <v/>
      </c>
      <c r="F5553">
        <f>IF(B5553="","",IFERROR(RIGHT(B5553,LEN(B5553)-FIND("@",B5553)),""))</f>
        <v/>
      </c>
      <c r="G5553">
        <f>IF(D5553="KEEP",COUNTIF($D$2:D5553,"KEEP"),"")</f>
        <v/>
      </c>
      <c r="H5553">
        <f>IF(D5553="REMOVE",COUNTIF($D$2:D5553,"REMOVE"),"")</f>
        <v/>
      </c>
      <c r="I5553">
        <f>IF(E5553="Gmail",COUNTIF($E$2:E5553,"Gmail"),"")</f>
        <v/>
      </c>
      <c r="J5553">
        <f>IF(E5553="Outlook",COUNTIF($E$2:E5553,"Outlook"),"")</f>
        <v/>
      </c>
      <c r="K5553">
        <f>IF(E5553="Domain",COUNTIF($E$2:E5553,"Domain"),"")</f>
        <v/>
      </c>
    </row>
    <row r="5554">
      <c r="A5554" s="2" t="n"/>
      <c r="B5554">
        <f>LOWER(TRIM(A5554))</f>
        <v/>
      </c>
      <c r="C5554">
        <f>IF(B5554="","",IFERROR(INDEX('Bad Patterns'!$A$2:$A$120,MATCH(1,INDEX(--ISNUMBER(SEARCH('Bad Patterns'!$A$2:$A$120,B5554)),0),0)),""))</f>
        <v/>
      </c>
      <c r="D5554">
        <f>IF(B5554="","",IF(C5554&lt;&gt;"","REMOVE","KEEP"))</f>
        <v/>
      </c>
      <c r="E5554">
        <f>IF(D5554&lt;&gt;"KEEP","",IF(RIGHT(B5554,10)="@gmail.com","Gmail",IF(OR(RIGHT(B5554,12)="@outlook.com",RIGHT(B5554,12)="@hotmail.com",RIGHT(B5554,9)="@live.com"),"Outlook","Domain")))</f>
        <v/>
      </c>
      <c r="F5554">
        <f>IF(B5554="","",IFERROR(RIGHT(B5554,LEN(B5554)-FIND("@",B5554)),""))</f>
        <v/>
      </c>
      <c r="G5554">
        <f>IF(D5554="KEEP",COUNTIF($D$2:D5554,"KEEP"),"")</f>
        <v/>
      </c>
      <c r="H5554">
        <f>IF(D5554="REMOVE",COUNTIF($D$2:D5554,"REMOVE"),"")</f>
        <v/>
      </c>
      <c r="I5554">
        <f>IF(E5554="Gmail",COUNTIF($E$2:E5554,"Gmail"),"")</f>
        <v/>
      </c>
      <c r="J5554">
        <f>IF(E5554="Outlook",COUNTIF($E$2:E5554,"Outlook"),"")</f>
        <v/>
      </c>
      <c r="K5554">
        <f>IF(E5554="Domain",COUNTIF($E$2:E5554,"Domain"),"")</f>
        <v/>
      </c>
    </row>
    <row r="5555">
      <c r="A5555" s="2" t="n"/>
      <c r="B5555">
        <f>LOWER(TRIM(A5555))</f>
        <v/>
      </c>
      <c r="C5555">
        <f>IF(B5555="","",IFERROR(INDEX('Bad Patterns'!$A$2:$A$120,MATCH(1,INDEX(--ISNUMBER(SEARCH('Bad Patterns'!$A$2:$A$120,B5555)),0),0)),""))</f>
        <v/>
      </c>
      <c r="D5555">
        <f>IF(B5555="","",IF(C5555&lt;&gt;"","REMOVE","KEEP"))</f>
        <v/>
      </c>
      <c r="E5555">
        <f>IF(D5555&lt;&gt;"KEEP","",IF(RIGHT(B5555,10)="@gmail.com","Gmail",IF(OR(RIGHT(B5555,12)="@outlook.com",RIGHT(B5555,12)="@hotmail.com",RIGHT(B5555,9)="@live.com"),"Outlook","Domain")))</f>
        <v/>
      </c>
      <c r="F5555">
        <f>IF(B5555="","",IFERROR(RIGHT(B5555,LEN(B5555)-FIND("@",B5555)),""))</f>
        <v/>
      </c>
      <c r="G5555">
        <f>IF(D5555="KEEP",COUNTIF($D$2:D5555,"KEEP"),"")</f>
        <v/>
      </c>
      <c r="H5555">
        <f>IF(D5555="REMOVE",COUNTIF($D$2:D5555,"REMOVE"),"")</f>
        <v/>
      </c>
      <c r="I5555">
        <f>IF(E5555="Gmail",COUNTIF($E$2:E5555,"Gmail"),"")</f>
        <v/>
      </c>
      <c r="J5555">
        <f>IF(E5555="Outlook",COUNTIF($E$2:E5555,"Outlook"),"")</f>
        <v/>
      </c>
      <c r="K5555">
        <f>IF(E5555="Domain",COUNTIF($E$2:E5555,"Domain"),"")</f>
        <v/>
      </c>
    </row>
    <row r="5556">
      <c r="A5556" s="2" t="n"/>
      <c r="B5556">
        <f>LOWER(TRIM(A5556))</f>
        <v/>
      </c>
      <c r="C5556">
        <f>IF(B5556="","",IFERROR(INDEX('Bad Patterns'!$A$2:$A$120,MATCH(1,INDEX(--ISNUMBER(SEARCH('Bad Patterns'!$A$2:$A$120,B5556)),0),0)),""))</f>
        <v/>
      </c>
      <c r="D5556">
        <f>IF(B5556="","",IF(C5556&lt;&gt;"","REMOVE","KEEP"))</f>
        <v/>
      </c>
      <c r="E5556">
        <f>IF(D5556&lt;&gt;"KEEP","",IF(RIGHT(B5556,10)="@gmail.com","Gmail",IF(OR(RIGHT(B5556,12)="@outlook.com",RIGHT(B5556,12)="@hotmail.com",RIGHT(B5556,9)="@live.com"),"Outlook","Domain")))</f>
        <v/>
      </c>
      <c r="F5556">
        <f>IF(B5556="","",IFERROR(RIGHT(B5556,LEN(B5556)-FIND("@",B5556)),""))</f>
        <v/>
      </c>
      <c r="G5556">
        <f>IF(D5556="KEEP",COUNTIF($D$2:D5556,"KEEP"),"")</f>
        <v/>
      </c>
      <c r="H5556">
        <f>IF(D5556="REMOVE",COUNTIF($D$2:D5556,"REMOVE"),"")</f>
        <v/>
      </c>
      <c r="I5556">
        <f>IF(E5556="Gmail",COUNTIF($E$2:E5556,"Gmail"),"")</f>
        <v/>
      </c>
      <c r="J5556">
        <f>IF(E5556="Outlook",COUNTIF($E$2:E5556,"Outlook"),"")</f>
        <v/>
      </c>
      <c r="K5556">
        <f>IF(E5556="Domain",COUNTIF($E$2:E5556,"Domain"),"")</f>
        <v/>
      </c>
    </row>
    <row r="5557">
      <c r="A5557" s="2" t="n"/>
      <c r="B5557">
        <f>LOWER(TRIM(A5557))</f>
        <v/>
      </c>
      <c r="C5557">
        <f>IF(B5557="","",IFERROR(INDEX('Bad Patterns'!$A$2:$A$120,MATCH(1,INDEX(--ISNUMBER(SEARCH('Bad Patterns'!$A$2:$A$120,B5557)),0),0)),""))</f>
        <v/>
      </c>
      <c r="D5557">
        <f>IF(B5557="","",IF(C5557&lt;&gt;"","REMOVE","KEEP"))</f>
        <v/>
      </c>
      <c r="E5557">
        <f>IF(D5557&lt;&gt;"KEEP","",IF(RIGHT(B5557,10)="@gmail.com","Gmail",IF(OR(RIGHT(B5557,12)="@outlook.com",RIGHT(B5557,12)="@hotmail.com",RIGHT(B5557,9)="@live.com"),"Outlook","Domain")))</f>
        <v/>
      </c>
      <c r="F5557">
        <f>IF(B5557="","",IFERROR(RIGHT(B5557,LEN(B5557)-FIND("@",B5557)),""))</f>
        <v/>
      </c>
      <c r="G5557">
        <f>IF(D5557="KEEP",COUNTIF($D$2:D5557,"KEEP"),"")</f>
        <v/>
      </c>
      <c r="H5557">
        <f>IF(D5557="REMOVE",COUNTIF($D$2:D5557,"REMOVE"),"")</f>
        <v/>
      </c>
      <c r="I5557">
        <f>IF(E5557="Gmail",COUNTIF($E$2:E5557,"Gmail"),"")</f>
        <v/>
      </c>
      <c r="J5557">
        <f>IF(E5557="Outlook",COUNTIF($E$2:E5557,"Outlook"),"")</f>
        <v/>
      </c>
      <c r="K5557">
        <f>IF(E5557="Domain",COUNTIF($E$2:E5557,"Domain"),"")</f>
        <v/>
      </c>
    </row>
    <row r="5558">
      <c r="A5558" s="2" t="n"/>
      <c r="B5558">
        <f>LOWER(TRIM(A5558))</f>
        <v/>
      </c>
      <c r="C5558">
        <f>IF(B5558="","",IFERROR(INDEX('Bad Patterns'!$A$2:$A$120,MATCH(1,INDEX(--ISNUMBER(SEARCH('Bad Patterns'!$A$2:$A$120,B5558)),0),0)),""))</f>
        <v/>
      </c>
      <c r="D5558">
        <f>IF(B5558="","",IF(C5558&lt;&gt;"","REMOVE","KEEP"))</f>
        <v/>
      </c>
      <c r="E5558">
        <f>IF(D5558&lt;&gt;"KEEP","",IF(RIGHT(B5558,10)="@gmail.com","Gmail",IF(OR(RIGHT(B5558,12)="@outlook.com",RIGHT(B5558,12)="@hotmail.com",RIGHT(B5558,9)="@live.com"),"Outlook","Domain")))</f>
        <v/>
      </c>
      <c r="F5558">
        <f>IF(B5558="","",IFERROR(RIGHT(B5558,LEN(B5558)-FIND("@",B5558)),""))</f>
        <v/>
      </c>
      <c r="G5558">
        <f>IF(D5558="KEEP",COUNTIF($D$2:D5558,"KEEP"),"")</f>
        <v/>
      </c>
      <c r="H5558">
        <f>IF(D5558="REMOVE",COUNTIF($D$2:D5558,"REMOVE"),"")</f>
        <v/>
      </c>
      <c r="I5558">
        <f>IF(E5558="Gmail",COUNTIF($E$2:E5558,"Gmail"),"")</f>
        <v/>
      </c>
      <c r="J5558">
        <f>IF(E5558="Outlook",COUNTIF($E$2:E5558,"Outlook"),"")</f>
        <v/>
      </c>
      <c r="K5558">
        <f>IF(E5558="Domain",COUNTIF($E$2:E5558,"Domain"),"")</f>
        <v/>
      </c>
    </row>
    <row r="5559">
      <c r="A5559" s="2" t="n"/>
      <c r="B5559">
        <f>LOWER(TRIM(A5559))</f>
        <v/>
      </c>
      <c r="C5559">
        <f>IF(B5559="","",IFERROR(INDEX('Bad Patterns'!$A$2:$A$120,MATCH(1,INDEX(--ISNUMBER(SEARCH('Bad Patterns'!$A$2:$A$120,B5559)),0),0)),""))</f>
        <v/>
      </c>
      <c r="D5559">
        <f>IF(B5559="","",IF(C5559&lt;&gt;"","REMOVE","KEEP"))</f>
        <v/>
      </c>
      <c r="E5559">
        <f>IF(D5559&lt;&gt;"KEEP","",IF(RIGHT(B5559,10)="@gmail.com","Gmail",IF(OR(RIGHT(B5559,12)="@outlook.com",RIGHT(B5559,12)="@hotmail.com",RIGHT(B5559,9)="@live.com"),"Outlook","Domain")))</f>
        <v/>
      </c>
      <c r="F5559">
        <f>IF(B5559="","",IFERROR(RIGHT(B5559,LEN(B5559)-FIND("@",B5559)),""))</f>
        <v/>
      </c>
      <c r="G5559">
        <f>IF(D5559="KEEP",COUNTIF($D$2:D5559,"KEEP"),"")</f>
        <v/>
      </c>
      <c r="H5559">
        <f>IF(D5559="REMOVE",COUNTIF($D$2:D5559,"REMOVE"),"")</f>
        <v/>
      </c>
      <c r="I5559">
        <f>IF(E5559="Gmail",COUNTIF($E$2:E5559,"Gmail"),"")</f>
        <v/>
      </c>
      <c r="J5559">
        <f>IF(E5559="Outlook",COUNTIF($E$2:E5559,"Outlook"),"")</f>
        <v/>
      </c>
      <c r="K5559">
        <f>IF(E5559="Domain",COUNTIF($E$2:E5559,"Domain"),"")</f>
        <v/>
      </c>
    </row>
    <row r="5560">
      <c r="A5560" s="2" t="n"/>
      <c r="B5560">
        <f>LOWER(TRIM(A5560))</f>
        <v/>
      </c>
      <c r="C5560">
        <f>IF(B5560="","",IFERROR(INDEX('Bad Patterns'!$A$2:$A$120,MATCH(1,INDEX(--ISNUMBER(SEARCH('Bad Patterns'!$A$2:$A$120,B5560)),0),0)),""))</f>
        <v/>
      </c>
      <c r="D5560">
        <f>IF(B5560="","",IF(C5560&lt;&gt;"","REMOVE","KEEP"))</f>
        <v/>
      </c>
      <c r="E5560">
        <f>IF(D5560&lt;&gt;"KEEP","",IF(RIGHT(B5560,10)="@gmail.com","Gmail",IF(OR(RIGHT(B5560,12)="@outlook.com",RIGHT(B5560,12)="@hotmail.com",RIGHT(B5560,9)="@live.com"),"Outlook","Domain")))</f>
        <v/>
      </c>
      <c r="F5560">
        <f>IF(B5560="","",IFERROR(RIGHT(B5560,LEN(B5560)-FIND("@",B5560)),""))</f>
        <v/>
      </c>
      <c r="G5560">
        <f>IF(D5560="KEEP",COUNTIF($D$2:D5560,"KEEP"),"")</f>
        <v/>
      </c>
      <c r="H5560">
        <f>IF(D5560="REMOVE",COUNTIF($D$2:D5560,"REMOVE"),"")</f>
        <v/>
      </c>
      <c r="I5560">
        <f>IF(E5560="Gmail",COUNTIF($E$2:E5560,"Gmail"),"")</f>
        <v/>
      </c>
      <c r="J5560">
        <f>IF(E5560="Outlook",COUNTIF($E$2:E5560,"Outlook"),"")</f>
        <v/>
      </c>
      <c r="K5560">
        <f>IF(E5560="Domain",COUNTIF($E$2:E5560,"Domain"),"")</f>
        <v/>
      </c>
    </row>
    <row r="5561">
      <c r="A5561" s="2" t="n"/>
      <c r="B5561">
        <f>LOWER(TRIM(A5561))</f>
        <v/>
      </c>
      <c r="C5561">
        <f>IF(B5561="","",IFERROR(INDEX('Bad Patterns'!$A$2:$A$120,MATCH(1,INDEX(--ISNUMBER(SEARCH('Bad Patterns'!$A$2:$A$120,B5561)),0),0)),""))</f>
        <v/>
      </c>
      <c r="D5561">
        <f>IF(B5561="","",IF(C5561&lt;&gt;"","REMOVE","KEEP"))</f>
        <v/>
      </c>
      <c r="E5561">
        <f>IF(D5561&lt;&gt;"KEEP","",IF(RIGHT(B5561,10)="@gmail.com","Gmail",IF(OR(RIGHT(B5561,12)="@outlook.com",RIGHT(B5561,12)="@hotmail.com",RIGHT(B5561,9)="@live.com"),"Outlook","Domain")))</f>
        <v/>
      </c>
      <c r="F5561">
        <f>IF(B5561="","",IFERROR(RIGHT(B5561,LEN(B5561)-FIND("@",B5561)),""))</f>
        <v/>
      </c>
      <c r="G5561">
        <f>IF(D5561="KEEP",COUNTIF($D$2:D5561,"KEEP"),"")</f>
        <v/>
      </c>
      <c r="H5561">
        <f>IF(D5561="REMOVE",COUNTIF($D$2:D5561,"REMOVE"),"")</f>
        <v/>
      </c>
      <c r="I5561">
        <f>IF(E5561="Gmail",COUNTIF($E$2:E5561,"Gmail"),"")</f>
        <v/>
      </c>
      <c r="J5561">
        <f>IF(E5561="Outlook",COUNTIF($E$2:E5561,"Outlook"),"")</f>
        <v/>
      </c>
      <c r="K5561">
        <f>IF(E5561="Domain",COUNTIF($E$2:E5561,"Domain"),"")</f>
        <v/>
      </c>
    </row>
    <row r="5562">
      <c r="A5562" s="2" t="n"/>
      <c r="B5562">
        <f>LOWER(TRIM(A5562))</f>
        <v/>
      </c>
      <c r="C5562">
        <f>IF(B5562="","",IFERROR(INDEX('Bad Patterns'!$A$2:$A$120,MATCH(1,INDEX(--ISNUMBER(SEARCH('Bad Patterns'!$A$2:$A$120,B5562)),0),0)),""))</f>
        <v/>
      </c>
      <c r="D5562">
        <f>IF(B5562="","",IF(C5562&lt;&gt;"","REMOVE","KEEP"))</f>
        <v/>
      </c>
      <c r="E5562">
        <f>IF(D5562&lt;&gt;"KEEP","",IF(RIGHT(B5562,10)="@gmail.com","Gmail",IF(OR(RIGHT(B5562,12)="@outlook.com",RIGHT(B5562,12)="@hotmail.com",RIGHT(B5562,9)="@live.com"),"Outlook","Domain")))</f>
        <v/>
      </c>
      <c r="F5562">
        <f>IF(B5562="","",IFERROR(RIGHT(B5562,LEN(B5562)-FIND("@",B5562)),""))</f>
        <v/>
      </c>
      <c r="G5562">
        <f>IF(D5562="KEEP",COUNTIF($D$2:D5562,"KEEP"),"")</f>
        <v/>
      </c>
      <c r="H5562">
        <f>IF(D5562="REMOVE",COUNTIF($D$2:D5562,"REMOVE"),"")</f>
        <v/>
      </c>
      <c r="I5562">
        <f>IF(E5562="Gmail",COUNTIF($E$2:E5562,"Gmail"),"")</f>
        <v/>
      </c>
      <c r="J5562">
        <f>IF(E5562="Outlook",COUNTIF($E$2:E5562,"Outlook"),"")</f>
        <v/>
      </c>
      <c r="K5562">
        <f>IF(E5562="Domain",COUNTIF($E$2:E5562,"Domain"),"")</f>
        <v/>
      </c>
    </row>
    <row r="5563">
      <c r="A5563" s="2" t="n"/>
      <c r="B5563">
        <f>LOWER(TRIM(A5563))</f>
        <v/>
      </c>
      <c r="C5563">
        <f>IF(B5563="","",IFERROR(INDEX('Bad Patterns'!$A$2:$A$120,MATCH(1,INDEX(--ISNUMBER(SEARCH('Bad Patterns'!$A$2:$A$120,B5563)),0),0)),""))</f>
        <v/>
      </c>
      <c r="D5563">
        <f>IF(B5563="","",IF(C5563&lt;&gt;"","REMOVE","KEEP"))</f>
        <v/>
      </c>
      <c r="E5563">
        <f>IF(D5563&lt;&gt;"KEEP","",IF(RIGHT(B5563,10)="@gmail.com","Gmail",IF(OR(RIGHT(B5563,12)="@outlook.com",RIGHT(B5563,12)="@hotmail.com",RIGHT(B5563,9)="@live.com"),"Outlook","Domain")))</f>
        <v/>
      </c>
      <c r="F5563">
        <f>IF(B5563="","",IFERROR(RIGHT(B5563,LEN(B5563)-FIND("@",B5563)),""))</f>
        <v/>
      </c>
      <c r="G5563">
        <f>IF(D5563="KEEP",COUNTIF($D$2:D5563,"KEEP"),"")</f>
        <v/>
      </c>
      <c r="H5563">
        <f>IF(D5563="REMOVE",COUNTIF($D$2:D5563,"REMOVE"),"")</f>
        <v/>
      </c>
      <c r="I5563">
        <f>IF(E5563="Gmail",COUNTIF($E$2:E5563,"Gmail"),"")</f>
        <v/>
      </c>
      <c r="J5563">
        <f>IF(E5563="Outlook",COUNTIF($E$2:E5563,"Outlook"),"")</f>
        <v/>
      </c>
      <c r="K5563">
        <f>IF(E5563="Domain",COUNTIF($E$2:E5563,"Domain"),"")</f>
        <v/>
      </c>
    </row>
    <row r="5564">
      <c r="A5564" s="2" t="n"/>
      <c r="B5564">
        <f>LOWER(TRIM(A5564))</f>
        <v/>
      </c>
      <c r="C5564">
        <f>IF(B5564="","",IFERROR(INDEX('Bad Patterns'!$A$2:$A$120,MATCH(1,INDEX(--ISNUMBER(SEARCH('Bad Patterns'!$A$2:$A$120,B5564)),0),0)),""))</f>
        <v/>
      </c>
      <c r="D5564">
        <f>IF(B5564="","",IF(C5564&lt;&gt;"","REMOVE","KEEP"))</f>
        <v/>
      </c>
      <c r="E5564">
        <f>IF(D5564&lt;&gt;"KEEP","",IF(RIGHT(B5564,10)="@gmail.com","Gmail",IF(OR(RIGHT(B5564,12)="@outlook.com",RIGHT(B5564,12)="@hotmail.com",RIGHT(B5564,9)="@live.com"),"Outlook","Domain")))</f>
        <v/>
      </c>
      <c r="F5564">
        <f>IF(B5564="","",IFERROR(RIGHT(B5564,LEN(B5564)-FIND("@",B5564)),""))</f>
        <v/>
      </c>
      <c r="G5564">
        <f>IF(D5564="KEEP",COUNTIF($D$2:D5564,"KEEP"),"")</f>
        <v/>
      </c>
      <c r="H5564">
        <f>IF(D5564="REMOVE",COUNTIF($D$2:D5564,"REMOVE"),"")</f>
        <v/>
      </c>
      <c r="I5564">
        <f>IF(E5564="Gmail",COUNTIF($E$2:E5564,"Gmail"),"")</f>
        <v/>
      </c>
      <c r="J5564">
        <f>IF(E5564="Outlook",COUNTIF($E$2:E5564,"Outlook"),"")</f>
        <v/>
      </c>
      <c r="K5564">
        <f>IF(E5564="Domain",COUNTIF($E$2:E5564,"Domain"),"")</f>
        <v/>
      </c>
    </row>
    <row r="5565">
      <c r="A5565" s="2" t="n"/>
      <c r="B5565">
        <f>LOWER(TRIM(A5565))</f>
        <v/>
      </c>
      <c r="C5565">
        <f>IF(B5565="","",IFERROR(INDEX('Bad Patterns'!$A$2:$A$120,MATCH(1,INDEX(--ISNUMBER(SEARCH('Bad Patterns'!$A$2:$A$120,B5565)),0),0)),""))</f>
        <v/>
      </c>
      <c r="D5565">
        <f>IF(B5565="","",IF(C5565&lt;&gt;"","REMOVE","KEEP"))</f>
        <v/>
      </c>
      <c r="E5565">
        <f>IF(D5565&lt;&gt;"KEEP","",IF(RIGHT(B5565,10)="@gmail.com","Gmail",IF(OR(RIGHT(B5565,12)="@outlook.com",RIGHT(B5565,12)="@hotmail.com",RIGHT(B5565,9)="@live.com"),"Outlook","Domain")))</f>
        <v/>
      </c>
      <c r="F5565">
        <f>IF(B5565="","",IFERROR(RIGHT(B5565,LEN(B5565)-FIND("@",B5565)),""))</f>
        <v/>
      </c>
      <c r="G5565">
        <f>IF(D5565="KEEP",COUNTIF($D$2:D5565,"KEEP"),"")</f>
        <v/>
      </c>
      <c r="H5565">
        <f>IF(D5565="REMOVE",COUNTIF($D$2:D5565,"REMOVE"),"")</f>
        <v/>
      </c>
      <c r="I5565">
        <f>IF(E5565="Gmail",COUNTIF($E$2:E5565,"Gmail"),"")</f>
        <v/>
      </c>
      <c r="J5565">
        <f>IF(E5565="Outlook",COUNTIF($E$2:E5565,"Outlook"),"")</f>
        <v/>
      </c>
      <c r="K5565">
        <f>IF(E5565="Domain",COUNTIF($E$2:E5565,"Domain"),"")</f>
        <v/>
      </c>
    </row>
    <row r="5566">
      <c r="A5566" s="2" t="n"/>
      <c r="B5566">
        <f>LOWER(TRIM(A5566))</f>
        <v/>
      </c>
      <c r="C5566">
        <f>IF(B5566="","",IFERROR(INDEX('Bad Patterns'!$A$2:$A$120,MATCH(1,INDEX(--ISNUMBER(SEARCH('Bad Patterns'!$A$2:$A$120,B5566)),0),0)),""))</f>
        <v/>
      </c>
      <c r="D5566">
        <f>IF(B5566="","",IF(C5566&lt;&gt;"","REMOVE","KEEP"))</f>
        <v/>
      </c>
      <c r="E5566">
        <f>IF(D5566&lt;&gt;"KEEP","",IF(RIGHT(B5566,10)="@gmail.com","Gmail",IF(OR(RIGHT(B5566,12)="@outlook.com",RIGHT(B5566,12)="@hotmail.com",RIGHT(B5566,9)="@live.com"),"Outlook","Domain")))</f>
        <v/>
      </c>
      <c r="F5566">
        <f>IF(B5566="","",IFERROR(RIGHT(B5566,LEN(B5566)-FIND("@",B5566)),""))</f>
        <v/>
      </c>
      <c r="G5566">
        <f>IF(D5566="KEEP",COUNTIF($D$2:D5566,"KEEP"),"")</f>
        <v/>
      </c>
      <c r="H5566">
        <f>IF(D5566="REMOVE",COUNTIF($D$2:D5566,"REMOVE"),"")</f>
        <v/>
      </c>
      <c r="I5566">
        <f>IF(E5566="Gmail",COUNTIF($E$2:E5566,"Gmail"),"")</f>
        <v/>
      </c>
      <c r="J5566">
        <f>IF(E5566="Outlook",COUNTIF($E$2:E5566,"Outlook"),"")</f>
        <v/>
      </c>
      <c r="K5566">
        <f>IF(E5566="Domain",COUNTIF($E$2:E5566,"Domain"),"")</f>
        <v/>
      </c>
    </row>
    <row r="5567">
      <c r="A5567" s="2" t="n"/>
      <c r="B5567">
        <f>LOWER(TRIM(A5567))</f>
        <v/>
      </c>
      <c r="C5567">
        <f>IF(B5567="","",IFERROR(INDEX('Bad Patterns'!$A$2:$A$120,MATCH(1,INDEX(--ISNUMBER(SEARCH('Bad Patterns'!$A$2:$A$120,B5567)),0),0)),""))</f>
        <v/>
      </c>
      <c r="D5567">
        <f>IF(B5567="","",IF(C5567&lt;&gt;"","REMOVE","KEEP"))</f>
        <v/>
      </c>
      <c r="E5567">
        <f>IF(D5567&lt;&gt;"KEEP","",IF(RIGHT(B5567,10)="@gmail.com","Gmail",IF(OR(RIGHT(B5567,12)="@outlook.com",RIGHT(B5567,12)="@hotmail.com",RIGHT(B5567,9)="@live.com"),"Outlook","Domain")))</f>
        <v/>
      </c>
      <c r="F5567">
        <f>IF(B5567="","",IFERROR(RIGHT(B5567,LEN(B5567)-FIND("@",B5567)),""))</f>
        <v/>
      </c>
      <c r="G5567">
        <f>IF(D5567="KEEP",COUNTIF($D$2:D5567,"KEEP"),"")</f>
        <v/>
      </c>
      <c r="H5567">
        <f>IF(D5567="REMOVE",COUNTIF($D$2:D5567,"REMOVE"),"")</f>
        <v/>
      </c>
      <c r="I5567">
        <f>IF(E5567="Gmail",COUNTIF($E$2:E5567,"Gmail"),"")</f>
        <v/>
      </c>
      <c r="J5567">
        <f>IF(E5567="Outlook",COUNTIF($E$2:E5567,"Outlook"),"")</f>
        <v/>
      </c>
      <c r="K5567">
        <f>IF(E5567="Domain",COUNTIF($E$2:E5567,"Domain"),"")</f>
        <v/>
      </c>
    </row>
    <row r="5568">
      <c r="A5568" s="2" t="n"/>
      <c r="B5568">
        <f>LOWER(TRIM(A5568))</f>
        <v/>
      </c>
      <c r="C5568">
        <f>IF(B5568="","",IFERROR(INDEX('Bad Patterns'!$A$2:$A$120,MATCH(1,INDEX(--ISNUMBER(SEARCH('Bad Patterns'!$A$2:$A$120,B5568)),0),0)),""))</f>
        <v/>
      </c>
      <c r="D5568">
        <f>IF(B5568="","",IF(C5568&lt;&gt;"","REMOVE","KEEP"))</f>
        <v/>
      </c>
      <c r="E5568">
        <f>IF(D5568&lt;&gt;"KEEP","",IF(RIGHT(B5568,10)="@gmail.com","Gmail",IF(OR(RIGHT(B5568,12)="@outlook.com",RIGHT(B5568,12)="@hotmail.com",RIGHT(B5568,9)="@live.com"),"Outlook","Domain")))</f>
        <v/>
      </c>
      <c r="F5568">
        <f>IF(B5568="","",IFERROR(RIGHT(B5568,LEN(B5568)-FIND("@",B5568)),""))</f>
        <v/>
      </c>
      <c r="G5568">
        <f>IF(D5568="KEEP",COUNTIF($D$2:D5568,"KEEP"),"")</f>
        <v/>
      </c>
      <c r="H5568">
        <f>IF(D5568="REMOVE",COUNTIF($D$2:D5568,"REMOVE"),"")</f>
        <v/>
      </c>
      <c r="I5568">
        <f>IF(E5568="Gmail",COUNTIF($E$2:E5568,"Gmail"),"")</f>
        <v/>
      </c>
      <c r="J5568">
        <f>IF(E5568="Outlook",COUNTIF($E$2:E5568,"Outlook"),"")</f>
        <v/>
      </c>
      <c r="K5568">
        <f>IF(E5568="Domain",COUNTIF($E$2:E5568,"Domain"),"")</f>
        <v/>
      </c>
    </row>
    <row r="5569">
      <c r="A5569" s="2" t="n"/>
      <c r="B5569">
        <f>LOWER(TRIM(A5569))</f>
        <v/>
      </c>
      <c r="C5569">
        <f>IF(B5569="","",IFERROR(INDEX('Bad Patterns'!$A$2:$A$120,MATCH(1,INDEX(--ISNUMBER(SEARCH('Bad Patterns'!$A$2:$A$120,B5569)),0),0)),""))</f>
        <v/>
      </c>
      <c r="D5569">
        <f>IF(B5569="","",IF(C5569&lt;&gt;"","REMOVE","KEEP"))</f>
        <v/>
      </c>
      <c r="E5569">
        <f>IF(D5569&lt;&gt;"KEEP","",IF(RIGHT(B5569,10)="@gmail.com","Gmail",IF(OR(RIGHT(B5569,12)="@outlook.com",RIGHT(B5569,12)="@hotmail.com",RIGHT(B5569,9)="@live.com"),"Outlook","Domain")))</f>
        <v/>
      </c>
      <c r="F5569">
        <f>IF(B5569="","",IFERROR(RIGHT(B5569,LEN(B5569)-FIND("@",B5569)),""))</f>
        <v/>
      </c>
      <c r="G5569">
        <f>IF(D5569="KEEP",COUNTIF($D$2:D5569,"KEEP"),"")</f>
        <v/>
      </c>
      <c r="H5569">
        <f>IF(D5569="REMOVE",COUNTIF($D$2:D5569,"REMOVE"),"")</f>
        <v/>
      </c>
      <c r="I5569">
        <f>IF(E5569="Gmail",COUNTIF($E$2:E5569,"Gmail"),"")</f>
        <v/>
      </c>
      <c r="J5569">
        <f>IF(E5569="Outlook",COUNTIF($E$2:E5569,"Outlook"),"")</f>
        <v/>
      </c>
      <c r="K5569">
        <f>IF(E5569="Domain",COUNTIF($E$2:E5569,"Domain"),"")</f>
        <v/>
      </c>
    </row>
    <row r="5570">
      <c r="A5570" s="2" t="n"/>
      <c r="B5570">
        <f>LOWER(TRIM(A5570))</f>
        <v/>
      </c>
      <c r="C5570">
        <f>IF(B5570="","",IFERROR(INDEX('Bad Patterns'!$A$2:$A$120,MATCH(1,INDEX(--ISNUMBER(SEARCH('Bad Patterns'!$A$2:$A$120,B5570)),0),0)),""))</f>
        <v/>
      </c>
      <c r="D5570">
        <f>IF(B5570="","",IF(C5570&lt;&gt;"","REMOVE","KEEP"))</f>
        <v/>
      </c>
      <c r="E5570">
        <f>IF(D5570&lt;&gt;"KEEP","",IF(RIGHT(B5570,10)="@gmail.com","Gmail",IF(OR(RIGHT(B5570,12)="@outlook.com",RIGHT(B5570,12)="@hotmail.com",RIGHT(B5570,9)="@live.com"),"Outlook","Domain")))</f>
        <v/>
      </c>
      <c r="F5570">
        <f>IF(B5570="","",IFERROR(RIGHT(B5570,LEN(B5570)-FIND("@",B5570)),""))</f>
        <v/>
      </c>
      <c r="G5570">
        <f>IF(D5570="KEEP",COUNTIF($D$2:D5570,"KEEP"),"")</f>
        <v/>
      </c>
      <c r="H5570">
        <f>IF(D5570="REMOVE",COUNTIF($D$2:D5570,"REMOVE"),"")</f>
        <v/>
      </c>
      <c r="I5570">
        <f>IF(E5570="Gmail",COUNTIF($E$2:E5570,"Gmail"),"")</f>
        <v/>
      </c>
      <c r="J5570">
        <f>IF(E5570="Outlook",COUNTIF($E$2:E5570,"Outlook"),"")</f>
        <v/>
      </c>
      <c r="K5570">
        <f>IF(E5570="Domain",COUNTIF($E$2:E5570,"Domain"),"")</f>
        <v/>
      </c>
    </row>
    <row r="5571">
      <c r="A5571" s="2" t="n"/>
      <c r="B5571">
        <f>LOWER(TRIM(A5571))</f>
        <v/>
      </c>
      <c r="C5571">
        <f>IF(B5571="","",IFERROR(INDEX('Bad Patterns'!$A$2:$A$120,MATCH(1,INDEX(--ISNUMBER(SEARCH('Bad Patterns'!$A$2:$A$120,B5571)),0),0)),""))</f>
        <v/>
      </c>
      <c r="D5571">
        <f>IF(B5571="","",IF(C5571&lt;&gt;"","REMOVE","KEEP"))</f>
        <v/>
      </c>
      <c r="E5571">
        <f>IF(D5571&lt;&gt;"KEEP","",IF(RIGHT(B5571,10)="@gmail.com","Gmail",IF(OR(RIGHT(B5571,12)="@outlook.com",RIGHT(B5571,12)="@hotmail.com",RIGHT(B5571,9)="@live.com"),"Outlook","Domain")))</f>
        <v/>
      </c>
      <c r="F5571">
        <f>IF(B5571="","",IFERROR(RIGHT(B5571,LEN(B5571)-FIND("@",B5571)),""))</f>
        <v/>
      </c>
      <c r="G5571">
        <f>IF(D5571="KEEP",COUNTIF($D$2:D5571,"KEEP"),"")</f>
        <v/>
      </c>
      <c r="H5571">
        <f>IF(D5571="REMOVE",COUNTIF($D$2:D5571,"REMOVE"),"")</f>
        <v/>
      </c>
      <c r="I5571">
        <f>IF(E5571="Gmail",COUNTIF($E$2:E5571,"Gmail"),"")</f>
        <v/>
      </c>
      <c r="J5571">
        <f>IF(E5571="Outlook",COUNTIF($E$2:E5571,"Outlook"),"")</f>
        <v/>
      </c>
      <c r="K5571">
        <f>IF(E5571="Domain",COUNTIF($E$2:E5571,"Domain"),"")</f>
        <v/>
      </c>
    </row>
    <row r="5572">
      <c r="A5572" s="2" t="n"/>
      <c r="B5572">
        <f>LOWER(TRIM(A5572))</f>
        <v/>
      </c>
      <c r="C5572">
        <f>IF(B5572="","",IFERROR(INDEX('Bad Patterns'!$A$2:$A$120,MATCH(1,INDEX(--ISNUMBER(SEARCH('Bad Patterns'!$A$2:$A$120,B5572)),0),0)),""))</f>
        <v/>
      </c>
      <c r="D5572">
        <f>IF(B5572="","",IF(C5572&lt;&gt;"","REMOVE","KEEP"))</f>
        <v/>
      </c>
      <c r="E5572">
        <f>IF(D5572&lt;&gt;"KEEP","",IF(RIGHT(B5572,10)="@gmail.com","Gmail",IF(OR(RIGHT(B5572,12)="@outlook.com",RIGHT(B5572,12)="@hotmail.com",RIGHT(B5572,9)="@live.com"),"Outlook","Domain")))</f>
        <v/>
      </c>
      <c r="F5572">
        <f>IF(B5572="","",IFERROR(RIGHT(B5572,LEN(B5572)-FIND("@",B5572)),""))</f>
        <v/>
      </c>
      <c r="G5572">
        <f>IF(D5572="KEEP",COUNTIF($D$2:D5572,"KEEP"),"")</f>
        <v/>
      </c>
      <c r="H5572">
        <f>IF(D5572="REMOVE",COUNTIF($D$2:D5572,"REMOVE"),"")</f>
        <v/>
      </c>
      <c r="I5572">
        <f>IF(E5572="Gmail",COUNTIF($E$2:E5572,"Gmail"),"")</f>
        <v/>
      </c>
      <c r="J5572">
        <f>IF(E5572="Outlook",COUNTIF($E$2:E5572,"Outlook"),"")</f>
        <v/>
      </c>
      <c r="K5572">
        <f>IF(E5572="Domain",COUNTIF($E$2:E5572,"Domain"),"")</f>
        <v/>
      </c>
    </row>
    <row r="5573">
      <c r="A5573" s="2" t="n"/>
      <c r="B5573">
        <f>LOWER(TRIM(A5573))</f>
        <v/>
      </c>
      <c r="C5573">
        <f>IF(B5573="","",IFERROR(INDEX('Bad Patterns'!$A$2:$A$120,MATCH(1,INDEX(--ISNUMBER(SEARCH('Bad Patterns'!$A$2:$A$120,B5573)),0),0)),""))</f>
        <v/>
      </c>
      <c r="D5573">
        <f>IF(B5573="","",IF(C5573&lt;&gt;"","REMOVE","KEEP"))</f>
        <v/>
      </c>
      <c r="E5573">
        <f>IF(D5573&lt;&gt;"KEEP","",IF(RIGHT(B5573,10)="@gmail.com","Gmail",IF(OR(RIGHT(B5573,12)="@outlook.com",RIGHT(B5573,12)="@hotmail.com",RIGHT(B5573,9)="@live.com"),"Outlook","Domain")))</f>
        <v/>
      </c>
      <c r="F5573">
        <f>IF(B5573="","",IFERROR(RIGHT(B5573,LEN(B5573)-FIND("@",B5573)),""))</f>
        <v/>
      </c>
      <c r="G5573">
        <f>IF(D5573="KEEP",COUNTIF($D$2:D5573,"KEEP"),"")</f>
        <v/>
      </c>
      <c r="H5573">
        <f>IF(D5573="REMOVE",COUNTIF($D$2:D5573,"REMOVE"),"")</f>
        <v/>
      </c>
      <c r="I5573">
        <f>IF(E5573="Gmail",COUNTIF($E$2:E5573,"Gmail"),"")</f>
        <v/>
      </c>
      <c r="J5573">
        <f>IF(E5573="Outlook",COUNTIF($E$2:E5573,"Outlook"),"")</f>
        <v/>
      </c>
      <c r="K5573">
        <f>IF(E5573="Domain",COUNTIF($E$2:E5573,"Domain"),"")</f>
        <v/>
      </c>
    </row>
    <row r="5574">
      <c r="A5574" s="2" t="n"/>
      <c r="B5574">
        <f>LOWER(TRIM(A5574))</f>
        <v/>
      </c>
      <c r="C5574">
        <f>IF(B5574="","",IFERROR(INDEX('Bad Patterns'!$A$2:$A$120,MATCH(1,INDEX(--ISNUMBER(SEARCH('Bad Patterns'!$A$2:$A$120,B5574)),0),0)),""))</f>
        <v/>
      </c>
      <c r="D5574">
        <f>IF(B5574="","",IF(C5574&lt;&gt;"","REMOVE","KEEP"))</f>
        <v/>
      </c>
      <c r="E5574">
        <f>IF(D5574&lt;&gt;"KEEP","",IF(RIGHT(B5574,10)="@gmail.com","Gmail",IF(OR(RIGHT(B5574,12)="@outlook.com",RIGHT(B5574,12)="@hotmail.com",RIGHT(B5574,9)="@live.com"),"Outlook","Domain")))</f>
        <v/>
      </c>
      <c r="F5574">
        <f>IF(B5574="","",IFERROR(RIGHT(B5574,LEN(B5574)-FIND("@",B5574)),""))</f>
        <v/>
      </c>
      <c r="G5574">
        <f>IF(D5574="KEEP",COUNTIF($D$2:D5574,"KEEP"),"")</f>
        <v/>
      </c>
      <c r="H5574">
        <f>IF(D5574="REMOVE",COUNTIF($D$2:D5574,"REMOVE"),"")</f>
        <v/>
      </c>
      <c r="I5574">
        <f>IF(E5574="Gmail",COUNTIF($E$2:E5574,"Gmail"),"")</f>
        <v/>
      </c>
      <c r="J5574">
        <f>IF(E5574="Outlook",COUNTIF($E$2:E5574,"Outlook"),"")</f>
        <v/>
      </c>
      <c r="K5574">
        <f>IF(E5574="Domain",COUNTIF($E$2:E5574,"Domain"),"")</f>
        <v/>
      </c>
    </row>
    <row r="5575">
      <c r="A5575" s="2" t="n"/>
      <c r="B5575">
        <f>LOWER(TRIM(A5575))</f>
        <v/>
      </c>
      <c r="C5575">
        <f>IF(B5575="","",IFERROR(INDEX('Bad Patterns'!$A$2:$A$120,MATCH(1,INDEX(--ISNUMBER(SEARCH('Bad Patterns'!$A$2:$A$120,B5575)),0),0)),""))</f>
        <v/>
      </c>
      <c r="D5575">
        <f>IF(B5575="","",IF(C5575&lt;&gt;"","REMOVE","KEEP"))</f>
        <v/>
      </c>
      <c r="E5575">
        <f>IF(D5575&lt;&gt;"KEEP","",IF(RIGHT(B5575,10)="@gmail.com","Gmail",IF(OR(RIGHT(B5575,12)="@outlook.com",RIGHT(B5575,12)="@hotmail.com",RIGHT(B5575,9)="@live.com"),"Outlook","Domain")))</f>
        <v/>
      </c>
      <c r="F5575">
        <f>IF(B5575="","",IFERROR(RIGHT(B5575,LEN(B5575)-FIND("@",B5575)),""))</f>
        <v/>
      </c>
      <c r="G5575">
        <f>IF(D5575="KEEP",COUNTIF($D$2:D5575,"KEEP"),"")</f>
        <v/>
      </c>
      <c r="H5575">
        <f>IF(D5575="REMOVE",COUNTIF($D$2:D5575,"REMOVE"),"")</f>
        <v/>
      </c>
      <c r="I5575">
        <f>IF(E5575="Gmail",COUNTIF($E$2:E5575,"Gmail"),"")</f>
        <v/>
      </c>
      <c r="J5575">
        <f>IF(E5575="Outlook",COUNTIF($E$2:E5575,"Outlook"),"")</f>
        <v/>
      </c>
      <c r="K5575">
        <f>IF(E5575="Domain",COUNTIF($E$2:E5575,"Domain"),"")</f>
        <v/>
      </c>
    </row>
    <row r="5576">
      <c r="A5576" s="2" t="n"/>
      <c r="B5576">
        <f>LOWER(TRIM(A5576))</f>
        <v/>
      </c>
      <c r="C5576">
        <f>IF(B5576="","",IFERROR(INDEX('Bad Patterns'!$A$2:$A$120,MATCH(1,INDEX(--ISNUMBER(SEARCH('Bad Patterns'!$A$2:$A$120,B5576)),0),0)),""))</f>
        <v/>
      </c>
      <c r="D5576">
        <f>IF(B5576="","",IF(C5576&lt;&gt;"","REMOVE","KEEP"))</f>
        <v/>
      </c>
      <c r="E5576">
        <f>IF(D5576&lt;&gt;"KEEP","",IF(RIGHT(B5576,10)="@gmail.com","Gmail",IF(OR(RIGHT(B5576,12)="@outlook.com",RIGHT(B5576,12)="@hotmail.com",RIGHT(B5576,9)="@live.com"),"Outlook","Domain")))</f>
        <v/>
      </c>
      <c r="F5576">
        <f>IF(B5576="","",IFERROR(RIGHT(B5576,LEN(B5576)-FIND("@",B5576)),""))</f>
        <v/>
      </c>
      <c r="G5576">
        <f>IF(D5576="KEEP",COUNTIF($D$2:D5576,"KEEP"),"")</f>
        <v/>
      </c>
      <c r="H5576">
        <f>IF(D5576="REMOVE",COUNTIF($D$2:D5576,"REMOVE"),"")</f>
        <v/>
      </c>
      <c r="I5576">
        <f>IF(E5576="Gmail",COUNTIF($E$2:E5576,"Gmail"),"")</f>
        <v/>
      </c>
      <c r="J5576">
        <f>IF(E5576="Outlook",COUNTIF($E$2:E5576,"Outlook"),"")</f>
        <v/>
      </c>
      <c r="K5576">
        <f>IF(E5576="Domain",COUNTIF($E$2:E5576,"Domain"),"")</f>
        <v/>
      </c>
    </row>
    <row r="5577">
      <c r="A5577" s="2" t="n"/>
      <c r="B5577">
        <f>LOWER(TRIM(A5577))</f>
        <v/>
      </c>
      <c r="C5577">
        <f>IF(B5577="","",IFERROR(INDEX('Bad Patterns'!$A$2:$A$120,MATCH(1,INDEX(--ISNUMBER(SEARCH('Bad Patterns'!$A$2:$A$120,B5577)),0),0)),""))</f>
        <v/>
      </c>
      <c r="D5577">
        <f>IF(B5577="","",IF(C5577&lt;&gt;"","REMOVE","KEEP"))</f>
        <v/>
      </c>
      <c r="E5577">
        <f>IF(D5577&lt;&gt;"KEEP","",IF(RIGHT(B5577,10)="@gmail.com","Gmail",IF(OR(RIGHT(B5577,12)="@outlook.com",RIGHT(B5577,12)="@hotmail.com",RIGHT(B5577,9)="@live.com"),"Outlook","Domain")))</f>
        <v/>
      </c>
      <c r="F5577">
        <f>IF(B5577="","",IFERROR(RIGHT(B5577,LEN(B5577)-FIND("@",B5577)),""))</f>
        <v/>
      </c>
      <c r="G5577">
        <f>IF(D5577="KEEP",COUNTIF($D$2:D5577,"KEEP"),"")</f>
        <v/>
      </c>
      <c r="H5577">
        <f>IF(D5577="REMOVE",COUNTIF($D$2:D5577,"REMOVE"),"")</f>
        <v/>
      </c>
      <c r="I5577">
        <f>IF(E5577="Gmail",COUNTIF($E$2:E5577,"Gmail"),"")</f>
        <v/>
      </c>
      <c r="J5577">
        <f>IF(E5577="Outlook",COUNTIF($E$2:E5577,"Outlook"),"")</f>
        <v/>
      </c>
      <c r="K5577">
        <f>IF(E5577="Domain",COUNTIF($E$2:E5577,"Domain"),"")</f>
        <v/>
      </c>
    </row>
    <row r="5578">
      <c r="A5578" s="2" t="n"/>
      <c r="B5578">
        <f>LOWER(TRIM(A5578))</f>
        <v/>
      </c>
      <c r="C5578">
        <f>IF(B5578="","",IFERROR(INDEX('Bad Patterns'!$A$2:$A$120,MATCH(1,INDEX(--ISNUMBER(SEARCH('Bad Patterns'!$A$2:$A$120,B5578)),0),0)),""))</f>
        <v/>
      </c>
      <c r="D5578">
        <f>IF(B5578="","",IF(C5578&lt;&gt;"","REMOVE","KEEP"))</f>
        <v/>
      </c>
      <c r="E5578">
        <f>IF(D5578&lt;&gt;"KEEP","",IF(RIGHT(B5578,10)="@gmail.com","Gmail",IF(OR(RIGHT(B5578,12)="@outlook.com",RIGHT(B5578,12)="@hotmail.com",RIGHT(B5578,9)="@live.com"),"Outlook","Domain")))</f>
        <v/>
      </c>
      <c r="F5578">
        <f>IF(B5578="","",IFERROR(RIGHT(B5578,LEN(B5578)-FIND("@",B5578)),""))</f>
        <v/>
      </c>
      <c r="G5578">
        <f>IF(D5578="KEEP",COUNTIF($D$2:D5578,"KEEP"),"")</f>
        <v/>
      </c>
      <c r="H5578">
        <f>IF(D5578="REMOVE",COUNTIF($D$2:D5578,"REMOVE"),"")</f>
        <v/>
      </c>
      <c r="I5578">
        <f>IF(E5578="Gmail",COUNTIF($E$2:E5578,"Gmail"),"")</f>
        <v/>
      </c>
      <c r="J5578">
        <f>IF(E5578="Outlook",COUNTIF($E$2:E5578,"Outlook"),"")</f>
        <v/>
      </c>
      <c r="K5578">
        <f>IF(E5578="Domain",COUNTIF($E$2:E5578,"Domain"),"")</f>
        <v/>
      </c>
    </row>
    <row r="5579">
      <c r="A5579" s="2" t="n"/>
      <c r="B5579">
        <f>LOWER(TRIM(A5579))</f>
        <v/>
      </c>
      <c r="C5579">
        <f>IF(B5579="","",IFERROR(INDEX('Bad Patterns'!$A$2:$A$120,MATCH(1,INDEX(--ISNUMBER(SEARCH('Bad Patterns'!$A$2:$A$120,B5579)),0),0)),""))</f>
        <v/>
      </c>
      <c r="D5579">
        <f>IF(B5579="","",IF(C5579&lt;&gt;"","REMOVE","KEEP"))</f>
        <v/>
      </c>
      <c r="E5579">
        <f>IF(D5579&lt;&gt;"KEEP","",IF(RIGHT(B5579,10)="@gmail.com","Gmail",IF(OR(RIGHT(B5579,12)="@outlook.com",RIGHT(B5579,12)="@hotmail.com",RIGHT(B5579,9)="@live.com"),"Outlook","Domain")))</f>
        <v/>
      </c>
      <c r="F5579">
        <f>IF(B5579="","",IFERROR(RIGHT(B5579,LEN(B5579)-FIND("@",B5579)),""))</f>
        <v/>
      </c>
      <c r="G5579">
        <f>IF(D5579="KEEP",COUNTIF($D$2:D5579,"KEEP"),"")</f>
        <v/>
      </c>
      <c r="H5579">
        <f>IF(D5579="REMOVE",COUNTIF($D$2:D5579,"REMOVE"),"")</f>
        <v/>
      </c>
      <c r="I5579">
        <f>IF(E5579="Gmail",COUNTIF($E$2:E5579,"Gmail"),"")</f>
        <v/>
      </c>
      <c r="J5579">
        <f>IF(E5579="Outlook",COUNTIF($E$2:E5579,"Outlook"),"")</f>
        <v/>
      </c>
      <c r="K5579">
        <f>IF(E5579="Domain",COUNTIF($E$2:E5579,"Domain"),"")</f>
        <v/>
      </c>
    </row>
    <row r="5580">
      <c r="A5580" s="2" t="n"/>
      <c r="B5580">
        <f>LOWER(TRIM(A5580))</f>
        <v/>
      </c>
      <c r="C5580">
        <f>IF(B5580="","",IFERROR(INDEX('Bad Patterns'!$A$2:$A$120,MATCH(1,INDEX(--ISNUMBER(SEARCH('Bad Patterns'!$A$2:$A$120,B5580)),0),0)),""))</f>
        <v/>
      </c>
      <c r="D5580">
        <f>IF(B5580="","",IF(C5580&lt;&gt;"","REMOVE","KEEP"))</f>
        <v/>
      </c>
      <c r="E5580">
        <f>IF(D5580&lt;&gt;"KEEP","",IF(RIGHT(B5580,10)="@gmail.com","Gmail",IF(OR(RIGHT(B5580,12)="@outlook.com",RIGHT(B5580,12)="@hotmail.com",RIGHT(B5580,9)="@live.com"),"Outlook","Domain")))</f>
        <v/>
      </c>
      <c r="F5580">
        <f>IF(B5580="","",IFERROR(RIGHT(B5580,LEN(B5580)-FIND("@",B5580)),""))</f>
        <v/>
      </c>
      <c r="G5580">
        <f>IF(D5580="KEEP",COUNTIF($D$2:D5580,"KEEP"),"")</f>
        <v/>
      </c>
      <c r="H5580">
        <f>IF(D5580="REMOVE",COUNTIF($D$2:D5580,"REMOVE"),"")</f>
        <v/>
      </c>
      <c r="I5580">
        <f>IF(E5580="Gmail",COUNTIF($E$2:E5580,"Gmail"),"")</f>
        <v/>
      </c>
      <c r="J5580">
        <f>IF(E5580="Outlook",COUNTIF($E$2:E5580,"Outlook"),"")</f>
        <v/>
      </c>
      <c r="K5580">
        <f>IF(E5580="Domain",COUNTIF($E$2:E5580,"Domain"),"")</f>
        <v/>
      </c>
    </row>
    <row r="5581">
      <c r="A5581" s="2" t="n"/>
      <c r="B5581">
        <f>LOWER(TRIM(A5581))</f>
        <v/>
      </c>
      <c r="C5581">
        <f>IF(B5581="","",IFERROR(INDEX('Bad Patterns'!$A$2:$A$120,MATCH(1,INDEX(--ISNUMBER(SEARCH('Bad Patterns'!$A$2:$A$120,B5581)),0),0)),""))</f>
        <v/>
      </c>
      <c r="D5581">
        <f>IF(B5581="","",IF(C5581&lt;&gt;"","REMOVE","KEEP"))</f>
        <v/>
      </c>
      <c r="E5581">
        <f>IF(D5581&lt;&gt;"KEEP","",IF(RIGHT(B5581,10)="@gmail.com","Gmail",IF(OR(RIGHT(B5581,12)="@outlook.com",RIGHT(B5581,12)="@hotmail.com",RIGHT(B5581,9)="@live.com"),"Outlook","Domain")))</f>
        <v/>
      </c>
      <c r="F5581">
        <f>IF(B5581="","",IFERROR(RIGHT(B5581,LEN(B5581)-FIND("@",B5581)),""))</f>
        <v/>
      </c>
      <c r="G5581">
        <f>IF(D5581="KEEP",COUNTIF($D$2:D5581,"KEEP"),"")</f>
        <v/>
      </c>
      <c r="H5581">
        <f>IF(D5581="REMOVE",COUNTIF($D$2:D5581,"REMOVE"),"")</f>
        <v/>
      </c>
      <c r="I5581">
        <f>IF(E5581="Gmail",COUNTIF($E$2:E5581,"Gmail"),"")</f>
        <v/>
      </c>
      <c r="J5581">
        <f>IF(E5581="Outlook",COUNTIF($E$2:E5581,"Outlook"),"")</f>
        <v/>
      </c>
      <c r="K5581">
        <f>IF(E5581="Domain",COUNTIF($E$2:E5581,"Domain"),"")</f>
        <v/>
      </c>
    </row>
    <row r="5582">
      <c r="A5582" s="2" t="n"/>
      <c r="B5582">
        <f>LOWER(TRIM(A5582))</f>
        <v/>
      </c>
      <c r="C5582">
        <f>IF(B5582="","",IFERROR(INDEX('Bad Patterns'!$A$2:$A$120,MATCH(1,INDEX(--ISNUMBER(SEARCH('Bad Patterns'!$A$2:$A$120,B5582)),0),0)),""))</f>
        <v/>
      </c>
      <c r="D5582">
        <f>IF(B5582="","",IF(C5582&lt;&gt;"","REMOVE","KEEP"))</f>
        <v/>
      </c>
      <c r="E5582">
        <f>IF(D5582&lt;&gt;"KEEP","",IF(RIGHT(B5582,10)="@gmail.com","Gmail",IF(OR(RIGHT(B5582,12)="@outlook.com",RIGHT(B5582,12)="@hotmail.com",RIGHT(B5582,9)="@live.com"),"Outlook","Domain")))</f>
        <v/>
      </c>
      <c r="F5582">
        <f>IF(B5582="","",IFERROR(RIGHT(B5582,LEN(B5582)-FIND("@",B5582)),""))</f>
        <v/>
      </c>
      <c r="G5582">
        <f>IF(D5582="KEEP",COUNTIF($D$2:D5582,"KEEP"),"")</f>
        <v/>
      </c>
      <c r="H5582">
        <f>IF(D5582="REMOVE",COUNTIF($D$2:D5582,"REMOVE"),"")</f>
        <v/>
      </c>
      <c r="I5582">
        <f>IF(E5582="Gmail",COUNTIF($E$2:E5582,"Gmail"),"")</f>
        <v/>
      </c>
      <c r="J5582">
        <f>IF(E5582="Outlook",COUNTIF($E$2:E5582,"Outlook"),"")</f>
        <v/>
      </c>
      <c r="K5582">
        <f>IF(E5582="Domain",COUNTIF($E$2:E5582,"Domain"),"")</f>
        <v/>
      </c>
    </row>
    <row r="5583">
      <c r="A5583" s="2" t="n"/>
      <c r="B5583">
        <f>LOWER(TRIM(A5583))</f>
        <v/>
      </c>
      <c r="C5583">
        <f>IF(B5583="","",IFERROR(INDEX('Bad Patterns'!$A$2:$A$120,MATCH(1,INDEX(--ISNUMBER(SEARCH('Bad Patterns'!$A$2:$A$120,B5583)),0),0)),""))</f>
        <v/>
      </c>
      <c r="D5583">
        <f>IF(B5583="","",IF(C5583&lt;&gt;"","REMOVE","KEEP"))</f>
        <v/>
      </c>
      <c r="E5583">
        <f>IF(D5583&lt;&gt;"KEEP","",IF(RIGHT(B5583,10)="@gmail.com","Gmail",IF(OR(RIGHT(B5583,12)="@outlook.com",RIGHT(B5583,12)="@hotmail.com",RIGHT(B5583,9)="@live.com"),"Outlook","Domain")))</f>
        <v/>
      </c>
      <c r="F5583">
        <f>IF(B5583="","",IFERROR(RIGHT(B5583,LEN(B5583)-FIND("@",B5583)),""))</f>
        <v/>
      </c>
      <c r="G5583">
        <f>IF(D5583="KEEP",COUNTIF($D$2:D5583,"KEEP"),"")</f>
        <v/>
      </c>
      <c r="H5583">
        <f>IF(D5583="REMOVE",COUNTIF($D$2:D5583,"REMOVE"),"")</f>
        <v/>
      </c>
      <c r="I5583">
        <f>IF(E5583="Gmail",COUNTIF($E$2:E5583,"Gmail"),"")</f>
        <v/>
      </c>
      <c r="J5583">
        <f>IF(E5583="Outlook",COUNTIF($E$2:E5583,"Outlook"),"")</f>
        <v/>
      </c>
      <c r="K5583">
        <f>IF(E5583="Domain",COUNTIF($E$2:E5583,"Domain"),"")</f>
        <v/>
      </c>
    </row>
    <row r="5584">
      <c r="A5584" s="2" t="n"/>
      <c r="B5584">
        <f>LOWER(TRIM(A5584))</f>
        <v/>
      </c>
      <c r="C5584">
        <f>IF(B5584="","",IFERROR(INDEX('Bad Patterns'!$A$2:$A$120,MATCH(1,INDEX(--ISNUMBER(SEARCH('Bad Patterns'!$A$2:$A$120,B5584)),0),0)),""))</f>
        <v/>
      </c>
      <c r="D5584">
        <f>IF(B5584="","",IF(C5584&lt;&gt;"","REMOVE","KEEP"))</f>
        <v/>
      </c>
      <c r="E5584">
        <f>IF(D5584&lt;&gt;"KEEP","",IF(RIGHT(B5584,10)="@gmail.com","Gmail",IF(OR(RIGHT(B5584,12)="@outlook.com",RIGHT(B5584,12)="@hotmail.com",RIGHT(B5584,9)="@live.com"),"Outlook","Domain")))</f>
        <v/>
      </c>
      <c r="F5584">
        <f>IF(B5584="","",IFERROR(RIGHT(B5584,LEN(B5584)-FIND("@",B5584)),""))</f>
        <v/>
      </c>
      <c r="G5584">
        <f>IF(D5584="KEEP",COUNTIF($D$2:D5584,"KEEP"),"")</f>
        <v/>
      </c>
      <c r="H5584">
        <f>IF(D5584="REMOVE",COUNTIF($D$2:D5584,"REMOVE"),"")</f>
        <v/>
      </c>
      <c r="I5584">
        <f>IF(E5584="Gmail",COUNTIF($E$2:E5584,"Gmail"),"")</f>
        <v/>
      </c>
      <c r="J5584">
        <f>IF(E5584="Outlook",COUNTIF($E$2:E5584,"Outlook"),"")</f>
        <v/>
      </c>
      <c r="K5584">
        <f>IF(E5584="Domain",COUNTIF($E$2:E5584,"Domain"),"")</f>
        <v/>
      </c>
    </row>
    <row r="5585">
      <c r="A5585" s="2" t="n"/>
      <c r="B5585">
        <f>LOWER(TRIM(A5585))</f>
        <v/>
      </c>
      <c r="C5585">
        <f>IF(B5585="","",IFERROR(INDEX('Bad Patterns'!$A$2:$A$120,MATCH(1,INDEX(--ISNUMBER(SEARCH('Bad Patterns'!$A$2:$A$120,B5585)),0),0)),""))</f>
        <v/>
      </c>
      <c r="D5585">
        <f>IF(B5585="","",IF(C5585&lt;&gt;"","REMOVE","KEEP"))</f>
        <v/>
      </c>
      <c r="E5585">
        <f>IF(D5585&lt;&gt;"KEEP","",IF(RIGHT(B5585,10)="@gmail.com","Gmail",IF(OR(RIGHT(B5585,12)="@outlook.com",RIGHT(B5585,12)="@hotmail.com",RIGHT(B5585,9)="@live.com"),"Outlook","Domain")))</f>
        <v/>
      </c>
      <c r="F5585">
        <f>IF(B5585="","",IFERROR(RIGHT(B5585,LEN(B5585)-FIND("@",B5585)),""))</f>
        <v/>
      </c>
      <c r="G5585">
        <f>IF(D5585="KEEP",COUNTIF($D$2:D5585,"KEEP"),"")</f>
        <v/>
      </c>
      <c r="H5585">
        <f>IF(D5585="REMOVE",COUNTIF($D$2:D5585,"REMOVE"),"")</f>
        <v/>
      </c>
      <c r="I5585">
        <f>IF(E5585="Gmail",COUNTIF($E$2:E5585,"Gmail"),"")</f>
        <v/>
      </c>
      <c r="J5585">
        <f>IF(E5585="Outlook",COUNTIF($E$2:E5585,"Outlook"),"")</f>
        <v/>
      </c>
      <c r="K5585">
        <f>IF(E5585="Domain",COUNTIF($E$2:E5585,"Domain"),"")</f>
        <v/>
      </c>
    </row>
    <row r="5586">
      <c r="A5586" s="2" t="n"/>
      <c r="B5586">
        <f>LOWER(TRIM(A5586))</f>
        <v/>
      </c>
      <c r="C5586">
        <f>IF(B5586="","",IFERROR(INDEX('Bad Patterns'!$A$2:$A$120,MATCH(1,INDEX(--ISNUMBER(SEARCH('Bad Patterns'!$A$2:$A$120,B5586)),0),0)),""))</f>
        <v/>
      </c>
      <c r="D5586">
        <f>IF(B5586="","",IF(C5586&lt;&gt;"","REMOVE","KEEP"))</f>
        <v/>
      </c>
      <c r="E5586">
        <f>IF(D5586&lt;&gt;"KEEP","",IF(RIGHT(B5586,10)="@gmail.com","Gmail",IF(OR(RIGHT(B5586,12)="@outlook.com",RIGHT(B5586,12)="@hotmail.com",RIGHT(B5586,9)="@live.com"),"Outlook","Domain")))</f>
        <v/>
      </c>
      <c r="F5586">
        <f>IF(B5586="","",IFERROR(RIGHT(B5586,LEN(B5586)-FIND("@",B5586)),""))</f>
        <v/>
      </c>
      <c r="G5586">
        <f>IF(D5586="KEEP",COUNTIF($D$2:D5586,"KEEP"),"")</f>
        <v/>
      </c>
      <c r="H5586">
        <f>IF(D5586="REMOVE",COUNTIF($D$2:D5586,"REMOVE"),"")</f>
        <v/>
      </c>
      <c r="I5586">
        <f>IF(E5586="Gmail",COUNTIF($E$2:E5586,"Gmail"),"")</f>
        <v/>
      </c>
      <c r="J5586">
        <f>IF(E5586="Outlook",COUNTIF($E$2:E5586,"Outlook"),"")</f>
        <v/>
      </c>
      <c r="K5586">
        <f>IF(E5586="Domain",COUNTIF($E$2:E5586,"Domain"),"")</f>
        <v/>
      </c>
    </row>
    <row r="5587">
      <c r="A5587" s="2" t="n"/>
      <c r="B5587">
        <f>LOWER(TRIM(A5587))</f>
        <v/>
      </c>
      <c r="C5587">
        <f>IF(B5587="","",IFERROR(INDEX('Bad Patterns'!$A$2:$A$120,MATCH(1,INDEX(--ISNUMBER(SEARCH('Bad Patterns'!$A$2:$A$120,B5587)),0),0)),""))</f>
        <v/>
      </c>
      <c r="D5587">
        <f>IF(B5587="","",IF(C5587&lt;&gt;"","REMOVE","KEEP"))</f>
        <v/>
      </c>
      <c r="E5587">
        <f>IF(D5587&lt;&gt;"KEEP","",IF(RIGHT(B5587,10)="@gmail.com","Gmail",IF(OR(RIGHT(B5587,12)="@outlook.com",RIGHT(B5587,12)="@hotmail.com",RIGHT(B5587,9)="@live.com"),"Outlook","Domain")))</f>
        <v/>
      </c>
      <c r="F5587">
        <f>IF(B5587="","",IFERROR(RIGHT(B5587,LEN(B5587)-FIND("@",B5587)),""))</f>
        <v/>
      </c>
      <c r="G5587">
        <f>IF(D5587="KEEP",COUNTIF($D$2:D5587,"KEEP"),"")</f>
        <v/>
      </c>
      <c r="H5587">
        <f>IF(D5587="REMOVE",COUNTIF($D$2:D5587,"REMOVE"),"")</f>
        <v/>
      </c>
      <c r="I5587">
        <f>IF(E5587="Gmail",COUNTIF($E$2:E5587,"Gmail"),"")</f>
        <v/>
      </c>
      <c r="J5587">
        <f>IF(E5587="Outlook",COUNTIF($E$2:E5587,"Outlook"),"")</f>
        <v/>
      </c>
      <c r="K5587">
        <f>IF(E5587="Domain",COUNTIF($E$2:E5587,"Domain"),"")</f>
        <v/>
      </c>
    </row>
    <row r="5588">
      <c r="A5588" s="2" t="n"/>
      <c r="B5588">
        <f>LOWER(TRIM(A5588))</f>
        <v/>
      </c>
      <c r="C5588">
        <f>IF(B5588="","",IFERROR(INDEX('Bad Patterns'!$A$2:$A$120,MATCH(1,INDEX(--ISNUMBER(SEARCH('Bad Patterns'!$A$2:$A$120,B5588)),0),0)),""))</f>
        <v/>
      </c>
      <c r="D5588">
        <f>IF(B5588="","",IF(C5588&lt;&gt;"","REMOVE","KEEP"))</f>
        <v/>
      </c>
      <c r="E5588">
        <f>IF(D5588&lt;&gt;"KEEP","",IF(RIGHT(B5588,10)="@gmail.com","Gmail",IF(OR(RIGHT(B5588,12)="@outlook.com",RIGHT(B5588,12)="@hotmail.com",RIGHT(B5588,9)="@live.com"),"Outlook","Domain")))</f>
        <v/>
      </c>
      <c r="F5588">
        <f>IF(B5588="","",IFERROR(RIGHT(B5588,LEN(B5588)-FIND("@",B5588)),""))</f>
        <v/>
      </c>
      <c r="G5588">
        <f>IF(D5588="KEEP",COUNTIF($D$2:D5588,"KEEP"),"")</f>
        <v/>
      </c>
      <c r="H5588">
        <f>IF(D5588="REMOVE",COUNTIF($D$2:D5588,"REMOVE"),"")</f>
        <v/>
      </c>
      <c r="I5588">
        <f>IF(E5588="Gmail",COUNTIF($E$2:E5588,"Gmail"),"")</f>
        <v/>
      </c>
      <c r="J5588">
        <f>IF(E5588="Outlook",COUNTIF($E$2:E5588,"Outlook"),"")</f>
        <v/>
      </c>
      <c r="K5588">
        <f>IF(E5588="Domain",COUNTIF($E$2:E5588,"Domain"),"")</f>
        <v/>
      </c>
    </row>
    <row r="5589">
      <c r="A5589" s="2" t="n"/>
      <c r="B5589">
        <f>LOWER(TRIM(A5589))</f>
        <v/>
      </c>
      <c r="C5589">
        <f>IF(B5589="","",IFERROR(INDEX('Bad Patterns'!$A$2:$A$120,MATCH(1,INDEX(--ISNUMBER(SEARCH('Bad Patterns'!$A$2:$A$120,B5589)),0),0)),""))</f>
        <v/>
      </c>
      <c r="D5589">
        <f>IF(B5589="","",IF(C5589&lt;&gt;"","REMOVE","KEEP"))</f>
        <v/>
      </c>
      <c r="E5589">
        <f>IF(D5589&lt;&gt;"KEEP","",IF(RIGHT(B5589,10)="@gmail.com","Gmail",IF(OR(RIGHT(B5589,12)="@outlook.com",RIGHT(B5589,12)="@hotmail.com",RIGHT(B5589,9)="@live.com"),"Outlook","Domain")))</f>
        <v/>
      </c>
      <c r="F5589">
        <f>IF(B5589="","",IFERROR(RIGHT(B5589,LEN(B5589)-FIND("@",B5589)),""))</f>
        <v/>
      </c>
      <c r="G5589">
        <f>IF(D5589="KEEP",COUNTIF($D$2:D5589,"KEEP"),"")</f>
        <v/>
      </c>
      <c r="H5589">
        <f>IF(D5589="REMOVE",COUNTIF($D$2:D5589,"REMOVE"),"")</f>
        <v/>
      </c>
      <c r="I5589">
        <f>IF(E5589="Gmail",COUNTIF($E$2:E5589,"Gmail"),"")</f>
        <v/>
      </c>
      <c r="J5589">
        <f>IF(E5589="Outlook",COUNTIF($E$2:E5589,"Outlook"),"")</f>
        <v/>
      </c>
      <c r="K5589">
        <f>IF(E5589="Domain",COUNTIF($E$2:E5589,"Domain"),"")</f>
        <v/>
      </c>
    </row>
    <row r="5590">
      <c r="A5590" s="2" t="n"/>
      <c r="B5590">
        <f>LOWER(TRIM(A5590))</f>
        <v/>
      </c>
      <c r="C5590">
        <f>IF(B5590="","",IFERROR(INDEX('Bad Patterns'!$A$2:$A$120,MATCH(1,INDEX(--ISNUMBER(SEARCH('Bad Patterns'!$A$2:$A$120,B5590)),0),0)),""))</f>
        <v/>
      </c>
      <c r="D5590">
        <f>IF(B5590="","",IF(C5590&lt;&gt;"","REMOVE","KEEP"))</f>
        <v/>
      </c>
      <c r="E5590">
        <f>IF(D5590&lt;&gt;"KEEP","",IF(RIGHT(B5590,10)="@gmail.com","Gmail",IF(OR(RIGHT(B5590,12)="@outlook.com",RIGHT(B5590,12)="@hotmail.com",RIGHT(B5590,9)="@live.com"),"Outlook","Domain")))</f>
        <v/>
      </c>
      <c r="F5590">
        <f>IF(B5590="","",IFERROR(RIGHT(B5590,LEN(B5590)-FIND("@",B5590)),""))</f>
        <v/>
      </c>
      <c r="G5590">
        <f>IF(D5590="KEEP",COUNTIF($D$2:D5590,"KEEP"),"")</f>
        <v/>
      </c>
      <c r="H5590">
        <f>IF(D5590="REMOVE",COUNTIF($D$2:D5590,"REMOVE"),"")</f>
        <v/>
      </c>
      <c r="I5590">
        <f>IF(E5590="Gmail",COUNTIF($E$2:E5590,"Gmail"),"")</f>
        <v/>
      </c>
      <c r="J5590">
        <f>IF(E5590="Outlook",COUNTIF($E$2:E5590,"Outlook"),"")</f>
        <v/>
      </c>
      <c r="K5590">
        <f>IF(E5590="Domain",COUNTIF($E$2:E5590,"Domain"),"")</f>
        <v/>
      </c>
    </row>
    <row r="5591">
      <c r="A5591" s="2" t="n"/>
      <c r="B5591">
        <f>LOWER(TRIM(A5591))</f>
        <v/>
      </c>
      <c r="C5591">
        <f>IF(B5591="","",IFERROR(INDEX('Bad Patterns'!$A$2:$A$120,MATCH(1,INDEX(--ISNUMBER(SEARCH('Bad Patterns'!$A$2:$A$120,B5591)),0),0)),""))</f>
        <v/>
      </c>
      <c r="D5591">
        <f>IF(B5591="","",IF(C5591&lt;&gt;"","REMOVE","KEEP"))</f>
        <v/>
      </c>
      <c r="E5591">
        <f>IF(D5591&lt;&gt;"KEEP","",IF(RIGHT(B5591,10)="@gmail.com","Gmail",IF(OR(RIGHT(B5591,12)="@outlook.com",RIGHT(B5591,12)="@hotmail.com",RIGHT(B5591,9)="@live.com"),"Outlook","Domain")))</f>
        <v/>
      </c>
      <c r="F5591">
        <f>IF(B5591="","",IFERROR(RIGHT(B5591,LEN(B5591)-FIND("@",B5591)),""))</f>
        <v/>
      </c>
      <c r="G5591">
        <f>IF(D5591="KEEP",COUNTIF($D$2:D5591,"KEEP"),"")</f>
        <v/>
      </c>
      <c r="H5591">
        <f>IF(D5591="REMOVE",COUNTIF($D$2:D5591,"REMOVE"),"")</f>
        <v/>
      </c>
      <c r="I5591">
        <f>IF(E5591="Gmail",COUNTIF($E$2:E5591,"Gmail"),"")</f>
        <v/>
      </c>
      <c r="J5591">
        <f>IF(E5591="Outlook",COUNTIF($E$2:E5591,"Outlook"),"")</f>
        <v/>
      </c>
      <c r="K5591">
        <f>IF(E5591="Domain",COUNTIF($E$2:E5591,"Domain"),"")</f>
        <v/>
      </c>
    </row>
    <row r="5592">
      <c r="A5592" s="2" t="n"/>
      <c r="B5592">
        <f>LOWER(TRIM(A5592))</f>
        <v/>
      </c>
      <c r="C5592">
        <f>IF(B5592="","",IFERROR(INDEX('Bad Patterns'!$A$2:$A$120,MATCH(1,INDEX(--ISNUMBER(SEARCH('Bad Patterns'!$A$2:$A$120,B5592)),0),0)),""))</f>
        <v/>
      </c>
      <c r="D5592">
        <f>IF(B5592="","",IF(C5592&lt;&gt;"","REMOVE","KEEP"))</f>
        <v/>
      </c>
      <c r="E5592">
        <f>IF(D5592&lt;&gt;"KEEP","",IF(RIGHT(B5592,10)="@gmail.com","Gmail",IF(OR(RIGHT(B5592,12)="@outlook.com",RIGHT(B5592,12)="@hotmail.com",RIGHT(B5592,9)="@live.com"),"Outlook","Domain")))</f>
        <v/>
      </c>
      <c r="F5592">
        <f>IF(B5592="","",IFERROR(RIGHT(B5592,LEN(B5592)-FIND("@",B5592)),""))</f>
        <v/>
      </c>
      <c r="G5592">
        <f>IF(D5592="KEEP",COUNTIF($D$2:D5592,"KEEP"),"")</f>
        <v/>
      </c>
      <c r="H5592">
        <f>IF(D5592="REMOVE",COUNTIF($D$2:D5592,"REMOVE"),"")</f>
        <v/>
      </c>
      <c r="I5592">
        <f>IF(E5592="Gmail",COUNTIF($E$2:E5592,"Gmail"),"")</f>
        <v/>
      </c>
      <c r="J5592">
        <f>IF(E5592="Outlook",COUNTIF($E$2:E5592,"Outlook"),"")</f>
        <v/>
      </c>
      <c r="K5592">
        <f>IF(E5592="Domain",COUNTIF($E$2:E5592,"Domain"),"")</f>
        <v/>
      </c>
    </row>
    <row r="5593">
      <c r="A5593" s="2" t="n"/>
      <c r="B5593">
        <f>LOWER(TRIM(A5593))</f>
        <v/>
      </c>
      <c r="C5593">
        <f>IF(B5593="","",IFERROR(INDEX('Bad Patterns'!$A$2:$A$120,MATCH(1,INDEX(--ISNUMBER(SEARCH('Bad Patterns'!$A$2:$A$120,B5593)),0),0)),""))</f>
        <v/>
      </c>
      <c r="D5593">
        <f>IF(B5593="","",IF(C5593&lt;&gt;"","REMOVE","KEEP"))</f>
        <v/>
      </c>
      <c r="E5593">
        <f>IF(D5593&lt;&gt;"KEEP","",IF(RIGHT(B5593,10)="@gmail.com","Gmail",IF(OR(RIGHT(B5593,12)="@outlook.com",RIGHT(B5593,12)="@hotmail.com",RIGHT(B5593,9)="@live.com"),"Outlook","Domain")))</f>
        <v/>
      </c>
      <c r="F5593">
        <f>IF(B5593="","",IFERROR(RIGHT(B5593,LEN(B5593)-FIND("@",B5593)),""))</f>
        <v/>
      </c>
      <c r="G5593">
        <f>IF(D5593="KEEP",COUNTIF($D$2:D5593,"KEEP"),"")</f>
        <v/>
      </c>
      <c r="H5593">
        <f>IF(D5593="REMOVE",COUNTIF($D$2:D5593,"REMOVE"),"")</f>
        <v/>
      </c>
      <c r="I5593">
        <f>IF(E5593="Gmail",COUNTIF($E$2:E5593,"Gmail"),"")</f>
        <v/>
      </c>
      <c r="J5593">
        <f>IF(E5593="Outlook",COUNTIF($E$2:E5593,"Outlook"),"")</f>
        <v/>
      </c>
      <c r="K5593">
        <f>IF(E5593="Domain",COUNTIF($E$2:E5593,"Domain"),"")</f>
        <v/>
      </c>
    </row>
    <row r="5594">
      <c r="A5594" s="2" t="n"/>
      <c r="B5594">
        <f>LOWER(TRIM(A5594))</f>
        <v/>
      </c>
      <c r="C5594">
        <f>IF(B5594="","",IFERROR(INDEX('Bad Patterns'!$A$2:$A$120,MATCH(1,INDEX(--ISNUMBER(SEARCH('Bad Patterns'!$A$2:$A$120,B5594)),0),0)),""))</f>
        <v/>
      </c>
      <c r="D5594">
        <f>IF(B5594="","",IF(C5594&lt;&gt;"","REMOVE","KEEP"))</f>
        <v/>
      </c>
      <c r="E5594">
        <f>IF(D5594&lt;&gt;"KEEP","",IF(RIGHT(B5594,10)="@gmail.com","Gmail",IF(OR(RIGHT(B5594,12)="@outlook.com",RIGHT(B5594,12)="@hotmail.com",RIGHT(B5594,9)="@live.com"),"Outlook","Domain")))</f>
        <v/>
      </c>
      <c r="F5594">
        <f>IF(B5594="","",IFERROR(RIGHT(B5594,LEN(B5594)-FIND("@",B5594)),""))</f>
        <v/>
      </c>
      <c r="G5594">
        <f>IF(D5594="KEEP",COUNTIF($D$2:D5594,"KEEP"),"")</f>
        <v/>
      </c>
      <c r="H5594">
        <f>IF(D5594="REMOVE",COUNTIF($D$2:D5594,"REMOVE"),"")</f>
        <v/>
      </c>
      <c r="I5594">
        <f>IF(E5594="Gmail",COUNTIF($E$2:E5594,"Gmail"),"")</f>
        <v/>
      </c>
      <c r="J5594">
        <f>IF(E5594="Outlook",COUNTIF($E$2:E5594,"Outlook"),"")</f>
        <v/>
      </c>
      <c r="K5594">
        <f>IF(E5594="Domain",COUNTIF($E$2:E5594,"Domain"),"")</f>
        <v/>
      </c>
    </row>
    <row r="5595">
      <c r="A5595" s="2" t="n"/>
      <c r="B5595">
        <f>LOWER(TRIM(A5595))</f>
        <v/>
      </c>
      <c r="C5595">
        <f>IF(B5595="","",IFERROR(INDEX('Bad Patterns'!$A$2:$A$120,MATCH(1,INDEX(--ISNUMBER(SEARCH('Bad Patterns'!$A$2:$A$120,B5595)),0),0)),""))</f>
        <v/>
      </c>
      <c r="D5595">
        <f>IF(B5595="","",IF(C5595&lt;&gt;"","REMOVE","KEEP"))</f>
        <v/>
      </c>
      <c r="E5595">
        <f>IF(D5595&lt;&gt;"KEEP","",IF(RIGHT(B5595,10)="@gmail.com","Gmail",IF(OR(RIGHT(B5595,12)="@outlook.com",RIGHT(B5595,12)="@hotmail.com",RIGHT(B5595,9)="@live.com"),"Outlook","Domain")))</f>
        <v/>
      </c>
      <c r="F5595">
        <f>IF(B5595="","",IFERROR(RIGHT(B5595,LEN(B5595)-FIND("@",B5595)),""))</f>
        <v/>
      </c>
      <c r="G5595">
        <f>IF(D5595="KEEP",COUNTIF($D$2:D5595,"KEEP"),"")</f>
        <v/>
      </c>
      <c r="H5595">
        <f>IF(D5595="REMOVE",COUNTIF($D$2:D5595,"REMOVE"),"")</f>
        <v/>
      </c>
      <c r="I5595">
        <f>IF(E5595="Gmail",COUNTIF($E$2:E5595,"Gmail"),"")</f>
        <v/>
      </c>
      <c r="J5595">
        <f>IF(E5595="Outlook",COUNTIF($E$2:E5595,"Outlook"),"")</f>
        <v/>
      </c>
      <c r="K5595">
        <f>IF(E5595="Domain",COUNTIF($E$2:E5595,"Domain"),"")</f>
        <v/>
      </c>
    </row>
    <row r="5596">
      <c r="A5596" s="2" t="n"/>
      <c r="B5596">
        <f>LOWER(TRIM(A5596))</f>
        <v/>
      </c>
      <c r="C5596">
        <f>IF(B5596="","",IFERROR(INDEX('Bad Patterns'!$A$2:$A$120,MATCH(1,INDEX(--ISNUMBER(SEARCH('Bad Patterns'!$A$2:$A$120,B5596)),0),0)),""))</f>
        <v/>
      </c>
      <c r="D5596">
        <f>IF(B5596="","",IF(C5596&lt;&gt;"","REMOVE","KEEP"))</f>
        <v/>
      </c>
      <c r="E5596">
        <f>IF(D5596&lt;&gt;"KEEP","",IF(RIGHT(B5596,10)="@gmail.com","Gmail",IF(OR(RIGHT(B5596,12)="@outlook.com",RIGHT(B5596,12)="@hotmail.com",RIGHT(B5596,9)="@live.com"),"Outlook","Domain")))</f>
        <v/>
      </c>
      <c r="F5596">
        <f>IF(B5596="","",IFERROR(RIGHT(B5596,LEN(B5596)-FIND("@",B5596)),""))</f>
        <v/>
      </c>
      <c r="G5596">
        <f>IF(D5596="KEEP",COUNTIF($D$2:D5596,"KEEP"),"")</f>
        <v/>
      </c>
      <c r="H5596">
        <f>IF(D5596="REMOVE",COUNTIF($D$2:D5596,"REMOVE"),"")</f>
        <v/>
      </c>
      <c r="I5596">
        <f>IF(E5596="Gmail",COUNTIF($E$2:E5596,"Gmail"),"")</f>
        <v/>
      </c>
      <c r="J5596">
        <f>IF(E5596="Outlook",COUNTIF($E$2:E5596,"Outlook"),"")</f>
        <v/>
      </c>
      <c r="K5596">
        <f>IF(E5596="Domain",COUNTIF($E$2:E5596,"Domain"),"")</f>
        <v/>
      </c>
    </row>
    <row r="5597">
      <c r="A5597" s="2" t="n"/>
      <c r="B5597">
        <f>LOWER(TRIM(A5597))</f>
        <v/>
      </c>
      <c r="C5597">
        <f>IF(B5597="","",IFERROR(INDEX('Bad Patterns'!$A$2:$A$120,MATCH(1,INDEX(--ISNUMBER(SEARCH('Bad Patterns'!$A$2:$A$120,B5597)),0),0)),""))</f>
        <v/>
      </c>
      <c r="D5597">
        <f>IF(B5597="","",IF(C5597&lt;&gt;"","REMOVE","KEEP"))</f>
        <v/>
      </c>
      <c r="E5597">
        <f>IF(D5597&lt;&gt;"KEEP","",IF(RIGHT(B5597,10)="@gmail.com","Gmail",IF(OR(RIGHT(B5597,12)="@outlook.com",RIGHT(B5597,12)="@hotmail.com",RIGHT(B5597,9)="@live.com"),"Outlook","Domain")))</f>
        <v/>
      </c>
      <c r="F5597">
        <f>IF(B5597="","",IFERROR(RIGHT(B5597,LEN(B5597)-FIND("@",B5597)),""))</f>
        <v/>
      </c>
      <c r="G5597">
        <f>IF(D5597="KEEP",COUNTIF($D$2:D5597,"KEEP"),"")</f>
        <v/>
      </c>
      <c r="H5597">
        <f>IF(D5597="REMOVE",COUNTIF($D$2:D5597,"REMOVE"),"")</f>
        <v/>
      </c>
      <c r="I5597">
        <f>IF(E5597="Gmail",COUNTIF($E$2:E5597,"Gmail"),"")</f>
        <v/>
      </c>
      <c r="J5597">
        <f>IF(E5597="Outlook",COUNTIF($E$2:E5597,"Outlook"),"")</f>
        <v/>
      </c>
      <c r="K5597">
        <f>IF(E5597="Domain",COUNTIF($E$2:E5597,"Domain"),"")</f>
        <v/>
      </c>
    </row>
    <row r="5598">
      <c r="A5598" s="2" t="n"/>
      <c r="B5598">
        <f>LOWER(TRIM(A5598))</f>
        <v/>
      </c>
      <c r="C5598">
        <f>IF(B5598="","",IFERROR(INDEX('Bad Patterns'!$A$2:$A$120,MATCH(1,INDEX(--ISNUMBER(SEARCH('Bad Patterns'!$A$2:$A$120,B5598)),0),0)),""))</f>
        <v/>
      </c>
      <c r="D5598">
        <f>IF(B5598="","",IF(C5598&lt;&gt;"","REMOVE","KEEP"))</f>
        <v/>
      </c>
      <c r="E5598">
        <f>IF(D5598&lt;&gt;"KEEP","",IF(RIGHT(B5598,10)="@gmail.com","Gmail",IF(OR(RIGHT(B5598,12)="@outlook.com",RIGHT(B5598,12)="@hotmail.com",RIGHT(B5598,9)="@live.com"),"Outlook","Domain")))</f>
        <v/>
      </c>
      <c r="F5598">
        <f>IF(B5598="","",IFERROR(RIGHT(B5598,LEN(B5598)-FIND("@",B5598)),""))</f>
        <v/>
      </c>
      <c r="G5598">
        <f>IF(D5598="KEEP",COUNTIF($D$2:D5598,"KEEP"),"")</f>
        <v/>
      </c>
      <c r="H5598">
        <f>IF(D5598="REMOVE",COUNTIF($D$2:D5598,"REMOVE"),"")</f>
        <v/>
      </c>
      <c r="I5598">
        <f>IF(E5598="Gmail",COUNTIF($E$2:E5598,"Gmail"),"")</f>
        <v/>
      </c>
      <c r="J5598">
        <f>IF(E5598="Outlook",COUNTIF($E$2:E5598,"Outlook"),"")</f>
        <v/>
      </c>
      <c r="K5598">
        <f>IF(E5598="Domain",COUNTIF($E$2:E5598,"Domain"),"")</f>
        <v/>
      </c>
    </row>
    <row r="5599">
      <c r="A5599" s="2" t="n"/>
      <c r="B5599">
        <f>LOWER(TRIM(A5599))</f>
        <v/>
      </c>
      <c r="C5599">
        <f>IF(B5599="","",IFERROR(INDEX('Bad Patterns'!$A$2:$A$120,MATCH(1,INDEX(--ISNUMBER(SEARCH('Bad Patterns'!$A$2:$A$120,B5599)),0),0)),""))</f>
        <v/>
      </c>
      <c r="D5599">
        <f>IF(B5599="","",IF(C5599&lt;&gt;"","REMOVE","KEEP"))</f>
        <v/>
      </c>
      <c r="E5599">
        <f>IF(D5599&lt;&gt;"KEEP","",IF(RIGHT(B5599,10)="@gmail.com","Gmail",IF(OR(RIGHT(B5599,12)="@outlook.com",RIGHT(B5599,12)="@hotmail.com",RIGHT(B5599,9)="@live.com"),"Outlook","Domain")))</f>
        <v/>
      </c>
      <c r="F5599">
        <f>IF(B5599="","",IFERROR(RIGHT(B5599,LEN(B5599)-FIND("@",B5599)),""))</f>
        <v/>
      </c>
      <c r="G5599">
        <f>IF(D5599="KEEP",COUNTIF($D$2:D5599,"KEEP"),"")</f>
        <v/>
      </c>
      <c r="H5599">
        <f>IF(D5599="REMOVE",COUNTIF($D$2:D5599,"REMOVE"),"")</f>
        <v/>
      </c>
      <c r="I5599">
        <f>IF(E5599="Gmail",COUNTIF($E$2:E5599,"Gmail"),"")</f>
        <v/>
      </c>
      <c r="J5599">
        <f>IF(E5599="Outlook",COUNTIF($E$2:E5599,"Outlook"),"")</f>
        <v/>
      </c>
      <c r="K5599">
        <f>IF(E5599="Domain",COUNTIF($E$2:E5599,"Domain"),"")</f>
        <v/>
      </c>
    </row>
    <row r="5600">
      <c r="A5600" s="2" t="n"/>
      <c r="B5600">
        <f>LOWER(TRIM(A5600))</f>
        <v/>
      </c>
      <c r="C5600">
        <f>IF(B5600="","",IFERROR(INDEX('Bad Patterns'!$A$2:$A$120,MATCH(1,INDEX(--ISNUMBER(SEARCH('Bad Patterns'!$A$2:$A$120,B5600)),0),0)),""))</f>
        <v/>
      </c>
      <c r="D5600">
        <f>IF(B5600="","",IF(C5600&lt;&gt;"","REMOVE","KEEP"))</f>
        <v/>
      </c>
      <c r="E5600">
        <f>IF(D5600&lt;&gt;"KEEP","",IF(RIGHT(B5600,10)="@gmail.com","Gmail",IF(OR(RIGHT(B5600,12)="@outlook.com",RIGHT(B5600,12)="@hotmail.com",RIGHT(B5600,9)="@live.com"),"Outlook","Domain")))</f>
        <v/>
      </c>
      <c r="F5600">
        <f>IF(B5600="","",IFERROR(RIGHT(B5600,LEN(B5600)-FIND("@",B5600)),""))</f>
        <v/>
      </c>
      <c r="G5600">
        <f>IF(D5600="KEEP",COUNTIF($D$2:D5600,"KEEP"),"")</f>
        <v/>
      </c>
      <c r="H5600">
        <f>IF(D5600="REMOVE",COUNTIF($D$2:D5600,"REMOVE"),"")</f>
        <v/>
      </c>
      <c r="I5600">
        <f>IF(E5600="Gmail",COUNTIF($E$2:E5600,"Gmail"),"")</f>
        <v/>
      </c>
      <c r="J5600">
        <f>IF(E5600="Outlook",COUNTIF($E$2:E5600,"Outlook"),"")</f>
        <v/>
      </c>
      <c r="K5600">
        <f>IF(E5600="Domain",COUNTIF($E$2:E5600,"Domain"),"")</f>
        <v/>
      </c>
    </row>
    <row r="5601">
      <c r="A5601" s="2" t="n"/>
      <c r="B5601">
        <f>LOWER(TRIM(A5601))</f>
        <v/>
      </c>
      <c r="C5601">
        <f>IF(B5601="","",IFERROR(INDEX('Bad Patterns'!$A$2:$A$120,MATCH(1,INDEX(--ISNUMBER(SEARCH('Bad Patterns'!$A$2:$A$120,B5601)),0),0)),""))</f>
        <v/>
      </c>
      <c r="D5601">
        <f>IF(B5601="","",IF(C5601&lt;&gt;"","REMOVE","KEEP"))</f>
        <v/>
      </c>
      <c r="E5601">
        <f>IF(D5601&lt;&gt;"KEEP","",IF(RIGHT(B5601,10)="@gmail.com","Gmail",IF(OR(RIGHT(B5601,12)="@outlook.com",RIGHT(B5601,12)="@hotmail.com",RIGHT(B5601,9)="@live.com"),"Outlook","Domain")))</f>
        <v/>
      </c>
      <c r="F5601">
        <f>IF(B5601="","",IFERROR(RIGHT(B5601,LEN(B5601)-FIND("@",B5601)),""))</f>
        <v/>
      </c>
      <c r="G5601">
        <f>IF(D5601="KEEP",COUNTIF($D$2:D5601,"KEEP"),"")</f>
        <v/>
      </c>
      <c r="H5601">
        <f>IF(D5601="REMOVE",COUNTIF($D$2:D5601,"REMOVE"),"")</f>
        <v/>
      </c>
      <c r="I5601">
        <f>IF(E5601="Gmail",COUNTIF($E$2:E5601,"Gmail"),"")</f>
        <v/>
      </c>
      <c r="J5601">
        <f>IF(E5601="Outlook",COUNTIF($E$2:E5601,"Outlook"),"")</f>
        <v/>
      </c>
      <c r="K5601">
        <f>IF(E5601="Domain",COUNTIF($E$2:E5601,"Domain"),"")</f>
        <v/>
      </c>
    </row>
    <row r="5602">
      <c r="A5602" s="2" t="n"/>
      <c r="B5602">
        <f>LOWER(TRIM(A5602))</f>
        <v/>
      </c>
      <c r="C5602">
        <f>IF(B5602="","",IFERROR(INDEX('Bad Patterns'!$A$2:$A$120,MATCH(1,INDEX(--ISNUMBER(SEARCH('Bad Patterns'!$A$2:$A$120,B5602)),0),0)),""))</f>
        <v/>
      </c>
      <c r="D5602">
        <f>IF(B5602="","",IF(C5602&lt;&gt;"","REMOVE","KEEP"))</f>
        <v/>
      </c>
      <c r="E5602">
        <f>IF(D5602&lt;&gt;"KEEP","",IF(RIGHT(B5602,10)="@gmail.com","Gmail",IF(OR(RIGHT(B5602,12)="@outlook.com",RIGHT(B5602,12)="@hotmail.com",RIGHT(B5602,9)="@live.com"),"Outlook","Domain")))</f>
        <v/>
      </c>
      <c r="F5602">
        <f>IF(B5602="","",IFERROR(RIGHT(B5602,LEN(B5602)-FIND("@",B5602)),""))</f>
        <v/>
      </c>
      <c r="G5602">
        <f>IF(D5602="KEEP",COUNTIF($D$2:D5602,"KEEP"),"")</f>
        <v/>
      </c>
      <c r="H5602">
        <f>IF(D5602="REMOVE",COUNTIF($D$2:D5602,"REMOVE"),"")</f>
        <v/>
      </c>
      <c r="I5602">
        <f>IF(E5602="Gmail",COUNTIF($E$2:E5602,"Gmail"),"")</f>
        <v/>
      </c>
      <c r="J5602">
        <f>IF(E5602="Outlook",COUNTIF($E$2:E5602,"Outlook"),"")</f>
        <v/>
      </c>
      <c r="K5602">
        <f>IF(E5602="Domain",COUNTIF($E$2:E5602,"Domain"),"")</f>
        <v/>
      </c>
    </row>
    <row r="5603">
      <c r="A5603" s="2" t="n"/>
      <c r="B5603">
        <f>LOWER(TRIM(A5603))</f>
        <v/>
      </c>
      <c r="C5603">
        <f>IF(B5603="","",IFERROR(INDEX('Bad Patterns'!$A$2:$A$120,MATCH(1,INDEX(--ISNUMBER(SEARCH('Bad Patterns'!$A$2:$A$120,B5603)),0),0)),""))</f>
        <v/>
      </c>
      <c r="D5603">
        <f>IF(B5603="","",IF(C5603&lt;&gt;"","REMOVE","KEEP"))</f>
        <v/>
      </c>
      <c r="E5603">
        <f>IF(D5603&lt;&gt;"KEEP","",IF(RIGHT(B5603,10)="@gmail.com","Gmail",IF(OR(RIGHT(B5603,12)="@outlook.com",RIGHT(B5603,12)="@hotmail.com",RIGHT(B5603,9)="@live.com"),"Outlook","Domain")))</f>
        <v/>
      </c>
      <c r="F5603">
        <f>IF(B5603="","",IFERROR(RIGHT(B5603,LEN(B5603)-FIND("@",B5603)),""))</f>
        <v/>
      </c>
      <c r="G5603">
        <f>IF(D5603="KEEP",COUNTIF($D$2:D5603,"KEEP"),"")</f>
        <v/>
      </c>
      <c r="H5603">
        <f>IF(D5603="REMOVE",COUNTIF($D$2:D5603,"REMOVE"),"")</f>
        <v/>
      </c>
      <c r="I5603">
        <f>IF(E5603="Gmail",COUNTIF($E$2:E5603,"Gmail"),"")</f>
        <v/>
      </c>
      <c r="J5603">
        <f>IF(E5603="Outlook",COUNTIF($E$2:E5603,"Outlook"),"")</f>
        <v/>
      </c>
      <c r="K5603">
        <f>IF(E5603="Domain",COUNTIF($E$2:E5603,"Domain"),"")</f>
        <v/>
      </c>
    </row>
    <row r="5604">
      <c r="A5604" s="2" t="n"/>
      <c r="B5604">
        <f>LOWER(TRIM(A5604))</f>
        <v/>
      </c>
      <c r="C5604">
        <f>IF(B5604="","",IFERROR(INDEX('Bad Patterns'!$A$2:$A$120,MATCH(1,INDEX(--ISNUMBER(SEARCH('Bad Patterns'!$A$2:$A$120,B5604)),0),0)),""))</f>
        <v/>
      </c>
      <c r="D5604">
        <f>IF(B5604="","",IF(C5604&lt;&gt;"","REMOVE","KEEP"))</f>
        <v/>
      </c>
      <c r="E5604">
        <f>IF(D5604&lt;&gt;"KEEP","",IF(RIGHT(B5604,10)="@gmail.com","Gmail",IF(OR(RIGHT(B5604,12)="@outlook.com",RIGHT(B5604,12)="@hotmail.com",RIGHT(B5604,9)="@live.com"),"Outlook","Domain")))</f>
        <v/>
      </c>
      <c r="F5604">
        <f>IF(B5604="","",IFERROR(RIGHT(B5604,LEN(B5604)-FIND("@",B5604)),""))</f>
        <v/>
      </c>
      <c r="G5604">
        <f>IF(D5604="KEEP",COUNTIF($D$2:D5604,"KEEP"),"")</f>
        <v/>
      </c>
      <c r="H5604">
        <f>IF(D5604="REMOVE",COUNTIF($D$2:D5604,"REMOVE"),"")</f>
        <v/>
      </c>
      <c r="I5604">
        <f>IF(E5604="Gmail",COUNTIF($E$2:E5604,"Gmail"),"")</f>
        <v/>
      </c>
      <c r="J5604">
        <f>IF(E5604="Outlook",COUNTIF($E$2:E5604,"Outlook"),"")</f>
        <v/>
      </c>
      <c r="K5604">
        <f>IF(E5604="Domain",COUNTIF($E$2:E5604,"Domain"),"")</f>
        <v/>
      </c>
    </row>
    <row r="5605">
      <c r="A5605" s="2" t="n"/>
      <c r="B5605">
        <f>LOWER(TRIM(A5605))</f>
        <v/>
      </c>
      <c r="C5605">
        <f>IF(B5605="","",IFERROR(INDEX('Bad Patterns'!$A$2:$A$120,MATCH(1,INDEX(--ISNUMBER(SEARCH('Bad Patterns'!$A$2:$A$120,B5605)),0),0)),""))</f>
        <v/>
      </c>
      <c r="D5605">
        <f>IF(B5605="","",IF(C5605&lt;&gt;"","REMOVE","KEEP"))</f>
        <v/>
      </c>
      <c r="E5605">
        <f>IF(D5605&lt;&gt;"KEEP","",IF(RIGHT(B5605,10)="@gmail.com","Gmail",IF(OR(RIGHT(B5605,12)="@outlook.com",RIGHT(B5605,12)="@hotmail.com",RIGHT(B5605,9)="@live.com"),"Outlook","Domain")))</f>
        <v/>
      </c>
      <c r="F5605">
        <f>IF(B5605="","",IFERROR(RIGHT(B5605,LEN(B5605)-FIND("@",B5605)),""))</f>
        <v/>
      </c>
      <c r="G5605">
        <f>IF(D5605="KEEP",COUNTIF($D$2:D5605,"KEEP"),"")</f>
        <v/>
      </c>
      <c r="H5605">
        <f>IF(D5605="REMOVE",COUNTIF($D$2:D5605,"REMOVE"),"")</f>
        <v/>
      </c>
      <c r="I5605">
        <f>IF(E5605="Gmail",COUNTIF($E$2:E5605,"Gmail"),"")</f>
        <v/>
      </c>
      <c r="J5605">
        <f>IF(E5605="Outlook",COUNTIF($E$2:E5605,"Outlook"),"")</f>
        <v/>
      </c>
      <c r="K5605">
        <f>IF(E5605="Domain",COUNTIF($E$2:E5605,"Domain"),"")</f>
        <v/>
      </c>
    </row>
    <row r="5606">
      <c r="A5606" s="2" t="n"/>
      <c r="B5606">
        <f>LOWER(TRIM(A5606))</f>
        <v/>
      </c>
      <c r="C5606">
        <f>IF(B5606="","",IFERROR(INDEX('Bad Patterns'!$A$2:$A$120,MATCH(1,INDEX(--ISNUMBER(SEARCH('Bad Patterns'!$A$2:$A$120,B5606)),0),0)),""))</f>
        <v/>
      </c>
      <c r="D5606">
        <f>IF(B5606="","",IF(C5606&lt;&gt;"","REMOVE","KEEP"))</f>
        <v/>
      </c>
      <c r="E5606">
        <f>IF(D5606&lt;&gt;"KEEP","",IF(RIGHT(B5606,10)="@gmail.com","Gmail",IF(OR(RIGHT(B5606,12)="@outlook.com",RIGHT(B5606,12)="@hotmail.com",RIGHT(B5606,9)="@live.com"),"Outlook","Domain")))</f>
        <v/>
      </c>
      <c r="F5606">
        <f>IF(B5606="","",IFERROR(RIGHT(B5606,LEN(B5606)-FIND("@",B5606)),""))</f>
        <v/>
      </c>
      <c r="G5606">
        <f>IF(D5606="KEEP",COUNTIF($D$2:D5606,"KEEP"),"")</f>
        <v/>
      </c>
      <c r="H5606">
        <f>IF(D5606="REMOVE",COUNTIF($D$2:D5606,"REMOVE"),"")</f>
        <v/>
      </c>
      <c r="I5606">
        <f>IF(E5606="Gmail",COUNTIF($E$2:E5606,"Gmail"),"")</f>
        <v/>
      </c>
      <c r="J5606">
        <f>IF(E5606="Outlook",COUNTIF($E$2:E5606,"Outlook"),"")</f>
        <v/>
      </c>
      <c r="K5606">
        <f>IF(E5606="Domain",COUNTIF($E$2:E5606,"Domain"),"")</f>
        <v/>
      </c>
    </row>
    <row r="5607">
      <c r="A5607" s="2" t="n"/>
      <c r="B5607">
        <f>LOWER(TRIM(A5607))</f>
        <v/>
      </c>
      <c r="C5607">
        <f>IF(B5607="","",IFERROR(INDEX('Bad Patterns'!$A$2:$A$120,MATCH(1,INDEX(--ISNUMBER(SEARCH('Bad Patterns'!$A$2:$A$120,B5607)),0),0)),""))</f>
        <v/>
      </c>
      <c r="D5607">
        <f>IF(B5607="","",IF(C5607&lt;&gt;"","REMOVE","KEEP"))</f>
        <v/>
      </c>
      <c r="E5607">
        <f>IF(D5607&lt;&gt;"KEEP","",IF(RIGHT(B5607,10)="@gmail.com","Gmail",IF(OR(RIGHT(B5607,12)="@outlook.com",RIGHT(B5607,12)="@hotmail.com",RIGHT(B5607,9)="@live.com"),"Outlook","Domain")))</f>
        <v/>
      </c>
      <c r="F5607">
        <f>IF(B5607="","",IFERROR(RIGHT(B5607,LEN(B5607)-FIND("@",B5607)),""))</f>
        <v/>
      </c>
      <c r="G5607">
        <f>IF(D5607="KEEP",COUNTIF($D$2:D5607,"KEEP"),"")</f>
        <v/>
      </c>
      <c r="H5607">
        <f>IF(D5607="REMOVE",COUNTIF($D$2:D5607,"REMOVE"),"")</f>
        <v/>
      </c>
      <c r="I5607">
        <f>IF(E5607="Gmail",COUNTIF($E$2:E5607,"Gmail"),"")</f>
        <v/>
      </c>
      <c r="J5607">
        <f>IF(E5607="Outlook",COUNTIF($E$2:E5607,"Outlook"),"")</f>
        <v/>
      </c>
      <c r="K5607">
        <f>IF(E5607="Domain",COUNTIF($E$2:E5607,"Domain"),"")</f>
        <v/>
      </c>
    </row>
    <row r="5608">
      <c r="A5608" s="2" t="n"/>
      <c r="B5608">
        <f>LOWER(TRIM(A5608))</f>
        <v/>
      </c>
      <c r="C5608">
        <f>IF(B5608="","",IFERROR(INDEX('Bad Patterns'!$A$2:$A$120,MATCH(1,INDEX(--ISNUMBER(SEARCH('Bad Patterns'!$A$2:$A$120,B5608)),0),0)),""))</f>
        <v/>
      </c>
      <c r="D5608">
        <f>IF(B5608="","",IF(C5608&lt;&gt;"","REMOVE","KEEP"))</f>
        <v/>
      </c>
      <c r="E5608">
        <f>IF(D5608&lt;&gt;"KEEP","",IF(RIGHT(B5608,10)="@gmail.com","Gmail",IF(OR(RIGHT(B5608,12)="@outlook.com",RIGHT(B5608,12)="@hotmail.com",RIGHT(B5608,9)="@live.com"),"Outlook","Domain")))</f>
        <v/>
      </c>
      <c r="F5608">
        <f>IF(B5608="","",IFERROR(RIGHT(B5608,LEN(B5608)-FIND("@",B5608)),""))</f>
        <v/>
      </c>
      <c r="G5608">
        <f>IF(D5608="KEEP",COUNTIF($D$2:D5608,"KEEP"),"")</f>
        <v/>
      </c>
      <c r="H5608">
        <f>IF(D5608="REMOVE",COUNTIF($D$2:D5608,"REMOVE"),"")</f>
        <v/>
      </c>
      <c r="I5608">
        <f>IF(E5608="Gmail",COUNTIF($E$2:E5608,"Gmail"),"")</f>
        <v/>
      </c>
      <c r="J5608">
        <f>IF(E5608="Outlook",COUNTIF($E$2:E5608,"Outlook"),"")</f>
        <v/>
      </c>
      <c r="K5608">
        <f>IF(E5608="Domain",COUNTIF($E$2:E5608,"Domain"),"")</f>
        <v/>
      </c>
    </row>
    <row r="5609">
      <c r="A5609" s="2" t="n"/>
      <c r="B5609">
        <f>LOWER(TRIM(A5609))</f>
        <v/>
      </c>
      <c r="C5609">
        <f>IF(B5609="","",IFERROR(INDEX('Bad Patterns'!$A$2:$A$120,MATCH(1,INDEX(--ISNUMBER(SEARCH('Bad Patterns'!$A$2:$A$120,B5609)),0),0)),""))</f>
        <v/>
      </c>
      <c r="D5609">
        <f>IF(B5609="","",IF(C5609&lt;&gt;"","REMOVE","KEEP"))</f>
        <v/>
      </c>
      <c r="E5609">
        <f>IF(D5609&lt;&gt;"KEEP","",IF(RIGHT(B5609,10)="@gmail.com","Gmail",IF(OR(RIGHT(B5609,12)="@outlook.com",RIGHT(B5609,12)="@hotmail.com",RIGHT(B5609,9)="@live.com"),"Outlook","Domain")))</f>
        <v/>
      </c>
      <c r="F5609">
        <f>IF(B5609="","",IFERROR(RIGHT(B5609,LEN(B5609)-FIND("@",B5609)),""))</f>
        <v/>
      </c>
      <c r="G5609">
        <f>IF(D5609="KEEP",COUNTIF($D$2:D5609,"KEEP"),"")</f>
        <v/>
      </c>
      <c r="H5609">
        <f>IF(D5609="REMOVE",COUNTIF($D$2:D5609,"REMOVE"),"")</f>
        <v/>
      </c>
      <c r="I5609">
        <f>IF(E5609="Gmail",COUNTIF($E$2:E5609,"Gmail"),"")</f>
        <v/>
      </c>
      <c r="J5609">
        <f>IF(E5609="Outlook",COUNTIF($E$2:E5609,"Outlook"),"")</f>
        <v/>
      </c>
      <c r="K5609">
        <f>IF(E5609="Domain",COUNTIF($E$2:E5609,"Domain"),"")</f>
        <v/>
      </c>
    </row>
    <row r="5610">
      <c r="A5610" s="2" t="n"/>
      <c r="B5610">
        <f>LOWER(TRIM(A5610))</f>
        <v/>
      </c>
      <c r="C5610">
        <f>IF(B5610="","",IFERROR(INDEX('Bad Patterns'!$A$2:$A$120,MATCH(1,INDEX(--ISNUMBER(SEARCH('Bad Patterns'!$A$2:$A$120,B5610)),0),0)),""))</f>
        <v/>
      </c>
      <c r="D5610">
        <f>IF(B5610="","",IF(C5610&lt;&gt;"","REMOVE","KEEP"))</f>
        <v/>
      </c>
      <c r="E5610">
        <f>IF(D5610&lt;&gt;"KEEP","",IF(RIGHT(B5610,10)="@gmail.com","Gmail",IF(OR(RIGHT(B5610,12)="@outlook.com",RIGHT(B5610,12)="@hotmail.com",RIGHT(B5610,9)="@live.com"),"Outlook","Domain")))</f>
        <v/>
      </c>
      <c r="F5610">
        <f>IF(B5610="","",IFERROR(RIGHT(B5610,LEN(B5610)-FIND("@",B5610)),""))</f>
        <v/>
      </c>
      <c r="G5610">
        <f>IF(D5610="KEEP",COUNTIF($D$2:D5610,"KEEP"),"")</f>
        <v/>
      </c>
      <c r="H5610">
        <f>IF(D5610="REMOVE",COUNTIF($D$2:D5610,"REMOVE"),"")</f>
        <v/>
      </c>
      <c r="I5610">
        <f>IF(E5610="Gmail",COUNTIF($E$2:E5610,"Gmail"),"")</f>
        <v/>
      </c>
      <c r="J5610">
        <f>IF(E5610="Outlook",COUNTIF($E$2:E5610,"Outlook"),"")</f>
        <v/>
      </c>
      <c r="K5610">
        <f>IF(E5610="Domain",COUNTIF($E$2:E5610,"Domain"),"")</f>
        <v/>
      </c>
    </row>
    <row r="5611">
      <c r="A5611" s="2" t="n"/>
      <c r="B5611">
        <f>LOWER(TRIM(A5611))</f>
        <v/>
      </c>
      <c r="C5611">
        <f>IF(B5611="","",IFERROR(INDEX('Bad Patterns'!$A$2:$A$120,MATCH(1,INDEX(--ISNUMBER(SEARCH('Bad Patterns'!$A$2:$A$120,B5611)),0),0)),""))</f>
        <v/>
      </c>
      <c r="D5611">
        <f>IF(B5611="","",IF(C5611&lt;&gt;"","REMOVE","KEEP"))</f>
        <v/>
      </c>
      <c r="E5611">
        <f>IF(D5611&lt;&gt;"KEEP","",IF(RIGHT(B5611,10)="@gmail.com","Gmail",IF(OR(RIGHT(B5611,12)="@outlook.com",RIGHT(B5611,12)="@hotmail.com",RIGHT(B5611,9)="@live.com"),"Outlook","Domain")))</f>
        <v/>
      </c>
      <c r="F5611">
        <f>IF(B5611="","",IFERROR(RIGHT(B5611,LEN(B5611)-FIND("@",B5611)),""))</f>
        <v/>
      </c>
      <c r="G5611">
        <f>IF(D5611="KEEP",COUNTIF($D$2:D5611,"KEEP"),"")</f>
        <v/>
      </c>
      <c r="H5611">
        <f>IF(D5611="REMOVE",COUNTIF($D$2:D5611,"REMOVE"),"")</f>
        <v/>
      </c>
      <c r="I5611">
        <f>IF(E5611="Gmail",COUNTIF($E$2:E5611,"Gmail"),"")</f>
        <v/>
      </c>
      <c r="J5611">
        <f>IF(E5611="Outlook",COUNTIF($E$2:E5611,"Outlook"),"")</f>
        <v/>
      </c>
      <c r="K5611">
        <f>IF(E5611="Domain",COUNTIF($E$2:E5611,"Domain"),"")</f>
        <v/>
      </c>
    </row>
    <row r="5612">
      <c r="A5612" s="2" t="n"/>
      <c r="B5612">
        <f>LOWER(TRIM(A5612))</f>
        <v/>
      </c>
      <c r="C5612">
        <f>IF(B5612="","",IFERROR(INDEX('Bad Patterns'!$A$2:$A$120,MATCH(1,INDEX(--ISNUMBER(SEARCH('Bad Patterns'!$A$2:$A$120,B5612)),0),0)),""))</f>
        <v/>
      </c>
      <c r="D5612">
        <f>IF(B5612="","",IF(C5612&lt;&gt;"","REMOVE","KEEP"))</f>
        <v/>
      </c>
      <c r="E5612">
        <f>IF(D5612&lt;&gt;"KEEP","",IF(RIGHT(B5612,10)="@gmail.com","Gmail",IF(OR(RIGHT(B5612,12)="@outlook.com",RIGHT(B5612,12)="@hotmail.com",RIGHT(B5612,9)="@live.com"),"Outlook","Domain")))</f>
        <v/>
      </c>
      <c r="F5612">
        <f>IF(B5612="","",IFERROR(RIGHT(B5612,LEN(B5612)-FIND("@",B5612)),""))</f>
        <v/>
      </c>
      <c r="G5612">
        <f>IF(D5612="KEEP",COUNTIF($D$2:D5612,"KEEP"),"")</f>
        <v/>
      </c>
      <c r="H5612">
        <f>IF(D5612="REMOVE",COUNTIF($D$2:D5612,"REMOVE"),"")</f>
        <v/>
      </c>
      <c r="I5612">
        <f>IF(E5612="Gmail",COUNTIF($E$2:E5612,"Gmail"),"")</f>
        <v/>
      </c>
      <c r="J5612">
        <f>IF(E5612="Outlook",COUNTIF($E$2:E5612,"Outlook"),"")</f>
        <v/>
      </c>
      <c r="K5612">
        <f>IF(E5612="Domain",COUNTIF($E$2:E5612,"Domain"),"")</f>
        <v/>
      </c>
    </row>
    <row r="5613">
      <c r="A5613" s="2" t="n"/>
      <c r="B5613">
        <f>LOWER(TRIM(A5613))</f>
        <v/>
      </c>
      <c r="C5613">
        <f>IF(B5613="","",IFERROR(INDEX('Bad Patterns'!$A$2:$A$120,MATCH(1,INDEX(--ISNUMBER(SEARCH('Bad Patterns'!$A$2:$A$120,B5613)),0),0)),""))</f>
        <v/>
      </c>
      <c r="D5613">
        <f>IF(B5613="","",IF(C5613&lt;&gt;"","REMOVE","KEEP"))</f>
        <v/>
      </c>
      <c r="E5613">
        <f>IF(D5613&lt;&gt;"KEEP","",IF(RIGHT(B5613,10)="@gmail.com","Gmail",IF(OR(RIGHT(B5613,12)="@outlook.com",RIGHT(B5613,12)="@hotmail.com",RIGHT(B5613,9)="@live.com"),"Outlook","Domain")))</f>
        <v/>
      </c>
      <c r="F5613">
        <f>IF(B5613="","",IFERROR(RIGHT(B5613,LEN(B5613)-FIND("@",B5613)),""))</f>
        <v/>
      </c>
      <c r="G5613">
        <f>IF(D5613="KEEP",COUNTIF($D$2:D5613,"KEEP"),"")</f>
        <v/>
      </c>
      <c r="H5613">
        <f>IF(D5613="REMOVE",COUNTIF($D$2:D5613,"REMOVE"),"")</f>
        <v/>
      </c>
      <c r="I5613">
        <f>IF(E5613="Gmail",COUNTIF($E$2:E5613,"Gmail"),"")</f>
        <v/>
      </c>
      <c r="J5613">
        <f>IF(E5613="Outlook",COUNTIF($E$2:E5613,"Outlook"),"")</f>
        <v/>
      </c>
      <c r="K5613">
        <f>IF(E5613="Domain",COUNTIF($E$2:E5613,"Domain"),"")</f>
        <v/>
      </c>
    </row>
    <row r="5614">
      <c r="A5614" s="2" t="n"/>
      <c r="B5614">
        <f>LOWER(TRIM(A5614))</f>
        <v/>
      </c>
      <c r="C5614">
        <f>IF(B5614="","",IFERROR(INDEX('Bad Patterns'!$A$2:$A$120,MATCH(1,INDEX(--ISNUMBER(SEARCH('Bad Patterns'!$A$2:$A$120,B5614)),0),0)),""))</f>
        <v/>
      </c>
      <c r="D5614">
        <f>IF(B5614="","",IF(C5614&lt;&gt;"","REMOVE","KEEP"))</f>
        <v/>
      </c>
      <c r="E5614">
        <f>IF(D5614&lt;&gt;"KEEP","",IF(RIGHT(B5614,10)="@gmail.com","Gmail",IF(OR(RIGHT(B5614,12)="@outlook.com",RIGHT(B5614,12)="@hotmail.com",RIGHT(B5614,9)="@live.com"),"Outlook","Domain")))</f>
        <v/>
      </c>
      <c r="F5614">
        <f>IF(B5614="","",IFERROR(RIGHT(B5614,LEN(B5614)-FIND("@",B5614)),""))</f>
        <v/>
      </c>
      <c r="G5614">
        <f>IF(D5614="KEEP",COUNTIF($D$2:D5614,"KEEP"),"")</f>
        <v/>
      </c>
      <c r="H5614">
        <f>IF(D5614="REMOVE",COUNTIF($D$2:D5614,"REMOVE"),"")</f>
        <v/>
      </c>
      <c r="I5614">
        <f>IF(E5614="Gmail",COUNTIF($E$2:E5614,"Gmail"),"")</f>
        <v/>
      </c>
      <c r="J5614">
        <f>IF(E5614="Outlook",COUNTIF($E$2:E5614,"Outlook"),"")</f>
        <v/>
      </c>
      <c r="K5614">
        <f>IF(E5614="Domain",COUNTIF($E$2:E5614,"Domain"),"")</f>
        <v/>
      </c>
    </row>
    <row r="5615">
      <c r="A5615" s="2" t="n"/>
      <c r="B5615">
        <f>LOWER(TRIM(A5615))</f>
        <v/>
      </c>
      <c r="C5615">
        <f>IF(B5615="","",IFERROR(INDEX('Bad Patterns'!$A$2:$A$120,MATCH(1,INDEX(--ISNUMBER(SEARCH('Bad Patterns'!$A$2:$A$120,B5615)),0),0)),""))</f>
        <v/>
      </c>
      <c r="D5615">
        <f>IF(B5615="","",IF(C5615&lt;&gt;"","REMOVE","KEEP"))</f>
        <v/>
      </c>
      <c r="E5615">
        <f>IF(D5615&lt;&gt;"KEEP","",IF(RIGHT(B5615,10)="@gmail.com","Gmail",IF(OR(RIGHT(B5615,12)="@outlook.com",RIGHT(B5615,12)="@hotmail.com",RIGHT(B5615,9)="@live.com"),"Outlook","Domain")))</f>
        <v/>
      </c>
      <c r="F5615">
        <f>IF(B5615="","",IFERROR(RIGHT(B5615,LEN(B5615)-FIND("@",B5615)),""))</f>
        <v/>
      </c>
      <c r="G5615">
        <f>IF(D5615="KEEP",COUNTIF($D$2:D5615,"KEEP"),"")</f>
        <v/>
      </c>
      <c r="H5615">
        <f>IF(D5615="REMOVE",COUNTIF($D$2:D5615,"REMOVE"),"")</f>
        <v/>
      </c>
      <c r="I5615">
        <f>IF(E5615="Gmail",COUNTIF($E$2:E5615,"Gmail"),"")</f>
        <v/>
      </c>
      <c r="J5615">
        <f>IF(E5615="Outlook",COUNTIF($E$2:E5615,"Outlook"),"")</f>
        <v/>
      </c>
      <c r="K5615">
        <f>IF(E5615="Domain",COUNTIF($E$2:E5615,"Domain"),"")</f>
        <v/>
      </c>
    </row>
    <row r="5616">
      <c r="A5616" s="2" t="n"/>
      <c r="B5616">
        <f>LOWER(TRIM(A5616))</f>
        <v/>
      </c>
      <c r="C5616">
        <f>IF(B5616="","",IFERROR(INDEX('Bad Patterns'!$A$2:$A$120,MATCH(1,INDEX(--ISNUMBER(SEARCH('Bad Patterns'!$A$2:$A$120,B5616)),0),0)),""))</f>
        <v/>
      </c>
      <c r="D5616">
        <f>IF(B5616="","",IF(C5616&lt;&gt;"","REMOVE","KEEP"))</f>
        <v/>
      </c>
      <c r="E5616">
        <f>IF(D5616&lt;&gt;"KEEP","",IF(RIGHT(B5616,10)="@gmail.com","Gmail",IF(OR(RIGHT(B5616,12)="@outlook.com",RIGHT(B5616,12)="@hotmail.com",RIGHT(B5616,9)="@live.com"),"Outlook","Domain")))</f>
        <v/>
      </c>
      <c r="F5616">
        <f>IF(B5616="","",IFERROR(RIGHT(B5616,LEN(B5616)-FIND("@",B5616)),""))</f>
        <v/>
      </c>
      <c r="G5616">
        <f>IF(D5616="KEEP",COUNTIF($D$2:D5616,"KEEP"),"")</f>
        <v/>
      </c>
      <c r="H5616">
        <f>IF(D5616="REMOVE",COUNTIF($D$2:D5616,"REMOVE"),"")</f>
        <v/>
      </c>
      <c r="I5616">
        <f>IF(E5616="Gmail",COUNTIF($E$2:E5616,"Gmail"),"")</f>
        <v/>
      </c>
      <c r="J5616">
        <f>IF(E5616="Outlook",COUNTIF($E$2:E5616,"Outlook"),"")</f>
        <v/>
      </c>
      <c r="K5616">
        <f>IF(E5616="Domain",COUNTIF($E$2:E5616,"Domain"),"")</f>
        <v/>
      </c>
    </row>
    <row r="5617">
      <c r="A5617" s="2" t="n"/>
      <c r="B5617">
        <f>LOWER(TRIM(A5617))</f>
        <v/>
      </c>
      <c r="C5617">
        <f>IF(B5617="","",IFERROR(INDEX('Bad Patterns'!$A$2:$A$120,MATCH(1,INDEX(--ISNUMBER(SEARCH('Bad Patterns'!$A$2:$A$120,B5617)),0),0)),""))</f>
        <v/>
      </c>
      <c r="D5617">
        <f>IF(B5617="","",IF(C5617&lt;&gt;"","REMOVE","KEEP"))</f>
        <v/>
      </c>
      <c r="E5617">
        <f>IF(D5617&lt;&gt;"KEEP","",IF(RIGHT(B5617,10)="@gmail.com","Gmail",IF(OR(RIGHT(B5617,12)="@outlook.com",RIGHT(B5617,12)="@hotmail.com",RIGHT(B5617,9)="@live.com"),"Outlook","Domain")))</f>
        <v/>
      </c>
      <c r="F5617">
        <f>IF(B5617="","",IFERROR(RIGHT(B5617,LEN(B5617)-FIND("@",B5617)),""))</f>
        <v/>
      </c>
      <c r="G5617">
        <f>IF(D5617="KEEP",COUNTIF($D$2:D5617,"KEEP"),"")</f>
        <v/>
      </c>
      <c r="H5617">
        <f>IF(D5617="REMOVE",COUNTIF($D$2:D5617,"REMOVE"),"")</f>
        <v/>
      </c>
      <c r="I5617">
        <f>IF(E5617="Gmail",COUNTIF($E$2:E5617,"Gmail"),"")</f>
        <v/>
      </c>
      <c r="J5617">
        <f>IF(E5617="Outlook",COUNTIF($E$2:E5617,"Outlook"),"")</f>
        <v/>
      </c>
      <c r="K5617">
        <f>IF(E5617="Domain",COUNTIF($E$2:E5617,"Domain"),"")</f>
        <v/>
      </c>
    </row>
    <row r="5618">
      <c r="A5618" s="2" t="n"/>
      <c r="B5618">
        <f>LOWER(TRIM(A5618))</f>
        <v/>
      </c>
      <c r="C5618">
        <f>IF(B5618="","",IFERROR(INDEX('Bad Patterns'!$A$2:$A$120,MATCH(1,INDEX(--ISNUMBER(SEARCH('Bad Patterns'!$A$2:$A$120,B5618)),0),0)),""))</f>
        <v/>
      </c>
      <c r="D5618">
        <f>IF(B5618="","",IF(C5618&lt;&gt;"","REMOVE","KEEP"))</f>
        <v/>
      </c>
      <c r="E5618">
        <f>IF(D5618&lt;&gt;"KEEP","",IF(RIGHT(B5618,10)="@gmail.com","Gmail",IF(OR(RIGHT(B5618,12)="@outlook.com",RIGHT(B5618,12)="@hotmail.com",RIGHT(B5618,9)="@live.com"),"Outlook","Domain")))</f>
        <v/>
      </c>
      <c r="F5618">
        <f>IF(B5618="","",IFERROR(RIGHT(B5618,LEN(B5618)-FIND("@",B5618)),""))</f>
        <v/>
      </c>
      <c r="G5618">
        <f>IF(D5618="KEEP",COUNTIF($D$2:D5618,"KEEP"),"")</f>
        <v/>
      </c>
      <c r="H5618">
        <f>IF(D5618="REMOVE",COUNTIF($D$2:D5618,"REMOVE"),"")</f>
        <v/>
      </c>
      <c r="I5618">
        <f>IF(E5618="Gmail",COUNTIF($E$2:E5618,"Gmail"),"")</f>
        <v/>
      </c>
      <c r="J5618">
        <f>IF(E5618="Outlook",COUNTIF($E$2:E5618,"Outlook"),"")</f>
        <v/>
      </c>
      <c r="K5618">
        <f>IF(E5618="Domain",COUNTIF($E$2:E5618,"Domain"),"")</f>
        <v/>
      </c>
    </row>
    <row r="5619">
      <c r="A5619" s="2" t="n"/>
      <c r="B5619">
        <f>LOWER(TRIM(A5619))</f>
        <v/>
      </c>
      <c r="C5619">
        <f>IF(B5619="","",IFERROR(INDEX('Bad Patterns'!$A$2:$A$120,MATCH(1,INDEX(--ISNUMBER(SEARCH('Bad Patterns'!$A$2:$A$120,B5619)),0),0)),""))</f>
        <v/>
      </c>
      <c r="D5619">
        <f>IF(B5619="","",IF(C5619&lt;&gt;"","REMOVE","KEEP"))</f>
        <v/>
      </c>
      <c r="E5619">
        <f>IF(D5619&lt;&gt;"KEEP","",IF(RIGHT(B5619,10)="@gmail.com","Gmail",IF(OR(RIGHT(B5619,12)="@outlook.com",RIGHT(B5619,12)="@hotmail.com",RIGHT(B5619,9)="@live.com"),"Outlook","Domain")))</f>
        <v/>
      </c>
      <c r="F5619">
        <f>IF(B5619="","",IFERROR(RIGHT(B5619,LEN(B5619)-FIND("@",B5619)),""))</f>
        <v/>
      </c>
      <c r="G5619">
        <f>IF(D5619="KEEP",COUNTIF($D$2:D5619,"KEEP"),"")</f>
        <v/>
      </c>
      <c r="H5619">
        <f>IF(D5619="REMOVE",COUNTIF($D$2:D5619,"REMOVE"),"")</f>
        <v/>
      </c>
      <c r="I5619">
        <f>IF(E5619="Gmail",COUNTIF($E$2:E5619,"Gmail"),"")</f>
        <v/>
      </c>
      <c r="J5619">
        <f>IF(E5619="Outlook",COUNTIF($E$2:E5619,"Outlook"),"")</f>
        <v/>
      </c>
      <c r="K5619">
        <f>IF(E5619="Domain",COUNTIF($E$2:E5619,"Domain"),"")</f>
        <v/>
      </c>
    </row>
    <row r="5620">
      <c r="A5620" s="2" t="n"/>
      <c r="B5620">
        <f>LOWER(TRIM(A5620))</f>
        <v/>
      </c>
      <c r="C5620">
        <f>IF(B5620="","",IFERROR(INDEX('Bad Patterns'!$A$2:$A$120,MATCH(1,INDEX(--ISNUMBER(SEARCH('Bad Patterns'!$A$2:$A$120,B5620)),0),0)),""))</f>
        <v/>
      </c>
      <c r="D5620">
        <f>IF(B5620="","",IF(C5620&lt;&gt;"","REMOVE","KEEP"))</f>
        <v/>
      </c>
      <c r="E5620">
        <f>IF(D5620&lt;&gt;"KEEP","",IF(RIGHT(B5620,10)="@gmail.com","Gmail",IF(OR(RIGHT(B5620,12)="@outlook.com",RIGHT(B5620,12)="@hotmail.com",RIGHT(B5620,9)="@live.com"),"Outlook","Domain")))</f>
        <v/>
      </c>
      <c r="F5620">
        <f>IF(B5620="","",IFERROR(RIGHT(B5620,LEN(B5620)-FIND("@",B5620)),""))</f>
        <v/>
      </c>
      <c r="G5620">
        <f>IF(D5620="KEEP",COUNTIF($D$2:D5620,"KEEP"),"")</f>
        <v/>
      </c>
      <c r="H5620">
        <f>IF(D5620="REMOVE",COUNTIF($D$2:D5620,"REMOVE"),"")</f>
        <v/>
      </c>
      <c r="I5620">
        <f>IF(E5620="Gmail",COUNTIF($E$2:E5620,"Gmail"),"")</f>
        <v/>
      </c>
      <c r="J5620">
        <f>IF(E5620="Outlook",COUNTIF($E$2:E5620,"Outlook"),"")</f>
        <v/>
      </c>
      <c r="K5620">
        <f>IF(E5620="Domain",COUNTIF($E$2:E5620,"Domain"),"")</f>
        <v/>
      </c>
    </row>
    <row r="5621">
      <c r="A5621" s="2" t="n"/>
      <c r="B5621">
        <f>LOWER(TRIM(A5621))</f>
        <v/>
      </c>
      <c r="C5621">
        <f>IF(B5621="","",IFERROR(INDEX('Bad Patterns'!$A$2:$A$120,MATCH(1,INDEX(--ISNUMBER(SEARCH('Bad Patterns'!$A$2:$A$120,B5621)),0),0)),""))</f>
        <v/>
      </c>
      <c r="D5621">
        <f>IF(B5621="","",IF(C5621&lt;&gt;"","REMOVE","KEEP"))</f>
        <v/>
      </c>
      <c r="E5621">
        <f>IF(D5621&lt;&gt;"KEEP","",IF(RIGHT(B5621,10)="@gmail.com","Gmail",IF(OR(RIGHT(B5621,12)="@outlook.com",RIGHT(B5621,12)="@hotmail.com",RIGHT(B5621,9)="@live.com"),"Outlook","Domain")))</f>
        <v/>
      </c>
      <c r="F5621">
        <f>IF(B5621="","",IFERROR(RIGHT(B5621,LEN(B5621)-FIND("@",B5621)),""))</f>
        <v/>
      </c>
      <c r="G5621">
        <f>IF(D5621="KEEP",COUNTIF($D$2:D5621,"KEEP"),"")</f>
        <v/>
      </c>
      <c r="H5621">
        <f>IF(D5621="REMOVE",COUNTIF($D$2:D5621,"REMOVE"),"")</f>
        <v/>
      </c>
      <c r="I5621">
        <f>IF(E5621="Gmail",COUNTIF($E$2:E5621,"Gmail"),"")</f>
        <v/>
      </c>
      <c r="J5621">
        <f>IF(E5621="Outlook",COUNTIF($E$2:E5621,"Outlook"),"")</f>
        <v/>
      </c>
      <c r="K5621">
        <f>IF(E5621="Domain",COUNTIF($E$2:E5621,"Domain"),"")</f>
        <v/>
      </c>
    </row>
    <row r="5622">
      <c r="A5622" s="2" t="n"/>
      <c r="B5622">
        <f>LOWER(TRIM(A5622))</f>
        <v/>
      </c>
      <c r="C5622">
        <f>IF(B5622="","",IFERROR(INDEX('Bad Patterns'!$A$2:$A$120,MATCH(1,INDEX(--ISNUMBER(SEARCH('Bad Patterns'!$A$2:$A$120,B5622)),0),0)),""))</f>
        <v/>
      </c>
      <c r="D5622">
        <f>IF(B5622="","",IF(C5622&lt;&gt;"","REMOVE","KEEP"))</f>
        <v/>
      </c>
      <c r="E5622">
        <f>IF(D5622&lt;&gt;"KEEP","",IF(RIGHT(B5622,10)="@gmail.com","Gmail",IF(OR(RIGHT(B5622,12)="@outlook.com",RIGHT(B5622,12)="@hotmail.com",RIGHT(B5622,9)="@live.com"),"Outlook","Domain")))</f>
        <v/>
      </c>
      <c r="F5622">
        <f>IF(B5622="","",IFERROR(RIGHT(B5622,LEN(B5622)-FIND("@",B5622)),""))</f>
        <v/>
      </c>
      <c r="G5622">
        <f>IF(D5622="KEEP",COUNTIF($D$2:D5622,"KEEP"),"")</f>
        <v/>
      </c>
      <c r="H5622">
        <f>IF(D5622="REMOVE",COUNTIF($D$2:D5622,"REMOVE"),"")</f>
        <v/>
      </c>
      <c r="I5622">
        <f>IF(E5622="Gmail",COUNTIF($E$2:E5622,"Gmail"),"")</f>
        <v/>
      </c>
      <c r="J5622">
        <f>IF(E5622="Outlook",COUNTIF($E$2:E5622,"Outlook"),"")</f>
        <v/>
      </c>
      <c r="K5622">
        <f>IF(E5622="Domain",COUNTIF($E$2:E5622,"Domain"),"")</f>
        <v/>
      </c>
    </row>
    <row r="5623">
      <c r="A5623" s="2" t="n"/>
      <c r="B5623">
        <f>LOWER(TRIM(A5623))</f>
        <v/>
      </c>
      <c r="C5623">
        <f>IF(B5623="","",IFERROR(INDEX('Bad Patterns'!$A$2:$A$120,MATCH(1,INDEX(--ISNUMBER(SEARCH('Bad Patterns'!$A$2:$A$120,B5623)),0),0)),""))</f>
        <v/>
      </c>
      <c r="D5623">
        <f>IF(B5623="","",IF(C5623&lt;&gt;"","REMOVE","KEEP"))</f>
        <v/>
      </c>
      <c r="E5623">
        <f>IF(D5623&lt;&gt;"KEEP","",IF(RIGHT(B5623,10)="@gmail.com","Gmail",IF(OR(RIGHT(B5623,12)="@outlook.com",RIGHT(B5623,12)="@hotmail.com",RIGHT(B5623,9)="@live.com"),"Outlook","Domain")))</f>
        <v/>
      </c>
      <c r="F5623">
        <f>IF(B5623="","",IFERROR(RIGHT(B5623,LEN(B5623)-FIND("@",B5623)),""))</f>
        <v/>
      </c>
      <c r="G5623">
        <f>IF(D5623="KEEP",COUNTIF($D$2:D5623,"KEEP"),"")</f>
        <v/>
      </c>
      <c r="H5623">
        <f>IF(D5623="REMOVE",COUNTIF($D$2:D5623,"REMOVE"),"")</f>
        <v/>
      </c>
      <c r="I5623">
        <f>IF(E5623="Gmail",COUNTIF($E$2:E5623,"Gmail"),"")</f>
        <v/>
      </c>
      <c r="J5623">
        <f>IF(E5623="Outlook",COUNTIF($E$2:E5623,"Outlook"),"")</f>
        <v/>
      </c>
      <c r="K5623">
        <f>IF(E5623="Domain",COUNTIF($E$2:E5623,"Domain"),"")</f>
        <v/>
      </c>
    </row>
    <row r="5624">
      <c r="A5624" s="2" t="n"/>
      <c r="B5624">
        <f>LOWER(TRIM(A5624))</f>
        <v/>
      </c>
      <c r="C5624">
        <f>IF(B5624="","",IFERROR(INDEX('Bad Patterns'!$A$2:$A$120,MATCH(1,INDEX(--ISNUMBER(SEARCH('Bad Patterns'!$A$2:$A$120,B5624)),0),0)),""))</f>
        <v/>
      </c>
      <c r="D5624">
        <f>IF(B5624="","",IF(C5624&lt;&gt;"","REMOVE","KEEP"))</f>
        <v/>
      </c>
      <c r="E5624">
        <f>IF(D5624&lt;&gt;"KEEP","",IF(RIGHT(B5624,10)="@gmail.com","Gmail",IF(OR(RIGHT(B5624,12)="@outlook.com",RIGHT(B5624,12)="@hotmail.com",RIGHT(B5624,9)="@live.com"),"Outlook","Domain")))</f>
        <v/>
      </c>
      <c r="F5624">
        <f>IF(B5624="","",IFERROR(RIGHT(B5624,LEN(B5624)-FIND("@",B5624)),""))</f>
        <v/>
      </c>
      <c r="G5624">
        <f>IF(D5624="KEEP",COUNTIF($D$2:D5624,"KEEP"),"")</f>
        <v/>
      </c>
      <c r="H5624">
        <f>IF(D5624="REMOVE",COUNTIF($D$2:D5624,"REMOVE"),"")</f>
        <v/>
      </c>
      <c r="I5624">
        <f>IF(E5624="Gmail",COUNTIF($E$2:E5624,"Gmail"),"")</f>
        <v/>
      </c>
      <c r="J5624">
        <f>IF(E5624="Outlook",COUNTIF($E$2:E5624,"Outlook"),"")</f>
        <v/>
      </c>
      <c r="K5624">
        <f>IF(E5624="Domain",COUNTIF($E$2:E5624,"Domain"),"")</f>
        <v/>
      </c>
    </row>
    <row r="5625">
      <c r="A5625" s="2" t="n"/>
      <c r="B5625">
        <f>LOWER(TRIM(A5625))</f>
        <v/>
      </c>
      <c r="C5625">
        <f>IF(B5625="","",IFERROR(INDEX('Bad Patterns'!$A$2:$A$120,MATCH(1,INDEX(--ISNUMBER(SEARCH('Bad Patterns'!$A$2:$A$120,B5625)),0),0)),""))</f>
        <v/>
      </c>
      <c r="D5625">
        <f>IF(B5625="","",IF(C5625&lt;&gt;"","REMOVE","KEEP"))</f>
        <v/>
      </c>
      <c r="E5625">
        <f>IF(D5625&lt;&gt;"KEEP","",IF(RIGHT(B5625,10)="@gmail.com","Gmail",IF(OR(RIGHT(B5625,12)="@outlook.com",RIGHT(B5625,12)="@hotmail.com",RIGHT(B5625,9)="@live.com"),"Outlook","Domain")))</f>
        <v/>
      </c>
      <c r="F5625">
        <f>IF(B5625="","",IFERROR(RIGHT(B5625,LEN(B5625)-FIND("@",B5625)),""))</f>
        <v/>
      </c>
      <c r="G5625">
        <f>IF(D5625="KEEP",COUNTIF($D$2:D5625,"KEEP"),"")</f>
        <v/>
      </c>
      <c r="H5625">
        <f>IF(D5625="REMOVE",COUNTIF($D$2:D5625,"REMOVE"),"")</f>
        <v/>
      </c>
      <c r="I5625">
        <f>IF(E5625="Gmail",COUNTIF($E$2:E5625,"Gmail"),"")</f>
        <v/>
      </c>
      <c r="J5625">
        <f>IF(E5625="Outlook",COUNTIF($E$2:E5625,"Outlook"),"")</f>
        <v/>
      </c>
      <c r="K5625">
        <f>IF(E5625="Domain",COUNTIF($E$2:E5625,"Domain"),"")</f>
        <v/>
      </c>
    </row>
    <row r="5626">
      <c r="A5626" s="2" t="n"/>
      <c r="B5626">
        <f>LOWER(TRIM(A5626))</f>
        <v/>
      </c>
      <c r="C5626">
        <f>IF(B5626="","",IFERROR(INDEX('Bad Patterns'!$A$2:$A$120,MATCH(1,INDEX(--ISNUMBER(SEARCH('Bad Patterns'!$A$2:$A$120,B5626)),0),0)),""))</f>
        <v/>
      </c>
      <c r="D5626">
        <f>IF(B5626="","",IF(C5626&lt;&gt;"","REMOVE","KEEP"))</f>
        <v/>
      </c>
      <c r="E5626">
        <f>IF(D5626&lt;&gt;"KEEP","",IF(RIGHT(B5626,10)="@gmail.com","Gmail",IF(OR(RIGHT(B5626,12)="@outlook.com",RIGHT(B5626,12)="@hotmail.com",RIGHT(B5626,9)="@live.com"),"Outlook","Domain")))</f>
        <v/>
      </c>
      <c r="F5626">
        <f>IF(B5626="","",IFERROR(RIGHT(B5626,LEN(B5626)-FIND("@",B5626)),""))</f>
        <v/>
      </c>
      <c r="G5626">
        <f>IF(D5626="KEEP",COUNTIF($D$2:D5626,"KEEP"),"")</f>
        <v/>
      </c>
      <c r="H5626">
        <f>IF(D5626="REMOVE",COUNTIF($D$2:D5626,"REMOVE"),"")</f>
        <v/>
      </c>
      <c r="I5626">
        <f>IF(E5626="Gmail",COUNTIF($E$2:E5626,"Gmail"),"")</f>
        <v/>
      </c>
      <c r="J5626">
        <f>IF(E5626="Outlook",COUNTIF($E$2:E5626,"Outlook"),"")</f>
        <v/>
      </c>
      <c r="K5626">
        <f>IF(E5626="Domain",COUNTIF($E$2:E5626,"Domain"),"")</f>
        <v/>
      </c>
    </row>
    <row r="5627">
      <c r="A5627" s="2" t="n"/>
      <c r="B5627">
        <f>LOWER(TRIM(A5627))</f>
        <v/>
      </c>
      <c r="C5627">
        <f>IF(B5627="","",IFERROR(INDEX('Bad Patterns'!$A$2:$A$120,MATCH(1,INDEX(--ISNUMBER(SEARCH('Bad Patterns'!$A$2:$A$120,B5627)),0),0)),""))</f>
        <v/>
      </c>
      <c r="D5627">
        <f>IF(B5627="","",IF(C5627&lt;&gt;"","REMOVE","KEEP"))</f>
        <v/>
      </c>
      <c r="E5627">
        <f>IF(D5627&lt;&gt;"KEEP","",IF(RIGHT(B5627,10)="@gmail.com","Gmail",IF(OR(RIGHT(B5627,12)="@outlook.com",RIGHT(B5627,12)="@hotmail.com",RIGHT(B5627,9)="@live.com"),"Outlook","Domain")))</f>
        <v/>
      </c>
      <c r="F5627">
        <f>IF(B5627="","",IFERROR(RIGHT(B5627,LEN(B5627)-FIND("@",B5627)),""))</f>
        <v/>
      </c>
      <c r="G5627">
        <f>IF(D5627="KEEP",COUNTIF($D$2:D5627,"KEEP"),"")</f>
        <v/>
      </c>
      <c r="H5627">
        <f>IF(D5627="REMOVE",COUNTIF($D$2:D5627,"REMOVE"),"")</f>
        <v/>
      </c>
      <c r="I5627">
        <f>IF(E5627="Gmail",COUNTIF($E$2:E5627,"Gmail"),"")</f>
        <v/>
      </c>
      <c r="J5627">
        <f>IF(E5627="Outlook",COUNTIF($E$2:E5627,"Outlook"),"")</f>
        <v/>
      </c>
      <c r="K5627">
        <f>IF(E5627="Domain",COUNTIF($E$2:E5627,"Domain"),"")</f>
        <v/>
      </c>
    </row>
    <row r="5628">
      <c r="A5628" s="2" t="n"/>
      <c r="B5628">
        <f>LOWER(TRIM(A5628))</f>
        <v/>
      </c>
      <c r="C5628">
        <f>IF(B5628="","",IFERROR(INDEX('Bad Patterns'!$A$2:$A$120,MATCH(1,INDEX(--ISNUMBER(SEARCH('Bad Patterns'!$A$2:$A$120,B5628)),0),0)),""))</f>
        <v/>
      </c>
      <c r="D5628">
        <f>IF(B5628="","",IF(C5628&lt;&gt;"","REMOVE","KEEP"))</f>
        <v/>
      </c>
      <c r="E5628">
        <f>IF(D5628&lt;&gt;"KEEP","",IF(RIGHT(B5628,10)="@gmail.com","Gmail",IF(OR(RIGHT(B5628,12)="@outlook.com",RIGHT(B5628,12)="@hotmail.com",RIGHT(B5628,9)="@live.com"),"Outlook","Domain")))</f>
        <v/>
      </c>
      <c r="F5628">
        <f>IF(B5628="","",IFERROR(RIGHT(B5628,LEN(B5628)-FIND("@",B5628)),""))</f>
        <v/>
      </c>
      <c r="G5628">
        <f>IF(D5628="KEEP",COUNTIF($D$2:D5628,"KEEP"),"")</f>
        <v/>
      </c>
      <c r="H5628">
        <f>IF(D5628="REMOVE",COUNTIF($D$2:D5628,"REMOVE"),"")</f>
        <v/>
      </c>
      <c r="I5628">
        <f>IF(E5628="Gmail",COUNTIF($E$2:E5628,"Gmail"),"")</f>
        <v/>
      </c>
      <c r="J5628">
        <f>IF(E5628="Outlook",COUNTIF($E$2:E5628,"Outlook"),"")</f>
        <v/>
      </c>
      <c r="K5628">
        <f>IF(E5628="Domain",COUNTIF($E$2:E5628,"Domain"),"")</f>
        <v/>
      </c>
    </row>
    <row r="5629">
      <c r="A5629" s="2" t="n"/>
      <c r="B5629">
        <f>LOWER(TRIM(A5629))</f>
        <v/>
      </c>
      <c r="C5629">
        <f>IF(B5629="","",IFERROR(INDEX('Bad Patterns'!$A$2:$A$120,MATCH(1,INDEX(--ISNUMBER(SEARCH('Bad Patterns'!$A$2:$A$120,B5629)),0),0)),""))</f>
        <v/>
      </c>
      <c r="D5629">
        <f>IF(B5629="","",IF(C5629&lt;&gt;"","REMOVE","KEEP"))</f>
        <v/>
      </c>
      <c r="E5629">
        <f>IF(D5629&lt;&gt;"KEEP","",IF(RIGHT(B5629,10)="@gmail.com","Gmail",IF(OR(RIGHT(B5629,12)="@outlook.com",RIGHT(B5629,12)="@hotmail.com",RIGHT(B5629,9)="@live.com"),"Outlook","Domain")))</f>
        <v/>
      </c>
      <c r="F5629">
        <f>IF(B5629="","",IFERROR(RIGHT(B5629,LEN(B5629)-FIND("@",B5629)),""))</f>
        <v/>
      </c>
      <c r="G5629">
        <f>IF(D5629="KEEP",COUNTIF($D$2:D5629,"KEEP"),"")</f>
        <v/>
      </c>
      <c r="H5629">
        <f>IF(D5629="REMOVE",COUNTIF($D$2:D5629,"REMOVE"),"")</f>
        <v/>
      </c>
      <c r="I5629">
        <f>IF(E5629="Gmail",COUNTIF($E$2:E5629,"Gmail"),"")</f>
        <v/>
      </c>
      <c r="J5629">
        <f>IF(E5629="Outlook",COUNTIF($E$2:E5629,"Outlook"),"")</f>
        <v/>
      </c>
      <c r="K5629">
        <f>IF(E5629="Domain",COUNTIF($E$2:E5629,"Domain"),"")</f>
        <v/>
      </c>
    </row>
    <row r="5630">
      <c r="A5630" s="2" t="n"/>
      <c r="B5630">
        <f>LOWER(TRIM(A5630))</f>
        <v/>
      </c>
      <c r="C5630">
        <f>IF(B5630="","",IFERROR(INDEX('Bad Patterns'!$A$2:$A$120,MATCH(1,INDEX(--ISNUMBER(SEARCH('Bad Patterns'!$A$2:$A$120,B5630)),0),0)),""))</f>
        <v/>
      </c>
      <c r="D5630">
        <f>IF(B5630="","",IF(C5630&lt;&gt;"","REMOVE","KEEP"))</f>
        <v/>
      </c>
      <c r="E5630">
        <f>IF(D5630&lt;&gt;"KEEP","",IF(RIGHT(B5630,10)="@gmail.com","Gmail",IF(OR(RIGHT(B5630,12)="@outlook.com",RIGHT(B5630,12)="@hotmail.com",RIGHT(B5630,9)="@live.com"),"Outlook","Domain")))</f>
        <v/>
      </c>
      <c r="F5630">
        <f>IF(B5630="","",IFERROR(RIGHT(B5630,LEN(B5630)-FIND("@",B5630)),""))</f>
        <v/>
      </c>
      <c r="G5630">
        <f>IF(D5630="KEEP",COUNTIF($D$2:D5630,"KEEP"),"")</f>
        <v/>
      </c>
      <c r="H5630">
        <f>IF(D5630="REMOVE",COUNTIF($D$2:D5630,"REMOVE"),"")</f>
        <v/>
      </c>
      <c r="I5630">
        <f>IF(E5630="Gmail",COUNTIF($E$2:E5630,"Gmail"),"")</f>
        <v/>
      </c>
      <c r="J5630">
        <f>IF(E5630="Outlook",COUNTIF($E$2:E5630,"Outlook"),"")</f>
        <v/>
      </c>
      <c r="K5630">
        <f>IF(E5630="Domain",COUNTIF($E$2:E5630,"Domain"),"")</f>
        <v/>
      </c>
    </row>
    <row r="5631">
      <c r="A5631" s="2" t="n"/>
      <c r="B5631">
        <f>LOWER(TRIM(A5631))</f>
        <v/>
      </c>
      <c r="C5631">
        <f>IF(B5631="","",IFERROR(INDEX('Bad Patterns'!$A$2:$A$120,MATCH(1,INDEX(--ISNUMBER(SEARCH('Bad Patterns'!$A$2:$A$120,B5631)),0),0)),""))</f>
        <v/>
      </c>
      <c r="D5631">
        <f>IF(B5631="","",IF(C5631&lt;&gt;"","REMOVE","KEEP"))</f>
        <v/>
      </c>
      <c r="E5631">
        <f>IF(D5631&lt;&gt;"KEEP","",IF(RIGHT(B5631,10)="@gmail.com","Gmail",IF(OR(RIGHT(B5631,12)="@outlook.com",RIGHT(B5631,12)="@hotmail.com",RIGHT(B5631,9)="@live.com"),"Outlook","Domain")))</f>
        <v/>
      </c>
      <c r="F5631">
        <f>IF(B5631="","",IFERROR(RIGHT(B5631,LEN(B5631)-FIND("@",B5631)),""))</f>
        <v/>
      </c>
      <c r="G5631">
        <f>IF(D5631="KEEP",COUNTIF($D$2:D5631,"KEEP"),"")</f>
        <v/>
      </c>
      <c r="H5631">
        <f>IF(D5631="REMOVE",COUNTIF($D$2:D5631,"REMOVE"),"")</f>
        <v/>
      </c>
      <c r="I5631">
        <f>IF(E5631="Gmail",COUNTIF($E$2:E5631,"Gmail"),"")</f>
        <v/>
      </c>
      <c r="J5631">
        <f>IF(E5631="Outlook",COUNTIF($E$2:E5631,"Outlook"),"")</f>
        <v/>
      </c>
      <c r="K5631">
        <f>IF(E5631="Domain",COUNTIF($E$2:E5631,"Domain"),"")</f>
        <v/>
      </c>
    </row>
    <row r="5632">
      <c r="A5632" s="2" t="n"/>
      <c r="B5632">
        <f>LOWER(TRIM(A5632))</f>
        <v/>
      </c>
      <c r="C5632">
        <f>IF(B5632="","",IFERROR(INDEX('Bad Patterns'!$A$2:$A$120,MATCH(1,INDEX(--ISNUMBER(SEARCH('Bad Patterns'!$A$2:$A$120,B5632)),0),0)),""))</f>
        <v/>
      </c>
      <c r="D5632">
        <f>IF(B5632="","",IF(C5632&lt;&gt;"","REMOVE","KEEP"))</f>
        <v/>
      </c>
      <c r="E5632">
        <f>IF(D5632&lt;&gt;"KEEP","",IF(RIGHT(B5632,10)="@gmail.com","Gmail",IF(OR(RIGHT(B5632,12)="@outlook.com",RIGHT(B5632,12)="@hotmail.com",RIGHT(B5632,9)="@live.com"),"Outlook","Domain")))</f>
        <v/>
      </c>
      <c r="F5632">
        <f>IF(B5632="","",IFERROR(RIGHT(B5632,LEN(B5632)-FIND("@",B5632)),""))</f>
        <v/>
      </c>
      <c r="G5632">
        <f>IF(D5632="KEEP",COUNTIF($D$2:D5632,"KEEP"),"")</f>
        <v/>
      </c>
      <c r="H5632">
        <f>IF(D5632="REMOVE",COUNTIF($D$2:D5632,"REMOVE"),"")</f>
        <v/>
      </c>
      <c r="I5632">
        <f>IF(E5632="Gmail",COUNTIF($E$2:E5632,"Gmail"),"")</f>
        <v/>
      </c>
      <c r="J5632">
        <f>IF(E5632="Outlook",COUNTIF($E$2:E5632,"Outlook"),"")</f>
        <v/>
      </c>
      <c r="K5632">
        <f>IF(E5632="Domain",COUNTIF($E$2:E5632,"Domain"),"")</f>
        <v/>
      </c>
    </row>
    <row r="5633">
      <c r="A5633" s="2" t="n"/>
      <c r="B5633">
        <f>LOWER(TRIM(A5633))</f>
        <v/>
      </c>
      <c r="C5633">
        <f>IF(B5633="","",IFERROR(INDEX('Bad Patterns'!$A$2:$A$120,MATCH(1,INDEX(--ISNUMBER(SEARCH('Bad Patterns'!$A$2:$A$120,B5633)),0),0)),""))</f>
        <v/>
      </c>
      <c r="D5633">
        <f>IF(B5633="","",IF(C5633&lt;&gt;"","REMOVE","KEEP"))</f>
        <v/>
      </c>
      <c r="E5633">
        <f>IF(D5633&lt;&gt;"KEEP","",IF(RIGHT(B5633,10)="@gmail.com","Gmail",IF(OR(RIGHT(B5633,12)="@outlook.com",RIGHT(B5633,12)="@hotmail.com",RIGHT(B5633,9)="@live.com"),"Outlook","Domain")))</f>
        <v/>
      </c>
      <c r="F5633">
        <f>IF(B5633="","",IFERROR(RIGHT(B5633,LEN(B5633)-FIND("@",B5633)),""))</f>
        <v/>
      </c>
      <c r="G5633">
        <f>IF(D5633="KEEP",COUNTIF($D$2:D5633,"KEEP"),"")</f>
        <v/>
      </c>
      <c r="H5633">
        <f>IF(D5633="REMOVE",COUNTIF($D$2:D5633,"REMOVE"),"")</f>
        <v/>
      </c>
      <c r="I5633">
        <f>IF(E5633="Gmail",COUNTIF($E$2:E5633,"Gmail"),"")</f>
        <v/>
      </c>
      <c r="J5633">
        <f>IF(E5633="Outlook",COUNTIF($E$2:E5633,"Outlook"),"")</f>
        <v/>
      </c>
      <c r="K5633">
        <f>IF(E5633="Domain",COUNTIF($E$2:E5633,"Domain"),"")</f>
        <v/>
      </c>
    </row>
    <row r="5634">
      <c r="A5634" s="2" t="n"/>
      <c r="B5634">
        <f>LOWER(TRIM(A5634))</f>
        <v/>
      </c>
      <c r="C5634">
        <f>IF(B5634="","",IFERROR(INDEX('Bad Patterns'!$A$2:$A$120,MATCH(1,INDEX(--ISNUMBER(SEARCH('Bad Patterns'!$A$2:$A$120,B5634)),0),0)),""))</f>
        <v/>
      </c>
      <c r="D5634">
        <f>IF(B5634="","",IF(C5634&lt;&gt;"","REMOVE","KEEP"))</f>
        <v/>
      </c>
      <c r="E5634">
        <f>IF(D5634&lt;&gt;"KEEP","",IF(RIGHT(B5634,10)="@gmail.com","Gmail",IF(OR(RIGHT(B5634,12)="@outlook.com",RIGHT(B5634,12)="@hotmail.com",RIGHT(B5634,9)="@live.com"),"Outlook","Domain")))</f>
        <v/>
      </c>
      <c r="F5634">
        <f>IF(B5634="","",IFERROR(RIGHT(B5634,LEN(B5634)-FIND("@",B5634)),""))</f>
        <v/>
      </c>
      <c r="G5634">
        <f>IF(D5634="KEEP",COUNTIF($D$2:D5634,"KEEP"),"")</f>
        <v/>
      </c>
      <c r="H5634">
        <f>IF(D5634="REMOVE",COUNTIF($D$2:D5634,"REMOVE"),"")</f>
        <v/>
      </c>
      <c r="I5634">
        <f>IF(E5634="Gmail",COUNTIF($E$2:E5634,"Gmail"),"")</f>
        <v/>
      </c>
      <c r="J5634">
        <f>IF(E5634="Outlook",COUNTIF($E$2:E5634,"Outlook"),"")</f>
        <v/>
      </c>
      <c r="K5634">
        <f>IF(E5634="Domain",COUNTIF($E$2:E5634,"Domain"),"")</f>
        <v/>
      </c>
    </row>
    <row r="5635">
      <c r="A5635" s="2" t="n"/>
      <c r="B5635">
        <f>LOWER(TRIM(A5635))</f>
        <v/>
      </c>
      <c r="C5635">
        <f>IF(B5635="","",IFERROR(INDEX('Bad Patterns'!$A$2:$A$120,MATCH(1,INDEX(--ISNUMBER(SEARCH('Bad Patterns'!$A$2:$A$120,B5635)),0),0)),""))</f>
        <v/>
      </c>
      <c r="D5635">
        <f>IF(B5635="","",IF(C5635&lt;&gt;"","REMOVE","KEEP"))</f>
        <v/>
      </c>
      <c r="E5635">
        <f>IF(D5635&lt;&gt;"KEEP","",IF(RIGHT(B5635,10)="@gmail.com","Gmail",IF(OR(RIGHT(B5635,12)="@outlook.com",RIGHT(B5635,12)="@hotmail.com",RIGHT(B5635,9)="@live.com"),"Outlook","Domain")))</f>
        <v/>
      </c>
      <c r="F5635">
        <f>IF(B5635="","",IFERROR(RIGHT(B5635,LEN(B5635)-FIND("@",B5635)),""))</f>
        <v/>
      </c>
      <c r="G5635">
        <f>IF(D5635="KEEP",COUNTIF($D$2:D5635,"KEEP"),"")</f>
        <v/>
      </c>
      <c r="H5635">
        <f>IF(D5635="REMOVE",COUNTIF($D$2:D5635,"REMOVE"),"")</f>
        <v/>
      </c>
      <c r="I5635">
        <f>IF(E5635="Gmail",COUNTIF($E$2:E5635,"Gmail"),"")</f>
        <v/>
      </c>
      <c r="J5635">
        <f>IF(E5635="Outlook",COUNTIF($E$2:E5635,"Outlook"),"")</f>
        <v/>
      </c>
      <c r="K5635">
        <f>IF(E5635="Domain",COUNTIF($E$2:E5635,"Domain"),"")</f>
        <v/>
      </c>
    </row>
    <row r="5636">
      <c r="A5636" s="2" t="n"/>
      <c r="B5636">
        <f>LOWER(TRIM(A5636))</f>
        <v/>
      </c>
      <c r="C5636">
        <f>IF(B5636="","",IFERROR(INDEX('Bad Patterns'!$A$2:$A$120,MATCH(1,INDEX(--ISNUMBER(SEARCH('Bad Patterns'!$A$2:$A$120,B5636)),0),0)),""))</f>
        <v/>
      </c>
      <c r="D5636">
        <f>IF(B5636="","",IF(C5636&lt;&gt;"","REMOVE","KEEP"))</f>
        <v/>
      </c>
      <c r="E5636">
        <f>IF(D5636&lt;&gt;"KEEP","",IF(RIGHT(B5636,10)="@gmail.com","Gmail",IF(OR(RIGHT(B5636,12)="@outlook.com",RIGHT(B5636,12)="@hotmail.com",RIGHT(B5636,9)="@live.com"),"Outlook","Domain")))</f>
        <v/>
      </c>
      <c r="F5636">
        <f>IF(B5636="","",IFERROR(RIGHT(B5636,LEN(B5636)-FIND("@",B5636)),""))</f>
        <v/>
      </c>
      <c r="G5636">
        <f>IF(D5636="KEEP",COUNTIF($D$2:D5636,"KEEP"),"")</f>
        <v/>
      </c>
      <c r="H5636">
        <f>IF(D5636="REMOVE",COUNTIF($D$2:D5636,"REMOVE"),"")</f>
        <v/>
      </c>
      <c r="I5636">
        <f>IF(E5636="Gmail",COUNTIF($E$2:E5636,"Gmail"),"")</f>
        <v/>
      </c>
      <c r="J5636">
        <f>IF(E5636="Outlook",COUNTIF($E$2:E5636,"Outlook"),"")</f>
        <v/>
      </c>
      <c r="K5636">
        <f>IF(E5636="Domain",COUNTIF($E$2:E5636,"Domain"),"")</f>
        <v/>
      </c>
    </row>
    <row r="5637">
      <c r="A5637" s="2" t="n"/>
      <c r="B5637">
        <f>LOWER(TRIM(A5637))</f>
        <v/>
      </c>
      <c r="C5637">
        <f>IF(B5637="","",IFERROR(INDEX('Bad Patterns'!$A$2:$A$120,MATCH(1,INDEX(--ISNUMBER(SEARCH('Bad Patterns'!$A$2:$A$120,B5637)),0),0)),""))</f>
        <v/>
      </c>
      <c r="D5637">
        <f>IF(B5637="","",IF(C5637&lt;&gt;"","REMOVE","KEEP"))</f>
        <v/>
      </c>
      <c r="E5637">
        <f>IF(D5637&lt;&gt;"KEEP","",IF(RIGHT(B5637,10)="@gmail.com","Gmail",IF(OR(RIGHT(B5637,12)="@outlook.com",RIGHT(B5637,12)="@hotmail.com",RIGHT(B5637,9)="@live.com"),"Outlook","Domain")))</f>
        <v/>
      </c>
      <c r="F5637">
        <f>IF(B5637="","",IFERROR(RIGHT(B5637,LEN(B5637)-FIND("@",B5637)),""))</f>
        <v/>
      </c>
      <c r="G5637">
        <f>IF(D5637="KEEP",COUNTIF($D$2:D5637,"KEEP"),"")</f>
        <v/>
      </c>
      <c r="H5637">
        <f>IF(D5637="REMOVE",COUNTIF($D$2:D5637,"REMOVE"),"")</f>
        <v/>
      </c>
      <c r="I5637">
        <f>IF(E5637="Gmail",COUNTIF($E$2:E5637,"Gmail"),"")</f>
        <v/>
      </c>
      <c r="J5637">
        <f>IF(E5637="Outlook",COUNTIF($E$2:E5637,"Outlook"),"")</f>
        <v/>
      </c>
      <c r="K5637">
        <f>IF(E5637="Domain",COUNTIF($E$2:E5637,"Domain"),"")</f>
        <v/>
      </c>
    </row>
    <row r="5638">
      <c r="A5638" s="2" t="n"/>
      <c r="B5638">
        <f>LOWER(TRIM(A5638))</f>
        <v/>
      </c>
      <c r="C5638">
        <f>IF(B5638="","",IFERROR(INDEX('Bad Patterns'!$A$2:$A$120,MATCH(1,INDEX(--ISNUMBER(SEARCH('Bad Patterns'!$A$2:$A$120,B5638)),0),0)),""))</f>
        <v/>
      </c>
      <c r="D5638">
        <f>IF(B5638="","",IF(C5638&lt;&gt;"","REMOVE","KEEP"))</f>
        <v/>
      </c>
      <c r="E5638">
        <f>IF(D5638&lt;&gt;"KEEP","",IF(RIGHT(B5638,10)="@gmail.com","Gmail",IF(OR(RIGHT(B5638,12)="@outlook.com",RIGHT(B5638,12)="@hotmail.com",RIGHT(B5638,9)="@live.com"),"Outlook","Domain")))</f>
        <v/>
      </c>
      <c r="F5638">
        <f>IF(B5638="","",IFERROR(RIGHT(B5638,LEN(B5638)-FIND("@",B5638)),""))</f>
        <v/>
      </c>
      <c r="G5638">
        <f>IF(D5638="KEEP",COUNTIF($D$2:D5638,"KEEP"),"")</f>
        <v/>
      </c>
      <c r="H5638">
        <f>IF(D5638="REMOVE",COUNTIF($D$2:D5638,"REMOVE"),"")</f>
        <v/>
      </c>
      <c r="I5638">
        <f>IF(E5638="Gmail",COUNTIF($E$2:E5638,"Gmail"),"")</f>
        <v/>
      </c>
      <c r="J5638">
        <f>IF(E5638="Outlook",COUNTIF($E$2:E5638,"Outlook"),"")</f>
        <v/>
      </c>
      <c r="K5638">
        <f>IF(E5638="Domain",COUNTIF($E$2:E5638,"Domain"),"")</f>
        <v/>
      </c>
    </row>
    <row r="5639">
      <c r="A5639" s="2" t="n"/>
      <c r="B5639">
        <f>LOWER(TRIM(A5639))</f>
        <v/>
      </c>
      <c r="C5639">
        <f>IF(B5639="","",IFERROR(INDEX('Bad Patterns'!$A$2:$A$120,MATCH(1,INDEX(--ISNUMBER(SEARCH('Bad Patterns'!$A$2:$A$120,B5639)),0),0)),""))</f>
        <v/>
      </c>
      <c r="D5639">
        <f>IF(B5639="","",IF(C5639&lt;&gt;"","REMOVE","KEEP"))</f>
        <v/>
      </c>
      <c r="E5639">
        <f>IF(D5639&lt;&gt;"KEEP","",IF(RIGHT(B5639,10)="@gmail.com","Gmail",IF(OR(RIGHT(B5639,12)="@outlook.com",RIGHT(B5639,12)="@hotmail.com",RIGHT(B5639,9)="@live.com"),"Outlook","Domain")))</f>
        <v/>
      </c>
      <c r="F5639">
        <f>IF(B5639="","",IFERROR(RIGHT(B5639,LEN(B5639)-FIND("@",B5639)),""))</f>
        <v/>
      </c>
      <c r="G5639">
        <f>IF(D5639="KEEP",COUNTIF($D$2:D5639,"KEEP"),"")</f>
        <v/>
      </c>
      <c r="H5639">
        <f>IF(D5639="REMOVE",COUNTIF($D$2:D5639,"REMOVE"),"")</f>
        <v/>
      </c>
      <c r="I5639">
        <f>IF(E5639="Gmail",COUNTIF($E$2:E5639,"Gmail"),"")</f>
        <v/>
      </c>
      <c r="J5639">
        <f>IF(E5639="Outlook",COUNTIF($E$2:E5639,"Outlook"),"")</f>
        <v/>
      </c>
      <c r="K5639">
        <f>IF(E5639="Domain",COUNTIF($E$2:E5639,"Domain"),"")</f>
        <v/>
      </c>
    </row>
    <row r="5640">
      <c r="A5640" s="2" t="n"/>
      <c r="B5640">
        <f>LOWER(TRIM(A5640))</f>
        <v/>
      </c>
      <c r="C5640">
        <f>IF(B5640="","",IFERROR(INDEX('Bad Patterns'!$A$2:$A$120,MATCH(1,INDEX(--ISNUMBER(SEARCH('Bad Patterns'!$A$2:$A$120,B5640)),0),0)),""))</f>
        <v/>
      </c>
      <c r="D5640">
        <f>IF(B5640="","",IF(C5640&lt;&gt;"","REMOVE","KEEP"))</f>
        <v/>
      </c>
      <c r="E5640">
        <f>IF(D5640&lt;&gt;"KEEP","",IF(RIGHT(B5640,10)="@gmail.com","Gmail",IF(OR(RIGHT(B5640,12)="@outlook.com",RIGHT(B5640,12)="@hotmail.com",RIGHT(B5640,9)="@live.com"),"Outlook","Domain")))</f>
        <v/>
      </c>
      <c r="F5640">
        <f>IF(B5640="","",IFERROR(RIGHT(B5640,LEN(B5640)-FIND("@",B5640)),""))</f>
        <v/>
      </c>
      <c r="G5640">
        <f>IF(D5640="KEEP",COUNTIF($D$2:D5640,"KEEP"),"")</f>
        <v/>
      </c>
      <c r="H5640">
        <f>IF(D5640="REMOVE",COUNTIF($D$2:D5640,"REMOVE"),"")</f>
        <v/>
      </c>
      <c r="I5640">
        <f>IF(E5640="Gmail",COUNTIF($E$2:E5640,"Gmail"),"")</f>
        <v/>
      </c>
      <c r="J5640">
        <f>IF(E5640="Outlook",COUNTIF($E$2:E5640,"Outlook"),"")</f>
        <v/>
      </c>
      <c r="K5640">
        <f>IF(E5640="Domain",COUNTIF($E$2:E5640,"Domain"),"")</f>
        <v/>
      </c>
    </row>
    <row r="5641">
      <c r="A5641" s="2" t="n"/>
      <c r="B5641">
        <f>LOWER(TRIM(A5641))</f>
        <v/>
      </c>
      <c r="C5641">
        <f>IF(B5641="","",IFERROR(INDEX('Bad Patterns'!$A$2:$A$120,MATCH(1,INDEX(--ISNUMBER(SEARCH('Bad Patterns'!$A$2:$A$120,B5641)),0),0)),""))</f>
        <v/>
      </c>
      <c r="D5641">
        <f>IF(B5641="","",IF(C5641&lt;&gt;"","REMOVE","KEEP"))</f>
        <v/>
      </c>
      <c r="E5641">
        <f>IF(D5641&lt;&gt;"KEEP","",IF(RIGHT(B5641,10)="@gmail.com","Gmail",IF(OR(RIGHT(B5641,12)="@outlook.com",RIGHT(B5641,12)="@hotmail.com",RIGHT(B5641,9)="@live.com"),"Outlook","Domain")))</f>
        <v/>
      </c>
      <c r="F5641">
        <f>IF(B5641="","",IFERROR(RIGHT(B5641,LEN(B5641)-FIND("@",B5641)),""))</f>
        <v/>
      </c>
      <c r="G5641">
        <f>IF(D5641="KEEP",COUNTIF($D$2:D5641,"KEEP"),"")</f>
        <v/>
      </c>
      <c r="H5641">
        <f>IF(D5641="REMOVE",COUNTIF($D$2:D5641,"REMOVE"),"")</f>
        <v/>
      </c>
      <c r="I5641">
        <f>IF(E5641="Gmail",COUNTIF($E$2:E5641,"Gmail"),"")</f>
        <v/>
      </c>
      <c r="J5641">
        <f>IF(E5641="Outlook",COUNTIF($E$2:E5641,"Outlook"),"")</f>
        <v/>
      </c>
      <c r="K5641">
        <f>IF(E5641="Domain",COUNTIF($E$2:E5641,"Domain"),"")</f>
        <v/>
      </c>
    </row>
    <row r="5642">
      <c r="A5642" s="2" t="n"/>
      <c r="B5642">
        <f>LOWER(TRIM(A5642))</f>
        <v/>
      </c>
      <c r="C5642">
        <f>IF(B5642="","",IFERROR(INDEX('Bad Patterns'!$A$2:$A$120,MATCH(1,INDEX(--ISNUMBER(SEARCH('Bad Patterns'!$A$2:$A$120,B5642)),0),0)),""))</f>
        <v/>
      </c>
      <c r="D5642">
        <f>IF(B5642="","",IF(C5642&lt;&gt;"","REMOVE","KEEP"))</f>
        <v/>
      </c>
      <c r="E5642">
        <f>IF(D5642&lt;&gt;"KEEP","",IF(RIGHT(B5642,10)="@gmail.com","Gmail",IF(OR(RIGHT(B5642,12)="@outlook.com",RIGHT(B5642,12)="@hotmail.com",RIGHT(B5642,9)="@live.com"),"Outlook","Domain")))</f>
        <v/>
      </c>
      <c r="F5642">
        <f>IF(B5642="","",IFERROR(RIGHT(B5642,LEN(B5642)-FIND("@",B5642)),""))</f>
        <v/>
      </c>
      <c r="G5642">
        <f>IF(D5642="KEEP",COUNTIF($D$2:D5642,"KEEP"),"")</f>
        <v/>
      </c>
      <c r="H5642">
        <f>IF(D5642="REMOVE",COUNTIF($D$2:D5642,"REMOVE"),"")</f>
        <v/>
      </c>
      <c r="I5642">
        <f>IF(E5642="Gmail",COUNTIF($E$2:E5642,"Gmail"),"")</f>
        <v/>
      </c>
      <c r="J5642">
        <f>IF(E5642="Outlook",COUNTIF($E$2:E5642,"Outlook"),"")</f>
        <v/>
      </c>
      <c r="K5642">
        <f>IF(E5642="Domain",COUNTIF($E$2:E5642,"Domain"),"")</f>
        <v/>
      </c>
    </row>
    <row r="5643">
      <c r="A5643" s="2" t="n"/>
      <c r="B5643">
        <f>LOWER(TRIM(A5643))</f>
        <v/>
      </c>
      <c r="C5643">
        <f>IF(B5643="","",IFERROR(INDEX('Bad Patterns'!$A$2:$A$120,MATCH(1,INDEX(--ISNUMBER(SEARCH('Bad Patterns'!$A$2:$A$120,B5643)),0),0)),""))</f>
        <v/>
      </c>
      <c r="D5643">
        <f>IF(B5643="","",IF(C5643&lt;&gt;"","REMOVE","KEEP"))</f>
        <v/>
      </c>
      <c r="E5643">
        <f>IF(D5643&lt;&gt;"KEEP","",IF(RIGHT(B5643,10)="@gmail.com","Gmail",IF(OR(RIGHT(B5643,12)="@outlook.com",RIGHT(B5643,12)="@hotmail.com",RIGHT(B5643,9)="@live.com"),"Outlook","Domain")))</f>
        <v/>
      </c>
      <c r="F5643">
        <f>IF(B5643="","",IFERROR(RIGHT(B5643,LEN(B5643)-FIND("@",B5643)),""))</f>
        <v/>
      </c>
      <c r="G5643">
        <f>IF(D5643="KEEP",COUNTIF($D$2:D5643,"KEEP"),"")</f>
        <v/>
      </c>
      <c r="H5643">
        <f>IF(D5643="REMOVE",COUNTIF($D$2:D5643,"REMOVE"),"")</f>
        <v/>
      </c>
      <c r="I5643">
        <f>IF(E5643="Gmail",COUNTIF($E$2:E5643,"Gmail"),"")</f>
        <v/>
      </c>
      <c r="J5643">
        <f>IF(E5643="Outlook",COUNTIF($E$2:E5643,"Outlook"),"")</f>
        <v/>
      </c>
      <c r="K5643">
        <f>IF(E5643="Domain",COUNTIF($E$2:E5643,"Domain"),"")</f>
        <v/>
      </c>
    </row>
    <row r="5644">
      <c r="A5644" s="2" t="n"/>
      <c r="B5644">
        <f>LOWER(TRIM(A5644))</f>
        <v/>
      </c>
      <c r="C5644">
        <f>IF(B5644="","",IFERROR(INDEX('Bad Patterns'!$A$2:$A$120,MATCH(1,INDEX(--ISNUMBER(SEARCH('Bad Patterns'!$A$2:$A$120,B5644)),0),0)),""))</f>
        <v/>
      </c>
      <c r="D5644">
        <f>IF(B5644="","",IF(C5644&lt;&gt;"","REMOVE","KEEP"))</f>
        <v/>
      </c>
      <c r="E5644">
        <f>IF(D5644&lt;&gt;"KEEP","",IF(RIGHT(B5644,10)="@gmail.com","Gmail",IF(OR(RIGHT(B5644,12)="@outlook.com",RIGHT(B5644,12)="@hotmail.com",RIGHT(B5644,9)="@live.com"),"Outlook","Domain")))</f>
        <v/>
      </c>
      <c r="F5644">
        <f>IF(B5644="","",IFERROR(RIGHT(B5644,LEN(B5644)-FIND("@",B5644)),""))</f>
        <v/>
      </c>
      <c r="G5644">
        <f>IF(D5644="KEEP",COUNTIF($D$2:D5644,"KEEP"),"")</f>
        <v/>
      </c>
      <c r="H5644">
        <f>IF(D5644="REMOVE",COUNTIF($D$2:D5644,"REMOVE"),"")</f>
        <v/>
      </c>
      <c r="I5644">
        <f>IF(E5644="Gmail",COUNTIF($E$2:E5644,"Gmail"),"")</f>
        <v/>
      </c>
      <c r="J5644">
        <f>IF(E5644="Outlook",COUNTIF($E$2:E5644,"Outlook"),"")</f>
        <v/>
      </c>
      <c r="K5644">
        <f>IF(E5644="Domain",COUNTIF($E$2:E5644,"Domain"),"")</f>
        <v/>
      </c>
    </row>
    <row r="5645">
      <c r="A5645" s="2" t="n"/>
      <c r="B5645">
        <f>LOWER(TRIM(A5645))</f>
        <v/>
      </c>
      <c r="C5645">
        <f>IF(B5645="","",IFERROR(INDEX('Bad Patterns'!$A$2:$A$120,MATCH(1,INDEX(--ISNUMBER(SEARCH('Bad Patterns'!$A$2:$A$120,B5645)),0),0)),""))</f>
        <v/>
      </c>
      <c r="D5645">
        <f>IF(B5645="","",IF(C5645&lt;&gt;"","REMOVE","KEEP"))</f>
        <v/>
      </c>
      <c r="E5645">
        <f>IF(D5645&lt;&gt;"KEEP","",IF(RIGHT(B5645,10)="@gmail.com","Gmail",IF(OR(RIGHT(B5645,12)="@outlook.com",RIGHT(B5645,12)="@hotmail.com",RIGHT(B5645,9)="@live.com"),"Outlook","Domain")))</f>
        <v/>
      </c>
      <c r="F5645">
        <f>IF(B5645="","",IFERROR(RIGHT(B5645,LEN(B5645)-FIND("@",B5645)),""))</f>
        <v/>
      </c>
      <c r="G5645">
        <f>IF(D5645="KEEP",COUNTIF($D$2:D5645,"KEEP"),"")</f>
        <v/>
      </c>
      <c r="H5645">
        <f>IF(D5645="REMOVE",COUNTIF($D$2:D5645,"REMOVE"),"")</f>
        <v/>
      </c>
      <c r="I5645">
        <f>IF(E5645="Gmail",COUNTIF($E$2:E5645,"Gmail"),"")</f>
        <v/>
      </c>
      <c r="J5645">
        <f>IF(E5645="Outlook",COUNTIF($E$2:E5645,"Outlook"),"")</f>
        <v/>
      </c>
      <c r="K5645">
        <f>IF(E5645="Domain",COUNTIF($E$2:E5645,"Domain"),"")</f>
        <v/>
      </c>
    </row>
    <row r="5646">
      <c r="A5646" s="2" t="n"/>
      <c r="B5646">
        <f>LOWER(TRIM(A5646))</f>
        <v/>
      </c>
      <c r="C5646">
        <f>IF(B5646="","",IFERROR(INDEX('Bad Patterns'!$A$2:$A$120,MATCH(1,INDEX(--ISNUMBER(SEARCH('Bad Patterns'!$A$2:$A$120,B5646)),0),0)),""))</f>
        <v/>
      </c>
      <c r="D5646">
        <f>IF(B5646="","",IF(C5646&lt;&gt;"","REMOVE","KEEP"))</f>
        <v/>
      </c>
      <c r="E5646">
        <f>IF(D5646&lt;&gt;"KEEP","",IF(RIGHT(B5646,10)="@gmail.com","Gmail",IF(OR(RIGHT(B5646,12)="@outlook.com",RIGHT(B5646,12)="@hotmail.com",RIGHT(B5646,9)="@live.com"),"Outlook","Domain")))</f>
        <v/>
      </c>
      <c r="F5646">
        <f>IF(B5646="","",IFERROR(RIGHT(B5646,LEN(B5646)-FIND("@",B5646)),""))</f>
        <v/>
      </c>
      <c r="G5646">
        <f>IF(D5646="KEEP",COUNTIF($D$2:D5646,"KEEP"),"")</f>
        <v/>
      </c>
      <c r="H5646">
        <f>IF(D5646="REMOVE",COUNTIF($D$2:D5646,"REMOVE"),"")</f>
        <v/>
      </c>
      <c r="I5646">
        <f>IF(E5646="Gmail",COUNTIF($E$2:E5646,"Gmail"),"")</f>
        <v/>
      </c>
      <c r="J5646">
        <f>IF(E5646="Outlook",COUNTIF($E$2:E5646,"Outlook"),"")</f>
        <v/>
      </c>
      <c r="K5646">
        <f>IF(E5646="Domain",COUNTIF($E$2:E5646,"Domain"),"")</f>
        <v/>
      </c>
    </row>
    <row r="5647">
      <c r="A5647" s="2" t="n"/>
      <c r="B5647">
        <f>LOWER(TRIM(A5647))</f>
        <v/>
      </c>
      <c r="C5647">
        <f>IF(B5647="","",IFERROR(INDEX('Bad Patterns'!$A$2:$A$120,MATCH(1,INDEX(--ISNUMBER(SEARCH('Bad Patterns'!$A$2:$A$120,B5647)),0),0)),""))</f>
        <v/>
      </c>
      <c r="D5647">
        <f>IF(B5647="","",IF(C5647&lt;&gt;"","REMOVE","KEEP"))</f>
        <v/>
      </c>
      <c r="E5647">
        <f>IF(D5647&lt;&gt;"KEEP","",IF(RIGHT(B5647,10)="@gmail.com","Gmail",IF(OR(RIGHT(B5647,12)="@outlook.com",RIGHT(B5647,12)="@hotmail.com",RIGHT(B5647,9)="@live.com"),"Outlook","Domain")))</f>
        <v/>
      </c>
      <c r="F5647">
        <f>IF(B5647="","",IFERROR(RIGHT(B5647,LEN(B5647)-FIND("@",B5647)),""))</f>
        <v/>
      </c>
      <c r="G5647">
        <f>IF(D5647="KEEP",COUNTIF($D$2:D5647,"KEEP"),"")</f>
        <v/>
      </c>
      <c r="H5647">
        <f>IF(D5647="REMOVE",COUNTIF($D$2:D5647,"REMOVE"),"")</f>
        <v/>
      </c>
      <c r="I5647">
        <f>IF(E5647="Gmail",COUNTIF($E$2:E5647,"Gmail"),"")</f>
        <v/>
      </c>
      <c r="J5647">
        <f>IF(E5647="Outlook",COUNTIF($E$2:E5647,"Outlook"),"")</f>
        <v/>
      </c>
      <c r="K5647">
        <f>IF(E5647="Domain",COUNTIF($E$2:E5647,"Domain"),"")</f>
        <v/>
      </c>
    </row>
    <row r="5648">
      <c r="A5648" s="2" t="n"/>
      <c r="B5648">
        <f>LOWER(TRIM(A5648))</f>
        <v/>
      </c>
      <c r="C5648">
        <f>IF(B5648="","",IFERROR(INDEX('Bad Patterns'!$A$2:$A$120,MATCH(1,INDEX(--ISNUMBER(SEARCH('Bad Patterns'!$A$2:$A$120,B5648)),0),0)),""))</f>
        <v/>
      </c>
      <c r="D5648">
        <f>IF(B5648="","",IF(C5648&lt;&gt;"","REMOVE","KEEP"))</f>
        <v/>
      </c>
      <c r="E5648">
        <f>IF(D5648&lt;&gt;"KEEP","",IF(RIGHT(B5648,10)="@gmail.com","Gmail",IF(OR(RIGHT(B5648,12)="@outlook.com",RIGHT(B5648,12)="@hotmail.com",RIGHT(B5648,9)="@live.com"),"Outlook","Domain")))</f>
        <v/>
      </c>
      <c r="F5648">
        <f>IF(B5648="","",IFERROR(RIGHT(B5648,LEN(B5648)-FIND("@",B5648)),""))</f>
        <v/>
      </c>
      <c r="G5648">
        <f>IF(D5648="KEEP",COUNTIF($D$2:D5648,"KEEP"),"")</f>
        <v/>
      </c>
      <c r="H5648">
        <f>IF(D5648="REMOVE",COUNTIF($D$2:D5648,"REMOVE"),"")</f>
        <v/>
      </c>
      <c r="I5648">
        <f>IF(E5648="Gmail",COUNTIF($E$2:E5648,"Gmail"),"")</f>
        <v/>
      </c>
      <c r="J5648">
        <f>IF(E5648="Outlook",COUNTIF($E$2:E5648,"Outlook"),"")</f>
        <v/>
      </c>
      <c r="K5648">
        <f>IF(E5648="Domain",COUNTIF($E$2:E5648,"Domain"),"")</f>
        <v/>
      </c>
    </row>
    <row r="5649">
      <c r="A5649" s="2" t="n"/>
      <c r="B5649">
        <f>LOWER(TRIM(A5649))</f>
        <v/>
      </c>
      <c r="C5649">
        <f>IF(B5649="","",IFERROR(INDEX('Bad Patterns'!$A$2:$A$120,MATCH(1,INDEX(--ISNUMBER(SEARCH('Bad Patterns'!$A$2:$A$120,B5649)),0),0)),""))</f>
        <v/>
      </c>
      <c r="D5649">
        <f>IF(B5649="","",IF(C5649&lt;&gt;"","REMOVE","KEEP"))</f>
        <v/>
      </c>
      <c r="E5649">
        <f>IF(D5649&lt;&gt;"KEEP","",IF(RIGHT(B5649,10)="@gmail.com","Gmail",IF(OR(RIGHT(B5649,12)="@outlook.com",RIGHT(B5649,12)="@hotmail.com",RIGHT(B5649,9)="@live.com"),"Outlook","Domain")))</f>
        <v/>
      </c>
      <c r="F5649">
        <f>IF(B5649="","",IFERROR(RIGHT(B5649,LEN(B5649)-FIND("@",B5649)),""))</f>
        <v/>
      </c>
      <c r="G5649">
        <f>IF(D5649="KEEP",COUNTIF($D$2:D5649,"KEEP"),"")</f>
        <v/>
      </c>
      <c r="H5649">
        <f>IF(D5649="REMOVE",COUNTIF($D$2:D5649,"REMOVE"),"")</f>
        <v/>
      </c>
      <c r="I5649">
        <f>IF(E5649="Gmail",COUNTIF($E$2:E5649,"Gmail"),"")</f>
        <v/>
      </c>
      <c r="J5649">
        <f>IF(E5649="Outlook",COUNTIF($E$2:E5649,"Outlook"),"")</f>
        <v/>
      </c>
      <c r="K5649">
        <f>IF(E5649="Domain",COUNTIF($E$2:E5649,"Domain"),"")</f>
        <v/>
      </c>
    </row>
    <row r="5650">
      <c r="A5650" s="2" t="n"/>
      <c r="B5650">
        <f>LOWER(TRIM(A5650))</f>
        <v/>
      </c>
      <c r="C5650">
        <f>IF(B5650="","",IFERROR(INDEX('Bad Patterns'!$A$2:$A$120,MATCH(1,INDEX(--ISNUMBER(SEARCH('Bad Patterns'!$A$2:$A$120,B5650)),0),0)),""))</f>
        <v/>
      </c>
      <c r="D5650">
        <f>IF(B5650="","",IF(C5650&lt;&gt;"","REMOVE","KEEP"))</f>
        <v/>
      </c>
      <c r="E5650">
        <f>IF(D5650&lt;&gt;"KEEP","",IF(RIGHT(B5650,10)="@gmail.com","Gmail",IF(OR(RIGHT(B5650,12)="@outlook.com",RIGHT(B5650,12)="@hotmail.com",RIGHT(B5650,9)="@live.com"),"Outlook","Domain")))</f>
        <v/>
      </c>
      <c r="F5650">
        <f>IF(B5650="","",IFERROR(RIGHT(B5650,LEN(B5650)-FIND("@",B5650)),""))</f>
        <v/>
      </c>
      <c r="G5650">
        <f>IF(D5650="KEEP",COUNTIF($D$2:D5650,"KEEP"),"")</f>
        <v/>
      </c>
      <c r="H5650">
        <f>IF(D5650="REMOVE",COUNTIF($D$2:D5650,"REMOVE"),"")</f>
        <v/>
      </c>
      <c r="I5650">
        <f>IF(E5650="Gmail",COUNTIF($E$2:E5650,"Gmail"),"")</f>
        <v/>
      </c>
      <c r="J5650">
        <f>IF(E5650="Outlook",COUNTIF($E$2:E5650,"Outlook"),"")</f>
        <v/>
      </c>
      <c r="K5650">
        <f>IF(E5650="Domain",COUNTIF($E$2:E5650,"Domain"),"")</f>
        <v/>
      </c>
    </row>
    <row r="5651">
      <c r="A5651" s="2" t="n"/>
      <c r="B5651">
        <f>LOWER(TRIM(A5651))</f>
        <v/>
      </c>
      <c r="C5651">
        <f>IF(B5651="","",IFERROR(INDEX('Bad Patterns'!$A$2:$A$120,MATCH(1,INDEX(--ISNUMBER(SEARCH('Bad Patterns'!$A$2:$A$120,B5651)),0),0)),""))</f>
        <v/>
      </c>
      <c r="D5651">
        <f>IF(B5651="","",IF(C5651&lt;&gt;"","REMOVE","KEEP"))</f>
        <v/>
      </c>
      <c r="E5651">
        <f>IF(D5651&lt;&gt;"KEEP","",IF(RIGHT(B5651,10)="@gmail.com","Gmail",IF(OR(RIGHT(B5651,12)="@outlook.com",RIGHT(B5651,12)="@hotmail.com",RIGHT(B5651,9)="@live.com"),"Outlook","Domain")))</f>
        <v/>
      </c>
      <c r="F5651">
        <f>IF(B5651="","",IFERROR(RIGHT(B5651,LEN(B5651)-FIND("@",B5651)),""))</f>
        <v/>
      </c>
      <c r="G5651">
        <f>IF(D5651="KEEP",COUNTIF($D$2:D5651,"KEEP"),"")</f>
        <v/>
      </c>
      <c r="H5651">
        <f>IF(D5651="REMOVE",COUNTIF($D$2:D5651,"REMOVE"),"")</f>
        <v/>
      </c>
      <c r="I5651">
        <f>IF(E5651="Gmail",COUNTIF($E$2:E5651,"Gmail"),"")</f>
        <v/>
      </c>
      <c r="J5651">
        <f>IF(E5651="Outlook",COUNTIF($E$2:E5651,"Outlook"),"")</f>
        <v/>
      </c>
      <c r="K5651">
        <f>IF(E5651="Domain",COUNTIF($E$2:E5651,"Domain"),"")</f>
        <v/>
      </c>
    </row>
    <row r="5652">
      <c r="A5652" s="2" t="n"/>
      <c r="B5652">
        <f>LOWER(TRIM(A5652))</f>
        <v/>
      </c>
      <c r="C5652">
        <f>IF(B5652="","",IFERROR(INDEX('Bad Patterns'!$A$2:$A$120,MATCH(1,INDEX(--ISNUMBER(SEARCH('Bad Patterns'!$A$2:$A$120,B5652)),0),0)),""))</f>
        <v/>
      </c>
      <c r="D5652">
        <f>IF(B5652="","",IF(C5652&lt;&gt;"","REMOVE","KEEP"))</f>
        <v/>
      </c>
      <c r="E5652">
        <f>IF(D5652&lt;&gt;"KEEP","",IF(RIGHT(B5652,10)="@gmail.com","Gmail",IF(OR(RIGHT(B5652,12)="@outlook.com",RIGHT(B5652,12)="@hotmail.com",RIGHT(B5652,9)="@live.com"),"Outlook","Domain")))</f>
        <v/>
      </c>
      <c r="F5652">
        <f>IF(B5652="","",IFERROR(RIGHT(B5652,LEN(B5652)-FIND("@",B5652)),""))</f>
        <v/>
      </c>
      <c r="G5652">
        <f>IF(D5652="KEEP",COUNTIF($D$2:D5652,"KEEP"),"")</f>
        <v/>
      </c>
      <c r="H5652">
        <f>IF(D5652="REMOVE",COUNTIF($D$2:D5652,"REMOVE"),"")</f>
        <v/>
      </c>
      <c r="I5652">
        <f>IF(E5652="Gmail",COUNTIF($E$2:E5652,"Gmail"),"")</f>
        <v/>
      </c>
      <c r="J5652">
        <f>IF(E5652="Outlook",COUNTIF($E$2:E5652,"Outlook"),"")</f>
        <v/>
      </c>
      <c r="K5652">
        <f>IF(E5652="Domain",COUNTIF($E$2:E5652,"Domain"),"")</f>
        <v/>
      </c>
    </row>
    <row r="5653">
      <c r="A5653" s="2" t="n"/>
      <c r="B5653">
        <f>LOWER(TRIM(A5653))</f>
        <v/>
      </c>
      <c r="C5653">
        <f>IF(B5653="","",IFERROR(INDEX('Bad Patterns'!$A$2:$A$120,MATCH(1,INDEX(--ISNUMBER(SEARCH('Bad Patterns'!$A$2:$A$120,B5653)),0),0)),""))</f>
        <v/>
      </c>
      <c r="D5653">
        <f>IF(B5653="","",IF(C5653&lt;&gt;"","REMOVE","KEEP"))</f>
        <v/>
      </c>
      <c r="E5653">
        <f>IF(D5653&lt;&gt;"KEEP","",IF(RIGHT(B5653,10)="@gmail.com","Gmail",IF(OR(RIGHT(B5653,12)="@outlook.com",RIGHT(B5653,12)="@hotmail.com",RIGHT(B5653,9)="@live.com"),"Outlook","Domain")))</f>
        <v/>
      </c>
      <c r="F5653">
        <f>IF(B5653="","",IFERROR(RIGHT(B5653,LEN(B5653)-FIND("@",B5653)),""))</f>
        <v/>
      </c>
      <c r="G5653">
        <f>IF(D5653="KEEP",COUNTIF($D$2:D5653,"KEEP"),"")</f>
        <v/>
      </c>
      <c r="H5653">
        <f>IF(D5653="REMOVE",COUNTIF($D$2:D5653,"REMOVE"),"")</f>
        <v/>
      </c>
      <c r="I5653">
        <f>IF(E5653="Gmail",COUNTIF($E$2:E5653,"Gmail"),"")</f>
        <v/>
      </c>
      <c r="J5653">
        <f>IF(E5653="Outlook",COUNTIF($E$2:E5653,"Outlook"),"")</f>
        <v/>
      </c>
      <c r="K5653">
        <f>IF(E5653="Domain",COUNTIF($E$2:E5653,"Domain"),"")</f>
        <v/>
      </c>
    </row>
    <row r="5654">
      <c r="A5654" s="2" t="n"/>
      <c r="B5654">
        <f>LOWER(TRIM(A5654))</f>
        <v/>
      </c>
      <c r="C5654">
        <f>IF(B5654="","",IFERROR(INDEX('Bad Patterns'!$A$2:$A$120,MATCH(1,INDEX(--ISNUMBER(SEARCH('Bad Patterns'!$A$2:$A$120,B5654)),0),0)),""))</f>
        <v/>
      </c>
      <c r="D5654">
        <f>IF(B5654="","",IF(C5654&lt;&gt;"","REMOVE","KEEP"))</f>
        <v/>
      </c>
      <c r="E5654">
        <f>IF(D5654&lt;&gt;"KEEP","",IF(RIGHT(B5654,10)="@gmail.com","Gmail",IF(OR(RIGHT(B5654,12)="@outlook.com",RIGHT(B5654,12)="@hotmail.com",RIGHT(B5654,9)="@live.com"),"Outlook","Domain")))</f>
        <v/>
      </c>
      <c r="F5654">
        <f>IF(B5654="","",IFERROR(RIGHT(B5654,LEN(B5654)-FIND("@",B5654)),""))</f>
        <v/>
      </c>
      <c r="G5654">
        <f>IF(D5654="KEEP",COUNTIF($D$2:D5654,"KEEP"),"")</f>
        <v/>
      </c>
      <c r="H5654">
        <f>IF(D5654="REMOVE",COUNTIF($D$2:D5654,"REMOVE"),"")</f>
        <v/>
      </c>
      <c r="I5654">
        <f>IF(E5654="Gmail",COUNTIF($E$2:E5654,"Gmail"),"")</f>
        <v/>
      </c>
      <c r="J5654">
        <f>IF(E5654="Outlook",COUNTIF($E$2:E5654,"Outlook"),"")</f>
        <v/>
      </c>
      <c r="K5654">
        <f>IF(E5654="Domain",COUNTIF($E$2:E5654,"Domain"),"")</f>
        <v/>
      </c>
    </row>
    <row r="5655">
      <c r="A5655" s="2" t="n"/>
      <c r="B5655">
        <f>LOWER(TRIM(A5655))</f>
        <v/>
      </c>
      <c r="C5655">
        <f>IF(B5655="","",IFERROR(INDEX('Bad Patterns'!$A$2:$A$120,MATCH(1,INDEX(--ISNUMBER(SEARCH('Bad Patterns'!$A$2:$A$120,B5655)),0),0)),""))</f>
        <v/>
      </c>
      <c r="D5655">
        <f>IF(B5655="","",IF(C5655&lt;&gt;"","REMOVE","KEEP"))</f>
        <v/>
      </c>
      <c r="E5655">
        <f>IF(D5655&lt;&gt;"KEEP","",IF(RIGHT(B5655,10)="@gmail.com","Gmail",IF(OR(RIGHT(B5655,12)="@outlook.com",RIGHT(B5655,12)="@hotmail.com",RIGHT(B5655,9)="@live.com"),"Outlook","Domain")))</f>
        <v/>
      </c>
      <c r="F5655">
        <f>IF(B5655="","",IFERROR(RIGHT(B5655,LEN(B5655)-FIND("@",B5655)),""))</f>
        <v/>
      </c>
      <c r="G5655">
        <f>IF(D5655="KEEP",COUNTIF($D$2:D5655,"KEEP"),"")</f>
        <v/>
      </c>
      <c r="H5655">
        <f>IF(D5655="REMOVE",COUNTIF($D$2:D5655,"REMOVE"),"")</f>
        <v/>
      </c>
      <c r="I5655">
        <f>IF(E5655="Gmail",COUNTIF($E$2:E5655,"Gmail"),"")</f>
        <v/>
      </c>
      <c r="J5655">
        <f>IF(E5655="Outlook",COUNTIF($E$2:E5655,"Outlook"),"")</f>
        <v/>
      </c>
      <c r="K5655">
        <f>IF(E5655="Domain",COUNTIF($E$2:E5655,"Domain"),"")</f>
        <v/>
      </c>
    </row>
    <row r="5656">
      <c r="A5656" s="2" t="n"/>
      <c r="B5656">
        <f>LOWER(TRIM(A5656))</f>
        <v/>
      </c>
      <c r="C5656">
        <f>IF(B5656="","",IFERROR(INDEX('Bad Patterns'!$A$2:$A$120,MATCH(1,INDEX(--ISNUMBER(SEARCH('Bad Patterns'!$A$2:$A$120,B5656)),0),0)),""))</f>
        <v/>
      </c>
      <c r="D5656">
        <f>IF(B5656="","",IF(C5656&lt;&gt;"","REMOVE","KEEP"))</f>
        <v/>
      </c>
      <c r="E5656">
        <f>IF(D5656&lt;&gt;"KEEP","",IF(RIGHT(B5656,10)="@gmail.com","Gmail",IF(OR(RIGHT(B5656,12)="@outlook.com",RIGHT(B5656,12)="@hotmail.com",RIGHT(B5656,9)="@live.com"),"Outlook","Domain")))</f>
        <v/>
      </c>
      <c r="F5656">
        <f>IF(B5656="","",IFERROR(RIGHT(B5656,LEN(B5656)-FIND("@",B5656)),""))</f>
        <v/>
      </c>
      <c r="G5656">
        <f>IF(D5656="KEEP",COUNTIF($D$2:D5656,"KEEP"),"")</f>
        <v/>
      </c>
      <c r="H5656">
        <f>IF(D5656="REMOVE",COUNTIF($D$2:D5656,"REMOVE"),"")</f>
        <v/>
      </c>
      <c r="I5656">
        <f>IF(E5656="Gmail",COUNTIF($E$2:E5656,"Gmail"),"")</f>
        <v/>
      </c>
      <c r="J5656">
        <f>IF(E5656="Outlook",COUNTIF($E$2:E5656,"Outlook"),"")</f>
        <v/>
      </c>
      <c r="K5656">
        <f>IF(E5656="Domain",COUNTIF($E$2:E5656,"Domain"),"")</f>
        <v/>
      </c>
    </row>
    <row r="5657">
      <c r="A5657" s="2" t="n"/>
      <c r="B5657">
        <f>LOWER(TRIM(A5657))</f>
        <v/>
      </c>
      <c r="C5657">
        <f>IF(B5657="","",IFERROR(INDEX('Bad Patterns'!$A$2:$A$120,MATCH(1,INDEX(--ISNUMBER(SEARCH('Bad Patterns'!$A$2:$A$120,B5657)),0),0)),""))</f>
        <v/>
      </c>
      <c r="D5657">
        <f>IF(B5657="","",IF(C5657&lt;&gt;"","REMOVE","KEEP"))</f>
        <v/>
      </c>
      <c r="E5657">
        <f>IF(D5657&lt;&gt;"KEEP","",IF(RIGHT(B5657,10)="@gmail.com","Gmail",IF(OR(RIGHT(B5657,12)="@outlook.com",RIGHT(B5657,12)="@hotmail.com",RIGHT(B5657,9)="@live.com"),"Outlook","Domain")))</f>
        <v/>
      </c>
      <c r="F5657">
        <f>IF(B5657="","",IFERROR(RIGHT(B5657,LEN(B5657)-FIND("@",B5657)),""))</f>
        <v/>
      </c>
      <c r="G5657">
        <f>IF(D5657="KEEP",COUNTIF($D$2:D5657,"KEEP"),"")</f>
        <v/>
      </c>
      <c r="H5657">
        <f>IF(D5657="REMOVE",COUNTIF($D$2:D5657,"REMOVE"),"")</f>
        <v/>
      </c>
      <c r="I5657">
        <f>IF(E5657="Gmail",COUNTIF($E$2:E5657,"Gmail"),"")</f>
        <v/>
      </c>
      <c r="J5657">
        <f>IF(E5657="Outlook",COUNTIF($E$2:E5657,"Outlook"),"")</f>
        <v/>
      </c>
      <c r="K5657">
        <f>IF(E5657="Domain",COUNTIF($E$2:E5657,"Domain"),"")</f>
        <v/>
      </c>
    </row>
    <row r="5658">
      <c r="A5658" s="2" t="n"/>
      <c r="B5658">
        <f>LOWER(TRIM(A5658))</f>
        <v/>
      </c>
      <c r="C5658">
        <f>IF(B5658="","",IFERROR(INDEX('Bad Patterns'!$A$2:$A$120,MATCH(1,INDEX(--ISNUMBER(SEARCH('Bad Patterns'!$A$2:$A$120,B5658)),0),0)),""))</f>
        <v/>
      </c>
      <c r="D5658">
        <f>IF(B5658="","",IF(C5658&lt;&gt;"","REMOVE","KEEP"))</f>
        <v/>
      </c>
      <c r="E5658">
        <f>IF(D5658&lt;&gt;"KEEP","",IF(RIGHT(B5658,10)="@gmail.com","Gmail",IF(OR(RIGHT(B5658,12)="@outlook.com",RIGHT(B5658,12)="@hotmail.com",RIGHT(B5658,9)="@live.com"),"Outlook","Domain")))</f>
        <v/>
      </c>
      <c r="F5658">
        <f>IF(B5658="","",IFERROR(RIGHT(B5658,LEN(B5658)-FIND("@",B5658)),""))</f>
        <v/>
      </c>
      <c r="G5658">
        <f>IF(D5658="KEEP",COUNTIF($D$2:D5658,"KEEP"),"")</f>
        <v/>
      </c>
      <c r="H5658">
        <f>IF(D5658="REMOVE",COUNTIF($D$2:D5658,"REMOVE"),"")</f>
        <v/>
      </c>
      <c r="I5658">
        <f>IF(E5658="Gmail",COUNTIF($E$2:E5658,"Gmail"),"")</f>
        <v/>
      </c>
      <c r="J5658">
        <f>IF(E5658="Outlook",COUNTIF($E$2:E5658,"Outlook"),"")</f>
        <v/>
      </c>
      <c r="K5658">
        <f>IF(E5658="Domain",COUNTIF($E$2:E5658,"Domain"),"")</f>
        <v/>
      </c>
    </row>
    <row r="5659">
      <c r="A5659" s="2" t="n"/>
      <c r="B5659">
        <f>LOWER(TRIM(A5659))</f>
        <v/>
      </c>
      <c r="C5659">
        <f>IF(B5659="","",IFERROR(INDEX('Bad Patterns'!$A$2:$A$120,MATCH(1,INDEX(--ISNUMBER(SEARCH('Bad Patterns'!$A$2:$A$120,B5659)),0),0)),""))</f>
        <v/>
      </c>
      <c r="D5659">
        <f>IF(B5659="","",IF(C5659&lt;&gt;"","REMOVE","KEEP"))</f>
        <v/>
      </c>
      <c r="E5659">
        <f>IF(D5659&lt;&gt;"KEEP","",IF(RIGHT(B5659,10)="@gmail.com","Gmail",IF(OR(RIGHT(B5659,12)="@outlook.com",RIGHT(B5659,12)="@hotmail.com",RIGHT(B5659,9)="@live.com"),"Outlook","Domain")))</f>
        <v/>
      </c>
      <c r="F5659">
        <f>IF(B5659="","",IFERROR(RIGHT(B5659,LEN(B5659)-FIND("@",B5659)),""))</f>
        <v/>
      </c>
      <c r="G5659">
        <f>IF(D5659="KEEP",COUNTIF($D$2:D5659,"KEEP"),"")</f>
        <v/>
      </c>
      <c r="H5659">
        <f>IF(D5659="REMOVE",COUNTIF($D$2:D5659,"REMOVE"),"")</f>
        <v/>
      </c>
      <c r="I5659">
        <f>IF(E5659="Gmail",COUNTIF($E$2:E5659,"Gmail"),"")</f>
        <v/>
      </c>
      <c r="J5659">
        <f>IF(E5659="Outlook",COUNTIF($E$2:E5659,"Outlook"),"")</f>
        <v/>
      </c>
      <c r="K5659">
        <f>IF(E5659="Domain",COUNTIF($E$2:E5659,"Domain"),"")</f>
        <v/>
      </c>
    </row>
    <row r="5660">
      <c r="A5660" s="2" t="n"/>
      <c r="B5660">
        <f>LOWER(TRIM(A5660))</f>
        <v/>
      </c>
      <c r="C5660">
        <f>IF(B5660="","",IFERROR(INDEX('Bad Patterns'!$A$2:$A$120,MATCH(1,INDEX(--ISNUMBER(SEARCH('Bad Patterns'!$A$2:$A$120,B5660)),0),0)),""))</f>
        <v/>
      </c>
      <c r="D5660">
        <f>IF(B5660="","",IF(C5660&lt;&gt;"","REMOVE","KEEP"))</f>
        <v/>
      </c>
      <c r="E5660">
        <f>IF(D5660&lt;&gt;"KEEP","",IF(RIGHT(B5660,10)="@gmail.com","Gmail",IF(OR(RIGHT(B5660,12)="@outlook.com",RIGHT(B5660,12)="@hotmail.com",RIGHT(B5660,9)="@live.com"),"Outlook","Domain")))</f>
        <v/>
      </c>
      <c r="F5660">
        <f>IF(B5660="","",IFERROR(RIGHT(B5660,LEN(B5660)-FIND("@",B5660)),""))</f>
        <v/>
      </c>
      <c r="G5660">
        <f>IF(D5660="KEEP",COUNTIF($D$2:D5660,"KEEP"),"")</f>
        <v/>
      </c>
      <c r="H5660">
        <f>IF(D5660="REMOVE",COUNTIF($D$2:D5660,"REMOVE"),"")</f>
        <v/>
      </c>
      <c r="I5660">
        <f>IF(E5660="Gmail",COUNTIF($E$2:E5660,"Gmail"),"")</f>
        <v/>
      </c>
      <c r="J5660">
        <f>IF(E5660="Outlook",COUNTIF($E$2:E5660,"Outlook"),"")</f>
        <v/>
      </c>
      <c r="K5660">
        <f>IF(E5660="Domain",COUNTIF($E$2:E5660,"Domain"),"")</f>
        <v/>
      </c>
    </row>
    <row r="5661">
      <c r="A5661" s="2" t="n"/>
      <c r="B5661">
        <f>LOWER(TRIM(A5661))</f>
        <v/>
      </c>
      <c r="C5661">
        <f>IF(B5661="","",IFERROR(INDEX('Bad Patterns'!$A$2:$A$120,MATCH(1,INDEX(--ISNUMBER(SEARCH('Bad Patterns'!$A$2:$A$120,B5661)),0),0)),""))</f>
        <v/>
      </c>
      <c r="D5661">
        <f>IF(B5661="","",IF(C5661&lt;&gt;"","REMOVE","KEEP"))</f>
        <v/>
      </c>
      <c r="E5661">
        <f>IF(D5661&lt;&gt;"KEEP","",IF(RIGHT(B5661,10)="@gmail.com","Gmail",IF(OR(RIGHT(B5661,12)="@outlook.com",RIGHT(B5661,12)="@hotmail.com",RIGHT(B5661,9)="@live.com"),"Outlook","Domain")))</f>
        <v/>
      </c>
      <c r="F5661">
        <f>IF(B5661="","",IFERROR(RIGHT(B5661,LEN(B5661)-FIND("@",B5661)),""))</f>
        <v/>
      </c>
      <c r="G5661">
        <f>IF(D5661="KEEP",COUNTIF($D$2:D5661,"KEEP"),"")</f>
        <v/>
      </c>
      <c r="H5661">
        <f>IF(D5661="REMOVE",COUNTIF($D$2:D5661,"REMOVE"),"")</f>
        <v/>
      </c>
      <c r="I5661">
        <f>IF(E5661="Gmail",COUNTIF($E$2:E5661,"Gmail"),"")</f>
        <v/>
      </c>
      <c r="J5661">
        <f>IF(E5661="Outlook",COUNTIF($E$2:E5661,"Outlook"),"")</f>
        <v/>
      </c>
      <c r="K5661">
        <f>IF(E5661="Domain",COUNTIF($E$2:E5661,"Domain"),"")</f>
        <v/>
      </c>
    </row>
    <row r="5662">
      <c r="A5662" s="2" t="n"/>
      <c r="B5662">
        <f>LOWER(TRIM(A5662))</f>
        <v/>
      </c>
      <c r="C5662">
        <f>IF(B5662="","",IFERROR(INDEX('Bad Patterns'!$A$2:$A$120,MATCH(1,INDEX(--ISNUMBER(SEARCH('Bad Patterns'!$A$2:$A$120,B5662)),0),0)),""))</f>
        <v/>
      </c>
      <c r="D5662">
        <f>IF(B5662="","",IF(C5662&lt;&gt;"","REMOVE","KEEP"))</f>
        <v/>
      </c>
      <c r="E5662">
        <f>IF(D5662&lt;&gt;"KEEP","",IF(RIGHT(B5662,10)="@gmail.com","Gmail",IF(OR(RIGHT(B5662,12)="@outlook.com",RIGHT(B5662,12)="@hotmail.com",RIGHT(B5662,9)="@live.com"),"Outlook","Domain")))</f>
        <v/>
      </c>
      <c r="F5662">
        <f>IF(B5662="","",IFERROR(RIGHT(B5662,LEN(B5662)-FIND("@",B5662)),""))</f>
        <v/>
      </c>
      <c r="G5662">
        <f>IF(D5662="KEEP",COUNTIF($D$2:D5662,"KEEP"),"")</f>
        <v/>
      </c>
      <c r="H5662">
        <f>IF(D5662="REMOVE",COUNTIF($D$2:D5662,"REMOVE"),"")</f>
        <v/>
      </c>
      <c r="I5662">
        <f>IF(E5662="Gmail",COUNTIF($E$2:E5662,"Gmail"),"")</f>
        <v/>
      </c>
      <c r="J5662">
        <f>IF(E5662="Outlook",COUNTIF($E$2:E5662,"Outlook"),"")</f>
        <v/>
      </c>
      <c r="K5662">
        <f>IF(E5662="Domain",COUNTIF($E$2:E5662,"Domain"),"")</f>
        <v/>
      </c>
    </row>
    <row r="5663">
      <c r="A5663" s="2" t="n"/>
      <c r="B5663">
        <f>LOWER(TRIM(A5663))</f>
        <v/>
      </c>
      <c r="C5663">
        <f>IF(B5663="","",IFERROR(INDEX('Bad Patterns'!$A$2:$A$120,MATCH(1,INDEX(--ISNUMBER(SEARCH('Bad Patterns'!$A$2:$A$120,B5663)),0),0)),""))</f>
        <v/>
      </c>
      <c r="D5663">
        <f>IF(B5663="","",IF(C5663&lt;&gt;"","REMOVE","KEEP"))</f>
        <v/>
      </c>
      <c r="E5663">
        <f>IF(D5663&lt;&gt;"KEEP","",IF(RIGHT(B5663,10)="@gmail.com","Gmail",IF(OR(RIGHT(B5663,12)="@outlook.com",RIGHT(B5663,12)="@hotmail.com",RIGHT(B5663,9)="@live.com"),"Outlook","Domain")))</f>
        <v/>
      </c>
      <c r="F5663">
        <f>IF(B5663="","",IFERROR(RIGHT(B5663,LEN(B5663)-FIND("@",B5663)),""))</f>
        <v/>
      </c>
      <c r="G5663">
        <f>IF(D5663="KEEP",COUNTIF($D$2:D5663,"KEEP"),"")</f>
        <v/>
      </c>
      <c r="H5663">
        <f>IF(D5663="REMOVE",COUNTIF($D$2:D5663,"REMOVE"),"")</f>
        <v/>
      </c>
      <c r="I5663">
        <f>IF(E5663="Gmail",COUNTIF($E$2:E5663,"Gmail"),"")</f>
        <v/>
      </c>
      <c r="J5663">
        <f>IF(E5663="Outlook",COUNTIF($E$2:E5663,"Outlook"),"")</f>
        <v/>
      </c>
      <c r="K5663">
        <f>IF(E5663="Domain",COUNTIF($E$2:E5663,"Domain"),"")</f>
        <v/>
      </c>
    </row>
    <row r="5664">
      <c r="A5664" s="2" t="n"/>
      <c r="B5664">
        <f>LOWER(TRIM(A5664))</f>
        <v/>
      </c>
      <c r="C5664">
        <f>IF(B5664="","",IFERROR(INDEX('Bad Patterns'!$A$2:$A$120,MATCH(1,INDEX(--ISNUMBER(SEARCH('Bad Patterns'!$A$2:$A$120,B5664)),0),0)),""))</f>
        <v/>
      </c>
      <c r="D5664">
        <f>IF(B5664="","",IF(C5664&lt;&gt;"","REMOVE","KEEP"))</f>
        <v/>
      </c>
      <c r="E5664">
        <f>IF(D5664&lt;&gt;"KEEP","",IF(RIGHT(B5664,10)="@gmail.com","Gmail",IF(OR(RIGHT(B5664,12)="@outlook.com",RIGHT(B5664,12)="@hotmail.com",RIGHT(B5664,9)="@live.com"),"Outlook","Domain")))</f>
        <v/>
      </c>
      <c r="F5664">
        <f>IF(B5664="","",IFERROR(RIGHT(B5664,LEN(B5664)-FIND("@",B5664)),""))</f>
        <v/>
      </c>
      <c r="G5664">
        <f>IF(D5664="KEEP",COUNTIF($D$2:D5664,"KEEP"),"")</f>
        <v/>
      </c>
      <c r="H5664">
        <f>IF(D5664="REMOVE",COUNTIF($D$2:D5664,"REMOVE"),"")</f>
        <v/>
      </c>
      <c r="I5664">
        <f>IF(E5664="Gmail",COUNTIF($E$2:E5664,"Gmail"),"")</f>
        <v/>
      </c>
      <c r="J5664">
        <f>IF(E5664="Outlook",COUNTIF($E$2:E5664,"Outlook"),"")</f>
        <v/>
      </c>
      <c r="K5664">
        <f>IF(E5664="Domain",COUNTIF($E$2:E5664,"Domain"),"")</f>
        <v/>
      </c>
    </row>
    <row r="5665">
      <c r="A5665" s="2" t="n"/>
      <c r="B5665">
        <f>LOWER(TRIM(A5665))</f>
        <v/>
      </c>
      <c r="C5665">
        <f>IF(B5665="","",IFERROR(INDEX('Bad Patterns'!$A$2:$A$120,MATCH(1,INDEX(--ISNUMBER(SEARCH('Bad Patterns'!$A$2:$A$120,B5665)),0),0)),""))</f>
        <v/>
      </c>
      <c r="D5665">
        <f>IF(B5665="","",IF(C5665&lt;&gt;"","REMOVE","KEEP"))</f>
        <v/>
      </c>
      <c r="E5665">
        <f>IF(D5665&lt;&gt;"KEEP","",IF(RIGHT(B5665,10)="@gmail.com","Gmail",IF(OR(RIGHT(B5665,12)="@outlook.com",RIGHT(B5665,12)="@hotmail.com",RIGHT(B5665,9)="@live.com"),"Outlook","Domain")))</f>
        <v/>
      </c>
      <c r="F5665">
        <f>IF(B5665="","",IFERROR(RIGHT(B5665,LEN(B5665)-FIND("@",B5665)),""))</f>
        <v/>
      </c>
      <c r="G5665">
        <f>IF(D5665="KEEP",COUNTIF($D$2:D5665,"KEEP"),"")</f>
        <v/>
      </c>
      <c r="H5665">
        <f>IF(D5665="REMOVE",COUNTIF($D$2:D5665,"REMOVE"),"")</f>
        <v/>
      </c>
      <c r="I5665">
        <f>IF(E5665="Gmail",COUNTIF($E$2:E5665,"Gmail"),"")</f>
        <v/>
      </c>
      <c r="J5665">
        <f>IF(E5665="Outlook",COUNTIF($E$2:E5665,"Outlook"),"")</f>
        <v/>
      </c>
      <c r="K5665">
        <f>IF(E5665="Domain",COUNTIF($E$2:E5665,"Domain"),"")</f>
        <v/>
      </c>
    </row>
    <row r="5666">
      <c r="A5666" s="2" t="n"/>
      <c r="B5666">
        <f>LOWER(TRIM(A5666))</f>
        <v/>
      </c>
      <c r="C5666">
        <f>IF(B5666="","",IFERROR(INDEX('Bad Patterns'!$A$2:$A$120,MATCH(1,INDEX(--ISNUMBER(SEARCH('Bad Patterns'!$A$2:$A$120,B5666)),0),0)),""))</f>
        <v/>
      </c>
      <c r="D5666">
        <f>IF(B5666="","",IF(C5666&lt;&gt;"","REMOVE","KEEP"))</f>
        <v/>
      </c>
      <c r="E5666">
        <f>IF(D5666&lt;&gt;"KEEP","",IF(RIGHT(B5666,10)="@gmail.com","Gmail",IF(OR(RIGHT(B5666,12)="@outlook.com",RIGHT(B5666,12)="@hotmail.com",RIGHT(B5666,9)="@live.com"),"Outlook","Domain")))</f>
        <v/>
      </c>
      <c r="F5666">
        <f>IF(B5666="","",IFERROR(RIGHT(B5666,LEN(B5666)-FIND("@",B5666)),""))</f>
        <v/>
      </c>
      <c r="G5666">
        <f>IF(D5666="KEEP",COUNTIF($D$2:D5666,"KEEP"),"")</f>
        <v/>
      </c>
      <c r="H5666">
        <f>IF(D5666="REMOVE",COUNTIF($D$2:D5666,"REMOVE"),"")</f>
        <v/>
      </c>
      <c r="I5666">
        <f>IF(E5666="Gmail",COUNTIF($E$2:E5666,"Gmail"),"")</f>
        <v/>
      </c>
      <c r="J5666">
        <f>IF(E5666="Outlook",COUNTIF($E$2:E5666,"Outlook"),"")</f>
        <v/>
      </c>
      <c r="K5666">
        <f>IF(E5666="Domain",COUNTIF($E$2:E5666,"Domain"),"")</f>
        <v/>
      </c>
    </row>
    <row r="5667">
      <c r="A5667" s="2" t="n"/>
      <c r="B5667">
        <f>LOWER(TRIM(A5667))</f>
        <v/>
      </c>
      <c r="C5667">
        <f>IF(B5667="","",IFERROR(INDEX('Bad Patterns'!$A$2:$A$120,MATCH(1,INDEX(--ISNUMBER(SEARCH('Bad Patterns'!$A$2:$A$120,B5667)),0),0)),""))</f>
        <v/>
      </c>
      <c r="D5667">
        <f>IF(B5667="","",IF(C5667&lt;&gt;"","REMOVE","KEEP"))</f>
        <v/>
      </c>
      <c r="E5667">
        <f>IF(D5667&lt;&gt;"KEEP","",IF(RIGHT(B5667,10)="@gmail.com","Gmail",IF(OR(RIGHT(B5667,12)="@outlook.com",RIGHT(B5667,12)="@hotmail.com",RIGHT(B5667,9)="@live.com"),"Outlook","Domain")))</f>
        <v/>
      </c>
      <c r="F5667">
        <f>IF(B5667="","",IFERROR(RIGHT(B5667,LEN(B5667)-FIND("@",B5667)),""))</f>
        <v/>
      </c>
      <c r="G5667">
        <f>IF(D5667="KEEP",COUNTIF($D$2:D5667,"KEEP"),"")</f>
        <v/>
      </c>
      <c r="H5667">
        <f>IF(D5667="REMOVE",COUNTIF($D$2:D5667,"REMOVE"),"")</f>
        <v/>
      </c>
      <c r="I5667">
        <f>IF(E5667="Gmail",COUNTIF($E$2:E5667,"Gmail"),"")</f>
        <v/>
      </c>
      <c r="J5667">
        <f>IF(E5667="Outlook",COUNTIF($E$2:E5667,"Outlook"),"")</f>
        <v/>
      </c>
      <c r="K5667">
        <f>IF(E5667="Domain",COUNTIF($E$2:E5667,"Domain"),"")</f>
        <v/>
      </c>
    </row>
    <row r="5668">
      <c r="A5668" s="2" t="n"/>
      <c r="B5668">
        <f>LOWER(TRIM(A5668))</f>
        <v/>
      </c>
      <c r="C5668">
        <f>IF(B5668="","",IFERROR(INDEX('Bad Patterns'!$A$2:$A$120,MATCH(1,INDEX(--ISNUMBER(SEARCH('Bad Patterns'!$A$2:$A$120,B5668)),0),0)),""))</f>
        <v/>
      </c>
      <c r="D5668">
        <f>IF(B5668="","",IF(C5668&lt;&gt;"","REMOVE","KEEP"))</f>
        <v/>
      </c>
      <c r="E5668">
        <f>IF(D5668&lt;&gt;"KEEP","",IF(RIGHT(B5668,10)="@gmail.com","Gmail",IF(OR(RIGHT(B5668,12)="@outlook.com",RIGHT(B5668,12)="@hotmail.com",RIGHT(B5668,9)="@live.com"),"Outlook","Domain")))</f>
        <v/>
      </c>
      <c r="F5668">
        <f>IF(B5668="","",IFERROR(RIGHT(B5668,LEN(B5668)-FIND("@",B5668)),""))</f>
        <v/>
      </c>
      <c r="G5668">
        <f>IF(D5668="KEEP",COUNTIF($D$2:D5668,"KEEP"),"")</f>
        <v/>
      </c>
      <c r="H5668">
        <f>IF(D5668="REMOVE",COUNTIF($D$2:D5668,"REMOVE"),"")</f>
        <v/>
      </c>
      <c r="I5668">
        <f>IF(E5668="Gmail",COUNTIF($E$2:E5668,"Gmail"),"")</f>
        <v/>
      </c>
      <c r="J5668">
        <f>IF(E5668="Outlook",COUNTIF($E$2:E5668,"Outlook"),"")</f>
        <v/>
      </c>
      <c r="K5668">
        <f>IF(E5668="Domain",COUNTIF($E$2:E5668,"Domain"),"")</f>
        <v/>
      </c>
    </row>
    <row r="5669">
      <c r="A5669" s="2" t="n"/>
      <c r="B5669">
        <f>LOWER(TRIM(A5669))</f>
        <v/>
      </c>
      <c r="C5669">
        <f>IF(B5669="","",IFERROR(INDEX('Bad Patterns'!$A$2:$A$120,MATCH(1,INDEX(--ISNUMBER(SEARCH('Bad Patterns'!$A$2:$A$120,B5669)),0),0)),""))</f>
        <v/>
      </c>
      <c r="D5669">
        <f>IF(B5669="","",IF(C5669&lt;&gt;"","REMOVE","KEEP"))</f>
        <v/>
      </c>
      <c r="E5669">
        <f>IF(D5669&lt;&gt;"KEEP","",IF(RIGHT(B5669,10)="@gmail.com","Gmail",IF(OR(RIGHT(B5669,12)="@outlook.com",RIGHT(B5669,12)="@hotmail.com",RIGHT(B5669,9)="@live.com"),"Outlook","Domain")))</f>
        <v/>
      </c>
      <c r="F5669">
        <f>IF(B5669="","",IFERROR(RIGHT(B5669,LEN(B5669)-FIND("@",B5669)),""))</f>
        <v/>
      </c>
      <c r="G5669">
        <f>IF(D5669="KEEP",COUNTIF($D$2:D5669,"KEEP"),"")</f>
        <v/>
      </c>
      <c r="H5669">
        <f>IF(D5669="REMOVE",COUNTIF($D$2:D5669,"REMOVE"),"")</f>
        <v/>
      </c>
      <c r="I5669">
        <f>IF(E5669="Gmail",COUNTIF($E$2:E5669,"Gmail"),"")</f>
        <v/>
      </c>
      <c r="J5669">
        <f>IF(E5669="Outlook",COUNTIF($E$2:E5669,"Outlook"),"")</f>
        <v/>
      </c>
      <c r="K5669">
        <f>IF(E5669="Domain",COUNTIF($E$2:E5669,"Domain"),"")</f>
        <v/>
      </c>
    </row>
    <row r="5670">
      <c r="A5670" s="2" t="n"/>
      <c r="B5670">
        <f>LOWER(TRIM(A5670))</f>
        <v/>
      </c>
      <c r="C5670">
        <f>IF(B5670="","",IFERROR(INDEX('Bad Patterns'!$A$2:$A$120,MATCH(1,INDEX(--ISNUMBER(SEARCH('Bad Patterns'!$A$2:$A$120,B5670)),0),0)),""))</f>
        <v/>
      </c>
      <c r="D5670">
        <f>IF(B5670="","",IF(C5670&lt;&gt;"","REMOVE","KEEP"))</f>
        <v/>
      </c>
      <c r="E5670">
        <f>IF(D5670&lt;&gt;"KEEP","",IF(RIGHT(B5670,10)="@gmail.com","Gmail",IF(OR(RIGHT(B5670,12)="@outlook.com",RIGHT(B5670,12)="@hotmail.com",RIGHT(B5670,9)="@live.com"),"Outlook","Domain")))</f>
        <v/>
      </c>
      <c r="F5670">
        <f>IF(B5670="","",IFERROR(RIGHT(B5670,LEN(B5670)-FIND("@",B5670)),""))</f>
        <v/>
      </c>
      <c r="G5670">
        <f>IF(D5670="KEEP",COUNTIF($D$2:D5670,"KEEP"),"")</f>
        <v/>
      </c>
      <c r="H5670">
        <f>IF(D5670="REMOVE",COUNTIF($D$2:D5670,"REMOVE"),"")</f>
        <v/>
      </c>
      <c r="I5670">
        <f>IF(E5670="Gmail",COUNTIF($E$2:E5670,"Gmail"),"")</f>
        <v/>
      </c>
      <c r="J5670">
        <f>IF(E5670="Outlook",COUNTIF($E$2:E5670,"Outlook"),"")</f>
        <v/>
      </c>
      <c r="K5670">
        <f>IF(E5670="Domain",COUNTIF($E$2:E5670,"Domain"),"")</f>
        <v/>
      </c>
    </row>
    <row r="5671">
      <c r="A5671" s="2" t="n"/>
      <c r="B5671">
        <f>LOWER(TRIM(A5671))</f>
        <v/>
      </c>
      <c r="C5671">
        <f>IF(B5671="","",IFERROR(INDEX('Bad Patterns'!$A$2:$A$120,MATCH(1,INDEX(--ISNUMBER(SEARCH('Bad Patterns'!$A$2:$A$120,B5671)),0),0)),""))</f>
        <v/>
      </c>
      <c r="D5671">
        <f>IF(B5671="","",IF(C5671&lt;&gt;"","REMOVE","KEEP"))</f>
        <v/>
      </c>
      <c r="E5671">
        <f>IF(D5671&lt;&gt;"KEEP","",IF(RIGHT(B5671,10)="@gmail.com","Gmail",IF(OR(RIGHT(B5671,12)="@outlook.com",RIGHT(B5671,12)="@hotmail.com",RIGHT(B5671,9)="@live.com"),"Outlook","Domain")))</f>
        <v/>
      </c>
      <c r="F5671">
        <f>IF(B5671="","",IFERROR(RIGHT(B5671,LEN(B5671)-FIND("@",B5671)),""))</f>
        <v/>
      </c>
      <c r="G5671">
        <f>IF(D5671="KEEP",COUNTIF($D$2:D5671,"KEEP"),"")</f>
        <v/>
      </c>
      <c r="H5671">
        <f>IF(D5671="REMOVE",COUNTIF($D$2:D5671,"REMOVE"),"")</f>
        <v/>
      </c>
      <c r="I5671">
        <f>IF(E5671="Gmail",COUNTIF($E$2:E5671,"Gmail"),"")</f>
        <v/>
      </c>
      <c r="J5671">
        <f>IF(E5671="Outlook",COUNTIF($E$2:E5671,"Outlook"),"")</f>
        <v/>
      </c>
      <c r="K5671">
        <f>IF(E5671="Domain",COUNTIF($E$2:E5671,"Domain"),"")</f>
        <v/>
      </c>
    </row>
    <row r="5672">
      <c r="A5672" s="2" t="n"/>
      <c r="B5672">
        <f>LOWER(TRIM(A5672))</f>
        <v/>
      </c>
      <c r="C5672">
        <f>IF(B5672="","",IFERROR(INDEX('Bad Patterns'!$A$2:$A$120,MATCH(1,INDEX(--ISNUMBER(SEARCH('Bad Patterns'!$A$2:$A$120,B5672)),0),0)),""))</f>
        <v/>
      </c>
      <c r="D5672">
        <f>IF(B5672="","",IF(C5672&lt;&gt;"","REMOVE","KEEP"))</f>
        <v/>
      </c>
      <c r="E5672">
        <f>IF(D5672&lt;&gt;"KEEP","",IF(RIGHT(B5672,10)="@gmail.com","Gmail",IF(OR(RIGHT(B5672,12)="@outlook.com",RIGHT(B5672,12)="@hotmail.com",RIGHT(B5672,9)="@live.com"),"Outlook","Domain")))</f>
        <v/>
      </c>
      <c r="F5672">
        <f>IF(B5672="","",IFERROR(RIGHT(B5672,LEN(B5672)-FIND("@",B5672)),""))</f>
        <v/>
      </c>
      <c r="G5672">
        <f>IF(D5672="KEEP",COUNTIF($D$2:D5672,"KEEP"),"")</f>
        <v/>
      </c>
      <c r="H5672">
        <f>IF(D5672="REMOVE",COUNTIF($D$2:D5672,"REMOVE"),"")</f>
        <v/>
      </c>
      <c r="I5672">
        <f>IF(E5672="Gmail",COUNTIF($E$2:E5672,"Gmail"),"")</f>
        <v/>
      </c>
      <c r="J5672">
        <f>IF(E5672="Outlook",COUNTIF($E$2:E5672,"Outlook"),"")</f>
        <v/>
      </c>
      <c r="K5672">
        <f>IF(E5672="Domain",COUNTIF($E$2:E5672,"Domain"),"")</f>
        <v/>
      </c>
    </row>
    <row r="5673">
      <c r="A5673" s="2" t="n"/>
      <c r="B5673">
        <f>LOWER(TRIM(A5673))</f>
        <v/>
      </c>
      <c r="C5673">
        <f>IF(B5673="","",IFERROR(INDEX('Bad Patterns'!$A$2:$A$120,MATCH(1,INDEX(--ISNUMBER(SEARCH('Bad Patterns'!$A$2:$A$120,B5673)),0),0)),""))</f>
        <v/>
      </c>
      <c r="D5673">
        <f>IF(B5673="","",IF(C5673&lt;&gt;"","REMOVE","KEEP"))</f>
        <v/>
      </c>
      <c r="E5673">
        <f>IF(D5673&lt;&gt;"KEEP","",IF(RIGHT(B5673,10)="@gmail.com","Gmail",IF(OR(RIGHT(B5673,12)="@outlook.com",RIGHT(B5673,12)="@hotmail.com",RIGHT(B5673,9)="@live.com"),"Outlook","Domain")))</f>
        <v/>
      </c>
      <c r="F5673">
        <f>IF(B5673="","",IFERROR(RIGHT(B5673,LEN(B5673)-FIND("@",B5673)),""))</f>
        <v/>
      </c>
      <c r="G5673">
        <f>IF(D5673="KEEP",COUNTIF($D$2:D5673,"KEEP"),"")</f>
        <v/>
      </c>
      <c r="H5673">
        <f>IF(D5673="REMOVE",COUNTIF($D$2:D5673,"REMOVE"),"")</f>
        <v/>
      </c>
      <c r="I5673">
        <f>IF(E5673="Gmail",COUNTIF($E$2:E5673,"Gmail"),"")</f>
        <v/>
      </c>
      <c r="J5673">
        <f>IF(E5673="Outlook",COUNTIF($E$2:E5673,"Outlook"),"")</f>
        <v/>
      </c>
      <c r="K5673">
        <f>IF(E5673="Domain",COUNTIF($E$2:E5673,"Domain"),"")</f>
        <v/>
      </c>
    </row>
    <row r="5674">
      <c r="A5674" s="2" t="n"/>
      <c r="B5674">
        <f>LOWER(TRIM(A5674))</f>
        <v/>
      </c>
      <c r="C5674">
        <f>IF(B5674="","",IFERROR(INDEX('Bad Patterns'!$A$2:$A$120,MATCH(1,INDEX(--ISNUMBER(SEARCH('Bad Patterns'!$A$2:$A$120,B5674)),0),0)),""))</f>
        <v/>
      </c>
      <c r="D5674">
        <f>IF(B5674="","",IF(C5674&lt;&gt;"","REMOVE","KEEP"))</f>
        <v/>
      </c>
      <c r="E5674">
        <f>IF(D5674&lt;&gt;"KEEP","",IF(RIGHT(B5674,10)="@gmail.com","Gmail",IF(OR(RIGHT(B5674,12)="@outlook.com",RIGHT(B5674,12)="@hotmail.com",RIGHT(B5674,9)="@live.com"),"Outlook","Domain")))</f>
        <v/>
      </c>
      <c r="F5674">
        <f>IF(B5674="","",IFERROR(RIGHT(B5674,LEN(B5674)-FIND("@",B5674)),""))</f>
        <v/>
      </c>
      <c r="G5674">
        <f>IF(D5674="KEEP",COUNTIF($D$2:D5674,"KEEP"),"")</f>
        <v/>
      </c>
      <c r="H5674">
        <f>IF(D5674="REMOVE",COUNTIF($D$2:D5674,"REMOVE"),"")</f>
        <v/>
      </c>
      <c r="I5674">
        <f>IF(E5674="Gmail",COUNTIF($E$2:E5674,"Gmail"),"")</f>
        <v/>
      </c>
      <c r="J5674">
        <f>IF(E5674="Outlook",COUNTIF($E$2:E5674,"Outlook"),"")</f>
        <v/>
      </c>
      <c r="K5674">
        <f>IF(E5674="Domain",COUNTIF($E$2:E5674,"Domain"),"")</f>
        <v/>
      </c>
    </row>
    <row r="5675">
      <c r="A5675" s="2" t="n"/>
      <c r="B5675">
        <f>LOWER(TRIM(A5675))</f>
        <v/>
      </c>
      <c r="C5675">
        <f>IF(B5675="","",IFERROR(INDEX('Bad Patterns'!$A$2:$A$120,MATCH(1,INDEX(--ISNUMBER(SEARCH('Bad Patterns'!$A$2:$A$120,B5675)),0),0)),""))</f>
        <v/>
      </c>
      <c r="D5675">
        <f>IF(B5675="","",IF(C5675&lt;&gt;"","REMOVE","KEEP"))</f>
        <v/>
      </c>
      <c r="E5675">
        <f>IF(D5675&lt;&gt;"KEEP","",IF(RIGHT(B5675,10)="@gmail.com","Gmail",IF(OR(RIGHT(B5675,12)="@outlook.com",RIGHT(B5675,12)="@hotmail.com",RIGHT(B5675,9)="@live.com"),"Outlook","Domain")))</f>
        <v/>
      </c>
      <c r="F5675">
        <f>IF(B5675="","",IFERROR(RIGHT(B5675,LEN(B5675)-FIND("@",B5675)),""))</f>
        <v/>
      </c>
      <c r="G5675">
        <f>IF(D5675="KEEP",COUNTIF($D$2:D5675,"KEEP"),"")</f>
        <v/>
      </c>
      <c r="H5675">
        <f>IF(D5675="REMOVE",COUNTIF($D$2:D5675,"REMOVE"),"")</f>
        <v/>
      </c>
      <c r="I5675">
        <f>IF(E5675="Gmail",COUNTIF($E$2:E5675,"Gmail"),"")</f>
        <v/>
      </c>
      <c r="J5675">
        <f>IF(E5675="Outlook",COUNTIF($E$2:E5675,"Outlook"),"")</f>
        <v/>
      </c>
      <c r="K5675">
        <f>IF(E5675="Domain",COUNTIF($E$2:E5675,"Domain"),"")</f>
        <v/>
      </c>
    </row>
    <row r="5676">
      <c r="A5676" s="2" t="n"/>
      <c r="B5676">
        <f>LOWER(TRIM(A5676))</f>
        <v/>
      </c>
      <c r="C5676">
        <f>IF(B5676="","",IFERROR(INDEX('Bad Patterns'!$A$2:$A$120,MATCH(1,INDEX(--ISNUMBER(SEARCH('Bad Patterns'!$A$2:$A$120,B5676)),0),0)),""))</f>
        <v/>
      </c>
      <c r="D5676">
        <f>IF(B5676="","",IF(C5676&lt;&gt;"","REMOVE","KEEP"))</f>
        <v/>
      </c>
      <c r="E5676">
        <f>IF(D5676&lt;&gt;"KEEP","",IF(RIGHT(B5676,10)="@gmail.com","Gmail",IF(OR(RIGHT(B5676,12)="@outlook.com",RIGHT(B5676,12)="@hotmail.com",RIGHT(B5676,9)="@live.com"),"Outlook","Domain")))</f>
        <v/>
      </c>
      <c r="F5676">
        <f>IF(B5676="","",IFERROR(RIGHT(B5676,LEN(B5676)-FIND("@",B5676)),""))</f>
        <v/>
      </c>
      <c r="G5676">
        <f>IF(D5676="KEEP",COUNTIF($D$2:D5676,"KEEP"),"")</f>
        <v/>
      </c>
      <c r="H5676">
        <f>IF(D5676="REMOVE",COUNTIF($D$2:D5676,"REMOVE"),"")</f>
        <v/>
      </c>
      <c r="I5676">
        <f>IF(E5676="Gmail",COUNTIF($E$2:E5676,"Gmail"),"")</f>
        <v/>
      </c>
      <c r="J5676">
        <f>IF(E5676="Outlook",COUNTIF($E$2:E5676,"Outlook"),"")</f>
        <v/>
      </c>
      <c r="K5676">
        <f>IF(E5676="Domain",COUNTIF($E$2:E5676,"Domain"),"")</f>
        <v/>
      </c>
    </row>
    <row r="5677">
      <c r="A5677" s="2" t="n"/>
      <c r="B5677">
        <f>LOWER(TRIM(A5677))</f>
        <v/>
      </c>
      <c r="C5677">
        <f>IF(B5677="","",IFERROR(INDEX('Bad Patterns'!$A$2:$A$120,MATCH(1,INDEX(--ISNUMBER(SEARCH('Bad Patterns'!$A$2:$A$120,B5677)),0),0)),""))</f>
        <v/>
      </c>
      <c r="D5677">
        <f>IF(B5677="","",IF(C5677&lt;&gt;"","REMOVE","KEEP"))</f>
        <v/>
      </c>
      <c r="E5677">
        <f>IF(D5677&lt;&gt;"KEEP","",IF(RIGHT(B5677,10)="@gmail.com","Gmail",IF(OR(RIGHT(B5677,12)="@outlook.com",RIGHT(B5677,12)="@hotmail.com",RIGHT(B5677,9)="@live.com"),"Outlook","Domain")))</f>
        <v/>
      </c>
      <c r="F5677">
        <f>IF(B5677="","",IFERROR(RIGHT(B5677,LEN(B5677)-FIND("@",B5677)),""))</f>
        <v/>
      </c>
      <c r="G5677">
        <f>IF(D5677="KEEP",COUNTIF($D$2:D5677,"KEEP"),"")</f>
        <v/>
      </c>
      <c r="H5677">
        <f>IF(D5677="REMOVE",COUNTIF($D$2:D5677,"REMOVE"),"")</f>
        <v/>
      </c>
      <c r="I5677">
        <f>IF(E5677="Gmail",COUNTIF($E$2:E5677,"Gmail"),"")</f>
        <v/>
      </c>
      <c r="J5677">
        <f>IF(E5677="Outlook",COUNTIF($E$2:E5677,"Outlook"),"")</f>
        <v/>
      </c>
      <c r="K5677">
        <f>IF(E5677="Domain",COUNTIF($E$2:E5677,"Domain"),"")</f>
        <v/>
      </c>
    </row>
    <row r="5678">
      <c r="A5678" s="2" t="n"/>
      <c r="B5678">
        <f>LOWER(TRIM(A5678))</f>
        <v/>
      </c>
      <c r="C5678">
        <f>IF(B5678="","",IFERROR(INDEX('Bad Patterns'!$A$2:$A$120,MATCH(1,INDEX(--ISNUMBER(SEARCH('Bad Patterns'!$A$2:$A$120,B5678)),0),0)),""))</f>
        <v/>
      </c>
      <c r="D5678">
        <f>IF(B5678="","",IF(C5678&lt;&gt;"","REMOVE","KEEP"))</f>
        <v/>
      </c>
      <c r="E5678">
        <f>IF(D5678&lt;&gt;"KEEP","",IF(RIGHT(B5678,10)="@gmail.com","Gmail",IF(OR(RIGHT(B5678,12)="@outlook.com",RIGHT(B5678,12)="@hotmail.com",RIGHT(B5678,9)="@live.com"),"Outlook","Domain")))</f>
        <v/>
      </c>
      <c r="F5678">
        <f>IF(B5678="","",IFERROR(RIGHT(B5678,LEN(B5678)-FIND("@",B5678)),""))</f>
        <v/>
      </c>
      <c r="G5678">
        <f>IF(D5678="KEEP",COUNTIF($D$2:D5678,"KEEP"),"")</f>
        <v/>
      </c>
      <c r="H5678">
        <f>IF(D5678="REMOVE",COUNTIF($D$2:D5678,"REMOVE"),"")</f>
        <v/>
      </c>
      <c r="I5678">
        <f>IF(E5678="Gmail",COUNTIF($E$2:E5678,"Gmail"),"")</f>
        <v/>
      </c>
      <c r="J5678">
        <f>IF(E5678="Outlook",COUNTIF($E$2:E5678,"Outlook"),"")</f>
        <v/>
      </c>
      <c r="K5678">
        <f>IF(E5678="Domain",COUNTIF($E$2:E5678,"Domain"),"")</f>
        <v/>
      </c>
    </row>
    <row r="5679">
      <c r="A5679" s="2" t="n"/>
      <c r="B5679">
        <f>LOWER(TRIM(A5679))</f>
        <v/>
      </c>
      <c r="C5679">
        <f>IF(B5679="","",IFERROR(INDEX('Bad Patterns'!$A$2:$A$120,MATCH(1,INDEX(--ISNUMBER(SEARCH('Bad Patterns'!$A$2:$A$120,B5679)),0),0)),""))</f>
        <v/>
      </c>
      <c r="D5679">
        <f>IF(B5679="","",IF(C5679&lt;&gt;"","REMOVE","KEEP"))</f>
        <v/>
      </c>
      <c r="E5679">
        <f>IF(D5679&lt;&gt;"KEEP","",IF(RIGHT(B5679,10)="@gmail.com","Gmail",IF(OR(RIGHT(B5679,12)="@outlook.com",RIGHT(B5679,12)="@hotmail.com",RIGHT(B5679,9)="@live.com"),"Outlook","Domain")))</f>
        <v/>
      </c>
      <c r="F5679">
        <f>IF(B5679="","",IFERROR(RIGHT(B5679,LEN(B5679)-FIND("@",B5679)),""))</f>
        <v/>
      </c>
      <c r="G5679">
        <f>IF(D5679="KEEP",COUNTIF($D$2:D5679,"KEEP"),"")</f>
        <v/>
      </c>
      <c r="H5679">
        <f>IF(D5679="REMOVE",COUNTIF($D$2:D5679,"REMOVE"),"")</f>
        <v/>
      </c>
      <c r="I5679">
        <f>IF(E5679="Gmail",COUNTIF($E$2:E5679,"Gmail"),"")</f>
        <v/>
      </c>
      <c r="J5679">
        <f>IF(E5679="Outlook",COUNTIF($E$2:E5679,"Outlook"),"")</f>
        <v/>
      </c>
      <c r="K5679">
        <f>IF(E5679="Domain",COUNTIF($E$2:E5679,"Domain"),"")</f>
        <v/>
      </c>
    </row>
    <row r="5680">
      <c r="A5680" s="2" t="n"/>
      <c r="B5680">
        <f>LOWER(TRIM(A5680))</f>
        <v/>
      </c>
      <c r="C5680">
        <f>IF(B5680="","",IFERROR(INDEX('Bad Patterns'!$A$2:$A$120,MATCH(1,INDEX(--ISNUMBER(SEARCH('Bad Patterns'!$A$2:$A$120,B5680)),0),0)),""))</f>
        <v/>
      </c>
      <c r="D5680">
        <f>IF(B5680="","",IF(C5680&lt;&gt;"","REMOVE","KEEP"))</f>
        <v/>
      </c>
      <c r="E5680">
        <f>IF(D5680&lt;&gt;"KEEP","",IF(RIGHT(B5680,10)="@gmail.com","Gmail",IF(OR(RIGHT(B5680,12)="@outlook.com",RIGHT(B5680,12)="@hotmail.com",RIGHT(B5680,9)="@live.com"),"Outlook","Domain")))</f>
        <v/>
      </c>
      <c r="F5680">
        <f>IF(B5680="","",IFERROR(RIGHT(B5680,LEN(B5680)-FIND("@",B5680)),""))</f>
        <v/>
      </c>
      <c r="G5680">
        <f>IF(D5680="KEEP",COUNTIF($D$2:D5680,"KEEP"),"")</f>
        <v/>
      </c>
      <c r="H5680">
        <f>IF(D5680="REMOVE",COUNTIF($D$2:D5680,"REMOVE"),"")</f>
        <v/>
      </c>
      <c r="I5680">
        <f>IF(E5680="Gmail",COUNTIF($E$2:E5680,"Gmail"),"")</f>
        <v/>
      </c>
      <c r="J5680">
        <f>IF(E5680="Outlook",COUNTIF($E$2:E5680,"Outlook"),"")</f>
        <v/>
      </c>
      <c r="K5680">
        <f>IF(E5680="Domain",COUNTIF($E$2:E5680,"Domain"),"")</f>
        <v/>
      </c>
    </row>
    <row r="5681">
      <c r="A5681" s="2" t="n"/>
      <c r="B5681">
        <f>LOWER(TRIM(A5681))</f>
        <v/>
      </c>
      <c r="C5681">
        <f>IF(B5681="","",IFERROR(INDEX('Bad Patterns'!$A$2:$A$120,MATCH(1,INDEX(--ISNUMBER(SEARCH('Bad Patterns'!$A$2:$A$120,B5681)),0),0)),""))</f>
        <v/>
      </c>
      <c r="D5681">
        <f>IF(B5681="","",IF(C5681&lt;&gt;"","REMOVE","KEEP"))</f>
        <v/>
      </c>
      <c r="E5681">
        <f>IF(D5681&lt;&gt;"KEEP","",IF(RIGHT(B5681,10)="@gmail.com","Gmail",IF(OR(RIGHT(B5681,12)="@outlook.com",RIGHT(B5681,12)="@hotmail.com",RIGHT(B5681,9)="@live.com"),"Outlook","Domain")))</f>
        <v/>
      </c>
      <c r="F5681">
        <f>IF(B5681="","",IFERROR(RIGHT(B5681,LEN(B5681)-FIND("@",B5681)),""))</f>
        <v/>
      </c>
      <c r="G5681">
        <f>IF(D5681="KEEP",COUNTIF($D$2:D5681,"KEEP"),"")</f>
        <v/>
      </c>
      <c r="H5681">
        <f>IF(D5681="REMOVE",COUNTIF($D$2:D5681,"REMOVE"),"")</f>
        <v/>
      </c>
      <c r="I5681">
        <f>IF(E5681="Gmail",COUNTIF($E$2:E5681,"Gmail"),"")</f>
        <v/>
      </c>
      <c r="J5681">
        <f>IF(E5681="Outlook",COUNTIF($E$2:E5681,"Outlook"),"")</f>
        <v/>
      </c>
      <c r="K5681">
        <f>IF(E5681="Domain",COUNTIF($E$2:E5681,"Domain"),"")</f>
        <v/>
      </c>
    </row>
    <row r="5682">
      <c r="A5682" s="2" t="n"/>
      <c r="B5682">
        <f>LOWER(TRIM(A5682))</f>
        <v/>
      </c>
      <c r="C5682">
        <f>IF(B5682="","",IFERROR(INDEX('Bad Patterns'!$A$2:$A$120,MATCH(1,INDEX(--ISNUMBER(SEARCH('Bad Patterns'!$A$2:$A$120,B5682)),0),0)),""))</f>
        <v/>
      </c>
      <c r="D5682">
        <f>IF(B5682="","",IF(C5682&lt;&gt;"","REMOVE","KEEP"))</f>
        <v/>
      </c>
      <c r="E5682">
        <f>IF(D5682&lt;&gt;"KEEP","",IF(RIGHT(B5682,10)="@gmail.com","Gmail",IF(OR(RIGHT(B5682,12)="@outlook.com",RIGHT(B5682,12)="@hotmail.com",RIGHT(B5682,9)="@live.com"),"Outlook","Domain")))</f>
        <v/>
      </c>
      <c r="F5682">
        <f>IF(B5682="","",IFERROR(RIGHT(B5682,LEN(B5682)-FIND("@",B5682)),""))</f>
        <v/>
      </c>
      <c r="G5682">
        <f>IF(D5682="KEEP",COUNTIF($D$2:D5682,"KEEP"),"")</f>
        <v/>
      </c>
      <c r="H5682">
        <f>IF(D5682="REMOVE",COUNTIF($D$2:D5682,"REMOVE"),"")</f>
        <v/>
      </c>
      <c r="I5682">
        <f>IF(E5682="Gmail",COUNTIF($E$2:E5682,"Gmail"),"")</f>
        <v/>
      </c>
      <c r="J5682">
        <f>IF(E5682="Outlook",COUNTIF($E$2:E5682,"Outlook"),"")</f>
        <v/>
      </c>
      <c r="K5682">
        <f>IF(E5682="Domain",COUNTIF($E$2:E5682,"Domain"),"")</f>
        <v/>
      </c>
    </row>
    <row r="5683">
      <c r="A5683" s="2" t="n"/>
      <c r="B5683">
        <f>LOWER(TRIM(A5683))</f>
        <v/>
      </c>
      <c r="C5683">
        <f>IF(B5683="","",IFERROR(INDEX('Bad Patterns'!$A$2:$A$120,MATCH(1,INDEX(--ISNUMBER(SEARCH('Bad Patterns'!$A$2:$A$120,B5683)),0),0)),""))</f>
        <v/>
      </c>
      <c r="D5683">
        <f>IF(B5683="","",IF(C5683&lt;&gt;"","REMOVE","KEEP"))</f>
        <v/>
      </c>
      <c r="E5683">
        <f>IF(D5683&lt;&gt;"KEEP","",IF(RIGHT(B5683,10)="@gmail.com","Gmail",IF(OR(RIGHT(B5683,12)="@outlook.com",RIGHT(B5683,12)="@hotmail.com",RIGHT(B5683,9)="@live.com"),"Outlook","Domain")))</f>
        <v/>
      </c>
      <c r="F5683">
        <f>IF(B5683="","",IFERROR(RIGHT(B5683,LEN(B5683)-FIND("@",B5683)),""))</f>
        <v/>
      </c>
      <c r="G5683">
        <f>IF(D5683="KEEP",COUNTIF($D$2:D5683,"KEEP"),"")</f>
        <v/>
      </c>
      <c r="H5683">
        <f>IF(D5683="REMOVE",COUNTIF($D$2:D5683,"REMOVE"),"")</f>
        <v/>
      </c>
      <c r="I5683">
        <f>IF(E5683="Gmail",COUNTIF($E$2:E5683,"Gmail"),"")</f>
        <v/>
      </c>
      <c r="J5683">
        <f>IF(E5683="Outlook",COUNTIF($E$2:E5683,"Outlook"),"")</f>
        <v/>
      </c>
      <c r="K5683">
        <f>IF(E5683="Domain",COUNTIF($E$2:E5683,"Domain"),"")</f>
        <v/>
      </c>
    </row>
    <row r="5684">
      <c r="A5684" s="2" t="n"/>
      <c r="B5684">
        <f>LOWER(TRIM(A5684))</f>
        <v/>
      </c>
      <c r="C5684">
        <f>IF(B5684="","",IFERROR(INDEX('Bad Patterns'!$A$2:$A$120,MATCH(1,INDEX(--ISNUMBER(SEARCH('Bad Patterns'!$A$2:$A$120,B5684)),0),0)),""))</f>
        <v/>
      </c>
      <c r="D5684">
        <f>IF(B5684="","",IF(C5684&lt;&gt;"","REMOVE","KEEP"))</f>
        <v/>
      </c>
      <c r="E5684">
        <f>IF(D5684&lt;&gt;"KEEP","",IF(RIGHT(B5684,10)="@gmail.com","Gmail",IF(OR(RIGHT(B5684,12)="@outlook.com",RIGHT(B5684,12)="@hotmail.com",RIGHT(B5684,9)="@live.com"),"Outlook","Domain")))</f>
        <v/>
      </c>
      <c r="F5684">
        <f>IF(B5684="","",IFERROR(RIGHT(B5684,LEN(B5684)-FIND("@",B5684)),""))</f>
        <v/>
      </c>
      <c r="G5684">
        <f>IF(D5684="KEEP",COUNTIF($D$2:D5684,"KEEP"),"")</f>
        <v/>
      </c>
      <c r="H5684">
        <f>IF(D5684="REMOVE",COUNTIF($D$2:D5684,"REMOVE"),"")</f>
        <v/>
      </c>
      <c r="I5684">
        <f>IF(E5684="Gmail",COUNTIF($E$2:E5684,"Gmail"),"")</f>
        <v/>
      </c>
      <c r="J5684">
        <f>IF(E5684="Outlook",COUNTIF($E$2:E5684,"Outlook"),"")</f>
        <v/>
      </c>
      <c r="K5684">
        <f>IF(E5684="Domain",COUNTIF($E$2:E5684,"Domain"),"")</f>
        <v/>
      </c>
    </row>
    <row r="5685">
      <c r="A5685" s="2" t="n"/>
      <c r="B5685">
        <f>LOWER(TRIM(A5685))</f>
        <v/>
      </c>
      <c r="C5685">
        <f>IF(B5685="","",IFERROR(INDEX('Bad Patterns'!$A$2:$A$120,MATCH(1,INDEX(--ISNUMBER(SEARCH('Bad Patterns'!$A$2:$A$120,B5685)),0),0)),""))</f>
        <v/>
      </c>
      <c r="D5685">
        <f>IF(B5685="","",IF(C5685&lt;&gt;"","REMOVE","KEEP"))</f>
        <v/>
      </c>
      <c r="E5685">
        <f>IF(D5685&lt;&gt;"KEEP","",IF(RIGHT(B5685,10)="@gmail.com","Gmail",IF(OR(RIGHT(B5685,12)="@outlook.com",RIGHT(B5685,12)="@hotmail.com",RIGHT(B5685,9)="@live.com"),"Outlook","Domain")))</f>
        <v/>
      </c>
      <c r="F5685">
        <f>IF(B5685="","",IFERROR(RIGHT(B5685,LEN(B5685)-FIND("@",B5685)),""))</f>
        <v/>
      </c>
      <c r="G5685">
        <f>IF(D5685="KEEP",COUNTIF($D$2:D5685,"KEEP"),"")</f>
        <v/>
      </c>
      <c r="H5685">
        <f>IF(D5685="REMOVE",COUNTIF($D$2:D5685,"REMOVE"),"")</f>
        <v/>
      </c>
      <c r="I5685">
        <f>IF(E5685="Gmail",COUNTIF($E$2:E5685,"Gmail"),"")</f>
        <v/>
      </c>
      <c r="J5685">
        <f>IF(E5685="Outlook",COUNTIF($E$2:E5685,"Outlook"),"")</f>
        <v/>
      </c>
      <c r="K5685">
        <f>IF(E5685="Domain",COUNTIF($E$2:E5685,"Domain"),"")</f>
        <v/>
      </c>
    </row>
    <row r="5686">
      <c r="A5686" s="2" t="n"/>
      <c r="B5686">
        <f>LOWER(TRIM(A5686))</f>
        <v/>
      </c>
      <c r="C5686">
        <f>IF(B5686="","",IFERROR(INDEX('Bad Patterns'!$A$2:$A$120,MATCH(1,INDEX(--ISNUMBER(SEARCH('Bad Patterns'!$A$2:$A$120,B5686)),0),0)),""))</f>
        <v/>
      </c>
      <c r="D5686">
        <f>IF(B5686="","",IF(C5686&lt;&gt;"","REMOVE","KEEP"))</f>
        <v/>
      </c>
      <c r="E5686">
        <f>IF(D5686&lt;&gt;"KEEP","",IF(RIGHT(B5686,10)="@gmail.com","Gmail",IF(OR(RIGHT(B5686,12)="@outlook.com",RIGHT(B5686,12)="@hotmail.com",RIGHT(B5686,9)="@live.com"),"Outlook","Domain")))</f>
        <v/>
      </c>
      <c r="F5686">
        <f>IF(B5686="","",IFERROR(RIGHT(B5686,LEN(B5686)-FIND("@",B5686)),""))</f>
        <v/>
      </c>
      <c r="G5686">
        <f>IF(D5686="KEEP",COUNTIF($D$2:D5686,"KEEP"),"")</f>
        <v/>
      </c>
      <c r="H5686">
        <f>IF(D5686="REMOVE",COUNTIF($D$2:D5686,"REMOVE"),"")</f>
        <v/>
      </c>
      <c r="I5686">
        <f>IF(E5686="Gmail",COUNTIF($E$2:E5686,"Gmail"),"")</f>
        <v/>
      </c>
      <c r="J5686">
        <f>IF(E5686="Outlook",COUNTIF($E$2:E5686,"Outlook"),"")</f>
        <v/>
      </c>
      <c r="K5686">
        <f>IF(E5686="Domain",COUNTIF($E$2:E5686,"Domain"),"")</f>
        <v/>
      </c>
    </row>
    <row r="5687">
      <c r="A5687" s="2" t="n"/>
      <c r="B5687">
        <f>LOWER(TRIM(A5687))</f>
        <v/>
      </c>
      <c r="C5687">
        <f>IF(B5687="","",IFERROR(INDEX('Bad Patterns'!$A$2:$A$120,MATCH(1,INDEX(--ISNUMBER(SEARCH('Bad Patterns'!$A$2:$A$120,B5687)),0),0)),""))</f>
        <v/>
      </c>
      <c r="D5687">
        <f>IF(B5687="","",IF(C5687&lt;&gt;"","REMOVE","KEEP"))</f>
        <v/>
      </c>
      <c r="E5687">
        <f>IF(D5687&lt;&gt;"KEEP","",IF(RIGHT(B5687,10)="@gmail.com","Gmail",IF(OR(RIGHT(B5687,12)="@outlook.com",RIGHT(B5687,12)="@hotmail.com",RIGHT(B5687,9)="@live.com"),"Outlook","Domain")))</f>
        <v/>
      </c>
      <c r="F5687">
        <f>IF(B5687="","",IFERROR(RIGHT(B5687,LEN(B5687)-FIND("@",B5687)),""))</f>
        <v/>
      </c>
      <c r="G5687">
        <f>IF(D5687="KEEP",COUNTIF($D$2:D5687,"KEEP"),"")</f>
        <v/>
      </c>
      <c r="H5687">
        <f>IF(D5687="REMOVE",COUNTIF($D$2:D5687,"REMOVE"),"")</f>
        <v/>
      </c>
      <c r="I5687">
        <f>IF(E5687="Gmail",COUNTIF($E$2:E5687,"Gmail"),"")</f>
        <v/>
      </c>
      <c r="J5687">
        <f>IF(E5687="Outlook",COUNTIF($E$2:E5687,"Outlook"),"")</f>
        <v/>
      </c>
      <c r="K5687">
        <f>IF(E5687="Domain",COUNTIF($E$2:E5687,"Domain"),"")</f>
        <v/>
      </c>
    </row>
    <row r="5688">
      <c r="A5688" s="2" t="n"/>
      <c r="B5688">
        <f>LOWER(TRIM(A5688))</f>
        <v/>
      </c>
      <c r="C5688">
        <f>IF(B5688="","",IFERROR(INDEX('Bad Patterns'!$A$2:$A$120,MATCH(1,INDEX(--ISNUMBER(SEARCH('Bad Patterns'!$A$2:$A$120,B5688)),0),0)),""))</f>
        <v/>
      </c>
      <c r="D5688">
        <f>IF(B5688="","",IF(C5688&lt;&gt;"","REMOVE","KEEP"))</f>
        <v/>
      </c>
      <c r="E5688">
        <f>IF(D5688&lt;&gt;"KEEP","",IF(RIGHT(B5688,10)="@gmail.com","Gmail",IF(OR(RIGHT(B5688,12)="@outlook.com",RIGHT(B5688,12)="@hotmail.com",RIGHT(B5688,9)="@live.com"),"Outlook","Domain")))</f>
        <v/>
      </c>
      <c r="F5688">
        <f>IF(B5688="","",IFERROR(RIGHT(B5688,LEN(B5688)-FIND("@",B5688)),""))</f>
        <v/>
      </c>
      <c r="G5688">
        <f>IF(D5688="KEEP",COUNTIF($D$2:D5688,"KEEP"),"")</f>
        <v/>
      </c>
      <c r="H5688">
        <f>IF(D5688="REMOVE",COUNTIF($D$2:D5688,"REMOVE"),"")</f>
        <v/>
      </c>
      <c r="I5688">
        <f>IF(E5688="Gmail",COUNTIF($E$2:E5688,"Gmail"),"")</f>
        <v/>
      </c>
      <c r="J5688">
        <f>IF(E5688="Outlook",COUNTIF($E$2:E5688,"Outlook"),"")</f>
        <v/>
      </c>
      <c r="K5688">
        <f>IF(E5688="Domain",COUNTIF($E$2:E5688,"Domain"),"")</f>
        <v/>
      </c>
    </row>
    <row r="5689">
      <c r="A5689" s="2" t="n"/>
      <c r="B5689">
        <f>LOWER(TRIM(A5689))</f>
        <v/>
      </c>
      <c r="C5689">
        <f>IF(B5689="","",IFERROR(INDEX('Bad Patterns'!$A$2:$A$120,MATCH(1,INDEX(--ISNUMBER(SEARCH('Bad Patterns'!$A$2:$A$120,B5689)),0),0)),""))</f>
        <v/>
      </c>
      <c r="D5689">
        <f>IF(B5689="","",IF(C5689&lt;&gt;"","REMOVE","KEEP"))</f>
        <v/>
      </c>
      <c r="E5689">
        <f>IF(D5689&lt;&gt;"KEEP","",IF(RIGHT(B5689,10)="@gmail.com","Gmail",IF(OR(RIGHT(B5689,12)="@outlook.com",RIGHT(B5689,12)="@hotmail.com",RIGHT(B5689,9)="@live.com"),"Outlook","Domain")))</f>
        <v/>
      </c>
      <c r="F5689">
        <f>IF(B5689="","",IFERROR(RIGHT(B5689,LEN(B5689)-FIND("@",B5689)),""))</f>
        <v/>
      </c>
      <c r="G5689">
        <f>IF(D5689="KEEP",COUNTIF($D$2:D5689,"KEEP"),"")</f>
        <v/>
      </c>
      <c r="H5689">
        <f>IF(D5689="REMOVE",COUNTIF($D$2:D5689,"REMOVE"),"")</f>
        <v/>
      </c>
      <c r="I5689">
        <f>IF(E5689="Gmail",COUNTIF($E$2:E5689,"Gmail"),"")</f>
        <v/>
      </c>
      <c r="J5689">
        <f>IF(E5689="Outlook",COUNTIF($E$2:E5689,"Outlook"),"")</f>
        <v/>
      </c>
      <c r="K5689">
        <f>IF(E5689="Domain",COUNTIF($E$2:E5689,"Domain"),"")</f>
        <v/>
      </c>
    </row>
    <row r="5690">
      <c r="A5690" s="2" t="n"/>
      <c r="B5690">
        <f>LOWER(TRIM(A5690))</f>
        <v/>
      </c>
      <c r="C5690">
        <f>IF(B5690="","",IFERROR(INDEX('Bad Patterns'!$A$2:$A$120,MATCH(1,INDEX(--ISNUMBER(SEARCH('Bad Patterns'!$A$2:$A$120,B5690)),0),0)),""))</f>
        <v/>
      </c>
      <c r="D5690">
        <f>IF(B5690="","",IF(C5690&lt;&gt;"","REMOVE","KEEP"))</f>
        <v/>
      </c>
      <c r="E5690">
        <f>IF(D5690&lt;&gt;"KEEP","",IF(RIGHT(B5690,10)="@gmail.com","Gmail",IF(OR(RIGHT(B5690,12)="@outlook.com",RIGHT(B5690,12)="@hotmail.com",RIGHT(B5690,9)="@live.com"),"Outlook","Domain")))</f>
        <v/>
      </c>
      <c r="F5690">
        <f>IF(B5690="","",IFERROR(RIGHT(B5690,LEN(B5690)-FIND("@",B5690)),""))</f>
        <v/>
      </c>
      <c r="G5690">
        <f>IF(D5690="KEEP",COUNTIF($D$2:D5690,"KEEP"),"")</f>
        <v/>
      </c>
      <c r="H5690">
        <f>IF(D5690="REMOVE",COUNTIF($D$2:D5690,"REMOVE"),"")</f>
        <v/>
      </c>
      <c r="I5690">
        <f>IF(E5690="Gmail",COUNTIF($E$2:E5690,"Gmail"),"")</f>
        <v/>
      </c>
      <c r="J5690">
        <f>IF(E5690="Outlook",COUNTIF($E$2:E5690,"Outlook"),"")</f>
        <v/>
      </c>
      <c r="K5690">
        <f>IF(E5690="Domain",COUNTIF($E$2:E5690,"Domain"),"")</f>
        <v/>
      </c>
    </row>
    <row r="5691">
      <c r="A5691" s="2" t="n"/>
      <c r="B5691">
        <f>LOWER(TRIM(A5691))</f>
        <v/>
      </c>
      <c r="C5691">
        <f>IF(B5691="","",IFERROR(INDEX('Bad Patterns'!$A$2:$A$120,MATCH(1,INDEX(--ISNUMBER(SEARCH('Bad Patterns'!$A$2:$A$120,B5691)),0),0)),""))</f>
        <v/>
      </c>
      <c r="D5691">
        <f>IF(B5691="","",IF(C5691&lt;&gt;"","REMOVE","KEEP"))</f>
        <v/>
      </c>
      <c r="E5691">
        <f>IF(D5691&lt;&gt;"KEEP","",IF(RIGHT(B5691,10)="@gmail.com","Gmail",IF(OR(RIGHT(B5691,12)="@outlook.com",RIGHT(B5691,12)="@hotmail.com",RIGHT(B5691,9)="@live.com"),"Outlook","Domain")))</f>
        <v/>
      </c>
      <c r="F5691">
        <f>IF(B5691="","",IFERROR(RIGHT(B5691,LEN(B5691)-FIND("@",B5691)),""))</f>
        <v/>
      </c>
      <c r="G5691">
        <f>IF(D5691="KEEP",COUNTIF($D$2:D5691,"KEEP"),"")</f>
        <v/>
      </c>
      <c r="H5691">
        <f>IF(D5691="REMOVE",COUNTIF($D$2:D5691,"REMOVE"),"")</f>
        <v/>
      </c>
      <c r="I5691">
        <f>IF(E5691="Gmail",COUNTIF($E$2:E5691,"Gmail"),"")</f>
        <v/>
      </c>
      <c r="J5691">
        <f>IF(E5691="Outlook",COUNTIF($E$2:E5691,"Outlook"),"")</f>
        <v/>
      </c>
      <c r="K5691">
        <f>IF(E5691="Domain",COUNTIF($E$2:E5691,"Domain"),"")</f>
        <v/>
      </c>
    </row>
    <row r="5692">
      <c r="A5692" s="2" t="n"/>
      <c r="B5692">
        <f>LOWER(TRIM(A5692))</f>
        <v/>
      </c>
      <c r="C5692">
        <f>IF(B5692="","",IFERROR(INDEX('Bad Patterns'!$A$2:$A$120,MATCH(1,INDEX(--ISNUMBER(SEARCH('Bad Patterns'!$A$2:$A$120,B5692)),0),0)),""))</f>
        <v/>
      </c>
      <c r="D5692">
        <f>IF(B5692="","",IF(C5692&lt;&gt;"","REMOVE","KEEP"))</f>
        <v/>
      </c>
      <c r="E5692">
        <f>IF(D5692&lt;&gt;"KEEP","",IF(RIGHT(B5692,10)="@gmail.com","Gmail",IF(OR(RIGHT(B5692,12)="@outlook.com",RIGHT(B5692,12)="@hotmail.com",RIGHT(B5692,9)="@live.com"),"Outlook","Domain")))</f>
        <v/>
      </c>
      <c r="F5692">
        <f>IF(B5692="","",IFERROR(RIGHT(B5692,LEN(B5692)-FIND("@",B5692)),""))</f>
        <v/>
      </c>
      <c r="G5692">
        <f>IF(D5692="KEEP",COUNTIF($D$2:D5692,"KEEP"),"")</f>
        <v/>
      </c>
      <c r="H5692">
        <f>IF(D5692="REMOVE",COUNTIF($D$2:D5692,"REMOVE"),"")</f>
        <v/>
      </c>
      <c r="I5692">
        <f>IF(E5692="Gmail",COUNTIF($E$2:E5692,"Gmail"),"")</f>
        <v/>
      </c>
      <c r="J5692">
        <f>IF(E5692="Outlook",COUNTIF($E$2:E5692,"Outlook"),"")</f>
        <v/>
      </c>
      <c r="K5692">
        <f>IF(E5692="Domain",COUNTIF($E$2:E5692,"Domain"),"")</f>
        <v/>
      </c>
    </row>
    <row r="5693">
      <c r="A5693" s="2" t="n"/>
      <c r="B5693">
        <f>LOWER(TRIM(A5693))</f>
        <v/>
      </c>
      <c r="C5693">
        <f>IF(B5693="","",IFERROR(INDEX('Bad Patterns'!$A$2:$A$120,MATCH(1,INDEX(--ISNUMBER(SEARCH('Bad Patterns'!$A$2:$A$120,B5693)),0),0)),""))</f>
        <v/>
      </c>
      <c r="D5693">
        <f>IF(B5693="","",IF(C5693&lt;&gt;"","REMOVE","KEEP"))</f>
        <v/>
      </c>
      <c r="E5693">
        <f>IF(D5693&lt;&gt;"KEEP","",IF(RIGHT(B5693,10)="@gmail.com","Gmail",IF(OR(RIGHT(B5693,12)="@outlook.com",RIGHT(B5693,12)="@hotmail.com",RIGHT(B5693,9)="@live.com"),"Outlook","Domain")))</f>
        <v/>
      </c>
      <c r="F5693">
        <f>IF(B5693="","",IFERROR(RIGHT(B5693,LEN(B5693)-FIND("@",B5693)),""))</f>
        <v/>
      </c>
      <c r="G5693">
        <f>IF(D5693="KEEP",COUNTIF($D$2:D5693,"KEEP"),"")</f>
        <v/>
      </c>
      <c r="H5693">
        <f>IF(D5693="REMOVE",COUNTIF($D$2:D5693,"REMOVE"),"")</f>
        <v/>
      </c>
      <c r="I5693">
        <f>IF(E5693="Gmail",COUNTIF($E$2:E5693,"Gmail"),"")</f>
        <v/>
      </c>
      <c r="J5693">
        <f>IF(E5693="Outlook",COUNTIF($E$2:E5693,"Outlook"),"")</f>
        <v/>
      </c>
      <c r="K5693">
        <f>IF(E5693="Domain",COUNTIF($E$2:E5693,"Domain"),"")</f>
        <v/>
      </c>
    </row>
    <row r="5694">
      <c r="A5694" s="2" t="n"/>
      <c r="B5694">
        <f>LOWER(TRIM(A5694))</f>
        <v/>
      </c>
      <c r="C5694">
        <f>IF(B5694="","",IFERROR(INDEX('Bad Patterns'!$A$2:$A$120,MATCH(1,INDEX(--ISNUMBER(SEARCH('Bad Patterns'!$A$2:$A$120,B5694)),0),0)),""))</f>
        <v/>
      </c>
      <c r="D5694">
        <f>IF(B5694="","",IF(C5694&lt;&gt;"","REMOVE","KEEP"))</f>
        <v/>
      </c>
      <c r="E5694">
        <f>IF(D5694&lt;&gt;"KEEP","",IF(RIGHT(B5694,10)="@gmail.com","Gmail",IF(OR(RIGHT(B5694,12)="@outlook.com",RIGHT(B5694,12)="@hotmail.com",RIGHT(B5694,9)="@live.com"),"Outlook","Domain")))</f>
        <v/>
      </c>
      <c r="F5694">
        <f>IF(B5694="","",IFERROR(RIGHT(B5694,LEN(B5694)-FIND("@",B5694)),""))</f>
        <v/>
      </c>
      <c r="G5694">
        <f>IF(D5694="KEEP",COUNTIF($D$2:D5694,"KEEP"),"")</f>
        <v/>
      </c>
      <c r="H5694">
        <f>IF(D5694="REMOVE",COUNTIF($D$2:D5694,"REMOVE"),"")</f>
        <v/>
      </c>
      <c r="I5694">
        <f>IF(E5694="Gmail",COUNTIF($E$2:E5694,"Gmail"),"")</f>
        <v/>
      </c>
      <c r="J5694">
        <f>IF(E5694="Outlook",COUNTIF($E$2:E5694,"Outlook"),"")</f>
        <v/>
      </c>
      <c r="K5694">
        <f>IF(E5694="Domain",COUNTIF($E$2:E5694,"Domain"),"")</f>
        <v/>
      </c>
    </row>
    <row r="5695">
      <c r="A5695" s="2" t="n"/>
      <c r="B5695">
        <f>LOWER(TRIM(A5695))</f>
        <v/>
      </c>
      <c r="C5695">
        <f>IF(B5695="","",IFERROR(INDEX('Bad Patterns'!$A$2:$A$120,MATCH(1,INDEX(--ISNUMBER(SEARCH('Bad Patterns'!$A$2:$A$120,B5695)),0),0)),""))</f>
        <v/>
      </c>
      <c r="D5695">
        <f>IF(B5695="","",IF(C5695&lt;&gt;"","REMOVE","KEEP"))</f>
        <v/>
      </c>
      <c r="E5695">
        <f>IF(D5695&lt;&gt;"KEEP","",IF(RIGHT(B5695,10)="@gmail.com","Gmail",IF(OR(RIGHT(B5695,12)="@outlook.com",RIGHT(B5695,12)="@hotmail.com",RIGHT(B5695,9)="@live.com"),"Outlook","Domain")))</f>
        <v/>
      </c>
      <c r="F5695">
        <f>IF(B5695="","",IFERROR(RIGHT(B5695,LEN(B5695)-FIND("@",B5695)),""))</f>
        <v/>
      </c>
      <c r="G5695">
        <f>IF(D5695="KEEP",COUNTIF($D$2:D5695,"KEEP"),"")</f>
        <v/>
      </c>
      <c r="H5695">
        <f>IF(D5695="REMOVE",COUNTIF($D$2:D5695,"REMOVE"),"")</f>
        <v/>
      </c>
      <c r="I5695">
        <f>IF(E5695="Gmail",COUNTIF($E$2:E5695,"Gmail"),"")</f>
        <v/>
      </c>
      <c r="J5695">
        <f>IF(E5695="Outlook",COUNTIF($E$2:E5695,"Outlook"),"")</f>
        <v/>
      </c>
      <c r="K5695">
        <f>IF(E5695="Domain",COUNTIF($E$2:E5695,"Domain"),"")</f>
        <v/>
      </c>
    </row>
    <row r="5696">
      <c r="A5696" s="2" t="n"/>
      <c r="B5696">
        <f>LOWER(TRIM(A5696))</f>
        <v/>
      </c>
      <c r="C5696">
        <f>IF(B5696="","",IFERROR(INDEX('Bad Patterns'!$A$2:$A$120,MATCH(1,INDEX(--ISNUMBER(SEARCH('Bad Patterns'!$A$2:$A$120,B5696)),0),0)),""))</f>
        <v/>
      </c>
      <c r="D5696">
        <f>IF(B5696="","",IF(C5696&lt;&gt;"","REMOVE","KEEP"))</f>
        <v/>
      </c>
      <c r="E5696">
        <f>IF(D5696&lt;&gt;"KEEP","",IF(RIGHT(B5696,10)="@gmail.com","Gmail",IF(OR(RIGHT(B5696,12)="@outlook.com",RIGHT(B5696,12)="@hotmail.com",RIGHT(B5696,9)="@live.com"),"Outlook","Domain")))</f>
        <v/>
      </c>
      <c r="F5696">
        <f>IF(B5696="","",IFERROR(RIGHT(B5696,LEN(B5696)-FIND("@",B5696)),""))</f>
        <v/>
      </c>
      <c r="G5696">
        <f>IF(D5696="KEEP",COUNTIF($D$2:D5696,"KEEP"),"")</f>
        <v/>
      </c>
      <c r="H5696">
        <f>IF(D5696="REMOVE",COUNTIF($D$2:D5696,"REMOVE"),"")</f>
        <v/>
      </c>
      <c r="I5696">
        <f>IF(E5696="Gmail",COUNTIF($E$2:E5696,"Gmail"),"")</f>
        <v/>
      </c>
      <c r="J5696">
        <f>IF(E5696="Outlook",COUNTIF($E$2:E5696,"Outlook"),"")</f>
        <v/>
      </c>
      <c r="K5696">
        <f>IF(E5696="Domain",COUNTIF($E$2:E5696,"Domain"),"")</f>
        <v/>
      </c>
    </row>
    <row r="5697">
      <c r="A5697" s="2" t="n"/>
      <c r="B5697">
        <f>LOWER(TRIM(A5697))</f>
        <v/>
      </c>
      <c r="C5697">
        <f>IF(B5697="","",IFERROR(INDEX('Bad Patterns'!$A$2:$A$120,MATCH(1,INDEX(--ISNUMBER(SEARCH('Bad Patterns'!$A$2:$A$120,B5697)),0),0)),""))</f>
        <v/>
      </c>
      <c r="D5697">
        <f>IF(B5697="","",IF(C5697&lt;&gt;"","REMOVE","KEEP"))</f>
        <v/>
      </c>
      <c r="E5697">
        <f>IF(D5697&lt;&gt;"KEEP","",IF(RIGHT(B5697,10)="@gmail.com","Gmail",IF(OR(RIGHT(B5697,12)="@outlook.com",RIGHT(B5697,12)="@hotmail.com",RIGHT(B5697,9)="@live.com"),"Outlook","Domain")))</f>
        <v/>
      </c>
      <c r="F5697">
        <f>IF(B5697="","",IFERROR(RIGHT(B5697,LEN(B5697)-FIND("@",B5697)),""))</f>
        <v/>
      </c>
      <c r="G5697">
        <f>IF(D5697="KEEP",COUNTIF($D$2:D5697,"KEEP"),"")</f>
        <v/>
      </c>
      <c r="H5697">
        <f>IF(D5697="REMOVE",COUNTIF($D$2:D5697,"REMOVE"),"")</f>
        <v/>
      </c>
      <c r="I5697">
        <f>IF(E5697="Gmail",COUNTIF($E$2:E5697,"Gmail"),"")</f>
        <v/>
      </c>
      <c r="J5697">
        <f>IF(E5697="Outlook",COUNTIF($E$2:E5697,"Outlook"),"")</f>
        <v/>
      </c>
      <c r="K5697">
        <f>IF(E5697="Domain",COUNTIF($E$2:E5697,"Domain"),"")</f>
        <v/>
      </c>
    </row>
    <row r="5698">
      <c r="A5698" s="2" t="n"/>
      <c r="B5698">
        <f>LOWER(TRIM(A5698))</f>
        <v/>
      </c>
      <c r="C5698">
        <f>IF(B5698="","",IFERROR(INDEX('Bad Patterns'!$A$2:$A$120,MATCH(1,INDEX(--ISNUMBER(SEARCH('Bad Patterns'!$A$2:$A$120,B5698)),0),0)),""))</f>
        <v/>
      </c>
      <c r="D5698">
        <f>IF(B5698="","",IF(C5698&lt;&gt;"","REMOVE","KEEP"))</f>
        <v/>
      </c>
      <c r="E5698">
        <f>IF(D5698&lt;&gt;"KEEP","",IF(RIGHT(B5698,10)="@gmail.com","Gmail",IF(OR(RIGHT(B5698,12)="@outlook.com",RIGHT(B5698,12)="@hotmail.com",RIGHT(B5698,9)="@live.com"),"Outlook","Domain")))</f>
        <v/>
      </c>
      <c r="F5698">
        <f>IF(B5698="","",IFERROR(RIGHT(B5698,LEN(B5698)-FIND("@",B5698)),""))</f>
        <v/>
      </c>
      <c r="G5698">
        <f>IF(D5698="KEEP",COUNTIF($D$2:D5698,"KEEP"),"")</f>
        <v/>
      </c>
      <c r="H5698">
        <f>IF(D5698="REMOVE",COUNTIF($D$2:D5698,"REMOVE"),"")</f>
        <v/>
      </c>
      <c r="I5698">
        <f>IF(E5698="Gmail",COUNTIF($E$2:E5698,"Gmail"),"")</f>
        <v/>
      </c>
      <c r="J5698">
        <f>IF(E5698="Outlook",COUNTIF($E$2:E5698,"Outlook"),"")</f>
        <v/>
      </c>
      <c r="K5698">
        <f>IF(E5698="Domain",COUNTIF($E$2:E5698,"Domain"),"")</f>
        <v/>
      </c>
    </row>
    <row r="5699">
      <c r="A5699" s="2" t="n"/>
      <c r="B5699">
        <f>LOWER(TRIM(A5699))</f>
        <v/>
      </c>
      <c r="C5699">
        <f>IF(B5699="","",IFERROR(INDEX('Bad Patterns'!$A$2:$A$120,MATCH(1,INDEX(--ISNUMBER(SEARCH('Bad Patterns'!$A$2:$A$120,B5699)),0),0)),""))</f>
        <v/>
      </c>
      <c r="D5699">
        <f>IF(B5699="","",IF(C5699&lt;&gt;"","REMOVE","KEEP"))</f>
        <v/>
      </c>
      <c r="E5699">
        <f>IF(D5699&lt;&gt;"KEEP","",IF(RIGHT(B5699,10)="@gmail.com","Gmail",IF(OR(RIGHT(B5699,12)="@outlook.com",RIGHT(B5699,12)="@hotmail.com",RIGHT(B5699,9)="@live.com"),"Outlook","Domain")))</f>
        <v/>
      </c>
      <c r="F5699">
        <f>IF(B5699="","",IFERROR(RIGHT(B5699,LEN(B5699)-FIND("@",B5699)),""))</f>
        <v/>
      </c>
      <c r="G5699">
        <f>IF(D5699="KEEP",COUNTIF($D$2:D5699,"KEEP"),"")</f>
        <v/>
      </c>
      <c r="H5699">
        <f>IF(D5699="REMOVE",COUNTIF($D$2:D5699,"REMOVE"),"")</f>
        <v/>
      </c>
      <c r="I5699">
        <f>IF(E5699="Gmail",COUNTIF($E$2:E5699,"Gmail"),"")</f>
        <v/>
      </c>
      <c r="J5699">
        <f>IF(E5699="Outlook",COUNTIF($E$2:E5699,"Outlook"),"")</f>
        <v/>
      </c>
      <c r="K5699">
        <f>IF(E5699="Domain",COUNTIF($E$2:E5699,"Domain"),"")</f>
        <v/>
      </c>
    </row>
    <row r="5700">
      <c r="A5700" s="2" t="n"/>
      <c r="B5700">
        <f>LOWER(TRIM(A5700))</f>
        <v/>
      </c>
      <c r="C5700">
        <f>IF(B5700="","",IFERROR(INDEX('Bad Patterns'!$A$2:$A$120,MATCH(1,INDEX(--ISNUMBER(SEARCH('Bad Patterns'!$A$2:$A$120,B5700)),0),0)),""))</f>
        <v/>
      </c>
      <c r="D5700">
        <f>IF(B5700="","",IF(C5700&lt;&gt;"","REMOVE","KEEP"))</f>
        <v/>
      </c>
      <c r="E5700">
        <f>IF(D5700&lt;&gt;"KEEP","",IF(RIGHT(B5700,10)="@gmail.com","Gmail",IF(OR(RIGHT(B5700,12)="@outlook.com",RIGHT(B5700,12)="@hotmail.com",RIGHT(B5700,9)="@live.com"),"Outlook","Domain")))</f>
        <v/>
      </c>
      <c r="F5700">
        <f>IF(B5700="","",IFERROR(RIGHT(B5700,LEN(B5700)-FIND("@",B5700)),""))</f>
        <v/>
      </c>
      <c r="G5700">
        <f>IF(D5700="KEEP",COUNTIF($D$2:D5700,"KEEP"),"")</f>
        <v/>
      </c>
      <c r="H5700">
        <f>IF(D5700="REMOVE",COUNTIF($D$2:D5700,"REMOVE"),"")</f>
        <v/>
      </c>
      <c r="I5700">
        <f>IF(E5700="Gmail",COUNTIF($E$2:E5700,"Gmail"),"")</f>
        <v/>
      </c>
      <c r="J5700">
        <f>IF(E5700="Outlook",COUNTIF($E$2:E5700,"Outlook"),"")</f>
        <v/>
      </c>
      <c r="K5700">
        <f>IF(E5700="Domain",COUNTIF($E$2:E5700,"Domain"),"")</f>
        <v/>
      </c>
    </row>
    <row r="5701">
      <c r="A5701" s="2" t="n"/>
      <c r="B5701">
        <f>LOWER(TRIM(A5701))</f>
        <v/>
      </c>
      <c r="C5701">
        <f>IF(B5701="","",IFERROR(INDEX('Bad Patterns'!$A$2:$A$120,MATCH(1,INDEX(--ISNUMBER(SEARCH('Bad Patterns'!$A$2:$A$120,B5701)),0),0)),""))</f>
        <v/>
      </c>
      <c r="D5701">
        <f>IF(B5701="","",IF(C5701&lt;&gt;"","REMOVE","KEEP"))</f>
        <v/>
      </c>
      <c r="E5701">
        <f>IF(D5701&lt;&gt;"KEEP","",IF(RIGHT(B5701,10)="@gmail.com","Gmail",IF(OR(RIGHT(B5701,12)="@outlook.com",RIGHT(B5701,12)="@hotmail.com",RIGHT(B5701,9)="@live.com"),"Outlook","Domain")))</f>
        <v/>
      </c>
      <c r="F5701">
        <f>IF(B5701="","",IFERROR(RIGHT(B5701,LEN(B5701)-FIND("@",B5701)),""))</f>
        <v/>
      </c>
      <c r="G5701">
        <f>IF(D5701="KEEP",COUNTIF($D$2:D5701,"KEEP"),"")</f>
        <v/>
      </c>
      <c r="H5701">
        <f>IF(D5701="REMOVE",COUNTIF($D$2:D5701,"REMOVE"),"")</f>
        <v/>
      </c>
      <c r="I5701">
        <f>IF(E5701="Gmail",COUNTIF($E$2:E5701,"Gmail"),"")</f>
        <v/>
      </c>
      <c r="J5701">
        <f>IF(E5701="Outlook",COUNTIF($E$2:E5701,"Outlook"),"")</f>
        <v/>
      </c>
      <c r="K5701">
        <f>IF(E5701="Domain",COUNTIF($E$2:E5701,"Domain"),"")</f>
        <v/>
      </c>
    </row>
    <row r="5702">
      <c r="A5702" s="2" t="n"/>
      <c r="B5702">
        <f>LOWER(TRIM(A5702))</f>
        <v/>
      </c>
      <c r="C5702">
        <f>IF(B5702="","",IFERROR(INDEX('Bad Patterns'!$A$2:$A$120,MATCH(1,INDEX(--ISNUMBER(SEARCH('Bad Patterns'!$A$2:$A$120,B5702)),0),0)),""))</f>
        <v/>
      </c>
      <c r="D5702">
        <f>IF(B5702="","",IF(C5702&lt;&gt;"","REMOVE","KEEP"))</f>
        <v/>
      </c>
      <c r="E5702">
        <f>IF(D5702&lt;&gt;"KEEP","",IF(RIGHT(B5702,10)="@gmail.com","Gmail",IF(OR(RIGHT(B5702,12)="@outlook.com",RIGHT(B5702,12)="@hotmail.com",RIGHT(B5702,9)="@live.com"),"Outlook","Domain")))</f>
        <v/>
      </c>
      <c r="F5702">
        <f>IF(B5702="","",IFERROR(RIGHT(B5702,LEN(B5702)-FIND("@",B5702)),""))</f>
        <v/>
      </c>
      <c r="G5702">
        <f>IF(D5702="KEEP",COUNTIF($D$2:D5702,"KEEP"),"")</f>
        <v/>
      </c>
      <c r="H5702">
        <f>IF(D5702="REMOVE",COUNTIF($D$2:D5702,"REMOVE"),"")</f>
        <v/>
      </c>
      <c r="I5702">
        <f>IF(E5702="Gmail",COUNTIF($E$2:E5702,"Gmail"),"")</f>
        <v/>
      </c>
      <c r="J5702">
        <f>IF(E5702="Outlook",COUNTIF($E$2:E5702,"Outlook"),"")</f>
        <v/>
      </c>
      <c r="K5702">
        <f>IF(E5702="Domain",COUNTIF($E$2:E5702,"Domain"),"")</f>
        <v/>
      </c>
    </row>
    <row r="5703">
      <c r="A5703" s="2" t="n"/>
      <c r="B5703">
        <f>LOWER(TRIM(A5703))</f>
        <v/>
      </c>
      <c r="C5703">
        <f>IF(B5703="","",IFERROR(INDEX('Bad Patterns'!$A$2:$A$120,MATCH(1,INDEX(--ISNUMBER(SEARCH('Bad Patterns'!$A$2:$A$120,B5703)),0),0)),""))</f>
        <v/>
      </c>
      <c r="D5703">
        <f>IF(B5703="","",IF(C5703&lt;&gt;"","REMOVE","KEEP"))</f>
        <v/>
      </c>
      <c r="E5703">
        <f>IF(D5703&lt;&gt;"KEEP","",IF(RIGHT(B5703,10)="@gmail.com","Gmail",IF(OR(RIGHT(B5703,12)="@outlook.com",RIGHT(B5703,12)="@hotmail.com",RIGHT(B5703,9)="@live.com"),"Outlook","Domain")))</f>
        <v/>
      </c>
      <c r="F5703">
        <f>IF(B5703="","",IFERROR(RIGHT(B5703,LEN(B5703)-FIND("@",B5703)),""))</f>
        <v/>
      </c>
      <c r="G5703">
        <f>IF(D5703="KEEP",COUNTIF($D$2:D5703,"KEEP"),"")</f>
        <v/>
      </c>
      <c r="H5703">
        <f>IF(D5703="REMOVE",COUNTIF($D$2:D5703,"REMOVE"),"")</f>
        <v/>
      </c>
      <c r="I5703">
        <f>IF(E5703="Gmail",COUNTIF($E$2:E5703,"Gmail"),"")</f>
        <v/>
      </c>
      <c r="J5703">
        <f>IF(E5703="Outlook",COUNTIF($E$2:E5703,"Outlook"),"")</f>
        <v/>
      </c>
      <c r="K5703">
        <f>IF(E5703="Domain",COUNTIF($E$2:E5703,"Domain"),"")</f>
        <v/>
      </c>
    </row>
    <row r="5704">
      <c r="A5704" s="2" t="n"/>
      <c r="B5704">
        <f>LOWER(TRIM(A5704))</f>
        <v/>
      </c>
      <c r="C5704">
        <f>IF(B5704="","",IFERROR(INDEX('Bad Patterns'!$A$2:$A$120,MATCH(1,INDEX(--ISNUMBER(SEARCH('Bad Patterns'!$A$2:$A$120,B5704)),0),0)),""))</f>
        <v/>
      </c>
      <c r="D5704">
        <f>IF(B5704="","",IF(C5704&lt;&gt;"","REMOVE","KEEP"))</f>
        <v/>
      </c>
      <c r="E5704">
        <f>IF(D5704&lt;&gt;"KEEP","",IF(RIGHT(B5704,10)="@gmail.com","Gmail",IF(OR(RIGHT(B5704,12)="@outlook.com",RIGHT(B5704,12)="@hotmail.com",RIGHT(B5704,9)="@live.com"),"Outlook","Domain")))</f>
        <v/>
      </c>
      <c r="F5704">
        <f>IF(B5704="","",IFERROR(RIGHT(B5704,LEN(B5704)-FIND("@",B5704)),""))</f>
        <v/>
      </c>
      <c r="G5704">
        <f>IF(D5704="KEEP",COUNTIF($D$2:D5704,"KEEP"),"")</f>
        <v/>
      </c>
      <c r="H5704">
        <f>IF(D5704="REMOVE",COUNTIF($D$2:D5704,"REMOVE"),"")</f>
        <v/>
      </c>
      <c r="I5704">
        <f>IF(E5704="Gmail",COUNTIF($E$2:E5704,"Gmail"),"")</f>
        <v/>
      </c>
      <c r="J5704">
        <f>IF(E5704="Outlook",COUNTIF($E$2:E5704,"Outlook"),"")</f>
        <v/>
      </c>
      <c r="K5704">
        <f>IF(E5704="Domain",COUNTIF($E$2:E5704,"Domain"),"")</f>
        <v/>
      </c>
    </row>
    <row r="5705">
      <c r="A5705" s="2" t="n"/>
      <c r="B5705">
        <f>LOWER(TRIM(A5705))</f>
        <v/>
      </c>
      <c r="C5705">
        <f>IF(B5705="","",IFERROR(INDEX('Bad Patterns'!$A$2:$A$120,MATCH(1,INDEX(--ISNUMBER(SEARCH('Bad Patterns'!$A$2:$A$120,B5705)),0),0)),""))</f>
        <v/>
      </c>
      <c r="D5705">
        <f>IF(B5705="","",IF(C5705&lt;&gt;"","REMOVE","KEEP"))</f>
        <v/>
      </c>
      <c r="E5705">
        <f>IF(D5705&lt;&gt;"KEEP","",IF(RIGHT(B5705,10)="@gmail.com","Gmail",IF(OR(RIGHT(B5705,12)="@outlook.com",RIGHT(B5705,12)="@hotmail.com",RIGHT(B5705,9)="@live.com"),"Outlook","Domain")))</f>
        <v/>
      </c>
      <c r="F5705">
        <f>IF(B5705="","",IFERROR(RIGHT(B5705,LEN(B5705)-FIND("@",B5705)),""))</f>
        <v/>
      </c>
      <c r="G5705">
        <f>IF(D5705="KEEP",COUNTIF($D$2:D5705,"KEEP"),"")</f>
        <v/>
      </c>
      <c r="H5705">
        <f>IF(D5705="REMOVE",COUNTIF($D$2:D5705,"REMOVE"),"")</f>
        <v/>
      </c>
      <c r="I5705">
        <f>IF(E5705="Gmail",COUNTIF($E$2:E5705,"Gmail"),"")</f>
        <v/>
      </c>
      <c r="J5705">
        <f>IF(E5705="Outlook",COUNTIF($E$2:E5705,"Outlook"),"")</f>
        <v/>
      </c>
      <c r="K5705">
        <f>IF(E5705="Domain",COUNTIF($E$2:E5705,"Domain"),"")</f>
        <v/>
      </c>
    </row>
    <row r="5706">
      <c r="A5706" s="2" t="n"/>
      <c r="B5706">
        <f>LOWER(TRIM(A5706))</f>
        <v/>
      </c>
      <c r="C5706">
        <f>IF(B5706="","",IFERROR(INDEX('Bad Patterns'!$A$2:$A$120,MATCH(1,INDEX(--ISNUMBER(SEARCH('Bad Patterns'!$A$2:$A$120,B5706)),0),0)),""))</f>
        <v/>
      </c>
      <c r="D5706">
        <f>IF(B5706="","",IF(C5706&lt;&gt;"","REMOVE","KEEP"))</f>
        <v/>
      </c>
      <c r="E5706">
        <f>IF(D5706&lt;&gt;"KEEP","",IF(RIGHT(B5706,10)="@gmail.com","Gmail",IF(OR(RIGHT(B5706,12)="@outlook.com",RIGHT(B5706,12)="@hotmail.com",RIGHT(B5706,9)="@live.com"),"Outlook","Domain")))</f>
        <v/>
      </c>
      <c r="F5706">
        <f>IF(B5706="","",IFERROR(RIGHT(B5706,LEN(B5706)-FIND("@",B5706)),""))</f>
        <v/>
      </c>
      <c r="G5706">
        <f>IF(D5706="KEEP",COUNTIF($D$2:D5706,"KEEP"),"")</f>
        <v/>
      </c>
      <c r="H5706">
        <f>IF(D5706="REMOVE",COUNTIF($D$2:D5706,"REMOVE"),"")</f>
        <v/>
      </c>
      <c r="I5706">
        <f>IF(E5706="Gmail",COUNTIF($E$2:E5706,"Gmail"),"")</f>
        <v/>
      </c>
      <c r="J5706">
        <f>IF(E5706="Outlook",COUNTIF($E$2:E5706,"Outlook"),"")</f>
        <v/>
      </c>
      <c r="K5706">
        <f>IF(E5706="Domain",COUNTIF($E$2:E5706,"Domain"),"")</f>
        <v/>
      </c>
    </row>
    <row r="5707">
      <c r="A5707" s="2" t="n"/>
      <c r="B5707">
        <f>LOWER(TRIM(A5707))</f>
        <v/>
      </c>
      <c r="C5707">
        <f>IF(B5707="","",IFERROR(INDEX('Bad Patterns'!$A$2:$A$120,MATCH(1,INDEX(--ISNUMBER(SEARCH('Bad Patterns'!$A$2:$A$120,B5707)),0),0)),""))</f>
        <v/>
      </c>
      <c r="D5707">
        <f>IF(B5707="","",IF(C5707&lt;&gt;"","REMOVE","KEEP"))</f>
        <v/>
      </c>
      <c r="E5707">
        <f>IF(D5707&lt;&gt;"KEEP","",IF(RIGHT(B5707,10)="@gmail.com","Gmail",IF(OR(RIGHT(B5707,12)="@outlook.com",RIGHT(B5707,12)="@hotmail.com",RIGHT(B5707,9)="@live.com"),"Outlook","Domain")))</f>
        <v/>
      </c>
      <c r="F5707">
        <f>IF(B5707="","",IFERROR(RIGHT(B5707,LEN(B5707)-FIND("@",B5707)),""))</f>
        <v/>
      </c>
      <c r="G5707">
        <f>IF(D5707="KEEP",COUNTIF($D$2:D5707,"KEEP"),"")</f>
        <v/>
      </c>
      <c r="H5707">
        <f>IF(D5707="REMOVE",COUNTIF($D$2:D5707,"REMOVE"),"")</f>
        <v/>
      </c>
      <c r="I5707">
        <f>IF(E5707="Gmail",COUNTIF($E$2:E5707,"Gmail"),"")</f>
        <v/>
      </c>
      <c r="J5707">
        <f>IF(E5707="Outlook",COUNTIF($E$2:E5707,"Outlook"),"")</f>
        <v/>
      </c>
      <c r="K5707">
        <f>IF(E5707="Domain",COUNTIF($E$2:E5707,"Domain"),"")</f>
        <v/>
      </c>
    </row>
    <row r="5708">
      <c r="A5708" s="2" t="n"/>
      <c r="B5708">
        <f>LOWER(TRIM(A5708))</f>
        <v/>
      </c>
      <c r="C5708">
        <f>IF(B5708="","",IFERROR(INDEX('Bad Patterns'!$A$2:$A$120,MATCH(1,INDEX(--ISNUMBER(SEARCH('Bad Patterns'!$A$2:$A$120,B5708)),0),0)),""))</f>
        <v/>
      </c>
      <c r="D5708">
        <f>IF(B5708="","",IF(C5708&lt;&gt;"","REMOVE","KEEP"))</f>
        <v/>
      </c>
      <c r="E5708">
        <f>IF(D5708&lt;&gt;"KEEP","",IF(RIGHT(B5708,10)="@gmail.com","Gmail",IF(OR(RIGHT(B5708,12)="@outlook.com",RIGHT(B5708,12)="@hotmail.com",RIGHT(B5708,9)="@live.com"),"Outlook","Domain")))</f>
        <v/>
      </c>
      <c r="F5708">
        <f>IF(B5708="","",IFERROR(RIGHT(B5708,LEN(B5708)-FIND("@",B5708)),""))</f>
        <v/>
      </c>
      <c r="G5708">
        <f>IF(D5708="KEEP",COUNTIF($D$2:D5708,"KEEP"),"")</f>
        <v/>
      </c>
      <c r="H5708">
        <f>IF(D5708="REMOVE",COUNTIF($D$2:D5708,"REMOVE"),"")</f>
        <v/>
      </c>
      <c r="I5708">
        <f>IF(E5708="Gmail",COUNTIF($E$2:E5708,"Gmail"),"")</f>
        <v/>
      </c>
      <c r="J5708">
        <f>IF(E5708="Outlook",COUNTIF($E$2:E5708,"Outlook"),"")</f>
        <v/>
      </c>
      <c r="K5708">
        <f>IF(E5708="Domain",COUNTIF($E$2:E5708,"Domain"),"")</f>
        <v/>
      </c>
    </row>
    <row r="5709">
      <c r="A5709" s="2" t="n"/>
      <c r="B5709">
        <f>LOWER(TRIM(A5709))</f>
        <v/>
      </c>
      <c r="C5709">
        <f>IF(B5709="","",IFERROR(INDEX('Bad Patterns'!$A$2:$A$120,MATCH(1,INDEX(--ISNUMBER(SEARCH('Bad Patterns'!$A$2:$A$120,B5709)),0),0)),""))</f>
        <v/>
      </c>
      <c r="D5709">
        <f>IF(B5709="","",IF(C5709&lt;&gt;"","REMOVE","KEEP"))</f>
        <v/>
      </c>
      <c r="E5709">
        <f>IF(D5709&lt;&gt;"KEEP","",IF(RIGHT(B5709,10)="@gmail.com","Gmail",IF(OR(RIGHT(B5709,12)="@outlook.com",RIGHT(B5709,12)="@hotmail.com",RIGHT(B5709,9)="@live.com"),"Outlook","Domain")))</f>
        <v/>
      </c>
      <c r="F5709">
        <f>IF(B5709="","",IFERROR(RIGHT(B5709,LEN(B5709)-FIND("@",B5709)),""))</f>
        <v/>
      </c>
      <c r="G5709">
        <f>IF(D5709="KEEP",COUNTIF($D$2:D5709,"KEEP"),"")</f>
        <v/>
      </c>
      <c r="H5709">
        <f>IF(D5709="REMOVE",COUNTIF($D$2:D5709,"REMOVE"),"")</f>
        <v/>
      </c>
      <c r="I5709">
        <f>IF(E5709="Gmail",COUNTIF($E$2:E5709,"Gmail"),"")</f>
        <v/>
      </c>
      <c r="J5709">
        <f>IF(E5709="Outlook",COUNTIF($E$2:E5709,"Outlook"),"")</f>
        <v/>
      </c>
      <c r="K5709">
        <f>IF(E5709="Domain",COUNTIF($E$2:E5709,"Domain"),"")</f>
        <v/>
      </c>
    </row>
    <row r="5710">
      <c r="A5710" s="2" t="n"/>
      <c r="B5710">
        <f>LOWER(TRIM(A5710))</f>
        <v/>
      </c>
      <c r="C5710">
        <f>IF(B5710="","",IFERROR(INDEX('Bad Patterns'!$A$2:$A$120,MATCH(1,INDEX(--ISNUMBER(SEARCH('Bad Patterns'!$A$2:$A$120,B5710)),0),0)),""))</f>
        <v/>
      </c>
      <c r="D5710">
        <f>IF(B5710="","",IF(C5710&lt;&gt;"","REMOVE","KEEP"))</f>
        <v/>
      </c>
      <c r="E5710">
        <f>IF(D5710&lt;&gt;"KEEP","",IF(RIGHT(B5710,10)="@gmail.com","Gmail",IF(OR(RIGHT(B5710,12)="@outlook.com",RIGHT(B5710,12)="@hotmail.com",RIGHT(B5710,9)="@live.com"),"Outlook","Domain")))</f>
        <v/>
      </c>
      <c r="F5710">
        <f>IF(B5710="","",IFERROR(RIGHT(B5710,LEN(B5710)-FIND("@",B5710)),""))</f>
        <v/>
      </c>
      <c r="G5710">
        <f>IF(D5710="KEEP",COUNTIF($D$2:D5710,"KEEP"),"")</f>
        <v/>
      </c>
      <c r="H5710">
        <f>IF(D5710="REMOVE",COUNTIF($D$2:D5710,"REMOVE"),"")</f>
        <v/>
      </c>
      <c r="I5710">
        <f>IF(E5710="Gmail",COUNTIF($E$2:E5710,"Gmail"),"")</f>
        <v/>
      </c>
      <c r="J5710">
        <f>IF(E5710="Outlook",COUNTIF($E$2:E5710,"Outlook"),"")</f>
        <v/>
      </c>
      <c r="K5710">
        <f>IF(E5710="Domain",COUNTIF($E$2:E5710,"Domain"),"")</f>
        <v/>
      </c>
    </row>
    <row r="5711">
      <c r="A5711" s="2" t="n"/>
      <c r="B5711">
        <f>LOWER(TRIM(A5711))</f>
        <v/>
      </c>
      <c r="C5711">
        <f>IF(B5711="","",IFERROR(INDEX('Bad Patterns'!$A$2:$A$120,MATCH(1,INDEX(--ISNUMBER(SEARCH('Bad Patterns'!$A$2:$A$120,B5711)),0),0)),""))</f>
        <v/>
      </c>
      <c r="D5711">
        <f>IF(B5711="","",IF(C5711&lt;&gt;"","REMOVE","KEEP"))</f>
        <v/>
      </c>
      <c r="E5711">
        <f>IF(D5711&lt;&gt;"KEEP","",IF(RIGHT(B5711,10)="@gmail.com","Gmail",IF(OR(RIGHT(B5711,12)="@outlook.com",RIGHT(B5711,12)="@hotmail.com",RIGHT(B5711,9)="@live.com"),"Outlook","Domain")))</f>
        <v/>
      </c>
      <c r="F5711">
        <f>IF(B5711="","",IFERROR(RIGHT(B5711,LEN(B5711)-FIND("@",B5711)),""))</f>
        <v/>
      </c>
      <c r="G5711">
        <f>IF(D5711="KEEP",COUNTIF($D$2:D5711,"KEEP"),"")</f>
        <v/>
      </c>
      <c r="H5711">
        <f>IF(D5711="REMOVE",COUNTIF($D$2:D5711,"REMOVE"),"")</f>
        <v/>
      </c>
      <c r="I5711">
        <f>IF(E5711="Gmail",COUNTIF($E$2:E5711,"Gmail"),"")</f>
        <v/>
      </c>
      <c r="J5711">
        <f>IF(E5711="Outlook",COUNTIF($E$2:E5711,"Outlook"),"")</f>
        <v/>
      </c>
      <c r="K5711">
        <f>IF(E5711="Domain",COUNTIF($E$2:E5711,"Domain"),"")</f>
        <v/>
      </c>
    </row>
    <row r="5712">
      <c r="A5712" s="2" t="n"/>
      <c r="B5712">
        <f>LOWER(TRIM(A5712))</f>
        <v/>
      </c>
      <c r="C5712">
        <f>IF(B5712="","",IFERROR(INDEX('Bad Patterns'!$A$2:$A$120,MATCH(1,INDEX(--ISNUMBER(SEARCH('Bad Patterns'!$A$2:$A$120,B5712)),0),0)),""))</f>
        <v/>
      </c>
      <c r="D5712">
        <f>IF(B5712="","",IF(C5712&lt;&gt;"","REMOVE","KEEP"))</f>
        <v/>
      </c>
      <c r="E5712">
        <f>IF(D5712&lt;&gt;"KEEP","",IF(RIGHT(B5712,10)="@gmail.com","Gmail",IF(OR(RIGHT(B5712,12)="@outlook.com",RIGHT(B5712,12)="@hotmail.com",RIGHT(B5712,9)="@live.com"),"Outlook","Domain")))</f>
        <v/>
      </c>
      <c r="F5712">
        <f>IF(B5712="","",IFERROR(RIGHT(B5712,LEN(B5712)-FIND("@",B5712)),""))</f>
        <v/>
      </c>
      <c r="G5712">
        <f>IF(D5712="KEEP",COUNTIF($D$2:D5712,"KEEP"),"")</f>
        <v/>
      </c>
      <c r="H5712">
        <f>IF(D5712="REMOVE",COUNTIF($D$2:D5712,"REMOVE"),"")</f>
        <v/>
      </c>
      <c r="I5712">
        <f>IF(E5712="Gmail",COUNTIF($E$2:E5712,"Gmail"),"")</f>
        <v/>
      </c>
      <c r="J5712">
        <f>IF(E5712="Outlook",COUNTIF($E$2:E5712,"Outlook"),"")</f>
        <v/>
      </c>
      <c r="K5712">
        <f>IF(E5712="Domain",COUNTIF($E$2:E5712,"Domain"),"")</f>
        <v/>
      </c>
    </row>
    <row r="5713">
      <c r="A5713" s="2" t="n"/>
      <c r="B5713">
        <f>LOWER(TRIM(A5713))</f>
        <v/>
      </c>
      <c r="C5713">
        <f>IF(B5713="","",IFERROR(INDEX('Bad Patterns'!$A$2:$A$120,MATCH(1,INDEX(--ISNUMBER(SEARCH('Bad Patterns'!$A$2:$A$120,B5713)),0),0)),""))</f>
        <v/>
      </c>
      <c r="D5713">
        <f>IF(B5713="","",IF(C5713&lt;&gt;"","REMOVE","KEEP"))</f>
        <v/>
      </c>
      <c r="E5713">
        <f>IF(D5713&lt;&gt;"KEEP","",IF(RIGHT(B5713,10)="@gmail.com","Gmail",IF(OR(RIGHT(B5713,12)="@outlook.com",RIGHT(B5713,12)="@hotmail.com",RIGHT(B5713,9)="@live.com"),"Outlook","Domain")))</f>
        <v/>
      </c>
      <c r="F5713">
        <f>IF(B5713="","",IFERROR(RIGHT(B5713,LEN(B5713)-FIND("@",B5713)),""))</f>
        <v/>
      </c>
      <c r="G5713">
        <f>IF(D5713="KEEP",COUNTIF($D$2:D5713,"KEEP"),"")</f>
        <v/>
      </c>
      <c r="H5713">
        <f>IF(D5713="REMOVE",COUNTIF($D$2:D5713,"REMOVE"),"")</f>
        <v/>
      </c>
      <c r="I5713">
        <f>IF(E5713="Gmail",COUNTIF($E$2:E5713,"Gmail"),"")</f>
        <v/>
      </c>
      <c r="J5713">
        <f>IF(E5713="Outlook",COUNTIF($E$2:E5713,"Outlook"),"")</f>
        <v/>
      </c>
      <c r="K5713">
        <f>IF(E5713="Domain",COUNTIF($E$2:E5713,"Domain"),"")</f>
        <v/>
      </c>
    </row>
    <row r="5714">
      <c r="A5714" s="2" t="n"/>
      <c r="B5714">
        <f>LOWER(TRIM(A5714))</f>
        <v/>
      </c>
      <c r="C5714">
        <f>IF(B5714="","",IFERROR(INDEX('Bad Patterns'!$A$2:$A$120,MATCH(1,INDEX(--ISNUMBER(SEARCH('Bad Patterns'!$A$2:$A$120,B5714)),0),0)),""))</f>
        <v/>
      </c>
      <c r="D5714">
        <f>IF(B5714="","",IF(C5714&lt;&gt;"","REMOVE","KEEP"))</f>
        <v/>
      </c>
      <c r="E5714">
        <f>IF(D5714&lt;&gt;"KEEP","",IF(RIGHT(B5714,10)="@gmail.com","Gmail",IF(OR(RIGHT(B5714,12)="@outlook.com",RIGHT(B5714,12)="@hotmail.com",RIGHT(B5714,9)="@live.com"),"Outlook","Domain")))</f>
        <v/>
      </c>
      <c r="F5714">
        <f>IF(B5714="","",IFERROR(RIGHT(B5714,LEN(B5714)-FIND("@",B5714)),""))</f>
        <v/>
      </c>
      <c r="G5714">
        <f>IF(D5714="KEEP",COUNTIF($D$2:D5714,"KEEP"),"")</f>
        <v/>
      </c>
      <c r="H5714">
        <f>IF(D5714="REMOVE",COUNTIF($D$2:D5714,"REMOVE"),"")</f>
        <v/>
      </c>
      <c r="I5714">
        <f>IF(E5714="Gmail",COUNTIF($E$2:E5714,"Gmail"),"")</f>
        <v/>
      </c>
      <c r="J5714">
        <f>IF(E5714="Outlook",COUNTIF($E$2:E5714,"Outlook"),"")</f>
        <v/>
      </c>
      <c r="K5714">
        <f>IF(E5714="Domain",COUNTIF($E$2:E5714,"Domain"),"")</f>
        <v/>
      </c>
    </row>
    <row r="5715">
      <c r="A5715" s="2" t="n"/>
      <c r="B5715">
        <f>LOWER(TRIM(A5715))</f>
        <v/>
      </c>
      <c r="C5715">
        <f>IF(B5715="","",IFERROR(INDEX('Bad Patterns'!$A$2:$A$120,MATCH(1,INDEX(--ISNUMBER(SEARCH('Bad Patterns'!$A$2:$A$120,B5715)),0),0)),""))</f>
        <v/>
      </c>
      <c r="D5715">
        <f>IF(B5715="","",IF(C5715&lt;&gt;"","REMOVE","KEEP"))</f>
        <v/>
      </c>
      <c r="E5715">
        <f>IF(D5715&lt;&gt;"KEEP","",IF(RIGHT(B5715,10)="@gmail.com","Gmail",IF(OR(RIGHT(B5715,12)="@outlook.com",RIGHT(B5715,12)="@hotmail.com",RIGHT(B5715,9)="@live.com"),"Outlook","Domain")))</f>
        <v/>
      </c>
      <c r="F5715">
        <f>IF(B5715="","",IFERROR(RIGHT(B5715,LEN(B5715)-FIND("@",B5715)),""))</f>
        <v/>
      </c>
      <c r="G5715">
        <f>IF(D5715="KEEP",COUNTIF($D$2:D5715,"KEEP"),"")</f>
        <v/>
      </c>
      <c r="H5715">
        <f>IF(D5715="REMOVE",COUNTIF($D$2:D5715,"REMOVE"),"")</f>
        <v/>
      </c>
      <c r="I5715">
        <f>IF(E5715="Gmail",COUNTIF($E$2:E5715,"Gmail"),"")</f>
        <v/>
      </c>
      <c r="J5715">
        <f>IF(E5715="Outlook",COUNTIF($E$2:E5715,"Outlook"),"")</f>
        <v/>
      </c>
      <c r="K5715">
        <f>IF(E5715="Domain",COUNTIF($E$2:E5715,"Domain"),"")</f>
        <v/>
      </c>
    </row>
    <row r="5716">
      <c r="A5716" s="2" t="n"/>
      <c r="B5716">
        <f>LOWER(TRIM(A5716))</f>
        <v/>
      </c>
      <c r="C5716">
        <f>IF(B5716="","",IFERROR(INDEX('Bad Patterns'!$A$2:$A$120,MATCH(1,INDEX(--ISNUMBER(SEARCH('Bad Patterns'!$A$2:$A$120,B5716)),0),0)),""))</f>
        <v/>
      </c>
      <c r="D5716">
        <f>IF(B5716="","",IF(C5716&lt;&gt;"","REMOVE","KEEP"))</f>
        <v/>
      </c>
      <c r="E5716">
        <f>IF(D5716&lt;&gt;"KEEP","",IF(RIGHT(B5716,10)="@gmail.com","Gmail",IF(OR(RIGHT(B5716,12)="@outlook.com",RIGHT(B5716,12)="@hotmail.com",RIGHT(B5716,9)="@live.com"),"Outlook","Domain")))</f>
        <v/>
      </c>
      <c r="F5716">
        <f>IF(B5716="","",IFERROR(RIGHT(B5716,LEN(B5716)-FIND("@",B5716)),""))</f>
        <v/>
      </c>
      <c r="G5716">
        <f>IF(D5716="KEEP",COUNTIF($D$2:D5716,"KEEP"),"")</f>
        <v/>
      </c>
      <c r="H5716">
        <f>IF(D5716="REMOVE",COUNTIF($D$2:D5716,"REMOVE"),"")</f>
        <v/>
      </c>
      <c r="I5716">
        <f>IF(E5716="Gmail",COUNTIF($E$2:E5716,"Gmail"),"")</f>
        <v/>
      </c>
      <c r="J5716">
        <f>IF(E5716="Outlook",COUNTIF($E$2:E5716,"Outlook"),"")</f>
        <v/>
      </c>
      <c r="K5716">
        <f>IF(E5716="Domain",COUNTIF($E$2:E5716,"Domain"),"")</f>
        <v/>
      </c>
    </row>
    <row r="5717">
      <c r="A5717" s="2" t="n"/>
      <c r="B5717">
        <f>LOWER(TRIM(A5717))</f>
        <v/>
      </c>
      <c r="C5717">
        <f>IF(B5717="","",IFERROR(INDEX('Bad Patterns'!$A$2:$A$120,MATCH(1,INDEX(--ISNUMBER(SEARCH('Bad Patterns'!$A$2:$A$120,B5717)),0),0)),""))</f>
        <v/>
      </c>
      <c r="D5717">
        <f>IF(B5717="","",IF(C5717&lt;&gt;"","REMOVE","KEEP"))</f>
        <v/>
      </c>
      <c r="E5717">
        <f>IF(D5717&lt;&gt;"KEEP","",IF(RIGHT(B5717,10)="@gmail.com","Gmail",IF(OR(RIGHT(B5717,12)="@outlook.com",RIGHT(B5717,12)="@hotmail.com",RIGHT(B5717,9)="@live.com"),"Outlook","Domain")))</f>
        <v/>
      </c>
      <c r="F5717">
        <f>IF(B5717="","",IFERROR(RIGHT(B5717,LEN(B5717)-FIND("@",B5717)),""))</f>
        <v/>
      </c>
      <c r="G5717">
        <f>IF(D5717="KEEP",COUNTIF($D$2:D5717,"KEEP"),"")</f>
        <v/>
      </c>
      <c r="H5717">
        <f>IF(D5717="REMOVE",COUNTIF($D$2:D5717,"REMOVE"),"")</f>
        <v/>
      </c>
      <c r="I5717">
        <f>IF(E5717="Gmail",COUNTIF($E$2:E5717,"Gmail"),"")</f>
        <v/>
      </c>
      <c r="J5717">
        <f>IF(E5717="Outlook",COUNTIF($E$2:E5717,"Outlook"),"")</f>
        <v/>
      </c>
      <c r="K5717">
        <f>IF(E5717="Domain",COUNTIF($E$2:E5717,"Domain"),"")</f>
        <v/>
      </c>
    </row>
    <row r="5718">
      <c r="A5718" s="2" t="n"/>
      <c r="B5718">
        <f>LOWER(TRIM(A5718))</f>
        <v/>
      </c>
      <c r="C5718">
        <f>IF(B5718="","",IFERROR(INDEX('Bad Patterns'!$A$2:$A$120,MATCH(1,INDEX(--ISNUMBER(SEARCH('Bad Patterns'!$A$2:$A$120,B5718)),0),0)),""))</f>
        <v/>
      </c>
      <c r="D5718">
        <f>IF(B5718="","",IF(C5718&lt;&gt;"","REMOVE","KEEP"))</f>
        <v/>
      </c>
      <c r="E5718">
        <f>IF(D5718&lt;&gt;"KEEP","",IF(RIGHT(B5718,10)="@gmail.com","Gmail",IF(OR(RIGHT(B5718,12)="@outlook.com",RIGHT(B5718,12)="@hotmail.com",RIGHT(B5718,9)="@live.com"),"Outlook","Domain")))</f>
        <v/>
      </c>
      <c r="F5718">
        <f>IF(B5718="","",IFERROR(RIGHT(B5718,LEN(B5718)-FIND("@",B5718)),""))</f>
        <v/>
      </c>
      <c r="G5718">
        <f>IF(D5718="KEEP",COUNTIF($D$2:D5718,"KEEP"),"")</f>
        <v/>
      </c>
      <c r="H5718">
        <f>IF(D5718="REMOVE",COUNTIF($D$2:D5718,"REMOVE"),"")</f>
        <v/>
      </c>
      <c r="I5718">
        <f>IF(E5718="Gmail",COUNTIF($E$2:E5718,"Gmail"),"")</f>
        <v/>
      </c>
      <c r="J5718">
        <f>IF(E5718="Outlook",COUNTIF($E$2:E5718,"Outlook"),"")</f>
        <v/>
      </c>
      <c r="K5718">
        <f>IF(E5718="Domain",COUNTIF($E$2:E5718,"Domain"),"")</f>
        <v/>
      </c>
    </row>
    <row r="5719">
      <c r="A5719" s="2" t="n"/>
      <c r="B5719">
        <f>LOWER(TRIM(A5719))</f>
        <v/>
      </c>
      <c r="C5719">
        <f>IF(B5719="","",IFERROR(INDEX('Bad Patterns'!$A$2:$A$120,MATCH(1,INDEX(--ISNUMBER(SEARCH('Bad Patterns'!$A$2:$A$120,B5719)),0),0)),""))</f>
        <v/>
      </c>
      <c r="D5719">
        <f>IF(B5719="","",IF(C5719&lt;&gt;"","REMOVE","KEEP"))</f>
        <v/>
      </c>
      <c r="E5719">
        <f>IF(D5719&lt;&gt;"KEEP","",IF(RIGHT(B5719,10)="@gmail.com","Gmail",IF(OR(RIGHT(B5719,12)="@outlook.com",RIGHT(B5719,12)="@hotmail.com",RIGHT(B5719,9)="@live.com"),"Outlook","Domain")))</f>
        <v/>
      </c>
      <c r="F5719">
        <f>IF(B5719="","",IFERROR(RIGHT(B5719,LEN(B5719)-FIND("@",B5719)),""))</f>
        <v/>
      </c>
      <c r="G5719">
        <f>IF(D5719="KEEP",COUNTIF($D$2:D5719,"KEEP"),"")</f>
        <v/>
      </c>
      <c r="H5719">
        <f>IF(D5719="REMOVE",COUNTIF($D$2:D5719,"REMOVE"),"")</f>
        <v/>
      </c>
      <c r="I5719">
        <f>IF(E5719="Gmail",COUNTIF($E$2:E5719,"Gmail"),"")</f>
        <v/>
      </c>
      <c r="J5719">
        <f>IF(E5719="Outlook",COUNTIF($E$2:E5719,"Outlook"),"")</f>
        <v/>
      </c>
      <c r="K5719">
        <f>IF(E5719="Domain",COUNTIF($E$2:E5719,"Domain"),"")</f>
        <v/>
      </c>
    </row>
    <row r="5720">
      <c r="A5720" s="2" t="n"/>
      <c r="B5720">
        <f>LOWER(TRIM(A5720))</f>
        <v/>
      </c>
      <c r="C5720">
        <f>IF(B5720="","",IFERROR(INDEX('Bad Patterns'!$A$2:$A$120,MATCH(1,INDEX(--ISNUMBER(SEARCH('Bad Patterns'!$A$2:$A$120,B5720)),0),0)),""))</f>
        <v/>
      </c>
      <c r="D5720">
        <f>IF(B5720="","",IF(C5720&lt;&gt;"","REMOVE","KEEP"))</f>
        <v/>
      </c>
      <c r="E5720">
        <f>IF(D5720&lt;&gt;"KEEP","",IF(RIGHT(B5720,10)="@gmail.com","Gmail",IF(OR(RIGHT(B5720,12)="@outlook.com",RIGHT(B5720,12)="@hotmail.com",RIGHT(B5720,9)="@live.com"),"Outlook","Domain")))</f>
        <v/>
      </c>
      <c r="F5720">
        <f>IF(B5720="","",IFERROR(RIGHT(B5720,LEN(B5720)-FIND("@",B5720)),""))</f>
        <v/>
      </c>
      <c r="G5720">
        <f>IF(D5720="KEEP",COUNTIF($D$2:D5720,"KEEP"),"")</f>
        <v/>
      </c>
      <c r="H5720">
        <f>IF(D5720="REMOVE",COUNTIF($D$2:D5720,"REMOVE"),"")</f>
        <v/>
      </c>
      <c r="I5720">
        <f>IF(E5720="Gmail",COUNTIF($E$2:E5720,"Gmail"),"")</f>
        <v/>
      </c>
      <c r="J5720">
        <f>IF(E5720="Outlook",COUNTIF($E$2:E5720,"Outlook"),"")</f>
        <v/>
      </c>
      <c r="K5720">
        <f>IF(E5720="Domain",COUNTIF($E$2:E5720,"Domain"),"")</f>
        <v/>
      </c>
    </row>
    <row r="5721">
      <c r="A5721" s="2" t="n"/>
      <c r="B5721">
        <f>LOWER(TRIM(A5721))</f>
        <v/>
      </c>
      <c r="C5721">
        <f>IF(B5721="","",IFERROR(INDEX('Bad Patterns'!$A$2:$A$120,MATCH(1,INDEX(--ISNUMBER(SEARCH('Bad Patterns'!$A$2:$A$120,B5721)),0),0)),""))</f>
        <v/>
      </c>
      <c r="D5721">
        <f>IF(B5721="","",IF(C5721&lt;&gt;"","REMOVE","KEEP"))</f>
        <v/>
      </c>
      <c r="E5721">
        <f>IF(D5721&lt;&gt;"KEEP","",IF(RIGHT(B5721,10)="@gmail.com","Gmail",IF(OR(RIGHT(B5721,12)="@outlook.com",RIGHT(B5721,12)="@hotmail.com",RIGHT(B5721,9)="@live.com"),"Outlook","Domain")))</f>
        <v/>
      </c>
      <c r="F5721">
        <f>IF(B5721="","",IFERROR(RIGHT(B5721,LEN(B5721)-FIND("@",B5721)),""))</f>
        <v/>
      </c>
      <c r="G5721">
        <f>IF(D5721="KEEP",COUNTIF($D$2:D5721,"KEEP"),"")</f>
        <v/>
      </c>
      <c r="H5721">
        <f>IF(D5721="REMOVE",COUNTIF($D$2:D5721,"REMOVE"),"")</f>
        <v/>
      </c>
      <c r="I5721">
        <f>IF(E5721="Gmail",COUNTIF($E$2:E5721,"Gmail"),"")</f>
        <v/>
      </c>
      <c r="J5721">
        <f>IF(E5721="Outlook",COUNTIF($E$2:E5721,"Outlook"),"")</f>
        <v/>
      </c>
      <c r="K5721">
        <f>IF(E5721="Domain",COUNTIF($E$2:E5721,"Domain"),"")</f>
        <v/>
      </c>
    </row>
    <row r="5722">
      <c r="A5722" s="2" t="n"/>
      <c r="B5722">
        <f>LOWER(TRIM(A5722))</f>
        <v/>
      </c>
      <c r="C5722">
        <f>IF(B5722="","",IFERROR(INDEX('Bad Patterns'!$A$2:$A$120,MATCH(1,INDEX(--ISNUMBER(SEARCH('Bad Patterns'!$A$2:$A$120,B5722)),0),0)),""))</f>
        <v/>
      </c>
      <c r="D5722">
        <f>IF(B5722="","",IF(C5722&lt;&gt;"","REMOVE","KEEP"))</f>
        <v/>
      </c>
      <c r="E5722">
        <f>IF(D5722&lt;&gt;"KEEP","",IF(RIGHT(B5722,10)="@gmail.com","Gmail",IF(OR(RIGHT(B5722,12)="@outlook.com",RIGHT(B5722,12)="@hotmail.com",RIGHT(B5722,9)="@live.com"),"Outlook","Domain")))</f>
        <v/>
      </c>
      <c r="F5722">
        <f>IF(B5722="","",IFERROR(RIGHT(B5722,LEN(B5722)-FIND("@",B5722)),""))</f>
        <v/>
      </c>
      <c r="G5722">
        <f>IF(D5722="KEEP",COUNTIF($D$2:D5722,"KEEP"),"")</f>
        <v/>
      </c>
      <c r="H5722">
        <f>IF(D5722="REMOVE",COUNTIF($D$2:D5722,"REMOVE"),"")</f>
        <v/>
      </c>
      <c r="I5722">
        <f>IF(E5722="Gmail",COUNTIF($E$2:E5722,"Gmail"),"")</f>
        <v/>
      </c>
      <c r="J5722">
        <f>IF(E5722="Outlook",COUNTIF($E$2:E5722,"Outlook"),"")</f>
        <v/>
      </c>
      <c r="K5722">
        <f>IF(E5722="Domain",COUNTIF($E$2:E5722,"Domain"),"")</f>
        <v/>
      </c>
    </row>
    <row r="5723">
      <c r="A5723" s="2" t="n"/>
      <c r="B5723">
        <f>LOWER(TRIM(A5723))</f>
        <v/>
      </c>
      <c r="C5723">
        <f>IF(B5723="","",IFERROR(INDEX('Bad Patterns'!$A$2:$A$120,MATCH(1,INDEX(--ISNUMBER(SEARCH('Bad Patterns'!$A$2:$A$120,B5723)),0),0)),""))</f>
        <v/>
      </c>
      <c r="D5723">
        <f>IF(B5723="","",IF(C5723&lt;&gt;"","REMOVE","KEEP"))</f>
        <v/>
      </c>
      <c r="E5723">
        <f>IF(D5723&lt;&gt;"KEEP","",IF(RIGHT(B5723,10)="@gmail.com","Gmail",IF(OR(RIGHT(B5723,12)="@outlook.com",RIGHT(B5723,12)="@hotmail.com",RIGHT(B5723,9)="@live.com"),"Outlook","Domain")))</f>
        <v/>
      </c>
      <c r="F5723">
        <f>IF(B5723="","",IFERROR(RIGHT(B5723,LEN(B5723)-FIND("@",B5723)),""))</f>
        <v/>
      </c>
      <c r="G5723">
        <f>IF(D5723="KEEP",COUNTIF($D$2:D5723,"KEEP"),"")</f>
        <v/>
      </c>
      <c r="H5723">
        <f>IF(D5723="REMOVE",COUNTIF($D$2:D5723,"REMOVE"),"")</f>
        <v/>
      </c>
      <c r="I5723">
        <f>IF(E5723="Gmail",COUNTIF($E$2:E5723,"Gmail"),"")</f>
        <v/>
      </c>
      <c r="J5723">
        <f>IF(E5723="Outlook",COUNTIF($E$2:E5723,"Outlook"),"")</f>
        <v/>
      </c>
      <c r="K5723">
        <f>IF(E5723="Domain",COUNTIF($E$2:E5723,"Domain"),"")</f>
        <v/>
      </c>
    </row>
    <row r="5724">
      <c r="A5724" s="2" t="n"/>
      <c r="B5724">
        <f>LOWER(TRIM(A5724))</f>
        <v/>
      </c>
      <c r="C5724">
        <f>IF(B5724="","",IFERROR(INDEX('Bad Patterns'!$A$2:$A$120,MATCH(1,INDEX(--ISNUMBER(SEARCH('Bad Patterns'!$A$2:$A$120,B5724)),0),0)),""))</f>
        <v/>
      </c>
      <c r="D5724">
        <f>IF(B5724="","",IF(C5724&lt;&gt;"","REMOVE","KEEP"))</f>
        <v/>
      </c>
      <c r="E5724">
        <f>IF(D5724&lt;&gt;"KEEP","",IF(RIGHT(B5724,10)="@gmail.com","Gmail",IF(OR(RIGHT(B5724,12)="@outlook.com",RIGHT(B5724,12)="@hotmail.com",RIGHT(B5724,9)="@live.com"),"Outlook","Domain")))</f>
        <v/>
      </c>
      <c r="F5724">
        <f>IF(B5724="","",IFERROR(RIGHT(B5724,LEN(B5724)-FIND("@",B5724)),""))</f>
        <v/>
      </c>
      <c r="G5724">
        <f>IF(D5724="KEEP",COUNTIF($D$2:D5724,"KEEP"),"")</f>
        <v/>
      </c>
      <c r="H5724">
        <f>IF(D5724="REMOVE",COUNTIF($D$2:D5724,"REMOVE"),"")</f>
        <v/>
      </c>
      <c r="I5724">
        <f>IF(E5724="Gmail",COUNTIF($E$2:E5724,"Gmail"),"")</f>
        <v/>
      </c>
      <c r="J5724">
        <f>IF(E5724="Outlook",COUNTIF($E$2:E5724,"Outlook"),"")</f>
        <v/>
      </c>
      <c r="K5724">
        <f>IF(E5724="Domain",COUNTIF($E$2:E5724,"Domain"),"")</f>
        <v/>
      </c>
    </row>
    <row r="5725">
      <c r="A5725" s="2" t="n"/>
      <c r="B5725">
        <f>LOWER(TRIM(A5725))</f>
        <v/>
      </c>
      <c r="C5725">
        <f>IF(B5725="","",IFERROR(INDEX('Bad Patterns'!$A$2:$A$120,MATCH(1,INDEX(--ISNUMBER(SEARCH('Bad Patterns'!$A$2:$A$120,B5725)),0),0)),""))</f>
        <v/>
      </c>
      <c r="D5725">
        <f>IF(B5725="","",IF(C5725&lt;&gt;"","REMOVE","KEEP"))</f>
        <v/>
      </c>
      <c r="E5725">
        <f>IF(D5725&lt;&gt;"KEEP","",IF(RIGHT(B5725,10)="@gmail.com","Gmail",IF(OR(RIGHT(B5725,12)="@outlook.com",RIGHT(B5725,12)="@hotmail.com",RIGHT(B5725,9)="@live.com"),"Outlook","Domain")))</f>
        <v/>
      </c>
      <c r="F5725">
        <f>IF(B5725="","",IFERROR(RIGHT(B5725,LEN(B5725)-FIND("@",B5725)),""))</f>
        <v/>
      </c>
      <c r="G5725">
        <f>IF(D5725="KEEP",COUNTIF($D$2:D5725,"KEEP"),"")</f>
        <v/>
      </c>
      <c r="H5725">
        <f>IF(D5725="REMOVE",COUNTIF($D$2:D5725,"REMOVE"),"")</f>
        <v/>
      </c>
      <c r="I5725">
        <f>IF(E5725="Gmail",COUNTIF($E$2:E5725,"Gmail"),"")</f>
        <v/>
      </c>
      <c r="J5725">
        <f>IF(E5725="Outlook",COUNTIF($E$2:E5725,"Outlook"),"")</f>
        <v/>
      </c>
      <c r="K5725">
        <f>IF(E5725="Domain",COUNTIF($E$2:E5725,"Domain"),"")</f>
        <v/>
      </c>
    </row>
    <row r="5726">
      <c r="A5726" s="2" t="n"/>
      <c r="B5726">
        <f>LOWER(TRIM(A5726))</f>
        <v/>
      </c>
      <c r="C5726">
        <f>IF(B5726="","",IFERROR(INDEX('Bad Patterns'!$A$2:$A$120,MATCH(1,INDEX(--ISNUMBER(SEARCH('Bad Patterns'!$A$2:$A$120,B5726)),0),0)),""))</f>
        <v/>
      </c>
      <c r="D5726">
        <f>IF(B5726="","",IF(C5726&lt;&gt;"","REMOVE","KEEP"))</f>
        <v/>
      </c>
      <c r="E5726">
        <f>IF(D5726&lt;&gt;"KEEP","",IF(RIGHT(B5726,10)="@gmail.com","Gmail",IF(OR(RIGHT(B5726,12)="@outlook.com",RIGHT(B5726,12)="@hotmail.com",RIGHT(B5726,9)="@live.com"),"Outlook","Domain")))</f>
        <v/>
      </c>
      <c r="F5726">
        <f>IF(B5726="","",IFERROR(RIGHT(B5726,LEN(B5726)-FIND("@",B5726)),""))</f>
        <v/>
      </c>
      <c r="G5726">
        <f>IF(D5726="KEEP",COUNTIF($D$2:D5726,"KEEP"),"")</f>
        <v/>
      </c>
      <c r="H5726">
        <f>IF(D5726="REMOVE",COUNTIF($D$2:D5726,"REMOVE"),"")</f>
        <v/>
      </c>
      <c r="I5726">
        <f>IF(E5726="Gmail",COUNTIF($E$2:E5726,"Gmail"),"")</f>
        <v/>
      </c>
      <c r="J5726">
        <f>IF(E5726="Outlook",COUNTIF($E$2:E5726,"Outlook"),"")</f>
        <v/>
      </c>
      <c r="K5726">
        <f>IF(E5726="Domain",COUNTIF($E$2:E5726,"Domain"),"")</f>
        <v/>
      </c>
    </row>
    <row r="5727">
      <c r="A5727" s="2" t="n"/>
      <c r="B5727">
        <f>LOWER(TRIM(A5727))</f>
        <v/>
      </c>
      <c r="C5727">
        <f>IF(B5727="","",IFERROR(INDEX('Bad Patterns'!$A$2:$A$120,MATCH(1,INDEX(--ISNUMBER(SEARCH('Bad Patterns'!$A$2:$A$120,B5727)),0),0)),""))</f>
        <v/>
      </c>
      <c r="D5727">
        <f>IF(B5727="","",IF(C5727&lt;&gt;"","REMOVE","KEEP"))</f>
        <v/>
      </c>
      <c r="E5727">
        <f>IF(D5727&lt;&gt;"KEEP","",IF(RIGHT(B5727,10)="@gmail.com","Gmail",IF(OR(RIGHT(B5727,12)="@outlook.com",RIGHT(B5727,12)="@hotmail.com",RIGHT(B5727,9)="@live.com"),"Outlook","Domain")))</f>
        <v/>
      </c>
      <c r="F5727">
        <f>IF(B5727="","",IFERROR(RIGHT(B5727,LEN(B5727)-FIND("@",B5727)),""))</f>
        <v/>
      </c>
      <c r="G5727">
        <f>IF(D5727="KEEP",COUNTIF($D$2:D5727,"KEEP"),"")</f>
        <v/>
      </c>
      <c r="H5727">
        <f>IF(D5727="REMOVE",COUNTIF($D$2:D5727,"REMOVE"),"")</f>
        <v/>
      </c>
      <c r="I5727">
        <f>IF(E5727="Gmail",COUNTIF($E$2:E5727,"Gmail"),"")</f>
        <v/>
      </c>
      <c r="J5727">
        <f>IF(E5727="Outlook",COUNTIF($E$2:E5727,"Outlook"),"")</f>
        <v/>
      </c>
      <c r="K5727">
        <f>IF(E5727="Domain",COUNTIF($E$2:E5727,"Domain"),"")</f>
        <v/>
      </c>
    </row>
    <row r="5728">
      <c r="A5728" s="2" t="n"/>
      <c r="B5728">
        <f>LOWER(TRIM(A5728))</f>
        <v/>
      </c>
      <c r="C5728">
        <f>IF(B5728="","",IFERROR(INDEX('Bad Patterns'!$A$2:$A$120,MATCH(1,INDEX(--ISNUMBER(SEARCH('Bad Patterns'!$A$2:$A$120,B5728)),0),0)),""))</f>
        <v/>
      </c>
      <c r="D5728">
        <f>IF(B5728="","",IF(C5728&lt;&gt;"","REMOVE","KEEP"))</f>
        <v/>
      </c>
      <c r="E5728">
        <f>IF(D5728&lt;&gt;"KEEP","",IF(RIGHT(B5728,10)="@gmail.com","Gmail",IF(OR(RIGHT(B5728,12)="@outlook.com",RIGHT(B5728,12)="@hotmail.com",RIGHT(B5728,9)="@live.com"),"Outlook","Domain")))</f>
        <v/>
      </c>
      <c r="F5728">
        <f>IF(B5728="","",IFERROR(RIGHT(B5728,LEN(B5728)-FIND("@",B5728)),""))</f>
        <v/>
      </c>
      <c r="G5728">
        <f>IF(D5728="KEEP",COUNTIF($D$2:D5728,"KEEP"),"")</f>
        <v/>
      </c>
      <c r="H5728">
        <f>IF(D5728="REMOVE",COUNTIF($D$2:D5728,"REMOVE"),"")</f>
        <v/>
      </c>
      <c r="I5728">
        <f>IF(E5728="Gmail",COUNTIF($E$2:E5728,"Gmail"),"")</f>
        <v/>
      </c>
      <c r="J5728">
        <f>IF(E5728="Outlook",COUNTIF($E$2:E5728,"Outlook"),"")</f>
        <v/>
      </c>
      <c r="K5728">
        <f>IF(E5728="Domain",COUNTIF($E$2:E5728,"Domain"),"")</f>
        <v/>
      </c>
    </row>
    <row r="5729">
      <c r="A5729" s="2" t="n"/>
      <c r="B5729">
        <f>LOWER(TRIM(A5729))</f>
        <v/>
      </c>
      <c r="C5729">
        <f>IF(B5729="","",IFERROR(INDEX('Bad Patterns'!$A$2:$A$120,MATCH(1,INDEX(--ISNUMBER(SEARCH('Bad Patterns'!$A$2:$A$120,B5729)),0),0)),""))</f>
        <v/>
      </c>
      <c r="D5729">
        <f>IF(B5729="","",IF(C5729&lt;&gt;"","REMOVE","KEEP"))</f>
        <v/>
      </c>
      <c r="E5729">
        <f>IF(D5729&lt;&gt;"KEEP","",IF(RIGHT(B5729,10)="@gmail.com","Gmail",IF(OR(RIGHT(B5729,12)="@outlook.com",RIGHT(B5729,12)="@hotmail.com",RIGHT(B5729,9)="@live.com"),"Outlook","Domain")))</f>
        <v/>
      </c>
      <c r="F5729">
        <f>IF(B5729="","",IFERROR(RIGHT(B5729,LEN(B5729)-FIND("@",B5729)),""))</f>
        <v/>
      </c>
      <c r="G5729">
        <f>IF(D5729="KEEP",COUNTIF($D$2:D5729,"KEEP"),"")</f>
        <v/>
      </c>
      <c r="H5729">
        <f>IF(D5729="REMOVE",COUNTIF($D$2:D5729,"REMOVE"),"")</f>
        <v/>
      </c>
      <c r="I5729">
        <f>IF(E5729="Gmail",COUNTIF($E$2:E5729,"Gmail"),"")</f>
        <v/>
      </c>
      <c r="J5729">
        <f>IF(E5729="Outlook",COUNTIF($E$2:E5729,"Outlook"),"")</f>
        <v/>
      </c>
      <c r="K5729">
        <f>IF(E5729="Domain",COUNTIF($E$2:E5729,"Domain"),"")</f>
        <v/>
      </c>
    </row>
    <row r="5730">
      <c r="A5730" s="2" t="n"/>
      <c r="B5730">
        <f>LOWER(TRIM(A5730))</f>
        <v/>
      </c>
      <c r="C5730">
        <f>IF(B5730="","",IFERROR(INDEX('Bad Patterns'!$A$2:$A$120,MATCH(1,INDEX(--ISNUMBER(SEARCH('Bad Patterns'!$A$2:$A$120,B5730)),0),0)),""))</f>
        <v/>
      </c>
      <c r="D5730">
        <f>IF(B5730="","",IF(C5730&lt;&gt;"","REMOVE","KEEP"))</f>
        <v/>
      </c>
      <c r="E5730">
        <f>IF(D5730&lt;&gt;"KEEP","",IF(RIGHT(B5730,10)="@gmail.com","Gmail",IF(OR(RIGHT(B5730,12)="@outlook.com",RIGHT(B5730,12)="@hotmail.com",RIGHT(B5730,9)="@live.com"),"Outlook","Domain")))</f>
        <v/>
      </c>
      <c r="F5730">
        <f>IF(B5730="","",IFERROR(RIGHT(B5730,LEN(B5730)-FIND("@",B5730)),""))</f>
        <v/>
      </c>
      <c r="G5730">
        <f>IF(D5730="KEEP",COUNTIF($D$2:D5730,"KEEP"),"")</f>
        <v/>
      </c>
      <c r="H5730">
        <f>IF(D5730="REMOVE",COUNTIF($D$2:D5730,"REMOVE"),"")</f>
        <v/>
      </c>
      <c r="I5730">
        <f>IF(E5730="Gmail",COUNTIF($E$2:E5730,"Gmail"),"")</f>
        <v/>
      </c>
      <c r="J5730">
        <f>IF(E5730="Outlook",COUNTIF($E$2:E5730,"Outlook"),"")</f>
        <v/>
      </c>
      <c r="K5730">
        <f>IF(E5730="Domain",COUNTIF($E$2:E5730,"Domain"),"")</f>
        <v/>
      </c>
    </row>
    <row r="5731">
      <c r="A5731" s="2" t="n"/>
      <c r="B5731">
        <f>LOWER(TRIM(A5731))</f>
        <v/>
      </c>
      <c r="C5731">
        <f>IF(B5731="","",IFERROR(INDEX('Bad Patterns'!$A$2:$A$120,MATCH(1,INDEX(--ISNUMBER(SEARCH('Bad Patterns'!$A$2:$A$120,B5731)),0),0)),""))</f>
        <v/>
      </c>
      <c r="D5731">
        <f>IF(B5731="","",IF(C5731&lt;&gt;"","REMOVE","KEEP"))</f>
        <v/>
      </c>
      <c r="E5731">
        <f>IF(D5731&lt;&gt;"KEEP","",IF(RIGHT(B5731,10)="@gmail.com","Gmail",IF(OR(RIGHT(B5731,12)="@outlook.com",RIGHT(B5731,12)="@hotmail.com",RIGHT(B5731,9)="@live.com"),"Outlook","Domain")))</f>
        <v/>
      </c>
      <c r="F5731">
        <f>IF(B5731="","",IFERROR(RIGHT(B5731,LEN(B5731)-FIND("@",B5731)),""))</f>
        <v/>
      </c>
      <c r="G5731">
        <f>IF(D5731="KEEP",COUNTIF($D$2:D5731,"KEEP"),"")</f>
        <v/>
      </c>
      <c r="H5731">
        <f>IF(D5731="REMOVE",COUNTIF($D$2:D5731,"REMOVE"),"")</f>
        <v/>
      </c>
      <c r="I5731">
        <f>IF(E5731="Gmail",COUNTIF($E$2:E5731,"Gmail"),"")</f>
        <v/>
      </c>
      <c r="J5731">
        <f>IF(E5731="Outlook",COUNTIF($E$2:E5731,"Outlook"),"")</f>
        <v/>
      </c>
      <c r="K5731">
        <f>IF(E5731="Domain",COUNTIF($E$2:E5731,"Domain"),"")</f>
        <v/>
      </c>
    </row>
    <row r="5732">
      <c r="A5732" s="2" t="n"/>
      <c r="B5732">
        <f>LOWER(TRIM(A5732))</f>
        <v/>
      </c>
      <c r="C5732">
        <f>IF(B5732="","",IFERROR(INDEX('Bad Patterns'!$A$2:$A$120,MATCH(1,INDEX(--ISNUMBER(SEARCH('Bad Patterns'!$A$2:$A$120,B5732)),0),0)),""))</f>
        <v/>
      </c>
      <c r="D5732">
        <f>IF(B5732="","",IF(C5732&lt;&gt;"","REMOVE","KEEP"))</f>
        <v/>
      </c>
      <c r="E5732">
        <f>IF(D5732&lt;&gt;"KEEP","",IF(RIGHT(B5732,10)="@gmail.com","Gmail",IF(OR(RIGHT(B5732,12)="@outlook.com",RIGHT(B5732,12)="@hotmail.com",RIGHT(B5732,9)="@live.com"),"Outlook","Domain")))</f>
        <v/>
      </c>
      <c r="F5732">
        <f>IF(B5732="","",IFERROR(RIGHT(B5732,LEN(B5732)-FIND("@",B5732)),""))</f>
        <v/>
      </c>
      <c r="G5732">
        <f>IF(D5732="KEEP",COUNTIF($D$2:D5732,"KEEP"),"")</f>
        <v/>
      </c>
      <c r="H5732">
        <f>IF(D5732="REMOVE",COUNTIF($D$2:D5732,"REMOVE"),"")</f>
        <v/>
      </c>
      <c r="I5732">
        <f>IF(E5732="Gmail",COUNTIF($E$2:E5732,"Gmail"),"")</f>
        <v/>
      </c>
      <c r="J5732">
        <f>IF(E5732="Outlook",COUNTIF($E$2:E5732,"Outlook"),"")</f>
        <v/>
      </c>
      <c r="K5732">
        <f>IF(E5732="Domain",COUNTIF($E$2:E5732,"Domain"),"")</f>
        <v/>
      </c>
    </row>
    <row r="5733">
      <c r="A5733" s="2" t="n"/>
      <c r="B5733">
        <f>LOWER(TRIM(A5733))</f>
        <v/>
      </c>
      <c r="C5733">
        <f>IF(B5733="","",IFERROR(INDEX('Bad Patterns'!$A$2:$A$120,MATCH(1,INDEX(--ISNUMBER(SEARCH('Bad Patterns'!$A$2:$A$120,B5733)),0),0)),""))</f>
        <v/>
      </c>
      <c r="D5733">
        <f>IF(B5733="","",IF(C5733&lt;&gt;"","REMOVE","KEEP"))</f>
        <v/>
      </c>
      <c r="E5733">
        <f>IF(D5733&lt;&gt;"KEEP","",IF(RIGHT(B5733,10)="@gmail.com","Gmail",IF(OR(RIGHT(B5733,12)="@outlook.com",RIGHT(B5733,12)="@hotmail.com",RIGHT(B5733,9)="@live.com"),"Outlook","Domain")))</f>
        <v/>
      </c>
      <c r="F5733">
        <f>IF(B5733="","",IFERROR(RIGHT(B5733,LEN(B5733)-FIND("@",B5733)),""))</f>
        <v/>
      </c>
      <c r="G5733">
        <f>IF(D5733="KEEP",COUNTIF($D$2:D5733,"KEEP"),"")</f>
        <v/>
      </c>
      <c r="H5733">
        <f>IF(D5733="REMOVE",COUNTIF($D$2:D5733,"REMOVE"),"")</f>
        <v/>
      </c>
      <c r="I5733">
        <f>IF(E5733="Gmail",COUNTIF($E$2:E5733,"Gmail"),"")</f>
        <v/>
      </c>
      <c r="J5733">
        <f>IF(E5733="Outlook",COUNTIF($E$2:E5733,"Outlook"),"")</f>
        <v/>
      </c>
      <c r="K5733">
        <f>IF(E5733="Domain",COUNTIF($E$2:E5733,"Domain"),"")</f>
        <v/>
      </c>
    </row>
    <row r="5734">
      <c r="A5734" s="2" t="n"/>
      <c r="B5734">
        <f>LOWER(TRIM(A5734))</f>
        <v/>
      </c>
      <c r="C5734">
        <f>IF(B5734="","",IFERROR(INDEX('Bad Patterns'!$A$2:$A$120,MATCH(1,INDEX(--ISNUMBER(SEARCH('Bad Patterns'!$A$2:$A$120,B5734)),0),0)),""))</f>
        <v/>
      </c>
      <c r="D5734">
        <f>IF(B5734="","",IF(C5734&lt;&gt;"","REMOVE","KEEP"))</f>
        <v/>
      </c>
      <c r="E5734">
        <f>IF(D5734&lt;&gt;"KEEP","",IF(RIGHT(B5734,10)="@gmail.com","Gmail",IF(OR(RIGHT(B5734,12)="@outlook.com",RIGHT(B5734,12)="@hotmail.com",RIGHT(B5734,9)="@live.com"),"Outlook","Domain")))</f>
        <v/>
      </c>
      <c r="F5734">
        <f>IF(B5734="","",IFERROR(RIGHT(B5734,LEN(B5734)-FIND("@",B5734)),""))</f>
        <v/>
      </c>
      <c r="G5734">
        <f>IF(D5734="KEEP",COUNTIF($D$2:D5734,"KEEP"),"")</f>
        <v/>
      </c>
      <c r="H5734">
        <f>IF(D5734="REMOVE",COUNTIF($D$2:D5734,"REMOVE"),"")</f>
        <v/>
      </c>
      <c r="I5734">
        <f>IF(E5734="Gmail",COUNTIF($E$2:E5734,"Gmail"),"")</f>
        <v/>
      </c>
      <c r="J5734">
        <f>IF(E5734="Outlook",COUNTIF($E$2:E5734,"Outlook"),"")</f>
        <v/>
      </c>
      <c r="K5734">
        <f>IF(E5734="Domain",COUNTIF($E$2:E5734,"Domain"),"")</f>
        <v/>
      </c>
    </row>
    <row r="5735">
      <c r="A5735" s="2" t="n"/>
      <c r="B5735">
        <f>LOWER(TRIM(A5735))</f>
        <v/>
      </c>
      <c r="C5735">
        <f>IF(B5735="","",IFERROR(INDEX('Bad Patterns'!$A$2:$A$120,MATCH(1,INDEX(--ISNUMBER(SEARCH('Bad Patterns'!$A$2:$A$120,B5735)),0),0)),""))</f>
        <v/>
      </c>
      <c r="D5735">
        <f>IF(B5735="","",IF(C5735&lt;&gt;"","REMOVE","KEEP"))</f>
        <v/>
      </c>
      <c r="E5735">
        <f>IF(D5735&lt;&gt;"KEEP","",IF(RIGHT(B5735,10)="@gmail.com","Gmail",IF(OR(RIGHT(B5735,12)="@outlook.com",RIGHT(B5735,12)="@hotmail.com",RIGHT(B5735,9)="@live.com"),"Outlook","Domain")))</f>
        <v/>
      </c>
      <c r="F5735">
        <f>IF(B5735="","",IFERROR(RIGHT(B5735,LEN(B5735)-FIND("@",B5735)),""))</f>
        <v/>
      </c>
      <c r="G5735">
        <f>IF(D5735="KEEP",COUNTIF($D$2:D5735,"KEEP"),"")</f>
        <v/>
      </c>
      <c r="H5735">
        <f>IF(D5735="REMOVE",COUNTIF($D$2:D5735,"REMOVE"),"")</f>
        <v/>
      </c>
      <c r="I5735">
        <f>IF(E5735="Gmail",COUNTIF($E$2:E5735,"Gmail"),"")</f>
        <v/>
      </c>
      <c r="J5735">
        <f>IF(E5735="Outlook",COUNTIF($E$2:E5735,"Outlook"),"")</f>
        <v/>
      </c>
      <c r="K5735">
        <f>IF(E5735="Domain",COUNTIF($E$2:E5735,"Domain"),"")</f>
        <v/>
      </c>
    </row>
    <row r="5736">
      <c r="A5736" s="2" t="n"/>
      <c r="B5736">
        <f>LOWER(TRIM(A5736))</f>
        <v/>
      </c>
      <c r="C5736">
        <f>IF(B5736="","",IFERROR(INDEX('Bad Patterns'!$A$2:$A$120,MATCH(1,INDEX(--ISNUMBER(SEARCH('Bad Patterns'!$A$2:$A$120,B5736)),0),0)),""))</f>
        <v/>
      </c>
      <c r="D5736">
        <f>IF(B5736="","",IF(C5736&lt;&gt;"","REMOVE","KEEP"))</f>
        <v/>
      </c>
      <c r="E5736">
        <f>IF(D5736&lt;&gt;"KEEP","",IF(RIGHT(B5736,10)="@gmail.com","Gmail",IF(OR(RIGHT(B5736,12)="@outlook.com",RIGHT(B5736,12)="@hotmail.com",RIGHT(B5736,9)="@live.com"),"Outlook","Domain")))</f>
        <v/>
      </c>
      <c r="F5736">
        <f>IF(B5736="","",IFERROR(RIGHT(B5736,LEN(B5736)-FIND("@",B5736)),""))</f>
        <v/>
      </c>
      <c r="G5736">
        <f>IF(D5736="KEEP",COUNTIF($D$2:D5736,"KEEP"),"")</f>
        <v/>
      </c>
      <c r="H5736">
        <f>IF(D5736="REMOVE",COUNTIF($D$2:D5736,"REMOVE"),"")</f>
        <v/>
      </c>
      <c r="I5736">
        <f>IF(E5736="Gmail",COUNTIF($E$2:E5736,"Gmail"),"")</f>
        <v/>
      </c>
      <c r="J5736">
        <f>IF(E5736="Outlook",COUNTIF($E$2:E5736,"Outlook"),"")</f>
        <v/>
      </c>
      <c r="K5736">
        <f>IF(E5736="Domain",COUNTIF($E$2:E5736,"Domain"),"")</f>
        <v/>
      </c>
    </row>
    <row r="5737">
      <c r="A5737" s="2" t="n"/>
      <c r="B5737">
        <f>LOWER(TRIM(A5737))</f>
        <v/>
      </c>
      <c r="C5737">
        <f>IF(B5737="","",IFERROR(INDEX('Bad Patterns'!$A$2:$A$120,MATCH(1,INDEX(--ISNUMBER(SEARCH('Bad Patterns'!$A$2:$A$120,B5737)),0),0)),""))</f>
        <v/>
      </c>
      <c r="D5737">
        <f>IF(B5737="","",IF(C5737&lt;&gt;"","REMOVE","KEEP"))</f>
        <v/>
      </c>
      <c r="E5737">
        <f>IF(D5737&lt;&gt;"KEEP","",IF(RIGHT(B5737,10)="@gmail.com","Gmail",IF(OR(RIGHT(B5737,12)="@outlook.com",RIGHT(B5737,12)="@hotmail.com",RIGHT(B5737,9)="@live.com"),"Outlook","Domain")))</f>
        <v/>
      </c>
      <c r="F5737">
        <f>IF(B5737="","",IFERROR(RIGHT(B5737,LEN(B5737)-FIND("@",B5737)),""))</f>
        <v/>
      </c>
      <c r="G5737">
        <f>IF(D5737="KEEP",COUNTIF($D$2:D5737,"KEEP"),"")</f>
        <v/>
      </c>
      <c r="H5737">
        <f>IF(D5737="REMOVE",COUNTIF($D$2:D5737,"REMOVE"),"")</f>
        <v/>
      </c>
      <c r="I5737">
        <f>IF(E5737="Gmail",COUNTIF($E$2:E5737,"Gmail"),"")</f>
        <v/>
      </c>
      <c r="J5737">
        <f>IF(E5737="Outlook",COUNTIF($E$2:E5737,"Outlook"),"")</f>
        <v/>
      </c>
      <c r="K5737">
        <f>IF(E5737="Domain",COUNTIF($E$2:E5737,"Domain"),"")</f>
        <v/>
      </c>
    </row>
    <row r="5738">
      <c r="A5738" s="2" t="n"/>
      <c r="B5738">
        <f>LOWER(TRIM(A5738))</f>
        <v/>
      </c>
      <c r="C5738">
        <f>IF(B5738="","",IFERROR(INDEX('Bad Patterns'!$A$2:$A$120,MATCH(1,INDEX(--ISNUMBER(SEARCH('Bad Patterns'!$A$2:$A$120,B5738)),0),0)),""))</f>
        <v/>
      </c>
      <c r="D5738">
        <f>IF(B5738="","",IF(C5738&lt;&gt;"","REMOVE","KEEP"))</f>
        <v/>
      </c>
      <c r="E5738">
        <f>IF(D5738&lt;&gt;"KEEP","",IF(RIGHT(B5738,10)="@gmail.com","Gmail",IF(OR(RIGHT(B5738,12)="@outlook.com",RIGHT(B5738,12)="@hotmail.com",RIGHT(B5738,9)="@live.com"),"Outlook","Domain")))</f>
        <v/>
      </c>
      <c r="F5738">
        <f>IF(B5738="","",IFERROR(RIGHT(B5738,LEN(B5738)-FIND("@",B5738)),""))</f>
        <v/>
      </c>
      <c r="G5738">
        <f>IF(D5738="KEEP",COUNTIF($D$2:D5738,"KEEP"),"")</f>
        <v/>
      </c>
      <c r="H5738">
        <f>IF(D5738="REMOVE",COUNTIF($D$2:D5738,"REMOVE"),"")</f>
        <v/>
      </c>
      <c r="I5738">
        <f>IF(E5738="Gmail",COUNTIF($E$2:E5738,"Gmail"),"")</f>
        <v/>
      </c>
      <c r="J5738">
        <f>IF(E5738="Outlook",COUNTIF($E$2:E5738,"Outlook"),"")</f>
        <v/>
      </c>
      <c r="K5738">
        <f>IF(E5738="Domain",COUNTIF($E$2:E5738,"Domain"),"")</f>
        <v/>
      </c>
    </row>
    <row r="5739">
      <c r="A5739" s="2" t="n"/>
      <c r="B5739">
        <f>LOWER(TRIM(A5739))</f>
        <v/>
      </c>
      <c r="C5739">
        <f>IF(B5739="","",IFERROR(INDEX('Bad Patterns'!$A$2:$A$120,MATCH(1,INDEX(--ISNUMBER(SEARCH('Bad Patterns'!$A$2:$A$120,B5739)),0),0)),""))</f>
        <v/>
      </c>
      <c r="D5739">
        <f>IF(B5739="","",IF(C5739&lt;&gt;"","REMOVE","KEEP"))</f>
        <v/>
      </c>
      <c r="E5739">
        <f>IF(D5739&lt;&gt;"KEEP","",IF(RIGHT(B5739,10)="@gmail.com","Gmail",IF(OR(RIGHT(B5739,12)="@outlook.com",RIGHT(B5739,12)="@hotmail.com",RIGHT(B5739,9)="@live.com"),"Outlook","Domain")))</f>
        <v/>
      </c>
      <c r="F5739">
        <f>IF(B5739="","",IFERROR(RIGHT(B5739,LEN(B5739)-FIND("@",B5739)),""))</f>
        <v/>
      </c>
      <c r="G5739">
        <f>IF(D5739="KEEP",COUNTIF($D$2:D5739,"KEEP"),"")</f>
        <v/>
      </c>
      <c r="H5739">
        <f>IF(D5739="REMOVE",COUNTIF($D$2:D5739,"REMOVE"),"")</f>
        <v/>
      </c>
      <c r="I5739">
        <f>IF(E5739="Gmail",COUNTIF($E$2:E5739,"Gmail"),"")</f>
        <v/>
      </c>
      <c r="J5739">
        <f>IF(E5739="Outlook",COUNTIF($E$2:E5739,"Outlook"),"")</f>
        <v/>
      </c>
      <c r="K5739">
        <f>IF(E5739="Domain",COUNTIF($E$2:E5739,"Domain"),"")</f>
        <v/>
      </c>
    </row>
    <row r="5740">
      <c r="A5740" s="2" t="n"/>
      <c r="B5740">
        <f>LOWER(TRIM(A5740))</f>
        <v/>
      </c>
      <c r="C5740">
        <f>IF(B5740="","",IFERROR(INDEX('Bad Patterns'!$A$2:$A$120,MATCH(1,INDEX(--ISNUMBER(SEARCH('Bad Patterns'!$A$2:$A$120,B5740)),0),0)),""))</f>
        <v/>
      </c>
      <c r="D5740">
        <f>IF(B5740="","",IF(C5740&lt;&gt;"","REMOVE","KEEP"))</f>
        <v/>
      </c>
      <c r="E5740">
        <f>IF(D5740&lt;&gt;"KEEP","",IF(RIGHT(B5740,10)="@gmail.com","Gmail",IF(OR(RIGHT(B5740,12)="@outlook.com",RIGHT(B5740,12)="@hotmail.com",RIGHT(B5740,9)="@live.com"),"Outlook","Domain")))</f>
        <v/>
      </c>
      <c r="F5740">
        <f>IF(B5740="","",IFERROR(RIGHT(B5740,LEN(B5740)-FIND("@",B5740)),""))</f>
        <v/>
      </c>
      <c r="G5740">
        <f>IF(D5740="KEEP",COUNTIF($D$2:D5740,"KEEP"),"")</f>
        <v/>
      </c>
      <c r="H5740">
        <f>IF(D5740="REMOVE",COUNTIF($D$2:D5740,"REMOVE"),"")</f>
        <v/>
      </c>
      <c r="I5740">
        <f>IF(E5740="Gmail",COUNTIF($E$2:E5740,"Gmail"),"")</f>
        <v/>
      </c>
      <c r="J5740">
        <f>IF(E5740="Outlook",COUNTIF($E$2:E5740,"Outlook"),"")</f>
        <v/>
      </c>
      <c r="K5740">
        <f>IF(E5740="Domain",COUNTIF($E$2:E5740,"Domain"),"")</f>
        <v/>
      </c>
    </row>
    <row r="5741">
      <c r="A5741" s="2" t="n"/>
      <c r="B5741">
        <f>LOWER(TRIM(A5741))</f>
        <v/>
      </c>
      <c r="C5741">
        <f>IF(B5741="","",IFERROR(INDEX('Bad Patterns'!$A$2:$A$120,MATCH(1,INDEX(--ISNUMBER(SEARCH('Bad Patterns'!$A$2:$A$120,B5741)),0),0)),""))</f>
        <v/>
      </c>
      <c r="D5741">
        <f>IF(B5741="","",IF(C5741&lt;&gt;"","REMOVE","KEEP"))</f>
        <v/>
      </c>
      <c r="E5741">
        <f>IF(D5741&lt;&gt;"KEEP","",IF(RIGHT(B5741,10)="@gmail.com","Gmail",IF(OR(RIGHT(B5741,12)="@outlook.com",RIGHT(B5741,12)="@hotmail.com",RIGHT(B5741,9)="@live.com"),"Outlook","Domain")))</f>
        <v/>
      </c>
      <c r="F5741">
        <f>IF(B5741="","",IFERROR(RIGHT(B5741,LEN(B5741)-FIND("@",B5741)),""))</f>
        <v/>
      </c>
      <c r="G5741">
        <f>IF(D5741="KEEP",COUNTIF($D$2:D5741,"KEEP"),"")</f>
        <v/>
      </c>
      <c r="H5741">
        <f>IF(D5741="REMOVE",COUNTIF($D$2:D5741,"REMOVE"),"")</f>
        <v/>
      </c>
      <c r="I5741">
        <f>IF(E5741="Gmail",COUNTIF($E$2:E5741,"Gmail"),"")</f>
        <v/>
      </c>
      <c r="J5741">
        <f>IF(E5741="Outlook",COUNTIF($E$2:E5741,"Outlook"),"")</f>
        <v/>
      </c>
      <c r="K5741">
        <f>IF(E5741="Domain",COUNTIF($E$2:E5741,"Domain"),"")</f>
        <v/>
      </c>
    </row>
    <row r="5742">
      <c r="A5742" s="2" t="n"/>
      <c r="B5742">
        <f>LOWER(TRIM(A5742))</f>
        <v/>
      </c>
      <c r="C5742">
        <f>IF(B5742="","",IFERROR(INDEX('Bad Patterns'!$A$2:$A$120,MATCH(1,INDEX(--ISNUMBER(SEARCH('Bad Patterns'!$A$2:$A$120,B5742)),0),0)),""))</f>
        <v/>
      </c>
      <c r="D5742">
        <f>IF(B5742="","",IF(C5742&lt;&gt;"","REMOVE","KEEP"))</f>
        <v/>
      </c>
      <c r="E5742">
        <f>IF(D5742&lt;&gt;"KEEP","",IF(RIGHT(B5742,10)="@gmail.com","Gmail",IF(OR(RIGHT(B5742,12)="@outlook.com",RIGHT(B5742,12)="@hotmail.com",RIGHT(B5742,9)="@live.com"),"Outlook","Domain")))</f>
        <v/>
      </c>
      <c r="F5742">
        <f>IF(B5742="","",IFERROR(RIGHT(B5742,LEN(B5742)-FIND("@",B5742)),""))</f>
        <v/>
      </c>
      <c r="G5742">
        <f>IF(D5742="KEEP",COUNTIF($D$2:D5742,"KEEP"),"")</f>
        <v/>
      </c>
      <c r="H5742">
        <f>IF(D5742="REMOVE",COUNTIF($D$2:D5742,"REMOVE"),"")</f>
        <v/>
      </c>
      <c r="I5742">
        <f>IF(E5742="Gmail",COUNTIF($E$2:E5742,"Gmail"),"")</f>
        <v/>
      </c>
      <c r="J5742">
        <f>IF(E5742="Outlook",COUNTIF($E$2:E5742,"Outlook"),"")</f>
        <v/>
      </c>
      <c r="K5742">
        <f>IF(E5742="Domain",COUNTIF($E$2:E5742,"Domain"),"")</f>
        <v/>
      </c>
    </row>
    <row r="5743">
      <c r="A5743" s="2" t="n"/>
      <c r="B5743">
        <f>LOWER(TRIM(A5743))</f>
        <v/>
      </c>
      <c r="C5743">
        <f>IF(B5743="","",IFERROR(INDEX('Bad Patterns'!$A$2:$A$120,MATCH(1,INDEX(--ISNUMBER(SEARCH('Bad Patterns'!$A$2:$A$120,B5743)),0),0)),""))</f>
        <v/>
      </c>
      <c r="D5743">
        <f>IF(B5743="","",IF(C5743&lt;&gt;"","REMOVE","KEEP"))</f>
        <v/>
      </c>
      <c r="E5743">
        <f>IF(D5743&lt;&gt;"KEEP","",IF(RIGHT(B5743,10)="@gmail.com","Gmail",IF(OR(RIGHT(B5743,12)="@outlook.com",RIGHT(B5743,12)="@hotmail.com",RIGHT(B5743,9)="@live.com"),"Outlook","Domain")))</f>
        <v/>
      </c>
      <c r="F5743">
        <f>IF(B5743="","",IFERROR(RIGHT(B5743,LEN(B5743)-FIND("@",B5743)),""))</f>
        <v/>
      </c>
      <c r="G5743">
        <f>IF(D5743="KEEP",COUNTIF($D$2:D5743,"KEEP"),"")</f>
        <v/>
      </c>
      <c r="H5743">
        <f>IF(D5743="REMOVE",COUNTIF($D$2:D5743,"REMOVE"),"")</f>
        <v/>
      </c>
      <c r="I5743">
        <f>IF(E5743="Gmail",COUNTIF($E$2:E5743,"Gmail"),"")</f>
        <v/>
      </c>
      <c r="J5743">
        <f>IF(E5743="Outlook",COUNTIF($E$2:E5743,"Outlook"),"")</f>
        <v/>
      </c>
      <c r="K5743">
        <f>IF(E5743="Domain",COUNTIF($E$2:E5743,"Domain"),"")</f>
        <v/>
      </c>
    </row>
    <row r="5744">
      <c r="A5744" s="2" t="n"/>
      <c r="B5744">
        <f>LOWER(TRIM(A5744))</f>
        <v/>
      </c>
      <c r="C5744">
        <f>IF(B5744="","",IFERROR(INDEX('Bad Patterns'!$A$2:$A$120,MATCH(1,INDEX(--ISNUMBER(SEARCH('Bad Patterns'!$A$2:$A$120,B5744)),0),0)),""))</f>
        <v/>
      </c>
      <c r="D5744">
        <f>IF(B5744="","",IF(C5744&lt;&gt;"","REMOVE","KEEP"))</f>
        <v/>
      </c>
      <c r="E5744">
        <f>IF(D5744&lt;&gt;"KEEP","",IF(RIGHT(B5744,10)="@gmail.com","Gmail",IF(OR(RIGHT(B5744,12)="@outlook.com",RIGHT(B5744,12)="@hotmail.com",RIGHT(B5744,9)="@live.com"),"Outlook","Domain")))</f>
        <v/>
      </c>
      <c r="F5744">
        <f>IF(B5744="","",IFERROR(RIGHT(B5744,LEN(B5744)-FIND("@",B5744)),""))</f>
        <v/>
      </c>
      <c r="G5744">
        <f>IF(D5744="KEEP",COUNTIF($D$2:D5744,"KEEP"),"")</f>
        <v/>
      </c>
      <c r="H5744">
        <f>IF(D5744="REMOVE",COUNTIF($D$2:D5744,"REMOVE"),"")</f>
        <v/>
      </c>
      <c r="I5744">
        <f>IF(E5744="Gmail",COUNTIF($E$2:E5744,"Gmail"),"")</f>
        <v/>
      </c>
      <c r="J5744">
        <f>IF(E5744="Outlook",COUNTIF($E$2:E5744,"Outlook"),"")</f>
        <v/>
      </c>
      <c r="K5744">
        <f>IF(E5744="Domain",COUNTIF($E$2:E5744,"Domain"),"")</f>
        <v/>
      </c>
    </row>
    <row r="5745">
      <c r="A5745" s="2" t="n"/>
      <c r="B5745">
        <f>LOWER(TRIM(A5745))</f>
        <v/>
      </c>
      <c r="C5745">
        <f>IF(B5745="","",IFERROR(INDEX('Bad Patterns'!$A$2:$A$120,MATCH(1,INDEX(--ISNUMBER(SEARCH('Bad Patterns'!$A$2:$A$120,B5745)),0),0)),""))</f>
        <v/>
      </c>
      <c r="D5745">
        <f>IF(B5745="","",IF(C5745&lt;&gt;"","REMOVE","KEEP"))</f>
        <v/>
      </c>
      <c r="E5745">
        <f>IF(D5745&lt;&gt;"KEEP","",IF(RIGHT(B5745,10)="@gmail.com","Gmail",IF(OR(RIGHT(B5745,12)="@outlook.com",RIGHT(B5745,12)="@hotmail.com",RIGHT(B5745,9)="@live.com"),"Outlook","Domain")))</f>
        <v/>
      </c>
      <c r="F5745">
        <f>IF(B5745="","",IFERROR(RIGHT(B5745,LEN(B5745)-FIND("@",B5745)),""))</f>
        <v/>
      </c>
      <c r="G5745">
        <f>IF(D5745="KEEP",COUNTIF($D$2:D5745,"KEEP"),"")</f>
        <v/>
      </c>
      <c r="H5745">
        <f>IF(D5745="REMOVE",COUNTIF($D$2:D5745,"REMOVE"),"")</f>
        <v/>
      </c>
      <c r="I5745">
        <f>IF(E5745="Gmail",COUNTIF($E$2:E5745,"Gmail"),"")</f>
        <v/>
      </c>
      <c r="J5745">
        <f>IF(E5745="Outlook",COUNTIF($E$2:E5745,"Outlook"),"")</f>
        <v/>
      </c>
      <c r="K5745">
        <f>IF(E5745="Domain",COUNTIF($E$2:E5745,"Domain"),"")</f>
        <v/>
      </c>
    </row>
    <row r="5746">
      <c r="A5746" s="2" t="n"/>
      <c r="B5746">
        <f>LOWER(TRIM(A5746))</f>
        <v/>
      </c>
      <c r="C5746">
        <f>IF(B5746="","",IFERROR(INDEX('Bad Patterns'!$A$2:$A$120,MATCH(1,INDEX(--ISNUMBER(SEARCH('Bad Patterns'!$A$2:$A$120,B5746)),0),0)),""))</f>
        <v/>
      </c>
      <c r="D5746">
        <f>IF(B5746="","",IF(C5746&lt;&gt;"","REMOVE","KEEP"))</f>
        <v/>
      </c>
      <c r="E5746">
        <f>IF(D5746&lt;&gt;"KEEP","",IF(RIGHT(B5746,10)="@gmail.com","Gmail",IF(OR(RIGHT(B5746,12)="@outlook.com",RIGHT(B5746,12)="@hotmail.com",RIGHT(B5746,9)="@live.com"),"Outlook","Domain")))</f>
        <v/>
      </c>
      <c r="F5746">
        <f>IF(B5746="","",IFERROR(RIGHT(B5746,LEN(B5746)-FIND("@",B5746)),""))</f>
        <v/>
      </c>
      <c r="G5746">
        <f>IF(D5746="KEEP",COUNTIF($D$2:D5746,"KEEP"),"")</f>
        <v/>
      </c>
      <c r="H5746">
        <f>IF(D5746="REMOVE",COUNTIF($D$2:D5746,"REMOVE"),"")</f>
        <v/>
      </c>
      <c r="I5746">
        <f>IF(E5746="Gmail",COUNTIF($E$2:E5746,"Gmail"),"")</f>
        <v/>
      </c>
      <c r="J5746">
        <f>IF(E5746="Outlook",COUNTIF($E$2:E5746,"Outlook"),"")</f>
        <v/>
      </c>
      <c r="K5746">
        <f>IF(E5746="Domain",COUNTIF($E$2:E5746,"Domain"),"")</f>
        <v/>
      </c>
    </row>
    <row r="5747">
      <c r="A5747" s="2" t="n"/>
      <c r="B5747">
        <f>LOWER(TRIM(A5747))</f>
        <v/>
      </c>
      <c r="C5747">
        <f>IF(B5747="","",IFERROR(INDEX('Bad Patterns'!$A$2:$A$120,MATCH(1,INDEX(--ISNUMBER(SEARCH('Bad Patterns'!$A$2:$A$120,B5747)),0),0)),""))</f>
        <v/>
      </c>
      <c r="D5747">
        <f>IF(B5747="","",IF(C5747&lt;&gt;"","REMOVE","KEEP"))</f>
        <v/>
      </c>
      <c r="E5747">
        <f>IF(D5747&lt;&gt;"KEEP","",IF(RIGHT(B5747,10)="@gmail.com","Gmail",IF(OR(RIGHT(B5747,12)="@outlook.com",RIGHT(B5747,12)="@hotmail.com",RIGHT(B5747,9)="@live.com"),"Outlook","Domain")))</f>
        <v/>
      </c>
      <c r="F5747">
        <f>IF(B5747="","",IFERROR(RIGHT(B5747,LEN(B5747)-FIND("@",B5747)),""))</f>
        <v/>
      </c>
      <c r="G5747">
        <f>IF(D5747="KEEP",COUNTIF($D$2:D5747,"KEEP"),"")</f>
        <v/>
      </c>
      <c r="H5747">
        <f>IF(D5747="REMOVE",COUNTIF($D$2:D5747,"REMOVE"),"")</f>
        <v/>
      </c>
      <c r="I5747">
        <f>IF(E5747="Gmail",COUNTIF($E$2:E5747,"Gmail"),"")</f>
        <v/>
      </c>
      <c r="J5747">
        <f>IF(E5747="Outlook",COUNTIF($E$2:E5747,"Outlook"),"")</f>
        <v/>
      </c>
      <c r="K5747">
        <f>IF(E5747="Domain",COUNTIF($E$2:E5747,"Domain"),"")</f>
        <v/>
      </c>
    </row>
    <row r="5748">
      <c r="A5748" s="2" t="n"/>
      <c r="B5748">
        <f>LOWER(TRIM(A5748))</f>
        <v/>
      </c>
      <c r="C5748">
        <f>IF(B5748="","",IFERROR(INDEX('Bad Patterns'!$A$2:$A$120,MATCH(1,INDEX(--ISNUMBER(SEARCH('Bad Patterns'!$A$2:$A$120,B5748)),0),0)),""))</f>
        <v/>
      </c>
      <c r="D5748">
        <f>IF(B5748="","",IF(C5748&lt;&gt;"","REMOVE","KEEP"))</f>
        <v/>
      </c>
      <c r="E5748">
        <f>IF(D5748&lt;&gt;"KEEP","",IF(RIGHT(B5748,10)="@gmail.com","Gmail",IF(OR(RIGHT(B5748,12)="@outlook.com",RIGHT(B5748,12)="@hotmail.com",RIGHT(B5748,9)="@live.com"),"Outlook","Domain")))</f>
        <v/>
      </c>
      <c r="F5748">
        <f>IF(B5748="","",IFERROR(RIGHT(B5748,LEN(B5748)-FIND("@",B5748)),""))</f>
        <v/>
      </c>
      <c r="G5748">
        <f>IF(D5748="KEEP",COUNTIF($D$2:D5748,"KEEP"),"")</f>
        <v/>
      </c>
      <c r="H5748">
        <f>IF(D5748="REMOVE",COUNTIF($D$2:D5748,"REMOVE"),"")</f>
        <v/>
      </c>
      <c r="I5748">
        <f>IF(E5748="Gmail",COUNTIF($E$2:E5748,"Gmail"),"")</f>
        <v/>
      </c>
      <c r="J5748">
        <f>IF(E5748="Outlook",COUNTIF($E$2:E5748,"Outlook"),"")</f>
        <v/>
      </c>
      <c r="K5748">
        <f>IF(E5748="Domain",COUNTIF($E$2:E5748,"Domain"),"")</f>
        <v/>
      </c>
    </row>
    <row r="5749">
      <c r="A5749" s="2" t="n"/>
      <c r="B5749">
        <f>LOWER(TRIM(A5749))</f>
        <v/>
      </c>
      <c r="C5749">
        <f>IF(B5749="","",IFERROR(INDEX('Bad Patterns'!$A$2:$A$120,MATCH(1,INDEX(--ISNUMBER(SEARCH('Bad Patterns'!$A$2:$A$120,B5749)),0),0)),""))</f>
        <v/>
      </c>
      <c r="D5749">
        <f>IF(B5749="","",IF(C5749&lt;&gt;"","REMOVE","KEEP"))</f>
        <v/>
      </c>
      <c r="E5749">
        <f>IF(D5749&lt;&gt;"KEEP","",IF(RIGHT(B5749,10)="@gmail.com","Gmail",IF(OR(RIGHT(B5749,12)="@outlook.com",RIGHT(B5749,12)="@hotmail.com",RIGHT(B5749,9)="@live.com"),"Outlook","Domain")))</f>
        <v/>
      </c>
      <c r="F5749">
        <f>IF(B5749="","",IFERROR(RIGHT(B5749,LEN(B5749)-FIND("@",B5749)),""))</f>
        <v/>
      </c>
      <c r="G5749">
        <f>IF(D5749="KEEP",COUNTIF($D$2:D5749,"KEEP"),"")</f>
        <v/>
      </c>
      <c r="H5749">
        <f>IF(D5749="REMOVE",COUNTIF($D$2:D5749,"REMOVE"),"")</f>
        <v/>
      </c>
      <c r="I5749">
        <f>IF(E5749="Gmail",COUNTIF($E$2:E5749,"Gmail"),"")</f>
        <v/>
      </c>
      <c r="J5749">
        <f>IF(E5749="Outlook",COUNTIF($E$2:E5749,"Outlook"),"")</f>
        <v/>
      </c>
      <c r="K5749">
        <f>IF(E5749="Domain",COUNTIF($E$2:E5749,"Domain"),"")</f>
        <v/>
      </c>
    </row>
    <row r="5750">
      <c r="A5750" s="2" t="n"/>
      <c r="B5750">
        <f>LOWER(TRIM(A5750))</f>
        <v/>
      </c>
      <c r="C5750">
        <f>IF(B5750="","",IFERROR(INDEX('Bad Patterns'!$A$2:$A$120,MATCH(1,INDEX(--ISNUMBER(SEARCH('Bad Patterns'!$A$2:$A$120,B5750)),0),0)),""))</f>
        <v/>
      </c>
      <c r="D5750">
        <f>IF(B5750="","",IF(C5750&lt;&gt;"","REMOVE","KEEP"))</f>
        <v/>
      </c>
      <c r="E5750">
        <f>IF(D5750&lt;&gt;"KEEP","",IF(RIGHT(B5750,10)="@gmail.com","Gmail",IF(OR(RIGHT(B5750,12)="@outlook.com",RIGHT(B5750,12)="@hotmail.com",RIGHT(B5750,9)="@live.com"),"Outlook","Domain")))</f>
        <v/>
      </c>
      <c r="F5750">
        <f>IF(B5750="","",IFERROR(RIGHT(B5750,LEN(B5750)-FIND("@",B5750)),""))</f>
        <v/>
      </c>
      <c r="G5750">
        <f>IF(D5750="KEEP",COUNTIF($D$2:D5750,"KEEP"),"")</f>
        <v/>
      </c>
      <c r="H5750">
        <f>IF(D5750="REMOVE",COUNTIF($D$2:D5750,"REMOVE"),"")</f>
        <v/>
      </c>
      <c r="I5750">
        <f>IF(E5750="Gmail",COUNTIF($E$2:E5750,"Gmail"),"")</f>
        <v/>
      </c>
      <c r="J5750">
        <f>IF(E5750="Outlook",COUNTIF($E$2:E5750,"Outlook"),"")</f>
        <v/>
      </c>
      <c r="K5750">
        <f>IF(E5750="Domain",COUNTIF($E$2:E5750,"Domain"),"")</f>
        <v/>
      </c>
    </row>
    <row r="5751">
      <c r="A5751" s="2" t="n"/>
      <c r="B5751">
        <f>LOWER(TRIM(A5751))</f>
        <v/>
      </c>
      <c r="C5751">
        <f>IF(B5751="","",IFERROR(INDEX('Bad Patterns'!$A$2:$A$120,MATCH(1,INDEX(--ISNUMBER(SEARCH('Bad Patterns'!$A$2:$A$120,B5751)),0),0)),""))</f>
        <v/>
      </c>
      <c r="D5751">
        <f>IF(B5751="","",IF(C5751&lt;&gt;"","REMOVE","KEEP"))</f>
        <v/>
      </c>
      <c r="E5751">
        <f>IF(D5751&lt;&gt;"KEEP","",IF(RIGHT(B5751,10)="@gmail.com","Gmail",IF(OR(RIGHT(B5751,12)="@outlook.com",RIGHT(B5751,12)="@hotmail.com",RIGHT(B5751,9)="@live.com"),"Outlook","Domain")))</f>
        <v/>
      </c>
      <c r="F5751">
        <f>IF(B5751="","",IFERROR(RIGHT(B5751,LEN(B5751)-FIND("@",B5751)),""))</f>
        <v/>
      </c>
      <c r="G5751">
        <f>IF(D5751="KEEP",COUNTIF($D$2:D5751,"KEEP"),"")</f>
        <v/>
      </c>
      <c r="H5751">
        <f>IF(D5751="REMOVE",COUNTIF($D$2:D5751,"REMOVE"),"")</f>
        <v/>
      </c>
      <c r="I5751">
        <f>IF(E5751="Gmail",COUNTIF($E$2:E5751,"Gmail"),"")</f>
        <v/>
      </c>
      <c r="J5751">
        <f>IF(E5751="Outlook",COUNTIF($E$2:E5751,"Outlook"),"")</f>
        <v/>
      </c>
      <c r="K5751">
        <f>IF(E5751="Domain",COUNTIF($E$2:E5751,"Domain"),"")</f>
        <v/>
      </c>
    </row>
    <row r="5752">
      <c r="A5752" s="2" t="n"/>
      <c r="B5752">
        <f>LOWER(TRIM(A5752))</f>
        <v/>
      </c>
      <c r="C5752">
        <f>IF(B5752="","",IFERROR(INDEX('Bad Patterns'!$A$2:$A$120,MATCH(1,INDEX(--ISNUMBER(SEARCH('Bad Patterns'!$A$2:$A$120,B5752)),0),0)),""))</f>
        <v/>
      </c>
      <c r="D5752">
        <f>IF(B5752="","",IF(C5752&lt;&gt;"","REMOVE","KEEP"))</f>
        <v/>
      </c>
      <c r="E5752">
        <f>IF(D5752&lt;&gt;"KEEP","",IF(RIGHT(B5752,10)="@gmail.com","Gmail",IF(OR(RIGHT(B5752,12)="@outlook.com",RIGHT(B5752,12)="@hotmail.com",RIGHT(B5752,9)="@live.com"),"Outlook","Domain")))</f>
        <v/>
      </c>
      <c r="F5752">
        <f>IF(B5752="","",IFERROR(RIGHT(B5752,LEN(B5752)-FIND("@",B5752)),""))</f>
        <v/>
      </c>
      <c r="G5752">
        <f>IF(D5752="KEEP",COUNTIF($D$2:D5752,"KEEP"),"")</f>
        <v/>
      </c>
      <c r="H5752">
        <f>IF(D5752="REMOVE",COUNTIF($D$2:D5752,"REMOVE"),"")</f>
        <v/>
      </c>
      <c r="I5752">
        <f>IF(E5752="Gmail",COUNTIF($E$2:E5752,"Gmail"),"")</f>
        <v/>
      </c>
      <c r="J5752">
        <f>IF(E5752="Outlook",COUNTIF($E$2:E5752,"Outlook"),"")</f>
        <v/>
      </c>
      <c r="K5752">
        <f>IF(E5752="Domain",COUNTIF($E$2:E5752,"Domain"),"")</f>
        <v/>
      </c>
    </row>
    <row r="5753">
      <c r="A5753" s="2" t="n"/>
      <c r="B5753">
        <f>LOWER(TRIM(A5753))</f>
        <v/>
      </c>
      <c r="C5753">
        <f>IF(B5753="","",IFERROR(INDEX('Bad Patterns'!$A$2:$A$120,MATCH(1,INDEX(--ISNUMBER(SEARCH('Bad Patterns'!$A$2:$A$120,B5753)),0),0)),""))</f>
        <v/>
      </c>
      <c r="D5753">
        <f>IF(B5753="","",IF(C5753&lt;&gt;"","REMOVE","KEEP"))</f>
        <v/>
      </c>
      <c r="E5753">
        <f>IF(D5753&lt;&gt;"KEEP","",IF(RIGHT(B5753,10)="@gmail.com","Gmail",IF(OR(RIGHT(B5753,12)="@outlook.com",RIGHT(B5753,12)="@hotmail.com",RIGHT(B5753,9)="@live.com"),"Outlook","Domain")))</f>
        <v/>
      </c>
      <c r="F5753">
        <f>IF(B5753="","",IFERROR(RIGHT(B5753,LEN(B5753)-FIND("@",B5753)),""))</f>
        <v/>
      </c>
      <c r="G5753">
        <f>IF(D5753="KEEP",COUNTIF($D$2:D5753,"KEEP"),"")</f>
        <v/>
      </c>
      <c r="H5753">
        <f>IF(D5753="REMOVE",COUNTIF($D$2:D5753,"REMOVE"),"")</f>
        <v/>
      </c>
      <c r="I5753">
        <f>IF(E5753="Gmail",COUNTIF($E$2:E5753,"Gmail"),"")</f>
        <v/>
      </c>
      <c r="J5753">
        <f>IF(E5753="Outlook",COUNTIF($E$2:E5753,"Outlook"),"")</f>
        <v/>
      </c>
      <c r="K5753">
        <f>IF(E5753="Domain",COUNTIF($E$2:E5753,"Domain"),"")</f>
        <v/>
      </c>
    </row>
    <row r="5754">
      <c r="A5754" s="2" t="n"/>
      <c r="B5754">
        <f>LOWER(TRIM(A5754))</f>
        <v/>
      </c>
      <c r="C5754">
        <f>IF(B5754="","",IFERROR(INDEX('Bad Patterns'!$A$2:$A$120,MATCH(1,INDEX(--ISNUMBER(SEARCH('Bad Patterns'!$A$2:$A$120,B5754)),0),0)),""))</f>
        <v/>
      </c>
      <c r="D5754">
        <f>IF(B5754="","",IF(C5754&lt;&gt;"","REMOVE","KEEP"))</f>
        <v/>
      </c>
      <c r="E5754">
        <f>IF(D5754&lt;&gt;"KEEP","",IF(RIGHT(B5754,10)="@gmail.com","Gmail",IF(OR(RIGHT(B5754,12)="@outlook.com",RIGHT(B5754,12)="@hotmail.com",RIGHT(B5754,9)="@live.com"),"Outlook","Domain")))</f>
        <v/>
      </c>
      <c r="F5754">
        <f>IF(B5754="","",IFERROR(RIGHT(B5754,LEN(B5754)-FIND("@",B5754)),""))</f>
        <v/>
      </c>
      <c r="G5754">
        <f>IF(D5754="KEEP",COUNTIF($D$2:D5754,"KEEP"),"")</f>
        <v/>
      </c>
      <c r="H5754">
        <f>IF(D5754="REMOVE",COUNTIF($D$2:D5754,"REMOVE"),"")</f>
        <v/>
      </c>
      <c r="I5754">
        <f>IF(E5754="Gmail",COUNTIF($E$2:E5754,"Gmail"),"")</f>
        <v/>
      </c>
      <c r="J5754">
        <f>IF(E5754="Outlook",COUNTIF($E$2:E5754,"Outlook"),"")</f>
        <v/>
      </c>
      <c r="K5754">
        <f>IF(E5754="Domain",COUNTIF($E$2:E5754,"Domain"),"")</f>
        <v/>
      </c>
    </row>
    <row r="5755">
      <c r="A5755" s="2" t="n"/>
      <c r="B5755">
        <f>LOWER(TRIM(A5755))</f>
        <v/>
      </c>
      <c r="C5755">
        <f>IF(B5755="","",IFERROR(INDEX('Bad Patterns'!$A$2:$A$120,MATCH(1,INDEX(--ISNUMBER(SEARCH('Bad Patterns'!$A$2:$A$120,B5755)),0),0)),""))</f>
        <v/>
      </c>
      <c r="D5755">
        <f>IF(B5755="","",IF(C5755&lt;&gt;"","REMOVE","KEEP"))</f>
        <v/>
      </c>
      <c r="E5755">
        <f>IF(D5755&lt;&gt;"KEEP","",IF(RIGHT(B5755,10)="@gmail.com","Gmail",IF(OR(RIGHT(B5755,12)="@outlook.com",RIGHT(B5755,12)="@hotmail.com",RIGHT(B5755,9)="@live.com"),"Outlook","Domain")))</f>
        <v/>
      </c>
      <c r="F5755">
        <f>IF(B5755="","",IFERROR(RIGHT(B5755,LEN(B5755)-FIND("@",B5755)),""))</f>
        <v/>
      </c>
      <c r="G5755">
        <f>IF(D5755="KEEP",COUNTIF($D$2:D5755,"KEEP"),"")</f>
        <v/>
      </c>
      <c r="H5755">
        <f>IF(D5755="REMOVE",COUNTIF($D$2:D5755,"REMOVE"),"")</f>
        <v/>
      </c>
      <c r="I5755">
        <f>IF(E5755="Gmail",COUNTIF($E$2:E5755,"Gmail"),"")</f>
        <v/>
      </c>
      <c r="J5755">
        <f>IF(E5755="Outlook",COUNTIF($E$2:E5755,"Outlook"),"")</f>
        <v/>
      </c>
      <c r="K5755">
        <f>IF(E5755="Domain",COUNTIF($E$2:E5755,"Domain"),"")</f>
        <v/>
      </c>
    </row>
    <row r="5756">
      <c r="A5756" s="2" t="n"/>
      <c r="B5756">
        <f>LOWER(TRIM(A5756))</f>
        <v/>
      </c>
      <c r="C5756">
        <f>IF(B5756="","",IFERROR(INDEX('Bad Patterns'!$A$2:$A$120,MATCH(1,INDEX(--ISNUMBER(SEARCH('Bad Patterns'!$A$2:$A$120,B5756)),0),0)),""))</f>
        <v/>
      </c>
      <c r="D5756">
        <f>IF(B5756="","",IF(C5756&lt;&gt;"","REMOVE","KEEP"))</f>
        <v/>
      </c>
      <c r="E5756">
        <f>IF(D5756&lt;&gt;"KEEP","",IF(RIGHT(B5756,10)="@gmail.com","Gmail",IF(OR(RIGHT(B5756,12)="@outlook.com",RIGHT(B5756,12)="@hotmail.com",RIGHT(B5756,9)="@live.com"),"Outlook","Domain")))</f>
        <v/>
      </c>
      <c r="F5756">
        <f>IF(B5756="","",IFERROR(RIGHT(B5756,LEN(B5756)-FIND("@",B5756)),""))</f>
        <v/>
      </c>
      <c r="G5756">
        <f>IF(D5756="KEEP",COUNTIF($D$2:D5756,"KEEP"),"")</f>
        <v/>
      </c>
      <c r="H5756">
        <f>IF(D5756="REMOVE",COUNTIF($D$2:D5756,"REMOVE"),"")</f>
        <v/>
      </c>
      <c r="I5756">
        <f>IF(E5756="Gmail",COUNTIF($E$2:E5756,"Gmail"),"")</f>
        <v/>
      </c>
      <c r="J5756">
        <f>IF(E5756="Outlook",COUNTIF($E$2:E5756,"Outlook"),"")</f>
        <v/>
      </c>
      <c r="K5756">
        <f>IF(E5756="Domain",COUNTIF($E$2:E5756,"Domain"),"")</f>
        <v/>
      </c>
    </row>
    <row r="5757">
      <c r="A5757" s="2" t="n"/>
      <c r="B5757">
        <f>LOWER(TRIM(A5757))</f>
        <v/>
      </c>
      <c r="C5757">
        <f>IF(B5757="","",IFERROR(INDEX('Bad Patterns'!$A$2:$A$120,MATCH(1,INDEX(--ISNUMBER(SEARCH('Bad Patterns'!$A$2:$A$120,B5757)),0),0)),""))</f>
        <v/>
      </c>
      <c r="D5757">
        <f>IF(B5757="","",IF(C5757&lt;&gt;"","REMOVE","KEEP"))</f>
        <v/>
      </c>
      <c r="E5757">
        <f>IF(D5757&lt;&gt;"KEEP","",IF(RIGHT(B5757,10)="@gmail.com","Gmail",IF(OR(RIGHT(B5757,12)="@outlook.com",RIGHT(B5757,12)="@hotmail.com",RIGHT(B5757,9)="@live.com"),"Outlook","Domain")))</f>
        <v/>
      </c>
      <c r="F5757">
        <f>IF(B5757="","",IFERROR(RIGHT(B5757,LEN(B5757)-FIND("@",B5757)),""))</f>
        <v/>
      </c>
      <c r="G5757">
        <f>IF(D5757="KEEP",COUNTIF($D$2:D5757,"KEEP"),"")</f>
        <v/>
      </c>
      <c r="H5757">
        <f>IF(D5757="REMOVE",COUNTIF($D$2:D5757,"REMOVE"),"")</f>
        <v/>
      </c>
      <c r="I5757">
        <f>IF(E5757="Gmail",COUNTIF($E$2:E5757,"Gmail"),"")</f>
        <v/>
      </c>
      <c r="J5757">
        <f>IF(E5757="Outlook",COUNTIF($E$2:E5757,"Outlook"),"")</f>
        <v/>
      </c>
      <c r="K5757">
        <f>IF(E5757="Domain",COUNTIF($E$2:E5757,"Domain"),"")</f>
        <v/>
      </c>
    </row>
    <row r="5758">
      <c r="A5758" s="2" t="n"/>
      <c r="B5758">
        <f>LOWER(TRIM(A5758))</f>
        <v/>
      </c>
      <c r="C5758">
        <f>IF(B5758="","",IFERROR(INDEX('Bad Patterns'!$A$2:$A$120,MATCH(1,INDEX(--ISNUMBER(SEARCH('Bad Patterns'!$A$2:$A$120,B5758)),0),0)),""))</f>
        <v/>
      </c>
      <c r="D5758">
        <f>IF(B5758="","",IF(C5758&lt;&gt;"","REMOVE","KEEP"))</f>
        <v/>
      </c>
      <c r="E5758">
        <f>IF(D5758&lt;&gt;"KEEP","",IF(RIGHT(B5758,10)="@gmail.com","Gmail",IF(OR(RIGHT(B5758,12)="@outlook.com",RIGHT(B5758,12)="@hotmail.com",RIGHT(B5758,9)="@live.com"),"Outlook","Domain")))</f>
        <v/>
      </c>
      <c r="F5758">
        <f>IF(B5758="","",IFERROR(RIGHT(B5758,LEN(B5758)-FIND("@",B5758)),""))</f>
        <v/>
      </c>
      <c r="G5758">
        <f>IF(D5758="KEEP",COUNTIF($D$2:D5758,"KEEP"),"")</f>
        <v/>
      </c>
      <c r="H5758">
        <f>IF(D5758="REMOVE",COUNTIF($D$2:D5758,"REMOVE"),"")</f>
        <v/>
      </c>
      <c r="I5758">
        <f>IF(E5758="Gmail",COUNTIF($E$2:E5758,"Gmail"),"")</f>
        <v/>
      </c>
      <c r="J5758">
        <f>IF(E5758="Outlook",COUNTIF($E$2:E5758,"Outlook"),"")</f>
        <v/>
      </c>
      <c r="K5758">
        <f>IF(E5758="Domain",COUNTIF($E$2:E5758,"Domain"),"")</f>
        <v/>
      </c>
    </row>
    <row r="5759">
      <c r="A5759" s="2" t="n"/>
      <c r="B5759">
        <f>LOWER(TRIM(A5759))</f>
        <v/>
      </c>
      <c r="C5759">
        <f>IF(B5759="","",IFERROR(INDEX('Bad Patterns'!$A$2:$A$120,MATCH(1,INDEX(--ISNUMBER(SEARCH('Bad Patterns'!$A$2:$A$120,B5759)),0),0)),""))</f>
        <v/>
      </c>
      <c r="D5759">
        <f>IF(B5759="","",IF(C5759&lt;&gt;"","REMOVE","KEEP"))</f>
        <v/>
      </c>
      <c r="E5759">
        <f>IF(D5759&lt;&gt;"KEEP","",IF(RIGHT(B5759,10)="@gmail.com","Gmail",IF(OR(RIGHT(B5759,12)="@outlook.com",RIGHT(B5759,12)="@hotmail.com",RIGHT(B5759,9)="@live.com"),"Outlook","Domain")))</f>
        <v/>
      </c>
      <c r="F5759">
        <f>IF(B5759="","",IFERROR(RIGHT(B5759,LEN(B5759)-FIND("@",B5759)),""))</f>
        <v/>
      </c>
      <c r="G5759">
        <f>IF(D5759="KEEP",COUNTIF($D$2:D5759,"KEEP"),"")</f>
        <v/>
      </c>
      <c r="H5759">
        <f>IF(D5759="REMOVE",COUNTIF($D$2:D5759,"REMOVE"),"")</f>
        <v/>
      </c>
      <c r="I5759">
        <f>IF(E5759="Gmail",COUNTIF($E$2:E5759,"Gmail"),"")</f>
        <v/>
      </c>
      <c r="J5759">
        <f>IF(E5759="Outlook",COUNTIF($E$2:E5759,"Outlook"),"")</f>
        <v/>
      </c>
      <c r="K5759">
        <f>IF(E5759="Domain",COUNTIF($E$2:E5759,"Domain"),"")</f>
        <v/>
      </c>
    </row>
    <row r="5760">
      <c r="A5760" s="2" t="n"/>
      <c r="B5760">
        <f>LOWER(TRIM(A5760))</f>
        <v/>
      </c>
      <c r="C5760">
        <f>IF(B5760="","",IFERROR(INDEX('Bad Patterns'!$A$2:$A$120,MATCH(1,INDEX(--ISNUMBER(SEARCH('Bad Patterns'!$A$2:$A$120,B5760)),0),0)),""))</f>
        <v/>
      </c>
      <c r="D5760">
        <f>IF(B5760="","",IF(C5760&lt;&gt;"","REMOVE","KEEP"))</f>
        <v/>
      </c>
      <c r="E5760">
        <f>IF(D5760&lt;&gt;"KEEP","",IF(RIGHT(B5760,10)="@gmail.com","Gmail",IF(OR(RIGHT(B5760,12)="@outlook.com",RIGHT(B5760,12)="@hotmail.com",RIGHT(B5760,9)="@live.com"),"Outlook","Domain")))</f>
        <v/>
      </c>
      <c r="F5760">
        <f>IF(B5760="","",IFERROR(RIGHT(B5760,LEN(B5760)-FIND("@",B5760)),""))</f>
        <v/>
      </c>
      <c r="G5760">
        <f>IF(D5760="KEEP",COUNTIF($D$2:D5760,"KEEP"),"")</f>
        <v/>
      </c>
      <c r="H5760">
        <f>IF(D5760="REMOVE",COUNTIF($D$2:D5760,"REMOVE"),"")</f>
        <v/>
      </c>
      <c r="I5760">
        <f>IF(E5760="Gmail",COUNTIF($E$2:E5760,"Gmail"),"")</f>
        <v/>
      </c>
      <c r="J5760">
        <f>IF(E5760="Outlook",COUNTIF($E$2:E5760,"Outlook"),"")</f>
        <v/>
      </c>
      <c r="K5760">
        <f>IF(E5760="Domain",COUNTIF($E$2:E5760,"Domain"),"")</f>
        <v/>
      </c>
    </row>
    <row r="5761">
      <c r="A5761" s="2" t="n"/>
      <c r="B5761">
        <f>LOWER(TRIM(A5761))</f>
        <v/>
      </c>
      <c r="C5761">
        <f>IF(B5761="","",IFERROR(INDEX('Bad Patterns'!$A$2:$A$120,MATCH(1,INDEX(--ISNUMBER(SEARCH('Bad Patterns'!$A$2:$A$120,B5761)),0),0)),""))</f>
        <v/>
      </c>
      <c r="D5761">
        <f>IF(B5761="","",IF(C5761&lt;&gt;"","REMOVE","KEEP"))</f>
        <v/>
      </c>
      <c r="E5761">
        <f>IF(D5761&lt;&gt;"KEEP","",IF(RIGHT(B5761,10)="@gmail.com","Gmail",IF(OR(RIGHT(B5761,12)="@outlook.com",RIGHT(B5761,12)="@hotmail.com",RIGHT(B5761,9)="@live.com"),"Outlook","Domain")))</f>
        <v/>
      </c>
      <c r="F5761">
        <f>IF(B5761="","",IFERROR(RIGHT(B5761,LEN(B5761)-FIND("@",B5761)),""))</f>
        <v/>
      </c>
      <c r="G5761">
        <f>IF(D5761="KEEP",COUNTIF($D$2:D5761,"KEEP"),"")</f>
        <v/>
      </c>
      <c r="H5761">
        <f>IF(D5761="REMOVE",COUNTIF($D$2:D5761,"REMOVE"),"")</f>
        <v/>
      </c>
      <c r="I5761">
        <f>IF(E5761="Gmail",COUNTIF($E$2:E5761,"Gmail"),"")</f>
        <v/>
      </c>
      <c r="J5761">
        <f>IF(E5761="Outlook",COUNTIF($E$2:E5761,"Outlook"),"")</f>
        <v/>
      </c>
      <c r="K5761">
        <f>IF(E5761="Domain",COUNTIF($E$2:E5761,"Domain"),"")</f>
        <v/>
      </c>
    </row>
    <row r="5762">
      <c r="A5762" s="2" t="n"/>
      <c r="B5762">
        <f>LOWER(TRIM(A5762))</f>
        <v/>
      </c>
      <c r="C5762">
        <f>IF(B5762="","",IFERROR(INDEX('Bad Patterns'!$A$2:$A$120,MATCH(1,INDEX(--ISNUMBER(SEARCH('Bad Patterns'!$A$2:$A$120,B5762)),0),0)),""))</f>
        <v/>
      </c>
      <c r="D5762">
        <f>IF(B5762="","",IF(C5762&lt;&gt;"","REMOVE","KEEP"))</f>
        <v/>
      </c>
      <c r="E5762">
        <f>IF(D5762&lt;&gt;"KEEP","",IF(RIGHT(B5762,10)="@gmail.com","Gmail",IF(OR(RIGHT(B5762,12)="@outlook.com",RIGHT(B5762,12)="@hotmail.com",RIGHT(B5762,9)="@live.com"),"Outlook","Domain")))</f>
        <v/>
      </c>
      <c r="F5762">
        <f>IF(B5762="","",IFERROR(RIGHT(B5762,LEN(B5762)-FIND("@",B5762)),""))</f>
        <v/>
      </c>
      <c r="G5762">
        <f>IF(D5762="KEEP",COUNTIF($D$2:D5762,"KEEP"),"")</f>
        <v/>
      </c>
      <c r="H5762">
        <f>IF(D5762="REMOVE",COUNTIF($D$2:D5762,"REMOVE"),"")</f>
        <v/>
      </c>
      <c r="I5762">
        <f>IF(E5762="Gmail",COUNTIF($E$2:E5762,"Gmail"),"")</f>
        <v/>
      </c>
      <c r="J5762">
        <f>IF(E5762="Outlook",COUNTIF($E$2:E5762,"Outlook"),"")</f>
        <v/>
      </c>
      <c r="K5762">
        <f>IF(E5762="Domain",COUNTIF($E$2:E5762,"Domain"),"")</f>
        <v/>
      </c>
    </row>
    <row r="5763">
      <c r="A5763" s="2" t="n"/>
      <c r="B5763">
        <f>LOWER(TRIM(A5763))</f>
        <v/>
      </c>
      <c r="C5763">
        <f>IF(B5763="","",IFERROR(INDEX('Bad Patterns'!$A$2:$A$120,MATCH(1,INDEX(--ISNUMBER(SEARCH('Bad Patterns'!$A$2:$A$120,B5763)),0),0)),""))</f>
        <v/>
      </c>
      <c r="D5763">
        <f>IF(B5763="","",IF(C5763&lt;&gt;"","REMOVE","KEEP"))</f>
        <v/>
      </c>
      <c r="E5763">
        <f>IF(D5763&lt;&gt;"KEEP","",IF(RIGHT(B5763,10)="@gmail.com","Gmail",IF(OR(RIGHT(B5763,12)="@outlook.com",RIGHT(B5763,12)="@hotmail.com",RIGHT(B5763,9)="@live.com"),"Outlook","Domain")))</f>
        <v/>
      </c>
      <c r="F5763">
        <f>IF(B5763="","",IFERROR(RIGHT(B5763,LEN(B5763)-FIND("@",B5763)),""))</f>
        <v/>
      </c>
      <c r="G5763">
        <f>IF(D5763="KEEP",COUNTIF($D$2:D5763,"KEEP"),"")</f>
        <v/>
      </c>
      <c r="H5763">
        <f>IF(D5763="REMOVE",COUNTIF($D$2:D5763,"REMOVE"),"")</f>
        <v/>
      </c>
      <c r="I5763">
        <f>IF(E5763="Gmail",COUNTIF($E$2:E5763,"Gmail"),"")</f>
        <v/>
      </c>
      <c r="J5763">
        <f>IF(E5763="Outlook",COUNTIF($E$2:E5763,"Outlook"),"")</f>
        <v/>
      </c>
      <c r="K5763">
        <f>IF(E5763="Domain",COUNTIF($E$2:E5763,"Domain"),"")</f>
        <v/>
      </c>
    </row>
    <row r="5764">
      <c r="A5764" s="2" t="n"/>
      <c r="B5764">
        <f>LOWER(TRIM(A5764))</f>
        <v/>
      </c>
      <c r="C5764">
        <f>IF(B5764="","",IFERROR(INDEX('Bad Patterns'!$A$2:$A$120,MATCH(1,INDEX(--ISNUMBER(SEARCH('Bad Patterns'!$A$2:$A$120,B5764)),0),0)),""))</f>
        <v/>
      </c>
      <c r="D5764">
        <f>IF(B5764="","",IF(C5764&lt;&gt;"","REMOVE","KEEP"))</f>
        <v/>
      </c>
      <c r="E5764">
        <f>IF(D5764&lt;&gt;"KEEP","",IF(RIGHT(B5764,10)="@gmail.com","Gmail",IF(OR(RIGHT(B5764,12)="@outlook.com",RIGHT(B5764,12)="@hotmail.com",RIGHT(B5764,9)="@live.com"),"Outlook","Domain")))</f>
        <v/>
      </c>
      <c r="F5764">
        <f>IF(B5764="","",IFERROR(RIGHT(B5764,LEN(B5764)-FIND("@",B5764)),""))</f>
        <v/>
      </c>
      <c r="G5764">
        <f>IF(D5764="KEEP",COUNTIF($D$2:D5764,"KEEP"),"")</f>
        <v/>
      </c>
      <c r="H5764">
        <f>IF(D5764="REMOVE",COUNTIF($D$2:D5764,"REMOVE"),"")</f>
        <v/>
      </c>
      <c r="I5764">
        <f>IF(E5764="Gmail",COUNTIF($E$2:E5764,"Gmail"),"")</f>
        <v/>
      </c>
      <c r="J5764">
        <f>IF(E5764="Outlook",COUNTIF($E$2:E5764,"Outlook"),"")</f>
        <v/>
      </c>
      <c r="K5764">
        <f>IF(E5764="Domain",COUNTIF($E$2:E5764,"Domain"),"")</f>
        <v/>
      </c>
    </row>
    <row r="5765">
      <c r="A5765" s="2" t="n"/>
      <c r="B5765">
        <f>LOWER(TRIM(A5765))</f>
        <v/>
      </c>
      <c r="C5765">
        <f>IF(B5765="","",IFERROR(INDEX('Bad Patterns'!$A$2:$A$120,MATCH(1,INDEX(--ISNUMBER(SEARCH('Bad Patterns'!$A$2:$A$120,B5765)),0),0)),""))</f>
        <v/>
      </c>
      <c r="D5765">
        <f>IF(B5765="","",IF(C5765&lt;&gt;"","REMOVE","KEEP"))</f>
        <v/>
      </c>
      <c r="E5765">
        <f>IF(D5765&lt;&gt;"KEEP","",IF(RIGHT(B5765,10)="@gmail.com","Gmail",IF(OR(RIGHT(B5765,12)="@outlook.com",RIGHT(B5765,12)="@hotmail.com",RIGHT(B5765,9)="@live.com"),"Outlook","Domain")))</f>
        <v/>
      </c>
      <c r="F5765">
        <f>IF(B5765="","",IFERROR(RIGHT(B5765,LEN(B5765)-FIND("@",B5765)),""))</f>
        <v/>
      </c>
      <c r="G5765">
        <f>IF(D5765="KEEP",COUNTIF($D$2:D5765,"KEEP"),"")</f>
        <v/>
      </c>
      <c r="H5765">
        <f>IF(D5765="REMOVE",COUNTIF($D$2:D5765,"REMOVE"),"")</f>
        <v/>
      </c>
      <c r="I5765">
        <f>IF(E5765="Gmail",COUNTIF($E$2:E5765,"Gmail"),"")</f>
        <v/>
      </c>
      <c r="J5765">
        <f>IF(E5765="Outlook",COUNTIF($E$2:E5765,"Outlook"),"")</f>
        <v/>
      </c>
      <c r="K5765">
        <f>IF(E5765="Domain",COUNTIF($E$2:E5765,"Domain"),"")</f>
        <v/>
      </c>
    </row>
    <row r="5766">
      <c r="A5766" s="2" t="n"/>
      <c r="B5766">
        <f>LOWER(TRIM(A5766))</f>
        <v/>
      </c>
      <c r="C5766">
        <f>IF(B5766="","",IFERROR(INDEX('Bad Patterns'!$A$2:$A$120,MATCH(1,INDEX(--ISNUMBER(SEARCH('Bad Patterns'!$A$2:$A$120,B5766)),0),0)),""))</f>
        <v/>
      </c>
      <c r="D5766">
        <f>IF(B5766="","",IF(C5766&lt;&gt;"","REMOVE","KEEP"))</f>
        <v/>
      </c>
      <c r="E5766">
        <f>IF(D5766&lt;&gt;"KEEP","",IF(RIGHT(B5766,10)="@gmail.com","Gmail",IF(OR(RIGHT(B5766,12)="@outlook.com",RIGHT(B5766,12)="@hotmail.com",RIGHT(B5766,9)="@live.com"),"Outlook","Domain")))</f>
        <v/>
      </c>
      <c r="F5766">
        <f>IF(B5766="","",IFERROR(RIGHT(B5766,LEN(B5766)-FIND("@",B5766)),""))</f>
        <v/>
      </c>
      <c r="G5766">
        <f>IF(D5766="KEEP",COUNTIF($D$2:D5766,"KEEP"),"")</f>
        <v/>
      </c>
      <c r="H5766">
        <f>IF(D5766="REMOVE",COUNTIF($D$2:D5766,"REMOVE"),"")</f>
        <v/>
      </c>
      <c r="I5766">
        <f>IF(E5766="Gmail",COUNTIF($E$2:E5766,"Gmail"),"")</f>
        <v/>
      </c>
      <c r="J5766">
        <f>IF(E5766="Outlook",COUNTIF($E$2:E5766,"Outlook"),"")</f>
        <v/>
      </c>
      <c r="K5766">
        <f>IF(E5766="Domain",COUNTIF($E$2:E5766,"Domain"),"")</f>
        <v/>
      </c>
    </row>
    <row r="5767">
      <c r="A5767" s="2" t="n"/>
      <c r="B5767">
        <f>LOWER(TRIM(A5767))</f>
        <v/>
      </c>
      <c r="C5767">
        <f>IF(B5767="","",IFERROR(INDEX('Bad Patterns'!$A$2:$A$120,MATCH(1,INDEX(--ISNUMBER(SEARCH('Bad Patterns'!$A$2:$A$120,B5767)),0),0)),""))</f>
        <v/>
      </c>
      <c r="D5767">
        <f>IF(B5767="","",IF(C5767&lt;&gt;"","REMOVE","KEEP"))</f>
        <v/>
      </c>
      <c r="E5767">
        <f>IF(D5767&lt;&gt;"KEEP","",IF(RIGHT(B5767,10)="@gmail.com","Gmail",IF(OR(RIGHT(B5767,12)="@outlook.com",RIGHT(B5767,12)="@hotmail.com",RIGHT(B5767,9)="@live.com"),"Outlook","Domain")))</f>
        <v/>
      </c>
      <c r="F5767">
        <f>IF(B5767="","",IFERROR(RIGHT(B5767,LEN(B5767)-FIND("@",B5767)),""))</f>
        <v/>
      </c>
      <c r="G5767">
        <f>IF(D5767="KEEP",COUNTIF($D$2:D5767,"KEEP"),"")</f>
        <v/>
      </c>
      <c r="H5767">
        <f>IF(D5767="REMOVE",COUNTIF($D$2:D5767,"REMOVE"),"")</f>
        <v/>
      </c>
      <c r="I5767">
        <f>IF(E5767="Gmail",COUNTIF($E$2:E5767,"Gmail"),"")</f>
        <v/>
      </c>
      <c r="J5767">
        <f>IF(E5767="Outlook",COUNTIF($E$2:E5767,"Outlook"),"")</f>
        <v/>
      </c>
      <c r="K5767">
        <f>IF(E5767="Domain",COUNTIF($E$2:E5767,"Domain"),"")</f>
        <v/>
      </c>
    </row>
    <row r="5768">
      <c r="A5768" s="2" t="n"/>
      <c r="B5768">
        <f>LOWER(TRIM(A5768))</f>
        <v/>
      </c>
      <c r="C5768">
        <f>IF(B5768="","",IFERROR(INDEX('Bad Patterns'!$A$2:$A$120,MATCH(1,INDEX(--ISNUMBER(SEARCH('Bad Patterns'!$A$2:$A$120,B5768)),0),0)),""))</f>
        <v/>
      </c>
      <c r="D5768">
        <f>IF(B5768="","",IF(C5768&lt;&gt;"","REMOVE","KEEP"))</f>
        <v/>
      </c>
      <c r="E5768">
        <f>IF(D5768&lt;&gt;"KEEP","",IF(RIGHT(B5768,10)="@gmail.com","Gmail",IF(OR(RIGHT(B5768,12)="@outlook.com",RIGHT(B5768,12)="@hotmail.com",RIGHT(B5768,9)="@live.com"),"Outlook","Domain")))</f>
        <v/>
      </c>
      <c r="F5768">
        <f>IF(B5768="","",IFERROR(RIGHT(B5768,LEN(B5768)-FIND("@",B5768)),""))</f>
        <v/>
      </c>
      <c r="G5768">
        <f>IF(D5768="KEEP",COUNTIF($D$2:D5768,"KEEP"),"")</f>
        <v/>
      </c>
      <c r="H5768">
        <f>IF(D5768="REMOVE",COUNTIF($D$2:D5768,"REMOVE"),"")</f>
        <v/>
      </c>
      <c r="I5768">
        <f>IF(E5768="Gmail",COUNTIF($E$2:E5768,"Gmail"),"")</f>
        <v/>
      </c>
      <c r="J5768">
        <f>IF(E5768="Outlook",COUNTIF($E$2:E5768,"Outlook"),"")</f>
        <v/>
      </c>
      <c r="K5768">
        <f>IF(E5768="Domain",COUNTIF($E$2:E5768,"Domain"),"")</f>
        <v/>
      </c>
    </row>
    <row r="5769">
      <c r="A5769" s="2" t="n"/>
      <c r="B5769">
        <f>LOWER(TRIM(A5769))</f>
        <v/>
      </c>
      <c r="C5769">
        <f>IF(B5769="","",IFERROR(INDEX('Bad Patterns'!$A$2:$A$120,MATCH(1,INDEX(--ISNUMBER(SEARCH('Bad Patterns'!$A$2:$A$120,B5769)),0),0)),""))</f>
        <v/>
      </c>
      <c r="D5769">
        <f>IF(B5769="","",IF(C5769&lt;&gt;"","REMOVE","KEEP"))</f>
        <v/>
      </c>
      <c r="E5769">
        <f>IF(D5769&lt;&gt;"KEEP","",IF(RIGHT(B5769,10)="@gmail.com","Gmail",IF(OR(RIGHT(B5769,12)="@outlook.com",RIGHT(B5769,12)="@hotmail.com",RIGHT(B5769,9)="@live.com"),"Outlook","Domain")))</f>
        <v/>
      </c>
      <c r="F5769">
        <f>IF(B5769="","",IFERROR(RIGHT(B5769,LEN(B5769)-FIND("@",B5769)),""))</f>
        <v/>
      </c>
      <c r="G5769">
        <f>IF(D5769="KEEP",COUNTIF($D$2:D5769,"KEEP"),"")</f>
        <v/>
      </c>
      <c r="H5769">
        <f>IF(D5769="REMOVE",COUNTIF($D$2:D5769,"REMOVE"),"")</f>
        <v/>
      </c>
      <c r="I5769">
        <f>IF(E5769="Gmail",COUNTIF($E$2:E5769,"Gmail"),"")</f>
        <v/>
      </c>
      <c r="J5769">
        <f>IF(E5769="Outlook",COUNTIF($E$2:E5769,"Outlook"),"")</f>
        <v/>
      </c>
      <c r="K5769">
        <f>IF(E5769="Domain",COUNTIF($E$2:E5769,"Domain"),"")</f>
        <v/>
      </c>
    </row>
    <row r="5770">
      <c r="A5770" s="2" t="n"/>
      <c r="B5770">
        <f>LOWER(TRIM(A5770))</f>
        <v/>
      </c>
      <c r="C5770">
        <f>IF(B5770="","",IFERROR(INDEX('Bad Patterns'!$A$2:$A$120,MATCH(1,INDEX(--ISNUMBER(SEARCH('Bad Patterns'!$A$2:$A$120,B5770)),0),0)),""))</f>
        <v/>
      </c>
      <c r="D5770">
        <f>IF(B5770="","",IF(C5770&lt;&gt;"","REMOVE","KEEP"))</f>
        <v/>
      </c>
      <c r="E5770">
        <f>IF(D5770&lt;&gt;"KEEP","",IF(RIGHT(B5770,10)="@gmail.com","Gmail",IF(OR(RIGHT(B5770,12)="@outlook.com",RIGHT(B5770,12)="@hotmail.com",RIGHT(B5770,9)="@live.com"),"Outlook","Domain")))</f>
        <v/>
      </c>
      <c r="F5770">
        <f>IF(B5770="","",IFERROR(RIGHT(B5770,LEN(B5770)-FIND("@",B5770)),""))</f>
        <v/>
      </c>
      <c r="G5770">
        <f>IF(D5770="KEEP",COUNTIF($D$2:D5770,"KEEP"),"")</f>
        <v/>
      </c>
      <c r="H5770">
        <f>IF(D5770="REMOVE",COUNTIF($D$2:D5770,"REMOVE"),"")</f>
        <v/>
      </c>
      <c r="I5770">
        <f>IF(E5770="Gmail",COUNTIF($E$2:E5770,"Gmail"),"")</f>
        <v/>
      </c>
      <c r="J5770">
        <f>IF(E5770="Outlook",COUNTIF($E$2:E5770,"Outlook"),"")</f>
        <v/>
      </c>
      <c r="K5770">
        <f>IF(E5770="Domain",COUNTIF($E$2:E5770,"Domain"),"")</f>
        <v/>
      </c>
    </row>
    <row r="5771">
      <c r="A5771" s="2" t="n"/>
      <c r="B5771">
        <f>LOWER(TRIM(A5771))</f>
        <v/>
      </c>
      <c r="C5771">
        <f>IF(B5771="","",IFERROR(INDEX('Bad Patterns'!$A$2:$A$120,MATCH(1,INDEX(--ISNUMBER(SEARCH('Bad Patterns'!$A$2:$A$120,B5771)),0),0)),""))</f>
        <v/>
      </c>
      <c r="D5771">
        <f>IF(B5771="","",IF(C5771&lt;&gt;"","REMOVE","KEEP"))</f>
        <v/>
      </c>
      <c r="E5771">
        <f>IF(D5771&lt;&gt;"KEEP","",IF(RIGHT(B5771,10)="@gmail.com","Gmail",IF(OR(RIGHT(B5771,12)="@outlook.com",RIGHT(B5771,12)="@hotmail.com",RIGHT(B5771,9)="@live.com"),"Outlook","Domain")))</f>
        <v/>
      </c>
      <c r="F5771">
        <f>IF(B5771="","",IFERROR(RIGHT(B5771,LEN(B5771)-FIND("@",B5771)),""))</f>
        <v/>
      </c>
      <c r="G5771">
        <f>IF(D5771="KEEP",COUNTIF($D$2:D5771,"KEEP"),"")</f>
        <v/>
      </c>
      <c r="H5771">
        <f>IF(D5771="REMOVE",COUNTIF($D$2:D5771,"REMOVE"),"")</f>
        <v/>
      </c>
      <c r="I5771">
        <f>IF(E5771="Gmail",COUNTIF($E$2:E5771,"Gmail"),"")</f>
        <v/>
      </c>
      <c r="J5771">
        <f>IF(E5771="Outlook",COUNTIF($E$2:E5771,"Outlook"),"")</f>
        <v/>
      </c>
      <c r="K5771">
        <f>IF(E5771="Domain",COUNTIF($E$2:E5771,"Domain"),"")</f>
        <v/>
      </c>
    </row>
    <row r="5772">
      <c r="A5772" s="2" t="n"/>
      <c r="B5772">
        <f>LOWER(TRIM(A5772))</f>
        <v/>
      </c>
      <c r="C5772">
        <f>IF(B5772="","",IFERROR(INDEX('Bad Patterns'!$A$2:$A$120,MATCH(1,INDEX(--ISNUMBER(SEARCH('Bad Patterns'!$A$2:$A$120,B5772)),0),0)),""))</f>
        <v/>
      </c>
      <c r="D5772">
        <f>IF(B5772="","",IF(C5772&lt;&gt;"","REMOVE","KEEP"))</f>
        <v/>
      </c>
      <c r="E5772">
        <f>IF(D5772&lt;&gt;"KEEP","",IF(RIGHT(B5772,10)="@gmail.com","Gmail",IF(OR(RIGHT(B5772,12)="@outlook.com",RIGHT(B5772,12)="@hotmail.com",RIGHT(B5772,9)="@live.com"),"Outlook","Domain")))</f>
        <v/>
      </c>
      <c r="F5772">
        <f>IF(B5772="","",IFERROR(RIGHT(B5772,LEN(B5772)-FIND("@",B5772)),""))</f>
        <v/>
      </c>
      <c r="G5772">
        <f>IF(D5772="KEEP",COUNTIF($D$2:D5772,"KEEP"),"")</f>
        <v/>
      </c>
      <c r="H5772">
        <f>IF(D5772="REMOVE",COUNTIF($D$2:D5772,"REMOVE"),"")</f>
        <v/>
      </c>
      <c r="I5772">
        <f>IF(E5772="Gmail",COUNTIF($E$2:E5772,"Gmail"),"")</f>
        <v/>
      </c>
      <c r="J5772">
        <f>IF(E5772="Outlook",COUNTIF($E$2:E5772,"Outlook"),"")</f>
        <v/>
      </c>
      <c r="K5772">
        <f>IF(E5772="Domain",COUNTIF($E$2:E5772,"Domain"),"")</f>
        <v/>
      </c>
    </row>
    <row r="5773">
      <c r="A5773" s="2" t="n"/>
      <c r="B5773">
        <f>LOWER(TRIM(A5773))</f>
        <v/>
      </c>
      <c r="C5773">
        <f>IF(B5773="","",IFERROR(INDEX('Bad Patterns'!$A$2:$A$120,MATCH(1,INDEX(--ISNUMBER(SEARCH('Bad Patterns'!$A$2:$A$120,B5773)),0),0)),""))</f>
        <v/>
      </c>
      <c r="D5773">
        <f>IF(B5773="","",IF(C5773&lt;&gt;"","REMOVE","KEEP"))</f>
        <v/>
      </c>
      <c r="E5773">
        <f>IF(D5773&lt;&gt;"KEEP","",IF(RIGHT(B5773,10)="@gmail.com","Gmail",IF(OR(RIGHT(B5773,12)="@outlook.com",RIGHT(B5773,12)="@hotmail.com",RIGHT(B5773,9)="@live.com"),"Outlook","Domain")))</f>
        <v/>
      </c>
      <c r="F5773">
        <f>IF(B5773="","",IFERROR(RIGHT(B5773,LEN(B5773)-FIND("@",B5773)),""))</f>
        <v/>
      </c>
      <c r="G5773">
        <f>IF(D5773="KEEP",COUNTIF($D$2:D5773,"KEEP"),"")</f>
        <v/>
      </c>
      <c r="H5773">
        <f>IF(D5773="REMOVE",COUNTIF($D$2:D5773,"REMOVE"),"")</f>
        <v/>
      </c>
      <c r="I5773">
        <f>IF(E5773="Gmail",COUNTIF($E$2:E5773,"Gmail"),"")</f>
        <v/>
      </c>
      <c r="J5773">
        <f>IF(E5773="Outlook",COUNTIF($E$2:E5773,"Outlook"),"")</f>
        <v/>
      </c>
      <c r="K5773">
        <f>IF(E5773="Domain",COUNTIF($E$2:E5773,"Domain"),"")</f>
        <v/>
      </c>
    </row>
    <row r="5774">
      <c r="A5774" s="2" t="n"/>
      <c r="B5774">
        <f>LOWER(TRIM(A5774))</f>
        <v/>
      </c>
      <c r="C5774">
        <f>IF(B5774="","",IFERROR(INDEX('Bad Patterns'!$A$2:$A$120,MATCH(1,INDEX(--ISNUMBER(SEARCH('Bad Patterns'!$A$2:$A$120,B5774)),0),0)),""))</f>
        <v/>
      </c>
      <c r="D5774">
        <f>IF(B5774="","",IF(C5774&lt;&gt;"","REMOVE","KEEP"))</f>
        <v/>
      </c>
      <c r="E5774">
        <f>IF(D5774&lt;&gt;"KEEP","",IF(RIGHT(B5774,10)="@gmail.com","Gmail",IF(OR(RIGHT(B5774,12)="@outlook.com",RIGHT(B5774,12)="@hotmail.com",RIGHT(B5774,9)="@live.com"),"Outlook","Domain")))</f>
        <v/>
      </c>
      <c r="F5774">
        <f>IF(B5774="","",IFERROR(RIGHT(B5774,LEN(B5774)-FIND("@",B5774)),""))</f>
        <v/>
      </c>
      <c r="G5774">
        <f>IF(D5774="KEEP",COUNTIF($D$2:D5774,"KEEP"),"")</f>
        <v/>
      </c>
      <c r="H5774">
        <f>IF(D5774="REMOVE",COUNTIF($D$2:D5774,"REMOVE"),"")</f>
        <v/>
      </c>
      <c r="I5774">
        <f>IF(E5774="Gmail",COUNTIF($E$2:E5774,"Gmail"),"")</f>
        <v/>
      </c>
      <c r="J5774">
        <f>IF(E5774="Outlook",COUNTIF($E$2:E5774,"Outlook"),"")</f>
        <v/>
      </c>
      <c r="K5774">
        <f>IF(E5774="Domain",COUNTIF($E$2:E5774,"Domain"),"")</f>
        <v/>
      </c>
    </row>
    <row r="5775">
      <c r="A5775" s="2" t="n"/>
      <c r="B5775">
        <f>LOWER(TRIM(A5775))</f>
        <v/>
      </c>
      <c r="C5775">
        <f>IF(B5775="","",IFERROR(INDEX('Bad Patterns'!$A$2:$A$120,MATCH(1,INDEX(--ISNUMBER(SEARCH('Bad Patterns'!$A$2:$A$120,B5775)),0),0)),""))</f>
        <v/>
      </c>
      <c r="D5775">
        <f>IF(B5775="","",IF(C5775&lt;&gt;"","REMOVE","KEEP"))</f>
        <v/>
      </c>
      <c r="E5775">
        <f>IF(D5775&lt;&gt;"KEEP","",IF(RIGHT(B5775,10)="@gmail.com","Gmail",IF(OR(RIGHT(B5775,12)="@outlook.com",RIGHT(B5775,12)="@hotmail.com",RIGHT(B5775,9)="@live.com"),"Outlook","Domain")))</f>
        <v/>
      </c>
      <c r="F5775">
        <f>IF(B5775="","",IFERROR(RIGHT(B5775,LEN(B5775)-FIND("@",B5775)),""))</f>
        <v/>
      </c>
      <c r="G5775">
        <f>IF(D5775="KEEP",COUNTIF($D$2:D5775,"KEEP"),"")</f>
        <v/>
      </c>
      <c r="H5775">
        <f>IF(D5775="REMOVE",COUNTIF($D$2:D5775,"REMOVE"),"")</f>
        <v/>
      </c>
      <c r="I5775">
        <f>IF(E5775="Gmail",COUNTIF($E$2:E5775,"Gmail"),"")</f>
        <v/>
      </c>
      <c r="J5775">
        <f>IF(E5775="Outlook",COUNTIF($E$2:E5775,"Outlook"),"")</f>
        <v/>
      </c>
      <c r="K5775">
        <f>IF(E5775="Domain",COUNTIF($E$2:E5775,"Domain"),"")</f>
        <v/>
      </c>
    </row>
    <row r="5776">
      <c r="A5776" s="2" t="n"/>
      <c r="B5776">
        <f>LOWER(TRIM(A5776))</f>
        <v/>
      </c>
      <c r="C5776">
        <f>IF(B5776="","",IFERROR(INDEX('Bad Patterns'!$A$2:$A$120,MATCH(1,INDEX(--ISNUMBER(SEARCH('Bad Patterns'!$A$2:$A$120,B5776)),0),0)),""))</f>
        <v/>
      </c>
      <c r="D5776">
        <f>IF(B5776="","",IF(C5776&lt;&gt;"","REMOVE","KEEP"))</f>
        <v/>
      </c>
      <c r="E5776">
        <f>IF(D5776&lt;&gt;"KEEP","",IF(RIGHT(B5776,10)="@gmail.com","Gmail",IF(OR(RIGHT(B5776,12)="@outlook.com",RIGHT(B5776,12)="@hotmail.com",RIGHT(B5776,9)="@live.com"),"Outlook","Domain")))</f>
        <v/>
      </c>
      <c r="F5776">
        <f>IF(B5776="","",IFERROR(RIGHT(B5776,LEN(B5776)-FIND("@",B5776)),""))</f>
        <v/>
      </c>
      <c r="G5776">
        <f>IF(D5776="KEEP",COUNTIF($D$2:D5776,"KEEP"),"")</f>
        <v/>
      </c>
      <c r="H5776">
        <f>IF(D5776="REMOVE",COUNTIF($D$2:D5776,"REMOVE"),"")</f>
        <v/>
      </c>
      <c r="I5776">
        <f>IF(E5776="Gmail",COUNTIF($E$2:E5776,"Gmail"),"")</f>
        <v/>
      </c>
      <c r="J5776">
        <f>IF(E5776="Outlook",COUNTIF($E$2:E5776,"Outlook"),"")</f>
        <v/>
      </c>
      <c r="K5776">
        <f>IF(E5776="Domain",COUNTIF($E$2:E5776,"Domain"),"")</f>
        <v/>
      </c>
    </row>
    <row r="5777">
      <c r="A5777" s="2" t="n"/>
      <c r="B5777">
        <f>LOWER(TRIM(A5777))</f>
        <v/>
      </c>
      <c r="C5777">
        <f>IF(B5777="","",IFERROR(INDEX('Bad Patterns'!$A$2:$A$120,MATCH(1,INDEX(--ISNUMBER(SEARCH('Bad Patterns'!$A$2:$A$120,B5777)),0),0)),""))</f>
        <v/>
      </c>
      <c r="D5777">
        <f>IF(B5777="","",IF(C5777&lt;&gt;"","REMOVE","KEEP"))</f>
        <v/>
      </c>
      <c r="E5777">
        <f>IF(D5777&lt;&gt;"KEEP","",IF(RIGHT(B5777,10)="@gmail.com","Gmail",IF(OR(RIGHT(B5777,12)="@outlook.com",RIGHT(B5777,12)="@hotmail.com",RIGHT(B5777,9)="@live.com"),"Outlook","Domain")))</f>
        <v/>
      </c>
      <c r="F5777">
        <f>IF(B5777="","",IFERROR(RIGHT(B5777,LEN(B5777)-FIND("@",B5777)),""))</f>
        <v/>
      </c>
      <c r="G5777">
        <f>IF(D5777="KEEP",COUNTIF($D$2:D5777,"KEEP"),"")</f>
        <v/>
      </c>
      <c r="H5777">
        <f>IF(D5777="REMOVE",COUNTIF($D$2:D5777,"REMOVE"),"")</f>
        <v/>
      </c>
      <c r="I5777">
        <f>IF(E5777="Gmail",COUNTIF($E$2:E5777,"Gmail"),"")</f>
        <v/>
      </c>
      <c r="J5777">
        <f>IF(E5777="Outlook",COUNTIF($E$2:E5777,"Outlook"),"")</f>
        <v/>
      </c>
      <c r="K5777">
        <f>IF(E5777="Domain",COUNTIF($E$2:E5777,"Domain"),"")</f>
        <v/>
      </c>
    </row>
    <row r="5778">
      <c r="A5778" s="2" t="n"/>
      <c r="B5778">
        <f>LOWER(TRIM(A5778))</f>
        <v/>
      </c>
      <c r="C5778">
        <f>IF(B5778="","",IFERROR(INDEX('Bad Patterns'!$A$2:$A$120,MATCH(1,INDEX(--ISNUMBER(SEARCH('Bad Patterns'!$A$2:$A$120,B5778)),0),0)),""))</f>
        <v/>
      </c>
      <c r="D5778">
        <f>IF(B5778="","",IF(C5778&lt;&gt;"","REMOVE","KEEP"))</f>
        <v/>
      </c>
      <c r="E5778">
        <f>IF(D5778&lt;&gt;"KEEP","",IF(RIGHT(B5778,10)="@gmail.com","Gmail",IF(OR(RIGHT(B5778,12)="@outlook.com",RIGHT(B5778,12)="@hotmail.com",RIGHT(B5778,9)="@live.com"),"Outlook","Domain")))</f>
        <v/>
      </c>
      <c r="F5778">
        <f>IF(B5778="","",IFERROR(RIGHT(B5778,LEN(B5778)-FIND("@",B5778)),""))</f>
        <v/>
      </c>
      <c r="G5778">
        <f>IF(D5778="KEEP",COUNTIF($D$2:D5778,"KEEP"),"")</f>
        <v/>
      </c>
      <c r="H5778">
        <f>IF(D5778="REMOVE",COUNTIF($D$2:D5778,"REMOVE"),"")</f>
        <v/>
      </c>
      <c r="I5778">
        <f>IF(E5778="Gmail",COUNTIF($E$2:E5778,"Gmail"),"")</f>
        <v/>
      </c>
      <c r="J5778">
        <f>IF(E5778="Outlook",COUNTIF($E$2:E5778,"Outlook"),"")</f>
        <v/>
      </c>
      <c r="K5778">
        <f>IF(E5778="Domain",COUNTIF($E$2:E5778,"Domain"),"")</f>
        <v/>
      </c>
    </row>
    <row r="5779">
      <c r="A5779" s="2" t="n"/>
      <c r="B5779">
        <f>LOWER(TRIM(A5779))</f>
        <v/>
      </c>
      <c r="C5779">
        <f>IF(B5779="","",IFERROR(INDEX('Bad Patterns'!$A$2:$A$120,MATCH(1,INDEX(--ISNUMBER(SEARCH('Bad Patterns'!$A$2:$A$120,B5779)),0),0)),""))</f>
        <v/>
      </c>
      <c r="D5779">
        <f>IF(B5779="","",IF(C5779&lt;&gt;"","REMOVE","KEEP"))</f>
        <v/>
      </c>
      <c r="E5779">
        <f>IF(D5779&lt;&gt;"KEEP","",IF(RIGHT(B5779,10)="@gmail.com","Gmail",IF(OR(RIGHT(B5779,12)="@outlook.com",RIGHT(B5779,12)="@hotmail.com",RIGHT(B5779,9)="@live.com"),"Outlook","Domain")))</f>
        <v/>
      </c>
      <c r="F5779">
        <f>IF(B5779="","",IFERROR(RIGHT(B5779,LEN(B5779)-FIND("@",B5779)),""))</f>
        <v/>
      </c>
      <c r="G5779">
        <f>IF(D5779="KEEP",COUNTIF($D$2:D5779,"KEEP"),"")</f>
        <v/>
      </c>
      <c r="H5779">
        <f>IF(D5779="REMOVE",COUNTIF($D$2:D5779,"REMOVE"),"")</f>
        <v/>
      </c>
      <c r="I5779">
        <f>IF(E5779="Gmail",COUNTIF($E$2:E5779,"Gmail"),"")</f>
        <v/>
      </c>
      <c r="J5779">
        <f>IF(E5779="Outlook",COUNTIF($E$2:E5779,"Outlook"),"")</f>
        <v/>
      </c>
      <c r="K5779">
        <f>IF(E5779="Domain",COUNTIF($E$2:E5779,"Domain"),"")</f>
        <v/>
      </c>
    </row>
    <row r="5780">
      <c r="A5780" s="2" t="n"/>
      <c r="B5780">
        <f>LOWER(TRIM(A5780))</f>
        <v/>
      </c>
      <c r="C5780">
        <f>IF(B5780="","",IFERROR(INDEX('Bad Patterns'!$A$2:$A$120,MATCH(1,INDEX(--ISNUMBER(SEARCH('Bad Patterns'!$A$2:$A$120,B5780)),0),0)),""))</f>
        <v/>
      </c>
      <c r="D5780">
        <f>IF(B5780="","",IF(C5780&lt;&gt;"","REMOVE","KEEP"))</f>
        <v/>
      </c>
      <c r="E5780">
        <f>IF(D5780&lt;&gt;"KEEP","",IF(RIGHT(B5780,10)="@gmail.com","Gmail",IF(OR(RIGHT(B5780,12)="@outlook.com",RIGHT(B5780,12)="@hotmail.com",RIGHT(B5780,9)="@live.com"),"Outlook","Domain")))</f>
        <v/>
      </c>
      <c r="F5780">
        <f>IF(B5780="","",IFERROR(RIGHT(B5780,LEN(B5780)-FIND("@",B5780)),""))</f>
        <v/>
      </c>
      <c r="G5780">
        <f>IF(D5780="KEEP",COUNTIF($D$2:D5780,"KEEP"),"")</f>
        <v/>
      </c>
      <c r="H5780">
        <f>IF(D5780="REMOVE",COUNTIF($D$2:D5780,"REMOVE"),"")</f>
        <v/>
      </c>
      <c r="I5780">
        <f>IF(E5780="Gmail",COUNTIF($E$2:E5780,"Gmail"),"")</f>
        <v/>
      </c>
      <c r="J5780">
        <f>IF(E5780="Outlook",COUNTIF($E$2:E5780,"Outlook"),"")</f>
        <v/>
      </c>
      <c r="K5780">
        <f>IF(E5780="Domain",COUNTIF($E$2:E5780,"Domain"),"")</f>
        <v/>
      </c>
    </row>
    <row r="5781">
      <c r="A5781" s="2" t="n"/>
      <c r="B5781">
        <f>LOWER(TRIM(A5781))</f>
        <v/>
      </c>
      <c r="C5781">
        <f>IF(B5781="","",IFERROR(INDEX('Bad Patterns'!$A$2:$A$120,MATCH(1,INDEX(--ISNUMBER(SEARCH('Bad Patterns'!$A$2:$A$120,B5781)),0),0)),""))</f>
        <v/>
      </c>
      <c r="D5781">
        <f>IF(B5781="","",IF(C5781&lt;&gt;"","REMOVE","KEEP"))</f>
        <v/>
      </c>
      <c r="E5781">
        <f>IF(D5781&lt;&gt;"KEEP","",IF(RIGHT(B5781,10)="@gmail.com","Gmail",IF(OR(RIGHT(B5781,12)="@outlook.com",RIGHT(B5781,12)="@hotmail.com",RIGHT(B5781,9)="@live.com"),"Outlook","Domain")))</f>
        <v/>
      </c>
      <c r="F5781">
        <f>IF(B5781="","",IFERROR(RIGHT(B5781,LEN(B5781)-FIND("@",B5781)),""))</f>
        <v/>
      </c>
      <c r="G5781">
        <f>IF(D5781="KEEP",COUNTIF($D$2:D5781,"KEEP"),"")</f>
        <v/>
      </c>
      <c r="H5781">
        <f>IF(D5781="REMOVE",COUNTIF($D$2:D5781,"REMOVE"),"")</f>
        <v/>
      </c>
      <c r="I5781">
        <f>IF(E5781="Gmail",COUNTIF($E$2:E5781,"Gmail"),"")</f>
        <v/>
      </c>
      <c r="J5781">
        <f>IF(E5781="Outlook",COUNTIF($E$2:E5781,"Outlook"),"")</f>
        <v/>
      </c>
      <c r="K5781">
        <f>IF(E5781="Domain",COUNTIF($E$2:E5781,"Domain"),"")</f>
        <v/>
      </c>
    </row>
    <row r="5782">
      <c r="A5782" s="2" t="n"/>
      <c r="B5782">
        <f>LOWER(TRIM(A5782))</f>
        <v/>
      </c>
      <c r="C5782">
        <f>IF(B5782="","",IFERROR(INDEX('Bad Patterns'!$A$2:$A$120,MATCH(1,INDEX(--ISNUMBER(SEARCH('Bad Patterns'!$A$2:$A$120,B5782)),0),0)),""))</f>
        <v/>
      </c>
      <c r="D5782">
        <f>IF(B5782="","",IF(C5782&lt;&gt;"","REMOVE","KEEP"))</f>
        <v/>
      </c>
      <c r="E5782">
        <f>IF(D5782&lt;&gt;"KEEP","",IF(RIGHT(B5782,10)="@gmail.com","Gmail",IF(OR(RIGHT(B5782,12)="@outlook.com",RIGHT(B5782,12)="@hotmail.com",RIGHT(B5782,9)="@live.com"),"Outlook","Domain")))</f>
        <v/>
      </c>
      <c r="F5782">
        <f>IF(B5782="","",IFERROR(RIGHT(B5782,LEN(B5782)-FIND("@",B5782)),""))</f>
        <v/>
      </c>
      <c r="G5782">
        <f>IF(D5782="KEEP",COUNTIF($D$2:D5782,"KEEP"),"")</f>
        <v/>
      </c>
      <c r="H5782">
        <f>IF(D5782="REMOVE",COUNTIF($D$2:D5782,"REMOVE"),"")</f>
        <v/>
      </c>
      <c r="I5782">
        <f>IF(E5782="Gmail",COUNTIF($E$2:E5782,"Gmail"),"")</f>
        <v/>
      </c>
      <c r="J5782">
        <f>IF(E5782="Outlook",COUNTIF($E$2:E5782,"Outlook"),"")</f>
        <v/>
      </c>
      <c r="K5782">
        <f>IF(E5782="Domain",COUNTIF($E$2:E5782,"Domain"),"")</f>
        <v/>
      </c>
    </row>
    <row r="5783">
      <c r="A5783" s="2" t="n"/>
      <c r="B5783">
        <f>LOWER(TRIM(A5783))</f>
        <v/>
      </c>
      <c r="C5783">
        <f>IF(B5783="","",IFERROR(INDEX('Bad Patterns'!$A$2:$A$120,MATCH(1,INDEX(--ISNUMBER(SEARCH('Bad Patterns'!$A$2:$A$120,B5783)),0),0)),""))</f>
        <v/>
      </c>
      <c r="D5783">
        <f>IF(B5783="","",IF(C5783&lt;&gt;"","REMOVE","KEEP"))</f>
        <v/>
      </c>
      <c r="E5783">
        <f>IF(D5783&lt;&gt;"KEEP","",IF(RIGHT(B5783,10)="@gmail.com","Gmail",IF(OR(RIGHT(B5783,12)="@outlook.com",RIGHT(B5783,12)="@hotmail.com",RIGHT(B5783,9)="@live.com"),"Outlook","Domain")))</f>
        <v/>
      </c>
      <c r="F5783">
        <f>IF(B5783="","",IFERROR(RIGHT(B5783,LEN(B5783)-FIND("@",B5783)),""))</f>
        <v/>
      </c>
      <c r="G5783">
        <f>IF(D5783="KEEP",COUNTIF($D$2:D5783,"KEEP"),"")</f>
        <v/>
      </c>
      <c r="H5783">
        <f>IF(D5783="REMOVE",COUNTIF($D$2:D5783,"REMOVE"),"")</f>
        <v/>
      </c>
      <c r="I5783">
        <f>IF(E5783="Gmail",COUNTIF($E$2:E5783,"Gmail"),"")</f>
        <v/>
      </c>
      <c r="J5783">
        <f>IF(E5783="Outlook",COUNTIF($E$2:E5783,"Outlook"),"")</f>
        <v/>
      </c>
      <c r="K5783">
        <f>IF(E5783="Domain",COUNTIF($E$2:E5783,"Domain"),"")</f>
        <v/>
      </c>
    </row>
    <row r="5784">
      <c r="A5784" s="2" t="n"/>
      <c r="B5784">
        <f>LOWER(TRIM(A5784))</f>
        <v/>
      </c>
      <c r="C5784">
        <f>IF(B5784="","",IFERROR(INDEX('Bad Patterns'!$A$2:$A$120,MATCH(1,INDEX(--ISNUMBER(SEARCH('Bad Patterns'!$A$2:$A$120,B5784)),0),0)),""))</f>
        <v/>
      </c>
      <c r="D5784">
        <f>IF(B5784="","",IF(C5784&lt;&gt;"","REMOVE","KEEP"))</f>
        <v/>
      </c>
      <c r="E5784">
        <f>IF(D5784&lt;&gt;"KEEP","",IF(RIGHT(B5784,10)="@gmail.com","Gmail",IF(OR(RIGHT(B5784,12)="@outlook.com",RIGHT(B5784,12)="@hotmail.com",RIGHT(B5784,9)="@live.com"),"Outlook","Domain")))</f>
        <v/>
      </c>
      <c r="F5784">
        <f>IF(B5784="","",IFERROR(RIGHT(B5784,LEN(B5784)-FIND("@",B5784)),""))</f>
        <v/>
      </c>
      <c r="G5784">
        <f>IF(D5784="KEEP",COUNTIF($D$2:D5784,"KEEP"),"")</f>
        <v/>
      </c>
      <c r="H5784">
        <f>IF(D5784="REMOVE",COUNTIF($D$2:D5784,"REMOVE"),"")</f>
        <v/>
      </c>
      <c r="I5784">
        <f>IF(E5784="Gmail",COUNTIF($E$2:E5784,"Gmail"),"")</f>
        <v/>
      </c>
      <c r="J5784">
        <f>IF(E5784="Outlook",COUNTIF($E$2:E5784,"Outlook"),"")</f>
        <v/>
      </c>
      <c r="K5784">
        <f>IF(E5784="Domain",COUNTIF($E$2:E5784,"Domain"),"")</f>
        <v/>
      </c>
    </row>
    <row r="5785">
      <c r="A5785" s="2" t="n"/>
      <c r="B5785">
        <f>LOWER(TRIM(A5785))</f>
        <v/>
      </c>
      <c r="C5785">
        <f>IF(B5785="","",IFERROR(INDEX('Bad Patterns'!$A$2:$A$120,MATCH(1,INDEX(--ISNUMBER(SEARCH('Bad Patterns'!$A$2:$A$120,B5785)),0),0)),""))</f>
        <v/>
      </c>
      <c r="D5785">
        <f>IF(B5785="","",IF(C5785&lt;&gt;"","REMOVE","KEEP"))</f>
        <v/>
      </c>
      <c r="E5785">
        <f>IF(D5785&lt;&gt;"KEEP","",IF(RIGHT(B5785,10)="@gmail.com","Gmail",IF(OR(RIGHT(B5785,12)="@outlook.com",RIGHT(B5785,12)="@hotmail.com",RIGHT(B5785,9)="@live.com"),"Outlook","Domain")))</f>
        <v/>
      </c>
      <c r="F5785">
        <f>IF(B5785="","",IFERROR(RIGHT(B5785,LEN(B5785)-FIND("@",B5785)),""))</f>
        <v/>
      </c>
      <c r="G5785">
        <f>IF(D5785="KEEP",COUNTIF($D$2:D5785,"KEEP"),"")</f>
        <v/>
      </c>
      <c r="H5785">
        <f>IF(D5785="REMOVE",COUNTIF($D$2:D5785,"REMOVE"),"")</f>
        <v/>
      </c>
      <c r="I5785">
        <f>IF(E5785="Gmail",COUNTIF($E$2:E5785,"Gmail"),"")</f>
        <v/>
      </c>
      <c r="J5785">
        <f>IF(E5785="Outlook",COUNTIF($E$2:E5785,"Outlook"),"")</f>
        <v/>
      </c>
      <c r="K5785">
        <f>IF(E5785="Domain",COUNTIF($E$2:E5785,"Domain"),"")</f>
        <v/>
      </c>
    </row>
    <row r="5786">
      <c r="A5786" s="2" t="n"/>
      <c r="B5786">
        <f>LOWER(TRIM(A5786))</f>
        <v/>
      </c>
      <c r="C5786">
        <f>IF(B5786="","",IFERROR(INDEX('Bad Patterns'!$A$2:$A$120,MATCH(1,INDEX(--ISNUMBER(SEARCH('Bad Patterns'!$A$2:$A$120,B5786)),0),0)),""))</f>
        <v/>
      </c>
      <c r="D5786">
        <f>IF(B5786="","",IF(C5786&lt;&gt;"","REMOVE","KEEP"))</f>
        <v/>
      </c>
      <c r="E5786">
        <f>IF(D5786&lt;&gt;"KEEP","",IF(RIGHT(B5786,10)="@gmail.com","Gmail",IF(OR(RIGHT(B5786,12)="@outlook.com",RIGHT(B5786,12)="@hotmail.com",RIGHT(B5786,9)="@live.com"),"Outlook","Domain")))</f>
        <v/>
      </c>
      <c r="F5786">
        <f>IF(B5786="","",IFERROR(RIGHT(B5786,LEN(B5786)-FIND("@",B5786)),""))</f>
        <v/>
      </c>
      <c r="G5786">
        <f>IF(D5786="KEEP",COUNTIF($D$2:D5786,"KEEP"),"")</f>
        <v/>
      </c>
      <c r="H5786">
        <f>IF(D5786="REMOVE",COUNTIF($D$2:D5786,"REMOVE"),"")</f>
        <v/>
      </c>
      <c r="I5786">
        <f>IF(E5786="Gmail",COUNTIF($E$2:E5786,"Gmail"),"")</f>
        <v/>
      </c>
      <c r="J5786">
        <f>IF(E5786="Outlook",COUNTIF($E$2:E5786,"Outlook"),"")</f>
        <v/>
      </c>
      <c r="K5786">
        <f>IF(E5786="Domain",COUNTIF($E$2:E5786,"Domain"),"")</f>
        <v/>
      </c>
    </row>
    <row r="5787">
      <c r="A5787" s="2" t="n"/>
      <c r="B5787">
        <f>LOWER(TRIM(A5787))</f>
        <v/>
      </c>
      <c r="C5787">
        <f>IF(B5787="","",IFERROR(INDEX('Bad Patterns'!$A$2:$A$120,MATCH(1,INDEX(--ISNUMBER(SEARCH('Bad Patterns'!$A$2:$A$120,B5787)),0),0)),""))</f>
        <v/>
      </c>
      <c r="D5787">
        <f>IF(B5787="","",IF(C5787&lt;&gt;"","REMOVE","KEEP"))</f>
        <v/>
      </c>
      <c r="E5787">
        <f>IF(D5787&lt;&gt;"KEEP","",IF(RIGHT(B5787,10)="@gmail.com","Gmail",IF(OR(RIGHT(B5787,12)="@outlook.com",RIGHT(B5787,12)="@hotmail.com",RIGHT(B5787,9)="@live.com"),"Outlook","Domain")))</f>
        <v/>
      </c>
      <c r="F5787">
        <f>IF(B5787="","",IFERROR(RIGHT(B5787,LEN(B5787)-FIND("@",B5787)),""))</f>
        <v/>
      </c>
      <c r="G5787">
        <f>IF(D5787="KEEP",COUNTIF($D$2:D5787,"KEEP"),"")</f>
        <v/>
      </c>
      <c r="H5787">
        <f>IF(D5787="REMOVE",COUNTIF($D$2:D5787,"REMOVE"),"")</f>
        <v/>
      </c>
      <c r="I5787">
        <f>IF(E5787="Gmail",COUNTIF($E$2:E5787,"Gmail"),"")</f>
        <v/>
      </c>
      <c r="J5787">
        <f>IF(E5787="Outlook",COUNTIF($E$2:E5787,"Outlook"),"")</f>
        <v/>
      </c>
      <c r="K5787">
        <f>IF(E5787="Domain",COUNTIF($E$2:E5787,"Domain"),"")</f>
        <v/>
      </c>
    </row>
    <row r="5788">
      <c r="A5788" s="2" t="n"/>
      <c r="B5788">
        <f>LOWER(TRIM(A5788))</f>
        <v/>
      </c>
      <c r="C5788">
        <f>IF(B5788="","",IFERROR(INDEX('Bad Patterns'!$A$2:$A$120,MATCH(1,INDEX(--ISNUMBER(SEARCH('Bad Patterns'!$A$2:$A$120,B5788)),0),0)),""))</f>
        <v/>
      </c>
      <c r="D5788">
        <f>IF(B5788="","",IF(C5788&lt;&gt;"","REMOVE","KEEP"))</f>
        <v/>
      </c>
      <c r="E5788">
        <f>IF(D5788&lt;&gt;"KEEP","",IF(RIGHT(B5788,10)="@gmail.com","Gmail",IF(OR(RIGHT(B5788,12)="@outlook.com",RIGHT(B5788,12)="@hotmail.com",RIGHT(B5788,9)="@live.com"),"Outlook","Domain")))</f>
        <v/>
      </c>
      <c r="F5788">
        <f>IF(B5788="","",IFERROR(RIGHT(B5788,LEN(B5788)-FIND("@",B5788)),""))</f>
        <v/>
      </c>
      <c r="G5788">
        <f>IF(D5788="KEEP",COUNTIF($D$2:D5788,"KEEP"),"")</f>
        <v/>
      </c>
      <c r="H5788">
        <f>IF(D5788="REMOVE",COUNTIF($D$2:D5788,"REMOVE"),"")</f>
        <v/>
      </c>
      <c r="I5788">
        <f>IF(E5788="Gmail",COUNTIF($E$2:E5788,"Gmail"),"")</f>
        <v/>
      </c>
      <c r="J5788">
        <f>IF(E5788="Outlook",COUNTIF($E$2:E5788,"Outlook"),"")</f>
        <v/>
      </c>
      <c r="K5788">
        <f>IF(E5788="Domain",COUNTIF($E$2:E5788,"Domain"),"")</f>
        <v/>
      </c>
    </row>
    <row r="5789">
      <c r="A5789" s="2" t="n"/>
      <c r="B5789">
        <f>LOWER(TRIM(A5789))</f>
        <v/>
      </c>
      <c r="C5789">
        <f>IF(B5789="","",IFERROR(INDEX('Bad Patterns'!$A$2:$A$120,MATCH(1,INDEX(--ISNUMBER(SEARCH('Bad Patterns'!$A$2:$A$120,B5789)),0),0)),""))</f>
        <v/>
      </c>
      <c r="D5789">
        <f>IF(B5789="","",IF(C5789&lt;&gt;"","REMOVE","KEEP"))</f>
        <v/>
      </c>
      <c r="E5789">
        <f>IF(D5789&lt;&gt;"KEEP","",IF(RIGHT(B5789,10)="@gmail.com","Gmail",IF(OR(RIGHT(B5789,12)="@outlook.com",RIGHT(B5789,12)="@hotmail.com",RIGHT(B5789,9)="@live.com"),"Outlook","Domain")))</f>
        <v/>
      </c>
      <c r="F5789">
        <f>IF(B5789="","",IFERROR(RIGHT(B5789,LEN(B5789)-FIND("@",B5789)),""))</f>
        <v/>
      </c>
      <c r="G5789">
        <f>IF(D5789="KEEP",COUNTIF($D$2:D5789,"KEEP"),"")</f>
        <v/>
      </c>
      <c r="H5789">
        <f>IF(D5789="REMOVE",COUNTIF($D$2:D5789,"REMOVE"),"")</f>
        <v/>
      </c>
      <c r="I5789">
        <f>IF(E5789="Gmail",COUNTIF($E$2:E5789,"Gmail"),"")</f>
        <v/>
      </c>
      <c r="J5789">
        <f>IF(E5789="Outlook",COUNTIF($E$2:E5789,"Outlook"),"")</f>
        <v/>
      </c>
      <c r="K5789">
        <f>IF(E5789="Domain",COUNTIF($E$2:E5789,"Domain"),"")</f>
        <v/>
      </c>
    </row>
    <row r="5790">
      <c r="A5790" s="2" t="n"/>
      <c r="B5790">
        <f>LOWER(TRIM(A5790))</f>
        <v/>
      </c>
      <c r="C5790">
        <f>IF(B5790="","",IFERROR(INDEX('Bad Patterns'!$A$2:$A$120,MATCH(1,INDEX(--ISNUMBER(SEARCH('Bad Patterns'!$A$2:$A$120,B5790)),0),0)),""))</f>
        <v/>
      </c>
      <c r="D5790">
        <f>IF(B5790="","",IF(C5790&lt;&gt;"","REMOVE","KEEP"))</f>
        <v/>
      </c>
      <c r="E5790">
        <f>IF(D5790&lt;&gt;"KEEP","",IF(RIGHT(B5790,10)="@gmail.com","Gmail",IF(OR(RIGHT(B5790,12)="@outlook.com",RIGHT(B5790,12)="@hotmail.com",RIGHT(B5790,9)="@live.com"),"Outlook","Domain")))</f>
        <v/>
      </c>
      <c r="F5790">
        <f>IF(B5790="","",IFERROR(RIGHT(B5790,LEN(B5790)-FIND("@",B5790)),""))</f>
        <v/>
      </c>
      <c r="G5790">
        <f>IF(D5790="KEEP",COUNTIF($D$2:D5790,"KEEP"),"")</f>
        <v/>
      </c>
      <c r="H5790">
        <f>IF(D5790="REMOVE",COUNTIF($D$2:D5790,"REMOVE"),"")</f>
        <v/>
      </c>
      <c r="I5790">
        <f>IF(E5790="Gmail",COUNTIF($E$2:E5790,"Gmail"),"")</f>
        <v/>
      </c>
      <c r="J5790">
        <f>IF(E5790="Outlook",COUNTIF($E$2:E5790,"Outlook"),"")</f>
        <v/>
      </c>
      <c r="K5790">
        <f>IF(E5790="Domain",COUNTIF($E$2:E5790,"Domain"),"")</f>
        <v/>
      </c>
    </row>
    <row r="5791">
      <c r="A5791" s="2" t="n"/>
      <c r="B5791">
        <f>LOWER(TRIM(A5791))</f>
        <v/>
      </c>
      <c r="C5791">
        <f>IF(B5791="","",IFERROR(INDEX('Bad Patterns'!$A$2:$A$120,MATCH(1,INDEX(--ISNUMBER(SEARCH('Bad Patterns'!$A$2:$A$120,B5791)),0),0)),""))</f>
        <v/>
      </c>
      <c r="D5791">
        <f>IF(B5791="","",IF(C5791&lt;&gt;"","REMOVE","KEEP"))</f>
        <v/>
      </c>
      <c r="E5791">
        <f>IF(D5791&lt;&gt;"KEEP","",IF(RIGHT(B5791,10)="@gmail.com","Gmail",IF(OR(RIGHT(B5791,12)="@outlook.com",RIGHT(B5791,12)="@hotmail.com",RIGHT(B5791,9)="@live.com"),"Outlook","Domain")))</f>
        <v/>
      </c>
      <c r="F5791">
        <f>IF(B5791="","",IFERROR(RIGHT(B5791,LEN(B5791)-FIND("@",B5791)),""))</f>
        <v/>
      </c>
      <c r="G5791">
        <f>IF(D5791="KEEP",COUNTIF($D$2:D5791,"KEEP"),"")</f>
        <v/>
      </c>
      <c r="H5791">
        <f>IF(D5791="REMOVE",COUNTIF($D$2:D5791,"REMOVE"),"")</f>
        <v/>
      </c>
      <c r="I5791">
        <f>IF(E5791="Gmail",COUNTIF($E$2:E5791,"Gmail"),"")</f>
        <v/>
      </c>
      <c r="J5791">
        <f>IF(E5791="Outlook",COUNTIF($E$2:E5791,"Outlook"),"")</f>
        <v/>
      </c>
      <c r="K5791">
        <f>IF(E5791="Domain",COUNTIF($E$2:E5791,"Domain"),"")</f>
        <v/>
      </c>
    </row>
    <row r="5792">
      <c r="A5792" s="2" t="n"/>
      <c r="B5792">
        <f>LOWER(TRIM(A5792))</f>
        <v/>
      </c>
      <c r="C5792">
        <f>IF(B5792="","",IFERROR(INDEX('Bad Patterns'!$A$2:$A$120,MATCH(1,INDEX(--ISNUMBER(SEARCH('Bad Patterns'!$A$2:$A$120,B5792)),0),0)),""))</f>
        <v/>
      </c>
      <c r="D5792">
        <f>IF(B5792="","",IF(C5792&lt;&gt;"","REMOVE","KEEP"))</f>
        <v/>
      </c>
      <c r="E5792">
        <f>IF(D5792&lt;&gt;"KEEP","",IF(RIGHT(B5792,10)="@gmail.com","Gmail",IF(OR(RIGHT(B5792,12)="@outlook.com",RIGHT(B5792,12)="@hotmail.com",RIGHT(B5792,9)="@live.com"),"Outlook","Domain")))</f>
        <v/>
      </c>
      <c r="F5792">
        <f>IF(B5792="","",IFERROR(RIGHT(B5792,LEN(B5792)-FIND("@",B5792)),""))</f>
        <v/>
      </c>
      <c r="G5792">
        <f>IF(D5792="KEEP",COUNTIF($D$2:D5792,"KEEP"),"")</f>
        <v/>
      </c>
      <c r="H5792">
        <f>IF(D5792="REMOVE",COUNTIF($D$2:D5792,"REMOVE"),"")</f>
        <v/>
      </c>
      <c r="I5792">
        <f>IF(E5792="Gmail",COUNTIF($E$2:E5792,"Gmail"),"")</f>
        <v/>
      </c>
      <c r="J5792">
        <f>IF(E5792="Outlook",COUNTIF($E$2:E5792,"Outlook"),"")</f>
        <v/>
      </c>
      <c r="K5792">
        <f>IF(E5792="Domain",COUNTIF($E$2:E5792,"Domain"),"")</f>
        <v/>
      </c>
    </row>
    <row r="5793">
      <c r="A5793" s="2" t="n"/>
      <c r="B5793">
        <f>LOWER(TRIM(A5793))</f>
        <v/>
      </c>
      <c r="C5793">
        <f>IF(B5793="","",IFERROR(INDEX('Bad Patterns'!$A$2:$A$120,MATCH(1,INDEX(--ISNUMBER(SEARCH('Bad Patterns'!$A$2:$A$120,B5793)),0),0)),""))</f>
        <v/>
      </c>
      <c r="D5793">
        <f>IF(B5793="","",IF(C5793&lt;&gt;"","REMOVE","KEEP"))</f>
        <v/>
      </c>
      <c r="E5793">
        <f>IF(D5793&lt;&gt;"KEEP","",IF(RIGHT(B5793,10)="@gmail.com","Gmail",IF(OR(RIGHT(B5793,12)="@outlook.com",RIGHT(B5793,12)="@hotmail.com",RIGHT(B5793,9)="@live.com"),"Outlook","Domain")))</f>
        <v/>
      </c>
      <c r="F5793">
        <f>IF(B5793="","",IFERROR(RIGHT(B5793,LEN(B5793)-FIND("@",B5793)),""))</f>
        <v/>
      </c>
      <c r="G5793">
        <f>IF(D5793="KEEP",COUNTIF($D$2:D5793,"KEEP"),"")</f>
        <v/>
      </c>
      <c r="H5793">
        <f>IF(D5793="REMOVE",COUNTIF($D$2:D5793,"REMOVE"),"")</f>
        <v/>
      </c>
      <c r="I5793">
        <f>IF(E5793="Gmail",COUNTIF($E$2:E5793,"Gmail"),"")</f>
        <v/>
      </c>
      <c r="J5793">
        <f>IF(E5793="Outlook",COUNTIF($E$2:E5793,"Outlook"),"")</f>
        <v/>
      </c>
      <c r="K5793">
        <f>IF(E5793="Domain",COUNTIF($E$2:E5793,"Domain"),"")</f>
        <v/>
      </c>
    </row>
    <row r="5794">
      <c r="A5794" s="2" t="n"/>
      <c r="B5794">
        <f>LOWER(TRIM(A5794))</f>
        <v/>
      </c>
      <c r="C5794">
        <f>IF(B5794="","",IFERROR(INDEX('Bad Patterns'!$A$2:$A$120,MATCH(1,INDEX(--ISNUMBER(SEARCH('Bad Patterns'!$A$2:$A$120,B5794)),0),0)),""))</f>
        <v/>
      </c>
      <c r="D5794">
        <f>IF(B5794="","",IF(C5794&lt;&gt;"","REMOVE","KEEP"))</f>
        <v/>
      </c>
      <c r="E5794">
        <f>IF(D5794&lt;&gt;"KEEP","",IF(RIGHT(B5794,10)="@gmail.com","Gmail",IF(OR(RIGHT(B5794,12)="@outlook.com",RIGHT(B5794,12)="@hotmail.com",RIGHT(B5794,9)="@live.com"),"Outlook","Domain")))</f>
        <v/>
      </c>
      <c r="F5794">
        <f>IF(B5794="","",IFERROR(RIGHT(B5794,LEN(B5794)-FIND("@",B5794)),""))</f>
        <v/>
      </c>
      <c r="G5794">
        <f>IF(D5794="KEEP",COUNTIF($D$2:D5794,"KEEP"),"")</f>
        <v/>
      </c>
      <c r="H5794">
        <f>IF(D5794="REMOVE",COUNTIF($D$2:D5794,"REMOVE"),"")</f>
        <v/>
      </c>
      <c r="I5794">
        <f>IF(E5794="Gmail",COUNTIF($E$2:E5794,"Gmail"),"")</f>
        <v/>
      </c>
      <c r="J5794">
        <f>IF(E5794="Outlook",COUNTIF($E$2:E5794,"Outlook"),"")</f>
        <v/>
      </c>
      <c r="K5794">
        <f>IF(E5794="Domain",COUNTIF($E$2:E5794,"Domain"),"")</f>
        <v/>
      </c>
    </row>
    <row r="5795">
      <c r="A5795" s="2" t="n"/>
      <c r="B5795">
        <f>LOWER(TRIM(A5795))</f>
        <v/>
      </c>
      <c r="C5795">
        <f>IF(B5795="","",IFERROR(INDEX('Bad Patterns'!$A$2:$A$120,MATCH(1,INDEX(--ISNUMBER(SEARCH('Bad Patterns'!$A$2:$A$120,B5795)),0),0)),""))</f>
        <v/>
      </c>
      <c r="D5795">
        <f>IF(B5795="","",IF(C5795&lt;&gt;"","REMOVE","KEEP"))</f>
        <v/>
      </c>
      <c r="E5795">
        <f>IF(D5795&lt;&gt;"KEEP","",IF(RIGHT(B5795,10)="@gmail.com","Gmail",IF(OR(RIGHT(B5795,12)="@outlook.com",RIGHT(B5795,12)="@hotmail.com",RIGHT(B5795,9)="@live.com"),"Outlook","Domain")))</f>
        <v/>
      </c>
      <c r="F5795">
        <f>IF(B5795="","",IFERROR(RIGHT(B5795,LEN(B5795)-FIND("@",B5795)),""))</f>
        <v/>
      </c>
      <c r="G5795">
        <f>IF(D5795="KEEP",COUNTIF($D$2:D5795,"KEEP"),"")</f>
        <v/>
      </c>
      <c r="H5795">
        <f>IF(D5795="REMOVE",COUNTIF($D$2:D5795,"REMOVE"),"")</f>
        <v/>
      </c>
      <c r="I5795">
        <f>IF(E5795="Gmail",COUNTIF($E$2:E5795,"Gmail"),"")</f>
        <v/>
      </c>
      <c r="J5795">
        <f>IF(E5795="Outlook",COUNTIF($E$2:E5795,"Outlook"),"")</f>
        <v/>
      </c>
      <c r="K5795">
        <f>IF(E5795="Domain",COUNTIF($E$2:E5795,"Domain"),"")</f>
        <v/>
      </c>
    </row>
    <row r="5796">
      <c r="A5796" s="2" t="n"/>
      <c r="B5796">
        <f>LOWER(TRIM(A5796))</f>
        <v/>
      </c>
      <c r="C5796">
        <f>IF(B5796="","",IFERROR(INDEX('Bad Patterns'!$A$2:$A$120,MATCH(1,INDEX(--ISNUMBER(SEARCH('Bad Patterns'!$A$2:$A$120,B5796)),0),0)),""))</f>
        <v/>
      </c>
      <c r="D5796">
        <f>IF(B5796="","",IF(C5796&lt;&gt;"","REMOVE","KEEP"))</f>
        <v/>
      </c>
      <c r="E5796">
        <f>IF(D5796&lt;&gt;"KEEP","",IF(RIGHT(B5796,10)="@gmail.com","Gmail",IF(OR(RIGHT(B5796,12)="@outlook.com",RIGHT(B5796,12)="@hotmail.com",RIGHT(B5796,9)="@live.com"),"Outlook","Domain")))</f>
        <v/>
      </c>
      <c r="F5796">
        <f>IF(B5796="","",IFERROR(RIGHT(B5796,LEN(B5796)-FIND("@",B5796)),""))</f>
        <v/>
      </c>
      <c r="G5796">
        <f>IF(D5796="KEEP",COUNTIF($D$2:D5796,"KEEP"),"")</f>
        <v/>
      </c>
      <c r="H5796">
        <f>IF(D5796="REMOVE",COUNTIF($D$2:D5796,"REMOVE"),"")</f>
        <v/>
      </c>
      <c r="I5796">
        <f>IF(E5796="Gmail",COUNTIF($E$2:E5796,"Gmail"),"")</f>
        <v/>
      </c>
      <c r="J5796">
        <f>IF(E5796="Outlook",COUNTIF($E$2:E5796,"Outlook"),"")</f>
        <v/>
      </c>
      <c r="K5796">
        <f>IF(E5796="Domain",COUNTIF($E$2:E5796,"Domain"),"")</f>
        <v/>
      </c>
    </row>
    <row r="5797">
      <c r="A5797" s="2" t="n"/>
      <c r="B5797">
        <f>LOWER(TRIM(A5797))</f>
        <v/>
      </c>
      <c r="C5797">
        <f>IF(B5797="","",IFERROR(INDEX('Bad Patterns'!$A$2:$A$120,MATCH(1,INDEX(--ISNUMBER(SEARCH('Bad Patterns'!$A$2:$A$120,B5797)),0),0)),""))</f>
        <v/>
      </c>
      <c r="D5797">
        <f>IF(B5797="","",IF(C5797&lt;&gt;"","REMOVE","KEEP"))</f>
        <v/>
      </c>
      <c r="E5797">
        <f>IF(D5797&lt;&gt;"KEEP","",IF(RIGHT(B5797,10)="@gmail.com","Gmail",IF(OR(RIGHT(B5797,12)="@outlook.com",RIGHT(B5797,12)="@hotmail.com",RIGHT(B5797,9)="@live.com"),"Outlook","Domain")))</f>
        <v/>
      </c>
      <c r="F5797">
        <f>IF(B5797="","",IFERROR(RIGHT(B5797,LEN(B5797)-FIND("@",B5797)),""))</f>
        <v/>
      </c>
      <c r="G5797">
        <f>IF(D5797="KEEP",COUNTIF($D$2:D5797,"KEEP"),"")</f>
        <v/>
      </c>
      <c r="H5797">
        <f>IF(D5797="REMOVE",COUNTIF($D$2:D5797,"REMOVE"),"")</f>
        <v/>
      </c>
      <c r="I5797">
        <f>IF(E5797="Gmail",COUNTIF($E$2:E5797,"Gmail"),"")</f>
        <v/>
      </c>
      <c r="J5797">
        <f>IF(E5797="Outlook",COUNTIF($E$2:E5797,"Outlook"),"")</f>
        <v/>
      </c>
      <c r="K5797">
        <f>IF(E5797="Domain",COUNTIF($E$2:E5797,"Domain"),"")</f>
        <v/>
      </c>
    </row>
    <row r="5798">
      <c r="A5798" s="2" t="n"/>
      <c r="B5798">
        <f>LOWER(TRIM(A5798))</f>
        <v/>
      </c>
      <c r="C5798">
        <f>IF(B5798="","",IFERROR(INDEX('Bad Patterns'!$A$2:$A$120,MATCH(1,INDEX(--ISNUMBER(SEARCH('Bad Patterns'!$A$2:$A$120,B5798)),0),0)),""))</f>
        <v/>
      </c>
      <c r="D5798">
        <f>IF(B5798="","",IF(C5798&lt;&gt;"","REMOVE","KEEP"))</f>
        <v/>
      </c>
      <c r="E5798">
        <f>IF(D5798&lt;&gt;"KEEP","",IF(RIGHT(B5798,10)="@gmail.com","Gmail",IF(OR(RIGHT(B5798,12)="@outlook.com",RIGHT(B5798,12)="@hotmail.com",RIGHT(B5798,9)="@live.com"),"Outlook","Domain")))</f>
        <v/>
      </c>
      <c r="F5798">
        <f>IF(B5798="","",IFERROR(RIGHT(B5798,LEN(B5798)-FIND("@",B5798)),""))</f>
        <v/>
      </c>
      <c r="G5798">
        <f>IF(D5798="KEEP",COUNTIF($D$2:D5798,"KEEP"),"")</f>
        <v/>
      </c>
      <c r="H5798">
        <f>IF(D5798="REMOVE",COUNTIF($D$2:D5798,"REMOVE"),"")</f>
        <v/>
      </c>
      <c r="I5798">
        <f>IF(E5798="Gmail",COUNTIF($E$2:E5798,"Gmail"),"")</f>
        <v/>
      </c>
      <c r="J5798">
        <f>IF(E5798="Outlook",COUNTIF($E$2:E5798,"Outlook"),"")</f>
        <v/>
      </c>
      <c r="K5798">
        <f>IF(E5798="Domain",COUNTIF($E$2:E5798,"Domain"),"")</f>
        <v/>
      </c>
    </row>
    <row r="5799">
      <c r="A5799" s="2" t="n"/>
      <c r="B5799">
        <f>LOWER(TRIM(A5799))</f>
        <v/>
      </c>
      <c r="C5799">
        <f>IF(B5799="","",IFERROR(INDEX('Bad Patterns'!$A$2:$A$120,MATCH(1,INDEX(--ISNUMBER(SEARCH('Bad Patterns'!$A$2:$A$120,B5799)),0),0)),""))</f>
        <v/>
      </c>
      <c r="D5799">
        <f>IF(B5799="","",IF(C5799&lt;&gt;"","REMOVE","KEEP"))</f>
        <v/>
      </c>
      <c r="E5799">
        <f>IF(D5799&lt;&gt;"KEEP","",IF(RIGHT(B5799,10)="@gmail.com","Gmail",IF(OR(RIGHT(B5799,12)="@outlook.com",RIGHT(B5799,12)="@hotmail.com",RIGHT(B5799,9)="@live.com"),"Outlook","Domain")))</f>
        <v/>
      </c>
      <c r="F5799">
        <f>IF(B5799="","",IFERROR(RIGHT(B5799,LEN(B5799)-FIND("@",B5799)),""))</f>
        <v/>
      </c>
      <c r="G5799">
        <f>IF(D5799="KEEP",COUNTIF($D$2:D5799,"KEEP"),"")</f>
        <v/>
      </c>
      <c r="H5799">
        <f>IF(D5799="REMOVE",COUNTIF($D$2:D5799,"REMOVE"),"")</f>
        <v/>
      </c>
      <c r="I5799">
        <f>IF(E5799="Gmail",COUNTIF($E$2:E5799,"Gmail"),"")</f>
        <v/>
      </c>
      <c r="J5799">
        <f>IF(E5799="Outlook",COUNTIF($E$2:E5799,"Outlook"),"")</f>
        <v/>
      </c>
      <c r="K5799">
        <f>IF(E5799="Domain",COUNTIF($E$2:E5799,"Domain"),"")</f>
        <v/>
      </c>
    </row>
    <row r="5800">
      <c r="A5800" s="2" t="n"/>
      <c r="B5800">
        <f>LOWER(TRIM(A5800))</f>
        <v/>
      </c>
      <c r="C5800">
        <f>IF(B5800="","",IFERROR(INDEX('Bad Patterns'!$A$2:$A$120,MATCH(1,INDEX(--ISNUMBER(SEARCH('Bad Patterns'!$A$2:$A$120,B5800)),0),0)),""))</f>
        <v/>
      </c>
      <c r="D5800">
        <f>IF(B5800="","",IF(C5800&lt;&gt;"","REMOVE","KEEP"))</f>
        <v/>
      </c>
      <c r="E5800">
        <f>IF(D5800&lt;&gt;"KEEP","",IF(RIGHT(B5800,10)="@gmail.com","Gmail",IF(OR(RIGHT(B5800,12)="@outlook.com",RIGHT(B5800,12)="@hotmail.com",RIGHT(B5800,9)="@live.com"),"Outlook","Domain")))</f>
        <v/>
      </c>
      <c r="F5800">
        <f>IF(B5800="","",IFERROR(RIGHT(B5800,LEN(B5800)-FIND("@",B5800)),""))</f>
        <v/>
      </c>
      <c r="G5800">
        <f>IF(D5800="KEEP",COUNTIF($D$2:D5800,"KEEP"),"")</f>
        <v/>
      </c>
      <c r="H5800">
        <f>IF(D5800="REMOVE",COUNTIF($D$2:D5800,"REMOVE"),"")</f>
        <v/>
      </c>
      <c r="I5800">
        <f>IF(E5800="Gmail",COUNTIF($E$2:E5800,"Gmail"),"")</f>
        <v/>
      </c>
      <c r="J5800">
        <f>IF(E5800="Outlook",COUNTIF($E$2:E5800,"Outlook"),"")</f>
        <v/>
      </c>
      <c r="K5800">
        <f>IF(E5800="Domain",COUNTIF($E$2:E5800,"Domain"),"")</f>
        <v/>
      </c>
    </row>
    <row r="5801">
      <c r="A5801" s="2" t="n"/>
      <c r="B5801">
        <f>LOWER(TRIM(A5801))</f>
        <v/>
      </c>
      <c r="C5801">
        <f>IF(B5801="","",IFERROR(INDEX('Bad Patterns'!$A$2:$A$120,MATCH(1,INDEX(--ISNUMBER(SEARCH('Bad Patterns'!$A$2:$A$120,B5801)),0),0)),""))</f>
        <v/>
      </c>
      <c r="D5801">
        <f>IF(B5801="","",IF(C5801&lt;&gt;"","REMOVE","KEEP"))</f>
        <v/>
      </c>
      <c r="E5801">
        <f>IF(D5801&lt;&gt;"KEEP","",IF(RIGHT(B5801,10)="@gmail.com","Gmail",IF(OR(RIGHT(B5801,12)="@outlook.com",RIGHT(B5801,12)="@hotmail.com",RIGHT(B5801,9)="@live.com"),"Outlook","Domain")))</f>
        <v/>
      </c>
      <c r="F5801">
        <f>IF(B5801="","",IFERROR(RIGHT(B5801,LEN(B5801)-FIND("@",B5801)),""))</f>
        <v/>
      </c>
      <c r="G5801">
        <f>IF(D5801="KEEP",COUNTIF($D$2:D5801,"KEEP"),"")</f>
        <v/>
      </c>
      <c r="H5801">
        <f>IF(D5801="REMOVE",COUNTIF($D$2:D5801,"REMOVE"),"")</f>
        <v/>
      </c>
      <c r="I5801">
        <f>IF(E5801="Gmail",COUNTIF($E$2:E5801,"Gmail"),"")</f>
        <v/>
      </c>
      <c r="J5801">
        <f>IF(E5801="Outlook",COUNTIF($E$2:E5801,"Outlook"),"")</f>
        <v/>
      </c>
      <c r="K5801">
        <f>IF(E5801="Domain",COUNTIF($E$2:E5801,"Domain"),"")</f>
        <v/>
      </c>
    </row>
    <row r="5802">
      <c r="A5802" s="2" t="n"/>
      <c r="B5802">
        <f>LOWER(TRIM(A5802))</f>
        <v/>
      </c>
      <c r="C5802">
        <f>IF(B5802="","",IFERROR(INDEX('Bad Patterns'!$A$2:$A$120,MATCH(1,INDEX(--ISNUMBER(SEARCH('Bad Patterns'!$A$2:$A$120,B5802)),0),0)),""))</f>
        <v/>
      </c>
      <c r="D5802">
        <f>IF(B5802="","",IF(C5802&lt;&gt;"","REMOVE","KEEP"))</f>
        <v/>
      </c>
      <c r="E5802">
        <f>IF(D5802&lt;&gt;"KEEP","",IF(RIGHT(B5802,10)="@gmail.com","Gmail",IF(OR(RIGHT(B5802,12)="@outlook.com",RIGHT(B5802,12)="@hotmail.com",RIGHT(B5802,9)="@live.com"),"Outlook","Domain")))</f>
        <v/>
      </c>
      <c r="F5802">
        <f>IF(B5802="","",IFERROR(RIGHT(B5802,LEN(B5802)-FIND("@",B5802)),""))</f>
        <v/>
      </c>
      <c r="G5802">
        <f>IF(D5802="KEEP",COUNTIF($D$2:D5802,"KEEP"),"")</f>
        <v/>
      </c>
      <c r="H5802">
        <f>IF(D5802="REMOVE",COUNTIF($D$2:D5802,"REMOVE"),"")</f>
        <v/>
      </c>
      <c r="I5802">
        <f>IF(E5802="Gmail",COUNTIF($E$2:E5802,"Gmail"),"")</f>
        <v/>
      </c>
      <c r="J5802">
        <f>IF(E5802="Outlook",COUNTIF($E$2:E5802,"Outlook"),"")</f>
        <v/>
      </c>
      <c r="K5802">
        <f>IF(E5802="Domain",COUNTIF($E$2:E5802,"Domain"),"")</f>
        <v/>
      </c>
    </row>
    <row r="5803">
      <c r="A5803" s="2" t="n"/>
      <c r="B5803">
        <f>LOWER(TRIM(A5803))</f>
        <v/>
      </c>
      <c r="C5803">
        <f>IF(B5803="","",IFERROR(INDEX('Bad Patterns'!$A$2:$A$120,MATCH(1,INDEX(--ISNUMBER(SEARCH('Bad Patterns'!$A$2:$A$120,B5803)),0),0)),""))</f>
        <v/>
      </c>
      <c r="D5803">
        <f>IF(B5803="","",IF(C5803&lt;&gt;"","REMOVE","KEEP"))</f>
        <v/>
      </c>
      <c r="E5803">
        <f>IF(D5803&lt;&gt;"KEEP","",IF(RIGHT(B5803,10)="@gmail.com","Gmail",IF(OR(RIGHT(B5803,12)="@outlook.com",RIGHT(B5803,12)="@hotmail.com",RIGHT(B5803,9)="@live.com"),"Outlook","Domain")))</f>
        <v/>
      </c>
      <c r="F5803">
        <f>IF(B5803="","",IFERROR(RIGHT(B5803,LEN(B5803)-FIND("@",B5803)),""))</f>
        <v/>
      </c>
      <c r="G5803">
        <f>IF(D5803="KEEP",COUNTIF($D$2:D5803,"KEEP"),"")</f>
        <v/>
      </c>
      <c r="H5803">
        <f>IF(D5803="REMOVE",COUNTIF($D$2:D5803,"REMOVE"),"")</f>
        <v/>
      </c>
      <c r="I5803">
        <f>IF(E5803="Gmail",COUNTIF($E$2:E5803,"Gmail"),"")</f>
        <v/>
      </c>
      <c r="J5803">
        <f>IF(E5803="Outlook",COUNTIF($E$2:E5803,"Outlook"),"")</f>
        <v/>
      </c>
      <c r="K5803">
        <f>IF(E5803="Domain",COUNTIF($E$2:E5803,"Domain"),"")</f>
        <v/>
      </c>
    </row>
    <row r="5804">
      <c r="A5804" s="2" t="n"/>
      <c r="B5804">
        <f>LOWER(TRIM(A5804))</f>
        <v/>
      </c>
      <c r="C5804">
        <f>IF(B5804="","",IFERROR(INDEX('Bad Patterns'!$A$2:$A$120,MATCH(1,INDEX(--ISNUMBER(SEARCH('Bad Patterns'!$A$2:$A$120,B5804)),0),0)),""))</f>
        <v/>
      </c>
      <c r="D5804">
        <f>IF(B5804="","",IF(C5804&lt;&gt;"","REMOVE","KEEP"))</f>
        <v/>
      </c>
      <c r="E5804">
        <f>IF(D5804&lt;&gt;"KEEP","",IF(RIGHT(B5804,10)="@gmail.com","Gmail",IF(OR(RIGHT(B5804,12)="@outlook.com",RIGHT(B5804,12)="@hotmail.com",RIGHT(B5804,9)="@live.com"),"Outlook","Domain")))</f>
        <v/>
      </c>
      <c r="F5804">
        <f>IF(B5804="","",IFERROR(RIGHT(B5804,LEN(B5804)-FIND("@",B5804)),""))</f>
        <v/>
      </c>
      <c r="G5804">
        <f>IF(D5804="KEEP",COUNTIF($D$2:D5804,"KEEP"),"")</f>
        <v/>
      </c>
      <c r="H5804">
        <f>IF(D5804="REMOVE",COUNTIF($D$2:D5804,"REMOVE"),"")</f>
        <v/>
      </c>
      <c r="I5804">
        <f>IF(E5804="Gmail",COUNTIF($E$2:E5804,"Gmail"),"")</f>
        <v/>
      </c>
      <c r="J5804">
        <f>IF(E5804="Outlook",COUNTIF($E$2:E5804,"Outlook"),"")</f>
        <v/>
      </c>
      <c r="K5804">
        <f>IF(E5804="Domain",COUNTIF($E$2:E5804,"Domain"),"")</f>
        <v/>
      </c>
    </row>
    <row r="5805">
      <c r="A5805" s="2" t="n"/>
      <c r="B5805">
        <f>LOWER(TRIM(A5805))</f>
        <v/>
      </c>
      <c r="C5805">
        <f>IF(B5805="","",IFERROR(INDEX('Bad Patterns'!$A$2:$A$120,MATCH(1,INDEX(--ISNUMBER(SEARCH('Bad Patterns'!$A$2:$A$120,B5805)),0),0)),""))</f>
        <v/>
      </c>
      <c r="D5805">
        <f>IF(B5805="","",IF(C5805&lt;&gt;"","REMOVE","KEEP"))</f>
        <v/>
      </c>
      <c r="E5805">
        <f>IF(D5805&lt;&gt;"KEEP","",IF(RIGHT(B5805,10)="@gmail.com","Gmail",IF(OR(RIGHT(B5805,12)="@outlook.com",RIGHT(B5805,12)="@hotmail.com",RIGHT(B5805,9)="@live.com"),"Outlook","Domain")))</f>
        <v/>
      </c>
      <c r="F5805">
        <f>IF(B5805="","",IFERROR(RIGHT(B5805,LEN(B5805)-FIND("@",B5805)),""))</f>
        <v/>
      </c>
      <c r="G5805">
        <f>IF(D5805="KEEP",COUNTIF($D$2:D5805,"KEEP"),"")</f>
        <v/>
      </c>
      <c r="H5805">
        <f>IF(D5805="REMOVE",COUNTIF($D$2:D5805,"REMOVE"),"")</f>
        <v/>
      </c>
      <c r="I5805">
        <f>IF(E5805="Gmail",COUNTIF($E$2:E5805,"Gmail"),"")</f>
        <v/>
      </c>
      <c r="J5805">
        <f>IF(E5805="Outlook",COUNTIF($E$2:E5805,"Outlook"),"")</f>
        <v/>
      </c>
      <c r="K5805">
        <f>IF(E5805="Domain",COUNTIF($E$2:E5805,"Domain"),"")</f>
        <v/>
      </c>
    </row>
    <row r="5806">
      <c r="A5806" s="2" t="n"/>
      <c r="B5806">
        <f>LOWER(TRIM(A5806))</f>
        <v/>
      </c>
      <c r="C5806">
        <f>IF(B5806="","",IFERROR(INDEX('Bad Patterns'!$A$2:$A$120,MATCH(1,INDEX(--ISNUMBER(SEARCH('Bad Patterns'!$A$2:$A$120,B5806)),0),0)),""))</f>
        <v/>
      </c>
      <c r="D5806">
        <f>IF(B5806="","",IF(C5806&lt;&gt;"","REMOVE","KEEP"))</f>
        <v/>
      </c>
      <c r="E5806">
        <f>IF(D5806&lt;&gt;"KEEP","",IF(RIGHT(B5806,10)="@gmail.com","Gmail",IF(OR(RIGHT(B5806,12)="@outlook.com",RIGHT(B5806,12)="@hotmail.com",RIGHT(B5806,9)="@live.com"),"Outlook","Domain")))</f>
        <v/>
      </c>
      <c r="F5806">
        <f>IF(B5806="","",IFERROR(RIGHT(B5806,LEN(B5806)-FIND("@",B5806)),""))</f>
        <v/>
      </c>
      <c r="G5806">
        <f>IF(D5806="KEEP",COUNTIF($D$2:D5806,"KEEP"),"")</f>
        <v/>
      </c>
      <c r="H5806">
        <f>IF(D5806="REMOVE",COUNTIF($D$2:D5806,"REMOVE"),"")</f>
        <v/>
      </c>
      <c r="I5806">
        <f>IF(E5806="Gmail",COUNTIF($E$2:E5806,"Gmail"),"")</f>
        <v/>
      </c>
      <c r="J5806">
        <f>IF(E5806="Outlook",COUNTIF($E$2:E5806,"Outlook"),"")</f>
        <v/>
      </c>
      <c r="K5806">
        <f>IF(E5806="Domain",COUNTIF($E$2:E5806,"Domain"),"")</f>
        <v/>
      </c>
    </row>
    <row r="5807">
      <c r="A5807" s="2" t="n"/>
      <c r="B5807">
        <f>LOWER(TRIM(A5807))</f>
        <v/>
      </c>
      <c r="C5807">
        <f>IF(B5807="","",IFERROR(INDEX('Bad Patterns'!$A$2:$A$120,MATCH(1,INDEX(--ISNUMBER(SEARCH('Bad Patterns'!$A$2:$A$120,B5807)),0),0)),""))</f>
        <v/>
      </c>
      <c r="D5807">
        <f>IF(B5807="","",IF(C5807&lt;&gt;"","REMOVE","KEEP"))</f>
        <v/>
      </c>
      <c r="E5807">
        <f>IF(D5807&lt;&gt;"KEEP","",IF(RIGHT(B5807,10)="@gmail.com","Gmail",IF(OR(RIGHT(B5807,12)="@outlook.com",RIGHT(B5807,12)="@hotmail.com",RIGHT(B5807,9)="@live.com"),"Outlook","Domain")))</f>
        <v/>
      </c>
      <c r="F5807">
        <f>IF(B5807="","",IFERROR(RIGHT(B5807,LEN(B5807)-FIND("@",B5807)),""))</f>
        <v/>
      </c>
      <c r="G5807">
        <f>IF(D5807="KEEP",COUNTIF($D$2:D5807,"KEEP"),"")</f>
        <v/>
      </c>
      <c r="H5807">
        <f>IF(D5807="REMOVE",COUNTIF($D$2:D5807,"REMOVE"),"")</f>
        <v/>
      </c>
      <c r="I5807">
        <f>IF(E5807="Gmail",COUNTIF($E$2:E5807,"Gmail"),"")</f>
        <v/>
      </c>
      <c r="J5807">
        <f>IF(E5807="Outlook",COUNTIF($E$2:E5807,"Outlook"),"")</f>
        <v/>
      </c>
      <c r="K5807">
        <f>IF(E5807="Domain",COUNTIF($E$2:E5807,"Domain"),"")</f>
        <v/>
      </c>
    </row>
    <row r="5808">
      <c r="A5808" s="2" t="n"/>
      <c r="B5808">
        <f>LOWER(TRIM(A5808))</f>
        <v/>
      </c>
      <c r="C5808">
        <f>IF(B5808="","",IFERROR(INDEX('Bad Patterns'!$A$2:$A$120,MATCH(1,INDEX(--ISNUMBER(SEARCH('Bad Patterns'!$A$2:$A$120,B5808)),0),0)),""))</f>
        <v/>
      </c>
      <c r="D5808">
        <f>IF(B5808="","",IF(C5808&lt;&gt;"","REMOVE","KEEP"))</f>
        <v/>
      </c>
      <c r="E5808">
        <f>IF(D5808&lt;&gt;"KEEP","",IF(RIGHT(B5808,10)="@gmail.com","Gmail",IF(OR(RIGHT(B5808,12)="@outlook.com",RIGHT(B5808,12)="@hotmail.com",RIGHT(B5808,9)="@live.com"),"Outlook","Domain")))</f>
        <v/>
      </c>
      <c r="F5808">
        <f>IF(B5808="","",IFERROR(RIGHT(B5808,LEN(B5808)-FIND("@",B5808)),""))</f>
        <v/>
      </c>
      <c r="G5808">
        <f>IF(D5808="KEEP",COUNTIF($D$2:D5808,"KEEP"),"")</f>
        <v/>
      </c>
      <c r="H5808">
        <f>IF(D5808="REMOVE",COUNTIF($D$2:D5808,"REMOVE"),"")</f>
        <v/>
      </c>
      <c r="I5808">
        <f>IF(E5808="Gmail",COUNTIF($E$2:E5808,"Gmail"),"")</f>
        <v/>
      </c>
      <c r="J5808">
        <f>IF(E5808="Outlook",COUNTIF($E$2:E5808,"Outlook"),"")</f>
        <v/>
      </c>
      <c r="K5808">
        <f>IF(E5808="Domain",COUNTIF($E$2:E5808,"Domain"),"")</f>
        <v/>
      </c>
    </row>
    <row r="5809">
      <c r="A5809" s="2" t="n"/>
      <c r="B5809">
        <f>LOWER(TRIM(A5809))</f>
        <v/>
      </c>
      <c r="C5809">
        <f>IF(B5809="","",IFERROR(INDEX('Bad Patterns'!$A$2:$A$120,MATCH(1,INDEX(--ISNUMBER(SEARCH('Bad Patterns'!$A$2:$A$120,B5809)),0),0)),""))</f>
        <v/>
      </c>
      <c r="D5809">
        <f>IF(B5809="","",IF(C5809&lt;&gt;"","REMOVE","KEEP"))</f>
        <v/>
      </c>
      <c r="E5809">
        <f>IF(D5809&lt;&gt;"KEEP","",IF(RIGHT(B5809,10)="@gmail.com","Gmail",IF(OR(RIGHT(B5809,12)="@outlook.com",RIGHT(B5809,12)="@hotmail.com",RIGHT(B5809,9)="@live.com"),"Outlook","Domain")))</f>
        <v/>
      </c>
      <c r="F5809">
        <f>IF(B5809="","",IFERROR(RIGHT(B5809,LEN(B5809)-FIND("@",B5809)),""))</f>
        <v/>
      </c>
      <c r="G5809">
        <f>IF(D5809="KEEP",COUNTIF($D$2:D5809,"KEEP"),"")</f>
        <v/>
      </c>
      <c r="H5809">
        <f>IF(D5809="REMOVE",COUNTIF($D$2:D5809,"REMOVE"),"")</f>
        <v/>
      </c>
      <c r="I5809">
        <f>IF(E5809="Gmail",COUNTIF($E$2:E5809,"Gmail"),"")</f>
        <v/>
      </c>
      <c r="J5809">
        <f>IF(E5809="Outlook",COUNTIF($E$2:E5809,"Outlook"),"")</f>
        <v/>
      </c>
      <c r="K5809">
        <f>IF(E5809="Domain",COUNTIF($E$2:E5809,"Domain"),"")</f>
        <v/>
      </c>
    </row>
    <row r="5810">
      <c r="A5810" s="2" t="n"/>
      <c r="B5810">
        <f>LOWER(TRIM(A5810))</f>
        <v/>
      </c>
      <c r="C5810">
        <f>IF(B5810="","",IFERROR(INDEX('Bad Patterns'!$A$2:$A$120,MATCH(1,INDEX(--ISNUMBER(SEARCH('Bad Patterns'!$A$2:$A$120,B5810)),0),0)),""))</f>
        <v/>
      </c>
      <c r="D5810">
        <f>IF(B5810="","",IF(C5810&lt;&gt;"","REMOVE","KEEP"))</f>
        <v/>
      </c>
      <c r="E5810">
        <f>IF(D5810&lt;&gt;"KEEP","",IF(RIGHT(B5810,10)="@gmail.com","Gmail",IF(OR(RIGHT(B5810,12)="@outlook.com",RIGHT(B5810,12)="@hotmail.com",RIGHT(B5810,9)="@live.com"),"Outlook","Domain")))</f>
        <v/>
      </c>
      <c r="F5810">
        <f>IF(B5810="","",IFERROR(RIGHT(B5810,LEN(B5810)-FIND("@",B5810)),""))</f>
        <v/>
      </c>
      <c r="G5810">
        <f>IF(D5810="KEEP",COUNTIF($D$2:D5810,"KEEP"),"")</f>
        <v/>
      </c>
      <c r="H5810">
        <f>IF(D5810="REMOVE",COUNTIF($D$2:D5810,"REMOVE"),"")</f>
        <v/>
      </c>
      <c r="I5810">
        <f>IF(E5810="Gmail",COUNTIF($E$2:E5810,"Gmail"),"")</f>
        <v/>
      </c>
      <c r="J5810">
        <f>IF(E5810="Outlook",COUNTIF($E$2:E5810,"Outlook"),"")</f>
        <v/>
      </c>
      <c r="K5810">
        <f>IF(E5810="Domain",COUNTIF($E$2:E5810,"Domain"),"")</f>
        <v/>
      </c>
    </row>
    <row r="5811">
      <c r="A5811" s="2" t="n"/>
      <c r="B5811">
        <f>LOWER(TRIM(A5811))</f>
        <v/>
      </c>
      <c r="C5811">
        <f>IF(B5811="","",IFERROR(INDEX('Bad Patterns'!$A$2:$A$120,MATCH(1,INDEX(--ISNUMBER(SEARCH('Bad Patterns'!$A$2:$A$120,B5811)),0),0)),""))</f>
        <v/>
      </c>
      <c r="D5811">
        <f>IF(B5811="","",IF(C5811&lt;&gt;"","REMOVE","KEEP"))</f>
        <v/>
      </c>
      <c r="E5811">
        <f>IF(D5811&lt;&gt;"KEEP","",IF(RIGHT(B5811,10)="@gmail.com","Gmail",IF(OR(RIGHT(B5811,12)="@outlook.com",RIGHT(B5811,12)="@hotmail.com",RIGHT(B5811,9)="@live.com"),"Outlook","Domain")))</f>
        <v/>
      </c>
      <c r="F5811">
        <f>IF(B5811="","",IFERROR(RIGHT(B5811,LEN(B5811)-FIND("@",B5811)),""))</f>
        <v/>
      </c>
      <c r="G5811">
        <f>IF(D5811="KEEP",COUNTIF($D$2:D5811,"KEEP"),"")</f>
        <v/>
      </c>
      <c r="H5811">
        <f>IF(D5811="REMOVE",COUNTIF($D$2:D5811,"REMOVE"),"")</f>
        <v/>
      </c>
      <c r="I5811">
        <f>IF(E5811="Gmail",COUNTIF($E$2:E5811,"Gmail"),"")</f>
        <v/>
      </c>
      <c r="J5811">
        <f>IF(E5811="Outlook",COUNTIF($E$2:E5811,"Outlook"),"")</f>
        <v/>
      </c>
      <c r="K5811">
        <f>IF(E5811="Domain",COUNTIF($E$2:E5811,"Domain"),"")</f>
        <v/>
      </c>
    </row>
    <row r="5812">
      <c r="A5812" s="2" t="n"/>
      <c r="B5812">
        <f>LOWER(TRIM(A5812))</f>
        <v/>
      </c>
      <c r="C5812">
        <f>IF(B5812="","",IFERROR(INDEX('Bad Patterns'!$A$2:$A$120,MATCH(1,INDEX(--ISNUMBER(SEARCH('Bad Patterns'!$A$2:$A$120,B5812)),0),0)),""))</f>
        <v/>
      </c>
      <c r="D5812">
        <f>IF(B5812="","",IF(C5812&lt;&gt;"","REMOVE","KEEP"))</f>
        <v/>
      </c>
      <c r="E5812">
        <f>IF(D5812&lt;&gt;"KEEP","",IF(RIGHT(B5812,10)="@gmail.com","Gmail",IF(OR(RIGHT(B5812,12)="@outlook.com",RIGHT(B5812,12)="@hotmail.com",RIGHT(B5812,9)="@live.com"),"Outlook","Domain")))</f>
        <v/>
      </c>
      <c r="F5812">
        <f>IF(B5812="","",IFERROR(RIGHT(B5812,LEN(B5812)-FIND("@",B5812)),""))</f>
        <v/>
      </c>
      <c r="G5812">
        <f>IF(D5812="KEEP",COUNTIF($D$2:D5812,"KEEP"),"")</f>
        <v/>
      </c>
      <c r="H5812">
        <f>IF(D5812="REMOVE",COUNTIF($D$2:D5812,"REMOVE"),"")</f>
        <v/>
      </c>
      <c r="I5812">
        <f>IF(E5812="Gmail",COUNTIF($E$2:E5812,"Gmail"),"")</f>
        <v/>
      </c>
      <c r="J5812">
        <f>IF(E5812="Outlook",COUNTIF($E$2:E5812,"Outlook"),"")</f>
        <v/>
      </c>
      <c r="K5812">
        <f>IF(E5812="Domain",COUNTIF($E$2:E5812,"Domain"),"")</f>
        <v/>
      </c>
    </row>
    <row r="5813">
      <c r="A5813" s="2" t="n"/>
      <c r="B5813">
        <f>LOWER(TRIM(A5813))</f>
        <v/>
      </c>
      <c r="C5813">
        <f>IF(B5813="","",IFERROR(INDEX('Bad Patterns'!$A$2:$A$120,MATCH(1,INDEX(--ISNUMBER(SEARCH('Bad Patterns'!$A$2:$A$120,B5813)),0),0)),""))</f>
        <v/>
      </c>
      <c r="D5813">
        <f>IF(B5813="","",IF(C5813&lt;&gt;"","REMOVE","KEEP"))</f>
        <v/>
      </c>
      <c r="E5813">
        <f>IF(D5813&lt;&gt;"KEEP","",IF(RIGHT(B5813,10)="@gmail.com","Gmail",IF(OR(RIGHT(B5813,12)="@outlook.com",RIGHT(B5813,12)="@hotmail.com",RIGHT(B5813,9)="@live.com"),"Outlook","Domain")))</f>
        <v/>
      </c>
      <c r="F5813">
        <f>IF(B5813="","",IFERROR(RIGHT(B5813,LEN(B5813)-FIND("@",B5813)),""))</f>
        <v/>
      </c>
      <c r="G5813">
        <f>IF(D5813="KEEP",COUNTIF($D$2:D5813,"KEEP"),"")</f>
        <v/>
      </c>
      <c r="H5813">
        <f>IF(D5813="REMOVE",COUNTIF($D$2:D5813,"REMOVE"),"")</f>
        <v/>
      </c>
      <c r="I5813">
        <f>IF(E5813="Gmail",COUNTIF($E$2:E5813,"Gmail"),"")</f>
        <v/>
      </c>
      <c r="J5813">
        <f>IF(E5813="Outlook",COUNTIF($E$2:E5813,"Outlook"),"")</f>
        <v/>
      </c>
      <c r="K5813">
        <f>IF(E5813="Domain",COUNTIF($E$2:E5813,"Domain"),"")</f>
        <v/>
      </c>
    </row>
    <row r="5814">
      <c r="A5814" s="2" t="n"/>
      <c r="B5814">
        <f>LOWER(TRIM(A5814))</f>
        <v/>
      </c>
      <c r="C5814">
        <f>IF(B5814="","",IFERROR(INDEX('Bad Patterns'!$A$2:$A$120,MATCH(1,INDEX(--ISNUMBER(SEARCH('Bad Patterns'!$A$2:$A$120,B5814)),0),0)),""))</f>
        <v/>
      </c>
      <c r="D5814">
        <f>IF(B5814="","",IF(C5814&lt;&gt;"","REMOVE","KEEP"))</f>
        <v/>
      </c>
      <c r="E5814">
        <f>IF(D5814&lt;&gt;"KEEP","",IF(RIGHT(B5814,10)="@gmail.com","Gmail",IF(OR(RIGHT(B5814,12)="@outlook.com",RIGHT(B5814,12)="@hotmail.com",RIGHT(B5814,9)="@live.com"),"Outlook","Domain")))</f>
        <v/>
      </c>
      <c r="F5814">
        <f>IF(B5814="","",IFERROR(RIGHT(B5814,LEN(B5814)-FIND("@",B5814)),""))</f>
        <v/>
      </c>
      <c r="G5814">
        <f>IF(D5814="KEEP",COUNTIF($D$2:D5814,"KEEP"),"")</f>
        <v/>
      </c>
      <c r="H5814">
        <f>IF(D5814="REMOVE",COUNTIF($D$2:D5814,"REMOVE"),"")</f>
        <v/>
      </c>
      <c r="I5814">
        <f>IF(E5814="Gmail",COUNTIF($E$2:E5814,"Gmail"),"")</f>
        <v/>
      </c>
      <c r="J5814">
        <f>IF(E5814="Outlook",COUNTIF($E$2:E5814,"Outlook"),"")</f>
        <v/>
      </c>
      <c r="K5814">
        <f>IF(E5814="Domain",COUNTIF($E$2:E5814,"Domain"),"")</f>
        <v/>
      </c>
    </row>
    <row r="5815">
      <c r="A5815" s="2" t="n"/>
      <c r="B5815">
        <f>LOWER(TRIM(A5815))</f>
        <v/>
      </c>
      <c r="C5815">
        <f>IF(B5815="","",IFERROR(INDEX('Bad Patterns'!$A$2:$A$120,MATCH(1,INDEX(--ISNUMBER(SEARCH('Bad Patterns'!$A$2:$A$120,B5815)),0),0)),""))</f>
        <v/>
      </c>
      <c r="D5815">
        <f>IF(B5815="","",IF(C5815&lt;&gt;"","REMOVE","KEEP"))</f>
        <v/>
      </c>
      <c r="E5815">
        <f>IF(D5815&lt;&gt;"KEEP","",IF(RIGHT(B5815,10)="@gmail.com","Gmail",IF(OR(RIGHT(B5815,12)="@outlook.com",RIGHT(B5815,12)="@hotmail.com",RIGHT(B5815,9)="@live.com"),"Outlook","Domain")))</f>
        <v/>
      </c>
      <c r="F5815">
        <f>IF(B5815="","",IFERROR(RIGHT(B5815,LEN(B5815)-FIND("@",B5815)),""))</f>
        <v/>
      </c>
      <c r="G5815">
        <f>IF(D5815="KEEP",COUNTIF($D$2:D5815,"KEEP"),"")</f>
        <v/>
      </c>
      <c r="H5815">
        <f>IF(D5815="REMOVE",COUNTIF($D$2:D5815,"REMOVE"),"")</f>
        <v/>
      </c>
      <c r="I5815">
        <f>IF(E5815="Gmail",COUNTIF($E$2:E5815,"Gmail"),"")</f>
        <v/>
      </c>
      <c r="J5815">
        <f>IF(E5815="Outlook",COUNTIF($E$2:E5815,"Outlook"),"")</f>
        <v/>
      </c>
      <c r="K5815">
        <f>IF(E5815="Domain",COUNTIF($E$2:E5815,"Domain"),"")</f>
        <v/>
      </c>
    </row>
    <row r="5816">
      <c r="A5816" s="2" t="n"/>
      <c r="B5816">
        <f>LOWER(TRIM(A5816))</f>
        <v/>
      </c>
      <c r="C5816">
        <f>IF(B5816="","",IFERROR(INDEX('Bad Patterns'!$A$2:$A$120,MATCH(1,INDEX(--ISNUMBER(SEARCH('Bad Patterns'!$A$2:$A$120,B5816)),0),0)),""))</f>
        <v/>
      </c>
      <c r="D5816">
        <f>IF(B5816="","",IF(C5816&lt;&gt;"","REMOVE","KEEP"))</f>
        <v/>
      </c>
      <c r="E5816">
        <f>IF(D5816&lt;&gt;"KEEP","",IF(RIGHT(B5816,10)="@gmail.com","Gmail",IF(OR(RIGHT(B5816,12)="@outlook.com",RIGHT(B5816,12)="@hotmail.com",RIGHT(B5816,9)="@live.com"),"Outlook","Domain")))</f>
        <v/>
      </c>
      <c r="F5816">
        <f>IF(B5816="","",IFERROR(RIGHT(B5816,LEN(B5816)-FIND("@",B5816)),""))</f>
        <v/>
      </c>
      <c r="G5816">
        <f>IF(D5816="KEEP",COUNTIF($D$2:D5816,"KEEP"),"")</f>
        <v/>
      </c>
      <c r="H5816">
        <f>IF(D5816="REMOVE",COUNTIF($D$2:D5816,"REMOVE"),"")</f>
        <v/>
      </c>
      <c r="I5816">
        <f>IF(E5816="Gmail",COUNTIF($E$2:E5816,"Gmail"),"")</f>
        <v/>
      </c>
      <c r="J5816">
        <f>IF(E5816="Outlook",COUNTIF($E$2:E5816,"Outlook"),"")</f>
        <v/>
      </c>
      <c r="K5816">
        <f>IF(E5816="Domain",COUNTIF($E$2:E5816,"Domain"),"")</f>
        <v/>
      </c>
    </row>
    <row r="5817">
      <c r="A5817" s="2" t="n"/>
      <c r="B5817">
        <f>LOWER(TRIM(A5817))</f>
        <v/>
      </c>
      <c r="C5817">
        <f>IF(B5817="","",IFERROR(INDEX('Bad Patterns'!$A$2:$A$120,MATCH(1,INDEX(--ISNUMBER(SEARCH('Bad Patterns'!$A$2:$A$120,B5817)),0),0)),""))</f>
        <v/>
      </c>
      <c r="D5817">
        <f>IF(B5817="","",IF(C5817&lt;&gt;"","REMOVE","KEEP"))</f>
        <v/>
      </c>
      <c r="E5817">
        <f>IF(D5817&lt;&gt;"KEEP","",IF(RIGHT(B5817,10)="@gmail.com","Gmail",IF(OR(RIGHT(B5817,12)="@outlook.com",RIGHT(B5817,12)="@hotmail.com",RIGHT(B5817,9)="@live.com"),"Outlook","Domain")))</f>
        <v/>
      </c>
      <c r="F5817">
        <f>IF(B5817="","",IFERROR(RIGHT(B5817,LEN(B5817)-FIND("@",B5817)),""))</f>
        <v/>
      </c>
      <c r="G5817">
        <f>IF(D5817="KEEP",COUNTIF($D$2:D5817,"KEEP"),"")</f>
        <v/>
      </c>
      <c r="H5817">
        <f>IF(D5817="REMOVE",COUNTIF($D$2:D5817,"REMOVE"),"")</f>
        <v/>
      </c>
      <c r="I5817">
        <f>IF(E5817="Gmail",COUNTIF($E$2:E5817,"Gmail"),"")</f>
        <v/>
      </c>
      <c r="J5817">
        <f>IF(E5817="Outlook",COUNTIF($E$2:E5817,"Outlook"),"")</f>
        <v/>
      </c>
      <c r="K5817">
        <f>IF(E5817="Domain",COUNTIF($E$2:E5817,"Domain"),"")</f>
        <v/>
      </c>
    </row>
    <row r="5818">
      <c r="A5818" s="2" t="n"/>
      <c r="B5818">
        <f>LOWER(TRIM(A5818))</f>
        <v/>
      </c>
      <c r="C5818">
        <f>IF(B5818="","",IFERROR(INDEX('Bad Patterns'!$A$2:$A$120,MATCH(1,INDEX(--ISNUMBER(SEARCH('Bad Patterns'!$A$2:$A$120,B5818)),0),0)),""))</f>
        <v/>
      </c>
      <c r="D5818">
        <f>IF(B5818="","",IF(C5818&lt;&gt;"","REMOVE","KEEP"))</f>
        <v/>
      </c>
      <c r="E5818">
        <f>IF(D5818&lt;&gt;"KEEP","",IF(RIGHT(B5818,10)="@gmail.com","Gmail",IF(OR(RIGHT(B5818,12)="@outlook.com",RIGHT(B5818,12)="@hotmail.com",RIGHT(B5818,9)="@live.com"),"Outlook","Domain")))</f>
        <v/>
      </c>
      <c r="F5818">
        <f>IF(B5818="","",IFERROR(RIGHT(B5818,LEN(B5818)-FIND("@",B5818)),""))</f>
        <v/>
      </c>
      <c r="G5818">
        <f>IF(D5818="KEEP",COUNTIF($D$2:D5818,"KEEP"),"")</f>
        <v/>
      </c>
      <c r="H5818">
        <f>IF(D5818="REMOVE",COUNTIF($D$2:D5818,"REMOVE"),"")</f>
        <v/>
      </c>
      <c r="I5818">
        <f>IF(E5818="Gmail",COUNTIF($E$2:E5818,"Gmail"),"")</f>
        <v/>
      </c>
      <c r="J5818">
        <f>IF(E5818="Outlook",COUNTIF($E$2:E5818,"Outlook"),"")</f>
        <v/>
      </c>
      <c r="K5818">
        <f>IF(E5818="Domain",COUNTIF($E$2:E5818,"Domain"),"")</f>
        <v/>
      </c>
    </row>
    <row r="5819">
      <c r="A5819" s="2" t="n"/>
      <c r="B5819">
        <f>LOWER(TRIM(A5819))</f>
        <v/>
      </c>
      <c r="C5819">
        <f>IF(B5819="","",IFERROR(INDEX('Bad Patterns'!$A$2:$A$120,MATCH(1,INDEX(--ISNUMBER(SEARCH('Bad Patterns'!$A$2:$A$120,B5819)),0),0)),""))</f>
        <v/>
      </c>
      <c r="D5819">
        <f>IF(B5819="","",IF(C5819&lt;&gt;"","REMOVE","KEEP"))</f>
        <v/>
      </c>
      <c r="E5819">
        <f>IF(D5819&lt;&gt;"KEEP","",IF(RIGHT(B5819,10)="@gmail.com","Gmail",IF(OR(RIGHT(B5819,12)="@outlook.com",RIGHT(B5819,12)="@hotmail.com",RIGHT(B5819,9)="@live.com"),"Outlook","Domain")))</f>
        <v/>
      </c>
      <c r="F5819">
        <f>IF(B5819="","",IFERROR(RIGHT(B5819,LEN(B5819)-FIND("@",B5819)),""))</f>
        <v/>
      </c>
      <c r="G5819">
        <f>IF(D5819="KEEP",COUNTIF($D$2:D5819,"KEEP"),"")</f>
        <v/>
      </c>
      <c r="H5819">
        <f>IF(D5819="REMOVE",COUNTIF($D$2:D5819,"REMOVE"),"")</f>
        <v/>
      </c>
      <c r="I5819">
        <f>IF(E5819="Gmail",COUNTIF($E$2:E5819,"Gmail"),"")</f>
        <v/>
      </c>
      <c r="J5819">
        <f>IF(E5819="Outlook",COUNTIF($E$2:E5819,"Outlook"),"")</f>
        <v/>
      </c>
      <c r="K5819">
        <f>IF(E5819="Domain",COUNTIF($E$2:E5819,"Domain"),"")</f>
        <v/>
      </c>
    </row>
    <row r="5820">
      <c r="A5820" s="2" t="n"/>
      <c r="B5820">
        <f>LOWER(TRIM(A5820))</f>
        <v/>
      </c>
      <c r="C5820">
        <f>IF(B5820="","",IFERROR(INDEX('Bad Patterns'!$A$2:$A$120,MATCH(1,INDEX(--ISNUMBER(SEARCH('Bad Patterns'!$A$2:$A$120,B5820)),0),0)),""))</f>
        <v/>
      </c>
      <c r="D5820">
        <f>IF(B5820="","",IF(C5820&lt;&gt;"","REMOVE","KEEP"))</f>
        <v/>
      </c>
      <c r="E5820">
        <f>IF(D5820&lt;&gt;"KEEP","",IF(RIGHT(B5820,10)="@gmail.com","Gmail",IF(OR(RIGHT(B5820,12)="@outlook.com",RIGHT(B5820,12)="@hotmail.com",RIGHT(B5820,9)="@live.com"),"Outlook","Domain")))</f>
        <v/>
      </c>
      <c r="F5820">
        <f>IF(B5820="","",IFERROR(RIGHT(B5820,LEN(B5820)-FIND("@",B5820)),""))</f>
        <v/>
      </c>
      <c r="G5820">
        <f>IF(D5820="KEEP",COUNTIF($D$2:D5820,"KEEP"),"")</f>
        <v/>
      </c>
      <c r="H5820">
        <f>IF(D5820="REMOVE",COUNTIF($D$2:D5820,"REMOVE"),"")</f>
        <v/>
      </c>
      <c r="I5820">
        <f>IF(E5820="Gmail",COUNTIF($E$2:E5820,"Gmail"),"")</f>
        <v/>
      </c>
      <c r="J5820">
        <f>IF(E5820="Outlook",COUNTIF($E$2:E5820,"Outlook"),"")</f>
        <v/>
      </c>
      <c r="K5820">
        <f>IF(E5820="Domain",COUNTIF($E$2:E5820,"Domain"),"")</f>
        <v/>
      </c>
    </row>
    <row r="5821">
      <c r="A5821" s="2" t="n"/>
      <c r="B5821">
        <f>LOWER(TRIM(A5821))</f>
        <v/>
      </c>
      <c r="C5821">
        <f>IF(B5821="","",IFERROR(INDEX('Bad Patterns'!$A$2:$A$120,MATCH(1,INDEX(--ISNUMBER(SEARCH('Bad Patterns'!$A$2:$A$120,B5821)),0),0)),""))</f>
        <v/>
      </c>
      <c r="D5821">
        <f>IF(B5821="","",IF(C5821&lt;&gt;"","REMOVE","KEEP"))</f>
        <v/>
      </c>
      <c r="E5821">
        <f>IF(D5821&lt;&gt;"KEEP","",IF(RIGHT(B5821,10)="@gmail.com","Gmail",IF(OR(RIGHT(B5821,12)="@outlook.com",RIGHT(B5821,12)="@hotmail.com",RIGHT(B5821,9)="@live.com"),"Outlook","Domain")))</f>
        <v/>
      </c>
      <c r="F5821">
        <f>IF(B5821="","",IFERROR(RIGHT(B5821,LEN(B5821)-FIND("@",B5821)),""))</f>
        <v/>
      </c>
      <c r="G5821">
        <f>IF(D5821="KEEP",COUNTIF($D$2:D5821,"KEEP"),"")</f>
        <v/>
      </c>
      <c r="H5821">
        <f>IF(D5821="REMOVE",COUNTIF($D$2:D5821,"REMOVE"),"")</f>
        <v/>
      </c>
      <c r="I5821">
        <f>IF(E5821="Gmail",COUNTIF($E$2:E5821,"Gmail"),"")</f>
        <v/>
      </c>
      <c r="J5821">
        <f>IF(E5821="Outlook",COUNTIF($E$2:E5821,"Outlook"),"")</f>
        <v/>
      </c>
      <c r="K5821">
        <f>IF(E5821="Domain",COUNTIF($E$2:E5821,"Domain"),"")</f>
        <v/>
      </c>
    </row>
    <row r="5822">
      <c r="A5822" s="2" t="n"/>
      <c r="B5822">
        <f>LOWER(TRIM(A5822))</f>
        <v/>
      </c>
      <c r="C5822">
        <f>IF(B5822="","",IFERROR(INDEX('Bad Patterns'!$A$2:$A$120,MATCH(1,INDEX(--ISNUMBER(SEARCH('Bad Patterns'!$A$2:$A$120,B5822)),0),0)),""))</f>
        <v/>
      </c>
      <c r="D5822">
        <f>IF(B5822="","",IF(C5822&lt;&gt;"","REMOVE","KEEP"))</f>
        <v/>
      </c>
      <c r="E5822">
        <f>IF(D5822&lt;&gt;"KEEP","",IF(RIGHT(B5822,10)="@gmail.com","Gmail",IF(OR(RIGHT(B5822,12)="@outlook.com",RIGHT(B5822,12)="@hotmail.com",RIGHT(B5822,9)="@live.com"),"Outlook","Domain")))</f>
        <v/>
      </c>
      <c r="F5822">
        <f>IF(B5822="","",IFERROR(RIGHT(B5822,LEN(B5822)-FIND("@",B5822)),""))</f>
        <v/>
      </c>
      <c r="G5822">
        <f>IF(D5822="KEEP",COUNTIF($D$2:D5822,"KEEP"),"")</f>
        <v/>
      </c>
      <c r="H5822">
        <f>IF(D5822="REMOVE",COUNTIF($D$2:D5822,"REMOVE"),"")</f>
        <v/>
      </c>
      <c r="I5822">
        <f>IF(E5822="Gmail",COUNTIF($E$2:E5822,"Gmail"),"")</f>
        <v/>
      </c>
      <c r="J5822">
        <f>IF(E5822="Outlook",COUNTIF($E$2:E5822,"Outlook"),"")</f>
        <v/>
      </c>
      <c r="K5822">
        <f>IF(E5822="Domain",COUNTIF($E$2:E5822,"Domain"),"")</f>
        <v/>
      </c>
    </row>
    <row r="5823">
      <c r="A5823" s="2" t="n"/>
      <c r="B5823">
        <f>LOWER(TRIM(A5823))</f>
        <v/>
      </c>
      <c r="C5823">
        <f>IF(B5823="","",IFERROR(INDEX('Bad Patterns'!$A$2:$A$120,MATCH(1,INDEX(--ISNUMBER(SEARCH('Bad Patterns'!$A$2:$A$120,B5823)),0),0)),""))</f>
        <v/>
      </c>
      <c r="D5823">
        <f>IF(B5823="","",IF(C5823&lt;&gt;"","REMOVE","KEEP"))</f>
        <v/>
      </c>
      <c r="E5823">
        <f>IF(D5823&lt;&gt;"KEEP","",IF(RIGHT(B5823,10)="@gmail.com","Gmail",IF(OR(RIGHT(B5823,12)="@outlook.com",RIGHT(B5823,12)="@hotmail.com",RIGHT(B5823,9)="@live.com"),"Outlook","Domain")))</f>
        <v/>
      </c>
      <c r="F5823">
        <f>IF(B5823="","",IFERROR(RIGHT(B5823,LEN(B5823)-FIND("@",B5823)),""))</f>
        <v/>
      </c>
      <c r="G5823">
        <f>IF(D5823="KEEP",COUNTIF($D$2:D5823,"KEEP"),"")</f>
        <v/>
      </c>
      <c r="H5823">
        <f>IF(D5823="REMOVE",COUNTIF($D$2:D5823,"REMOVE"),"")</f>
        <v/>
      </c>
      <c r="I5823">
        <f>IF(E5823="Gmail",COUNTIF($E$2:E5823,"Gmail"),"")</f>
        <v/>
      </c>
      <c r="J5823">
        <f>IF(E5823="Outlook",COUNTIF($E$2:E5823,"Outlook"),"")</f>
        <v/>
      </c>
      <c r="K5823">
        <f>IF(E5823="Domain",COUNTIF($E$2:E5823,"Domain"),"")</f>
        <v/>
      </c>
    </row>
    <row r="5824">
      <c r="A5824" s="2" t="n"/>
      <c r="B5824">
        <f>LOWER(TRIM(A5824))</f>
        <v/>
      </c>
      <c r="C5824">
        <f>IF(B5824="","",IFERROR(INDEX('Bad Patterns'!$A$2:$A$120,MATCH(1,INDEX(--ISNUMBER(SEARCH('Bad Patterns'!$A$2:$A$120,B5824)),0),0)),""))</f>
        <v/>
      </c>
      <c r="D5824">
        <f>IF(B5824="","",IF(C5824&lt;&gt;"","REMOVE","KEEP"))</f>
        <v/>
      </c>
      <c r="E5824">
        <f>IF(D5824&lt;&gt;"KEEP","",IF(RIGHT(B5824,10)="@gmail.com","Gmail",IF(OR(RIGHT(B5824,12)="@outlook.com",RIGHT(B5824,12)="@hotmail.com",RIGHT(B5824,9)="@live.com"),"Outlook","Domain")))</f>
        <v/>
      </c>
      <c r="F5824">
        <f>IF(B5824="","",IFERROR(RIGHT(B5824,LEN(B5824)-FIND("@",B5824)),""))</f>
        <v/>
      </c>
      <c r="G5824">
        <f>IF(D5824="KEEP",COUNTIF($D$2:D5824,"KEEP"),"")</f>
        <v/>
      </c>
      <c r="H5824">
        <f>IF(D5824="REMOVE",COUNTIF($D$2:D5824,"REMOVE"),"")</f>
        <v/>
      </c>
      <c r="I5824">
        <f>IF(E5824="Gmail",COUNTIF($E$2:E5824,"Gmail"),"")</f>
        <v/>
      </c>
      <c r="J5824">
        <f>IF(E5824="Outlook",COUNTIF($E$2:E5824,"Outlook"),"")</f>
        <v/>
      </c>
      <c r="K5824">
        <f>IF(E5824="Domain",COUNTIF($E$2:E5824,"Domain"),"")</f>
        <v/>
      </c>
    </row>
    <row r="5825">
      <c r="A5825" s="2" t="n"/>
      <c r="B5825">
        <f>LOWER(TRIM(A5825))</f>
        <v/>
      </c>
      <c r="C5825">
        <f>IF(B5825="","",IFERROR(INDEX('Bad Patterns'!$A$2:$A$120,MATCH(1,INDEX(--ISNUMBER(SEARCH('Bad Patterns'!$A$2:$A$120,B5825)),0),0)),""))</f>
        <v/>
      </c>
      <c r="D5825">
        <f>IF(B5825="","",IF(C5825&lt;&gt;"","REMOVE","KEEP"))</f>
        <v/>
      </c>
      <c r="E5825">
        <f>IF(D5825&lt;&gt;"KEEP","",IF(RIGHT(B5825,10)="@gmail.com","Gmail",IF(OR(RIGHT(B5825,12)="@outlook.com",RIGHT(B5825,12)="@hotmail.com",RIGHT(B5825,9)="@live.com"),"Outlook","Domain")))</f>
        <v/>
      </c>
      <c r="F5825">
        <f>IF(B5825="","",IFERROR(RIGHT(B5825,LEN(B5825)-FIND("@",B5825)),""))</f>
        <v/>
      </c>
      <c r="G5825">
        <f>IF(D5825="KEEP",COUNTIF($D$2:D5825,"KEEP"),"")</f>
        <v/>
      </c>
      <c r="H5825">
        <f>IF(D5825="REMOVE",COUNTIF($D$2:D5825,"REMOVE"),"")</f>
        <v/>
      </c>
      <c r="I5825">
        <f>IF(E5825="Gmail",COUNTIF($E$2:E5825,"Gmail"),"")</f>
        <v/>
      </c>
      <c r="J5825">
        <f>IF(E5825="Outlook",COUNTIF($E$2:E5825,"Outlook"),"")</f>
        <v/>
      </c>
      <c r="K5825">
        <f>IF(E5825="Domain",COUNTIF($E$2:E5825,"Domain"),"")</f>
        <v/>
      </c>
    </row>
    <row r="5826">
      <c r="A5826" s="2" t="n"/>
      <c r="B5826">
        <f>LOWER(TRIM(A5826))</f>
        <v/>
      </c>
      <c r="C5826">
        <f>IF(B5826="","",IFERROR(INDEX('Bad Patterns'!$A$2:$A$120,MATCH(1,INDEX(--ISNUMBER(SEARCH('Bad Patterns'!$A$2:$A$120,B5826)),0),0)),""))</f>
        <v/>
      </c>
      <c r="D5826">
        <f>IF(B5826="","",IF(C5826&lt;&gt;"","REMOVE","KEEP"))</f>
        <v/>
      </c>
      <c r="E5826">
        <f>IF(D5826&lt;&gt;"KEEP","",IF(RIGHT(B5826,10)="@gmail.com","Gmail",IF(OR(RIGHT(B5826,12)="@outlook.com",RIGHT(B5826,12)="@hotmail.com",RIGHT(B5826,9)="@live.com"),"Outlook","Domain")))</f>
        <v/>
      </c>
      <c r="F5826">
        <f>IF(B5826="","",IFERROR(RIGHT(B5826,LEN(B5826)-FIND("@",B5826)),""))</f>
        <v/>
      </c>
      <c r="G5826">
        <f>IF(D5826="KEEP",COUNTIF($D$2:D5826,"KEEP"),"")</f>
        <v/>
      </c>
      <c r="H5826">
        <f>IF(D5826="REMOVE",COUNTIF($D$2:D5826,"REMOVE"),"")</f>
        <v/>
      </c>
      <c r="I5826">
        <f>IF(E5826="Gmail",COUNTIF($E$2:E5826,"Gmail"),"")</f>
        <v/>
      </c>
      <c r="J5826">
        <f>IF(E5826="Outlook",COUNTIF($E$2:E5826,"Outlook"),"")</f>
        <v/>
      </c>
      <c r="K5826">
        <f>IF(E5826="Domain",COUNTIF($E$2:E5826,"Domain"),"")</f>
        <v/>
      </c>
    </row>
    <row r="5827">
      <c r="A5827" s="2" t="n"/>
      <c r="B5827">
        <f>LOWER(TRIM(A5827))</f>
        <v/>
      </c>
      <c r="C5827">
        <f>IF(B5827="","",IFERROR(INDEX('Bad Patterns'!$A$2:$A$120,MATCH(1,INDEX(--ISNUMBER(SEARCH('Bad Patterns'!$A$2:$A$120,B5827)),0),0)),""))</f>
        <v/>
      </c>
      <c r="D5827">
        <f>IF(B5827="","",IF(C5827&lt;&gt;"","REMOVE","KEEP"))</f>
        <v/>
      </c>
      <c r="E5827">
        <f>IF(D5827&lt;&gt;"KEEP","",IF(RIGHT(B5827,10)="@gmail.com","Gmail",IF(OR(RIGHT(B5827,12)="@outlook.com",RIGHT(B5827,12)="@hotmail.com",RIGHT(B5827,9)="@live.com"),"Outlook","Domain")))</f>
        <v/>
      </c>
      <c r="F5827">
        <f>IF(B5827="","",IFERROR(RIGHT(B5827,LEN(B5827)-FIND("@",B5827)),""))</f>
        <v/>
      </c>
      <c r="G5827">
        <f>IF(D5827="KEEP",COUNTIF($D$2:D5827,"KEEP"),"")</f>
        <v/>
      </c>
      <c r="H5827">
        <f>IF(D5827="REMOVE",COUNTIF($D$2:D5827,"REMOVE"),"")</f>
        <v/>
      </c>
      <c r="I5827">
        <f>IF(E5827="Gmail",COUNTIF($E$2:E5827,"Gmail"),"")</f>
        <v/>
      </c>
      <c r="J5827">
        <f>IF(E5827="Outlook",COUNTIF($E$2:E5827,"Outlook"),"")</f>
        <v/>
      </c>
      <c r="K5827">
        <f>IF(E5827="Domain",COUNTIF($E$2:E5827,"Domain"),"")</f>
        <v/>
      </c>
    </row>
    <row r="5828">
      <c r="A5828" s="2" t="n"/>
      <c r="B5828">
        <f>LOWER(TRIM(A5828))</f>
        <v/>
      </c>
      <c r="C5828">
        <f>IF(B5828="","",IFERROR(INDEX('Bad Patterns'!$A$2:$A$120,MATCH(1,INDEX(--ISNUMBER(SEARCH('Bad Patterns'!$A$2:$A$120,B5828)),0),0)),""))</f>
        <v/>
      </c>
      <c r="D5828">
        <f>IF(B5828="","",IF(C5828&lt;&gt;"","REMOVE","KEEP"))</f>
        <v/>
      </c>
      <c r="E5828">
        <f>IF(D5828&lt;&gt;"KEEP","",IF(RIGHT(B5828,10)="@gmail.com","Gmail",IF(OR(RIGHT(B5828,12)="@outlook.com",RIGHT(B5828,12)="@hotmail.com",RIGHT(B5828,9)="@live.com"),"Outlook","Domain")))</f>
        <v/>
      </c>
      <c r="F5828">
        <f>IF(B5828="","",IFERROR(RIGHT(B5828,LEN(B5828)-FIND("@",B5828)),""))</f>
        <v/>
      </c>
      <c r="G5828">
        <f>IF(D5828="KEEP",COUNTIF($D$2:D5828,"KEEP"),"")</f>
        <v/>
      </c>
      <c r="H5828">
        <f>IF(D5828="REMOVE",COUNTIF($D$2:D5828,"REMOVE"),"")</f>
        <v/>
      </c>
      <c r="I5828">
        <f>IF(E5828="Gmail",COUNTIF($E$2:E5828,"Gmail"),"")</f>
        <v/>
      </c>
      <c r="J5828">
        <f>IF(E5828="Outlook",COUNTIF($E$2:E5828,"Outlook"),"")</f>
        <v/>
      </c>
      <c r="K5828">
        <f>IF(E5828="Domain",COUNTIF($E$2:E5828,"Domain"),"")</f>
        <v/>
      </c>
    </row>
    <row r="5829">
      <c r="A5829" s="2" t="n"/>
      <c r="B5829">
        <f>LOWER(TRIM(A5829))</f>
        <v/>
      </c>
      <c r="C5829">
        <f>IF(B5829="","",IFERROR(INDEX('Bad Patterns'!$A$2:$A$120,MATCH(1,INDEX(--ISNUMBER(SEARCH('Bad Patterns'!$A$2:$A$120,B5829)),0),0)),""))</f>
        <v/>
      </c>
      <c r="D5829">
        <f>IF(B5829="","",IF(C5829&lt;&gt;"","REMOVE","KEEP"))</f>
        <v/>
      </c>
      <c r="E5829">
        <f>IF(D5829&lt;&gt;"KEEP","",IF(RIGHT(B5829,10)="@gmail.com","Gmail",IF(OR(RIGHT(B5829,12)="@outlook.com",RIGHT(B5829,12)="@hotmail.com",RIGHT(B5829,9)="@live.com"),"Outlook","Domain")))</f>
        <v/>
      </c>
      <c r="F5829">
        <f>IF(B5829="","",IFERROR(RIGHT(B5829,LEN(B5829)-FIND("@",B5829)),""))</f>
        <v/>
      </c>
      <c r="G5829">
        <f>IF(D5829="KEEP",COUNTIF($D$2:D5829,"KEEP"),"")</f>
        <v/>
      </c>
      <c r="H5829">
        <f>IF(D5829="REMOVE",COUNTIF($D$2:D5829,"REMOVE"),"")</f>
        <v/>
      </c>
      <c r="I5829">
        <f>IF(E5829="Gmail",COUNTIF($E$2:E5829,"Gmail"),"")</f>
        <v/>
      </c>
      <c r="J5829">
        <f>IF(E5829="Outlook",COUNTIF($E$2:E5829,"Outlook"),"")</f>
        <v/>
      </c>
      <c r="K5829">
        <f>IF(E5829="Domain",COUNTIF($E$2:E5829,"Domain"),"")</f>
        <v/>
      </c>
    </row>
    <row r="5830">
      <c r="A5830" s="2" t="n"/>
      <c r="B5830">
        <f>LOWER(TRIM(A5830))</f>
        <v/>
      </c>
      <c r="C5830">
        <f>IF(B5830="","",IFERROR(INDEX('Bad Patterns'!$A$2:$A$120,MATCH(1,INDEX(--ISNUMBER(SEARCH('Bad Patterns'!$A$2:$A$120,B5830)),0),0)),""))</f>
        <v/>
      </c>
      <c r="D5830">
        <f>IF(B5830="","",IF(C5830&lt;&gt;"","REMOVE","KEEP"))</f>
        <v/>
      </c>
      <c r="E5830">
        <f>IF(D5830&lt;&gt;"KEEP","",IF(RIGHT(B5830,10)="@gmail.com","Gmail",IF(OR(RIGHT(B5830,12)="@outlook.com",RIGHT(B5830,12)="@hotmail.com",RIGHT(B5830,9)="@live.com"),"Outlook","Domain")))</f>
        <v/>
      </c>
      <c r="F5830">
        <f>IF(B5830="","",IFERROR(RIGHT(B5830,LEN(B5830)-FIND("@",B5830)),""))</f>
        <v/>
      </c>
      <c r="G5830">
        <f>IF(D5830="KEEP",COUNTIF($D$2:D5830,"KEEP"),"")</f>
        <v/>
      </c>
      <c r="H5830">
        <f>IF(D5830="REMOVE",COUNTIF($D$2:D5830,"REMOVE"),"")</f>
        <v/>
      </c>
      <c r="I5830">
        <f>IF(E5830="Gmail",COUNTIF($E$2:E5830,"Gmail"),"")</f>
        <v/>
      </c>
      <c r="J5830">
        <f>IF(E5830="Outlook",COUNTIF($E$2:E5830,"Outlook"),"")</f>
        <v/>
      </c>
      <c r="K5830">
        <f>IF(E5830="Domain",COUNTIF($E$2:E5830,"Domain"),"")</f>
        <v/>
      </c>
    </row>
    <row r="5831">
      <c r="A5831" s="2" t="n"/>
      <c r="B5831">
        <f>LOWER(TRIM(A5831))</f>
        <v/>
      </c>
      <c r="C5831">
        <f>IF(B5831="","",IFERROR(INDEX('Bad Patterns'!$A$2:$A$120,MATCH(1,INDEX(--ISNUMBER(SEARCH('Bad Patterns'!$A$2:$A$120,B5831)),0),0)),""))</f>
        <v/>
      </c>
      <c r="D5831">
        <f>IF(B5831="","",IF(C5831&lt;&gt;"","REMOVE","KEEP"))</f>
        <v/>
      </c>
      <c r="E5831">
        <f>IF(D5831&lt;&gt;"KEEP","",IF(RIGHT(B5831,10)="@gmail.com","Gmail",IF(OR(RIGHT(B5831,12)="@outlook.com",RIGHT(B5831,12)="@hotmail.com",RIGHT(B5831,9)="@live.com"),"Outlook","Domain")))</f>
        <v/>
      </c>
      <c r="F5831">
        <f>IF(B5831="","",IFERROR(RIGHT(B5831,LEN(B5831)-FIND("@",B5831)),""))</f>
        <v/>
      </c>
      <c r="G5831">
        <f>IF(D5831="KEEP",COUNTIF($D$2:D5831,"KEEP"),"")</f>
        <v/>
      </c>
      <c r="H5831">
        <f>IF(D5831="REMOVE",COUNTIF($D$2:D5831,"REMOVE"),"")</f>
        <v/>
      </c>
      <c r="I5831">
        <f>IF(E5831="Gmail",COUNTIF($E$2:E5831,"Gmail"),"")</f>
        <v/>
      </c>
      <c r="J5831">
        <f>IF(E5831="Outlook",COUNTIF($E$2:E5831,"Outlook"),"")</f>
        <v/>
      </c>
      <c r="K5831">
        <f>IF(E5831="Domain",COUNTIF($E$2:E5831,"Domain"),"")</f>
        <v/>
      </c>
    </row>
    <row r="5832">
      <c r="A5832" s="2" t="n"/>
      <c r="B5832">
        <f>LOWER(TRIM(A5832))</f>
        <v/>
      </c>
      <c r="C5832">
        <f>IF(B5832="","",IFERROR(INDEX('Bad Patterns'!$A$2:$A$120,MATCH(1,INDEX(--ISNUMBER(SEARCH('Bad Patterns'!$A$2:$A$120,B5832)),0),0)),""))</f>
        <v/>
      </c>
      <c r="D5832">
        <f>IF(B5832="","",IF(C5832&lt;&gt;"","REMOVE","KEEP"))</f>
        <v/>
      </c>
      <c r="E5832">
        <f>IF(D5832&lt;&gt;"KEEP","",IF(RIGHT(B5832,10)="@gmail.com","Gmail",IF(OR(RIGHT(B5832,12)="@outlook.com",RIGHT(B5832,12)="@hotmail.com",RIGHT(B5832,9)="@live.com"),"Outlook","Domain")))</f>
        <v/>
      </c>
      <c r="F5832">
        <f>IF(B5832="","",IFERROR(RIGHT(B5832,LEN(B5832)-FIND("@",B5832)),""))</f>
        <v/>
      </c>
      <c r="G5832">
        <f>IF(D5832="KEEP",COUNTIF($D$2:D5832,"KEEP"),"")</f>
        <v/>
      </c>
      <c r="H5832">
        <f>IF(D5832="REMOVE",COUNTIF($D$2:D5832,"REMOVE"),"")</f>
        <v/>
      </c>
      <c r="I5832">
        <f>IF(E5832="Gmail",COUNTIF($E$2:E5832,"Gmail"),"")</f>
        <v/>
      </c>
      <c r="J5832">
        <f>IF(E5832="Outlook",COUNTIF($E$2:E5832,"Outlook"),"")</f>
        <v/>
      </c>
      <c r="K5832">
        <f>IF(E5832="Domain",COUNTIF($E$2:E5832,"Domain"),"")</f>
        <v/>
      </c>
    </row>
    <row r="5833">
      <c r="A5833" s="2" t="n"/>
      <c r="B5833">
        <f>LOWER(TRIM(A5833))</f>
        <v/>
      </c>
      <c r="C5833">
        <f>IF(B5833="","",IFERROR(INDEX('Bad Patterns'!$A$2:$A$120,MATCH(1,INDEX(--ISNUMBER(SEARCH('Bad Patterns'!$A$2:$A$120,B5833)),0),0)),""))</f>
        <v/>
      </c>
      <c r="D5833">
        <f>IF(B5833="","",IF(C5833&lt;&gt;"","REMOVE","KEEP"))</f>
        <v/>
      </c>
      <c r="E5833">
        <f>IF(D5833&lt;&gt;"KEEP","",IF(RIGHT(B5833,10)="@gmail.com","Gmail",IF(OR(RIGHT(B5833,12)="@outlook.com",RIGHT(B5833,12)="@hotmail.com",RIGHT(B5833,9)="@live.com"),"Outlook","Domain")))</f>
        <v/>
      </c>
      <c r="F5833">
        <f>IF(B5833="","",IFERROR(RIGHT(B5833,LEN(B5833)-FIND("@",B5833)),""))</f>
        <v/>
      </c>
      <c r="G5833">
        <f>IF(D5833="KEEP",COUNTIF($D$2:D5833,"KEEP"),"")</f>
        <v/>
      </c>
      <c r="H5833">
        <f>IF(D5833="REMOVE",COUNTIF($D$2:D5833,"REMOVE"),"")</f>
        <v/>
      </c>
      <c r="I5833">
        <f>IF(E5833="Gmail",COUNTIF($E$2:E5833,"Gmail"),"")</f>
        <v/>
      </c>
      <c r="J5833">
        <f>IF(E5833="Outlook",COUNTIF($E$2:E5833,"Outlook"),"")</f>
        <v/>
      </c>
      <c r="K5833">
        <f>IF(E5833="Domain",COUNTIF($E$2:E5833,"Domain"),"")</f>
        <v/>
      </c>
    </row>
    <row r="5834">
      <c r="A5834" s="2" t="n"/>
      <c r="B5834">
        <f>LOWER(TRIM(A5834))</f>
        <v/>
      </c>
      <c r="C5834">
        <f>IF(B5834="","",IFERROR(INDEX('Bad Patterns'!$A$2:$A$120,MATCH(1,INDEX(--ISNUMBER(SEARCH('Bad Patterns'!$A$2:$A$120,B5834)),0),0)),""))</f>
        <v/>
      </c>
      <c r="D5834">
        <f>IF(B5834="","",IF(C5834&lt;&gt;"","REMOVE","KEEP"))</f>
        <v/>
      </c>
      <c r="E5834">
        <f>IF(D5834&lt;&gt;"KEEP","",IF(RIGHT(B5834,10)="@gmail.com","Gmail",IF(OR(RIGHT(B5834,12)="@outlook.com",RIGHT(B5834,12)="@hotmail.com",RIGHT(B5834,9)="@live.com"),"Outlook","Domain")))</f>
        <v/>
      </c>
      <c r="F5834">
        <f>IF(B5834="","",IFERROR(RIGHT(B5834,LEN(B5834)-FIND("@",B5834)),""))</f>
        <v/>
      </c>
      <c r="G5834">
        <f>IF(D5834="KEEP",COUNTIF($D$2:D5834,"KEEP"),"")</f>
        <v/>
      </c>
      <c r="H5834">
        <f>IF(D5834="REMOVE",COUNTIF($D$2:D5834,"REMOVE"),"")</f>
        <v/>
      </c>
      <c r="I5834">
        <f>IF(E5834="Gmail",COUNTIF($E$2:E5834,"Gmail"),"")</f>
        <v/>
      </c>
      <c r="J5834">
        <f>IF(E5834="Outlook",COUNTIF($E$2:E5834,"Outlook"),"")</f>
        <v/>
      </c>
      <c r="K5834">
        <f>IF(E5834="Domain",COUNTIF($E$2:E5834,"Domain"),"")</f>
        <v/>
      </c>
    </row>
    <row r="5835">
      <c r="A5835" s="2" t="n"/>
      <c r="B5835">
        <f>LOWER(TRIM(A5835))</f>
        <v/>
      </c>
      <c r="C5835">
        <f>IF(B5835="","",IFERROR(INDEX('Bad Patterns'!$A$2:$A$120,MATCH(1,INDEX(--ISNUMBER(SEARCH('Bad Patterns'!$A$2:$A$120,B5835)),0),0)),""))</f>
        <v/>
      </c>
      <c r="D5835">
        <f>IF(B5835="","",IF(C5835&lt;&gt;"","REMOVE","KEEP"))</f>
        <v/>
      </c>
      <c r="E5835">
        <f>IF(D5835&lt;&gt;"KEEP","",IF(RIGHT(B5835,10)="@gmail.com","Gmail",IF(OR(RIGHT(B5835,12)="@outlook.com",RIGHT(B5835,12)="@hotmail.com",RIGHT(B5835,9)="@live.com"),"Outlook","Domain")))</f>
        <v/>
      </c>
      <c r="F5835">
        <f>IF(B5835="","",IFERROR(RIGHT(B5835,LEN(B5835)-FIND("@",B5835)),""))</f>
        <v/>
      </c>
      <c r="G5835">
        <f>IF(D5835="KEEP",COUNTIF($D$2:D5835,"KEEP"),"")</f>
        <v/>
      </c>
      <c r="H5835">
        <f>IF(D5835="REMOVE",COUNTIF($D$2:D5835,"REMOVE"),"")</f>
        <v/>
      </c>
      <c r="I5835">
        <f>IF(E5835="Gmail",COUNTIF($E$2:E5835,"Gmail"),"")</f>
        <v/>
      </c>
      <c r="J5835">
        <f>IF(E5835="Outlook",COUNTIF($E$2:E5835,"Outlook"),"")</f>
        <v/>
      </c>
      <c r="K5835">
        <f>IF(E5835="Domain",COUNTIF($E$2:E5835,"Domain"),"")</f>
        <v/>
      </c>
    </row>
    <row r="5836">
      <c r="A5836" s="2" t="n"/>
      <c r="B5836">
        <f>LOWER(TRIM(A5836))</f>
        <v/>
      </c>
      <c r="C5836">
        <f>IF(B5836="","",IFERROR(INDEX('Bad Patterns'!$A$2:$A$120,MATCH(1,INDEX(--ISNUMBER(SEARCH('Bad Patterns'!$A$2:$A$120,B5836)),0),0)),""))</f>
        <v/>
      </c>
      <c r="D5836">
        <f>IF(B5836="","",IF(C5836&lt;&gt;"","REMOVE","KEEP"))</f>
        <v/>
      </c>
      <c r="E5836">
        <f>IF(D5836&lt;&gt;"KEEP","",IF(RIGHT(B5836,10)="@gmail.com","Gmail",IF(OR(RIGHT(B5836,12)="@outlook.com",RIGHT(B5836,12)="@hotmail.com",RIGHT(B5836,9)="@live.com"),"Outlook","Domain")))</f>
        <v/>
      </c>
      <c r="F5836">
        <f>IF(B5836="","",IFERROR(RIGHT(B5836,LEN(B5836)-FIND("@",B5836)),""))</f>
        <v/>
      </c>
      <c r="G5836">
        <f>IF(D5836="KEEP",COUNTIF($D$2:D5836,"KEEP"),"")</f>
        <v/>
      </c>
      <c r="H5836">
        <f>IF(D5836="REMOVE",COUNTIF($D$2:D5836,"REMOVE"),"")</f>
        <v/>
      </c>
      <c r="I5836">
        <f>IF(E5836="Gmail",COUNTIF($E$2:E5836,"Gmail"),"")</f>
        <v/>
      </c>
      <c r="J5836">
        <f>IF(E5836="Outlook",COUNTIF($E$2:E5836,"Outlook"),"")</f>
        <v/>
      </c>
      <c r="K5836">
        <f>IF(E5836="Domain",COUNTIF($E$2:E5836,"Domain"),"")</f>
        <v/>
      </c>
    </row>
    <row r="5837">
      <c r="A5837" s="2" t="n"/>
      <c r="B5837">
        <f>LOWER(TRIM(A5837))</f>
        <v/>
      </c>
      <c r="C5837">
        <f>IF(B5837="","",IFERROR(INDEX('Bad Patterns'!$A$2:$A$120,MATCH(1,INDEX(--ISNUMBER(SEARCH('Bad Patterns'!$A$2:$A$120,B5837)),0),0)),""))</f>
        <v/>
      </c>
      <c r="D5837">
        <f>IF(B5837="","",IF(C5837&lt;&gt;"","REMOVE","KEEP"))</f>
        <v/>
      </c>
      <c r="E5837">
        <f>IF(D5837&lt;&gt;"KEEP","",IF(RIGHT(B5837,10)="@gmail.com","Gmail",IF(OR(RIGHT(B5837,12)="@outlook.com",RIGHT(B5837,12)="@hotmail.com",RIGHT(B5837,9)="@live.com"),"Outlook","Domain")))</f>
        <v/>
      </c>
      <c r="F5837">
        <f>IF(B5837="","",IFERROR(RIGHT(B5837,LEN(B5837)-FIND("@",B5837)),""))</f>
        <v/>
      </c>
      <c r="G5837">
        <f>IF(D5837="KEEP",COUNTIF($D$2:D5837,"KEEP"),"")</f>
        <v/>
      </c>
      <c r="H5837">
        <f>IF(D5837="REMOVE",COUNTIF($D$2:D5837,"REMOVE"),"")</f>
        <v/>
      </c>
      <c r="I5837">
        <f>IF(E5837="Gmail",COUNTIF($E$2:E5837,"Gmail"),"")</f>
        <v/>
      </c>
      <c r="J5837">
        <f>IF(E5837="Outlook",COUNTIF($E$2:E5837,"Outlook"),"")</f>
        <v/>
      </c>
      <c r="K5837">
        <f>IF(E5837="Domain",COUNTIF($E$2:E5837,"Domain"),"")</f>
        <v/>
      </c>
    </row>
    <row r="5838">
      <c r="A5838" s="2" t="n"/>
      <c r="B5838">
        <f>LOWER(TRIM(A5838))</f>
        <v/>
      </c>
      <c r="C5838">
        <f>IF(B5838="","",IFERROR(INDEX('Bad Patterns'!$A$2:$A$120,MATCH(1,INDEX(--ISNUMBER(SEARCH('Bad Patterns'!$A$2:$A$120,B5838)),0),0)),""))</f>
        <v/>
      </c>
      <c r="D5838">
        <f>IF(B5838="","",IF(C5838&lt;&gt;"","REMOVE","KEEP"))</f>
        <v/>
      </c>
      <c r="E5838">
        <f>IF(D5838&lt;&gt;"KEEP","",IF(RIGHT(B5838,10)="@gmail.com","Gmail",IF(OR(RIGHT(B5838,12)="@outlook.com",RIGHT(B5838,12)="@hotmail.com",RIGHT(B5838,9)="@live.com"),"Outlook","Domain")))</f>
        <v/>
      </c>
      <c r="F5838">
        <f>IF(B5838="","",IFERROR(RIGHT(B5838,LEN(B5838)-FIND("@",B5838)),""))</f>
        <v/>
      </c>
      <c r="G5838">
        <f>IF(D5838="KEEP",COUNTIF($D$2:D5838,"KEEP"),"")</f>
        <v/>
      </c>
      <c r="H5838">
        <f>IF(D5838="REMOVE",COUNTIF($D$2:D5838,"REMOVE"),"")</f>
        <v/>
      </c>
      <c r="I5838">
        <f>IF(E5838="Gmail",COUNTIF($E$2:E5838,"Gmail"),"")</f>
        <v/>
      </c>
      <c r="J5838">
        <f>IF(E5838="Outlook",COUNTIF($E$2:E5838,"Outlook"),"")</f>
        <v/>
      </c>
      <c r="K5838">
        <f>IF(E5838="Domain",COUNTIF($E$2:E5838,"Domain"),"")</f>
        <v/>
      </c>
    </row>
    <row r="5839">
      <c r="A5839" s="2" t="n"/>
      <c r="B5839">
        <f>LOWER(TRIM(A5839))</f>
        <v/>
      </c>
      <c r="C5839">
        <f>IF(B5839="","",IFERROR(INDEX('Bad Patterns'!$A$2:$A$120,MATCH(1,INDEX(--ISNUMBER(SEARCH('Bad Patterns'!$A$2:$A$120,B5839)),0),0)),""))</f>
        <v/>
      </c>
      <c r="D5839">
        <f>IF(B5839="","",IF(C5839&lt;&gt;"","REMOVE","KEEP"))</f>
        <v/>
      </c>
      <c r="E5839">
        <f>IF(D5839&lt;&gt;"KEEP","",IF(RIGHT(B5839,10)="@gmail.com","Gmail",IF(OR(RIGHT(B5839,12)="@outlook.com",RIGHT(B5839,12)="@hotmail.com",RIGHT(B5839,9)="@live.com"),"Outlook","Domain")))</f>
        <v/>
      </c>
      <c r="F5839">
        <f>IF(B5839="","",IFERROR(RIGHT(B5839,LEN(B5839)-FIND("@",B5839)),""))</f>
        <v/>
      </c>
      <c r="G5839">
        <f>IF(D5839="KEEP",COUNTIF($D$2:D5839,"KEEP"),"")</f>
        <v/>
      </c>
      <c r="H5839">
        <f>IF(D5839="REMOVE",COUNTIF($D$2:D5839,"REMOVE"),"")</f>
        <v/>
      </c>
      <c r="I5839">
        <f>IF(E5839="Gmail",COUNTIF($E$2:E5839,"Gmail"),"")</f>
        <v/>
      </c>
      <c r="J5839">
        <f>IF(E5839="Outlook",COUNTIF($E$2:E5839,"Outlook"),"")</f>
        <v/>
      </c>
      <c r="K5839">
        <f>IF(E5839="Domain",COUNTIF($E$2:E5839,"Domain"),"")</f>
        <v/>
      </c>
    </row>
    <row r="5840">
      <c r="A5840" s="2" t="n"/>
      <c r="B5840">
        <f>LOWER(TRIM(A5840))</f>
        <v/>
      </c>
      <c r="C5840">
        <f>IF(B5840="","",IFERROR(INDEX('Bad Patterns'!$A$2:$A$120,MATCH(1,INDEX(--ISNUMBER(SEARCH('Bad Patterns'!$A$2:$A$120,B5840)),0),0)),""))</f>
        <v/>
      </c>
      <c r="D5840">
        <f>IF(B5840="","",IF(C5840&lt;&gt;"","REMOVE","KEEP"))</f>
        <v/>
      </c>
      <c r="E5840">
        <f>IF(D5840&lt;&gt;"KEEP","",IF(RIGHT(B5840,10)="@gmail.com","Gmail",IF(OR(RIGHT(B5840,12)="@outlook.com",RIGHT(B5840,12)="@hotmail.com",RIGHT(B5840,9)="@live.com"),"Outlook","Domain")))</f>
        <v/>
      </c>
      <c r="F5840">
        <f>IF(B5840="","",IFERROR(RIGHT(B5840,LEN(B5840)-FIND("@",B5840)),""))</f>
        <v/>
      </c>
      <c r="G5840">
        <f>IF(D5840="KEEP",COUNTIF($D$2:D5840,"KEEP"),"")</f>
        <v/>
      </c>
      <c r="H5840">
        <f>IF(D5840="REMOVE",COUNTIF($D$2:D5840,"REMOVE"),"")</f>
        <v/>
      </c>
      <c r="I5840">
        <f>IF(E5840="Gmail",COUNTIF($E$2:E5840,"Gmail"),"")</f>
        <v/>
      </c>
      <c r="J5840">
        <f>IF(E5840="Outlook",COUNTIF($E$2:E5840,"Outlook"),"")</f>
        <v/>
      </c>
      <c r="K5840">
        <f>IF(E5840="Domain",COUNTIF($E$2:E5840,"Domain"),"")</f>
        <v/>
      </c>
    </row>
    <row r="5841">
      <c r="A5841" s="2" t="n"/>
      <c r="B5841">
        <f>LOWER(TRIM(A5841))</f>
        <v/>
      </c>
      <c r="C5841">
        <f>IF(B5841="","",IFERROR(INDEX('Bad Patterns'!$A$2:$A$120,MATCH(1,INDEX(--ISNUMBER(SEARCH('Bad Patterns'!$A$2:$A$120,B5841)),0),0)),""))</f>
        <v/>
      </c>
      <c r="D5841">
        <f>IF(B5841="","",IF(C5841&lt;&gt;"","REMOVE","KEEP"))</f>
        <v/>
      </c>
      <c r="E5841">
        <f>IF(D5841&lt;&gt;"KEEP","",IF(RIGHT(B5841,10)="@gmail.com","Gmail",IF(OR(RIGHT(B5841,12)="@outlook.com",RIGHT(B5841,12)="@hotmail.com",RIGHT(B5841,9)="@live.com"),"Outlook","Domain")))</f>
        <v/>
      </c>
      <c r="F5841">
        <f>IF(B5841="","",IFERROR(RIGHT(B5841,LEN(B5841)-FIND("@",B5841)),""))</f>
        <v/>
      </c>
      <c r="G5841">
        <f>IF(D5841="KEEP",COUNTIF($D$2:D5841,"KEEP"),"")</f>
        <v/>
      </c>
      <c r="H5841">
        <f>IF(D5841="REMOVE",COUNTIF($D$2:D5841,"REMOVE"),"")</f>
        <v/>
      </c>
      <c r="I5841">
        <f>IF(E5841="Gmail",COUNTIF($E$2:E5841,"Gmail"),"")</f>
        <v/>
      </c>
      <c r="J5841">
        <f>IF(E5841="Outlook",COUNTIF($E$2:E5841,"Outlook"),"")</f>
        <v/>
      </c>
      <c r="K5841">
        <f>IF(E5841="Domain",COUNTIF($E$2:E5841,"Domain"),"")</f>
        <v/>
      </c>
    </row>
    <row r="5842">
      <c r="A5842" s="2" t="n"/>
      <c r="B5842">
        <f>LOWER(TRIM(A5842))</f>
        <v/>
      </c>
      <c r="C5842">
        <f>IF(B5842="","",IFERROR(INDEX('Bad Patterns'!$A$2:$A$120,MATCH(1,INDEX(--ISNUMBER(SEARCH('Bad Patterns'!$A$2:$A$120,B5842)),0),0)),""))</f>
        <v/>
      </c>
      <c r="D5842">
        <f>IF(B5842="","",IF(C5842&lt;&gt;"","REMOVE","KEEP"))</f>
        <v/>
      </c>
      <c r="E5842">
        <f>IF(D5842&lt;&gt;"KEEP","",IF(RIGHT(B5842,10)="@gmail.com","Gmail",IF(OR(RIGHT(B5842,12)="@outlook.com",RIGHT(B5842,12)="@hotmail.com",RIGHT(B5842,9)="@live.com"),"Outlook","Domain")))</f>
        <v/>
      </c>
      <c r="F5842">
        <f>IF(B5842="","",IFERROR(RIGHT(B5842,LEN(B5842)-FIND("@",B5842)),""))</f>
        <v/>
      </c>
      <c r="G5842">
        <f>IF(D5842="KEEP",COUNTIF($D$2:D5842,"KEEP"),"")</f>
        <v/>
      </c>
      <c r="H5842">
        <f>IF(D5842="REMOVE",COUNTIF($D$2:D5842,"REMOVE"),"")</f>
        <v/>
      </c>
      <c r="I5842">
        <f>IF(E5842="Gmail",COUNTIF($E$2:E5842,"Gmail"),"")</f>
        <v/>
      </c>
      <c r="J5842">
        <f>IF(E5842="Outlook",COUNTIF($E$2:E5842,"Outlook"),"")</f>
        <v/>
      </c>
      <c r="K5842">
        <f>IF(E5842="Domain",COUNTIF($E$2:E5842,"Domain"),"")</f>
        <v/>
      </c>
    </row>
    <row r="5843">
      <c r="A5843" s="2" t="n"/>
      <c r="B5843">
        <f>LOWER(TRIM(A5843))</f>
        <v/>
      </c>
      <c r="C5843">
        <f>IF(B5843="","",IFERROR(INDEX('Bad Patterns'!$A$2:$A$120,MATCH(1,INDEX(--ISNUMBER(SEARCH('Bad Patterns'!$A$2:$A$120,B5843)),0),0)),""))</f>
        <v/>
      </c>
      <c r="D5843">
        <f>IF(B5843="","",IF(C5843&lt;&gt;"","REMOVE","KEEP"))</f>
        <v/>
      </c>
      <c r="E5843">
        <f>IF(D5843&lt;&gt;"KEEP","",IF(RIGHT(B5843,10)="@gmail.com","Gmail",IF(OR(RIGHT(B5843,12)="@outlook.com",RIGHT(B5843,12)="@hotmail.com",RIGHT(B5843,9)="@live.com"),"Outlook","Domain")))</f>
        <v/>
      </c>
      <c r="F5843">
        <f>IF(B5843="","",IFERROR(RIGHT(B5843,LEN(B5843)-FIND("@",B5843)),""))</f>
        <v/>
      </c>
      <c r="G5843">
        <f>IF(D5843="KEEP",COUNTIF($D$2:D5843,"KEEP"),"")</f>
        <v/>
      </c>
      <c r="H5843">
        <f>IF(D5843="REMOVE",COUNTIF($D$2:D5843,"REMOVE"),"")</f>
        <v/>
      </c>
      <c r="I5843">
        <f>IF(E5843="Gmail",COUNTIF($E$2:E5843,"Gmail"),"")</f>
        <v/>
      </c>
      <c r="J5843">
        <f>IF(E5843="Outlook",COUNTIF($E$2:E5843,"Outlook"),"")</f>
        <v/>
      </c>
      <c r="K5843">
        <f>IF(E5843="Domain",COUNTIF($E$2:E5843,"Domain"),"")</f>
        <v/>
      </c>
    </row>
    <row r="5844">
      <c r="A5844" s="2" t="n"/>
      <c r="B5844">
        <f>LOWER(TRIM(A5844))</f>
        <v/>
      </c>
      <c r="C5844">
        <f>IF(B5844="","",IFERROR(INDEX('Bad Patterns'!$A$2:$A$120,MATCH(1,INDEX(--ISNUMBER(SEARCH('Bad Patterns'!$A$2:$A$120,B5844)),0),0)),""))</f>
        <v/>
      </c>
      <c r="D5844">
        <f>IF(B5844="","",IF(C5844&lt;&gt;"","REMOVE","KEEP"))</f>
        <v/>
      </c>
      <c r="E5844">
        <f>IF(D5844&lt;&gt;"KEEP","",IF(RIGHT(B5844,10)="@gmail.com","Gmail",IF(OR(RIGHT(B5844,12)="@outlook.com",RIGHT(B5844,12)="@hotmail.com",RIGHT(B5844,9)="@live.com"),"Outlook","Domain")))</f>
        <v/>
      </c>
      <c r="F5844">
        <f>IF(B5844="","",IFERROR(RIGHT(B5844,LEN(B5844)-FIND("@",B5844)),""))</f>
        <v/>
      </c>
      <c r="G5844">
        <f>IF(D5844="KEEP",COUNTIF($D$2:D5844,"KEEP"),"")</f>
        <v/>
      </c>
      <c r="H5844">
        <f>IF(D5844="REMOVE",COUNTIF($D$2:D5844,"REMOVE"),"")</f>
        <v/>
      </c>
      <c r="I5844">
        <f>IF(E5844="Gmail",COUNTIF($E$2:E5844,"Gmail"),"")</f>
        <v/>
      </c>
      <c r="J5844">
        <f>IF(E5844="Outlook",COUNTIF($E$2:E5844,"Outlook"),"")</f>
        <v/>
      </c>
      <c r="K5844">
        <f>IF(E5844="Domain",COUNTIF($E$2:E5844,"Domain"),"")</f>
        <v/>
      </c>
    </row>
    <row r="5845">
      <c r="A5845" s="2" t="n"/>
      <c r="B5845">
        <f>LOWER(TRIM(A5845))</f>
        <v/>
      </c>
      <c r="C5845">
        <f>IF(B5845="","",IFERROR(INDEX('Bad Patterns'!$A$2:$A$120,MATCH(1,INDEX(--ISNUMBER(SEARCH('Bad Patterns'!$A$2:$A$120,B5845)),0),0)),""))</f>
        <v/>
      </c>
      <c r="D5845">
        <f>IF(B5845="","",IF(C5845&lt;&gt;"","REMOVE","KEEP"))</f>
        <v/>
      </c>
      <c r="E5845">
        <f>IF(D5845&lt;&gt;"KEEP","",IF(RIGHT(B5845,10)="@gmail.com","Gmail",IF(OR(RIGHT(B5845,12)="@outlook.com",RIGHT(B5845,12)="@hotmail.com",RIGHT(B5845,9)="@live.com"),"Outlook","Domain")))</f>
        <v/>
      </c>
      <c r="F5845">
        <f>IF(B5845="","",IFERROR(RIGHT(B5845,LEN(B5845)-FIND("@",B5845)),""))</f>
        <v/>
      </c>
      <c r="G5845">
        <f>IF(D5845="KEEP",COUNTIF($D$2:D5845,"KEEP"),"")</f>
        <v/>
      </c>
      <c r="H5845">
        <f>IF(D5845="REMOVE",COUNTIF($D$2:D5845,"REMOVE"),"")</f>
        <v/>
      </c>
      <c r="I5845">
        <f>IF(E5845="Gmail",COUNTIF($E$2:E5845,"Gmail"),"")</f>
        <v/>
      </c>
      <c r="J5845">
        <f>IF(E5845="Outlook",COUNTIF($E$2:E5845,"Outlook"),"")</f>
        <v/>
      </c>
      <c r="K5845">
        <f>IF(E5845="Domain",COUNTIF($E$2:E5845,"Domain"),"")</f>
        <v/>
      </c>
    </row>
    <row r="5846">
      <c r="A5846" s="2" t="n"/>
      <c r="B5846">
        <f>LOWER(TRIM(A5846))</f>
        <v/>
      </c>
      <c r="C5846">
        <f>IF(B5846="","",IFERROR(INDEX('Bad Patterns'!$A$2:$A$120,MATCH(1,INDEX(--ISNUMBER(SEARCH('Bad Patterns'!$A$2:$A$120,B5846)),0),0)),""))</f>
        <v/>
      </c>
      <c r="D5846">
        <f>IF(B5846="","",IF(C5846&lt;&gt;"","REMOVE","KEEP"))</f>
        <v/>
      </c>
      <c r="E5846">
        <f>IF(D5846&lt;&gt;"KEEP","",IF(RIGHT(B5846,10)="@gmail.com","Gmail",IF(OR(RIGHT(B5846,12)="@outlook.com",RIGHT(B5846,12)="@hotmail.com",RIGHT(B5846,9)="@live.com"),"Outlook","Domain")))</f>
        <v/>
      </c>
      <c r="F5846">
        <f>IF(B5846="","",IFERROR(RIGHT(B5846,LEN(B5846)-FIND("@",B5846)),""))</f>
        <v/>
      </c>
      <c r="G5846">
        <f>IF(D5846="KEEP",COUNTIF($D$2:D5846,"KEEP"),"")</f>
        <v/>
      </c>
      <c r="H5846">
        <f>IF(D5846="REMOVE",COUNTIF($D$2:D5846,"REMOVE"),"")</f>
        <v/>
      </c>
      <c r="I5846">
        <f>IF(E5846="Gmail",COUNTIF($E$2:E5846,"Gmail"),"")</f>
        <v/>
      </c>
      <c r="J5846">
        <f>IF(E5846="Outlook",COUNTIF($E$2:E5846,"Outlook"),"")</f>
        <v/>
      </c>
      <c r="K5846">
        <f>IF(E5846="Domain",COUNTIF($E$2:E5846,"Domain"),"")</f>
        <v/>
      </c>
    </row>
    <row r="5847">
      <c r="A5847" s="2" t="n"/>
      <c r="B5847">
        <f>LOWER(TRIM(A5847))</f>
        <v/>
      </c>
      <c r="C5847">
        <f>IF(B5847="","",IFERROR(INDEX('Bad Patterns'!$A$2:$A$120,MATCH(1,INDEX(--ISNUMBER(SEARCH('Bad Patterns'!$A$2:$A$120,B5847)),0),0)),""))</f>
        <v/>
      </c>
      <c r="D5847">
        <f>IF(B5847="","",IF(C5847&lt;&gt;"","REMOVE","KEEP"))</f>
        <v/>
      </c>
      <c r="E5847">
        <f>IF(D5847&lt;&gt;"KEEP","",IF(RIGHT(B5847,10)="@gmail.com","Gmail",IF(OR(RIGHT(B5847,12)="@outlook.com",RIGHT(B5847,12)="@hotmail.com",RIGHT(B5847,9)="@live.com"),"Outlook","Domain")))</f>
        <v/>
      </c>
      <c r="F5847">
        <f>IF(B5847="","",IFERROR(RIGHT(B5847,LEN(B5847)-FIND("@",B5847)),""))</f>
        <v/>
      </c>
      <c r="G5847">
        <f>IF(D5847="KEEP",COUNTIF($D$2:D5847,"KEEP"),"")</f>
        <v/>
      </c>
      <c r="H5847">
        <f>IF(D5847="REMOVE",COUNTIF($D$2:D5847,"REMOVE"),"")</f>
        <v/>
      </c>
      <c r="I5847">
        <f>IF(E5847="Gmail",COUNTIF($E$2:E5847,"Gmail"),"")</f>
        <v/>
      </c>
      <c r="J5847">
        <f>IF(E5847="Outlook",COUNTIF($E$2:E5847,"Outlook"),"")</f>
        <v/>
      </c>
      <c r="K5847">
        <f>IF(E5847="Domain",COUNTIF($E$2:E5847,"Domain"),"")</f>
        <v/>
      </c>
    </row>
    <row r="5848">
      <c r="A5848" s="2" t="n"/>
      <c r="B5848">
        <f>LOWER(TRIM(A5848))</f>
        <v/>
      </c>
      <c r="C5848">
        <f>IF(B5848="","",IFERROR(INDEX('Bad Patterns'!$A$2:$A$120,MATCH(1,INDEX(--ISNUMBER(SEARCH('Bad Patterns'!$A$2:$A$120,B5848)),0),0)),""))</f>
        <v/>
      </c>
      <c r="D5848">
        <f>IF(B5848="","",IF(C5848&lt;&gt;"","REMOVE","KEEP"))</f>
        <v/>
      </c>
      <c r="E5848">
        <f>IF(D5848&lt;&gt;"KEEP","",IF(RIGHT(B5848,10)="@gmail.com","Gmail",IF(OR(RIGHT(B5848,12)="@outlook.com",RIGHT(B5848,12)="@hotmail.com",RIGHT(B5848,9)="@live.com"),"Outlook","Domain")))</f>
        <v/>
      </c>
      <c r="F5848">
        <f>IF(B5848="","",IFERROR(RIGHT(B5848,LEN(B5848)-FIND("@",B5848)),""))</f>
        <v/>
      </c>
      <c r="G5848">
        <f>IF(D5848="KEEP",COUNTIF($D$2:D5848,"KEEP"),"")</f>
        <v/>
      </c>
      <c r="H5848">
        <f>IF(D5848="REMOVE",COUNTIF($D$2:D5848,"REMOVE"),"")</f>
        <v/>
      </c>
      <c r="I5848">
        <f>IF(E5848="Gmail",COUNTIF($E$2:E5848,"Gmail"),"")</f>
        <v/>
      </c>
      <c r="J5848">
        <f>IF(E5848="Outlook",COUNTIF($E$2:E5848,"Outlook"),"")</f>
        <v/>
      </c>
      <c r="K5848">
        <f>IF(E5848="Domain",COUNTIF($E$2:E5848,"Domain"),"")</f>
        <v/>
      </c>
    </row>
    <row r="5849">
      <c r="A5849" s="2" t="n"/>
      <c r="B5849">
        <f>LOWER(TRIM(A5849))</f>
        <v/>
      </c>
      <c r="C5849">
        <f>IF(B5849="","",IFERROR(INDEX('Bad Patterns'!$A$2:$A$120,MATCH(1,INDEX(--ISNUMBER(SEARCH('Bad Patterns'!$A$2:$A$120,B5849)),0),0)),""))</f>
        <v/>
      </c>
      <c r="D5849">
        <f>IF(B5849="","",IF(C5849&lt;&gt;"","REMOVE","KEEP"))</f>
        <v/>
      </c>
      <c r="E5849">
        <f>IF(D5849&lt;&gt;"KEEP","",IF(RIGHT(B5849,10)="@gmail.com","Gmail",IF(OR(RIGHT(B5849,12)="@outlook.com",RIGHT(B5849,12)="@hotmail.com",RIGHT(B5849,9)="@live.com"),"Outlook","Domain")))</f>
        <v/>
      </c>
      <c r="F5849">
        <f>IF(B5849="","",IFERROR(RIGHT(B5849,LEN(B5849)-FIND("@",B5849)),""))</f>
        <v/>
      </c>
      <c r="G5849">
        <f>IF(D5849="KEEP",COUNTIF($D$2:D5849,"KEEP"),"")</f>
        <v/>
      </c>
      <c r="H5849">
        <f>IF(D5849="REMOVE",COUNTIF($D$2:D5849,"REMOVE"),"")</f>
        <v/>
      </c>
      <c r="I5849">
        <f>IF(E5849="Gmail",COUNTIF($E$2:E5849,"Gmail"),"")</f>
        <v/>
      </c>
      <c r="J5849">
        <f>IF(E5849="Outlook",COUNTIF($E$2:E5849,"Outlook"),"")</f>
        <v/>
      </c>
      <c r="K5849">
        <f>IF(E5849="Domain",COUNTIF($E$2:E5849,"Domain"),"")</f>
        <v/>
      </c>
    </row>
    <row r="5850">
      <c r="A5850" s="2" t="n"/>
      <c r="B5850">
        <f>LOWER(TRIM(A5850))</f>
        <v/>
      </c>
      <c r="C5850">
        <f>IF(B5850="","",IFERROR(INDEX('Bad Patterns'!$A$2:$A$120,MATCH(1,INDEX(--ISNUMBER(SEARCH('Bad Patterns'!$A$2:$A$120,B5850)),0),0)),""))</f>
        <v/>
      </c>
      <c r="D5850">
        <f>IF(B5850="","",IF(C5850&lt;&gt;"","REMOVE","KEEP"))</f>
        <v/>
      </c>
      <c r="E5850">
        <f>IF(D5850&lt;&gt;"KEEP","",IF(RIGHT(B5850,10)="@gmail.com","Gmail",IF(OR(RIGHT(B5850,12)="@outlook.com",RIGHT(B5850,12)="@hotmail.com",RIGHT(B5850,9)="@live.com"),"Outlook","Domain")))</f>
        <v/>
      </c>
      <c r="F5850">
        <f>IF(B5850="","",IFERROR(RIGHT(B5850,LEN(B5850)-FIND("@",B5850)),""))</f>
        <v/>
      </c>
      <c r="G5850">
        <f>IF(D5850="KEEP",COUNTIF($D$2:D5850,"KEEP"),"")</f>
        <v/>
      </c>
      <c r="H5850">
        <f>IF(D5850="REMOVE",COUNTIF($D$2:D5850,"REMOVE"),"")</f>
        <v/>
      </c>
      <c r="I5850">
        <f>IF(E5850="Gmail",COUNTIF($E$2:E5850,"Gmail"),"")</f>
        <v/>
      </c>
      <c r="J5850">
        <f>IF(E5850="Outlook",COUNTIF($E$2:E5850,"Outlook"),"")</f>
        <v/>
      </c>
      <c r="K5850">
        <f>IF(E5850="Domain",COUNTIF($E$2:E5850,"Domain"),"")</f>
        <v/>
      </c>
    </row>
    <row r="5851">
      <c r="A5851" s="2" t="n"/>
      <c r="B5851">
        <f>LOWER(TRIM(A5851))</f>
        <v/>
      </c>
      <c r="C5851">
        <f>IF(B5851="","",IFERROR(INDEX('Bad Patterns'!$A$2:$A$120,MATCH(1,INDEX(--ISNUMBER(SEARCH('Bad Patterns'!$A$2:$A$120,B5851)),0),0)),""))</f>
        <v/>
      </c>
      <c r="D5851">
        <f>IF(B5851="","",IF(C5851&lt;&gt;"","REMOVE","KEEP"))</f>
        <v/>
      </c>
      <c r="E5851">
        <f>IF(D5851&lt;&gt;"KEEP","",IF(RIGHT(B5851,10)="@gmail.com","Gmail",IF(OR(RIGHT(B5851,12)="@outlook.com",RIGHT(B5851,12)="@hotmail.com",RIGHT(B5851,9)="@live.com"),"Outlook","Domain")))</f>
        <v/>
      </c>
      <c r="F5851">
        <f>IF(B5851="","",IFERROR(RIGHT(B5851,LEN(B5851)-FIND("@",B5851)),""))</f>
        <v/>
      </c>
      <c r="G5851">
        <f>IF(D5851="KEEP",COUNTIF($D$2:D5851,"KEEP"),"")</f>
        <v/>
      </c>
      <c r="H5851">
        <f>IF(D5851="REMOVE",COUNTIF($D$2:D5851,"REMOVE"),"")</f>
        <v/>
      </c>
      <c r="I5851">
        <f>IF(E5851="Gmail",COUNTIF($E$2:E5851,"Gmail"),"")</f>
        <v/>
      </c>
      <c r="J5851">
        <f>IF(E5851="Outlook",COUNTIF($E$2:E5851,"Outlook"),"")</f>
        <v/>
      </c>
      <c r="K5851">
        <f>IF(E5851="Domain",COUNTIF($E$2:E5851,"Domain"),"")</f>
        <v/>
      </c>
    </row>
    <row r="5852">
      <c r="A5852" s="2" t="n"/>
      <c r="B5852">
        <f>LOWER(TRIM(A5852))</f>
        <v/>
      </c>
      <c r="C5852">
        <f>IF(B5852="","",IFERROR(INDEX('Bad Patterns'!$A$2:$A$120,MATCH(1,INDEX(--ISNUMBER(SEARCH('Bad Patterns'!$A$2:$A$120,B5852)),0),0)),""))</f>
        <v/>
      </c>
      <c r="D5852">
        <f>IF(B5852="","",IF(C5852&lt;&gt;"","REMOVE","KEEP"))</f>
        <v/>
      </c>
      <c r="E5852">
        <f>IF(D5852&lt;&gt;"KEEP","",IF(RIGHT(B5852,10)="@gmail.com","Gmail",IF(OR(RIGHT(B5852,12)="@outlook.com",RIGHT(B5852,12)="@hotmail.com",RIGHT(B5852,9)="@live.com"),"Outlook","Domain")))</f>
        <v/>
      </c>
      <c r="F5852">
        <f>IF(B5852="","",IFERROR(RIGHT(B5852,LEN(B5852)-FIND("@",B5852)),""))</f>
        <v/>
      </c>
      <c r="G5852">
        <f>IF(D5852="KEEP",COUNTIF($D$2:D5852,"KEEP"),"")</f>
        <v/>
      </c>
      <c r="H5852">
        <f>IF(D5852="REMOVE",COUNTIF($D$2:D5852,"REMOVE"),"")</f>
        <v/>
      </c>
      <c r="I5852">
        <f>IF(E5852="Gmail",COUNTIF($E$2:E5852,"Gmail"),"")</f>
        <v/>
      </c>
      <c r="J5852">
        <f>IF(E5852="Outlook",COUNTIF($E$2:E5852,"Outlook"),"")</f>
        <v/>
      </c>
      <c r="K5852">
        <f>IF(E5852="Domain",COUNTIF($E$2:E5852,"Domain"),"")</f>
        <v/>
      </c>
    </row>
    <row r="5853">
      <c r="A5853" s="2" t="n"/>
      <c r="B5853">
        <f>LOWER(TRIM(A5853))</f>
        <v/>
      </c>
      <c r="C5853">
        <f>IF(B5853="","",IFERROR(INDEX('Bad Patterns'!$A$2:$A$120,MATCH(1,INDEX(--ISNUMBER(SEARCH('Bad Patterns'!$A$2:$A$120,B5853)),0),0)),""))</f>
        <v/>
      </c>
      <c r="D5853">
        <f>IF(B5853="","",IF(C5853&lt;&gt;"","REMOVE","KEEP"))</f>
        <v/>
      </c>
      <c r="E5853">
        <f>IF(D5853&lt;&gt;"KEEP","",IF(RIGHT(B5853,10)="@gmail.com","Gmail",IF(OR(RIGHT(B5853,12)="@outlook.com",RIGHT(B5853,12)="@hotmail.com",RIGHT(B5853,9)="@live.com"),"Outlook","Domain")))</f>
        <v/>
      </c>
      <c r="F5853">
        <f>IF(B5853="","",IFERROR(RIGHT(B5853,LEN(B5853)-FIND("@",B5853)),""))</f>
        <v/>
      </c>
      <c r="G5853">
        <f>IF(D5853="KEEP",COUNTIF($D$2:D5853,"KEEP"),"")</f>
        <v/>
      </c>
      <c r="H5853">
        <f>IF(D5853="REMOVE",COUNTIF($D$2:D5853,"REMOVE"),"")</f>
        <v/>
      </c>
      <c r="I5853">
        <f>IF(E5853="Gmail",COUNTIF($E$2:E5853,"Gmail"),"")</f>
        <v/>
      </c>
      <c r="J5853">
        <f>IF(E5853="Outlook",COUNTIF($E$2:E5853,"Outlook"),"")</f>
        <v/>
      </c>
      <c r="K5853">
        <f>IF(E5853="Domain",COUNTIF($E$2:E5853,"Domain"),"")</f>
        <v/>
      </c>
    </row>
    <row r="5854">
      <c r="A5854" s="2" t="n"/>
      <c r="B5854">
        <f>LOWER(TRIM(A5854))</f>
        <v/>
      </c>
      <c r="C5854">
        <f>IF(B5854="","",IFERROR(INDEX('Bad Patterns'!$A$2:$A$120,MATCH(1,INDEX(--ISNUMBER(SEARCH('Bad Patterns'!$A$2:$A$120,B5854)),0),0)),""))</f>
        <v/>
      </c>
      <c r="D5854">
        <f>IF(B5854="","",IF(C5854&lt;&gt;"","REMOVE","KEEP"))</f>
        <v/>
      </c>
      <c r="E5854">
        <f>IF(D5854&lt;&gt;"KEEP","",IF(RIGHT(B5854,10)="@gmail.com","Gmail",IF(OR(RIGHT(B5854,12)="@outlook.com",RIGHT(B5854,12)="@hotmail.com",RIGHT(B5854,9)="@live.com"),"Outlook","Domain")))</f>
        <v/>
      </c>
      <c r="F5854">
        <f>IF(B5854="","",IFERROR(RIGHT(B5854,LEN(B5854)-FIND("@",B5854)),""))</f>
        <v/>
      </c>
      <c r="G5854">
        <f>IF(D5854="KEEP",COUNTIF($D$2:D5854,"KEEP"),"")</f>
        <v/>
      </c>
      <c r="H5854">
        <f>IF(D5854="REMOVE",COUNTIF($D$2:D5854,"REMOVE"),"")</f>
        <v/>
      </c>
      <c r="I5854">
        <f>IF(E5854="Gmail",COUNTIF($E$2:E5854,"Gmail"),"")</f>
        <v/>
      </c>
      <c r="J5854">
        <f>IF(E5854="Outlook",COUNTIF($E$2:E5854,"Outlook"),"")</f>
        <v/>
      </c>
      <c r="K5854">
        <f>IF(E5854="Domain",COUNTIF($E$2:E5854,"Domain"),"")</f>
        <v/>
      </c>
    </row>
    <row r="5855">
      <c r="A5855" s="2" t="n"/>
      <c r="B5855">
        <f>LOWER(TRIM(A5855))</f>
        <v/>
      </c>
      <c r="C5855">
        <f>IF(B5855="","",IFERROR(INDEX('Bad Patterns'!$A$2:$A$120,MATCH(1,INDEX(--ISNUMBER(SEARCH('Bad Patterns'!$A$2:$A$120,B5855)),0),0)),""))</f>
        <v/>
      </c>
      <c r="D5855">
        <f>IF(B5855="","",IF(C5855&lt;&gt;"","REMOVE","KEEP"))</f>
        <v/>
      </c>
      <c r="E5855">
        <f>IF(D5855&lt;&gt;"KEEP","",IF(RIGHT(B5855,10)="@gmail.com","Gmail",IF(OR(RIGHT(B5855,12)="@outlook.com",RIGHT(B5855,12)="@hotmail.com",RIGHT(B5855,9)="@live.com"),"Outlook","Domain")))</f>
        <v/>
      </c>
      <c r="F5855">
        <f>IF(B5855="","",IFERROR(RIGHT(B5855,LEN(B5855)-FIND("@",B5855)),""))</f>
        <v/>
      </c>
      <c r="G5855">
        <f>IF(D5855="KEEP",COUNTIF($D$2:D5855,"KEEP"),"")</f>
        <v/>
      </c>
      <c r="H5855">
        <f>IF(D5855="REMOVE",COUNTIF($D$2:D5855,"REMOVE"),"")</f>
        <v/>
      </c>
      <c r="I5855">
        <f>IF(E5855="Gmail",COUNTIF($E$2:E5855,"Gmail"),"")</f>
        <v/>
      </c>
      <c r="J5855">
        <f>IF(E5855="Outlook",COUNTIF($E$2:E5855,"Outlook"),"")</f>
        <v/>
      </c>
      <c r="K5855">
        <f>IF(E5855="Domain",COUNTIF($E$2:E5855,"Domain"),"")</f>
        <v/>
      </c>
    </row>
    <row r="5856">
      <c r="A5856" s="2" t="n"/>
      <c r="B5856">
        <f>LOWER(TRIM(A5856))</f>
        <v/>
      </c>
      <c r="C5856">
        <f>IF(B5856="","",IFERROR(INDEX('Bad Patterns'!$A$2:$A$120,MATCH(1,INDEX(--ISNUMBER(SEARCH('Bad Patterns'!$A$2:$A$120,B5856)),0),0)),""))</f>
        <v/>
      </c>
      <c r="D5856">
        <f>IF(B5856="","",IF(C5856&lt;&gt;"","REMOVE","KEEP"))</f>
        <v/>
      </c>
      <c r="E5856">
        <f>IF(D5856&lt;&gt;"KEEP","",IF(RIGHT(B5856,10)="@gmail.com","Gmail",IF(OR(RIGHT(B5856,12)="@outlook.com",RIGHT(B5856,12)="@hotmail.com",RIGHT(B5856,9)="@live.com"),"Outlook","Domain")))</f>
        <v/>
      </c>
      <c r="F5856">
        <f>IF(B5856="","",IFERROR(RIGHT(B5856,LEN(B5856)-FIND("@",B5856)),""))</f>
        <v/>
      </c>
      <c r="G5856">
        <f>IF(D5856="KEEP",COUNTIF($D$2:D5856,"KEEP"),"")</f>
        <v/>
      </c>
      <c r="H5856">
        <f>IF(D5856="REMOVE",COUNTIF($D$2:D5856,"REMOVE"),"")</f>
        <v/>
      </c>
      <c r="I5856">
        <f>IF(E5856="Gmail",COUNTIF($E$2:E5856,"Gmail"),"")</f>
        <v/>
      </c>
      <c r="J5856">
        <f>IF(E5856="Outlook",COUNTIF($E$2:E5856,"Outlook"),"")</f>
        <v/>
      </c>
      <c r="K5856">
        <f>IF(E5856="Domain",COUNTIF($E$2:E5856,"Domain"),"")</f>
        <v/>
      </c>
    </row>
    <row r="5857">
      <c r="A5857" s="2" t="n"/>
      <c r="B5857">
        <f>LOWER(TRIM(A5857))</f>
        <v/>
      </c>
      <c r="C5857">
        <f>IF(B5857="","",IFERROR(INDEX('Bad Patterns'!$A$2:$A$120,MATCH(1,INDEX(--ISNUMBER(SEARCH('Bad Patterns'!$A$2:$A$120,B5857)),0),0)),""))</f>
        <v/>
      </c>
      <c r="D5857">
        <f>IF(B5857="","",IF(C5857&lt;&gt;"","REMOVE","KEEP"))</f>
        <v/>
      </c>
      <c r="E5857">
        <f>IF(D5857&lt;&gt;"KEEP","",IF(RIGHT(B5857,10)="@gmail.com","Gmail",IF(OR(RIGHT(B5857,12)="@outlook.com",RIGHT(B5857,12)="@hotmail.com",RIGHT(B5857,9)="@live.com"),"Outlook","Domain")))</f>
        <v/>
      </c>
      <c r="F5857">
        <f>IF(B5857="","",IFERROR(RIGHT(B5857,LEN(B5857)-FIND("@",B5857)),""))</f>
        <v/>
      </c>
      <c r="G5857">
        <f>IF(D5857="KEEP",COUNTIF($D$2:D5857,"KEEP"),"")</f>
        <v/>
      </c>
      <c r="H5857">
        <f>IF(D5857="REMOVE",COUNTIF($D$2:D5857,"REMOVE"),"")</f>
        <v/>
      </c>
      <c r="I5857">
        <f>IF(E5857="Gmail",COUNTIF($E$2:E5857,"Gmail"),"")</f>
        <v/>
      </c>
      <c r="J5857">
        <f>IF(E5857="Outlook",COUNTIF($E$2:E5857,"Outlook"),"")</f>
        <v/>
      </c>
      <c r="K5857">
        <f>IF(E5857="Domain",COUNTIF($E$2:E5857,"Domain"),"")</f>
        <v/>
      </c>
    </row>
    <row r="5858">
      <c r="A5858" s="2" t="n"/>
      <c r="B5858">
        <f>LOWER(TRIM(A5858))</f>
        <v/>
      </c>
      <c r="C5858">
        <f>IF(B5858="","",IFERROR(INDEX('Bad Patterns'!$A$2:$A$120,MATCH(1,INDEX(--ISNUMBER(SEARCH('Bad Patterns'!$A$2:$A$120,B5858)),0),0)),""))</f>
        <v/>
      </c>
      <c r="D5858">
        <f>IF(B5858="","",IF(C5858&lt;&gt;"","REMOVE","KEEP"))</f>
        <v/>
      </c>
      <c r="E5858">
        <f>IF(D5858&lt;&gt;"KEEP","",IF(RIGHT(B5858,10)="@gmail.com","Gmail",IF(OR(RIGHT(B5858,12)="@outlook.com",RIGHT(B5858,12)="@hotmail.com",RIGHT(B5858,9)="@live.com"),"Outlook","Domain")))</f>
        <v/>
      </c>
      <c r="F5858">
        <f>IF(B5858="","",IFERROR(RIGHT(B5858,LEN(B5858)-FIND("@",B5858)),""))</f>
        <v/>
      </c>
      <c r="G5858">
        <f>IF(D5858="KEEP",COUNTIF($D$2:D5858,"KEEP"),"")</f>
        <v/>
      </c>
      <c r="H5858">
        <f>IF(D5858="REMOVE",COUNTIF($D$2:D5858,"REMOVE"),"")</f>
        <v/>
      </c>
      <c r="I5858">
        <f>IF(E5858="Gmail",COUNTIF($E$2:E5858,"Gmail"),"")</f>
        <v/>
      </c>
      <c r="J5858">
        <f>IF(E5858="Outlook",COUNTIF($E$2:E5858,"Outlook"),"")</f>
        <v/>
      </c>
      <c r="K5858">
        <f>IF(E5858="Domain",COUNTIF($E$2:E5858,"Domain"),"")</f>
        <v/>
      </c>
    </row>
    <row r="5859">
      <c r="A5859" s="2" t="n"/>
      <c r="B5859">
        <f>LOWER(TRIM(A5859))</f>
        <v/>
      </c>
      <c r="C5859">
        <f>IF(B5859="","",IFERROR(INDEX('Bad Patterns'!$A$2:$A$120,MATCH(1,INDEX(--ISNUMBER(SEARCH('Bad Patterns'!$A$2:$A$120,B5859)),0),0)),""))</f>
        <v/>
      </c>
      <c r="D5859">
        <f>IF(B5859="","",IF(C5859&lt;&gt;"","REMOVE","KEEP"))</f>
        <v/>
      </c>
      <c r="E5859">
        <f>IF(D5859&lt;&gt;"KEEP","",IF(RIGHT(B5859,10)="@gmail.com","Gmail",IF(OR(RIGHT(B5859,12)="@outlook.com",RIGHT(B5859,12)="@hotmail.com",RIGHT(B5859,9)="@live.com"),"Outlook","Domain")))</f>
        <v/>
      </c>
      <c r="F5859">
        <f>IF(B5859="","",IFERROR(RIGHT(B5859,LEN(B5859)-FIND("@",B5859)),""))</f>
        <v/>
      </c>
      <c r="G5859">
        <f>IF(D5859="KEEP",COUNTIF($D$2:D5859,"KEEP"),"")</f>
        <v/>
      </c>
      <c r="H5859">
        <f>IF(D5859="REMOVE",COUNTIF($D$2:D5859,"REMOVE"),"")</f>
        <v/>
      </c>
      <c r="I5859">
        <f>IF(E5859="Gmail",COUNTIF($E$2:E5859,"Gmail"),"")</f>
        <v/>
      </c>
      <c r="J5859">
        <f>IF(E5859="Outlook",COUNTIF($E$2:E5859,"Outlook"),"")</f>
        <v/>
      </c>
      <c r="K5859">
        <f>IF(E5859="Domain",COUNTIF($E$2:E5859,"Domain"),"")</f>
        <v/>
      </c>
    </row>
    <row r="5860">
      <c r="A5860" s="2" t="n"/>
      <c r="B5860">
        <f>LOWER(TRIM(A5860))</f>
        <v/>
      </c>
      <c r="C5860">
        <f>IF(B5860="","",IFERROR(INDEX('Bad Patterns'!$A$2:$A$120,MATCH(1,INDEX(--ISNUMBER(SEARCH('Bad Patterns'!$A$2:$A$120,B5860)),0),0)),""))</f>
        <v/>
      </c>
      <c r="D5860">
        <f>IF(B5860="","",IF(C5860&lt;&gt;"","REMOVE","KEEP"))</f>
        <v/>
      </c>
      <c r="E5860">
        <f>IF(D5860&lt;&gt;"KEEP","",IF(RIGHT(B5860,10)="@gmail.com","Gmail",IF(OR(RIGHT(B5860,12)="@outlook.com",RIGHT(B5860,12)="@hotmail.com",RIGHT(B5860,9)="@live.com"),"Outlook","Domain")))</f>
        <v/>
      </c>
      <c r="F5860">
        <f>IF(B5860="","",IFERROR(RIGHT(B5860,LEN(B5860)-FIND("@",B5860)),""))</f>
        <v/>
      </c>
      <c r="G5860">
        <f>IF(D5860="KEEP",COUNTIF($D$2:D5860,"KEEP"),"")</f>
        <v/>
      </c>
      <c r="H5860">
        <f>IF(D5860="REMOVE",COUNTIF($D$2:D5860,"REMOVE"),"")</f>
        <v/>
      </c>
      <c r="I5860">
        <f>IF(E5860="Gmail",COUNTIF($E$2:E5860,"Gmail"),"")</f>
        <v/>
      </c>
      <c r="J5860">
        <f>IF(E5860="Outlook",COUNTIF($E$2:E5860,"Outlook"),"")</f>
        <v/>
      </c>
      <c r="K5860">
        <f>IF(E5860="Domain",COUNTIF($E$2:E5860,"Domain"),"")</f>
        <v/>
      </c>
    </row>
    <row r="5861">
      <c r="A5861" s="2" t="n"/>
      <c r="B5861">
        <f>LOWER(TRIM(A5861))</f>
        <v/>
      </c>
      <c r="C5861">
        <f>IF(B5861="","",IFERROR(INDEX('Bad Patterns'!$A$2:$A$120,MATCH(1,INDEX(--ISNUMBER(SEARCH('Bad Patterns'!$A$2:$A$120,B5861)),0),0)),""))</f>
        <v/>
      </c>
      <c r="D5861">
        <f>IF(B5861="","",IF(C5861&lt;&gt;"","REMOVE","KEEP"))</f>
        <v/>
      </c>
      <c r="E5861">
        <f>IF(D5861&lt;&gt;"KEEP","",IF(RIGHT(B5861,10)="@gmail.com","Gmail",IF(OR(RIGHT(B5861,12)="@outlook.com",RIGHT(B5861,12)="@hotmail.com",RIGHT(B5861,9)="@live.com"),"Outlook","Domain")))</f>
        <v/>
      </c>
      <c r="F5861">
        <f>IF(B5861="","",IFERROR(RIGHT(B5861,LEN(B5861)-FIND("@",B5861)),""))</f>
        <v/>
      </c>
      <c r="G5861">
        <f>IF(D5861="KEEP",COUNTIF($D$2:D5861,"KEEP"),"")</f>
        <v/>
      </c>
      <c r="H5861">
        <f>IF(D5861="REMOVE",COUNTIF($D$2:D5861,"REMOVE"),"")</f>
        <v/>
      </c>
      <c r="I5861">
        <f>IF(E5861="Gmail",COUNTIF($E$2:E5861,"Gmail"),"")</f>
        <v/>
      </c>
      <c r="J5861">
        <f>IF(E5861="Outlook",COUNTIF($E$2:E5861,"Outlook"),"")</f>
        <v/>
      </c>
      <c r="K5861">
        <f>IF(E5861="Domain",COUNTIF($E$2:E5861,"Domain"),"")</f>
        <v/>
      </c>
    </row>
    <row r="5862">
      <c r="A5862" s="2" t="n"/>
      <c r="B5862">
        <f>LOWER(TRIM(A5862))</f>
        <v/>
      </c>
      <c r="C5862">
        <f>IF(B5862="","",IFERROR(INDEX('Bad Patterns'!$A$2:$A$120,MATCH(1,INDEX(--ISNUMBER(SEARCH('Bad Patterns'!$A$2:$A$120,B5862)),0),0)),""))</f>
        <v/>
      </c>
      <c r="D5862">
        <f>IF(B5862="","",IF(C5862&lt;&gt;"","REMOVE","KEEP"))</f>
        <v/>
      </c>
      <c r="E5862">
        <f>IF(D5862&lt;&gt;"KEEP","",IF(RIGHT(B5862,10)="@gmail.com","Gmail",IF(OR(RIGHT(B5862,12)="@outlook.com",RIGHT(B5862,12)="@hotmail.com",RIGHT(B5862,9)="@live.com"),"Outlook","Domain")))</f>
        <v/>
      </c>
      <c r="F5862">
        <f>IF(B5862="","",IFERROR(RIGHT(B5862,LEN(B5862)-FIND("@",B5862)),""))</f>
        <v/>
      </c>
      <c r="G5862">
        <f>IF(D5862="KEEP",COUNTIF($D$2:D5862,"KEEP"),"")</f>
        <v/>
      </c>
      <c r="H5862">
        <f>IF(D5862="REMOVE",COUNTIF($D$2:D5862,"REMOVE"),"")</f>
        <v/>
      </c>
      <c r="I5862">
        <f>IF(E5862="Gmail",COUNTIF($E$2:E5862,"Gmail"),"")</f>
        <v/>
      </c>
      <c r="J5862">
        <f>IF(E5862="Outlook",COUNTIF($E$2:E5862,"Outlook"),"")</f>
        <v/>
      </c>
      <c r="K5862">
        <f>IF(E5862="Domain",COUNTIF($E$2:E5862,"Domain"),"")</f>
        <v/>
      </c>
    </row>
    <row r="5863">
      <c r="A5863" s="2" t="n"/>
      <c r="B5863">
        <f>LOWER(TRIM(A5863))</f>
        <v/>
      </c>
      <c r="C5863">
        <f>IF(B5863="","",IFERROR(INDEX('Bad Patterns'!$A$2:$A$120,MATCH(1,INDEX(--ISNUMBER(SEARCH('Bad Patterns'!$A$2:$A$120,B5863)),0),0)),""))</f>
        <v/>
      </c>
      <c r="D5863">
        <f>IF(B5863="","",IF(C5863&lt;&gt;"","REMOVE","KEEP"))</f>
        <v/>
      </c>
      <c r="E5863">
        <f>IF(D5863&lt;&gt;"KEEP","",IF(RIGHT(B5863,10)="@gmail.com","Gmail",IF(OR(RIGHT(B5863,12)="@outlook.com",RIGHT(B5863,12)="@hotmail.com",RIGHT(B5863,9)="@live.com"),"Outlook","Domain")))</f>
        <v/>
      </c>
      <c r="F5863">
        <f>IF(B5863="","",IFERROR(RIGHT(B5863,LEN(B5863)-FIND("@",B5863)),""))</f>
        <v/>
      </c>
      <c r="G5863">
        <f>IF(D5863="KEEP",COUNTIF($D$2:D5863,"KEEP"),"")</f>
        <v/>
      </c>
      <c r="H5863">
        <f>IF(D5863="REMOVE",COUNTIF($D$2:D5863,"REMOVE"),"")</f>
        <v/>
      </c>
      <c r="I5863">
        <f>IF(E5863="Gmail",COUNTIF($E$2:E5863,"Gmail"),"")</f>
        <v/>
      </c>
      <c r="J5863">
        <f>IF(E5863="Outlook",COUNTIF($E$2:E5863,"Outlook"),"")</f>
        <v/>
      </c>
      <c r="K5863">
        <f>IF(E5863="Domain",COUNTIF($E$2:E5863,"Domain"),"")</f>
        <v/>
      </c>
    </row>
    <row r="5864">
      <c r="A5864" s="2" t="n"/>
      <c r="B5864">
        <f>LOWER(TRIM(A5864))</f>
        <v/>
      </c>
      <c r="C5864">
        <f>IF(B5864="","",IFERROR(INDEX('Bad Patterns'!$A$2:$A$120,MATCH(1,INDEX(--ISNUMBER(SEARCH('Bad Patterns'!$A$2:$A$120,B5864)),0),0)),""))</f>
        <v/>
      </c>
      <c r="D5864">
        <f>IF(B5864="","",IF(C5864&lt;&gt;"","REMOVE","KEEP"))</f>
        <v/>
      </c>
      <c r="E5864">
        <f>IF(D5864&lt;&gt;"KEEP","",IF(RIGHT(B5864,10)="@gmail.com","Gmail",IF(OR(RIGHT(B5864,12)="@outlook.com",RIGHT(B5864,12)="@hotmail.com",RIGHT(B5864,9)="@live.com"),"Outlook","Domain")))</f>
        <v/>
      </c>
      <c r="F5864">
        <f>IF(B5864="","",IFERROR(RIGHT(B5864,LEN(B5864)-FIND("@",B5864)),""))</f>
        <v/>
      </c>
      <c r="G5864">
        <f>IF(D5864="KEEP",COUNTIF($D$2:D5864,"KEEP"),"")</f>
        <v/>
      </c>
      <c r="H5864">
        <f>IF(D5864="REMOVE",COUNTIF($D$2:D5864,"REMOVE"),"")</f>
        <v/>
      </c>
      <c r="I5864">
        <f>IF(E5864="Gmail",COUNTIF($E$2:E5864,"Gmail"),"")</f>
        <v/>
      </c>
      <c r="J5864">
        <f>IF(E5864="Outlook",COUNTIF($E$2:E5864,"Outlook"),"")</f>
        <v/>
      </c>
      <c r="K5864">
        <f>IF(E5864="Domain",COUNTIF($E$2:E5864,"Domain"),"")</f>
        <v/>
      </c>
    </row>
    <row r="5865">
      <c r="A5865" s="2" t="n"/>
      <c r="B5865">
        <f>LOWER(TRIM(A5865))</f>
        <v/>
      </c>
      <c r="C5865">
        <f>IF(B5865="","",IFERROR(INDEX('Bad Patterns'!$A$2:$A$120,MATCH(1,INDEX(--ISNUMBER(SEARCH('Bad Patterns'!$A$2:$A$120,B5865)),0),0)),""))</f>
        <v/>
      </c>
      <c r="D5865">
        <f>IF(B5865="","",IF(C5865&lt;&gt;"","REMOVE","KEEP"))</f>
        <v/>
      </c>
      <c r="E5865">
        <f>IF(D5865&lt;&gt;"KEEP","",IF(RIGHT(B5865,10)="@gmail.com","Gmail",IF(OR(RIGHT(B5865,12)="@outlook.com",RIGHT(B5865,12)="@hotmail.com",RIGHT(B5865,9)="@live.com"),"Outlook","Domain")))</f>
        <v/>
      </c>
      <c r="F5865">
        <f>IF(B5865="","",IFERROR(RIGHT(B5865,LEN(B5865)-FIND("@",B5865)),""))</f>
        <v/>
      </c>
      <c r="G5865">
        <f>IF(D5865="KEEP",COUNTIF($D$2:D5865,"KEEP"),"")</f>
        <v/>
      </c>
      <c r="H5865">
        <f>IF(D5865="REMOVE",COUNTIF($D$2:D5865,"REMOVE"),"")</f>
        <v/>
      </c>
      <c r="I5865">
        <f>IF(E5865="Gmail",COUNTIF($E$2:E5865,"Gmail"),"")</f>
        <v/>
      </c>
      <c r="J5865">
        <f>IF(E5865="Outlook",COUNTIF($E$2:E5865,"Outlook"),"")</f>
        <v/>
      </c>
      <c r="K5865">
        <f>IF(E5865="Domain",COUNTIF($E$2:E5865,"Domain"),"")</f>
        <v/>
      </c>
    </row>
    <row r="5866">
      <c r="A5866" s="2" t="n"/>
      <c r="B5866">
        <f>LOWER(TRIM(A5866))</f>
        <v/>
      </c>
      <c r="C5866">
        <f>IF(B5866="","",IFERROR(INDEX('Bad Patterns'!$A$2:$A$120,MATCH(1,INDEX(--ISNUMBER(SEARCH('Bad Patterns'!$A$2:$A$120,B5866)),0),0)),""))</f>
        <v/>
      </c>
      <c r="D5866">
        <f>IF(B5866="","",IF(C5866&lt;&gt;"","REMOVE","KEEP"))</f>
        <v/>
      </c>
      <c r="E5866">
        <f>IF(D5866&lt;&gt;"KEEP","",IF(RIGHT(B5866,10)="@gmail.com","Gmail",IF(OR(RIGHT(B5866,12)="@outlook.com",RIGHT(B5866,12)="@hotmail.com",RIGHT(B5866,9)="@live.com"),"Outlook","Domain")))</f>
        <v/>
      </c>
      <c r="F5866">
        <f>IF(B5866="","",IFERROR(RIGHT(B5866,LEN(B5866)-FIND("@",B5866)),""))</f>
        <v/>
      </c>
      <c r="G5866">
        <f>IF(D5866="KEEP",COUNTIF($D$2:D5866,"KEEP"),"")</f>
        <v/>
      </c>
      <c r="H5866">
        <f>IF(D5866="REMOVE",COUNTIF($D$2:D5866,"REMOVE"),"")</f>
        <v/>
      </c>
      <c r="I5866">
        <f>IF(E5866="Gmail",COUNTIF($E$2:E5866,"Gmail"),"")</f>
        <v/>
      </c>
      <c r="J5866">
        <f>IF(E5866="Outlook",COUNTIF($E$2:E5866,"Outlook"),"")</f>
        <v/>
      </c>
      <c r="K5866">
        <f>IF(E5866="Domain",COUNTIF($E$2:E5866,"Domain"),"")</f>
        <v/>
      </c>
    </row>
    <row r="5867">
      <c r="A5867" s="2" t="n"/>
      <c r="B5867">
        <f>LOWER(TRIM(A5867))</f>
        <v/>
      </c>
      <c r="C5867">
        <f>IF(B5867="","",IFERROR(INDEX('Bad Patterns'!$A$2:$A$120,MATCH(1,INDEX(--ISNUMBER(SEARCH('Bad Patterns'!$A$2:$A$120,B5867)),0),0)),""))</f>
        <v/>
      </c>
      <c r="D5867">
        <f>IF(B5867="","",IF(C5867&lt;&gt;"","REMOVE","KEEP"))</f>
        <v/>
      </c>
      <c r="E5867">
        <f>IF(D5867&lt;&gt;"KEEP","",IF(RIGHT(B5867,10)="@gmail.com","Gmail",IF(OR(RIGHT(B5867,12)="@outlook.com",RIGHT(B5867,12)="@hotmail.com",RIGHT(B5867,9)="@live.com"),"Outlook","Domain")))</f>
        <v/>
      </c>
      <c r="F5867">
        <f>IF(B5867="","",IFERROR(RIGHT(B5867,LEN(B5867)-FIND("@",B5867)),""))</f>
        <v/>
      </c>
      <c r="G5867">
        <f>IF(D5867="KEEP",COUNTIF($D$2:D5867,"KEEP"),"")</f>
        <v/>
      </c>
      <c r="H5867">
        <f>IF(D5867="REMOVE",COUNTIF($D$2:D5867,"REMOVE"),"")</f>
        <v/>
      </c>
      <c r="I5867">
        <f>IF(E5867="Gmail",COUNTIF($E$2:E5867,"Gmail"),"")</f>
        <v/>
      </c>
      <c r="J5867">
        <f>IF(E5867="Outlook",COUNTIF($E$2:E5867,"Outlook"),"")</f>
        <v/>
      </c>
      <c r="K5867">
        <f>IF(E5867="Domain",COUNTIF($E$2:E5867,"Domain"),"")</f>
        <v/>
      </c>
    </row>
    <row r="5868">
      <c r="A5868" s="2" t="n"/>
      <c r="B5868">
        <f>LOWER(TRIM(A5868))</f>
        <v/>
      </c>
      <c r="C5868">
        <f>IF(B5868="","",IFERROR(INDEX('Bad Patterns'!$A$2:$A$120,MATCH(1,INDEX(--ISNUMBER(SEARCH('Bad Patterns'!$A$2:$A$120,B5868)),0),0)),""))</f>
        <v/>
      </c>
      <c r="D5868">
        <f>IF(B5868="","",IF(C5868&lt;&gt;"","REMOVE","KEEP"))</f>
        <v/>
      </c>
      <c r="E5868">
        <f>IF(D5868&lt;&gt;"KEEP","",IF(RIGHT(B5868,10)="@gmail.com","Gmail",IF(OR(RIGHT(B5868,12)="@outlook.com",RIGHT(B5868,12)="@hotmail.com",RIGHT(B5868,9)="@live.com"),"Outlook","Domain")))</f>
        <v/>
      </c>
      <c r="F5868">
        <f>IF(B5868="","",IFERROR(RIGHT(B5868,LEN(B5868)-FIND("@",B5868)),""))</f>
        <v/>
      </c>
      <c r="G5868">
        <f>IF(D5868="KEEP",COUNTIF($D$2:D5868,"KEEP"),"")</f>
        <v/>
      </c>
      <c r="H5868">
        <f>IF(D5868="REMOVE",COUNTIF($D$2:D5868,"REMOVE"),"")</f>
        <v/>
      </c>
      <c r="I5868">
        <f>IF(E5868="Gmail",COUNTIF($E$2:E5868,"Gmail"),"")</f>
        <v/>
      </c>
      <c r="J5868">
        <f>IF(E5868="Outlook",COUNTIF($E$2:E5868,"Outlook"),"")</f>
        <v/>
      </c>
      <c r="K5868">
        <f>IF(E5868="Domain",COUNTIF($E$2:E5868,"Domain"),"")</f>
        <v/>
      </c>
    </row>
    <row r="5869">
      <c r="A5869" s="2" t="n"/>
      <c r="B5869">
        <f>LOWER(TRIM(A5869))</f>
        <v/>
      </c>
      <c r="C5869">
        <f>IF(B5869="","",IFERROR(INDEX('Bad Patterns'!$A$2:$A$120,MATCH(1,INDEX(--ISNUMBER(SEARCH('Bad Patterns'!$A$2:$A$120,B5869)),0),0)),""))</f>
        <v/>
      </c>
      <c r="D5869">
        <f>IF(B5869="","",IF(C5869&lt;&gt;"","REMOVE","KEEP"))</f>
        <v/>
      </c>
      <c r="E5869">
        <f>IF(D5869&lt;&gt;"KEEP","",IF(RIGHT(B5869,10)="@gmail.com","Gmail",IF(OR(RIGHT(B5869,12)="@outlook.com",RIGHT(B5869,12)="@hotmail.com",RIGHT(B5869,9)="@live.com"),"Outlook","Domain")))</f>
        <v/>
      </c>
      <c r="F5869">
        <f>IF(B5869="","",IFERROR(RIGHT(B5869,LEN(B5869)-FIND("@",B5869)),""))</f>
        <v/>
      </c>
      <c r="G5869">
        <f>IF(D5869="KEEP",COUNTIF($D$2:D5869,"KEEP"),"")</f>
        <v/>
      </c>
      <c r="H5869">
        <f>IF(D5869="REMOVE",COUNTIF($D$2:D5869,"REMOVE"),"")</f>
        <v/>
      </c>
      <c r="I5869">
        <f>IF(E5869="Gmail",COUNTIF($E$2:E5869,"Gmail"),"")</f>
        <v/>
      </c>
      <c r="J5869">
        <f>IF(E5869="Outlook",COUNTIF($E$2:E5869,"Outlook"),"")</f>
        <v/>
      </c>
      <c r="K5869">
        <f>IF(E5869="Domain",COUNTIF($E$2:E5869,"Domain"),"")</f>
        <v/>
      </c>
    </row>
    <row r="5870">
      <c r="A5870" s="2" t="n"/>
      <c r="B5870">
        <f>LOWER(TRIM(A5870))</f>
        <v/>
      </c>
      <c r="C5870">
        <f>IF(B5870="","",IFERROR(INDEX('Bad Patterns'!$A$2:$A$120,MATCH(1,INDEX(--ISNUMBER(SEARCH('Bad Patterns'!$A$2:$A$120,B5870)),0),0)),""))</f>
        <v/>
      </c>
      <c r="D5870">
        <f>IF(B5870="","",IF(C5870&lt;&gt;"","REMOVE","KEEP"))</f>
        <v/>
      </c>
      <c r="E5870">
        <f>IF(D5870&lt;&gt;"KEEP","",IF(RIGHT(B5870,10)="@gmail.com","Gmail",IF(OR(RIGHT(B5870,12)="@outlook.com",RIGHT(B5870,12)="@hotmail.com",RIGHT(B5870,9)="@live.com"),"Outlook","Domain")))</f>
        <v/>
      </c>
      <c r="F5870">
        <f>IF(B5870="","",IFERROR(RIGHT(B5870,LEN(B5870)-FIND("@",B5870)),""))</f>
        <v/>
      </c>
      <c r="G5870">
        <f>IF(D5870="KEEP",COUNTIF($D$2:D5870,"KEEP"),"")</f>
        <v/>
      </c>
      <c r="H5870">
        <f>IF(D5870="REMOVE",COUNTIF($D$2:D5870,"REMOVE"),"")</f>
        <v/>
      </c>
      <c r="I5870">
        <f>IF(E5870="Gmail",COUNTIF($E$2:E5870,"Gmail"),"")</f>
        <v/>
      </c>
      <c r="J5870">
        <f>IF(E5870="Outlook",COUNTIF($E$2:E5870,"Outlook"),"")</f>
        <v/>
      </c>
      <c r="K5870">
        <f>IF(E5870="Domain",COUNTIF($E$2:E5870,"Domain"),"")</f>
        <v/>
      </c>
    </row>
    <row r="5871">
      <c r="A5871" s="2" t="n"/>
      <c r="B5871">
        <f>LOWER(TRIM(A5871))</f>
        <v/>
      </c>
      <c r="C5871">
        <f>IF(B5871="","",IFERROR(INDEX('Bad Patterns'!$A$2:$A$120,MATCH(1,INDEX(--ISNUMBER(SEARCH('Bad Patterns'!$A$2:$A$120,B5871)),0),0)),""))</f>
        <v/>
      </c>
      <c r="D5871">
        <f>IF(B5871="","",IF(C5871&lt;&gt;"","REMOVE","KEEP"))</f>
        <v/>
      </c>
      <c r="E5871">
        <f>IF(D5871&lt;&gt;"KEEP","",IF(RIGHT(B5871,10)="@gmail.com","Gmail",IF(OR(RIGHT(B5871,12)="@outlook.com",RIGHT(B5871,12)="@hotmail.com",RIGHT(B5871,9)="@live.com"),"Outlook","Domain")))</f>
        <v/>
      </c>
      <c r="F5871">
        <f>IF(B5871="","",IFERROR(RIGHT(B5871,LEN(B5871)-FIND("@",B5871)),""))</f>
        <v/>
      </c>
      <c r="G5871">
        <f>IF(D5871="KEEP",COUNTIF($D$2:D5871,"KEEP"),"")</f>
        <v/>
      </c>
      <c r="H5871">
        <f>IF(D5871="REMOVE",COUNTIF($D$2:D5871,"REMOVE"),"")</f>
        <v/>
      </c>
      <c r="I5871">
        <f>IF(E5871="Gmail",COUNTIF($E$2:E5871,"Gmail"),"")</f>
        <v/>
      </c>
      <c r="J5871">
        <f>IF(E5871="Outlook",COUNTIF($E$2:E5871,"Outlook"),"")</f>
        <v/>
      </c>
      <c r="K5871">
        <f>IF(E5871="Domain",COUNTIF($E$2:E5871,"Domain"),"")</f>
        <v/>
      </c>
    </row>
    <row r="5872">
      <c r="A5872" s="2" t="n"/>
      <c r="B5872">
        <f>LOWER(TRIM(A5872))</f>
        <v/>
      </c>
      <c r="C5872">
        <f>IF(B5872="","",IFERROR(INDEX('Bad Patterns'!$A$2:$A$120,MATCH(1,INDEX(--ISNUMBER(SEARCH('Bad Patterns'!$A$2:$A$120,B5872)),0),0)),""))</f>
        <v/>
      </c>
      <c r="D5872">
        <f>IF(B5872="","",IF(C5872&lt;&gt;"","REMOVE","KEEP"))</f>
        <v/>
      </c>
      <c r="E5872">
        <f>IF(D5872&lt;&gt;"KEEP","",IF(RIGHT(B5872,10)="@gmail.com","Gmail",IF(OR(RIGHT(B5872,12)="@outlook.com",RIGHT(B5872,12)="@hotmail.com",RIGHT(B5872,9)="@live.com"),"Outlook","Domain")))</f>
        <v/>
      </c>
      <c r="F5872">
        <f>IF(B5872="","",IFERROR(RIGHT(B5872,LEN(B5872)-FIND("@",B5872)),""))</f>
        <v/>
      </c>
      <c r="G5872">
        <f>IF(D5872="KEEP",COUNTIF($D$2:D5872,"KEEP"),"")</f>
        <v/>
      </c>
      <c r="H5872">
        <f>IF(D5872="REMOVE",COUNTIF($D$2:D5872,"REMOVE"),"")</f>
        <v/>
      </c>
      <c r="I5872">
        <f>IF(E5872="Gmail",COUNTIF($E$2:E5872,"Gmail"),"")</f>
        <v/>
      </c>
      <c r="J5872">
        <f>IF(E5872="Outlook",COUNTIF($E$2:E5872,"Outlook"),"")</f>
        <v/>
      </c>
      <c r="K5872">
        <f>IF(E5872="Domain",COUNTIF($E$2:E5872,"Domain"),"")</f>
        <v/>
      </c>
    </row>
    <row r="5873">
      <c r="A5873" s="2" t="n"/>
      <c r="B5873">
        <f>LOWER(TRIM(A5873))</f>
        <v/>
      </c>
      <c r="C5873">
        <f>IF(B5873="","",IFERROR(INDEX('Bad Patterns'!$A$2:$A$120,MATCH(1,INDEX(--ISNUMBER(SEARCH('Bad Patterns'!$A$2:$A$120,B5873)),0),0)),""))</f>
        <v/>
      </c>
      <c r="D5873">
        <f>IF(B5873="","",IF(C5873&lt;&gt;"","REMOVE","KEEP"))</f>
        <v/>
      </c>
      <c r="E5873">
        <f>IF(D5873&lt;&gt;"KEEP","",IF(RIGHT(B5873,10)="@gmail.com","Gmail",IF(OR(RIGHT(B5873,12)="@outlook.com",RIGHT(B5873,12)="@hotmail.com",RIGHT(B5873,9)="@live.com"),"Outlook","Domain")))</f>
        <v/>
      </c>
      <c r="F5873">
        <f>IF(B5873="","",IFERROR(RIGHT(B5873,LEN(B5873)-FIND("@",B5873)),""))</f>
        <v/>
      </c>
      <c r="G5873">
        <f>IF(D5873="KEEP",COUNTIF($D$2:D5873,"KEEP"),"")</f>
        <v/>
      </c>
      <c r="H5873">
        <f>IF(D5873="REMOVE",COUNTIF($D$2:D5873,"REMOVE"),"")</f>
        <v/>
      </c>
      <c r="I5873">
        <f>IF(E5873="Gmail",COUNTIF($E$2:E5873,"Gmail"),"")</f>
        <v/>
      </c>
      <c r="J5873">
        <f>IF(E5873="Outlook",COUNTIF($E$2:E5873,"Outlook"),"")</f>
        <v/>
      </c>
      <c r="K5873">
        <f>IF(E5873="Domain",COUNTIF($E$2:E5873,"Domain"),"")</f>
        <v/>
      </c>
    </row>
    <row r="5874">
      <c r="A5874" s="2" t="n"/>
      <c r="B5874">
        <f>LOWER(TRIM(A5874))</f>
        <v/>
      </c>
      <c r="C5874">
        <f>IF(B5874="","",IFERROR(INDEX('Bad Patterns'!$A$2:$A$120,MATCH(1,INDEX(--ISNUMBER(SEARCH('Bad Patterns'!$A$2:$A$120,B5874)),0),0)),""))</f>
        <v/>
      </c>
      <c r="D5874">
        <f>IF(B5874="","",IF(C5874&lt;&gt;"","REMOVE","KEEP"))</f>
        <v/>
      </c>
      <c r="E5874">
        <f>IF(D5874&lt;&gt;"KEEP","",IF(RIGHT(B5874,10)="@gmail.com","Gmail",IF(OR(RIGHT(B5874,12)="@outlook.com",RIGHT(B5874,12)="@hotmail.com",RIGHT(B5874,9)="@live.com"),"Outlook","Domain")))</f>
        <v/>
      </c>
      <c r="F5874">
        <f>IF(B5874="","",IFERROR(RIGHT(B5874,LEN(B5874)-FIND("@",B5874)),""))</f>
        <v/>
      </c>
      <c r="G5874">
        <f>IF(D5874="KEEP",COUNTIF($D$2:D5874,"KEEP"),"")</f>
        <v/>
      </c>
      <c r="H5874">
        <f>IF(D5874="REMOVE",COUNTIF($D$2:D5874,"REMOVE"),"")</f>
        <v/>
      </c>
      <c r="I5874">
        <f>IF(E5874="Gmail",COUNTIF($E$2:E5874,"Gmail"),"")</f>
        <v/>
      </c>
      <c r="J5874">
        <f>IF(E5874="Outlook",COUNTIF($E$2:E5874,"Outlook"),"")</f>
        <v/>
      </c>
      <c r="K5874">
        <f>IF(E5874="Domain",COUNTIF($E$2:E5874,"Domain"),"")</f>
        <v/>
      </c>
    </row>
    <row r="5875">
      <c r="A5875" s="2" t="n"/>
      <c r="B5875">
        <f>LOWER(TRIM(A5875))</f>
        <v/>
      </c>
      <c r="C5875">
        <f>IF(B5875="","",IFERROR(INDEX('Bad Patterns'!$A$2:$A$120,MATCH(1,INDEX(--ISNUMBER(SEARCH('Bad Patterns'!$A$2:$A$120,B5875)),0),0)),""))</f>
        <v/>
      </c>
      <c r="D5875">
        <f>IF(B5875="","",IF(C5875&lt;&gt;"","REMOVE","KEEP"))</f>
        <v/>
      </c>
      <c r="E5875">
        <f>IF(D5875&lt;&gt;"KEEP","",IF(RIGHT(B5875,10)="@gmail.com","Gmail",IF(OR(RIGHT(B5875,12)="@outlook.com",RIGHT(B5875,12)="@hotmail.com",RIGHT(B5875,9)="@live.com"),"Outlook","Domain")))</f>
        <v/>
      </c>
      <c r="F5875">
        <f>IF(B5875="","",IFERROR(RIGHT(B5875,LEN(B5875)-FIND("@",B5875)),""))</f>
        <v/>
      </c>
      <c r="G5875">
        <f>IF(D5875="KEEP",COUNTIF($D$2:D5875,"KEEP"),"")</f>
        <v/>
      </c>
      <c r="H5875">
        <f>IF(D5875="REMOVE",COUNTIF($D$2:D5875,"REMOVE"),"")</f>
        <v/>
      </c>
      <c r="I5875">
        <f>IF(E5875="Gmail",COUNTIF($E$2:E5875,"Gmail"),"")</f>
        <v/>
      </c>
      <c r="J5875">
        <f>IF(E5875="Outlook",COUNTIF($E$2:E5875,"Outlook"),"")</f>
        <v/>
      </c>
      <c r="K5875">
        <f>IF(E5875="Domain",COUNTIF($E$2:E5875,"Domain"),"")</f>
        <v/>
      </c>
    </row>
    <row r="5876">
      <c r="A5876" s="2" t="n"/>
      <c r="B5876">
        <f>LOWER(TRIM(A5876))</f>
        <v/>
      </c>
      <c r="C5876">
        <f>IF(B5876="","",IFERROR(INDEX('Bad Patterns'!$A$2:$A$120,MATCH(1,INDEX(--ISNUMBER(SEARCH('Bad Patterns'!$A$2:$A$120,B5876)),0),0)),""))</f>
        <v/>
      </c>
      <c r="D5876">
        <f>IF(B5876="","",IF(C5876&lt;&gt;"","REMOVE","KEEP"))</f>
        <v/>
      </c>
      <c r="E5876">
        <f>IF(D5876&lt;&gt;"KEEP","",IF(RIGHT(B5876,10)="@gmail.com","Gmail",IF(OR(RIGHT(B5876,12)="@outlook.com",RIGHT(B5876,12)="@hotmail.com",RIGHT(B5876,9)="@live.com"),"Outlook","Domain")))</f>
        <v/>
      </c>
      <c r="F5876">
        <f>IF(B5876="","",IFERROR(RIGHT(B5876,LEN(B5876)-FIND("@",B5876)),""))</f>
        <v/>
      </c>
      <c r="G5876">
        <f>IF(D5876="KEEP",COUNTIF($D$2:D5876,"KEEP"),"")</f>
        <v/>
      </c>
      <c r="H5876">
        <f>IF(D5876="REMOVE",COUNTIF($D$2:D5876,"REMOVE"),"")</f>
        <v/>
      </c>
      <c r="I5876">
        <f>IF(E5876="Gmail",COUNTIF($E$2:E5876,"Gmail"),"")</f>
        <v/>
      </c>
      <c r="J5876">
        <f>IF(E5876="Outlook",COUNTIF($E$2:E5876,"Outlook"),"")</f>
        <v/>
      </c>
      <c r="K5876">
        <f>IF(E5876="Domain",COUNTIF($E$2:E5876,"Domain"),"")</f>
        <v/>
      </c>
    </row>
    <row r="5877">
      <c r="A5877" s="2" t="n"/>
      <c r="B5877">
        <f>LOWER(TRIM(A5877))</f>
        <v/>
      </c>
      <c r="C5877">
        <f>IF(B5877="","",IFERROR(INDEX('Bad Patterns'!$A$2:$A$120,MATCH(1,INDEX(--ISNUMBER(SEARCH('Bad Patterns'!$A$2:$A$120,B5877)),0),0)),""))</f>
        <v/>
      </c>
      <c r="D5877">
        <f>IF(B5877="","",IF(C5877&lt;&gt;"","REMOVE","KEEP"))</f>
        <v/>
      </c>
      <c r="E5877">
        <f>IF(D5877&lt;&gt;"KEEP","",IF(RIGHT(B5877,10)="@gmail.com","Gmail",IF(OR(RIGHT(B5877,12)="@outlook.com",RIGHT(B5877,12)="@hotmail.com",RIGHT(B5877,9)="@live.com"),"Outlook","Domain")))</f>
        <v/>
      </c>
      <c r="F5877">
        <f>IF(B5877="","",IFERROR(RIGHT(B5877,LEN(B5877)-FIND("@",B5877)),""))</f>
        <v/>
      </c>
      <c r="G5877">
        <f>IF(D5877="KEEP",COUNTIF($D$2:D5877,"KEEP"),"")</f>
        <v/>
      </c>
      <c r="H5877">
        <f>IF(D5877="REMOVE",COUNTIF($D$2:D5877,"REMOVE"),"")</f>
        <v/>
      </c>
      <c r="I5877">
        <f>IF(E5877="Gmail",COUNTIF($E$2:E5877,"Gmail"),"")</f>
        <v/>
      </c>
      <c r="J5877">
        <f>IF(E5877="Outlook",COUNTIF($E$2:E5877,"Outlook"),"")</f>
        <v/>
      </c>
      <c r="K5877">
        <f>IF(E5877="Domain",COUNTIF($E$2:E5877,"Domain"),"")</f>
        <v/>
      </c>
    </row>
    <row r="5878">
      <c r="A5878" s="2" t="n"/>
      <c r="B5878">
        <f>LOWER(TRIM(A5878))</f>
        <v/>
      </c>
      <c r="C5878">
        <f>IF(B5878="","",IFERROR(INDEX('Bad Patterns'!$A$2:$A$120,MATCH(1,INDEX(--ISNUMBER(SEARCH('Bad Patterns'!$A$2:$A$120,B5878)),0),0)),""))</f>
        <v/>
      </c>
      <c r="D5878">
        <f>IF(B5878="","",IF(C5878&lt;&gt;"","REMOVE","KEEP"))</f>
        <v/>
      </c>
      <c r="E5878">
        <f>IF(D5878&lt;&gt;"KEEP","",IF(RIGHT(B5878,10)="@gmail.com","Gmail",IF(OR(RIGHT(B5878,12)="@outlook.com",RIGHT(B5878,12)="@hotmail.com",RIGHT(B5878,9)="@live.com"),"Outlook","Domain")))</f>
        <v/>
      </c>
      <c r="F5878">
        <f>IF(B5878="","",IFERROR(RIGHT(B5878,LEN(B5878)-FIND("@",B5878)),""))</f>
        <v/>
      </c>
      <c r="G5878">
        <f>IF(D5878="KEEP",COUNTIF($D$2:D5878,"KEEP"),"")</f>
        <v/>
      </c>
      <c r="H5878">
        <f>IF(D5878="REMOVE",COUNTIF($D$2:D5878,"REMOVE"),"")</f>
        <v/>
      </c>
      <c r="I5878">
        <f>IF(E5878="Gmail",COUNTIF($E$2:E5878,"Gmail"),"")</f>
        <v/>
      </c>
      <c r="J5878">
        <f>IF(E5878="Outlook",COUNTIF($E$2:E5878,"Outlook"),"")</f>
        <v/>
      </c>
      <c r="K5878">
        <f>IF(E5878="Domain",COUNTIF($E$2:E5878,"Domain"),"")</f>
        <v/>
      </c>
    </row>
    <row r="5879">
      <c r="A5879" s="2" t="n"/>
      <c r="B5879">
        <f>LOWER(TRIM(A5879))</f>
        <v/>
      </c>
      <c r="C5879">
        <f>IF(B5879="","",IFERROR(INDEX('Bad Patterns'!$A$2:$A$120,MATCH(1,INDEX(--ISNUMBER(SEARCH('Bad Patterns'!$A$2:$A$120,B5879)),0),0)),""))</f>
        <v/>
      </c>
      <c r="D5879">
        <f>IF(B5879="","",IF(C5879&lt;&gt;"","REMOVE","KEEP"))</f>
        <v/>
      </c>
      <c r="E5879">
        <f>IF(D5879&lt;&gt;"KEEP","",IF(RIGHT(B5879,10)="@gmail.com","Gmail",IF(OR(RIGHT(B5879,12)="@outlook.com",RIGHT(B5879,12)="@hotmail.com",RIGHT(B5879,9)="@live.com"),"Outlook","Domain")))</f>
        <v/>
      </c>
      <c r="F5879">
        <f>IF(B5879="","",IFERROR(RIGHT(B5879,LEN(B5879)-FIND("@",B5879)),""))</f>
        <v/>
      </c>
      <c r="G5879">
        <f>IF(D5879="KEEP",COUNTIF($D$2:D5879,"KEEP"),"")</f>
        <v/>
      </c>
      <c r="H5879">
        <f>IF(D5879="REMOVE",COUNTIF($D$2:D5879,"REMOVE"),"")</f>
        <v/>
      </c>
      <c r="I5879">
        <f>IF(E5879="Gmail",COUNTIF($E$2:E5879,"Gmail"),"")</f>
        <v/>
      </c>
      <c r="J5879">
        <f>IF(E5879="Outlook",COUNTIF($E$2:E5879,"Outlook"),"")</f>
        <v/>
      </c>
      <c r="K5879">
        <f>IF(E5879="Domain",COUNTIF($E$2:E5879,"Domain"),"")</f>
        <v/>
      </c>
    </row>
    <row r="5880">
      <c r="A5880" s="2" t="n"/>
      <c r="B5880">
        <f>LOWER(TRIM(A5880))</f>
        <v/>
      </c>
      <c r="C5880">
        <f>IF(B5880="","",IFERROR(INDEX('Bad Patterns'!$A$2:$A$120,MATCH(1,INDEX(--ISNUMBER(SEARCH('Bad Patterns'!$A$2:$A$120,B5880)),0),0)),""))</f>
        <v/>
      </c>
      <c r="D5880">
        <f>IF(B5880="","",IF(C5880&lt;&gt;"","REMOVE","KEEP"))</f>
        <v/>
      </c>
      <c r="E5880">
        <f>IF(D5880&lt;&gt;"KEEP","",IF(RIGHT(B5880,10)="@gmail.com","Gmail",IF(OR(RIGHT(B5880,12)="@outlook.com",RIGHT(B5880,12)="@hotmail.com",RIGHT(B5880,9)="@live.com"),"Outlook","Domain")))</f>
        <v/>
      </c>
      <c r="F5880">
        <f>IF(B5880="","",IFERROR(RIGHT(B5880,LEN(B5880)-FIND("@",B5880)),""))</f>
        <v/>
      </c>
      <c r="G5880">
        <f>IF(D5880="KEEP",COUNTIF($D$2:D5880,"KEEP"),"")</f>
        <v/>
      </c>
      <c r="H5880">
        <f>IF(D5880="REMOVE",COUNTIF($D$2:D5880,"REMOVE"),"")</f>
        <v/>
      </c>
      <c r="I5880">
        <f>IF(E5880="Gmail",COUNTIF($E$2:E5880,"Gmail"),"")</f>
        <v/>
      </c>
      <c r="J5880">
        <f>IF(E5880="Outlook",COUNTIF($E$2:E5880,"Outlook"),"")</f>
        <v/>
      </c>
      <c r="K5880">
        <f>IF(E5880="Domain",COUNTIF($E$2:E5880,"Domain"),"")</f>
        <v/>
      </c>
    </row>
    <row r="5881">
      <c r="A5881" s="2" t="n"/>
      <c r="B5881">
        <f>LOWER(TRIM(A5881))</f>
        <v/>
      </c>
      <c r="C5881">
        <f>IF(B5881="","",IFERROR(INDEX('Bad Patterns'!$A$2:$A$120,MATCH(1,INDEX(--ISNUMBER(SEARCH('Bad Patterns'!$A$2:$A$120,B5881)),0),0)),""))</f>
        <v/>
      </c>
      <c r="D5881">
        <f>IF(B5881="","",IF(C5881&lt;&gt;"","REMOVE","KEEP"))</f>
        <v/>
      </c>
      <c r="E5881">
        <f>IF(D5881&lt;&gt;"KEEP","",IF(RIGHT(B5881,10)="@gmail.com","Gmail",IF(OR(RIGHT(B5881,12)="@outlook.com",RIGHT(B5881,12)="@hotmail.com",RIGHT(B5881,9)="@live.com"),"Outlook","Domain")))</f>
        <v/>
      </c>
      <c r="F5881">
        <f>IF(B5881="","",IFERROR(RIGHT(B5881,LEN(B5881)-FIND("@",B5881)),""))</f>
        <v/>
      </c>
      <c r="G5881">
        <f>IF(D5881="KEEP",COUNTIF($D$2:D5881,"KEEP"),"")</f>
        <v/>
      </c>
      <c r="H5881">
        <f>IF(D5881="REMOVE",COUNTIF($D$2:D5881,"REMOVE"),"")</f>
        <v/>
      </c>
      <c r="I5881">
        <f>IF(E5881="Gmail",COUNTIF($E$2:E5881,"Gmail"),"")</f>
        <v/>
      </c>
      <c r="J5881">
        <f>IF(E5881="Outlook",COUNTIF($E$2:E5881,"Outlook"),"")</f>
        <v/>
      </c>
      <c r="K5881">
        <f>IF(E5881="Domain",COUNTIF($E$2:E5881,"Domain"),"")</f>
        <v/>
      </c>
    </row>
    <row r="5882">
      <c r="A5882" s="2" t="n"/>
      <c r="B5882">
        <f>LOWER(TRIM(A5882))</f>
        <v/>
      </c>
      <c r="C5882">
        <f>IF(B5882="","",IFERROR(INDEX('Bad Patterns'!$A$2:$A$120,MATCH(1,INDEX(--ISNUMBER(SEARCH('Bad Patterns'!$A$2:$A$120,B5882)),0),0)),""))</f>
        <v/>
      </c>
      <c r="D5882">
        <f>IF(B5882="","",IF(C5882&lt;&gt;"","REMOVE","KEEP"))</f>
        <v/>
      </c>
      <c r="E5882">
        <f>IF(D5882&lt;&gt;"KEEP","",IF(RIGHT(B5882,10)="@gmail.com","Gmail",IF(OR(RIGHT(B5882,12)="@outlook.com",RIGHT(B5882,12)="@hotmail.com",RIGHT(B5882,9)="@live.com"),"Outlook","Domain")))</f>
        <v/>
      </c>
      <c r="F5882">
        <f>IF(B5882="","",IFERROR(RIGHT(B5882,LEN(B5882)-FIND("@",B5882)),""))</f>
        <v/>
      </c>
      <c r="G5882">
        <f>IF(D5882="KEEP",COUNTIF($D$2:D5882,"KEEP"),"")</f>
        <v/>
      </c>
      <c r="H5882">
        <f>IF(D5882="REMOVE",COUNTIF($D$2:D5882,"REMOVE"),"")</f>
        <v/>
      </c>
      <c r="I5882">
        <f>IF(E5882="Gmail",COUNTIF($E$2:E5882,"Gmail"),"")</f>
        <v/>
      </c>
      <c r="J5882">
        <f>IF(E5882="Outlook",COUNTIF($E$2:E5882,"Outlook"),"")</f>
        <v/>
      </c>
      <c r="K5882">
        <f>IF(E5882="Domain",COUNTIF($E$2:E5882,"Domain"),"")</f>
        <v/>
      </c>
    </row>
    <row r="5883">
      <c r="A5883" s="2" t="n"/>
      <c r="B5883">
        <f>LOWER(TRIM(A5883))</f>
        <v/>
      </c>
      <c r="C5883">
        <f>IF(B5883="","",IFERROR(INDEX('Bad Patterns'!$A$2:$A$120,MATCH(1,INDEX(--ISNUMBER(SEARCH('Bad Patterns'!$A$2:$A$120,B5883)),0),0)),""))</f>
        <v/>
      </c>
      <c r="D5883">
        <f>IF(B5883="","",IF(C5883&lt;&gt;"","REMOVE","KEEP"))</f>
        <v/>
      </c>
      <c r="E5883">
        <f>IF(D5883&lt;&gt;"KEEP","",IF(RIGHT(B5883,10)="@gmail.com","Gmail",IF(OR(RIGHT(B5883,12)="@outlook.com",RIGHT(B5883,12)="@hotmail.com",RIGHT(B5883,9)="@live.com"),"Outlook","Domain")))</f>
        <v/>
      </c>
      <c r="F5883">
        <f>IF(B5883="","",IFERROR(RIGHT(B5883,LEN(B5883)-FIND("@",B5883)),""))</f>
        <v/>
      </c>
      <c r="G5883">
        <f>IF(D5883="KEEP",COUNTIF($D$2:D5883,"KEEP"),"")</f>
        <v/>
      </c>
      <c r="H5883">
        <f>IF(D5883="REMOVE",COUNTIF($D$2:D5883,"REMOVE"),"")</f>
        <v/>
      </c>
      <c r="I5883">
        <f>IF(E5883="Gmail",COUNTIF($E$2:E5883,"Gmail"),"")</f>
        <v/>
      </c>
      <c r="J5883">
        <f>IF(E5883="Outlook",COUNTIF($E$2:E5883,"Outlook"),"")</f>
        <v/>
      </c>
      <c r="K5883">
        <f>IF(E5883="Domain",COUNTIF($E$2:E5883,"Domain"),"")</f>
        <v/>
      </c>
    </row>
    <row r="5884">
      <c r="A5884" s="2" t="n"/>
      <c r="B5884">
        <f>LOWER(TRIM(A5884))</f>
        <v/>
      </c>
      <c r="C5884">
        <f>IF(B5884="","",IFERROR(INDEX('Bad Patterns'!$A$2:$A$120,MATCH(1,INDEX(--ISNUMBER(SEARCH('Bad Patterns'!$A$2:$A$120,B5884)),0),0)),""))</f>
        <v/>
      </c>
      <c r="D5884">
        <f>IF(B5884="","",IF(C5884&lt;&gt;"","REMOVE","KEEP"))</f>
        <v/>
      </c>
      <c r="E5884">
        <f>IF(D5884&lt;&gt;"KEEP","",IF(RIGHT(B5884,10)="@gmail.com","Gmail",IF(OR(RIGHT(B5884,12)="@outlook.com",RIGHT(B5884,12)="@hotmail.com",RIGHT(B5884,9)="@live.com"),"Outlook","Domain")))</f>
        <v/>
      </c>
      <c r="F5884">
        <f>IF(B5884="","",IFERROR(RIGHT(B5884,LEN(B5884)-FIND("@",B5884)),""))</f>
        <v/>
      </c>
      <c r="G5884">
        <f>IF(D5884="KEEP",COUNTIF($D$2:D5884,"KEEP"),"")</f>
        <v/>
      </c>
      <c r="H5884">
        <f>IF(D5884="REMOVE",COUNTIF($D$2:D5884,"REMOVE"),"")</f>
        <v/>
      </c>
      <c r="I5884">
        <f>IF(E5884="Gmail",COUNTIF($E$2:E5884,"Gmail"),"")</f>
        <v/>
      </c>
      <c r="J5884">
        <f>IF(E5884="Outlook",COUNTIF($E$2:E5884,"Outlook"),"")</f>
        <v/>
      </c>
      <c r="K5884">
        <f>IF(E5884="Domain",COUNTIF($E$2:E5884,"Domain"),"")</f>
        <v/>
      </c>
    </row>
    <row r="5885">
      <c r="A5885" s="2" t="n"/>
      <c r="B5885">
        <f>LOWER(TRIM(A5885))</f>
        <v/>
      </c>
      <c r="C5885">
        <f>IF(B5885="","",IFERROR(INDEX('Bad Patterns'!$A$2:$A$120,MATCH(1,INDEX(--ISNUMBER(SEARCH('Bad Patterns'!$A$2:$A$120,B5885)),0),0)),""))</f>
        <v/>
      </c>
      <c r="D5885">
        <f>IF(B5885="","",IF(C5885&lt;&gt;"","REMOVE","KEEP"))</f>
        <v/>
      </c>
      <c r="E5885">
        <f>IF(D5885&lt;&gt;"KEEP","",IF(RIGHT(B5885,10)="@gmail.com","Gmail",IF(OR(RIGHT(B5885,12)="@outlook.com",RIGHT(B5885,12)="@hotmail.com",RIGHT(B5885,9)="@live.com"),"Outlook","Domain")))</f>
        <v/>
      </c>
      <c r="F5885">
        <f>IF(B5885="","",IFERROR(RIGHT(B5885,LEN(B5885)-FIND("@",B5885)),""))</f>
        <v/>
      </c>
      <c r="G5885">
        <f>IF(D5885="KEEP",COUNTIF($D$2:D5885,"KEEP"),"")</f>
        <v/>
      </c>
      <c r="H5885">
        <f>IF(D5885="REMOVE",COUNTIF($D$2:D5885,"REMOVE"),"")</f>
        <v/>
      </c>
      <c r="I5885">
        <f>IF(E5885="Gmail",COUNTIF($E$2:E5885,"Gmail"),"")</f>
        <v/>
      </c>
      <c r="J5885">
        <f>IF(E5885="Outlook",COUNTIF($E$2:E5885,"Outlook"),"")</f>
        <v/>
      </c>
      <c r="K5885">
        <f>IF(E5885="Domain",COUNTIF($E$2:E5885,"Domain"),"")</f>
        <v/>
      </c>
    </row>
    <row r="5886">
      <c r="A5886" s="2" t="n"/>
      <c r="B5886">
        <f>LOWER(TRIM(A5886))</f>
        <v/>
      </c>
      <c r="C5886">
        <f>IF(B5886="","",IFERROR(INDEX('Bad Patterns'!$A$2:$A$120,MATCH(1,INDEX(--ISNUMBER(SEARCH('Bad Patterns'!$A$2:$A$120,B5886)),0),0)),""))</f>
        <v/>
      </c>
      <c r="D5886">
        <f>IF(B5886="","",IF(C5886&lt;&gt;"","REMOVE","KEEP"))</f>
        <v/>
      </c>
      <c r="E5886">
        <f>IF(D5886&lt;&gt;"KEEP","",IF(RIGHT(B5886,10)="@gmail.com","Gmail",IF(OR(RIGHT(B5886,12)="@outlook.com",RIGHT(B5886,12)="@hotmail.com",RIGHT(B5886,9)="@live.com"),"Outlook","Domain")))</f>
        <v/>
      </c>
      <c r="F5886">
        <f>IF(B5886="","",IFERROR(RIGHT(B5886,LEN(B5886)-FIND("@",B5886)),""))</f>
        <v/>
      </c>
      <c r="G5886">
        <f>IF(D5886="KEEP",COUNTIF($D$2:D5886,"KEEP"),"")</f>
        <v/>
      </c>
      <c r="H5886">
        <f>IF(D5886="REMOVE",COUNTIF($D$2:D5886,"REMOVE"),"")</f>
        <v/>
      </c>
      <c r="I5886">
        <f>IF(E5886="Gmail",COUNTIF($E$2:E5886,"Gmail"),"")</f>
        <v/>
      </c>
      <c r="J5886">
        <f>IF(E5886="Outlook",COUNTIF($E$2:E5886,"Outlook"),"")</f>
        <v/>
      </c>
      <c r="K5886">
        <f>IF(E5886="Domain",COUNTIF($E$2:E5886,"Domain"),"")</f>
        <v/>
      </c>
    </row>
    <row r="5887">
      <c r="A5887" s="2" t="n"/>
      <c r="B5887">
        <f>LOWER(TRIM(A5887))</f>
        <v/>
      </c>
      <c r="C5887">
        <f>IF(B5887="","",IFERROR(INDEX('Bad Patterns'!$A$2:$A$120,MATCH(1,INDEX(--ISNUMBER(SEARCH('Bad Patterns'!$A$2:$A$120,B5887)),0),0)),""))</f>
        <v/>
      </c>
      <c r="D5887">
        <f>IF(B5887="","",IF(C5887&lt;&gt;"","REMOVE","KEEP"))</f>
        <v/>
      </c>
      <c r="E5887">
        <f>IF(D5887&lt;&gt;"KEEP","",IF(RIGHT(B5887,10)="@gmail.com","Gmail",IF(OR(RIGHT(B5887,12)="@outlook.com",RIGHT(B5887,12)="@hotmail.com",RIGHT(B5887,9)="@live.com"),"Outlook","Domain")))</f>
        <v/>
      </c>
      <c r="F5887">
        <f>IF(B5887="","",IFERROR(RIGHT(B5887,LEN(B5887)-FIND("@",B5887)),""))</f>
        <v/>
      </c>
      <c r="G5887">
        <f>IF(D5887="KEEP",COUNTIF($D$2:D5887,"KEEP"),"")</f>
        <v/>
      </c>
      <c r="H5887">
        <f>IF(D5887="REMOVE",COUNTIF($D$2:D5887,"REMOVE"),"")</f>
        <v/>
      </c>
      <c r="I5887">
        <f>IF(E5887="Gmail",COUNTIF($E$2:E5887,"Gmail"),"")</f>
        <v/>
      </c>
      <c r="J5887">
        <f>IF(E5887="Outlook",COUNTIF($E$2:E5887,"Outlook"),"")</f>
        <v/>
      </c>
      <c r="K5887">
        <f>IF(E5887="Domain",COUNTIF($E$2:E5887,"Domain"),"")</f>
        <v/>
      </c>
    </row>
    <row r="5888">
      <c r="A5888" s="2" t="n"/>
      <c r="B5888">
        <f>LOWER(TRIM(A5888))</f>
        <v/>
      </c>
      <c r="C5888">
        <f>IF(B5888="","",IFERROR(INDEX('Bad Patterns'!$A$2:$A$120,MATCH(1,INDEX(--ISNUMBER(SEARCH('Bad Patterns'!$A$2:$A$120,B5888)),0),0)),""))</f>
        <v/>
      </c>
      <c r="D5888">
        <f>IF(B5888="","",IF(C5888&lt;&gt;"","REMOVE","KEEP"))</f>
        <v/>
      </c>
      <c r="E5888">
        <f>IF(D5888&lt;&gt;"KEEP","",IF(RIGHT(B5888,10)="@gmail.com","Gmail",IF(OR(RIGHT(B5888,12)="@outlook.com",RIGHT(B5888,12)="@hotmail.com",RIGHT(B5888,9)="@live.com"),"Outlook","Domain")))</f>
        <v/>
      </c>
      <c r="F5888">
        <f>IF(B5888="","",IFERROR(RIGHT(B5888,LEN(B5888)-FIND("@",B5888)),""))</f>
        <v/>
      </c>
      <c r="G5888">
        <f>IF(D5888="KEEP",COUNTIF($D$2:D5888,"KEEP"),"")</f>
        <v/>
      </c>
      <c r="H5888">
        <f>IF(D5888="REMOVE",COUNTIF($D$2:D5888,"REMOVE"),"")</f>
        <v/>
      </c>
      <c r="I5888">
        <f>IF(E5888="Gmail",COUNTIF($E$2:E5888,"Gmail"),"")</f>
        <v/>
      </c>
      <c r="J5888">
        <f>IF(E5888="Outlook",COUNTIF($E$2:E5888,"Outlook"),"")</f>
        <v/>
      </c>
      <c r="K5888">
        <f>IF(E5888="Domain",COUNTIF($E$2:E5888,"Domain"),"")</f>
        <v/>
      </c>
    </row>
    <row r="5889">
      <c r="A5889" s="2" t="n"/>
      <c r="B5889">
        <f>LOWER(TRIM(A5889))</f>
        <v/>
      </c>
      <c r="C5889">
        <f>IF(B5889="","",IFERROR(INDEX('Bad Patterns'!$A$2:$A$120,MATCH(1,INDEX(--ISNUMBER(SEARCH('Bad Patterns'!$A$2:$A$120,B5889)),0),0)),""))</f>
        <v/>
      </c>
      <c r="D5889">
        <f>IF(B5889="","",IF(C5889&lt;&gt;"","REMOVE","KEEP"))</f>
        <v/>
      </c>
      <c r="E5889">
        <f>IF(D5889&lt;&gt;"KEEP","",IF(RIGHT(B5889,10)="@gmail.com","Gmail",IF(OR(RIGHT(B5889,12)="@outlook.com",RIGHT(B5889,12)="@hotmail.com",RIGHT(B5889,9)="@live.com"),"Outlook","Domain")))</f>
        <v/>
      </c>
      <c r="F5889">
        <f>IF(B5889="","",IFERROR(RIGHT(B5889,LEN(B5889)-FIND("@",B5889)),""))</f>
        <v/>
      </c>
      <c r="G5889">
        <f>IF(D5889="KEEP",COUNTIF($D$2:D5889,"KEEP"),"")</f>
        <v/>
      </c>
      <c r="H5889">
        <f>IF(D5889="REMOVE",COUNTIF($D$2:D5889,"REMOVE"),"")</f>
        <v/>
      </c>
      <c r="I5889">
        <f>IF(E5889="Gmail",COUNTIF($E$2:E5889,"Gmail"),"")</f>
        <v/>
      </c>
      <c r="J5889">
        <f>IF(E5889="Outlook",COUNTIF($E$2:E5889,"Outlook"),"")</f>
        <v/>
      </c>
      <c r="K5889">
        <f>IF(E5889="Domain",COUNTIF($E$2:E5889,"Domain"),"")</f>
        <v/>
      </c>
    </row>
    <row r="5890">
      <c r="A5890" s="2" t="n"/>
      <c r="B5890">
        <f>LOWER(TRIM(A5890))</f>
        <v/>
      </c>
      <c r="C5890">
        <f>IF(B5890="","",IFERROR(INDEX('Bad Patterns'!$A$2:$A$120,MATCH(1,INDEX(--ISNUMBER(SEARCH('Bad Patterns'!$A$2:$A$120,B5890)),0),0)),""))</f>
        <v/>
      </c>
      <c r="D5890">
        <f>IF(B5890="","",IF(C5890&lt;&gt;"","REMOVE","KEEP"))</f>
        <v/>
      </c>
      <c r="E5890">
        <f>IF(D5890&lt;&gt;"KEEP","",IF(RIGHT(B5890,10)="@gmail.com","Gmail",IF(OR(RIGHT(B5890,12)="@outlook.com",RIGHT(B5890,12)="@hotmail.com",RIGHT(B5890,9)="@live.com"),"Outlook","Domain")))</f>
        <v/>
      </c>
      <c r="F5890">
        <f>IF(B5890="","",IFERROR(RIGHT(B5890,LEN(B5890)-FIND("@",B5890)),""))</f>
        <v/>
      </c>
      <c r="G5890">
        <f>IF(D5890="KEEP",COUNTIF($D$2:D5890,"KEEP"),"")</f>
        <v/>
      </c>
      <c r="H5890">
        <f>IF(D5890="REMOVE",COUNTIF($D$2:D5890,"REMOVE"),"")</f>
        <v/>
      </c>
      <c r="I5890">
        <f>IF(E5890="Gmail",COUNTIF($E$2:E5890,"Gmail"),"")</f>
        <v/>
      </c>
      <c r="J5890">
        <f>IF(E5890="Outlook",COUNTIF($E$2:E5890,"Outlook"),"")</f>
        <v/>
      </c>
      <c r="K5890">
        <f>IF(E5890="Domain",COUNTIF($E$2:E5890,"Domain"),"")</f>
        <v/>
      </c>
    </row>
    <row r="5891">
      <c r="A5891" s="2" t="n"/>
      <c r="B5891">
        <f>LOWER(TRIM(A5891))</f>
        <v/>
      </c>
      <c r="C5891">
        <f>IF(B5891="","",IFERROR(INDEX('Bad Patterns'!$A$2:$A$120,MATCH(1,INDEX(--ISNUMBER(SEARCH('Bad Patterns'!$A$2:$A$120,B5891)),0),0)),""))</f>
        <v/>
      </c>
      <c r="D5891">
        <f>IF(B5891="","",IF(C5891&lt;&gt;"","REMOVE","KEEP"))</f>
        <v/>
      </c>
      <c r="E5891">
        <f>IF(D5891&lt;&gt;"KEEP","",IF(RIGHT(B5891,10)="@gmail.com","Gmail",IF(OR(RIGHT(B5891,12)="@outlook.com",RIGHT(B5891,12)="@hotmail.com",RIGHT(B5891,9)="@live.com"),"Outlook","Domain")))</f>
        <v/>
      </c>
      <c r="F5891">
        <f>IF(B5891="","",IFERROR(RIGHT(B5891,LEN(B5891)-FIND("@",B5891)),""))</f>
        <v/>
      </c>
      <c r="G5891">
        <f>IF(D5891="KEEP",COUNTIF($D$2:D5891,"KEEP"),"")</f>
        <v/>
      </c>
      <c r="H5891">
        <f>IF(D5891="REMOVE",COUNTIF($D$2:D5891,"REMOVE"),"")</f>
        <v/>
      </c>
      <c r="I5891">
        <f>IF(E5891="Gmail",COUNTIF($E$2:E5891,"Gmail"),"")</f>
        <v/>
      </c>
      <c r="J5891">
        <f>IF(E5891="Outlook",COUNTIF($E$2:E5891,"Outlook"),"")</f>
        <v/>
      </c>
      <c r="K5891">
        <f>IF(E5891="Domain",COUNTIF($E$2:E5891,"Domain"),"")</f>
        <v/>
      </c>
    </row>
    <row r="5892">
      <c r="A5892" s="2" t="n"/>
      <c r="B5892">
        <f>LOWER(TRIM(A5892))</f>
        <v/>
      </c>
      <c r="C5892">
        <f>IF(B5892="","",IFERROR(INDEX('Bad Patterns'!$A$2:$A$120,MATCH(1,INDEX(--ISNUMBER(SEARCH('Bad Patterns'!$A$2:$A$120,B5892)),0),0)),""))</f>
        <v/>
      </c>
      <c r="D5892">
        <f>IF(B5892="","",IF(C5892&lt;&gt;"","REMOVE","KEEP"))</f>
        <v/>
      </c>
      <c r="E5892">
        <f>IF(D5892&lt;&gt;"KEEP","",IF(RIGHT(B5892,10)="@gmail.com","Gmail",IF(OR(RIGHT(B5892,12)="@outlook.com",RIGHT(B5892,12)="@hotmail.com",RIGHT(B5892,9)="@live.com"),"Outlook","Domain")))</f>
        <v/>
      </c>
      <c r="F5892">
        <f>IF(B5892="","",IFERROR(RIGHT(B5892,LEN(B5892)-FIND("@",B5892)),""))</f>
        <v/>
      </c>
      <c r="G5892">
        <f>IF(D5892="KEEP",COUNTIF($D$2:D5892,"KEEP"),"")</f>
        <v/>
      </c>
      <c r="H5892">
        <f>IF(D5892="REMOVE",COUNTIF($D$2:D5892,"REMOVE"),"")</f>
        <v/>
      </c>
      <c r="I5892">
        <f>IF(E5892="Gmail",COUNTIF($E$2:E5892,"Gmail"),"")</f>
        <v/>
      </c>
      <c r="J5892">
        <f>IF(E5892="Outlook",COUNTIF($E$2:E5892,"Outlook"),"")</f>
        <v/>
      </c>
      <c r="K5892">
        <f>IF(E5892="Domain",COUNTIF($E$2:E5892,"Domain"),"")</f>
        <v/>
      </c>
    </row>
    <row r="5893">
      <c r="A5893" s="2" t="n"/>
      <c r="B5893">
        <f>LOWER(TRIM(A5893))</f>
        <v/>
      </c>
      <c r="C5893">
        <f>IF(B5893="","",IFERROR(INDEX('Bad Patterns'!$A$2:$A$120,MATCH(1,INDEX(--ISNUMBER(SEARCH('Bad Patterns'!$A$2:$A$120,B5893)),0),0)),""))</f>
        <v/>
      </c>
      <c r="D5893">
        <f>IF(B5893="","",IF(C5893&lt;&gt;"","REMOVE","KEEP"))</f>
        <v/>
      </c>
      <c r="E5893">
        <f>IF(D5893&lt;&gt;"KEEP","",IF(RIGHT(B5893,10)="@gmail.com","Gmail",IF(OR(RIGHT(B5893,12)="@outlook.com",RIGHT(B5893,12)="@hotmail.com",RIGHT(B5893,9)="@live.com"),"Outlook","Domain")))</f>
        <v/>
      </c>
      <c r="F5893">
        <f>IF(B5893="","",IFERROR(RIGHT(B5893,LEN(B5893)-FIND("@",B5893)),""))</f>
        <v/>
      </c>
      <c r="G5893">
        <f>IF(D5893="KEEP",COUNTIF($D$2:D5893,"KEEP"),"")</f>
        <v/>
      </c>
      <c r="H5893">
        <f>IF(D5893="REMOVE",COUNTIF($D$2:D5893,"REMOVE"),"")</f>
        <v/>
      </c>
      <c r="I5893">
        <f>IF(E5893="Gmail",COUNTIF($E$2:E5893,"Gmail"),"")</f>
        <v/>
      </c>
      <c r="J5893">
        <f>IF(E5893="Outlook",COUNTIF($E$2:E5893,"Outlook"),"")</f>
        <v/>
      </c>
      <c r="K5893">
        <f>IF(E5893="Domain",COUNTIF($E$2:E5893,"Domain"),"")</f>
        <v/>
      </c>
    </row>
    <row r="5894">
      <c r="A5894" s="2" t="n"/>
      <c r="B5894">
        <f>LOWER(TRIM(A5894))</f>
        <v/>
      </c>
      <c r="C5894">
        <f>IF(B5894="","",IFERROR(INDEX('Bad Patterns'!$A$2:$A$120,MATCH(1,INDEX(--ISNUMBER(SEARCH('Bad Patterns'!$A$2:$A$120,B5894)),0),0)),""))</f>
        <v/>
      </c>
      <c r="D5894">
        <f>IF(B5894="","",IF(C5894&lt;&gt;"","REMOVE","KEEP"))</f>
        <v/>
      </c>
      <c r="E5894">
        <f>IF(D5894&lt;&gt;"KEEP","",IF(RIGHT(B5894,10)="@gmail.com","Gmail",IF(OR(RIGHT(B5894,12)="@outlook.com",RIGHT(B5894,12)="@hotmail.com",RIGHT(B5894,9)="@live.com"),"Outlook","Domain")))</f>
        <v/>
      </c>
      <c r="F5894">
        <f>IF(B5894="","",IFERROR(RIGHT(B5894,LEN(B5894)-FIND("@",B5894)),""))</f>
        <v/>
      </c>
      <c r="G5894">
        <f>IF(D5894="KEEP",COUNTIF($D$2:D5894,"KEEP"),"")</f>
        <v/>
      </c>
      <c r="H5894">
        <f>IF(D5894="REMOVE",COUNTIF($D$2:D5894,"REMOVE"),"")</f>
        <v/>
      </c>
      <c r="I5894">
        <f>IF(E5894="Gmail",COUNTIF($E$2:E5894,"Gmail"),"")</f>
        <v/>
      </c>
      <c r="J5894">
        <f>IF(E5894="Outlook",COUNTIF($E$2:E5894,"Outlook"),"")</f>
        <v/>
      </c>
      <c r="K5894">
        <f>IF(E5894="Domain",COUNTIF($E$2:E5894,"Domain"),"")</f>
        <v/>
      </c>
    </row>
    <row r="5895">
      <c r="A5895" s="2" t="n"/>
      <c r="B5895">
        <f>LOWER(TRIM(A5895))</f>
        <v/>
      </c>
      <c r="C5895">
        <f>IF(B5895="","",IFERROR(INDEX('Bad Patterns'!$A$2:$A$120,MATCH(1,INDEX(--ISNUMBER(SEARCH('Bad Patterns'!$A$2:$A$120,B5895)),0),0)),""))</f>
        <v/>
      </c>
      <c r="D5895">
        <f>IF(B5895="","",IF(C5895&lt;&gt;"","REMOVE","KEEP"))</f>
        <v/>
      </c>
      <c r="E5895">
        <f>IF(D5895&lt;&gt;"KEEP","",IF(RIGHT(B5895,10)="@gmail.com","Gmail",IF(OR(RIGHT(B5895,12)="@outlook.com",RIGHT(B5895,12)="@hotmail.com",RIGHT(B5895,9)="@live.com"),"Outlook","Domain")))</f>
        <v/>
      </c>
      <c r="F5895">
        <f>IF(B5895="","",IFERROR(RIGHT(B5895,LEN(B5895)-FIND("@",B5895)),""))</f>
        <v/>
      </c>
      <c r="G5895">
        <f>IF(D5895="KEEP",COUNTIF($D$2:D5895,"KEEP"),"")</f>
        <v/>
      </c>
      <c r="H5895">
        <f>IF(D5895="REMOVE",COUNTIF($D$2:D5895,"REMOVE"),"")</f>
        <v/>
      </c>
      <c r="I5895">
        <f>IF(E5895="Gmail",COUNTIF($E$2:E5895,"Gmail"),"")</f>
        <v/>
      </c>
      <c r="J5895">
        <f>IF(E5895="Outlook",COUNTIF($E$2:E5895,"Outlook"),"")</f>
        <v/>
      </c>
      <c r="K5895">
        <f>IF(E5895="Domain",COUNTIF($E$2:E5895,"Domain"),"")</f>
        <v/>
      </c>
    </row>
    <row r="5896">
      <c r="A5896" s="2" t="n"/>
      <c r="B5896">
        <f>LOWER(TRIM(A5896))</f>
        <v/>
      </c>
      <c r="C5896">
        <f>IF(B5896="","",IFERROR(INDEX('Bad Patterns'!$A$2:$A$120,MATCH(1,INDEX(--ISNUMBER(SEARCH('Bad Patterns'!$A$2:$A$120,B5896)),0),0)),""))</f>
        <v/>
      </c>
      <c r="D5896">
        <f>IF(B5896="","",IF(C5896&lt;&gt;"","REMOVE","KEEP"))</f>
        <v/>
      </c>
      <c r="E5896">
        <f>IF(D5896&lt;&gt;"KEEP","",IF(RIGHT(B5896,10)="@gmail.com","Gmail",IF(OR(RIGHT(B5896,12)="@outlook.com",RIGHT(B5896,12)="@hotmail.com",RIGHT(B5896,9)="@live.com"),"Outlook","Domain")))</f>
        <v/>
      </c>
      <c r="F5896">
        <f>IF(B5896="","",IFERROR(RIGHT(B5896,LEN(B5896)-FIND("@",B5896)),""))</f>
        <v/>
      </c>
      <c r="G5896">
        <f>IF(D5896="KEEP",COUNTIF($D$2:D5896,"KEEP"),"")</f>
        <v/>
      </c>
      <c r="H5896">
        <f>IF(D5896="REMOVE",COUNTIF($D$2:D5896,"REMOVE"),"")</f>
        <v/>
      </c>
      <c r="I5896">
        <f>IF(E5896="Gmail",COUNTIF($E$2:E5896,"Gmail"),"")</f>
        <v/>
      </c>
      <c r="J5896">
        <f>IF(E5896="Outlook",COUNTIF($E$2:E5896,"Outlook"),"")</f>
        <v/>
      </c>
      <c r="K5896">
        <f>IF(E5896="Domain",COUNTIF($E$2:E5896,"Domain"),"")</f>
        <v/>
      </c>
    </row>
    <row r="5897">
      <c r="A5897" s="2" t="n"/>
      <c r="B5897">
        <f>LOWER(TRIM(A5897))</f>
        <v/>
      </c>
      <c r="C5897">
        <f>IF(B5897="","",IFERROR(INDEX('Bad Patterns'!$A$2:$A$120,MATCH(1,INDEX(--ISNUMBER(SEARCH('Bad Patterns'!$A$2:$A$120,B5897)),0),0)),""))</f>
        <v/>
      </c>
      <c r="D5897">
        <f>IF(B5897="","",IF(C5897&lt;&gt;"","REMOVE","KEEP"))</f>
        <v/>
      </c>
      <c r="E5897">
        <f>IF(D5897&lt;&gt;"KEEP","",IF(RIGHT(B5897,10)="@gmail.com","Gmail",IF(OR(RIGHT(B5897,12)="@outlook.com",RIGHT(B5897,12)="@hotmail.com",RIGHT(B5897,9)="@live.com"),"Outlook","Domain")))</f>
        <v/>
      </c>
      <c r="F5897">
        <f>IF(B5897="","",IFERROR(RIGHT(B5897,LEN(B5897)-FIND("@",B5897)),""))</f>
        <v/>
      </c>
      <c r="G5897">
        <f>IF(D5897="KEEP",COUNTIF($D$2:D5897,"KEEP"),"")</f>
        <v/>
      </c>
      <c r="H5897">
        <f>IF(D5897="REMOVE",COUNTIF($D$2:D5897,"REMOVE"),"")</f>
        <v/>
      </c>
      <c r="I5897">
        <f>IF(E5897="Gmail",COUNTIF($E$2:E5897,"Gmail"),"")</f>
        <v/>
      </c>
      <c r="J5897">
        <f>IF(E5897="Outlook",COUNTIF($E$2:E5897,"Outlook"),"")</f>
        <v/>
      </c>
      <c r="K5897">
        <f>IF(E5897="Domain",COUNTIF($E$2:E5897,"Domain"),"")</f>
        <v/>
      </c>
    </row>
    <row r="5898">
      <c r="A5898" s="2" t="n"/>
      <c r="B5898">
        <f>LOWER(TRIM(A5898))</f>
        <v/>
      </c>
      <c r="C5898">
        <f>IF(B5898="","",IFERROR(INDEX('Bad Patterns'!$A$2:$A$120,MATCH(1,INDEX(--ISNUMBER(SEARCH('Bad Patterns'!$A$2:$A$120,B5898)),0),0)),""))</f>
        <v/>
      </c>
      <c r="D5898">
        <f>IF(B5898="","",IF(C5898&lt;&gt;"","REMOVE","KEEP"))</f>
        <v/>
      </c>
      <c r="E5898">
        <f>IF(D5898&lt;&gt;"KEEP","",IF(RIGHT(B5898,10)="@gmail.com","Gmail",IF(OR(RIGHT(B5898,12)="@outlook.com",RIGHT(B5898,12)="@hotmail.com",RIGHT(B5898,9)="@live.com"),"Outlook","Domain")))</f>
        <v/>
      </c>
      <c r="F5898">
        <f>IF(B5898="","",IFERROR(RIGHT(B5898,LEN(B5898)-FIND("@",B5898)),""))</f>
        <v/>
      </c>
      <c r="G5898">
        <f>IF(D5898="KEEP",COUNTIF($D$2:D5898,"KEEP"),"")</f>
        <v/>
      </c>
      <c r="H5898">
        <f>IF(D5898="REMOVE",COUNTIF($D$2:D5898,"REMOVE"),"")</f>
        <v/>
      </c>
      <c r="I5898">
        <f>IF(E5898="Gmail",COUNTIF($E$2:E5898,"Gmail"),"")</f>
        <v/>
      </c>
      <c r="J5898">
        <f>IF(E5898="Outlook",COUNTIF($E$2:E5898,"Outlook"),"")</f>
        <v/>
      </c>
      <c r="K5898">
        <f>IF(E5898="Domain",COUNTIF($E$2:E5898,"Domain"),"")</f>
        <v/>
      </c>
    </row>
    <row r="5899">
      <c r="A5899" s="2" t="n"/>
      <c r="B5899">
        <f>LOWER(TRIM(A5899))</f>
        <v/>
      </c>
      <c r="C5899">
        <f>IF(B5899="","",IFERROR(INDEX('Bad Patterns'!$A$2:$A$120,MATCH(1,INDEX(--ISNUMBER(SEARCH('Bad Patterns'!$A$2:$A$120,B5899)),0),0)),""))</f>
        <v/>
      </c>
      <c r="D5899">
        <f>IF(B5899="","",IF(C5899&lt;&gt;"","REMOVE","KEEP"))</f>
        <v/>
      </c>
      <c r="E5899">
        <f>IF(D5899&lt;&gt;"KEEP","",IF(RIGHT(B5899,10)="@gmail.com","Gmail",IF(OR(RIGHT(B5899,12)="@outlook.com",RIGHT(B5899,12)="@hotmail.com",RIGHT(B5899,9)="@live.com"),"Outlook","Domain")))</f>
        <v/>
      </c>
      <c r="F5899">
        <f>IF(B5899="","",IFERROR(RIGHT(B5899,LEN(B5899)-FIND("@",B5899)),""))</f>
        <v/>
      </c>
      <c r="G5899">
        <f>IF(D5899="KEEP",COUNTIF($D$2:D5899,"KEEP"),"")</f>
        <v/>
      </c>
      <c r="H5899">
        <f>IF(D5899="REMOVE",COUNTIF($D$2:D5899,"REMOVE"),"")</f>
        <v/>
      </c>
      <c r="I5899">
        <f>IF(E5899="Gmail",COUNTIF($E$2:E5899,"Gmail"),"")</f>
        <v/>
      </c>
      <c r="J5899">
        <f>IF(E5899="Outlook",COUNTIF($E$2:E5899,"Outlook"),"")</f>
        <v/>
      </c>
      <c r="K5899">
        <f>IF(E5899="Domain",COUNTIF($E$2:E5899,"Domain"),"")</f>
        <v/>
      </c>
    </row>
    <row r="5900">
      <c r="A5900" s="2" t="n"/>
      <c r="B5900">
        <f>LOWER(TRIM(A5900))</f>
        <v/>
      </c>
      <c r="C5900">
        <f>IF(B5900="","",IFERROR(INDEX('Bad Patterns'!$A$2:$A$120,MATCH(1,INDEX(--ISNUMBER(SEARCH('Bad Patterns'!$A$2:$A$120,B5900)),0),0)),""))</f>
        <v/>
      </c>
      <c r="D5900">
        <f>IF(B5900="","",IF(C5900&lt;&gt;"","REMOVE","KEEP"))</f>
        <v/>
      </c>
      <c r="E5900">
        <f>IF(D5900&lt;&gt;"KEEP","",IF(RIGHT(B5900,10)="@gmail.com","Gmail",IF(OR(RIGHT(B5900,12)="@outlook.com",RIGHT(B5900,12)="@hotmail.com",RIGHT(B5900,9)="@live.com"),"Outlook","Domain")))</f>
        <v/>
      </c>
      <c r="F5900">
        <f>IF(B5900="","",IFERROR(RIGHT(B5900,LEN(B5900)-FIND("@",B5900)),""))</f>
        <v/>
      </c>
      <c r="G5900">
        <f>IF(D5900="KEEP",COUNTIF($D$2:D5900,"KEEP"),"")</f>
        <v/>
      </c>
      <c r="H5900">
        <f>IF(D5900="REMOVE",COUNTIF($D$2:D5900,"REMOVE"),"")</f>
        <v/>
      </c>
      <c r="I5900">
        <f>IF(E5900="Gmail",COUNTIF($E$2:E5900,"Gmail"),"")</f>
        <v/>
      </c>
      <c r="J5900">
        <f>IF(E5900="Outlook",COUNTIF($E$2:E5900,"Outlook"),"")</f>
        <v/>
      </c>
      <c r="K5900">
        <f>IF(E5900="Domain",COUNTIF($E$2:E5900,"Domain"),"")</f>
        <v/>
      </c>
    </row>
    <row r="5901">
      <c r="A5901" s="2" t="n"/>
      <c r="B5901">
        <f>LOWER(TRIM(A5901))</f>
        <v/>
      </c>
      <c r="C5901">
        <f>IF(B5901="","",IFERROR(INDEX('Bad Patterns'!$A$2:$A$120,MATCH(1,INDEX(--ISNUMBER(SEARCH('Bad Patterns'!$A$2:$A$120,B5901)),0),0)),""))</f>
        <v/>
      </c>
      <c r="D5901">
        <f>IF(B5901="","",IF(C5901&lt;&gt;"","REMOVE","KEEP"))</f>
        <v/>
      </c>
      <c r="E5901">
        <f>IF(D5901&lt;&gt;"KEEP","",IF(RIGHT(B5901,10)="@gmail.com","Gmail",IF(OR(RIGHT(B5901,12)="@outlook.com",RIGHT(B5901,12)="@hotmail.com",RIGHT(B5901,9)="@live.com"),"Outlook","Domain")))</f>
        <v/>
      </c>
      <c r="F5901">
        <f>IF(B5901="","",IFERROR(RIGHT(B5901,LEN(B5901)-FIND("@",B5901)),""))</f>
        <v/>
      </c>
      <c r="G5901">
        <f>IF(D5901="KEEP",COUNTIF($D$2:D5901,"KEEP"),"")</f>
        <v/>
      </c>
      <c r="H5901">
        <f>IF(D5901="REMOVE",COUNTIF($D$2:D5901,"REMOVE"),"")</f>
        <v/>
      </c>
      <c r="I5901">
        <f>IF(E5901="Gmail",COUNTIF($E$2:E5901,"Gmail"),"")</f>
        <v/>
      </c>
      <c r="J5901">
        <f>IF(E5901="Outlook",COUNTIF($E$2:E5901,"Outlook"),"")</f>
        <v/>
      </c>
      <c r="K5901">
        <f>IF(E5901="Domain",COUNTIF($E$2:E5901,"Domain"),"")</f>
        <v/>
      </c>
    </row>
    <row r="5902">
      <c r="A5902" s="2" t="n"/>
      <c r="B5902">
        <f>LOWER(TRIM(A5902))</f>
        <v/>
      </c>
      <c r="C5902">
        <f>IF(B5902="","",IFERROR(INDEX('Bad Patterns'!$A$2:$A$120,MATCH(1,INDEX(--ISNUMBER(SEARCH('Bad Patterns'!$A$2:$A$120,B5902)),0),0)),""))</f>
        <v/>
      </c>
      <c r="D5902">
        <f>IF(B5902="","",IF(C5902&lt;&gt;"","REMOVE","KEEP"))</f>
        <v/>
      </c>
      <c r="E5902">
        <f>IF(D5902&lt;&gt;"KEEP","",IF(RIGHT(B5902,10)="@gmail.com","Gmail",IF(OR(RIGHT(B5902,12)="@outlook.com",RIGHT(B5902,12)="@hotmail.com",RIGHT(B5902,9)="@live.com"),"Outlook","Domain")))</f>
        <v/>
      </c>
      <c r="F5902">
        <f>IF(B5902="","",IFERROR(RIGHT(B5902,LEN(B5902)-FIND("@",B5902)),""))</f>
        <v/>
      </c>
      <c r="G5902">
        <f>IF(D5902="KEEP",COUNTIF($D$2:D5902,"KEEP"),"")</f>
        <v/>
      </c>
      <c r="H5902">
        <f>IF(D5902="REMOVE",COUNTIF($D$2:D5902,"REMOVE"),"")</f>
        <v/>
      </c>
      <c r="I5902">
        <f>IF(E5902="Gmail",COUNTIF($E$2:E5902,"Gmail"),"")</f>
        <v/>
      </c>
      <c r="J5902">
        <f>IF(E5902="Outlook",COUNTIF($E$2:E5902,"Outlook"),"")</f>
        <v/>
      </c>
      <c r="K5902">
        <f>IF(E5902="Domain",COUNTIF($E$2:E5902,"Domain"),"")</f>
        <v/>
      </c>
    </row>
    <row r="5903">
      <c r="A5903" s="2" t="n"/>
      <c r="B5903">
        <f>LOWER(TRIM(A5903))</f>
        <v/>
      </c>
      <c r="C5903">
        <f>IF(B5903="","",IFERROR(INDEX('Bad Patterns'!$A$2:$A$120,MATCH(1,INDEX(--ISNUMBER(SEARCH('Bad Patterns'!$A$2:$A$120,B5903)),0),0)),""))</f>
        <v/>
      </c>
      <c r="D5903">
        <f>IF(B5903="","",IF(C5903&lt;&gt;"","REMOVE","KEEP"))</f>
        <v/>
      </c>
      <c r="E5903">
        <f>IF(D5903&lt;&gt;"KEEP","",IF(RIGHT(B5903,10)="@gmail.com","Gmail",IF(OR(RIGHT(B5903,12)="@outlook.com",RIGHT(B5903,12)="@hotmail.com",RIGHT(B5903,9)="@live.com"),"Outlook","Domain")))</f>
        <v/>
      </c>
      <c r="F5903">
        <f>IF(B5903="","",IFERROR(RIGHT(B5903,LEN(B5903)-FIND("@",B5903)),""))</f>
        <v/>
      </c>
      <c r="G5903">
        <f>IF(D5903="KEEP",COUNTIF($D$2:D5903,"KEEP"),"")</f>
        <v/>
      </c>
      <c r="H5903">
        <f>IF(D5903="REMOVE",COUNTIF($D$2:D5903,"REMOVE"),"")</f>
        <v/>
      </c>
      <c r="I5903">
        <f>IF(E5903="Gmail",COUNTIF($E$2:E5903,"Gmail"),"")</f>
        <v/>
      </c>
      <c r="J5903">
        <f>IF(E5903="Outlook",COUNTIF($E$2:E5903,"Outlook"),"")</f>
        <v/>
      </c>
      <c r="K5903">
        <f>IF(E5903="Domain",COUNTIF($E$2:E5903,"Domain"),"")</f>
        <v/>
      </c>
    </row>
    <row r="5904">
      <c r="A5904" s="2" t="n"/>
      <c r="B5904">
        <f>LOWER(TRIM(A5904))</f>
        <v/>
      </c>
      <c r="C5904">
        <f>IF(B5904="","",IFERROR(INDEX('Bad Patterns'!$A$2:$A$120,MATCH(1,INDEX(--ISNUMBER(SEARCH('Bad Patterns'!$A$2:$A$120,B5904)),0),0)),""))</f>
        <v/>
      </c>
      <c r="D5904">
        <f>IF(B5904="","",IF(C5904&lt;&gt;"","REMOVE","KEEP"))</f>
        <v/>
      </c>
      <c r="E5904">
        <f>IF(D5904&lt;&gt;"KEEP","",IF(RIGHT(B5904,10)="@gmail.com","Gmail",IF(OR(RIGHT(B5904,12)="@outlook.com",RIGHT(B5904,12)="@hotmail.com",RIGHT(B5904,9)="@live.com"),"Outlook","Domain")))</f>
        <v/>
      </c>
      <c r="F5904">
        <f>IF(B5904="","",IFERROR(RIGHT(B5904,LEN(B5904)-FIND("@",B5904)),""))</f>
        <v/>
      </c>
      <c r="G5904">
        <f>IF(D5904="KEEP",COUNTIF($D$2:D5904,"KEEP"),"")</f>
        <v/>
      </c>
      <c r="H5904">
        <f>IF(D5904="REMOVE",COUNTIF($D$2:D5904,"REMOVE"),"")</f>
        <v/>
      </c>
      <c r="I5904">
        <f>IF(E5904="Gmail",COUNTIF($E$2:E5904,"Gmail"),"")</f>
        <v/>
      </c>
      <c r="J5904">
        <f>IF(E5904="Outlook",COUNTIF($E$2:E5904,"Outlook"),"")</f>
        <v/>
      </c>
      <c r="K5904">
        <f>IF(E5904="Domain",COUNTIF($E$2:E5904,"Domain"),"")</f>
        <v/>
      </c>
    </row>
    <row r="5905">
      <c r="A5905" s="2" t="n"/>
      <c r="B5905">
        <f>LOWER(TRIM(A5905))</f>
        <v/>
      </c>
      <c r="C5905">
        <f>IF(B5905="","",IFERROR(INDEX('Bad Patterns'!$A$2:$A$120,MATCH(1,INDEX(--ISNUMBER(SEARCH('Bad Patterns'!$A$2:$A$120,B5905)),0),0)),""))</f>
        <v/>
      </c>
      <c r="D5905">
        <f>IF(B5905="","",IF(C5905&lt;&gt;"","REMOVE","KEEP"))</f>
        <v/>
      </c>
      <c r="E5905">
        <f>IF(D5905&lt;&gt;"KEEP","",IF(RIGHT(B5905,10)="@gmail.com","Gmail",IF(OR(RIGHT(B5905,12)="@outlook.com",RIGHT(B5905,12)="@hotmail.com",RIGHT(B5905,9)="@live.com"),"Outlook","Domain")))</f>
        <v/>
      </c>
      <c r="F5905">
        <f>IF(B5905="","",IFERROR(RIGHT(B5905,LEN(B5905)-FIND("@",B5905)),""))</f>
        <v/>
      </c>
      <c r="G5905">
        <f>IF(D5905="KEEP",COUNTIF($D$2:D5905,"KEEP"),"")</f>
        <v/>
      </c>
      <c r="H5905">
        <f>IF(D5905="REMOVE",COUNTIF($D$2:D5905,"REMOVE"),"")</f>
        <v/>
      </c>
      <c r="I5905">
        <f>IF(E5905="Gmail",COUNTIF($E$2:E5905,"Gmail"),"")</f>
        <v/>
      </c>
      <c r="J5905">
        <f>IF(E5905="Outlook",COUNTIF($E$2:E5905,"Outlook"),"")</f>
        <v/>
      </c>
      <c r="K5905">
        <f>IF(E5905="Domain",COUNTIF($E$2:E5905,"Domain"),"")</f>
        <v/>
      </c>
    </row>
    <row r="5906">
      <c r="A5906" s="2" t="n"/>
      <c r="B5906">
        <f>LOWER(TRIM(A5906))</f>
        <v/>
      </c>
      <c r="C5906">
        <f>IF(B5906="","",IFERROR(INDEX('Bad Patterns'!$A$2:$A$120,MATCH(1,INDEX(--ISNUMBER(SEARCH('Bad Patterns'!$A$2:$A$120,B5906)),0),0)),""))</f>
        <v/>
      </c>
      <c r="D5906">
        <f>IF(B5906="","",IF(C5906&lt;&gt;"","REMOVE","KEEP"))</f>
        <v/>
      </c>
      <c r="E5906">
        <f>IF(D5906&lt;&gt;"KEEP","",IF(RIGHT(B5906,10)="@gmail.com","Gmail",IF(OR(RIGHT(B5906,12)="@outlook.com",RIGHT(B5906,12)="@hotmail.com",RIGHT(B5906,9)="@live.com"),"Outlook","Domain")))</f>
        <v/>
      </c>
      <c r="F5906">
        <f>IF(B5906="","",IFERROR(RIGHT(B5906,LEN(B5906)-FIND("@",B5906)),""))</f>
        <v/>
      </c>
      <c r="G5906">
        <f>IF(D5906="KEEP",COUNTIF($D$2:D5906,"KEEP"),"")</f>
        <v/>
      </c>
      <c r="H5906">
        <f>IF(D5906="REMOVE",COUNTIF($D$2:D5906,"REMOVE"),"")</f>
        <v/>
      </c>
      <c r="I5906">
        <f>IF(E5906="Gmail",COUNTIF($E$2:E5906,"Gmail"),"")</f>
        <v/>
      </c>
      <c r="J5906">
        <f>IF(E5906="Outlook",COUNTIF($E$2:E5906,"Outlook"),"")</f>
        <v/>
      </c>
      <c r="K5906">
        <f>IF(E5906="Domain",COUNTIF($E$2:E5906,"Domain"),"")</f>
        <v/>
      </c>
    </row>
    <row r="5907">
      <c r="A5907" s="2" t="n"/>
      <c r="B5907">
        <f>LOWER(TRIM(A5907))</f>
        <v/>
      </c>
      <c r="C5907">
        <f>IF(B5907="","",IFERROR(INDEX('Bad Patterns'!$A$2:$A$120,MATCH(1,INDEX(--ISNUMBER(SEARCH('Bad Patterns'!$A$2:$A$120,B5907)),0),0)),""))</f>
        <v/>
      </c>
      <c r="D5907">
        <f>IF(B5907="","",IF(C5907&lt;&gt;"","REMOVE","KEEP"))</f>
        <v/>
      </c>
      <c r="E5907">
        <f>IF(D5907&lt;&gt;"KEEP","",IF(RIGHT(B5907,10)="@gmail.com","Gmail",IF(OR(RIGHT(B5907,12)="@outlook.com",RIGHT(B5907,12)="@hotmail.com",RIGHT(B5907,9)="@live.com"),"Outlook","Domain")))</f>
        <v/>
      </c>
      <c r="F5907">
        <f>IF(B5907="","",IFERROR(RIGHT(B5907,LEN(B5907)-FIND("@",B5907)),""))</f>
        <v/>
      </c>
      <c r="G5907">
        <f>IF(D5907="KEEP",COUNTIF($D$2:D5907,"KEEP"),"")</f>
        <v/>
      </c>
      <c r="H5907">
        <f>IF(D5907="REMOVE",COUNTIF($D$2:D5907,"REMOVE"),"")</f>
        <v/>
      </c>
      <c r="I5907">
        <f>IF(E5907="Gmail",COUNTIF($E$2:E5907,"Gmail"),"")</f>
        <v/>
      </c>
      <c r="J5907">
        <f>IF(E5907="Outlook",COUNTIF($E$2:E5907,"Outlook"),"")</f>
        <v/>
      </c>
      <c r="K5907">
        <f>IF(E5907="Domain",COUNTIF($E$2:E5907,"Domain"),"")</f>
        <v/>
      </c>
    </row>
    <row r="5908">
      <c r="A5908" s="2" t="n"/>
      <c r="B5908">
        <f>LOWER(TRIM(A5908))</f>
        <v/>
      </c>
      <c r="C5908">
        <f>IF(B5908="","",IFERROR(INDEX('Bad Patterns'!$A$2:$A$120,MATCH(1,INDEX(--ISNUMBER(SEARCH('Bad Patterns'!$A$2:$A$120,B5908)),0),0)),""))</f>
        <v/>
      </c>
      <c r="D5908">
        <f>IF(B5908="","",IF(C5908&lt;&gt;"","REMOVE","KEEP"))</f>
        <v/>
      </c>
      <c r="E5908">
        <f>IF(D5908&lt;&gt;"KEEP","",IF(RIGHT(B5908,10)="@gmail.com","Gmail",IF(OR(RIGHT(B5908,12)="@outlook.com",RIGHT(B5908,12)="@hotmail.com",RIGHT(B5908,9)="@live.com"),"Outlook","Domain")))</f>
        <v/>
      </c>
      <c r="F5908">
        <f>IF(B5908="","",IFERROR(RIGHT(B5908,LEN(B5908)-FIND("@",B5908)),""))</f>
        <v/>
      </c>
      <c r="G5908">
        <f>IF(D5908="KEEP",COUNTIF($D$2:D5908,"KEEP"),"")</f>
        <v/>
      </c>
      <c r="H5908">
        <f>IF(D5908="REMOVE",COUNTIF($D$2:D5908,"REMOVE"),"")</f>
        <v/>
      </c>
      <c r="I5908">
        <f>IF(E5908="Gmail",COUNTIF($E$2:E5908,"Gmail"),"")</f>
        <v/>
      </c>
      <c r="J5908">
        <f>IF(E5908="Outlook",COUNTIF($E$2:E5908,"Outlook"),"")</f>
        <v/>
      </c>
      <c r="K5908">
        <f>IF(E5908="Domain",COUNTIF($E$2:E5908,"Domain"),"")</f>
        <v/>
      </c>
    </row>
    <row r="5909">
      <c r="A5909" s="2" t="n"/>
      <c r="B5909">
        <f>LOWER(TRIM(A5909))</f>
        <v/>
      </c>
      <c r="C5909">
        <f>IF(B5909="","",IFERROR(INDEX('Bad Patterns'!$A$2:$A$120,MATCH(1,INDEX(--ISNUMBER(SEARCH('Bad Patterns'!$A$2:$A$120,B5909)),0),0)),""))</f>
        <v/>
      </c>
      <c r="D5909">
        <f>IF(B5909="","",IF(C5909&lt;&gt;"","REMOVE","KEEP"))</f>
        <v/>
      </c>
      <c r="E5909">
        <f>IF(D5909&lt;&gt;"KEEP","",IF(RIGHT(B5909,10)="@gmail.com","Gmail",IF(OR(RIGHT(B5909,12)="@outlook.com",RIGHT(B5909,12)="@hotmail.com",RIGHT(B5909,9)="@live.com"),"Outlook","Domain")))</f>
        <v/>
      </c>
      <c r="F5909">
        <f>IF(B5909="","",IFERROR(RIGHT(B5909,LEN(B5909)-FIND("@",B5909)),""))</f>
        <v/>
      </c>
      <c r="G5909">
        <f>IF(D5909="KEEP",COUNTIF($D$2:D5909,"KEEP"),"")</f>
        <v/>
      </c>
      <c r="H5909">
        <f>IF(D5909="REMOVE",COUNTIF($D$2:D5909,"REMOVE"),"")</f>
        <v/>
      </c>
      <c r="I5909">
        <f>IF(E5909="Gmail",COUNTIF($E$2:E5909,"Gmail"),"")</f>
        <v/>
      </c>
      <c r="J5909">
        <f>IF(E5909="Outlook",COUNTIF($E$2:E5909,"Outlook"),"")</f>
        <v/>
      </c>
      <c r="K5909">
        <f>IF(E5909="Domain",COUNTIF($E$2:E5909,"Domain"),"")</f>
        <v/>
      </c>
    </row>
    <row r="5910">
      <c r="A5910" s="2" t="n"/>
      <c r="B5910">
        <f>LOWER(TRIM(A5910))</f>
        <v/>
      </c>
      <c r="C5910">
        <f>IF(B5910="","",IFERROR(INDEX('Bad Patterns'!$A$2:$A$120,MATCH(1,INDEX(--ISNUMBER(SEARCH('Bad Patterns'!$A$2:$A$120,B5910)),0),0)),""))</f>
        <v/>
      </c>
      <c r="D5910">
        <f>IF(B5910="","",IF(C5910&lt;&gt;"","REMOVE","KEEP"))</f>
        <v/>
      </c>
      <c r="E5910">
        <f>IF(D5910&lt;&gt;"KEEP","",IF(RIGHT(B5910,10)="@gmail.com","Gmail",IF(OR(RIGHT(B5910,12)="@outlook.com",RIGHT(B5910,12)="@hotmail.com",RIGHT(B5910,9)="@live.com"),"Outlook","Domain")))</f>
        <v/>
      </c>
      <c r="F5910">
        <f>IF(B5910="","",IFERROR(RIGHT(B5910,LEN(B5910)-FIND("@",B5910)),""))</f>
        <v/>
      </c>
      <c r="G5910">
        <f>IF(D5910="KEEP",COUNTIF($D$2:D5910,"KEEP"),"")</f>
        <v/>
      </c>
      <c r="H5910">
        <f>IF(D5910="REMOVE",COUNTIF($D$2:D5910,"REMOVE"),"")</f>
        <v/>
      </c>
      <c r="I5910">
        <f>IF(E5910="Gmail",COUNTIF($E$2:E5910,"Gmail"),"")</f>
        <v/>
      </c>
      <c r="J5910">
        <f>IF(E5910="Outlook",COUNTIF($E$2:E5910,"Outlook"),"")</f>
        <v/>
      </c>
      <c r="K5910">
        <f>IF(E5910="Domain",COUNTIF($E$2:E5910,"Domain"),"")</f>
        <v/>
      </c>
    </row>
    <row r="5911">
      <c r="A5911" s="2" t="n"/>
      <c r="B5911">
        <f>LOWER(TRIM(A5911))</f>
        <v/>
      </c>
      <c r="C5911">
        <f>IF(B5911="","",IFERROR(INDEX('Bad Patterns'!$A$2:$A$120,MATCH(1,INDEX(--ISNUMBER(SEARCH('Bad Patterns'!$A$2:$A$120,B5911)),0),0)),""))</f>
        <v/>
      </c>
      <c r="D5911">
        <f>IF(B5911="","",IF(C5911&lt;&gt;"","REMOVE","KEEP"))</f>
        <v/>
      </c>
      <c r="E5911">
        <f>IF(D5911&lt;&gt;"KEEP","",IF(RIGHT(B5911,10)="@gmail.com","Gmail",IF(OR(RIGHT(B5911,12)="@outlook.com",RIGHT(B5911,12)="@hotmail.com",RIGHT(B5911,9)="@live.com"),"Outlook","Domain")))</f>
        <v/>
      </c>
      <c r="F5911">
        <f>IF(B5911="","",IFERROR(RIGHT(B5911,LEN(B5911)-FIND("@",B5911)),""))</f>
        <v/>
      </c>
      <c r="G5911">
        <f>IF(D5911="KEEP",COUNTIF($D$2:D5911,"KEEP"),"")</f>
        <v/>
      </c>
      <c r="H5911">
        <f>IF(D5911="REMOVE",COUNTIF($D$2:D5911,"REMOVE"),"")</f>
        <v/>
      </c>
      <c r="I5911">
        <f>IF(E5911="Gmail",COUNTIF($E$2:E5911,"Gmail"),"")</f>
        <v/>
      </c>
      <c r="J5911">
        <f>IF(E5911="Outlook",COUNTIF($E$2:E5911,"Outlook"),"")</f>
        <v/>
      </c>
      <c r="K5911">
        <f>IF(E5911="Domain",COUNTIF($E$2:E5911,"Domain"),"")</f>
        <v/>
      </c>
    </row>
    <row r="5912">
      <c r="A5912" s="2" t="n"/>
      <c r="B5912">
        <f>LOWER(TRIM(A5912))</f>
        <v/>
      </c>
      <c r="C5912">
        <f>IF(B5912="","",IFERROR(INDEX('Bad Patterns'!$A$2:$A$120,MATCH(1,INDEX(--ISNUMBER(SEARCH('Bad Patterns'!$A$2:$A$120,B5912)),0),0)),""))</f>
        <v/>
      </c>
      <c r="D5912">
        <f>IF(B5912="","",IF(C5912&lt;&gt;"","REMOVE","KEEP"))</f>
        <v/>
      </c>
      <c r="E5912">
        <f>IF(D5912&lt;&gt;"KEEP","",IF(RIGHT(B5912,10)="@gmail.com","Gmail",IF(OR(RIGHT(B5912,12)="@outlook.com",RIGHT(B5912,12)="@hotmail.com",RIGHT(B5912,9)="@live.com"),"Outlook","Domain")))</f>
        <v/>
      </c>
      <c r="F5912">
        <f>IF(B5912="","",IFERROR(RIGHT(B5912,LEN(B5912)-FIND("@",B5912)),""))</f>
        <v/>
      </c>
      <c r="G5912">
        <f>IF(D5912="KEEP",COUNTIF($D$2:D5912,"KEEP"),"")</f>
        <v/>
      </c>
      <c r="H5912">
        <f>IF(D5912="REMOVE",COUNTIF($D$2:D5912,"REMOVE"),"")</f>
        <v/>
      </c>
      <c r="I5912">
        <f>IF(E5912="Gmail",COUNTIF($E$2:E5912,"Gmail"),"")</f>
        <v/>
      </c>
      <c r="J5912">
        <f>IF(E5912="Outlook",COUNTIF($E$2:E5912,"Outlook"),"")</f>
        <v/>
      </c>
      <c r="K5912">
        <f>IF(E5912="Domain",COUNTIF($E$2:E5912,"Domain"),"")</f>
        <v/>
      </c>
    </row>
    <row r="5913">
      <c r="A5913" s="2" t="n"/>
      <c r="B5913">
        <f>LOWER(TRIM(A5913))</f>
        <v/>
      </c>
      <c r="C5913">
        <f>IF(B5913="","",IFERROR(INDEX('Bad Patterns'!$A$2:$A$120,MATCH(1,INDEX(--ISNUMBER(SEARCH('Bad Patterns'!$A$2:$A$120,B5913)),0),0)),""))</f>
        <v/>
      </c>
      <c r="D5913">
        <f>IF(B5913="","",IF(C5913&lt;&gt;"","REMOVE","KEEP"))</f>
        <v/>
      </c>
      <c r="E5913">
        <f>IF(D5913&lt;&gt;"KEEP","",IF(RIGHT(B5913,10)="@gmail.com","Gmail",IF(OR(RIGHT(B5913,12)="@outlook.com",RIGHT(B5913,12)="@hotmail.com",RIGHT(B5913,9)="@live.com"),"Outlook","Domain")))</f>
        <v/>
      </c>
      <c r="F5913">
        <f>IF(B5913="","",IFERROR(RIGHT(B5913,LEN(B5913)-FIND("@",B5913)),""))</f>
        <v/>
      </c>
      <c r="G5913">
        <f>IF(D5913="KEEP",COUNTIF($D$2:D5913,"KEEP"),"")</f>
        <v/>
      </c>
      <c r="H5913">
        <f>IF(D5913="REMOVE",COUNTIF($D$2:D5913,"REMOVE"),"")</f>
        <v/>
      </c>
      <c r="I5913">
        <f>IF(E5913="Gmail",COUNTIF($E$2:E5913,"Gmail"),"")</f>
        <v/>
      </c>
      <c r="J5913">
        <f>IF(E5913="Outlook",COUNTIF($E$2:E5913,"Outlook"),"")</f>
        <v/>
      </c>
      <c r="K5913">
        <f>IF(E5913="Domain",COUNTIF($E$2:E5913,"Domain"),"")</f>
        <v/>
      </c>
    </row>
    <row r="5914">
      <c r="A5914" s="2" t="n"/>
      <c r="B5914">
        <f>LOWER(TRIM(A5914))</f>
        <v/>
      </c>
      <c r="C5914">
        <f>IF(B5914="","",IFERROR(INDEX('Bad Patterns'!$A$2:$A$120,MATCH(1,INDEX(--ISNUMBER(SEARCH('Bad Patterns'!$A$2:$A$120,B5914)),0),0)),""))</f>
        <v/>
      </c>
      <c r="D5914">
        <f>IF(B5914="","",IF(C5914&lt;&gt;"","REMOVE","KEEP"))</f>
        <v/>
      </c>
      <c r="E5914">
        <f>IF(D5914&lt;&gt;"KEEP","",IF(RIGHT(B5914,10)="@gmail.com","Gmail",IF(OR(RIGHT(B5914,12)="@outlook.com",RIGHT(B5914,12)="@hotmail.com",RIGHT(B5914,9)="@live.com"),"Outlook","Domain")))</f>
        <v/>
      </c>
      <c r="F5914">
        <f>IF(B5914="","",IFERROR(RIGHT(B5914,LEN(B5914)-FIND("@",B5914)),""))</f>
        <v/>
      </c>
      <c r="G5914">
        <f>IF(D5914="KEEP",COUNTIF($D$2:D5914,"KEEP"),"")</f>
        <v/>
      </c>
      <c r="H5914">
        <f>IF(D5914="REMOVE",COUNTIF($D$2:D5914,"REMOVE"),"")</f>
        <v/>
      </c>
      <c r="I5914">
        <f>IF(E5914="Gmail",COUNTIF($E$2:E5914,"Gmail"),"")</f>
        <v/>
      </c>
      <c r="J5914">
        <f>IF(E5914="Outlook",COUNTIF($E$2:E5914,"Outlook"),"")</f>
        <v/>
      </c>
      <c r="K5914">
        <f>IF(E5914="Domain",COUNTIF($E$2:E5914,"Domain"),"")</f>
        <v/>
      </c>
    </row>
    <row r="5915">
      <c r="A5915" s="2" t="n"/>
      <c r="B5915">
        <f>LOWER(TRIM(A5915))</f>
        <v/>
      </c>
      <c r="C5915">
        <f>IF(B5915="","",IFERROR(INDEX('Bad Patterns'!$A$2:$A$120,MATCH(1,INDEX(--ISNUMBER(SEARCH('Bad Patterns'!$A$2:$A$120,B5915)),0),0)),""))</f>
        <v/>
      </c>
      <c r="D5915">
        <f>IF(B5915="","",IF(C5915&lt;&gt;"","REMOVE","KEEP"))</f>
        <v/>
      </c>
      <c r="E5915">
        <f>IF(D5915&lt;&gt;"KEEP","",IF(RIGHT(B5915,10)="@gmail.com","Gmail",IF(OR(RIGHT(B5915,12)="@outlook.com",RIGHT(B5915,12)="@hotmail.com",RIGHT(B5915,9)="@live.com"),"Outlook","Domain")))</f>
        <v/>
      </c>
      <c r="F5915">
        <f>IF(B5915="","",IFERROR(RIGHT(B5915,LEN(B5915)-FIND("@",B5915)),""))</f>
        <v/>
      </c>
      <c r="G5915">
        <f>IF(D5915="KEEP",COUNTIF($D$2:D5915,"KEEP"),"")</f>
        <v/>
      </c>
      <c r="H5915">
        <f>IF(D5915="REMOVE",COUNTIF($D$2:D5915,"REMOVE"),"")</f>
        <v/>
      </c>
      <c r="I5915">
        <f>IF(E5915="Gmail",COUNTIF($E$2:E5915,"Gmail"),"")</f>
        <v/>
      </c>
      <c r="J5915">
        <f>IF(E5915="Outlook",COUNTIF($E$2:E5915,"Outlook"),"")</f>
        <v/>
      </c>
      <c r="K5915">
        <f>IF(E5915="Domain",COUNTIF($E$2:E5915,"Domain"),"")</f>
        <v/>
      </c>
    </row>
    <row r="5916">
      <c r="A5916" s="2" t="n"/>
      <c r="B5916">
        <f>LOWER(TRIM(A5916))</f>
        <v/>
      </c>
      <c r="C5916">
        <f>IF(B5916="","",IFERROR(INDEX('Bad Patterns'!$A$2:$A$120,MATCH(1,INDEX(--ISNUMBER(SEARCH('Bad Patterns'!$A$2:$A$120,B5916)),0),0)),""))</f>
        <v/>
      </c>
      <c r="D5916">
        <f>IF(B5916="","",IF(C5916&lt;&gt;"","REMOVE","KEEP"))</f>
        <v/>
      </c>
      <c r="E5916">
        <f>IF(D5916&lt;&gt;"KEEP","",IF(RIGHT(B5916,10)="@gmail.com","Gmail",IF(OR(RIGHT(B5916,12)="@outlook.com",RIGHT(B5916,12)="@hotmail.com",RIGHT(B5916,9)="@live.com"),"Outlook","Domain")))</f>
        <v/>
      </c>
      <c r="F5916">
        <f>IF(B5916="","",IFERROR(RIGHT(B5916,LEN(B5916)-FIND("@",B5916)),""))</f>
        <v/>
      </c>
      <c r="G5916">
        <f>IF(D5916="KEEP",COUNTIF($D$2:D5916,"KEEP"),"")</f>
        <v/>
      </c>
      <c r="H5916">
        <f>IF(D5916="REMOVE",COUNTIF($D$2:D5916,"REMOVE"),"")</f>
        <v/>
      </c>
      <c r="I5916">
        <f>IF(E5916="Gmail",COUNTIF($E$2:E5916,"Gmail"),"")</f>
        <v/>
      </c>
      <c r="J5916">
        <f>IF(E5916="Outlook",COUNTIF($E$2:E5916,"Outlook"),"")</f>
        <v/>
      </c>
      <c r="K5916">
        <f>IF(E5916="Domain",COUNTIF($E$2:E5916,"Domain"),"")</f>
        <v/>
      </c>
    </row>
    <row r="5917">
      <c r="A5917" s="2" t="n"/>
      <c r="B5917">
        <f>LOWER(TRIM(A5917))</f>
        <v/>
      </c>
      <c r="C5917">
        <f>IF(B5917="","",IFERROR(INDEX('Bad Patterns'!$A$2:$A$120,MATCH(1,INDEX(--ISNUMBER(SEARCH('Bad Patterns'!$A$2:$A$120,B5917)),0),0)),""))</f>
        <v/>
      </c>
      <c r="D5917">
        <f>IF(B5917="","",IF(C5917&lt;&gt;"","REMOVE","KEEP"))</f>
        <v/>
      </c>
      <c r="E5917">
        <f>IF(D5917&lt;&gt;"KEEP","",IF(RIGHT(B5917,10)="@gmail.com","Gmail",IF(OR(RIGHT(B5917,12)="@outlook.com",RIGHT(B5917,12)="@hotmail.com",RIGHT(B5917,9)="@live.com"),"Outlook","Domain")))</f>
        <v/>
      </c>
      <c r="F5917">
        <f>IF(B5917="","",IFERROR(RIGHT(B5917,LEN(B5917)-FIND("@",B5917)),""))</f>
        <v/>
      </c>
      <c r="G5917">
        <f>IF(D5917="KEEP",COUNTIF($D$2:D5917,"KEEP"),"")</f>
        <v/>
      </c>
      <c r="H5917">
        <f>IF(D5917="REMOVE",COUNTIF($D$2:D5917,"REMOVE"),"")</f>
        <v/>
      </c>
      <c r="I5917">
        <f>IF(E5917="Gmail",COUNTIF($E$2:E5917,"Gmail"),"")</f>
        <v/>
      </c>
      <c r="J5917">
        <f>IF(E5917="Outlook",COUNTIF($E$2:E5917,"Outlook"),"")</f>
        <v/>
      </c>
      <c r="K5917">
        <f>IF(E5917="Domain",COUNTIF($E$2:E5917,"Domain"),"")</f>
        <v/>
      </c>
    </row>
    <row r="5918">
      <c r="A5918" s="2" t="n"/>
      <c r="B5918">
        <f>LOWER(TRIM(A5918))</f>
        <v/>
      </c>
      <c r="C5918">
        <f>IF(B5918="","",IFERROR(INDEX('Bad Patterns'!$A$2:$A$120,MATCH(1,INDEX(--ISNUMBER(SEARCH('Bad Patterns'!$A$2:$A$120,B5918)),0),0)),""))</f>
        <v/>
      </c>
      <c r="D5918">
        <f>IF(B5918="","",IF(C5918&lt;&gt;"","REMOVE","KEEP"))</f>
        <v/>
      </c>
      <c r="E5918">
        <f>IF(D5918&lt;&gt;"KEEP","",IF(RIGHT(B5918,10)="@gmail.com","Gmail",IF(OR(RIGHT(B5918,12)="@outlook.com",RIGHT(B5918,12)="@hotmail.com",RIGHT(B5918,9)="@live.com"),"Outlook","Domain")))</f>
        <v/>
      </c>
      <c r="F5918">
        <f>IF(B5918="","",IFERROR(RIGHT(B5918,LEN(B5918)-FIND("@",B5918)),""))</f>
        <v/>
      </c>
      <c r="G5918">
        <f>IF(D5918="KEEP",COUNTIF($D$2:D5918,"KEEP"),"")</f>
        <v/>
      </c>
      <c r="H5918">
        <f>IF(D5918="REMOVE",COUNTIF($D$2:D5918,"REMOVE"),"")</f>
        <v/>
      </c>
      <c r="I5918">
        <f>IF(E5918="Gmail",COUNTIF($E$2:E5918,"Gmail"),"")</f>
        <v/>
      </c>
      <c r="J5918">
        <f>IF(E5918="Outlook",COUNTIF($E$2:E5918,"Outlook"),"")</f>
        <v/>
      </c>
      <c r="K5918">
        <f>IF(E5918="Domain",COUNTIF($E$2:E5918,"Domain"),"")</f>
        <v/>
      </c>
    </row>
    <row r="5919">
      <c r="A5919" s="2" t="n"/>
      <c r="B5919">
        <f>LOWER(TRIM(A5919))</f>
        <v/>
      </c>
      <c r="C5919">
        <f>IF(B5919="","",IFERROR(INDEX('Bad Patterns'!$A$2:$A$120,MATCH(1,INDEX(--ISNUMBER(SEARCH('Bad Patterns'!$A$2:$A$120,B5919)),0),0)),""))</f>
        <v/>
      </c>
      <c r="D5919">
        <f>IF(B5919="","",IF(C5919&lt;&gt;"","REMOVE","KEEP"))</f>
        <v/>
      </c>
      <c r="E5919">
        <f>IF(D5919&lt;&gt;"KEEP","",IF(RIGHT(B5919,10)="@gmail.com","Gmail",IF(OR(RIGHT(B5919,12)="@outlook.com",RIGHT(B5919,12)="@hotmail.com",RIGHT(B5919,9)="@live.com"),"Outlook","Domain")))</f>
        <v/>
      </c>
      <c r="F5919">
        <f>IF(B5919="","",IFERROR(RIGHT(B5919,LEN(B5919)-FIND("@",B5919)),""))</f>
        <v/>
      </c>
      <c r="G5919">
        <f>IF(D5919="KEEP",COUNTIF($D$2:D5919,"KEEP"),"")</f>
        <v/>
      </c>
      <c r="H5919">
        <f>IF(D5919="REMOVE",COUNTIF($D$2:D5919,"REMOVE"),"")</f>
        <v/>
      </c>
      <c r="I5919">
        <f>IF(E5919="Gmail",COUNTIF($E$2:E5919,"Gmail"),"")</f>
        <v/>
      </c>
      <c r="J5919">
        <f>IF(E5919="Outlook",COUNTIF($E$2:E5919,"Outlook"),"")</f>
        <v/>
      </c>
      <c r="K5919">
        <f>IF(E5919="Domain",COUNTIF($E$2:E5919,"Domain"),"")</f>
        <v/>
      </c>
    </row>
    <row r="5920">
      <c r="A5920" s="2" t="n"/>
      <c r="B5920">
        <f>LOWER(TRIM(A5920))</f>
        <v/>
      </c>
      <c r="C5920">
        <f>IF(B5920="","",IFERROR(INDEX('Bad Patterns'!$A$2:$A$120,MATCH(1,INDEX(--ISNUMBER(SEARCH('Bad Patterns'!$A$2:$A$120,B5920)),0),0)),""))</f>
        <v/>
      </c>
      <c r="D5920">
        <f>IF(B5920="","",IF(C5920&lt;&gt;"","REMOVE","KEEP"))</f>
        <v/>
      </c>
      <c r="E5920">
        <f>IF(D5920&lt;&gt;"KEEP","",IF(RIGHT(B5920,10)="@gmail.com","Gmail",IF(OR(RIGHT(B5920,12)="@outlook.com",RIGHT(B5920,12)="@hotmail.com",RIGHT(B5920,9)="@live.com"),"Outlook","Domain")))</f>
        <v/>
      </c>
      <c r="F5920">
        <f>IF(B5920="","",IFERROR(RIGHT(B5920,LEN(B5920)-FIND("@",B5920)),""))</f>
        <v/>
      </c>
      <c r="G5920">
        <f>IF(D5920="KEEP",COUNTIF($D$2:D5920,"KEEP"),"")</f>
        <v/>
      </c>
      <c r="H5920">
        <f>IF(D5920="REMOVE",COUNTIF($D$2:D5920,"REMOVE"),"")</f>
        <v/>
      </c>
      <c r="I5920">
        <f>IF(E5920="Gmail",COUNTIF($E$2:E5920,"Gmail"),"")</f>
        <v/>
      </c>
      <c r="J5920">
        <f>IF(E5920="Outlook",COUNTIF($E$2:E5920,"Outlook"),"")</f>
        <v/>
      </c>
      <c r="K5920">
        <f>IF(E5920="Domain",COUNTIF($E$2:E5920,"Domain"),"")</f>
        <v/>
      </c>
    </row>
    <row r="5921">
      <c r="A5921" s="2" t="n"/>
      <c r="B5921">
        <f>LOWER(TRIM(A5921))</f>
        <v/>
      </c>
      <c r="C5921">
        <f>IF(B5921="","",IFERROR(INDEX('Bad Patterns'!$A$2:$A$120,MATCH(1,INDEX(--ISNUMBER(SEARCH('Bad Patterns'!$A$2:$A$120,B5921)),0),0)),""))</f>
        <v/>
      </c>
      <c r="D5921">
        <f>IF(B5921="","",IF(C5921&lt;&gt;"","REMOVE","KEEP"))</f>
        <v/>
      </c>
      <c r="E5921">
        <f>IF(D5921&lt;&gt;"KEEP","",IF(RIGHT(B5921,10)="@gmail.com","Gmail",IF(OR(RIGHT(B5921,12)="@outlook.com",RIGHT(B5921,12)="@hotmail.com",RIGHT(B5921,9)="@live.com"),"Outlook","Domain")))</f>
        <v/>
      </c>
      <c r="F5921">
        <f>IF(B5921="","",IFERROR(RIGHT(B5921,LEN(B5921)-FIND("@",B5921)),""))</f>
        <v/>
      </c>
      <c r="G5921">
        <f>IF(D5921="KEEP",COUNTIF($D$2:D5921,"KEEP"),"")</f>
        <v/>
      </c>
      <c r="H5921">
        <f>IF(D5921="REMOVE",COUNTIF($D$2:D5921,"REMOVE"),"")</f>
        <v/>
      </c>
      <c r="I5921">
        <f>IF(E5921="Gmail",COUNTIF($E$2:E5921,"Gmail"),"")</f>
        <v/>
      </c>
      <c r="J5921">
        <f>IF(E5921="Outlook",COUNTIF($E$2:E5921,"Outlook"),"")</f>
        <v/>
      </c>
      <c r="K5921">
        <f>IF(E5921="Domain",COUNTIF($E$2:E5921,"Domain"),"")</f>
        <v/>
      </c>
    </row>
    <row r="5922">
      <c r="A5922" s="2" t="n"/>
      <c r="B5922">
        <f>LOWER(TRIM(A5922))</f>
        <v/>
      </c>
      <c r="C5922">
        <f>IF(B5922="","",IFERROR(INDEX('Bad Patterns'!$A$2:$A$120,MATCH(1,INDEX(--ISNUMBER(SEARCH('Bad Patterns'!$A$2:$A$120,B5922)),0),0)),""))</f>
        <v/>
      </c>
      <c r="D5922">
        <f>IF(B5922="","",IF(C5922&lt;&gt;"","REMOVE","KEEP"))</f>
        <v/>
      </c>
      <c r="E5922">
        <f>IF(D5922&lt;&gt;"KEEP","",IF(RIGHT(B5922,10)="@gmail.com","Gmail",IF(OR(RIGHT(B5922,12)="@outlook.com",RIGHT(B5922,12)="@hotmail.com",RIGHT(B5922,9)="@live.com"),"Outlook","Domain")))</f>
        <v/>
      </c>
      <c r="F5922">
        <f>IF(B5922="","",IFERROR(RIGHT(B5922,LEN(B5922)-FIND("@",B5922)),""))</f>
        <v/>
      </c>
      <c r="G5922">
        <f>IF(D5922="KEEP",COUNTIF($D$2:D5922,"KEEP"),"")</f>
        <v/>
      </c>
      <c r="H5922">
        <f>IF(D5922="REMOVE",COUNTIF($D$2:D5922,"REMOVE"),"")</f>
        <v/>
      </c>
      <c r="I5922">
        <f>IF(E5922="Gmail",COUNTIF($E$2:E5922,"Gmail"),"")</f>
        <v/>
      </c>
      <c r="J5922">
        <f>IF(E5922="Outlook",COUNTIF($E$2:E5922,"Outlook"),"")</f>
        <v/>
      </c>
      <c r="K5922">
        <f>IF(E5922="Domain",COUNTIF($E$2:E5922,"Domain"),"")</f>
        <v/>
      </c>
    </row>
    <row r="5923">
      <c r="A5923" s="2" t="n"/>
      <c r="B5923">
        <f>LOWER(TRIM(A5923))</f>
        <v/>
      </c>
      <c r="C5923">
        <f>IF(B5923="","",IFERROR(INDEX('Bad Patterns'!$A$2:$A$120,MATCH(1,INDEX(--ISNUMBER(SEARCH('Bad Patterns'!$A$2:$A$120,B5923)),0),0)),""))</f>
        <v/>
      </c>
      <c r="D5923">
        <f>IF(B5923="","",IF(C5923&lt;&gt;"","REMOVE","KEEP"))</f>
        <v/>
      </c>
      <c r="E5923">
        <f>IF(D5923&lt;&gt;"KEEP","",IF(RIGHT(B5923,10)="@gmail.com","Gmail",IF(OR(RIGHT(B5923,12)="@outlook.com",RIGHT(B5923,12)="@hotmail.com",RIGHT(B5923,9)="@live.com"),"Outlook","Domain")))</f>
        <v/>
      </c>
      <c r="F5923">
        <f>IF(B5923="","",IFERROR(RIGHT(B5923,LEN(B5923)-FIND("@",B5923)),""))</f>
        <v/>
      </c>
      <c r="G5923">
        <f>IF(D5923="KEEP",COUNTIF($D$2:D5923,"KEEP"),"")</f>
        <v/>
      </c>
      <c r="H5923">
        <f>IF(D5923="REMOVE",COUNTIF($D$2:D5923,"REMOVE"),"")</f>
        <v/>
      </c>
      <c r="I5923">
        <f>IF(E5923="Gmail",COUNTIF($E$2:E5923,"Gmail"),"")</f>
        <v/>
      </c>
      <c r="J5923">
        <f>IF(E5923="Outlook",COUNTIF($E$2:E5923,"Outlook"),"")</f>
        <v/>
      </c>
      <c r="K5923">
        <f>IF(E5923="Domain",COUNTIF($E$2:E5923,"Domain"),"")</f>
        <v/>
      </c>
    </row>
    <row r="5924">
      <c r="A5924" s="2" t="n"/>
      <c r="B5924">
        <f>LOWER(TRIM(A5924))</f>
        <v/>
      </c>
      <c r="C5924">
        <f>IF(B5924="","",IFERROR(INDEX('Bad Patterns'!$A$2:$A$120,MATCH(1,INDEX(--ISNUMBER(SEARCH('Bad Patterns'!$A$2:$A$120,B5924)),0),0)),""))</f>
        <v/>
      </c>
      <c r="D5924">
        <f>IF(B5924="","",IF(C5924&lt;&gt;"","REMOVE","KEEP"))</f>
        <v/>
      </c>
      <c r="E5924">
        <f>IF(D5924&lt;&gt;"KEEP","",IF(RIGHT(B5924,10)="@gmail.com","Gmail",IF(OR(RIGHT(B5924,12)="@outlook.com",RIGHT(B5924,12)="@hotmail.com",RIGHT(B5924,9)="@live.com"),"Outlook","Domain")))</f>
        <v/>
      </c>
      <c r="F5924">
        <f>IF(B5924="","",IFERROR(RIGHT(B5924,LEN(B5924)-FIND("@",B5924)),""))</f>
        <v/>
      </c>
      <c r="G5924">
        <f>IF(D5924="KEEP",COUNTIF($D$2:D5924,"KEEP"),"")</f>
        <v/>
      </c>
      <c r="H5924">
        <f>IF(D5924="REMOVE",COUNTIF($D$2:D5924,"REMOVE"),"")</f>
        <v/>
      </c>
      <c r="I5924">
        <f>IF(E5924="Gmail",COUNTIF($E$2:E5924,"Gmail"),"")</f>
        <v/>
      </c>
      <c r="J5924">
        <f>IF(E5924="Outlook",COUNTIF($E$2:E5924,"Outlook"),"")</f>
        <v/>
      </c>
      <c r="K5924">
        <f>IF(E5924="Domain",COUNTIF($E$2:E5924,"Domain"),"")</f>
        <v/>
      </c>
    </row>
    <row r="5925">
      <c r="A5925" s="2" t="n"/>
      <c r="B5925">
        <f>LOWER(TRIM(A5925))</f>
        <v/>
      </c>
      <c r="C5925">
        <f>IF(B5925="","",IFERROR(INDEX('Bad Patterns'!$A$2:$A$120,MATCH(1,INDEX(--ISNUMBER(SEARCH('Bad Patterns'!$A$2:$A$120,B5925)),0),0)),""))</f>
        <v/>
      </c>
      <c r="D5925">
        <f>IF(B5925="","",IF(C5925&lt;&gt;"","REMOVE","KEEP"))</f>
        <v/>
      </c>
      <c r="E5925">
        <f>IF(D5925&lt;&gt;"KEEP","",IF(RIGHT(B5925,10)="@gmail.com","Gmail",IF(OR(RIGHT(B5925,12)="@outlook.com",RIGHT(B5925,12)="@hotmail.com",RIGHT(B5925,9)="@live.com"),"Outlook","Domain")))</f>
        <v/>
      </c>
      <c r="F5925">
        <f>IF(B5925="","",IFERROR(RIGHT(B5925,LEN(B5925)-FIND("@",B5925)),""))</f>
        <v/>
      </c>
      <c r="G5925">
        <f>IF(D5925="KEEP",COUNTIF($D$2:D5925,"KEEP"),"")</f>
        <v/>
      </c>
      <c r="H5925">
        <f>IF(D5925="REMOVE",COUNTIF($D$2:D5925,"REMOVE"),"")</f>
        <v/>
      </c>
      <c r="I5925">
        <f>IF(E5925="Gmail",COUNTIF($E$2:E5925,"Gmail"),"")</f>
        <v/>
      </c>
      <c r="J5925">
        <f>IF(E5925="Outlook",COUNTIF($E$2:E5925,"Outlook"),"")</f>
        <v/>
      </c>
      <c r="K5925">
        <f>IF(E5925="Domain",COUNTIF($E$2:E5925,"Domain"),"")</f>
        <v/>
      </c>
    </row>
    <row r="5926">
      <c r="A5926" s="2" t="n"/>
      <c r="B5926">
        <f>LOWER(TRIM(A5926))</f>
        <v/>
      </c>
      <c r="C5926">
        <f>IF(B5926="","",IFERROR(INDEX('Bad Patterns'!$A$2:$A$120,MATCH(1,INDEX(--ISNUMBER(SEARCH('Bad Patterns'!$A$2:$A$120,B5926)),0),0)),""))</f>
        <v/>
      </c>
      <c r="D5926">
        <f>IF(B5926="","",IF(C5926&lt;&gt;"","REMOVE","KEEP"))</f>
        <v/>
      </c>
      <c r="E5926">
        <f>IF(D5926&lt;&gt;"KEEP","",IF(RIGHT(B5926,10)="@gmail.com","Gmail",IF(OR(RIGHT(B5926,12)="@outlook.com",RIGHT(B5926,12)="@hotmail.com",RIGHT(B5926,9)="@live.com"),"Outlook","Domain")))</f>
        <v/>
      </c>
      <c r="F5926">
        <f>IF(B5926="","",IFERROR(RIGHT(B5926,LEN(B5926)-FIND("@",B5926)),""))</f>
        <v/>
      </c>
      <c r="G5926">
        <f>IF(D5926="KEEP",COUNTIF($D$2:D5926,"KEEP"),"")</f>
        <v/>
      </c>
      <c r="H5926">
        <f>IF(D5926="REMOVE",COUNTIF($D$2:D5926,"REMOVE"),"")</f>
        <v/>
      </c>
      <c r="I5926">
        <f>IF(E5926="Gmail",COUNTIF($E$2:E5926,"Gmail"),"")</f>
        <v/>
      </c>
      <c r="J5926">
        <f>IF(E5926="Outlook",COUNTIF($E$2:E5926,"Outlook"),"")</f>
        <v/>
      </c>
      <c r="K5926">
        <f>IF(E5926="Domain",COUNTIF($E$2:E5926,"Domain"),"")</f>
        <v/>
      </c>
    </row>
    <row r="5927">
      <c r="A5927" s="2" t="n"/>
      <c r="B5927">
        <f>LOWER(TRIM(A5927))</f>
        <v/>
      </c>
      <c r="C5927">
        <f>IF(B5927="","",IFERROR(INDEX('Bad Patterns'!$A$2:$A$120,MATCH(1,INDEX(--ISNUMBER(SEARCH('Bad Patterns'!$A$2:$A$120,B5927)),0),0)),""))</f>
        <v/>
      </c>
      <c r="D5927">
        <f>IF(B5927="","",IF(C5927&lt;&gt;"","REMOVE","KEEP"))</f>
        <v/>
      </c>
      <c r="E5927">
        <f>IF(D5927&lt;&gt;"KEEP","",IF(RIGHT(B5927,10)="@gmail.com","Gmail",IF(OR(RIGHT(B5927,12)="@outlook.com",RIGHT(B5927,12)="@hotmail.com",RIGHT(B5927,9)="@live.com"),"Outlook","Domain")))</f>
        <v/>
      </c>
      <c r="F5927">
        <f>IF(B5927="","",IFERROR(RIGHT(B5927,LEN(B5927)-FIND("@",B5927)),""))</f>
        <v/>
      </c>
      <c r="G5927">
        <f>IF(D5927="KEEP",COUNTIF($D$2:D5927,"KEEP"),"")</f>
        <v/>
      </c>
      <c r="H5927">
        <f>IF(D5927="REMOVE",COUNTIF($D$2:D5927,"REMOVE"),"")</f>
        <v/>
      </c>
      <c r="I5927">
        <f>IF(E5927="Gmail",COUNTIF($E$2:E5927,"Gmail"),"")</f>
        <v/>
      </c>
      <c r="J5927">
        <f>IF(E5927="Outlook",COUNTIF($E$2:E5927,"Outlook"),"")</f>
        <v/>
      </c>
      <c r="K5927">
        <f>IF(E5927="Domain",COUNTIF($E$2:E5927,"Domain"),"")</f>
        <v/>
      </c>
    </row>
    <row r="5928">
      <c r="A5928" s="2" t="n"/>
      <c r="B5928">
        <f>LOWER(TRIM(A5928))</f>
        <v/>
      </c>
      <c r="C5928">
        <f>IF(B5928="","",IFERROR(INDEX('Bad Patterns'!$A$2:$A$120,MATCH(1,INDEX(--ISNUMBER(SEARCH('Bad Patterns'!$A$2:$A$120,B5928)),0),0)),""))</f>
        <v/>
      </c>
      <c r="D5928">
        <f>IF(B5928="","",IF(C5928&lt;&gt;"","REMOVE","KEEP"))</f>
        <v/>
      </c>
      <c r="E5928">
        <f>IF(D5928&lt;&gt;"KEEP","",IF(RIGHT(B5928,10)="@gmail.com","Gmail",IF(OR(RIGHT(B5928,12)="@outlook.com",RIGHT(B5928,12)="@hotmail.com",RIGHT(B5928,9)="@live.com"),"Outlook","Domain")))</f>
        <v/>
      </c>
      <c r="F5928">
        <f>IF(B5928="","",IFERROR(RIGHT(B5928,LEN(B5928)-FIND("@",B5928)),""))</f>
        <v/>
      </c>
      <c r="G5928">
        <f>IF(D5928="KEEP",COUNTIF($D$2:D5928,"KEEP"),"")</f>
        <v/>
      </c>
      <c r="H5928">
        <f>IF(D5928="REMOVE",COUNTIF($D$2:D5928,"REMOVE"),"")</f>
        <v/>
      </c>
      <c r="I5928">
        <f>IF(E5928="Gmail",COUNTIF($E$2:E5928,"Gmail"),"")</f>
        <v/>
      </c>
      <c r="J5928">
        <f>IF(E5928="Outlook",COUNTIF($E$2:E5928,"Outlook"),"")</f>
        <v/>
      </c>
      <c r="K5928">
        <f>IF(E5928="Domain",COUNTIF($E$2:E5928,"Domain"),"")</f>
        <v/>
      </c>
    </row>
    <row r="5929">
      <c r="A5929" s="2" t="n"/>
      <c r="B5929">
        <f>LOWER(TRIM(A5929))</f>
        <v/>
      </c>
      <c r="C5929">
        <f>IF(B5929="","",IFERROR(INDEX('Bad Patterns'!$A$2:$A$120,MATCH(1,INDEX(--ISNUMBER(SEARCH('Bad Patterns'!$A$2:$A$120,B5929)),0),0)),""))</f>
        <v/>
      </c>
      <c r="D5929">
        <f>IF(B5929="","",IF(C5929&lt;&gt;"","REMOVE","KEEP"))</f>
        <v/>
      </c>
      <c r="E5929">
        <f>IF(D5929&lt;&gt;"KEEP","",IF(RIGHT(B5929,10)="@gmail.com","Gmail",IF(OR(RIGHT(B5929,12)="@outlook.com",RIGHT(B5929,12)="@hotmail.com",RIGHT(B5929,9)="@live.com"),"Outlook","Domain")))</f>
        <v/>
      </c>
      <c r="F5929">
        <f>IF(B5929="","",IFERROR(RIGHT(B5929,LEN(B5929)-FIND("@",B5929)),""))</f>
        <v/>
      </c>
      <c r="G5929">
        <f>IF(D5929="KEEP",COUNTIF($D$2:D5929,"KEEP"),"")</f>
        <v/>
      </c>
      <c r="H5929">
        <f>IF(D5929="REMOVE",COUNTIF($D$2:D5929,"REMOVE"),"")</f>
        <v/>
      </c>
      <c r="I5929">
        <f>IF(E5929="Gmail",COUNTIF($E$2:E5929,"Gmail"),"")</f>
        <v/>
      </c>
      <c r="J5929">
        <f>IF(E5929="Outlook",COUNTIF($E$2:E5929,"Outlook"),"")</f>
        <v/>
      </c>
      <c r="K5929">
        <f>IF(E5929="Domain",COUNTIF($E$2:E5929,"Domain"),"")</f>
        <v/>
      </c>
    </row>
    <row r="5930">
      <c r="A5930" s="2" t="n"/>
      <c r="B5930">
        <f>LOWER(TRIM(A5930))</f>
        <v/>
      </c>
      <c r="C5930">
        <f>IF(B5930="","",IFERROR(INDEX('Bad Patterns'!$A$2:$A$120,MATCH(1,INDEX(--ISNUMBER(SEARCH('Bad Patterns'!$A$2:$A$120,B5930)),0),0)),""))</f>
        <v/>
      </c>
      <c r="D5930">
        <f>IF(B5930="","",IF(C5930&lt;&gt;"","REMOVE","KEEP"))</f>
        <v/>
      </c>
      <c r="E5930">
        <f>IF(D5930&lt;&gt;"KEEP","",IF(RIGHT(B5930,10)="@gmail.com","Gmail",IF(OR(RIGHT(B5930,12)="@outlook.com",RIGHT(B5930,12)="@hotmail.com",RIGHT(B5930,9)="@live.com"),"Outlook","Domain")))</f>
        <v/>
      </c>
      <c r="F5930">
        <f>IF(B5930="","",IFERROR(RIGHT(B5930,LEN(B5930)-FIND("@",B5930)),""))</f>
        <v/>
      </c>
      <c r="G5930">
        <f>IF(D5930="KEEP",COUNTIF($D$2:D5930,"KEEP"),"")</f>
        <v/>
      </c>
      <c r="H5930">
        <f>IF(D5930="REMOVE",COUNTIF($D$2:D5930,"REMOVE"),"")</f>
        <v/>
      </c>
      <c r="I5930">
        <f>IF(E5930="Gmail",COUNTIF($E$2:E5930,"Gmail"),"")</f>
        <v/>
      </c>
      <c r="J5930">
        <f>IF(E5930="Outlook",COUNTIF($E$2:E5930,"Outlook"),"")</f>
        <v/>
      </c>
      <c r="K5930">
        <f>IF(E5930="Domain",COUNTIF($E$2:E5930,"Domain"),"")</f>
        <v/>
      </c>
    </row>
    <row r="5931">
      <c r="A5931" s="2" t="n"/>
      <c r="B5931">
        <f>LOWER(TRIM(A5931))</f>
        <v/>
      </c>
      <c r="C5931">
        <f>IF(B5931="","",IFERROR(INDEX('Bad Patterns'!$A$2:$A$120,MATCH(1,INDEX(--ISNUMBER(SEARCH('Bad Patterns'!$A$2:$A$120,B5931)),0),0)),""))</f>
        <v/>
      </c>
      <c r="D5931">
        <f>IF(B5931="","",IF(C5931&lt;&gt;"","REMOVE","KEEP"))</f>
        <v/>
      </c>
      <c r="E5931">
        <f>IF(D5931&lt;&gt;"KEEP","",IF(RIGHT(B5931,10)="@gmail.com","Gmail",IF(OR(RIGHT(B5931,12)="@outlook.com",RIGHT(B5931,12)="@hotmail.com",RIGHT(B5931,9)="@live.com"),"Outlook","Domain")))</f>
        <v/>
      </c>
      <c r="F5931">
        <f>IF(B5931="","",IFERROR(RIGHT(B5931,LEN(B5931)-FIND("@",B5931)),""))</f>
        <v/>
      </c>
      <c r="G5931">
        <f>IF(D5931="KEEP",COUNTIF($D$2:D5931,"KEEP"),"")</f>
        <v/>
      </c>
      <c r="H5931">
        <f>IF(D5931="REMOVE",COUNTIF($D$2:D5931,"REMOVE"),"")</f>
        <v/>
      </c>
      <c r="I5931">
        <f>IF(E5931="Gmail",COUNTIF($E$2:E5931,"Gmail"),"")</f>
        <v/>
      </c>
      <c r="J5931">
        <f>IF(E5931="Outlook",COUNTIF($E$2:E5931,"Outlook"),"")</f>
        <v/>
      </c>
      <c r="K5931">
        <f>IF(E5931="Domain",COUNTIF($E$2:E5931,"Domain"),"")</f>
        <v/>
      </c>
    </row>
    <row r="5932">
      <c r="A5932" s="2" t="n"/>
      <c r="B5932">
        <f>LOWER(TRIM(A5932))</f>
        <v/>
      </c>
      <c r="C5932">
        <f>IF(B5932="","",IFERROR(INDEX('Bad Patterns'!$A$2:$A$120,MATCH(1,INDEX(--ISNUMBER(SEARCH('Bad Patterns'!$A$2:$A$120,B5932)),0),0)),""))</f>
        <v/>
      </c>
      <c r="D5932">
        <f>IF(B5932="","",IF(C5932&lt;&gt;"","REMOVE","KEEP"))</f>
        <v/>
      </c>
      <c r="E5932">
        <f>IF(D5932&lt;&gt;"KEEP","",IF(RIGHT(B5932,10)="@gmail.com","Gmail",IF(OR(RIGHT(B5932,12)="@outlook.com",RIGHT(B5932,12)="@hotmail.com",RIGHT(B5932,9)="@live.com"),"Outlook","Domain")))</f>
        <v/>
      </c>
      <c r="F5932">
        <f>IF(B5932="","",IFERROR(RIGHT(B5932,LEN(B5932)-FIND("@",B5932)),""))</f>
        <v/>
      </c>
      <c r="G5932">
        <f>IF(D5932="KEEP",COUNTIF($D$2:D5932,"KEEP"),"")</f>
        <v/>
      </c>
      <c r="H5932">
        <f>IF(D5932="REMOVE",COUNTIF($D$2:D5932,"REMOVE"),"")</f>
        <v/>
      </c>
      <c r="I5932">
        <f>IF(E5932="Gmail",COUNTIF($E$2:E5932,"Gmail"),"")</f>
        <v/>
      </c>
      <c r="J5932">
        <f>IF(E5932="Outlook",COUNTIF($E$2:E5932,"Outlook"),"")</f>
        <v/>
      </c>
      <c r="K5932">
        <f>IF(E5932="Domain",COUNTIF($E$2:E5932,"Domain"),"")</f>
        <v/>
      </c>
    </row>
    <row r="5933">
      <c r="A5933" s="2" t="n"/>
      <c r="B5933">
        <f>LOWER(TRIM(A5933))</f>
        <v/>
      </c>
      <c r="C5933">
        <f>IF(B5933="","",IFERROR(INDEX('Bad Patterns'!$A$2:$A$120,MATCH(1,INDEX(--ISNUMBER(SEARCH('Bad Patterns'!$A$2:$A$120,B5933)),0),0)),""))</f>
        <v/>
      </c>
      <c r="D5933">
        <f>IF(B5933="","",IF(C5933&lt;&gt;"","REMOVE","KEEP"))</f>
        <v/>
      </c>
      <c r="E5933">
        <f>IF(D5933&lt;&gt;"KEEP","",IF(RIGHT(B5933,10)="@gmail.com","Gmail",IF(OR(RIGHT(B5933,12)="@outlook.com",RIGHT(B5933,12)="@hotmail.com",RIGHT(B5933,9)="@live.com"),"Outlook","Domain")))</f>
        <v/>
      </c>
      <c r="F5933">
        <f>IF(B5933="","",IFERROR(RIGHT(B5933,LEN(B5933)-FIND("@",B5933)),""))</f>
        <v/>
      </c>
      <c r="G5933">
        <f>IF(D5933="KEEP",COUNTIF($D$2:D5933,"KEEP"),"")</f>
        <v/>
      </c>
      <c r="H5933">
        <f>IF(D5933="REMOVE",COUNTIF($D$2:D5933,"REMOVE"),"")</f>
        <v/>
      </c>
      <c r="I5933">
        <f>IF(E5933="Gmail",COUNTIF($E$2:E5933,"Gmail"),"")</f>
        <v/>
      </c>
      <c r="J5933">
        <f>IF(E5933="Outlook",COUNTIF($E$2:E5933,"Outlook"),"")</f>
        <v/>
      </c>
      <c r="K5933">
        <f>IF(E5933="Domain",COUNTIF($E$2:E5933,"Domain"),"")</f>
        <v/>
      </c>
    </row>
    <row r="5934">
      <c r="A5934" s="2" t="n"/>
      <c r="B5934">
        <f>LOWER(TRIM(A5934))</f>
        <v/>
      </c>
      <c r="C5934">
        <f>IF(B5934="","",IFERROR(INDEX('Bad Patterns'!$A$2:$A$120,MATCH(1,INDEX(--ISNUMBER(SEARCH('Bad Patterns'!$A$2:$A$120,B5934)),0),0)),""))</f>
        <v/>
      </c>
      <c r="D5934">
        <f>IF(B5934="","",IF(C5934&lt;&gt;"","REMOVE","KEEP"))</f>
        <v/>
      </c>
      <c r="E5934">
        <f>IF(D5934&lt;&gt;"KEEP","",IF(RIGHT(B5934,10)="@gmail.com","Gmail",IF(OR(RIGHT(B5934,12)="@outlook.com",RIGHT(B5934,12)="@hotmail.com",RIGHT(B5934,9)="@live.com"),"Outlook","Domain")))</f>
        <v/>
      </c>
      <c r="F5934">
        <f>IF(B5934="","",IFERROR(RIGHT(B5934,LEN(B5934)-FIND("@",B5934)),""))</f>
        <v/>
      </c>
      <c r="G5934">
        <f>IF(D5934="KEEP",COUNTIF($D$2:D5934,"KEEP"),"")</f>
        <v/>
      </c>
      <c r="H5934">
        <f>IF(D5934="REMOVE",COUNTIF($D$2:D5934,"REMOVE"),"")</f>
        <v/>
      </c>
      <c r="I5934">
        <f>IF(E5934="Gmail",COUNTIF($E$2:E5934,"Gmail"),"")</f>
        <v/>
      </c>
      <c r="J5934">
        <f>IF(E5934="Outlook",COUNTIF($E$2:E5934,"Outlook"),"")</f>
        <v/>
      </c>
      <c r="K5934">
        <f>IF(E5934="Domain",COUNTIF($E$2:E5934,"Domain"),"")</f>
        <v/>
      </c>
    </row>
    <row r="5935">
      <c r="A5935" s="2" t="n"/>
      <c r="B5935">
        <f>LOWER(TRIM(A5935))</f>
        <v/>
      </c>
      <c r="C5935">
        <f>IF(B5935="","",IFERROR(INDEX('Bad Patterns'!$A$2:$A$120,MATCH(1,INDEX(--ISNUMBER(SEARCH('Bad Patterns'!$A$2:$A$120,B5935)),0),0)),""))</f>
        <v/>
      </c>
      <c r="D5935">
        <f>IF(B5935="","",IF(C5935&lt;&gt;"","REMOVE","KEEP"))</f>
        <v/>
      </c>
      <c r="E5935">
        <f>IF(D5935&lt;&gt;"KEEP","",IF(RIGHT(B5935,10)="@gmail.com","Gmail",IF(OR(RIGHT(B5935,12)="@outlook.com",RIGHT(B5935,12)="@hotmail.com",RIGHT(B5935,9)="@live.com"),"Outlook","Domain")))</f>
        <v/>
      </c>
      <c r="F5935">
        <f>IF(B5935="","",IFERROR(RIGHT(B5935,LEN(B5935)-FIND("@",B5935)),""))</f>
        <v/>
      </c>
      <c r="G5935">
        <f>IF(D5935="KEEP",COUNTIF($D$2:D5935,"KEEP"),"")</f>
        <v/>
      </c>
      <c r="H5935">
        <f>IF(D5935="REMOVE",COUNTIF($D$2:D5935,"REMOVE"),"")</f>
        <v/>
      </c>
      <c r="I5935">
        <f>IF(E5935="Gmail",COUNTIF($E$2:E5935,"Gmail"),"")</f>
        <v/>
      </c>
      <c r="J5935">
        <f>IF(E5935="Outlook",COUNTIF($E$2:E5935,"Outlook"),"")</f>
        <v/>
      </c>
      <c r="K5935">
        <f>IF(E5935="Domain",COUNTIF($E$2:E5935,"Domain"),"")</f>
        <v/>
      </c>
    </row>
    <row r="5936">
      <c r="A5936" s="2" t="n"/>
      <c r="B5936">
        <f>LOWER(TRIM(A5936))</f>
        <v/>
      </c>
      <c r="C5936">
        <f>IF(B5936="","",IFERROR(INDEX('Bad Patterns'!$A$2:$A$120,MATCH(1,INDEX(--ISNUMBER(SEARCH('Bad Patterns'!$A$2:$A$120,B5936)),0),0)),""))</f>
        <v/>
      </c>
      <c r="D5936">
        <f>IF(B5936="","",IF(C5936&lt;&gt;"","REMOVE","KEEP"))</f>
        <v/>
      </c>
      <c r="E5936">
        <f>IF(D5936&lt;&gt;"KEEP","",IF(RIGHT(B5936,10)="@gmail.com","Gmail",IF(OR(RIGHT(B5936,12)="@outlook.com",RIGHT(B5936,12)="@hotmail.com",RIGHT(B5936,9)="@live.com"),"Outlook","Domain")))</f>
        <v/>
      </c>
      <c r="F5936">
        <f>IF(B5936="","",IFERROR(RIGHT(B5936,LEN(B5936)-FIND("@",B5936)),""))</f>
        <v/>
      </c>
      <c r="G5936">
        <f>IF(D5936="KEEP",COUNTIF($D$2:D5936,"KEEP"),"")</f>
        <v/>
      </c>
      <c r="H5936">
        <f>IF(D5936="REMOVE",COUNTIF($D$2:D5936,"REMOVE"),"")</f>
        <v/>
      </c>
      <c r="I5936">
        <f>IF(E5936="Gmail",COUNTIF($E$2:E5936,"Gmail"),"")</f>
        <v/>
      </c>
      <c r="J5936">
        <f>IF(E5936="Outlook",COUNTIF($E$2:E5936,"Outlook"),"")</f>
        <v/>
      </c>
      <c r="K5936">
        <f>IF(E5936="Domain",COUNTIF($E$2:E5936,"Domain"),"")</f>
        <v/>
      </c>
    </row>
    <row r="5937">
      <c r="A5937" s="2" t="n"/>
      <c r="B5937">
        <f>LOWER(TRIM(A5937))</f>
        <v/>
      </c>
      <c r="C5937">
        <f>IF(B5937="","",IFERROR(INDEX('Bad Patterns'!$A$2:$A$120,MATCH(1,INDEX(--ISNUMBER(SEARCH('Bad Patterns'!$A$2:$A$120,B5937)),0),0)),""))</f>
        <v/>
      </c>
      <c r="D5937">
        <f>IF(B5937="","",IF(C5937&lt;&gt;"","REMOVE","KEEP"))</f>
        <v/>
      </c>
      <c r="E5937">
        <f>IF(D5937&lt;&gt;"KEEP","",IF(RIGHT(B5937,10)="@gmail.com","Gmail",IF(OR(RIGHT(B5937,12)="@outlook.com",RIGHT(B5937,12)="@hotmail.com",RIGHT(B5937,9)="@live.com"),"Outlook","Domain")))</f>
        <v/>
      </c>
      <c r="F5937">
        <f>IF(B5937="","",IFERROR(RIGHT(B5937,LEN(B5937)-FIND("@",B5937)),""))</f>
        <v/>
      </c>
      <c r="G5937">
        <f>IF(D5937="KEEP",COUNTIF($D$2:D5937,"KEEP"),"")</f>
        <v/>
      </c>
      <c r="H5937">
        <f>IF(D5937="REMOVE",COUNTIF($D$2:D5937,"REMOVE"),"")</f>
        <v/>
      </c>
      <c r="I5937">
        <f>IF(E5937="Gmail",COUNTIF($E$2:E5937,"Gmail"),"")</f>
        <v/>
      </c>
      <c r="J5937">
        <f>IF(E5937="Outlook",COUNTIF($E$2:E5937,"Outlook"),"")</f>
        <v/>
      </c>
      <c r="K5937">
        <f>IF(E5937="Domain",COUNTIF($E$2:E5937,"Domain"),"")</f>
        <v/>
      </c>
    </row>
    <row r="5938">
      <c r="A5938" s="2" t="n"/>
      <c r="B5938">
        <f>LOWER(TRIM(A5938))</f>
        <v/>
      </c>
      <c r="C5938">
        <f>IF(B5938="","",IFERROR(INDEX('Bad Patterns'!$A$2:$A$120,MATCH(1,INDEX(--ISNUMBER(SEARCH('Bad Patterns'!$A$2:$A$120,B5938)),0),0)),""))</f>
        <v/>
      </c>
      <c r="D5938">
        <f>IF(B5938="","",IF(C5938&lt;&gt;"","REMOVE","KEEP"))</f>
        <v/>
      </c>
      <c r="E5938">
        <f>IF(D5938&lt;&gt;"KEEP","",IF(RIGHT(B5938,10)="@gmail.com","Gmail",IF(OR(RIGHT(B5938,12)="@outlook.com",RIGHT(B5938,12)="@hotmail.com",RIGHT(B5938,9)="@live.com"),"Outlook","Domain")))</f>
        <v/>
      </c>
      <c r="F5938">
        <f>IF(B5938="","",IFERROR(RIGHT(B5938,LEN(B5938)-FIND("@",B5938)),""))</f>
        <v/>
      </c>
      <c r="G5938">
        <f>IF(D5938="KEEP",COUNTIF($D$2:D5938,"KEEP"),"")</f>
        <v/>
      </c>
      <c r="H5938">
        <f>IF(D5938="REMOVE",COUNTIF($D$2:D5938,"REMOVE"),"")</f>
        <v/>
      </c>
      <c r="I5938">
        <f>IF(E5938="Gmail",COUNTIF($E$2:E5938,"Gmail"),"")</f>
        <v/>
      </c>
      <c r="J5938">
        <f>IF(E5938="Outlook",COUNTIF($E$2:E5938,"Outlook"),"")</f>
        <v/>
      </c>
      <c r="K5938">
        <f>IF(E5938="Domain",COUNTIF($E$2:E5938,"Domain"),"")</f>
        <v/>
      </c>
    </row>
    <row r="5939">
      <c r="A5939" s="2" t="n"/>
      <c r="B5939">
        <f>LOWER(TRIM(A5939))</f>
        <v/>
      </c>
      <c r="C5939">
        <f>IF(B5939="","",IFERROR(INDEX('Bad Patterns'!$A$2:$A$120,MATCH(1,INDEX(--ISNUMBER(SEARCH('Bad Patterns'!$A$2:$A$120,B5939)),0),0)),""))</f>
        <v/>
      </c>
      <c r="D5939">
        <f>IF(B5939="","",IF(C5939&lt;&gt;"","REMOVE","KEEP"))</f>
        <v/>
      </c>
      <c r="E5939">
        <f>IF(D5939&lt;&gt;"KEEP","",IF(RIGHT(B5939,10)="@gmail.com","Gmail",IF(OR(RIGHT(B5939,12)="@outlook.com",RIGHT(B5939,12)="@hotmail.com",RIGHT(B5939,9)="@live.com"),"Outlook","Domain")))</f>
        <v/>
      </c>
      <c r="F5939">
        <f>IF(B5939="","",IFERROR(RIGHT(B5939,LEN(B5939)-FIND("@",B5939)),""))</f>
        <v/>
      </c>
      <c r="G5939">
        <f>IF(D5939="KEEP",COUNTIF($D$2:D5939,"KEEP"),"")</f>
        <v/>
      </c>
      <c r="H5939">
        <f>IF(D5939="REMOVE",COUNTIF($D$2:D5939,"REMOVE"),"")</f>
        <v/>
      </c>
      <c r="I5939">
        <f>IF(E5939="Gmail",COUNTIF($E$2:E5939,"Gmail"),"")</f>
        <v/>
      </c>
      <c r="J5939">
        <f>IF(E5939="Outlook",COUNTIF($E$2:E5939,"Outlook"),"")</f>
        <v/>
      </c>
      <c r="K5939">
        <f>IF(E5939="Domain",COUNTIF($E$2:E5939,"Domain"),"")</f>
        <v/>
      </c>
    </row>
    <row r="5940">
      <c r="A5940" s="2" t="n"/>
      <c r="B5940">
        <f>LOWER(TRIM(A5940))</f>
        <v/>
      </c>
      <c r="C5940">
        <f>IF(B5940="","",IFERROR(INDEX('Bad Patterns'!$A$2:$A$120,MATCH(1,INDEX(--ISNUMBER(SEARCH('Bad Patterns'!$A$2:$A$120,B5940)),0),0)),""))</f>
        <v/>
      </c>
      <c r="D5940">
        <f>IF(B5940="","",IF(C5940&lt;&gt;"","REMOVE","KEEP"))</f>
        <v/>
      </c>
      <c r="E5940">
        <f>IF(D5940&lt;&gt;"KEEP","",IF(RIGHT(B5940,10)="@gmail.com","Gmail",IF(OR(RIGHT(B5940,12)="@outlook.com",RIGHT(B5940,12)="@hotmail.com",RIGHT(B5940,9)="@live.com"),"Outlook","Domain")))</f>
        <v/>
      </c>
      <c r="F5940">
        <f>IF(B5940="","",IFERROR(RIGHT(B5940,LEN(B5940)-FIND("@",B5940)),""))</f>
        <v/>
      </c>
      <c r="G5940">
        <f>IF(D5940="KEEP",COUNTIF($D$2:D5940,"KEEP"),"")</f>
        <v/>
      </c>
      <c r="H5940">
        <f>IF(D5940="REMOVE",COUNTIF($D$2:D5940,"REMOVE"),"")</f>
        <v/>
      </c>
      <c r="I5940">
        <f>IF(E5940="Gmail",COUNTIF($E$2:E5940,"Gmail"),"")</f>
        <v/>
      </c>
      <c r="J5940">
        <f>IF(E5940="Outlook",COUNTIF($E$2:E5940,"Outlook"),"")</f>
        <v/>
      </c>
      <c r="K5940">
        <f>IF(E5940="Domain",COUNTIF($E$2:E5940,"Domain"),"")</f>
        <v/>
      </c>
    </row>
    <row r="5941">
      <c r="A5941" s="2" t="n"/>
      <c r="B5941">
        <f>LOWER(TRIM(A5941))</f>
        <v/>
      </c>
      <c r="C5941">
        <f>IF(B5941="","",IFERROR(INDEX('Bad Patterns'!$A$2:$A$120,MATCH(1,INDEX(--ISNUMBER(SEARCH('Bad Patterns'!$A$2:$A$120,B5941)),0),0)),""))</f>
        <v/>
      </c>
      <c r="D5941">
        <f>IF(B5941="","",IF(C5941&lt;&gt;"","REMOVE","KEEP"))</f>
        <v/>
      </c>
      <c r="E5941">
        <f>IF(D5941&lt;&gt;"KEEP","",IF(RIGHT(B5941,10)="@gmail.com","Gmail",IF(OR(RIGHT(B5941,12)="@outlook.com",RIGHT(B5941,12)="@hotmail.com",RIGHT(B5941,9)="@live.com"),"Outlook","Domain")))</f>
        <v/>
      </c>
      <c r="F5941">
        <f>IF(B5941="","",IFERROR(RIGHT(B5941,LEN(B5941)-FIND("@",B5941)),""))</f>
        <v/>
      </c>
      <c r="G5941">
        <f>IF(D5941="KEEP",COUNTIF($D$2:D5941,"KEEP"),"")</f>
        <v/>
      </c>
      <c r="H5941">
        <f>IF(D5941="REMOVE",COUNTIF($D$2:D5941,"REMOVE"),"")</f>
        <v/>
      </c>
      <c r="I5941">
        <f>IF(E5941="Gmail",COUNTIF($E$2:E5941,"Gmail"),"")</f>
        <v/>
      </c>
      <c r="J5941">
        <f>IF(E5941="Outlook",COUNTIF($E$2:E5941,"Outlook"),"")</f>
        <v/>
      </c>
      <c r="K5941">
        <f>IF(E5941="Domain",COUNTIF($E$2:E5941,"Domain"),"")</f>
        <v/>
      </c>
    </row>
    <row r="5942">
      <c r="A5942" s="2" t="n"/>
      <c r="B5942">
        <f>LOWER(TRIM(A5942))</f>
        <v/>
      </c>
      <c r="C5942">
        <f>IF(B5942="","",IFERROR(INDEX('Bad Patterns'!$A$2:$A$120,MATCH(1,INDEX(--ISNUMBER(SEARCH('Bad Patterns'!$A$2:$A$120,B5942)),0),0)),""))</f>
        <v/>
      </c>
      <c r="D5942">
        <f>IF(B5942="","",IF(C5942&lt;&gt;"","REMOVE","KEEP"))</f>
        <v/>
      </c>
      <c r="E5942">
        <f>IF(D5942&lt;&gt;"KEEP","",IF(RIGHT(B5942,10)="@gmail.com","Gmail",IF(OR(RIGHT(B5942,12)="@outlook.com",RIGHT(B5942,12)="@hotmail.com",RIGHT(B5942,9)="@live.com"),"Outlook","Domain")))</f>
        <v/>
      </c>
      <c r="F5942">
        <f>IF(B5942="","",IFERROR(RIGHT(B5942,LEN(B5942)-FIND("@",B5942)),""))</f>
        <v/>
      </c>
      <c r="G5942">
        <f>IF(D5942="KEEP",COUNTIF($D$2:D5942,"KEEP"),"")</f>
        <v/>
      </c>
      <c r="H5942">
        <f>IF(D5942="REMOVE",COUNTIF($D$2:D5942,"REMOVE"),"")</f>
        <v/>
      </c>
      <c r="I5942">
        <f>IF(E5942="Gmail",COUNTIF($E$2:E5942,"Gmail"),"")</f>
        <v/>
      </c>
      <c r="J5942">
        <f>IF(E5942="Outlook",COUNTIF($E$2:E5942,"Outlook"),"")</f>
        <v/>
      </c>
      <c r="K5942">
        <f>IF(E5942="Domain",COUNTIF($E$2:E5942,"Domain"),"")</f>
        <v/>
      </c>
    </row>
    <row r="5943">
      <c r="A5943" s="2" t="n"/>
      <c r="B5943">
        <f>LOWER(TRIM(A5943))</f>
        <v/>
      </c>
      <c r="C5943">
        <f>IF(B5943="","",IFERROR(INDEX('Bad Patterns'!$A$2:$A$120,MATCH(1,INDEX(--ISNUMBER(SEARCH('Bad Patterns'!$A$2:$A$120,B5943)),0),0)),""))</f>
        <v/>
      </c>
      <c r="D5943">
        <f>IF(B5943="","",IF(C5943&lt;&gt;"","REMOVE","KEEP"))</f>
        <v/>
      </c>
      <c r="E5943">
        <f>IF(D5943&lt;&gt;"KEEP","",IF(RIGHT(B5943,10)="@gmail.com","Gmail",IF(OR(RIGHT(B5943,12)="@outlook.com",RIGHT(B5943,12)="@hotmail.com",RIGHT(B5943,9)="@live.com"),"Outlook","Domain")))</f>
        <v/>
      </c>
      <c r="F5943">
        <f>IF(B5943="","",IFERROR(RIGHT(B5943,LEN(B5943)-FIND("@",B5943)),""))</f>
        <v/>
      </c>
      <c r="G5943">
        <f>IF(D5943="KEEP",COUNTIF($D$2:D5943,"KEEP"),"")</f>
        <v/>
      </c>
      <c r="H5943">
        <f>IF(D5943="REMOVE",COUNTIF($D$2:D5943,"REMOVE"),"")</f>
        <v/>
      </c>
      <c r="I5943">
        <f>IF(E5943="Gmail",COUNTIF($E$2:E5943,"Gmail"),"")</f>
        <v/>
      </c>
      <c r="J5943">
        <f>IF(E5943="Outlook",COUNTIF($E$2:E5943,"Outlook"),"")</f>
        <v/>
      </c>
      <c r="K5943">
        <f>IF(E5943="Domain",COUNTIF($E$2:E5943,"Domain"),"")</f>
        <v/>
      </c>
    </row>
    <row r="5944">
      <c r="A5944" s="2" t="n"/>
      <c r="B5944">
        <f>LOWER(TRIM(A5944))</f>
        <v/>
      </c>
      <c r="C5944">
        <f>IF(B5944="","",IFERROR(INDEX('Bad Patterns'!$A$2:$A$120,MATCH(1,INDEX(--ISNUMBER(SEARCH('Bad Patterns'!$A$2:$A$120,B5944)),0),0)),""))</f>
        <v/>
      </c>
      <c r="D5944">
        <f>IF(B5944="","",IF(C5944&lt;&gt;"","REMOVE","KEEP"))</f>
        <v/>
      </c>
      <c r="E5944">
        <f>IF(D5944&lt;&gt;"KEEP","",IF(RIGHT(B5944,10)="@gmail.com","Gmail",IF(OR(RIGHT(B5944,12)="@outlook.com",RIGHT(B5944,12)="@hotmail.com",RIGHT(B5944,9)="@live.com"),"Outlook","Domain")))</f>
        <v/>
      </c>
      <c r="F5944">
        <f>IF(B5944="","",IFERROR(RIGHT(B5944,LEN(B5944)-FIND("@",B5944)),""))</f>
        <v/>
      </c>
      <c r="G5944">
        <f>IF(D5944="KEEP",COUNTIF($D$2:D5944,"KEEP"),"")</f>
        <v/>
      </c>
      <c r="H5944">
        <f>IF(D5944="REMOVE",COUNTIF($D$2:D5944,"REMOVE"),"")</f>
        <v/>
      </c>
      <c r="I5944">
        <f>IF(E5944="Gmail",COUNTIF($E$2:E5944,"Gmail"),"")</f>
        <v/>
      </c>
      <c r="J5944">
        <f>IF(E5944="Outlook",COUNTIF($E$2:E5944,"Outlook"),"")</f>
        <v/>
      </c>
      <c r="K5944">
        <f>IF(E5944="Domain",COUNTIF($E$2:E5944,"Domain"),"")</f>
        <v/>
      </c>
    </row>
    <row r="5945">
      <c r="A5945" s="2" t="n"/>
      <c r="B5945">
        <f>LOWER(TRIM(A5945))</f>
        <v/>
      </c>
      <c r="C5945">
        <f>IF(B5945="","",IFERROR(INDEX('Bad Patterns'!$A$2:$A$120,MATCH(1,INDEX(--ISNUMBER(SEARCH('Bad Patterns'!$A$2:$A$120,B5945)),0),0)),""))</f>
        <v/>
      </c>
      <c r="D5945">
        <f>IF(B5945="","",IF(C5945&lt;&gt;"","REMOVE","KEEP"))</f>
        <v/>
      </c>
      <c r="E5945">
        <f>IF(D5945&lt;&gt;"KEEP","",IF(RIGHT(B5945,10)="@gmail.com","Gmail",IF(OR(RIGHT(B5945,12)="@outlook.com",RIGHT(B5945,12)="@hotmail.com",RIGHT(B5945,9)="@live.com"),"Outlook","Domain")))</f>
        <v/>
      </c>
      <c r="F5945">
        <f>IF(B5945="","",IFERROR(RIGHT(B5945,LEN(B5945)-FIND("@",B5945)),""))</f>
        <v/>
      </c>
      <c r="G5945">
        <f>IF(D5945="KEEP",COUNTIF($D$2:D5945,"KEEP"),"")</f>
        <v/>
      </c>
      <c r="H5945">
        <f>IF(D5945="REMOVE",COUNTIF($D$2:D5945,"REMOVE"),"")</f>
        <v/>
      </c>
      <c r="I5945">
        <f>IF(E5945="Gmail",COUNTIF($E$2:E5945,"Gmail"),"")</f>
        <v/>
      </c>
      <c r="J5945">
        <f>IF(E5945="Outlook",COUNTIF($E$2:E5945,"Outlook"),"")</f>
        <v/>
      </c>
      <c r="K5945">
        <f>IF(E5945="Domain",COUNTIF($E$2:E5945,"Domain"),"")</f>
        <v/>
      </c>
    </row>
    <row r="5946">
      <c r="A5946" s="2" t="n"/>
      <c r="B5946">
        <f>LOWER(TRIM(A5946))</f>
        <v/>
      </c>
      <c r="C5946">
        <f>IF(B5946="","",IFERROR(INDEX('Bad Patterns'!$A$2:$A$120,MATCH(1,INDEX(--ISNUMBER(SEARCH('Bad Patterns'!$A$2:$A$120,B5946)),0),0)),""))</f>
        <v/>
      </c>
      <c r="D5946">
        <f>IF(B5946="","",IF(C5946&lt;&gt;"","REMOVE","KEEP"))</f>
        <v/>
      </c>
      <c r="E5946">
        <f>IF(D5946&lt;&gt;"KEEP","",IF(RIGHT(B5946,10)="@gmail.com","Gmail",IF(OR(RIGHT(B5946,12)="@outlook.com",RIGHT(B5946,12)="@hotmail.com",RIGHT(B5946,9)="@live.com"),"Outlook","Domain")))</f>
        <v/>
      </c>
      <c r="F5946">
        <f>IF(B5946="","",IFERROR(RIGHT(B5946,LEN(B5946)-FIND("@",B5946)),""))</f>
        <v/>
      </c>
      <c r="G5946">
        <f>IF(D5946="KEEP",COUNTIF($D$2:D5946,"KEEP"),"")</f>
        <v/>
      </c>
      <c r="H5946">
        <f>IF(D5946="REMOVE",COUNTIF($D$2:D5946,"REMOVE"),"")</f>
        <v/>
      </c>
      <c r="I5946">
        <f>IF(E5946="Gmail",COUNTIF($E$2:E5946,"Gmail"),"")</f>
        <v/>
      </c>
      <c r="J5946">
        <f>IF(E5946="Outlook",COUNTIF($E$2:E5946,"Outlook"),"")</f>
        <v/>
      </c>
      <c r="K5946">
        <f>IF(E5946="Domain",COUNTIF($E$2:E5946,"Domain"),"")</f>
        <v/>
      </c>
    </row>
    <row r="5947">
      <c r="A5947" s="2" t="n"/>
      <c r="B5947">
        <f>LOWER(TRIM(A5947))</f>
        <v/>
      </c>
      <c r="C5947">
        <f>IF(B5947="","",IFERROR(INDEX('Bad Patterns'!$A$2:$A$120,MATCH(1,INDEX(--ISNUMBER(SEARCH('Bad Patterns'!$A$2:$A$120,B5947)),0),0)),""))</f>
        <v/>
      </c>
      <c r="D5947">
        <f>IF(B5947="","",IF(C5947&lt;&gt;"","REMOVE","KEEP"))</f>
        <v/>
      </c>
      <c r="E5947">
        <f>IF(D5947&lt;&gt;"KEEP","",IF(RIGHT(B5947,10)="@gmail.com","Gmail",IF(OR(RIGHT(B5947,12)="@outlook.com",RIGHT(B5947,12)="@hotmail.com",RIGHT(B5947,9)="@live.com"),"Outlook","Domain")))</f>
        <v/>
      </c>
      <c r="F5947">
        <f>IF(B5947="","",IFERROR(RIGHT(B5947,LEN(B5947)-FIND("@",B5947)),""))</f>
        <v/>
      </c>
      <c r="G5947">
        <f>IF(D5947="KEEP",COUNTIF($D$2:D5947,"KEEP"),"")</f>
        <v/>
      </c>
      <c r="H5947">
        <f>IF(D5947="REMOVE",COUNTIF($D$2:D5947,"REMOVE"),"")</f>
        <v/>
      </c>
      <c r="I5947">
        <f>IF(E5947="Gmail",COUNTIF($E$2:E5947,"Gmail"),"")</f>
        <v/>
      </c>
      <c r="J5947">
        <f>IF(E5947="Outlook",COUNTIF($E$2:E5947,"Outlook"),"")</f>
        <v/>
      </c>
      <c r="K5947">
        <f>IF(E5947="Domain",COUNTIF($E$2:E5947,"Domain"),"")</f>
        <v/>
      </c>
    </row>
    <row r="5948">
      <c r="A5948" s="2" t="n"/>
      <c r="B5948">
        <f>LOWER(TRIM(A5948))</f>
        <v/>
      </c>
      <c r="C5948">
        <f>IF(B5948="","",IFERROR(INDEX('Bad Patterns'!$A$2:$A$120,MATCH(1,INDEX(--ISNUMBER(SEARCH('Bad Patterns'!$A$2:$A$120,B5948)),0),0)),""))</f>
        <v/>
      </c>
      <c r="D5948">
        <f>IF(B5948="","",IF(C5948&lt;&gt;"","REMOVE","KEEP"))</f>
        <v/>
      </c>
      <c r="E5948">
        <f>IF(D5948&lt;&gt;"KEEP","",IF(RIGHT(B5948,10)="@gmail.com","Gmail",IF(OR(RIGHT(B5948,12)="@outlook.com",RIGHT(B5948,12)="@hotmail.com",RIGHT(B5948,9)="@live.com"),"Outlook","Domain")))</f>
        <v/>
      </c>
      <c r="F5948">
        <f>IF(B5948="","",IFERROR(RIGHT(B5948,LEN(B5948)-FIND("@",B5948)),""))</f>
        <v/>
      </c>
      <c r="G5948">
        <f>IF(D5948="KEEP",COUNTIF($D$2:D5948,"KEEP"),"")</f>
        <v/>
      </c>
      <c r="H5948">
        <f>IF(D5948="REMOVE",COUNTIF($D$2:D5948,"REMOVE"),"")</f>
        <v/>
      </c>
      <c r="I5948">
        <f>IF(E5948="Gmail",COUNTIF($E$2:E5948,"Gmail"),"")</f>
        <v/>
      </c>
      <c r="J5948">
        <f>IF(E5948="Outlook",COUNTIF($E$2:E5948,"Outlook"),"")</f>
        <v/>
      </c>
      <c r="K5948">
        <f>IF(E5948="Domain",COUNTIF($E$2:E5948,"Domain"),"")</f>
        <v/>
      </c>
    </row>
    <row r="5949">
      <c r="A5949" s="2" t="n"/>
      <c r="B5949">
        <f>LOWER(TRIM(A5949))</f>
        <v/>
      </c>
      <c r="C5949">
        <f>IF(B5949="","",IFERROR(INDEX('Bad Patterns'!$A$2:$A$120,MATCH(1,INDEX(--ISNUMBER(SEARCH('Bad Patterns'!$A$2:$A$120,B5949)),0),0)),""))</f>
        <v/>
      </c>
      <c r="D5949">
        <f>IF(B5949="","",IF(C5949&lt;&gt;"","REMOVE","KEEP"))</f>
        <v/>
      </c>
      <c r="E5949">
        <f>IF(D5949&lt;&gt;"KEEP","",IF(RIGHT(B5949,10)="@gmail.com","Gmail",IF(OR(RIGHT(B5949,12)="@outlook.com",RIGHT(B5949,12)="@hotmail.com",RIGHT(B5949,9)="@live.com"),"Outlook","Domain")))</f>
        <v/>
      </c>
      <c r="F5949">
        <f>IF(B5949="","",IFERROR(RIGHT(B5949,LEN(B5949)-FIND("@",B5949)),""))</f>
        <v/>
      </c>
      <c r="G5949">
        <f>IF(D5949="KEEP",COUNTIF($D$2:D5949,"KEEP"),"")</f>
        <v/>
      </c>
      <c r="H5949">
        <f>IF(D5949="REMOVE",COUNTIF($D$2:D5949,"REMOVE"),"")</f>
        <v/>
      </c>
      <c r="I5949">
        <f>IF(E5949="Gmail",COUNTIF($E$2:E5949,"Gmail"),"")</f>
        <v/>
      </c>
      <c r="J5949">
        <f>IF(E5949="Outlook",COUNTIF($E$2:E5949,"Outlook"),"")</f>
        <v/>
      </c>
      <c r="K5949">
        <f>IF(E5949="Domain",COUNTIF($E$2:E5949,"Domain"),"")</f>
        <v/>
      </c>
    </row>
    <row r="5950">
      <c r="A5950" s="2" t="n"/>
      <c r="B5950">
        <f>LOWER(TRIM(A5950))</f>
        <v/>
      </c>
      <c r="C5950">
        <f>IF(B5950="","",IFERROR(INDEX('Bad Patterns'!$A$2:$A$120,MATCH(1,INDEX(--ISNUMBER(SEARCH('Bad Patterns'!$A$2:$A$120,B5950)),0),0)),""))</f>
        <v/>
      </c>
      <c r="D5950">
        <f>IF(B5950="","",IF(C5950&lt;&gt;"","REMOVE","KEEP"))</f>
        <v/>
      </c>
      <c r="E5950">
        <f>IF(D5950&lt;&gt;"KEEP","",IF(RIGHT(B5950,10)="@gmail.com","Gmail",IF(OR(RIGHT(B5950,12)="@outlook.com",RIGHT(B5950,12)="@hotmail.com",RIGHT(B5950,9)="@live.com"),"Outlook","Domain")))</f>
        <v/>
      </c>
      <c r="F5950">
        <f>IF(B5950="","",IFERROR(RIGHT(B5950,LEN(B5950)-FIND("@",B5950)),""))</f>
        <v/>
      </c>
      <c r="G5950">
        <f>IF(D5950="KEEP",COUNTIF($D$2:D5950,"KEEP"),"")</f>
        <v/>
      </c>
      <c r="H5950">
        <f>IF(D5950="REMOVE",COUNTIF($D$2:D5950,"REMOVE"),"")</f>
        <v/>
      </c>
      <c r="I5950">
        <f>IF(E5950="Gmail",COUNTIF($E$2:E5950,"Gmail"),"")</f>
        <v/>
      </c>
      <c r="J5950">
        <f>IF(E5950="Outlook",COUNTIF($E$2:E5950,"Outlook"),"")</f>
        <v/>
      </c>
      <c r="K5950">
        <f>IF(E5950="Domain",COUNTIF($E$2:E5950,"Domain"),"")</f>
        <v/>
      </c>
    </row>
    <row r="5951">
      <c r="A5951" s="2" t="n"/>
      <c r="B5951">
        <f>LOWER(TRIM(A5951))</f>
        <v/>
      </c>
      <c r="C5951">
        <f>IF(B5951="","",IFERROR(INDEX('Bad Patterns'!$A$2:$A$120,MATCH(1,INDEX(--ISNUMBER(SEARCH('Bad Patterns'!$A$2:$A$120,B5951)),0),0)),""))</f>
        <v/>
      </c>
      <c r="D5951">
        <f>IF(B5951="","",IF(C5951&lt;&gt;"","REMOVE","KEEP"))</f>
        <v/>
      </c>
      <c r="E5951">
        <f>IF(D5951&lt;&gt;"KEEP","",IF(RIGHT(B5951,10)="@gmail.com","Gmail",IF(OR(RIGHT(B5951,12)="@outlook.com",RIGHT(B5951,12)="@hotmail.com",RIGHT(B5951,9)="@live.com"),"Outlook","Domain")))</f>
        <v/>
      </c>
      <c r="F5951">
        <f>IF(B5951="","",IFERROR(RIGHT(B5951,LEN(B5951)-FIND("@",B5951)),""))</f>
        <v/>
      </c>
      <c r="G5951">
        <f>IF(D5951="KEEP",COUNTIF($D$2:D5951,"KEEP"),"")</f>
        <v/>
      </c>
      <c r="H5951">
        <f>IF(D5951="REMOVE",COUNTIF($D$2:D5951,"REMOVE"),"")</f>
        <v/>
      </c>
      <c r="I5951">
        <f>IF(E5951="Gmail",COUNTIF($E$2:E5951,"Gmail"),"")</f>
        <v/>
      </c>
      <c r="J5951">
        <f>IF(E5951="Outlook",COUNTIF($E$2:E5951,"Outlook"),"")</f>
        <v/>
      </c>
      <c r="K5951">
        <f>IF(E5951="Domain",COUNTIF($E$2:E5951,"Domain"),"")</f>
        <v/>
      </c>
    </row>
    <row r="5952">
      <c r="A5952" s="2" t="n"/>
      <c r="B5952">
        <f>LOWER(TRIM(A5952))</f>
        <v/>
      </c>
      <c r="C5952">
        <f>IF(B5952="","",IFERROR(INDEX('Bad Patterns'!$A$2:$A$120,MATCH(1,INDEX(--ISNUMBER(SEARCH('Bad Patterns'!$A$2:$A$120,B5952)),0),0)),""))</f>
        <v/>
      </c>
      <c r="D5952">
        <f>IF(B5952="","",IF(C5952&lt;&gt;"","REMOVE","KEEP"))</f>
        <v/>
      </c>
      <c r="E5952">
        <f>IF(D5952&lt;&gt;"KEEP","",IF(RIGHT(B5952,10)="@gmail.com","Gmail",IF(OR(RIGHT(B5952,12)="@outlook.com",RIGHT(B5952,12)="@hotmail.com",RIGHT(B5952,9)="@live.com"),"Outlook","Domain")))</f>
        <v/>
      </c>
      <c r="F5952">
        <f>IF(B5952="","",IFERROR(RIGHT(B5952,LEN(B5952)-FIND("@",B5952)),""))</f>
        <v/>
      </c>
      <c r="G5952">
        <f>IF(D5952="KEEP",COUNTIF($D$2:D5952,"KEEP"),"")</f>
        <v/>
      </c>
      <c r="H5952">
        <f>IF(D5952="REMOVE",COUNTIF($D$2:D5952,"REMOVE"),"")</f>
        <v/>
      </c>
      <c r="I5952">
        <f>IF(E5952="Gmail",COUNTIF($E$2:E5952,"Gmail"),"")</f>
        <v/>
      </c>
      <c r="J5952">
        <f>IF(E5952="Outlook",COUNTIF($E$2:E5952,"Outlook"),"")</f>
        <v/>
      </c>
      <c r="K5952">
        <f>IF(E5952="Domain",COUNTIF($E$2:E5952,"Domain"),"")</f>
        <v/>
      </c>
    </row>
    <row r="5953">
      <c r="A5953" s="2" t="n"/>
      <c r="B5953">
        <f>LOWER(TRIM(A5953))</f>
        <v/>
      </c>
      <c r="C5953">
        <f>IF(B5953="","",IFERROR(INDEX('Bad Patterns'!$A$2:$A$120,MATCH(1,INDEX(--ISNUMBER(SEARCH('Bad Patterns'!$A$2:$A$120,B5953)),0),0)),""))</f>
        <v/>
      </c>
      <c r="D5953">
        <f>IF(B5953="","",IF(C5953&lt;&gt;"","REMOVE","KEEP"))</f>
        <v/>
      </c>
      <c r="E5953">
        <f>IF(D5953&lt;&gt;"KEEP","",IF(RIGHT(B5953,10)="@gmail.com","Gmail",IF(OR(RIGHT(B5953,12)="@outlook.com",RIGHT(B5953,12)="@hotmail.com",RIGHT(B5953,9)="@live.com"),"Outlook","Domain")))</f>
        <v/>
      </c>
      <c r="F5953">
        <f>IF(B5953="","",IFERROR(RIGHT(B5953,LEN(B5953)-FIND("@",B5953)),""))</f>
        <v/>
      </c>
      <c r="G5953">
        <f>IF(D5953="KEEP",COUNTIF($D$2:D5953,"KEEP"),"")</f>
        <v/>
      </c>
      <c r="H5953">
        <f>IF(D5953="REMOVE",COUNTIF($D$2:D5953,"REMOVE"),"")</f>
        <v/>
      </c>
      <c r="I5953">
        <f>IF(E5953="Gmail",COUNTIF($E$2:E5953,"Gmail"),"")</f>
        <v/>
      </c>
      <c r="J5953">
        <f>IF(E5953="Outlook",COUNTIF($E$2:E5953,"Outlook"),"")</f>
        <v/>
      </c>
      <c r="K5953">
        <f>IF(E5953="Domain",COUNTIF($E$2:E5953,"Domain"),"")</f>
        <v/>
      </c>
    </row>
    <row r="5954">
      <c r="A5954" s="2" t="n"/>
      <c r="B5954">
        <f>LOWER(TRIM(A5954))</f>
        <v/>
      </c>
      <c r="C5954">
        <f>IF(B5954="","",IFERROR(INDEX('Bad Patterns'!$A$2:$A$120,MATCH(1,INDEX(--ISNUMBER(SEARCH('Bad Patterns'!$A$2:$A$120,B5954)),0),0)),""))</f>
        <v/>
      </c>
      <c r="D5954">
        <f>IF(B5954="","",IF(C5954&lt;&gt;"","REMOVE","KEEP"))</f>
        <v/>
      </c>
      <c r="E5954">
        <f>IF(D5954&lt;&gt;"KEEP","",IF(RIGHT(B5954,10)="@gmail.com","Gmail",IF(OR(RIGHT(B5954,12)="@outlook.com",RIGHT(B5954,12)="@hotmail.com",RIGHT(B5954,9)="@live.com"),"Outlook","Domain")))</f>
        <v/>
      </c>
      <c r="F5954">
        <f>IF(B5954="","",IFERROR(RIGHT(B5954,LEN(B5954)-FIND("@",B5954)),""))</f>
        <v/>
      </c>
      <c r="G5954">
        <f>IF(D5954="KEEP",COUNTIF($D$2:D5954,"KEEP"),"")</f>
        <v/>
      </c>
      <c r="H5954">
        <f>IF(D5954="REMOVE",COUNTIF($D$2:D5954,"REMOVE"),"")</f>
        <v/>
      </c>
      <c r="I5954">
        <f>IF(E5954="Gmail",COUNTIF($E$2:E5954,"Gmail"),"")</f>
        <v/>
      </c>
      <c r="J5954">
        <f>IF(E5954="Outlook",COUNTIF($E$2:E5954,"Outlook"),"")</f>
        <v/>
      </c>
      <c r="K5954">
        <f>IF(E5954="Domain",COUNTIF($E$2:E5954,"Domain"),"")</f>
        <v/>
      </c>
    </row>
    <row r="5955">
      <c r="A5955" s="2" t="n"/>
      <c r="B5955">
        <f>LOWER(TRIM(A5955))</f>
        <v/>
      </c>
      <c r="C5955">
        <f>IF(B5955="","",IFERROR(INDEX('Bad Patterns'!$A$2:$A$120,MATCH(1,INDEX(--ISNUMBER(SEARCH('Bad Patterns'!$A$2:$A$120,B5955)),0),0)),""))</f>
        <v/>
      </c>
      <c r="D5955">
        <f>IF(B5955="","",IF(C5955&lt;&gt;"","REMOVE","KEEP"))</f>
        <v/>
      </c>
      <c r="E5955">
        <f>IF(D5955&lt;&gt;"KEEP","",IF(RIGHT(B5955,10)="@gmail.com","Gmail",IF(OR(RIGHT(B5955,12)="@outlook.com",RIGHT(B5955,12)="@hotmail.com",RIGHT(B5955,9)="@live.com"),"Outlook","Domain")))</f>
        <v/>
      </c>
      <c r="F5955">
        <f>IF(B5955="","",IFERROR(RIGHT(B5955,LEN(B5955)-FIND("@",B5955)),""))</f>
        <v/>
      </c>
      <c r="G5955">
        <f>IF(D5955="KEEP",COUNTIF($D$2:D5955,"KEEP"),"")</f>
        <v/>
      </c>
      <c r="H5955">
        <f>IF(D5955="REMOVE",COUNTIF($D$2:D5955,"REMOVE"),"")</f>
        <v/>
      </c>
      <c r="I5955">
        <f>IF(E5955="Gmail",COUNTIF($E$2:E5955,"Gmail"),"")</f>
        <v/>
      </c>
      <c r="J5955">
        <f>IF(E5955="Outlook",COUNTIF($E$2:E5955,"Outlook"),"")</f>
        <v/>
      </c>
      <c r="K5955">
        <f>IF(E5955="Domain",COUNTIF($E$2:E5955,"Domain"),"")</f>
        <v/>
      </c>
    </row>
    <row r="5956">
      <c r="A5956" s="2" t="n"/>
      <c r="B5956">
        <f>LOWER(TRIM(A5956))</f>
        <v/>
      </c>
      <c r="C5956">
        <f>IF(B5956="","",IFERROR(INDEX('Bad Patterns'!$A$2:$A$120,MATCH(1,INDEX(--ISNUMBER(SEARCH('Bad Patterns'!$A$2:$A$120,B5956)),0),0)),""))</f>
        <v/>
      </c>
      <c r="D5956">
        <f>IF(B5956="","",IF(C5956&lt;&gt;"","REMOVE","KEEP"))</f>
        <v/>
      </c>
      <c r="E5956">
        <f>IF(D5956&lt;&gt;"KEEP","",IF(RIGHT(B5956,10)="@gmail.com","Gmail",IF(OR(RIGHT(B5956,12)="@outlook.com",RIGHT(B5956,12)="@hotmail.com",RIGHT(B5956,9)="@live.com"),"Outlook","Domain")))</f>
        <v/>
      </c>
      <c r="F5956">
        <f>IF(B5956="","",IFERROR(RIGHT(B5956,LEN(B5956)-FIND("@",B5956)),""))</f>
        <v/>
      </c>
      <c r="G5956">
        <f>IF(D5956="KEEP",COUNTIF($D$2:D5956,"KEEP"),"")</f>
        <v/>
      </c>
      <c r="H5956">
        <f>IF(D5956="REMOVE",COUNTIF($D$2:D5956,"REMOVE"),"")</f>
        <v/>
      </c>
      <c r="I5956">
        <f>IF(E5956="Gmail",COUNTIF($E$2:E5956,"Gmail"),"")</f>
        <v/>
      </c>
      <c r="J5956">
        <f>IF(E5956="Outlook",COUNTIF($E$2:E5956,"Outlook"),"")</f>
        <v/>
      </c>
      <c r="K5956">
        <f>IF(E5956="Domain",COUNTIF($E$2:E5956,"Domain"),"")</f>
        <v/>
      </c>
    </row>
    <row r="5957">
      <c r="A5957" s="2" t="n"/>
      <c r="B5957">
        <f>LOWER(TRIM(A5957))</f>
        <v/>
      </c>
      <c r="C5957">
        <f>IF(B5957="","",IFERROR(INDEX('Bad Patterns'!$A$2:$A$120,MATCH(1,INDEX(--ISNUMBER(SEARCH('Bad Patterns'!$A$2:$A$120,B5957)),0),0)),""))</f>
        <v/>
      </c>
      <c r="D5957">
        <f>IF(B5957="","",IF(C5957&lt;&gt;"","REMOVE","KEEP"))</f>
        <v/>
      </c>
      <c r="E5957">
        <f>IF(D5957&lt;&gt;"KEEP","",IF(RIGHT(B5957,10)="@gmail.com","Gmail",IF(OR(RIGHT(B5957,12)="@outlook.com",RIGHT(B5957,12)="@hotmail.com",RIGHT(B5957,9)="@live.com"),"Outlook","Domain")))</f>
        <v/>
      </c>
      <c r="F5957">
        <f>IF(B5957="","",IFERROR(RIGHT(B5957,LEN(B5957)-FIND("@",B5957)),""))</f>
        <v/>
      </c>
      <c r="G5957">
        <f>IF(D5957="KEEP",COUNTIF($D$2:D5957,"KEEP"),"")</f>
        <v/>
      </c>
      <c r="H5957">
        <f>IF(D5957="REMOVE",COUNTIF($D$2:D5957,"REMOVE"),"")</f>
        <v/>
      </c>
      <c r="I5957">
        <f>IF(E5957="Gmail",COUNTIF($E$2:E5957,"Gmail"),"")</f>
        <v/>
      </c>
      <c r="J5957">
        <f>IF(E5957="Outlook",COUNTIF($E$2:E5957,"Outlook"),"")</f>
        <v/>
      </c>
      <c r="K5957">
        <f>IF(E5957="Domain",COUNTIF($E$2:E5957,"Domain"),"")</f>
        <v/>
      </c>
    </row>
    <row r="5958">
      <c r="A5958" s="2" t="n"/>
      <c r="B5958">
        <f>LOWER(TRIM(A5958))</f>
        <v/>
      </c>
      <c r="C5958">
        <f>IF(B5958="","",IFERROR(INDEX('Bad Patterns'!$A$2:$A$120,MATCH(1,INDEX(--ISNUMBER(SEARCH('Bad Patterns'!$A$2:$A$120,B5958)),0),0)),""))</f>
        <v/>
      </c>
      <c r="D5958">
        <f>IF(B5958="","",IF(C5958&lt;&gt;"","REMOVE","KEEP"))</f>
        <v/>
      </c>
      <c r="E5958">
        <f>IF(D5958&lt;&gt;"KEEP","",IF(RIGHT(B5958,10)="@gmail.com","Gmail",IF(OR(RIGHT(B5958,12)="@outlook.com",RIGHT(B5958,12)="@hotmail.com",RIGHT(B5958,9)="@live.com"),"Outlook","Domain")))</f>
        <v/>
      </c>
      <c r="F5958">
        <f>IF(B5958="","",IFERROR(RIGHT(B5958,LEN(B5958)-FIND("@",B5958)),""))</f>
        <v/>
      </c>
      <c r="G5958">
        <f>IF(D5958="KEEP",COUNTIF($D$2:D5958,"KEEP"),"")</f>
        <v/>
      </c>
      <c r="H5958">
        <f>IF(D5958="REMOVE",COUNTIF($D$2:D5958,"REMOVE"),"")</f>
        <v/>
      </c>
      <c r="I5958">
        <f>IF(E5958="Gmail",COUNTIF($E$2:E5958,"Gmail"),"")</f>
        <v/>
      </c>
      <c r="J5958">
        <f>IF(E5958="Outlook",COUNTIF($E$2:E5958,"Outlook"),"")</f>
        <v/>
      </c>
      <c r="K5958">
        <f>IF(E5958="Domain",COUNTIF($E$2:E5958,"Domain"),"")</f>
        <v/>
      </c>
    </row>
    <row r="5959">
      <c r="A5959" s="2" t="n"/>
      <c r="B5959">
        <f>LOWER(TRIM(A5959))</f>
        <v/>
      </c>
      <c r="C5959">
        <f>IF(B5959="","",IFERROR(INDEX('Bad Patterns'!$A$2:$A$120,MATCH(1,INDEX(--ISNUMBER(SEARCH('Bad Patterns'!$A$2:$A$120,B5959)),0),0)),""))</f>
        <v/>
      </c>
      <c r="D5959">
        <f>IF(B5959="","",IF(C5959&lt;&gt;"","REMOVE","KEEP"))</f>
        <v/>
      </c>
      <c r="E5959">
        <f>IF(D5959&lt;&gt;"KEEP","",IF(RIGHT(B5959,10)="@gmail.com","Gmail",IF(OR(RIGHT(B5959,12)="@outlook.com",RIGHT(B5959,12)="@hotmail.com",RIGHT(B5959,9)="@live.com"),"Outlook","Domain")))</f>
        <v/>
      </c>
      <c r="F5959">
        <f>IF(B5959="","",IFERROR(RIGHT(B5959,LEN(B5959)-FIND("@",B5959)),""))</f>
        <v/>
      </c>
      <c r="G5959">
        <f>IF(D5959="KEEP",COUNTIF($D$2:D5959,"KEEP"),"")</f>
        <v/>
      </c>
      <c r="H5959">
        <f>IF(D5959="REMOVE",COUNTIF($D$2:D5959,"REMOVE"),"")</f>
        <v/>
      </c>
      <c r="I5959">
        <f>IF(E5959="Gmail",COUNTIF($E$2:E5959,"Gmail"),"")</f>
        <v/>
      </c>
      <c r="J5959">
        <f>IF(E5959="Outlook",COUNTIF($E$2:E5959,"Outlook"),"")</f>
        <v/>
      </c>
      <c r="K5959">
        <f>IF(E5959="Domain",COUNTIF($E$2:E5959,"Domain"),"")</f>
        <v/>
      </c>
    </row>
    <row r="5960">
      <c r="A5960" s="2" t="n"/>
      <c r="B5960">
        <f>LOWER(TRIM(A5960))</f>
        <v/>
      </c>
      <c r="C5960">
        <f>IF(B5960="","",IFERROR(INDEX('Bad Patterns'!$A$2:$A$120,MATCH(1,INDEX(--ISNUMBER(SEARCH('Bad Patterns'!$A$2:$A$120,B5960)),0),0)),""))</f>
        <v/>
      </c>
      <c r="D5960">
        <f>IF(B5960="","",IF(C5960&lt;&gt;"","REMOVE","KEEP"))</f>
        <v/>
      </c>
      <c r="E5960">
        <f>IF(D5960&lt;&gt;"KEEP","",IF(RIGHT(B5960,10)="@gmail.com","Gmail",IF(OR(RIGHT(B5960,12)="@outlook.com",RIGHT(B5960,12)="@hotmail.com",RIGHT(B5960,9)="@live.com"),"Outlook","Domain")))</f>
        <v/>
      </c>
      <c r="F5960">
        <f>IF(B5960="","",IFERROR(RIGHT(B5960,LEN(B5960)-FIND("@",B5960)),""))</f>
        <v/>
      </c>
      <c r="G5960">
        <f>IF(D5960="KEEP",COUNTIF($D$2:D5960,"KEEP"),"")</f>
        <v/>
      </c>
      <c r="H5960">
        <f>IF(D5960="REMOVE",COUNTIF($D$2:D5960,"REMOVE"),"")</f>
        <v/>
      </c>
      <c r="I5960">
        <f>IF(E5960="Gmail",COUNTIF($E$2:E5960,"Gmail"),"")</f>
        <v/>
      </c>
      <c r="J5960">
        <f>IF(E5960="Outlook",COUNTIF($E$2:E5960,"Outlook"),"")</f>
        <v/>
      </c>
      <c r="K5960">
        <f>IF(E5960="Domain",COUNTIF($E$2:E5960,"Domain"),"")</f>
        <v/>
      </c>
    </row>
    <row r="5961">
      <c r="A5961" s="2" t="n"/>
      <c r="B5961">
        <f>LOWER(TRIM(A5961))</f>
        <v/>
      </c>
      <c r="C5961">
        <f>IF(B5961="","",IFERROR(INDEX('Bad Patterns'!$A$2:$A$120,MATCH(1,INDEX(--ISNUMBER(SEARCH('Bad Patterns'!$A$2:$A$120,B5961)),0),0)),""))</f>
        <v/>
      </c>
      <c r="D5961">
        <f>IF(B5961="","",IF(C5961&lt;&gt;"","REMOVE","KEEP"))</f>
        <v/>
      </c>
      <c r="E5961">
        <f>IF(D5961&lt;&gt;"KEEP","",IF(RIGHT(B5961,10)="@gmail.com","Gmail",IF(OR(RIGHT(B5961,12)="@outlook.com",RIGHT(B5961,12)="@hotmail.com",RIGHT(B5961,9)="@live.com"),"Outlook","Domain")))</f>
        <v/>
      </c>
      <c r="F5961">
        <f>IF(B5961="","",IFERROR(RIGHT(B5961,LEN(B5961)-FIND("@",B5961)),""))</f>
        <v/>
      </c>
      <c r="G5961">
        <f>IF(D5961="KEEP",COUNTIF($D$2:D5961,"KEEP"),"")</f>
        <v/>
      </c>
      <c r="H5961">
        <f>IF(D5961="REMOVE",COUNTIF($D$2:D5961,"REMOVE"),"")</f>
        <v/>
      </c>
      <c r="I5961">
        <f>IF(E5961="Gmail",COUNTIF($E$2:E5961,"Gmail"),"")</f>
        <v/>
      </c>
      <c r="J5961">
        <f>IF(E5961="Outlook",COUNTIF($E$2:E5961,"Outlook"),"")</f>
        <v/>
      </c>
      <c r="K5961">
        <f>IF(E5961="Domain",COUNTIF($E$2:E5961,"Domain"),"")</f>
        <v/>
      </c>
    </row>
    <row r="5962">
      <c r="A5962" s="2" t="n"/>
      <c r="B5962">
        <f>LOWER(TRIM(A5962))</f>
        <v/>
      </c>
      <c r="C5962">
        <f>IF(B5962="","",IFERROR(INDEX('Bad Patterns'!$A$2:$A$120,MATCH(1,INDEX(--ISNUMBER(SEARCH('Bad Patterns'!$A$2:$A$120,B5962)),0),0)),""))</f>
        <v/>
      </c>
      <c r="D5962">
        <f>IF(B5962="","",IF(C5962&lt;&gt;"","REMOVE","KEEP"))</f>
        <v/>
      </c>
      <c r="E5962">
        <f>IF(D5962&lt;&gt;"KEEP","",IF(RIGHT(B5962,10)="@gmail.com","Gmail",IF(OR(RIGHT(B5962,12)="@outlook.com",RIGHT(B5962,12)="@hotmail.com",RIGHT(B5962,9)="@live.com"),"Outlook","Domain")))</f>
        <v/>
      </c>
      <c r="F5962">
        <f>IF(B5962="","",IFERROR(RIGHT(B5962,LEN(B5962)-FIND("@",B5962)),""))</f>
        <v/>
      </c>
      <c r="G5962">
        <f>IF(D5962="KEEP",COUNTIF($D$2:D5962,"KEEP"),"")</f>
        <v/>
      </c>
      <c r="H5962">
        <f>IF(D5962="REMOVE",COUNTIF($D$2:D5962,"REMOVE"),"")</f>
        <v/>
      </c>
      <c r="I5962">
        <f>IF(E5962="Gmail",COUNTIF($E$2:E5962,"Gmail"),"")</f>
        <v/>
      </c>
      <c r="J5962">
        <f>IF(E5962="Outlook",COUNTIF($E$2:E5962,"Outlook"),"")</f>
        <v/>
      </c>
      <c r="K5962">
        <f>IF(E5962="Domain",COUNTIF($E$2:E5962,"Domain"),"")</f>
        <v/>
      </c>
    </row>
    <row r="5963">
      <c r="A5963" s="2" t="n"/>
      <c r="B5963">
        <f>LOWER(TRIM(A5963))</f>
        <v/>
      </c>
      <c r="C5963">
        <f>IF(B5963="","",IFERROR(INDEX('Bad Patterns'!$A$2:$A$120,MATCH(1,INDEX(--ISNUMBER(SEARCH('Bad Patterns'!$A$2:$A$120,B5963)),0),0)),""))</f>
        <v/>
      </c>
      <c r="D5963">
        <f>IF(B5963="","",IF(C5963&lt;&gt;"","REMOVE","KEEP"))</f>
        <v/>
      </c>
      <c r="E5963">
        <f>IF(D5963&lt;&gt;"KEEP","",IF(RIGHT(B5963,10)="@gmail.com","Gmail",IF(OR(RIGHT(B5963,12)="@outlook.com",RIGHT(B5963,12)="@hotmail.com",RIGHT(B5963,9)="@live.com"),"Outlook","Domain")))</f>
        <v/>
      </c>
      <c r="F5963">
        <f>IF(B5963="","",IFERROR(RIGHT(B5963,LEN(B5963)-FIND("@",B5963)),""))</f>
        <v/>
      </c>
      <c r="G5963">
        <f>IF(D5963="KEEP",COUNTIF($D$2:D5963,"KEEP"),"")</f>
        <v/>
      </c>
      <c r="H5963">
        <f>IF(D5963="REMOVE",COUNTIF($D$2:D5963,"REMOVE"),"")</f>
        <v/>
      </c>
      <c r="I5963">
        <f>IF(E5963="Gmail",COUNTIF($E$2:E5963,"Gmail"),"")</f>
        <v/>
      </c>
      <c r="J5963">
        <f>IF(E5963="Outlook",COUNTIF($E$2:E5963,"Outlook"),"")</f>
        <v/>
      </c>
      <c r="K5963">
        <f>IF(E5963="Domain",COUNTIF($E$2:E5963,"Domain"),"")</f>
        <v/>
      </c>
    </row>
    <row r="5964">
      <c r="A5964" s="2" t="n"/>
      <c r="B5964">
        <f>LOWER(TRIM(A5964))</f>
        <v/>
      </c>
      <c r="C5964">
        <f>IF(B5964="","",IFERROR(INDEX('Bad Patterns'!$A$2:$A$120,MATCH(1,INDEX(--ISNUMBER(SEARCH('Bad Patterns'!$A$2:$A$120,B5964)),0),0)),""))</f>
        <v/>
      </c>
      <c r="D5964">
        <f>IF(B5964="","",IF(C5964&lt;&gt;"","REMOVE","KEEP"))</f>
        <v/>
      </c>
      <c r="E5964">
        <f>IF(D5964&lt;&gt;"KEEP","",IF(RIGHT(B5964,10)="@gmail.com","Gmail",IF(OR(RIGHT(B5964,12)="@outlook.com",RIGHT(B5964,12)="@hotmail.com",RIGHT(B5964,9)="@live.com"),"Outlook","Domain")))</f>
        <v/>
      </c>
      <c r="F5964">
        <f>IF(B5964="","",IFERROR(RIGHT(B5964,LEN(B5964)-FIND("@",B5964)),""))</f>
        <v/>
      </c>
      <c r="G5964">
        <f>IF(D5964="KEEP",COUNTIF($D$2:D5964,"KEEP"),"")</f>
        <v/>
      </c>
      <c r="H5964">
        <f>IF(D5964="REMOVE",COUNTIF($D$2:D5964,"REMOVE"),"")</f>
        <v/>
      </c>
      <c r="I5964">
        <f>IF(E5964="Gmail",COUNTIF($E$2:E5964,"Gmail"),"")</f>
        <v/>
      </c>
      <c r="J5964">
        <f>IF(E5964="Outlook",COUNTIF($E$2:E5964,"Outlook"),"")</f>
        <v/>
      </c>
      <c r="K5964">
        <f>IF(E5964="Domain",COUNTIF($E$2:E5964,"Domain"),"")</f>
        <v/>
      </c>
    </row>
    <row r="5965">
      <c r="A5965" s="2" t="n"/>
      <c r="B5965">
        <f>LOWER(TRIM(A5965))</f>
        <v/>
      </c>
      <c r="C5965">
        <f>IF(B5965="","",IFERROR(INDEX('Bad Patterns'!$A$2:$A$120,MATCH(1,INDEX(--ISNUMBER(SEARCH('Bad Patterns'!$A$2:$A$120,B5965)),0),0)),""))</f>
        <v/>
      </c>
      <c r="D5965">
        <f>IF(B5965="","",IF(C5965&lt;&gt;"","REMOVE","KEEP"))</f>
        <v/>
      </c>
      <c r="E5965">
        <f>IF(D5965&lt;&gt;"KEEP","",IF(RIGHT(B5965,10)="@gmail.com","Gmail",IF(OR(RIGHT(B5965,12)="@outlook.com",RIGHT(B5965,12)="@hotmail.com",RIGHT(B5965,9)="@live.com"),"Outlook","Domain")))</f>
        <v/>
      </c>
      <c r="F5965">
        <f>IF(B5965="","",IFERROR(RIGHT(B5965,LEN(B5965)-FIND("@",B5965)),""))</f>
        <v/>
      </c>
      <c r="G5965">
        <f>IF(D5965="KEEP",COUNTIF($D$2:D5965,"KEEP"),"")</f>
        <v/>
      </c>
      <c r="H5965">
        <f>IF(D5965="REMOVE",COUNTIF($D$2:D5965,"REMOVE"),"")</f>
        <v/>
      </c>
      <c r="I5965">
        <f>IF(E5965="Gmail",COUNTIF($E$2:E5965,"Gmail"),"")</f>
        <v/>
      </c>
      <c r="J5965">
        <f>IF(E5965="Outlook",COUNTIF($E$2:E5965,"Outlook"),"")</f>
        <v/>
      </c>
      <c r="K5965">
        <f>IF(E5965="Domain",COUNTIF($E$2:E5965,"Domain"),"")</f>
        <v/>
      </c>
    </row>
    <row r="5966">
      <c r="A5966" s="2" t="n"/>
      <c r="B5966">
        <f>LOWER(TRIM(A5966))</f>
        <v/>
      </c>
      <c r="C5966">
        <f>IF(B5966="","",IFERROR(INDEX('Bad Patterns'!$A$2:$A$120,MATCH(1,INDEX(--ISNUMBER(SEARCH('Bad Patterns'!$A$2:$A$120,B5966)),0),0)),""))</f>
        <v/>
      </c>
      <c r="D5966">
        <f>IF(B5966="","",IF(C5966&lt;&gt;"","REMOVE","KEEP"))</f>
        <v/>
      </c>
      <c r="E5966">
        <f>IF(D5966&lt;&gt;"KEEP","",IF(RIGHT(B5966,10)="@gmail.com","Gmail",IF(OR(RIGHT(B5966,12)="@outlook.com",RIGHT(B5966,12)="@hotmail.com",RIGHT(B5966,9)="@live.com"),"Outlook","Domain")))</f>
        <v/>
      </c>
      <c r="F5966">
        <f>IF(B5966="","",IFERROR(RIGHT(B5966,LEN(B5966)-FIND("@",B5966)),""))</f>
        <v/>
      </c>
      <c r="G5966">
        <f>IF(D5966="KEEP",COUNTIF($D$2:D5966,"KEEP"),"")</f>
        <v/>
      </c>
      <c r="H5966">
        <f>IF(D5966="REMOVE",COUNTIF($D$2:D5966,"REMOVE"),"")</f>
        <v/>
      </c>
      <c r="I5966">
        <f>IF(E5966="Gmail",COUNTIF($E$2:E5966,"Gmail"),"")</f>
        <v/>
      </c>
      <c r="J5966">
        <f>IF(E5966="Outlook",COUNTIF($E$2:E5966,"Outlook"),"")</f>
        <v/>
      </c>
      <c r="K5966">
        <f>IF(E5966="Domain",COUNTIF($E$2:E5966,"Domain"),"")</f>
        <v/>
      </c>
    </row>
    <row r="5967">
      <c r="A5967" s="2" t="n"/>
      <c r="B5967">
        <f>LOWER(TRIM(A5967))</f>
        <v/>
      </c>
      <c r="C5967">
        <f>IF(B5967="","",IFERROR(INDEX('Bad Patterns'!$A$2:$A$120,MATCH(1,INDEX(--ISNUMBER(SEARCH('Bad Patterns'!$A$2:$A$120,B5967)),0),0)),""))</f>
        <v/>
      </c>
      <c r="D5967">
        <f>IF(B5967="","",IF(C5967&lt;&gt;"","REMOVE","KEEP"))</f>
        <v/>
      </c>
      <c r="E5967">
        <f>IF(D5967&lt;&gt;"KEEP","",IF(RIGHT(B5967,10)="@gmail.com","Gmail",IF(OR(RIGHT(B5967,12)="@outlook.com",RIGHT(B5967,12)="@hotmail.com",RIGHT(B5967,9)="@live.com"),"Outlook","Domain")))</f>
        <v/>
      </c>
      <c r="F5967">
        <f>IF(B5967="","",IFERROR(RIGHT(B5967,LEN(B5967)-FIND("@",B5967)),""))</f>
        <v/>
      </c>
      <c r="G5967">
        <f>IF(D5967="KEEP",COUNTIF($D$2:D5967,"KEEP"),"")</f>
        <v/>
      </c>
      <c r="H5967">
        <f>IF(D5967="REMOVE",COUNTIF($D$2:D5967,"REMOVE"),"")</f>
        <v/>
      </c>
      <c r="I5967">
        <f>IF(E5967="Gmail",COUNTIF($E$2:E5967,"Gmail"),"")</f>
        <v/>
      </c>
      <c r="J5967">
        <f>IF(E5967="Outlook",COUNTIF($E$2:E5967,"Outlook"),"")</f>
        <v/>
      </c>
      <c r="K5967">
        <f>IF(E5967="Domain",COUNTIF($E$2:E5967,"Domain"),"")</f>
        <v/>
      </c>
    </row>
    <row r="5968">
      <c r="A5968" s="2" t="n"/>
      <c r="B5968">
        <f>LOWER(TRIM(A5968))</f>
        <v/>
      </c>
      <c r="C5968">
        <f>IF(B5968="","",IFERROR(INDEX('Bad Patterns'!$A$2:$A$120,MATCH(1,INDEX(--ISNUMBER(SEARCH('Bad Patterns'!$A$2:$A$120,B5968)),0),0)),""))</f>
        <v/>
      </c>
      <c r="D5968">
        <f>IF(B5968="","",IF(C5968&lt;&gt;"","REMOVE","KEEP"))</f>
        <v/>
      </c>
      <c r="E5968">
        <f>IF(D5968&lt;&gt;"KEEP","",IF(RIGHT(B5968,10)="@gmail.com","Gmail",IF(OR(RIGHT(B5968,12)="@outlook.com",RIGHT(B5968,12)="@hotmail.com",RIGHT(B5968,9)="@live.com"),"Outlook","Domain")))</f>
        <v/>
      </c>
      <c r="F5968">
        <f>IF(B5968="","",IFERROR(RIGHT(B5968,LEN(B5968)-FIND("@",B5968)),""))</f>
        <v/>
      </c>
      <c r="G5968">
        <f>IF(D5968="KEEP",COUNTIF($D$2:D5968,"KEEP"),"")</f>
        <v/>
      </c>
      <c r="H5968">
        <f>IF(D5968="REMOVE",COUNTIF($D$2:D5968,"REMOVE"),"")</f>
        <v/>
      </c>
      <c r="I5968">
        <f>IF(E5968="Gmail",COUNTIF($E$2:E5968,"Gmail"),"")</f>
        <v/>
      </c>
      <c r="J5968">
        <f>IF(E5968="Outlook",COUNTIF($E$2:E5968,"Outlook"),"")</f>
        <v/>
      </c>
      <c r="K5968">
        <f>IF(E5968="Domain",COUNTIF($E$2:E5968,"Domain"),"")</f>
        <v/>
      </c>
    </row>
    <row r="5969">
      <c r="A5969" s="2" t="n"/>
      <c r="B5969">
        <f>LOWER(TRIM(A5969))</f>
        <v/>
      </c>
      <c r="C5969">
        <f>IF(B5969="","",IFERROR(INDEX('Bad Patterns'!$A$2:$A$120,MATCH(1,INDEX(--ISNUMBER(SEARCH('Bad Patterns'!$A$2:$A$120,B5969)),0),0)),""))</f>
        <v/>
      </c>
      <c r="D5969">
        <f>IF(B5969="","",IF(C5969&lt;&gt;"","REMOVE","KEEP"))</f>
        <v/>
      </c>
      <c r="E5969">
        <f>IF(D5969&lt;&gt;"KEEP","",IF(RIGHT(B5969,10)="@gmail.com","Gmail",IF(OR(RIGHT(B5969,12)="@outlook.com",RIGHT(B5969,12)="@hotmail.com",RIGHT(B5969,9)="@live.com"),"Outlook","Domain")))</f>
        <v/>
      </c>
      <c r="F5969">
        <f>IF(B5969="","",IFERROR(RIGHT(B5969,LEN(B5969)-FIND("@",B5969)),""))</f>
        <v/>
      </c>
      <c r="G5969">
        <f>IF(D5969="KEEP",COUNTIF($D$2:D5969,"KEEP"),"")</f>
        <v/>
      </c>
      <c r="H5969">
        <f>IF(D5969="REMOVE",COUNTIF($D$2:D5969,"REMOVE"),"")</f>
        <v/>
      </c>
      <c r="I5969">
        <f>IF(E5969="Gmail",COUNTIF($E$2:E5969,"Gmail"),"")</f>
        <v/>
      </c>
      <c r="J5969">
        <f>IF(E5969="Outlook",COUNTIF($E$2:E5969,"Outlook"),"")</f>
        <v/>
      </c>
      <c r="K5969">
        <f>IF(E5969="Domain",COUNTIF($E$2:E5969,"Domain"),"")</f>
        <v/>
      </c>
    </row>
    <row r="5970">
      <c r="A5970" s="2" t="n"/>
      <c r="B5970">
        <f>LOWER(TRIM(A5970))</f>
        <v/>
      </c>
      <c r="C5970">
        <f>IF(B5970="","",IFERROR(INDEX('Bad Patterns'!$A$2:$A$120,MATCH(1,INDEX(--ISNUMBER(SEARCH('Bad Patterns'!$A$2:$A$120,B5970)),0),0)),""))</f>
        <v/>
      </c>
      <c r="D5970">
        <f>IF(B5970="","",IF(C5970&lt;&gt;"","REMOVE","KEEP"))</f>
        <v/>
      </c>
      <c r="E5970">
        <f>IF(D5970&lt;&gt;"KEEP","",IF(RIGHT(B5970,10)="@gmail.com","Gmail",IF(OR(RIGHT(B5970,12)="@outlook.com",RIGHT(B5970,12)="@hotmail.com",RIGHT(B5970,9)="@live.com"),"Outlook","Domain")))</f>
        <v/>
      </c>
      <c r="F5970">
        <f>IF(B5970="","",IFERROR(RIGHT(B5970,LEN(B5970)-FIND("@",B5970)),""))</f>
        <v/>
      </c>
      <c r="G5970">
        <f>IF(D5970="KEEP",COUNTIF($D$2:D5970,"KEEP"),"")</f>
        <v/>
      </c>
      <c r="H5970">
        <f>IF(D5970="REMOVE",COUNTIF($D$2:D5970,"REMOVE"),"")</f>
        <v/>
      </c>
      <c r="I5970">
        <f>IF(E5970="Gmail",COUNTIF($E$2:E5970,"Gmail"),"")</f>
        <v/>
      </c>
      <c r="J5970">
        <f>IF(E5970="Outlook",COUNTIF($E$2:E5970,"Outlook"),"")</f>
        <v/>
      </c>
      <c r="K5970">
        <f>IF(E5970="Domain",COUNTIF($E$2:E5970,"Domain"),"")</f>
        <v/>
      </c>
    </row>
    <row r="5971">
      <c r="A5971" s="2" t="n"/>
      <c r="B5971">
        <f>LOWER(TRIM(A5971))</f>
        <v/>
      </c>
      <c r="C5971">
        <f>IF(B5971="","",IFERROR(INDEX('Bad Patterns'!$A$2:$A$120,MATCH(1,INDEX(--ISNUMBER(SEARCH('Bad Patterns'!$A$2:$A$120,B5971)),0),0)),""))</f>
        <v/>
      </c>
      <c r="D5971">
        <f>IF(B5971="","",IF(C5971&lt;&gt;"","REMOVE","KEEP"))</f>
        <v/>
      </c>
      <c r="E5971">
        <f>IF(D5971&lt;&gt;"KEEP","",IF(RIGHT(B5971,10)="@gmail.com","Gmail",IF(OR(RIGHT(B5971,12)="@outlook.com",RIGHT(B5971,12)="@hotmail.com",RIGHT(B5971,9)="@live.com"),"Outlook","Domain")))</f>
        <v/>
      </c>
      <c r="F5971">
        <f>IF(B5971="","",IFERROR(RIGHT(B5971,LEN(B5971)-FIND("@",B5971)),""))</f>
        <v/>
      </c>
      <c r="G5971">
        <f>IF(D5971="KEEP",COUNTIF($D$2:D5971,"KEEP"),"")</f>
        <v/>
      </c>
      <c r="H5971">
        <f>IF(D5971="REMOVE",COUNTIF($D$2:D5971,"REMOVE"),"")</f>
        <v/>
      </c>
      <c r="I5971">
        <f>IF(E5971="Gmail",COUNTIF($E$2:E5971,"Gmail"),"")</f>
        <v/>
      </c>
      <c r="J5971">
        <f>IF(E5971="Outlook",COUNTIF($E$2:E5971,"Outlook"),"")</f>
        <v/>
      </c>
      <c r="K5971">
        <f>IF(E5971="Domain",COUNTIF($E$2:E5971,"Domain"),"")</f>
        <v/>
      </c>
    </row>
    <row r="5972">
      <c r="A5972" s="2" t="n"/>
      <c r="B5972">
        <f>LOWER(TRIM(A5972))</f>
        <v/>
      </c>
      <c r="C5972">
        <f>IF(B5972="","",IFERROR(INDEX('Bad Patterns'!$A$2:$A$120,MATCH(1,INDEX(--ISNUMBER(SEARCH('Bad Patterns'!$A$2:$A$120,B5972)),0),0)),""))</f>
        <v/>
      </c>
      <c r="D5972">
        <f>IF(B5972="","",IF(C5972&lt;&gt;"","REMOVE","KEEP"))</f>
        <v/>
      </c>
      <c r="E5972">
        <f>IF(D5972&lt;&gt;"KEEP","",IF(RIGHT(B5972,10)="@gmail.com","Gmail",IF(OR(RIGHT(B5972,12)="@outlook.com",RIGHT(B5972,12)="@hotmail.com",RIGHT(B5972,9)="@live.com"),"Outlook","Domain")))</f>
        <v/>
      </c>
      <c r="F5972">
        <f>IF(B5972="","",IFERROR(RIGHT(B5972,LEN(B5972)-FIND("@",B5972)),""))</f>
        <v/>
      </c>
      <c r="G5972">
        <f>IF(D5972="KEEP",COUNTIF($D$2:D5972,"KEEP"),"")</f>
        <v/>
      </c>
      <c r="H5972">
        <f>IF(D5972="REMOVE",COUNTIF($D$2:D5972,"REMOVE"),"")</f>
        <v/>
      </c>
      <c r="I5972">
        <f>IF(E5972="Gmail",COUNTIF($E$2:E5972,"Gmail"),"")</f>
        <v/>
      </c>
      <c r="J5972">
        <f>IF(E5972="Outlook",COUNTIF($E$2:E5972,"Outlook"),"")</f>
        <v/>
      </c>
      <c r="K5972">
        <f>IF(E5972="Domain",COUNTIF($E$2:E5972,"Domain"),"")</f>
        <v/>
      </c>
    </row>
    <row r="5973">
      <c r="A5973" s="2" t="n"/>
      <c r="B5973">
        <f>LOWER(TRIM(A5973))</f>
        <v/>
      </c>
      <c r="C5973">
        <f>IF(B5973="","",IFERROR(INDEX('Bad Patterns'!$A$2:$A$120,MATCH(1,INDEX(--ISNUMBER(SEARCH('Bad Patterns'!$A$2:$A$120,B5973)),0),0)),""))</f>
        <v/>
      </c>
      <c r="D5973">
        <f>IF(B5973="","",IF(C5973&lt;&gt;"","REMOVE","KEEP"))</f>
        <v/>
      </c>
      <c r="E5973">
        <f>IF(D5973&lt;&gt;"KEEP","",IF(RIGHT(B5973,10)="@gmail.com","Gmail",IF(OR(RIGHT(B5973,12)="@outlook.com",RIGHT(B5973,12)="@hotmail.com",RIGHT(B5973,9)="@live.com"),"Outlook","Domain")))</f>
        <v/>
      </c>
      <c r="F5973">
        <f>IF(B5973="","",IFERROR(RIGHT(B5973,LEN(B5973)-FIND("@",B5973)),""))</f>
        <v/>
      </c>
      <c r="G5973">
        <f>IF(D5973="KEEP",COUNTIF($D$2:D5973,"KEEP"),"")</f>
        <v/>
      </c>
      <c r="H5973">
        <f>IF(D5973="REMOVE",COUNTIF($D$2:D5973,"REMOVE"),"")</f>
        <v/>
      </c>
      <c r="I5973">
        <f>IF(E5973="Gmail",COUNTIF($E$2:E5973,"Gmail"),"")</f>
        <v/>
      </c>
      <c r="J5973">
        <f>IF(E5973="Outlook",COUNTIF($E$2:E5973,"Outlook"),"")</f>
        <v/>
      </c>
      <c r="K5973">
        <f>IF(E5973="Domain",COUNTIF($E$2:E5973,"Domain"),"")</f>
        <v/>
      </c>
    </row>
    <row r="5974">
      <c r="A5974" s="2" t="n"/>
      <c r="B5974">
        <f>LOWER(TRIM(A5974))</f>
        <v/>
      </c>
      <c r="C5974">
        <f>IF(B5974="","",IFERROR(INDEX('Bad Patterns'!$A$2:$A$120,MATCH(1,INDEX(--ISNUMBER(SEARCH('Bad Patterns'!$A$2:$A$120,B5974)),0),0)),""))</f>
        <v/>
      </c>
      <c r="D5974">
        <f>IF(B5974="","",IF(C5974&lt;&gt;"","REMOVE","KEEP"))</f>
        <v/>
      </c>
      <c r="E5974">
        <f>IF(D5974&lt;&gt;"KEEP","",IF(RIGHT(B5974,10)="@gmail.com","Gmail",IF(OR(RIGHT(B5974,12)="@outlook.com",RIGHT(B5974,12)="@hotmail.com",RIGHT(B5974,9)="@live.com"),"Outlook","Domain")))</f>
        <v/>
      </c>
      <c r="F5974">
        <f>IF(B5974="","",IFERROR(RIGHT(B5974,LEN(B5974)-FIND("@",B5974)),""))</f>
        <v/>
      </c>
      <c r="G5974">
        <f>IF(D5974="KEEP",COUNTIF($D$2:D5974,"KEEP"),"")</f>
        <v/>
      </c>
      <c r="H5974">
        <f>IF(D5974="REMOVE",COUNTIF($D$2:D5974,"REMOVE"),"")</f>
        <v/>
      </c>
      <c r="I5974">
        <f>IF(E5974="Gmail",COUNTIF($E$2:E5974,"Gmail"),"")</f>
        <v/>
      </c>
      <c r="J5974">
        <f>IF(E5974="Outlook",COUNTIF($E$2:E5974,"Outlook"),"")</f>
        <v/>
      </c>
      <c r="K5974">
        <f>IF(E5974="Domain",COUNTIF($E$2:E5974,"Domain"),"")</f>
        <v/>
      </c>
    </row>
    <row r="5975">
      <c r="A5975" s="2" t="n"/>
      <c r="B5975">
        <f>LOWER(TRIM(A5975))</f>
        <v/>
      </c>
      <c r="C5975">
        <f>IF(B5975="","",IFERROR(INDEX('Bad Patterns'!$A$2:$A$120,MATCH(1,INDEX(--ISNUMBER(SEARCH('Bad Patterns'!$A$2:$A$120,B5975)),0),0)),""))</f>
        <v/>
      </c>
      <c r="D5975">
        <f>IF(B5975="","",IF(C5975&lt;&gt;"","REMOVE","KEEP"))</f>
        <v/>
      </c>
      <c r="E5975">
        <f>IF(D5975&lt;&gt;"KEEP","",IF(RIGHT(B5975,10)="@gmail.com","Gmail",IF(OR(RIGHT(B5975,12)="@outlook.com",RIGHT(B5975,12)="@hotmail.com",RIGHT(B5975,9)="@live.com"),"Outlook","Domain")))</f>
        <v/>
      </c>
      <c r="F5975">
        <f>IF(B5975="","",IFERROR(RIGHT(B5975,LEN(B5975)-FIND("@",B5975)),""))</f>
        <v/>
      </c>
      <c r="G5975">
        <f>IF(D5975="KEEP",COUNTIF($D$2:D5975,"KEEP"),"")</f>
        <v/>
      </c>
      <c r="H5975">
        <f>IF(D5975="REMOVE",COUNTIF($D$2:D5975,"REMOVE"),"")</f>
        <v/>
      </c>
      <c r="I5975">
        <f>IF(E5975="Gmail",COUNTIF($E$2:E5975,"Gmail"),"")</f>
        <v/>
      </c>
      <c r="J5975">
        <f>IF(E5975="Outlook",COUNTIF($E$2:E5975,"Outlook"),"")</f>
        <v/>
      </c>
      <c r="K5975">
        <f>IF(E5975="Domain",COUNTIF($E$2:E5975,"Domain"),"")</f>
        <v/>
      </c>
    </row>
    <row r="5976">
      <c r="A5976" s="2" t="n"/>
      <c r="B5976">
        <f>LOWER(TRIM(A5976))</f>
        <v/>
      </c>
      <c r="C5976">
        <f>IF(B5976="","",IFERROR(INDEX('Bad Patterns'!$A$2:$A$120,MATCH(1,INDEX(--ISNUMBER(SEARCH('Bad Patterns'!$A$2:$A$120,B5976)),0),0)),""))</f>
        <v/>
      </c>
      <c r="D5976">
        <f>IF(B5976="","",IF(C5976&lt;&gt;"","REMOVE","KEEP"))</f>
        <v/>
      </c>
      <c r="E5976">
        <f>IF(D5976&lt;&gt;"KEEP","",IF(RIGHT(B5976,10)="@gmail.com","Gmail",IF(OR(RIGHT(B5976,12)="@outlook.com",RIGHT(B5976,12)="@hotmail.com",RIGHT(B5976,9)="@live.com"),"Outlook","Domain")))</f>
        <v/>
      </c>
      <c r="F5976">
        <f>IF(B5976="","",IFERROR(RIGHT(B5976,LEN(B5976)-FIND("@",B5976)),""))</f>
        <v/>
      </c>
      <c r="G5976">
        <f>IF(D5976="KEEP",COUNTIF($D$2:D5976,"KEEP"),"")</f>
        <v/>
      </c>
      <c r="H5976">
        <f>IF(D5976="REMOVE",COUNTIF($D$2:D5976,"REMOVE"),"")</f>
        <v/>
      </c>
      <c r="I5976">
        <f>IF(E5976="Gmail",COUNTIF($E$2:E5976,"Gmail"),"")</f>
        <v/>
      </c>
      <c r="J5976">
        <f>IF(E5976="Outlook",COUNTIF($E$2:E5976,"Outlook"),"")</f>
        <v/>
      </c>
      <c r="K5976">
        <f>IF(E5976="Domain",COUNTIF($E$2:E5976,"Domain"),"")</f>
        <v/>
      </c>
    </row>
    <row r="5977">
      <c r="A5977" s="2" t="n"/>
      <c r="B5977">
        <f>LOWER(TRIM(A5977))</f>
        <v/>
      </c>
      <c r="C5977">
        <f>IF(B5977="","",IFERROR(INDEX('Bad Patterns'!$A$2:$A$120,MATCH(1,INDEX(--ISNUMBER(SEARCH('Bad Patterns'!$A$2:$A$120,B5977)),0),0)),""))</f>
        <v/>
      </c>
      <c r="D5977">
        <f>IF(B5977="","",IF(C5977&lt;&gt;"","REMOVE","KEEP"))</f>
        <v/>
      </c>
      <c r="E5977">
        <f>IF(D5977&lt;&gt;"KEEP","",IF(RIGHT(B5977,10)="@gmail.com","Gmail",IF(OR(RIGHT(B5977,12)="@outlook.com",RIGHT(B5977,12)="@hotmail.com",RIGHT(B5977,9)="@live.com"),"Outlook","Domain")))</f>
        <v/>
      </c>
      <c r="F5977">
        <f>IF(B5977="","",IFERROR(RIGHT(B5977,LEN(B5977)-FIND("@",B5977)),""))</f>
        <v/>
      </c>
      <c r="G5977">
        <f>IF(D5977="KEEP",COUNTIF($D$2:D5977,"KEEP"),"")</f>
        <v/>
      </c>
      <c r="H5977">
        <f>IF(D5977="REMOVE",COUNTIF($D$2:D5977,"REMOVE"),"")</f>
        <v/>
      </c>
      <c r="I5977">
        <f>IF(E5977="Gmail",COUNTIF($E$2:E5977,"Gmail"),"")</f>
        <v/>
      </c>
      <c r="J5977">
        <f>IF(E5977="Outlook",COUNTIF($E$2:E5977,"Outlook"),"")</f>
        <v/>
      </c>
      <c r="K5977">
        <f>IF(E5977="Domain",COUNTIF($E$2:E5977,"Domain"),"")</f>
        <v/>
      </c>
    </row>
    <row r="5978">
      <c r="A5978" s="2" t="n"/>
      <c r="B5978">
        <f>LOWER(TRIM(A5978))</f>
        <v/>
      </c>
      <c r="C5978">
        <f>IF(B5978="","",IFERROR(INDEX('Bad Patterns'!$A$2:$A$120,MATCH(1,INDEX(--ISNUMBER(SEARCH('Bad Patterns'!$A$2:$A$120,B5978)),0),0)),""))</f>
        <v/>
      </c>
      <c r="D5978">
        <f>IF(B5978="","",IF(C5978&lt;&gt;"","REMOVE","KEEP"))</f>
        <v/>
      </c>
      <c r="E5978">
        <f>IF(D5978&lt;&gt;"KEEP","",IF(RIGHT(B5978,10)="@gmail.com","Gmail",IF(OR(RIGHT(B5978,12)="@outlook.com",RIGHT(B5978,12)="@hotmail.com",RIGHT(B5978,9)="@live.com"),"Outlook","Domain")))</f>
        <v/>
      </c>
      <c r="F5978">
        <f>IF(B5978="","",IFERROR(RIGHT(B5978,LEN(B5978)-FIND("@",B5978)),""))</f>
        <v/>
      </c>
      <c r="G5978">
        <f>IF(D5978="KEEP",COUNTIF($D$2:D5978,"KEEP"),"")</f>
        <v/>
      </c>
      <c r="H5978">
        <f>IF(D5978="REMOVE",COUNTIF($D$2:D5978,"REMOVE"),"")</f>
        <v/>
      </c>
      <c r="I5978">
        <f>IF(E5978="Gmail",COUNTIF($E$2:E5978,"Gmail"),"")</f>
        <v/>
      </c>
      <c r="J5978">
        <f>IF(E5978="Outlook",COUNTIF($E$2:E5978,"Outlook"),"")</f>
        <v/>
      </c>
      <c r="K5978">
        <f>IF(E5978="Domain",COUNTIF($E$2:E5978,"Domain"),"")</f>
        <v/>
      </c>
    </row>
    <row r="5979">
      <c r="A5979" s="2" t="n"/>
      <c r="B5979">
        <f>LOWER(TRIM(A5979))</f>
        <v/>
      </c>
      <c r="C5979">
        <f>IF(B5979="","",IFERROR(INDEX('Bad Patterns'!$A$2:$A$120,MATCH(1,INDEX(--ISNUMBER(SEARCH('Bad Patterns'!$A$2:$A$120,B5979)),0),0)),""))</f>
        <v/>
      </c>
      <c r="D5979">
        <f>IF(B5979="","",IF(C5979&lt;&gt;"","REMOVE","KEEP"))</f>
        <v/>
      </c>
      <c r="E5979">
        <f>IF(D5979&lt;&gt;"KEEP","",IF(RIGHT(B5979,10)="@gmail.com","Gmail",IF(OR(RIGHT(B5979,12)="@outlook.com",RIGHT(B5979,12)="@hotmail.com",RIGHT(B5979,9)="@live.com"),"Outlook","Domain")))</f>
        <v/>
      </c>
      <c r="F5979">
        <f>IF(B5979="","",IFERROR(RIGHT(B5979,LEN(B5979)-FIND("@",B5979)),""))</f>
        <v/>
      </c>
      <c r="G5979">
        <f>IF(D5979="KEEP",COUNTIF($D$2:D5979,"KEEP"),"")</f>
        <v/>
      </c>
      <c r="H5979">
        <f>IF(D5979="REMOVE",COUNTIF($D$2:D5979,"REMOVE"),"")</f>
        <v/>
      </c>
      <c r="I5979">
        <f>IF(E5979="Gmail",COUNTIF($E$2:E5979,"Gmail"),"")</f>
        <v/>
      </c>
      <c r="J5979">
        <f>IF(E5979="Outlook",COUNTIF($E$2:E5979,"Outlook"),"")</f>
        <v/>
      </c>
      <c r="K5979">
        <f>IF(E5979="Domain",COUNTIF($E$2:E5979,"Domain"),"")</f>
        <v/>
      </c>
    </row>
    <row r="5980">
      <c r="A5980" s="2" t="n"/>
      <c r="B5980">
        <f>LOWER(TRIM(A5980))</f>
        <v/>
      </c>
      <c r="C5980">
        <f>IF(B5980="","",IFERROR(INDEX('Bad Patterns'!$A$2:$A$120,MATCH(1,INDEX(--ISNUMBER(SEARCH('Bad Patterns'!$A$2:$A$120,B5980)),0),0)),""))</f>
        <v/>
      </c>
      <c r="D5980">
        <f>IF(B5980="","",IF(C5980&lt;&gt;"","REMOVE","KEEP"))</f>
        <v/>
      </c>
      <c r="E5980">
        <f>IF(D5980&lt;&gt;"KEEP","",IF(RIGHT(B5980,10)="@gmail.com","Gmail",IF(OR(RIGHT(B5980,12)="@outlook.com",RIGHT(B5980,12)="@hotmail.com",RIGHT(B5980,9)="@live.com"),"Outlook","Domain")))</f>
        <v/>
      </c>
      <c r="F5980">
        <f>IF(B5980="","",IFERROR(RIGHT(B5980,LEN(B5980)-FIND("@",B5980)),""))</f>
        <v/>
      </c>
      <c r="G5980">
        <f>IF(D5980="KEEP",COUNTIF($D$2:D5980,"KEEP"),"")</f>
        <v/>
      </c>
      <c r="H5980">
        <f>IF(D5980="REMOVE",COUNTIF($D$2:D5980,"REMOVE"),"")</f>
        <v/>
      </c>
      <c r="I5980">
        <f>IF(E5980="Gmail",COUNTIF($E$2:E5980,"Gmail"),"")</f>
        <v/>
      </c>
      <c r="J5980">
        <f>IF(E5980="Outlook",COUNTIF($E$2:E5980,"Outlook"),"")</f>
        <v/>
      </c>
      <c r="K5980">
        <f>IF(E5980="Domain",COUNTIF($E$2:E5980,"Domain"),"")</f>
        <v/>
      </c>
    </row>
    <row r="5981">
      <c r="A5981" s="2" t="n"/>
      <c r="B5981">
        <f>LOWER(TRIM(A5981))</f>
        <v/>
      </c>
      <c r="C5981">
        <f>IF(B5981="","",IFERROR(INDEX('Bad Patterns'!$A$2:$A$120,MATCH(1,INDEX(--ISNUMBER(SEARCH('Bad Patterns'!$A$2:$A$120,B5981)),0),0)),""))</f>
        <v/>
      </c>
      <c r="D5981">
        <f>IF(B5981="","",IF(C5981&lt;&gt;"","REMOVE","KEEP"))</f>
        <v/>
      </c>
      <c r="E5981">
        <f>IF(D5981&lt;&gt;"KEEP","",IF(RIGHT(B5981,10)="@gmail.com","Gmail",IF(OR(RIGHT(B5981,12)="@outlook.com",RIGHT(B5981,12)="@hotmail.com",RIGHT(B5981,9)="@live.com"),"Outlook","Domain")))</f>
        <v/>
      </c>
      <c r="F5981">
        <f>IF(B5981="","",IFERROR(RIGHT(B5981,LEN(B5981)-FIND("@",B5981)),""))</f>
        <v/>
      </c>
      <c r="G5981">
        <f>IF(D5981="KEEP",COUNTIF($D$2:D5981,"KEEP"),"")</f>
        <v/>
      </c>
      <c r="H5981">
        <f>IF(D5981="REMOVE",COUNTIF($D$2:D5981,"REMOVE"),"")</f>
        <v/>
      </c>
      <c r="I5981">
        <f>IF(E5981="Gmail",COUNTIF($E$2:E5981,"Gmail"),"")</f>
        <v/>
      </c>
      <c r="J5981">
        <f>IF(E5981="Outlook",COUNTIF($E$2:E5981,"Outlook"),"")</f>
        <v/>
      </c>
      <c r="K5981">
        <f>IF(E5981="Domain",COUNTIF($E$2:E5981,"Domain"),"")</f>
        <v/>
      </c>
    </row>
    <row r="5982">
      <c r="A5982" s="2" t="n"/>
      <c r="B5982">
        <f>LOWER(TRIM(A5982))</f>
        <v/>
      </c>
      <c r="C5982">
        <f>IF(B5982="","",IFERROR(INDEX('Bad Patterns'!$A$2:$A$120,MATCH(1,INDEX(--ISNUMBER(SEARCH('Bad Patterns'!$A$2:$A$120,B5982)),0),0)),""))</f>
        <v/>
      </c>
      <c r="D5982">
        <f>IF(B5982="","",IF(C5982&lt;&gt;"","REMOVE","KEEP"))</f>
        <v/>
      </c>
      <c r="E5982">
        <f>IF(D5982&lt;&gt;"KEEP","",IF(RIGHT(B5982,10)="@gmail.com","Gmail",IF(OR(RIGHT(B5982,12)="@outlook.com",RIGHT(B5982,12)="@hotmail.com",RIGHT(B5982,9)="@live.com"),"Outlook","Domain")))</f>
        <v/>
      </c>
      <c r="F5982">
        <f>IF(B5982="","",IFERROR(RIGHT(B5982,LEN(B5982)-FIND("@",B5982)),""))</f>
        <v/>
      </c>
      <c r="G5982">
        <f>IF(D5982="KEEP",COUNTIF($D$2:D5982,"KEEP"),"")</f>
        <v/>
      </c>
      <c r="H5982">
        <f>IF(D5982="REMOVE",COUNTIF($D$2:D5982,"REMOVE"),"")</f>
        <v/>
      </c>
      <c r="I5982">
        <f>IF(E5982="Gmail",COUNTIF($E$2:E5982,"Gmail"),"")</f>
        <v/>
      </c>
      <c r="J5982">
        <f>IF(E5982="Outlook",COUNTIF($E$2:E5982,"Outlook"),"")</f>
        <v/>
      </c>
      <c r="K5982">
        <f>IF(E5982="Domain",COUNTIF($E$2:E5982,"Domain"),"")</f>
        <v/>
      </c>
    </row>
    <row r="5983">
      <c r="A5983" s="2" t="n"/>
      <c r="B5983">
        <f>LOWER(TRIM(A5983))</f>
        <v/>
      </c>
      <c r="C5983">
        <f>IF(B5983="","",IFERROR(INDEX('Bad Patterns'!$A$2:$A$120,MATCH(1,INDEX(--ISNUMBER(SEARCH('Bad Patterns'!$A$2:$A$120,B5983)),0),0)),""))</f>
        <v/>
      </c>
      <c r="D5983">
        <f>IF(B5983="","",IF(C5983&lt;&gt;"","REMOVE","KEEP"))</f>
        <v/>
      </c>
      <c r="E5983">
        <f>IF(D5983&lt;&gt;"KEEP","",IF(RIGHT(B5983,10)="@gmail.com","Gmail",IF(OR(RIGHT(B5983,12)="@outlook.com",RIGHT(B5983,12)="@hotmail.com",RIGHT(B5983,9)="@live.com"),"Outlook","Domain")))</f>
        <v/>
      </c>
      <c r="F5983">
        <f>IF(B5983="","",IFERROR(RIGHT(B5983,LEN(B5983)-FIND("@",B5983)),""))</f>
        <v/>
      </c>
      <c r="G5983">
        <f>IF(D5983="KEEP",COUNTIF($D$2:D5983,"KEEP"),"")</f>
        <v/>
      </c>
      <c r="H5983">
        <f>IF(D5983="REMOVE",COUNTIF($D$2:D5983,"REMOVE"),"")</f>
        <v/>
      </c>
      <c r="I5983">
        <f>IF(E5983="Gmail",COUNTIF($E$2:E5983,"Gmail"),"")</f>
        <v/>
      </c>
      <c r="J5983">
        <f>IF(E5983="Outlook",COUNTIF($E$2:E5983,"Outlook"),"")</f>
        <v/>
      </c>
      <c r="K5983">
        <f>IF(E5983="Domain",COUNTIF($E$2:E5983,"Domain"),"")</f>
        <v/>
      </c>
    </row>
    <row r="5984">
      <c r="A5984" s="2" t="n"/>
      <c r="B5984">
        <f>LOWER(TRIM(A5984))</f>
        <v/>
      </c>
      <c r="C5984">
        <f>IF(B5984="","",IFERROR(INDEX('Bad Patterns'!$A$2:$A$120,MATCH(1,INDEX(--ISNUMBER(SEARCH('Bad Patterns'!$A$2:$A$120,B5984)),0),0)),""))</f>
        <v/>
      </c>
      <c r="D5984">
        <f>IF(B5984="","",IF(C5984&lt;&gt;"","REMOVE","KEEP"))</f>
        <v/>
      </c>
      <c r="E5984">
        <f>IF(D5984&lt;&gt;"KEEP","",IF(RIGHT(B5984,10)="@gmail.com","Gmail",IF(OR(RIGHT(B5984,12)="@outlook.com",RIGHT(B5984,12)="@hotmail.com",RIGHT(B5984,9)="@live.com"),"Outlook","Domain")))</f>
        <v/>
      </c>
      <c r="F5984">
        <f>IF(B5984="","",IFERROR(RIGHT(B5984,LEN(B5984)-FIND("@",B5984)),""))</f>
        <v/>
      </c>
      <c r="G5984">
        <f>IF(D5984="KEEP",COUNTIF($D$2:D5984,"KEEP"),"")</f>
        <v/>
      </c>
      <c r="H5984">
        <f>IF(D5984="REMOVE",COUNTIF($D$2:D5984,"REMOVE"),"")</f>
        <v/>
      </c>
      <c r="I5984">
        <f>IF(E5984="Gmail",COUNTIF($E$2:E5984,"Gmail"),"")</f>
        <v/>
      </c>
      <c r="J5984">
        <f>IF(E5984="Outlook",COUNTIF($E$2:E5984,"Outlook"),"")</f>
        <v/>
      </c>
      <c r="K5984">
        <f>IF(E5984="Domain",COUNTIF($E$2:E5984,"Domain"),"")</f>
        <v/>
      </c>
    </row>
    <row r="5985">
      <c r="A5985" s="2" t="n"/>
      <c r="B5985">
        <f>LOWER(TRIM(A5985))</f>
        <v/>
      </c>
      <c r="C5985">
        <f>IF(B5985="","",IFERROR(INDEX('Bad Patterns'!$A$2:$A$120,MATCH(1,INDEX(--ISNUMBER(SEARCH('Bad Patterns'!$A$2:$A$120,B5985)),0),0)),""))</f>
        <v/>
      </c>
      <c r="D5985">
        <f>IF(B5985="","",IF(C5985&lt;&gt;"","REMOVE","KEEP"))</f>
        <v/>
      </c>
      <c r="E5985">
        <f>IF(D5985&lt;&gt;"KEEP","",IF(RIGHT(B5985,10)="@gmail.com","Gmail",IF(OR(RIGHT(B5985,12)="@outlook.com",RIGHT(B5985,12)="@hotmail.com",RIGHT(B5985,9)="@live.com"),"Outlook","Domain")))</f>
        <v/>
      </c>
      <c r="F5985">
        <f>IF(B5985="","",IFERROR(RIGHT(B5985,LEN(B5985)-FIND("@",B5985)),""))</f>
        <v/>
      </c>
      <c r="G5985">
        <f>IF(D5985="KEEP",COUNTIF($D$2:D5985,"KEEP"),"")</f>
        <v/>
      </c>
      <c r="H5985">
        <f>IF(D5985="REMOVE",COUNTIF($D$2:D5985,"REMOVE"),"")</f>
        <v/>
      </c>
      <c r="I5985">
        <f>IF(E5985="Gmail",COUNTIF($E$2:E5985,"Gmail"),"")</f>
        <v/>
      </c>
      <c r="J5985">
        <f>IF(E5985="Outlook",COUNTIF($E$2:E5985,"Outlook"),"")</f>
        <v/>
      </c>
      <c r="K5985">
        <f>IF(E5985="Domain",COUNTIF($E$2:E5985,"Domain"),"")</f>
        <v/>
      </c>
    </row>
    <row r="5986">
      <c r="A5986" s="2" t="n"/>
      <c r="B5986">
        <f>LOWER(TRIM(A5986))</f>
        <v/>
      </c>
      <c r="C5986">
        <f>IF(B5986="","",IFERROR(INDEX('Bad Patterns'!$A$2:$A$120,MATCH(1,INDEX(--ISNUMBER(SEARCH('Bad Patterns'!$A$2:$A$120,B5986)),0),0)),""))</f>
        <v/>
      </c>
      <c r="D5986">
        <f>IF(B5986="","",IF(C5986&lt;&gt;"","REMOVE","KEEP"))</f>
        <v/>
      </c>
      <c r="E5986">
        <f>IF(D5986&lt;&gt;"KEEP","",IF(RIGHT(B5986,10)="@gmail.com","Gmail",IF(OR(RIGHT(B5986,12)="@outlook.com",RIGHT(B5986,12)="@hotmail.com",RIGHT(B5986,9)="@live.com"),"Outlook","Domain")))</f>
        <v/>
      </c>
      <c r="F5986">
        <f>IF(B5986="","",IFERROR(RIGHT(B5986,LEN(B5986)-FIND("@",B5986)),""))</f>
        <v/>
      </c>
      <c r="G5986">
        <f>IF(D5986="KEEP",COUNTIF($D$2:D5986,"KEEP"),"")</f>
        <v/>
      </c>
      <c r="H5986">
        <f>IF(D5986="REMOVE",COUNTIF($D$2:D5986,"REMOVE"),"")</f>
        <v/>
      </c>
      <c r="I5986">
        <f>IF(E5986="Gmail",COUNTIF($E$2:E5986,"Gmail"),"")</f>
        <v/>
      </c>
      <c r="J5986">
        <f>IF(E5986="Outlook",COUNTIF($E$2:E5986,"Outlook"),"")</f>
        <v/>
      </c>
      <c r="K5986">
        <f>IF(E5986="Domain",COUNTIF($E$2:E5986,"Domain"),"")</f>
        <v/>
      </c>
    </row>
    <row r="5987">
      <c r="A5987" s="2" t="n"/>
      <c r="B5987">
        <f>LOWER(TRIM(A5987))</f>
        <v/>
      </c>
      <c r="C5987">
        <f>IF(B5987="","",IFERROR(INDEX('Bad Patterns'!$A$2:$A$120,MATCH(1,INDEX(--ISNUMBER(SEARCH('Bad Patterns'!$A$2:$A$120,B5987)),0),0)),""))</f>
        <v/>
      </c>
      <c r="D5987">
        <f>IF(B5987="","",IF(C5987&lt;&gt;"","REMOVE","KEEP"))</f>
        <v/>
      </c>
      <c r="E5987">
        <f>IF(D5987&lt;&gt;"KEEP","",IF(RIGHT(B5987,10)="@gmail.com","Gmail",IF(OR(RIGHT(B5987,12)="@outlook.com",RIGHT(B5987,12)="@hotmail.com",RIGHT(B5987,9)="@live.com"),"Outlook","Domain")))</f>
        <v/>
      </c>
      <c r="F5987">
        <f>IF(B5987="","",IFERROR(RIGHT(B5987,LEN(B5987)-FIND("@",B5987)),""))</f>
        <v/>
      </c>
      <c r="G5987">
        <f>IF(D5987="KEEP",COUNTIF($D$2:D5987,"KEEP"),"")</f>
        <v/>
      </c>
      <c r="H5987">
        <f>IF(D5987="REMOVE",COUNTIF($D$2:D5987,"REMOVE"),"")</f>
        <v/>
      </c>
      <c r="I5987">
        <f>IF(E5987="Gmail",COUNTIF($E$2:E5987,"Gmail"),"")</f>
        <v/>
      </c>
      <c r="J5987">
        <f>IF(E5987="Outlook",COUNTIF($E$2:E5987,"Outlook"),"")</f>
        <v/>
      </c>
      <c r="K5987">
        <f>IF(E5987="Domain",COUNTIF($E$2:E5987,"Domain"),"")</f>
        <v/>
      </c>
    </row>
    <row r="5988">
      <c r="A5988" s="2" t="n"/>
      <c r="B5988">
        <f>LOWER(TRIM(A5988))</f>
        <v/>
      </c>
      <c r="C5988">
        <f>IF(B5988="","",IFERROR(INDEX('Bad Patterns'!$A$2:$A$120,MATCH(1,INDEX(--ISNUMBER(SEARCH('Bad Patterns'!$A$2:$A$120,B5988)),0),0)),""))</f>
        <v/>
      </c>
      <c r="D5988">
        <f>IF(B5988="","",IF(C5988&lt;&gt;"","REMOVE","KEEP"))</f>
        <v/>
      </c>
      <c r="E5988">
        <f>IF(D5988&lt;&gt;"KEEP","",IF(RIGHT(B5988,10)="@gmail.com","Gmail",IF(OR(RIGHT(B5988,12)="@outlook.com",RIGHT(B5988,12)="@hotmail.com",RIGHT(B5988,9)="@live.com"),"Outlook","Domain")))</f>
        <v/>
      </c>
      <c r="F5988">
        <f>IF(B5988="","",IFERROR(RIGHT(B5988,LEN(B5988)-FIND("@",B5988)),""))</f>
        <v/>
      </c>
      <c r="G5988">
        <f>IF(D5988="KEEP",COUNTIF($D$2:D5988,"KEEP"),"")</f>
        <v/>
      </c>
      <c r="H5988">
        <f>IF(D5988="REMOVE",COUNTIF($D$2:D5988,"REMOVE"),"")</f>
        <v/>
      </c>
      <c r="I5988">
        <f>IF(E5988="Gmail",COUNTIF($E$2:E5988,"Gmail"),"")</f>
        <v/>
      </c>
      <c r="J5988">
        <f>IF(E5988="Outlook",COUNTIF($E$2:E5988,"Outlook"),"")</f>
        <v/>
      </c>
      <c r="K5988">
        <f>IF(E5988="Domain",COUNTIF($E$2:E5988,"Domain"),"")</f>
        <v/>
      </c>
    </row>
    <row r="5989">
      <c r="A5989" s="2" t="n"/>
      <c r="B5989">
        <f>LOWER(TRIM(A5989))</f>
        <v/>
      </c>
      <c r="C5989">
        <f>IF(B5989="","",IFERROR(INDEX('Bad Patterns'!$A$2:$A$120,MATCH(1,INDEX(--ISNUMBER(SEARCH('Bad Patterns'!$A$2:$A$120,B5989)),0),0)),""))</f>
        <v/>
      </c>
      <c r="D5989">
        <f>IF(B5989="","",IF(C5989&lt;&gt;"","REMOVE","KEEP"))</f>
        <v/>
      </c>
      <c r="E5989">
        <f>IF(D5989&lt;&gt;"KEEP","",IF(RIGHT(B5989,10)="@gmail.com","Gmail",IF(OR(RIGHT(B5989,12)="@outlook.com",RIGHT(B5989,12)="@hotmail.com",RIGHT(B5989,9)="@live.com"),"Outlook","Domain")))</f>
        <v/>
      </c>
      <c r="F5989">
        <f>IF(B5989="","",IFERROR(RIGHT(B5989,LEN(B5989)-FIND("@",B5989)),""))</f>
        <v/>
      </c>
      <c r="G5989">
        <f>IF(D5989="KEEP",COUNTIF($D$2:D5989,"KEEP"),"")</f>
        <v/>
      </c>
      <c r="H5989">
        <f>IF(D5989="REMOVE",COUNTIF($D$2:D5989,"REMOVE"),"")</f>
        <v/>
      </c>
      <c r="I5989">
        <f>IF(E5989="Gmail",COUNTIF($E$2:E5989,"Gmail"),"")</f>
        <v/>
      </c>
      <c r="J5989">
        <f>IF(E5989="Outlook",COUNTIF($E$2:E5989,"Outlook"),"")</f>
        <v/>
      </c>
      <c r="K5989">
        <f>IF(E5989="Domain",COUNTIF($E$2:E5989,"Domain"),"")</f>
        <v/>
      </c>
    </row>
    <row r="5990">
      <c r="A5990" s="2" t="n"/>
      <c r="B5990">
        <f>LOWER(TRIM(A5990))</f>
        <v/>
      </c>
      <c r="C5990">
        <f>IF(B5990="","",IFERROR(INDEX('Bad Patterns'!$A$2:$A$120,MATCH(1,INDEX(--ISNUMBER(SEARCH('Bad Patterns'!$A$2:$A$120,B5990)),0),0)),""))</f>
        <v/>
      </c>
      <c r="D5990">
        <f>IF(B5990="","",IF(C5990&lt;&gt;"","REMOVE","KEEP"))</f>
        <v/>
      </c>
      <c r="E5990">
        <f>IF(D5990&lt;&gt;"KEEP","",IF(RIGHT(B5990,10)="@gmail.com","Gmail",IF(OR(RIGHT(B5990,12)="@outlook.com",RIGHT(B5990,12)="@hotmail.com",RIGHT(B5990,9)="@live.com"),"Outlook","Domain")))</f>
        <v/>
      </c>
      <c r="F5990">
        <f>IF(B5990="","",IFERROR(RIGHT(B5990,LEN(B5990)-FIND("@",B5990)),""))</f>
        <v/>
      </c>
      <c r="G5990">
        <f>IF(D5990="KEEP",COUNTIF($D$2:D5990,"KEEP"),"")</f>
        <v/>
      </c>
      <c r="H5990">
        <f>IF(D5990="REMOVE",COUNTIF($D$2:D5990,"REMOVE"),"")</f>
        <v/>
      </c>
      <c r="I5990">
        <f>IF(E5990="Gmail",COUNTIF($E$2:E5990,"Gmail"),"")</f>
        <v/>
      </c>
      <c r="J5990">
        <f>IF(E5990="Outlook",COUNTIF($E$2:E5990,"Outlook"),"")</f>
        <v/>
      </c>
      <c r="K5990">
        <f>IF(E5990="Domain",COUNTIF($E$2:E5990,"Domain"),"")</f>
        <v/>
      </c>
    </row>
    <row r="5991">
      <c r="A5991" s="2" t="n"/>
      <c r="B5991">
        <f>LOWER(TRIM(A5991))</f>
        <v/>
      </c>
      <c r="C5991">
        <f>IF(B5991="","",IFERROR(INDEX('Bad Patterns'!$A$2:$A$120,MATCH(1,INDEX(--ISNUMBER(SEARCH('Bad Patterns'!$A$2:$A$120,B5991)),0),0)),""))</f>
        <v/>
      </c>
      <c r="D5991">
        <f>IF(B5991="","",IF(C5991&lt;&gt;"","REMOVE","KEEP"))</f>
        <v/>
      </c>
      <c r="E5991">
        <f>IF(D5991&lt;&gt;"KEEP","",IF(RIGHT(B5991,10)="@gmail.com","Gmail",IF(OR(RIGHT(B5991,12)="@outlook.com",RIGHT(B5991,12)="@hotmail.com",RIGHT(B5991,9)="@live.com"),"Outlook","Domain")))</f>
        <v/>
      </c>
      <c r="F5991">
        <f>IF(B5991="","",IFERROR(RIGHT(B5991,LEN(B5991)-FIND("@",B5991)),""))</f>
        <v/>
      </c>
      <c r="G5991">
        <f>IF(D5991="KEEP",COUNTIF($D$2:D5991,"KEEP"),"")</f>
        <v/>
      </c>
      <c r="H5991">
        <f>IF(D5991="REMOVE",COUNTIF($D$2:D5991,"REMOVE"),"")</f>
        <v/>
      </c>
      <c r="I5991">
        <f>IF(E5991="Gmail",COUNTIF($E$2:E5991,"Gmail"),"")</f>
        <v/>
      </c>
      <c r="J5991">
        <f>IF(E5991="Outlook",COUNTIF($E$2:E5991,"Outlook"),"")</f>
        <v/>
      </c>
      <c r="K5991">
        <f>IF(E5991="Domain",COUNTIF($E$2:E5991,"Domain"),"")</f>
        <v/>
      </c>
    </row>
    <row r="5992">
      <c r="A5992" s="2" t="n"/>
      <c r="B5992">
        <f>LOWER(TRIM(A5992))</f>
        <v/>
      </c>
      <c r="C5992">
        <f>IF(B5992="","",IFERROR(INDEX('Bad Patterns'!$A$2:$A$120,MATCH(1,INDEX(--ISNUMBER(SEARCH('Bad Patterns'!$A$2:$A$120,B5992)),0),0)),""))</f>
        <v/>
      </c>
      <c r="D5992">
        <f>IF(B5992="","",IF(C5992&lt;&gt;"","REMOVE","KEEP"))</f>
        <v/>
      </c>
      <c r="E5992">
        <f>IF(D5992&lt;&gt;"KEEP","",IF(RIGHT(B5992,10)="@gmail.com","Gmail",IF(OR(RIGHT(B5992,12)="@outlook.com",RIGHT(B5992,12)="@hotmail.com",RIGHT(B5992,9)="@live.com"),"Outlook","Domain")))</f>
        <v/>
      </c>
      <c r="F5992">
        <f>IF(B5992="","",IFERROR(RIGHT(B5992,LEN(B5992)-FIND("@",B5992)),""))</f>
        <v/>
      </c>
      <c r="G5992">
        <f>IF(D5992="KEEP",COUNTIF($D$2:D5992,"KEEP"),"")</f>
        <v/>
      </c>
      <c r="H5992">
        <f>IF(D5992="REMOVE",COUNTIF($D$2:D5992,"REMOVE"),"")</f>
        <v/>
      </c>
      <c r="I5992">
        <f>IF(E5992="Gmail",COUNTIF($E$2:E5992,"Gmail"),"")</f>
        <v/>
      </c>
      <c r="J5992">
        <f>IF(E5992="Outlook",COUNTIF($E$2:E5992,"Outlook"),"")</f>
        <v/>
      </c>
      <c r="K5992">
        <f>IF(E5992="Domain",COUNTIF($E$2:E5992,"Domain"),"")</f>
        <v/>
      </c>
    </row>
    <row r="5993">
      <c r="A5993" s="2" t="n"/>
      <c r="B5993">
        <f>LOWER(TRIM(A5993))</f>
        <v/>
      </c>
      <c r="C5993">
        <f>IF(B5993="","",IFERROR(INDEX('Bad Patterns'!$A$2:$A$120,MATCH(1,INDEX(--ISNUMBER(SEARCH('Bad Patterns'!$A$2:$A$120,B5993)),0),0)),""))</f>
        <v/>
      </c>
      <c r="D5993">
        <f>IF(B5993="","",IF(C5993&lt;&gt;"","REMOVE","KEEP"))</f>
        <v/>
      </c>
      <c r="E5993">
        <f>IF(D5993&lt;&gt;"KEEP","",IF(RIGHT(B5993,10)="@gmail.com","Gmail",IF(OR(RIGHT(B5993,12)="@outlook.com",RIGHT(B5993,12)="@hotmail.com",RIGHT(B5993,9)="@live.com"),"Outlook","Domain")))</f>
        <v/>
      </c>
      <c r="F5993">
        <f>IF(B5993="","",IFERROR(RIGHT(B5993,LEN(B5993)-FIND("@",B5993)),""))</f>
        <v/>
      </c>
      <c r="G5993">
        <f>IF(D5993="KEEP",COUNTIF($D$2:D5993,"KEEP"),"")</f>
        <v/>
      </c>
      <c r="H5993">
        <f>IF(D5993="REMOVE",COUNTIF($D$2:D5993,"REMOVE"),"")</f>
        <v/>
      </c>
      <c r="I5993">
        <f>IF(E5993="Gmail",COUNTIF($E$2:E5993,"Gmail"),"")</f>
        <v/>
      </c>
      <c r="J5993">
        <f>IF(E5993="Outlook",COUNTIF($E$2:E5993,"Outlook"),"")</f>
        <v/>
      </c>
      <c r="K5993">
        <f>IF(E5993="Domain",COUNTIF($E$2:E5993,"Domain"),"")</f>
        <v/>
      </c>
    </row>
    <row r="5994">
      <c r="A5994" s="2" t="n"/>
      <c r="B5994">
        <f>LOWER(TRIM(A5994))</f>
        <v/>
      </c>
      <c r="C5994">
        <f>IF(B5994="","",IFERROR(INDEX('Bad Patterns'!$A$2:$A$120,MATCH(1,INDEX(--ISNUMBER(SEARCH('Bad Patterns'!$A$2:$A$120,B5994)),0),0)),""))</f>
        <v/>
      </c>
      <c r="D5994">
        <f>IF(B5994="","",IF(C5994&lt;&gt;"","REMOVE","KEEP"))</f>
        <v/>
      </c>
      <c r="E5994">
        <f>IF(D5994&lt;&gt;"KEEP","",IF(RIGHT(B5994,10)="@gmail.com","Gmail",IF(OR(RIGHT(B5994,12)="@outlook.com",RIGHT(B5994,12)="@hotmail.com",RIGHT(B5994,9)="@live.com"),"Outlook","Domain")))</f>
        <v/>
      </c>
      <c r="F5994">
        <f>IF(B5994="","",IFERROR(RIGHT(B5994,LEN(B5994)-FIND("@",B5994)),""))</f>
        <v/>
      </c>
      <c r="G5994">
        <f>IF(D5994="KEEP",COUNTIF($D$2:D5994,"KEEP"),"")</f>
        <v/>
      </c>
      <c r="H5994">
        <f>IF(D5994="REMOVE",COUNTIF($D$2:D5994,"REMOVE"),"")</f>
        <v/>
      </c>
      <c r="I5994">
        <f>IF(E5994="Gmail",COUNTIF($E$2:E5994,"Gmail"),"")</f>
        <v/>
      </c>
      <c r="J5994">
        <f>IF(E5994="Outlook",COUNTIF($E$2:E5994,"Outlook"),"")</f>
        <v/>
      </c>
      <c r="K5994">
        <f>IF(E5994="Domain",COUNTIF($E$2:E5994,"Domain"),"")</f>
        <v/>
      </c>
    </row>
    <row r="5995">
      <c r="A5995" s="2" t="n"/>
      <c r="B5995">
        <f>LOWER(TRIM(A5995))</f>
        <v/>
      </c>
      <c r="C5995">
        <f>IF(B5995="","",IFERROR(INDEX('Bad Patterns'!$A$2:$A$120,MATCH(1,INDEX(--ISNUMBER(SEARCH('Bad Patterns'!$A$2:$A$120,B5995)),0),0)),""))</f>
        <v/>
      </c>
      <c r="D5995">
        <f>IF(B5995="","",IF(C5995&lt;&gt;"","REMOVE","KEEP"))</f>
        <v/>
      </c>
      <c r="E5995">
        <f>IF(D5995&lt;&gt;"KEEP","",IF(RIGHT(B5995,10)="@gmail.com","Gmail",IF(OR(RIGHT(B5995,12)="@outlook.com",RIGHT(B5995,12)="@hotmail.com",RIGHT(B5995,9)="@live.com"),"Outlook","Domain")))</f>
        <v/>
      </c>
      <c r="F5995">
        <f>IF(B5995="","",IFERROR(RIGHT(B5995,LEN(B5995)-FIND("@",B5995)),""))</f>
        <v/>
      </c>
      <c r="G5995">
        <f>IF(D5995="KEEP",COUNTIF($D$2:D5995,"KEEP"),"")</f>
        <v/>
      </c>
      <c r="H5995">
        <f>IF(D5995="REMOVE",COUNTIF($D$2:D5995,"REMOVE"),"")</f>
        <v/>
      </c>
      <c r="I5995">
        <f>IF(E5995="Gmail",COUNTIF($E$2:E5995,"Gmail"),"")</f>
        <v/>
      </c>
      <c r="J5995">
        <f>IF(E5995="Outlook",COUNTIF($E$2:E5995,"Outlook"),"")</f>
        <v/>
      </c>
      <c r="K5995">
        <f>IF(E5995="Domain",COUNTIF($E$2:E5995,"Domain"),"")</f>
        <v/>
      </c>
    </row>
    <row r="5996">
      <c r="A5996" s="2" t="n"/>
      <c r="B5996">
        <f>LOWER(TRIM(A5996))</f>
        <v/>
      </c>
      <c r="C5996">
        <f>IF(B5996="","",IFERROR(INDEX('Bad Patterns'!$A$2:$A$120,MATCH(1,INDEX(--ISNUMBER(SEARCH('Bad Patterns'!$A$2:$A$120,B5996)),0),0)),""))</f>
        <v/>
      </c>
      <c r="D5996">
        <f>IF(B5996="","",IF(C5996&lt;&gt;"","REMOVE","KEEP"))</f>
        <v/>
      </c>
      <c r="E5996">
        <f>IF(D5996&lt;&gt;"KEEP","",IF(RIGHT(B5996,10)="@gmail.com","Gmail",IF(OR(RIGHT(B5996,12)="@outlook.com",RIGHT(B5996,12)="@hotmail.com",RIGHT(B5996,9)="@live.com"),"Outlook","Domain")))</f>
        <v/>
      </c>
      <c r="F5996">
        <f>IF(B5996="","",IFERROR(RIGHT(B5996,LEN(B5996)-FIND("@",B5996)),""))</f>
        <v/>
      </c>
      <c r="G5996">
        <f>IF(D5996="KEEP",COUNTIF($D$2:D5996,"KEEP"),"")</f>
        <v/>
      </c>
      <c r="H5996">
        <f>IF(D5996="REMOVE",COUNTIF($D$2:D5996,"REMOVE"),"")</f>
        <v/>
      </c>
      <c r="I5996">
        <f>IF(E5996="Gmail",COUNTIF($E$2:E5996,"Gmail"),"")</f>
        <v/>
      </c>
      <c r="J5996">
        <f>IF(E5996="Outlook",COUNTIF($E$2:E5996,"Outlook"),"")</f>
        <v/>
      </c>
      <c r="K5996">
        <f>IF(E5996="Domain",COUNTIF($E$2:E5996,"Domain"),"")</f>
        <v/>
      </c>
    </row>
    <row r="5997">
      <c r="A5997" s="2" t="n"/>
      <c r="B5997">
        <f>LOWER(TRIM(A5997))</f>
        <v/>
      </c>
      <c r="C5997">
        <f>IF(B5997="","",IFERROR(INDEX('Bad Patterns'!$A$2:$A$120,MATCH(1,INDEX(--ISNUMBER(SEARCH('Bad Patterns'!$A$2:$A$120,B5997)),0),0)),""))</f>
        <v/>
      </c>
      <c r="D5997">
        <f>IF(B5997="","",IF(C5997&lt;&gt;"","REMOVE","KEEP"))</f>
        <v/>
      </c>
      <c r="E5997">
        <f>IF(D5997&lt;&gt;"KEEP","",IF(RIGHT(B5997,10)="@gmail.com","Gmail",IF(OR(RIGHT(B5997,12)="@outlook.com",RIGHT(B5997,12)="@hotmail.com",RIGHT(B5997,9)="@live.com"),"Outlook","Domain")))</f>
        <v/>
      </c>
      <c r="F5997">
        <f>IF(B5997="","",IFERROR(RIGHT(B5997,LEN(B5997)-FIND("@",B5997)),""))</f>
        <v/>
      </c>
      <c r="G5997">
        <f>IF(D5997="KEEP",COUNTIF($D$2:D5997,"KEEP"),"")</f>
        <v/>
      </c>
      <c r="H5997">
        <f>IF(D5997="REMOVE",COUNTIF($D$2:D5997,"REMOVE"),"")</f>
        <v/>
      </c>
      <c r="I5997">
        <f>IF(E5997="Gmail",COUNTIF($E$2:E5997,"Gmail"),"")</f>
        <v/>
      </c>
      <c r="J5997">
        <f>IF(E5997="Outlook",COUNTIF($E$2:E5997,"Outlook"),"")</f>
        <v/>
      </c>
      <c r="K5997">
        <f>IF(E5997="Domain",COUNTIF($E$2:E5997,"Domain"),"")</f>
        <v/>
      </c>
    </row>
    <row r="5998">
      <c r="A5998" s="2" t="n"/>
      <c r="B5998">
        <f>LOWER(TRIM(A5998))</f>
        <v/>
      </c>
      <c r="C5998">
        <f>IF(B5998="","",IFERROR(INDEX('Bad Patterns'!$A$2:$A$120,MATCH(1,INDEX(--ISNUMBER(SEARCH('Bad Patterns'!$A$2:$A$120,B5998)),0),0)),""))</f>
        <v/>
      </c>
      <c r="D5998">
        <f>IF(B5998="","",IF(C5998&lt;&gt;"","REMOVE","KEEP"))</f>
        <v/>
      </c>
      <c r="E5998">
        <f>IF(D5998&lt;&gt;"KEEP","",IF(RIGHT(B5998,10)="@gmail.com","Gmail",IF(OR(RIGHT(B5998,12)="@outlook.com",RIGHT(B5998,12)="@hotmail.com",RIGHT(B5998,9)="@live.com"),"Outlook","Domain")))</f>
        <v/>
      </c>
      <c r="F5998">
        <f>IF(B5998="","",IFERROR(RIGHT(B5998,LEN(B5998)-FIND("@",B5998)),""))</f>
        <v/>
      </c>
      <c r="G5998">
        <f>IF(D5998="KEEP",COUNTIF($D$2:D5998,"KEEP"),"")</f>
        <v/>
      </c>
      <c r="H5998">
        <f>IF(D5998="REMOVE",COUNTIF($D$2:D5998,"REMOVE"),"")</f>
        <v/>
      </c>
      <c r="I5998">
        <f>IF(E5998="Gmail",COUNTIF($E$2:E5998,"Gmail"),"")</f>
        <v/>
      </c>
      <c r="J5998">
        <f>IF(E5998="Outlook",COUNTIF($E$2:E5998,"Outlook"),"")</f>
        <v/>
      </c>
      <c r="K5998">
        <f>IF(E5998="Domain",COUNTIF($E$2:E5998,"Domain"),"")</f>
        <v/>
      </c>
    </row>
    <row r="5999">
      <c r="A5999" s="2" t="n"/>
      <c r="B5999">
        <f>LOWER(TRIM(A5999))</f>
        <v/>
      </c>
      <c r="C5999">
        <f>IF(B5999="","",IFERROR(INDEX('Bad Patterns'!$A$2:$A$120,MATCH(1,INDEX(--ISNUMBER(SEARCH('Bad Patterns'!$A$2:$A$120,B5999)),0),0)),""))</f>
        <v/>
      </c>
      <c r="D5999">
        <f>IF(B5999="","",IF(C5999&lt;&gt;"","REMOVE","KEEP"))</f>
        <v/>
      </c>
      <c r="E5999">
        <f>IF(D5999&lt;&gt;"KEEP","",IF(RIGHT(B5999,10)="@gmail.com","Gmail",IF(OR(RIGHT(B5999,12)="@outlook.com",RIGHT(B5999,12)="@hotmail.com",RIGHT(B5999,9)="@live.com"),"Outlook","Domain")))</f>
        <v/>
      </c>
      <c r="F5999">
        <f>IF(B5999="","",IFERROR(RIGHT(B5999,LEN(B5999)-FIND("@",B5999)),""))</f>
        <v/>
      </c>
      <c r="G5999">
        <f>IF(D5999="KEEP",COUNTIF($D$2:D5999,"KEEP"),"")</f>
        <v/>
      </c>
      <c r="H5999">
        <f>IF(D5999="REMOVE",COUNTIF($D$2:D5999,"REMOVE"),"")</f>
        <v/>
      </c>
      <c r="I5999">
        <f>IF(E5999="Gmail",COUNTIF($E$2:E5999,"Gmail"),"")</f>
        <v/>
      </c>
      <c r="J5999">
        <f>IF(E5999="Outlook",COUNTIF($E$2:E5999,"Outlook"),"")</f>
        <v/>
      </c>
      <c r="K5999">
        <f>IF(E5999="Domain",COUNTIF($E$2:E5999,"Domain"),"")</f>
        <v/>
      </c>
    </row>
    <row r="6000">
      <c r="A6000" s="2" t="n"/>
      <c r="B6000">
        <f>LOWER(TRIM(A6000))</f>
        <v/>
      </c>
      <c r="C6000">
        <f>IF(B6000="","",IFERROR(INDEX('Bad Patterns'!$A$2:$A$120,MATCH(1,INDEX(--ISNUMBER(SEARCH('Bad Patterns'!$A$2:$A$120,B6000)),0),0)),""))</f>
        <v/>
      </c>
      <c r="D6000">
        <f>IF(B6000="","",IF(C6000&lt;&gt;"","REMOVE","KEEP"))</f>
        <v/>
      </c>
      <c r="E6000">
        <f>IF(D6000&lt;&gt;"KEEP","",IF(RIGHT(B6000,10)="@gmail.com","Gmail",IF(OR(RIGHT(B6000,12)="@outlook.com",RIGHT(B6000,12)="@hotmail.com",RIGHT(B6000,9)="@live.com"),"Outlook","Domain")))</f>
        <v/>
      </c>
      <c r="F6000">
        <f>IF(B6000="","",IFERROR(RIGHT(B6000,LEN(B6000)-FIND("@",B6000)),""))</f>
        <v/>
      </c>
      <c r="G6000">
        <f>IF(D6000="KEEP",COUNTIF($D$2:D6000,"KEEP"),"")</f>
        <v/>
      </c>
      <c r="H6000">
        <f>IF(D6000="REMOVE",COUNTIF($D$2:D6000,"REMOVE"),"")</f>
        <v/>
      </c>
      <c r="I6000">
        <f>IF(E6000="Gmail",COUNTIF($E$2:E6000,"Gmail"),"")</f>
        <v/>
      </c>
      <c r="J6000">
        <f>IF(E6000="Outlook",COUNTIF($E$2:E6000,"Outlook"),"")</f>
        <v/>
      </c>
      <c r="K6000">
        <f>IF(E6000="Domain",COUNTIF($E$2:E6000,"Domain"),"")</f>
        <v/>
      </c>
    </row>
    <row r="6001">
      <c r="A6001" s="2" t="n"/>
      <c r="B6001">
        <f>LOWER(TRIM(A6001))</f>
        <v/>
      </c>
      <c r="C6001">
        <f>IF(B6001="","",IFERROR(INDEX('Bad Patterns'!$A$2:$A$120,MATCH(1,INDEX(--ISNUMBER(SEARCH('Bad Patterns'!$A$2:$A$120,B6001)),0),0)),""))</f>
        <v/>
      </c>
      <c r="D6001">
        <f>IF(B6001="","",IF(C6001&lt;&gt;"","REMOVE","KEEP"))</f>
        <v/>
      </c>
      <c r="E6001">
        <f>IF(D6001&lt;&gt;"KEEP","",IF(RIGHT(B6001,10)="@gmail.com","Gmail",IF(OR(RIGHT(B6001,12)="@outlook.com",RIGHT(B6001,12)="@hotmail.com",RIGHT(B6001,9)="@live.com"),"Outlook","Domain")))</f>
        <v/>
      </c>
      <c r="F6001">
        <f>IF(B6001="","",IFERROR(RIGHT(B6001,LEN(B6001)-FIND("@",B6001)),""))</f>
        <v/>
      </c>
      <c r="G6001">
        <f>IF(D6001="KEEP",COUNTIF($D$2:D6001,"KEEP"),"")</f>
        <v/>
      </c>
      <c r="H6001">
        <f>IF(D6001="REMOVE",COUNTIF($D$2:D6001,"REMOVE"),"")</f>
        <v/>
      </c>
      <c r="I6001">
        <f>IF(E6001="Gmail",COUNTIF($E$2:E6001,"Gmail"),"")</f>
        <v/>
      </c>
      <c r="J6001">
        <f>IF(E6001="Outlook",COUNTIF($E$2:E6001,"Outlook"),"")</f>
        <v/>
      </c>
      <c r="K6001">
        <f>IF(E6001="Domain",COUNTIF($E$2:E6001,"Domain"),"")</f>
        <v/>
      </c>
    </row>
    <row r="6002">
      <c r="A6002" s="2" t="n"/>
      <c r="B6002">
        <f>LOWER(TRIM(A6002))</f>
        <v/>
      </c>
      <c r="C6002">
        <f>IF(B6002="","",IFERROR(INDEX('Bad Patterns'!$A$2:$A$120,MATCH(1,INDEX(--ISNUMBER(SEARCH('Bad Patterns'!$A$2:$A$120,B6002)),0),0)),""))</f>
        <v/>
      </c>
      <c r="D6002">
        <f>IF(B6002="","",IF(C6002&lt;&gt;"","REMOVE","KEEP"))</f>
        <v/>
      </c>
      <c r="E6002">
        <f>IF(D6002&lt;&gt;"KEEP","",IF(RIGHT(B6002,10)="@gmail.com","Gmail",IF(OR(RIGHT(B6002,12)="@outlook.com",RIGHT(B6002,12)="@hotmail.com",RIGHT(B6002,9)="@live.com"),"Outlook","Domain")))</f>
        <v/>
      </c>
      <c r="F6002">
        <f>IF(B6002="","",IFERROR(RIGHT(B6002,LEN(B6002)-FIND("@",B6002)),""))</f>
        <v/>
      </c>
      <c r="G6002">
        <f>IF(D6002="KEEP",COUNTIF($D$2:D6002,"KEEP"),"")</f>
        <v/>
      </c>
      <c r="H6002">
        <f>IF(D6002="REMOVE",COUNTIF($D$2:D6002,"REMOVE"),"")</f>
        <v/>
      </c>
      <c r="I6002">
        <f>IF(E6002="Gmail",COUNTIF($E$2:E6002,"Gmail"),"")</f>
        <v/>
      </c>
      <c r="J6002">
        <f>IF(E6002="Outlook",COUNTIF($E$2:E6002,"Outlook"),"")</f>
        <v/>
      </c>
      <c r="K6002">
        <f>IF(E6002="Domain",COUNTIF($E$2:E6002,"Domain"),"")</f>
        <v/>
      </c>
    </row>
    <row r="6003">
      <c r="A6003" s="2" t="n"/>
      <c r="B6003">
        <f>LOWER(TRIM(A6003))</f>
        <v/>
      </c>
      <c r="C6003">
        <f>IF(B6003="","",IFERROR(INDEX('Bad Patterns'!$A$2:$A$120,MATCH(1,INDEX(--ISNUMBER(SEARCH('Bad Patterns'!$A$2:$A$120,B6003)),0),0)),""))</f>
        <v/>
      </c>
      <c r="D6003">
        <f>IF(B6003="","",IF(C6003&lt;&gt;"","REMOVE","KEEP"))</f>
        <v/>
      </c>
      <c r="E6003">
        <f>IF(D6003&lt;&gt;"KEEP","",IF(RIGHT(B6003,10)="@gmail.com","Gmail",IF(OR(RIGHT(B6003,12)="@outlook.com",RIGHT(B6003,12)="@hotmail.com",RIGHT(B6003,9)="@live.com"),"Outlook","Domain")))</f>
        <v/>
      </c>
      <c r="F6003">
        <f>IF(B6003="","",IFERROR(RIGHT(B6003,LEN(B6003)-FIND("@",B6003)),""))</f>
        <v/>
      </c>
      <c r="G6003">
        <f>IF(D6003="KEEP",COUNTIF($D$2:D6003,"KEEP"),"")</f>
        <v/>
      </c>
      <c r="H6003">
        <f>IF(D6003="REMOVE",COUNTIF($D$2:D6003,"REMOVE"),"")</f>
        <v/>
      </c>
      <c r="I6003">
        <f>IF(E6003="Gmail",COUNTIF($E$2:E6003,"Gmail"),"")</f>
        <v/>
      </c>
      <c r="J6003">
        <f>IF(E6003="Outlook",COUNTIF($E$2:E6003,"Outlook"),"")</f>
        <v/>
      </c>
      <c r="K6003">
        <f>IF(E6003="Domain",COUNTIF($E$2:E6003,"Domain"),"")</f>
        <v/>
      </c>
    </row>
    <row r="6004">
      <c r="A6004" s="2" t="n"/>
      <c r="B6004">
        <f>LOWER(TRIM(A6004))</f>
        <v/>
      </c>
      <c r="C6004">
        <f>IF(B6004="","",IFERROR(INDEX('Bad Patterns'!$A$2:$A$120,MATCH(1,INDEX(--ISNUMBER(SEARCH('Bad Patterns'!$A$2:$A$120,B6004)),0),0)),""))</f>
        <v/>
      </c>
      <c r="D6004">
        <f>IF(B6004="","",IF(C6004&lt;&gt;"","REMOVE","KEEP"))</f>
        <v/>
      </c>
      <c r="E6004">
        <f>IF(D6004&lt;&gt;"KEEP","",IF(RIGHT(B6004,10)="@gmail.com","Gmail",IF(OR(RIGHT(B6004,12)="@outlook.com",RIGHT(B6004,12)="@hotmail.com",RIGHT(B6004,9)="@live.com"),"Outlook","Domain")))</f>
        <v/>
      </c>
      <c r="F6004">
        <f>IF(B6004="","",IFERROR(RIGHT(B6004,LEN(B6004)-FIND("@",B6004)),""))</f>
        <v/>
      </c>
      <c r="G6004">
        <f>IF(D6004="KEEP",COUNTIF($D$2:D6004,"KEEP"),"")</f>
        <v/>
      </c>
      <c r="H6004">
        <f>IF(D6004="REMOVE",COUNTIF($D$2:D6004,"REMOVE"),"")</f>
        <v/>
      </c>
      <c r="I6004">
        <f>IF(E6004="Gmail",COUNTIF($E$2:E6004,"Gmail"),"")</f>
        <v/>
      </c>
      <c r="J6004">
        <f>IF(E6004="Outlook",COUNTIF($E$2:E6004,"Outlook"),"")</f>
        <v/>
      </c>
      <c r="K6004">
        <f>IF(E6004="Domain",COUNTIF($E$2:E6004,"Domain"),"")</f>
        <v/>
      </c>
    </row>
    <row r="6005">
      <c r="A6005" s="2" t="n"/>
      <c r="B6005">
        <f>LOWER(TRIM(A6005))</f>
        <v/>
      </c>
      <c r="C6005">
        <f>IF(B6005="","",IFERROR(INDEX('Bad Patterns'!$A$2:$A$120,MATCH(1,INDEX(--ISNUMBER(SEARCH('Bad Patterns'!$A$2:$A$120,B6005)),0),0)),""))</f>
        <v/>
      </c>
      <c r="D6005">
        <f>IF(B6005="","",IF(C6005&lt;&gt;"","REMOVE","KEEP"))</f>
        <v/>
      </c>
      <c r="E6005">
        <f>IF(D6005&lt;&gt;"KEEP","",IF(RIGHT(B6005,10)="@gmail.com","Gmail",IF(OR(RIGHT(B6005,12)="@outlook.com",RIGHT(B6005,12)="@hotmail.com",RIGHT(B6005,9)="@live.com"),"Outlook","Domain")))</f>
        <v/>
      </c>
      <c r="F6005">
        <f>IF(B6005="","",IFERROR(RIGHT(B6005,LEN(B6005)-FIND("@",B6005)),""))</f>
        <v/>
      </c>
      <c r="G6005">
        <f>IF(D6005="KEEP",COUNTIF($D$2:D6005,"KEEP"),"")</f>
        <v/>
      </c>
      <c r="H6005">
        <f>IF(D6005="REMOVE",COUNTIF($D$2:D6005,"REMOVE"),"")</f>
        <v/>
      </c>
      <c r="I6005">
        <f>IF(E6005="Gmail",COUNTIF($E$2:E6005,"Gmail"),"")</f>
        <v/>
      </c>
      <c r="J6005">
        <f>IF(E6005="Outlook",COUNTIF($E$2:E6005,"Outlook"),"")</f>
        <v/>
      </c>
      <c r="K6005">
        <f>IF(E6005="Domain",COUNTIF($E$2:E6005,"Domain"),"")</f>
        <v/>
      </c>
    </row>
    <row r="6006">
      <c r="A6006" s="2" t="n"/>
      <c r="B6006">
        <f>LOWER(TRIM(A6006))</f>
        <v/>
      </c>
      <c r="C6006">
        <f>IF(B6006="","",IFERROR(INDEX('Bad Patterns'!$A$2:$A$120,MATCH(1,INDEX(--ISNUMBER(SEARCH('Bad Patterns'!$A$2:$A$120,B6006)),0),0)),""))</f>
        <v/>
      </c>
      <c r="D6006">
        <f>IF(B6006="","",IF(C6006&lt;&gt;"","REMOVE","KEEP"))</f>
        <v/>
      </c>
      <c r="E6006">
        <f>IF(D6006&lt;&gt;"KEEP","",IF(RIGHT(B6006,10)="@gmail.com","Gmail",IF(OR(RIGHT(B6006,12)="@outlook.com",RIGHT(B6006,12)="@hotmail.com",RIGHT(B6006,9)="@live.com"),"Outlook","Domain")))</f>
        <v/>
      </c>
      <c r="F6006">
        <f>IF(B6006="","",IFERROR(RIGHT(B6006,LEN(B6006)-FIND("@",B6006)),""))</f>
        <v/>
      </c>
      <c r="G6006">
        <f>IF(D6006="KEEP",COUNTIF($D$2:D6006,"KEEP"),"")</f>
        <v/>
      </c>
      <c r="H6006">
        <f>IF(D6006="REMOVE",COUNTIF($D$2:D6006,"REMOVE"),"")</f>
        <v/>
      </c>
      <c r="I6006">
        <f>IF(E6006="Gmail",COUNTIF($E$2:E6006,"Gmail"),"")</f>
        <v/>
      </c>
      <c r="J6006">
        <f>IF(E6006="Outlook",COUNTIF($E$2:E6006,"Outlook"),"")</f>
        <v/>
      </c>
      <c r="K6006">
        <f>IF(E6006="Domain",COUNTIF($E$2:E6006,"Domain"),"")</f>
        <v/>
      </c>
    </row>
    <row r="6007">
      <c r="A6007" s="2" t="n"/>
      <c r="B6007">
        <f>LOWER(TRIM(A6007))</f>
        <v/>
      </c>
      <c r="C6007">
        <f>IF(B6007="","",IFERROR(INDEX('Bad Patterns'!$A$2:$A$120,MATCH(1,INDEX(--ISNUMBER(SEARCH('Bad Patterns'!$A$2:$A$120,B6007)),0),0)),""))</f>
        <v/>
      </c>
      <c r="D6007">
        <f>IF(B6007="","",IF(C6007&lt;&gt;"","REMOVE","KEEP"))</f>
        <v/>
      </c>
      <c r="E6007">
        <f>IF(D6007&lt;&gt;"KEEP","",IF(RIGHT(B6007,10)="@gmail.com","Gmail",IF(OR(RIGHT(B6007,12)="@outlook.com",RIGHT(B6007,12)="@hotmail.com",RIGHT(B6007,9)="@live.com"),"Outlook","Domain")))</f>
        <v/>
      </c>
      <c r="F6007">
        <f>IF(B6007="","",IFERROR(RIGHT(B6007,LEN(B6007)-FIND("@",B6007)),""))</f>
        <v/>
      </c>
      <c r="G6007">
        <f>IF(D6007="KEEP",COUNTIF($D$2:D6007,"KEEP"),"")</f>
        <v/>
      </c>
      <c r="H6007">
        <f>IF(D6007="REMOVE",COUNTIF($D$2:D6007,"REMOVE"),"")</f>
        <v/>
      </c>
      <c r="I6007">
        <f>IF(E6007="Gmail",COUNTIF($E$2:E6007,"Gmail"),"")</f>
        <v/>
      </c>
      <c r="J6007">
        <f>IF(E6007="Outlook",COUNTIF($E$2:E6007,"Outlook"),"")</f>
        <v/>
      </c>
      <c r="K6007">
        <f>IF(E6007="Domain",COUNTIF($E$2:E6007,"Domain"),"")</f>
        <v/>
      </c>
    </row>
    <row r="6008">
      <c r="A6008" s="2" t="n"/>
      <c r="B6008">
        <f>LOWER(TRIM(A6008))</f>
        <v/>
      </c>
      <c r="C6008">
        <f>IF(B6008="","",IFERROR(INDEX('Bad Patterns'!$A$2:$A$120,MATCH(1,INDEX(--ISNUMBER(SEARCH('Bad Patterns'!$A$2:$A$120,B6008)),0),0)),""))</f>
        <v/>
      </c>
      <c r="D6008">
        <f>IF(B6008="","",IF(C6008&lt;&gt;"","REMOVE","KEEP"))</f>
        <v/>
      </c>
      <c r="E6008">
        <f>IF(D6008&lt;&gt;"KEEP","",IF(RIGHT(B6008,10)="@gmail.com","Gmail",IF(OR(RIGHT(B6008,12)="@outlook.com",RIGHT(B6008,12)="@hotmail.com",RIGHT(B6008,9)="@live.com"),"Outlook","Domain")))</f>
        <v/>
      </c>
      <c r="F6008">
        <f>IF(B6008="","",IFERROR(RIGHT(B6008,LEN(B6008)-FIND("@",B6008)),""))</f>
        <v/>
      </c>
      <c r="G6008">
        <f>IF(D6008="KEEP",COUNTIF($D$2:D6008,"KEEP"),"")</f>
        <v/>
      </c>
      <c r="H6008">
        <f>IF(D6008="REMOVE",COUNTIF($D$2:D6008,"REMOVE"),"")</f>
        <v/>
      </c>
      <c r="I6008">
        <f>IF(E6008="Gmail",COUNTIF($E$2:E6008,"Gmail"),"")</f>
        <v/>
      </c>
      <c r="J6008">
        <f>IF(E6008="Outlook",COUNTIF($E$2:E6008,"Outlook"),"")</f>
        <v/>
      </c>
      <c r="K6008">
        <f>IF(E6008="Domain",COUNTIF($E$2:E6008,"Domain"),"")</f>
        <v/>
      </c>
    </row>
    <row r="6009">
      <c r="A6009" s="2" t="n"/>
      <c r="B6009">
        <f>LOWER(TRIM(A6009))</f>
        <v/>
      </c>
      <c r="C6009">
        <f>IF(B6009="","",IFERROR(INDEX('Bad Patterns'!$A$2:$A$120,MATCH(1,INDEX(--ISNUMBER(SEARCH('Bad Patterns'!$A$2:$A$120,B6009)),0),0)),""))</f>
        <v/>
      </c>
      <c r="D6009">
        <f>IF(B6009="","",IF(C6009&lt;&gt;"","REMOVE","KEEP"))</f>
        <v/>
      </c>
      <c r="E6009">
        <f>IF(D6009&lt;&gt;"KEEP","",IF(RIGHT(B6009,10)="@gmail.com","Gmail",IF(OR(RIGHT(B6009,12)="@outlook.com",RIGHT(B6009,12)="@hotmail.com",RIGHT(B6009,9)="@live.com"),"Outlook","Domain")))</f>
        <v/>
      </c>
      <c r="F6009">
        <f>IF(B6009="","",IFERROR(RIGHT(B6009,LEN(B6009)-FIND("@",B6009)),""))</f>
        <v/>
      </c>
      <c r="G6009">
        <f>IF(D6009="KEEP",COUNTIF($D$2:D6009,"KEEP"),"")</f>
        <v/>
      </c>
      <c r="H6009">
        <f>IF(D6009="REMOVE",COUNTIF($D$2:D6009,"REMOVE"),"")</f>
        <v/>
      </c>
      <c r="I6009">
        <f>IF(E6009="Gmail",COUNTIF($E$2:E6009,"Gmail"),"")</f>
        <v/>
      </c>
      <c r="J6009">
        <f>IF(E6009="Outlook",COUNTIF($E$2:E6009,"Outlook"),"")</f>
        <v/>
      </c>
      <c r="K6009">
        <f>IF(E6009="Domain",COUNTIF($E$2:E6009,"Domain"),"")</f>
        <v/>
      </c>
    </row>
    <row r="6010">
      <c r="A6010" s="2" t="n"/>
      <c r="B6010">
        <f>LOWER(TRIM(A6010))</f>
        <v/>
      </c>
      <c r="C6010">
        <f>IF(B6010="","",IFERROR(INDEX('Bad Patterns'!$A$2:$A$120,MATCH(1,INDEX(--ISNUMBER(SEARCH('Bad Patterns'!$A$2:$A$120,B6010)),0),0)),""))</f>
        <v/>
      </c>
      <c r="D6010">
        <f>IF(B6010="","",IF(C6010&lt;&gt;"","REMOVE","KEEP"))</f>
        <v/>
      </c>
      <c r="E6010">
        <f>IF(D6010&lt;&gt;"KEEP","",IF(RIGHT(B6010,10)="@gmail.com","Gmail",IF(OR(RIGHT(B6010,12)="@outlook.com",RIGHT(B6010,12)="@hotmail.com",RIGHT(B6010,9)="@live.com"),"Outlook","Domain")))</f>
        <v/>
      </c>
      <c r="F6010">
        <f>IF(B6010="","",IFERROR(RIGHT(B6010,LEN(B6010)-FIND("@",B6010)),""))</f>
        <v/>
      </c>
      <c r="G6010">
        <f>IF(D6010="KEEP",COUNTIF($D$2:D6010,"KEEP"),"")</f>
        <v/>
      </c>
      <c r="H6010">
        <f>IF(D6010="REMOVE",COUNTIF($D$2:D6010,"REMOVE"),"")</f>
        <v/>
      </c>
      <c r="I6010">
        <f>IF(E6010="Gmail",COUNTIF($E$2:E6010,"Gmail"),"")</f>
        <v/>
      </c>
      <c r="J6010">
        <f>IF(E6010="Outlook",COUNTIF($E$2:E6010,"Outlook"),"")</f>
        <v/>
      </c>
      <c r="K6010">
        <f>IF(E6010="Domain",COUNTIF($E$2:E6010,"Domain"),"")</f>
        <v/>
      </c>
    </row>
    <row r="6011">
      <c r="A6011" s="2" t="n"/>
      <c r="B6011">
        <f>LOWER(TRIM(A6011))</f>
        <v/>
      </c>
      <c r="C6011">
        <f>IF(B6011="","",IFERROR(INDEX('Bad Patterns'!$A$2:$A$120,MATCH(1,INDEX(--ISNUMBER(SEARCH('Bad Patterns'!$A$2:$A$120,B6011)),0),0)),""))</f>
        <v/>
      </c>
      <c r="D6011">
        <f>IF(B6011="","",IF(C6011&lt;&gt;"","REMOVE","KEEP"))</f>
        <v/>
      </c>
      <c r="E6011">
        <f>IF(D6011&lt;&gt;"KEEP","",IF(RIGHT(B6011,10)="@gmail.com","Gmail",IF(OR(RIGHT(B6011,12)="@outlook.com",RIGHT(B6011,12)="@hotmail.com",RIGHT(B6011,9)="@live.com"),"Outlook","Domain")))</f>
        <v/>
      </c>
      <c r="F6011">
        <f>IF(B6011="","",IFERROR(RIGHT(B6011,LEN(B6011)-FIND("@",B6011)),""))</f>
        <v/>
      </c>
      <c r="G6011">
        <f>IF(D6011="KEEP",COUNTIF($D$2:D6011,"KEEP"),"")</f>
        <v/>
      </c>
      <c r="H6011">
        <f>IF(D6011="REMOVE",COUNTIF($D$2:D6011,"REMOVE"),"")</f>
        <v/>
      </c>
      <c r="I6011">
        <f>IF(E6011="Gmail",COUNTIF($E$2:E6011,"Gmail"),"")</f>
        <v/>
      </c>
      <c r="J6011">
        <f>IF(E6011="Outlook",COUNTIF($E$2:E6011,"Outlook"),"")</f>
        <v/>
      </c>
      <c r="K6011">
        <f>IF(E6011="Domain",COUNTIF($E$2:E6011,"Domain"),"")</f>
        <v/>
      </c>
    </row>
    <row r="6012">
      <c r="A6012" s="2" t="n"/>
      <c r="B6012">
        <f>LOWER(TRIM(A6012))</f>
        <v/>
      </c>
      <c r="C6012">
        <f>IF(B6012="","",IFERROR(INDEX('Bad Patterns'!$A$2:$A$120,MATCH(1,INDEX(--ISNUMBER(SEARCH('Bad Patterns'!$A$2:$A$120,B6012)),0),0)),""))</f>
        <v/>
      </c>
      <c r="D6012">
        <f>IF(B6012="","",IF(C6012&lt;&gt;"","REMOVE","KEEP"))</f>
        <v/>
      </c>
      <c r="E6012">
        <f>IF(D6012&lt;&gt;"KEEP","",IF(RIGHT(B6012,10)="@gmail.com","Gmail",IF(OR(RIGHT(B6012,12)="@outlook.com",RIGHT(B6012,12)="@hotmail.com",RIGHT(B6012,9)="@live.com"),"Outlook","Domain")))</f>
        <v/>
      </c>
      <c r="F6012">
        <f>IF(B6012="","",IFERROR(RIGHT(B6012,LEN(B6012)-FIND("@",B6012)),""))</f>
        <v/>
      </c>
      <c r="G6012">
        <f>IF(D6012="KEEP",COUNTIF($D$2:D6012,"KEEP"),"")</f>
        <v/>
      </c>
      <c r="H6012">
        <f>IF(D6012="REMOVE",COUNTIF($D$2:D6012,"REMOVE"),"")</f>
        <v/>
      </c>
      <c r="I6012">
        <f>IF(E6012="Gmail",COUNTIF($E$2:E6012,"Gmail"),"")</f>
        <v/>
      </c>
      <c r="J6012">
        <f>IF(E6012="Outlook",COUNTIF($E$2:E6012,"Outlook"),"")</f>
        <v/>
      </c>
      <c r="K6012">
        <f>IF(E6012="Domain",COUNTIF($E$2:E6012,"Domain"),"")</f>
        <v/>
      </c>
    </row>
    <row r="6013">
      <c r="A6013" s="2" t="n"/>
      <c r="B6013">
        <f>LOWER(TRIM(A6013))</f>
        <v/>
      </c>
      <c r="C6013">
        <f>IF(B6013="","",IFERROR(INDEX('Bad Patterns'!$A$2:$A$120,MATCH(1,INDEX(--ISNUMBER(SEARCH('Bad Patterns'!$A$2:$A$120,B6013)),0),0)),""))</f>
        <v/>
      </c>
      <c r="D6013">
        <f>IF(B6013="","",IF(C6013&lt;&gt;"","REMOVE","KEEP"))</f>
        <v/>
      </c>
      <c r="E6013">
        <f>IF(D6013&lt;&gt;"KEEP","",IF(RIGHT(B6013,10)="@gmail.com","Gmail",IF(OR(RIGHT(B6013,12)="@outlook.com",RIGHT(B6013,12)="@hotmail.com",RIGHT(B6013,9)="@live.com"),"Outlook","Domain")))</f>
        <v/>
      </c>
      <c r="F6013">
        <f>IF(B6013="","",IFERROR(RIGHT(B6013,LEN(B6013)-FIND("@",B6013)),""))</f>
        <v/>
      </c>
      <c r="G6013">
        <f>IF(D6013="KEEP",COUNTIF($D$2:D6013,"KEEP"),"")</f>
        <v/>
      </c>
      <c r="H6013">
        <f>IF(D6013="REMOVE",COUNTIF($D$2:D6013,"REMOVE"),"")</f>
        <v/>
      </c>
      <c r="I6013">
        <f>IF(E6013="Gmail",COUNTIF($E$2:E6013,"Gmail"),"")</f>
        <v/>
      </c>
      <c r="J6013">
        <f>IF(E6013="Outlook",COUNTIF($E$2:E6013,"Outlook"),"")</f>
        <v/>
      </c>
      <c r="K6013">
        <f>IF(E6013="Domain",COUNTIF($E$2:E6013,"Domain"),"")</f>
        <v/>
      </c>
    </row>
    <row r="6014">
      <c r="A6014" s="2" t="n"/>
      <c r="B6014">
        <f>LOWER(TRIM(A6014))</f>
        <v/>
      </c>
      <c r="C6014">
        <f>IF(B6014="","",IFERROR(INDEX('Bad Patterns'!$A$2:$A$120,MATCH(1,INDEX(--ISNUMBER(SEARCH('Bad Patterns'!$A$2:$A$120,B6014)),0),0)),""))</f>
        <v/>
      </c>
      <c r="D6014">
        <f>IF(B6014="","",IF(C6014&lt;&gt;"","REMOVE","KEEP"))</f>
        <v/>
      </c>
      <c r="E6014">
        <f>IF(D6014&lt;&gt;"KEEP","",IF(RIGHT(B6014,10)="@gmail.com","Gmail",IF(OR(RIGHT(B6014,12)="@outlook.com",RIGHT(B6014,12)="@hotmail.com",RIGHT(B6014,9)="@live.com"),"Outlook","Domain")))</f>
        <v/>
      </c>
      <c r="F6014">
        <f>IF(B6014="","",IFERROR(RIGHT(B6014,LEN(B6014)-FIND("@",B6014)),""))</f>
        <v/>
      </c>
      <c r="G6014">
        <f>IF(D6014="KEEP",COUNTIF($D$2:D6014,"KEEP"),"")</f>
        <v/>
      </c>
      <c r="H6014">
        <f>IF(D6014="REMOVE",COUNTIF($D$2:D6014,"REMOVE"),"")</f>
        <v/>
      </c>
      <c r="I6014">
        <f>IF(E6014="Gmail",COUNTIF($E$2:E6014,"Gmail"),"")</f>
        <v/>
      </c>
      <c r="J6014">
        <f>IF(E6014="Outlook",COUNTIF($E$2:E6014,"Outlook"),"")</f>
        <v/>
      </c>
      <c r="K6014">
        <f>IF(E6014="Domain",COUNTIF($E$2:E6014,"Domain"),"")</f>
        <v/>
      </c>
    </row>
    <row r="6015">
      <c r="A6015" s="2" t="n"/>
      <c r="B6015">
        <f>LOWER(TRIM(A6015))</f>
        <v/>
      </c>
      <c r="C6015">
        <f>IF(B6015="","",IFERROR(INDEX('Bad Patterns'!$A$2:$A$120,MATCH(1,INDEX(--ISNUMBER(SEARCH('Bad Patterns'!$A$2:$A$120,B6015)),0),0)),""))</f>
        <v/>
      </c>
      <c r="D6015">
        <f>IF(B6015="","",IF(C6015&lt;&gt;"","REMOVE","KEEP"))</f>
        <v/>
      </c>
      <c r="E6015">
        <f>IF(D6015&lt;&gt;"KEEP","",IF(RIGHT(B6015,10)="@gmail.com","Gmail",IF(OR(RIGHT(B6015,12)="@outlook.com",RIGHT(B6015,12)="@hotmail.com",RIGHT(B6015,9)="@live.com"),"Outlook","Domain")))</f>
        <v/>
      </c>
      <c r="F6015">
        <f>IF(B6015="","",IFERROR(RIGHT(B6015,LEN(B6015)-FIND("@",B6015)),""))</f>
        <v/>
      </c>
      <c r="G6015">
        <f>IF(D6015="KEEP",COUNTIF($D$2:D6015,"KEEP"),"")</f>
        <v/>
      </c>
      <c r="H6015">
        <f>IF(D6015="REMOVE",COUNTIF($D$2:D6015,"REMOVE"),"")</f>
        <v/>
      </c>
      <c r="I6015">
        <f>IF(E6015="Gmail",COUNTIF($E$2:E6015,"Gmail"),"")</f>
        <v/>
      </c>
      <c r="J6015">
        <f>IF(E6015="Outlook",COUNTIF($E$2:E6015,"Outlook"),"")</f>
        <v/>
      </c>
      <c r="K6015">
        <f>IF(E6015="Domain",COUNTIF($E$2:E6015,"Domain"),"")</f>
        <v/>
      </c>
    </row>
    <row r="6016">
      <c r="A6016" s="2" t="n"/>
      <c r="B6016">
        <f>LOWER(TRIM(A6016))</f>
        <v/>
      </c>
      <c r="C6016">
        <f>IF(B6016="","",IFERROR(INDEX('Bad Patterns'!$A$2:$A$120,MATCH(1,INDEX(--ISNUMBER(SEARCH('Bad Patterns'!$A$2:$A$120,B6016)),0),0)),""))</f>
        <v/>
      </c>
      <c r="D6016">
        <f>IF(B6016="","",IF(C6016&lt;&gt;"","REMOVE","KEEP"))</f>
        <v/>
      </c>
      <c r="E6016">
        <f>IF(D6016&lt;&gt;"KEEP","",IF(RIGHT(B6016,10)="@gmail.com","Gmail",IF(OR(RIGHT(B6016,12)="@outlook.com",RIGHT(B6016,12)="@hotmail.com",RIGHT(B6016,9)="@live.com"),"Outlook","Domain")))</f>
        <v/>
      </c>
      <c r="F6016">
        <f>IF(B6016="","",IFERROR(RIGHT(B6016,LEN(B6016)-FIND("@",B6016)),""))</f>
        <v/>
      </c>
      <c r="G6016">
        <f>IF(D6016="KEEP",COUNTIF($D$2:D6016,"KEEP"),"")</f>
        <v/>
      </c>
      <c r="H6016">
        <f>IF(D6016="REMOVE",COUNTIF($D$2:D6016,"REMOVE"),"")</f>
        <v/>
      </c>
      <c r="I6016">
        <f>IF(E6016="Gmail",COUNTIF($E$2:E6016,"Gmail"),"")</f>
        <v/>
      </c>
      <c r="J6016">
        <f>IF(E6016="Outlook",COUNTIF($E$2:E6016,"Outlook"),"")</f>
        <v/>
      </c>
      <c r="K6016">
        <f>IF(E6016="Domain",COUNTIF($E$2:E6016,"Domain"),"")</f>
        <v/>
      </c>
    </row>
    <row r="6017">
      <c r="A6017" s="2" t="n"/>
      <c r="B6017">
        <f>LOWER(TRIM(A6017))</f>
        <v/>
      </c>
      <c r="C6017">
        <f>IF(B6017="","",IFERROR(INDEX('Bad Patterns'!$A$2:$A$120,MATCH(1,INDEX(--ISNUMBER(SEARCH('Bad Patterns'!$A$2:$A$120,B6017)),0),0)),""))</f>
        <v/>
      </c>
      <c r="D6017">
        <f>IF(B6017="","",IF(C6017&lt;&gt;"","REMOVE","KEEP"))</f>
        <v/>
      </c>
      <c r="E6017">
        <f>IF(D6017&lt;&gt;"KEEP","",IF(RIGHT(B6017,10)="@gmail.com","Gmail",IF(OR(RIGHT(B6017,12)="@outlook.com",RIGHT(B6017,12)="@hotmail.com",RIGHT(B6017,9)="@live.com"),"Outlook","Domain")))</f>
        <v/>
      </c>
      <c r="F6017">
        <f>IF(B6017="","",IFERROR(RIGHT(B6017,LEN(B6017)-FIND("@",B6017)),""))</f>
        <v/>
      </c>
      <c r="G6017">
        <f>IF(D6017="KEEP",COUNTIF($D$2:D6017,"KEEP"),"")</f>
        <v/>
      </c>
      <c r="H6017">
        <f>IF(D6017="REMOVE",COUNTIF($D$2:D6017,"REMOVE"),"")</f>
        <v/>
      </c>
      <c r="I6017">
        <f>IF(E6017="Gmail",COUNTIF($E$2:E6017,"Gmail"),"")</f>
        <v/>
      </c>
      <c r="J6017">
        <f>IF(E6017="Outlook",COUNTIF($E$2:E6017,"Outlook"),"")</f>
        <v/>
      </c>
      <c r="K6017">
        <f>IF(E6017="Domain",COUNTIF($E$2:E6017,"Domain"),"")</f>
        <v/>
      </c>
    </row>
    <row r="6018">
      <c r="A6018" s="2" t="n"/>
      <c r="B6018">
        <f>LOWER(TRIM(A6018))</f>
        <v/>
      </c>
      <c r="C6018">
        <f>IF(B6018="","",IFERROR(INDEX('Bad Patterns'!$A$2:$A$120,MATCH(1,INDEX(--ISNUMBER(SEARCH('Bad Patterns'!$A$2:$A$120,B6018)),0),0)),""))</f>
        <v/>
      </c>
      <c r="D6018">
        <f>IF(B6018="","",IF(C6018&lt;&gt;"","REMOVE","KEEP"))</f>
        <v/>
      </c>
      <c r="E6018">
        <f>IF(D6018&lt;&gt;"KEEP","",IF(RIGHT(B6018,10)="@gmail.com","Gmail",IF(OR(RIGHT(B6018,12)="@outlook.com",RIGHT(B6018,12)="@hotmail.com",RIGHT(B6018,9)="@live.com"),"Outlook","Domain")))</f>
        <v/>
      </c>
      <c r="F6018">
        <f>IF(B6018="","",IFERROR(RIGHT(B6018,LEN(B6018)-FIND("@",B6018)),""))</f>
        <v/>
      </c>
      <c r="G6018">
        <f>IF(D6018="KEEP",COUNTIF($D$2:D6018,"KEEP"),"")</f>
        <v/>
      </c>
      <c r="H6018">
        <f>IF(D6018="REMOVE",COUNTIF($D$2:D6018,"REMOVE"),"")</f>
        <v/>
      </c>
      <c r="I6018">
        <f>IF(E6018="Gmail",COUNTIF($E$2:E6018,"Gmail"),"")</f>
        <v/>
      </c>
      <c r="J6018">
        <f>IF(E6018="Outlook",COUNTIF($E$2:E6018,"Outlook"),"")</f>
        <v/>
      </c>
      <c r="K6018">
        <f>IF(E6018="Domain",COUNTIF($E$2:E6018,"Domain"),"")</f>
        <v/>
      </c>
    </row>
    <row r="6019">
      <c r="A6019" s="2" t="n"/>
      <c r="B6019">
        <f>LOWER(TRIM(A6019))</f>
        <v/>
      </c>
      <c r="C6019">
        <f>IF(B6019="","",IFERROR(INDEX('Bad Patterns'!$A$2:$A$120,MATCH(1,INDEX(--ISNUMBER(SEARCH('Bad Patterns'!$A$2:$A$120,B6019)),0),0)),""))</f>
        <v/>
      </c>
      <c r="D6019">
        <f>IF(B6019="","",IF(C6019&lt;&gt;"","REMOVE","KEEP"))</f>
        <v/>
      </c>
      <c r="E6019">
        <f>IF(D6019&lt;&gt;"KEEP","",IF(RIGHT(B6019,10)="@gmail.com","Gmail",IF(OR(RIGHT(B6019,12)="@outlook.com",RIGHT(B6019,12)="@hotmail.com",RIGHT(B6019,9)="@live.com"),"Outlook","Domain")))</f>
        <v/>
      </c>
      <c r="F6019">
        <f>IF(B6019="","",IFERROR(RIGHT(B6019,LEN(B6019)-FIND("@",B6019)),""))</f>
        <v/>
      </c>
      <c r="G6019">
        <f>IF(D6019="KEEP",COUNTIF($D$2:D6019,"KEEP"),"")</f>
        <v/>
      </c>
      <c r="H6019">
        <f>IF(D6019="REMOVE",COUNTIF($D$2:D6019,"REMOVE"),"")</f>
        <v/>
      </c>
      <c r="I6019">
        <f>IF(E6019="Gmail",COUNTIF($E$2:E6019,"Gmail"),"")</f>
        <v/>
      </c>
      <c r="J6019">
        <f>IF(E6019="Outlook",COUNTIF($E$2:E6019,"Outlook"),"")</f>
        <v/>
      </c>
      <c r="K6019">
        <f>IF(E6019="Domain",COUNTIF($E$2:E6019,"Domain"),"")</f>
        <v/>
      </c>
    </row>
    <row r="6020">
      <c r="A6020" s="2" t="n"/>
      <c r="B6020">
        <f>LOWER(TRIM(A6020))</f>
        <v/>
      </c>
      <c r="C6020">
        <f>IF(B6020="","",IFERROR(INDEX('Bad Patterns'!$A$2:$A$120,MATCH(1,INDEX(--ISNUMBER(SEARCH('Bad Patterns'!$A$2:$A$120,B6020)),0),0)),""))</f>
        <v/>
      </c>
      <c r="D6020">
        <f>IF(B6020="","",IF(C6020&lt;&gt;"","REMOVE","KEEP"))</f>
        <v/>
      </c>
      <c r="E6020">
        <f>IF(D6020&lt;&gt;"KEEP","",IF(RIGHT(B6020,10)="@gmail.com","Gmail",IF(OR(RIGHT(B6020,12)="@outlook.com",RIGHT(B6020,12)="@hotmail.com",RIGHT(B6020,9)="@live.com"),"Outlook","Domain")))</f>
        <v/>
      </c>
      <c r="F6020">
        <f>IF(B6020="","",IFERROR(RIGHT(B6020,LEN(B6020)-FIND("@",B6020)),""))</f>
        <v/>
      </c>
      <c r="G6020">
        <f>IF(D6020="KEEP",COUNTIF($D$2:D6020,"KEEP"),"")</f>
        <v/>
      </c>
      <c r="H6020">
        <f>IF(D6020="REMOVE",COUNTIF($D$2:D6020,"REMOVE"),"")</f>
        <v/>
      </c>
      <c r="I6020">
        <f>IF(E6020="Gmail",COUNTIF($E$2:E6020,"Gmail"),"")</f>
        <v/>
      </c>
      <c r="J6020">
        <f>IF(E6020="Outlook",COUNTIF($E$2:E6020,"Outlook"),"")</f>
        <v/>
      </c>
      <c r="K6020">
        <f>IF(E6020="Domain",COUNTIF($E$2:E6020,"Domain"),"")</f>
        <v/>
      </c>
    </row>
    <row r="6021">
      <c r="A6021" s="2" t="n"/>
      <c r="B6021">
        <f>LOWER(TRIM(A6021))</f>
        <v/>
      </c>
      <c r="C6021">
        <f>IF(B6021="","",IFERROR(INDEX('Bad Patterns'!$A$2:$A$120,MATCH(1,INDEX(--ISNUMBER(SEARCH('Bad Patterns'!$A$2:$A$120,B6021)),0),0)),""))</f>
        <v/>
      </c>
      <c r="D6021">
        <f>IF(B6021="","",IF(C6021&lt;&gt;"","REMOVE","KEEP"))</f>
        <v/>
      </c>
      <c r="E6021">
        <f>IF(D6021&lt;&gt;"KEEP","",IF(RIGHT(B6021,10)="@gmail.com","Gmail",IF(OR(RIGHT(B6021,12)="@outlook.com",RIGHT(B6021,12)="@hotmail.com",RIGHT(B6021,9)="@live.com"),"Outlook","Domain")))</f>
        <v/>
      </c>
      <c r="F6021">
        <f>IF(B6021="","",IFERROR(RIGHT(B6021,LEN(B6021)-FIND("@",B6021)),""))</f>
        <v/>
      </c>
      <c r="G6021">
        <f>IF(D6021="KEEP",COUNTIF($D$2:D6021,"KEEP"),"")</f>
        <v/>
      </c>
      <c r="H6021">
        <f>IF(D6021="REMOVE",COUNTIF($D$2:D6021,"REMOVE"),"")</f>
        <v/>
      </c>
      <c r="I6021">
        <f>IF(E6021="Gmail",COUNTIF($E$2:E6021,"Gmail"),"")</f>
        <v/>
      </c>
      <c r="J6021">
        <f>IF(E6021="Outlook",COUNTIF($E$2:E6021,"Outlook"),"")</f>
        <v/>
      </c>
      <c r="K6021">
        <f>IF(E6021="Domain",COUNTIF($E$2:E6021,"Domain"),"")</f>
        <v/>
      </c>
    </row>
    <row r="6022">
      <c r="A6022" s="2" t="n"/>
      <c r="B6022">
        <f>LOWER(TRIM(A6022))</f>
        <v/>
      </c>
      <c r="C6022">
        <f>IF(B6022="","",IFERROR(INDEX('Bad Patterns'!$A$2:$A$120,MATCH(1,INDEX(--ISNUMBER(SEARCH('Bad Patterns'!$A$2:$A$120,B6022)),0),0)),""))</f>
        <v/>
      </c>
      <c r="D6022">
        <f>IF(B6022="","",IF(C6022&lt;&gt;"","REMOVE","KEEP"))</f>
        <v/>
      </c>
      <c r="E6022">
        <f>IF(D6022&lt;&gt;"KEEP","",IF(RIGHT(B6022,10)="@gmail.com","Gmail",IF(OR(RIGHT(B6022,12)="@outlook.com",RIGHT(B6022,12)="@hotmail.com",RIGHT(B6022,9)="@live.com"),"Outlook","Domain")))</f>
        <v/>
      </c>
      <c r="F6022">
        <f>IF(B6022="","",IFERROR(RIGHT(B6022,LEN(B6022)-FIND("@",B6022)),""))</f>
        <v/>
      </c>
      <c r="G6022">
        <f>IF(D6022="KEEP",COUNTIF($D$2:D6022,"KEEP"),"")</f>
        <v/>
      </c>
      <c r="H6022">
        <f>IF(D6022="REMOVE",COUNTIF($D$2:D6022,"REMOVE"),"")</f>
        <v/>
      </c>
      <c r="I6022">
        <f>IF(E6022="Gmail",COUNTIF($E$2:E6022,"Gmail"),"")</f>
        <v/>
      </c>
      <c r="J6022">
        <f>IF(E6022="Outlook",COUNTIF($E$2:E6022,"Outlook"),"")</f>
        <v/>
      </c>
      <c r="K6022">
        <f>IF(E6022="Domain",COUNTIF($E$2:E6022,"Domain"),"")</f>
        <v/>
      </c>
    </row>
    <row r="6023">
      <c r="A6023" s="2" t="n"/>
      <c r="B6023">
        <f>LOWER(TRIM(A6023))</f>
        <v/>
      </c>
      <c r="C6023">
        <f>IF(B6023="","",IFERROR(INDEX('Bad Patterns'!$A$2:$A$120,MATCH(1,INDEX(--ISNUMBER(SEARCH('Bad Patterns'!$A$2:$A$120,B6023)),0),0)),""))</f>
        <v/>
      </c>
      <c r="D6023">
        <f>IF(B6023="","",IF(C6023&lt;&gt;"","REMOVE","KEEP"))</f>
        <v/>
      </c>
      <c r="E6023">
        <f>IF(D6023&lt;&gt;"KEEP","",IF(RIGHT(B6023,10)="@gmail.com","Gmail",IF(OR(RIGHT(B6023,12)="@outlook.com",RIGHT(B6023,12)="@hotmail.com",RIGHT(B6023,9)="@live.com"),"Outlook","Domain")))</f>
        <v/>
      </c>
      <c r="F6023">
        <f>IF(B6023="","",IFERROR(RIGHT(B6023,LEN(B6023)-FIND("@",B6023)),""))</f>
        <v/>
      </c>
      <c r="G6023">
        <f>IF(D6023="KEEP",COUNTIF($D$2:D6023,"KEEP"),"")</f>
        <v/>
      </c>
      <c r="H6023">
        <f>IF(D6023="REMOVE",COUNTIF($D$2:D6023,"REMOVE"),"")</f>
        <v/>
      </c>
      <c r="I6023">
        <f>IF(E6023="Gmail",COUNTIF($E$2:E6023,"Gmail"),"")</f>
        <v/>
      </c>
      <c r="J6023">
        <f>IF(E6023="Outlook",COUNTIF($E$2:E6023,"Outlook"),"")</f>
        <v/>
      </c>
      <c r="K6023">
        <f>IF(E6023="Domain",COUNTIF($E$2:E6023,"Domain"),"")</f>
        <v/>
      </c>
    </row>
    <row r="6024">
      <c r="A6024" s="2" t="n"/>
      <c r="B6024">
        <f>LOWER(TRIM(A6024))</f>
        <v/>
      </c>
      <c r="C6024">
        <f>IF(B6024="","",IFERROR(INDEX('Bad Patterns'!$A$2:$A$120,MATCH(1,INDEX(--ISNUMBER(SEARCH('Bad Patterns'!$A$2:$A$120,B6024)),0),0)),""))</f>
        <v/>
      </c>
      <c r="D6024">
        <f>IF(B6024="","",IF(C6024&lt;&gt;"","REMOVE","KEEP"))</f>
        <v/>
      </c>
      <c r="E6024">
        <f>IF(D6024&lt;&gt;"KEEP","",IF(RIGHT(B6024,10)="@gmail.com","Gmail",IF(OR(RIGHT(B6024,12)="@outlook.com",RIGHT(B6024,12)="@hotmail.com",RIGHT(B6024,9)="@live.com"),"Outlook","Domain")))</f>
        <v/>
      </c>
      <c r="F6024">
        <f>IF(B6024="","",IFERROR(RIGHT(B6024,LEN(B6024)-FIND("@",B6024)),""))</f>
        <v/>
      </c>
      <c r="G6024">
        <f>IF(D6024="KEEP",COUNTIF($D$2:D6024,"KEEP"),"")</f>
        <v/>
      </c>
      <c r="H6024">
        <f>IF(D6024="REMOVE",COUNTIF($D$2:D6024,"REMOVE"),"")</f>
        <v/>
      </c>
      <c r="I6024">
        <f>IF(E6024="Gmail",COUNTIF($E$2:E6024,"Gmail"),"")</f>
        <v/>
      </c>
      <c r="J6024">
        <f>IF(E6024="Outlook",COUNTIF($E$2:E6024,"Outlook"),"")</f>
        <v/>
      </c>
      <c r="K6024">
        <f>IF(E6024="Domain",COUNTIF($E$2:E6024,"Domain"),"")</f>
        <v/>
      </c>
    </row>
    <row r="6025">
      <c r="A6025" s="2" t="n"/>
      <c r="B6025">
        <f>LOWER(TRIM(A6025))</f>
        <v/>
      </c>
      <c r="C6025">
        <f>IF(B6025="","",IFERROR(INDEX('Bad Patterns'!$A$2:$A$120,MATCH(1,INDEX(--ISNUMBER(SEARCH('Bad Patterns'!$A$2:$A$120,B6025)),0),0)),""))</f>
        <v/>
      </c>
      <c r="D6025">
        <f>IF(B6025="","",IF(C6025&lt;&gt;"","REMOVE","KEEP"))</f>
        <v/>
      </c>
      <c r="E6025">
        <f>IF(D6025&lt;&gt;"KEEP","",IF(RIGHT(B6025,10)="@gmail.com","Gmail",IF(OR(RIGHT(B6025,12)="@outlook.com",RIGHT(B6025,12)="@hotmail.com",RIGHT(B6025,9)="@live.com"),"Outlook","Domain")))</f>
        <v/>
      </c>
      <c r="F6025">
        <f>IF(B6025="","",IFERROR(RIGHT(B6025,LEN(B6025)-FIND("@",B6025)),""))</f>
        <v/>
      </c>
      <c r="G6025">
        <f>IF(D6025="KEEP",COUNTIF($D$2:D6025,"KEEP"),"")</f>
        <v/>
      </c>
      <c r="H6025">
        <f>IF(D6025="REMOVE",COUNTIF($D$2:D6025,"REMOVE"),"")</f>
        <v/>
      </c>
      <c r="I6025">
        <f>IF(E6025="Gmail",COUNTIF($E$2:E6025,"Gmail"),"")</f>
        <v/>
      </c>
      <c r="J6025">
        <f>IF(E6025="Outlook",COUNTIF($E$2:E6025,"Outlook"),"")</f>
        <v/>
      </c>
      <c r="K6025">
        <f>IF(E6025="Domain",COUNTIF($E$2:E6025,"Domain"),"")</f>
        <v/>
      </c>
    </row>
    <row r="6026">
      <c r="A6026" s="2" t="n"/>
      <c r="B6026">
        <f>LOWER(TRIM(A6026))</f>
        <v/>
      </c>
      <c r="C6026">
        <f>IF(B6026="","",IFERROR(INDEX('Bad Patterns'!$A$2:$A$120,MATCH(1,INDEX(--ISNUMBER(SEARCH('Bad Patterns'!$A$2:$A$120,B6026)),0),0)),""))</f>
        <v/>
      </c>
      <c r="D6026">
        <f>IF(B6026="","",IF(C6026&lt;&gt;"","REMOVE","KEEP"))</f>
        <v/>
      </c>
      <c r="E6026">
        <f>IF(D6026&lt;&gt;"KEEP","",IF(RIGHT(B6026,10)="@gmail.com","Gmail",IF(OR(RIGHT(B6026,12)="@outlook.com",RIGHT(B6026,12)="@hotmail.com",RIGHT(B6026,9)="@live.com"),"Outlook","Domain")))</f>
        <v/>
      </c>
      <c r="F6026">
        <f>IF(B6026="","",IFERROR(RIGHT(B6026,LEN(B6026)-FIND("@",B6026)),""))</f>
        <v/>
      </c>
      <c r="G6026">
        <f>IF(D6026="KEEP",COUNTIF($D$2:D6026,"KEEP"),"")</f>
        <v/>
      </c>
      <c r="H6026">
        <f>IF(D6026="REMOVE",COUNTIF($D$2:D6026,"REMOVE"),"")</f>
        <v/>
      </c>
      <c r="I6026">
        <f>IF(E6026="Gmail",COUNTIF($E$2:E6026,"Gmail"),"")</f>
        <v/>
      </c>
      <c r="J6026">
        <f>IF(E6026="Outlook",COUNTIF($E$2:E6026,"Outlook"),"")</f>
        <v/>
      </c>
      <c r="K6026">
        <f>IF(E6026="Domain",COUNTIF($E$2:E6026,"Domain"),"")</f>
        <v/>
      </c>
    </row>
    <row r="6027">
      <c r="A6027" s="2" t="n"/>
      <c r="B6027">
        <f>LOWER(TRIM(A6027))</f>
        <v/>
      </c>
      <c r="C6027">
        <f>IF(B6027="","",IFERROR(INDEX('Bad Patterns'!$A$2:$A$120,MATCH(1,INDEX(--ISNUMBER(SEARCH('Bad Patterns'!$A$2:$A$120,B6027)),0),0)),""))</f>
        <v/>
      </c>
      <c r="D6027">
        <f>IF(B6027="","",IF(C6027&lt;&gt;"","REMOVE","KEEP"))</f>
        <v/>
      </c>
      <c r="E6027">
        <f>IF(D6027&lt;&gt;"KEEP","",IF(RIGHT(B6027,10)="@gmail.com","Gmail",IF(OR(RIGHT(B6027,12)="@outlook.com",RIGHT(B6027,12)="@hotmail.com",RIGHT(B6027,9)="@live.com"),"Outlook","Domain")))</f>
        <v/>
      </c>
      <c r="F6027">
        <f>IF(B6027="","",IFERROR(RIGHT(B6027,LEN(B6027)-FIND("@",B6027)),""))</f>
        <v/>
      </c>
      <c r="G6027">
        <f>IF(D6027="KEEP",COUNTIF($D$2:D6027,"KEEP"),"")</f>
        <v/>
      </c>
      <c r="H6027">
        <f>IF(D6027="REMOVE",COUNTIF($D$2:D6027,"REMOVE"),"")</f>
        <v/>
      </c>
      <c r="I6027">
        <f>IF(E6027="Gmail",COUNTIF($E$2:E6027,"Gmail"),"")</f>
        <v/>
      </c>
      <c r="J6027">
        <f>IF(E6027="Outlook",COUNTIF($E$2:E6027,"Outlook"),"")</f>
        <v/>
      </c>
      <c r="K6027">
        <f>IF(E6027="Domain",COUNTIF($E$2:E6027,"Domain"),"")</f>
        <v/>
      </c>
    </row>
    <row r="6028">
      <c r="A6028" s="2" t="n"/>
      <c r="B6028">
        <f>LOWER(TRIM(A6028))</f>
        <v/>
      </c>
      <c r="C6028">
        <f>IF(B6028="","",IFERROR(INDEX('Bad Patterns'!$A$2:$A$120,MATCH(1,INDEX(--ISNUMBER(SEARCH('Bad Patterns'!$A$2:$A$120,B6028)),0),0)),""))</f>
        <v/>
      </c>
      <c r="D6028">
        <f>IF(B6028="","",IF(C6028&lt;&gt;"","REMOVE","KEEP"))</f>
        <v/>
      </c>
      <c r="E6028">
        <f>IF(D6028&lt;&gt;"KEEP","",IF(RIGHT(B6028,10)="@gmail.com","Gmail",IF(OR(RIGHT(B6028,12)="@outlook.com",RIGHT(B6028,12)="@hotmail.com",RIGHT(B6028,9)="@live.com"),"Outlook","Domain")))</f>
        <v/>
      </c>
      <c r="F6028">
        <f>IF(B6028="","",IFERROR(RIGHT(B6028,LEN(B6028)-FIND("@",B6028)),""))</f>
        <v/>
      </c>
      <c r="G6028">
        <f>IF(D6028="KEEP",COUNTIF($D$2:D6028,"KEEP"),"")</f>
        <v/>
      </c>
      <c r="H6028">
        <f>IF(D6028="REMOVE",COUNTIF($D$2:D6028,"REMOVE"),"")</f>
        <v/>
      </c>
      <c r="I6028">
        <f>IF(E6028="Gmail",COUNTIF($E$2:E6028,"Gmail"),"")</f>
        <v/>
      </c>
      <c r="J6028">
        <f>IF(E6028="Outlook",COUNTIF($E$2:E6028,"Outlook"),"")</f>
        <v/>
      </c>
      <c r="K6028">
        <f>IF(E6028="Domain",COUNTIF($E$2:E6028,"Domain"),"")</f>
        <v/>
      </c>
    </row>
    <row r="6029">
      <c r="A6029" s="2" t="n"/>
      <c r="B6029">
        <f>LOWER(TRIM(A6029))</f>
        <v/>
      </c>
      <c r="C6029">
        <f>IF(B6029="","",IFERROR(INDEX('Bad Patterns'!$A$2:$A$120,MATCH(1,INDEX(--ISNUMBER(SEARCH('Bad Patterns'!$A$2:$A$120,B6029)),0),0)),""))</f>
        <v/>
      </c>
      <c r="D6029">
        <f>IF(B6029="","",IF(C6029&lt;&gt;"","REMOVE","KEEP"))</f>
        <v/>
      </c>
      <c r="E6029">
        <f>IF(D6029&lt;&gt;"KEEP","",IF(RIGHT(B6029,10)="@gmail.com","Gmail",IF(OR(RIGHT(B6029,12)="@outlook.com",RIGHT(B6029,12)="@hotmail.com",RIGHT(B6029,9)="@live.com"),"Outlook","Domain")))</f>
        <v/>
      </c>
      <c r="F6029">
        <f>IF(B6029="","",IFERROR(RIGHT(B6029,LEN(B6029)-FIND("@",B6029)),""))</f>
        <v/>
      </c>
      <c r="G6029">
        <f>IF(D6029="KEEP",COUNTIF($D$2:D6029,"KEEP"),"")</f>
        <v/>
      </c>
      <c r="H6029">
        <f>IF(D6029="REMOVE",COUNTIF($D$2:D6029,"REMOVE"),"")</f>
        <v/>
      </c>
      <c r="I6029">
        <f>IF(E6029="Gmail",COUNTIF($E$2:E6029,"Gmail"),"")</f>
        <v/>
      </c>
      <c r="J6029">
        <f>IF(E6029="Outlook",COUNTIF($E$2:E6029,"Outlook"),"")</f>
        <v/>
      </c>
      <c r="K6029">
        <f>IF(E6029="Domain",COUNTIF($E$2:E6029,"Domain"),"")</f>
        <v/>
      </c>
    </row>
    <row r="6030">
      <c r="A6030" s="2" t="n"/>
      <c r="B6030">
        <f>LOWER(TRIM(A6030))</f>
        <v/>
      </c>
      <c r="C6030">
        <f>IF(B6030="","",IFERROR(INDEX('Bad Patterns'!$A$2:$A$120,MATCH(1,INDEX(--ISNUMBER(SEARCH('Bad Patterns'!$A$2:$A$120,B6030)),0),0)),""))</f>
        <v/>
      </c>
      <c r="D6030">
        <f>IF(B6030="","",IF(C6030&lt;&gt;"","REMOVE","KEEP"))</f>
        <v/>
      </c>
      <c r="E6030">
        <f>IF(D6030&lt;&gt;"KEEP","",IF(RIGHT(B6030,10)="@gmail.com","Gmail",IF(OR(RIGHT(B6030,12)="@outlook.com",RIGHT(B6030,12)="@hotmail.com",RIGHT(B6030,9)="@live.com"),"Outlook","Domain")))</f>
        <v/>
      </c>
      <c r="F6030">
        <f>IF(B6030="","",IFERROR(RIGHT(B6030,LEN(B6030)-FIND("@",B6030)),""))</f>
        <v/>
      </c>
      <c r="G6030">
        <f>IF(D6030="KEEP",COUNTIF($D$2:D6030,"KEEP"),"")</f>
        <v/>
      </c>
      <c r="H6030">
        <f>IF(D6030="REMOVE",COUNTIF($D$2:D6030,"REMOVE"),"")</f>
        <v/>
      </c>
      <c r="I6030">
        <f>IF(E6030="Gmail",COUNTIF($E$2:E6030,"Gmail"),"")</f>
        <v/>
      </c>
      <c r="J6030">
        <f>IF(E6030="Outlook",COUNTIF($E$2:E6030,"Outlook"),"")</f>
        <v/>
      </c>
      <c r="K6030">
        <f>IF(E6030="Domain",COUNTIF($E$2:E6030,"Domain"),"")</f>
        <v/>
      </c>
    </row>
    <row r="6031">
      <c r="A6031" s="2" t="n"/>
      <c r="B6031">
        <f>LOWER(TRIM(A6031))</f>
        <v/>
      </c>
      <c r="C6031">
        <f>IF(B6031="","",IFERROR(INDEX('Bad Patterns'!$A$2:$A$120,MATCH(1,INDEX(--ISNUMBER(SEARCH('Bad Patterns'!$A$2:$A$120,B6031)),0),0)),""))</f>
        <v/>
      </c>
      <c r="D6031">
        <f>IF(B6031="","",IF(C6031&lt;&gt;"","REMOVE","KEEP"))</f>
        <v/>
      </c>
      <c r="E6031">
        <f>IF(D6031&lt;&gt;"KEEP","",IF(RIGHT(B6031,10)="@gmail.com","Gmail",IF(OR(RIGHT(B6031,12)="@outlook.com",RIGHT(B6031,12)="@hotmail.com",RIGHT(B6031,9)="@live.com"),"Outlook","Domain")))</f>
        <v/>
      </c>
      <c r="F6031">
        <f>IF(B6031="","",IFERROR(RIGHT(B6031,LEN(B6031)-FIND("@",B6031)),""))</f>
        <v/>
      </c>
      <c r="G6031">
        <f>IF(D6031="KEEP",COUNTIF($D$2:D6031,"KEEP"),"")</f>
        <v/>
      </c>
      <c r="H6031">
        <f>IF(D6031="REMOVE",COUNTIF($D$2:D6031,"REMOVE"),"")</f>
        <v/>
      </c>
      <c r="I6031">
        <f>IF(E6031="Gmail",COUNTIF($E$2:E6031,"Gmail"),"")</f>
        <v/>
      </c>
      <c r="J6031">
        <f>IF(E6031="Outlook",COUNTIF($E$2:E6031,"Outlook"),"")</f>
        <v/>
      </c>
      <c r="K6031">
        <f>IF(E6031="Domain",COUNTIF($E$2:E6031,"Domain"),"")</f>
        <v/>
      </c>
    </row>
    <row r="6032">
      <c r="A6032" s="2" t="n"/>
      <c r="B6032">
        <f>LOWER(TRIM(A6032))</f>
        <v/>
      </c>
      <c r="C6032">
        <f>IF(B6032="","",IFERROR(INDEX('Bad Patterns'!$A$2:$A$120,MATCH(1,INDEX(--ISNUMBER(SEARCH('Bad Patterns'!$A$2:$A$120,B6032)),0),0)),""))</f>
        <v/>
      </c>
      <c r="D6032">
        <f>IF(B6032="","",IF(C6032&lt;&gt;"","REMOVE","KEEP"))</f>
        <v/>
      </c>
      <c r="E6032">
        <f>IF(D6032&lt;&gt;"KEEP","",IF(RIGHT(B6032,10)="@gmail.com","Gmail",IF(OR(RIGHT(B6032,12)="@outlook.com",RIGHT(B6032,12)="@hotmail.com",RIGHT(B6032,9)="@live.com"),"Outlook","Domain")))</f>
        <v/>
      </c>
      <c r="F6032">
        <f>IF(B6032="","",IFERROR(RIGHT(B6032,LEN(B6032)-FIND("@",B6032)),""))</f>
        <v/>
      </c>
      <c r="G6032">
        <f>IF(D6032="KEEP",COUNTIF($D$2:D6032,"KEEP"),"")</f>
        <v/>
      </c>
      <c r="H6032">
        <f>IF(D6032="REMOVE",COUNTIF($D$2:D6032,"REMOVE"),"")</f>
        <v/>
      </c>
      <c r="I6032">
        <f>IF(E6032="Gmail",COUNTIF($E$2:E6032,"Gmail"),"")</f>
        <v/>
      </c>
      <c r="J6032">
        <f>IF(E6032="Outlook",COUNTIF($E$2:E6032,"Outlook"),"")</f>
        <v/>
      </c>
      <c r="K6032">
        <f>IF(E6032="Domain",COUNTIF($E$2:E6032,"Domain"),"")</f>
        <v/>
      </c>
    </row>
    <row r="6033">
      <c r="A6033" s="2" t="n"/>
      <c r="B6033">
        <f>LOWER(TRIM(A6033))</f>
        <v/>
      </c>
      <c r="C6033">
        <f>IF(B6033="","",IFERROR(INDEX('Bad Patterns'!$A$2:$A$120,MATCH(1,INDEX(--ISNUMBER(SEARCH('Bad Patterns'!$A$2:$A$120,B6033)),0),0)),""))</f>
        <v/>
      </c>
      <c r="D6033">
        <f>IF(B6033="","",IF(C6033&lt;&gt;"","REMOVE","KEEP"))</f>
        <v/>
      </c>
      <c r="E6033">
        <f>IF(D6033&lt;&gt;"KEEP","",IF(RIGHT(B6033,10)="@gmail.com","Gmail",IF(OR(RIGHT(B6033,12)="@outlook.com",RIGHT(B6033,12)="@hotmail.com",RIGHT(B6033,9)="@live.com"),"Outlook","Domain")))</f>
        <v/>
      </c>
      <c r="F6033">
        <f>IF(B6033="","",IFERROR(RIGHT(B6033,LEN(B6033)-FIND("@",B6033)),""))</f>
        <v/>
      </c>
      <c r="G6033">
        <f>IF(D6033="KEEP",COUNTIF($D$2:D6033,"KEEP"),"")</f>
        <v/>
      </c>
      <c r="H6033">
        <f>IF(D6033="REMOVE",COUNTIF($D$2:D6033,"REMOVE"),"")</f>
        <v/>
      </c>
      <c r="I6033">
        <f>IF(E6033="Gmail",COUNTIF($E$2:E6033,"Gmail"),"")</f>
        <v/>
      </c>
      <c r="J6033">
        <f>IF(E6033="Outlook",COUNTIF($E$2:E6033,"Outlook"),"")</f>
        <v/>
      </c>
      <c r="K6033">
        <f>IF(E6033="Domain",COUNTIF($E$2:E6033,"Domain"),"")</f>
        <v/>
      </c>
    </row>
    <row r="6034">
      <c r="A6034" s="2" t="n"/>
      <c r="B6034">
        <f>LOWER(TRIM(A6034))</f>
        <v/>
      </c>
      <c r="C6034">
        <f>IF(B6034="","",IFERROR(INDEX('Bad Patterns'!$A$2:$A$120,MATCH(1,INDEX(--ISNUMBER(SEARCH('Bad Patterns'!$A$2:$A$120,B6034)),0),0)),""))</f>
        <v/>
      </c>
      <c r="D6034">
        <f>IF(B6034="","",IF(C6034&lt;&gt;"","REMOVE","KEEP"))</f>
        <v/>
      </c>
      <c r="E6034">
        <f>IF(D6034&lt;&gt;"KEEP","",IF(RIGHT(B6034,10)="@gmail.com","Gmail",IF(OR(RIGHT(B6034,12)="@outlook.com",RIGHT(B6034,12)="@hotmail.com",RIGHT(B6034,9)="@live.com"),"Outlook","Domain")))</f>
        <v/>
      </c>
      <c r="F6034">
        <f>IF(B6034="","",IFERROR(RIGHT(B6034,LEN(B6034)-FIND("@",B6034)),""))</f>
        <v/>
      </c>
      <c r="G6034">
        <f>IF(D6034="KEEP",COUNTIF($D$2:D6034,"KEEP"),"")</f>
        <v/>
      </c>
      <c r="H6034">
        <f>IF(D6034="REMOVE",COUNTIF($D$2:D6034,"REMOVE"),"")</f>
        <v/>
      </c>
      <c r="I6034">
        <f>IF(E6034="Gmail",COUNTIF($E$2:E6034,"Gmail"),"")</f>
        <v/>
      </c>
      <c r="J6034">
        <f>IF(E6034="Outlook",COUNTIF($E$2:E6034,"Outlook"),"")</f>
        <v/>
      </c>
      <c r="K6034">
        <f>IF(E6034="Domain",COUNTIF($E$2:E6034,"Domain"),"")</f>
        <v/>
      </c>
    </row>
    <row r="6035">
      <c r="A6035" s="2" t="n"/>
      <c r="B6035">
        <f>LOWER(TRIM(A6035))</f>
        <v/>
      </c>
      <c r="C6035">
        <f>IF(B6035="","",IFERROR(INDEX('Bad Patterns'!$A$2:$A$120,MATCH(1,INDEX(--ISNUMBER(SEARCH('Bad Patterns'!$A$2:$A$120,B6035)),0),0)),""))</f>
        <v/>
      </c>
      <c r="D6035">
        <f>IF(B6035="","",IF(C6035&lt;&gt;"","REMOVE","KEEP"))</f>
        <v/>
      </c>
      <c r="E6035">
        <f>IF(D6035&lt;&gt;"KEEP","",IF(RIGHT(B6035,10)="@gmail.com","Gmail",IF(OR(RIGHT(B6035,12)="@outlook.com",RIGHT(B6035,12)="@hotmail.com",RIGHT(B6035,9)="@live.com"),"Outlook","Domain")))</f>
        <v/>
      </c>
      <c r="F6035">
        <f>IF(B6035="","",IFERROR(RIGHT(B6035,LEN(B6035)-FIND("@",B6035)),""))</f>
        <v/>
      </c>
      <c r="G6035">
        <f>IF(D6035="KEEP",COUNTIF($D$2:D6035,"KEEP"),"")</f>
        <v/>
      </c>
      <c r="H6035">
        <f>IF(D6035="REMOVE",COUNTIF($D$2:D6035,"REMOVE"),"")</f>
        <v/>
      </c>
      <c r="I6035">
        <f>IF(E6035="Gmail",COUNTIF($E$2:E6035,"Gmail"),"")</f>
        <v/>
      </c>
      <c r="J6035">
        <f>IF(E6035="Outlook",COUNTIF($E$2:E6035,"Outlook"),"")</f>
        <v/>
      </c>
      <c r="K6035">
        <f>IF(E6035="Domain",COUNTIF($E$2:E6035,"Domain"),"")</f>
        <v/>
      </c>
    </row>
    <row r="6036">
      <c r="A6036" s="2" t="n"/>
      <c r="B6036">
        <f>LOWER(TRIM(A6036))</f>
        <v/>
      </c>
      <c r="C6036">
        <f>IF(B6036="","",IFERROR(INDEX('Bad Patterns'!$A$2:$A$120,MATCH(1,INDEX(--ISNUMBER(SEARCH('Bad Patterns'!$A$2:$A$120,B6036)),0),0)),""))</f>
        <v/>
      </c>
      <c r="D6036">
        <f>IF(B6036="","",IF(C6036&lt;&gt;"","REMOVE","KEEP"))</f>
        <v/>
      </c>
      <c r="E6036">
        <f>IF(D6036&lt;&gt;"KEEP","",IF(RIGHT(B6036,10)="@gmail.com","Gmail",IF(OR(RIGHT(B6036,12)="@outlook.com",RIGHT(B6036,12)="@hotmail.com",RIGHT(B6036,9)="@live.com"),"Outlook","Domain")))</f>
        <v/>
      </c>
      <c r="F6036">
        <f>IF(B6036="","",IFERROR(RIGHT(B6036,LEN(B6036)-FIND("@",B6036)),""))</f>
        <v/>
      </c>
      <c r="G6036">
        <f>IF(D6036="KEEP",COUNTIF($D$2:D6036,"KEEP"),"")</f>
        <v/>
      </c>
      <c r="H6036">
        <f>IF(D6036="REMOVE",COUNTIF($D$2:D6036,"REMOVE"),"")</f>
        <v/>
      </c>
      <c r="I6036">
        <f>IF(E6036="Gmail",COUNTIF($E$2:E6036,"Gmail"),"")</f>
        <v/>
      </c>
      <c r="J6036">
        <f>IF(E6036="Outlook",COUNTIF($E$2:E6036,"Outlook"),"")</f>
        <v/>
      </c>
      <c r="K6036">
        <f>IF(E6036="Domain",COUNTIF($E$2:E6036,"Domain"),"")</f>
        <v/>
      </c>
    </row>
    <row r="6037">
      <c r="A6037" s="2" t="n"/>
      <c r="B6037">
        <f>LOWER(TRIM(A6037))</f>
        <v/>
      </c>
      <c r="C6037">
        <f>IF(B6037="","",IFERROR(INDEX('Bad Patterns'!$A$2:$A$120,MATCH(1,INDEX(--ISNUMBER(SEARCH('Bad Patterns'!$A$2:$A$120,B6037)),0),0)),""))</f>
        <v/>
      </c>
      <c r="D6037">
        <f>IF(B6037="","",IF(C6037&lt;&gt;"","REMOVE","KEEP"))</f>
        <v/>
      </c>
      <c r="E6037">
        <f>IF(D6037&lt;&gt;"KEEP","",IF(RIGHT(B6037,10)="@gmail.com","Gmail",IF(OR(RIGHT(B6037,12)="@outlook.com",RIGHT(B6037,12)="@hotmail.com",RIGHT(B6037,9)="@live.com"),"Outlook","Domain")))</f>
        <v/>
      </c>
      <c r="F6037">
        <f>IF(B6037="","",IFERROR(RIGHT(B6037,LEN(B6037)-FIND("@",B6037)),""))</f>
        <v/>
      </c>
      <c r="G6037">
        <f>IF(D6037="KEEP",COUNTIF($D$2:D6037,"KEEP"),"")</f>
        <v/>
      </c>
      <c r="H6037">
        <f>IF(D6037="REMOVE",COUNTIF($D$2:D6037,"REMOVE"),"")</f>
        <v/>
      </c>
      <c r="I6037">
        <f>IF(E6037="Gmail",COUNTIF($E$2:E6037,"Gmail"),"")</f>
        <v/>
      </c>
      <c r="J6037">
        <f>IF(E6037="Outlook",COUNTIF($E$2:E6037,"Outlook"),"")</f>
        <v/>
      </c>
      <c r="K6037">
        <f>IF(E6037="Domain",COUNTIF($E$2:E6037,"Domain"),"")</f>
        <v/>
      </c>
    </row>
    <row r="6038">
      <c r="A6038" s="2" t="n"/>
      <c r="B6038">
        <f>LOWER(TRIM(A6038))</f>
        <v/>
      </c>
      <c r="C6038">
        <f>IF(B6038="","",IFERROR(INDEX('Bad Patterns'!$A$2:$A$120,MATCH(1,INDEX(--ISNUMBER(SEARCH('Bad Patterns'!$A$2:$A$120,B6038)),0),0)),""))</f>
        <v/>
      </c>
      <c r="D6038">
        <f>IF(B6038="","",IF(C6038&lt;&gt;"","REMOVE","KEEP"))</f>
        <v/>
      </c>
      <c r="E6038">
        <f>IF(D6038&lt;&gt;"KEEP","",IF(RIGHT(B6038,10)="@gmail.com","Gmail",IF(OR(RIGHT(B6038,12)="@outlook.com",RIGHT(B6038,12)="@hotmail.com",RIGHT(B6038,9)="@live.com"),"Outlook","Domain")))</f>
        <v/>
      </c>
      <c r="F6038">
        <f>IF(B6038="","",IFERROR(RIGHT(B6038,LEN(B6038)-FIND("@",B6038)),""))</f>
        <v/>
      </c>
      <c r="G6038">
        <f>IF(D6038="KEEP",COUNTIF($D$2:D6038,"KEEP"),"")</f>
        <v/>
      </c>
      <c r="H6038">
        <f>IF(D6038="REMOVE",COUNTIF($D$2:D6038,"REMOVE"),"")</f>
        <v/>
      </c>
      <c r="I6038">
        <f>IF(E6038="Gmail",COUNTIF($E$2:E6038,"Gmail"),"")</f>
        <v/>
      </c>
      <c r="J6038">
        <f>IF(E6038="Outlook",COUNTIF($E$2:E6038,"Outlook"),"")</f>
        <v/>
      </c>
      <c r="K6038">
        <f>IF(E6038="Domain",COUNTIF($E$2:E6038,"Domain"),"")</f>
        <v/>
      </c>
    </row>
    <row r="6039">
      <c r="A6039" s="2" t="n"/>
      <c r="B6039">
        <f>LOWER(TRIM(A6039))</f>
        <v/>
      </c>
      <c r="C6039">
        <f>IF(B6039="","",IFERROR(INDEX('Bad Patterns'!$A$2:$A$120,MATCH(1,INDEX(--ISNUMBER(SEARCH('Bad Patterns'!$A$2:$A$120,B6039)),0),0)),""))</f>
        <v/>
      </c>
      <c r="D6039">
        <f>IF(B6039="","",IF(C6039&lt;&gt;"","REMOVE","KEEP"))</f>
        <v/>
      </c>
      <c r="E6039">
        <f>IF(D6039&lt;&gt;"KEEP","",IF(RIGHT(B6039,10)="@gmail.com","Gmail",IF(OR(RIGHT(B6039,12)="@outlook.com",RIGHT(B6039,12)="@hotmail.com",RIGHT(B6039,9)="@live.com"),"Outlook","Domain")))</f>
        <v/>
      </c>
      <c r="F6039">
        <f>IF(B6039="","",IFERROR(RIGHT(B6039,LEN(B6039)-FIND("@",B6039)),""))</f>
        <v/>
      </c>
      <c r="G6039">
        <f>IF(D6039="KEEP",COUNTIF($D$2:D6039,"KEEP"),"")</f>
        <v/>
      </c>
      <c r="H6039">
        <f>IF(D6039="REMOVE",COUNTIF($D$2:D6039,"REMOVE"),"")</f>
        <v/>
      </c>
      <c r="I6039">
        <f>IF(E6039="Gmail",COUNTIF($E$2:E6039,"Gmail"),"")</f>
        <v/>
      </c>
      <c r="J6039">
        <f>IF(E6039="Outlook",COUNTIF($E$2:E6039,"Outlook"),"")</f>
        <v/>
      </c>
      <c r="K6039">
        <f>IF(E6039="Domain",COUNTIF($E$2:E6039,"Domain"),"")</f>
        <v/>
      </c>
    </row>
    <row r="6040">
      <c r="A6040" s="2" t="n"/>
      <c r="B6040">
        <f>LOWER(TRIM(A6040))</f>
        <v/>
      </c>
      <c r="C6040">
        <f>IF(B6040="","",IFERROR(INDEX('Bad Patterns'!$A$2:$A$120,MATCH(1,INDEX(--ISNUMBER(SEARCH('Bad Patterns'!$A$2:$A$120,B6040)),0),0)),""))</f>
        <v/>
      </c>
      <c r="D6040">
        <f>IF(B6040="","",IF(C6040&lt;&gt;"","REMOVE","KEEP"))</f>
        <v/>
      </c>
      <c r="E6040">
        <f>IF(D6040&lt;&gt;"KEEP","",IF(RIGHT(B6040,10)="@gmail.com","Gmail",IF(OR(RIGHT(B6040,12)="@outlook.com",RIGHT(B6040,12)="@hotmail.com",RIGHT(B6040,9)="@live.com"),"Outlook","Domain")))</f>
        <v/>
      </c>
      <c r="F6040">
        <f>IF(B6040="","",IFERROR(RIGHT(B6040,LEN(B6040)-FIND("@",B6040)),""))</f>
        <v/>
      </c>
      <c r="G6040">
        <f>IF(D6040="KEEP",COUNTIF($D$2:D6040,"KEEP"),"")</f>
        <v/>
      </c>
      <c r="H6040">
        <f>IF(D6040="REMOVE",COUNTIF($D$2:D6040,"REMOVE"),"")</f>
        <v/>
      </c>
      <c r="I6040">
        <f>IF(E6040="Gmail",COUNTIF($E$2:E6040,"Gmail"),"")</f>
        <v/>
      </c>
      <c r="J6040">
        <f>IF(E6040="Outlook",COUNTIF($E$2:E6040,"Outlook"),"")</f>
        <v/>
      </c>
      <c r="K6040">
        <f>IF(E6040="Domain",COUNTIF($E$2:E6040,"Domain"),"")</f>
        <v/>
      </c>
    </row>
    <row r="6041">
      <c r="A6041" s="2" t="n"/>
      <c r="B6041">
        <f>LOWER(TRIM(A6041))</f>
        <v/>
      </c>
      <c r="C6041">
        <f>IF(B6041="","",IFERROR(INDEX('Bad Patterns'!$A$2:$A$120,MATCH(1,INDEX(--ISNUMBER(SEARCH('Bad Patterns'!$A$2:$A$120,B6041)),0),0)),""))</f>
        <v/>
      </c>
      <c r="D6041">
        <f>IF(B6041="","",IF(C6041&lt;&gt;"","REMOVE","KEEP"))</f>
        <v/>
      </c>
      <c r="E6041">
        <f>IF(D6041&lt;&gt;"KEEP","",IF(RIGHT(B6041,10)="@gmail.com","Gmail",IF(OR(RIGHT(B6041,12)="@outlook.com",RIGHT(B6041,12)="@hotmail.com",RIGHT(B6041,9)="@live.com"),"Outlook","Domain")))</f>
        <v/>
      </c>
      <c r="F6041">
        <f>IF(B6041="","",IFERROR(RIGHT(B6041,LEN(B6041)-FIND("@",B6041)),""))</f>
        <v/>
      </c>
      <c r="G6041">
        <f>IF(D6041="KEEP",COUNTIF($D$2:D6041,"KEEP"),"")</f>
        <v/>
      </c>
      <c r="H6041">
        <f>IF(D6041="REMOVE",COUNTIF($D$2:D6041,"REMOVE"),"")</f>
        <v/>
      </c>
      <c r="I6041">
        <f>IF(E6041="Gmail",COUNTIF($E$2:E6041,"Gmail"),"")</f>
        <v/>
      </c>
      <c r="J6041">
        <f>IF(E6041="Outlook",COUNTIF($E$2:E6041,"Outlook"),"")</f>
        <v/>
      </c>
      <c r="K6041">
        <f>IF(E6041="Domain",COUNTIF($E$2:E6041,"Domain"),"")</f>
        <v/>
      </c>
    </row>
    <row r="6042">
      <c r="A6042" s="2" t="n"/>
      <c r="B6042">
        <f>LOWER(TRIM(A6042))</f>
        <v/>
      </c>
      <c r="C6042">
        <f>IF(B6042="","",IFERROR(INDEX('Bad Patterns'!$A$2:$A$120,MATCH(1,INDEX(--ISNUMBER(SEARCH('Bad Patterns'!$A$2:$A$120,B6042)),0),0)),""))</f>
        <v/>
      </c>
      <c r="D6042">
        <f>IF(B6042="","",IF(C6042&lt;&gt;"","REMOVE","KEEP"))</f>
        <v/>
      </c>
      <c r="E6042">
        <f>IF(D6042&lt;&gt;"KEEP","",IF(RIGHT(B6042,10)="@gmail.com","Gmail",IF(OR(RIGHT(B6042,12)="@outlook.com",RIGHT(B6042,12)="@hotmail.com",RIGHT(B6042,9)="@live.com"),"Outlook","Domain")))</f>
        <v/>
      </c>
      <c r="F6042">
        <f>IF(B6042="","",IFERROR(RIGHT(B6042,LEN(B6042)-FIND("@",B6042)),""))</f>
        <v/>
      </c>
      <c r="G6042">
        <f>IF(D6042="KEEP",COUNTIF($D$2:D6042,"KEEP"),"")</f>
        <v/>
      </c>
      <c r="H6042">
        <f>IF(D6042="REMOVE",COUNTIF($D$2:D6042,"REMOVE"),"")</f>
        <v/>
      </c>
      <c r="I6042">
        <f>IF(E6042="Gmail",COUNTIF($E$2:E6042,"Gmail"),"")</f>
        <v/>
      </c>
      <c r="J6042">
        <f>IF(E6042="Outlook",COUNTIF($E$2:E6042,"Outlook"),"")</f>
        <v/>
      </c>
      <c r="K6042">
        <f>IF(E6042="Domain",COUNTIF($E$2:E6042,"Domain"),"")</f>
        <v/>
      </c>
    </row>
    <row r="6043">
      <c r="A6043" s="2" t="n"/>
      <c r="B6043">
        <f>LOWER(TRIM(A6043))</f>
        <v/>
      </c>
      <c r="C6043">
        <f>IF(B6043="","",IFERROR(INDEX('Bad Patterns'!$A$2:$A$120,MATCH(1,INDEX(--ISNUMBER(SEARCH('Bad Patterns'!$A$2:$A$120,B6043)),0),0)),""))</f>
        <v/>
      </c>
      <c r="D6043">
        <f>IF(B6043="","",IF(C6043&lt;&gt;"","REMOVE","KEEP"))</f>
        <v/>
      </c>
      <c r="E6043">
        <f>IF(D6043&lt;&gt;"KEEP","",IF(RIGHT(B6043,10)="@gmail.com","Gmail",IF(OR(RIGHT(B6043,12)="@outlook.com",RIGHT(B6043,12)="@hotmail.com",RIGHT(B6043,9)="@live.com"),"Outlook","Domain")))</f>
        <v/>
      </c>
      <c r="F6043">
        <f>IF(B6043="","",IFERROR(RIGHT(B6043,LEN(B6043)-FIND("@",B6043)),""))</f>
        <v/>
      </c>
      <c r="G6043">
        <f>IF(D6043="KEEP",COUNTIF($D$2:D6043,"KEEP"),"")</f>
        <v/>
      </c>
      <c r="H6043">
        <f>IF(D6043="REMOVE",COUNTIF($D$2:D6043,"REMOVE"),"")</f>
        <v/>
      </c>
      <c r="I6043">
        <f>IF(E6043="Gmail",COUNTIF($E$2:E6043,"Gmail"),"")</f>
        <v/>
      </c>
      <c r="J6043">
        <f>IF(E6043="Outlook",COUNTIF($E$2:E6043,"Outlook"),"")</f>
        <v/>
      </c>
      <c r="K6043">
        <f>IF(E6043="Domain",COUNTIF($E$2:E6043,"Domain"),"")</f>
        <v/>
      </c>
    </row>
    <row r="6044">
      <c r="A6044" s="2" t="n"/>
      <c r="B6044">
        <f>LOWER(TRIM(A6044))</f>
        <v/>
      </c>
      <c r="C6044">
        <f>IF(B6044="","",IFERROR(INDEX('Bad Patterns'!$A$2:$A$120,MATCH(1,INDEX(--ISNUMBER(SEARCH('Bad Patterns'!$A$2:$A$120,B6044)),0),0)),""))</f>
        <v/>
      </c>
      <c r="D6044">
        <f>IF(B6044="","",IF(C6044&lt;&gt;"","REMOVE","KEEP"))</f>
        <v/>
      </c>
      <c r="E6044">
        <f>IF(D6044&lt;&gt;"KEEP","",IF(RIGHT(B6044,10)="@gmail.com","Gmail",IF(OR(RIGHT(B6044,12)="@outlook.com",RIGHT(B6044,12)="@hotmail.com",RIGHT(B6044,9)="@live.com"),"Outlook","Domain")))</f>
        <v/>
      </c>
      <c r="F6044">
        <f>IF(B6044="","",IFERROR(RIGHT(B6044,LEN(B6044)-FIND("@",B6044)),""))</f>
        <v/>
      </c>
      <c r="G6044">
        <f>IF(D6044="KEEP",COUNTIF($D$2:D6044,"KEEP"),"")</f>
        <v/>
      </c>
      <c r="H6044">
        <f>IF(D6044="REMOVE",COUNTIF($D$2:D6044,"REMOVE"),"")</f>
        <v/>
      </c>
      <c r="I6044">
        <f>IF(E6044="Gmail",COUNTIF($E$2:E6044,"Gmail"),"")</f>
        <v/>
      </c>
      <c r="J6044">
        <f>IF(E6044="Outlook",COUNTIF($E$2:E6044,"Outlook"),"")</f>
        <v/>
      </c>
      <c r="K6044">
        <f>IF(E6044="Domain",COUNTIF($E$2:E6044,"Domain"),"")</f>
        <v/>
      </c>
    </row>
    <row r="6045">
      <c r="A6045" s="2" t="n"/>
      <c r="B6045">
        <f>LOWER(TRIM(A6045))</f>
        <v/>
      </c>
      <c r="C6045">
        <f>IF(B6045="","",IFERROR(INDEX('Bad Patterns'!$A$2:$A$120,MATCH(1,INDEX(--ISNUMBER(SEARCH('Bad Patterns'!$A$2:$A$120,B6045)),0),0)),""))</f>
        <v/>
      </c>
      <c r="D6045">
        <f>IF(B6045="","",IF(C6045&lt;&gt;"","REMOVE","KEEP"))</f>
        <v/>
      </c>
      <c r="E6045">
        <f>IF(D6045&lt;&gt;"KEEP","",IF(RIGHT(B6045,10)="@gmail.com","Gmail",IF(OR(RIGHT(B6045,12)="@outlook.com",RIGHT(B6045,12)="@hotmail.com",RIGHT(B6045,9)="@live.com"),"Outlook","Domain")))</f>
        <v/>
      </c>
      <c r="F6045">
        <f>IF(B6045="","",IFERROR(RIGHT(B6045,LEN(B6045)-FIND("@",B6045)),""))</f>
        <v/>
      </c>
      <c r="G6045">
        <f>IF(D6045="KEEP",COUNTIF($D$2:D6045,"KEEP"),"")</f>
        <v/>
      </c>
      <c r="H6045">
        <f>IF(D6045="REMOVE",COUNTIF($D$2:D6045,"REMOVE"),"")</f>
        <v/>
      </c>
      <c r="I6045">
        <f>IF(E6045="Gmail",COUNTIF($E$2:E6045,"Gmail"),"")</f>
        <v/>
      </c>
      <c r="J6045">
        <f>IF(E6045="Outlook",COUNTIF($E$2:E6045,"Outlook"),"")</f>
        <v/>
      </c>
      <c r="K6045">
        <f>IF(E6045="Domain",COUNTIF($E$2:E6045,"Domain"),"")</f>
        <v/>
      </c>
    </row>
    <row r="6046">
      <c r="A6046" s="2" t="n"/>
      <c r="B6046">
        <f>LOWER(TRIM(A6046))</f>
        <v/>
      </c>
      <c r="C6046">
        <f>IF(B6046="","",IFERROR(INDEX('Bad Patterns'!$A$2:$A$120,MATCH(1,INDEX(--ISNUMBER(SEARCH('Bad Patterns'!$A$2:$A$120,B6046)),0),0)),""))</f>
        <v/>
      </c>
      <c r="D6046">
        <f>IF(B6046="","",IF(C6046&lt;&gt;"","REMOVE","KEEP"))</f>
        <v/>
      </c>
      <c r="E6046">
        <f>IF(D6046&lt;&gt;"KEEP","",IF(RIGHT(B6046,10)="@gmail.com","Gmail",IF(OR(RIGHT(B6046,12)="@outlook.com",RIGHT(B6046,12)="@hotmail.com",RIGHT(B6046,9)="@live.com"),"Outlook","Domain")))</f>
        <v/>
      </c>
      <c r="F6046">
        <f>IF(B6046="","",IFERROR(RIGHT(B6046,LEN(B6046)-FIND("@",B6046)),""))</f>
        <v/>
      </c>
      <c r="G6046">
        <f>IF(D6046="KEEP",COUNTIF($D$2:D6046,"KEEP"),"")</f>
        <v/>
      </c>
      <c r="H6046">
        <f>IF(D6046="REMOVE",COUNTIF($D$2:D6046,"REMOVE"),"")</f>
        <v/>
      </c>
      <c r="I6046">
        <f>IF(E6046="Gmail",COUNTIF($E$2:E6046,"Gmail"),"")</f>
        <v/>
      </c>
      <c r="J6046">
        <f>IF(E6046="Outlook",COUNTIF($E$2:E6046,"Outlook"),"")</f>
        <v/>
      </c>
      <c r="K6046">
        <f>IF(E6046="Domain",COUNTIF($E$2:E6046,"Domain"),"")</f>
        <v/>
      </c>
    </row>
    <row r="6047">
      <c r="A6047" s="2" t="n"/>
      <c r="B6047">
        <f>LOWER(TRIM(A6047))</f>
        <v/>
      </c>
      <c r="C6047">
        <f>IF(B6047="","",IFERROR(INDEX('Bad Patterns'!$A$2:$A$120,MATCH(1,INDEX(--ISNUMBER(SEARCH('Bad Patterns'!$A$2:$A$120,B6047)),0),0)),""))</f>
        <v/>
      </c>
      <c r="D6047">
        <f>IF(B6047="","",IF(C6047&lt;&gt;"","REMOVE","KEEP"))</f>
        <v/>
      </c>
      <c r="E6047">
        <f>IF(D6047&lt;&gt;"KEEP","",IF(RIGHT(B6047,10)="@gmail.com","Gmail",IF(OR(RIGHT(B6047,12)="@outlook.com",RIGHT(B6047,12)="@hotmail.com",RIGHT(B6047,9)="@live.com"),"Outlook","Domain")))</f>
        <v/>
      </c>
      <c r="F6047">
        <f>IF(B6047="","",IFERROR(RIGHT(B6047,LEN(B6047)-FIND("@",B6047)),""))</f>
        <v/>
      </c>
      <c r="G6047">
        <f>IF(D6047="KEEP",COUNTIF($D$2:D6047,"KEEP"),"")</f>
        <v/>
      </c>
      <c r="H6047">
        <f>IF(D6047="REMOVE",COUNTIF($D$2:D6047,"REMOVE"),"")</f>
        <v/>
      </c>
      <c r="I6047">
        <f>IF(E6047="Gmail",COUNTIF($E$2:E6047,"Gmail"),"")</f>
        <v/>
      </c>
      <c r="J6047">
        <f>IF(E6047="Outlook",COUNTIF($E$2:E6047,"Outlook"),"")</f>
        <v/>
      </c>
      <c r="K6047">
        <f>IF(E6047="Domain",COUNTIF($E$2:E6047,"Domain"),"")</f>
        <v/>
      </c>
    </row>
    <row r="6048">
      <c r="A6048" s="2" t="n"/>
      <c r="B6048">
        <f>LOWER(TRIM(A6048))</f>
        <v/>
      </c>
      <c r="C6048">
        <f>IF(B6048="","",IFERROR(INDEX('Bad Patterns'!$A$2:$A$120,MATCH(1,INDEX(--ISNUMBER(SEARCH('Bad Patterns'!$A$2:$A$120,B6048)),0),0)),""))</f>
        <v/>
      </c>
      <c r="D6048">
        <f>IF(B6048="","",IF(C6048&lt;&gt;"","REMOVE","KEEP"))</f>
        <v/>
      </c>
      <c r="E6048">
        <f>IF(D6048&lt;&gt;"KEEP","",IF(RIGHT(B6048,10)="@gmail.com","Gmail",IF(OR(RIGHT(B6048,12)="@outlook.com",RIGHT(B6048,12)="@hotmail.com",RIGHT(B6048,9)="@live.com"),"Outlook","Domain")))</f>
        <v/>
      </c>
      <c r="F6048">
        <f>IF(B6048="","",IFERROR(RIGHT(B6048,LEN(B6048)-FIND("@",B6048)),""))</f>
        <v/>
      </c>
      <c r="G6048">
        <f>IF(D6048="KEEP",COUNTIF($D$2:D6048,"KEEP"),"")</f>
        <v/>
      </c>
      <c r="H6048">
        <f>IF(D6048="REMOVE",COUNTIF($D$2:D6048,"REMOVE"),"")</f>
        <v/>
      </c>
      <c r="I6048">
        <f>IF(E6048="Gmail",COUNTIF($E$2:E6048,"Gmail"),"")</f>
        <v/>
      </c>
      <c r="J6048">
        <f>IF(E6048="Outlook",COUNTIF($E$2:E6048,"Outlook"),"")</f>
        <v/>
      </c>
      <c r="K6048">
        <f>IF(E6048="Domain",COUNTIF($E$2:E6048,"Domain"),"")</f>
        <v/>
      </c>
    </row>
    <row r="6049">
      <c r="A6049" s="2" t="n"/>
      <c r="B6049">
        <f>LOWER(TRIM(A6049))</f>
        <v/>
      </c>
      <c r="C6049">
        <f>IF(B6049="","",IFERROR(INDEX('Bad Patterns'!$A$2:$A$120,MATCH(1,INDEX(--ISNUMBER(SEARCH('Bad Patterns'!$A$2:$A$120,B6049)),0),0)),""))</f>
        <v/>
      </c>
      <c r="D6049">
        <f>IF(B6049="","",IF(C6049&lt;&gt;"","REMOVE","KEEP"))</f>
        <v/>
      </c>
      <c r="E6049">
        <f>IF(D6049&lt;&gt;"KEEP","",IF(RIGHT(B6049,10)="@gmail.com","Gmail",IF(OR(RIGHT(B6049,12)="@outlook.com",RIGHT(B6049,12)="@hotmail.com",RIGHT(B6049,9)="@live.com"),"Outlook","Domain")))</f>
        <v/>
      </c>
      <c r="F6049">
        <f>IF(B6049="","",IFERROR(RIGHT(B6049,LEN(B6049)-FIND("@",B6049)),""))</f>
        <v/>
      </c>
      <c r="G6049">
        <f>IF(D6049="KEEP",COUNTIF($D$2:D6049,"KEEP"),"")</f>
        <v/>
      </c>
      <c r="H6049">
        <f>IF(D6049="REMOVE",COUNTIF($D$2:D6049,"REMOVE"),"")</f>
        <v/>
      </c>
      <c r="I6049">
        <f>IF(E6049="Gmail",COUNTIF($E$2:E6049,"Gmail"),"")</f>
        <v/>
      </c>
      <c r="J6049">
        <f>IF(E6049="Outlook",COUNTIF($E$2:E6049,"Outlook"),"")</f>
        <v/>
      </c>
      <c r="K6049">
        <f>IF(E6049="Domain",COUNTIF($E$2:E6049,"Domain"),"")</f>
        <v/>
      </c>
    </row>
    <row r="6050">
      <c r="A6050" s="2" t="n"/>
      <c r="B6050">
        <f>LOWER(TRIM(A6050))</f>
        <v/>
      </c>
      <c r="C6050">
        <f>IF(B6050="","",IFERROR(INDEX('Bad Patterns'!$A$2:$A$120,MATCH(1,INDEX(--ISNUMBER(SEARCH('Bad Patterns'!$A$2:$A$120,B6050)),0),0)),""))</f>
        <v/>
      </c>
      <c r="D6050">
        <f>IF(B6050="","",IF(C6050&lt;&gt;"","REMOVE","KEEP"))</f>
        <v/>
      </c>
      <c r="E6050">
        <f>IF(D6050&lt;&gt;"KEEP","",IF(RIGHT(B6050,10)="@gmail.com","Gmail",IF(OR(RIGHT(B6050,12)="@outlook.com",RIGHT(B6050,12)="@hotmail.com",RIGHT(B6050,9)="@live.com"),"Outlook","Domain")))</f>
        <v/>
      </c>
      <c r="F6050">
        <f>IF(B6050="","",IFERROR(RIGHT(B6050,LEN(B6050)-FIND("@",B6050)),""))</f>
        <v/>
      </c>
      <c r="G6050">
        <f>IF(D6050="KEEP",COUNTIF($D$2:D6050,"KEEP"),"")</f>
        <v/>
      </c>
      <c r="H6050">
        <f>IF(D6050="REMOVE",COUNTIF($D$2:D6050,"REMOVE"),"")</f>
        <v/>
      </c>
      <c r="I6050">
        <f>IF(E6050="Gmail",COUNTIF($E$2:E6050,"Gmail"),"")</f>
        <v/>
      </c>
      <c r="J6050">
        <f>IF(E6050="Outlook",COUNTIF($E$2:E6050,"Outlook"),"")</f>
        <v/>
      </c>
      <c r="K6050">
        <f>IF(E6050="Domain",COUNTIF($E$2:E6050,"Domain"),"")</f>
        <v/>
      </c>
    </row>
    <row r="6051">
      <c r="A6051" s="2" t="n"/>
      <c r="B6051">
        <f>LOWER(TRIM(A6051))</f>
        <v/>
      </c>
      <c r="C6051">
        <f>IF(B6051="","",IFERROR(INDEX('Bad Patterns'!$A$2:$A$120,MATCH(1,INDEX(--ISNUMBER(SEARCH('Bad Patterns'!$A$2:$A$120,B6051)),0),0)),""))</f>
        <v/>
      </c>
      <c r="D6051">
        <f>IF(B6051="","",IF(C6051&lt;&gt;"","REMOVE","KEEP"))</f>
        <v/>
      </c>
      <c r="E6051">
        <f>IF(D6051&lt;&gt;"KEEP","",IF(RIGHT(B6051,10)="@gmail.com","Gmail",IF(OR(RIGHT(B6051,12)="@outlook.com",RIGHT(B6051,12)="@hotmail.com",RIGHT(B6051,9)="@live.com"),"Outlook","Domain")))</f>
        <v/>
      </c>
      <c r="F6051">
        <f>IF(B6051="","",IFERROR(RIGHT(B6051,LEN(B6051)-FIND("@",B6051)),""))</f>
        <v/>
      </c>
      <c r="G6051">
        <f>IF(D6051="KEEP",COUNTIF($D$2:D6051,"KEEP"),"")</f>
        <v/>
      </c>
      <c r="H6051">
        <f>IF(D6051="REMOVE",COUNTIF($D$2:D6051,"REMOVE"),"")</f>
        <v/>
      </c>
      <c r="I6051">
        <f>IF(E6051="Gmail",COUNTIF($E$2:E6051,"Gmail"),"")</f>
        <v/>
      </c>
      <c r="J6051">
        <f>IF(E6051="Outlook",COUNTIF($E$2:E6051,"Outlook"),"")</f>
        <v/>
      </c>
      <c r="K6051">
        <f>IF(E6051="Domain",COUNTIF($E$2:E6051,"Domain"),"")</f>
        <v/>
      </c>
    </row>
    <row r="6052">
      <c r="A6052" s="2" t="n"/>
      <c r="B6052">
        <f>LOWER(TRIM(A6052))</f>
        <v/>
      </c>
      <c r="C6052">
        <f>IF(B6052="","",IFERROR(INDEX('Bad Patterns'!$A$2:$A$120,MATCH(1,INDEX(--ISNUMBER(SEARCH('Bad Patterns'!$A$2:$A$120,B6052)),0),0)),""))</f>
        <v/>
      </c>
      <c r="D6052">
        <f>IF(B6052="","",IF(C6052&lt;&gt;"","REMOVE","KEEP"))</f>
        <v/>
      </c>
      <c r="E6052">
        <f>IF(D6052&lt;&gt;"KEEP","",IF(RIGHT(B6052,10)="@gmail.com","Gmail",IF(OR(RIGHT(B6052,12)="@outlook.com",RIGHT(B6052,12)="@hotmail.com",RIGHT(B6052,9)="@live.com"),"Outlook","Domain")))</f>
        <v/>
      </c>
      <c r="F6052">
        <f>IF(B6052="","",IFERROR(RIGHT(B6052,LEN(B6052)-FIND("@",B6052)),""))</f>
        <v/>
      </c>
      <c r="G6052">
        <f>IF(D6052="KEEP",COUNTIF($D$2:D6052,"KEEP"),"")</f>
        <v/>
      </c>
      <c r="H6052">
        <f>IF(D6052="REMOVE",COUNTIF($D$2:D6052,"REMOVE"),"")</f>
        <v/>
      </c>
      <c r="I6052">
        <f>IF(E6052="Gmail",COUNTIF($E$2:E6052,"Gmail"),"")</f>
        <v/>
      </c>
      <c r="J6052">
        <f>IF(E6052="Outlook",COUNTIF($E$2:E6052,"Outlook"),"")</f>
        <v/>
      </c>
      <c r="K6052">
        <f>IF(E6052="Domain",COUNTIF($E$2:E6052,"Domain"),"")</f>
        <v/>
      </c>
    </row>
    <row r="6053">
      <c r="A6053" s="2" t="n"/>
      <c r="B6053">
        <f>LOWER(TRIM(A6053))</f>
        <v/>
      </c>
      <c r="C6053">
        <f>IF(B6053="","",IFERROR(INDEX('Bad Patterns'!$A$2:$A$120,MATCH(1,INDEX(--ISNUMBER(SEARCH('Bad Patterns'!$A$2:$A$120,B6053)),0),0)),""))</f>
        <v/>
      </c>
      <c r="D6053">
        <f>IF(B6053="","",IF(C6053&lt;&gt;"","REMOVE","KEEP"))</f>
        <v/>
      </c>
      <c r="E6053">
        <f>IF(D6053&lt;&gt;"KEEP","",IF(RIGHT(B6053,10)="@gmail.com","Gmail",IF(OR(RIGHT(B6053,12)="@outlook.com",RIGHT(B6053,12)="@hotmail.com",RIGHT(B6053,9)="@live.com"),"Outlook","Domain")))</f>
        <v/>
      </c>
      <c r="F6053">
        <f>IF(B6053="","",IFERROR(RIGHT(B6053,LEN(B6053)-FIND("@",B6053)),""))</f>
        <v/>
      </c>
      <c r="G6053">
        <f>IF(D6053="KEEP",COUNTIF($D$2:D6053,"KEEP"),"")</f>
        <v/>
      </c>
      <c r="H6053">
        <f>IF(D6053="REMOVE",COUNTIF($D$2:D6053,"REMOVE"),"")</f>
        <v/>
      </c>
      <c r="I6053">
        <f>IF(E6053="Gmail",COUNTIF($E$2:E6053,"Gmail"),"")</f>
        <v/>
      </c>
      <c r="J6053">
        <f>IF(E6053="Outlook",COUNTIF($E$2:E6053,"Outlook"),"")</f>
        <v/>
      </c>
      <c r="K6053">
        <f>IF(E6053="Domain",COUNTIF($E$2:E6053,"Domain"),"")</f>
        <v/>
      </c>
    </row>
    <row r="6054">
      <c r="A6054" s="2" t="n"/>
      <c r="B6054">
        <f>LOWER(TRIM(A6054))</f>
        <v/>
      </c>
      <c r="C6054">
        <f>IF(B6054="","",IFERROR(INDEX('Bad Patterns'!$A$2:$A$120,MATCH(1,INDEX(--ISNUMBER(SEARCH('Bad Patterns'!$A$2:$A$120,B6054)),0),0)),""))</f>
        <v/>
      </c>
      <c r="D6054">
        <f>IF(B6054="","",IF(C6054&lt;&gt;"","REMOVE","KEEP"))</f>
        <v/>
      </c>
      <c r="E6054">
        <f>IF(D6054&lt;&gt;"KEEP","",IF(RIGHT(B6054,10)="@gmail.com","Gmail",IF(OR(RIGHT(B6054,12)="@outlook.com",RIGHT(B6054,12)="@hotmail.com",RIGHT(B6054,9)="@live.com"),"Outlook","Domain")))</f>
        <v/>
      </c>
      <c r="F6054">
        <f>IF(B6054="","",IFERROR(RIGHT(B6054,LEN(B6054)-FIND("@",B6054)),""))</f>
        <v/>
      </c>
      <c r="G6054">
        <f>IF(D6054="KEEP",COUNTIF($D$2:D6054,"KEEP"),"")</f>
        <v/>
      </c>
      <c r="H6054">
        <f>IF(D6054="REMOVE",COUNTIF($D$2:D6054,"REMOVE"),"")</f>
        <v/>
      </c>
      <c r="I6054">
        <f>IF(E6054="Gmail",COUNTIF($E$2:E6054,"Gmail"),"")</f>
        <v/>
      </c>
      <c r="J6054">
        <f>IF(E6054="Outlook",COUNTIF($E$2:E6054,"Outlook"),"")</f>
        <v/>
      </c>
      <c r="K6054">
        <f>IF(E6054="Domain",COUNTIF($E$2:E6054,"Domain"),"")</f>
        <v/>
      </c>
    </row>
    <row r="6055">
      <c r="A6055" s="2" t="n"/>
      <c r="B6055">
        <f>LOWER(TRIM(A6055))</f>
        <v/>
      </c>
      <c r="C6055">
        <f>IF(B6055="","",IFERROR(INDEX('Bad Patterns'!$A$2:$A$120,MATCH(1,INDEX(--ISNUMBER(SEARCH('Bad Patterns'!$A$2:$A$120,B6055)),0),0)),""))</f>
        <v/>
      </c>
      <c r="D6055">
        <f>IF(B6055="","",IF(C6055&lt;&gt;"","REMOVE","KEEP"))</f>
        <v/>
      </c>
      <c r="E6055">
        <f>IF(D6055&lt;&gt;"KEEP","",IF(RIGHT(B6055,10)="@gmail.com","Gmail",IF(OR(RIGHT(B6055,12)="@outlook.com",RIGHT(B6055,12)="@hotmail.com",RIGHT(B6055,9)="@live.com"),"Outlook","Domain")))</f>
        <v/>
      </c>
      <c r="F6055">
        <f>IF(B6055="","",IFERROR(RIGHT(B6055,LEN(B6055)-FIND("@",B6055)),""))</f>
        <v/>
      </c>
      <c r="G6055">
        <f>IF(D6055="KEEP",COUNTIF($D$2:D6055,"KEEP"),"")</f>
        <v/>
      </c>
      <c r="H6055">
        <f>IF(D6055="REMOVE",COUNTIF($D$2:D6055,"REMOVE"),"")</f>
        <v/>
      </c>
      <c r="I6055">
        <f>IF(E6055="Gmail",COUNTIF($E$2:E6055,"Gmail"),"")</f>
        <v/>
      </c>
      <c r="J6055">
        <f>IF(E6055="Outlook",COUNTIF($E$2:E6055,"Outlook"),"")</f>
        <v/>
      </c>
      <c r="K6055">
        <f>IF(E6055="Domain",COUNTIF($E$2:E6055,"Domain"),"")</f>
        <v/>
      </c>
    </row>
    <row r="6056">
      <c r="A6056" s="2" t="n"/>
      <c r="B6056">
        <f>LOWER(TRIM(A6056))</f>
        <v/>
      </c>
      <c r="C6056">
        <f>IF(B6056="","",IFERROR(INDEX('Bad Patterns'!$A$2:$A$120,MATCH(1,INDEX(--ISNUMBER(SEARCH('Bad Patterns'!$A$2:$A$120,B6056)),0),0)),""))</f>
        <v/>
      </c>
      <c r="D6056">
        <f>IF(B6056="","",IF(C6056&lt;&gt;"","REMOVE","KEEP"))</f>
        <v/>
      </c>
      <c r="E6056">
        <f>IF(D6056&lt;&gt;"KEEP","",IF(RIGHT(B6056,10)="@gmail.com","Gmail",IF(OR(RIGHT(B6056,12)="@outlook.com",RIGHT(B6056,12)="@hotmail.com",RIGHT(B6056,9)="@live.com"),"Outlook","Domain")))</f>
        <v/>
      </c>
      <c r="F6056">
        <f>IF(B6056="","",IFERROR(RIGHT(B6056,LEN(B6056)-FIND("@",B6056)),""))</f>
        <v/>
      </c>
      <c r="G6056">
        <f>IF(D6056="KEEP",COUNTIF($D$2:D6056,"KEEP"),"")</f>
        <v/>
      </c>
      <c r="H6056">
        <f>IF(D6056="REMOVE",COUNTIF($D$2:D6056,"REMOVE"),"")</f>
        <v/>
      </c>
      <c r="I6056">
        <f>IF(E6056="Gmail",COUNTIF($E$2:E6056,"Gmail"),"")</f>
        <v/>
      </c>
      <c r="J6056">
        <f>IF(E6056="Outlook",COUNTIF($E$2:E6056,"Outlook"),"")</f>
        <v/>
      </c>
      <c r="K6056">
        <f>IF(E6056="Domain",COUNTIF($E$2:E6056,"Domain"),"")</f>
        <v/>
      </c>
    </row>
    <row r="6057">
      <c r="A6057" s="2" t="n"/>
      <c r="B6057">
        <f>LOWER(TRIM(A6057))</f>
        <v/>
      </c>
      <c r="C6057">
        <f>IF(B6057="","",IFERROR(INDEX('Bad Patterns'!$A$2:$A$120,MATCH(1,INDEX(--ISNUMBER(SEARCH('Bad Patterns'!$A$2:$A$120,B6057)),0),0)),""))</f>
        <v/>
      </c>
      <c r="D6057">
        <f>IF(B6057="","",IF(C6057&lt;&gt;"","REMOVE","KEEP"))</f>
        <v/>
      </c>
      <c r="E6057">
        <f>IF(D6057&lt;&gt;"KEEP","",IF(RIGHT(B6057,10)="@gmail.com","Gmail",IF(OR(RIGHT(B6057,12)="@outlook.com",RIGHT(B6057,12)="@hotmail.com",RIGHT(B6057,9)="@live.com"),"Outlook","Domain")))</f>
        <v/>
      </c>
      <c r="F6057">
        <f>IF(B6057="","",IFERROR(RIGHT(B6057,LEN(B6057)-FIND("@",B6057)),""))</f>
        <v/>
      </c>
      <c r="G6057">
        <f>IF(D6057="KEEP",COUNTIF($D$2:D6057,"KEEP"),"")</f>
        <v/>
      </c>
      <c r="H6057">
        <f>IF(D6057="REMOVE",COUNTIF($D$2:D6057,"REMOVE"),"")</f>
        <v/>
      </c>
      <c r="I6057">
        <f>IF(E6057="Gmail",COUNTIF($E$2:E6057,"Gmail"),"")</f>
        <v/>
      </c>
      <c r="J6057">
        <f>IF(E6057="Outlook",COUNTIF($E$2:E6057,"Outlook"),"")</f>
        <v/>
      </c>
      <c r="K6057">
        <f>IF(E6057="Domain",COUNTIF($E$2:E6057,"Domain"),"")</f>
        <v/>
      </c>
    </row>
    <row r="6058">
      <c r="A6058" s="2" t="n"/>
      <c r="B6058">
        <f>LOWER(TRIM(A6058))</f>
        <v/>
      </c>
      <c r="C6058">
        <f>IF(B6058="","",IFERROR(INDEX('Bad Patterns'!$A$2:$A$120,MATCH(1,INDEX(--ISNUMBER(SEARCH('Bad Patterns'!$A$2:$A$120,B6058)),0),0)),""))</f>
        <v/>
      </c>
      <c r="D6058">
        <f>IF(B6058="","",IF(C6058&lt;&gt;"","REMOVE","KEEP"))</f>
        <v/>
      </c>
      <c r="E6058">
        <f>IF(D6058&lt;&gt;"KEEP","",IF(RIGHT(B6058,10)="@gmail.com","Gmail",IF(OR(RIGHT(B6058,12)="@outlook.com",RIGHT(B6058,12)="@hotmail.com",RIGHT(B6058,9)="@live.com"),"Outlook","Domain")))</f>
        <v/>
      </c>
      <c r="F6058">
        <f>IF(B6058="","",IFERROR(RIGHT(B6058,LEN(B6058)-FIND("@",B6058)),""))</f>
        <v/>
      </c>
      <c r="G6058">
        <f>IF(D6058="KEEP",COUNTIF($D$2:D6058,"KEEP"),"")</f>
        <v/>
      </c>
      <c r="H6058">
        <f>IF(D6058="REMOVE",COUNTIF($D$2:D6058,"REMOVE"),"")</f>
        <v/>
      </c>
      <c r="I6058">
        <f>IF(E6058="Gmail",COUNTIF($E$2:E6058,"Gmail"),"")</f>
        <v/>
      </c>
      <c r="J6058">
        <f>IF(E6058="Outlook",COUNTIF($E$2:E6058,"Outlook"),"")</f>
        <v/>
      </c>
      <c r="K6058">
        <f>IF(E6058="Domain",COUNTIF($E$2:E6058,"Domain"),"")</f>
        <v/>
      </c>
    </row>
    <row r="6059">
      <c r="A6059" s="2" t="n"/>
      <c r="B6059">
        <f>LOWER(TRIM(A6059))</f>
        <v/>
      </c>
      <c r="C6059">
        <f>IF(B6059="","",IFERROR(INDEX('Bad Patterns'!$A$2:$A$120,MATCH(1,INDEX(--ISNUMBER(SEARCH('Bad Patterns'!$A$2:$A$120,B6059)),0),0)),""))</f>
        <v/>
      </c>
      <c r="D6059">
        <f>IF(B6059="","",IF(C6059&lt;&gt;"","REMOVE","KEEP"))</f>
        <v/>
      </c>
      <c r="E6059">
        <f>IF(D6059&lt;&gt;"KEEP","",IF(RIGHT(B6059,10)="@gmail.com","Gmail",IF(OR(RIGHT(B6059,12)="@outlook.com",RIGHT(B6059,12)="@hotmail.com",RIGHT(B6059,9)="@live.com"),"Outlook","Domain")))</f>
        <v/>
      </c>
      <c r="F6059">
        <f>IF(B6059="","",IFERROR(RIGHT(B6059,LEN(B6059)-FIND("@",B6059)),""))</f>
        <v/>
      </c>
      <c r="G6059">
        <f>IF(D6059="KEEP",COUNTIF($D$2:D6059,"KEEP"),"")</f>
        <v/>
      </c>
      <c r="H6059">
        <f>IF(D6059="REMOVE",COUNTIF($D$2:D6059,"REMOVE"),"")</f>
        <v/>
      </c>
      <c r="I6059">
        <f>IF(E6059="Gmail",COUNTIF($E$2:E6059,"Gmail"),"")</f>
        <v/>
      </c>
      <c r="J6059">
        <f>IF(E6059="Outlook",COUNTIF($E$2:E6059,"Outlook"),"")</f>
        <v/>
      </c>
      <c r="K6059">
        <f>IF(E6059="Domain",COUNTIF($E$2:E6059,"Domain"),"")</f>
        <v/>
      </c>
    </row>
    <row r="6060">
      <c r="A6060" s="2" t="n"/>
      <c r="B6060">
        <f>LOWER(TRIM(A6060))</f>
        <v/>
      </c>
      <c r="C6060">
        <f>IF(B6060="","",IFERROR(INDEX('Bad Patterns'!$A$2:$A$120,MATCH(1,INDEX(--ISNUMBER(SEARCH('Bad Patterns'!$A$2:$A$120,B6060)),0),0)),""))</f>
        <v/>
      </c>
      <c r="D6060">
        <f>IF(B6060="","",IF(C6060&lt;&gt;"","REMOVE","KEEP"))</f>
        <v/>
      </c>
      <c r="E6060">
        <f>IF(D6060&lt;&gt;"KEEP","",IF(RIGHT(B6060,10)="@gmail.com","Gmail",IF(OR(RIGHT(B6060,12)="@outlook.com",RIGHT(B6060,12)="@hotmail.com",RIGHT(B6060,9)="@live.com"),"Outlook","Domain")))</f>
        <v/>
      </c>
      <c r="F6060">
        <f>IF(B6060="","",IFERROR(RIGHT(B6060,LEN(B6060)-FIND("@",B6060)),""))</f>
        <v/>
      </c>
      <c r="G6060">
        <f>IF(D6060="KEEP",COUNTIF($D$2:D6060,"KEEP"),"")</f>
        <v/>
      </c>
      <c r="H6060">
        <f>IF(D6060="REMOVE",COUNTIF($D$2:D6060,"REMOVE"),"")</f>
        <v/>
      </c>
      <c r="I6060">
        <f>IF(E6060="Gmail",COUNTIF($E$2:E6060,"Gmail"),"")</f>
        <v/>
      </c>
      <c r="J6060">
        <f>IF(E6060="Outlook",COUNTIF($E$2:E6060,"Outlook"),"")</f>
        <v/>
      </c>
      <c r="K6060">
        <f>IF(E6060="Domain",COUNTIF($E$2:E6060,"Domain"),"")</f>
        <v/>
      </c>
    </row>
    <row r="6061">
      <c r="A6061" s="2" t="n"/>
      <c r="B6061">
        <f>LOWER(TRIM(A6061))</f>
        <v/>
      </c>
      <c r="C6061">
        <f>IF(B6061="","",IFERROR(INDEX('Bad Patterns'!$A$2:$A$120,MATCH(1,INDEX(--ISNUMBER(SEARCH('Bad Patterns'!$A$2:$A$120,B6061)),0),0)),""))</f>
        <v/>
      </c>
      <c r="D6061">
        <f>IF(B6061="","",IF(C6061&lt;&gt;"","REMOVE","KEEP"))</f>
        <v/>
      </c>
      <c r="E6061">
        <f>IF(D6061&lt;&gt;"KEEP","",IF(RIGHT(B6061,10)="@gmail.com","Gmail",IF(OR(RIGHT(B6061,12)="@outlook.com",RIGHT(B6061,12)="@hotmail.com",RIGHT(B6061,9)="@live.com"),"Outlook","Domain")))</f>
        <v/>
      </c>
      <c r="F6061">
        <f>IF(B6061="","",IFERROR(RIGHT(B6061,LEN(B6061)-FIND("@",B6061)),""))</f>
        <v/>
      </c>
      <c r="G6061">
        <f>IF(D6061="KEEP",COUNTIF($D$2:D6061,"KEEP"),"")</f>
        <v/>
      </c>
      <c r="H6061">
        <f>IF(D6061="REMOVE",COUNTIF($D$2:D6061,"REMOVE"),"")</f>
        <v/>
      </c>
      <c r="I6061">
        <f>IF(E6061="Gmail",COUNTIF($E$2:E6061,"Gmail"),"")</f>
        <v/>
      </c>
      <c r="J6061">
        <f>IF(E6061="Outlook",COUNTIF($E$2:E6061,"Outlook"),"")</f>
        <v/>
      </c>
      <c r="K6061">
        <f>IF(E6061="Domain",COUNTIF($E$2:E6061,"Domain"),"")</f>
        <v/>
      </c>
    </row>
    <row r="6062">
      <c r="A6062" s="2" t="n"/>
      <c r="B6062">
        <f>LOWER(TRIM(A6062))</f>
        <v/>
      </c>
      <c r="C6062">
        <f>IF(B6062="","",IFERROR(INDEX('Bad Patterns'!$A$2:$A$120,MATCH(1,INDEX(--ISNUMBER(SEARCH('Bad Patterns'!$A$2:$A$120,B6062)),0),0)),""))</f>
        <v/>
      </c>
      <c r="D6062">
        <f>IF(B6062="","",IF(C6062&lt;&gt;"","REMOVE","KEEP"))</f>
        <v/>
      </c>
      <c r="E6062">
        <f>IF(D6062&lt;&gt;"KEEP","",IF(RIGHT(B6062,10)="@gmail.com","Gmail",IF(OR(RIGHT(B6062,12)="@outlook.com",RIGHT(B6062,12)="@hotmail.com",RIGHT(B6062,9)="@live.com"),"Outlook","Domain")))</f>
        <v/>
      </c>
      <c r="F6062">
        <f>IF(B6062="","",IFERROR(RIGHT(B6062,LEN(B6062)-FIND("@",B6062)),""))</f>
        <v/>
      </c>
      <c r="G6062">
        <f>IF(D6062="KEEP",COUNTIF($D$2:D6062,"KEEP"),"")</f>
        <v/>
      </c>
      <c r="H6062">
        <f>IF(D6062="REMOVE",COUNTIF($D$2:D6062,"REMOVE"),"")</f>
        <v/>
      </c>
      <c r="I6062">
        <f>IF(E6062="Gmail",COUNTIF($E$2:E6062,"Gmail"),"")</f>
        <v/>
      </c>
      <c r="J6062">
        <f>IF(E6062="Outlook",COUNTIF($E$2:E6062,"Outlook"),"")</f>
        <v/>
      </c>
      <c r="K6062">
        <f>IF(E6062="Domain",COUNTIF($E$2:E6062,"Domain"),"")</f>
        <v/>
      </c>
    </row>
    <row r="6063">
      <c r="A6063" s="2" t="n"/>
      <c r="B6063">
        <f>LOWER(TRIM(A6063))</f>
        <v/>
      </c>
      <c r="C6063">
        <f>IF(B6063="","",IFERROR(INDEX('Bad Patterns'!$A$2:$A$120,MATCH(1,INDEX(--ISNUMBER(SEARCH('Bad Patterns'!$A$2:$A$120,B6063)),0),0)),""))</f>
        <v/>
      </c>
      <c r="D6063">
        <f>IF(B6063="","",IF(C6063&lt;&gt;"","REMOVE","KEEP"))</f>
        <v/>
      </c>
      <c r="E6063">
        <f>IF(D6063&lt;&gt;"KEEP","",IF(RIGHT(B6063,10)="@gmail.com","Gmail",IF(OR(RIGHT(B6063,12)="@outlook.com",RIGHT(B6063,12)="@hotmail.com",RIGHT(B6063,9)="@live.com"),"Outlook","Domain")))</f>
        <v/>
      </c>
      <c r="F6063">
        <f>IF(B6063="","",IFERROR(RIGHT(B6063,LEN(B6063)-FIND("@",B6063)),""))</f>
        <v/>
      </c>
      <c r="G6063">
        <f>IF(D6063="KEEP",COUNTIF($D$2:D6063,"KEEP"),"")</f>
        <v/>
      </c>
      <c r="H6063">
        <f>IF(D6063="REMOVE",COUNTIF($D$2:D6063,"REMOVE"),"")</f>
        <v/>
      </c>
      <c r="I6063">
        <f>IF(E6063="Gmail",COUNTIF($E$2:E6063,"Gmail"),"")</f>
        <v/>
      </c>
      <c r="J6063">
        <f>IF(E6063="Outlook",COUNTIF($E$2:E6063,"Outlook"),"")</f>
        <v/>
      </c>
      <c r="K6063">
        <f>IF(E6063="Domain",COUNTIF($E$2:E6063,"Domain"),"")</f>
        <v/>
      </c>
    </row>
    <row r="6064">
      <c r="A6064" s="2" t="n"/>
      <c r="B6064">
        <f>LOWER(TRIM(A6064))</f>
        <v/>
      </c>
      <c r="C6064">
        <f>IF(B6064="","",IFERROR(INDEX('Bad Patterns'!$A$2:$A$120,MATCH(1,INDEX(--ISNUMBER(SEARCH('Bad Patterns'!$A$2:$A$120,B6064)),0),0)),""))</f>
        <v/>
      </c>
      <c r="D6064">
        <f>IF(B6064="","",IF(C6064&lt;&gt;"","REMOVE","KEEP"))</f>
        <v/>
      </c>
      <c r="E6064">
        <f>IF(D6064&lt;&gt;"KEEP","",IF(RIGHT(B6064,10)="@gmail.com","Gmail",IF(OR(RIGHT(B6064,12)="@outlook.com",RIGHT(B6064,12)="@hotmail.com",RIGHT(B6064,9)="@live.com"),"Outlook","Domain")))</f>
        <v/>
      </c>
      <c r="F6064">
        <f>IF(B6064="","",IFERROR(RIGHT(B6064,LEN(B6064)-FIND("@",B6064)),""))</f>
        <v/>
      </c>
      <c r="G6064">
        <f>IF(D6064="KEEP",COUNTIF($D$2:D6064,"KEEP"),"")</f>
        <v/>
      </c>
      <c r="H6064">
        <f>IF(D6064="REMOVE",COUNTIF($D$2:D6064,"REMOVE"),"")</f>
        <v/>
      </c>
      <c r="I6064">
        <f>IF(E6064="Gmail",COUNTIF($E$2:E6064,"Gmail"),"")</f>
        <v/>
      </c>
      <c r="J6064">
        <f>IF(E6064="Outlook",COUNTIF($E$2:E6064,"Outlook"),"")</f>
        <v/>
      </c>
      <c r="K6064">
        <f>IF(E6064="Domain",COUNTIF($E$2:E6064,"Domain"),"")</f>
        <v/>
      </c>
    </row>
    <row r="6065">
      <c r="A6065" s="2" t="n"/>
      <c r="B6065">
        <f>LOWER(TRIM(A6065))</f>
        <v/>
      </c>
      <c r="C6065">
        <f>IF(B6065="","",IFERROR(INDEX('Bad Patterns'!$A$2:$A$120,MATCH(1,INDEX(--ISNUMBER(SEARCH('Bad Patterns'!$A$2:$A$120,B6065)),0),0)),""))</f>
        <v/>
      </c>
      <c r="D6065">
        <f>IF(B6065="","",IF(C6065&lt;&gt;"","REMOVE","KEEP"))</f>
        <v/>
      </c>
      <c r="E6065">
        <f>IF(D6065&lt;&gt;"KEEP","",IF(RIGHT(B6065,10)="@gmail.com","Gmail",IF(OR(RIGHT(B6065,12)="@outlook.com",RIGHT(B6065,12)="@hotmail.com",RIGHT(B6065,9)="@live.com"),"Outlook","Domain")))</f>
        <v/>
      </c>
      <c r="F6065">
        <f>IF(B6065="","",IFERROR(RIGHT(B6065,LEN(B6065)-FIND("@",B6065)),""))</f>
        <v/>
      </c>
      <c r="G6065">
        <f>IF(D6065="KEEP",COUNTIF($D$2:D6065,"KEEP"),"")</f>
        <v/>
      </c>
      <c r="H6065">
        <f>IF(D6065="REMOVE",COUNTIF($D$2:D6065,"REMOVE"),"")</f>
        <v/>
      </c>
      <c r="I6065">
        <f>IF(E6065="Gmail",COUNTIF($E$2:E6065,"Gmail"),"")</f>
        <v/>
      </c>
      <c r="J6065">
        <f>IF(E6065="Outlook",COUNTIF($E$2:E6065,"Outlook"),"")</f>
        <v/>
      </c>
      <c r="K6065">
        <f>IF(E6065="Domain",COUNTIF($E$2:E6065,"Domain"),"")</f>
        <v/>
      </c>
    </row>
    <row r="6066">
      <c r="A6066" s="2" t="n"/>
      <c r="B6066">
        <f>LOWER(TRIM(A6066))</f>
        <v/>
      </c>
      <c r="C6066">
        <f>IF(B6066="","",IFERROR(INDEX('Bad Patterns'!$A$2:$A$120,MATCH(1,INDEX(--ISNUMBER(SEARCH('Bad Patterns'!$A$2:$A$120,B6066)),0),0)),""))</f>
        <v/>
      </c>
      <c r="D6066">
        <f>IF(B6066="","",IF(C6066&lt;&gt;"","REMOVE","KEEP"))</f>
        <v/>
      </c>
      <c r="E6066">
        <f>IF(D6066&lt;&gt;"KEEP","",IF(RIGHT(B6066,10)="@gmail.com","Gmail",IF(OR(RIGHT(B6066,12)="@outlook.com",RIGHT(B6066,12)="@hotmail.com",RIGHT(B6066,9)="@live.com"),"Outlook","Domain")))</f>
        <v/>
      </c>
      <c r="F6066">
        <f>IF(B6066="","",IFERROR(RIGHT(B6066,LEN(B6066)-FIND("@",B6066)),""))</f>
        <v/>
      </c>
      <c r="G6066">
        <f>IF(D6066="KEEP",COUNTIF($D$2:D6066,"KEEP"),"")</f>
        <v/>
      </c>
      <c r="H6066">
        <f>IF(D6066="REMOVE",COUNTIF($D$2:D6066,"REMOVE"),"")</f>
        <v/>
      </c>
      <c r="I6066">
        <f>IF(E6066="Gmail",COUNTIF($E$2:E6066,"Gmail"),"")</f>
        <v/>
      </c>
      <c r="J6066">
        <f>IF(E6066="Outlook",COUNTIF($E$2:E6066,"Outlook"),"")</f>
        <v/>
      </c>
      <c r="K6066">
        <f>IF(E6066="Domain",COUNTIF($E$2:E6066,"Domain"),"")</f>
        <v/>
      </c>
    </row>
    <row r="6067">
      <c r="A6067" s="2" t="n"/>
      <c r="B6067">
        <f>LOWER(TRIM(A6067))</f>
        <v/>
      </c>
      <c r="C6067">
        <f>IF(B6067="","",IFERROR(INDEX('Bad Patterns'!$A$2:$A$120,MATCH(1,INDEX(--ISNUMBER(SEARCH('Bad Patterns'!$A$2:$A$120,B6067)),0),0)),""))</f>
        <v/>
      </c>
      <c r="D6067">
        <f>IF(B6067="","",IF(C6067&lt;&gt;"","REMOVE","KEEP"))</f>
        <v/>
      </c>
      <c r="E6067">
        <f>IF(D6067&lt;&gt;"KEEP","",IF(RIGHT(B6067,10)="@gmail.com","Gmail",IF(OR(RIGHT(B6067,12)="@outlook.com",RIGHT(B6067,12)="@hotmail.com",RIGHT(B6067,9)="@live.com"),"Outlook","Domain")))</f>
        <v/>
      </c>
      <c r="F6067">
        <f>IF(B6067="","",IFERROR(RIGHT(B6067,LEN(B6067)-FIND("@",B6067)),""))</f>
        <v/>
      </c>
      <c r="G6067">
        <f>IF(D6067="KEEP",COUNTIF($D$2:D6067,"KEEP"),"")</f>
        <v/>
      </c>
      <c r="H6067">
        <f>IF(D6067="REMOVE",COUNTIF($D$2:D6067,"REMOVE"),"")</f>
        <v/>
      </c>
      <c r="I6067">
        <f>IF(E6067="Gmail",COUNTIF($E$2:E6067,"Gmail"),"")</f>
        <v/>
      </c>
      <c r="J6067">
        <f>IF(E6067="Outlook",COUNTIF($E$2:E6067,"Outlook"),"")</f>
        <v/>
      </c>
      <c r="K6067">
        <f>IF(E6067="Domain",COUNTIF($E$2:E6067,"Domain"),"")</f>
        <v/>
      </c>
    </row>
    <row r="6068">
      <c r="A6068" s="2" t="n"/>
      <c r="B6068">
        <f>LOWER(TRIM(A6068))</f>
        <v/>
      </c>
      <c r="C6068">
        <f>IF(B6068="","",IFERROR(INDEX('Bad Patterns'!$A$2:$A$120,MATCH(1,INDEX(--ISNUMBER(SEARCH('Bad Patterns'!$A$2:$A$120,B6068)),0),0)),""))</f>
        <v/>
      </c>
      <c r="D6068">
        <f>IF(B6068="","",IF(C6068&lt;&gt;"","REMOVE","KEEP"))</f>
        <v/>
      </c>
      <c r="E6068">
        <f>IF(D6068&lt;&gt;"KEEP","",IF(RIGHT(B6068,10)="@gmail.com","Gmail",IF(OR(RIGHT(B6068,12)="@outlook.com",RIGHT(B6068,12)="@hotmail.com",RIGHT(B6068,9)="@live.com"),"Outlook","Domain")))</f>
        <v/>
      </c>
      <c r="F6068">
        <f>IF(B6068="","",IFERROR(RIGHT(B6068,LEN(B6068)-FIND("@",B6068)),""))</f>
        <v/>
      </c>
      <c r="G6068">
        <f>IF(D6068="KEEP",COUNTIF($D$2:D6068,"KEEP"),"")</f>
        <v/>
      </c>
      <c r="H6068">
        <f>IF(D6068="REMOVE",COUNTIF($D$2:D6068,"REMOVE"),"")</f>
        <v/>
      </c>
      <c r="I6068">
        <f>IF(E6068="Gmail",COUNTIF($E$2:E6068,"Gmail"),"")</f>
        <v/>
      </c>
      <c r="J6068">
        <f>IF(E6068="Outlook",COUNTIF($E$2:E6068,"Outlook"),"")</f>
        <v/>
      </c>
      <c r="K6068">
        <f>IF(E6068="Domain",COUNTIF($E$2:E6068,"Domain"),"")</f>
        <v/>
      </c>
    </row>
    <row r="6069">
      <c r="A6069" s="2" t="n"/>
      <c r="B6069">
        <f>LOWER(TRIM(A6069))</f>
        <v/>
      </c>
      <c r="C6069">
        <f>IF(B6069="","",IFERROR(INDEX('Bad Patterns'!$A$2:$A$120,MATCH(1,INDEX(--ISNUMBER(SEARCH('Bad Patterns'!$A$2:$A$120,B6069)),0),0)),""))</f>
        <v/>
      </c>
      <c r="D6069">
        <f>IF(B6069="","",IF(C6069&lt;&gt;"","REMOVE","KEEP"))</f>
        <v/>
      </c>
      <c r="E6069">
        <f>IF(D6069&lt;&gt;"KEEP","",IF(RIGHT(B6069,10)="@gmail.com","Gmail",IF(OR(RIGHT(B6069,12)="@outlook.com",RIGHT(B6069,12)="@hotmail.com",RIGHT(B6069,9)="@live.com"),"Outlook","Domain")))</f>
        <v/>
      </c>
      <c r="F6069">
        <f>IF(B6069="","",IFERROR(RIGHT(B6069,LEN(B6069)-FIND("@",B6069)),""))</f>
        <v/>
      </c>
      <c r="G6069">
        <f>IF(D6069="KEEP",COUNTIF($D$2:D6069,"KEEP"),"")</f>
        <v/>
      </c>
      <c r="H6069">
        <f>IF(D6069="REMOVE",COUNTIF($D$2:D6069,"REMOVE"),"")</f>
        <v/>
      </c>
      <c r="I6069">
        <f>IF(E6069="Gmail",COUNTIF($E$2:E6069,"Gmail"),"")</f>
        <v/>
      </c>
      <c r="J6069">
        <f>IF(E6069="Outlook",COUNTIF($E$2:E6069,"Outlook"),"")</f>
        <v/>
      </c>
      <c r="K6069">
        <f>IF(E6069="Domain",COUNTIF($E$2:E6069,"Domain"),"")</f>
        <v/>
      </c>
    </row>
    <row r="6070">
      <c r="A6070" s="2" t="n"/>
      <c r="B6070">
        <f>LOWER(TRIM(A6070))</f>
        <v/>
      </c>
      <c r="C6070">
        <f>IF(B6070="","",IFERROR(INDEX('Bad Patterns'!$A$2:$A$120,MATCH(1,INDEX(--ISNUMBER(SEARCH('Bad Patterns'!$A$2:$A$120,B6070)),0),0)),""))</f>
        <v/>
      </c>
      <c r="D6070">
        <f>IF(B6070="","",IF(C6070&lt;&gt;"","REMOVE","KEEP"))</f>
        <v/>
      </c>
      <c r="E6070">
        <f>IF(D6070&lt;&gt;"KEEP","",IF(RIGHT(B6070,10)="@gmail.com","Gmail",IF(OR(RIGHT(B6070,12)="@outlook.com",RIGHT(B6070,12)="@hotmail.com",RIGHT(B6070,9)="@live.com"),"Outlook","Domain")))</f>
        <v/>
      </c>
      <c r="F6070">
        <f>IF(B6070="","",IFERROR(RIGHT(B6070,LEN(B6070)-FIND("@",B6070)),""))</f>
        <v/>
      </c>
      <c r="G6070">
        <f>IF(D6070="KEEP",COUNTIF($D$2:D6070,"KEEP"),"")</f>
        <v/>
      </c>
      <c r="H6070">
        <f>IF(D6070="REMOVE",COUNTIF($D$2:D6070,"REMOVE"),"")</f>
        <v/>
      </c>
      <c r="I6070">
        <f>IF(E6070="Gmail",COUNTIF($E$2:E6070,"Gmail"),"")</f>
        <v/>
      </c>
      <c r="J6070">
        <f>IF(E6070="Outlook",COUNTIF($E$2:E6070,"Outlook"),"")</f>
        <v/>
      </c>
      <c r="K6070">
        <f>IF(E6070="Domain",COUNTIF($E$2:E6070,"Domain"),"")</f>
        <v/>
      </c>
    </row>
    <row r="6071">
      <c r="A6071" s="2" t="n"/>
      <c r="B6071">
        <f>LOWER(TRIM(A6071))</f>
        <v/>
      </c>
      <c r="C6071">
        <f>IF(B6071="","",IFERROR(INDEX('Bad Patterns'!$A$2:$A$120,MATCH(1,INDEX(--ISNUMBER(SEARCH('Bad Patterns'!$A$2:$A$120,B6071)),0),0)),""))</f>
        <v/>
      </c>
      <c r="D6071">
        <f>IF(B6071="","",IF(C6071&lt;&gt;"","REMOVE","KEEP"))</f>
        <v/>
      </c>
      <c r="E6071">
        <f>IF(D6071&lt;&gt;"KEEP","",IF(RIGHT(B6071,10)="@gmail.com","Gmail",IF(OR(RIGHT(B6071,12)="@outlook.com",RIGHT(B6071,12)="@hotmail.com",RIGHT(B6071,9)="@live.com"),"Outlook","Domain")))</f>
        <v/>
      </c>
      <c r="F6071">
        <f>IF(B6071="","",IFERROR(RIGHT(B6071,LEN(B6071)-FIND("@",B6071)),""))</f>
        <v/>
      </c>
      <c r="G6071">
        <f>IF(D6071="KEEP",COUNTIF($D$2:D6071,"KEEP"),"")</f>
        <v/>
      </c>
      <c r="H6071">
        <f>IF(D6071="REMOVE",COUNTIF($D$2:D6071,"REMOVE"),"")</f>
        <v/>
      </c>
      <c r="I6071">
        <f>IF(E6071="Gmail",COUNTIF($E$2:E6071,"Gmail"),"")</f>
        <v/>
      </c>
      <c r="J6071">
        <f>IF(E6071="Outlook",COUNTIF($E$2:E6071,"Outlook"),"")</f>
        <v/>
      </c>
      <c r="K6071">
        <f>IF(E6071="Domain",COUNTIF($E$2:E6071,"Domain"),"")</f>
        <v/>
      </c>
    </row>
    <row r="6072">
      <c r="A6072" s="2" t="n"/>
      <c r="B6072">
        <f>LOWER(TRIM(A6072))</f>
        <v/>
      </c>
      <c r="C6072">
        <f>IF(B6072="","",IFERROR(INDEX('Bad Patterns'!$A$2:$A$120,MATCH(1,INDEX(--ISNUMBER(SEARCH('Bad Patterns'!$A$2:$A$120,B6072)),0),0)),""))</f>
        <v/>
      </c>
      <c r="D6072">
        <f>IF(B6072="","",IF(C6072&lt;&gt;"","REMOVE","KEEP"))</f>
        <v/>
      </c>
      <c r="E6072">
        <f>IF(D6072&lt;&gt;"KEEP","",IF(RIGHT(B6072,10)="@gmail.com","Gmail",IF(OR(RIGHT(B6072,12)="@outlook.com",RIGHT(B6072,12)="@hotmail.com",RIGHT(B6072,9)="@live.com"),"Outlook","Domain")))</f>
        <v/>
      </c>
      <c r="F6072">
        <f>IF(B6072="","",IFERROR(RIGHT(B6072,LEN(B6072)-FIND("@",B6072)),""))</f>
        <v/>
      </c>
      <c r="G6072">
        <f>IF(D6072="KEEP",COUNTIF($D$2:D6072,"KEEP"),"")</f>
        <v/>
      </c>
      <c r="H6072">
        <f>IF(D6072="REMOVE",COUNTIF($D$2:D6072,"REMOVE"),"")</f>
        <v/>
      </c>
      <c r="I6072">
        <f>IF(E6072="Gmail",COUNTIF($E$2:E6072,"Gmail"),"")</f>
        <v/>
      </c>
      <c r="J6072">
        <f>IF(E6072="Outlook",COUNTIF($E$2:E6072,"Outlook"),"")</f>
        <v/>
      </c>
      <c r="K6072">
        <f>IF(E6072="Domain",COUNTIF($E$2:E6072,"Domain"),"")</f>
        <v/>
      </c>
    </row>
    <row r="6073">
      <c r="A6073" s="2" t="n"/>
      <c r="B6073">
        <f>LOWER(TRIM(A6073))</f>
        <v/>
      </c>
      <c r="C6073">
        <f>IF(B6073="","",IFERROR(INDEX('Bad Patterns'!$A$2:$A$120,MATCH(1,INDEX(--ISNUMBER(SEARCH('Bad Patterns'!$A$2:$A$120,B6073)),0),0)),""))</f>
        <v/>
      </c>
      <c r="D6073">
        <f>IF(B6073="","",IF(C6073&lt;&gt;"","REMOVE","KEEP"))</f>
        <v/>
      </c>
      <c r="E6073">
        <f>IF(D6073&lt;&gt;"KEEP","",IF(RIGHT(B6073,10)="@gmail.com","Gmail",IF(OR(RIGHT(B6073,12)="@outlook.com",RIGHT(B6073,12)="@hotmail.com",RIGHT(B6073,9)="@live.com"),"Outlook","Domain")))</f>
        <v/>
      </c>
      <c r="F6073">
        <f>IF(B6073="","",IFERROR(RIGHT(B6073,LEN(B6073)-FIND("@",B6073)),""))</f>
        <v/>
      </c>
      <c r="G6073">
        <f>IF(D6073="KEEP",COUNTIF($D$2:D6073,"KEEP"),"")</f>
        <v/>
      </c>
      <c r="H6073">
        <f>IF(D6073="REMOVE",COUNTIF($D$2:D6073,"REMOVE"),"")</f>
        <v/>
      </c>
      <c r="I6073">
        <f>IF(E6073="Gmail",COUNTIF($E$2:E6073,"Gmail"),"")</f>
        <v/>
      </c>
      <c r="J6073">
        <f>IF(E6073="Outlook",COUNTIF($E$2:E6073,"Outlook"),"")</f>
        <v/>
      </c>
      <c r="K6073">
        <f>IF(E6073="Domain",COUNTIF($E$2:E6073,"Domain"),"")</f>
        <v/>
      </c>
    </row>
    <row r="6074">
      <c r="A6074" s="2" t="n"/>
      <c r="B6074">
        <f>LOWER(TRIM(A6074))</f>
        <v/>
      </c>
      <c r="C6074">
        <f>IF(B6074="","",IFERROR(INDEX('Bad Patterns'!$A$2:$A$120,MATCH(1,INDEX(--ISNUMBER(SEARCH('Bad Patterns'!$A$2:$A$120,B6074)),0),0)),""))</f>
        <v/>
      </c>
      <c r="D6074">
        <f>IF(B6074="","",IF(C6074&lt;&gt;"","REMOVE","KEEP"))</f>
        <v/>
      </c>
      <c r="E6074">
        <f>IF(D6074&lt;&gt;"KEEP","",IF(RIGHT(B6074,10)="@gmail.com","Gmail",IF(OR(RIGHT(B6074,12)="@outlook.com",RIGHT(B6074,12)="@hotmail.com",RIGHT(B6074,9)="@live.com"),"Outlook","Domain")))</f>
        <v/>
      </c>
      <c r="F6074">
        <f>IF(B6074="","",IFERROR(RIGHT(B6074,LEN(B6074)-FIND("@",B6074)),""))</f>
        <v/>
      </c>
      <c r="G6074">
        <f>IF(D6074="KEEP",COUNTIF($D$2:D6074,"KEEP"),"")</f>
        <v/>
      </c>
      <c r="H6074">
        <f>IF(D6074="REMOVE",COUNTIF($D$2:D6074,"REMOVE"),"")</f>
        <v/>
      </c>
      <c r="I6074">
        <f>IF(E6074="Gmail",COUNTIF($E$2:E6074,"Gmail"),"")</f>
        <v/>
      </c>
      <c r="J6074">
        <f>IF(E6074="Outlook",COUNTIF($E$2:E6074,"Outlook"),"")</f>
        <v/>
      </c>
      <c r="K6074">
        <f>IF(E6074="Domain",COUNTIF($E$2:E6074,"Domain"),"")</f>
        <v/>
      </c>
    </row>
    <row r="6075">
      <c r="A6075" s="2" t="n"/>
      <c r="B6075">
        <f>LOWER(TRIM(A6075))</f>
        <v/>
      </c>
      <c r="C6075">
        <f>IF(B6075="","",IFERROR(INDEX('Bad Patterns'!$A$2:$A$120,MATCH(1,INDEX(--ISNUMBER(SEARCH('Bad Patterns'!$A$2:$A$120,B6075)),0),0)),""))</f>
        <v/>
      </c>
      <c r="D6075">
        <f>IF(B6075="","",IF(C6075&lt;&gt;"","REMOVE","KEEP"))</f>
        <v/>
      </c>
      <c r="E6075">
        <f>IF(D6075&lt;&gt;"KEEP","",IF(RIGHT(B6075,10)="@gmail.com","Gmail",IF(OR(RIGHT(B6075,12)="@outlook.com",RIGHT(B6075,12)="@hotmail.com",RIGHT(B6075,9)="@live.com"),"Outlook","Domain")))</f>
        <v/>
      </c>
      <c r="F6075">
        <f>IF(B6075="","",IFERROR(RIGHT(B6075,LEN(B6075)-FIND("@",B6075)),""))</f>
        <v/>
      </c>
      <c r="G6075">
        <f>IF(D6075="KEEP",COUNTIF($D$2:D6075,"KEEP"),"")</f>
        <v/>
      </c>
      <c r="H6075">
        <f>IF(D6075="REMOVE",COUNTIF($D$2:D6075,"REMOVE"),"")</f>
        <v/>
      </c>
      <c r="I6075">
        <f>IF(E6075="Gmail",COUNTIF($E$2:E6075,"Gmail"),"")</f>
        <v/>
      </c>
      <c r="J6075">
        <f>IF(E6075="Outlook",COUNTIF($E$2:E6075,"Outlook"),"")</f>
        <v/>
      </c>
      <c r="K6075">
        <f>IF(E6075="Domain",COUNTIF($E$2:E6075,"Domain"),"")</f>
        <v/>
      </c>
    </row>
    <row r="6076">
      <c r="A6076" s="2" t="n"/>
      <c r="B6076">
        <f>LOWER(TRIM(A6076))</f>
        <v/>
      </c>
      <c r="C6076">
        <f>IF(B6076="","",IFERROR(INDEX('Bad Patterns'!$A$2:$A$120,MATCH(1,INDEX(--ISNUMBER(SEARCH('Bad Patterns'!$A$2:$A$120,B6076)),0),0)),""))</f>
        <v/>
      </c>
      <c r="D6076">
        <f>IF(B6076="","",IF(C6076&lt;&gt;"","REMOVE","KEEP"))</f>
        <v/>
      </c>
      <c r="E6076">
        <f>IF(D6076&lt;&gt;"KEEP","",IF(RIGHT(B6076,10)="@gmail.com","Gmail",IF(OR(RIGHT(B6076,12)="@outlook.com",RIGHT(B6076,12)="@hotmail.com",RIGHT(B6076,9)="@live.com"),"Outlook","Domain")))</f>
        <v/>
      </c>
      <c r="F6076">
        <f>IF(B6076="","",IFERROR(RIGHT(B6076,LEN(B6076)-FIND("@",B6076)),""))</f>
        <v/>
      </c>
      <c r="G6076">
        <f>IF(D6076="KEEP",COUNTIF($D$2:D6076,"KEEP"),"")</f>
        <v/>
      </c>
      <c r="H6076">
        <f>IF(D6076="REMOVE",COUNTIF($D$2:D6076,"REMOVE"),"")</f>
        <v/>
      </c>
      <c r="I6076">
        <f>IF(E6076="Gmail",COUNTIF($E$2:E6076,"Gmail"),"")</f>
        <v/>
      </c>
      <c r="J6076">
        <f>IF(E6076="Outlook",COUNTIF($E$2:E6076,"Outlook"),"")</f>
        <v/>
      </c>
      <c r="K6076">
        <f>IF(E6076="Domain",COUNTIF($E$2:E6076,"Domain"),"")</f>
        <v/>
      </c>
    </row>
    <row r="6077">
      <c r="A6077" s="2" t="n"/>
      <c r="B6077">
        <f>LOWER(TRIM(A6077))</f>
        <v/>
      </c>
      <c r="C6077">
        <f>IF(B6077="","",IFERROR(INDEX('Bad Patterns'!$A$2:$A$120,MATCH(1,INDEX(--ISNUMBER(SEARCH('Bad Patterns'!$A$2:$A$120,B6077)),0),0)),""))</f>
        <v/>
      </c>
      <c r="D6077">
        <f>IF(B6077="","",IF(C6077&lt;&gt;"","REMOVE","KEEP"))</f>
        <v/>
      </c>
      <c r="E6077">
        <f>IF(D6077&lt;&gt;"KEEP","",IF(RIGHT(B6077,10)="@gmail.com","Gmail",IF(OR(RIGHT(B6077,12)="@outlook.com",RIGHT(B6077,12)="@hotmail.com",RIGHT(B6077,9)="@live.com"),"Outlook","Domain")))</f>
        <v/>
      </c>
      <c r="F6077">
        <f>IF(B6077="","",IFERROR(RIGHT(B6077,LEN(B6077)-FIND("@",B6077)),""))</f>
        <v/>
      </c>
      <c r="G6077">
        <f>IF(D6077="KEEP",COUNTIF($D$2:D6077,"KEEP"),"")</f>
        <v/>
      </c>
      <c r="H6077">
        <f>IF(D6077="REMOVE",COUNTIF($D$2:D6077,"REMOVE"),"")</f>
        <v/>
      </c>
      <c r="I6077">
        <f>IF(E6077="Gmail",COUNTIF($E$2:E6077,"Gmail"),"")</f>
        <v/>
      </c>
      <c r="J6077">
        <f>IF(E6077="Outlook",COUNTIF($E$2:E6077,"Outlook"),"")</f>
        <v/>
      </c>
      <c r="K6077">
        <f>IF(E6077="Domain",COUNTIF($E$2:E6077,"Domain"),"")</f>
        <v/>
      </c>
    </row>
    <row r="6078">
      <c r="A6078" s="2" t="n"/>
      <c r="B6078">
        <f>LOWER(TRIM(A6078))</f>
        <v/>
      </c>
      <c r="C6078">
        <f>IF(B6078="","",IFERROR(INDEX('Bad Patterns'!$A$2:$A$120,MATCH(1,INDEX(--ISNUMBER(SEARCH('Bad Patterns'!$A$2:$A$120,B6078)),0),0)),""))</f>
        <v/>
      </c>
      <c r="D6078">
        <f>IF(B6078="","",IF(C6078&lt;&gt;"","REMOVE","KEEP"))</f>
        <v/>
      </c>
      <c r="E6078">
        <f>IF(D6078&lt;&gt;"KEEP","",IF(RIGHT(B6078,10)="@gmail.com","Gmail",IF(OR(RIGHT(B6078,12)="@outlook.com",RIGHT(B6078,12)="@hotmail.com",RIGHT(B6078,9)="@live.com"),"Outlook","Domain")))</f>
        <v/>
      </c>
      <c r="F6078">
        <f>IF(B6078="","",IFERROR(RIGHT(B6078,LEN(B6078)-FIND("@",B6078)),""))</f>
        <v/>
      </c>
      <c r="G6078">
        <f>IF(D6078="KEEP",COUNTIF($D$2:D6078,"KEEP"),"")</f>
        <v/>
      </c>
      <c r="H6078">
        <f>IF(D6078="REMOVE",COUNTIF($D$2:D6078,"REMOVE"),"")</f>
        <v/>
      </c>
      <c r="I6078">
        <f>IF(E6078="Gmail",COUNTIF($E$2:E6078,"Gmail"),"")</f>
        <v/>
      </c>
      <c r="J6078">
        <f>IF(E6078="Outlook",COUNTIF($E$2:E6078,"Outlook"),"")</f>
        <v/>
      </c>
      <c r="K6078">
        <f>IF(E6078="Domain",COUNTIF($E$2:E6078,"Domain"),"")</f>
        <v/>
      </c>
    </row>
    <row r="6079">
      <c r="A6079" s="2" t="n"/>
      <c r="B6079">
        <f>LOWER(TRIM(A6079))</f>
        <v/>
      </c>
      <c r="C6079">
        <f>IF(B6079="","",IFERROR(INDEX('Bad Patterns'!$A$2:$A$120,MATCH(1,INDEX(--ISNUMBER(SEARCH('Bad Patterns'!$A$2:$A$120,B6079)),0),0)),""))</f>
        <v/>
      </c>
      <c r="D6079">
        <f>IF(B6079="","",IF(C6079&lt;&gt;"","REMOVE","KEEP"))</f>
        <v/>
      </c>
      <c r="E6079">
        <f>IF(D6079&lt;&gt;"KEEP","",IF(RIGHT(B6079,10)="@gmail.com","Gmail",IF(OR(RIGHT(B6079,12)="@outlook.com",RIGHT(B6079,12)="@hotmail.com",RIGHT(B6079,9)="@live.com"),"Outlook","Domain")))</f>
        <v/>
      </c>
      <c r="F6079">
        <f>IF(B6079="","",IFERROR(RIGHT(B6079,LEN(B6079)-FIND("@",B6079)),""))</f>
        <v/>
      </c>
      <c r="G6079">
        <f>IF(D6079="KEEP",COUNTIF($D$2:D6079,"KEEP"),"")</f>
        <v/>
      </c>
      <c r="H6079">
        <f>IF(D6079="REMOVE",COUNTIF($D$2:D6079,"REMOVE"),"")</f>
        <v/>
      </c>
      <c r="I6079">
        <f>IF(E6079="Gmail",COUNTIF($E$2:E6079,"Gmail"),"")</f>
        <v/>
      </c>
      <c r="J6079">
        <f>IF(E6079="Outlook",COUNTIF($E$2:E6079,"Outlook"),"")</f>
        <v/>
      </c>
      <c r="K6079">
        <f>IF(E6079="Domain",COUNTIF($E$2:E6079,"Domain"),"")</f>
        <v/>
      </c>
    </row>
    <row r="6080">
      <c r="A6080" s="2" t="n"/>
      <c r="B6080">
        <f>LOWER(TRIM(A6080))</f>
        <v/>
      </c>
      <c r="C6080">
        <f>IF(B6080="","",IFERROR(INDEX('Bad Patterns'!$A$2:$A$120,MATCH(1,INDEX(--ISNUMBER(SEARCH('Bad Patterns'!$A$2:$A$120,B6080)),0),0)),""))</f>
        <v/>
      </c>
      <c r="D6080">
        <f>IF(B6080="","",IF(C6080&lt;&gt;"","REMOVE","KEEP"))</f>
        <v/>
      </c>
      <c r="E6080">
        <f>IF(D6080&lt;&gt;"KEEP","",IF(RIGHT(B6080,10)="@gmail.com","Gmail",IF(OR(RIGHT(B6080,12)="@outlook.com",RIGHT(B6080,12)="@hotmail.com",RIGHT(B6080,9)="@live.com"),"Outlook","Domain")))</f>
        <v/>
      </c>
      <c r="F6080">
        <f>IF(B6080="","",IFERROR(RIGHT(B6080,LEN(B6080)-FIND("@",B6080)),""))</f>
        <v/>
      </c>
      <c r="G6080">
        <f>IF(D6080="KEEP",COUNTIF($D$2:D6080,"KEEP"),"")</f>
        <v/>
      </c>
      <c r="H6080">
        <f>IF(D6080="REMOVE",COUNTIF($D$2:D6080,"REMOVE"),"")</f>
        <v/>
      </c>
      <c r="I6080">
        <f>IF(E6080="Gmail",COUNTIF($E$2:E6080,"Gmail"),"")</f>
        <v/>
      </c>
      <c r="J6080">
        <f>IF(E6080="Outlook",COUNTIF($E$2:E6080,"Outlook"),"")</f>
        <v/>
      </c>
      <c r="K6080">
        <f>IF(E6080="Domain",COUNTIF($E$2:E6080,"Domain"),"")</f>
        <v/>
      </c>
    </row>
    <row r="6081">
      <c r="A6081" s="2" t="n"/>
      <c r="B6081">
        <f>LOWER(TRIM(A6081))</f>
        <v/>
      </c>
      <c r="C6081">
        <f>IF(B6081="","",IFERROR(INDEX('Bad Patterns'!$A$2:$A$120,MATCH(1,INDEX(--ISNUMBER(SEARCH('Bad Patterns'!$A$2:$A$120,B6081)),0),0)),""))</f>
        <v/>
      </c>
      <c r="D6081">
        <f>IF(B6081="","",IF(C6081&lt;&gt;"","REMOVE","KEEP"))</f>
        <v/>
      </c>
      <c r="E6081">
        <f>IF(D6081&lt;&gt;"KEEP","",IF(RIGHT(B6081,10)="@gmail.com","Gmail",IF(OR(RIGHT(B6081,12)="@outlook.com",RIGHT(B6081,12)="@hotmail.com",RIGHT(B6081,9)="@live.com"),"Outlook","Domain")))</f>
        <v/>
      </c>
      <c r="F6081">
        <f>IF(B6081="","",IFERROR(RIGHT(B6081,LEN(B6081)-FIND("@",B6081)),""))</f>
        <v/>
      </c>
      <c r="G6081">
        <f>IF(D6081="KEEP",COUNTIF($D$2:D6081,"KEEP"),"")</f>
        <v/>
      </c>
      <c r="H6081">
        <f>IF(D6081="REMOVE",COUNTIF($D$2:D6081,"REMOVE"),"")</f>
        <v/>
      </c>
      <c r="I6081">
        <f>IF(E6081="Gmail",COUNTIF($E$2:E6081,"Gmail"),"")</f>
        <v/>
      </c>
      <c r="J6081">
        <f>IF(E6081="Outlook",COUNTIF($E$2:E6081,"Outlook"),"")</f>
        <v/>
      </c>
      <c r="K6081">
        <f>IF(E6081="Domain",COUNTIF($E$2:E6081,"Domain"),"")</f>
        <v/>
      </c>
    </row>
    <row r="6082">
      <c r="A6082" s="2" t="n"/>
      <c r="B6082">
        <f>LOWER(TRIM(A6082))</f>
        <v/>
      </c>
      <c r="C6082">
        <f>IF(B6082="","",IFERROR(INDEX('Bad Patterns'!$A$2:$A$120,MATCH(1,INDEX(--ISNUMBER(SEARCH('Bad Patterns'!$A$2:$A$120,B6082)),0),0)),""))</f>
        <v/>
      </c>
      <c r="D6082">
        <f>IF(B6082="","",IF(C6082&lt;&gt;"","REMOVE","KEEP"))</f>
        <v/>
      </c>
      <c r="E6082">
        <f>IF(D6082&lt;&gt;"KEEP","",IF(RIGHT(B6082,10)="@gmail.com","Gmail",IF(OR(RIGHT(B6082,12)="@outlook.com",RIGHT(B6082,12)="@hotmail.com",RIGHT(B6082,9)="@live.com"),"Outlook","Domain")))</f>
        <v/>
      </c>
      <c r="F6082">
        <f>IF(B6082="","",IFERROR(RIGHT(B6082,LEN(B6082)-FIND("@",B6082)),""))</f>
        <v/>
      </c>
      <c r="G6082">
        <f>IF(D6082="KEEP",COUNTIF($D$2:D6082,"KEEP"),"")</f>
        <v/>
      </c>
      <c r="H6082">
        <f>IF(D6082="REMOVE",COUNTIF($D$2:D6082,"REMOVE"),"")</f>
        <v/>
      </c>
      <c r="I6082">
        <f>IF(E6082="Gmail",COUNTIF($E$2:E6082,"Gmail"),"")</f>
        <v/>
      </c>
      <c r="J6082">
        <f>IF(E6082="Outlook",COUNTIF($E$2:E6082,"Outlook"),"")</f>
        <v/>
      </c>
      <c r="K6082">
        <f>IF(E6082="Domain",COUNTIF($E$2:E6082,"Domain"),"")</f>
        <v/>
      </c>
    </row>
    <row r="6083">
      <c r="A6083" s="2" t="n"/>
      <c r="B6083">
        <f>LOWER(TRIM(A6083))</f>
        <v/>
      </c>
      <c r="C6083">
        <f>IF(B6083="","",IFERROR(INDEX('Bad Patterns'!$A$2:$A$120,MATCH(1,INDEX(--ISNUMBER(SEARCH('Bad Patterns'!$A$2:$A$120,B6083)),0),0)),""))</f>
        <v/>
      </c>
      <c r="D6083">
        <f>IF(B6083="","",IF(C6083&lt;&gt;"","REMOVE","KEEP"))</f>
        <v/>
      </c>
      <c r="E6083">
        <f>IF(D6083&lt;&gt;"KEEP","",IF(RIGHT(B6083,10)="@gmail.com","Gmail",IF(OR(RIGHT(B6083,12)="@outlook.com",RIGHT(B6083,12)="@hotmail.com",RIGHT(B6083,9)="@live.com"),"Outlook","Domain")))</f>
        <v/>
      </c>
      <c r="F6083">
        <f>IF(B6083="","",IFERROR(RIGHT(B6083,LEN(B6083)-FIND("@",B6083)),""))</f>
        <v/>
      </c>
      <c r="G6083">
        <f>IF(D6083="KEEP",COUNTIF($D$2:D6083,"KEEP"),"")</f>
        <v/>
      </c>
      <c r="H6083">
        <f>IF(D6083="REMOVE",COUNTIF($D$2:D6083,"REMOVE"),"")</f>
        <v/>
      </c>
      <c r="I6083">
        <f>IF(E6083="Gmail",COUNTIF($E$2:E6083,"Gmail"),"")</f>
        <v/>
      </c>
      <c r="J6083">
        <f>IF(E6083="Outlook",COUNTIF($E$2:E6083,"Outlook"),"")</f>
        <v/>
      </c>
      <c r="K6083">
        <f>IF(E6083="Domain",COUNTIF($E$2:E6083,"Domain"),"")</f>
        <v/>
      </c>
    </row>
    <row r="6084">
      <c r="A6084" s="2" t="n"/>
      <c r="B6084">
        <f>LOWER(TRIM(A6084))</f>
        <v/>
      </c>
      <c r="C6084">
        <f>IF(B6084="","",IFERROR(INDEX('Bad Patterns'!$A$2:$A$120,MATCH(1,INDEX(--ISNUMBER(SEARCH('Bad Patterns'!$A$2:$A$120,B6084)),0),0)),""))</f>
        <v/>
      </c>
      <c r="D6084">
        <f>IF(B6084="","",IF(C6084&lt;&gt;"","REMOVE","KEEP"))</f>
        <v/>
      </c>
      <c r="E6084">
        <f>IF(D6084&lt;&gt;"KEEP","",IF(RIGHT(B6084,10)="@gmail.com","Gmail",IF(OR(RIGHT(B6084,12)="@outlook.com",RIGHT(B6084,12)="@hotmail.com",RIGHT(B6084,9)="@live.com"),"Outlook","Domain")))</f>
        <v/>
      </c>
      <c r="F6084">
        <f>IF(B6084="","",IFERROR(RIGHT(B6084,LEN(B6084)-FIND("@",B6084)),""))</f>
        <v/>
      </c>
      <c r="G6084">
        <f>IF(D6084="KEEP",COUNTIF($D$2:D6084,"KEEP"),"")</f>
        <v/>
      </c>
      <c r="H6084">
        <f>IF(D6084="REMOVE",COUNTIF($D$2:D6084,"REMOVE"),"")</f>
        <v/>
      </c>
      <c r="I6084">
        <f>IF(E6084="Gmail",COUNTIF($E$2:E6084,"Gmail"),"")</f>
        <v/>
      </c>
      <c r="J6084">
        <f>IF(E6084="Outlook",COUNTIF($E$2:E6084,"Outlook"),"")</f>
        <v/>
      </c>
      <c r="K6084">
        <f>IF(E6084="Domain",COUNTIF($E$2:E6084,"Domain"),"")</f>
        <v/>
      </c>
    </row>
    <row r="6085">
      <c r="A6085" s="2" t="n"/>
      <c r="B6085">
        <f>LOWER(TRIM(A6085))</f>
        <v/>
      </c>
      <c r="C6085">
        <f>IF(B6085="","",IFERROR(INDEX('Bad Patterns'!$A$2:$A$120,MATCH(1,INDEX(--ISNUMBER(SEARCH('Bad Patterns'!$A$2:$A$120,B6085)),0),0)),""))</f>
        <v/>
      </c>
      <c r="D6085">
        <f>IF(B6085="","",IF(C6085&lt;&gt;"","REMOVE","KEEP"))</f>
        <v/>
      </c>
      <c r="E6085">
        <f>IF(D6085&lt;&gt;"KEEP","",IF(RIGHT(B6085,10)="@gmail.com","Gmail",IF(OR(RIGHT(B6085,12)="@outlook.com",RIGHT(B6085,12)="@hotmail.com",RIGHT(B6085,9)="@live.com"),"Outlook","Domain")))</f>
        <v/>
      </c>
      <c r="F6085">
        <f>IF(B6085="","",IFERROR(RIGHT(B6085,LEN(B6085)-FIND("@",B6085)),""))</f>
        <v/>
      </c>
      <c r="G6085">
        <f>IF(D6085="KEEP",COUNTIF($D$2:D6085,"KEEP"),"")</f>
        <v/>
      </c>
      <c r="H6085">
        <f>IF(D6085="REMOVE",COUNTIF($D$2:D6085,"REMOVE"),"")</f>
        <v/>
      </c>
      <c r="I6085">
        <f>IF(E6085="Gmail",COUNTIF($E$2:E6085,"Gmail"),"")</f>
        <v/>
      </c>
      <c r="J6085">
        <f>IF(E6085="Outlook",COUNTIF($E$2:E6085,"Outlook"),"")</f>
        <v/>
      </c>
      <c r="K6085">
        <f>IF(E6085="Domain",COUNTIF($E$2:E6085,"Domain"),"")</f>
        <v/>
      </c>
    </row>
    <row r="6086">
      <c r="A6086" s="2" t="n"/>
      <c r="B6086">
        <f>LOWER(TRIM(A6086))</f>
        <v/>
      </c>
      <c r="C6086">
        <f>IF(B6086="","",IFERROR(INDEX('Bad Patterns'!$A$2:$A$120,MATCH(1,INDEX(--ISNUMBER(SEARCH('Bad Patterns'!$A$2:$A$120,B6086)),0),0)),""))</f>
        <v/>
      </c>
      <c r="D6086">
        <f>IF(B6086="","",IF(C6086&lt;&gt;"","REMOVE","KEEP"))</f>
        <v/>
      </c>
      <c r="E6086">
        <f>IF(D6086&lt;&gt;"KEEP","",IF(RIGHT(B6086,10)="@gmail.com","Gmail",IF(OR(RIGHT(B6086,12)="@outlook.com",RIGHT(B6086,12)="@hotmail.com",RIGHT(B6086,9)="@live.com"),"Outlook","Domain")))</f>
        <v/>
      </c>
      <c r="F6086">
        <f>IF(B6086="","",IFERROR(RIGHT(B6086,LEN(B6086)-FIND("@",B6086)),""))</f>
        <v/>
      </c>
      <c r="G6086">
        <f>IF(D6086="KEEP",COUNTIF($D$2:D6086,"KEEP"),"")</f>
        <v/>
      </c>
      <c r="H6086">
        <f>IF(D6086="REMOVE",COUNTIF($D$2:D6086,"REMOVE"),"")</f>
        <v/>
      </c>
      <c r="I6086">
        <f>IF(E6086="Gmail",COUNTIF($E$2:E6086,"Gmail"),"")</f>
        <v/>
      </c>
      <c r="J6086">
        <f>IF(E6086="Outlook",COUNTIF($E$2:E6086,"Outlook"),"")</f>
        <v/>
      </c>
      <c r="K6086">
        <f>IF(E6086="Domain",COUNTIF($E$2:E6086,"Domain"),"")</f>
        <v/>
      </c>
    </row>
    <row r="6087">
      <c r="A6087" s="2" t="n"/>
      <c r="B6087">
        <f>LOWER(TRIM(A6087))</f>
        <v/>
      </c>
      <c r="C6087">
        <f>IF(B6087="","",IFERROR(INDEX('Bad Patterns'!$A$2:$A$120,MATCH(1,INDEX(--ISNUMBER(SEARCH('Bad Patterns'!$A$2:$A$120,B6087)),0),0)),""))</f>
        <v/>
      </c>
      <c r="D6087">
        <f>IF(B6087="","",IF(C6087&lt;&gt;"","REMOVE","KEEP"))</f>
        <v/>
      </c>
      <c r="E6087">
        <f>IF(D6087&lt;&gt;"KEEP","",IF(RIGHT(B6087,10)="@gmail.com","Gmail",IF(OR(RIGHT(B6087,12)="@outlook.com",RIGHT(B6087,12)="@hotmail.com",RIGHT(B6087,9)="@live.com"),"Outlook","Domain")))</f>
        <v/>
      </c>
      <c r="F6087">
        <f>IF(B6087="","",IFERROR(RIGHT(B6087,LEN(B6087)-FIND("@",B6087)),""))</f>
        <v/>
      </c>
      <c r="G6087">
        <f>IF(D6087="KEEP",COUNTIF($D$2:D6087,"KEEP"),"")</f>
        <v/>
      </c>
      <c r="H6087">
        <f>IF(D6087="REMOVE",COUNTIF($D$2:D6087,"REMOVE"),"")</f>
        <v/>
      </c>
      <c r="I6087">
        <f>IF(E6087="Gmail",COUNTIF($E$2:E6087,"Gmail"),"")</f>
        <v/>
      </c>
      <c r="J6087">
        <f>IF(E6087="Outlook",COUNTIF($E$2:E6087,"Outlook"),"")</f>
        <v/>
      </c>
      <c r="K6087">
        <f>IF(E6087="Domain",COUNTIF($E$2:E6087,"Domain"),"")</f>
        <v/>
      </c>
    </row>
    <row r="6088">
      <c r="A6088" s="2" t="n"/>
      <c r="B6088">
        <f>LOWER(TRIM(A6088))</f>
        <v/>
      </c>
      <c r="C6088">
        <f>IF(B6088="","",IFERROR(INDEX('Bad Patterns'!$A$2:$A$120,MATCH(1,INDEX(--ISNUMBER(SEARCH('Bad Patterns'!$A$2:$A$120,B6088)),0),0)),""))</f>
        <v/>
      </c>
      <c r="D6088">
        <f>IF(B6088="","",IF(C6088&lt;&gt;"","REMOVE","KEEP"))</f>
        <v/>
      </c>
      <c r="E6088">
        <f>IF(D6088&lt;&gt;"KEEP","",IF(RIGHT(B6088,10)="@gmail.com","Gmail",IF(OR(RIGHT(B6088,12)="@outlook.com",RIGHT(B6088,12)="@hotmail.com",RIGHT(B6088,9)="@live.com"),"Outlook","Domain")))</f>
        <v/>
      </c>
      <c r="F6088">
        <f>IF(B6088="","",IFERROR(RIGHT(B6088,LEN(B6088)-FIND("@",B6088)),""))</f>
        <v/>
      </c>
      <c r="G6088">
        <f>IF(D6088="KEEP",COUNTIF($D$2:D6088,"KEEP"),"")</f>
        <v/>
      </c>
      <c r="H6088">
        <f>IF(D6088="REMOVE",COUNTIF($D$2:D6088,"REMOVE"),"")</f>
        <v/>
      </c>
      <c r="I6088">
        <f>IF(E6088="Gmail",COUNTIF($E$2:E6088,"Gmail"),"")</f>
        <v/>
      </c>
      <c r="J6088">
        <f>IF(E6088="Outlook",COUNTIF($E$2:E6088,"Outlook"),"")</f>
        <v/>
      </c>
      <c r="K6088">
        <f>IF(E6088="Domain",COUNTIF($E$2:E6088,"Domain"),"")</f>
        <v/>
      </c>
    </row>
    <row r="6089">
      <c r="A6089" s="2" t="n"/>
      <c r="B6089">
        <f>LOWER(TRIM(A6089))</f>
        <v/>
      </c>
      <c r="C6089">
        <f>IF(B6089="","",IFERROR(INDEX('Bad Patterns'!$A$2:$A$120,MATCH(1,INDEX(--ISNUMBER(SEARCH('Bad Patterns'!$A$2:$A$120,B6089)),0),0)),""))</f>
        <v/>
      </c>
      <c r="D6089">
        <f>IF(B6089="","",IF(C6089&lt;&gt;"","REMOVE","KEEP"))</f>
        <v/>
      </c>
      <c r="E6089">
        <f>IF(D6089&lt;&gt;"KEEP","",IF(RIGHT(B6089,10)="@gmail.com","Gmail",IF(OR(RIGHT(B6089,12)="@outlook.com",RIGHT(B6089,12)="@hotmail.com",RIGHT(B6089,9)="@live.com"),"Outlook","Domain")))</f>
        <v/>
      </c>
      <c r="F6089">
        <f>IF(B6089="","",IFERROR(RIGHT(B6089,LEN(B6089)-FIND("@",B6089)),""))</f>
        <v/>
      </c>
      <c r="G6089">
        <f>IF(D6089="KEEP",COUNTIF($D$2:D6089,"KEEP"),"")</f>
        <v/>
      </c>
      <c r="H6089">
        <f>IF(D6089="REMOVE",COUNTIF($D$2:D6089,"REMOVE"),"")</f>
        <v/>
      </c>
      <c r="I6089">
        <f>IF(E6089="Gmail",COUNTIF($E$2:E6089,"Gmail"),"")</f>
        <v/>
      </c>
      <c r="J6089">
        <f>IF(E6089="Outlook",COUNTIF($E$2:E6089,"Outlook"),"")</f>
        <v/>
      </c>
      <c r="K6089">
        <f>IF(E6089="Domain",COUNTIF($E$2:E6089,"Domain"),"")</f>
        <v/>
      </c>
    </row>
    <row r="6090">
      <c r="A6090" s="2" t="n"/>
      <c r="B6090">
        <f>LOWER(TRIM(A6090))</f>
        <v/>
      </c>
      <c r="C6090">
        <f>IF(B6090="","",IFERROR(INDEX('Bad Patterns'!$A$2:$A$120,MATCH(1,INDEX(--ISNUMBER(SEARCH('Bad Patterns'!$A$2:$A$120,B6090)),0),0)),""))</f>
        <v/>
      </c>
      <c r="D6090">
        <f>IF(B6090="","",IF(C6090&lt;&gt;"","REMOVE","KEEP"))</f>
        <v/>
      </c>
      <c r="E6090">
        <f>IF(D6090&lt;&gt;"KEEP","",IF(RIGHT(B6090,10)="@gmail.com","Gmail",IF(OR(RIGHT(B6090,12)="@outlook.com",RIGHT(B6090,12)="@hotmail.com",RIGHT(B6090,9)="@live.com"),"Outlook","Domain")))</f>
        <v/>
      </c>
      <c r="F6090">
        <f>IF(B6090="","",IFERROR(RIGHT(B6090,LEN(B6090)-FIND("@",B6090)),""))</f>
        <v/>
      </c>
      <c r="G6090">
        <f>IF(D6090="KEEP",COUNTIF($D$2:D6090,"KEEP"),"")</f>
        <v/>
      </c>
      <c r="H6090">
        <f>IF(D6090="REMOVE",COUNTIF($D$2:D6090,"REMOVE"),"")</f>
        <v/>
      </c>
      <c r="I6090">
        <f>IF(E6090="Gmail",COUNTIF($E$2:E6090,"Gmail"),"")</f>
        <v/>
      </c>
      <c r="J6090">
        <f>IF(E6090="Outlook",COUNTIF($E$2:E6090,"Outlook"),"")</f>
        <v/>
      </c>
      <c r="K6090">
        <f>IF(E6090="Domain",COUNTIF($E$2:E6090,"Domain"),"")</f>
        <v/>
      </c>
    </row>
    <row r="6091">
      <c r="A6091" s="2" t="n"/>
      <c r="B6091">
        <f>LOWER(TRIM(A6091))</f>
        <v/>
      </c>
      <c r="C6091">
        <f>IF(B6091="","",IFERROR(INDEX('Bad Patterns'!$A$2:$A$120,MATCH(1,INDEX(--ISNUMBER(SEARCH('Bad Patterns'!$A$2:$A$120,B6091)),0),0)),""))</f>
        <v/>
      </c>
      <c r="D6091">
        <f>IF(B6091="","",IF(C6091&lt;&gt;"","REMOVE","KEEP"))</f>
        <v/>
      </c>
      <c r="E6091">
        <f>IF(D6091&lt;&gt;"KEEP","",IF(RIGHT(B6091,10)="@gmail.com","Gmail",IF(OR(RIGHT(B6091,12)="@outlook.com",RIGHT(B6091,12)="@hotmail.com",RIGHT(B6091,9)="@live.com"),"Outlook","Domain")))</f>
        <v/>
      </c>
      <c r="F6091">
        <f>IF(B6091="","",IFERROR(RIGHT(B6091,LEN(B6091)-FIND("@",B6091)),""))</f>
        <v/>
      </c>
      <c r="G6091">
        <f>IF(D6091="KEEP",COUNTIF($D$2:D6091,"KEEP"),"")</f>
        <v/>
      </c>
      <c r="H6091">
        <f>IF(D6091="REMOVE",COUNTIF($D$2:D6091,"REMOVE"),"")</f>
        <v/>
      </c>
      <c r="I6091">
        <f>IF(E6091="Gmail",COUNTIF($E$2:E6091,"Gmail"),"")</f>
        <v/>
      </c>
      <c r="J6091">
        <f>IF(E6091="Outlook",COUNTIF($E$2:E6091,"Outlook"),"")</f>
        <v/>
      </c>
      <c r="K6091">
        <f>IF(E6091="Domain",COUNTIF($E$2:E6091,"Domain"),"")</f>
        <v/>
      </c>
    </row>
    <row r="6092">
      <c r="A6092" s="2" t="n"/>
      <c r="B6092">
        <f>LOWER(TRIM(A6092))</f>
        <v/>
      </c>
      <c r="C6092">
        <f>IF(B6092="","",IFERROR(INDEX('Bad Patterns'!$A$2:$A$120,MATCH(1,INDEX(--ISNUMBER(SEARCH('Bad Patterns'!$A$2:$A$120,B6092)),0),0)),""))</f>
        <v/>
      </c>
      <c r="D6092">
        <f>IF(B6092="","",IF(C6092&lt;&gt;"","REMOVE","KEEP"))</f>
        <v/>
      </c>
      <c r="E6092">
        <f>IF(D6092&lt;&gt;"KEEP","",IF(RIGHT(B6092,10)="@gmail.com","Gmail",IF(OR(RIGHT(B6092,12)="@outlook.com",RIGHT(B6092,12)="@hotmail.com",RIGHT(B6092,9)="@live.com"),"Outlook","Domain")))</f>
        <v/>
      </c>
      <c r="F6092">
        <f>IF(B6092="","",IFERROR(RIGHT(B6092,LEN(B6092)-FIND("@",B6092)),""))</f>
        <v/>
      </c>
      <c r="G6092">
        <f>IF(D6092="KEEP",COUNTIF($D$2:D6092,"KEEP"),"")</f>
        <v/>
      </c>
      <c r="H6092">
        <f>IF(D6092="REMOVE",COUNTIF($D$2:D6092,"REMOVE"),"")</f>
        <v/>
      </c>
      <c r="I6092">
        <f>IF(E6092="Gmail",COUNTIF($E$2:E6092,"Gmail"),"")</f>
        <v/>
      </c>
      <c r="J6092">
        <f>IF(E6092="Outlook",COUNTIF($E$2:E6092,"Outlook"),"")</f>
        <v/>
      </c>
      <c r="K6092">
        <f>IF(E6092="Domain",COUNTIF($E$2:E6092,"Domain"),"")</f>
        <v/>
      </c>
    </row>
    <row r="6093">
      <c r="A6093" s="2" t="n"/>
      <c r="B6093">
        <f>LOWER(TRIM(A6093))</f>
        <v/>
      </c>
      <c r="C6093">
        <f>IF(B6093="","",IFERROR(INDEX('Bad Patterns'!$A$2:$A$120,MATCH(1,INDEX(--ISNUMBER(SEARCH('Bad Patterns'!$A$2:$A$120,B6093)),0),0)),""))</f>
        <v/>
      </c>
      <c r="D6093">
        <f>IF(B6093="","",IF(C6093&lt;&gt;"","REMOVE","KEEP"))</f>
        <v/>
      </c>
      <c r="E6093">
        <f>IF(D6093&lt;&gt;"KEEP","",IF(RIGHT(B6093,10)="@gmail.com","Gmail",IF(OR(RIGHT(B6093,12)="@outlook.com",RIGHT(B6093,12)="@hotmail.com",RIGHT(B6093,9)="@live.com"),"Outlook","Domain")))</f>
        <v/>
      </c>
      <c r="F6093">
        <f>IF(B6093="","",IFERROR(RIGHT(B6093,LEN(B6093)-FIND("@",B6093)),""))</f>
        <v/>
      </c>
      <c r="G6093">
        <f>IF(D6093="KEEP",COUNTIF($D$2:D6093,"KEEP"),"")</f>
        <v/>
      </c>
      <c r="H6093">
        <f>IF(D6093="REMOVE",COUNTIF($D$2:D6093,"REMOVE"),"")</f>
        <v/>
      </c>
      <c r="I6093">
        <f>IF(E6093="Gmail",COUNTIF($E$2:E6093,"Gmail"),"")</f>
        <v/>
      </c>
      <c r="J6093">
        <f>IF(E6093="Outlook",COUNTIF($E$2:E6093,"Outlook"),"")</f>
        <v/>
      </c>
      <c r="K6093">
        <f>IF(E6093="Domain",COUNTIF($E$2:E6093,"Domain"),"")</f>
        <v/>
      </c>
    </row>
    <row r="6094">
      <c r="A6094" s="2" t="n"/>
      <c r="B6094">
        <f>LOWER(TRIM(A6094))</f>
        <v/>
      </c>
      <c r="C6094">
        <f>IF(B6094="","",IFERROR(INDEX('Bad Patterns'!$A$2:$A$120,MATCH(1,INDEX(--ISNUMBER(SEARCH('Bad Patterns'!$A$2:$A$120,B6094)),0),0)),""))</f>
        <v/>
      </c>
      <c r="D6094">
        <f>IF(B6094="","",IF(C6094&lt;&gt;"","REMOVE","KEEP"))</f>
        <v/>
      </c>
      <c r="E6094">
        <f>IF(D6094&lt;&gt;"KEEP","",IF(RIGHT(B6094,10)="@gmail.com","Gmail",IF(OR(RIGHT(B6094,12)="@outlook.com",RIGHT(B6094,12)="@hotmail.com",RIGHT(B6094,9)="@live.com"),"Outlook","Domain")))</f>
        <v/>
      </c>
      <c r="F6094">
        <f>IF(B6094="","",IFERROR(RIGHT(B6094,LEN(B6094)-FIND("@",B6094)),""))</f>
        <v/>
      </c>
      <c r="G6094">
        <f>IF(D6094="KEEP",COUNTIF($D$2:D6094,"KEEP"),"")</f>
        <v/>
      </c>
      <c r="H6094">
        <f>IF(D6094="REMOVE",COUNTIF($D$2:D6094,"REMOVE"),"")</f>
        <v/>
      </c>
      <c r="I6094">
        <f>IF(E6094="Gmail",COUNTIF($E$2:E6094,"Gmail"),"")</f>
        <v/>
      </c>
      <c r="J6094">
        <f>IF(E6094="Outlook",COUNTIF($E$2:E6094,"Outlook"),"")</f>
        <v/>
      </c>
      <c r="K6094">
        <f>IF(E6094="Domain",COUNTIF($E$2:E6094,"Domain"),"")</f>
        <v/>
      </c>
    </row>
    <row r="6095">
      <c r="A6095" s="2" t="n"/>
      <c r="B6095">
        <f>LOWER(TRIM(A6095))</f>
        <v/>
      </c>
      <c r="C6095">
        <f>IF(B6095="","",IFERROR(INDEX('Bad Patterns'!$A$2:$A$120,MATCH(1,INDEX(--ISNUMBER(SEARCH('Bad Patterns'!$A$2:$A$120,B6095)),0),0)),""))</f>
        <v/>
      </c>
      <c r="D6095">
        <f>IF(B6095="","",IF(C6095&lt;&gt;"","REMOVE","KEEP"))</f>
        <v/>
      </c>
      <c r="E6095">
        <f>IF(D6095&lt;&gt;"KEEP","",IF(RIGHT(B6095,10)="@gmail.com","Gmail",IF(OR(RIGHT(B6095,12)="@outlook.com",RIGHT(B6095,12)="@hotmail.com",RIGHT(B6095,9)="@live.com"),"Outlook","Domain")))</f>
        <v/>
      </c>
      <c r="F6095">
        <f>IF(B6095="","",IFERROR(RIGHT(B6095,LEN(B6095)-FIND("@",B6095)),""))</f>
        <v/>
      </c>
      <c r="G6095">
        <f>IF(D6095="KEEP",COUNTIF($D$2:D6095,"KEEP"),"")</f>
        <v/>
      </c>
      <c r="H6095">
        <f>IF(D6095="REMOVE",COUNTIF($D$2:D6095,"REMOVE"),"")</f>
        <v/>
      </c>
      <c r="I6095">
        <f>IF(E6095="Gmail",COUNTIF($E$2:E6095,"Gmail"),"")</f>
        <v/>
      </c>
      <c r="J6095">
        <f>IF(E6095="Outlook",COUNTIF($E$2:E6095,"Outlook"),"")</f>
        <v/>
      </c>
      <c r="K6095">
        <f>IF(E6095="Domain",COUNTIF($E$2:E6095,"Domain"),"")</f>
        <v/>
      </c>
    </row>
    <row r="6096">
      <c r="A6096" s="2" t="n"/>
      <c r="B6096">
        <f>LOWER(TRIM(A6096))</f>
        <v/>
      </c>
      <c r="C6096">
        <f>IF(B6096="","",IFERROR(INDEX('Bad Patterns'!$A$2:$A$120,MATCH(1,INDEX(--ISNUMBER(SEARCH('Bad Patterns'!$A$2:$A$120,B6096)),0),0)),""))</f>
        <v/>
      </c>
      <c r="D6096">
        <f>IF(B6096="","",IF(C6096&lt;&gt;"","REMOVE","KEEP"))</f>
        <v/>
      </c>
      <c r="E6096">
        <f>IF(D6096&lt;&gt;"KEEP","",IF(RIGHT(B6096,10)="@gmail.com","Gmail",IF(OR(RIGHT(B6096,12)="@outlook.com",RIGHT(B6096,12)="@hotmail.com",RIGHT(B6096,9)="@live.com"),"Outlook","Domain")))</f>
        <v/>
      </c>
      <c r="F6096">
        <f>IF(B6096="","",IFERROR(RIGHT(B6096,LEN(B6096)-FIND("@",B6096)),""))</f>
        <v/>
      </c>
      <c r="G6096">
        <f>IF(D6096="KEEP",COUNTIF($D$2:D6096,"KEEP"),"")</f>
        <v/>
      </c>
      <c r="H6096">
        <f>IF(D6096="REMOVE",COUNTIF($D$2:D6096,"REMOVE"),"")</f>
        <v/>
      </c>
      <c r="I6096">
        <f>IF(E6096="Gmail",COUNTIF($E$2:E6096,"Gmail"),"")</f>
        <v/>
      </c>
      <c r="J6096">
        <f>IF(E6096="Outlook",COUNTIF($E$2:E6096,"Outlook"),"")</f>
        <v/>
      </c>
      <c r="K6096">
        <f>IF(E6096="Domain",COUNTIF($E$2:E6096,"Domain"),"")</f>
        <v/>
      </c>
    </row>
    <row r="6097">
      <c r="A6097" s="2" t="n"/>
      <c r="B6097">
        <f>LOWER(TRIM(A6097))</f>
        <v/>
      </c>
      <c r="C6097">
        <f>IF(B6097="","",IFERROR(INDEX('Bad Patterns'!$A$2:$A$120,MATCH(1,INDEX(--ISNUMBER(SEARCH('Bad Patterns'!$A$2:$A$120,B6097)),0),0)),""))</f>
        <v/>
      </c>
      <c r="D6097">
        <f>IF(B6097="","",IF(C6097&lt;&gt;"","REMOVE","KEEP"))</f>
        <v/>
      </c>
      <c r="E6097">
        <f>IF(D6097&lt;&gt;"KEEP","",IF(RIGHT(B6097,10)="@gmail.com","Gmail",IF(OR(RIGHT(B6097,12)="@outlook.com",RIGHT(B6097,12)="@hotmail.com",RIGHT(B6097,9)="@live.com"),"Outlook","Domain")))</f>
        <v/>
      </c>
      <c r="F6097">
        <f>IF(B6097="","",IFERROR(RIGHT(B6097,LEN(B6097)-FIND("@",B6097)),""))</f>
        <v/>
      </c>
      <c r="G6097">
        <f>IF(D6097="KEEP",COUNTIF($D$2:D6097,"KEEP"),"")</f>
        <v/>
      </c>
      <c r="H6097">
        <f>IF(D6097="REMOVE",COUNTIF($D$2:D6097,"REMOVE"),"")</f>
        <v/>
      </c>
      <c r="I6097">
        <f>IF(E6097="Gmail",COUNTIF($E$2:E6097,"Gmail"),"")</f>
        <v/>
      </c>
      <c r="J6097">
        <f>IF(E6097="Outlook",COUNTIF($E$2:E6097,"Outlook"),"")</f>
        <v/>
      </c>
      <c r="K6097">
        <f>IF(E6097="Domain",COUNTIF($E$2:E6097,"Domain"),"")</f>
        <v/>
      </c>
    </row>
    <row r="6098">
      <c r="A6098" s="2" t="n"/>
      <c r="B6098">
        <f>LOWER(TRIM(A6098))</f>
        <v/>
      </c>
      <c r="C6098">
        <f>IF(B6098="","",IFERROR(INDEX('Bad Patterns'!$A$2:$A$120,MATCH(1,INDEX(--ISNUMBER(SEARCH('Bad Patterns'!$A$2:$A$120,B6098)),0),0)),""))</f>
        <v/>
      </c>
      <c r="D6098">
        <f>IF(B6098="","",IF(C6098&lt;&gt;"","REMOVE","KEEP"))</f>
        <v/>
      </c>
      <c r="E6098">
        <f>IF(D6098&lt;&gt;"KEEP","",IF(RIGHT(B6098,10)="@gmail.com","Gmail",IF(OR(RIGHT(B6098,12)="@outlook.com",RIGHT(B6098,12)="@hotmail.com",RIGHT(B6098,9)="@live.com"),"Outlook","Domain")))</f>
        <v/>
      </c>
      <c r="F6098">
        <f>IF(B6098="","",IFERROR(RIGHT(B6098,LEN(B6098)-FIND("@",B6098)),""))</f>
        <v/>
      </c>
      <c r="G6098">
        <f>IF(D6098="KEEP",COUNTIF($D$2:D6098,"KEEP"),"")</f>
        <v/>
      </c>
      <c r="H6098">
        <f>IF(D6098="REMOVE",COUNTIF($D$2:D6098,"REMOVE"),"")</f>
        <v/>
      </c>
      <c r="I6098">
        <f>IF(E6098="Gmail",COUNTIF($E$2:E6098,"Gmail"),"")</f>
        <v/>
      </c>
      <c r="J6098">
        <f>IF(E6098="Outlook",COUNTIF($E$2:E6098,"Outlook"),"")</f>
        <v/>
      </c>
      <c r="K6098">
        <f>IF(E6098="Domain",COUNTIF($E$2:E6098,"Domain"),"")</f>
        <v/>
      </c>
    </row>
    <row r="6099">
      <c r="A6099" s="2" t="n"/>
      <c r="B6099">
        <f>LOWER(TRIM(A6099))</f>
        <v/>
      </c>
      <c r="C6099">
        <f>IF(B6099="","",IFERROR(INDEX('Bad Patterns'!$A$2:$A$120,MATCH(1,INDEX(--ISNUMBER(SEARCH('Bad Patterns'!$A$2:$A$120,B6099)),0),0)),""))</f>
        <v/>
      </c>
      <c r="D6099">
        <f>IF(B6099="","",IF(C6099&lt;&gt;"","REMOVE","KEEP"))</f>
        <v/>
      </c>
      <c r="E6099">
        <f>IF(D6099&lt;&gt;"KEEP","",IF(RIGHT(B6099,10)="@gmail.com","Gmail",IF(OR(RIGHT(B6099,12)="@outlook.com",RIGHT(B6099,12)="@hotmail.com",RIGHT(B6099,9)="@live.com"),"Outlook","Domain")))</f>
        <v/>
      </c>
      <c r="F6099">
        <f>IF(B6099="","",IFERROR(RIGHT(B6099,LEN(B6099)-FIND("@",B6099)),""))</f>
        <v/>
      </c>
      <c r="G6099">
        <f>IF(D6099="KEEP",COUNTIF($D$2:D6099,"KEEP"),"")</f>
        <v/>
      </c>
      <c r="H6099">
        <f>IF(D6099="REMOVE",COUNTIF($D$2:D6099,"REMOVE"),"")</f>
        <v/>
      </c>
      <c r="I6099">
        <f>IF(E6099="Gmail",COUNTIF($E$2:E6099,"Gmail"),"")</f>
        <v/>
      </c>
      <c r="J6099">
        <f>IF(E6099="Outlook",COUNTIF($E$2:E6099,"Outlook"),"")</f>
        <v/>
      </c>
      <c r="K6099">
        <f>IF(E6099="Domain",COUNTIF($E$2:E6099,"Domain"),"")</f>
        <v/>
      </c>
    </row>
    <row r="6100">
      <c r="A6100" s="2" t="n"/>
      <c r="B6100">
        <f>LOWER(TRIM(A6100))</f>
        <v/>
      </c>
      <c r="C6100">
        <f>IF(B6100="","",IFERROR(INDEX('Bad Patterns'!$A$2:$A$120,MATCH(1,INDEX(--ISNUMBER(SEARCH('Bad Patterns'!$A$2:$A$120,B6100)),0),0)),""))</f>
        <v/>
      </c>
      <c r="D6100">
        <f>IF(B6100="","",IF(C6100&lt;&gt;"","REMOVE","KEEP"))</f>
        <v/>
      </c>
      <c r="E6100">
        <f>IF(D6100&lt;&gt;"KEEP","",IF(RIGHT(B6100,10)="@gmail.com","Gmail",IF(OR(RIGHT(B6100,12)="@outlook.com",RIGHT(B6100,12)="@hotmail.com",RIGHT(B6100,9)="@live.com"),"Outlook","Domain")))</f>
        <v/>
      </c>
      <c r="F6100">
        <f>IF(B6100="","",IFERROR(RIGHT(B6100,LEN(B6100)-FIND("@",B6100)),""))</f>
        <v/>
      </c>
      <c r="G6100">
        <f>IF(D6100="KEEP",COUNTIF($D$2:D6100,"KEEP"),"")</f>
        <v/>
      </c>
      <c r="H6100">
        <f>IF(D6100="REMOVE",COUNTIF($D$2:D6100,"REMOVE"),"")</f>
        <v/>
      </c>
      <c r="I6100">
        <f>IF(E6100="Gmail",COUNTIF($E$2:E6100,"Gmail"),"")</f>
        <v/>
      </c>
      <c r="J6100">
        <f>IF(E6100="Outlook",COUNTIF($E$2:E6100,"Outlook"),"")</f>
        <v/>
      </c>
      <c r="K6100">
        <f>IF(E6100="Domain",COUNTIF($E$2:E6100,"Domain"),"")</f>
        <v/>
      </c>
    </row>
    <row r="6101">
      <c r="A6101" s="2" t="n"/>
      <c r="B6101">
        <f>LOWER(TRIM(A6101))</f>
        <v/>
      </c>
      <c r="C6101">
        <f>IF(B6101="","",IFERROR(INDEX('Bad Patterns'!$A$2:$A$120,MATCH(1,INDEX(--ISNUMBER(SEARCH('Bad Patterns'!$A$2:$A$120,B6101)),0),0)),""))</f>
        <v/>
      </c>
      <c r="D6101">
        <f>IF(B6101="","",IF(C6101&lt;&gt;"","REMOVE","KEEP"))</f>
        <v/>
      </c>
      <c r="E6101">
        <f>IF(D6101&lt;&gt;"KEEP","",IF(RIGHT(B6101,10)="@gmail.com","Gmail",IF(OR(RIGHT(B6101,12)="@outlook.com",RIGHT(B6101,12)="@hotmail.com",RIGHT(B6101,9)="@live.com"),"Outlook","Domain")))</f>
        <v/>
      </c>
      <c r="F6101">
        <f>IF(B6101="","",IFERROR(RIGHT(B6101,LEN(B6101)-FIND("@",B6101)),""))</f>
        <v/>
      </c>
      <c r="G6101">
        <f>IF(D6101="KEEP",COUNTIF($D$2:D6101,"KEEP"),"")</f>
        <v/>
      </c>
      <c r="H6101">
        <f>IF(D6101="REMOVE",COUNTIF($D$2:D6101,"REMOVE"),"")</f>
        <v/>
      </c>
      <c r="I6101">
        <f>IF(E6101="Gmail",COUNTIF($E$2:E6101,"Gmail"),"")</f>
        <v/>
      </c>
      <c r="J6101">
        <f>IF(E6101="Outlook",COUNTIF($E$2:E6101,"Outlook"),"")</f>
        <v/>
      </c>
      <c r="K6101">
        <f>IF(E6101="Domain",COUNTIF($E$2:E6101,"Domain"),"")</f>
        <v/>
      </c>
    </row>
    <row r="6102">
      <c r="A6102" s="2" t="n"/>
      <c r="B6102">
        <f>LOWER(TRIM(A6102))</f>
        <v/>
      </c>
      <c r="C6102">
        <f>IF(B6102="","",IFERROR(INDEX('Bad Patterns'!$A$2:$A$120,MATCH(1,INDEX(--ISNUMBER(SEARCH('Bad Patterns'!$A$2:$A$120,B6102)),0),0)),""))</f>
        <v/>
      </c>
      <c r="D6102">
        <f>IF(B6102="","",IF(C6102&lt;&gt;"","REMOVE","KEEP"))</f>
        <v/>
      </c>
      <c r="E6102">
        <f>IF(D6102&lt;&gt;"KEEP","",IF(RIGHT(B6102,10)="@gmail.com","Gmail",IF(OR(RIGHT(B6102,12)="@outlook.com",RIGHT(B6102,12)="@hotmail.com",RIGHT(B6102,9)="@live.com"),"Outlook","Domain")))</f>
        <v/>
      </c>
      <c r="F6102">
        <f>IF(B6102="","",IFERROR(RIGHT(B6102,LEN(B6102)-FIND("@",B6102)),""))</f>
        <v/>
      </c>
      <c r="G6102">
        <f>IF(D6102="KEEP",COUNTIF($D$2:D6102,"KEEP"),"")</f>
        <v/>
      </c>
      <c r="H6102">
        <f>IF(D6102="REMOVE",COUNTIF($D$2:D6102,"REMOVE"),"")</f>
        <v/>
      </c>
      <c r="I6102">
        <f>IF(E6102="Gmail",COUNTIF($E$2:E6102,"Gmail"),"")</f>
        <v/>
      </c>
      <c r="J6102">
        <f>IF(E6102="Outlook",COUNTIF($E$2:E6102,"Outlook"),"")</f>
        <v/>
      </c>
      <c r="K6102">
        <f>IF(E6102="Domain",COUNTIF($E$2:E6102,"Domain"),"")</f>
        <v/>
      </c>
    </row>
    <row r="6103">
      <c r="A6103" s="2" t="n"/>
      <c r="B6103">
        <f>LOWER(TRIM(A6103))</f>
        <v/>
      </c>
      <c r="C6103">
        <f>IF(B6103="","",IFERROR(INDEX('Bad Patterns'!$A$2:$A$120,MATCH(1,INDEX(--ISNUMBER(SEARCH('Bad Patterns'!$A$2:$A$120,B6103)),0),0)),""))</f>
        <v/>
      </c>
      <c r="D6103">
        <f>IF(B6103="","",IF(C6103&lt;&gt;"","REMOVE","KEEP"))</f>
        <v/>
      </c>
      <c r="E6103">
        <f>IF(D6103&lt;&gt;"KEEP","",IF(RIGHT(B6103,10)="@gmail.com","Gmail",IF(OR(RIGHT(B6103,12)="@outlook.com",RIGHT(B6103,12)="@hotmail.com",RIGHT(B6103,9)="@live.com"),"Outlook","Domain")))</f>
        <v/>
      </c>
      <c r="F6103">
        <f>IF(B6103="","",IFERROR(RIGHT(B6103,LEN(B6103)-FIND("@",B6103)),""))</f>
        <v/>
      </c>
      <c r="G6103">
        <f>IF(D6103="KEEP",COUNTIF($D$2:D6103,"KEEP"),"")</f>
        <v/>
      </c>
      <c r="H6103">
        <f>IF(D6103="REMOVE",COUNTIF($D$2:D6103,"REMOVE"),"")</f>
        <v/>
      </c>
      <c r="I6103">
        <f>IF(E6103="Gmail",COUNTIF($E$2:E6103,"Gmail"),"")</f>
        <v/>
      </c>
      <c r="J6103">
        <f>IF(E6103="Outlook",COUNTIF($E$2:E6103,"Outlook"),"")</f>
        <v/>
      </c>
      <c r="K6103">
        <f>IF(E6103="Domain",COUNTIF($E$2:E6103,"Domain"),"")</f>
        <v/>
      </c>
    </row>
    <row r="6104">
      <c r="A6104" s="2" t="n"/>
      <c r="B6104">
        <f>LOWER(TRIM(A6104))</f>
        <v/>
      </c>
      <c r="C6104">
        <f>IF(B6104="","",IFERROR(INDEX('Bad Patterns'!$A$2:$A$120,MATCH(1,INDEX(--ISNUMBER(SEARCH('Bad Patterns'!$A$2:$A$120,B6104)),0),0)),""))</f>
        <v/>
      </c>
      <c r="D6104">
        <f>IF(B6104="","",IF(C6104&lt;&gt;"","REMOVE","KEEP"))</f>
        <v/>
      </c>
      <c r="E6104">
        <f>IF(D6104&lt;&gt;"KEEP","",IF(RIGHT(B6104,10)="@gmail.com","Gmail",IF(OR(RIGHT(B6104,12)="@outlook.com",RIGHT(B6104,12)="@hotmail.com",RIGHT(B6104,9)="@live.com"),"Outlook","Domain")))</f>
        <v/>
      </c>
      <c r="F6104">
        <f>IF(B6104="","",IFERROR(RIGHT(B6104,LEN(B6104)-FIND("@",B6104)),""))</f>
        <v/>
      </c>
      <c r="G6104">
        <f>IF(D6104="KEEP",COUNTIF($D$2:D6104,"KEEP"),"")</f>
        <v/>
      </c>
      <c r="H6104">
        <f>IF(D6104="REMOVE",COUNTIF($D$2:D6104,"REMOVE"),"")</f>
        <v/>
      </c>
      <c r="I6104">
        <f>IF(E6104="Gmail",COUNTIF($E$2:E6104,"Gmail"),"")</f>
        <v/>
      </c>
      <c r="J6104">
        <f>IF(E6104="Outlook",COUNTIF($E$2:E6104,"Outlook"),"")</f>
        <v/>
      </c>
      <c r="K6104">
        <f>IF(E6104="Domain",COUNTIF($E$2:E6104,"Domain"),"")</f>
        <v/>
      </c>
    </row>
    <row r="6105">
      <c r="A6105" s="2" t="n"/>
      <c r="B6105">
        <f>LOWER(TRIM(A6105))</f>
        <v/>
      </c>
      <c r="C6105">
        <f>IF(B6105="","",IFERROR(INDEX('Bad Patterns'!$A$2:$A$120,MATCH(1,INDEX(--ISNUMBER(SEARCH('Bad Patterns'!$A$2:$A$120,B6105)),0),0)),""))</f>
        <v/>
      </c>
      <c r="D6105">
        <f>IF(B6105="","",IF(C6105&lt;&gt;"","REMOVE","KEEP"))</f>
        <v/>
      </c>
      <c r="E6105">
        <f>IF(D6105&lt;&gt;"KEEP","",IF(RIGHT(B6105,10)="@gmail.com","Gmail",IF(OR(RIGHT(B6105,12)="@outlook.com",RIGHT(B6105,12)="@hotmail.com",RIGHT(B6105,9)="@live.com"),"Outlook","Domain")))</f>
        <v/>
      </c>
      <c r="F6105">
        <f>IF(B6105="","",IFERROR(RIGHT(B6105,LEN(B6105)-FIND("@",B6105)),""))</f>
        <v/>
      </c>
      <c r="G6105">
        <f>IF(D6105="KEEP",COUNTIF($D$2:D6105,"KEEP"),"")</f>
        <v/>
      </c>
      <c r="H6105">
        <f>IF(D6105="REMOVE",COUNTIF($D$2:D6105,"REMOVE"),"")</f>
        <v/>
      </c>
      <c r="I6105">
        <f>IF(E6105="Gmail",COUNTIF($E$2:E6105,"Gmail"),"")</f>
        <v/>
      </c>
      <c r="J6105">
        <f>IF(E6105="Outlook",COUNTIF($E$2:E6105,"Outlook"),"")</f>
        <v/>
      </c>
      <c r="K6105">
        <f>IF(E6105="Domain",COUNTIF($E$2:E6105,"Domain"),"")</f>
        <v/>
      </c>
    </row>
    <row r="6106">
      <c r="A6106" s="2" t="n"/>
      <c r="B6106">
        <f>LOWER(TRIM(A6106))</f>
        <v/>
      </c>
      <c r="C6106">
        <f>IF(B6106="","",IFERROR(INDEX('Bad Patterns'!$A$2:$A$120,MATCH(1,INDEX(--ISNUMBER(SEARCH('Bad Patterns'!$A$2:$A$120,B6106)),0),0)),""))</f>
        <v/>
      </c>
      <c r="D6106">
        <f>IF(B6106="","",IF(C6106&lt;&gt;"","REMOVE","KEEP"))</f>
        <v/>
      </c>
      <c r="E6106">
        <f>IF(D6106&lt;&gt;"KEEP","",IF(RIGHT(B6106,10)="@gmail.com","Gmail",IF(OR(RIGHT(B6106,12)="@outlook.com",RIGHT(B6106,12)="@hotmail.com",RIGHT(B6106,9)="@live.com"),"Outlook","Domain")))</f>
        <v/>
      </c>
      <c r="F6106">
        <f>IF(B6106="","",IFERROR(RIGHT(B6106,LEN(B6106)-FIND("@",B6106)),""))</f>
        <v/>
      </c>
      <c r="G6106">
        <f>IF(D6106="KEEP",COUNTIF($D$2:D6106,"KEEP"),"")</f>
        <v/>
      </c>
      <c r="H6106">
        <f>IF(D6106="REMOVE",COUNTIF($D$2:D6106,"REMOVE"),"")</f>
        <v/>
      </c>
      <c r="I6106">
        <f>IF(E6106="Gmail",COUNTIF($E$2:E6106,"Gmail"),"")</f>
        <v/>
      </c>
      <c r="J6106">
        <f>IF(E6106="Outlook",COUNTIF($E$2:E6106,"Outlook"),"")</f>
        <v/>
      </c>
      <c r="K6106">
        <f>IF(E6106="Domain",COUNTIF($E$2:E6106,"Domain"),"")</f>
        <v/>
      </c>
    </row>
    <row r="6107">
      <c r="A6107" s="2" t="n"/>
      <c r="B6107">
        <f>LOWER(TRIM(A6107))</f>
        <v/>
      </c>
      <c r="C6107">
        <f>IF(B6107="","",IFERROR(INDEX('Bad Patterns'!$A$2:$A$120,MATCH(1,INDEX(--ISNUMBER(SEARCH('Bad Patterns'!$A$2:$A$120,B6107)),0),0)),""))</f>
        <v/>
      </c>
      <c r="D6107">
        <f>IF(B6107="","",IF(C6107&lt;&gt;"","REMOVE","KEEP"))</f>
        <v/>
      </c>
      <c r="E6107">
        <f>IF(D6107&lt;&gt;"KEEP","",IF(RIGHT(B6107,10)="@gmail.com","Gmail",IF(OR(RIGHT(B6107,12)="@outlook.com",RIGHT(B6107,12)="@hotmail.com",RIGHT(B6107,9)="@live.com"),"Outlook","Domain")))</f>
        <v/>
      </c>
      <c r="F6107">
        <f>IF(B6107="","",IFERROR(RIGHT(B6107,LEN(B6107)-FIND("@",B6107)),""))</f>
        <v/>
      </c>
      <c r="G6107">
        <f>IF(D6107="KEEP",COUNTIF($D$2:D6107,"KEEP"),"")</f>
        <v/>
      </c>
      <c r="H6107">
        <f>IF(D6107="REMOVE",COUNTIF($D$2:D6107,"REMOVE"),"")</f>
        <v/>
      </c>
      <c r="I6107">
        <f>IF(E6107="Gmail",COUNTIF($E$2:E6107,"Gmail"),"")</f>
        <v/>
      </c>
      <c r="J6107">
        <f>IF(E6107="Outlook",COUNTIF($E$2:E6107,"Outlook"),"")</f>
        <v/>
      </c>
      <c r="K6107">
        <f>IF(E6107="Domain",COUNTIF($E$2:E6107,"Domain"),"")</f>
        <v/>
      </c>
    </row>
    <row r="6108">
      <c r="A6108" s="2" t="n"/>
      <c r="B6108">
        <f>LOWER(TRIM(A6108))</f>
        <v/>
      </c>
      <c r="C6108">
        <f>IF(B6108="","",IFERROR(INDEX('Bad Patterns'!$A$2:$A$120,MATCH(1,INDEX(--ISNUMBER(SEARCH('Bad Patterns'!$A$2:$A$120,B6108)),0),0)),""))</f>
        <v/>
      </c>
      <c r="D6108">
        <f>IF(B6108="","",IF(C6108&lt;&gt;"","REMOVE","KEEP"))</f>
        <v/>
      </c>
      <c r="E6108">
        <f>IF(D6108&lt;&gt;"KEEP","",IF(RIGHT(B6108,10)="@gmail.com","Gmail",IF(OR(RIGHT(B6108,12)="@outlook.com",RIGHT(B6108,12)="@hotmail.com",RIGHT(B6108,9)="@live.com"),"Outlook","Domain")))</f>
        <v/>
      </c>
      <c r="F6108">
        <f>IF(B6108="","",IFERROR(RIGHT(B6108,LEN(B6108)-FIND("@",B6108)),""))</f>
        <v/>
      </c>
      <c r="G6108">
        <f>IF(D6108="KEEP",COUNTIF($D$2:D6108,"KEEP"),"")</f>
        <v/>
      </c>
      <c r="H6108">
        <f>IF(D6108="REMOVE",COUNTIF($D$2:D6108,"REMOVE"),"")</f>
        <v/>
      </c>
      <c r="I6108">
        <f>IF(E6108="Gmail",COUNTIF($E$2:E6108,"Gmail"),"")</f>
        <v/>
      </c>
      <c r="J6108">
        <f>IF(E6108="Outlook",COUNTIF($E$2:E6108,"Outlook"),"")</f>
        <v/>
      </c>
      <c r="K6108">
        <f>IF(E6108="Domain",COUNTIF($E$2:E6108,"Domain"),"")</f>
        <v/>
      </c>
    </row>
    <row r="6109">
      <c r="A6109" s="2" t="n"/>
      <c r="B6109">
        <f>LOWER(TRIM(A6109))</f>
        <v/>
      </c>
      <c r="C6109">
        <f>IF(B6109="","",IFERROR(INDEX('Bad Patterns'!$A$2:$A$120,MATCH(1,INDEX(--ISNUMBER(SEARCH('Bad Patterns'!$A$2:$A$120,B6109)),0),0)),""))</f>
        <v/>
      </c>
      <c r="D6109">
        <f>IF(B6109="","",IF(C6109&lt;&gt;"","REMOVE","KEEP"))</f>
        <v/>
      </c>
      <c r="E6109">
        <f>IF(D6109&lt;&gt;"KEEP","",IF(RIGHT(B6109,10)="@gmail.com","Gmail",IF(OR(RIGHT(B6109,12)="@outlook.com",RIGHT(B6109,12)="@hotmail.com",RIGHT(B6109,9)="@live.com"),"Outlook","Domain")))</f>
        <v/>
      </c>
      <c r="F6109">
        <f>IF(B6109="","",IFERROR(RIGHT(B6109,LEN(B6109)-FIND("@",B6109)),""))</f>
        <v/>
      </c>
      <c r="G6109">
        <f>IF(D6109="KEEP",COUNTIF($D$2:D6109,"KEEP"),"")</f>
        <v/>
      </c>
      <c r="H6109">
        <f>IF(D6109="REMOVE",COUNTIF($D$2:D6109,"REMOVE"),"")</f>
        <v/>
      </c>
      <c r="I6109">
        <f>IF(E6109="Gmail",COUNTIF($E$2:E6109,"Gmail"),"")</f>
        <v/>
      </c>
      <c r="J6109">
        <f>IF(E6109="Outlook",COUNTIF($E$2:E6109,"Outlook"),"")</f>
        <v/>
      </c>
      <c r="K6109">
        <f>IF(E6109="Domain",COUNTIF($E$2:E6109,"Domain"),"")</f>
        <v/>
      </c>
    </row>
    <row r="6110">
      <c r="A6110" s="2" t="n"/>
      <c r="B6110">
        <f>LOWER(TRIM(A6110))</f>
        <v/>
      </c>
      <c r="C6110">
        <f>IF(B6110="","",IFERROR(INDEX('Bad Patterns'!$A$2:$A$120,MATCH(1,INDEX(--ISNUMBER(SEARCH('Bad Patterns'!$A$2:$A$120,B6110)),0),0)),""))</f>
        <v/>
      </c>
      <c r="D6110">
        <f>IF(B6110="","",IF(C6110&lt;&gt;"","REMOVE","KEEP"))</f>
        <v/>
      </c>
      <c r="E6110">
        <f>IF(D6110&lt;&gt;"KEEP","",IF(RIGHT(B6110,10)="@gmail.com","Gmail",IF(OR(RIGHT(B6110,12)="@outlook.com",RIGHT(B6110,12)="@hotmail.com",RIGHT(B6110,9)="@live.com"),"Outlook","Domain")))</f>
        <v/>
      </c>
      <c r="F6110">
        <f>IF(B6110="","",IFERROR(RIGHT(B6110,LEN(B6110)-FIND("@",B6110)),""))</f>
        <v/>
      </c>
      <c r="G6110">
        <f>IF(D6110="KEEP",COUNTIF($D$2:D6110,"KEEP"),"")</f>
        <v/>
      </c>
      <c r="H6110">
        <f>IF(D6110="REMOVE",COUNTIF($D$2:D6110,"REMOVE"),"")</f>
        <v/>
      </c>
      <c r="I6110">
        <f>IF(E6110="Gmail",COUNTIF($E$2:E6110,"Gmail"),"")</f>
        <v/>
      </c>
      <c r="J6110">
        <f>IF(E6110="Outlook",COUNTIF($E$2:E6110,"Outlook"),"")</f>
        <v/>
      </c>
      <c r="K6110">
        <f>IF(E6110="Domain",COUNTIF($E$2:E6110,"Domain"),"")</f>
        <v/>
      </c>
    </row>
    <row r="6111">
      <c r="A6111" s="2" t="n"/>
      <c r="B6111">
        <f>LOWER(TRIM(A6111))</f>
        <v/>
      </c>
      <c r="C6111">
        <f>IF(B6111="","",IFERROR(INDEX('Bad Patterns'!$A$2:$A$120,MATCH(1,INDEX(--ISNUMBER(SEARCH('Bad Patterns'!$A$2:$A$120,B6111)),0),0)),""))</f>
        <v/>
      </c>
      <c r="D6111">
        <f>IF(B6111="","",IF(C6111&lt;&gt;"","REMOVE","KEEP"))</f>
        <v/>
      </c>
      <c r="E6111">
        <f>IF(D6111&lt;&gt;"KEEP","",IF(RIGHT(B6111,10)="@gmail.com","Gmail",IF(OR(RIGHT(B6111,12)="@outlook.com",RIGHT(B6111,12)="@hotmail.com",RIGHT(B6111,9)="@live.com"),"Outlook","Domain")))</f>
        <v/>
      </c>
      <c r="F6111">
        <f>IF(B6111="","",IFERROR(RIGHT(B6111,LEN(B6111)-FIND("@",B6111)),""))</f>
        <v/>
      </c>
      <c r="G6111">
        <f>IF(D6111="KEEP",COUNTIF($D$2:D6111,"KEEP"),"")</f>
        <v/>
      </c>
      <c r="H6111">
        <f>IF(D6111="REMOVE",COUNTIF($D$2:D6111,"REMOVE"),"")</f>
        <v/>
      </c>
      <c r="I6111">
        <f>IF(E6111="Gmail",COUNTIF($E$2:E6111,"Gmail"),"")</f>
        <v/>
      </c>
      <c r="J6111">
        <f>IF(E6111="Outlook",COUNTIF($E$2:E6111,"Outlook"),"")</f>
        <v/>
      </c>
      <c r="K6111">
        <f>IF(E6111="Domain",COUNTIF($E$2:E6111,"Domain"),"")</f>
        <v/>
      </c>
    </row>
    <row r="6112">
      <c r="A6112" s="2" t="n"/>
      <c r="B6112">
        <f>LOWER(TRIM(A6112))</f>
        <v/>
      </c>
      <c r="C6112">
        <f>IF(B6112="","",IFERROR(INDEX('Bad Patterns'!$A$2:$A$120,MATCH(1,INDEX(--ISNUMBER(SEARCH('Bad Patterns'!$A$2:$A$120,B6112)),0),0)),""))</f>
        <v/>
      </c>
      <c r="D6112">
        <f>IF(B6112="","",IF(C6112&lt;&gt;"","REMOVE","KEEP"))</f>
        <v/>
      </c>
      <c r="E6112">
        <f>IF(D6112&lt;&gt;"KEEP","",IF(RIGHT(B6112,10)="@gmail.com","Gmail",IF(OR(RIGHT(B6112,12)="@outlook.com",RIGHT(B6112,12)="@hotmail.com",RIGHT(B6112,9)="@live.com"),"Outlook","Domain")))</f>
        <v/>
      </c>
      <c r="F6112">
        <f>IF(B6112="","",IFERROR(RIGHT(B6112,LEN(B6112)-FIND("@",B6112)),""))</f>
        <v/>
      </c>
      <c r="G6112">
        <f>IF(D6112="KEEP",COUNTIF($D$2:D6112,"KEEP"),"")</f>
        <v/>
      </c>
      <c r="H6112">
        <f>IF(D6112="REMOVE",COUNTIF($D$2:D6112,"REMOVE"),"")</f>
        <v/>
      </c>
      <c r="I6112">
        <f>IF(E6112="Gmail",COUNTIF($E$2:E6112,"Gmail"),"")</f>
        <v/>
      </c>
      <c r="J6112">
        <f>IF(E6112="Outlook",COUNTIF($E$2:E6112,"Outlook"),"")</f>
        <v/>
      </c>
      <c r="K6112">
        <f>IF(E6112="Domain",COUNTIF($E$2:E6112,"Domain"),"")</f>
        <v/>
      </c>
    </row>
    <row r="6113">
      <c r="A6113" s="2" t="n"/>
      <c r="B6113">
        <f>LOWER(TRIM(A6113))</f>
        <v/>
      </c>
      <c r="C6113">
        <f>IF(B6113="","",IFERROR(INDEX('Bad Patterns'!$A$2:$A$120,MATCH(1,INDEX(--ISNUMBER(SEARCH('Bad Patterns'!$A$2:$A$120,B6113)),0),0)),""))</f>
        <v/>
      </c>
      <c r="D6113">
        <f>IF(B6113="","",IF(C6113&lt;&gt;"","REMOVE","KEEP"))</f>
        <v/>
      </c>
      <c r="E6113">
        <f>IF(D6113&lt;&gt;"KEEP","",IF(RIGHT(B6113,10)="@gmail.com","Gmail",IF(OR(RIGHT(B6113,12)="@outlook.com",RIGHT(B6113,12)="@hotmail.com",RIGHT(B6113,9)="@live.com"),"Outlook","Domain")))</f>
        <v/>
      </c>
      <c r="F6113">
        <f>IF(B6113="","",IFERROR(RIGHT(B6113,LEN(B6113)-FIND("@",B6113)),""))</f>
        <v/>
      </c>
      <c r="G6113">
        <f>IF(D6113="KEEP",COUNTIF($D$2:D6113,"KEEP"),"")</f>
        <v/>
      </c>
      <c r="H6113">
        <f>IF(D6113="REMOVE",COUNTIF($D$2:D6113,"REMOVE"),"")</f>
        <v/>
      </c>
      <c r="I6113">
        <f>IF(E6113="Gmail",COUNTIF($E$2:E6113,"Gmail"),"")</f>
        <v/>
      </c>
      <c r="J6113">
        <f>IF(E6113="Outlook",COUNTIF($E$2:E6113,"Outlook"),"")</f>
        <v/>
      </c>
      <c r="K6113">
        <f>IF(E6113="Domain",COUNTIF($E$2:E6113,"Domain"),"")</f>
        <v/>
      </c>
    </row>
    <row r="6114">
      <c r="A6114" s="2" t="n"/>
      <c r="B6114">
        <f>LOWER(TRIM(A6114))</f>
        <v/>
      </c>
      <c r="C6114">
        <f>IF(B6114="","",IFERROR(INDEX('Bad Patterns'!$A$2:$A$120,MATCH(1,INDEX(--ISNUMBER(SEARCH('Bad Patterns'!$A$2:$A$120,B6114)),0),0)),""))</f>
        <v/>
      </c>
      <c r="D6114">
        <f>IF(B6114="","",IF(C6114&lt;&gt;"","REMOVE","KEEP"))</f>
        <v/>
      </c>
      <c r="E6114">
        <f>IF(D6114&lt;&gt;"KEEP","",IF(RIGHT(B6114,10)="@gmail.com","Gmail",IF(OR(RIGHT(B6114,12)="@outlook.com",RIGHT(B6114,12)="@hotmail.com",RIGHT(B6114,9)="@live.com"),"Outlook","Domain")))</f>
        <v/>
      </c>
      <c r="F6114">
        <f>IF(B6114="","",IFERROR(RIGHT(B6114,LEN(B6114)-FIND("@",B6114)),""))</f>
        <v/>
      </c>
      <c r="G6114">
        <f>IF(D6114="KEEP",COUNTIF($D$2:D6114,"KEEP"),"")</f>
        <v/>
      </c>
      <c r="H6114">
        <f>IF(D6114="REMOVE",COUNTIF($D$2:D6114,"REMOVE"),"")</f>
        <v/>
      </c>
      <c r="I6114">
        <f>IF(E6114="Gmail",COUNTIF($E$2:E6114,"Gmail"),"")</f>
        <v/>
      </c>
      <c r="J6114">
        <f>IF(E6114="Outlook",COUNTIF($E$2:E6114,"Outlook"),"")</f>
        <v/>
      </c>
      <c r="K6114">
        <f>IF(E6114="Domain",COUNTIF($E$2:E6114,"Domain"),"")</f>
        <v/>
      </c>
    </row>
    <row r="6115">
      <c r="A6115" s="2" t="n"/>
      <c r="B6115">
        <f>LOWER(TRIM(A6115))</f>
        <v/>
      </c>
      <c r="C6115">
        <f>IF(B6115="","",IFERROR(INDEX('Bad Patterns'!$A$2:$A$120,MATCH(1,INDEX(--ISNUMBER(SEARCH('Bad Patterns'!$A$2:$A$120,B6115)),0),0)),""))</f>
        <v/>
      </c>
      <c r="D6115">
        <f>IF(B6115="","",IF(C6115&lt;&gt;"","REMOVE","KEEP"))</f>
        <v/>
      </c>
      <c r="E6115">
        <f>IF(D6115&lt;&gt;"KEEP","",IF(RIGHT(B6115,10)="@gmail.com","Gmail",IF(OR(RIGHT(B6115,12)="@outlook.com",RIGHT(B6115,12)="@hotmail.com",RIGHT(B6115,9)="@live.com"),"Outlook","Domain")))</f>
        <v/>
      </c>
      <c r="F6115">
        <f>IF(B6115="","",IFERROR(RIGHT(B6115,LEN(B6115)-FIND("@",B6115)),""))</f>
        <v/>
      </c>
      <c r="G6115">
        <f>IF(D6115="KEEP",COUNTIF($D$2:D6115,"KEEP"),"")</f>
        <v/>
      </c>
      <c r="H6115">
        <f>IF(D6115="REMOVE",COUNTIF($D$2:D6115,"REMOVE"),"")</f>
        <v/>
      </c>
      <c r="I6115">
        <f>IF(E6115="Gmail",COUNTIF($E$2:E6115,"Gmail"),"")</f>
        <v/>
      </c>
      <c r="J6115">
        <f>IF(E6115="Outlook",COUNTIF($E$2:E6115,"Outlook"),"")</f>
        <v/>
      </c>
      <c r="K6115">
        <f>IF(E6115="Domain",COUNTIF($E$2:E6115,"Domain"),"")</f>
        <v/>
      </c>
    </row>
    <row r="6116">
      <c r="A6116" s="2" t="n"/>
      <c r="B6116">
        <f>LOWER(TRIM(A6116))</f>
        <v/>
      </c>
      <c r="C6116">
        <f>IF(B6116="","",IFERROR(INDEX('Bad Patterns'!$A$2:$A$120,MATCH(1,INDEX(--ISNUMBER(SEARCH('Bad Patterns'!$A$2:$A$120,B6116)),0),0)),""))</f>
        <v/>
      </c>
      <c r="D6116">
        <f>IF(B6116="","",IF(C6116&lt;&gt;"","REMOVE","KEEP"))</f>
        <v/>
      </c>
      <c r="E6116">
        <f>IF(D6116&lt;&gt;"KEEP","",IF(RIGHT(B6116,10)="@gmail.com","Gmail",IF(OR(RIGHT(B6116,12)="@outlook.com",RIGHT(B6116,12)="@hotmail.com",RIGHT(B6116,9)="@live.com"),"Outlook","Domain")))</f>
        <v/>
      </c>
      <c r="F6116">
        <f>IF(B6116="","",IFERROR(RIGHT(B6116,LEN(B6116)-FIND("@",B6116)),""))</f>
        <v/>
      </c>
      <c r="G6116">
        <f>IF(D6116="KEEP",COUNTIF($D$2:D6116,"KEEP"),"")</f>
        <v/>
      </c>
      <c r="H6116">
        <f>IF(D6116="REMOVE",COUNTIF($D$2:D6116,"REMOVE"),"")</f>
        <v/>
      </c>
      <c r="I6116">
        <f>IF(E6116="Gmail",COUNTIF($E$2:E6116,"Gmail"),"")</f>
        <v/>
      </c>
      <c r="J6116">
        <f>IF(E6116="Outlook",COUNTIF($E$2:E6116,"Outlook"),"")</f>
        <v/>
      </c>
      <c r="K6116">
        <f>IF(E6116="Domain",COUNTIF($E$2:E6116,"Domain"),"")</f>
        <v/>
      </c>
    </row>
    <row r="6117">
      <c r="A6117" s="2" t="n"/>
      <c r="B6117">
        <f>LOWER(TRIM(A6117))</f>
        <v/>
      </c>
      <c r="C6117">
        <f>IF(B6117="","",IFERROR(INDEX('Bad Patterns'!$A$2:$A$120,MATCH(1,INDEX(--ISNUMBER(SEARCH('Bad Patterns'!$A$2:$A$120,B6117)),0),0)),""))</f>
        <v/>
      </c>
      <c r="D6117">
        <f>IF(B6117="","",IF(C6117&lt;&gt;"","REMOVE","KEEP"))</f>
        <v/>
      </c>
      <c r="E6117">
        <f>IF(D6117&lt;&gt;"KEEP","",IF(RIGHT(B6117,10)="@gmail.com","Gmail",IF(OR(RIGHT(B6117,12)="@outlook.com",RIGHT(B6117,12)="@hotmail.com",RIGHT(B6117,9)="@live.com"),"Outlook","Domain")))</f>
        <v/>
      </c>
      <c r="F6117">
        <f>IF(B6117="","",IFERROR(RIGHT(B6117,LEN(B6117)-FIND("@",B6117)),""))</f>
        <v/>
      </c>
      <c r="G6117">
        <f>IF(D6117="KEEP",COUNTIF($D$2:D6117,"KEEP"),"")</f>
        <v/>
      </c>
      <c r="H6117">
        <f>IF(D6117="REMOVE",COUNTIF($D$2:D6117,"REMOVE"),"")</f>
        <v/>
      </c>
      <c r="I6117">
        <f>IF(E6117="Gmail",COUNTIF($E$2:E6117,"Gmail"),"")</f>
        <v/>
      </c>
      <c r="J6117">
        <f>IF(E6117="Outlook",COUNTIF($E$2:E6117,"Outlook"),"")</f>
        <v/>
      </c>
      <c r="K6117">
        <f>IF(E6117="Domain",COUNTIF($E$2:E6117,"Domain"),"")</f>
        <v/>
      </c>
    </row>
    <row r="6118">
      <c r="A6118" s="2" t="n"/>
      <c r="B6118">
        <f>LOWER(TRIM(A6118))</f>
        <v/>
      </c>
      <c r="C6118">
        <f>IF(B6118="","",IFERROR(INDEX('Bad Patterns'!$A$2:$A$120,MATCH(1,INDEX(--ISNUMBER(SEARCH('Bad Patterns'!$A$2:$A$120,B6118)),0),0)),""))</f>
        <v/>
      </c>
      <c r="D6118">
        <f>IF(B6118="","",IF(C6118&lt;&gt;"","REMOVE","KEEP"))</f>
        <v/>
      </c>
      <c r="E6118">
        <f>IF(D6118&lt;&gt;"KEEP","",IF(RIGHT(B6118,10)="@gmail.com","Gmail",IF(OR(RIGHT(B6118,12)="@outlook.com",RIGHT(B6118,12)="@hotmail.com",RIGHT(B6118,9)="@live.com"),"Outlook","Domain")))</f>
        <v/>
      </c>
      <c r="F6118">
        <f>IF(B6118="","",IFERROR(RIGHT(B6118,LEN(B6118)-FIND("@",B6118)),""))</f>
        <v/>
      </c>
      <c r="G6118">
        <f>IF(D6118="KEEP",COUNTIF($D$2:D6118,"KEEP"),"")</f>
        <v/>
      </c>
      <c r="H6118">
        <f>IF(D6118="REMOVE",COUNTIF($D$2:D6118,"REMOVE"),"")</f>
        <v/>
      </c>
      <c r="I6118">
        <f>IF(E6118="Gmail",COUNTIF($E$2:E6118,"Gmail"),"")</f>
        <v/>
      </c>
      <c r="J6118">
        <f>IF(E6118="Outlook",COUNTIF($E$2:E6118,"Outlook"),"")</f>
        <v/>
      </c>
      <c r="K6118">
        <f>IF(E6118="Domain",COUNTIF($E$2:E6118,"Domain"),"")</f>
        <v/>
      </c>
    </row>
    <row r="6119">
      <c r="A6119" s="2" t="n"/>
      <c r="B6119">
        <f>LOWER(TRIM(A6119))</f>
        <v/>
      </c>
      <c r="C6119">
        <f>IF(B6119="","",IFERROR(INDEX('Bad Patterns'!$A$2:$A$120,MATCH(1,INDEX(--ISNUMBER(SEARCH('Bad Patterns'!$A$2:$A$120,B6119)),0),0)),""))</f>
        <v/>
      </c>
      <c r="D6119">
        <f>IF(B6119="","",IF(C6119&lt;&gt;"","REMOVE","KEEP"))</f>
        <v/>
      </c>
      <c r="E6119">
        <f>IF(D6119&lt;&gt;"KEEP","",IF(RIGHT(B6119,10)="@gmail.com","Gmail",IF(OR(RIGHT(B6119,12)="@outlook.com",RIGHT(B6119,12)="@hotmail.com",RIGHT(B6119,9)="@live.com"),"Outlook","Domain")))</f>
        <v/>
      </c>
      <c r="F6119">
        <f>IF(B6119="","",IFERROR(RIGHT(B6119,LEN(B6119)-FIND("@",B6119)),""))</f>
        <v/>
      </c>
      <c r="G6119">
        <f>IF(D6119="KEEP",COUNTIF($D$2:D6119,"KEEP"),"")</f>
        <v/>
      </c>
      <c r="H6119">
        <f>IF(D6119="REMOVE",COUNTIF($D$2:D6119,"REMOVE"),"")</f>
        <v/>
      </c>
      <c r="I6119">
        <f>IF(E6119="Gmail",COUNTIF($E$2:E6119,"Gmail"),"")</f>
        <v/>
      </c>
      <c r="J6119">
        <f>IF(E6119="Outlook",COUNTIF($E$2:E6119,"Outlook"),"")</f>
        <v/>
      </c>
      <c r="K6119">
        <f>IF(E6119="Domain",COUNTIF($E$2:E6119,"Domain"),"")</f>
        <v/>
      </c>
    </row>
    <row r="6120">
      <c r="A6120" s="2" t="n"/>
      <c r="B6120">
        <f>LOWER(TRIM(A6120))</f>
        <v/>
      </c>
      <c r="C6120">
        <f>IF(B6120="","",IFERROR(INDEX('Bad Patterns'!$A$2:$A$120,MATCH(1,INDEX(--ISNUMBER(SEARCH('Bad Patterns'!$A$2:$A$120,B6120)),0),0)),""))</f>
        <v/>
      </c>
      <c r="D6120">
        <f>IF(B6120="","",IF(C6120&lt;&gt;"","REMOVE","KEEP"))</f>
        <v/>
      </c>
      <c r="E6120">
        <f>IF(D6120&lt;&gt;"KEEP","",IF(RIGHT(B6120,10)="@gmail.com","Gmail",IF(OR(RIGHT(B6120,12)="@outlook.com",RIGHT(B6120,12)="@hotmail.com",RIGHT(B6120,9)="@live.com"),"Outlook","Domain")))</f>
        <v/>
      </c>
      <c r="F6120">
        <f>IF(B6120="","",IFERROR(RIGHT(B6120,LEN(B6120)-FIND("@",B6120)),""))</f>
        <v/>
      </c>
      <c r="G6120">
        <f>IF(D6120="KEEP",COUNTIF($D$2:D6120,"KEEP"),"")</f>
        <v/>
      </c>
      <c r="H6120">
        <f>IF(D6120="REMOVE",COUNTIF($D$2:D6120,"REMOVE"),"")</f>
        <v/>
      </c>
      <c r="I6120">
        <f>IF(E6120="Gmail",COUNTIF($E$2:E6120,"Gmail"),"")</f>
        <v/>
      </c>
      <c r="J6120">
        <f>IF(E6120="Outlook",COUNTIF($E$2:E6120,"Outlook"),"")</f>
        <v/>
      </c>
      <c r="K6120">
        <f>IF(E6120="Domain",COUNTIF($E$2:E6120,"Domain"),"")</f>
        <v/>
      </c>
    </row>
    <row r="6121">
      <c r="A6121" s="2" t="n"/>
      <c r="B6121">
        <f>LOWER(TRIM(A6121))</f>
        <v/>
      </c>
      <c r="C6121">
        <f>IF(B6121="","",IFERROR(INDEX('Bad Patterns'!$A$2:$A$120,MATCH(1,INDEX(--ISNUMBER(SEARCH('Bad Patterns'!$A$2:$A$120,B6121)),0),0)),""))</f>
        <v/>
      </c>
      <c r="D6121">
        <f>IF(B6121="","",IF(C6121&lt;&gt;"","REMOVE","KEEP"))</f>
        <v/>
      </c>
      <c r="E6121">
        <f>IF(D6121&lt;&gt;"KEEP","",IF(RIGHT(B6121,10)="@gmail.com","Gmail",IF(OR(RIGHT(B6121,12)="@outlook.com",RIGHT(B6121,12)="@hotmail.com",RIGHT(B6121,9)="@live.com"),"Outlook","Domain")))</f>
        <v/>
      </c>
      <c r="F6121">
        <f>IF(B6121="","",IFERROR(RIGHT(B6121,LEN(B6121)-FIND("@",B6121)),""))</f>
        <v/>
      </c>
      <c r="G6121">
        <f>IF(D6121="KEEP",COUNTIF($D$2:D6121,"KEEP"),"")</f>
        <v/>
      </c>
      <c r="H6121">
        <f>IF(D6121="REMOVE",COUNTIF($D$2:D6121,"REMOVE"),"")</f>
        <v/>
      </c>
      <c r="I6121">
        <f>IF(E6121="Gmail",COUNTIF($E$2:E6121,"Gmail"),"")</f>
        <v/>
      </c>
      <c r="J6121">
        <f>IF(E6121="Outlook",COUNTIF($E$2:E6121,"Outlook"),"")</f>
        <v/>
      </c>
      <c r="K6121">
        <f>IF(E6121="Domain",COUNTIF($E$2:E6121,"Domain"),"")</f>
        <v/>
      </c>
    </row>
    <row r="6122">
      <c r="A6122" s="2" t="n"/>
      <c r="B6122">
        <f>LOWER(TRIM(A6122))</f>
        <v/>
      </c>
      <c r="C6122">
        <f>IF(B6122="","",IFERROR(INDEX('Bad Patterns'!$A$2:$A$120,MATCH(1,INDEX(--ISNUMBER(SEARCH('Bad Patterns'!$A$2:$A$120,B6122)),0),0)),""))</f>
        <v/>
      </c>
      <c r="D6122">
        <f>IF(B6122="","",IF(C6122&lt;&gt;"","REMOVE","KEEP"))</f>
        <v/>
      </c>
      <c r="E6122">
        <f>IF(D6122&lt;&gt;"KEEP","",IF(RIGHT(B6122,10)="@gmail.com","Gmail",IF(OR(RIGHT(B6122,12)="@outlook.com",RIGHT(B6122,12)="@hotmail.com",RIGHT(B6122,9)="@live.com"),"Outlook","Domain")))</f>
        <v/>
      </c>
      <c r="F6122">
        <f>IF(B6122="","",IFERROR(RIGHT(B6122,LEN(B6122)-FIND("@",B6122)),""))</f>
        <v/>
      </c>
      <c r="G6122">
        <f>IF(D6122="KEEP",COUNTIF($D$2:D6122,"KEEP"),"")</f>
        <v/>
      </c>
      <c r="H6122">
        <f>IF(D6122="REMOVE",COUNTIF($D$2:D6122,"REMOVE"),"")</f>
        <v/>
      </c>
      <c r="I6122">
        <f>IF(E6122="Gmail",COUNTIF($E$2:E6122,"Gmail"),"")</f>
        <v/>
      </c>
      <c r="J6122">
        <f>IF(E6122="Outlook",COUNTIF($E$2:E6122,"Outlook"),"")</f>
        <v/>
      </c>
      <c r="K6122">
        <f>IF(E6122="Domain",COUNTIF($E$2:E6122,"Domain"),"")</f>
        <v/>
      </c>
    </row>
    <row r="6123">
      <c r="A6123" s="2" t="n"/>
      <c r="B6123">
        <f>LOWER(TRIM(A6123))</f>
        <v/>
      </c>
      <c r="C6123">
        <f>IF(B6123="","",IFERROR(INDEX('Bad Patterns'!$A$2:$A$120,MATCH(1,INDEX(--ISNUMBER(SEARCH('Bad Patterns'!$A$2:$A$120,B6123)),0),0)),""))</f>
        <v/>
      </c>
      <c r="D6123">
        <f>IF(B6123="","",IF(C6123&lt;&gt;"","REMOVE","KEEP"))</f>
        <v/>
      </c>
      <c r="E6123">
        <f>IF(D6123&lt;&gt;"KEEP","",IF(RIGHT(B6123,10)="@gmail.com","Gmail",IF(OR(RIGHT(B6123,12)="@outlook.com",RIGHT(B6123,12)="@hotmail.com",RIGHT(B6123,9)="@live.com"),"Outlook","Domain")))</f>
        <v/>
      </c>
      <c r="F6123">
        <f>IF(B6123="","",IFERROR(RIGHT(B6123,LEN(B6123)-FIND("@",B6123)),""))</f>
        <v/>
      </c>
      <c r="G6123">
        <f>IF(D6123="KEEP",COUNTIF($D$2:D6123,"KEEP"),"")</f>
        <v/>
      </c>
      <c r="H6123">
        <f>IF(D6123="REMOVE",COUNTIF($D$2:D6123,"REMOVE"),"")</f>
        <v/>
      </c>
      <c r="I6123">
        <f>IF(E6123="Gmail",COUNTIF($E$2:E6123,"Gmail"),"")</f>
        <v/>
      </c>
      <c r="J6123">
        <f>IF(E6123="Outlook",COUNTIF($E$2:E6123,"Outlook"),"")</f>
        <v/>
      </c>
      <c r="K6123">
        <f>IF(E6123="Domain",COUNTIF($E$2:E6123,"Domain"),"")</f>
        <v/>
      </c>
    </row>
    <row r="6124">
      <c r="A6124" s="2" t="n"/>
      <c r="B6124">
        <f>LOWER(TRIM(A6124))</f>
        <v/>
      </c>
      <c r="C6124">
        <f>IF(B6124="","",IFERROR(INDEX('Bad Patterns'!$A$2:$A$120,MATCH(1,INDEX(--ISNUMBER(SEARCH('Bad Patterns'!$A$2:$A$120,B6124)),0),0)),""))</f>
        <v/>
      </c>
      <c r="D6124">
        <f>IF(B6124="","",IF(C6124&lt;&gt;"","REMOVE","KEEP"))</f>
        <v/>
      </c>
      <c r="E6124">
        <f>IF(D6124&lt;&gt;"KEEP","",IF(RIGHT(B6124,10)="@gmail.com","Gmail",IF(OR(RIGHT(B6124,12)="@outlook.com",RIGHT(B6124,12)="@hotmail.com",RIGHT(B6124,9)="@live.com"),"Outlook","Domain")))</f>
        <v/>
      </c>
      <c r="F6124">
        <f>IF(B6124="","",IFERROR(RIGHT(B6124,LEN(B6124)-FIND("@",B6124)),""))</f>
        <v/>
      </c>
      <c r="G6124">
        <f>IF(D6124="KEEP",COUNTIF($D$2:D6124,"KEEP"),"")</f>
        <v/>
      </c>
      <c r="H6124">
        <f>IF(D6124="REMOVE",COUNTIF($D$2:D6124,"REMOVE"),"")</f>
        <v/>
      </c>
      <c r="I6124">
        <f>IF(E6124="Gmail",COUNTIF($E$2:E6124,"Gmail"),"")</f>
        <v/>
      </c>
      <c r="J6124">
        <f>IF(E6124="Outlook",COUNTIF($E$2:E6124,"Outlook"),"")</f>
        <v/>
      </c>
      <c r="K6124">
        <f>IF(E6124="Domain",COUNTIF($E$2:E6124,"Domain"),"")</f>
        <v/>
      </c>
    </row>
    <row r="6125">
      <c r="A6125" s="2" t="n"/>
      <c r="B6125">
        <f>LOWER(TRIM(A6125))</f>
        <v/>
      </c>
      <c r="C6125">
        <f>IF(B6125="","",IFERROR(INDEX('Bad Patterns'!$A$2:$A$120,MATCH(1,INDEX(--ISNUMBER(SEARCH('Bad Patterns'!$A$2:$A$120,B6125)),0),0)),""))</f>
        <v/>
      </c>
      <c r="D6125">
        <f>IF(B6125="","",IF(C6125&lt;&gt;"","REMOVE","KEEP"))</f>
        <v/>
      </c>
      <c r="E6125">
        <f>IF(D6125&lt;&gt;"KEEP","",IF(RIGHT(B6125,10)="@gmail.com","Gmail",IF(OR(RIGHT(B6125,12)="@outlook.com",RIGHT(B6125,12)="@hotmail.com",RIGHT(B6125,9)="@live.com"),"Outlook","Domain")))</f>
        <v/>
      </c>
      <c r="F6125">
        <f>IF(B6125="","",IFERROR(RIGHT(B6125,LEN(B6125)-FIND("@",B6125)),""))</f>
        <v/>
      </c>
      <c r="G6125">
        <f>IF(D6125="KEEP",COUNTIF($D$2:D6125,"KEEP"),"")</f>
        <v/>
      </c>
      <c r="H6125">
        <f>IF(D6125="REMOVE",COUNTIF($D$2:D6125,"REMOVE"),"")</f>
        <v/>
      </c>
      <c r="I6125">
        <f>IF(E6125="Gmail",COUNTIF($E$2:E6125,"Gmail"),"")</f>
        <v/>
      </c>
      <c r="J6125">
        <f>IF(E6125="Outlook",COUNTIF($E$2:E6125,"Outlook"),"")</f>
        <v/>
      </c>
      <c r="K6125">
        <f>IF(E6125="Domain",COUNTIF($E$2:E6125,"Domain"),"")</f>
        <v/>
      </c>
    </row>
    <row r="6126">
      <c r="A6126" s="2" t="n"/>
      <c r="B6126">
        <f>LOWER(TRIM(A6126))</f>
        <v/>
      </c>
      <c r="C6126">
        <f>IF(B6126="","",IFERROR(INDEX('Bad Patterns'!$A$2:$A$120,MATCH(1,INDEX(--ISNUMBER(SEARCH('Bad Patterns'!$A$2:$A$120,B6126)),0),0)),""))</f>
        <v/>
      </c>
      <c r="D6126">
        <f>IF(B6126="","",IF(C6126&lt;&gt;"","REMOVE","KEEP"))</f>
        <v/>
      </c>
      <c r="E6126">
        <f>IF(D6126&lt;&gt;"KEEP","",IF(RIGHT(B6126,10)="@gmail.com","Gmail",IF(OR(RIGHT(B6126,12)="@outlook.com",RIGHT(B6126,12)="@hotmail.com",RIGHT(B6126,9)="@live.com"),"Outlook","Domain")))</f>
        <v/>
      </c>
      <c r="F6126">
        <f>IF(B6126="","",IFERROR(RIGHT(B6126,LEN(B6126)-FIND("@",B6126)),""))</f>
        <v/>
      </c>
      <c r="G6126">
        <f>IF(D6126="KEEP",COUNTIF($D$2:D6126,"KEEP"),"")</f>
        <v/>
      </c>
      <c r="H6126">
        <f>IF(D6126="REMOVE",COUNTIF($D$2:D6126,"REMOVE"),"")</f>
        <v/>
      </c>
      <c r="I6126">
        <f>IF(E6126="Gmail",COUNTIF($E$2:E6126,"Gmail"),"")</f>
        <v/>
      </c>
      <c r="J6126">
        <f>IF(E6126="Outlook",COUNTIF($E$2:E6126,"Outlook"),"")</f>
        <v/>
      </c>
      <c r="K6126">
        <f>IF(E6126="Domain",COUNTIF($E$2:E6126,"Domain"),"")</f>
        <v/>
      </c>
    </row>
    <row r="6127">
      <c r="A6127" s="2" t="n"/>
      <c r="B6127">
        <f>LOWER(TRIM(A6127))</f>
        <v/>
      </c>
      <c r="C6127">
        <f>IF(B6127="","",IFERROR(INDEX('Bad Patterns'!$A$2:$A$120,MATCH(1,INDEX(--ISNUMBER(SEARCH('Bad Patterns'!$A$2:$A$120,B6127)),0),0)),""))</f>
        <v/>
      </c>
      <c r="D6127">
        <f>IF(B6127="","",IF(C6127&lt;&gt;"","REMOVE","KEEP"))</f>
        <v/>
      </c>
      <c r="E6127">
        <f>IF(D6127&lt;&gt;"KEEP","",IF(RIGHT(B6127,10)="@gmail.com","Gmail",IF(OR(RIGHT(B6127,12)="@outlook.com",RIGHT(B6127,12)="@hotmail.com",RIGHT(B6127,9)="@live.com"),"Outlook","Domain")))</f>
        <v/>
      </c>
      <c r="F6127">
        <f>IF(B6127="","",IFERROR(RIGHT(B6127,LEN(B6127)-FIND("@",B6127)),""))</f>
        <v/>
      </c>
      <c r="G6127">
        <f>IF(D6127="KEEP",COUNTIF($D$2:D6127,"KEEP"),"")</f>
        <v/>
      </c>
      <c r="H6127">
        <f>IF(D6127="REMOVE",COUNTIF($D$2:D6127,"REMOVE"),"")</f>
        <v/>
      </c>
      <c r="I6127">
        <f>IF(E6127="Gmail",COUNTIF($E$2:E6127,"Gmail"),"")</f>
        <v/>
      </c>
      <c r="J6127">
        <f>IF(E6127="Outlook",COUNTIF($E$2:E6127,"Outlook"),"")</f>
        <v/>
      </c>
      <c r="K6127">
        <f>IF(E6127="Domain",COUNTIF($E$2:E6127,"Domain"),"")</f>
        <v/>
      </c>
    </row>
    <row r="6128">
      <c r="A6128" s="2" t="n"/>
      <c r="B6128">
        <f>LOWER(TRIM(A6128))</f>
        <v/>
      </c>
      <c r="C6128">
        <f>IF(B6128="","",IFERROR(INDEX('Bad Patterns'!$A$2:$A$120,MATCH(1,INDEX(--ISNUMBER(SEARCH('Bad Patterns'!$A$2:$A$120,B6128)),0),0)),""))</f>
        <v/>
      </c>
      <c r="D6128">
        <f>IF(B6128="","",IF(C6128&lt;&gt;"","REMOVE","KEEP"))</f>
        <v/>
      </c>
      <c r="E6128">
        <f>IF(D6128&lt;&gt;"KEEP","",IF(RIGHT(B6128,10)="@gmail.com","Gmail",IF(OR(RIGHT(B6128,12)="@outlook.com",RIGHT(B6128,12)="@hotmail.com",RIGHT(B6128,9)="@live.com"),"Outlook","Domain")))</f>
        <v/>
      </c>
      <c r="F6128">
        <f>IF(B6128="","",IFERROR(RIGHT(B6128,LEN(B6128)-FIND("@",B6128)),""))</f>
        <v/>
      </c>
      <c r="G6128">
        <f>IF(D6128="KEEP",COUNTIF($D$2:D6128,"KEEP"),"")</f>
        <v/>
      </c>
      <c r="H6128">
        <f>IF(D6128="REMOVE",COUNTIF($D$2:D6128,"REMOVE"),"")</f>
        <v/>
      </c>
      <c r="I6128">
        <f>IF(E6128="Gmail",COUNTIF($E$2:E6128,"Gmail"),"")</f>
        <v/>
      </c>
      <c r="J6128">
        <f>IF(E6128="Outlook",COUNTIF($E$2:E6128,"Outlook"),"")</f>
        <v/>
      </c>
      <c r="K6128">
        <f>IF(E6128="Domain",COUNTIF($E$2:E6128,"Domain"),"")</f>
        <v/>
      </c>
    </row>
    <row r="6129">
      <c r="A6129" s="2" t="n"/>
      <c r="B6129">
        <f>LOWER(TRIM(A6129))</f>
        <v/>
      </c>
      <c r="C6129">
        <f>IF(B6129="","",IFERROR(INDEX('Bad Patterns'!$A$2:$A$120,MATCH(1,INDEX(--ISNUMBER(SEARCH('Bad Patterns'!$A$2:$A$120,B6129)),0),0)),""))</f>
        <v/>
      </c>
      <c r="D6129">
        <f>IF(B6129="","",IF(C6129&lt;&gt;"","REMOVE","KEEP"))</f>
        <v/>
      </c>
      <c r="E6129">
        <f>IF(D6129&lt;&gt;"KEEP","",IF(RIGHT(B6129,10)="@gmail.com","Gmail",IF(OR(RIGHT(B6129,12)="@outlook.com",RIGHT(B6129,12)="@hotmail.com",RIGHT(B6129,9)="@live.com"),"Outlook","Domain")))</f>
        <v/>
      </c>
      <c r="F6129">
        <f>IF(B6129="","",IFERROR(RIGHT(B6129,LEN(B6129)-FIND("@",B6129)),""))</f>
        <v/>
      </c>
      <c r="G6129">
        <f>IF(D6129="KEEP",COUNTIF($D$2:D6129,"KEEP"),"")</f>
        <v/>
      </c>
      <c r="H6129">
        <f>IF(D6129="REMOVE",COUNTIF($D$2:D6129,"REMOVE"),"")</f>
        <v/>
      </c>
      <c r="I6129">
        <f>IF(E6129="Gmail",COUNTIF($E$2:E6129,"Gmail"),"")</f>
        <v/>
      </c>
      <c r="J6129">
        <f>IF(E6129="Outlook",COUNTIF($E$2:E6129,"Outlook"),"")</f>
        <v/>
      </c>
      <c r="K6129">
        <f>IF(E6129="Domain",COUNTIF($E$2:E6129,"Domain"),"")</f>
        <v/>
      </c>
    </row>
    <row r="6130">
      <c r="A6130" s="2" t="n"/>
      <c r="B6130">
        <f>LOWER(TRIM(A6130))</f>
        <v/>
      </c>
      <c r="C6130">
        <f>IF(B6130="","",IFERROR(INDEX('Bad Patterns'!$A$2:$A$120,MATCH(1,INDEX(--ISNUMBER(SEARCH('Bad Patterns'!$A$2:$A$120,B6130)),0),0)),""))</f>
        <v/>
      </c>
      <c r="D6130">
        <f>IF(B6130="","",IF(C6130&lt;&gt;"","REMOVE","KEEP"))</f>
        <v/>
      </c>
      <c r="E6130">
        <f>IF(D6130&lt;&gt;"KEEP","",IF(RIGHT(B6130,10)="@gmail.com","Gmail",IF(OR(RIGHT(B6130,12)="@outlook.com",RIGHT(B6130,12)="@hotmail.com",RIGHT(B6130,9)="@live.com"),"Outlook","Domain")))</f>
        <v/>
      </c>
      <c r="F6130">
        <f>IF(B6130="","",IFERROR(RIGHT(B6130,LEN(B6130)-FIND("@",B6130)),""))</f>
        <v/>
      </c>
      <c r="G6130">
        <f>IF(D6130="KEEP",COUNTIF($D$2:D6130,"KEEP"),"")</f>
        <v/>
      </c>
      <c r="H6130">
        <f>IF(D6130="REMOVE",COUNTIF($D$2:D6130,"REMOVE"),"")</f>
        <v/>
      </c>
      <c r="I6130">
        <f>IF(E6130="Gmail",COUNTIF($E$2:E6130,"Gmail"),"")</f>
        <v/>
      </c>
      <c r="J6130">
        <f>IF(E6130="Outlook",COUNTIF($E$2:E6130,"Outlook"),"")</f>
        <v/>
      </c>
      <c r="K6130">
        <f>IF(E6130="Domain",COUNTIF($E$2:E6130,"Domain"),"")</f>
        <v/>
      </c>
    </row>
    <row r="6131">
      <c r="A6131" s="2" t="n"/>
      <c r="B6131">
        <f>LOWER(TRIM(A6131))</f>
        <v/>
      </c>
      <c r="C6131">
        <f>IF(B6131="","",IFERROR(INDEX('Bad Patterns'!$A$2:$A$120,MATCH(1,INDEX(--ISNUMBER(SEARCH('Bad Patterns'!$A$2:$A$120,B6131)),0),0)),""))</f>
        <v/>
      </c>
      <c r="D6131">
        <f>IF(B6131="","",IF(C6131&lt;&gt;"","REMOVE","KEEP"))</f>
        <v/>
      </c>
      <c r="E6131">
        <f>IF(D6131&lt;&gt;"KEEP","",IF(RIGHT(B6131,10)="@gmail.com","Gmail",IF(OR(RIGHT(B6131,12)="@outlook.com",RIGHT(B6131,12)="@hotmail.com",RIGHT(B6131,9)="@live.com"),"Outlook","Domain")))</f>
        <v/>
      </c>
      <c r="F6131">
        <f>IF(B6131="","",IFERROR(RIGHT(B6131,LEN(B6131)-FIND("@",B6131)),""))</f>
        <v/>
      </c>
      <c r="G6131">
        <f>IF(D6131="KEEP",COUNTIF($D$2:D6131,"KEEP"),"")</f>
        <v/>
      </c>
      <c r="H6131">
        <f>IF(D6131="REMOVE",COUNTIF($D$2:D6131,"REMOVE"),"")</f>
        <v/>
      </c>
      <c r="I6131">
        <f>IF(E6131="Gmail",COUNTIF($E$2:E6131,"Gmail"),"")</f>
        <v/>
      </c>
      <c r="J6131">
        <f>IF(E6131="Outlook",COUNTIF($E$2:E6131,"Outlook"),"")</f>
        <v/>
      </c>
      <c r="K6131">
        <f>IF(E6131="Domain",COUNTIF($E$2:E6131,"Domain"),"")</f>
        <v/>
      </c>
    </row>
    <row r="6132">
      <c r="A6132" s="2" t="n"/>
      <c r="B6132">
        <f>LOWER(TRIM(A6132))</f>
        <v/>
      </c>
      <c r="C6132">
        <f>IF(B6132="","",IFERROR(INDEX('Bad Patterns'!$A$2:$A$120,MATCH(1,INDEX(--ISNUMBER(SEARCH('Bad Patterns'!$A$2:$A$120,B6132)),0),0)),""))</f>
        <v/>
      </c>
      <c r="D6132">
        <f>IF(B6132="","",IF(C6132&lt;&gt;"","REMOVE","KEEP"))</f>
        <v/>
      </c>
      <c r="E6132">
        <f>IF(D6132&lt;&gt;"KEEP","",IF(RIGHT(B6132,10)="@gmail.com","Gmail",IF(OR(RIGHT(B6132,12)="@outlook.com",RIGHT(B6132,12)="@hotmail.com",RIGHT(B6132,9)="@live.com"),"Outlook","Domain")))</f>
        <v/>
      </c>
      <c r="F6132">
        <f>IF(B6132="","",IFERROR(RIGHT(B6132,LEN(B6132)-FIND("@",B6132)),""))</f>
        <v/>
      </c>
      <c r="G6132">
        <f>IF(D6132="KEEP",COUNTIF($D$2:D6132,"KEEP"),"")</f>
        <v/>
      </c>
      <c r="H6132">
        <f>IF(D6132="REMOVE",COUNTIF($D$2:D6132,"REMOVE"),"")</f>
        <v/>
      </c>
      <c r="I6132">
        <f>IF(E6132="Gmail",COUNTIF($E$2:E6132,"Gmail"),"")</f>
        <v/>
      </c>
      <c r="J6132">
        <f>IF(E6132="Outlook",COUNTIF($E$2:E6132,"Outlook"),"")</f>
        <v/>
      </c>
      <c r="K6132">
        <f>IF(E6132="Domain",COUNTIF($E$2:E6132,"Domain"),"")</f>
        <v/>
      </c>
    </row>
    <row r="6133">
      <c r="A6133" s="2" t="n"/>
      <c r="B6133">
        <f>LOWER(TRIM(A6133))</f>
        <v/>
      </c>
      <c r="C6133">
        <f>IF(B6133="","",IFERROR(INDEX('Bad Patterns'!$A$2:$A$120,MATCH(1,INDEX(--ISNUMBER(SEARCH('Bad Patterns'!$A$2:$A$120,B6133)),0),0)),""))</f>
        <v/>
      </c>
      <c r="D6133">
        <f>IF(B6133="","",IF(C6133&lt;&gt;"","REMOVE","KEEP"))</f>
        <v/>
      </c>
      <c r="E6133">
        <f>IF(D6133&lt;&gt;"KEEP","",IF(RIGHT(B6133,10)="@gmail.com","Gmail",IF(OR(RIGHT(B6133,12)="@outlook.com",RIGHT(B6133,12)="@hotmail.com",RIGHT(B6133,9)="@live.com"),"Outlook","Domain")))</f>
        <v/>
      </c>
      <c r="F6133">
        <f>IF(B6133="","",IFERROR(RIGHT(B6133,LEN(B6133)-FIND("@",B6133)),""))</f>
        <v/>
      </c>
      <c r="G6133">
        <f>IF(D6133="KEEP",COUNTIF($D$2:D6133,"KEEP"),"")</f>
        <v/>
      </c>
      <c r="H6133">
        <f>IF(D6133="REMOVE",COUNTIF($D$2:D6133,"REMOVE"),"")</f>
        <v/>
      </c>
      <c r="I6133">
        <f>IF(E6133="Gmail",COUNTIF($E$2:E6133,"Gmail"),"")</f>
        <v/>
      </c>
      <c r="J6133">
        <f>IF(E6133="Outlook",COUNTIF($E$2:E6133,"Outlook"),"")</f>
        <v/>
      </c>
      <c r="K6133">
        <f>IF(E6133="Domain",COUNTIF($E$2:E6133,"Domain"),"")</f>
        <v/>
      </c>
    </row>
    <row r="6134">
      <c r="A6134" s="2" t="n"/>
      <c r="B6134">
        <f>LOWER(TRIM(A6134))</f>
        <v/>
      </c>
      <c r="C6134">
        <f>IF(B6134="","",IFERROR(INDEX('Bad Patterns'!$A$2:$A$120,MATCH(1,INDEX(--ISNUMBER(SEARCH('Bad Patterns'!$A$2:$A$120,B6134)),0),0)),""))</f>
        <v/>
      </c>
      <c r="D6134">
        <f>IF(B6134="","",IF(C6134&lt;&gt;"","REMOVE","KEEP"))</f>
        <v/>
      </c>
      <c r="E6134">
        <f>IF(D6134&lt;&gt;"KEEP","",IF(RIGHT(B6134,10)="@gmail.com","Gmail",IF(OR(RIGHT(B6134,12)="@outlook.com",RIGHT(B6134,12)="@hotmail.com",RIGHT(B6134,9)="@live.com"),"Outlook","Domain")))</f>
        <v/>
      </c>
      <c r="F6134">
        <f>IF(B6134="","",IFERROR(RIGHT(B6134,LEN(B6134)-FIND("@",B6134)),""))</f>
        <v/>
      </c>
      <c r="G6134">
        <f>IF(D6134="KEEP",COUNTIF($D$2:D6134,"KEEP"),"")</f>
        <v/>
      </c>
      <c r="H6134">
        <f>IF(D6134="REMOVE",COUNTIF($D$2:D6134,"REMOVE"),"")</f>
        <v/>
      </c>
      <c r="I6134">
        <f>IF(E6134="Gmail",COUNTIF($E$2:E6134,"Gmail"),"")</f>
        <v/>
      </c>
      <c r="J6134">
        <f>IF(E6134="Outlook",COUNTIF($E$2:E6134,"Outlook"),"")</f>
        <v/>
      </c>
      <c r="K6134">
        <f>IF(E6134="Domain",COUNTIF($E$2:E6134,"Domain"),"")</f>
        <v/>
      </c>
    </row>
    <row r="6135">
      <c r="A6135" s="2" t="n"/>
      <c r="B6135">
        <f>LOWER(TRIM(A6135))</f>
        <v/>
      </c>
      <c r="C6135">
        <f>IF(B6135="","",IFERROR(INDEX('Bad Patterns'!$A$2:$A$120,MATCH(1,INDEX(--ISNUMBER(SEARCH('Bad Patterns'!$A$2:$A$120,B6135)),0),0)),""))</f>
        <v/>
      </c>
      <c r="D6135">
        <f>IF(B6135="","",IF(C6135&lt;&gt;"","REMOVE","KEEP"))</f>
        <v/>
      </c>
      <c r="E6135">
        <f>IF(D6135&lt;&gt;"KEEP","",IF(RIGHT(B6135,10)="@gmail.com","Gmail",IF(OR(RIGHT(B6135,12)="@outlook.com",RIGHT(B6135,12)="@hotmail.com",RIGHT(B6135,9)="@live.com"),"Outlook","Domain")))</f>
        <v/>
      </c>
      <c r="F6135">
        <f>IF(B6135="","",IFERROR(RIGHT(B6135,LEN(B6135)-FIND("@",B6135)),""))</f>
        <v/>
      </c>
      <c r="G6135">
        <f>IF(D6135="KEEP",COUNTIF($D$2:D6135,"KEEP"),"")</f>
        <v/>
      </c>
      <c r="H6135">
        <f>IF(D6135="REMOVE",COUNTIF($D$2:D6135,"REMOVE"),"")</f>
        <v/>
      </c>
      <c r="I6135">
        <f>IF(E6135="Gmail",COUNTIF($E$2:E6135,"Gmail"),"")</f>
        <v/>
      </c>
      <c r="J6135">
        <f>IF(E6135="Outlook",COUNTIF($E$2:E6135,"Outlook"),"")</f>
        <v/>
      </c>
      <c r="K6135">
        <f>IF(E6135="Domain",COUNTIF($E$2:E6135,"Domain"),"")</f>
        <v/>
      </c>
    </row>
    <row r="6136">
      <c r="A6136" s="2" t="n"/>
      <c r="B6136">
        <f>LOWER(TRIM(A6136))</f>
        <v/>
      </c>
      <c r="C6136">
        <f>IF(B6136="","",IFERROR(INDEX('Bad Patterns'!$A$2:$A$120,MATCH(1,INDEX(--ISNUMBER(SEARCH('Bad Patterns'!$A$2:$A$120,B6136)),0),0)),""))</f>
        <v/>
      </c>
      <c r="D6136">
        <f>IF(B6136="","",IF(C6136&lt;&gt;"","REMOVE","KEEP"))</f>
        <v/>
      </c>
      <c r="E6136">
        <f>IF(D6136&lt;&gt;"KEEP","",IF(RIGHT(B6136,10)="@gmail.com","Gmail",IF(OR(RIGHT(B6136,12)="@outlook.com",RIGHT(B6136,12)="@hotmail.com",RIGHT(B6136,9)="@live.com"),"Outlook","Domain")))</f>
        <v/>
      </c>
      <c r="F6136">
        <f>IF(B6136="","",IFERROR(RIGHT(B6136,LEN(B6136)-FIND("@",B6136)),""))</f>
        <v/>
      </c>
      <c r="G6136">
        <f>IF(D6136="KEEP",COUNTIF($D$2:D6136,"KEEP"),"")</f>
        <v/>
      </c>
      <c r="H6136">
        <f>IF(D6136="REMOVE",COUNTIF($D$2:D6136,"REMOVE"),"")</f>
        <v/>
      </c>
      <c r="I6136">
        <f>IF(E6136="Gmail",COUNTIF($E$2:E6136,"Gmail"),"")</f>
        <v/>
      </c>
      <c r="J6136">
        <f>IF(E6136="Outlook",COUNTIF($E$2:E6136,"Outlook"),"")</f>
        <v/>
      </c>
      <c r="K6136">
        <f>IF(E6136="Domain",COUNTIF($E$2:E6136,"Domain"),"")</f>
        <v/>
      </c>
    </row>
    <row r="6137">
      <c r="A6137" s="2" t="n"/>
      <c r="B6137">
        <f>LOWER(TRIM(A6137))</f>
        <v/>
      </c>
      <c r="C6137">
        <f>IF(B6137="","",IFERROR(INDEX('Bad Patterns'!$A$2:$A$120,MATCH(1,INDEX(--ISNUMBER(SEARCH('Bad Patterns'!$A$2:$A$120,B6137)),0),0)),""))</f>
        <v/>
      </c>
      <c r="D6137">
        <f>IF(B6137="","",IF(C6137&lt;&gt;"","REMOVE","KEEP"))</f>
        <v/>
      </c>
      <c r="E6137">
        <f>IF(D6137&lt;&gt;"KEEP","",IF(RIGHT(B6137,10)="@gmail.com","Gmail",IF(OR(RIGHT(B6137,12)="@outlook.com",RIGHT(B6137,12)="@hotmail.com",RIGHT(B6137,9)="@live.com"),"Outlook","Domain")))</f>
        <v/>
      </c>
      <c r="F6137">
        <f>IF(B6137="","",IFERROR(RIGHT(B6137,LEN(B6137)-FIND("@",B6137)),""))</f>
        <v/>
      </c>
      <c r="G6137">
        <f>IF(D6137="KEEP",COUNTIF($D$2:D6137,"KEEP"),"")</f>
        <v/>
      </c>
      <c r="H6137">
        <f>IF(D6137="REMOVE",COUNTIF($D$2:D6137,"REMOVE"),"")</f>
        <v/>
      </c>
      <c r="I6137">
        <f>IF(E6137="Gmail",COUNTIF($E$2:E6137,"Gmail"),"")</f>
        <v/>
      </c>
      <c r="J6137">
        <f>IF(E6137="Outlook",COUNTIF($E$2:E6137,"Outlook"),"")</f>
        <v/>
      </c>
      <c r="K6137">
        <f>IF(E6137="Domain",COUNTIF($E$2:E6137,"Domain"),"")</f>
        <v/>
      </c>
    </row>
    <row r="6138">
      <c r="A6138" s="2" t="n"/>
      <c r="B6138">
        <f>LOWER(TRIM(A6138))</f>
        <v/>
      </c>
      <c r="C6138">
        <f>IF(B6138="","",IFERROR(INDEX('Bad Patterns'!$A$2:$A$120,MATCH(1,INDEX(--ISNUMBER(SEARCH('Bad Patterns'!$A$2:$A$120,B6138)),0),0)),""))</f>
        <v/>
      </c>
      <c r="D6138">
        <f>IF(B6138="","",IF(C6138&lt;&gt;"","REMOVE","KEEP"))</f>
        <v/>
      </c>
      <c r="E6138">
        <f>IF(D6138&lt;&gt;"KEEP","",IF(RIGHT(B6138,10)="@gmail.com","Gmail",IF(OR(RIGHT(B6138,12)="@outlook.com",RIGHT(B6138,12)="@hotmail.com",RIGHT(B6138,9)="@live.com"),"Outlook","Domain")))</f>
        <v/>
      </c>
      <c r="F6138">
        <f>IF(B6138="","",IFERROR(RIGHT(B6138,LEN(B6138)-FIND("@",B6138)),""))</f>
        <v/>
      </c>
      <c r="G6138">
        <f>IF(D6138="KEEP",COUNTIF($D$2:D6138,"KEEP"),"")</f>
        <v/>
      </c>
      <c r="H6138">
        <f>IF(D6138="REMOVE",COUNTIF($D$2:D6138,"REMOVE"),"")</f>
        <v/>
      </c>
      <c r="I6138">
        <f>IF(E6138="Gmail",COUNTIF($E$2:E6138,"Gmail"),"")</f>
        <v/>
      </c>
      <c r="J6138">
        <f>IF(E6138="Outlook",COUNTIF($E$2:E6138,"Outlook"),"")</f>
        <v/>
      </c>
      <c r="K6138">
        <f>IF(E6138="Domain",COUNTIF($E$2:E6138,"Domain"),"")</f>
        <v/>
      </c>
    </row>
    <row r="6139">
      <c r="A6139" s="2" t="n"/>
      <c r="B6139">
        <f>LOWER(TRIM(A6139))</f>
        <v/>
      </c>
      <c r="C6139">
        <f>IF(B6139="","",IFERROR(INDEX('Bad Patterns'!$A$2:$A$120,MATCH(1,INDEX(--ISNUMBER(SEARCH('Bad Patterns'!$A$2:$A$120,B6139)),0),0)),""))</f>
        <v/>
      </c>
      <c r="D6139">
        <f>IF(B6139="","",IF(C6139&lt;&gt;"","REMOVE","KEEP"))</f>
        <v/>
      </c>
      <c r="E6139">
        <f>IF(D6139&lt;&gt;"KEEP","",IF(RIGHT(B6139,10)="@gmail.com","Gmail",IF(OR(RIGHT(B6139,12)="@outlook.com",RIGHT(B6139,12)="@hotmail.com",RIGHT(B6139,9)="@live.com"),"Outlook","Domain")))</f>
        <v/>
      </c>
      <c r="F6139">
        <f>IF(B6139="","",IFERROR(RIGHT(B6139,LEN(B6139)-FIND("@",B6139)),""))</f>
        <v/>
      </c>
      <c r="G6139">
        <f>IF(D6139="KEEP",COUNTIF($D$2:D6139,"KEEP"),"")</f>
        <v/>
      </c>
      <c r="H6139">
        <f>IF(D6139="REMOVE",COUNTIF($D$2:D6139,"REMOVE"),"")</f>
        <v/>
      </c>
      <c r="I6139">
        <f>IF(E6139="Gmail",COUNTIF($E$2:E6139,"Gmail"),"")</f>
        <v/>
      </c>
      <c r="J6139">
        <f>IF(E6139="Outlook",COUNTIF($E$2:E6139,"Outlook"),"")</f>
        <v/>
      </c>
      <c r="K6139">
        <f>IF(E6139="Domain",COUNTIF($E$2:E6139,"Domain"),"")</f>
        <v/>
      </c>
    </row>
    <row r="6140">
      <c r="A6140" s="2" t="n"/>
      <c r="B6140">
        <f>LOWER(TRIM(A6140))</f>
        <v/>
      </c>
      <c r="C6140">
        <f>IF(B6140="","",IFERROR(INDEX('Bad Patterns'!$A$2:$A$120,MATCH(1,INDEX(--ISNUMBER(SEARCH('Bad Patterns'!$A$2:$A$120,B6140)),0),0)),""))</f>
        <v/>
      </c>
      <c r="D6140">
        <f>IF(B6140="","",IF(C6140&lt;&gt;"","REMOVE","KEEP"))</f>
        <v/>
      </c>
      <c r="E6140">
        <f>IF(D6140&lt;&gt;"KEEP","",IF(RIGHT(B6140,10)="@gmail.com","Gmail",IF(OR(RIGHT(B6140,12)="@outlook.com",RIGHT(B6140,12)="@hotmail.com",RIGHT(B6140,9)="@live.com"),"Outlook","Domain")))</f>
        <v/>
      </c>
      <c r="F6140">
        <f>IF(B6140="","",IFERROR(RIGHT(B6140,LEN(B6140)-FIND("@",B6140)),""))</f>
        <v/>
      </c>
      <c r="G6140">
        <f>IF(D6140="KEEP",COUNTIF($D$2:D6140,"KEEP"),"")</f>
        <v/>
      </c>
      <c r="H6140">
        <f>IF(D6140="REMOVE",COUNTIF($D$2:D6140,"REMOVE"),"")</f>
        <v/>
      </c>
      <c r="I6140">
        <f>IF(E6140="Gmail",COUNTIF($E$2:E6140,"Gmail"),"")</f>
        <v/>
      </c>
      <c r="J6140">
        <f>IF(E6140="Outlook",COUNTIF($E$2:E6140,"Outlook"),"")</f>
        <v/>
      </c>
      <c r="K6140">
        <f>IF(E6140="Domain",COUNTIF($E$2:E6140,"Domain"),"")</f>
        <v/>
      </c>
    </row>
    <row r="6141">
      <c r="A6141" s="2" t="n"/>
      <c r="B6141">
        <f>LOWER(TRIM(A6141))</f>
        <v/>
      </c>
      <c r="C6141">
        <f>IF(B6141="","",IFERROR(INDEX('Bad Patterns'!$A$2:$A$120,MATCH(1,INDEX(--ISNUMBER(SEARCH('Bad Patterns'!$A$2:$A$120,B6141)),0),0)),""))</f>
        <v/>
      </c>
      <c r="D6141">
        <f>IF(B6141="","",IF(C6141&lt;&gt;"","REMOVE","KEEP"))</f>
        <v/>
      </c>
      <c r="E6141">
        <f>IF(D6141&lt;&gt;"KEEP","",IF(RIGHT(B6141,10)="@gmail.com","Gmail",IF(OR(RIGHT(B6141,12)="@outlook.com",RIGHT(B6141,12)="@hotmail.com",RIGHT(B6141,9)="@live.com"),"Outlook","Domain")))</f>
        <v/>
      </c>
      <c r="F6141">
        <f>IF(B6141="","",IFERROR(RIGHT(B6141,LEN(B6141)-FIND("@",B6141)),""))</f>
        <v/>
      </c>
      <c r="G6141">
        <f>IF(D6141="KEEP",COUNTIF($D$2:D6141,"KEEP"),"")</f>
        <v/>
      </c>
      <c r="H6141">
        <f>IF(D6141="REMOVE",COUNTIF($D$2:D6141,"REMOVE"),"")</f>
        <v/>
      </c>
      <c r="I6141">
        <f>IF(E6141="Gmail",COUNTIF($E$2:E6141,"Gmail"),"")</f>
        <v/>
      </c>
      <c r="J6141">
        <f>IF(E6141="Outlook",COUNTIF($E$2:E6141,"Outlook"),"")</f>
        <v/>
      </c>
      <c r="K6141">
        <f>IF(E6141="Domain",COUNTIF($E$2:E6141,"Domain"),"")</f>
        <v/>
      </c>
    </row>
    <row r="6142">
      <c r="A6142" s="2" t="n"/>
      <c r="B6142">
        <f>LOWER(TRIM(A6142))</f>
        <v/>
      </c>
      <c r="C6142">
        <f>IF(B6142="","",IFERROR(INDEX('Bad Patterns'!$A$2:$A$120,MATCH(1,INDEX(--ISNUMBER(SEARCH('Bad Patterns'!$A$2:$A$120,B6142)),0),0)),""))</f>
        <v/>
      </c>
      <c r="D6142">
        <f>IF(B6142="","",IF(C6142&lt;&gt;"","REMOVE","KEEP"))</f>
        <v/>
      </c>
      <c r="E6142">
        <f>IF(D6142&lt;&gt;"KEEP","",IF(RIGHT(B6142,10)="@gmail.com","Gmail",IF(OR(RIGHT(B6142,12)="@outlook.com",RIGHT(B6142,12)="@hotmail.com",RIGHT(B6142,9)="@live.com"),"Outlook","Domain")))</f>
        <v/>
      </c>
      <c r="F6142">
        <f>IF(B6142="","",IFERROR(RIGHT(B6142,LEN(B6142)-FIND("@",B6142)),""))</f>
        <v/>
      </c>
      <c r="G6142">
        <f>IF(D6142="KEEP",COUNTIF($D$2:D6142,"KEEP"),"")</f>
        <v/>
      </c>
      <c r="H6142">
        <f>IF(D6142="REMOVE",COUNTIF($D$2:D6142,"REMOVE"),"")</f>
        <v/>
      </c>
      <c r="I6142">
        <f>IF(E6142="Gmail",COUNTIF($E$2:E6142,"Gmail"),"")</f>
        <v/>
      </c>
      <c r="J6142">
        <f>IF(E6142="Outlook",COUNTIF($E$2:E6142,"Outlook"),"")</f>
        <v/>
      </c>
      <c r="K6142">
        <f>IF(E6142="Domain",COUNTIF($E$2:E6142,"Domain"),"")</f>
        <v/>
      </c>
    </row>
    <row r="6143">
      <c r="A6143" s="2" t="n"/>
      <c r="B6143">
        <f>LOWER(TRIM(A6143))</f>
        <v/>
      </c>
      <c r="C6143">
        <f>IF(B6143="","",IFERROR(INDEX('Bad Patterns'!$A$2:$A$120,MATCH(1,INDEX(--ISNUMBER(SEARCH('Bad Patterns'!$A$2:$A$120,B6143)),0),0)),""))</f>
        <v/>
      </c>
      <c r="D6143">
        <f>IF(B6143="","",IF(C6143&lt;&gt;"","REMOVE","KEEP"))</f>
        <v/>
      </c>
      <c r="E6143">
        <f>IF(D6143&lt;&gt;"KEEP","",IF(RIGHT(B6143,10)="@gmail.com","Gmail",IF(OR(RIGHT(B6143,12)="@outlook.com",RIGHT(B6143,12)="@hotmail.com",RIGHT(B6143,9)="@live.com"),"Outlook","Domain")))</f>
        <v/>
      </c>
      <c r="F6143">
        <f>IF(B6143="","",IFERROR(RIGHT(B6143,LEN(B6143)-FIND("@",B6143)),""))</f>
        <v/>
      </c>
      <c r="G6143">
        <f>IF(D6143="KEEP",COUNTIF($D$2:D6143,"KEEP"),"")</f>
        <v/>
      </c>
      <c r="H6143">
        <f>IF(D6143="REMOVE",COUNTIF($D$2:D6143,"REMOVE"),"")</f>
        <v/>
      </c>
      <c r="I6143">
        <f>IF(E6143="Gmail",COUNTIF($E$2:E6143,"Gmail"),"")</f>
        <v/>
      </c>
      <c r="J6143">
        <f>IF(E6143="Outlook",COUNTIF($E$2:E6143,"Outlook"),"")</f>
        <v/>
      </c>
      <c r="K6143">
        <f>IF(E6143="Domain",COUNTIF($E$2:E6143,"Domain"),"")</f>
        <v/>
      </c>
    </row>
    <row r="6144">
      <c r="A6144" s="2" t="n"/>
      <c r="B6144">
        <f>LOWER(TRIM(A6144))</f>
        <v/>
      </c>
      <c r="C6144">
        <f>IF(B6144="","",IFERROR(INDEX('Bad Patterns'!$A$2:$A$120,MATCH(1,INDEX(--ISNUMBER(SEARCH('Bad Patterns'!$A$2:$A$120,B6144)),0),0)),""))</f>
        <v/>
      </c>
      <c r="D6144">
        <f>IF(B6144="","",IF(C6144&lt;&gt;"","REMOVE","KEEP"))</f>
        <v/>
      </c>
      <c r="E6144">
        <f>IF(D6144&lt;&gt;"KEEP","",IF(RIGHT(B6144,10)="@gmail.com","Gmail",IF(OR(RIGHT(B6144,12)="@outlook.com",RIGHT(B6144,12)="@hotmail.com",RIGHT(B6144,9)="@live.com"),"Outlook","Domain")))</f>
        <v/>
      </c>
      <c r="F6144">
        <f>IF(B6144="","",IFERROR(RIGHT(B6144,LEN(B6144)-FIND("@",B6144)),""))</f>
        <v/>
      </c>
      <c r="G6144">
        <f>IF(D6144="KEEP",COUNTIF($D$2:D6144,"KEEP"),"")</f>
        <v/>
      </c>
      <c r="H6144">
        <f>IF(D6144="REMOVE",COUNTIF($D$2:D6144,"REMOVE"),"")</f>
        <v/>
      </c>
      <c r="I6144">
        <f>IF(E6144="Gmail",COUNTIF($E$2:E6144,"Gmail"),"")</f>
        <v/>
      </c>
      <c r="J6144">
        <f>IF(E6144="Outlook",COUNTIF($E$2:E6144,"Outlook"),"")</f>
        <v/>
      </c>
      <c r="K6144">
        <f>IF(E6144="Domain",COUNTIF($E$2:E6144,"Domain"),"")</f>
        <v/>
      </c>
    </row>
    <row r="6145">
      <c r="A6145" s="2" t="n"/>
      <c r="B6145">
        <f>LOWER(TRIM(A6145))</f>
        <v/>
      </c>
      <c r="C6145">
        <f>IF(B6145="","",IFERROR(INDEX('Bad Patterns'!$A$2:$A$120,MATCH(1,INDEX(--ISNUMBER(SEARCH('Bad Patterns'!$A$2:$A$120,B6145)),0),0)),""))</f>
        <v/>
      </c>
      <c r="D6145">
        <f>IF(B6145="","",IF(C6145&lt;&gt;"","REMOVE","KEEP"))</f>
        <v/>
      </c>
      <c r="E6145">
        <f>IF(D6145&lt;&gt;"KEEP","",IF(RIGHT(B6145,10)="@gmail.com","Gmail",IF(OR(RIGHT(B6145,12)="@outlook.com",RIGHT(B6145,12)="@hotmail.com",RIGHT(B6145,9)="@live.com"),"Outlook","Domain")))</f>
        <v/>
      </c>
      <c r="F6145">
        <f>IF(B6145="","",IFERROR(RIGHT(B6145,LEN(B6145)-FIND("@",B6145)),""))</f>
        <v/>
      </c>
      <c r="G6145">
        <f>IF(D6145="KEEP",COUNTIF($D$2:D6145,"KEEP"),"")</f>
        <v/>
      </c>
      <c r="H6145">
        <f>IF(D6145="REMOVE",COUNTIF($D$2:D6145,"REMOVE"),"")</f>
        <v/>
      </c>
      <c r="I6145">
        <f>IF(E6145="Gmail",COUNTIF($E$2:E6145,"Gmail"),"")</f>
        <v/>
      </c>
      <c r="J6145">
        <f>IF(E6145="Outlook",COUNTIF($E$2:E6145,"Outlook"),"")</f>
        <v/>
      </c>
      <c r="K6145">
        <f>IF(E6145="Domain",COUNTIF($E$2:E6145,"Domain"),"")</f>
        <v/>
      </c>
    </row>
    <row r="6146">
      <c r="A6146" s="2" t="n"/>
      <c r="B6146">
        <f>LOWER(TRIM(A6146))</f>
        <v/>
      </c>
      <c r="C6146">
        <f>IF(B6146="","",IFERROR(INDEX('Bad Patterns'!$A$2:$A$120,MATCH(1,INDEX(--ISNUMBER(SEARCH('Bad Patterns'!$A$2:$A$120,B6146)),0),0)),""))</f>
        <v/>
      </c>
      <c r="D6146">
        <f>IF(B6146="","",IF(C6146&lt;&gt;"","REMOVE","KEEP"))</f>
        <v/>
      </c>
      <c r="E6146">
        <f>IF(D6146&lt;&gt;"KEEP","",IF(RIGHT(B6146,10)="@gmail.com","Gmail",IF(OR(RIGHT(B6146,12)="@outlook.com",RIGHT(B6146,12)="@hotmail.com",RIGHT(B6146,9)="@live.com"),"Outlook","Domain")))</f>
        <v/>
      </c>
      <c r="F6146">
        <f>IF(B6146="","",IFERROR(RIGHT(B6146,LEN(B6146)-FIND("@",B6146)),""))</f>
        <v/>
      </c>
      <c r="G6146">
        <f>IF(D6146="KEEP",COUNTIF($D$2:D6146,"KEEP"),"")</f>
        <v/>
      </c>
      <c r="H6146">
        <f>IF(D6146="REMOVE",COUNTIF($D$2:D6146,"REMOVE"),"")</f>
        <v/>
      </c>
      <c r="I6146">
        <f>IF(E6146="Gmail",COUNTIF($E$2:E6146,"Gmail"),"")</f>
        <v/>
      </c>
      <c r="J6146">
        <f>IF(E6146="Outlook",COUNTIF($E$2:E6146,"Outlook"),"")</f>
        <v/>
      </c>
      <c r="K6146">
        <f>IF(E6146="Domain",COUNTIF($E$2:E6146,"Domain"),"")</f>
        <v/>
      </c>
    </row>
    <row r="6147">
      <c r="A6147" s="2" t="n"/>
      <c r="B6147">
        <f>LOWER(TRIM(A6147))</f>
        <v/>
      </c>
      <c r="C6147">
        <f>IF(B6147="","",IFERROR(INDEX('Bad Patterns'!$A$2:$A$120,MATCH(1,INDEX(--ISNUMBER(SEARCH('Bad Patterns'!$A$2:$A$120,B6147)),0),0)),""))</f>
        <v/>
      </c>
      <c r="D6147">
        <f>IF(B6147="","",IF(C6147&lt;&gt;"","REMOVE","KEEP"))</f>
        <v/>
      </c>
      <c r="E6147">
        <f>IF(D6147&lt;&gt;"KEEP","",IF(RIGHT(B6147,10)="@gmail.com","Gmail",IF(OR(RIGHT(B6147,12)="@outlook.com",RIGHT(B6147,12)="@hotmail.com",RIGHT(B6147,9)="@live.com"),"Outlook","Domain")))</f>
        <v/>
      </c>
      <c r="F6147">
        <f>IF(B6147="","",IFERROR(RIGHT(B6147,LEN(B6147)-FIND("@",B6147)),""))</f>
        <v/>
      </c>
      <c r="G6147">
        <f>IF(D6147="KEEP",COUNTIF($D$2:D6147,"KEEP"),"")</f>
        <v/>
      </c>
      <c r="H6147">
        <f>IF(D6147="REMOVE",COUNTIF($D$2:D6147,"REMOVE"),"")</f>
        <v/>
      </c>
      <c r="I6147">
        <f>IF(E6147="Gmail",COUNTIF($E$2:E6147,"Gmail"),"")</f>
        <v/>
      </c>
      <c r="J6147">
        <f>IF(E6147="Outlook",COUNTIF($E$2:E6147,"Outlook"),"")</f>
        <v/>
      </c>
      <c r="K6147">
        <f>IF(E6147="Domain",COUNTIF($E$2:E6147,"Domain"),"")</f>
        <v/>
      </c>
    </row>
    <row r="6148">
      <c r="A6148" s="2" t="n"/>
      <c r="B6148">
        <f>LOWER(TRIM(A6148))</f>
        <v/>
      </c>
      <c r="C6148">
        <f>IF(B6148="","",IFERROR(INDEX('Bad Patterns'!$A$2:$A$120,MATCH(1,INDEX(--ISNUMBER(SEARCH('Bad Patterns'!$A$2:$A$120,B6148)),0),0)),""))</f>
        <v/>
      </c>
      <c r="D6148">
        <f>IF(B6148="","",IF(C6148&lt;&gt;"","REMOVE","KEEP"))</f>
        <v/>
      </c>
      <c r="E6148">
        <f>IF(D6148&lt;&gt;"KEEP","",IF(RIGHT(B6148,10)="@gmail.com","Gmail",IF(OR(RIGHT(B6148,12)="@outlook.com",RIGHT(B6148,12)="@hotmail.com",RIGHT(B6148,9)="@live.com"),"Outlook","Domain")))</f>
        <v/>
      </c>
      <c r="F6148">
        <f>IF(B6148="","",IFERROR(RIGHT(B6148,LEN(B6148)-FIND("@",B6148)),""))</f>
        <v/>
      </c>
      <c r="G6148">
        <f>IF(D6148="KEEP",COUNTIF($D$2:D6148,"KEEP"),"")</f>
        <v/>
      </c>
      <c r="H6148">
        <f>IF(D6148="REMOVE",COUNTIF($D$2:D6148,"REMOVE"),"")</f>
        <v/>
      </c>
      <c r="I6148">
        <f>IF(E6148="Gmail",COUNTIF($E$2:E6148,"Gmail"),"")</f>
        <v/>
      </c>
      <c r="J6148">
        <f>IF(E6148="Outlook",COUNTIF($E$2:E6148,"Outlook"),"")</f>
        <v/>
      </c>
      <c r="K6148">
        <f>IF(E6148="Domain",COUNTIF($E$2:E6148,"Domain"),"")</f>
        <v/>
      </c>
    </row>
    <row r="6149">
      <c r="A6149" s="2" t="n"/>
      <c r="B6149">
        <f>LOWER(TRIM(A6149))</f>
        <v/>
      </c>
      <c r="C6149">
        <f>IF(B6149="","",IFERROR(INDEX('Bad Patterns'!$A$2:$A$120,MATCH(1,INDEX(--ISNUMBER(SEARCH('Bad Patterns'!$A$2:$A$120,B6149)),0),0)),""))</f>
        <v/>
      </c>
      <c r="D6149">
        <f>IF(B6149="","",IF(C6149&lt;&gt;"","REMOVE","KEEP"))</f>
        <v/>
      </c>
      <c r="E6149">
        <f>IF(D6149&lt;&gt;"KEEP","",IF(RIGHT(B6149,10)="@gmail.com","Gmail",IF(OR(RIGHT(B6149,12)="@outlook.com",RIGHT(B6149,12)="@hotmail.com",RIGHT(B6149,9)="@live.com"),"Outlook","Domain")))</f>
        <v/>
      </c>
      <c r="F6149">
        <f>IF(B6149="","",IFERROR(RIGHT(B6149,LEN(B6149)-FIND("@",B6149)),""))</f>
        <v/>
      </c>
      <c r="G6149">
        <f>IF(D6149="KEEP",COUNTIF($D$2:D6149,"KEEP"),"")</f>
        <v/>
      </c>
      <c r="H6149">
        <f>IF(D6149="REMOVE",COUNTIF($D$2:D6149,"REMOVE"),"")</f>
        <v/>
      </c>
      <c r="I6149">
        <f>IF(E6149="Gmail",COUNTIF($E$2:E6149,"Gmail"),"")</f>
        <v/>
      </c>
      <c r="J6149">
        <f>IF(E6149="Outlook",COUNTIF($E$2:E6149,"Outlook"),"")</f>
        <v/>
      </c>
      <c r="K6149">
        <f>IF(E6149="Domain",COUNTIF($E$2:E6149,"Domain"),"")</f>
        <v/>
      </c>
    </row>
    <row r="6150">
      <c r="A6150" s="2" t="n"/>
      <c r="B6150">
        <f>LOWER(TRIM(A6150))</f>
        <v/>
      </c>
      <c r="C6150">
        <f>IF(B6150="","",IFERROR(INDEX('Bad Patterns'!$A$2:$A$120,MATCH(1,INDEX(--ISNUMBER(SEARCH('Bad Patterns'!$A$2:$A$120,B6150)),0),0)),""))</f>
        <v/>
      </c>
      <c r="D6150">
        <f>IF(B6150="","",IF(C6150&lt;&gt;"","REMOVE","KEEP"))</f>
        <v/>
      </c>
      <c r="E6150">
        <f>IF(D6150&lt;&gt;"KEEP","",IF(RIGHT(B6150,10)="@gmail.com","Gmail",IF(OR(RIGHT(B6150,12)="@outlook.com",RIGHT(B6150,12)="@hotmail.com",RIGHT(B6150,9)="@live.com"),"Outlook","Domain")))</f>
        <v/>
      </c>
      <c r="F6150">
        <f>IF(B6150="","",IFERROR(RIGHT(B6150,LEN(B6150)-FIND("@",B6150)),""))</f>
        <v/>
      </c>
      <c r="G6150">
        <f>IF(D6150="KEEP",COUNTIF($D$2:D6150,"KEEP"),"")</f>
        <v/>
      </c>
      <c r="H6150">
        <f>IF(D6150="REMOVE",COUNTIF($D$2:D6150,"REMOVE"),"")</f>
        <v/>
      </c>
      <c r="I6150">
        <f>IF(E6150="Gmail",COUNTIF($E$2:E6150,"Gmail"),"")</f>
        <v/>
      </c>
      <c r="J6150">
        <f>IF(E6150="Outlook",COUNTIF($E$2:E6150,"Outlook"),"")</f>
        <v/>
      </c>
      <c r="K6150">
        <f>IF(E6150="Domain",COUNTIF($E$2:E6150,"Domain"),"")</f>
        <v/>
      </c>
    </row>
    <row r="6151">
      <c r="A6151" s="2" t="n"/>
      <c r="B6151">
        <f>LOWER(TRIM(A6151))</f>
        <v/>
      </c>
      <c r="C6151">
        <f>IF(B6151="","",IFERROR(INDEX('Bad Patterns'!$A$2:$A$120,MATCH(1,INDEX(--ISNUMBER(SEARCH('Bad Patterns'!$A$2:$A$120,B6151)),0),0)),""))</f>
        <v/>
      </c>
      <c r="D6151">
        <f>IF(B6151="","",IF(C6151&lt;&gt;"","REMOVE","KEEP"))</f>
        <v/>
      </c>
      <c r="E6151">
        <f>IF(D6151&lt;&gt;"KEEP","",IF(RIGHT(B6151,10)="@gmail.com","Gmail",IF(OR(RIGHT(B6151,12)="@outlook.com",RIGHT(B6151,12)="@hotmail.com",RIGHT(B6151,9)="@live.com"),"Outlook","Domain")))</f>
        <v/>
      </c>
      <c r="F6151">
        <f>IF(B6151="","",IFERROR(RIGHT(B6151,LEN(B6151)-FIND("@",B6151)),""))</f>
        <v/>
      </c>
      <c r="G6151">
        <f>IF(D6151="KEEP",COUNTIF($D$2:D6151,"KEEP"),"")</f>
        <v/>
      </c>
      <c r="H6151">
        <f>IF(D6151="REMOVE",COUNTIF($D$2:D6151,"REMOVE"),"")</f>
        <v/>
      </c>
      <c r="I6151">
        <f>IF(E6151="Gmail",COUNTIF($E$2:E6151,"Gmail"),"")</f>
        <v/>
      </c>
      <c r="J6151">
        <f>IF(E6151="Outlook",COUNTIF($E$2:E6151,"Outlook"),"")</f>
        <v/>
      </c>
      <c r="K6151">
        <f>IF(E6151="Domain",COUNTIF($E$2:E6151,"Domain"),"")</f>
        <v/>
      </c>
    </row>
    <row r="6152">
      <c r="A6152" s="2" t="n"/>
      <c r="B6152">
        <f>LOWER(TRIM(A6152))</f>
        <v/>
      </c>
      <c r="C6152">
        <f>IF(B6152="","",IFERROR(INDEX('Bad Patterns'!$A$2:$A$120,MATCH(1,INDEX(--ISNUMBER(SEARCH('Bad Patterns'!$A$2:$A$120,B6152)),0),0)),""))</f>
        <v/>
      </c>
      <c r="D6152">
        <f>IF(B6152="","",IF(C6152&lt;&gt;"","REMOVE","KEEP"))</f>
        <v/>
      </c>
      <c r="E6152">
        <f>IF(D6152&lt;&gt;"KEEP","",IF(RIGHT(B6152,10)="@gmail.com","Gmail",IF(OR(RIGHT(B6152,12)="@outlook.com",RIGHT(B6152,12)="@hotmail.com",RIGHT(B6152,9)="@live.com"),"Outlook","Domain")))</f>
        <v/>
      </c>
      <c r="F6152">
        <f>IF(B6152="","",IFERROR(RIGHT(B6152,LEN(B6152)-FIND("@",B6152)),""))</f>
        <v/>
      </c>
      <c r="G6152">
        <f>IF(D6152="KEEP",COUNTIF($D$2:D6152,"KEEP"),"")</f>
        <v/>
      </c>
      <c r="H6152">
        <f>IF(D6152="REMOVE",COUNTIF($D$2:D6152,"REMOVE"),"")</f>
        <v/>
      </c>
      <c r="I6152">
        <f>IF(E6152="Gmail",COUNTIF($E$2:E6152,"Gmail"),"")</f>
        <v/>
      </c>
      <c r="J6152">
        <f>IF(E6152="Outlook",COUNTIF($E$2:E6152,"Outlook"),"")</f>
        <v/>
      </c>
      <c r="K6152">
        <f>IF(E6152="Domain",COUNTIF($E$2:E6152,"Domain"),"")</f>
        <v/>
      </c>
    </row>
    <row r="6153">
      <c r="A6153" s="2" t="n"/>
      <c r="B6153">
        <f>LOWER(TRIM(A6153))</f>
        <v/>
      </c>
      <c r="C6153">
        <f>IF(B6153="","",IFERROR(INDEX('Bad Patterns'!$A$2:$A$120,MATCH(1,INDEX(--ISNUMBER(SEARCH('Bad Patterns'!$A$2:$A$120,B6153)),0),0)),""))</f>
        <v/>
      </c>
      <c r="D6153">
        <f>IF(B6153="","",IF(C6153&lt;&gt;"","REMOVE","KEEP"))</f>
        <v/>
      </c>
      <c r="E6153">
        <f>IF(D6153&lt;&gt;"KEEP","",IF(RIGHT(B6153,10)="@gmail.com","Gmail",IF(OR(RIGHT(B6153,12)="@outlook.com",RIGHT(B6153,12)="@hotmail.com",RIGHT(B6153,9)="@live.com"),"Outlook","Domain")))</f>
        <v/>
      </c>
      <c r="F6153">
        <f>IF(B6153="","",IFERROR(RIGHT(B6153,LEN(B6153)-FIND("@",B6153)),""))</f>
        <v/>
      </c>
      <c r="G6153">
        <f>IF(D6153="KEEP",COUNTIF($D$2:D6153,"KEEP"),"")</f>
        <v/>
      </c>
      <c r="H6153">
        <f>IF(D6153="REMOVE",COUNTIF($D$2:D6153,"REMOVE"),"")</f>
        <v/>
      </c>
      <c r="I6153">
        <f>IF(E6153="Gmail",COUNTIF($E$2:E6153,"Gmail"),"")</f>
        <v/>
      </c>
      <c r="J6153">
        <f>IF(E6153="Outlook",COUNTIF($E$2:E6153,"Outlook"),"")</f>
        <v/>
      </c>
      <c r="K6153">
        <f>IF(E6153="Domain",COUNTIF($E$2:E6153,"Domain"),"")</f>
        <v/>
      </c>
    </row>
    <row r="6154">
      <c r="A6154" s="2" t="n"/>
      <c r="B6154">
        <f>LOWER(TRIM(A6154))</f>
        <v/>
      </c>
      <c r="C6154">
        <f>IF(B6154="","",IFERROR(INDEX('Bad Patterns'!$A$2:$A$120,MATCH(1,INDEX(--ISNUMBER(SEARCH('Bad Patterns'!$A$2:$A$120,B6154)),0),0)),""))</f>
        <v/>
      </c>
      <c r="D6154">
        <f>IF(B6154="","",IF(C6154&lt;&gt;"","REMOVE","KEEP"))</f>
        <v/>
      </c>
      <c r="E6154">
        <f>IF(D6154&lt;&gt;"KEEP","",IF(RIGHT(B6154,10)="@gmail.com","Gmail",IF(OR(RIGHT(B6154,12)="@outlook.com",RIGHT(B6154,12)="@hotmail.com",RIGHT(B6154,9)="@live.com"),"Outlook","Domain")))</f>
        <v/>
      </c>
      <c r="F6154">
        <f>IF(B6154="","",IFERROR(RIGHT(B6154,LEN(B6154)-FIND("@",B6154)),""))</f>
        <v/>
      </c>
      <c r="G6154">
        <f>IF(D6154="KEEP",COUNTIF($D$2:D6154,"KEEP"),"")</f>
        <v/>
      </c>
      <c r="H6154">
        <f>IF(D6154="REMOVE",COUNTIF($D$2:D6154,"REMOVE"),"")</f>
        <v/>
      </c>
      <c r="I6154">
        <f>IF(E6154="Gmail",COUNTIF($E$2:E6154,"Gmail"),"")</f>
        <v/>
      </c>
      <c r="J6154">
        <f>IF(E6154="Outlook",COUNTIF($E$2:E6154,"Outlook"),"")</f>
        <v/>
      </c>
      <c r="K6154">
        <f>IF(E6154="Domain",COUNTIF($E$2:E6154,"Domain"),"")</f>
        <v/>
      </c>
    </row>
    <row r="6155">
      <c r="A6155" s="2" t="n"/>
      <c r="B6155">
        <f>LOWER(TRIM(A6155))</f>
        <v/>
      </c>
      <c r="C6155">
        <f>IF(B6155="","",IFERROR(INDEX('Bad Patterns'!$A$2:$A$120,MATCH(1,INDEX(--ISNUMBER(SEARCH('Bad Patterns'!$A$2:$A$120,B6155)),0),0)),""))</f>
        <v/>
      </c>
      <c r="D6155">
        <f>IF(B6155="","",IF(C6155&lt;&gt;"","REMOVE","KEEP"))</f>
        <v/>
      </c>
      <c r="E6155">
        <f>IF(D6155&lt;&gt;"KEEP","",IF(RIGHT(B6155,10)="@gmail.com","Gmail",IF(OR(RIGHT(B6155,12)="@outlook.com",RIGHT(B6155,12)="@hotmail.com",RIGHT(B6155,9)="@live.com"),"Outlook","Domain")))</f>
        <v/>
      </c>
      <c r="F6155">
        <f>IF(B6155="","",IFERROR(RIGHT(B6155,LEN(B6155)-FIND("@",B6155)),""))</f>
        <v/>
      </c>
      <c r="G6155">
        <f>IF(D6155="KEEP",COUNTIF($D$2:D6155,"KEEP"),"")</f>
        <v/>
      </c>
      <c r="H6155">
        <f>IF(D6155="REMOVE",COUNTIF($D$2:D6155,"REMOVE"),"")</f>
        <v/>
      </c>
      <c r="I6155">
        <f>IF(E6155="Gmail",COUNTIF($E$2:E6155,"Gmail"),"")</f>
        <v/>
      </c>
      <c r="J6155">
        <f>IF(E6155="Outlook",COUNTIF($E$2:E6155,"Outlook"),"")</f>
        <v/>
      </c>
      <c r="K6155">
        <f>IF(E6155="Domain",COUNTIF($E$2:E6155,"Domain"),"")</f>
        <v/>
      </c>
    </row>
    <row r="6156">
      <c r="A6156" s="2" t="n"/>
      <c r="B6156">
        <f>LOWER(TRIM(A6156))</f>
        <v/>
      </c>
      <c r="C6156">
        <f>IF(B6156="","",IFERROR(INDEX('Bad Patterns'!$A$2:$A$120,MATCH(1,INDEX(--ISNUMBER(SEARCH('Bad Patterns'!$A$2:$A$120,B6156)),0),0)),""))</f>
        <v/>
      </c>
      <c r="D6156">
        <f>IF(B6156="","",IF(C6156&lt;&gt;"","REMOVE","KEEP"))</f>
        <v/>
      </c>
      <c r="E6156">
        <f>IF(D6156&lt;&gt;"KEEP","",IF(RIGHT(B6156,10)="@gmail.com","Gmail",IF(OR(RIGHT(B6156,12)="@outlook.com",RIGHT(B6156,12)="@hotmail.com",RIGHT(B6156,9)="@live.com"),"Outlook","Domain")))</f>
        <v/>
      </c>
      <c r="F6156">
        <f>IF(B6156="","",IFERROR(RIGHT(B6156,LEN(B6156)-FIND("@",B6156)),""))</f>
        <v/>
      </c>
      <c r="G6156">
        <f>IF(D6156="KEEP",COUNTIF($D$2:D6156,"KEEP"),"")</f>
        <v/>
      </c>
      <c r="H6156">
        <f>IF(D6156="REMOVE",COUNTIF($D$2:D6156,"REMOVE"),"")</f>
        <v/>
      </c>
      <c r="I6156">
        <f>IF(E6156="Gmail",COUNTIF($E$2:E6156,"Gmail"),"")</f>
        <v/>
      </c>
      <c r="J6156">
        <f>IF(E6156="Outlook",COUNTIF($E$2:E6156,"Outlook"),"")</f>
        <v/>
      </c>
      <c r="K6156">
        <f>IF(E6156="Domain",COUNTIF($E$2:E6156,"Domain"),"")</f>
        <v/>
      </c>
    </row>
    <row r="6157">
      <c r="A6157" s="2" t="n"/>
      <c r="B6157">
        <f>LOWER(TRIM(A6157))</f>
        <v/>
      </c>
      <c r="C6157">
        <f>IF(B6157="","",IFERROR(INDEX('Bad Patterns'!$A$2:$A$120,MATCH(1,INDEX(--ISNUMBER(SEARCH('Bad Patterns'!$A$2:$A$120,B6157)),0),0)),""))</f>
        <v/>
      </c>
      <c r="D6157">
        <f>IF(B6157="","",IF(C6157&lt;&gt;"","REMOVE","KEEP"))</f>
        <v/>
      </c>
      <c r="E6157">
        <f>IF(D6157&lt;&gt;"KEEP","",IF(RIGHT(B6157,10)="@gmail.com","Gmail",IF(OR(RIGHT(B6157,12)="@outlook.com",RIGHT(B6157,12)="@hotmail.com",RIGHT(B6157,9)="@live.com"),"Outlook","Domain")))</f>
        <v/>
      </c>
      <c r="F6157">
        <f>IF(B6157="","",IFERROR(RIGHT(B6157,LEN(B6157)-FIND("@",B6157)),""))</f>
        <v/>
      </c>
      <c r="G6157">
        <f>IF(D6157="KEEP",COUNTIF($D$2:D6157,"KEEP"),"")</f>
        <v/>
      </c>
      <c r="H6157">
        <f>IF(D6157="REMOVE",COUNTIF($D$2:D6157,"REMOVE"),"")</f>
        <v/>
      </c>
      <c r="I6157">
        <f>IF(E6157="Gmail",COUNTIF($E$2:E6157,"Gmail"),"")</f>
        <v/>
      </c>
      <c r="J6157">
        <f>IF(E6157="Outlook",COUNTIF($E$2:E6157,"Outlook"),"")</f>
        <v/>
      </c>
      <c r="K6157">
        <f>IF(E6157="Domain",COUNTIF($E$2:E6157,"Domain"),"")</f>
        <v/>
      </c>
    </row>
    <row r="6158">
      <c r="A6158" s="2" t="n"/>
      <c r="B6158">
        <f>LOWER(TRIM(A6158))</f>
        <v/>
      </c>
      <c r="C6158">
        <f>IF(B6158="","",IFERROR(INDEX('Bad Patterns'!$A$2:$A$120,MATCH(1,INDEX(--ISNUMBER(SEARCH('Bad Patterns'!$A$2:$A$120,B6158)),0),0)),""))</f>
        <v/>
      </c>
      <c r="D6158">
        <f>IF(B6158="","",IF(C6158&lt;&gt;"","REMOVE","KEEP"))</f>
        <v/>
      </c>
      <c r="E6158">
        <f>IF(D6158&lt;&gt;"KEEP","",IF(RIGHT(B6158,10)="@gmail.com","Gmail",IF(OR(RIGHT(B6158,12)="@outlook.com",RIGHT(B6158,12)="@hotmail.com",RIGHT(B6158,9)="@live.com"),"Outlook","Domain")))</f>
        <v/>
      </c>
      <c r="F6158">
        <f>IF(B6158="","",IFERROR(RIGHT(B6158,LEN(B6158)-FIND("@",B6158)),""))</f>
        <v/>
      </c>
      <c r="G6158">
        <f>IF(D6158="KEEP",COUNTIF($D$2:D6158,"KEEP"),"")</f>
        <v/>
      </c>
      <c r="H6158">
        <f>IF(D6158="REMOVE",COUNTIF($D$2:D6158,"REMOVE"),"")</f>
        <v/>
      </c>
      <c r="I6158">
        <f>IF(E6158="Gmail",COUNTIF($E$2:E6158,"Gmail"),"")</f>
        <v/>
      </c>
      <c r="J6158">
        <f>IF(E6158="Outlook",COUNTIF($E$2:E6158,"Outlook"),"")</f>
        <v/>
      </c>
      <c r="K6158">
        <f>IF(E6158="Domain",COUNTIF($E$2:E6158,"Domain"),"")</f>
        <v/>
      </c>
    </row>
    <row r="6159">
      <c r="A6159" s="2" t="n"/>
      <c r="B6159">
        <f>LOWER(TRIM(A6159))</f>
        <v/>
      </c>
      <c r="C6159">
        <f>IF(B6159="","",IFERROR(INDEX('Bad Patterns'!$A$2:$A$120,MATCH(1,INDEX(--ISNUMBER(SEARCH('Bad Patterns'!$A$2:$A$120,B6159)),0),0)),""))</f>
        <v/>
      </c>
      <c r="D6159">
        <f>IF(B6159="","",IF(C6159&lt;&gt;"","REMOVE","KEEP"))</f>
        <v/>
      </c>
      <c r="E6159">
        <f>IF(D6159&lt;&gt;"KEEP","",IF(RIGHT(B6159,10)="@gmail.com","Gmail",IF(OR(RIGHT(B6159,12)="@outlook.com",RIGHT(B6159,12)="@hotmail.com",RIGHT(B6159,9)="@live.com"),"Outlook","Domain")))</f>
        <v/>
      </c>
      <c r="F6159">
        <f>IF(B6159="","",IFERROR(RIGHT(B6159,LEN(B6159)-FIND("@",B6159)),""))</f>
        <v/>
      </c>
      <c r="G6159">
        <f>IF(D6159="KEEP",COUNTIF($D$2:D6159,"KEEP"),"")</f>
        <v/>
      </c>
      <c r="H6159">
        <f>IF(D6159="REMOVE",COUNTIF($D$2:D6159,"REMOVE"),"")</f>
        <v/>
      </c>
      <c r="I6159">
        <f>IF(E6159="Gmail",COUNTIF($E$2:E6159,"Gmail"),"")</f>
        <v/>
      </c>
      <c r="J6159">
        <f>IF(E6159="Outlook",COUNTIF($E$2:E6159,"Outlook"),"")</f>
        <v/>
      </c>
      <c r="K6159">
        <f>IF(E6159="Domain",COUNTIF($E$2:E6159,"Domain"),"")</f>
        <v/>
      </c>
    </row>
    <row r="6160">
      <c r="A6160" s="2" t="n"/>
      <c r="B6160">
        <f>LOWER(TRIM(A6160))</f>
        <v/>
      </c>
      <c r="C6160">
        <f>IF(B6160="","",IFERROR(INDEX('Bad Patterns'!$A$2:$A$120,MATCH(1,INDEX(--ISNUMBER(SEARCH('Bad Patterns'!$A$2:$A$120,B6160)),0),0)),""))</f>
        <v/>
      </c>
      <c r="D6160">
        <f>IF(B6160="","",IF(C6160&lt;&gt;"","REMOVE","KEEP"))</f>
        <v/>
      </c>
      <c r="E6160">
        <f>IF(D6160&lt;&gt;"KEEP","",IF(RIGHT(B6160,10)="@gmail.com","Gmail",IF(OR(RIGHT(B6160,12)="@outlook.com",RIGHT(B6160,12)="@hotmail.com",RIGHT(B6160,9)="@live.com"),"Outlook","Domain")))</f>
        <v/>
      </c>
      <c r="F6160">
        <f>IF(B6160="","",IFERROR(RIGHT(B6160,LEN(B6160)-FIND("@",B6160)),""))</f>
        <v/>
      </c>
      <c r="G6160">
        <f>IF(D6160="KEEP",COUNTIF($D$2:D6160,"KEEP"),"")</f>
        <v/>
      </c>
      <c r="H6160">
        <f>IF(D6160="REMOVE",COUNTIF($D$2:D6160,"REMOVE"),"")</f>
        <v/>
      </c>
      <c r="I6160">
        <f>IF(E6160="Gmail",COUNTIF($E$2:E6160,"Gmail"),"")</f>
        <v/>
      </c>
      <c r="J6160">
        <f>IF(E6160="Outlook",COUNTIF($E$2:E6160,"Outlook"),"")</f>
        <v/>
      </c>
      <c r="K6160">
        <f>IF(E6160="Domain",COUNTIF($E$2:E6160,"Domain"),"")</f>
        <v/>
      </c>
    </row>
    <row r="6161">
      <c r="A6161" s="2" t="n"/>
      <c r="B6161">
        <f>LOWER(TRIM(A6161))</f>
        <v/>
      </c>
      <c r="C6161">
        <f>IF(B6161="","",IFERROR(INDEX('Bad Patterns'!$A$2:$A$120,MATCH(1,INDEX(--ISNUMBER(SEARCH('Bad Patterns'!$A$2:$A$120,B6161)),0),0)),""))</f>
        <v/>
      </c>
      <c r="D6161">
        <f>IF(B6161="","",IF(C6161&lt;&gt;"","REMOVE","KEEP"))</f>
        <v/>
      </c>
      <c r="E6161">
        <f>IF(D6161&lt;&gt;"KEEP","",IF(RIGHT(B6161,10)="@gmail.com","Gmail",IF(OR(RIGHT(B6161,12)="@outlook.com",RIGHT(B6161,12)="@hotmail.com",RIGHT(B6161,9)="@live.com"),"Outlook","Domain")))</f>
        <v/>
      </c>
      <c r="F6161">
        <f>IF(B6161="","",IFERROR(RIGHT(B6161,LEN(B6161)-FIND("@",B6161)),""))</f>
        <v/>
      </c>
      <c r="G6161">
        <f>IF(D6161="KEEP",COUNTIF($D$2:D6161,"KEEP"),"")</f>
        <v/>
      </c>
      <c r="H6161">
        <f>IF(D6161="REMOVE",COUNTIF($D$2:D6161,"REMOVE"),"")</f>
        <v/>
      </c>
      <c r="I6161">
        <f>IF(E6161="Gmail",COUNTIF($E$2:E6161,"Gmail"),"")</f>
        <v/>
      </c>
      <c r="J6161">
        <f>IF(E6161="Outlook",COUNTIF($E$2:E6161,"Outlook"),"")</f>
        <v/>
      </c>
      <c r="K6161">
        <f>IF(E6161="Domain",COUNTIF($E$2:E6161,"Domain"),"")</f>
        <v/>
      </c>
    </row>
    <row r="6162">
      <c r="A6162" s="2" t="n"/>
      <c r="B6162">
        <f>LOWER(TRIM(A6162))</f>
        <v/>
      </c>
      <c r="C6162">
        <f>IF(B6162="","",IFERROR(INDEX('Bad Patterns'!$A$2:$A$120,MATCH(1,INDEX(--ISNUMBER(SEARCH('Bad Patterns'!$A$2:$A$120,B6162)),0),0)),""))</f>
        <v/>
      </c>
      <c r="D6162">
        <f>IF(B6162="","",IF(C6162&lt;&gt;"","REMOVE","KEEP"))</f>
        <v/>
      </c>
      <c r="E6162">
        <f>IF(D6162&lt;&gt;"KEEP","",IF(RIGHT(B6162,10)="@gmail.com","Gmail",IF(OR(RIGHT(B6162,12)="@outlook.com",RIGHT(B6162,12)="@hotmail.com",RIGHT(B6162,9)="@live.com"),"Outlook","Domain")))</f>
        <v/>
      </c>
      <c r="F6162">
        <f>IF(B6162="","",IFERROR(RIGHT(B6162,LEN(B6162)-FIND("@",B6162)),""))</f>
        <v/>
      </c>
      <c r="G6162">
        <f>IF(D6162="KEEP",COUNTIF($D$2:D6162,"KEEP"),"")</f>
        <v/>
      </c>
      <c r="H6162">
        <f>IF(D6162="REMOVE",COUNTIF($D$2:D6162,"REMOVE"),"")</f>
        <v/>
      </c>
      <c r="I6162">
        <f>IF(E6162="Gmail",COUNTIF($E$2:E6162,"Gmail"),"")</f>
        <v/>
      </c>
      <c r="J6162">
        <f>IF(E6162="Outlook",COUNTIF($E$2:E6162,"Outlook"),"")</f>
        <v/>
      </c>
      <c r="K6162">
        <f>IF(E6162="Domain",COUNTIF($E$2:E6162,"Domain"),"")</f>
        <v/>
      </c>
    </row>
    <row r="6163">
      <c r="A6163" s="2" t="n"/>
      <c r="B6163">
        <f>LOWER(TRIM(A6163))</f>
        <v/>
      </c>
      <c r="C6163">
        <f>IF(B6163="","",IFERROR(INDEX('Bad Patterns'!$A$2:$A$120,MATCH(1,INDEX(--ISNUMBER(SEARCH('Bad Patterns'!$A$2:$A$120,B6163)),0),0)),""))</f>
        <v/>
      </c>
      <c r="D6163">
        <f>IF(B6163="","",IF(C6163&lt;&gt;"","REMOVE","KEEP"))</f>
        <v/>
      </c>
      <c r="E6163">
        <f>IF(D6163&lt;&gt;"KEEP","",IF(RIGHT(B6163,10)="@gmail.com","Gmail",IF(OR(RIGHT(B6163,12)="@outlook.com",RIGHT(B6163,12)="@hotmail.com",RIGHT(B6163,9)="@live.com"),"Outlook","Domain")))</f>
        <v/>
      </c>
      <c r="F6163">
        <f>IF(B6163="","",IFERROR(RIGHT(B6163,LEN(B6163)-FIND("@",B6163)),""))</f>
        <v/>
      </c>
      <c r="G6163">
        <f>IF(D6163="KEEP",COUNTIF($D$2:D6163,"KEEP"),"")</f>
        <v/>
      </c>
      <c r="H6163">
        <f>IF(D6163="REMOVE",COUNTIF($D$2:D6163,"REMOVE"),"")</f>
        <v/>
      </c>
      <c r="I6163">
        <f>IF(E6163="Gmail",COUNTIF($E$2:E6163,"Gmail"),"")</f>
        <v/>
      </c>
      <c r="J6163">
        <f>IF(E6163="Outlook",COUNTIF($E$2:E6163,"Outlook"),"")</f>
        <v/>
      </c>
      <c r="K6163">
        <f>IF(E6163="Domain",COUNTIF($E$2:E6163,"Domain"),"")</f>
        <v/>
      </c>
    </row>
    <row r="6164">
      <c r="A6164" s="2" t="n"/>
      <c r="B6164">
        <f>LOWER(TRIM(A6164))</f>
        <v/>
      </c>
      <c r="C6164">
        <f>IF(B6164="","",IFERROR(INDEX('Bad Patterns'!$A$2:$A$120,MATCH(1,INDEX(--ISNUMBER(SEARCH('Bad Patterns'!$A$2:$A$120,B6164)),0),0)),""))</f>
        <v/>
      </c>
      <c r="D6164">
        <f>IF(B6164="","",IF(C6164&lt;&gt;"","REMOVE","KEEP"))</f>
        <v/>
      </c>
      <c r="E6164">
        <f>IF(D6164&lt;&gt;"KEEP","",IF(RIGHT(B6164,10)="@gmail.com","Gmail",IF(OR(RIGHT(B6164,12)="@outlook.com",RIGHT(B6164,12)="@hotmail.com",RIGHT(B6164,9)="@live.com"),"Outlook","Domain")))</f>
        <v/>
      </c>
      <c r="F6164">
        <f>IF(B6164="","",IFERROR(RIGHT(B6164,LEN(B6164)-FIND("@",B6164)),""))</f>
        <v/>
      </c>
      <c r="G6164">
        <f>IF(D6164="KEEP",COUNTIF($D$2:D6164,"KEEP"),"")</f>
        <v/>
      </c>
      <c r="H6164">
        <f>IF(D6164="REMOVE",COUNTIF($D$2:D6164,"REMOVE"),"")</f>
        <v/>
      </c>
      <c r="I6164">
        <f>IF(E6164="Gmail",COUNTIF($E$2:E6164,"Gmail"),"")</f>
        <v/>
      </c>
      <c r="J6164">
        <f>IF(E6164="Outlook",COUNTIF($E$2:E6164,"Outlook"),"")</f>
        <v/>
      </c>
      <c r="K6164">
        <f>IF(E6164="Domain",COUNTIF($E$2:E6164,"Domain"),"")</f>
        <v/>
      </c>
    </row>
    <row r="6165">
      <c r="A6165" s="2" t="n"/>
      <c r="B6165">
        <f>LOWER(TRIM(A6165))</f>
        <v/>
      </c>
      <c r="C6165">
        <f>IF(B6165="","",IFERROR(INDEX('Bad Patterns'!$A$2:$A$120,MATCH(1,INDEX(--ISNUMBER(SEARCH('Bad Patterns'!$A$2:$A$120,B6165)),0),0)),""))</f>
        <v/>
      </c>
      <c r="D6165">
        <f>IF(B6165="","",IF(C6165&lt;&gt;"","REMOVE","KEEP"))</f>
        <v/>
      </c>
      <c r="E6165">
        <f>IF(D6165&lt;&gt;"KEEP","",IF(RIGHT(B6165,10)="@gmail.com","Gmail",IF(OR(RIGHT(B6165,12)="@outlook.com",RIGHT(B6165,12)="@hotmail.com",RIGHT(B6165,9)="@live.com"),"Outlook","Domain")))</f>
        <v/>
      </c>
      <c r="F6165">
        <f>IF(B6165="","",IFERROR(RIGHT(B6165,LEN(B6165)-FIND("@",B6165)),""))</f>
        <v/>
      </c>
      <c r="G6165">
        <f>IF(D6165="KEEP",COUNTIF($D$2:D6165,"KEEP"),"")</f>
        <v/>
      </c>
      <c r="H6165">
        <f>IF(D6165="REMOVE",COUNTIF($D$2:D6165,"REMOVE"),"")</f>
        <v/>
      </c>
      <c r="I6165">
        <f>IF(E6165="Gmail",COUNTIF($E$2:E6165,"Gmail"),"")</f>
        <v/>
      </c>
      <c r="J6165">
        <f>IF(E6165="Outlook",COUNTIF($E$2:E6165,"Outlook"),"")</f>
        <v/>
      </c>
      <c r="K6165">
        <f>IF(E6165="Domain",COUNTIF($E$2:E6165,"Domain"),"")</f>
        <v/>
      </c>
    </row>
    <row r="6166">
      <c r="A6166" s="2" t="n"/>
      <c r="B6166">
        <f>LOWER(TRIM(A6166))</f>
        <v/>
      </c>
      <c r="C6166">
        <f>IF(B6166="","",IFERROR(INDEX('Bad Patterns'!$A$2:$A$120,MATCH(1,INDEX(--ISNUMBER(SEARCH('Bad Patterns'!$A$2:$A$120,B6166)),0),0)),""))</f>
        <v/>
      </c>
      <c r="D6166">
        <f>IF(B6166="","",IF(C6166&lt;&gt;"","REMOVE","KEEP"))</f>
        <v/>
      </c>
      <c r="E6166">
        <f>IF(D6166&lt;&gt;"KEEP","",IF(RIGHT(B6166,10)="@gmail.com","Gmail",IF(OR(RIGHT(B6166,12)="@outlook.com",RIGHT(B6166,12)="@hotmail.com",RIGHT(B6166,9)="@live.com"),"Outlook","Domain")))</f>
        <v/>
      </c>
      <c r="F6166">
        <f>IF(B6166="","",IFERROR(RIGHT(B6166,LEN(B6166)-FIND("@",B6166)),""))</f>
        <v/>
      </c>
      <c r="G6166">
        <f>IF(D6166="KEEP",COUNTIF($D$2:D6166,"KEEP"),"")</f>
        <v/>
      </c>
      <c r="H6166">
        <f>IF(D6166="REMOVE",COUNTIF($D$2:D6166,"REMOVE"),"")</f>
        <v/>
      </c>
      <c r="I6166">
        <f>IF(E6166="Gmail",COUNTIF($E$2:E6166,"Gmail"),"")</f>
        <v/>
      </c>
      <c r="J6166">
        <f>IF(E6166="Outlook",COUNTIF($E$2:E6166,"Outlook"),"")</f>
        <v/>
      </c>
      <c r="K6166">
        <f>IF(E6166="Domain",COUNTIF($E$2:E6166,"Domain"),"")</f>
        <v/>
      </c>
    </row>
    <row r="6167">
      <c r="A6167" s="2" t="n"/>
      <c r="B6167">
        <f>LOWER(TRIM(A6167))</f>
        <v/>
      </c>
      <c r="C6167">
        <f>IF(B6167="","",IFERROR(INDEX('Bad Patterns'!$A$2:$A$120,MATCH(1,INDEX(--ISNUMBER(SEARCH('Bad Patterns'!$A$2:$A$120,B6167)),0),0)),""))</f>
        <v/>
      </c>
      <c r="D6167">
        <f>IF(B6167="","",IF(C6167&lt;&gt;"","REMOVE","KEEP"))</f>
        <v/>
      </c>
      <c r="E6167">
        <f>IF(D6167&lt;&gt;"KEEP","",IF(RIGHT(B6167,10)="@gmail.com","Gmail",IF(OR(RIGHT(B6167,12)="@outlook.com",RIGHT(B6167,12)="@hotmail.com",RIGHT(B6167,9)="@live.com"),"Outlook","Domain")))</f>
        <v/>
      </c>
      <c r="F6167">
        <f>IF(B6167="","",IFERROR(RIGHT(B6167,LEN(B6167)-FIND("@",B6167)),""))</f>
        <v/>
      </c>
      <c r="G6167">
        <f>IF(D6167="KEEP",COUNTIF($D$2:D6167,"KEEP"),"")</f>
        <v/>
      </c>
      <c r="H6167">
        <f>IF(D6167="REMOVE",COUNTIF($D$2:D6167,"REMOVE"),"")</f>
        <v/>
      </c>
      <c r="I6167">
        <f>IF(E6167="Gmail",COUNTIF($E$2:E6167,"Gmail"),"")</f>
        <v/>
      </c>
      <c r="J6167">
        <f>IF(E6167="Outlook",COUNTIF($E$2:E6167,"Outlook"),"")</f>
        <v/>
      </c>
      <c r="K6167">
        <f>IF(E6167="Domain",COUNTIF($E$2:E6167,"Domain"),"")</f>
        <v/>
      </c>
    </row>
    <row r="6168">
      <c r="A6168" s="2" t="n"/>
      <c r="B6168">
        <f>LOWER(TRIM(A6168))</f>
        <v/>
      </c>
      <c r="C6168">
        <f>IF(B6168="","",IFERROR(INDEX('Bad Patterns'!$A$2:$A$120,MATCH(1,INDEX(--ISNUMBER(SEARCH('Bad Patterns'!$A$2:$A$120,B6168)),0),0)),""))</f>
        <v/>
      </c>
      <c r="D6168">
        <f>IF(B6168="","",IF(C6168&lt;&gt;"","REMOVE","KEEP"))</f>
        <v/>
      </c>
      <c r="E6168">
        <f>IF(D6168&lt;&gt;"KEEP","",IF(RIGHT(B6168,10)="@gmail.com","Gmail",IF(OR(RIGHT(B6168,12)="@outlook.com",RIGHT(B6168,12)="@hotmail.com",RIGHT(B6168,9)="@live.com"),"Outlook","Domain")))</f>
        <v/>
      </c>
      <c r="F6168">
        <f>IF(B6168="","",IFERROR(RIGHT(B6168,LEN(B6168)-FIND("@",B6168)),""))</f>
        <v/>
      </c>
      <c r="G6168">
        <f>IF(D6168="KEEP",COUNTIF($D$2:D6168,"KEEP"),"")</f>
        <v/>
      </c>
      <c r="H6168">
        <f>IF(D6168="REMOVE",COUNTIF($D$2:D6168,"REMOVE"),"")</f>
        <v/>
      </c>
      <c r="I6168">
        <f>IF(E6168="Gmail",COUNTIF($E$2:E6168,"Gmail"),"")</f>
        <v/>
      </c>
      <c r="J6168">
        <f>IF(E6168="Outlook",COUNTIF($E$2:E6168,"Outlook"),"")</f>
        <v/>
      </c>
      <c r="K6168">
        <f>IF(E6168="Domain",COUNTIF($E$2:E6168,"Domain"),"")</f>
        <v/>
      </c>
    </row>
    <row r="6169">
      <c r="A6169" s="2" t="n"/>
      <c r="B6169">
        <f>LOWER(TRIM(A6169))</f>
        <v/>
      </c>
      <c r="C6169">
        <f>IF(B6169="","",IFERROR(INDEX('Bad Patterns'!$A$2:$A$120,MATCH(1,INDEX(--ISNUMBER(SEARCH('Bad Patterns'!$A$2:$A$120,B6169)),0),0)),""))</f>
        <v/>
      </c>
      <c r="D6169">
        <f>IF(B6169="","",IF(C6169&lt;&gt;"","REMOVE","KEEP"))</f>
        <v/>
      </c>
      <c r="E6169">
        <f>IF(D6169&lt;&gt;"KEEP","",IF(RIGHT(B6169,10)="@gmail.com","Gmail",IF(OR(RIGHT(B6169,12)="@outlook.com",RIGHT(B6169,12)="@hotmail.com",RIGHT(B6169,9)="@live.com"),"Outlook","Domain")))</f>
        <v/>
      </c>
      <c r="F6169">
        <f>IF(B6169="","",IFERROR(RIGHT(B6169,LEN(B6169)-FIND("@",B6169)),""))</f>
        <v/>
      </c>
      <c r="G6169">
        <f>IF(D6169="KEEP",COUNTIF($D$2:D6169,"KEEP"),"")</f>
        <v/>
      </c>
      <c r="H6169">
        <f>IF(D6169="REMOVE",COUNTIF($D$2:D6169,"REMOVE"),"")</f>
        <v/>
      </c>
      <c r="I6169">
        <f>IF(E6169="Gmail",COUNTIF($E$2:E6169,"Gmail"),"")</f>
        <v/>
      </c>
      <c r="J6169">
        <f>IF(E6169="Outlook",COUNTIF($E$2:E6169,"Outlook"),"")</f>
        <v/>
      </c>
      <c r="K6169">
        <f>IF(E6169="Domain",COUNTIF($E$2:E6169,"Domain"),"")</f>
        <v/>
      </c>
    </row>
    <row r="6170">
      <c r="A6170" s="2" t="n"/>
      <c r="B6170">
        <f>LOWER(TRIM(A6170))</f>
        <v/>
      </c>
      <c r="C6170">
        <f>IF(B6170="","",IFERROR(INDEX('Bad Patterns'!$A$2:$A$120,MATCH(1,INDEX(--ISNUMBER(SEARCH('Bad Patterns'!$A$2:$A$120,B6170)),0),0)),""))</f>
        <v/>
      </c>
      <c r="D6170">
        <f>IF(B6170="","",IF(C6170&lt;&gt;"","REMOVE","KEEP"))</f>
        <v/>
      </c>
      <c r="E6170">
        <f>IF(D6170&lt;&gt;"KEEP","",IF(RIGHT(B6170,10)="@gmail.com","Gmail",IF(OR(RIGHT(B6170,12)="@outlook.com",RIGHT(B6170,12)="@hotmail.com",RIGHT(B6170,9)="@live.com"),"Outlook","Domain")))</f>
        <v/>
      </c>
      <c r="F6170">
        <f>IF(B6170="","",IFERROR(RIGHT(B6170,LEN(B6170)-FIND("@",B6170)),""))</f>
        <v/>
      </c>
      <c r="G6170">
        <f>IF(D6170="KEEP",COUNTIF($D$2:D6170,"KEEP"),"")</f>
        <v/>
      </c>
      <c r="H6170">
        <f>IF(D6170="REMOVE",COUNTIF($D$2:D6170,"REMOVE"),"")</f>
        <v/>
      </c>
      <c r="I6170">
        <f>IF(E6170="Gmail",COUNTIF($E$2:E6170,"Gmail"),"")</f>
        <v/>
      </c>
      <c r="J6170">
        <f>IF(E6170="Outlook",COUNTIF($E$2:E6170,"Outlook"),"")</f>
        <v/>
      </c>
      <c r="K6170">
        <f>IF(E6170="Domain",COUNTIF($E$2:E6170,"Domain"),"")</f>
        <v/>
      </c>
    </row>
    <row r="6171">
      <c r="A6171" s="2" t="n"/>
      <c r="B6171">
        <f>LOWER(TRIM(A6171))</f>
        <v/>
      </c>
      <c r="C6171">
        <f>IF(B6171="","",IFERROR(INDEX('Bad Patterns'!$A$2:$A$120,MATCH(1,INDEX(--ISNUMBER(SEARCH('Bad Patterns'!$A$2:$A$120,B6171)),0),0)),""))</f>
        <v/>
      </c>
      <c r="D6171">
        <f>IF(B6171="","",IF(C6171&lt;&gt;"","REMOVE","KEEP"))</f>
        <v/>
      </c>
      <c r="E6171">
        <f>IF(D6171&lt;&gt;"KEEP","",IF(RIGHT(B6171,10)="@gmail.com","Gmail",IF(OR(RIGHT(B6171,12)="@outlook.com",RIGHT(B6171,12)="@hotmail.com",RIGHT(B6171,9)="@live.com"),"Outlook","Domain")))</f>
        <v/>
      </c>
      <c r="F6171">
        <f>IF(B6171="","",IFERROR(RIGHT(B6171,LEN(B6171)-FIND("@",B6171)),""))</f>
        <v/>
      </c>
      <c r="G6171">
        <f>IF(D6171="KEEP",COUNTIF($D$2:D6171,"KEEP"),"")</f>
        <v/>
      </c>
      <c r="H6171">
        <f>IF(D6171="REMOVE",COUNTIF($D$2:D6171,"REMOVE"),"")</f>
        <v/>
      </c>
      <c r="I6171">
        <f>IF(E6171="Gmail",COUNTIF($E$2:E6171,"Gmail"),"")</f>
        <v/>
      </c>
      <c r="J6171">
        <f>IF(E6171="Outlook",COUNTIF($E$2:E6171,"Outlook"),"")</f>
        <v/>
      </c>
      <c r="K6171">
        <f>IF(E6171="Domain",COUNTIF($E$2:E6171,"Domain"),"")</f>
        <v/>
      </c>
    </row>
    <row r="6172">
      <c r="A6172" s="2" t="n"/>
      <c r="B6172">
        <f>LOWER(TRIM(A6172))</f>
        <v/>
      </c>
      <c r="C6172">
        <f>IF(B6172="","",IFERROR(INDEX('Bad Patterns'!$A$2:$A$120,MATCH(1,INDEX(--ISNUMBER(SEARCH('Bad Patterns'!$A$2:$A$120,B6172)),0),0)),""))</f>
        <v/>
      </c>
      <c r="D6172">
        <f>IF(B6172="","",IF(C6172&lt;&gt;"","REMOVE","KEEP"))</f>
        <v/>
      </c>
      <c r="E6172">
        <f>IF(D6172&lt;&gt;"KEEP","",IF(RIGHT(B6172,10)="@gmail.com","Gmail",IF(OR(RIGHT(B6172,12)="@outlook.com",RIGHT(B6172,12)="@hotmail.com",RIGHT(B6172,9)="@live.com"),"Outlook","Domain")))</f>
        <v/>
      </c>
      <c r="F6172">
        <f>IF(B6172="","",IFERROR(RIGHT(B6172,LEN(B6172)-FIND("@",B6172)),""))</f>
        <v/>
      </c>
      <c r="G6172">
        <f>IF(D6172="KEEP",COUNTIF($D$2:D6172,"KEEP"),"")</f>
        <v/>
      </c>
      <c r="H6172">
        <f>IF(D6172="REMOVE",COUNTIF($D$2:D6172,"REMOVE"),"")</f>
        <v/>
      </c>
      <c r="I6172">
        <f>IF(E6172="Gmail",COUNTIF($E$2:E6172,"Gmail"),"")</f>
        <v/>
      </c>
      <c r="J6172">
        <f>IF(E6172="Outlook",COUNTIF($E$2:E6172,"Outlook"),"")</f>
        <v/>
      </c>
      <c r="K6172">
        <f>IF(E6172="Domain",COUNTIF($E$2:E6172,"Domain"),"")</f>
        <v/>
      </c>
    </row>
    <row r="6173">
      <c r="A6173" s="2" t="n"/>
      <c r="B6173">
        <f>LOWER(TRIM(A6173))</f>
        <v/>
      </c>
      <c r="C6173">
        <f>IF(B6173="","",IFERROR(INDEX('Bad Patterns'!$A$2:$A$120,MATCH(1,INDEX(--ISNUMBER(SEARCH('Bad Patterns'!$A$2:$A$120,B6173)),0),0)),""))</f>
        <v/>
      </c>
      <c r="D6173">
        <f>IF(B6173="","",IF(C6173&lt;&gt;"","REMOVE","KEEP"))</f>
        <v/>
      </c>
      <c r="E6173">
        <f>IF(D6173&lt;&gt;"KEEP","",IF(RIGHT(B6173,10)="@gmail.com","Gmail",IF(OR(RIGHT(B6173,12)="@outlook.com",RIGHT(B6173,12)="@hotmail.com",RIGHT(B6173,9)="@live.com"),"Outlook","Domain")))</f>
        <v/>
      </c>
      <c r="F6173">
        <f>IF(B6173="","",IFERROR(RIGHT(B6173,LEN(B6173)-FIND("@",B6173)),""))</f>
        <v/>
      </c>
      <c r="G6173">
        <f>IF(D6173="KEEP",COUNTIF($D$2:D6173,"KEEP"),"")</f>
        <v/>
      </c>
      <c r="H6173">
        <f>IF(D6173="REMOVE",COUNTIF($D$2:D6173,"REMOVE"),"")</f>
        <v/>
      </c>
      <c r="I6173">
        <f>IF(E6173="Gmail",COUNTIF($E$2:E6173,"Gmail"),"")</f>
        <v/>
      </c>
      <c r="J6173">
        <f>IF(E6173="Outlook",COUNTIF($E$2:E6173,"Outlook"),"")</f>
        <v/>
      </c>
      <c r="K6173">
        <f>IF(E6173="Domain",COUNTIF($E$2:E6173,"Domain"),"")</f>
        <v/>
      </c>
    </row>
    <row r="6174">
      <c r="A6174" s="2" t="n"/>
      <c r="B6174">
        <f>LOWER(TRIM(A6174))</f>
        <v/>
      </c>
      <c r="C6174">
        <f>IF(B6174="","",IFERROR(INDEX('Bad Patterns'!$A$2:$A$120,MATCH(1,INDEX(--ISNUMBER(SEARCH('Bad Patterns'!$A$2:$A$120,B6174)),0),0)),""))</f>
        <v/>
      </c>
      <c r="D6174">
        <f>IF(B6174="","",IF(C6174&lt;&gt;"","REMOVE","KEEP"))</f>
        <v/>
      </c>
      <c r="E6174">
        <f>IF(D6174&lt;&gt;"KEEP","",IF(RIGHT(B6174,10)="@gmail.com","Gmail",IF(OR(RIGHT(B6174,12)="@outlook.com",RIGHT(B6174,12)="@hotmail.com",RIGHT(B6174,9)="@live.com"),"Outlook","Domain")))</f>
        <v/>
      </c>
      <c r="F6174">
        <f>IF(B6174="","",IFERROR(RIGHT(B6174,LEN(B6174)-FIND("@",B6174)),""))</f>
        <v/>
      </c>
      <c r="G6174">
        <f>IF(D6174="KEEP",COUNTIF($D$2:D6174,"KEEP"),"")</f>
        <v/>
      </c>
      <c r="H6174">
        <f>IF(D6174="REMOVE",COUNTIF($D$2:D6174,"REMOVE"),"")</f>
        <v/>
      </c>
      <c r="I6174">
        <f>IF(E6174="Gmail",COUNTIF($E$2:E6174,"Gmail"),"")</f>
        <v/>
      </c>
      <c r="J6174">
        <f>IF(E6174="Outlook",COUNTIF($E$2:E6174,"Outlook"),"")</f>
        <v/>
      </c>
      <c r="K6174">
        <f>IF(E6174="Domain",COUNTIF($E$2:E6174,"Domain"),"")</f>
        <v/>
      </c>
    </row>
    <row r="6175">
      <c r="A6175" s="2" t="n"/>
      <c r="B6175">
        <f>LOWER(TRIM(A6175))</f>
        <v/>
      </c>
      <c r="C6175">
        <f>IF(B6175="","",IFERROR(INDEX('Bad Patterns'!$A$2:$A$120,MATCH(1,INDEX(--ISNUMBER(SEARCH('Bad Patterns'!$A$2:$A$120,B6175)),0),0)),""))</f>
        <v/>
      </c>
      <c r="D6175">
        <f>IF(B6175="","",IF(C6175&lt;&gt;"","REMOVE","KEEP"))</f>
        <v/>
      </c>
      <c r="E6175">
        <f>IF(D6175&lt;&gt;"KEEP","",IF(RIGHT(B6175,10)="@gmail.com","Gmail",IF(OR(RIGHT(B6175,12)="@outlook.com",RIGHT(B6175,12)="@hotmail.com",RIGHT(B6175,9)="@live.com"),"Outlook","Domain")))</f>
        <v/>
      </c>
      <c r="F6175">
        <f>IF(B6175="","",IFERROR(RIGHT(B6175,LEN(B6175)-FIND("@",B6175)),""))</f>
        <v/>
      </c>
      <c r="G6175">
        <f>IF(D6175="KEEP",COUNTIF($D$2:D6175,"KEEP"),"")</f>
        <v/>
      </c>
      <c r="H6175">
        <f>IF(D6175="REMOVE",COUNTIF($D$2:D6175,"REMOVE"),"")</f>
        <v/>
      </c>
      <c r="I6175">
        <f>IF(E6175="Gmail",COUNTIF($E$2:E6175,"Gmail"),"")</f>
        <v/>
      </c>
      <c r="J6175">
        <f>IF(E6175="Outlook",COUNTIF($E$2:E6175,"Outlook"),"")</f>
        <v/>
      </c>
      <c r="K6175">
        <f>IF(E6175="Domain",COUNTIF($E$2:E6175,"Domain"),"")</f>
        <v/>
      </c>
    </row>
    <row r="6176">
      <c r="A6176" s="2" t="n"/>
      <c r="B6176">
        <f>LOWER(TRIM(A6176))</f>
        <v/>
      </c>
      <c r="C6176">
        <f>IF(B6176="","",IFERROR(INDEX('Bad Patterns'!$A$2:$A$120,MATCH(1,INDEX(--ISNUMBER(SEARCH('Bad Patterns'!$A$2:$A$120,B6176)),0),0)),""))</f>
        <v/>
      </c>
      <c r="D6176">
        <f>IF(B6176="","",IF(C6176&lt;&gt;"","REMOVE","KEEP"))</f>
        <v/>
      </c>
      <c r="E6176">
        <f>IF(D6176&lt;&gt;"KEEP","",IF(RIGHT(B6176,10)="@gmail.com","Gmail",IF(OR(RIGHT(B6176,12)="@outlook.com",RIGHT(B6176,12)="@hotmail.com",RIGHT(B6176,9)="@live.com"),"Outlook","Domain")))</f>
        <v/>
      </c>
      <c r="F6176">
        <f>IF(B6176="","",IFERROR(RIGHT(B6176,LEN(B6176)-FIND("@",B6176)),""))</f>
        <v/>
      </c>
      <c r="G6176">
        <f>IF(D6176="KEEP",COUNTIF($D$2:D6176,"KEEP"),"")</f>
        <v/>
      </c>
      <c r="H6176">
        <f>IF(D6176="REMOVE",COUNTIF($D$2:D6176,"REMOVE"),"")</f>
        <v/>
      </c>
      <c r="I6176">
        <f>IF(E6176="Gmail",COUNTIF($E$2:E6176,"Gmail"),"")</f>
        <v/>
      </c>
      <c r="J6176">
        <f>IF(E6176="Outlook",COUNTIF($E$2:E6176,"Outlook"),"")</f>
        <v/>
      </c>
      <c r="K6176">
        <f>IF(E6176="Domain",COUNTIF($E$2:E6176,"Domain"),"")</f>
        <v/>
      </c>
    </row>
    <row r="6177">
      <c r="A6177" s="2" t="n"/>
      <c r="B6177">
        <f>LOWER(TRIM(A6177))</f>
        <v/>
      </c>
      <c r="C6177">
        <f>IF(B6177="","",IFERROR(INDEX('Bad Patterns'!$A$2:$A$120,MATCH(1,INDEX(--ISNUMBER(SEARCH('Bad Patterns'!$A$2:$A$120,B6177)),0),0)),""))</f>
        <v/>
      </c>
      <c r="D6177">
        <f>IF(B6177="","",IF(C6177&lt;&gt;"","REMOVE","KEEP"))</f>
        <v/>
      </c>
      <c r="E6177">
        <f>IF(D6177&lt;&gt;"KEEP","",IF(RIGHT(B6177,10)="@gmail.com","Gmail",IF(OR(RIGHT(B6177,12)="@outlook.com",RIGHT(B6177,12)="@hotmail.com",RIGHT(B6177,9)="@live.com"),"Outlook","Domain")))</f>
        <v/>
      </c>
      <c r="F6177">
        <f>IF(B6177="","",IFERROR(RIGHT(B6177,LEN(B6177)-FIND("@",B6177)),""))</f>
        <v/>
      </c>
      <c r="G6177">
        <f>IF(D6177="KEEP",COUNTIF($D$2:D6177,"KEEP"),"")</f>
        <v/>
      </c>
      <c r="H6177">
        <f>IF(D6177="REMOVE",COUNTIF($D$2:D6177,"REMOVE"),"")</f>
        <v/>
      </c>
      <c r="I6177">
        <f>IF(E6177="Gmail",COUNTIF($E$2:E6177,"Gmail"),"")</f>
        <v/>
      </c>
      <c r="J6177">
        <f>IF(E6177="Outlook",COUNTIF($E$2:E6177,"Outlook"),"")</f>
        <v/>
      </c>
      <c r="K6177">
        <f>IF(E6177="Domain",COUNTIF($E$2:E6177,"Domain"),"")</f>
        <v/>
      </c>
    </row>
    <row r="6178">
      <c r="A6178" s="2" t="n"/>
      <c r="B6178">
        <f>LOWER(TRIM(A6178))</f>
        <v/>
      </c>
      <c r="C6178">
        <f>IF(B6178="","",IFERROR(INDEX('Bad Patterns'!$A$2:$A$120,MATCH(1,INDEX(--ISNUMBER(SEARCH('Bad Patterns'!$A$2:$A$120,B6178)),0),0)),""))</f>
        <v/>
      </c>
      <c r="D6178">
        <f>IF(B6178="","",IF(C6178&lt;&gt;"","REMOVE","KEEP"))</f>
        <v/>
      </c>
      <c r="E6178">
        <f>IF(D6178&lt;&gt;"KEEP","",IF(RIGHT(B6178,10)="@gmail.com","Gmail",IF(OR(RIGHT(B6178,12)="@outlook.com",RIGHT(B6178,12)="@hotmail.com",RIGHT(B6178,9)="@live.com"),"Outlook","Domain")))</f>
        <v/>
      </c>
      <c r="F6178">
        <f>IF(B6178="","",IFERROR(RIGHT(B6178,LEN(B6178)-FIND("@",B6178)),""))</f>
        <v/>
      </c>
      <c r="G6178">
        <f>IF(D6178="KEEP",COUNTIF($D$2:D6178,"KEEP"),"")</f>
        <v/>
      </c>
      <c r="H6178">
        <f>IF(D6178="REMOVE",COUNTIF($D$2:D6178,"REMOVE"),"")</f>
        <v/>
      </c>
      <c r="I6178">
        <f>IF(E6178="Gmail",COUNTIF($E$2:E6178,"Gmail"),"")</f>
        <v/>
      </c>
      <c r="J6178">
        <f>IF(E6178="Outlook",COUNTIF($E$2:E6178,"Outlook"),"")</f>
        <v/>
      </c>
      <c r="K6178">
        <f>IF(E6178="Domain",COUNTIF($E$2:E6178,"Domain"),"")</f>
        <v/>
      </c>
    </row>
    <row r="6179">
      <c r="A6179" s="2" t="n"/>
      <c r="B6179">
        <f>LOWER(TRIM(A6179))</f>
        <v/>
      </c>
      <c r="C6179">
        <f>IF(B6179="","",IFERROR(INDEX('Bad Patterns'!$A$2:$A$120,MATCH(1,INDEX(--ISNUMBER(SEARCH('Bad Patterns'!$A$2:$A$120,B6179)),0),0)),""))</f>
        <v/>
      </c>
      <c r="D6179">
        <f>IF(B6179="","",IF(C6179&lt;&gt;"","REMOVE","KEEP"))</f>
        <v/>
      </c>
      <c r="E6179">
        <f>IF(D6179&lt;&gt;"KEEP","",IF(RIGHT(B6179,10)="@gmail.com","Gmail",IF(OR(RIGHT(B6179,12)="@outlook.com",RIGHT(B6179,12)="@hotmail.com",RIGHT(B6179,9)="@live.com"),"Outlook","Domain")))</f>
        <v/>
      </c>
      <c r="F6179">
        <f>IF(B6179="","",IFERROR(RIGHT(B6179,LEN(B6179)-FIND("@",B6179)),""))</f>
        <v/>
      </c>
      <c r="G6179">
        <f>IF(D6179="KEEP",COUNTIF($D$2:D6179,"KEEP"),"")</f>
        <v/>
      </c>
      <c r="H6179">
        <f>IF(D6179="REMOVE",COUNTIF($D$2:D6179,"REMOVE"),"")</f>
        <v/>
      </c>
      <c r="I6179">
        <f>IF(E6179="Gmail",COUNTIF($E$2:E6179,"Gmail"),"")</f>
        <v/>
      </c>
      <c r="J6179">
        <f>IF(E6179="Outlook",COUNTIF($E$2:E6179,"Outlook"),"")</f>
        <v/>
      </c>
      <c r="K6179">
        <f>IF(E6179="Domain",COUNTIF($E$2:E6179,"Domain"),"")</f>
        <v/>
      </c>
    </row>
    <row r="6180">
      <c r="A6180" s="2" t="n"/>
      <c r="B6180">
        <f>LOWER(TRIM(A6180))</f>
        <v/>
      </c>
      <c r="C6180">
        <f>IF(B6180="","",IFERROR(INDEX('Bad Patterns'!$A$2:$A$120,MATCH(1,INDEX(--ISNUMBER(SEARCH('Bad Patterns'!$A$2:$A$120,B6180)),0),0)),""))</f>
        <v/>
      </c>
      <c r="D6180">
        <f>IF(B6180="","",IF(C6180&lt;&gt;"","REMOVE","KEEP"))</f>
        <v/>
      </c>
      <c r="E6180">
        <f>IF(D6180&lt;&gt;"KEEP","",IF(RIGHT(B6180,10)="@gmail.com","Gmail",IF(OR(RIGHT(B6180,12)="@outlook.com",RIGHT(B6180,12)="@hotmail.com",RIGHT(B6180,9)="@live.com"),"Outlook","Domain")))</f>
        <v/>
      </c>
      <c r="F6180">
        <f>IF(B6180="","",IFERROR(RIGHT(B6180,LEN(B6180)-FIND("@",B6180)),""))</f>
        <v/>
      </c>
      <c r="G6180">
        <f>IF(D6180="KEEP",COUNTIF($D$2:D6180,"KEEP"),"")</f>
        <v/>
      </c>
      <c r="H6180">
        <f>IF(D6180="REMOVE",COUNTIF($D$2:D6180,"REMOVE"),"")</f>
        <v/>
      </c>
      <c r="I6180">
        <f>IF(E6180="Gmail",COUNTIF($E$2:E6180,"Gmail"),"")</f>
        <v/>
      </c>
      <c r="J6180">
        <f>IF(E6180="Outlook",COUNTIF($E$2:E6180,"Outlook"),"")</f>
        <v/>
      </c>
      <c r="K6180">
        <f>IF(E6180="Domain",COUNTIF($E$2:E6180,"Domain"),"")</f>
        <v/>
      </c>
    </row>
    <row r="6181">
      <c r="A6181" s="2" t="n"/>
      <c r="B6181">
        <f>LOWER(TRIM(A6181))</f>
        <v/>
      </c>
      <c r="C6181">
        <f>IF(B6181="","",IFERROR(INDEX('Bad Patterns'!$A$2:$A$120,MATCH(1,INDEX(--ISNUMBER(SEARCH('Bad Patterns'!$A$2:$A$120,B6181)),0),0)),""))</f>
        <v/>
      </c>
      <c r="D6181">
        <f>IF(B6181="","",IF(C6181&lt;&gt;"","REMOVE","KEEP"))</f>
        <v/>
      </c>
      <c r="E6181">
        <f>IF(D6181&lt;&gt;"KEEP","",IF(RIGHT(B6181,10)="@gmail.com","Gmail",IF(OR(RIGHT(B6181,12)="@outlook.com",RIGHT(B6181,12)="@hotmail.com",RIGHT(B6181,9)="@live.com"),"Outlook","Domain")))</f>
        <v/>
      </c>
      <c r="F6181">
        <f>IF(B6181="","",IFERROR(RIGHT(B6181,LEN(B6181)-FIND("@",B6181)),""))</f>
        <v/>
      </c>
      <c r="G6181">
        <f>IF(D6181="KEEP",COUNTIF($D$2:D6181,"KEEP"),"")</f>
        <v/>
      </c>
      <c r="H6181">
        <f>IF(D6181="REMOVE",COUNTIF($D$2:D6181,"REMOVE"),"")</f>
        <v/>
      </c>
      <c r="I6181">
        <f>IF(E6181="Gmail",COUNTIF($E$2:E6181,"Gmail"),"")</f>
        <v/>
      </c>
      <c r="J6181">
        <f>IF(E6181="Outlook",COUNTIF($E$2:E6181,"Outlook"),"")</f>
        <v/>
      </c>
      <c r="K6181">
        <f>IF(E6181="Domain",COUNTIF($E$2:E6181,"Domain"),"")</f>
        <v/>
      </c>
    </row>
    <row r="6182">
      <c r="A6182" s="2" t="n"/>
      <c r="B6182">
        <f>LOWER(TRIM(A6182))</f>
        <v/>
      </c>
      <c r="C6182">
        <f>IF(B6182="","",IFERROR(INDEX('Bad Patterns'!$A$2:$A$120,MATCH(1,INDEX(--ISNUMBER(SEARCH('Bad Patterns'!$A$2:$A$120,B6182)),0),0)),""))</f>
        <v/>
      </c>
      <c r="D6182">
        <f>IF(B6182="","",IF(C6182&lt;&gt;"","REMOVE","KEEP"))</f>
        <v/>
      </c>
      <c r="E6182">
        <f>IF(D6182&lt;&gt;"KEEP","",IF(RIGHT(B6182,10)="@gmail.com","Gmail",IF(OR(RIGHT(B6182,12)="@outlook.com",RIGHT(B6182,12)="@hotmail.com",RIGHT(B6182,9)="@live.com"),"Outlook","Domain")))</f>
        <v/>
      </c>
      <c r="F6182">
        <f>IF(B6182="","",IFERROR(RIGHT(B6182,LEN(B6182)-FIND("@",B6182)),""))</f>
        <v/>
      </c>
      <c r="G6182">
        <f>IF(D6182="KEEP",COUNTIF($D$2:D6182,"KEEP"),"")</f>
        <v/>
      </c>
      <c r="H6182">
        <f>IF(D6182="REMOVE",COUNTIF($D$2:D6182,"REMOVE"),"")</f>
        <v/>
      </c>
      <c r="I6182">
        <f>IF(E6182="Gmail",COUNTIF($E$2:E6182,"Gmail"),"")</f>
        <v/>
      </c>
      <c r="J6182">
        <f>IF(E6182="Outlook",COUNTIF($E$2:E6182,"Outlook"),"")</f>
        <v/>
      </c>
      <c r="K6182">
        <f>IF(E6182="Domain",COUNTIF($E$2:E6182,"Domain"),"")</f>
        <v/>
      </c>
    </row>
    <row r="6183">
      <c r="A6183" s="2" t="n"/>
      <c r="B6183">
        <f>LOWER(TRIM(A6183))</f>
        <v/>
      </c>
      <c r="C6183">
        <f>IF(B6183="","",IFERROR(INDEX('Bad Patterns'!$A$2:$A$120,MATCH(1,INDEX(--ISNUMBER(SEARCH('Bad Patterns'!$A$2:$A$120,B6183)),0),0)),""))</f>
        <v/>
      </c>
      <c r="D6183">
        <f>IF(B6183="","",IF(C6183&lt;&gt;"","REMOVE","KEEP"))</f>
        <v/>
      </c>
      <c r="E6183">
        <f>IF(D6183&lt;&gt;"KEEP","",IF(RIGHT(B6183,10)="@gmail.com","Gmail",IF(OR(RIGHT(B6183,12)="@outlook.com",RIGHT(B6183,12)="@hotmail.com",RIGHT(B6183,9)="@live.com"),"Outlook","Domain")))</f>
        <v/>
      </c>
      <c r="F6183">
        <f>IF(B6183="","",IFERROR(RIGHT(B6183,LEN(B6183)-FIND("@",B6183)),""))</f>
        <v/>
      </c>
      <c r="G6183">
        <f>IF(D6183="KEEP",COUNTIF($D$2:D6183,"KEEP"),"")</f>
        <v/>
      </c>
      <c r="H6183">
        <f>IF(D6183="REMOVE",COUNTIF($D$2:D6183,"REMOVE"),"")</f>
        <v/>
      </c>
      <c r="I6183">
        <f>IF(E6183="Gmail",COUNTIF($E$2:E6183,"Gmail"),"")</f>
        <v/>
      </c>
      <c r="J6183">
        <f>IF(E6183="Outlook",COUNTIF($E$2:E6183,"Outlook"),"")</f>
        <v/>
      </c>
      <c r="K6183">
        <f>IF(E6183="Domain",COUNTIF($E$2:E6183,"Domain"),"")</f>
        <v/>
      </c>
    </row>
    <row r="6184">
      <c r="A6184" s="2" t="n"/>
      <c r="B6184">
        <f>LOWER(TRIM(A6184))</f>
        <v/>
      </c>
      <c r="C6184">
        <f>IF(B6184="","",IFERROR(INDEX('Bad Patterns'!$A$2:$A$120,MATCH(1,INDEX(--ISNUMBER(SEARCH('Bad Patterns'!$A$2:$A$120,B6184)),0),0)),""))</f>
        <v/>
      </c>
      <c r="D6184">
        <f>IF(B6184="","",IF(C6184&lt;&gt;"","REMOVE","KEEP"))</f>
        <v/>
      </c>
      <c r="E6184">
        <f>IF(D6184&lt;&gt;"KEEP","",IF(RIGHT(B6184,10)="@gmail.com","Gmail",IF(OR(RIGHT(B6184,12)="@outlook.com",RIGHT(B6184,12)="@hotmail.com",RIGHT(B6184,9)="@live.com"),"Outlook","Domain")))</f>
        <v/>
      </c>
      <c r="F6184">
        <f>IF(B6184="","",IFERROR(RIGHT(B6184,LEN(B6184)-FIND("@",B6184)),""))</f>
        <v/>
      </c>
      <c r="G6184">
        <f>IF(D6184="KEEP",COUNTIF($D$2:D6184,"KEEP"),"")</f>
        <v/>
      </c>
      <c r="H6184">
        <f>IF(D6184="REMOVE",COUNTIF($D$2:D6184,"REMOVE"),"")</f>
        <v/>
      </c>
      <c r="I6184">
        <f>IF(E6184="Gmail",COUNTIF($E$2:E6184,"Gmail"),"")</f>
        <v/>
      </c>
      <c r="J6184">
        <f>IF(E6184="Outlook",COUNTIF($E$2:E6184,"Outlook"),"")</f>
        <v/>
      </c>
      <c r="K6184">
        <f>IF(E6184="Domain",COUNTIF($E$2:E6184,"Domain"),"")</f>
        <v/>
      </c>
    </row>
    <row r="6185">
      <c r="A6185" s="2" t="n"/>
      <c r="B6185">
        <f>LOWER(TRIM(A6185))</f>
        <v/>
      </c>
      <c r="C6185">
        <f>IF(B6185="","",IFERROR(INDEX('Bad Patterns'!$A$2:$A$120,MATCH(1,INDEX(--ISNUMBER(SEARCH('Bad Patterns'!$A$2:$A$120,B6185)),0),0)),""))</f>
        <v/>
      </c>
      <c r="D6185">
        <f>IF(B6185="","",IF(C6185&lt;&gt;"","REMOVE","KEEP"))</f>
        <v/>
      </c>
      <c r="E6185">
        <f>IF(D6185&lt;&gt;"KEEP","",IF(RIGHT(B6185,10)="@gmail.com","Gmail",IF(OR(RIGHT(B6185,12)="@outlook.com",RIGHT(B6185,12)="@hotmail.com",RIGHT(B6185,9)="@live.com"),"Outlook","Domain")))</f>
        <v/>
      </c>
      <c r="F6185">
        <f>IF(B6185="","",IFERROR(RIGHT(B6185,LEN(B6185)-FIND("@",B6185)),""))</f>
        <v/>
      </c>
      <c r="G6185">
        <f>IF(D6185="KEEP",COUNTIF($D$2:D6185,"KEEP"),"")</f>
        <v/>
      </c>
      <c r="H6185">
        <f>IF(D6185="REMOVE",COUNTIF($D$2:D6185,"REMOVE"),"")</f>
        <v/>
      </c>
      <c r="I6185">
        <f>IF(E6185="Gmail",COUNTIF($E$2:E6185,"Gmail"),"")</f>
        <v/>
      </c>
      <c r="J6185">
        <f>IF(E6185="Outlook",COUNTIF($E$2:E6185,"Outlook"),"")</f>
        <v/>
      </c>
      <c r="K6185">
        <f>IF(E6185="Domain",COUNTIF($E$2:E6185,"Domain"),"")</f>
        <v/>
      </c>
    </row>
    <row r="6186">
      <c r="A6186" s="2" t="n"/>
      <c r="B6186">
        <f>LOWER(TRIM(A6186))</f>
        <v/>
      </c>
      <c r="C6186">
        <f>IF(B6186="","",IFERROR(INDEX('Bad Patterns'!$A$2:$A$120,MATCH(1,INDEX(--ISNUMBER(SEARCH('Bad Patterns'!$A$2:$A$120,B6186)),0),0)),""))</f>
        <v/>
      </c>
      <c r="D6186">
        <f>IF(B6186="","",IF(C6186&lt;&gt;"","REMOVE","KEEP"))</f>
        <v/>
      </c>
      <c r="E6186">
        <f>IF(D6186&lt;&gt;"KEEP","",IF(RIGHT(B6186,10)="@gmail.com","Gmail",IF(OR(RIGHT(B6186,12)="@outlook.com",RIGHT(B6186,12)="@hotmail.com",RIGHT(B6186,9)="@live.com"),"Outlook","Domain")))</f>
        <v/>
      </c>
      <c r="F6186">
        <f>IF(B6186="","",IFERROR(RIGHT(B6186,LEN(B6186)-FIND("@",B6186)),""))</f>
        <v/>
      </c>
      <c r="G6186">
        <f>IF(D6186="KEEP",COUNTIF($D$2:D6186,"KEEP"),"")</f>
        <v/>
      </c>
      <c r="H6186">
        <f>IF(D6186="REMOVE",COUNTIF($D$2:D6186,"REMOVE"),"")</f>
        <v/>
      </c>
      <c r="I6186">
        <f>IF(E6186="Gmail",COUNTIF($E$2:E6186,"Gmail"),"")</f>
        <v/>
      </c>
      <c r="J6186">
        <f>IF(E6186="Outlook",COUNTIF($E$2:E6186,"Outlook"),"")</f>
        <v/>
      </c>
      <c r="K6186">
        <f>IF(E6186="Domain",COUNTIF($E$2:E6186,"Domain"),"")</f>
        <v/>
      </c>
    </row>
    <row r="6187">
      <c r="A6187" s="2" t="n"/>
      <c r="B6187">
        <f>LOWER(TRIM(A6187))</f>
        <v/>
      </c>
      <c r="C6187">
        <f>IF(B6187="","",IFERROR(INDEX('Bad Patterns'!$A$2:$A$120,MATCH(1,INDEX(--ISNUMBER(SEARCH('Bad Patterns'!$A$2:$A$120,B6187)),0),0)),""))</f>
        <v/>
      </c>
      <c r="D6187">
        <f>IF(B6187="","",IF(C6187&lt;&gt;"","REMOVE","KEEP"))</f>
        <v/>
      </c>
      <c r="E6187">
        <f>IF(D6187&lt;&gt;"KEEP","",IF(RIGHT(B6187,10)="@gmail.com","Gmail",IF(OR(RIGHT(B6187,12)="@outlook.com",RIGHT(B6187,12)="@hotmail.com",RIGHT(B6187,9)="@live.com"),"Outlook","Domain")))</f>
        <v/>
      </c>
      <c r="F6187">
        <f>IF(B6187="","",IFERROR(RIGHT(B6187,LEN(B6187)-FIND("@",B6187)),""))</f>
        <v/>
      </c>
      <c r="G6187">
        <f>IF(D6187="KEEP",COUNTIF($D$2:D6187,"KEEP"),"")</f>
        <v/>
      </c>
      <c r="H6187">
        <f>IF(D6187="REMOVE",COUNTIF($D$2:D6187,"REMOVE"),"")</f>
        <v/>
      </c>
      <c r="I6187">
        <f>IF(E6187="Gmail",COUNTIF($E$2:E6187,"Gmail"),"")</f>
        <v/>
      </c>
      <c r="J6187">
        <f>IF(E6187="Outlook",COUNTIF($E$2:E6187,"Outlook"),"")</f>
        <v/>
      </c>
      <c r="K6187">
        <f>IF(E6187="Domain",COUNTIF($E$2:E6187,"Domain"),"")</f>
        <v/>
      </c>
    </row>
    <row r="6188">
      <c r="A6188" s="2" t="n"/>
      <c r="B6188">
        <f>LOWER(TRIM(A6188))</f>
        <v/>
      </c>
      <c r="C6188">
        <f>IF(B6188="","",IFERROR(INDEX('Bad Patterns'!$A$2:$A$120,MATCH(1,INDEX(--ISNUMBER(SEARCH('Bad Patterns'!$A$2:$A$120,B6188)),0),0)),""))</f>
        <v/>
      </c>
      <c r="D6188">
        <f>IF(B6188="","",IF(C6188&lt;&gt;"","REMOVE","KEEP"))</f>
        <v/>
      </c>
      <c r="E6188">
        <f>IF(D6188&lt;&gt;"KEEP","",IF(RIGHT(B6188,10)="@gmail.com","Gmail",IF(OR(RIGHT(B6188,12)="@outlook.com",RIGHT(B6188,12)="@hotmail.com",RIGHT(B6188,9)="@live.com"),"Outlook","Domain")))</f>
        <v/>
      </c>
      <c r="F6188">
        <f>IF(B6188="","",IFERROR(RIGHT(B6188,LEN(B6188)-FIND("@",B6188)),""))</f>
        <v/>
      </c>
      <c r="G6188">
        <f>IF(D6188="KEEP",COUNTIF($D$2:D6188,"KEEP"),"")</f>
        <v/>
      </c>
      <c r="H6188">
        <f>IF(D6188="REMOVE",COUNTIF($D$2:D6188,"REMOVE"),"")</f>
        <v/>
      </c>
      <c r="I6188">
        <f>IF(E6188="Gmail",COUNTIF($E$2:E6188,"Gmail"),"")</f>
        <v/>
      </c>
      <c r="J6188">
        <f>IF(E6188="Outlook",COUNTIF($E$2:E6188,"Outlook"),"")</f>
        <v/>
      </c>
      <c r="K6188">
        <f>IF(E6188="Domain",COUNTIF($E$2:E6188,"Domain"),"")</f>
        <v/>
      </c>
    </row>
    <row r="6189">
      <c r="A6189" s="2" t="n"/>
      <c r="B6189">
        <f>LOWER(TRIM(A6189))</f>
        <v/>
      </c>
      <c r="C6189">
        <f>IF(B6189="","",IFERROR(INDEX('Bad Patterns'!$A$2:$A$120,MATCH(1,INDEX(--ISNUMBER(SEARCH('Bad Patterns'!$A$2:$A$120,B6189)),0),0)),""))</f>
        <v/>
      </c>
      <c r="D6189">
        <f>IF(B6189="","",IF(C6189&lt;&gt;"","REMOVE","KEEP"))</f>
        <v/>
      </c>
      <c r="E6189">
        <f>IF(D6189&lt;&gt;"KEEP","",IF(RIGHT(B6189,10)="@gmail.com","Gmail",IF(OR(RIGHT(B6189,12)="@outlook.com",RIGHT(B6189,12)="@hotmail.com",RIGHT(B6189,9)="@live.com"),"Outlook","Domain")))</f>
        <v/>
      </c>
      <c r="F6189">
        <f>IF(B6189="","",IFERROR(RIGHT(B6189,LEN(B6189)-FIND("@",B6189)),""))</f>
        <v/>
      </c>
      <c r="G6189">
        <f>IF(D6189="KEEP",COUNTIF($D$2:D6189,"KEEP"),"")</f>
        <v/>
      </c>
      <c r="H6189">
        <f>IF(D6189="REMOVE",COUNTIF($D$2:D6189,"REMOVE"),"")</f>
        <v/>
      </c>
      <c r="I6189">
        <f>IF(E6189="Gmail",COUNTIF($E$2:E6189,"Gmail"),"")</f>
        <v/>
      </c>
      <c r="J6189">
        <f>IF(E6189="Outlook",COUNTIF($E$2:E6189,"Outlook"),"")</f>
        <v/>
      </c>
      <c r="K6189">
        <f>IF(E6189="Domain",COUNTIF($E$2:E6189,"Domain"),"")</f>
        <v/>
      </c>
    </row>
    <row r="6190">
      <c r="A6190" s="2" t="n"/>
      <c r="B6190">
        <f>LOWER(TRIM(A6190))</f>
        <v/>
      </c>
      <c r="C6190">
        <f>IF(B6190="","",IFERROR(INDEX('Bad Patterns'!$A$2:$A$120,MATCH(1,INDEX(--ISNUMBER(SEARCH('Bad Patterns'!$A$2:$A$120,B6190)),0),0)),""))</f>
        <v/>
      </c>
      <c r="D6190">
        <f>IF(B6190="","",IF(C6190&lt;&gt;"","REMOVE","KEEP"))</f>
        <v/>
      </c>
      <c r="E6190">
        <f>IF(D6190&lt;&gt;"KEEP","",IF(RIGHT(B6190,10)="@gmail.com","Gmail",IF(OR(RIGHT(B6190,12)="@outlook.com",RIGHT(B6190,12)="@hotmail.com",RIGHT(B6190,9)="@live.com"),"Outlook","Domain")))</f>
        <v/>
      </c>
      <c r="F6190">
        <f>IF(B6190="","",IFERROR(RIGHT(B6190,LEN(B6190)-FIND("@",B6190)),""))</f>
        <v/>
      </c>
      <c r="G6190">
        <f>IF(D6190="KEEP",COUNTIF($D$2:D6190,"KEEP"),"")</f>
        <v/>
      </c>
      <c r="H6190">
        <f>IF(D6190="REMOVE",COUNTIF($D$2:D6190,"REMOVE"),"")</f>
        <v/>
      </c>
      <c r="I6190">
        <f>IF(E6190="Gmail",COUNTIF($E$2:E6190,"Gmail"),"")</f>
        <v/>
      </c>
      <c r="J6190">
        <f>IF(E6190="Outlook",COUNTIF($E$2:E6190,"Outlook"),"")</f>
        <v/>
      </c>
      <c r="K6190">
        <f>IF(E6190="Domain",COUNTIF($E$2:E6190,"Domain"),"")</f>
        <v/>
      </c>
    </row>
    <row r="6191">
      <c r="A6191" s="2" t="n"/>
      <c r="B6191">
        <f>LOWER(TRIM(A6191))</f>
        <v/>
      </c>
      <c r="C6191">
        <f>IF(B6191="","",IFERROR(INDEX('Bad Patterns'!$A$2:$A$120,MATCH(1,INDEX(--ISNUMBER(SEARCH('Bad Patterns'!$A$2:$A$120,B6191)),0),0)),""))</f>
        <v/>
      </c>
      <c r="D6191">
        <f>IF(B6191="","",IF(C6191&lt;&gt;"","REMOVE","KEEP"))</f>
        <v/>
      </c>
      <c r="E6191">
        <f>IF(D6191&lt;&gt;"KEEP","",IF(RIGHT(B6191,10)="@gmail.com","Gmail",IF(OR(RIGHT(B6191,12)="@outlook.com",RIGHT(B6191,12)="@hotmail.com",RIGHT(B6191,9)="@live.com"),"Outlook","Domain")))</f>
        <v/>
      </c>
      <c r="F6191">
        <f>IF(B6191="","",IFERROR(RIGHT(B6191,LEN(B6191)-FIND("@",B6191)),""))</f>
        <v/>
      </c>
      <c r="G6191">
        <f>IF(D6191="KEEP",COUNTIF($D$2:D6191,"KEEP"),"")</f>
        <v/>
      </c>
      <c r="H6191">
        <f>IF(D6191="REMOVE",COUNTIF($D$2:D6191,"REMOVE"),"")</f>
        <v/>
      </c>
      <c r="I6191">
        <f>IF(E6191="Gmail",COUNTIF($E$2:E6191,"Gmail"),"")</f>
        <v/>
      </c>
      <c r="J6191">
        <f>IF(E6191="Outlook",COUNTIF($E$2:E6191,"Outlook"),"")</f>
        <v/>
      </c>
      <c r="K6191">
        <f>IF(E6191="Domain",COUNTIF($E$2:E6191,"Domain"),"")</f>
        <v/>
      </c>
    </row>
    <row r="6192">
      <c r="A6192" s="2" t="n"/>
      <c r="B6192">
        <f>LOWER(TRIM(A6192))</f>
        <v/>
      </c>
      <c r="C6192">
        <f>IF(B6192="","",IFERROR(INDEX('Bad Patterns'!$A$2:$A$120,MATCH(1,INDEX(--ISNUMBER(SEARCH('Bad Patterns'!$A$2:$A$120,B6192)),0),0)),""))</f>
        <v/>
      </c>
      <c r="D6192">
        <f>IF(B6192="","",IF(C6192&lt;&gt;"","REMOVE","KEEP"))</f>
        <v/>
      </c>
      <c r="E6192">
        <f>IF(D6192&lt;&gt;"KEEP","",IF(RIGHT(B6192,10)="@gmail.com","Gmail",IF(OR(RIGHT(B6192,12)="@outlook.com",RIGHT(B6192,12)="@hotmail.com",RIGHT(B6192,9)="@live.com"),"Outlook","Domain")))</f>
        <v/>
      </c>
      <c r="F6192">
        <f>IF(B6192="","",IFERROR(RIGHT(B6192,LEN(B6192)-FIND("@",B6192)),""))</f>
        <v/>
      </c>
      <c r="G6192">
        <f>IF(D6192="KEEP",COUNTIF($D$2:D6192,"KEEP"),"")</f>
        <v/>
      </c>
      <c r="H6192">
        <f>IF(D6192="REMOVE",COUNTIF($D$2:D6192,"REMOVE"),"")</f>
        <v/>
      </c>
      <c r="I6192">
        <f>IF(E6192="Gmail",COUNTIF($E$2:E6192,"Gmail"),"")</f>
        <v/>
      </c>
      <c r="J6192">
        <f>IF(E6192="Outlook",COUNTIF($E$2:E6192,"Outlook"),"")</f>
        <v/>
      </c>
      <c r="K6192">
        <f>IF(E6192="Domain",COUNTIF($E$2:E6192,"Domain"),"")</f>
        <v/>
      </c>
    </row>
    <row r="6193">
      <c r="A6193" s="2" t="n"/>
      <c r="B6193">
        <f>LOWER(TRIM(A6193))</f>
        <v/>
      </c>
      <c r="C6193">
        <f>IF(B6193="","",IFERROR(INDEX('Bad Patterns'!$A$2:$A$120,MATCH(1,INDEX(--ISNUMBER(SEARCH('Bad Patterns'!$A$2:$A$120,B6193)),0),0)),""))</f>
        <v/>
      </c>
      <c r="D6193">
        <f>IF(B6193="","",IF(C6193&lt;&gt;"","REMOVE","KEEP"))</f>
        <v/>
      </c>
      <c r="E6193">
        <f>IF(D6193&lt;&gt;"KEEP","",IF(RIGHT(B6193,10)="@gmail.com","Gmail",IF(OR(RIGHT(B6193,12)="@outlook.com",RIGHT(B6193,12)="@hotmail.com",RIGHT(B6193,9)="@live.com"),"Outlook","Domain")))</f>
        <v/>
      </c>
      <c r="F6193">
        <f>IF(B6193="","",IFERROR(RIGHT(B6193,LEN(B6193)-FIND("@",B6193)),""))</f>
        <v/>
      </c>
      <c r="G6193">
        <f>IF(D6193="KEEP",COUNTIF($D$2:D6193,"KEEP"),"")</f>
        <v/>
      </c>
      <c r="H6193">
        <f>IF(D6193="REMOVE",COUNTIF($D$2:D6193,"REMOVE"),"")</f>
        <v/>
      </c>
      <c r="I6193">
        <f>IF(E6193="Gmail",COUNTIF($E$2:E6193,"Gmail"),"")</f>
        <v/>
      </c>
      <c r="J6193">
        <f>IF(E6193="Outlook",COUNTIF($E$2:E6193,"Outlook"),"")</f>
        <v/>
      </c>
      <c r="K6193">
        <f>IF(E6193="Domain",COUNTIF($E$2:E6193,"Domain"),"")</f>
        <v/>
      </c>
    </row>
    <row r="6194">
      <c r="A6194" s="2" t="n"/>
      <c r="B6194">
        <f>LOWER(TRIM(A6194))</f>
        <v/>
      </c>
      <c r="C6194">
        <f>IF(B6194="","",IFERROR(INDEX('Bad Patterns'!$A$2:$A$120,MATCH(1,INDEX(--ISNUMBER(SEARCH('Bad Patterns'!$A$2:$A$120,B6194)),0),0)),""))</f>
        <v/>
      </c>
      <c r="D6194">
        <f>IF(B6194="","",IF(C6194&lt;&gt;"","REMOVE","KEEP"))</f>
        <v/>
      </c>
      <c r="E6194">
        <f>IF(D6194&lt;&gt;"KEEP","",IF(RIGHT(B6194,10)="@gmail.com","Gmail",IF(OR(RIGHT(B6194,12)="@outlook.com",RIGHT(B6194,12)="@hotmail.com",RIGHT(B6194,9)="@live.com"),"Outlook","Domain")))</f>
        <v/>
      </c>
      <c r="F6194">
        <f>IF(B6194="","",IFERROR(RIGHT(B6194,LEN(B6194)-FIND("@",B6194)),""))</f>
        <v/>
      </c>
      <c r="G6194">
        <f>IF(D6194="KEEP",COUNTIF($D$2:D6194,"KEEP"),"")</f>
        <v/>
      </c>
      <c r="H6194">
        <f>IF(D6194="REMOVE",COUNTIF($D$2:D6194,"REMOVE"),"")</f>
        <v/>
      </c>
      <c r="I6194">
        <f>IF(E6194="Gmail",COUNTIF($E$2:E6194,"Gmail"),"")</f>
        <v/>
      </c>
      <c r="J6194">
        <f>IF(E6194="Outlook",COUNTIF($E$2:E6194,"Outlook"),"")</f>
        <v/>
      </c>
      <c r="K6194">
        <f>IF(E6194="Domain",COUNTIF($E$2:E6194,"Domain"),"")</f>
        <v/>
      </c>
    </row>
    <row r="6195">
      <c r="A6195" s="2" t="n"/>
      <c r="B6195">
        <f>LOWER(TRIM(A6195))</f>
        <v/>
      </c>
      <c r="C6195">
        <f>IF(B6195="","",IFERROR(INDEX('Bad Patterns'!$A$2:$A$120,MATCH(1,INDEX(--ISNUMBER(SEARCH('Bad Patterns'!$A$2:$A$120,B6195)),0),0)),""))</f>
        <v/>
      </c>
      <c r="D6195">
        <f>IF(B6195="","",IF(C6195&lt;&gt;"","REMOVE","KEEP"))</f>
        <v/>
      </c>
      <c r="E6195">
        <f>IF(D6195&lt;&gt;"KEEP","",IF(RIGHT(B6195,10)="@gmail.com","Gmail",IF(OR(RIGHT(B6195,12)="@outlook.com",RIGHT(B6195,12)="@hotmail.com",RIGHT(B6195,9)="@live.com"),"Outlook","Domain")))</f>
        <v/>
      </c>
      <c r="F6195">
        <f>IF(B6195="","",IFERROR(RIGHT(B6195,LEN(B6195)-FIND("@",B6195)),""))</f>
        <v/>
      </c>
      <c r="G6195">
        <f>IF(D6195="KEEP",COUNTIF($D$2:D6195,"KEEP"),"")</f>
        <v/>
      </c>
      <c r="H6195">
        <f>IF(D6195="REMOVE",COUNTIF($D$2:D6195,"REMOVE"),"")</f>
        <v/>
      </c>
      <c r="I6195">
        <f>IF(E6195="Gmail",COUNTIF($E$2:E6195,"Gmail"),"")</f>
        <v/>
      </c>
      <c r="J6195">
        <f>IF(E6195="Outlook",COUNTIF($E$2:E6195,"Outlook"),"")</f>
        <v/>
      </c>
      <c r="K6195">
        <f>IF(E6195="Domain",COUNTIF($E$2:E6195,"Domain"),"")</f>
        <v/>
      </c>
    </row>
    <row r="6196">
      <c r="A6196" s="2" t="n"/>
      <c r="B6196">
        <f>LOWER(TRIM(A6196))</f>
        <v/>
      </c>
      <c r="C6196">
        <f>IF(B6196="","",IFERROR(INDEX('Bad Patterns'!$A$2:$A$120,MATCH(1,INDEX(--ISNUMBER(SEARCH('Bad Patterns'!$A$2:$A$120,B6196)),0),0)),""))</f>
        <v/>
      </c>
      <c r="D6196">
        <f>IF(B6196="","",IF(C6196&lt;&gt;"","REMOVE","KEEP"))</f>
        <v/>
      </c>
      <c r="E6196">
        <f>IF(D6196&lt;&gt;"KEEP","",IF(RIGHT(B6196,10)="@gmail.com","Gmail",IF(OR(RIGHT(B6196,12)="@outlook.com",RIGHT(B6196,12)="@hotmail.com",RIGHT(B6196,9)="@live.com"),"Outlook","Domain")))</f>
        <v/>
      </c>
      <c r="F6196">
        <f>IF(B6196="","",IFERROR(RIGHT(B6196,LEN(B6196)-FIND("@",B6196)),""))</f>
        <v/>
      </c>
      <c r="G6196">
        <f>IF(D6196="KEEP",COUNTIF($D$2:D6196,"KEEP"),"")</f>
        <v/>
      </c>
      <c r="H6196">
        <f>IF(D6196="REMOVE",COUNTIF($D$2:D6196,"REMOVE"),"")</f>
        <v/>
      </c>
      <c r="I6196">
        <f>IF(E6196="Gmail",COUNTIF($E$2:E6196,"Gmail"),"")</f>
        <v/>
      </c>
      <c r="J6196">
        <f>IF(E6196="Outlook",COUNTIF($E$2:E6196,"Outlook"),"")</f>
        <v/>
      </c>
      <c r="K6196">
        <f>IF(E6196="Domain",COUNTIF($E$2:E6196,"Domain"),"")</f>
        <v/>
      </c>
    </row>
    <row r="6197">
      <c r="A6197" s="2" t="n"/>
      <c r="B6197">
        <f>LOWER(TRIM(A6197))</f>
        <v/>
      </c>
      <c r="C6197">
        <f>IF(B6197="","",IFERROR(INDEX('Bad Patterns'!$A$2:$A$120,MATCH(1,INDEX(--ISNUMBER(SEARCH('Bad Patterns'!$A$2:$A$120,B6197)),0),0)),""))</f>
        <v/>
      </c>
      <c r="D6197">
        <f>IF(B6197="","",IF(C6197&lt;&gt;"","REMOVE","KEEP"))</f>
        <v/>
      </c>
      <c r="E6197">
        <f>IF(D6197&lt;&gt;"KEEP","",IF(RIGHT(B6197,10)="@gmail.com","Gmail",IF(OR(RIGHT(B6197,12)="@outlook.com",RIGHT(B6197,12)="@hotmail.com",RIGHT(B6197,9)="@live.com"),"Outlook","Domain")))</f>
        <v/>
      </c>
      <c r="F6197">
        <f>IF(B6197="","",IFERROR(RIGHT(B6197,LEN(B6197)-FIND("@",B6197)),""))</f>
        <v/>
      </c>
      <c r="G6197">
        <f>IF(D6197="KEEP",COUNTIF($D$2:D6197,"KEEP"),"")</f>
        <v/>
      </c>
      <c r="H6197">
        <f>IF(D6197="REMOVE",COUNTIF($D$2:D6197,"REMOVE"),"")</f>
        <v/>
      </c>
      <c r="I6197">
        <f>IF(E6197="Gmail",COUNTIF($E$2:E6197,"Gmail"),"")</f>
        <v/>
      </c>
      <c r="J6197">
        <f>IF(E6197="Outlook",COUNTIF($E$2:E6197,"Outlook"),"")</f>
        <v/>
      </c>
      <c r="K6197">
        <f>IF(E6197="Domain",COUNTIF($E$2:E6197,"Domain"),"")</f>
        <v/>
      </c>
    </row>
    <row r="6198">
      <c r="A6198" s="2" t="n"/>
      <c r="B6198">
        <f>LOWER(TRIM(A6198))</f>
        <v/>
      </c>
      <c r="C6198">
        <f>IF(B6198="","",IFERROR(INDEX('Bad Patterns'!$A$2:$A$120,MATCH(1,INDEX(--ISNUMBER(SEARCH('Bad Patterns'!$A$2:$A$120,B6198)),0),0)),""))</f>
        <v/>
      </c>
      <c r="D6198">
        <f>IF(B6198="","",IF(C6198&lt;&gt;"","REMOVE","KEEP"))</f>
        <v/>
      </c>
      <c r="E6198">
        <f>IF(D6198&lt;&gt;"KEEP","",IF(RIGHT(B6198,10)="@gmail.com","Gmail",IF(OR(RIGHT(B6198,12)="@outlook.com",RIGHT(B6198,12)="@hotmail.com",RIGHT(B6198,9)="@live.com"),"Outlook","Domain")))</f>
        <v/>
      </c>
      <c r="F6198">
        <f>IF(B6198="","",IFERROR(RIGHT(B6198,LEN(B6198)-FIND("@",B6198)),""))</f>
        <v/>
      </c>
      <c r="G6198">
        <f>IF(D6198="KEEP",COUNTIF($D$2:D6198,"KEEP"),"")</f>
        <v/>
      </c>
      <c r="H6198">
        <f>IF(D6198="REMOVE",COUNTIF($D$2:D6198,"REMOVE"),"")</f>
        <v/>
      </c>
      <c r="I6198">
        <f>IF(E6198="Gmail",COUNTIF($E$2:E6198,"Gmail"),"")</f>
        <v/>
      </c>
      <c r="J6198">
        <f>IF(E6198="Outlook",COUNTIF($E$2:E6198,"Outlook"),"")</f>
        <v/>
      </c>
      <c r="K6198">
        <f>IF(E6198="Domain",COUNTIF($E$2:E6198,"Domain"),"")</f>
        <v/>
      </c>
    </row>
    <row r="6199">
      <c r="A6199" s="2" t="n"/>
      <c r="B6199">
        <f>LOWER(TRIM(A6199))</f>
        <v/>
      </c>
      <c r="C6199">
        <f>IF(B6199="","",IFERROR(INDEX('Bad Patterns'!$A$2:$A$120,MATCH(1,INDEX(--ISNUMBER(SEARCH('Bad Patterns'!$A$2:$A$120,B6199)),0),0)),""))</f>
        <v/>
      </c>
      <c r="D6199">
        <f>IF(B6199="","",IF(C6199&lt;&gt;"","REMOVE","KEEP"))</f>
        <v/>
      </c>
      <c r="E6199">
        <f>IF(D6199&lt;&gt;"KEEP","",IF(RIGHT(B6199,10)="@gmail.com","Gmail",IF(OR(RIGHT(B6199,12)="@outlook.com",RIGHT(B6199,12)="@hotmail.com",RIGHT(B6199,9)="@live.com"),"Outlook","Domain")))</f>
        <v/>
      </c>
      <c r="F6199">
        <f>IF(B6199="","",IFERROR(RIGHT(B6199,LEN(B6199)-FIND("@",B6199)),""))</f>
        <v/>
      </c>
      <c r="G6199">
        <f>IF(D6199="KEEP",COUNTIF($D$2:D6199,"KEEP"),"")</f>
        <v/>
      </c>
      <c r="H6199">
        <f>IF(D6199="REMOVE",COUNTIF($D$2:D6199,"REMOVE"),"")</f>
        <v/>
      </c>
      <c r="I6199">
        <f>IF(E6199="Gmail",COUNTIF($E$2:E6199,"Gmail"),"")</f>
        <v/>
      </c>
      <c r="J6199">
        <f>IF(E6199="Outlook",COUNTIF($E$2:E6199,"Outlook"),"")</f>
        <v/>
      </c>
      <c r="K6199">
        <f>IF(E6199="Domain",COUNTIF($E$2:E6199,"Domain"),"")</f>
        <v/>
      </c>
    </row>
    <row r="6200">
      <c r="A6200" s="2" t="n"/>
      <c r="B6200">
        <f>LOWER(TRIM(A6200))</f>
        <v/>
      </c>
      <c r="C6200">
        <f>IF(B6200="","",IFERROR(INDEX('Bad Patterns'!$A$2:$A$120,MATCH(1,INDEX(--ISNUMBER(SEARCH('Bad Patterns'!$A$2:$A$120,B6200)),0),0)),""))</f>
        <v/>
      </c>
      <c r="D6200">
        <f>IF(B6200="","",IF(C6200&lt;&gt;"","REMOVE","KEEP"))</f>
        <v/>
      </c>
      <c r="E6200">
        <f>IF(D6200&lt;&gt;"KEEP","",IF(RIGHT(B6200,10)="@gmail.com","Gmail",IF(OR(RIGHT(B6200,12)="@outlook.com",RIGHT(B6200,12)="@hotmail.com",RIGHT(B6200,9)="@live.com"),"Outlook","Domain")))</f>
        <v/>
      </c>
      <c r="F6200">
        <f>IF(B6200="","",IFERROR(RIGHT(B6200,LEN(B6200)-FIND("@",B6200)),""))</f>
        <v/>
      </c>
      <c r="G6200">
        <f>IF(D6200="KEEP",COUNTIF($D$2:D6200,"KEEP"),"")</f>
        <v/>
      </c>
      <c r="H6200">
        <f>IF(D6200="REMOVE",COUNTIF($D$2:D6200,"REMOVE"),"")</f>
        <v/>
      </c>
      <c r="I6200">
        <f>IF(E6200="Gmail",COUNTIF($E$2:E6200,"Gmail"),"")</f>
        <v/>
      </c>
      <c r="J6200">
        <f>IF(E6200="Outlook",COUNTIF($E$2:E6200,"Outlook"),"")</f>
        <v/>
      </c>
      <c r="K6200">
        <f>IF(E6200="Domain",COUNTIF($E$2:E6200,"Domain"),"")</f>
        <v/>
      </c>
    </row>
    <row r="6201">
      <c r="A6201" s="2" t="n"/>
      <c r="B6201">
        <f>LOWER(TRIM(A6201))</f>
        <v/>
      </c>
      <c r="C6201">
        <f>IF(B6201="","",IFERROR(INDEX('Bad Patterns'!$A$2:$A$120,MATCH(1,INDEX(--ISNUMBER(SEARCH('Bad Patterns'!$A$2:$A$120,B6201)),0),0)),""))</f>
        <v/>
      </c>
      <c r="D6201">
        <f>IF(B6201="","",IF(C6201&lt;&gt;"","REMOVE","KEEP"))</f>
        <v/>
      </c>
      <c r="E6201">
        <f>IF(D6201&lt;&gt;"KEEP","",IF(RIGHT(B6201,10)="@gmail.com","Gmail",IF(OR(RIGHT(B6201,12)="@outlook.com",RIGHT(B6201,12)="@hotmail.com",RIGHT(B6201,9)="@live.com"),"Outlook","Domain")))</f>
        <v/>
      </c>
      <c r="F6201">
        <f>IF(B6201="","",IFERROR(RIGHT(B6201,LEN(B6201)-FIND("@",B6201)),""))</f>
        <v/>
      </c>
      <c r="G6201">
        <f>IF(D6201="KEEP",COUNTIF($D$2:D6201,"KEEP"),"")</f>
        <v/>
      </c>
      <c r="H6201">
        <f>IF(D6201="REMOVE",COUNTIF($D$2:D6201,"REMOVE"),"")</f>
        <v/>
      </c>
      <c r="I6201">
        <f>IF(E6201="Gmail",COUNTIF($E$2:E6201,"Gmail"),"")</f>
        <v/>
      </c>
      <c r="J6201">
        <f>IF(E6201="Outlook",COUNTIF($E$2:E6201,"Outlook"),"")</f>
        <v/>
      </c>
      <c r="K6201">
        <f>IF(E6201="Domain",COUNTIF($E$2:E6201,"Domain"),"")</f>
        <v/>
      </c>
    </row>
    <row r="6202">
      <c r="A6202" s="2" t="n"/>
      <c r="B6202">
        <f>LOWER(TRIM(A6202))</f>
        <v/>
      </c>
      <c r="C6202">
        <f>IF(B6202="","",IFERROR(INDEX('Bad Patterns'!$A$2:$A$120,MATCH(1,INDEX(--ISNUMBER(SEARCH('Bad Patterns'!$A$2:$A$120,B6202)),0),0)),""))</f>
        <v/>
      </c>
      <c r="D6202">
        <f>IF(B6202="","",IF(C6202&lt;&gt;"","REMOVE","KEEP"))</f>
        <v/>
      </c>
      <c r="E6202">
        <f>IF(D6202&lt;&gt;"KEEP","",IF(RIGHT(B6202,10)="@gmail.com","Gmail",IF(OR(RIGHT(B6202,12)="@outlook.com",RIGHT(B6202,12)="@hotmail.com",RIGHT(B6202,9)="@live.com"),"Outlook","Domain")))</f>
        <v/>
      </c>
      <c r="F6202">
        <f>IF(B6202="","",IFERROR(RIGHT(B6202,LEN(B6202)-FIND("@",B6202)),""))</f>
        <v/>
      </c>
      <c r="G6202">
        <f>IF(D6202="KEEP",COUNTIF($D$2:D6202,"KEEP"),"")</f>
        <v/>
      </c>
      <c r="H6202">
        <f>IF(D6202="REMOVE",COUNTIF($D$2:D6202,"REMOVE"),"")</f>
        <v/>
      </c>
      <c r="I6202">
        <f>IF(E6202="Gmail",COUNTIF($E$2:E6202,"Gmail"),"")</f>
        <v/>
      </c>
      <c r="J6202">
        <f>IF(E6202="Outlook",COUNTIF($E$2:E6202,"Outlook"),"")</f>
        <v/>
      </c>
      <c r="K6202">
        <f>IF(E6202="Domain",COUNTIF($E$2:E6202,"Domain"),"")</f>
        <v/>
      </c>
    </row>
    <row r="6203">
      <c r="A6203" s="2" t="n"/>
      <c r="B6203">
        <f>LOWER(TRIM(A6203))</f>
        <v/>
      </c>
      <c r="C6203">
        <f>IF(B6203="","",IFERROR(INDEX('Bad Patterns'!$A$2:$A$120,MATCH(1,INDEX(--ISNUMBER(SEARCH('Bad Patterns'!$A$2:$A$120,B6203)),0),0)),""))</f>
        <v/>
      </c>
      <c r="D6203">
        <f>IF(B6203="","",IF(C6203&lt;&gt;"","REMOVE","KEEP"))</f>
        <v/>
      </c>
      <c r="E6203">
        <f>IF(D6203&lt;&gt;"KEEP","",IF(RIGHT(B6203,10)="@gmail.com","Gmail",IF(OR(RIGHT(B6203,12)="@outlook.com",RIGHT(B6203,12)="@hotmail.com",RIGHT(B6203,9)="@live.com"),"Outlook","Domain")))</f>
        <v/>
      </c>
      <c r="F6203">
        <f>IF(B6203="","",IFERROR(RIGHT(B6203,LEN(B6203)-FIND("@",B6203)),""))</f>
        <v/>
      </c>
      <c r="G6203">
        <f>IF(D6203="KEEP",COUNTIF($D$2:D6203,"KEEP"),"")</f>
        <v/>
      </c>
      <c r="H6203">
        <f>IF(D6203="REMOVE",COUNTIF($D$2:D6203,"REMOVE"),"")</f>
        <v/>
      </c>
      <c r="I6203">
        <f>IF(E6203="Gmail",COUNTIF($E$2:E6203,"Gmail"),"")</f>
        <v/>
      </c>
      <c r="J6203">
        <f>IF(E6203="Outlook",COUNTIF($E$2:E6203,"Outlook"),"")</f>
        <v/>
      </c>
      <c r="K6203">
        <f>IF(E6203="Domain",COUNTIF($E$2:E6203,"Domain"),"")</f>
        <v/>
      </c>
    </row>
    <row r="6204">
      <c r="A6204" s="2" t="n"/>
      <c r="B6204">
        <f>LOWER(TRIM(A6204))</f>
        <v/>
      </c>
      <c r="C6204">
        <f>IF(B6204="","",IFERROR(INDEX('Bad Patterns'!$A$2:$A$120,MATCH(1,INDEX(--ISNUMBER(SEARCH('Bad Patterns'!$A$2:$A$120,B6204)),0),0)),""))</f>
        <v/>
      </c>
      <c r="D6204">
        <f>IF(B6204="","",IF(C6204&lt;&gt;"","REMOVE","KEEP"))</f>
        <v/>
      </c>
      <c r="E6204">
        <f>IF(D6204&lt;&gt;"KEEP","",IF(RIGHT(B6204,10)="@gmail.com","Gmail",IF(OR(RIGHT(B6204,12)="@outlook.com",RIGHT(B6204,12)="@hotmail.com",RIGHT(B6204,9)="@live.com"),"Outlook","Domain")))</f>
        <v/>
      </c>
      <c r="F6204">
        <f>IF(B6204="","",IFERROR(RIGHT(B6204,LEN(B6204)-FIND("@",B6204)),""))</f>
        <v/>
      </c>
      <c r="G6204">
        <f>IF(D6204="KEEP",COUNTIF($D$2:D6204,"KEEP"),"")</f>
        <v/>
      </c>
      <c r="H6204">
        <f>IF(D6204="REMOVE",COUNTIF($D$2:D6204,"REMOVE"),"")</f>
        <v/>
      </c>
      <c r="I6204">
        <f>IF(E6204="Gmail",COUNTIF($E$2:E6204,"Gmail"),"")</f>
        <v/>
      </c>
      <c r="J6204">
        <f>IF(E6204="Outlook",COUNTIF($E$2:E6204,"Outlook"),"")</f>
        <v/>
      </c>
      <c r="K6204">
        <f>IF(E6204="Domain",COUNTIF($E$2:E6204,"Domain"),"")</f>
        <v/>
      </c>
    </row>
    <row r="6205">
      <c r="A6205" s="2" t="n"/>
      <c r="B6205">
        <f>LOWER(TRIM(A6205))</f>
        <v/>
      </c>
      <c r="C6205">
        <f>IF(B6205="","",IFERROR(INDEX('Bad Patterns'!$A$2:$A$120,MATCH(1,INDEX(--ISNUMBER(SEARCH('Bad Patterns'!$A$2:$A$120,B6205)),0),0)),""))</f>
        <v/>
      </c>
      <c r="D6205">
        <f>IF(B6205="","",IF(C6205&lt;&gt;"","REMOVE","KEEP"))</f>
        <v/>
      </c>
      <c r="E6205">
        <f>IF(D6205&lt;&gt;"KEEP","",IF(RIGHT(B6205,10)="@gmail.com","Gmail",IF(OR(RIGHT(B6205,12)="@outlook.com",RIGHT(B6205,12)="@hotmail.com",RIGHT(B6205,9)="@live.com"),"Outlook","Domain")))</f>
        <v/>
      </c>
      <c r="F6205">
        <f>IF(B6205="","",IFERROR(RIGHT(B6205,LEN(B6205)-FIND("@",B6205)),""))</f>
        <v/>
      </c>
      <c r="G6205">
        <f>IF(D6205="KEEP",COUNTIF($D$2:D6205,"KEEP"),"")</f>
        <v/>
      </c>
      <c r="H6205">
        <f>IF(D6205="REMOVE",COUNTIF($D$2:D6205,"REMOVE"),"")</f>
        <v/>
      </c>
      <c r="I6205">
        <f>IF(E6205="Gmail",COUNTIF($E$2:E6205,"Gmail"),"")</f>
        <v/>
      </c>
      <c r="J6205">
        <f>IF(E6205="Outlook",COUNTIF($E$2:E6205,"Outlook"),"")</f>
        <v/>
      </c>
      <c r="K6205">
        <f>IF(E6205="Domain",COUNTIF($E$2:E6205,"Domain"),"")</f>
        <v/>
      </c>
    </row>
    <row r="6206">
      <c r="A6206" s="2" t="n"/>
      <c r="B6206">
        <f>LOWER(TRIM(A6206))</f>
        <v/>
      </c>
      <c r="C6206">
        <f>IF(B6206="","",IFERROR(INDEX('Bad Patterns'!$A$2:$A$120,MATCH(1,INDEX(--ISNUMBER(SEARCH('Bad Patterns'!$A$2:$A$120,B6206)),0),0)),""))</f>
        <v/>
      </c>
      <c r="D6206">
        <f>IF(B6206="","",IF(C6206&lt;&gt;"","REMOVE","KEEP"))</f>
        <v/>
      </c>
      <c r="E6206">
        <f>IF(D6206&lt;&gt;"KEEP","",IF(RIGHT(B6206,10)="@gmail.com","Gmail",IF(OR(RIGHT(B6206,12)="@outlook.com",RIGHT(B6206,12)="@hotmail.com",RIGHT(B6206,9)="@live.com"),"Outlook","Domain")))</f>
        <v/>
      </c>
      <c r="F6206">
        <f>IF(B6206="","",IFERROR(RIGHT(B6206,LEN(B6206)-FIND("@",B6206)),""))</f>
        <v/>
      </c>
      <c r="G6206">
        <f>IF(D6206="KEEP",COUNTIF($D$2:D6206,"KEEP"),"")</f>
        <v/>
      </c>
      <c r="H6206">
        <f>IF(D6206="REMOVE",COUNTIF($D$2:D6206,"REMOVE"),"")</f>
        <v/>
      </c>
      <c r="I6206">
        <f>IF(E6206="Gmail",COUNTIF($E$2:E6206,"Gmail"),"")</f>
        <v/>
      </c>
      <c r="J6206">
        <f>IF(E6206="Outlook",COUNTIF($E$2:E6206,"Outlook"),"")</f>
        <v/>
      </c>
      <c r="K6206">
        <f>IF(E6206="Domain",COUNTIF($E$2:E6206,"Domain"),"")</f>
        <v/>
      </c>
    </row>
    <row r="6207">
      <c r="A6207" s="2" t="n"/>
      <c r="B6207">
        <f>LOWER(TRIM(A6207))</f>
        <v/>
      </c>
      <c r="C6207">
        <f>IF(B6207="","",IFERROR(INDEX('Bad Patterns'!$A$2:$A$120,MATCH(1,INDEX(--ISNUMBER(SEARCH('Bad Patterns'!$A$2:$A$120,B6207)),0),0)),""))</f>
        <v/>
      </c>
      <c r="D6207">
        <f>IF(B6207="","",IF(C6207&lt;&gt;"","REMOVE","KEEP"))</f>
        <v/>
      </c>
      <c r="E6207">
        <f>IF(D6207&lt;&gt;"KEEP","",IF(RIGHT(B6207,10)="@gmail.com","Gmail",IF(OR(RIGHT(B6207,12)="@outlook.com",RIGHT(B6207,12)="@hotmail.com",RIGHT(B6207,9)="@live.com"),"Outlook","Domain")))</f>
        <v/>
      </c>
      <c r="F6207">
        <f>IF(B6207="","",IFERROR(RIGHT(B6207,LEN(B6207)-FIND("@",B6207)),""))</f>
        <v/>
      </c>
      <c r="G6207">
        <f>IF(D6207="KEEP",COUNTIF($D$2:D6207,"KEEP"),"")</f>
        <v/>
      </c>
      <c r="H6207">
        <f>IF(D6207="REMOVE",COUNTIF($D$2:D6207,"REMOVE"),"")</f>
        <v/>
      </c>
      <c r="I6207">
        <f>IF(E6207="Gmail",COUNTIF($E$2:E6207,"Gmail"),"")</f>
        <v/>
      </c>
      <c r="J6207">
        <f>IF(E6207="Outlook",COUNTIF($E$2:E6207,"Outlook"),"")</f>
        <v/>
      </c>
      <c r="K6207">
        <f>IF(E6207="Domain",COUNTIF($E$2:E6207,"Domain"),"")</f>
        <v/>
      </c>
    </row>
    <row r="6208">
      <c r="A6208" s="2" t="n"/>
      <c r="B6208">
        <f>LOWER(TRIM(A6208))</f>
        <v/>
      </c>
      <c r="C6208">
        <f>IF(B6208="","",IFERROR(INDEX('Bad Patterns'!$A$2:$A$120,MATCH(1,INDEX(--ISNUMBER(SEARCH('Bad Patterns'!$A$2:$A$120,B6208)),0),0)),""))</f>
        <v/>
      </c>
      <c r="D6208">
        <f>IF(B6208="","",IF(C6208&lt;&gt;"","REMOVE","KEEP"))</f>
        <v/>
      </c>
      <c r="E6208">
        <f>IF(D6208&lt;&gt;"KEEP","",IF(RIGHT(B6208,10)="@gmail.com","Gmail",IF(OR(RIGHT(B6208,12)="@outlook.com",RIGHT(B6208,12)="@hotmail.com",RIGHT(B6208,9)="@live.com"),"Outlook","Domain")))</f>
        <v/>
      </c>
      <c r="F6208">
        <f>IF(B6208="","",IFERROR(RIGHT(B6208,LEN(B6208)-FIND("@",B6208)),""))</f>
        <v/>
      </c>
      <c r="G6208">
        <f>IF(D6208="KEEP",COUNTIF($D$2:D6208,"KEEP"),"")</f>
        <v/>
      </c>
      <c r="H6208">
        <f>IF(D6208="REMOVE",COUNTIF($D$2:D6208,"REMOVE"),"")</f>
        <v/>
      </c>
      <c r="I6208">
        <f>IF(E6208="Gmail",COUNTIF($E$2:E6208,"Gmail"),"")</f>
        <v/>
      </c>
      <c r="J6208">
        <f>IF(E6208="Outlook",COUNTIF($E$2:E6208,"Outlook"),"")</f>
        <v/>
      </c>
      <c r="K6208">
        <f>IF(E6208="Domain",COUNTIF($E$2:E6208,"Domain"),"")</f>
        <v/>
      </c>
    </row>
    <row r="6209">
      <c r="A6209" s="2" t="n"/>
      <c r="B6209">
        <f>LOWER(TRIM(A6209))</f>
        <v/>
      </c>
      <c r="C6209">
        <f>IF(B6209="","",IFERROR(INDEX('Bad Patterns'!$A$2:$A$120,MATCH(1,INDEX(--ISNUMBER(SEARCH('Bad Patterns'!$A$2:$A$120,B6209)),0),0)),""))</f>
        <v/>
      </c>
      <c r="D6209">
        <f>IF(B6209="","",IF(C6209&lt;&gt;"","REMOVE","KEEP"))</f>
        <v/>
      </c>
      <c r="E6209">
        <f>IF(D6209&lt;&gt;"KEEP","",IF(RIGHT(B6209,10)="@gmail.com","Gmail",IF(OR(RIGHT(B6209,12)="@outlook.com",RIGHT(B6209,12)="@hotmail.com",RIGHT(B6209,9)="@live.com"),"Outlook","Domain")))</f>
        <v/>
      </c>
      <c r="F6209">
        <f>IF(B6209="","",IFERROR(RIGHT(B6209,LEN(B6209)-FIND("@",B6209)),""))</f>
        <v/>
      </c>
      <c r="G6209">
        <f>IF(D6209="KEEP",COUNTIF($D$2:D6209,"KEEP"),"")</f>
        <v/>
      </c>
      <c r="H6209">
        <f>IF(D6209="REMOVE",COUNTIF($D$2:D6209,"REMOVE"),"")</f>
        <v/>
      </c>
      <c r="I6209">
        <f>IF(E6209="Gmail",COUNTIF($E$2:E6209,"Gmail"),"")</f>
        <v/>
      </c>
      <c r="J6209">
        <f>IF(E6209="Outlook",COUNTIF($E$2:E6209,"Outlook"),"")</f>
        <v/>
      </c>
      <c r="K6209">
        <f>IF(E6209="Domain",COUNTIF($E$2:E6209,"Domain"),"")</f>
        <v/>
      </c>
    </row>
    <row r="6210">
      <c r="A6210" s="2" t="n"/>
      <c r="B6210">
        <f>LOWER(TRIM(A6210))</f>
        <v/>
      </c>
      <c r="C6210">
        <f>IF(B6210="","",IFERROR(INDEX('Bad Patterns'!$A$2:$A$120,MATCH(1,INDEX(--ISNUMBER(SEARCH('Bad Patterns'!$A$2:$A$120,B6210)),0),0)),""))</f>
        <v/>
      </c>
      <c r="D6210">
        <f>IF(B6210="","",IF(C6210&lt;&gt;"","REMOVE","KEEP"))</f>
        <v/>
      </c>
      <c r="E6210">
        <f>IF(D6210&lt;&gt;"KEEP","",IF(RIGHT(B6210,10)="@gmail.com","Gmail",IF(OR(RIGHT(B6210,12)="@outlook.com",RIGHT(B6210,12)="@hotmail.com",RIGHT(B6210,9)="@live.com"),"Outlook","Domain")))</f>
        <v/>
      </c>
      <c r="F6210">
        <f>IF(B6210="","",IFERROR(RIGHT(B6210,LEN(B6210)-FIND("@",B6210)),""))</f>
        <v/>
      </c>
      <c r="G6210">
        <f>IF(D6210="KEEP",COUNTIF($D$2:D6210,"KEEP"),"")</f>
        <v/>
      </c>
      <c r="H6210">
        <f>IF(D6210="REMOVE",COUNTIF($D$2:D6210,"REMOVE"),"")</f>
        <v/>
      </c>
      <c r="I6210">
        <f>IF(E6210="Gmail",COUNTIF($E$2:E6210,"Gmail"),"")</f>
        <v/>
      </c>
      <c r="J6210">
        <f>IF(E6210="Outlook",COUNTIF($E$2:E6210,"Outlook"),"")</f>
        <v/>
      </c>
      <c r="K6210">
        <f>IF(E6210="Domain",COUNTIF($E$2:E6210,"Domain"),"")</f>
        <v/>
      </c>
    </row>
    <row r="6211">
      <c r="A6211" s="2" t="n"/>
      <c r="B6211">
        <f>LOWER(TRIM(A6211))</f>
        <v/>
      </c>
      <c r="C6211">
        <f>IF(B6211="","",IFERROR(INDEX('Bad Patterns'!$A$2:$A$120,MATCH(1,INDEX(--ISNUMBER(SEARCH('Bad Patterns'!$A$2:$A$120,B6211)),0),0)),""))</f>
        <v/>
      </c>
      <c r="D6211">
        <f>IF(B6211="","",IF(C6211&lt;&gt;"","REMOVE","KEEP"))</f>
        <v/>
      </c>
      <c r="E6211">
        <f>IF(D6211&lt;&gt;"KEEP","",IF(RIGHT(B6211,10)="@gmail.com","Gmail",IF(OR(RIGHT(B6211,12)="@outlook.com",RIGHT(B6211,12)="@hotmail.com",RIGHT(B6211,9)="@live.com"),"Outlook","Domain")))</f>
        <v/>
      </c>
      <c r="F6211">
        <f>IF(B6211="","",IFERROR(RIGHT(B6211,LEN(B6211)-FIND("@",B6211)),""))</f>
        <v/>
      </c>
      <c r="G6211">
        <f>IF(D6211="KEEP",COUNTIF($D$2:D6211,"KEEP"),"")</f>
        <v/>
      </c>
      <c r="H6211">
        <f>IF(D6211="REMOVE",COUNTIF($D$2:D6211,"REMOVE"),"")</f>
        <v/>
      </c>
      <c r="I6211">
        <f>IF(E6211="Gmail",COUNTIF($E$2:E6211,"Gmail"),"")</f>
        <v/>
      </c>
      <c r="J6211">
        <f>IF(E6211="Outlook",COUNTIF($E$2:E6211,"Outlook"),"")</f>
        <v/>
      </c>
      <c r="K6211">
        <f>IF(E6211="Domain",COUNTIF($E$2:E6211,"Domain"),"")</f>
        <v/>
      </c>
    </row>
    <row r="6212">
      <c r="A6212" s="2" t="n"/>
      <c r="B6212">
        <f>LOWER(TRIM(A6212))</f>
        <v/>
      </c>
      <c r="C6212">
        <f>IF(B6212="","",IFERROR(INDEX('Bad Patterns'!$A$2:$A$120,MATCH(1,INDEX(--ISNUMBER(SEARCH('Bad Patterns'!$A$2:$A$120,B6212)),0),0)),""))</f>
        <v/>
      </c>
      <c r="D6212">
        <f>IF(B6212="","",IF(C6212&lt;&gt;"","REMOVE","KEEP"))</f>
        <v/>
      </c>
      <c r="E6212">
        <f>IF(D6212&lt;&gt;"KEEP","",IF(RIGHT(B6212,10)="@gmail.com","Gmail",IF(OR(RIGHT(B6212,12)="@outlook.com",RIGHT(B6212,12)="@hotmail.com",RIGHT(B6212,9)="@live.com"),"Outlook","Domain")))</f>
        <v/>
      </c>
      <c r="F6212">
        <f>IF(B6212="","",IFERROR(RIGHT(B6212,LEN(B6212)-FIND("@",B6212)),""))</f>
        <v/>
      </c>
      <c r="G6212">
        <f>IF(D6212="KEEP",COUNTIF($D$2:D6212,"KEEP"),"")</f>
        <v/>
      </c>
      <c r="H6212">
        <f>IF(D6212="REMOVE",COUNTIF($D$2:D6212,"REMOVE"),"")</f>
        <v/>
      </c>
      <c r="I6212">
        <f>IF(E6212="Gmail",COUNTIF($E$2:E6212,"Gmail"),"")</f>
        <v/>
      </c>
      <c r="J6212">
        <f>IF(E6212="Outlook",COUNTIF($E$2:E6212,"Outlook"),"")</f>
        <v/>
      </c>
      <c r="K6212">
        <f>IF(E6212="Domain",COUNTIF($E$2:E6212,"Domain"),"")</f>
        <v/>
      </c>
    </row>
    <row r="6213">
      <c r="A6213" s="2" t="n"/>
      <c r="B6213">
        <f>LOWER(TRIM(A6213))</f>
        <v/>
      </c>
      <c r="C6213">
        <f>IF(B6213="","",IFERROR(INDEX('Bad Patterns'!$A$2:$A$120,MATCH(1,INDEX(--ISNUMBER(SEARCH('Bad Patterns'!$A$2:$A$120,B6213)),0),0)),""))</f>
        <v/>
      </c>
      <c r="D6213">
        <f>IF(B6213="","",IF(C6213&lt;&gt;"","REMOVE","KEEP"))</f>
        <v/>
      </c>
      <c r="E6213">
        <f>IF(D6213&lt;&gt;"KEEP","",IF(RIGHT(B6213,10)="@gmail.com","Gmail",IF(OR(RIGHT(B6213,12)="@outlook.com",RIGHT(B6213,12)="@hotmail.com",RIGHT(B6213,9)="@live.com"),"Outlook","Domain")))</f>
        <v/>
      </c>
      <c r="F6213">
        <f>IF(B6213="","",IFERROR(RIGHT(B6213,LEN(B6213)-FIND("@",B6213)),""))</f>
        <v/>
      </c>
      <c r="G6213">
        <f>IF(D6213="KEEP",COUNTIF($D$2:D6213,"KEEP"),"")</f>
        <v/>
      </c>
      <c r="H6213">
        <f>IF(D6213="REMOVE",COUNTIF($D$2:D6213,"REMOVE"),"")</f>
        <v/>
      </c>
      <c r="I6213">
        <f>IF(E6213="Gmail",COUNTIF($E$2:E6213,"Gmail"),"")</f>
        <v/>
      </c>
      <c r="J6213">
        <f>IF(E6213="Outlook",COUNTIF($E$2:E6213,"Outlook"),"")</f>
        <v/>
      </c>
      <c r="K6213">
        <f>IF(E6213="Domain",COUNTIF($E$2:E6213,"Domain"),"")</f>
        <v/>
      </c>
    </row>
    <row r="6214">
      <c r="A6214" s="2" t="n"/>
      <c r="B6214">
        <f>LOWER(TRIM(A6214))</f>
        <v/>
      </c>
      <c r="C6214">
        <f>IF(B6214="","",IFERROR(INDEX('Bad Patterns'!$A$2:$A$120,MATCH(1,INDEX(--ISNUMBER(SEARCH('Bad Patterns'!$A$2:$A$120,B6214)),0),0)),""))</f>
        <v/>
      </c>
      <c r="D6214">
        <f>IF(B6214="","",IF(C6214&lt;&gt;"","REMOVE","KEEP"))</f>
        <v/>
      </c>
      <c r="E6214">
        <f>IF(D6214&lt;&gt;"KEEP","",IF(RIGHT(B6214,10)="@gmail.com","Gmail",IF(OR(RIGHT(B6214,12)="@outlook.com",RIGHT(B6214,12)="@hotmail.com",RIGHT(B6214,9)="@live.com"),"Outlook","Domain")))</f>
        <v/>
      </c>
      <c r="F6214">
        <f>IF(B6214="","",IFERROR(RIGHT(B6214,LEN(B6214)-FIND("@",B6214)),""))</f>
        <v/>
      </c>
      <c r="G6214">
        <f>IF(D6214="KEEP",COUNTIF($D$2:D6214,"KEEP"),"")</f>
        <v/>
      </c>
      <c r="H6214">
        <f>IF(D6214="REMOVE",COUNTIF($D$2:D6214,"REMOVE"),"")</f>
        <v/>
      </c>
      <c r="I6214">
        <f>IF(E6214="Gmail",COUNTIF($E$2:E6214,"Gmail"),"")</f>
        <v/>
      </c>
      <c r="J6214">
        <f>IF(E6214="Outlook",COUNTIF($E$2:E6214,"Outlook"),"")</f>
        <v/>
      </c>
      <c r="K6214">
        <f>IF(E6214="Domain",COUNTIF($E$2:E6214,"Domain"),"")</f>
        <v/>
      </c>
    </row>
    <row r="6215">
      <c r="A6215" s="2" t="n"/>
      <c r="B6215">
        <f>LOWER(TRIM(A6215))</f>
        <v/>
      </c>
      <c r="C6215">
        <f>IF(B6215="","",IFERROR(INDEX('Bad Patterns'!$A$2:$A$120,MATCH(1,INDEX(--ISNUMBER(SEARCH('Bad Patterns'!$A$2:$A$120,B6215)),0),0)),""))</f>
        <v/>
      </c>
      <c r="D6215">
        <f>IF(B6215="","",IF(C6215&lt;&gt;"","REMOVE","KEEP"))</f>
        <v/>
      </c>
      <c r="E6215">
        <f>IF(D6215&lt;&gt;"KEEP","",IF(RIGHT(B6215,10)="@gmail.com","Gmail",IF(OR(RIGHT(B6215,12)="@outlook.com",RIGHT(B6215,12)="@hotmail.com",RIGHT(B6215,9)="@live.com"),"Outlook","Domain")))</f>
        <v/>
      </c>
      <c r="F6215">
        <f>IF(B6215="","",IFERROR(RIGHT(B6215,LEN(B6215)-FIND("@",B6215)),""))</f>
        <v/>
      </c>
      <c r="G6215">
        <f>IF(D6215="KEEP",COUNTIF($D$2:D6215,"KEEP"),"")</f>
        <v/>
      </c>
      <c r="H6215">
        <f>IF(D6215="REMOVE",COUNTIF($D$2:D6215,"REMOVE"),"")</f>
        <v/>
      </c>
      <c r="I6215">
        <f>IF(E6215="Gmail",COUNTIF($E$2:E6215,"Gmail"),"")</f>
        <v/>
      </c>
      <c r="J6215">
        <f>IF(E6215="Outlook",COUNTIF($E$2:E6215,"Outlook"),"")</f>
        <v/>
      </c>
      <c r="K6215">
        <f>IF(E6215="Domain",COUNTIF($E$2:E6215,"Domain"),"")</f>
        <v/>
      </c>
    </row>
    <row r="6216">
      <c r="A6216" s="2" t="n"/>
      <c r="B6216">
        <f>LOWER(TRIM(A6216))</f>
        <v/>
      </c>
      <c r="C6216">
        <f>IF(B6216="","",IFERROR(INDEX('Bad Patterns'!$A$2:$A$120,MATCH(1,INDEX(--ISNUMBER(SEARCH('Bad Patterns'!$A$2:$A$120,B6216)),0),0)),""))</f>
        <v/>
      </c>
      <c r="D6216">
        <f>IF(B6216="","",IF(C6216&lt;&gt;"","REMOVE","KEEP"))</f>
        <v/>
      </c>
      <c r="E6216">
        <f>IF(D6216&lt;&gt;"KEEP","",IF(RIGHT(B6216,10)="@gmail.com","Gmail",IF(OR(RIGHT(B6216,12)="@outlook.com",RIGHT(B6216,12)="@hotmail.com",RIGHT(B6216,9)="@live.com"),"Outlook","Domain")))</f>
        <v/>
      </c>
      <c r="F6216">
        <f>IF(B6216="","",IFERROR(RIGHT(B6216,LEN(B6216)-FIND("@",B6216)),""))</f>
        <v/>
      </c>
      <c r="G6216">
        <f>IF(D6216="KEEP",COUNTIF($D$2:D6216,"KEEP"),"")</f>
        <v/>
      </c>
      <c r="H6216">
        <f>IF(D6216="REMOVE",COUNTIF($D$2:D6216,"REMOVE"),"")</f>
        <v/>
      </c>
      <c r="I6216">
        <f>IF(E6216="Gmail",COUNTIF($E$2:E6216,"Gmail"),"")</f>
        <v/>
      </c>
      <c r="J6216">
        <f>IF(E6216="Outlook",COUNTIF($E$2:E6216,"Outlook"),"")</f>
        <v/>
      </c>
      <c r="K6216">
        <f>IF(E6216="Domain",COUNTIF($E$2:E6216,"Domain"),"")</f>
        <v/>
      </c>
    </row>
    <row r="6217">
      <c r="A6217" s="2" t="n"/>
      <c r="B6217">
        <f>LOWER(TRIM(A6217))</f>
        <v/>
      </c>
      <c r="C6217">
        <f>IF(B6217="","",IFERROR(INDEX('Bad Patterns'!$A$2:$A$120,MATCH(1,INDEX(--ISNUMBER(SEARCH('Bad Patterns'!$A$2:$A$120,B6217)),0),0)),""))</f>
        <v/>
      </c>
      <c r="D6217">
        <f>IF(B6217="","",IF(C6217&lt;&gt;"","REMOVE","KEEP"))</f>
        <v/>
      </c>
      <c r="E6217">
        <f>IF(D6217&lt;&gt;"KEEP","",IF(RIGHT(B6217,10)="@gmail.com","Gmail",IF(OR(RIGHT(B6217,12)="@outlook.com",RIGHT(B6217,12)="@hotmail.com",RIGHT(B6217,9)="@live.com"),"Outlook","Domain")))</f>
        <v/>
      </c>
      <c r="F6217">
        <f>IF(B6217="","",IFERROR(RIGHT(B6217,LEN(B6217)-FIND("@",B6217)),""))</f>
        <v/>
      </c>
      <c r="G6217">
        <f>IF(D6217="KEEP",COUNTIF($D$2:D6217,"KEEP"),"")</f>
        <v/>
      </c>
      <c r="H6217">
        <f>IF(D6217="REMOVE",COUNTIF($D$2:D6217,"REMOVE"),"")</f>
        <v/>
      </c>
      <c r="I6217">
        <f>IF(E6217="Gmail",COUNTIF($E$2:E6217,"Gmail"),"")</f>
        <v/>
      </c>
      <c r="J6217">
        <f>IF(E6217="Outlook",COUNTIF($E$2:E6217,"Outlook"),"")</f>
        <v/>
      </c>
      <c r="K6217">
        <f>IF(E6217="Domain",COUNTIF($E$2:E6217,"Domain"),"")</f>
        <v/>
      </c>
    </row>
    <row r="6218">
      <c r="A6218" s="2" t="n"/>
      <c r="B6218">
        <f>LOWER(TRIM(A6218))</f>
        <v/>
      </c>
      <c r="C6218">
        <f>IF(B6218="","",IFERROR(INDEX('Bad Patterns'!$A$2:$A$120,MATCH(1,INDEX(--ISNUMBER(SEARCH('Bad Patterns'!$A$2:$A$120,B6218)),0),0)),""))</f>
        <v/>
      </c>
      <c r="D6218">
        <f>IF(B6218="","",IF(C6218&lt;&gt;"","REMOVE","KEEP"))</f>
        <v/>
      </c>
      <c r="E6218">
        <f>IF(D6218&lt;&gt;"KEEP","",IF(RIGHT(B6218,10)="@gmail.com","Gmail",IF(OR(RIGHT(B6218,12)="@outlook.com",RIGHT(B6218,12)="@hotmail.com",RIGHT(B6218,9)="@live.com"),"Outlook","Domain")))</f>
        <v/>
      </c>
      <c r="F6218">
        <f>IF(B6218="","",IFERROR(RIGHT(B6218,LEN(B6218)-FIND("@",B6218)),""))</f>
        <v/>
      </c>
      <c r="G6218">
        <f>IF(D6218="KEEP",COUNTIF($D$2:D6218,"KEEP"),"")</f>
        <v/>
      </c>
      <c r="H6218">
        <f>IF(D6218="REMOVE",COUNTIF($D$2:D6218,"REMOVE"),"")</f>
        <v/>
      </c>
      <c r="I6218">
        <f>IF(E6218="Gmail",COUNTIF($E$2:E6218,"Gmail"),"")</f>
        <v/>
      </c>
      <c r="J6218">
        <f>IF(E6218="Outlook",COUNTIF($E$2:E6218,"Outlook"),"")</f>
        <v/>
      </c>
      <c r="K6218">
        <f>IF(E6218="Domain",COUNTIF($E$2:E6218,"Domain"),"")</f>
        <v/>
      </c>
    </row>
    <row r="6219">
      <c r="A6219" s="2" t="n"/>
      <c r="B6219">
        <f>LOWER(TRIM(A6219))</f>
        <v/>
      </c>
      <c r="C6219">
        <f>IF(B6219="","",IFERROR(INDEX('Bad Patterns'!$A$2:$A$120,MATCH(1,INDEX(--ISNUMBER(SEARCH('Bad Patterns'!$A$2:$A$120,B6219)),0),0)),""))</f>
        <v/>
      </c>
      <c r="D6219">
        <f>IF(B6219="","",IF(C6219&lt;&gt;"","REMOVE","KEEP"))</f>
        <v/>
      </c>
      <c r="E6219">
        <f>IF(D6219&lt;&gt;"KEEP","",IF(RIGHT(B6219,10)="@gmail.com","Gmail",IF(OR(RIGHT(B6219,12)="@outlook.com",RIGHT(B6219,12)="@hotmail.com",RIGHT(B6219,9)="@live.com"),"Outlook","Domain")))</f>
        <v/>
      </c>
      <c r="F6219">
        <f>IF(B6219="","",IFERROR(RIGHT(B6219,LEN(B6219)-FIND("@",B6219)),""))</f>
        <v/>
      </c>
      <c r="G6219">
        <f>IF(D6219="KEEP",COUNTIF($D$2:D6219,"KEEP"),"")</f>
        <v/>
      </c>
      <c r="H6219">
        <f>IF(D6219="REMOVE",COUNTIF($D$2:D6219,"REMOVE"),"")</f>
        <v/>
      </c>
      <c r="I6219">
        <f>IF(E6219="Gmail",COUNTIF($E$2:E6219,"Gmail"),"")</f>
        <v/>
      </c>
      <c r="J6219">
        <f>IF(E6219="Outlook",COUNTIF($E$2:E6219,"Outlook"),"")</f>
        <v/>
      </c>
      <c r="K6219">
        <f>IF(E6219="Domain",COUNTIF($E$2:E6219,"Domain"),"")</f>
        <v/>
      </c>
    </row>
    <row r="6220">
      <c r="A6220" s="2" t="n"/>
      <c r="B6220">
        <f>LOWER(TRIM(A6220))</f>
        <v/>
      </c>
      <c r="C6220">
        <f>IF(B6220="","",IFERROR(INDEX('Bad Patterns'!$A$2:$A$120,MATCH(1,INDEX(--ISNUMBER(SEARCH('Bad Patterns'!$A$2:$A$120,B6220)),0),0)),""))</f>
        <v/>
      </c>
      <c r="D6220">
        <f>IF(B6220="","",IF(C6220&lt;&gt;"","REMOVE","KEEP"))</f>
        <v/>
      </c>
      <c r="E6220">
        <f>IF(D6220&lt;&gt;"KEEP","",IF(RIGHT(B6220,10)="@gmail.com","Gmail",IF(OR(RIGHT(B6220,12)="@outlook.com",RIGHT(B6220,12)="@hotmail.com",RIGHT(B6220,9)="@live.com"),"Outlook","Domain")))</f>
        <v/>
      </c>
      <c r="F6220">
        <f>IF(B6220="","",IFERROR(RIGHT(B6220,LEN(B6220)-FIND("@",B6220)),""))</f>
        <v/>
      </c>
      <c r="G6220">
        <f>IF(D6220="KEEP",COUNTIF($D$2:D6220,"KEEP"),"")</f>
        <v/>
      </c>
      <c r="H6220">
        <f>IF(D6220="REMOVE",COUNTIF($D$2:D6220,"REMOVE"),"")</f>
        <v/>
      </c>
      <c r="I6220">
        <f>IF(E6220="Gmail",COUNTIF($E$2:E6220,"Gmail"),"")</f>
        <v/>
      </c>
      <c r="J6220">
        <f>IF(E6220="Outlook",COUNTIF($E$2:E6220,"Outlook"),"")</f>
        <v/>
      </c>
      <c r="K6220">
        <f>IF(E6220="Domain",COUNTIF($E$2:E6220,"Domain"),"")</f>
        <v/>
      </c>
    </row>
    <row r="6221">
      <c r="A6221" s="2" t="n"/>
      <c r="B6221">
        <f>LOWER(TRIM(A6221))</f>
        <v/>
      </c>
      <c r="C6221">
        <f>IF(B6221="","",IFERROR(INDEX('Bad Patterns'!$A$2:$A$120,MATCH(1,INDEX(--ISNUMBER(SEARCH('Bad Patterns'!$A$2:$A$120,B6221)),0),0)),""))</f>
        <v/>
      </c>
      <c r="D6221">
        <f>IF(B6221="","",IF(C6221&lt;&gt;"","REMOVE","KEEP"))</f>
        <v/>
      </c>
      <c r="E6221">
        <f>IF(D6221&lt;&gt;"KEEP","",IF(RIGHT(B6221,10)="@gmail.com","Gmail",IF(OR(RIGHT(B6221,12)="@outlook.com",RIGHT(B6221,12)="@hotmail.com",RIGHT(B6221,9)="@live.com"),"Outlook","Domain")))</f>
        <v/>
      </c>
      <c r="F6221">
        <f>IF(B6221="","",IFERROR(RIGHT(B6221,LEN(B6221)-FIND("@",B6221)),""))</f>
        <v/>
      </c>
      <c r="G6221">
        <f>IF(D6221="KEEP",COUNTIF($D$2:D6221,"KEEP"),"")</f>
        <v/>
      </c>
      <c r="H6221">
        <f>IF(D6221="REMOVE",COUNTIF($D$2:D6221,"REMOVE"),"")</f>
        <v/>
      </c>
      <c r="I6221">
        <f>IF(E6221="Gmail",COUNTIF($E$2:E6221,"Gmail"),"")</f>
        <v/>
      </c>
      <c r="J6221">
        <f>IF(E6221="Outlook",COUNTIF($E$2:E6221,"Outlook"),"")</f>
        <v/>
      </c>
      <c r="K6221">
        <f>IF(E6221="Domain",COUNTIF($E$2:E6221,"Domain"),"")</f>
        <v/>
      </c>
    </row>
    <row r="6222">
      <c r="A6222" s="2" t="n"/>
      <c r="B6222">
        <f>LOWER(TRIM(A6222))</f>
        <v/>
      </c>
      <c r="C6222">
        <f>IF(B6222="","",IFERROR(INDEX('Bad Patterns'!$A$2:$A$120,MATCH(1,INDEX(--ISNUMBER(SEARCH('Bad Patterns'!$A$2:$A$120,B6222)),0),0)),""))</f>
        <v/>
      </c>
      <c r="D6222">
        <f>IF(B6222="","",IF(C6222&lt;&gt;"","REMOVE","KEEP"))</f>
        <v/>
      </c>
      <c r="E6222">
        <f>IF(D6222&lt;&gt;"KEEP","",IF(RIGHT(B6222,10)="@gmail.com","Gmail",IF(OR(RIGHT(B6222,12)="@outlook.com",RIGHT(B6222,12)="@hotmail.com",RIGHT(B6222,9)="@live.com"),"Outlook","Domain")))</f>
        <v/>
      </c>
      <c r="F6222">
        <f>IF(B6222="","",IFERROR(RIGHT(B6222,LEN(B6222)-FIND("@",B6222)),""))</f>
        <v/>
      </c>
      <c r="G6222">
        <f>IF(D6222="KEEP",COUNTIF($D$2:D6222,"KEEP"),"")</f>
        <v/>
      </c>
      <c r="H6222">
        <f>IF(D6222="REMOVE",COUNTIF($D$2:D6222,"REMOVE"),"")</f>
        <v/>
      </c>
      <c r="I6222">
        <f>IF(E6222="Gmail",COUNTIF($E$2:E6222,"Gmail"),"")</f>
        <v/>
      </c>
      <c r="J6222">
        <f>IF(E6222="Outlook",COUNTIF($E$2:E6222,"Outlook"),"")</f>
        <v/>
      </c>
      <c r="K6222">
        <f>IF(E6222="Domain",COUNTIF($E$2:E6222,"Domain"),"")</f>
        <v/>
      </c>
    </row>
    <row r="6223">
      <c r="A6223" s="2" t="n"/>
      <c r="B6223">
        <f>LOWER(TRIM(A6223))</f>
        <v/>
      </c>
      <c r="C6223">
        <f>IF(B6223="","",IFERROR(INDEX('Bad Patterns'!$A$2:$A$120,MATCH(1,INDEX(--ISNUMBER(SEARCH('Bad Patterns'!$A$2:$A$120,B6223)),0),0)),""))</f>
        <v/>
      </c>
      <c r="D6223">
        <f>IF(B6223="","",IF(C6223&lt;&gt;"","REMOVE","KEEP"))</f>
        <v/>
      </c>
      <c r="E6223">
        <f>IF(D6223&lt;&gt;"KEEP","",IF(RIGHT(B6223,10)="@gmail.com","Gmail",IF(OR(RIGHT(B6223,12)="@outlook.com",RIGHT(B6223,12)="@hotmail.com",RIGHT(B6223,9)="@live.com"),"Outlook","Domain")))</f>
        <v/>
      </c>
      <c r="F6223">
        <f>IF(B6223="","",IFERROR(RIGHT(B6223,LEN(B6223)-FIND("@",B6223)),""))</f>
        <v/>
      </c>
      <c r="G6223">
        <f>IF(D6223="KEEP",COUNTIF($D$2:D6223,"KEEP"),"")</f>
        <v/>
      </c>
      <c r="H6223">
        <f>IF(D6223="REMOVE",COUNTIF($D$2:D6223,"REMOVE"),"")</f>
        <v/>
      </c>
      <c r="I6223">
        <f>IF(E6223="Gmail",COUNTIF($E$2:E6223,"Gmail"),"")</f>
        <v/>
      </c>
      <c r="J6223">
        <f>IF(E6223="Outlook",COUNTIF($E$2:E6223,"Outlook"),"")</f>
        <v/>
      </c>
      <c r="K6223">
        <f>IF(E6223="Domain",COUNTIF($E$2:E6223,"Domain"),"")</f>
        <v/>
      </c>
    </row>
    <row r="6224">
      <c r="A6224" s="2" t="n"/>
      <c r="B6224">
        <f>LOWER(TRIM(A6224))</f>
        <v/>
      </c>
      <c r="C6224">
        <f>IF(B6224="","",IFERROR(INDEX('Bad Patterns'!$A$2:$A$120,MATCH(1,INDEX(--ISNUMBER(SEARCH('Bad Patterns'!$A$2:$A$120,B6224)),0),0)),""))</f>
        <v/>
      </c>
      <c r="D6224">
        <f>IF(B6224="","",IF(C6224&lt;&gt;"","REMOVE","KEEP"))</f>
        <v/>
      </c>
      <c r="E6224">
        <f>IF(D6224&lt;&gt;"KEEP","",IF(RIGHT(B6224,10)="@gmail.com","Gmail",IF(OR(RIGHT(B6224,12)="@outlook.com",RIGHT(B6224,12)="@hotmail.com",RIGHT(B6224,9)="@live.com"),"Outlook","Domain")))</f>
        <v/>
      </c>
      <c r="F6224">
        <f>IF(B6224="","",IFERROR(RIGHT(B6224,LEN(B6224)-FIND("@",B6224)),""))</f>
        <v/>
      </c>
      <c r="G6224">
        <f>IF(D6224="KEEP",COUNTIF($D$2:D6224,"KEEP"),"")</f>
        <v/>
      </c>
      <c r="H6224">
        <f>IF(D6224="REMOVE",COUNTIF($D$2:D6224,"REMOVE"),"")</f>
        <v/>
      </c>
      <c r="I6224">
        <f>IF(E6224="Gmail",COUNTIF($E$2:E6224,"Gmail"),"")</f>
        <v/>
      </c>
      <c r="J6224">
        <f>IF(E6224="Outlook",COUNTIF($E$2:E6224,"Outlook"),"")</f>
        <v/>
      </c>
      <c r="K6224">
        <f>IF(E6224="Domain",COUNTIF($E$2:E6224,"Domain"),"")</f>
        <v/>
      </c>
    </row>
    <row r="6225">
      <c r="A6225" s="2" t="n"/>
      <c r="B6225">
        <f>LOWER(TRIM(A6225))</f>
        <v/>
      </c>
      <c r="C6225">
        <f>IF(B6225="","",IFERROR(INDEX('Bad Patterns'!$A$2:$A$120,MATCH(1,INDEX(--ISNUMBER(SEARCH('Bad Patterns'!$A$2:$A$120,B6225)),0),0)),""))</f>
        <v/>
      </c>
      <c r="D6225">
        <f>IF(B6225="","",IF(C6225&lt;&gt;"","REMOVE","KEEP"))</f>
        <v/>
      </c>
      <c r="E6225">
        <f>IF(D6225&lt;&gt;"KEEP","",IF(RIGHT(B6225,10)="@gmail.com","Gmail",IF(OR(RIGHT(B6225,12)="@outlook.com",RIGHT(B6225,12)="@hotmail.com",RIGHT(B6225,9)="@live.com"),"Outlook","Domain")))</f>
        <v/>
      </c>
      <c r="F6225">
        <f>IF(B6225="","",IFERROR(RIGHT(B6225,LEN(B6225)-FIND("@",B6225)),""))</f>
        <v/>
      </c>
      <c r="G6225">
        <f>IF(D6225="KEEP",COUNTIF($D$2:D6225,"KEEP"),"")</f>
        <v/>
      </c>
      <c r="H6225">
        <f>IF(D6225="REMOVE",COUNTIF($D$2:D6225,"REMOVE"),"")</f>
        <v/>
      </c>
      <c r="I6225">
        <f>IF(E6225="Gmail",COUNTIF($E$2:E6225,"Gmail"),"")</f>
        <v/>
      </c>
      <c r="J6225">
        <f>IF(E6225="Outlook",COUNTIF($E$2:E6225,"Outlook"),"")</f>
        <v/>
      </c>
      <c r="K6225">
        <f>IF(E6225="Domain",COUNTIF($E$2:E6225,"Domain"),"")</f>
        <v/>
      </c>
    </row>
    <row r="6226">
      <c r="A6226" s="2" t="n"/>
      <c r="B6226">
        <f>LOWER(TRIM(A6226))</f>
        <v/>
      </c>
      <c r="C6226">
        <f>IF(B6226="","",IFERROR(INDEX('Bad Patterns'!$A$2:$A$120,MATCH(1,INDEX(--ISNUMBER(SEARCH('Bad Patterns'!$A$2:$A$120,B6226)),0),0)),""))</f>
        <v/>
      </c>
      <c r="D6226">
        <f>IF(B6226="","",IF(C6226&lt;&gt;"","REMOVE","KEEP"))</f>
        <v/>
      </c>
      <c r="E6226">
        <f>IF(D6226&lt;&gt;"KEEP","",IF(RIGHT(B6226,10)="@gmail.com","Gmail",IF(OR(RIGHT(B6226,12)="@outlook.com",RIGHT(B6226,12)="@hotmail.com",RIGHT(B6226,9)="@live.com"),"Outlook","Domain")))</f>
        <v/>
      </c>
      <c r="F6226">
        <f>IF(B6226="","",IFERROR(RIGHT(B6226,LEN(B6226)-FIND("@",B6226)),""))</f>
        <v/>
      </c>
      <c r="G6226">
        <f>IF(D6226="KEEP",COUNTIF($D$2:D6226,"KEEP"),"")</f>
        <v/>
      </c>
      <c r="H6226">
        <f>IF(D6226="REMOVE",COUNTIF($D$2:D6226,"REMOVE"),"")</f>
        <v/>
      </c>
      <c r="I6226">
        <f>IF(E6226="Gmail",COUNTIF($E$2:E6226,"Gmail"),"")</f>
        <v/>
      </c>
      <c r="J6226">
        <f>IF(E6226="Outlook",COUNTIF($E$2:E6226,"Outlook"),"")</f>
        <v/>
      </c>
      <c r="K6226">
        <f>IF(E6226="Domain",COUNTIF($E$2:E6226,"Domain"),"")</f>
        <v/>
      </c>
    </row>
    <row r="6227">
      <c r="A6227" s="2" t="n"/>
      <c r="B6227">
        <f>LOWER(TRIM(A6227))</f>
        <v/>
      </c>
      <c r="C6227">
        <f>IF(B6227="","",IFERROR(INDEX('Bad Patterns'!$A$2:$A$120,MATCH(1,INDEX(--ISNUMBER(SEARCH('Bad Patterns'!$A$2:$A$120,B6227)),0),0)),""))</f>
        <v/>
      </c>
      <c r="D6227">
        <f>IF(B6227="","",IF(C6227&lt;&gt;"","REMOVE","KEEP"))</f>
        <v/>
      </c>
      <c r="E6227">
        <f>IF(D6227&lt;&gt;"KEEP","",IF(RIGHT(B6227,10)="@gmail.com","Gmail",IF(OR(RIGHT(B6227,12)="@outlook.com",RIGHT(B6227,12)="@hotmail.com",RIGHT(B6227,9)="@live.com"),"Outlook","Domain")))</f>
        <v/>
      </c>
      <c r="F6227">
        <f>IF(B6227="","",IFERROR(RIGHT(B6227,LEN(B6227)-FIND("@",B6227)),""))</f>
        <v/>
      </c>
      <c r="G6227">
        <f>IF(D6227="KEEP",COUNTIF($D$2:D6227,"KEEP"),"")</f>
        <v/>
      </c>
      <c r="H6227">
        <f>IF(D6227="REMOVE",COUNTIF($D$2:D6227,"REMOVE"),"")</f>
        <v/>
      </c>
      <c r="I6227">
        <f>IF(E6227="Gmail",COUNTIF($E$2:E6227,"Gmail"),"")</f>
        <v/>
      </c>
      <c r="J6227">
        <f>IF(E6227="Outlook",COUNTIF($E$2:E6227,"Outlook"),"")</f>
        <v/>
      </c>
      <c r="K6227">
        <f>IF(E6227="Domain",COUNTIF($E$2:E6227,"Domain"),"")</f>
        <v/>
      </c>
    </row>
    <row r="6228">
      <c r="A6228" s="2" t="n"/>
      <c r="B6228">
        <f>LOWER(TRIM(A6228))</f>
        <v/>
      </c>
      <c r="C6228">
        <f>IF(B6228="","",IFERROR(INDEX('Bad Patterns'!$A$2:$A$120,MATCH(1,INDEX(--ISNUMBER(SEARCH('Bad Patterns'!$A$2:$A$120,B6228)),0),0)),""))</f>
        <v/>
      </c>
      <c r="D6228">
        <f>IF(B6228="","",IF(C6228&lt;&gt;"","REMOVE","KEEP"))</f>
        <v/>
      </c>
      <c r="E6228">
        <f>IF(D6228&lt;&gt;"KEEP","",IF(RIGHT(B6228,10)="@gmail.com","Gmail",IF(OR(RIGHT(B6228,12)="@outlook.com",RIGHT(B6228,12)="@hotmail.com",RIGHT(B6228,9)="@live.com"),"Outlook","Domain")))</f>
        <v/>
      </c>
      <c r="F6228">
        <f>IF(B6228="","",IFERROR(RIGHT(B6228,LEN(B6228)-FIND("@",B6228)),""))</f>
        <v/>
      </c>
      <c r="G6228">
        <f>IF(D6228="KEEP",COUNTIF($D$2:D6228,"KEEP"),"")</f>
        <v/>
      </c>
      <c r="H6228">
        <f>IF(D6228="REMOVE",COUNTIF($D$2:D6228,"REMOVE"),"")</f>
        <v/>
      </c>
      <c r="I6228">
        <f>IF(E6228="Gmail",COUNTIF($E$2:E6228,"Gmail"),"")</f>
        <v/>
      </c>
      <c r="J6228">
        <f>IF(E6228="Outlook",COUNTIF($E$2:E6228,"Outlook"),"")</f>
        <v/>
      </c>
      <c r="K6228">
        <f>IF(E6228="Domain",COUNTIF($E$2:E6228,"Domain"),"")</f>
        <v/>
      </c>
    </row>
    <row r="6229">
      <c r="A6229" s="2" t="n"/>
      <c r="B6229">
        <f>LOWER(TRIM(A6229))</f>
        <v/>
      </c>
      <c r="C6229">
        <f>IF(B6229="","",IFERROR(INDEX('Bad Patterns'!$A$2:$A$120,MATCH(1,INDEX(--ISNUMBER(SEARCH('Bad Patterns'!$A$2:$A$120,B6229)),0),0)),""))</f>
        <v/>
      </c>
      <c r="D6229">
        <f>IF(B6229="","",IF(C6229&lt;&gt;"","REMOVE","KEEP"))</f>
        <v/>
      </c>
      <c r="E6229">
        <f>IF(D6229&lt;&gt;"KEEP","",IF(RIGHT(B6229,10)="@gmail.com","Gmail",IF(OR(RIGHT(B6229,12)="@outlook.com",RIGHT(B6229,12)="@hotmail.com",RIGHT(B6229,9)="@live.com"),"Outlook","Domain")))</f>
        <v/>
      </c>
      <c r="F6229">
        <f>IF(B6229="","",IFERROR(RIGHT(B6229,LEN(B6229)-FIND("@",B6229)),""))</f>
        <v/>
      </c>
      <c r="G6229">
        <f>IF(D6229="KEEP",COUNTIF($D$2:D6229,"KEEP"),"")</f>
        <v/>
      </c>
      <c r="H6229">
        <f>IF(D6229="REMOVE",COUNTIF($D$2:D6229,"REMOVE"),"")</f>
        <v/>
      </c>
      <c r="I6229">
        <f>IF(E6229="Gmail",COUNTIF($E$2:E6229,"Gmail"),"")</f>
        <v/>
      </c>
      <c r="J6229">
        <f>IF(E6229="Outlook",COUNTIF($E$2:E6229,"Outlook"),"")</f>
        <v/>
      </c>
      <c r="K6229">
        <f>IF(E6229="Domain",COUNTIF($E$2:E6229,"Domain"),"")</f>
        <v/>
      </c>
    </row>
    <row r="6230">
      <c r="A6230" s="2" t="n"/>
      <c r="B6230">
        <f>LOWER(TRIM(A6230))</f>
        <v/>
      </c>
      <c r="C6230">
        <f>IF(B6230="","",IFERROR(INDEX('Bad Patterns'!$A$2:$A$120,MATCH(1,INDEX(--ISNUMBER(SEARCH('Bad Patterns'!$A$2:$A$120,B6230)),0),0)),""))</f>
        <v/>
      </c>
      <c r="D6230">
        <f>IF(B6230="","",IF(C6230&lt;&gt;"","REMOVE","KEEP"))</f>
        <v/>
      </c>
      <c r="E6230">
        <f>IF(D6230&lt;&gt;"KEEP","",IF(RIGHT(B6230,10)="@gmail.com","Gmail",IF(OR(RIGHT(B6230,12)="@outlook.com",RIGHT(B6230,12)="@hotmail.com",RIGHT(B6230,9)="@live.com"),"Outlook","Domain")))</f>
        <v/>
      </c>
      <c r="F6230">
        <f>IF(B6230="","",IFERROR(RIGHT(B6230,LEN(B6230)-FIND("@",B6230)),""))</f>
        <v/>
      </c>
      <c r="G6230">
        <f>IF(D6230="KEEP",COUNTIF($D$2:D6230,"KEEP"),"")</f>
        <v/>
      </c>
      <c r="H6230">
        <f>IF(D6230="REMOVE",COUNTIF($D$2:D6230,"REMOVE"),"")</f>
        <v/>
      </c>
      <c r="I6230">
        <f>IF(E6230="Gmail",COUNTIF($E$2:E6230,"Gmail"),"")</f>
        <v/>
      </c>
      <c r="J6230">
        <f>IF(E6230="Outlook",COUNTIF($E$2:E6230,"Outlook"),"")</f>
        <v/>
      </c>
      <c r="K6230">
        <f>IF(E6230="Domain",COUNTIF($E$2:E6230,"Domain"),"")</f>
        <v/>
      </c>
    </row>
    <row r="6231">
      <c r="A6231" s="2" t="n"/>
      <c r="B6231">
        <f>LOWER(TRIM(A6231))</f>
        <v/>
      </c>
      <c r="C6231">
        <f>IF(B6231="","",IFERROR(INDEX('Bad Patterns'!$A$2:$A$120,MATCH(1,INDEX(--ISNUMBER(SEARCH('Bad Patterns'!$A$2:$A$120,B6231)),0),0)),""))</f>
        <v/>
      </c>
      <c r="D6231">
        <f>IF(B6231="","",IF(C6231&lt;&gt;"","REMOVE","KEEP"))</f>
        <v/>
      </c>
      <c r="E6231">
        <f>IF(D6231&lt;&gt;"KEEP","",IF(RIGHT(B6231,10)="@gmail.com","Gmail",IF(OR(RIGHT(B6231,12)="@outlook.com",RIGHT(B6231,12)="@hotmail.com",RIGHT(B6231,9)="@live.com"),"Outlook","Domain")))</f>
        <v/>
      </c>
      <c r="F6231">
        <f>IF(B6231="","",IFERROR(RIGHT(B6231,LEN(B6231)-FIND("@",B6231)),""))</f>
        <v/>
      </c>
      <c r="G6231">
        <f>IF(D6231="KEEP",COUNTIF($D$2:D6231,"KEEP"),"")</f>
        <v/>
      </c>
      <c r="H6231">
        <f>IF(D6231="REMOVE",COUNTIF($D$2:D6231,"REMOVE"),"")</f>
        <v/>
      </c>
      <c r="I6231">
        <f>IF(E6231="Gmail",COUNTIF($E$2:E6231,"Gmail"),"")</f>
        <v/>
      </c>
      <c r="J6231">
        <f>IF(E6231="Outlook",COUNTIF($E$2:E6231,"Outlook"),"")</f>
        <v/>
      </c>
      <c r="K6231">
        <f>IF(E6231="Domain",COUNTIF($E$2:E6231,"Domain"),"")</f>
        <v/>
      </c>
    </row>
    <row r="6232">
      <c r="A6232" s="2" t="n"/>
      <c r="B6232">
        <f>LOWER(TRIM(A6232))</f>
        <v/>
      </c>
      <c r="C6232">
        <f>IF(B6232="","",IFERROR(INDEX('Bad Patterns'!$A$2:$A$120,MATCH(1,INDEX(--ISNUMBER(SEARCH('Bad Patterns'!$A$2:$A$120,B6232)),0),0)),""))</f>
        <v/>
      </c>
      <c r="D6232">
        <f>IF(B6232="","",IF(C6232&lt;&gt;"","REMOVE","KEEP"))</f>
        <v/>
      </c>
      <c r="E6232">
        <f>IF(D6232&lt;&gt;"KEEP","",IF(RIGHT(B6232,10)="@gmail.com","Gmail",IF(OR(RIGHT(B6232,12)="@outlook.com",RIGHT(B6232,12)="@hotmail.com",RIGHT(B6232,9)="@live.com"),"Outlook","Domain")))</f>
        <v/>
      </c>
      <c r="F6232">
        <f>IF(B6232="","",IFERROR(RIGHT(B6232,LEN(B6232)-FIND("@",B6232)),""))</f>
        <v/>
      </c>
      <c r="G6232">
        <f>IF(D6232="KEEP",COUNTIF($D$2:D6232,"KEEP"),"")</f>
        <v/>
      </c>
      <c r="H6232">
        <f>IF(D6232="REMOVE",COUNTIF($D$2:D6232,"REMOVE"),"")</f>
        <v/>
      </c>
      <c r="I6232">
        <f>IF(E6232="Gmail",COUNTIF($E$2:E6232,"Gmail"),"")</f>
        <v/>
      </c>
      <c r="J6232">
        <f>IF(E6232="Outlook",COUNTIF($E$2:E6232,"Outlook"),"")</f>
        <v/>
      </c>
      <c r="K6232">
        <f>IF(E6232="Domain",COUNTIF($E$2:E6232,"Domain"),"")</f>
        <v/>
      </c>
    </row>
    <row r="6233">
      <c r="A6233" s="2" t="n"/>
      <c r="B6233">
        <f>LOWER(TRIM(A6233))</f>
        <v/>
      </c>
      <c r="C6233">
        <f>IF(B6233="","",IFERROR(INDEX('Bad Patterns'!$A$2:$A$120,MATCH(1,INDEX(--ISNUMBER(SEARCH('Bad Patterns'!$A$2:$A$120,B6233)),0),0)),""))</f>
        <v/>
      </c>
      <c r="D6233">
        <f>IF(B6233="","",IF(C6233&lt;&gt;"","REMOVE","KEEP"))</f>
        <v/>
      </c>
      <c r="E6233">
        <f>IF(D6233&lt;&gt;"KEEP","",IF(RIGHT(B6233,10)="@gmail.com","Gmail",IF(OR(RIGHT(B6233,12)="@outlook.com",RIGHT(B6233,12)="@hotmail.com",RIGHT(B6233,9)="@live.com"),"Outlook","Domain")))</f>
        <v/>
      </c>
      <c r="F6233">
        <f>IF(B6233="","",IFERROR(RIGHT(B6233,LEN(B6233)-FIND("@",B6233)),""))</f>
        <v/>
      </c>
      <c r="G6233">
        <f>IF(D6233="KEEP",COUNTIF($D$2:D6233,"KEEP"),"")</f>
        <v/>
      </c>
      <c r="H6233">
        <f>IF(D6233="REMOVE",COUNTIF($D$2:D6233,"REMOVE"),"")</f>
        <v/>
      </c>
      <c r="I6233">
        <f>IF(E6233="Gmail",COUNTIF($E$2:E6233,"Gmail"),"")</f>
        <v/>
      </c>
      <c r="J6233">
        <f>IF(E6233="Outlook",COUNTIF($E$2:E6233,"Outlook"),"")</f>
        <v/>
      </c>
      <c r="K6233">
        <f>IF(E6233="Domain",COUNTIF($E$2:E6233,"Domain"),"")</f>
        <v/>
      </c>
    </row>
    <row r="6234">
      <c r="A6234" s="2" t="n"/>
      <c r="B6234">
        <f>LOWER(TRIM(A6234))</f>
        <v/>
      </c>
      <c r="C6234">
        <f>IF(B6234="","",IFERROR(INDEX('Bad Patterns'!$A$2:$A$120,MATCH(1,INDEX(--ISNUMBER(SEARCH('Bad Patterns'!$A$2:$A$120,B6234)),0),0)),""))</f>
        <v/>
      </c>
      <c r="D6234">
        <f>IF(B6234="","",IF(C6234&lt;&gt;"","REMOVE","KEEP"))</f>
        <v/>
      </c>
      <c r="E6234">
        <f>IF(D6234&lt;&gt;"KEEP","",IF(RIGHT(B6234,10)="@gmail.com","Gmail",IF(OR(RIGHT(B6234,12)="@outlook.com",RIGHT(B6234,12)="@hotmail.com",RIGHT(B6234,9)="@live.com"),"Outlook","Domain")))</f>
        <v/>
      </c>
      <c r="F6234">
        <f>IF(B6234="","",IFERROR(RIGHT(B6234,LEN(B6234)-FIND("@",B6234)),""))</f>
        <v/>
      </c>
      <c r="G6234">
        <f>IF(D6234="KEEP",COUNTIF($D$2:D6234,"KEEP"),"")</f>
        <v/>
      </c>
      <c r="H6234">
        <f>IF(D6234="REMOVE",COUNTIF($D$2:D6234,"REMOVE"),"")</f>
        <v/>
      </c>
      <c r="I6234">
        <f>IF(E6234="Gmail",COUNTIF($E$2:E6234,"Gmail"),"")</f>
        <v/>
      </c>
      <c r="J6234">
        <f>IF(E6234="Outlook",COUNTIF($E$2:E6234,"Outlook"),"")</f>
        <v/>
      </c>
      <c r="K6234">
        <f>IF(E6234="Domain",COUNTIF($E$2:E6234,"Domain"),"")</f>
        <v/>
      </c>
    </row>
    <row r="6235">
      <c r="A6235" s="2" t="n"/>
      <c r="B6235">
        <f>LOWER(TRIM(A6235))</f>
        <v/>
      </c>
      <c r="C6235">
        <f>IF(B6235="","",IFERROR(INDEX('Bad Patterns'!$A$2:$A$120,MATCH(1,INDEX(--ISNUMBER(SEARCH('Bad Patterns'!$A$2:$A$120,B6235)),0),0)),""))</f>
        <v/>
      </c>
      <c r="D6235">
        <f>IF(B6235="","",IF(C6235&lt;&gt;"","REMOVE","KEEP"))</f>
        <v/>
      </c>
      <c r="E6235">
        <f>IF(D6235&lt;&gt;"KEEP","",IF(RIGHT(B6235,10)="@gmail.com","Gmail",IF(OR(RIGHT(B6235,12)="@outlook.com",RIGHT(B6235,12)="@hotmail.com",RIGHT(B6235,9)="@live.com"),"Outlook","Domain")))</f>
        <v/>
      </c>
      <c r="F6235">
        <f>IF(B6235="","",IFERROR(RIGHT(B6235,LEN(B6235)-FIND("@",B6235)),""))</f>
        <v/>
      </c>
      <c r="G6235">
        <f>IF(D6235="KEEP",COUNTIF($D$2:D6235,"KEEP"),"")</f>
        <v/>
      </c>
      <c r="H6235">
        <f>IF(D6235="REMOVE",COUNTIF($D$2:D6235,"REMOVE"),"")</f>
        <v/>
      </c>
      <c r="I6235">
        <f>IF(E6235="Gmail",COUNTIF($E$2:E6235,"Gmail"),"")</f>
        <v/>
      </c>
      <c r="J6235">
        <f>IF(E6235="Outlook",COUNTIF($E$2:E6235,"Outlook"),"")</f>
        <v/>
      </c>
      <c r="K6235">
        <f>IF(E6235="Domain",COUNTIF($E$2:E6235,"Domain"),"")</f>
        <v/>
      </c>
    </row>
    <row r="6236">
      <c r="A6236" s="2" t="n"/>
      <c r="B6236">
        <f>LOWER(TRIM(A6236))</f>
        <v/>
      </c>
      <c r="C6236">
        <f>IF(B6236="","",IFERROR(INDEX('Bad Patterns'!$A$2:$A$120,MATCH(1,INDEX(--ISNUMBER(SEARCH('Bad Patterns'!$A$2:$A$120,B6236)),0),0)),""))</f>
        <v/>
      </c>
      <c r="D6236">
        <f>IF(B6236="","",IF(C6236&lt;&gt;"","REMOVE","KEEP"))</f>
        <v/>
      </c>
      <c r="E6236">
        <f>IF(D6236&lt;&gt;"KEEP","",IF(RIGHT(B6236,10)="@gmail.com","Gmail",IF(OR(RIGHT(B6236,12)="@outlook.com",RIGHT(B6236,12)="@hotmail.com",RIGHT(B6236,9)="@live.com"),"Outlook","Domain")))</f>
        <v/>
      </c>
      <c r="F6236">
        <f>IF(B6236="","",IFERROR(RIGHT(B6236,LEN(B6236)-FIND("@",B6236)),""))</f>
        <v/>
      </c>
      <c r="G6236">
        <f>IF(D6236="KEEP",COUNTIF($D$2:D6236,"KEEP"),"")</f>
        <v/>
      </c>
      <c r="H6236">
        <f>IF(D6236="REMOVE",COUNTIF($D$2:D6236,"REMOVE"),"")</f>
        <v/>
      </c>
      <c r="I6236">
        <f>IF(E6236="Gmail",COUNTIF($E$2:E6236,"Gmail"),"")</f>
        <v/>
      </c>
      <c r="J6236">
        <f>IF(E6236="Outlook",COUNTIF($E$2:E6236,"Outlook"),"")</f>
        <v/>
      </c>
      <c r="K6236">
        <f>IF(E6236="Domain",COUNTIF($E$2:E6236,"Domain"),"")</f>
        <v/>
      </c>
    </row>
    <row r="6237">
      <c r="A6237" s="2" t="n"/>
      <c r="B6237">
        <f>LOWER(TRIM(A6237))</f>
        <v/>
      </c>
      <c r="C6237">
        <f>IF(B6237="","",IFERROR(INDEX('Bad Patterns'!$A$2:$A$120,MATCH(1,INDEX(--ISNUMBER(SEARCH('Bad Patterns'!$A$2:$A$120,B6237)),0),0)),""))</f>
        <v/>
      </c>
      <c r="D6237">
        <f>IF(B6237="","",IF(C6237&lt;&gt;"","REMOVE","KEEP"))</f>
        <v/>
      </c>
      <c r="E6237">
        <f>IF(D6237&lt;&gt;"KEEP","",IF(RIGHT(B6237,10)="@gmail.com","Gmail",IF(OR(RIGHT(B6237,12)="@outlook.com",RIGHT(B6237,12)="@hotmail.com",RIGHT(B6237,9)="@live.com"),"Outlook","Domain")))</f>
        <v/>
      </c>
      <c r="F6237">
        <f>IF(B6237="","",IFERROR(RIGHT(B6237,LEN(B6237)-FIND("@",B6237)),""))</f>
        <v/>
      </c>
      <c r="G6237">
        <f>IF(D6237="KEEP",COUNTIF($D$2:D6237,"KEEP"),"")</f>
        <v/>
      </c>
      <c r="H6237">
        <f>IF(D6237="REMOVE",COUNTIF($D$2:D6237,"REMOVE"),"")</f>
        <v/>
      </c>
      <c r="I6237">
        <f>IF(E6237="Gmail",COUNTIF($E$2:E6237,"Gmail"),"")</f>
        <v/>
      </c>
      <c r="J6237">
        <f>IF(E6237="Outlook",COUNTIF($E$2:E6237,"Outlook"),"")</f>
        <v/>
      </c>
      <c r="K6237">
        <f>IF(E6237="Domain",COUNTIF($E$2:E6237,"Domain"),"")</f>
        <v/>
      </c>
    </row>
    <row r="6238">
      <c r="A6238" s="2" t="n"/>
      <c r="B6238">
        <f>LOWER(TRIM(A6238))</f>
        <v/>
      </c>
      <c r="C6238">
        <f>IF(B6238="","",IFERROR(INDEX('Bad Patterns'!$A$2:$A$120,MATCH(1,INDEX(--ISNUMBER(SEARCH('Bad Patterns'!$A$2:$A$120,B6238)),0),0)),""))</f>
        <v/>
      </c>
      <c r="D6238">
        <f>IF(B6238="","",IF(C6238&lt;&gt;"","REMOVE","KEEP"))</f>
        <v/>
      </c>
      <c r="E6238">
        <f>IF(D6238&lt;&gt;"KEEP","",IF(RIGHT(B6238,10)="@gmail.com","Gmail",IF(OR(RIGHT(B6238,12)="@outlook.com",RIGHT(B6238,12)="@hotmail.com",RIGHT(B6238,9)="@live.com"),"Outlook","Domain")))</f>
        <v/>
      </c>
      <c r="F6238">
        <f>IF(B6238="","",IFERROR(RIGHT(B6238,LEN(B6238)-FIND("@",B6238)),""))</f>
        <v/>
      </c>
      <c r="G6238">
        <f>IF(D6238="KEEP",COUNTIF($D$2:D6238,"KEEP"),"")</f>
        <v/>
      </c>
      <c r="H6238">
        <f>IF(D6238="REMOVE",COUNTIF($D$2:D6238,"REMOVE"),"")</f>
        <v/>
      </c>
      <c r="I6238">
        <f>IF(E6238="Gmail",COUNTIF($E$2:E6238,"Gmail"),"")</f>
        <v/>
      </c>
      <c r="J6238">
        <f>IF(E6238="Outlook",COUNTIF($E$2:E6238,"Outlook"),"")</f>
        <v/>
      </c>
      <c r="K6238">
        <f>IF(E6238="Domain",COUNTIF($E$2:E6238,"Domain"),"")</f>
        <v/>
      </c>
    </row>
    <row r="6239">
      <c r="A6239" s="2" t="n"/>
      <c r="B6239">
        <f>LOWER(TRIM(A6239))</f>
        <v/>
      </c>
      <c r="C6239">
        <f>IF(B6239="","",IFERROR(INDEX('Bad Patterns'!$A$2:$A$120,MATCH(1,INDEX(--ISNUMBER(SEARCH('Bad Patterns'!$A$2:$A$120,B6239)),0),0)),""))</f>
        <v/>
      </c>
      <c r="D6239">
        <f>IF(B6239="","",IF(C6239&lt;&gt;"","REMOVE","KEEP"))</f>
        <v/>
      </c>
      <c r="E6239">
        <f>IF(D6239&lt;&gt;"KEEP","",IF(RIGHT(B6239,10)="@gmail.com","Gmail",IF(OR(RIGHT(B6239,12)="@outlook.com",RIGHT(B6239,12)="@hotmail.com",RIGHT(B6239,9)="@live.com"),"Outlook","Domain")))</f>
        <v/>
      </c>
      <c r="F6239">
        <f>IF(B6239="","",IFERROR(RIGHT(B6239,LEN(B6239)-FIND("@",B6239)),""))</f>
        <v/>
      </c>
      <c r="G6239">
        <f>IF(D6239="KEEP",COUNTIF($D$2:D6239,"KEEP"),"")</f>
        <v/>
      </c>
      <c r="H6239">
        <f>IF(D6239="REMOVE",COUNTIF($D$2:D6239,"REMOVE"),"")</f>
        <v/>
      </c>
      <c r="I6239">
        <f>IF(E6239="Gmail",COUNTIF($E$2:E6239,"Gmail"),"")</f>
        <v/>
      </c>
      <c r="J6239">
        <f>IF(E6239="Outlook",COUNTIF($E$2:E6239,"Outlook"),"")</f>
        <v/>
      </c>
      <c r="K6239">
        <f>IF(E6239="Domain",COUNTIF($E$2:E6239,"Domain"),"")</f>
        <v/>
      </c>
    </row>
    <row r="6240">
      <c r="A6240" s="2" t="n"/>
      <c r="B6240">
        <f>LOWER(TRIM(A6240))</f>
        <v/>
      </c>
      <c r="C6240">
        <f>IF(B6240="","",IFERROR(INDEX('Bad Patterns'!$A$2:$A$120,MATCH(1,INDEX(--ISNUMBER(SEARCH('Bad Patterns'!$A$2:$A$120,B6240)),0),0)),""))</f>
        <v/>
      </c>
      <c r="D6240">
        <f>IF(B6240="","",IF(C6240&lt;&gt;"","REMOVE","KEEP"))</f>
        <v/>
      </c>
      <c r="E6240">
        <f>IF(D6240&lt;&gt;"KEEP","",IF(RIGHT(B6240,10)="@gmail.com","Gmail",IF(OR(RIGHT(B6240,12)="@outlook.com",RIGHT(B6240,12)="@hotmail.com",RIGHT(B6240,9)="@live.com"),"Outlook","Domain")))</f>
        <v/>
      </c>
      <c r="F6240">
        <f>IF(B6240="","",IFERROR(RIGHT(B6240,LEN(B6240)-FIND("@",B6240)),""))</f>
        <v/>
      </c>
      <c r="G6240">
        <f>IF(D6240="KEEP",COUNTIF($D$2:D6240,"KEEP"),"")</f>
        <v/>
      </c>
      <c r="H6240">
        <f>IF(D6240="REMOVE",COUNTIF($D$2:D6240,"REMOVE"),"")</f>
        <v/>
      </c>
      <c r="I6240">
        <f>IF(E6240="Gmail",COUNTIF($E$2:E6240,"Gmail"),"")</f>
        <v/>
      </c>
      <c r="J6240">
        <f>IF(E6240="Outlook",COUNTIF($E$2:E6240,"Outlook"),"")</f>
        <v/>
      </c>
      <c r="K6240">
        <f>IF(E6240="Domain",COUNTIF($E$2:E6240,"Domain"),"")</f>
        <v/>
      </c>
    </row>
    <row r="6241">
      <c r="A6241" s="2" t="n"/>
      <c r="B6241">
        <f>LOWER(TRIM(A6241))</f>
        <v/>
      </c>
      <c r="C6241">
        <f>IF(B6241="","",IFERROR(INDEX('Bad Patterns'!$A$2:$A$120,MATCH(1,INDEX(--ISNUMBER(SEARCH('Bad Patterns'!$A$2:$A$120,B6241)),0),0)),""))</f>
        <v/>
      </c>
      <c r="D6241">
        <f>IF(B6241="","",IF(C6241&lt;&gt;"","REMOVE","KEEP"))</f>
        <v/>
      </c>
      <c r="E6241">
        <f>IF(D6241&lt;&gt;"KEEP","",IF(RIGHT(B6241,10)="@gmail.com","Gmail",IF(OR(RIGHT(B6241,12)="@outlook.com",RIGHT(B6241,12)="@hotmail.com",RIGHT(B6241,9)="@live.com"),"Outlook","Domain")))</f>
        <v/>
      </c>
      <c r="F6241">
        <f>IF(B6241="","",IFERROR(RIGHT(B6241,LEN(B6241)-FIND("@",B6241)),""))</f>
        <v/>
      </c>
      <c r="G6241">
        <f>IF(D6241="KEEP",COUNTIF($D$2:D6241,"KEEP"),"")</f>
        <v/>
      </c>
      <c r="H6241">
        <f>IF(D6241="REMOVE",COUNTIF($D$2:D6241,"REMOVE"),"")</f>
        <v/>
      </c>
      <c r="I6241">
        <f>IF(E6241="Gmail",COUNTIF($E$2:E6241,"Gmail"),"")</f>
        <v/>
      </c>
      <c r="J6241">
        <f>IF(E6241="Outlook",COUNTIF($E$2:E6241,"Outlook"),"")</f>
        <v/>
      </c>
      <c r="K6241">
        <f>IF(E6241="Domain",COUNTIF($E$2:E6241,"Domain"),"")</f>
        <v/>
      </c>
    </row>
    <row r="6242">
      <c r="A6242" s="2" t="n"/>
      <c r="B6242">
        <f>LOWER(TRIM(A6242))</f>
        <v/>
      </c>
      <c r="C6242">
        <f>IF(B6242="","",IFERROR(INDEX('Bad Patterns'!$A$2:$A$120,MATCH(1,INDEX(--ISNUMBER(SEARCH('Bad Patterns'!$A$2:$A$120,B6242)),0),0)),""))</f>
        <v/>
      </c>
      <c r="D6242">
        <f>IF(B6242="","",IF(C6242&lt;&gt;"","REMOVE","KEEP"))</f>
        <v/>
      </c>
      <c r="E6242">
        <f>IF(D6242&lt;&gt;"KEEP","",IF(RIGHT(B6242,10)="@gmail.com","Gmail",IF(OR(RIGHT(B6242,12)="@outlook.com",RIGHT(B6242,12)="@hotmail.com",RIGHT(B6242,9)="@live.com"),"Outlook","Domain")))</f>
        <v/>
      </c>
      <c r="F6242">
        <f>IF(B6242="","",IFERROR(RIGHT(B6242,LEN(B6242)-FIND("@",B6242)),""))</f>
        <v/>
      </c>
      <c r="G6242">
        <f>IF(D6242="KEEP",COUNTIF($D$2:D6242,"KEEP"),"")</f>
        <v/>
      </c>
      <c r="H6242">
        <f>IF(D6242="REMOVE",COUNTIF($D$2:D6242,"REMOVE"),"")</f>
        <v/>
      </c>
      <c r="I6242">
        <f>IF(E6242="Gmail",COUNTIF($E$2:E6242,"Gmail"),"")</f>
        <v/>
      </c>
      <c r="J6242">
        <f>IF(E6242="Outlook",COUNTIF($E$2:E6242,"Outlook"),"")</f>
        <v/>
      </c>
      <c r="K6242">
        <f>IF(E6242="Domain",COUNTIF($E$2:E6242,"Domain"),"")</f>
        <v/>
      </c>
    </row>
    <row r="6243">
      <c r="A6243" s="2" t="n"/>
      <c r="B6243">
        <f>LOWER(TRIM(A6243))</f>
        <v/>
      </c>
      <c r="C6243">
        <f>IF(B6243="","",IFERROR(INDEX('Bad Patterns'!$A$2:$A$120,MATCH(1,INDEX(--ISNUMBER(SEARCH('Bad Patterns'!$A$2:$A$120,B6243)),0),0)),""))</f>
        <v/>
      </c>
      <c r="D6243">
        <f>IF(B6243="","",IF(C6243&lt;&gt;"","REMOVE","KEEP"))</f>
        <v/>
      </c>
      <c r="E6243">
        <f>IF(D6243&lt;&gt;"KEEP","",IF(RIGHT(B6243,10)="@gmail.com","Gmail",IF(OR(RIGHT(B6243,12)="@outlook.com",RIGHT(B6243,12)="@hotmail.com",RIGHT(B6243,9)="@live.com"),"Outlook","Domain")))</f>
        <v/>
      </c>
      <c r="F6243">
        <f>IF(B6243="","",IFERROR(RIGHT(B6243,LEN(B6243)-FIND("@",B6243)),""))</f>
        <v/>
      </c>
      <c r="G6243">
        <f>IF(D6243="KEEP",COUNTIF($D$2:D6243,"KEEP"),"")</f>
        <v/>
      </c>
      <c r="H6243">
        <f>IF(D6243="REMOVE",COUNTIF($D$2:D6243,"REMOVE"),"")</f>
        <v/>
      </c>
      <c r="I6243">
        <f>IF(E6243="Gmail",COUNTIF($E$2:E6243,"Gmail"),"")</f>
        <v/>
      </c>
      <c r="J6243">
        <f>IF(E6243="Outlook",COUNTIF($E$2:E6243,"Outlook"),"")</f>
        <v/>
      </c>
      <c r="K6243">
        <f>IF(E6243="Domain",COUNTIF($E$2:E6243,"Domain"),"")</f>
        <v/>
      </c>
    </row>
    <row r="6244">
      <c r="A6244" s="2" t="n"/>
      <c r="B6244">
        <f>LOWER(TRIM(A6244))</f>
        <v/>
      </c>
      <c r="C6244">
        <f>IF(B6244="","",IFERROR(INDEX('Bad Patterns'!$A$2:$A$120,MATCH(1,INDEX(--ISNUMBER(SEARCH('Bad Patterns'!$A$2:$A$120,B6244)),0),0)),""))</f>
        <v/>
      </c>
      <c r="D6244">
        <f>IF(B6244="","",IF(C6244&lt;&gt;"","REMOVE","KEEP"))</f>
        <v/>
      </c>
      <c r="E6244">
        <f>IF(D6244&lt;&gt;"KEEP","",IF(RIGHT(B6244,10)="@gmail.com","Gmail",IF(OR(RIGHT(B6244,12)="@outlook.com",RIGHT(B6244,12)="@hotmail.com",RIGHT(B6244,9)="@live.com"),"Outlook","Domain")))</f>
        <v/>
      </c>
      <c r="F6244">
        <f>IF(B6244="","",IFERROR(RIGHT(B6244,LEN(B6244)-FIND("@",B6244)),""))</f>
        <v/>
      </c>
      <c r="G6244">
        <f>IF(D6244="KEEP",COUNTIF($D$2:D6244,"KEEP"),"")</f>
        <v/>
      </c>
      <c r="H6244">
        <f>IF(D6244="REMOVE",COUNTIF($D$2:D6244,"REMOVE"),"")</f>
        <v/>
      </c>
      <c r="I6244">
        <f>IF(E6244="Gmail",COUNTIF($E$2:E6244,"Gmail"),"")</f>
        <v/>
      </c>
      <c r="J6244">
        <f>IF(E6244="Outlook",COUNTIF($E$2:E6244,"Outlook"),"")</f>
        <v/>
      </c>
      <c r="K6244">
        <f>IF(E6244="Domain",COUNTIF($E$2:E6244,"Domain"),"")</f>
        <v/>
      </c>
    </row>
    <row r="6245">
      <c r="A6245" s="2" t="n"/>
      <c r="B6245">
        <f>LOWER(TRIM(A6245))</f>
        <v/>
      </c>
      <c r="C6245">
        <f>IF(B6245="","",IFERROR(INDEX('Bad Patterns'!$A$2:$A$120,MATCH(1,INDEX(--ISNUMBER(SEARCH('Bad Patterns'!$A$2:$A$120,B6245)),0),0)),""))</f>
        <v/>
      </c>
      <c r="D6245">
        <f>IF(B6245="","",IF(C6245&lt;&gt;"","REMOVE","KEEP"))</f>
        <v/>
      </c>
      <c r="E6245">
        <f>IF(D6245&lt;&gt;"KEEP","",IF(RIGHT(B6245,10)="@gmail.com","Gmail",IF(OR(RIGHT(B6245,12)="@outlook.com",RIGHT(B6245,12)="@hotmail.com",RIGHT(B6245,9)="@live.com"),"Outlook","Domain")))</f>
        <v/>
      </c>
      <c r="F6245">
        <f>IF(B6245="","",IFERROR(RIGHT(B6245,LEN(B6245)-FIND("@",B6245)),""))</f>
        <v/>
      </c>
      <c r="G6245">
        <f>IF(D6245="KEEP",COUNTIF($D$2:D6245,"KEEP"),"")</f>
        <v/>
      </c>
      <c r="H6245">
        <f>IF(D6245="REMOVE",COUNTIF($D$2:D6245,"REMOVE"),"")</f>
        <v/>
      </c>
      <c r="I6245">
        <f>IF(E6245="Gmail",COUNTIF($E$2:E6245,"Gmail"),"")</f>
        <v/>
      </c>
      <c r="J6245">
        <f>IF(E6245="Outlook",COUNTIF($E$2:E6245,"Outlook"),"")</f>
        <v/>
      </c>
      <c r="K6245">
        <f>IF(E6245="Domain",COUNTIF($E$2:E6245,"Domain"),"")</f>
        <v/>
      </c>
    </row>
    <row r="6246">
      <c r="A6246" s="2" t="n"/>
      <c r="B6246">
        <f>LOWER(TRIM(A6246))</f>
        <v/>
      </c>
      <c r="C6246">
        <f>IF(B6246="","",IFERROR(INDEX('Bad Patterns'!$A$2:$A$120,MATCH(1,INDEX(--ISNUMBER(SEARCH('Bad Patterns'!$A$2:$A$120,B6246)),0),0)),""))</f>
        <v/>
      </c>
      <c r="D6246">
        <f>IF(B6246="","",IF(C6246&lt;&gt;"","REMOVE","KEEP"))</f>
        <v/>
      </c>
      <c r="E6246">
        <f>IF(D6246&lt;&gt;"KEEP","",IF(RIGHT(B6246,10)="@gmail.com","Gmail",IF(OR(RIGHT(B6246,12)="@outlook.com",RIGHT(B6246,12)="@hotmail.com",RIGHT(B6246,9)="@live.com"),"Outlook","Domain")))</f>
        <v/>
      </c>
      <c r="F6246">
        <f>IF(B6246="","",IFERROR(RIGHT(B6246,LEN(B6246)-FIND("@",B6246)),""))</f>
        <v/>
      </c>
      <c r="G6246">
        <f>IF(D6246="KEEP",COUNTIF($D$2:D6246,"KEEP"),"")</f>
        <v/>
      </c>
      <c r="H6246">
        <f>IF(D6246="REMOVE",COUNTIF($D$2:D6246,"REMOVE"),"")</f>
        <v/>
      </c>
      <c r="I6246">
        <f>IF(E6246="Gmail",COUNTIF($E$2:E6246,"Gmail"),"")</f>
        <v/>
      </c>
      <c r="J6246">
        <f>IF(E6246="Outlook",COUNTIF($E$2:E6246,"Outlook"),"")</f>
        <v/>
      </c>
      <c r="K6246">
        <f>IF(E6246="Domain",COUNTIF($E$2:E6246,"Domain"),"")</f>
        <v/>
      </c>
    </row>
    <row r="6247">
      <c r="A6247" s="2" t="n"/>
      <c r="B6247">
        <f>LOWER(TRIM(A6247))</f>
        <v/>
      </c>
      <c r="C6247">
        <f>IF(B6247="","",IFERROR(INDEX('Bad Patterns'!$A$2:$A$120,MATCH(1,INDEX(--ISNUMBER(SEARCH('Bad Patterns'!$A$2:$A$120,B6247)),0),0)),""))</f>
        <v/>
      </c>
      <c r="D6247">
        <f>IF(B6247="","",IF(C6247&lt;&gt;"","REMOVE","KEEP"))</f>
        <v/>
      </c>
      <c r="E6247">
        <f>IF(D6247&lt;&gt;"KEEP","",IF(RIGHT(B6247,10)="@gmail.com","Gmail",IF(OR(RIGHT(B6247,12)="@outlook.com",RIGHT(B6247,12)="@hotmail.com",RIGHT(B6247,9)="@live.com"),"Outlook","Domain")))</f>
        <v/>
      </c>
      <c r="F6247">
        <f>IF(B6247="","",IFERROR(RIGHT(B6247,LEN(B6247)-FIND("@",B6247)),""))</f>
        <v/>
      </c>
      <c r="G6247">
        <f>IF(D6247="KEEP",COUNTIF($D$2:D6247,"KEEP"),"")</f>
        <v/>
      </c>
      <c r="H6247">
        <f>IF(D6247="REMOVE",COUNTIF($D$2:D6247,"REMOVE"),"")</f>
        <v/>
      </c>
      <c r="I6247">
        <f>IF(E6247="Gmail",COUNTIF($E$2:E6247,"Gmail"),"")</f>
        <v/>
      </c>
      <c r="J6247">
        <f>IF(E6247="Outlook",COUNTIF($E$2:E6247,"Outlook"),"")</f>
        <v/>
      </c>
      <c r="K6247">
        <f>IF(E6247="Domain",COUNTIF($E$2:E6247,"Domain"),"")</f>
        <v/>
      </c>
    </row>
    <row r="6248">
      <c r="A6248" s="2" t="n"/>
      <c r="B6248">
        <f>LOWER(TRIM(A6248))</f>
        <v/>
      </c>
      <c r="C6248">
        <f>IF(B6248="","",IFERROR(INDEX('Bad Patterns'!$A$2:$A$120,MATCH(1,INDEX(--ISNUMBER(SEARCH('Bad Patterns'!$A$2:$A$120,B6248)),0),0)),""))</f>
        <v/>
      </c>
      <c r="D6248">
        <f>IF(B6248="","",IF(C6248&lt;&gt;"","REMOVE","KEEP"))</f>
        <v/>
      </c>
      <c r="E6248">
        <f>IF(D6248&lt;&gt;"KEEP","",IF(RIGHT(B6248,10)="@gmail.com","Gmail",IF(OR(RIGHT(B6248,12)="@outlook.com",RIGHT(B6248,12)="@hotmail.com",RIGHT(B6248,9)="@live.com"),"Outlook","Domain")))</f>
        <v/>
      </c>
      <c r="F6248">
        <f>IF(B6248="","",IFERROR(RIGHT(B6248,LEN(B6248)-FIND("@",B6248)),""))</f>
        <v/>
      </c>
      <c r="G6248">
        <f>IF(D6248="KEEP",COUNTIF($D$2:D6248,"KEEP"),"")</f>
        <v/>
      </c>
      <c r="H6248">
        <f>IF(D6248="REMOVE",COUNTIF($D$2:D6248,"REMOVE"),"")</f>
        <v/>
      </c>
      <c r="I6248">
        <f>IF(E6248="Gmail",COUNTIF($E$2:E6248,"Gmail"),"")</f>
        <v/>
      </c>
      <c r="J6248">
        <f>IF(E6248="Outlook",COUNTIF($E$2:E6248,"Outlook"),"")</f>
        <v/>
      </c>
      <c r="K6248">
        <f>IF(E6248="Domain",COUNTIF($E$2:E6248,"Domain"),"")</f>
        <v/>
      </c>
    </row>
    <row r="6249">
      <c r="A6249" s="2" t="n"/>
      <c r="B6249">
        <f>LOWER(TRIM(A6249))</f>
        <v/>
      </c>
      <c r="C6249">
        <f>IF(B6249="","",IFERROR(INDEX('Bad Patterns'!$A$2:$A$120,MATCH(1,INDEX(--ISNUMBER(SEARCH('Bad Patterns'!$A$2:$A$120,B6249)),0),0)),""))</f>
        <v/>
      </c>
      <c r="D6249">
        <f>IF(B6249="","",IF(C6249&lt;&gt;"","REMOVE","KEEP"))</f>
        <v/>
      </c>
      <c r="E6249">
        <f>IF(D6249&lt;&gt;"KEEP","",IF(RIGHT(B6249,10)="@gmail.com","Gmail",IF(OR(RIGHT(B6249,12)="@outlook.com",RIGHT(B6249,12)="@hotmail.com",RIGHT(B6249,9)="@live.com"),"Outlook","Domain")))</f>
        <v/>
      </c>
      <c r="F6249">
        <f>IF(B6249="","",IFERROR(RIGHT(B6249,LEN(B6249)-FIND("@",B6249)),""))</f>
        <v/>
      </c>
      <c r="G6249">
        <f>IF(D6249="KEEP",COUNTIF($D$2:D6249,"KEEP"),"")</f>
        <v/>
      </c>
      <c r="H6249">
        <f>IF(D6249="REMOVE",COUNTIF($D$2:D6249,"REMOVE"),"")</f>
        <v/>
      </c>
      <c r="I6249">
        <f>IF(E6249="Gmail",COUNTIF($E$2:E6249,"Gmail"),"")</f>
        <v/>
      </c>
      <c r="J6249">
        <f>IF(E6249="Outlook",COUNTIF($E$2:E6249,"Outlook"),"")</f>
        <v/>
      </c>
      <c r="K6249">
        <f>IF(E6249="Domain",COUNTIF($E$2:E6249,"Domain"),"")</f>
        <v/>
      </c>
    </row>
    <row r="6250">
      <c r="A6250" s="2" t="n"/>
      <c r="B6250">
        <f>LOWER(TRIM(A6250))</f>
        <v/>
      </c>
      <c r="C6250">
        <f>IF(B6250="","",IFERROR(INDEX('Bad Patterns'!$A$2:$A$120,MATCH(1,INDEX(--ISNUMBER(SEARCH('Bad Patterns'!$A$2:$A$120,B6250)),0),0)),""))</f>
        <v/>
      </c>
      <c r="D6250">
        <f>IF(B6250="","",IF(C6250&lt;&gt;"","REMOVE","KEEP"))</f>
        <v/>
      </c>
      <c r="E6250">
        <f>IF(D6250&lt;&gt;"KEEP","",IF(RIGHT(B6250,10)="@gmail.com","Gmail",IF(OR(RIGHT(B6250,12)="@outlook.com",RIGHT(B6250,12)="@hotmail.com",RIGHT(B6250,9)="@live.com"),"Outlook","Domain")))</f>
        <v/>
      </c>
      <c r="F6250">
        <f>IF(B6250="","",IFERROR(RIGHT(B6250,LEN(B6250)-FIND("@",B6250)),""))</f>
        <v/>
      </c>
      <c r="G6250">
        <f>IF(D6250="KEEP",COUNTIF($D$2:D6250,"KEEP"),"")</f>
        <v/>
      </c>
      <c r="H6250">
        <f>IF(D6250="REMOVE",COUNTIF($D$2:D6250,"REMOVE"),"")</f>
        <v/>
      </c>
      <c r="I6250">
        <f>IF(E6250="Gmail",COUNTIF($E$2:E6250,"Gmail"),"")</f>
        <v/>
      </c>
      <c r="J6250">
        <f>IF(E6250="Outlook",COUNTIF($E$2:E6250,"Outlook"),"")</f>
        <v/>
      </c>
      <c r="K6250">
        <f>IF(E6250="Domain",COUNTIF($E$2:E6250,"Domain"),"")</f>
        <v/>
      </c>
    </row>
    <row r="6251">
      <c r="A6251" s="2" t="n"/>
      <c r="B6251">
        <f>LOWER(TRIM(A6251))</f>
        <v/>
      </c>
      <c r="C6251">
        <f>IF(B6251="","",IFERROR(INDEX('Bad Patterns'!$A$2:$A$120,MATCH(1,INDEX(--ISNUMBER(SEARCH('Bad Patterns'!$A$2:$A$120,B6251)),0),0)),""))</f>
        <v/>
      </c>
      <c r="D6251">
        <f>IF(B6251="","",IF(C6251&lt;&gt;"","REMOVE","KEEP"))</f>
        <v/>
      </c>
      <c r="E6251">
        <f>IF(D6251&lt;&gt;"KEEP","",IF(RIGHT(B6251,10)="@gmail.com","Gmail",IF(OR(RIGHT(B6251,12)="@outlook.com",RIGHT(B6251,12)="@hotmail.com",RIGHT(B6251,9)="@live.com"),"Outlook","Domain")))</f>
        <v/>
      </c>
      <c r="F6251">
        <f>IF(B6251="","",IFERROR(RIGHT(B6251,LEN(B6251)-FIND("@",B6251)),""))</f>
        <v/>
      </c>
      <c r="G6251">
        <f>IF(D6251="KEEP",COUNTIF($D$2:D6251,"KEEP"),"")</f>
        <v/>
      </c>
      <c r="H6251">
        <f>IF(D6251="REMOVE",COUNTIF($D$2:D6251,"REMOVE"),"")</f>
        <v/>
      </c>
      <c r="I6251">
        <f>IF(E6251="Gmail",COUNTIF($E$2:E6251,"Gmail"),"")</f>
        <v/>
      </c>
      <c r="J6251">
        <f>IF(E6251="Outlook",COUNTIF($E$2:E6251,"Outlook"),"")</f>
        <v/>
      </c>
      <c r="K6251">
        <f>IF(E6251="Domain",COUNTIF($E$2:E6251,"Domain"),"")</f>
        <v/>
      </c>
    </row>
    <row r="6252">
      <c r="A6252" s="2" t="n"/>
      <c r="B6252">
        <f>LOWER(TRIM(A6252))</f>
        <v/>
      </c>
      <c r="C6252">
        <f>IF(B6252="","",IFERROR(INDEX('Bad Patterns'!$A$2:$A$120,MATCH(1,INDEX(--ISNUMBER(SEARCH('Bad Patterns'!$A$2:$A$120,B6252)),0),0)),""))</f>
        <v/>
      </c>
      <c r="D6252">
        <f>IF(B6252="","",IF(C6252&lt;&gt;"","REMOVE","KEEP"))</f>
        <v/>
      </c>
      <c r="E6252">
        <f>IF(D6252&lt;&gt;"KEEP","",IF(RIGHT(B6252,10)="@gmail.com","Gmail",IF(OR(RIGHT(B6252,12)="@outlook.com",RIGHT(B6252,12)="@hotmail.com",RIGHT(B6252,9)="@live.com"),"Outlook","Domain")))</f>
        <v/>
      </c>
      <c r="F6252">
        <f>IF(B6252="","",IFERROR(RIGHT(B6252,LEN(B6252)-FIND("@",B6252)),""))</f>
        <v/>
      </c>
      <c r="G6252">
        <f>IF(D6252="KEEP",COUNTIF($D$2:D6252,"KEEP"),"")</f>
        <v/>
      </c>
      <c r="H6252">
        <f>IF(D6252="REMOVE",COUNTIF($D$2:D6252,"REMOVE"),"")</f>
        <v/>
      </c>
      <c r="I6252">
        <f>IF(E6252="Gmail",COUNTIF($E$2:E6252,"Gmail"),"")</f>
        <v/>
      </c>
      <c r="J6252">
        <f>IF(E6252="Outlook",COUNTIF($E$2:E6252,"Outlook"),"")</f>
        <v/>
      </c>
      <c r="K6252">
        <f>IF(E6252="Domain",COUNTIF($E$2:E6252,"Domain"),"")</f>
        <v/>
      </c>
    </row>
    <row r="6253">
      <c r="A6253" s="2" t="n"/>
      <c r="B6253">
        <f>LOWER(TRIM(A6253))</f>
        <v/>
      </c>
      <c r="C6253">
        <f>IF(B6253="","",IFERROR(INDEX('Bad Patterns'!$A$2:$A$120,MATCH(1,INDEX(--ISNUMBER(SEARCH('Bad Patterns'!$A$2:$A$120,B6253)),0),0)),""))</f>
        <v/>
      </c>
      <c r="D6253">
        <f>IF(B6253="","",IF(C6253&lt;&gt;"","REMOVE","KEEP"))</f>
        <v/>
      </c>
      <c r="E6253">
        <f>IF(D6253&lt;&gt;"KEEP","",IF(RIGHT(B6253,10)="@gmail.com","Gmail",IF(OR(RIGHT(B6253,12)="@outlook.com",RIGHT(B6253,12)="@hotmail.com",RIGHT(B6253,9)="@live.com"),"Outlook","Domain")))</f>
        <v/>
      </c>
      <c r="F6253">
        <f>IF(B6253="","",IFERROR(RIGHT(B6253,LEN(B6253)-FIND("@",B6253)),""))</f>
        <v/>
      </c>
      <c r="G6253">
        <f>IF(D6253="KEEP",COUNTIF($D$2:D6253,"KEEP"),"")</f>
        <v/>
      </c>
      <c r="H6253">
        <f>IF(D6253="REMOVE",COUNTIF($D$2:D6253,"REMOVE"),"")</f>
        <v/>
      </c>
      <c r="I6253">
        <f>IF(E6253="Gmail",COUNTIF($E$2:E6253,"Gmail"),"")</f>
        <v/>
      </c>
      <c r="J6253">
        <f>IF(E6253="Outlook",COUNTIF($E$2:E6253,"Outlook"),"")</f>
        <v/>
      </c>
      <c r="K6253">
        <f>IF(E6253="Domain",COUNTIF($E$2:E6253,"Domain"),"")</f>
        <v/>
      </c>
    </row>
    <row r="6254">
      <c r="A6254" s="2" t="n"/>
      <c r="B6254">
        <f>LOWER(TRIM(A6254))</f>
        <v/>
      </c>
      <c r="C6254">
        <f>IF(B6254="","",IFERROR(INDEX('Bad Patterns'!$A$2:$A$120,MATCH(1,INDEX(--ISNUMBER(SEARCH('Bad Patterns'!$A$2:$A$120,B6254)),0),0)),""))</f>
        <v/>
      </c>
      <c r="D6254">
        <f>IF(B6254="","",IF(C6254&lt;&gt;"","REMOVE","KEEP"))</f>
        <v/>
      </c>
      <c r="E6254">
        <f>IF(D6254&lt;&gt;"KEEP","",IF(RIGHT(B6254,10)="@gmail.com","Gmail",IF(OR(RIGHT(B6254,12)="@outlook.com",RIGHT(B6254,12)="@hotmail.com",RIGHT(B6254,9)="@live.com"),"Outlook","Domain")))</f>
        <v/>
      </c>
      <c r="F6254">
        <f>IF(B6254="","",IFERROR(RIGHT(B6254,LEN(B6254)-FIND("@",B6254)),""))</f>
        <v/>
      </c>
      <c r="G6254">
        <f>IF(D6254="KEEP",COUNTIF($D$2:D6254,"KEEP"),"")</f>
        <v/>
      </c>
      <c r="H6254">
        <f>IF(D6254="REMOVE",COUNTIF($D$2:D6254,"REMOVE"),"")</f>
        <v/>
      </c>
      <c r="I6254">
        <f>IF(E6254="Gmail",COUNTIF($E$2:E6254,"Gmail"),"")</f>
        <v/>
      </c>
      <c r="J6254">
        <f>IF(E6254="Outlook",COUNTIF($E$2:E6254,"Outlook"),"")</f>
        <v/>
      </c>
      <c r="K6254">
        <f>IF(E6254="Domain",COUNTIF($E$2:E6254,"Domain"),"")</f>
        <v/>
      </c>
    </row>
    <row r="6255">
      <c r="A6255" s="2" t="n"/>
      <c r="B6255">
        <f>LOWER(TRIM(A6255))</f>
        <v/>
      </c>
      <c r="C6255">
        <f>IF(B6255="","",IFERROR(INDEX('Bad Patterns'!$A$2:$A$120,MATCH(1,INDEX(--ISNUMBER(SEARCH('Bad Patterns'!$A$2:$A$120,B6255)),0),0)),""))</f>
        <v/>
      </c>
      <c r="D6255">
        <f>IF(B6255="","",IF(C6255&lt;&gt;"","REMOVE","KEEP"))</f>
        <v/>
      </c>
      <c r="E6255">
        <f>IF(D6255&lt;&gt;"KEEP","",IF(RIGHT(B6255,10)="@gmail.com","Gmail",IF(OR(RIGHT(B6255,12)="@outlook.com",RIGHT(B6255,12)="@hotmail.com",RIGHT(B6255,9)="@live.com"),"Outlook","Domain")))</f>
        <v/>
      </c>
      <c r="F6255">
        <f>IF(B6255="","",IFERROR(RIGHT(B6255,LEN(B6255)-FIND("@",B6255)),""))</f>
        <v/>
      </c>
      <c r="G6255">
        <f>IF(D6255="KEEP",COUNTIF($D$2:D6255,"KEEP"),"")</f>
        <v/>
      </c>
      <c r="H6255">
        <f>IF(D6255="REMOVE",COUNTIF($D$2:D6255,"REMOVE"),"")</f>
        <v/>
      </c>
      <c r="I6255">
        <f>IF(E6255="Gmail",COUNTIF($E$2:E6255,"Gmail"),"")</f>
        <v/>
      </c>
      <c r="J6255">
        <f>IF(E6255="Outlook",COUNTIF($E$2:E6255,"Outlook"),"")</f>
        <v/>
      </c>
      <c r="K6255">
        <f>IF(E6255="Domain",COUNTIF($E$2:E6255,"Domain"),"")</f>
        <v/>
      </c>
    </row>
    <row r="6256">
      <c r="A6256" s="2" t="n"/>
      <c r="B6256">
        <f>LOWER(TRIM(A6256))</f>
        <v/>
      </c>
      <c r="C6256">
        <f>IF(B6256="","",IFERROR(INDEX('Bad Patterns'!$A$2:$A$120,MATCH(1,INDEX(--ISNUMBER(SEARCH('Bad Patterns'!$A$2:$A$120,B6256)),0),0)),""))</f>
        <v/>
      </c>
      <c r="D6256">
        <f>IF(B6256="","",IF(C6256&lt;&gt;"","REMOVE","KEEP"))</f>
        <v/>
      </c>
      <c r="E6256">
        <f>IF(D6256&lt;&gt;"KEEP","",IF(RIGHT(B6256,10)="@gmail.com","Gmail",IF(OR(RIGHT(B6256,12)="@outlook.com",RIGHT(B6256,12)="@hotmail.com",RIGHT(B6256,9)="@live.com"),"Outlook","Domain")))</f>
        <v/>
      </c>
      <c r="F6256">
        <f>IF(B6256="","",IFERROR(RIGHT(B6256,LEN(B6256)-FIND("@",B6256)),""))</f>
        <v/>
      </c>
      <c r="G6256">
        <f>IF(D6256="KEEP",COUNTIF($D$2:D6256,"KEEP"),"")</f>
        <v/>
      </c>
      <c r="H6256">
        <f>IF(D6256="REMOVE",COUNTIF($D$2:D6256,"REMOVE"),"")</f>
        <v/>
      </c>
      <c r="I6256">
        <f>IF(E6256="Gmail",COUNTIF($E$2:E6256,"Gmail"),"")</f>
        <v/>
      </c>
      <c r="J6256">
        <f>IF(E6256="Outlook",COUNTIF($E$2:E6256,"Outlook"),"")</f>
        <v/>
      </c>
      <c r="K6256">
        <f>IF(E6256="Domain",COUNTIF($E$2:E6256,"Domain"),"")</f>
        <v/>
      </c>
    </row>
    <row r="6257">
      <c r="A6257" s="2" t="n"/>
      <c r="B6257">
        <f>LOWER(TRIM(A6257))</f>
        <v/>
      </c>
      <c r="C6257">
        <f>IF(B6257="","",IFERROR(INDEX('Bad Patterns'!$A$2:$A$120,MATCH(1,INDEX(--ISNUMBER(SEARCH('Bad Patterns'!$A$2:$A$120,B6257)),0),0)),""))</f>
        <v/>
      </c>
      <c r="D6257">
        <f>IF(B6257="","",IF(C6257&lt;&gt;"","REMOVE","KEEP"))</f>
        <v/>
      </c>
      <c r="E6257">
        <f>IF(D6257&lt;&gt;"KEEP","",IF(RIGHT(B6257,10)="@gmail.com","Gmail",IF(OR(RIGHT(B6257,12)="@outlook.com",RIGHT(B6257,12)="@hotmail.com",RIGHT(B6257,9)="@live.com"),"Outlook","Domain")))</f>
        <v/>
      </c>
      <c r="F6257">
        <f>IF(B6257="","",IFERROR(RIGHT(B6257,LEN(B6257)-FIND("@",B6257)),""))</f>
        <v/>
      </c>
      <c r="G6257">
        <f>IF(D6257="KEEP",COUNTIF($D$2:D6257,"KEEP"),"")</f>
        <v/>
      </c>
      <c r="H6257">
        <f>IF(D6257="REMOVE",COUNTIF($D$2:D6257,"REMOVE"),"")</f>
        <v/>
      </c>
      <c r="I6257">
        <f>IF(E6257="Gmail",COUNTIF($E$2:E6257,"Gmail"),"")</f>
        <v/>
      </c>
      <c r="J6257">
        <f>IF(E6257="Outlook",COUNTIF($E$2:E6257,"Outlook"),"")</f>
        <v/>
      </c>
      <c r="K6257">
        <f>IF(E6257="Domain",COUNTIF($E$2:E6257,"Domain"),"")</f>
        <v/>
      </c>
    </row>
    <row r="6258">
      <c r="A6258" s="2" t="n"/>
      <c r="B6258">
        <f>LOWER(TRIM(A6258))</f>
        <v/>
      </c>
      <c r="C6258">
        <f>IF(B6258="","",IFERROR(INDEX('Bad Patterns'!$A$2:$A$120,MATCH(1,INDEX(--ISNUMBER(SEARCH('Bad Patterns'!$A$2:$A$120,B6258)),0),0)),""))</f>
        <v/>
      </c>
      <c r="D6258">
        <f>IF(B6258="","",IF(C6258&lt;&gt;"","REMOVE","KEEP"))</f>
        <v/>
      </c>
      <c r="E6258">
        <f>IF(D6258&lt;&gt;"KEEP","",IF(RIGHT(B6258,10)="@gmail.com","Gmail",IF(OR(RIGHT(B6258,12)="@outlook.com",RIGHT(B6258,12)="@hotmail.com",RIGHT(B6258,9)="@live.com"),"Outlook","Domain")))</f>
        <v/>
      </c>
      <c r="F6258">
        <f>IF(B6258="","",IFERROR(RIGHT(B6258,LEN(B6258)-FIND("@",B6258)),""))</f>
        <v/>
      </c>
      <c r="G6258">
        <f>IF(D6258="KEEP",COUNTIF($D$2:D6258,"KEEP"),"")</f>
        <v/>
      </c>
      <c r="H6258">
        <f>IF(D6258="REMOVE",COUNTIF($D$2:D6258,"REMOVE"),"")</f>
        <v/>
      </c>
      <c r="I6258">
        <f>IF(E6258="Gmail",COUNTIF($E$2:E6258,"Gmail"),"")</f>
        <v/>
      </c>
      <c r="J6258">
        <f>IF(E6258="Outlook",COUNTIF($E$2:E6258,"Outlook"),"")</f>
        <v/>
      </c>
      <c r="K6258">
        <f>IF(E6258="Domain",COUNTIF($E$2:E6258,"Domain"),"")</f>
        <v/>
      </c>
    </row>
    <row r="6259">
      <c r="A6259" s="2" t="n"/>
      <c r="B6259">
        <f>LOWER(TRIM(A6259))</f>
        <v/>
      </c>
      <c r="C6259">
        <f>IF(B6259="","",IFERROR(INDEX('Bad Patterns'!$A$2:$A$120,MATCH(1,INDEX(--ISNUMBER(SEARCH('Bad Patterns'!$A$2:$A$120,B6259)),0),0)),""))</f>
        <v/>
      </c>
      <c r="D6259">
        <f>IF(B6259="","",IF(C6259&lt;&gt;"","REMOVE","KEEP"))</f>
        <v/>
      </c>
      <c r="E6259">
        <f>IF(D6259&lt;&gt;"KEEP","",IF(RIGHT(B6259,10)="@gmail.com","Gmail",IF(OR(RIGHT(B6259,12)="@outlook.com",RIGHT(B6259,12)="@hotmail.com",RIGHT(B6259,9)="@live.com"),"Outlook","Domain")))</f>
        <v/>
      </c>
      <c r="F6259">
        <f>IF(B6259="","",IFERROR(RIGHT(B6259,LEN(B6259)-FIND("@",B6259)),""))</f>
        <v/>
      </c>
      <c r="G6259">
        <f>IF(D6259="KEEP",COUNTIF($D$2:D6259,"KEEP"),"")</f>
        <v/>
      </c>
      <c r="H6259">
        <f>IF(D6259="REMOVE",COUNTIF($D$2:D6259,"REMOVE"),"")</f>
        <v/>
      </c>
      <c r="I6259">
        <f>IF(E6259="Gmail",COUNTIF($E$2:E6259,"Gmail"),"")</f>
        <v/>
      </c>
      <c r="J6259">
        <f>IF(E6259="Outlook",COUNTIF($E$2:E6259,"Outlook"),"")</f>
        <v/>
      </c>
      <c r="K6259">
        <f>IF(E6259="Domain",COUNTIF($E$2:E6259,"Domain"),"")</f>
        <v/>
      </c>
    </row>
    <row r="6260">
      <c r="A6260" s="2" t="n"/>
      <c r="B6260">
        <f>LOWER(TRIM(A6260))</f>
        <v/>
      </c>
      <c r="C6260">
        <f>IF(B6260="","",IFERROR(INDEX('Bad Patterns'!$A$2:$A$120,MATCH(1,INDEX(--ISNUMBER(SEARCH('Bad Patterns'!$A$2:$A$120,B6260)),0),0)),""))</f>
        <v/>
      </c>
      <c r="D6260">
        <f>IF(B6260="","",IF(C6260&lt;&gt;"","REMOVE","KEEP"))</f>
        <v/>
      </c>
      <c r="E6260">
        <f>IF(D6260&lt;&gt;"KEEP","",IF(RIGHT(B6260,10)="@gmail.com","Gmail",IF(OR(RIGHT(B6260,12)="@outlook.com",RIGHT(B6260,12)="@hotmail.com",RIGHT(B6260,9)="@live.com"),"Outlook","Domain")))</f>
        <v/>
      </c>
      <c r="F6260">
        <f>IF(B6260="","",IFERROR(RIGHT(B6260,LEN(B6260)-FIND("@",B6260)),""))</f>
        <v/>
      </c>
      <c r="G6260">
        <f>IF(D6260="KEEP",COUNTIF($D$2:D6260,"KEEP"),"")</f>
        <v/>
      </c>
      <c r="H6260">
        <f>IF(D6260="REMOVE",COUNTIF($D$2:D6260,"REMOVE"),"")</f>
        <v/>
      </c>
      <c r="I6260">
        <f>IF(E6260="Gmail",COUNTIF($E$2:E6260,"Gmail"),"")</f>
        <v/>
      </c>
      <c r="J6260">
        <f>IF(E6260="Outlook",COUNTIF($E$2:E6260,"Outlook"),"")</f>
        <v/>
      </c>
      <c r="K6260">
        <f>IF(E6260="Domain",COUNTIF($E$2:E6260,"Domain"),"")</f>
        <v/>
      </c>
    </row>
    <row r="6261">
      <c r="A6261" s="2" t="n"/>
      <c r="B6261">
        <f>LOWER(TRIM(A6261))</f>
        <v/>
      </c>
      <c r="C6261">
        <f>IF(B6261="","",IFERROR(INDEX('Bad Patterns'!$A$2:$A$120,MATCH(1,INDEX(--ISNUMBER(SEARCH('Bad Patterns'!$A$2:$A$120,B6261)),0),0)),""))</f>
        <v/>
      </c>
      <c r="D6261">
        <f>IF(B6261="","",IF(C6261&lt;&gt;"","REMOVE","KEEP"))</f>
        <v/>
      </c>
      <c r="E6261">
        <f>IF(D6261&lt;&gt;"KEEP","",IF(RIGHT(B6261,10)="@gmail.com","Gmail",IF(OR(RIGHT(B6261,12)="@outlook.com",RIGHT(B6261,12)="@hotmail.com",RIGHT(B6261,9)="@live.com"),"Outlook","Domain")))</f>
        <v/>
      </c>
      <c r="F6261">
        <f>IF(B6261="","",IFERROR(RIGHT(B6261,LEN(B6261)-FIND("@",B6261)),""))</f>
        <v/>
      </c>
      <c r="G6261">
        <f>IF(D6261="KEEP",COUNTIF($D$2:D6261,"KEEP"),"")</f>
        <v/>
      </c>
      <c r="H6261">
        <f>IF(D6261="REMOVE",COUNTIF($D$2:D6261,"REMOVE"),"")</f>
        <v/>
      </c>
      <c r="I6261">
        <f>IF(E6261="Gmail",COUNTIF($E$2:E6261,"Gmail"),"")</f>
        <v/>
      </c>
      <c r="J6261">
        <f>IF(E6261="Outlook",COUNTIF($E$2:E6261,"Outlook"),"")</f>
        <v/>
      </c>
      <c r="K6261">
        <f>IF(E6261="Domain",COUNTIF($E$2:E6261,"Domain"),"")</f>
        <v/>
      </c>
    </row>
    <row r="6262">
      <c r="A6262" s="2" t="n"/>
      <c r="B6262">
        <f>LOWER(TRIM(A6262))</f>
        <v/>
      </c>
      <c r="C6262">
        <f>IF(B6262="","",IFERROR(INDEX('Bad Patterns'!$A$2:$A$120,MATCH(1,INDEX(--ISNUMBER(SEARCH('Bad Patterns'!$A$2:$A$120,B6262)),0),0)),""))</f>
        <v/>
      </c>
      <c r="D6262">
        <f>IF(B6262="","",IF(C6262&lt;&gt;"","REMOVE","KEEP"))</f>
        <v/>
      </c>
      <c r="E6262">
        <f>IF(D6262&lt;&gt;"KEEP","",IF(RIGHT(B6262,10)="@gmail.com","Gmail",IF(OR(RIGHT(B6262,12)="@outlook.com",RIGHT(B6262,12)="@hotmail.com",RIGHT(B6262,9)="@live.com"),"Outlook","Domain")))</f>
        <v/>
      </c>
      <c r="F6262">
        <f>IF(B6262="","",IFERROR(RIGHT(B6262,LEN(B6262)-FIND("@",B6262)),""))</f>
        <v/>
      </c>
      <c r="G6262">
        <f>IF(D6262="KEEP",COUNTIF($D$2:D6262,"KEEP"),"")</f>
        <v/>
      </c>
      <c r="H6262">
        <f>IF(D6262="REMOVE",COUNTIF($D$2:D6262,"REMOVE"),"")</f>
        <v/>
      </c>
      <c r="I6262">
        <f>IF(E6262="Gmail",COUNTIF($E$2:E6262,"Gmail"),"")</f>
        <v/>
      </c>
      <c r="J6262">
        <f>IF(E6262="Outlook",COUNTIF($E$2:E6262,"Outlook"),"")</f>
        <v/>
      </c>
      <c r="K6262">
        <f>IF(E6262="Domain",COUNTIF($E$2:E6262,"Domain"),"")</f>
        <v/>
      </c>
    </row>
    <row r="6263">
      <c r="A6263" s="2" t="n"/>
      <c r="B6263">
        <f>LOWER(TRIM(A6263))</f>
        <v/>
      </c>
      <c r="C6263">
        <f>IF(B6263="","",IFERROR(INDEX('Bad Patterns'!$A$2:$A$120,MATCH(1,INDEX(--ISNUMBER(SEARCH('Bad Patterns'!$A$2:$A$120,B6263)),0),0)),""))</f>
        <v/>
      </c>
      <c r="D6263">
        <f>IF(B6263="","",IF(C6263&lt;&gt;"","REMOVE","KEEP"))</f>
        <v/>
      </c>
      <c r="E6263">
        <f>IF(D6263&lt;&gt;"KEEP","",IF(RIGHT(B6263,10)="@gmail.com","Gmail",IF(OR(RIGHT(B6263,12)="@outlook.com",RIGHT(B6263,12)="@hotmail.com",RIGHT(B6263,9)="@live.com"),"Outlook","Domain")))</f>
        <v/>
      </c>
      <c r="F6263">
        <f>IF(B6263="","",IFERROR(RIGHT(B6263,LEN(B6263)-FIND("@",B6263)),""))</f>
        <v/>
      </c>
      <c r="G6263">
        <f>IF(D6263="KEEP",COUNTIF($D$2:D6263,"KEEP"),"")</f>
        <v/>
      </c>
      <c r="H6263">
        <f>IF(D6263="REMOVE",COUNTIF($D$2:D6263,"REMOVE"),"")</f>
        <v/>
      </c>
      <c r="I6263">
        <f>IF(E6263="Gmail",COUNTIF($E$2:E6263,"Gmail"),"")</f>
        <v/>
      </c>
      <c r="J6263">
        <f>IF(E6263="Outlook",COUNTIF($E$2:E6263,"Outlook"),"")</f>
        <v/>
      </c>
      <c r="K6263">
        <f>IF(E6263="Domain",COUNTIF($E$2:E6263,"Domain"),"")</f>
        <v/>
      </c>
    </row>
    <row r="6264">
      <c r="A6264" s="2" t="n"/>
      <c r="B6264">
        <f>LOWER(TRIM(A6264))</f>
        <v/>
      </c>
      <c r="C6264">
        <f>IF(B6264="","",IFERROR(INDEX('Bad Patterns'!$A$2:$A$120,MATCH(1,INDEX(--ISNUMBER(SEARCH('Bad Patterns'!$A$2:$A$120,B6264)),0),0)),""))</f>
        <v/>
      </c>
      <c r="D6264">
        <f>IF(B6264="","",IF(C6264&lt;&gt;"","REMOVE","KEEP"))</f>
        <v/>
      </c>
      <c r="E6264">
        <f>IF(D6264&lt;&gt;"KEEP","",IF(RIGHT(B6264,10)="@gmail.com","Gmail",IF(OR(RIGHT(B6264,12)="@outlook.com",RIGHT(B6264,12)="@hotmail.com",RIGHT(B6264,9)="@live.com"),"Outlook","Domain")))</f>
        <v/>
      </c>
      <c r="F6264">
        <f>IF(B6264="","",IFERROR(RIGHT(B6264,LEN(B6264)-FIND("@",B6264)),""))</f>
        <v/>
      </c>
      <c r="G6264">
        <f>IF(D6264="KEEP",COUNTIF($D$2:D6264,"KEEP"),"")</f>
        <v/>
      </c>
      <c r="H6264">
        <f>IF(D6264="REMOVE",COUNTIF($D$2:D6264,"REMOVE"),"")</f>
        <v/>
      </c>
      <c r="I6264">
        <f>IF(E6264="Gmail",COUNTIF($E$2:E6264,"Gmail"),"")</f>
        <v/>
      </c>
      <c r="J6264">
        <f>IF(E6264="Outlook",COUNTIF($E$2:E6264,"Outlook"),"")</f>
        <v/>
      </c>
      <c r="K6264">
        <f>IF(E6264="Domain",COUNTIF($E$2:E6264,"Domain"),"")</f>
        <v/>
      </c>
    </row>
    <row r="6265">
      <c r="A6265" s="2" t="n"/>
      <c r="B6265">
        <f>LOWER(TRIM(A6265))</f>
        <v/>
      </c>
      <c r="C6265">
        <f>IF(B6265="","",IFERROR(INDEX('Bad Patterns'!$A$2:$A$120,MATCH(1,INDEX(--ISNUMBER(SEARCH('Bad Patterns'!$A$2:$A$120,B6265)),0),0)),""))</f>
        <v/>
      </c>
      <c r="D6265">
        <f>IF(B6265="","",IF(C6265&lt;&gt;"","REMOVE","KEEP"))</f>
        <v/>
      </c>
      <c r="E6265">
        <f>IF(D6265&lt;&gt;"KEEP","",IF(RIGHT(B6265,10)="@gmail.com","Gmail",IF(OR(RIGHT(B6265,12)="@outlook.com",RIGHT(B6265,12)="@hotmail.com",RIGHT(B6265,9)="@live.com"),"Outlook","Domain")))</f>
        <v/>
      </c>
      <c r="F6265">
        <f>IF(B6265="","",IFERROR(RIGHT(B6265,LEN(B6265)-FIND("@",B6265)),""))</f>
        <v/>
      </c>
      <c r="G6265">
        <f>IF(D6265="KEEP",COUNTIF($D$2:D6265,"KEEP"),"")</f>
        <v/>
      </c>
      <c r="H6265">
        <f>IF(D6265="REMOVE",COUNTIF($D$2:D6265,"REMOVE"),"")</f>
        <v/>
      </c>
      <c r="I6265">
        <f>IF(E6265="Gmail",COUNTIF($E$2:E6265,"Gmail"),"")</f>
        <v/>
      </c>
      <c r="J6265">
        <f>IF(E6265="Outlook",COUNTIF($E$2:E6265,"Outlook"),"")</f>
        <v/>
      </c>
      <c r="K6265">
        <f>IF(E6265="Domain",COUNTIF($E$2:E6265,"Domain"),"")</f>
        <v/>
      </c>
    </row>
    <row r="6266">
      <c r="A6266" s="2" t="n"/>
      <c r="B6266">
        <f>LOWER(TRIM(A6266))</f>
        <v/>
      </c>
      <c r="C6266">
        <f>IF(B6266="","",IFERROR(INDEX('Bad Patterns'!$A$2:$A$120,MATCH(1,INDEX(--ISNUMBER(SEARCH('Bad Patterns'!$A$2:$A$120,B6266)),0),0)),""))</f>
        <v/>
      </c>
      <c r="D6266">
        <f>IF(B6266="","",IF(C6266&lt;&gt;"","REMOVE","KEEP"))</f>
        <v/>
      </c>
      <c r="E6266">
        <f>IF(D6266&lt;&gt;"KEEP","",IF(RIGHT(B6266,10)="@gmail.com","Gmail",IF(OR(RIGHT(B6266,12)="@outlook.com",RIGHT(B6266,12)="@hotmail.com",RIGHT(B6266,9)="@live.com"),"Outlook","Domain")))</f>
        <v/>
      </c>
      <c r="F6266">
        <f>IF(B6266="","",IFERROR(RIGHT(B6266,LEN(B6266)-FIND("@",B6266)),""))</f>
        <v/>
      </c>
      <c r="G6266">
        <f>IF(D6266="KEEP",COUNTIF($D$2:D6266,"KEEP"),"")</f>
        <v/>
      </c>
      <c r="H6266">
        <f>IF(D6266="REMOVE",COUNTIF($D$2:D6266,"REMOVE"),"")</f>
        <v/>
      </c>
      <c r="I6266">
        <f>IF(E6266="Gmail",COUNTIF($E$2:E6266,"Gmail"),"")</f>
        <v/>
      </c>
      <c r="J6266">
        <f>IF(E6266="Outlook",COUNTIF($E$2:E6266,"Outlook"),"")</f>
        <v/>
      </c>
      <c r="K6266">
        <f>IF(E6266="Domain",COUNTIF($E$2:E6266,"Domain"),"")</f>
        <v/>
      </c>
    </row>
    <row r="6267">
      <c r="A6267" s="2" t="n"/>
      <c r="B6267">
        <f>LOWER(TRIM(A6267))</f>
        <v/>
      </c>
      <c r="C6267">
        <f>IF(B6267="","",IFERROR(INDEX('Bad Patterns'!$A$2:$A$120,MATCH(1,INDEX(--ISNUMBER(SEARCH('Bad Patterns'!$A$2:$A$120,B6267)),0),0)),""))</f>
        <v/>
      </c>
      <c r="D6267">
        <f>IF(B6267="","",IF(C6267&lt;&gt;"","REMOVE","KEEP"))</f>
        <v/>
      </c>
      <c r="E6267">
        <f>IF(D6267&lt;&gt;"KEEP","",IF(RIGHT(B6267,10)="@gmail.com","Gmail",IF(OR(RIGHT(B6267,12)="@outlook.com",RIGHT(B6267,12)="@hotmail.com",RIGHT(B6267,9)="@live.com"),"Outlook","Domain")))</f>
        <v/>
      </c>
      <c r="F6267">
        <f>IF(B6267="","",IFERROR(RIGHT(B6267,LEN(B6267)-FIND("@",B6267)),""))</f>
        <v/>
      </c>
      <c r="G6267">
        <f>IF(D6267="KEEP",COUNTIF($D$2:D6267,"KEEP"),"")</f>
        <v/>
      </c>
      <c r="H6267">
        <f>IF(D6267="REMOVE",COUNTIF($D$2:D6267,"REMOVE"),"")</f>
        <v/>
      </c>
      <c r="I6267">
        <f>IF(E6267="Gmail",COUNTIF($E$2:E6267,"Gmail"),"")</f>
        <v/>
      </c>
      <c r="J6267">
        <f>IF(E6267="Outlook",COUNTIF($E$2:E6267,"Outlook"),"")</f>
        <v/>
      </c>
      <c r="K6267">
        <f>IF(E6267="Domain",COUNTIF($E$2:E6267,"Domain"),"")</f>
        <v/>
      </c>
    </row>
    <row r="6268">
      <c r="A6268" s="2" t="n"/>
      <c r="B6268">
        <f>LOWER(TRIM(A6268))</f>
        <v/>
      </c>
      <c r="C6268">
        <f>IF(B6268="","",IFERROR(INDEX('Bad Patterns'!$A$2:$A$120,MATCH(1,INDEX(--ISNUMBER(SEARCH('Bad Patterns'!$A$2:$A$120,B6268)),0),0)),""))</f>
        <v/>
      </c>
      <c r="D6268">
        <f>IF(B6268="","",IF(C6268&lt;&gt;"","REMOVE","KEEP"))</f>
        <v/>
      </c>
      <c r="E6268">
        <f>IF(D6268&lt;&gt;"KEEP","",IF(RIGHT(B6268,10)="@gmail.com","Gmail",IF(OR(RIGHT(B6268,12)="@outlook.com",RIGHT(B6268,12)="@hotmail.com",RIGHT(B6268,9)="@live.com"),"Outlook","Domain")))</f>
        <v/>
      </c>
      <c r="F6268">
        <f>IF(B6268="","",IFERROR(RIGHT(B6268,LEN(B6268)-FIND("@",B6268)),""))</f>
        <v/>
      </c>
      <c r="G6268">
        <f>IF(D6268="KEEP",COUNTIF($D$2:D6268,"KEEP"),"")</f>
        <v/>
      </c>
      <c r="H6268">
        <f>IF(D6268="REMOVE",COUNTIF($D$2:D6268,"REMOVE"),"")</f>
        <v/>
      </c>
      <c r="I6268">
        <f>IF(E6268="Gmail",COUNTIF($E$2:E6268,"Gmail"),"")</f>
        <v/>
      </c>
      <c r="J6268">
        <f>IF(E6268="Outlook",COUNTIF($E$2:E6268,"Outlook"),"")</f>
        <v/>
      </c>
      <c r="K6268">
        <f>IF(E6268="Domain",COUNTIF($E$2:E6268,"Domain"),"")</f>
        <v/>
      </c>
    </row>
    <row r="6269">
      <c r="A6269" s="2" t="n"/>
      <c r="B6269">
        <f>LOWER(TRIM(A6269))</f>
        <v/>
      </c>
      <c r="C6269">
        <f>IF(B6269="","",IFERROR(INDEX('Bad Patterns'!$A$2:$A$120,MATCH(1,INDEX(--ISNUMBER(SEARCH('Bad Patterns'!$A$2:$A$120,B6269)),0),0)),""))</f>
        <v/>
      </c>
      <c r="D6269">
        <f>IF(B6269="","",IF(C6269&lt;&gt;"","REMOVE","KEEP"))</f>
        <v/>
      </c>
      <c r="E6269">
        <f>IF(D6269&lt;&gt;"KEEP","",IF(RIGHT(B6269,10)="@gmail.com","Gmail",IF(OR(RIGHT(B6269,12)="@outlook.com",RIGHT(B6269,12)="@hotmail.com",RIGHT(B6269,9)="@live.com"),"Outlook","Domain")))</f>
        <v/>
      </c>
      <c r="F6269">
        <f>IF(B6269="","",IFERROR(RIGHT(B6269,LEN(B6269)-FIND("@",B6269)),""))</f>
        <v/>
      </c>
      <c r="G6269">
        <f>IF(D6269="KEEP",COUNTIF($D$2:D6269,"KEEP"),"")</f>
        <v/>
      </c>
      <c r="H6269">
        <f>IF(D6269="REMOVE",COUNTIF($D$2:D6269,"REMOVE"),"")</f>
        <v/>
      </c>
      <c r="I6269">
        <f>IF(E6269="Gmail",COUNTIF($E$2:E6269,"Gmail"),"")</f>
        <v/>
      </c>
      <c r="J6269">
        <f>IF(E6269="Outlook",COUNTIF($E$2:E6269,"Outlook"),"")</f>
        <v/>
      </c>
      <c r="K6269">
        <f>IF(E6269="Domain",COUNTIF($E$2:E6269,"Domain"),"")</f>
        <v/>
      </c>
    </row>
    <row r="6270">
      <c r="A6270" s="2" t="n"/>
      <c r="B6270">
        <f>LOWER(TRIM(A6270))</f>
        <v/>
      </c>
      <c r="C6270">
        <f>IF(B6270="","",IFERROR(INDEX('Bad Patterns'!$A$2:$A$120,MATCH(1,INDEX(--ISNUMBER(SEARCH('Bad Patterns'!$A$2:$A$120,B6270)),0),0)),""))</f>
        <v/>
      </c>
      <c r="D6270">
        <f>IF(B6270="","",IF(C6270&lt;&gt;"","REMOVE","KEEP"))</f>
        <v/>
      </c>
      <c r="E6270">
        <f>IF(D6270&lt;&gt;"KEEP","",IF(RIGHT(B6270,10)="@gmail.com","Gmail",IF(OR(RIGHT(B6270,12)="@outlook.com",RIGHT(B6270,12)="@hotmail.com",RIGHT(B6270,9)="@live.com"),"Outlook","Domain")))</f>
        <v/>
      </c>
      <c r="F6270">
        <f>IF(B6270="","",IFERROR(RIGHT(B6270,LEN(B6270)-FIND("@",B6270)),""))</f>
        <v/>
      </c>
      <c r="G6270">
        <f>IF(D6270="KEEP",COUNTIF($D$2:D6270,"KEEP"),"")</f>
        <v/>
      </c>
      <c r="H6270">
        <f>IF(D6270="REMOVE",COUNTIF($D$2:D6270,"REMOVE"),"")</f>
        <v/>
      </c>
      <c r="I6270">
        <f>IF(E6270="Gmail",COUNTIF($E$2:E6270,"Gmail"),"")</f>
        <v/>
      </c>
      <c r="J6270">
        <f>IF(E6270="Outlook",COUNTIF($E$2:E6270,"Outlook"),"")</f>
        <v/>
      </c>
      <c r="K6270">
        <f>IF(E6270="Domain",COUNTIF($E$2:E6270,"Domain"),"")</f>
        <v/>
      </c>
    </row>
    <row r="6271">
      <c r="A6271" s="2" t="n"/>
      <c r="B6271">
        <f>LOWER(TRIM(A6271))</f>
        <v/>
      </c>
      <c r="C6271">
        <f>IF(B6271="","",IFERROR(INDEX('Bad Patterns'!$A$2:$A$120,MATCH(1,INDEX(--ISNUMBER(SEARCH('Bad Patterns'!$A$2:$A$120,B6271)),0),0)),""))</f>
        <v/>
      </c>
      <c r="D6271">
        <f>IF(B6271="","",IF(C6271&lt;&gt;"","REMOVE","KEEP"))</f>
        <v/>
      </c>
      <c r="E6271">
        <f>IF(D6271&lt;&gt;"KEEP","",IF(RIGHT(B6271,10)="@gmail.com","Gmail",IF(OR(RIGHT(B6271,12)="@outlook.com",RIGHT(B6271,12)="@hotmail.com",RIGHT(B6271,9)="@live.com"),"Outlook","Domain")))</f>
        <v/>
      </c>
      <c r="F6271">
        <f>IF(B6271="","",IFERROR(RIGHT(B6271,LEN(B6271)-FIND("@",B6271)),""))</f>
        <v/>
      </c>
      <c r="G6271">
        <f>IF(D6271="KEEP",COUNTIF($D$2:D6271,"KEEP"),"")</f>
        <v/>
      </c>
      <c r="H6271">
        <f>IF(D6271="REMOVE",COUNTIF($D$2:D6271,"REMOVE"),"")</f>
        <v/>
      </c>
      <c r="I6271">
        <f>IF(E6271="Gmail",COUNTIF($E$2:E6271,"Gmail"),"")</f>
        <v/>
      </c>
      <c r="J6271">
        <f>IF(E6271="Outlook",COUNTIF($E$2:E6271,"Outlook"),"")</f>
        <v/>
      </c>
      <c r="K6271">
        <f>IF(E6271="Domain",COUNTIF($E$2:E6271,"Domain"),"")</f>
        <v/>
      </c>
    </row>
    <row r="6272">
      <c r="A6272" s="2" t="n"/>
      <c r="B6272">
        <f>LOWER(TRIM(A6272))</f>
        <v/>
      </c>
      <c r="C6272">
        <f>IF(B6272="","",IFERROR(INDEX('Bad Patterns'!$A$2:$A$120,MATCH(1,INDEX(--ISNUMBER(SEARCH('Bad Patterns'!$A$2:$A$120,B6272)),0),0)),""))</f>
        <v/>
      </c>
      <c r="D6272">
        <f>IF(B6272="","",IF(C6272&lt;&gt;"","REMOVE","KEEP"))</f>
        <v/>
      </c>
      <c r="E6272">
        <f>IF(D6272&lt;&gt;"KEEP","",IF(RIGHT(B6272,10)="@gmail.com","Gmail",IF(OR(RIGHT(B6272,12)="@outlook.com",RIGHT(B6272,12)="@hotmail.com",RIGHT(B6272,9)="@live.com"),"Outlook","Domain")))</f>
        <v/>
      </c>
      <c r="F6272">
        <f>IF(B6272="","",IFERROR(RIGHT(B6272,LEN(B6272)-FIND("@",B6272)),""))</f>
        <v/>
      </c>
      <c r="G6272">
        <f>IF(D6272="KEEP",COUNTIF($D$2:D6272,"KEEP"),"")</f>
        <v/>
      </c>
      <c r="H6272">
        <f>IF(D6272="REMOVE",COUNTIF($D$2:D6272,"REMOVE"),"")</f>
        <v/>
      </c>
      <c r="I6272">
        <f>IF(E6272="Gmail",COUNTIF($E$2:E6272,"Gmail"),"")</f>
        <v/>
      </c>
      <c r="J6272">
        <f>IF(E6272="Outlook",COUNTIF($E$2:E6272,"Outlook"),"")</f>
        <v/>
      </c>
      <c r="K6272">
        <f>IF(E6272="Domain",COUNTIF($E$2:E6272,"Domain"),"")</f>
        <v/>
      </c>
    </row>
    <row r="6273">
      <c r="A6273" s="2" t="n"/>
      <c r="B6273">
        <f>LOWER(TRIM(A6273))</f>
        <v/>
      </c>
      <c r="C6273">
        <f>IF(B6273="","",IFERROR(INDEX('Bad Patterns'!$A$2:$A$120,MATCH(1,INDEX(--ISNUMBER(SEARCH('Bad Patterns'!$A$2:$A$120,B6273)),0),0)),""))</f>
        <v/>
      </c>
      <c r="D6273">
        <f>IF(B6273="","",IF(C6273&lt;&gt;"","REMOVE","KEEP"))</f>
        <v/>
      </c>
      <c r="E6273">
        <f>IF(D6273&lt;&gt;"KEEP","",IF(RIGHT(B6273,10)="@gmail.com","Gmail",IF(OR(RIGHT(B6273,12)="@outlook.com",RIGHT(B6273,12)="@hotmail.com",RIGHT(B6273,9)="@live.com"),"Outlook","Domain")))</f>
        <v/>
      </c>
      <c r="F6273">
        <f>IF(B6273="","",IFERROR(RIGHT(B6273,LEN(B6273)-FIND("@",B6273)),""))</f>
        <v/>
      </c>
      <c r="G6273">
        <f>IF(D6273="KEEP",COUNTIF($D$2:D6273,"KEEP"),"")</f>
        <v/>
      </c>
      <c r="H6273">
        <f>IF(D6273="REMOVE",COUNTIF($D$2:D6273,"REMOVE"),"")</f>
        <v/>
      </c>
      <c r="I6273">
        <f>IF(E6273="Gmail",COUNTIF($E$2:E6273,"Gmail"),"")</f>
        <v/>
      </c>
      <c r="J6273">
        <f>IF(E6273="Outlook",COUNTIF($E$2:E6273,"Outlook"),"")</f>
        <v/>
      </c>
      <c r="K6273">
        <f>IF(E6273="Domain",COUNTIF($E$2:E6273,"Domain"),"")</f>
        <v/>
      </c>
    </row>
    <row r="6274">
      <c r="A6274" s="2" t="n"/>
      <c r="B6274">
        <f>LOWER(TRIM(A6274))</f>
        <v/>
      </c>
      <c r="C6274">
        <f>IF(B6274="","",IFERROR(INDEX('Bad Patterns'!$A$2:$A$120,MATCH(1,INDEX(--ISNUMBER(SEARCH('Bad Patterns'!$A$2:$A$120,B6274)),0),0)),""))</f>
        <v/>
      </c>
      <c r="D6274">
        <f>IF(B6274="","",IF(C6274&lt;&gt;"","REMOVE","KEEP"))</f>
        <v/>
      </c>
      <c r="E6274">
        <f>IF(D6274&lt;&gt;"KEEP","",IF(RIGHT(B6274,10)="@gmail.com","Gmail",IF(OR(RIGHT(B6274,12)="@outlook.com",RIGHT(B6274,12)="@hotmail.com",RIGHT(B6274,9)="@live.com"),"Outlook","Domain")))</f>
        <v/>
      </c>
      <c r="F6274">
        <f>IF(B6274="","",IFERROR(RIGHT(B6274,LEN(B6274)-FIND("@",B6274)),""))</f>
        <v/>
      </c>
      <c r="G6274">
        <f>IF(D6274="KEEP",COUNTIF($D$2:D6274,"KEEP"),"")</f>
        <v/>
      </c>
      <c r="H6274">
        <f>IF(D6274="REMOVE",COUNTIF($D$2:D6274,"REMOVE"),"")</f>
        <v/>
      </c>
      <c r="I6274">
        <f>IF(E6274="Gmail",COUNTIF($E$2:E6274,"Gmail"),"")</f>
        <v/>
      </c>
      <c r="J6274">
        <f>IF(E6274="Outlook",COUNTIF($E$2:E6274,"Outlook"),"")</f>
        <v/>
      </c>
      <c r="K6274">
        <f>IF(E6274="Domain",COUNTIF($E$2:E6274,"Domain"),"")</f>
        <v/>
      </c>
    </row>
    <row r="6275">
      <c r="A6275" s="2" t="n"/>
      <c r="B6275">
        <f>LOWER(TRIM(A6275))</f>
        <v/>
      </c>
      <c r="C6275">
        <f>IF(B6275="","",IFERROR(INDEX('Bad Patterns'!$A$2:$A$120,MATCH(1,INDEX(--ISNUMBER(SEARCH('Bad Patterns'!$A$2:$A$120,B6275)),0),0)),""))</f>
        <v/>
      </c>
      <c r="D6275">
        <f>IF(B6275="","",IF(C6275&lt;&gt;"","REMOVE","KEEP"))</f>
        <v/>
      </c>
      <c r="E6275">
        <f>IF(D6275&lt;&gt;"KEEP","",IF(RIGHT(B6275,10)="@gmail.com","Gmail",IF(OR(RIGHT(B6275,12)="@outlook.com",RIGHT(B6275,12)="@hotmail.com",RIGHT(B6275,9)="@live.com"),"Outlook","Domain")))</f>
        <v/>
      </c>
      <c r="F6275">
        <f>IF(B6275="","",IFERROR(RIGHT(B6275,LEN(B6275)-FIND("@",B6275)),""))</f>
        <v/>
      </c>
      <c r="G6275">
        <f>IF(D6275="KEEP",COUNTIF($D$2:D6275,"KEEP"),"")</f>
        <v/>
      </c>
      <c r="H6275">
        <f>IF(D6275="REMOVE",COUNTIF($D$2:D6275,"REMOVE"),"")</f>
        <v/>
      </c>
      <c r="I6275">
        <f>IF(E6275="Gmail",COUNTIF($E$2:E6275,"Gmail"),"")</f>
        <v/>
      </c>
      <c r="J6275">
        <f>IF(E6275="Outlook",COUNTIF($E$2:E6275,"Outlook"),"")</f>
        <v/>
      </c>
      <c r="K6275">
        <f>IF(E6275="Domain",COUNTIF($E$2:E6275,"Domain"),"")</f>
        <v/>
      </c>
    </row>
    <row r="6276">
      <c r="A6276" s="2" t="n"/>
      <c r="B6276">
        <f>LOWER(TRIM(A6276))</f>
        <v/>
      </c>
      <c r="C6276">
        <f>IF(B6276="","",IFERROR(INDEX('Bad Patterns'!$A$2:$A$120,MATCH(1,INDEX(--ISNUMBER(SEARCH('Bad Patterns'!$A$2:$A$120,B6276)),0),0)),""))</f>
        <v/>
      </c>
      <c r="D6276">
        <f>IF(B6276="","",IF(C6276&lt;&gt;"","REMOVE","KEEP"))</f>
        <v/>
      </c>
      <c r="E6276">
        <f>IF(D6276&lt;&gt;"KEEP","",IF(RIGHT(B6276,10)="@gmail.com","Gmail",IF(OR(RIGHT(B6276,12)="@outlook.com",RIGHT(B6276,12)="@hotmail.com",RIGHT(B6276,9)="@live.com"),"Outlook","Domain")))</f>
        <v/>
      </c>
      <c r="F6276">
        <f>IF(B6276="","",IFERROR(RIGHT(B6276,LEN(B6276)-FIND("@",B6276)),""))</f>
        <v/>
      </c>
      <c r="G6276">
        <f>IF(D6276="KEEP",COUNTIF($D$2:D6276,"KEEP"),"")</f>
        <v/>
      </c>
      <c r="H6276">
        <f>IF(D6276="REMOVE",COUNTIF($D$2:D6276,"REMOVE"),"")</f>
        <v/>
      </c>
      <c r="I6276">
        <f>IF(E6276="Gmail",COUNTIF($E$2:E6276,"Gmail"),"")</f>
        <v/>
      </c>
      <c r="J6276">
        <f>IF(E6276="Outlook",COUNTIF($E$2:E6276,"Outlook"),"")</f>
        <v/>
      </c>
      <c r="K6276">
        <f>IF(E6276="Domain",COUNTIF($E$2:E6276,"Domain"),"")</f>
        <v/>
      </c>
    </row>
    <row r="6277">
      <c r="A6277" s="2" t="n"/>
      <c r="B6277">
        <f>LOWER(TRIM(A6277))</f>
        <v/>
      </c>
      <c r="C6277">
        <f>IF(B6277="","",IFERROR(INDEX('Bad Patterns'!$A$2:$A$120,MATCH(1,INDEX(--ISNUMBER(SEARCH('Bad Patterns'!$A$2:$A$120,B6277)),0),0)),""))</f>
        <v/>
      </c>
      <c r="D6277">
        <f>IF(B6277="","",IF(C6277&lt;&gt;"","REMOVE","KEEP"))</f>
        <v/>
      </c>
      <c r="E6277">
        <f>IF(D6277&lt;&gt;"KEEP","",IF(RIGHT(B6277,10)="@gmail.com","Gmail",IF(OR(RIGHT(B6277,12)="@outlook.com",RIGHT(B6277,12)="@hotmail.com",RIGHT(B6277,9)="@live.com"),"Outlook","Domain")))</f>
        <v/>
      </c>
      <c r="F6277">
        <f>IF(B6277="","",IFERROR(RIGHT(B6277,LEN(B6277)-FIND("@",B6277)),""))</f>
        <v/>
      </c>
      <c r="G6277">
        <f>IF(D6277="KEEP",COUNTIF($D$2:D6277,"KEEP"),"")</f>
        <v/>
      </c>
      <c r="H6277">
        <f>IF(D6277="REMOVE",COUNTIF($D$2:D6277,"REMOVE"),"")</f>
        <v/>
      </c>
      <c r="I6277">
        <f>IF(E6277="Gmail",COUNTIF($E$2:E6277,"Gmail"),"")</f>
        <v/>
      </c>
      <c r="J6277">
        <f>IF(E6277="Outlook",COUNTIF($E$2:E6277,"Outlook"),"")</f>
        <v/>
      </c>
      <c r="K6277">
        <f>IF(E6277="Domain",COUNTIF($E$2:E6277,"Domain"),"")</f>
        <v/>
      </c>
    </row>
    <row r="6278">
      <c r="A6278" s="2" t="n"/>
      <c r="B6278">
        <f>LOWER(TRIM(A6278))</f>
        <v/>
      </c>
      <c r="C6278">
        <f>IF(B6278="","",IFERROR(INDEX('Bad Patterns'!$A$2:$A$120,MATCH(1,INDEX(--ISNUMBER(SEARCH('Bad Patterns'!$A$2:$A$120,B6278)),0),0)),""))</f>
        <v/>
      </c>
      <c r="D6278">
        <f>IF(B6278="","",IF(C6278&lt;&gt;"","REMOVE","KEEP"))</f>
        <v/>
      </c>
      <c r="E6278">
        <f>IF(D6278&lt;&gt;"KEEP","",IF(RIGHT(B6278,10)="@gmail.com","Gmail",IF(OR(RIGHT(B6278,12)="@outlook.com",RIGHT(B6278,12)="@hotmail.com",RIGHT(B6278,9)="@live.com"),"Outlook","Domain")))</f>
        <v/>
      </c>
      <c r="F6278">
        <f>IF(B6278="","",IFERROR(RIGHT(B6278,LEN(B6278)-FIND("@",B6278)),""))</f>
        <v/>
      </c>
      <c r="G6278">
        <f>IF(D6278="KEEP",COUNTIF($D$2:D6278,"KEEP"),"")</f>
        <v/>
      </c>
      <c r="H6278">
        <f>IF(D6278="REMOVE",COUNTIF($D$2:D6278,"REMOVE"),"")</f>
        <v/>
      </c>
      <c r="I6278">
        <f>IF(E6278="Gmail",COUNTIF($E$2:E6278,"Gmail"),"")</f>
        <v/>
      </c>
      <c r="J6278">
        <f>IF(E6278="Outlook",COUNTIF($E$2:E6278,"Outlook"),"")</f>
        <v/>
      </c>
      <c r="K6278">
        <f>IF(E6278="Domain",COUNTIF($E$2:E6278,"Domain"),"")</f>
        <v/>
      </c>
    </row>
    <row r="6279">
      <c r="A6279" s="2" t="n"/>
      <c r="B6279">
        <f>LOWER(TRIM(A6279))</f>
        <v/>
      </c>
      <c r="C6279">
        <f>IF(B6279="","",IFERROR(INDEX('Bad Patterns'!$A$2:$A$120,MATCH(1,INDEX(--ISNUMBER(SEARCH('Bad Patterns'!$A$2:$A$120,B6279)),0),0)),""))</f>
        <v/>
      </c>
      <c r="D6279">
        <f>IF(B6279="","",IF(C6279&lt;&gt;"","REMOVE","KEEP"))</f>
        <v/>
      </c>
      <c r="E6279">
        <f>IF(D6279&lt;&gt;"KEEP","",IF(RIGHT(B6279,10)="@gmail.com","Gmail",IF(OR(RIGHT(B6279,12)="@outlook.com",RIGHT(B6279,12)="@hotmail.com",RIGHT(B6279,9)="@live.com"),"Outlook","Domain")))</f>
        <v/>
      </c>
      <c r="F6279">
        <f>IF(B6279="","",IFERROR(RIGHT(B6279,LEN(B6279)-FIND("@",B6279)),""))</f>
        <v/>
      </c>
      <c r="G6279">
        <f>IF(D6279="KEEP",COUNTIF($D$2:D6279,"KEEP"),"")</f>
        <v/>
      </c>
      <c r="H6279">
        <f>IF(D6279="REMOVE",COUNTIF($D$2:D6279,"REMOVE"),"")</f>
        <v/>
      </c>
      <c r="I6279">
        <f>IF(E6279="Gmail",COUNTIF($E$2:E6279,"Gmail"),"")</f>
        <v/>
      </c>
      <c r="J6279">
        <f>IF(E6279="Outlook",COUNTIF($E$2:E6279,"Outlook"),"")</f>
        <v/>
      </c>
      <c r="K6279">
        <f>IF(E6279="Domain",COUNTIF($E$2:E6279,"Domain"),"")</f>
        <v/>
      </c>
    </row>
    <row r="6280">
      <c r="A6280" s="2" t="n"/>
      <c r="B6280">
        <f>LOWER(TRIM(A6280))</f>
        <v/>
      </c>
      <c r="C6280">
        <f>IF(B6280="","",IFERROR(INDEX('Bad Patterns'!$A$2:$A$120,MATCH(1,INDEX(--ISNUMBER(SEARCH('Bad Patterns'!$A$2:$A$120,B6280)),0),0)),""))</f>
        <v/>
      </c>
      <c r="D6280">
        <f>IF(B6280="","",IF(C6280&lt;&gt;"","REMOVE","KEEP"))</f>
        <v/>
      </c>
      <c r="E6280">
        <f>IF(D6280&lt;&gt;"KEEP","",IF(RIGHT(B6280,10)="@gmail.com","Gmail",IF(OR(RIGHT(B6280,12)="@outlook.com",RIGHT(B6280,12)="@hotmail.com",RIGHT(B6280,9)="@live.com"),"Outlook","Domain")))</f>
        <v/>
      </c>
      <c r="F6280">
        <f>IF(B6280="","",IFERROR(RIGHT(B6280,LEN(B6280)-FIND("@",B6280)),""))</f>
        <v/>
      </c>
      <c r="G6280">
        <f>IF(D6280="KEEP",COUNTIF($D$2:D6280,"KEEP"),"")</f>
        <v/>
      </c>
      <c r="H6280">
        <f>IF(D6280="REMOVE",COUNTIF($D$2:D6280,"REMOVE"),"")</f>
        <v/>
      </c>
      <c r="I6280">
        <f>IF(E6280="Gmail",COUNTIF($E$2:E6280,"Gmail"),"")</f>
        <v/>
      </c>
      <c r="J6280">
        <f>IF(E6280="Outlook",COUNTIF($E$2:E6280,"Outlook"),"")</f>
        <v/>
      </c>
      <c r="K6280">
        <f>IF(E6280="Domain",COUNTIF($E$2:E6280,"Domain"),"")</f>
        <v/>
      </c>
    </row>
    <row r="6281">
      <c r="A6281" s="2" t="n"/>
      <c r="B6281">
        <f>LOWER(TRIM(A6281))</f>
        <v/>
      </c>
      <c r="C6281">
        <f>IF(B6281="","",IFERROR(INDEX('Bad Patterns'!$A$2:$A$120,MATCH(1,INDEX(--ISNUMBER(SEARCH('Bad Patterns'!$A$2:$A$120,B6281)),0),0)),""))</f>
        <v/>
      </c>
      <c r="D6281">
        <f>IF(B6281="","",IF(C6281&lt;&gt;"","REMOVE","KEEP"))</f>
        <v/>
      </c>
      <c r="E6281">
        <f>IF(D6281&lt;&gt;"KEEP","",IF(RIGHT(B6281,10)="@gmail.com","Gmail",IF(OR(RIGHT(B6281,12)="@outlook.com",RIGHT(B6281,12)="@hotmail.com",RIGHT(B6281,9)="@live.com"),"Outlook","Domain")))</f>
        <v/>
      </c>
      <c r="F6281">
        <f>IF(B6281="","",IFERROR(RIGHT(B6281,LEN(B6281)-FIND("@",B6281)),""))</f>
        <v/>
      </c>
      <c r="G6281">
        <f>IF(D6281="KEEP",COUNTIF($D$2:D6281,"KEEP"),"")</f>
        <v/>
      </c>
      <c r="H6281">
        <f>IF(D6281="REMOVE",COUNTIF($D$2:D6281,"REMOVE"),"")</f>
        <v/>
      </c>
      <c r="I6281">
        <f>IF(E6281="Gmail",COUNTIF($E$2:E6281,"Gmail"),"")</f>
        <v/>
      </c>
      <c r="J6281">
        <f>IF(E6281="Outlook",COUNTIF($E$2:E6281,"Outlook"),"")</f>
        <v/>
      </c>
      <c r="K6281">
        <f>IF(E6281="Domain",COUNTIF($E$2:E6281,"Domain"),"")</f>
        <v/>
      </c>
    </row>
    <row r="6282">
      <c r="A6282" s="2" t="n"/>
      <c r="B6282">
        <f>LOWER(TRIM(A6282))</f>
        <v/>
      </c>
      <c r="C6282">
        <f>IF(B6282="","",IFERROR(INDEX('Bad Patterns'!$A$2:$A$120,MATCH(1,INDEX(--ISNUMBER(SEARCH('Bad Patterns'!$A$2:$A$120,B6282)),0),0)),""))</f>
        <v/>
      </c>
      <c r="D6282">
        <f>IF(B6282="","",IF(C6282&lt;&gt;"","REMOVE","KEEP"))</f>
        <v/>
      </c>
      <c r="E6282">
        <f>IF(D6282&lt;&gt;"KEEP","",IF(RIGHT(B6282,10)="@gmail.com","Gmail",IF(OR(RIGHT(B6282,12)="@outlook.com",RIGHT(B6282,12)="@hotmail.com",RIGHT(B6282,9)="@live.com"),"Outlook","Domain")))</f>
        <v/>
      </c>
      <c r="F6282">
        <f>IF(B6282="","",IFERROR(RIGHT(B6282,LEN(B6282)-FIND("@",B6282)),""))</f>
        <v/>
      </c>
      <c r="G6282">
        <f>IF(D6282="KEEP",COUNTIF($D$2:D6282,"KEEP"),"")</f>
        <v/>
      </c>
      <c r="H6282">
        <f>IF(D6282="REMOVE",COUNTIF($D$2:D6282,"REMOVE"),"")</f>
        <v/>
      </c>
      <c r="I6282">
        <f>IF(E6282="Gmail",COUNTIF($E$2:E6282,"Gmail"),"")</f>
        <v/>
      </c>
      <c r="J6282">
        <f>IF(E6282="Outlook",COUNTIF($E$2:E6282,"Outlook"),"")</f>
        <v/>
      </c>
      <c r="K6282">
        <f>IF(E6282="Domain",COUNTIF($E$2:E6282,"Domain"),"")</f>
        <v/>
      </c>
    </row>
    <row r="6283">
      <c r="A6283" s="2" t="n"/>
      <c r="B6283">
        <f>LOWER(TRIM(A6283))</f>
        <v/>
      </c>
      <c r="C6283">
        <f>IF(B6283="","",IFERROR(INDEX('Bad Patterns'!$A$2:$A$120,MATCH(1,INDEX(--ISNUMBER(SEARCH('Bad Patterns'!$A$2:$A$120,B6283)),0),0)),""))</f>
        <v/>
      </c>
      <c r="D6283">
        <f>IF(B6283="","",IF(C6283&lt;&gt;"","REMOVE","KEEP"))</f>
        <v/>
      </c>
      <c r="E6283">
        <f>IF(D6283&lt;&gt;"KEEP","",IF(RIGHT(B6283,10)="@gmail.com","Gmail",IF(OR(RIGHT(B6283,12)="@outlook.com",RIGHT(B6283,12)="@hotmail.com",RIGHT(B6283,9)="@live.com"),"Outlook","Domain")))</f>
        <v/>
      </c>
      <c r="F6283">
        <f>IF(B6283="","",IFERROR(RIGHT(B6283,LEN(B6283)-FIND("@",B6283)),""))</f>
        <v/>
      </c>
      <c r="G6283">
        <f>IF(D6283="KEEP",COUNTIF($D$2:D6283,"KEEP"),"")</f>
        <v/>
      </c>
      <c r="H6283">
        <f>IF(D6283="REMOVE",COUNTIF($D$2:D6283,"REMOVE"),"")</f>
        <v/>
      </c>
      <c r="I6283">
        <f>IF(E6283="Gmail",COUNTIF($E$2:E6283,"Gmail"),"")</f>
        <v/>
      </c>
      <c r="J6283">
        <f>IF(E6283="Outlook",COUNTIF($E$2:E6283,"Outlook"),"")</f>
        <v/>
      </c>
      <c r="K6283">
        <f>IF(E6283="Domain",COUNTIF($E$2:E6283,"Domain"),"")</f>
        <v/>
      </c>
    </row>
    <row r="6284">
      <c r="A6284" s="2" t="n"/>
      <c r="B6284">
        <f>LOWER(TRIM(A6284))</f>
        <v/>
      </c>
      <c r="C6284">
        <f>IF(B6284="","",IFERROR(INDEX('Bad Patterns'!$A$2:$A$120,MATCH(1,INDEX(--ISNUMBER(SEARCH('Bad Patterns'!$A$2:$A$120,B6284)),0),0)),""))</f>
        <v/>
      </c>
      <c r="D6284">
        <f>IF(B6284="","",IF(C6284&lt;&gt;"","REMOVE","KEEP"))</f>
        <v/>
      </c>
      <c r="E6284">
        <f>IF(D6284&lt;&gt;"KEEP","",IF(RIGHT(B6284,10)="@gmail.com","Gmail",IF(OR(RIGHT(B6284,12)="@outlook.com",RIGHT(B6284,12)="@hotmail.com",RIGHT(B6284,9)="@live.com"),"Outlook","Domain")))</f>
        <v/>
      </c>
      <c r="F6284">
        <f>IF(B6284="","",IFERROR(RIGHT(B6284,LEN(B6284)-FIND("@",B6284)),""))</f>
        <v/>
      </c>
      <c r="G6284">
        <f>IF(D6284="KEEP",COUNTIF($D$2:D6284,"KEEP"),"")</f>
        <v/>
      </c>
      <c r="H6284">
        <f>IF(D6284="REMOVE",COUNTIF($D$2:D6284,"REMOVE"),"")</f>
        <v/>
      </c>
      <c r="I6284">
        <f>IF(E6284="Gmail",COUNTIF($E$2:E6284,"Gmail"),"")</f>
        <v/>
      </c>
      <c r="J6284">
        <f>IF(E6284="Outlook",COUNTIF($E$2:E6284,"Outlook"),"")</f>
        <v/>
      </c>
      <c r="K6284">
        <f>IF(E6284="Domain",COUNTIF($E$2:E6284,"Domain"),"")</f>
        <v/>
      </c>
    </row>
    <row r="6285">
      <c r="A6285" s="2" t="n"/>
      <c r="B6285">
        <f>LOWER(TRIM(A6285))</f>
        <v/>
      </c>
      <c r="C6285">
        <f>IF(B6285="","",IFERROR(INDEX('Bad Patterns'!$A$2:$A$120,MATCH(1,INDEX(--ISNUMBER(SEARCH('Bad Patterns'!$A$2:$A$120,B6285)),0),0)),""))</f>
        <v/>
      </c>
      <c r="D6285">
        <f>IF(B6285="","",IF(C6285&lt;&gt;"","REMOVE","KEEP"))</f>
        <v/>
      </c>
      <c r="E6285">
        <f>IF(D6285&lt;&gt;"KEEP","",IF(RIGHT(B6285,10)="@gmail.com","Gmail",IF(OR(RIGHT(B6285,12)="@outlook.com",RIGHT(B6285,12)="@hotmail.com",RIGHT(B6285,9)="@live.com"),"Outlook","Domain")))</f>
        <v/>
      </c>
      <c r="F6285">
        <f>IF(B6285="","",IFERROR(RIGHT(B6285,LEN(B6285)-FIND("@",B6285)),""))</f>
        <v/>
      </c>
      <c r="G6285">
        <f>IF(D6285="KEEP",COUNTIF($D$2:D6285,"KEEP"),"")</f>
        <v/>
      </c>
      <c r="H6285">
        <f>IF(D6285="REMOVE",COUNTIF($D$2:D6285,"REMOVE"),"")</f>
        <v/>
      </c>
      <c r="I6285">
        <f>IF(E6285="Gmail",COUNTIF($E$2:E6285,"Gmail"),"")</f>
        <v/>
      </c>
      <c r="J6285">
        <f>IF(E6285="Outlook",COUNTIF($E$2:E6285,"Outlook"),"")</f>
        <v/>
      </c>
      <c r="K6285">
        <f>IF(E6285="Domain",COUNTIF($E$2:E6285,"Domain"),"")</f>
        <v/>
      </c>
    </row>
    <row r="6286">
      <c r="A6286" s="2" t="n"/>
      <c r="B6286">
        <f>LOWER(TRIM(A6286))</f>
        <v/>
      </c>
      <c r="C6286">
        <f>IF(B6286="","",IFERROR(INDEX('Bad Patterns'!$A$2:$A$120,MATCH(1,INDEX(--ISNUMBER(SEARCH('Bad Patterns'!$A$2:$A$120,B6286)),0),0)),""))</f>
        <v/>
      </c>
      <c r="D6286">
        <f>IF(B6286="","",IF(C6286&lt;&gt;"","REMOVE","KEEP"))</f>
        <v/>
      </c>
      <c r="E6286">
        <f>IF(D6286&lt;&gt;"KEEP","",IF(RIGHT(B6286,10)="@gmail.com","Gmail",IF(OR(RIGHT(B6286,12)="@outlook.com",RIGHT(B6286,12)="@hotmail.com",RIGHT(B6286,9)="@live.com"),"Outlook","Domain")))</f>
        <v/>
      </c>
      <c r="F6286">
        <f>IF(B6286="","",IFERROR(RIGHT(B6286,LEN(B6286)-FIND("@",B6286)),""))</f>
        <v/>
      </c>
      <c r="G6286">
        <f>IF(D6286="KEEP",COUNTIF($D$2:D6286,"KEEP"),"")</f>
        <v/>
      </c>
      <c r="H6286">
        <f>IF(D6286="REMOVE",COUNTIF($D$2:D6286,"REMOVE"),"")</f>
        <v/>
      </c>
      <c r="I6286">
        <f>IF(E6286="Gmail",COUNTIF($E$2:E6286,"Gmail"),"")</f>
        <v/>
      </c>
      <c r="J6286">
        <f>IF(E6286="Outlook",COUNTIF($E$2:E6286,"Outlook"),"")</f>
        <v/>
      </c>
      <c r="K6286">
        <f>IF(E6286="Domain",COUNTIF($E$2:E6286,"Domain"),"")</f>
        <v/>
      </c>
    </row>
    <row r="6287">
      <c r="A6287" s="2" t="n"/>
      <c r="B6287">
        <f>LOWER(TRIM(A6287))</f>
        <v/>
      </c>
      <c r="C6287">
        <f>IF(B6287="","",IFERROR(INDEX('Bad Patterns'!$A$2:$A$120,MATCH(1,INDEX(--ISNUMBER(SEARCH('Bad Patterns'!$A$2:$A$120,B6287)),0),0)),""))</f>
        <v/>
      </c>
      <c r="D6287">
        <f>IF(B6287="","",IF(C6287&lt;&gt;"","REMOVE","KEEP"))</f>
        <v/>
      </c>
      <c r="E6287">
        <f>IF(D6287&lt;&gt;"KEEP","",IF(RIGHT(B6287,10)="@gmail.com","Gmail",IF(OR(RIGHT(B6287,12)="@outlook.com",RIGHT(B6287,12)="@hotmail.com",RIGHT(B6287,9)="@live.com"),"Outlook","Domain")))</f>
        <v/>
      </c>
      <c r="F6287">
        <f>IF(B6287="","",IFERROR(RIGHT(B6287,LEN(B6287)-FIND("@",B6287)),""))</f>
        <v/>
      </c>
      <c r="G6287">
        <f>IF(D6287="KEEP",COUNTIF($D$2:D6287,"KEEP"),"")</f>
        <v/>
      </c>
      <c r="H6287">
        <f>IF(D6287="REMOVE",COUNTIF($D$2:D6287,"REMOVE"),"")</f>
        <v/>
      </c>
      <c r="I6287">
        <f>IF(E6287="Gmail",COUNTIF($E$2:E6287,"Gmail"),"")</f>
        <v/>
      </c>
      <c r="J6287">
        <f>IF(E6287="Outlook",COUNTIF($E$2:E6287,"Outlook"),"")</f>
        <v/>
      </c>
      <c r="K6287">
        <f>IF(E6287="Domain",COUNTIF($E$2:E6287,"Domain"),"")</f>
        <v/>
      </c>
    </row>
    <row r="6288">
      <c r="A6288" s="2" t="n"/>
      <c r="B6288">
        <f>LOWER(TRIM(A6288))</f>
        <v/>
      </c>
      <c r="C6288">
        <f>IF(B6288="","",IFERROR(INDEX('Bad Patterns'!$A$2:$A$120,MATCH(1,INDEX(--ISNUMBER(SEARCH('Bad Patterns'!$A$2:$A$120,B6288)),0),0)),""))</f>
        <v/>
      </c>
      <c r="D6288">
        <f>IF(B6288="","",IF(C6288&lt;&gt;"","REMOVE","KEEP"))</f>
        <v/>
      </c>
      <c r="E6288">
        <f>IF(D6288&lt;&gt;"KEEP","",IF(RIGHT(B6288,10)="@gmail.com","Gmail",IF(OR(RIGHT(B6288,12)="@outlook.com",RIGHT(B6288,12)="@hotmail.com",RIGHT(B6288,9)="@live.com"),"Outlook","Domain")))</f>
        <v/>
      </c>
      <c r="F6288">
        <f>IF(B6288="","",IFERROR(RIGHT(B6288,LEN(B6288)-FIND("@",B6288)),""))</f>
        <v/>
      </c>
      <c r="G6288">
        <f>IF(D6288="KEEP",COUNTIF($D$2:D6288,"KEEP"),"")</f>
        <v/>
      </c>
      <c r="H6288">
        <f>IF(D6288="REMOVE",COUNTIF($D$2:D6288,"REMOVE"),"")</f>
        <v/>
      </c>
      <c r="I6288">
        <f>IF(E6288="Gmail",COUNTIF($E$2:E6288,"Gmail"),"")</f>
        <v/>
      </c>
      <c r="J6288">
        <f>IF(E6288="Outlook",COUNTIF($E$2:E6288,"Outlook"),"")</f>
        <v/>
      </c>
      <c r="K6288">
        <f>IF(E6288="Domain",COUNTIF($E$2:E6288,"Domain"),"")</f>
        <v/>
      </c>
    </row>
    <row r="6289">
      <c r="A6289" s="2" t="n"/>
      <c r="B6289">
        <f>LOWER(TRIM(A6289))</f>
        <v/>
      </c>
      <c r="C6289">
        <f>IF(B6289="","",IFERROR(INDEX('Bad Patterns'!$A$2:$A$120,MATCH(1,INDEX(--ISNUMBER(SEARCH('Bad Patterns'!$A$2:$A$120,B6289)),0),0)),""))</f>
        <v/>
      </c>
      <c r="D6289">
        <f>IF(B6289="","",IF(C6289&lt;&gt;"","REMOVE","KEEP"))</f>
        <v/>
      </c>
      <c r="E6289">
        <f>IF(D6289&lt;&gt;"KEEP","",IF(RIGHT(B6289,10)="@gmail.com","Gmail",IF(OR(RIGHT(B6289,12)="@outlook.com",RIGHT(B6289,12)="@hotmail.com",RIGHT(B6289,9)="@live.com"),"Outlook","Domain")))</f>
        <v/>
      </c>
      <c r="F6289">
        <f>IF(B6289="","",IFERROR(RIGHT(B6289,LEN(B6289)-FIND("@",B6289)),""))</f>
        <v/>
      </c>
      <c r="G6289">
        <f>IF(D6289="KEEP",COUNTIF($D$2:D6289,"KEEP"),"")</f>
        <v/>
      </c>
      <c r="H6289">
        <f>IF(D6289="REMOVE",COUNTIF($D$2:D6289,"REMOVE"),"")</f>
        <v/>
      </c>
      <c r="I6289">
        <f>IF(E6289="Gmail",COUNTIF($E$2:E6289,"Gmail"),"")</f>
        <v/>
      </c>
      <c r="J6289">
        <f>IF(E6289="Outlook",COUNTIF($E$2:E6289,"Outlook"),"")</f>
        <v/>
      </c>
      <c r="K6289">
        <f>IF(E6289="Domain",COUNTIF($E$2:E6289,"Domain"),"")</f>
        <v/>
      </c>
    </row>
    <row r="6290">
      <c r="A6290" s="2" t="n"/>
      <c r="B6290">
        <f>LOWER(TRIM(A6290))</f>
        <v/>
      </c>
      <c r="C6290">
        <f>IF(B6290="","",IFERROR(INDEX('Bad Patterns'!$A$2:$A$120,MATCH(1,INDEX(--ISNUMBER(SEARCH('Bad Patterns'!$A$2:$A$120,B6290)),0),0)),""))</f>
        <v/>
      </c>
      <c r="D6290">
        <f>IF(B6290="","",IF(C6290&lt;&gt;"","REMOVE","KEEP"))</f>
        <v/>
      </c>
      <c r="E6290">
        <f>IF(D6290&lt;&gt;"KEEP","",IF(RIGHT(B6290,10)="@gmail.com","Gmail",IF(OR(RIGHT(B6290,12)="@outlook.com",RIGHT(B6290,12)="@hotmail.com",RIGHT(B6290,9)="@live.com"),"Outlook","Domain")))</f>
        <v/>
      </c>
      <c r="F6290">
        <f>IF(B6290="","",IFERROR(RIGHT(B6290,LEN(B6290)-FIND("@",B6290)),""))</f>
        <v/>
      </c>
      <c r="G6290">
        <f>IF(D6290="KEEP",COUNTIF($D$2:D6290,"KEEP"),"")</f>
        <v/>
      </c>
      <c r="H6290">
        <f>IF(D6290="REMOVE",COUNTIF($D$2:D6290,"REMOVE"),"")</f>
        <v/>
      </c>
      <c r="I6290">
        <f>IF(E6290="Gmail",COUNTIF($E$2:E6290,"Gmail"),"")</f>
        <v/>
      </c>
      <c r="J6290">
        <f>IF(E6290="Outlook",COUNTIF($E$2:E6290,"Outlook"),"")</f>
        <v/>
      </c>
      <c r="K6290">
        <f>IF(E6290="Domain",COUNTIF($E$2:E6290,"Domain"),"")</f>
        <v/>
      </c>
    </row>
    <row r="6291">
      <c r="A6291" s="2" t="n"/>
      <c r="B6291">
        <f>LOWER(TRIM(A6291))</f>
        <v/>
      </c>
      <c r="C6291">
        <f>IF(B6291="","",IFERROR(INDEX('Bad Patterns'!$A$2:$A$120,MATCH(1,INDEX(--ISNUMBER(SEARCH('Bad Patterns'!$A$2:$A$120,B6291)),0),0)),""))</f>
        <v/>
      </c>
      <c r="D6291">
        <f>IF(B6291="","",IF(C6291&lt;&gt;"","REMOVE","KEEP"))</f>
        <v/>
      </c>
      <c r="E6291">
        <f>IF(D6291&lt;&gt;"KEEP","",IF(RIGHT(B6291,10)="@gmail.com","Gmail",IF(OR(RIGHT(B6291,12)="@outlook.com",RIGHT(B6291,12)="@hotmail.com",RIGHT(B6291,9)="@live.com"),"Outlook","Domain")))</f>
        <v/>
      </c>
      <c r="F6291">
        <f>IF(B6291="","",IFERROR(RIGHT(B6291,LEN(B6291)-FIND("@",B6291)),""))</f>
        <v/>
      </c>
      <c r="G6291">
        <f>IF(D6291="KEEP",COUNTIF($D$2:D6291,"KEEP"),"")</f>
        <v/>
      </c>
      <c r="H6291">
        <f>IF(D6291="REMOVE",COUNTIF($D$2:D6291,"REMOVE"),"")</f>
        <v/>
      </c>
      <c r="I6291">
        <f>IF(E6291="Gmail",COUNTIF($E$2:E6291,"Gmail"),"")</f>
        <v/>
      </c>
      <c r="J6291">
        <f>IF(E6291="Outlook",COUNTIF($E$2:E6291,"Outlook"),"")</f>
        <v/>
      </c>
      <c r="K6291">
        <f>IF(E6291="Domain",COUNTIF($E$2:E6291,"Domain"),"")</f>
        <v/>
      </c>
    </row>
    <row r="6292">
      <c r="A6292" s="2" t="n"/>
      <c r="B6292">
        <f>LOWER(TRIM(A6292))</f>
        <v/>
      </c>
      <c r="C6292">
        <f>IF(B6292="","",IFERROR(INDEX('Bad Patterns'!$A$2:$A$120,MATCH(1,INDEX(--ISNUMBER(SEARCH('Bad Patterns'!$A$2:$A$120,B6292)),0),0)),""))</f>
        <v/>
      </c>
      <c r="D6292">
        <f>IF(B6292="","",IF(C6292&lt;&gt;"","REMOVE","KEEP"))</f>
        <v/>
      </c>
      <c r="E6292">
        <f>IF(D6292&lt;&gt;"KEEP","",IF(RIGHT(B6292,10)="@gmail.com","Gmail",IF(OR(RIGHT(B6292,12)="@outlook.com",RIGHT(B6292,12)="@hotmail.com",RIGHT(B6292,9)="@live.com"),"Outlook","Domain")))</f>
        <v/>
      </c>
      <c r="F6292">
        <f>IF(B6292="","",IFERROR(RIGHT(B6292,LEN(B6292)-FIND("@",B6292)),""))</f>
        <v/>
      </c>
      <c r="G6292">
        <f>IF(D6292="KEEP",COUNTIF($D$2:D6292,"KEEP"),"")</f>
        <v/>
      </c>
      <c r="H6292">
        <f>IF(D6292="REMOVE",COUNTIF($D$2:D6292,"REMOVE"),"")</f>
        <v/>
      </c>
      <c r="I6292">
        <f>IF(E6292="Gmail",COUNTIF($E$2:E6292,"Gmail"),"")</f>
        <v/>
      </c>
      <c r="J6292">
        <f>IF(E6292="Outlook",COUNTIF($E$2:E6292,"Outlook"),"")</f>
        <v/>
      </c>
      <c r="K6292">
        <f>IF(E6292="Domain",COUNTIF($E$2:E6292,"Domain"),"")</f>
        <v/>
      </c>
    </row>
    <row r="6293">
      <c r="A6293" s="2" t="n"/>
      <c r="B6293">
        <f>LOWER(TRIM(A6293))</f>
        <v/>
      </c>
      <c r="C6293">
        <f>IF(B6293="","",IFERROR(INDEX('Bad Patterns'!$A$2:$A$120,MATCH(1,INDEX(--ISNUMBER(SEARCH('Bad Patterns'!$A$2:$A$120,B6293)),0),0)),""))</f>
        <v/>
      </c>
      <c r="D6293">
        <f>IF(B6293="","",IF(C6293&lt;&gt;"","REMOVE","KEEP"))</f>
        <v/>
      </c>
      <c r="E6293">
        <f>IF(D6293&lt;&gt;"KEEP","",IF(RIGHT(B6293,10)="@gmail.com","Gmail",IF(OR(RIGHT(B6293,12)="@outlook.com",RIGHT(B6293,12)="@hotmail.com",RIGHT(B6293,9)="@live.com"),"Outlook","Domain")))</f>
        <v/>
      </c>
      <c r="F6293">
        <f>IF(B6293="","",IFERROR(RIGHT(B6293,LEN(B6293)-FIND("@",B6293)),""))</f>
        <v/>
      </c>
      <c r="G6293">
        <f>IF(D6293="KEEP",COUNTIF($D$2:D6293,"KEEP"),"")</f>
        <v/>
      </c>
      <c r="H6293">
        <f>IF(D6293="REMOVE",COUNTIF($D$2:D6293,"REMOVE"),"")</f>
        <v/>
      </c>
      <c r="I6293">
        <f>IF(E6293="Gmail",COUNTIF($E$2:E6293,"Gmail"),"")</f>
        <v/>
      </c>
      <c r="J6293">
        <f>IF(E6293="Outlook",COUNTIF($E$2:E6293,"Outlook"),"")</f>
        <v/>
      </c>
      <c r="K6293">
        <f>IF(E6293="Domain",COUNTIF($E$2:E6293,"Domain"),"")</f>
        <v/>
      </c>
    </row>
    <row r="6294">
      <c r="A6294" s="2" t="n"/>
      <c r="B6294">
        <f>LOWER(TRIM(A6294))</f>
        <v/>
      </c>
      <c r="C6294">
        <f>IF(B6294="","",IFERROR(INDEX('Bad Patterns'!$A$2:$A$120,MATCH(1,INDEX(--ISNUMBER(SEARCH('Bad Patterns'!$A$2:$A$120,B6294)),0),0)),""))</f>
        <v/>
      </c>
      <c r="D6294">
        <f>IF(B6294="","",IF(C6294&lt;&gt;"","REMOVE","KEEP"))</f>
        <v/>
      </c>
      <c r="E6294">
        <f>IF(D6294&lt;&gt;"KEEP","",IF(RIGHT(B6294,10)="@gmail.com","Gmail",IF(OR(RIGHT(B6294,12)="@outlook.com",RIGHT(B6294,12)="@hotmail.com",RIGHT(B6294,9)="@live.com"),"Outlook","Domain")))</f>
        <v/>
      </c>
      <c r="F6294">
        <f>IF(B6294="","",IFERROR(RIGHT(B6294,LEN(B6294)-FIND("@",B6294)),""))</f>
        <v/>
      </c>
      <c r="G6294">
        <f>IF(D6294="KEEP",COUNTIF($D$2:D6294,"KEEP"),"")</f>
        <v/>
      </c>
      <c r="H6294">
        <f>IF(D6294="REMOVE",COUNTIF($D$2:D6294,"REMOVE"),"")</f>
        <v/>
      </c>
      <c r="I6294">
        <f>IF(E6294="Gmail",COUNTIF($E$2:E6294,"Gmail"),"")</f>
        <v/>
      </c>
      <c r="J6294">
        <f>IF(E6294="Outlook",COUNTIF($E$2:E6294,"Outlook"),"")</f>
        <v/>
      </c>
      <c r="K6294">
        <f>IF(E6294="Domain",COUNTIF($E$2:E6294,"Domain"),"")</f>
        <v/>
      </c>
    </row>
    <row r="6295">
      <c r="A6295" s="2" t="n"/>
      <c r="B6295">
        <f>LOWER(TRIM(A6295))</f>
        <v/>
      </c>
      <c r="C6295">
        <f>IF(B6295="","",IFERROR(INDEX('Bad Patterns'!$A$2:$A$120,MATCH(1,INDEX(--ISNUMBER(SEARCH('Bad Patterns'!$A$2:$A$120,B6295)),0),0)),""))</f>
        <v/>
      </c>
      <c r="D6295">
        <f>IF(B6295="","",IF(C6295&lt;&gt;"","REMOVE","KEEP"))</f>
        <v/>
      </c>
      <c r="E6295">
        <f>IF(D6295&lt;&gt;"KEEP","",IF(RIGHT(B6295,10)="@gmail.com","Gmail",IF(OR(RIGHT(B6295,12)="@outlook.com",RIGHT(B6295,12)="@hotmail.com",RIGHT(B6295,9)="@live.com"),"Outlook","Domain")))</f>
        <v/>
      </c>
      <c r="F6295">
        <f>IF(B6295="","",IFERROR(RIGHT(B6295,LEN(B6295)-FIND("@",B6295)),""))</f>
        <v/>
      </c>
      <c r="G6295">
        <f>IF(D6295="KEEP",COUNTIF($D$2:D6295,"KEEP"),"")</f>
        <v/>
      </c>
      <c r="H6295">
        <f>IF(D6295="REMOVE",COUNTIF($D$2:D6295,"REMOVE"),"")</f>
        <v/>
      </c>
      <c r="I6295">
        <f>IF(E6295="Gmail",COUNTIF($E$2:E6295,"Gmail"),"")</f>
        <v/>
      </c>
      <c r="J6295">
        <f>IF(E6295="Outlook",COUNTIF($E$2:E6295,"Outlook"),"")</f>
        <v/>
      </c>
      <c r="K6295">
        <f>IF(E6295="Domain",COUNTIF($E$2:E6295,"Domain"),"")</f>
        <v/>
      </c>
    </row>
    <row r="6296">
      <c r="A6296" s="2" t="n"/>
      <c r="B6296">
        <f>LOWER(TRIM(A6296))</f>
        <v/>
      </c>
      <c r="C6296">
        <f>IF(B6296="","",IFERROR(INDEX('Bad Patterns'!$A$2:$A$120,MATCH(1,INDEX(--ISNUMBER(SEARCH('Bad Patterns'!$A$2:$A$120,B6296)),0),0)),""))</f>
        <v/>
      </c>
      <c r="D6296">
        <f>IF(B6296="","",IF(C6296&lt;&gt;"","REMOVE","KEEP"))</f>
        <v/>
      </c>
      <c r="E6296">
        <f>IF(D6296&lt;&gt;"KEEP","",IF(RIGHT(B6296,10)="@gmail.com","Gmail",IF(OR(RIGHT(B6296,12)="@outlook.com",RIGHT(B6296,12)="@hotmail.com",RIGHT(B6296,9)="@live.com"),"Outlook","Domain")))</f>
        <v/>
      </c>
      <c r="F6296">
        <f>IF(B6296="","",IFERROR(RIGHT(B6296,LEN(B6296)-FIND("@",B6296)),""))</f>
        <v/>
      </c>
      <c r="G6296">
        <f>IF(D6296="KEEP",COUNTIF($D$2:D6296,"KEEP"),"")</f>
        <v/>
      </c>
      <c r="H6296">
        <f>IF(D6296="REMOVE",COUNTIF($D$2:D6296,"REMOVE"),"")</f>
        <v/>
      </c>
      <c r="I6296">
        <f>IF(E6296="Gmail",COUNTIF($E$2:E6296,"Gmail"),"")</f>
        <v/>
      </c>
      <c r="J6296">
        <f>IF(E6296="Outlook",COUNTIF($E$2:E6296,"Outlook"),"")</f>
        <v/>
      </c>
      <c r="K6296">
        <f>IF(E6296="Domain",COUNTIF($E$2:E6296,"Domain"),"")</f>
        <v/>
      </c>
    </row>
    <row r="6297">
      <c r="A6297" s="2" t="n"/>
      <c r="B6297">
        <f>LOWER(TRIM(A6297))</f>
        <v/>
      </c>
      <c r="C6297">
        <f>IF(B6297="","",IFERROR(INDEX('Bad Patterns'!$A$2:$A$120,MATCH(1,INDEX(--ISNUMBER(SEARCH('Bad Patterns'!$A$2:$A$120,B6297)),0),0)),""))</f>
        <v/>
      </c>
      <c r="D6297">
        <f>IF(B6297="","",IF(C6297&lt;&gt;"","REMOVE","KEEP"))</f>
        <v/>
      </c>
      <c r="E6297">
        <f>IF(D6297&lt;&gt;"KEEP","",IF(RIGHT(B6297,10)="@gmail.com","Gmail",IF(OR(RIGHT(B6297,12)="@outlook.com",RIGHT(B6297,12)="@hotmail.com",RIGHT(B6297,9)="@live.com"),"Outlook","Domain")))</f>
        <v/>
      </c>
      <c r="F6297">
        <f>IF(B6297="","",IFERROR(RIGHT(B6297,LEN(B6297)-FIND("@",B6297)),""))</f>
        <v/>
      </c>
      <c r="G6297">
        <f>IF(D6297="KEEP",COUNTIF($D$2:D6297,"KEEP"),"")</f>
        <v/>
      </c>
      <c r="H6297">
        <f>IF(D6297="REMOVE",COUNTIF($D$2:D6297,"REMOVE"),"")</f>
        <v/>
      </c>
      <c r="I6297">
        <f>IF(E6297="Gmail",COUNTIF($E$2:E6297,"Gmail"),"")</f>
        <v/>
      </c>
      <c r="J6297">
        <f>IF(E6297="Outlook",COUNTIF($E$2:E6297,"Outlook"),"")</f>
        <v/>
      </c>
      <c r="K6297">
        <f>IF(E6297="Domain",COUNTIF($E$2:E6297,"Domain"),"")</f>
        <v/>
      </c>
    </row>
    <row r="6298">
      <c r="A6298" s="2" t="n"/>
      <c r="B6298">
        <f>LOWER(TRIM(A6298))</f>
        <v/>
      </c>
      <c r="C6298">
        <f>IF(B6298="","",IFERROR(INDEX('Bad Patterns'!$A$2:$A$120,MATCH(1,INDEX(--ISNUMBER(SEARCH('Bad Patterns'!$A$2:$A$120,B6298)),0),0)),""))</f>
        <v/>
      </c>
      <c r="D6298">
        <f>IF(B6298="","",IF(C6298&lt;&gt;"","REMOVE","KEEP"))</f>
        <v/>
      </c>
      <c r="E6298">
        <f>IF(D6298&lt;&gt;"KEEP","",IF(RIGHT(B6298,10)="@gmail.com","Gmail",IF(OR(RIGHT(B6298,12)="@outlook.com",RIGHT(B6298,12)="@hotmail.com",RIGHT(B6298,9)="@live.com"),"Outlook","Domain")))</f>
        <v/>
      </c>
      <c r="F6298">
        <f>IF(B6298="","",IFERROR(RIGHT(B6298,LEN(B6298)-FIND("@",B6298)),""))</f>
        <v/>
      </c>
      <c r="G6298">
        <f>IF(D6298="KEEP",COUNTIF($D$2:D6298,"KEEP"),"")</f>
        <v/>
      </c>
      <c r="H6298">
        <f>IF(D6298="REMOVE",COUNTIF($D$2:D6298,"REMOVE"),"")</f>
        <v/>
      </c>
      <c r="I6298">
        <f>IF(E6298="Gmail",COUNTIF($E$2:E6298,"Gmail"),"")</f>
        <v/>
      </c>
      <c r="J6298">
        <f>IF(E6298="Outlook",COUNTIF($E$2:E6298,"Outlook"),"")</f>
        <v/>
      </c>
      <c r="K6298">
        <f>IF(E6298="Domain",COUNTIF($E$2:E6298,"Domain"),"")</f>
        <v/>
      </c>
    </row>
    <row r="6299">
      <c r="A6299" s="2" t="n"/>
      <c r="B6299">
        <f>LOWER(TRIM(A6299))</f>
        <v/>
      </c>
      <c r="C6299">
        <f>IF(B6299="","",IFERROR(INDEX('Bad Patterns'!$A$2:$A$120,MATCH(1,INDEX(--ISNUMBER(SEARCH('Bad Patterns'!$A$2:$A$120,B6299)),0),0)),""))</f>
        <v/>
      </c>
      <c r="D6299">
        <f>IF(B6299="","",IF(C6299&lt;&gt;"","REMOVE","KEEP"))</f>
        <v/>
      </c>
      <c r="E6299">
        <f>IF(D6299&lt;&gt;"KEEP","",IF(RIGHT(B6299,10)="@gmail.com","Gmail",IF(OR(RIGHT(B6299,12)="@outlook.com",RIGHT(B6299,12)="@hotmail.com",RIGHT(B6299,9)="@live.com"),"Outlook","Domain")))</f>
        <v/>
      </c>
      <c r="F6299">
        <f>IF(B6299="","",IFERROR(RIGHT(B6299,LEN(B6299)-FIND("@",B6299)),""))</f>
        <v/>
      </c>
      <c r="G6299">
        <f>IF(D6299="KEEP",COUNTIF($D$2:D6299,"KEEP"),"")</f>
        <v/>
      </c>
      <c r="H6299">
        <f>IF(D6299="REMOVE",COUNTIF($D$2:D6299,"REMOVE"),"")</f>
        <v/>
      </c>
      <c r="I6299">
        <f>IF(E6299="Gmail",COUNTIF($E$2:E6299,"Gmail"),"")</f>
        <v/>
      </c>
      <c r="J6299">
        <f>IF(E6299="Outlook",COUNTIF($E$2:E6299,"Outlook"),"")</f>
        <v/>
      </c>
      <c r="K6299">
        <f>IF(E6299="Domain",COUNTIF($E$2:E6299,"Domain"),"")</f>
        <v/>
      </c>
    </row>
    <row r="6300">
      <c r="A6300" s="2" t="n"/>
      <c r="B6300">
        <f>LOWER(TRIM(A6300))</f>
        <v/>
      </c>
      <c r="C6300">
        <f>IF(B6300="","",IFERROR(INDEX('Bad Patterns'!$A$2:$A$120,MATCH(1,INDEX(--ISNUMBER(SEARCH('Bad Patterns'!$A$2:$A$120,B6300)),0),0)),""))</f>
        <v/>
      </c>
      <c r="D6300">
        <f>IF(B6300="","",IF(C6300&lt;&gt;"","REMOVE","KEEP"))</f>
        <v/>
      </c>
      <c r="E6300">
        <f>IF(D6300&lt;&gt;"KEEP","",IF(RIGHT(B6300,10)="@gmail.com","Gmail",IF(OR(RIGHT(B6300,12)="@outlook.com",RIGHT(B6300,12)="@hotmail.com",RIGHT(B6300,9)="@live.com"),"Outlook","Domain")))</f>
        <v/>
      </c>
      <c r="F6300">
        <f>IF(B6300="","",IFERROR(RIGHT(B6300,LEN(B6300)-FIND("@",B6300)),""))</f>
        <v/>
      </c>
      <c r="G6300">
        <f>IF(D6300="KEEP",COUNTIF($D$2:D6300,"KEEP"),"")</f>
        <v/>
      </c>
      <c r="H6300">
        <f>IF(D6300="REMOVE",COUNTIF($D$2:D6300,"REMOVE"),"")</f>
        <v/>
      </c>
      <c r="I6300">
        <f>IF(E6300="Gmail",COUNTIF($E$2:E6300,"Gmail"),"")</f>
        <v/>
      </c>
      <c r="J6300">
        <f>IF(E6300="Outlook",COUNTIF($E$2:E6300,"Outlook"),"")</f>
        <v/>
      </c>
      <c r="K6300">
        <f>IF(E6300="Domain",COUNTIF($E$2:E6300,"Domain"),"")</f>
        <v/>
      </c>
    </row>
    <row r="6301">
      <c r="A6301" s="2" t="n"/>
      <c r="B6301">
        <f>LOWER(TRIM(A6301))</f>
        <v/>
      </c>
      <c r="C6301">
        <f>IF(B6301="","",IFERROR(INDEX('Bad Patterns'!$A$2:$A$120,MATCH(1,INDEX(--ISNUMBER(SEARCH('Bad Patterns'!$A$2:$A$120,B6301)),0),0)),""))</f>
        <v/>
      </c>
      <c r="D6301">
        <f>IF(B6301="","",IF(C6301&lt;&gt;"","REMOVE","KEEP"))</f>
        <v/>
      </c>
      <c r="E6301">
        <f>IF(D6301&lt;&gt;"KEEP","",IF(RIGHT(B6301,10)="@gmail.com","Gmail",IF(OR(RIGHT(B6301,12)="@outlook.com",RIGHT(B6301,12)="@hotmail.com",RIGHT(B6301,9)="@live.com"),"Outlook","Domain")))</f>
        <v/>
      </c>
      <c r="F6301">
        <f>IF(B6301="","",IFERROR(RIGHT(B6301,LEN(B6301)-FIND("@",B6301)),""))</f>
        <v/>
      </c>
      <c r="G6301">
        <f>IF(D6301="KEEP",COUNTIF($D$2:D6301,"KEEP"),"")</f>
        <v/>
      </c>
      <c r="H6301">
        <f>IF(D6301="REMOVE",COUNTIF($D$2:D6301,"REMOVE"),"")</f>
        <v/>
      </c>
      <c r="I6301">
        <f>IF(E6301="Gmail",COUNTIF($E$2:E6301,"Gmail"),"")</f>
        <v/>
      </c>
      <c r="J6301">
        <f>IF(E6301="Outlook",COUNTIF($E$2:E6301,"Outlook"),"")</f>
        <v/>
      </c>
      <c r="K6301">
        <f>IF(E6301="Domain",COUNTIF($E$2:E6301,"Domain"),"")</f>
        <v/>
      </c>
    </row>
    <row r="6302">
      <c r="A6302" s="2" t="n"/>
      <c r="B6302">
        <f>LOWER(TRIM(A6302))</f>
        <v/>
      </c>
      <c r="C6302">
        <f>IF(B6302="","",IFERROR(INDEX('Bad Patterns'!$A$2:$A$120,MATCH(1,INDEX(--ISNUMBER(SEARCH('Bad Patterns'!$A$2:$A$120,B6302)),0),0)),""))</f>
        <v/>
      </c>
      <c r="D6302">
        <f>IF(B6302="","",IF(C6302&lt;&gt;"","REMOVE","KEEP"))</f>
        <v/>
      </c>
      <c r="E6302">
        <f>IF(D6302&lt;&gt;"KEEP","",IF(RIGHT(B6302,10)="@gmail.com","Gmail",IF(OR(RIGHT(B6302,12)="@outlook.com",RIGHT(B6302,12)="@hotmail.com",RIGHT(B6302,9)="@live.com"),"Outlook","Domain")))</f>
        <v/>
      </c>
      <c r="F6302">
        <f>IF(B6302="","",IFERROR(RIGHT(B6302,LEN(B6302)-FIND("@",B6302)),""))</f>
        <v/>
      </c>
      <c r="G6302">
        <f>IF(D6302="KEEP",COUNTIF($D$2:D6302,"KEEP"),"")</f>
        <v/>
      </c>
      <c r="H6302">
        <f>IF(D6302="REMOVE",COUNTIF($D$2:D6302,"REMOVE"),"")</f>
        <v/>
      </c>
      <c r="I6302">
        <f>IF(E6302="Gmail",COUNTIF($E$2:E6302,"Gmail"),"")</f>
        <v/>
      </c>
      <c r="J6302">
        <f>IF(E6302="Outlook",COUNTIF($E$2:E6302,"Outlook"),"")</f>
        <v/>
      </c>
      <c r="K6302">
        <f>IF(E6302="Domain",COUNTIF($E$2:E6302,"Domain"),"")</f>
        <v/>
      </c>
    </row>
    <row r="6303">
      <c r="A6303" s="2" t="n"/>
      <c r="B6303">
        <f>LOWER(TRIM(A6303))</f>
        <v/>
      </c>
      <c r="C6303">
        <f>IF(B6303="","",IFERROR(INDEX('Bad Patterns'!$A$2:$A$120,MATCH(1,INDEX(--ISNUMBER(SEARCH('Bad Patterns'!$A$2:$A$120,B6303)),0),0)),""))</f>
        <v/>
      </c>
      <c r="D6303">
        <f>IF(B6303="","",IF(C6303&lt;&gt;"","REMOVE","KEEP"))</f>
        <v/>
      </c>
      <c r="E6303">
        <f>IF(D6303&lt;&gt;"KEEP","",IF(RIGHT(B6303,10)="@gmail.com","Gmail",IF(OR(RIGHT(B6303,12)="@outlook.com",RIGHT(B6303,12)="@hotmail.com",RIGHT(B6303,9)="@live.com"),"Outlook","Domain")))</f>
        <v/>
      </c>
      <c r="F6303">
        <f>IF(B6303="","",IFERROR(RIGHT(B6303,LEN(B6303)-FIND("@",B6303)),""))</f>
        <v/>
      </c>
      <c r="G6303">
        <f>IF(D6303="KEEP",COUNTIF($D$2:D6303,"KEEP"),"")</f>
        <v/>
      </c>
      <c r="H6303">
        <f>IF(D6303="REMOVE",COUNTIF($D$2:D6303,"REMOVE"),"")</f>
        <v/>
      </c>
      <c r="I6303">
        <f>IF(E6303="Gmail",COUNTIF($E$2:E6303,"Gmail"),"")</f>
        <v/>
      </c>
      <c r="J6303">
        <f>IF(E6303="Outlook",COUNTIF($E$2:E6303,"Outlook"),"")</f>
        <v/>
      </c>
      <c r="K6303">
        <f>IF(E6303="Domain",COUNTIF($E$2:E6303,"Domain"),"")</f>
        <v/>
      </c>
    </row>
    <row r="6304">
      <c r="A6304" s="2" t="n"/>
      <c r="B6304">
        <f>LOWER(TRIM(A6304))</f>
        <v/>
      </c>
      <c r="C6304">
        <f>IF(B6304="","",IFERROR(INDEX('Bad Patterns'!$A$2:$A$120,MATCH(1,INDEX(--ISNUMBER(SEARCH('Bad Patterns'!$A$2:$A$120,B6304)),0),0)),""))</f>
        <v/>
      </c>
      <c r="D6304">
        <f>IF(B6304="","",IF(C6304&lt;&gt;"","REMOVE","KEEP"))</f>
        <v/>
      </c>
      <c r="E6304">
        <f>IF(D6304&lt;&gt;"KEEP","",IF(RIGHT(B6304,10)="@gmail.com","Gmail",IF(OR(RIGHT(B6304,12)="@outlook.com",RIGHT(B6304,12)="@hotmail.com",RIGHT(B6304,9)="@live.com"),"Outlook","Domain")))</f>
        <v/>
      </c>
      <c r="F6304">
        <f>IF(B6304="","",IFERROR(RIGHT(B6304,LEN(B6304)-FIND("@",B6304)),""))</f>
        <v/>
      </c>
      <c r="G6304">
        <f>IF(D6304="KEEP",COUNTIF($D$2:D6304,"KEEP"),"")</f>
        <v/>
      </c>
      <c r="H6304">
        <f>IF(D6304="REMOVE",COUNTIF($D$2:D6304,"REMOVE"),"")</f>
        <v/>
      </c>
      <c r="I6304">
        <f>IF(E6304="Gmail",COUNTIF($E$2:E6304,"Gmail"),"")</f>
        <v/>
      </c>
      <c r="J6304">
        <f>IF(E6304="Outlook",COUNTIF($E$2:E6304,"Outlook"),"")</f>
        <v/>
      </c>
      <c r="K6304">
        <f>IF(E6304="Domain",COUNTIF($E$2:E6304,"Domain"),"")</f>
        <v/>
      </c>
    </row>
    <row r="6305">
      <c r="A6305" s="2" t="n"/>
      <c r="B6305">
        <f>LOWER(TRIM(A6305))</f>
        <v/>
      </c>
      <c r="C6305">
        <f>IF(B6305="","",IFERROR(INDEX('Bad Patterns'!$A$2:$A$120,MATCH(1,INDEX(--ISNUMBER(SEARCH('Bad Patterns'!$A$2:$A$120,B6305)),0),0)),""))</f>
        <v/>
      </c>
      <c r="D6305">
        <f>IF(B6305="","",IF(C6305&lt;&gt;"","REMOVE","KEEP"))</f>
        <v/>
      </c>
      <c r="E6305">
        <f>IF(D6305&lt;&gt;"KEEP","",IF(RIGHT(B6305,10)="@gmail.com","Gmail",IF(OR(RIGHT(B6305,12)="@outlook.com",RIGHT(B6305,12)="@hotmail.com",RIGHT(B6305,9)="@live.com"),"Outlook","Domain")))</f>
        <v/>
      </c>
      <c r="F6305">
        <f>IF(B6305="","",IFERROR(RIGHT(B6305,LEN(B6305)-FIND("@",B6305)),""))</f>
        <v/>
      </c>
      <c r="G6305">
        <f>IF(D6305="KEEP",COUNTIF($D$2:D6305,"KEEP"),"")</f>
        <v/>
      </c>
      <c r="H6305">
        <f>IF(D6305="REMOVE",COUNTIF($D$2:D6305,"REMOVE"),"")</f>
        <v/>
      </c>
      <c r="I6305">
        <f>IF(E6305="Gmail",COUNTIF($E$2:E6305,"Gmail"),"")</f>
        <v/>
      </c>
      <c r="J6305">
        <f>IF(E6305="Outlook",COUNTIF($E$2:E6305,"Outlook"),"")</f>
        <v/>
      </c>
      <c r="K6305">
        <f>IF(E6305="Domain",COUNTIF($E$2:E6305,"Domain"),"")</f>
        <v/>
      </c>
    </row>
    <row r="6306">
      <c r="A6306" s="2" t="n"/>
      <c r="B6306">
        <f>LOWER(TRIM(A6306))</f>
        <v/>
      </c>
      <c r="C6306">
        <f>IF(B6306="","",IFERROR(INDEX('Bad Patterns'!$A$2:$A$120,MATCH(1,INDEX(--ISNUMBER(SEARCH('Bad Patterns'!$A$2:$A$120,B6306)),0),0)),""))</f>
        <v/>
      </c>
      <c r="D6306">
        <f>IF(B6306="","",IF(C6306&lt;&gt;"","REMOVE","KEEP"))</f>
        <v/>
      </c>
      <c r="E6306">
        <f>IF(D6306&lt;&gt;"KEEP","",IF(RIGHT(B6306,10)="@gmail.com","Gmail",IF(OR(RIGHT(B6306,12)="@outlook.com",RIGHT(B6306,12)="@hotmail.com",RIGHT(B6306,9)="@live.com"),"Outlook","Domain")))</f>
        <v/>
      </c>
      <c r="F6306">
        <f>IF(B6306="","",IFERROR(RIGHT(B6306,LEN(B6306)-FIND("@",B6306)),""))</f>
        <v/>
      </c>
      <c r="G6306">
        <f>IF(D6306="KEEP",COUNTIF($D$2:D6306,"KEEP"),"")</f>
        <v/>
      </c>
      <c r="H6306">
        <f>IF(D6306="REMOVE",COUNTIF($D$2:D6306,"REMOVE"),"")</f>
        <v/>
      </c>
      <c r="I6306">
        <f>IF(E6306="Gmail",COUNTIF($E$2:E6306,"Gmail"),"")</f>
        <v/>
      </c>
      <c r="J6306">
        <f>IF(E6306="Outlook",COUNTIF($E$2:E6306,"Outlook"),"")</f>
        <v/>
      </c>
      <c r="K6306">
        <f>IF(E6306="Domain",COUNTIF($E$2:E6306,"Domain"),"")</f>
        <v/>
      </c>
    </row>
    <row r="6307">
      <c r="A6307" s="2" t="n"/>
      <c r="B6307">
        <f>LOWER(TRIM(A6307))</f>
        <v/>
      </c>
      <c r="C6307">
        <f>IF(B6307="","",IFERROR(INDEX('Bad Patterns'!$A$2:$A$120,MATCH(1,INDEX(--ISNUMBER(SEARCH('Bad Patterns'!$A$2:$A$120,B6307)),0),0)),""))</f>
        <v/>
      </c>
      <c r="D6307">
        <f>IF(B6307="","",IF(C6307&lt;&gt;"","REMOVE","KEEP"))</f>
        <v/>
      </c>
      <c r="E6307">
        <f>IF(D6307&lt;&gt;"KEEP","",IF(RIGHT(B6307,10)="@gmail.com","Gmail",IF(OR(RIGHT(B6307,12)="@outlook.com",RIGHT(B6307,12)="@hotmail.com",RIGHT(B6307,9)="@live.com"),"Outlook","Domain")))</f>
        <v/>
      </c>
      <c r="F6307">
        <f>IF(B6307="","",IFERROR(RIGHT(B6307,LEN(B6307)-FIND("@",B6307)),""))</f>
        <v/>
      </c>
      <c r="G6307">
        <f>IF(D6307="KEEP",COUNTIF($D$2:D6307,"KEEP"),"")</f>
        <v/>
      </c>
      <c r="H6307">
        <f>IF(D6307="REMOVE",COUNTIF($D$2:D6307,"REMOVE"),"")</f>
        <v/>
      </c>
      <c r="I6307">
        <f>IF(E6307="Gmail",COUNTIF($E$2:E6307,"Gmail"),"")</f>
        <v/>
      </c>
      <c r="J6307">
        <f>IF(E6307="Outlook",COUNTIF($E$2:E6307,"Outlook"),"")</f>
        <v/>
      </c>
      <c r="K6307">
        <f>IF(E6307="Domain",COUNTIF($E$2:E6307,"Domain"),"")</f>
        <v/>
      </c>
    </row>
    <row r="6308">
      <c r="A6308" s="2" t="n"/>
      <c r="B6308">
        <f>LOWER(TRIM(A6308))</f>
        <v/>
      </c>
      <c r="C6308">
        <f>IF(B6308="","",IFERROR(INDEX('Bad Patterns'!$A$2:$A$120,MATCH(1,INDEX(--ISNUMBER(SEARCH('Bad Patterns'!$A$2:$A$120,B6308)),0),0)),""))</f>
        <v/>
      </c>
      <c r="D6308">
        <f>IF(B6308="","",IF(C6308&lt;&gt;"","REMOVE","KEEP"))</f>
        <v/>
      </c>
      <c r="E6308">
        <f>IF(D6308&lt;&gt;"KEEP","",IF(RIGHT(B6308,10)="@gmail.com","Gmail",IF(OR(RIGHT(B6308,12)="@outlook.com",RIGHT(B6308,12)="@hotmail.com",RIGHT(B6308,9)="@live.com"),"Outlook","Domain")))</f>
        <v/>
      </c>
      <c r="F6308">
        <f>IF(B6308="","",IFERROR(RIGHT(B6308,LEN(B6308)-FIND("@",B6308)),""))</f>
        <v/>
      </c>
      <c r="G6308">
        <f>IF(D6308="KEEP",COUNTIF($D$2:D6308,"KEEP"),"")</f>
        <v/>
      </c>
      <c r="H6308">
        <f>IF(D6308="REMOVE",COUNTIF($D$2:D6308,"REMOVE"),"")</f>
        <v/>
      </c>
      <c r="I6308">
        <f>IF(E6308="Gmail",COUNTIF($E$2:E6308,"Gmail"),"")</f>
        <v/>
      </c>
      <c r="J6308">
        <f>IF(E6308="Outlook",COUNTIF($E$2:E6308,"Outlook"),"")</f>
        <v/>
      </c>
      <c r="K6308">
        <f>IF(E6308="Domain",COUNTIF($E$2:E6308,"Domain"),"")</f>
        <v/>
      </c>
    </row>
    <row r="6309">
      <c r="A6309" s="2" t="n"/>
      <c r="B6309">
        <f>LOWER(TRIM(A6309))</f>
        <v/>
      </c>
      <c r="C6309">
        <f>IF(B6309="","",IFERROR(INDEX('Bad Patterns'!$A$2:$A$120,MATCH(1,INDEX(--ISNUMBER(SEARCH('Bad Patterns'!$A$2:$A$120,B6309)),0),0)),""))</f>
        <v/>
      </c>
      <c r="D6309">
        <f>IF(B6309="","",IF(C6309&lt;&gt;"","REMOVE","KEEP"))</f>
        <v/>
      </c>
      <c r="E6309">
        <f>IF(D6309&lt;&gt;"KEEP","",IF(RIGHT(B6309,10)="@gmail.com","Gmail",IF(OR(RIGHT(B6309,12)="@outlook.com",RIGHT(B6309,12)="@hotmail.com",RIGHT(B6309,9)="@live.com"),"Outlook","Domain")))</f>
        <v/>
      </c>
      <c r="F6309">
        <f>IF(B6309="","",IFERROR(RIGHT(B6309,LEN(B6309)-FIND("@",B6309)),""))</f>
        <v/>
      </c>
      <c r="G6309">
        <f>IF(D6309="KEEP",COUNTIF($D$2:D6309,"KEEP"),"")</f>
        <v/>
      </c>
      <c r="H6309">
        <f>IF(D6309="REMOVE",COUNTIF($D$2:D6309,"REMOVE"),"")</f>
        <v/>
      </c>
      <c r="I6309">
        <f>IF(E6309="Gmail",COUNTIF($E$2:E6309,"Gmail"),"")</f>
        <v/>
      </c>
      <c r="J6309">
        <f>IF(E6309="Outlook",COUNTIF($E$2:E6309,"Outlook"),"")</f>
        <v/>
      </c>
      <c r="K6309">
        <f>IF(E6309="Domain",COUNTIF($E$2:E6309,"Domain"),"")</f>
        <v/>
      </c>
    </row>
    <row r="6310">
      <c r="A6310" s="2" t="n"/>
      <c r="B6310">
        <f>LOWER(TRIM(A6310))</f>
        <v/>
      </c>
      <c r="C6310">
        <f>IF(B6310="","",IFERROR(INDEX('Bad Patterns'!$A$2:$A$120,MATCH(1,INDEX(--ISNUMBER(SEARCH('Bad Patterns'!$A$2:$A$120,B6310)),0),0)),""))</f>
        <v/>
      </c>
      <c r="D6310">
        <f>IF(B6310="","",IF(C6310&lt;&gt;"","REMOVE","KEEP"))</f>
        <v/>
      </c>
      <c r="E6310">
        <f>IF(D6310&lt;&gt;"KEEP","",IF(RIGHT(B6310,10)="@gmail.com","Gmail",IF(OR(RIGHT(B6310,12)="@outlook.com",RIGHT(B6310,12)="@hotmail.com",RIGHT(B6310,9)="@live.com"),"Outlook","Domain")))</f>
        <v/>
      </c>
      <c r="F6310">
        <f>IF(B6310="","",IFERROR(RIGHT(B6310,LEN(B6310)-FIND("@",B6310)),""))</f>
        <v/>
      </c>
      <c r="G6310">
        <f>IF(D6310="KEEP",COUNTIF($D$2:D6310,"KEEP"),"")</f>
        <v/>
      </c>
      <c r="H6310">
        <f>IF(D6310="REMOVE",COUNTIF($D$2:D6310,"REMOVE"),"")</f>
        <v/>
      </c>
      <c r="I6310">
        <f>IF(E6310="Gmail",COUNTIF($E$2:E6310,"Gmail"),"")</f>
        <v/>
      </c>
      <c r="J6310">
        <f>IF(E6310="Outlook",COUNTIF($E$2:E6310,"Outlook"),"")</f>
        <v/>
      </c>
      <c r="K6310">
        <f>IF(E6310="Domain",COUNTIF($E$2:E6310,"Domain"),"")</f>
        <v/>
      </c>
    </row>
    <row r="6311">
      <c r="A6311" s="2" t="n"/>
      <c r="B6311">
        <f>LOWER(TRIM(A6311))</f>
        <v/>
      </c>
      <c r="C6311">
        <f>IF(B6311="","",IFERROR(INDEX('Bad Patterns'!$A$2:$A$120,MATCH(1,INDEX(--ISNUMBER(SEARCH('Bad Patterns'!$A$2:$A$120,B6311)),0),0)),""))</f>
        <v/>
      </c>
      <c r="D6311">
        <f>IF(B6311="","",IF(C6311&lt;&gt;"","REMOVE","KEEP"))</f>
        <v/>
      </c>
      <c r="E6311">
        <f>IF(D6311&lt;&gt;"KEEP","",IF(RIGHT(B6311,10)="@gmail.com","Gmail",IF(OR(RIGHT(B6311,12)="@outlook.com",RIGHT(B6311,12)="@hotmail.com",RIGHT(B6311,9)="@live.com"),"Outlook","Domain")))</f>
        <v/>
      </c>
      <c r="F6311">
        <f>IF(B6311="","",IFERROR(RIGHT(B6311,LEN(B6311)-FIND("@",B6311)),""))</f>
        <v/>
      </c>
      <c r="G6311">
        <f>IF(D6311="KEEP",COUNTIF($D$2:D6311,"KEEP"),"")</f>
        <v/>
      </c>
      <c r="H6311">
        <f>IF(D6311="REMOVE",COUNTIF($D$2:D6311,"REMOVE"),"")</f>
        <v/>
      </c>
      <c r="I6311">
        <f>IF(E6311="Gmail",COUNTIF($E$2:E6311,"Gmail"),"")</f>
        <v/>
      </c>
      <c r="J6311">
        <f>IF(E6311="Outlook",COUNTIF($E$2:E6311,"Outlook"),"")</f>
        <v/>
      </c>
      <c r="K6311">
        <f>IF(E6311="Domain",COUNTIF($E$2:E6311,"Domain"),"")</f>
        <v/>
      </c>
    </row>
    <row r="6312">
      <c r="A6312" s="2" t="n"/>
      <c r="B6312">
        <f>LOWER(TRIM(A6312))</f>
        <v/>
      </c>
      <c r="C6312">
        <f>IF(B6312="","",IFERROR(INDEX('Bad Patterns'!$A$2:$A$120,MATCH(1,INDEX(--ISNUMBER(SEARCH('Bad Patterns'!$A$2:$A$120,B6312)),0),0)),""))</f>
        <v/>
      </c>
      <c r="D6312">
        <f>IF(B6312="","",IF(C6312&lt;&gt;"","REMOVE","KEEP"))</f>
        <v/>
      </c>
      <c r="E6312">
        <f>IF(D6312&lt;&gt;"KEEP","",IF(RIGHT(B6312,10)="@gmail.com","Gmail",IF(OR(RIGHT(B6312,12)="@outlook.com",RIGHT(B6312,12)="@hotmail.com",RIGHT(B6312,9)="@live.com"),"Outlook","Domain")))</f>
        <v/>
      </c>
      <c r="F6312">
        <f>IF(B6312="","",IFERROR(RIGHT(B6312,LEN(B6312)-FIND("@",B6312)),""))</f>
        <v/>
      </c>
      <c r="G6312">
        <f>IF(D6312="KEEP",COUNTIF($D$2:D6312,"KEEP"),"")</f>
        <v/>
      </c>
      <c r="H6312">
        <f>IF(D6312="REMOVE",COUNTIF($D$2:D6312,"REMOVE"),"")</f>
        <v/>
      </c>
      <c r="I6312">
        <f>IF(E6312="Gmail",COUNTIF($E$2:E6312,"Gmail"),"")</f>
        <v/>
      </c>
      <c r="J6312">
        <f>IF(E6312="Outlook",COUNTIF($E$2:E6312,"Outlook"),"")</f>
        <v/>
      </c>
      <c r="K6312">
        <f>IF(E6312="Domain",COUNTIF($E$2:E6312,"Domain"),"")</f>
        <v/>
      </c>
    </row>
    <row r="6313">
      <c r="A6313" s="2" t="n"/>
      <c r="B6313">
        <f>LOWER(TRIM(A6313))</f>
        <v/>
      </c>
      <c r="C6313">
        <f>IF(B6313="","",IFERROR(INDEX('Bad Patterns'!$A$2:$A$120,MATCH(1,INDEX(--ISNUMBER(SEARCH('Bad Patterns'!$A$2:$A$120,B6313)),0),0)),""))</f>
        <v/>
      </c>
      <c r="D6313">
        <f>IF(B6313="","",IF(C6313&lt;&gt;"","REMOVE","KEEP"))</f>
        <v/>
      </c>
      <c r="E6313">
        <f>IF(D6313&lt;&gt;"KEEP","",IF(RIGHT(B6313,10)="@gmail.com","Gmail",IF(OR(RIGHT(B6313,12)="@outlook.com",RIGHT(B6313,12)="@hotmail.com",RIGHT(B6313,9)="@live.com"),"Outlook","Domain")))</f>
        <v/>
      </c>
      <c r="F6313">
        <f>IF(B6313="","",IFERROR(RIGHT(B6313,LEN(B6313)-FIND("@",B6313)),""))</f>
        <v/>
      </c>
      <c r="G6313">
        <f>IF(D6313="KEEP",COUNTIF($D$2:D6313,"KEEP"),"")</f>
        <v/>
      </c>
      <c r="H6313">
        <f>IF(D6313="REMOVE",COUNTIF($D$2:D6313,"REMOVE"),"")</f>
        <v/>
      </c>
      <c r="I6313">
        <f>IF(E6313="Gmail",COUNTIF($E$2:E6313,"Gmail"),"")</f>
        <v/>
      </c>
      <c r="J6313">
        <f>IF(E6313="Outlook",COUNTIF($E$2:E6313,"Outlook"),"")</f>
        <v/>
      </c>
      <c r="K6313">
        <f>IF(E6313="Domain",COUNTIF($E$2:E6313,"Domain"),"")</f>
        <v/>
      </c>
    </row>
    <row r="6314">
      <c r="A6314" s="2" t="n"/>
      <c r="B6314">
        <f>LOWER(TRIM(A6314))</f>
        <v/>
      </c>
      <c r="C6314">
        <f>IF(B6314="","",IFERROR(INDEX('Bad Patterns'!$A$2:$A$120,MATCH(1,INDEX(--ISNUMBER(SEARCH('Bad Patterns'!$A$2:$A$120,B6314)),0),0)),""))</f>
        <v/>
      </c>
      <c r="D6314">
        <f>IF(B6314="","",IF(C6314&lt;&gt;"","REMOVE","KEEP"))</f>
        <v/>
      </c>
      <c r="E6314">
        <f>IF(D6314&lt;&gt;"KEEP","",IF(RIGHT(B6314,10)="@gmail.com","Gmail",IF(OR(RIGHT(B6314,12)="@outlook.com",RIGHT(B6314,12)="@hotmail.com",RIGHT(B6314,9)="@live.com"),"Outlook","Domain")))</f>
        <v/>
      </c>
      <c r="F6314">
        <f>IF(B6314="","",IFERROR(RIGHT(B6314,LEN(B6314)-FIND("@",B6314)),""))</f>
        <v/>
      </c>
      <c r="G6314">
        <f>IF(D6314="KEEP",COUNTIF($D$2:D6314,"KEEP"),"")</f>
        <v/>
      </c>
      <c r="H6314">
        <f>IF(D6314="REMOVE",COUNTIF($D$2:D6314,"REMOVE"),"")</f>
        <v/>
      </c>
      <c r="I6314">
        <f>IF(E6314="Gmail",COUNTIF($E$2:E6314,"Gmail"),"")</f>
        <v/>
      </c>
      <c r="J6314">
        <f>IF(E6314="Outlook",COUNTIF($E$2:E6314,"Outlook"),"")</f>
        <v/>
      </c>
      <c r="K6314">
        <f>IF(E6314="Domain",COUNTIF($E$2:E6314,"Domain"),"")</f>
        <v/>
      </c>
    </row>
    <row r="6315">
      <c r="A6315" s="2" t="n"/>
      <c r="B6315">
        <f>LOWER(TRIM(A6315))</f>
        <v/>
      </c>
      <c r="C6315">
        <f>IF(B6315="","",IFERROR(INDEX('Bad Patterns'!$A$2:$A$120,MATCH(1,INDEX(--ISNUMBER(SEARCH('Bad Patterns'!$A$2:$A$120,B6315)),0),0)),""))</f>
        <v/>
      </c>
      <c r="D6315">
        <f>IF(B6315="","",IF(C6315&lt;&gt;"","REMOVE","KEEP"))</f>
        <v/>
      </c>
      <c r="E6315">
        <f>IF(D6315&lt;&gt;"KEEP","",IF(RIGHT(B6315,10)="@gmail.com","Gmail",IF(OR(RIGHT(B6315,12)="@outlook.com",RIGHT(B6315,12)="@hotmail.com",RIGHT(B6315,9)="@live.com"),"Outlook","Domain")))</f>
        <v/>
      </c>
      <c r="F6315">
        <f>IF(B6315="","",IFERROR(RIGHT(B6315,LEN(B6315)-FIND("@",B6315)),""))</f>
        <v/>
      </c>
      <c r="G6315">
        <f>IF(D6315="KEEP",COUNTIF($D$2:D6315,"KEEP"),"")</f>
        <v/>
      </c>
      <c r="H6315">
        <f>IF(D6315="REMOVE",COUNTIF($D$2:D6315,"REMOVE"),"")</f>
        <v/>
      </c>
      <c r="I6315">
        <f>IF(E6315="Gmail",COUNTIF($E$2:E6315,"Gmail"),"")</f>
        <v/>
      </c>
      <c r="J6315">
        <f>IF(E6315="Outlook",COUNTIF($E$2:E6315,"Outlook"),"")</f>
        <v/>
      </c>
      <c r="K6315">
        <f>IF(E6315="Domain",COUNTIF($E$2:E6315,"Domain"),"")</f>
        <v/>
      </c>
    </row>
    <row r="6316">
      <c r="A6316" s="2" t="n"/>
      <c r="B6316">
        <f>LOWER(TRIM(A6316))</f>
        <v/>
      </c>
      <c r="C6316">
        <f>IF(B6316="","",IFERROR(INDEX('Bad Patterns'!$A$2:$A$120,MATCH(1,INDEX(--ISNUMBER(SEARCH('Bad Patterns'!$A$2:$A$120,B6316)),0),0)),""))</f>
        <v/>
      </c>
      <c r="D6316">
        <f>IF(B6316="","",IF(C6316&lt;&gt;"","REMOVE","KEEP"))</f>
        <v/>
      </c>
      <c r="E6316">
        <f>IF(D6316&lt;&gt;"KEEP","",IF(RIGHT(B6316,10)="@gmail.com","Gmail",IF(OR(RIGHT(B6316,12)="@outlook.com",RIGHT(B6316,12)="@hotmail.com",RIGHT(B6316,9)="@live.com"),"Outlook","Domain")))</f>
        <v/>
      </c>
      <c r="F6316">
        <f>IF(B6316="","",IFERROR(RIGHT(B6316,LEN(B6316)-FIND("@",B6316)),""))</f>
        <v/>
      </c>
      <c r="G6316">
        <f>IF(D6316="KEEP",COUNTIF($D$2:D6316,"KEEP"),"")</f>
        <v/>
      </c>
      <c r="H6316">
        <f>IF(D6316="REMOVE",COUNTIF($D$2:D6316,"REMOVE"),"")</f>
        <v/>
      </c>
      <c r="I6316">
        <f>IF(E6316="Gmail",COUNTIF($E$2:E6316,"Gmail"),"")</f>
        <v/>
      </c>
      <c r="J6316">
        <f>IF(E6316="Outlook",COUNTIF($E$2:E6316,"Outlook"),"")</f>
        <v/>
      </c>
      <c r="K6316">
        <f>IF(E6316="Domain",COUNTIF($E$2:E6316,"Domain"),"")</f>
        <v/>
      </c>
    </row>
    <row r="6317">
      <c r="A6317" s="2" t="n"/>
      <c r="B6317">
        <f>LOWER(TRIM(A6317))</f>
        <v/>
      </c>
      <c r="C6317">
        <f>IF(B6317="","",IFERROR(INDEX('Bad Patterns'!$A$2:$A$120,MATCH(1,INDEX(--ISNUMBER(SEARCH('Bad Patterns'!$A$2:$A$120,B6317)),0),0)),""))</f>
        <v/>
      </c>
      <c r="D6317">
        <f>IF(B6317="","",IF(C6317&lt;&gt;"","REMOVE","KEEP"))</f>
        <v/>
      </c>
      <c r="E6317">
        <f>IF(D6317&lt;&gt;"KEEP","",IF(RIGHT(B6317,10)="@gmail.com","Gmail",IF(OR(RIGHT(B6317,12)="@outlook.com",RIGHT(B6317,12)="@hotmail.com",RIGHT(B6317,9)="@live.com"),"Outlook","Domain")))</f>
        <v/>
      </c>
      <c r="F6317">
        <f>IF(B6317="","",IFERROR(RIGHT(B6317,LEN(B6317)-FIND("@",B6317)),""))</f>
        <v/>
      </c>
      <c r="G6317">
        <f>IF(D6317="KEEP",COUNTIF($D$2:D6317,"KEEP"),"")</f>
        <v/>
      </c>
      <c r="H6317">
        <f>IF(D6317="REMOVE",COUNTIF($D$2:D6317,"REMOVE"),"")</f>
        <v/>
      </c>
      <c r="I6317">
        <f>IF(E6317="Gmail",COUNTIF($E$2:E6317,"Gmail"),"")</f>
        <v/>
      </c>
      <c r="J6317">
        <f>IF(E6317="Outlook",COUNTIF($E$2:E6317,"Outlook"),"")</f>
        <v/>
      </c>
      <c r="K6317">
        <f>IF(E6317="Domain",COUNTIF($E$2:E6317,"Domain"),"")</f>
        <v/>
      </c>
    </row>
    <row r="6318">
      <c r="A6318" s="2" t="n"/>
      <c r="B6318">
        <f>LOWER(TRIM(A6318))</f>
        <v/>
      </c>
      <c r="C6318">
        <f>IF(B6318="","",IFERROR(INDEX('Bad Patterns'!$A$2:$A$120,MATCH(1,INDEX(--ISNUMBER(SEARCH('Bad Patterns'!$A$2:$A$120,B6318)),0),0)),""))</f>
        <v/>
      </c>
      <c r="D6318">
        <f>IF(B6318="","",IF(C6318&lt;&gt;"","REMOVE","KEEP"))</f>
        <v/>
      </c>
      <c r="E6318">
        <f>IF(D6318&lt;&gt;"KEEP","",IF(RIGHT(B6318,10)="@gmail.com","Gmail",IF(OR(RIGHT(B6318,12)="@outlook.com",RIGHT(B6318,12)="@hotmail.com",RIGHT(B6318,9)="@live.com"),"Outlook","Domain")))</f>
        <v/>
      </c>
      <c r="F6318">
        <f>IF(B6318="","",IFERROR(RIGHT(B6318,LEN(B6318)-FIND("@",B6318)),""))</f>
        <v/>
      </c>
      <c r="G6318">
        <f>IF(D6318="KEEP",COUNTIF($D$2:D6318,"KEEP"),"")</f>
        <v/>
      </c>
      <c r="H6318">
        <f>IF(D6318="REMOVE",COUNTIF($D$2:D6318,"REMOVE"),"")</f>
        <v/>
      </c>
      <c r="I6318">
        <f>IF(E6318="Gmail",COUNTIF($E$2:E6318,"Gmail"),"")</f>
        <v/>
      </c>
      <c r="J6318">
        <f>IF(E6318="Outlook",COUNTIF($E$2:E6318,"Outlook"),"")</f>
        <v/>
      </c>
      <c r="K6318">
        <f>IF(E6318="Domain",COUNTIF($E$2:E6318,"Domain"),"")</f>
        <v/>
      </c>
    </row>
    <row r="6319">
      <c r="A6319" s="2" t="n"/>
      <c r="B6319">
        <f>LOWER(TRIM(A6319))</f>
        <v/>
      </c>
      <c r="C6319">
        <f>IF(B6319="","",IFERROR(INDEX('Bad Patterns'!$A$2:$A$120,MATCH(1,INDEX(--ISNUMBER(SEARCH('Bad Patterns'!$A$2:$A$120,B6319)),0),0)),""))</f>
        <v/>
      </c>
      <c r="D6319">
        <f>IF(B6319="","",IF(C6319&lt;&gt;"","REMOVE","KEEP"))</f>
        <v/>
      </c>
      <c r="E6319">
        <f>IF(D6319&lt;&gt;"KEEP","",IF(RIGHT(B6319,10)="@gmail.com","Gmail",IF(OR(RIGHT(B6319,12)="@outlook.com",RIGHT(B6319,12)="@hotmail.com",RIGHT(B6319,9)="@live.com"),"Outlook","Domain")))</f>
        <v/>
      </c>
      <c r="F6319">
        <f>IF(B6319="","",IFERROR(RIGHT(B6319,LEN(B6319)-FIND("@",B6319)),""))</f>
        <v/>
      </c>
      <c r="G6319">
        <f>IF(D6319="KEEP",COUNTIF($D$2:D6319,"KEEP"),"")</f>
        <v/>
      </c>
      <c r="H6319">
        <f>IF(D6319="REMOVE",COUNTIF($D$2:D6319,"REMOVE"),"")</f>
        <v/>
      </c>
      <c r="I6319">
        <f>IF(E6319="Gmail",COUNTIF($E$2:E6319,"Gmail"),"")</f>
        <v/>
      </c>
      <c r="J6319">
        <f>IF(E6319="Outlook",COUNTIF($E$2:E6319,"Outlook"),"")</f>
        <v/>
      </c>
      <c r="K6319">
        <f>IF(E6319="Domain",COUNTIF($E$2:E6319,"Domain"),"")</f>
        <v/>
      </c>
    </row>
    <row r="6320">
      <c r="A6320" s="2" t="n"/>
      <c r="B6320">
        <f>LOWER(TRIM(A6320))</f>
        <v/>
      </c>
      <c r="C6320">
        <f>IF(B6320="","",IFERROR(INDEX('Bad Patterns'!$A$2:$A$120,MATCH(1,INDEX(--ISNUMBER(SEARCH('Bad Patterns'!$A$2:$A$120,B6320)),0),0)),""))</f>
        <v/>
      </c>
      <c r="D6320">
        <f>IF(B6320="","",IF(C6320&lt;&gt;"","REMOVE","KEEP"))</f>
        <v/>
      </c>
      <c r="E6320">
        <f>IF(D6320&lt;&gt;"KEEP","",IF(RIGHT(B6320,10)="@gmail.com","Gmail",IF(OR(RIGHT(B6320,12)="@outlook.com",RIGHT(B6320,12)="@hotmail.com",RIGHT(B6320,9)="@live.com"),"Outlook","Domain")))</f>
        <v/>
      </c>
      <c r="F6320">
        <f>IF(B6320="","",IFERROR(RIGHT(B6320,LEN(B6320)-FIND("@",B6320)),""))</f>
        <v/>
      </c>
      <c r="G6320">
        <f>IF(D6320="KEEP",COUNTIF($D$2:D6320,"KEEP"),"")</f>
        <v/>
      </c>
      <c r="H6320">
        <f>IF(D6320="REMOVE",COUNTIF($D$2:D6320,"REMOVE"),"")</f>
        <v/>
      </c>
      <c r="I6320">
        <f>IF(E6320="Gmail",COUNTIF($E$2:E6320,"Gmail"),"")</f>
        <v/>
      </c>
      <c r="J6320">
        <f>IF(E6320="Outlook",COUNTIF($E$2:E6320,"Outlook"),"")</f>
        <v/>
      </c>
      <c r="K6320">
        <f>IF(E6320="Domain",COUNTIF($E$2:E6320,"Domain"),"")</f>
        <v/>
      </c>
    </row>
    <row r="6321">
      <c r="A6321" s="2" t="n"/>
      <c r="B6321">
        <f>LOWER(TRIM(A6321))</f>
        <v/>
      </c>
      <c r="C6321">
        <f>IF(B6321="","",IFERROR(INDEX('Bad Patterns'!$A$2:$A$120,MATCH(1,INDEX(--ISNUMBER(SEARCH('Bad Patterns'!$A$2:$A$120,B6321)),0),0)),""))</f>
        <v/>
      </c>
      <c r="D6321">
        <f>IF(B6321="","",IF(C6321&lt;&gt;"","REMOVE","KEEP"))</f>
        <v/>
      </c>
      <c r="E6321">
        <f>IF(D6321&lt;&gt;"KEEP","",IF(RIGHT(B6321,10)="@gmail.com","Gmail",IF(OR(RIGHT(B6321,12)="@outlook.com",RIGHT(B6321,12)="@hotmail.com",RIGHT(B6321,9)="@live.com"),"Outlook","Domain")))</f>
        <v/>
      </c>
      <c r="F6321">
        <f>IF(B6321="","",IFERROR(RIGHT(B6321,LEN(B6321)-FIND("@",B6321)),""))</f>
        <v/>
      </c>
      <c r="G6321">
        <f>IF(D6321="KEEP",COUNTIF($D$2:D6321,"KEEP"),"")</f>
        <v/>
      </c>
      <c r="H6321">
        <f>IF(D6321="REMOVE",COUNTIF($D$2:D6321,"REMOVE"),"")</f>
        <v/>
      </c>
      <c r="I6321">
        <f>IF(E6321="Gmail",COUNTIF($E$2:E6321,"Gmail"),"")</f>
        <v/>
      </c>
      <c r="J6321">
        <f>IF(E6321="Outlook",COUNTIF($E$2:E6321,"Outlook"),"")</f>
        <v/>
      </c>
      <c r="K6321">
        <f>IF(E6321="Domain",COUNTIF($E$2:E6321,"Domain"),"")</f>
        <v/>
      </c>
    </row>
    <row r="6322">
      <c r="A6322" s="2" t="n"/>
      <c r="B6322">
        <f>LOWER(TRIM(A6322))</f>
        <v/>
      </c>
      <c r="C6322">
        <f>IF(B6322="","",IFERROR(INDEX('Bad Patterns'!$A$2:$A$120,MATCH(1,INDEX(--ISNUMBER(SEARCH('Bad Patterns'!$A$2:$A$120,B6322)),0),0)),""))</f>
        <v/>
      </c>
      <c r="D6322">
        <f>IF(B6322="","",IF(C6322&lt;&gt;"","REMOVE","KEEP"))</f>
        <v/>
      </c>
      <c r="E6322">
        <f>IF(D6322&lt;&gt;"KEEP","",IF(RIGHT(B6322,10)="@gmail.com","Gmail",IF(OR(RIGHT(B6322,12)="@outlook.com",RIGHT(B6322,12)="@hotmail.com",RIGHT(B6322,9)="@live.com"),"Outlook","Domain")))</f>
        <v/>
      </c>
      <c r="F6322">
        <f>IF(B6322="","",IFERROR(RIGHT(B6322,LEN(B6322)-FIND("@",B6322)),""))</f>
        <v/>
      </c>
      <c r="G6322">
        <f>IF(D6322="KEEP",COUNTIF($D$2:D6322,"KEEP"),"")</f>
        <v/>
      </c>
      <c r="H6322">
        <f>IF(D6322="REMOVE",COUNTIF($D$2:D6322,"REMOVE"),"")</f>
        <v/>
      </c>
      <c r="I6322">
        <f>IF(E6322="Gmail",COUNTIF($E$2:E6322,"Gmail"),"")</f>
        <v/>
      </c>
      <c r="J6322">
        <f>IF(E6322="Outlook",COUNTIF($E$2:E6322,"Outlook"),"")</f>
        <v/>
      </c>
      <c r="K6322">
        <f>IF(E6322="Domain",COUNTIF($E$2:E6322,"Domain"),"")</f>
        <v/>
      </c>
    </row>
    <row r="6323">
      <c r="A6323" s="2" t="n"/>
      <c r="B6323">
        <f>LOWER(TRIM(A6323))</f>
        <v/>
      </c>
      <c r="C6323">
        <f>IF(B6323="","",IFERROR(INDEX('Bad Patterns'!$A$2:$A$120,MATCH(1,INDEX(--ISNUMBER(SEARCH('Bad Patterns'!$A$2:$A$120,B6323)),0),0)),""))</f>
        <v/>
      </c>
      <c r="D6323">
        <f>IF(B6323="","",IF(C6323&lt;&gt;"","REMOVE","KEEP"))</f>
        <v/>
      </c>
      <c r="E6323">
        <f>IF(D6323&lt;&gt;"KEEP","",IF(RIGHT(B6323,10)="@gmail.com","Gmail",IF(OR(RIGHT(B6323,12)="@outlook.com",RIGHT(B6323,12)="@hotmail.com",RIGHT(B6323,9)="@live.com"),"Outlook","Domain")))</f>
        <v/>
      </c>
      <c r="F6323">
        <f>IF(B6323="","",IFERROR(RIGHT(B6323,LEN(B6323)-FIND("@",B6323)),""))</f>
        <v/>
      </c>
      <c r="G6323">
        <f>IF(D6323="KEEP",COUNTIF($D$2:D6323,"KEEP"),"")</f>
        <v/>
      </c>
      <c r="H6323">
        <f>IF(D6323="REMOVE",COUNTIF($D$2:D6323,"REMOVE"),"")</f>
        <v/>
      </c>
      <c r="I6323">
        <f>IF(E6323="Gmail",COUNTIF($E$2:E6323,"Gmail"),"")</f>
        <v/>
      </c>
      <c r="J6323">
        <f>IF(E6323="Outlook",COUNTIF($E$2:E6323,"Outlook"),"")</f>
        <v/>
      </c>
      <c r="K6323">
        <f>IF(E6323="Domain",COUNTIF($E$2:E6323,"Domain"),"")</f>
        <v/>
      </c>
    </row>
    <row r="6324">
      <c r="A6324" s="2" t="n"/>
      <c r="B6324">
        <f>LOWER(TRIM(A6324))</f>
        <v/>
      </c>
      <c r="C6324">
        <f>IF(B6324="","",IFERROR(INDEX('Bad Patterns'!$A$2:$A$120,MATCH(1,INDEX(--ISNUMBER(SEARCH('Bad Patterns'!$A$2:$A$120,B6324)),0),0)),""))</f>
        <v/>
      </c>
      <c r="D6324">
        <f>IF(B6324="","",IF(C6324&lt;&gt;"","REMOVE","KEEP"))</f>
        <v/>
      </c>
      <c r="E6324">
        <f>IF(D6324&lt;&gt;"KEEP","",IF(RIGHT(B6324,10)="@gmail.com","Gmail",IF(OR(RIGHT(B6324,12)="@outlook.com",RIGHT(B6324,12)="@hotmail.com",RIGHT(B6324,9)="@live.com"),"Outlook","Domain")))</f>
        <v/>
      </c>
      <c r="F6324">
        <f>IF(B6324="","",IFERROR(RIGHT(B6324,LEN(B6324)-FIND("@",B6324)),""))</f>
        <v/>
      </c>
      <c r="G6324">
        <f>IF(D6324="KEEP",COUNTIF($D$2:D6324,"KEEP"),"")</f>
        <v/>
      </c>
      <c r="H6324">
        <f>IF(D6324="REMOVE",COUNTIF($D$2:D6324,"REMOVE"),"")</f>
        <v/>
      </c>
      <c r="I6324">
        <f>IF(E6324="Gmail",COUNTIF($E$2:E6324,"Gmail"),"")</f>
        <v/>
      </c>
      <c r="J6324">
        <f>IF(E6324="Outlook",COUNTIF($E$2:E6324,"Outlook"),"")</f>
        <v/>
      </c>
      <c r="K6324">
        <f>IF(E6324="Domain",COUNTIF($E$2:E6324,"Domain"),"")</f>
        <v/>
      </c>
    </row>
    <row r="6325">
      <c r="A6325" s="2" t="n"/>
      <c r="B6325">
        <f>LOWER(TRIM(A6325))</f>
        <v/>
      </c>
      <c r="C6325">
        <f>IF(B6325="","",IFERROR(INDEX('Bad Patterns'!$A$2:$A$120,MATCH(1,INDEX(--ISNUMBER(SEARCH('Bad Patterns'!$A$2:$A$120,B6325)),0),0)),""))</f>
        <v/>
      </c>
      <c r="D6325">
        <f>IF(B6325="","",IF(C6325&lt;&gt;"","REMOVE","KEEP"))</f>
        <v/>
      </c>
      <c r="E6325">
        <f>IF(D6325&lt;&gt;"KEEP","",IF(RIGHT(B6325,10)="@gmail.com","Gmail",IF(OR(RIGHT(B6325,12)="@outlook.com",RIGHT(B6325,12)="@hotmail.com",RIGHT(B6325,9)="@live.com"),"Outlook","Domain")))</f>
        <v/>
      </c>
      <c r="F6325">
        <f>IF(B6325="","",IFERROR(RIGHT(B6325,LEN(B6325)-FIND("@",B6325)),""))</f>
        <v/>
      </c>
      <c r="G6325">
        <f>IF(D6325="KEEP",COUNTIF($D$2:D6325,"KEEP"),"")</f>
        <v/>
      </c>
      <c r="H6325">
        <f>IF(D6325="REMOVE",COUNTIF($D$2:D6325,"REMOVE"),"")</f>
        <v/>
      </c>
      <c r="I6325">
        <f>IF(E6325="Gmail",COUNTIF($E$2:E6325,"Gmail"),"")</f>
        <v/>
      </c>
      <c r="J6325">
        <f>IF(E6325="Outlook",COUNTIF($E$2:E6325,"Outlook"),"")</f>
        <v/>
      </c>
      <c r="K6325">
        <f>IF(E6325="Domain",COUNTIF($E$2:E6325,"Domain"),"")</f>
        <v/>
      </c>
    </row>
    <row r="6326">
      <c r="A6326" s="2" t="n"/>
      <c r="B6326">
        <f>LOWER(TRIM(A6326))</f>
        <v/>
      </c>
      <c r="C6326">
        <f>IF(B6326="","",IFERROR(INDEX('Bad Patterns'!$A$2:$A$120,MATCH(1,INDEX(--ISNUMBER(SEARCH('Bad Patterns'!$A$2:$A$120,B6326)),0),0)),""))</f>
        <v/>
      </c>
      <c r="D6326">
        <f>IF(B6326="","",IF(C6326&lt;&gt;"","REMOVE","KEEP"))</f>
        <v/>
      </c>
      <c r="E6326">
        <f>IF(D6326&lt;&gt;"KEEP","",IF(RIGHT(B6326,10)="@gmail.com","Gmail",IF(OR(RIGHT(B6326,12)="@outlook.com",RIGHT(B6326,12)="@hotmail.com",RIGHT(B6326,9)="@live.com"),"Outlook","Domain")))</f>
        <v/>
      </c>
      <c r="F6326">
        <f>IF(B6326="","",IFERROR(RIGHT(B6326,LEN(B6326)-FIND("@",B6326)),""))</f>
        <v/>
      </c>
      <c r="G6326">
        <f>IF(D6326="KEEP",COUNTIF($D$2:D6326,"KEEP"),"")</f>
        <v/>
      </c>
      <c r="H6326">
        <f>IF(D6326="REMOVE",COUNTIF($D$2:D6326,"REMOVE"),"")</f>
        <v/>
      </c>
      <c r="I6326">
        <f>IF(E6326="Gmail",COUNTIF($E$2:E6326,"Gmail"),"")</f>
        <v/>
      </c>
      <c r="J6326">
        <f>IF(E6326="Outlook",COUNTIF($E$2:E6326,"Outlook"),"")</f>
        <v/>
      </c>
      <c r="K6326">
        <f>IF(E6326="Domain",COUNTIF($E$2:E6326,"Domain"),"")</f>
        <v/>
      </c>
    </row>
    <row r="6327">
      <c r="A6327" s="2" t="n"/>
      <c r="B6327">
        <f>LOWER(TRIM(A6327))</f>
        <v/>
      </c>
      <c r="C6327">
        <f>IF(B6327="","",IFERROR(INDEX('Bad Patterns'!$A$2:$A$120,MATCH(1,INDEX(--ISNUMBER(SEARCH('Bad Patterns'!$A$2:$A$120,B6327)),0),0)),""))</f>
        <v/>
      </c>
      <c r="D6327">
        <f>IF(B6327="","",IF(C6327&lt;&gt;"","REMOVE","KEEP"))</f>
        <v/>
      </c>
      <c r="E6327">
        <f>IF(D6327&lt;&gt;"KEEP","",IF(RIGHT(B6327,10)="@gmail.com","Gmail",IF(OR(RIGHT(B6327,12)="@outlook.com",RIGHT(B6327,12)="@hotmail.com",RIGHT(B6327,9)="@live.com"),"Outlook","Domain")))</f>
        <v/>
      </c>
      <c r="F6327">
        <f>IF(B6327="","",IFERROR(RIGHT(B6327,LEN(B6327)-FIND("@",B6327)),""))</f>
        <v/>
      </c>
      <c r="G6327">
        <f>IF(D6327="KEEP",COUNTIF($D$2:D6327,"KEEP"),"")</f>
        <v/>
      </c>
      <c r="H6327">
        <f>IF(D6327="REMOVE",COUNTIF($D$2:D6327,"REMOVE"),"")</f>
        <v/>
      </c>
      <c r="I6327">
        <f>IF(E6327="Gmail",COUNTIF($E$2:E6327,"Gmail"),"")</f>
        <v/>
      </c>
      <c r="J6327">
        <f>IF(E6327="Outlook",COUNTIF($E$2:E6327,"Outlook"),"")</f>
        <v/>
      </c>
      <c r="K6327">
        <f>IF(E6327="Domain",COUNTIF($E$2:E6327,"Domain"),"")</f>
        <v/>
      </c>
    </row>
    <row r="6328">
      <c r="A6328" s="2" t="n"/>
      <c r="B6328">
        <f>LOWER(TRIM(A6328))</f>
        <v/>
      </c>
      <c r="C6328">
        <f>IF(B6328="","",IFERROR(INDEX('Bad Patterns'!$A$2:$A$120,MATCH(1,INDEX(--ISNUMBER(SEARCH('Bad Patterns'!$A$2:$A$120,B6328)),0),0)),""))</f>
        <v/>
      </c>
      <c r="D6328">
        <f>IF(B6328="","",IF(C6328&lt;&gt;"","REMOVE","KEEP"))</f>
        <v/>
      </c>
      <c r="E6328">
        <f>IF(D6328&lt;&gt;"KEEP","",IF(RIGHT(B6328,10)="@gmail.com","Gmail",IF(OR(RIGHT(B6328,12)="@outlook.com",RIGHT(B6328,12)="@hotmail.com",RIGHT(B6328,9)="@live.com"),"Outlook","Domain")))</f>
        <v/>
      </c>
      <c r="F6328">
        <f>IF(B6328="","",IFERROR(RIGHT(B6328,LEN(B6328)-FIND("@",B6328)),""))</f>
        <v/>
      </c>
      <c r="G6328">
        <f>IF(D6328="KEEP",COUNTIF($D$2:D6328,"KEEP"),"")</f>
        <v/>
      </c>
      <c r="H6328">
        <f>IF(D6328="REMOVE",COUNTIF($D$2:D6328,"REMOVE"),"")</f>
        <v/>
      </c>
      <c r="I6328">
        <f>IF(E6328="Gmail",COUNTIF($E$2:E6328,"Gmail"),"")</f>
        <v/>
      </c>
      <c r="J6328">
        <f>IF(E6328="Outlook",COUNTIF($E$2:E6328,"Outlook"),"")</f>
        <v/>
      </c>
      <c r="K6328">
        <f>IF(E6328="Domain",COUNTIF($E$2:E6328,"Domain"),"")</f>
        <v/>
      </c>
    </row>
    <row r="6329">
      <c r="A6329" s="2" t="n"/>
      <c r="B6329">
        <f>LOWER(TRIM(A6329))</f>
        <v/>
      </c>
      <c r="C6329">
        <f>IF(B6329="","",IFERROR(INDEX('Bad Patterns'!$A$2:$A$120,MATCH(1,INDEX(--ISNUMBER(SEARCH('Bad Patterns'!$A$2:$A$120,B6329)),0),0)),""))</f>
        <v/>
      </c>
      <c r="D6329">
        <f>IF(B6329="","",IF(C6329&lt;&gt;"","REMOVE","KEEP"))</f>
        <v/>
      </c>
      <c r="E6329">
        <f>IF(D6329&lt;&gt;"KEEP","",IF(RIGHT(B6329,10)="@gmail.com","Gmail",IF(OR(RIGHT(B6329,12)="@outlook.com",RIGHT(B6329,12)="@hotmail.com",RIGHT(B6329,9)="@live.com"),"Outlook","Domain")))</f>
        <v/>
      </c>
      <c r="F6329">
        <f>IF(B6329="","",IFERROR(RIGHT(B6329,LEN(B6329)-FIND("@",B6329)),""))</f>
        <v/>
      </c>
      <c r="G6329">
        <f>IF(D6329="KEEP",COUNTIF($D$2:D6329,"KEEP"),"")</f>
        <v/>
      </c>
      <c r="H6329">
        <f>IF(D6329="REMOVE",COUNTIF($D$2:D6329,"REMOVE"),"")</f>
        <v/>
      </c>
      <c r="I6329">
        <f>IF(E6329="Gmail",COUNTIF($E$2:E6329,"Gmail"),"")</f>
        <v/>
      </c>
      <c r="J6329">
        <f>IF(E6329="Outlook",COUNTIF($E$2:E6329,"Outlook"),"")</f>
        <v/>
      </c>
      <c r="K6329">
        <f>IF(E6329="Domain",COUNTIF($E$2:E6329,"Domain"),"")</f>
        <v/>
      </c>
    </row>
    <row r="6330">
      <c r="A6330" s="2" t="n"/>
      <c r="B6330">
        <f>LOWER(TRIM(A6330))</f>
        <v/>
      </c>
      <c r="C6330">
        <f>IF(B6330="","",IFERROR(INDEX('Bad Patterns'!$A$2:$A$120,MATCH(1,INDEX(--ISNUMBER(SEARCH('Bad Patterns'!$A$2:$A$120,B6330)),0),0)),""))</f>
        <v/>
      </c>
      <c r="D6330">
        <f>IF(B6330="","",IF(C6330&lt;&gt;"","REMOVE","KEEP"))</f>
        <v/>
      </c>
      <c r="E6330">
        <f>IF(D6330&lt;&gt;"KEEP","",IF(RIGHT(B6330,10)="@gmail.com","Gmail",IF(OR(RIGHT(B6330,12)="@outlook.com",RIGHT(B6330,12)="@hotmail.com",RIGHT(B6330,9)="@live.com"),"Outlook","Domain")))</f>
        <v/>
      </c>
      <c r="F6330">
        <f>IF(B6330="","",IFERROR(RIGHT(B6330,LEN(B6330)-FIND("@",B6330)),""))</f>
        <v/>
      </c>
      <c r="G6330">
        <f>IF(D6330="KEEP",COUNTIF($D$2:D6330,"KEEP"),"")</f>
        <v/>
      </c>
      <c r="H6330">
        <f>IF(D6330="REMOVE",COUNTIF($D$2:D6330,"REMOVE"),"")</f>
        <v/>
      </c>
      <c r="I6330">
        <f>IF(E6330="Gmail",COUNTIF($E$2:E6330,"Gmail"),"")</f>
        <v/>
      </c>
      <c r="J6330">
        <f>IF(E6330="Outlook",COUNTIF($E$2:E6330,"Outlook"),"")</f>
        <v/>
      </c>
      <c r="K6330">
        <f>IF(E6330="Domain",COUNTIF($E$2:E6330,"Domain"),"")</f>
        <v/>
      </c>
    </row>
    <row r="6331">
      <c r="A6331" s="2" t="n"/>
      <c r="B6331">
        <f>LOWER(TRIM(A6331))</f>
        <v/>
      </c>
      <c r="C6331">
        <f>IF(B6331="","",IFERROR(INDEX('Bad Patterns'!$A$2:$A$120,MATCH(1,INDEX(--ISNUMBER(SEARCH('Bad Patterns'!$A$2:$A$120,B6331)),0),0)),""))</f>
        <v/>
      </c>
      <c r="D6331">
        <f>IF(B6331="","",IF(C6331&lt;&gt;"","REMOVE","KEEP"))</f>
        <v/>
      </c>
      <c r="E6331">
        <f>IF(D6331&lt;&gt;"KEEP","",IF(RIGHT(B6331,10)="@gmail.com","Gmail",IF(OR(RIGHT(B6331,12)="@outlook.com",RIGHT(B6331,12)="@hotmail.com",RIGHT(B6331,9)="@live.com"),"Outlook","Domain")))</f>
        <v/>
      </c>
      <c r="F6331">
        <f>IF(B6331="","",IFERROR(RIGHT(B6331,LEN(B6331)-FIND("@",B6331)),""))</f>
        <v/>
      </c>
      <c r="G6331">
        <f>IF(D6331="KEEP",COUNTIF($D$2:D6331,"KEEP"),"")</f>
        <v/>
      </c>
      <c r="H6331">
        <f>IF(D6331="REMOVE",COUNTIF($D$2:D6331,"REMOVE"),"")</f>
        <v/>
      </c>
      <c r="I6331">
        <f>IF(E6331="Gmail",COUNTIF($E$2:E6331,"Gmail"),"")</f>
        <v/>
      </c>
      <c r="J6331">
        <f>IF(E6331="Outlook",COUNTIF($E$2:E6331,"Outlook"),"")</f>
        <v/>
      </c>
      <c r="K6331">
        <f>IF(E6331="Domain",COUNTIF($E$2:E6331,"Domain"),"")</f>
        <v/>
      </c>
    </row>
    <row r="6332">
      <c r="A6332" s="2" t="n"/>
      <c r="B6332">
        <f>LOWER(TRIM(A6332))</f>
        <v/>
      </c>
      <c r="C6332">
        <f>IF(B6332="","",IFERROR(INDEX('Bad Patterns'!$A$2:$A$120,MATCH(1,INDEX(--ISNUMBER(SEARCH('Bad Patterns'!$A$2:$A$120,B6332)),0),0)),""))</f>
        <v/>
      </c>
      <c r="D6332">
        <f>IF(B6332="","",IF(C6332&lt;&gt;"","REMOVE","KEEP"))</f>
        <v/>
      </c>
      <c r="E6332">
        <f>IF(D6332&lt;&gt;"KEEP","",IF(RIGHT(B6332,10)="@gmail.com","Gmail",IF(OR(RIGHT(B6332,12)="@outlook.com",RIGHT(B6332,12)="@hotmail.com",RIGHT(B6332,9)="@live.com"),"Outlook","Domain")))</f>
        <v/>
      </c>
      <c r="F6332">
        <f>IF(B6332="","",IFERROR(RIGHT(B6332,LEN(B6332)-FIND("@",B6332)),""))</f>
        <v/>
      </c>
      <c r="G6332">
        <f>IF(D6332="KEEP",COUNTIF($D$2:D6332,"KEEP"),"")</f>
        <v/>
      </c>
      <c r="H6332">
        <f>IF(D6332="REMOVE",COUNTIF($D$2:D6332,"REMOVE"),"")</f>
        <v/>
      </c>
      <c r="I6332">
        <f>IF(E6332="Gmail",COUNTIF($E$2:E6332,"Gmail"),"")</f>
        <v/>
      </c>
      <c r="J6332">
        <f>IF(E6332="Outlook",COUNTIF($E$2:E6332,"Outlook"),"")</f>
        <v/>
      </c>
      <c r="K6332">
        <f>IF(E6332="Domain",COUNTIF($E$2:E6332,"Domain"),"")</f>
        <v/>
      </c>
    </row>
    <row r="6333">
      <c r="A6333" s="2" t="n"/>
      <c r="B6333">
        <f>LOWER(TRIM(A6333))</f>
        <v/>
      </c>
      <c r="C6333">
        <f>IF(B6333="","",IFERROR(INDEX('Bad Patterns'!$A$2:$A$120,MATCH(1,INDEX(--ISNUMBER(SEARCH('Bad Patterns'!$A$2:$A$120,B6333)),0),0)),""))</f>
        <v/>
      </c>
      <c r="D6333">
        <f>IF(B6333="","",IF(C6333&lt;&gt;"","REMOVE","KEEP"))</f>
        <v/>
      </c>
      <c r="E6333">
        <f>IF(D6333&lt;&gt;"KEEP","",IF(RIGHT(B6333,10)="@gmail.com","Gmail",IF(OR(RIGHT(B6333,12)="@outlook.com",RIGHT(B6333,12)="@hotmail.com",RIGHT(B6333,9)="@live.com"),"Outlook","Domain")))</f>
        <v/>
      </c>
      <c r="F6333">
        <f>IF(B6333="","",IFERROR(RIGHT(B6333,LEN(B6333)-FIND("@",B6333)),""))</f>
        <v/>
      </c>
      <c r="G6333">
        <f>IF(D6333="KEEP",COUNTIF($D$2:D6333,"KEEP"),"")</f>
        <v/>
      </c>
      <c r="H6333">
        <f>IF(D6333="REMOVE",COUNTIF($D$2:D6333,"REMOVE"),"")</f>
        <v/>
      </c>
      <c r="I6333">
        <f>IF(E6333="Gmail",COUNTIF($E$2:E6333,"Gmail"),"")</f>
        <v/>
      </c>
      <c r="J6333">
        <f>IF(E6333="Outlook",COUNTIF($E$2:E6333,"Outlook"),"")</f>
        <v/>
      </c>
      <c r="K6333">
        <f>IF(E6333="Domain",COUNTIF($E$2:E6333,"Domain"),"")</f>
        <v/>
      </c>
    </row>
    <row r="6334">
      <c r="A6334" s="2" t="n"/>
      <c r="B6334">
        <f>LOWER(TRIM(A6334))</f>
        <v/>
      </c>
      <c r="C6334">
        <f>IF(B6334="","",IFERROR(INDEX('Bad Patterns'!$A$2:$A$120,MATCH(1,INDEX(--ISNUMBER(SEARCH('Bad Patterns'!$A$2:$A$120,B6334)),0),0)),""))</f>
        <v/>
      </c>
      <c r="D6334">
        <f>IF(B6334="","",IF(C6334&lt;&gt;"","REMOVE","KEEP"))</f>
        <v/>
      </c>
      <c r="E6334">
        <f>IF(D6334&lt;&gt;"KEEP","",IF(RIGHT(B6334,10)="@gmail.com","Gmail",IF(OR(RIGHT(B6334,12)="@outlook.com",RIGHT(B6334,12)="@hotmail.com",RIGHT(B6334,9)="@live.com"),"Outlook","Domain")))</f>
        <v/>
      </c>
      <c r="F6334">
        <f>IF(B6334="","",IFERROR(RIGHT(B6334,LEN(B6334)-FIND("@",B6334)),""))</f>
        <v/>
      </c>
      <c r="G6334">
        <f>IF(D6334="KEEP",COUNTIF($D$2:D6334,"KEEP"),"")</f>
        <v/>
      </c>
      <c r="H6334">
        <f>IF(D6334="REMOVE",COUNTIF($D$2:D6334,"REMOVE"),"")</f>
        <v/>
      </c>
      <c r="I6334">
        <f>IF(E6334="Gmail",COUNTIF($E$2:E6334,"Gmail"),"")</f>
        <v/>
      </c>
      <c r="J6334">
        <f>IF(E6334="Outlook",COUNTIF($E$2:E6334,"Outlook"),"")</f>
        <v/>
      </c>
      <c r="K6334">
        <f>IF(E6334="Domain",COUNTIF($E$2:E6334,"Domain"),"")</f>
        <v/>
      </c>
    </row>
    <row r="6335">
      <c r="A6335" s="2" t="n"/>
      <c r="B6335">
        <f>LOWER(TRIM(A6335))</f>
        <v/>
      </c>
      <c r="C6335">
        <f>IF(B6335="","",IFERROR(INDEX('Bad Patterns'!$A$2:$A$120,MATCH(1,INDEX(--ISNUMBER(SEARCH('Bad Patterns'!$A$2:$A$120,B6335)),0),0)),""))</f>
        <v/>
      </c>
      <c r="D6335">
        <f>IF(B6335="","",IF(C6335&lt;&gt;"","REMOVE","KEEP"))</f>
        <v/>
      </c>
      <c r="E6335">
        <f>IF(D6335&lt;&gt;"KEEP","",IF(RIGHT(B6335,10)="@gmail.com","Gmail",IF(OR(RIGHT(B6335,12)="@outlook.com",RIGHT(B6335,12)="@hotmail.com",RIGHT(B6335,9)="@live.com"),"Outlook","Domain")))</f>
        <v/>
      </c>
      <c r="F6335">
        <f>IF(B6335="","",IFERROR(RIGHT(B6335,LEN(B6335)-FIND("@",B6335)),""))</f>
        <v/>
      </c>
      <c r="G6335">
        <f>IF(D6335="KEEP",COUNTIF($D$2:D6335,"KEEP"),"")</f>
        <v/>
      </c>
      <c r="H6335">
        <f>IF(D6335="REMOVE",COUNTIF($D$2:D6335,"REMOVE"),"")</f>
        <v/>
      </c>
      <c r="I6335">
        <f>IF(E6335="Gmail",COUNTIF($E$2:E6335,"Gmail"),"")</f>
        <v/>
      </c>
      <c r="J6335">
        <f>IF(E6335="Outlook",COUNTIF($E$2:E6335,"Outlook"),"")</f>
        <v/>
      </c>
      <c r="K6335">
        <f>IF(E6335="Domain",COUNTIF($E$2:E6335,"Domain"),"")</f>
        <v/>
      </c>
    </row>
    <row r="6336">
      <c r="A6336" s="2" t="n"/>
      <c r="B6336">
        <f>LOWER(TRIM(A6336))</f>
        <v/>
      </c>
      <c r="C6336">
        <f>IF(B6336="","",IFERROR(INDEX('Bad Patterns'!$A$2:$A$120,MATCH(1,INDEX(--ISNUMBER(SEARCH('Bad Patterns'!$A$2:$A$120,B6336)),0),0)),""))</f>
        <v/>
      </c>
      <c r="D6336">
        <f>IF(B6336="","",IF(C6336&lt;&gt;"","REMOVE","KEEP"))</f>
        <v/>
      </c>
      <c r="E6336">
        <f>IF(D6336&lt;&gt;"KEEP","",IF(RIGHT(B6336,10)="@gmail.com","Gmail",IF(OR(RIGHT(B6336,12)="@outlook.com",RIGHT(B6336,12)="@hotmail.com",RIGHT(B6336,9)="@live.com"),"Outlook","Domain")))</f>
        <v/>
      </c>
      <c r="F6336">
        <f>IF(B6336="","",IFERROR(RIGHT(B6336,LEN(B6336)-FIND("@",B6336)),""))</f>
        <v/>
      </c>
      <c r="G6336">
        <f>IF(D6336="KEEP",COUNTIF($D$2:D6336,"KEEP"),"")</f>
        <v/>
      </c>
      <c r="H6336">
        <f>IF(D6336="REMOVE",COUNTIF($D$2:D6336,"REMOVE"),"")</f>
        <v/>
      </c>
      <c r="I6336">
        <f>IF(E6336="Gmail",COUNTIF($E$2:E6336,"Gmail"),"")</f>
        <v/>
      </c>
      <c r="J6336">
        <f>IF(E6336="Outlook",COUNTIF($E$2:E6336,"Outlook"),"")</f>
        <v/>
      </c>
      <c r="K6336">
        <f>IF(E6336="Domain",COUNTIF($E$2:E6336,"Domain"),"")</f>
        <v/>
      </c>
    </row>
    <row r="6337">
      <c r="A6337" s="2" t="n"/>
      <c r="B6337">
        <f>LOWER(TRIM(A6337))</f>
        <v/>
      </c>
      <c r="C6337">
        <f>IF(B6337="","",IFERROR(INDEX('Bad Patterns'!$A$2:$A$120,MATCH(1,INDEX(--ISNUMBER(SEARCH('Bad Patterns'!$A$2:$A$120,B6337)),0),0)),""))</f>
        <v/>
      </c>
      <c r="D6337">
        <f>IF(B6337="","",IF(C6337&lt;&gt;"","REMOVE","KEEP"))</f>
        <v/>
      </c>
      <c r="E6337">
        <f>IF(D6337&lt;&gt;"KEEP","",IF(RIGHT(B6337,10)="@gmail.com","Gmail",IF(OR(RIGHT(B6337,12)="@outlook.com",RIGHT(B6337,12)="@hotmail.com",RIGHT(B6337,9)="@live.com"),"Outlook","Domain")))</f>
        <v/>
      </c>
      <c r="F6337">
        <f>IF(B6337="","",IFERROR(RIGHT(B6337,LEN(B6337)-FIND("@",B6337)),""))</f>
        <v/>
      </c>
      <c r="G6337">
        <f>IF(D6337="KEEP",COUNTIF($D$2:D6337,"KEEP"),"")</f>
        <v/>
      </c>
      <c r="H6337">
        <f>IF(D6337="REMOVE",COUNTIF($D$2:D6337,"REMOVE"),"")</f>
        <v/>
      </c>
      <c r="I6337">
        <f>IF(E6337="Gmail",COUNTIF($E$2:E6337,"Gmail"),"")</f>
        <v/>
      </c>
      <c r="J6337">
        <f>IF(E6337="Outlook",COUNTIF($E$2:E6337,"Outlook"),"")</f>
        <v/>
      </c>
      <c r="K6337">
        <f>IF(E6337="Domain",COUNTIF($E$2:E6337,"Domain"),"")</f>
        <v/>
      </c>
    </row>
    <row r="6338">
      <c r="A6338" s="2" t="n"/>
      <c r="B6338">
        <f>LOWER(TRIM(A6338))</f>
        <v/>
      </c>
      <c r="C6338">
        <f>IF(B6338="","",IFERROR(INDEX('Bad Patterns'!$A$2:$A$120,MATCH(1,INDEX(--ISNUMBER(SEARCH('Bad Patterns'!$A$2:$A$120,B6338)),0),0)),""))</f>
        <v/>
      </c>
      <c r="D6338">
        <f>IF(B6338="","",IF(C6338&lt;&gt;"","REMOVE","KEEP"))</f>
        <v/>
      </c>
      <c r="E6338">
        <f>IF(D6338&lt;&gt;"KEEP","",IF(RIGHT(B6338,10)="@gmail.com","Gmail",IF(OR(RIGHT(B6338,12)="@outlook.com",RIGHT(B6338,12)="@hotmail.com",RIGHT(B6338,9)="@live.com"),"Outlook","Domain")))</f>
        <v/>
      </c>
      <c r="F6338">
        <f>IF(B6338="","",IFERROR(RIGHT(B6338,LEN(B6338)-FIND("@",B6338)),""))</f>
        <v/>
      </c>
      <c r="G6338">
        <f>IF(D6338="KEEP",COUNTIF($D$2:D6338,"KEEP"),"")</f>
        <v/>
      </c>
      <c r="H6338">
        <f>IF(D6338="REMOVE",COUNTIF($D$2:D6338,"REMOVE"),"")</f>
        <v/>
      </c>
      <c r="I6338">
        <f>IF(E6338="Gmail",COUNTIF($E$2:E6338,"Gmail"),"")</f>
        <v/>
      </c>
      <c r="J6338">
        <f>IF(E6338="Outlook",COUNTIF($E$2:E6338,"Outlook"),"")</f>
        <v/>
      </c>
      <c r="K6338">
        <f>IF(E6338="Domain",COUNTIF($E$2:E6338,"Domain"),"")</f>
        <v/>
      </c>
    </row>
    <row r="6339">
      <c r="A6339" s="2" t="n"/>
      <c r="B6339">
        <f>LOWER(TRIM(A6339))</f>
        <v/>
      </c>
      <c r="C6339">
        <f>IF(B6339="","",IFERROR(INDEX('Bad Patterns'!$A$2:$A$120,MATCH(1,INDEX(--ISNUMBER(SEARCH('Bad Patterns'!$A$2:$A$120,B6339)),0),0)),""))</f>
        <v/>
      </c>
      <c r="D6339">
        <f>IF(B6339="","",IF(C6339&lt;&gt;"","REMOVE","KEEP"))</f>
        <v/>
      </c>
      <c r="E6339">
        <f>IF(D6339&lt;&gt;"KEEP","",IF(RIGHT(B6339,10)="@gmail.com","Gmail",IF(OR(RIGHT(B6339,12)="@outlook.com",RIGHT(B6339,12)="@hotmail.com",RIGHT(B6339,9)="@live.com"),"Outlook","Domain")))</f>
        <v/>
      </c>
      <c r="F6339">
        <f>IF(B6339="","",IFERROR(RIGHT(B6339,LEN(B6339)-FIND("@",B6339)),""))</f>
        <v/>
      </c>
      <c r="G6339">
        <f>IF(D6339="KEEP",COUNTIF($D$2:D6339,"KEEP"),"")</f>
        <v/>
      </c>
      <c r="H6339">
        <f>IF(D6339="REMOVE",COUNTIF($D$2:D6339,"REMOVE"),"")</f>
        <v/>
      </c>
      <c r="I6339">
        <f>IF(E6339="Gmail",COUNTIF($E$2:E6339,"Gmail"),"")</f>
        <v/>
      </c>
      <c r="J6339">
        <f>IF(E6339="Outlook",COUNTIF($E$2:E6339,"Outlook"),"")</f>
        <v/>
      </c>
      <c r="K6339">
        <f>IF(E6339="Domain",COUNTIF($E$2:E6339,"Domain"),"")</f>
        <v/>
      </c>
    </row>
    <row r="6340">
      <c r="A6340" s="2" t="n"/>
      <c r="B6340">
        <f>LOWER(TRIM(A6340))</f>
        <v/>
      </c>
      <c r="C6340">
        <f>IF(B6340="","",IFERROR(INDEX('Bad Patterns'!$A$2:$A$120,MATCH(1,INDEX(--ISNUMBER(SEARCH('Bad Patterns'!$A$2:$A$120,B6340)),0),0)),""))</f>
        <v/>
      </c>
      <c r="D6340">
        <f>IF(B6340="","",IF(C6340&lt;&gt;"","REMOVE","KEEP"))</f>
        <v/>
      </c>
      <c r="E6340">
        <f>IF(D6340&lt;&gt;"KEEP","",IF(RIGHT(B6340,10)="@gmail.com","Gmail",IF(OR(RIGHT(B6340,12)="@outlook.com",RIGHT(B6340,12)="@hotmail.com",RIGHT(B6340,9)="@live.com"),"Outlook","Domain")))</f>
        <v/>
      </c>
      <c r="F6340">
        <f>IF(B6340="","",IFERROR(RIGHT(B6340,LEN(B6340)-FIND("@",B6340)),""))</f>
        <v/>
      </c>
      <c r="G6340">
        <f>IF(D6340="KEEP",COUNTIF($D$2:D6340,"KEEP"),"")</f>
        <v/>
      </c>
      <c r="H6340">
        <f>IF(D6340="REMOVE",COUNTIF($D$2:D6340,"REMOVE"),"")</f>
        <v/>
      </c>
      <c r="I6340">
        <f>IF(E6340="Gmail",COUNTIF($E$2:E6340,"Gmail"),"")</f>
        <v/>
      </c>
      <c r="J6340">
        <f>IF(E6340="Outlook",COUNTIF($E$2:E6340,"Outlook"),"")</f>
        <v/>
      </c>
      <c r="K6340">
        <f>IF(E6340="Domain",COUNTIF($E$2:E6340,"Domain"),"")</f>
        <v/>
      </c>
    </row>
    <row r="6341">
      <c r="A6341" s="2" t="n"/>
      <c r="B6341">
        <f>LOWER(TRIM(A6341))</f>
        <v/>
      </c>
      <c r="C6341">
        <f>IF(B6341="","",IFERROR(INDEX('Bad Patterns'!$A$2:$A$120,MATCH(1,INDEX(--ISNUMBER(SEARCH('Bad Patterns'!$A$2:$A$120,B6341)),0),0)),""))</f>
        <v/>
      </c>
      <c r="D6341">
        <f>IF(B6341="","",IF(C6341&lt;&gt;"","REMOVE","KEEP"))</f>
        <v/>
      </c>
      <c r="E6341">
        <f>IF(D6341&lt;&gt;"KEEP","",IF(RIGHT(B6341,10)="@gmail.com","Gmail",IF(OR(RIGHT(B6341,12)="@outlook.com",RIGHT(B6341,12)="@hotmail.com",RIGHT(B6341,9)="@live.com"),"Outlook","Domain")))</f>
        <v/>
      </c>
      <c r="F6341">
        <f>IF(B6341="","",IFERROR(RIGHT(B6341,LEN(B6341)-FIND("@",B6341)),""))</f>
        <v/>
      </c>
      <c r="G6341">
        <f>IF(D6341="KEEP",COUNTIF($D$2:D6341,"KEEP"),"")</f>
        <v/>
      </c>
      <c r="H6341">
        <f>IF(D6341="REMOVE",COUNTIF($D$2:D6341,"REMOVE"),"")</f>
        <v/>
      </c>
      <c r="I6341">
        <f>IF(E6341="Gmail",COUNTIF($E$2:E6341,"Gmail"),"")</f>
        <v/>
      </c>
      <c r="J6341">
        <f>IF(E6341="Outlook",COUNTIF($E$2:E6341,"Outlook"),"")</f>
        <v/>
      </c>
      <c r="K6341">
        <f>IF(E6341="Domain",COUNTIF($E$2:E6341,"Domain"),"")</f>
        <v/>
      </c>
    </row>
    <row r="6342">
      <c r="A6342" s="2" t="n"/>
      <c r="B6342">
        <f>LOWER(TRIM(A6342))</f>
        <v/>
      </c>
      <c r="C6342">
        <f>IF(B6342="","",IFERROR(INDEX('Bad Patterns'!$A$2:$A$120,MATCH(1,INDEX(--ISNUMBER(SEARCH('Bad Patterns'!$A$2:$A$120,B6342)),0),0)),""))</f>
        <v/>
      </c>
      <c r="D6342">
        <f>IF(B6342="","",IF(C6342&lt;&gt;"","REMOVE","KEEP"))</f>
        <v/>
      </c>
      <c r="E6342">
        <f>IF(D6342&lt;&gt;"KEEP","",IF(RIGHT(B6342,10)="@gmail.com","Gmail",IF(OR(RIGHT(B6342,12)="@outlook.com",RIGHT(B6342,12)="@hotmail.com",RIGHT(B6342,9)="@live.com"),"Outlook","Domain")))</f>
        <v/>
      </c>
      <c r="F6342">
        <f>IF(B6342="","",IFERROR(RIGHT(B6342,LEN(B6342)-FIND("@",B6342)),""))</f>
        <v/>
      </c>
      <c r="G6342">
        <f>IF(D6342="KEEP",COUNTIF($D$2:D6342,"KEEP"),"")</f>
        <v/>
      </c>
      <c r="H6342">
        <f>IF(D6342="REMOVE",COUNTIF($D$2:D6342,"REMOVE"),"")</f>
        <v/>
      </c>
      <c r="I6342">
        <f>IF(E6342="Gmail",COUNTIF($E$2:E6342,"Gmail"),"")</f>
        <v/>
      </c>
      <c r="J6342">
        <f>IF(E6342="Outlook",COUNTIF($E$2:E6342,"Outlook"),"")</f>
        <v/>
      </c>
      <c r="K6342">
        <f>IF(E6342="Domain",COUNTIF($E$2:E6342,"Domain"),"")</f>
        <v/>
      </c>
    </row>
    <row r="6343">
      <c r="A6343" s="2" t="n"/>
      <c r="B6343">
        <f>LOWER(TRIM(A6343))</f>
        <v/>
      </c>
      <c r="C6343">
        <f>IF(B6343="","",IFERROR(INDEX('Bad Patterns'!$A$2:$A$120,MATCH(1,INDEX(--ISNUMBER(SEARCH('Bad Patterns'!$A$2:$A$120,B6343)),0),0)),""))</f>
        <v/>
      </c>
      <c r="D6343">
        <f>IF(B6343="","",IF(C6343&lt;&gt;"","REMOVE","KEEP"))</f>
        <v/>
      </c>
      <c r="E6343">
        <f>IF(D6343&lt;&gt;"KEEP","",IF(RIGHT(B6343,10)="@gmail.com","Gmail",IF(OR(RIGHT(B6343,12)="@outlook.com",RIGHT(B6343,12)="@hotmail.com",RIGHT(B6343,9)="@live.com"),"Outlook","Domain")))</f>
        <v/>
      </c>
      <c r="F6343">
        <f>IF(B6343="","",IFERROR(RIGHT(B6343,LEN(B6343)-FIND("@",B6343)),""))</f>
        <v/>
      </c>
      <c r="G6343">
        <f>IF(D6343="KEEP",COUNTIF($D$2:D6343,"KEEP"),"")</f>
        <v/>
      </c>
      <c r="H6343">
        <f>IF(D6343="REMOVE",COUNTIF($D$2:D6343,"REMOVE"),"")</f>
        <v/>
      </c>
      <c r="I6343">
        <f>IF(E6343="Gmail",COUNTIF($E$2:E6343,"Gmail"),"")</f>
        <v/>
      </c>
      <c r="J6343">
        <f>IF(E6343="Outlook",COUNTIF($E$2:E6343,"Outlook"),"")</f>
        <v/>
      </c>
      <c r="K6343">
        <f>IF(E6343="Domain",COUNTIF($E$2:E6343,"Domain"),"")</f>
        <v/>
      </c>
    </row>
    <row r="6344">
      <c r="A6344" s="2" t="n"/>
      <c r="B6344">
        <f>LOWER(TRIM(A6344))</f>
        <v/>
      </c>
      <c r="C6344">
        <f>IF(B6344="","",IFERROR(INDEX('Bad Patterns'!$A$2:$A$120,MATCH(1,INDEX(--ISNUMBER(SEARCH('Bad Patterns'!$A$2:$A$120,B6344)),0),0)),""))</f>
        <v/>
      </c>
      <c r="D6344">
        <f>IF(B6344="","",IF(C6344&lt;&gt;"","REMOVE","KEEP"))</f>
        <v/>
      </c>
      <c r="E6344">
        <f>IF(D6344&lt;&gt;"KEEP","",IF(RIGHT(B6344,10)="@gmail.com","Gmail",IF(OR(RIGHT(B6344,12)="@outlook.com",RIGHT(B6344,12)="@hotmail.com",RIGHT(B6344,9)="@live.com"),"Outlook","Domain")))</f>
        <v/>
      </c>
      <c r="F6344">
        <f>IF(B6344="","",IFERROR(RIGHT(B6344,LEN(B6344)-FIND("@",B6344)),""))</f>
        <v/>
      </c>
      <c r="G6344">
        <f>IF(D6344="KEEP",COUNTIF($D$2:D6344,"KEEP"),"")</f>
        <v/>
      </c>
      <c r="H6344">
        <f>IF(D6344="REMOVE",COUNTIF($D$2:D6344,"REMOVE"),"")</f>
        <v/>
      </c>
      <c r="I6344">
        <f>IF(E6344="Gmail",COUNTIF($E$2:E6344,"Gmail"),"")</f>
        <v/>
      </c>
      <c r="J6344">
        <f>IF(E6344="Outlook",COUNTIF($E$2:E6344,"Outlook"),"")</f>
        <v/>
      </c>
      <c r="K6344">
        <f>IF(E6344="Domain",COUNTIF($E$2:E6344,"Domain"),"")</f>
        <v/>
      </c>
    </row>
    <row r="6345">
      <c r="A6345" s="2" t="n"/>
      <c r="B6345">
        <f>LOWER(TRIM(A6345))</f>
        <v/>
      </c>
      <c r="C6345">
        <f>IF(B6345="","",IFERROR(INDEX('Bad Patterns'!$A$2:$A$120,MATCH(1,INDEX(--ISNUMBER(SEARCH('Bad Patterns'!$A$2:$A$120,B6345)),0),0)),""))</f>
        <v/>
      </c>
      <c r="D6345">
        <f>IF(B6345="","",IF(C6345&lt;&gt;"","REMOVE","KEEP"))</f>
        <v/>
      </c>
      <c r="E6345">
        <f>IF(D6345&lt;&gt;"KEEP","",IF(RIGHT(B6345,10)="@gmail.com","Gmail",IF(OR(RIGHT(B6345,12)="@outlook.com",RIGHT(B6345,12)="@hotmail.com",RIGHT(B6345,9)="@live.com"),"Outlook","Domain")))</f>
        <v/>
      </c>
      <c r="F6345">
        <f>IF(B6345="","",IFERROR(RIGHT(B6345,LEN(B6345)-FIND("@",B6345)),""))</f>
        <v/>
      </c>
      <c r="G6345">
        <f>IF(D6345="KEEP",COUNTIF($D$2:D6345,"KEEP"),"")</f>
        <v/>
      </c>
      <c r="H6345">
        <f>IF(D6345="REMOVE",COUNTIF($D$2:D6345,"REMOVE"),"")</f>
        <v/>
      </c>
      <c r="I6345">
        <f>IF(E6345="Gmail",COUNTIF($E$2:E6345,"Gmail"),"")</f>
        <v/>
      </c>
      <c r="J6345">
        <f>IF(E6345="Outlook",COUNTIF($E$2:E6345,"Outlook"),"")</f>
        <v/>
      </c>
      <c r="K6345">
        <f>IF(E6345="Domain",COUNTIF($E$2:E6345,"Domain"),"")</f>
        <v/>
      </c>
    </row>
    <row r="6346">
      <c r="A6346" s="2" t="n"/>
      <c r="B6346">
        <f>LOWER(TRIM(A6346))</f>
        <v/>
      </c>
      <c r="C6346">
        <f>IF(B6346="","",IFERROR(INDEX('Bad Patterns'!$A$2:$A$120,MATCH(1,INDEX(--ISNUMBER(SEARCH('Bad Patterns'!$A$2:$A$120,B6346)),0),0)),""))</f>
        <v/>
      </c>
      <c r="D6346">
        <f>IF(B6346="","",IF(C6346&lt;&gt;"","REMOVE","KEEP"))</f>
        <v/>
      </c>
      <c r="E6346">
        <f>IF(D6346&lt;&gt;"KEEP","",IF(RIGHT(B6346,10)="@gmail.com","Gmail",IF(OR(RIGHT(B6346,12)="@outlook.com",RIGHT(B6346,12)="@hotmail.com",RIGHT(B6346,9)="@live.com"),"Outlook","Domain")))</f>
        <v/>
      </c>
      <c r="F6346">
        <f>IF(B6346="","",IFERROR(RIGHT(B6346,LEN(B6346)-FIND("@",B6346)),""))</f>
        <v/>
      </c>
      <c r="G6346">
        <f>IF(D6346="KEEP",COUNTIF($D$2:D6346,"KEEP"),"")</f>
        <v/>
      </c>
      <c r="H6346">
        <f>IF(D6346="REMOVE",COUNTIF($D$2:D6346,"REMOVE"),"")</f>
        <v/>
      </c>
      <c r="I6346">
        <f>IF(E6346="Gmail",COUNTIF($E$2:E6346,"Gmail"),"")</f>
        <v/>
      </c>
      <c r="J6346">
        <f>IF(E6346="Outlook",COUNTIF($E$2:E6346,"Outlook"),"")</f>
        <v/>
      </c>
      <c r="K6346">
        <f>IF(E6346="Domain",COUNTIF($E$2:E6346,"Domain"),"")</f>
        <v/>
      </c>
    </row>
    <row r="6347">
      <c r="A6347" s="2" t="n"/>
      <c r="B6347">
        <f>LOWER(TRIM(A6347))</f>
        <v/>
      </c>
      <c r="C6347">
        <f>IF(B6347="","",IFERROR(INDEX('Bad Patterns'!$A$2:$A$120,MATCH(1,INDEX(--ISNUMBER(SEARCH('Bad Patterns'!$A$2:$A$120,B6347)),0),0)),""))</f>
        <v/>
      </c>
      <c r="D6347">
        <f>IF(B6347="","",IF(C6347&lt;&gt;"","REMOVE","KEEP"))</f>
        <v/>
      </c>
      <c r="E6347">
        <f>IF(D6347&lt;&gt;"KEEP","",IF(RIGHT(B6347,10)="@gmail.com","Gmail",IF(OR(RIGHT(B6347,12)="@outlook.com",RIGHT(B6347,12)="@hotmail.com",RIGHT(B6347,9)="@live.com"),"Outlook","Domain")))</f>
        <v/>
      </c>
      <c r="F6347">
        <f>IF(B6347="","",IFERROR(RIGHT(B6347,LEN(B6347)-FIND("@",B6347)),""))</f>
        <v/>
      </c>
      <c r="G6347">
        <f>IF(D6347="KEEP",COUNTIF($D$2:D6347,"KEEP"),"")</f>
        <v/>
      </c>
      <c r="H6347">
        <f>IF(D6347="REMOVE",COUNTIF($D$2:D6347,"REMOVE"),"")</f>
        <v/>
      </c>
      <c r="I6347">
        <f>IF(E6347="Gmail",COUNTIF($E$2:E6347,"Gmail"),"")</f>
        <v/>
      </c>
      <c r="J6347">
        <f>IF(E6347="Outlook",COUNTIF($E$2:E6347,"Outlook"),"")</f>
        <v/>
      </c>
      <c r="K6347">
        <f>IF(E6347="Domain",COUNTIF($E$2:E6347,"Domain"),"")</f>
        <v/>
      </c>
    </row>
    <row r="6348">
      <c r="A6348" s="2" t="n"/>
      <c r="B6348">
        <f>LOWER(TRIM(A6348))</f>
        <v/>
      </c>
      <c r="C6348">
        <f>IF(B6348="","",IFERROR(INDEX('Bad Patterns'!$A$2:$A$120,MATCH(1,INDEX(--ISNUMBER(SEARCH('Bad Patterns'!$A$2:$A$120,B6348)),0),0)),""))</f>
        <v/>
      </c>
      <c r="D6348">
        <f>IF(B6348="","",IF(C6348&lt;&gt;"","REMOVE","KEEP"))</f>
        <v/>
      </c>
      <c r="E6348">
        <f>IF(D6348&lt;&gt;"KEEP","",IF(RIGHT(B6348,10)="@gmail.com","Gmail",IF(OR(RIGHT(B6348,12)="@outlook.com",RIGHT(B6348,12)="@hotmail.com",RIGHT(B6348,9)="@live.com"),"Outlook","Domain")))</f>
        <v/>
      </c>
      <c r="F6348">
        <f>IF(B6348="","",IFERROR(RIGHT(B6348,LEN(B6348)-FIND("@",B6348)),""))</f>
        <v/>
      </c>
      <c r="G6348">
        <f>IF(D6348="KEEP",COUNTIF($D$2:D6348,"KEEP"),"")</f>
        <v/>
      </c>
      <c r="H6348">
        <f>IF(D6348="REMOVE",COUNTIF($D$2:D6348,"REMOVE"),"")</f>
        <v/>
      </c>
      <c r="I6348">
        <f>IF(E6348="Gmail",COUNTIF($E$2:E6348,"Gmail"),"")</f>
        <v/>
      </c>
      <c r="J6348">
        <f>IF(E6348="Outlook",COUNTIF($E$2:E6348,"Outlook"),"")</f>
        <v/>
      </c>
      <c r="K6348">
        <f>IF(E6348="Domain",COUNTIF($E$2:E6348,"Domain"),"")</f>
        <v/>
      </c>
    </row>
    <row r="6349">
      <c r="A6349" s="2" t="n"/>
      <c r="B6349">
        <f>LOWER(TRIM(A6349))</f>
        <v/>
      </c>
      <c r="C6349">
        <f>IF(B6349="","",IFERROR(INDEX('Bad Patterns'!$A$2:$A$120,MATCH(1,INDEX(--ISNUMBER(SEARCH('Bad Patterns'!$A$2:$A$120,B6349)),0),0)),""))</f>
        <v/>
      </c>
      <c r="D6349">
        <f>IF(B6349="","",IF(C6349&lt;&gt;"","REMOVE","KEEP"))</f>
        <v/>
      </c>
      <c r="E6349">
        <f>IF(D6349&lt;&gt;"KEEP","",IF(RIGHT(B6349,10)="@gmail.com","Gmail",IF(OR(RIGHT(B6349,12)="@outlook.com",RIGHT(B6349,12)="@hotmail.com",RIGHT(B6349,9)="@live.com"),"Outlook","Domain")))</f>
        <v/>
      </c>
      <c r="F6349">
        <f>IF(B6349="","",IFERROR(RIGHT(B6349,LEN(B6349)-FIND("@",B6349)),""))</f>
        <v/>
      </c>
      <c r="G6349">
        <f>IF(D6349="KEEP",COUNTIF($D$2:D6349,"KEEP"),"")</f>
        <v/>
      </c>
      <c r="H6349">
        <f>IF(D6349="REMOVE",COUNTIF($D$2:D6349,"REMOVE"),"")</f>
        <v/>
      </c>
      <c r="I6349">
        <f>IF(E6349="Gmail",COUNTIF($E$2:E6349,"Gmail"),"")</f>
        <v/>
      </c>
      <c r="J6349">
        <f>IF(E6349="Outlook",COUNTIF($E$2:E6349,"Outlook"),"")</f>
        <v/>
      </c>
      <c r="K6349">
        <f>IF(E6349="Domain",COUNTIF($E$2:E6349,"Domain"),"")</f>
        <v/>
      </c>
    </row>
    <row r="6350">
      <c r="A6350" s="2" t="n"/>
      <c r="B6350">
        <f>LOWER(TRIM(A6350))</f>
        <v/>
      </c>
      <c r="C6350">
        <f>IF(B6350="","",IFERROR(INDEX('Bad Patterns'!$A$2:$A$120,MATCH(1,INDEX(--ISNUMBER(SEARCH('Bad Patterns'!$A$2:$A$120,B6350)),0),0)),""))</f>
        <v/>
      </c>
      <c r="D6350">
        <f>IF(B6350="","",IF(C6350&lt;&gt;"","REMOVE","KEEP"))</f>
        <v/>
      </c>
      <c r="E6350">
        <f>IF(D6350&lt;&gt;"KEEP","",IF(RIGHT(B6350,10)="@gmail.com","Gmail",IF(OR(RIGHT(B6350,12)="@outlook.com",RIGHT(B6350,12)="@hotmail.com",RIGHT(B6350,9)="@live.com"),"Outlook","Domain")))</f>
        <v/>
      </c>
      <c r="F6350">
        <f>IF(B6350="","",IFERROR(RIGHT(B6350,LEN(B6350)-FIND("@",B6350)),""))</f>
        <v/>
      </c>
      <c r="G6350">
        <f>IF(D6350="KEEP",COUNTIF($D$2:D6350,"KEEP"),"")</f>
        <v/>
      </c>
      <c r="H6350">
        <f>IF(D6350="REMOVE",COUNTIF($D$2:D6350,"REMOVE"),"")</f>
        <v/>
      </c>
      <c r="I6350">
        <f>IF(E6350="Gmail",COUNTIF($E$2:E6350,"Gmail"),"")</f>
        <v/>
      </c>
      <c r="J6350">
        <f>IF(E6350="Outlook",COUNTIF($E$2:E6350,"Outlook"),"")</f>
        <v/>
      </c>
      <c r="K6350">
        <f>IF(E6350="Domain",COUNTIF($E$2:E6350,"Domain"),"")</f>
        <v/>
      </c>
    </row>
    <row r="6351">
      <c r="A6351" s="2" t="n"/>
      <c r="B6351">
        <f>LOWER(TRIM(A6351))</f>
        <v/>
      </c>
      <c r="C6351">
        <f>IF(B6351="","",IFERROR(INDEX('Bad Patterns'!$A$2:$A$120,MATCH(1,INDEX(--ISNUMBER(SEARCH('Bad Patterns'!$A$2:$A$120,B6351)),0),0)),""))</f>
        <v/>
      </c>
      <c r="D6351">
        <f>IF(B6351="","",IF(C6351&lt;&gt;"","REMOVE","KEEP"))</f>
        <v/>
      </c>
      <c r="E6351">
        <f>IF(D6351&lt;&gt;"KEEP","",IF(RIGHT(B6351,10)="@gmail.com","Gmail",IF(OR(RIGHT(B6351,12)="@outlook.com",RIGHT(B6351,12)="@hotmail.com",RIGHT(B6351,9)="@live.com"),"Outlook","Domain")))</f>
        <v/>
      </c>
      <c r="F6351">
        <f>IF(B6351="","",IFERROR(RIGHT(B6351,LEN(B6351)-FIND("@",B6351)),""))</f>
        <v/>
      </c>
      <c r="G6351">
        <f>IF(D6351="KEEP",COUNTIF($D$2:D6351,"KEEP"),"")</f>
        <v/>
      </c>
      <c r="H6351">
        <f>IF(D6351="REMOVE",COUNTIF($D$2:D6351,"REMOVE"),"")</f>
        <v/>
      </c>
      <c r="I6351">
        <f>IF(E6351="Gmail",COUNTIF($E$2:E6351,"Gmail"),"")</f>
        <v/>
      </c>
      <c r="J6351">
        <f>IF(E6351="Outlook",COUNTIF($E$2:E6351,"Outlook"),"")</f>
        <v/>
      </c>
      <c r="K6351">
        <f>IF(E6351="Domain",COUNTIF($E$2:E6351,"Domain"),"")</f>
        <v/>
      </c>
    </row>
    <row r="6352">
      <c r="A6352" s="2" t="n"/>
      <c r="B6352">
        <f>LOWER(TRIM(A6352))</f>
        <v/>
      </c>
      <c r="C6352">
        <f>IF(B6352="","",IFERROR(INDEX('Bad Patterns'!$A$2:$A$120,MATCH(1,INDEX(--ISNUMBER(SEARCH('Bad Patterns'!$A$2:$A$120,B6352)),0),0)),""))</f>
        <v/>
      </c>
      <c r="D6352">
        <f>IF(B6352="","",IF(C6352&lt;&gt;"","REMOVE","KEEP"))</f>
        <v/>
      </c>
      <c r="E6352">
        <f>IF(D6352&lt;&gt;"KEEP","",IF(RIGHT(B6352,10)="@gmail.com","Gmail",IF(OR(RIGHT(B6352,12)="@outlook.com",RIGHT(B6352,12)="@hotmail.com",RIGHT(B6352,9)="@live.com"),"Outlook","Domain")))</f>
        <v/>
      </c>
      <c r="F6352">
        <f>IF(B6352="","",IFERROR(RIGHT(B6352,LEN(B6352)-FIND("@",B6352)),""))</f>
        <v/>
      </c>
      <c r="G6352">
        <f>IF(D6352="KEEP",COUNTIF($D$2:D6352,"KEEP"),"")</f>
        <v/>
      </c>
      <c r="H6352">
        <f>IF(D6352="REMOVE",COUNTIF($D$2:D6352,"REMOVE"),"")</f>
        <v/>
      </c>
      <c r="I6352">
        <f>IF(E6352="Gmail",COUNTIF($E$2:E6352,"Gmail"),"")</f>
        <v/>
      </c>
      <c r="J6352">
        <f>IF(E6352="Outlook",COUNTIF($E$2:E6352,"Outlook"),"")</f>
        <v/>
      </c>
      <c r="K6352">
        <f>IF(E6352="Domain",COUNTIF($E$2:E6352,"Domain"),"")</f>
        <v/>
      </c>
    </row>
    <row r="6353">
      <c r="A6353" s="2" t="n"/>
      <c r="B6353">
        <f>LOWER(TRIM(A6353))</f>
        <v/>
      </c>
      <c r="C6353">
        <f>IF(B6353="","",IFERROR(INDEX('Bad Patterns'!$A$2:$A$120,MATCH(1,INDEX(--ISNUMBER(SEARCH('Bad Patterns'!$A$2:$A$120,B6353)),0),0)),""))</f>
        <v/>
      </c>
      <c r="D6353">
        <f>IF(B6353="","",IF(C6353&lt;&gt;"","REMOVE","KEEP"))</f>
        <v/>
      </c>
      <c r="E6353">
        <f>IF(D6353&lt;&gt;"KEEP","",IF(RIGHT(B6353,10)="@gmail.com","Gmail",IF(OR(RIGHT(B6353,12)="@outlook.com",RIGHT(B6353,12)="@hotmail.com",RIGHT(B6353,9)="@live.com"),"Outlook","Domain")))</f>
        <v/>
      </c>
      <c r="F6353">
        <f>IF(B6353="","",IFERROR(RIGHT(B6353,LEN(B6353)-FIND("@",B6353)),""))</f>
        <v/>
      </c>
      <c r="G6353">
        <f>IF(D6353="KEEP",COUNTIF($D$2:D6353,"KEEP"),"")</f>
        <v/>
      </c>
      <c r="H6353">
        <f>IF(D6353="REMOVE",COUNTIF($D$2:D6353,"REMOVE"),"")</f>
        <v/>
      </c>
      <c r="I6353">
        <f>IF(E6353="Gmail",COUNTIF($E$2:E6353,"Gmail"),"")</f>
        <v/>
      </c>
      <c r="J6353">
        <f>IF(E6353="Outlook",COUNTIF($E$2:E6353,"Outlook"),"")</f>
        <v/>
      </c>
      <c r="K6353">
        <f>IF(E6353="Domain",COUNTIF($E$2:E6353,"Domain"),"")</f>
        <v/>
      </c>
    </row>
    <row r="6354">
      <c r="A6354" s="2" t="n"/>
      <c r="B6354">
        <f>LOWER(TRIM(A6354))</f>
        <v/>
      </c>
      <c r="C6354">
        <f>IF(B6354="","",IFERROR(INDEX('Bad Patterns'!$A$2:$A$120,MATCH(1,INDEX(--ISNUMBER(SEARCH('Bad Patterns'!$A$2:$A$120,B6354)),0),0)),""))</f>
        <v/>
      </c>
      <c r="D6354">
        <f>IF(B6354="","",IF(C6354&lt;&gt;"","REMOVE","KEEP"))</f>
        <v/>
      </c>
      <c r="E6354">
        <f>IF(D6354&lt;&gt;"KEEP","",IF(RIGHT(B6354,10)="@gmail.com","Gmail",IF(OR(RIGHT(B6354,12)="@outlook.com",RIGHT(B6354,12)="@hotmail.com",RIGHT(B6354,9)="@live.com"),"Outlook","Domain")))</f>
        <v/>
      </c>
      <c r="F6354">
        <f>IF(B6354="","",IFERROR(RIGHT(B6354,LEN(B6354)-FIND("@",B6354)),""))</f>
        <v/>
      </c>
      <c r="G6354">
        <f>IF(D6354="KEEP",COUNTIF($D$2:D6354,"KEEP"),"")</f>
        <v/>
      </c>
      <c r="H6354">
        <f>IF(D6354="REMOVE",COUNTIF($D$2:D6354,"REMOVE"),"")</f>
        <v/>
      </c>
      <c r="I6354">
        <f>IF(E6354="Gmail",COUNTIF($E$2:E6354,"Gmail"),"")</f>
        <v/>
      </c>
      <c r="J6354">
        <f>IF(E6354="Outlook",COUNTIF($E$2:E6354,"Outlook"),"")</f>
        <v/>
      </c>
      <c r="K6354">
        <f>IF(E6354="Domain",COUNTIF($E$2:E6354,"Domain"),"")</f>
        <v/>
      </c>
    </row>
    <row r="6355">
      <c r="A6355" s="2" t="n"/>
      <c r="B6355">
        <f>LOWER(TRIM(A6355))</f>
        <v/>
      </c>
      <c r="C6355">
        <f>IF(B6355="","",IFERROR(INDEX('Bad Patterns'!$A$2:$A$120,MATCH(1,INDEX(--ISNUMBER(SEARCH('Bad Patterns'!$A$2:$A$120,B6355)),0),0)),""))</f>
        <v/>
      </c>
      <c r="D6355">
        <f>IF(B6355="","",IF(C6355&lt;&gt;"","REMOVE","KEEP"))</f>
        <v/>
      </c>
      <c r="E6355">
        <f>IF(D6355&lt;&gt;"KEEP","",IF(RIGHT(B6355,10)="@gmail.com","Gmail",IF(OR(RIGHT(B6355,12)="@outlook.com",RIGHT(B6355,12)="@hotmail.com",RIGHT(B6355,9)="@live.com"),"Outlook","Domain")))</f>
        <v/>
      </c>
      <c r="F6355">
        <f>IF(B6355="","",IFERROR(RIGHT(B6355,LEN(B6355)-FIND("@",B6355)),""))</f>
        <v/>
      </c>
      <c r="G6355">
        <f>IF(D6355="KEEP",COUNTIF($D$2:D6355,"KEEP"),"")</f>
        <v/>
      </c>
      <c r="H6355">
        <f>IF(D6355="REMOVE",COUNTIF($D$2:D6355,"REMOVE"),"")</f>
        <v/>
      </c>
      <c r="I6355">
        <f>IF(E6355="Gmail",COUNTIF($E$2:E6355,"Gmail"),"")</f>
        <v/>
      </c>
      <c r="J6355">
        <f>IF(E6355="Outlook",COUNTIF($E$2:E6355,"Outlook"),"")</f>
        <v/>
      </c>
      <c r="K6355">
        <f>IF(E6355="Domain",COUNTIF($E$2:E6355,"Domain"),"")</f>
        <v/>
      </c>
    </row>
    <row r="6356">
      <c r="A6356" s="2" t="n"/>
      <c r="B6356">
        <f>LOWER(TRIM(A6356))</f>
        <v/>
      </c>
      <c r="C6356">
        <f>IF(B6356="","",IFERROR(INDEX('Bad Patterns'!$A$2:$A$120,MATCH(1,INDEX(--ISNUMBER(SEARCH('Bad Patterns'!$A$2:$A$120,B6356)),0),0)),""))</f>
        <v/>
      </c>
      <c r="D6356">
        <f>IF(B6356="","",IF(C6356&lt;&gt;"","REMOVE","KEEP"))</f>
        <v/>
      </c>
      <c r="E6356">
        <f>IF(D6356&lt;&gt;"KEEP","",IF(RIGHT(B6356,10)="@gmail.com","Gmail",IF(OR(RIGHT(B6356,12)="@outlook.com",RIGHT(B6356,12)="@hotmail.com",RIGHT(B6356,9)="@live.com"),"Outlook","Domain")))</f>
        <v/>
      </c>
      <c r="F6356">
        <f>IF(B6356="","",IFERROR(RIGHT(B6356,LEN(B6356)-FIND("@",B6356)),""))</f>
        <v/>
      </c>
      <c r="G6356">
        <f>IF(D6356="KEEP",COUNTIF($D$2:D6356,"KEEP"),"")</f>
        <v/>
      </c>
      <c r="H6356">
        <f>IF(D6356="REMOVE",COUNTIF($D$2:D6356,"REMOVE"),"")</f>
        <v/>
      </c>
      <c r="I6356">
        <f>IF(E6356="Gmail",COUNTIF($E$2:E6356,"Gmail"),"")</f>
        <v/>
      </c>
      <c r="J6356">
        <f>IF(E6356="Outlook",COUNTIF($E$2:E6356,"Outlook"),"")</f>
        <v/>
      </c>
      <c r="K6356">
        <f>IF(E6356="Domain",COUNTIF($E$2:E6356,"Domain"),"")</f>
        <v/>
      </c>
    </row>
    <row r="6357">
      <c r="A6357" s="2" t="n"/>
      <c r="B6357">
        <f>LOWER(TRIM(A6357))</f>
        <v/>
      </c>
      <c r="C6357">
        <f>IF(B6357="","",IFERROR(INDEX('Bad Patterns'!$A$2:$A$120,MATCH(1,INDEX(--ISNUMBER(SEARCH('Bad Patterns'!$A$2:$A$120,B6357)),0),0)),""))</f>
        <v/>
      </c>
      <c r="D6357">
        <f>IF(B6357="","",IF(C6357&lt;&gt;"","REMOVE","KEEP"))</f>
        <v/>
      </c>
      <c r="E6357">
        <f>IF(D6357&lt;&gt;"KEEP","",IF(RIGHT(B6357,10)="@gmail.com","Gmail",IF(OR(RIGHT(B6357,12)="@outlook.com",RIGHT(B6357,12)="@hotmail.com",RIGHT(B6357,9)="@live.com"),"Outlook","Domain")))</f>
        <v/>
      </c>
      <c r="F6357">
        <f>IF(B6357="","",IFERROR(RIGHT(B6357,LEN(B6357)-FIND("@",B6357)),""))</f>
        <v/>
      </c>
      <c r="G6357">
        <f>IF(D6357="KEEP",COUNTIF($D$2:D6357,"KEEP"),"")</f>
        <v/>
      </c>
      <c r="H6357">
        <f>IF(D6357="REMOVE",COUNTIF($D$2:D6357,"REMOVE"),"")</f>
        <v/>
      </c>
      <c r="I6357">
        <f>IF(E6357="Gmail",COUNTIF($E$2:E6357,"Gmail"),"")</f>
        <v/>
      </c>
      <c r="J6357">
        <f>IF(E6357="Outlook",COUNTIF($E$2:E6357,"Outlook"),"")</f>
        <v/>
      </c>
      <c r="K6357">
        <f>IF(E6357="Domain",COUNTIF($E$2:E6357,"Domain"),"")</f>
        <v/>
      </c>
    </row>
    <row r="6358">
      <c r="A6358" s="2" t="n"/>
      <c r="B6358">
        <f>LOWER(TRIM(A6358))</f>
        <v/>
      </c>
      <c r="C6358">
        <f>IF(B6358="","",IFERROR(INDEX('Bad Patterns'!$A$2:$A$120,MATCH(1,INDEX(--ISNUMBER(SEARCH('Bad Patterns'!$A$2:$A$120,B6358)),0),0)),""))</f>
        <v/>
      </c>
      <c r="D6358">
        <f>IF(B6358="","",IF(C6358&lt;&gt;"","REMOVE","KEEP"))</f>
        <v/>
      </c>
      <c r="E6358">
        <f>IF(D6358&lt;&gt;"KEEP","",IF(RIGHT(B6358,10)="@gmail.com","Gmail",IF(OR(RIGHT(B6358,12)="@outlook.com",RIGHT(B6358,12)="@hotmail.com",RIGHT(B6358,9)="@live.com"),"Outlook","Domain")))</f>
        <v/>
      </c>
      <c r="F6358">
        <f>IF(B6358="","",IFERROR(RIGHT(B6358,LEN(B6358)-FIND("@",B6358)),""))</f>
        <v/>
      </c>
      <c r="G6358">
        <f>IF(D6358="KEEP",COUNTIF($D$2:D6358,"KEEP"),"")</f>
        <v/>
      </c>
      <c r="H6358">
        <f>IF(D6358="REMOVE",COUNTIF($D$2:D6358,"REMOVE"),"")</f>
        <v/>
      </c>
      <c r="I6358">
        <f>IF(E6358="Gmail",COUNTIF($E$2:E6358,"Gmail"),"")</f>
        <v/>
      </c>
      <c r="J6358">
        <f>IF(E6358="Outlook",COUNTIF($E$2:E6358,"Outlook"),"")</f>
        <v/>
      </c>
      <c r="K6358">
        <f>IF(E6358="Domain",COUNTIF($E$2:E6358,"Domain"),"")</f>
        <v/>
      </c>
    </row>
    <row r="6359">
      <c r="A6359" s="2" t="n"/>
      <c r="B6359">
        <f>LOWER(TRIM(A6359))</f>
        <v/>
      </c>
      <c r="C6359">
        <f>IF(B6359="","",IFERROR(INDEX('Bad Patterns'!$A$2:$A$120,MATCH(1,INDEX(--ISNUMBER(SEARCH('Bad Patterns'!$A$2:$A$120,B6359)),0),0)),""))</f>
        <v/>
      </c>
      <c r="D6359">
        <f>IF(B6359="","",IF(C6359&lt;&gt;"","REMOVE","KEEP"))</f>
        <v/>
      </c>
      <c r="E6359">
        <f>IF(D6359&lt;&gt;"KEEP","",IF(RIGHT(B6359,10)="@gmail.com","Gmail",IF(OR(RIGHT(B6359,12)="@outlook.com",RIGHT(B6359,12)="@hotmail.com",RIGHT(B6359,9)="@live.com"),"Outlook","Domain")))</f>
        <v/>
      </c>
      <c r="F6359">
        <f>IF(B6359="","",IFERROR(RIGHT(B6359,LEN(B6359)-FIND("@",B6359)),""))</f>
        <v/>
      </c>
      <c r="G6359">
        <f>IF(D6359="KEEP",COUNTIF($D$2:D6359,"KEEP"),"")</f>
        <v/>
      </c>
      <c r="H6359">
        <f>IF(D6359="REMOVE",COUNTIF($D$2:D6359,"REMOVE"),"")</f>
        <v/>
      </c>
      <c r="I6359">
        <f>IF(E6359="Gmail",COUNTIF($E$2:E6359,"Gmail"),"")</f>
        <v/>
      </c>
      <c r="J6359">
        <f>IF(E6359="Outlook",COUNTIF($E$2:E6359,"Outlook"),"")</f>
        <v/>
      </c>
      <c r="K6359">
        <f>IF(E6359="Domain",COUNTIF($E$2:E6359,"Domain"),"")</f>
        <v/>
      </c>
    </row>
    <row r="6360">
      <c r="A6360" s="2" t="n"/>
      <c r="B6360">
        <f>LOWER(TRIM(A6360))</f>
        <v/>
      </c>
      <c r="C6360">
        <f>IF(B6360="","",IFERROR(INDEX('Bad Patterns'!$A$2:$A$120,MATCH(1,INDEX(--ISNUMBER(SEARCH('Bad Patterns'!$A$2:$A$120,B6360)),0),0)),""))</f>
        <v/>
      </c>
      <c r="D6360">
        <f>IF(B6360="","",IF(C6360&lt;&gt;"","REMOVE","KEEP"))</f>
        <v/>
      </c>
      <c r="E6360">
        <f>IF(D6360&lt;&gt;"KEEP","",IF(RIGHT(B6360,10)="@gmail.com","Gmail",IF(OR(RIGHT(B6360,12)="@outlook.com",RIGHT(B6360,12)="@hotmail.com",RIGHT(B6360,9)="@live.com"),"Outlook","Domain")))</f>
        <v/>
      </c>
      <c r="F6360">
        <f>IF(B6360="","",IFERROR(RIGHT(B6360,LEN(B6360)-FIND("@",B6360)),""))</f>
        <v/>
      </c>
      <c r="G6360">
        <f>IF(D6360="KEEP",COUNTIF($D$2:D6360,"KEEP"),"")</f>
        <v/>
      </c>
      <c r="H6360">
        <f>IF(D6360="REMOVE",COUNTIF($D$2:D6360,"REMOVE"),"")</f>
        <v/>
      </c>
      <c r="I6360">
        <f>IF(E6360="Gmail",COUNTIF($E$2:E6360,"Gmail"),"")</f>
        <v/>
      </c>
      <c r="J6360">
        <f>IF(E6360="Outlook",COUNTIF($E$2:E6360,"Outlook"),"")</f>
        <v/>
      </c>
      <c r="K6360">
        <f>IF(E6360="Domain",COUNTIF($E$2:E6360,"Domain"),"")</f>
        <v/>
      </c>
    </row>
    <row r="6361">
      <c r="A6361" s="2" t="n"/>
      <c r="B6361">
        <f>LOWER(TRIM(A6361))</f>
        <v/>
      </c>
      <c r="C6361">
        <f>IF(B6361="","",IFERROR(INDEX('Bad Patterns'!$A$2:$A$120,MATCH(1,INDEX(--ISNUMBER(SEARCH('Bad Patterns'!$A$2:$A$120,B6361)),0),0)),""))</f>
        <v/>
      </c>
      <c r="D6361">
        <f>IF(B6361="","",IF(C6361&lt;&gt;"","REMOVE","KEEP"))</f>
        <v/>
      </c>
      <c r="E6361">
        <f>IF(D6361&lt;&gt;"KEEP","",IF(RIGHT(B6361,10)="@gmail.com","Gmail",IF(OR(RIGHT(B6361,12)="@outlook.com",RIGHT(B6361,12)="@hotmail.com",RIGHT(B6361,9)="@live.com"),"Outlook","Domain")))</f>
        <v/>
      </c>
      <c r="F6361">
        <f>IF(B6361="","",IFERROR(RIGHT(B6361,LEN(B6361)-FIND("@",B6361)),""))</f>
        <v/>
      </c>
      <c r="G6361">
        <f>IF(D6361="KEEP",COUNTIF($D$2:D6361,"KEEP"),"")</f>
        <v/>
      </c>
      <c r="H6361">
        <f>IF(D6361="REMOVE",COUNTIF($D$2:D6361,"REMOVE"),"")</f>
        <v/>
      </c>
      <c r="I6361">
        <f>IF(E6361="Gmail",COUNTIF($E$2:E6361,"Gmail"),"")</f>
        <v/>
      </c>
      <c r="J6361">
        <f>IF(E6361="Outlook",COUNTIF($E$2:E6361,"Outlook"),"")</f>
        <v/>
      </c>
      <c r="K6361">
        <f>IF(E6361="Domain",COUNTIF($E$2:E6361,"Domain"),"")</f>
        <v/>
      </c>
    </row>
    <row r="6362">
      <c r="A6362" s="2" t="n"/>
      <c r="B6362">
        <f>LOWER(TRIM(A6362))</f>
        <v/>
      </c>
      <c r="C6362">
        <f>IF(B6362="","",IFERROR(INDEX('Bad Patterns'!$A$2:$A$120,MATCH(1,INDEX(--ISNUMBER(SEARCH('Bad Patterns'!$A$2:$A$120,B6362)),0),0)),""))</f>
        <v/>
      </c>
      <c r="D6362">
        <f>IF(B6362="","",IF(C6362&lt;&gt;"","REMOVE","KEEP"))</f>
        <v/>
      </c>
      <c r="E6362">
        <f>IF(D6362&lt;&gt;"KEEP","",IF(RIGHT(B6362,10)="@gmail.com","Gmail",IF(OR(RIGHT(B6362,12)="@outlook.com",RIGHT(B6362,12)="@hotmail.com",RIGHT(B6362,9)="@live.com"),"Outlook","Domain")))</f>
        <v/>
      </c>
      <c r="F6362">
        <f>IF(B6362="","",IFERROR(RIGHT(B6362,LEN(B6362)-FIND("@",B6362)),""))</f>
        <v/>
      </c>
      <c r="G6362">
        <f>IF(D6362="KEEP",COUNTIF($D$2:D6362,"KEEP"),"")</f>
        <v/>
      </c>
      <c r="H6362">
        <f>IF(D6362="REMOVE",COUNTIF($D$2:D6362,"REMOVE"),"")</f>
        <v/>
      </c>
      <c r="I6362">
        <f>IF(E6362="Gmail",COUNTIF($E$2:E6362,"Gmail"),"")</f>
        <v/>
      </c>
      <c r="J6362">
        <f>IF(E6362="Outlook",COUNTIF($E$2:E6362,"Outlook"),"")</f>
        <v/>
      </c>
      <c r="K6362">
        <f>IF(E6362="Domain",COUNTIF($E$2:E6362,"Domain"),"")</f>
        <v/>
      </c>
    </row>
    <row r="6363">
      <c r="A6363" s="2" t="n"/>
      <c r="B6363">
        <f>LOWER(TRIM(A6363))</f>
        <v/>
      </c>
      <c r="C6363">
        <f>IF(B6363="","",IFERROR(INDEX('Bad Patterns'!$A$2:$A$120,MATCH(1,INDEX(--ISNUMBER(SEARCH('Bad Patterns'!$A$2:$A$120,B6363)),0),0)),""))</f>
        <v/>
      </c>
      <c r="D6363">
        <f>IF(B6363="","",IF(C6363&lt;&gt;"","REMOVE","KEEP"))</f>
        <v/>
      </c>
      <c r="E6363">
        <f>IF(D6363&lt;&gt;"KEEP","",IF(RIGHT(B6363,10)="@gmail.com","Gmail",IF(OR(RIGHT(B6363,12)="@outlook.com",RIGHT(B6363,12)="@hotmail.com",RIGHT(B6363,9)="@live.com"),"Outlook","Domain")))</f>
        <v/>
      </c>
      <c r="F6363">
        <f>IF(B6363="","",IFERROR(RIGHT(B6363,LEN(B6363)-FIND("@",B6363)),""))</f>
        <v/>
      </c>
      <c r="G6363">
        <f>IF(D6363="KEEP",COUNTIF($D$2:D6363,"KEEP"),"")</f>
        <v/>
      </c>
      <c r="H6363">
        <f>IF(D6363="REMOVE",COUNTIF($D$2:D6363,"REMOVE"),"")</f>
        <v/>
      </c>
      <c r="I6363">
        <f>IF(E6363="Gmail",COUNTIF($E$2:E6363,"Gmail"),"")</f>
        <v/>
      </c>
      <c r="J6363">
        <f>IF(E6363="Outlook",COUNTIF($E$2:E6363,"Outlook"),"")</f>
        <v/>
      </c>
      <c r="K6363">
        <f>IF(E6363="Domain",COUNTIF($E$2:E6363,"Domain"),"")</f>
        <v/>
      </c>
    </row>
    <row r="6364">
      <c r="A6364" s="2" t="n"/>
      <c r="B6364">
        <f>LOWER(TRIM(A6364))</f>
        <v/>
      </c>
      <c r="C6364">
        <f>IF(B6364="","",IFERROR(INDEX('Bad Patterns'!$A$2:$A$120,MATCH(1,INDEX(--ISNUMBER(SEARCH('Bad Patterns'!$A$2:$A$120,B6364)),0),0)),""))</f>
        <v/>
      </c>
      <c r="D6364">
        <f>IF(B6364="","",IF(C6364&lt;&gt;"","REMOVE","KEEP"))</f>
        <v/>
      </c>
      <c r="E6364">
        <f>IF(D6364&lt;&gt;"KEEP","",IF(RIGHT(B6364,10)="@gmail.com","Gmail",IF(OR(RIGHT(B6364,12)="@outlook.com",RIGHT(B6364,12)="@hotmail.com",RIGHT(B6364,9)="@live.com"),"Outlook","Domain")))</f>
        <v/>
      </c>
      <c r="F6364">
        <f>IF(B6364="","",IFERROR(RIGHT(B6364,LEN(B6364)-FIND("@",B6364)),""))</f>
        <v/>
      </c>
      <c r="G6364">
        <f>IF(D6364="KEEP",COUNTIF($D$2:D6364,"KEEP"),"")</f>
        <v/>
      </c>
      <c r="H6364">
        <f>IF(D6364="REMOVE",COUNTIF($D$2:D6364,"REMOVE"),"")</f>
        <v/>
      </c>
      <c r="I6364">
        <f>IF(E6364="Gmail",COUNTIF($E$2:E6364,"Gmail"),"")</f>
        <v/>
      </c>
      <c r="J6364">
        <f>IF(E6364="Outlook",COUNTIF($E$2:E6364,"Outlook"),"")</f>
        <v/>
      </c>
      <c r="K6364">
        <f>IF(E6364="Domain",COUNTIF($E$2:E6364,"Domain"),"")</f>
        <v/>
      </c>
    </row>
    <row r="6365">
      <c r="A6365" s="2" t="n"/>
      <c r="B6365">
        <f>LOWER(TRIM(A6365))</f>
        <v/>
      </c>
      <c r="C6365">
        <f>IF(B6365="","",IFERROR(INDEX('Bad Patterns'!$A$2:$A$120,MATCH(1,INDEX(--ISNUMBER(SEARCH('Bad Patterns'!$A$2:$A$120,B6365)),0),0)),""))</f>
        <v/>
      </c>
      <c r="D6365">
        <f>IF(B6365="","",IF(C6365&lt;&gt;"","REMOVE","KEEP"))</f>
        <v/>
      </c>
      <c r="E6365">
        <f>IF(D6365&lt;&gt;"KEEP","",IF(RIGHT(B6365,10)="@gmail.com","Gmail",IF(OR(RIGHT(B6365,12)="@outlook.com",RIGHT(B6365,12)="@hotmail.com",RIGHT(B6365,9)="@live.com"),"Outlook","Domain")))</f>
        <v/>
      </c>
      <c r="F6365">
        <f>IF(B6365="","",IFERROR(RIGHT(B6365,LEN(B6365)-FIND("@",B6365)),""))</f>
        <v/>
      </c>
      <c r="G6365">
        <f>IF(D6365="KEEP",COUNTIF($D$2:D6365,"KEEP"),"")</f>
        <v/>
      </c>
      <c r="H6365">
        <f>IF(D6365="REMOVE",COUNTIF($D$2:D6365,"REMOVE"),"")</f>
        <v/>
      </c>
      <c r="I6365">
        <f>IF(E6365="Gmail",COUNTIF($E$2:E6365,"Gmail"),"")</f>
        <v/>
      </c>
      <c r="J6365">
        <f>IF(E6365="Outlook",COUNTIF($E$2:E6365,"Outlook"),"")</f>
        <v/>
      </c>
      <c r="K6365">
        <f>IF(E6365="Domain",COUNTIF($E$2:E6365,"Domain"),"")</f>
        <v/>
      </c>
    </row>
    <row r="6366">
      <c r="A6366" s="2" t="n"/>
      <c r="B6366">
        <f>LOWER(TRIM(A6366))</f>
        <v/>
      </c>
      <c r="C6366">
        <f>IF(B6366="","",IFERROR(INDEX('Bad Patterns'!$A$2:$A$120,MATCH(1,INDEX(--ISNUMBER(SEARCH('Bad Patterns'!$A$2:$A$120,B6366)),0),0)),""))</f>
        <v/>
      </c>
      <c r="D6366">
        <f>IF(B6366="","",IF(C6366&lt;&gt;"","REMOVE","KEEP"))</f>
        <v/>
      </c>
      <c r="E6366">
        <f>IF(D6366&lt;&gt;"KEEP","",IF(RIGHT(B6366,10)="@gmail.com","Gmail",IF(OR(RIGHT(B6366,12)="@outlook.com",RIGHT(B6366,12)="@hotmail.com",RIGHT(B6366,9)="@live.com"),"Outlook","Domain")))</f>
        <v/>
      </c>
      <c r="F6366">
        <f>IF(B6366="","",IFERROR(RIGHT(B6366,LEN(B6366)-FIND("@",B6366)),""))</f>
        <v/>
      </c>
      <c r="G6366">
        <f>IF(D6366="KEEP",COUNTIF($D$2:D6366,"KEEP"),"")</f>
        <v/>
      </c>
      <c r="H6366">
        <f>IF(D6366="REMOVE",COUNTIF($D$2:D6366,"REMOVE"),"")</f>
        <v/>
      </c>
      <c r="I6366">
        <f>IF(E6366="Gmail",COUNTIF($E$2:E6366,"Gmail"),"")</f>
        <v/>
      </c>
      <c r="J6366">
        <f>IF(E6366="Outlook",COUNTIF($E$2:E6366,"Outlook"),"")</f>
        <v/>
      </c>
      <c r="K6366">
        <f>IF(E6366="Domain",COUNTIF($E$2:E6366,"Domain"),"")</f>
        <v/>
      </c>
    </row>
    <row r="6367">
      <c r="A6367" s="2" t="n"/>
      <c r="B6367">
        <f>LOWER(TRIM(A6367))</f>
        <v/>
      </c>
      <c r="C6367">
        <f>IF(B6367="","",IFERROR(INDEX('Bad Patterns'!$A$2:$A$120,MATCH(1,INDEX(--ISNUMBER(SEARCH('Bad Patterns'!$A$2:$A$120,B6367)),0),0)),""))</f>
        <v/>
      </c>
      <c r="D6367">
        <f>IF(B6367="","",IF(C6367&lt;&gt;"","REMOVE","KEEP"))</f>
        <v/>
      </c>
      <c r="E6367">
        <f>IF(D6367&lt;&gt;"KEEP","",IF(RIGHT(B6367,10)="@gmail.com","Gmail",IF(OR(RIGHT(B6367,12)="@outlook.com",RIGHT(B6367,12)="@hotmail.com",RIGHT(B6367,9)="@live.com"),"Outlook","Domain")))</f>
        <v/>
      </c>
      <c r="F6367">
        <f>IF(B6367="","",IFERROR(RIGHT(B6367,LEN(B6367)-FIND("@",B6367)),""))</f>
        <v/>
      </c>
      <c r="G6367">
        <f>IF(D6367="KEEP",COUNTIF($D$2:D6367,"KEEP"),"")</f>
        <v/>
      </c>
      <c r="H6367">
        <f>IF(D6367="REMOVE",COUNTIF($D$2:D6367,"REMOVE"),"")</f>
        <v/>
      </c>
      <c r="I6367">
        <f>IF(E6367="Gmail",COUNTIF($E$2:E6367,"Gmail"),"")</f>
        <v/>
      </c>
      <c r="J6367">
        <f>IF(E6367="Outlook",COUNTIF($E$2:E6367,"Outlook"),"")</f>
        <v/>
      </c>
      <c r="K6367">
        <f>IF(E6367="Domain",COUNTIF($E$2:E6367,"Domain"),"")</f>
        <v/>
      </c>
    </row>
    <row r="6368">
      <c r="A6368" s="2" t="n"/>
      <c r="B6368">
        <f>LOWER(TRIM(A6368))</f>
        <v/>
      </c>
      <c r="C6368">
        <f>IF(B6368="","",IFERROR(INDEX('Bad Patterns'!$A$2:$A$120,MATCH(1,INDEX(--ISNUMBER(SEARCH('Bad Patterns'!$A$2:$A$120,B6368)),0),0)),""))</f>
        <v/>
      </c>
      <c r="D6368">
        <f>IF(B6368="","",IF(C6368&lt;&gt;"","REMOVE","KEEP"))</f>
        <v/>
      </c>
      <c r="E6368">
        <f>IF(D6368&lt;&gt;"KEEP","",IF(RIGHT(B6368,10)="@gmail.com","Gmail",IF(OR(RIGHT(B6368,12)="@outlook.com",RIGHT(B6368,12)="@hotmail.com",RIGHT(B6368,9)="@live.com"),"Outlook","Domain")))</f>
        <v/>
      </c>
      <c r="F6368">
        <f>IF(B6368="","",IFERROR(RIGHT(B6368,LEN(B6368)-FIND("@",B6368)),""))</f>
        <v/>
      </c>
      <c r="G6368">
        <f>IF(D6368="KEEP",COUNTIF($D$2:D6368,"KEEP"),"")</f>
        <v/>
      </c>
      <c r="H6368">
        <f>IF(D6368="REMOVE",COUNTIF($D$2:D6368,"REMOVE"),"")</f>
        <v/>
      </c>
      <c r="I6368">
        <f>IF(E6368="Gmail",COUNTIF($E$2:E6368,"Gmail"),"")</f>
        <v/>
      </c>
      <c r="J6368">
        <f>IF(E6368="Outlook",COUNTIF($E$2:E6368,"Outlook"),"")</f>
        <v/>
      </c>
      <c r="K6368">
        <f>IF(E6368="Domain",COUNTIF($E$2:E6368,"Domain"),"")</f>
        <v/>
      </c>
    </row>
    <row r="6369">
      <c r="A6369" s="2" t="n"/>
      <c r="B6369">
        <f>LOWER(TRIM(A6369))</f>
        <v/>
      </c>
      <c r="C6369">
        <f>IF(B6369="","",IFERROR(INDEX('Bad Patterns'!$A$2:$A$120,MATCH(1,INDEX(--ISNUMBER(SEARCH('Bad Patterns'!$A$2:$A$120,B6369)),0),0)),""))</f>
        <v/>
      </c>
      <c r="D6369">
        <f>IF(B6369="","",IF(C6369&lt;&gt;"","REMOVE","KEEP"))</f>
        <v/>
      </c>
      <c r="E6369">
        <f>IF(D6369&lt;&gt;"KEEP","",IF(RIGHT(B6369,10)="@gmail.com","Gmail",IF(OR(RIGHT(B6369,12)="@outlook.com",RIGHT(B6369,12)="@hotmail.com",RIGHT(B6369,9)="@live.com"),"Outlook","Domain")))</f>
        <v/>
      </c>
      <c r="F6369">
        <f>IF(B6369="","",IFERROR(RIGHT(B6369,LEN(B6369)-FIND("@",B6369)),""))</f>
        <v/>
      </c>
      <c r="G6369">
        <f>IF(D6369="KEEP",COUNTIF($D$2:D6369,"KEEP"),"")</f>
        <v/>
      </c>
      <c r="H6369">
        <f>IF(D6369="REMOVE",COUNTIF($D$2:D6369,"REMOVE"),"")</f>
        <v/>
      </c>
      <c r="I6369">
        <f>IF(E6369="Gmail",COUNTIF($E$2:E6369,"Gmail"),"")</f>
        <v/>
      </c>
      <c r="J6369">
        <f>IF(E6369="Outlook",COUNTIF($E$2:E6369,"Outlook"),"")</f>
        <v/>
      </c>
      <c r="K6369">
        <f>IF(E6369="Domain",COUNTIF($E$2:E6369,"Domain"),"")</f>
        <v/>
      </c>
    </row>
    <row r="6370">
      <c r="A6370" s="2" t="n"/>
      <c r="B6370">
        <f>LOWER(TRIM(A6370))</f>
        <v/>
      </c>
      <c r="C6370">
        <f>IF(B6370="","",IFERROR(INDEX('Bad Patterns'!$A$2:$A$120,MATCH(1,INDEX(--ISNUMBER(SEARCH('Bad Patterns'!$A$2:$A$120,B6370)),0),0)),""))</f>
        <v/>
      </c>
      <c r="D6370">
        <f>IF(B6370="","",IF(C6370&lt;&gt;"","REMOVE","KEEP"))</f>
        <v/>
      </c>
      <c r="E6370">
        <f>IF(D6370&lt;&gt;"KEEP","",IF(RIGHT(B6370,10)="@gmail.com","Gmail",IF(OR(RIGHT(B6370,12)="@outlook.com",RIGHT(B6370,12)="@hotmail.com",RIGHT(B6370,9)="@live.com"),"Outlook","Domain")))</f>
        <v/>
      </c>
      <c r="F6370">
        <f>IF(B6370="","",IFERROR(RIGHT(B6370,LEN(B6370)-FIND("@",B6370)),""))</f>
        <v/>
      </c>
      <c r="G6370">
        <f>IF(D6370="KEEP",COUNTIF($D$2:D6370,"KEEP"),"")</f>
        <v/>
      </c>
      <c r="H6370">
        <f>IF(D6370="REMOVE",COUNTIF($D$2:D6370,"REMOVE"),"")</f>
        <v/>
      </c>
      <c r="I6370">
        <f>IF(E6370="Gmail",COUNTIF($E$2:E6370,"Gmail"),"")</f>
        <v/>
      </c>
      <c r="J6370">
        <f>IF(E6370="Outlook",COUNTIF($E$2:E6370,"Outlook"),"")</f>
        <v/>
      </c>
      <c r="K6370">
        <f>IF(E6370="Domain",COUNTIF($E$2:E6370,"Domain"),"")</f>
        <v/>
      </c>
    </row>
    <row r="6371">
      <c r="A6371" s="2" t="n"/>
      <c r="B6371">
        <f>LOWER(TRIM(A6371))</f>
        <v/>
      </c>
      <c r="C6371">
        <f>IF(B6371="","",IFERROR(INDEX('Bad Patterns'!$A$2:$A$120,MATCH(1,INDEX(--ISNUMBER(SEARCH('Bad Patterns'!$A$2:$A$120,B6371)),0),0)),""))</f>
        <v/>
      </c>
      <c r="D6371">
        <f>IF(B6371="","",IF(C6371&lt;&gt;"","REMOVE","KEEP"))</f>
        <v/>
      </c>
      <c r="E6371">
        <f>IF(D6371&lt;&gt;"KEEP","",IF(RIGHT(B6371,10)="@gmail.com","Gmail",IF(OR(RIGHT(B6371,12)="@outlook.com",RIGHT(B6371,12)="@hotmail.com",RIGHT(B6371,9)="@live.com"),"Outlook","Domain")))</f>
        <v/>
      </c>
      <c r="F6371">
        <f>IF(B6371="","",IFERROR(RIGHT(B6371,LEN(B6371)-FIND("@",B6371)),""))</f>
        <v/>
      </c>
      <c r="G6371">
        <f>IF(D6371="KEEP",COUNTIF($D$2:D6371,"KEEP"),"")</f>
        <v/>
      </c>
      <c r="H6371">
        <f>IF(D6371="REMOVE",COUNTIF($D$2:D6371,"REMOVE"),"")</f>
        <v/>
      </c>
      <c r="I6371">
        <f>IF(E6371="Gmail",COUNTIF($E$2:E6371,"Gmail"),"")</f>
        <v/>
      </c>
      <c r="J6371">
        <f>IF(E6371="Outlook",COUNTIF($E$2:E6371,"Outlook"),"")</f>
        <v/>
      </c>
      <c r="K6371">
        <f>IF(E6371="Domain",COUNTIF($E$2:E6371,"Domain"),"")</f>
        <v/>
      </c>
    </row>
    <row r="6372">
      <c r="A6372" s="2" t="n"/>
      <c r="B6372">
        <f>LOWER(TRIM(A6372))</f>
        <v/>
      </c>
      <c r="C6372">
        <f>IF(B6372="","",IFERROR(INDEX('Bad Patterns'!$A$2:$A$120,MATCH(1,INDEX(--ISNUMBER(SEARCH('Bad Patterns'!$A$2:$A$120,B6372)),0),0)),""))</f>
        <v/>
      </c>
      <c r="D6372">
        <f>IF(B6372="","",IF(C6372&lt;&gt;"","REMOVE","KEEP"))</f>
        <v/>
      </c>
      <c r="E6372">
        <f>IF(D6372&lt;&gt;"KEEP","",IF(RIGHT(B6372,10)="@gmail.com","Gmail",IF(OR(RIGHT(B6372,12)="@outlook.com",RIGHT(B6372,12)="@hotmail.com",RIGHT(B6372,9)="@live.com"),"Outlook","Domain")))</f>
        <v/>
      </c>
      <c r="F6372">
        <f>IF(B6372="","",IFERROR(RIGHT(B6372,LEN(B6372)-FIND("@",B6372)),""))</f>
        <v/>
      </c>
      <c r="G6372">
        <f>IF(D6372="KEEP",COUNTIF($D$2:D6372,"KEEP"),"")</f>
        <v/>
      </c>
      <c r="H6372">
        <f>IF(D6372="REMOVE",COUNTIF($D$2:D6372,"REMOVE"),"")</f>
        <v/>
      </c>
      <c r="I6372">
        <f>IF(E6372="Gmail",COUNTIF($E$2:E6372,"Gmail"),"")</f>
        <v/>
      </c>
      <c r="J6372">
        <f>IF(E6372="Outlook",COUNTIF($E$2:E6372,"Outlook"),"")</f>
        <v/>
      </c>
      <c r="K6372">
        <f>IF(E6372="Domain",COUNTIF($E$2:E6372,"Domain"),"")</f>
        <v/>
      </c>
    </row>
    <row r="6373">
      <c r="A6373" s="2" t="n"/>
      <c r="B6373">
        <f>LOWER(TRIM(A6373))</f>
        <v/>
      </c>
      <c r="C6373">
        <f>IF(B6373="","",IFERROR(INDEX('Bad Patterns'!$A$2:$A$120,MATCH(1,INDEX(--ISNUMBER(SEARCH('Bad Patterns'!$A$2:$A$120,B6373)),0),0)),""))</f>
        <v/>
      </c>
      <c r="D6373">
        <f>IF(B6373="","",IF(C6373&lt;&gt;"","REMOVE","KEEP"))</f>
        <v/>
      </c>
      <c r="E6373">
        <f>IF(D6373&lt;&gt;"KEEP","",IF(RIGHT(B6373,10)="@gmail.com","Gmail",IF(OR(RIGHT(B6373,12)="@outlook.com",RIGHT(B6373,12)="@hotmail.com",RIGHT(B6373,9)="@live.com"),"Outlook","Domain")))</f>
        <v/>
      </c>
      <c r="F6373">
        <f>IF(B6373="","",IFERROR(RIGHT(B6373,LEN(B6373)-FIND("@",B6373)),""))</f>
        <v/>
      </c>
      <c r="G6373">
        <f>IF(D6373="KEEP",COUNTIF($D$2:D6373,"KEEP"),"")</f>
        <v/>
      </c>
      <c r="H6373">
        <f>IF(D6373="REMOVE",COUNTIF($D$2:D6373,"REMOVE"),"")</f>
        <v/>
      </c>
      <c r="I6373">
        <f>IF(E6373="Gmail",COUNTIF($E$2:E6373,"Gmail"),"")</f>
        <v/>
      </c>
      <c r="J6373">
        <f>IF(E6373="Outlook",COUNTIF($E$2:E6373,"Outlook"),"")</f>
        <v/>
      </c>
      <c r="K6373">
        <f>IF(E6373="Domain",COUNTIF($E$2:E6373,"Domain"),"")</f>
        <v/>
      </c>
    </row>
    <row r="6374">
      <c r="A6374" s="2" t="n"/>
      <c r="B6374">
        <f>LOWER(TRIM(A6374))</f>
        <v/>
      </c>
      <c r="C6374">
        <f>IF(B6374="","",IFERROR(INDEX('Bad Patterns'!$A$2:$A$120,MATCH(1,INDEX(--ISNUMBER(SEARCH('Bad Patterns'!$A$2:$A$120,B6374)),0),0)),""))</f>
        <v/>
      </c>
      <c r="D6374">
        <f>IF(B6374="","",IF(C6374&lt;&gt;"","REMOVE","KEEP"))</f>
        <v/>
      </c>
      <c r="E6374">
        <f>IF(D6374&lt;&gt;"KEEP","",IF(RIGHT(B6374,10)="@gmail.com","Gmail",IF(OR(RIGHT(B6374,12)="@outlook.com",RIGHT(B6374,12)="@hotmail.com",RIGHT(B6374,9)="@live.com"),"Outlook","Domain")))</f>
        <v/>
      </c>
      <c r="F6374">
        <f>IF(B6374="","",IFERROR(RIGHT(B6374,LEN(B6374)-FIND("@",B6374)),""))</f>
        <v/>
      </c>
      <c r="G6374">
        <f>IF(D6374="KEEP",COUNTIF($D$2:D6374,"KEEP"),"")</f>
        <v/>
      </c>
      <c r="H6374">
        <f>IF(D6374="REMOVE",COUNTIF($D$2:D6374,"REMOVE"),"")</f>
        <v/>
      </c>
      <c r="I6374">
        <f>IF(E6374="Gmail",COUNTIF($E$2:E6374,"Gmail"),"")</f>
        <v/>
      </c>
      <c r="J6374">
        <f>IF(E6374="Outlook",COUNTIF($E$2:E6374,"Outlook"),"")</f>
        <v/>
      </c>
      <c r="K6374">
        <f>IF(E6374="Domain",COUNTIF($E$2:E6374,"Domain"),"")</f>
        <v/>
      </c>
    </row>
    <row r="6375">
      <c r="A6375" s="2" t="n"/>
      <c r="B6375">
        <f>LOWER(TRIM(A6375))</f>
        <v/>
      </c>
      <c r="C6375">
        <f>IF(B6375="","",IFERROR(INDEX('Bad Patterns'!$A$2:$A$120,MATCH(1,INDEX(--ISNUMBER(SEARCH('Bad Patterns'!$A$2:$A$120,B6375)),0),0)),""))</f>
        <v/>
      </c>
      <c r="D6375">
        <f>IF(B6375="","",IF(C6375&lt;&gt;"","REMOVE","KEEP"))</f>
        <v/>
      </c>
      <c r="E6375">
        <f>IF(D6375&lt;&gt;"KEEP","",IF(RIGHT(B6375,10)="@gmail.com","Gmail",IF(OR(RIGHT(B6375,12)="@outlook.com",RIGHT(B6375,12)="@hotmail.com",RIGHT(B6375,9)="@live.com"),"Outlook","Domain")))</f>
        <v/>
      </c>
      <c r="F6375">
        <f>IF(B6375="","",IFERROR(RIGHT(B6375,LEN(B6375)-FIND("@",B6375)),""))</f>
        <v/>
      </c>
      <c r="G6375">
        <f>IF(D6375="KEEP",COUNTIF($D$2:D6375,"KEEP"),"")</f>
        <v/>
      </c>
      <c r="H6375">
        <f>IF(D6375="REMOVE",COUNTIF($D$2:D6375,"REMOVE"),"")</f>
        <v/>
      </c>
      <c r="I6375">
        <f>IF(E6375="Gmail",COUNTIF($E$2:E6375,"Gmail"),"")</f>
        <v/>
      </c>
      <c r="J6375">
        <f>IF(E6375="Outlook",COUNTIF($E$2:E6375,"Outlook"),"")</f>
        <v/>
      </c>
      <c r="K6375">
        <f>IF(E6375="Domain",COUNTIF($E$2:E6375,"Domain"),"")</f>
        <v/>
      </c>
    </row>
    <row r="6376">
      <c r="A6376" s="2" t="n"/>
      <c r="B6376">
        <f>LOWER(TRIM(A6376))</f>
        <v/>
      </c>
      <c r="C6376">
        <f>IF(B6376="","",IFERROR(INDEX('Bad Patterns'!$A$2:$A$120,MATCH(1,INDEX(--ISNUMBER(SEARCH('Bad Patterns'!$A$2:$A$120,B6376)),0),0)),""))</f>
        <v/>
      </c>
      <c r="D6376">
        <f>IF(B6376="","",IF(C6376&lt;&gt;"","REMOVE","KEEP"))</f>
        <v/>
      </c>
      <c r="E6376">
        <f>IF(D6376&lt;&gt;"KEEP","",IF(RIGHT(B6376,10)="@gmail.com","Gmail",IF(OR(RIGHT(B6376,12)="@outlook.com",RIGHT(B6376,12)="@hotmail.com",RIGHT(B6376,9)="@live.com"),"Outlook","Domain")))</f>
        <v/>
      </c>
      <c r="F6376">
        <f>IF(B6376="","",IFERROR(RIGHT(B6376,LEN(B6376)-FIND("@",B6376)),""))</f>
        <v/>
      </c>
      <c r="G6376">
        <f>IF(D6376="KEEP",COUNTIF($D$2:D6376,"KEEP"),"")</f>
        <v/>
      </c>
      <c r="H6376">
        <f>IF(D6376="REMOVE",COUNTIF($D$2:D6376,"REMOVE"),"")</f>
        <v/>
      </c>
      <c r="I6376">
        <f>IF(E6376="Gmail",COUNTIF($E$2:E6376,"Gmail"),"")</f>
        <v/>
      </c>
      <c r="J6376">
        <f>IF(E6376="Outlook",COUNTIF($E$2:E6376,"Outlook"),"")</f>
        <v/>
      </c>
      <c r="K6376">
        <f>IF(E6376="Domain",COUNTIF($E$2:E6376,"Domain"),"")</f>
        <v/>
      </c>
    </row>
    <row r="6377">
      <c r="A6377" s="2" t="n"/>
      <c r="B6377">
        <f>LOWER(TRIM(A6377))</f>
        <v/>
      </c>
      <c r="C6377">
        <f>IF(B6377="","",IFERROR(INDEX('Bad Patterns'!$A$2:$A$120,MATCH(1,INDEX(--ISNUMBER(SEARCH('Bad Patterns'!$A$2:$A$120,B6377)),0),0)),""))</f>
        <v/>
      </c>
      <c r="D6377">
        <f>IF(B6377="","",IF(C6377&lt;&gt;"","REMOVE","KEEP"))</f>
        <v/>
      </c>
      <c r="E6377">
        <f>IF(D6377&lt;&gt;"KEEP","",IF(RIGHT(B6377,10)="@gmail.com","Gmail",IF(OR(RIGHT(B6377,12)="@outlook.com",RIGHT(B6377,12)="@hotmail.com",RIGHT(B6377,9)="@live.com"),"Outlook","Domain")))</f>
        <v/>
      </c>
      <c r="F6377">
        <f>IF(B6377="","",IFERROR(RIGHT(B6377,LEN(B6377)-FIND("@",B6377)),""))</f>
        <v/>
      </c>
      <c r="G6377">
        <f>IF(D6377="KEEP",COUNTIF($D$2:D6377,"KEEP"),"")</f>
        <v/>
      </c>
      <c r="H6377">
        <f>IF(D6377="REMOVE",COUNTIF($D$2:D6377,"REMOVE"),"")</f>
        <v/>
      </c>
      <c r="I6377">
        <f>IF(E6377="Gmail",COUNTIF($E$2:E6377,"Gmail"),"")</f>
        <v/>
      </c>
      <c r="J6377">
        <f>IF(E6377="Outlook",COUNTIF($E$2:E6377,"Outlook"),"")</f>
        <v/>
      </c>
      <c r="K6377">
        <f>IF(E6377="Domain",COUNTIF($E$2:E6377,"Domain"),"")</f>
        <v/>
      </c>
    </row>
    <row r="6378">
      <c r="A6378" s="2" t="n"/>
      <c r="B6378">
        <f>LOWER(TRIM(A6378))</f>
        <v/>
      </c>
      <c r="C6378">
        <f>IF(B6378="","",IFERROR(INDEX('Bad Patterns'!$A$2:$A$120,MATCH(1,INDEX(--ISNUMBER(SEARCH('Bad Patterns'!$A$2:$A$120,B6378)),0),0)),""))</f>
        <v/>
      </c>
      <c r="D6378">
        <f>IF(B6378="","",IF(C6378&lt;&gt;"","REMOVE","KEEP"))</f>
        <v/>
      </c>
      <c r="E6378">
        <f>IF(D6378&lt;&gt;"KEEP","",IF(RIGHT(B6378,10)="@gmail.com","Gmail",IF(OR(RIGHT(B6378,12)="@outlook.com",RIGHT(B6378,12)="@hotmail.com",RIGHT(B6378,9)="@live.com"),"Outlook","Domain")))</f>
        <v/>
      </c>
      <c r="F6378">
        <f>IF(B6378="","",IFERROR(RIGHT(B6378,LEN(B6378)-FIND("@",B6378)),""))</f>
        <v/>
      </c>
      <c r="G6378">
        <f>IF(D6378="KEEP",COUNTIF($D$2:D6378,"KEEP"),"")</f>
        <v/>
      </c>
      <c r="H6378">
        <f>IF(D6378="REMOVE",COUNTIF($D$2:D6378,"REMOVE"),"")</f>
        <v/>
      </c>
      <c r="I6378">
        <f>IF(E6378="Gmail",COUNTIF($E$2:E6378,"Gmail"),"")</f>
        <v/>
      </c>
      <c r="J6378">
        <f>IF(E6378="Outlook",COUNTIF($E$2:E6378,"Outlook"),"")</f>
        <v/>
      </c>
      <c r="K6378">
        <f>IF(E6378="Domain",COUNTIF($E$2:E6378,"Domain"),"")</f>
        <v/>
      </c>
    </row>
    <row r="6379">
      <c r="A6379" s="2" t="n"/>
      <c r="B6379">
        <f>LOWER(TRIM(A6379))</f>
        <v/>
      </c>
      <c r="C6379">
        <f>IF(B6379="","",IFERROR(INDEX('Bad Patterns'!$A$2:$A$120,MATCH(1,INDEX(--ISNUMBER(SEARCH('Bad Patterns'!$A$2:$A$120,B6379)),0),0)),""))</f>
        <v/>
      </c>
      <c r="D6379">
        <f>IF(B6379="","",IF(C6379&lt;&gt;"","REMOVE","KEEP"))</f>
        <v/>
      </c>
      <c r="E6379">
        <f>IF(D6379&lt;&gt;"KEEP","",IF(RIGHT(B6379,10)="@gmail.com","Gmail",IF(OR(RIGHT(B6379,12)="@outlook.com",RIGHT(B6379,12)="@hotmail.com",RIGHT(B6379,9)="@live.com"),"Outlook","Domain")))</f>
        <v/>
      </c>
      <c r="F6379">
        <f>IF(B6379="","",IFERROR(RIGHT(B6379,LEN(B6379)-FIND("@",B6379)),""))</f>
        <v/>
      </c>
      <c r="G6379">
        <f>IF(D6379="KEEP",COUNTIF($D$2:D6379,"KEEP"),"")</f>
        <v/>
      </c>
      <c r="H6379">
        <f>IF(D6379="REMOVE",COUNTIF($D$2:D6379,"REMOVE"),"")</f>
        <v/>
      </c>
      <c r="I6379">
        <f>IF(E6379="Gmail",COUNTIF($E$2:E6379,"Gmail"),"")</f>
        <v/>
      </c>
      <c r="J6379">
        <f>IF(E6379="Outlook",COUNTIF($E$2:E6379,"Outlook"),"")</f>
        <v/>
      </c>
      <c r="K6379">
        <f>IF(E6379="Domain",COUNTIF($E$2:E6379,"Domain"),"")</f>
        <v/>
      </c>
    </row>
    <row r="6380">
      <c r="A6380" s="2" t="n"/>
      <c r="B6380">
        <f>LOWER(TRIM(A6380))</f>
        <v/>
      </c>
      <c r="C6380">
        <f>IF(B6380="","",IFERROR(INDEX('Bad Patterns'!$A$2:$A$120,MATCH(1,INDEX(--ISNUMBER(SEARCH('Bad Patterns'!$A$2:$A$120,B6380)),0),0)),""))</f>
        <v/>
      </c>
      <c r="D6380">
        <f>IF(B6380="","",IF(C6380&lt;&gt;"","REMOVE","KEEP"))</f>
        <v/>
      </c>
      <c r="E6380">
        <f>IF(D6380&lt;&gt;"KEEP","",IF(RIGHT(B6380,10)="@gmail.com","Gmail",IF(OR(RIGHT(B6380,12)="@outlook.com",RIGHT(B6380,12)="@hotmail.com",RIGHT(B6380,9)="@live.com"),"Outlook","Domain")))</f>
        <v/>
      </c>
      <c r="F6380">
        <f>IF(B6380="","",IFERROR(RIGHT(B6380,LEN(B6380)-FIND("@",B6380)),""))</f>
        <v/>
      </c>
      <c r="G6380">
        <f>IF(D6380="KEEP",COUNTIF($D$2:D6380,"KEEP"),"")</f>
        <v/>
      </c>
      <c r="H6380">
        <f>IF(D6380="REMOVE",COUNTIF($D$2:D6380,"REMOVE"),"")</f>
        <v/>
      </c>
      <c r="I6380">
        <f>IF(E6380="Gmail",COUNTIF($E$2:E6380,"Gmail"),"")</f>
        <v/>
      </c>
      <c r="J6380">
        <f>IF(E6380="Outlook",COUNTIF($E$2:E6380,"Outlook"),"")</f>
        <v/>
      </c>
      <c r="K6380">
        <f>IF(E6380="Domain",COUNTIF($E$2:E6380,"Domain"),"")</f>
        <v/>
      </c>
    </row>
    <row r="6381">
      <c r="A6381" s="2" t="n"/>
      <c r="B6381">
        <f>LOWER(TRIM(A6381))</f>
        <v/>
      </c>
      <c r="C6381">
        <f>IF(B6381="","",IFERROR(INDEX('Bad Patterns'!$A$2:$A$120,MATCH(1,INDEX(--ISNUMBER(SEARCH('Bad Patterns'!$A$2:$A$120,B6381)),0),0)),""))</f>
        <v/>
      </c>
      <c r="D6381">
        <f>IF(B6381="","",IF(C6381&lt;&gt;"","REMOVE","KEEP"))</f>
        <v/>
      </c>
      <c r="E6381">
        <f>IF(D6381&lt;&gt;"KEEP","",IF(RIGHT(B6381,10)="@gmail.com","Gmail",IF(OR(RIGHT(B6381,12)="@outlook.com",RIGHT(B6381,12)="@hotmail.com",RIGHT(B6381,9)="@live.com"),"Outlook","Domain")))</f>
        <v/>
      </c>
      <c r="F6381">
        <f>IF(B6381="","",IFERROR(RIGHT(B6381,LEN(B6381)-FIND("@",B6381)),""))</f>
        <v/>
      </c>
      <c r="G6381">
        <f>IF(D6381="KEEP",COUNTIF($D$2:D6381,"KEEP"),"")</f>
        <v/>
      </c>
      <c r="H6381">
        <f>IF(D6381="REMOVE",COUNTIF($D$2:D6381,"REMOVE"),"")</f>
        <v/>
      </c>
      <c r="I6381">
        <f>IF(E6381="Gmail",COUNTIF($E$2:E6381,"Gmail"),"")</f>
        <v/>
      </c>
      <c r="J6381">
        <f>IF(E6381="Outlook",COUNTIF($E$2:E6381,"Outlook"),"")</f>
        <v/>
      </c>
      <c r="K6381">
        <f>IF(E6381="Domain",COUNTIF($E$2:E6381,"Domain"),"")</f>
        <v/>
      </c>
    </row>
    <row r="6382">
      <c r="A6382" s="2" t="n"/>
      <c r="B6382">
        <f>LOWER(TRIM(A6382))</f>
        <v/>
      </c>
      <c r="C6382">
        <f>IF(B6382="","",IFERROR(INDEX('Bad Patterns'!$A$2:$A$120,MATCH(1,INDEX(--ISNUMBER(SEARCH('Bad Patterns'!$A$2:$A$120,B6382)),0),0)),""))</f>
        <v/>
      </c>
      <c r="D6382">
        <f>IF(B6382="","",IF(C6382&lt;&gt;"","REMOVE","KEEP"))</f>
        <v/>
      </c>
      <c r="E6382">
        <f>IF(D6382&lt;&gt;"KEEP","",IF(RIGHT(B6382,10)="@gmail.com","Gmail",IF(OR(RIGHT(B6382,12)="@outlook.com",RIGHT(B6382,12)="@hotmail.com",RIGHT(B6382,9)="@live.com"),"Outlook","Domain")))</f>
        <v/>
      </c>
      <c r="F6382">
        <f>IF(B6382="","",IFERROR(RIGHT(B6382,LEN(B6382)-FIND("@",B6382)),""))</f>
        <v/>
      </c>
      <c r="G6382">
        <f>IF(D6382="KEEP",COUNTIF($D$2:D6382,"KEEP"),"")</f>
        <v/>
      </c>
      <c r="H6382">
        <f>IF(D6382="REMOVE",COUNTIF($D$2:D6382,"REMOVE"),"")</f>
        <v/>
      </c>
      <c r="I6382">
        <f>IF(E6382="Gmail",COUNTIF($E$2:E6382,"Gmail"),"")</f>
        <v/>
      </c>
      <c r="J6382">
        <f>IF(E6382="Outlook",COUNTIF($E$2:E6382,"Outlook"),"")</f>
        <v/>
      </c>
      <c r="K6382">
        <f>IF(E6382="Domain",COUNTIF($E$2:E6382,"Domain"),"")</f>
        <v/>
      </c>
    </row>
    <row r="6383">
      <c r="A6383" s="2" t="n"/>
      <c r="B6383">
        <f>LOWER(TRIM(A6383))</f>
        <v/>
      </c>
      <c r="C6383">
        <f>IF(B6383="","",IFERROR(INDEX('Bad Patterns'!$A$2:$A$120,MATCH(1,INDEX(--ISNUMBER(SEARCH('Bad Patterns'!$A$2:$A$120,B6383)),0),0)),""))</f>
        <v/>
      </c>
      <c r="D6383">
        <f>IF(B6383="","",IF(C6383&lt;&gt;"","REMOVE","KEEP"))</f>
        <v/>
      </c>
      <c r="E6383">
        <f>IF(D6383&lt;&gt;"KEEP","",IF(RIGHT(B6383,10)="@gmail.com","Gmail",IF(OR(RIGHT(B6383,12)="@outlook.com",RIGHT(B6383,12)="@hotmail.com",RIGHT(B6383,9)="@live.com"),"Outlook","Domain")))</f>
        <v/>
      </c>
      <c r="F6383">
        <f>IF(B6383="","",IFERROR(RIGHT(B6383,LEN(B6383)-FIND("@",B6383)),""))</f>
        <v/>
      </c>
      <c r="G6383">
        <f>IF(D6383="KEEP",COUNTIF($D$2:D6383,"KEEP"),"")</f>
        <v/>
      </c>
      <c r="H6383">
        <f>IF(D6383="REMOVE",COUNTIF($D$2:D6383,"REMOVE"),"")</f>
        <v/>
      </c>
      <c r="I6383">
        <f>IF(E6383="Gmail",COUNTIF($E$2:E6383,"Gmail"),"")</f>
        <v/>
      </c>
      <c r="J6383">
        <f>IF(E6383="Outlook",COUNTIF($E$2:E6383,"Outlook"),"")</f>
        <v/>
      </c>
      <c r="K6383">
        <f>IF(E6383="Domain",COUNTIF($E$2:E6383,"Domain"),"")</f>
        <v/>
      </c>
    </row>
    <row r="6384">
      <c r="A6384" s="2" t="n"/>
      <c r="B6384">
        <f>LOWER(TRIM(A6384))</f>
        <v/>
      </c>
      <c r="C6384">
        <f>IF(B6384="","",IFERROR(INDEX('Bad Patterns'!$A$2:$A$120,MATCH(1,INDEX(--ISNUMBER(SEARCH('Bad Patterns'!$A$2:$A$120,B6384)),0),0)),""))</f>
        <v/>
      </c>
      <c r="D6384">
        <f>IF(B6384="","",IF(C6384&lt;&gt;"","REMOVE","KEEP"))</f>
        <v/>
      </c>
      <c r="E6384">
        <f>IF(D6384&lt;&gt;"KEEP","",IF(RIGHT(B6384,10)="@gmail.com","Gmail",IF(OR(RIGHT(B6384,12)="@outlook.com",RIGHT(B6384,12)="@hotmail.com",RIGHT(B6384,9)="@live.com"),"Outlook","Domain")))</f>
        <v/>
      </c>
      <c r="F6384">
        <f>IF(B6384="","",IFERROR(RIGHT(B6384,LEN(B6384)-FIND("@",B6384)),""))</f>
        <v/>
      </c>
      <c r="G6384">
        <f>IF(D6384="KEEP",COUNTIF($D$2:D6384,"KEEP"),"")</f>
        <v/>
      </c>
      <c r="H6384">
        <f>IF(D6384="REMOVE",COUNTIF($D$2:D6384,"REMOVE"),"")</f>
        <v/>
      </c>
      <c r="I6384">
        <f>IF(E6384="Gmail",COUNTIF($E$2:E6384,"Gmail"),"")</f>
        <v/>
      </c>
      <c r="J6384">
        <f>IF(E6384="Outlook",COUNTIF($E$2:E6384,"Outlook"),"")</f>
        <v/>
      </c>
      <c r="K6384">
        <f>IF(E6384="Domain",COUNTIF($E$2:E6384,"Domain"),"")</f>
        <v/>
      </c>
    </row>
    <row r="6385">
      <c r="A6385" s="2" t="n"/>
      <c r="B6385">
        <f>LOWER(TRIM(A6385))</f>
        <v/>
      </c>
      <c r="C6385">
        <f>IF(B6385="","",IFERROR(INDEX('Bad Patterns'!$A$2:$A$120,MATCH(1,INDEX(--ISNUMBER(SEARCH('Bad Patterns'!$A$2:$A$120,B6385)),0),0)),""))</f>
        <v/>
      </c>
      <c r="D6385">
        <f>IF(B6385="","",IF(C6385&lt;&gt;"","REMOVE","KEEP"))</f>
        <v/>
      </c>
      <c r="E6385">
        <f>IF(D6385&lt;&gt;"KEEP","",IF(RIGHT(B6385,10)="@gmail.com","Gmail",IF(OR(RIGHT(B6385,12)="@outlook.com",RIGHT(B6385,12)="@hotmail.com",RIGHT(B6385,9)="@live.com"),"Outlook","Domain")))</f>
        <v/>
      </c>
      <c r="F6385">
        <f>IF(B6385="","",IFERROR(RIGHT(B6385,LEN(B6385)-FIND("@",B6385)),""))</f>
        <v/>
      </c>
      <c r="G6385">
        <f>IF(D6385="KEEP",COUNTIF($D$2:D6385,"KEEP"),"")</f>
        <v/>
      </c>
      <c r="H6385">
        <f>IF(D6385="REMOVE",COUNTIF($D$2:D6385,"REMOVE"),"")</f>
        <v/>
      </c>
      <c r="I6385">
        <f>IF(E6385="Gmail",COUNTIF($E$2:E6385,"Gmail"),"")</f>
        <v/>
      </c>
      <c r="J6385">
        <f>IF(E6385="Outlook",COUNTIF($E$2:E6385,"Outlook"),"")</f>
        <v/>
      </c>
      <c r="K6385">
        <f>IF(E6385="Domain",COUNTIF($E$2:E6385,"Domain"),"")</f>
        <v/>
      </c>
    </row>
    <row r="6386">
      <c r="A6386" s="2" t="n"/>
      <c r="B6386">
        <f>LOWER(TRIM(A6386))</f>
        <v/>
      </c>
      <c r="C6386">
        <f>IF(B6386="","",IFERROR(INDEX('Bad Patterns'!$A$2:$A$120,MATCH(1,INDEX(--ISNUMBER(SEARCH('Bad Patterns'!$A$2:$A$120,B6386)),0),0)),""))</f>
        <v/>
      </c>
      <c r="D6386">
        <f>IF(B6386="","",IF(C6386&lt;&gt;"","REMOVE","KEEP"))</f>
        <v/>
      </c>
      <c r="E6386">
        <f>IF(D6386&lt;&gt;"KEEP","",IF(RIGHT(B6386,10)="@gmail.com","Gmail",IF(OR(RIGHT(B6386,12)="@outlook.com",RIGHT(B6386,12)="@hotmail.com",RIGHT(B6386,9)="@live.com"),"Outlook","Domain")))</f>
        <v/>
      </c>
      <c r="F6386">
        <f>IF(B6386="","",IFERROR(RIGHT(B6386,LEN(B6386)-FIND("@",B6386)),""))</f>
        <v/>
      </c>
      <c r="G6386">
        <f>IF(D6386="KEEP",COUNTIF($D$2:D6386,"KEEP"),"")</f>
        <v/>
      </c>
      <c r="H6386">
        <f>IF(D6386="REMOVE",COUNTIF($D$2:D6386,"REMOVE"),"")</f>
        <v/>
      </c>
      <c r="I6386">
        <f>IF(E6386="Gmail",COUNTIF($E$2:E6386,"Gmail"),"")</f>
        <v/>
      </c>
      <c r="J6386">
        <f>IF(E6386="Outlook",COUNTIF($E$2:E6386,"Outlook"),"")</f>
        <v/>
      </c>
      <c r="K6386">
        <f>IF(E6386="Domain",COUNTIF($E$2:E6386,"Domain"),"")</f>
        <v/>
      </c>
    </row>
    <row r="6387">
      <c r="A6387" s="2" t="n"/>
      <c r="B6387">
        <f>LOWER(TRIM(A6387))</f>
        <v/>
      </c>
      <c r="C6387">
        <f>IF(B6387="","",IFERROR(INDEX('Bad Patterns'!$A$2:$A$120,MATCH(1,INDEX(--ISNUMBER(SEARCH('Bad Patterns'!$A$2:$A$120,B6387)),0),0)),""))</f>
        <v/>
      </c>
      <c r="D6387">
        <f>IF(B6387="","",IF(C6387&lt;&gt;"","REMOVE","KEEP"))</f>
        <v/>
      </c>
      <c r="E6387">
        <f>IF(D6387&lt;&gt;"KEEP","",IF(RIGHT(B6387,10)="@gmail.com","Gmail",IF(OR(RIGHT(B6387,12)="@outlook.com",RIGHT(B6387,12)="@hotmail.com",RIGHT(B6387,9)="@live.com"),"Outlook","Domain")))</f>
        <v/>
      </c>
      <c r="F6387">
        <f>IF(B6387="","",IFERROR(RIGHT(B6387,LEN(B6387)-FIND("@",B6387)),""))</f>
        <v/>
      </c>
      <c r="G6387">
        <f>IF(D6387="KEEP",COUNTIF($D$2:D6387,"KEEP"),"")</f>
        <v/>
      </c>
      <c r="H6387">
        <f>IF(D6387="REMOVE",COUNTIF($D$2:D6387,"REMOVE"),"")</f>
        <v/>
      </c>
      <c r="I6387">
        <f>IF(E6387="Gmail",COUNTIF($E$2:E6387,"Gmail"),"")</f>
        <v/>
      </c>
      <c r="J6387">
        <f>IF(E6387="Outlook",COUNTIF($E$2:E6387,"Outlook"),"")</f>
        <v/>
      </c>
      <c r="K6387">
        <f>IF(E6387="Domain",COUNTIF($E$2:E6387,"Domain"),"")</f>
        <v/>
      </c>
    </row>
    <row r="6388">
      <c r="A6388" s="2" t="n"/>
      <c r="B6388">
        <f>LOWER(TRIM(A6388))</f>
        <v/>
      </c>
      <c r="C6388">
        <f>IF(B6388="","",IFERROR(INDEX('Bad Patterns'!$A$2:$A$120,MATCH(1,INDEX(--ISNUMBER(SEARCH('Bad Patterns'!$A$2:$A$120,B6388)),0),0)),""))</f>
        <v/>
      </c>
      <c r="D6388">
        <f>IF(B6388="","",IF(C6388&lt;&gt;"","REMOVE","KEEP"))</f>
        <v/>
      </c>
      <c r="E6388">
        <f>IF(D6388&lt;&gt;"KEEP","",IF(RIGHT(B6388,10)="@gmail.com","Gmail",IF(OR(RIGHT(B6388,12)="@outlook.com",RIGHT(B6388,12)="@hotmail.com",RIGHT(B6388,9)="@live.com"),"Outlook","Domain")))</f>
        <v/>
      </c>
      <c r="F6388">
        <f>IF(B6388="","",IFERROR(RIGHT(B6388,LEN(B6388)-FIND("@",B6388)),""))</f>
        <v/>
      </c>
      <c r="G6388">
        <f>IF(D6388="KEEP",COUNTIF($D$2:D6388,"KEEP"),"")</f>
        <v/>
      </c>
      <c r="H6388">
        <f>IF(D6388="REMOVE",COUNTIF($D$2:D6388,"REMOVE"),"")</f>
        <v/>
      </c>
      <c r="I6388">
        <f>IF(E6388="Gmail",COUNTIF($E$2:E6388,"Gmail"),"")</f>
        <v/>
      </c>
      <c r="J6388">
        <f>IF(E6388="Outlook",COUNTIF($E$2:E6388,"Outlook"),"")</f>
        <v/>
      </c>
      <c r="K6388">
        <f>IF(E6388="Domain",COUNTIF($E$2:E6388,"Domain"),"")</f>
        <v/>
      </c>
    </row>
    <row r="6389">
      <c r="A6389" s="2" t="n"/>
      <c r="B6389">
        <f>LOWER(TRIM(A6389))</f>
        <v/>
      </c>
      <c r="C6389">
        <f>IF(B6389="","",IFERROR(INDEX('Bad Patterns'!$A$2:$A$120,MATCH(1,INDEX(--ISNUMBER(SEARCH('Bad Patterns'!$A$2:$A$120,B6389)),0),0)),""))</f>
        <v/>
      </c>
      <c r="D6389">
        <f>IF(B6389="","",IF(C6389&lt;&gt;"","REMOVE","KEEP"))</f>
        <v/>
      </c>
      <c r="E6389">
        <f>IF(D6389&lt;&gt;"KEEP","",IF(RIGHT(B6389,10)="@gmail.com","Gmail",IF(OR(RIGHT(B6389,12)="@outlook.com",RIGHT(B6389,12)="@hotmail.com",RIGHT(B6389,9)="@live.com"),"Outlook","Domain")))</f>
        <v/>
      </c>
      <c r="F6389">
        <f>IF(B6389="","",IFERROR(RIGHT(B6389,LEN(B6389)-FIND("@",B6389)),""))</f>
        <v/>
      </c>
      <c r="G6389">
        <f>IF(D6389="KEEP",COUNTIF($D$2:D6389,"KEEP"),"")</f>
        <v/>
      </c>
      <c r="H6389">
        <f>IF(D6389="REMOVE",COUNTIF($D$2:D6389,"REMOVE"),"")</f>
        <v/>
      </c>
      <c r="I6389">
        <f>IF(E6389="Gmail",COUNTIF($E$2:E6389,"Gmail"),"")</f>
        <v/>
      </c>
      <c r="J6389">
        <f>IF(E6389="Outlook",COUNTIF($E$2:E6389,"Outlook"),"")</f>
        <v/>
      </c>
      <c r="K6389">
        <f>IF(E6389="Domain",COUNTIF($E$2:E6389,"Domain"),"")</f>
        <v/>
      </c>
    </row>
    <row r="6390">
      <c r="A6390" s="2" t="n"/>
      <c r="B6390">
        <f>LOWER(TRIM(A6390))</f>
        <v/>
      </c>
      <c r="C6390">
        <f>IF(B6390="","",IFERROR(INDEX('Bad Patterns'!$A$2:$A$120,MATCH(1,INDEX(--ISNUMBER(SEARCH('Bad Patterns'!$A$2:$A$120,B6390)),0),0)),""))</f>
        <v/>
      </c>
      <c r="D6390">
        <f>IF(B6390="","",IF(C6390&lt;&gt;"","REMOVE","KEEP"))</f>
        <v/>
      </c>
      <c r="E6390">
        <f>IF(D6390&lt;&gt;"KEEP","",IF(RIGHT(B6390,10)="@gmail.com","Gmail",IF(OR(RIGHT(B6390,12)="@outlook.com",RIGHT(B6390,12)="@hotmail.com",RIGHT(B6390,9)="@live.com"),"Outlook","Domain")))</f>
        <v/>
      </c>
      <c r="F6390">
        <f>IF(B6390="","",IFERROR(RIGHT(B6390,LEN(B6390)-FIND("@",B6390)),""))</f>
        <v/>
      </c>
      <c r="G6390">
        <f>IF(D6390="KEEP",COUNTIF($D$2:D6390,"KEEP"),"")</f>
        <v/>
      </c>
      <c r="H6390">
        <f>IF(D6390="REMOVE",COUNTIF($D$2:D6390,"REMOVE"),"")</f>
        <v/>
      </c>
      <c r="I6390">
        <f>IF(E6390="Gmail",COUNTIF($E$2:E6390,"Gmail"),"")</f>
        <v/>
      </c>
      <c r="J6390">
        <f>IF(E6390="Outlook",COUNTIF($E$2:E6390,"Outlook"),"")</f>
        <v/>
      </c>
      <c r="K6390">
        <f>IF(E6390="Domain",COUNTIF($E$2:E6390,"Domain"),"")</f>
        <v/>
      </c>
    </row>
    <row r="6391">
      <c r="A6391" s="2" t="n"/>
      <c r="B6391">
        <f>LOWER(TRIM(A6391))</f>
        <v/>
      </c>
      <c r="C6391">
        <f>IF(B6391="","",IFERROR(INDEX('Bad Patterns'!$A$2:$A$120,MATCH(1,INDEX(--ISNUMBER(SEARCH('Bad Patterns'!$A$2:$A$120,B6391)),0),0)),""))</f>
        <v/>
      </c>
      <c r="D6391">
        <f>IF(B6391="","",IF(C6391&lt;&gt;"","REMOVE","KEEP"))</f>
        <v/>
      </c>
      <c r="E6391">
        <f>IF(D6391&lt;&gt;"KEEP","",IF(RIGHT(B6391,10)="@gmail.com","Gmail",IF(OR(RIGHT(B6391,12)="@outlook.com",RIGHT(B6391,12)="@hotmail.com",RIGHT(B6391,9)="@live.com"),"Outlook","Domain")))</f>
        <v/>
      </c>
      <c r="F6391">
        <f>IF(B6391="","",IFERROR(RIGHT(B6391,LEN(B6391)-FIND("@",B6391)),""))</f>
        <v/>
      </c>
      <c r="G6391">
        <f>IF(D6391="KEEP",COUNTIF($D$2:D6391,"KEEP"),"")</f>
        <v/>
      </c>
      <c r="H6391">
        <f>IF(D6391="REMOVE",COUNTIF($D$2:D6391,"REMOVE"),"")</f>
        <v/>
      </c>
      <c r="I6391">
        <f>IF(E6391="Gmail",COUNTIF($E$2:E6391,"Gmail"),"")</f>
        <v/>
      </c>
      <c r="J6391">
        <f>IF(E6391="Outlook",COUNTIF($E$2:E6391,"Outlook"),"")</f>
        <v/>
      </c>
      <c r="K6391">
        <f>IF(E6391="Domain",COUNTIF($E$2:E6391,"Domain"),"")</f>
        <v/>
      </c>
    </row>
    <row r="6392">
      <c r="A6392" s="2" t="n"/>
      <c r="B6392">
        <f>LOWER(TRIM(A6392))</f>
        <v/>
      </c>
      <c r="C6392">
        <f>IF(B6392="","",IFERROR(INDEX('Bad Patterns'!$A$2:$A$120,MATCH(1,INDEX(--ISNUMBER(SEARCH('Bad Patterns'!$A$2:$A$120,B6392)),0),0)),""))</f>
        <v/>
      </c>
      <c r="D6392">
        <f>IF(B6392="","",IF(C6392&lt;&gt;"","REMOVE","KEEP"))</f>
        <v/>
      </c>
      <c r="E6392">
        <f>IF(D6392&lt;&gt;"KEEP","",IF(RIGHT(B6392,10)="@gmail.com","Gmail",IF(OR(RIGHT(B6392,12)="@outlook.com",RIGHT(B6392,12)="@hotmail.com",RIGHT(B6392,9)="@live.com"),"Outlook","Domain")))</f>
        <v/>
      </c>
      <c r="F6392">
        <f>IF(B6392="","",IFERROR(RIGHT(B6392,LEN(B6392)-FIND("@",B6392)),""))</f>
        <v/>
      </c>
      <c r="G6392">
        <f>IF(D6392="KEEP",COUNTIF($D$2:D6392,"KEEP"),"")</f>
        <v/>
      </c>
      <c r="H6392">
        <f>IF(D6392="REMOVE",COUNTIF($D$2:D6392,"REMOVE"),"")</f>
        <v/>
      </c>
      <c r="I6392">
        <f>IF(E6392="Gmail",COUNTIF($E$2:E6392,"Gmail"),"")</f>
        <v/>
      </c>
      <c r="J6392">
        <f>IF(E6392="Outlook",COUNTIF($E$2:E6392,"Outlook"),"")</f>
        <v/>
      </c>
      <c r="K6392">
        <f>IF(E6392="Domain",COUNTIF($E$2:E6392,"Domain"),"")</f>
        <v/>
      </c>
    </row>
    <row r="6393">
      <c r="A6393" s="2" t="n"/>
      <c r="B6393">
        <f>LOWER(TRIM(A6393))</f>
        <v/>
      </c>
      <c r="C6393">
        <f>IF(B6393="","",IFERROR(INDEX('Bad Patterns'!$A$2:$A$120,MATCH(1,INDEX(--ISNUMBER(SEARCH('Bad Patterns'!$A$2:$A$120,B6393)),0),0)),""))</f>
        <v/>
      </c>
      <c r="D6393">
        <f>IF(B6393="","",IF(C6393&lt;&gt;"","REMOVE","KEEP"))</f>
        <v/>
      </c>
      <c r="E6393">
        <f>IF(D6393&lt;&gt;"KEEP","",IF(RIGHT(B6393,10)="@gmail.com","Gmail",IF(OR(RIGHT(B6393,12)="@outlook.com",RIGHT(B6393,12)="@hotmail.com",RIGHT(B6393,9)="@live.com"),"Outlook","Domain")))</f>
        <v/>
      </c>
      <c r="F6393">
        <f>IF(B6393="","",IFERROR(RIGHT(B6393,LEN(B6393)-FIND("@",B6393)),""))</f>
        <v/>
      </c>
      <c r="G6393">
        <f>IF(D6393="KEEP",COUNTIF($D$2:D6393,"KEEP"),"")</f>
        <v/>
      </c>
      <c r="H6393">
        <f>IF(D6393="REMOVE",COUNTIF($D$2:D6393,"REMOVE"),"")</f>
        <v/>
      </c>
      <c r="I6393">
        <f>IF(E6393="Gmail",COUNTIF($E$2:E6393,"Gmail"),"")</f>
        <v/>
      </c>
      <c r="J6393">
        <f>IF(E6393="Outlook",COUNTIF($E$2:E6393,"Outlook"),"")</f>
        <v/>
      </c>
      <c r="K6393">
        <f>IF(E6393="Domain",COUNTIF($E$2:E6393,"Domain"),"")</f>
        <v/>
      </c>
    </row>
    <row r="6394">
      <c r="A6394" s="2" t="n"/>
      <c r="B6394">
        <f>LOWER(TRIM(A6394))</f>
        <v/>
      </c>
      <c r="C6394">
        <f>IF(B6394="","",IFERROR(INDEX('Bad Patterns'!$A$2:$A$120,MATCH(1,INDEX(--ISNUMBER(SEARCH('Bad Patterns'!$A$2:$A$120,B6394)),0),0)),""))</f>
        <v/>
      </c>
      <c r="D6394">
        <f>IF(B6394="","",IF(C6394&lt;&gt;"","REMOVE","KEEP"))</f>
        <v/>
      </c>
      <c r="E6394">
        <f>IF(D6394&lt;&gt;"KEEP","",IF(RIGHT(B6394,10)="@gmail.com","Gmail",IF(OR(RIGHT(B6394,12)="@outlook.com",RIGHT(B6394,12)="@hotmail.com",RIGHT(B6394,9)="@live.com"),"Outlook","Domain")))</f>
        <v/>
      </c>
      <c r="F6394">
        <f>IF(B6394="","",IFERROR(RIGHT(B6394,LEN(B6394)-FIND("@",B6394)),""))</f>
        <v/>
      </c>
      <c r="G6394">
        <f>IF(D6394="KEEP",COUNTIF($D$2:D6394,"KEEP"),"")</f>
        <v/>
      </c>
      <c r="H6394">
        <f>IF(D6394="REMOVE",COUNTIF($D$2:D6394,"REMOVE"),"")</f>
        <v/>
      </c>
      <c r="I6394">
        <f>IF(E6394="Gmail",COUNTIF($E$2:E6394,"Gmail"),"")</f>
        <v/>
      </c>
      <c r="J6394">
        <f>IF(E6394="Outlook",COUNTIF($E$2:E6394,"Outlook"),"")</f>
        <v/>
      </c>
      <c r="K6394">
        <f>IF(E6394="Domain",COUNTIF($E$2:E6394,"Domain"),"")</f>
        <v/>
      </c>
    </row>
    <row r="6395">
      <c r="A6395" s="2" t="n"/>
      <c r="B6395">
        <f>LOWER(TRIM(A6395))</f>
        <v/>
      </c>
      <c r="C6395">
        <f>IF(B6395="","",IFERROR(INDEX('Bad Patterns'!$A$2:$A$120,MATCH(1,INDEX(--ISNUMBER(SEARCH('Bad Patterns'!$A$2:$A$120,B6395)),0),0)),""))</f>
        <v/>
      </c>
      <c r="D6395">
        <f>IF(B6395="","",IF(C6395&lt;&gt;"","REMOVE","KEEP"))</f>
        <v/>
      </c>
      <c r="E6395">
        <f>IF(D6395&lt;&gt;"KEEP","",IF(RIGHT(B6395,10)="@gmail.com","Gmail",IF(OR(RIGHT(B6395,12)="@outlook.com",RIGHT(B6395,12)="@hotmail.com",RIGHT(B6395,9)="@live.com"),"Outlook","Domain")))</f>
        <v/>
      </c>
      <c r="F6395">
        <f>IF(B6395="","",IFERROR(RIGHT(B6395,LEN(B6395)-FIND("@",B6395)),""))</f>
        <v/>
      </c>
      <c r="G6395">
        <f>IF(D6395="KEEP",COUNTIF($D$2:D6395,"KEEP"),"")</f>
        <v/>
      </c>
      <c r="H6395">
        <f>IF(D6395="REMOVE",COUNTIF($D$2:D6395,"REMOVE"),"")</f>
        <v/>
      </c>
      <c r="I6395">
        <f>IF(E6395="Gmail",COUNTIF($E$2:E6395,"Gmail"),"")</f>
        <v/>
      </c>
      <c r="J6395">
        <f>IF(E6395="Outlook",COUNTIF($E$2:E6395,"Outlook"),"")</f>
        <v/>
      </c>
      <c r="K6395">
        <f>IF(E6395="Domain",COUNTIF($E$2:E6395,"Domain"),"")</f>
        <v/>
      </c>
    </row>
    <row r="6396">
      <c r="A6396" s="2" t="n"/>
      <c r="B6396">
        <f>LOWER(TRIM(A6396))</f>
        <v/>
      </c>
      <c r="C6396">
        <f>IF(B6396="","",IFERROR(INDEX('Bad Patterns'!$A$2:$A$120,MATCH(1,INDEX(--ISNUMBER(SEARCH('Bad Patterns'!$A$2:$A$120,B6396)),0),0)),""))</f>
        <v/>
      </c>
      <c r="D6396">
        <f>IF(B6396="","",IF(C6396&lt;&gt;"","REMOVE","KEEP"))</f>
        <v/>
      </c>
      <c r="E6396">
        <f>IF(D6396&lt;&gt;"KEEP","",IF(RIGHT(B6396,10)="@gmail.com","Gmail",IF(OR(RIGHT(B6396,12)="@outlook.com",RIGHT(B6396,12)="@hotmail.com",RIGHT(B6396,9)="@live.com"),"Outlook","Domain")))</f>
        <v/>
      </c>
      <c r="F6396">
        <f>IF(B6396="","",IFERROR(RIGHT(B6396,LEN(B6396)-FIND("@",B6396)),""))</f>
        <v/>
      </c>
      <c r="G6396">
        <f>IF(D6396="KEEP",COUNTIF($D$2:D6396,"KEEP"),"")</f>
        <v/>
      </c>
      <c r="H6396">
        <f>IF(D6396="REMOVE",COUNTIF($D$2:D6396,"REMOVE"),"")</f>
        <v/>
      </c>
      <c r="I6396">
        <f>IF(E6396="Gmail",COUNTIF($E$2:E6396,"Gmail"),"")</f>
        <v/>
      </c>
      <c r="J6396">
        <f>IF(E6396="Outlook",COUNTIF($E$2:E6396,"Outlook"),"")</f>
        <v/>
      </c>
      <c r="K6396">
        <f>IF(E6396="Domain",COUNTIF($E$2:E6396,"Domain"),"")</f>
        <v/>
      </c>
    </row>
    <row r="6397">
      <c r="A6397" s="2" t="n"/>
      <c r="B6397">
        <f>LOWER(TRIM(A6397))</f>
        <v/>
      </c>
      <c r="C6397">
        <f>IF(B6397="","",IFERROR(INDEX('Bad Patterns'!$A$2:$A$120,MATCH(1,INDEX(--ISNUMBER(SEARCH('Bad Patterns'!$A$2:$A$120,B6397)),0),0)),""))</f>
        <v/>
      </c>
      <c r="D6397">
        <f>IF(B6397="","",IF(C6397&lt;&gt;"","REMOVE","KEEP"))</f>
        <v/>
      </c>
      <c r="E6397">
        <f>IF(D6397&lt;&gt;"KEEP","",IF(RIGHT(B6397,10)="@gmail.com","Gmail",IF(OR(RIGHT(B6397,12)="@outlook.com",RIGHT(B6397,12)="@hotmail.com",RIGHT(B6397,9)="@live.com"),"Outlook","Domain")))</f>
        <v/>
      </c>
      <c r="F6397">
        <f>IF(B6397="","",IFERROR(RIGHT(B6397,LEN(B6397)-FIND("@",B6397)),""))</f>
        <v/>
      </c>
      <c r="G6397">
        <f>IF(D6397="KEEP",COUNTIF($D$2:D6397,"KEEP"),"")</f>
        <v/>
      </c>
      <c r="H6397">
        <f>IF(D6397="REMOVE",COUNTIF($D$2:D6397,"REMOVE"),"")</f>
        <v/>
      </c>
      <c r="I6397">
        <f>IF(E6397="Gmail",COUNTIF($E$2:E6397,"Gmail"),"")</f>
        <v/>
      </c>
      <c r="J6397">
        <f>IF(E6397="Outlook",COUNTIF($E$2:E6397,"Outlook"),"")</f>
        <v/>
      </c>
      <c r="K6397">
        <f>IF(E6397="Domain",COUNTIF($E$2:E6397,"Domain"),"")</f>
        <v/>
      </c>
    </row>
    <row r="6398">
      <c r="A6398" s="2" t="n"/>
      <c r="B6398">
        <f>LOWER(TRIM(A6398))</f>
        <v/>
      </c>
      <c r="C6398">
        <f>IF(B6398="","",IFERROR(INDEX('Bad Patterns'!$A$2:$A$120,MATCH(1,INDEX(--ISNUMBER(SEARCH('Bad Patterns'!$A$2:$A$120,B6398)),0),0)),""))</f>
        <v/>
      </c>
      <c r="D6398">
        <f>IF(B6398="","",IF(C6398&lt;&gt;"","REMOVE","KEEP"))</f>
        <v/>
      </c>
      <c r="E6398">
        <f>IF(D6398&lt;&gt;"KEEP","",IF(RIGHT(B6398,10)="@gmail.com","Gmail",IF(OR(RIGHT(B6398,12)="@outlook.com",RIGHT(B6398,12)="@hotmail.com",RIGHT(B6398,9)="@live.com"),"Outlook","Domain")))</f>
        <v/>
      </c>
      <c r="F6398">
        <f>IF(B6398="","",IFERROR(RIGHT(B6398,LEN(B6398)-FIND("@",B6398)),""))</f>
        <v/>
      </c>
      <c r="G6398">
        <f>IF(D6398="KEEP",COUNTIF($D$2:D6398,"KEEP"),"")</f>
        <v/>
      </c>
      <c r="H6398">
        <f>IF(D6398="REMOVE",COUNTIF($D$2:D6398,"REMOVE"),"")</f>
        <v/>
      </c>
      <c r="I6398">
        <f>IF(E6398="Gmail",COUNTIF($E$2:E6398,"Gmail"),"")</f>
        <v/>
      </c>
      <c r="J6398">
        <f>IF(E6398="Outlook",COUNTIF($E$2:E6398,"Outlook"),"")</f>
        <v/>
      </c>
      <c r="K6398">
        <f>IF(E6398="Domain",COUNTIF($E$2:E6398,"Domain"),"")</f>
        <v/>
      </c>
    </row>
    <row r="6399">
      <c r="A6399" s="2" t="n"/>
      <c r="B6399">
        <f>LOWER(TRIM(A6399))</f>
        <v/>
      </c>
      <c r="C6399">
        <f>IF(B6399="","",IFERROR(INDEX('Bad Patterns'!$A$2:$A$120,MATCH(1,INDEX(--ISNUMBER(SEARCH('Bad Patterns'!$A$2:$A$120,B6399)),0),0)),""))</f>
        <v/>
      </c>
      <c r="D6399">
        <f>IF(B6399="","",IF(C6399&lt;&gt;"","REMOVE","KEEP"))</f>
        <v/>
      </c>
      <c r="E6399">
        <f>IF(D6399&lt;&gt;"KEEP","",IF(RIGHT(B6399,10)="@gmail.com","Gmail",IF(OR(RIGHT(B6399,12)="@outlook.com",RIGHT(B6399,12)="@hotmail.com",RIGHT(B6399,9)="@live.com"),"Outlook","Domain")))</f>
        <v/>
      </c>
      <c r="F6399">
        <f>IF(B6399="","",IFERROR(RIGHT(B6399,LEN(B6399)-FIND("@",B6399)),""))</f>
        <v/>
      </c>
      <c r="G6399">
        <f>IF(D6399="KEEP",COUNTIF($D$2:D6399,"KEEP"),"")</f>
        <v/>
      </c>
      <c r="H6399">
        <f>IF(D6399="REMOVE",COUNTIF($D$2:D6399,"REMOVE"),"")</f>
        <v/>
      </c>
      <c r="I6399">
        <f>IF(E6399="Gmail",COUNTIF($E$2:E6399,"Gmail"),"")</f>
        <v/>
      </c>
      <c r="J6399">
        <f>IF(E6399="Outlook",COUNTIF($E$2:E6399,"Outlook"),"")</f>
        <v/>
      </c>
      <c r="K6399">
        <f>IF(E6399="Domain",COUNTIF($E$2:E6399,"Domain"),"")</f>
        <v/>
      </c>
    </row>
    <row r="6400">
      <c r="A6400" s="2" t="n"/>
      <c r="B6400">
        <f>LOWER(TRIM(A6400))</f>
        <v/>
      </c>
      <c r="C6400">
        <f>IF(B6400="","",IFERROR(INDEX('Bad Patterns'!$A$2:$A$120,MATCH(1,INDEX(--ISNUMBER(SEARCH('Bad Patterns'!$A$2:$A$120,B6400)),0),0)),""))</f>
        <v/>
      </c>
      <c r="D6400">
        <f>IF(B6400="","",IF(C6400&lt;&gt;"","REMOVE","KEEP"))</f>
        <v/>
      </c>
      <c r="E6400">
        <f>IF(D6400&lt;&gt;"KEEP","",IF(RIGHT(B6400,10)="@gmail.com","Gmail",IF(OR(RIGHT(B6400,12)="@outlook.com",RIGHT(B6400,12)="@hotmail.com",RIGHT(B6400,9)="@live.com"),"Outlook","Domain")))</f>
        <v/>
      </c>
      <c r="F6400">
        <f>IF(B6400="","",IFERROR(RIGHT(B6400,LEN(B6400)-FIND("@",B6400)),""))</f>
        <v/>
      </c>
      <c r="G6400">
        <f>IF(D6400="KEEP",COUNTIF($D$2:D6400,"KEEP"),"")</f>
        <v/>
      </c>
      <c r="H6400">
        <f>IF(D6400="REMOVE",COUNTIF($D$2:D6400,"REMOVE"),"")</f>
        <v/>
      </c>
      <c r="I6400">
        <f>IF(E6400="Gmail",COUNTIF($E$2:E6400,"Gmail"),"")</f>
        <v/>
      </c>
      <c r="J6400">
        <f>IF(E6400="Outlook",COUNTIF($E$2:E6400,"Outlook"),"")</f>
        <v/>
      </c>
      <c r="K6400">
        <f>IF(E6400="Domain",COUNTIF($E$2:E6400,"Domain"),"")</f>
        <v/>
      </c>
    </row>
    <row r="6401">
      <c r="A6401" s="2" t="n"/>
      <c r="B6401">
        <f>LOWER(TRIM(A6401))</f>
        <v/>
      </c>
      <c r="C6401">
        <f>IF(B6401="","",IFERROR(INDEX('Bad Patterns'!$A$2:$A$120,MATCH(1,INDEX(--ISNUMBER(SEARCH('Bad Patterns'!$A$2:$A$120,B6401)),0),0)),""))</f>
        <v/>
      </c>
      <c r="D6401">
        <f>IF(B6401="","",IF(C6401&lt;&gt;"","REMOVE","KEEP"))</f>
        <v/>
      </c>
      <c r="E6401">
        <f>IF(D6401&lt;&gt;"KEEP","",IF(RIGHT(B6401,10)="@gmail.com","Gmail",IF(OR(RIGHT(B6401,12)="@outlook.com",RIGHT(B6401,12)="@hotmail.com",RIGHT(B6401,9)="@live.com"),"Outlook","Domain")))</f>
        <v/>
      </c>
      <c r="F6401">
        <f>IF(B6401="","",IFERROR(RIGHT(B6401,LEN(B6401)-FIND("@",B6401)),""))</f>
        <v/>
      </c>
      <c r="G6401">
        <f>IF(D6401="KEEP",COUNTIF($D$2:D6401,"KEEP"),"")</f>
        <v/>
      </c>
      <c r="H6401">
        <f>IF(D6401="REMOVE",COUNTIF($D$2:D6401,"REMOVE"),"")</f>
        <v/>
      </c>
      <c r="I6401">
        <f>IF(E6401="Gmail",COUNTIF($E$2:E6401,"Gmail"),"")</f>
        <v/>
      </c>
      <c r="J6401">
        <f>IF(E6401="Outlook",COUNTIF($E$2:E6401,"Outlook"),"")</f>
        <v/>
      </c>
      <c r="K6401">
        <f>IF(E6401="Domain",COUNTIF($E$2:E6401,"Domain"),"")</f>
        <v/>
      </c>
    </row>
    <row r="6402">
      <c r="A6402" s="2" t="n"/>
      <c r="B6402">
        <f>LOWER(TRIM(A6402))</f>
        <v/>
      </c>
      <c r="C6402">
        <f>IF(B6402="","",IFERROR(INDEX('Bad Patterns'!$A$2:$A$120,MATCH(1,INDEX(--ISNUMBER(SEARCH('Bad Patterns'!$A$2:$A$120,B6402)),0),0)),""))</f>
        <v/>
      </c>
      <c r="D6402">
        <f>IF(B6402="","",IF(C6402&lt;&gt;"","REMOVE","KEEP"))</f>
        <v/>
      </c>
      <c r="E6402">
        <f>IF(D6402&lt;&gt;"KEEP","",IF(RIGHT(B6402,10)="@gmail.com","Gmail",IF(OR(RIGHT(B6402,12)="@outlook.com",RIGHT(B6402,12)="@hotmail.com",RIGHT(B6402,9)="@live.com"),"Outlook","Domain")))</f>
        <v/>
      </c>
      <c r="F6402">
        <f>IF(B6402="","",IFERROR(RIGHT(B6402,LEN(B6402)-FIND("@",B6402)),""))</f>
        <v/>
      </c>
      <c r="G6402">
        <f>IF(D6402="KEEP",COUNTIF($D$2:D6402,"KEEP"),"")</f>
        <v/>
      </c>
      <c r="H6402">
        <f>IF(D6402="REMOVE",COUNTIF($D$2:D6402,"REMOVE"),"")</f>
        <v/>
      </c>
      <c r="I6402">
        <f>IF(E6402="Gmail",COUNTIF($E$2:E6402,"Gmail"),"")</f>
        <v/>
      </c>
      <c r="J6402">
        <f>IF(E6402="Outlook",COUNTIF($E$2:E6402,"Outlook"),"")</f>
        <v/>
      </c>
      <c r="K6402">
        <f>IF(E6402="Domain",COUNTIF($E$2:E6402,"Domain"),"")</f>
        <v/>
      </c>
    </row>
    <row r="6403">
      <c r="A6403" s="2" t="n"/>
      <c r="B6403">
        <f>LOWER(TRIM(A6403))</f>
        <v/>
      </c>
      <c r="C6403">
        <f>IF(B6403="","",IFERROR(INDEX('Bad Patterns'!$A$2:$A$120,MATCH(1,INDEX(--ISNUMBER(SEARCH('Bad Patterns'!$A$2:$A$120,B6403)),0),0)),""))</f>
        <v/>
      </c>
      <c r="D6403">
        <f>IF(B6403="","",IF(C6403&lt;&gt;"","REMOVE","KEEP"))</f>
        <v/>
      </c>
      <c r="E6403">
        <f>IF(D6403&lt;&gt;"KEEP","",IF(RIGHT(B6403,10)="@gmail.com","Gmail",IF(OR(RIGHT(B6403,12)="@outlook.com",RIGHT(B6403,12)="@hotmail.com",RIGHT(B6403,9)="@live.com"),"Outlook","Domain")))</f>
        <v/>
      </c>
      <c r="F6403">
        <f>IF(B6403="","",IFERROR(RIGHT(B6403,LEN(B6403)-FIND("@",B6403)),""))</f>
        <v/>
      </c>
      <c r="G6403">
        <f>IF(D6403="KEEP",COUNTIF($D$2:D6403,"KEEP"),"")</f>
        <v/>
      </c>
      <c r="H6403">
        <f>IF(D6403="REMOVE",COUNTIF($D$2:D6403,"REMOVE"),"")</f>
        <v/>
      </c>
      <c r="I6403">
        <f>IF(E6403="Gmail",COUNTIF($E$2:E6403,"Gmail"),"")</f>
        <v/>
      </c>
      <c r="J6403">
        <f>IF(E6403="Outlook",COUNTIF($E$2:E6403,"Outlook"),"")</f>
        <v/>
      </c>
      <c r="K6403">
        <f>IF(E6403="Domain",COUNTIF($E$2:E6403,"Domain"),"")</f>
        <v/>
      </c>
    </row>
    <row r="6404">
      <c r="A6404" s="2" t="n"/>
      <c r="B6404">
        <f>LOWER(TRIM(A6404))</f>
        <v/>
      </c>
      <c r="C6404">
        <f>IF(B6404="","",IFERROR(INDEX('Bad Patterns'!$A$2:$A$120,MATCH(1,INDEX(--ISNUMBER(SEARCH('Bad Patterns'!$A$2:$A$120,B6404)),0),0)),""))</f>
        <v/>
      </c>
      <c r="D6404">
        <f>IF(B6404="","",IF(C6404&lt;&gt;"","REMOVE","KEEP"))</f>
        <v/>
      </c>
      <c r="E6404">
        <f>IF(D6404&lt;&gt;"KEEP","",IF(RIGHT(B6404,10)="@gmail.com","Gmail",IF(OR(RIGHT(B6404,12)="@outlook.com",RIGHT(B6404,12)="@hotmail.com",RIGHT(B6404,9)="@live.com"),"Outlook","Domain")))</f>
        <v/>
      </c>
      <c r="F6404">
        <f>IF(B6404="","",IFERROR(RIGHT(B6404,LEN(B6404)-FIND("@",B6404)),""))</f>
        <v/>
      </c>
      <c r="G6404">
        <f>IF(D6404="KEEP",COUNTIF($D$2:D6404,"KEEP"),"")</f>
        <v/>
      </c>
      <c r="H6404">
        <f>IF(D6404="REMOVE",COUNTIF($D$2:D6404,"REMOVE"),"")</f>
        <v/>
      </c>
      <c r="I6404">
        <f>IF(E6404="Gmail",COUNTIF($E$2:E6404,"Gmail"),"")</f>
        <v/>
      </c>
      <c r="J6404">
        <f>IF(E6404="Outlook",COUNTIF($E$2:E6404,"Outlook"),"")</f>
        <v/>
      </c>
      <c r="K6404">
        <f>IF(E6404="Domain",COUNTIF($E$2:E6404,"Domain"),"")</f>
        <v/>
      </c>
    </row>
    <row r="6405">
      <c r="A6405" s="2" t="n"/>
      <c r="B6405">
        <f>LOWER(TRIM(A6405))</f>
        <v/>
      </c>
      <c r="C6405">
        <f>IF(B6405="","",IFERROR(INDEX('Bad Patterns'!$A$2:$A$120,MATCH(1,INDEX(--ISNUMBER(SEARCH('Bad Patterns'!$A$2:$A$120,B6405)),0),0)),""))</f>
        <v/>
      </c>
      <c r="D6405">
        <f>IF(B6405="","",IF(C6405&lt;&gt;"","REMOVE","KEEP"))</f>
        <v/>
      </c>
      <c r="E6405">
        <f>IF(D6405&lt;&gt;"KEEP","",IF(RIGHT(B6405,10)="@gmail.com","Gmail",IF(OR(RIGHT(B6405,12)="@outlook.com",RIGHT(B6405,12)="@hotmail.com",RIGHT(B6405,9)="@live.com"),"Outlook","Domain")))</f>
        <v/>
      </c>
      <c r="F6405">
        <f>IF(B6405="","",IFERROR(RIGHT(B6405,LEN(B6405)-FIND("@",B6405)),""))</f>
        <v/>
      </c>
      <c r="G6405">
        <f>IF(D6405="KEEP",COUNTIF($D$2:D6405,"KEEP"),"")</f>
        <v/>
      </c>
      <c r="H6405">
        <f>IF(D6405="REMOVE",COUNTIF($D$2:D6405,"REMOVE"),"")</f>
        <v/>
      </c>
      <c r="I6405">
        <f>IF(E6405="Gmail",COUNTIF($E$2:E6405,"Gmail"),"")</f>
        <v/>
      </c>
      <c r="J6405">
        <f>IF(E6405="Outlook",COUNTIF($E$2:E6405,"Outlook"),"")</f>
        <v/>
      </c>
      <c r="K6405">
        <f>IF(E6405="Domain",COUNTIF($E$2:E6405,"Domain"),"")</f>
        <v/>
      </c>
    </row>
    <row r="6406">
      <c r="A6406" s="2" t="n"/>
      <c r="B6406">
        <f>LOWER(TRIM(A6406))</f>
        <v/>
      </c>
      <c r="C6406">
        <f>IF(B6406="","",IFERROR(INDEX('Bad Patterns'!$A$2:$A$120,MATCH(1,INDEX(--ISNUMBER(SEARCH('Bad Patterns'!$A$2:$A$120,B6406)),0),0)),""))</f>
        <v/>
      </c>
      <c r="D6406">
        <f>IF(B6406="","",IF(C6406&lt;&gt;"","REMOVE","KEEP"))</f>
        <v/>
      </c>
      <c r="E6406">
        <f>IF(D6406&lt;&gt;"KEEP","",IF(RIGHT(B6406,10)="@gmail.com","Gmail",IF(OR(RIGHT(B6406,12)="@outlook.com",RIGHT(B6406,12)="@hotmail.com",RIGHT(B6406,9)="@live.com"),"Outlook","Domain")))</f>
        <v/>
      </c>
      <c r="F6406">
        <f>IF(B6406="","",IFERROR(RIGHT(B6406,LEN(B6406)-FIND("@",B6406)),""))</f>
        <v/>
      </c>
      <c r="G6406">
        <f>IF(D6406="KEEP",COUNTIF($D$2:D6406,"KEEP"),"")</f>
        <v/>
      </c>
      <c r="H6406">
        <f>IF(D6406="REMOVE",COUNTIF($D$2:D6406,"REMOVE"),"")</f>
        <v/>
      </c>
      <c r="I6406">
        <f>IF(E6406="Gmail",COUNTIF($E$2:E6406,"Gmail"),"")</f>
        <v/>
      </c>
      <c r="J6406">
        <f>IF(E6406="Outlook",COUNTIF($E$2:E6406,"Outlook"),"")</f>
        <v/>
      </c>
      <c r="K6406">
        <f>IF(E6406="Domain",COUNTIF($E$2:E6406,"Domain"),"")</f>
        <v/>
      </c>
    </row>
    <row r="6407">
      <c r="A6407" s="2" t="n"/>
      <c r="B6407">
        <f>LOWER(TRIM(A6407))</f>
        <v/>
      </c>
      <c r="C6407">
        <f>IF(B6407="","",IFERROR(INDEX('Bad Patterns'!$A$2:$A$120,MATCH(1,INDEX(--ISNUMBER(SEARCH('Bad Patterns'!$A$2:$A$120,B6407)),0),0)),""))</f>
        <v/>
      </c>
      <c r="D6407">
        <f>IF(B6407="","",IF(C6407&lt;&gt;"","REMOVE","KEEP"))</f>
        <v/>
      </c>
      <c r="E6407">
        <f>IF(D6407&lt;&gt;"KEEP","",IF(RIGHT(B6407,10)="@gmail.com","Gmail",IF(OR(RIGHT(B6407,12)="@outlook.com",RIGHT(B6407,12)="@hotmail.com",RIGHT(B6407,9)="@live.com"),"Outlook","Domain")))</f>
        <v/>
      </c>
      <c r="F6407">
        <f>IF(B6407="","",IFERROR(RIGHT(B6407,LEN(B6407)-FIND("@",B6407)),""))</f>
        <v/>
      </c>
      <c r="G6407">
        <f>IF(D6407="KEEP",COUNTIF($D$2:D6407,"KEEP"),"")</f>
        <v/>
      </c>
      <c r="H6407">
        <f>IF(D6407="REMOVE",COUNTIF($D$2:D6407,"REMOVE"),"")</f>
        <v/>
      </c>
      <c r="I6407">
        <f>IF(E6407="Gmail",COUNTIF($E$2:E6407,"Gmail"),"")</f>
        <v/>
      </c>
      <c r="J6407">
        <f>IF(E6407="Outlook",COUNTIF($E$2:E6407,"Outlook"),"")</f>
        <v/>
      </c>
      <c r="K6407">
        <f>IF(E6407="Domain",COUNTIF($E$2:E6407,"Domain"),"")</f>
        <v/>
      </c>
    </row>
    <row r="6408">
      <c r="A6408" s="2" t="n"/>
      <c r="B6408">
        <f>LOWER(TRIM(A6408))</f>
        <v/>
      </c>
      <c r="C6408">
        <f>IF(B6408="","",IFERROR(INDEX('Bad Patterns'!$A$2:$A$120,MATCH(1,INDEX(--ISNUMBER(SEARCH('Bad Patterns'!$A$2:$A$120,B6408)),0),0)),""))</f>
        <v/>
      </c>
      <c r="D6408">
        <f>IF(B6408="","",IF(C6408&lt;&gt;"","REMOVE","KEEP"))</f>
        <v/>
      </c>
      <c r="E6408">
        <f>IF(D6408&lt;&gt;"KEEP","",IF(RIGHT(B6408,10)="@gmail.com","Gmail",IF(OR(RIGHT(B6408,12)="@outlook.com",RIGHT(B6408,12)="@hotmail.com",RIGHT(B6408,9)="@live.com"),"Outlook","Domain")))</f>
        <v/>
      </c>
      <c r="F6408">
        <f>IF(B6408="","",IFERROR(RIGHT(B6408,LEN(B6408)-FIND("@",B6408)),""))</f>
        <v/>
      </c>
      <c r="G6408">
        <f>IF(D6408="KEEP",COUNTIF($D$2:D6408,"KEEP"),"")</f>
        <v/>
      </c>
      <c r="H6408">
        <f>IF(D6408="REMOVE",COUNTIF($D$2:D6408,"REMOVE"),"")</f>
        <v/>
      </c>
      <c r="I6408">
        <f>IF(E6408="Gmail",COUNTIF($E$2:E6408,"Gmail"),"")</f>
        <v/>
      </c>
      <c r="J6408">
        <f>IF(E6408="Outlook",COUNTIF($E$2:E6408,"Outlook"),"")</f>
        <v/>
      </c>
      <c r="K6408">
        <f>IF(E6408="Domain",COUNTIF($E$2:E6408,"Domain"),"")</f>
        <v/>
      </c>
    </row>
    <row r="6409">
      <c r="A6409" s="2" t="n"/>
      <c r="B6409">
        <f>LOWER(TRIM(A6409))</f>
        <v/>
      </c>
      <c r="C6409">
        <f>IF(B6409="","",IFERROR(INDEX('Bad Patterns'!$A$2:$A$120,MATCH(1,INDEX(--ISNUMBER(SEARCH('Bad Patterns'!$A$2:$A$120,B6409)),0),0)),""))</f>
        <v/>
      </c>
      <c r="D6409">
        <f>IF(B6409="","",IF(C6409&lt;&gt;"","REMOVE","KEEP"))</f>
        <v/>
      </c>
      <c r="E6409">
        <f>IF(D6409&lt;&gt;"KEEP","",IF(RIGHT(B6409,10)="@gmail.com","Gmail",IF(OR(RIGHT(B6409,12)="@outlook.com",RIGHT(B6409,12)="@hotmail.com",RIGHT(B6409,9)="@live.com"),"Outlook","Domain")))</f>
        <v/>
      </c>
      <c r="F6409">
        <f>IF(B6409="","",IFERROR(RIGHT(B6409,LEN(B6409)-FIND("@",B6409)),""))</f>
        <v/>
      </c>
      <c r="G6409">
        <f>IF(D6409="KEEP",COUNTIF($D$2:D6409,"KEEP"),"")</f>
        <v/>
      </c>
      <c r="H6409">
        <f>IF(D6409="REMOVE",COUNTIF($D$2:D6409,"REMOVE"),"")</f>
        <v/>
      </c>
      <c r="I6409">
        <f>IF(E6409="Gmail",COUNTIF($E$2:E6409,"Gmail"),"")</f>
        <v/>
      </c>
      <c r="J6409">
        <f>IF(E6409="Outlook",COUNTIF($E$2:E6409,"Outlook"),"")</f>
        <v/>
      </c>
      <c r="K6409">
        <f>IF(E6409="Domain",COUNTIF($E$2:E6409,"Domain"),"")</f>
        <v/>
      </c>
    </row>
    <row r="6410">
      <c r="A6410" s="2" t="n"/>
      <c r="B6410">
        <f>LOWER(TRIM(A6410))</f>
        <v/>
      </c>
      <c r="C6410">
        <f>IF(B6410="","",IFERROR(INDEX('Bad Patterns'!$A$2:$A$120,MATCH(1,INDEX(--ISNUMBER(SEARCH('Bad Patterns'!$A$2:$A$120,B6410)),0),0)),""))</f>
        <v/>
      </c>
      <c r="D6410">
        <f>IF(B6410="","",IF(C6410&lt;&gt;"","REMOVE","KEEP"))</f>
        <v/>
      </c>
      <c r="E6410">
        <f>IF(D6410&lt;&gt;"KEEP","",IF(RIGHT(B6410,10)="@gmail.com","Gmail",IF(OR(RIGHT(B6410,12)="@outlook.com",RIGHT(B6410,12)="@hotmail.com",RIGHT(B6410,9)="@live.com"),"Outlook","Domain")))</f>
        <v/>
      </c>
      <c r="F6410">
        <f>IF(B6410="","",IFERROR(RIGHT(B6410,LEN(B6410)-FIND("@",B6410)),""))</f>
        <v/>
      </c>
      <c r="G6410">
        <f>IF(D6410="KEEP",COUNTIF($D$2:D6410,"KEEP"),"")</f>
        <v/>
      </c>
      <c r="H6410">
        <f>IF(D6410="REMOVE",COUNTIF($D$2:D6410,"REMOVE"),"")</f>
        <v/>
      </c>
      <c r="I6410">
        <f>IF(E6410="Gmail",COUNTIF($E$2:E6410,"Gmail"),"")</f>
        <v/>
      </c>
      <c r="J6410">
        <f>IF(E6410="Outlook",COUNTIF($E$2:E6410,"Outlook"),"")</f>
        <v/>
      </c>
      <c r="K6410">
        <f>IF(E6410="Domain",COUNTIF($E$2:E6410,"Domain"),"")</f>
        <v/>
      </c>
    </row>
    <row r="6411">
      <c r="A6411" s="2" t="n"/>
      <c r="B6411">
        <f>LOWER(TRIM(A6411))</f>
        <v/>
      </c>
      <c r="C6411">
        <f>IF(B6411="","",IFERROR(INDEX('Bad Patterns'!$A$2:$A$120,MATCH(1,INDEX(--ISNUMBER(SEARCH('Bad Patterns'!$A$2:$A$120,B6411)),0),0)),""))</f>
        <v/>
      </c>
      <c r="D6411">
        <f>IF(B6411="","",IF(C6411&lt;&gt;"","REMOVE","KEEP"))</f>
        <v/>
      </c>
      <c r="E6411">
        <f>IF(D6411&lt;&gt;"KEEP","",IF(RIGHT(B6411,10)="@gmail.com","Gmail",IF(OR(RIGHT(B6411,12)="@outlook.com",RIGHT(B6411,12)="@hotmail.com",RIGHT(B6411,9)="@live.com"),"Outlook","Domain")))</f>
        <v/>
      </c>
      <c r="F6411">
        <f>IF(B6411="","",IFERROR(RIGHT(B6411,LEN(B6411)-FIND("@",B6411)),""))</f>
        <v/>
      </c>
      <c r="G6411">
        <f>IF(D6411="KEEP",COUNTIF($D$2:D6411,"KEEP"),"")</f>
        <v/>
      </c>
      <c r="H6411">
        <f>IF(D6411="REMOVE",COUNTIF($D$2:D6411,"REMOVE"),"")</f>
        <v/>
      </c>
      <c r="I6411">
        <f>IF(E6411="Gmail",COUNTIF($E$2:E6411,"Gmail"),"")</f>
        <v/>
      </c>
      <c r="J6411">
        <f>IF(E6411="Outlook",COUNTIF($E$2:E6411,"Outlook"),"")</f>
        <v/>
      </c>
      <c r="K6411">
        <f>IF(E6411="Domain",COUNTIF($E$2:E6411,"Domain"),"")</f>
        <v/>
      </c>
    </row>
    <row r="6412">
      <c r="A6412" s="2" t="n"/>
      <c r="B6412">
        <f>LOWER(TRIM(A6412))</f>
        <v/>
      </c>
      <c r="C6412">
        <f>IF(B6412="","",IFERROR(INDEX('Bad Patterns'!$A$2:$A$120,MATCH(1,INDEX(--ISNUMBER(SEARCH('Bad Patterns'!$A$2:$A$120,B6412)),0),0)),""))</f>
        <v/>
      </c>
      <c r="D6412">
        <f>IF(B6412="","",IF(C6412&lt;&gt;"","REMOVE","KEEP"))</f>
        <v/>
      </c>
      <c r="E6412">
        <f>IF(D6412&lt;&gt;"KEEP","",IF(RIGHT(B6412,10)="@gmail.com","Gmail",IF(OR(RIGHT(B6412,12)="@outlook.com",RIGHT(B6412,12)="@hotmail.com",RIGHT(B6412,9)="@live.com"),"Outlook","Domain")))</f>
        <v/>
      </c>
      <c r="F6412">
        <f>IF(B6412="","",IFERROR(RIGHT(B6412,LEN(B6412)-FIND("@",B6412)),""))</f>
        <v/>
      </c>
      <c r="G6412">
        <f>IF(D6412="KEEP",COUNTIF($D$2:D6412,"KEEP"),"")</f>
        <v/>
      </c>
      <c r="H6412">
        <f>IF(D6412="REMOVE",COUNTIF($D$2:D6412,"REMOVE"),"")</f>
        <v/>
      </c>
      <c r="I6412">
        <f>IF(E6412="Gmail",COUNTIF($E$2:E6412,"Gmail"),"")</f>
        <v/>
      </c>
      <c r="J6412">
        <f>IF(E6412="Outlook",COUNTIF($E$2:E6412,"Outlook"),"")</f>
        <v/>
      </c>
      <c r="K6412">
        <f>IF(E6412="Domain",COUNTIF($E$2:E6412,"Domain"),"")</f>
        <v/>
      </c>
    </row>
    <row r="6413">
      <c r="A6413" s="2" t="n"/>
      <c r="B6413">
        <f>LOWER(TRIM(A6413))</f>
        <v/>
      </c>
      <c r="C6413">
        <f>IF(B6413="","",IFERROR(INDEX('Bad Patterns'!$A$2:$A$120,MATCH(1,INDEX(--ISNUMBER(SEARCH('Bad Patterns'!$A$2:$A$120,B6413)),0),0)),""))</f>
        <v/>
      </c>
      <c r="D6413">
        <f>IF(B6413="","",IF(C6413&lt;&gt;"","REMOVE","KEEP"))</f>
        <v/>
      </c>
      <c r="E6413">
        <f>IF(D6413&lt;&gt;"KEEP","",IF(RIGHT(B6413,10)="@gmail.com","Gmail",IF(OR(RIGHT(B6413,12)="@outlook.com",RIGHT(B6413,12)="@hotmail.com",RIGHT(B6413,9)="@live.com"),"Outlook","Domain")))</f>
        <v/>
      </c>
      <c r="F6413">
        <f>IF(B6413="","",IFERROR(RIGHT(B6413,LEN(B6413)-FIND("@",B6413)),""))</f>
        <v/>
      </c>
      <c r="G6413">
        <f>IF(D6413="KEEP",COUNTIF($D$2:D6413,"KEEP"),"")</f>
        <v/>
      </c>
      <c r="H6413">
        <f>IF(D6413="REMOVE",COUNTIF($D$2:D6413,"REMOVE"),"")</f>
        <v/>
      </c>
      <c r="I6413">
        <f>IF(E6413="Gmail",COUNTIF($E$2:E6413,"Gmail"),"")</f>
        <v/>
      </c>
      <c r="J6413">
        <f>IF(E6413="Outlook",COUNTIF($E$2:E6413,"Outlook"),"")</f>
        <v/>
      </c>
      <c r="K6413">
        <f>IF(E6413="Domain",COUNTIF($E$2:E6413,"Domain"),"")</f>
        <v/>
      </c>
    </row>
    <row r="6414">
      <c r="A6414" s="2" t="n"/>
      <c r="B6414">
        <f>LOWER(TRIM(A6414))</f>
        <v/>
      </c>
      <c r="C6414">
        <f>IF(B6414="","",IFERROR(INDEX('Bad Patterns'!$A$2:$A$120,MATCH(1,INDEX(--ISNUMBER(SEARCH('Bad Patterns'!$A$2:$A$120,B6414)),0),0)),""))</f>
        <v/>
      </c>
      <c r="D6414">
        <f>IF(B6414="","",IF(C6414&lt;&gt;"","REMOVE","KEEP"))</f>
        <v/>
      </c>
      <c r="E6414">
        <f>IF(D6414&lt;&gt;"KEEP","",IF(RIGHT(B6414,10)="@gmail.com","Gmail",IF(OR(RIGHT(B6414,12)="@outlook.com",RIGHT(B6414,12)="@hotmail.com",RIGHT(B6414,9)="@live.com"),"Outlook","Domain")))</f>
        <v/>
      </c>
      <c r="F6414">
        <f>IF(B6414="","",IFERROR(RIGHT(B6414,LEN(B6414)-FIND("@",B6414)),""))</f>
        <v/>
      </c>
      <c r="G6414">
        <f>IF(D6414="KEEP",COUNTIF($D$2:D6414,"KEEP"),"")</f>
        <v/>
      </c>
      <c r="H6414">
        <f>IF(D6414="REMOVE",COUNTIF($D$2:D6414,"REMOVE"),"")</f>
        <v/>
      </c>
      <c r="I6414">
        <f>IF(E6414="Gmail",COUNTIF($E$2:E6414,"Gmail"),"")</f>
        <v/>
      </c>
      <c r="J6414">
        <f>IF(E6414="Outlook",COUNTIF($E$2:E6414,"Outlook"),"")</f>
        <v/>
      </c>
      <c r="K6414">
        <f>IF(E6414="Domain",COUNTIF($E$2:E6414,"Domain"),"")</f>
        <v/>
      </c>
    </row>
    <row r="6415">
      <c r="A6415" s="2" t="n"/>
      <c r="B6415">
        <f>LOWER(TRIM(A6415))</f>
        <v/>
      </c>
      <c r="C6415">
        <f>IF(B6415="","",IFERROR(INDEX('Bad Patterns'!$A$2:$A$120,MATCH(1,INDEX(--ISNUMBER(SEARCH('Bad Patterns'!$A$2:$A$120,B6415)),0),0)),""))</f>
        <v/>
      </c>
      <c r="D6415">
        <f>IF(B6415="","",IF(C6415&lt;&gt;"","REMOVE","KEEP"))</f>
        <v/>
      </c>
      <c r="E6415">
        <f>IF(D6415&lt;&gt;"KEEP","",IF(RIGHT(B6415,10)="@gmail.com","Gmail",IF(OR(RIGHT(B6415,12)="@outlook.com",RIGHT(B6415,12)="@hotmail.com",RIGHT(B6415,9)="@live.com"),"Outlook","Domain")))</f>
        <v/>
      </c>
      <c r="F6415">
        <f>IF(B6415="","",IFERROR(RIGHT(B6415,LEN(B6415)-FIND("@",B6415)),""))</f>
        <v/>
      </c>
      <c r="G6415">
        <f>IF(D6415="KEEP",COUNTIF($D$2:D6415,"KEEP"),"")</f>
        <v/>
      </c>
      <c r="H6415">
        <f>IF(D6415="REMOVE",COUNTIF($D$2:D6415,"REMOVE"),"")</f>
        <v/>
      </c>
      <c r="I6415">
        <f>IF(E6415="Gmail",COUNTIF($E$2:E6415,"Gmail"),"")</f>
        <v/>
      </c>
      <c r="J6415">
        <f>IF(E6415="Outlook",COUNTIF($E$2:E6415,"Outlook"),"")</f>
        <v/>
      </c>
      <c r="K6415">
        <f>IF(E6415="Domain",COUNTIF($E$2:E6415,"Domain"),"")</f>
        <v/>
      </c>
    </row>
    <row r="6416">
      <c r="A6416" s="2" t="n"/>
      <c r="B6416">
        <f>LOWER(TRIM(A6416))</f>
        <v/>
      </c>
      <c r="C6416">
        <f>IF(B6416="","",IFERROR(INDEX('Bad Patterns'!$A$2:$A$120,MATCH(1,INDEX(--ISNUMBER(SEARCH('Bad Patterns'!$A$2:$A$120,B6416)),0),0)),""))</f>
        <v/>
      </c>
      <c r="D6416">
        <f>IF(B6416="","",IF(C6416&lt;&gt;"","REMOVE","KEEP"))</f>
        <v/>
      </c>
      <c r="E6416">
        <f>IF(D6416&lt;&gt;"KEEP","",IF(RIGHT(B6416,10)="@gmail.com","Gmail",IF(OR(RIGHT(B6416,12)="@outlook.com",RIGHT(B6416,12)="@hotmail.com",RIGHT(B6416,9)="@live.com"),"Outlook","Domain")))</f>
        <v/>
      </c>
      <c r="F6416">
        <f>IF(B6416="","",IFERROR(RIGHT(B6416,LEN(B6416)-FIND("@",B6416)),""))</f>
        <v/>
      </c>
      <c r="G6416">
        <f>IF(D6416="KEEP",COUNTIF($D$2:D6416,"KEEP"),"")</f>
        <v/>
      </c>
      <c r="H6416">
        <f>IF(D6416="REMOVE",COUNTIF($D$2:D6416,"REMOVE"),"")</f>
        <v/>
      </c>
      <c r="I6416">
        <f>IF(E6416="Gmail",COUNTIF($E$2:E6416,"Gmail"),"")</f>
        <v/>
      </c>
      <c r="J6416">
        <f>IF(E6416="Outlook",COUNTIF($E$2:E6416,"Outlook"),"")</f>
        <v/>
      </c>
      <c r="K6416">
        <f>IF(E6416="Domain",COUNTIF($E$2:E6416,"Domain"),"")</f>
        <v/>
      </c>
    </row>
    <row r="6417">
      <c r="A6417" s="2" t="n"/>
      <c r="B6417">
        <f>LOWER(TRIM(A6417))</f>
        <v/>
      </c>
      <c r="C6417">
        <f>IF(B6417="","",IFERROR(INDEX('Bad Patterns'!$A$2:$A$120,MATCH(1,INDEX(--ISNUMBER(SEARCH('Bad Patterns'!$A$2:$A$120,B6417)),0),0)),""))</f>
        <v/>
      </c>
      <c r="D6417">
        <f>IF(B6417="","",IF(C6417&lt;&gt;"","REMOVE","KEEP"))</f>
        <v/>
      </c>
      <c r="E6417">
        <f>IF(D6417&lt;&gt;"KEEP","",IF(RIGHT(B6417,10)="@gmail.com","Gmail",IF(OR(RIGHT(B6417,12)="@outlook.com",RIGHT(B6417,12)="@hotmail.com",RIGHT(B6417,9)="@live.com"),"Outlook","Domain")))</f>
        <v/>
      </c>
      <c r="F6417">
        <f>IF(B6417="","",IFERROR(RIGHT(B6417,LEN(B6417)-FIND("@",B6417)),""))</f>
        <v/>
      </c>
      <c r="G6417">
        <f>IF(D6417="KEEP",COUNTIF($D$2:D6417,"KEEP"),"")</f>
        <v/>
      </c>
      <c r="H6417">
        <f>IF(D6417="REMOVE",COUNTIF($D$2:D6417,"REMOVE"),"")</f>
        <v/>
      </c>
      <c r="I6417">
        <f>IF(E6417="Gmail",COUNTIF($E$2:E6417,"Gmail"),"")</f>
        <v/>
      </c>
      <c r="J6417">
        <f>IF(E6417="Outlook",COUNTIF($E$2:E6417,"Outlook"),"")</f>
        <v/>
      </c>
      <c r="K6417">
        <f>IF(E6417="Domain",COUNTIF($E$2:E6417,"Domain"),"")</f>
        <v/>
      </c>
    </row>
    <row r="6418">
      <c r="A6418" s="2" t="n"/>
      <c r="B6418">
        <f>LOWER(TRIM(A6418))</f>
        <v/>
      </c>
      <c r="C6418">
        <f>IF(B6418="","",IFERROR(INDEX('Bad Patterns'!$A$2:$A$120,MATCH(1,INDEX(--ISNUMBER(SEARCH('Bad Patterns'!$A$2:$A$120,B6418)),0),0)),""))</f>
        <v/>
      </c>
      <c r="D6418">
        <f>IF(B6418="","",IF(C6418&lt;&gt;"","REMOVE","KEEP"))</f>
        <v/>
      </c>
      <c r="E6418">
        <f>IF(D6418&lt;&gt;"KEEP","",IF(RIGHT(B6418,10)="@gmail.com","Gmail",IF(OR(RIGHT(B6418,12)="@outlook.com",RIGHT(B6418,12)="@hotmail.com",RIGHT(B6418,9)="@live.com"),"Outlook","Domain")))</f>
        <v/>
      </c>
      <c r="F6418">
        <f>IF(B6418="","",IFERROR(RIGHT(B6418,LEN(B6418)-FIND("@",B6418)),""))</f>
        <v/>
      </c>
      <c r="G6418">
        <f>IF(D6418="KEEP",COUNTIF($D$2:D6418,"KEEP"),"")</f>
        <v/>
      </c>
      <c r="H6418">
        <f>IF(D6418="REMOVE",COUNTIF($D$2:D6418,"REMOVE"),"")</f>
        <v/>
      </c>
      <c r="I6418">
        <f>IF(E6418="Gmail",COUNTIF($E$2:E6418,"Gmail"),"")</f>
        <v/>
      </c>
      <c r="J6418">
        <f>IF(E6418="Outlook",COUNTIF($E$2:E6418,"Outlook"),"")</f>
        <v/>
      </c>
      <c r="K6418">
        <f>IF(E6418="Domain",COUNTIF($E$2:E6418,"Domain"),"")</f>
        <v/>
      </c>
    </row>
    <row r="6419">
      <c r="A6419" s="2" t="n"/>
      <c r="B6419">
        <f>LOWER(TRIM(A6419))</f>
        <v/>
      </c>
      <c r="C6419">
        <f>IF(B6419="","",IFERROR(INDEX('Bad Patterns'!$A$2:$A$120,MATCH(1,INDEX(--ISNUMBER(SEARCH('Bad Patterns'!$A$2:$A$120,B6419)),0),0)),""))</f>
        <v/>
      </c>
      <c r="D6419">
        <f>IF(B6419="","",IF(C6419&lt;&gt;"","REMOVE","KEEP"))</f>
        <v/>
      </c>
      <c r="E6419">
        <f>IF(D6419&lt;&gt;"KEEP","",IF(RIGHT(B6419,10)="@gmail.com","Gmail",IF(OR(RIGHT(B6419,12)="@outlook.com",RIGHT(B6419,12)="@hotmail.com",RIGHT(B6419,9)="@live.com"),"Outlook","Domain")))</f>
        <v/>
      </c>
      <c r="F6419">
        <f>IF(B6419="","",IFERROR(RIGHT(B6419,LEN(B6419)-FIND("@",B6419)),""))</f>
        <v/>
      </c>
      <c r="G6419">
        <f>IF(D6419="KEEP",COUNTIF($D$2:D6419,"KEEP"),"")</f>
        <v/>
      </c>
      <c r="H6419">
        <f>IF(D6419="REMOVE",COUNTIF($D$2:D6419,"REMOVE"),"")</f>
        <v/>
      </c>
      <c r="I6419">
        <f>IF(E6419="Gmail",COUNTIF($E$2:E6419,"Gmail"),"")</f>
        <v/>
      </c>
      <c r="J6419">
        <f>IF(E6419="Outlook",COUNTIF($E$2:E6419,"Outlook"),"")</f>
        <v/>
      </c>
      <c r="K6419">
        <f>IF(E6419="Domain",COUNTIF($E$2:E6419,"Domain"),"")</f>
        <v/>
      </c>
    </row>
    <row r="6420">
      <c r="A6420" s="2" t="n"/>
      <c r="B6420">
        <f>LOWER(TRIM(A6420))</f>
        <v/>
      </c>
      <c r="C6420">
        <f>IF(B6420="","",IFERROR(INDEX('Bad Patterns'!$A$2:$A$120,MATCH(1,INDEX(--ISNUMBER(SEARCH('Bad Patterns'!$A$2:$A$120,B6420)),0),0)),""))</f>
        <v/>
      </c>
      <c r="D6420">
        <f>IF(B6420="","",IF(C6420&lt;&gt;"","REMOVE","KEEP"))</f>
        <v/>
      </c>
      <c r="E6420">
        <f>IF(D6420&lt;&gt;"KEEP","",IF(RIGHT(B6420,10)="@gmail.com","Gmail",IF(OR(RIGHT(B6420,12)="@outlook.com",RIGHT(B6420,12)="@hotmail.com",RIGHT(B6420,9)="@live.com"),"Outlook","Domain")))</f>
        <v/>
      </c>
      <c r="F6420">
        <f>IF(B6420="","",IFERROR(RIGHT(B6420,LEN(B6420)-FIND("@",B6420)),""))</f>
        <v/>
      </c>
      <c r="G6420">
        <f>IF(D6420="KEEP",COUNTIF($D$2:D6420,"KEEP"),"")</f>
        <v/>
      </c>
      <c r="H6420">
        <f>IF(D6420="REMOVE",COUNTIF($D$2:D6420,"REMOVE"),"")</f>
        <v/>
      </c>
      <c r="I6420">
        <f>IF(E6420="Gmail",COUNTIF($E$2:E6420,"Gmail"),"")</f>
        <v/>
      </c>
      <c r="J6420">
        <f>IF(E6420="Outlook",COUNTIF($E$2:E6420,"Outlook"),"")</f>
        <v/>
      </c>
      <c r="K6420">
        <f>IF(E6420="Domain",COUNTIF($E$2:E6420,"Domain"),"")</f>
        <v/>
      </c>
    </row>
    <row r="6421">
      <c r="A6421" s="2" t="n"/>
      <c r="B6421">
        <f>LOWER(TRIM(A6421))</f>
        <v/>
      </c>
      <c r="C6421">
        <f>IF(B6421="","",IFERROR(INDEX('Bad Patterns'!$A$2:$A$120,MATCH(1,INDEX(--ISNUMBER(SEARCH('Bad Patterns'!$A$2:$A$120,B6421)),0),0)),""))</f>
        <v/>
      </c>
      <c r="D6421">
        <f>IF(B6421="","",IF(C6421&lt;&gt;"","REMOVE","KEEP"))</f>
        <v/>
      </c>
      <c r="E6421">
        <f>IF(D6421&lt;&gt;"KEEP","",IF(RIGHT(B6421,10)="@gmail.com","Gmail",IF(OR(RIGHT(B6421,12)="@outlook.com",RIGHT(B6421,12)="@hotmail.com",RIGHT(B6421,9)="@live.com"),"Outlook","Domain")))</f>
        <v/>
      </c>
      <c r="F6421">
        <f>IF(B6421="","",IFERROR(RIGHT(B6421,LEN(B6421)-FIND("@",B6421)),""))</f>
        <v/>
      </c>
      <c r="G6421">
        <f>IF(D6421="KEEP",COUNTIF($D$2:D6421,"KEEP"),"")</f>
        <v/>
      </c>
      <c r="H6421">
        <f>IF(D6421="REMOVE",COUNTIF($D$2:D6421,"REMOVE"),"")</f>
        <v/>
      </c>
      <c r="I6421">
        <f>IF(E6421="Gmail",COUNTIF($E$2:E6421,"Gmail"),"")</f>
        <v/>
      </c>
      <c r="J6421">
        <f>IF(E6421="Outlook",COUNTIF($E$2:E6421,"Outlook"),"")</f>
        <v/>
      </c>
      <c r="K6421">
        <f>IF(E6421="Domain",COUNTIF($E$2:E6421,"Domain"),"")</f>
        <v/>
      </c>
    </row>
    <row r="6422">
      <c r="A6422" s="2" t="n"/>
      <c r="B6422">
        <f>LOWER(TRIM(A6422))</f>
        <v/>
      </c>
      <c r="C6422">
        <f>IF(B6422="","",IFERROR(INDEX('Bad Patterns'!$A$2:$A$120,MATCH(1,INDEX(--ISNUMBER(SEARCH('Bad Patterns'!$A$2:$A$120,B6422)),0),0)),""))</f>
        <v/>
      </c>
      <c r="D6422">
        <f>IF(B6422="","",IF(C6422&lt;&gt;"","REMOVE","KEEP"))</f>
        <v/>
      </c>
      <c r="E6422">
        <f>IF(D6422&lt;&gt;"KEEP","",IF(RIGHT(B6422,10)="@gmail.com","Gmail",IF(OR(RIGHT(B6422,12)="@outlook.com",RIGHT(B6422,12)="@hotmail.com",RIGHT(B6422,9)="@live.com"),"Outlook","Domain")))</f>
        <v/>
      </c>
      <c r="F6422">
        <f>IF(B6422="","",IFERROR(RIGHT(B6422,LEN(B6422)-FIND("@",B6422)),""))</f>
        <v/>
      </c>
      <c r="G6422">
        <f>IF(D6422="KEEP",COUNTIF($D$2:D6422,"KEEP"),"")</f>
        <v/>
      </c>
      <c r="H6422">
        <f>IF(D6422="REMOVE",COUNTIF($D$2:D6422,"REMOVE"),"")</f>
        <v/>
      </c>
      <c r="I6422">
        <f>IF(E6422="Gmail",COUNTIF($E$2:E6422,"Gmail"),"")</f>
        <v/>
      </c>
      <c r="J6422">
        <f>IF(E6422="Outlook",COUNTIF($E$2:E6422,"Outlook"),"")</f>
        <v/>
      </c>
      <c r="K6422">
        <f>IF(E6422="Domain",COUNTIF($E$2:E6422,"Domain"),"")</f>
        <v/>
      </c>
    </row>
    <row r="6423">
      <c r="A6423" s="2" t="n"/>
      <c r="B6423">
        <f>LOWER(TRIM(A6423))</f>
        <v/>
      </c>
      <c r="C6423">
        <f>IF(B6423="","",IFERROR(INDEX('Bad Patterns'!$A$2:$A$120,MATCH(1,INDEX(--ISNUMBER(SEARCH('Bad Patterns'!$A$2:$A$120,B6423)),0),0)),""))</f>
        <v/>
      </c>
      <c r="D6423">
        <f>IF(B6423="","",IF(C6423&lt;&gt;"","REMOVE","KEEP"))</f>
        <v/>
      </c>
      <c r="E6423">
        <f>IF(D6423&lt;&gt;"KEEP","",IF(RIGHT(B6423,10)="@gmail.com","Gmail",IF(OR(RIGHT(B6423,12)="@outlook.com",RIGHT(B6423,12)="@hotmail.com",RIGHT(B6423,9)="@live.com"),"Outlook","Domain")))</f>
        <v/>
      </c>
      <c r="F6423">
        <f>IF(B6423="","",IFERROR(RIGHT(B6423,LEN(B6423)-FIND("@",B6423)),""))</f>
        <v/>
      </c>
      <c r="G6423">
        <f>IF(D6423="KEEP",COUNTIF($D$2:D6423,"KEEP"),"")</f>
        <v/>
      </c>
      <c r="H6423">
        <f>IF(D6423="REMOVE",COUNTIF($D$2:D6423,"REMOVE"),"")</f>
        <v/>
      </c>
      <c r="I6423">
        <f>IF(E6423="Gmail",COUNTIF($E$2:E6423,"Gmail"),"")</f>
        <v/>
      </c>
      <c r="J6423">
        <f>IF(E6423="Outlook",COUNTIF($E$2:E6423,"Outlook"),"")</f>
        <v/>
      </c>
      <c r="K6423">
        <f>IF(E6423="Domain",COUNTIF($E$2:E6423,"Domain"),"")</f>
        <v/>
      </c>
    </row>
    <row r="6424">
      <c r="A6424" s="2" t="n"/>
      <c r="B6424">
        <f>LOWER(TRIM(A6424))</f>
        <v/>
      </c>
      <c r="C6424">
        <f>IF(B6424="","",IFERROR(INDEX('Bad Patterns'!$A$2:$A$120,MATCH(1,INDEX(--ISNUMBER(SEARCH('Bad Patterns'!$A$2:$A$120,B6424)),0),0)),""))</f>
        <v/>
      </c>
      <c r="D6424">
        <f>IF(B6424="","",IF(C6424&lt;&gt;"","REMOVE","KEEP"))</f>
        <v/>
      </c>
      <c r="E6424">
        <f>IF(D6424&lt;&gt;"KEEP","",IF(RIGHT(B6424,10)="@gmail.com","Gmail",IF(OR(RIGHT(B6424,12)="@outlook.com",RIGHT(B6424,12)="@hotmail.com",RIGHT(B6424,9)="@live.com"),"Outlook","Domain")))</f>
        <v/>
      </c>
      <c r="F6424">
        <f>IF(B6424="","",IFERROR(RIGHT(B6424,LEN(B6424)-FIND("@",B6424)),""))</f>
        <v/>
      </c>
      <c r="G6424">
        <f>IF(D6424="KEEP",COUNTIF($D$2:D6424,"KEEP"),"")</f>
        <v/>
      </c>
      <c r="H6424">
        <f>IF(D6424="REMOVE",COUNTIF($D$2:D6424,"REMOVE"),"")</f>
        <v/>
      </c>
      <c r="I6424">
        <f>IF(E6424="Gmail",COUNTIF($E$2:E6424,"Gmail"),"")</f>
        <v/>
      </c>
      <c r="J6424">
        <f>IF(E6424="Outlook",COUNTIF($E$2:E6424,"Outlook"),"")</f>
        <v/>
      </c>
      <c r="K6424">
        <f>IF(E6424="Domain",COUNTIF($E$2:E6424,"Domain"),"")</f>
        <v/>
      </c>
    </row>
    <row r="6425">
      <c r="A6425" s="2" t="n"/>
      <c r="B6425">
        <f>LOWER(TRIM(A6425))</f>
        <v/>
      </c>
      <c r="C6425">
        <f>IF(B6425="","",IFERROR(INDEX('Bad Patterns'!$A$2:$A$120,MATCH(1,INDEX(--ISNUMBER(SEARCH('Bad Patterns'!$A$2:$A$120,B6425)),0),0)),""))</f>
        <v/>
      </c>
      <c r="D6425">
        <f>IF(B6425="","",IF(C6425&lt;&gt;"","REMOVE","KEEP"))</f>
        <v/>
      </c>
      <c r="E6425">
        <f>IF(D6425&lt;&gt;"KEEP","",IF(RIGHT(B6425,10)="@gmail.com","Gmail",IF(OR(RIGHT(B6425,12)="@outlook.com",RIGHT(B6425,12)="@hotmail.com",RIGHT(B6425,9)="@live.com"),"Outlook","Domain")))</f>
        <v/>
      </c>
      <c r="F6425">
        <f>IF(B6425="","",IFERROR(RIGHT(B6425,LEN(B6425)-FIND("@",B6425)),""))</f>
        <v/>
      </c>
      <c r="G6425">
        <f>IF(D6425="KEEP",COUNTIF($D$2:D6425,"KEEP"),"")</f>
        <v/>
      </c>
      <c r="H6425">
        <f>IF(D6425="REMOVE",COUNTIF($D$2:D6425,"REMOVE"),"")</f>
        <v/>
      </c>
      <c r="I6425">
        <f>IF(E6425="Gmail",COUNTIF($E$2:E6425,"Gmail"),"")</f>
        <v/>
      </c>
      <c r="J6425">
        <f>IF(E6425="Outlook",COUNTIF($E$2:E6425,"Outlook"),"")</f>
        <v/>
      </c>
      <c r="K6425">
        <f>IF(E6425="Domain",COUNTIF($E$2:E6425,"Domain"),"")</f>
        <v/>
      </c>
    </row>
    <row r="6426">
      <c r="A6426" s="2" t="n"/>
      <c r="B6426">
        <f>LOWER(TRIM(A6426))</f>
        <v/>
      </c>
      <c r="C6426">
        <f>IF(B6426="","",IFERROR(INDEX('Bad Patterns'!$A$2:$A$120,MATCH(1,INDEX(--ISNUMBER(SEARCH('Bad Patterns'!$A$2:$A$120,B6426)),0),0)),""))</f>
        <v/>
      </c>
      <c r="D6426">
        <f>IF(B6426="","",IF(C6426&lt;&gt;"","REMOVE","KEEP"))</f>
        <v/>
      </c>
      <c r="E6426">
        <f>IF(D6426&lt;&gt;"KEEP","",IF(RIGHT(B6426,10)="@gmail.com","Gmail",IF(OR(RIGHT(B6426,12)="@outlook.com",RIGHT(B6426,12)="@hotmail.com",RIGHT(B6426,9)="@live.com"),"Outlook","Domain")))</f>
        <v/>
      </c>
      <c r="F6426">
        <f>IF(B6426="","",IFERROR(RIGHT(B6426,LEN(B6426)-FIND("@",B6426)),""))</f>
        <v/>
      </c>
      <c r="G6426">
        <f>IF(D6426="KEEP",COUNTIF($D$2:D6426,"KEEP"),"")</f>
        <v/>
      </c>
      <c r="H6426">
        <f>IF(D6426="REMOVE",COUNTIF($D$2:D6426,"REMOVE"),"")</f>
        <v/>
      </c>
      <c r="I6426">
        <f>IF(E6426="Gmail",COUNTIF($E$2:E6426,"Gmail"),"")</f>
        <v/>
      </c>
      <c r="J6426">
        <f>IF(E6426="Outlook",COUNTIF($E$2:E6426,"Outlook"),"")</f>
        <v/>
      </c>
      <c r="K6426">
        <f>IF(E6426="Domain",COUNTIF($E$2:E6426,"Domain"),"")</f>
        <v/>
      </c>
    </row>
    <row r="6427">
      <c r="A6427" s="2" t="n"/>
      <c r="B6427">
        <f>LOWER(TRIM(A6427))</f>
        <v/>
      </c>
      <c r="C6427">
        <f>IF(B6427="","",IFERROR(INDEX('Bad Patterns'!$A$2:$A$120,MATCH(1,INDEX(--ISNUMBER(SEARCH('Bad Patterns'!$A$2:$A$120,B6427)),0),0)),""))</f>
        <v/>
      </c>
      <c r="D6427">
        <f>IF(B6427="","",IF(C6427&lt;&gt;"","REMOVE","KEEP"))</f>
        <v/>
      </c>
      <c r="E6427">
        <f>IF(D6427&lt;&gt;"KEEP","",IF(RIGHT(B6427,10)="@gmail.com","Gmail",IF(OR(RIGHT(B6427,12)="@outlook.com",RIGHT(B6427,12)="@hotmail.com",RIGHT(B6427,9)="@live.com"),"Outlook","Domain")))</f>
        <v/>
      </c>
      <c r="F6427">
        <f>IF(B6427="","",IFERROR(RIGHT(B6427,LEN(B6427)-FIND("@",B6427)),""))</f>
        <v/>
      </c>
      <c r="G6427">
        <f>IF(D6427="KEEP",COUNTIF($D$2:D6427,"KEEP"),"")</f>
        <v/>
      </c>
      <c r="H6427">
        <f>IF(D6427="REMOVE",COUNTIF($D$2:D6427,"REMOVE"),"")</f>
        <v/>
      </c>
      <c r="I6427">
        <f>IF(E6427="Gmail",COUNTIF($E$2:E6427,"Gmail"),"")</f>
        <v/>
      </c>
      <c r="J6427">
        <f>IF(E6427="Outlook",COUNTIF($E$2:E6427,"Outlook"),"")</f>
        <v/>
      </c>
      <c r="K6427">
        <f>IF(E6427="Domain",COUNTIF($E$2:E6427,"Domain"),"")</f>
        <v/>
      </c>
    </row>
    <row r="6428">
      <c r="A6428" s="2" t="n"/>
      <c r="B6428">
        <f>LOWER(TRIM(A6428))</f>
        <v/>
      </c>
      <c r="C6428">
        <f>IF(B6428="","",IFERROR(INDEX('Bad Patterns'!$A$2:$A$120,MATCH(1,INDEX(--ISNUMBER(SEARCH('Bad Patterns'!$A$2:$A$120,B6428)),0),0)),""))</f>
        <v/>
      </c>
      <c r="D6428">
        <f>IF(B6428="","",IF(C6428&lt;&gt;"","REMOVE","KEEP"))</f>
        <v/>
      </c>
      <c r="E6428">
        <f>IF(D6428&lt;&gt;"KEEP","",IF(RIGHT(B6428,10)="@gmail.com","Gmail",IF(OR(RIGHT(B6428,12)="@outlook.com",RIGHT(B6428,12)="@hotmail.com",RIGHT(B6428,9)="@live.com"),"Outlook","Domain")))</f>
        <v/>
      </c>
      <c r="F6428">
        <f>IF(B6428="","",IFERROR(RIGHT(B6428,LEN(B6428)-FIND("@",B6428)),""))</f>
        <v/>
      </c>
      <c r="G6428">
        <f>IF(D6428="KEEP",COUNTIF($D$2:D6428,"KEEP"),"")</f>
        <v/>
      </c>
      <c r="H6428">
        <f>IF(D6428="REMOVE",COUNTIF($D$2:D6428,"REMOVE"),"")</f>
        <v/>
      </c>
      <c r="I6428">
        <f>IF(E6428="Gmail",COUNTIF($E$2:E6428,"Gmail"),"")</f>
        <v/>
      </c>
      <c r="J6428">
        <f>IF(E6428="Outlook",COUNTIF($E$2:E6428,"Outlook"),"")</f>
        <v/>
      </c>
      <c r="K6428">
        <f>IF(E6428="Domain",COUNTIF($E$2:E6428,"Domain"),"")</f>
        <v/>
      </c>
    </row>
    <row r="6429">
      <c r="A6429" s="2" t="n"/>
      <c r="B6429">
        <f>LOWER(TRIM(A6429))</f>
        <v/>
      </c>
      <c r="C6429">
        <f>IF(B6429="","",IFERROR(INDEX('Bad Patterns'!$A$2:$A$120,MATCH(1,INDEX(--ISNUMBER(SEARCH('Bad Patterns'!$A$2:$A$120,B6429)),0),0)),""))</f>
        <v/>
      </c>
      <c r="D6429">
        <f>IF(B6429="","",IF(C6429&lt;&gt;"","REMOVE","KEEP"))</f>
        <v/>
      </c>
      <c r="E6429">
        <f>IF(D6429&lt;&gt;"KEEP","",IF(RIGHT(B6429,10)="@gmail.com","Gmail",IF(OR(RIGHT(B6429,12)="@outlook.com",RIGHT(B6429,12)="@hotmail.com",RIGHT(B6429,9)="@live.com"),"Outlook","Domain")))</f>
        <v/>
      </c>
      <c r="F6429">
        <f>IF(B6429="","",IFERROR(RIGHT(B6429,LEN(B6429)-FIND("@",B6429)),""))</f>
        <v/>
      </c>
      <c r="G6429">
        <f>IF(D6429="KEEP",COUNTIF($D$2:D6429,"KEEP"),"")</f>
        <v/>
      </c>
      <c r="H6429">
        <f>IF(D6429="REMOVE",COUNTIF($D$2:D6429,"REMOVE"),"")</f>
        <v/>
      </c>
      <c r="I6429">
        <f>IF(E6429="Gmail",COUNTIF($E$2:E6429,"Gmail"),"")</f>
        <v/>
      </c>
      <c r="J6429">
        <f>IF(E6429="Outlook",COUNTIF($E$2:E6429,"Outlook"),"")</f>
        <v/>
      </c>
      <c r="K6429">
        <f>IF(E6429="Domain",COUNTIF($E$2:E6429,"Domain"),"")</f>
        <v/>
      </c>
    </row>
    <row r="6430">
      <c r="A6430" s="2" t="n"/>
      <c r="B6430">
        <f>LOWER(TRIM(A6430))</f>
        <v/>
      </c>
      <c r="C6430">
        <f>IF(B6430="","",IFERROR(INDEX('Bad Patterns'!$A$2:$A$120,MATCH(1,INDEX(--ISNUMBER(SEARCH('Bad Patterns'!$A$2:$A$120,B6430)),0),0)),""))</f>
        <v/>
      </c>
      <c r="D6430">
        <f>IF(B6430="","",IF(C6430&lt;&gt;"","REMOVE","KEEP"))</f>
        <v/>
      </c>
      <c r="E6430">
        <f>IF(D6430&lt;&gt;"KEEP","",IF(RIGHT(B6430,10)="@gmail.com","Gmail",IF(OR(RIGHT(B6430,12)="@outlook.com",RIGHT(B6430,12)="@hotmail.com",RIGHT(B6430,9)="@live.com"),"Outlook","Domain")))</f>
        <v/>
      </c>
      <c r="F6430">
        <f>IF(B6430="","",IFERROR(RIGHT(B6430,LEN(B6430)-FIND("@",B6430)),""))</f>
        <v/>
      </c>
      <c r="G6430">
        <f>IF(D6430="KEEP",COUNTIF($D$2:D6430,"KEEP"),"")</f>
        <v/>
      </c>
      <c r="H6430">
        <f>IF(D6430="REMOVE",COUNTIF($D$2:D6430,"REMOVE"),"")</f>
        <v/>
      </c>
      <c r="I6430">
        <f>IF(E6430="Gmail",COUNTIF($E$2:E6430,"Gmail"),"")</f>
        <v/>
      </c>
      <c r="J6430">
        <f>IF(E6430="Outlook",COUNTIF($E$2:E6430,"Outlook"),"")</f>
        <v/>
      </c>
      <c r="K6430">
        <f>IF(E6430="Domain",COUNTIF($E$2:E6430,"Domain"),"")</f>
        <v/>
      </c>
    </row>
    <row r="6431">
      <c r="A6431" s="2" t="n"/>
      <c r="B6431">
        <f>LOWER(TRIM(A6431))</f>
        <v/>
      </c>
      <c r="C6431">
        <f>IF(B6431="","",IFERROR(INDEX('Bad Patterns'!$A$2:$A$120,MATCH(1,INDEX(--ISNUMBER(SEARCH('Bad Patterns'!$A$2:$A$120,B6431)),0),0)),""))</f>
        <v/>
      </c>
      <c r="D6431">
        <f>IF(B6431="","",IF(C6431&lt;&gt;"","REMOVE","KEEP"))</f>
        <v/>
      </c>
      <c r="E6431">
        <f>IF(D6431&lt;&gt;"KEEP","",IF(RIGHT(B6431,10)="@gmail.com","Gmail",IF(OR(RIGHT(B6431,12)="@outlook.com",RIGHT(B6431,12)="@hotmail.com",RIGHT(B6431,9)="@live.com"),"Outlook","Domain")))</f>
        <v/>
      </c>
      <c r="F6431">
        <f>IF(B6431="","",IFERROR(RIGHT(B6431,LEN(B6431)-FIND("@",B6431)),""))</f>
        <v/>
      </c>
      <c r="G6431">
        <f>IF(D6431="KEEP",COUNTIF($D$2:D6431,"KEEP"),"")</f>
        <v/>
      </c>
      <c r="H6431">
        <f>IF(D6431="REMOVE",COUNTIF($D$2:D6431,"REMOVE"),"")</f>
        <v/>
      </c>
      <c r="I6431">
        <f>IF(E6431="Gmail",COUNTIF($E$2:E6431,"Gmail"),"")</f>
        <v/>
      </c>
      <c r="J6431">
        <f>IF(E6431="Outlook",COUNTIF($E$2:E6431,"Outlook"),"")</f>
        <v/>
      </c>
      <c r="K6431">
        <f>IF(E6431="Domain",COUNTIF($E$2:E6431,"Domain"),"")</f>
        <v/>
      </c>
    </row>
    <row r="6432">
      <c r="A6432" s="2" t="n"/>
      <c r="B6432">
        <f>LOWER(TRIM(A6432))</f>
        <v/>
      </c>
      <c r="C6432">
        <f>IF(B6432="","",IFERROR(INDEX('Bad Patterns'!$A$2:$A$120,MATCH(1,INDEX(--ISNUMBER(SEARCH('Bad Patterns'!$A$2:$A$120,B6432)),0),0)),""))</f>
        <v/>
      </c>
      <c r="D6432">
        <f>IF(B6432="","",IF(C6432&lt;&gt;"","REMOVE","KEEP"))</f>
        <v/>
      </c>
      <c r="E6432">
        <f>IF(D6432&lt;&gt;"KEEP","",IF(RIGHT(B6432,10)="@gmail.com","Gmail",IF(OR(RIGHT(B6432,12)="@outlook.com",RIGHT(B6432,12)="@hotmail.com",RIGHT(B6432,9)="@live.com"),"Outlook","Domain")))</f>
        <v/>
      </c>
      <c r="F6432">
        <f>IF(B6432="","",IFERROR(RIGHT(B6432,LEN(B6432)-FIND("@",B6432)),""))</f>
        <v/>
      </c>
      <c r="G6432">
        <f>IF(D6432="KEEP",COUNTIF($D$2:D6432,"KEEP"),"")</f>
        <v/>
      </c>
      <c r="H6432">
        <f>IF(D6432="REMOVE",COUNTIF($D$2:D6432,"REMOVE"),"")</f>
        <v/>
      </c>
      <c r="I6432">
        <f>IF(E6432="Gmail",COUNTIF($E$2:E6432,"Gmail"),"")</f>
        <v/>
      </c>
      <c r="J6432">
        <f>IF(E6432="Outlook",COUNTIF($E$2:E6432,"Outlook"),"")</f>
        <v/>
      </c>
      <c r="K6432">
        <f>IF(E6432="Domain",COUNTIF($E$2:E6432,"Domain"),"")</f>
        <v/>
      </c>
    </row>
    <row r="6433">
      <c r="A6433" s="2" t="n"/>
      <c r="B6433">
        <f>LOWER(TRIM(A6433))</f>
        <v/>
      </c>
      <c r="C6433">
        <f>IF(B6433="","",IFERROR(INDEX('Bad Patterns'!$A$2:$A$120,MATCH(1,INDEX(--ISNUMBER(SEARCH('Bad Patterns'!$A$2:$A$120,B6433)),0),0)),""))</f>
        <v/>
      </c>
      <c r="D6433">
        <f>IF(B6433="","",IF(C6433&lt;&gt;"","REMOVE","KEEP"))</f>
        <v/>
      </c>
      <c r="E6433">
        <f>IF(D6433&lt;&gt;"KEEP","",IF(RIGHT(B6433,10)="@gmail.com","Gmail",IF(OR(RIGHT(B6433,12)="@outlook.com",RIGHT(B6433,12)="@hotmail.com",RIGHT(B6433,9)="@live.com"),"Outlook","Domain")))</f>
        <v/>
      </c>
      <c r="F6433">
        <f>IF(B6433="","",IFERROR(RIGHT(B6433,LEN(B6433)-FIND("@",B6433)),""))</f>
        <v/>
      </c>
      <c r="G6433">
        <f>IF(D6433="KEEP",COUNTIF($D$2:D6433,"KEEP"),"")</f>
        <v/>
      </c>
      <c r="H6433">
        <f>IF(D6433="REMOVE",COUNTIF($D$2:D6433,"REMOVE"),"")</f>
        <v/>
      </c>
      <c r="I6433">
        <f>IF(E6433="Gmail",COUNTIF($E$2:E6433,"Gmail"),"")</f>
        <v/>
      </c>
      <c r="J6433">
        <f>IF(E6433="Outlook",COUNTIF($E$2:E6433,"Outlook"),"")</f>
        <v/>
      </c>
      <c r="K6433">
        <f>IF(E6433="Domain",COUNTIF($E$2:E6433,"Domain"),"")</f>
        <v/>
      </c>
    </row>
    <row r="6434">
      <c r="A6434" s="2" t="n"/>
      <c r="B6434">
        <f>LOWER(TRIM(A6434))</f>
        <v/>
      </c>
      <c r="C6434">
        <f>IF(B6434="","",IFERROR(INDEX('Bad Patterns'!$A$2:$A$120,MATCH(1,INDEX(--ISNUMBER(SEARCH('Bad Patterns'!$A$2:$A$120,B6434)),0),0)),""))</f>
        <v/>
      </c>
      <c r="D6434">
        <f>IF(B6434="","",IF(C6434&lt;&gt;"","REMOVE","KEEP"))</f>
        <v/>
      </c>
      <c r="E6434">
        <f>IF(D6434&lt;&gt;"KEEP","",IF(RIGHT(B6434,10)="@gmail.com","Gmail",IF(OR(RIGHT(B6434,12)="@outlook.com",RIGHT(B6434,12)="@hotmail.com",RIGHT(B6434,9)="@live.com"),"Outlook","Domain")))</f>
        <v/>
      </c>
      <c r="F6434">
        <f>IF(B6434="","",IFERROR(RIGHT(B6434,LEN(B6434)-FIND("@",B6434)),""))</f>
        <v/>
      </c>
      <c r="G6434">
        <f>IF(D6434="KEEP",COUNTIF($D$2:D6434,"KEEP"),"")</f>
        <v/>
      </c>
      <c r="H6434">
        <f>IF(D6434="REMOVE",COUNTIF($D$2:D6434,"REMOVE"),"")</f>
        <v/>
      </c>
      <c r="I6434">
        <f>IF(E6434="Gmail",COUNTIF($E$2:E6434,"Gmail"),"")</f>
        <v/>
      </c>
      <c r="J6434">
        <f>IF(E6434="Outlook",COUNTIF($E$2:E6434,"Outlook"),"")</f>
        <v/>
      </c>
      <c r="K6434">
        <f>IF(E6434="Domain",COUNTIF($E$2:E6434,"Domain"),"")</f>
        <v/>
      </c>
    </row>
    <row r="6435">
      <c r="A6435" s="2" t="n"/>
      <c r="B6435">
        <f>LOWER(TRIM(A6435))</f>
        <v/>
      </c>
      <c r="C6435">
        <f>IF(B6435="","",IFERROR(INDEX('Bad Patterns'!$A$2:$A$120,MATCH(1,INDEX(--ISNUMBER(SEARCH('Bad Patterns'!$A$2:$A$120,B6435)),0),0)),""))</f>
        <v/>
      </c>
      <c r="D6435">
        <f>IF(B6435="","",IF(C6435&lt;&gt;"","REMOVE","KEEP"))</f>
        <v/>
      </c>
      <c r="E6435">
        <f>IF(D6435&lt;&gt;"KEEP","",IF(RIGHT(B6435,10)="@gmail.com","Gmail",IF(OR(RIGHT(B6435,12)="@outlook.com",RIGHT(B6435,12)="@hotmail.com",RIGHT(B6435,9)="@live.com"),"Outlook","Domain")))</f>
        <v/>
      </c>
      <c r="F6435">
        <f>IF(B6435="","",IFERROR(RIGHT(B6435,LEN(B6435)-FIND("@",B6435)),""))</f>
        <v/>
      </c>
      <c r="G6435">
        <f>IF(D6435="KEEP",COUNTIF($D$2:D6435,"KEEP"),"")</f>
        <v/>
      </c>
      <c r="H6435">
        <f>IF(D6435="REMOVE",COUNTIF($D$2:D6435,"REMOVE"),"")</f>
        <v/>
      </c>
      <c r="I6435">
        <f>IF(E6435="Gmail",COUNTIF($E$2:E6435,"Gmail"),"")</f>
        <v/>
      </c>
      <c r="J6435">
        <f>IF(E6435="Outlook",COUNTIF($E$2:E6435,"Outlook"),"")</f>
        <v/>
      </c>
      <c r="K6435">
        <f>IF(E6435="Domain",COUNTIF($E$2:E6435,"Domain"),"")</f>
        <v/>
      </c>
    </row>
    <row r="6436">
      <c r="A6436" s="2" t="n"/>
      <c r="B6436">
        <f>LOWER(TRIM(A6436))</f>
        <v/>
      </c>
      <c r="C6436">
        <f>IF(B6436="","",IFERROR(INDEX('Bad Patterns'!$A$2:$A$120,MATCH(1,INDEX(--ISNUMBER(SEARCH('Bad Patterns'!$A$2:$A$120,B6436)),0),0)),""))</f>
        <v/>
      </c>
      <c r="D6436">
        <f>IF(B6436="","",IF(C6436&lt;&gt;"","REMOVE","KEEP"))</f>
        <v/>
      </c>
      <c r="E6436">
        <f>IF(D6436&lt;&gt;"KEEP","",IF(RIGHT(B6436,10)="@gmail.com","Gmail",IF(OR(RIGHT(B6436,12)="@outlook.com",RIGHT(B6436,12)="@hotmail.com",RIGHT(B6436,9)="@live.com"),"Outlook","Domain")))</f>
        <v/>
      </c>
      <c r="F6436">
        <f>IF(B6436="","",IFERROR(RIGHT(B6436,LEN(B6436)-FIND("@",B6436)),""))</f>
        <v/>
      </c>
      <c r="G6436">
        <f>IF(D6436="KEEP",COUNTIF($D$2:D6436,"KEEP"),"")</f>
        <v/>
      </c>
      <c r="H6436">
        <f>IF(D6436="REMOVE",COUNTIF($D$2:D6436,"REMOVE"),"")</f>
        <v/>
      </c>
      <c r="I6436">
        <f>IF(E6436="Gmail",COUNTIF($E$2:E6436,"Gmail"),"")</f>
        <v/>
      </c>
      <c r="J6436">
        <f>IF(E6436="Outlook",COUNTIF($E$2:E6436,"Outlook"),"")</f>
        <v/>
      </c>
      <c r="K6436">
        <f>IF(E6436="Domain",COUNTIF($E$2:E6436,"Domain"),"")</f>
        <v/>
      </c>
    </row>
    <row r="6437">
      <c r="A6437" s="2" t="n"/>
      <c r="B6437">
        <f>LOWER(TRIM(A6437))</f>
        <v/>
      </c>
      <c r="C6437">
        <f>IF(B6437="","",IFERROR(INDEX('Bad Patterns'!$A$2:$A$120,MATCH(1,INDEX(--ISNUMBER(SEARCH('Bad Patterns'!$A$2:$A$120,B6437)),0),0)),""))</f>
        <v/>
      </c>
      <c r="D6437">
        <f>IF(B6437="","",IF(C6437&lt;&gt;"","REMOVE","KEEP"))</f>
        <v/>
      </c>
      <c r="E6437">
        <f>IF(D6437&lt;&gt;"KEEP","",IF(RIGHT(B6437,10)="@gmail.com","Gmail",IF(OR(RIGHT(B6437,12)="@outlook.com",RIGHT(B6437,12)="@hotmail.com",RIGHT(B6437,9)="@live.com"),"Outlook","Domain")))</f>
        <v/>
      </c>
      <c r="F6437">
        <f>IF(B6437="","",IFERROR(RIGHT(B6437,LEN(B6437)-FIND("@",B6437)),""))</f>
        <v/>
      </c>
      <c r="G6437">
        <f>IF(D6437="KEEP",COUNTIF($D$2:D6437,"KEEP"),"")</f>
        <v/>
      </c>
      <c r="H6437">
        <f>IF(D6437="REMOVE",COUNTIF($D$2:D6437,"REMOVE"),"")</f>
        <v/>
      </c>
      <c r="I6437">
        <f>IF(E6437="Gmail",COUNTIF($E$2:E6437,"Gmail"),"")</f>
        <v/>
      </c>
      <c r="J6437">
        <f>IF(E6437="Outlook",COUNTIF($E$2:E6437,"Outlook"),"")</f>
        <v/>
      </c>
      <c r="K6437">
        <f>IF(E6437="Domain",COUNTIF($E$2:E6437,"Domain"),"")</f>
        <v/>
      </c>
    </row>
    <row r="6438">
      <c r="A6438" s="2" t="n"/>
      <c r="B6438">
        <f>LOWER(TRIM(A6438))</f>
        <v/>
      </c>
      <c r="C6438">
        <f>IF(B6438="","",IFERROR(INDEX('Bad Patterns'!$A$2:$A$120,MATCH(1,INDEX(--ISNUMBER(SEARCH('Bad Patterns'!$A$2:$A$120,B6438)),0),0)),""))</f>
        <v/>
      </c>
      <c r="D6438">
        <f>IF(B6438="","",IF(C6438&lt;&gt;"","REMOVE","KEEP"))</f>
        <v/>
      </c>
      <c r="E6438">
        <f>IF(D6438&lt;&gt;"KEEP","",IF(RIGHT(B6438,10)="@gmail.com","Gmail",IF(OR(RIGHT(B6438,12)="@outlook.com",RIGHT(B6438,12)="@hotmail.com",RIGHT(B6438,9)="@live.com"),"Outlook","Domain")))</f>
        <v/>
      </c>
      <c r="F6438">
        <f>IF(B6438="","",IFERROR(RIGHT(B6438,LEN(B6438)-FIND("@",B6438)),""))</f>
        <v/>
      </c>
      <c r="G6438">
        <f>IF(D6438="KEEP",COUNTIF($D$2:D6438,"KEEP"),"")</f>
        <v/>
      </c>
      <c r="H6438">
        <f>IF(D6438="REMOVE",COUNTIF($D$2:D6438,"REMOVE"),"")</f>
        <v/>
      </c>
      <c r="I6438">
        <f>IF(E6438="Gmail",COUNTIF($E$2:E6438,"Gmail"),"")</f>
        <v/>
      </c>
      <c r="J6438">
        <f>IF(E6438="Outlook",COUNTIF($E$2:E6438,"Outlook"),"")</f>
        <v/>
      </c>
      <c r="K6438">
        <f>IF(E6438="Domain",COUNTIF($E$2:E6438,"Domain"),"")</f>
        <v/>
      </c>
    </row>
    <row r="6439">
      <c r="A6439" s="2" t="n"/>
      <c r="B6439">
        <f>LOWER(TRIM(A6439))</f>
        <v/>
      </c>
      <c r="C6439">
        <f>IF(B6439="","",IFERROR(INDEX('Bad Patterns'!$A$2:$A$120,MATCH(1,INDEX(--ISNUMBER(SEARCH('Bad Patterns'!$A$2:$A$120,B6439)),0),0)),""))</f>
        <v/>
      </c>
      <c r="D6439">
        <f>IF(B6439="","",IF(C6439&lt;&gt;"","REMOVE","KEEP"))</f>
        <v/>
      </c>
      <c r="E6439">
        <f>IF(D6439&lt;&gt;"KEEP","",IF(RIGHT(B6439,10)="@gmail.com","Gmail",IF(OR(RIGHT(B6439,12)="@outlook.com",RIGHT(B6439,12)="@hotmail.com",RIGHT(B6439,9)="@live.com"),"Outlook","Domain")))</f>
        <v/>
      </c>
      <c r="F6439">
        <f>IF(B6439="","",IFERROR(RIGHT(B6439,LEN(B6439)-FIND("@",B6439)),""))</f>
        <v/>
      </c>
      <c r="G6439">
        <f>IF(D6439="KEEP",COUNTIF($D$2:D6439,"KEEP"),"")</f>
        <v/>
      </c>
      <c r="H6439">
        <f>IF(D6439="REMOVE",COUNTIF($D$2:D6439,"REMOVE"),"")</f>
        <v/>
      </c>
      <c r="I6439">
        <f>IF(E6439="Gmail",COUNTIF($E$2:E6439,"Gmail"),"")</f>
        <v/>
      </c>
      <c r="J6439">
        <f>IF(E6439="Outlook",COUNTIF($E$2:E6439,"Outlook"),"")</f>
        <v/>
      </c>
      <c r="K6439">
        <f>IF(E6439="Domain",COUNTIF($E$2:E6439,"Domain"),"")</f>
        <v/>
      </c>
    </row>
    <row r="6440">
      <c r="A6440" s="2" t="n"/>
      <c r="B6440">
        <f>LOWER(TRIM(A6440))</f>
        <v/>
      </c>
      <c r="C6440">
        <f>IF(B6440="","",IFERROR(INDEX('Bad Patterns'!$A$2:$A$120,MATCH(1,INDEX(--ISNUMBER(SEARCH('Bad Patterns'!$A$2:$A$120,B6440)),0),0)),""))</f>
        <v/>
      </c>
      <c r="D6440">
        <f>IF(B6440="","",IF(C6440&lt;&gt;"","REMOVE","KEEP"))</f>
        <v/>
      </c>
      <c r="E6440">
        <f>IF(D6440&lt;&gt;"KEEP","",IF(RIGHT(B6440,10)="@gmail.com","Gmail",IF(OR(RIGHT(B6440,12)="@outlook.com",RIGHT(B6440,12)="@hotmail.com",RIGHT(B6440,9)="@live.com"),"Outlook","Domain")))</f>
        <v/>
      </c>
      <c r="F6440">
        <f>IF(B6440="","",IFERROR(RIGHT(B6440,LEN(B6440)-FIND("@",B6440)),""))</f>
        <v/>
      </c>
      <c r="G6440">
        <f>IF(D6440="KEEP",COUNTIF($D$2:D6440,"KEEP"),"")</f>
        <v/>
      </c>
      <c r="H6440">
        <f>IF(D6440="REMOVE",COUNTIF($D$2:D6440,"REMOVE"),"")</f>
        <v/>
      </c>
      <c r="I6440">
        <f>IF(E6440="Gmail",COUNTIF($E$2:E6440,"Gmail"),"")</f>
        <v/>
      </c>
      <c r="J6440">
        <f>IF(E6440="Outlook",COUNTIF($E$2:E6440,"Outlook"),"")</f>
        <v/>
      </c>
      <c r="K6440">
        <f>IF(E6440="Domain",COUNTIF($E$2:E6440,"Domain"),"")</f>
        <v/>
      </c>
    </row>
    <row r="6441">
      <c r="A6441" s="2" t="n"/>
      <c r="B6441">
        <f>LOWER(TRIM(A6441))</f>
        <v/>
      </c>
      <c r="C6441">
        <f>IF(B6441="","",IFERROR(INDEX('Bad Patterns'!$A$2:$A$120,MATCH(1,INDEX(--ISNUMBER(SEARCH('Bad Patterns'!$A$2:$A$120,B6441)),0),0)),""))</f>
        <v/>
      </c>
      <c r="D6441">
        <f>IF(B6441="","",IF(C6441&lt;&gt;"","REMOVE","KEEP"))</f>
        <v/>
      </c>
      <c r="E6441">
        <f>IF(D6441&lt;&gt;"KEEP","",IF(RIGHT(B6441,10)="@gmail.com","Gmail",IF(OR(RIGHT(B6441,12)="@outlook.com",RIGHT(B6441,12)="@hotmail.com",RIGHT(B6441,9)="@live.com"),"Outlook","Domain")))</f>
        <v/>
      </c>
      <c r="F6441">
        <f>IF(B6441="","",IFERROR(RIGHT(B6441,LEN(B6441)-FIND("@",B6441)),""))</f>
        <v/>
      </c>
      <c r="G6441">
        <f>IF(D6441="KEEP",COUNTIF($D$2:D6441,"KEEP"),"")</f>
        <v/>
      </c>
      <c r="H6441">
        <f>IF(D6441="REMOVE",COUNTIF($D$2:D6441,"REMOVE"),"")</f>
        <v/>
      </c>
      <c r="I6441">
        <f>IF(E6441="Gmail",COUNTIF($E$2:E6441,"Gmail"),"")</f>
        <v/>
      </c>
      <c r="J6441">
        <f>IF(E6441="Outlook",COUNTIF($E$2:E6441,"Outlook"),"")</f>
        <v/>
      </c>
      <c r="K6441">
        <f>IF(E6441="Domain",COUNTIF($E$2:E6441,"Domain"),"")</f>
        <v/>
      </c>
    </row>
    <row r="6442">
      <c r="A6442" s="2" t="n"/>
      <c r="B6442">
        <f>LOWER(TRIM(A6442))</f>
        <v/>
      </c>
      <c r="C6442">
        <f>IF(B6442="","",IFERROR(INDEX('Bad Patterns'!$A$2:$A$120,MATCH(1,INDEX(--ISNUMBER(SEARCH('Bad Patterns'!$A$2:$A$120,B6442)),0),0)),""))</f>
        <v/>
      </c>
      <c r="D6442">
        <f>IF(B6442="","",IF(C6442&lt;&gt;"","REMOVE","KEEP"))</f>
        <v/>
      </c>
      <c r="E6442">
        <f>IF(D6442&lt;&gt;"KEEP","",IF(RIGHT(B6442,10)="@gmail.com","Gmail",IF(OR(RIGHT(B6442,12)="@outlook.com",RIGHT(B6442,12)="@hotmail.com",RIGHT(B6442,9)="@live.com"),"Outlook","Domain")))</f>
        <v/>
      </c>
      <c r="F6442">
        <f>IF(B6442="","",IFERROR(RIGHT(B6442,LEN(B6442)-FIND("@",B6442)),""))</f>
        <v/>
      </c>
      <c r="G6442">
        <f>IF(D6442="KEEP",COUNTIF($D$2:D6442,"KEEP"),"")</f>
        <v/>
      </c>
      <c r="H6442">
        <f>IF(D6442="REMOVE",COUNTIF($D$2:D6442,"REMOVE"),"")</f>
        <v/>
      </c>
      <c r="I6442">
        <f>IF(E6442="Gmail",COUNTIF($E$2:E6442,"Gmail"),"")</f>
        <v/>
      </c>
      <c r="J6442">
        <f>IF(E6442="Outlook",COUNTIF($E$2:E6442,"Outlook"),"")</f>
        <v/>
      </c>
      <c r="K6442">
        <f>IF(E6442="Domain",COUNTIF($E$2:E6442,"Domain"),"")</f>
        <v/>
      </c>
    </row>
    <row r="6443">
      <c r="A6443" s="2" t="n"/>
      <c r="B6443">
        <f>LOWER(TRIM(A6443))</f>
        <v/>
      </c>
      <c r="C6443">
        <f>IF(B6443="","",IFERROR(INDEX('Bad Patterns'!$A$2:$A$120,MATCH(1,INDEX(--ISNUMBER(SEARCH('Bad Patterns'!$A$2:$A$120,B6443)),0),0)),""))</f>
        <v/>
      </c>
      <c r="D6443">
        <f>IF(B6443="","",IF(C6443&lt;&gt;"","REMOVE","KEEP"))</f>
        <v/>
      </c>
      <c r="E6443">
        <f>IF(D6443&lt;&gt;"KEEP","",IF(RIGHT(B6443,10)="@gmail.com","Gmail",IF(OR(RIGHT(B6443,12)="@outlook.com",RIGHT(B6443,12)="@hotmail.com",RIGHT(B6443,9)="@live.com"),"Outlook","Domain")))</f>
        <v/>
      </c>
      <c r="F6443">
        <f>IF(B6443="","",IFERROR(RIGHT(B6443,LEN(B6443)-FIND("@",B6443)),""))</f>
        <v/>
      </c>
      <c r="G6443">
        <f>IF(D6443="KEEP",COUNTIF($D$2:D6443,"KEEP"),"")</f>
        <v/>
      </c>
      <c r="H6443">
        <f>IF(D6443="REMOVE",COUNTIF($D$2:D6443,"REMOVE"),"")</f>
        <v/>
      </c>
      <c r="I6443">
        <f>IF(E6443="Gmail",COUNTIF($E$2:E6443,"Gmail"),"")</f>
        <v/>
      </c>
      <c r="J6443">
        <f>IF(E6443="Outlook",COUNTIF($E$2:E6443,"Outlook"),"")</f>
        <v/>
      </c>
      <c r="K6443">
        <f>IF(E6443="Domain",COUNTIF($E$2:E6443,"Domain"),"")</f>
        <v/>
      </c>
    </row>
    <row r="6444">
      <c r="A6444" s="2" t="n"/>
      <c r="B6444">
        <f>LOWER(TRIM(A6444))</f>
        <v/>
      </c>
      <c r="C6444">
        <f>IF(B6444="","",IFERROR(INDEX('Bad Patterns'!$A$2:$A$120,MATCH(1,INDEX(--ISNUMBER(SEARCH('Bad Patterns'!$A$2:$A$120,B6444)),0),0)),""))</f>
        <v/>
      </c>
      <c r="D6444">
        <f>IF(B6444="","",IF(C6444&lt;&gt;"","REMOVE","KEEP"))</f>
        <v/>
      </c>
      <c r="E6444">
        <f>IF(D6444&lt;&gt;"KEEP","",IF(RIGHT(B6444,10)="@gmail.com","Gmail",IF(OR(RIGHT(B6444,12)="@outlook.com",RIGHT(B6444,12)="@hotmail.com",RIGHT(B6444,9)="@live.com"),"Outlook","Domain")))</f>
        <v/>
      </c>
      <c r="F6444">
        <f>IF(B6444="","",IFERROR(RIGHT(B6444,LEN(B6444)-FIND("@",B6444)),""))</f>
        <v/>
      </c>
      <c r="G6444">
        <f>IF(D6444="KEEP",COUNTIF($D$2:D6444,"KEEP"),"")</f>
        <v/>
      </c>
      <c r="H6444">
        <f>IF(D6444="REMOVE",COUNTIF($D$2:D6444,"REMOVE"),"")</f>
        <v/>
      </c>
      <c r="I6444">
        <f>IF(E6444="Gmail",COUNTIF($E$2:E6444,"Gmail"),"")</f>
        <v/>
      </c>
      <c r="J6444">
        <f>IF(E6444="Outlook",COUNTIF($E$2:E6444,"Outlook"),"")</f>
        <v/>
      </c>
      <c r="K6444">
        <f>IF(E6444="Domain",COUNTIF($E$2:E6444,"Domain"),"")</f>
        <v/>
      </c>
    </row>
    <row r="6445">
      <c r="A6445" s="2" t="n"/>
      <c r="B6445">
        <f>LOWER(TRIM(A6445))</f>
        <v/>
      </c>
      <c r="C6445">
        <f>IF(B6445="","",IFERROR(INDEX('Bad Patterns'!$A$2:$A$120,MATCH(1,INDEX(--ISNUMBER(SEARCH('Bad Patterns'!$A$2:$A$120,B6445)),0),0)),""))</f>
        <v/>
      </c>
      <c r="D6445">
        <f>IF(B6445="","",IF(C6445&lt;&gt;"","REMOVE","KEEP"))</f>
        <v/>
      </c>
      <c r="E6445">
        <f>IF(D6445&lt;&gt;"KEEP","",IF(RIGHT(B6445,10)="@gmail.com","Gmail",IF(OR(RIGHT(B6445,12)="@outlook.com",RIGHT(B6445,12)="@hotmail.com",RIGHT(B6445,9)="@live.com"),"Outlook","Domain")))</f>
        <v/>
      </c>
      <c r="F6445">
        <f>IF(B6445="","",IFERROR(RIGHT(B6445,LEN(B6445)-FIND("@",B6445)),""))</f>
        <v/>
      </c>
      <c r="G6445">
        <f>IF(D6445="KEEP",COUNTIF($D$2:D6445,"KEEP"),"")</f>
        <v/>
      </c>
      <c r="H6445">
        <f>IF(D6445="REMOVE",COUNTIF($D$2:D6445,"REMOVE"),"")</f>
        <v/>
      </c>
      <c r="I6445">
        <f>IF(E6445="Gmail",COUNTIF($E$2:E6445,"Gmail"),"")</f>
        <v/>
      </c>
      <c r="J6445">
        <f>IF(E6445="Outlook",COUNTIF($E$2:E6445,"Outlook"),"")</f>
        <v/>
      </c>
      <c r="K6445">
        <f>IF(E6445="Domain",COUNTIF($E$2:E6445,"Domain"),"")</f>
        <v/>
      </c>
    </row>
    <row r="6446">
      <c r="A6446" s="2" t="n"/>
      <c r="B6446">
        <f>LOWER(TRIM(A6446))</f>
        <v/>
      </c>
      <c r="C6446">
        <f>IF(B6446="","",IFERROR(INDEX('Bad Patterns'!$A$2:$A$120,MATCH(1,INDEX(--ISNUMBER(SEARCH('Bad Patterns'!$A$2:$A$120,B6446)),0),0)),""))</f>
        <v/>
      </c>
      <c r="D6446">
        <f>IF(B6446="","",IF(C6446&lt;&gt;"","REMOVE","KEEP"))</f>
        <v/>
      </c>
      <c r="E6446">
        <f>IF(D6446&lt;&gt;"KEEP","",IF(RIGHT(B6446,10)="@gmail.com","Gmail",IF(OR(RIGHT(B6446,12)="@outlook.com",RIGHT(B6446,12)="@hotmail.com",RIGHT(B6446,9)="@live.com"),"Outlook","Domain")))</f>
        <v/>
      </c>
      <c r="F6446">
        <f>IF(B6446="","",IFERROR(RIGHT(B6446,LEN(B6446)-FIND("@",B6446)),""))</f>
        <v/>
      </c>
      <c r="G6446">
        <f>IF(D6446="KEEP",COUNTIF($D$2:D6446,"KEEP"),"")</f>
        <v/>
      </c>
      <c r="H6446">
        <f>IF(D6446="REMOVE",COUNTIF($D$2:D6446,"REMOVE"),"")</f>
        <v/>
      </c>
      <c r="I6446">
        <f>IF(E6446="Gmail",COUNTIF($E$2:E6446,"Gmail"),"")</f>
        <v/>
      </c>
      <c r="J6446">
        <f>IF(E6446="Outlook",COUNTIF($E$2:E6446,"Outlook"),"")</f>
        <v/>
      </c>
      <c r="K6446">
        <f>IF(E6446="Domain",COUNTIF($E$2:E6446,"Domain"),"")</f>
        <v/>
      </c>
    </row>
    <row r="6447">
      <c r="A6447" s="2" t="n"/>
      <c r="B6447">
        <f>LOWER(TRIM(A6447))</f>
        <v/>
      </c>
      <c r="C6447">
        <f>IF(B6447="","",IFERROR(INDEX('Bad Patterns'!$A$2:$A$120,MATCH(1,INDEX(--ISNUMBER(SEARCH('Bad Patterns'!$A$2:$A$120,B6447)),0),0)),""))</f>
        <v/>
      </c>
      <c r="D6447">
        <f>IF(B6447="","",IF(C6447&lt;&gt;"","REMOVE","KEEP"))</f>
        <v/>
      </c>
      <c r="E6447">
        <f>IF(D6447&lt;&gt;"KEEP","",IF(RIGHT(B6447,10)="@gmail.com","Gmail",IF(OR(RIGHT(B6447,12)="@outlook.com",RIGHT(B6447,12)="@hotmail.com",RIGHT(B6447,9)="@live.com"),"Outlook","Domain")))</f>
        <v/>
      </c>
      <c r="F6447">
        <f>IF(B6447="","",IFERROR(RIGHT(B6447,LEN(B6447)-FIND("@",B6447)),""))</f>
        <v/>
      </c>
      <c r="G6447">
        <f>IF(D6447="KEEP",COUNTIF($D$2:D6447,"KEEP"),"")</f>
        <v/>
      </c>
      <c r="H6447">
        <f>IF(D6447="REMOVE",COUNTIF($D$2:D6447,"REMOVE"),"")</f>
        <v/>
      </c>
      <c r="I6447">
        <f>IF(E6447="Gmail",COUNTIF($E$2:E6447,"Gmail"),"")</f>
        <v/>
      </c>
      <c r="J6447">
        <f>IF(E6447="Outlook",COUNTIF($E$2:E6447,"Outlook"),"")</f>
        <v/>
      </c>
      <c r="K6447">
        <f>IF(E6447="Domain",COUNTIF($E$2:E6447,"Domain"),"")</f>
        <v/>
      </c>
    </row>
    <row r="6448">
      <c r="A6448" s="2" t="n"/>
      <c r="B6448">
        <f>LOWER(TRIM(A6448))</f>
        <v/>
      </c>
      <c r="C6448">
        <f>IF(B6448="","",IFERROR(INDEX('Bad Patterns'!$A$2:$A$120,MATCH(1,INDEX(--ISNUMBER(SEARCH('Bad Patterns'!$A$2:$A$120,B6448)),0),0)),""))</f>
        <v/>
      </c>
      <c r="D6448">
        <f>IF(B6448="","",IF(C6448&lt;&gt;"","REMOVE","KEEP"))</f>
        <v/>
      </c>
      <c r="E6448">
        <f>IF(D6448&lt;&gt;"KEEP","",IF(RIGHT(B6448,10)="@gmail.com","Gmail",IF(OR(RIGHT(B6448,12)="@outlook.com",RIGHT(B6448,12)="@hotmail.com",RIGHT(B6448,9)="@live.com"),"Outlook","Domain")))</f>
        <v/>
      </c>
      <c r="F6448">
        <f>IF(B6448="","",IFERROR(RIGHT(B6448,LEN(B6448)-FIND("@",B6448)),""))</f>
        <v/>
      </c>
      <c r="G6448">
        <f>IF(D6448="KEEP",COUNTIF($D$2:D6448,"KEEP"),"")</f>
        <v/>
      </c>
      <c r="H6448">
        <f>IF(D6448="REMOVE",COUNTIF($D$2:D6448,"REMOVE"),"")</f>
        <v/>
      </c>
      <c r="I6448">
        <f>IF(E6448="Gmail",COUNTIF($E$2:E6448,"Gmail"),"")</f>
        <v/>
      </c>
      <c r="J6448">
        <f>IF(E6448="Outlook",COUNTIF($E$2:E6448,"Outlook"),"")</f>
        <v/>
      </c>
      <c r="K6448">
        <f>IF(E6448="Domain",COUNTIF($E$2:E6448,"Domain"),"")</f>
        <v/>
      </c>
    </row>
    <row r="6449">
      <c r="A6449" s="2" t="n"/>
      <c r="B6449">
        <f>LOWER(TRIM(A6449))</f>
        <v/>
      </c>
      <c r="C6449">
        <f>IF(B6449="","",IFERROR(INDEX('Bad Patterns'!$A$2:$A$120,MATCH(1,INDEX(--ISNUMBER(SEARCH('Bad Patterns'!$A$2:$A$120,B6449)),0),0)),""))</f>
        <v/>
      </c>
      <c r="D6449">
        <f>IF(B6449="","",IF(C6449&lt;&gt;"","REMOVE","KEEP"))</f>
        <v/>
      </c>
      <c r="E6449">
        <f>IF(D6449&lt;&gt;"KEEP","",IF(RIGHT(B6449,10)="@gmail.com","Gmail",IF(OR(RIGHT(B6449,12)="@outlook.com",RIGHT(B6449,12)="@hotmail.com",RIGHT(B6449,9)="@live.com"),"Outlook","Domain")))</f>
        <v/>
      </c>
      <c r="F6449">
        <f>IF(B6449="","",IFERROR(RIGHT(B6449,LEN(B6449)-FIND("@",B6449)),""))</f>
        <v/>
      </c>
      <c r="G6449">
        <f>IF(D6449="KEEP",COUNTIF($D$2:D6449,"KEEP"),"")</f>
        <v/>
      </c>
      <c r="H6449">
        <f>IF(D6449="REMOVE",COUNTIF($D$2:D6449,"REMOVE"),"")</f>
        <v/>
      </c>
      <c r="I6449">
        <f>IF(E6449="Gmail",COUNTIF($E$2:E6449,"Gmail"),"")</f>
        <v/>
      </c>
      <c r="J6449">
        <f>IF(E6449="Outlook",COUNTIF($E$2:E6449,"Outlook"),"")</f>
        <v/>
      </c>
      <c r="K6449">
        <f>IF(E6449="Domain",COUNTIF($E$2:E6449,"Domain"),"")</f>
        <v/>
      </c>
    </row>
    <row r="6450">
      <c r="A6450" s="2" t="n"/>
      <c r="B6450">
        <f>LOWER(TRIM(A6450))</f>
        <v/>
      </c>
      <c r="C6450">
        <f>IF(B6450="","",IFERROR(INDEX('Bad Patterns'!$A$2:$A$120,MATCH(1,INDEX(--ISNUMBER(SEARCH('Bad Patterns'!$A$2:$A$120,B6450)),0),0)),""))</f>
        <v/>
      </c>
      <c r="D6450">
        <f>IF(B6450="","",IF(C6450&lt;&gt;"","REMOVE","KEEP"))</f>
        <v/>
      </c>
      <c r="E6450">
        <f>IF(D6450&lt;&gt;"KEEP","",IF(RIGHT(B6450,10)="@gmail.com","Gmail",IF(OR(RIGHT(B6450,12)="@outlook.com",RIGHT(B6450,12)="@hotmail.com",RIGHT(B6450,9)="@live.com"),"Outlook","Domain")))</f>
        <v/>
      </c>
      <c r="F6450">
        <f>IF(B6450="","",IFERROR(RIGHT(B6450,LEN(B6450)-FIND("@",B6450)),""))</f>
        <v/>
      </c>
      <c r="G6450">
        <f>IF(D6450="KEEP",COUNTIF($D$2:D6450,"KEEP"),"")</f>
        <v/>
      </c>
      <c r="H6450">
        <f>IF(D6450="REMOVE",COUNTIF($D$2:D6450,"REMOVE"),"")</f>
        <v/>
      </c>
      <c r="I6450">
        <f>IF(E6450="Gmail",COUNTIF($E$2:E6450,"Gmail"),"")</f>
        <v/>
      </c>
      <c r="J6450">
        <f>IF(E6450="Outlook",COUNTIF($E$2:E6450,"Outlook"),"")</f>
        <v/>
      </c>
      <c r="K6450">
        <f>IF(E6450="Domain",COUNTIF($E$2:E6450,"Domain"),"")</f>
        <v/>
      </c>
    </row>
    <row r="6451">
      <c r="A6451" s="2" t="n"/>
      <c r="B6451">
        <f>LOWER(TRIM(A6451))</f>
        <v/>
      </c>
      <c r="C6451">
        <f>IF(B6451="","",IFERROR(INDEX('Bad Patterns'!$A$2:$A$120,MATCH(1,INDEX(--ISNUMBER(SEARCH('Bad Patterns'!$A$2:$A$120,B6451)),0),0)),""))</f>
        <v/>
      </c>
      <c r="D6451">
        <f>IF(B6451="","",IF(C6451&lt;&gt;"","REMOVE","KEEP"))</f>
        <v/>
      </c>
      <c r="E6451">
        <f>IF(D6451&lt;&gt;"KEEP","",IF(RIGHT(B6451,10)="@gmail.com","Gmail",IF(OR(RIGHT(B6451,12)="@outlook.com",RIGHT(B6451,12)="@hotmail.com",RIGHT(B6451,9)="@live.com"),"Outlook","Domain")))</f>
        <v/>
      </c>
      <c r="F6451">
        <f>IF(B6451="","",IFERROR(RIGHT(B6451,LEN(B6451)-FIND("@",B6451)),""))</f>
        <v/>
      </c>
      <c r="G6451">
        <f>IF(D6451="KEEP",COUNTIF($D$2:D6451,"KEEP"),"")</f>
        <v/>
      </c>
      <c r="H6451">
        <f>IF(D6451="REMOVE",COUNTIF($D$2:D6451,"REMOVE"),"")</f>
        <v/>
      </c>
      <c r="I6451">
        <f>IF(E6451="Gmail",COUNTIF($E$2:E6451,"Gmail"),"")</f>
        <v/>
      </c>
      <c r="J6451">
        <f>IF(E6451="Outlook",COUNTIF($E$2:E6451,"Outlook"),"")</f>
        <v/>
      </c>
      <c r="K6451">
        <f>IF(E6451="Domain",COUNTIF($E$2:E6451,"Domain"),"")</f>
        <v/>
      </c>
    </row>
    <row r="6452">
      <c r="A6452" s="2" t="n"/>
      <c r="B6452">
        <f>LOWER(TRIM(A6452))</f>
        <v/>
      </c>
      <c r="C6452">
        <f>IF(B6452="","",IFERROR(INDEX('Bad Patterns'!$A$2:$A$120,MATCH(1,INDEX(--ISNUMBER(SEARCH('Bad Patterns'!$A$2:$A$120,B6452)),0),0)),""))</f>
        <v/>
      </c>
      <c r="D6452">
        <f>IF(B6452="","",IF(C6452&lt;&gt;"","REMOVE","KEEP"))</f>
        <v/>
      </c>
      <c r="E6452">
        <f>IF(D6452&lt;&gt;"KEEP","",IF(RIGHT(B6452,10)="@gmail.com","Gmail",IF(OR(RIGHT(B6452,12)="@outlook.com",RIGHT(B6452,12)="@hotmail.com",RIGHT(B6452,9)="@live.com"),"Outlook","Domain")))</f>
        <v/>
      </c>
      <c r="F6452">
        <f>IF(B6452="","",IFERROR(RIGHT(B6452,LEN(B6452)-FIND("@",B6452)),""))</f>
        <v/>
      </c>
      <c r="G6452">
        <f>IF(D6452="KEEP",COUNTIF($D$2:D6452,"KEEP"),"")</f>
        <v/>
      </c>
      <c r="H6452">
        <f>IF(D6452="REMOVE",COUNTIF($D$2:D6452,"REMOVE"),"")</f>
        <v/>
      </c>
      <c r="I6452">
        <f>IF(E6452="Gmail",COUNTIF($E$2:E6452,"Gmail"),"")</f>
        <v/>
      </c>
      <c r="J6452">
        <f>IF(E6452="Outlook",COUNTIF($E$2:E6452,"Outlook"),"")</f>
        <v/>
      </c>
      <c r="K6452">
        <f>IF(E6452="Domain",COUNTIF($E$2:E6452,"Domain"),"")</f>
        <v/>
      </c>
    </row>
    <row r="6453">
      <c r="A6453" s="2" t="n"/>
      <c r="B6453">
        <f>LOWER(TRIM(A6453))</f>
        <v/>
      </c>
      <c r="C6453">
        <f>IF(B6453="","",IFERROR(INDEX('Bad Patterns'!$A$2:$A$120,MATCH(1,INDEX(--ISNUMBER(SEARCH('Bad Patterns'!$A$2:$A$120,B6453)),0),0)),""))</f>
        <v/>
      </c>
      <c r="D6453">
        <f>IF(B6453="","",IF(C6453&lt;&gt;"","REMOVE","KEEP"))</f>
        <v/>
      </c>
      <c r="E6453">
        <f>IF(D6453&lt;&gt;"KEEP","",IF(RIGHT(B6453,10)="@gmail.com","Gmail",IF(OR(RIGHT(B6453,12)="@outlook.com",RIGHT(B6453,12)="@hotmail.com",RIGHT(B6453,9)="@live.com"),"Outlook","Domain")))</f>
        <v/>
      </c>
      <c r="F6453">
        <f>IF(B6453="","",IFERROR(RIGHT(B6453,LEN(B6453)-FIND("@",B6453)),""))</f>
        <v/>
      </c>
      <c r="G6453">
        <f>IF(D6453="KEEP",COUNTIF($D$2:D6453,"KEEP"),"")</f>
        <v/>
      </c>
      <c r="H6453">
        <f>IF(D6453="REMOVE",COUNTIF($D$2:D6453,"REMOVE"),"")</f>
        <v/>
      </c>
      <c r="I6453">
        <f>IF(E6453="Gmail",COUNTIF($E$2:E6453,"Gmail"),"")</f>
        <v/>
      </c>
      <c r="J6453">
        <f>IF(E6453="Outlook",COUNTIF($E$2:E6453,"Outlook"),"")</f>
        <v/>
      </c>
      <c r="K6453">
        <f>IF(E6453="Domain",COUNTIF($E$2:E6453,"Domain"),"")</f>
        <v/>
      </c>
    </row>
    <row r="6454">
      <c r="A6454" s="2" t="n"/>
      <c r="B6454">
        <f>LOWER(TRIM(A6454))</f>
        <v/>
      </c>
      <c r="C6454">
        <f>IF(B6454="","",IFERROR(INDEX('Bad Patterns'!$A$2:$A$120,MATCH(1,INDEX(--ISNUMBER(SEARCH('Bad Patterns'!$A$2:$A$120,B6454)),0),0)),""))</f>
        <v/>
      </c>
      <c r="D6454">
        <f>IF(B6454="","",IF(C6454&lt;&gt;"","REMOVE","KEEP"))</f>
        <v/>
      </c>
      <c r="E6454">
        <f>IF(D6454&lt;&gt;"KEEP","",IF(RIGHT(B6454,10)="@gmail.com","Gmail",IF(OR(RIGHT(B6454,12)="@outlook.com",RIGHT(B6454,12)="@hotmail.com",RIGHT(B6454,9)="@live.com"),"Outlook","Domain")))</f>
        <v/>
      </c>
      <c r="F6454">
        <f>IF(B6454="","",IFERROR(RIGHT(B6454,LEN(B6454)-FIND("@",B6454)),""))</f>
        <v/>
      </c>
      <c r="G6454">
        <f>IF(D6454="KEEP",COUNTIF($D$2:D6454,"KEEP"),"")</f>
        <v/>
      </c>
      <c r="H6454">
        <f>IF(D6454="REMOVE",COUNTIF($D$2:D6454,"REMOVE"),"")</f>
        <v/>
      </c>
      <c r="I6454">
        <f>IF(E6454="Gmail",COUNTIF($E$2:E6454,"Gmail"),"")</f>
        <v/>
      </c>
      <c r="J6454">
        <f>IF(E6454="Outlook",COUNTIF($E$2:E6454,"Outlook"),"")</f>
        <v/>
      </c>
      <c r="K6454">
        <f>IF(E6454="Domain",COUNTIF($E$2:E6454,"Domain"),"")</f>
        <v/>
      </c>
    </row>
    <row r="6455">
      <c r="A6455" s="2" t="n"/>
      <c r="B6455">
        <f>LOWER(TRIM(A6455))</f>
        <v/>
      </c>
      <c r="C6455">
        <f>IF(B6455="","",IFERROR(INDEX('Bad Patterns'!$A$2:$A$120,MATCH(1,INDEX(--ISNUMBER(SEARCH('Bad Patterns'!$A$2:$A$120,B6455)),0),0)),""))</f>
        <v/>
      </c>
      <c r="D6455">
        <f>IF(B6455="","",IF(C6455&lt;&gt;"","REMOVE","KEEP"))</f>
        <v/>
      </c>
      <c r="E6455">
        <f>IF(D6455&lt;&gt;"KEEP","",IF(RIGHT(B6455,10)="@gmail.com","Gmail",IF(OR(RIGHT(B6455,12)="@outlook.com",RIGHT(B6455,12)="@hotmail.com",RIGHT(B6455,9)="@live.com"),"Outlook","Domain")))</f>
        <v/>
      </c>
      <c r="F6455">
        <f>IF(B6455="","",IFERROR(RIGHT(B6455,LEN(B6455)-FIND("@",B6455)),""))</f>
        <v/>
      </c>
      <c r="G6455">
        <f>IF(D6455="KEEP",COUNTIF($D$2:D6455,"KEEP"),"")</f>
        <v/>
      </c>
      <c r="H6455">
        <f>IF(D6455="REMOVE",COUNTIF($D$2:D6455,"REMOVE"),"")</f>
        <v/>
      </c>
      <c r="I6455">
        <f>IF(E6455="Gmail",COUNTIF($E$2:E6455,"Gmail"),"")</f>
        <v/>
      </c>
      <c r="J6455">
        <f>IF(E6455="Outlook",COUNTIF($E$2:E6455,"Outlook"),"")</f>
        <v/>
      </c>
      <c r="K6455">
        <f>IF(E6455="Domain",COUNTIF($E$2:E6455,"Domain"),"")</f>
        <v/>
      </c>
    </row>
    <row r="6456">
      <c r="A6456" s="2" t="n"/>
      <c r="B6456">
        <f>LOWER(TRIM(A6456))</f>
        <v/>
      </c>
      <c r="C6456">
        <f>IF(B6456="","",IFERROR(INDEX('Bad Patterns'!$A$2:$A$120,MATCH(1,INDEX(--ISNUMBER(SEARCH('Bad Patterns'!$A$2:$A$120,B6456)),0),0)),""))</f>
        <v/>
      </c>
      <c r="D6456">
        <f>IF(B6456="","",IF(C6456&lt;&gt;"","REMOVE","KEEP"))</f>
        <v/>
      </c>
      <c r="E6456">
        <f>IF(D6456&lt;&gt;"KEEP","",IF(RIGHT(B6456,10)="@gmail.com","Gmail",IF(OR(RIGHT(B6456,12)="@outlook.com",RIGHT(B6456,12)="@hotmail.com",RIGHT(B6456,9)="@live.com"),"Outlook","Domain")))</f>
        <v/>
      </c>
      <c r="F6456">
        <f>IF(B6456="","",IFERROR(RIGHT(B6456,LEN(B6456)-FIND("@",B6456)),""))</f>
        <v/>
      </c>
      <c r="G6456">
        <f>IF(D6456="KEEP",COUNTIF($D$2:D6456,"KEEP"),"")</f>
        <v/>
      </c>
      <c r="H6456">
        <f>IF(D6456="REMOVE",COUNTIF($D$2:D6456,"REMOVE"),"")</f>
        <v/>
      </c>
      <c r="I6456">
        <f>IF(E6456="Gmail",COUNTIF($E$2:E6456,"Gmail"),"")</f>
        <v/>
      </c>
      <c r="J6456">
        <f>IF(E6456="Outlook",COUNTIF($E$2:E6456,"Outlook"),"")</f>
        <v/>
      </c>
      <c r="K6456">
        <f>IF(E6456="Domain",COUNTIF($E$2:E6456,"Domain"),"")</f>
        <v/>
      </c>
    </row>
    <row r="6457">
      <c r="A6457" s="2" t="n"/>
      <c r="B6457">
        <f>LOWER(TRIM(A6457))</f>
        <v/>
      </c>
      <c r="C6457">
        <f>IF(B6457="","",IFERROR(INDEX('Bad Patterns'!$A$2:$A$120,MATCH(1,INDEX(--ISNUMBER(SEARCH('Bad Patterns'!$A$2:$A$120,B6457)),0),0)),""))</f>
        <v/>
      </c>
      <c r="D6457">
        <f>IF(B6457="","",IF(C6457&lt;&gt;"","REMOVE","KEEP"))</f>
        <v/>
      </c>
      <c r="E6457">
        <f>IF(D6457&lt;&gt;"KEEP","",IF(RIGHT(B6457,10)="@gmail.com","Gmail",IF(OR(RIGHT(B6457,12)="@outlook.com",RIGHT(B6457,12)="@hotmail.com",RIGHT(B6457,9)="@live.com"),"Outlook","Domain")))</f>
        <v/>
      </c>
      <c r="F6457">
        <f>IF(B6457="","",IFERROR(RIGHT(B6457,LEN(B6457)-FIND("@",B6457)),""))</f>
        <v/>
      </c>
      <c r="G6457">
        <f>IF(D6457="KEEP",COUNTIF($D$2:D6457,"KEEP"),"")</f>
        <v/>
      </c>
      <c r="H6457">
        <f>IF(D6457="REMOVE",COUNTIF($D$2:D6457,"REMOVE"),"")</f>
        <v/>
      </c>
      <c r="I6457">
        <f>IF(E6457="Gmail",COUNTIF($E$2:E6457,"Gmail"),"")</f>
        <v/>
      </c>
      <c r="J6457">
        <f>IF(E6457="Outlook",COUNTIF($E$2:E6457,"Outlook"),"")</f>
        <v/>
      </c>
      <c r="K6457">
        <f>IF(E6457="Domain",COUNTIF($E$2:E6457,"Domain"),"")</f>
        <v/>
      </c>
    </row>
    <row r="6458">
      <c r="A6458" s="2" t="n"/>
      <c r="B6458">
        <f>LOWER(TRIM(A6458))</f>
        <v/>
      </c>
      <c r="C6458">
        <f>IF(B6458="","",IFERROR(INDEX('Bad Patterns'!$A$2:$A$120,MATCH(1,INDEX(--ISNUMBER(SEARCH('Bad Patterns'!$A$2:$A$120,B6458)),0),0)),""))</f>
        <v/>
      </c>
      <c r="D6458">
        <f>IF(B6458="","",IF(C6458&lt;&gt;"","REMOVE","KEEP"))</f>
        <v/>
      </c>
      <c r="E6458">
        <f>IF(D6458&lt;&gt;"KEEP","",IF(RIGHT(B6458,10)="@gmail.com","Gmail",IF(OR(RIGHT(B6458,12)="@outlook.com",RIGHT(B6458,12)="@hotmail.com",RIGHT(B6458,9)="@live.com"),"Outlook","Domain")))</f>
        <v/>
      </c>
      <c r="F6458">
        <f>IF(B6458="","",IFERROR(RIGHT(B6458,LEN(B6458)-FIND("@",B6458)),""))</f>
        <v/>
      </c>
      <c r="G6458">
        <f>IF(D6458="KEEP",COUNTIF($D$2:D6458,"KEEP"),"")</f>
        <v/>
      </c>
      <c r="H6458">
        <f>IF(D6458="REMOVE",COUNTIF($D$2:D6458,"REMOVE"),"")</f>
        <v/>
      </c>
      <c r="I6458">
        <f>IF(E6458="Gmail",COUNTIF($E$2:E6458,"Gmail"),"")</f>
        <v/>
      </c>
      <c r="J6458">
        <f>IF(E6458="Outlook",COUNTIF($E$2:E6458,"Outlook"),"")</f>
        <v/>
      </c>
      <c r="K6458">
        <f>IF(E6458="Domain",COUNTIF($E$2:E6458,"Domain"),"")</f>
        <v/>
      </c>
    </row>
    <row r="6459">
      <c r="A6459" s="2" t="n"/>
      <c r="B6459">
        <f>LOWER(TRIM(A6459))</f>
        <v/>
      </c>
      <c r="C6459">
        <f>IF(B6459="","",IFERROR(INDEX('Bad Patterns'!$A$2:$A$120,MATCH(1,INDEX(--ISNUMBER(SEARCH('Bad Patterns'!$A$2:$A$120,B6459)),0),0)),""))</f>
        <v/>
      </c>
      <c r="D6459">
        <f>IF(B6459="","",IF(C6459&lt;&gt;"","REMOVE","KEEP"))</f>
        <v/>
      </c>
      <c r="E6459">
        <f>IF(D6459&lt;&gt;"KEEP","",IF(RIGHT(B6459,10)="@gmail.com","Gmail",IF(OR(RIGHT(B6459,12)="@outlook.com",RIGHT(B6459,12)="@hotmail.com",RIGHT(B6459,9)="@live.com"),"Outlook","Domain")))</f>
        <v/>
      </c>
      <c r="F6459">
        <f>IF(B6459="","",IFERROR(RIGHT(B6459,LEN(B6459)-FIND("@",B6459)),""))</f>
        <v/>
      </c>
      <c r="G6459">
        <f>IF(D6459="KEEP",COUNTIF($D$2:D6459,"KEEP"),"")</f>
        <v/>
      </c>
      <c r="H6459">
        <f>IF(D6459="REMOVE",COUNTIF($D$2:D6459,"REMOVE"),"")</f>
        <v/>
      </c>
      <c r="I6459">
        <f>IF(E6459="Gmail",COUNTIF($E$2:E6459,"Gmail"),"")</f>
        <v/>
      </c>
      <c r="J6459">
        <f>IF(E6459="Outlook",COUNTIF($E$2:E6459,"Outlook"),"")</f>
        <v/>
      </c>
      <c r="K6459">
        <f>IF(E6459="Domain",COUNTIF($E$2:E6459,"Domain"),"")</f>
        <v/>
      </c>
    </row>
    <row r="6460">
      <c r="A6460" s="2" t="n"/>
      <c r="B6460">
        <f>LOWER(TRIM(A6460))</f>
        <v/>
      </c>
      <c r="C6460">
        <f>IF(B6460="","",IFERROR(INDEX('Bad Patterns'!$A$2:$A$120,MATCH(1,INDEX(--ISNUMBER(SEARCH('Bad Patterns'!$A$2:$A$120,B6460)),0),0)),""))</f>
        <v/>
      </c>
      <c r="D6460">
        <f>IF(B6460="","",IF(C6460&lt;&gt;"","REMOVE","KEEP"))</f>
        <v/>
      </c>
      <c r="E6460">
        <f>IF(D6460&lt;&gt;"KEEP","",IF(RIGHT(B6460,10)="@gmail.com","Gmail",IF(OR(RIGHT(B6460,12)="@outlook.com",RIGHT(B6460,12)="@hotmail.com",RIGHT(B6460,9)="@live.com"),"Outlook","Domain")))</f>
        <v/>
      </c>
      <c r="F6460">
        <f>IF(B6460="","",IFERROR(RIGHT(B6460,LEN(B6460)-FIND("@",B6460)),""))</f>
        <v/>
      </c>
      <c r="G6460">
        <f>IF(D6460="KEEP",COUNTIF($D$2:D6460,"KEEP"),"")</f>
        <v/>
      </c>
      <c r="H6460">
        <f>IF(D6460="REMOVE",COUNTIF($D$2:D6460,"REMOVE"),"")</f>
        <v/>
      </c>
      <c r="I6460">
        <f>IF(E6460="Gmail",COUNTIF($E$2:E6460,"Gmail"),"")</f>
        <v/>
      </c>
      <c r="J6460">
        <f>IF(E6460="Outlook",COUNTIF($E$2:E6460,"Outlook"),"")</f>
        <v/>
      </c>
      <c r="K6460">
        <f>IF(E6460="Domain",COUNTIF($E$2:E6460,"Domain"),"")</f>
        <v/>
      </c>
    </row>
    <row r="6461">
      <c r="A6461" s="2" t="n"/>
      <c r="B6461">
        <f>LOWER(TRIM(A6461))</f>
        <v/>
      </c>
      <c r="C6461">
        <f>IF(B6461="","",IFERROR(INDEX('Bad Patterns'!$A$2:$A$120,MATCH(1,INDEX(--ISNUMBER(SEARCH('Bad Patterns'!$A$2:$A$120,B6461)),0),0)),""))</f>
        <v/>
      </c>
      <c r="D6461">
        <f>IF(B6461="","",IF(C6461&lt;&gt;"","REMOVE","KEEP"))</f>
        <v/>
      </c>
      <c r="E6461">
        <f>IF(D6461&lt;&gt;"KEEP","",IF(RIGHT(B6461,10)="@gmail.com","Gmail",IF(OR(RIGHT(B6461,12)="@outlook.com",RIGHT(B6461,12)="@hotmail.com",RIGHT(B6461,9)="@live.com"),"Outlook","Domain")))</f>
        <v/>
      </c>
      <c r="F6461">
        <f>IF(B6461="","",IFERROR(RIGHT(B6461,LEN(B6461)-FIND("@",B6461)),""))</f>
        <v/>
      </c>
      <c r="G6461">
        <f>IF(D6461="KEEP",COUNTIF($D$2:D6461,"KEEP"),"")</f>
        <v/>
      </c>
      <c r="H6461">
        <f>IF(D6461="REMOVE",COUNTIF($D$2:D6461,"REMOVE"),"")</f>
        <v/>
      </c>
      <c r="I6461">
        <f>IF(E6461="Gmail",COUNTIF($E$2:E6461,"Gmail"),"")</f>
        <v/>
      </c>
      <c r="J6461">
        <f>IF(E6461="Outlook",COUNTIF($E$2:E6461,"Outlook"),"")</f>
        <v/>
      </c>
      <c r="K6461">
        <f>IF(E6461="Domain",COUNTIF($E$2:E6461,"Domain"),"")</f>
        <v/>
      </c>
    </row>
    <row r="6462">
      <c r="A6462" s="2" t="n"/>
      <c r="B6462">
        <f>LOWER(TRIM(A6462))</f>
        <v/>
      </c>
      <c r="C6462">
        <f>IF(B6462="","",IFERROR(INDEX('Bad Patterns'!$A$2:$A$120,MATCH(1,INDEX(--ISNUMBER(SEARCH('Bad Patterns'!$A$2:$A$120,B6462)),0),0)),""))</f>
        <v/>
      </c>
      <c r="D6462">
        <f>IF(B6462="","",IF(C6462&lt;&gt;"","REMOVE","KEEP"))</f>
        <v/>
      </c>
      <c r="E6462">
        <f>IF(D6462&lt;&gt;"KEEP","",IF(RIGHT(B6462,10)="@gmail.com","Gmail",IF(OR(RIGHT(B6462,12)="@outlook.com",RIGHT(B6462,12)="@hotmail.com",RIGHT(B6462,9)="@live.com"),"Outlook","Domain")))</f>
        <v/>
      </c>
      <c r="F6462">
        <f>IF(B6462="","",IFERROR(RIGHT(B6462,LEN(B6462)-FIND("@",B6462)),""))</f>
        <v/>
      </c>
      <c r="G6462">
        <f>IF(D6462="KEEP",COUNTIF($D$2:D6462,"KEEP"),"")</f>
        <v/>
      </c>
      <c r="H6462">
        <f>IF(D6462="REMOVE",COUNTIF($D$2:D6462,"REMOVE"),"")</f>
        <v/>
      </c>
      <c r="I6462">
        <f>IF(E6462="Gmail",COUNTIF($E$2:E6462,"Gmail"),"")</f>
        <v/>
      </c>
      <c r="J6462">
        <f>IF(E6462="Outlook",COUNTIF($E$2:E6462,"Outlook"),"")</f>
        <v/>
      </c>
      <c r="K6462">
        <f>IF(E6462="Domain",COUNTIF($E$2:E6462,"Domain"),"")</f>
        <v/>
      </c>
    </row>
    <row r="6463">
      <c r="A6463" s="2" t="n"/>
      <c r="B6463">
        <f>LOWER(TRIM(A6463))</f>
        <v/>
      </c>
      <c r="C6463">
        <f>IF(B6463="","",IFERROR(INDEX('Bad Patterns'!$A$2:$A$120,MATCH(1,INDEX(--ISNUMBER(SEARCH('Bad Patterns'!$A$2:$A$120,B6463)),0),0)),""))</f>
        <v/>
      </c>
      <c r="D6463">
        <f>IF(B6463="","",IF(C6463&lt;&gt;"","REMOVE","KEEP"))</f>
        <v/>
      </c>
      <c r="E6463">
        <f>IF(D6463&lt;&gt;"KEEP","",IF(RIGHT(B6463,10)="@gmail.com","Gmail",IF(OR(RIGHT(B6463,12)="@outlook.com",RIGHT(B6463,12)="@hotmail.com",RIGHT(B6463,9)="@live.com"),"Outlook","Domain")))</f>
        <v/>
      </c>
      <c r="F6463">
        <f>IF(B6463="","",IFERROR(RIGHT(B6463,LEN(B6463)-FIND("@",B6463)),""))</f>
        <v/>
      </c>
      <c r="G6463">
        <f>IF(D6463="KEEP",COUNTIF($D$2:D6463,"KEEP"),"")</f>
        <v/>
      </c>
      <c r="H6463">
        <f>IF(D6463="REMOVE",COUNTIF($D$2:D6463,"REMOVE"),"")</f>
        <v/>
      </c>
      <c r="I6463">
        <f>IF(E6463="Gmail",COUNTIF($E$2:E6463,"Gmail"),"")</f>
        <v/>
      </c>
      <c r="J6463">
        <f>IF(E6463="Outlook",COUNTIF($E$2:E6463,"Outlook"),"")</f>
        <v/>
      </c>
      <c r="K6463">
        <f>IF(E6463="Domain",COUNTIF($E$2:E6463,"Domain"),"")</f>
        <v/>
      </c>
    </row>
    <row r="6464">
      <c r="A6464" s="2" t="n"/>
      <c r="B6464">
        <f>LOWER(TRIM(A6464))</f>
        <v/>
      </c>
      <c r="C6464">
        <f>IF(B6464="","",IFERROR(INDEX('Bad Patterns'!$A$2:$A$120,MATCH(1,INDEX(--ISNUMBER(SEARCH('Bad Patterns'!$A$2:$A$120,B6464)),0),0)),""))</f>
        <v/>
      </c>
      <c r="D6464">
        <f>IF(B6464="","",IF(C6464&lt;&gt;"","REMOVE","KEEP"))</f>
        <v/>
      </c>
      <c r="E6464">
        <f>IF(D6464&lt;&gt;"KEEP","",IF(RIGHT(B6464,10)="@gmail.com","Gmail",IF(OR(RIGHT(B6464,12)="@outlook.com",RIGHT(B6464,12)="@hotmail.com",RIGHT(B6464,9)="@live.com"),"Outlook","Domain")))</f>
        <v/>
      </c>
      <c r="F6464">
        <f>IF(B6464="","",IFERROR(RIGHT(B6464,LEN(B6464)-FIND("@",B6464)),""))</f>
        <v/>
      </c>
      <c r="G6464">
        <f>IF(D6464="KEEP",COUNTIF($D$2:D6464,"KEEP"),"")</f>
        <v/>
      </c>
      <c r="H6464">
        <f>IF(D6464="REMOVE",COUNTIF($D$2:D6464,"REMOVE"),"")</f>
        <v/>
      </c>
      <c r="I6464">
        <f>IF(E6464="Gmail",COUNTIF($E$2:E6464,"Gmail"),"")</f>
        <v/>
      </c>
      <c r="J6464">
        <f>IF(E6464="Outlook",COUNTIF($E$2:E6464,"Outlook"),"")</f>
        <v/>
      </c>
      <c r="K6464">
        <f>IF(E6464="Domain",COUNTIF($E$2:E6464,"Domain"),"")</f>
        <v/>
      </c>
    </row>
    <row r="6465">
      <c r="A6465" s="2" t="n"/>
      <c r="B6465">
        <f>LOWER(TRIM(A6465))</f>
        <v/>
      </c>
      <c r="C6465">
        <f>IF(B6465="","",IFERROR(INDEX('Bad Patterns'!$A$2:$A$120,MATCH(1,INDEX(--ISNUMBER(SEARCH('Bad Patterns'!$A$2:$A$120,B6465)),0),0)),""))</f>
        <v/>
      </c>
      <c r="D6465">
        <f>IF(B6465="","",IF(C6465&lt;&gt;"","REMOVE","KEEP"))</f>
        <v/>
      </c>
      <c r="E6465">
        <f>IF(D6465&lt;&gt;"KEEP","",IF(RIGHT(B6465,10)="@gmail.com","Gmail",IF(OR(RIGHT(B6465,12)="@outlook.com",RIGHT(B6465,12)="@hotmail.com",RIGHT(B6465,9)="@live.com"),"Outlook","Domain")))</f>
        <v/>
      </c>
      <c r="F6465">
        <f>IF(B6465="","",IFERROR(RIGHT(B6465,LEN(B6465)-FIND("@",B6465)),""))</f>
        <v/>
      </c>
      <c r="G6465">
        <f>IF(D6465="KEEP",COUNTIF($D$2:D6465,"KEEP"),"")</f>
        <v/>
      </c>
      <c r="H6465">
        <f>IF(D6465="REMOVE",COUNTIF($D$2:D6465,"REMOVE"),"")</f>
        <v/>
      </c>
      <c r="I6465">
        <f>IF(E6465="Gmail",COUNTIF($E$2:E6465,"Gmail"),"")</f>
        <v/>
      </c>
      <c r="J6465">
        <f>IF(E6465="Outlook",COUNTIF($E$2:E6465,"Outlook"),"")</f>
        <v/>
      </c>
      <c r="K6465">
        <f>IF(E6465="Domain",COUNTIF($E$2:E6465,"Domain"),"")</f>
        <v/>
      </c>
    </row>
    <row r="6466">
      <c r="A6466" s="2" t="n"/>
      <c r="B6466">
        <f>LOWER(TRIM(A6466))</f>
        <v/>
      </c>
      <c r="C6466">
        <f>IF(B6466="","",IFERROR(INDEX('Bad Patterns'!$A$2:$A$120,MATCH(1,INDEX(--ISNUMBER(SEARCH('Bad Patterns'!$A$2:$A$120,B6466)),0),0)),""))</f>
        <v/>
      </c>
      <c r="D6466">
        <f>IF(B6466="","",IF(C6466&lt;&gt;"","REMOVE","KEEP"))</f>
        <v/>
      </c>
      <c r="E6466">
        <f>IF(D6466&lt;&gt;"KEEP","",IF(RIGHT(B6466,10)="@gmail.com","Gmail",IF(OR(RIGHT(B6466,12)="@outlook.com",RIGHT(B6466,12)="@hotmail.com",RIGHT(B6466,9)="@live.com"),"Outlook","Domain")))</f>
        <v/>
      </c>
      <c r="F6466">
        <f>IF(B6466="","",IFERROR(RIGHT(B6466,LEN(B6466)-FIND("@",B6466)),""))</f>
        <v/>
      </c>
      <c r="G6466">
        <f>IF(D6466="KEEP",COUNTIF($D$2:D6466,"KEEP"),"")</f>
        <v/>
      </c>
      <c r="H6466">
        <f>IF(D6466="REMOVE",COUNTIF($D$2:D6466,"REMOVE"),"")</f>
        <v/>
      </c>
      <c r="I6466">
        <f>IF(E6466="Gmail",COUNTIF($E$2:E6466,"Gmail"),"")</f>
        <v/>
      </c>
      <c r="J6466">
        <f>IF(E6466="Outlook",COUNTIF($E$2:E6466,"Outlook"),"")</f>
        <v/>
      </c>
      <c r="K6466">
        <f>IF(E6466="Domain",COUNTIF($E$2:E6466,"Domain"),"")</f>
        <v/>
      </c>
    </row>
    <row r="6467">
      <c r="A6467" s="2" t="n"/>
      <c r="B6467">
        <f>LOWER(TRIM(A6467))</f>
        <v/>
      </c>
      <c r="C6467">
        <f>IF(B6467="","",IFERROR(INDEX('Bad Patterns'!$A$2:$A$120,MATCH(1,INDEX(--ISNUMBER(SEARCH('Bad Patterns'!$A$2:$A$120,B6467)),0),0)),""))</f>
        <v/>
      </c>
      <c r="D6467">
        <f>IF(B6467="","",IF(C6467&lt;&gt;"","REMOVE","KEEP"))</f>
        <v/>
      </c>
      <c r="E6467">
        <f>IF(D6467&lt;&gt;"KEEP","",IF(RIGHT(B6467,10)="@gmail.com","Gmail",IF(OR(RIGHT(B6467,12)="@outlook.com",RIGHT(B6467,12)="@hotmail.com",RIGHT(B6467,9)="@live.com"),"Outlook","Domain")))</f>
        <v/>
      </c>
      <c r="F6467">
        <f>IF(B6467="","",IFERROR(RIGHT(B6467,LEN(B6467)-FIND("@",B6467)),""))</f>
        <v/>
      </c>
      <c r="G6467">
        <f>IF(D6467="KEEP",COUNTIF($D$2:D6467,"KEEP"),"")</f>
        <v/>
      </c>
      <c r="H6467">
        <f>IF(D6467="REMOVE",COUNTIF($D$2:D6467,"REMOVE"),"")</f>
        <v/>
      </c>
      <c r="I6467">
        <f>IF(E6467="Gmail",COUNTIF($E$2:E6467,"Gmail"),"")</f>
        <v/>
      </c>
      <c r="J6467">
        <f>IF(E6467="Outlook",COUNTIF($E$2:E6467,"Outlook"),"")</f>
        <v/>
      </c>
      <c r="K6467">
        <f>IF(E6467="Domain",COUNTIF($E$2:E6467,"Domain"),"")</f>
        <v/>
      </c>
    </row>
    <row r="6468">
      <c r="A6468" s="2" t="n"/>
      <c r="B6468">
        <f>LOWER(TRIM(A6468))</f>
        <v/>
      </c>
      <c r="C6468">
        <f>IF(B6468="","",IFERROR(INDEX('Bad Patterns'!$A$2:$A$120,MATCH(1,INDEX(--ISNUMBER(SEARCH('Bad Patterns'!$A$2:$A$120,B6468)),0),0)),""))</f>
        <v/>
      </c>
      <c r="D6468">
        <f>IF(B6468="","",IF(C6468&lt;&gt;"","REMOVE","KEEP"))</f>
        <v/>
      </c>
      <c r="E6468">
        <f>IF(D6468&lt;&gt;"KEEP","",IF(RIGHT(B6468,10)="@gmail.com","Gmail",IF(OR(RIGHT(B6468,12)="@outlook.com",RIGHT(B6468,12)="@hotmail.com",RIGHT(B6468,9)="@live.com"),"Outlook","Domain")))</f>
        <v/>
      </c>
      <c r="F6468">
        <f>IF(B6468="","",IFERROR(RIGHT(B6468,LEN(B6468)-FIND("@",B6468)),""))</f>
        <v/>
      </c>
      <c r="G6468">
        <f>IF(D6468="KEEP",COUNTIF($D$2:D6468,"KEEP"),"")</f>
        <v/>
      </c>
      <c r="H6468">
        <f>IF(D6468="REMOVE",COUNTIF($D$2:D6468,"REMOVE"),"")</f>
        <v/>
      </c>
      <c r="I6468">
        <f>IF(E6468="Gmail",COUNTIF($E$2:E6468,"Gmail"),"")</f>
        <v/>
      </c>
      <c r="J6468">
        <f>IF(E6468="Outlook",COUNTIF($E$2:E6468,"Outlook"),"")</f>
        <v/>
      </c>
      <c r="K6468">
        <f>IF(E6468="Domain",COUNTIF($E$2:E6468,"Domain"),"")</f>
        <v/>
      </c>
    </row>
    <row r="6469">
      <c r="A6469" s="2" t="n"/>
      <c r="B6469">
        <f>LOWER(TRIM(A6469))</f>
        <v/>
      </c>
      <c r="C6469">
        <f>IF(B6469="","",IFERROR(INDEX('Bad Patterns'!$A$2:$A$120,MATCH(1,INDEX(--ISNUMBER(SEARCH('Bad Patterns'!$A$2:$A$120,B6469)),0),0)),""))</f>
        <v/>
      </c>
      <c r="D6469">
        <f>IF(B6469="","",IF(C6469&lt;&gt;"","REMOVE","KEEP"))</f>
        <v/>
      </c>
      <c r="E6469">
        <f>IF(D6469&lt;&gt;"KEEP","",IF(RIGHT(B6469,10)="@gmail.com","Gmail",IF(OR(RIGHT(B6469,12)="@outlook.com",RIGHT(B6469,12)="@hotmail.com",RIGHT(B6469,9)="@live.com"),"Outlook","Domain")))</f>
        <v/>
      </c>
      <c r="F6469">
        <f>IF(B6469="","",IFERROR(RIGHT(B6469,LEN(B6469)-FIND("@",B6469)),""))</f>
        <v/>
      </c>
      <c r="G6469">
        <f>IF(D6469="KEEP",COUNTIF($D$2:D6469,"KEEP"),"")</f>
        <v/>
      </c>
      <c r="H6469">
        <f>IF(D6469="REMOVE",COUNTIF($D$2:D6469,"REMOVE"),"")</f>
        <v/>
      </c>
      <c r="I6469">
        <f>IF(E6469="Gmail",COUNTIF($E$2:E6469,"Gmail"),"")</f>
        <v/>
      </c>
      <c r="J6469">
        <f>IF(E6469="Outlook",COUNTIF($E$2:E6469,"Outlook"),"")</f>
        <v/>
      </c>
      <c r="K6469">
        <f>IF(E6469="Domain",COUNTIF($E$2:E6469,"Domain"),"")</f>
        <v/>
      </c>
    </row>
    <row r="6470">
      <c r="A6470" s="2" t="n"/>
      <c r="B6470">
        <f>LOWER(TRIM(A6470))</f>
        <v/>
      </c>
      <c r="C6470">
        <f>IF(B6470="","",IFERROR(INDEX('Bad Patterns'!$A$2:$A$120,MATCH(1,INDEX(--ISNUMBER(SEARCH('Bad Patterns'!$A$2:$A$120,B6470)),0),0)),""))</f>
        <v/>
      </c>
      <c r="D6470">
        <f>IF(B6470="","",IF(C6470&lt;&gt;"","REMOVE","KEEP"))</f>
        <v/>
      </c>
      <c r="E6470">
        <f>IF(D6470&lt;&gt;"KEEP","",IF(RIGHT(B6470,10)="@gmail.com","Gmail",IF(OR(RIGHT(B6470,12)="@outlook.com",RIGHT(B6470,12)="@hotmail.com",RIGHT(B6470,9)="@live.com"),"Outlook","Domain")))</f>
        <v/>
      </c>
      <c r="F6470">
        <f>IF(B6470="","",IFERROR(RIGHT(B6470,LEN(B6470)-FIND("@",B6470)),""))</f>
        <v/>
      </c>
      <c r="G6470">
        <f>IF(D6470="KEEP",COUNTIF($D$2:D6470,"KEEP"),"")</f>
        <v/>
      </c>
      <c r="H6470">
        <f>IF(D6470="REMOVE",COUNTIF($D$2:D6470,"REMOVE"),"")</f>
        <v/>
      </c>
      <c r="I6470">
        <f>IF(E6470="Gmail",COUNTIF($E$2:E6470,"Gmail"),"")</f>
        <v/>
      </c>
      <c r="J6470">
        <f>IF(E6470="Outlook",COUNTIF($E$2:E6470,"Outlook"),"")</f>
        <v/>
      </c>
      <c r="K6470">
        <f>IF(E6470="Domain",COUNTIF($E$2:E6470,"Domain"),"")</f>
        <v/>
      </c>
    </row>
    <row r="6471">
      <c r="A6471" s="2" t="n"/>
      <c r="B6471">
        <f>LOWER(TRIM(A6471))</f>
        <v/>
      </c>
      <c r="C6471">
        <f>IF(B6471="","",IFERROR(INDEX('Bad Patterns'!$A$2:$A$120,MATCH(1,INDEX(--ISNUMBER(SEARCH('Bad Patterns'!$A$2:$A$120,B6471)),0),0)),""))</f>
        <v/>
      </c>
      <c r="D6471">
        <f>IF(B6471="","",IF(C6471&lt;&gt;"","REMOVE","KEEP"))</f>
        <v/>
      </c>
      <c r="E6471">
        <f>IF(D6471&lt;&gt;"KEEP","",IF(RIGHT(B6471,10)="@gmail.com","Gmail",IF(OR(RIGHT(B6471,12)="@outlook.com",RIGHT(B6471,12)="@hotmail.com",RIGHT(B6471,9)="@live.com"),"Outlook","Domain")))</f>
        <v/>
      </c>
      <c r="F6471">
        <f>IF(B6471="","",IFERROR(RIGHT(B6471,LEN(B6471)-FIND("@",B6471)),""))</f>
        <v/>
      </c>
      <c r="G6471">
        <f>IF(D6471="KEEP",COUNTIF($D$2:D6471,"KEEP"),"")</f>
        <v/>
      </c>
      <c r="H6471">
        <f>IF(D6471="REMOVE",COUNTIF($D$2:D6471,"REMOVE"),"")</f>
        <v/>
      </c>
      <c r="I6471">
        <f>IF(E6471="Gmail",COUNTIF($E$2:E6471,"Gmail"),"")</f>
        <v/>
      </c>
      <c r="J6471">
        <f>IF(E6471="Outlook",COUNTIF($E$2:E6471,"Outlook"),"")</f>
        <v/>
      </c>
      <c r="K6471">
        <f>IF(E6471="Domain",COUNTIF($E$2:E6471,"Domain"),"")</f>
        <v/>
      </c>
    </row>
    <row r="6472">
      <c r="A6472" s="2" t="n"/>
      <c r="B6472">
        <f>LOWER(TRIM(A6472))</f>
        <v/>
      </c>
      <c r="C6472">
        <f>IF(B6472="","",IFERROR(INDEX('Bad Patterns'!$A$2:$A$120,MATCH(1,INDEX(--ISNUMBER(SEARCH('Bad Patterns'!$A$2:$A$120,B6472)),0),0)),""))</f>
        <v/>
      </c>
      <c r="D6472">
        <f>IF(B6472="","",IF(C6472&lt;&gt;"","REMOVE","KEEP"))</f>
        <v/>
      </c>
      <c r="E6472">
        <f>IF(D6472&lt;&gt;"KEEP","",IF(RIGHT(B6472,10)="@gmail.com","Gmail",IF(OR(RIGHT(B6472,12)="@outlook.com",RIGHT(B6472,12)="@hotmail.com",RIGHT(B6472,9)="@live.com"),"Outlook","Domain")))</f>
        <v/>
      </c>
      <c r="F6472">
        <f>IF(B6472="","",IFERROR(RIGHT(B6472,LEN(B6472)-FIND("@",B6472)),""))</f>
        <v/>
      </c>
      <c r="G6472">
        <f>IF(D6472="KEEP",COUNTIF($D$2:D6472,"KEEP"),"")</f>
        <v/>
      </c>
      <c r="H6472">
        <f>IF(D6472="REMOVE",COUNTIF($D$2:D6472,"REMOVE"),"")</f>
        <v/>
      </c>
      <c r="I6472">
        <f>IF(E6472="Gmail",COUNTIF($E$2:E6472,"Gmail"),"")</f>
        <v/>
      </c>
      <c r="J6472">
        <f>IF(E6472="Outlook",COUNTIF($E$2:E6472,"Outlook"),"")</f>
        <v/>
      </c>
      <c r="K6472">
        <f>IF(E6472="Domain",COUNTIF($E$2:E6472,"Domain"),"")</f>
        <v/>
      </c>
    </row>
    <row r="6473">
      <c r="A6473" s="2" t="n"/>
      <c r="B6473">
        <f>LOWER(TRIM(A6473))</f>
        <v/>
      </c>
      <c r="C6473">
        <f>IF(B6473="","",IFERROR(INDEX('Bad Patterns'!$A$2:$A$120,MATCH(1,INDEX(--ISNUMBER(SEARCH('Bad Patterns'!$A$2:$A$120,B6473)),0),0)),""))</f>
        <v/>
      </c>
      <c r="D6473">
        <f>IF(B6473="","",IF(C6473&lt;&gt;"","REMOVE","KEEP"))</f>
        <v/>
      </c>
      <c r="E6473">
        <f>IF(D6473&lt;&gt;"KEEP","",IF(RIGHT(B6473,10)="@gmail.com","Gmail",IF(OR(RIGHT(B6473,12)="@outlook.com",RIGHT(B6473,12)="@hotmail.com",RIGHT(B6473,9)="@live.com"),"Outlook","Domain")))</f>
        <v/>
      </c>
      <c r="F6473">
        <f>IF(B6473="","",IFERROR(RIGHT(B6473,LEN(B6473)-FIND("@",B6473)),""))</f>
        <v/>
      </c>
      <c r="G6473">
        <f>IF(D6473="KEEP",COUNTIF($D$2:D6473,"KEEP"),"")</f>
        <v/>
      </c>
      <c r="H6473">
        <f>IF(D6473="REMOVE",COUNTIF($D$2:D6473,"REMOVE"),"")</f>
        <v/>
      </c>
      <c r="I6473">
        <f>IF(E6473="Gmail",COUNTIF($E$2:E6473,"Gmail"),"")</f>
        <v/>
      </c>
      <c r="J6473">
        <f>IF(E6473="Outlook",COUNTIF($E$2:E6473,"Outlook"),"")</f>
        <v/>
      </c>
      <c r="K6473">
        <f>IF(E6473="Domain",COUNTIF($E$2:E6473,"Domain"),"")</f>
        <v/>
      </c>
    </row>
    <row r="6474">
      <c r="A6474" s="2" t="n"/>
      <c r="B6474">
        <f>LOWER(TRIM(A6474))</f>
        <v/>
      </c>
      <c r="C6474">
        <f>IF(B6474="","",IFERROR(INDEX('Bad Patterns'!$A$2:$A$120,MATCH(1,INDEX(--ISNUMBER(SEARCH('Bad Patterns'!$A$2:$A$120,B6474)),0),0)),""))</f>
        <v/>
      </c>
      <c r="D6474">
        <f>IF(B6474="","",IF(C6474&lt;&gt;"","REMOVE","KEEP"))</f>
        <v/>
      </c>
      <c r="E6474">
        <f>IF(D6474&lt;&gt;"KEEP","",IF(RIGHT(B6474,10)="@gmail.com","Gmail",IF(OR(RIGHT(B6474,12)="@outlook.com",RIGHT(B6474,12)="@hotmail.com",RIGHT(B6474,9)="@live.com"),"Outlook","Domain")))</f>
        <v/>
      </c>
      <c r="F6474">
        <f>IF(B6474="","",IFERROR(RIGHT(B6474,LEN(B6474)-FIND("@",B6474)),""))</f>
        <v/>
      </c>
      <c r="G6474">
        <f>IF(D6474="KEEP",COUNTIF($D$2:D6474,"KEEP"),"")</f>
        <v/>
      </c>
      <c r="H6474">
        <f>IF(D6474="REMOVE",COUNTIF($D$2:D6474,"REMOVE"),"")</f>
        <v/>
      </c>
      <c r="I6474">
        <f>IF(E6474="Gmail",COUNTIF($E$2:E6474,"Gmail"),"")</f>
        <v/>
      </c>
      <c r="J6474">
        <f>IF(E6474="Outlook",COUNTIF($E$2:E6474,"Outlook"),"")</f>
        <v/>
      </c>
      <c r="K6474">
        <f>IF(E6474="Domain",COUNTIF($E$2:E6474,"Domain"),"")</f>
        <v/>
      </c>
    </row>
    <row r="6475">
      <c r="A6475" s="2" t="n"/>
      <c r="B6475">
        <f>LOWER(TRIM(A6475))</f>
        <v/>
      </c>
      <c r="C6475">
        <f>IF(B6475="","",IFERROR(INDEX('Bad Patterns'!$A$2:$A$120,MATCH(1,INDEX(--ISNUMBER(SEARCH('Bad Patterns'!$A$2:$A$120,B6475)),0),0)),""))</f>
        <v/>
      </c>
      <c r="D6475">
        <f>IF(B6475="","",IF(C6475&lt;&gt;"","REMOVE","KEEP"))</f>
        <v/>
      </c>
      <c r="E6475">
        <f>IF(D6475&lt;&gt;"KEEP","",IF(RIGHT(B6475,10)="@gmail.com","Gmail",IF(OR(RIGHT(B6475,12)="@outlook.com",RIGHT(B6475,12)="@hotmail.com",RIGHT(B6475,9)="@live.com"),"Outlook","Domain")))</f>
        <v/>
      </c>
      <c r="F6475">
        <f>IF(B6475="","",IFERROR(RIGHT(B6475,LEN(B6475)-FIND("@",B6475)),""))</f>
        <v/>
      </c>
      <c r="G6475">
        <f>IF(D6475="KEEP",COUNTIF($D$2:D6475,"KEEP"),"")</f>
        <v/>
      </c>
      <c r="H6475">
        <f>IF(D6475="REMOVE",COUNTIF($D$2:D6475,"REMOVE"),"")</f>
        <v/>
      </c>
      <c r="I6475">
        <f>IF(E6475="Gmail",COUNTIF($E$2:E6475,"Gmail"),"")</f>
        <v/>
      </c>
      <c r="J6475">
        <f>IF(E6475="Outlook",COUNTIF($E$2:E6475,"Outlook"),"")</f>
        <v/>
      </c>
      <c r="K6475">
        <f>IF(E6475="Domain",COUNTIF($E$2:E6475,"Domain"),"")</f>
        <v/>
      </c>
    </row>
    <row r="6476">
      <c r="A6476" s="2" t="n"/>
      <c r="B6476">
        <f>LOWER(TRIM(A6476))</f>
        <v/>
      </c>
      <c r="C6476">
        <f>IF(B6476="","",IFERROR(INDEX('Bad Patterns'!$A$2:$A$120,MATCH(1,INDEX(--ISNUMBER(SEARCH('Bad Patterns'!$A$2:$A$120,B6476)),0),0)),""))</f>
        <v/>
      </c>
      <c r="D6476">
        <f>IF(B6476="","",IF(C6476&lt;&gt;"","REMOVE","KEEP"))</f>
        <v/>
      </c>
      <c r="E6476">
        <f>IF(D6476&lt;&gt;"KEEP","",IF(RIGHT(B6476,10)="@gmail.com","Gmail",IF(OR(RIGHT(B6476,12)="@outlook.com",RIGHT(B6476,12)="@hotmail.com",RIGHT(B6476,9)="@live.com"),"Outlook","Domain")))</f>
        <v/>
      </c>
      <c r="F6476">
        <f>IF(B6476="","",IFERROR(RIGHT(B6476,LEN(B6476)-FIND("@",B6476)),""))</f>
        <v/>
      </c>
      <c r="G6476">
        <f>IF(D6476="KEEP",COUNTIF($D$2:D6476,"KEEP"),"")</f>
        <v/>
      </c>
      <c r="H6476">
        <f>IF(D6476="REMOVE",COUNTIF($D$2:D6476,"REMOVE"),"")</f>
        <v/>
      </c>
      <c r="I6476">
        <f>IF(E6476="Gmail",COUNTIF($E$2:E6476,"Gmail"),"")</f>
        <v/>
      </c>
      <c r="J6476">
        <f>IF(E6476="Outlook",COUNTIF($E$2:E6476,"Outlook"),"")</f>
        <v/>
      </c>
      <c r="K6476">
        <f>IF(E6476="Domain",COUNTIF($E$2:E6476,"Domain"),"")</f>
        <v/>
      </c>
    </row>
    <row r="6477">
      <c r="A6477" s="2" t="n"/>
      <c r="B6477">
        <f>LOWER(TRIM(A6477))</f>
        <v/>
      </c>
      <c r="C6477">
        <f>IF(B6477="","",IFERROR(INDEX('Bad Patterns'!$A$2:$A$120,MATCH(1,INDEX(--ISNUMBER(SEARCH('Bad Patterns'!$A$2:$A$120,B6477)),0),0)),""))</f>
        <v/>
      </c>
      <c r="D6477">
        <f>IF(B6477="","",IF(C6477&lt;&gt;"","REMOVE","KEEP"))</f>
        <v/>
      </c>
      <c r="E6477">
        <f>IF(D6477&lt;&gt;"KEEP","",IF(RIGHT(B6477,10)="@gmail.com","Gmail",IF(OR(RIGHT(B6477,12)="@outlook.com",RIGHT(B6477,12)="@hotmail.com",RIGHT(B6477,9)="@live.com"),"Outlook","Domain")))</f>
        <v/>
      </c>
      <c r="F6477">
        <f>IF(B6477="","",IFERROR(RIGHT(B6477,LEN(B6477)-FIND("@",B6477)),""))</f>
        <v/>
      </c>
      <c r="G6477">
        <f>IF(D6477="KEEP",COUNTIF($D$2:D6477,"KEEP"),"")</f>
        <v/>
      </c>
      <c r="H6477">
        <f>IF(D6477="REMOVE",COUNTIF($D$2:D6477,"REMOVE"),"")</f>
        <v/>
      </c>
      <c r="I6477">
        <f>IF(E6477="Gmail",COUNTIF($E$2:E6477,"Gmail"),"")</f>
        <v/>
      </c>
      <c r="J6477">
        <f>IF(E6477="Outlook",COUNTIF($E$2:E6477,"Outlook"),"")</f>
        <v/>
      </c>
      <c r="K6477">
        <f>IF(E6477="Domain",COUNTIF($E$2:E6477,"Domain"),"")</f>
        <v/>
      </c>
    </row>
    <row r="6478">
      <c r="A6478" s="2" t="n"/>
      <c r="B6478">
        <f>LOWER(TRIM(A6478))</f>
        <v/>
      </c>
      <c r="C6478">
        <f>IF(B6478="","",IFERROR(INDEX('Bad Patterns'!$A$2:$A$120,MATCH(1,INDEX(--ISNUMBER(SEARCH('Bad Patterns'!$A$2:$A$120,B6478)),0),0)),""))</f>
        <v/>
      </c>
      <c r="D6478">
        <f>IF(B6478="","",IF(C6478&lt;&gt;"","REMOVE","KEEP"))</f>
        <v/>
      </c>
      <c r="E6478">
        <f>IF(D6478&lt;&gt;"KEEP","",IF(RIGHT(B6478,10)="@gmail.com","Gmail",IF(OR(RIGHT(B6478,12)="@outlook.com",RIGHT(B6478,12)="@hotmail.com",RIGHT(B6478,9)="@live.com"),"Outlook","Domain")))</f>
        <v/>
      </c>
      <c r="F6478">
        <f>IF(B6478="","",IFERROR(RIGHT(B6478,LEN(B6478)-FIND("@",B6478)),""))</f>
        <v/>
      </c>
      <c r="G6478">
        <f>IF(D6478="KEEP",COUNTIF($D$2:D6478,"KEEP"),"")</f>
        <v/>
      </c>
      <c r="H6478">
        <f>IF(D6478="REMOVE",COUNTIF($D$2:D6478,"REMOVE"),"")</f>
        <v/>
      </c>
      <c r="I6478">
        <f>IF(E6478="Gmail",COUNTIF($E$2:E6478,"Gmail"),"")</f>
        <v/>
      </c>
      <c r="J6478">
        <f>IF(E6478="Outlook",COUNTIF($E$2:E6478,"Outlook"),"")</f>
        <v/>
      </c>
      <c r="K6478">
        <f>IF(E6478="Domain",COUNTIF($E$2:E6478,"Domain"),"")</f>
        <v/>
      </c>
    </row>
    <row r="6479">
      <c r="A6479" s="2" t="n"/>
      <c r="B6479">
        <f>LOWER(TRIM(A6479))</f>
        <v/>
      </c>
      <c r="C6479">
        <f>IF(B6479="","",IFERROR(INDEX('Bad Patterns'!$A$2:$A$120,MATCH(1,INDEX(--ISNUMBER(SEARCH('Bad Patterns'!$A$2:$A$120,B6479)),0),0)),""))</f>
        <v/>
      </c>
      <c r="D6479">
        <f>IF(B6479="","",IF(C6479&lt;&gt;"","REMOVE","KEEP"))</f>
        <v/>
      </c>
      <c r="E6479">
        <f>IF(D6479&lt;&gt;"KEEP","",IF(RIGHT(B6479,10)="@gmail.com","Gmail",IF(OR(RIGHT(B6479,12)="@outlook.com",RIGHT(B6479,12)="@hotmail.com",RIGHT(B6479,9)="@live.com"),"Outlook","Domain")))</f>
        <v/>
      </c>
      <c r="F6479">
        <f>IF(B6479="","",IFERROR(RIGHT(B6479,LEN(B6479)-FIND("@",B6479)),""))</f>
        <v/>
      </c>
      <c r="G6479">
        <f>IF(D6479="KEEP",COUNTIF($D$2:D6479,"KEEP"),"")</f>
        <v/>
      </c>
      <c r="H6479">
        <f>IF(D6479="REMOVE",COUNTIF($D$2:D6479,"REMOVE"),"")</f>
        <v/>
      </c>
      <c r="I6479">
        <f>IF(E6479="Gmail",COUNTIF($E$2:E6479,"Gmail"),"")</f>
        <v/>
      </c>
      <c r="J6479">
        <f>IF(E6479="Outlook",COUNTIF($E$2:E6479,"Outlook"),"")</f>
        <v/>
      </c>
      <c r="K6479">
        <f>IF(E6479="Domain",COUNTIF($E$2:E6479,"Domain"),"")</f>
        <v/>
      </c>
    </row>
    <row r="6480">
      <c r="A6480" s="2" t="n"/>
      <c r="B6480">
        <f>LOWER(TRIM(A6480))</f>
        <v/>
      </c>
      <c r="C6480">
        <f>IF(B6480="","",IFERROR(INDEX('Bad Patterns'!$A$2:$A$120,MATCH(1,INDEX(--ISNUMBER(SEARCH('Bad Patterns'!$A$2:$A$120,B6480)),0),0)),""))</f>
        <v/>
      </c>
      <c r="D6480">
        <f>IF(B6480="","",IF(C6480&lt;&gt;"","REMOVE","KEEP"))</f>
        <v/>
      </c>
      <c r="E6480">
        <f>IF(D6480&lt;&gt;"KEEP","",IF(RIGHT(B6480,10)="@gmail.com","Gmail",IF(OR(RIGHT(B6480,12)="@outlook.com",RIGHT(B6480,12)="@hotmail.com",RIGHT(B6480,9)="@live.com"),"Outlook","Domain")))</f>
        <v/>
      </c>
      <c r="F6480">
        <f>IF(B6480="","",IFERROR(RIGHT(B6480,LEN(B6480)-FIND("@",B6480)),""))</f>
        <v/>
      </c>
      <c r="G6480">
        <f>IF(D6480="KEEP",COUNTIF($D$2:D6480,"KEEP"),"")</f>
        <v/>
      </c>
      <c r="H6480">
        <f>IF(D6480="REMOVE",COUNTIF($D$2:D6480,"REMOVE"),"")</f>
        <v/>
      </c>
      <c r="I6480">
        <f>IF(E6480="Gmail",COUNTIF($E$2:E6480,"Gmail"),"")</f>
        <v/>
      </c>
      <c r="J6480">
        <f>IF(E6480="Outlook",COUNTIF($E$2:E6480,"Outlook"),"")</f>
        <v/>
      </c>
      <c r="K6480">
        <f>IF(E6480="Domain",COUNTIF($E$2:E6480,"Domain"),"")</f>
        <v/>
      </c>
    </row>
    <row r="6481">
      <c r="A6481" s="2" t="n"/>
      <c r="B6481">
        <f>LOWER(TRIM(A6481))</f>
        <v/>
      </c>
      <c r="C6481">
        <f>IF(B6481="","",IFERROR(INDEX('Bad Patterns'!$A$2:$A$120,MATCH(1,INDEX(--ISNUMBER(SEARCH('Bad Patterns'!$A$2:$A$120,B6481)),0),0)),""))</f>
        <v/>
      </c>
      <c r="D6481">
        <f>IF(B6481="","",IF(C6481&lt;&gt;"","REMOVE","KEEP"))</f>
        <v/>
      </c>
      <c r="E6481">
        <f>IF(D6481&lt;&gt;"KEEP","",IF(RIGHT(B6481,10)="@gmail.com","Gmail",IF(OR(RIGHT(B6481,12)="@outlook.com",RIGHT(B6481,12)="@hotmail.com",RIGHT(B6481,9)="@live.com"),"Outlook","Domain")))</f>
        <v/>
      </c>
      <c r="F6481">
        <f>IF(B6481="","",IFERROR(RIGHT(B6481,LEN(B6481)-FIND("@",B6481)),""))</f>
        <v/>
      </c>
      <c r="G6481">
        <f>IF(D6481="KEEP",COUNTIF($D$2:D6481,"KEEP"),"")</f>
        <v/>
      </c>
      <c r="H6481">
        <f>IF(D6481="REMOVE",COUNTIF($D$2:D6481,"REMOVE"),"")</f>
        <v/>
      </c>
      <c r="I6481">
        <f>IF(E6481="Gmail",COUNTIF($E$2:E6481,"Gmail"),"")</f>
        <v/>
      </c>
      <c r="J6481">
        <f>IF(E6481="Outlook",COUNTIF($E$2:E6481,"Outlook"),"")</f>
        <v/>
      </c>
      <c r="K6481">
        <f>IF(E6481="Domain",COUNTIF($E$2:E6481,"Domain"),"")</f>
        <v/>
      </c>
    </row>
    <row r="6482">
      <c r="A6482" s="2" t="n"/>
      <c r="B6482">
        <f>LOWER(TRIM(A6482))</f>
        <v/>
      </c>
      <c r="C6482">
        <f>IF(B6482="","",IFERROR(INDEX('Bad Patterns'!$A$2:$A$120,MATCH(1,INDEX(--ISNUMBER(SEARCH('Bad Patterns'!$A$2:$A$120,B6482)),0),0)),""))</f>
        <v/>
      </c>
      <c r="D6482">
        <f>IF(B6482="","",IF(C6482&lt;&gt;"","REMOVE","KEEP"))</f>
        <v/>
      </c>
      <c r="E6482">
        <f>IF(D6482&lt;&gt;"KEEP","",IF(RIGHT(B6482,10)="@gmail.com","Gmail",IF(OR(RIGHT(B6482,12)="@outlook.com",RIGHT(B6482,12)="@hotmail.com",RIGHT(B6482,9)="@live.com"),"Outlook","Domain")))</f>
        <v/>
      </c>
      <c r="F6482">
        <f>IF(B6482="","",IFERROR(RIGHT(B6482,LEN(B6482)-FIND("@",B6482)),""))</f>
        <v/>
      </c>
      <c r="G6482">
        <f>IF(D6482="KEEP",COUNTIF($D$2:D6482,"KEEP"),"")</f>
        <v/>
      </c>
      <c r="H6482">
        <f>IF(D6482="REMOVE",COUNTIF($D$2:D6482,"REMOVE"),"")</f>
        <v/>
      </c>
      <c r="I6482">
        <f>IF(E6482="Gmail",COUNTIF($E$2:E6482,"Gmail"),"")</f>
        <v/>
      </c>
      <c r="J6482">
        <f>IF(E6482="Outlook",COUNTIF($E$2:E6482,"Outlook"),"")</f>
        <v/>
      </c>
      <c r="K6482">
        <f>IF(E6482="Domain",COUNTIF($E$2:E6482,"Domain"),"")</f>
        <v/>
      </c>
    </row>
    <row r="6483">
      <c r="A6483" s="2" t="n"/>
      <c r="B6483">
        <f>LOWER(TRIM(A6483))</f>
        <v/>
      </c>
      <c r="C6483">
        <f>IF(B6483="","",IFERROR(INDEX('Bad Patterns'!$A$2:$A$120,MATCH(1,INDEX(--ISNUMBER(SEARCH('Bad Patterns'!$A$2:$A$120,B6483)),0),0)),""))</f>
        <v/>
      </c>
      <c r="D6483">
        <f>IF(B6483="","",IF(C6483&lt;&gt;"","REMOVE","KEEP"))</f>
        <v/>
      </c>
      <c r="E6483">
        <f>IF(D6483&lt;&gt;"KEEP","",IF(RIGHT(B6483,10)="@gmail.com","Gmail",IF(OR(RIGHT(B6483,12)="@outlook.com",RIGHT(B6483,12)="@hotmail.com",RIGHT(B6483,9)="@live.com"),"Outlook","Domain")))</f>
        <v/>
      </c>
      <c r="F6483">
        <f>IF(B6483="","",IFERROR(RIGHT(B6483,LEN(B6483)-FIND("@",B6483)),""))</f>
        <v/>
      </c>
      <c r="G6483">
        <f>IF(D6483="KEEP",COUNTIF($D$2:D6483,"KEEP"),"")</f>
        <v/>
      </c>
      <c r="H6483">
        <f>IF(D6483="REMOVE",COUNTIF($D$2:D6483,"REMOVE"),"")</f>
        <v/>
      </c>
      <c r="I6483">
        <f>IF(E6483="Gmail",COUNTIF($E$2:E6483,"Gmail"),"")</f>
        <v/>
      </c>
      <c r="J6483">
        <f>IF(E6483="Outlook",COUNTIF($E$2:E6483,"Outlook"),"")</f>
        <v/>
      </c>
      <c r="K6483">
        <f>IF(E6483="Domain",COUNTIF($E$2:E6483,"Domain"),"")</f>
        <v/>
      </c>
    </row>
    <row r="6484">
      <c r="A6484" s="2" t="n"/>
      <c r="B6484">
        <f>LOWER(TRIM(A6484))</f>
        <v/>
      </c>
      <c r="C6484">
        <f>IF(B6484="","",IFERROR(INDEX('Bad Patterns'!$A$2:$A$120,MATCH(1,INDEX(--ISNUMBER(SEARCH('Bad Patterns'!$A$2:$A$120,B6484)),0),0)),""))</f>
        <v/>
      </c>
      <c r="D6484">
        <f>IF(B6484="","",IF(C6484&lt;&gt;"","REMOVE","KEEP"))</f>
        <v/>
      </c>
      <c r="E6484">
        <f>IF(D6484&lt;&gt;"KEEP","",IF(RIGHT(B6484,10)="@gmail.com","Gmail",IF(OR(RIGHT(B6484,12)="@outlook.com",RIGHT(B6484,12)="@hotmail.com",RIGHT(B6484,9)="@live.com"),"Outlook","Domain")))</f>
        <v/>
      </c>
      <c r="F6484">
        <f>IF(B6484="","",IFERROR(RIGHT(B6484,LEN(B6484)-FIND("@",B6484)),""))</f>
        <v/>
      </c>
      <c r="G6484">
        <f>IF(D6484="KEEP",COUNTIF($D$2:D6484,"KEEP"),"")</f>
        <v/>
      </c>
      <c r="H6484">
        <f>IF(D6484="REMOVE",COUNTIF($D$2:D6484,"REMOVE"),"")</f>
        <v/>
      </c>
      <c r="I6484">
        <f>IF(E6484="Gmail",COUNTIF($E$2:E6484,"Gmail"),"")</f>
        <v/>
      </c>
      <c r="J6484">
        <f>IF(E6484="Outlook",COUNTIF($E$2:E6484,"Outlook"),"")</f>
        <v/>
      </c>
      <c r="K6484">
        <f>IF(E6484="Domain",COUNTIF($E$2:E6484,"Domain"),"")</f>
        <v/>
      </c>
    </row>
    <row r="6485">
      <c r="A6485" s="2" t="n"/>
      <c r="B6485">
        <f>LOWER(TRIM(A6485))</f>
        <v/>
      </c>
      <c r="C6485">
        <f>IF(B6485="","",IFERROR(INDEX('Bad Patterns'!$A$2:$A$120,MATCH(1,INDEX(--ISNUMBER(SEARCH('Bad Patterns'!$A$2:$A$120,B6485)),0),0)),""))</f>
        <v/>
      </c>
      <c r="D6485">
        <f>IF(B6485="","",IF(C6485&lt;&gt;"","REMOVE","KEEP"))</f>
        <v/>
      </c>
      <c r="E6485">
        <f>IF(D6485&lt;&gt;"KEEP","",IF(RIGHT(B6485,10)="@gmail.com","Gmail",IF(OR(RIGHT(B6485,12)="@outlook.com",RIGHT(B6485,12)="@hotmail.com",RIGHT(B6485,9)="@live.com"),"Outlook","Domain")))</f>
        <v/>
      </c>
      <c r="F6485">
        <f>IF(B6485="","",IFERROR(RIGHT(B6485,LEN(B6485)-FIND("@",B6485)),""))</f>
        <v/>
      </c>
      <c r="G6485">
        <f>IF(D6485="KEEP",COUNTIF($D$2:D6485,"KEEP"),"")</f>
        <v/>
      </c>
      <c r="H6485">
        <f>IF(D6485="REMOVE",COUNTIF($D$2:D6485,"REMOVE"),"")</f>
        <v/>
      </c>
      <c r="I6485">
        <f>IF(E6485="Gmail",COUNTIF($E$2:E6485,"Gmail"),"")</f>
        <v/>
      </c>
      <c r="J6485">
        <f>IF(E6485="Outlook",COUNTIF($E$2:E6485,"Outlook"),"")</f>
        <v/>
      </c>
      <c r="K6485">
        <f>IF(E6485="Domain",COUNTIF($E$2:E6485,"Domain"),"")</f>
        <v/>
      </c>
    </row>
    <row r="6486">
      <c r="A6486" s="2" t="n"/>
      <c r="B6486">
        <f>LOWER(TRIM(A6486))</f>
        <v/>
      </c>
      <c r="C6486">
        <f>IF(B6486="","",IFERROR(INDEX('Bad Patterns'!$A$2:$A$120,MATCH(1,INDEX(--ISNUMBER(SEARCH('Bad Patterns'!$A$2:$A$120,B6486)),0),0)),""))</f>
        <v/>
      </c>
      <c r="D6486">
        <f>IF(B6486="","",IF(C6486&lt;&gt;"","REMOVE","KEEP"))</f>
        <v/>
      </c>
      <c r="E6486">
        <f>IF(D6486&lt;&gt;"KEEP","",IF(RIGHT(B6486,10)="@gmail.com","Gmail",IF(OR(RIGHT(B6486,12)="@outlook.com",RIGHT(B6486,12)="@hotmail.com",RIGHT(B6486,9)="@live.com"),"Outlook","Domain")))</f>
        <v/>
      </c>
      <c r="F6486">
        <f>IF(B6486="","",IFERROR(RIGHT(B6486,LEN(B6486)-FIND("@",B6486)),""))</f>
        <v/>
      </c>
      <c r="G6486">
        <f>IF(D6486="KEEP",COUNTIF($D$2:D6486,"KEEP"),"")</f>
        <v/>
      </c>
      <c r="H6486">
        <f>IF(D6486="REMOVE",COUNTIF($D$2:D6486,"REMOVE"),"")</f>
        <v/>
      </c>
      <c r="I6486">
        <f>IF(E6486="Gmail",COUNTIF($E$2:E6486,"Gmail"),"")</f>
        <v/>
      </c>
      <c r="J6486">
        <f>IF(E6486="Outlook",COUNTIF($E$2:E6486,"Outlook"),"")</f>
        <v/>
      </c>
      <c r="K6486">
        <f>IF(E6486="Domain",COUNTIF($E$2:E6486,"Domain"),"")</f>
        <v/>
      </c>
    </row>
    <row r="6487">
      <c r="A6487" s="2" t="n"/>
      <c r="B6487">
        <f>LOWER(TRIM(A6487))</f>
        <v/>
      </c>
      <c r="C6487">
        <f>IF(B6487="","",IFERROR(INDEX('Bad Patterns'!$A$2:$A$120,MATCH(1,INDEX(--ISNUMBER(SEARCH('Bad Patterns'!$A$2:$A$120,B6487)),0),0)),""))</f>
        <v/>
      </c>
      <c r="D6487">
        <f>IF(B6487="","",IF(C6487&lt;&gt;"","REMOVE","KEEP"))</f>
        <v/>
      </c>
      <c r="E6487">
        <f>IF(D6487&lt;&gt;"KEEP","",IF(RIGHT(B6487,10)="@gmail.com","Gmail",IF(OR(RIGHT(B6487,12)="@outlook.com",RIGHT(B6487,12)="@hotmail.com",RIGHT(B6487,9)="@live.com"),"Outlook","Domain")))</f>
        <v/>
      </c>
      <c r="F6487">
        <f>IF(B6487="","",IFERROR(RIGHT(B6487,LEN(B6487)-FIND("@",B6487)),""))</f>
        <v/>
      </c>
      <c r="G6487">
        <f>IF(D6487="KEEP",COUNTIF($D$2:D6487,"KEEP"),"")</f>
        <v/>
      </c>
      <c r="H6487">
        <f>IF(D6487="REMOVE",COUNTIF($D$2:D6487,"REMOVE"),"")</f>
        <v/>
      </c>
      <c r="I6487">
        <f>IF(E6487="Gmail",COUNTIF($E$2:E6487,"Gmail"),"")</f>
        <v/>
      </c>
      <c r="J6487">
        <f>IF(E6487="Outlook",COUNTIF($E$2:E6487,"Outlook"),"")</f>
        <v/>
      </c>
      <c r="K6487">
        <f>IF(E6487="Domain",COUNTIF($E$2:E6487,"Domain"),"")</f>
        <v/>
      </c>
    </row>
    <row r="6488">
      <c r="A6488" s="2" t="n"/>
      <c r="B6488">
        <f>LOWER(TRIM(A6488))</f>
        <v/>
      </c>
      <c r="C6488">
        <f>IF(B6488="","",IFERROR(INDEX('Bad Patterns'!$A$2:$A$120,MATCH(1,INDEX(--ISNUMBER(SEARCH('Bad Patterns'!$A$2:$A$120,B6488)),0),0)),""))</f>
        <v/>
      </c>
      <c r="D6488">
        <f>IF(B6488="","",IF(C6488&lt;&gt;"","REMOVE","KEEP"))</f>
        <v/>
      </c>
      <c r="E6488">
        <f>IF(D6488&lt;&gt;"KEEP","",IF(RIGHT(B6488,10)="@gmail.com","Gmail",IF(OR(RIGHT(B6488,12)="@outlook.com",RIGHT(B6488,12)="@hotmail.com",RIGHT(B6488,9)="@live.com"),"Outlook","Domain")))</f>
        <v/>
      </c>
      <c r="F6488">
        <f>IF(B6488="","",IFERROR(RIGHT(B6488,LEN(B6488)-FIND("@",B6488)),""))</f>
        <v/>
      </c>
      <c r="G6488">
        <f>IF(D6488="KEEP",COUNTIF($D$2:D6488,"KEEP"),"")</f>
        <v/>
      </c>
      <c r="H6488">
        <f>IF(D6488="REMOVE",COUNTIF($D$2:D6488,"REMOVE"),"")</f>
        <v/>
      </c>
      <c r="I6488">
        <f>IF(E6488="Gmail",COUNTIF($E$2:E6488,"Gmail"),"")</f>
        <v/>
      </c>
      <c r="J6488">
        <f>IF(E6488="Outlook",COUNTIF($E$2:E6488,"Outlook"),"")</f>
        <v/>
      </c>
      <c r="K6488">
        <f>IF(E6488="Domain",COUNTIF($E$2:E6488,"Domain"),"")</f>
        <v/>
      </c>
    </row>
    <row r="6489">
      <c r="A6489" s="2" t="n"/>
      <c r="B6489">
        <f>LOWER(TRIM(A6489))</f>
        <v/>
      </c>
      <c r="C6489">
        <f>IF(B6489="","",IFERROR(INDEX('Bad Patterns'!$A$2:$A$120,MATCH(1,INDEX(--ISNUMBER(SEARCH('Bad Patterns'!$A$2:$A$120,B6489)),0),0)),""))</f>
        <v/>
      </c>
      <c r="D6489">
        <f>IF(B6489="","",IF(C6489&lt;&gt;"","REMOVE","KEEP"))</f>
        <v/>
      </c>
      <c r="E6489">
        <f>IF(D6489&lt;&gt;"KEEP","",IF(RIGHT(B6489,10)="@gmail.com","Gmail",IF(OR(RIGHT(B6489,12)="@outlook.com",RIGHT(B6489,12)="@hotmail.com",RIGHT(B6489,9)="@live.com"),"Outlook","Domain")))</f>
        <v/>
      </c>
      <c r="F6489">
        <f>IF(B6489="","",IFERROR(RIGHT(B6489,LEN(B6489)-FIND("@",B6489)),""))</f>
        <v/>
      </c>
      <c r="G6489">
        <f>IF(D6489="KEEP",COUNTIF($D$2:D6489,"KEEP"),"")</f>
        <v/>
      </c>
      <c r="H6489">
        <f>IF(D6489="REMOVE",COUNTIF($D$2:D6489,"REMOVE"),"")</f>
        <v/>
      </c>
      <c r="I6489">
        <f>IF(E6489="Gmail",COUNTIF($E$2:E6489,"Gmail"),"")</f>
        <v/>
      </c>
      <c r="J6489">
        <f>IF(E6489="Outlook",COUNTIF($E$2:E6489,"Outlook"),"")</f>
        <v/>
      </c>
      <c r="K6489">
        <f>IF(E6489="Domain",COUNTIF($E$2:E6489,"Domain"),"")</f>
        <v/>
      </c>
    </row>
    <row r="6490">
      <c r="A6490" s="2" t="n"/>
      <c r="B6490">
        <f>LOWER(TRIM(A6490))</f>
        <v/>
      </c>
      <c r="C6490">
        <f>IF(B6490="","",IFERROR(INDEX('Bad Patterns'!$A$2:$A$120,MATCH(1,INDEX(--ISNUMBER(SEARCH('Bad Patterns'!$A$2:$A$120,B6490)),0),0)),""))</f>
        <v/>
      </c>
      <c r="D6490">
        <f>IF(B6490="","",IF(C6490&lt;&gt;"","REMOVE","KEEP"))</f>
        <v/>
      </c>
      <c r="E6490">
        <f>IF(D6490&lt;&gt;"KEEP","",IF(RIGHT(B6490,10)="@gmail.com","Gmail",IF(OR(RIGHT(B6490,12)="@outlook.com",RIGHT(B6490,12)="@hotmail.com",RIGHT(B6490,9)="@live.com"),"Outlook","Domain")))</f>
        <v/>
      </c>
      <c r="F6490">
        <f>IF(B6490="","",IFERROR(RIGHT(B6490,LEN(B6490)-FIND("@",B6490)),""))</f>
        <v/>
      </c>
      <c r="G6490">
        <f>IF(D6490="KEEP",COUNTIF($D$2:D6490,"KEEP"),"")</f>
        <v/>
      </c>
      <c r="H6490">
        <f>IF(D6490="REMOVE",COUNTIF($D$2:D6490,"REMOVE"),"")</f>
        <v/>
      </c>
      <c r="I6490">
        <f>IF(E6490="Gmail",COUNTIF($E$2:E6490,"Gmail"),"")</f>
        <v/>
      </c>
      <c r="J6490">
        <f>IF(E6490="Outlook",COUNTIF($E$2:E6490,"Outlook"),"")</f>
        <v/>
      </c>
      <c r="K6490">
        <f>IF(E6490="Domain",COUNTIF($E$2:E6490,"Domain"),"")</f>
        <v/>
      </c>
    </row>
    <row r="6491">
      <c r="A6491" s="2" t="n"/>
      <c r="B6491">
        <f>LOWER(TRIM(A6491))</f>
        <v/>
      </c>
      <c r="C6491">
        <f>IF(B6491="","",IFERROR(INDEX('Bad Patterns'!$A$2:$A$120,MATCH(1,INDEX(--ISNUMBER(SEARCH('Bad Patterns'!$A$2:$A$120,B6491)),0),0)),""))</f>
        <v/>
      </c>
      <c r="D6491">
        <f>IF(B6491="","",IF(C6491&lt;&gt;"","REMOVE","KEEP"))</f>
        <v/>
      </c>
      <c r="E6491">
        <f>IF(D6491&lt;&gt;"KEEP","",IF(RIGHT(B6491,10)="@gmail.com","Gmail",IF(OR(RIGHT(B6491,12)="@outlook.com",RIGHT(B6491,12)="@hotmail.com",RIGHT(B6491,9)="@live.com"),"Outlook","Domain")))</f>
        <v/>
      </c>
      <c r="F6491">
        <f>IF(B6491="","",IFERROR(RIGHT(B6491,LEN(B6491)-FIND("@",B6491)),""))</f>
        <v/>
      </c>
      <c r="G6491">
        <f>IF(D6491="KEEP",COUNTIF($D$2:D6491,"KEEP"),"")</f>
        <v/>
      </c>
      <c r="H6491">
        <f>IF(D6491="REMOVE",COUNTIF($D$2:D6491,"REMOVE"),"")</f>
        <v/>
      </c>
      <c r="I6491">
        <f>IF(E6491="Gmail",COUNTIF($E$2:E6491,"Gmail"),"")</f>
        <v/>
      </c>
      <c r="J6491">
        <f>IF(E6491="Outlook",COUNTIF($E$2:E6491,"Outlook"),"")</f>
        <v/>
      </c>
      <c r="K6491">
        <f>IF(E6491="Domain",COUNTIF($E$2:E6491,"Domain"),"")</f>
        <v/>
      </c>
    </row>
    <row r="6492">
      <c r="A6492" s="2" t="n"/>
      <c r="B6492">
        <f>LOWER(TRIM(A6492))</f>
        <v/>
      </c>
      <c r="C6492">
        <f>IF(B6492="","",IFERROR(INDEX('Bad Patterns'!$A$2:$A$120,MATCH(1,INDEX(--ISNUMBER(SEARCH('Bad Patterns'!$A$2:$A$120,B6492)),0),0)),""))</f>
        <v/>
      </c>
      <c r="D6492">
        <f>IF(B6492="","",IF(C6492&lt;&gt;"","REMOVE","KEEP"))</f>
        <v/>
      </c>
      <c r="E6492">
        <f>IF(D6492&lt;&gt;"KEEP","",IF(RIGHT(B6492,10)="@gmail.com","Gmail",IF(OR(RIGHT(B6492,12)="@outlook.com",RIGHT(B6492,12)="@hotmail.com",RIGHT(B6492,9)="@live.com"),"Outlook","Domain")))</f>
        <v/>
      </c>
      <c r="F6492">
        <f>IF(B6492="","",IFERROR(RIGHT(B6492,LEN(B6492)-FIND("@",B6492)),""))</f>
        <v/>
      </c>
      <c r="G6492">
        <f>IF(D6492="KEEP",COUNTIF($D$2:D6492,"KEEP"),"")</f>
        <v/>
      </c>
      <c r="H6492">
        <f>IF(D6492="REMOVE",COUNTIF($D$2:D6492,"REMOVE"),"")</f>
        <v/>
      </c>
      <c r="I6492">
        <f>IF(E6492="Gmail",COUNTIF($E$2:E6492,"Gmail"),"")</f>
        <v/>
      </c>
      <c r="J6492">
        <f>IF(E6492="Outlook",COUNTIF($E$2:E6492,"Outlook"),"")</f>
        <v/>
      </c>
      <c r="K6492">
        <f>IF(E6492="Domain",COUNTIF($E$2:E6492,"Domain"),"")</f>
        <v/>
      </c>
    </row>
    <row r="6493">
      <c r="A6493" s="2" t="n"/>
      <c r="B6493">
        <f>LOWER(TRIM(A6493))</f>
        <v/>
      </c>
      <c r="C6493">
        <f>IF(B6493="","",IFERROR(INDEX('Bad Patterns'!$A$2:$A$120,MATCH(1,INDEX(--ISNUMBER(SEARCH('Bad Patterns'!$A$2:$A$120,B6493)),0),0)),""))</f>
        <v/>
      </c>
      <c r="D6493">
        <f>IF(B6493="","",IF(C6493&lt;&gt;"","REMOVE","KEEP"))</f>
        <v/>
      </c>
      <c r="E6493">
        <f>IF(D6493&lt;&gt;"KEEP","",IF(RIGHT(B6493,10)="@gmail.com","Gmail",IF(OR(RIGHT(B6493,12)="@outlook.com",RIGHT(B6493,12)="@hotmail.com",RIGHT(B6493,9)="@live.com"),"Outlook","Domain")))</f>
        <v/>
      </c>
      <c r="F6493">
        <f>IF(B6493="","",IFERROR(RIGHT(B6493,LEN(B6493)-FIND("@",B6493)),""))</f>
        <v/>
      </c>
      <c r="G6493">
        <f>IF(D6493="KEEP",COUNTIF($D$2:D6493,"KEEP"),"")</f>
        <v/>
      </c>
      <c r="H6493">
        <f>IF(D6493="REMOVE",COUNTIF($D$2:D6493,"REMOVE"),"")</f>
        <v/>
      </c>
      <c r="I6493">
        <f>IF(E6493="Gmail",COUNTIF($E$2:E6493,"Gmail"),"")</f>
        <v/>
      </c>
      <c r="J6493">
        <f>IF(E6493="Outlook",COUNTIF($E$2:E6493,"Outlook"),"")</f>
        <v/>
      </c>
      <c r="K6493">
        <f>IF(E6493="Domain",COUNTIF($E$2:E6493,"Domain"),"")</f>
        <v/>
      </c>
    </row>
    <row r="6494">
      <c r="A6494" s="2" t="n"/>
      <c r="B6494">
        <f>LOWER(TRIM(A6494))</f>
        <v/>
      </c>
      <c r="C6494">
        <f>IF(B6494="","",IFERROR(INDEX('Bad Patterns'!$A$2:$A$120,MATCH(1,INDEX(--ISNUMBER(SEARCH('Bad Patterns'!$A$2:$A$120,B6494)),0),0)),""))</f>
        <v/>
      </c>
      <c r="D6494">
        <f>IF(B6494="","",IF(C6494&lt;&gt;"","REMOVE","KEEP"))</f>
        <v/>
      </c>
      <c r="E6494">
        <f>IF(D6494&lt;&gt;"KEEP","",IF(RIGHT(B6494,10)="@gmail.com","Gmail",IF(OR(RIGHT(B6494,12)="@outlook.com",RIGHT(B6494,12)="@hotmail.com",RIGHT(B6494,9)="@live.com"),"Outlook","Domain")))</f>
        <v/>
      </c>
      <c r="F6494">
        <f>IF(B6494="","",IFERROR(RIGHT(B6494,LEN(B6494)-FIND("@",B6494)),""))</f>
        <v/>
      </c>
      <c r="G6494">
        <f>IF(D6494="KEEP",COUNTIF($D$2:D6494,"KEEP"),"")</f>
        <v/>
      </c>
      <c r="H6494">
        <f>IF(D6494="REMOVE",COUNTIF($D$2:D6494,"REMOVE"),"")</f>
        <v/>
      </c>
      <c r="I6494">
        <f>IF(E6494="Gmail",COUNTIF($E$2:E6494,"Gmail"),"")</f>
        <v/>
      </c>
      <c r="J6494">
        <f>IF(E6494="Outlook",COUNTIF($E$2:E6494,"Outlook"),"")</f>
        <v/>
      </c>
      <c r="K6494">
        <f>IF(E6494="Domain",COUNTIF($E$2:E6494,"Domain"),"")</f>
        <v/>
      </c>
    </row>
    <row r="6495">
      <c r="A6495" s="2" t="n"/>
      <c r="B6495">
        <f>LOWER(TRIM(A6495))</f>
        <v/>
      </c>
      <c r="C6495">
        <f>IF(B6495="","",IFERROR(INDEX('Bad Patterns'!$A$2:$A$120,MATCH(1,INDEX(--ISNUMBER(SEARCH('Bad Patterns'!$A$2:$A$120,B6495)),0),0)),""))</f>
        <v/>
      </c>
      <c r="D6495">
        <f>IF(B6495="","",IF(C6495&lt;&gt;"","REMOVE","KEEP"))</f>
        <v/>
      </c>
      <c r="E6495">
        <f>IF(D6495&lt;&gt;"KEEP","",IF(RIGHT(B6495,10)="@gmail.com","Gmail",IF(OR(RIGHT(B6495,12)="@outlook.com",RIGHT(B6495,12)="@hotmail.com",RIGHT(B6495,9)="@live.com"),"Outlook","Domain")))</f>
        <v/>
      </c>
      <c r="F6495">
        <f>IF(B6495="","",IFERROR(RIGHT(B6495,LEN(B6495)-FIND("@",B6495)),""))</f>
        <v/>
      </c>
      <c r="G6495">
        <f>IF(D6495="KEEP",COUNTIF($D$2:D6495,"KEEP"),"")</f>
        <v/>
      </c>
      <c r="H6495">
        <f>IF(D6495="REMOVE",COUNTIF($D$2:D6495,"REMOVE"),"")</f>
        <v/>
      </c>
      <c r="I6495">
        <f>IF(E6495="Gmail",COUNTIF($E$2:E6495,"Gmail"),"")</f>
        <v/>
      </c>
      <c r="J6495">
        <f>IF(E6495="Outlook",COUNTIF($E$2:E6495,"Outlook"),"")</f>
        <v/>
      </c>
      <c r="K6495">
        <f>IF(E6495="Domain",COUNTIF($E$2:E6495,"Domain"),"")</f>
        <v/>
      </c>
    </row>
    <row r="6496">
      <c r="A6496" s="2" t="n"/>
      <c r="B6496">
        <f>LOWER(TRIM(A6496))</f>
        <v/>
      </c>
      <c r="C6496">
        <f>IF(B6496="","",IFERROR(INDEX('Bad Patterns'!$A$2:$A$120,MATCH(1,INDEX(--ISNUMBER(SEARCH('Bad Patterns'!$A$2:$A$120,B6496)),0),0)),""))</f>
        <v/>
      </c>
      <c r="D6496">
        <f>IF(B6496="","",IF(C6496&lt;&gt;"","REMOVE","KEEP"))</f>
        <v/>
      </c>
      <c r="E6496">
        <f>IF(D6496&lt;&gt;"KEEP","",IF(RIGHT(B6496,10)="@gmail.com","Gmail",IF(OR(RIGHT(B6496,12)="@outlook.com",RIGHT(B6496,12)="@hotmail.com",RIGHT(B6496,9)="@live.com"),"Outlook","Domain")))</f>
        <v/>
      </c>
      <c r="F6496">
        <f>IF(B6496="","",IFERROR(RIGHT(B6496,LEN(B6496)-FIND("@",B6496)),""))</f>
        <v/>
      </c>
      <c r="G6496">
        <f>IF(D6496="KEEP",COUNTIF($D$2:D6496,"KEEP"),"")</f>
        <v/>
      </c>
      <c r="H6496">
        <f>IF(D6496="REMOVE",COUNTIF($D$2:D6496,"REMOVE"),"")</f>
        <v/>
      </c>
      <c r="I6496">
        <f>IF(E6496="Gmail",COUNTIF($E$2:E6496,"Gmail"),"")</f>
        <v/>
      </c>
      <c r="J6496">
        <f>IF(E6496="Outlook",COUNTIF($E$2:E6496,"Outlook"),"")</f>
        <v/>
      </c>
      <c r="K6496">
        <f>IF(E6496="Domain",COUNTIF($E$2:E6496,"Domain"),"")</f>
        <v/>
      </c>
    </row>
    <row r="6497">
      <c r="A6497" s="2" t="n"/>
      <c r="B6497">
        <f>LOWER(TRIM(A6497))</f>
        <v/>
      </c>
      <c r="C6497">
        <f>IF(B6497="","",IFERROR(INDEX('Bad Patterns'!$A$2:$A$120,MATCH(1,INDEX(--ISNUMBER(SEARCH('Bad Patterns'!$A$2:$A$120,B6497)),0),0)),""))</f>
        <v/>
      </c>
      <c r="D6497">
        <f>IF(B6497="","",IF(C6497&lt;&gt;"","REMOVE","KEEP"))</f>
        <v/>
      </c>
      <c r="E6497">
        <f>IF(D6497&lt;&gt;"KEEP","",IF(RIGHT(B6497,10)="@gmail.com","Gmail",IF(OR(RIGHT(B6497,12)="@outlook.com",RIGHT(B6497,12)="@hotmail.com",RIGHT(B6497,9)="@live.com"),"Outlook","Domain")))</f>
        <v/>
      </c>
      <c r="F6497">
        <f>IF(B6497="","",IFERROR(RIGHT(B6497,LEN(B6497)-FIND("@",B6497)),""))</f>
        <v/>
      </c>
      <c r="G6497">
        <f>IF(D6497="KEEP",COUNTIF($D$2:D6497,"KEEP"),"")</f>
        <v/>
      </c>
      <c r="H6497">
        <f>IF(D6497="REMOVE",COUNTIF($D$2:D6497,"REMOVE"),"")</f>
        <v/>
      </c>
      <c r="I6497">
        <f>IF(E6497="Gmail",COUNTIF($E$2:E6497,"Gmail"),"")</f>
        <v/>
      </c>
      <c r="J6497">
        <f>IF(E6497="Outlook",COUNTIF($E$2:E6497,"Outlook"),"")</f>
        <v/>
      </c>
      <c r="K6497">
        <f>IF(E6497="Domain",COUNTIF($E$2:E6497,"Domain"),"")</f>
        <v/>
      </c>
    </row>
    <row r="6498">
      <c r="A6498" s="2" t="n"/>
      <c r="B6498">
        <f>LOWER(TRIM(A6498))</f>
        <v/>
      </c>
      <c r="C6498">
        <f>IF(B6498="","",IFERROR(INDEX('Bad Patterns'!$A$2:$A$120,MATCH(1,INDEX(--ISNUMBER(SEARCH('Bad Patterns'!$A$2:$A$120,B6498)),0),0)),""))</f>
        <v/>
      </c>
      <c r="D6498">
        <f>IF(B6498="","",IF(C6498&lt;&gt;"","REMOVE","KEEP"))</f>
        <v/>
      </c>
      <c r="E6498">
        <f>IF(D6498&lt;&gt;"KEEP","",IF(RIGHT(B6498,10)="@gmail.com","Gmail",IF(OR(RIGHT(B6498,12)="@outlook.com",RIGHT(B6498,12)="@hotmail.com",RIGHT(B6498,9)="@live.com"),"Outlook","Domain")))</f>
        <v/>
      </c>
      <c r="F6498">
        <f>IF(B6498="","",IFERROR(RIGHT(B6498,LEN(B6498)-FIND("@",B6498)),""))</f>
        <v/>
      </c>
      <c r="G6498">
        <f>IF(D6498="KEEP",COUNTIF($D$2:D6498,"KEEP"),"")</f>
        <v/>
      </c>
      <c r="H6498">
        <f>IF(D6498="REMOVE",COUNTIF($D$2:D6498,"REMOVE"),"")</f>
        <v/>
      </c>
      <c r="I6498">
        <f>IF(E6498="Gmail",COUNTIF($E$2:E6498,"Gmail"),"")</f>
        <v/>
      </c>
      <c r="J6498">
        <f>IF(E6498="Outlook",COUNTIF($E$2:E6498,"Outlook"),"")</f>
        <v/>
      </c>
      <c r="K6498">
        <f>IF(E6498="Domain",COUNTIF($E$2:E6498,"Domain"),"")</f>
        <v/>
      </c>
    </row>
    <row r="6499">
      <c r="A6499" s="2" t="n"/>
      <c r="B6499">
        <f>LOWER(TRIM(A6499))</f>
        <v/>
      </c>
      <c r="C6499">
        <f>IF(B6499="","",IFERROR(INDEX('Bad Patterns'!$A$2:$A$120,MATCH(1,INDEX(--ISNUMBER(SEARCH('Bad Patterns'!$A$2:$A$120,B6499)),0),0)),""))</f>
        <v/>
      </c>
      <c r="D6499">
        <f>IF(B6499="","",IF(C6499&lt;&gt;"","REMOVE","KEEP"))</f>
        <v/>
      </c>
      <c r="E6499">
        <f>IF(D6499&lt;&gt;"KEEP","",IF(RIGHT(B6499,10)="@gmail.com","Gmail",IF(OR(RIGHT(B6499,12)="@outlook.com",RIGHT(B6499,12)="@hotmail.com",RIGHT(B6499,9)="@live.com"),"Outlook","Domain")))</f>
        <v/>
      </c>
      <c r="F6499">
        <f>IF(B6499="","",IFERROR(RIGHT(B6499,LEN(B6499)-FIND("@",B6499)),""))</f>
        <v/>
      </c>
      <c r="G6499">
        <f>IF(D6499="KEEP",COUNTIF($D$2:D6499,"KEEP"),"")</f>
        <v/>
      </c>
      <c r="H6499">
        <f>IF(D6499="REMOVE",COUNTIF($D$2:D6499,"REMOVE"),"")</f>
        <v/>
      </c>
      <c r="I6499">
        <f>IF(E6499="Gmail",COUNTIF($E$2:E6499,"Gmail"),"")</f>
        <v/>
      </c>
      <c r="J6499">
        <f>IF(E6499="Outlook",COUNTIF($E$2:E6499,"Outlook"),"")</f>
        <v/>
      </c>
      <c r="K6499">
        <f>IF(E6499="Domain",COUNTIF($E$2:E6499,"Domain"),"")</f>
        <v/>
      </c>
    </row>
    <row r="6500">
      <c r="A6500" s="2" t="n"/>
      <c r="B6500">
        <f>LOWER(TRIM(A6500))</f>
        <v/>
      </c>
      <c r="C6500">
        <f>IF(B6500="","",IFERROR(INDEX('Bad Patterns'!$A$2:$A$120,MATCH(1,INDEX(--ISNUMBER(SEARCH('Bad Patterns'!$A$2:$A$120,B6500)),0),0)),""))</f>
        <v/>
      </c>
      <c r="D6500">
        <f>IF(B6500="","",IF(C6500&lt;&gt;"","REMOVE","KEEP"))</f>
        <v/>
      </c>
      <c r="E6500">
        <f>IF(D6500&lt;&gt;"KEEP","",IF(RIGHT(B6500,10)="@gmail.com","Gmail",IF(OR(RIGHT(B6500,12)="@outlook.com",RIGHT(B6500,12)="@hotmail.com",RIGHT(B6500,9)="@live.com"),"Outlook","Domain")))</f>
        <v/>
      </c>
      <c r="F6500">
        <f>IF(B6500="","",IFERROR(RIGHT(B6500,LEN(B6500)-FIND("@",B6500)),""))</f>
        <v/>
      </c>
      <c r="G6500">
        <f>IF(D6500="KEEP",COUNTIF($D$2:D6500,"KEEP"),"")</f>
        <v/>
      </c>
      <c r="H6500">
        <f>IF(D6500="REMOVE",COUNTIF($D$2:D6500,"REMOVE"),"")</f>
        <v/>
      </c>
      <c r="I6500">
        <f>IF(E6500="Gmail",COUNTIF($E$2:E6500,"Gmail"),"")</f>
        <v/>
      </c>
      <c r="J6500">
        <f>IF(E6500="Outlook",COUNTIF($E$2:E6500,"Outlook"),"")</f>
        <v/>
      </c>
      <c r="K6500">
        <f>IF(E6500="Domain",COUNTIF($E$2:E6500,"Domain"),"")</f>
        <v/>
      </c>
    </row>
    <row r="6501">
      <c r="A6501" s="2" t="n"/>
      <c r="B6501">
        <f>LOWER(TRIM(A6501))</f>
        <v/>
      </c>
      <c r="C6501">
        <f>IF(B6501="","",IFERROR(INDEX('Bad Patterns'!$A$2:$A$120,MATCH(1,INDEX(--ISNUMBER(SEARCH('Bad Patterns'!$A$2:$A$120,B6501)),0),0)),""))</f>
        <v/>
      </c>
      <c r="D6501">
        <f>IF(B6501="","",IF(C6501&lt;&gt;"","REMOVE","KEEP"))</f>
        <v/>
      </c>
      <c r="E6501">
        <f>IF(D6501&lt;&gt;"KEEP","",IF(RIGHT(B6501,10)="@gmail.com","Gmail",IF(OR(RIGHT(B6501,12)="@outlook.com",RIGHT(B6501,12)="@hotmail.com",RIGHT(B6501,9)="@live.com"),"Outlook","Domain")))</f>
        <v/>
      </c>
      <c r="F6501">
        <f>IF(B6501="","",IFERROR(RIGHT(B6501,LEN(B6501)-FIND("@",B6501)),""))</f>
        <v/>
      </c>
      <c r="G6501">
        <f>IF(D6501="KEEP",COUNTIF($D$2:D6501,"KEEP"),"")</f>
        <v/>
      </c>
      <c r="H6501">
        <f>IF(D6501="REMOVE",COUNTIF($D$2:D6501,"REMOVE"),"")</f>
        <v/>
      </c>
      <c r="I6501">
        <f>IF(E6501="Gmail",COUNTIF($E$2:E6501,"Gmail"),"")</f>
        <v/>
      </c>
      <c r="J6501">
        <f>IF(E6501="Outlook",COUNTIF($E$2:E6501,"Outlook"),"")</f>
        <v/>
      </c>
      <c r="K6501">
        <f>IF(E6501="Domain",COUNTIF($E$2:E6501,"Domain"),"")</f>
        <v/>
      </c>
    </row>
    <row r="6502">
      <c r="A6502" s="2" t="n"/>
      <c r="B6502">
        <f>LOWER(TRIM(A6502))</f>
        <v/>
      </c>
      <c r="C6502">
        <f>IF(B6502="","",IFERROR(INDEX('Bad Patterns'!$A$2:$A$120,MATCH(1,INDEX(--ISNUMBER(SEARCH('Bad Patterns'!$A$2:$A$120,B6502)),0),0)),""))</f>
        <v/>
      </c>
      <c r="D6502">
        <f>IF(B6502="","",IF(C6502&lt;&gt;"","REMOVE","KEEP"))</f>
        <v/>
      </c>
      <c r="E6502">
        <f>IF(D6502&lt;&gt;"KEEP","",IF(RIGHT(B6502,10)="@gmail.com","Gmail",IF(OR(RIGHT(B6502,12)="@outlook.com",RIGHT(B6502,12)="@hotmail.com",RIGHT(B6502,9)="@live.com"),"Outlook","Domain")))</f>
        <v/>
      </c>
      <c r="F6502">
        <f>IF(B6502="","",IFERROR(RIGHT(B6502,LEN(B6502)-FIND("@",B6502)),""))</f>
        <v/>
      </c>
      <c r="G6502">
        <f>IF(D6502="KEEP",COUNTIF($D$2:D6502,"KEEP"),"")</f>
        <v/>
      </c>
      <c r="H6502">
        <f>IF(D6502="REMOVE",COUNTIF($D$2:D6502,"REMOVE"),"")</f>
        <v/>
      </c>
      <c r="I6502">
        <f>IF(E6502="Gmail",COUNTIF($E$2:E6502,"Gmail"),"")</f>
        <v/>
      </c>
      <c r="J6502">
        <f>IF(E6502="Outlook",COUNTIF($E$2:E6502,"Outlook"),"")</f>
        <v/>
      </c>
      <c r="K6502">
        <f>IF(E6502="Domain",COUNTIF($E$2:E6502,"Domain"),"")</f>
        <v/>
      </c>
    </row>
    <row r="6503">
      <c r="A6503" s="2" t="n"/>
      <c r="B6503">
        <f>LOWER(TRIM(A6503))</f>
        <v/>
      </c>
      <c r="C6503">
        <f>IF(B6503="","",IFERROR(INDEX('Bad Patterns'!$A$2:$A$120,MATCH(1,INDEX(--ISNUMBER(SEARCH('Bad Patterns'!$A$2:$A$120,B6503)),0),0)),""))</f>
        <v/>
      </c>
      <c r="D6503">
        <f>IF(B6503="","",IF(C6503&lt;&gt;"","REMOVE","KEEP"))</f>
        <v/>
      </c>
      <c r="E6503">
        <f>IF(D6503&lt;&gt;"KEEP","",IF(RIGHT(B6503,10)="@gmail.com","Gmail",IF(OR(RIGHT(B6503,12)="@outlook.com",RIGHT(B6503,12)="@hotmail.com",RIGHT(B6503,9)="@live.com"),"Outlook","Domain")))</f>
        <v/>
      </c>
      <c r="F6503">
        <f>IF(B6503="","",IFERROR(RIGHT(B6503,LEN(B6503)-FIND("@",B6503)),""))</f>
        <v/>
      </c>
      <c r="G6503">
        <f>IF(D6503="KEEP",COUNTIF($D$2:D6503,"KEEP"),"")</f>
        <v/>
      </c>
      <c r="H6503">
        <f>IF(D6503="REMOVE",COUNTIF($D$2:D6503,"REMOVE"),"")</f>
        <v/>
      </c>
      <c r="I6503">
        <f>IF(E6503="Gmail",COUNTIF($E$2:E6503,"Gmail"),"")</f>
        <v/>
      </c>
      <c r="J6503">
        <f>IF(E6503="Outlook",COUNTIF($E$2:E6503,"Outlook"),"")</f>
        <v/>
      </c>
      <c r="K6503">
        <f>IF(E6503="Domain",COUNTIF($E$2:E6503,"Domain"),"")</f>
        <v/>
      </c>
    </row>
    <row r="6504">
      <c r="A6504" s="2" t="n"/>
      <c r="B6504">
        <f>LOWER(TRIM(A6504))</f>
        <v/>
      </c>
      <c r="C6504">
        <f>IF(B6504="","",IFERROR(INDEX('Bad Patterns'!$A$2:$A$120,MATCH(1,INDEX(--ISNUMBER(SEARCH('Bad Patterns'!$A$2:$A$120,B6504)),0),0)),""))</f>
        <v/>
      </c>
      <c r="D6504">
        <f>IF(B6504="","",IF(C6504&lt;&gt;"","REMOVE","KEEP"))</f>
        <v/>
      </c>
      <c r="E6504">
        <f>IF(D6504&lt;&gt;"KEEP","",IF(RIGHT(B6504,10)="@gmail.com","Gmail",IF(OR(RIGHT(B6504,12)="@outlook.com",RIGHT(B6504,12)="@hotmail.com",RIGHT(B6504,9)="@live.com"),"Outlook","Domain")))</f>
        <v/>
      </c>
      <c r="F6504">
        <f>IF(B6504="","",IFERROR(RIGHT(B6504,LEN(B6504)-FIND("@",B6504)),""))</f>
        <v/>
      </c>
      <c r="G6504">
        <f>IF(D6504="KEEP",COUNTIF($D$2:D6504,"KEEP"),"")</f>
        <v/>
      </c>
      <c r="H6504">
        <f>IF(D6504="REMOVE",COUNTIF($D$2:D6504,"REMOVE"),"")</f>
        <v/>
      </c>
      <c r="I6504">
        <f>IF(E6504="Gmail",COUNTIF($E$2:E6504,"Gmail"),"")</f>
        <v/>
      </c>
      <c r="J6504">
        <f>IF(E6504="Outlook",COUNTIF($E$2:E6504,"Outlook"),"")</f>
        <v/>
      </c>
      <c r="K6504">
        <f>IF(E6504="Domain",COUNTIF($E$2:E6504,"Domain"),"")</f>
        <v/>
      </c>
    </row>
    <row r="6505">
      <c r="A6505" s="2" t="n"/>
      <c r="B6505">
        <f>LOWER(TRIM(A6505))</f>
        <v/>
      </c>
      <c r="C6505">
        <f>IF(B6505="","",IFERROR(INDEX('Bad Patterns'!$A$2:$A$120,MATCH(1,INDEX(--ISNUMBER(SEARCH('Bad Patterns'!$A$2:$A$120,B6505)),0),0)),""))</f>
        <v/>
      </c>
      <c r="D6505">
        <f>IF(B6505="","",IF(C6505&lt;&gt;"","REMOVE","KEEP"))</f>
        <v/>
      </c>
      <c r="E6505">
        <f>IF(D6505&lt;&gt;"KEEP","",IF(RIGHT(B6505,10)="@gmail.com","Gmail",IF(OR(RIGHT(B6505,12)="@outlook.com",RIGHT(B6505,12)="@hotmail.com",RIGHT(B6505,9)="@live.com"),"Outlook","Domain")))</f>
        <v/>
      </c>
      <c r="F6505">
        <f>IF(B6505="","",IFERROR(RIGHT(B6505,LEN(B6505)-FIND("@",B6505)),""))</f>
        <v/>
      </c>
      <c r="G6505">
        <f>IF(D6505="KEEP",COUNTIF($D$2:D6505,"KEEP"),"")</f>
        <v/>
      </c>
      <c r="H6505">
        <f>IF(D6505="REMOVE",COUNTIF($D$2:D6505,"REMOVE"),"")</f>
        <v/>
      </c>
      <c r="I6505">
        <f>IF(E6505="Gmail",COUNTIF($E$2:E6505,"Gmail"),"")</f>
        <v/>
      </c>
      <c r="J6505">
        <f>IF(E6505="Outlook",COUNTIF($E$2:E6505,"Outlook"),"")</f>
        <v/>
      </c>
      <c r="K6505">
        <f>IF(E6505="Domain",COUNTIF($E$2:E6505,"Domain"),"")</f>
        <v/>
      </c>
    </row>
    <row r="6506">
      <c r="A6506" s="2" t="n"/>
      <c r="B6506">
        <f>LOWER(TRIM(A6506))</f>
        <v/>
      </c>
      <c r="C6506">
        <f>IF(B6506="","",IFERROR(INDEX('Bad Patterns'!$A$2:$A$120,MATCH(1,INDEX(--ISNUMBER(SEARCH('Bad Patterns'!$A$2:$A$120,B6506)),0),0)),""))</f>
        <v/>
      </c>
      <c r="D6506">
        <f>IF(B6506="","",IF(C6506&lt;&gt;"","REMOVE","KEEP"))</f>
        <v/>
      </c>
      <c r="E6506">
        <f>IF(D6506&lt;&gt;"KEEP","",IF(RIGHT(B6506,10)="@gmail.com","Gmail",IF(OR(RIGHT(B6506,12)="@outlook.com",RIGHT(B6506,12)="@hotmail.com",RIGHT(B6506,9)="@live.com"),"Outlook","Domain")))</f>
        <v/>
      </c>
      <c r="F6506">
        <f>IF(B6506="","",IFERROR(RIGHT(B6506,LEN(B6506)-FIND("@",B6506)),""))</f>
        <v/>
      </c>
      <c r="G6506">
        <f>IF(D6506="KEEP",COUNTIF($D$2:D6506,"KEEP"),"")</f>
        <v/>
      </c>
      <c r="H6506">
        <f>IF(D6506="REMOVE",COUNTIF($D$2:D6506,"REMOVE"),"")</f>
        <v/>
      </c>
      <c r="I6506">
        <f>IF(E6506="Gmail",COUNTIF($E$2:E6506,"Gmail"),"")</f>
        <v/>
      </c>
      <c r="J6506">
        <f>IF(E6506="Outlook",COUNTIF($E$2:E6506,"Outlook"),"")</f>
        <v/>
      </c>
      <c r="K6506">
        <f>IF(E6506="Domain",COUNTIF($E$2:E6506,"Domain"),"")</f>
        <v/>
      </c>
    </row>
    <row r="6507">
      <c r="A6507" s="2" t="n"/>
      <c r="B6507">
        <f>LOWER(TRIM(A6507))</f>
        <v/>
      </c>
      <c r="C6507">
        <f>IF(B6507="","",IFERROR(INDEX('Bad Patterns'!$A$2:$A$120,MATCH(1,INDEX(--ISNUMBER(SEARCH('Bad Patterns'!$A$2:$A$120,B6507)),0),0)),""))</f>
        <v/>
      </c>
      <c r="D6507">
        <f>IF(B6507="","",IF(C6507&lt;&gt;"","REMOVE","KEEP"))</f>
        <v/>
      </c>
      <c r="E6507">
        <f>IF(D6507&lt;&gt;"KEEP","",IF(RIGHT(B6507,10)="@gmail.com","Gmail",IF(OR(RIGHT(B6507,12)="@outlook.com",RIGHT(B6507,12)="@hotmail.com",RIGHT(B6507,9)="@live.com"),"Outlook","Domain")))</f>
        <v/>
      </c>
      <c r="F6507">
        <f>IF(B6507="","",IFERROR(RIGHT(B6507,LEN(B6507)-FIND("@",B6507)),""))</f>
        <v/>
      </c>
      <c r="G6507">
        <f>IF(D6507="KEEP",COUNTIF($D$2:D6507,"KEEP"),"")</f>
        <v/>
      </c>
      <c r="H6507">
        <f>IF(D6507="REMOVE",COUNTIF($D$2:D6507,"REMOVE"),"")</f>
        <v/>
      </c>
      <c r="I6507">
        <f>IF(E6507="Gmail",COUNTIF($E$2:E6507,"Gmail"),"")</f>
        <v/>
      </c>
      <c r="J6507">
        <f>IF(E6507="Outlook",COUNTIF($E$2:E6507,"Outlook"),"")</f>
        <v/>
      </c>
      <c r="K6507">
        <f>IF(E6507="Domain",COUNTIF($E$2:E6507,"Domain"),"")</f>
        <v/>
      </c>
    </row>
    <row r="6508">
      <c r="A6508" s="2" t="n"/>
      <c r="B6508">
        <f>LOWER(TRIM(A6508))</f>
        <v/>
      </c>
      <c r="C6508">
        <f>IF(B6508="","",IFERROR(INDEX('Bad Patterns'!$A$2:$A$120,MATCH(1,INDEX(--ISNUMBER(SEARCH('Bad Patterns'!$A$2:$A$120,B6508)),0),0)),""))</f>
        <v/>
      </c>
      <c r="D6508">
        <f>IF(B6508="","",IF(C6508&lt;&gt;"","REMOVE","KEEP"))</f>
        <v/>
      </c>
      <c r="E6508">
        <f>IF(D6508&lt;&gt;"KEEP","",IF(RIGHT(B6508,10)="@gmail.com","Gmail",IF(OR(RIGHT(B6508,12)="@outlook.com",RIGHT(B6508,12)="@hotmail.com",RIGHT(B6508,9)="@live.com"),"Outlook","Domain")))</f>
        <v/>
      </c>
      <c r="F6508">
        <f>IF(B6508="","",IFERROR(RIGHT(B6508,LEN(B6508)-FIND("@",B6508)),""))</f>
        <v/>
      </c>
      <c r="G6508">
        <f>IF(D6508="KEEP",COUNTIF($D$2:D6508,"KEEP"),"")</f>
        <v/>
      </c>
      <c r="H6508">
        <f>IF(D6508="REMOVE",COUNTIF($D$2:D6508,"REMOVE"),"")</f>
        <v/>
      </c>
      <c r="I6508">
        <f>IF(E6508="Gmail",COUNTIF($E$2:E6508,"Gmail"),"")</f>
        <v/>
      </c>
      <c r="J6508">
        <f>IF(E6508="Outlook",COUNTIF($E$2:E6508,"Outlook"),"")</f>
        <v/>
      </c>
      <c r="K6508">
        <f>IF(E6508="Domain",COUNTIF($E$2:E6508,"Domain"),"")</f>
        <v/>
      </c>
    </row>
    <row r="6509">
      <c r="A6509" s="2" t="n"/>
      <c r="B6509">
        <f>LOWER(TRIM(A6509))</f>
        <v/>
      </c>
      <c r="C6509">
        <f>IF(B6509="","",IFERROR(INDEX('Bad Patterns'!$A$2:$A$120,MATCH(1,INDEX(--ISNUMBER(SEARCH('Bad Patterns'!$A$2:$A$120,B6509)),0),0)),""))</f>
        <v/>
      </c>
      <c r="D6509">
        <f>IF(B6509="","",IF(C6509&lt;&gt;"","REMOVE","KEEP"))</f>
        <v/>
      </c>
      <c r="E6509">
        <f>IF(D6509&lt;&gt;"KEEP","",IF(RIGHT(B6509,10)="@gmail.com","Gmail",IF(OR(RIGHT(B6509,12)="@outlook.com",RIGHT(B6509,12)="@hotmail.com",RIGHT(B6509,9)="@live.com"),"Outlook","Domain")))</f>
        <v/>
      </c>
      <c r="F6509">
        <f>IF(B6509="","",IFERROR(RIGHT(B6509,LEN(B6509)-FIND("@",B6509)),""))</f>
        <v/>
      </c>
      <c r="G6509">
        <f>IF(D6509="KEEP",COUNTIF($D$2:D6509,"KEEP"),"")</f>
        <v/>
      </c>
      <c r="H6509">
        <f>IF(D6509="REMOVE",COUNTIF($D$2:D6509,"REMOVE"),"")</f>
        <v/>
      </c>
      <c r="I6509">
        <f>IF(E6509="Gmail",COUNTIF($E$2:E6509,"Gmail"),"")</f>
        <v/>
      </c>
      <c r="J6509">
        <f>IF(E6509="Outlook",COUNTIF($E$2:E6509,"Outlook"),"")</f>
        <v/>
      </c>
      <c r="K6509">
        <f>IF(E6509="Domain",COUNTIF($E$2:E6509,"Domain"),"")</f>
        <v/>
      </c>
    </row>
    <row r="6510">
      <c r="A6510" s="2" t="n"/>
      <c r="B6510">
        <f>LOWER(TRIM(A6510))</f>
        <v/>
      </c>
      <c r="C6510">
        <f>IF(B6510="","",IFERROR(INDEX('Bad Patterns'!$A$2:$A$120,MATCH(1,INDEX(--ISNUMBER(SEARCH('Bad Patterns'!$A$2:$A$120,B6510)),0),0)),""))</f>
        <v/>
      </c>
      <c r="D6510">
        <f>IF(B6510="","",IF(C6510&lt;&gt;"","REMOVE","KEEP"))</f>
        <v/>
      </c>
      <c r="E6510">
        <f>IF(D6510&lt;&gt;"KEEP","",IF(RIGHT(B6510,10)="@gmail.com","Gmail",IF(OR(RIGHT(B6510,12)="@outlook.com",RIGHT(B6510,12)="@hotmail.com",RIGHT(B6510,9)="@live.com"),"Outlook","Domain")))</f>
        <v/>
      </c>
      <c r="F6510">
        <f>IF(B6510="","",IFERROR(RIGHT(B6510,LEN(B6510)-FIND("@",B6510)),""))</f>
        <v/>
      </c>
      <c r="G6510">
        <f>IF(D6510="KEEP",COUNTIF($D$2:D6510,"KEEP"),"")</f>
        <v/>
      </c>
      <c r="H6510">
        <f>IF(D6510="REMOVE",COUNTIF($D$2:D6510,"REMOVE"),"")</f>
        <v/>
      </c>
      <c r="I6510">
        <f>IF(E6510="Gmail",COUNTIF($E$2:E6510,"Gmail"),"")</f>
        <v/>
      </c>
      <c r="J6510">
        <f>IF(E6510="Outlook",COUNTIF($E$2:E6510,"Outlook"),"")</f>
        <v/>
      </c>
      <c r="K6510">
        <f>IF(E6510="Domain",COUNTIF($E$2:E6510,"Domain"),"")</f>
        <v/>
      </c>
    </row>
    <row r="6511">
      <c r="A6511" s="2" t="n"/>
      <c r="B6511">
        <f>LOWER(TRIM(A6511))</f>
        <v/>
      </c>
      <c r="C6511">
        <f>IF(B6511="","",IFERROR(INDEX('Bad Patterns'!$A$2:$A$120,MATCH(1,INDEX(--ISNUMBER(SEARCH('Bad Patterns'!$A$2:$A$120,B6511)),0),0)),""))</f>
        <v/>
      </c>
      <c r="D6511">
        <f>IF(B6511="","",IF(C6511&lt;&gt;"","REMOVE","KEEP"))</f>
        <v/>
      </c>
      <c r="E6511">
        <f>IF(D6511&lt;&gt;"KEEP","",IF(RIGHT(B6511,10)="@gmail.com","Gmail",IF(OR(RIGHT(B6511,12)="@outlook.com",RIGHT(B6511,12)="@hotmail.com",RIGHT(B6511,9)="@live.com"),"Outlook","Domain")))</f>
        <v/>
      </c>
      <c r="F6511">
        <f>IF(B6511="","",IFERROR(RIGHT(B6511,LEN(B6511)-FIND("@",B6511)),""))</f>
        <v/>
      </c>
      <c r="G6511">
        <f>IF(D6511="KEEP",COUNTIF($D$2:D6511,"KEEP"),"")</f>
        <v/>
      </c>
      <c r="H6511">
        <f>IF(D6511="REMOVE",COUNTIF($D$2:D6511,"REMOVE"),"")</f>
        <v/>
      </c>
      <c r="I6511">
        <f>IF(E6511="Gmail",COUNTIF($E$2:E6511,"Gmail"),"")</f>
        <v/>
      </c>
      <c r="J6511">
        <f>IF(E6511="Outlook",COUNTIF($E$2:E6511,"Outlook"),"")</f>
        <v/>
      </c>
      <c r="K6511">
        <f>IF(E6511="Domain",COUNTIF($E$2:E6511,"Domain"),"")</f>
        <v/>
      </c>
    </row>
    <row r="6512">
      <c r="A6512" s="2" t="n"/>
      <c r="B6512">
        <f>LOWER(TRIM(A6512))</f>
        <v/>
      </c>
      <c r="C6512">
        <f>IF(B6512="","",IFERROR(INDEX('Bad Patterns'!$A$2:$A$120,MATCH(1,INDEX(--ISNUMBER(SEARCH('Bad Patterns'!$A$2:$A$120,B6512)),0),0)),""))</f>
        <v/>
      </c>
      <c r="D6512">
        <f>IF(B6512="","",IF(C6512&lt;&gt;"","REMOVE","KEEP"))</f>
        <v/>
      </c>
      <c r="E6512">
        <f>IF(D6512&lt;&gt;"KEEP","",IF(RIGHT(B6512,10)="@gmail.com","Gmail",IF(OR(RIGHT(B6512,12)="@outlook.com",RIGHT(B6512,12)="@hotmail.com",RIGHT(B6512,9)="@live.com"),"Outlook","Domain")))</f>
        <v/>
      </c>
      <c r="F6512">
        <f>IF(B6512="","",IFERROR(RIGHT(B6512,LEN(B6512)-FIND("@",B6512)),""))</f>
        <v/>
      </c>
      <c r="G6512">
        <f>IF(D6512="KEEP",COUNTIF($D$2:D6512,"KEEP"),"")</f>
        <v/>
      </c>
      <c r="H6512">
        <f>IF(D6512="REMOVE",COUNTIF($D$2:D6512,"REMOVE"),"")</f>
        <v/>
      </c>
      <c r="I6512">
        <f>IF(E6512="Gmail",COUNTIF($E$2:E6512,"Gmail"),"")</f>
        <v/>
      </c>
      <c r="J6512">
        <f>IF(E6512="Outlook",COUNTIF($E$2:E6512,"Outlook"),"")</f>
        <v/>
      </c>
      <c r="K6512">
        <f>IF(E6512="Domain",COUNTIF($E$2:E6512,"Domain"),"")</f>
        <v/>
      </c>
    </row>
    <row r="6513">
      <c r="A6513" s="2" t="n"/>
      <c r="B6513">
        <f>LOWER(TRIM(A6513))</f>
        <v/>
      </c>
      <c r="C6513">
        <f>IF(B6513="","",IFERROR(INDEX('Bad Patterns'!$A$2:$A$120,MATCH(1,INDEX(--ISNUMBER(SEARCH('Bad Patterns'!$A$2:$A$120,B6513)),0),0)),""))</f>
        <v/>
      </c>
      <c r="D6513">
        <f>IF(B6513="","",IF(C6513&lt;&gt;"","REMOVE","KEEP"))</f>
        <v/>
      </c>
      <c r="E6513">
        <f>IF(D6513&lt;&gt;"KEEP","",IF(RIGHT(B6513,10)="@gmail.com","Gmail",IF(OR(RIGHT(B6513,12)="@outlook.com",RIGHT(B6513,12)="@hotmail.com",RIGHT(B6513,9)="@live.com"),"Outlook","Domain")))</f>
        <v/>
      </c>
      <c r="F6513">
        <f>IF(B6513="","",IFERROR(RIGHT(B6513,LEN(B6513)-FIND("@",B6513)),""))</f>
        <v/>
      </c>
      <c r="G6513">
        <f>IF(D6513="KEEP",COUNTIF($D$2:D6513,"KEEP"),"")</f>
        <v/>
      </c>
      <c r="H6513">
        <f>IF(D6513="REMOVE",COUNTIF($D$2:D6513,"REMOVE"),"")</f>
        <v/>
      </c>
      <c r="I6513">
        <f>IF(E6513="Gmail",COUNTIF($E$2:E6513,"Gmail"),"")</f>
        <v/>
      </c>
      <c r="J6513">
        <f>IF(E6513="Outlook",COUNTIF($E$2:E6513,"Outlook"),"")</f>
        <v/>
      </c>
      <c r="K6513">
        <f>IF(E6513="Domain",COUNTIF($E$2:E6513,"Domain"),"")</f>
        <v/>
      </c>
    </row>
    <row r="6514">
      <c r="A6514" s="2" t="n"/>
      <c r="B6514">
        <f>LOWER(TRIM(A6514))</f>
        <v/>
      </c>
      <c r="C6514">
        <f>IF(B6514="","",IFERROR(INDEX('Bad Patterns'!$A$2:$A$120,MATCH(1,INDEX(--ISNUMBER(SEARCH('Bad Patterns'!$A$2:$A$120,B6514)),0),0)),""))</f>
        <v/>
      </c>
      <c r="D6514">
        <f>IF(B6514="","",IF(C6514&lt;&gt;"","REMOVE","KEEP"))</f>
        <v/>
      </c>
      <c r="E6514">
        <f>IF(D6514&lt;&gt;"KEEP","",IF(RIGHT(B6514,10)="@gmail.com","Gmail",IF(OR(RIGHT(B6514,12)="@outlook.com",RIGHT(B6514,12)="@hotmail.com",RIGHT(B6514,9)="@live.com"),"Outlook","Domain")))</f>
        <v/>
      </c>
      <c r="F6514">
        <f>IF(B6514="","",IFERROR(RIGHT(B6514,LEN(B6514)-FIND("@",B6514)),""))</f>
        <v/>
      </c>
      <c r="G6514">
        <f>IF(D6514="KEEP",COUNTIF($D$2:D6514,"KEEP"),"")</f>
        <v/>
      </c>
      <c r="H6514">
        <f>IF(D6514="REMOVE",COUNTIF($D$2:D6514,"REMOVE"),"")</f>
        <v/>
      </c>
      <c r="I6514">
        <f>IF(E6514="Gmail",COUNTIF($E$2:E6514,"Gmail"),"")</f>
        <v/>
      </c>
      <c r="J6514">
        <f>IF(E6514="Outlook",COUNTIF($E$2:E6514,"Outlook"),"")</f>
        <v/>
      </c>
      <c r="K6514">
        <f>IF(E6514="Domain",COUNTIF($E$2:E6514,"Domain"),"")</f>
        <v/>
      </c>
    </row>
    <row r="6515">
      <c r="A6515" s="2" t="n"/>
      <c r="B6515">
        <f>LOWER(TRIM(A6515))</f>
        <v/>
      </c>
      <c r="C6515">
        <f>IF(B6515="","",IFERROR(INDEX('Bad Patterns'!$A$2:$A$120,MATCH(1,INDEX(--ISNUMBER(SEARCH('Bad Patterns'!$A$2:$A$120,B6515)),0),0)),""))</f>
        <v/>
      </c>
      <c r="D6515">
        <f>IF(B6515="","",IF(C6515&lt;&gt;"","REMOVE","KEEP"))</f>
        <v/>
      </c>
      <c r="E6515">
        <f>IF(D6515&lt;&gt;"KEEP","",IF(RIGHT(B6515,10)="@gmail.com","Gmail",IF(OR(RIGHT(B6515,12)="@outlook.com",RIGHT(B6515,12)="@hotmail.com",RIGHT(B6515,9)="@live.com"),"Outlook","Domain")))</f>
        <v/>
      </c>
      <c r="F6515">
        <f>IF(B6515="","",IFERROR(RIGHT(B6515,LEN(B6515)-FIND("@",B6515)),""))</f>
        <v/>
      </c>
      <c r="G6515">
        <f>IF(D6515="KEEP",COUNTIF($D$2:D6515,"KEEP"),"")</f>
        <v/>
      </c>
      <c r="H6515">
        <f>IF(D6515="REMOVE",COUNTIF($D$2:D6515,"REMOVE"),"")</f>
        <v/>
      </c>
      <c r="I6515">
        <f>IF(E6515="Gmail",COUNTIF($E$2:E6515,"Gmail"),"")</f>
        <v/>
      </c>
      <c r="J6515">
        <f>IF(E6515="Outlook",COUNTIF($E$2:E6515,"Outlook"),"")</f>
        <v/>
      </c>
      <c r="K6515">
        <f>IF(E6515="Domain",COUNTIF($E$2:E6515,"Domain"),"")</f>
        <v/>
      </c>
    </row>
    <row r="6516">
      <c r="A6516" s="2" t="n"/>
      <c r="B6516">
        <f>LOWER(TRIM(A6516))</f>
        <v/>
      </c>
      <c r="C6516">
        <f>IF(B6516="","",IFERROR(INDEX('Bad Patterns'!$A$2:$A$120,MATCH(1,INDEX(--ISNUMBER(SEARCH('Bad Patterns'!$A$2:$A$120,B6516)),0),0)),""))</f>
        <v/>
      </c>
      <c r="D6516">
        <f>IF(B6516="","",IF(C6516&lt;&gt;"","REMOVE","KEEP"))</f>
        <v/>
      </c>
      <c r="E6516">
        <f>IF(D6516&lt;&gt;"KEEP","",IF(RIGHT(B6516,10)="@gmail.com","Gmail",IF(OR(RIGHT(B6516,12)="@outlook.com",RIGHT(B6516,12)="@hotmail.com",RIGHT(B6516,9)="@live.com"),"Outlook","Domain")))</f>
        <v/>
      </c>
      <c r="F6516">
        <f>IF(B6516="","",IFERROR(RIGHT(B6516,LEN(B6516)-FIND("@",B6516)),""))</f>
        <v/>
      </c>
      <c r="G6516">
        <f>IF(D6516="KEEP",COUNTIF($D$2:D6516,"KEEP"),"")</f>
        <v/>
      </c>
      <c r="H6516">
        <f>IF(D6516="REMOVE",COUNTIF($D$2:D6516,"REMOVE"),"")</f>
        <v/>
      </c>
      <c r="I6516">
        <f>IF(E6516="Gmail",COUNTIF($E$2:E6516,"Gmail"),"")</f>
        <v/>
      </c>
      <c r="J6516">
        <f>IF(E6516="Outlook",COUNTIF($E$2:E6516,"Outlook"),"")</f>
        <v/>
      </c>
      <c r="K6516">
        <f>IF(E6516="Domain",COUNTIF($E$2:E6516,"Domain"),"")</f>
        <v/>
      </c>
    </row>
    <row r="6517">
      <c r="A6517" s="2" t="n"/>
      <c r="B6517">
        <f>LOWER(TRIM(A6517))</f>
        <v/>
      </c>
      <c r="C6517">
        <f>IF(B6517="","",IFERROR(INDEX('Bad Patterns'!$A$2:$A$120,MATCH(1,INDEX(--ISNUMBER(SEARCH('Bad Patterns'!$A$2:$A$120,B6517)),0),0)),""))</f>
        <v/>
      </c>
      <c r="D6517">
        <f>IF(B6517="","",IF(C6517&lt;&gt;"","REMOVE","KEEP"))</f>
        <v/>
      </c>
      <c r="E6517">
        <f>IF(D6517&lt;&gt;"KEEP","",IF(RIGHT(B6517,10)="@gmail.com","Gmail",IF(OR(RIGHT(B6517,12)="@outlook.com",RIGHT(B6517,12)="@hotmail.com",RIGHT(B6517,9)="@live.com"),"Outlook","Domain")))</f>
        <v/>
      </c>
      <c r="F6517">
        <f>IF(B6517="","",IFERROR(RIGHT(B6517,LEN(B6517)-FIND("@",B6517)),""))</f>
        <v/>
      </c>
      <c r="G6517">
        <f>IF(D6517="KEEP",COUNTIF($D$2:D6517,"KEEP"),"")</f>
        <v/>
      </c>
      <c r="H6517">
        <f>IF(D6517="REMOVE",COUNTIF($D$2:D6517,"REMOVE"),"")</f>
        <v/>
      </c>
      <c r="I6517">
        <f>IF(E6517="Gmail",COUNTIF($E$2:E6517,"Gmail"),"")</f>
        <v/>
      </c>
      <c r="J6517">
        <f>IF(E6517="Outlook",COUNTIF($E$2:E6517,"Outlook"),"")</f>
        <v/>
      </c>
      <c r="K6517">
        <f>IF(E6517="Domain",COUNTIF($E$2:E6517,"Domain"),"")</f>
        <v/>
      </c>
    </row>
    <row r="6518">
      <c r="A6518" s="2" t="n"/>
      <c r="B6518">
        <f>LOWER(TRIM(A6518))</f>
        <v/>
      </c>
      <c r="C6518">
        <f>IF(B6518="","",IFERROR(INDEX('Bad Patterns'!$A$2:$A$120,MATCH(1,INDEX(--ISNUMBER(SEARCH('Bad Patterns'!$A$2:$A$120,B6518)),0),0)),""))</f>
        <v/>
      </c>
      <c r="D6518">
        <f>IF(B6518="","",IF(C6518&lt;&gt;"","REMOVE","KEEP"))</f>
        <v/>
      </c>
      <c r="E6518">
        <f>IF(D6518&lt;&gt;"KEEP","",IF(RIGHT(B6518,10)="@gmail.com","Gmail",IF(OR(RIGHT(B6518,12)="@outlook.com",RIGHT(B6518,12)="@hotmail.com",RIGHT(B6518,9)="@live.com"),"Outlook","Domain")))</f>
        <v/>
      </c>
      <c r="F6518">
        <f>IF(B6518="","",IFERROR(RIGHT(B6518,LEN(B6518)-FIND("@",B6518)),""))</f>
        <v/>
      </c>
      <c r="G6518">
        <f>IF(D6518="KEEP",COUNTIF($D$2:D6518,"KEEP"),"")</f>
        <v/>
      </c>
      <c r="H6518">
        <f>IF(D6518="REMOVE",COUNTIF($D$2:D6518,"REMOVE"),"")</f>
        <v/>
      </c>
      <c r="I6518">
        <f>IF(E6518="Gmail",COUNTIF($E$2:E6518,"Gmail"),"")</f>
        <v/>
      </c>
      <c r="J6518">
        <f>IF(E6518="Outlook",COUNTIF($E$2:E6518,"Outlook"),"")</f>
        <v/>
      </c>
      <c r="K6518">
        <f>IF(E6518="Domain",COUNTIF($E$2:E6518,"Domain"),"")</f>
        <v/>
      </c>
    </row>
    <row r="6519">
      <c r="A6519" s="2" t="n"/>
      <c r="B6519">
        <f>LOWER(TRIM(A6519))</f>
        <v/>
      </c>
      <c r="C6519">
        <f>IF(B6519="","",IFERROR(INDEX('Bad Patterns'!$A$2:$A$120,MATCH(1,INDEX(--ISNUMBER(SEARCH('Bad Patterns'!$A$2:$A$120,B6519)),0),0)),""))</f>
        <v/>
      </c>
      <c r="D6519">
        <f>IF(B6519="","",IF(C6519&lt;&gt;"","REMOVE","KEEP"))</f>
        <v/>
      </c>
      <c r="E6519">
        <f>IF(D6519&lt;&gt;"KEEP","",IF(RIGHT(B6519,10)="@gmail.com","Gmail",IF(OR(RIGHT(B6519,12)="@outlook.com",RIGHT(B6519,12)="@hotmail.com",RIGHT(B6519,9)="@live.com"),"Outlook","Domain")))</f>
        <v/>
      </c>
      <c r="F6519">
        <f>IF(B6519="","",IFERROR(RIGHT(B6519,LEN(B6519)-FIND("@",B6519)),""))</f>
        <v/>
      </c>
      <c r="G6519">
        <f>IF(D6519="KEEP",COUNTIF($D$2:D6519,"KEEP"),"")</f>
        <v/>
      </c>
      <c r="H6519">
        <f>IF(D6519="REMOVE",COUNTIF($D$2:D6519,"REMOVE"),"")</f>
        <v/>
      </c>
      <c r="I6519">
        <f>IF(E6519="Gmail",COUNTIF($E$2:E6519,"Gmail"),"")</f>
        <v/>
      </c>
      <c r="J6519">
        <f>IF(E6519="Outlook",COUNTIF($E$2:E6519,"Outlook"),"")</f>
        <v/>
      </c>
      <c r="K6519">
        <f>IF(E6519="Domain",COUNTIF($E$2:E6519,"Domain"),"")</f>
        <v/>
      </c>
    </row>
    <row r="6520">
      <c r="A6520" s="2" t="n"/>
      <c r="B6520">
        <f>LOWER(TRIM(A6520))</f>
        <v/>
      </c>
      <c r="C6520">
        <f>IF(B6520="","",IFERROR(INDEX('Bad Patterns'!$A$2:$A$120,MATCH(1,INDEX(--ISNUMBER(SEARCH('Bad Patterns'!$A$2:$A$120,B6520)),0),0)),""))</f>
        <v/>
      </c>
      <c r="D6520">
        <f>IF(B6520="","",IF(C6520&lt;&gt;"","REMOVE","KEEP"))</f>
        <v/>
      </c>
      <c r="E6520">
        <f>IF(D6520&lt;&gt;"KEEP","",IF(RIGHT(B6520,10)="@gmail.com","Gmail",IF(OR(RIGHT(B6520,12)="@outlook.com",RIGHT(B6520,12)="@hotmail.com",RIGHT(B6520,9)="@live.com"),"Outlook","Domain")))</f>
        <v/>
      </c>
      <c r="F6520">
        <f>IF(B6520="","",IFERROR(RIGHT(B6520,LEN(B6520)-FIND("@",B6520)),""))</f>
        <v/>
      </c>
      <c r="G6520">
        <f>IF(D6520="KEEP",COUNTIF($D$2:D6520,"KEEP"),"")</f>
        <v/>
      </c>
      <c r="H6520">
        <f>IF(D6520="REMOVE",COUNTIF($D$2:D6520,"REMOVE"),"")</f>
        <v/>
      </c>
      <c r="I6520">
        <f>IF(E6520="Gmail",COUNTIF($E$2:E6520,"Gmail"),"")</f>
        <v/>
      </c>
      <c r="J6520">
        <f>IF(E6520="Outlook",COUNTIF($E$2:E6520,"Outlook"),"")</f>
        <v/>
      </c>
      <c r="K6520">
        <f>IF(E6520="Domain",COUNTIF($E$2:E6520,"Domain"),"")</f>
        <v/>
      </c>
    </row>
    <row r="6521">
      <c r="A6521" s="2" t="n"/>
      <c r="B6521">
        <f>LOWER(TRIM(A6521))</f>
        <v/>
      </c>
      <c r="C6521">
        <f>IF(B6521="","",IFERROR(INDEX('Bad Patterns'!$A$2:$A$120,MATCH(1,INDEX(--ISNUMBER(SEARCH('Bad Patterns'!$A$2:$A$120,B6521)),0),0)),""))</f>
        <v/>
      </c>
      <c r="D6521">
        <f>IF(B6521="","",IF(C6521&lt;&gt;"","REMOVE","KEEP"))</f>
        <v/>
      </c>
      <c r="E6521">
        <f>IF(D6521&lt;&gt;"KEEP","",IF(RIGHT(B6521,10)="@gmail.com","Gmail",IF(OR(RIGHT(B6521,12)="@outlook.com",RIGHT(B6521,12)="@hotmail.com",RIGHT(B6521,9)="@live.com"),"Outlook","Domain")))</f>
        <v/>
      </c>
      <c r="F6521">
        <f>IF(B6521="","",IFERROR(RIGHT(B6521,LEN(B6521)-FIND("@",B6521)),""))</f>
        <v/>
      </c>
      <c r="G6521">
        <f>IF(D6521="KEEP",COUNTIF($D$2:D6521,"KEEP"),"")</f>
        <v/>
      </c>
      <c r="H6521">
        <f>IF(D6521="REMOVE",COUNTIF($D$2:D6521,"REMOVE"),"")</f>
        <v/>
      </c>
      <c r="I6521">
        <f>IF(E6521="Gmail",COUNTIF($E$2:E6521,"Gmail"),"")</f>
        <v/>
      </c>
      <c r="J6521">
        <f>IF(E6521="Outlook",COUNTIF($E$2:E6521,"Outlook"),"")</f>
        <v/>
      </c>
      <c r="K6521">
        <f>IF(E6521="Domain",COUNTIF($E$2:E6521,"Domain"),"")</f>
        <v/>
      </c>
    </row>
    <row r="6522">
      <c r="A6522" s="2" t="n"/>
      <c r="B6522">
        <f>LOWER(TRIM(A6522))</f>
        <v/>
      </c>
      <c r="C6522">
        <f>IF(B6522="","",IFERROR(INDEX('Bad Patterns'!$A$2:$A$120,MATCH(1,INDEX(--ISNUMBER(SEARCH('Bad Patterns'!$A$2:$A$120,B6522)),0),0)),""))</f>
        <v/>
      </c>
      <c r="D6522">
        <f>IF(B6522="","",IF(C6522&lt;&gt;"","REMOVE","KEEP"))</f>
        <v/>
      </c>
      <c r="E6522">
        <f>IF(D6522&lt;&gt;"KEEP","",IF(RIGHT(B6522,10)="@gmail.com","Gmail",IF(OR(RIGHT(B6522,12)="@outlook.com",RIGHT(B6522,12)="@hotmail.com",RIGHT(B6522,9)="@live.com"),"Outlook","Domain")))</f>
        <v/>
      </c>
      <c r="F6522">
        <f>IF(B6522="","",IFERROR(RIGHT(B6522,LEN(B6522)-FIND("@",B6522)),""))</f>
        <v/>
      </c>
      <c r="G6522">
        <f>IF(D6522="KEEP",COUNTIF($D$2:D6522,"KEEP"),"")</f>
        <v/>
      </c>
      <c r="H6522">
        <f>IF(D6522="REMOVE",COUNTIF($D$2:D6522,"REMOVE"),"")</f>
        <v/>
      </c>
      <c r="I6522">
        <f>IF(E6522="Gmail",COUNTIF($E$2:E6522,"Gmail"),"")</f>
        <v/>
      </c>
      <c r="J6522">
        <f>IF(E6522="Outlook",COUNTIF($E$2:E6522,"Outlook"),"")</f>
        <v/>
      </c>
      <c r="K6522">
        <f>IF(E6522="Domain",COUNTIF($E$2:E6522,"Domain"),"")</f>
        <v/>
      </c>
    </row>
    <row r="6523">
      <c r="A6523" s="2" t="n"/>
      <c r="B6523">
        <f>LOWER(TRIM(A6523))</f>
        <v/>
      </c>
      <c r="C6523">
        <f>IF(B6523="","",IFERROR(INDEX('Bad Patterns'!$A$2:$A$120,MATCH(1,INDEX(--ISNUMBER(SEARCH('Bad Patterns'!$A$2:$A$120,B6523)),0),0)),""))</f>
        <v/>
      </c>
      <c r="D6523">
        <f>IF(B6523="","",IF(C6523&lt;&gt;"","REMOVE","KEEP"))</f>
        <v/>
      </c>
      <c r="E6523">
        <f>IF(D6523&lt;&gt;"KEEP","",IF(RIGHT(B6523,10)="@gmail.com","Gmail",IF(OR(RIGHT(B6523,12)="@outlook.com",RIGHT(B6523,12)="@hotmail.com",RIGHT(B6523,9)="@live.com"),"Outlook","Domain")))</f>
        <v/>
      </c>
      <c r="F6523">
        <f>IF(B6523="","",IFERROR(RIGHT(B6523,LEN(B6523)-FIND("@",B6523)),""))</f>
        <v/>
      </c>
      <c r="G6523">
        <f>IF(D6523="KEEP",COUNTIF($D$2:D6523,"KEEP"),"")</f>
        <v/>
      </c>
      <c r="H6523">
        <f>IF(D6523="REMOVE",COUNTIF($D$2:D6523,"REMOVE"),"")</f>
        <v/>
      </c>
      <c r="I6523">
        <f>IF(E6523="Gmail",COUNTIF($E$2:E6523,"Gmail"),"")</f>
        <v/>
      </c>
      <c r="J6523">
        <f>IF(E6523="Outlook",COUNTIF($E$2:E6523,"Outlook"),"")</f>
        <v/>
      </c>
      <c r="K6523">
        <f>IF(E6523="Domain",COUNTIF($E$2:E6523,"Domain"),"")</f>
        <v/>
      </c>
    </row>
    <row r="6524">
      <c r="A6524" s="2" t="n"/>
      <c r="B6524">
        <f>LOWER(TRIM(A6524))</f>
        <v/>
      </c>
      <c r="C6524">
        <f>IF(B6524="","",IFERROR(INDEX('Bad Patterns'!$A$2:$A$120,MATCH(1,INDEX(--ISNUMBER(SEARCH('Bad Patterns'!$A$2:$A$120,B6524)),0),0)),""))</f>
        <v/>
      </c>
      <c r="D6524">
        <f>IF(B6524="","",IF(C6524&lt;&gt;"","REMOVE","KEEP"))</f>
        <v/>
      </c>
      <c r="E6524">
        <f>IF(D6524&lt;&gt;"KEEP","",IF(RIGHT(B6524,10)="@gmail.com","Gmail",IF(OR(RIGHT(B6524,12)="@outlook.com",RIGHT(B6524,12)="@hotmail.com",RIGHT(B6524,9)="@live.com"),"Outlook","Domain")))</f>
        <v/>
      </c>
      <c r="F6524">
        <f>IF(B6524="","",IFERROR(RIGHT(B6524,LEN(B6524)-FIND("@",B6524)),""))</f>
        <v/>
      </c>
      <c r="G6524">
        <f>IF(D6524="KEEP",COUNTIF($D$2:D6524,"KEEP"),"")</f>
        <v/>
      </c>
      <c r="H6524">
        <f>IF(D6524="REMOVE",COUNTIF($D$2:D6524,"REMOVE"),"")</f>
        <v/>
      </c>
      <c r="I6524">
        <f>IF(E6524="Gmail",COUNTIF($E$2:E6524,"Gmail"),"")</f>
        <v/>
      </c>
      <c r="J6524">
        <f>IF(E6524="Outlook",COUNTIF($E$2:E6524,"Outlook"),"")</f>
        <v/>
      </c>
      <c r="K6524">
        <f>IF(E6524="Domain",COUNTIF($E$2:E6524,"Domain"),"")</f>
        <v/>
      </c>
    </row>
    <row r="6525">
      <c r="A6525" s="2" t="n"/>
      <c r="B6525">
        <f>LOWER(TRIM(A6525))</f>
        <v/>
      </c>
      <c r="C6525">
        <f>IF(B6525="","",IFERROR(INDEX('Bad Patterns'!$A$2:$A$120,MATCH(1,INDEX(--ISNUMBER(SEARCH('Bad Patterns'!$A$2:$A$120,B6525)),0),0)),""))</f>
        <v/>
      </c>
      <c r="D6525">
        <f>IF(B6525="","",IF(C6525&lt;&gt;"","REMOVE","KEEP"))</f>
        <v/>
      </c>
      <c r="E6525">
        <f>IF(D6525&lt;&gt;"KEEP","",IF(RIGHT(B6525,10)="@gmail.com","Gmail",IF(OR(RIGHT(B6525,12)="@outlook.com",RIGHT(B6525,12)="@hotmail.com",RIGHT(B6525,9)="@live.com"),"Outlook","Domain")))</f>
        <v/>
      </c>
      <c r="F6525">
        <f>IF(B6525="","",IFERROR(RIGHT(B6525,LEN(B6525)-FIND("@",B6525)),""))</f>
        <v/>
      </c>
      <c r="G6525">
        <f>IF(D6525="KEEP",COUNTIF($D$2:D6525,"KEEP"),"")</f>
        <v/>
      </c>
      <c r="H6525">
        <f>IF(D6525="REMOVE",COUNTIF($D$2:D6525,"REMOVE"),"")</f>
        <v/>
      </c>
      <c r="I6525">
        <f>IF(E6525="Gmail",COUNTIF($E$2:E6525,"Gmail"),"")</f>
        <v/>
      </c>
      <c r="J6525">
        <f>IF(E6525="Outlook",COUNTIF($E$2:E6525,"Outlook"),"")</f>
        <v/>
      </c>
      <c r="K6525">
        <f>IF(E6525="Domain",COUNTIF($E$2:E6525,"Domain"),"")</f>
        <v/>
      </c>
    </row>
    <row r="6526">
      <c r="A6526" s="2" t="n"/>
      <c r="B6526">
        <f>LOWER(TRIM(A6526))</f>
        <v/>
      </c>
      <c r="C6526">
        <f>IF(B6526="","",IFERROR(INDEX('Bad Patterns'!$A$2:$A$120,MATCH(1,INDEX(--ISNUMBER(SEARCH('Bad Patterns'!$A$2:$A$120,B6526)),0),0)),""))</f>
        <v/>
      </c>
      <c r="D6526">
        <f>IF(B6526="","",IF(C6526&lt;&gt;"","REMOVE","KEEP"))</f>
        <v/>
      </c>
      <c r="E6526">
        <f>IF(D6526&lt;&gt;"KEEP","",IF(RIGHT(B6526,10)="@gmail.com","Gmail",IF(OR(RIGHT(B6526,12)="@outlook.com",RIGHT(B6526,12)="@hotmail.com",RIGHT(B6526,9)="@live.com"),"Outlook","Domain")))</f>
        <v/>
      </c>
      <c r="F6526">
        <f>IF(B6526="","",IFERROR(RIGHT(B6526,LEN(B6526)-FIND("@",B6526)),""))</f>
        <v/>
      </c>
      <c r="G6526">
        <f>IF(D6526="KEEP",COUNTIF($D$2:D6526,"KEEP"),"")</f>
        <v/>
      </c>
      <c r="H6526">
        <f>IF(D6526="REMOVE",COUNTIF($D$2:D6526,"REMOVE"),"")</f>
        <v/>
      </c>
      <c r="I6526">
        <f>IF(E6526="Gmail",COUNTIF($E$2:E6526,"Gmail"),"")</f>
        <v/>
      </c>
      <c r="J6526">
        <f>IF(E6526="Outlook",COUNTIF($E$2:E6526,"Outlook"),"")</f>
        <v/>
      </c>
      <c r="K6526">
        <f>IF(E6526="Domain",COUNTIF($E$2:E6526,"Domain"),"")</f>
        <v/>
      </c>
    </row>
    <row r="6527">
      <c r="A6527" s="2" t="n"/>
      <c r="B6527">
        <f>LOWER(TRIM(A6527))</f>
        <v/>
      </c>
      <c r="C6527">
        <f>IF(B6527="","",IFERROR(INDEX('Bad Patterns'!$A$2:$A$120,MATCH(1,INDEX(--ISNUMBER(SEARCH('Bad Patterns'!$A$2:$A$120,B6527)),0),0)),""))</f>
        <v/>
      </c>
      <c r="D6527">
        <f>IF(B6527="","",IF(C6527&lt;&gt;"","REMOVE","KEEP"))</f>
        <v/>
      </c>
      <c r="E6527">
        <f>IF(D6527&lt;&gt;"KEEP","",IF(RIGHT(B6527,10)="@gmail.com","Gmail",IF(OR(RIGHT(B6527,12)="@outlook.com",RIGHT(B6527,12)="@hotmail.com",RIGHT(B6527,9)="@live.com"),"Outlook","Domain")))</f>
        <v/>
      </c>
      <c r="F6527">
        <f>IF(B6527="","",IFERROR(RIGHT(B6527,LEN(B6527)-FIND("@",B6527)),""))</f>
        <v/>
      </c>
      <c r="G6527">
        <f>IF(D6527="KEEP",COUNTIF($D$2:D6527,"KEEP"),"")</f>
        <v/>
      </c>
      <c r="H6527">
        <f>IF(D6527="REMOVE",COUNTIF($D$2:D6527,"REMOVE"),"")</f>
        <v/>
      </c>
      <c r="I6527">
        <f>IF(E6527="Gmail",COUNTIF($E$2:E6527,"Gmail"),"")</f>
        <v/>
      </c>
      <c r="J6527">
        <f>IF(E6527="Outlook",COUNTIF($E$2:E6527,"Outlook"),"")</f>
        <v/>
      </c>
      <c r="K6527">
        <f>IF(E6527="Domain",COUNTIF($E$2:E6527,"Domain"),"")</f>
        <v/>
      </c>
    </row>
    <row r="6528">
      <c r="A6528" s="2" t="n"/>
      <c r="B6528">
        <f>LOWER(TRIM(A6528))</f>
        <v/>
      </c>
      <c r="C6528">
        <f>IF(B6528="","",IFERROR(INDEX('Bad Patterns'!$A$2:$A$120,MATCH(1,INDEX(--ISNUMBER(SEARCH('Bad Patterns'!$A$2:$A$120,B6528)),0),0)),""))</f>
        <v/>
      </c>
      <c r="D6528">
        <f>IF(B6528="","",IF(C6528&lt;&gt;"","REMOVE","KEEP"))</f>
        <v/>
      </c>
      <c r="E6528">
        <f>IF(D6528&lt;&gt;"KEEP","",IF(RIGHT(B6528,10)="@gmail.com","Gmail",IF(OR(RIGHT(B6528,12)="@outlook.com",RIGHT(B6528,12)="@hotmail.com",RIGHT(B6528,9)="@live.com"),"Outlook","Domain")))</f>
        <v/>
      </c>
      <c r="F6528">
        <f>IF(B6528="","",IFERROR(RIGHT(B6528,LEN(B6528)-FIND("@",B6528)),""))</f>
        <v/>
      </c>
      <c r="G6528">
        <f>IF(D6528="KEEP",COUNTIF($D$2:D6528,"KEEP"),"")</f>
        <v/>
      </c>
      <c r="H6528">
        <f>IF(D6528="REMOVE",COUNTIF($D$2:D6528,"REMOVE"),"")</f>
        <v/>
      </c>
      <c r="I6528">
        <f>IF(E6528="Gmail",COUNTIF($E$2:E6528,"Gmail"),"")</f>
        <v/>
      </c>
      <c r="J6528">
        <f>IF(E6528="Outlook",COUNTIF($E$2:E6528,"Outlook"),"")</f>
        <v/>
      </c>
      <c r="K6528">
        <f>IF(E6528="Domain",COUNTIF($E$2:E6528,"Domain"),"")</f>
        <v/>
      </c>
    </row>
    <row r="6529">
      <c r="A6529" s="2" t="n"/>
      <c r="B6529">
        <f>LOWER(TRIM(A6529))</f>
        <v/>
      </c>
      <c r="C6529">
        <f>IF(B6529="","",IFERROR(INDEX('Bad Patterns'!$A$2:$A$120,MATCH(1,INDEX(--ISNUMBER(SEARCH('Bad Patterns'!$A$2:$A$120,B6529)),0),0)),""))</f>
        <v/>
      </c>
      <c r="D6529">
        <f>IF(B6529="","",IF(C6529&lt;&gt;"","REMOVE","KEEP"))</f>
        <v/>
      </c>
      <c r="E6529">
        <f>IF(D6529&lt;&gt;"KEEP","",IF(RIGHT(B6529,10)="@gmail.com","Gmail",IF(OR(RIGHT(B6529,12)="@outlook.com",RIGHT(B6529,12)="@hotmail.com",RIGHT(B6529,9)="@live.com"),"Outlook","Domain")))</f>
        <v/>
      </c>
      <c r="F6529">
        <f>IF(B6529="","",IFERROR(RIGHT(B6529,LEN(B6529)-FIND("@",B6529)),""))</f>
        <v/>
      </c>
      <c r="G6529">
        <f>IF(D6529="KEEP",COUNTIF($D$2:D6529,"KEEP"),"")</f>
        <v/>
      </c>
      <c r="H6529">
        <f>IF(D6529="REMOVE",COUNTIF($D$2:D6529,"REMOVE"),"")</f>
        <v/>
      </c>
      <c r="I6529">
        <f>IF(E6529="Gmail",COUNTIF($E$2:E6529,"Gmail"),"")</f>
        <v/>
      </c>
      <c r="J6529">
        <f>IF(E6529="Outlook",COUNTIF($E$2:E6529,"Outlook"),"")</f>
        <v/>
      </c>
      <c r="K6529">
        <f>IF(E6529="Domain",COUNTIF($E$2:E6529,"Domain"),"")</f>
        <v/>
      </c>
    </row>
    <row r="6530">
      <c r="A6530" s="2" t="n"/>
      <c r="B6530">
        <f>LOWER(TRIM(A6530))</f>
        <v/>
      </c>
      <c r="C6530">
        <f>IF(B6530="","",IFERROR(INDEX('Bad Patterns'!$A$2:$A$120,MATCH(1,INDEX(--ISNUMBER(SEARCH('Bad Patterns'!$A$2:$A$120,B6530)),0),0)),""))</f>
        <v/>
      </c>
      <c r="D6530">
        <f>IF(B6530="","",IF(C6530&lt;&gt;"","REMOVE","KEEP"))</f>
        <v/>
      </c>
      <c r="E6530">
        <f>IF(D6530&lt;&gt;"KEEP","",IF(RIGHT(B6530,10)="@gmail.com","Gmail",IF(OR(RIGHT(B6530,12)="@outlook.com",RIGHT(B6530,12)="@hotmail.com",RIGHT(B6530,9)="@live.com"),"Outlook","Domain")))</f>
        <v/>
      </c>
      <c r="F6530">
        <f>IF(B6530="","",IFERROR(RIGHT(B6530,LEN(B6530)-FIND("@",B6530)),""))</f>
        <v/>
      </c>
      <c r="G6530">
        <f>IF(D6530="KEEP",COUNTIF($D$2:D6530,"KEEP"),"")</f>
        <v/>
      </c>
      <c r="H6530">
        <f>IF(D6530="REMOVE",COUNTIF($D$2:D6530,"REMOVE"),"")</f>
        <v/>
      </c>
      <c r="I6530">
        <f>IF(E6530="Gmail",COUNTIF($E$2:E6530,"Gmail"),"")</f>
        <v/>
      </c>
      <c r="J6530">
        <f>IF(E6530="Outlook",COUNTIF($E$2:E6530,"Outlook"),"")</f>
        <v/>
      </c>
      <c r="K6530">
        <f>IF(E6530="Domain",COUNTIF($E$2:E6530,"Domain"),"")</f>
        <v/>
      </c>
    </row>
    <row r="6531">
      <c r="A6531" s="2" t="n"/>
      <c r="B6531">
        <f>LOWER(TRIM(A6531))</f>
        <v/>
      </c>
      <c r="C6531">
        <f>IF(B6531="","",IFERROR(INDEX('Bad Patterns'!$A$2:$A$120,MATCH(1,INDEX(--ISNUMBER(SEARCH('Bad Patterns'!$A$2:$A$120,B6531)),0),0)),""))</f>
        <v/>
      </c>
      <c r="D6531">
        <f>IF(B6531="","",IF(C6531&lt;&gt;"","REMOVE","KEEP"))</f>
        <v/>
      </c>
      <c r="E6531">
        <f>IF(D6531&lt;&gt;"KEEP","",IF(RIGHT(B6531,10)="@gmail.com","Gmail",IF(OR(RIGHT(B6531,12)="@outlook.com",RIGHT(B6531,12)="@hotmail.com",RIGHT(B6531,9)="@live.com"),"Outlook","Domain")))</f>
        <v/>
      </c>
      <c r="F6531">
        <f>IF(B6531="","",IFERROR(RIGHT(B6531,LEN(B6531)-FIND("@",B6531)),""))</f>
        <v/>
      </c>
      <c r="G6531">
        <f>IF(D6531="KEEP",COUNTIF($D$2:D6531,"KEEP"),"")</f>
        <v/>
      </c>
      <c r="H6531">
        <f>IF(D6531="REMOVE",COUNTIF($D$2:D6531,"REMOVE"),"")</f>
        <v/>
      </c>
      <c r="I6531">
        <f>IF(E6531="Gmail",COUNTIF($E$2:E6531,"Gmail"),"")</f>
        <v/>
      </c>
      <c r="J6531">
        <f>IF(E6531="Outlook",COUNTIF($E$2:E6531,"Outlook"),"")</f>
        <v/>
      </c>
      <c r="K6531">
        <f>IF(E6531="Domain",COUNTIF($E$2:E6531,"Domain"),"")</f>
        <v/>
      </c>
    </row>
    <row r="6532">
      <c r="A6532" s="2" t="n"/>
      <c r="B6532">
        <f>LOWER(TRIM(A6532))</f>
        <v/>
      </c>
      <c r="C6532">
        <f>IF(B6532="","",IFERROR(INDEX('Bad Patterns'!$A$2:$A$120,MATCH(1,INDEX(--ISNUMBER(SEARCH('Bad Patterns'!$A$2:$A$120,B6532)),0),0)),""))</f>
        <v/>
      </c>
      <c r="D6532">
        <f>IF(B6532="","",IF(C6532&lt;&gt;"","REMOVE","KEEP"))</f>
        <v/>
      </c>
      <c r="E6532">
        <f>IF(D6532&lt;&gt;"KEEP","",IF(RIGHT(B6532,10)="@gmail.com","Gmail",IF(OR(RIGHT(B6532,12)="@outlook.com",RIGHT(B6532,12)="@hotmail.com",RIGHT(B6532,9)="@live.com"),"Outlook","Domain")))</f>
        <v/>
      </c>
      <c r="F6532">
        <f>IF(B6532="","",IFERROR(RIGHT(B6532,LEN(B6532)-FIND("@",B6532)),""))</f>
        <v/>
      </c>
      <c r="G6532">
        <f>IF(D6532="KEEP",COUNTIF($D$2:D6532,"KEEP"),"")</f>
        <v/>
      </c>
      <c r="H6532">
        <f>IF(D6532="REMOVE",COUNTIF($D$2:D6532,"REMOVE"),"")</f>
        <v/>
      </c>
      <c r="I6532">
        <f>IF(E6532="Gmail",COUNTIF($E$2:E6532,"Gmail"),"")</f>
        <v/>
      </c>
      <c r="J6532">
        <f>IF(E6532="Outlook",COUNTIF($E$2:E6532,"Outlook"),"")</f>
        <v/>
      </c>
      <c r="K6532">
        <f>IF(E6532="Domain",COUNTIF($E$2:E6532,"Domain"),"")</f>
        <v/>
      </c>
    </row>
    <row r="6533">
      <c r="A6533" s="2" t="n"/>
      <c r="B6533">
        <f>LOWER(TRIM(A6533))</f>
        <v/>
      </c>
      <c r="C6533">
        <f>IF(B6533="","",IFERROR(INDEX('Bad Patterns'!$A$2:$A$120,MATCH(1,INDEX(--ISNUMBER(SEARCH('Bad Patterns'!$A$2:$A$120,B6533)),0),0)),""))</f>
        <v/>
      </c>
      <c r="D6533">
        <f>IF(B6533="","",IF(C6533&lt;&gt;"","REMOVE","KEEP"))</f>
        <v/>
      </c>
      <c r="E6533">
        <f>IF(D6533&lt;&gt;"KEEP","",IF(RIGHT(B6533,10)="@gmail.com","Gmail",IF(OR(RIGHT(B6533,12)="@outlook.com",RIGHT(B6533,12)="@hotmail.com",RIGHT(B6533,9)="@live.com"),"Outlook","Domain")))</f>
        <v/>
      </c>
      <c r="F6533">
        <f>IF(B6533="","",IFERROR(RIGHT(B6533,LEN(B6533)-FIND("@",B6533)),""))</f>
        <v/>
      </c>
      <c r="G6533">
        <f>IF(D6533="KEEP",COUNTIF($D$2:D6533,"KEEP"),"")</f>
        <v/>
      </c>
      <c r="H6533">
        <f>IF(D6533="REMOVE",COUNTIF($D$2:D6533,"REMOVE"),"")</f>
        <v/>
      </c>
      <c r="I6533">
        <f>IF(E6533="Gmail",COUNTIF($E$2:E6533,"Gmail"),"")</f>
        <v/>
      </c>
      <c r="J6533">
        <f>IF(E6533="Outlook",COUNTIF($E$2:E6533,"Outlook"),"")</f>
        <v/>
      </c>
      <c r="K6533">
        <f>IF(E6533="Domain",COUNTIF($E$2:E6533,"Domain"),"")</f>
        <v/>
      </c>
    </row>
    <row r="6534">
      <c r="A6534" s="2" t="n"/>
      <c r="B6534">
        <f>LOWER(TRIM(A6534))</f>
        <v/>
      </c>
      <c r="C6534">
        <f>IF(B6534="","",IFERROR(INDEX('Bad Patterns'!$A$2:$A$120,MATCH(1,INDEX(--ISNUMBER(SEARCH('Bad Patterns'!$A$2:$A$120,B6534)),0),0)),""))</f>
        <v/>
      </c>
      <c r="D6534">
        <f>IF(B6534="","",IF(C6534&lt;&gt;"","REMOVE","KEEP"))</f>
        <v/>
      </c>
      <c r="E6534">
        <f>IF(D6534&lt;&gt;"KEEP","",IF(RIGHT(B6534,10)="@gmail.com","Gmail",IF(OR(RIGHT(B6534,12)="@outlook.com",RIGHT(B6534,12)="@hotmail.com",RIGHT(B6534,9)="@live.com"),"Outlook","Domain")))</f>
        <v/>
      </c>
      <c r="F6534">
        <f>IF(B6534="","",IFERROR(RIGHT(B6534,LEN(B6534)-FIND("@",B6534)),""))</f>
        <v/>
      </c>
      <c r="G6534">
        <f>IF(D6534="KEEP",COUNTIF($D$2:D6534,"KEEP"),"")</f>
        <v/>
      </c>
      <c r="H6534">
        <f>IF(D6534="REMOVE",COUNTIF($D$2:D6534,"REMOVE"),"")</f>
        <v/>
      </c>
      <c r="I6534">
        <f>IF(E6534="Gmail",COUNTIF($E$2:E6534,"Gmail"),"")</f>
        <v/>
      </c>
      <c r="J6534">
        <f>IF(E6534="Outlook",COUNTIF($E$2:E6534,"Outlook"),"")</f>
        <v/>
      </c>
      <c r="K6534">
        <f>IF(E6534="Domain",COUNTIF($E$2:E6534,"Domain"),"")</f>
        <v/>
      </c>
    </row>
    <row r="6535">
      <c r="A6535" s="2" t="n"/>
      <c r="B6535">
        <f>LOWER(TRIM(A6535))</f>
        <v/>
      </c>
      <c r="C6535">
        <f>IF(B6535="","",IFERROR(INDEX('Bad Patterns'!$A$2:$A$120,MATCH(1,INDEX(--ISNUMBER(SEARCH('Bad Patterns'!$A$2:$A$120,B6535)),0),0)),""))</f>
        <v/>
      </c>
      <c r="D6535">
        <f>IF(B6535="","",IF(C6535&lt;&gt;"","REMOVE","KEEP"))</f>
        <v/>
      </c>
      <c r="E6535">
        <f>IF(D6535&lt;&gt;"KEEP","",IF(RIGHT(B6535,10)="@gmail.com","Gmail",IF(OR(RIGHT(B6535,12)="@outlook.com",RIGHT(B6535,12)="@hotmail.com",RIGHT(B6535,9)="@live.com"),"Outlook","Domain")))</f>
        <v/>
      </c>
      <c r="F6535">
        <f>IF(B6535="","",IFERROR(RIGHT(B6535,LEN(B6535)-FIND("@",B6535)),""))</f>
        <v/>
      </c>
      <c r="G6535">
        <f>IF(D6535="KEEP",COUNTIF($D$2:D6535,"KEEP"),"")</f>
        <v/>
      </c>
      <c r="H6535">
        <f>IF(D6535="REMOVE",COUNTIF($D$2:D6535,"REMOVE"),"")</f>
        <v/>
      </c>
      <c r="I6535">
        <f>IF(E6535="Gmail",COUNTIF($E$2:E6535,"Gmail"),"")</f>
        <v/>
      </c>
      <c r="J6535">
        <f>IF(E6535="Outlook",COUNTIF($E$2:E6535,"Outlook"),"")</f>
        <v/>
      </c>
      <c r="K6535">
        <f>IF(E6535="Domain",COUNTIF($E$2:E6535,"Domain"),"")</f>
        <v/>
      </c>
    </row>
    <row r="6536">
      <c r="A6536" s="2" t="n"/>
      <c r="B6536">
        <f>LOWER(TRIM(A6536))</f>
        <v/>
      </c>
      <c r="C6536">
        <f>IF(B6536="","",IFERROR(INDEX('Bad Patterns'!$A$2:$A$120,MATCH(1,INDEX(--ISNUMBER(SEARCH('Bad Patterns'!$A$2:$A$120,B6536)),0),0)),""))</f>
        <v/>
      </c>
      <c r="D6536">
        <f>IF(B6536="","",IF(C6536&lt;&gt;"","REMOVE","KEEP"))</f>
        <v/>
      </c>
      <c r="E6536">
        <f>IF(D6536&lt;&gt;"KEEP","",IF(RIGHT(B6536,10)="@gmail.com","Gmail",IF(OR(RIGHT(B6536,12)="@outlook.com",RIGHT(B6536,12)="@hotmail.com",RIGHT(B6536,9)="@live.com"),"Outlook","Domain")))</f>
        <v/>
      </c>
      <c r="F6536">
        <f>IF(B6536="","",IFERROR(RIGHT(B6536,LEN(B6536)-FIND("@",B6536)),""))</f>
        <v/>
      </c>
      <c r="G6536">
        <f>IF(D6536="KEEP",COUNTIF($D$2:D6536,"KEEP"),"")</f>
        <v/>
      </c>
      <c r="H6536">
        <f>IF(D6536="REMOVE",COUNTIF($D$2:D6536,"REMOVE"),"")</f>
        <v/>
      </c>
      <c r="I6536">
        <f>IF(E6536="Gmail",COUNTIF($E$2:E6536,"Gmail"),"")</f>
        <v/>
      </c>
      <c r="J6536">
        <f>IF(E6536="Outlook",COUNTIF($E$2:E6536,"Outlook"),"")</f>
        <v/>
      </c>
      <c r="K6536">
        <f>IF(E6536="Domain",COUNTIF($E$2:E6536,"Domain"),"")</f>
        <v/>
      </c>
    </row>
    <row r="6537">
      <c r="A6537" s="2" t="n"/>
      <c r="B6537">
        <f>LOWER(TRIM(A6537))</f>
        <v/>
      </c>
      <c r="C6537">
        <f>IF(B6537="","",IFERROR(INDEX('Bad Patterns'!$A$2:$A$120,MATCH(1,INDEX(--ISNUMBER(SEARCH('Bad Patterns'!$A$2:$A$120,B6537)),0),0)),""))</f>
        <v/>
      </c>
      <c r="D6537">
        <f>IF(B6537="","",IF(C6537&lt;&gt;"","REMOVE","KEEP"))</f>
        <v/>
      </c>
      <c r="E6537">
        <f>IF(D6537&lt;&gt;"KEEP","",IF(RIGHT(B6537,10)="@gmail.com","Gmail",IF(OR(RIGHT(B6537,12)="@outlook.com",RIGHT(B6537,12)="@hotmail.com",RIGHT(B6537,9)="@live.com"),"Outlook","Domain")))</f>
        <v/>
      </c>
      <c r="F6537">
        <f>IF(B6537="","",IFERROR(RIGHT(B6537,LEN(B6537)-FIND("@",B6537)),""))</f>
        <v/>
      </c>
      <c r="G6537">
        <f>IF(D6537="KEEP",COUNTIF($D$2:D6537,"KEEP"),"")</f>
        <v/>
      </c>
      <c r="H6537">
        <f>IF(D6537="REMOVE",COUNTIF($D$2:D6537,"REMOVE"),"")</f>
        <v/>
      </c>
      <c r="I6537">
        <f>IF(E6537="Gmail",COUNTIF($E$2:E6537,"Gmail"),"")</f>
        <v/>
      </c>
      <c r="J6537">
        <f>IF(E6537="Outlook",COUNTIF($E$2:E6537,"Outlook"),"")</f>
        <v/>
      </c>
      <c r="K6537">
        <f>IF(E6537="Domain",COUNTIF($E$2:E6537,"Domain"),"")</f>
        <v/>
      </c>
    </row>
    <row r="6538">
      <c r="A6538" s="2" t="n"/>
      <c r="B6538">
        <f>LOWER(TRIM(A6538))</f>
        <v/>
      </c>
      <c r="C6538">
        <f>IF(B6538="","",IFERROR(INDEX('Bad Patterns'!$A$2:$A$120,MATCH(1,INDEX(--ISNUMBER(SEARCH('Bad Patterns'!$A$2:$A$120,B6538)),0),0)),""))</f>
        <v/>
      </c>
      <c r="D6538">
        <f>IF(B6538="","",IF(C6538&lt;&gt;"","REMOVE","KEEP"))</f>
        <v/>
      </c>
      <c r="E6538">
        <f>IF(D6538&lt;&gt;"KEEP","",IF(RIGHT(B6538,10)="@gmail.com","Gmail",IF(OR(RIGHT(B6538,12)="@outlook.com",RIGHT(B6538,12)="@hotmail.com",RIGHT(B6538,9)="@live.com"),"Outlook","Domain")))</f>
        <v/>
      </c>
      <c r="F6538">
        <f>IF(B6538="","",IFERROR(RIGHT(B6538,LEN(B6538)-FIND("@",B6538)),""))</f>
        <v/>
      </c>
      <c r="G6538">
        <f>IF(D6538="KEEP",COUNTIF($D$2:D6538,"KEEP"),"")</f>
        <v/>
      </c>
      <c r="H6538">
        <f>IF(D6538="REMOVE",COUNTIF($D$2:D6538,"REMOVE"),"")</f>
        <v/>
      </c>
      <c r="I6538">
        <f>IF(E6538="Gmail",COUNTIF($E$2:E6538,"Gmail"),"")</f>
        <v/>
      </c>
      <c r="J6538">
        <f>IF(E6538="Outlook",COUNTIF($E$2:E6538,"Outlook"),"")</f>
        <v/>
      </c>
      <c r="K6538">
        <f>IF(E6538="Domain",COUNTIF($E$2:E6538,"Domain"),"")</f>
        <v/>
      </c>
    </row>
    <row r="6539">
      <c r="A6539" s="2" t="n"/>
      <c r="B6539">
        <f>LOWER(TRIM(A6539))</f>
        <v/>
      </c>
      <c r="C6539">
        <f>IF(B6539="","",IFERROR(INDEX('Bad Patterns'!$A$2:$A$120,MATCH(1,INDEX(--ISNUMBER(SEARCH('Bad Patterns'!$A$2:$A$120,B6539)),0),0)),""))</f>
        <v/>
      </c>
      <c r="D6539">
        <f>IF(B6539="","",IF(C6539&lt;&gt;"","REMOVE","KEEP"))</f>
        <v/>
      </c>
      <c r="E6539">
        <f>IF(D6539&lt;&gt;"KEEP","",IF(RIGHT(B6539,10)="@gmail.com","Gmail",IF(OR(RIGHT(B6539,12)="@outlook.com",RIGHT(B6539,12)="@hotmail.com",RIGHT(B6539,9)="@live.com"),"Outlook","Domain")))</f>
        <v/>
      </c>
      <c r="F6539">
        <f>IF(B6539="","",IFERROR(RIGHT(B6539,LEN(B6539)-FIND("@",B6539)),""))</f>
        <v/>
      </c>
      <c r="G6539">
        <f>IF(D6539="KEEP",COUNTIF($D$2:D6539,"KEEP"),"")</f>
        <v/>
      </c>
      <c r="H6539">
        <f>IF(D6539="REMOVE",COUNTIF($D$2:D6539,"REMOVE"),"")</f>
        <v/>
      </c>
      <c r="I6539">
        <f>IF(E6539="Gmail",COUNTIF($E$2:E6539,"Gmail"),"")</f>
        <v/>
      </c>
      <c r="J6539">
        <f>IF(E6539="Outlook",COUNTIF($E$2:E6539,"Outlook"),"")</f>
        <v/>
      </c>
      <c r="K6539">
        <f>IF(E6539="Domain",COUNTIF($E$2:E6539,"Domain"),"")</f>
        <v/>
      </c>
    </row>
    <row r="6540">
      <c r="A6540" s="2" t="n"/>
      <c r="B6540">
        <f>LOWER(TRIM(A6540))</f>
        <v/>
      </c>
      <c r="C6540">
        <f>IF(B6540="","",IFERROR(INDEX('Bad Patterns'!$A$2:$A$120,MATCH(1,INDEX(--ISNUMBER(SEARCH('Bad Patterns'!$A$2:$A$120,B6540)),0),0)),""))</f>
        <v/>
      </c>
      <c r="D6540">
        <f>IF(B6540="","",IF(C6540&lt;&gt;"","REMOVE","KEEP"))</f>
        <v/>
      </c>
      <c r="E6540">
        <f>IF(D6540&lt;&gt;"KEEP","",IF(RIGHT(B6540,10)="@gmail.com","Gmail",IF(OR(RIGHT(B6540,12)="@outlook.com",RIGHT(B6540,12)="@hotmail.com",RIGHT(B6540,9)="@live.com"),"Outlook","Domain")))</f>
        <v/>
      </c>
      <c r="F6540">
        <f>IF(B6540="","",IFERROR(RIGHT(B6540,LEN(B6540)-FIND("@",B6540)),""))</f>
        <v/>
      </c>
      <c r="G6540">
        <f>IF(D6540="KEEP",COUNTIF($D$2:D6540,"KEEP"),"")</f>
        <v/>
      </c>
      <c r="H6540">
        <f>IF(D6540="REMOVE",COUNTIF($D$2:D6540,"REMOVE"),"")</f>
        <v/>
      </c>
      <c r="I6540">
        <f>IF(E6540="Gmail",COUNTIF($E$2:E6540,"Gmail"),"")</f>
        <v/>
      </c>
      <c r="J6540">
        <f>IF(E6540="Outlook",COUNTIF($E$2:E6540,"Outlook"),"")</f>
        <v/>
      </c>
      <c r="K6540">
        <f>IF(E6540="Domain",COUNTIF($E$2:E6540,"Domain"),"")</f>
        <v/>
      </c>
    </row>
    <row r="6541">
      <c r="A6541" s="2" t="n"/>
      <c r="B6541">
        <f>LOWER(TRIM(A6541))</f>
        <v/>
      </c>
      <c r="C6541">
        <f>IF(B6541="","",IFERROR(INDEX('Bad Patterns'!$A$2:$A$120,MATCH(1,INDEX(--ISNUMBER(SEARCH('Bad Patterns'!$A$2:$A$120,B6541)),0),0)),""))</f>
        <v/>
      </c>
      <c r="D6541">
        <f>IF(B6541="","",IF(C6541&lt;&gt;"","REMOVE","KEEP"))</f>
        <v/>
      </c>
      <c r="E6541">
        <f>IF(D6541&lt;&gt;"KEEP","",IF(RIGHT(B6541,10)="@gmail.com","Gmail",IF(OR(RIGHT(B6541,12)="@outlook.com",RIGHT(B6541,12)="@hotmail.com",RIGHT(B6541,9)="@live.com"),"Outlook","Domain")))</f>
        <v/>
      </c>
      <c r="F6541">
        <f>IF(B6541="","",IFERROR(RIGHT(B6541,LEN(B6541)-FIND("@",B6541)),""))</f>
        <v/>
      </c>
      <c r="G6541">
        <f>IF(D6541="KEEP",COUNTIF($D$2:D6541,"KEEP"),"")</f>
        <v/>
      </c>
      <c r="H6541">
        <f>IF(D6541="REMOVE",COUNTIF($D$2:D6541,"REMOVE"),"")</f>
        <v/>
      </c>
      <c r="I6541">
        <f>IF(E6541="Gmail",COUNTIF($E$2:E6541,"Gmail"),"")</f>
        <v/>
      </c>
      <c r="J6541">
        <f>IF(E6541="Outlook",COUNTIF($E$2:E6541,"Outlook"),"")</f>
        <v/>
      </c>
      <c r="K6541">
        <f>IF(E6541="Domain",COUNTIF($E$2:E6541,"Domain"),"")</f>
        <v/>
      </c>
    </row>
    <row r="6542">
      <c r="A6542" s="2" t="n"/>
      <c r="B6542">
        <f>LOWER(TRIM(A6542))</f>
        <v/>
      </c>
      <c r="C6542">
        <f>IF(B6542="","",IFERROR(INDEX('Bad Patterns'!$A$2:$A$120,MATCH(1,INDEX(--ISNUMBER(SEARCH('Bad Patterns'!$A$2:$A$120,B6542)),0),0)),""))</f>
        <v/>
      </c>
      <c r="D6542">
        <f>IF(B6542="","",IF(C6542&lt;&gt;"","REMOVE","KEEP"))</f>
        <v/>
      </c>
      <c r="E6542">
        <f>IF(D6542&lt;&gt;"KEEP","",IF(RIGHT(B6542,10)="@gmail.com","Gmail",IF(OR(RIGHT(B6542,12)="@outlook.com",RIGHT(B6542,12)="@hotmail.com",RIGHT(B6542,9)="@live.com"),"Outlook","Domain")))</f>
        <v/>
      </c>
      <c r="F6542">
        <f>IF(B6542="","",IFERROR(RIGHT(B6542,LEN(B6542)-FIND("@",B6542)),""))</f>
        <v/>
      </c>
      <c r="G6542">
        <f>IF(D6542="KEEP",COUNTIF($D$2:D6542,"KEEP"),"")</f>
        <v/>
      </c>
      <c r="H6542">
        <f>IF(D6542="REMOVE",COUNTIF($D$2:D6542,"REMOVE"),"")</f>
        <v/>
      </c>
      <c r="I6542">
        <f>IF(E6542="Gmail",COUNTIF($E$2:E6542,"Gmail"),"")</f>
        <v/>
      </c>
      <c r="J6542">
        <f>IF(E6542="Outlook",COUNTIF($E$2:E6542,"Outlook"),"")</f>
        <v/>
      </c>
      <c r="K6542">
        <f>IF(E6542="Domain",COUNTIF($E$2:E6542,"Domain"),"")</f>
        <v/>
      </c>
    </row>
    <row r="6543">
      <c r="A6543" s="2" t="n"/>
      <c r="B6543">
        <f>LOWER(TRIM(A6543))</f>
        <v/>
      </c>
      <c r="C6543">
        <f>IF(B6543="","",IFERROR(INDEX('Bad Patterns'!$A$2:$A$120,MATCH(1,INDEX(--ISNUMBER(SEARCH('Bad Patterns'!$A$2:$A$120,B6543)),0),0)),""))</f>
        <v/>
      </c>
      <c r="D6543">
        <f>IF(B6543="","",IF(C6543&lt;&gt;"","REMOVE","KEEP"))</f>
        <v/>
      </c>
      <c r="E6543">
        <f>IF(D6543&lt;&gt;"KEEP","",IF(RIGHT(B6543,10)="@gmail.com","Gmail",IF(OR(RIGHT(B6543,12)="@outlook.com",RIGHT(B6543,12)="@hotmail.com",RIGHT(B6543,9)="@live.com"),"Outlook","Domain")))</f>
        <v/>
      </c>
      <c r="F6543">
        <f>IF(B6543="","",IFERROR(RIGHT(B6543,LEN(B6543)-FIND("@",B6543)),""))</f>
        <v/>
      </c>
      <c r="G6543">
        <f>IF(D6543="KEEP",COUNTIF($D$2:D6543,"KEEP"),"")</f>
        <v/>
      </c>
      <c r="H6543">
        <f>IF(D6543="REMOVE",COUNTIF($D$2:D6543,"REMOVE"),"")</f>
        <v/>
      </c>
      <c r="I6543">
        <f>IF(E6543="Gmail",COUNTIF($E$2:E6543,"Gmail"),"")</f>
        <v/>
      </c>
      <c r="J6543">
        <f>IF(E6543="Outlook",COUNTIF($E$2:E6543,"Outlook"),"")</f>
        <v/>
      </c>
      <c r="K6543">
        <f>IF(E6543="Domain",COUNTIF($E$2:E6543,"Domain"),"")</f>
        <v/>
      </c>
    </row>
    <row r="6544">
      <c r="A6544" s="2" t="n"/>
      <c r="B6544">
        <f>LOWER(TRIM(A6544))</f>
        <v/>
      </c>
      <c r="C6544">
        <f>IF(B6544="","",IFERROR(INDEX('Bad Patterns'!$A$2:$A$120,MATCH(1,INDEX(--ISNUMBER(SEARCH('Bad Patterns'!$A$2:$A$120,B6544)),0),0)),""))</f>
        <v/>
      </c>
      <c r="D6544">
        <f>IF(B6544="","",IF(C6544&lt;&gt;"","REMOVE","KEEP"))</f>
        <v/>
      </c>
      <c r="E6544">
        <f>IF(D6544&lt;&gt;"KEEP","",IF(RIGHT(B6544,10)="@gmail.com","Gmail",IF(OR(RIGHT(B6544,12)="@outlook.com",RIGHT(B6544,12)="@hotmail.com",RIGHT(B6544,9)="@live.com"),"Outlook","Domain")))</f>
        <v/>
      </c>
      <c r="F6544">
        <f>IF(B6544="","",IFERROR(RIGHT(B6544,LEN(B6544)-FIND("@",B6544)),""))</f>
        <v/>
      </c>
      <c r="G6544">
        <f>IF(D6544="KEEP",COUNTIF($D$2:D6544,"KEEP"),"")</f>
        <v/>
      </c>
      <c r="H6544">
        <f>IF(D6544="REMOVE",COUNTIF($D$2:D6544,"REMOVE"),"")</f>
        <v/>
      </c>
      <c r="I6544">
        <f>IF(E6544="Gmail",COUNTIF($E$2:E6544,"Gmail"),"")</f>
        <v/>
      </c>
      <c r="J6544">
        <f>IF(E6544="Outlook",COUNTIF($E$2:E6544,"Outlook"),"")</f>
        <v/>
      </c>
      <c r="K6544">
        <f>IF(E6544="Domain",COUNTIF($E$2:E6544,"Domain"),"")</f>
        <v/>
      </c>
    </row>
    <row r="6545">
      <c r="A6545" s="2" t="n"/>
      <c r="B6545">
        <f>LOWER(TRIM(A6545))</f>
        <v/>
      </c>
      <c r="C6545">
        <f>IF(B6545="","",IFERROR(INDEX('Bad Patterns'!$A$2:$A$120,MATCH(1,INDEX(--ISNUMBER(SEARCH('Bad Patterns'!$A$2:$A$120,B6545)),0),0)),""))</f>
        <v/>
      </c>
      <c r="D6545">
        <f>IF(B6545="","",IF(C6545&lt;&gt;"","REMOVE","KEEP"))</f>
        <v/>
      </c>
      <c r="E6545">
        <f>IF(D6545&lt;&gt;"KEEP","",IF(RIGHT(B6545,10)="@gmail.com","Gmail",IF(OR(RIGHT(B6545,12)="@outlook.com",RIGHT(B6545,12)="@hotmail.com",RIGHT(B6545,9)="@live.com"),"Outlook","Domain")))</f>
        <v/>
      </c>
      <c r="F6545">
        <f>IF(B6545="","",IFERROR(RIGHT(B6545,LEN(B6545)-FIND("@",B6545)),""))</f>
        <v/>
      </c>
      <c r="G6545">
        <f>IF(D6545="KEEP",COUNTIF($D$2:D6545,"KEEP"),"")</f>
        <v/>
      </c>
      <c r="H6545">
        <f>IF(D6545="REMOVE",COUNTIF($D$2:D6545,"REMOVE"),"")</f>
        <v/>
      </c>
      <c r="I6545">
        <f>IF(E6545="Gmail",COUNTIF($E$2:E6545,"Gmail"),"")</f>
        <v/>
      </c>
      <c r="J6545">
        <f>IF(E6545="Outlook",COUNTIF($E$2:E6545,"Outlook"),"")</f>
        <v/>
      </c>
      <c r="K6545">
        <f>IF(E6545="Domain",COUNTIF($E$2:E6545,"Domain"),"")</f>
        <v/>
      </c>
    </row>
    <row r="6546">
      <c r="A6546" s="2" t="n"/>
      <c r="B6546">
        <f>LOWER(TRIM(A6546))</f>
        <v/>
      </c>
      <c r="C6546">
        <f>IF(B6546="","",IFERROR(INDEX('Bad Patterns'!$A$2:$A$120,MATCH(1,INDEX(--ISNUMBER(SEARCH('Bad Patterns'!$A$2:$A$120,B6546)),0),0)),""))</f>
        <v/>
      </c>
      <c r="D6546">
        <f>IF(B6546="","",IF(C6546&lt;&gt;"","REMOVE","KEEP"))</f>
        <v/>
      </c>
      <c r="E6546">
        <f>IF(D6546&lt;&gt;"KEEP","",IF(RIGHT(B6546,10)="@gmail.com","Gmail",IF(OR(RIGHT(B6546,12)="@outlook.com",RIGHT(B6546,12)="@hotmail.com",RIGHT(B6546,9)="@live.com"),"Outlook","Domain")))</f>
        <v/>
      </c>
      <c r="F6546">
        <f>IF(B6546="","",IFERROR(RIGHT(B6546,LEN(B6546)-FIND("@",B6546)),""))</f>
        <v/>
      </c>
      <c r="G6546">
        <f>IF(D6546="KEEP",COUNTIF($D$2:D6546,"KEEP"),"")</f>
        <v/>
      </c>
      <c r="H6546">
        <f>IF(D6546="REMOVE",COUNTIF($D$2:D6546,"REMOVE"),"")</f>
        <v/>
      </c>
      <c r="I6546">
        <f>IF(E6546="Gmail",COUNTIF($E$2:E6546,"Gmail"),"")</f>
        <v/>
      </c>
      <c r="J6546">
        <f>IF(E6546="Outlook",COUNTIF($E$2:E6546,"Outlook"),"")</f>
        <v/>
      </c>
      <c r="K6546">
        <f>IF(E6546="Domain",COUNTIF($E$2:E6546,"Domain"),"")</f>
        <v/>
      </c>
    </row>
    <row r="6547">
      <c r="A6547" s="2" t="n"/>
      <c r="B6547">
        <f>LOWER(TRIM(A6547))</f>
        <v/>
      </c>
      <c r="C6547">
        <f>IF(B6547="","",IFERROR(INDEX('Bad Patterns'!$A$2:$A$120,MATCH(1,INDEX(--ISNUMBER(SEARCH('Bad Patterns'!$A$2:$A$120,B6547)),0),0)),""))</f>
        <v/>
      </c>
      <c r="D6547">
        <f>IF(B6547="","",IF(C6547&lt;&gt;"","REMOVE","KEEP"))</f>
        <v/>
      </c>
      <c r="E6547">
        <f>IF(D6547&lt;&gt;"KEEP","",IF(RIGHT(B6547,10)="@gmail.com","Gmail",IF(OR(RIGHT(B6547,12)="@outlook.com",RIGHT(B6547,12)="@hotmail.com",RIGHT(B6547,9)="@live.com"),"Outlook","Domain")))</f>
        <v/>
      </c>
      <c r="F6547">
        <f>IF(B6547="","",IFERROR(RIGHT(B6547,LEN(B6547)-FIND("@",B6547)),""))</f>
        <v/>
      </c>
      <c r="G6547">
        <f>IF(D6547="KEEP",COUNTIF($D$2:D6547,"KEEP"),"")</f>
        <v/>
      </c>
      <c r="H6547">
        <f>IF(D6547="REMOVE",COUNTIF($D$2:D6547,"REMOVE"),"")</f>
        <v/>
      </c>
      <c r="I6547">
        <f>IF(E6547="Gmail",COUNTIF($E$2:E6547,"Gmail"),"")</f>
        <v/>
      </c>
      <c r="J6547">
        <f>IF(E6547="Outlook",COUNTIF($E$2:E6547,"Outlook"),"")</f>
        <v/>
      </c>
      <c r="K6547">
        <f>IF(E6547="Domain",COUNTIF($E$2:E6547,"Domain"),"")</f>
        <v/>
      </c>
    </row>
    <row r="6548">
      <c r="A6548" s="2" t="n"/>
      <c r="B6548">
        <f>LOWER(TRIM(A6548))</f>
        <v/>
      </c>
      <c r="C6548">
        <f>IF(B6548="","",IFERROR(INDEX('Bad Patterns'!$A$2:$A$120,MATCH(1,INDEX(--ISNUMBER(SEARCH('Bad Patterns'!$A$2:$A$120,B6548)),0),0)),""))</f>
        <v/>
      </c>
      <c r="D6548">
        <f>IF(B6548="","",IF(C6548&lt;&gt;"","REMOVE","KEEP"))</f>
        <v/>
      </c>
      <c r="E6548">
        <f>IF(D6548&lt;&gt;"KEEP","",IF(RIGHT(B6548,10)="@gmail.com","Gmail",IF(OR(RIGHT(B6548,12)="@outlook.com",RIGHT(B6548,12)="@hotmail.com",RIGHT(B6548,9)="@live.com"),"Outlook","Domain")))</f>
        <v/>
      </c>
      <c r="F6548">
        <f>IF(B6548="","",IFERROR(RIGHT(B6548,LEN(B6548)-FIND("@",B6548)),""))</f>
        <v/>
      </c>
      <c r="G6548">
        <f>IF(D6548="KEEP",COUNTIF($D$2:D6548,"KEEP"),"")</f>
        <v/>
      </c>
      <c r="H6548">
        <f>IF(D6548="REMOVE",COUNTIF($D$2:D6548,"REMOVE"),"")</f>
        <v/>
      </c>
      <c r="I6548">
        <f>IF(E6548="Gmail",COUNTIF($E$2:E6548,"Gmail"),"")</f>
        <v/>
      </c>
      <c r="J6548">
        <f>IF(E6548="Outlook",COUNTIF($E$2:E6548,"Outlook"),"")</f>
        <v/>
      </c>
      <c r="K6548">
        <f>IF(E6548="Domain",COUNTIF($E$2:E6548,"Domain"),"")</f>
        <v/>
      </c>
    </row>
    <row r="6549">
      <c r="A6549" s="2" t="n"/>
      <c r="B6549">
        <f>LOWER(TRIM(A6549))</f>
        <v/>
      </c>
      <c r="C6549">
        <f>IF(B6549="","",IFERROR(INDEX('Bad Patterns'!$A$2:$A$120,MATCH(1,INDEX(--ISNUMBER(SEARCH('Bad Patterns'!$A$2:$A$120,B6549)),0),0)),""))</f>
        <v/>
      </c>
      <c r="D6549">
        <f>IF(B6549="","",IF(C6549&lt;&gt;"","REMOVE","KEEP"))</f>
        <v/>
      </c>
      <c r="E6549">
        <f>IF(D6549&lt;&gt;"KEEP","",IF(RIGHT(B6549,10)="@gmail.com","Gmail",IF(OR(RIGHT(B6549,12)="@outlook.com",RIGHT(B6549,12)="@hotmail.com",RIGHT(B6549,9)="@live.com"),"Outlook","Domain")))</f>
        <v/>
      </c>
      <c r="F6549">
        <f>IF(B6549="","",IFERROR(RIGHT(B6549,LEN(B6549)-FIND("@",B6549)),""))</f>
        <v/>
      </c>
      <c r="G6549">
        <f>IF(D6549="KEEP",COUNTIF($D$2:D6549,"KEEP"),"")</f>
        <v/>
      </c>
      <c r="H6549">
        <f>IF(D6549="REMOVE",COUNTIF($D$2:D6549,"REMOVE"),"")</f>
        <v/>
      </c>
      <c r="I6549">
        <f>IF(E6549="Gmail",COUNTIF($E$2:E6549,"Gmail"),"")</f>
        <v/>
      </c>
      <c r="J6549">
        <f>IF(E6549="Outlook",COUNTIF($E$2:E6549,"Outlook"),"")</f>
        <v/>
      </c>
      <c r="K6549">
        <f>IF(E6549="Domain",COUNTIF($E$2:E6549,"Domain"),"")</f>
        <v/>
      </c>
    </row>
    <row r="6550">
      <c r="A6550" s="2" t="n"/>
      <c r="B6550">
        <f>LOWER(TRIM(A6550))</f>
        <v/>
      </c>
      <c r="C6550">
        <f>IF(B6550="","",IFERROR(INDEX('Bad Patterns'!$A$2:$A$120,MATCH(1,INDEX(--ISNUMBER(SEARCH('Bad Patterns'!$A$2:$A$120,B6550)),0),0)),""))</f>
        <v/>
      </c>
      <c r="D6550">
        <f>IF(B6550="","",IF(C6550&lt;&gt;"","REMOVE","KEEP"))</f>
        <v/>
      </c>
      <c r="E6550">
        <f>IF(D6550&lt;&gt;"KEEP","",IF(RIGHT(B6550,10)="@gmail.com","Gmail",IF(OR(RIGHT(B6550,12)="@outlook.com",RIGHT(B6550,12)="@hotmail.com",RIGHT(B6550,9)="@live.com"),"Outlook","Domain")))</f>
        <v/>
      </c>
      <c r="F6550">
        <f>IF(B6550="","",IFERROR(RIGHT(B6550,LEN(B6550)-FIND("@",B6550)),""))</f>
        <v/>
      </c>
      <c r="G6550">
        <f>IF(D6550="KEEP",COUNTIF($D$2:D6550,"KEEP"),"")</f>
        <v/>
      </c>
      <c r="H6550">
        <f>IF(D6550="REMOVE",COUNTIF($D$2:D6550,"REMOVE"),"")</f>
        <v/>
      </c>
      <c r="I6550">
        <f>IF(E6550="Gmail",COUNTIF($E$2:E6550,"Gmail"),"")</f>
        <v/>
      </c>
      <c r="J6550">
        <f>IF(E6550="Outlook",COUNTIF($E$2:E6550,"Outlook"),"")</f>
        <v/>
      </c>
      <c r="K6550">
        <f>IF(E6550="Domain",COUNTIF($E$2:E6550,"Domain"),"")</f>
        <v/>
      </c>
    </row>
    <row r="6551">
      <c r="A6551" s="2" t="n"/>
      <c r="B6551">
        <f>LOWER(TRIM(A6551))</f>
        <v/>
      </c>
      <c r="C6551">
        <f>IF(B6551="","",IFERROR(INDEX('Bad Patterns'!$A$2:$A$120,MATCH(1,INDEX(--ISNUMBER(SEARCH('Bad Patterns'!$A$2:$A$120,B6551)),0),0)),""))</f>
        <v/>
      </c>
      <c r="D6551">
        <f>IF(B6551="","",IF(C6551&lt;&gt;"","REMOVE","KEEP"))</f>
        <v/>
      </c>
      <c r="E6551">
        <f>IF(D6551&lt;&gt;"KEEP","",IF(RIGHT(B6551,10)="@gmail.com","Gmail",IF(OR(RIGHT(B6551,12)="@outlook.com",RIGHT(B6551,12)="@hotmail.com",RIGHT(B6551,9)="@live.com"),"Outlook","Domain")))</f>
        <v/>
      </c>
      <c r="F6551">
        <f>IF(B6551="","",IFERROR(RIGHT(B6551,LEN(B6551)-FIND("@",B6551)),""))</f>
        <v/>
      </c>
      <c r="G6551">
        <f>IF(D6551="KEEP",COUNTIF($D$2:D6551,"KEEP"),"")</f>
        <v/>
      </c>
      <c r="H6551">
        <f>IF(D6551="REMOVE",COUNTIF($D$2:D6551,"REMOVE"),"")</f>
        <v/>
      </c>
      <c r="I6551">
        <f>IF(E6551="Gmail",COUNTIF($E$2:E6551,"Gmail"),"")</f>
        <v/>
      </c>
      <c r="J6551">
        <f>IF(E6551="Outlook",COUNTIF($E$2:E6551,"Outlook"),"")</f>
        <v/>
      </c>
      <c r="K6551">
        <f>IF(E6551="Domain",COUNTIF($E$2:E6551,"Domain"),"")</f>
        <v/>
      </c>
    </row>
    <row r="6552">
      <c r="A6552" s="2" t="n"/>
      <c r="B6552">
        <f>LOWER(TRIM(A6552))</f>
        <v/>
      </c>
      <c r="C6552">
        <f>IF(B6552="","",IFERROR(INDEX('Bad Patterns'!$A$2:$A$120,MATCH(1,INDEX(--ISNUMBER(SEARCH('Bad Patterns'!$A$2:$A$120,B6552)),0),0)),""))</f>
        <v/>
      </c>
      <c r="D6552">
        <f>IF(B6552="","",IF(C6552&lt;&gt;"","REMOVE","KEEP"))</f>
        <v/>
      </c>
      <c r="E6552">
        <f>IF(D6552&lt;&gt;"KEEP","",IF(RIGHT(B6552,10)="@gmail.com","Gmail",IF(OR(RIGHT(B6552,12)="@outlook.com",RIGHT(B6552,12)="@hotmail.com",RIGHT(B6552,9)="@live.com"),"Outlook","Domain")))</f>
        <v/>
      </c>
      <c r="F6552">
        <f>IF(B6552="","",IFERROR(RIGHT(B6552,LEN(B6552)-FIND("@",B6552)),""))</f>
        <v/>
      </c>
      <c r="G6552">
        <f>IF(D6552="KEEP",COUNTIF($D$2:D6552,"KEEP"),"")</f>
        <v/>
      </c>
      <c r="H6552">
        <f>IF(D6552="REMOVE",COUNTIF($D$2:D6552,"REMOVE"),"")</f>
        <v/>
      </c>
      <c r="I6552">
        <f>IF(E6552="Gmail",COUNTIF($E$2:E6552,"Gmail"),"")</f>
        <v/>
      </c>
      <c r="J6552">
        <f>IF(E6552="Outlook",COUNTIF($E$2:E6552,"Outlook"),"")</f>
        <v/>
      </c>
      <c r="K6552">
        <f>IF(E6552="Domain",COUNTIF($E$2:E6552,"Domain"),"")</f>
        <v/>
      </c>
    </row>
    <row r="6553">
      <c r="A6553" s="2" t="n"/>
      <c r="B6553">
        <f>LOWER(TRIM(A6553))</f>
        <v/>
      </c>
      <c r="C6553">
        <f>IF(B6553="","",IFERROR(INDEX('Bad Patterns'!$A$2:$A$120,MATCH(1,INDEX(--ISNUMBER(SEARCH('Bad Patterns'!$A$2:$A$120,B6553)),0),0)),""))</f>
        <v/>
      </c>
      <c r="D6553">
        <f>IF(B6553="","",IF(C6553&lt;&gt;"","REMOVE","KEEP"))</f>
        <v/>
      </c>
      <c r="E6553">
        <f>IF(D6553&lt;&gt;"KEEP","",IF(RIGHT(B6553,10)="@gmail.com","Gmail",IF(OR(RIGHT(B6553,12)="@outlook.com",RIGHT(B6553,12)="@hotmail.com",RIGHT(B6553,9)="@live.com"),"Outlook","Domain")))</f>
        <v/>
      </c>
      <c r="F6553">
        <f>IF(B6553="","",IFERROR(RIGHT(B6553,LEN(B6553)-FIND("@",B6553)),""))</f>
        <v/>
      </c>
      <c r="G6553">
        <f>IF(D6553="KEEP",COUNTIF($D$2:D6553,"KEEP"),"")</f>
        <v/>
      </c>
      <c r="H6553">
        <f>IF(D6553="REMOVE",COUNTIF($D$2:D6553,"REMOVE"),"")</f>
        <v/>
      </c>
      <c r="I6553">
        <f>IF(E6553="Gmail",COUNTIF($E$2:E6553,"Gmail"),"")</f>
        <v/>
      </c>
      <c r="J6553">
        <f>IF(E6553="Outlook",COUNTIF($E$2:E6553,"Outlook"),"")</f>
        <v/>
      </c>
      <c r="K6553">
        <f>IF(E6553="Domain",COUNTIF($E$2:E6553,"Domain"),"")</f>
        <v/>
      </c>
    </row>
    <row r="6554">
      <c r="A6554" s="2" t="n"/>
      <c r="B6554">
        <f>LOWER(TRIM(A6554))</f>
        <v/>
      </c>
      <c r="C6554">
        <f>IF(B6554="","",IFERROR(INDEX('Bad Patterns'!$A$2:$A$120,MATCH(1,INDEX(--ISNUMBER(SEARCH('Bad Patterns'!$A$2:$A$120,B6554)),0),0)),""))</f>
        <v/>
      </c>
      <c r="D6554">
        <f>IF(B6554="","",IF(C6554&lt;&gt;"","REMOVE","KEEP"))</f>
        <v/>
      </c>
      <c r="E6554">
        <f>IF(D6554&lt;&gt;"KEEP","",IF(RIGHT(B6554,10)="@gmail.com","Gmail",IF(OR(RIGHT(B6554,12)="@outlook.com",RIGHT(B6554,12)="@hotmail.com",RIGHT(B6554,9)="@live.com"),"Outlook","Domain")))</f>
        <v/>
      </c>
      <c r="F6554">
        <f>IF(B6554="","",IFERROR(RIGHT(B6554,LEN(B6554)-FIND("@",B6554)),""))</f>
        <v/>
      </c>
      <c r="G6554">
        <f>IF(D6554="KEEP",COUNTIF($D$2:D6554,"KEEP"),"")</f>
        <v/>
      </c>
      <c r="H6554">
        <f>IF(D6554="REMOVE",COUNTIF($D$2:D6554,"REMOVE"),"")</f>
        <v/>
      </c>
      <c r="I6554">
        <f>IF(E6554="Gmail",COUNTIF($E$2:E6554,"Gmail"),"")</f>
        <v/>
      </c>
      <c r="J6554">
        <f>IF(E6554="Outlook",COUNTIF($E$2:E6554,"Outlook"),"")</f>
        <v/>
      </c>
      <c r="K6554">
        <f>IF(E6554="Domain",COUNTIF($E$2:E6554,"Domain"),"")</f>
        <v/>
      </c>
    </row>
    <row r="6555">
      <c r="A6555" s="2" t="n"/>
      <c r="B6555">
        <f>LOWER(TRIM(A6555))</f>
        <v/>
      </c>
      <c r="C6555">
        <f>IF(B6555="","",IFERROR(INDEX('Bad Patterns'!$A$2:$A$120,MATCH(1,INDEX(--ISNUMBER(SEARCH('Bad Patterns'!$A$2:$A$120,B6555)),0),0)),""))</f>
        <v/>
      </c>
      <c r="D6555">
        <f>IF(B6555="","",IF(C6555&lt;&gt;"","REMOVE","KEEP"))</f>
        <v/>
      </c>
      <c r="E6555">
        <f>IF(D6555&lt;&gt;"KEEP","",IF(RIGHT(B6555,10)="@gmail.com","Gmail",IF(OR(RIGHT(B6555,12)="@outlook.com",RIGHT(B6555,12)="@hotmail.com",RIGHT(B6555,9)="@live.com"),"Outlook","Domain")))</f>
        <v/>
      </c>
      <c r="F6555">
        <f>IF(B6555="","",IFERROR(RIGHT(B6555,LEN(B6555)-FIND("@",B6555)),""))</f>
        <v/>
      </c>
      <c r="G6555">
        <f>IF(D6555="KEEP",COUNTIF($D$2:D6555,"KEEP"),"")</f>
        <v/>
      </c>
      <c r="H6555">
        <f>IF(D6555="REMOVE",COUNTIF($D$2:D6555,"REMOVE"),"")</f>
        <v/>
      </c>
      <c r="I6555">
        <f>IF(E6555="Gmail",COUNTIF($E$2:E6555,"Gmail"),"")</f>
        <v/>
      </c>
      <c r="J6555">
        <f>IF(E6555="Outlook",COUNTIF($E$2:E6555,"Outlook"),"")</f>
        <v/>
      </c>
      <c r="K6555">
        <f>IF(E6555="Domain",COUNTIF($E$2:E6555,"Domain"),"")</f>
        <v/>
      </c>
    </row>
    <row r="6556">
      <c r="A6556" s="2" t="n"/>
      <c r="B6556">
        <f>LOWER(TRIM(A6556))</f>
        <v/>
      </c>
      <c r="C6556">
        <f>IF(B6556="","",IFERROR(INDEX('Bad Patterns'!$A$2:$A$120,MATCH(1,INDEX(--ISNUMBER(SEARCH('Bad Patterns'!$A$2:$A$120,B6556)),0),0)),""))</f>
        <v/>
      </c>
      <c r="D6556">
        <f>IF(B6556="","",IF(C6556&lt;&gt;"","REMOVE","KEEP"))</f>
        <v/>
      </c>
      <c r="E6556">
        <f>IF(D6556&lt;&gt;"KEEP","",IF(RIGHT(B6556,10)="@gmail.com","Gmail",IF(OR(RIGHT(B6556,12)="@outlook.com",RIGHT(B6556,12)="@hotmail.com",RIGHT(B6556,9)="@live.com"),"Outlook","Domain")))</f>
        <v/>
      </c>
      <c r="F6556">
        <f>IF(B6556="","",IFERROR(RIGHT(B6556,LEN(B6556)-FIND("@",B6556)),""))</f>
        <v/>
      </c>
      <c r="G6556">
        <f>IF(D6556="KEEP",COUNTIF($D$2:D6556,"KEEP"),"")</f>
        <v/>
      </c>
      <c r="H6556">
        <f>IF(D6556="REMOVE",COUNTIF($D$2:D6556,"REMOVE"),"")</f>
        <v/>
      </c>
      <c r="I6556">
        <f>IF(E6556="Gmail",COUNTIF($E$2:E6556,"Gmail"),"")</f>
        <v/>
      </c>
      <c r="J6556">
        <f>IF(E6556="Outlook",COUNTIF($E$2:E6556,"Outlook"),"")</f>
        <v/>
      </c>
      <c r="K6556">
        <f>IF(E6556="Domain",COUNTIF($E$2:E6556,"Domain"),"")</f>
        <v/>
      </c>
    </row>
    <row r="6557">
      <c r="A6557" s="2" t="n"/>
      <c r="B6557">
        <f>LOWER(TRIM(A6557))</f>
        <v/>
      </c>
      <c r="C6557">
        <f>IF(B6557="","",IFERROR(INDEX('Bad Patterns'!$A$2:$A$120,MATCH(1,INDEX(--ISNUMBER(SEARCH('Bad Patterns'!$A$2:$A$120,B6557)),0),0)),""))</f>
        <v/>
      </c>
      <c r="D6557">
        <f>IF(B6557="","",IF(C6557&lt;&gt;"","REMOVE","KEEP"))</f>
        <v/>
      </c>
      <c r="E6557">
        <f>IF(D6557&lt;&gt;"KEEP","",IF(RIGHT(B6557,10)="@gmail.com","Gmail",IF(OR(RIGHT(B6557,12)="@outlook.com",RIGHT(B6557,12)="@hotmail.com",RIGHT(B6557,9)="@live.com"),"Outlook","Domain")))</f>
        <v/>
      </c>
      <c r="F6557">
        <f>IF(B6557="","",IFERROR(RIGHT(B6557,LEN(B6557)-FIND("@",B6557)),""))</f>
        <v/>
      </c>
      <c r="G6557">
        <f>IF(D6557="KEEP",COUNTIF($D$2:D6557,"KEEP"),"")</f>
        <v/>
      </c>
      <c r="H6557">
        <f>IF(D6557="REMOVE",COUNTIF($D$2:D6557,"REMOVE"),"")</f>
        <v/>
      </c>
      <c r="I6557">
        <f>IF(E6557="Gmail",COUNTIF($E$2:E6557,"Gmail"),"")</f>
        <v/>
      </c>
      <c r="J6557">
        <f>IF(E6557="Outlook",COUNTIF($E$2:E6557,"Outlook"),"")</f>
        <v/>
      </c>
      <c r="K6557">
        <f>IF(E6557="Domain",COUNTIF($E$2:E6557,"Domain"),"")</f>
        <v/>
      </c>
    </row>
    <row r="6558">
      <c r="A6558" s="2" t="n"/>
      <c r="B6558">
        <f>LOWER(TRIM(A6558))</f>
        <v/>
      </c>
      <c r="C6558">
        <f>IF(B6558="","",IFERROR(INDEX('Bad Patterns'!$A$2:$A$120,MATCH(1,INDEX(--ISNUMBER(SEARCH('Bad Patterns'!$A$2:$A$120,B6558)),0),0)),""))</f>
        <v/>
      </c>
      <c r="D6558">
        <f>IF(B6558="","",IF(C6558&lt;&gt;"","REMOVE","KEEP"))</f>
        <v/>
      </c>
      <c r="E6558">
        <f>IF(D6558&lt;&gt;"KEEP","",IF(RIGHT(B6558,10)="@gmail.com","Gmail",IF(OR(RIGHT(B6558,12)="@outlook.com",RIGHT(B6558,12)="@hotmail.com",RIGHT(B6558,9)="@live.com"),"Outlook","Domain")))</f>
        <v/>
      </c>
      <c r="F6558">
        <f>IF(B6558="","",IFERROR(RIGHT(B6558,LEN(B6558)-FIND("@",B6558)),""))</f>
        <v/>
      </c>
      <c r="G6558">
        <f>IF(D6558="KEEP",COUNTIF($D$2:D6558,"KEEP"),"")</f>
        <v/>
      </c>
      <c r="H6558">
        <f>IF(D6558="REMOVE",COUNTIF($D$2:D6558,"REMOVE"),"")</f>
        <v/>
      </c>
      <c r="I6558">
        <f>IF(E6558="Gmail",COUNTIF($E$2:E6558,"Gmail"),"")</f>
        <v/>
      </c>
      <c r="J6558">
        <f>IF(E6558="Outlook",COUNTIF($E$2:E6558,"Outlook"),"")</f>
        <v/>
      </c>
      <c r="K6558">
        <f>IF(E6558="Domain",COUNTIF($E$2:E6558,"Domain"),"")</f>
        <v/>
      </c>
    </row>
    <row r="6559">
      <c r="A6559" s="2" t="n"/>
      <c r="B6559">
        <f>LOWER(TRIM(A6559))</f>
        <v/>
      </c>
      <c r="C6559">
        <f>IF(B6559="","",IFERROR(INDEX('Bad Patterns'!$A$2:$A$120,MATCH(1,INDEX(--ISNUMBER(SEARCH('Bad Patterns'!$A$2:$A$120,B6559)),0),0)),""))</f>
        <v/>
      </c>
      <c r="D6559">
        <f>IF(B6559="","",IF(C6559&lt;&gt;"","REMOVE","KEEP"))</f>
        <v/>
      </c>
      <c r="E6559">
        <f>IF(D6559&lt;&gt;"KEEP","",IF(RIGHT(B6559,10)="@gmail.com","Gmail",IF(OR(RIGHT(B6559,12)="@outlook.com",RIGHT(B6559,12)="@hotmail.com",RIGHT(B6559,9)="@live.com"),"Outlook","Domain")))</f>
        <v/>
      </c>
      <c r="F6559">
        <f>IF(B6559="","",IFERROR(RIGHT(B6559,LEN(B6559)-FIND("@",B6559)),""))</f>
        <v/>
      </c>
      <c r="G6559">
        <f>IF(D6559="KEEP",COUNTIF($D$2:D6559,"KEEP"),"")</f>
        <v/>
      </c>
      <c r="H6559">
        <f>IF(D6559="REMOVE",COUNTIF($D$2:D6559,"REMOVE"),"")</f>
        <v/>
      </c>
      <c r="I6559">
        <f>IF(E6559="Gmail",COUNTIF($E$2:E6559,"Gmail"),"")</f>
        <v/>
      </c>
      <c r="J6559">
        <f>IF(E6559="Outlook",COUNTIF($E$2:E6559,"Outlook"),"")</f>
        <v/>
      </c>
      <c r="K6559">
        <f>IF(E6559="Domain",COUNTIF($E$2:E6559,"Domain"),"")</f>
        <v/>
      </c>
    </row>
    <row r="6560">
      <c r="A6560" s="2" t="n"/>
      <c r="B6560">
        <f>LOWER(TRIM(A6560))</f>
        <v/>
      </c>
      <c r="C6560">
        <f>IF(B6560="","",IFERROR(INDEX('Bad Patterns'!$A$2:$A$120,MATCH(1,INDEX(--ISNUMBER(SEARCH('Bad Patterns'!$A$2:$A$120,B6560)),0),0)),""))</f>
        <v/>
      </c>
      <c r="D6560">
        <f>IF(B6560="","",IF(C6560&lt;&gt;"","REMOVE","KEEP"))</f>
        <v/>
      </c>
      <c r="E6560">
        <f>IF(D6560&lt;&gt;"KEEP","",IF(RIGHT(B6560,10)="@gmail.com","Gmail",IF(OR(RIGHT(B6560,12)="@outlook.com",RIGHT(B6560,12)="@hotmail.com",RIGHT(B6560,9)="@live.com"),"Outlook","Domain")))</f>
        <v/>
      </c>
      <c r="F6560">
        <f>IF(B6560="","",IFERROR(RIGHT(B6560,LEN(B6560)-FIND("@",B6560)),""))</f>
        <v/>
      </c>
      <c r="G6560">
        <f>IF(D6560="KEEP",COUNTIF($D$2:D6560,"KEEP"),"")</f>
        <v/>
      </c>
      <c r="H6560">
        <f>IF(D6560="REMOVE",COUNTIF($D$2:D6560,"REMOVE"),"")</f>
        <v/>
      </c>
      <c r="I6560">
        <f>IF(E6560="Gmail",COUNTIF($E$2:E6560,"Gmail"),"")</f>
        <v/>
      </c>
      <c r="J6560">
        <f>IF(E6560="Outlook",COUNTIF($E$2:E6560,"Outlook"),"")</f>
        <v/>
      </c>
      <c r="K6560">
        <f>IF(E6560="Domain",COUNTIF($E$2:E6560,"Domain"),"")</f>
        <v/>
      </c>
    </row>
    <row r="6561">
      <c r="A6561" s="2" t="n"/>
      <c r="B6561">
        <f>LOWER(TRIM(A6561))</f>
        <v/>
      </c>
      <c r="C6561">
        <f>IF(B6561="","",IFERROR(INDEX('Bad Patterns'!$A$2:$A$120,MATCH(1,INDEX(--ISNUMBER(SEARCH('Bad Patterns'!$A$2:$A$120,B6561)),0),0)),""))</f>
        <v/>
      </c>
      <c r="D6561">
        <f>IF(B6561="","",IF(C6561&lt;&gt;"","REMOVE","KEEP"))</f>
        <v/>
      </c>
      <c r="E6561">
        <f>IF(D6561&lt;&gt;"KEEP","",IF(RIGHT(B6561,10)="@gmail.com","Gmail",IF(OR(RIGHT(B6561,12)="@outlook.com",RIGHT(B6561,12)="@hotmail.com",RIGHT(B6561,9)="@live.com"),"Outlook","Domain")))</f>
        <v/>
      </c>
      <c r="F6561">
        <f>IF(B6561="","",IFERROR(RIGHT(B6561,LEN(B6561)-FIND("@",B6561)),""))</f>
        <v/>
      </c>
      <c r="G6561">
        <f>IF(D6561="KEEP",COUNTIF($D$2:D6561,"KEEP"),"")</f>
        <v/>
      </c>
      <c r="H6561">
        <f>IF(D6561="REMOVE",COUNTIF($D$2:D6561,"REMOVE"),"")</f>
        <v/>
      </c>
      <c r="I6561">
        <f>IF(E6561="Gmail",COUNTIF($E$2:E6561,"Gmail"),"")</f>
        <v/>
      </c>
      <c r="J6561">
        <f>IF(E6561="Outlook",COUNTIF($E$2:E6561,"Outlook"),"")</f>
        <v/>
      </c>
      <c r="K6561">
        <f>IF(E6561="Domain",COUNTIF($E$2:E6561,"Domain"),"")</f>
        <v/>
      </c>
    </row>
    <row r="6562">
      <c r="A6562" s="2" t="n"/>
      <c r="B6562">
        <f>LOWER(TRIM(A6562))</f>
        <v/>
      </c>
      <c r="C6562">
        <f>IF(B6562="","",IFERROR(INDEX('Bad Patterns'!$A$2:$A$120,MATCH(1,INDEX(--ISNUMBER(SEARCH('Bad Patterns'!$A$2:$A$120,B6562)),0),0)),""))</f>
        <v/>
      </c>
      <c r="D6562">
        <f>IF(B6562="","",IF(C6562&lt;&gt;"","REMOVE","KEEP"))</f>
        <v/>
      </c>
      <c r="E6562">
        <f>IF(D6562&lt;&gt;"KEEP","",IF(RIGHT(B6562,10)="@gmail.com","Gmail",IF(OR(RIGHT(B6562,12)="@outlook.com",RIGHT(B6562,12)="@hotmail.com",RIGHT(B6562,9)="@live.com"),"Outlook","Domain")))</f>
        <v/>
      </c>
      <c r="F6562">
        <f>IF(B6562="","",IFERROR(RIGHT(B6562,LEN(B6562)-FIND("@",B6562)),""))</f>
        <v/>
      </c>
      <c r="G6562">
        <f>IF(D6562="KEEP",COUNTIF($D$2:D6562,"KEEP"),"")</f>
        <v/>
      </c>
      <c r="H6562">
        <f>IF(D6562="REMOVE",COUNTIF($D$2:D6562,"REMOVE"),"")</f>
        <v/>
      </c>
      <c r="I6562">
        <f>IF(E6562="Gmail",COUNTIF($E$2:E6562,"Gmail"),"")</f>
        <v/>
      </c>
      <c r="J6562">
        <f>IF(E6562="Outlook",COUNTIF($E$2:E6562,"Outlook"),"")</f>
        <v/>
      </c>
      <c r="K6562">
        <f>IF(E6562="Domain",COUNTIF($E$2:E6562,"Domain"),"")</f>
        <v/>
      </c>
    </row>
    <row r="6563">
      <c r="A6563" s="2" t="n"/>
      <c r="B6563">
        <f>LOWER(TRIM(A6563))</f>
        <v/>
      </c>
      <c r="C6563">
        <f>IF(B6563="","",IFERROR(INDEX('Bad Patterns'!$A$2:$A$120,MATCH(1,INDEX(--ISNUMBER(SEARCH('Bad Patterns'!$A$2:$A$120,B6563)),0),0)),""))</f>
        <v/>
      </c>
      <c r="D6563">
        <f>IF(B6563="","",IF(C6563&lt;&gt;"","REMOVE","KEEP"))</f>
        <v/>
      </c>
      <c r="E6563">
        <f>IF(D6563&lt;&gt;"KEEP","",IF(RIGHT(B6563,10)="@gmail.com","Gmail",IF(OR(RIGHT(B6563,12)="@outlook.com",RIGHT(B6563,12)="@hotmail.com",RIGHT(B6563,9)="@live.com"),"Outlook","Domain")))</f>
        <v/>
      </c>
      <c r="F6563">
        <f>IF(B6563="","",IFERROR(RIGHT(B6563,LEN(B6563)-FIND("@",B6563)),""))</f>
        <v/>
      </c>
      <c r="G6563">
        <f>IF(D6563="KEEP",COUNTIF($D$2:D6563,"KEEP"),"")</f>
        <v/>
      </c>
      <c r="H6563">
        <f>IF(D6563="REMOVE",COUNTIF($D$2:D6563,"REMOVE"),"")</f>
        <v/>
      </c>
      <c r="I6563">
        <f>IF(E6563="Gmail",COUNTIF($E$2:E6563,"Gmail"),"")</f>
        <v/>
      </c>
      <c r="J6563">
        <f>IF(E6563="Outlook",COUNTIF($E$2:E6563,"Outlook"),"")</f>
        <v/>
      </c>
      <c r="K6563">
        <f>IF(E6563="Domain",COUNTIF($E$2:E6563,"Domain"),"")</f>
        <v/>
      </c>
    </row>
    <row r="6564">
      <c r="A6564" s="2" t="n"/>
      <c r="B6564">
        <f>LOWER(TRIM(A6564))</f>
        <v/>
      </c>
      <c r="C6564">
        <f>IF(B6564="","",IFERROR(INDEX('Bad Patterns'!$A$2:$A$120,MATCH(1,INDEX(--ISNUMBER(SEARCH('Bad Patterns'!$A$2:$A$120,B6564)),0),0)),""))</f>
        <v/>
      </c>
      <c r="D6564">
        <f>IF(B6564="","",IF(C6564&lt;&gt;"","REMOVE","KEEP"))</f>
        <v/>
      </c>
      <c r="E6564">
        <f>IF(D6564&lt;&gt;"KEEP","",IF(RIGHT(B6564,10)="@gmail.com","Gmail",IF(OR(RIGHT(B6564,12)="@outlook.com",RIGHT(B6564,12)="@hotmail.com",RIGHT(B6564,9)="@live.com"),"Outlook","Domain")))</f>
        <v/>
      </c>
      <c r="F6564">
        <f>IF(B6564="","",IFERROR(RIGHT(B6564,LEN(B6564)-FIND("@",B6564)),""))</f>
        <v/>
      </c>
      <c r="G6564">
        <f>IF(D6564="KEEP",COUNTIF($D$2:D6564,"KEEP"),"")</f>
        <v/>
      </c>
      <c r="H6564">
        <f>IF(D6564="REMOVE",COUNTIF($D$2:D6564,"REMOVE"),"")</f>
        <v/>
      </c>
      <c r="I6564">
        <f>IF(E6564="Gmail",COUNTIF($E$2:E6564,"Gmail"),"")</f>
        <v/>
      </c>
      <c r="J6564">
        <f>IF(E6564="Outlook",COUNTIF($E$2:E6564,"Outlook"),"")</f>
        <v/>
      </c>
      <c r="K6564">
        <f>IF(E6564="Domain",COUNTIF($E$2:E6564,"Domain"),"")</f>
        <v/>
      </c>
    </row>
    <row r="6565">
      <c r="A6565" s="2" t="n"/>
      <c r="B6565">
        <f>LOWER(TRIM(A6565))</f>
        <v/>
      </c>
      <c r="C6565">
        <f>IF(B6565="","",IFERROR(INDEX('Bad Patterns'!$A$2:$A$120,MATCH(1,INDEX(--ISNUMBER(SEARCH('Bad Patterns'!$A$2:$A$120,B6565)),0),0)),""))</f>
        <v/>
      </c>
      <c r="D6565">
        <f>IF(B6565="","",IF(C6565&lt;&gt;"","REMOVE","KEEP"))</f>
        <v/>
      </c>
      <c r="E6565">
        <f>IF(D6565&lt;&gt;"KEEP","",IF(RIGHT(B6565,10)="@gmail.com","Gmail",IF(OR(RIGHT(B6565,12)="@outlook.com",RIGHT(B6565,12)="@hotmail.com",RIGHT(B6565,9)="@live.com"),"Outlook","Domain")))</f>
        <v/>
      </c>
      <c r="F6565">
        <f>IF(B6565="","",IFERROR(RIGHT(B6565,LEN(B6565)-FIND("@",B6565)),""))</f>
        <v/>
      </c>
      <c r="G6565">
        <f>IF(D6565="KEEP",COUNTIF($D$2:D6565,"KEEP"),"")</f>
        <v/>
      </c>
      <c r="H6565">
        <f>IF(D6565="REMOVE",COUNTIF($D$2:D6565,"REMOVE"),"")</f>
        <v/>
      </c>
      <c r="I6565">
        <f>IF(E6565="Gmail",COUNTIF($E$2:E6565,"Gmail"),"")</f>
        <v/>
      </c>
      <c r="J6565">
        <f>IF(E6565="Outlook",COUNTIF($E$2:E6565,"Outlook"),"")</f>
        <v/>
      </c>
      <c r="K6565">
        <f>IF(E6565="Domain",COUNTIF($E$2:E6565,"Domain"),"")</f>
        <v/>
      </c>
    </row>
    <row r="6566">
      <c r="A6566" s="2" t="n"/>
      <c r="B6566">
        <f>LOWER(TRIM(A6566))</f>
        <v/>
      </c>
      <c r="C6566">
        <f>IF(B6566="","",IFERROR(INDEX('Bad Patterns'!$A$2:$A$120,MATCH(1,INDEX(--ISNUMBER(SEARCH('Bad Patterns'!$A$2:$A$120,B6566)),0),0)),""))</f>
        <v/>
      </c>
      <c r="D6566">
        <f>IF(B6566="","",IF(C6566&lt;&gt;"","REMOVE","KEEP"))</f>
        <v/>
      </c>
      <c r="E6566">
        <f>IF(D6566&lt;&gt;"KEEP","",IF(RIGHT(B6566,10)="@gmail.com","Gmail",IF(OR(RIGHT(B6566,12)="@outlook.com",RIGHT(B6566,12)="@hotmail.com",RIGHT(B6566,9)="@live.com"),"Outlook","Domain")))</f>
        <v/>
      </c>
      <c r="F6566">
        <f>IF(B6566="","",IFERROR(RIGHT(B6566,LEN(B6566)-FIND("@",B6566)),""))</f>
        <v/>
      </c>
      <c r="G6566">
        <f>IF(D6566="KEEP",COUNTIF($D$2:D6566,"KEEP"),"")</f>
        <v/>
      </c>
      <c r="H6566">
        <f>IF(D6566="REMOVE",COUNTIF($D$2:D6566,"REMOVE"),"")</f>
        <v/>
      </c>
      <c r="I6566">
        <f>IF(E6566="Gmail",COUNTIF($E$2:E6566,"Gmail"),"")</f>
        <v/>
      </c>
      <c r="J6566">
        <f>IF(E6566="Outlook",COUNTIF($E$2:E6566,"Outlook"),"")</f>
        <v/>
      </c>
      <c r="K6566">
        <f>IF(E6566="Domain",COUNTIF($E$2:E6566,"Domain"),"")</f>
        <v/>
      </c>
    </row>
    <row r="6567">
      <c r="A6567" s="2" t="n"/>
      <c r="B6567">
        <f>LOWER(TRIM(A6567))</f>
        <v/>
      </c>
      <c r="C6567">
        <f>IF(B6567="","",IFERROR(INDEX('Bad Patterns'!$A$2:$A$120,MATCH(1,INDEX(--ISNUMBER(SEARCH('Bad Patterns'!$A$2:$A$120,B6567)),0),0)),""))</f>
        <v/>
      </c>
      <c r="D6567">
        <f>IF(B6567="","",IF(C6567&lt;&gt;"","REMOVE","KEEP"))</f>
        <v/>
      </c>
      <c r="E6567">
        <f>IF(D6567&lt;&gt;"KEEP","",IF(RIGHT(B6567,10)="@gmail.com","Gmail",IF(OR(RIGHT(B6567,12)="@outlook.com",RIGHT(B6567,12)="@hotmail.com",RIGHT(B6567,9)="@live.com"),"Outlook","Domain")))</f>
        <v/>
      </c>
      <c r="F6567">
        <f>IF(B6567="","",IFERROR(RIGHT(B6567,LEN(B6567)-FIND("@",B6567)),""))</f>
        <v/>
      </c>
      <c r="G6567">
        <f>IF(D6567="KEEP",COUNTIF($D$2:D6567,"KEEP"),"")</f>
        <v/>
      </c>
      <c r="H6567">
        <f>IF(D6567="REMOVE",COUNTIF($D$2:D6567,"REMOVE"),"")</f>
        <v/>
      </c>
      <c r="I6567">
        <f>IF(E6567="Gmail",COUNTIF($E$2:E6567,"Gmail"),"")</f>
        <v/>
      </c>
      <c r="J6567">
        <f>IF(E6567="Outlook",COUNTIF($E$2:E6567,"Outlook"),"")</f>
        <v/>
      </c>
      <c r="K6567">
        <f>IF(E6567="Domain",COUNTIF($E$2:E6567,"Domain"),"")</f>
        <v/>
      </c>
    </row>
    <row r="6568">
      <c r="A6568" s="2" t="n"/>
      <c r="B6568">
        <f>LOWER(TRIM(A6568))</f>
        <v/>
      </c>
      <c r="C6568">
        <f>IF(B6568="","",IFERROR(INDEX('Bad Patterns'!$A$2:$A$120,MATCH(1,INDEX(--ISNUMBER(SEARCH('Bad Patterns'!$A$2:$A$120,B6568)),0),0)),""))</f>
        <v/>
      </c>
      <c r="D6568">
        <f>IF(B6568="","",IF(C6568&lt;&gt;"","REMOVE","KEEP"))</f>
        <v/>
      </c>
      <c r="E6568">
        <f>IF(D6568&lt;&gt;"KEEP","",IF(RIGHT(B6568,10)="@gmail.com","Gmail",IF(OR(RIGHT(B6568,12)="@outlook.com",RIGHT(B6568,12)="@hotmail.com",RIGHT(B6568,9)="@live.com"),"Outlook","Domain")))</f>
        <v/>
      </c>
      <c r="F6568">
        <f>IF(B6568="","",IFERROR(RIGHT(B6568,LEN(B6568)-FIND("@",B6568)),""))</f>
        <v/>
      </c>
      <c r="G6568">
        <f>IF(D6568="KEEP",COUNTIF($D$2:D6568,"KEEP"),"")</f>
        <v/>
      </c>
      <c r="H6568">
        <f>IF(D6568="REMOVE",COUNTIF($D$2:D6568,"REMOVE"),"")</f>
        <v/>
      </c>
      <c r="I6568">
        <f>IF(E6568="Gmail",COUNTIF($E$2:E6568,"Gmail"),"")</f>
        <v/>
      </c>
      <c r="J6568">
        <f>IF(E6568="Outlook",COUNTIF($E$2:E6568,"Outlook"),"")</f>
        <v/>
      </c>
      <c r="K6568">
        <f>IF(E6568="Domain",COUNTIF($E$2:E6568,"Domain"),"")</f>
        <v/>
      </c>
    </row>
    <row r="6569">
      <c r="A6569" s="2" t="n"/>
      <c r="B6569">
        <f>LOWER(TRIM(A6569))</f>
        <v/>
      </c>
      <c r="C6569">
        <f>IF(B6569="","",IFERROR(INDEX('Bad Patterns'!$A$2:$A$120,MATCH(1,INDEX(--ISNUMBER(SEARCH('Bad Patterns'!$A$2:$A$120,B6569)),0),0)),""))</f>
        <v/>
      </c>
      <c r="D6569">
        <f>IF(B6569="","",IF(C6569&lt;&gt;"","REMOVE","KEEP"))</f>
        <v/>
      </c>
      <c r="E6569">
        <f>IF(D6569&lt;&gt;"KEEP","",IF(RIGHT(B6569,10)="@gmail.com","Gmail",IF(OR(RIGHT(B6569,12)="@outlook.com",RIGHT(B6569,12)="@hotmail.com",RIGHT(B6569,9)="@live.com"),"Outlook","Domain")))</f>
        <v/>
      </c>
      <c r="F6569">
        <f>IF(B6569="","",IFERROR(RIGHT(B6569,LEN(B6569)-FIND("@",B6569)),""))</f>
        <v/>
      </c>
      <c r="G6569">
        <f>IF(D6569="KEEP",COUNTIF($D$2:D6569,"KEEP"),"")</f>
        <v/>
      </c>
      <c r="H6569">
        <f>IF(D6569="REMOVE",COUNTIF($D$2:D6569,"REMOVE"),"")</f>
        <v/>
      </c>
      <c r="I6569">
        <f>IF(E6569="Gmail",COUNTIF($E$2:E6569,"Gmail"),"")</f>
        <v/>
      </c>
      <c r="J6569">
        <f>IF(E6569="Outlook",COUNTIF($E$2:E6569,"Outlook"),"")</f>
        <v/>
      </c>
      <c r="K6569">
        <f>IF(E6569="Domain",COUNTIF($E$2:E6569,"Domain"),"")</f>
        <v/>
      </c>
    </row>
    <row r="6570">
      <c r="A6570" s="2" t="n"/>
      <c r="B6570">
        <f>LOWER(TRIM(A6570))</f>
        <v/>
      </c>
      <c r="C6570">
        <f>IF(B6570="","",IFERROR(INDEX('Bad Patterns'!$A$2:$A$120,MATCH(1,INDEX(--ISNUMBER(SEARCH('Bad Patterns'!$A$2:$A$120,B6570)),0),0)),""))</f>
        <v/>
      </c>
      <c r="D6570">
        <f>IF(B6570="","",IF(C6570&lt;&gt;"","REMOVE","KEEP"))</f>
        <v/>
      </c>
      <c r="E6570">
        <f>IF(D6570&lt;&gt;"KEEP","",IF(RIGHT(B6570,10)="@gmail.com","Gmail",IF(OR(RIGHT(B6570,12)="@outlook.com",RIGHT(B6570,12)="@hotmail.com",RIGHT(B6570,9)="@live.com"),"Outlook","Domain")))</f>
        <v/>
      </c>
      <c r="F6570">
        <f>IF(B6570="","",IFERROR(RIGHT(B6570,LEN(B6570)-FIND("@",B6570)),""))</f>
        <v/>
      </c>
      <c r="G6570">
        <f>IF(D6570="KEEP",COUNTIF($D$2:D6570,"KEEP"),"")</f>
        <v/>
      </c>
      <c r="H6570">
        <f>IF(D6570="REMOVE",COUNTIF($D$2:D6570,"REMOVE"),"")</f>
        <v/>
      </c>
      <c r="I6570">
        <f>IF(E6570="Gmail",COUNTIF($E$2:E6570,"Gmail"),"")</f>
        <v/>
      </c>
      <c r="J6570">
        <f>IF(E6570="Outlook",COUNTIF($E$2:E6570,"Outlook"),"")</f>
        <v/>
      </c>
      <c r="K6570">
        <f>IF(E6570="Domain",COUNTIF($E$2:E6570,"Domain"),"")</f>
        <v/>
      </c>
    </row>
    <row r="6571">
      <c r="A6571" s="2" t="n"/>
      <c r="B6571">
        <f>LOWER(TRIM(A6571))</f>
        <v/>
      </c>
      <c r="C6571">
        <f>IF(B6571="","",IFERROR(INDEX('Bad Patterns'!$A$2:$A$120,MATCH(1,INDEX(--ISNUMBER(SEARCH('Bad Patterns'!$A$2:$A$120,B6571)),0),0)),""))</f>
        <v/>
      </c>
      <c r="D6571">
        <f>IF(B6571="","",IF(C6571&lt;&gt;"","REMOVE","KEEP"))</f>
        <v/>
      </c>
      <c r="E6571">
        <f>IF(D6571&lt;&gt;"KEEP","",IF(RIGHT(B6571,10)="@gmail.com","Gmail",IF(OR(RIGHT(B6571,12)="@outlook.com",RIGHT(B6571,12)="@hotmail.com",RIGHT(B6571,9)="@live.com"),"Outlook","Domain")))</f>
        <v/>
      </c>
      <c r="F6571">
        <f>IF(B6571="","",IFERROR(RIGHT(B6571,LEN(B6571)-FIND("@",B6571)),""))</f>
        <v/>
      </c>
      <c r="G6571">
        <f>IF(D6571="KEEP",COUNTIF($D$2:D6571,"KEEP"),"")</f>
        <v/>
      </c>
      <c r="H6571">
        <f>IF(D6571="REMOVE",COUNTIF($D$2:D6571,"REMOVE"),"")</f>
        <v/>
      </c>
      <c r="I6571">
        <f>IF(E6571="Gmail",COUNTIF($E$2:E6571,"Gmail"),"")</f>
        <v/>
      </c>
      <c r="J6571">
        <f>IF(E6571="Outlook",COUNTIF($E$2:E6571,"Outlook"),"")</f>
        <v/>
      </c>
      <c r="K6571">
        <f>IF(E6571="Domain",COUNTIF($E$2:E6571,"Domain"),"")</f>
        <v/>
      </c>
    </row>
    <row r="6572">
      <c r="A6572" s="2" t="n"/>
      <c r="B6572">
        <f>LOWER(TRIM(A6572))</f>
        <v/>
      </c>
      <c r="C6572">
        <f>IF(B6572="","",IFERROR(INDEX('Bad Patterns'!$A$2:$A$120,MATCH(1,INDEX(--ISNUMBER(SEARCH('Bad Patterns'!$A$2:$A$120,B6572)),0),0)),""))</f>
        <v/>
      </c>
      <c r="D6572">
        <f>IF(B6572="","",IF(C6572&lt;&gt;"","REMOVE","KEEP"))</f>
        <v/>
      </c>
      <c r="E6572">
        <f>IF(D6572&lt;&gt;"KEEP","",IF(RIGHT(B6572,10)="@gmail.com","Gmail",IF(OR(RIGHT(B6572,12)="@outlook.com",RIGHT(B6572,12)="@hotmail.com",RIGHT(B6572,9)="@live.com"),"Outlook","Domain")))</f>
        <v/>
      </c>
      <c r="F6572">
        <f>IF(B6572="","",IFERROR(RIGHT(B6572,LEN(B6572)-FIND("@",B6572)),""))</f>
        <v/>
      </c>
      <c r="G6572">
        <f>IF(D6572="KEEP",COUNTIF($D$2:D6572,"KEEP"),"")</f>
        <v/>
      </c>
      <c r="H6572">
        <f>IF(D6572="REMOVE",COUNTIF($D$2:D6572,"REMOVE"),"")</f>
        <v/>
      </c>
      <c r="I6572">
        <f>IF(E6572="Gmail",COUNTIF($E$2:E6572,"Gmail"),"")</f>
        <v/>
      </c>
      <c r="J6572">
        <f>IF(E6572="Outlook",COUNTIF($E$2:E6572,"Outlook"),"")</f>
        <v/>
      </c>
      <c r="K6572">
        <f>IF(E6572="Domain",COUNTIF($E$2:E6572,"Domain"),"")</f>
        <v/>
      </c>
    </row>
    <row r="6573">
      <c r="A6573" s="2" t="n"/>
      <c r="B6573">
        <f>LOWER(TRIM(A6573))</f>
        <v/>
      </c>
      <c r="C6573">
        <f>IF(B6573="","",IFERROR(INDEX('Bad Patterns'!$A$2:$A$120,MATCH(1,INDEX(--ISNUMBER(SEARCH('Bad Patterns'!$A$2:$A$120,B6573)),0),0)),""))</f>
        <v/>
      </c>
      <c r="D6573">
        <f>IF(B6573="","",IF(C6573&lt;&gt;"","REMOVE","KEEP"))</f>
        <v/>
      </c>
      <c r="E6573">
        <f>IF(D6573&lt;&gt;"KEEP","",IF(RIGHT(B6573,10)="@gmail.com","Gmail",IF(OR(RIGHT(B6573,12)="@outlook.com",RIGHT(B6573,12)="@hotmail.com",RIGHT(B6573,9)="@live.com"),"Outlook","Domain")))</f>
        <v/>
      </c>
      <c r="F6573">
        <f>IF(B6573="","",IFERROR(RIGHT(B6573,LEN(B6573)-FIND("@",B6573)),""))</f>
        <v/>
      </c>
      <c r="G6573">
        <f>IF(D6573="KEEP",COUNTIF($D$2:D6573,"KEEP"),"")</f>
        <v/>
      </c>
      <c r="H6573">
        <f>IF(D6573="REMOVE",COUNTIF($D$2:D6573,"REMOVE"),"")</f>
        <v/>
      </c>
      <c r="I6573">
        <f>IF(E6573="Gmail",COUNTIF($E$2:E6573,"Gmail"),"")</f>
        <v/>
      </c>
      <c r="J6573">
        <f>IF(E6573="Outlook",COUNTIF($E$2:E6573,"Outlook"),"")</f>
        <v/>
      </c>
      <c r="K6573">
        <f>IF(E6573="Domain",COUNTIF($E$2:E6573,"Domain"),"")</f>
        <v/>
      </c>
    </row>
    <row r="6574">
      <c r="A6574" s="2" t="n"/>
      <c r="B6574">
        <f>LOWER(TRIM(A6574))</f>
        <v/>
      </c>
      <c r="C6574">
        <f>IF(B6574="","",IFERROR(INDEX('Bad Patterns'!$A$2:$A$120,MATCH(1,INDEX(--ISNUMBER(SEARCH('Bad Patterns'!$A$2:$A$120,B6574)),0),0)),""))</f>
        <v/>
      </c>
      <c r="D6574">
        <f>IF(B6574="","",IF(C6574&lt;&gt;"","REMOVE","KEEP"))</f>
        <v/>
      </c>
      <c r="E6574">
        <f>IF(D6574&lt;&gt;"KEEP","",IF(RIGHT(B6574,10)="@gmail.com","Gmail",IF(OR(RIGHT(B6574,12)="@outlook.com",RIGHT(B6574,12)="@hotmail.com",RIGHT(B6574,9)="@live.com"),"Outlook","Domain")))</f>
        <v/>
      </c>
      <c r="F6574">
        <f>IF(B6574="","",IFERROR(RIGHT(B6574,LEN(B6574)-FIND("@",B6574)),""))</f>
        <v/>
      </c>
      <c r="G6574">
        <f>IF(D6574="KEEP",COUNTIF($D$2:D6574,"KEEP"),"")</f>
        <v/>
      </c>
      <c r="H6574">
        <f>IF(D6574="REMOVE",COUNTIF($D$2:D6574,"REMOVE"),"")</f>
        <v/>
      </c>
      <c r="I6574">
        <f>IF(E6574="Gmail",COUNTIF($E$2:E6574,"Gmail"),"")</f>
        <v/>
      </c>
      <c r="J6574">
        <f>IF(E6574="Outlook",COUNTIF($E$2:E6574,"Outlook"),"")</f>
        <v/>
      </c>
      <c r="K6574">
        <f>IF(E6574="Domain",COUNTIF($E$2:E6574,"Domain"),"")</f>
        <v/>
      </c>
    </row>
    <row r="6575">
      <c r="A6575" s="2" t="n"/>
      <c r="B6575">
        <f>LOWER(TRIM(A6575))</f>
        <v/>
      </c>
      <c r="C6575">
        <f>IF(B6575="","",IFERROR(INDEX('Bad Patterns'!$A$2:$A$120,MATCH(1,INDEX(--ISNUMBER(SEARCH('Bad Patterns'!$A$2:$A$120,B6575)),0),0)),""))</f>
        <v/>
      </c>
      <c r="D6575">
        <f>IF(B6575="","",IF(C6575&lt;&gt;"","REMOVE","KEEP"))</f>
        <v/>
      </c>
      <c r="E6575">
        <f>IF(D6575&lt;&gt;"KEEP","",IF(RIGHT(B6575,10)="@gmail.com","Gmail",IF(OR(RIGHT(B6575,12)="@outlook.com",RIGHT(B6575,12)="@hotmail.com",RIGHT(B6575,9)="@live.com"),"Outlook","Domain")))</f>
        <v/>
      </c>
      <c r="F6575">
        <f>IF(B6575="","",IFERROR(RIGHT(B6575,LEN(B6575)-FIND("@",B6575)),""))</f>
        <v/>
      </c>
      <c r="G6575">
        <f>IF(D6575="KEEP",COUNTIF($D$2:D6575,"KEEP"),"")</f>
        <v/>
      </c>
      <c r="H6575">
        <f>IF(D6575="REMOVE",COUNTIF($D$2:D6575,"REMOVE"),"")</f>
        <v/>
      </c>
      <c r="I6575">
        <f>IF(E6575="Gmail",COUNTIF($E$2:E6575,"Gmail"),"")</f>
        <v/>
      </c>
      <c r="J6575">
        <f>IF(E6575="Outlook",COUNTIF($E$2:E6575,"Outlook"),"")</f>
        <v/>
      </c>
      <c r="K6575">
        <f>IF(E6575="Domain",COUNTIF($E$2:E6575,"Domain"),"")</f>
        <v/>
      </c>
    </row>
    <row r="6576">
      <c r="A6576" s="2" t="n"/>
      <c r="B6576">
        <f>LOWER(TRIM(A6576))</f>
        <v/>
      </c>
      <c r="C6576">
        <f>IF(B6576="","",IFERROR(INDEX('Bad Patterns'!$A$2:$A$120,MATCH(1,INDEX(--ISNUMBER(SEARCH('Bad Patterns'!$A$2:$A$120,B6576)),0),0)),""))</f>
        <v/>
      </c>
      <c r="D6576">
        <f>IF(B6576="","",IF(C6576&lt;&gt;"","REMOVE","KEEP"))</f>
        <v/>
      </c>
      <c r="E6576">
        <f>IF(D6576&lt;&gt;"KEEP","",IF(RIGHT(B6576,10)="@gmail.com","Gmail",IF(OR(RIGHT(B6576,12)="@outlook.com",RIGHT(B6576,12)="@hotmail.com",RIGHT(B6576,9)="@live.com"),"Outlook","Domain")))</f>
        <v/>
      </c>
      <c r="F6576">
        <f>IF(B6576="","",IFERROR(RIGHT(B6576,LEN(B6576)-FIND("@",B6576)),""))</f>
        <v/>
      </c>
      <c r="G6576">
        <f>IF(D6576="KEEP",COUNTIF($D$2:D6576,"KEEP"),"")</f>
        <v/>
      </c>
      <c r="H6576">
        <f>IF(D6576="REMOVE",COUNTIF($D$2:D6576,"REMOVE"),"")</f>
        <v/>
      </c>
      <c r="I6576">
        <f>IF(E6576="Gmail",COUNTIF($E$2:E6576,"Gmail"),"")</f>
        <v/>
      </c>
      <c r="J6576">
        <f>IF(E6576="Outlook",COUNTIF($E$2:E6576,"Outlook"),"")</f>
        <v/>
      </c>
      <c r="K6576">
        <f>IF(E6576="Domain",COUNTIF($E$2:E6576,"Domain"),"")</f>
        <v/>
      </c>
    </row>
    <row r="6577">
      <c r="A6577" s="2" t="n"/>
      <c r="B6577">
        <f>LOWER(TRIM(A6577))</f>
        <v/>
      </c>
      <c r="C6577">
        <f>IF(B6577="","",IFERROR(INDEX('Bad Patterns'!$A$2:$A$120,MATCH(1,INDEX(--ISNUMBER(SEARCH('Bad Patterns'!$A$2:$A$120,B6577)),0),0)),""))</f>
        <v/>
      </c>
      <c r="D6577">
        <f>IF(B6577="","",IF(C6577&lt;&gt;"","REMOVE","KEEP"))</f>
        <v/>
      </c>
      <c r="E6577">
        <f>IF(D6577&lt;&gt;"KEEP","",IF(RIGHT(B6577,10)="@gmail.com","Gmail",IF(OR(RIGHT(B6577,12)="@outlook.com",RIGHT(B6577,12)="@hotmail.com",RIGHT(B6577,9)="@live.com"),"Outlook","Domain")))</f>
        <v/>
      </c>
      <c r="F6577">
        <f>IF(B6577="","",IFERROR(RIGHT(B6577,LEN(B6577)-FIND("@",B6577)),""))</f>
        <v/>
      </c>
      <c r="G6577">
        <f>IF(D6577="KEEP",COUNTIF($D$2:D6577,"KEEP"),"")</f>
        <v/>
      </c>
      <c r="H6577">
        <f>IF(D6577="REMOVE",COUNTIF($D$2:D6577,"REMOVE"),"")</f>
        <v/>
      </c>
      <c r="I6577">
        <f>IF(E6577="Gmail",COUNTIF($E$2:E6577,"Gmail"),"")</f>
        <v/>
      </c>
      <c r="J6577">
        <f>IF(E6577="Outlook",COUNTIF($E$2:E6577,"Outlook"),"")</f>
        <v/>
      </c>
      <c r="K6577">
        <f>IF(E6577="Domain",COUNTIF($E$2:E6577,"Domain"),"")</f>
        <v/>
      </c>
    </row>
    <row r="6578">
      <c r="A6578" s="2" t="n"/>
      <c r="B6578">
        <f>LOWER(TRIM(A6578))</f>
        <v/>
      </c>
      <c r="C6578">
        <f>IF(B6578="","",IFERROR(INDEX('Bad Patterns'!$A$2:$A$120,MATCH(1,INDEX(--ISNUMBER(SEARCH('Bad Patterns'!$A$2:$A$120,B6578)),0),0)),""))</f>
        <v/>
      </c>
      <c r="D6578">
        <f>IF(B6578="","",IF(C6578&lt;&gt;"","REMOVE","KEEP"))</f>
        <v/>
      </c>
      <c r="E6578">
        <f>IF(D6578&lt;&gt;"KEEP","",IF(RIGHT(B6578,10)="@gmail.com","Gmail",IF(OR(RIGHT(B6578,12)="@outlook.com",RIGHT(B6578,12)="@hotmail.com",RIGHT(B6578,9)="@live.com"),"Outlook","Domain")))</f>
        <v/>
      </c>
      <c r="F6578">
        <f>IF(B6578="","",IFERROR(RIGHT(B6578,LEN(B6578)-FIND("@",B6578)),""))</f>
        <v/>
      </c>
      <c r="G6578">
        <f>IF(D6578="KEEP",COUNTIF($D$2:D6578,"KEEP"),"")</f>
        <v/>
      </c>
      <c r="H6578">
        <f>IF(D6578="REMOVE",COUNTIF($D$2:D6578,"REMOVE"),"")</f>
        <v/>
      </c>
      <c r="I6578">
        <f>IF(E6578="Gmail",COUNTIF($E$2:E6578,"Gmail"),"")</f>
        <v/>
      </c>
      <c r="J6578">
        <f>IF(E6578="Outlook",COUNTIF($E$2:E6578,"Outlook"),"")</f>
        <v/>
      </c>
      <c r="K6578">
        <f>IF(E6578="Domain",COUNTIF($E$2:E6578,"Domain"),"")</f>
        <v/>
      </c>
    </row>
    <row r="6579">
      <c r="A6579" s="2" t="n"/>
      <c r="B6579">
        <f>LOWER(TRIM(A6579))</f>
        <v/>
      </c>
      <c r="C6579">
        <f>IF(B6579="","",IFERROR(INDEX('Bad Patterns'!$A$2:$A$120,MATCH(1,INDEX(--ISNUMBER(SEARCH('Bad Patterns'!$A$2:$A$120,B6579)),0),0)),""))</f>
        <v/>
      </c>
      <c r="D6579">
        <f>IF(B6579="","",IF(C6579&lt;&gt;"","REMOVE","KEEP"))</f>
        <v/>
      </c>
      <c r="E6579">
        <f>IF(D6579&lt;&gt;"KEEP","",IF(RIGHT(B6579,10)="@gmail.com","Gmail",IF(OR(RIGHT(B6579,12)="@outlook.com",RIGHT(B6579,12)="@hotmail.com",RIGHT(B6579,9)="@live.com"),"Outlook","Domain")))</f>
        <v/>
      </c>
      <c r="F6579">
        <f>IF(B6579="","",IFERROR(RIGHT(B6579,LEN(B6579)-FIND("@",B6579)),""))</f>
        <v/>
      </c>
      <c r="G6579">
        <f>IF(D6579="KEEP",COUNTIF($D$2:D6579,"KEEP"),"")</f>
        <v/>
      </c>
      <c r="H6579">
        <f>IF(D6579="REMOVE",COUNTIF($D$2:D6579,"REMOVE"),"")</f>
        <v/>
      </c>
      <c r="I6579">
        <f>IF(E6579="Gmail",COUNTIF($E$2:E6579,"Gmail"),"")</f>
        <v/>
      </c>
      <c r="J6579">
        <f>IF(E6579="Outlook",COUNTIF($E$2:E6579,"Outlook"),"")</f>
        <v/>
      </c>
      <c r="K6579">
        <f>IF(E6579="Domain",COUNTIF($E$2:E6579,"Domain"),"")</f>
        <v/>
      </c>
    </row>
    <row r="6580">
      <c r="A6580" s="2" t="n"/>
      <c r="B6580">
        <f>LOWER(TRIM(A6580))</f>
        <v/>
      </c>
      <c r="C6580">
        <f>IF(B6580="","",IFERROR(INDEX('Bad Patterns'!$A$2:$A$120,MATCH(1,INDEX(--ISNUMBER(SEARCH('Bad Patterns'!$A$2:$A$120,B6580)),0),0)),""))</f>
        <v/>
      </c>
      <c r="D6580">
        <f>IF(B6580="","",IF(C6580&lt;&gt;"","REMOVE","KEEP"))</f>
        <v/>
      </c>
      <c r="E6580">
        <f>IF(D6580&lt;&gt;"KEEP","",IF(RIGHT(B6580,10)="@gmail.com","Gmail",IF(OR(RIGHT(B6580,12)="@outlook.com",RIGHT(B6580,12)="@hotmail.com",RIGHT(B6580,9)="@live.com"),"Outlook","Domain")))</f>
        <v/>
      </c>
      <c r="F6580">
        <f>IF(B6580="","",IFERROR(RIGHT(B6580,LEN(B6580)-FIND("@",B6580)),""))</f>
        <v/>
      </c>
      <c r="G6580">
        <f>IF(D6580="KEEP",COUNTIF($D$2:D6580,"KEEP"),"")</f>
        <v/>
      </c>
      <c r="H6580">
        <f>IF(D6580="REMOVE",COUNTIF($D$2:D6580,"REMOVE"),"")</f>
        <v/>
      </c>
      <c r="I6580">
        <f>IF(E6580="Gmail",COUNTIF($E$2:E6580,"Gmail"),"")</f>
        <v/>
      </c>
      <c r="J6580">
        <f>IF(E6580="Outlook",COUNTIF($E$2:E6580,"Outlook"),"")</f>
        <v/>
      </c>
      <c r="K6580">
        <f>IF(E6580="Domain",COUNTIF($E$2:E6580,"Domain"),"")</f>
        <v/>
      </c>
    </row>
    <row r="6581">
      <c r="A6581" s="2" t="n"/>
      <c r="B6581">
        <f>LOWER(TRIM(A6581))</f>
        <v/>
      </c>
      <c r="C6581">
        <f>IF(B6581="","",IFERROR(INDEX('Bad Patterns'!$A$2:$A$120,MATCH(1,INDEX(--ISNUMBER(SEARCH('Bad Patterns'!$A$2:$A$120,B6581)),0),0)),""))</f>
        <v/>
      </c>
      <c r="D6581">
        <f>IF(B6581="","",IF(C6581&lt;&gt;"","REMOVE","KEEP"))</f>
        <v/>
      </c>
      <c r="E6581">
        <f>IF(D6581&lt;&gt;"KEEP","",IF(RIGHT(B6581,10)="@gmail.com","Gmail",IF(OR(RIGHT(B6581,12)="@outlook.com",RIGHT(B6581,12)="@hotmail.com",RIGHT(B6581,9)="@live.com"),"Outlook","Domain")))</f>
        <v/>
      </c>
      <c r="F6581">
        <f>IF(B6581="","",IFERROR(RIGHT(B6581,LEN(B6581)-FIND("@",B6581)),""))</f>
        <v/>
      </c>
      <c r="G6581">
        <f>IF(D6581="KEEP",COUNTIF($D$2:D6581,"KEEP"),"")</f>
        <v/>
      </c>
      <c r="H6581">
        <f>IF(D6581="REMOVE",COUNTIF($D$2:D6581,"REMOVE"),"")</f>
        <v/>
      </c>
      <c r="I6581">
        <f>IF(E6581="Gmail",COUNTIF($E$2:E6581,"Gmail"),"")</f>
        <v/>
      </c>
      <c r="J6581">
        <f>IF(E6581="Outlook",COUNTIF($E$2:E6581,"Outlook"),"")</f>
        <v/>
      </c>
      <c r="K6581">
        <f>IF(E6581="Domain",COUNTIF($E$2:E6581,"Domain"),"")</f>
        <v/>
      </c>
    </row>
    <row r="6582">
      <c r="A6582" s="2" t="n"/>
      <c r="B6582">
        <f>LOWER(TRIM(A6582))</f>
        <v/>
      </c>
      <c r="C6582">
        <f>IF(B6582="","",IFERROR(INDEX('Bad Patterns'!$A$2:$A$120,MATCH(1,INDEX(--ISNUMBER(SEARCH('Bad Patterns'!$A$2:$A$120,B6582)),0),0)),""))</f>
        <v/>
      </c>
      <c r="D6582">
        <f>IF(B6582="","",IF(C6582&lt;&gt;"","REMOVE","KEEP"))</f>
        <v/>
      </c>
      <c r="E6582">
        <f>IF(D6582&lt;&gt;"KEEP","",IF(RIGHT(B6582,10)="@gmail.com","Gmail",IF(OR(RIGHT(B6582,12)="@outlook.com",RIGHT(B6582,12)="@hotmail.com",RIGHT(B6582,9)="@live.com"),"Outlook","Domain")))</f>
        <v/>
      </c>
      <c r="F6582">
        <f>IF(B6582="","",IFERROR(RIGHT(B6582,LEN(B6582)-FIND("@",B6582)),""))</f>
        <v/>
      </c>
      <c r="G6582">
        <f>IF(D6582="KEEP",COUNTIF($D$2:D6582,"KEEP"),"")</f>
        <v/>
      </c>
      <c r="H6582">
        <f>IF(D6582="REMOVE",COUNTIF($D$2:D6582,"REMOVE"),"")</f>
        <v/>
      </c>
      <c r="I6582">
        <f>IF(E6582="Gmail",COUNTIF($E$2:E6582,"Gmail"),"")</f>
        <v/>
      </c>
      <c r="J6582">
        <f>IF(E6582="Outlook",COUNTIF($E$2:E6582,"Outlook"),"")</f>
        <v/>
      </c>
      <c r="K6582">
        <f>IF(E6582="Domain",COUNTIF($E$2:E6582,"Domain"),"")</f>
        <v/>
      </c>
    </row>
    <row r="6583">
      <c r="A6583" s="2" t="n"/>
      <c r="B6583">
        <f>LOWER(TRIM(A6583))</f>
        <v/>
      </c>
      <c r="C6583">
        <f>IF(B6583="","",IFERROR(INDEX('Bad Patterns'!$A$2:$A$120,MATCH(1,INDEX(--ISNUMBER(SEARCH('Bad Patterns'!$A$2:$A$120,B6583)),0),0)),""))</f>
        <v/>
      </c>
      <c r="D6583">
        <f>IF(B6583="","",IF(C6583&lt;&gt;"","REMOVE","KEEP"))</f>
        <v/>
      </c>
      <c r="E6583">
        <f>IF(D6583&lt;&gt;"KEEP","",IF(RIGHT(B6583,10)="@gmail.com","Gmail",IF(OR(RIGHT(B6583,12)="@outlook.com",RIGHT(B6583,12)="@hotmail.com",RIGHT(B6583,9)="@live.com"),"Outlook","Domain")))</f>
        <v/>
      </c>
      <c r="F6583">
        <f>IF(B6583="","",IFERROR(RIGHT(B6583,LEN(B6583)-FIND("@",B6583)),""))</f>
        <v/>
      </c>
      <c r="G6583">
        <f>IF(D6583="KEEP",COUNTIF($D$2:D6583,"KEEP"),"")</f>
        <v/>
      </c>
      <c r="H6583">
        <f>IF(D6583="REMOVE",COUNTIF($D$2:D6583,"REMOVE"),"")</f>
        <v/>
      </c>
      <c r="I6583">
        <f>IF(E6583="Gmail",COUNTIF($E$2:E6583,"Gmail"),"")</f>
        <v/>
      </c>
      <c r="J6583">
        <f>IF(E6583="Outlook",COUNTIF($E$2:E6583,"Outlook"),"")</f>
        <v/>
      </c>
      <c r="K6583">
        <f>IF(E6583="Domain",COUNTIF($E$2:E6583,"Domain"),"")</f>
        <v/>
      </c>
    </row>
    <row r="6584">
      <c r="A6584" s="2" t="n"/>
      <c r="B6584">
        <f>LOWER(TRIM(A6584))</f>
        <v/>
      </c>
      <c r="C6584">
        <f>IF(B6584="","",IFERROR(INDEX('Bad Patterns'!$A$2:$A$120,MATCH(1,INDEX(--ISNUMBER(SEARCH('Bad Patterns'!$A$2:$A$120,B6584)),0),0)),""))</f>
        <v/>
      </c>
      <c r="D6584">
        <f>IF(B6584="","",IF(C6584&lt;&gt;"","REMOVE","KEEP"))</f>
        <v/>
      </c>
      <c r="E6584">
        <f>IF(D6584&lt;&gt;"KEEP","",IF(RIGHT(B6584,10)="@gmail.com","Gmail",IF(OR(RIGHT(B6584,12)="@outlook.com",RIGHT(B6584,12)="@hotmail.com",RIGHT(B6584,9)="@live.com"),"Outlook","Domain")))</f>
        <v/>
      </c>
      <c r="F6584">
        <f>IF(B6584="","",IFERROR(RIGHT(B6584,LEN(B6584)-FIND("@",B6584)),""))</f>
        <v/>
      </c>
      <c r="G6584">
        <f>IF(D6584="KEEP",COUNTIF($D$2:D6584,"KEEP"),"")</f>
        <v/>
      </c>
      <c r="H6584">
        <f>IF(D6584="REMOVE",COUNTIF($D$2:D6584,"REMOVE"),"")</f>
        <v/>
      </c>
      <c r="I6584">
        <f>IF(E6584="Gmail",COUNTIF($E$2:E6584,"Gmail"),"")</f>
        <v/>
      </c>
      <c r="J6584">
        <f>IF(E6584="Outlook",COUNTIF($E$2:E6584,"Outlook"),"")</f>
        <v/>
      </c>
      <c r="K6584">
        <f>IF(E6584="Domain",COUNTIF($E$2:E6584,"Domain"),"")</f>
        <v/>
      </c>
    </row>
    <row r="6585">
      <c r="A6585" s="2" t="n"/>
      <c r="B6585">
        <f>LOWER(TRIM(A6585))</f>
        <v/>
      </c>
      <c r="C6585">
        <f>IF(B6585="","",IFERROR(INDEX('Bad Patterns'!$A$2:$A$120,MATCH(1,INDEX(--ISNUMBER(SEARCH('Bad Patterns'!$A$2:$A$120,B6585)),0),0)),""))</f>
        <v/>
      </c>
      <c r="D6585">
        <f>IF(B6585="","",IF(C6585&lt;&gt;"","REMOVE","KEEP"))</f>
        <v/>
      </c>
      <c r="E6585">
        <f>IF(D6585&lt;&gt;"KEEP","",IF(RIGHT(B6585,10)="@gmail.com","Gmail",IF(OR(RIGHT(B6585,12)="@outlook.com",RIGHT(B6585,12)="@hotmail.com",RIGHT(B6585,9)="@live.com"),"Outlook","Domain")))</f>
        <v/>
      </c>
      <c r="F6585">
        <f>IF(B6585="","",IFERROR(RIGHT(B6585,LEN(B6585)-FIND("@",B6585)),""))</f>
        <v/>
      </c>
      <c r="G6585">
        <f>IF(D6585="KEEP",COUNTIF($D$2:D6585,"KEEP"),"")</f>
        <v/>
      </c>
      <c r="H6585">
        <f>IF(D6585="REMOVE",COUNTIF($D$2:D6585,"REMOVE"),"")</f>
        <v/>
      </c>
      <c r="I6585">
        <f>IF(E6585="Gmail",COUNTIF($E$2:E6585,"Gmail"),"")</f>
        <v/>
      </c>
      <c r="J6585">
        <f>IF(E6585="Outlook",COUNTIF($E$2:E6585,"Outlook"),"")</f>
        <v/>
      </c>
      <c r="K6585">
        <f>IF(E6585="Domain",COUNTIF($E$2:E6585,"Domain"),"")</f>
        <v/>
      </c>
    </row>
    <row r="6586">
      <c r="A6586" s="2" t="n"/>
      <c r="B6586">
        <f>LOWER(TRIM(A6586))</f>
        <v/>
      </c>
      <c r="C6586">
        <f>IF(B6586="","",IFERROR(INDEX('Bad Patterns'!$A$2:$A$120,MATCH(1,INDEX(--ISNUMBER(SEARCH('Bad Patterns'!$A$2:$A$120,B6586)),0),0)),""))</f>
        <v/>
      </c>
      <c r="D6586">
        <f>IF(B6586="","",IF(C6586&lt;&gt;"","REMOVE","KEEP"))</f>
        <v/>
      </c>
      <c r="E6586">
        <f>IF(D6586&lt;&gt;"KEEP","",IF(RIGHT(B6586,10)="@gmail.com","Gmail",IF(OR(RIGHT(B6586,12)="@outlook.com",RIGHT(B6586,12)="@hotmail.com",RIGHT(B6586,9)="@live.com"),"Outlook","Domain")))</f>
        <v/>
      </c>
      <c r="F6586">
        <f>IF(B6586="","",IFERROR(RIGHT(B6586,LEN(B6586)-FIND("@",B6586)),""))</f>
        <v/>
      </c>
      <c r="G6586">
        <f>IF(D6586="KEEP",COUNTIF($D$2:D6586,"KEEP"),"")</f>
        <v/>
      </c>
      <c r="H6586">
        <f>IF(D6586="REMOVE",COUNTIF($D$2:D6586,"REMOVE"),"")</f>
        <v/>
      </c>
      <c r="I6586">
        <f>IF(E6586="Gmail",COUNTIF($E$2:E6586,"Gmail"),"")</f>
        <v/>
      </c>
      <c r="J6586">
        <f>IF(E6586="Outlook",COUNTIF($E$2:E6586,"Outlook"),"")</f>
        <v/>
      </c>
      <c r="K6586">
        <f>IF(E6586="Domain",COUNTIF($E$2:E6586,"Domain"),"")</f>
        <v/>
      </c>
    </row>
    <row r="6587">
      <c r="A6587" s="2" t="n"/>
      <c r="B6587">
        <f>LOWER(TRIM(A6587))</f>
        <v/>
      </c>
      <c r="C6587">
        <f>IF(B6587="","",IFERROR(INDEX('Bad Patterns'!$A$2:$A$120,MATCH(1,INDEX(--ISNUMBER(SEARCH('Bad Patterns'!$A$2:$A$120,B6587)),0),0)),""))</f>
        <v/>
      </c>
      <c r="D6587">
        <f>IF(B6587="","",IF(C6587&lt;&gt;"","REMOVE","KEEP"))</f>
        <v/>
      </c>
      <c r="E6587">
        <f>IF(D6587&lt;&gt;"KEEP","",IF(RIGHT(B6587,10)="@gmail.com","Gmail",IF(OR(RIGHT(B6587,12)="@outlook.com",RIGHT(B6587,12)="@hotmail.com",RIGHT(B6587,9)="@live.com"),"Outlook","Domain")))</f>
        <v/>
      </c>
      <c r="F6587">
        <f>IF(B6587="","",IFERROR(RIGHT(B6587,LEN(B6587)-FIND("@",B6587)),""))</f>
        <v/>
      </c>
      <c r="G6587">
        <f>IF(D6587="KEEP",COUNTIF($D$2:D6587,"KEEP"),"")</f>
        <v/>
      </c>
      <c r="H6587">
        <f>IF(D6587="REMOVE",COUNTIF($D$2:D6587,"REMOVE"),"")</f>
        <v/>
      </c>
      <c r="I6587">
        <f>IF(E6587="Gmail",COUNTIF($E$2:E6587,"Gmail"),"")</f>
        <v/>
      </c>
      <c r="J6587">
        <f>IF(E6587="Outlook",COUNTIF($E$2:E6587,"Outlook"),"")</f>
        <v/>
      </c>
      <c r="K6587">
        <f>IF(E6587="Domain",COUNTIF($E$2:E6587,"Domain"),"")</f>
        <v/>
      </c>
    </row>
    <row r="6588">
      <c r="A6588" s="2" t="n"/>
      <c r="B6588">
        <f>LOWER(TRIM(A6588))</f>
        <v/>
      </c>
      <c r="C6588">
        <f>IF(B6588="","",IFERROR(INDEX('Bad Patterns'!$A$2:$A$120,MATCH(1,INDEX(--ISNUMBER(SEARCH('Bad Patterns'!$A$2:$A$120,B6588)),0),0)),""))</f>
        <v/>
      </c>
      <c r="D6588">
        <f>IF(B6588="","",IF(C6588&lt;&gt;"","REMOVE","KEEP"))</f>
        <v/>
      </c>
      <c r="E6588">
        <f>IF(D6588&lt;&gt;"KEEP","",IF(RIGHT(B6588,10)="@gmail.com","Gmail",IF(OR(RIGHT(B6588,12)="@outlook.com",RIGHT(B6588,12)="@hotmail.com",RIGHT(B6588,9)="@live.com"),"Outlook","Domain")))</f>
        <v/>
      </c>
      <c r="F6588">
        <f>IF(B6588="","",IFERROR(RIGHT(B6588,LEN(B6588)-FIND("@",B6588)),""))</f>
        <v/>
      </c>
      <c r="G6588">
        <f>IF(D6588="KEEP",COUNTIF($D$2:D6588,"KEEP"),"")</f>
        <v/>
      </c>
      <c r="H6588">
        <f>IF(D6588="REMOVE",COUNTIF($D$2:D6588,"REMOVE"),"")</f>
        <v/>
      </c>
      <c r="I6588">
        <f>IF(E6588="Gmail",COUNTIF($E$2:E6588,"Gmail"),"")</f>
        <v/>
      </c>
      <c r="J6588">
        <f>IF(E6588="Outlook",COUNTIF($E$2:E6588,"Outlook"),"")</f>
        <v/>
      </c>
      <c r="K6588">
        <f>IF(E6588="Domain",COUNTIF($E$2:E6588,"Domain"),"")</f>
        <v/>
      </c>
    </row>
    <row r="6589">
      <c r="A6589" s="2" t="n"/>
      <c r="B6589">
        <f>LOWER(TRIM(A6589))</f>
        <v/>
      </c>
      <c r="C6589">
        <f>IF(B6589="","",IFERROR(INDEX('Bad Patterns'!$A$2:$A$120,MATCH(1,INDEX(--ISNUMBER(SEARCH('Bad Patterns'!$A$2:$A$120,B6589)),0),0)),""))</f>
        <v/>
      </c>
      <c r="D6589">
        <f>IF(B6589="","",IF(C6589&lt;&gt;"","REMOVE","KEEP"))</f>
        <v/>
      </c>
      <c r="E6589">
        <f>IF(D6589&lt;&gt;"KEEP","",IF(RIGHT(B6589,10)="@gmail.com","Gmail",IF(OR(RIGHT(B6589,12)="@outlook.com",RIGHT(B6589,12)="@hotmail.com",RIGHT(B6589,9)="@live.com"),"Outlook","Domain")))</f>
        <v/>
      </c>
      <c r="F6589">
        <f>IF(B6589="","",IFERROR(RIGHT(B6589,LEN(B6589)-FIND("@",B6589)),""))</f>
        <v/>
      </c>
      <c r="G6589">
        <f>IF(D6589="KEEP",COUNTIF($D$2:D6589,"KEEP"),"")</f>
        <v/>
      </c>
      <c r="H6589">
        <f>IF(D6589="REMOVE",COUNTIF($D$2:D6589,"REMOVE"),"")</f>
        <v/>
      </c>
      <c r="I6589">
        <f>IF(E6589="Gmail",COUNTIF($E$2:E6589,"Gmail"),"")</f>
        <v/>
      </c>
      <c r="J6589">
        <f>IF(E6589="Outlook",COUNTIF($E$2:E6589,"Outlook"),"")</f>
        <v/>
      </c>
      <c r="K6589">
        <f>IF(E6589="Domain",COUNTIF($E$2:E6589,"Domain"),"")</f>
        <v/>
      </c>
    </row>
    <row r="6590">
      <c r="A6590" s="2" t="n"/>
      <c r="B6590">
        <f>LOWER(TRIM(A6590))</f>
        <v/>
      </c>
      <c r="C6590">
        <f>IF(B6590="","",IFERROR(INDEX('Bad Patterns'!$A$2:$A$120,MATCH(1,INDEX(--ISNUMBER(SEARCH('Bad Patterns'!$A$2:$A$120,B6590)),0),0)),""))</f>
        <v/>
      </c>
      <c r="D6590">
        <f>IF(B6590="","",IF(C6590&lt;&gt;"","REMOVE","KEEP"))</f>
        <v/>
      </c>
      <c r="E6590">
        <f>IF(D6590&lt;&gt;"KEEP","",IF(RIGHT(B6590,10)="@gmail.com","Gmail",IF(OR(RIGHT(B6590,12)="@outlook.com",RIGHT(B6590,12)="@hotmail.com",RIGHT(B6590,9)="@live.com"),"Outlook","Domain")))</f>
        <v/>
      </c>
      <c r="F6590">
        <f>IF(B6590="","",IFERROR(RIGHT(B6590,LEN(B6590)-FIND("@",B6590)),""))</f>
        <v/>
      </c>
      <c r="G6590">
        <f>IF(D6590="KEEP",COUNTIF($D$2:D6590,"KEEP"),"")</f>
        <v/>
      </c>
      <c r="H6590">
        <f>IF(D6590="REMOVE",COUNTIF($D$2:D6590,"REMOVE"),"")</f>
        <v/>
      </c>
      <c r="I6590">
        <f>IF(E6590="Gmail",COUNTIF($E$2:E6590,"Gmail"),"")</f>
        <v/>
      </c>
      <c r="J6590">
        <f>IF(E6590="Outlook",COUNTIF($E$2:E6590,"Outlook"),"")</f>
        <v/>
      </c>
      <c r="K6590">
        <f>IF(E6590="Domain",COUNTIF($E$2:E6590,"Domain"),"")</f>
        <v/>
      </c>
    </row>
    <row r="6591">
      <c r="A6591" s="2" t="n"/>
      <c r="B6591">
        <f>LOWER(TRIM(A6591))</f>
        <v/>
      </c>
      <c r="C6591">
        <f>IF(B6591="","",IFERROR(INDEX('Bad Patterns'!$A$2:$A$120,MATCH(1,INDEX(--ISNUMBER(SEARCH('Bad Patterns'!$A$2:$A$120,B6591)),0),0)),""))</f>
        <v/>
      </c>
      <c r="D6591">
        <f>IF(B6591="","",IF(C6591&lt;&gt;"","REMOVE","KEEP"))</f>
        <v/>
      </c>
      <c r="E6591">
        <f>IF(D6591&lt;&gt;"KEEP","",IF(RIGHT(B6591,10)="@gmail.com","Gmail",IF(OR(RIGHT(B6591,12)="@outlook.com",RIGHT(B6591,12)="@hotmail.com",RIGHT(B6591,9)="@live.com"),"Outlook","Domain")))</f>
        <v/>
      </c>
      <c r="F6591">
        <f>IF(B6591="","",IFERROR(RIGHT(B6591,LEN(B6591)-FIND("@",B6591)),""))</f>
        <v/>
      </c>
      <c r="G6591">
        <f>IF(D6591="KEEP",COUNTIF($D$2:D6591,"KEEP"),"")</f>
        <v/>
      </c>
      <c r="H6591">
        <f>IF(D6591="REMOVE",COUNTIF($D$2:D6591,"REMOVE"),"")</f>
        <v/>
      </c>
      <c r="I6591">
        <f>IF(E6591="Gmail",COUNTIF($E$2:E6591,"Gmail"),"")</f>
        <v/>
      </c>
      <c r="J6591">
        <f>IF(E6591="Outlook",COUNTIF($E$2:E6591,"Outlook"),"")</f>
        <v/>
      </c>
      <c r="K6591">
        <f>IF(E6591="Domain",COUNTIF($E$2:E6591,"Domain"),"")</f>
        <v/>
      </c>
    </row>
    <row r="6592">
      <c r="A6592" s="2" t="n"/>
      <c r="B6592">
        <f>LOWER(TRIM(A6592))</f>
        <v/>
      </c>
      <c r="C6592">
        <f>IF(B6592="","",IFERROR(INDEX('Bad Patterns'!$A$2:$A$120,MATCH(1,INDEX(--ISNUMBER(SEARCH('Bad Patterns'!$A$2:$A$120,B6592)),0),0)),""))</f>
        <v/>
      </c>
      <c r="D6592">
        <f>IF(B6592="","",IF(C6592&lt;&gt;"","REMOVE","KEEP"))</f>
        <v/>
      </c>
      <c r="E6592">
        <f>IF(D6592&lt;&gt;"KEEP","",IF(RIGHT(B6592,10)="@gmail.com","Gmail",IF(OR(RIGHT(B6592,12)="@outlook.com",RIGHT(B6592,12)="@hotmail.com",RIGHT(B6592,9)="@live.com"),"Outlook","Domain")))</f>
        <v/>
      </c>
      <c r="F6592">
        <f>IF(B6592="","",IFERROR(RIGHT(B6592,LEN(B6592)-FIND("@",B6592)),""))</f>
        <v/>
      </c>
      <c r="G6592">
        <f>IF(D6592="KEEP",COUNTIF($D$2:D6592,"KEEP"),"")</f>
        <v/>
      </c>
      <c r="H6592">
        <f>IF(D6592="REMOVE",COUNTIF($D$2:D6592,"REMOVE"),"")</f>
        <v/>
      </c>
      <c r="I6592">
        <f>IF(E6592="Gmail",COUNTIF($E$2:E6592,"Gmail"),"")</f>
        <v/>
      </c>
      <c r="J6592">
        <f>IF(E6592="Outlook",COUNTIF($E$2:E6592,"Outlook"),"")</f>
        <v/>
      </c>
      <c r="K6592">
        <f>IF(E6592="Domain",COUNTIF($E$2:E6592,"Domain"),"")</f>
        <v/>
      </c>
    </row>
    <row r="6593">
      <c r="A6593" s="2" t="n"/>
      <c r="B6593">
        <f>LOWER(TRIM(A6593))</f>
        <v/>
      </c>
      <c r="C6593">
        <f>IF(B6593="","",IFERROR(INDEX('Bad Patterns'!$A$2:$A$120,MATCH(1,INDEX(--ISNUMBER(SEARCH('Bad Patterns'!$A$2:$A$120,B6593)),0),0)),""))</f>
        <v/>
      </c>
      <c r="D6593">
        <f>IF(B6593="","",IF(C6593&lt;&gt;"","REMOVE","KEEP"))</f>
        <v/>
      </c>
      <c r="E6593">
        <f>IF(D6593&lt;&gt;"KEEP","",IF(RIGHT(B6593,10)="@gmail.com","Gmail",IF(OR(RIGHT(B6593,12)="@outlook.com",RIGHT(B6593,12)="@hotmail.com",RIGHT(B6593,9)="@live.com"),"Outlook","Domain")))</f>
        <v/>
      </c>
      <c r="F6593">
        <f>IF(B6593="","",IFERROR(RIGHT(B6593,LEN(B6593)-FIND("@",B6593)),""))</f>
        <v/>
      </c>
      <c r="G6593">
        <f>IF(D6593="KEEP",COUNTIF($D$2:D6593,"KEEP"),"")</f>
        <v/>
      </c>
      <c r="H6593">
        <f>IF(D6593="REMOVE",COUNTIF($D$2:D6593,"REMOVE"),"")</f>
        <v/>
      </c>
      <c r="I6593">
        <f>IF(E6593="Gmail",COUNTIF($E$2:E6593,"Gmail"),"")</f>
        <v/>
      </c>
      <c r="J6593">
        <f>IF(E6593="Outlook",COUNTIF($E$2:E6593,"Outlook"),"")</f>
        <v/>
      </c>
      <c r="K6593">
        <f>IF(E6593="Domain",COUNTIF($E$2:E6593,"Domain"),"")</f>
        <v/>
      </c>
    </row>
    <row r="6594">
      <c r="A6594" s="2" t="n"/>
      <c r="B6594">
        <f>LOWER(TRIM(A6594))</f>
        <v/>
      </c>
      <c r="C6594">
        <f>IF(B6594="","",IFERROR(INDEX('Bad Patterns'!$A$2:$A$120,MATCH(1,INDEX(--ISNUMBER(SEARCH('Bad Patterns'!$A$2:$A$120,B6594)),0),0)),""))</f>
        <v/>
      </c>
      <c r="D6594">
        <f>IF(B6594="","",IF(C6594&lt;&gt;"","REMOVE","KEEP"))</f>
        <v/>
      </c>
      <c r="E6594">
        <f>IF(D6594&lt;&gt;"KEEP","",IF(RIGHT(B6594,10)="@gmail.com","Gmail",IF(OR(RIGHT(B6594,12)="@outlook.com",RIGHT(B6594,12)="@hotmail.com",RIGHT(B6594,9)="@live.com"),"Outlook","Domain")))</f>
        <v/>
      </c>
      <c r="F6594">
        <f>IF(B6594="","",IFERROR(RIGHT(B6594,LEN(B6594)-FIND("@",B6594)),""))</f>
        <v/>
      </c>
      <c r="G6594">
        <f>IF(D6594="KEEP",COUNTIF($D$2:D6594,"KEEP"),"")</f>
        <v/>
      </c>
      <c r="H6594">
        <f>IF(D6594="REMOVE",COUNTIF($D$2:D6594,"REMOVE"),"")</f>
        <v/>
      </c>
      <c r="I6594">
        <f>IF(E6594="Gmail",COUNTIF($E$2:E6594,"Gmail"),"")</f>
        <v/>
      </c>
      <c r="J6594">
        <f>IF(E6594="Outlook",COUNTIF($E$2:E6594,"Outlook"),"")</f>
        <v/>
      </c>
      <c r="K6594">
        <f>IF(E6594="Domain",COUNTIF($E$2:E6594,"Domain"),"")</f>
        <v/>
      </c>
    </row>
    <row r="6595">
      <c r="A6595" s="2" t="n"/>
      <c r="B6595">
        <f>LOWER(TRIM(A6595))</f>
        <v/>
      </c>
      <c r="C6595">
        <f>IF(B6595="","",IFERROR(INDEX('Bad Patterns'!$A$2:$A$120,MATCH(1,INDEX(--ISNUMBER(SEARCH('Bad Patterns'!$A$2:$A$120,B6595)),0),0)),""))</f>
        <v/>
      </c>
      <c r="D6595">
        <f>IF(B6595="","",IF(C6595&lt;&gt;"","REMOVE","KEEP"))</f>
        <v/>
      </c>
      <c r="E6595">
        <f>IF(D6595&lt;&gt;"KEEP","",IF(RIGHT(B6595,10)="@gmail.com","Gmail",IF(OR(RIGHT(B6595,12)="@outlook.com",RIGHT(B6595,12)="@hotmail.com",RIGHT(B6595,9)="@live.com"),"Outlook","Domain")))</f>
        <v/>
      </c>
      <c r="F6595">
        <f>IF(B6595="","",IFERROR(RIGHT(B6595,LEN(B6595)-FIND("@",B6595)),""))</f>
        <v/>
      </c>
      <c r="G6595">
        <f>IF(D6595="KEEP",COUNTIF($D$2:D6595,"KEEP"),"")</f>
        <v/>
      </c>
      <c r="H6595">
        <f>IF(D6595="REMOVE",COUNTIF($D$2:D6595,"REMOVE"),"")</f>
        <v/>
      </c>
      <c r="I6595">
        <f>IF(E6595="Gmail",COUNTIF($E$2:E6595,"Gmail"),"")</f>
        <v/>
      </c>
      <c r="J6595">
        <f>IF(E6595="Outlook",COUNTIF($E$2:E6595,"Outlook"),"")</f>
        <v/>
      </c>
      <c r="K6595">
        <f>IF(E6595="Domain",COUNTIF($E$2:E6595,"Domain"),"")</f>
        <v/>
      </c>
    </row>
    <row r="6596">
      <c r="A6596" s="2" t="n"/>
      <c r="B6596">
        <f>LOWER(TRIM(A6596))</f>
        <v/>
      </c>
      <c r="C6596">
        <f>IF(B6596="","",IFERROR(INDEX('Bad Patterns'!$A$2:$A$120,MATCH(1,INDEX(--ISNUMBER(SEARCH('Bad Patterns'!$A$2:$A$120,B6596)),0),0)),""))</f>
        <v/>
      </c>
      <c r="D6596">
        <f>IF(B6596="","",IF(C6596&lt;&gt;"","REMOVE","KEEP"))</f>
        <v/>
      </c>
      <c r="E6596">
        <f>IF(D6596&lt;&gt;"KEEP","",IF(RIGHT(B6596,10)="@gmail.com","Gmail",IF(OR(RIGHT(B6596,12)="@outlook.com",RIGHT(B6596,12)="@hotmail.com",RIGHT(B6596,9)="@live.com"),"Outlook","Domain")))</f>
        <v/>
      </c>
      <c r="F6596">
        <f>IF(B6596="","",IFERROR(RIGHT(B6596,LEN(B6596)-FIND("@",B6596)),""))</f>
        <v/>
      </c>
      <c r="G6596">
        <f>IF(D6596="KEEP",COUNTIF($D$2:D6596,"KEEP"),"")</f>
        <v/>
      </c>
      <c r="H6596">
        <f>IF(D6596="REMOVE",COUNTIF($D$2:D6596,"REMOVE"),"")</f>
        <v/>
      </c>
      <c r="I6596">
        <f>IF(E6596="Gmail",COUNTIF($E$2:E6596,"Gmail"),"")</f>
        <v/>
      </c>
      <c r="J6596">
        <f>IF(E6596="Outlook",COUNTIF($E$2:E6596,"Outlook"),"")</f>
        <v/>
      </c>
      <c r="K6596">
        <f>IF(E6596="Domain",COUNTIF($E$2:E6596,"Domain"),"")</f>
        <v/>
      </c>
    </row>
    <row r="6597">
      <c r="A6597" s="2" t="n"/>
      <c r="B6597">
        <f>LOWER(TRIM(A6597))</f>
        <v/>
      </c>
      <c r="C6597">
        <f>IF(B6597="","",IFERROR(INDEX('Bad Patterns'!$A$2:$A$120,MATCH(1,INDEX(--ISNUMBER(SEARCH('Bad Patterns'!$A$2:$A$120,B6597)),0),0)),""))</f>
        <v/>
      </c>
      <c r="D6597">
        <f>IF(B6597="","",IF(C6597&lt;&gt;"","REMOVE","KEEP"))</f>
        <v/>
      </c>
      <c r="E6597">
        <f>IF(D6597&lt;&gt;"KEEP","",IF(RIGHT(B6597,10)="@gmail.com","Gmail",IF(OR(RIGHT(B6597,12)="@outlook.com",RIGHT(B6597,12)="@hotmail.com",RIGHT(B6597,9)="@live.com"),"Outlook","Domain")))</f>
        <v/>
      </c>
      <c r="F6597">
        <f>IF(B6597="","",IFERROR(RIGHT(B6597,LEN(B6597)-FIND("@",B6597)),""))</f>
        <v/>
      </c>
      <c r="G6597">
        <f>IF(D6597="KEEP",COUNTIF($D$2:D6597,"KEEP"),"")</f>
        <v/>
      </c>
      <c r="H6597">
        <f>IF(D6597="REMOVE",COUNTIF($D$2:D6597,"REMOVE"),"")</f>
        <v/>
      </c>
      <c r="I6597">
        <f>IF(E6597="Gmail",COUNTIF($E$2:E6597,"Gmail"),"")</f>
        <v/>
      </c>
      <c r="J6597">
        <f>IF(E6597="Outlook",COUNTIF($E$2:E6597,"Outlook"),"")</f>
        <v/>
      </c>
      <c r="K6597">
        <f>IF(E6597="Domain",COUNTIF($E$2:E6597,"Domain"),"")</f>
        <v/>
      </c>
    </row>
    <row r="6598">
      <c r="A6598" s="2" t="n"/>
      <c r="B6598">
        <f>LOWER(TRIM(A6598))</f>
        <v/>
      </c>
      <c r="C6598">
        <f>IF(B6598="","",IFERROR(INDEX('Bad Patterns'!$A$2:$A$120,MATCH(1,INDEX(--ISNUMBER(SEARCH('Bad Patterns'!$A$2:$A$120,B6598)),0),0)),""))</f>
        <v/>
      </c>
      <c r="D6598">
        <f>IF(B6598="","",IF(C6598&lt;&gt;"","REMOVE","KEEP"))</f>
        <v/>
      </c>
      <c r="E6598">
        <f>IF(D6598&lt;&gt;"KEEP","",IF(RIGHT(B6598,10)="@gmail.com","Gmail",IF(OR(RIGHT(B6598,12)="@outlook.com",RIGHT(B6598,12)="@hotmail.com",RIGHT(B6598,9)="@live.com"),"Outlook","Domain")))</f>
        <v/>
      </c>
      <c r="F6598">
        <f>IF(B6598="","",IFERROR(RIGHT(B6598,LEN(B6598)-FIND("@",B6598)),""))</f>
        <v/>
      </c>
      <c r="G6598">
        <f>IF(D6598="KEEP",COUNTIF($D$2:D6598,"KEEP"),"")</f>
        <v/>
      </c>
      <c r="H6598">
        <f>IF(D6598="REMOVE",COUNTIF($D$2:D6598,"REMOVE"),"")</f>
        <v/>
      </c>
      <c r="I6598">
        <f>IF(E6598="Gmail",COUNTIF($E$2:E6598,"Gmail"),"")</f>
        <v/>
      </c>
      <c r="J6598">
        <f>IF(E6598="Outlook",COUNTIF($E$2:E6598,"Outlook"),"")</f>
        <v/>
      </c>
      <c r="K6598">
        <f>IF(E6598="Domain",COUNTIF($E$2:E6598,"Domain"),"")</f>
        <v/>
      </c>
    </row>
    <row r="6599">
      <c r="A6599" s="2" t="n"/>
      <c r="B6599">
        <f>LOWER(TRIM(A6599))</f>
        <v/>
      </c>
      <c r="C6599">
        <f>IF(B6599="","",IFERROR(INDEX('Bad Patterns'!$A$2:$A$120,MATCH(1,INDEX(--ISNUMBER(SEARCH('Bad Patterns'!$A$2:$A$120,B6599)),0),0)),""))</f>
        <v/>
      </c>
      <c r="D6599">
        <f>IF(B6599="","",IF(C6599&lt;&gt;"","REMOVE","KEEP"))</f>
        <v/>
      </c>
      <c r="E6599">
        <f>IF(D6599&lt;&gt;"KEEP","",IF(RIGHT(B6599,10)="@gmail.com","Gmail",IF(OR(RIGHT(B6599,12)="@outlook.com",RIGHT(B6599,12)="@hotmail.com",RIGHT(B6599,9)="@live.com"),"Outlook","Domain")))</f>
        <v/>
      </c>
      <c r="F6599">
        <f>IF(B6599="","",IFERROR(RIGHT(B6599,LEN(B6599)-FIND("@",B6599)),""))</f>
        <v/>
      </c>
      <c r="G6599">
        <f>IF(D6599="KEEP",COUNTIF($D$2:D6599,"KEEP"),"")</f>
        <v/>
      </c>
      <c r="H6599">
        <f>IF(D6599="REMOVE",COUNTIF($D$2:D6599,"REMOVE"),"")</f>
        <v/>
      </c>
      <c r="I6599">
        <f>IF(E6599="Gmail",COUNTIF($E$2:E6599,"Gmail"),"")</f>
        <v/>
      </c>
      <c r="J6599">
        <f>IF(E6599="Outlook",COUNTIF($E$2:E6599,"Outlook"),"")</f>
        <v/>
      </c>
      <c r="K6599">
        <f>IF(E6599="Domain",COUNTIF($E$2:E6599,"Domain"),"")</f>
        <v/>
      </c>
    </row>
    <row r="6600">
      <c r="A6600" s="2" t="n"/>
      <c r="B6600">
        <f>LOWER(TRIM(A6600))</f>
        <v/>
      </c>
      <c r="C6600">
        <f>IF(B6600="","",IFERROR(INDEX('Bad Patterns'!$A$2:$A$120,MATCH(1,INDEX(--ISNUMBER(SEARCH('Bad Patterns'!$A$2:$A$120,B6600)),0),0)),""))</f>
        <v/>
      </c>
      <c r="D6600">
        <f>IF(B6600="","",IF(C6600&lt;&gt;"","REMOVE","KEEP"))</f>
        <v/>
      </c>
      <c r="E6600">
        <f>IF(D6600&lt;&gt;"KEEP","",IF(RIGHT(B6600,10)="@gmail.com","Gmail",IF(OR(RIGHT(B6600,12)="@outlook.com",RIGHT(B6600,12)="@hotmail.com",RIGHT(B6600,9)="@live.com"),"Outlook","Domain")))</f>
        <v/>
      </c>
      <c r="F6600">
        <f>IF(B6600="","",IFERROR(RIGHT(B6600,LEN(B6600)-FIND("@",B6600)),""))</f>
        <v/>
      </c>
      <c r="G6600">
        <f>IF(D6600="KEEP",COUNTIF($D$2:D6600,"KEEP"),"")</f>
        <v/>
      </c>
      <c r="H6600">
        <f>IF(D6600="REMOVE",COUNTIF($D$2:D6600,"REMOVE"),"")</f>
        <v/>
      </c>
      <c r="I6600">
        <f>IF(E6600="Gmail",COUNTIF($E$2:E6600,"Gmail"),"")</f>
        <v/>
      </c>
      <c r="J6600">
        <f>IF(E6600="Outlook",COUNTIF($E$2:E6600,"Outlook"),"")</f>
        <v/>
      </c>
      <c r="K6600">
        <f>IF(E6600="Domain",COUNTIF($E$2:E6600,"Domain"),"")</f>
        <v/>
      </c>
    </row>
    <row r="6601">
      <c r="A6601" s="2" t="n"/>
      <c r="B6601">
        <f>LOWER(TRIM(A6601))</f>
        <v/>
      </c>
      <c r="C6601">
        <f>IF(B6601="","",IFERROR(INDEX('Bad Patterns'!$A$2:$A$120,MATCH(1,INDEX(--ISNUMBER(SEARCH('Bad Patterns'!$A$2:$A$120,B6601)),0),0)),""))</f>
        <v/>
      </c>
      <c r="D6601">
        <f>IF(B6601="","",IF(C6601&lt;&gt;"","REMOVE","KEEP"))</f>
        <v/>
      </c>
      <c r="E6601">
        <f>IF(D6601&lt;&gt;"KEEP","",IF(RIGHT(B6601,10)="@gmail.com","Gmail",IF(OR(RIGHT(B6601,12)="@outlook.com",RIGHT(B6601,12)="@hotmail.com",RIGHT(B6601,9)="@live.com"),"Outlook","Domain")))</f>
        <v/>
      </c>
      <c r="F6601">
        <f>IF(B6601="","",IFERROR(RIGHT(B6601,LEN(B6601)-FIND("@",B6601)),""))</f>
        <v/>
      </c>
      <c r="G6601">
        <f>IF(D6601="KEEP",COUNTIF($D$2:D6601,"KEEP"),"")</f>
        <v/>
      </c>
      <c r="H6601">
        <f>IF(D6601="REMOVE",COUNTIF($D$2:D6601,"REMOVE"),"")</f>
        <v/>
      </c>
      <c r="I6601">
        <f>IF(E6601="Gmail",COUNTIF($E$2:E6601,"Gmail"),"")</f>
        <v/>
      </c>
      <c r="J6601">
        <f>IF(E6601="Outlook",COUNTIF($E$2:E6601,"Outlook"),"")</f>
        <v/>
      </c>
      <c r="K6601">
        <f>IF(E6601="Domain",COUNTIF($E$2:E6601,"Domain"),"")</f>
        <v/>
      </c>
    </row>
    <row r="6602">
      <c r="A6602" s="2" t="n"/>
      <c r="B6602">
        <f>LOWER(TRIM(A6602))</f>
        <v/>
      </c>
      <c r="C6602">
        <f>IF(B6602="","",IFERROR(INDEX('Bad Patterns'!$A$2:$A$120,MATCH(1,INDEX(--ISNUMBER(SEARCH('Bad Patterns'!$A$2:$A$120,B6602)),0),0)),""))</f>
        <v/>
      </c>
      <c r="D6602">
        <f>IF(B6602="","",IF(C6602&lt;&gt;"","REMOVE","KEEP"))</f>
        <v/>
      </c>
      <c r="E6602">
        <f>IF(D6602&lt;&gt;"KEEP","",IF(RIGHT(B6602,10)="@gmail.com","Gmail",IF(OR(RIGHT(B6602,12)="@outlook.com",RIGHT(B6602,12)="@hotmail.com",RIGHT(B6602,9)="@live.com"),"Outlook","Domain")))</f>
        <v/>
      </c>
      <c r="F6602">
        <f>IF(B6602="","",IFERROR(RIGHT(B6602,LEN(B6602)-FIND("@",B6602)),""))</f>
        <v/>
      </c>
      <c r="G6602">
        <f>IF(D6602="KEEP",COUNTIF($D$2:D6602,"KEEP"),"")</f>
        <v/>
      </c>
      <c r="H6602">
        <f>IF(D6602="REMOVE",COUNTIF($D$2:D6602,"REMOVE"),"")</f>
        <v/>
      </c>
      <c r="I6602">
        <f>IF(E6602="Gmail",COUNTIF($E$2:E6602,"Gmail"),"")</f>
        <v/>
      </c>
      <c r="J6602">
        <f>IF(E6602="Outlook",COUNTIF($E$2:E6602,"Outlook"),"")</f>
        <v/>
      </c>
      <c r="K6602">
        <f>IF(E6602="Domain",COUNTIF($E$2:E6602,"Domain"),"")</f>
        <v/>
      </c>
    </row>
    <row r="6603">
      <c r="A6603" s="2" t="n"/>
      <c r="B6603">
        <f>LOWER(TRIM(A6603))</f>
        <v/>
      </c>
      <c r="C6603">
        <f>IF(B6603="","",IFERROR(INDEX('Bad Patterns'!$A$2:$A$120,MATCH(1,INDEX(--ISNUMBER(SEARCH('Bad Patterns'!$A$2:$A$120,B6603)),0),0)),""))</f>
        <v/>
      </c>
      <c r="D6603">
        <f>IF(B6603="","",IF(C6603&lt;&gt;"","REMOVE","KEEP"))</f>
        <v/>
      </c>
      <c r="E6603">
        <f>IF(D6603&lt;&gt;"KEEP","",IF(RIGHT(B6603,10)="@gmail.com","Gmail",IF(OR(RIGHT(B6603,12)="@outlook.com",RIGHT(B6603,12)="@hotmail.com",RIGHT(B6603,9)="@live.com"),"Outlook","Domain")))</f>
        <v/>
      </c>
      <c r="F6603">
        <f>IF(B6603="","",IFERROR(RIGHT(B6603,LEN(B6603)-FIND("@",B6603)),""))</f>
        <v/>
      </c>
      <c r="G6603">
        <f>IF(D6603="KEEP",COUNTIF($D$2:D6603,"KEEP"),"")</f>
        <v/>
      </c>
      <c r="H6603">
        <f>IF(D6603="REMOVE",COUNTIF($D$2:D6603,"REMOVE"),"")</f>
        <v/>
      </c>
      <c r="I6603">
        <f>IF(E6603="Gmail",COUNTIF($E$2:E6603,"Gmail"),"")</f>
        <v/>
      </c>
      <c r="J6603">
        <f>IF(E6603="Outlook",COUNTIF($E$2:E6603,"Outlook"),"")</f>
        <v/>
      </c>
      <c r="K6603">
        <f>IF(E6603="Domain",COUNTIF($E$2:E6603,"Domain"),"")</f>
        <v/>
      </c>
    </row>
    <row r="6604">
      <c r="A6604" s="2" t="n"/>
      <c r="B6604">
        <f>LOWER(TRIM(A6604))</f>
        <v/>
      </c>
      <c r="C6604">
        <f>IF(B6604="","",IFERROR(INDEX('Bad Patterns'!$A$2:$A$120,MATCH(1,INDEX(--ISNUMBER(SEARCH('Bad Patterns'!$A$2:$A$120,B6604)),0),0)),""))</f>
        <v/>
      </c>
      <c r="D6604">
        <f>IF(B6604="","",IF(C6604&lt;&gt;"","REMOVE","KEEP"))</f>
        <v/>
      </c>
      <c r="E6604">
        <f>IF(D6604&lt;&gt;"KEEP","",IF(RIGHT(B6604,10)="@gmail.com","Gmail",IF(OR(RIGHT(B6604,12)="@outlook.com",RIGHT(B6604,12)="@hotmail.com",RIGHT(B6604,9)="@live.com"),"Outlook","Domain")))</f>
        <v/>
      </c>
      <c r="F6604">
        <f>IF(B6604="","",IFERROR(RIGHT(B6604,LEN(B6604)-FIND("@",B6604)),""))</f>
        <v/>
      </c>
      <c r="G6604">
        <f>IF(D6604="KEEP",COUNTIF($D$2:D6604,"KEEP"),"")</f>
        <v/>
      </c>
      <c r="H6604">
        <f>IF(D6604="REMOVE",COUNTIF($D$2:D6604,"REMOVE"),"")</f>
        <v/>
      </c>
      <c r="I6604">
        <f>IF(E6604="Gmail",COUNTIF($E$2:E6604,"Gmail"),"")</f>
        <v/>
      </c>
      <c r="J6604">
        <f>IF(E6604="Outlook",COUNTIF($E$2:E6604,"Outlook"),"")</f>
        <v/>
      </c>
      <c r="K6604">
        <f>IF(E6604="Domain",COUNTIF($E$2:E6604,"Domain"),"")</f>
        <v/>
      </c>
    </row>
    <row r="6605">
      <c r="A6605" s="2" t="n"/>
      <c r="B6605">
        <f>LOWER(TRIM(A6605))</f>
        <v/>
      </c>
      <c r="C6605">
        <f>IF(B6605="","",IFERROR(INDEX('Bad Patterns'!$A$2:$A$120,MATCH(1,INDEX(--ISNUMBER(SEARCH('Bad Patterns'!$A$2:$A$120,B6605)),0),0)),""))</f>
        <v/>
      </c>
      <c r="D6605">
        <f>IF(B6605="","",IF(C6605&lt;&gt;"","REMOVE","KEEP"))</f>
        <v/>
      </c>
      <c r="E6605">
        <f>IF(D6605&lt;&gt;"KEEP","",IF(RIGHT(B6605,10)="@gmail.com","Gmail",IF(OR(RIGHT(B6605,12)="@outlook.com",RIGHT(B6605,12)="@hotmail.com",RIGHT(B6605,9)="@live.com"),"Outlook","Domain")))</f>
        <v/>
      </c>
      <c r="F6605">
        <f>IF(B6605="","",IFERROR(RIGHT(B6605,LEN(B6605)-FIND("@",B6605)),""))</f>
        <v/>
      </c>
      <c r="G6605">
        <f>IF(D6605="KEEP",COUNTIF($D$2:D6605,"KEEP"),"")</f>
        <v/>
      </c>
      <c r="H6605">
        <f>IF(D6605="REMOVE",COUNTIF($D$2:D6605,"REMOVE"),"")</f>
        <v/>
      </c>
      <c r="I6605">
        <f>IF(E6605="Gmail",COUNTIF($E$2:E6605,"Gmail"),"")</f>
        <v/>
      </c>
      <c r="J6605">
        <f>IF(E6605="Outlook",COUNTIF($E$2:E6605,"Outlook"),"")</f>
        <v/>
      </c>
      <c r="K6605">
        <f>IF(E6605="Domain",COUNTIF($E$2:E6605,"Domain"),"")</f>
        <v/>
      </c>
    </row>
    <row r="6606">
      <c r="A6606" s="2" t="n"/>
      <c r="B6606">
        <f>LOWER(TRIM(A6606))</f>
        <v/>
      </c>
      <c r="C6606">
        <f>IF(B6606="","",IFERROR(INDEX('Bad Patterns'!$A$2:$A$120,MATCH(1,INDEX(--ISNUMBER(SEARCH('Bad Patterns'!$A$2:$A$120,B6606)),0),0)),""))</f>
        <v/>
      </c>
      <c r="D6606">
        <f>IF(B6606="","",IF(C6606&lt;&gt;"","REMOVE","KEEP"))</f>
        <v/>
      </c>
      <c r="E6606">
        <f>IF(D6606&lt;&gt;"KEEP","",IF(RIGHT(B6606,10)="@gmail.com","Gmail",IF(OR(RIGHT(B6606,12)="@outlook.com",RIGHT(B6606,12)="@hotmail.com",RIGHT(B6606,9)="@live.com"),"Outlook","Domain")))</f>
        <v/>
      </c>
      <c r="F6606">
        <f>IF(B6606="","",IFERROR(RIGHT(B6606,LEN(B6606)-FIND("@",B6606)),""))</f>
        <v/>
      </c>
      <c r="G6606">
        <f>IF(D6606="KEEP",COUNTIF($D$2:D6606,"KEEP"),"")</f>
        <v/>
      </c>
      <c r="H6606">
        <f>IF(D6606="REMOVE",COUNTIF($D$2:D6606,"REMOVE"),"")</f>
        <v/>
      </c>
      <c r="I6606">
        <f>IF(E6606="Gmail",COUNTIF($E$2:E6606,"Gmail"),"")</f>
        <v/>
      </c>
      <c r="J6606">
        <f>IF(E6606="Outlook",COUNTIF($E$2:E6606,"Outlook"),"")</f>
        <v/>
      </c>
      <c r="K6606">
        <f>IF(E6606="Domain",COUNTIF($E$2:E6606,"Domain"),"")</f>
        <v/>
      </c>
    </row>
    <row r="6607">
      <c r="A6607" s="2" t="n"/>
      <c r="B6607">
        <f>LOWER(TRIM(A6607))</f>
        <v/>
      </c>
      <c r="C6607">
        <f>IF(B6607="","",IFERROR(INDEX('Bad Patterns'!$A$2:$A$120,MATCH(1,INDEX(--ISNUMBER(SEARCH('Bad Patterns'!$A$2:$A$120,B6607)),0),0)),""))</f>
        <v/>
      </c>
      <c r="D6607">
        <f>IF(B6607="","",IF(C6607&lt;&gt;"","REMOVE","KEEP"))</f>
        <v/>
      </c>
      <c r="E6607">
        <f>IF(D6607&lt;&gt;"KEEP","",IF(RIGHT(B6607,10)="@gmail.com","Gmail",IF(OR(RIGHT(B6607,12)="@outlook.com",RIGHT(B6607,12)="@hotmail.com",RIGHT(B6607,9)="@live.com"),"Outlook","Domain")))</f>
        <v/>
      </c>
      <c r="F6607">
        <f>IF(B6607="","",IFERROR(RIGHT(B6607,LEN(B6607)-FIND("@",B6607)),""))</f>
        <v/>
      </c>
      <c r="G6607">
        <f>IF(D6607="KEEP",COUNTIF($D$2:D6607,"KEEP"),"")</f>
        <v/>
      </c>
      <c r="H6607">
        <f>IF(D6607="REMOVE",COUNTIF($D$2:D6607,"REMOVE"),"")</f>
        <v/>
      </c>
      <c r="I6607">
        <f>IF(E6607="Gmail",COUNTIF($E$2:E6607,"Gmail"),"")</f>
        <v/>
      </c>
      <c r="J6607">
        <f>IF(E6607="Outlook",COUNTIF($E$2:E6607,"Outlook"),"")</f>
        <v/>
      </c>
      <c r="K6607">
        <f>IF(E6607="Domain",COUNTIF($E$2:E6607,"Domain"),"")</f>
        <v/>
      </c>
    </row>
    <row r="6608">
      <c r="A6608" s="2" t="n"/>
      <c r="B6608">
        <f>LOWER(TRIM(A6608))</f>
        <v/>
      </c>
      <c r="C6608">
        <f>IF(B6608="","",IFERROR(INDEX('Bad Patterns'!$A$2:$A$120,MATCH(1,INDEX(--ISNUMBER(SEARCH('Bad Patterns'!$A$2:$A$120,B6608)),0),0)),""))</f>
        <v/>
      </c>
      <c r="D6608">
        <f>IF(B6608="","",IF(C6608&lt;&gt;"","REMOVE","KEEP"))</f>
        <v/>
      </c>
      <c r="E6608">
        <f>IF(D6608&lt;&gt;"KEEP","",IF(RIGHT(B6608,10)="@gmail.com","Gmail",IF(OR(RIGHT(B6608,12)="@outlook.com",RIGHT(B6608,12)="@hotmail.com",RIGHT(B6608,9)="@live.com"),"Outlook","Domain")))</f>
        <v/>
      </c>
      <c r="F6608">
        <f>IF(B6608="","",IFERROR(RIGHT(B6608,LEN(B6608)-FIND("@",B6608)),""))</f>
        <v/>
      </c>
      <c r="G6608">
        <f>IF(D6608="KEEP",COUNTIF($D$2:D6608,"KEEP"),"")</f>
        <v/>
      </c>
      <c r="H6608">
        <f>IF(D6608="REMOVE",COUNTIF($D$2:D6608,"REMOVE"),"")</f>
        <v/>
      </c>
      <c r="I6608">
        <f>IF(E6608="Gmail",COUNTIF($E$2:E6608,"Gmail"),"")</f>
        <v/>
      </c>
      <c r="J6608">
        <f>IF(E6608="Outlook",COUNTIF($E$2:E6608,"Outlook"),"")</f>
        <v/>
      </c>
      <c r="K6608">
        <f>IF(E6608="Domain",COUNTIF($E$2:E6608,"Domain"),"")</f>
        <v/>
      </c>
    </row>
    <row r="6609">
      <c r="A6609" s="2" t="n"/>
      <c r="B6609">
        <f>LOWER(TRIM(A6609))</f>
        <v/>
      </c>
      <c r="C6609">
        <f>IF(B6609="","",IFERROR(INDEX('Bad Patterns'!$A$2:$A$120,MATCH(1,INDEX(--ISNUMBER(SEARCH('Bad Patterns'!$A$2:$A$120,B6609)),0),0)),""))</f>
        <v/>
      </c>
      <c r="D6609">
        <f>IF(B6609="","",IF(C6609&lt;&gt;"","REMOVE","KEEP"))</f>
        <v/>
      </c>
      <c r="E6609">
        <f>IF(D6609&lt;&gt;"KEEP","",IF(RIGHT(B6609,10)="@gmail.com","Gmail",IF(OR(RIGHT(B6609,12)="@outlook.com",RIGHT(B6609,12)="@hotmail.com",RIGHT(B6609,9)="@live.com"),"Outlook","Domain")))</f>
        <v/>
      </c>
      <c r="F6609">
        <f>IF(B6609="","",IFERROR(RIGHT(B6609,LEN(B6609)-FIND("@",B6609)),""))</f>
        <v/>
      </c>
      <c r="G6609">
        <f>IF(D6609="KEEP",COUNTIF($D$2:D6609,"KEEP"),"")</f>
        <v/>
      </c>
      <c r="H6609">
        <f>IF(D6609="REMOVE",COUNTIF($D$2:D6609,"REMOVE"),"")</f>
        <v/>
      </c>
      <c r="I6609">
        <f>IF(E6609="Gmail",COUNTIF($E$2:E6609,"Gmail"),"")</f>
        <v/>
      </c>
      <c r="J6609">
        <f>IF(E6609="Outlook",COUNTIF($E$2:E6609,"Outlook"),"")</f>
        <v/>
      </c>
      <c r="K6609">
        <f>IF(E6609="Domain",COUNTIF($E$2:E6609,"Domain"),"")</f>
        <v/>
      </c>
    </row>
    <row r="6610">
      <c r="A6610" s="2" t="n"/>
      <c r="B6610">
        <f>LOWER(TRIM(A6610))</f>
        <v/>
      </c>
      <c r="C6610">
        <f>IF(B6610="","",IFERROR(INDEX('Bad Patterns'!$A$2:$A$120,MATCH(1,INDEX(--ISNUMBER(SEARCH('Bad Patterns'!$A$2:$A$120,B6610)),0),0)),""))</f>
        <v/>
      </c>
      <c r="D6610">
        <f>IF(B6610="","",IF(C6610&lt;&gt;"","REMOVE","KEEP"))</f>
        <v/>
      </c>
      <c r="E6610">
        <f>IF(D6610&lt;&gt;"KEEP","",IF(RIGHT(B6610,10)="@gmail.com","Gmail",IF(OR(RIGHT(B6610,12)="@outlook.com",RIGHT(B6610,12)="@hotmail.com",RIGHT(B6610,9)="@live.com"),"Outlook","Domain")))</f>
        <v/>
      </c>
      <c r="F6610">
        <f>IF(B6610="","",IFERROR(RIGHT(B6610,LEN(B6610)-FIND("@",B6610)),""))</f>
        <v/>
      </c>
      <c r="G6610">
        <f>IF(D6610="KEEP",COUNTIF($D$2:D6610,"KEEP"),"")</f>
        <v/>
      </c>
      <c r="H6610">
        <f>IF(D6610="REMOVE",COUNTIF($D$2:D6610,"REMOVE"),"")</f>
        <v/>
      </c>
      <c r="I6610">
        <f>IF(E6610="Gmail",COUNTIF($E$2:E6610,"Gmail"),"")</f>
        <v/>
      </c>
      <c r="J6610">
        <f>IF(E6610="Outlook",COUNTIF($E$2:E6610,"Outlook"),"")</f>
        <v/>
      </c>
      <c r="K6610">
        <f>IF(E6610="Domain",COUNTIF($E$2:E6610,"Domain"),"")</f>
        <v/>
      </c>
    </row>
    <row r="6611">
      <c r="A6611" s="2" t="n"/>
      <c r="B6611">
        <f>LOWER(TRIM(A6611))</f>
        <v/>
      </c>
      <c r="C6611">
        <f>IF(B6611="","",IFERROR(INDEX('Bad Patterns'!$A$2:$A$120,MATCH(1,INDEX(--ISNUMBER(SEARCH('Bad Patterns'!$A$2:$A$120,B6611)),0),0)),""))</f>
        <v/>
      </c>
      <c r="D6611">
        <f>IF(B6611="","",IF(C6611&lt;&gt;"","REMOVE","KEEP"))</f>
        <v/>
      </c>
      <c r="E6611">
        <f>IF(D6611&lt;&gt;"KEEP","",IF(RIGHT(B6611,10)="@gmail.com","Gmail",IF(OR(RIGHT(B6611,12)="@outlook.com",RIGHT(B6611,12)="@hotmail.com",RIGHT(B6611,9)="@live.com"),"Outlook","Domain")))</f>
        <v/>
      </c>
      <c r="F6611">
        <f>IF(B6611="","",IFERROR(RIGHT(B6611,LEN(B6611)-FIND("@",B6611)),""))</f>
        <v/>
      </c>
      <c r="G6611">
        <f>IF(D6611="KEEP",COUNTIF($D$2:D6611,"KEEP"),"")</f>
        <v/>
      </c>
      <c r="H6611">
        <f>IF(D6611="REMOVE",COUNTIF($D$2:D6611,"REMOVE"),"")</f>
        <v/>
      </c>
      <c r="I6611">
        <f>IF(E6611="Gmail",COUNTIF($E$2:E6611,"Gmail"),"")</f>
        <v/>
      </c>
      <c r="J6611">
        <f>IF(E6611="Outlook",COUNTIF($E$2:E6611,"Outlook"),"")</f>
        <v/>
      </c>
      <c r="K6611">
        <f>IF(E6611="Domain",COUNTIF($E$2:E6611,"Domain"),"")</f>
        <v/>
      </c>
    </row>
    <row r="6612">
      <c r="A6612" s="2" t="n"/>
      <c r="B6612">
        <f>LOWER(TRIM(A6612))</f>
        <v/>
      </c>
      <c r="C6612">
        <f>IF(B6612="","",IFERROR(INDEX('Bad Patterns'!$A$2:$A$120,MATCH(1,INDEX(--ISNUMBER(SEARCH('Bad Patterns'!$A$2:$A$120,B6612)),0),0)),""))</f>
        <v/>
      </c>
      <c r="D6612">
        <f>IF(B6612="","",IF(C6612&lt;&gt;"","REMOVE","KEEP"))</f>
        <v/>
      </c>
      <c r="E6612">
        <f>IF(D6612&lt;&gt;"KEEP","",IF(RIGHT(B6612,10)="@gmail.com","Gmail",IF(OR(RIGHT(B6612,12)="@outlook.com",RIGHT(B6612,12)="@hotmail.com",RIGHT(B6612,9)="@live.com"),"Outlook","Domain")))</f>
        <v/>
      </c>
      <c r="F6612">
        <f>IF(B6612="","",IFERROR(RIGHT(B6612,LEN(B6612)-FIND("@",B6612)),""))</f>
        <v/>
      </c>
      <c r="G6612">
        <f>IF(D6612="KEEP",COUNTIF($D$2:D6612,"KEEP"),"")</f>
        <v/>
      </c>
      <c r="H6612">
        <f>IF(D6612="REMOVE",COUNTIF($D$2:D6612,"REMOVE"),"")</f>
        <v/>
      </c>
      <c r="I6612">
        <f>IF(E6612="Gmail",COUNTIF($E$2:E6612,"Gmail"),"")</f>
        <v/>
      </c>
      <c r="J6612">
        <f>IF(E6612="Outlook",COUNTIF($E$2:E6612,"Outlook"),"")</f>
        <v/>
      </c>
      <c r="K6612">
        <f>IF(E6612="Domain",COUNTIF($E$2:E6612,"Domain"),"")</f>
        <v/>
      </c>
    </row>
    <row r="6613">
      <c r="A6613" s="2" t="n"/>
      <c r="B6613">
        <f>LOWER(TRIM(A6613))</f>
        <v/>
      </c>
      <c r="C6613">
        <f>IF(B6613="","",IFERROR(INDEX('Bad Patterns'!$A$2:$A$120,MATCH(1,INDEX(--ISNUMBER(SEARCH('Bad Patterns'!$A$2:$A$120,B6613)),0),0)),""))</f>
        <v/>
      </c>
      <c r="D6613">
        <f>IF(B6613="","",IF(C6613&lt;&gt;"","REMOVE","KEEP"))</f>
        <v/>
      </c>
      <c r="E6613">
        <f>IF(D6613&lt;&gt;"KEEP","",IF(RIGHT(B6613,10)="@gmail.com","Gmail",IF(OR(RIGHT(B6613,12)="@outlook.com",RIGHT(B6613,12)="@hotmail.com",RIGHT(B6613,9)="@live.com"),"Outlook","Domain")))</f>
        <v/>
      </c>
      <c r="F6613">
        <f>IF(B6613="","",IFERROR(RIGHT(B6613,LEN(B6613)-FIND("@",B6613)),""))</f>
        <v/>
      </c>
      <c r="G6613">
        <f>IF(D6613="KEEP",COUNTIF($D$2:D6613,"KEEP"),"")</f>
        <v/>
      </c>
      <c r="H6613">
        <f>IF(D6613="REMOVE",COUNTIF($D$2:D6613,"REMOVE"),"")</f>
        <v/>
      </c>
      <c r="I6613">
        <f>IF(E6613="Gmail",COUNTIF($E$2:E6613,"Gmail"),"")</f>
        <v/>
      </c>
      <c r="J6613">
        <f>IF(E6613="Outlook",COUNTIF($E$2:E6613,"Outlook"),"")</f>
        <v/>
      </c>
      <c r="K6613">
        <f>IF(E6613="Domain",COUNTIF($E$2:E6613,"Domain"),"")</f>
        <v/>
      </c>
    </row>
    <row r="6614">
      <c r="A6614" s="2" t="n"/>
      <c r="B6614">
        <f>LOWER(TRIM(A6614))</f>
        <v/>
      </c>
      <c r="C6614">
        <f>IF(B6614="","",IFERROR(INDEX('Bad Patterns'!$A$2:$A$120,MATCH(1,INDEX(--ISNUMBER(SEARCH('Bad Patterns'!$A$2:$A$120,B6614)),0),0)),""))</f>
        <v/>
      </c>
      <c r="D6614">
        <f>IF(B6614="","",IF(C6614&lt;&gt;"","REMOVE","KEEP"))</f>
        <v/>
      </c>
      <c r="E6614">
        <f>IF(D6614&lt;&gt;"KEEP","",IF(RIGHT(B6614,10)="@gmail.com","Gmail",IF(OR(RIGHT(B6614,12)="@outlook.com",RIGHT(B6614,12)="@hotmail.com",RIGHT(B6614,9)="@live.com"),"Outlook","Domain")))</f>
        <v/>
      </c>
      <c r="F6614">
        <f>IF(B6614="","",IFERROR(RIGHT(B6614,LEN(B6614)-FIND("@",B6614)),""))</f>
        <v/>
      </c>
      <c r="G6614">
        <f>IF(D6614="KEEP",COUNTIF($D$2:D6614,"KEEP"),"")</f>
        <v/>
      </c>
      <c r="H6614">
        <f>IF(D6614="REMOVE",COUNTIF($D$2:D6614,"REMOVE"),"")</f>
        <v/>
      </c>
      <c r="I6614">
        <f>IF(E6614="Gmail",COUNTIF($E$2:E6614,"Gmail"),"")</f>
        <v/>
      </c>
      <c r="J6614">
        <f>IF(E6614="Outlook",COUNTIF($E$2:E6614,"Outlook"),"")</f>
        <v/>
      </c>
      <c r="K6614">
        <f>IF(E6614="Domain",COUNTIF($E$2:E6614,"Domain"),"")</f>
        <v/>
      </c>
    </row>
    <row r="6615">
      <c r="A6615" s="2" t="n"/>
      <c r="B6615">
        <f>LOWER(TRIM(A6615))</f>
        <v/>
      </c>
      <c r="C6615">
        <f>IF(B6615="","",IFERROR(INDEX('Bad Patterns'!$A$2:$A$120,MATCH(1,INDEX(--ISNUMBER(SEARCH('Bad Patterns'!$A$2:$A$120,B6615)),0),0)),""))</f>
        <v/>
      </c>
      <c r="D6615">
        <f>IF(B6615="","",IF(C6615&lt;&gt;"","REMOVE","KEEP"))</f>
        <v/>
      </c>
      <c r="E6615">
        <f>IF(D6615&lt;&gt;"KEEP","",IF(RIGHT(B6615,10)="@gmail.com","Gmail",IF(OR(RIGHT(B6615,12)="@outlook.com",RIGHT(B6615,12)="@hotmail.com",RIGHT(B6615,9)="@live.com"),"Outlook","Domain")))</f>
        <v/>
      </c>
      <c r="F6615">
        <f>IF(B6615="","",IFERROR(RIGHT(B6615,LEN(B6615)-FIND("@",B6615)),""))</f>
        <v/>
      </c>
      <c r="G6615">
        <f>IF(D6615="KEEP",COUNTIF($D$2:D6615,"KEEP"),"")</f>
        <v/>
      </c>
      <c r="H6615">
        <f>IF(D6615="REMOVE",COUNTIF($D$2:D6615,"REMOVE"),"")</f>
        <v/>
      </c>
      <c r="I6615">
        <f>IF(E6615="Gmail",COUNTIF($E$2:E6615,"Gmail"),"")</f>
        <v/>
      </c>
      <c r="J6615">
        <f>IF(E6615="Outlook",COUNTIF($E$2:E6615,"Outlook"),"")</f>
        <v/>
      </c>
      <c r="K6615">
        <f>IF(E6615="Domain",COUNTIF($E$2:E6615,"Domain"),"")</f>
        <v/>
      </c>
    </row>
    <row r="6616">
      <c r="A6616" s="2" t="n"/>
      <c r="B6616">
        <f>LOWER(TRIM(A6616))</f>
        <v/>
      </c>
      <c r="C6616">
        <f>IF(B6616="","",IFERROR(INDEX('Bad Patterns'!$A$2:$A$120,MATCH(1,INDEX(--ISNUMBER(SEARCH('Bad Patterns'!$A$2:$A$120,B6616)),0),0)),""))</f>
        <v/>
      </c>
      <c r="D6616">
        <f>IF(B6616="","",IF(C6616&lt;&gt;"","REMOVE","KEEP"))</f>
        <v/>
      </c>
      <c r="E6616">
        <f>IF(D6616&lt;&gt;"KEEP","",IF(RIGHT(B6616,10)="@gmail.com","Gmail",IF(OR(RIGHT(B6616,12)="@outlook.com",RIGHT(B6616,12)="@hotmail.com",RIGHT(B6616,9)="@live.com"),"Outlook","Domain")))</f>
        <v/>
      </c>
      <c r="F6616">
        <f>IF(B6616="","",IFERROR(RIGHT(B6616,LEN(B6616)-FIND("@",B6616)),""))</f>
        <v/>
      </c>
      <c r="G6616">
        <f>IF(D6616="KEEP",COUNTIF($D$2:D6616,"KEEP"),"")</f>
        <v/>
      </c>
      <c r="H6616">
        <f>IF(D6616="REMOVE",COUNTIF($D$2:D6616,"REMOVE"),"")</f>
        <v/>
      </c>
      <c r="I6616">
        <f>IF(E6616="Gmail",COUNTIF($E$2:E6616,"Gmail"),"")</f>
        <v/>
      </c>
      <c r="J6616">
        <f>IF(E6616="Outlook",COUNTIF($E$2:E6616,"Outlook"),"")</f>
        <v/>
      </c>
      <c r="K6616">
        <f>IF(E6616="Domain",COUNTIF($E$2:E6616,"Domain"),"")</f>
        <v/>
      </c>
    </row>
    <row r="6617">
      <c r="A6617" s="2" t="n"/>
      <c r="B6617">
        <f>LOWER(TRIM(A6617))</f>
        <v/>
      </c>
      <c r="C6617">
        <f>IF(B6617="","",IFERROR(INDEX('Bad Patterns'!$A$2:$A$120,MATCH(1,INDEX(--ISNUMBER(SEARCH('Bad Patterns'!$A$2:$A$120,B6617)),0),0)),""))</f>
        <v/>
      </c>
      <c r="D6617">
        <f>IF(B6617="","",IF(C6617&lt;&gt;"","REMOVE","KEEP"))</f>
        <v/>
      </c>
      <c r="E6617">
        <f>IF(D6617&lt;&gt;"KEEP","",IF(RIGHT(B6617,10)="@gmail.com","Gmail",IF(OR(RIGHT(B6617,12)="@outlook.com",RIGHT(B6617,12)="@hotmail.com",RIGHT(B6617,9)="@live.com"),"Outlook","Domain")))</f>
        <v/>
      </c>
      <c r="F6617">
        <f>IF(B6617="","",IFERROR(RIGHT(B6617,LEN(B6617)-FIND("@",B6617)),""))</f>
        <v/>
      </c>
      <c r="G6617">
        <f>IF(D6617="KEEP",COUNTIF($D$2:D6617,"KEEP"),"")</f>
        <v/>
      </c>
      <c r="H6617">
        <f>IF(D6617="REMOVE",COUNTIF($D$2:D6617,"REMOVE"),"")</f>
        <v/>
      </c>
      <c r="I6617">
        <f>IF(E6617="Gmail",COUNTIF($E$2:E6617,"Gmail"),"")</f>
        <v/>
      </c>
      <c r="J6617">
        <f>IF(E6617="Outlook",COUNTIF($E$2:E6617,"Outlook"),"")</f>
        <v/>
      </c>
      <c r="K6617">
        <f>IF(E6617="Domain",COUNTIF($E$2:E6617,"Domain"),"")</f>
        <v/>
      </c>
    </row>
    <row r="6618">
      <c r="A6618" s="2" t="n"/>
      <c r="B6618">
        <f>LOWER(TRIM(A6618))</f>
        <v/>
      </c>
      <c r="C6618">
        <f>IF(B6618="","",IFERROR(INDEX('Bad Patterns'!$A$2:$A$120,MATCH(1,INDEX(--ISNUMBER(SEARCH('Bad Patterns'!$A$2:$A$120,B6618)),0),0)),""))</f>
        <v/>
      </c>
      <c r="D6618">
        <f>IF(B6618="","",IF(C6618&lt;&gt;"","REMOVE","KEEP"))</f>
        <v/>
      </c>
      <c r="E6618">
        <f>IF(D6618&lt;&gt;"KEEP","",IF(RIGHT(B6618,10)="@gmail.com","Gmail",IF(OR(RIGHT(B6618,12)="@outlook.com",RIGHT(B6618,12)="@hotmail.com",RIGHT(B6618,9)="@live.com"),"Outlook","Domain")))</f>
        <v/>
      </c>
      <c r="F6618">
        <f>IF(B6618="","",IFERROR(RIGHT(B6618,LEN(B6618)-FIND("@",B6618)),""))</f>
        <v/>
      </c>
      <c r="G6618">
        <f>IF(D6618="KEEP",COUNTIF($D$2:D6618,"KEEP"),"")</f>
        <v/>
      </c>
      <c r="H6618">
        <f>IF(D6618="REMOVE",COUNTIF($D$2:D6618,"REMOVE"),"")</f>
        <v/>
      </c>
      <c r="I6618">
        <f>IF(E6618="Gmail",COUNTIF($E$2:E6618,"Gmail"),"")</f>
        <v/>
      </c>
      <c r="J6618">
        <f>IF(E6618="Outlook",COUNTIF($E$2:E6618,"Outlook"),"")</f>
        <v/>
      </c>
      <c r="K6618">
        <f>IF(E6618="Domain",COUNTIF($E$2:E6618,"Domain"),"")</f>
        <v/>
      </c>
    </row>
    <row r="6619">
      <c r="A6619" s="2" t="n"/>
      <c r="B6619">
        <f>LOWER(TRIM(A6619))</f>
        <v/>
      </c>
      <c r="C6619">
        <f>IF(B6619="","",IFERROR(INDEX('Bad Patterns'!$A$2:$A$120,MATCH(1,INDEX(--ISNUMBER(SEARCH('Bad Patterns'!$A$2:$A$120,B6619)),0),0)),""))</f>
        <v/>
      </c>
      <c r="D6619">
        <f>IF(B6619="","",IF(C6619&lt;&gt;"","REMOVE","KEEP"))</f>
        <v/>
      </c>
      <c r="E6619">
        <f>IF(D6619&lt;&gt;"KEEP","",IF(RIGHT(B6619,10)="@gmail.com","Gmail",IF(OR(RIGHT(B6619,12)="@outlook.com",RIGHT(B6619,12)="@hotmail.com",RIGHT(B6619,9)="@live.com"),"Outlook","Domain")))</f>
        <v/>
      </c>
      <c r="F6619">
        <f>IF(B6619="","",IFERROR(RIGHT(B6619,LEN(B6619)-FIND("@",B6619)),""))</f>
        <v/>
      </c>
      <c r="G6619">
        <f>IF(D6619="KEEP",COUNTIF($D$2:D6619,"KEEP"),"")</f>
        <v/>
      </c>
      <c r="H6619">
        <f>IF(D6619="REMOVE",COUNTIF($D$2:D6619,"REMOVE"),"")</f>
        <v/>
      </c>
      <c r="I6619">
        <f>IF(E6619="Gmail",COUNTIF($E$2:E6619,"Gmail"),"")</f>
        <v/>
      </c>
      <c r="J6619">
        <f>IF(E6619="Outlook",COUNTIF($E$2:E6619,"Outlook"),"")</f>
        <v/>
      </c>
      <c r="K6619">
        <f>IF(E6619="Domain",COUNTIF($E$2:E6619,"Domain"),"")</f>
        <v/>
      </c>
    </row>
    <row r="6620">
      <c r="A6620" s="2" t="n"/>
      <c r="B6620">
        <f>LOWER(TRIM(A6620))</f>
        <v/>
      </c>
      <c r="C6620">
        <f>IF(B6620="","",IFERROR(INDEX('Bad Patterns'!$A$2:$A$120,MATCH(1,INDEX(--ISNUMBER(SEARCH('Bad Patterns'!$A$2:$A$120,B6620)),0),0)),""))</f>
        <v/>
      </c>
      <c r="D6620">
        <f>IF(B6620="","",IF(C6620&lt;&gt;"","REMOVE","KEEP"))</f>
        <v/>
      </c>
      <c r="E6620">
        <f>IF(D6620&lt;&gt;"KEEP","",IF(RIGHT(B6620,10)="@gmail.com","Gmail",IF(OR(RIGHT(B6620,12)="@outlook.com",RIGHT(B6620,12)="@hotmail.com",RIGHT(B6620,9)="@live.com"),"Outlook","Domain")))</f>
        <v/>
      </c>
      <c r="F6620">
        <f>IF(B6620="","",IFERROR(RIGHT(B6620,LEN(B6620)-FIND("@",B6620)),""))</f>
        <v/>
      </c>
      <c r="G6620">
        <f>IF(D6620="KEEP",COUNTIF($D$2:D6620,"KEEP"),"")</f>
        <v/>
      </c>
      <c r="H6620">
        <f>IF(D6620="REMOVE",COUNTIF($D$2:D6620,"REMOVE"),"")</f>
        <v/>
      </c>
      <c r="I6620">
        <f>IF(E6620="Gmail",COUNTIF($E$2:E6620,"Gmail"),"")</f>
        <v/>
      </c>
      <c r="J6620">
        <f>IF(E6620="Outlook",COUNTIF($E$2:E6620,"Outlook"),"")</f>
        <v/>
      </c>
      <c r="K6620">
        <f>IF(E6620="Domain",COUNTIF($E$2:E6620,"Domain"),"")</f>
        <v/>
      </c>
    </row>
    <row r="6621">
      <c r="A6621" s="2" t="n"/>
      <c r="B6621">
        <f>LOWER(TRIM(A6621))</f>
        <v/>
      </c>
      <c r="C6621">
        <f>IF(B6621="","",IFERROR(INDEX('Bad Patterns'!$A$2:$A$120,MATCH(1,INDEX(--ISNUMBER(SEARCH('Bad Patterns'!$A$2:$A$120,B6621)),0),0)),""))</f>
        <v/>
      </c>
      <c r="D6621">
        <f>IF(B6621="","",IF(C6621&lt;&gt;"","REMOVE","KEEP"))</f>
        <v/>
      </c>
      <c r="E6621">
        <f>IF(D6621&lt;&gt;"KEEP","",IF(RIGHT(B6621,10)="@gmail.com","Gmail",IF(OR(RIGHT(B6621,12)="@outlook.com",RIGHT(B6621,12)="@hotmail.com",RIGHT(B6621,9)="@live.com"),"Outlook","Domain")))</f>
        <v/>
      </c>
      <c r="F6621">
        <f>IF(B6621="","",IFERROR(RIGHT(B6621,LEN(B6621)-FIND("@",B6621)),""))</f>
        <v/>
      </c>
      <c r="G6621">
        <f>IF(D6621="KEEP",COUNTIF($D$2:D6621,"KEEP"),"")</f>
        <v/>
      </c>
      <c r="H6621">
        <f>IF(D6621="REMOVE",COUNTIF($D$2:D6621,"REMOVE"),"")</f>
        <v/>
      </c>
      <c r="I6621">
        <f>IF(E6621="Gmail",COUNTIF($E$2:E6621,"Gmail"),"")</f>
        <v/>
      </c>
      <c r="J6621">
        <f>IF(E6621="Outlook",COUNTIF($E$2:E6621,"Outlook"),"")</f>
        <v/>
      </c>
      <c r="K6621">
        <f>IF(E6621="Domain",COUNTIF($E$2:E6621,"Domain"),"")</f>
        <v/>
      </c>
    </row>
    <row r="6622">
      <c r="A6622" s="2" t="n"/>
      <c r="B6622">
        <f>LOWER(TRIM(A6622))</f>
        <v/>
      </c>
      <c r="C6622">
        <f>IF(B6622="","",IFERROR(INDEX('Bad Patterns'!$A$2:$A$120,MATCH(1,INDEX(--ISNUMBER(SEARCH('Bad Patterns'!$A$2:$A$120,B6622)),0),0)),""))</f>
        <v/>
      </c>
      <c r="D6622">
        <f>IF(B6622="","",IF(C6622&lt;&gt;"","REMOVE","KEEP"))</f>
        <v/>
      </c>
      <c r="E6622">
        <f>IF(D6622&lt;&gt;"KEEP","",IF(RIGHT(B6622,10)="@gmail.com","Gmail",IF(OR(RIGHT(B6622,12)="@outlook.com",RIGHT(B6622,12)="@hotmail.com",RIGHT(B6622,9)="@live.com"),"Outlook","Domain")))</f>
        <v/>
      </c>
      <c r="F6622">
        <f>IF(B6622="","",IFERROR(RIGHT(B6622,LEN(B6622)-FIND("@",B6622)),""))</f>
        <v/>
      </c>
      <c r="G6622">
        <f>IF(D6622="KEEP",COUNTIF($D$2:D6622,"KEEP"),"")</f>
        <v/>
      </c>
      <c r="H6622">
        <f>IF(D6622="REMOVE",COUNTIF($D$2:D6622,"REMOVE"),"")</f>
        <v/>
      </c>
      <c r="I6622">
        <f>IF(E6622="Gmail",COUNTIF($E$2:E6622,"Gmail"),"")</f>
        <v/>
      </c>
      <c r="J6622">
        <f>IF(E6622="Outlook",COUNTIF($E$2:E6622,"Outlook"),"")</f>
        <v/>
      </c>
      <c r="K6622">
        <f>IF(E6622="Domain",COUNTIF($E$2:E6622,"Domain"),"")</f>
        <v/>
      </c>
    </row>
    <row r="6623">
      <c r="A6623" s="2" t="n"/>
      <c r="B6623">
        <f>LOWER(TRIM(A6623))</f>
        <v/>
      </c>
      <c r="C6623">
        <f>IF(B6623="","",IFERROR(INDEX('Bad Patterns'!$A$2:$A$120,MATCH(1,INDEX(--ISNUMBER(SEARCH('Bad Patterns'!$A$2:$A$120,B6623)),0),0)),""))</f>
        <v/>
      </c>
      <c r="D6623">
        <f>IF(B6623="","",IF(C6623&lt;&gt;"","REMOVE","KEEP"))</f>
        <v/>
      </c>
      <c r="E6623">
        <f>IF(D6623&lt;&gt;"KEEP","",IF(RIGHT(B6623,10)="@gmail.com","Gmail",IF(OR(RIGHT(B6623,12)="@outlook.com",RIGHT(B6623,12)="@hotmail.com",RIGHT(B6623,9)="@live.com"),"Outlook","Domain")))</f>
        <v/>
      </c>
      <c r="F6623">
        <f>IF(B6623="","",IFERROR(RIGHT(B6623,LEN(B6623)-FIND("@",B6623)),""))</f>
        <v/>
      </c>
      <c r="G6623">
        <f>IF(D6623="KEEP",COUNTIF($D$2:D6623,"KEEP"),"")</f>
        <v/>
      </c>
      <c r="H6623">
        <f>IF(D6623="REMOVE",COUNTIF($D$2:D6623,"REMOVE"),"")</f>
        <v/>
      </c>
      <c r="I6623">
        <f>IF(E6623="Gmail",COUNTIF($E$2:E6623,"Gmail"),"")</f>
        <v/>
      </c>
      <c r="J6623">
        <f>IF(E6623="Outlook",COUNTIF($E$2:E6623,"Outlook"),"")</f>
        <v/>
      </c>
      <c r="K6623">
        <f>IF(E6623="Domain",COUNTIF($E$2:E6623,"Domain"),"")</f>
        <v/>
      </c>
    </row>
    <row r="6624">
      <c r="A6624" s="2" t="n"/>
      <c r="B6624">
        <f>LOWER(TRIM(A6624))</f>
        <v/>
      </c>
      <c r="C6624">
        <f>IF(B6624="","",IFERROR(INDEX('Bad Patterns'!$A$2:$A$120,MATCH(1,INDEX(--ISNUMBER(SEARCH('Bad Patterns'!$A$2:$A$120,B6624)),0),0)),""))</f>
        <v/>
      </c>
      <c r="D6624">
        <f>IF(B6624="","",IF(C6624&lt;&gt;"","REMOVE","KEEP"))</f>
        <v/>
      </c>
      <c r="E6624">
        <f>IF(D6624&lt;&gt;"KEEP","",IF(RIGHT(B6624,10)="@gmail.com","Gmail",IF(OR(RIGHT(B6624,12)="@outlook.com",RIGHT(B6624,12)="@hotmail.com",RIGHT(B6624,9)="@live.com"),"Outlook","Domain")))</f>
        <v/>
      </c>
      <c r="F6624">
        <f>IF(B6624="","",IFERROR(RIGHT(B6624,LEN(B6624)-FIND("@",B6624)),""))</f>
        <v/>
      </c>
      <c r="G6624">
        <f>IF(D6624="KEEP",COUNTIF($D$2:D6624,"KEEP"),"")</f>
        <v/>
      </c>
      <c r="H6624">
        <f>IF(D6624="REMOVE",COUNTIF($D$2:D6624,"REMOVE"),"")</f>
        <v/>
      </c>
      <c r="I6624">
        <f>IF(E6624="Gmail",COUNTIF($E$2:E6624,"Gmail"),"")</f>
        <v/>
      </c>
      <c r="J6624">
        <f>IF(E6624="Outlook",COUNTIF($E$2:E6624,"Outlook"),"")</f>
        <v/>
      </c>
      <c r="K6624">
        <f>IF(E6624="Domain",COUNTIF($E$2:E6624,"Domain"),"")</f>
        <v/>
      </c>
    </row>
    <row r="6625">
      <c r="A6625" s="2" t="n"/>
      <c r="B6625">
        <f>LOWER(TRIM(A6625))</f>
        <v/>
      </c>
      <c r="C6625">
        <f>IF(B6625="","",IFERROR(INDEX('Bad Patterns'!$A$2:$A$120,MATCH(1,INDEX(--ISNUMBER(SEARCH('Bad Patterns'!$A$2:$A$120,B6625)),0),0)),""))</f>
        <v/>
      </c>
      <c r="D6625">
        <f>IF(B6625="","",IF(C6625&lt;&gt;"","REMOVE","KEEP"))</f>
        <v/>
      </c>
      <c r="E6625">
        <f>IF(D6625&lt;&gt;"KEEP","",IF(RIGHT(B6625,10)="@gmail.com","Gmail",IF(OR(RIGHT(B6625,12)="@outlook.com",RIGHT(B6625,12)="@hotmail.com",RIGHT(B6625,9)="@live.com"),"Outlook","Domain")))</f>
        <v/>
      </c>
      <c r="F6625">
        <f>IF(B6625="","",IFERROR(RIGHT(B6625,LEN(B6625)-FIND("@",B6625)),""))</f>
        <v/>
      </c>
      <c r="G6625">
        <f>IF(D6625="KEEP",COUNTIF($D$2:D6625,"KEEP"),"")</f>
        <v/>
      </c>
      <c r="H6625">
        <f>IF(D6625="REMOVE",COUNTIF($D$2:D6625,"REMOVE"),"")</f>
        <v/>
      </c>
      <c r="I6625">
        <f>IF(E6625="Gmail",COUNTIF($E$2:E6625,"Gmail"),"")</f>
        <v/>
      </c>
      <c r="J6625">
        <f>IF(E6625="Outlook",COUNTIF($E$2:E6625,"Outlook"),"")</f>
        <v/>
      </c>
      <c r="K6625">
        <f>IF(E6625="Domain",COUNTIF($E$2:E6625,"Domain"),"")</f>
        <v/>
      </c>
    </row>
    <row r="6626">
      <c r="A6626" s="2" t="n"/>
      <c r="B6626">
        <f>LOWER(TRIM(A6626))</f>
        <v/>
      </c>
      <c r="C6626">
        <f>IF(B6626="","",IFERROR(INDEX('Bad Patterns'!$A$2:$A$120,MATCH(1,INDEX(--ISNUMBER(SEARCH('Bad Patterns'!$A$2:$A$120,B6626)),0),0)),""))</f>
        <v/>
      </c>
      <c r="D6626">
        <f>IF(B6626="","",IF(C6626&lt;&gt;"","REMOVE","KEEP"))</f>
        <v/>
      </c>
      <c r="E6626">
        <f>IF(D6626&lt;&gt;"KEEP","",IF(RIGHT(B6626,10)="@gmail.com","Gmail",IF(OR(RIGHT(B6626,12)="@outlook.com",RIGHT(B6626,12)="@hotmail.com",RIGHT(B6626,9)="@live.com"),"Outlook","Domain")))</f>
        <v/>
      </c>
      <c r="F6626">
        <f>IF(B6626="","",IFERROR(RIGHT(B6626,LEN(B6626)-FIND("@",B6626)),""))</f>
        <v/>
      </c>
      <c r="G6626">
        <f>IF(D6626="KEEP",COUNTIF($D$2:D6626,"KEEP"),"")</f>
        <v/>
      </c>
      <c r="H6626">
        <f>IF(D6626="REMOVE",COUNTIF($D$2:D6626,"REMOVE"),"")</f>
        <v/>
      </c>
      <c r="I6626">
        <f>IF(E6626="Gmail",COUNTIF($E$2:E6626,"Gmail"),"")</f>
        <v/>
      </c>
      <c r="J6626">
        <f>IF(E6626="Outlook",COUNTIF($E$2:E6626,"Outlook"),"")</f>
        <v/>
      </c>
      <c r="K6626">
        <f>IF(E6626="Domain",COUNTIF($E$2:E6626,"Domain"),"")</f>
        <v/>
      </c>
    </row>
    <row r="6627">
      <c r="A6627" s="2" t="n"/>
      <c r="B6627">
        <f>LOWER(TRIM(A6627))</f>
        <v/>
      </c>
      <c r="C6627">
        <f>IF(B6627="","",IFERROR(INDEX('Bad Patterns'!$A$2:$A$120,MATCH(1,INDEX(--ISNUMBER(SEARCH('Bad Patterns'!$A$2:$A$120,B6627)),0),0)),""))</f>
        <v/>
      </c>
      <c r="D6627">
        <f>IF(B6627="","",IF(C6627&lt;&gt;"","REMOVE","KEEP"))</f>
        <v/>
      </c>
      <c r="E6627">
        <f>IF(D6627&lt;&gt;"KEEP","",IF(RIGHT(B6627,10)="@gmail.com","Gmail",IF(OR(RIGHT(B6627,12)="@outlook.com",RIGHT(B6627,12)="@hotmail.com",RIGHT(B6627,9)="@live.com"),"Outlook","Domain")))</f>
        <v/>
      </c>
      <c r="F6627">
        <f>IF(B6627="","",IFERROR(RIGHT(B6627,LEN(B6627)-FIND("@",B6627)),""))</f>
        <v/>
      </c>
      <c r="G6627">
        <f>IF(D6627="KEEP",COUNTIF($D$2:D6627,"KEEP"),"")</f>
        <v/>
      </c>
      <c r="H6627">
        <f>IF(D6627="REMOVE",COUNTIF($D$2:D6627,"REMOVE"),"")</f>
        <v/>
      </c>
      <c r="I6627">
        <f>IF(E6627="Gmail",COUNTIF($E$2:E6627,"Gmail"),"")</f>
        <v/>
      </c>
      <c r="J6627">
        <f>IF(E6627="Outlook",COUNTIF($E$2:E6627,"Outlook"),"")</f>
        <v/>
      </c>
      <c r="K6627">
        <f>IF(E6627="Domain",COUNTIF($E$2:E6627,"Domain"),"")</f>
        <v/>
      </c>
    </row>
    <row r="6628">
      <c r="A6628" s="2" t="n"/>
      <c r="B6628">
        <f>LOWER(TRIM(A6628))</f>
        <v/>
      </c>
      <c r="C6628">
        <f>IF(B6628="","",IFERROR(INDEX('Bad Patterns'!$A$2:$A$120,MATCH(1,INDEX(--ISNUMBER(SEARCH('Bad Patterns'!$A$2:$A$120,B6628)),0),0)),""))</f>
        <v/>
      </c>
      <c r="D6628">
        <f>IF(B6628="","",IF(C6628&lt;&gt;"","REMOVE","KEEP"))</f>
        <v/>
      </c>
      <c r="E6628">
        <f>IF(D6628&lt;&gt;"KEEP","",IF(RIGHT(B6628,10)="@gmail.com","Gmail",IF(OR(RIGHT(B6628,12)="@outlook.com",RIGHT(B6628,12)="@hotmail.com",RIGHT(B6628,9)="@live.com"),"Outlook","Domain")))</f>
        <v/>
      </c>
      <c r="F6628">
        <f>IF(B6628="","",IFERROR(RIGHT(B6628,LEN(B6628)-FIND("@",B6628)),""))</f>
        <v/>
      </c>
      <c r="G6628">
        <f>IF(D6628="KEEP",COUNTIF($D$2:D6628,"KEEP"),"")</f>
        <v/>
      </c>
      <c r="H6628">
        <f>IF(D6628="REMOVE",COUNTIF($D$2:D6628,"REMOVE"),"")</f>
        <v/>
      </c>
      <c r="I6628">
        <f>IF(E6628="Gmail",COUNTIF($E$2:E6628,"Gmail"),"")</f>
        <v/>
      </c>
      <c r="J6628">
        <f>IF(E6628="Outlook",COUNTIF($E$2:E6628,"Outlook"),"")</f>
        <v/>
      </c>
      <c r="K6628">
        <f>IF(E6628="Domain",COUNTIF($E$2:E6628,"Domain"),"")</f>
        <v/>
      </c>
    </row>
    <row r="6629">
      <c r="A6629" s="2" t="n"/>
      <c r="B6629">
        <f>LOWER(TRIM(A6629))</f>
        <v/>
      </c>
      <c r="C6629">
        <f>IF(B6629="","",IFERROR(INDEX('Bad Patterns'!$A$2:$A$120,MATCH(1,INDEX(--ISNUMBER(SEARCH('Bad Patterns'!$A$2:$A$120,B6629)),0),0)),""))</f>
        <v/>
      </c>
      <c r="D6629">
        <f>IF(B6629="","",IF(C6629&lt;&gt;"","REMOVE","KEEP"))</f>
        <v/>
      </c>
      <c r="E6629">
        <f>IF(D6629&lt;&gt;"KEEP","",IF(RIGHT(B6629,10)="@gmail.com","Gmail",IF(OR(RIGHT(B6629,12)="@outlook.com",RIGHT(B6629,12)="@hotmail.com",RIGHT(B6629,9)="@live.com"),"Outlook","Domain")))</f>
        <v/>
      </c>
      <c r="F6629">
        <f>IF(B6629="","",IFERROR(RIGHT(B6629,LEN(B6629)-FIND("@",B6629)),""))</f>
        <v/>
      </c>
      <c r="G6629">
        <f>IF(D6629="KEEP",COUNTIF($D$2:D6629,"KEEP"),"")</f>
        <v/>
      </c>
      <c r="H6629">
        <f>IF(D6629="REMOVE",COUNTIF($D$2:D6629,"REMOVE"),"")</f>
        <v/>
      </c>
      <c r="I6629">
        <f>IF(E6629="Gmail",COUNTIF($E$2:E6629,"Gmail"),"")</f>
        <v/>
      </c>
      <c r="J6629">
        <f>IF(E6629="Outlook",COUNTIF($E$2:E6629,"Outlook"),"")</f>
        <v/>
      </c>
      <c r="K6629">
        <f>IF(E6629="Domain",COUNTIF($E$2:E6629,"Domain"),"")</f>
        <v/>
      </c>
    </row>
    <row r="6630">
      <c r="A6630" s="2" t="n"/>
      <c r="B6630">
        <f>LOWER(TRIM(A6630))</f>
        <v/>
      </c>
      <c r="C6630">
        <f>IF(B6630="","",IFERROR(INDEX('Bad Patterns'!$A$2:$A$120,MATCH(1,INDEX(--ISNUMBER(SEARCH('Bad Patterns'!$A$2:$A$120,B6630)),0),0)),""))</f>
        <v/>
      </c>
      <c r="D6630">
        <f>IF(B6630="","",IF(C6630&lt;&gt;"","REMOVE","KEEP"))</f>
        <v/>
      </c>
      <c r="E6630">
        <f>IF(D6630&lt;&gt;"KEEP","",IF(RIGHT(B6630,10)="@gmail.com","Gmail",IF(OR(RIGHT(B6630,12)="@outlook.com",RIGHT(B6630,12)="@hotmail.com",RIGHT(B6630,9)="@live.com"),"Outlook","Domain")))</f>
        <v/>
      </c>
      <c r="F6630">
        <f>IF(B6630="","",IFERROR(RIGHT(B6630,LEN(B6630)-FIND("@",B6630)),""))</f>
        <v/>
      </c>
      <c r="G6630">
        <f>IF(D6630="KEEP",COUNTIF($D$2:D6630,"KEEP"),"")</f>
        <v/>
      </c>
      <c r="H6630">
        <f>IF(D6630="REMOVE",COUNTIF($D$2:D6630,"REMOVE"),"")</f>
        <v/>
      </c>
      <c r="I6630">
        <f>IF(E6630="Gmail",COUNTIF($E$2:E6630,"Gmail"),"")</f>
        <v/>
      </c>
      <c r="J6630">
        <f>IF(E6630="Outlook",COUNTIF($E$2:E6630,"Outlook"),"")</f>
        <v/>
      </c>
      <c r="K6630">
        <f>IF(E6630="Domain",COUNTIF($E$2:E6630,"Domain"),"")</f>
        <v/>
      </c>
    </row>
    <row r="6631">
      <c r="A6631" s="2" t="n"/>
      <c r="B6631">
        <f>LOWER(TRIM(A6631))</f>
        <v/>
      </c>
      <c r="C6631">
        <f>IF(B6631="","",IFERROR(INDEX('Bad Patterns'!$A$2:$A$120,MATCH(1,INDEX(--ISNUMBER(SEARCH('Bad Patterns'!$A$2:$A$120,B6631)),0),0)),""))</f>
        <v/>
      </c>
      <c r="D6631">
        <f>IF(B6631="","",IF(C6631&lt;&gt;"","REMOVE","KEEP"))</f>
        <v/>
      </c>
      <c r="E6631">
        <f>IF(D6631&lt;&gt;"KEEP","",IF(RIGHT(B6631,10)="@gmail.com","Gmail",IF(OR(RIGHT(B6631,12)="@outlook.com",RIGHT(B6631,12)="@hotmail.com",RIGHT(B6631,9)="@live.com"),"Outlook","Domain")))</f>
        <v/>
      </c>
      <c r="F6631">
        <f>IF(B6631="","",IFERROR(RIGHT(B6631,LEN(B6631)-FIND("@",B6631)),""))</f>
        <v/>
      </c>
      <c r="G6631">
        <f>IF(D6631="KEEP",COUNTIF($D$2:D6631,"KEEP"),"")</f>
        <v/>
      </c>
      <c r="H6631">
        <f>IF(D6631="REMOVE",COUNTIF($D$2:D6631,"REMOVE"),"")</f>
        <v/>
      </c>
      <c r="I6631">
        <f>IF(E6631="Gmail",COUNTIF($E$2:E6631,"Gmail"),"")</f>
        <v/>
      </c>
      <c r="J6631">
        <f>IF(E6631="Outlook",COUNTIF($E$2:E6631,"Outlook"),"")</f>
        <v/>
      </c>
      <c r="K6631">
        <f>IF(E6631="Domain",COUNTIF($E$2:E6631,"Domain"),"")</f>
        <v/>
      </c>
    </row>
    <row r="6632">
      <c r="A6632" s="2" t="n"/>
      <c r="B6632">
        <f>LOWER(TRIM(A6632))</f>
        <v/>
      </c>
      <c r="C6632">
        <f>IF(B6632="","",IFERROR(INDEX('Bad Patterns'!$A$2:$A$120,MATCH(1,INDEX(--ISNUMBER(SEARCH('Bad Patterns'!$A$2:$A$120,B6632)),0),0)),""))</f>
        <v/>
      </c>
      <c r="D6632">
        <f>IF(B6632="","",IF(C6632&lt;&gt;"","REMOVE","KEEP"))</f>
        <v/>
      </c>
      <c r="E6632">
        <f>IF(D6632&lt;&gt;"KEEP","",IF(RIGHT(B6632,10)="@gmail.com","Gmail",IF(OR(RIGHT(B6632,12)="@outlook.com",RIGHT(B6632,12)="@hotmail.com",RIGHT(B6632,9)="@live.com"),"Outlook","Domain")))</f>
        <v/>
      </c>
      <c r="F6632">
        <f>IF(B6632="","",IFERROR(RIGHT(B6632,LEN(B6632)-FIND("@",B6632)),""))</f>
        <v/>
      </c>
      <c r="G6632">
        <f>IF(D6632="KEEP",COUNTIF($D$2:D6632,"KEEP"),"")</f>
        <v/>
      </c>
      <c r="H6632">
        <f>IF(D6632="REMOVE",COUNTIF($D$2:D6632,"REMOVE"),"")</f>
        <v/>
      </c>
      <c r="I6632">
        <f>IF(E6632="Gmail",COUNTIF($E$2:E6632,"Gmail"),"")</f>
        <v/>
      </c>
      <c r="J6632">
        <f>IF(E6632="Outlook",COUNTIF($E$2:E6632,"Outlook"),"")</f>
        <v/>
      </c>
      <c r="K6632">
        <f>IF(E6632="Domain",COUNTIF($E$2:E6632,"Domain"),"")</f>
        <v/>
      </c>
    </row>
    <row r="6633">
      <c r="A6633" s="2" t="n"/>
      <c r="B6633">
        <f>LOWER(TRIM(A6633))</f>
        <v/>
      </c>
      <c r="C6633">
        <f>IF(B6633="","",IFERROR(INDEX('Bad Patterns'!$A$2:$A$120,MATCH(1,INDEX(--ISNUMBER(SEARCH('Bad Patterns'!$A$2:$A$120,B6633)),0),0)),""))</f>
        <v/>
      </c>
      <c r="D6633">
        <f>IF(B6633="","",IF(C6633&lt;&gt;"","REMOVE","KEEP"))</f>
        <v/>
      </c>
      <c r="E6633">
        <f>IF(D6633&lt;&gt;"KEEP","",IF(RIGHT(B6633,10)="@gmail.com","Gmail",IF(OR(RIGHT(B6633,12)="@outlook.com",RIGHT(B6633,12)="@hotmail.com",RIGHT(B6633,9)="@live.com"),"Outlook","Domain")))</f>
        <v/>
      </c>
      <c r="F6633">
        <f>IF(B6633="","",IFERROR(RIGHT(B6633,LEN(B6633)-FIND("@",B6633)),""))</f>
        <v/>
      </c>
      <c r="G6633">
        <f>IF(D6633="KEEP",COUNTIF($D$2:D6633,"KEEP"),"")</f>
        <v/>
      </c>
      <c r="H6633">
        <f>IF(D6633="REMOVE",COUNTIF($D$2:D6633,"REMOVE"),"")</f>
        <v/>
      </c>
      <c r="I6633">
        <f>IF(E6633="Gmail",COUNTIF($E$2:E6633,"Gmail"),"")</f>
        <v/>
      </c>
      <c r="J6633">
        <f>IF(E6633="Outlook",COUNTIF($E$2:E6633,"Outlook"),"")</f>
        <v/>
      </c>
      <c r="K6633">
        <f>IF(E6633="Domain",COUNTIF($E$2:E6633,"Domain"),"")</f>
        <v/>
      </c>
    </row>
    <row r="6634">
      <c r="A6634" s="2" t="n"/>
      <c r="B6634">
        <f>LOWER(TRIM(A6634))</f>
        <v/>
      </c>
      <c r="C6634">
        <f>IF(B6634="","",IFERROR(INDEX('Bad Patterns'!$A$2:$A$120,MATCH(1,INDEX(--ISNUMBER(SEARCH('Bad Patterns'!$A$2:$A$120,B6634)),0),0)),""))</f>
        <v/>
      </c>
      <c r="D6634">
        <f>IF(B6634="","",IF(C6634&lt;&gt;"","REMOVE","KEEP"))</f>
        <v/>
      </c>
      <c r="E6634">
        <f>IF(D6634&lt;&gt;"KEEP","",IF(RIGHT(B6634,10)="@gmail.com","Gmail",IF(OR(RIGHT(B6634,12)="@outlook.com",RIGHT(B6634,12)="@hotmail.com",RIGHT(B6634,9)="@live.com"),"Outlook","Domain")))</f>
        <v/>
      </c>
      <c r="F6634">
        <f>IF(B6634="","",IFERROR(RIGHT(B6634,LEN(B6634)-FIND("@",B6634)),""))</f>
        <v/>
      </c>
      <c r="G6634">
        <f>IF(D6634="KEEP",COUNTIF($D$2:D6634,"KEEP"),"")</f>
        <v/>
      </c>
      <c r="H6634">
        <f>IF(D6634="REMOVE",COUNTIF($D$2:D6634,"REMOVE"),"")</f>
        <v/>
      </c>
      <c r="I6634">
        <f>IF(E6634="Gmail",COUNTIF($E$2:E6634,"Gmail"),"")</f>
        <v/>
      </c>
      <c r="J6634">
        <f>IF(E6634="Outlook",COUNTIF($E$2:E6634,"Outlook"),"")</f>
        <v/>
      </c>
      <c r="K6634">
        <f>IF(E6634="Domain",COUNTIF($E$2:E6634,"Domain"),"")</f>
        <v/>
      </c>
    </row>
    <row r="6635">
      <c r="A6635" s="2" t="n"/>
      <c r="B6635">
        <f>LOWER(TRIM(A6635))</f>
        <v/>
      </c>
      <c r="C6635">
        <f>IF(B6635="","",IFERROR(INDEX('Bad Patterns'!$A$2:$A$120,MATCH(1,INDEX(--ISNUMBER(SEARCH('Bad Patterns'!$A$2:$A$120,B6635)),0),0)),""))</f>
        <v/>
      </c>
      <c r="D6635">
        <f>IF(B6635="","",IF(C6635&lt;&gt;"","REMOVE","KEEP"))</f>
        <v/>
      </c>
      <c r="E6635">
        <f>IF(D6635&lt;&gt;"KEEP","",IF(RIGHT(B6635,10)="@gmail.com","Gmail",IF(OR(RIGHT(B6635,12)="@outlook.com",RIGHT(B6635,12)="@hotmail.com",RIGHT(B6635,9)="@live.com"),"Outlook","Domain")))</f>
        <v/>
      </c>
      <c r="F6635">
        <f>IF(B6635="","",IFERROR(RIGHT(B6635,LEN(B6635)-FIND("@",B6635)),""))</f>
        <v/>
      </c>
      <c r="G6635">
        <f>IF(D6635="KEEP",COUNTIF($D$2:D6635,"KEEP"),"")</f>
        <v/>
      </c>
      <c r="H6635">
        <f>IF(D6635="REMOVE",COUNTIF($D$2:D6635,"REMOVE"),"")</f>
        <v/>
      </c>
      <c r="I6635">
        <f>IF(E6635="Gmail",COUNTIF($E$2:E6635,"Gmail"),"")</f>
        <v/>
      </c>
      <c r="J6635">
        <f>IF(E6635="Outlook",COUNTIF($E$2:E6635,"Outlook"),"")</f>
        <v/>
      </c>
      <c r="K6635">
        <f>IF(E6635="Domain",COUNTIF($E$2:E6635,"Domain"),"")</f>
        <v/>
      </c>
    </row>
    <row r="6636">
      <c r="A6636" s="2" t="n"/>
      <c r="B6636">
        <f>LOWER(TRIM(A6636))</f>
        <v/>
      </c>
      <c r="C6636">
        <f>IF(B6636="","",IFERROR(INDEX('Bad Patterns'!$A$2:$A$120,MATCH(1,INDEX(--ISNUMBER(SEARCH('Bad Patterns'!$A$2:$A$120,B6636)),0),0)),""))</f>
        <v/>
      </c>
      <c r="D6636">
        <f>IF(B6636="","",IF(C6636&lt;&gt;"","REMOVE","KEEP"))</f>
        <v/>
      </c>
      <c r="E6636">
        <f>IF(D6636&lt;&gt;"KEEP","",IF(RIGHT(B6636,10)="@gmail.com","Gmail",IF(OR(RIGHT(B6636,12)="@outlook.com",RIGHT(B6636,12)="@hotmail.com",RIGHT(B6636,9)="@live.com"),"Outlook","Domain")))</f>
        <v/>
      </c>
      <c r="F6636">
        <f>IF(B6636="","",IFERROR(RIGHT(B6636,LEN(B6636)-FIND("@",B6636)),""))</f>
        <v/>
      </c>
      <c r="G6636">
        <f>IF(D6636="KEEP",COUNTIF($D$2:D6636,"KEEP"),"")</f>
        <v/>
      </c>
      <c r="H6636">
        <f>IF(D6636="REMOVE",COUNTIF($D$2:D6636,"REMOVE"),"")</f>
        <v/>
      </c>
      <c r="I6636">
        <f>IF(E6636="Gmail",COUNTIF($E$2:E6636,"Gmail"),"")</f>
        <v/>
      </c>
      <c r="J6636">
        <f>IF(E6636="Outlook",COUNTIF($E$2:E6636,"Outlook"),"")</f>
        <v/>
      </c>
      <c r="K6636">
        <f>IF(E6636="Domain",COUNTIF($E$2:E6636,"Domain"),"")</f>
        <v/>
      </c>
    </row>
    <row r="6637">
      <c r="A6637" s="2" t="n"/>
      <c r="B6637">
        <f>LOWER(TRIM(A6637))</f>
        <v/>
      </c>
      <c r="C6637">
        <f>IF(B6637="","",IFERROR(INDEX('Bad Patterns'!$A$2:$A$120,MATCH(1,INDEX(--ISNUMBER(SEARCH('Bad Patterns'!$A$2:$A$120,B6637)),0),0)),""))</f>
        <v/>
      </c>
      <c r="D6637">
        <f>IF(B6637="","",IF(C6637&lt;&gt;"","REMOVE","KEEP"))</f>
        <v/>
      </c>
      <c r="E6637">
        <f>IF(D6637&lt;&gt;"KEEP","",IF(RIGHT(B6637,10)="@gmail.com","Gmail",IF(OR(RIGHT(B6637,12)="@outlook.com",RIGHT(B6637,12)="@hotmail.com",RIGHT(B6637,9)="@live.com"),"Outlook","Domain")))</f>
        <v/>
      </c>
      <c r="F6637">
        <f>IF(B6637="","",IFERROR(RIGHT(B6637,LEN(B6637)-FIND("@",B6637)),""))</f>
        <v/>
      </c>
      <c r="G6637">
        <f>IF(D6637="KEEP",COUNTIF($D$2:D6637,"KEEP"),"")</f>
        <v/>
      </c>
      <c r="H6637">
        <f>IF(D6637="REMOVE",COUNTIF($D$2:D6637,"REMOVE"),"")</f>
        <v/>
      </c>
      <c r="I6637">
        <f>IF(E6637="Gmail",COUNTIF($E$2:E6637,"Gmail"),"")</f>
        <v/>
      </c>
      <c r="J6637">
        <f>IF(E6637="Outlook",COUNTIF($E$2:E6637,"Outlook"),"")</f>
        <v/>
      </c>
      <c r="K6637">
        <f>IF(E6637="Domain",COUNTIF($E$2:E6637,"Domain"),"")</f>
        <v/>
      </c>
    </row>
    <row r="6638">
      <c r="A6638" s="2" t="n"/>
      <c r="B6638">
        <f>LOWER(TRIM(A6638))</f>
        <v/>
      </c>
      <c r="C6638">
        <f>IF(B6638="","",IFERROR(INDEX('Bad Patterns'!$A$2:$A$120,MATCH(1,INDEX(--ISNUMBER(SEARCH('Bad Patterns'!$A$2:$A$120,B6638)),0),0)),""))</f>
        <v/>
      </c>
      <c r="D6638">
        <f>IF(B6638="","",IF(C6638&lt;&gt;"","REMOVE","KEEP"))</f>
        <v/>
      </c>
      <c r="E6638">
        <f>IF(D6638&lt;&gt;"KEEP","",IF(RIGHT(B6638,10)="@gmail.com","Gmail",IF(OR(RIGHT(B6638,12)="@outlook.com",RIGHT(B6638,12)="@hotmail.com",RIGHT(B6638,9)="@live.com"),"Outlook","Domain")))</f>
        <v/>
      </c>
      <c r="F6638">
        <f>IF(B6638="","",IFERROR(RIGHT(B6638,LEN(B6638)-FIND("@",B6638)),""))</f>
        <v/>
      </c>
      <c r="G6638">
        <f>IF(D6638="KEEP",COUNTIF($D$2:D6638,"KEEP"),"")</f>
        <v/>
      </c>
      <c r="H6638">
        <f>IF(D6638="REMOVE",COUNTIF($D$2:D6638,"REMOVE"),"")</f>
        <v/>
      </c>
      <c r="I6638">
        <f>IF(E6638="Gmail",COUNTIF($E$2:E6638,"Gmail"),"")</f>
        <v/>
      </c>
      <c r="J6638">
        <f>IF(E6638="Outlook",COUNTIF($E$2:E6638,"Outlook"),"")</f>
        <v/>
      </c>
      <c r="K6638">
        <f>IF(E6638="Domain",COUNTIF($E$2:E6638,"Domain"),"")</f>
        <v/>
      </c>
    </row>
    <row r="6639">
      <c r="A6639" s="2" t="n"/>
      <c r="B6639">
        <f>LOWER(TRIM(A6639))</f>
        <v/>
      </c>
      <c r="C6639">
        <f>IF(B6639="","",IFERROR(INDEX('Bad Patterns'!$A$2:$A$120,MATCH(1,INDEX(--ISNUMBER(SEARCH('Bad Patterns'!$A$2:$A$120,B6639)),0),0)),""))</f>
        <v/>
      </c>
      <c r="D6639">
        <f>IF(B6639="","",IF(C6639&lt;&gt;"","REMOVE","KEEP"))</f>
        <v/>
      </c>
      <c r="E6639">
        <f>IF(D6639&lt;&gt;"KEEP","",IF(RIGHT(B6639,10)="@gmail.com","Gmail",IF(OR(RIGHT(B6639,12)="@outlook.com",RIGHT(B6639,12)="@hotmail.com",RIGHT(B6639,9)="@live.com"),"Outlook","Domain")))</f>
        <v/>
      </c>
      <c r="F6639">
        <f>IF(B6639="","",IFERROR(RIGHT(B6639,LEN(B6639)-FIND("@",B6639)),""))</f>
        <v/>
      </c>
      <c r="G6639">
        <f>IF(D6639="KEEP",COUNTIF($D$2:D6639,"KEEP"),"")</f>
        <v/>
      </c>
      <c r="H6639">
        <f>IF(D6639="REMOVE",COUNTIF($D$2:D6639,"REMOVE"),"")</f>
        <v/>
      </c>
      <c r="I6639">
        <f>IF(E6639="Gmail",COUNTIF($E$2:E6639,"Gmail"),"")</f>
        <v/>
      </c>
      <c r="J6639">
        <f>IF(E6639="Outlook",COUNTIF($E$2:E6639,"Outlook"),"")</f>
        <v/>
      </c>
      <c r="K6639">
        <f>IF(E6639="Domain",COUNTIF($E$2:E6639,"Domain"),"")</f>
        <v/>
      </c>
    </row>
    <row r="6640">
      <c r="A6640" s="2" t="n"/>
      <c r="B6640">
        <f>LOWER(TRIM(A6640))</f>
        <v/>
      </c>
      <c r="C6640">
        <f>IF(B6640="","",IFERROR(INDEX('Bad Patterns'!$A$2:$A$120,MATCH(1,INDEX(--ISNUMBER(SEARCH('Bad Patterns'!$A$2:$A$120,B6640)),0),0)),""))</f>
        <v/>
      </c>
      <c r="D6640">
        <f>IF(B6640="","",IF(C6640&lt;&gt;"","REMOVE","KEEP"))</f>
        <v/>
      </c>
      <c r="E6640">
        <f>IF(D6640&lt;&gt;"KEEP","",IF(RIGHT(B6640,10)="@gmail.com","Gmail",IF(OR(RIGHT(B6640,12)="@outlook.com",RIGHT(B6640,12)="@hotmail.com",RIGHT(B6640,9)="@live.com"),"Outlook","Domain")))</f>
        <v/>
      </c>
      <c r="F6640">
        <f>IF(B6640="","",IFERROR(RIGHT(B6640,LEN(B6640)-FIND("@",B6640)),""))</f>
        <v/>
      </c>
      <c r="G6640">
        <f>IF(D6640="KEEP",COUNTIF($D$2:D6640,"KEEP"),"")</f>
        <v/>
      </c>
      <c r="H6640">
        <f>IF(D6640="REMOVE",COUNTIF($D$2:D6640,"REMOVE"),"")</f>
        <v/>
      </c>
      <c r="I6640">
        <f>IF(E6640="Gmail",COUNTIF($E$2:E6640,"Gmail"),"")</f>
        <v/>
      </c>
      <c r="J6640">
        <f>IF(E6640="Outlook",COUNTIF($E$2:E6640,"Outlook"),"")</f>
        <v/>
      </c>
      <c r="K6640">
        <f>IF(E6640="Domain",COUNTIF($E$2:E6640,"Domain"),"")</f>
        <v/>
      </c>
    </row>
    <row r="6641">
      <c r="A6641" s="2" t="n"/>
      <c r="B6641">
        <f>LOWER(TRIM(A6641))</f>
        <v/>
      </c>
      <c r="C6641">
        <f>IF(B6641="","",IFERROR(INDEX('Bad Patterns'!$A$2:$A$120,MATCH(1,INDEX(--ISNUMBER(SEARCH('Bad Patterns'!$A$2:$A$120,B6641)),0),0)),""))</f>
        <v/>
      </c>
      <c r="D6641">
        <f>IF(B6641="","",IF(C6641&lt;&gt;"","REMOVE","KEEP"))</f>
        <v/>
      </c>
      <c r="E6641">
        <f>IF(D6641&lt;&gt;"KEEP","",IF(RIGHT(B6641,10)="@gmail.com","Gmail",IF(OR(RIGHT(B6641,12)="@outlook.com",RIGHT(B6641,12)="@hotmail.com",RIGHT(B6641,9)="@live.com"),"Outlook","Domain")))</f>
        <v/>
      </c>
      <c r="F6641">
        <f>IF(B6641="","",IFERROR(RIGHT(B6641,LEN(B6641)-FIND("@",B6641)),""))</f>
        <v/>
      </c>
      <c r="G6641">
        <f>IF(D6641="KEEP",COUNTIF($D$2:D6641,"KEEP"),"")</f>
        <v/>
      </c>
      <c r="H6641">
        <f>IF(D6641="REMOVE",COUNTIF($D$2:D6641,"REMOVE"),"")</f>
        <v/>
      </c>
      <c r="I6641">
        <f>IF(E6641="Gmail",COUNTIF($E$2:E6641,"Gmail"),"")</f>
        <v/>
      </c>
      <c r="J6641">
        <f>IF(E6641="Outlook",COUNTIF($E$2:E6641,"Outlook"),"")</f>
        <v/>
      </c>
      <c r="K6641">
        <f>IF(E6641="Domain",COUNTIF($E$2:E6641,"Domain"),"")</f>
        <v/>
      </c>
    </row>
    <row r="6642">
      <c r="A6642" s="2" t="n"/>
      <c r="B6642">
        <f>LOWER(TRIM(A6642))</f>
        <v/>
      </c>
      <c r="C6642">
        <f>IF(B6642="","",IFERROR(INDEX('Bad Patterns'!$A$2:$A$120,MATCH(1,INDEX(--ISNUMBER(SEARCH('Bad Patterns'!$A$2:$A$120,B6642)),0),0)),""))</f>
        <v/>
      </c>
      <c r="D6642">
        <f>IF(B6642="","",IF(C6642&lt;&gt;"","REMOVE","KEEP"))</f>
        <v/>
      </c>
      <c r="E6642">
        <f>IF(D6642&lt;&gt;"KEEP","",IF(RIGHT(B6642,10)="@gmail.com","Gmail",IF(OR(RIGHT(B6642,12)="@outlook.com",RIGHT(B6642,12)="@hotmail.com",RIGHT(B6642,9)="@live.com"),"Outlook","Domain")))</f>
        <v/>
      </c>
      <c r="F6642">
        <f>IF(B6642="","",IFERROR(RIGHT(B6642,LEN(B6642)-FIND("@",B6642)),""))</f>
        <v/>
      </c>
      <c r="G6642">
        <f>IF(D6642="KEEP",COUNTIF($D$2:D6642,"KEEP"),"")</f>
        <v/>
      </c>
      <c r="H6642">
        <f>IF(D6642="REMOVE",COUNTIF($D$2:D6642,"REMOVE"),"")</f>
        <v/>
      </c>
      <c r="I6642">
        <f>IF(E6642="Gmail",COUNTIF($E$2:E6642,"Gmail"),"")</f>
        <v/>
      </c>
      <c r="J6642">
        <f>IF(E6642="Outlook",COUNTIF($E$2:E6642,"Outlook"),"")</f>
        <v/>
      </c>
      <c r="K6642">
        <f>IF(E6642="Domain",COUNTIF($E$2:E6642,"Domain"),"")</f>
        <v/>
      </c>
    </row>
    <row r="6643">
      <c r="A6643" s="2" t="n"/>
      <c r="B6643">
        <f>LOWER(TRIM(A6643))</f>
        <v/>
      </c>
      <c r="C6643">
        <f>IF(B6643="","",IFERROR(INDEX('Bad Patterns'!$A$2:$A$120,MATCH(1,INDEX(--ISNUMBER(SEARCH('Bad Patterns'!$A$2:$A$120,B6643)),0),0)),""))</f>
        <v/>
      </c>
      <c r="D6643">
        <f>IF(B6643="","",IF(C6643&lt;&gt;"","REMOVE","KEEP"))</f>
        <v/>
      </c>
      <c r="E6643">
        <f>IF(D6643&lt;&gt;"KEEP","",IF(RIGHT(B6643,10)="@gmail.com","Gmail",IF(OR(RIGHT(B6643,12)="@outlook.com",RIGHT(B6643,12)="@hotmail.com",RIGHT(B6643,9)="@live.com"),"Outlook","Domain")))</f>
        <v/>
      </c>
      <c r="F6643">
        <f>IF(B6643="","",IFERROR(RIGHT(B6643,LEN(B6643)-FIND("@",B6643)),""))</f>
        <v/>
      </c>
      <c r="G6643">
        <f>IF(D6643="KEEP",COUNTIF($D$2:D6643,"KEEP"),"")</f>
        <v/>
      </c>
      <c r="H6643">
        <f>IF(D6643="REMOVE",COUNTIF($D$2:D6643,"REMOVE"),"")</f>
        <v/>
      </c>
      <c r="I6643">
        <f>IF(E6643="Gmail",COUNTIF($E$2:E6643,"Gmail"),"")</f>
        <v/>
      </c>
      <c r="J6643">
        <f>IF(E6643="Outlook",COUNTIF($E$2:E6643,"Outlook"),"")</f>
        <v/>
      </c>
      <c r="K6643">
        <f>IF(E6643="Domain",COUNTIF($E$2:E6643,"Domain"),"")</f>
        <v/>
      </c>
    </row>
    <row r="6644">
      <c r="A6644" s="2" t="n"/>
      <c r="B6644">
        <f>LOWER(TRIM(A6644))</f>
        <v/>
      </c>
      <c r="C6644">
        <f>IF(B6644="","",IFERROR(INDEX('Bad Patterns'!$A$2:$A$120,MATCH(1,INDEX(--ISNUMBER(SEARCH('Bad Patterns'!$A$2:$A$120,B6644)),0),0)),""))</f>
        <v/>
      </c>
      <c r="D6644">
        <f>IF(B6644="","",IF(C6644&lt;&gt;"","REMOVE","KEEP"))</f>
        <v/>
      </c>
      <c r="E6644">
        <f>IF(D6644&lt;&gt;"KEEP","",IF(RIGHT(B6644,10)="@gmail.com","Gmail",IF(OR(RIGHT(B6644,12)="@outlook.com",RIGHT(B6644,12)="@hotmail.com",RIGHT(B6644,9)="@live.com"),"Outlook","Domain")))</f>
        <v/>
      </c>
      <c r="F6644">
        <f>IF(B6644="","",IFERROR(RIGHT(B6644,LEN(B6644)-FIND("@",B6644)),""))</f>
        <v/>
      </c>
      <c r="G6644">
        <f>IF(D6644="KEEP",COUNTIF($D$2:D6644,"KEEP"),"")</f>
        <v/>
      </c>
      <c r="H6644">
        <f>IF(D6644="REMOVE",COUNTIF($D$2:D6644,"REMOVE"),"")</f>
        <v/>
      </c>
      <c r="I6644">
        <f>IF(E6644="Gmail",COUNTIF($E$2:E6644,"Gmail"),"")</f>
        <v/>
      </c>
      <c r="J6644">
        <f>IF(E6644="Outlook",COUNTIF($E$2:E6644,"Outlook"),"")</f>
        <v/>
      </c>
      <c r="K6644">
        <f>IF(E6644="Domain",COUNTIF($E$2:E6644,"Domain"),"")</f>
        <v/>
      </c>
    </row>
    <row r="6645">
      <c r="A6645" s="2" t="n"/>
      <c r="B6645">
        <f>LOWER(TRIM(A6645))</f>
        <v/>
      </c>
      <c r="C6645">
        <f>IF(B6645="","",IFERROR(INDEX('Bad Patterns'!$A$2:$A$120,MATCH(1,INDEX(--ISNUMBER(SEARCH('Bad Patterns'!$A$2:$A$120,B6645)),0),0)),""))</f>
        <v/>
      </c>
      <c r="D6645">
        <f>IF(B6645="","",IF(C6645&lt;&gt;"","REMOVE","KEEP"))</f>
        <v/>
      </c>
      <c r="E6645">
        <f>IF(D6645&lt;&gt;"KEEP","",IF(RIGHT(B6645,10)="@gmail.com","Gmail",IF(OR(RIGHT(B6645,12)="@outlook.com",RIGHT(B6645,12)="@hotmail.com",RIGHT(B6645,9)="@live.com"),"Outlook","Domain")))</f>
        <v/>
      </c>
      <c r="F6645">
        <f>IF(B6645="","",IFERROR(RIGHT(B6645,LEN(B6645)-FIND("@",B6645)),""))</f>
        <v/>
      </c>
      <c r="G6645">
        <f>IF(D6645="KEEP",COUNTIF($D$2:D6645,"KEEP"),"")</f>
        <v/>
      </c>
      <c r="H6645">
        <f>IF(D6645="REMOVE",COUNTIF($D$2:D6645,"REMOVE"),"")</f>
        <v/>
      </c>
      <c r="I6645">
        <f>IF(E6645="Gmail",COUNTIF($E$2:E6645,"Gmail"),"")</f>
        <v/>
      </c>
      <c r="J6645">
        <f>IF(E6645="Outlook",COUNTIF($E$2:E6645,"Outlook"),"")</f>
        <v/>
      </c>
      <c r="K6645">
        <f>IF(E6645="Domain",COUNTIF($E$2:E6645,"Domain"),"")</f>
        <v/>
      </c>
    </row>
    <row r="6646">
      <c r="A6646" s="2" t="n"/>
      <c r="B6646">
        <f>LOWER(TRIM(A6646))</f>
        <v/>
      </c>
      <c r="C6646">
        <f>IF(B6646="","",IFERROR(INDEX('Bad Patterns'!$A$2:$A$120,MATCH(1,INDEX(--ISNUMBER(SEARCH('Bad Patterns'!$A$2:$A$120,B6646)),0),0)),""))</f>
        <v/>
      </c>
      <c r="D6646">
        <f>IF(B6646="","",IF(C6646&lt;&gt;"","REMOVE","KEEP"))</f>
        <v/>
      </c>
      <c r="E6646">
        <f>IF(D6646&lt;&gt;"KEEP","",IF(RIGHT(B6646,10)="@gmail.com","Gmail",IF(OR(RIGHT(B6646,12)="@outlook.com",RIGHT(B6646,12)="@hotmail.com",RIGHT(B6646,9)="@live.com"),"Outlook","Domain")))</f>
        <v/>
      </c>
      <c r="F6646">
        <f>IF(B6646="","",IFERROR(RIGHT(B6646,LEN(B6646)-FIND("@",B6646)),""))</f>
        <v/>
      </c>
      <c r="G6646">
        <f>IF(D6646="KEEP",COUNTIF($D$2:D6646,"KEEP"),"")</f>
        <v/>
      </c>
      <c r="H6646">
        <f>IF(D6646="REMOVE",COUNTIF($D$2:D6646,"REMOVE"),"")</f>
        <v/>
      </c>
      <c r="I6646">
        <f>IF(E6646="Gmail",COUNTIF($E$2:E6646,"Gmail"),"")</f>
        <v/>
      </c>
      <c r="J6646">
        <f>IF(E6646="Outlook",COUNTIF($E$2:E6646,"Outlook"),"")</f>
        <v/>
      </c>
      <c r="K6646">
        <f>IF(E6646="Domain",COUNTIF($E$2:E6646,"Domain"),"")</f>
        <v/>
      </c>
    </row>
    <row r="6647">
      <c r="A6647" s="2" t="n"/>
      <c r="B6647">
        <f>LOWER(TRIM(A6647))</f>
        <v/>
      </c>
      <c r="C6647">
        <f>IF(B6647="","",IFERROR(INDEX('Bad Patterns'!$A$2:$A$120,MATCH(1,INDEX(--ISNUMBER(SEARCH('Bad Patterns'!$A$2:$A$120,B6647)),0),0)),""))</f>
        <v/>
      </c>
      <c r="D6647">
        <f>IF(B6647="","",IF(C6647&lt;&gt;"","REMOVE","KEEP"))</f>
        <v/>
      </c>
      <c r="E6647">
        <f>IF(D6647&lt;&gt;"KEEP","",IF(RIGHT(B6647,10)="@gmail.com","Gmail",IF(OR(RIGHT(B6647,12)="@outlook.com",RIGHT(B6647,12)="@hotmail.com",RIGHT(B6647,9)="@live.com"),"Outlook","Domain")))</f>
        <v/>
      </c>
      <c r="F6647">
        <f>IF(B6647="","",IFERROR(RIGHT(B6647,LEN(B6647)-FIND("@",B6647)),""))</f>
        <v/>
      </c>
      <c r="G6647">
        <f>IF(D6647="KEEP",COUNTIF($D$2:D6647,"KEEP"),"")</f>
        <v/>
      </c>
      <c r="H6647">
        <f>IF(D6647="REMOVE",COUNTIF($D$2:D6647,"REMOVE"),"")</f>
        <v/>
      </c>
      <c r="I6647">
        <f>IF(E6647="Gmail",COUNTIF($E$2:E6647,"Gmail"),"")</f>
        <v/>
      </c>
      <c r="J6647">
        <f>IF(E6647="Outlook",COUNTIF($E$2:E6647,"Outlook"),"")</f>
        <v/>
      </c>
      <c r="K6647">
        <f>IF(E6647="Domain",COUNTIF($E$2:E6647,"Domain"),"")</f>
        <v/>
      </c>
    </row>
    <row r="6648">
      <c r="A6648" s="2" t="n"/>
      <c r="B6648">
        <f>LOWER(TRIM(A6648))</f>
        <v/>
      </c>
      <c r="C6648">
        <f>IF(B6648="","",IFERROR(INDEX('Bad Patterns'!$A$2:$A$120,MATCH(1,INDEX(--ISNUMBER(SEARCH('Bad Patterns'!$A$2:$A$120,B6648)),0),0)),""))</f>
        <v/>
      </c>
      <c r="D6648">
        <f>IF(B6648="","",IF(C6648&lt;&gt;"","REMOVE","KEEP"))</f>
        <v/>
      </c>
      <c r="E6648">
        <f>IF(D6648&lt;&gt;"KEEP","",IF(RIGHT(B6648,10)="@gmail.com","Gmail",IF(OR(RIGHT(B6648,12)="@outlook.com",RIGHT(B6648,12)="@hotmail.com",RIGHT(B6648,9)="@live.com"),"Outlook","Domain")))</f>
        <v/>
      </c>
      <c r="F6648">
        <f>IF(B6648="","",IFERROR(RIGHT(B6648,LEN(B6648)-FIND("@",B6648)),""))</f>
        <v/>
      </c>
      <c r="G6648">
        <f>IF(D6648="KEEP",COUNTIF($D$2:D6648,"KEEP"),"")</f>
        <v/>
      </c>
      <c r="H6648">
        <f>IF(D6648="REMOVE",COUNTIF($D$2:D6648,"REMOVE"),"")</f>
        <v/>
      </c>
      <c r="I6648">
        <f>IF(E6648="Gmail",COUNTIF($E$2:E6648,"Gmail"),"")</f>
        <v/>
      </c>
      <c r="J6648">
        <f>IF(E6648="Outlook",COUNTIF($E$2:E6648,"Outlook"),"")</f>
        <v/>
      </c>
      <c r="K6648">
        <f>IF(E6648="Domain",COUNTIF($E$2:E6648,"Domain"),"")</f>
        <v/>
      </c>
    </row>
    <row r="6649">
      <c r="A6649" s="2" t="n"/>
      <c r="B6649">
        <f>LOWER(TRIM(A6649))</f>
        <v/>
      </c>
      <c r="C6649">
        <f>IF(B6649="","",IFERROR(INDEX('Bad Patterns'!$A$2:$A$120,MATCH(1,INDEX(--ISNUMBER(SEARCH('Bad Patterns'!$A$2:$A$120,B6649)),0),0)),""))</f>
        <v/>
      </c>
      <c r="D6649">
        <f>IF(B6649="","",IF(C6649&lt;&gt;"","REMOVE","KEEP"))</f>
        <v/>
      </c>
      <c r="E6649">
        <f>IF(D6649&lt;&gt;"KEEP","",IF(RIGHT(B6649,10)="@gmail.com","Gmail",IF(OR(RIGHT(B6649,12)="@outlook.com",RIGHT(B6649,12)="@hotmail.com",RIGHT(B6649,9)="@live.com"),"Outlook","Domain")))</f>
        <v/>
      </c>
      <c r="F6649">
        <f>IF(B6649="","",IFERROR(RIGHT(B6649,LEN(B6649)-FIND("@",B6649)),""))</f>
        <v/>
      </c>
      <c r="G6649">
        <f>IF(D6649="KEEP",COUNTIF($D$2:D6649,"KEEP"),"")</f>
        <v/>
      </c>
      <c r="H6649">
        <f>IF(D6649="REMOVE",COUNTIF($D$2:D6649,"REMOVE"),"")</f>
        <v/>
      </c>
      <c r="I6649">
        <f>IF(E6649="Gmail",COUNTIF($E$2:E6649,"Gmail"),"")</f>
        <v/>
      </c>
      <c r="J6649">
        <f>IF(E6649="Outlook",COUNTIF($E$2:E6649,"Outlook"),"")</f>
        <v/>
      </c>
      <c r="K6649">
        <f>IF(E6649="Domain",COUNTIF($E$2:E6649,"Domain"),"")</f>
        <v/>
      </c>
    </row>
    <row r="6650">
      <c r="A6650" s="2" t="n"/>
      <c r="B6650">
        <f>LOWER(TRIM(A6650))</f>
        <v/>
      </c>
      <c r="C6650">
        <f>IF(B6650="","",IFERROR(INDEX('Bad Patterns'!$A$2:$A$120,MATCH(1,INDEX(--ISNUMBER(SEARCH('Bad Patterns'!$A$2:$A$120,B6650)),0),0)),""))</f>
        <v/>
      </c>
      <c r="D6650">
        <f>IF(B6650="","",IF(C6650&lt;&gt;"","REMOVE","KEEP"))</f>
        <v/>
      </c>
      <c r="E6650">
        <f>IF(D6650&lt;&gt;"KEEP","",IF(RIGHT(B6650,10)="@gmail.com","Gmail",IF(OR(RIGHT(B6650,12)="@outlook.com",RIGHT(B6650,12)="@hotmail.com",RIGHT(B6650,9)="@live.com"),"Outlook","Domain")))</f>
        <v/>
      </c>
      <c r="F6650">
        <f>IF(B6650="","",IFERROR(RIGHT(B6650,LEN(B6650)-FIND("@",B6650)),""))</f>
        <v/>
      </c>
      <c r="G6650">
        <f>IF(D6650="KEEP",COUNTIF($D$2:D6650,"KEEP"),"")</f>
        <v/>
      </c>
      <c r="H6650">
        <f>IF(D6650="REMOVE",COUNTIF($D$2:D6650,"REMOVE"),"")</f>
        <v/>
      </c>
      <c r="I6650">
        <f>IF(E6650="Gmail",COUNTIF($E$2:E6650,"Gmail"),"")</f>
        <v/>
      </c>
      <c r="J6650">
        <f>IF(E6650="Outlook",COUNTIF($E$2:E6650,"Outlook"),"")</f>
        <v/>
      </c>
      <c r="K6650">
        <f>IF(E6650="Domain",COUNTIF($E$2:E6650,"Domain"),"")</f>
        <v/>
      </c>
    </row>
    <row r="6651">
      <c r="A6651" s="2" t="n"/>
      <c r="B6651">
        <f>LOWER(TRIM(A6651))</f>
        <v/>
      </c>
      <c r="C6651">
        <f>IF(B6651="","",IFERROR(INDEX('Bad Patterns'!$A$2:$A$120,MATCH(1,INDEX(--ISNUMBER(SEARCH('Bad Patterns'!$A$2:$A$120,B6651)),0),0)),""))</f>
        <v/>
      </c>
      <c r="D6651">
        <f>IF(B6651="","",IF(C6651&lt;&gt;"","REMOVE","KEEP"))</f>
        <v/>
      </c>
      <c r="E6651">
        <f>IF(D6651&lt;&gt;"KEEP","",IF(RIGHT(B6651,10)="@gmail.com","Gmail",IF(OR(RIGHT(B6651,12)="@outlook.com",RIGHT(B6651,12)="@hotmail.com",RIGHT(B6651,9)="@live.com"),"Outlook","Domain")))</f>
        <v/>
      </c>
      <c r="F6651">
        <f>IF(B6651="","",IFERROR(RIGHT(B6651,LEN(B6651)-FIND("@",B6651)),""))</f>
        <v/>
      </c>
      <c r="G6651">
        <f>IF(D6651="KEEP",COUNTIF($D$2:D6651,"KEEP"),"")</f>
        <v/>
      </c>
      <c r="H6651">
        <f>IF(D6651="REMOVE",COUNTIF($D$2:D6651,"REMOVE"),"")</f>
        <v/>
      </c>
      <c r="I6651">
        <f>IF(E6651="Gmail",COUNTIF($E$2:E6651,"Gmail"),"")</f>
        <v/>
      </c>
      <c r="J6651">
        <f>IF(E6651="Outlook",COUNTIF($E$2:E6651,"Outlook"),"")</f>
        <v/>
      </c>
      <c r="K6651">
        <f>IF(E6651="Domain",COUNTIF($E$2:E6651,"Domain"),"")</f>
        <v/>
      </c>
    </row>
    <row r="6652">
      <c r="A6652" s="2" t="n"/>
      <c r="B6652">
        <f>LOWER(TRIM(A6652))</f>
        <v/>
      </c>
      <c r="C6652">
        <f>IF(B6652="","",IFERROR(INDEX('Bad Patterns'!$A$2:$A$120,MATCH(1,INDEX(--ISNUMBER(SEARCH('Bad Patterns'!$A$2:$A$120,B6652)),0),0)),""))</f>
        <v/>
      </c>
      <c r="D6652">
        <f>IF(B6652="","",IF(C6652&lt;&gt;"","REMOVE","KEEP"))</f>
        <v/>
      </c>
      <c r="E6652">
        <f>IF(D6652&lt;&gt;"KEEP","",IF(RIGHT(B6652,10)="@gmail.com","Gmail",IF(OR(RIGHT(B6652,12)="@outlook.com",RIGHT(B6652,12)="@hotmail.com",RIGHT(B6652,9)="@live.com"),"Outlook","Domain")))</f>
        <v/>
      </c>
      <c r="F6652">
        <f>IF(B6652="","",IFERROR(RIGHT(B6652,LEN(B6652)-FIND("@",B6652)),""))</f>
        <v/>
      </c>
      <c r="G6652">
        <f>IF(D6652="KEEP",COUNTIF($D$2:D6652,"KEEP"),"")</f>
        <v/>
      </c>
      <c r="H6652">
        <f>IF(D6652="REMOVE",COUNTIF($D$2:D6652,"REMOVE"),"")</f>
        <v/>
      </c>
      <c r="I6652">
        <f>IF(E6652="Gmail",COUNTIF($E$2:E6652,"Gmail"),"")</f>
        <v/>
      </c>
      <c r="J6652">
        <f>IF(E6652="Outlook",COUNTIF($E$2:E6652,"Outlook"),"")</f>
        <v/>
      </c>
      <c r="K6652">
        <f>IF(E6652="Domain",COUNTIF($E$2:E6652,"Domain"),"")</f>
        <v/>
      </c>
    </row>
    <row r="6653">
      <c r="A6653" s="2" t="n"/>
      <c r="B6653">
        <f>LOWER(TRIM(A6653))</f>
        <v/>
      </c>
      <c r="C6653">
        <f>IF(B6653="","",IFERROR(INDEX('Bad Patterns'!$A$2:$A$120,MATCH(1,INDEX(--ISNUMBER(SEARCH('Bad Patterns'!$A$2:$A$120,B6653)),0),0)),""))</f>
        <v/>
      </c>
      <c r="D6653">
        <f>IF(B6653="","",IF(C6653&lt;&gt;"","REMOVE","KEEP"))</f>
        <v/>
      </c>
      <c r="E6653">
        <f>IF(D6653&lt;&gt;"KEEP","",IF(RIGHT(B6653,10)="@gmail.com","Gmail",IF(OR(RIGHT(B6653,12)="@outlook.com",RIGHT(B6653,12)="@hotmail.com",RIGHT(B6653,9)="@live.com"),"Outlook","Domain")))</f>
        <v/>
      </c>
      <c r="F6653">
        <f>IF(B6653="","",IFERROR(RIGHT(B6653,LEN(B6653)-FIND("@",B6653)),""))</f>
        <v/>
      </c>
      <c r="G6653">
        <f>IF(D6653="KEEP",COUNTIF($D$2:D6653,"KEEP"),"")</f>
        <v/>
      </c>
      <c r="H6653">
        <f>IF(D6653="REMOVE",COUNTIF($D$2:D6653,"REMOVE"),"")</f>
        <v/>
      </c>
      <c r="I6653">
        <f>IF(E6653="Gmail",COUNTIF($E$2:E6653,"Gmail"),"")</f>
        <v/>
      </c>
      <c r="J6653">
        <f>IF(E6653="Outlook",COUNTIF($E$2:E6653,"Outlook"),"")</f>
        <v/>
      </c>
      <c r="K6653">
        <f>IF(E6653="Domain",COUNTIF($E$2:E6653,"Domain"),"")</f>
        <v/>
      </c>
    </row>
    <row r="6654">
      <c r="A6654" s="2" t="n"/>
      <c r="B6654">
        <f>LOWER(TRIM(A6654))</f>
        <v/>
      </c>
      <c r="C6654">
        <f>IF(B6654="","",IFERROR(INDEX('Bad Patterns'!$A$2:$A$120,MATCH(1,INDEX(--ISNUMBER(SEARCH('Bad Patterns'!$A$2:$A$120,B6654)),0),0)),""))</f>
        <v/>
      </c>
      <c r="D6654">
        <f>IF(B6654="","",IF(C6654&lt;&gt;"","REMOVE","KEEP"))</f>
        <v/>
      </c>
      <c r="E6654">
        <f>IF(D6654&lt;&gt;"KEEP","",IF(RIGHT(B6654,10)="@gmail.com","Gmail",IF(OR(RIGHT(B6654,12)="@outlook.com",RIGHT(B6654,12)="@hotmail.com",RIGHT(B6654,9)="@live.com"),"Outlook","Domain")))</f>
        <v/>
      </c>
      <c r="F6654">
        <f>IF(B6654="","",IFERROR(RIGHT(B6654,LEN(B6654)-FIND("@",B6654)),""))</f>
        <v/>
      </c>
      <c r="G6654">
        <f>IF(D6654="KEEP",COUNTIF($D$2:D6654,"KEEP"),"")</f>
        <v/>
      </c>
      <c r="H6654">
        <f>IF(D6654="REMOVE",COUNTIF($D$2:D6654,"REMOVE"),"")</f>
        <v/>
      </c>
      <c r="I6654">
        <f>IF(E6654="Gmail",COUNTIF($E$2:E6654,"Gmail"),"")</f>
        <v/>
      </c>
      <c r="J6654">
        <f>IF(E6654="Outlook",COUNTIF($E$2:E6654,"Outlook"),"")</f>
        <v/>
      </c>
      <c r="K6654">
        <f>IF(E6654="Domain",COUNTIF($E$2:E6654,"Domain"),"")</f>
        <v/>
      </c>
    </row>
    <row r="6655">
      <c r="A6655" s="2" t="n"/>
      <c r="B6655">
        <f>LOWER(TRIM(A6655))</f>
        <v/>
      </c>
      <c r="C6655">
        <f>IF(B6655="","",IFERROR(INDEX('Bad Patterns'!$A$2:$A$120,MATCH(1,INDEX(--ISNUMBER(SEARCH('Bad Patterns'!$A$2:$A$120,B6655)),0),0)),""))</f>
        <v/>
      </c>
      <c r="D6655">
        <f>IF(B6655="","",IF(C6655&lt;&gt;"","REMOVE","KEEP"))</f>
        <v/>
      </c>
      <c r="E6655">
        <f>IF(D6655&lt;&gt;"KEEP","",IF(RIGHT(B6655,10)="@gmail.com","Gmail",IF(OR(RIGHT(B6655,12)="@outlook.com",RIGHT(B6655,12)="@hotmail.com",RIGHT(B6655,9)="@live.com"),"Outlook","Domain")))</f>
        <v/>
      </c>
      <c r="F6655">
        <f>IF(B6655="","",IFERROR(RIGHT(B6655,LEN(B6655)-FIND("@",B6655)),""))</f>
        <v/>
      </c>
      <c r="G6655">
        <f>IF(D6655="KEEP",COUNTIF($D$2:D6655,"KEEP"),"")</f>
        <v/>
      </c>
      <c r="H6655">
        <f>IF(D6655="REMOVE",COUNTIF($D$2:D6655,"REMOVE"),"")</f>
        <v/>
      </c>
      <c r="I6655">
        <f>IF(E6655="Gmail",COUNTIF($E$2:E6655,"Gmail"),"")</f>
        <v/>
      </c>
      <c r="J6655">
        <f>IF(E6655="Outlook",COUNTIF($E$2:E6655,"Outlook"),"")</f>
        <v/>
      </c>
      <c r="K6655">
        <f>IF(E6655="Domain",COUNTIF($E$2:E6655,"Domain"),"")</f>
        <v/>
      </c>
    </row>
    <row r="6656">
      <c r="A6656" s="2" t="n"/>
      <c r="B6656">
        <f>LOWER(TRIM(A6656))</f>
        <v/>
      </c>
      <c r="C6656">
        <f>IF(B6656="","",IFERROR(INDEX('Bad Patterns'!$A$2:$A$120,MATCH(1,INDEX(--ISNUMBER(SEARCH('Bad Patterns'!$A$2:$A$120,B6656)),0),0)),""))</f>
        <v/>
      </c>
      <c r="D6656">
        <f>IF(B6656="","",IF(C6656&lt;&gt;"","REMOVE","KEEP"))</f>
        <v/>
      </c>
      <c r="E6656">
        <f>IF(D6656&lt;&gt;"KEEP","",IF(RIGHT(B6656,10)="@gmail.com","Gmail",IF(OR(RIGHT(B6656,12)="@outlook.com",RIGHT(B6656,12)="@hotmail.com",RIGHT(B6656,9)="@live.com"),"Outlook","Domain")))</f>
        <v/>
      </c>
      <c r="F6656">
        <f>IF(B6656="","",IFERROR(RIGHT(B6656,LEN(B6656)-FIND("@",B6656)),""))</f>
        <v/>
      </c>
      <c r="G6656">
        <f>IF(D6656="KEEP",COUNTIF($D$2:D6656,"KEEP"),"")</f>
        <v/>
      </c>
      <c r="H6656">
        <f>IF(D6656="REMOVE",COUNTIF($D$2:D6656,"REMOVE"),"")</f>
        <v/>
      </c>
      <c r="I6656">
        <f>IF(E6656="Gmail",COUNTIF($E$2:E6656,"Gmail"),"")</f>
        <v/>
      </c>
      <c r="J6656">
        <f>IF(E6656="Outlook",COUNTIF($E$2:E6656,"Outlook"),"")</f>
        <v/>
      </c>
      <c r="K6656">
        <f>IF(E6656="Domain",COUNTIF($E$2:E6656,"Domain"),"")</f>
        <v/>
      </c>
    </row>
    <row r="6657">
      <c r="A6657" s="2" t="n"/>
      <c r="B6657">
        <f>LOWER(TRIM(A6657))</f>
        <v/>
      </c>
      <c r="C6657">
        <f>IF(B6657="","",IFERROR(INDEX('Bad Patterns'!$A$2:$A$120,MATCH(1,INDEX(--ISNUMBER(SEARCH('Bad Patterns'!$A$2:$A$120,B6657)),0),0)),""))</f>
        <v/>
      </c>
      <c r="D6657">
        <f>IF(B6657="","",IF(C6657&lt;&gt;"","REMOVE","KEEP"))</f>
        <v/>
      </c>
      <c r="E6657">
        <f>IF(D6657&lt;&gt;"KEEP","",IF(RIGHT(B6657,10)="@gmail.com","Gmail",IF(OR(RIGHT(B6657,12)="@outlook.com",RIGHT(B6657,12)="@hotmail.com",RIGHT(B6657,9)="@live.com"),"Outlook","Domain")))</f>
        <v/>
      </c>
      <c r="F6657">
        <f>IF(B6657="","",IFERROR(RIGHT(B6657,LEN(B6657)-FIND("@",B6657)),""))</f>
        <v/>
      </c>
      <c r="G6657">
        <f>IF(D6657="KEEP",COUNTIF($D$2:D6657,"KEEP"),"")</f>
        <v/>
      </c>
      <c r="H6657">
        <f>IF(D6657="REMOVE",COUNTIF($D$2:D6657,"REMOVE"),"")</f>
        <v/>
      </c>
      <c r="I6657">
        <f>IF(E6657="Gmail",COUNTIF($E$2:E6657,"Gmail"),"")</f>
        <v/>
      </c>
      <c r="J6657">
        <f>IF(E6657="Outlook",COUNTIF($E$2:E6657,"Outlook"),"")</f>
        <v/>
      </c>
      <c r="K6657">
        <f>IF(E6657="Domain",COUNTIF($E$2:E6657,"Domain"),"")</f>
        <v/>
      </c>
    </row>
    <row r="6658">
      <c r="A6658" s="2" t="n"/>
      <c r="B6658">
        <f>LOWER(TRIM(A6658))</f>
        <v/>
      </c>
      <c r="C6658">
        <f>IF(B6658="","",IFERROR(INDEX('Bad Patterns'!$A$2:$A$120,MATCH(1,INDEX(--ISNUMBER(SEARCH('Bad Patterns'!$A$2:$A$120,B6658)),0),0)),""))</f>
        <v/>
      </c>
      <c r="D6658">
        <f>IF(B6658="","",IF(C6658&lt;&gt;"","REMOVE","KEEP"))</f>
        <v/>
      </c>
      <c r="E6658">
        <f>IF(D6658&lt;&gt;"KEEP","",IF(RIGHT(B6658,10)="@gmail.com","Gmail",IF(OR(RIGHT(B6658,12)="@outlook.com",RIGHT(B6658,12)="@hotmail.com",RIGHT(B6658,9)="@live.com"),"Outlook","Domain")))</f>
        <v/>
      </c>
      <c r="F6658">
        <f>IF(B6658="","",IFERROR(RIGHT(B6658,LEN(B6658)-FIND("@",B6658)),""))</f>
        <v/>
      </c>
      <c r="G6658">
        <f>IF(D6658="KEEP",COUNTIF($D$2:D6658,"KEEP"),"")</f>
        <v/>
      </c>
      <c r="H6658">
        <f>IF(D6658="REMOVE",COUNTIF($D$2:D6658,"REMOVE"),"")</f>
        <v/>
      </c>
      <c r="I6658">
        <f>IF(E6658="Gmail",COUNTIF($E$2:E6658,"Gmail"),"")</f>
        <v/>
      </c>
      <c r="J6658">
        <f>IF(E6658="Outlook",COUNTIF($E$2:E6658,"Outlook"),"")</f>
        <v/>
      </c>
      <c r="K6658">
        <f>IF(E6658="Domain",COUNTIF($E$2:E6658,"Domain"),"")</f>
        <v/>
      </c>
    </row>
    <row r="6659">
      <c r="A6659" s="2" t="n"/>
      <c r="B6659">
        <f>LOWER(TRIM(A6659))</f>
        <v/>
      </c>
      <c r="C6659">
        <f>IF(B6659="","",IFERROR(INDEX('Bad Patterns'!$A$2:$A$120,MATCH(1,INDEX(--ISNUMBER(SEARCH('Bad Patterns'!$A$2:$A$120,B6659)),0),0)),""))</f>
        <v/>
      </c>
      <c r="D6659">
        <f>IF(B6659="","",IF(C6659&lt;&gt;"","REMOVE","KEEP"))</f>
        <v/>
      </c>
      <c r="E6659">
        <f>IF(D6659&lt;&gt;"KEEP","",IF(RIGHT(B6659,10)="@gmail.com","Gmail",IF(OR(RIGHT(B6659,12)="@outlook.com",RIGHT(B6659,12)="@hotmail.com",RIGHT(B6659,9)="@live.com"),"Outlook","Domain")))</f>
        <v/>
      </c>
      <c r="F6659">
        <f>IF(B6659="","",IFERROR(RIGHT(B6659,LEN(B6659)-FIND("@",B6659)),""))</f>
        <v/>
      </c>
      <c r="G6659">
        <f>IF(D6659="KEEP",COUNTIF($D$2:D6659,"KEEP"),"")</f>
        <v/>
      </c>
      <c r="H6659">
        <f>IF(D6659="REMOVE",COUNTIF($D$2:D6659,"REMOVE"),"")</f>
        <v/>
      </c>
      <c r="I6659">
        <f>IF(E6659="Gmail",COUNTIF($E$2:E6659,"Gmail"),"")</f>
        <v/>
      </c>
      <c r="J6659">
        <f>IF(E6659="Outlook",COUNTIF($E$2:E6659,"Outlook"),"")</f>
        <v/>
      </c>
      <c r="K6659">
        <f>IF(E6659="Domain",COUNTIF($E$2:E6659,"Domain"),"")</f>
        <v/>
      </c>
    </row>
    <row r="6660">
      <c r="A6660" s="2" t="n"/>
      <c r="B6660">
        <f>LOWER(TRIM(A6660))</f>
        <v/>
      </c>
      <c r="C6660">
        <f>IF(B6660="","",IFERROR(INDEX('Bad Patterns'!$A$2:$A$120,MATCH(1,INDEX(--ISNUMBER(SEARCH('Bad Patterns'!$A$2:$A$120,B6660)),0),0)),""))</f>
        <v/>
      </c>
      <c r="D6660">
        <f>IF(B6660="","",IF(C6660&lt;&gt;"","REMOVE","KEEP"))</f>
        <v/>
      </c>
      <c r="E6660">
        <f>IF(D6660&lt;&gt;"KEEP","",IF(RIGHT(B6660,10)="@gmail.com","Gmail",IF(OR(RIGHT(B6660,12)="@outlook.com",RIGHT(B6660,12)="@hotmail.com",RIGHT(B6660,9)="@live.com"),"Outlook","Domain")))</f>
        <v/>
      </c>
      <c r="F6660">
        <f>IF(B6660="","",IFERROR(RIGHT(B6660,LEN(B6660)-FIND("@",B6660)),""))</f>
        <v/>
      </c>
      <c r="G6660">
        <f>IF(D6660="KEEP",COUNTIF($D$2:D6660,"KEEP"),"")</f>
        <v/>
      </c>
      <c r="H6660">
        <f>IF(D6660="REMOVE",COUNTIF($D$2:D6660,"REMOVE"),"")</f>
        <v/>
      </c>
      <c r="I6660">
        <f>IF(E6660="Gmail",COUNTIF($E$2:E6660,"Gmail"),"")</f>
        <v/>
      </c>
      <c r="J6660">
        <f>IF(E6660="Outlook",COUNTIF($E$2:E6660,"Outlook"),"")</f>
        <v/>
      </c>
      <c r="K6660">
        <f>IF(E6660="Domain",COUNTIF($E$2:E6660,"Domain"),"")</f>
        <v/>
      </c>
    </row>
    <row r="6661">
      <c r="A6661" s="2" t="n"/>
      <c r="B6661">
        <f>LOWER(TRIM(A6661))</f>
        <v/>
      </c>
      <c r="C6661">
        <f>IF(B6661="","",IFERROR(INDEX('Bad Patterns'!$A$2:$A$120,MATCH(1,INDEX(--ISNUMBER(SEARCH('Bad Patterns'!$A$2:$A$120,B6661)),0),0)),""))</f>
        <v/>
      </c>
      <c r="D6661">
        <f>IF(B6661="","",IF(C6661&lt;&gt;"","REMOVE","KEEP"))</f>
        <v/>
      </c>
      <c r="E6661">
        <f>IF(D6661&lt;&gt;"KEEP","",IF(RIGHT(B6661,10)="@gmail.com","Gmail",IF(OR(RIGHT(B6661,12)="@outlook.com",RIGHT(B6661,12)="@hotmail.com",RIGHT(B6661,9)="@live.com"),"Outlook","Domain")))</f>
        <v/>
      </c>
      <c r="F6661">
        <f>IF(B6661="","",IFERROR(RIGHT(B6661,LEN(B6661)-FIND("@",B6661)),""))</f>
        <v/>
      </c>
      <c r="G6661">
        <f>IF(D6661="KEEP",COUNTIF($D$2:D6661,"KEEP"),"")</f>
        <v/>
      </c>
      <c r="H6661">
        <f>IF(D6661="REMOVE",COUNTIF($D$2:D6661,"REMOVE"),"")</f>
        <v/>
      </c>
      <c r="I6661">
        <f>IF(E6661="Gmail",COUNTIF($E$2:E6661,"Gmail"),"")</f>
        <v/>
      </c>
      <c r="J6661">
        <f>IF(E6661="Outlook",COUNTIF($E$2:E6661,"Outlook"),"")</f>
        <v/>
      </c>
      <c r="K6661">
        <f>IF(E6661="Domain",COUNTIF($E$2:E6661,"Domain"),"")</f>
        <v/>
      </c>
    </row>
    <row r="6662">
      <c r="A6662" s="2" t="n"/>
      <c r="B6662">
        <f>LOWER(TRIM(A6662))</f>
        <v/>
      </c>
      <c r="C6662">
        <f>IF(B6662="","",IFERROR(INDEX('Bad Patterns'!$A$2:$A$120,MATCH(1,INDEX(--ISNUMBER(SEARCH('Bad Patterns'!$A$2:$A$120,B6662)),0),0)),""))</f>
        <v/>
      </c>
      <c r="D6662">
        <f>IF(B6662="","",IF(C6662&lt;&gt;"","REMOVE","KEEP"))</f>
        <v/>
      </c>
      <c r="E6662">
        <f>IF(D6662&lt;&gt;"KEEP","",IF(RIGHT(B6662,10)="@gmail.com","Gmail",IF(OR(RIGHT(B6662,12)="@outlook.com",RIGHT(B6662,12)="@hotmail.com",RIGHT(B6662,9)="@live.com"),"Outlook","Domain")))</f>
        <v/>
      </c>
      <c r="F6662">
        <f>IF(B6662="","",IFERROR(RIGHT(B6662,LEN(B6662)-FIND("@",B6662)),""))</f>
        <v/>
      </c>
      <c r="G6662">
        <f>IF(D6662="KEEP",COUNTIF($D$2:D6662,"KEEP"),"")</f>
        <v/>
      </c>
      <c r="H6662">
        <f>IF(D6662="REMOVE",COUNTIF($D$2:D6662,"REMOVE"),"")</f>
        <v/>
      </c>
      <c r="I6662">
        <f>IF(E6662="Gmail",COUNTIF($E$2:E6662,"Gmail"),"")</f>
        <v/>
      </c>
      <c r="J6662">
        <f>IF(E6662="Outlook",COUNTIF($E$2:E6662,"Outlook"),"")</f>
        <v/>
      </c>
      <c r="K6662">
        <f>IF(E6662="Domain",COUNTIF($E$2:E6662,"Domain"),"")</f>
        <v/>
      </c>
    </row>
    <row r="6663">
      <c r="A6663" s="2" t="n"/>
      <c r="B6663">
        <f>LOWER(TRIM(A6663))</f>
        <v/>
      </c>
      <c r="C6663">
        <f>IF(B6663="","",IFERROR(INDEX('Bad Patterns'!$A$2:$A$120,MATCH(1,INDEX(--ISNUMBER(SEARCH('Bad Patterns'!$A$2:$A$120,B6663)),0),0)),""))</f>
        <v/>
      </c>
      <c r="D6663">
        <f>IF(B6663="","",IF(C6663&lt;&gt;"","REMOVE","KEEP"))</f>
        <v/>
      </c>
      <c r="E6663">
        <f>IF(D6663&lt;&gt;"KEEP","",IF(RIGHT(B6663,10)="@gmail.com","Gmail",IF(OR(RIGHT(B6663,12)="@outlook.com",RIGHT(B6663,12)="@hotmail.com",RIGHT(B6663,9)="@live.com"),"Outlook","Domain")))</f>
        <v/>
      </c>
      <c r="F6663">
        <f>IF(B6663="","",IFERROR(RIGHT(B6663,LEN(B6663)-FIND("@",B6663)),""))</f>
        <v/>
      </c>
      <c r="G6663">
        <f>IF(D6663="KEEP",COUNTIF($D$2:D6663,"KEEP"),"")</f>
        <v/>
      </c>
      <c r="H6663">
        <f>IF(D6663="REMOVE",COUNTIF($D$2:D6663,"REMOVE"),"")</f>
        <v/>
      </c>
      <c r="I6663">
        <f>IF(E6663="Gmail",COUNTIF($E$2:E6663,"Gmail"),"")</f>
        <v/>
      </c>
      <c r="J6663">
        <f>IF(E6663="Outlook",COUNTIF($E$2:E6663,"Outlook"),"")</f>
        <v/>
      </c>
      <c r="K6663">
        <f>IF(E6663="Domain",COUNTIF($E$2:E6663,"Domain"),"")</f>
        <v/>
      </c>
    </row>
    <row r="6664">
      <c r="A6664" s="2" t="n"/>
      <c r="B6664">
        <f>LOWER(TRIM(A6664))</f>
        <v/>
      </c>
      <c r="C6664">
        <f>IF(B6664="","",IFERROR(INDEX('Bad Patterns'!$A$2:$A$120,MATCH(1,INDEX(--ISNUMBER(SEARCH('Bad Patterns'!$A$2:$A$120,B6664)),0),0)),""))</f>
        <v/>
      </c>
      <c r="D6664">
        <f>IF(B6664="","",IF(C6664&lt;&gt;"","REMOVE","KEEP"))</f>
        <v/>
      </c>
      <c r="E6664">
        <f>IF(D6664&lt;&gt;"KEEP","",IF(RIGHT(B6664,10)="@gmail.com","Gmail",IF(OR(RIGHT(B6664,12)="@outlook.com",RIGHT(B6664,12)="@hotmail.com",RIGHT(B6664,9)="@live.com"),"Outlook","Domain")))</f>
        <v/>
      </c>
      <c r="F6664">
        <f>IF(B6664="","",IFERROR(RIGHT(B6664,LEN(B6664)-FIND("@",B6664)),""))</f>
        <v/>
      </c>
      <c r="G6664">
        <f>IF(D6664="KEEP",COUNTIF($D$2:D6664,"KEEP"),"")</f>
        <v/>
      </c>
      <c r="H6664">
        <f>IF(D6664="REMOVE",COUNTIF($D$2:D6664,"REMOVE"),"")</f>
        <v/>
      </c>
      <c r="I6664">
        <f>IF(E6664="Gmail",COUNTIF($E$2:E6664,"Gmail"),"")</f>
        <v/>
      </c>
      <c r="J6664">
        <f>IF(E6664="Outlook",COUNTIF($E$2:E6664,"Outlook"),"")</f>
        <v/>
      </c>
      <c r="K6664">
        <f>IF(E6664="Domain",COUNTIF($E$2:E6664,"Domain"),"")</f>
        <v/>
      </c>
    </row>
    <row r="6665">
      <c r="A6665" s="2" t="n"/>
      <c r="B6665">
        <f>LOWER(TRIM(A6665))</f>
        <v/>
      </c>
      <c r="C6665">
        <f>IF(B6665="","",IFERROR(INDEX('Bad Patterns'!$A$2:$A$120,MATCH(1,INDEX(--ISNUMBER(SEARCH('Bad Patterns'!$A$2:$A$120,B6665)),0),0)),""))</f>
        <v/>
      </c>
      <c r="D6665">
        <f>IF(B6665="","",IF(C6665&lt;&gt;"","REMOVE","KEEP"))</f>
        <v/>
      </c>
      <c r="E6665">
        <f>IF(D6665&lt;&gt;"KEEP","",IF(RIGHT(B6665,10)="@gmail.com","Gmail",IF(OR(RIGHT(B6665,12)="@outlook.com",RIGHT(B6665,12)="@hotmail.com",RIGHT(B6665,9)="@live.com"),"Outlook","Domain")))</f>
        <v/>
      </c>
      <c r="F6665">
        <f>IF(B6665="","",IFERROR(RIGHT(B6665,LEN(B6665)-FIND("@",B6665)),""))</f>
        <v/>
      </c>
      <c r="G6665">
        <f>IF(D6665="KEEP",COUNTIF($D$2:D6665,"KEEP"),"")</f>
        <v/>
      </c>
      <c r="H6665">
        <f>IF(D6665="REMOVE",COUNTIF($D$2:D6665,"REMOVE"),"")</f>
        <v/>
      </c>
      <c r="I6665">
        <f>IF(E6665="Gmail",COUNTIF($E$2:E6665,"Gmail"),"")</f>
        <v/>
      </c>
      <c r="J6665">
        <f>IF(E6665="Outlook",COUNTIF($E$2:E6665,"Outlook"),"")</f>
        <v/>
      </c>
      <c r="K6665">
        <f>IF(E6665="Domain",COUNTIF($E$2:E6665,"Domain"),"")</f>
        <v/>
      </c>
    </row>
    <row r="6666">
      <c r="A6666" s="2" t="n"/>
      <c r="B6666">
        <f>LOWER(TRIM(A6666))</f>
        <v/>
      </c>
      <c r="C6666">
        <f>IF(B6666="","",IFERROR(INDEX('Bad Patterns'!$A$2:$A$120,MATCH(1,INDEX(--ISNUMBER(SEARCH('Bad Patterns'!$A$2:$A$120,B6666)),0),0)),""))</f>
        <v/>
      </c>
      <c r="D6666">
        <f>IF(B6666="","",IF(C6666&lt;&gt;"","REMOVE","KEEP"))</f>
        <v/>
      </c>
      <c r="E6666">
        <f>IF(D6666&lt;&gt;"KEEP","",IF(RIGHT(B6666,10)="@gmail.com","Gmail",IF(OR(RIGHT(B6666,12)="@outlook.com",RIGHT(B6666,12)="@hotmail.com",RIGHT(B6666,9)="@live.com"),"Outlook","Domain")))</f>
        <v/>
      </c>
      <c r="F6666">
        <f>IF(B6666="","",IFERROR(RIGHT(B6666,LEN(B6666)-FIND("@",B6666)),""))</f>
        <v/>
      </c>
      <c r="G6666">
        <f>IF(D6666="KEEP",COUNTIF($D$2:D6666,"KEEP"),"")</f>
        <v/>
      </c>
      <c r="H6666">
        <f>IF(D6666="REMOVE",COUNTIF($D$2:D6666,"REMOVE"),"")</f>
        <v/>
      </c>
      <c r="I6666">
        <f>IF(E6666="Gmail",COUNTIF($E$2:E6666,"Gmail"),"")</f>
        <v/>
      </c>
      <c r="J6666">
        <f>IF(E6666="Outlook",COUNTIF($E$2:E6666,"Outlook"),"")</f>
        <v/>
      </c>
      <c r="K6666">
        <f>IF(E6666="Domain",COUNTIF($E$2:E6666,"Domain"),"")</f>
        <v/>
      </c>
    </row>
    <row r="6667">
      <c r="A6667" s="2" t="n"/>
      <c r="B6667">
        <f>LOWER(TRIM(A6667))</f>
        <v/>
      </c>
      <c r="C6667">
        <f>IF(B6667="","",IFERROR(INDEX('Bad Patterns'!$A$2:$A$120,MATCH(1,INDEX(--ISNUMBER(SEARCH('Bad Patterns'!$A$2:$A$120,B6667)),0),0)),""))</f>
        <v/>
      </c>
      <c r="D6667">
        <f>IF(B6667="","",IF(C6667&lt;&gt;"","REMOVE","KEEP"))</f>
        <v/>
      </c>
      <c r="E6667">
        <f>IF(D6667&lt;&gt;"KEEP","",IF(RIGHT(B6667,10)="@gmail.com","Gmail",IF(OR(RIGHT(B6667,12)="@outlook.com",RIGHT(B6667,12)="@hotmail.com",RIGHT(B6667,9)="@live.com"),"Outlook","Domain")))</f>
        <v/>
      </c>
      <c r="F6667">
        <f>IF(B6667="","",IFERROR(RIGHT(B6667,LEN(B6667)-FIND("@",B6667)),""))</f>
        <v/>
      </c>
      <c r="G6667">
        <f>IF(D6667="KEEP",COUNTIF($D$2:D6667,"KEEP"),"")</f>
        <v/>
      </c>
      <c r="H6667">
        <f>IF(D6667="REMOVE",COUNTIF($D$2:D6667,"REMOVE"),"")</f>
        <v/>
      </c>
      <c r="I6667">
        <f>IF(E6667="Gmail",COUNTIF($E$2:E6667,"Gmail"),"")</f>
        <v/>
      </c>
      <c r="J6667">
        <f>IF(E6667="Outlook",COUNTIF($E$2:E6667,"Outlook"),"")</f>
        <v/>
      </c>
      <c r="K6667">
        <f>IF(E6667="Domain",COUNTIF($E$2:E6667,"Domain"),"")</f>
        <v/>
      </c>
    </row>
    <row r="6668">
      <c r="A6668" s="2" t="n"/>
      <c r="B6668">
        <f>LOWER(TRIM(A6668))</f>
        <v/>
      </c>
      <c r="C6668">
        <f>IF(B6668="","",IFERROR(INDEX('Bad Patterns'!$A$2:$A$120,MATCH(1,INDEX(--ISNUMBER(SEARCH('Bad Patterns'!$A$2:$A$120,B6668)),0),0)),""))</f>
        <v/>
      </c>
      <c r="D6668">
        <f>IF(B6668="","",IF(C6668&lt;&gt;"","REMOVE","KEEP"))</f>
        <v/>
      </c>
      <c r="E6668">
        <f>IF(D6668&lt;&gt;"KEEP","",IF(RIGHT(B6668,10)="@gmail.com","Gmail",IF(OR(RIGHT(B6668,12)="@outlook.com",RIGHT(B6668,12)="@hotmail.com",RIGHT(B6668,9)="@live.com"),"Outlook","Domain")))</f>
        <v/>
      </c>
      <c r="F6668">
        <f>IF(B6668="","",IFERROR(RIGHT(B6668,LEN(B6668)-FIND("@",B6668)),""))</f>
        <v/>
      </c>
      <c r="G6668">
        <f>IF(D6668="KEEP",COUNTIF($D$2:D6668,"KEEP"),"")</f>
        <v/>
      </c>
      <c r="H6668">
        <f>IF(D6668="REMOVE",COUNTIF($D$2:D6668,"REMOVE"),"")</f>
        <v/>
      </c>
      <c r="I6668">
        <f>IF(E6668="Gmail",COUNTIF($E$2:E6668,"Gmail"),"")</f>
        <v/>
      </c>
      <c r="J6668">
        <f>IF(E6668="Outlook",COUNTIF($E$2:E6668,"Outlook"),"")</f>
        <v/>
      </c>
      <c r="K6668">
        <f>IF(E6668="Domain",COUNTIF($E$2:E6668,"Domain"),"")</f>
        <v/>
      </c>
    </row>
    <row r="6669">
      <c r="A6669" s="2" t="n"/>
      <c r="B6669">
        <f>LOWER(TRIM(A6669))</f>
        <v/>
      </c>
      <c r="C6669">
        <f>IF(B6669="","",IFERROR(INDEX('Bad Patterns'!$A$2:$A$120,MATCH(1,INDEX(--ISNUMBER(SEARCH('Bad Patterns'!$A$2:$A$120,B6669)),0),0)),""))</f>
        <v/>
      </c>
      <c r="D6669">
        <f>IF(B6669="","",IF(C6669&lt;&gt;"","REMOVE","KEEP"))</f>
        <v/>
      </c>
      <c r="E6669">
        <f>IF(D6669&lt;&gt;"KEEP","",IF(RIGHT(B6669,10)="@gmail.com","Gmail",IF(OR(RIGHT(B6669,12)="@outlook.com",RIGHT(B6669,12)="@hotmail.com",RIGHT(B6669,9)="@live.com"),"Outlook","Domain")))</f>
        <v/>
      </c>
      <c r="F6669">
        <f>IF(B6669="","",IFERROR(RIGHT(B6669,LEN(B6669)-FIND("@",B6669)),""))</f>
        <v/>
      </c>
      <c r="G6669">
        <f>IF(D6669="KEEP",COUNTIF($D$2:D6669,"KEEP"),"")</f>
        <v/>
      </c>
      <c r="H6669">
        <f>IF(D6669="REMOVE",COUNTIF($D$2:D6669,"REMOVE"),"")</f>
        <v/>
      </c>
      <c r="I6669">
        <f>IF(E6669="Gmail",COUNTIF($E$2:E6669,"Gmail"),"")</f>
        <v/>
      </c>
      <c r="J6669">
        <f>IF(E6669="Outlook",COUNTIF($E$2:E6669,"Outlook"),"")</f>
        <v/>
      </c>
      <c r="K6669">
        <f>IF(E6669="Domain",COUNTIF($E$2:E6669,"Domain"),"")</f>
        <v/>
      </c>
    </row>
    <row r="6670">
      <c r="A6670" s="2" t="n"/>
      <c r="B6670">
        <f>LOWER(TRIM(A6670))</f>
        <v/>
      </c>
      <c r="C6670">
        <f>IF(B6670="","",IFERROR(INDEX('Bad Patterns'!$A$2:$A$120,MATCH(1,INDEX(--ISNUMBER(SEARCH('Bad Patterns'!$A$2:$A$120,B6670)),0),0)),""))</f>
        <v/>
      </c>
      <c r="D6670">
        <f>IF(B6670="","",IF(C6670&lt;&gt;"","REMOVE","KEEP"))</f>
        <v/>
      </c>
      <c r="E6670">
        <f>IF(D6670&lt;&gt;"KEEP","",IF(RIGHT(B6670,10)="@gmail.com","Gmail",IF(OR(RIGHT(B6670,12)="@outlook.com",RIGHT(B6670,12)="@hotmail.com",RIGHT(B6670,9)="@live.com"),"Outlook","Domain")))</f>
        <v/>
      </c>
      <c r="F6670">
        <f>IF(B6670="","",IFERROR(RIGHT(B6670,LEN(B6670)-FIND("@",B6670)),""))</f>
        <v/>
      </c>
      <c r="G6670">
        <f>IF(D6670="KEEP",COUNTIF($D$2:D6670,"KEEP"),"")</f>
        <v/>
      </c>
      <c r="H6670">
        <f>IF(D6670="REMOVE",COUNTIF($D$2:D6670,"REMOVE"),"")</f>
        <v/>
      </c>
      <c r="I6670">
        <f>IF(E6670="Gmail",COUNTIF($E$2:E6670,"Gmail"),"")</f>
        <v/>
      </c>
      <c r="J6670">
        <f>IF(E6670="Outlook",COUNTIF($E$2:E6670,"Outlook"),"")</f>
        <v/>
      </c>
      <c r="K6670">
        <f>IF(E6670="Domain",COUNTIF($E$2:E6670,"Domain"),"")</f>
        <v/>
      </c>
    </row>
    <row r="6671">
      <c r="A6671" s="2" t="n"/>
      <c r="B6671">
        <f>LOWER(TRIM(A6671))</f>
        <v/>
      </c>
      <c r="C6671">
        <f>IF(B6671="","",IFERROR(INDEX('Bad Patterns'!$A$2:$A$120,MATCH(1,INDEX(--ISNUMBER(SEARCH('Bad Patterns'!$A$2:$A$120,B6671)),0),0)),""))</f>
        <v/>
      </c>
      <c r="D6671">
        <f>IF(B6671="","",IF(C6671&lt;&gt;"","REMOVE","KEEP"))</f>
        <v/>
      </c>
      <c r="E6671">
        <f>IF(D6671&lt;&gt;"KEEP","",IF(RIGHT(B6671,10)="@gmail.com","Gmail",IF(OR(RIGHT(B6671,12)="@outlook.com",RIGHT(B6671,12)="@hotmail.com",RIGHT(B6671,9)="@live.com"),"Outlook","Domain")))</f>
        <v/>
      </c>
      <c r="F6671">
        <f>IF(B6671="","",IFERROR(RIGHT(B6671,LEN(B6671)-FIND("@",B6671)),""))</f>
        <v/>
      </c>
      <c r="G6671">
        <f>IF(D6671="KEEP",COUNTIF($D$2:D6671,"KEEP"),"")</f>
        <v/>
      </c>
      <c r="H6671">
        <f>IF(D6671="REMOVE",COUNTIF($D$2:D6671,"REMOVE"),"")</f>
        <v/>
      </c>
      <c r="I6671">
        <f>IF(E6671="Gmail",COUNTIF($E$2:E6671,"Gmail"),"")</f>
        <v/>
      </c>
      <c r="J6671">
        <f>IF(E6671="Outlook",COUNTIF($E$2:E6671,"Outlook"),"")</f>
        <v/>
      </c>
      <c r="K6671">
        <f>IF(E6671="Domain",COUNTIF($E$2:E6671,"Domain"),"")</f>
        <v/>
      </c>
    </row>
    <row r="6672">
      <c r="A6672" s="2" t="n"/>
      <c r="B6672">
        <f>LOWER(TRIM(A6672))</f>
        <v/>
      </c>
      <c r="C6672">
        <f>IF(B6672="","",IFERROR(INDEX('Bad Patterns'!$A$2:$A$120,MATCH(1,INDEX(--ISNUMBER(SEARCH('Bad Patterns'!$A$2:$A$120,B6672)),0),0)),""))</f>
        <v/>
      </c>
      <c r="D6672">
        <f>IF(B6672="","",IF(C6672&lt;&gt;"","REMOVE","KEEP"))</f>
        <v/>
      </c>
      <c r="E6672">
        <f>IF(D6672&lt;&gt;"KEEP","",IF(RIGHT(B6672,10)="@gmail.com","Gmail",IF(OR(RIGHT(B6672,12)="@outlook.com",RIGHT(B6672,12)="@hotmail.com",RIGHT(B6672,9)="@live.com"),"Outlook","Domain")))</f>
        <v/>
      </c>
      <c r="F6672">
        <f>IF(B6672="","",IFERROR(RIGHT(B6672,LEN(B6672)-FIND("@",B6672)),""))</f>
        <v/>
      </c>
      <c r="G6672">
        <f>IF(D6672="KEEP",COUNTIF($D$2:D6672,"KEEP"),"")</f>
        <v/>
      </c>
      <c r="H6672">
        <f>IF(D6672="REMOVE",COUNTIF($D$2:D6672,"REMOVE"),"")</f>
        <v/>
      </c>
      <c r="I6672">
        <f>IF(E6672="Gmail",COUNTIF($E$2:E6672,"Gmail"),"")</f>
        <v/>
      </c>
      <c r="J6672">
        <f>IF(E6672="Outlook",COUNTIF($E$2:E6672,"Outlook"),"")</f>
        <v/>
      </c>
      <c r="K6672">
        <f>IF(E6672="Domain",COUNTIF($E$2:E6672,"Domain"),"")</f>
        <v/>
      </c>
    </row>
    <row r="6673">
      <c r="A6673" s="2" t="n"/>
      <c r="B6673">
        <f>LOWER(TRIM(A6673))</f>
        <v/>
      </c>
      <c r="C6673">
        <f>IF(B6673="","",IFERROR(INDEX('Bad Patterns'!$A$2:$A$120,MATCH(1,INDEX(--ISNUMBER(SEARCH('Bad Patterns'!$A$2:$A$120,B6673)),0),0)),""))</f>
        <v/>
      </c>
      <c r="D6673">
        <f>IF(B6673="","",IF(C6673&lt;&gt;"","REMOVE","KEEP"))</f>
        <v/>
      </c>
      <c r="E6673">
        <f>IF(D6673&lt;&gt;"KEEP","",IF(RIGHT(B6673,10)="@gmail.com","Gmail",IF(OR(RIGHT(B6673,12)="@outlook.com",RIGHT(B6673,12)="@hotmail.com",RIGHT(B6673,9)="@live.com"),"Outlook","Domain")))</f>
        <v/>
      </c>
      <c r="F6673">
        <f>IF(B6673="","",IFERROR(RIGHT(B6673,LEN(B6673)-FIND("@",B6673)),""))</f>
        <v/>
      </c>
      <c r="G6673">
        <f>IF(D6673="KEEP",COUNTIF($D$2:D6673,"KEEP"),"")</f>
        <v/>
      </c>
      <c r="H6673">
        <f>IF(D6673="REMOVE",COUNTIF($D$2:D6673,"REMOVE"),"")</f>
        <v/>
      </c>
      <c r="I6673">
        <f>IF(E6673="Gmail",COUNTIF($E$2:E6673,"Gmail"),"")</f>
        <v/>
      </c>
      <c r="J6673">
        <f>IF(E6673="Outlook",COUNTIF($E$2:E6673,"Outlook"),"")</f>
        <v/>
      </c>
      <c r="K6673">
        <f>IF(E6673="Domain",COUNTIF($E$2:E6673,"Domain"),"")</f>
        <v/>
      </c>
    </row>
    <row r="6674">
      <c r="A6674" s="2" t="n"/>
      <c r="B6674">
        <f>LOWER(TRIM(A6674))</f>
        <v/>
      </c>
      <c r="C6674">
        <f>IF(B6674="","",IFERROR(INDEX('Bad Patterns'!$A$2:$A$120,MATCH(1,INDEX(--ISNUMBER(SEARCH('Bad Patterns'!$A$2:$A$120,B6674)),0),0)),""))</f>
        <v/>
      </c>
      <c r="D6674">
        <f>IF(B6674="","",IF(C6674&lt;&gt;"","REMOVE","KEEP"))</f>
        <v/>
      </c>
      <c r="E6674">
        <f>IF(D6674&lt;&gt;"KEEP","",IF(RIGHT(B6674,10)="@gmail.com","Gmail",IF(OR(RIGHT(B6674,12)="@outlook.com",RIGHT(B6674,12)="@hotmail.com",RIGHT(B6674,9)="@live.com"),"Outlook","Domain")))</f>
        <v/>
      </c>
      <c r="F6674">
        <f>IF(B6674="","",IFERROR(RIGHT(B6674,LEN(B6674)-FIND("@",B6674)),""))</f>
        <v/>
      </c>
      <c r="G6674">
        <f>IF(D6674="KEEP",COUNTIF($D$2:D6674,"KEEP"),"")</f>
        <v/>
      </c>
      <c r="H6674">
        <f>IF(D6674="REMOVE",COUNTIF($D$2:D6674,"REMOVE"),"")</f>
        <v/>
      </c>
      <c r="I6674">
        <f>IF(E6674="Gmail",COUNTIF($E$2:E6674,"Gmail"),"")</f>
        <v/>
      </c>
      <c r="J6674">
        <f>IF(E6674="Outlook",COUNTIF($E$2:E6674,"Outlook"),"")</f>
        <v/>
      </c>
      <c r="K6674">
        <f>IF(E6674="Domain",COUNTIF($E$2:E6674,"Domain"),"")</f>
        <v/>
      </c>
    </row>
    <row r="6675">
      <c r="A6675" s="2" t="n"/>
      <c r="B6675">
        <f>LOWER(TRIM(A6675))</f>
        <v/>
      </c>
      <c r="C6675">
        <f>IF(B6675="","",IFERROR(INDEX('Bad Patterns'!$A$2:$A$120,MATCH(1,INDEX(--ISNUMBER(SEARCH('Bad Patterns'!$A$2:$A$120,B6675)),0),0)),""))</f>
        <v/>
      </c>
      <c r="D6675">
        <f>IF(B6675="","",IF(C6675&lt;&gt;"","REMOVE","KEEP"))</f>
        <v/>
      </c>
      <c r="E6675">
        <f>IF(D6675&lt;&gt;"KEEP","",IF(RIGHT(B6675,10)="@gmail.com","Gmail",IF(OR(RIGHT(B6675,12)="@outlook.com",RIGHT(B6675,12)="@hotmail.com",RIGHT(B6675,9)="@live.com"),"Outlook","Domain")))</f>
        <v/>
      </c>
      <c r="F6675">
        <f>IF(B6675="","",IFERROR(RIGHT(B6675,LEN(B6675)-FIND("@",B6675)),""))</f>
        <v/>
      </c>
      <c r="G6675">
        <f>IF(D6675="KEEP",COUNTIF($D$2:D6675,"KEEP"),"")</f>
        <v/>
      </c>
      <c r="H6675">
        <f>IF(D6675="REMOVE",COUNTIF($D$2:D6675,"REMOVE"),"")</f>
        <v/>
      </c>
      <c r="I6675">
        <f>IF(E6675="Gmail",COUNTIF($E$2:E6675,"Gmail"),"")</f>
        <v/>
      </c>
      <c r="J6675">
        <f>IF(E6675="Outlook",COUNTIF($E$2:E6675,"Outlook"),"")</f>
        <v/>
      </c>
      <c r="K6675">
        <f>IF(E6675="Domain",COUNTIF($E$2:E6675,"Domain"),"")</f>
        <v/>
      </c>
    </row>
    <row r="6676">
      <c r="A6676" s="2" t="n"/>
      <c r="B6676">
        <f>LOWER(TRIM(A6676))</f>
        <v/>
      </c>
      <c r="C6676">
        <f>IF(B6676="","",IFERROR(INDEX('Bad Patterns'!$A$2:$A$120,MATCH(1,INDEX(--ISNUMBER(SEARCH('Bad Patterns'!$A$2:$A$120,B6676)),0),0)),""))</f>
        <v/>
      </c>
      <c r="D6676">
        <f>IF(B6676="","",IF(C6676&lt;&gt;"","REMOVE","KEEP"))</f>
        <v/>
      </c>
      <c r="E6676">
        <f>IF(D6676&lt;&gt;"KEEP","",IF(RIGHT(B6676,10)="@gmail.com","Gmail",IF(OR(RIGHT(B6676,12)="@outlook.com",RIGHT(B6676,12)="@hotmail.com",RIGHT(B6676,9)="@live.com"),"Outlook","Domain")))</f>
        <v/>
      </c>
      <c r="F6676">
        <f>IF(B6676="","",IFERROR(RIGHT(B6676,LEN(B6676)-FIND("@",B6676)),""))</f>
        <v/>
      </c>
      <c r="G6676">
        <f>IF(D6676="KEEP",COUNTIF($D$2:D6676,"KEEP"),"")</f>
        <v/>
      </c>
      <c r="H6676">
        <f>IF(D6676="REMOVE",COUNTIF($D$2:D6676,"REMOVE"),"")</f>
        <v/>
      </c>
      <c r="I6676">
        <f>IF(E6676="Gmail",COUNTIF($E$2:E6676,"Gmail"),"")</f>
        <v/>
      </c>
      <c r="J6676">
        <f>IF(E6676="Outlook",COUNTIF($E$2:E6676,"Outlook"),"")</f>
        <v/>
      </c>
      <c r="K6676">
        <f>IF(E6676="Domain",COUNTIF($E$2:E6676,"Domain"),"")</f>
        <v/>
      </c>
    </row>
    <row r="6677">
      <c r="A6677" s="2" t="n"/>
      <c r="B6677">
        <f>LOWER(TRIM(A6677))</f>
        <v/>
      </c>
      <c r="C6677">
        <f>IF(B6677="","",IFERROR(INDEX('Bad Patterns'!$A$2:$A$120,MATCH(1,INDEX(--ISNUMBER(SEARCH('Bad Patterns'!$A$2:$A$120,B6677)),0),0)),""))</f>
        <v/>
      </c>
      <c r="D6677">
        <f>IF(B6677="","",IF(C6677&lt;&gt;"","REMOVE","KEEP"))</f>
        <v/>
      </c>
      <c r="E6677">
        <f>IF(D6677&lt;&gt;"KEEP","",IF(RIGHT(B6677,10)="@gmail.com","Gmail",IF(OR(RIGHT(B6677,12)="@outlook.com",RIGHT(B6677,12)="@hotmail.com",RIGHT(B6677,9)="@live.com"),"Outlook","Domain")))</f>
        <v/>
      </c>
      <c r="F6677">
        <f>IF(B6677="","",IFERROR(RIGHT(B6677,LEN(B6677)-FIND("@",B6677)),""))</f>
        <v/>
      </c>
      <c r="G6677">
        <f>IF(D6677="KEEP",COUNTIF($D$2:D6677,"KEEP"),"")</f>
        <v/>
      </c>
      <c r="H6677">
        <f>IF(D6677="REMOVE",COUNTIF($D$2:D6677,"REMOVE"),"")</f>
        <v/>
      </c>
      <c r="I6677">
        <f>IF(E6677="Gmail",COUNTIF($E$2:E6677,"Gmail"),"")</f>
        <v/>
      </c>
      <c r="J6677">
        <f>IF(E6677="Outlook",COUNTIF($E$2:E6677,"Outlook"),"")</f>
        <v/>
      </c>
      <c r="K6677">
        <f>IF(E6677="Domain",COUNTIF($E$2:E6677,"Domain"),"")</f>
        <v/>
      </c>
    </row>
    <row r="6678">
      <c r="A6678" s="2" t="n"/>
      <c r="B6678">
        <f>LOWER(TRIM(A6678))</f>
        <v/>
      </c>
      <c r="C6678">
        <f>IF(B6678="","",IFERROR(INDEX('Bad Patterns'!$A$2:$A$120,MATCH(1,INDEX(--ISNUMBER(SEARCH('Bad Patterns'!$A$2:$A$120,B6678)),0),0)),""))</f>
        <v/>
      </c>
      <c r="D6678">
        <f>IF(B6678="","",IF(C6678&lt;&gt;"","REMOVE","KEEP"))</f>
        <v/>
      </c>
      <c r="E6678">
        <f>IF(D6678&lt;&gt;"KEEP","",IF(RIGHT(B6678,10)="@gmail.com","Gmail",IF(OR(RIGHT(B6678,12)="@outlook.com",RIGHT(B6678,12)="@hotmail.com",RIGHT(B6678,9)="@live.com"),"Outlook","Domain")))</f>
        <v/>
      </c>
      <c r="F6678">
        <f>IF(B6678="","",IFERROR(RIGHT(B6678,LEN(B6678)-FIND("@",B6678)),""))</f>
        <v/>
      </c>
      <c r="G6678">
        <f>IF(D6678="KEEP",COUNTIF($D$2:D6678,"KEEP"),"")</f>
        <v/>
      </c>
      <c r="H6678">
        <f>IF(D6678="REMOVE",COUNTIF($D$2:D6678,"REMOVE"),"")</f>
        <v/>
      </c>
      <c r="I6678">
        <f>IF(E6678="Gmail",COUNTIF($E$2:E6678,"Gmail"),"")</f>
        <v/>
      </c>
      <c r="J6678">
        <f>IF(E6678="Outlook",COUNTIF($E$2:E6678,"Outlook"),"")</f>
        <v/>
      </c>
      <c r="K6678">
        <f>IF(E6678="Domain",COUNTIF($E$2:E6678,"Domain"),"")</f>
        <v/>
      </c>
    </row>
    <row r="6679">
      <c r="A6679" s="2" t="n"/>
      <c r="B6679">
        <f>LOWER(TRIM(A6679))</f>
        <v/>
      </c>
      <c r="C6679">
        <f>IF(B6679="","",IFERROR(INDEX('Bad Patterns'!$A$2:$A$120,MATCH(1,INDEX(--ISNUMBER(SEARCH('Bad Patterns'!$A$2:$A$120,B6679)),0),0)),""))</f>
        <v/>
      </c>
      <c r="D6679">
        <f>IF(B6679="","",IF(C6679&lt;&gt;"","REMOVE","KEEP"))</f>
        <v/>
      </c>
      <c r="E6679">
        <f>IF(D6679&lt;&gt;"KEEP","",IF(RIGHT(B6679,10)="@gmail.com","Gmail",IF(OR(RIGHT(B6679,12)="@outlook.com",RIGHT(B6679,12)="@hotmail.com",RIGHT(B6679,9)="@live.com"),"Outlook","Domain")))</f>
        <v/>
      </c>
      <c r="F6679">
        <f>IF(B6679="","",IFERROR(RIGHT(B6679,LEN(B6679)-FIND("@",B6679)),""))</f>
        <v/>
      </c>
      <c r="G6679">
        <f>IF(D6679="KEEP",COUNTIF($D$2:D6679,"KEEP"),"")</f>
        <v/>
      </c>
      <c r="H6679">
        <f>IF(D6679="REMOVE",COUNTIF($D$2:D6679,"REMOVE"),"")</f>
        <v/>
      </c>
      <c r="I6679">
        <f>IF(E6679="Gmail",COUNTIF($E$2:E6679,"Gmail"),"")</f>
        <v/>
      </c>
      <c r="J6679">
        <f>IF(E6679="Outlook",COUNTIF($E$2:E6679,"Outlook"),"")</f>
        <v/>
      </c>
      <c r="K6679">
        <f>IF(E6679="Domain",COUNTIF($E$2:E6679,"Domain"),"")</f>
        <v/>
      </c>
    </row>
    <row r="6680">
      <c r="A6680" s="2" t="n"/>
      <c r="B6680">
        <f>LOWER(TRIM(A6680))</f>
        <v/>
      </c>
      <c r="C6680">
        <f>IF(B6680="","",IFERROR(INDEX('Bad Patterns'!$A$2:$A$120,MATCH(1,INDEX(--ISNUMBER(SEARCH('Bad Patterns'!$A$2:$A$120,B6680)),0),0)),""))</f>
        <v/>
      </c>
      <c r="D6680">
        <f>IF(B6680="","",IF(C6680&lt;&gt;"","REMOVE","KEEP"))</f>
        <v/>
      </c>
      <c r="E6680">
        <f>IF(D6680&lt;&gt;"KEEP","",IF(RIGHT(B6680,10)="@gmail.com","Gmail",IF(OR(RIGHT(B6680,12)="@outlook.com",RIGHT(B6680,12)="@hotmail.com",RIGHT(B6680,9)="@live.com"),"Outlook","Domain")))</f>
        <v/>
      </c>
      <c r="F6680">
        <f>IF(B6680="","",IFERROR(RIGHT(B6680,LEN(B6680)-FIND("@",B6680)),""))</f>
        <v/>
      </c>
      <c r="G6680">
        <f>IF(D6680="KEEP",COUNTIF($D$2:D6680,"KEEP"),"")</f>
        <v/>
      </c>
      <c r="H6680">
        <f>IF(D6680="REMOVE",COUNTIF($D$2:D6680,"REMOVE"),"")</f>
        <v/>
      </c>
      <c r="I6680">
        <f>IF(E6680="Gmail",COUNTIF($E$2:E6680,"Gmail"),"")</f>
        <v/>
      </c>
      <c r="J6680">
        <f>IF(E6680="Outlook",COUNTIF($E$2:E6680,"Outlook"),"")</f>
        <v/>
      </c>
      <c r="K6680">
        <f>IF(E6680="Domain",COUNTIF($E$2:E6680,"Domain"),"")</f>
        <v/>
      </c>
    </row>
    <row r="6681">
      <c r="A6681" s="2" t="n"/>
      <c r="B6681">
        <f>LOWER(TRIM(A6681))</f>
        <v/>
      </c>
      <c r="C6681">
        <f>IF(B6681="","",IFERROR(INDEX('Bad Patterns'!$A$2:$A$120,MATCH(1,INDEX(--ISNUMBER(SEARCH('Bad Patterns'!$A$2:$A$120,B6681)),0),0)),""))</f>
        <v/>
      </c>
      <c r="D6681">
        <f>IF(B6681="","",IF(C6681&lt;&gt;"","REMOVE","KEEP"))</f>
        <v/>
      </c>
      <c r="E6681">
        <f>IF(D6681&lt;&gt;"KEEP","",IF(RIGHT(B6681,10)="@gmail.com","Gmail",IF(OR(RIGHT(B6681,12)="@outlook.com",RIGHT(B6681,12)="@hotmail.com",RIGHT(B6681,9)="@live.com"),"Outlook","Domain")))</f>
        <v/>
      </c>
      <c r="F6681">
        <f>IF(B6681="","",IFERROR(RIGHT(B6681,LEN(B6681)-FIND("@",B6681)),""))</f>
        <v/>
      </c>
      <c r="G6681">
        <f>IF(D6681="KEEP",COUNTIF($D$2:D6681,"KEEP"),"")</f>
        <v/>
      </c>
      <c r="H6681">
        <f>IF(D6681="REMOVE",COUNTIF($D$2:D6681,"REMOVE"),"")</f>
        <v/>
      </c>
      <c r="I6681">
        <f>IF(E6681="Gmail",COUNTIF($E$2:E6681,"Gmail"),"")</f>
        <v/>
      </c>
      <c r="J6681">
        <f>IF(E6681="Outlook",COUNTIF($E$2:E6681,"Outlook"),"")</f>
        <v/>
      </c>
      <c r="K6681">
        <f>IF(E6681="Domain",COUNTIF($E$2:E6681,"Domain"),"")</f>
        <v/>
      </c>
    </row>
    <row r="6682">
      <c r="A6682" s="2" t="n"/>
      <c r="B6682">
        <f>LOWER(TRIM(A6682))</f>
        <v/>
      </c>
      <c r="C6682">
        <f>IF(B6682="","",IFERROR(INDEX('Bad Patterns'!$A$2:$A$120,MATCH(1,INDEX(--ISNUMBER(SEARCH('Bad Patterns'!$A$2:$A$120,B6682)),0),0)),""))</f>
        <v/>
      </c>
      <c r="D6682">
        <f>IF(B6682="","",IF(C6682&lt;&gt;"","REMOVE","KEEP"))</f>
        <v/>
      </c>
      <c r="E6682">
        <f>IF(D6682&lt;&gt;"KEEP","",IF(RIGHT(B6682,10)="@gmail.com","Gmail",IF(OR(RIGHT(B6682,12)="@outlook.com",RIGHT(B6682,12)="@hotmail.com",RIGHT(B6682,9)="@live.com"),"Outlook","Domain")))</f>
        <v/>
      </c>
      <c r="F6682">
        <f>IF(B6682="","",IFERROR(RIGHT(B6682,LEN(B6682)-FIND("@",B6682)),""))</f>
        <v/>
      </c>
      <c r="G6682">
        <f>IF(D6682="KEEP",COUNTIF($D$2:D6682,"KEEP"),"")</f>
        <v/>
      </c>
      <c r="H6682">
        <f>IF(D6682="REMOVE",COUNTIF($D$2:D6682,"REMOVE"),"")</f>
        <v/>
      </c>
      <c r="I6682">
        <f>IF(E6682="Gmail",COUNTIF($E$2:E6682,"Gmail"),"")</f>
        <v/>
      </c>
      <c r="J6682">
        <f>IF(E6682="Outlook",COUNTIF($E$2:E6682,"Outlook"),"")</f>
        <v/>
      </c>
      <c r="K6682">
        <f>IF(E6682="Domain",COUNTIF($E$2:E6682,"Domain"),"")</f>
        <v/>
      </c>
    </row>
    <row r="6683">
      <c r="A6683" s="2" t="n"/>
      <c r="B6683">
        <f>LOWER(TRIM(A6683))</f>
        <v/>
      </c>
      <c r="C6683">
        <f>IF(B6683="","",IFERROR(INDEX('Bad Patterns'!$A$2:$A$120,MATCH(1,INDEX(--ISNUMBER(SEARCH('Bad Patterns'!$A$2:$A$120,B6683)),0),0)),""))</f>
        <v/>
      </c>
      <c r="D6683">
        <f>IF(B6683="","",IF(C6683&lt;&gt;"","REMOVE","KEEP"))</f>
        <v/>
      </c>
      <c r="E6683">
        <f>IF(D6683&lt;&gt;"KEEP","",IF(RIGHT(B6683,10)="@gmail.com","Gmail",IF(OR(RIGHT(B6683,12)="@outlook.com",RIGHT(B6683,12)="@hotmail.com",RIGHT(B6683,9)="@live.com"),"Outlook","Domain")))</f>
        <v/>
      </c>
      <c r="F6683">
        <f>IF(B6683="","",IFERROR(RIGHT(B6683,LEN(B6683)-FIND("@",B6683)),""))</f>
        <v/>
      </c>
      <c r="G6683">
        <f>IF(D6683="KEEP",COUNTIF($D$2:D6683,"KEEP"),"")</f>
        <v/>
      </c>
      <c r="H6683">
        <f>IF(D6683="REMOVE",COUNTIF($D$2:D6683,"REMOVE"),"")</f>
        <v/>
      </c>
      <c r="I6683">
        <f>IF(E6683="Gmail",COUNTIF($E$2:E6683,"Gmail"),"")</f>
        <v/>
      </c>
      <c r="J6683">
        <f>IF(E6683="Outlook",COUNTIF($E$2:E6683,"Outlook"),"")</f>
        <v/>
      </c>
      <c r="K6683">
        <f>IF(E6683="Domain",COUNTIF($E$2:E6683,"Domain"),"")</f>
        <v/>
      </c>
    </row>
    <row r="6684">
      <c r="A6684" s="2" t="n"/>
      <c r="B6684">
        <f>LOWER(TRIM(A6684))</f>
        <v/>
      </c>
      <c r="C6684">
        <f>IF(B6684="","",IFERROR(INDEX('Bad Patterns'!$A$2:$A$120,MATCH(1,INDEX(--ISNUMBER(SEARCH('Bad Patterns'!$A$2:$A$120,B6684)),0),0)),""))</f>
        <v/>
      </c>
      <c r="D6684">
        <f>IF(B6684="","",IF(C6684&lt;&gt;"","REMOVE","KEEP"))</f>
        <v/>
      </c>
      <c r="E6684">
        <f>IF(D6684&lt;&gt;"KEEP","",IF(RIGHT(B6684,10)="@gmail.com","Gmail",IF(OR(RIGHT(B6684,12)="@outlook.com",RIGHT(B6684,12)="@hotmail.com",RIGHT(B6684,9)="@live.com"),"Outlook","Domain")))</f>
        <v/>
      </c>
      <c r="F6684">
        <f>IF(B6684="","",IFERROR(RIGHT(B6684,LEN(B6684)-FIND("@",B6684)),""))</f>
        <v/>
      </c>
      <c r="G6684">
        <f>IF(D6684="KEEP",COUNTIF($D$2:D6684,"KEEP"),"")</f>
        <v/>
      </c>
      <c r="H6684">
        <f>IF(D6684="REMOVE",COUNTIF($D$2:D6684,"REMOVE"),"")</f>
        <v/>
      </c>
      <c r="I6684">
        <f>IF(E6684="Gmail",COUNTIF($E$2:E6684,"Gmail"),"")</f>
        <v/>
      </c>
      <c r="J6684">
        <f>IF(E6684="Outlook",COUNTIF($E$2:E6684,"Outlook"),"")</f>
        <v/>
      </c>
      <c r="K6684">
        <f>IF(E6684="Domain",COUNTIF($E$2:E6684,"Domain"),"")</f>
        <v/>
      </c>
    </row>
    <row r="6685">
      <c r="A6685" s="2" t="n"/>
      <c r="B6685">
        <f>LOWER(TRIM(A6685))</f>
        <v/>
      </c>
      <c r="C6685">
        <f>IF(B6685="","",IFERROR(INDEX('Bad Patterns'!$A$2:$A$120,MATCH(1,INDEX(--ISNUMBER(SEARCH('Bad Patterns'!$A$2:$A$120,B6685)),0),0)),""))</f>
        <v/>
      </c>
      <c r="D6685">
        <f>IF(B6685="","",IF(C6685&lt;&gt;"","REMOVE","KEEP"))</f>
        <v/>
      </c>
      <c r="E6685">
        <f>IF(D6685&lt;&gt;"KEEP","",IF(RIGHT(B6685,10)="@gmail.com","Gmail",IF(OR(RIGHT(B6685,12)="@outlook.com",RIGHT(B6685,12)="@hotmail.com",RIGHT(B6685,9)="@live.com"),"Outlook","Domain")))</f>
        <v/>
      </c>
      <c r="F6685">
        <f>IF(B6685="","",IFERROR(RIGHT(B6685,LEN(B6685)-FIND("@",B6685)),""))</f>
        <v/>
      </c>
      <c r="G6685">
        <f>IF(D6685="KEEP",COUNTIF($D$2:D6685,"KEEP"),"")</f>
        <v/>
      </c>
      <c r="H6685">
        <f>IF(D6685="REMOVE",COUNTIF($D$2:D6685,"REMOVE"),"")</f>
        <v/>
      </c>
      <c r="I6685">
        <f>IF(E6685="Gmail",COUNTIF($E$2:E6685,"Gmail"),"")</f>
        <v/>
      </c>
      <c r="J6685">
        <f>IF(E6685="Outlook",COUNTIF($E$2:E6685,"Outlook"),"")</f>
        <v/>
      </c>
      <c r="K6685">
        <f>IF(E6685="Domain",COUNTIF($E$2:E6685,"Domain"),"")</f>
        <v/>
      </c>
    </row>
    <row r="6686">
      <c r="A6686" s="2" t="n"/>
      <c r="B6686">
        <f>LOWER(TRIM(A6686))</f>
        <v/>
      </c>
      <c r="C6686">
        <f>IF(B6686="","",IFERROR(INDEX('Bad Patterns'!$A$2:$A$120,MATCH(1,INDEX(--ISNUMBER(SEARCH('Bad Patterns'!$A$2:$A$120,B6686)),0),0)),""))</f>
        <v/>
      </c>
      <c r="D6686">
        <f>IF(B6686="","",IF(C6686&lt;&gt;"","REMOVE","KEEP"))</f>
        <v/>
      </c>
      <c r="E6686">
        <f>IF(D6686&lt;&gt;"KEEP","",IF(RIGHT(B6686,10)="@gmail.com","Gmail",IF(OR(RIGHT(B6686,12)="@outlook.com",RIGHT(B6686,12)="@hotmail.com",RIGHT(B6686,9)="@live.com"),"Outlook","Domain")))</f>
        <v/>
      </c>
      <c r="F6686">
        <f>IF(B6686="","",IFERROR(RIGHT(B6686,LEN(B6686)-FIND("@",B6686)),""))</f>
        <v/>
      </c>
      <c r="G6686">
        <f>IF(D6686="KEEP",COUNTIF($D$2:D6686,"KEEP"),"")</f>
        <v/>
      </c>
      <c r="H6686">
        <f>IF(D6686="REMOVE",COUNTIF($D$2:D6686,"REMOVE"),"")</f>
        <v/>
      </c>
      <c r="I6686">
        <f>IF(E6686="Gmail",COUNTIF($E$2:E6686,"Gmail"),"")</f>
        <v/>
      </c>
      <c r="J6686">
        <f>IF(E6686="Outlook",COUNTIF($E$2:E6686,"Outlook"),"")</f>
        <v/>
      </c>
      <c r="K6686">
        <f>IF(E6686="Domain",COUNTIF($E$2:E6686,"Domain"),"")</f>
        <v/>
      </c>
    </row>
    <row r="6687">
      <c r="A6687" s="2" t="n"/>
      <c r="B6687">
        <f>LOWER(TRIM(A6687))</f>
        <v/>
      </c>
      <c r="C6687">
        <f>IF(B6687="","",IFERROR(INDEX('Bad Patterns'!$A$2:$A$120,MATCH(1,INDEX(--ISNUMBER(SEARCH('Bad Patterns'!$A$2:$A$120,B6687)),0),0)),""))</f>
        <v/>
      </c>
      <c r="D6687">
        <f>IF(B6687="","",IF(C6687&lt;&gt;"","REMOVE","KEEP"))</f>
        <v/>
      </c>
      <c r="E6687">
        <f>IF(D6687&lt;&gt;"KEEP","",IF(RIGHT(B6687,10)="@gmail.com","Gmail",IF(OR(RIGHT(B6687,12)="@outlook.com",RIGHT(B6687,12)="@hotmail.com",RIGHT(B6687,9)="@live.com"),"Outlook","Domain")))</f>
        <v/>
      </c>
      <c r="F6687">
        <f>IF(B6687="","",IFERROR(RIGHT(B6687,LEN(B6687)-FIND("@",B6687)),""))</f>
        <v/>
      </c>
      <c r="G6687">
        <f>IF(D6687="KEEP",COUNTIF($D$2:D6687,"KEEP"),"")</f>
        <v/>
      </c>
      <c r="H6687">
        <f>IF(D6687="REMOVE",COUNTIF($D$2:D6687,"REMOVE"),"")</f>
        <v/>
      </c>
      <c r="I6687">
        <f>IF(E6687="Gmail",COUNTIF($E$2:E6687,"Gmail"),"")</f>
        <v/>
      </c>
      <c r="J6687">
        <f>IF(E6687="Outlook",COUNTIF($E$2:E6687,"Outlook"),"")</f>
        <v/>
      </c>
      <c r="K6687">
        <f>IF(E6687="Domain",COUNTIF($E$2:E6687,"Domain"),"")</f>
        <v/>
      </c>
    </row>
    <row r="6688">
      <c r="A6688" s="2" t="n"/>
      <c r="B6688">
        <f>LOWER(TRIM(A6688))</f>
        <v/>
      </c>
      <c r="C6688">
        <f>IF(B6688="","",IFERROR(INDEX('Bad Patterns'!$A$2:$A$120,MATCH(1,INDEX(--ISNUMBER(SEARCH('Bad Patterns'!$A$2:$A$120,B6688)),0),0)),""))</f>
        <v/>
      </c>
      <c r="D6688">
        <f>IF(B6688="","",IF(C6688&lt;&gt;"","REMOVE","KEEP"))</f>
        <v/>
      </c>
      <c r="E6688">
        <f>IF(D6688&lt;&gt;"KEEP","",IF(RIGHT(B6688,10)="@gmail.com","Gmail",IF(OR(RIGHT(B6688,12)="@outlook.com",RIGHT(B6688,12)="@hotmail.com",RIGHT(B6688,9)="@live.com"),"Outlook","Domain")))</f>
        <v/>
      </c>
      <c r="F6688">
        <f>IF(B6688="","",IFERROR(RIGHT(B6688,LEN(B6688)-FIND("@",B6688)),""))</f>
        <v/>
      </c>
      <c r="G6688">
        <f>IF(D6688="KEEP",COUNTIF($D$2:D6688,"KEEP"),"")</f>
        <v/>
      </c>
      <c r="H6688">
        <f>IF(D6688="REMOVE",COUNTIF($D$2:D6688,"REMOVE"),"")</f>
        <v/>
      </c>
      <c r="I6688">
        <f>IF(E6688="Gmail",COUNTIF($E$2:E6688,"Gmail"),"")</f>
        <v/>
      </c>
      <c r="J6688">
        <f>IF(E6688="Outlook",COUNTIF($E$2:E6688,"Outlook"),"")</f>
        <v/>
      </c>
      <c r="K6688">
        <f>IF(E6688="Domain",COUNTIF($E$2:E6688,"Domain"),"")</f>
        <v/>
      </c>
    </row>
    <row r="6689">
      <c r="A6689" s="2" t="n"/>
      <c r="B6689">
        <f>LOWER(TRIM(A6689))</f>
        <v/>
      </c>
      <c r="C6689">
        <f>IF(B6689="","",IFERROR(INDEX('Bad Patterns'!$A$2:$A$120,MATCH(1,INDEX(--ISNUMBER(SEARCH('Bad Patterns'!$A$2:$A$120,B6689)),0),0)),""))</f>
        <v/>
      </c>
      <c r="D6689">
        <f>IF(B6689="","",IF(C6689&lt;&gt;"","REMOVE","KEEP"))</f>
        <v/>
      </c>
      <c r="E6689">
        <f>IF(D6689&lt;&gt;"KEEP","",IF(RIGHT(B6689,10)="@gmail.com","Gmail",IF(OR(RIGHT(B6689,12)="@outlook.com",RIGHT(B6689,12)="@hotmail.com",RIGHT(B6689,9)="@live.com"),"Outlook","Domain")))</f>
        <v/>
      </c>
      <c r="F6689">
        <f>IF(B6689="","",IFERROR(RIGHT(B6689,LEN(B6689)-FIND("@",B6689)),""))</f>
        <v/>
      </c>
      <c r="G6689">
        <f>IF(D6689="KEEP",COUNTIF($D$2:D6689,"KEEP"),"")</f>
        <v/>
      </c>
      <c r="H6689">
        <f>IF(D6689="REMOVE",COUNTIF($D$2:D6689,"REMOVE"),"")</f>
        <v/>
      </c>
      <c r="I6689">
        <f>IF(E6689="Gmail",COUNTIF($E$2:E6689,"Gmail"),"")</f>
        <v/>
      </c>
      <c r="J6689">
        <f>IF(E6689="Outlook",COUNTIF($E$2:E6689,"Outlook"),"")</f>
        <v/>
      </c>
      <c r="K6689">
        <f>IF(E6689="Domain",COUNTIF($E$2:E6689,"Domain"),"")</f>
        <v/>
      </c>
    </row>
    <row r="6690">
      <c r="A6690" s="2" t="n"/>
      <c r="B6690">
        <f>LOWER(TRIM(A6690))</f>
        <v/>
      </c>
      <c r="C6690">
        <f>IF(B6690="","",IFERROR(INDEX('Bad Patterns'!$A$2:$A$120,MATCH(1,INDEX(--ISNUMBER(SEARCH('Bad Patterns'!$A$2:$A$120,B6690)),0),0)),""))</f>
        <v/>
      </c>
      <c r="D6690">
        <f>IF(B6690="","",IF(C6690&lt;&gt;"","REMOVE","KEEP"))</f>
        <v/>
      </c>
      <c r="E6690">
        <f>IF(D6690&lt;&gt;"KEEP","",IF(RIGHT(B6690,10)="@gmail.com","Gmail",IF(OR(RIGHT(B6690,12)="@outlook.com",RIGHT(B6690,12)="@hotmail.com",RIGHT(B6690,9)="@live.com"),"Outlook","Domain")))</f>
        <v/>
      </c>
      <c r="F6690">
        <f>IF(B6690="","",IFERROR(RIGHT(B6690,LEN(B6690)-FIND("@",B6690)),""))</f>
        <v/>
      </c>
      <c r="G6690">
        <f>IF(D6690="KEEP",COUNTIF($D$2:D6690,"KEEP"),"")</f>
        <v/>
      </c>
      <c r="H6690">
        <f>IF(D6690="REMOVE",COUNTIF($D$2:D6690,"REMOVE"),"")</f>
        <v/>
      </c>
      <c r="I6690">
        <f>IF(E6690="Gmail",COUNTIF($E$2:E6690,"Gmail"),"")</f>
        <v/>
      </c>
      <c r="J6690">
        <f>IF(E6690="Outlook",COUNTIF($E$2:E6690,"Outlook"),"")</f>
        <v/>
      </c>
      <c r="K6690">
        <f>IF(E6690="Domain",COUNTIF($E$2:E6690,"Domain"),"")</f>
        <v/>
      </c>
    </row>
    <row r="6691">
      <c r="A6691" s="2" t="n"/>
      <c r="B6691">
        <f>LOWER(TRIM(A6691))</f>
        <v/>
      </c>
      <c r="C6691">
        <f>IF(B6691="","",IFERROR(INDEX('Bad Patterns'!$A$2:$A$120,MATCH(1,INDEX(--ISNUMBER(SEARCH('Bad Patterns'!$A$2:$A$120,B6691)),0),0)),""))</f>
        <v/>
      </c>
      <c r="D6691">
        <f>IF(B6691="","",IF(C6691&lt;&gt;"","REMOVE","KEEP"))</f>
        <v/>
      </c>
      <c r="E6691">
        <f>IF(D6691&lt;&gt;"KEEP","",IF(RIGHT(B6691,10)="@gmail.com","Gmail",IF(OR(RIGHT(B6691,12)="@outlook.com",RIGHT(B6691,12)="@hotmail.com",RIGHT(B6691,9)="@live.com"),"Outlook","Domain")))</f>
        <v/>
      </c>
      <c r="F6691">
        <f>IF(B6691="","",IFERROR(RIGHT(B6691,LEN(B6691)-FIND("@",B6691)),""))</f>
        <v/>
      </c>
      <c r="G6691">
        <f>IF(D6691="KEEP",COUNTIF($D$2:D6691,"KEEP"),"")</f>
        <v/>
      </c>
      <c r="H6691">
        <f>IF(D6691="REMOVE",COUNTIF($D$2:D6691,"REMOVE"),"")</f>
        <v/>
      </c>
      <c r="I6691">
        <f>IF(E6691="Gmail",COUNTIF($E$2:E6691,"Gmail"),"")</f>
        <v/>
      </c>
      <c r="J6691">
        <f>IF(E6691="Outlook",COUNTIF($E$2:E6691,"Outlook"),"")</f>
        <v/>
      </c>
      <c r="K6691">
        <f>IF(E6691="Domain",COUNTIF($E$2:E6691,"Domain"),"")</f>
        <v/>
      </c>
    </row>
    <row r="6692">
      <c r="A6692" s="2" t="n"/>
      <c r="B6692">
        <f>LOWER(TRIM(A6692))</f>
        <v/>
      </c>
      <c r="C6692">
        <f>IF(B6692="","",IFERROR(INDEX('Bad Patterns'!$A$2:$A$120,MATCH(1,INDEX(--ISNUMBER(SEARCH('Bad Patterns'!$A$2:$A$120,B6692)),0),0)),""))</f>
        <v/>
      </c>
      <c r="D6692">
        <f>IF(B6692="","",IF(C6692&lt;&gt;"","REMOVE","KEEP"))</f>
        <v/>
      </c>
      <c r="E6692">
        <f>IF(D6692&lt;&gt;"KEEP","",IF(RIGHT(B6692,10)="@gmail.com","Gmail",IF(OR(RIGHT(B6692,12)="@outlook.com",RIGHT(B6692,12)="@hotmail.com",RIGHT(B6692,9)="@live.com"),"Outlook","Domain")))</f>
        <v/>
      </c>
      <c r="F6692">
        <f>IF(B6692="","",IFERROR(RIGHT(B6692,LEN(B6692)-FIND("@",B6692)),""))</f>
        <v/>
      </c>
      <c r="G6692">
        <f>IF(D6692="KEEP",COUNTIF($D$2:D6692,"KEEP"),"")</f>
        <v/>
      </c>
      <c r="H6692">
        <f>IF(D6692="REMOVE",COUNTIF($D$2:D6692,"REMOVE"),"")</f>
        <v/>
      </c>
      <c r="I6692">
        <f>IF(E6692="Gmail",COUNTIF($E$2:E6692,"Gmail"),"")</f>
        <v/>
      </c>
      <c r="J6692">
        <f>IF(E6692="Outlook",COUNTIF($E$2:E6692,"Outlook"),"")</f>
        <v/>
      </c>
      <c r="K6692">
        <f>IF(E6692="Domain",COUNTIF($E$2:E6692,"Domain"),"")</f>
        <v/>
      </c>
    </row>
    <row r="6693">
      <c r="A6693" s="2" t="n"/>
      <c r="B6693">
        <f>LOWER(TRIM(A6693))</f>
        <v/>
      </c>
      <c r="C6693">
        <f>IF(B6693="","",IFERROR(INDEX('Bad Patterns'!$A$2:$A$120,MATCH(1,INDEX(--ISNUMBER(SEARCH('Bad Patterns'!$A$2:$A$120,B6693)),0),0)),""))</f>
        <v/>
      </c>
      <c r="D6693">
        <f>IF(B6693="","",IF(C6693&lt;&gt;"","REMOVE","KEEP"))</f>
        <v/>
      </c>
      <c r="E6693">
        <f>IF(D6693&lt;&gt;"KEEP","",IF(RIGHT(B6693,10)="@gmail.com","Gmail",IF(OR(RIGHT(B6693,12)="@outlook.com",RIGHT(B6693,12)="@hotmail.com",RIGHT(B6693,9)="@live.com"),"Outlook","Domain")))</f>
        <v/>
      </c>
      <c r="F6693">
        <f>IF(B6693="","",IFERROR(RIGHT(B6693,LEN(B6693)-FIND("@",B6693)),""))</f>
        <v/>
      </c>
      <c r="G6693">
        <f>IF(D6693="KEEP",COUNTIF($D$2:D6693,"KEEP"),"")</f>
        <v/>
      </c>
      <c r="H6693">
        <f>IF(D6693="REMOVE",COUNTIF($D$2:D6693,"REMOVE"),"")</f>
        <v/>
      </c>
      <c r="I6693">
        <f>IF(E6693="Gmail",COUNTIF($E$2:E6693,"Gmail"),"")</f>
        <v/>
      </c>
      <c r="J6693">
        <f>IF(E6693="Outlook",COUNTIF($E$2:E6693,"Outlook"),"")</f>
        <v/>
      </c>
      <c r="K6693">
        <f>IF(E6693="Domain",COUNTIF($E$2:E6693,"Domain"),"")</f>
        <v/>
      </c>
    </row>
    <row r="6694">
      <c r="A6694" s="2" t="n"/>
      <c r="B6694">
        <f>LOWER(TRIM(A6694))</f>
        <v/>
      </c>
      <c r="C6694">
        <f>IF(B6694="","",IFERROR(INDEX('Bad Patterns'!$A$2:$A$120,MATCH(1,INDEX(--ISNUMBER(SEARCH('Bad Patterns'!$A$2:$A$120,B6694)),0),0)),""))</f>
        <v/>
      </c>
      <c r="D6694">
        <f>IF(B6694="","",IF(C6694&lt;&gt;"","REMOVE","KEEP"))</f>
        <v/>
      </c>
      <c r="E6694">
        <f>IF(D6694&lt;&gt;"KEEP","",IF(RIGHT(B6694,10)="@gmail.com","Gmail",IF(OR(RIGHT(B6694,12)="@outlook.com",RIGHT(B6694,12)="@hotmail.com",RIGHT(B6694,9)="@live.com"),"Outlook","Domain")))</f>
        <v/>
      </c>
      <c r="F6694">
        <f>IF(B6694="","",IFERROR(RIGHT(B6694,LEN(B6694)-FIND("@",B6694)),""))</f>
        <v/>
      </c>
      <c r="G6694">
        <f>IF(D6694="KEEP",COUNTIF($D$2:D6694,"KEEP"),"")</f>
        <v/>
      </c>
      <c r="H6694">
        <f>IF(D6694="REMOVE",COUNTIF($D$2:D6694,"REMOVE"),"")</f>
        <v/>
      </c>
      <c r="I6694">
        <f>IF(E6694="Gmail",COUNTIF($E$2:E6694,"Gmail"),"")</f>
        <v/>
      </c>
      <c r="J6694">
        <f>IF(E6694="Outlook",COUNTIF($E$2:E6694,"Outlook"),"")</f>
        <v/>
      </c>
      <c r="K6694">
        <f>IF(E6694="Domain",COUNTIF($E$2:E6694,"Domain"),"")</f>
        <v/>
      </c>
    </row>
    <row r="6695">
      <c r="A6695" s="2" t="n"/>
      <c r="B6695">
        <f>LOWER(TRIM(A6695))</f>
        <v/>
      </c>
      <c r="C6695">
        <f>IF(B6695="","",IFERROR(INDEX('Bad Patterns'!$A$2:$A$120,MATCH(1,INDEX(--ISNUMBER(SEARCH('Bad Patterns'!$A$2:$A$120,B6695)),0),0)),""))</f>
        <v/>
      </c>
      <c r="D6695">
        <f>IF(B6695="","",IF(C6695&lt;&gt;"","REMOVE","KEEP"))</f>
        <v/>
      </c>
      <c r="E6695">
        <f>IF(D6695&lt;&gt;"KEEP","",IF(RIGHT(B6695,10)="@gmail.com","Gmail",IF(OR(RIGHT(B6695,12)="@outlook.com",RIGHT(B6695,12)="@hotmail.com",RIGHT(B6695,9)="@live.com"),"Outlook","Domain")))</f>
        <v/>
      </c>
      <c r="F6695">
        <f>IF(B6695="","",IFERROR(RIGHT(B6695,LEN(B6695)-FIND("@",B6695)),""))</f>
        <v/>
      </c>
      <c r="G6695">
        <f>IF(D6695="KEEP",COUNTIF($D$2:D6695,"KEEP"),"")</f>
        <v/>
      </c>
      <c r="H6695">
        <f>IF(D6695="REMOVE",COUNTIF($D$2:D6695,"REMOVE"),"")</f>
        <v/>
      </c>
      <c r="I6695">
        <f>IF(E6695="Gmail",COUNTIF($E$2:E6695,"Gmail"),"")</f>
        <v/>
      </c>
      <c r="J6695">
        <f>IF(E6695="Outlook",COUNTIF($E$2:E6695,"Outlook"),"")</f>
        <v/>
      </c>
      <c r="K6695">
        <f>IF(E6695="Domain",COUNTIF($E$2:E6695,"Domain"),"")</f>
        <v/>
      </c>
    </row>
    <row r="6696">
      <c r="A6696" s="2" t="n"/>
      <c r="B6696">
        <f>LOWER(TRIM(A6696))</f>
        <v/>
      </c>
      <c r="C6696">
        <f>IF(B6696="","",IFERROR(INDEX('Bad Patterns'!$A$2:$A$120,MATCH(1,INDEX(--ISNUMBER(SEARCH('Bad Patterns'!$A$2:$A$120,B6696)),0),0)),""))</f>
        <v/>
      </c>
      <c r="D6696">
        <f>IF(B6696="","",IF(C6696&lt;&gt;"","REMOVE","KEEP"))</f>
        <v/>
      </c>
      <c r="E6696">
        <f>IF(D6696&lt;&gt;"KEEP","",IF(RIGHT(B6696,10)="@gmail.com","Gmail",IF(OR(RIGHT(B6696,12)="@outlook.com",RIGHT(B6696,12)="@hotmail.com",RIGHT(B6696,9)="@live.com"),"Outlook","Domain")))</f>
        <v/>
      </c>
      <c r="F6696">
        <f>IF(B6696="","",IFERROR(RIGHT(B6696,LEN(B6696)-FIND("@",B6696)),""))</f>
        <v/>
      </c>
      <c r="G6696">
        <f>IF(D6696="KEEP",COUNTIF($D$2:D6696,"KEEP"),"")</f>
        <v/>
      </c>
      <c r="H6696">
        <f>IF(D6696="REMOVE",COUNTIF($D$2:D6696,"REMOVE"),"")</f>
        <v/>
      </c>
      <c r="I6696">
        <f>IF(E6696="Gmail",COUNTIF($E$2:E6696,"Gmail"),"")</f>
        <v/>
      </c>
      <c r="J6696">
        <f>IF(E6696="Outlook",COUNTIF($E$2:E6696,"Outlook"),"")</f>
        <v/>
      </c>
      <c r="K6696">
        <f>IF(E6696="Domain",COUNTIF($E$2:E6696,"Domain"),"")</f>
        <v/>
      </c>
    </row>
    <row r="6697">
      <c r="A6697" s="2" t="n"/>
      <c r="B6697">
        <f>LOWER(TRIM(A6697))</f>
        <v/>
      </c>
      <c r="C6697">
        <f>IF(B6697="","",IFERROR(INDEX('Bad Patterns'!$A$2:$A$120,MATCH(1,INDEX(--ISNUMBER(SEARCH('Bad Patterns'!$A$2:$A$120,B6697)),0),0)),""))</f>
        <v/>
      </c>
      <c r="D6697">
        <f>IF(B6697="","",IF(C6697&lt;&gt;"","REMOVE","KEEP"))</f>
        <v/>
      </c>
      <c r="E6697">
        <f>IF(D6697&lt;&gt;"KEEP","",IF(RIGHT(B6697,10)="@gmail.com","Gmail",IF(OR(RIGHT(B6697,12)="@outlook.com",RIGHT(B6697,12)="@hotmail.com",RIGHT(B6697,9)="@live.com"),"Outlook","Domain")))</f>
        <v/>
      </c>
      <c r="F6697">
        <f>IF(B6697="","",IFERROR(RIGHT(B6697,LEN(B6697)-FIND("@",B6697)),""))</f>
        <v/>
      </c>
      <c r="G6697">
        <f>IF(D6697="KEEP",COUNTIF($D$2:D6697,"KEEP"),"")</f>
        <v/>
      </c>
      <c r="H6697">
        <f>IF(D6697="REMOVE",COUNTIF($D$2:D6697,"REMOVE"),"")</f>
        <v/>
      </c>
      <c r="I6697">
        <f>IF(E6697="Gmail",COUNTIF($E$2:E6697,"Gmail"),"")</f>
        <v/>
      </c>
      <c r="J6697">
        <f>IF(E6697="Outlook",COUNTIF($E$2:E6697,"Outlook"),"")</f>
        <v/>
      </c>
      <c r="K6697">
        <f>IF(E6697="Domain",COUNTIF($E$2:E6697,"Domain"),"")</f>
        <v/>
      </c>
    </row>
    <row r="6698">
      <c r="A6698" s="2" t="n"/>
      <c r="B6698">
        <f>LOWER(TRIM(A6698))</f>
        <v/>
      </c>
      <c r="C6698">
        <f>IF(B6698="","",IFERROR(INDEX('Bad Patterns'!$A$2:$A$120,MATCH(1,INDEX(--ISNUMBER(SEARCH('Bad Patterns'!$A$2:$A$120,B6698)),0),0)),""))</f>
        <v/>
      </c>
      <c r="D6698">
        <f>IF(B6698="","",IF(C6698&lt;&gt;"","REMOVE","KEEP"))</f>
        <v/>
      </c>
      <c r="E6698">
        <f>IF(D6698&lt;&gt;"KEEP","",IF(RIGHT(B6698,10)="@gmail.com","Gmail",IF(OR(RIGHT(B6698,12)="@outlook.com",RIGHT(B6698,12)="@hotmail.com",RIGHT(B6698,9)="@live.com"),"Outlook","Domain")))</f>
        <v/>
      </c>
      <c r="F6698">
        <f>IF(B6698="","",IFERROR(RIGHT(B6698,LEN(B6698)-FIND("@",B6698)),""))</f>
        <v/>
      </c>
      <c r="G6698">
        <f>IF(D6698="KEEP",COUNTIF($D$2:D6698,"KEEP"),"")</f>
        <v/>
      </c>
      <c r="H6698">
        <f>IF(D6698="REMOVE",COUNTIF($D$2:D6698,"REMOVE"),"")</f>
        <v/>
      </c>
      <c r="I6698">
        <f>IF(E6698="Gmail",COUNTIF($E$2:E6698,"Gmail"),"")</f>
        <v/>
      </c>
      <c r="J6698">
        <f>IF(E6698="Outlook",COUNTIF($E$2:E6698,"Outlook"),"")</f>
        <v/>
      </c>
      <c r="K6698">
        <f>IF(E6698="Domain",COUNTIF($E$2:E6698,"Domain"),"")</f>
        <v/>
      </c>
    </row>
    <row r="6699">
      <c r="A6699" s="2" t="n"/>
      <c r="B6699">
        <f>LOWER(TRIM(A6699))</f>
        <v/>
      </c>
      <c r="C6699">
        <f>IF(B6699="","",IFERROR(INDEX('Bad Patterns'!$A$2:$A$120,MATCH(1,INDEX(--ISNUMBER(SEARCH('Bad Patterns'!$A$2:$A$120,B6699)),0),0)),""))</f>
        <v/>
      </c>
      <c r="D6699">
        <f>IF(B6699="","",IF(C6699&lt;&gt;"","REMOVE","KEEP"))</f>
        <v/>
      </c>
      <c r="E6699">
        <f>IF(D6699&lt;&gt;"KEEP","",IF(RIGHT(B6699,10)="@gmail.com","Gmail",IF(OR(RIGHT(B6699,12)="@outlook.com",RIGHT(B6699,12)="@hotmail.com",RIGHT(B6699,9)="@live.com"),"Outlook","Domain")))</f>
        <v/>
      </c>
      <c r="F6699">
        <f>IF(B6699="","",IFERROR(RIGHT(B6699,LEN(B6699)-FIND("@",B6699)),""))</f>
        <v/>
      </c>
      <c r="G6699">
        <f>IF(D6699="KEEP",COUNTIF($D$2:D6699,"KEEP"),"")</f>
        <v/>
      </c>
      <c r="H6699">
        <f>IF(D6699="REMOVE",COUNTIF($D$2:D6699,"REMOVE"),"")</f>
        <v/>
      </c>
      <c r="I6699">
        <f>IF(E6699="Gmail",COUNTIF($E$2:E6699,"Gmail"),"")</f>
        <v/>
      </c>
      <c r="J6699">
        <f>IF(E6699="Outlook",COUNTIF($E$2:E6699,"Outlook"),"")</f>
        <v/>
      </c>
      <c r="K6699">
        <f>IF(E6699="Domain",COUNTIF($E$2:E6699,"Domain"),"")</f>
        <v/>
      </c>
    </row>
    <row r="6700">
      <c r="A6700" s="2" t="n"/>
      <c r="B6700">
        <f>LOWER(TRIM(A6700))</f>
        <v/>
      </c>
      <c r="C6700">
        <f>IF(B6700="","",IFERROR(INDEX('Bad Patterns'!$A$2:$A$120,MATCH(1,INDEX(--ISNUMBER(SEARCH('Bad Patterns'!$A$2:$A$120,B6700)),0),0)),""))</f>
        <v/>
      </c>
      <c r="D6700">
        <f>IF(B6700="","",IF(C6700&lt;&gt;"","REMOVE","KEEP"))</f>
        <v/>
      </c>
      <c r="E6700">
        <f>IF(D6700&lt;&gt;"KEEP","",IF(RIGHT(B6700,10)="@gmail.com","Gmail",IF(OR(RIGHT(B6700,12)="@outlook.com",RIGHT(B6700,12)="@hotmail.com",RIGHT(B6700,9)="@live.com"),"Outlook","Domain")))</f>
        <v/>
      </c>
      <c r="F6700">
        <f>IF(B6700="","",IFERROR(RIGHT(B6700,LEN(B6700)-FIND("@",B6700)),""))</f>
        <v/>
      </c>
      <c r="G6700">
        <f>IF(D6700="KEEP",COUNTIF($D$2:D6700,"KEEP"),"")</f>
        <v/>
      </c>
      <c r="H6700">
        <f>IF(D6700="REMOVE",COUNTIF($D$2:D6700,"REMOVE"),"")</f>
        <v/>
      </c>
      <c r="I6700">
        <f>IF(E6700="Gmail",COUNTIF($E$2:E6700,"Gmail"),"")</f>
        <v/>
      </c>
      <c r="J6700">
        <f>IF(E6700="Outlook",COUNTIF($E$2:E6700,"Outlook"),"")</f>
        <v/>
      </c>
      <c r="K6700">
        <f>IF(E6700="Domain",COUNTIF($E$2:E6700,"Domain"),"")</f>
        <v/>
      </c>
    </row>
    <row r="6701">
      <c r="A6701" s="2" t="n"/>
      <c r="B6701">
        <f>LOWER(TRIM(A6701))</f>
        <v/>
      </c>
      <c r="C6701">
        <f>IF(B6701="","",IFERROR(INDEX('Bad Patterns'!$A$2:$A$120,MATCH(1,INDEX(--ISNUMBER(SEARCH('Bad Patterns'!$A$2:$A$120,B6701)),0),0)),""))</f>
        <v/>
      </c>
      <c r="D6701">
        <f>IF(B6701="","",IF(C6701&lt;&gt;"","REMOVE","KEEP"))</f>
        <v/>
      </c>
      <c r="E6701">
        <f>IF(D6701&lt;&gt;"KEEP","",IF(RIGHT(B6701,10)="@gmail.com","Gmail",IF(OR(RIGHT(B6701,12)="@outlook.com",RIGHT(B6701,12)="@hotmail.com",RIGHT(B6701,9)="@live.com"),"Outlook","Domain")))</f>
        <v/>
      </c>
      <c r="F6701">
        <f>IF(B6701="","",IFERROR(RIGHT(B6701,LEN(B6701)-FIND("@",B6701)),""))</f>
        <v/>
      </c>
      <c r="G6701">
        <f>IF(D6701="KEEP",COUNTIF($D$2:D6701,"KEEP"),"")</f>
        <v/>
      </c>
      <c r="H6701">
        <f>IF(D6701="REMOVE",COUNTIF($D$2:D6701,"REMOVE"),"")</f>
        <v/>
      </c>
      <c r="I6701">
        <f>IF(E6701="Gmail",COUNTIF($E$2:E6701,"Gmail"),"")</f>
        <v/>
      </c>
      <c r="J6701">
        <f>IF(E6701="Outlook",COUNTIF($E$2:E6701,"Outlook"),"")</f>
        <v/>
      </c>
      <c r="K6701">
        <f>IF(E6701="Domain",COUNTIF($E$2:E6701,"Domain"),"")</f>
        <v/>
      </c>
    </row>
    <row r="6702">
      <c r="A6702" s="2" t="n"/>
      <c r="B6702">
        <f>LOWER(TRIM(A6702))</f>
        <v/>
      </c>
      <c r="C6702">
        <f>IF(B6702="","",IFERROR(INDEX('Bad Patterns'!$A$2:$A$120,MATCH(1,INDEX(--ISNUMBER(SEARCH('Bad Patterns'!$A$2:$A$120,B6702)),0),0)),""))</f>
        <v/>
      </c>
      <c r="D6702">
        <f>IF(B6702="","",IF(C6702&lt;&gt;"","REMOVE","KEEP"))</f>
        <v/>
      </c>
      <c r="E6702">
        <f>IF(D6702&lt;&gt;"KEEP","",IF(RIGHT(B6702,10)="@gmail.com","Gmail",IF(OR(RIGHT(B6702,12)="@outlook.com",RIGHT(B6702,12)="@hotmail.com",RIGHT(B6702,9)="@live.com"),"Outlook","Domain")))</f>
        <v/>
      </c>
      <c r="F6702">
        <f>IF(B6702="","",IFERROR(RIGHT(B6702,LEN(B6702)-FIND("@",B6702)),""))</f>
        <v/>
      </c>
      <c r="G6702">
        <f>IF(D6702="KEEP",COUNTIF($D$2:D6702,"KEEP"),"")</f>
        <v/>
      </c>
      <c r="H6702">
        <f>IF(D6702="REMOVE",COUNTIF($D$2:D6702,"REMOVE"),"")</f>
        <v/>
      </c>
      <c r="I6702">
        <f>IF(E6702="Gmail",COUNTIF($E$2:E6702,"Gmail"),"")</f>
        <v/>
      </c>
      <c r="J6702">
        <f>IF(E6702="Outlook",COUNTIF($E$2:E6702,"Outlook"),"")</f>
        <v/>
      </c>
      <c r="K6702">
        <f>IF(E6702="Domain",COUNTIF($E$2:E6702,"Domain"),"")</f>
        <v/>
      </c>
    </row>
    <row r="6703">
      <c r="A6703" s="2" t="n"/>
      <c r="B6703">
        <f>LOWER(TRIM(A6703))</f>
        <v/>
      </c>
      <c r="C6703">
        <f>IF(B6703="","",IFERROR(INDEX('Bad Patterns'!$A$2:$A$120,MATCH(1,INDEX(--ISNUMBER(SEARCH('Bad Patterns'!$A$2:$A$120,B6703)),0),0)),""))</f>
        <v/>
      </c>
      <c r="D6703">
        <f>IF(B6703="","",IF(C6703&lt;&gt;"","REMOVE","KEEP"))</f>
        <v/>
      </c>
      <c r="E6703">
        <f>IF(D6703&lt;&gt;"KEEP","",IF(RIGHT(B6703,10)="@gmail.com","Gmail",IF(OR(RIGHT(B6703,12)="@outlook.com",RIGHT(B6703,12)="@hotmail.com",RIGHT(B6703,9)="@live.com"),"Outlook","Domain")))</f>
        <v/>
      </c>
      <c r="F6703">
        <f>IF(B6703="","",IFERROR(RIGHT(B6703,LEN(B6703)-FIND("@",B6703)),""))</f>
        <v/>
      </c>
      <c r="G6703">
        <f>IF(D6703="KEEP",COUNTIF($D$2:D6703,"KEEP"),"")</f>
        <v/>
      </c>
      <c r="H6703">
        <f>IF(D6703="REMOVE",COUNTIF($D$2:D6703,"REMOVE"),"")</f>
        <v/>
      </c>
      <c r="I6703">
        <f>IF(E6703="Gmail",COUNTIF($E$2:E6703,"Gmail"),"")</f>
        <v/>
      </c>
      <c r="J6703">
        <f>IF(E6703="Outlook",COUNTIF($E$2:E6703,"Outlook"),"")</f>
        <v/>
      </c>
      <c r="K6703">
        <f>IF(E6703="Domain",COUNTIF($E$2:E6703,"Domain"),"")</f>
        <v/>
      </c>
    </row>
    <row r="6704">
      <c r="A6704" s="2" t="n"/>
      <c r="B6704">
        <f>LOWER(TRIM(A6704))</f>
        <v/>
      </c>
      <c r="C6704">
        <f>IF(B6704="","",IFERROR(INDEX('Bad Patterns'!$A$2:$A$120,MATCH(1,INDEX(--ISNUMBER(SEARCH('Bad Patterns'!$A$2:$A$120,B6704)),0),0)),""))</f>
        <v/>
      </c>
      <c r="D6704">
        <f>IF(B6704="","",IF(C6704&lt;&gt;"","REMOVE","KEEP"))</f>
        <v/>
      </c>
      <c r="E6704">
        <f>IF(D6704&lt;&gt;"KEEP","",IF(RIGHT(B6704,10)="@gmail.com","Gmail",IF(OR(RIGHT(B6704,12)="@outlook.com",RIGHT(B6704,12)="@hotmail.com",RIGHT(B6704,9)="@live.com"),"Outlook","Domain")))</f>
        <v/>
      </c>
      <c r="F6704">
        <f>IF(B6704="","",IFERROR(RIGHT(B6704,LEN(B6704)-FIND("@",B6704)),""))</f>
        <v/>
      </c>
      <c r="G6704">
        <f>IF(D6704="KEEP",COUNTIF($D$2:D6704,"KEEP"),"")</f>
        <v/>
      </c>
      <c r="H6704">
        <f>IF(D6704="REMOVE",COUNTIF($D$2:D6704,"REMOVE"),"")</f>
        <v/>
      </c>
      <c r="I6704">
        <f>IF(E6704="Gmail",COUNTIF($E$2:E6704,"Gmail"),"")</f>
        <v/>
      </c>
      <c r="J6704">
        <f>IF(E6704="Outlook",COUNTIF($E$2:E6704,"Outlook"),"")</f>
        <v/>
      </c>
      <c r="K6704">
        <f>IF(E6704="Domain",COUNTIF($E$2:E6704,"Domain"),"")</f>
        <v/>
      </c>
    </row>
    <row r="6705">
      <c r="A6705" s="2" t="n"/>
      <c r="B6705">
        <f>LOWER(TRIM(A6705))</f>
        <v/>
      </c>
      <c r="C6705">
        <f>IF(B6705="","",IFERROR(INDEX('Bad Patterns'!$A$2:$A$120,MATCH(1,INDEX(--ISNUMBER(SEARCH('Bad Patterns'!$A$2:$A$120,B6705)),0),0)),""))</f>
        <v/>
      </c>
      <c r="D6705">
        <f>IF(B6705="","",IF(C6705&lt;&gt;"","REMOVE","KEEP"))</f>
        <v/>
      </c>
      <c r="E6705">
        <f>IF(D6705&lt;&gt;"KEEP","",IF(RIGHT(B6705,10)="@gmail.com","Gmail",IF(OR(RIGHT(B6705,12)="@outlook.com",RIGHT(B6705,12)="@hotmail.com",RIGHT(B6705,9)="@live.com"),"Outlook","Domain")))</f>
        <v/>
      </c>
      <c r="F6705">
        <f>IF(B6705="","",IFERROR(RIGHT(B6705,LEN(B6705)-FIND("@",B6705)),""))</f>
        <v/>
      </c>
      <c r="G6705">
        <f>IF(D6705="KEEP",COUNTIF($D$2:D6705,"KEEP"),"")</f>
        <v/>
      </c>
      <c r="H6705">
        <f>IF(D6705="REMOVE",COUNTIF($D$2:D6705,"REMOVE"),"")</f>
        <v/>
      </c>
      <c r="I6705">
        <f>IF(E6705="Gmail",COUNTIF($E$2:E6705,"Gmail"),"")</f>
        <v/>
      </c>
      <c r="J6705">
        <f>IF(E6705="Outlook",COUNTIF($E$2:E6705,"Outlook"),"")</f>
        <v/>
      </c>
      <c r="K6705">
        <f>IF(E6705="Domain",COUNTIF($E$2:E6705,"Domain"),"")</f>
        <v/>
      </c>
    </row>
    <row r="6706">
      <c r="A6706" s="2" t="n"/>
      <c r="B6706">
        <f>LOWER(TRIM(A6706))</f>
        <v/>
      </c>
      <c r="C6706">
        <f>IF(B6706="","",IFERROR(INDEX('Bad Patterns'!$A$2:$A$120,MATCH(1,INDEX(--ISNUMBER(SEARCH('Bad Patterns'!$A$2:$A$120,B6706)),0),0)),""))</f>
        <v/>
      </c>
      <c r="D6706">
        <f>IF(B6706="","",IF(C6706&lt;&gt;"","REMOVE","KEEP"))</f>
        <v/>
      </c>
      <c r="E6706">
        <f>IF(D6706&lt;&gt;"KEEP","",IF(RIGHT(B6706,10)="@gmail.com","Gmail",IF(OR(RIGHT(B6706,12)="@outlook.com",RIGHT(B6706,12)="@hotmail.com",RIGHT(B6706,9)="@live.com"),"Outlook","Domain")))</f>
        <v/>
      </c>
      <c r="F6706">
        <f>IF(B6706="","",IFERROR(RIGHT(B6706,LEN(B6706)-FIND("@",B6706)),""))</f>
        <v/>
      </c>
      <c r="G6706">
        <f>IF(D6706="KEEP",COUNTIF($D$2:D6706,"KEEP"),"")</f>
        <v/>
      </c>
      <c r="H6706">
        <f>IF(D6706="REMOVE",COUNTIF($D$2:D6706,"REMOVE"),"")</f>
        <v/>
      </c>
      <c r="I6706">
        <f>IF(E6706="Gmail",COUNTIF($E$2:E6706,"Gmail"),"")</f>
        <v/>
      </c>
      <c r="J6706">
        <f>IF(E6706="Outlook",COUNTIF($E$2:E6706,"Outlook"),"")</f>
        <v/>
      </c>
      <c r="K6706">
        <f>IF(E6706="Domain",COUNTIF($E$2:E6706,"Domain"),"")</f>
        <v/>
      </c>
    </row>
    <row r="6707">
      <c r="A6707" s="2" t="n"/>
      <c r="B6707">
        <f>LOWER(TRIM(A6707))</f>
        <v/>
      </c>
      <c r="C6707">
        <f>IF(B6707="","",IFERROR(INDEX('Bad Patterns'!$A$2:$A$120,MATCH(1,INDEX(--ISNUMBER(SEARCH('Bad Patterns'!$A$2:$A$120,B6707)),0),0)),""))</f>
        <v/>
      </c>
      <c r="D6707">
        <f>IF(B6707="","",IF(C6707&lt;&gt;"","REMOVE","KEEP"))</f>
        <v/>
      </c>
      <c r="E6707">
        <f>IF(D6707&lt;&gt;"KEEP","",IF(RIGHT(B6707,10)="@gmail.com","Gmail",IF(OR(RIGHT(B6707,12)="@outlook.com",RIGHT(B6707,12)="@hotmail.com",RIGHT(B6707,9)="@live.com"),"Outlook","Domain")))</f>
        <v/>
      </c>
      <c r="F6707">
        <f>IF(B6707="","",IFERROR(RIGHT(B6707,LEN(B6707)-FIND("@",B6707)),""))</f>
        <v/>
      </c>
      <c r="G6707">
        <f>IF(D6707="KEEP",COUNTIF($D$2:D6707,"KEEP"),"")</f>
        <v/>
      </c>
      <c r="H6707">
        <f>IF(D6707="REMOVE",COUNTIF($D$2:D6707,"REMOVE"),"")</f>
        <v/>
      </c>
      <c r="I6707">
        <f>IF(E6707="Gmail",COUNTIF($E$2:E6707,"Gmail"),"")</f>
        <v/>
      </c>
      <c r="J6707">
        <f>IF(E6707="Outlook",COUNTIF($E$2:E6707,"Outlook"),"")</f>
        <v/>
      </c>
      <c r="K6707">
        <f>IF(E6707="Domain",COUNTIF($E$2:E6707,"Domain"),"")</f>
        <v/>
      </c>
    </row>
    <row r="6708">
      <c r="A6708" s="2" t="n"/>
      <c r="B6708">
        <f>LOWER(TRIM(A6708))</f>
        <v/>
      </c>
      <c r="C6708">
        <f>IF(B6708="","",IFERROR(INDEX('Bad Patterns'!$A$2:$A$120,MATCH(1,INDEX(--ISNUMBER(SEARCH('Bad Patterns'!$A$2:$A$120,B6708)),0),0)),""))</f>
        <v/>
      </c>
      <c r="D6708">
        <f>IF(B6708="","",IF(C6708&lt;&gt;"","REMOVE","KEEP"))</f>
        <v/>
      </c>
      <c r="E6708">
        <f>IF(D6708&lt;&gt;"KEEP","",IF(RIGHT(B6708,10)="@gmail.com","Gmail",IF(OR(RIGHT(B6708,12)="@outlook.com",RIGHT(B6708,12)="@hotmail.com",RIGHT(B6708,9)="@live.com"),"Outlook","Domain")))</f>
        <v/>
      </c>
      <c r="F6708">
        <f>IF(B6708="","",IFERROR(RIGHT(B6708,LEN(B6708)-FIND("@",B6708)),""))</f>
        <v/>
      </c>
      <c r="G6708">
        <f>IF(D6708="KEEP",COUNTIF($D$2:D6708,"KEEP"),"")</f>
        <v/>
      </c>
      <c r="H6708">
        <f>IF(D6708="REMOVE",COUNTIF($D$2:D6708,"REMOVE"),"")</f>
        <v/>
      </c>
      <c r="I6708">
        <f>IF(E6708="Gmail",COUNTIF($E$2:E6708,"Gmail"),"")</f>
        <v/>
      </c>
      <c r="J6708">
        <f>IF(E6708="Outlook",COUNTIF($E$2:E6708,"Outlook"),"")</f>
        <v/>
      </c>
      <c r="K6708">
        <f>IF(E6708="Domain",COUNTIF($E$2:E6708,"Domain"),"")</f>
        <v/>
      </c>
    </row>
    <row r="6709">
      <c r="A6709" s="2" t="n"/>
      <c r="B6709">
        <f>LOWER(TRIM(A6709))</f>
        <v/>
      </c>
      <c r="C6709">
        <f>IF(B6709="","",IFERROR(INDEX('Bad Patterns'!$A$2:$A$120,MATCH(1,INDEX(--ISNUMBER(SEARCH('Bad Patterns'!$A$2:$A$120,B6709)),0),0)),""))</f>
        <v/>
      </c>
      <c r="D6709">
        <f>IF(B6709="","",IF(C6709&lt;&gt;"","REMOVE","KEEP"))</f>
        <v/>
      </c>
      <c r="E6709">
        <f>IF(D6709&lt;&gt;"KEEP","",IF(RIGHT(B6709,10)="@gmail.com","Gmail",IF(OR(RIGHT(B6709,12)="@outlook.com",RIGHT(B6709,12)="@hotmail.com",RIGHT(B6709,9)="@live.com"),"Outlook","Domain")))</f>
        <v/>
      </c>
      <c r="F6709">
        <f>IF(B6709="","",IFERROR(RIGHT(B6709,LEN(B6709)-FIND("@",B6709)),""))</f>
        <v/>
      </c>
      <c r="G6709">
        <f>IF(D6709="KEEP",COUNTIF($D$2:D6709,"KEEP"),"")</f>
        <v/>
      </c>
      <c r="H6709">
        <f>IF(D6709="REMOVE",COUNTIF($D$2:D6709,"REMOVE"),"")</f>
        <v/>
      </c>
      <c r="I6709">
        <f>IF(E6709="Gmail",COUNTIF($E$2:E6709,"Gmail"),"")</f>
        <v/>
      </c>
      <c r="J6709">
        <f>IF(E6709="Outlook",COUNTIF($E$2:E6709,"Outlook"),"")</f>
        <v/>
      </c>
      <c r="K6709">
        <f>IF(E6709="Domain",COUNTIF($E$2:E6709,"Domain"),"")</f>
        <v/>
      </c>
    </row>
    <row r="6710">
      <c r="A6710" s="2" t="n"/>
      <c r="B6710">
        <f>LOWER(TRIM(A6710))</f>
        <v/>
      </c>
      <c r="C6710">
        <f>IF(B6710="","",IFERROR(INDEX('Bad Patterns'!$A$2:$A$120,MATCH(1,INDEX(--ISNUMBER(SEARCH('Bad Patterns'!$A$2:$A$120,B6710)),0),0)),""))</f>
        <v/>
      </c>
      <c r="D6710">
        <f>IF(B6710="","",IF(C6710&lt;&gt;"","REMOVE","KEEP"))</f>
        <v/>
      </c>
      <c r="E6710">
        <f>IF(D6710&lt;&gt;"KEEP","",IF(RIGHT(B6710,10)="@gmail.com","Gmail",IF(OR(RIGHT(B6710,12)="@outlook.com",RIGHT(B6710,12)="@hotmail.com",RIGHT(B6710,9)="@live.com"),"Outlook","Domain")))</f>
        <v/>
      </c>
      <c r="F6710">
        <f>IF(B6710="","",IFERROR(RIGHT(B6710,LEN(B6710)-FIND("@",B6710)),""))</f>
        <v/>
      </c>
      <c r="G6710">
        <f>IF(D6710="KEEP",COUNTIF($D$2:D6710,"KEEP"),"")</f>
        <v/>
      </c>
      <c r="H6710">
        <f>IF(D6710="REMOVE",COUNTIF($D$2:D6710,"REMOVE"),"")</f>
        <v/>
      </c>
      <c r="I6710">
        <f>IF(E6710="Gmail",COUNTIF($E$2:E6710,"Gmail"),"")</f>
        <v/>
      </c>
      <c r="J6710">
        <f>IF(E6710="Outlook",COUNTIF($E$2:E6710,"Outlook"),"")</f>
        <v/>
      </c>
      <c r="K6710">
        <f>IF(E6710="Domain",COUNTIF($E$2:E6710,"Domain"),"")</f>
        <v/>
      </c>
    </row>
    <row r="6711">
      <c r="A6711" s="2" t="n"/>
      <c r="B6711">
        <f>LOWER(TRIM(A6711))</f>
        <v/>
      </c>
      <c r="C6711">
        <f>IF(B6711="","",IFERROR(INDEX('Bad Patterns'!$A$2:$A$120,MATCH(1,INDEX(--ISNUMBER(SEARCH('Bad Patterns'!$A$2:$A$120,B6711)),0),0)),""))</f>
        <v/>
      </c>
      <c r="D6711">
        <f>IF(B6711="","",IF(C6711&lt;&gt;"","REMOVE","KEEP"))</f>
        <v/>
      </c>
      <c r="E6711">
        <f>IF(D6711&lt;&gt;"KEEP","",IF(RIGHT(B6711,10)="@gmail.com","Gmail",IF(OR(RIGHT(B6711,12)="@outlook.com",RIGHT(B6711,12)="@hotmail.com",RIGHT(B6711,9)="@live.com"),"Outlook","Domain")))</f>
        <v/>
      </c>
      <c r="F6711">
        <f>IF(B6711="","",IFERROR(RIGHT(B6711,LEN(B6711)-FIND("@",B6711)),""))</f>
        <v/>
      </c>
      <c r="G6711">
        <f>IF(D6711="KEEP",COUNTIF($D$2:D6711,"KEEP"),"")</f>
        <v/>
      </c>
      <c r="H6711">
        <f>IF(D6711="REMOVE",COUNTIF($D$2:D6711,"REMOVE"),"")</f>
        <v/>
      </c>
      <c r="I6711">
        <f>IF(E6711="Gmail",COUNTIF($E$2:E6711,"Gmail"),"")</f>
        <v/>
      </c>
      <c r="J6711">
        <f>IF(E6711="Outlook",COUNTIF($E$2:E6711,"Outlook"),"")</f>
        <v/>
      </c>
      <c r="K6711">
        <f>IF(E6711="Domain",COUNTIF($E$2:E6711,"Domain"),"")</f>
        <v/>
      </c>
    </row>
    <row r="6712">
      <c r="A6712" s="2" t="n"/>
      <c r="B6712">
        <f>LOWER(TRIM(A6712))</f>
        <v/>
      </c>
      <c r="C6712">
        <f>IF(B6712="","",IFERROR(INDEX('Bad Patterns'!$A$2:$A$120,MATCH(1,INDEX(--ISNUMBER(SEARCH('Bad Patterns'!$A$2:$A$120,B6712)),0),0)),""))</f>
        <v/>
      </c>
      <c r="D6712">
        <f>IF(B6712="","",IF(C6712&lt;&gt;"","REMOVE","KEEP"))</f>
        <v/>
      </c>
      <c r="E6712">
        <f>IF(D6712&lt;&gt;"KEEP","",IF(RIGHT(B6712,10)="@gmail.com","Gmail",IF(OR(RIGHT(B6712,12)="@outlook.com",RIGHT(B6712,12)="@hotmail.com",RIGHT(B6712,9)="@live.com"),"Outlook","Domain")))</f>
        <v/>
      </c>
      <c r="F6712">
        <f>IF(B6712="","",IFERROR(RIGHT(B6712,LEN(B6712)-FIND("@",B6712)),""))</f>
        <v/>
      </c>
      <c r="G6712">
        <f>IF(D6712="KEEP",COUNTIF($D$2:D6712,"KEEP"),"")</f>
        <v/>
      </c>
      <c r="H6712">
        <f>IF(D6712="REMOVE",COUNTIF($D$2:D6712,"REMOVE"),"")</f>
        <v/>
      </c>
      <c r="I6712">
        <f>IF(E6712="Gmail",COUNTIF($E$2:E6712,"Gmail"),"")</f>
        <v/>
      </c>
      <c r="J6712">
        <f>IF(E6712="Outlook",COUNTIF($E$2:E6712,"Outlook"),"")</f>
        <v/>
      </c>
      <c r="K6712">
        <f>IF(E6712="Domain",COUNTIF($E$2:E6712,"Domain"),"")</f>
        <v/>
      </c>
    </row>
    <row r="6713">
      <c r="A6713" s="2" t="n"/>
      <c r="B6713">
        <f>LOWER(TRIM(A6713))</f>
        <v/>
      </c>
      <c r="C6713">
        <f>IF(B6713="","",IFERROR(INDEX('Bad Patterns'!$A$2:$A$120,MATCH(1,INDEX(--ISNUMBER(SEARCH('Bad Patterns'!$A$2:$A$120,B6713)),0),0)),""))</f>
        <v/>
      </c>
      <c r="D6713">
        <f>IF(B6713="","",IF(C6713&lt;&gt;"","REMOVE","KEEP"))</f>
        <v/>
      </c>
      <c r="E6713">
        <f>IF(D6713&lt;&gt;"KEEP","",IF(RIGHT(B6713,10)="@gmail.com","Gmail",IF(OR(RIGHT(B6713,12)="@outlook.com",RIGHT(B6713,12)="@hotmail.com",RIGHT(B6713,9)="@live.com"),"Outlook","Domain")))</f>
        <v/>
      </c>
      <c r="F6713">
        <f>IF(B6713="","",IFERROR(RIGHT(B6713,LEN(B6713)-FIND("@",B6713)),""))</f>
        <v/>
      </c>
      <c r="G6713">
        <f>IF(D6713="KEEP",COUNTIF($D$2:D6713,"KEEP"),"")</f>
        <v/>
      </c>
      <c r="H6713">
        <f>IF(D6713="REMOVE",COUNTIF($D$2:D6713,"REMOVE"),"")</f>
        <v/>
      </c>
      <c r="I6713">
        <f>IF(E6713="Gmail",COUNTIF($E$2:E6713,"Gmail"),"")</f>
        <v/>
      </c>
      <c r="J6713">
        <f>IF(E6713="Outlook",COUNTIF($E$2:E6713,"Outlook"),"")</f>
        <v/>
      </c>
      <c r="K6713">
        <f>IF(E6713="Domain",COUNTIF($E$2:E6713,"Domain"),"")</f>
        <v/>
      </c>
    </row>
    <row r="6714">
      <c r="A6714" s="2" t="n"/>
      <c r="B6714">
        <f>LOWER(TRIM(A6714))</f>
        <v/>
      </c>
      <c r="C6714">
        <f>IF(B6714="","",IFERROR(INDEX('Bad Patterns'!$A$2:$A$120,MATCH(1,INDEX(--ISNUMBER(SEARCH('Bad Patterns'!$A$2:$A$120,B6714)),0),0)),""))</f>
        <v/>
      </c>
      <c r="D6714">
        <f>IF(B6714="","",IF(C6714&lt;&gt;"","REMOVE","KEEP"))</f>
        <v/>
      </c>
      <c r="E6714">
        <f>IF(D6714&lt;&gt;"KEEP","",IF(RIGHT(B6714,10)="@gmail.com","Gmail",IF(OR(RIGHT(B6714,12)="@outlook.com",RIGHT(B6714,12)="@hotmail.com",RIGHT(B6714,9)="@live.com"),"Outlook","Domain")))</f>
        <v/>
      </c>
      <c r="F6714">
        <f>IF(B6714="","",IFERROR(RIGHT(B6714,LEN(B6714)-FIND("@",B6714)),""))</f>
        <v/>
      </c>
      <c r="G6714">
        <f>IF(D6714="KEEP",COUNTIF($D$2:D6714,"KEEP"),"")</f>
        <v/>
      </c>
      <c r="H6714">
        <f>IF(D6714="REMOVE",COUNTIF($D$2:D6714,"REMOVE"),"")</f>
        <v/>
      </c>
      <c r="I6714">
        <f>IF(E6714="Gmail",COUNTIF($E$2:E6714,"Gmail"),"")</f>
        <v/>
      </c>
      <c r="J6714">
        <f>IF(E6714="Outlook",COUNTIF($E$2:E6714,"Outlook"),"")</f>
        <v/>
      </c>
      <c r="K6714">
        <f>IF(E6714="Domain",COUNTIF($E$2:E6714,"Domain"),"")</f>
        <v/>
      </c>
    </row>
    <row r="6715">
      <c r="A6715" s="2" t="n"/>
      <c r="B6715">
        <f>LOWER(TRIM(A6715))</f>
        <v/>
      </c>
      <c r="C6715">
        <f>IF(B6715="","",IFERROR(INDEX('Bad Patterns'!$A$2:$A$120,MATCH(1,INDEX(--ISNUMBER(SEARCH('Bad Patterns'!$A$2:$A$120,B6715)),0),0)),""))</f>
        <v/>
      </c>
      <c r="D6715">
        <f>IF(B6715="","",IF(C6715&lt;&gt;"","REMOVE","KEEP"))</f>
        <v/>
      </c>
      <c r="E6715">
        <f>IF(D6715&lt;&gt;"KEEP","",IF(RIGHT(B6715,10)="@gmail.com","Gmail",IF(OR(RIGHT(B6715,12)="@outlook.com",RIGHT(B6715,12)="@hotmail.com",RIGHT(B6715,9)="@live.com"),"Outlook","Domain")))</f>
        <v/>
      </c>
      <c r="F6715">
        <f>IF(B6715="","",IFERROR(RIGHT(B6715,LEN(B6715)-FIND("@",B6715)),""))</f>
        <v/>
      </c>
      <c r="G6715">
        <f>IF(D6715="KEEP",COUNTIF($D$2:D6715,"KEEP"),"")</f>
        <v/>
      </c>
      <c r="H6715">
        <f>IF(D6715="REMOVE",COUNTIF($D$2:D6715,"REMOVE"),"")</f>
        <v/>
      </c>
      <c r="I6715">
        <f>IF(E6715="Gmail",COUNTIF($E$2:E6715,"Gmail"),"")</f>
        <v/>
      </c>
      <c r="J6715">
        <f>IF(E6715="Outlook",COUNTIF($E$2:E6715,"Outlook"),"")</f>
        <v/>
      </c>
      <c r="K6715">
        <f>IF(E6715="Domain",COUNTIF($E$2:E6715,"Domain"),"")</f>
        <v/>
      </c>
    </row>
    <row r="6716">
      <c r="A6716" s="2" t="n"/>
      <c r="B6716">
        <f>LOWER(TRIM(A6716))</f>
        <v/>
      </c>
      <c r="C6716">
        <f>IF(B6716="","",IFERROR(INDEX('Bad Patterns'!$A$2:$A$120,MATCH(1,INDEX(--ISNUMBER(SEARCH('Bad Patterns'!$A$2:$A$120,B6716)),0),0)),""))</f>
        <v/>
      </c>
      <c r="D6716">
        <f>IF(B6716="","",IF(C6716&lt;&gt;"","REMOVE","KEEP"))</f>
        <v/>
      </c>
      <c r="E6716">
        <f>IF(D6716&lt;&gt;"KEEP","",IF(RIGHT(B6716,10)="@gmail.com","Gmail",IF(OR(RIGHT(B6716,12)="@outlook.com",RIGHT(B6716,12)="@hotmail.com",RIGHT(B6716,9)="@live.com"),"Outlook","Domain")))</f>
        <v/>
      </c>
      <c r="F6716">
        <f>IF(B6716="","",IFERROR(RIGHT(B6716,LEN(B6716)-FIND("@",B6716)),""))</f>
        <v/>
      </c>
      <c r="G6716">
        <f>IF(D6716="KEEP",COUNTIF($D$2:D6716,"KEEP"),"")</f>
        <v/>
      </c>
      <c r="H6716">
        <f>IF(D6716="REMOVE",COUNTIF($D$2:D6716,"REMOVE"),"")</f>
        <v/>
      </c>
      <c r="I6716">
        <f>IF(E6716="Gmail",COUNTIF($E$2:E6716,"Gmail"),"")</f>
        <v/>
      </c>
      <c r="J6716">
        <f>IF(E6716="Outlook",COUNTIF($E$2:E6716,"Outlook"),"")</f>
        <v/>
      </c>
      <c r="K6716">
        <f>IF(E6716="Domain",COUNTIF($E$2:E6716,"Domain"),"")</f>
        <v/>
      </c>
    </row>
    <row r="6717">
      <c r="A6717" s="2" t="n"/>
      <c r="B6717">
        <f>LOWER(TRIM(A6717))</f>
        <v/>
      </c>
      <c r="C6717">
        <f>IF(B6717="","",IFERROR(INDEX('Bad Patterns'!$A$2:$A$120,MATCH(1,INDEX(--ISNUMBER(SEARCH('Bad Patterns'!$A$2:$A$120,B6717)),0),0)),""))</f>
        <v/>
      </c>
      <c r="D6717">
        <f>IF(B6717="","",IF(C6717&lt;&gt;"","REMOVE","KEEP"))</f>
        <v/>
      </c>
      <c r="E6717">
        <f>IF(D6717&lt;&gt;"KEEP","",IF(RIGHT(B6717,10)="@gmail.com","Gmail",IF(OR(RIGHT(B6717,12)="@outlook.com",RIGHT(B6717,12)="@hotmail.com",RIGHT(B6717,9)="@live.com"),"Outlook","Domain")))</f>
        <v/>
      </c>
      <c r="F6717">
        <f>IF(B6717="","",IFERROR(RIGHT(B6717,LEN(B6717)-FIND("@",B6717)),""))</f>
        <v/>
      </c>
      <c r="G6717">
        <f>IF(D6717="KEEP",COUNTIF($D$2:D6717,"KEEP"),"")</f>
        <v/>
      </c>
      <c r="H6717">
        <f>IF(D6717="REMOVE",COUNTIF($D$2:D6717,"REMOVE"),"")</f>
        <v/>
      </c>
      <c r="I6717">
        <f>IF(E6717="Gmail",COUNTIF($E$2:E6717,"Gmail"),"")</f>
        <v/>
      </c>
      <c r="J6717">
        <f>IF(E6717="Outlook",COUNTIF($E$2:E6717,"Outlook"),"")</f>
        <v/>
      </c>
      <c r="K6717">
        <f>IF(E6717="Domain",COUNTIF($E$2:E6717,"Domain"),"")</f>
        <v/>
      </c>
    </row>
    <row r="6718">
      <c r="A6718" s="2" t="n"/>
      <c r="B6718">
        <f>LOWER(TRIM(A6718))</f>
        <v/>
      </c>
      <c r="C6718">
        <f>IF(B6718="","",IFERROR(INDEX('Bad Patterns'!$A$2:$A$120,MATCH(1,INDEX(--ISNUMBER(SEARCH('Bad Patterns'!$A$2:$A$120,B6718)),0),0)),""))</f>
        <v/>
      </c>
      <c r="D6718">
        <f>IF(B6718="","",IF(C6718&lt;&gt;"","REMOVE","KEEP"))</f>
        <v/>
      </c>
      <c r="E6718">
        <f>IF(D6718&lt;&gt;"KEEP","",IF(RIGHT(B6718,10)="@gmail.com","Gmail",IF(OR(RIGHT(B6718,12)="@outlook.com",RIGHT(B6718,12)="@hotmail.com",RIGHT(B6718,9)="@live.com"),"Outlook","Domain")))</f>
        <v/>
      </c>
      <c r="F6718">
        <f>IF(B6718="","",IFERROR(RIGHT(B6718,LEN(B6718)-FIND("@",B6718)),""))</f>
        <v/>
      </c>
      <c r="G6718">
        <f>IF(D6718="KEEP",COUNTIF($D$2:D6718,"KEEP"),"")</f>
        <v/>
      </c>
      <c r="H6718">
        <f>IF(D6718="REMOVE",COUNTIF($D$2:D6718,"REMOVE"),"")</f>
        <v/>
      </c>
      <c r="I6718">
        <f>IF(E6718="Gmail",COUNTIF($E$2:E6718,"Gmail"),"")</f>
        <v/>
      </c>
      <c r="J6718">
        <f>IF(E6718="Outlook",COUNTIF($E$2:E6718,"Outlook"),"")</f>
        <v/>
      </c>
      <c r="K6718">
        <f>IF(E6718="Domain",COUNTIF($E$2:E6718,"Domain"),"")</f>
        <v/>
      </c>
    </row>
    <row r="6719">
      <c r="A6719" s="2" t="n"/>
      <c r="B6719">
        <f>LOWER(TRIM(A6719))</f>
        <v/>
      </c>
      <c r="C6719">
        <f>IF(B6719="","",IFERROR(INDEX('Bad Patterns'!$A$2:$A$120,MATCH(1,INDEX(--ISNUMBER(SEARCH('Bad Patterns'!$A$2:$A$120,B6719)),0),0)),""))</f>
        <v/>
      </c>
      <c r="D6719">
        <f>IF(B6719="","",IF(C6719&lt;&gt;"","REMOVE","KEEP"))</f>
        <v/>
      </c>
      <c r="E6719">
        <f>IF(D6719&lt;&gt;"KEEP","",IF(RIGHT(B6719,10)="@gmail.com","Gmail",IF(OR(RIGHT(B6719,12)="@outlook.com",RIGHT(B6719,12)="@hotmail.com",RIGHT(B6719,9)="@live.com"),"Outlook","Domain")))</f>
        <v/>
      </c>
      <c r="F6719">
        <f>IF(B6719="","",IFERROR(RIGHT(B6719,LEN(B6719)-FIND("@",B6719)),""))</f>
        <v/>
      </c>
      <c r="G6719">
        <f>IF(D6719="KEEP",COUNTIF($D$2:D6719,"KEEP"),"")</f>
        <v/>
      </c>
      <c r="H6719">
        <f>IF(D6719="REMOVE",COUNTIF($D$2:D6719,"REMOVE"),"")</f>
        <v/>
      </c>
      <c r="I6719">
        <f>IF(E6719="Gmail",COUNTIF($E$2:E6719,"Gmail"),"")</f>
        <v/>
      </c>
      <c r="J6719">
        <f>IF(E6719="Outlook",COUNTIF($E$2:E6719,"Outlook"),"")</f>
        <v/>
      </c>
      <c r="K6719">
        <f>IF(E6719="Domain",COUNTIF($E$2:E6719,"Domain"),"")</f>
        <v/>
      </c>
    </row>
    <row r="6720">
      <c r="A6720" s="2" t="n"/>
      <c r="B6720">
        <f>LOWER(TRIM(A6720))</f>
        <v/>
      </c>
      <c r="C6720">
        <f>IF(B6720="","",IFERROR(INDEX('Bad Patterns'!$A$2:$A$120,MATCH(1,INDEX(--ISNUMBER(SEARCH('Bad Patterns'!$A$2:$A$120,B6720)),0),0)),""))</f>
        <v/>
      </c>
      <c r="D6720">
        <f>IF(B6720="","",IF(C6720&lt;&gt;"","REMOVE","KEEP"))</f>
        <v/>
      </c>
      <c r="E6720">
        <f>IF(D6720&lt;&gt;"KEEP","",IF(RIGHT(B6720,10)="@gmail.com","Gmail",IF(OR(RIGHT(B6720,12)="@outlook.com",RIGHT(B6720,12)="@hotmail.com",RIGHT(B6720,9)="@live.com"),"Outlook","Domain")))</f>
        <v/>
      </c>
      <c r="F6720">
        <f>IF(B6720="","",IFERROR(RIGHT(B6720,LEN(B6720)-FIND("@",B6720)),""))</f>
        <v/>
      </c>
      <c r="G6720">
        <f>IF(D6720="KEEP",COUNTIF($D$2:D6720,"KEEP"),"")</f>
        <v/>
      </c>
      <c r="H6720">
        <f>IF(D6720="REMOVE",COUNTIF($D$2:D6720,"REMOVE"),"")</f>
        <v/>
      </c>
      <c r="I6720">
        <f>IF(E6720="Gmail",COUNTIF($E$2:E6720,"Gmail"),"")</f>
        <v/>
      </c>
      <c r="J6720">
        <f>IF(E6720="Outlook",COUNTIF($E$2:E6720,"Outlook"),"")</f>
        <v/>
      </c>
      <c r="K6720">
        <f>IF(E6720="Domain",COUNTIF($E$2:E6720,"Domain"),"")</f>
        <v/>
      </c>
    </row>
    <row r="6721">
      <c r="A6721" s="2" t="n"/>
      <c r="B6721">
        <f>LOWER(TRIM(A6721))</f>
        <v/>
      </c>
      <c r="C6721">
        <f>IF(B6721="","",IFERROR(INDEX('Bad Patterns'!$A$2:$A$120,MATCH(1,INDEX(--ISNUMBER(SEARCH('Bad Patterns'!$A$2:$A$120,B6721)),0),0)),""))</f>
        <v/>
      </c>
      <c r="D6721">
        <f>IF(B6721="","",IF(C6721&lt;&gt;"","REMOVE","KEEP"))</f>
        <v/>
      </c>
      <c r="E6721">
        <f>IF(D6721&lt;&gt;"KEEP","",IF(RIGHT(B6721,10)="@gmail.com","Gmail",IF(OR(RIGHT(B6721,12)="@outlook.com",RIGHT(B6721,12)="@hotmail.com",RIGHT(B6721,9)="@live.com"),"Outlook","Domain")))</f>
        <v/>
      </c>
      <c r="F6721">
        <f>IF(B6721="","",IFERROR(RIGHT(B6721,LEN(B6721)-FIND("@",B6721)),""))</f>
        <v/>
      </c>
      <c r="G6721">
        <f>IF(D6721="KEEP",COUNTIF($D$2:D6721,"KEEP"),"")</f>
        <v/>
      </c>
      <c r="H6721">
        <f>IF(D6721="REMOVE",COUNTIF($D$2:D6721,"REMOVE"),"")</f>
        <v/>
      </c>
      <c r="I6721">
        <f>IF(E6721="Gmail",COUNTIF($E$2:E6721,"Gmail"),"")</f>
        <v/>
      </c>
      <c r="J6721">
        <f>IF(E6721="Outlook",COUNTIF($E$2:E6721,"Outlook"),"")</f>
        <v/>
      </c>
      <c r="K6721">
        <f>IF(E6721="Domain",COUNTIF($E$2:E6721,"Domain"),"")</f>
        <v/>
      </c>
    </row>
    <row r="6722">
      <c r="A6722" s="2" t="n"/>
      <c r="B6722">
        <f>LOWER(TRIM(A6722))</f>
        <v/>
      </c>
      <c r="C6722">
        <f>IF(B6722="","",IFERROR(INDEX('Bad Patterns'!$A$2:$A$120,MATCH(1,INDEX(--ISNUMBER(SEARCH('Bad Patterns'!$A$2:$A$120,B6722)),0),0)),""))</f>
        <v/>
      </c>
      <c r="D6722">
        <f>IF(B6722="","",IF(C6722&lt;&gt;"","REMOVE","KEEP"))</f>
        <v/>
      </c>
      <c r="E6722">
        <f>IF(D6722&lt;&gt;"KEEP","",IF(RIGHT(B6722,10)="@gmail.com","Gmail",IF(OR(RIGHT(B6722,12)="@outlook.com",RIGHT(B6722,12)="@hotmail.com",RIGHT(B6722,9)="@live.com"),"Outlook","Domain")))</f>
        <v/>
      </c>
      <c r="F6722">
        <f>IF(B6722="","",IFERROR(RIGHT(B6722,LEN(B6722)-FIND("@",B6722)),""))</f>
        <v/>
      </c>
      <c r="G6722">
        <f>IF(D6722="KEEP",COUNTIF($D$2:D6722,"KEEP"),"")</f>
        <v/>
      </c>
      <c r="H6722">
        <f>IF(D6722="REMOVE",COUNTIF($D$2:D6722,"REMOVE"),"")</f>
        <v/>
      </c>
      <c r="I6722">
        <f>IF(E6722="Gmail",COUNTIF($E$2:E6722,"Gmail"),"")</f>
        <v/>
      </c>
      <c r="J6722">
        <f>IF(E6722="Outlook",COUNTIF($E$2:E6722,"Outlook"),"")</f>
        <v/>
      </c>
      <c r="K6722">
        <f>IF(E6722="Domain",COUNTIF($E$2:E6722,"Domain"),"")</f>
        <v/>
      </c>
    </row>
    <row r="6723">
      <c r="A6723" s="2" t="n"/>
      <c r="B6723">
        <f>LOWER(TRIM(A6723))</f>
        <v/>
      </c>
      <c r="C6723">
        <f>IF(B6723="","",IFERROR(INDEX('Bad Patterns'!$A$2:$A$120,MATCH(1,INDEX(--ISNUMBER(SEARCH('Bad Patterns'!$A$2:$A$120,B6723)),0),0)),""))</f>
        <v/>
      </c>
      <c r="D6723">
        <f>IF(B6723="","",IF(C6723&lt;&gt;"","REMOVE","KEEP"))</f>
        <v/>
      </c>
      <c r="E6723">
        <f>IF(D6723&lt;&gt;"KEEP","",IF(RIGHT(B6723,10)="@gmail.com","Gmail",IF(OR(RIGHT(B6723,12)="@outlook.com",RIGHT(B6723,12)="@hotmail.com",RIGHT(B6723,9)="@live.com"),"Outlook","Domain")))</f>
        <v/>
      </c>
      <c r="F6723">
        <f>IF(B6723="","",IFERROR(RIGHT(B6723,LEN(B6723)-FIND("@",B6723)),""))</f>
        <v/>
      </c>
      <c r="G6723">
        <f>IF(D6723="KEEP",COUNTIF($D$2:D6723,"KEEP"),"")</f>
        <v/>
      </c>
      <c r="H6723">
        <f>IF(D6723="REMOVE",COUNTIF($D$2:D6723,"REMOVE"),"")</f>
        <v/>
      </c>
      <c r="I6723">
        <f>IF(E6723="Gmail",COUNTIF($E$2:E6723,"Gmail"),"")</f>
        <v/>
      </c>
      <c r="J6723">
        <f>IF(E6723="Outlook",COUNTIF($E$2:E6723,"Outlook"),"")</f>
        <v/>
      </c>
      <c r="K6723">
        <f>IF(E6723="Domain",COUNTIF($E$2:E6723,"Domain"),"")</f>
        <v/>
      </c>
    </row>
    <row r="6724">
      <c r="A6724" s="2" t="n"/>
      <c r="B6724">
        <f>LOWER(TRIM(A6724))</f>
        <v/>
      </c>
      <c r="C6724">
        <f>IF(B6724="","",IFERROR(INDEX('Bad Patterns'!$A$2:$A$120,MATCH(1,INDEX(--ISNUMBER(SEARCH('Bad Patterns'!$A$2:$A$120,B6724)),0),0)),""))</f>
        <v/>
      </c>
      <c r="D6724">
        <f>IF(B6724="","",IF(C6724&lt;&gt;"","REMOVE","KEEP"))</f>
        <v/>
      </c>
      <c r="E6724">
        <f>IF(D6724&lt;&gt;"KEEP","",IF(RIGHT(B6724,10)="@gmail.com","Gmail",IF(OR(RIGHT(B6724,12)="@outlook.com",RIGHT(B6724,12)="@hotmail.com",RIGHT(B6724,9)="@live.com"),"Outlook","Domain")))</f>
        <v/>
      </c>
      <c r="F6724">
        <f>IF(B6724="","",IFERROR(RIGHT(B6724,LEN(B6724)-FIND("@",B6724)),""))</f>
        <v/>
      </c>
      <c r="G6724">
        <f>IF(D6724="KEEP",COUNTIF($D$2:D6724,"KEEP"),"")</f>
        <v/>
      </c>
      <c r="H6724">
        <f>IF(D6724="REMOVE",COUNTIF($D$2:D6724,"REMOVE"),"")</f>
        <v/>
      </c>
      <c r="I6724">
        <f>IF(E6724="Gmail",COUNTIF($E$2:E6724,"Gmail"),"")</f>
        <v/>
      </c>
      <c r="J6724">
        <f>IF(E6724="Outlook",COUNTIF($E$2:E6724,"Outlook"),"")</f>
        <v/>
      </c>
      <c r="K6724">
        <f>IF(E6724="Domain",COUNTIF($E$2:E6724,"Domain"),"")</f>
        <v/>
      </c>
    </row>
    <row r="6725">
      <c r="A6725" s="2" t="n"/>
      <c r="B6725">
        <f>LOWER(TRIM(A6725))</f>
        <v/>
      </c>
      <c r="C6725">
        <f>IF(B6725="","",IFERROR(INDEX('Bad Patterns'!$A$2:$A$120,MATCH(1,INDEX(--ISNUMBER(SEARCH('Bad Patterns'!$A$2:$A$120,B6725)),0),0)),""))</f>
        <v/>
      </c>
      <c r="D6725">
        <f>IF(B6725="","",IF(C6725&lt;&gt;"","REMOVE","KEEP"))</f>
        <v/>
      </c>
      <c r="E6725">
        <f>IF(D6725&lt;&gt;"KEEP","",IF(RIGHT(B6725,10)="@gmail.com","Gmail",IF(OR(RIGHT(B6725,12)="@outlook.com",RIGHT(B6725,12)="@hotmail.com",RIGHT(B6725,9)="@live.com"),"Outlook","Domain")))</f>
        <v/>
      </c>
      <c r="F6725">
        <f>IF(B6725="","",IFERROR(RIGHT(B6725,LEN(B6725)-FIND("@",B6725)),""))</f>
        <v/>
      </c>
      <c r="G6725">
        <f>IF(D6725="KEEP",COUNTIF($D$2:D6725,"KEEP"),"")</f>
        <v/>
      </c>
      <c r="H6725">
        <f>IF(D6725="REMOVE",COUNTIF($D$2:D6725,"REMOVE"),"")</f>
        <v/>
      </c>
      <c r="I6725">
        <f>IF(E6725="Gmail",COUNTIF($E$2:E6725,"Gmail"),"")</f>
        <v/>
      </c>
      <c r="J6725">
        <f>IF(E6725="Outlook",COUNTIF($E$2:E6725,"Outlook"),"")</f>
        <v/>
      </c>
      <c r="K6725">
        <f>IF(E6725="Domain",COUNTIF($E$2:E6725,"Domain"),"")</f>
        <v/>
      </c>
    </row>
    <row r="6726">
      <c r="A6726" s="2" t="n"/>
      <c r="B6726">
        <f>LOWER(TRIM(A6726))</f>
        <v/>
      </c>
      <c r="C6726">
        <f>IF(B6726="","",IFERROR(INDEX('Bad Patterns'!$A$2:$A$120,MATCH(1,INDEX(--ISNUMBER(SEARCH('Bad Patterns'!$A$2:$A$120,B6726)),0),0)),""))</f>
        <v/>
      </c>
      <c r="D6726">
        <f>IF(B6726="","",IF(C6726&lt;&gt;"","REMOVE","KEEP"))</f>
        <v/>
      </c>
      <c r="E6726">
        <f>IF(D6726&lt;&gt;"KEEP","",IF(RIGHT(B6726,10)="@gmail.com","Gmail",IF(OR(RIGHT(B6726,12)="@outlook.com",RIGHT(B6726,12)="@hotmail.com",RIGHT(B6726,9)="@live.com"),"Outlook","Domain")))</f>
        <v/>
      </c>
      <c r="F6726">
        <f>IF(B6726="","",IFERROR(RIGHT(B6726,LEN(B6726)-FIND("@",B6726)),""))</f>
        <v/>
      </c>
      <c r="G6726">
        <f>IF(D6726="KEEP",COUNTIF($D$2:D6726,"KEEP"),"")</f>
        <v/>
      </c>
      <c r="H6726">
        <f>IF(D6726="REMOVE",COUNTIF($D$2:D6726,"REMOVE"),"")</f>
        <v/>
      </c>
      <c r="I6726">
        <f>IF(E6726="Gmail",COUNTIF($E$2:E6726,"Gmail"),"")</f>
        <v/>
      </c>
      <c r="J6726">
        <f>IF(E6726="Outlook",COUNTIF($E$2:E6726,"Outlook"),"")</f>
        <v/>
      </c>
      <c r="K6726">
        <f>IF(E6726="Domain",COUNTIF($E$2:E6726,"Domain"),"")</f>
        <v/>
      </c>
    </row>
    <row r="6727">
      <c r="A6727" s="2" t="n"/>
      <c r="B6727">
        <f>LOWER(TRIM(A6727))</f>
        <v/>
      </c>
      <c r="C6727">
        <f>IF(B6727="","",IFERROR(INDEX('Bad Patterns'!$A$2:$A$120,MATCH(1,INDEX(--ISNUMBER(SEARCH('Bad Patterns'!$A$2:$A$120,B6727)),0),0)),""))</f>
        <v/>
      </c>
      <c r="D6727">
        <f>IF(B6727="","",IF(C6727&lt;&gt;"","REMOVE","KEEP"))</f>
        <v/>
      </c>
      <c r="E6727">
        <f>IF(D6727&lt;&gt;"KEEP","",IF(RIGHT(B6727,10)="@gmail.com","Gmail",IF(OR(RIGHT(B6727,12)="@outlook.com",RIGHT(B6727,12)="@hotmail.com",RIGHT(B6727,9)="@live.com"),"Outlook","Domain")))</f>
        <v/>
      </c>
      <c r="F6727">
        <f>IF(B6727="","",IFERROR(RIGHT(B6727,LEN(B6727)-FIND("@",B6727)),""))</f>
        <v/>
      </c>
      <c r="G6727">
        <f>IF(D6727="KEEP",COUNTIF($D$2:D6727,"KEEP"),"")</f>
        <v/>
      </c>
      <c r="H6727">
        <f>IF(D6727="REMOVE",COUNTIF($D$2:D6727,"REMOVE"),"")</f>
        <v/>
      </c>
      <c r="I6727">
        <f>IF(E6727="Gmail",COUNTIF($E$2:E6727,"Gmail"),"")</f>
        <v/>
      </c>
      <c r="J6727">
        <f>IF(E6727="Outlook",COUNTIF($E$2:E6727,"Outlook"),"")</f>
        <v/>
      </c>
      <c r="K6727">
        <f>IF(E6727="Domain",COUNTIF($E$2:E6727,"Domain"),"")</f>
        <v/>
      </c>
    </row>
    <row r="6728">
      <c r="A6728" s="2" t="n"/>
      <c r="B6728">
        <f>LOWER(TRIM(A6728))</f>
        <v/>
      </c>
      <c r="C6728">
        <f>IF(B6728="","",IFERROR(INDEX('Bad Patterns'!$A$2:$A$120,MATCH(1,INDEX(--ISNUMBER(SEARCH('Bad Patterns'!$A$2:$A$120,B6728)),0),0)),""))</f>
        <v/>
      </c>
      <c r="D6728">
        <f>IF(B6728="","",IF(C6728&lt;&gt;"","REMOVE","KEEP"))</f>
        <v/>
      </c>
      <c r="E6728">
        <f>IF(D6728&lt;&gt;"KEEP","",IF(RIGHT(B6728,10)="@gmail.com","Gmail",IF(OR(RIGHT(B6728,12)="@outlook.com",RIGHT(B6728,12)="@hotmail.com",RIGHT(B6728,9)="@live.com"),"Outlook","Domain")))</f>
        <v/>
      </c>
      <c r="F6728">
        <f>IF(B6728="","",IFERROR(RIGHT(B6728,LEN(B6728)-FIND("@",B6728)),""))</f>
        <v/>
      </c>
      <c r="G6728">
        <f>IF(D6728="KEEP",COUNTIF($D$2:D6728,"KEEP"),"")</f>
        <v/>
      </c>
      <c r="H6728">
        <f>IF(D6728="REMOVE",COUNTIF($D$2:D6728,"REMOVE"),"")</f>
        <v/>
      </c>
      <c r="I6728">
        <f>IF(E6728="Gmail",COUNTIF($E$2:E6728,"Gmail"),"")</f>
        <v/>
      </c>
      <c r="J6728">
        <f>IF(E6728="Outlook",COUNTIF($E$2:E6728,"Outlook"),"")</f>
        <v/>
      </c>
      <c r="K6728">
        <f>IF(E6728="Domain",COUNTIF($E$2:E6728,"Domain"),"")</f>
        <v/>
      </c>
    </row>
    <row r="6729">
      <c r="A6729" s="2" t="n"/>
      <c r="B6729">
        <f>LOWER(TRIM(A6729))</f>
        <v/>
      </c>
      <c r="C6729">
        <f>IF(B6729="","",IFERROR(INDEX('Bad Patterns'!$A$2:$A$120,MATCH(1,INDEX(--ISNUMBER(SEARCH('Bad Patterns'!$A$2:$A$120,B6729)),0),0)),""))</f>
        <v/>
      </c>
      <c r="D6729">
        <f>IF(B6729="","",IF(C6729&lt;&gt;"","REMOVE","KEEP"))</f>
        <v/>
      </c>
      <c r="E6729">
        <f>IF(D6729&lt;&gt;"KEEP","",IF(RIGHT(B6729,10)="@gmail.com","Gmail",IF(OR(RIGHT(B6729,12)="@outlook.com",RIGHT(B6729,12)="@hotmail.com",RIGHT(B6729,9)="@live.com"),"Outlook","Domain")))</f>
        <v/>
      </c>
      <c r="F6729">
        <f>IF(B6729="","",IFERROR(RIGHT(B6729,LEN(B6729)-FIND("@",B6729)),""))</f>
        <v/>
      </c>
      <c r="G6729">
        <f>IF(D6729="KEEP",COUNTIF($D$2:D6729,"KEEP"),"")</f>
        <v/>
      </c>
      <c r="H6729">
        <f>IF(D6729="REMOVE",COUNTIF($D$2:D6729,"REMOVE"),"")</f>
        <v/>
      </c>
      <c r="I6729">
        <f>IF(E6729="Gmail",COUNTIF($E$2:E6729,"Gmail"),"")</f>
        <v/>
      </c>
      <c r="J6729">
        <f>IF(E6729="Outlook",COUNTIF($E$2:E6729,"Outlook"),"")</f>
        <v/>
      </c>
      <c r="K6729">
        <f>IF(E6729="Domain",COUNTIF($E$2:E6729,"Domain"),"")</f>
        <v/>
      </c>
    </row>
    <row r="6730">
      <c r="A6730" s="2" t="n"/>
      <c r="B6730">
        <f>LOWER(TRIM(A6730))</f>
        <v/>
      </c>
      <c r="C6730">
        <f>IF(B6730="","",IFERROR(INDEX('Bad Patterns'!$A$2:$A$120,MATCH(1,INDEX(--ISNUMBER(SEARCH('Bad Patterns'!$A$2:$A$120,B6730)),0),0)),""))</f>
        <v/>
      </c>
      <c r="D6730">
        <f>IF(B6730="","",IF(C6730&lt;&gt;"","REMOVE","KEEP"))</f>
        <v/>
      </c>
      <c r="E6730">
        <f>IF(D6730&lt;&gt;"KEEP","",IF(RIGHT(B6730,10)="@gmail.com","Gmail",IF(OR(RIGHT(B6730,12)="@outlook.com",RIGHT(B6730,12)="@hotmail.com",RIGHT(B6730,9)="@live.com"),"Outlook","Domain")))</f>
        <v/>
      </c>
      <c r="F6730">
        <f>IF(B6730="","",IFERROR(RIGHT(B6730,LEN(B6730)-FIND("@",B6730)),""))</f>
        <v/>
      </c>
      <c r="G6730">
        <f>IF(D6730="KEEP",COUNTIF($D$2:D6730,"KEEP"),"")</f>
        <v/>
      </c>
      <c r="H6730">
        <f>IF(D6730="REMOVE",COUNTIF($D$2:D6730,"REMOVE"),"")</f>
        <v/>
      </c>
      <c r="I6730">
        <f>IF(E6730="Gmail",COUNTIF($E$2:E6730,"Gmail"),"")</f>
        <v/>
      </c>
      <c r="J6730">
        <f>IF(E6730="Outlook",COUNTIF($E$2:E6730,"Outlook"),"")</f>
        <v/>
      </c>
      <c r="K6730">
        <f>IF(E6730="Domain",COUNTIF($E$2:E6730,"Domain"),"")</f>
        <v/>
      </c>
    </row>
    <row r="6731">
      <c r="A6731" s="2" t="n"/>
      <c r="B6731">
        <f>LOWER(TRIM(A6731))</f>
        <v/>
      </c>
      <c r="C6731">
        <f>IF(B6731="","",IFERROR(INDEX('Bad Patterns'!$A$2:$A$120,MATCH(1,INDEX(--ISNUMBER(SEARCH('Bad Patterns'!$A$2:$A$120,B6731)),0),0)),""))</f>
        <v/>
      </c>
      <c r="D6731">
        <f>IF(B6731="","",IF(C6731&lt;&gt;"","REMOVE","KEEP"))</f>
        <v/>
      </c>
      <c r="E6731">
        <f>IF(D6731&lt;&gt;"KEEP","",IF(RIGHT(B6731,10)="@gmail.com","Gmail",IF(OR(RIGHT(B6731,12)="@outlook.com",RIGHT(B6731,12)="@hotmail.com",RIGHT(B6731,9)="@live.com"),"Outlook","Domain")))</f>
        <v/>
      </c>
      <c r="F6731">
        <f>IF(B6731="","",IFERROR(RIGHT(B6731,LEN(B6731)-FIND("@",B6731)),""))</f>
        <v/>
      </c>
      <c r="G6731">
        <f>IF(D6731="KEEP",COUNTIF($D$2:D6731,"KEEP"),"")</f>
        <v/>
      </c>
      <c r="H6731">
        <f>IF(D6731="REMOVE",COUNTIF($D$2:D6731,"REMOVE"),"")</f>
        <v/>
      </c>
      <c r="I6731">
        <f>IF(E6731="Gmail",COUNTIF($E$2:E6731,"Gmail"),"")</f>
        <v/>
      </c>
      <c r="J6731">
        <f>IF(E6731="Outlook",COUNTIF($E$2:E6731,"Outlook"),"")</f>
        <v/>
      </c>
      <c r="K6731">
        <f>IF(E6731="Domain",COUNTIF($E$2:E6731,"Domain"),"")</f>
        <v/>
      </c>
    </row>
    <row r="6732">
      <c r="A6732" s="2" t="n"/>
      <c r="B6732">
        <f>LOWER(TRIM(A6732))</f>
        <v/>
      </c>
      <c r="C6732">
        <f>IF(B6732="","",IFERROR(INDEX('Bad Patterns'!$A$2:$A$120,MATCH(1,INDEX(--ISNUMBER(SEARCH('Bad Patterns'!$A$2:$A$120,B6732)),0),0)),""))</f>
        <v/>
      </c>
      <c r="D6732">
        <f>IF(B6732="","",IF(C6732&lt;&gt;"","REMOVE","KEEP"))</f>
        <v/>
      </c>
      <c r="E6732">
        <f>IF(D6732&lt;&gt;"KEEP","",IF(RIGHT(B6732,10)="@gmail.com","Gmail",IF(OR(RIGHT(B6732,12)="@outlook.com",RIGHT(B6732,12)="@hotmail.com",RIGHT(B6732,9)="@live.com"),"Outlook","Domain")))</f>
        <v/>
      </c>
      <c r="F6732">
        <f>IF(B6732="","",IFERROR(RIGHT(B6732,LEN(B6732)-FIND("@",B6732)),""))</f>
        <v/>
      </c>
      <c r="G6732">
        <f>IF(D6732="KEEP",COUNTIF($D$2:D6732,"KEEP"),"")</f>
        <v/>
      </c>
      <c r="H6732">
        <f>IF(D6732="REMOVE",COUNTIF($D$2:D6732,"REMOVE"),"")</f>
        <v/>
      </c>
      <c r="I6732">
        <f>IF(E6732="Gmail",COUNTIF($E$2:E6732,"Gmail"),"")</f>
        <v/>
      </c>
      <c r="J6732">
        <f>IF(E6732="Outlook",COUNTIF($E$2:E6732,"Outlook"),"")</f>
        <v/>
      </c>
      <c r="K6732">
        <f>IF(E6732="Domain",COUNTIF($E$2:E6732,"Domain"),"")</f>
        <v/>
      </c>
    </row>
    <row r="6733">
      <c r="A6733" s="2" t="n"/>
      <c r="B6733">
        <f>LOWER(TRIM(A6733))</f>
        <v/>
      </c>
      <c r="C6733">
        <f>IF(B6733="","",IFERROR(INDEX('Bad Patterns'!$A$2:$A$120,MATCH(1,INDEX(--ISNUMBER(SEARCH('Bad Patterns'!$A$2:$A$120,B6733)),0),0)),""))</f>
        <v/>
      </c>
      <c r="D6733">
        <f>IF(B6733="","",IF(C6733&lt;&gt;"","REMOVE","KEEP"))</f>
        <v/>
      </c>
      <c r="E6733">
        <f>IF(D6733&lt;&gt;"KEEP","",IF(RIGHT(B6733,10)="@gmail.com","Gmail",IF(OR(RIGHT(B6733,12)="@outlook.com",RIGHT(B6733,12)="@hotmail.com",RIGHT(B6733,9)="@live.com"),"Outlook","Domain")))</f>
        <v/>
      </c>
      <c r="F6733">
        <f>IF(B6733="","",IFERROR(RIGHT(B6733,LEN(B6733)-FIND("@",B6733)),""))</f>
        <v/>
      </c>
      <c r="G6733">
        <f>IF(D6733="KEEP",COUNTIF($D$2:D6733,"KEEP"),"")</f>
        <v/>
      </c>
      <c r="H6733">
        <f>IF(D6733="REMOVE",COUNTIF($D$2:D6733,"REMOVE"),"")</f>
        <v/>
      </c>
      <c r="I6733">
        <f>IF(E6733="Gmail",COUNTIF($E$2:E6733,"Gmail"),"")</f>
        <v/>
      </c>
      <c r="J6733">
        <f>IF(E6733="Outlook",COUNTIF($E$2:E6733,"Outlook"),"")</f>
        <v/>
      </c>
      <c r="K6733">
        <f>IF(E6733="Domain",COUNTIF($E$2:E6733,"Domain"),"")</f>
        <v/>
      </c>
    </row>
    <row r="6734">
      <c r="A6734" s="2" t="n"/>
      <c r="B6734">
        <f>LOWER(TRIM(A6734))</f>
        <v/>
      </c>
      <c r="C6734">
        <f>IF(B6734="","",IFERROR(INDEX('Bad Patterns'!$A$2:$A$120,MATCH(1,INDEX(--ISNUMBER(SEARCH('Bad Patterns'!$A$2:$A$120,B6734)),0),0)),""))</f>
        <v/>
      </c>
      <c r="D6734">
        <f>IF(B6734="","",IF(C6734&lt;&gt;"","REMOVE","KEEP"))</f>
        <v/>
      </c>
      <c r="E6734">
        <f>IF(D6734&lt;&gt;"KEEP","",IF(RIGHT(B6734,10)="@gmail.com","Gmail",IF(OR(RIGHT(B6734,12)="@outlook.com",RIGHT(B6734,12)="@hotmail.com",RIGHT(B6734,9)="@live.com"),"Outlook","Domain")))</f>
        <v/>
      </c>
      <c r="F6734">
        <f>IF(B6734="","",IFERROR(RIGHT(B6734,LEN(B6734)-FIND("@",B6734)),""))</f>
        <v/>
      </c>
      <c r="G6734">
        <f>IF(D6734="KEEP",COUNTIF($D$2:D6734,"KEEP"),"")</f>
        <v/>
      </c>
      <c r="H6734">
        <f>IF(D6734="REMOVE",COUNTIF($D$2:D6734,"REMOVE"),"")</f>
        <v/>
      </c>
      <c r="I6734">
        <f>IF(E6734="Gmail",COUNTIF($E$2:E6734,"Gmail"),"")</f>
        <v/>
      </c>
      <c r="J6734">
        <f>IF(E6734="Outlook",COUNTIF($E$2:E6734,"Outlook"),"")</f>
        <v/>
      </c>
      <c r="K6734">
        <f>IF(E6734="Domain",COUNTIF($E$2:E6734,"Domain"),"")</f>
        <v/>
      </c>
    </row>
    <row r="6735">
      <c r="A6735" s="2" t="n"/>
      <c r="B6735">
        <f>LOWER(TRIM(A6735))</f>
        <v/>
      </c>
      <c r="C6735">
        <f>IF(B6735="","",IFERROR(INDEX('Bad Patterns'!$A$2:$A$120,MATCH(1,INDEX(--ISNUMBER(SEARCH('Bad Patterns'!$A$2:$A$120,B6735)),0),0)),""))</f>
        <v/>
      </c>
      <c r="D6735">
        <f>IF(B6735="","",IF(C6735&lt;&gt;"","REMOVE","KEEP"))</f>
        <v/>
      </c>
      <c r="E6735">
        <f>IF(D6735&lt;&gt;"KEEP","",IF(RIGHT(B6735,10)="@gmail.com","Gmail",IF(OR(RIGHT(B6735,12)="@outlook.com",RIGHT(B6735,12)="@hotmail.com",RIGHT(B6735,9)="@live.com"),"Outlook","Domain")))</f>
        <v/>
      </c>
      <c r="F6735">
        <f>IF(B6735="","",IFERROR(RIGHT(B6735,LEN(B6735)-FIND("@",B6735)),""))</f>
        <v/>
      </c>
      <c r="G6735">
        <f>IF(D6735="KEEP",COUNTIF($D$2:D6735,"KEEP"),"")</f>
        <v/>
      </c>
      <c r="H6735">
        <f>IF(D6735="REMOVE",COUNTIF($D$2:D6735,"REMOVE"),"")</f>
        <v/>
      </c>
      <c r="I6735">
        <f>IF(E6735="Gmail",COUNTIF($E$2:E6735,"Gmail"),"")</f>
        <v/>
      </c>
      <c r="J6735">
        <f>IF(E6735="Outlook",COUNTIF($E$2:E6735,"Outlook"),"")</f>
        <v/>
      </c>
      <c r="K6735">
        <f>IF(E6735="Domain",COUNTIF($E$2:E6735,"Domain"),"")</f>
        <v/>
      </c>
    </row>
    <row r="6736">
      <c r="A6736" s="2" t="n"/>
      <c r="B6736">
        <f>LOWER(TRIM(A6736))</f>
        <v/>
      </c>
      <c r="C6736">
        <f>IF(B6736="","",IFERROR(INDEX('Bad Patterns'!$A$2:$A$120,MATCH(1,INDEX(--ISNUMBER(SEARCH('Bad Patterns'!$A$2:$A$120,B6736)),0),0)),""))</f>
        <v/>
      </c>
      <c r="D6736">
        <f>IF(B6736="","",IF(C6736&lt;&gt;"","REMOVE","KEEP"))</f>
        <v/>
      </c>
      <c r="E6736">
        <f>IF(D6736&lt;&gt;"KEEP","",IF(RIGHT(B6736,10)="@gmail.com","Gmail",IF(OR(RIGHT(B6736,12)="@outlook.com",RIGHT(B6736,12)="@hotmail.com",RIGHT(B6736,9)="@live.com"),"Outlook","Domain")))</f>
        <v/>
      </c>
      <c r="F6736">
        <f>IF(B6736="","",IFERROR(RIGHT(B6736,LEN(B6736)-FIND("@",B6736)),""))</f>
        <v/>
      </c>
      <c r="G6736">
        <f>IF(D6736="KEEP",COUNTIF($D$2:D6736,"KEEP"),"")</f>
        <v/>
      </c>
      <c r="H6736">
        <f>IF(D6736="REMOVE",COUNTIF($D$2:D6736,"REMOVE"),"")</f>
        <v/>
      </c>
      <c r="I6736">
        <f>IF(E6736="Gmail",COUNTIF($E$2:E6736,"Gmail"),"")</f>
        <v/>
      </c>
      <c r="J6736">
        <f>IF(E6736="Outlook",COUNTIF($E$2:E6736,"Outlook"),"")</f>
        <v/>
      </c>
      <c r="K6736">
        <f>IF(E6736="Domain",COUNTIF($E$2:E6736,"Domain"),"")</f>
        <v/>
      </c>
    </row>
    <row r="6737">
      <c r="A6737" s="2" t="n"/>
      <c r="B6737">
        <f>LOWER(TRIM(A6737))</f>
        <v/>
      </c>
      <c r="C6737">
        <f>IF(B6737="","",IFERROR(INDEX('Bad Patterns'!$A$2:$A$120,MATCH(1,INDEX(--ISNUMBER(SEARCH('Bad Patterns'!$A$2:$A$120,B6737)),0),0)),""))</f>
        <v/>
      </c>
      <c r="D6737">
        <f>IF(B6737="","",IF(C6737&lt;&gt;"","REMOVE","KEEP"))</f>
        <v/>
      </c>
      <c r="E6737">
        <f>IF(D6737&lt;&gt;"KEEP","",IF(RIGHT(B6737,10)="@gmail.com","Gmail",IF(OR(RIGHT(B6737,12)="@outlook.com",RIGHT(B6737,12)="@hotmail.com",RIGHT(B6737,9)="@live.com"),"Outlook","Domain")))</f>
        <v/>
      </c>
      <c r="F6737">
        <f>IF(B6737="","",IFERROR(RIGHT(B6737,LEN(B6737)-FIND("@",B6737)),""))</f>
        <v/>
      </c>
      <c r="G6737">
        <f>IF(D6737="KEEP",COUNTIF($D$2:D6737,"KEEP"),"")</f>
        <v/>
      </c>
      <c r="H6737">
        <f>IF(D6737="REMOVE",COUNTIF($D$2:D6737,"REMOVE"),"")</f>
        <v/>
      </c>
      <c r="I6737">
        <f>IF(E6737="Gmail",COUNTIF($E$2:E6737,"Gmail"),"")</f>
        <v/>
      </c>
      <c r="J6737">
        <f>IF(E6737="Outlook",COUNTIF($E$2:E6737,"Outlook"),"")</f>
        <v/>
      </c>
      <c r="K6737">
        <f>IF(E6737="Domain",COUNTIF($E$2:E6737,"Domain"),"")</f>
        <v/>
      </c>
    </row>
    <row r="6738">
      <c r="A6738" s="2" t="n"/>
      <c r="B6738">
        <f>LOWER(TRIM(A6738))</f>
        <v/>
      </c>
      <c r="C6738">
        <f>IF(B6738="","",IFERROR(INDEX('Bad Patterns'!$A$2:$A$120,MATCH(1,INDEX(--ISNUMBER(SEARCH('Bad Patterns'!$A$2:$A$120,B6738)),0),0)),""))</f>
        <v/>
      </c>
      <c r="D6738">
        <f>IF(B6738="","",IF(C6738&lt;&gt;"","REMOVE","KEEP"))</f>
        <v/>
      </c>
      <c r="E6738">
        <f>IF(D6738&lt;&gt;"KEEP","",IF(RIGHT(B6738,10)="@gmail.com","Gmail",IF(OR(RIGHT(B6738,12)="@outlook.com",RIGHT(B6738,12)="@hotmail.com",RIGHT(B6738,9)="@live.com"),"Outlook","Domain")))</f>
        <v/>
      </c>
      <c r="F6738">
        <f>IF(B6738="","",IFERROR(RIGHT(B6738,LEN(B6738)-FIND("@",B6738)),""))</f>
        <v/>
      </c>
      <c r="G6738">
        <f>IF(D6738="KEEP",COUNTIF($D$2:D6738,"KEEP"),"")</f>
        <v/>
      </c>
      <c r="H6738">
        <f>IF(D6738="REMOVE",COUNTIF($D$2:D6738,"REMOVE"),"")</f>
        <v/>
      </c>
      <c r="I6738">
        <f>IF(E6738="Gmail",COUNTIF($E$2:E6738,"Gmail"),"")</f>
        <v/>
      </c>
      <c r="J6738">
        <f>IF(E6738="Outlook",COUNTIF($E$2:E6738,"Outlook"),"")</f>
        <v/>
      </c>
      <c r="K6738">
        <f>IF(E6738="Domain",COUNTIF($E$2:E6738,"Domain"),"")</f>
        <v/>
      </c>
    </row>
    <row r="6739">
      <c r="A6739" s="2" t="n"/>
      <c r="B6739">
        <f>LOWER(TRIM(A6739))</f>
        <v/>
      </c>
      <c r="C6739">
        <f>IF(B6739="","",IFERROR(INDEX('Bad Patterns'!$A$2:$A$120,MATCH(1,INDEX(--ISNUMBER(SEARCH('Bad Patterns'!$A$2:$A$120,B6739)),0),0)),""))</f>
        <v/>
      </c>
      <c r="D6739">
        <f>IF(B6739="","",IF(C6739&lt;&gt;"","REMOVE","KEEP"))</f>
        <v/>
      </c>
      <c r="E6739">
        <f>IF(D6739&lt;&gt;"KEEP","",IF(RIGHT(B6739,10)="@gmail.com","Gmail",IF(OR(RIGHT(B6739,12)="@outlook.com",RIGHT(B6739,12)="@hotmail.com",RIGHT(B6739,9)="@live.com"),"Outlook","Domain")))</f>
        <v/>
      </c>
      <c r="F6739">
        <f>IF(B6739="","",IFERROR(RIGHT(B6739,LEN(B6739)-FIND("@",B6739)),""))</f>
        <v/>
      </c>
      <c r="G6739">
        <f>IF(D6739="KEEP",COUNTIF($D$2:D6739,"KEEP"),"")</f>
        <v/>
      </c>
      <c r="H6739">
        <f>IF(D6739="REMOVE",COUNTIF($D$2:D6739,"REMOVE"),"")</f>
        <v/>
      </c>
      <c r="I6739">
        <f>IF(E6739="Gmail",COUNTIF($E$2:E6739,"Gmail"),"")</f>
        <v/>
      </c>
      <c r="J6739">
        <f>IF(E6739="Outlook",COUNTIF($E$2:E6739,"Outlook"),"")</f>
        <v/>
      </c>
      <c r="K6739">
        <f>IF(E6739="Domain",COUNTIF($E$2:E6739,"Domain"),"")</f>
        <v/>
      </c>
    </row>
    <row r="6740">
      <c r="A6740" s="2" t="n"/>
      <c r="B6740">
        <f>LOWER(TRIM(A6740))</f>
        <v/>
      </c>
      <c r="C6740">
        <f>IF(B6740="","",IFERROR(INDEX('Bad Patterns'!$A$2:$A$120,MATCH(1,INDEX(--ISNUMBER(SEARCH('Bad Patterns'!$A$2:$A$120,B6740)),0),0)),""))</f>
        <v/>
      </c>
      <c r="D6740">
        <f>IF(B6740="","",IF(C6740&lt;&gt;"","REMOVE","KEEP"))</f>
        <v/>
      </c>
      <c r="E6740">
        <f>IF(D6740&lt;&gt;"KEEP","",IF(RIGHT(B6740,10)="@gmail.com","Gmail",IF(OR(RIGHT(B6740,12)="@outlook.com",RIGHT(B6740,12)="@hotmail.com",RIGHT(B6740,9)="@live.com"),"Outlook","Domain")))</f>
        <v/>
      </c>
      <c r="F6740">
        <f>IF(B6740="","",IFERROR(RIGHT(B6740,LEN(B6740)-FIND("@",B6740)),""))</f>
        <v/>
      </c>
      <c r="G6740">
        <f>IF(D6740="KEEP",COUNTIF($D$2:D6740,"KEEP"),"")</f>
        <v/>
      </c>
      <c r="H6740">
        <f>IF(D6740="REMOVE",COUNTIF($D$2:D6740,"REMOVE"),"")</f>
        <v/>
      </c>
      <c r="I6740">
        <f>IF(E6740="Gmail",COUNTIF($E$2:E6740,"Gmail"),"")</f>
        <v/>
      </c>
      <c r="J6740">
        <f>IF(E6740="Outlook",COUNTIF($E$2:E6740,"Outlook"),"")</f>
        <v/>
      </c>
      <c r="K6740">
        <f>IF(E6740="Domain",COUNTIF($E$2:E6740,"Domain"),"")</f>
        <v/>
      </c>
    </row>
    <row r="6741">
      <c r="A6741" s="2" t="n"/>
      <c r="B6741">
        <f>LOWER(TRIM(A6741))</f>
        <v/>
      </c>
      <c r="C6741">
        <f>IF(B6741="","",IFERROR(INDEX('Bad Patterns'!$A$2:$A$120,MATCH(1,INDEX(--ISNUMBER(SEARCH('Bad Patterns'!$A$2:$A$120,B6741)),0),0)),""))</f>
        <v/>
      </c>
      <c r="D6741">
        <f>IF(B6741="","",IF(C6741&lt;&gt;"","REMOVE","KEEP"))</f>
        <v/>
      </c>
      <c r="E6741">
        <f>IF(D6741&lt;&gt;"KEEP","",IF(RIGHT(B6741,10)="@gmail.com","Gmail",IF(OR(RIGHT(B6741,12)="@outlook.com",RIGHT(B6741,12)="@hotmail.com",RIGHT(B6741,9)="@live.com"),"Outlook","Domain")))</f>
        <v/>
      </c>
      <c r="F6741">
        <f>IF(B6741="","",IFERROR(RIGHT(B6741,LEN(B6741)-FIND("@",B6741)),""))</f>
        <v/>
      </c>
      <c r="G6741">
        <f>IF(D6741="KEEP",COUNTIF($D$2:D6741,"KEEP"),"")</f>
        <v/>
      </c>
      <c r="H6741">
        <f>IF(D6741="REMOVE",COUNTIF($D$2:D6741,"REMOVE"),"")</f>
        <v/>
      </c>
      <c r="I6741">
        <f>IF(E6741="Gmail",COUNTIF($E$2:E6741,"Gmail"),"")</f>
        <v/>
      </c>
      <c r="J6741">
        <f>IF(E6741="Outlook",COUNTIF($E$2:E6741,"Outlook"),"")</f>
        <v/>
      </c>
      <c r="K6741">
        <f>IF(E6741="Domain",COUNTIF($E$2:E6741,"Domain"),"")</f>
        <v/>
      </c>
    </row>
    <row r="6742">
      <c r="A6742" s="2" t="n"/>
      <c r="B6742">
        <f>LOWER(TRIM(A6742))</f>
        <v/>
      </c>
      <c r="C6742">
        <f>IF(B6742="","",IFERROR(INDEX('Bad Patterns'!$A$2:$A$120,MATCH(1,INDEX(--ISNUMBER(SEARCH('Bad Patterns'!$A$2:$A$120,B6742)),0),0)),""))</f>
        <v/>
      </c>
      <c r="D6742">
        <f>IF(B6742="","",IF(C6742&lt;&gt;"","REMOVE","KEEP"))</f>
        <v/>
      </c>
      <c r="E6742">
        <f>IF(D6742&lt;&gt;"KEEP","",IF(RIGHT(B6742,10)="@gmail.com","Gmail",IF(OR(RIGHT(B6742,12)="@outlook.com",RIGHT(B6742,12)="@hotmail.com",RIGHT(B6742,9)="@live.com"),"Outlook","Domain")))</f>
        <v/>
      </c>
      <c r="F6742">
        <f>IF(B6742="","",IFERROR(RIGHT(B6742,LEN(B6742)-FIND("@",B6742)),""))</f>
        <v/>
      </c>
      <c r="G6742">
        <f>IF(D6742="KEEP",COUNTIF($D$2:D6742,"KEEP"),"")</f>
        <v/>
      </c>
      <c r="H6742">
        <f>IF(D6742="REMOVE",COUNTIF($D$2:D6742,"REMOVE"),"")</f>
        <v/>
      </c>
      <c r="I6742">
        <f>IF(E6742="Gmail",COUNTIF($E$2:E6742,"Gmail"),"")</f>
        <v/>
      </c>
      <c r="J6742">
        <f>IF(E6742="Outlook",COUNTIF($E$2:E6742,"Outlook"),"")</f>
        <v/>
      </c>
      <c r="K6742">
        <f>IF(E6742="Domain",COUNTIF($E$2:E6742,"Domain"),"")</f>
        <v/>
      </c>
    </row>
    <row r="6743">
      <c r="A6743" s="2" t="n"/>
      <c r="B6743">
        <f>LOWER(TRIM(A6743))</f>
        <v/>
      </c>
      <c r="C6743">
        <f>IF(B6743="","",IFERROR(INDEX('Bad Patterns'!$A$2:$A$120,MATCH(1,INDEX(--ISNUMBER(SEARCH('Bad Patterns'!$A$2:$A$120,B6743)),0),0)),""))</f>
        <v/>
      </c>
      <c r="D6743">
        <f>IF(B6743="","",IF(C6743&lt;&gt;"","REMOVE","KEEP"))</f>
        <v/>
      </c>
      <c r="E6743">
        <f>IF(D6743&lt;&gt;"KEEP","",IF(RIGHT(B6743,10)="@gmail.com","Gmail",IF(OR(RIGHT(B6743,12)="@outlook.com",RIGHT(B6743,12)="@hotmail.com",RIGHT(B6743,9)="@live.com"),"Outlook","Domain")))</f>
        <v/>
      </c>
      <c r="F6743">
        <f>IF(B6743="","",IFERROR(RIGHT(B6743,LEN(B6743)-FIND("@",B6743)),""))</f>
        <v/>
      </c>
      <c r="G6743">
        <f>IF(D6743="KEEP",COUNTIF($D$2:D6743,"KEEP"),"")</f>
        <v/>
      </c>
      <c r="H6743">
        <f>IF(D6743="REMOVE",COUNTIF($D$2:D6743,"REMOVE"),"")</f>
        <v/>
      </c>
      <c r="I6743">
        <f>IF(E6743="Gmail",COUNTIF($E$2:E6743,"Gmail"),"")</f>
        <v/>
      </c>
      <c r="J6743">
        <f>IF(E6743="Outlook",COUNTIF($E$2:E6743,"Outlook"),"")</f>
        <v/>
      </c>
      <c r="K6743">
        <f>IF(E6743="Domain",COUNTIF($E$2:E6743,"Domain"),"")</f>
        <v/>
      </c>
    </row>
    <row r="6744">
      <c r="A6744" s="2" t="n"/>
      <c r="B6744">
        <f>LOWER(TRIM(A6744))</f>
        <v/>
      </c>
      <c r="C6744">
        <f>IF(B6744="","",IFERROR(INDEX('Bad Patterns'!$A$2:$A$120,MATCH(1,INDEX(--ISNUMBER(SEARCH('Bad Patterns'!$A$2:$A$120,B6744)),0),0)),""))</f>
        <v/>
      </c>
      <c r="D6744">
        <f>IF(B6744="","",IF(C6744&lt;&gt;"","REMOVE","KEEP"))</f>
        <v/>
      </c>
      <c r="E6744">
        <f>IF(D6744&lt;&gt;"KEEP","",IF(RIGHT(B6744,10)="@gmail.com","Gmail",IF(OR(RIGHT(B6744,12)="@outlook.com",RIGHT(B6744,12)="@hotmail.com",RIGHT(B6744,9)="@live.com"),"Outlook","Domain")))</f>
        <v/>
      </c>
      <c r="F6744">
        <f>IF(B6744="","",IFERROR(RIGHT(B6744,LEN(B6744)-FIND("@",B6744)),""))</f>
        <v/>
      </c>
      <c r="G6744">
        <f>IF(D6744="KEEP",COUNTIF($D$2:D6744,"KEEP"),"")</f>
        <v/>
      </c>
      <c r="H6744">
        <f>IF(D6744="REMOVE",COUNTIF($D$2:D6744,"REMOVE"),"")</f>
        <v/>
      </c>
      <c r="I6744">
        <f>IF(E6744="Gmail",COUNTIF($E$2:E6744,"Gmail"),"")</f>
        <v/>
      </c>
      <c r="J6744">
        <f>IF(E6744="Outlook",COUNTIF($E$2:E6744,"Outlook"),"")</f>
        <v/>
      </c>
      <c r="K6744">
        <f>IF(E6744="Domain",COUNTIF($E$2:E6744,"Domain"),"")</f>
        <v/>
      </c>
    </row>
    <row r="6745">
      <c r="A6745" s="2" t="n"/>
      <c r="B6745">
        <f>LOWER(TRIM(A6745))</f>
        <v/>
      </c>
      <c r="C6745">
        <f>IF(B6745="","",IFERROR(INDEX('Bad Patterns'!$A$2:$A$120,MATCH(1,INDEX(--ISNUMBER(SEARCH('Bad Patterns'!$A$2:$A$120,B6745)),0),0)),""))</f>
        <v/>
      </c>
      <c r="D6745">
        <f>IF(B6745="","",IF(C6745&lt;&gt;"","REMOVE","KEEP"))</f>
        <v/>
      </c>
      <c r="E6745">
        <f>IF(D6745&lt;&gt;"KEEP","",IF(RIGHT(B6745,10)="@gmail.com","Gmail",IF(OR(RIGHT(B6745,12)="@outlook.com",RIGHT(B6745,12)="@hotmail.com",RIGHT(B6745,9)="@live.com"),"Outlook","Domain")))</f>
        <v/>
      </c>
      <c r="F6745">
        <f>IF(B6745="","",IFERROR(RIGHT(B6745,LEN(B6745)-FIND("@",B6745)),""))</f>
        <v/>
      </c>
      <c r="G6745">
        <f>IF(D6745="KEEP",COUNTIF($D$2:D6745,"KEEP"),"")</f>
        <v/>
      </c>
      <c r="H6745">
        <f>IF(D6745="REMOVE",COUNTIF($D$2:D6745,"REMOVE"),"")</f>
        <v/>
      </c>
      <c r="I6745">
        <f>IF(E6745="Gmail",COUNTIF($E$2:E6745,"Gmail"),"")</f>
        <v/>
      </c>
      <c r="J6745">
        <f>IF(E6745="Outlook",COUNTIF($E$2:E6745,"Outlook"),"")</f>
        <v/>
      </c>
      <c r="K6745">
        <f>IF(E6745="Domain",COUNTIF($E$2:E6745,"Domain"),"")</f>
        <v/>
      </c>
    </row>
    <row r="6746">
      <c r="A6746" s="2" t="n"/>
      <c r="B6746">
        <f>LOWER(TRIM(A6746))</f>
        <v/>
      </c>
      <c r="C6746">
        <f>IF(B6746="","",IFERROR(INDEX('Bad Patterns'!$A$2:$A$120,MATCH(1,INDEX(--ISNUMBER(SEARCH('Bad Patterns'!$A$2:$A$120,B6746)),0),0)),""))</f>
        <v/>
      </c>
      <c r="D6746">
        <f>IF(B6746="","",IF(C6746&lt;&gt;"","REMOVE","KEEP"))</f>
        <v/>
      </c>
      <c r="E6746">
        <f>IF(D6746&lt;&gt;"KEEP","",IF(RIGHT(B6746,10)="@gmail.com","Gmail",IF(OR(RIGHT(B6746,12)="@outlook.com",RIGHT(B6746,12)="@hotmail.com",RIGHT(B6746,9)="@live.com"),"Outlook","Domain")))</f>
        <v/>
      </c>
      <c r="F6746">
        <f>IF(B6746="","",IFERROR(RIGHT(B6746,LEN(B6746)-FIND("@",B6746)),""))</f>
        <v/>
      </c>
      <c r="G6746">
        <f>IF(D6746="KEEP",COUNTIF($D$2:D6746,"KEEP"),"")</f>
        <v/>
      </c>
      <c r="H6746">
        <f>IF(D6746="REMOVE",COUNTIF($D$2:D6746,"REMOVE"),"")</f>
        <v/>
      </c>
      <c r="I6746">
        <f>IF(E6746="Gmail",COUNTIF($E$2:E6746,"Gmail"),"")</f>
        <v/>
      </c>
      <c r="J6746">
        <f>IF(E6746="Outlook",COUNTIF($E$2:E6746,"Outlook"),"")</f>
        <v/>
      </c>
      <c r="K6746">
        <f>IF(E6746="Domain",COUNTIF($E$2:E6746,"Domain"),"")</f>
        <v/>
      </c>
    </row>
    <row r="6747">
      <c r="A6747" s="2" t="n"/>
      <c r="B6747">
        <f>LOWER(TRIM(A6747))</f>
        <v/>
      </c>
      <c r="C6747">
        <f>IF(B6747="","",IFERROR(INDEX('Bad Patterns'!$A$2:$A$120,MATCH(1,INDEX(--ISNUMBER(SEARCH('Bad Patterns'!$A$2:$A$120,B6747)),0),0)),""))</f>
        <v/>
      </c>
      <c r="D6747">
        <f>IF(B6747="","",IF(C6747&lt;&gt;"","REMOVE","KEEP"))</f>
        <v/>
      </c>
      <c r="E6747">
        <f>IF(D6747&lt;&gt;"KEEP","",IF(RIGHT(B6747,10)="@gmail.com","Gmail",IF(OR(RIGHT(B6747,12)="@outlook.com",RIGHT(B6747,12)="@hotmail.com",RIGHT(B6747,9)="@live.com"),"Outlook","Domain")))</f>
        <v/>
      </c>
      <c r="F6747">
        <f>IF(B6747="","",IFERROR(RIGHT(B6747,LEN(B6747)-FIND("@",B6747)),""))</f>
        <v/>
      </c>
      <c r="G6747">
        <f>IF(D6747="KEEP",COUNTIF($D$2:D6747,"KEEP"),"")</f>
        <v/>
      </c>
      <c r="H6747">
        <f>IF(D6747="REMOVE",COUNTIF($D$2:D6747,"REMOVE"),"")</f>
        <v/>
      </c>
      <c r="I6747">
        <f>IF(E6747="Gmail",COUNTIF($E$2:E6747,"Gmail"),"")</f>
        <v/>
      </c>
      <c r="J6747">
        <f>IF(E6747="Outlook",COUNTIF($E$2:E6747,"Outlook"),"")</f>
        <v/>
      </c>
      <c r="K6747">
        <f>IF(E6747="Domain",COUNTIF($E$2:E6747,"Domain"),"")</f>
        <v/>
      </c>
    </row>
    <row r="6748">
      <c r="A6748" s="2" t="n"/>
      <c r="B6748">
        <f>LOWER(TRIM(A6748))</f>
        <v/>
      </c>
      <c r="C6748">
        <f>IF(B6748="","",IFERROR(INDEX('Bad Patterns'!$A$2:$A$120,MATCH(1,INDEX(--ISNUMBER(SEARCH('Bad Patterns'!$A$2:$A$120,B6748)),0),0)),""))</f>
        <v/>
      </c>
      <c r="D6748">
        <f>IF(B6748="","",IF(C6748&lt;&gt;"","REMOVE","KEEP"))</f>
        <v/>
      </c>
      <c r="E6748">
        <f>IF(D6748&lt;&gt;"KEEP","",IF(RIGHT(B6748,10)="@gmail.com","Gmail",IF(OR(RIGHT(B6748,12)="@outlook.com",RIGHT(B6748,12)="@hotmail.com",RIGHT(B6748,9)="@live.com"),"Outlook","Domain")))</f>
        <v/>
      </c>
      <c r="F6748">
        <f>IF(B6748="","",IFERROR(RIGHT(B6748,LEN(B6748)-FIND("@",B6748)),""))</f>
        <v/>
      </c>
      <c r="G6748">
        <f>IF(D6748="KEEP",COUNTIF($D$2:D6748,"KEEP"),"")</f>
        <v/>
      </c>
      <c r="H6748">
        <f>IF(D6748="REMOVE",COUNTIF($D$2:D6748,"REMOVE"),"")</f>
        <v/>
      </c>
      <c r="I6748">
        <f>IF(E6748="Gmail",COUNTIF($E$2:E6748,"Gmail"),"")</f>
        <v/>
      </c>
      <c r="J6748">
        <f>IF(E6748="Outlook",COUNTIF($E$2:E6748,"Outlook"),"")</f>
        <v/>
      </c>
      <c r="K6748">
        <f>IF(E6748="Domain",COUNTIF($E$2:E6748,"Domain"),"")</f>
        <v/>
      </c>
    </row>
    <row r="6749">
      <c r="A6749" s="2" t="n"/>
      <c r="B6749">
        <f>LOWER(TRIM(A6749))</f>
        <v/>
      </c>
      <c r="C6749">
        <f>IF(B6749="","",IFERROR(INDEX('Bad Patterns'!$A$2:$A$120,MATCH(1,INDEX(--ISNUMBER(SEARCH('Bad Patterns'!$A$2:$A$120,B6749)),0),0)),""))</f>
        <v/>
      </c>
      <c r="D6749">
        <f>IF(B6749="","",IF(C6749&lt;&gt;"","REMOVE","KEEP"))</f>
        <v/>
      </c>
      <c r="E6749">
        <f>IF(D6749&lt;&gt;"KEEP","",IF(RIGHT(B6749,10)="@gmail.com","Gmail",IF(OR(RIGHT(B6749,12)="@outlook.com",RIGHT(B6749,12)="@hotmail.com",RIGHT(B6749,9)="@live.com"),"Outlook","Domain")))</f>
        <v/>
      </c>
      <c r="F6749">
        <f>IF(B6749="","",IFERROR(RIGHT(B6749,LEN(B6749)-FIND("@",B6749)),""))</f>
        <v/>
      </c>
      <c r="G6749">
        <f>IF(D6749="KEEP",COUNTIF($D$2:D6749,"KEEP"),"")</f>
        <v/>
      </c>
      <c r="H6749">
        <f>IF(D6749="REMOVE",COUNTIF($D$2:D6749,"REMOVE"),"")</f>
        <v/>
      </c>
      <c r="I6749">
        <f>IF(E6749="Gmail",COUNTIF($E$2:E6749,"Gmail"),"")</f>
        <v/>
      </c>
      <c r="J6749">
        <f>IF(E6749="Outlook",COUNTIF($E$2:E6749,"Outlook"),"")</f>
        <v/>
      </c>
      <c r="K6749">
        <f>IF(E6749="Domain",COUNTIF($E$2:E6749,"Domain"),"")</f>
        <v/>
      </c>
    </row>
    <row r="6750">
      <c r="A6750" s="2" t="n"/>
      <c r="B6750">
        <f>LOWER(TRIM(A6750))</f>
        <v/>
      </c>
      <c r="C6750">
        <f>IF(B6750="","",IFERROR(INDEX('Bad Patterns'!$A$2:$A$120,MATCH(1,INDEX(--ISNUMBER(SEARCH('Bad Patterns'!$A$2:$A$120,B6750)),0),0)),""))</f>
        <v/>
      </c>
      <c r="D6750">
        <f>IF(B6750="","",IF(C6750&lt;&gt;"","REMOVE","KEEP"))</f>
        <v/>
      </c>
      <c r="E6750">
        <f>IF(D6750&lt;&gt;"KEEP","",IF(RIGHT(B6750,10)="@gmail.com","Gmail",IF(OR(RIGHT(B6750,12)="@outlook.com",RIGHT(B6750,12)="@hotmail.com",RIGHT(B6750,9)="@live.com"),"Outlook","Domain")))</f>
        <v/>
      </c>
      <c r="F6750">
        <f>IF(B6750="","",IFERROR(RIGHT(B6750,LEN(B6750)-FIND("@",B6750)),""))</f>
        <v/>
      </c>
      <c r="G6750">
        <f>IF(D6750="KEEP",COUNTIF($D$2:D6750,"KEEP"),"")</f>
        <v/>
      </c>
      <c r="H6750">
        <f>IF(D6750="REMOVE",COUNTIF($D$2:D6750,"REMOVE"),"")</f>
        <v/>
      </c>
      <c r="I6750">
        <f>IF(E6750="Gmail",COUNTIF($E$2:E6750,"Gmail"),"")</f>
        <v/>
      </c>
      <c r="J6750">
        <f>IF(E6750="Outlook",COUNTIF($E$2:E6750,"Outlook"),"")</f>
        <v/>
      </c>
      <c r="K6750">
        <f>IF(E6750="Domain",COUNTIF($E$2:E6750,"Domain"),"")</f>
        <v/>
      </c>
    </row>
    <row r="6751">
      <c r="A6751" s="2" t="n"/>
      <c r="B6751">
        <f>LOWER(TRIM(A6751))</f>
        <v/>
      </c>
      <c r="C6751">
        <f>IF(B6751="","",IFERROR(INDEX('Bad Patterns'!$A$2:$A$120,MATCH(1,INDEX(--ISNUMBER(SEARCH('Bad Patterns'!$A$2:$A$120,B6751)),0),0)),""))</f>
        <v/>
      </c>
      <c r="D6751">
        <f>IF(B6751="","",IF(C6751&lt;&gt;"","REMOVE","KEEP"))</f>
        <v/>
      </c>
      <c r="E6751">
        <f>IF(D6751&lt;&gt;"KEEP","",IF(RIGHT(B6751,10)="@gmail.com","Gmail",IF(OR(RIGHT(B6751,12)="@outlook.com",RIGHT(B6751,12)="@hotmail.com",RIGHT(B6751,9)="@live.com"),"Outlook","Domain")))</f>
        <v/>
      </c>
      <c r="F6751">
        <f>IF(B6751="","",IFERROR(RIGHT(B6751,LEN(B6751)-FIND("@",B6751)),""))</f>
        <v/>
      </c>
      <c r="G6751">
        <f>IF(D6751="KEEP",COUNTIF($D$2:D6751,"KEEP"),"")</f>
        <v/>
      </c>
      <c r="H6751">
        <f>IF(D6751="REMOVE",COUNTIF($D$2:D6751,"REMOVE"),"")</f>
        <v/>
      </c>
      <c r="I6751">
        <f>IF(E6751="Gmail",COUNTIF($E$2:E6751,"Gmail"),"")</f>
        <v/>
      </c>
      <c r="J6751">
        <f>IF(E6751="Outlook",COUNTIF($E$2:E6751,"Outlook"),"")</f>
        <v/>
      </c>
      <c r="K6751">
        <f>IF(E6751="Domain",COUNTIF($E$2:E6751,"Domain"),"")</f>
        <v/>
      </c>
    </row>
    <row r="6752">
      <c r="A6752" s="2" t="n"/>
      <c r="B6752">
        <f>LOWER(TRIM(A6752))</f>
        <v/>
      </c>
      <c r="C6752">
        <f>IF(B6752="","",IFERROR(INDEX('Bad Patterns'!$A$2:$A$120,MATCH(1,INDEX(--ISNUMBER(SEARCH('Bad Patterns'!$A$2:$A$120,B6752)),0),0)),""))</f>
        <v/>
      </c>
      <c r="D6752">
        <f>IF(B6752="","",IF(C6752&lt;&gt;"","REMOVE","KEEP"))</f>
        <v/>
      </c>
      <c r="E6752">
        <f>IF(D6752&lt;&gt;"KEEP","",IF(RIGHT(B6752,10)="@gmail.com","Gmail",IF(OR(RIGHT(B6752,12)="@outlook.com",RIGHT(B6752,12)="@hotmail.com",RIGHT(B6752,9)="@live.com"),"Outlook","Domain")))</f>
        <v/>
      </c>
      <c r="F6752">
        <f>IF(B6752="","",IFERROR(RIGHT(B6752,LEN(B6752)-FIND("@",B6752)),""))</f>
        <v/>
      </c>
      <c r="G6752">
        <f>IF(D6752="KEEP",COUNTIF($D$2:D6752,"KEEP"),"")</f>
        <v/>
      </c>
      <c r="H6752">
        <f>IF(D6752="REMOVE",COUNTIF($D$2:D6752,"REMOVE"),"")</f>
        <v/>
      </c>
      <c r="I6752">
        <f>IF(E6752="Gmail",COUNTIF($E$2:E6752,"Gmail"),"")</f>
        <v/>
      </c>
      <c r="J6752">
        <f>IF(E6752="Outlook",COUNTIF($E$2:E6752,"Outlook"),"")</f>
        <v/>
      </c>
      <c r="K6752">
        <f>IF(E6752="Domain",COUNTIF($E$2:E6752,"Domain"),"")</f>
        <v/>
      </c>
    </row>
    <row r="6753">
      <c r="A6753" s="2" t="n"/>
      <c r="B6753">
        <f>LOWER(TRIM(A6753))</f>
        <v/>
      </c>
      <c r="C6753">
        <f>IF(B6753="","",IFERROR(INDEX('Bad Patterns'!$A$2:$A$120,MATCH(1,INDEX(--ISNUMBER(SEARCH('Bad Patterns'!$A$2:$A$120,B6753)),0),0)),""))</f>
        <v/>
      </c>
      <c r="D6753">
        <f>IF(B6753="","",IF(C6753&lt;&gt;"","REMOVE","KEEP"))</f>
        <v/>
      </c>
      <c r="E6753">
        <f>IF(D6753&lt;&gt;"KEEP","",IF(RIGHT(B6753,10)="@gmail.com","Gmail",IF(OR(RIGHT(B6753,12)="@outlook.com",RIGHT(B6753,12)="@hotmail.com",RIGHT(B6753,9)="@live.com"),"Outlook","Domain")))</f>
        <v/>
      </c>
      <c r="F6753">
        <f>IF(B6753="","",IFERROR(RIGHT(B6753,LEN(B6753)-FIND("@",B6753)),""))</f>
        <v/>
      </c>
      <c r="G6753">
        <f>IF(D6753="KEEP",COUNTIF($D$2:D6753,"KEEP"),"")</f>
        <v/>
      </c>
      <c r="H6753">
        <f>IF(D6753="REMOVE",COUNTIF($D$2:D6753,"REMOVE"),"")</f>
        <v/>
      </c>
      <c r="I6753">
        <f>IF(E6753="Gmail",COUNTIF($E$2:E6753,"Gmail"),"")</f>
        <v/>
      </c>
      <c r="J6753">
        <f>IF(E6753="Outlook",COUNTIF($E$2:E6753,"Outlook"),"")</f>
        <v/>
      </c>
      <c r="K6753">
        <f>IF(E6753="Domain",COUNTIF($E$2:E6753,"Domain"),"")</f>
        <v/>
      </c>
    </row>
    <row r="6754">
      <c r="A6754" s="2" t="n"/>
      <c r="B6754">
        <f>LOWER(TRIM(A6754))</f>
        <v/>
      </c>
      <c r="C6754">
        <f>IF(B6754="","",IFERROR(INDEX('Bad Patterns'!$A$2:$A$120,MATCH(1,INDEX(--ISNUMBER(SEARCH('Bad Patterns'!$A$2:$A$120,B6754)),0),0)),""))</f>
        <v/>
      </c>
      <c r="D6754">
        <f>IF(B6754="","",IF(C6754&lt;&gt;"","REMOVE","KEEP"))</f>
        <v/>
      </c>
      <c r="E6754">
        <f>IF(D6754&lt;&gt;"KEEP","",IF(RIGHT(B6754,10)="@gmail.com","Gmail",IF(OR(RIGHT(B6754,12)="@outlook.com",RIGHT(B6754,12)="@hotmail.com",RIGHT(B6754,9)="@live.com"),"Outlook","Domain")))</f>
        <v/>
      </c>
      <c r="F6754">
        <f>IF(B6754="","",IFERROR(RIGHT(B6754,LEN(B6754)-FIND("@",B6754)),""))</f>
        <v/>
      </c>
      <c r="G6754">
        <f>IF(D6754="KEEP",COUNTIF($D$2:D6754,"KEEP"),"")</f>
        <v/>
      </c>
      <c r="H6754">
        <f>IF(D6754="REMOVE",COUNTIF($D$2:D6754,"REMOVE"),"")</f>
        <v/>
      </c>
      <c r="I6754">
        <f>IF(E6754="Gmail",COUNTIF($E$2:E6754,"Gmail"),"")</f>
        <v/>
      </c>
      <c r="J6754">
        <f>IF(E6754="Outlook",COUNTIF($E$2:E6754,"Outlook"),"")</f>
        <v/>
      </c>
      <c r="K6754">
        <f>IF(E6754="Domain",COUNTIF($E$2:E6754,"Domain"),"")</f>
        <v/>
      </c>
    </row>
    <row r="6755">
      <c r="A6755" s="2" t="n"/>
      <c r="B6755">
        <f>LOWER(TRIM(A6755))</f>
        <v/>
      </c>
      <c r="C6755">
        <f>IF(B6755="","",IFERROR(INDEX('Bad Patterns'!$A$2:$A$120,MATCH(1,INDEX(--ISNUMBER(SEARCH('Bad Patterns'!$A$2:$A$120,B6755)),0),0)),""))</f>
        <v/>
      </c>
      <c r="D6755">
        <f>IF(B6755="","",IF(C6755&lt;&gt;"","REMOVE","KEEP"))</f>
        <v/>
      </c>
      <c r="E6755">
        <f>IF(D6755&lt;&gt;"KEEP","",IF(RIGHT(B6755,10)="@gmail.com","Gmail",IF(OR(RIGHT(B6755,12)="@outlook.com",RIGHT(B6755,12)="@hotmail.com",RIGHT(B6755,9)="@live.com"),"Outlook","Domain")))</f>
        <v/>
      </c>
      <c r="F6755">
        <f>IF(B6755="","",IFERROR(RIGHT(B6755,LEN(B6755)-FIND("@",B6755)),""))</f>
        <v/>
      </c>
      <c r="G6755">
        <f>IF(D6755="KEEP",COUNTIF($D$2:D6755,"KEEP"),"")</f>
        <v/>
      </c>
      <c r="H6755">
        <f>IF(D6755="REMOVE",COUNTIF($D$2:D6755,"REMOVE"),"")</f>
        <v/>
      </c>
      <c r="I6755">
        <f>IF(E6755="Gmail",COUNTIF($E$2:E6755,"Gmail"),"")</f>
        <v/>
      </c>
      <c r="J6755">
        <f>IF(E6755="Outlook",COUNTIF($E$2:E6755,"Outlook"),"")</f>
        <v/>
      </c>
      <c r="K6755">
        <f>IF(E6755="Domain",COUNTIF($E$2:E6755,"Domain"),"")</f>
        <v/>
      </c>
    </row>
    <row r="6756">
      <c r="A6756" s="2" t="n"/>
      <c r="B6756">
        <f>LOWER(TRIM(A6756))</f>
        <v/>
      </c>
      <c r="C6756">
        <f>IF(B6756="","",IFERROR(INDEX('Bad Patterns'!$A$2:$A$120,MATCH(1,INDEX(--ISNUMBER(SEARCH('Bad Patterns'!$A$2:$A$120,B6756)),0),0)),""))</f>
        <v/>
      </c>
      <c r="D6756">
        <f>IF(B6756="","",IF(C6756&lt;&gt;"","REMOVE","KEEP"))</f>
        <v/>
      </c>
      <c r="E6756">
        <f>IF(D6756&lt;&gt;"KEEP","",IF(RIGHT(B6756,10)="@gmail.com","Gmail",IF(OR(RIGHT(B6756,12)="@outlook.com",RIGHT(B6756,12)="@hotmail.com",RIGHT(B6756,9)="@live.com"),"Outlook","Domain")))</f>
        <v/>
      </c>
      <c r="F6756">
        <f>IF(B6756="","",IFERROR(RIGHT(B6756,LEN(B6756)-FIND("@",B6756)),""))</f>
        <v/>
      </c>
      <c r="G6756">
        <f>IF(D6756="KEEP",COUNTIF($D$2:D6756,"KEEP"),"")</f>
        <v/>
      </c>
      <c r="H6756">
        <f>IF(D6756="REMOVE",COUNTIF($D$2:D6756,"REMOVE"),"")</f>
        <v/>
      </c>
      <c r="I6756">
        <f>IF(E6756="Gmail",COUNTIF($E$2:E6756,"Gmail"),"")</f>
        <v/>
      </c>
      <c r="J6756">
        <f>IF(E6756="Outlook",COUNTIF($E$2:E6756,"Outlook"),"")</f>
        <v/>
      </c>
      <c r="K6756">
        <f>IF(E6756="Domain",COUNTIF($E$2:E6756,"Domain"),"")</f>
        <v/>
      </c>
    </row>
    <row r="6757">
      <c r="A6757" s="2" t="n"/>
      <c r="B6757">
        <f>LOWER(TRIM(A6757))</f>
        <v/>
      </c>
      <c r="C6757">
        <f>IF(B6757="","",IFERROR(INDEX('Bad Patterns'!$A$2:$A$120,MATCH(1,INDEX(--ISNUMBER(SEARCH('Bad Patterns'!$A$2:$A$120,B6757)),0),0)),""))</f>
        <v/>
      </c>
      <c r="D6757">
        <f>IF(B6757="","",IF(C6757&lt;&gt;"","REMOVE","KEEP"))</f>
        <v/>
      </c>
      <c r="E6757">
        <f>IF(D6757&lt;&gt;"KEEP","",IF(RIGHT(B6757,10)="@gmail.com","Gmail",IF(OR(RIGHT(B6757,12)="@outlook.com",RIGHT(B6757,12)="@hotmail.com",RIGHT(B6757,9)="@live.com"),"Outlook","Domain")))</f>
        <v/>
      </c>
      <c r="F6757">
        <f>IF(B6757="","",IFERROR(RIGHT(B6757,LEN(B6757)-FIND("@",B6757)),""))</f>
        <v/>
      </c>
      <c r="G6757">
        <f>IF(D6757="KEEP",COUNTIF($D$2:D6757,"KEEP"),"")</f>
        <v/>
      </c>
      <c r="H6757">
        <f>IF(D6757="REMOVE",COUNTIF($D$2:D6757,"REMOVE"),"")</f>
        <v/>
      </c>
      <c r="I6757">
        <f>IF(E6757="Gmail",COUNTIF($E$2:E6757,"Gmail"),"")</f>
        <v/>
      </c>
      <c r="J6757">
        <f>IF(E6757="Outlook",COUNTIF($E$2:E6757,"Outlook"),"")</f>
        <v/>
      </c>
      <c r="K6757">
        <f>IF(E6757="Domain",COUNTIF($E$2:E6757,"Domain"),"")</f>
        <v/>
      </c>
    </row>
    <row r="6758">
      <c r="A6758" s="2" t="n"/>
      <c r="B6758">
        <f>LOWER(TRIM(A6758))</f>
        <v/>
      </c>
      <c r="C6758">
        <f>IF(B6758="","",IFERROR(INDEX('Bad Patterns'!$A$2:$A$120,MATCH(1,INDEX(--ISNUMBER(SEARCH('Bad Patterns'!$A$2:$A$120,B6758)),0),0)),""))</f>
        <v/>
      </c>
      <c r="D6758">
        <f>IF(B6758="","",IF(C6758&lt;&gt;"","REMOVE","KEEP"))</f>
        <v/>
      </c>
      <c r="E6758">
        <f>IF(D6758&lt;&gt;"KEEP","",IF(RIGHT(B6758,10)="@gmail.com","Gmail",IF(OR(RIGHT(B6758,12)="@outlook.com",RIGHT(B6758,12)="@hotmail.com",RIGHT(B6758,9)="@live.com"),"Outlook","Domain")))</f>
        <v/>
      </c>
      <c r="F6758">
        <f>IF(B6758="","",IFERROR(RIGHT(B6758,LEN(B6758)-FIND("@",B6758)),""))</f>
        <v/>
      </c>
      <c r="G6758">
        <f>IF(D6758="KEEP",COUNTIF($D$2:D6758,"KEEP"),"")</f>
        <v/>
      </c>
      <c r="H6758">
        <f>IF(D6758="REMOVE",COUNTIF($D$2:D6758,"REMOVE"),"")</f>
        <v/>
      </c>
      <c r="I6758">
        <f>IF(E6758="Gmail",COUNTIF($E$2:E6758,"Gmail"),"")</f>
        <v/>
      </c>
      <c r="J6758">
        <f>IF(E6758="Outlook",COUNTIF($E$2:E6758,"Outlook"),"")</f>
        <v/>
      </c>
      <c r="K6758">
        <f>IF(E6758="Domain",COUNTIF($E$2:E6758,"Domain"),"")</f>
        <v/>
      </c>
    </row>
    <row r="6759">
      <c r="A6759" s="2" t="n"/>
      <c r="B6759">
        <f>LOWER(TRIM(A6759))</f>
        <v/>
      </c>
      <c r="C6759">
        <f>IF(B6759="","",IFERROR(INDEX('Bad Patterns'!$A$2:$A$120,MATCH(1,INDEX(--ISNUMBER(SEARCH('Bad Patterns'!$A$2:$A$120,B6759)),0),0)),""))</f>
        <v/>
      </c>
      <c r="D6759">
        <f>IF(B6759="","",IF(C6759&lt;&gt;"","REMOVE","KEEP"))</f>
        <v/>
      </c>
      <c r="E6759">
        <f>IF(D6759&lt;&gt;"KEEP","",IF(RIGHT(B6759,10)="@gmail.com","Gmail",IF(OR(RIGHT(B6759,12)="@outlook.com",RIGHT(B6759,12)="@hotmail.com",RIGHT(B6759,9)="@live.com"),"Outlook","Domain")))</f>
        <v/>
      </c>
      <c r="F6759">
        <f>IF(B6759="","",IFERROR(RIGHT(B6759,LEN(B6759)-FIND("@",B6759)),""))</f>
        <v/>
      </c>
      <c r="G6759">
        <f>IF(D6759="KEEP",COUNTIF($D$2:D6759,"KEEP"),"")</f>
        <v/>
      </c>
      <c r="H6759">
        <f>IF(D6759="REMOVE",COUNTIF($D$2:D6759,"REMOVE"),"")</f>
        <v/>
      </c>
      <c r="I6759">
        <f>IF(E6759="Gmail",COUNTIF($E$2:E6759,"Gmail"),"")</f>
        <v/>
      </c>
      <c r="J6759">
        <f>IF(E6759="Outlook",COUNTIF($E$2:E6759,"Outlook"),"")</f>
        <v/>
      </c>
      <c r="K6759">
        <f>IF(E6759="Domain",COUNTIF($E$2:E6759,"Domain"),"")</f>
        <v/>
      </c>
    </row>
    <row r="6760">
      <c r="A6760" s="2" t="n"/>
      <c r="B6760">
        <f>LOWER(TRIM(A6760))</f>
        <v/>
      </c>
      <c r="C6760">
        <f>IF(B6760="","",IFERROR(INDEX('Bad Patterns'!$A$2:$A$120,MATCH(1,INDEX(--ISNUMBER(SEARCH('Bad Patterns'!$A$2:$A$120,B6760)),0),0)),""))</f>
        <v/>
      </c>
      <c r="D6760">
        <f>IF(B6760="","",IF(C6760&lt;&gt;"","REMOVE","KEEP"))</f>
        <v/>
      </c>
      <c r="E6760">
        <f>IF(D6760&lt;&gt;"KEEP","",IF(RIGHT(B6760,10)="@gmail.com","Gmail",IF(OR(RIGHT(B6760,12)="@outlook.com",RIGHT(B6760,12)="@hotmail.com",RIGHT(B6760,9)="@live.com"),"Outlook","Domain")))</f>
        <v/>
      </c>
      <c r="F6760">
        <f>IF(B6760="","",IFERROR(RIGHT(B6760,LEN(B6760)-FIND("@",B6760)),""))</f>
        <v/>
      </c>
      <c r="G6760">
        <f>IF(D6760="KEEP",COUNTIF($D$2:D6760,"KEEP"),"")</f>
        <v/>
      </c>
      <c r="H6760">
        <f>IF(D6760="REMOVE",COUNTIF($D$2:D6760,"REMOVE"),"")</f>
        <v/>
      </c>
      <c r="I6760">
        <f>IF(E6760="Gmail",COUNTIF($E$2:E6760,"Gmail"),"")</f>
        <v/>
      </c>
      <c r="J6760">
        <f>IF(E6760="Outlook",COUNTIF($E$2:E6760,"Outlook"),"")</f>
        <v/>
      </c>
      <c r="K6760">
        <f>IF(E6760="Domain",COUNTIF($E$2:E6760,"Domain"),"")</f>
        <v/>
      </c>
    </row>
    <row r="6761">
      <c r="A6761" s="2" t="n"/>
      <c r="B6761">
        <f>LOWER(TRIM(A6761))</f>
        <v/>
      </c>
      <c r="C6761">
        <f>IF(B6761="","",IFERROR(INDEX('Bad Patterns'!$A$2:$A$120,MATCH(1,INDEX(--ISNUMBER(SEARCH('Bad Patterns'!$A$2:$A$120,B6761)),0),0)),""))</f>
        <v/>
      </c>
      <c r="D6761">
        <f>IF(B6761="","",IF(C6761&lt;&gt;"","REMOVE","KEEP"))</f>
        <v/>
      </c>
      <c r="E6761">
        <f>IF(D6761&lt;&gt;"KEEP","",IF(RIGHT(B6761,10)="@gmail.com","Gmail",IF(OR(RIGHT(B6761,12)="@outlook.com",RIGHT(B6761,12)="@hotmail.com",RIGHT(B6761,9)="@live.com"),"Outlook","Domain")))</f>
        <v/>
      </c>
      <c r="F6761">
        <f>IF(B6761="","",IFERROR(RIGHT(B6761,LEN(B6761)-FIND("@",B6761)),""))</f>
        <v/>
      </c>
      <c r="G6761">
        <f>IF(D6761="KEEP",COUNTIF($D$2:D6761,"KEEP"),"")</f>
        <v/>
      </c>
      <c r="H6761">
        <f>IF(D6761="REMOVE",COUNTIF($D$2:D6761,"REMOVE"),"")</f>
        <v/>
      </c>
      <c r="I6761">
        <f>IF(E6761="Gmail",COUNTIF($E$2:E6761,"Gmail"),"")</f>
        <v/>
      </c>
      <c r="J6761">
        <f>IF(E6761="Outlook",COUNTIF($E$2:E6761,"Outlook"),"")</f>
        <v/>
      </c>
      <c r="K6761">
        <f>IF(E6761="Domain",COUNTIF($E$2:E6761,"Domain"),"")</f>
        <v/>
      </c>
    </row>
    <row r="6762">
      <c r="A6762" s="2" t="n"/>
      <c r="B6762">
        <f>LOWER(TRIM(A6762))</f>
        <v/>
      </c>
      <c r="C6762">
        <f>IF(B6762="","",IFERROR(INDEX('Bad Patterns'!$A$2:$A$120,MATCH(1,INDEX(--ISNUMBER(SEARCH('Bad Patterns'!$A$2:$A$120,B6762)),0),0)),""))</f>
        <v/>
      </c>
      <c r="D6762">
        <f>IF(B6762="","",IF(C6762&lt;&gt;"","REMOVE","KEEP"))</f>
        <v/>
      </c>
      <c r="E6762">
        <f>IF(D6762&lt;&gt;"KEEP","",IF(RIGHT(B6762,10)="@gmail.com","Gmail",IF(OR(RIGHT(B6762,12)="@outlook.com",RIGHT(B6762,12)="@hotmail.com",RIGHT(B6762,9)="@live.com"),"Outlook","Domain")))</f>
        <v/>
      </c>
      <c r="F6762">
        <f>IF(B6762="","",IFERROR(RIGHT(B6762,LEN(B6762)-FIND("@",B6762)),""))</f>
        <v/>
      </c>
      <c r="G6762">
        <f>IF(D6762="KEEP",COUNTIF($D$2:D6762,"KEEP"),"")</f>
        <v/>
      </c>
      <c r="H6762">
        <f>IF(D6762="REMOVE",COUNTIF($D$2:D6762,"REMOVE"),"")</f>
        <v/>
      </c>
      <c r="I6762">
        <f>IF(E6762="Gmail",COUNTIF($E$2:E6762,"Gmail"),"")</f>
        <v/>
      </c>
      <c r="J6762">
        <f>IF(E6762="Outlook",COUNTIF($E$2:E6762,"Outlook"),"")</f>
        <v/>
      </c>
      <c r="K6762">
        <f>IF(E6762="Domain",COUNTIF($E$2:E6762,"Domain"),"")</f>
        <v/>
      </c>
    </row>
    <row r="6763">
      <c r="A6763" s="2" t="n"/>
      <c r="B6763">
        <f>LOWER(TRIM(A6763))</f>
        <v/>
      </c>
      <c r="C6763">
        <f>IF(B6763="","",IFERROR(INDEX('Bad Patterns'!$A$2:$A$120,MATCH(1,INDEX(--ISNUMBER(SEARCH('Bad Patterns'!$A$2:$A$120,B6763)),0),0)),""))</f>
        <v/>
      </c>
      <c r="D6763">
        <f>IF(B6763="","",IF(C6763&lt;&gt;"","REMOVE","KEEP"))</f>
        <v/>
      </c>
      <c r="E6763">
        <f>IF(D6763&lt;&gt;"KEEP","",IF(RIGHT(B6763,10)="@gmail.com","Gmail",IF(OR(RIGHT(B6763,12)="@outlook.com",RIGHT(B6763,12)="@hotmail.com",RIGHT(B6763,9)="@live.com"),"Outlook","Domain")))</f>
        <v/>
      </c>
      <c r="F6763">
        <f>IF(B6763="","",IFERROR(RIGHT(B6763,LEN(B6763)-FIND("@",B6763)),""))</f>
        <v/>
      </c>
      <c r="G6763">
        <f>IF(D6763="KEEP",COUNTIF($D$2:D6763,"KEEP"),"")</f>
        <v/>
      </c>
      <c r="H6763">
        <f>IF(D6763="REMOVE",COUNTIF($D$2:D6763,"REMOVE"),"")</f>
        <v/>
      </c>
      <c r="I6763">
        <f>IF(E6763="Gmail",COUNTIF($E$2:E6763,"Gmail"),"")</f>
        <v/>
      </c>
      <c r="J6763">
        <f>IF(E6763="Outlook",COUNTIF($E$2:E6763,"Outlook"),"")</f>
        <v/>
      </c>
      <c r="K6763">
        <f>IF(E6763="Domain",COUNTIF($E$2:E6763,"Domain"),"")</f>
        <v/>
      </c>
    </row>
    <row r="6764">
      <c r="A6764" s="2" t="n"/>
      <c r="B6764">
        <f>LOWER(TRIM(A6764))</f>
        <v/>
      </c>
      <c r="C6764">
        <f>IF(B6764="","",IFERROR(INDEX('Bad Patterns'!$A$2:$A$120,MATCH(1,INDEX(--ISNUMBER(SEARCH('Bad Patterns'!$A$2:$A$120,B6764)),0),0)),""))</f>
        <v/>
      </c>
      <c r="D6764">
        <f>IF(B6764="","",IF(C6764&lt;&gt;"","REMOVE","KEEP"))</f>
        <v/>
      </c>
      <c r="E6764">
        <f>IF(D6764&lt;&gt;"KEEP","",IF(RIGHT(B6764,10)="@gmail.com","Gmail",IF(OR(RIGHT(B6764,12)="@outlook.com",RIGHT(B6764,12)="@hotmail.com",RIGHT(B6764,9)="@live.com"),"Outlook","Domain")))</f>
        <v/>
      </c>
      <c r="F6764">
        <f>IF(B6764="","",IFERROR(RIGHT(B6764,LEN(B6764)-FIND("@",B6764)),""))</f>
        <v/>
      </c>
      <c r="G6764">
        <f>IF(D6764="KEEP",COUNTIF($D$2:D6764,"KEEP"),"")</f>
        <v/>
      </c>
      <c r="H6764">
        <f>IF(D6764="REMOVE",COUNTIF($D$2:D6764,"REMOVE"),"")</f>
        <v/>
      </c>
      <c r="I6764">
        <f>IF(E6764="Gmail",COUNTIF($E$2:E6764,"Gmail"),"")</f>
        <v/>
      </c>
      <c r="J6764">
        <f>IF(E6764="Outlook",COUNTIF($E$2:E6764,"Outlook"),"")</f>
        <v/>
      </c>
      <c r="K6764">
        <f>IF(E6764="Domain",COUNTIF($E$2:E6764,"Domain"),"")</f>
        <v/>
      </c>
    </row>
    <row r="6765">
      <c r="A6765" s="2" t="n"/>
      <c r="B6765">
        <f>LOWER(TRIM(A6765))</f>
        <v/>
      </c>
      <c r="C6765">
        <f>IF(B6765="","",IFERROR(INDEX('Bad Patterns'!$A$2:$A$120,MATCH(1,INDEX(--ISNUMBER(SEARCH('Bad Patterns'!$A$2:$A$120,B6765)),0),0)),""))</f>
        <v/>
      </c>
      <c r="D6765">
        <f>IF(B6765="","",IF(C6765&lt;&gt;"","REMOVE","KEEP"))</f>
        <v/>
      </c>
      <c r="E6765">
        <f>IF(D6765&lt;&gt;"KEEP","",IF(RIGHT(B6765,10)="@gmail.com","Gmail",IF(OR(RIGHT(B6765,12)="@outlook.com",RIGHT(B6765,12)="@hotmail.com",RIGHT(B6765,9)="@live.com"),"Outlook","Domain")))</f>
        <v/>
      </c>
      <c r="F6765">
        <f>IF(B6765="","",IFERROR(RIGHT(B6765,LEN(B6765)-FIND("@",B6765)),""))</f>
        <v/>
      </c>
      <c r="G6765">
        <f>IF(D6765="KEEP",COUNTIF($D$2:D6765,"KEEP"),"")</f>
        <v/>
      </c>
      <c r="H6765">
        <f>IF(D6765="REMOVE",COUNTIF($D$2:D6765,"REMOVE"),"")</f>
        <v/>
      </c>
      <c r="I6765">
        <f>IF(E6765="Gmail",COUNTIF($E$2:E6765,"Gmail"),"")</f>
        <v/>
      </c>
      <c r="J6765">
        <f>IF(E6765="Outlook",COUNTIF($E$2:E6765,"Outlook"),"")</f>
        <v/>
      </c>
      <c r="K6765">
        <f>IF(E6765="Domain",COUNTIF($E$2:E6765,"Domain"),"")</f>
        <v/>
      </c>
    </row>
    <row r="6766">
      <c r="A6766" s="2" t="n"/>
      <c r="B6766">
        <f>LOWER(TRIM(A6766))</f>
        <v/>
      </c>
      <c r="C6766">
        <f>IF(B6766="","",IFERROR(INDEX('Bad Patterns'!$A$2:$A$120,MATCH(1,INDEX(--ISNUMBER(SEARCH('Bad Patterns'!$A$2:$A$120,B6766)),0),0)),""))</f>
        <v/>
      </c>
      <c r="D6766">
        <f>IF(B6766="","",IF(C6766&lt;&gt;"","REMOVE","KEEP"))</f>
        <v/>
      </c>
      <c r="E6766">
        <f>IF(D6766&lt;&gt;"KEEP","",IF(RIGHT(B6766,10)="@gmail.com","Gmail",IF(OR(RIGHT(B6766,12)="@outlook.com",RIGHT(B6766,12)="@hotmail.com",RIGHT(B6766,9)="@live.com"),"Outlook","Domain")))</f>
        <v/>
      </c>
      <c r="F6766">
        <f>IF(B6766="","",IFERROR(RIGHT(B6766,LEN(B6766)-FIND("@",B6766)),""))</f>
        <v/>
      </c>
      <c r="G6766">
        <f>IF(D6766="KEEP",COUNTIF($D$2:D6766,"KEEP"),"")</f>
        <v/>
      </c>
      <c r="H6766">
        <f>IF(D6766="REMOVE",COUNTIF($D$2:D6766,"REMOVE"),"")</f>
        <v/>
      </c>
      <c r="I6766">
        <f>IF(E6766="Gmail",COUNTIF($E$2:E6766,"Gmail"),"")</f>
        <v/>
      </c>
      <c r="J6766">
        <f>IF(E6766="Outlook",COUNTIF($E$2:E6766,"Outlook"),"")</f>
        <v/>
      </c>
      <c r="K6766">
        <f>IF(E6766="Domain",COUNTIF($E$2:E6766,"Domain"),"")</f>
        <v/>
      </c>
    </row>
    <row r="6767">
      <c r="A6767" s="2" t="n"/>
      <c r="B6767">
        <f>LOWER(TRIM(A6767))</f>
        <v/>
      </c>
      <c r="C6767">
        <f>IF(B6767="","",IFERROR(INDEX('Bad Patterns'!$A$2:$A$120,MATCH(1,INDEX(--ISNUMBER(SEARCH('Bad Patterns'!$A$2:$A$120,B6767)),0),0)),""))</f>
        <v/>
      </c>
      <c r="D6767">
        <f>IF(B6767="","",IF(C6767&lt;&gt;"","REMOVE","KEEP"))</f>
        <v/>
      </c>
      <c r="E6767">
        <f>IF(D6767&lt;&gt;"KEEP","",IF(RIGHT(B6767,10)="@gmail.com","Gmail",IF(OR(RIGHT(B6767,12)="@outlook.com",RIGHT(B6767,12)="@hotmail.com",RIGHT(B6767,9)="@live.com"),"Outlook","Domain")))</f>
        <v/>
      </c>
      <c r="F6767">
        <f>IF(B6767="","",IFERROR(RIGHT(B6767,LEN(B6767)-FIND("@",B6767)),""))</f>
        <v/>
      </c>
      <c r="G6767">
        <f>IF(D6767="KEEP",COUNTIF($D$2:D6767,"KEEP"),"")</f>
        <v/>
      </c>
      <c r="H6767">
        <f>IF(D6767="REMOVE",COUNTIF($D$2:D6767,"REMOVE"),"")</f>
        <v/>
      </c>
      <c r="I6767">
        <f>IF(E6767="Gmail",COUNTIF($E$2:E6767,"Gmail"),"")</f>
        <v/>
      </c>
      <c r="J6767">
        <f>IF(E6767="Outlook",COUNTIF($E$2:E6767,"Outlook"),"")</f>
        <v/>
      </c>
      <c r="K6767">
        <f>IF(E6767="Domain",COUNTIF($E$2:E6767,"Domain"),"")</f>
        <v/>
      </c>
    </row>
    <row r="6768">
      <c r="A6768" s="2" t="n"/>
      <c r="B6768">
        <f>LOWER(TRIM(A6768))</f>
        <v/>
      </c>
      <c r="C6768">
        <f>IF(B6768="","",IFERROR(INDEX('Bad Patterns'!$A$2:$A$120,MATCH(1,INDEX(--ISNUMBER(SEARCH('Bad Patterns'!$A$2:$A$120,B6768)),0),0)),""))</f>
        <v/>
      </c>
      <c r="D6768">
        <f>IF(B6768="","",IF(C6768&lt;&gt;"","REMOVE","KEEP"))</f>
        <v/>
      </c>
      <c r="E6768">
        <f>IF(D6768&lt;&gt;"KEEP","",IF(RIGHT(B6768,10)="@gmail.com","Gmail",IF(OR(RIGHT(B6768,12)="@outlook.com",RIGHT(B6768,12)="@hotmail.com",RIGHT(B6768,9)="@live.com"),"Outlook","Domain")))</f>
        <v/>
      </c>
      <c r="F6768">
        <f>IF(B6768="","",IFERROR(RIGHT(B6768,LEN(B6768)-FIND("@",B6768)),""))</f>
        <v/>
      </c>
      <c r="G6768">
        <f>IF(D6768="KEEP",COUNTIF($D$2:D6768,"KEEP"),"")</f>
        <v/>
      </c>
      <c r="H6768">
        <f>IF(D6768="REMOVE",COUNTIF($D$2:D6768,"REMOVE"),"")</f>
        <v/>
      </c>
      <c r="I6768">
        <f>IF(E6768="Gmail",COUNTIF($E$2:E6768,"Gmail"),"")</f>
        <v/>
      </c>
      <c r="J6768">
        <f>IF(E6768="Outlook",COUNTIF($E$2:E6768,"Outlook"),"")</f>
        <v/>
      </c>
      <c r="K6768">
        <f>IF(E6768="Domain",COUNTIF($E$2:E6768,"Domain"),"")</f>
        <v/>
      </c>
    </row>
    <row r="6769">
      <c r="A6769" s="2" t="n"/>
      <c r="B6769">
        <f>LOWER(TRIM(A6769))</f>
        <v/>
      </c>
      <c r="C6769">
        <f>IF(B6769="","",IFERROR(INDEX('Bad Patterns'!$A$2:$A$120,MATCH(1,INDEX(--ISNUMBER(SEARCH('Bad Patterns'!$A$2:$A$120,B6769)),0),0)),""))</f>
        <v/>
      </c>
      <c r="D6769">
        <f>IF(B6769="","",IF(C6769&lt;&gt;"","REMOVE","KEEP"))</f>
        <v/>
      </c>
      <c r="E6769">
        <f>IF(D6769&lt;&gt;"KEEP","",IF(RIGHT(B6769,10)="@gmail.com","Gmail",IF(OR(RIGHT(B6769,12)="@outlook.com",RIGHT(B6769,12)="@hotmail.com",RIGHT(B6769,9)="@live.com"),"Outlook","Domain")))</f>
        <v/>
      </c>
      <c r="F6769">
        <f>IF(B6769="","",IFERROR(RIGHT(B6769,LEN(B6769)-FIND("@",B6769)),""))</f>
        <v/>
      </c>
      <c r="G6769">
        <f>IF(D6769="KEEP",COUNTIF($D$2:D6769,"KEEP"),"")</f>
        <v/>
      </c>
      <c r="H6769">
        <f>IF(D6769="REMOVE",COUNTIF($D$2:D6769,"REMOVE"),"")</f>
        <v/>
      </c>
      <c r="I6769">
        <f>IF(E6769="Gmail",COUNTIF($E$2:E6769,"Gmail"),"")</f>
        <v/>
      </c>
      <c r="J6769">
        <f>IF(E6769="Outlook",COUNTIF($E$2:E6769,"Outlook"),"")</f>
        <v/>
      </c>
      <c r="K6769">
        <f>IF(E6769="Domain",COUNTIF($E$2:E6769,"Domain"),"")</f>
        <v/>
      </c>
    </row>
    <row r="6770">
      <c r="A6770" s="2" t="n"/>
      <c r="B6770">
        <f>LOWER(TRIM(A6770))</f>
        <v/>
      </c>
      <c r="C6770">
        <f>IF(B6770="","",IFERROR(INDEX('Bad Patterns'!$A$2:$A$120,MATCH(1,INDEX(--ISNUMBER(SEARCH('Bad Patterns'!$A$2:$A$120,B6770)),0),0)),""))</f>
        <v/>
      </c>
      <c r="D6770">
        <f>IF(B6770="","",IF(C6770&lt;&gt;"","REMOVE","KEEP"))</f>
        <v/>
      </c>
      <c r="E6770">
        <f>IF(D6770&lt;&gt;"KEEP","",IF(RIGHT(B6770,10)="@gmail.com","Gmail",IF(OR(RIGHT(B6770,12)="@outlook.com",RIGHT(B6770,12)="@hotmail.com",RIGHT(B6770,9)="@live.com"),"Outlook","Domain")))</f>
        <v/>
      </c>
      <c r="F6770">
        <f>IF(B6770="","",IFERROR(RIGHT(B6770,LEN(B6770)-FIND("@",B6770)),""))</f>
        <v/>
      </c>
      <c r="G6770">
        <f>IF(D6770="KEEP",COUNTIF($D$2:D6770,"KEEP"),"")</f>
        <v/>
      </c>
      <c r="H6770">
        <f>IF(D6770="REMOVE",COUNTIF($D$2:D6770,"REMOVE"),"")</f>
        <v/>
      </c>
      <c r="I6770">
        <f>IF(E6770="Gmail",COUNTIF($E$2:E6770,"Gmail"),"")</f>
        <v/>
      </c>
      <c r="J6770">
        <f>IF(E6770="Outlook",COUNTIF($E$2:E6770,"Outlook"),"")</f>
        <v/>
      </c>
      <c r="K6770">
        <f>IF(E6770="Domain",COUNTIF($E$2:E6770,"Domain"),"")</f>
        <v/>
      </c>
    </row>
    <row r="6771">
      <c r="A6771" s="2" t="n"/>
      <c r="B6771">
        <f>LOWER(TRIM(A6771))</f>
        <v/>
      </c>
      <c r="C6771">
        <f>IF(B6771="","",IFERROR(INDEX('Bad Patterns'!$A$2:$A$120,MATCH(1,INDEX(--ISNUMBER(SEARCH('Bad Patterns'!$A$2:$A$120,B6771)),0),0)),""))</f>
        <v/>
      </c>
      <c r="D6771">
        <f>IF(B6771="","",IF(C6771&lt;&gt;"","REMOVE","KEEP"))</f>
        <v/>
      </c>
      <c r="E6771">
        <f>IF(D6771&lt;&gt;"KEEP","",IF(RIGHT(B6771,10)="@gmail.com","Gmail",IF(OR(RIGHT(B6771,12)="@outlook.com",RIGHT(B6771,12)="@hotmail.com",RIGHT(B6771,9)="@live.com"),"Outlook","Domain")))</f>
        <v/>
      </c>
      <c r="F6771">
        <f>IF(B6771="","",IFERROR(RIGHT(B6771,LEN(B6771)-FIND("@",B6771)),""))</f>
        <v/>
      </c>
      <c r="G6771">
        <f>IF(D6771="KEEP",COUNTIF($D$2:D6771,"KEEP"),"")</f>
        <v/>
      </c>
      <c r="H6771">
        <f>IF(D6771="REMOVE",COUNTIF($D$2:D6771,"REMOVE"),"")</f>
        <v/>
      </c>
      <c r="I6771">
        <f>IF(E6771="Gmail",COUNTIF($E$2:E6771,"Gmail"),"")</f>
        <v/>
      </c>
      <c r="J6771">
        <f>IF(E6771="Outlook",COUNTIF($E$2:E6771,"Outlook"),"")</f>
        <v/>
      </c>
      <c r="K6771">
        <f>IF(E6771="Domain",COUNTIF($E$2:E6771,"Domain"),"")</f>
        <v/>
      </c>
    </row>
    <row r="6772">
      <c r="A6772" s="2" t="n"/>
      <c r="B6772">
        <f>LOWER(TRIM(A6772))</f>
        <v/>
      </c>
      <c r="C6772">
        <f>IF(B6772="","",IFERROR(INDEX('Bad Patterns'!$A$2:$A$120,MATCH(1,INDEX(--ISNUMBER(SEARCH('Bad Patterns'!$A$2:$A$120,B6772)),0),0)),""))</f>
        <v/>
      </c>
      <c r="D6772">
        <f>IF(B6772="","",IF(C6772&lt;&gt;"","REMOVE","KEEP"))</f>
        <v/>
      </c>
      <c r="E6772">
        <f>IF(D6772&lt;&gt;"KEEP","",IF(RIGHT(B6772,10)="@gmail.com","Gmail",IF(OR(RIGHT(B6772,12)="@outlook.com",RIGHT(B6772,12)="@hotmail.com",RIGHT(B6772,9)="@live.com"),"Outlook","Domain")))</f>
        <v/>
      </c>
      <c r="F6772">
        <f>IF(B6772="","",IFERROR(RIGHT(B6772,LEN(B6772)-FIND("@",B6772)),""))</f>
        <v/>
      </c>
      <c r="G6772">
        <f>IF(D6772="KEEP",COUNTIF($D$2:D6772,"KEEP"),"")</f>
        <v/>
      </c>
      <c r="H6772">
        <f>IF(D6772="REMOVE",COUNTIF($D$2:D6772,"REMOVE"),"")</f>
        <v/>
      </c>
      <c r="I6772">
        <f>IF(E6772="Gmail",COUNTIF($E$2:E6772,"Gmail"),"")</f>
        <v/>
      </c>
      <c r="J6772">
        <f>IF(E6772="Outlook",COUNTIF($E$2:E6772,"Outlook"),"")</f>
        <v/>
      </c>
      <c r="K6772">
        <f>IF(E6772="Domain",COUNTIF($E$2:E6772,"Domain"),"")</f>
        <v/>
      </c>
    </row>
    <row r="6773">
      <c r="A6773" s="2" t="n"/>
      <c r="B6773">
        <f>LOWER(TRIM(A6773))</f>
        <v/>
      </c>
      <c r="C6773">
        <f>IF(B6773="","",IFERROR(INDEX('Bad Patterns'!$A$2:$A$120,MATCH(1,INDEX(--ISNUMBER(SEARCH('Bad Patterns'!$A$2:$A$120,B6773)),0),0)),""))</f>
        <v/>
      </c>
      <c r="D6773">
        <f>IF(B6773="","",IF(C6773&lt;&gt;"","REMOVE","KEEP"))</f>
        <v/>
      </c>
      <c r="E6773">
        <f>IF(D6773&lt;&gt;"KEEP","",IF(RIGHT(B6773,10)="@gmail.com","Gmail",IF(OR(RIGHT(B6773,12)="@outlook.com",RIGHT(B6773,12)="@hotmail.com",RIGHT(B6773,9)="@live.com"),"Outlook","Domain")))</f>
        <v/>
      </c>
      <c r="F6773">
        <f>IF(B6773="","",IFERROR(RIGHT(B6773,LEN(B6773)-FIND("@",B6773)),""))</f>
        <v/>
      </c>
      <c r="G6773">
        <f>IF(D6773="KEEP",COUNTIF($D$2:D6773,"KEEP"),"")</f>
        <v/>
      </c>
      <c r="H6773">
        <f>IF(D6773="REMOVE",COUNTIF($D$2:D6773,"REMOVE"),"")</f>
        <v/>
      </c>
      <c r="I6773">
        <f>IF(E6773="Gmail",COUNTIF($E$2:E6773,"Gmail"),"")</f>
        <v/>
      </c>
      <c r="J6773">
        <f>IF(E6773="Outlook",COUNTIF($E$2:E6773,"Outlook"),"")</f>
        <v/>
      </c>
      <c r="K6773">
        <f>IF(E6773="Domain",COUNTIF($E$2:E6773,"Domain"),"")</f>
        <v/>
      </c>
    </row>
    <row r="6774">
      <c r="A6774" s="2" t="n"/>
      <c r="B6774">
        <f>LOWER(TRIM(A6774))</f>
        <v/>
      </c>
      <c r="C6774">
        <f>IF(B6774="","",IFERROR(INDEX('Bad Patterns'!$A$2:$A$120,MATCH(1,INDEX(--ISNUMBER(SEARCH('Bad Patterns'!$A$2:$A$120,B6774)),0),0)),""))</f>
        <v/>
      </c>
      <c r="D6774">
        <f>IF(B6774="","",IF(C6774&lt;&gt;"","REMOVE","KEEP"))</f>
        <v/>
      </c>
      <c r="E6774">
        <f>IF(D6774&lt;&gt;"KEEP","",IF(RIGHT(B6774,10)="@gmail.com","Gmail",IF(OR(RIGHT(B6774,12)="@outlook.com",RIGHT(B6774,12)="@hotmail.com",RIGHT(B6774,9)="@live.com"),"Outlook","Domain")))</f>
        <v/>
      </c>
      <c r="F6774">
        <f>IF(B6774="","",IFERROR(RIGHT(B6774,LEN(B6774)-FIND("@",B6774)),""))</f>
        <v/>
      </c>
      <c r="G6774">
        <f>IF(D6774="KEEP",COUNTIF($D$2:D6774,"KEEP"),"")</f>
        <v/>
      </c>
      <c r="H6774">
        <f>IF(D6774="REMOVE",COUNTIF($D$2:D6774,"REMOVE"),"")</f>
        <v/>
      </c>
      <c r="I6774">
        <f>IF(E6774="Gmail",COUNTIF($E$2:E6774,"Gmail"),"")</f>
        <v/>
      </c>
      <c r="J6774">
        <f>IF(E6774="Outlook",COUNTIF($E$2:E6774,"Outlook"),"")</f>
        <v/>
      </c>
      <c r="K6774">
        <f>IF(E6774="Domain",COUNTIF($E$2:E6774,"Domain"),"")</f>
        <v/>
      </c>
    </row>
    <row r="6775">
      <c r="A6775" s="2" t="n"/>
      <c r="B6775">
        <f>LOWER(TRIM(A6775))</f>
        <v/>
      </c>
      <c r="C6775">
        <f>IF(B6775="","",IFERROR(INDEX('Bad Patterns'!$A$2:$A$120,MATCH(1,INDEX(--ISNUMBER(SEARCH('Bad Patterns'!$A$2:$A$120,B6775)),0),0)),""))</f>
        <v/>
      </c>
      <c r="D6775">
        <f>IF(B6775="","",IF(C6775&lt;&gt;"","REMOVE","KEEP"))</f>
        <v/>
      </c>
      <c r="E6775">
        <f>IF(D6775&lt;&gt;"KEEP","",IF(RIGHT(B6775,10)="@gmail.com","Gmail",IF(OR(RIGHT(B6775,12)="@outlook.com",RIGHT(B6775,12)="@hotmail.com",RIGHT(B6775,9)="@live.com"),"Outlook","Domain")))</f>
        <v/>
      </c>
      <c r="F6775">
        <f>IF(B6775="","",IFERROR(RIGHT(B6775,LEN(B6775)-FIND("@",B6775)),""))</f>
        <v/>
      </c>
      <c r="G6775">
        <f>IF(D6775="KEEP",COUNTIF($D$2:D6775,"KEEP"),"")</f>
        <v/>
      </c>
      <c r="H6775">
        <f>IF(D6775="REMOVE",COUNTIF($D$2:D6775,"REMOVE"),"")</f>
        <v/>
      </c>
      <c r="I6775">
        <f>IF(E6775="Gmail",COUNTIF($E$2:E6775,"Gmail"),"")</f>
        <v/>
      </c>
      <c r="J6775">
        <f>IF(E6775="Outlook",COUNTIF($E$2:E6775,"Outlook"),"")</f>
        <v/>
      </c>
      <c r="K6775">
        <f>IF(E6775="Domain",COUNTIF($E$2:E6775,"Domain"),"")</f>
        <v/>
      </c>
    </row>
    <row r="6776">
      <c r="A6776" s="2" t="n"/>
      <c r="B6776">
        <f>LOWER(TRIM(A6776))</f>
        <v/>
      </c>
      <c r="C6776">
        <f>IF(B6776="","",IFERROR(INDEX('Bad Patterns'!$A$2:$A$120,MATCH(1,INDEX(--ISNUMBER(SEARCH('Bad Patterns'!$A$2:$A$120,B6776)),0),0)),""))</f>
        <v/>
      </c>
      <c r="D6776">
        <f>IF(B6776="","",IF(C6776&lt;&gt;"","REMOVE","KEEP"))</f>
        <v/>
      </c>
      <c r="E6776">
        <f>IF(D6776&lt;&gt;"KEEP","",IF(RIGHT(B6776,10)="@gmail.com","Gmail",IF(OR(RIGHT(B6776,12)="@outlook.com",RIGHT(B6776,12)="@hotmail.com",RIGHT(B6776,9)="@live.com"),"Outlook","Domain")))</f>
        <v/>
      </c>
      <c r="F6776">
        <f>IF(B6776="","",IFERROR(RIGHT(B6776,LEN(B6776)-FIND("@",B6776)),""))</f>
        <v/>
      </c>
      <c r="G6776">
        <f>IF(D6776="KEEP",COUNTIF($D$2:D6776,"KEEP"),"")</f>
        <v/>
      </c>
      <c r="H6776">
        <f>IF(D6776="REMOVE",COUNTIF($D$2:D6776,"REMOVE"),"")</f>
        <v/>
      </c>
      <c r="I6776">
        <f>IF(E6776="Gmail",COUNTIF($E$2:E6776,"Gmail"),"")</f>
        <v/>
      </c>
      <c r="J6776">
        <f>IF(E6776="Outlook",COUNTIF($E$2:E6776,"Outlook"),"")</f>
        <v/>
      </c>
      <c r="K6776">
        <f>IF(E6776="Domain",COUNTIF($E$2:E6776,"Domain"),"")</f>
        <v/>
      </c>
    </row>
    <row r="6777">
      <c r="A6777" s="2" t="n"/>
      <c r="B6777">
        <f>LOWER(TRIM(A6777))</f>
        <v/>
      </c>
      <c r="C6777">
        <f>IF(B6777="","",IFERROR(INDEX('Bad Patterns'!$A$2:$A$120,MATCH(1,INDEX(--ISNUMBER(SEARCH('Bad Patterns'!$A$2:$A$120,B6777)),0),0)),""))</f>
        <v/>
      </c>
      <c r="D6777">
        <f>IF(B6777="","",IF(C6777&lt;&gt;"","REMOVE","KEEP"))</f>
        <v/>
      </c>
      <c r="E6777">
        <f>IF(D6777&lt;&gt;"KEEP","",IF(RIGHT(B6777,10)="@gmail.com","Gmail",IF(OR(RIGHT(B6777,12)="@outlook.com",RIGHT(B6777,12)="@hotmail.com",RIGHT(B6777,9)="@live.com"),"Outlook","Domain")))</f>
        <v/>
      </c>
      <c r="F6777">
        <f>IF(B6777="","",IFERROR(RIGHT(B6777,LEN(B6777)-FIND("@",B6777)),""))</f>
        <v/>
      </c>
      <c r="G6777">
        <f>IF(D6777="KEEP",COUNTIF($D$2:D6777,"KEEP"),"")</f>
        <v/>
      </c>
      <c r="H6777">
        <f>IF(D6777="REMOVE",COUNTIF($D$2:D6777,"REMOVE"),"")</f>
        <v/>
      </c>
      <c r="I6777">
        <f>IF(E6777="Gmail",COUNTIF($E$2:E6777,"Gmail"),"")</f>
        <v/>
      </c>
      <c r="J6777">
        <f>IF(E6777="Outlook",COUNTIF($E$2:E6777,"Outlook"),"")</f>
        <v/>
      </c>
      <c r="K6777">
        <f>IF(E6777="Domain",COUNTIF($E$2:E6777,"Domain"),"")</f>
        <v/>
      </c>
    </row>
    <row r="6778">
      <c r="A6778" s="2" t="n"/>
      <c r="B6778">
        <f>LOWER(TRIM(A6778))</f>
        <v/>
      </c>
      <c r="C6778">
        <f>IF(B6778="","",IFERROR(INDEX('Bad Patterns'!$A$2:$A$120,MATCH(1,INDEX(--ISNUMBER(SEARCH('Bad Patterns'!$A$2:$A$120,B6778)),0),0)),""))</f>
        <v/>
      </c>
      <c r="D6778">
        <f>IF(B6778="","",IF(C6778&lt;&gt;"","REMOVE","KEEP"))</f>
        <v/>
      </c>
      <c r="E6778">
        <f>IF(D6778&lt;&gt;"KEEP","",IF(RIGHT(B6778,10)="@gmail.com","Gmail",IF(OR(RIGHT(B6778,12)="@outlook.com",RIGHT(B6778,12)="@hotmail.com",RIGHT(B6778,9)="@live.com"),"Outlook","Domain")))</f>
        <v/>
      </c>
      <c r="F6778">
        <f>IF(B6778="","",IFERROR(RIGHT(B6778,LEN(B6778)-FIND("@",B6778)),""))</f>
        <v/>
      </c>
      <c r="G6778">
        <f>IF(D6778="KEEP",COUNTIF($D$2:D6778,"KEEP"),"")</f>
        <v/>
      </c>
      <c r="H6778">
        <f>IF(D6778="REMOVE",COUNTIF($D$2:D6778,"REMOVE"),"")</f>
        <v/>
      </c>
      <c r="I6778">
        <f>IF(E6778="Gmail",COUNTIF($E$2:E6778,"Gmail"),"")</f>
        <v/>
      </c>
      <c r="J6778">
        <f>IF(E6778="Outlook",COUNTIF($E$2:E6778,"Outlook"),"")</f>
        <v/>
      </c>
      <c r="K6778">
        <f>IF(E6778="Domain",COUNTIF($E$2:E6778,"Domain"),"")</f>
        <v/>
      </c>
    </row>
    <row r="6779">
      <c r="A6779" s="2" t="n"/>
      <c r="B6779">
        <f>LOWER(TRIM(A6779))</f>
        <v/>
      </c>
      <c r="C6779">
        <f>IF(B6779="","",IFERROR(INDEX('Bad Patterns'!$A$2:$A$120,MATCH(1,INDEX(--ISNUMBER(SEARCH('Bad Patterns'!$A$2:$A$120,B6779)),0),0)),""))</f>
        <v/>
      </c>
      <c r="D6779">
        <f>IF(B6779="","",IF(C6779&lt;&gt;"","REMOVE","KEEP"))</f>
        <v/>
      </c>
      <c r="E6779">
        <f>IF(D6779&lt;&gt;"KEEP","",IF(RIGHT(B6779,10)="@gmail.com","Gmail",IF(OR(RIGHT(B6779,12)="@outlook.com",RIGHT(B6779,12)="@hotmail.com",RIGHT(B6779,9)="@live.com"),"Outlook","Domain")))</f>
        <v/>
      </c>
      <c r="F6779">
        <f>IF(B6779="","",IFERROR(RIGHT(B6779,LEN(B6779)-FIND("@",B6779)),""))</f>
        <v/>
      </c>
      <c r="G6779">
        <f>IF(D6779="KEEP",COUNTIF($D$2:D6779,"KEEP"),"")</f>
        <v/>
      </c>
      <c r="H6779">
        <f>IF(D6779="REMOVE",COUNTIF($D$2:D6779,"REMOVE"),"")</f>
        <v/>
      </c>
      <c r="I6779">
        <f>IF(E6779="Gmail",COUNTIF($E$2:E6779,"Gmail"),"")</f>
        <v/>
      </c>
      <c r="J6779">
        <f>IF(E6779="Outlook",COUNTIF($E$2:E6779,"Outlook"),"")</f>
        <v/>
      </c>
      <c r="K6779">
        <f>IF(E6779="Domain",COUNTIF($E$2:E6779,"Domain"),"")</f>
        <v/>
      </c>
    </row>
    <row r="6780">
      <c r="A6780" s="2" t="n"/>
      <c r="B6780">
        <f>LOWER(TRIM(A6780))</f>
        <v/>
      </c>
      <c r="C6780">
        <f>IF(B6780="","",IFERROR(INDEX('Bad Patterns'!$A$2:$A$120,MATCH(1,INDEX(--ISNUMBER(SEARCH('Bad Patterns'!$A$2:$A$120,B6780)),0),0)),""))</f>
        <v/>
      </c>
      <c r="D6780">
        <f>IF(B6780="","",IF(C6780&lt;&gt;"","REMOVE","KEEP"))</f>
        <v/>
      </c>
      <c r="E6780">
        <f>IF(D6780&lt;&gt;"KEEP","",IF(RIGHT(B6780,10)="@gmail.com","Gmail",IF(OR(RIGHT(B6780,12)="@outlook.com",RIGHT(B6780,12)="@hotmail.com",RIGHT(B6780,9)="@live.com"),"Outlook","Domain")))</f>
        <v/>
      </c>
      <c r="F6780">
        <f>IF(B6780="","",IFERROR(RIGHT(B6780,LEN(B6780)-FIND("@",B6780)),""))</f>
        <v/>
      </c>
      <c r="G6780">
        <f>IF(D6780="KEEP",COUNTIF($D$2:D6780,"KEEP"),"")</f>
        <v/>
      </c>
      <c r="H6780">
        <f>IF(D6780="REMOVE",COUNTIF($D$2:D6780,"REMOVE"),"")</f>
        <v/>
      </c>
      <c r="I6780">
        <f>IF(E6780="Gmail",COUNTIF($E$2:E6780,"Gmail"),"")</f>
        <v/>
      </c>
      <c r="J6780">
        <f>IF(E6780="Outlook",COUNTIF($E$2:E6780,"Outlook"),"")</f>
        <v/>
      </c>
      <c r="K6780">
        <f>IF(E6780="Domain",COUNTIF($E$2:E6780,"Domain"),"")</f>
        <v/>
      </c>
    </row>
    <row r="6781">
      <c r="A6781" s="2" t="n"/>
      <c r="B6781">
        <f>LOWER(TRIM(A6781))</f>
        <v/>
      </c>
      <c r="C6781">
        <f>IF(B6781="","",IFERROR(INDEX('Bad Patterns'!$A$2:$A$120,MATCH(1,INDEX(--ISNUMBER(SEARCH('Bad Patterns'!$A$2:$A$120,B6781)),0),0)),""))</f>
        <v/>
      </c>
      <c r="D6781">
        <f>IF(B6781="","",IF(C6781&lt;&gt;"","REMOVE","KEEP"))</f>
        <v/>
      </c>
      <c r="E6781">
        <f>IF(D6781&lt;&gt;"KEEP","",IF(RIGHT(B6781,10)="@gmail.com","Gmail",IF(OR(RIGHT(B6781,12)="@outlook.com",RIGHT(B6781,12)="@hotmail.com",RIGHT(B6781,9)="@live.com"),"Outlook","Domain")))</f>
        <v/>
      </c>
      <c r="F6781">
        <f>IF(B6781="","",IFERROR(RIGHT(B6781,LEN(B6781)-FIND("@",B6781)),""))</f>
        <v/>
      </c>
      <c r="G6781">
        <f>IF(D6781="KEEP",COUNTIF($D$2:D6781,"KEEP"),"")</f>
        <v/>
      </c>
      <c r="H6781">
        <f>IF(D6781="REMOVE",COUNTIF($D$2:D6781,"REMOVE"),"")</f>
        <v/>
      </c>
      <c r="I6781">
        <f>IF(E6781="Gmail",COUNTIF($E$2:E6781,"Gmail"),"")</f>
        <v/>
      </c>
      <c r="J6781">
        <f>IF(E6781="Outlook",COUNTIF($E$2:E6781,"Outlook"),"")</f>
        <v/>
      </c>
      <c r="K6781">
        <f>IF(E6781="Domain",COUNTIF($E$2:E6781,"Domain"),"")</f>
        <v/>
      </c>
    </row>
    <row r="6782">
      <c r="A6782" s="2" t="n"/>
      <c r="B6782">
        <f>LOWER(TRIM(A6782))</f>
        <v/>
      </c>
      <c r="C6782">
        <f>IF(B6782="","",IFERROR(INDEX('Bad Patterns'!$A$2:$A$120,MATCH(1,INDEX(--ISNUMBER(SEARCH('Bad Patterns'!$A$2:$A$120,B6782)),0),0)),""))</f>
        <v/>
      </c>
      <c r="D6782">
        <f>IF(B6782="","",IF(C6782&lt;&gt;"","REMOVE","KEEP"))</f>
        <v/>
      </c>
      <c r="E6782">
        <f>IF(D6782&lt;&gt;"KEEP","",IF(RIGHT(B6782,10)="@gmail.com","Gmail",IF(OR(RIGHT(B6782,12)="@outlook.com",RIGHT(B6782,12)="@hotmail.com",RIGHT(B6782,9)="@live.com"),"Outlook","Domain")))</f>
        <v/>
      </c>
      <c r="F6782">
        <f>IF(B6782="","",IFERROR(RIGHT(B6782,LEN(B6782)-FIND("@",B6782)),""))</f>
        <v/>
      </c>
      <c r="G6782">
        <f>IF(D6782="KEEP",COUNTIF($D$2:D6782,"KEEP"),"")</f>
        <v/>
      </c>
      <c r="H6782">
        <f>IF(D6782="REMOVE",COUNTIF($D$2:D6782,"REMOVE"),"")</f>
        <v/>
      </c>
      <c r="I6782">
        <f>IF(E6782="Gmail",COUNTIF($E$2:E6782,"Gmail"),"")</f>
        <v/>
      </c>
      <c r="J6782">
        <f>IF(E6782="Outlook",COUNTIF($E$2:E6782,"Outlook"),"")</f>
        <v/>
      </c>
      <c r="K6782">
        <f>IF(E6782="Domain",COUNTIF($E$2:E6782,"Domain"),"")</f>
        <v/>
      </c>
    </row>
    <row r="6783">
      <c r="A6783" s="2" t="n"/>
      <c r="B6783">
        <f>LOWER(TRIM(A6783))</f>
        <v/>
      </c>
      <c r="C6783">
        <f>IF(B6783="","",IFERROR(INDEX('Bad Patterns'!$A$2:$A$120,MATCH(1,INDEX(--ISNUMBER(SEARCH('Bad Patterns'!$A$2:$A$120,B6783)),0),0)),""))</f>
        <v/>
      </c>
      <c r="D6783">
        <f>IF(B6783="","",IF(C6783&lt;&gt;"","REMOVE","KEEP"))</f>
        <v/>
      </c>
      <c r="E6783">
        <f>IF(D6783&lt;&gt;"KEEP","",IF(RIGHT(B6783,10)="@gmail.com","Gmail",IF(OR(RIGHT(B6783,12)="@outlook.com",RIGHT(B6783,12)="@hotmail.com",RIGHT(B6783,9)="@live.com"),"Outlook","Domain")))</f>
        <v/>
      </c>
      <c r="F6783">
        <f>IF(B6783="","",IFERROR(RIGHT(B6783,LEN(B6783)-FIND("@",B6783)),""))</f>
        <v/>
      </c>
      <c r="G6783">
        <f>IF(D6783="KEEP",COUNTIF($D$2:D6783,"KEEP"),"")</f>
        <v/>
      </c>
      <c r="H6783">
        <f>IF(D6783="REMOVE",COUNTIF($D$2:D6783,"REMOVE"),"")</f>
        <v/>
      </c>
      <c r="I6783">
        <f>IF(E6783="Gmail",COUNTIF($E$2:E6783,"Gmail"),"")</f>
        <v/>
      </c>
      <c r="J6783">
        <f>IF(E6783="Outlook",COUNTIF($E$2:E6783,"Outlook"),"")</f>
        <v/>
      </c>
      <c r="K6783">
        <f>IF(E6783="Domain",COUNTIF($E$2:E6783,"Domain"),"")</f>
        <v/>
      </c>
    </row>
    <row r="6784">
      <c r="A6784" s="2" t="n"/>
      <c r="B6784">
        <f>LOWER(TRIM(A6784))</f>
        <v/>
      </c>
      <c r="C6784">
        <f>IF(B6784="","",IFERROR(INDEX('Bad Patterns'!$A$2:$A$120,MATCH(1,INDEX(--ISNUMBER(SEARCH('Bad Patterns'!$A$2:$A$120,B6784)),0),0)),""))</f>
        <v/>
      </c>
      <c r="D6784">
        <f>IF(B6784="","",IF(C6784&lt;&gt;"","REMOVE","KEEP"))</f>
        <v/>
      </c>
      <c r="E6784">
        <f>IF(D6784&lt;&gt;"KEEP","",IF(RIGHT(B6784,10)="@gmail.com","Gmail",IF(OR(RIGHT(B6784,12)="@outlook.com",RIGHT(B6784,12)="@hotmail.com",RIGHT(B6784,9)="@live.com"),"Outlook","Domain")))</f>
        <v/>
      </c>
      <c r="F6784">
        <f>IF(B6784="","",IFERROR(RIGHT(B6784,LEN(B6784)-FIND("@",B6784)),""))</f>
        <v/>
      </c>
      <c r="G6784">
        <f>IF(D6784="KEEP",COUNTIF($D$2:D6784,"KEEP"),"")</f>
        <v/>
      </c>
      <c r="H6784">
        <f>IF(D6784="REMOVE",COUNTIF($D$2:D6784,"REMOVE"),"")</f>
        <v/>
      </c>
      <c r="I6784">
        <f>IF(E6784="Gmail",COUNTIF($E$2:E6784,"Gmail"),"")</f>
        <v/>
      </c>
      <c r="J6784">
        <f>IF(E6784="Outlook",COUNTIF($E$2:E6784,"Outlook"),"")</f>
        <v/>
      </c>
      <c r="K6784">
        <f>IF(E6784="Domain",COUNTIF($E$2:E6784,"Domain"),"")</f>
        <v/>
      </c>
    </row>
    <row r="6785">
      <c r="A6785" s="2" t="n"/>
      <c r="B6785">
        <f>LOWER(TRIM(A6785))</f>
        <v/>
      </c>
      <c r="C6785">
        <f>IF(B6785="","",IFERROR(INDEX('Bad Patterns'!$A$2:$A$120,MATCH(1,INDEX(--ISNUMBER(SEARCH('Bad Patterns'!$A$2:$A$120,B6785)),0),0)),""))</f>
        <v/>
      </c>
      <c r="D6785">
        <f>IF(B6785="","",IF(C6785&lt;&gt;"","REMOVE","KEEP"))</f>
        <v/>
      </c>
      <c r="E6785">
        <f>IF(D6785&lt;&gt;"KEEP","",IF(RIGHT(B6785,10)="@gmail.com","Gmail",IF(OR(RIGHT(B6785,12)="@outlook.com",RIGHT(B6785,12)="@hotmail.com",RIGHT(B6785,9)="@live.com"),"Outlook","Domain")))</f>
        <v/>
      </c>
      <c r="F6785">
        <f>IF(B6785="","",IFERROR(RIGHT(B6785,LEN(B6785)-FIND("@",B6785)),""))</f>
        <v/>
      </c>
      <c r="G6785">
        <f>IF(D6785="KEEP",COUNTIF($D$2:D6785,"KEEP"),"")</f>
        <v/>
      </c>
      <c r="H6785">
        <f>IF(D6785="REMOVE",COUNTIF($D$2:D6785,"REMOVE"),"")</f>
        <v/>
      </c>
      <c r="I6785">
        <f>IF(E6785="Gmail",COUNTIF($E$2:E6785,"Gmail"),"")</f>
        <v/>
      </c>
      <c r="J6785">
        <f>IF(E6785="Outlook",COUNTIF($E$2:E6785,"Outlook"),"")</f>
        <v/>
      </c>
      <c r="K6785">
        <f>IF(E6785="Domain",COUNTIF($E$2:E6785,"Domain"),"")</f>
        <v/>
      </c>
    </row>
    <row r="6786">
      <c r="A6786" s="2" t="n"/>
      <c r="B6786">
        <f>LOWER(TRIM(A6786))</f>
        <v/>
      </c>
      <c r="C6786">
        <f>IF(B6786="","",IFERROR(INDEX('Bad Patterns'!$A$2:$A$120,MATCH(1,INDEX(--ISNUMBER(SEARCH('Bad Patterns'!$A$2:$A$120,B6786)),0),0)),""))</f>
        <v/>
      </c>
      <c r="D6786">
        <f>IF(B6786="","",IF(C6786&lt;&gt;"","REMOVE","KEEP"))</f>
        <v/>
      </c>
      <c r="E6786">
        <f>IF(D6786&lt;&gt;"KEEP","",IF(RIGHT(B6786,10)="@gmail.com","Gmail",IF(OR(RIGHT(B6786,12)="@outlook.com",RIGHT(B6786,12)="@hotmail.com",RIGHT(B6786,9)="@live.com"),"Outlook","Domain")))</f>
        <v/>
      </c>
      <c r="F6786">
        <f>IF(B6786="","",IFERROR(RIGHT(B6786,LEN(B6786)-FIND("@",B6786)),""))</f>
        <v/>
      </c>
      <c r="G6786">
        <f>IF(D6786="KEEP",COUNTIF($D$2:D6786,"KEEP"),"")</f>
        <v/>
      </c>
      <c r="H6786">
        <f>IF(D6786="REMOVE",COUNTIF($D$2:D6786,"REMOVE"),"")</f>
        <v/>
      </c>
      <c r="I6786">
        <f>IF(E6786="Gmail",COUNTIF($E$2:E6786,"Gmail"),"")</f>
        <v/>
      </c>
      <c r="J6786">
        <f>IF(E6786="Outlook",COUNTIF($E$2:E6786,"Outlook"),"")</f>
        <v/>
      </c>
      <c r="K6786">
        <f>IF(E6786="Domain",COUNTIF($E$2:E6786,"Domain"),"")</f>
        <v/>
      </c>
    </row>
    <row r="6787">
      <c r="A6787" s="2" t="n"/>
      <c r="B6787">
        <f>LOWER(TRIM(A6787))</f>
        <v/>
      </c>
      <c r="C6787">
        <f>IF(B6787="","",IFERROR(INDEX('Bad Patterns'!$A$2:$A$120,MATCH(1,INDEX(--ISNUMBER(SEARCH('Bad Patterns'!$A$2:$A$120,B6787)),0),0)),""))</f>
        <v/>
      </c>
      <c r="D6787">
        <f>IF(B6787="","",IF(C6787&lt;&gt;"","REMOVE","KEEP"))</f>
        <v/>
      </c>
      <c r="E6787">
        <f>IF(D6787&lt;&gt;"KEEP","",IF(RIGHT(B6787,10)="@gmail.com","Gmail",IF(OR(RIGHT(B6787,12)="@outlook.com",RIGHT(B6787,12)="@hotmail.com",RIGHT(B6787,9)="@live.com"),"Outlook","Domain")))</f>
        <v/>
      </c>
      <c r="F6787">
        <f>IF(B6787="","",IFERROR(RIGHT(B6787,LEN(B6787)-FIND("@",B6787)),""))</f>
        <v/>
      </c>
      <c r="G6787">
        <f>IF(D6787="KEEP",COUNTIF($D$2:D6787,"KEEP"),"")</f>
        <v/>
      </c>
      <c r="H6787">
        <f>IF(D6787="REMOVE",COUNTIF($D$2:D6787,"REMOVE"),"")</f>
        <v/>
      </c>
      <c r="I6787">
        <f>IF(E6787="Gmail",COUNTIF($E$2:E6787,"Gmail"),"")</f>
        <v/>
      </c>
      <c r="J6787">
        <f>IF(E6787="Outlook",COUNTIF($E$2:E6787,"Outlook"),"")</f>
        <v/>
      </c>
      <c r="K6787">
        <f>IF(E6787="Domain",COUNTIF($E$2:E6787,"Domain"),"")</f>
        <v/>
      </c>
    </row>
    <row r="6788">
      <c r="A6788" s="2" t="n"/>
      <c r="B6788">
        <f>LOWER(TRIM(A6788))</f>
        <v/>
      </c>
      <c r="C6788">
        <f>IF(B6788="","",IFERROR(INDEX('Bad Patterns'!$A$2:$A$120,MATCH(1,INDEX(--ISNUMBER(SEARCH('Bad Patterns'!$A$2:$A$120,B6788)),0),0)),""))</f>
        <v/>
      </c>
      <c r="D6788">
        <f>IF(B6788="","",IF(C6788&lt;&gt;"","REMOVE","KEEP"))</f>
        <v/>
      </c>
      <c r="E6788">
        <f>IF(D6788&lt;&gt;"KEEP","",IF(RIGHT(B6788,10)="@gmail.com","Gmail",IF(OR(RIGHT(B6788,12)="@outlook.com",RIGHT(B6788,12)="@hotmail.com",RIGHT(B6788,9)="@live.com"),"Outlook","Domain")))</f>
        <v/>
      </c>
      <c r="F6788">
        <f>IF(B6788="","",IFERROR(RIGHT(B6788,LEN(B6788)-FIND("@",B6788)),""))</f>
        <v/>
      </c>
      <c r="G6788">
        <f>IF(D6788="KEEP",COUNTIF($D$2:D6788,"KEEP"),"")</f>
        <v/>
      </c>
      <c r="H6788">
        <f>IF(D6788="REMOVE",COUNTIF($D$2:D6788,"REMOVE"),"")</f>
        <v/>
      </c>
      <c r="I6788">
        <f>IF(E6788="Gmail",COUNTIF($E$2:E6788,"Gmail"),"")</f>
        <v/>
      </c>
      <c r="J6788">
        <f>IF(E6788="Outlook",COUNTIF($E$2:E6788,"Outlook"),"")</f>
        <v/>
      </c>
      <c r="K6788">
        <f>IF(E6788="Domain",COUNTIF($E$2:E6788,"Domain"),"")</f>
        <v/>
      </c>
    </row>
    <row r="6789">
      <c r="A6789" s="2" t="n"/>
      <c r="B6789">
        <f>LOWER(TRIM(A6789))</f>
        <v/>
      </c>
      <c r="C6789">
        <f>IF(B6789="","",IFERROR(INDEX('Bad Patterns'!$A$2:$A$120,MATCH(1,INDEX(--ISNUMBER(SEARCH('Bad Patterns'!$A$2:$A$120,B6789)),0),0)),""))</f>
        <v/>
      </c>
      <c r="D6789">
        <f>IF(B6789="","",IF(C6789&lt;&gt;"","REMOVE","KEEP"))</f>
        <v/>
      </c>
      <c r="E6789">
        <f>IF(D6789&lt;&gt;"KEEP","",IF(RIGHT(B6789,10)="@gmail.com","Gmail",IF(OR(RIGHT(B6789,12)="@outlook.com",RIGHT(B6789,12)="@hotmail.com",RIGHT(B6789,9)="@live.com"),"Outlook","Domain")))</f>
        <v/>
      </c>
      <c r="F6789">
        <f>IF(B6789="","",IFERROR(RIGHT(B6789,LEN(B6789)-FIND("@",B6789)),""))</f>
        <v/>
      </c>
      <c r="G6789">
        <f>IF(D6789="KEEP",COUNTIF($D$2:D6789,"KEEP"),"")</f>
        <v/>
      </c>
      <c r="H6789">
        <f>IF(D6789="REMOVE",COUNTIF($D$2:D6789,"REMOVE"),"")</f>
        <v/>
      </c>
      <c r="I6789">
        <f>IF(E6789="Gmail",COUNTIF($E$2:E6789,"Gmail"),"")</f>
        <v/>
      </c>
      <c r="J6789">
        <f>IF(E6789="Outlook",COUNTIF($E$2:E6789,"Outlook"),"")</f>
        <v/>
      </c>
      <c r="K6789">
        <f>IF(E6789="Domain",COUNTIF($E$2:E6789,"Domain"),"")</f>
        <v/>
      </c>
    </row>
    <row r="6790">
      <c r="A6790" s="2" t="n"/>
      <c r="B6790">
        <f>LOWER(TRIM(A6790))</f>
        <v/>
      </c>
      <c r="C6790">
        <f>IF(B6790="","",IFERROR(INDEX('Bad Patterns'!$A$2:$A$120,MATCH(1,INDEX(--ISNUMBER(SEARCH('Bad Patterns'!$A$2:$A$120,B6790)),0),0)),""))</f>
        <v/>
      </c>
      <c r="D6790">
        <f>IF(B6790="","",IF(C6790&lt;&gt;"","REMOVE","KEEP"))</f>
        <v/>
      </c>
      <c r="E6790">
        <f>IF(D6790&lt;&gt;"KEEP","",IF(RIGHT(B6790,10)="@gmail.com","Gmail",IF(OR(RIGHT(B6790,12)="@outlook.com",RIGHT(B6790,12)="@hotmail.com",RIGHT(B6790,9)="@live.com"),"Outlook","Domain")))</f>
        <v/>
      </c>
      <c r="F6790">
        <f>IF(B6790="","",IFERROR(RIGHT(B6790,LEN(B6790)-FIND("@",B6790)),""))</f>
        <v/>
      </c>
      <c r="G6790">
        <f>IF(D6790="KEEP",COUNTIF($D$2:D6790,"KEEP"),"")</f>
        <v/>
      </c>
      <c r="H6790">
        <f>IF(D6790="REMOVE",COUNTIF($D$2:D6790,"REMOVE"),"")</f>
        <v/>
      </c>
      <c r="I6790">
        <f>IF(E6790="Gmail",COUNTIF($E$2:E6790,"Gmail"),"")</f>
        <v/>
      </c>
      <c r="J6790">
        <f>IF(E6790="Outlook",COUNTIF($E$2:E6790,"Outlook"),"")</f>
        <v/>
      </c>
      <c r="K6790">
        <f>IF(E6790="Domain",COUNTIF($E$2:E6790,"Domain"),"")</f>
        <v/>
      </c>
    </row>
    <row r="6791">
      <c r="A6791" s="2" t="n"/>
      <c r="B6791">
        <f>LOWER(TRIM(A6791))</f>
        <v/>
      </c>
      <c r="C6791">
        <f>IF(B6791="","",IFERROR(INDEX('Bad Patterns'!$A$2:$A$120,MATCH(1,INDEX(--ISNUMBER(SEARCH('Bad Patterns'!$A$2:$A$120,B6791)),0),0)),""))</f>
        <v/>
      </c>
      <c r="D6791">
        <f>IF(B6791="","",IF(C6791&lt;&gt;"","REMOVE","KEEP"))</f>
        <v/>
      </c>
      <c r="E6791">
        <f>IF(D6791&lt;&gt;"KEEP","",IF(RIGHT(B6791,10)="@gmail.com","Gmail",IF(OR(RIGHT(B6791,12)="@outlook.com",RIGHT(B6791,12)="@hotmail.com",RIGHT(B6791,9)="@live.com"),"Outlook","Domain")))</f>
        <v/>
      </c>
      <c r="F6791">
        <f>IF(B6791="","",IFERROR(RIGHT(B6791,LEN(B6791)-FIND("@",B6791)),""))</f>
        <v/>
      </c>
      <c r="G6791">
        <f>IF(D6791="KEEP",COUNTIF($D$2:D6791,"KEEP"),"")</f>
        <v/>
      </c>
      <c r="H6791">
        <f>IF(D6791="REMOVE",COUNTIF($D$2:D6791,"REMOVE"),"")</f>
        <v/>
      </c>
      <c r="I6791">
        <f>IF(E6791="Gmail",COUNTIF($E$2:E6791,"Gmail"),"")</f>
        <v/>
      </c>
      <c r="J6791">
        <f>IF(E6791="Outlook",COUNTIF($E$2:E6791,"Outlook"),"")</f>
        <v/>
      </c>
      <c r="K6791">
        <f>IF(E6791="Domain",COUNTIF($E$2:E6791,"Domain"),"")</f>
        <v/>
      </c>
    </row>
    <row r="6792">
      <c r="A6792" s="2" t="n"/>
      <c r="B6792">
        <f>LOWER(TRIM(A6792))</f>
        <v/>
      </c>
      <c r="C6792">
        <f>IF(B6792="","",IFERROR(INDEX('Bad Patterns'!$A$2:$A$120,MATCH(1,INDEX(--ISNUMBER(SEARCH('Bad Patterns'!$A$2:$A$120,B6792)),0),0)),""))</f>
        <v/>
      </c>
      <c r="D6792">
        <f>IF(B6792="","",IF(C6792&lt;&gt;"","REMOVE","KEEP"))</f>
        <v/>
      </c>
      <c r="E6792">
        <f>IF(D6792&lt;&gt;"KEEP","",IF(RIGHT(B6792,10)="@gmail.com","Gmail",IF(OR(RIGHT(B6792,12)="@outlook.com",RIGHT(B6792,12)="@hotmail.com",RIGHT(B6792,9)="@live.com"),"Outlook","Domain")))</f>
        <v/>
      </c>
      <c r="F6792">
        <f>IF(B6792="","",IFERROR(RIGHT(B6792,LEN(B6792)-FIND("@",B6792)),""))</f>
        <v/>
      </c>
      <c r="G6792">
        <f>IF(D6792="KEEP",COUNTIF($D$2:D6792,"KEEP"),"")</f>
        <v/>
      </c>
      <c r="H6792">
        <f>IF(D6792="REMOVE",COUNTIF($D$2:D6792,"REMOVE"),"")</f>
        <v/>
      </c>
      <c r="I6792">
        <f>IF(E6792="Gmail",COUNTIF($E$2:E6792,"Gmail"),"")</f>
        <v/>
      </c>
      <c r="J6792">
        <f>IF(E6792="Outlook",COUNTIF($E$2:E6792,"Outlook"),"")</f>
        <v/>
      </c>
      <c r="K6792">
        <f>IF(E6792="Domain",COUNTIF($E$2:E6792,"Domain"),"")</f>
        <v/>
      </c>
    </row>
    <row r="6793">
      <c r="A6793" s="2" t="n"/>
      <c r="B6793">
        <f>LOWER(TRIM(A6793))</f>
        <v/>
      </c>
      <c r="C6793">
        <f>IF(B6793="","",IFERROR(INDEX('Bad Patterns'!$A$2:$A$120,MATCH(1,INDEX(--ISNUMBER(SEARCH('Bad Patterns'!$A$2:$A$120,B6793)),0),0)),""))</f>
        <v/>
      </c>
      <c r="D6793">
        <f>IF(B6793="","",IF(C6793&lt;&gt;"","REMOVE","KEEP"))</f>
        <v/>
      </c>
      <c r="E6793">
        <f>IF(D6793&lt;&gt;"KEEP","",IF(RIGHT(B6793,10)="@gmail.com","Gmail",IF(OR(RIGHT(B6793,12)="@outlook.com",RIGHT(B6793,12)="@hotmail.com",RIGHT(B6793,9)="@live.com"),"Outlook","Domain")))</f>
        <v/>
      </c>
      <c r="F6793">
        <f>IF(B6793="","",IFERROR(RIGHT(B6793,LEN(B6793)-FIND("@",B6793)),""))</f>
        <v/>
      </c>
      <c r="G6793">
        <f>IF(D6793="KEEP",COUNTIF($D$2:D6793,"KEEP"),"")</f>
        <v/>
      </c>
      <c r="H6793">
        <f>IF(D6793="REMOVE",COUNTIF($D$2:D6793,"REMOVE"),"")</f>
        <v/>
      </c>
      <c r="I6793">
        <f>IF(E6793="Gmail",COUNTIF($E$2:E6793,"Gmail"),"")</f>
        <v/>
      </c>
      <c r="J6793">
        <f>IF(E6793="Outlook",COUNTIF($E$2:E6793,"Outlook"),"")</f>
        <v/>
      </c>
      <c r="K6793">
        <f>IF(E6793="Domain",COUNTIF($E$2:E6793,"Domain"),"")</f>
        <v/>
      </c>
    </row>
    <row r="6794">
      <c r="A6794" s="2" t="n"/>
      <c r="B6794">
        <f>LOWER(TRIM(A6794))</f>
        <v/>
      </c>
      <c r="C6794">
        <f>IF(B6794="","",IFERROR(INDEX('Bad Patterns'!$A$2:$A$120,MATCH(1,INDEX(--ISNUMBER(SEARCH('Bad Patterns'!$A$2:$A$120,B6794)),0),0)),""))</f>
        <v/>
      </c>
      <c r="D6794">
        <f>IF(B6794="","",IF(C6794&lt;&gt;"","REMOVE","KEEP"))</f>
        <v/>
      </c>
      <c r="E6794">
        <f>IF(D6794&lt;&gt;"KEEP","",IF(RIGHT(B6794,10)="@gmail.com","Gmail",IF(OR(RIGHT(B6794,12)="@outlook.com",RIGHT(B6794,12)="@hotmail.com",RIGHT(B6794,9)="@live.com"),"Outlook","Domain")))</f>
        <v/>
      </c>
      <c r="F6794">
        <f>IF(B6794="","",IFERROR(RIGHT(B6794,LEN(B6794)-FIND("@",B6794)),""))</f>
        <v/>
      </c>
      <c r="G6794">
        <f>IF(D6794="KEEP",COUNTIF($D$2:D6794,"KEEP"),"")</f>
        <v/>
      </c>
      <c r="H6794">
        <f>IF(D6794="REMOVE",COUNTIF($D$2:D6794,"REMOVE"),"")</f>
        <v/>
      </c>
      <c r="I6794">
        <f>IF(E6794="Gmail",COUNTIF($E$2:E6794,"Gmail"),"")</f>
        <v/>
      </c>
      <c r="J6794">
        <f>IF(E6794="Outlook",COUNTIF($E$2:E6794,"Outlook"),"")</f>
        <v/>
      </c>
      <c r="K6794">
        <f>IF(E6794="Domain",COUNTIF($E$2:E6794,"Domain"),"")</f>
        <v/>
      </c>
    </row>
    <row r="6795">
      <c r="A6795" s="2" t="n"/>
      <c r="B6795">
        <f>LOWER(TRIM(A6795))</f>
        <v/>
      </c>
      <c r="C6795">
        <f>IF(B6795="","",IFERROR(INDEX('Bad Patterns'!$A$2:$A$120,MATCH(1,INDEX(--ISNUMBER(SEARCH('Bad Patterns'!$A$2:$A$120,B6795)),0),0)),""))</f>
        <v/>
      </c>
      <c r="D6795">
        <f>IF(B6795="","",IF(C6795&lt;&gt;"","REMOVE","KEEP"))</f>
        <v/>
      </c>
      <c r="E6795">
        <f>IF(D6795&lt;&gt;"KEEP","",IF(RIGHT(B6795,10)="@gmail.com","Gmail",IF(OR(RIGHT(B6795,12)="@outlook.com",RIGHT(B6795,12)="@hotmail.com",RIGHT(B6795,9)="@live.com"),"Outlook","Domain")))</f>
        <v/>
      </c>
      <c r="F6795">
        <f>IF(B6795="","",IFERROR(RIGHT(B6795,LEN(B6795)-FIND("@",B6795)),""))</f>
        <v/>
      </c>
      <c r="G6795">
        <f>IF(D6795="KEEP",COUNTIF($D$2:D6795,"KEEP"),"")</f>
        <v/>
      </c>
      <c r="H6795">
        <f>IF(D6795="REMOVE",COUNTIF($D$2:D6795,"REMOVE"),"")</f>
        <v/>
      </c>
      <c r="I6795">
        <f>IF(E6795="Gmail",COUNTIF($E$2:E6795,"Gmail"),"")</f>
        <v/>
      </c>
      <c r="J6795">
        <f>IF(E6795="Outlook",COUNTIF($E$2:E6795,"Outlook"),"")</f>
        <v/>
      </c>
      <c r="K6795">
        <f>IF(E6795="Domain",COUNTIF($E$2:E6795,"Domain"),"")</f>
        <v/>
      </c>
    </row>
    <row r="6796">
      <c r="A6796" s="2" t="n"/>
      <c r="B6796">
        <f>LOWER(TRIM(A6796))</f>
        <v/>
      </c>
      <c r="C6796">
        <f>IF(B6796="","",IFERROR(INDEX('Bad Patterns'!$A$2:$A$120,MATCH(1,INDEX(--ISNUMBER(SEARCH('Bad Patterns'!$A$2:$A$120,B6796)),0),0)),""))</f>
        <v/>
      </c>
      <c r="D6796">
        <f>IF(B6796="","",IF(C6796&lt;&gt;"","REMOVE","KEEP"))</f>
        <v/>
      </c>
      <c r="E6796">
        <f>IF(D6796&lt;&gt;"KEEP","",IF(RIGHT(B6796,10)="@gmail.com","Gmail",IF(OR(RIGHT(B6796,12)="@outlook.com",RIGHT(B6796,12)="@hotmail.com",RIGHT(B6796,9)="@live.com"),"Outlook","Domain")))</f>
        <v/>
      </c>
      <c r="F6796">
        <f>IF(B6796="","",IFERROR(RIGHT(B6796,LEN(B6796)-FIND("@",B6796)),""))</f>
        <v/>
      </c>
      <c r="G6796">
        <f>IF(D6796="KEEP",COUNTIF($D$2:D6796,"KEEP"),"")</f>
        <v/>
      </c>
      <c r="H6796">
        <f>IF(D6796="REMOVE",COUNTIF($D$2:D6796,"REMOVE"),"")</f>
        <v/>
      </c>
      <c r="I6796">
        <f>IF(E6796="Gmail",COUNTIF($E$2:E6796,"Gmail"),"")</f>
        <v/>
      </c>
      <c r="J6796">
        <f>IF(E6796="Outlook",COUNTIF($E$2:E6796,"Outlook"),"")</f>
        <v/>
      </c>
      <c r="K6796">
        <f>IF(E6796="Domain",COUNTIF($E$2:E6796,"Domain"),"")</f>
        <v/>
      </c>
    </row>
    <row r="6797">
      <c r="A6797" s="2" t="n"/>
      <c r="B6797">
        <f>LOWER(TRIM(A6797))</f>
        <v/>
      </c>
      <c r="C6797">
        <f>IF(B6797="","",IFERROR(INDEX('Bad Patterns'!$A$2:$A$120,MATCH(1,INDEX(--ISNUMBER(SEARCH('Bad Patterns'!$A$2:$A$120,B6797)),0),0)),""))</f>
        <v/>
      </c>
      <c r="D6797">
        <f>IF(B6797="","",IF(C6797&lt;&gt;"","REMOVE","KEEP"))</f>
        <v/>
      </c>
      <c r="E6797">
        <f>IF(D6797&lt;&gt;"KEEP","",IF(RIGHT(B6797,10)="@gmail.com","Gmail",IF(OR(RIGHT(B6797,12)="@outlook.com",RIGHT(B6797,12)="@hotmail.com",RIGHT(B6797,9)="@live.com"),"Outlook","Domain")))</f>
        <v/>
      </c>
      <c r="F6797">
        <f>IF(B6797="","",IFERROR(RIGHT(B6797,LEN(B6797)-FIND("@",B6797)),""))</f>
        <v/>
      </c>
      <c r="G6797">
        <f>IF(D6797="KEEP",COUNTIF($D$2:D6797,"KEEP"),"")</f>
        <v/>
      </c>
      <c r="H6797">
        <f>IF(D6797="REMOVE",COUNTIF($D$2:D6797,"REMOVE"),"")</f>
        <v/>
      </c>
      <c r="I6797">
        <f>IF(E6797="Gmail",COUNTIF($E$2:E6797,"Gmail"),"")</f>
        <v/>
      </c>
      <c r="J6797">
        <f>IF(E6797="Outlook",COUNTIF($E$2:E6797,"Outlook"),"")</f>
        <v/>
      </c>
      <c r="K6797">
        <f>IF(E6797="Domain",COUNTIF($E$2:E6797,"Domain"),"")</f>
        <v/>
      </c>
    </row>
    <row r="6798">
      <c r="A6798" s="2" t="n"/>
      <c r="B6798">
        <f>LOWER(TRIM(A6798))</f>
        <v/>
      </c>
      <c r="C6798">
        <f>IF(B6798="","",IFERROR(INDEX('Bad Patterns'!$A$2:$A$120,MATCH(1,INDEX(--ISNUMBER(SEARCH('Bad Patterns'!$A$2:$A$120,B6798)),0),0)),""))</f>
        <v/>
      </c>
      <c r="D6798">
        <f>IF(B6798="","",IF(C6798&lt;&gt;"","REMOVE","KEEP"))</f>
        <v/>
      </c>
      <c r="E6798">
        <f>IF(D6798&lt;&gt;"KEEP","",IF(RIGHT(B6798,10)="@gmail.com","Gmail",IF(OR(RIGHT(B6798,12)="@outlook.com",RIGHT(B6798,12)="@hotmail.com",RIGHT(B6798,9)="@live.com"),"Outlook","Domain")))</f>
        <v/>
      </c>
      <c r="F6798">
        <f>IF(B6798="","",IFERROR(RIGHT(B6798,LEN(B6798)-FIND("@",B6798)),""))</f>
        <v/>
      </c>
      <c r="G6798">
        <f>IF(D6798="KEEP",COUNTIF($D$2:D6798,"KEEP"),"")</f>
        <v/>
      </c>
      <c r="H6798">
        <f>IF(D6798="REMOVE",COUNTIF($D$2:D6798,"REMOVE"),"")</f>
        <v/>
      </c>
      <c r="I6798">
        <f>IF(E6798="Gmail",COUNTIF($E$2:E6798,"Gmail"),"")</f>
        <v/>
      </c>
      <c r="J6798">
        <f>IF(E6798="Outlook",COUNTIF($E$2:E6798,"Outlook"),"")</f>
        <v/>
      </c>
      <c r="K6798">
        <f>IF(E6798="Domain",COUNTIF($E$2:E6798,"Domain"),"")</f>
        <v/>
      </c>
    </row>
    <row r="6799">
      <c r="A6799" s="2" t="n"/>
      <c r="B6799">
        <f>LOWER(TRIM(A6799))</f>
        <v/>
      </c>
      <c r="C6799">
        <f>IF(B6799="","",IFERROR(INDEX('Bad Patterns'!$A$2:$A$120,MATCH(1,INDEX(--ISNUMBER(SEARCH('Bad Patterns'!$A$2:$A$120,B6799)),0),0)),""))</f>
        <v/>
      </c>
      <c r="D6799">
        <f>IF(B6799="","",IF(C6799&lt;&gt;"","REMOVE","KEEP"))</f>
        <v/>
      </c>
      <c r="E6799">
        <f>IF(D6799&lt;&gt;"KEEP","",IF(RIGHT(B6799,10)="@gmail.com","Gmail",IF(OR(RIGHT(B6799,12)="@outlook.com",RIGHT(B6799,12)="@hotmail.com",RIGHT(B6799,9)="@live.com"),"Outlook","Domain")))</f>
        <v/>
      </c>
      <c r="F6799">
        <f>IF(B6799="","",IFERROR(RIGHT(B6799,LEN(B6799)-FIND("@",B6799)),""))</f>
        <v/>
      </c>
      <c r="G6799">
        <f>IF(D6799="KEEP",COUNTIF($D$2:D6799,"KEEP"),"")</f>
        <v/>
      </c>
      <c r="H6799">
        <f>IF(D6799="REMOVE",COUNTIF($D$2:D6799,"REMOVE"),"")</f>
        <v/>
      </c>
      <c r="I6799">
        <f>IF(E6799="Gmail",COUNTIF($E$2:E6799,"Gmail"),"")</f>
        <v/>
      </c>
      <c r="J6799">
        <f>IF(E6799="Outlook",COUNTIF($E$2:E6799,"Outlook"),"")</f>
        <v/>
      </c>
      <c r="K6799">
        <f>IF(E6799="Domain",COUNTIF($E$2:E6799,"Domain"),"")</f>
        <v/>
      </c>
    </row>
    <row r="6800">
      <c r="A6800" s="2" t="n"/>
      <c r="B6800">
        <f>LOWER(TRIM(A6800))</f>
        <v/>
      </c>
      <c r="C6800">
        <f>IF(B6800="","",IFERROR(INDEX('Bad Patterns'!$A$2:$A$120,MATCH(1,INDEX(--ISNUMBER(SEARCH('Bad Patterns'!$A$2:$A$120,B6800)),0),0)),""))</f>
        <v/>
      </c>
      <c r="D6800">
        <f>IF(B6800="","",IF(C6800&lt;&gt;"","REMOVE","KEEP"))</f>
        <v/>
      </c>
      <c r="E6800">
        <f>IF(D6800&lt;&gt;"KEEP","",IF(RIGHT(B6800,10)="@gmail.com","Gmail",IF(OR(RIGHT(B6800,12)="@outlook.com",RIGHT(B6800,12)="@hotmail.com",RIGHT(B6800,9)="@live.com"),"Outlook","Domain")))</f>
        <v/>
      </c>
      <c r="F6800">
        <f>IF(B6800="","",IFERROR(RIGHT(B6800,LEN(B6800)-FIND("@",B6800)),""))</f>
        <v/>
      </c>
      <c r="G6800">
        <f>IF(D6800="KEEP",COUNTIF($D$2:D6800,"KEEP"),"")</f>
        <v/>
      </c>
      <c r="H6800">
        <f>IF(D6800="REMOVE",COUNTIF($D$2:D6800,"REMOVE"),"")</f>
        <v/>
      </c>
      <c r="I6800">
        <f>IF(E6800="Gmail",COUNTIF($E$2:E6800,"Gmail"),"")</f>
        <v/>
      </c>
      <c r="J6800">
        <f>IF(E6800="Outlook",COUNTIF($E$2:E6800,"Outlook"),"")</f>
        <v/>
      </c>
      <c r="K6800">
        <f>IF(E6800="Domain",COUNTIF($E$2:E6800,"Domain"),"")</f>
        <v/>
      </c>
    </row>
    <row r="6801">
      <c r="A6801" s="2" t="n"/>
      <c r="B6801">
        <f>LOWER(TRIM(A6801))</f>
        <v/>
      </c>
      <c r="C6801">
        <f>IF(B6801="","",IFERROR(INDEX('Bad Patterns'!$A$2:$A$120,MATCH(1,INDEX(--ISNUMBER(SEARCH('Bad Patterns'!$A$2:$A$120,B6801)),0),0)),""))</f>
        <v/>
      </c>
      <c r="D6801">
        <f>IF(B6801="","",IF(C6801&lt;&gt;"","REMOVE","KEEP"))</f>
        <v/>
      </c>
      <c r="E6801">
        <f>IF(D6801&lt;&gt;"KEEP","",IF(RIGHT(B6801,10)="@gmail.com","Gmail",IF(OR(RIGHT(B6801,12)="@outlook.com",RIGHT(B6801,12)="@hotmail.com",RIGHT(B6801,9)="@live.com"),"Outlook","Domain")))</f>
        <v/>
      </c>
      <c r="F6801">
        <f>IF(B6801="","",IFERROR(RIGHT(B6801,LEN(B6801)-FIND("@",B6801)),""))</f>
        <v/>
      </c>
      <c r="G6801">
        <f>IF(D6801="KEEP",COUNTIF($D$2:D6801,"KEEP"),"")</f>
        <v/>
      </c>
      <c r="H6801">
        <f>IF(D6801="REMOVE",COUNTIF($D$2:D6801,"REMOVE"),"")</f>
        <v/>
      </c>
      <c r="I6801">
        <f>IF(E6801="Gmail",COUNTIF($E$2:E6801,"Gmail"),"")</f>
        <v/>
      </c>
      <c r="J6801">
        <f>IF(E6801="Outlook",COUNTIF($E$2:E6801,"Outlook"),"")</f>
        <v/>
      </c>
      <c r="K6801">
        <f>IF(E6801="Domain",COUNTIF($E$2:E6801,"Domain"),"")</f>
        <v/>
      </c>
    </row>
    <row r="6802">
      <c r="A6802" s="2" t="n"/>
      <c r="B6802">
        <f>LOWER(TRIM(A6802))</f>
        <v/>
      </c>
      <c r="C6802">
        <f>IF(B6802="","",IFERROR(INDEX('Bad Patterns'!$A$2:$A$120,MATCH(1,INDEX(--ISNUMBER(SEARCH('Bad Patterns'!$A$2:$A$120,B6802)),0),0)),""))</f>
        <v/>
      </c>
      <c r="D6802">
        <f>IF(B6802="","",IF(C6802&lt;&gt;"","REMOVE","KEEP"))</f>
        <v/>
      </c>
      <c r="E6802">
        <f>IF(D6802&lt;&gt;"KEEP","",IF(RIGHT(B6802,10)="@gmail.com","Gmail",IF(OR(RIGHT(B6802,12)="@outlook.com",RIGHT(B6802,12)="@hotmail.com",RIGHT(B6802,9)="@live.com"),"Outlook","Domain")))</f>
        <v/>
      </c>
      <c r="F6802">
        <f>IF(B6802="","",IFERROR(RIGHT(B6802,LEN(B6802)-FIND("@",B6802)),""))</f>
        <v/>
      </c>
      <c r="G6802">
        <f>IF(D6802="KEEP",COUNTIF($D$2:D6802,"KEEP"),"")</f>
        <v/>
      </c>
      <c r="H6802">
        <f>IF(D6802="REMOVE",COUNTIF($D$2:D6802,"REMOVE"),"")</f>
        <v/>
      </c>
      <c r="I6802">
        <f>IF(E6802="Gmail",COUNTIF($E$2:E6802,"Gmail"),"")</f>
        <v/>
      </c>
      <c r="J6802">
        <f>IF(E6802="Outlook",COUNTIF($E$2:E6802,"Outlook"),"")</f>
        <v/>
      </c>
      <c r="K6802">
        <f>IF(E6802="Domain",COUNTIF($E$2:E6802,"Domain"),"")</f>
        <v/>
      </c>
    </row>
    <row r="6803">
      <c r="A6803" s="2" t="n"/>
      <c r="B6803">
        <f>LOWER(TRIM(A6803))</f>
        <v/>
      </c>
      <c r="C6803">
        <f>IF(B6803="","",IFERROR(INDEX('Bad Patterns'!$A$2:$A$120,MATCH(1,INDEX(--ISNUMBER(SEARCH('Bad Patterns'!$A$2:$A$120,B6803)),0),0)),""))</f>
        <v/>
      </c>
      <c r="D6803">
        <f>IF(B6803="","",IF(C6803&lt;&gt;"","REMOVE","KEEP"))</f>
        <v/>
      </c>
      <c r="E6803">
        <f>IF(D6803&lt;&gt;"KEEP","",IF(RIGHT(B6803,10)="@gmail.com","Gmail",IF(OR(RIGHT(B6803,12)="@outlook.com",RIGHT(B6803,12)="@hotmail.com",RIGHT(B6803,9)="@live.com"),"Outlook","Domain")))</f>
        <v/>
      </c>
      <c r="F6803">
        <f>IF(B6803="","",IFERROR(RIGHT(B6803,LEN(B6803)-FIND("@",B6803)),""))</f>
        <v/>
      </c>
      <c r="G6803">
        <f>IF(D6803="KEEP",COUNTIF($D$2:D6803,"KEEP"),"")</f>
        <v/>
      </c>
      <c r="H6803">
        <f>IF(D6803="REMOVE",COUNTIF($D$2:D6803,"REMOVE"),"")</f>
        <v/>
      </c>
      <c r="I6803">
        <f>IF(E6803="Gmail",COUNTIF($E$2:E6803,"Gmail"),"")</f>
        <v/>
      </c>
      <c r="J6803">
        <f>IF(E6803="Outlook",COUNTIF($E$2:E6803,"Outlook"),"")</f>
        <v/>
      </c>
      <c r="K6803">
        <f>IF(E6803="Domain",COUNTIF($E$2:E6803,"Domain"),"")</f>
        <v/>
      </c>
    </row>
    <row r="6804">
      <c r="A6804" s="2" t="n"/>
      <c r="B6804">
        <f>LOWER(TRIM(A6804))</f>
        <v/>
      </c>
      <c r="C6804">
        <f>IF(B6804="","",IFERROR(INDEX('Bad Patterns'!$A$2:$A$120,MATCH(1,INDEX(--ISNUMBER(SEARCH('Bad Patterns'!$A$2:$A$120,B6804)),0),0)),""))</f>
        <v/>
      </c>
      <c r="D6804">
        <f>IF(B6804="","",IF(C6804&lt;&gt;"","REMOVE","KEEP"))</f>
        <v/>
      </c>
      <c r="E6804">
        <f>IF(D6804&lt;&gt;"KEEP","",IF(RIGHT(B6804,10)="@gmail.com","Gmail",IF(OR(RIGHT(B6804,12)="@outlook.com",RIGHT(B6804,12)="@hotmail.com",RIGHT(B6804,9)="@live.com"),"Outlook","Domain")))</f>
        <v/>
      </c>
      <c r="F6804">
        <f>IF(B6804="","",IFERROR(RIGHT(B6804,LEN(B6804)-FIND("@",B6804)),""))</f>
        <v/>
      </c>
      <c r="G6804">
        <f>IF(D6804="KEEP",COUNTIF($D$2:D6804,"KEEP"),"")</f>
        <v/>
      </c>
      <c r="H6804">
        <f>IF(D6804="REMOVE",COUNTIF($D$2:D6804,"REMOVE"),"")</f>
        <v/>
      </c>
      <c r="I6804">
        <f>IF(E6804="Gmail",COUNTIF($E$2:E6804,"Gmail"),"")</f>
        <v/>
      </c>
      <c r="J6804">
        <f>IF(E6804="Outlook",COUNTIF($E$2:E6804,"Outlook"),"")</f>
        <v/>
      </c>
      <c r="K6804">
        <f>IF(E6804="Domain",COUNTIF($E$2:E6804,"Domain"),"")</f>
        <v/>
      </c>
    </row>
    <row r="6805">
      <c r="A6805" s="2" t="n"/>
      <c r="B6805">
        <f>LOWER(TRIM(A6805))</f>
        <v/>
      </c>
      <c r="C6805">
        <f>IF(B6805="","",IFERROR(INDEX('Bad Patterns'!$A$2:$A$120,MATCH(1,INDEX(--ISNUMBER(SEARCH('Bad Patterns'!$A$2:$A$120,B6805)),0),0)),""))</f>
        <v/>
      </c>
      <c r="D6805">
        <f>IF(B6805="","",IF(C6805&lt;&gt;"","REMOVE","KEEP"))</f>
        <v/>
      </c>
      <c r="E6805">
        <f>IF(D6805&lt;&gt;"KEEP","",IF(RIGHT(B6805,10)="@gmail.com","Gmail",IF(OR(RIGHT(B6805,12)="@outlook.com",RIGHT(B6805,12)="@hotmail.com",RIGHT(B6805,9)="@live.com"),"Outlook","Domain")))</f>
        <v/>
      </c>
      <c r="F6805">
        <f>IF(B6805="","",IFERROR(RIGHT(B6805,LEN(B6805)-FIND("@",B6805)),""))</f>
        <v/>
      </c>
      <c r="G6805">
        <f>IF(D6805="KEEP",COUNTIF($D$2:D6805,"KEEP"),"")</f>
        <v/>
      </c>
      <c r="H6805">
        <f>IF(D6805="REMOVE",COUNTIF($D$2:D6805,"REMOVE"),"")</f>
        <v/>
      </c>
      <c r="I6805">
        <f>IF(E6805="Gmail",COUNTIF($E$2:E6805,"Gmail"),"")</f>
        <v/>
      </c>
      <c r="J6805">
        <f>IF(E6805="Outlook",COUNTIF($E$2:E6805,"Outlook"),"")</f>
        <v/>
      </c>
      <c r="K6805">
        <f>IF(E6805="Domain",COUNTIF($E$2:E6805,"Domain"),"")</f>
        <v/>
      </c>
    </row>
    <row r="6806">
      <c r="A6806" s="2" t="n"/>
      <c r="B6806">
        <f>LOWER(TRIM(A6806))</f>
        <v/>
      </c>
      <c r="C6806">
        <f>IF(B6806="","",IFERROR(INDEX('Bad Patterns'!$A$2:$A$120,MATCH(1,INDEX(--ISNUMBER(SEARCH('Bad Patterns'!$A$2:$A$120,B6806)),0),0)),""))</f>
        <v/>
      </c>
      <c r="D6806">
        <f>IF(B6806="","",IF(C6806&lt;&gt;"","REMOVE","KEEP"))</f>
        <v/>
      </c>
      <c r="E6806">
        <f>IF(D6806&lt;&gt;"KEEP","",IF(RIGHT(B6806,10)="@gmail.com","Gmail",IF(OR(RIGHT(B6806,12)="@outlook.com",RIGHT(B6806,12)="@hotmail.com",RIGHT(B6806,9)="@live.com"),"Outlook","Domain")))</f>
        <v/>
      </c>
      <c r="F6806">
        <f>IF(B6806="","",IFERROR(RIGHT(B6806,LEN(B6806)-FIND("@",B6806)),""))</f>
        <v/>
      </c>
      <c r="G6806">
        <f>IF(D6806="KEEP",COUNTIF($D$2:D6806,"KEEP"),"")</f>
        <v/>
      </c>
      <c r="H6806">
        <f>IF(D6806="REMOVE",COUNTIF($D$2:D6806,"REMOVE"),"")</f>
        <v/>
      </c>
      <c r="I6806">
        <f>IF(E6806="Gmail",COUNTIF($E$2:E6806,"Gmail"),"")</f>
        <v/>
      </c>
      <c r="J6806">
        <f>IF(E6806="Outlook",COUNTIF($E$2:E6806,"Outlook"),"")</f>
        <v/>
      </c>
      <c r="K6806">
        <f>IF(E6806="Domain",COUNTIF($E$2:E6806,"Domain"),"")</f>
        <v/>
      </c>
    </row>
    <row r="6807">
      <c r="A6807" s="2" t="n"/>
      <c r="B6807">
        <f>LOWER(TRIM(A6807))</f>
        <v/>
      </c>
      <c r="C6807">
        <f>IF(B6807="","",IFERROR(INDEX('Bad Patterns'!$A$2:$A$120,MATCH(1,INDEX(--ISNUMBER(SEARCH('Bad Patterns'!$A$2:$A$120,B6807)),0),0)),""))</f>
        <v/>
      </c>
      <c r="D6807">
        <f>IF(B6807="","",IF(C6807&lt;&gt;"","REMOVE","KEEP"))</f>
        <v/>
      </c>
      <c r="E6807">
        <f>IF(D6807&lt;&gt;"KEEP","",IF(RIGHT(B6807,10)="@gmail.com","Gmail",IF(OR(RIGHT(B6807,12)="@outlook.com",RIGHT(B6807,12)="@hotmail.com",RIGHT(B6807,9)="@live.com"),"Outlook","Domain")))</f>
        <v/>
      </c>
      <c r="F6807">
        <f>IF(B6807="","",IFERROR(RIGHT(B6807,LEN(B6807)-FIND("@",B6807)),""))</f>
        <v/>
      </c>
      <c r="G6807">
        <f>IF(D6807="KEEP",COUNTIF($D$2:D6807,"KEEP"),"")</f>
        <v/>
      </c>
      <c r="H6807">
        <f>IF(D6807="REMOVE",COUNTIF($D$2:D6807,"REMOVE"),"")</f>
        <v/>
      </c>
      <c r="I6807">
        <f>IF(E6807="Gmail",COUNTIF($E$2:E6807,"Gmail"),"")</f>
        <v/>
      </c>
      <c r="J6807">
        <f>IF(E6807="Outlook",COUNTIF($E$2:E6807,"Outlook"),"")</f>
        <v/>
      </c>
      <c r="K6807">
        <f>IF(E6807="Domain",COUNTIF($E$2:E6807,"Domain"),"")</f>
        <v/>
      </c>
    </row>
    <row r="6808">
      <c r="A6808" s="2" t="n"/>
      <c r="B6808">
        <f>LOWER(TRIM(A6808))</f>
        <v/>
      </c>
      <c r="C6808">
        <f>IF(B6808="","",IFERROR(INDEX('Bad Patterns'!$A$2:$A$120,MATCH(1,INDEX(--ISNUMBER(SEARCH('Bad Patterns'!$A$2:$A$120,B6808)),0),0)),""))</f>
        <v/>
      </c>
      <c r="D6808">
        <f>IF(B6808="","",IF(C6808&lt;&gt;"","REMOVE","KEEP"))</f>
        <v/>
      </c>
      <c r="E6808">
        <f>IF(D6808&lt;&gt;"KEEP","",IF(RIGHT(B6808,10)="@gmail.com","Gmail",IF(OR(RIGHT(B6808,12)="@outlook.com",RIGHT(B6808,12)="@hotmail.com",RIGHT(B6808,9)="@live.com"),"Outlook","Domain")))</f>
        <v/>
      </c>
      <c r="F6808">
        <f>IF(B6808="","",IFERROR(RIGHT(B6808,LEN(B6808)-FIND("@",B6808)),""))</f>
        <v/>
      </c>
      <c r="G6808">
        <f>IF(D6808="KEEP",COUNTIF($D$2:D6808,"KEEP"),"")</f>
        <v/>
      </c>
      <c r="H6808">
        <f>IF(D6808="REMOVE",COUNTIF($D$2:D6808,"REMOVE"),"")</f>
        <v/>
      </c>
      <c r="I6808">
        <f>IF(E6808="Gmail",COUNTIF($E$2:E6808,"Gmail"),"")</f>
        <v/>
      </c>
      <c r="J6808">
        <f>IF(E6808="Outlook",COUNTIF($E$2:E6808,"Outlook"),"")</f>
        <v/>
      </c>
      <c r="K6808">
        <f>IF(E6808="Domain",COUNTIF($E$2:E6808,"Domain"),"")</f>
        <v/>
      </c>
    </row>
    <row r="6809">
      <c r="A6809" s="2" t="n"/>
      <c r="B6809">
        <f>LOWER(TRIM(A6809))</f>
        <v/>
      </c>
      <c r="C6809">
        <f>IF(B6809="","",IFERROR(INDEX('Bad Patterns'!$A$2:$A$120,MATCH(1,INDEX(--ISNUMBER(SEARCH('Bad Patterns'!$A$2:$A$120,B6809)),0),0)),""))</f>
        <v/>
      </c>
      <c r="D6809">
        <f>IF(B6809="","",IF(C6809&lt;&gt;"","REMOVE","KEEP"))</f>
        <v/>
      </c>
      <c r="E6809">
        <f>IF(D6809&lt;&gt;"KEEP","",IF(RIGHT(B6809,10)="@gmail.com","Gmail",IF(OR(RIGHT(B6809,12)="@outlook.com",RIGHT(B6809,12)="@hotmail.com",RIGHT(B6809,9)="@live.com"),"Outlook","Domain")))</f>
        <v/>
      </c>
      <c r="F6809">
        <f>IF(B6809="","",IFERROR(RIGHT(B6809,LEN(B6809)-FIND("@",B6809)),""))</f>
        <v/>
      </c>
      <c r="G6809">
        <f>IF(D6809="KEEP",COUNTIF($D$2:D6809,"KEEP"),"")</f>
        <v/>
      </c>
      <c r="H6809">
        <f>IF(D6809="REMOVE",COUNTIF($D$2:D6809,"REMOVE"),"")</f>
        <v/>
      </c>
      <c r="I6809">
        <f>IF(E6809="Gmail",COUNTIF($E$2:E6809,"Gmail"),"")</f>
        <v/>
      </c>
      <c r="J6809">
        <f>IF(E6809="Outlook",COUNTIF($E$2:E6809,"Outlook"),"")</f>
        <v/>
      </c>
      <c r="K6809">
        <f>IF(E6809="Domain",COUNTIF($E$2:E6809,"Domain"),"")</f>
        <v/>
      </c>
    </row>
    <row r="6810">
      <c r="A6810" s="2" t="n"/>
      <c r="B6810">
        <f>LOWER(TRIM(A6810))</f>
        <v/>
      </c>
      <c r="C6810">
        <f>IF(B6810="","",IFERROR(INDEX('Bad Patterns'!$A$2:$A$120,MATCH(1,INDEX(--ISNUMBER(SEARCH('Bad Patterns'!$A$2:$A$120,B6810)),0),0)),""))</f>
        <v/>
      </c>
      <c r="D6810">
        <f>IF(B6810="","",IF(C6810&lt;&gt;"","REMOVE","KEEP"))</f>
        <v/>
      </c>
      <c r="E6810">
        <f>IF(D6810&lt;&gt;"KEEP","",IF(RIGHT(B6810,10)="@gmail.com","Gmail",IF(OR(RIGHT(B6810,12)="@outlook.com",RIGHT(B6810,12)="@hotmail.com",RIGHT(B6810,9)="@live.com"),"Outlook","Domain")))</f>
        <v/>
      </c>
      <c r="F6810">
        <f>IF(B6810="","",IFERROR(RIGHT(B6810,LEN(B6810)-FIND("@",B6810)),""))</f>
        <v/>
      </c>
      <c r="G6810">
        <f>IF(D6810="KEEP",COUNTIF($D$2:D6810,"KEEP"),"")</f>
        <v/>
      </c>
      <c r="H6810">
        <f>IF(D6810="REMOVE",COUNTIF($D$2:D6810,"REMOVE"),"")</f>
        <v/>
      </c>
      <c r="I6810">
        <f>IF(E6810="Gmail",COUNTIF($E$2:E6810,"Gmail"),"")</f>
        <v/>
      </c>
      <c r="J6810">
        <f>IF(E6810="Outlook",COUNTIF($E$2:E6810,"Outlook"),"")</f>
        <v/>
      </c>
      <c r="K6810">
        <f>IF(E6810="Domain",COUNTIF($E$2:E6810,"Domain"),"")</f>
        <v/>
      </c>
    </row>
    <row r="6811">
      <c r="A6811" s="2" t="n"/>
      <c r="B6811">
        <f>LOWER(TRIM(A6811))</f>
        <v/>
      </c>
      <c r="C6811">
        <f>IF(B6811="","",IFERROR(INDEX('Bad Patterns'!$A$2:$A$120,MATCH(1,INDEX(--ISNUMBER(SEARCH('Bad Patterns'!$A$2:$A$120,B6811)),0),0)),""))</f>
        <v/>
      </c>
      <c r="D6811">
        <f>IF(B6811="","",IF(C6811&lt;&gt;"","REMOVE","KEEP"))</f>
        <v/>
      </c>
      <c r="E6811">
        <f>IF(D6811&lt;&gt;"KEEP","",IF(RIGHT(B6811,10)="@gmail.com","Gmail",IF(OR(RIGHT(B6811,12)="@outlook.com",RIGHT(B6811,12)="@hotmail.com",RIGHT(B6811,9)="@live.com"),"Outlook","Domain")))</f>
        <v/>
      </c>
      <c r="F6811">
        <f>IF(B6811="","",IFERROR(RIGHT(B6811,LEN(B6811)-FIND("@",B6811)),""))</f>
        <v/>
      </c>
      <c r="G6811">
        <f>IF(D6811="KEEP",COUNTIF($D$2:D6811,"KEEP"),"")</f>
        <v/>
      </c>
      <c r="H6811">
        <f>IF(D6811="REMOVE",COUNTIF($D$2:D6811,"REMOVE"),"")</f>
        <v/>
      </c>
      <c r="I6811">
        <f>IF(E6811="Gmail",COUNTIF($E$2:E6811,"Gmail"),"")</f>
        <v/>
      </c>
      <c r="J6811">
        <f>IF(E6811="Outlook",COUNTIF($E$2:E6811,"Outlook"),"")</f>
        <v/>
      </c>
      <c r="K6811">
        <f>IF(E6811="Domain",COUNTIF($E$2:E6811,"Domain"),"")</f>
        <v/>
      </c>
    </row>
    <row r="6812">
      <c r="A6812" s="2" t="n"/>
      <c r="B6812">
        <f>LOWER(TRIM(A6812))</f>
        <v/>
      </c>
      <c r="C6812">
        <f>IF(B6812="","",IFERROR(INDEX('Bad Patterns'!$A$2:$A$120,MATCH(1,INDEX(--ISNUMBER(SEARCH('Bad Patterns'!$A$2:$A$120,B6812)),0),0)),""))</f>
        <v/>
      </c>
      <c r="D6812">
        <f>IF(B6812="","",IF(C6812&lt;&gt;"","REMOVE","KEEP"))</f>
        <v/>
      </c>
      <c r="E6812">
        <f>IF(D6812&lt;&gt;"KEEP","",IF(RIGHT(B6812,10)="@gmail.com","Gmail",IF(OR(RIGHT(B6812,12)="@outlook.com",RIGHT(B6812,12)="@hotmail.com",RIGHT(B6812,9)="@live.com"),"Outlook","Domain")))</f>
        <v/>
      </c>
      <c r="F6812">
        <f>IF(B6812="","",IFERROR(RIGHT(B6812,LEN(B6812)-FIND("@",B6812)),""))</f>
        <v/>
      </c>
      <c r="G6812">
        <f>IF(D6812="KEEP",COUNTIF($D$2:D6812,"KEEP"),"")</f>
        <v/>
      </c>
      <c r="H6812">
        <f>IF(D6812="REMOVE",COUNTIF($D$2:D6812,"REMOVE"),"")</f>
        <v/>
      </c>
      <c r="I6812">
        <f>IF(E6812="Gmail",COUNTIF($E$2:E6812,"Gmail"),"")</f>
        <v/>
      </c>
      <c r="J6812">
        <f>IF(E6812="Outlook",COUNTIF($E$2:E6812,"Outlook"),"")</f>
        <v/>
      </c>
      <c r="K6812">
        <f>IF(E6812="Domain",COUNTIF($E$2:E6812,"Domain"),"")</f>
        <v/>
      </c>
    </row>
    <row r="6813">
      <c r="A6813" s="2" t="n"/>
      <c r="B6813">
        <f>LOWER(TRIM(A6813))</f>
        <v/>
      </c>
      <c r="C6813">
        <f>IF(B6813="","",IFERROR(INDEX('Bad Patterns'!$A$2:$A$120,MATCH(1,INDEX(--ISNUMBER(SEARCH('Bad Patterns'!$A$2:$A$120,B6813)),0),0)),""))</f>
        <v/>
      </c>
      <c r="D6813">
        <f>IF(B6813="","",IF(C6813&lt;&gt;"","REMOVE","KEEP"))</f>
        <v/>
      </c>
      <c r="E6813">
        <f>IF(D6813&lt;&gt;"KEEP","",IF(RIGHT(B6813,10)="@gmail.com","Gmail",IF(OR(RIGHT(B6813,12)="@outlook.com",RIGHT(B6813,12)="@hotmail.com",RIGHT(B6813,9)="@live.com"),"Outlook","Domain")))</f>
        <v/>
      </c>
      <c r="F6813">
        <f>IF(B6813="","",IFERROR(RIGHT(B6813,LEN(B6813)-FIND("@",B6813)),""))</f>
        <v/>
      </c>
      <c r="G6813">
        <f>IF(D6813="KEEP",COUNTIF($D$2:D6813,"KEEP"),"")</f>
        <v/>
      </c>
      <c r="H6813">
        <f>IF(D6813="REMOVE",COUNTIF($D$2:D6813,"REMOVE"),"")</f>
        <v/>
      </c>
      <c r="I6813">
        <f>IF(E6813="Gmail",COUNTIF($E$2:E6813,"Gmail"),"")</f>
        <v/>
      </c>
      <c r="J6813">
        <f>IF(E6813="Outlook",COUNTIF($E$2:E6813,"Outlook"),"")</f>
        <v/>
      </c>
      <c r="K6813">
        <f>IF(E6813="Domain",COUNTIF($E$2:E6813,"Domain"),"")</f>
        <v/>
      </c>
    </row>
    <row r="6814">
      <c r="A6814" s="2" t="n"/>
      <c r="B6814">
        <f>LOWER(TRIM(A6814))</f>
        <v/>
      </c>
      <c r="C6814">
        <f>IF(B6814="","",IFERROR(INDEX('Bad Patterns'!$A$2:$A$120,MATCH(1,INDEX(--ISNUMBER(SEARCH('Bad Patterns'!$A$2:$A$120,B6814)),0),0)),""))</f>
        <v/>
      </c>
      <c r="D6814">
        <f>IF(B6814="","",IF(C6814&lt;&gt;"","REMOVE","KEEP"))</f>
        <v/>
      </c>
      <c r="E6814">
        <f>IF(D6814&lt;&gt;"KEEP","",IF(RIGHT(B6814,10)="@gmail.com","Gmail",IF(OR(RIGHT(B6814,12)="@outlook.com",RIGHT(B6814,12)="@hotmail.com",RIGHT(B6814,9)="@live.com"),"Outlook","Domain")))</f>
        <v/>
      </c>
      <c r="F6814">
        <f>IF(B6814="","",IFERROR(RIGHT(B6814,LEN(B6814)-FIND("@",B6814)),""))</f>
        <v/>
      </c>
      <c r="G6814">
        <f>IF(D6814="KEEP",COUNTIF($D$2:D6814,"KEEP"),"")</f>
        <v/>
      </c>
      <c r="H6814">
        <f>IF(D6814="REMOVE",COUNTIF($D$2:D6814,"REMOVE"),"")</f>
        <v/>
      </c>
      <c r="I6814">
        <f>IF(E6814="Gmail",COUNTIF($E$2:E6814,"Gmail"),"")</f>
        <v/>
      </c>
      <c r="J6814">
        <f>IF(E6814="Outlook",COUNTIF($E$2:E6814,"Outlook"),"")</f>
        <v/>
      </c>
      <c r="K6814">
        <f>IF(E6814="Domain",COUNTIF($E$2:E6814,"Domain"),"")</f>
        <v/>
      </c>
    </row>
    <row r="6815">
      <c r="A6815" s="2" t="n"/>
      <c r="B6815">
        <f>LOWER(TRIM(A6815))</f>
        <v/>
      </c>
      <c r="C6815">
        <f>IF(B6815="","",IFERROR(INDEX('Bad Patterns'!$A$2:$A$120,MATCH(1,INDEX(--ISNUMBER(SEARCH('Bad Patterns'!$A$2:$A$120,B6815)),0),0)),""))</f>
        <v/>
      </c>
      <c r="D6815">
        <f>IF(B6815="","",IF(C6815&lt;&gt;"","REMOVE","KEEP"))</f>
        <v/>
      </c>
      <c r="E6815">
        <f>IF(D6815&lt;&gt;"KEEP","",IF(RIGHT(B6815,10)="@gmail.com","Gmail",IF(OR(RIGHT(B6815,12)="@outlook.com",RIGHT(B6815,12)="@hotmail.com",RIGHT(B6815,9)="@live.com"),"Outlook","Domain")))</f>
        <v/>
      </c>
      <c r="F6815">
        <f>IF(B6815="","",IFERROR(RIGHT(B6815,LEN(B6815)-FIND("@",B6815)),""))</f>
        <v/>
      </c>
      <c r="G6815">
        <f>IF(D6815="KEEP",COUNTIF($D$2:D6815,"KEEP"),"")</f>
        <v/>
      </c>
      <c r="H6815">
        <f>IF(D6815="REMOVE",COUNTIF($D$2:D6815,"REMOVE"),"")</f>
        <v/>
      </c>
      <c r="I6815">
        <f>IF(E6815="Gmail",COUNTIF($E$2:E6815,"Gmail"),"")</f>
        <v/>
      </c>
      <c r="J6815">
        <f>IF(E6815="Outlook",COUNTIF($E$2:E6815,"Outlook"),"")</f>
        <v/>
      </c>
      <c r="K6815">
        <f>IF(E6815="Domain",COUNTIF($E$2:E6815,"Domain"),"")</f>
        <v/>
      </c>
    </row>
    <row r="6816">
      <c r="A6816" s="2" t="n"/>
      <c r="B6816">
        <f>LOWER(TRIM(A6816))</f>
        <v/>
      </c>
      <c r="C6816">
        <f>IF(B6816="","",IFERROR(INDEX('Bad Patterns'!$A$2:$A$120,MATCH(1,INDEX(--ISNUMBER(SEARCH('Bad Patterns'!$A$2:$A$120,B6816)),0),0)),""))</f>
        <v/>
      </c>
      <c r="D6816">
        <f>IF(B6816="","",IF(C6816&lt;&gt;"","REMOVE","KEEP"))</f>
        <v/>
      </c>
      <c r="E6816">
        <f>IF(D6816&lt;&gt;"KEEP","",IF(RIGHT(B6816,10)="@gmail.com","Gmail",IF(OR(RIGHT(B6816,12)="@outlook.com",RIGHT(B6816,12)="@hotmail.com",RIGHT(B6816,9)="@live.com"),"Outlook","Domain")))</f>
        <v/>
      </c>
      <c r="F6816">
        <f>IF(B6816="","",IFERROR(RIGHT(B6816,LEN(B6816)-FIND("@",B6816)),""))</f>
        <v/>
      </c>
      <c r="G6816">
        <f>IF(D6816="KEEP",COUNTIF($D$2:D6816,"KEEP"),"")</f>
        <v/>
      </c>
      <c r="H6816">
        <f>IF(D6816="REMOVE",COUNTIF($D$2:D6816,"REMOVE"),"")</f>
        <v/>
      </c>
      <c r="I6816">
        <f>IF(E6816="Gmail",COUNTIF($E$2:E6816,"Gmail"),"")</f>
        <v/>
      </c>
      <c r="J6816">
        <f>IF(E6816="Outlook",COUNTIF($E$2:E6816,"Outlook"),"")</f>
        <v/>
      </c>
      <c r="K6816">
        <f>IF(E6816="Domain",COUNTIF($E$2:E6816,"Domain"),"")</f>
        <v/>
      </c>
    </row>
    <row r="6817">
      <c r="A6817" s="2" t="n"/>
      <c r="B6817">
        <f>LOWER(TRIM(A6817))</f>
        <v/>
      </c>
      <c r="C6817">
        <f>IF(B6817="","",IFERROR(INDEX('Bad Patterns'!$A$2:$A$120,MATCH(1,INDEX(--ISNUMBER(SEARCH('Bad Patterns'!$A$2:$A$120,B6817)),0),0)),""))</f>
        <v/>
      </c>
      <c r="D6817">
        <f>IF(B6817="","",IF(C6817&lt;&gt;"","REMOVE","KEEP"))</f>
        <v/>
      </c>
      <c r="E6817">
        <f>IF(D6817&lt;&gt;"KEEP","",IF(RIGHT(B6817,10)="@gmail.com","Gmail",IF(OR(RIGHT(B6817,12)="@outlook.com",RIGHT(B6817,12)="@hotmail.com",RIGHT(B6817,9)="@live.com"),"Outlook","Domain")))</f>
        <v/>
      </c>
      <c r="F6817">
        <f>IF(B6817="","",IFERROR(RIGHT(B6817,LEN(B6817)-FIND("@",B6817)),""))</f>
        <v/>
      </c>
      <c r="G6817">
        <f>IF(D6817="KEEP",COUNTIF($D$2:D6817,"KEEP"),"")</f>
        <v/>
      </c>
      <c r="H6817">
        <f>IF(D6817="REMOVE",COUNTIF($D$2:D6817,"REMOVE"),"")</f>
        <v/>
      </c>
      <c r="I6817">
        <f>IF(E6817="Gmail",COUNTIF($E$2:E6817,"Gmail"),"")</f>
        <v/>
      </c>
      <c r="J6817">
        <f>IF(E6817="Outlook",COUNTIF($E$2:E6817,"Outlook"),"")</f>
        <v/>
      </c>
      <c r="K6817">
        <f>IF(E6817="Domain",COUNTIF($E$2:E6817,"Domain"),"")</f>
        <v/>
      </c>
    </row>
    <row r="6818">
      <c r="A6818" s="2" t="n"/>
      <c r="B6818">
        <f>LOWER(TRIM(A6818))</f>
        <v/>
      </c>
      <c r="C6818">
        <f>IF(B6818="","",IFERROR(INDEX('Bad Patterns'!$A$2:$A$120,MATCH(1,INDEX(--ISNUMBER(SEARCH('Bad Patterns'!$A$2:$A$120,B6818)),0),0)),""))</f>
        <v/>
      </c>
      <c r="D6818">
        <f>IF(B6818="","",IF(C6818&lt;&gt;"","REMOVE","KEEP"))</f>
        <v/>
      </c>
      <c r="E6818">
        <f>IF(D6818&lt;&gt;"KEEP","",IF(RIGHT(B6818,10)="@gmail.com","Gmail",IF(OR(RIGHT(B6818,12)="@outlook.com",RIGHT(B6818,12)="@hotmail.com",RIGHT(B6818,9)="@live.com"),"Outlook","Domain")))</f>
        <v/>
      </c>
      <c r="F6818">
        <f>IF(B6818="","",IFERROR(RIGHT(B6818,LEN(B6818)-FIND("@",B6818)),""))</f>
        <v/>
      </c>
      <c r="G6818">
        <f>IF(D6818="KEEP",COUNTIF($D$2:D6818,"KEEP"),"")</f>
        <v/>
      </c>
      <c r="H6818">
        <f>IF(D6818="REMOVE",COUNTIF($D$2:D6818,"REMOVE"),"")</f>
        <v/>
      </c>
      <c r="I6818">
        <f>IF(E6818="Gmail",COUNTIF($E$2:E6818,"Gmail"),"")</f>
        <v/>
      </c>
      <c r="J6818">
        <f>IF(E6818="Outlook",COUNTIF($E$2:E6818,"Outlook"),"")</f>
        <v/>
      </c>
      <c r="K6818">
        <f>IF(E6818="Domain",COUNTIF($E$2:E6818,"Domain"),"")</f>
        <v/>
      </c>
    </row>
    <row r="6819">
      <c r="A6819" s="2" t="n"/>
      <c r="B6819">
        <f>LOWER(TRIM(A6819))</f>
        <v/>
      </c>
      <c r="C6819">
        <f>IF(B6819="","",IFERROR(INDEX('Bad Patterns'!$A$2:$A$120,MATCH(1,INDEX(--ISNUMBER(SEARCH('Bad Patterns'!$A$2:$A$120,B6819)),0),0)),""))</f>
        <v/>
      </c>
      <c r="D6819">
        <f>IF(B6819="","",IF(C6819&lt;&gt;"","REMOVE","KEEP"))</f>
        <v/>
      </c>
      <c r="E6819">
        <f>IF(D6819&lt;&gt;"KEEP","",IF(RIGHT(B6819,10)="@gmail.com","Gmail",IF(OR(RIGHT(B6819,12)="@outlook.com",RIGHT(B6819,12)="@hotmail.com",RIGHT(B6819,9)="@live.com"),"Outlook","Domain")))</f>
        <v/>
      </c>
      <c r="F6819">
        <f>IF(B6819="","",IFERROR(RIGHT(B6819,LEN(B6819)-FIND("@",B6819)),""))</f>
        <v/>
      </c>
      <c r="G6819">
        <f>IF(D6819="KEEP",COUNTIF($D$2:D6819,"KEEP"),"")</f>
        <v/>
      </c>
      <c r="H6819">
        <f>IF(D6819="REMOVE",COUNTIF($D$2:D6819,"REMOVE"),"")</f>
        <v/>
      </c>
      <c r="I6819">
        <f>IF(E6819="Gmail",COUNTIF($E$2:E6819,"Gmail"),"")</f>
        <v/>
      </c>
      <c r="J6819">
        <f>IF(E6819="Outlook",COUNTIF($E$2:E6819,"Outlook"),"")</f>
        <v/>
      </c>
      <c r="K6819">
        <f>IF(E6819="Domain",COUNTIF($E$2:E6819,"Domain"),"")</f>
        <v/>
      </c>
    </row>
    <row r="6820">
      <c r="A6820" s="2" t="n"/>
      <c r="B6820">
        <f>LOWER(TRIM(A6820))</f>
        <v/>
      </c>
      <c r="C6820">
        <f>IF(B6820="","",IFERROR(INDEX('Bad Patterns'!$A$2:$A$120,MATCH(1,INDEX(--ISNUMBER(SEARCH('Bad Patterns'!$A$2:$A$120,B6820)),0),0)),""))</f>
        <v/>
      </c>
      <c r="D6820">
        <f>IF(B6820="","",IF(C6820&lt;&gt;"","REMOVE","KEEP"))</f>
        <v/>
      </c>
      <c r="E6820">
        <f>IF(D6820&lt;&gt;"KEEP","",IF(RIGHT(B6820,10)="@gmail.com","Gmail",IF(OR(RIGHT(B6820,12)="@outlook.com",RIGHT(B6820,12)="@hotmail.com",RIGHT(B6820,9)="@live.com"),"Outlook","Domain")))</f>
        <v/>
      </c>
      <c r="F6820">
        <f>IF(B6820="","",IFERROR(RIGHT(B6820,LEN(B6820)-FIND("@",B6820)),""))</f>
        <v/>
      </c>
      <c r="G6820">
        <f>IF(D6820="KEEP",COUNTIF($D$2:D6820,"KEEP"),"")</f>
        <v/>
      </c>
      <c r="H6820">
        <f>IF(D6820="REMOVE",COUNTIF($D$2:D6820,"REMOVE"),"")</f>
        <v/>
      </c>
      <c r="I6820">
        <f>IF(E6820="Gmail",COUNTIF($E$2:E6820,"Gmail"),"")</f>
        <v/>
      </c>
      <c r="J6820">
        <f>IF(E6820="Outlook",COUNTIF($E$2:E6820,"Outlook"),"")</f>
        <v/>
      </c>
      <c r="K6820">
        <f>IF(E6820="Domain",COUNTIF($E$2:E6820,"Domain"),"")</f>
        <v/>
      </c>
    </row>
    <row r="6821">
      <c r="A6821" s="2" t="n"/>
      <c r="B6821">
        <f>LOWER(TRIM(A6821))</f>
        <v/>
      </c>
      <c r="C6821">
        <f>IF(B6821="","",IFERROR(INDEX('Bad Patterns'!$A$2:$A$120,MATCH(1,INDEX(--ISNUMBER(SEARCH('Bad Patterns'!$A$2:$A$120,B6821)),0),0)),""))</f>
        <v/>
      </c>
      <c r="D6821">
        <f>IF(B6821="","",IF(C6821&lt;&gt;"","REMOVE","KEEP"))</f>
        <v/>
      </c>
      <c r="E6821">
        <f>IF(D6821&lt;&gt;"KEEP","",IF(RIGHT(B6821,10)="@gmail.com","Gmail",IF(OR(RIGHT(B6821,12)="@outlook.com",RIGHT(B6821,12)="@hotmail.com",RIGHT(B6821,9)="@live.com"),"Outlook","Domain")))</f>
        <v/>
      </c>
      <c r="F6821">
        <f>IF(B6821="","",IFERROR(RIGHT(B6821,LEN(B6821)-FIND("@",B6821)),""))</f>
        <v/>
      </c>
      <c r="G6821">
        <f>IF(D6821="KEEP",COUNTIF($D$2:D6821,"KEEP"),"")</f>
        <v/>
      </c>
      <c r="H6821">
        <f>IF(D6821="REMOVE",COUNTIF($D$2:D6821,"REMOVE"),"")</f>
        <v/>
      </c>
      <c r="I6821">
        <f>IF(E6821="Gmail",COUNTIF($E$2:E6821,"Gmail"),"")</f>
        <v/>
      </c>
      <c r="J6821">
        <f>IF(E6821="Outlook",COUNTIF($E$2:E6821,"Outlook"),"")</f>
        <v/>
      </c>
      <c r="K6821">
        <f>IF(E6821="Domain",COUNTIF($E$2:E6821,"Domain"),"")</f>
        <v/>
      </c>
    </row>
    <row r="6822">
      <c r="A6822" s="2" t="n"/>
      <c r="B6822">
        <f>LOWER(TRIM(A6822))</f>
        <v/>
      </c>
      <c r="C6822">
        <f>IF(B6822="","",IFERROR(INDEX('Bad Patterns'!$A$2:$A$120,MATCH(1,INDEX(--ISNUMBER(SEARCH('Bad Patterns'!$A$2:$A$120,B6822)),0),0)),""))</f>
        <v/>
      </c>
      <c r="D6822">
        <f>IF(B6822="","",IF(C6822&lt;&gt;"","REMOVE","KEEP"))</f>
        <v/>
      </c>
      <c r="E6822">
        <f>IF(D6822&lt;&gt;"KEEP","",IF(RIGHT(B6822,10)="@gmail.com","Gmail",IF(OR(RIGHT(B6822,12)="@outlook.com",RIGHT(B6822,12)="@hotmail.com",RIGHT(B6822,9)="@live.com"),"Outlook","Domain")))</f>
        <v/>
      </c>
      <c r="F6822">
        <f>IF(B6822="","",IFERROR(RIGHT(B6822,LEN(B6822)-FIND("@",B6822)),""))</f>
        <v/>
      </c>
      <c r="G6822">
        <f>IF(D6822="KEEP",COUNTIF($D$2:D6822,"KEEP"),"")</f>
        <v/>
      </c>
      <c r="H6822">
        <f>IF(D6822="REMOVE",COUNTIF($D$2:D6822,"REMOVE"),"")</f>
        <v/>
      </c>
      <c r="I6822">
        <f>IF(E6822="Gmail",COUNTIF($E$2:E6822,"Gmail"),"")</f>
        <v/>
      </c>
      <c r="J6822">
        <f>IF(E6822="Outlook",COUNTIF($E$2:E6822,"Outlook"),"")</f>
        <v/>
      </c>
      <c r="K6822">
        <f>IF(E6822="Domain",COUNTIF($E$2:E6822,"Domain"),"")</f>
        <v/>
      </c>
    </row>
    <row r="6823">
      <c r="A6823" s="2" t="n"/>
      <c r="B6823">
        <f>LOWER(TRIM(A6823))</f>
        <v/>
      </c>
      <c r="C6823">
        <f>IF(B6823="","",IFERROR(INDEX('Bad Patterns'!$A$2:$A$120,MATCH(1,INDEX(--ISNUMBER(SEARCH('Bad Patterns'!$A$2:$A$120,B6823)),0),0)),""))</f>
        <v/>
      </c>
      <c r="D6823">
        <f>IF(B6823="","",IF(C6823&lt;&gt;"","REMOVE","KEEP"))</f>
        <v/>
      </c>
      <c r="E6823">
        <f>IF(D6823&lt;&gt;"KEEP","",IF(RIGHT(B6823,10)="@gmail.com","Gmail",IF(OR(RIGHT(B6823,12)="@outlook.com",RIGHT(B6823,12)="@hotmail.com",RIGHT(B6823,9)="@live.com"),"Outlook","Domain")))</f>
        <v/>
      </c>
      <c r="F6823">
        <f>IF(B6823="","",IFERROR(RIGHT(B6823,LEN(B6823)-FIND("@",B6823)),""))</f>
        <v/>
      </c>
      <c r="G6823">
        <f>IF(D6823="KEEP",COUNTIF($D$2:D6823,"KEEP"),"")</f>
        <v/>
      </c>
      <c r="H6823">
        <f>IF(D6823="REMOVE",COUNTIF($D$2:D6823,"REMOVE"),"")</f>
        <v/>
      </c>
      <c r="I6823">
        <f>IF(E6823="Gmail",COUNTIF($E$2:E6823,"Gmail"),"")</f>
        <v/>
      </c>
      <c r="J6823">
        <f>IF(E6823="Outlook",COUNTIF($E$2:E6823,"Outlook"),"")</f>
        <v/>
      </c>
      <c r="K6823">
        <f>IF(E6823="Domain",COUNTIF($E$2:E6823,"Domain"),"")</f>
        <v/>
      </c>
    </row>
    <row r="6824">
      <c r="A6824" s="2" t="n"/>
      <c r="B6824">
        <f>LOWER(TRIM(A6824))</f>
        <v/>
      </c>
      <c r="C6824">
        <f>IF(B6824="","",IFERROR(INDEX('Bad Patterns'!$A$2:$A$120,MATCH(1,INDEX(--ISNUMBER(SEARCH('Bad Patterns'!$A$2:$A$120,B6824)),0),0)),""))</f>
        <v/>
      </c>
      <c r="D6824">
        <f>IF(B6824="","",IF(C6824&lt;&gt;"","REMOVE","KEEP"))</f>
        <v/>
      </c>
      <c r="E6824">
        <f>IF(D6824&lt;&gt;"KEEP","",IF(RIGHT(B6824,10)="@gmail.com","Gmail",IF(OR(RIGHT(B6824,12)="@outlook.com",RIGHT(B6824,12)="@hotmail.com",RIGHT(B6824,9)="@live.com"),"Outlook","Domain")))</f>
        <v/>
      </c>
      <c r="F6824">
        <f>IF(B6824="","",IFERROR(RIGHT(B6824,LEN(B6824)-FIND("@",B6824)),""))</f>
        <v/>
      </c>
      <c r="G6824">
        <f>IF(D6824="KEEP",COUNTIF($D$2:D6824,"KEEP"),"")</f>
        <v/>
      </c>
      <c r="H6824">
        <f>IF(D6824="REMOVE",COUNTIF($D$2:D6824,"REMOVE"),"")</f>
        <v/>
      </c>
      <c r="I6824">
        <f>IF(E6824="Gmail",COUNTIF($E$2:E6824,"Gmail"),"")</f>
        <v/>
      </c>
      <c r="J6824">
        <f>IF(E6824="Outlook",COUNTIF($E$2:E6824,"Outlook"),"")</f>
        <v/>
      </c>
      <c r="K6824">
        <f>IF(E6824="Domain",COUNTIF($E$2:E6824,"Domain"),"")</f>
        <v/>
      </c>
    </row>
    <row r="6825">
      <c r="A6825" s="2" t="n"/>
      <c r="B6825">
        <f>LOWER(TRIM(A6825))</f>
        <v/>
      </c>
      <c r="C6825">
        <f>IF(B6825="","",IFERROR(INDEX('Bad Patterns'!$A$2:$A$120,MATCH(1,INDEX(--ISNUMBER(SEARCH('Bad Patterns'!$A$2:$A$120,B6825)),0),0)),""))</f>
        <v/>
      </c>
      <c r="D6825">
        <f>IF(B6825="","",IF(C6825&lt;&gt;"","REMOVE","KEEP"))</f>
        <v/>
      </c>
      <c r="E6825">
        <f>IF(D6825&lt;&gt;"KEEP","",IF(RIGHT(B6825,10)="@gmail.com","Gmail",IF(OR(RIGHT(B6825,12)="@outlook.com",RIGHT(B6825,12)="@hotmail.com",RIGHT(B6825,9)="@live.com"),"Outlook","Domain")))</f>
        <v/>
      </c>
      <c r="F6825">
        <f>IF(B6825="","",IFERROR(RIGHT(B6825,LEN(B6825)-FIND("@",B6825)),""))</f>
        <v/>
      </c>
      <c r="G6825">
        <f>IF(D6825="KEEP",COUNTIF($D$2:D6825,"KEEP"),"")</f>
        <v/>
      </c>
      <c r="H6825">
        <f>IF(D6825="REMOVE",COUNTIF($D$2:D6825,"REMOVE"),"")</f>
        <v/>
      </c>
      <c r="I6825">
        <f>IF(E6825="Gmail",COUNTIF($E$2:E6825,"Gmail"),"")</f>
        <v/>
      </c>
      <c r="J6825">
        <f>IF(E6825="Outlook",COUNTIF($E$2:E6825,"Outlook"),"")</f>
        <v/>
      </c>
      <c r="K6825">
        <f>IF(E6825="Domain",COUNTIF($E$2:E6825,"Domain"),"")</f>
        <v/>
      </c>
    </row>
    <row r="6826">
      <c r="A6826" s="2" t="n"/>
      <c r="B6826">
        <f>LOWER(TRIM(A6826))</f>
        <v/>
      </c>
      <c r="C6826">
        <f>IF(B6826="","",IFERROR(INDEX('Bad Patterns'!$A$2:$A$120,MATCH(1,INDEX(--ISNUMBER(SEARCH('Bad Patterns'!$A$2:$A$120,B6826)),0),0)),""))</f>
        <v/>
      </c>
      <c r="D6826">
        <f>IF(B6826="","",IF(C6826&lt;&gt;"","REMOVE","KEEP"))</f>
        <v/>
      </c>
      <c r="E6826">
        <f>IF(D6826&lt;&gt;"KEEP","",IF(RIGHT(B6826,10)="@gmail.com","Gmail",IF(OR(RIGHT(B6826,12)="@outlook.com",RIGHT(B6826,12)="@hotmail.com",RIGHT(B6826,9)="@live.com"),"Outlook","Domain")))</f>
        <v/>
      </c>
      <c r="F6826">
        <f>IF(B6826="","",IFERROR(RIGHT(B6826,LEN(B6826)-FIND("@",B6826)),""))</f>
        <v/>
      </c>
      <c r="G6826">
        <f>IF(D6826="KEEP",COUNTIF($D$2:D6826,"KEEP"),"")</f>
        <v/>
      </c>
      <c r="H6826">
        <f>IF(D6826="REMOVE",COUNTIF($D$2:D6826,"REMOVE"),"")</f>
        <v/>
      </c>
      <c r="I6826">
        <f>IF(E6826="Gmail",COUNTIF($E$2:E6826,"Gmail"),"")</f>
        <v/>
      </c>
      <c r="J6826">
        <f>IF(E6826="Outlook",COUNTIF($E$2:E6826,"Outlook"),"")</f>
        <v/>
      </c>
      <c r="K6826">
        <f>IF(E6826="Domain",COUNTIF($E$2:E6826,"Domain"),"")</f>
        <v/>
      </c>
    </row>
    <row r="6827">
      <c r="A6827" s="2" t="n"/>
      <c r="B6827">
        <f>LOWER(TRIM(A6827))</f>
        <v/>
      </c>
      <c r="C6827">
        <f>IF(B6827="","",IFERROR(INDEX('Bad Patterns'!$A$2:$A$120,MATCH(1,INDEX(--ISNUMBER(SEARCH('Bad Patterns'!$A$2:$A$120,B6827)),0),0)),""))</f>
        <v/>
      </c>
      <c r="D6827">
        <f>IF(B6827="","",IF(C6827&lt;&gt;"","REMOVE","KEEP"))</f>
        <v/>
      </c>
      <c r="E6827">
        <f>IF(D6827&lt;&gt;"KEEP","",IF(RIGHT(B6827,10)="@gmail.com","Gmail",IF(OR(RIGHT(B6827,12)="@outlook.com",RIGHT(B6827,12)="@hotmail.com",RIGHT(B6827,9)="@live.com"),"Outlook","Domain")))</f>
        <v/>
      </c>
      <c r="F6827">
        <f>IF(B6827="","",IFERROR(RIGHT(B6827,LEN(B6827)-FIND("@",B6827)),""))</f>
        <v/>
      </c>
      <c r="G6827">
        <f>IF(D6827="KEEP",COUNTIF($D$2:D6827,"KEEP"),"")</f>
        <v/>
      </c>
      <c r="H6827">
        <f>IF(D6827="REMOVE",COUNTIF($D$2:D6827,"REMOVE"),"")</f>
        <v/>
      </c>
      <c r="I6827">
        <f>IF(E6827="Gmail",COUNTIF($E$2:E6827,"Gmail"),"")</f>
        <v/>
      </c>
      <c r="J6827">
        <f>IF(E6827="Outlook",COUNTIF($E$2:E6827,"Outlook"),"")</f>
        <v/>
      </c>
      <c r="K6827">
        <f>IF(E6827="Domain",COUNTIF($E$2:E6827,"Domain"),"")</f>
        <v/>
      </c>
    </row>
    <row r="6828">
      <c r="A6828" s="2" t="n"/>
      <c r="B6828">
        <f>LOWER(TRIM(A6828))</f>
        <v/>
      </c>
      <c r="C6828">
        <f>IF(B6828="","",IFERROR(INDEX('Bad Patterns'!$A$2:$A$120,MATCH(1,INDEX(--ISNUMBER(SEARCH('Bad Patterns'!$A$2:$A$120,B6828)),0),0)),""))</f>
        <v/>
      </c>
      <c r="D6828">
        <f>IF(B6828="","",IF(C6828&lt;&gt;"","REMOVE","KEEP"))</f>
        <v/>
      </c>
      <c r="E6828">
        <f>IF(D6828&lt;&gt;"KEEP","",IF(RIGHT(B6828,10)="@gmail.com","Gmail",IF(OR(RIGHT(B6828,12)="@outlook.com",RIGHT(B6828,12)="@hotmail.com",RIGHT(B6828,9)="@live.com"),"Outlook","Domain")))</f>
        <v/>
      </c>
      <c r="F6828">
        <f>IF(B6828="","",IFERROR(RIGHT(B6828,LEN(B6828)-FIND("@",B6828)),""))</f>
        <v/>
      </c>
      <c r="G6828">
        <f>IF(D6828="KEEP",COUNTIF($D$2:D6828,"KEEP"),"")</f>
        <v/>
      </c>
      <c r="H6828">
        <f>IF(D6828="REMOVE",COUNTIF($D$2:D6828,"REMOVE"),"")</f>
        <v/>
      </c>
      <c r="I6828">
        <f>IF(E6828="Gmail",COUNTIF($E$2:E6828,"Gmail"),"")</f>
        <v/>
      </c>
      <c r="J6828">
        <f>IF(E6828="Outlook",COUNTIF($E$2:E6828,"Outlook"),"")</f>
        <v/>
      </c>
      <c r="K6828">
        <f>IF(E6828="Domain",COUNTIF($E$2:E6828,"Domain"),"")</f>
        <v/>
      </c>
    </row>
    <row r="6829">
      <c r="A6829" s="2" t="n"/>
      <c r="B6829">
        <f>LOWER(TRIM(A6829))</f>
        <v/>
      </c>
      <c r="C6829">
        <f>IF(B6829="","",IFERROR(INDEX('Bad Patterns'!$A$2:$A$120,MATCH(1,INDEX(--ISNUMBER(SEARCH('Bad Patterns'!$A$2:$A$120,B6829)),0),0)),""))</f>
        <v/>
      </c>
      <c r="D6829">
        <f>IF(B6829="","",IF(C6829&lt;&gt;"","REMOVE","KEEP"))</f>
        <v/>
      </c>
      <c r="E6829">
        <f>IF(D6829&lt;&gt;"KEEP","",IF(RIGHT(B6829,10)="@gmail.com","Gmail",IF(OR(RIGHT(B6829,12)="@outlook.com",RIGHT(B6829,12)="@hotmail.com",RIGHT(B6829,9)="@live.com"),"Outlook","Domain")))</f>
        <v/>
      </c>
      <c r="F6829">
        <f>IF(B6829="","",IFERROR(RIGHT(B6829,LEN(B6829)-FIND("@",B6829)),""))</f>
        <v/>
      </c>
      <c r="G6829">
        <f>IF(D6829="KEEP",COUNTIF($D$2:D6829,"KEEP"),"")</f>
        <v/>
      </c>
      <c r="H6829">
        <f>IF(D6829="REMOVE",COUNTIF($D$2:D6829,"REMOVE"),"")</f>
        <v/>
      </c>
      <c r="I6829">
        <f>IF(E6829="Gmail",COUNTIF($E$2:E6829,"Gmail"),"")</f>
        <v/>
      </c>
      <c r="J6829">
        <f>IF(E6829="Outlook",COUNTIF($E$2:E6829,"Outlook"),"")</f>
        <v/>
      </c>
      <c r="K6829">
        <f>IF(E6829="Domain",COUNTIF($E$2:E6829,"Domain"),"")</f>
        <v/>
      </c>
    </row>
    <row r="6830">
      <c r="A6830" s="2" t="n"/>
      <c r="B6830">
        <f>LOWER(TRIM(A6830))</f>
        <v/>
      </c>
      <c r="C6830">
        <f>IF(B6830="","",IFERROR(INDEX('Bad Patterns'!$A$2:$A$120,MATCH(1,INDEX(--ISNUMBER(SEARCH('Bad Patterns'!$A$2:$A$120,B6830)),0),0)),""))</f>
        <v/>
      </c>
      <c r="D6830">
        <f>IF(B6830="","",IF(C6830&lt;&gt;"","REMOVE","KEEP"))</f>
        <v/>
      </c>
      <c r="E6830">
        <f>IF(D6830&lt;&gt;"KEEP","",IF(RIGHT(B6830,10)="@gmail.com","Gmail",IF(OR(RIGHT(B6830,12)="@outlook.com",RIGHT(B6830,12)="@hotmail.com",RIGHT(B6830,9)="@live.com"),"Outlook","Domain")))</f>
        <v/>
      </c>
      <c r="F6830">
        <f>IF(B6830="","",IFERROR(RIGHT(B6830,LEN(B6830)-FIND("@",B6830)),""))</f>
        <v/>
      </c>
      <c r="G6830">
        <f>IF(D6830="KEEP",COUNTIF($D$2:D6830,"KEEP"),"")</f>
        <v/>
      </c>
      <c r="H6830">
        <f>IF(D6830="REMOVE",COUNTIF($D$2:D6830,"REMOVE"),"")</f>
        <v/>
      </c>
      <c r="I6830">
        <f>IF(E6830="Gmail",COUNTIF($E$2:E6830,"Gmail"),"")</f>
        <v/>
      </c>
      <c r="J6830">
        <f>IF(E6830="Outlook",COUNTIF($E$2:E6830,"Outlook"),"")</f>
        <v/>
      </c>
      <c r="K6830">
        <f>IF(E6830="Domain",COUNTIF($E$2:E6830,"Domain"),"")</f>
        <v/>
      </c>
    </row>
    <row r="6831">
      <c r="A6831" s="2" t="n"/>
      <c r="B6831">
        <f>LOWER(TRIM(A6831))</f>
        <v/>
      </c>
      <c r="C6831">
        <f>IF(B6831="","",IFERROR(INDEX('Bad Patterns'!$A$2:$A$120,MATCH(1,INDEX(--ISNUMBER(SEARCH('Bad Patterns'!$A$2:$A$120,B6831)),0),0)),""))</f>
        <v/>
      </c>
      <c r="D6831">
        <f>IF(B6831="","",IF(C6831&lt;&gt;"","REMOVE","KEEP"))</f>
        <v/>
      </c>
      <c r="E6831">
        <f>IF(D6831&lt;&gt;"KEEP","",IF(RIGHT(B6831,10)="@gmail.com","Gmail",IF(OR(RIGHT(B6831,12)="@outlook.com",RIGHT(B6831,12)="@hotmail.com",RIGHT(B6831,9)="@live.com"),"Outlook","Domain")))</f>
        <v/>
      </c>
      <c r="F6831">
        <f>IF(B6831="","",IFERROR(RIGHT(B6831,LEN(B6831)-FIND("@",B6831)),""))</f>
        <v/>
      </c>
      <c r="G6831">
        <f>IF(D6831="KEEP",COUNTIF($D$2:D6831,"KEEP"),"")</f>
        <v/>
      </c>
      <c r="H6831">
        <f>IF(D6831="REMOVE",COUNTIF($D$2:D6831,"REMOVE"),"")</f>
        <v/>
      </c>
      <c r="I6831">
        <f>IF(E6831="Gmail",COUNTIF($E$2:E6831,"Gmail"),"")</f>
        <v/>
      </c>
      <c r="J6831">
        <f>IF(E6831="Outlook",COUNTIF($E$2:E6831,"Outlook"),"")</f>
        <v/>
      </c>
      <c r="K6831">
        <f>IF(E6831="Domain",COUNTIF($E$2:E6831,"Domain"),"")</f>
        <v/>
      </c>
    </row>
    <row r="6832">
      <c r="A6832" s="2" t="n"/>
      <c r="B6832">
        <f>LOWER(TRIM(A6832))</f>
        <v/>
      </c>
      <c r="C6832">
        <f>IF(B6832="","",IFERROR(INDEX('Bad Patterns'!$A$2:$A$120,MATCH(1,INDEX(--ISNUMBER(SEARCH('Bad Patterns'!$A$2:$A$120,B6832)),0),0)),""))</f>
        <v/>
      </c>
      <c r="D6832">
        <f>IF(B6832="","",IF(C6832&lt;&gt;"","REMOVE","KEEP"))</f>
        <v/>
      </c>
      <c r="E6832">
        <f>IF(D6832&lt;&gt;"KEEP","",IF(RIGHT(B6832,10)="@gmail.com","Gmail",IF(OR(RIGHT(B6832,12)="@outlook.com",RIGHT(B6832,12)="@hotmail.com",RIGHT(B6832,9)="@live.com"),"Outlook","Domain")))</f>
        <v/>
      </c>
      <c r="F6832">
        <f>IF(B6832="","",IFERROR(RIGHT(B6832,LEN(B6832)-FIND("@",B6832)),""))</f>
        <v/>
      </c>
      <c r="G6832">
        <f>IF(D6832="KEEP",COUNTIF($D$2:D6832,"KEEP"),"")</f>
        <v/>
      </c>
      <c r="H6832">
        <f>IF(D6832="REMOVE",COUNTIF($D$2:D6832,"REMOVE"),"")</f>
        <v/>
      </c>
      <c r="I6832">
        <f>IF(E6832="Gmail",COUNTIF($E$2:E6832,"Gmail"),"")</f>
        <v/>
      </c>
      <c r="J6832">
        <f>IF(E6832="Outlook",COUNTIF($E$2:E6832,"Outlook"),"")</f>
        <v/>
      </c>
      <c r="K6832">
        <f>IF(E6832="Domain",COUNTIF($E$2:E6832,"Domain"),"")</f>
        <v/>
      </c>
    </row>
    <row r="6833">
      <c r="A6833" s="2" t="n"/>
      <c r="B6833">
        <f>LOWER(TRIM(A6833))</f>
        <v/>
      </c>
      <c r="C6833">
        <f>IF(B6833="","",IFERROR(INDEX('Bad Patterns'!$A$2:$A$120,MATCH(1,INDEX(--ISNUMBER(SEARCH('Bad Patterns'!$A$2:$A$120,B6833)),0),0)),""))</f>
        <v/>
      </c>
      <c r="D6833">
        <f>IF(B6833="","",IF(C6833&lt;&gt;"","REMOVE","KEEP"))</f>
        <v/>
      </c>
      <c r="E6833">
        <f>IF(D6833&lt;&gt;"KEEP","",IF(RIGHT(B6833,10)="@gmail.com","Gmail",IF(OR(RIGHT(B6833,12)="@outlook.com",RIGHT(B6833,12)="@hotmail.com",RIGHT(B6833,9)="@live.com"),"Outlook","Domain")))</f>
        <v/>
      </c>
      <c r="F6833">
        <f>IF(B6833="","",IFERROR(RIGHT(B6833,LEN(B6833)-FIND("@",B6833)),""))</f>
        <v/>
      </c>
      <c r="G6833">
        <f>IF(D6833="KEEP",COUNTIF($D$2:D6833,"KEEP"),"")</f>
        <v/>
      </c>
      <c r="H6833">
        <f>IF(D6833="REMOVE",COUNTIF($D$2:D6833,"REMOVE"),"")</f>
        <v/>
      </c>
      <c r="I6833">
        <f>IF(E6833="Gmail",COUNTIF($E$2:E6833,"Gmail"),"")</f>
        <v/>
      </c>
      <c r="J6833">
        <f>IF(E6833="Outlook",COUNTIF($E$2:E6833,"Outlook"),"")</f>
        <v/>
      </c>
      <c r="K6833">
        <f>IF(E6833="Domain",COUNTIF($E$2:E6833,"Domain"),"")</f>
        <v/>
      </c>
    </row>
    <row r="6834">
      <c r="A6834" s="2" t="n"/>
      <c r="B6834">
        <f>LOWER(TRIM(A6834))</f>
        <v/>
      </c>
      <c r="C6834">
        <f>IF(B6834="","",IFERROR(INDEX('Bad Patterns'!$A$2:$A$120,MATCH(1,INDEX(--ISNUMBER(SEARCH('Bad Patterns'!$A$2:$A$120,B6834)),0),0)),""))</f>
        <v/>
      </c>
      <c r="D6834">
        <f>IF(B6834="","",IF(C6834&lt;&gt;"","REMOVE","KEEP"))</f>
        <v/>
      </c>
      <c r="E6834">
        <f>IF(D6834&lt;&gt;"KEEP","",IF(RIGHT(B6834,10)="@gmail.com","Gmail",IF(OR(RIGHT(B6834,12)="@outlook.com",RIGHT(B6834,12)="@hotmail.com",RIGHT(B6834,9)="@live.com"),"Outlook","Domain")))</f>
        <v/>
      </c>
      <c r="F6834">
        <f>IF(B6834="","",IFERROR(RIGHT(B6834,LEN(B6834)-FIND("@",B6834)),""))</f>
        <v/>
      </c>
      <c r="G6834">
        <f>IF(D6834="KEEP",COUNTIF($D$2:D6834,"KEEP"),"")</f>
        <v/>
      </c>
      <c r="H6834">
        <f>IF(D6834="REMOVE",COUNTIF($D$2:D6834,"REMOVE"),"")</f>
        <v/>
      </c>
      <c r="I6834">
        <f>IF(E6834="Gmail",COUNTIF($E$2:E6834,"Gmail"),"")</f>
        <v/>
      </c>
      <c r="J6834">
        <f>IF(E6834="Outlook",COUNTIF($E$2:E6834,"Outlook"),"")</f>
        <v/>
      </c>
      <c r="K6834">
        <f>IF(E6834="Domain",COUNTIF($E$2:E6834,"Domain"),"")</f>
        <v/>
      </c>
    </row>
    <row r="6835">
      <c r="A6835" s="2" t="n"/>
      <c r="B6835">
        <f>LOWER(TRIM(A6835))</f>
        <v/>
      </c>
      <c r="C6835">
        <f>IF(B6835="","",IFERROR(INDEX('Bad Patterns'!$A$2:$A$120,MATCH(1,INDEX(--ISNUMBER(SEARCH('Bad Patterns'!$A$2:$A$120,B6835)),0),0)),""))</f>
        <v/>
      </c>
      <c r="D6835">
        <f>IF(B6835="","",IF(C6835&lt;&gt;"","REMOVE","KEEP"))</f>
        <v/>
      </c>
      <c r="E6835">
        <f>IF(D6835&lt;&gt;"KEEP","",IF(RIGHT(B6835,10)="@gmail.com","Gmail",IF(OR(RIGHT(B6835,12)="@outlook.com",RIGHT(B6835,12)="@hotmail.com",RIGHT(B6835,9)="@live.com"),"Outlook","Domain")))</f>
        <v/>
      </c>
      <c r="F6835">
        <f>IF(B6835="","",IFERROR(RIGHT(B6835,LEN(B6835)-FIND("@",B6835)),""))</f>
        <v/>
      </c>
      <c r="G6835">
        <f>IF(D6835="KEEP",COUNTIF($D$2:D6835,"KEEP"),"")</f>
        <v/>
      </c>
      <c r="H6835">
        <f>IF(D6835="REMOVE",COUNTIF($D$2:D6835,"REMOVE"),"")</f>
        <v/>
      </c>
      <c r="I6835">
        <f>IF(E6835="Gmail",COUNTIF($E$2:E6835,"Gmail"),"")</f>
        <v/>
      </c>
      <c r="J6835">
        <f>IF(E6835="Outlook",COUNTIF($E$2:E6835,"Outlook"),"")</f>
        <v/>
      </c>
      <c r="K6835">
        <f>IF(E6835="Domain",COUNTIF($E$2:E6835,"Domain"),"")</f>
        <v/>
      </c>
    </row>
    <row r="6836">
      <c r="A6836" s="2" t="n"/>
      <c r="B6836">
        <f>LOWER(TRIM(A6836))</f>
        <v/>
      </c>
      <c r="C6836">
        <f>IF(B6836="","",IFERROR(INDEX('Bad Patterns'!$A$2:$A$120,MATCH(1,INDEX(--ISNUMBER(SEARCH('Bad Patterns'!$A$2:$A$120,B6836)),0),0)),""))</f>
        <v/>
      </c>
      <c r="D6836">
        <f>IF(B6836="","",IF(C6836&lt;&gt;"","REMOVE","KEEP"))</f>
        <v/>
      </c>
      <c r="E6836">
        <f>IF(D6836&lt;&gt;"KEEP","",IF(RIGHT(B6836,10)="@gmail.com","Gmail",IF(OR(RIGHT(B6836,12)="@outlook.com",RIGHT(B6836,12)="@hotmail.com",RIGHT(B6836,9)="@live.com"),"Outlook","Domain")))</f>
        <v/>
      </c>
      <c r="F6836">
        <f>IF(B6836="","",IFERROR(RIGHT(B6836,LEN(B6836)-FIND("@",B6836)),""))</f>
        <v/>
      </c>
      <c r="G6836">
        <f>IF(D6836="KEEP",COUNTIF($D$2:D6836,"KEEP"),"")</f>
        <v/>
      </c>
      <c r="H6836">
        <f>IF(D6836="REMOVE",COUNTIF($D$2:D6836,"REMOVE"),"")</f>
        <v/>
      </c>
      <c r="I6836">
        <f>IF(E6836="Gmail",COUNTIF($E$2:E6836,"Gmail"),"")</f>
        <v/>
      </c>
      <c r="J6836">
        <f>IF(E6836="Outlook",COUNTIF($E$2:E6836,"Outlook"),"")</f>
        <v/>
      </c>
      <c r="K6836">
        <f>IF(E6836="Domain",COUNTIF($E$2:E6836,"Domain"),"")</f>
        <v/>
      </c>
    </row>
    <row r="6837">
      <c r="A6837" s="2" t="n"/>
      <c r="B6837">
        <f>LOWER(TRIM(A6837))</f>
        <v/>
      </c>
      <c r="C6837">
        <f>IF(B6837="","",IFERROR(INDEX('Bad Patterns'!$A$2:$A$120,MATCH(1,INDEX(--ISNUMBER(SEARCH('Bad Patterns'!$A$2:$A$120,B6837)),0),0)),""))</f>
        <v/>
      </c>
      <c r="D6837">
        <f>IF(B6837="","",IF(C6837&lt;&gt;"","REMOVE","KEEP"))</f>
        <v/>
      </c>
      <c r="E6837">
        <f>IF(D6837&lt;&gt;"KEEP","",IF(RIGHT(B6837,10)="@gmail.com","Gmail",IF(OR(RIGHT(B6837,12)="@outlook.com",RIGHT(B6837,12)="@hotmail.com",RIGHT(B6837,9)="@live.com"),"Outlook","Domain")))</f>
        <v/>
      </c>
      <c r="F6837">
        <f>IF(B6837="","",IFERROR(RIGHT(B6837,LEN(B6837)-FIND("@",B6837)),""))</f>
        <v/>
      </c>
      <c r="G6837">
        <f>IF(D6837="KEEP",COUNTIF($D$2:D6837,"KEEP"),"")</f>
        <v/>
      </c>
      <c r="H6837">
        <f>IF(D6837="REMOVE",COUNTIF($D$2:D6837,"REMOVE"),"")</f>
        <v/>
      </c>
      <c r="I6837">
        <f>IF(E6837="Gmail",COUNTIF($E$2:E6837,"Gmail"),"")</f>
        <v/>
      </c>
      <c r="J6837">
        <f>IF(E6837="Outlook",COUNTIF($E$2:E6837,"Outlook"),"")</f>
        <v/>
      </c>
      <c r="K6837">
        <f>IF(E6837="Domain",COUNTIF($E$2:E6837,"Domain"),"")</f>
        <v/>
      </c>
    </row>
    <row r="6838">
      <c r="A6838" s="2" t="n"/>
      <c r="B6838">
        <f>LOWER(TRIM(A6838))</f>
        <v/>
      </c>
      <c r="C6838">
        <f>IF(B6838="","",IFERROR(INDEX('Bad Patterns'!$A$2:$A$120,MATCH(1,INDEX(--ISNUMBER(SEARCH('Bad Patterns'!$A$2:$A$120,B6838)),0),0)),""))</f>
        <v/>
      </c>
      <c r="D6838">
        <f>IF(B6838="","",IF(C6838&lt;&gt;"","REMOVE","KEEP"))</f>
        <v/>
      </c>
      <c r="E6838">
        <f>IF(D6838&lt;&gt;"KEEP","",IF(RIGHT(B6838,10)="@gmail.com","Gmail",IF(OR(RIGHT(B6838,12)="@outlook.com",RIGHT(B6838,12)="@hotmail.com",RIGHT(B6838,9)="@live.com"),"Outlook","Domain")))</f>
        <v/>
      </c>
      <c r="F6838">
        <f>IF(B6838="","",IFERROR(RIGHT(B6838,LEN(B6838)-FIND("@",B6838)),""))</f>
        <v/>
      </c>
      <c r="G6838">
        <f>IF(D6838="KEEP",COUNTIF($D$2:D6838,"KEEP"),"")</f>
        <v/>
      </c>
      <c r="H6838">
        <f>IF(D6838="REMOVE",COUNTIF($D$2:D6838,"REMOVE"),"")</f>
        <v/>
      </c>
      <c r="I6838">
        <f>IF(E6838="Gmail",COUNTIF($E$2:E6838,"Gmail"),"")</f>
        <v/>
      </c>
      <c r="J6838">
        <f>IF(E6838="Outlook",COUNTIF($E$2:E6838,"Outlook"),"")</f>
        <v/>
      </c>
      <c r="K6838">
        <f>IF(E6838="Domain",COUNTIF($E$2:E6838,"Domain"),"")</f>
        <v/>
      </c>
    </row>
    <row r="6839">
      <c r="A6839" s="2" t="n"/>
      <c r="B6839">
        <f>LOWER(TRIM(A6839))</f>
        <v/>
      </c>
      <c r="C6839">
        <f>IF(B6839="","",IFERROR(INDEX('Bad Patterns'!$A$2:$A$120,MATCH(1,INDEX(--ISNUMBER(SEARCH('Bad Patterns'!$A$2:$A$120,B6839)),0),0)),""))</f>
        <v/>
      </c>
      <c r="D6839">
        <f>IF(B6839="","",IF(C6839&lt;&gt;"","REMOVE","KEEP"))</f>
        <v/>
      </c>
      <c r="E6839">
        <f>IF(D6839&lt;&gt;"KEEP","",IF(RIGHT(B6839,10)="@gmail.com","Gmail",IF(OR(RIGHT(B6839,12)="@outlook.com",RIGHT(B6839,12)="@hotmail.com",RIGHT(B6839,9)="@live.com"),"Outlook","Domain")))</f>
        <v/>
      </c>
      <c r="F6839">
        <f>IF(B6839="","",IFERROR(RIGHT(B6839,LEN(B6839)-FIND("@",B6839)),""))</f>
        <v/>
      </c>
      <c r="G6839">
        <f>IF(D6839="KEEP",COUNTIF($D$2:D6839,"KEEP"),"")</f>
        <v/>
      </c>
      <c r="H6839">
        <f>IF(D6839="REMOVE",COUNTIF($D$2:D6839,"REMOVE"),"")</f>
        <v/>
      </c>
      <c r="I6839">
        <f>IF(E6839="Gmail",COUNTIF($E$2:E6839,"Gmail"),"")</f>
        <v/>
      </c>
      <c r="J6839">
        <f>IF(E6839="Outlook",COUNTIF($E$2:E6839,"Outlook"),"")</f>
        <v/>
      </c>
      <c r="K6839">
        <f>IF(E6839="Domain",COUNTIF($E$2:E6839,"Domain"),"")</f>
        <v/>
      </c>
    </row>
    <row r="6840">
      <c r="A6840" s="2" t="n"/>
      <c r="B6840">
        <f>LOWER(TRIM(A6840))</f>
        <v/>
      </c>
      <c r="C6840">
        <f>IF(B6840="","",IFERROR(INDEX('Bad Patterns'!$A$2:$A$120,MATCH(1,INDEX(--ISNUMBER(SEARCH('Bad Patterns'!$A$2:$A$120,B6840)),0),0)),""))</f>
        <v/>
      </c>
      <c r="D6840">
        <f>IF(B6840="","",IF(C6840&lt;&gt;"","REMOVE","KEEP"))</f>
        <v/>
      </c>
      <c r="E6840">
        <f>IF(D6840&lt;&gt;"KEEP","",IF(RIGHT(B6840,10)="@gmail.com","Gmail",IF(OR(RIGHT(B6840,12)="@outlook.com",RIGHT(B6840,12)="@hotmail.com",RIGHT(B6840,9)="@live.com"),"Outlook","Domain")))</f>
        <v/>
      </c>
      <c r="F6840">
        <f>IF(B6840="","",IFERROR(RIGHT(B6840,LEN(B6840)-FIND("@",B6840)),""))</f>
        <v/>
      </c>
      <c r="G6840">
        <f>IF(D6840="KEEP",COUNTIF($D$2:D6840,"KEEP"),"")</f>
        <v/>
      </c>
      <c r="H6840">
        <f>IF(D6840="REMOVE",COUNTIF($D$2:D6840,"REMOVE"),"")</f>
        <v/>
      </c>
      <c r="I6840">
        <f>IF(E6840="Gmail",COUNTIF($E$2:E6840,"Gmail"),"")</f>
        <v/>
      </c>
      <c r="J6840">
        <f>IF(E6840="Outlook",COUNTIF($E$2:E6840,"Outlook"),"")</f>
        <v/>
      </c>
      <c r="K6840">
        <f>IF(E6840="Domain",COUNTIF($E$2:E6840,"Domain"),"")</f>
        <v/>
      </c>
    </row>
    <row r="6841">
      <c r="A6841" s="2" t="n"/>
      <c r="B6841">
        <f>LOWER(TRIM(A6841))</f>
        <v/>
      </c>
      <c r="C6841">
        <f>IF(B6841="","",IFERROR(INDEX('Bad Patterns'!$A$2:$A$120,MATCH(1,INDEX(--ISNUMBER(SEARCH('Bad Patterns'!$A$2:$A$120,B6841)),0),0)),""))</f>
        <v/>
      </c>
      <c r="D6841">
        <f>IF(B6841="","",IF(C6841&lt;&gt;"","REMOVE","KEEP"))</f>
        <v/>
      </c>
      <c r="E6841">
        <f>IF(D6841&lt;&gt;"KEEP","",IF(RIGHT(B6841,10)="@gmail.com","Gmail",IF(OR(RIGHT(B6841,12)="@outlook.com",RIGHT(B6841,12)="@hotmail.com",RIGHT(B6841,9)="@live.com"),"Outlook","Domain")))</f>
        <v/>
      </c>
      <c r="F6841">
        <f>IF(B6841="","",IFERROR(RIGHT(B6841,LEN(B6841)-FIND("@",B6841)),""))</f>
        <v/>
      </c>
      <c r="G6841">
        <f>IF(D6841="KEEP",COUNTIF($D$2:D6841,"KEEP"),"")</f>
        <v/>
      </c>
      <c r="H6841">
        <f>IF(D6841="REMOVE",COUNTIF($D$2:D6841,"REMOVE"),"")</f>
        <v/>
      </c>
      <c r="I6841">
        <f>IF(E6841="Gmail",COUNTIF($E$2:E6841,"Gmail"),"")</f>
        <v/>
      </c>
      <c r="J6841">
        <f>IF(E6841="Outlook",COUNTIF($E$2:E6841,"Outlook"),"")</f>
        <v/>
      </c>
      <c r="K6841">
        <f>IF(E6841="Domain",COUNTIF($E$2:E6841,"Domain"),"")</f>
        <v/>
      </c>
    </row>
    <row r="6842">
      <c r="A6842" s="2" t="n"/>
      <c r="B6842">
        <f>LOWER(TRIM(A6842))</f>
        <v/>
      </c>
      <c r="C6842">
        <f>IF(B6842="","",IFERROR(INDEX('Bad Patterns'!$A$2:$A$120,MATCH(1,INDEX(--ISNUMBER(SEARCH('Bad Patterns'!$A$2:$A$120,B6842)),0),0)),""))</f>
        <v/>
      </c>
      <c r="D6842">
        <f>IF(B6842="","",IF(C6842&lt;&gt;"","REMOVE","KEEP"))</f>
        <v/>
      </c>
      <c r="E6842">
        <f>IF(D6842&lt;&gt;"KEEP","",IF(RIGHT(B6842,10)="@gmail.com","Gmail",IF(OR(RIGHT(B6842,12)="@outlook.com",RIGHT(B6842,12)="@hotmail.com",RIGHT(B6842,9)="@live.com"),"Outlook","Domain")))</f>
        <v/>
      </c>
      <c r="F6842">
        <f>IF(B6842="","",IFERROR(RIGHT(B6842,LEN(B6842)-FIND("@",B6842)),""))</f>
        <v/>
      </c>
      <c r="G6842">
        <f>IF(D6842="KEEP",COUNTIF($D$2:D6842,"KEEP"),"")</f>
        <v/>
      </c>
      <c r="H6842">
        <f>IF(D6842="REMOVE",COUNTIF($D$2:D6842,"REMOVE"),"")</f>
        <v/>
      </c>
      <c r="I6842">
        <f>IF(E6842="Gmail",COUNTIF($E$2:E6842,"Gmail"),"")</f>
        <v/>
      </c>
      <c r="J6842">
        <f>IF(E6842="Outlook",COUNTIF($E$2:E6842,"Outlook"),"")</f>
        <v/>
      </c>
      <c r="K6842">
        <f>IF(E6842="Domain",COUNTIF($E$2:E6842,"Domain"),"")</f>
        <v/>
      </c>
    </row>
    <row r="6843">
      <c r="A6843" s="2" t="n"/>
      <c r="B6843">
        <f>LOWER(TRIM(A6843))</f>
        <v/>
      </c>
      <c r="C6843">
        <f>IF(B6843="","",IFERROR(INDEX('Bad Patterns'!$A$2:$A$120,MATCH(1,INDEX(--ISNUMBER(SEARCH('Bad Patterns'!$A$2:$A$120,B6843)),0),0)),""))</f>
        <v/>
      </c>
      <c r="D6843">
        <f>IF(B6843="","",IF(C6843&lt;&gt;"","REMOVE","KEEP"))</f>
        <v/>
      </c>
      <c r="E6843">
        <f>IF(D6843&lt;&gt;"KEEP","",IF(RIGHT(B6843,10)="@gmail.com","Gmail",IF(OR(RIGHT(B6843,12)="@outlook.com",RIGHT(B6843,12)="@hotmail.com",RIGHT(B6843,9)="@live.com"),"Outlook","Domain")))</f>
        <v/>
      </c>
      <c r="F6843">
        <f>IF(B6843="","",IFERROR(RIGHT(B6843,LEN(B6843)-FIND("@",B6843)),""))</f>
        <v/>
      </c>
      <c r="G6843">
        <f>IF(D6843="KEEP",COUNTIF($D$2:D6843,"KEEP"),"")</f>
        <v/>
      </c>
      <c r="H6843">
        <f>IF(D6843="REMOVE",COUNTIF($D$2:D6843,"REMOVE"),"")</f>
        <v/>
      </c>
      <c r="I6843">
        <f>IF(E6843="Gmail",COUNTIF($E$2:E6843,"Gmail"),"")</f>
        <v/>
      </c>
      <c r="J6843">
        <f>IF(E6843="Outlook",COUNTIF($E$2:E6843,"Outlook"),"")</f>
        <v/>
      </c>
      <c r="K6843">
        <f>IF(E6843="Domain",COUNTIF($E$2:E6843,"Domain"),"")</f>
        <v/>
      </c>
    </row>
    <row r="6844">
      <c r="A6844" s="2" t="n"/>
      <c r="B6844">
        <f>LOWER(TRIM(A6844))</f>
        <v/>
      </c>
      <c r="C6844">
        <f>IF(B6844="","",IFERROR(INDEX('Bad Patterns'!$A$2:$A$120,MATCH(1,INDEX(--ISNUMBER(SEARCH('Bad Patterns'!$A$2:$A$120,B6844)),0),0)),""))</f>
        <v/>
      </c>
      <c r="D6844">
        <f>IF(B6844="","",IF(C6844&lt;&gt;"","REMOVE","KEEP"))</f>
        <v/>
      </c>
      <c r="E6844">
        <f>IF(D6844&lt;&gt;"KEEP","",IF(RIGHT(B6844,10)="@gmail.com","Gmail",IF(OR(RIGHT(B6844,12)="@outlook.com",RIGHT(B6844,12)="@hotmail.com",RIGHT(B6844,9)="@live.com"),"Outlook","Domain")))</f>
        <v/>
      </c>
      <c r="F6844">
        <f>IF(B6844="","",IFERROR(RIGHT(B6844,LEN(B6844)-FIND("@",B6844)),""))</f>
        <v/>
      </c>
      <c r="G6844">
        <f>IF(D6844="KEEP",COUNTIF($D$2:D6844,"KEEP"),"")</f>
        <v/>
      </c>
      <c r="H6844">
        <f>IF(D6844="REMOVE",COUNTIF($D$2:D6844,"REMOVE"),"")</f>
        <v/>
      </c>
      <c r="I6844">
        <f>IF(E6844="Gmail",COUNTIF($E$2:E6844,"Gmail"),"")</f>
        <v/>
      </c>
      <c r="J6844">
        <f>IF(E6844="Outlook",COUNTIF($E$2:E6844,"Outlook"),"")</f>
        <v/>
      </c>
      <c r="K6844">
        <f>IF(E6844="Domain",COUNTIF($E$2:E6844,"Domain"),"")</f>
        <v/>
      </c>
    </row>
    <row r="6845">
      <c r="A6845" s="2" t="n"/>
      <c r="B6845">
        <f>LOWER(TRIM(A6845))</f>
        <v/>
      </c>
      <c r="C6845">
        <f>IF(B6845="","",IFERROR(INDEX('Bad Patterns'!$A$2:$A$120,MATCH(1,INDEX(--ISNUMBER(SEARCH('Bad Patterns'!$A$2:$A$120,B6845)),0),0)),""))</f>
        <v/>
      </c>
      <c r="D6845">
        <f>IF(B6845="","",IF(C6845&lt;&gt;"","REMOVE","KEEP"))</f>
        <v/>
      </c>
      <c r="E6845">
        <f>IF(D6845&lt;&gt;"KEEP","",IF(RIGHT(B6845,10)="@gmail.com","Gmail",IF(OR(RIGHT(B6845,12)="@outlook.com",RIGHT(B6845,12)="@hotmail.com",RIGHT(B6845,9)="@live.com"),"Outlook","Domain")))</f>
        <v/>
      </c>
      <c r="F6845">
        <f>IF(B6845="","",IFERROR(RIGHT(B6845,LEN(B6845)-FIND("@",B6845)),""))</f>
        <v/>
      </c>
      <c r="G6845">
        <f>IF(D6845="KEEP",COUNTIF($D$2:D6845,"KEEP"),"")</f>
        <v/>
      </c>
      <c r="H6845">
        <f>IF(D6845="REMOVE",COUNTIF($D$2:D6845,"REMOVE"),"")</f>
        <v/>
      </c>
      <c r="I6845">
        <f>IF(E6845="Gmail",COUNTIF($E$2:E6845,"Gmail"),"")</f>
        <v/>
      </c>
      <c r="J6845">
        <f>IF(E6845="Outlook",COUNTIF($E$2:E6845,"Outlook"),"")</f>
        <v/>
      </c>
      <c r="K6845">
        <f>IF(E6845="Domain",COUNTIF($E$2:E6845,"Domain"),"")</f>
        <v/>
      </c>
    </row>
    <row r="6846">
      <c r="A6846" s="2" t="n"/>
      <c r="B6846">
        <f>LOWER(TRIM(A6846))</f>
        <v/>
      </c>
      <c r="C6846">
        <f>IF(B6846="","",IFERROR(INDEX('Bad Patterns'!$A$2:$A$120,MATCH(1,INDEX(--ISNUMBER(SEARCH('Bad Patterns'!$A$2:$A$120,B6846)),0),0)),""))</f>
        <v/>
      </c>
      <c r="D6846">
        <f>IF(B6846="","",IF(C6846&lt;&gt;"","REMOVE","KEEP"))</f>
        <v/>
      </c>
      <c r="E6846">
        <f>IF(D6846&lt;&gt;"KEEP","",IF(RIGHT(B6846,10)="@gmail.com","Gmail",IF(OR(RIGHT(B6846,12)="@outlook.com",RIGHT(B6846,12)="@hotmail.com",RIGHT(B6846,9)="@live.com"),"Outlook","Domain")))</f>
        <v/>
      </c>
      <c r="F6846">
        <f>IF(B6846="","",IFERROR(RIGHT(B6846,LEN(B6846)-FIND("@",B6846)),""))</f>
        <v/>
      </c>
      <c r="G6846">
        <f>IF(D6846="KEEP",COUNTIF($D$2:D6846,"KEEP"),"")</f>
        <v/>
      </c>
      <c r="H6846">
        <f>IF(D6846="REMOVE",COUNTIF($D$2:D6846,"REMOVE"),"")</f>
        <v/>
      </c>
      <c r="I6846">
        <f>IF(E6846="Gmail",COUNTIF($E$2:E6846,"Gmail"),"")</f>
        <v/>
      </c>
      <c r="J6846">
        <f>IF(E6846="Outlook",COUNTIF($E$2:E6846,"Outlook"),"")</f>
        <v/>
      </c>
      <c r="K6846">
        <f>IF(E6846="Domain",COUNTIF($E$2:E6846,"Domain"),"")</f>
        <v/>
      </c>
    </row>
    <row r="6847">
      <c r="A6847" s="2" t="n"/>
      <c r="B6847">
        <f>LOWER(TRIM(A6847))</f>
        <v/>
      </c>
      <c r="C6847">
        <f>IF(B6847="","",IFERROR(INDEX('Bad Patterns'!$A$2:$A$120,MATCH(1,INDEX(--ISNUMBER(SEARCH('Bad Patterns'!$A$2:$A$120,B6847)),0),0)),""))</f>
        <v/>
      </c>
      <c r="D6847">
        <f>IF(B6847="","",IF(C6847&lt;&gt;"","REMOVE","KEEP"))</f>
        <v/>
      </c>
      <c r="E6847">
        <f>IF(D6847&lt;&gt;"KEEP","",IF(RIGHT(B6847,10)="@gmail.com","Gmail",IF(OR(RIGHT(B6847,12)="@outlook.com",RIGHT(B6847,12)="@hotmail.com",RIGHT(B6847,9)="@live.com"),"Outlook","Domain")))</f>
        <v/>
      </c>
      <c r="F6847">
        <f>IF(B6847="","",IFERROR(RIGHT(B6847,LEN(B6847)-FIND("@",B6847)),""))</f>
        <v/>
      </c>
      <c r="G6847">
        <f>IF(D6847="KEEP",COUNTIF($D$2:D6847,"KEEP"),"")</f>
        <v/>
      </c>
      <c r="H6847">
        <f>IF(D6847="REMOVE",COUNTIF($D$2:D6847,"REMOVE"),"")</f>
        <v/>
      </c>
      <c r="I6847">
        <f>IF(E6847="Gmail",COUNTIF($E$2:E6847,"Gmail"),"")</f>
        <v/>
      </c>
      <c r="J6847">
        <f>IF(E6847="Outlook",COUNTIF($E$2:E6847,"Outlook"),"")</f>
        <v/>
      </c>
      <c r="K6847">
        <f>IF(E6847="Domain",COUNTIF($E$2:E6847,"Domain"),"")</f>
        <v/>
      </c>
    </row>
    <row r="6848">
      <c r="A6848" s="2" t="n"/>
      <c r="B6848">
        <f>LOWER(TRIM(A6848))</f>
        <v/>
      </c>
      <c r="C6848">
        <f>IF(B6848="","",IFERROR(INDEX('Bad Patterns'!$A$2:$A$120,MATCH(1,INDEX(--ISNUMBER(SEARCH('Bad Patterns'!$A$2:$A$120,B6848)),0),0)),""))</f>
        <v/>
      </c>
      <c r="D6848">
        <f>IF(B6848="","",IF(C6848&lt;&gt;"","REMOVE","KEEP"))</f>
        <v/>
      </c>
      <c r="E6848">
        <f>IF(D6848&lt;&gt;"KEEP","",IF(RIGHT(B6848,10)="@gmail.com","Gmail",IF(OR(RIGHT(B6848,12)="@outlook.com",RIGHT(B6848,12)="@hotmail.com",RIGHT(B6848,9)="@live.com"),"Outlook","Domain")))</f>
        <v/>
      </c>
      <c r="F6848">
        <f>IF(B6848="","",IFERROR(RIGHT(B6848,LEN(B6848)-FIND("@",B6848)),""))</f>
        <v/>
      </c>
      <c r="G6848">
        <f>IF(D6848="KEEP",COUNTIF($D$2:D6848,"KEEP"),"")</f>
        <v/>
      </c>
      <c r="H6848">
        <f>IF(D6848="REMOVE",COUNTIF($D$2:D6848,"REMOVE"),"")</f>
        <v/>
      </c>
      <c r="I6848">
        <f>IF(E6848="Gmail",COUNTIF($E$2:E6848,"Gmail"),"")</f>
        <v/>
      </c>
      <c r="J6848">
        <f>IF(E6848="Outlook",COUNTIF($E$2:E6848,"Outlook"),"")</f>
        <v/>
      </c>
      <c r="K6848">
        <f>IF(E6848="Domain",COUNTIF($E$2:E6848,"Domain"),"")</f>
        <v/>
      </c>
    </row>
    <row r="6849">
      <c r="A6849" s="2" t="n"/>
      <c r="B6849">
        <f>LOWER(TRIM(A6849))</f>
        <v/>
      </c>
      <c r="C6849">
        <f>IF(B6849="","",IFERROR(INDEX('Bad Patterns'!$A$2:$A$120,MATCH(1,INDEX(--ISNUMBER(SEARCH('Bad Patterns'!$A$2:$A$120,B6849)),0),0)),""))</f>
        <v/>
      </c>
      <c r="D6849">
        <f>IF(B6849="","",IF(C6849&lt;&gt;"","REMOVE","KEEP"))</f>
        <v/>
      </c>
      <c r="E6849">
        <f>IF(D6849&lt;&gt;"KEEP","",IF(RIGHT(B6849,10)="@gmail.com","Gmail",IF(OR(RIGHT(B6849,12)="@outlook.com",RIGHT(B6849,12)="@hotmail.com",RIGHT(B6849,9)="@live.com"),"Outlook","Domain")))</f>
        <v/>
      </c>
      <c r="F6849">
        <f>IF(B6849="","",IFERROR(RIGHT(B6849,LEN(B6849)-FIND("@",B6849)),""))</f>
        <v/>
      </c>
      <c r="G6849">
        <f>IF(D6849="KEEP",COUNTIF($D$2:D6849,"KEEP"),"")</f>
        <v/>
      </c>
      <c r="H6849">
        <f>IF(D6849="REMOVE",COUNTIF($D$2:D6849,"REMOVE"),"")</f>
        <v/>
      </c>
      <c r="I6849">
        <f>IF(E6849="Gmail",COUNTIF($E$2:E6849,"Gmail"),"")</f>
        <v/>
      </c>
      <c r="J6849">
        <f>IF(E6849="Outlook",COUNTIF($E$2:E6849,"Outlook"),"")</f>
        <v/>
      </c>
      <c r="K6849">
        <f>IF(E6849="Domain",COUNTIF($E$2:E6849,"Domain"),"")</f>
        <v/>
      </c>
    </row>
    <row r="6850">
      <c r="A6850" s="2" t="n"/>
      <c r="B6850">
        <f>LOWER(TRIM(A6850))</f>
        <v/>
      </c>
      <c r="C6850">
        <f>IF(B6850="","",IFERROR(INDEX('Bad Patterns'!$A$2:$A$120,MATCH(1,INDEX(--ISNUMBER(SEARCH('Bad Patterns'!$A$2:$A$120,B6850)),0),0)),""))</f>
        <v/>
      </c>
      <c r="D6850">
        <f>IF(B6850="","",IF(C6850&lt;&gt;"","REMOVE","KEEP"))</f>
        <v/>
      </c>
      <c r="E6850">
        <f>IF(D6850&lt;&gt;"KEEP","",IF(RIGHT(B6850,10)="@gmail.com","Gmail",IF(OR(RIGHT(B6850,12)="@outlook.com",RIGHT(B6850,12)="@hotmail.com",RIGHT(B6850,9)="@live.com"),"Outlook","Domain")))</f>
        <v/>
      </c>
      <c r="F6850">
        <f>IF(B6850="","",IFERROR(RIGHT(B6850,LEN(B6850)-FIND("@",B6850)),""))</f>
        <v/>
      </c>
      <c r="G6850">
        <f>IF(D6850="KEEP",COUNTIF($D$2:D6850,"KEEP"),"")</f>
        <v/>
      </c>
      <c r="H6850">
        <f>IF(D6850="REMOVE",COUNTIF($D$2:D6850,"REMOVE"),"")</f>
        <v/>
      </c>
      <c r="I6850">
        <f>IF(E6850="Gmail",COUNTIF($E$2:E6850,"Gmail"),"")</f>
        <v/>
      </c>
      <c r="J6850">
        <f>IF(E6850="Outlook",COUNTIF($E$2:E6850,"Outlook"),"")</f>
        <v/>
      </c>
      <c r="K6850">
        <f>IF(E6850="Domain",COUNTIF($E$2:E6850,"Domain"),"")</f>
        <v/>
      </c>
    </row>
    <row r="6851">
      <c r="A6851" s="2" t="n"/>
      <c r="B6851">
        <f>LOWER(TRIM(A6851))</f>
        <v/>
      </c>
      <c r="C6851">
        <f>IF(B6851="","",IFERROR(INDEX('Bad Patterns'!$A$2:$A$120,MATCH(1,INDEX(--ISNUMBER(SEARCH('Bad Patterns'!$A$2:$A$120,B6851)),0),0)),""))</f>
        <v/>
      </c>
      <c r="D6851">
        <f>IF(B6851="","",IF(C6851&lt;&gt;"","REMOVE","KEEP"))</f>
        <v/>
      </c>
      <c r="E6851">
        <f>IF(D6851&lt;&gt;"KEEP","",IF(RIGHT(B6851,10)="@gmail.com","Gmail",IF(OR(RIGHT(B6851,12)="@outlook.com",RIGHT(B6851,12)="@hotmail.com",RIGHT(B6851,9)="@live.com"),"Outlook","Domain")))</f>
        <v/>
      </c>
      <c r="F6851">
        <f>IF(B6851="","",IFERROR(RIGHT(B6851,LEN(B6851)-FIND("@",B6851)),""))</f>
        <v/>
      </c>
      <c r="G6851">
        <f>IF(D6851="KEEP",COUNTIF($D$2:D6851,"KEEP"),"")</f>
        <v/>
      </c>
      <c r="H6851">
        <f>IF(D6851="REMOVE",COUNTIF($D$2:D6851,"REMOVE"),"")</f>
        <v/>
      </c>
      <c r="I6851">
        <f>IF(E6851="Gmail",COUNTIF($E$2:E6851,"Gmail"),"")</f>
        <v/>
      </c>
      <c r="J6851">
        <f>IF(E6851="Outlook",COUNTIF($E$2:E6851,"Outlook"),"")</f>
        <v/>
      </c>
      <c r="K6851">
        <f>IF(E6851="Domain",COUNTIF($E$2:E6851,"Domain"),"")</f>
        <v/>
      </c>
    </row>
    <row r="6852">
      <c r="A6852" s="2" t="n"/>
      <c r="B6852">
        <f>LOWER(TRIM(A6852))</f>
        <v/>
      </c>
      <c r="C6852">
        <f>IF(B6852="","",IFERROR(INDEX('Bad Patterns'!$A$2:$A$120,MATCH(1,INDEX(--ISNUMBER(SEARCH('Bad Patterns'!$A$2:$A$120,B6852)),0),0)),""))</f>
        <v/>
      </c>
      <c r="D6852">
        <f>IF(B6852="","",IF(C6852&lt;&gt;"","REMOVE","KEEP"))</f>
        <v/>
      </c>
      <c r="E6852">
        <f>IF(D6852&lt;&gt;"KEEP","",IF(RIGHT(B6852,10)="@gmail.com","Gmail",IF(OR(RIGHT(B6852,12)="@outlook.com",RIGHT(B6852,12)="@hotmail.com",RIGHT(B6852,9)="@live.com"),"Outlook","Domain")))</f>
        <v/>
      </c>
      <c r="F6852">
        <f>IF(B6852="","",IFERROR(RIGHT(B6852,LEN(B6852)-FIND("@",B6852)),""))</f>
        <v/>
      </c>
      <c r="G6852">
        <f>IF(D6852="KEEP",COUNTIF($D$2:D6852,"KEEP"),"")</f>
        <v/>
      </c>
      <c r="H6852">
        <f>IF(D6852="REMOVE",COUNTIF($D$2:D6852,"REMOVE"),"")</f>
        <v/>
      </c>
      <c r="I6852">
        <f>IF(E6852="Gmail",COUNTIF($E$2:E6852,"Gmail"),"")</f>
        <v/>
      </c>
      <c r="J6852">
        <f>IF(E6852="Outlook",COUNTIF($E$2:E6852,"Outlook"),"")</f>
        <v/>
      </c>
      <c r="K6852">
        <f>IF(E6852="Domain",COUNTIF($E$2:E6852,"Domain"),"")</f>
        <v/>
      </c>
    </row>
    <row r="6853">
      <c r="A6853" s="2" t="n"/>
      <c r="B6853">
        <f>LOWER(TRIM(A6853))</f>
        <v/>
      </c>
      <c r="C6853">
        <f>IF(B6853="","",IFERROR(INDEX('Bad Patterns'!$A$2:$A$120,MATCH(1,INDEX(--ISNUMBER(SEARCH('Bad Patterns'!$A$2:$A$120,B6853)),0),0)),""))</f>
        <v/>
      </c>
      <c r="D6853">
        <f>IF(B6853="","",IF(C6853&lt;&gt;"","REMOVE","KEEP"))</f>
        <v/>
      </c>
      <c r="E6853">
        <f>IF(D6853&lt;&gt;"KEEP","",IF(RIGHT(B6853,10)="@gmail.com","Gmail",IF(OR(RIGHT(B6853,12)="@outlook.com",RIGHT(B6853,12)="@hotmail.com",RIGHT(B6853,9)="@live.com"),"Outlook","Domain")))</f>
        <v/>
      </c>
      <c r="F6853">
        <f>IF(B6853="","",IFERROR(RIGHT(B6853,LEN(B6853)-FIND("@",B6853)),""))</f>
        <v/>
      </c>
      <c r="G6853">
        <f>IF(D6853="KEEP",COUNTIF($D$2:D6853,"KEEP"),"")</f>
        <v/>
      </c>
      <c r="H6853">
        <f>IF(D6853="REMOVE",COUNTIF($D$2:D6853,"REMOVE"),"")</f>
        <v/>
      </c>
      <c r="I6853">
        <f>IF(E6853="Gmail",COUNTIF($E$2:E6853,"Gmail"),"")</f>
        <v/>
      </c>
      <c r="J6853">
        <f>IF(E6853="Outlook",COUNTIF($E$2:E6853,"Outlook"),"")</f>
        <v/>
      </c>
      <c r="K6853">
        <f>IF(E6853="Domain",COUNTIF($E$2:E6853,"Domain"),"")</f>
        <v/>
      </c>
    </row>
    <row r="6854">
      <c r="A6854" s="2" t="n"/>
      <c r="B6854">
        <f>LOWER(TRIM(A6854))</f>
        <v/>
      </c>
      <c r="C6854">
        <f>IF(B6854="","",IFERROR(INDEX('Bad Patterns'!$A$2:$A$120,MATCH(1,INDEX(--ISNUMBER(SEARCH('Bad Patterns'!$A$2:$A$120,B6854)),0),0)),""))</f>
        <v/>
      </c>
      <c r="D6854">
        <f>IF(B6854="","",IF(C6854&lt;&gt;"","REMOVE","KEEP"))</f>
        <v/>
      </c>
      <c r="E6854">
        <f>IF(D6854&lt;&gt;"KEEP","",IF(RIGHT(B6854,10)="@gmail.com","Gmail",IF(OR(RIGHT(B6854,12)="@outlook.com",RIGHT(B6854,12)="@hotmail.com",RIGHT(B6854,9)="@live.com"),"Outlook","Domain")))</f>
        <v/>
      </c>
      <c r="F6854">
        <f>IF(B6854="","",IFERROR(RIGHT(B6854,LEN(B6854)-FIND("@",B6854)),""))</f>
        <v/>
      </c>
      <c r="G6854">
        <f>IF(D6854="KEEP",COUNTIF($D$2:D6854,"KEEP"),"")</f>
        <v/>
      </c>
      <c r="H6854">
        <f>IF(D6854="REMOVE",COUNTIF($D$2:D6854,"REMOVE"),"")</f>
        <v/>
      </c>
      <c r="I6854">
        <f>IF(E6854="Gmail",COUNTIF($E$2:E6854,"Gmail"),"")</f>
        <v/>
      </c>
      <c r="J6854">
        <f>IF(E6854="Outlook",COUNTIF($E$2:E6854,"Outlook"),"")</f>
        <v/>
      </c>
      <c r="K6854">
        <f>IF(E6854="Domain",COUNTIF($E$2:E6854,"Domain"),"")</f>
        <v/>
      </c>
    </row>
    <row r="6855">
      <c r="A6855" s="2" t="n"/>
      <c r="B6855">
        <f>LOWER(TRIM(A6855))</f>
        <v/>
      </c>
      <c r="C6855">
        <f>IF(B6855="","",IFERROR(INDEX('Bad Patterns'!$A$2:$A$120,MATCH(1,INDEX(--ISNUMBER(SEARCH('Bad Patterns'!$A$2:$A$120,B6855)),0),0)),""))</f>
        <v/>
      </c>
      <c r="D6855">
        <f>IF(B6855="","",IF(C6855&lt;&gt;"","REMOVE","KEEP"))</f>
        <v/>
      </c>
      <c r="E6855">
        <f>IF(D6855&lt;&gt;"KEEP","",IF(RIGHT(B6855,10)="@gmail.com","Gmail",IF(OR(RIGHT(B6855,12)="@outlook.com",RIGHT(B6855,12)="@hotmail.com",RIGHT(B6855,9)="@live.com"),"Outlook","Domain")))</f>
        <v/>
      </c>
      <c r="F6855">
        <f>IF(B6855="","",IFERROR(RIGHT(B6855,LEN(B6855)-FIND("@",B6855)),""))</f>
        <v/>
      </c>
      <c r="G6855">
        <f>IF(D6855="KEEP",COUNTIF($D$2:D6855,"KEEP"),"")</f>
        <v/>
      </c>
      <c r="H6855">
        <f>IF(D6855="REMOVE",COUNTIF($D$2:D6855,"REMOVE"),"")</f>
        <v/>
      </c>
      <c r="I6855">
        <f>IF(E6855="Gmail",COUNTIF($E$2:E6855,"Gmail"),"")</f>
        <v/>
      </c>
      <c r="J6855">
        <f>IF(E6855="Outlook",COUNTIF($E$2:E6855,"Outlook"),"")</f>
        <v/>
      </c>
      <c r="K6855">
        <f>IF(E6855="Domain",COUNTIF($E$2:E6855,"Domain"),"")</f>
        <v/>
      </c>
    </row>
    <row r="6856">
      <c r="A6856" s="2" t="n"/>
      <c r="B6856">
        <f>LOWER(TRIM(A6856))</f>
        <v/>
      </c>
      <c r="C6856">
        <f>IF(B6856="","",IFERROR(INDEX('Bad Patterns'!$A$2:$A$120,MATCH(1,INDEX(--ISNUMBER(SEARCH('Bad Patterns'!$A$2:$A$120,B6856)),0),0)),""))</f>
        <v/>
      </c>
      <c r="D6856">
        <f>IF(B6856="","",IF(C6856&lt;&gt;"","REMOVE","KEEP"))</f>
        <v/>
      </c>
      <c r="E6856">
        <f>IF(D6856&lt;&gt;"KEEP","",IF(RIGHT(B6856,10)="@gmail.com","Gmail",IF(OR(RIGHT(B6856,12)="@outlook.com",RIGHT(B6856,12)="@hotmail.com",RIGHT(B6856,9)="@live.com"),"Outlook","Domain")))</f>
        <v/>
      </c>
      <c r="F6856">
        <f>IF(B6856="","",IFERROR(RIGHT(B6856,LEN(B6856)-FIND("@",B6856)),""))</f>
        <v/>
      </c>
      <c r="G6856">
        <f>IF(D6856="KEEP",COUNTIF($D$2:D6856,"KEEP"),"")</f>
        <v/>
      </c>
      <c r="H6856">
        <f>IF(D6856="REMOVE",COUNTIF($D$2:D6856,"REMOVE"),"")</f>
        <v/>
      </c>
      <c r="I6856">
        <f>IF(E6856="Gmail",COUNTIF($E$2:E6856,"Gmail"),"")</f>
        <v/>
      </c>
      <c r="J6856">
        <f>IF(E6856="Outlook",COUNTIF($E$2:E6856,"Outlook"),"")</f>
        <v/>
      </c>
      <c r="K6856">
        <f>IF(E6856="Domain",COUNTIF($E$2:E6856,"Domain"),"")</f>
        <v/>
      </c>
    </row>
    <row r="6857">
      <c r="A6857" s="2" t="n"/>
      <c r="B6857">
        <f>LOWER(TRIM(A6857))</f>
        <v/>
      </c>
      <c r="C6857">
        <f>IF(B6857="","",IFERROR(INDEX('Bad Patterns'!$A$2:$A$120,MATCH(1,INDEX(--ISNUMBER(SEARCH('Bad Patterns'!$A$2:$A$120,B6857)),0),0)),""))</f>
        <v/>
      </c>
      <c r="D6857">
        <f>IF(B6857="","",IF(C6857&lt;&gt;"","REMOVE","KEEP"))</f>
        <v/>
      </c>
      <c r="E6857">
        <f>IF(D6857&lt;&gt;"KEEP","",IF(RIGHT(B6857,10)="@gmail.com","Gmail",IF(OR(RIGHT(B6857,12)="@outlook.com",RIGHT(B6857,12)="@hotmail.com",RIGHT(B6857,9)="@live.com"),"Outlook","Domain")))</f>
        <v/>
      </c>
      <c r="F6857">
        <f>IF(B6857="","",IFERROR(RIGHT(B6857,LEN(B6857)-FIND("@",B6857)),""))</f>
        <v/>
      </c>
      <c r="G6857">
        <f>IF(D6857="KEEP",COUNTIF($D$2:D6857,"KEEP"),"")</f>
        <v/>
      </c>
      <c r="H6857">
        <f>IF(D6857="REMOVE",COUNTIF($D$2:D6857,"REMOVE"),"")</f>
        <v/>
      </c>
      <c r="I6857">
        <f>IF(E6857="Gmail",COUNTIF($E$2:E6857,"Gmail"),"")</f>
        <v/>
      </c>
      <c r="J6857">
        <f>IF(E6857="Outlook",COUNTIF($E$2:E6857,"Outlook"),"")</f>
        <v/>
      </c>
      <c r="K6857">
        <f>IF(E6857="Domain",COUNTIF($E$2:E6857,"Domain"),"")</f>
        <v/>
      </c>
    </row>
    <row r="6858">
      <c r="A6858" s="2" t="n"/>
      <c r="B6858">
        <f>LOWER(TRIM(A6858))</f>
        <v/>
      </c>
      <c r="C6858">
        <f>IF(B6858="","",IFERROR(INDEX('Bad Patterns'!$A$2:$A$120,MATCH(1,INDEX(--ISNUMBER(SEARCH('Bad Patterns'!$A$2:$A$120,B6858)),0),0)),""))</f>
        <v/>
      </c>
      <c r="D6858">
        <f>IF(B6858="","",IF(C6858&lt;&gt;"","REMOVE","KEEP"))</f>
        <v/>
      </c>
      <c r="E6858">
        <f>IF(D6858&lt;&gt;"KEEP","",IF(RIGHT(B6858,10)="@gmail.com","Gmail",IF(OR(RIGHT(B6858,12)="@outlook.com",RIGHT(B6858,12)="@hotmail.com",RIGHT(B6858,9)="@live.com"),"Outlook","Domain")))</f>
        <v/>
      </c>
      <c r="F6858">
        <f>IF(B6858="","",IFERROR(RIGHT(B6858,LEN(B6858)-FIND("@",B6858)),""))</f>
        <v/>
      </c>
      <c r="G6858">
        <f>IF(D6858="KEEP",COUNTIF($D$2:D6858,"KEEP"),"")</f>
        <v/>
      </c>
      <c r="H6858">
        <f>IF(D6858="REMOVE",COUNTIF($D$2:D6858,"REMOVE"),"")</f>
        <v/>
      </c>
      <c r="I6858">
        <f>IF(E6858="Gmail",COUNTIF($E$2:E6858,"Gmail"),"")</f>
        <v/>
      </c>
      <c r="J6858">
        <f>IF(E6858="Outlook",COUNTIF($E$2:E6858,"Outlook"),"")</f>
        <v/>
      </c>
      <c r="K6858">
        <f>IF(E6858="Domain",COUNTIF($E$2:E6858,"Domain"),"")</f>
        <v/>
      </c>
    </row>
    <row r="6859">
      <c r="A6859" s="2" t="n"/>
      <c r="B6859">
        <f>LOWER(TRIM(A6859))</f>
        <v/>
      </c>
      <c r="C6859">
        <f>IF(B6859="","",IFERROR(INDEX('Bad Patterns'!$A$2:$A$120,MATCH(1,INDEX(--ISNUMBER(SEARCH('Bad Patterns'!$A$2:$A$120,B6859)),0),0)),""))</f>
        <v/>
      </c>
      <c r="D6859">
        <f>IF(B6859="","",IF(C6859&lt;&gt;"","REMOVE","KEEP"))</f>
        <v/>
      </c>
      <c r="E6859">
        <f>IF(D6859&lt;&gt;"KEEP","",IF(RIGHT(B6859,10)="@gmail.com","Gmail",IF(OR(RIGHT(B6859,12)="@outlook.com",RIGHT(B6859,12)="@hotmail.com",RIGHT(B6859,9)="@live.com"),"Outlook","Domain")))</f>
        <v/>
      </c>
      <c r="F6859">
        <f>IF(B6859="","",IFERROR(RIGHT(B6859,LEN(B6859)-FIND("@",B6859)),""))</f>
        <v/>
      </c>
      <c r="G6859">
        <f>IF(D6859="KEEP",COUNTIF($D$2:D6859,"KEEP"),"")</f>
        <v/>
      </c>
      <c r="H6859">
        <f>IF(D6859="REMOVE",COUNTIF($D$2:D6859,"REMOVE"),"")</f>
        <v/>
      </c>
      <c r="I6859">
        <f>IF(E6859="Gmail",COUNTIF($E$2:E6859,"Gmail"),"")</f>
        <v/>
      </c>
      <c r="J6859">
        <f>IF(E6859="Outlook",COUNTIF($E$2:E6859,"Outlook"),"")</f>
        <v/>
      </c>
      <c r="K6859">
        <f>IF(E6859="Domain",COUNTIF($E$2:E6859,"Domain"),"")</f>
        <v/>
      </c>
    </row>
    <row r="6860">
      <c r="A6860" s="2" t="n"/>
      <c r="B6860">
        <f>LOWER(TRIM(A6860))</f>
        <v/>
      </c>
      <c r="C6860">
        <f>IF(B6860="","",IFERROR(INDEX('Bad Patterns'!$A$2:$A$120,MATCH(1,INDEX(--ISNUMBER(SEARCH('Bad Patterns'!$A$2:$A$120,B6860)),0),0)),""))</f>
        <v/>
      </c>
      <c r="D6860">
        <f>IF(B6860="","",IF(C6860&lt;&gt;"","REMOVE","KEEP"))</f>
        <v/>
      </c>
      <c r="E6860">
        <f>IF(D6860&lt;&gt;"KEEP","",IF(RIGHT(B6860,10)="@gmail.com","Gmail",IF(OR(RIGHT(B6860,12)="@outlook.com",RIGHT(B6860,12)="@hotmail.com",RIGHT(B6860,9)="@live.com"),"Outlook","Domain")))</f>
        <v/>
      </c>
      <c r="F6860">
        <f>IF(B6860="","",IFERROR(RIGHT(B6860,LEN(B6860)-FIND("@",B6860)),""))</f>
        <v/>
      </c>
      <c r="G6860">
        <f>IF(D6860="KEEP",COUNTIF($D$2:D6860,"KEEP"),"")</f>
        <v/>
      </c>
      <c r="H6860">
        <f>IF(D6860="REMOVE",COUNTIF($D$2:D6860,"REMOVE"),"")</f>
        <v/>
      </c>
      <c r="I6860">
        <f>IF(E6860="Gmail",COUNTIF($E$2:E6860,"Gmail"),"")</f>
        <v/>
      </c>
      <c r="J6860">
        <f>IF(E6860="Outlook",COUNTIF($E$2:E6860,"Outlook"),"")</f>
        <v/>
      </c>
      <c r="K6860">
        <f>IF(E6860="Domain",COUNTIF($E$2:E6860,"Domain"),"")</f>
        <v/>
      </c>
    </row>
    <row r="6861">
      <c r="A6861" s="2" t="n"/>
      <c r="B6861">
        <f>LOWER(TRIM(A6861))</f>
        <v/>
      </c>
      <c r="C6861">
        <f>IF(B6861="","",IFERROR(INDEX('Bad Patterns'!$A$2:$A$120,MATCH(1,INDEX(--ISNUMBER(SEARCH('Bad Patterns'!$A$2:$A$120,B6861)),0),0)),""))</f>
        <v/>
      </c>
      <c r="D6861">
        <f>IF(B6861="","",IF(C6861&lt;&gt;"","REMOVE","KEEP"))</f>
        <v/>
      </c>
      <c r="E6861">
        <f>IF(D6861&lt;&gt;"KEEP","",IF(RIGHT(B6861,10)="@gmail.com","Gmail",IF(OR(RIGHT(B6861,12)="@outlook.com",RIGHT(B6861,12)="@hotmail.com",RIGHT(B6861,9)="@live.com"),"Outlook","Domain")))</f>
        <v/>
      </c>
      <c r="F6861">
        <f>IF(B6861="","",IFERROR(RIGHT(B6861,LEN(B6861)-FIND("@",B6861)),""))</f>
        <v/>
      </c>
      <c r="G6861">
        <f>IF(D6861="KEEP",COUNTIF($D$2:D6861,"KEEP"),"")</f>
        <v/>
      </c>
      <c r="H6861">
        <f>IF(D6861="REMOVE",COUNTIF($D$2:D6861,"REMOVE"),"")</f>
        <v/>
      </c>
      <c r="I6861">
        <f>IF(E6861="Gmail",COUNTIF($E$2:E6861,"Gmail"),"")</f>
        <v/>
      </c>
      <c r="J6861">
        <f>IF(E6861="Outlook",COUNTIF($E$2:E6861,"Outlook"),"")</f>
        <v/>
      </c>
      <c r="K6861">
        <f>IF(E6861="Domain",COUNTIF($E$2:E6861,"Domain"),"")</f>
        <v/>
      </c>
    </row>
    <row r="6862">
      <c r="A6862" s="2" t="n"/>
      <c r="B6862">
        <f>LOWER(TRIM(A6862))</f>
        <v/>
      </c>
      <c r="C6862">
        <f>IF(B6862="","",IFERROR(INDEX('Bad Patterns'!$A$2:$A$120,MATCH(1,INDEX(--ISNUMBER(SEARCH('Bad Patterns'!$A$2:$A$120,B6862)),0),0)),""))</f>
        <v/>
      </c>
      <c r="D6862">
        <f>IF(B6862="","",IF(C6862&lt;&gt;"","REMOVE","KEEP"))</f>
        <v/>
      </c>
      <c r="E6862">
        <f>IF(D6862&lt;&gt;"KEEP","",IF(RIGHT(B6862,10)="@gmail.com","Gmail",IF(OR(RIGHT(B6862,12)="@outlook.com",RIGHT(B6862,12)="@hotmail.com",RIGHT(B6862,9)="@live.com"),"Outlook","Domain")))</f>
        <v/>
      </c>
      <c r="F6862">
        <f>IF(B6862="","",IFERROR(RIGHT(B6862,LEN(B6862)-FIND("@",B6862)),""))</f>
        <v/>
      </c>
      <c r="G6862">
        <f>IF(D6862="KEEP",COUNTIF($D$2:D6862,"KEEP"),"")</f>
        <v/>
      </c>
      <c r="H6862">
        <f>IF(D6862="REMOVE",COUNTIF($D$2:D6862,"REMOVE"),"")</f>
        <v/>
      </c>
      <c r="I6862">
        <f>IF(E6862="Gmail",COUNTIF($E$2:E6862,"Gmail"),"")</f>
        <v/>
      </c>
      <c r="J6862">
        <f>IF(E6862="Outlook",COUNTIF($E$2:E6862,"Outlook"),"")</f>
        <v/>
      </c>
      <c r="K6862">
        <f>IF(E6862="Domain",COUNTIF($E$2:E6862,"Domain"),"")</f>
        <v/>
      </c>
    </row>
    <row r="6863">
      <c r="A6863" s="2" t="n"/>
      <c r="B6863">
        <f>LOWER(TRIM(A6863))</f>
        <v/>
      </c>
      <c r="C6863">
        <f>IF(B6863="","",IFERROR(INDEX('Bad Patterns'!$A$2:$A$120,MATCH(1,INDEX(--ISNUMBER(SEARCH('Bad Patterns'!$A$2:$A$120,B6863)),0),0)),""))</f>
        <v/>
      </c>
      <c r="D6863">
        <f>IF(B6863="","",IF(C6863&lt;&gt;"","REMOVE","KEEP"))</f>
        <v/>
      </c>
      <c r="E6863">
        <f>IF(D6863&lt;&gt;"KEEP","",IF(RIGHT(B6863,10)="@gmail.com","Gmail",IF(OR(RIGHT(B6863,12)="@outlook.com",RIGHT(B6863,12)="@hotmail.com",RIGHT(B6863,9)="@live.com"),"Outlook","Domain")))</f>
        <v/>
      </c>
      <c r="F6863">
        <f>IF(B6863="","",IFERROR(RIGHT(B6863,LEN(B6863)-FIND("@",B6863)),""))</f>
        <v/>
      </c>
      <c r="G6863">
        <f>IF(D6863="KEEP",COUNTIF($D$2:D6863,"KEEP"),"")</f>
        <v/>
      </c>
      <c r="H6863">
        <f>IF(D6863="REMOVE",COUNTIF($D$2:D6863,"REMOVE"),"")</f>
        <v/>
      </c>
      <c r="I6863">
        <f>IF(E6863="Gmail",COUNTIF($E$2:E6863,"Gmail"),"")</f>
        <v/>
      </c>
      <c r="J6863">
        <f>IF(E6863="Outlook",COUNTIF($E$2:E6863,"Outlook"),"")</f>
        <v/>
      </c>
      <c r="K6863">
        <f>IF(E6863="Domain",COUNTIF($E$2:E6863,"Domain"),"")</f>
        <v/>
      </c>
    </row>
    <row r="6864">
      <c r="A6864" s="2" t="n"/>
      <c r="B6864">
        <f>LOWER(TRIM(A6864))</f>
        <v/>
      </c>
      <c r="C6864">
        <f>IF(B6864="","",IFERROR(INDEX('Bad Patterns'!$A$2:$A$120,MATCH(1,INDEX(--ISNUMBER(SEARCH('Bad Patterns'!$A$2:$A$120,B6864)),0),0)),""))</f>
        <v/>
      </c>
      <c r="D6864">
        <f>IF(B6864="","",IF(C6864&lt;&gt;"","REMOVE","KEEP"))</f>
        <v/>
      </c>
      <c r="E6864">
        <f>IF(D6864&lt;&gt;"KEEP","",IF(RIGHT(B6864,10)="@gmail.com","Gmail",IF(OR(RIGHT(B6864,12)="@outlook.com",RIGHT(B6864,12)="@hotmail.com",RIGHT(B6864,9)="@live.com"),"Outlook","Domain")))</f>
        <v/>
      </c>
      <c r="F6864">
        <f>IF(B6864="","",IFERROR(RIGHT(B6864,LEN(B6864)-FIND("@",B6864)),""))</f>
        <v/>
      </c>
      <c r="G6864">
        <f>IF(D6864="KEEP",COUNTIF($D$2:D6864,"KEEP"),"")</f>
        <v/>
      </c>
      <c r="H6864">
        <f>IF(D6864="REMOVE",COUNTIF($D$2:D6864,"REMOVE"),"")</f>
        <v/>
      </c>
      <c r="I6864">
        <f>IF(E6864="Gmail",COUNTIF($E$2:E6864,"Gmail"),"")</f>
        <v/>
      </c>
      <c r="J6864">
        <f>IF(E6864="Outlook",COUNTIF($E$2:E6864,"Outlook"),"")</f>
        <v/>
      </c>
      <c r="K6864">
        <f>IF(E6864="Domain",COUNTIF($E$2:E6864,"Domain"),"")</f>
        <v/>
      </c>
    </row>
    <row r="6865">
      <c r="A6865" s="2" t="n"/>
      <c r="B6865">
        <f>LOWER(TRIM(A6865))</f>
        <v/>
      </c>
      <c r="C6865">
        <f>IF(B6865="","",IFERROR(INDEX('Bad Patterns'!$A$2:$A$120,MATCH(1,INDEX(--ISNUMBER(SEARCH('Bad Patterns'!$A$2:$A$120,B6865)),0),0)),""))</f>
        <v/>
      </c>
      <c r="D6865">
        <f>IF(B6865="","",IF(C6865&lt;&gt;"","REMOVE","KEEP"))</f>
        <v/>
      </c>
      <c r="E6865">
        <f>IF(D6865&lt;&gt;"KEEP","",IF(RIGHT(B6865,10)="@gmail.com","Gmail",IF(OR(RIGHT(B6865,12)="@outlook.com",RIGHT(B6865,12)="@hotmail.com",RIGHT(B6865,9)="@live.com"),"Outlook","Domain")))</f>
        <v/>
      </c>
      <c r="F6865">
        <f>IF(B6865="","",IFERROR(RIGHT(B6865,LEN(B6865)-FIND("@",B6865)),""))</f>
        <v/>
      </c>
      <c r="G6865">
        <f>IF(D6865="KEEP",COUNTIF($D$2:D6865,"KEEP"),"")</f>
        <v/>
      </c>
      <c r="H6865">
        <f>IF(D6865="REMOVE",COUNTIF($D$2:D6865,"REMOVE"),"")</f>
        <v/>
      </c>
      <c r="I6865">
        <f>IF(E6865="Gmail",COUNTIF($E$2:E6865,"Gmail"),"")</f>
        <v/>
      </c>
      <c r="J6865">
        <f>IF(E6865="Outlook",COUNTIF($E$2:E6865,"Outlook"),"")</f>
        <v/>
      </c>
      <c r="K6865">
        <f>IF(E6865="Domain",COUNTIF($E$2:E6865,"Domain"),"")</f>
        <v/>
      </c>
    </row>
    <row r="6866">
      <c r="A6866" s="2" t="n"/>
      <c r="B6866">
        <f>LOWER(TRIM(A6866))</f>
        <v/>
      </c>
      <c r="C6866">
        <f>IF(B6866="","",IFERROR(INDEX('Bad Patterns'!$A$2:$A$120,MATCH(1,INDEX(--ISNUMBER(SEARCH('Bad Patterns'!$A$2:$A$120,B6866)),0),0)),""))</f>
        <v/>
      </c>
      <c r="D6866">
        <f>IF(B6866="","",IF(C6866&lt;&gt;"","REMOVE","KEEP"))</f>
        <v/>
      </c>
      <c r="E6866">
        <f>IF(D6866&lt;&gt;"KEEP","",IF(RIGHT(B6866,10)="@gmail.com","Gmail",IF(OR(RIGHT(B6866,12)="@outlook.com",RIGHT(B6866,12)="@hotmail.com",RIGHT(B6866,9)="@live.com"),"Outlook","Domain")))</f>
        <v/>
      </c>
      <c r="F6866">
        <f>IF(B6866="","",IFERROR(RIGHT(B6866,LEN(B6866)-FIND("@",B6866)),""))</f>
        <v/>
      </c>
      <c r="G6866">
        <f>IF(D6866="KEEP",COUNTIF($D$2:D6866,"KEEP"),"")</f>
        <v/>
      </c>
      <c r="H6866">
        <f>IF(D6866="REMOVE",COUNTIF($D$2:D6866,"REMOVE"),"")</f>
        <v/>
      </c>
      <c r="I6866">
        <f>IF(E6866="Gmail",COUNTIF($E$2:E6866,"Gmail"),"")</f>
        <v/>
      </c>
      <c r="J6866">
        <f>IF(E6866="Outlook",COUNTIF($E$2:E6866,"Outlook"),"")</f>
        <v/>
      </c>
      <c r="K6866">
        <f>IF(E6866="Domain",COUNTIF($E$2:E6866,"Domain"),"")</f>
        <v/>
      </c>
    </row>
    <row r="6867">
      <c r="A6867" s="2" t="n"/>
      <c r="B6867">
        <f>LOWER(TRIM(A6867))</f>
        <v/>
      </c>
      <c r="C6867">
        <f>IF(B6867="","",IFERROR(INDEX('Bad Patterns'!$A$2:$A$120,MATCH(1,INDEX(--ISNUMBER(SEARCH('Bad Patterns'!$A$2:$A$120,B6867)),0),0)),""))</f>
        <v/>
      </c>
      <c r="D6867">
        <f>IF(B6867="","",IF(C6867&lt;&gt;"","REMOVE","KEEP"))</f>
        <v/>
      </c>
      <c r="E6867">
        <f>IF(D6867&lt;&gt;"KEEP","",IF(RIGHT(B6867,10)="@gmail.com","Gmail",IF(OR(RIGHT(B6867,12)="@outlook.com",RIGHT(B6867,12)="@hotmail.com",RIGHT(B6867,9)="@live.com"),"Outlook","Domain")))</f>
        <v/>
      </c>
      <c r="F6867">
        <f>IF(B6867="","",IFERROR(RIGHT(B6867,LEN(B6867)-FIND("@",B6867)),""))</f>
        <v/>
      </c>
      <c r="G6867">
        <f>IF(D6867="KEEP",COUNTIF($D$2:D6867,"KEEP"),"")</f>
        <v/>
      </c>
      <c r="H6867">
        <f>IF(D6867="REMOVE",COUNTIF($D$2:D6867,"REMOVE"),"")</f>
        <v/>
      </c>
      <c r="I6867">
        <f>IF(E6867="Gmail",COUNTIF($E$2:E6867,"Gmail"),"")</f>
        <v/>
      </c>
      <c r="J6867">
        <f>IF(E6867="Outlook",COUNTIF($E$2:E6867,"Outlook"),"")</f>
        <v/>
      </c>
      <c r="K6867">
        <f>IF(E6867="Domain",COUNTIF($E$2:E6867,"Domain"),"")</f>
        <v/>
      </c>
    </row>
    <row r="6868">
      <c r="A6868" s="2" t="n"/>
      <c r="B6868">
        <f>LOWER(TRIM(A6868))</f>
        <v/>
      </c>
      <c r="C6868">
        <f>IF(B6868="","",IFERROR(INDEX('Bad Patterns'!$A$2:$A$120,MATCH(1,INDEX(--ISNUMBER(SEARCH('Bad Patterns'!$A$2:$A$120,B6868)),0),0)),""))</f>
        <v/>
      </c>
      <c r="D6868">
        <f>IF(B6868="","",IF(C6868&lt;&gt;"","REMOVE","KEEP"))</f>
        <v/>
      </c>
      <c r="E6868">
        <f>IF(D6868&lt;&gt;"KEEP","",IF(RIGHT(B6868,10)="@gmail.com","Gmail",IF(OR(RIGHT(B6868,12)="@outlook.com",RIGHT(B6868,12)="@hotmail.com",RIGHT(B6868,9)="@live.com"),"Outlook","Domain")))</f>
        <v/>
      </c>
      <c r="F6868">
        <f>IF(B6868="","",IFERROR(RIGHT(B6868,LEN(B6868)-FIND("@",B6868)),""))</f>
        <v/>
      </c>
      <c r="G6868">
        <f>IF(D6868="KEEP",COUNTIF($D$2:D6868,"KEEP"),"")</f>
        <v/>
      </c>
      <c r="H6868">
        <f>IF(D6868="REMOVE",COUNTIF($D$2:D6868,"REMOVE"),"")</f>
        <v/>
      </c>
      <c r="I6868">
        <f>IF(E6868="Gmail",COUNTIF($E$2:E6868,"Gmail"),"")</f>
        <v/>
      </c>
      <c r="J6868">
        <f>IF(E6868="Outlook",COUNTIF($E$2:E6868,"Outlook"),"")</f>
        <v/>
      </c>
      <c r="K6868">
        <f>IF(E6868="Domain",COUNTIF($E$2:E6868,"Domain"),"")</f>
        <v/>
      </c>
    </row>
    <row r="6869">
      <c r="A6869" s="2" t="n"/>
      <c r="B6869">
        <f>LOWER(TRIM(A6869))</f>
        <v/>
      </c>
      <c r="C6869">
        <f>IF(B6869="","",IFERROR(INDEX('Bad Patterns'!$A$2:$A$120,MATCH(1,INDEX(--ISNUMBER(SEARCH('Bad Patterns'!$A$2:$A$120,B6869)),0),0)),""))</f>
        <v/>
      </c>
      <c r="D6869">
        <f>IF(B6869="","",IF(C6869&lt;&gt;"","REMOVE","KEEP"))</f>
        <v/>
      </c>
      <c r="E6869">
        <f>IF(D6869&lt;&gt;"KEEP","",IF(RIGHT(B6869,10)="@gmail.com","Gmail",IF(OR(RIGHT(B6869,12)="@outlook.com",RIGHT(B6869,12)="@hotmail.com",RIGHT(B6869,9)="@live.com"),"Outlook","Domain")))</f>
        <v/>
      </c>
      <c r="F6869">
        <f>IF(B6869="","",IFERROR(RIGHT(B6869,LEN(B6869)-FIND("@",B6869)),""))</f>
        <v/>
      </c>
      <c r="G6869">
        <f>IF(D6869="KEEP",COUNTIF($D$2:D6869,"KEEP"),"")</f>
        <v/>
      </c>
      <c r="H6869">
        <f>IF(D6869="REMOVE",COUNTIF($D$2:D6869,"REMOVE"),"")</f>
        <v/>
      </c>
      <c r="I6869">
        <f>IF(E6869="Gmail",COUNTIF($E$2:E6869,"Gmail"),"")</f>
        <v/>
      </c>
      <c r="J6869">
        <f>IF(E6869="Outlook",COUNTIF($E$2:E6869,"Outlook"),"")</f>
        <v/>
      </c>
      <c r="K6869">
        <f>IF(E6869="Domain",COUNTIF($E$2:E6869,"Domain"),"")</f>
        <v/>
      </c>
    </row>
    <row r="6870">
      <c r="A6870" s="2" t="n"/>
      <c r="B6870">
        <f>LOWER(TRIM(A6870))</f>
        <v/>
      </c>
      <c r="C6870">
        <f>IF(B6870="","",IFERROR(INDEX('Bad Patterns'!$A$2:$A$120,MATCH(1,INDEX(--ISNUMBER(SEARCH('Bad Patterns'!$A$2:$A$120,B6870)),0),0)),""))</f>
        <v/>
      </c>
      <c r="D6870">
        <f>IF(B6870="","",IF(C6870&lt;&gt;"","REMOVE","KEEP"))</f>
        <v/>
      </c>
      <c r="E6870">
        <f>IF(D6870&lt;&gt;"KEEP","",IF(RIGHT(B6870,10)="@gmail.com","Gmail",IF(OR(RIGHT(B6870,12)="@outlook.com",RIGHT(B6870,12)="@hotmail.com",RIGHT(B6870,9)="@live.com"),"Outlook","Domain")))</f>
        <v/>
      </c>
      <c r="F6870">
        <f>IF(B6870="","",IFERROR(RIGHT(B6870,LEN(B6870)-FIND("@",B6870)),""))</f>
        <v/>
      </c>
      <c r="G6870">
        <f>IF(D6870="KEEP",COUNTIF($D$2:D6870,"KEEP"),"")</f>
        <v/>
      </c>
      <c r="H6870">
        <f>IF(D6870="REMOVE",COUNTIF($D$2:D6870,"REMOVE"),"")</f>
        <v/>
      </c>
      <c r="I6870">
        <f>IF(E6870="Gmail",COUNTIF($E$2:E6870,"Gmail"),"")</f>
        <v/>
      </c>
      <c r="J6870">
        <f>IF(E6870="Outlook",COUNTIF($E$2:E6870,"Outlook"),"")</f>
        <v/>
      </c>
      <c r="K6870">
        <f>IF(E6870="Domain",COUNTIF($E$2:E6870,"Domain"),"")</f>
        <v/>
      </c>
    </row>
    <row r="6871">
      <c r="A6871" s="2" t="n"/>
      <c r="B6871">
        <f>LOWER(TRIM(A6871))</f>
        <v/>
      </c>
      <c r="C6871">
        <f>IF(B6871="","",IFERROR(INDEX('Bad Patterns'!$A$2:$A$120,MATCH(1,INDEX(--ISNUMBER(SEARCH('Bad Patterns'!$A$2:$A$120,B6871)),0),0)),""))</f>
        <v/>
      </c>
      <c r="D6871">
        <f>IF(B6871="","",IF(C6871&lt;&gt;"","REMOVE","KEEP"))</f>
        <v/>
      </c>
      <c r="E6871">
        <f>IF(D6871&lt;&gt;"KEEP","",IF(RIGHT(B6871,10)="@gmail.com","Gmail",IF(OR(RIGHT(B6871,12)="@outlook.com",RIGHT(B6871,12)="@hotmail.com",RIGHT(B6871,9)="@live.com"),"Outlook","Domain")))</f>
        <v/>
      </c>
      <c r="F6871">
        <f>IF(B6871="","",IFERROR(RIGHT(B6871,LEN(B6871)-FIND("@",B6871)),""))</f>
        <v/>
      </c>
      <c r="G6871">
        <f>IF(D6871="KEEP",COUNTIF($D$2:D6871,"KEEP"),"")</f>
        <v/>
      </c>
      <c r="H6871">
        <f>IF(D6871="REMOVE",COUNTIF($D$2:D6871,"REMOVE"),"")</f>
        <v/>
      </c>
      <c r="I6871">
        <f>IF(E6871="Gmail",COUNTIF($E$2:E6871,"Gmail"),"")</f>
        <v/>
      </c>
      <c r="J6871">
        <f>IF(E6871="Outlook",COUNTIF($E$2:E6871,"Outlook"),"")</f>
        <v/>
      </c>
      <c r="K6871">
        <f>IF(E6871="Domain",COUNTIF($E$2:E6871,"Domain"),"")</f>
        <v/>
      </c>
    </row>
    <row r="6872">
      <c r="A6872" s="2" t="n"/>
      <c r="B6872">
        <f>LOWER(TRIM(A6872))</f>
        <v/>
      </c>
      <c r="C6872">
        <f>IF(B6872="","",IFERROR(INDEX('Bad Patterns'!$A$2:$A$120,MATCH(1,INDEX(--ISNUMBER(SEARCH('Bad Patterns'!$A$2:$A$120,B6872)),0),0)),""))</f>
        <v/>
      </c>
      <c r="D6872">
        <f>IF(B6872="","",IF(C6872&lt;&gt;"","REMOVE","KEEP"))</f>
        <v/>
      </c>
      <c r="E6872">
        <f>IF(D6872&lt;&gt;"KEEP","",IF(RIGHT(B6872,10)="@gmail.com","Gmail",IF(OR(RIGHT(B6872,12)="@outlook.com",RIGHT(B6872,12)="@hotmail.com",RIGHT(B6872,9)="@live.com"),"Outlook","Domain")))</f>
        <v/>
      </c>
      <c r="F6872">
        <f>IF(B6872="","",IFERROR(RIGHT(B6872,LEN(B6872)-FIND("@",B6872)),""))</f>
        <v/>
      </c>
      <c r="G6872">
        <f>IF(D6872="KEEP",COUNTIF($D$2:D6872,"KEEP"),"")</f>
        <v/>
      </c>
      <c r="H6872">
        <f>IF(D6872="REMOVE",COUNTIF($D$2:D6872,"REMOVE"),"")</f>
        <v/>
      </c>
      <c r="I6872">
        <f>IF(E6872="Gmail",COUNTIF($E$2:E6872,"Gmail"),"")</f>
        <v/>
      </c>
      <c r="J6872">
        <f>IF(E6872="Outlook",COUNTIF($E$2:E6872,"Outlook"),"")</f>
        <v/>
      </c>
      <c r="K6872">
        <f>IF(E6872="Domain",COUNTIF($E$2:E6872,"Domain"),"")</f>
        <v/>
      </c>
    </row>
    <row r="6873">
      <c r="A6873" s="2" t="n"/>
      <c r="B6873">
        <f>LOWER(TRIM(A6873))</f>
        <v/>
      </c>
      <c r="C6873">
        <f>IF(B6873="","",IFERROR(INDEX('Bad Patterns'!$A$2:$A$120,MATCH(1,INDEX(--ISNUMBER(SEARCH('Bad Patterns'!$A$2:$A$120,B6873)),0),0)),""))</f>
        <v/>
      </c>
      <c r="D6873">
        <f>IF(B6873="","",IF(C6873&lt;&gt;"","REMOVE","KEEP"))</f>
        <v/>
      </c>
      <c r="E6873">
        <f>IF(D6873&lt;&gt;"KEEP","",IF(RIGHT(B6873,10)="@gmail.com","Gmail",IF(OR(RIGHT(B6873,12)="@outlook.com",RIGHT(B6873,12)="@hotmail.com",RIGHT(B6873,9)="@live.com"),"Outlook","Domain")))</f>
        <v/>
      </c>
      <c r="F6873">
        <f>IF(B6873="","",IFERROR(RIGHT(B6873,LEN(B6873)-FIND("@",B6873)),""))</f>
        <v/>
      </c>
      <c r="G6873">
        <f>IF(D6873="KEEP",COUNTIF($D$2:D6873,"KEEP"),"")</f>
        <v/>
      </c>
      <c r="H6873">
        <f>IF(D6873="REMOVE",COUNTIF($D$2:D6873,"REMOVE"),"")</f>
        <v/>
      </c>
      <c r="I6873">
        <f>IF(E6873="Gmail",COUNTIF($E$2:E6873,"Gmail"),"")</f>
        <v/>
      </c>
      <c r="J6873">
        <f>IF(E6873="Outlook",COUNTIF($E$2:E6873,"Outlook"),"")</f>
        <v/>
      </c>
      <c r="K6873">
        <f>IF(E6873="Domain",COUNTIF($E$2:E6873,"Domain"),"")</f>
        <v/>
      </c>
    </row>
    <row r="6874">
      <c r="A6874" s="2" t="n"/>
      <c r="B6874">
        <f>LOWER(TRIM(A6874))</f>
        <v/>
      </c>
      <c r="C6874">
        <f>IF(B6874="","",IFERROR(INDEX('Bad Patterns'!$A$2:$A$120,MATCH(1,INDEX(--ISNUMBER(SEARCH('Bad Patterns'!$A$2:$A$120,B6874)),0),0)),""))</f>
        <v/>
      </c>
      <c r="D6874">
        <f>IF(B6874="","",IF(C6874&lt;&gt;"","REMOVE","KEEP"))</f>
        <v/>
      </c>
      <c r="E6874">
        <f>IF(D6874&lt;&gt;"KEEP","",IF(RIGHT(B6874,10)="@gmail.com","Gmail",IF(OR(RIGHT(B6874,12)="@outlook.com",RIGHT(B6874,12)="@hotmail.com",RIGHT(B6874,9)="@live.com"),"Outlook","Domain")))</f>
        <v/>
      </c>
      <c r="F6874">
        <f>IF(B6874="","",IFERROR(RIGHT(B6874,LEN(B6874)-FIND("@",B6874)),""))</f>
        <v/>
      </c>
      <c r="G6874">
        <f>IF(D6874="KEEP",COUNTIF($D$2:D6874,"KEEP"),"")</f>
        <v/>
      </c>
      <c r="H6874">
        <f>IF(D6874="REMOVE",COUNTIF($D$2:D6874,"REMOVE"),"")</f>
        <v/>
      </c>
      <c r="I6874">
        <f>IF(E6874="Gmail",COUNTIF($E$2:E6874,"Gmail"),"")</f>
        <v/>
      </c>
      <c r="J6874">
        <f>IF(E6874="Outlook",COUNTIF($E$2:E6874,"Outlook"),"")</f>
        <v/>
      </c>
      <c r="K6874">
        <f>IF(E6874="Domain",COUNTIF($E$2:E6874,"Domain"),"")</f>
        <v/>
      </c>
    </row>
    <row r="6875">
      <c r="A6875" s="2" t="n"/>
      <c r="B6875">
        <f>LOWER(TRIM(A6875))</f>
        <v/>
      </c>
      <c r="C6875">
        <f>IF(B6875="","",IFERROR(INDEX('Bad Patterns'!$A$2:$A$120,MATCH(1,INDEX(--ISNUMBER(SEARCH('Bad Patterns'!$A$2:$A$120,B6875)),0),0)),""))</f>
        <v/>
      </c>
      <c r="D6875">
        <f>IF(B6875="","",IF(C6875&lt;&gt;"","REMOVE","KEEP"))</f>
        <v/>
      </c>
      <c r="E6875">
        <f>IF(D6875&lt;&gt;"KEEP","",IF(RIGHT(B6875,10)="@gmail.com","Gmail",IF(OR(RIGHT(B6875,12)="@outlook.com",RIGHT(B6875,12)="@hotmail.com",RIGHT(B6875,9)="@live.com"),"Outlook","Domain")))</f>
        <v/>
      </c>
      <c r="F6875">
        <f>IF(B6875="","",IFERROR(RIGHT(B6875,LEN(B6875)-FIND("@",B6875)),""))</f>
        <v/>
      </c>
      <c r="G6875">
        <f>IF(D6875="KEEP",COUNTIF($D$2:D6875,"KEEP"),"")</f>
        <v/>
      </c>
      <c r="H6875">
        <f>IF(D6875="REMOVE",COUNTIF($D$2:D6875,"REMOVE"),"")</f>
        <v/>
      </c>
      <c r="I6875">
        <f>IF(E6875="Gmail",COUNTIF($E$2:E6875,"Gmail"),"")</f>
        <v/>
      </c>
      <c r="J6875">
        <f>IF(E6875="Outlook",COUNTIF($E$2:E6875,"Outlook"),"")</f>
        <v/>
      </c>
      <c r="K6875">
        <f>IF(E6875="Domain",COUNTIF($E$2:E6875,"Domain"),"")</f>
        <v/>
      </c>
    </row>
    <row r="6876">
      <c r="A6876" s="2" t="n"/>
      <c r="B6876">
        <f>LOWER(TRIM(A6876))</f>
        <v/>
      </c>
      <c r="C6876">
        <f>IF(B6876="","",IFERROR(INDEX('Bad Patterns'!$A$2:$A$120,MATCH(1,INDEX(--ISNUMBER(SEARCH('Bad Patterns'!$A$2:$A$120,B6876)),0),0)),""))</f>
        <v/>
      </c>
      <c r="D6876">
        <f>IF(B6876="","",IF(C6876&lt;&gt;"","REMOVE","KEEP"))</f>
        <v/>
      </c>
      <c r="E6876">
        <f>IF(D6876&lt;&gt;"KEEP","",IF(RIGHT(B6876,10)="@gmail.com","Gmail",IF(OR(RIGHT(B6876,12)="@outlook.com",RIGHT(B6876,12)="@hotmail.com",RIGHT(B6876,9)="@live.com"),"Outlook","Domain")))</f>
        <v/>
      </c>
      <c r="F6876">
        <f>IF(B6876="","",IFERROR(RIGHT(B6876,LEN(B6876)-FIND("@",B6876)),""))</f>
        <v/>
      </c>
      <c r="G6876">
        <f>IF(D6876="KEEP",COUNTIF($D$2:D6876,"KEEP"),"")</f>
        <v/>
      </c>
      <c r="H6876">
        <f>IF(D6876="REMOVE",COUNTIF($D$2:D6876,"REMOVE"),"")</f>
        <v/>
      </c>
      <c r="I6876">
        <f>IF(E6876="Gmail",COUNTIF($E$2:E6876,"Gmail"),"")</f>
        <v/>
      </c>
      <c r="J6876">
        <f>IF(E6876="Outlook",COUNTIF($E$2:E6876,"Outlook"),"")</f>
        <v/>
      </c>
      <c r="K6876">
        <f>IF(E6876="Domain",COUNTIF($E$2:E6876,"Domain"),"")</f>
        <v/>
      </c>
    </row>
    <row r="6877">
      <c r="A6877" s="2" t="n"/>
      <c r="B6877">
        <f>LOWER(TRIM(A6877))</f>
        <v/>
      </c>
      <c r="C6877">
        <f>IF(B6877="","",IFERROR(INDEX('Bad Patterns'!$A$2:$A$120,MATCH(1,INDEX(--ISNUMBER(SEARCH('Bad Patterns'!$A$2:$A$120,B6877)),0),0)),""))</f>
        <v/>
      </c>
      <c r="D6877">
        <f>IF(B6877="","",IF(C6877&lt;&gt;"","REMOVE","KEEP"))</f>
        <v/>
      </c>
      <c r="E6877">
        <f>IF(D6877&lt;&gt;"KEEP","",IF(RIGHT(B6877,10)="@gmail.com","Gmail",IF(OR(RIGHT(B6877,12)="@outlook.com",RIGHT(B6877,12)="@hotmail.com",RIGHT(B6877,9)="@live.com"),"Outlook","Domain")))</f>
        <v/>
      </c>
      <c r="F6877">
        <f>IF(B6877="","",IFERROR(RIGHT(B6877,LEN(B6877)-FIND("@",B6877)),""))</f>
        <v/>
      </c>
      <c r="G6877">
        <f>IF(D6877="KEEP",COUNTIF($D$2:D6877,"KEEP"),"")</f>
        <v/>
      </c>
      <c r="H6877">
        <f>IF(D6877="REMOVE",COUNTIF($D$2:D6877,"REMOVE"),"")</f>
        <v/>
      </c>
      <c r="I6877">
        <f>IF(E6877="Gmail",COUNTIF($E$2:E6877,"Gmail"),"")</f>
        <v/>
      </c>
      <c r="J6877">
        <f>IF(E6877="Outlook",COUNTIF($E$2:E6877,"Outlook"),"")</f>
        <v/>
      </c>
      <c r="K6877">
        <f>IF(E6877="Domain",COUNTIF($E$2:E6877,"Domain"),"")</f>
        <v/>
      </c>
    </row>
    <row r="6878">
      <c r="A6878" s="2" t="n"/>
      <c r="B6878">
        <f>LOWER(TRIM(A6878))</f>
        <v/>
      </c>
      <c r="C6878">
        <f>IF(B6878="","",IFERROR(INDEX('Bad Patterns'!$A$2:$A$120,MATCH(1,INDEX(--ISNUMBER(SEARCH('Bad Patterns'!$A$2:$A$120,B6878)),0),0)),""))</f>
        <v/>
      </c>
      <c r="D6878">
        <f>IF(B6878="","",IF(C6878&lt;&gt;"","REMOVE","KEEP"))</f>
        <v/>
      </c>
      <c r="E6878">
        <f>IF(D6878&lt;&gt;"KEEP","",IF(RIGHT(B6878,10)="@gmail.com","Gmail",IF(OR(RIGHT(B6878,12)="@outlook.com",RIGHT(B6878,12)="@hotmail.com",RIGHT(B6878,9)="@live.com"),"Outlook","Domain")))</f>
        <v/>
      </c>
      <c r="F6878">
        <f>IF(B6878="","",IFERROR(RIGHT(B6878,LEN(B6878)-FIND("@",B6878)),""))</f>
        <v/>
      </c>
      <c r="G6878">
        <f>IF(D6878="KEEP",COUNTIF($D$2:D6878,"KEEP"),"")</f>
        <v/>
      </c>
      <c r="H6878">
        <f>IF(D6878="REMOVE",COUNTIF($D$2:D6878,"REMOVE"),"")</f>
        <v/>
      </c>
      <c r="I6878">
        <f>IF(E6878="Gmail",COUNTIF($E$2:E6878,"Gmail"),"")</f>
        <v/>
      </c>
      <c r="J6878">
        <f>IF(E6878="Outlook",COUNTIF($E$2:E6878,"Outlook"),"")</f>
        <v/>
      </c>
      <c r="K6878">
        <f>IF(E6878="Domain",COUNTIF($E$2:E6878,"Domain"),"")</f>
        <v/>
      </c>
    </row>
    <row r="6879">
      <c r="A6879" s="2" t="n"/>
      <c r="B6879">
        <f>LOWER(TRIM(A6879))</f>
        <v/>
      </c>
      <c r="C6879">
        <f>IF(B6879="","",IFERROR(INDEX('Bad Patterns'!$A$2:$A$120,MATCH(1,INDEX(--ISNUMBER(SEARCH('Bad Patterns'!$A$2:$A$120,B6879)),0),0)),""))</f>
        <v/>
      </c>
      <c r="D6879">
        <f>IF(B6879="","",IF(C6879&lt;&gt;"","REMOVE","KEEP"))</f>
        <v/>
      </c>
      <c r="E6879">
        <f>IF(D6879&lt;&gt;"KEEP","",IF(RIGHT(B6879,10)="@gmail.com","Gmail",IF(OR(RIGHT(B6879,12)="@outlook.com",RIGHT(B6879,12)="@hotmail.com",RIGHT(B6879,9)="@live.com"),"Outlook","Domain")))</f>
        <v/>
      </c>
      <c r="F6879">
        <f>IF(B6879="","",IFERROR(RIGHT(B6879,LEN(B6879)-FIND("@",B6879)),""))</f>
        <v/>
      </c>
      <c r="G6879">
        <f>IF(D6879="KEEP",COUNTIF($D$2:D6879,"KEEP"),"")</f>
        <v/>
      </c>
      <c r="H6879">
        <f>IF(D6879="REMOVE",COUNTIF($D$2:D6879,"REMOVE"),"")</f>
        <v/>
      </c>
      <c r="I6879">
        <f>IF(E6879="Gmail",COUNTIF($E$2:E6879,"Gmail"),"")</f>
        <v/>
      </c>
      <c r="J6879">
        <f>IF(E6879="Outlook",COUNTIF($E$2:E6879,"Outlook"),"")</f>
        <v/>
      </c>
      <c r="K6879">
        <f>IF(E6879="Domain",COUNTIF($E$2:E6879,"Domain"),"")</f>
        <v/>
      </c>
    </row>
    <row r="6880">
      <c r="A6880" s="2" t="n"/>
      <c r="B6880">
        <f>LOWER(TRIM(A6880))</f>
        <v/>
      </c>
      <c r="C6880">
        <f>IF(B6880="","",IFERROR(INDEX('Bad Patterns'!$A$2:$A$120,MATCH(1,INDEX(--ISNUMBER(SEARCH('Bad Patterns'!$A$2:$A$120,B6880)),0),0)),""))</f>
        <v/>
      </c>
      <c r="D6880">
        <f>IF(B6880="","",IF(C6880&lt;&gt;"","REMOVE","KEEP"))</f>
        <v/>
      </c>
      <c r="E6880">
        <f>IF(D6880&lt;&gt;"KEEP","",IF(RIGHT(B6880,10)="@gmail.com","Gmail",IF(OR(RIGHT(B6880,12)="@outlook.com",RIGHT(B6880,12)="@hotmail.com",RIGHT(B6880,9)="@live.com"),"Outlook","Domain")))</f>
        <v/>
      </c>
      <c r="F6880">
        <f>IF(B6880="","",IFERROR(RIGHT(B6880,LEN(B6880)-FIND("@",B6880)),""))</f>
        <v/>
      </c>
      <c r="G6880">
        <f>IF(D6880="KEEP",COUNTIF($D$2:D6880,"KEEP"),"")</f>
        <v/>
      </c>
      <c r="H6880">
        <f>IF(D6880="REMOVE",COUNTIF($D$2:D6880,"REMOVE"),"")</f>
        <v/>
      </c>
      <c r="I6880">
        <f>IF(E6880="Gmail",COUNTIF($E$2:E6880,"Gmail"),"")</f>
        <v/>
      </c>
      <c r="J6880">
        <f>IF(E6880="Outlook",COUNTIF($E$2:E6880,"Outlook"),"")</f>
        <v/>
      </c>
      <c r="K6880">
        <f>IF(E6880="Domain",COUNTIF($E$2:E6880,"Domain"),"")</f>
        <v/>
      </c>
    </row>
    <row r="6881">
      <c r="A6881" s="2" t="n"/>
      <c r="B6881">
        <f>LOWER(TRIM(A6881))</f>
        <v/>
      </c>
      <c r="C6881">
        <f>IF(B6881="","",IFERROR(INDEX('Bad Patterns'!$A$2:$A$120,MATCH(1,INDEX(--ISNUMBER(SEARCH('Bad Patterns'!$A$2:$A$120,B6881)),0),0)),""))</f>
        <v/>
      </c>
      <c r="D6881">
        <f>IF(B6881="","",IF(C6881&lt;&gt;"","REMOVE","KEEP"))</f>
        <v/>
      </c>
      <c r="E6881">
        <f>IF(D6881&lt;&gt;"KEEP","",IF(RIGHT(B6881,10)="@gmail.com","Gmail",IF(OR(RIGHT(B6881,12)="@outlook.com",RIGHT(B6881,12)="@hotmail.com",RIGHT(B6881,9)="@live.com"),"Outlook","Domain")))</f>
        <v/>
      </c>
      <c r="F6881">
        <f>IF(B6881="","",IFERROR(RIGHT(B6881,LEN(B6881)-FIND("@",B6881)),""))</f>
        <v/>
      </c>
      <c r="G6881">
        <f>IF(D6881="KEEP",COUNTIF($D$2:D6881,"KEEP"),"")</f>
        <v/>
      </c>
      <c r="H6881">
        <f>IF(D6881="REMOVE",COUNTIF($D$2:D6881,"REMOVE"),"")</f>
        <v/>
      </c>
      <c r="I6881">
        <f>IF(E6881="Gmail",COUNTIF($E$2:E6881,"Gmail"),"")</f>
        <v/>
      </c>
      <c r="J6881">
        <f>IF(E6881="Outlook",COUNTIF($E$2:E6881,"Outlook"),"")</f>
        <v/>
      </c>
      <c r="K6881">
        <f>IF(E6881="Domain",COUNTIF($E$2:E6881,"Domain"),"")</f>
        <v/>
      </c>
    </row>
    <row r="6882">
      <c r="A6882" s="2" t="n"/>
      <c r="B6882">
        <f>LOWER(TRIM(A6882))</f>
        <v/>
      </c>
      <c r="C6882">
        <f>IF(B6882="","",IFERROR(INDEX('Bad Patterns'!$A$2:$A$120,MATCH(1,INDEX(--ISNUMBER(SEARCH('Bad Patterns'!$A$2:$A$120,B6882)),0),0)),""))</f>
        <v/>
      </c>
      <c r="D6882">
        <f>IF(B6882="","",IF(C6882&lt;&gt;"","REMOVE","KEEP"))</f>
        <v/>
      </c>
      <c r="E6882">
        <f>IF(D6882&lt;&gt;"KEEP","",IF(RIGHT(B6882,10)="@gmail.com","Gmail",IF(OR(RIGHT(B6882,12)="@outlook.com",RIGHT(B6882,12)="@hotmail.com",RIGHT(B6882,9)="@live.com"),"Outlook","Domain")))</f>
        <v/>
      </c>
      <c r="F6882">
        <f>IF(B6882="","",IFERROR(RIGHT(B6882,LEN(B6882)-FIND("@",B6882)),""))</f>
        <v/>
      </c>
      <c r="G6882">
        <f>IF(D6882="KEEP",COUNTIF($D$2:D6882,"KEEP"),"")</f>
        <v/>
      </c>
      <c r="H6882">
        <f>IF(D6882="REMOVE",COUNTIF($D$2:D6882,"REMOVE"),"")</f>
        <v/>
      </c>
      <c r="I6882">
        <f>IF(E6882="Gmail",COUNTIF($E$2:E6882,"Gmail"),"")</f>
        <v/>
      </c>
      <c r="J6882">
        <f>IF(E6882="Outlook",COUNTIF($E$2:E6882,"Outlook"),"")</f>
        <v/>
      </c>
      <c r="K6882">
        <f>IF(E6882="Domain",COUNTIF($E$2:E6882,"Domain"),"")</f>
        <v/>
      </c>
    </row>
    <row r="6883">
      <c r="A6883" s="2" t="n"/>
      <c r="B6883">
        <f>LOWER(TRIM(A6883))</f>
        <v/>
      </c>
      <c r="C6883">
        <f>IF(B6883="","",IFERROR(INDEX('Bad Patterns'!$A$2:$A$120,MATCH(1,INDEX(--ISNUMBER(SEARCH('Bad Patterns'!$A$2:$A$120,B6883)),0),0)),""))</f>
        <v/>
      </c>
      <c r="D6883">
        <f>IF(B6883="","",IF(C6883&lt;&gt;"","REMOVE","KEEP"))</f>
        <v/>
      </c>
      <c r="E6883">
        <f>IF(D6883&lt;&gt;"KEEP","",IF(RIGHT(B6883,10)="@gmail.com","Gmail",IF(OR(RIGHT(B6883,12)="@outlook.com",RIGHT(B6883,12)="@hotmail.com",RIGHT(B6883,9)="@live.com"),"Outlook","Domain")))</f>
        <v/>
      </c>
      <c r="F6883">
        <f>IF(B6883="","",IFERROR(RIGHT(B6883,LEN(B6883)-FIND("@",B6883)),""))</f>
        <v/>
      </c>
      <c r="G6883">
        <f>IF(D6883="KEEP",COUNTIF($D$2:D6883,"KEEP"),"")</f>
        <v/>
      </c>
      <c r="H6883">
        <f>IF(D6883="REMOVE",COUNTIF($D$2:D6883,"REMOVE"),"")</f>
        <v/>
      </c>
      <c r="I6883">
        <f>IF(E6883="Gmail",COUNTIF($E$2:E6883,"Gmail"),"")</f>
        <v/>
      </c>
      <c r="J6883">
        <f>IF(E6883="Outlook",COUNTIF($E$2:E6883,"Outlook"),"")</f>
        <v/>
      </c>
      <c r="K6883">
        <f>IF(E6883="Domain",COUNTIF($E$2:E6883,"Domain"),"")</f>
        <v/>
      </c>
    </row>
    <row r="6884">
      <c r="A6884" s="2" t="n"/>
      <c r="B6884">
        <f>LOWER(TRIM(A6884))</f>
        <v/>
      </c>
      <c r="C6884">
        <f>IF(B6884="","",IFERROR(INDEX('Bad Patterns'!$A$2:$A$120,MATCH(1,INDEX(--ISNUMBER(SEARCH('Bad Patterns'!$A$2:$A$120,B6884)),0),0)),""))</f>
        <v/>
      </c>
      <c r="D6884">
        <f>IF(B6884="","",IF(C6884&lt;&gt;"","REMOVE","KEEP"))</f>
        <v/>
      </c>
      <c r="E6884">
        <f>IF(D6884&lt;&gt;"KEEP","",IF(RIGHT(B6884,10)="@gmail.com","Gmail",IF(OR(RIGHT(B6884,12)="@outlook.com",RIGHT(B6884,12)="@hotmail.com",RIGHT(B6884,9)="@live.com"),"Outlook","Domain")))</f>
        <v/>
      </c>
      <c r="F6884">
        <f>IF(B6884="","",IFERROR(RIGHT(B6884,LEN(B6884)-FIND("@",B6884)),""))</f>
        <v/>
      </c>
      <c r="G6884">
        <f>IF(D6884="KEEP",COUNTIF($D$2:D6884,"KEEP"),"")</f>
        <v/>
      </c>
      <c r="H6884">
        <f>IF(D6884="REMOVE",COUNTIF($D$2:D6884,"REMOVE"),"")</f>
        <v/>
      </c>
      <c r="I6884">
        <f>IF(E6884="Gmail",COUNTIF($E$2:E6884,"Gmail"),"")</f>
        <v/>
      </c>
      <c r="J6884">
        <f>IF(E6884="Outlook",COUNTIF($E$2:E6884,"Outlook"),"")</f>
        <v/>
      </c>
      <c r="K6884">
        <f>IF(E6884="Domain",COUNTIF($E$2:E6884,"Domain"),"")</f>
        <v/>
      </c>
    </row>
    <row r="6885">
      <c r="A6885" s="2" t="n"/>
      <c r="B6885">
        <f>LOWER(TRIM(A6885))</f>
        <v/>
      </c>
      <c r="C6885">
        <f>IF(B6885="","",IFERROR(INDEX('Bad Patterns'!$A$2:$A$120,MATCH(1,INDEX(--ISNUMBER(SEARCH('Bad Patterns'!$A$2:$A$120,B6885)),0),0)),""))</f>
        <v/>
      </c>
      <c r="D6885">
        <f>IF(B6885="","",IF(C6885&lt;&gt;"","REMOVE","KEEP"))</f>
        <v/>
      </c>
      <c r="E6885">
        <f>IF(D6885&lt;&gt;"KEEP","",IF(RIGHT(B6885,10)="@gmail.com","Gmail",IF(OR(RIGHT(B6885,12)="@outlook.com",RIGHT(B6885,12)="@hotmail.com",RIGHT(B6885,9)="@live.com"),"Outlook","Domain")))</f>
        <v/>
      </c>
      <c r="F6885">
        <f>IF(B6885="","",IFERROR(RIGHT(B6885,LEN(B6885)-FIND("@",B6885)),""))</f>
        <v/>
      </c>
      <c r="G6885">
        <f>IF(D6885="KEEP",COUNTIF($D$2:D6885,"KEEP"),"")</f>
        <v/>
      </c>
      <c r="H6885">
        <f>IF(D6885="REMOVE",COUNTIF($D$2:D6885,"REMOVE"),"")</f>
        <v/>
      </c>
      <c r="I6885">
        <f>IF(E6885="Gmail",COUNTIF($E$2:E6885,"Gmail"),"")</f>
        <v/>
      </c>
      <c r="J6885">
        <f>IF(E6885="Outlook",COUNTIF($E$2:E6885,"Outlook"),"")</f>
        <v/>
      </c>
      <c r="K6885">
        <f>IF(E6885="Domain",COUNTIF($E$2:E6885,"Domain"),"")</f>
        <v/>
      </c>
    </row>
    <row r="6886">
      <c r="A6886" s="2" t="n"/>
      <c r="B6886">
        <f>LOWER(TRIM(A6886))</f>
        <v/>
      </c>
      <c r="C6886">
        <f>IF(B6886="","",IFERROR(INDEX('Bad Patterns'!$A$2:$A$120,MATCH(1,INDEX(--ISNUMBER(SEARCH('Bad Patterns'!$A$2:$A$120,B6886)),0),0)),""))</f>
        <v/>
      </c>
      <c r="D6886">
        <f>IF(B6886="","",IF(C6886&lt;&gt;"","REMOVE","KEEP"))</f>
        <v/>
      </c>
      <c r="E6886">
        <f>IF(D6886&lt;&gt;"KEEP","",IF(RIGHT(B6886,10)="@gmail.com","Gmail",IF(OR(RIGHT(B6886,12)="@outlook.com",RIGHT(B6886,12)="@hotmail.com",RIGHT(B6886,9)="@live.com"),"Outlook","Domain")))</f>
        <v/>
      </c>
      <c r="F6886">
        <f>IF(B6886="","",IFERROR(RIGHT(B6886,LEN(B6886)-FIND("@",B6886)),""))</f>
        <v/>
      </c>
      <c r="G6886">
        <f>IF(D6886="KEEP",COUNTIF($D$2:D6886,"KEEP"),"")</f>
        <v/>
      </c>
      <c r="H6886">
        <f>IF(D6886="REMOVE",COUNTIF($D$2:D6886,"REMOVE"),"")</f>
        <v/>
      </c>
      <c r="I6886">
        <f>IF(E6886="Gmail",COUNTIF($E$2:E6886,"Gmail"),"")</f>
        <v/>
      </c>
      <c r="J6886">
        <f>IF(E6886="Outlook",COUNTIF($E$2:E6886,"Outlook"),"")</f>
        <v/>
      </c>
      <c r="K6886">
        <f>IF(E6886="Domain",COUNTIF($E$2:E6886,"Domain"),"")</f>
        <v/>
      </c>
    </row>
    <row r="6887">
      <c r="A6887" s="2" t="n"/>
      <c r="B6887">
        <f>LOWER(TRIM(A6887))</f>
        <v/>
      </c>
      <c r="C6887">
        <f>IF(B6887="","",IFERROR(INDEX('Bad Patterns'!$A$2:$A$120,MATCH(1,INDEX(--ISNUMBER(SEARCH('Bad Patterns'!$A$2:$A$120,B6887)),0),0)),""))</f>
        <v/>
      </c>
      <c r="D6887">
        <f>IF(B6887="","",IF(C6887&lt;&gt;"","REMOVE","KEEP"))</f>
        <v/>
      </c>
      <c r="E6887">
        <f>IF(D6887&lt;&gt;"KEEP","",IF(RIGHT(B6887,10)="@gmail.com","Gmail",IF(OR(RIGHT(B6887,12)="@outlook.com",RIGHT(B6887,12)="@hotmail.com",RIGHT(B6887,9)="@live.com"),"Outlook","Domain")))</f>
        <v/>
      </c>
      <c r="F6887">
        <f>IF(B6887="","",IFERROR(RIGHT(B6887,LEN(B6887)-FIND("@",B6887)),""))</f>
        <v/>
      </c>
      <c r="G6887">
        <f>IF(D6887="KEEP",COUNTIF($D$2:D6887,"KEEP"),"")</f>
        <v/>
      </c>
      <c r="H6887">
        <f>IF(D6887="REMOVE",COUNTIF($D$2:D6887,"REMOVE"),"")</f>
        <v/>
      </c>
      <c r="I6887">
        <f>IF(E6887="Gmail",COUNTIF($E$2:E6887,"Gmail"),"")</f>
        <v/>
      </c>
      <c r="J6887">
        <f>IF(E6887="Outlook",COUNTIF($E$2:E6887,"Outlook"),"")</f>
        <v/>
      </c>
      <c r="K6887">
        <f>IF(E6887="Domain",COUNTIF($E$2:E6887,"Domain"),"")</f>
        <v/>
      </c>
    </row>
    <row r="6888">
      <c r="A6888" s="2" t="n"/>
      <c r="B6888">
        <f>LOWER(TRIM(A6888))</f>
        <v/>
      </c>
      <c r="C6888">
        <f>IF(B6888="","",IFERROR(INDEX('Bad Patterns'!$A$2:$A$120,MATCH(1,INDEX(--ISNUMBER(SEARCH('Bad Patterns'!$A$2:$A$120,B6888)),0),0)),""))</f>
        <v/>
      </c>
      <c r="D6888">
        <f>IF(B6888="","",IF(C6888&lt;&gt;"","REMOVE","KEEP"))</f>
        <v/>
      </c>
      <c r="E6888">
        <f>IF(D6888&lt;&gt;"KEEP","",IF(RIGHT(B6888,10)="@gmail.com","Gmail",IF(OR(RIGHT(B6888,12)="@outlook.com",RIGHT(B6888,12)="@hotmail.com",RIGHT(B6888,9)="@live.com"),"Outlook","Domain")))</f>
        <v/>
      </c>
      <c r="F6888">
        <f>IF(B6888="","",IFERROR(RIGHT(B6888,LEN(B6888)-FIND("@",B6888)),""))</f>
        <v/>
      </c>
      <c r="G6888">
        <f>IF(D6888="KEEP",COUNTIF($D$2:D6888,"KEEP"),"")</f>
        <v/>
      </c>
      <c r="H6888">
        <f>IF(D6888="REMOVE",COUNTIF($D$2:D6888,"REMOVE"),"")</f>
        <v/>
      </c>
      <c r="I6888">
        <f>IF(E6888="Gmail",COUNTIF($E$2:E6888,"Gmail"),"")</f>
        <v/>
      </c>
      <c r="J6888">
        <f>IF(E6888="Outlook",COUNTIF($E$2:E6888,"Outlook"),"")</f>
        <v/>
      </c>
      <c r="K6888">
        <f>IF(E6888="Domain",COUNTIF($E$2:E6888,"Domain"),"")</f>
        <v/>
      </c>
    </row>
    <row r="6889">
      <c r="A6889" s="2" t="n"/>
      <c r="B6889">
        <f>LOWER(TRIM(A6889))</f>
        <v/>
      </c>
      <c r="C6889">
        <f>IF(B6889="","",IFERROR(INDEX('Bad Patterns'!$A$2:$A$120,MATCH(1,INDEX(--ISNUMBER(SEARCH('Bad Patterns'!$A$2:$A$120,B6889)),0),0)),""))</f>
        <v/>
      </c>
      <c r="D6889">
        <f>IF(B6889="","",IF(C6889&lt;&gt;"","REMOVE","KEEP"))</f>
        <v/>
      </c>
      <c r="E6889">
        <f>IF(D6889&lt;&gt;"KEEP","",IF(RIGHT(B6889,10)="@gmail.com","Gmail",IF(OR(RIGHT(B6889,12)="@outlook.com",RIGHT(B6889,12)="@hotmail.com",RIGHT(B6889,9)="@live.com"),"Outlook","Domain")))</f>
        <v/>
      </c>
      <c r="F6889">
        <f>IF(B6889="","",IFERROR(RIGHT(B6889,LEN(B6889)-FIND("@",B6889)),""))</f>
        <v/>
      </c>
      <c r="G6889">
        <f>IF(D6889="KEEP",COUNTIF($D$2:D6889,"KEEP"),"")</f>
        <v/>
      </c>
      <c r="H6889">
        <f>IF(D6889="REMOVE",COUNTIF($D$2:D6889,"REMOVE"),"")</f>
        <v/>
      </c>
      <c r="I6889">
        <f>IF(E6889="Gmail",COUNTIF($E$2:E6889,"Gmail"),"")</f>
        <v/>
      </c>
      <c r="J6889">
        <f>IF(E6889="Outlook",COUNTIF($E$2:E6889,"Outlook"),"")</f>
        <v/>
      </c>
      <c r="K6889">
        <f>IF(E6889="Domain",COUNTIF($E$2:E6889,"Domain"),"")</f>
        <v/>
      </c>
    </row>
    <row r="6890">
      <c r="A6890" s="2" t="n"/>
      <c r="B6890">
        <f>LOWER(TRIM(A6890))</f>
        <v/>
      </c>
      <c r="C6890">
        <f>IF(B6890="","",IFERROR(INDEX('Bad Patterns'!$A$2:$A$120,MATCH(1,INDEX(--ISNUMBER(SEARCH('Bad Patterns'!$A$2:$A$120,B6890)),0),0)),""))</f>
        <v/>
      </c>
      <c r="D6890">
        <f>IF(B6890="","",IF(C6890&lt;&gt;"","REMOVE","KEEP"))</f>
        <v/>
      </c>
      <c r="E6890">
        <f>IF(D6890&lt;&gt;"KEEP","",IF(RIGHT(B6890,10)="@gmail.com","Gmail",IF(OR(RIGHT(B6890,12)="@outlook.com",RIGHT(B6890,12)="@hotmail.com",RIGHT(B6890,9)="@live.com"),"Outlook","Domain")))</f>
        <v/>
      </c>
      <c r="F6890">
        <f>IF(B6890="","",IFERROR(RIGHT(B6890,LEN(B6890)-FIND("@",B6890)),""))</f>
        <v/>
      </c>
      <c r="G6890">
        <f>IF(D6890="KEEP",COUNTIF($D$2:D6890,"KEEP"),"")</f>
        <v/>
      </c>
      <c r="H6890">
        <f>IF(D6890="REMOVE",COUNTIF($D$2:D6890,"REMOVE"),"")</f>
        <v/>
      </c>
      <c r="I6890">
        <f>IF(E6890="Gmail",COUNTIF($E$2:E6890,"Gmail"),"")</f>
        <v/>
      </c>
      <c r="J6890">
        <f>IF(E6890="Outlook",COUNTIF($E$2:E6890,"Outlook"),"")</f>
        <v/>
      </c>
      <c r="K6890">
        <f>IF(E6890="Domain",COUNTIF($E$2:E6890,"Domain"),"")</f>
        <v/>
      </c>
    </row>
    <row r="6891">
      <c r="A6891" s="2" t="n"/>
      <c r="B6891">
        <f>LOWER(TRIM(A6891))</f>
        <v/>
      </c>
      <c r="C6891">
        <f>IF(B6891="","",IFERROR(INDEX('Bad Patterns'!$A$2:$A$120,MATCH(1,INDEX(--ISNUMBER(SEARCH('Bad Patterns'!$A$2:$A$120,B6891)),0),0)),""))</f>
        <v/>
      </c>
      <c r="D6891">
        <f>IF(B6891="","",IF(C6891&lt;&gt;"","REMOVE","KEEP"))</f>
        <v/>
      </c>
      <c r="E6891">
        <f>IF(D6891&lt;&gt;"KEEP","",IF(RIGHT(B6891,10)="@gmail.com","Gmail",IF(OR(RIGHT(B6891,12)="@outlook.com",RIGHT(B6891,12)="@hotmail.com",RIGHT(B6891,9)="@live.com"),"Outlook","Domain")))</f>
        <v/>
      </c>
      <c r="F6891">
        <f>IF(B6891="","",IFERROR(RIGHT(B6891,LEN(B6891)-FIND("@",B6891)),""))</f>
        <v/>
      </c>
      <c r="G6891">
        <f>IF(D6891="KEEP",COUNTIF($D$2:D6891,"KEEP"),"")</f>
        <v/>
      </c>
      <c r="H6891">
        <f>IF(D6891="REMOVE",COUNTIF($D$2:D6891,"REMOVE"),"")</f>
        <v/>
      </c>
      <c r="I6891">
        <f>IF(E6891="Gmail",COUNTIF($E$2:E6891,"Gmail"),"")</f>
        <v/>
      </c>
      <c r="J6891">
        <f>IF(E6891="Outlook",COUNTIF($E$2:E6891,"Outlook"),"")</f>
        <v/>
      </c>
      <c r="K6891">
        <f>IF(E6891="Domain",COUNTIF($E$2:E6891,"Domain"),"")</f>
        <v/>
      </c>
    </row>
    <row r="6892">
      <c r="A6892" s="2" t="n"/>
      <c r="B6892">
        <f>LOWER(TRIM(A6892))</f>
        <v/>
      </c>
      <c r="C6892">
        <f>IF(B6892="","",IFERROR(INDEX('Bad Patterns'!$A$2:$A$120,MATCH(1,INDEX(--ISNUMBER(SEARCH('Bad Patterns'!$A$2:$A$120,B6892)),0),0)),""))</f>
        <v/>
      </c>
      <c r="D6892">
        <f>IF(B6892="","",IF(C6892&lt;&gt;"","REMOVE","KEEP"))</f>
        <v/>
      </c>
      <c r="E6892">
        <f>IF(D6892&lt;&gt;"KEEP","",IF(RIGHT(B6892,10)="@gmail.com","Gmail",IF(OR(RIGHT(B6892,12)="@outlook.com",RIGHT(B6892,12)="@hotmail.com",RIGHT(B6892,9)="@live.com"),"Outlook","Domain")))</f>
        <v/>
      </c>
      <c r="F6892">
        <f>IF(B6892="","",IFERROR(RIGHT(B6892,LEN(B6892)-FIND("@",B6892)),""))</f>
        <v/>
      </c>
      <c r="G6892">
        <f>IF(D6892="KEEP",COUNTIF($D$2:D6892,"KEEP"),"")</f>
        <v/>
      </c>
      <c r="H6892">
        <f>IF(D6892="REMOVE",COUNTIF($D$2:D6892,"REMOVE"),"")</f>
        <v/>
      </c>
      <c r="I6892">
        <f>IF(E6892="Gmail",COUNTIF($E$2:E6892,"Gmail"),"")</f>
        <v/>
      </c>
      <c r="J6892">
        <f>IF(E6892="Outlook",COUNTIF($E$2:E6892,"Outlook"),"")</f>
        <v/>
      </c>
      <c r="K6892">
        <f>IF(E6892="Domain",COUNTIF($E$2:E6892,"Domain"),"")</f>
        <v/>
      </c>
    </row>
    <row r="6893">
      <c r="A6893" s="2" t="n"/>
      <c r="B6893">
        <f>LOWER(TRIM(A6893))</f>
        <v/>
      </c>
      <c r="C6893">
        <f>IF(B6893="","",IFERROR(INDEX('Bad Patterns'!$A$2:$A$120,MATCH(1,INDEX(--ISNUMBER(SEARCH('Bad Patterns'!$A$2:$A$120,B6893)),0),0)),""))</f>
        <v/>
      </c>
      <c r="D6893">
        <f>IF(B6893="","",IF(C6893&lt;&gt;"","REMOVE","KEEP"))</f>
        <v/>
      </c>
      <c r="E6893">
        <f>IF(D6893&lt;&gt;"KEEP","",IF(RIGHT(B6893,10)="@gmail.com","Gmail",IF(OR(RIGHT(B6893,12)="@outlook.com",RIGHT(B6893,12)="@hotmail.com",RIGHT(B6893,9)="@live.com"),"Outlook","Domain")))</f>
        <v/>
      </c>
      <c r="F6893">
        <f>IF(B6893="","",IFERROR(RIGHT(B6893,LEN(B6893)-FIND("@",B6893)),""))</f>
        <v/>
      </c>
      <c r="G6893">
        <f>IF(D6893="KEEP",COUNTIF($D$2:D6893,"KEEP"),"")</f>
        <v/>
      </c>
      <c r="H6893">
        <f>IF(D6893="REMOVE",COUNTIF($D$2:D6893,"REMOVE"),"")</f>
        <v/>
      </c>
      <c r="I6893">
        <f>IF(E6893="Gmail",COUNTIF($E$2:E6893,"Gmail"),"")</f>
        <v/>
      </c>
      <c r="J6893">
        <f>IF(E6893="Outlook",COUNTIF($E$2:E6893,"Outlook"),"")</f>
        <v/>
      </c>
      <c r="K6893">
        <f>IF(E6893="Domain",COUNTIF($E$2:E6893,"Domain"),"")</f>
        <v/>
      </c>
    </row>
    <row r="6894">
      <c r="A6894" s="2" t="n"/>
      <c r="B6894">
        <f>LOWER(TRIM(A6894))</f>
        <v/>
      </c>
      <c r="C6894">
        <f>IF(B6894="","",IFERROR(INDEX('Bad Patterns'!$A$2:$A$120,MATCH(1,INDEX(--ISNUMBER(SEARCH('Bad Patterns'!$A$2:$A$120,B6894)),0),0)),""))</f>
        <v/>
      </c>
      <c r="D6894">
        <f>IF(B6894="","",IF(C6894&lt;&gt;"","REMOVE","KEEP"))</f>
        <v/>
      </c>
      <c r="E6894">
        <f>IF(D6894&lt;&gt;"KEEP","",IF(RIGHT(B6894,10)="@gmail.com","Gmail",IF(OR(RIGHT(B6894,12)="@outlook.com",RIGHT(B6894,12)="@hotmail.com",RIGHT(B6894,9)="@live.com"),"Outlook","Domain")))</f>
        <v/>
      </c>
      <c r="F6894">
        <f>IF(B6894="","",IFERROR(RIGHT(B6894,LEN(B6894)-FIND("@",B6894)),""))</f>
        <v/>
      </c>
      <c r="G6894">
        <f>IF(D6894="KEEP",COUNTIF($D$2:D6894,"KEEP"),"")</f>
        <v/>
      </c>
      <c r="H6894">
        <f>IF(D6894="REMOVE",COUNTIF($D$2:D6894,"REMOVE"),"")</f>
        <v/>
      </c>
      <c r="I6894">
        <f>IF(E6894="Gmail",COUNTIF($E$2:E6894,"Gmail"),"")</f>
        <v/>
      </c>
      <c r="J6894">
        <f>IF(E6894="Outlook",COUNTIF($E$2:E6894,"Outlook"),"")</f>
        <v/>
      </c>
      <c r="K6894">
        <f>IF(E6894="Domain",COUNTIF($E$2:E6894,"Domain"),"")</f>
        <v/>
      </c>
    </row>
    <row r="6895">
      <c r="A6895" s="2" t="n"/>
      <c r="B6895">
        <f>LOWER(TRIM(A6895))</f>
        <v/>
      </c>
      <c r="C6895">
        <f>IF(B6895="","",IFERROR(INDEX('Bad Patterns'!$A$2:$A$120,MATCH(1,INDEX(--ISNUMBER(SEARCH('Bad Patterns'!$A$2:$A$120,B6895)),0),0)),""))</f>
        <v/>
      </c>
      <c r="D6895">
        <f>IF(B6895="","",IF(C6895&lt;&gt;"","REMOVE","KEEP"))</f>
        <v/>
      </c>
      <c r="E6895">
        <f>IF(D6895&lt;&gt;"KEEP","",IF(RIGHT(B6895,10)="@gmail.com","Gmail",IF(OR(RIGHT(B6895,12)="@outlook.com",RIGHT(B6895,12)="@hotmail.com",RIGHT(B6895,9)="@live.com"),"Outlook","Domain")))</f>
        <v/>
      </c>
      <c r="F6895">
        <f>IF(B6895="","",IFERROR(RIGHT(B6895,LEN(B6895)-FIND("@",B6895)),""))</f>
        <v/>
      </c>
      <c r="G6895">
        <f>IF(D6895="KEEP",COUNTIF($D$2:D6895,"KEEP"),"")</f>
        <v/>
      </c>
      <c r="H6895">
        <f>IF(D6895="REMOVE",COUNTIF($D$2:D6895,"REMOVE"),"")</f>
        <v/>
      </c>
      <c r="I6895">
        <f>IF(E6895="Gmail",COUNTIF($E$2:E6895,"Gmail"),"")</f>
        <v/>
      </c>
      <c r="J6895">
        <f>IF(E6895="Outlook",COUNTIF($E$2:E6895,"Outlook"),"")</f>
        <v/>
      </c>
      <c r="K6895">
        <f>IF(E6895="Domain",COUNTIF($E$2:E6895,"Domain"),"")</f>
        <v/>
      </c>
    </row>
    <row r="6896">
      <c r="A6896" s="2" t="n"/>
      <c r="B6896">
        <f>LOWER(TRIM(A6896))</f>
        <v/>
      </c>
      <c r="C6896">
        <f>IF(B6896="","",IFERROR(INDEX('Bad Patterns'!$A$2:$A$120,MATCH(1,INDEX(--ISNUMBER(SEARCH('Bad Patterns'!$A$2:$A$120,B6896)),0),0)),""))</f>
        <v/>
      </c>
      <c r="D6896">
        <f>IF(B6896="","",IF(C6896&lt;&gt;"","REMOVE","KEEP"))</f>
        <v/>
      </c>
      <c r="E6896">
        <f>IF(D6896&lt;&gt;"KEEP","",IF(RIGHT(B6896,10)="@gmail.com","Gmail",IF(OR(RIGHT(B6896,12)="@outlook.com",RIGHT(B6896,12)="@hotmail.com",RIGHT(B6896,9)="@live.com"),"Outlook","Domain")))</f>
        <v/>
      </c>
      <c r="F6896">
        <f>IF(B6896="","",IFERROR(RIGHT(B6896,LEN(B6896)-FIND("@",B6896)),""))</f>
        <v/>
      </c>
      <c r="G6896">
        <f>IF(D6896="KEEP",COUNTIF($D$2:D6896,"KEEP"),"")</f>
        <v/>
      </c>
      <c r="H6896">
        <f>IF(D6896="REMOVE",COUNTIF($D$2:D6896,"REMOVE"),"")</f>
        <v/>
      </c>
      <c r="I6896">
        <f>IF(E6896="Gmail",COUNTIF($E$2:E6896,"Gmail"),"")</f>
        <v/>
      </c>
      <c r="J6896">
        <f>IF(E6896="Outlook",COUNTIF($E$2:E6896,"Outlook"),"")</f>
        <v/>
      </c>
      <c r="K6896">
        <f>IF(E6896="Domain",COUNTIF($E$2:E6896,"Domain"),"")</f>
        <v/>
      </c>
    </row>
    <row r="6897">
      <c r="A6897" s="2" t="n"/>
      <c r="B6897">
        <f>LOWER(TRIM(A6897))</f>
        <v/>
      </c>
      <c r="C6897">
        <f>IF(B6897="","",IFERROR(INDEX('Bad Patterns'!$A$2:$A$120,MATCH(1,INDEX(--ISNUMBER(SEARCH('Bad Patterns'!$A$2:$A$120,B6897)),0),0)),""))</f>
        <v/>
      </c>
      <c r="D6897">
        <f>IF(B6897="","",IF(C6897&lt;&gt;"","REMOVE","KEEP"))</f>
        <v/>
      </c>
      <c r="E6897">
        <f>IF(D6897&lt;&gt;"KEEP","",IF(RIGHT(B6897,10)="@gmail.com","Gmail",IF(OR(RIGHT(B6897,12)="@outlook.com",RIGHT(B6897,12)="@hotmail.com",RIGHT(B6897,9)="@live.com"),"Outlook","Domain")))</f>
        <v/>
      </c>
      <c r="F6897">
        <f>IF(B6897="","",IFERROR(RIGHT(B6897,LEN(B6897)-FIND("@",B6897)),""))</f>
        <v/>
      </c>
      <c r="G6897">
        <f>IF(D6897="KEEP",COUNTIF($D$2:D6897,"KEEP"),"")</f>
        <v/>
      </c>
      <c r="H6897">
        <f>IF(D6897="REMOVE",COUNTIF($D$2:D6897,"REMOVE"),"")</f>
        <v/>
      </c>
      <c r="I6897">
        <f>IF(E6897="Gmail",COUNTIF($E$2:E6897,"Gmail"),"")</f>
        <v/>
      </c>
      <c r="J6897">
        <f>IF(E6897="Outlook",COUNTIF($E$2:E6897,"Outlook"),"")</f>
        <v/>
      </c>
      <c r="K6897">
        <f>IF(E6897="Domain",COUNTIF($E$2:E6897,"Domain"),"")</f>
        <v/>
      </c>
    </row>
    <row r="6898">
      <c r="A6898" s="2" t="n"/>
      <c r="B6898">
        <f>LOWER(TRIM(A6898))</f>
        <v/>
      </c>
      <c r="C6898">
        <f>IF(B6898="","",IFERROR(INDEX('Bad Patterns'!$A$2:$A$120,MATCH(1,INDEX(--ISNUMBER(SEARCH('Bad Patterns'!$A$2:$A$120,B6898)),0),0)),""))</f>
        <v/>
      </c>
      <c r="D6898">
        <f>IF(B6898="","",IF(C6898&lt;&gt;"","REMOVE","KEEP"))</f>
        <v/>
      </c>
      <c r="E6898">
        <f>IF(D6898&lt;&gt;"KEEP","",IF(RIGHT(B6898,10)="@gmail.com","Gmail",IF(OR(RIGHT(B6898,12)="@outlook.com",RIGHT(B6898,12)="@hotmail.com",RIGHT(B6898,9)="@live.com"),"Outlook","Domain")))</f>
        <v/>
      </c>
      <c r="F6898">
        <f>IF(B6898="","",IFERROR(RIGHT(B6898,LEN(B6898)-FIND("@",B6898)),""))</f>
        <v/>
      </c>
      <c r="G6898">
        <f>IF(D6898="KEEP",COUNTIF($D$2:D6898,"KEEP"),"")</f>
        <v/>
      </c>
      <c r="H6898">
        <f>IF(D6898="REMOVE",COUNTIF($D$2:D6898,"REMOVE"),"")</f>
        <v/>
      </c>
      <c r="I6898">
        <f>IF(E6898="Gmail",COUNTIF($E$2:E6898,"Gmail"),"")</f>
        <v/>
      </c>
      <c r="J6898">
        <f>IF(E6898="Outlook",COUNTIF($E$2:E6898,"Outlook"),"")</f>
        <v/>
      </c>
      <c r="K6898">
        <f>IF(E6898="Domain",COUNTIF($E$2:E6898,"Domain"),"")</f>
        <v/>
      </c>
    </row>
    <row r="6899">
      <c r="A6899" s="2" t="n"/>
      <c r="B6899">
        <f>LOWER(TRIM(A6899))</f>
        <v/>
      </c>
      <c r="C6899">
        <f>IF(B6899="","",IFERROR(INDEX('Bad Patterns'!$A$2:$A$120,MATCH(1,INDEX(--ISNUMBER(SEARCH('Bad Patterns'!$A$2:$A$120,B6899)),0),0)),""))</f>
        <v/>
      </c>
      <c r="D6899">
        <f>IF(B6899="","",IF(C6899&lt;&gt;"","REMOVE","KEEP"))</f>
        <v/>
      </c>
      <c r="E6899">
        <f>IF(D6899&lt;&gt;"KEEP","",IF(RIGHT(B6899,10)="@gmail.com","Gmail",IF(OR(RIGHT(B6899,12)="@outlook.com",RIGHT(B6899,12)="@hotmail.com",RIGHT(B6899,9)="@live.com"),"Outlook","Domain")))</f>
        <v/>
      </c>
      <c r="F6899">
        <f>IF(B6899="","",IFERROR(RIGHT(B6899,LEN(B6899)-FIND("@",B6899)),""))</f>
        <v/>
      </c>
      <c r="G6899">
        <f>IF(D6899="KEEP",COUNTIF($D$2:D6899,"KEEP"),"")</f>
        <v/>
      </c>
      <c r="H6899">
        <f>IF(D6899="REMOVE",COUNTIF($D$2:D6899,"REMOVE"),"")</f>
        <v/>
      </c>
      <c r="I6899">
        <f>IF(E6899="Gmail",COUNTIF($E$2:E6899,"Gmail"),"")</f>
        <v/>
      </c>
      <c r="J6899">
        <f>IF(E6899="Outlook",COUNTIF($E$2:E6899,"Outlook"),"")</f>
        <v/>
      </c>
      <c r="K6899">
        <f>IF(E6899="Domain",COUNTIF($E$2:E6899,"Domain"),"")</f>
        <v/>
      </c>
    </row>
    <row r="6900">
      <c r="A6900" s="2" t="n"/>
      <c r="B6900">
        <f>LOWER(TRIM(A6900))</f>
        <v/>
      </c>
      <c r="C6900">
        <f>IF(B6900="","",IFERROR(INDEX('Bad Patterns'!$A$2:$A$120,MATCH(1,INDEX(--ISNUMBER(SEARCH('Bad Patterns'!$A$2:$A$120,B6900)),0),0)),""))</f>
        <v/>
      </c>
      <c r="D6900">
        <f>IF(B6900="","",IF(C6900&lt;&gt;"","REMOVE","KEEP"))</f>
        <v/>
      </c>
      <c r="E6900">
        <f>IF(D6900&lt;&gt;"KEEP","",IF(RIGHT(B6900,10)="@gmail.com","Gmail",IF(OR(RIGHT(B6900,12)="@outlook.com",RIGHT(B6900,12)="@hotmail.com",RIGHT(B6900,9)="@live.com"),"Outlook","Domain")))</f>
        <v/>
      </c>
      <c r="F6900">
        <f>IF(B6900="","",IFERROR(RIGHT(B6900,LEN(B6900)-FIND("@",B6900)),""))</f>
        <v/>
      </c>
      <c r="G6900">
        <f>IF(D6900="KEEP",COUNTIF($D$2:D6900,"KEEP"),"")</f>
        <v/>
      </c>
      <c r="H6900">
        <f>IF(D6900="REMOVE",COUNTIF($D$2:D6900,"REMOVE"),"")</f>
        <v/>
      </c>
      <c r="I6900">
        <f>IF(E6900="Gmail",COUNTIF($E$2:E6900,"Gmail"),"")</f>
        <v/>
      </c>
      <c r="J6900">
        <f>IF(E6900="Outlook",COUNTIF($E$2:E6900,"Outlook"),"")</f>
        <v/>
      </c>
      <c r="K6900">
        <f>IF(E6900="Domain",COUNTIF($E$2:E6900,"Domain"),"")</f>
        <v/>
      </c>
    </row>
    <row r="6901">
      <c r="A6901" s="2" t="n"/>
      <c r="B6901">
        <f>LOWER(TRIM(A6901))</f>
        <v/>
      </c>
      <c r="C6901">
        <f>IF(B6901="","",IFERROR(INDEX('Bad Patterns'!$A$2:$A$120,MATCH(1,INDEX(--ISNUMBER(SEARCH('Bad Patterns'!$A$2:$A$120,B6901)),0),0)),""))</f>
        <v/>
      </c>
      <c r="D6901">
        <f>IF(B6901="","",IF(C6901&lt;&gt;"","REMOVE","KEEP"))</f>
        <v/>
      </c>
      <c r="E6901">
        <f>IF(D6901&lt;&gt;"KEEP","",IF(RIGHT(B6901,10)="@gmail.com","Gmail",IF(OR(RIGHT(B6901,12)="@outlook.com",RIGHT(B6901,12)="@hotmail.com",RIGHT(B6901,9)="@live.com"),"Outlook","Domain")))</f>
        <v/>
      </c>
      <c r="F6901">
        <f>IF(B6901="","",IFERROR(RIGHT(B6901,LEN(B6901)-FIND("@",B6901)),""))</f>
        <v/>
      </c>
      <c r="G6901">
        <f>IF(D6901="KEEP",COUNTIF($D$2:D6901,"KEEP"),"")</f>
        <v/>
      </c>
      <c r="H6901">
        <f>IF(D6901="REMOVE",COUNTIF($D$2:D6901,"REMOVE"),"")</f>
        <v/>
      </c>
      <c r="I6901">
        <f>IF(E6901="Gmail",COUNTIF($E$2:E6901,"Gmail"),"")</f>
        <v/>
      </c>
      <c r="J6901">
        <f>IF(E6901="Outlook",COUNTIF($E$2:E6901,"Outlook"),"")</f>
        <v/>
      </c>
      <c r="K6901">
        <f>IF(E6901="Domain",COUNTIF($E$2:E6901,"Domain"),"")</f>
        <v/>
      </c>
    </row>
    <row r="6902">
      <c r="A6902" s="2" t="n"/>
      <c r="B6902">
        <f>LOWER(TRIM(A6902))</f>
        <v/>
      </c>
      <c r="C6902">
        <f>IF(B6902="","",IFERROR(INDEX('Bad Patterns'!$A$2:$A$120,MATCH(1,INDEX(--ISNUMBER(SEARCH('Bad Patterns'!$A$2:$A$120,B6902)),0),0)),""))</f>
        <v/>
      </c>
      <c r="D6902">
        <f>IF(B6902="","",IF(C6902&lt;&gt;"","REMOVE","KEEP"))</f>
        <v/>
      </c>
      <c r="E6902">
        <f>IF(D6902&lt;&gt;"KEEP","",IF(RIGHT(B6902,10)="@gmail.com","Gmail",IF(OR(RIGHT(B6902,12)="@outlook.com",RIGHT(B6902,12)="@hotmail.com",RIGHT(B6902,9)="@live.com"),"Outlook","Domain")))</f>
        <v/>
      </c>
      <c r="F6902">
        <f>IF(B6902="","",IFERROR(RIGHT(B6902,LEN(B6902)-FIND("@",B6902)),""))</f>
        <v/>
      </c>
      <c r="G6902">
        <f>IF(D6902="KEEP",COUNTIF($D$2:D6902,"KEEP"),"")</f>
        <v/>
      </c>
      <c r="H6902">
        <f>IF(D6902="REMOVE",COUNTIF($D$2:D6902,"REMOVE"),"")</f>
        <v/>
      </c>
      <c r="I6902">
        <f>IF(E6902="Gmail",COUNTIF($E$2:E6902,"Gmail"),"")</f>
        <v/>
      </c>
      <c r="J6902">
        <f>IF(E6902="Outlook",COUNTIF($E$2:E6902,"Outlook"),"")</f>
        <v/>
      </c>
      <c r="K6902">
        <f>IF(E6902="Domain",COUNTIF($E$2:E6902,"Domain"),"")</f>
        <v/>
      </c>
    </row>
    <row r="6903">
      <c r="A6903" s="2" t="n"/>
      <c r="B6903">
        <f>LOWER(TRIM(A6903))</f>
        <v/>
      </c>
      <c r="C6903">
        <f>IF(B6903="","",IFERROR(INDEX('Bad Patterns'!$A$2:$A$120,MATCH(1,INDEX(--ISNUMBER(SEARCH('Bad Patterns'!$A$2:$A$120,B6903)),0),0)),""))</f>
        <v/>
      </c>
      <c r="D6903">
        <f>IF(B6903="","",IF(C6903&lt;&gt;"","REMOVE","KEEP"))</f>
        <v/>
      </c>
      <c r="E6903">
        <f>IF(D6903&lt;&gt;"KEEP","",IF(RIGHT(B6903,10)="@gmail.com","Gmail",IF(OR(RIGHT(B6903,12)="@outlook.com",RIGHT(B6903,12)="@hotmail.com",RIGHT(B6903,9)="@live.com"),"Outlook","Domain")))</f>
        <v/>
      </c>
      <c r="F6903">
        <f>IF(B6903="","",IFERROR(RIGHT(B6903,LEN(B6903)-FIND("@",B6903)),""))</f>
        <v/>
      </c>
      <c r="G6903">
        <f>IF(D6903="KEEP",COUNTIF($D$2:D6903,"KEEP"),"")</f>
        <v/>
      </c>
      <c r="H6903">
        <f>IF(D6903="REMOVE",COUNTIF($D$2:D6903,"REMOVE"),"")</f>
        <v/>
      </c>
      <c r="I6903">
        <f>IF(E6903="Gmail",COUNTIF($E$2:E6903,"Gmail"),"")</f>
        <v/>
      </c>
      <c r="J6903">
        <f>IF(E6903="Outlook",COUNTIF($E$2:E6903,"Outlook"),"")</f>
        <v/>
      </c>
      <c r="K6903">
        <f>IF(E6903="Domain",COUNTIF($E$2:E6903,"Domain"),"")</f>
        <v/>
      </c>
    </row>
    <row r="6904">
      <c r="A6904" s="2" t="n"/>
      <c r="B6904">
        <f>LOWER(TRIM(A6904))</f>
        <v/>
      </c>
      <c r="C6904">
        <f>IF(B6904="","",IFERROR(INDEX('Bad Patterns'!$A$2:$A$120,MATCH(1,INDEX(--ISNUMBER(SEARCH('Bad Patterns'!$A$2:$A$120,B6904)),0),0)),""))</f>
        <v/>
      </c>
      <c r="D6904">
        <f>IF(B6904="","",IF(C6904&lt;&gt;"","REMOVE","KEEP"))</f>
        <v/>
      </c>
      <c r="E6904">
        <f>IF(D6904&lt;&gt;"KEEP","",IF(RIGHT(B6904,10)="@gmail.com","Gmail",IF(OR(RIGHT(B6904,12)="@outlook.com",RIGHT(B6904,12)="@hotmail.com",RIGHT(B6904,9)="@live.com"),"Outlook","Domain")))</f>
        <v/>
      </c>
      <c r="F6904">
        <f>IF(B6904="","",IFERROR(RIGHT(B6904,LEN(B6904)-FIND("@",B6904)),""))</f>
        <v/>
      </c>
      <c r="G6904">
        <f>IF(D6904="KEEP",COUNTIF($D$2:D6904,"KEEP"),"")</f>
        <v/>
      </c>
      <c r="H6904">
        <f>IF(D6904="REMOVE",COUNTIF($D$2:D6904,"REMOVE"),"")</f>
        <v/>
      </c>
      <c r="I6904">
        <f>IF(E6904="Gmail",COUNTIF($E$2:E6904,"Gmail"),"")</f>
        <v/>
      </c>
      <c r="J6904">
        <f>IF(E6904="Outlook",COUNTIF($E$2:E6904,"Outlook"),"")</f>
        <v/>
      </c>
      <c r="K6904">
        <f>IF(E6904="Domain",COUNTIF($E$2:E6904,"Domain"),"")</f>
        <v/>
      </c>
    </row>
    <row r="6905">
      <c r="A6905" s="2" t="n"/>
      <c r="B6905">
        <f>LOWER(TRIM(A6905))</f>
        <v/>
      </c>
      <c r="C6905">
        <f>IF(B6905="","",IFERROR(INDEX('Bad Patterns'!$A$2:$A$120,MATCH(1,INDEX(--ISNUMBER(SEARCH('Bad Patterns'!$A$2:$A$120,B6905)),0),0)),""))</f>
        <v/>
      </c>
      <c r="D6905">
        <f>IF(B6905="","",IF(C6905&lt;&gt;"","REMOVE","KEEP"))</f>
        <v/>
      </c>
      <c r="E6905">
        <f>IF(D6905&lt;&gt;"KEEP","",IF(RIGHT(B6905,10)="@gmail.com","Gmail",IF(OR(RIGHT(B6905,12)="@outlook.com",RIGHT(B6905,12)="@hotmail.com",RIGHT(B6905,9)="@live.com"),"Outlook","Domain")))</f>
        <v/>
      </c>
      <c r="F6905">
        <f>IF(B6905="","",IFERROR(RIGHT(B6905,LEN(B6905)-FIND("@",B6905)),""))</f>
        <v/>
      </c>
      <c r="G6905">
        <f>IF(D6905="KEEP",COUNTIF($D$2:D6905,"KEEP"),"")</f>
        <v/>
      </c>
      <c r="H6905">
        <f>IF(D6905="REMOVE",COUNTIF($D$2:D6905,"REMOVE"),"")</f>
        <v/>
      </c>
      <c r="I6905">
        <f>IF(E6905="Gmail",COUNTIF($E$2:E6905,"Gmail"),"")</f>
        <v/>
      </c>
      <c r="J6905">
        <f>IF(E6905="Outlook",COUNTIF($E$2:E6905,"Outlook"),"")</f>
        <v/>
      </c>
      <c r="K6905">
        <f>IF(E6905="Domain",COUNTIF($E$2:E6905,"Domain"),"")</f>
        <v/>
      </c>
    </row>
    <row r="6906">
      <c r="A6906" s="2" t="n"/>
      <c r="B6906">
        <f>LOWER(TRIM(A6906))</f>
        <v/>
      </c>
      <c r="C6906">
        <f>IF(B6906="","",IFERROR(INDEX('Bad Patterns'!$A$2:$A$120,MATCH(1,INDEX(--ISNUMBER(SEARCH('Bad Patterns'!$A$2:$A$120,B6906)),0),0)),""))</f>
        <v/>
      </c>
      <c r="D6906">
        <f>IF(B6906="","",IF(C6906&lt;&gt;"","REMOVE","KEEP"))</f>
        <v/>
      </c>
      <c r="E6906">
        <f>IF(D6906&lt;&gt;"KEEP","",IF(RIGHT(B6906,10)="@gmail.com","Gmail",IF(OR(RIGHT(B6906,12)="@outlook.com",RIGHT(B6906,12)="@hotmail.com",RIGHT(B6906,9)="@live.com"),"Outlook","Domain")))</f>
        <v/>
      </c>
      <c r="F6906">
        <f>IF(B6906="","",IFERROR(RIGHT(B6906,LEN(B6906)-FIND("@",B6906)),""))</f>
        <v/>
      </c>
      <c r="G6906">
        <f>IF(D6906="KEEP",COUNTIF($D$2:D6906,"KEEP"),"")</f>
        <v/>
      </c>
      <c r="H6906">
        <f>IF(D6906="REMOVE",COUNTIF($D$2:D6906,"REMOVE"),"")</f>
        <v/>
      </c>
      <c r="I6906">
        <f>IF(E6906="Gmail",COUNTIF($E$2:E6906,"Gmail"),"")</f>
        <v/>
      </c>
      <c r="J6906">
        <f>IF(E6906="Outlook",COUNTIF($E$2:E6906,"Outlook"),"")</f>
        <v/>
      </c>
      <c r="K6906">
        <f>IF(E6906="Domain",COUNTIF($E$2:E6906,"Domain"),"")</f>
        <v/>
      </c>
    </row>
    <row r="6907">
      <c r="A6907" s="2" t="n"/>
      <c r="B6907">
        <f>LOWER(TRIM(A6907))</f>
        <v/>
      </c>
      <c r="C6907">
        <f>IF(B6907="","",IFERROR(INDEX('Bad Patterns'!$A$2:$A$120,MATCH(1,INDEX(--ISNUMBER(SEARCH('Bad Patterns'!$A$2:$A$120,B6907)),0),0)),""))</f>
        <v/>
      </c>
      <c r="D6907">
        <f>IF(B6907="","",IF(C6907&lt;&gt;"","REMOVE","KEEP"))</f>
        <v/>
      </c>
      <c r="E6907">
        <f>IF(D6907&lt;&gt;"KEEP","",IF(RIGHT(B6907,10)="@gmail.com","Gmail",IF(OR(RIGHT(B6907,12)="@outlook.com",RIGHT(B6907,12)="@hotmail.com",RIGHT(B6907,9)="@live.com"),"Outlook","Domain")))</f>
        <v/>
      </c>
      <c r="F6907">
        <f>IF(B6907="","",IFERROR(RIGHT(B6907,LEN(B6907)-FIND("@",B6907)),""))</f>
        <v/>
      </c>
      <c r="G6907">
        <f>IF(D6907="KEEP",COUNTIF($D$2:D6907,"KEEP"),"")</f>
        <v/>
      </c>
      <c r="H6907">
        <f>IF(D6907="REMOVE",COUNTIF($D$2:D6907,"REMOVE"),"")</f>
        <v/>
      </c>
      <c r="I6907">
        <f>IF(E6907="Gmail",COUNTIF($E$2:E6907,"Gmail"),"")</f>
        <v/>
      </c>
      <c r="J6907">
        <f>IF(E6907="Outlook",COUNTIF($E$2:E6907,"Outlook"),"")</f>
        <v/>
      </c>
      <c r="K6907">
        <f>IF(E6907="Domain",COUNTIF($E$2:E6907,"Domain"),"")</f>
        <v/>
      </c>
    </row>
    <row r="6908">
      <c r="A6908" s="2" t="n"/>
      <c r="B6908">
        <f>LOWER(TRIM(A6908))</f>
        <v/>
      </c>
      <c r="C6908">
        <f>IF(B6908="","",IFERROR(INDEX('Bad Patterns'!$A$2:$A$120,MATCH(1,INDEX(--ISNUMBER(SEARCH('Bad Patterns'!$A$2:$A$120,B6908)),0),0)),""))</f>
        <v/>
      </c>
      <c r="D6908">
        <f>IF(B6908="","",IF(C6908&lt;&gt;"","REMOVE","KEEP"))</f>
        <v/>
      </c>
      <c r="E6908">
        <f>IF(D6908&lt;&gt;"KEEP","",IF(RIGHT(B6908,10)="@gmail.com","Gmail",IF(OR(RIGHT(B6908,12)="@outlook.com",RIGHT(B6908,12)="@hotmail.com",RIGHT(B6908,9)="@live.com"),"Outlook","Domain")))</f>
        <v/>
      </c>
      <c r="F6908">
        <f>IF(B6908="","",IFERROR(RIGHT(B6908,LEN(B6908)-FIND("@",B6908)),""))</f>
        <v/>
      </c>
      <c r="G6908">
        <f>IF(D6908="KEEP",COUNTIF($D$2:D6908,"KEEP"),"")</f>
        <v/>
      </c>
      <c r="H6908">
        <f>IF(D6908="REMOVE",COUNTIF($D$2:D6908,"REMOVE"),"")</f>
        <v/>
      </c>
      <c r="I6908">
        <f>IF(E6908="Gmail",COUNTIF($E$2:E6908,"Gmail"),"")</f>
        <v/>
      </c>
      <c r="J6908">
        <f>IF(E6908="Outlook",COUNTIF($E$2:E6908,"Outlook"),"")</f>
        <v/>
      </c>
      <c r="K6908">
        <f>IF(E6908="Domain",COUNTIF($E$2:E6908,"Domain"),"")</f>
        <v/>
      </c>
    </row>
    <row r="6909">
      <c r="A6909" s="2" t="n"/>
      <c r="B6909">
        <f>LOWER(TRIM(A6909))</f>
        <v/>
      </c>
      <c r="C6909">
        <f>IF(B6909="","",IFERROR(INDEX('Bad Patterns'!$A$2:$A$120,MATCH(1,INDEX(--ISNUMBER(SEARCH('Bad Patterns'!$A$2:$A$120,B6909)),0),0)),""))</f>
        <v/>
      </c>
      <c r="D6909">
        <f>IF(B6909="","",IF(C6909&lt;&gt;"","REMOVE","KEEP"))</f>
        <v/>
      </c>
      <c r="E6909">
        <f>IF(D6909&lt;&gt;"KEEP","",IF(RIGHT(B6909,10)="@gmail.com","Gmail",IF(OR(RIGHT(B6909,12)="@outlook.com",RIGHT(B6909,12)="@hotmail.com",RIGHT(B6909,9)="@live.com"),"Outlook","Domain")))</f>
        <v/>
      </c>
      <c r="F6909">
        <f>IF(B6909="","",IFERROR(RIGHT(B6909,LEN(B6909)-FIND("@",B6909)),""))</f>
        <v/>
      </c>
      <c r="G6909">
        <f>IF(D6909="KEEP",COUNTIF($D$2:D6909,"KEEP"),"")</f>
        <v/>
      </c>
      <c r="H6909">
        <f>IF(D6909="REMOVE",COUNTIF($D$2:D6909,"REMOVE"),"")</f>
        <v/>
      </c>
      <c r="I6909">
        <f>IF(E6909="Gmail",COUNTIF($E$2:E6909,"Gmail"),"")</f>
        <v/>
      </c>
      <c r="J6909">
        <f>IF(E6909="Outlook",COUNTIF($E$2:E6909,"Outlook"),"")</f>
        <v/>
      </c>
      <c r="K6909">
        <f>IF(E6909="Domain",COUNTIF($E$2:E6909,"Domain"),"")</f>
        <v/>
      </c>
    </row>
    <row r="6910">
      <c r="A6910" s="2" t="n"/>
      <c r="B6910">
        <f>LOWER(TRIM(A6910))</f>
        <v/>
      </c>
      <c r="C6910">
        <f>IF(B6910="","",IFERROR(INDEX('Bad Patterns'!$A$2:$A$120,MATCH(1,INDEX(--ISNUMBER(SEARCH('Bad Patterns'!$A$2:$A$120,B6910)),0),0)),""))</f>
        <v/>
      </c>
      <c r="D6910">
        <f>IF(B6910="","",IF(C6910&lt;&gt;"","REMOVE","KEEP"))</f>
        <v/>
      </c>
      <c r="E6910">
        <f>IF(D6910&lt;&gt;"KEEP","",IF(RIGHT(B6910,10)="@gmail.com","Gmail",IF(OR(RIGHT(B6910,12)="@outlook.com",RIGHT(B6910,12)="@hotmail.com",RIGHT(B6910,9)="@live.com"),"Outlook","Domain")))</f>
        <v/>
      </c>
      <c r="F6910">
        <f>IF(B6910="","",IFERROR(RIGHT(B6910,LEN(B6910)-FIND("@",B6910)),""))</f>
        <v/>
      </c>
      <c r="G6910">
        <f>IF(D6910="KEEP",COUNTIF($D$2:D6910,"KEEP"),"")</f>
        <v/>
      </c>
      <c r="H6910">
        <f>IF(D6910="REMOVE",COUNTIF($D$2:D6910,"REMOVE"),"")</f>
        <v/>
      </c>
      <c r="I6910">
        <f>IF(E6910="Gmail",COUNTIF($E$2:E6910,"Gmail"),"")</f>
        <v/>
      </c>
      <c r="J6910">
        <f>IF(E6910="Outlook",COUNTIF($E$2:E6910,"Outlook"),"")</f>
        <v/>
      </c>
      <c r="K6910">
        <f>IF(E6910="Domain",COUNTIF($E$2:E6910,"Domain"),"")</f>
        <v/>
      </c>
    </row>
    <row r="6911">
      <c r="A6911" s="2" t="n"/>
      <c r="B6911">
        <f>LOWER(TRIM(A6911))</f>
        <v/>
      </c>
      <c r="C6911">
        <f>IF(B6911="","",IFERROR(INDEX('Bad Patterns'!$A$2:$A$120,MATCH(1,INDEX(--ISNUMBER(SEARCH('Bad Patterns'!$A$2:$A$120,B6911)),0),0)),""))</f>
        <v/>
      </c>
      <c r="D6911">
        <f>IF(B6911="","",IF(C6911&lt;&gt;"","REMOVE","KEEP"))</f>
        <v/>
      </c>
      <c r="E6911">
        <f>IF(D6911&lt;&gt;"KEEP","",IF(RIGHT(B6911,10)="@gmail.com","Gmail",IF(OR(RIGHT(B6911,12)="@outlook.com",RIGHT(B6911,12)="@hotmail.com",RIGHT(B6911,9)="@live.com"),"Outlook","Domain")))</f>
        <v/>
      </c>
      <c r="F6911">
        <f>IF(B6911="","",IFERROR(RIGHT(B6911,LEN(B6911)-FIND("@",B6911)),""))</f>
        <v/>
      </c>
      <c r="G6911">
        <f>IF(D6911="KEEP",COUNTIF($D$2:D6911,"KEEP"),"")</f>
        <v/>
      </c>
      <c r="H6911">
        <f>IF(D6911="REMOVE",COUNTIF($D$2:D6911,"REMOVE"),"")</f>
        <v/>
      </c>
      <c r="I6911">
        <f>IF(E6911="Gmail",COUNTIF($E$2:E6911,"Gmail"),"")</f>
        <v/>
      </c>
      <c r="J6911">
        <f>IF(E6911="Outlook",COUNTIF($E$2:E6911,"Outlook"),"")</f>
        <v/>
      </c>
      <c r="K6911">
        <f>IF(E6911="Domain",COUNTIF($E$2:E6911,"Domain"),"")</f>
        <v/>
      </c>
    </row>
    <row r="6912">
      <c r="A6912" s="2" t="n"/>
      <c r="B6912">
        <f>LOWER(TRIM(A6912))</f>
        <v/>
      </c>
      <c r="C6912">
        <f>IF(B6912="","",IFERROR(INDEX('Bad Patterns'!$A$2:$A$120,MATCH(1,INDEX(--ISNUMBER(SEARCH('Bad Patterns'!$A$2:$A$120,B6912)),0),0)),""))</f>
        <v/>
      </c>
      <c r="D6912">
        <f>IF(B6912="","",IF(C6912&lt;&gt;"","REMOVE","KEEP"))</f>
        <v/>
      </c>
      <c r="E6912">
        <f>IF(D6912&lt;&gt;"KEEP","",IF(RIGHT(B6912,10)="@gmail.com","Gmail",IF(OR(RIGHT(B6912,12)="@outlook.com",RIGHT(B6912,12)="@hotmail.com",RIGHT(B6912,9)="@live.com"),"Outlook","Domain")))</f>
        <v/>
      </c>
      <c r="F6912">
        <f>IF(B6912="","",IFERROR(RIGHT(B6912,LEN(B6912)-FIND("@",B6912)),""))</f>
        <v/>
      </c>
      <c r="G6912">
        <f>IF(D6912="KEEP",COUNTIF($D$2:D6912,"KEEP"),"")</f>
        <v/>
      </c>
      <c r="H6912">
        <f>IF(D6912="REMOVE",COUNTIF($D$2:D6912,"REMOVE"),"")</f>
        <v/>
      </c>
      <c r="I6912">
        <f>IF(E6912="Gmail",COUNTIF($E$2:E6912,"Gmail"),"")</f>
        <v/>
      </c>
      <c r="J6912">
        <f>IF(E6912="Outlook",COUNTIF($E$2:E6912,"Outlook"),"")</f>
        <v/>
      </c>
      <c r="K6912">
        <f>IF(E6912="Domain",COUNTIF($E$2:E6912,"Domain"),"")</f>
        <v/>
      </c>
    </row>
    <row r="6913">
      <c r="A6913" s="2" t="n"/>
      <c r="B6913">
        <f>LOWER(TRIM(A6913))</f>
        <v/>
      </c>
      <c r="C6913">
        <f>IF(B6913="","",IFERROR(INDEX('Bad Patterns'!$A$2:$A$120,MATCH(1,INDEX(--ISNUMBER(SEARCH('Bad Patterns'!$A$2:$A$120,B6913)),0),0)),""))</f>
        <v/>
      </c>
      <c r="D6913">
        <f>IF(B6913="","",IF(C6913&lt;&gt;"","REMOVE","KEEP"))</f>
        <v/>
      </c>
      <c r="E6913">
        <f>IF(D6913&lt;&gt;"KEEP","",IF(RIGHT(B6913,10)="@gmail.com","Gmail",IF(OR(RIGHT(B6913,12)="@outlook.com",RIGHT(B6913,12)="@hotmail.com",RIGHT(B6913,9)="@live.com"),"Outlook","Domain")))</f>
        <v/>
      </c>
      <c r="F6913">
        <f>IF(B6913="","",IFERROR(RIGHT(B6913,LEN(B6913)-FIND("@",B6913)),""))</f>
        <v/>
      </c>
      <c r="G6913">
        <f>IF(D6913="KEEP",COUNTIF($D$2:D6913,"KEEP"),"")</f>
        <v/>
      </c>
      <c r="H6913">
        <f>IF(D6913="REMOVE",COUNTIF($D$2:D6913,"REMOVE"),"")</f>
        <v/>
      </c>
      <c r="I6913">
        <f>IF(E6913="Gmail",COUNTIF($E$2:E6913,"Gmail"),"")</f>
        <v/>
      </c>
      <c r="J6913">
        <f>IF(E6913="Outlook",COUNTIF($E$2:E6913,"Outlook"),"")</f>
        <v/>
      </c>
      <c r="K6913">
        <f>IF(E6913="Domain",COUNTIF($E$2:E6913,"Domain"),"")</f>
        <v/>
      </c>
    </row>
    <row r="6914">
      <c r="A6914" s="2" t="n"/>
      <c r="B6914">
        <f>LOWER(TRIM(A6914))</f>
        <v/>
      </c>
      <c r="C6914">
        <f>IF(B6914="","",IFERROR(INDEX('Bad Patterns'!$A$2:$A$120,MATCH(1,INDEX(--ISNUMBER(SEARCH('Bad Patterns'!$A$2:$A$120,B6914)),0),0)),""))</f>
        <v/>
      </c>
      <c r="D6914">
        <f>IF(B6914="","",IF(C6914&lt;&gt;"","REMOVE","KEEP"))</f>
        <v/>
      </c>
      <c r="E6914">
        <f>IF(D6914&lt;&gt;"KEEP","",IF(RIGHT(B6914,10)="@gmail.com","Gmail",IF(OR(RIGHT(B6914,12)="@outlook.com",RIGHT(B6914,12)="@hotmail.com",RIGHT(B6914,9)="@live.com"),"Outlook","Domain")))</f>
        <v/>
      </c>
      <c r="F6914">
        <f>IF(B6914="","",IFERROR(RIGHT(B6914,LEN(B6914)-FIND("@",B6914)),""))</f>
        <v/>
      </c>
      <c r="G6914">
        <f>IF(D6914="KEEP",COUNTIF($D$2:D6914,"KEEP"),"")</f>
        <v/>
      </c>
      <c r="H6914">
        <f>IF(D6914="REMOVE",COUNTIF($D$2:D6914,"REMOVE"),"")</f>
        <v/>
      </c>
      <c r="I6914">
        <f>IF(E6914="Gmail",COUNTIF($E$2:E6914,"Gmail"),"")</f>
        <v/>
      </c>
      <c r="J6914">
        <f>IF(E6914="Outlook",COUNTIF($E$2:E6914,"Outlook"),"")</f>
        <v/>
      </c>
      <c r="K6914">
        <f>IF(E6914="Domain",COUNTIF($E$2:E6914,"Domain"),"")</f>
        <v/>
      </c>
    </row>
    <row r="6915">
      <c r="A6915" s="2" t="n"/>
      <c r="B6915">
        <f>LOWER(TRIM(A6915))</f>
        <v/>
      </c>
      <c r="C6915">
        <f>IF(B6915="","",IFERROR(INDEX('Bad Patterns'!$A$2:$A$120,MATCH(1,INDEX(--ISNUMBER(SEARCH('Bad Patterns'!$A$2:$A$120,B6915)),0),0)),""))</f>
        <v/>
      </c>
      <c r="D6915">
        <f>IF(B6915="","",IF(C6915&lt;&gt;"","REMOVE","KEEP"))</f>
        <v/>
      </c>
      <c r="E6915">
        <f>IF(D6915&lt;&gt;"KEEP","",IF(RIGHT(B6915,10)="@gmail.com","Gmail",IF(OR(RIGHT(B6915,12)="@outlook.com",RIGHT(B6915,12)="@hotmail.com",RIGHT(B6915,9)="@live.com"),"Outlook","Domain")))</f>
        <v/>
      </c>
      <c r="F6915">
        <f>IF(B6915="","",IFERROR(RIGHT(B6915,LEN(B6915)-FIND("@",B6915)),""))</f>
        <v/>
      </c>
      <c r="G6915">
        <f>IF(D6915="KEEP",COUNTIF($D$2:D6915,"KEEP"),"")</f>
        <v/>
      </c>
      <c r="H6915">
        <f>IF(D6915="REMOVE",COUNTIF($D$2:D6915,"REMOVE"),"")</f>
        <v/>
      </c>
      <c r="I6915">
        <f>IF(E6915="Gmail",COUNTIF($E$2:E6915,"Gmail"),"")</f>
        <v/>
      </c>
      <c r="J6915">
        <f>IF(E6915="Outlook",COUNTIF($E$2:E6915,"Outlook"),"")</f>
        <v/>
      </c>
      <c r="K6915">
        <f>IF(E6915="Domain",COUNTIF($E$2:E6915,"Domain"),"")</f>
        <v/>
      </c>
    </row>
    <row r="6916">
      <c r="A6916" s="2" t="n"/>
      <c r="B6916">
        <f>LOWER(TRIM(A6916))</f>
        <v/>
      </c>
      <c r="C6916">
        <f>IF(B6916="","",IFERROR(INDEX('Bad Patterns'!$A$2:$A$120,MATCH(1,INDEX(--ISNUMBER(SEARCH('Bad Patterns'!$A$2:$A$120,B6916)),0),0)),""))</f>
        <v/>
      </c>
      <c r="D6916">
        <f>IF(B6916="","",IF(C6916&lt;&gt;"","REMOVE","KEEP"))</f>
        <v/>
      </c>
      <c r="E6916">
        <f>IF(D6916&lt;&gt;"KEEP","",IF(RIGHT(B6916,10)="@gmail.com","Gmail",IF(OR(RIGHT(B6916,12)="@outlook.com",RIGHT(B6916,12)="@hotmail.com",RIGHT(B6916,9)="@live.com"),"Outlook","Domain")))</f>
        <v/>
      </c>
      <c r="F6916">
        <f>IF(B6916="","",IFERROR(RIGHT(B6916,LEN(B6916)-FIND("@",B6916)),""))</f>
        <v/>
      </c>
      <c r="G6916">
        <f>IF(D6916="KEEP",COUNTIF($D$2:D6916,"KEEP"),"")</f>
        <v/>
      </c>
      <c r="H6916">
        <f>IF(D6916="REMOVE",COUNTIF($D$2:D6916,"REMOVE"),"")</f>
        <v/>
      </c>
      <c r="I6916">
        <f>IF(E6916="Gmail",COUNTIF($E$2:E6916,"Gmail"),"")</f>
        <v/>
      </c>
      <c r="J6916">
        <f>IF(E6916="Outlook",COUNTIF($E$2:E6916,"Outlook"),"")</f>
        <v/>
      </c>
      <c r="K6916">
        <f>IF(E6916="Domain",COUNTIF($E$2:E6916,"Domain"),"")</f>
        <v/>
      </c>
    </row>
    <row r="6917">
      <c r="A6917" s="2" t="n"/>
      <c r="B6917">
        <f>LOWER(TRIM(A6917))</f>
        <v/>
      </c>
      <c r="C6917">
        <f>IF(B6917="","",IFERROR(INDEX('Bad Patterns'!$A$2:$A$120,MATCH(1,INDEX(--ISNUMBER(SEARCH('Bad Patterns'!$A$2:$A$120,B6917)),0),0)),""))</f>
        <v/>
      </c>
      <c r="D6917">
        <f>IF(B6917="","",IF(C6917&lt;&gt;"","REMOVE","KEEP"))</f>
        <v/>
      </c>
      <c r="E6917">
        <f>IF(D6917&lt;&gt;"KEEP","",IF(RIGHT(B6917,10)="@gmail.com","Gmail",IF(OR(RIGHT(B6917,12)="@outlook.com",RIGHT(B6917,12)="@hotmail.com",RIGHT(B6917,9)="@live.com"),"Outlook","Domain")))</f>
        <v/>
      </c>
      <c r="F6917">
        <f>IF(B6917="","",IFERROR(RIGHT(B6917,LEN(B6917)-FIND("@",B6917)),""))</f>
        <v/>
      </c>
      <c r="G6917">
        <f>IF(D6917="KEEP",COUNTIF($D$2:D6917,"KEEP"),"")</f>
        <v/>
      </c>
      <c r="H6917">
        <f>IF(D6917="REMOVE",COUNTIF($D$2:D6917,"REMOVE"),"")</f>
        <v/>
      </c>
      <c r="I6917">
        <f>IF(E6917="Gmail",COUNTIF($E$2:E6917,"Gmail"),"")</f>
        <v/>
      </c>
      <c r="J6917">
        <f>IF(E6917="Outlook",COUNTIF($E$2:E6917,"Outlook"),"")</f>
        <v/>
      </c>
      <c r="K6917">
        <f>IF(E6917="Domain",COUNTIF($E$2:E6917,"Domain"),"")</f>
        <v/>
      </c>
    </row>
    <row r="6918">
      <c r="A6918" s="2" t="n"/>
      <c r="B6918">
        <f>LOWER(TRIM(A6918))</f>
        <v/>
      </c>
      <c r="C6918">
        <f>IF(B6918="","",IFERROR(INDEX('Bad Patterns'!$A$2:$A$120,MATCH(1,INDEX(--ISNUMBER(SEARCH('Bad Patterns'!$A$2:$A$120,B6918)),0),0)),""))</f>
        <v/>
      </c>
      <c r="D6918">
        <f>IF(B6918="","",IF(C6918&lt;&gt;"","REMOVE","KEEP"))</f>
        <v/>
      </c>
      <c r="E6918">
        <f>IF(D6918&lt;&gt;"KEEP","",IF(RIGHT(B6918,10)="@gmail.com","Gmail",IF(OR(RIGHT(B6918,12)="@outlook.com",RIGHT(B6918,12)="@hotmail.com",RIGHT(B6918,9)="@live.com"),"Outlook","Domain")))</f>
        <v/>
      </c>
      <c r="F6918">
        <f>IF(B6918="","",IFERROR(RIGHT(B6918,LEN(B6918)-FIND("@",B6918)),""))</f>
        <v/>
      </c>
      <c r="G6918">
        <f>IF(D6918="KEEP",COUNTIF($D$2:D6918,"KEEP"),"")</f>
        <v/>
      </c>
      <c r="H6918">
        <f>IF(D6918="REMOVE",COUNTIF($D$2:D6918,"REMOVE"),"")</f>
        <v/>
      </c>
      <c r="I6918">
        <f>IF(E6918="Gmail",COUNTIF($E$2:E6918,"Gmail"),"")</f>
        <v/>
      </c>
      <c r="J6918">
        <f>IF(E6918="Outlook",COUNTIF($E$2:E6918,"Outlook"),"")</f>
        <v/>
      </c>
      <c r="K6918">
        <f>IF(E6918="Domain",COUNTIF($E$2:E6918,"Domain"),"")</f>
        <v/>
      </c>
    </row>
    <row r="6919">
      <c r="A6919" s="2" t="n"/>
      <c r="B6919">
        <f>LOWER(TRIM(A6919))</f>
        <v/>
      </c>
      <c r="C6919">
        <f>IF(B6919="","",IFERROR(INDEX('Bad Patterns'!$A$2:$A$120,MATCH(1,INDEX(--ISNUMBER(SEARCH('Bad Patterns'!$A$2:$A$120,B6919)),0),0)),""))</f>
        <v/>
      </c>
      <c r="D6919">
        <f>IF(B6919="","",IF(C6919&lt;&gt;"","REMOVE","KEEP"))</f>
        <v/>
      </c>
      <c r="E6919">
        <f>IF(D6919&lt;&gt;"KEEP","",IF(RIGHT(B6919,10)="@gmail.com","Gmail",IF(OR(RIGHT(B6919,12)="@outlook.com",RIGHT(B6919,12)="@hotmail.com",RIGHT(B6919,9)="@live.com"),"Outlook","Domain")))</f>
        <v/>
      </c>
      <c r="F6919">
        <f>IF(B6919="","",IFERROR(RIGHT(B6919,LEN(B6919)-FIND("@",B6919)),""))</f>
        <v/>
      </c>
      <c r="G6919">
        <f>IF(D6919="KEEP",COUNTIF($D$2:D6919,"KEEP"),"")</f>
        <v/>
      </c>
      <c r="H6919">
        <f>IF(D6919="REMOVE",COUNTIF($D$2:D6919,"REMOVE"),"")</f>
        <v/>
      </c>
      <c r="I6919">
        <f>IF(E6919="Gmail",COUNTIF($E$2:E6919,"Gmail"),"")</f>
        <v/>
      </c>
      <c r="J6919">
        <f>IF(E6919="Outlook",COUNTIF($E$2:E6919,"Outlook"),"")</f>
        <v/>
      </c>
      <c r="K6919">
        <f>IF(E6919="Domain",COUNTIF($E$2:E6919,"Domain"),"")</f>
        <v/>
      </c>
    </row>
    <row r="6920">
      <c r="A6920" s="2" t="n"/>
      <c r="B6920">
        <f>LOWER(TRIM(A6920))</f>
        <v/>
      </c>
      <c r="C6920">
        <f>IF(B6920="","",IFERROR(INDEX('Bad Patterns'!$A$2:$A$120,MATCH(1,INDEX(--ISNUMBER(SEARCH('Bad Patterns'!$A$2:$A$120,B6920)),0),0)),""))</f>
        <v/>
      </c>
      <c r="D6920">
        <f>IF(B6920="","",IF(C6920&lt;&gt;"","REMOVE","KEEP"))</f>
        <v/>
      </c>
      <c r="E6920">
        <f>IF(D6920&lt;&gt;"KEEP","",IF(RIGHT(B6920,10)="@gmail.com","Gmail",IF(OR(RIGHT(B6920,12)="@outlook.com",RIGHT(B6920,12)="@hotmail.com",RIGHT(B6920,9)="@live.com"),"Outlook","Domain")))</f>
        <v/>
      </c>
      <c r="F6920">
        <f>IF(B6920="","",IFERROR(RIGHT(B6920,LEN(B6920)-FIND("@",B6920)),""))</f>
        <v/>
      </c>
      <c r="G6920">
        <f>IF(D6920="KEEP",COUNTIF($D$2:D6920,"KEEP"),"")</f>
        <v/>
      </c>
      <c r="H6920">
        <f>IF(D6920="REMOVE",COUNTIF($D$2:D6920,"REMOVE"),"")</f>
        <v/>
      </c>
      <c r="I6920">
        <f>IF(E6920="Gmail",COUNTIF($E$2:E6920,"Gmail"),"")</f>
        <v/>
      </c>
      <c r="J6920">
        <f>IF(E6920="Outlook",COUNTIF($E$2:E6920,"Outlook"),"")</f>
        <v/>
      </c>
      <c r="K6920">
        <f>IF(E6920="Domain",COUNTIF($E$2:E6920,"Domain"),"")</f>
        <v/>
      </c>
    </row>
    <row r="6921">
      <c r="A6921" s="2" t="n"/>
      <c r="B6921">
        <f>LOWER(TRIM(A6921))</f>
        <v/>
      </c>
      <c r="C6921">
        <f>IF(B6921="","",IFERROR(INDEX('Bad Patterns'!$A$2:$A$120,MATCH(1,INDEX(--ISNUMBER(SEARCH('Bad Patterns'!$A$2:$A$120,B6921)),0),0)),""))</f>
        <v/>
      </c>
      <c r="D6921">
        <f>IF(B6921="","",IF(C6921&lt;&gt;"","REMOVE","KEEP"))</f>
        <v/>
      </c>
      <c r="E6921">
        <f>IF(D6921&lt;&gt;"KEEP","",IF(RIGHT(B6921,10)="@gmail.com","Gmail",IF(OR(RIGHT(B6921,12)="@outlook.com",RIGHT(B6921,12)="@hotmail.com",RIGHT(B6921,9)="@live.com"),"Outlook","Domain")))</f>
        <v/>
      </c>
      <c r="F6921">
        <f>IF(B6921="","",IFERROR(RIGHT(B6921,LEN(B6921)-FIND("@",B6921)),""))</f>
        <v/>
      </c>
      <c r="G6921">
        <f>IF(D6921="KEEP",COUNTIF($D$2:D6921,"KEEP"),"")</f>
        <v/>
      </c>
      <c r="H6921">
        <f>IF(D6921="REMOVE",COUNTIF($D$2:D6921,"REMOVE"),"")</f>
        <v/>
      </c>
      <c r="I6921">
        <f>IF(E6921="Gmail",COUNTIF($E$2:E6921,"Gmail"),"")</f>
        <v/>
      </c>
      <c r="J6921">
        <f>IF(E6921="Outlook",COUNTIF($E$2:E6921,"Outlook"),"")</f>
        <v/>
      </c>
      <c r="K6921">
        <f>IF(E6921="Domain",COUNTIF($E$2:E6921,"Domain"),"")</f>
        <v/>
      </c>
    </row>
    <row r="6922">
      <c r="A6922" s="2" t="n"/>
      <c r="B6922">
        <f>LOWER(TRIM(A6922))</f>
        <v/>
      </c>
      <c r="C6922">
        <f>IF(B6922="","",IFERROR(INDEX('Bad Patterns'!$A$2:$A$120,MATCH(1,INDEX(--ISNUMBER(SEARCH('Bad Patterns'!$A$2:$A$120,B6922)),0),0)),""))</f>
        <v/>
      </c>
      <c r="D6922">
        <f>IF(B6922="","",IF(C6922&lt;&gt;"","REMOVE","KEEP"))</f>
        <v/>
      </c>
      <c r="E6922">
        <f>IF(D6922&lt;&gt;"KEEP","",IF(RIGHT(B6922,10)="@gmail.com","Gmail",IF(OR(RIGHT(B6922,12)="@outlook.com",RIGHT(B6922,12)="@hotmail.com",RIGHT(B6922,9)="@live.com"),"Outlook","Domain")))</f>
        <v/>
      </c>
      <c r="F6922">
        <f>IF(B6922="","",IFERROR(RIGHT(B6922,LEN(B6922)-FIND("@",B6922)),""))</f>
        <v/>
      </c>
      <c r="G6922">
        <f>IF(D6922="KEEP",COUNTIF($D$2:D6922,"KEEP"),"")</f>
        <v/>
      </c>
      <c r="H6922">
        <f>IF(D6922="REMOVE",COUNTIF($D$2:D6922,"REMOVE"),"")</f>
        <v/>
      </c>
      <c r="I6922">
        <f>IF(E6922="Gmail",COUNTIF($E$2:E6922,"Gmail"),"")</f>
        <v/>
      </c>
      <c r="J6922">
        <f>IF(E6922="Outlook",COUNTIF($E$2:E6922,"Outlook"),"")</f>
        <v/>
      </c>
      <c r="K6922">
        <f>IF(E6922="Domain",COUNTIF($E$2:E6922,"Domain"),"")</f>
        <v/>
      </c>
    </row>
    <row r="6923">
      <c r="A6923" s="2" t="n"/>
      <c r="B6923">
        <f>LOWER(TRIM(A6923))</f>
        <v/>
      </c>
      <c r="C6923">
        <f>IF(B6923="","",IFERROR(INDEX('Bad Patterns'!$A$2:$A$120,MATCH(1,INDEX(--ISNUMBER(SEARCH('Bad Patterns'!$A$2:$A$120,B6923)),0),0)),""))</f>
        <v/>
      </c>
      <c r="D6923">
        <f>IF(B6923="","",IF(C6923&lt;&gt;"","REMOVE","KEEP"))</f>
        <v/>
      </c>
      <c r="E6923">
        <f>IF(D6923&lt;&gt;"KEEP","",IF(RIGHT(B6923,10)="@gmail.com","Gmail",IF(OR(RIGHT(B6923,12)="@outlook.com",RIGHT(B6923,12)="@hotmail.com",RIGHT(B6923,9)="@live.com"),"Outlook","Domain")))</f>
        <v/>
      </c>
      <c r="F6923">
        <f>IF(B6923="","",IFERROR(RIGHT(B6923,LEN(B6923)-FIND("@",B6923)),""))</f>
        <v/>
      </c>
      <c r="G6923">
        <f>IF(D6923="KEEP",COUNTIF($D$2:D6923,"KEEP"),"")</f>
        <v/>
      </c>
      <c r="H6923">
        <f>IF(D6923="REMOVE",COUNTIF($D$2:D6923,"REMOVE"),"")</f>
        <v/>
      </c>
      <c r="I6923">
        <f>IF(E6923="Gmail",COUNTIF($E$2:E6923,"Gmail"),"")</f>
        <v/>
      </c>
      <c r="J6923">
        <f>IF(E6923="Outlook",COUNTIF($E$2:E6923,"Outlook"),"")</f>
        <v/>
      </c>
      <c r="K6923">
        <f>IF(E6923="Domain",COUNTIF($E$2:E6923,"Domain"),"")</f>
        <v/>
      </c>
    </row>
    <row r="6924">
      <c r="A6924" s="2" t="n"/>
      <c r="B6924">
        <f>LOWER(TRIM(A6924))</f>
        <v/>
      </c>
      <c r="C6924">
        <f>IF(B6924="","",IFERROR(INDEX('Bad Patterns'!$A$2:$A$120,MATCH(1,INDEX(--ISNUMBER(SEARCH('Bad Patterns'!$A$2:$A$120,B6924)),0),0)),""))</f>
        <v/>
      </c>
      <c r="D6924">
        <f>IF(B6924="","",IF(C6924&lt;&gt;"","REMOVE","KEEP"))</f>
        <v/>
      </c>
      <c r="E6924">
        <f>IF(D6924&lt;&gt;"KEEP","",IF(RIGHT(B6924,10)="@gmail.com","Gmail",IF(OR(RIGHT(B6924,12)="@outlook.com",RIGHT(B6924,12)="@hotmail.com",RIGHT(B6924,9)="@live.com"),"Outlook","Domain")))</f>
        <v/>
      </c>
      <c r="F6924">
        <f>IF(B6924="","",IFERROR(RIGHT(B6924,LEN(B6924)-FIND("@",B6924)),""))</f>
        <v/>
      </c>
      <c r="G6924">
        <f>IF(D6924="KEEP",COUNTIF($D$2:D6924,"KEEP"),"")</f>
        <v/>
      </c>
      <c r="H6924">
        <f>IF(D6924="REMOVE",COUNTIF($D$2:D6924,"REMOVE"),"")</f>
        <v/>
      </c>
      <c r="I6924">
        <f>IF(E6924="Gmail",COUNTIF($E$2:E6924,"Gmail"),"")</f>
        <v/>
      </c>
      <c r="J6924">
        <f>IF(E6924="Outlook",COUNTIF($E$2:E6924,"Outlook"),"")</f>
        <v/>
      </c>
      <c r="K6924">
        <f>IF(E6924="Domain",COUNTIF($E$2:E6924,"Domain"),"")</f>
        <v/>
      </c>
    </row>
    <row r="6925">
      <c r="A6925" s="2" t="n"/>
      <c r="B6925">
        <f>LOWER(TRIM(A6925))</f>
        <v/>
      </c>
      <c r="C6925">
        <f>IF(B6925="","",IFERROR(INDEX('Bad Patterns'!$A$2:$A$120,MATCH(1,INDEX(--ISNUMBER(SEARCH('Bad Patterns'!$A$2:$A$120,B6925)),0),0)),""))</f>
        <v/>
      </c>
      <c r="D6925">
        <f>IF(B6925="","",IF(C6925&lt;&gt;"","REMOVE","KEEP"))</f>
        <v/>
      </c>
      <c r="E6925">
        <f>IF(D6925&lt;&gt;"KEEP","",IF(RIGHT(B6925,10)="@gmail.com","Gmail",IF(OR(RIGHT(B6925,12)="@outlook.com",RIGHT(B6925,12)="@hotmail.com",RIGHT(B6925,9)="@live.com"),"Outlook","Domain")))</f>
        <v/>
      </c>
      <c r="F6925">
        <f>IF(B6925="","",IFERROR(RIGHT(B6925,LEN(B6925)-FIND("@",B6925)),""))</f>
        <v/>
      </c>
      <c r="G6925">
        <f>IF(D6925="KEEP",COUNTIF($D$2:D6925,"KEEP"),"")</f>
        <v/>
      </c>
      <c r="H6925">
        <f>IF(D6925="REMOVE",COUNTIF($D$2:D6925,"REMOVE"),"")</f>
        <v/>
      </c>
      <c r="I6925">
        <f>IF(E6925="Gmail",COUNTIF($E$2:E6925,"Gmail"),"")</f>
        <v/>
      </c>
      <c r="J6925">
        <f>IF(E6925="Outlook",COUNTIF($E$2:E6925,"Outlook"),"")</f>
        <v/>
      </c>
      <c r="K6925">
        <f>IF(E6925="Domain",COUNTIF($E$2:E6925,"Domain"),"")</f>
        <v/>
      </c>
    </row>
    <row r="6926">
      <c r="A6926" s="2" t="n"/>
      <c r="B6926">
        <f>LOWER(TRIM(A6926))</f>
        <v/>
      </c>
      <c r="C6926">
        <f>IF(B6926="","",IFERROR(INDEX('Bad Patterns'!$A$2:$A$120,MATCH(1,INDEX(--ISNUMBER(SEARCH('Bad Patterns'!$A$2:$A$120,B6926)),0),0)),""))</f>
        <v/>
      </c>
      <c r="D6926">
        <f>IF(B6926="","",IF(C6926&lt;&gt;"","REMOVE","KEEP"))</f>
        <v/>
      </c>
      <c r="E6926">
        <f>IF(D6926&lt;&gt;"KEEP","",IF(RIGHT(B6926,10)="@gmail.com","Gmail",IF(OR(RIGHT(B6926,12)="@outlook.com",RIGHT(B6926,12)="@hotmail.com",RIGHT(B6926,9)="@live.com"),"Outlook","Domain")))</f>
        <v/>
      </c>
      <c r="F6926">
        <f>IF(B6926="","",IFERROR(RIGHT(B6926,LEN(B6926)-FIND("@",B6926)),""))</f>
        <v/>
      </c>
      <c r="G6926">
        <f>IF(D6926="KEEP",COUNTIF($D$2:D6926,"KEEP"),"")</f>
        <v/>
      </c>
      <c r="H6926">
        <f>IF(D6926="REMOVE",COUNTIF($D$2:D6926,"REMOVE"),"")</f>
        <v/>
      </c>
      <c r="I6926">
        <f>IF(E6926="Gmail",COUNTIF($E$2:E6926,"Gmail"),"")</f>
        <v/>
      </c>
      <c r="J6926">
        <f>IF(E6926="Outlook",COUNTIF($E$2:E6926,"Outlook"),"")</f>
        <v/>
      </c>
      <c r="K6926">
        <f>IF(E6926="Domain",COUNTIF($E$2:E6926,"Domain"),"")</f>
        <v/>
      </c>
    </row>
    <row r="6927">
      <c r="A6927" s="2" t="n"/>
      <c r="B6927">
        <f>LOWER(TRIM(A6927))</f>
        <v/>
      </c>
      <c r="C6927">
        <f>IF(B6927="","",IFERROR(INDEX('Bad Patterns'!$A$2:$A$120,MATCH(1,INDEX(--ISNUMBER(SEARCH('Bad Patterns'!$A$2:$A$120,B6927)),0),0)),""))</f>
        <v/>
      </c>
      <c r="D6927">
        <f>IF(B6927="","",IF(C6927&lt;&gt;"","REMOVE","KEEP"))</f>
        <v/>
      </c>
      <c r="E6927">
        <f>IF(D6927&lt;&gt;"KEEP","",IF(RIGHT(B6927,10)="@gmail.com","Gmail",IF(OR(RIGHT(B6927,12)="@outlook.com",RIGHT(B6927,12)="@hotmail.com",RIGHT(B6927,9)="@live.com"),"Outlook","Domain")))</f>
        <v/>
      </c>
      <c r="F6927">
        <f>IF(B6927="","",IFERROR(RIGHT(B6927,LEN(B6927)-FIND("@",B6927)),""))</f>
        <v/>
      </c>
      <c r="G6927">
        <f>IF(D6927="KEEP",COUNTIF($D$2:D6927,"KEEP"),"")</f>
        <v/>
      </c>
      <c r="H6927">
        <f>IF(D6927="REMOVE",COUNTIF($D$2:D6927,"REMOVE"),"")</f>
        <v/>
      </c>
      <c r="I6927">
        <f>IF(E6927="Gmail",COUNTIF($E$2:E6927,"Gmail"),"")</f>
        <v/>
      </c>
      <c r="J6927">
        <f>IF(E6927="Outlook",COUNTIF($E$2:E6927,"Outlook"),"")</f>
        <v/>
      </c>
      <c r="K6927">
        <f>IF(E6927="Domain",COUNTIF($E$2:E6927,"Domain"),"")</f>
        <v/>
      </c>
    </row>
    <row r="6928">
      <c r="A6928" s="2" t="n"/>
      <c r="B6928">
        <f>LOWER(TRIM(A6928))</f>
        <v/>
      </c>
      <c r="C6928">
        <f>IF(B6928="","",IFERROR(INDEX('Bad Patterns'!$A$2:$A$120,MATCH(1,INDEX(--ISNUMBER(SEARCH('Bad Patterns'!$A$2:$A$120,B6928)),0),0)),""))</f>
        <v/>
      </c>
      <c r="D6928">
        <f>IF(B6928="","",IF(C6928&lt;&gt;"","REMOVE","KEEP"))</f>
        <v/>
      </c>
      <c r="E6928">
        <f>IF(D6928&lt;&gt;"KEEP","",IF(RIGHT(B6928,10)="@gmail.com","Gmail",IF(OR(RIGHT(B6928,12)="@outlook.com",RIGHT(B6928,12)="@hotmail.com",RIGHT(B6928,9)="@live.com"),"Outlook","Domain")))</f>
        <v/>
      </c>
      <c r="F6928">
        <f>IF(B6928="","",IFERROR(RIGHT(B6928,LEN(B6928)-FIND("@",B6928)),""))</f>
        <v/>
      </c>
      <c r="G6928">
        <f>IF(D6928="KEEP",COUNTIF($D$2:D6928,"KEEP"),"")</f>
        <v/>
      </c>
      <c r="H6928">
        <f>IF(D6928="REMOVE",COUNTIF($D$2:D6928,"REMOVE"),"")</f>
        <v/>
      </c>
      <c r="I6928">
        <f>IF(E6928="Gmail",COUNTIF($E$2:E6928,"Gmail"),"")</f>
        <v/>
      </c>
      <c r="J6928">
        <f>IF(E6928="Outlook",COUNTIF($E$2:E6928,"Outlook"),"")</f>
        <v/>
      </c>
      <c r="K6928">
        <f>IF(E6928="Domain",COUNTIF($E$2:E6928,"Domain"),"")</f>
        <v/>
      </c>
    </row>
    <row r="6929">
      <c r="A6929" s="2" t="n"/>
      <c r="B6929">
        <f>LOWER(TRIM(A6929))</f>
        <v/>
      </c>
      <c r="C6929">
        <f>IF(B6929="","",IFERROR(INDEX('Bad Patterns'!$A$2:$A$120,MATCH(1,INDEX(--ISNUMBER(SEARCH('Bad Patterns'!$A$2:$A$120,B6929)),0),0)),""))</f>
        <v/>
      </c>
      <c r="D6929">
        <f>IF(B6929="","",IF(C6929&lt;&gt;"","REMOVE","KEEP"))</f>
        <v/>
      </c>
      <c r="E6929">
        <f>IF(D6929&lt;&gt;"KEEP","",IF(RIGHT(B6929,10)="@gmail.com","Gmail",IF(OR(RIGHT(B6929,12)="@outlook.com",RIGHT(B6929,12)="@hotmail.com",RIGHT(B6929,9)="@live.com"),"Outlook","Domain")))</f>
        <v/>
      </c>
      <c r="F6929">
        <f>IF(B6929="","",IFERROR(RIGHT(B6929,LEN(B6929)-FIND("@",B6929)),""))</f>
        <v/>
      </c>
      <c r="G6929">
        <f>IF(D6929="KEEP",COUNTIF($D$2:D6929,"KEEP"),"")</f>
        <v/>
      </c>
      <c r="H6929">
        <f>IF(D6929="REMOVE",COUNTIF($D$2:D6929,"REMOVE"),"")</f>
        <v/>
      </c>
      <c r="I6929">
        <f>IF(E6929="Gmail",COUNTIF($E$2:E6929,"Gmail"),"")</f>
        <v/>
      </c>
      <c r="J6929">
        <f>IF(E6929="Outlook",COUNTIF($E$2:E6929,"Outlook"),"")</f>
        <v/>
      </c>
      <c r="K6929">
        <f>IF(E6929="Domain",COUNTIF($E$2:E6929,"Domain"),"")</f>
        <v/>
      </c>
    </row>
    <row r="6930">
      <c r="A6930" s="2" t="n"/>
      <c r="B6930">
        <f>LOWER(TRIM(A6930))</f>
        <v/>
      </c>
      <c r="C6930">
        <f>IF(B6930="","",IFERROR(INDEX('Bad Patterns'!$A$2:$A$120,MATCH(1,INDEX(--ISNUMBER(SEARCH('Bad Patterns'!$A$2:$A$120,B6930)),0),0)),""))</f>
        <v/>
      </c>
      <c r="D6930">
        <f>IF(B6930="","",IF(C6930&lt;&gt;"","REMOVE","KEEP"))</f>
        <v/>
      </c>
      <c r="E6930">
        <f>IF(D6930&lt;&gt;"KEEP","",IF(RIGHT(B6930,10)="@gmail.com","Gmail",IF(OR(RIGHT(B6930,12)="@outlook.com",RIGHT(B6930,12)="@hotmail.com",RIGHT(B6930,9)="@live.com"),"Outlook","Domain")))</f>
        <v/>
      </c>
      <c r="F6930">
        <f>IF(B6930="","",IFERROR(RIGHT(B6930,LEN(B6930)-FIND("@",B6930)),""))</f>
        <v/>
      </c>
      <c r="G6930">
        <f>IF(D6930="KEEP",COUNTIF($D$2:D6930,"KEEP"),"")</f>
        <v/>
      </c>
      <c r="H6930">
        <f>IF(D6930="REMOVE",COUNTIF($D$2:D6930,"REMOVE"),"")</f>
        <v/>
      </c>
      <c r="I6930">
        <f>IF(E6930="Gmail",COUNTIF($E$2:E6930,"Gmail"),"")</f>
        <v/>
      </c>
      <c r="J6930">
        <f>IF(E6930="Outlook",COUNTIF($E$2:E6930,"Outlook"),"")</f>
        <v/>
      </c>
      <c r="K6930">
        <f>IF(E6930="Domain",COUNTIF($E$2:E6930,"Domain"),"")</f>
        <v/>
      </c>
    </row>
    <row r="6931">
      <c r="A6931" s="2" t="n"/>
      <c r="B6931">
        <f>LOWER(TRIM(A6931))</f>
        <v/>
      </c>
      <c r="C6931">
        <f>IF(B6931="","",IFERROR(INDEX('Bad Patterns'!$A$2:$A$120,MATCH(1,INDEX(--ISNUMBER(SEARCH('Bad Patterns'!$A$2:$A$120,B6931)),0),0)),""))</f>
        <v/>
      </c>
      <c r="D6931">
        <f>IF(B6931="","",IF(C6931&lt;&gt;"","REMOVE","KEEP"))</f>
        <v/>
      </c>
      <c r="E6931">
        <f>IF(D6931&lt;&gt;"KEEP","",IF(RIGHT(B6931,10)="@gmail.com","Gmail",IF(OR(RIGHT(B6931,12)="@outlook.com",RIGHT(B6931,12)="@hotmail.com",RIGHT(B6931,9)="@live.com"),"Outlook","Domain")))</f>
        <v/>
      </c>
      <c r="F6931">
        <f>IF(B6931="","",IFERROR(RIGHT(B6931,LEN(B6931)-FIND("@",B6931)),""))</f>
        <v/>
      </c>
      <c r="G6931">
        <f>IF(D6931="KEEP",COUNTIF($D$2:D6931,"KEEP"),"")</f>
        <v/>
      </c>
      <c r="H6931">
        <f>IF(D6931="REMOVE",COUNTIF($D$2:D6931,"REMOVE"),"")</f>
        <v/>
      </c>
      <c r="I6931">
        <f>IF(E6931="Gmail",COUNTIF($E$2:E6931,"Gmail"),"")</f>
        <v/>
      </c>
      <c r="J6931">
        <f>IF(E6931="Outlook",COUNTIF($E$2:E6931,"Outlook"),"")</f>
        <v/>
      </c>
      <c r="K6931">
        <f>IF(E6931="Domain",COUNTIF($E$2:E6931,"Domain"),"")</f>
        <v/>
      </c>
    </row>
    <row r="6932">
      <c r="A6932" s="2" t="n"/>
      <c r="B6932">
        <f>LOWER(TRIM(A6932))</f>
        <v/>
      </c>
      <c r="C6932">
        <f>IF(B6932="","",IFERROR(INDEX('Bad Patterns'!$A$2:$A$120,MATCH(1,INDEX(--ISNUMBER(SEARCH('Bad Patterns'!$A$2:$A$120,B6932)),0),0)),""))</f>
        <v/>
      </c>
      <c r="D6932">
        <f>IF(B6932="","",IF(C6932&lt;&gt;"","REMOVE","KEEP"))</f>
        <v/>
      </c>
      <c r="E6932">
        <f>IF(D6932&lt;&gt;"KEEP","",IF(RIGHT(B6932,10)="@gmail.com","Gmail",IF(OR(RIGHT(B6932,12)="@outlook.com",RIGHT(B6932,12)="@hotmail.com",RIGHT(B6932,9)="@live.com"),"Outlook","Domain")))</f>
        <v/>
      </c>
      <c r="F6932">
        <f>IF(B6932="","",IFERROR(RIGHT(B6932,LEN(B6932)-FIND("@",B6932)),""))</f>
        <v/>
      </c>
      <c r="G6932">
        <f>IF(D6932="KEEP",COUNTIF($D$2:D6932,"KEEP"),"")</f>
        <v/>
      </c>
      <c r="H6932">
        <f>IF(D6932="REMOVE",COUNTIF($D$2:D6932,"REMOVE"),"")</f>
        <v/>
      </c>
      <c r="I6932">
        <f>IF(E6932="Gmail",COUNTIF($E$2:E6932,"Gmail"),"")</f>
        <v/>
      </c>
      <c r="J6932">
        <f>IF(E6932="Outlook",COUNTIF($E$2:E6932,"Outlook"),"")</f>
        <v/>
      </c>
      <c r="K6932">
        <f>IF(E6932="Domain",COUNTIF($E$2:E6932,"Domain"),"")</f>
        <v/>
      </c>
    </row>
    <row r="6933">
      <c r="A6933" s="2" t="n"/>
      <c r="B6933">
        <f>LOWER(TRIM(A6933))</f>
        <v/>
      </c>
      <c r="C6933">
        <f>IF(B6933="","",IFERROR(INDEX('Bad Patterns'!$A$2:$A$120,MATCH(1,INDEX(--ISNUMBER(SEARCH('Bad Patterns'!$A$2:$A$120,B6933)),0),0)),""))</f>
        <v/>
      </c>
      <c r="D6933">
        <f>IF(B6933="","",IF(C6933&lt;&gt;"","REMOVE","KEEP"))</f>
        <v/>
      </c>
      <c r="E6933">
        <f>IF(D6933&lt;&gt;"KEEP","",IF(RIGHT(B6933,10)="@gmail.com","Gmail",IF(OR(RIGHT(B6933,12)="@outlook.com",RIGHT(B6933,12)="@hotmail.com",RIGHT(B6933,9)="@live.com"),"Outlook","Domain")))</f>
        <v/>
      </c>
      <c r="F6933">
        <f>IF(B6933="","",IFERROR(RIGHT(B6933,LEN(B6933)-FIND("@",B6933)),""))</f>
        <v/>
      </c>
      <c r="G6933">
        <f>IF(D6933="KEEP",COUNTIF($D$2:D6933,"KEEP"),"")</f>
        <v/>
      </c>
      <c r="H6933">
        <f>IF(D6933="REMOVE",COUNTIF($D$2:D6933,"REMOVE"),"")</f>
        <v/>
      </c>
      <c r="I6933">
        <f>IF(E6933="Gmail",COUNTIF($E$2:E6933,"Gmail"),"")</f>
        <v/>
      </c>
      <c r="J6933">
        <f>IF(E6933="Outlook",COUNTIF($E$2:E6933,"Outlook"),"")</f>
        <v/>
      </c>
      <c r="K6933">
        <f>IF(E6933="Domain",COUNTIF($E$2:E6933,"Domain"),"")</f>
        <v/>
      </c>
    </row>
    <row r="6934">
      <c r="A6934" s="2" t="n"/>
      <c r="B6934">
        <f>LOWER(TRIM(A6934))</f>
        <v/>
      </c>
      <c r="C6934">
        <f>IF(B6934="","",IFERROR(INDEX('Bad Patterns'!$A$2:$A$120,MATCH(1,INDEX(--ISNUMBER(SEARCH('Bad Patterns'!$A$2:$A$120,B6934)),0),0)),""))</f>
        <v/>
      </c>
      <c r="D6934">
        <f>IF(B6934="","",IF(C6934&lt;&gt;"","REMOVE","KEEP"))</f>
        <v/>
      </c>
      <c r="E6934">
        <f>IF(D6934&lt;&gt;"KEEP","",IF(RIGHT(B6934,10)="@gmail.com","Gmail",IF(OR(RIGHT(B6934,12)="@outlook.com",RIGHT(B6934,12)="@hotmail.com",RIGHT(B6934,9)="@live.com"),"Outlook","Domain")))</f>
        <v/>
      </c>
      <c r="F6934">
        <f>IF(B6934="","",IFERROR(RIGHT(B6934,LEN(B6934)-FIND("@",B6934)),""))</f>
        <v/>
      </c>
      <c r="G6934">
        <f>IF(D6934="KEEP",COUNTIF($D$2:D6934,"KEEP"),"")</f>
        <v/>
      </c>
      <c r="H6934">
        <f>IF(D6934="REMOVE",COUNTIF($D$2:D6934,"REMOVE"),"")</f>
        <v/>
      </c>
      <c r="I6934">
        <f>IF(E6934="Gmail",COUNTIF($E$2:E6934,"Gmail"),"")</f>
        <v/>
      </c>
      <c r="J6934">
        <f>IF(E6934="Outlook",COUNTIF($E$2:E6934,"Outlook"),"")</f>
        <v/>
      </c>
      <c r="K6934">
        <f>IF(E6934="Domain",COUNTIF($E$2:E6934,"Domain"),"")</f>
        <v/>
      </c>
    </row>
    <row r="6935">
      <c r="A6935" s="2" t="n"/>
      <c r="B6935">
        <f>LOWER(TRIM(A6935))</f>
        <v/>
      </c>
      <c r="C6935">
        <f>IF(B6935="","",IFERROR(INDEX('Bad Patterns'!$A$2:$A$120,MATCH(1,INDEX(--ISNUMBER(SEARCH('Bad Patterns'!$A$2:$A$120,B6935)),0),0)),""))</f>
        <v/>
      </c>
      <c r="D6935">
        <f>IF(B6935="","",IF(C6935&lt;&gt;"","REMOVE","KEEP"))</f>
        <v/>
      </c>
      <c r="E6935">
        <f>IF(D6935&lt;&gt;"KEEP","",IF(RIGHT(B6935,10)="@gmail.com","Gmail",IF(OR(RIGHT(B6935,12)="@outlook.com",RIGHT(B6935,12)="@hotmail.com",RIGHT(B6935,9)="@live.com"),"Outlook","Domain")))</f>
        <v/>
      </c>
      <c r="F6935">
        <f>IF(B6935="","",IFERROR(RIGHT(B6935,LEN(B6935)-FIND("@",B6935)),""))</f>
        <v/>
      </c>
      <c r="G6935">
        <f>IF(D6935="KEEP",COUNTIF($D$2:D6935,"KEEP"),"")</f>
        <v/>
      </c>
      <c r="H6935">
        <f>IF(D6935="REMOVE",COUNTIF($D$2:D6935,"REMOVE"),"")</f>
        <v/>
      </c>
      <c r="I6935">
        <f>IF(E6935="Gmail",COUNTIF($E$2:E6935,"Gmail"),"")</f>
        <v/>
      </c>
      <c r="J6935">
        <f>IF(E6935="Outlook",COUNTIF($E$2:E6935,"Outlook"),"")</f>
        <v/>
      </c>
      <c r="K6935">
        <f>IF(E6935="Domain",COUNTIF($E$2:E6935,"Domain"),"")</f>
        <v/>
      </c>
    </row>
    <row r="6936">
      <c r="A6936" s="2" t="n"/>
      <c r="B6936">
        <f>LOWER(TRIM(A6936))</f>
        <v/>
      </c>
      <c r="C6936">
        <f>IF(B6936="","",IFERROR(INDEX('Bad Patterns'!$A$2:$A$120,MATCH(1,INDEX(--ISNUMBER(SEARCH('Bad Patterns'!$A$2:$A$120,B6936)),0),0)),""))</f>
        <v/>
      </c>
      <c r="D6936">
        <f>IF(B6936="","",IF(C6936&lt;&gt;"","REMOVE","KEEP"))</f>
        <v/>
      </c>
      <c r="E6936">
        <f>IF(D6936&lt;&gt;"KEEP","",IF(RIGHT(B6936,10)="@gmail.com","Gmail",IF(OR(RIGHT(B6936,12)="@outlook.com",RIGHT(B6936,12)="@hotmail.com",RIGHT(B6936,9)="@live.com"),"Outlook","Domain")))</f>
        <v/>
      </c>
      <c r="F6936">
        <f>IF(B6936="","",IFERROR(RIGHT(B6936,LEN(B6936)-FIND("@",B6936)),""))</f>
        <v/>
      </c>
      <c r="G6936">
        <f>IF(D6936="KEEP",COUNTIF($D$2:D6936,"KEEP"),"")</f>
        <v/>
      </c>
      <c r="H6936">
        <f>IF(D6936="REMOVE",COUNTIF($D$2:D6936,"REMOVE"),"")</f>
        <v/>
      </c>
      <c r="I6936">
        <f>IF(E6936="Gmail",COUNTIF($E$2:E6936,"Gmail"),"")</f>
        <v/>
      </c>
      <c r="J6936">
        <f>IF(E6936="Outlook",COUNTIF($E$2:E6936,"Outlook"),"")</f>
        <v/>
      </c>
      <c r="K6936">
        <f>IF(E6936="Domain",COUNTIF($E$2:E6936,"Domain"),"")</f>
        <v/>
      </c>
    </row>
    <row r="6937">
      <c r="A6937" s="2" t="n"/>
      <c r="B6937">
        <f>LOWER(TRIM(A6937))</f>
        <v/>
      </c>
      <c r="C6937">
        <f>IF(B6937="","",IFERROR(INDEX('Bad Patterns'!$A$2:$A$120,MATCH(1,INDEX(--ISNUMBER(SEARCH('Bad Patterns'!$A$2:$A$120,B6937)),0),0)),""))</f>
        <v/>
      </c>
      <c r="D6937">
        <f>IF(B6937="","",IF(C6937&lt;&gt;"","REMOVE","KEEP"))</f>
        <v/>
      </c>
      <c r="E6937">
        <f>IF(D6937&lt;&gt;"KEEP","",IF(RIGHT(B6937,10)="@gmail.com","Gmail",IF(OR(RIGHT(B6937,12)="@outlook.com",RIGHT(B6937,12)="@hotmail.com",RIGHT(B6937,9)="@live.com"),"Outlook","Domain")))</f>
        <v/>
      </c>
      <c r="F6937">
        <f>IF(B6937="","",IFERROR(RIGHT(B6937,LEN(B6937)-FIND("@",B6937)),""))</f>
        <v/>
      </c>
      <c r="G6937">
        <f>IF(D6937="KEEP",COUNTIF($D$2:D6937,"KEEP"),"")</f>
        <v/>
      </c>
      <c r="H6937">
        <f>IF(D6937="REMOVE",COUNTIF($D$2:D6937,"REMOVE"),"")</f>
        <v/>
      </c>
      <c r="I6937">
        <f>IF(E6937="Gmail",COUNTIF($E$2:E6937,"Gmail"),"")</f>
        <v/>
      </c>
      <c r="J6937">
        <f>IF(E6937="Outlook",COUNTIF($E$2:E6937,"Outlook"),"")</f>
        <v/>
      </c>
      <c r="K6937">
        <f>IF(E6937="Domain",COUNTIF($E$2:E6937,"Domain"),"")</f>
        <v/>
      </c>
    </row>
    <row r="6938">
      <c r="A6938" s="2" t="n"/>
      <c r="B6938">
        <f>LOWER(TRIM(A6938))</f>
        <v/>
      </c>
      <c r="C6938">
        <f>IF(B6938="","",IFERROR(INDEX('Bad Patterns'!$A$2:$A$120,MATCH(1,INDEX(--ISNUMBER(SEARCH('Bad Patterns'!$A$2:$A$120,B6938)),0),0)),""))</f>
        <v/>
      </c>
      <c r="D6938">
        <f>IF(B6938="","",IF(C6938&lt;&gt;"","REMOVE","KEEP"))</f>
        <v/>
      </c>
      <c r="E6938">
        <f>IF(D6938&lt;&gt;"KEEP","",IF(RIGHT(B6938,10)="@gmail.com","Gmail",IF(OR(RIGHT(B6938,12)="@outlook.com",RIGHT(B6938,12)="@hotmail.com",RIGHT(B6938,9)="@live.com"),"Outlook","Domain")))</f>
        <v/>
      </c>
      <c r="F6938">
        <f>IF(B6938="","",IFERROR(RIGHT(B6938,LEN(B6938)-FIND("@",B6938)),""))</f>
        <v/>
      </c>
      <c r="G6938">
        <f>IF(D6938="KEEP",COUNTIF($D$2:D6938,"KEEP"),"")</f>
        <v/>
      </c>
      <c r="H6938">
        <f>IF(D6938="REMOVE",COUNTIF($D$2:D6938,"REMOVE"),"")</f>
        <v/>
      </c>
      <c r="I6938">
        <f>IF(E6938="Gmail",COUNTIF($E$2:E6938,"Gmail"),"")</f>
        <v/>
      </c>
      <c r="J6938">
        <f>IF(E6938="Outlook",COUNTIF($E$2:E6938,"Outlook"),"")</f>
        <v/>
      </c>
      <c r="K6938">
        <f>IF(E6938="Domain",COUNTIF($E$2:E6938,"Domain"),"")</f>
        <v/>
      </c>
    </row>
    <row r="6939">
      <c r="A6939" s="2" t="n"/>
      <c r="B6939">
        <f>LOWER(TRIM(A6939))</f>
        <v/>
      </c>
      <c r="C6939">
        <f>IF(B6939="","",IFERROR(INDEX('Bad Patterns'!$A$2:$A$120,MATCH(1,INDEX(--ISNUMBER(SEARCH('Bad Patterns'!$A$2:$A$120,B6939)),0),0)),""))</f>
        <v/>
      </c>
      <c r="D6939">
        <f>IF(B6939="","",IF(C6939&lt;&gt;"","REMOVE","KEEP"))</f>
        <v/>
      </c>
      <c r="E6939">
        <f>IF(D6939&lt;&gt;"KEEP","",IF(RIGHT(B6939,10)="@gmail.com","Gmail",IF(OR(RIGHT(B6939,12)="@outlook.com",RIGHT(B6939,12)="@hotmail.com",RIGHT(B6939,9)="@live.com"),"Outlook","Domain")))</f>
        <v/>
      </c>
      <c r="F6939">
        <f>IF(B6939="","",IFERROR(RIGHT(B6939,LEN(B6939)-FIND("@",B6939)),""))</f>
        <v/>
      </c>
      <c r="G6939">
        <f>IF(D6939="KEEP",COUNTIF($D$2:D6939,"KEEP"),"")</f>
        <v/>
      </c>
      <c r="H6939">
        <f>IF(D6939="REMOVE",COUNTIF($D$2:D6939,"REMOVE"),"")</f>
        <v/>
      </c>
      <c r="I6939">
        <f>IF(E6939="Gmail",COUNTIF($E$2:E6939,"Gmail"),"")</f>
        <v/>
      </c>
      <c r="J6939">
        <f>IF(E6939="Outlook",COUNTIF($E$2:E6939,"Outlook"),"")</f>
        <v/>
      </c>
      <c r="K6939">
        <f>IF(E6939="Domain",COUNTIF($E$2:E6939,"Domain"),"")</f>
        <v/>
      </c>
    </row>
    <row r="6940">
      <c r="A6940" s="2" t="n"/>
      <c r="B6940">
        <f>LOWER(TRIM(A6940))</f>
        <v/>
      </c>
      <c r="C6940">
        <f>IF(B6940="","",IFERROR(INDEX('Bad Patterns'!$A$2:$A$120,MATCH(1,INDEX(--ISNUMBER(SEARCH('Bad Patterns'!$A$2:$A$120,B6940)),0),0)),""))</f>
        <v/>
      </c>
      <c r="D6940">
        <f>IF(B6940="","",IF(C6940&lt;&gt;"","REMOVE","KEEP"))</f>
        <v/>
      </c>
      <c r="E6940">
        <f>IF(D6940&lt;&gt;"KEEP","",IF(RIGHT(B6940,10)="@gmail.com","Gmail",IF(OR(RIGHT(B6940,12)="@outlook.com",RIGHT(B6940,12)="@hotmail.com",RIGHT(B6940,9)="@live.com"),"Outlook","Domain")))</f>
        <v/>
      </c>
      <c r="F6940">
        <f>IF(B6940="","",IFERROR(RIGHT(B6940,LEN(B6940)-FIND("@",B6940)),""))</f>
        <v/>
      </c>
      <c r="G6940">
        <f>IF(D6940="KEEP",COUNTIF($D$2:D6940,"KEEP"),"")</f>
        <v/>
      </c>
      <c r="H6940">
        <f>IF(D6940="REMOVE",COUNTIF($D$2:D6940,"REMOVE"),"")</f>
        <v/>
      </c>
      <c r="I6940">
        <f>IF(E6940="Gmail",COUNTIF($E$2:E6940,"Gmail"),"")</f>
        <v/>
      </c>
      <c r="J6940">
        <f>IF(E6940="Outlook",COUNTIF($E$2:E6940,"Outlook"),"")</f>
        <v/>
      </c>
      <c r="K6940">
        <f>IF(E6940="Domain",COUNTIF($E$2:E6940,"Domain"),"")</f>
        <v/>
      </c>
    </row>
    <row r="6941">
      <c r="A6941" s="2" t="n"/>
      <c r="B6941">
        <f>LOWER(TRIM(A6941))</f>
        <v/>
      </c>
      <c r="C6941">
        <f>IF(B6941="","",IFERROR(INDEX('Bad Patterns'!$A$2:$A$120,MATCH(1,INDEX(--ISNUMBER(SEARCH('Bad Patterns'!$A$2:$A$120,B6941)),0),0)),""))</f>
        <v/>
      </c>
      <c r="D6941">
        <f>IF(B6941="","",IF(C6941&lt;&gt;"","REMOVE","KEEP"))</f>
        <v/>
      </c>
      <c r="E6941">
        <f>IF(D6941&lt;&gt;"KEEP","",IF(RIGHT(B6941,10)="@gmail.com","Gmail",IF(OR(RIGHT(B6941,12)="@outlook.com",RIGHT(B6941,12)="@hotmail.com",RIGHT(B6941,9)="@live.com"),"Outlook","Domain")))</f>
        <v/>
      </c>
      <c r="F6941">
        <f>IF(B6941="","",IFERROR(RIGHT(B6941,LEN(B6941)-FIND("@",B6941)),""))</f>
        <v/>
      </c>
      <c r="G6941">
        <f>IF(D6941="KEEP",COUNTIF($D$2:D6941,"KEEP"),"")</f>
        <v/>
      </c>
      <c r="H6941">
        <f>IF(D6941="REMOVE",COUNTIF($D$2:D6941,"REMOVE"),"")</f>
        <v/>
      </c>
      <c r="I6941">
        <f>IF(E6941="Gmail",COUNTIF($E$2:E6941,"Gmail"),"")</f>
        <v/>
      </c>
      <c r="J6941">
        <f>IF(E6941="Outlook",COUNTIF($E$2:E6941,"Outlook"),"")</f>
        <v/>
      </c>
      <c r="K6941">
        <f>IF(E6941="Domain",COUNTIF($E$2:E6941,"Domain"),"")</f>
        <v/>
      </c>
    </row>
    <row r="6942">
      <c r="A6942" s="2" t="n"/>
      <c r="B6942">
        <f>LOWER(TRIM(A6942))</f>
        <v/>
      </c>
      <c r="C6942">
        <f>IF(B6942="","",IFERROR(INDEX('Bad Patterns'!$A$2:$A$120,MATCH(1,INDEX(--ISNUMBER(SEARCH('Bad Patterns'!$A$2:$A$120,B6942)),0),0)),""))</f>
        <v/>
      </c>
      <c r="D6942">
        <f>IF(B6942="","",IF(C6942&lt;&gt;"","REMOVE","KEEP"))</f>
        <v/>
      </c>
      <c r="E6942">
        <f>IF(D6942&lt;&gt;"KEEP","",IF(RIGHT(B6942,10)="@gmail.com","Gmail",IF(OR(RIGHT(B6942,12)="@outlook.com",RIGHT(B6942,12)="@hotmail.com",RIGHT(B6942,9)="@live.com"),"Outlook","Domain")))</f>
        <v/>
      </c>
      <c r="F6942">
        <f>IF(B6942="","",IFERROR(RIGHT(B6942,LEN(B6942)-FIND("@",B6942)),""))</f>
        <v/>
      </c>
      <c r="G6942">
        <f>IF(D6942="KEEP",COUNTIF($D$2:D6942,"KEEP"),"")</f>
        <v/>
      </c>
      <c r="H6942">
        <f>IF(D6942="REMOVE",COUNTIF($D$2:D6942,"REMOVE"),"")</f>
        <v/>
      </c>
      <c r="I6942">
        <f>IF(E6942="Gmail",COUNTIF($E$2:E6942,"Gmail"),"")</f>
        <v/>
      </c>
      <c r="J6942">
        <f>IF(E6942="Outlook",COUNTIF($E$2:E6942,"Outlook"),"")</f>
        <v/>
      </c>
      <c r="K6942">
        <f>IF(E6942="Domain",COUNTIF($E$2:E6942,"Domain"),"")</f>
        <v/>
      </c>
    </row>
    <row r="6943">
      <c r="A6943" s="2" t="n"/>
      <c r="B6943">
        <f>LOWER(TRIM(A6943))</f>
        <v/>
      </c>
      <c r="C6943">
        <f>IF(B6943="","",IFERROR(INDEX('Bad Patterns'!$A$2:$A$120,MATCH(1,INDEX(--ISNUMBER(SEARCH('Bad Patterns'!$A$2:$A$120,B6943)),0),0)),""))</f>
        <v/>
      </c>
      <c r="D6943">
        <f>IF(B6943="","",IF(C6943&lt;&gt;"","REMOVE","KEEP"))</f>
        <v/>
      </c>
      <c r="E6943">
        <f>IF(D6943&lt;&gt;"KEEP","",IF(RIGHT(B6943,10)="@gmail.com","Gmail",IF(OR(RIGHT(B6943,12)="@outlook.com",RIGHT(B6943,12)="@hotmail.com",RIGHT(B6943,9)="@live.com"),"Outlook","Domain")))</f>
        <v/>
      </c>
      <c r="F6943">
        <f>IF(B6943="","",IFERROR(RIGHT(B6943,LEN(B6943)-FIND("@",B6943)),""))</f>
        <v/>
      </c>
      <c r="G6943">
        <f>IF(D6943="KEEP",COUNTIF($D$2:D6943,"KEEP"),"")</f>
        <v/>
      </c>
      <c r="H6943">
        <f>IF(D6943="REMOVE",COUNTIF($D$2:D6943,"REMOVE"),"")</f>
        <v/>
      </c>
      <c r="I6943">
        <f>IF(E6943="Gmail",COUNTIF($E$2:E6943,"Gmail"),"")</f>
        <v/>
      </c>
      <c r="J6943">
        <f>IF(E6943="Outlook",COUNTIF($E$2:E6943,"Outlook"),"")</f>
        <v/>
      </c>
      <c r="K6943">
        <f>IF(E6943="Domain",COUNTIF($E$2:E6943,"Domain"),"")</f>
        <v/>
      </c>
    </row>
    <row r="6944">
      <c r="A6944" s="2" t="n"/>
      <c r="B6944">
        <f>LOWER(TRIM(A6944))</f>
        <v/>
      </c>
      <c r="C6944">
        <f>IF(B6944="","",IFERROR(INDEX('Bad Patterns'!$A$2:$A$120,MATCH(1,INDEX(--ISNUMBER(SEARCH('Bad Patterns'!$A$2:$A$120,B6944)),0),0)),""))</f>
        <v/>
      </c>
      <c r="D6944">
        <f>IF(B6944="","",IF(C6944&lt;&gt;"","REMOVE","KEEP"))</f>
        <v/>
      </c>
      <c r="E6944">
        <f>IF(D6944&lt;&gt;"KEEP","",IF(RIGHT(B6944,10)="@gmail.com","Gmail",IF(OR(RIGHT(B6944,12)="@outlook.com",RIGHT(B6944,12)="@hotmail.com",RIGHT(B6944,9)="@live.com"),"Outlook","Domain")))</f>
        <v/>
      </c>
      <c r="F6944">
        <f>IF(B6944="","",IFERROR(RIGHT(B6944,LEN(B6944)-FIND("@",B6944)),""))</f>
        <v/>
      </c>
      <c r="G6944">
        <f>IF(D6944="KEEP",COUNTIF($D$2:D6944,"KEEP"),"")</f>
        <v/>
      </c>
      <c r="H6944">
        <f>IF(D6944="REMOVE",COUNTIF($D$2:D6944,"REMOVE"),"")</f>
        <v/>
      </c>
      <c r="I6944">
        <f>IF(E6944="Gmail",COUNTIF($E$2:E6944,"Gmail"),"")</f>
        <v/>
      </c>
      <c r="J6944">
        <f>IF(E6944="Outlook",COUNTIF($E$2:E6944,"Outlook"),"")</f>
        <v/>
      </c>
      <c r="K6944">
        <f>IF(E6944="Domain",COUNTIF($E$2:E6944,"Domain"),"")</f>
        <v/>
      </c>
    </row>
    <row r="6945">
      <c r="A6945" s="2" t="n"/>
      <c r="B6945">
        <f>LOWER(TRIM(A6945))</f>
        <v/>
      </c>
      <c r="C6945">
        <f>IF(B6945="","",IFERROR(INDEX('Bad Patterns'!$A$2:$A$120,MATCH(1,INDEX(--ISNUMBER(SEARCH('Bad Patterns'!$A$2:$A$120,B6945)),0),0)),""))</f>
        <v/>
      </c>
      <c r="D6945">
        <f>IF(B6945="","",IF(C6945&lt;&gt;"","REMOVE","KEEP"))</f>
        <v/>
      </c>
      <c r="E6945">
        <f>IF(D6945&lt;&gt;"KEEP","",IF(RIGHT(B6945,10)="@gmail.com","Gmail",IF(OR(RIGHT(B6945,12)="@outlook.com",RIGHT(B6945,12)="@hotmail.com",RIGHT(B6945,9)="@live.com"),"Outlook","Domain")))</f>
        <v/>
      </c>
      <c r="F6945">
        <f>IF(B6945="","",IFERROR(RIGHT(B6945,LEN(B6945)-FIND("@",B6945)),""))</f>
        <v/>
      </c>
      <c r="G6945">
        <f>IF(D6945="KEEP",COUNTIF($D$2:D6945,"KEEP"),"")</f>
        <v/>
      </c>
      <c r="H6945">
        <f>IF(D6945="REMOVE",COUNTIF($D$2:D6945,"REMOVE"),"")</f>
        <v/>
      </c>
      <c r="I6945">
        <f>IF(E6945="Gmail",COUNTIF($E$2:E6945,"Gmail"),"")</f>
        <v/>
      </c>
      <c r="J6945">
        <f>IF(E6945="Outlook",COUNTIF($E$2:E6945,"Outlook"),"")</f>
        <v/>
      </c>
      <c r="K6945">
        <f>IF(E6945="Domain",COUNTIF($E$2:E6945,"Domain"),"")</f>
        <v/>
      </c>
    </row>
    <row r="6946">
      <c r="A6946" s="2" t="n"/>
      <c r="B6946">
        <f>LOWER(TRIM(A6946))</f>
        <v/>
      </c>
      <c r="C6946">
        <f>IF(B6946="","",IFERROR(INDEX('Bad Patterns'!$A$2:$A$120,MATCH(1,INDEX(--ISNUMBER(SEARCH('Bad Patterns'!$A$2:$A$120,B6946)),0),0)),""))</f>
        <v/>
      </c>
      <c r="D6946">
        <f>IF(B6946="","",IF(C6946&lt;&gt;"","REMOVE","KEEP"))</f>
        <v/>
      </c>
      <c r="E6946">
        <f>IF(D6946&lt;&gt;"KEEP","",IF(RIGHT(B6946,10)="@gmail.com","Gmail",IF(OR(RIGHT(B6946,12)="@outlook.com",RIGHT(B6946,12)="@hotmail.com",RIGHT(B6946,9)="@live.com"),"Outlook","Domain")))</f>
        <v/>
      </c>
      <c r="F6946">
        <f>IF(B6946="","",IFERROR(RIGHT(B6946,LEN(B6946)-FIND("@",B6946)),""))</f>
        <v/>
      </c>
      <c r="G6946">
        <f>IF(D6946="KEEP",COUNTIF($D$2:D6946,"KEEP"),"")</f>
        <v/>
      </c>
      <c r="H6946">
        <f>IF(D6946="REMOVE",COUNTIF($D$2:D6946,"REMOVE"),"")</f>
        <v/>
      </c>
      <c r="I6946">
        <f>IF(E6946="Gmail",COUNTIF($E$2:E6946,"Gmail"),"")</f>
        <v/>
      </c>
      <c r="J6946">
        <f>IF(E6946="Outlook",COUNTIF($E$2:E6946,"Outlook"),"")</f>
        <v/>
      </c>
      <c r="K6946">
        <f>IF(E6946="Domain",COUNTIF($E$2:E6946,"Domain"),"")</f>
        <v/>
      </c>
    </row>
    <row r="6947">
      <c r="A6947" s="2" t="n"/>
      <c r="B6947">
        <f>LOWER(TRIM(A6947))</f>
        <v/>
      </c>
      <c r="C6947">
        <f>IF(B6947="","",IFERROR(INDEX('Bad Patterns'!$A$2:$A$120,MATCH(1,INDEX(--ISNUMBER(SEARCH('Bad Patterns'!$A$2:$A$120,B6947)),0),0)),""))</f>
        <v/>
      </c>
      <c r="D6947">
        <f>IF(B6947="","",IF(C6947&lt;&gt;"","REMOVE","KEEP"))</f>
        <v/>
      </c>
      <c r="E6947">
        <f>IF(D6947&lt;&gt;"KEEP","",IF(RIGHT(B6947,10)="@gmail.com","Gmail",IF(OR(RIGHT(B6947,12)="@outlook.com",RIGHT(B6947,12)="@hotmail.com",RIGHT(B6947,9)="@live.com"),"Outlook","Domain")))</f>
        <v/>
      </c>
      <c r="F6947">
        <f>IF(B6947="","",IFERROR(RIGHT(B6947,LEN(B6947)-FIND("@",B6947)),""))</f>
        <v/>
      </c>
      <c r="G6947">
        <f>IF(D6947="KEEP",COUNTIF($D$2:D6947,"KEEP"),"")</f>
        <v/>
      </c>
      <c r="H6947">
        <f>IF(D6947="REMOVE",COUNTIF($D$2:D6947,"REMOVE"),"")</f>
        <v/>
      </c>
      <c r="I6947">
        <f>IF(E6947="Gmail",COUNTIF($E$2:E6947,"Gmail"),"")</f>
        <v/>
      </c>
      <c r="J6947">
        <f>IF(E6947="Outlook",COUNTIF($E$2:E6947,"Outlook"),"")</f>
        <v/>
      </c>
      <c r="K6947">
        <f>IF(E6947="Domain",COUNTIF($E$2:E6947,"Domain"),"")</f>
        <v/>
      </c>
    </row>
    <row r="6948">
      <c r="A6948" s="2" t="n"/>
      <c r="B6948">
        <f>LOWER(TRIM(A6948))</f>
        <v/>
      </c>
      <c r="C6948">
        <f>IF(B6948="","",IFERROR(INDEX('Bad Patterns'!$A$2:$A$120,MATCH(1,INDEX(--ISNUMBER(SEARCH('Bad Patterns'!$A$2:$A$120,B6948)),0),0)),""))</f>
        <v/>
      </c>
      <c r="D6948">
        <f>IF(B6948="","",IF(C6948&lt;&gt;"","REMOVE","KEEP"))</f>
        <v/>
      </c>
      <c r="E6948">
        <f>IF(D6948&lt;&gt;"KEEP","",IF(RIGHT(B6948,10)="@gmail.com","Gmail",IF(OR(RIGHT(B6948,12)="@outlook.com",RIGHT(B6948,12)="@hotmail.com",RIGHT(B6948,9)="@live.com"),"Outlook","Domain")))</f>
        <v/>
      </c>
      <c r="F6948">
        <f>IF(B6948="","",IFERROR(RIGHT(B6948,LEN(B6948)-FIND("@",B6948)),""))</f>
        <v/>
      </c>
      <c r="G6948">
        <f>IF(D6948="KEEP",COUNTIF($D$2:D6948,"KEEP"),"")</f>
        <v/>
      </c>
      <c r="H6948">
        <f>IF(D6948="REMOVE",COUNTIF($D$2:D6948,"REMOVE"),"")</f>
        <v/>
      </c>
      <c r="I6948">
        <f>IF(E6948="Gmail",COUNTIF($E$2:E6948,"Gmail"),"")</f>
        <v/>
      </c>
      <c r="J6948">
        <f>IF(E6948="Outlook",COUNTIF($E$2:E6948,"Outlook"),"")</f>
        <v/>
      </c>
      <c r="K6948">
        <f>IF(E6948="Domain",COUNTIF($E$2:E6948,"Domain"),"")</f>
        <v/>
      </c>
    </row>
    <row r="6949">
      <c r="A6949" s="2" t="n"/>
      <c r="B6949">
        <f>LOWER(TRIM(A6949))</f>
        <v/>
      </c>
      <c r="C6949">
        <f>IF(B6949="","",IFERROR(INDEX('Bad Patterns'!$A$2:$A$120,MATCH(1,INDEX(--ISNUMBER(SEARCH('Bad Patterns'!$A$2:$A$120,B6949)),0),0)),""))</f>
        <v/>
      </c>
      <c r="D6949">
        <f>IF(B6949="","",IF(C6949&lt;&gt;"","REMOVE","KEEP"))</f>
        <v/>
      </c>
      <c r="E6949">
        <f>IF(D6949&lt;&gt;"KEEP","",IF(RIGHT(B6949,10)="@gmail.com","Gmail",IF(OR(RIGHT(B6949,12)="@outlook.com",RIGHT(B6949,12)="@hotmail.com",RIGHT(B6949,9)="@live.com"),"Outlook","Domain")))</f>
        <v/>
      </c>
      <c r="F6949">
        <f>IF(B6949="","",IFERROR(RIGHT(B6949,LEN(B6949)-FIND("@",B6949)),""))</f>
        <v/>
      </c>
      <c r="G6949">
        <f>IF(D6949="KEEP",COUNTIF($D$2:D6949,"KEEP"),"")</f>
        <v/>
      </c>
      <c r="H6949">
        <f>IF(D6949="REMOVE",COUNTIF($D$2:D6949,"REMOVE"),"")</f>
        <v/>
      </c>
      <c r="I6949">
        <f>IF(E6949="Gmail",COUNTIF($E$2:E6949,"Gmail"),"")</f>
        <v/>
      </c>
      <c r="J6949">
        <f>IF(E6949="Outlook",COUNTIF($E$2:E6949,"Outlook"),"")</f>
        <v/>
      </c>
      <c r="K6949">
        <f>IF(E6949="Domain",COUNTIF($E$2:E6949,"Domain"),"")</f>
        <v/>
      </c>
    </row>
    <row r="6950">
      <c r="A6950" s="2" t="n"/>
      <c r="B6950">
        <f>LOWER(TRIM(A6950))</f>
        <v/>
      </c>
      <c r="C6950">
        <f>IF(B6950="","",IFERROR(INDEX('Bad Patterns'!$A$2:$A$120,MATCH(1,INDEX(--ISNUMBER(SEARCH('Bad Patterns'!$A$2:$A$120,B6950)),0),0)),""))</f>
        <v/>
      </c>
      <c r="D6950">
        <f>IF(B6950="","",IF(C6950&lt;&gt;"","REMOVE","KEEP"))</f>
        <v/>
      </c>
      <c r="E6950">
        <f>IF(D6950&lt;&gt;"KEEP","",IF(RIGHT(B6950,10)="@gmail.com","Gmail",IF(OR(RIGHT(B6950,12)="@outlook.com",RIGHT(B6950,12)="@hotmail.com",RIGHT(B6950,9)="@live.com"),"Outlook","Domain")))</f>
        <v/>
      </c>
      <c r="F6950">
        <f>IF(B6950="","",IFERROR(RIGHT(B6950,LEN(B6950)-FIND("@",B6950)),""))</f>
        <v/>
      </c>
      <c r="G6950">
        <f>IF(D6950="KEEP",COUNTIF($D$2:D6950,"KEEP"),"")</f>
        <v/>
      </c>
      <c r="H6950">
        <f>IF(D6950="REMOVE",COUNTIF($D$2:D6950,"REMOVE"),"")</f>
        <v/>
      </c>
      <c r="I6950">
        <f>IF(E6950="Gmail",COUNTIF($E$2:E6950,"Gmail"),"")</f>
        <v/>
      </c>
      <c r="J6950">
        <f>IF(E6950="Outlook",COUNTIF($E$2:E6950,"Outlook"),"")</f>
        <v/>
      </c>
      <c r="K6950">
        <f>IF(E6950="Domain",COUNTIF($E$2:E6950,"Domain"),"")</f>
        <v/>
      </c>
    </row>
    <row r="6951">
      <c r="A6951" s="2" t="n"/>
      <c r="B6951">
        <f>LOWER(TRIM(A6951))</f>
        <v/>
      </c>
      <c r="C6951">
        <f>IF(B6951="","",IFERROR(INDEX('Bad Patterns'!$A$2:$A$120,MATCH(1,INDEX(--ISNUMBER(SEARCH('Bad Patterns'!$A$2:$A$120,B6951)),0),0)),""))</f>
        <v/>
      </c>
      <c r="D6951">
        <f>IF(B6951="","",IF(C6951&lt;&gt;"","REMOVE","KEEP"))</f>
        <v/>
      </c>
      <c r="E6951">
        <f>IF(D6951&lt;&gt;"KEEP","",IF(RIGHT(B6951,10)="@gmail.com","Gmail",IF(OR(RIGHT(B6951,12)="@outlook.com",RIGHT(B6951,12)="@hotmail.com",RIGHT(B6951,9)="@live.com"),"Outlook","Domain")))</f>
        <v/>
      </c>
      <c r="F6951">
        <f>IF(B6951="","",IFERROR(RIGHT(B6951,LEN(B6951)-FIND("@",B6951)),""))</f>
        <v/>
      </c>
      <c r="G6951">
        <f>IF(D6951="KEEP",COUNTIF($D$2:D6951,"KEEP"),"")</f>
        <v/>
      </c>
      <c r="H6951">
        <f>IF(D6951="REMOVE",COUNTIF($D$2:D6951,"REMOVE"),"")</f>
        <v/>
      </c>
      <c r="I6951">
        <f>IF(E6951="Gmail",COUNTIF($E$2:E6951,"Gmail"),"")</f>
        <v/>
      </c>
      <c r="J6951">
        <f>IF(E6951="Outlook",COUNTIF($E$2:E6951,"Outlook"),"")</f>
        <v/>
      </c>
      <c r="K6951">
        <f>IF(E6951="Domain",COUNTIF($E$2:E6951,"Domain"),"")</f>
        <v/>
      </c>
    </row>
    <row r="6952">
      <c r="A6952" s="2" t="n"/>
      <c r="B6952">
        <f>LOWER(TRIM(A6952))</f>
        <v/>
      </c>
      <c r="C6952">
        <f>IF(B6952="","",IFERROR(INDEX('Bad Patterns'!$A$2:$A$120,MATCH(1,INDEX(--ISNUMBER(SEARCH('Bad Patterns'!$A$2:$A$120,B6952)),0),0)),""))</f>
        <v/>
      </c>
      <c r="D6952">
        <f>IF(B6952="","",IF(C6952&lt;&gt;"","REMOVE","KEEP"))</f>
        <v/>
      </c>
      <c r="E6952">
        <f>IF(D6952&lt;&gt;"KEEP","",IF(RIGHT(B6952,10)="@gmail.com","Gmail",IF(OR(RIGHT(B6952,12)="@outlook.com",RIGHT(B6952,12)="@hotmail.com",RIGHT(B6952,9)="@live.com"),"Outlook","Domain")))</f>
        <v/>
      </c>
      <c r="F6952">
        <f>IF(B6952="","",IFERROR(RIGHT(B6952,LEN(B6952)-FIND("@",B6952)),""))</f>
        <v/>
      </c>
      <c r="G6952">
        <f>IF(D6952="KEEP",COUNTIF($D$2:D6952,"KEEP"),"")</f>
        <v/>
      </c>
      <c r="H6952">
        <f>IF(D6952="REMOVE",COUNTIF($D$2:D6952,"REMOVE"),"")</f>
        <v/>
      </c>
      <c r="I6952">
        <f>IF(E6952="Gmail",COUNTIF($E$2:E6952,"Gmail"),"")</f>
        <v/>
      </c>
      <c r="J6952">
        <f>IF(E6952="Outlook",COUNTIF($E$2:E6952,"Outlook"),"")</f>
        <v/>
      </c>
      <c r="K6952">
        <f>IF(E6952="Domain",COUNTIF($E$2:E6952,"Domain"),"")</f>
        <v/>
      </c>
    </row>
    <row r="6953">
      <c r="A6953" s="2" t="n"/>
      <c r="B6953">
        <f>LOWER(TRIM(A6953))</f>
        <v/>
      </c>
      <c r="C6953">
        <f>IF(B6953="","",IFERROR(INDEX('Bad Patterns'!$A$2:$A$120,MATCH(1,INDEX(--ISNUMBER(SEARCH('Bad Patterns'!$A$2:$A$120,B6953)),0),0)),""))</f>
        <v/>
      </c>
      <c r="D6953">
        <f>IF(B6953="","",IF(C6953&lt;&gt;"","REMOVE","KEEP"))</f>
        <v/>
      </c>
      <c r="E6953">
        <f>IF(D6953&lt;&gt;"KEEP","",IF(RIGHT(B6953,10)="@gmail.com","Gmail",IF(OR(RIGHT(B6953,12)="@outlook.com",RIGHT(B6953,12)="@hotmail.com",RIGHT(B6953,9)="@live.com"),"Outlook","Domain")))</f>
        <v/>
      </c>
      <c r="F6953">
        <f>IF(B6953="","",IFERROR(RIGHT(B6953,LEN(B6953)-FIND("@",B6953)),""))</f>
        <v/>
      </c>
      <c r="G6953">
        <f>IF(D6953="KEEP",COUNTIF($D$2:D6953,"KEEP"),"")</f>
        <v/>
      </c>
      <c r="H6953">
        <f>IF(D6953="REMOVE",COUNTIF($D$2:D6953,"REMOVE"),"")</f>
        <v/>
      </c>
      <c r="I6953">
        <f>IF(E6953="Gmail",COUNTIF($E$2:E6953,"Gmail"),"")</f>
        <v/>
      </c>
      <c r="J6953">
        <f>IF(E6953="Outlook",COUNTIF($E$2:E6953,"Outlook"),"")</f>
        <v/>
      </c>
      <c r="K6953">
        <f>IF(E6953="Domain",COUNTIF($E$2:E6953,"Domain"),"")</f>
        <v/>
      </c>
    </row>
    <row r="6954">
      <c r="A6954" s="2" t="n"/>
      <c r="B6954">
        <f>LOWER(TRIM(A6954))</f>
        <v/>
      </c>
      <c r="C6954">
        <f>IF(B6954="","",IFERROR(INDEX('Bad Patterns'!$A$2:$A$120,MATCH(1,INDEX(--ISNUMBER(SEARCH('Bad Patterns'!$A$2:$A$120,B6954)),0),0)),""))</f>
        <v/>
      </c>
      <c r="D6954">
        <f>IF(B6954="","",IF(C6954&lt;&gt;"","REMOVE","KEEP"))</f>
        <v/>
      </c>
      <c r="E6954">
        <f>IF(D6954&lt;&gt;"KEEP","",IF(RIGHT(B6954,10)="@gmail.com","Gmail",IF(OR(RIGHT(B6954,12)="@outlook.com",RIGHT(B6954,12)="@hotmail.com",RIGHT(B6954,9)="@live.com"),"Outlook","Domain")))</f>
        <v/>
      </c>
      <c r="F6954">
        <f>IF(B6954="","",IFERROR(RIGHT(B6954,LEN(B6954)-FIND("@",B6954)),""))</f>
        <v/>
      </c>
      <c r="G6954">
        <f>IF(D6954="KEEP",COUNTIF($D$2:D6954,"KEEP"),"")</f>
        <v/>
      </c>
      <c r="H6954">
        <f>IF(D6954="REMOVE",COUNTIF($D$2:D6954,"REMOVE"),"")</f>
        <v/>
      </c>
      <c r="I6954">
        <f>IF(E6954="Gmail",COUNTIF($E$2:E6954,"Gmail"),"")</f>
        <v/>
      </c>
      <c r="J6954">
        <f>IF(E6954="Outlook",COUNTIF($E$2:E6954,"Outlook"),"")</f>
        <v/>
      </c>
      <c r="K6954">
        <f>IF(E6954="Domain",COUNTIF($E$2:E6954,"Domain"),"")</f>
        <v/>
      </c>
    </row>
    <row r="6955">
      <c r="A6955" s="2" t="n"/>
      <c r="B6955">
        <f>LOWER(TRIM(A6955))</f>
        <v/>
      </c>
      <c r="C6955">
        <f>IF(B6955="","",IFERROR(INDEX('Bad Patterns'!$A$2:$A$120,MATCH(1,INDEX(--ISNUMBER(SEARCH('Bad Patterns'!$A$2:$A$120,B6955)),0),0)),""))</f>
        <v/>
      </c>
      <c r="D6955">
        <f>IF(B6955="","",IF(C6955&lt;&gt;"","REMOVE","KEEP"))</f>
        <v/>
      </c>
      <c r="E6955">
        <f>IF(D6955&lt;&gt;"KEEP","",IF(RIGHT(B6955,10)="@gmail.com","Gmail",IF(OR(RIGHT(B6955,12)="@outlook.com",RIGHT(B6955,12)="@hotmail.com",RIGHT(B6955,9)="@live.com"),"Outlook","Domain")))</f>
        <v/>
      </c>
      <c r="F6955">
        <f>IF(B6955="","",IFERROR(RIGHT(B6955,LEN(B6955)-FIND("@",B6955)),""))</f>
        <v/>
      </c>
      <c r="G6955">
        <f>IF(D6955="KEEP",COUNTIF($D$2:D6955,"KEEP"),"")</f>
        <v/>
      </c>
      <c r="H6955">
        <f>IF(D6955="REMOVE",COUNTIF($D$2:D6955,"REMOVE"),"")</f>
        <v/>
      </c>
      <c r="I6955">
        <f>IF(E6955="Gmail",COUNTIF($E$2:E6955,"Gmail"),"")</f>
        <v/>
      </c>
      <c r="J6955">
        <f>IF(E6955="Outlook",COUNTIF($E$2:E6955,"Outlook"),"")</f>
        <v/>
      </c>
      <c r="K6955">
        <f>IF(E6955="Domain",COUNTIF($E$2:E6955,"Domain"),"")</f>
        <v/>
      </c>
    </row>
    <row r="6956">
      <c r="A6956" s="2" t="n"/>
      <c r="B6956">
        <f>LOWER(TRIM(A6956))</f>
        <v/>
      </c>
      <c r="C6956">
        <f>IF(B6956="","",IFERROR(INDEX('Bad Patterns'!$A$2:$A$120,MATCH(1,INDEX(--ISNUMBER(SEARCH('Bad Patterns'!$A$2:$A$120,B6956)),0),0)),""))</f>
        <v/>
      </c>
      <c r="D6956">
        <f>IF(B6956="","",IF(C6956&lt;&gt;"","REMOVE","KEEP"))</f>
        <v/>
      </c>
      <c r="E6956">
        <f>IF(D6956&lt;&gt;"KEEP","",IF(RIGHT(B6956,10)="@gmail.com","Gmail",IF(OR(RIGHT(B6956,12)="@outlook.com",RIGHT(B6956,12)="@hotmail.com",RIGHT(B6956,9)="@live.com"),"Outlook","Domain")))</f>
        <v/>
      </c>
      <c r="F6956">
        <f>IF(B6956="","",IFERROR(RIGHT(B6956,LEN(B6956)-FIND("@",B6956)),""))</f>
        <v/>
      </c>
      <c r="G6956">
        <f>IF(D6956="KEEP",COUNTIF($D$2:D6956,"KEEP"),"")</f>
        <v/>
      </c>
      <c r="H6956">
        <f>IF(D6956="REMOVE",COUNTIF($D$2:D6956,"REMOVE"),"")</f>
        <v/>
      </c>
      <c r="I6956">
        <f>IF(E6956="Gmail",COUNTIF($E$2:E6956,"Gmail"),"")</f>
        <v/>
      </c>
      <c r="J6956">
        <f>IF(E6956="Outlook",COUNTIF($E$2:E6956,"Outlook"),"")</f>
        <v/>
      </c>
      <c r="K6956">
        <f>IF(E6956="Domain",COUNTIF($E$2:E6956,"Domain"),"")</f>
        <v/>
      </c>
    </row>
    <row r="6957">
      <c r="A6957" s="2" t="n"/>
      <c r="B6957">
        <f>LOWER(TRIM(A6957))</f>
        <v/>
      </c>
      <c r="C6957">
        <f>IF(B6957="","",IFERROR(INDEX('Bad Patterns'!$A$2:$A$120,MATCH(1,INDEX(--ISNUMBER(SEARCH('Bad Patterns'!$A$2:$A$120,B6957)),0),0)),""))</f>
        <v/>
      </c>
      <c r="D6957">
        <f>IF(B6957="","",IF(C6957&lt;&gt;"","REMOVE","KEEP"))</f>
        <v/>
      </c>
      <c r="E6957">
        <f>IF(D6957&lt;&gt;"KEEP","",IF(RIGHT(B6957,10)="@gmail.com","Gmail",IF(OR(RIGHT(B6957,12)="@outlook.com",RIGHT(B6957,12)="@hotmail.com",RIGHT(B6957,9)="@live.com"),"Outlook","Domain")))</f>
        <v/>
      </c>
      <c r="F6957">
        <f>IF(B6957="","",IFERROR(RIGHT(B6957,LEN(B6957)-FIND("@",B6957)),""))</f>
        <v/>
      </c>
      <c r="G6957">
        <f>IF(D6957="KEEP",COUNTIF($D$2:D6957,"KEEP"),"")</f>
        <v/>
      </c>
      <c r="H6957">
        <f>IF(D6957="REMOVE",COUNTIF($D$2:D6957,"REMOVE"),"")</f>
        <v/>
      </c>
      <c r="I6957">
        <f>IF(E6957="Gmail",COUNTIF($E$2:E6957,"Gmail"),"")</f>
        <v/>
      </c>
      <c r="J6957">
        <f>IF(E6957="Outlook",COUNTIF($E$2:E6957,"Outlook"),"")</f>
        <v/>
      </c>
      <c r="K6957">
        <f>IF(E6957="Domain",COUNTIF($E$2:E6957,"Domain"),"")</f>
        <v/>
      </c>
    </row>
    <row r="6958">
      <c r="A6958" s="2" t="n"/>
      <c r="B6958">
        <f>LOWER(TRIM(A6958))</f>
        <v/>
      </c>
      <c r="C6958">
        <f>IF(B6958="","",IFERROR(INDEX('Bad Patterns'!$A$2:$A$120,MATCH(1,INDEX(--ISNUMBER(SEARCH('Bad Patterns'!$A$2:$A$120,B6958)),0),0)),""))</f>
        <v/>
      </c>
      <c r="D6958">
        <f>IF(B6958="","",IF(C6958&lt;&gt;"","REMOVE","KEEP"))</f>
        <v/>
      </c>
      <c r="E6958">
        <f>IF(D6958&lt;&gt;"KEEP","",IF(RIGHT(B6958,10)="@gmail.com","Gmail",IF(OR(RIGHT(B6958,12)="@outlook.com",RIGHT(B6958,12)="@hotmail.com",RIGHT(B6958,9)="@live.com"),"Outlook","Domain")))</f>
        <v/>
      </c>
      <c r="F6958">
        <f>IF(B6958="","",IFERROR(RIGHT(B6958,LEN(B6958)-FIND("@",B6958)),""))</f>
        <v/>
      </c>
      <c r="G6958">
        <f>IF(D6958="KEEP",COUNTIF($D$2:D6958,"KEEP"),"")</f>
        <v/>
      </c>
      <c r="H6958">
        <f>IF(D6958="REMOVE",COUNTIF($D$2:D6958,"REMOVE"),"")</f>
        <v/>
      </c>
      <c r="I6958">
        <f>IF(E6958="Gmail",COUNTIF($E$2:E6958,"Gmail"),"")</f>
        <v/>
      </c>
      <c r="J6958">
        <f>IF(E6958="Outlook",COUNTIF($E$2:E6958,"Outlook"),"")</f>
        <v/>
      </c>
      <c r="K6958">
        <f>IF(E6958="Domain",COUNTIF($E$2:E6958,"Domain"),"")</f>
        <v/>
      </c>
    </row>
    <row r="6959">
      <c r="A6959" s="2" t="n"/>
      <c r="B6959">
        <f>LOWER(TRIM(A6959))</f>
        <v/>
      </c>
      <c r="C6959">
        <f>IF(B6959="","",IFERROR(INDEX('Bad Patterns'!$A$2:$A$120,MATCH(1,INDEX(--ISNUMBER(SEARCH('Bad Patterns'!$A$2:$A$120,B6959)),0),0)),""))</f>
        <v/>
      </c>
      <c r="D6959">
        <f>IF(B6959="","",IF(C6959&lt;&gt;"","REMOVE","KEEP"))</f>
        <v/>
      </c>
      <c r="E6959">
        <f>IF(D6959&lt;&gt;"KEEP","",IF(RIGHT(B6959,10)="@gmail.com","Gmail",IF(OR(RIGHT(B6959,12)="@outlook.com",RIGHT(B6959,12)="@hotmail.com",RIGHT(B6959,9)="@live.com"),"Outlook","Domain")))</f>
        <v/>
      </c>
      <c r="F6959">
        <f>IF(B6959="","",IFERROR(RIGHT(B6959,LEN(B6959)-FIND("@",B6959)),""))</f>
        <v/>
      </c>
      <c r="G6959">
        <f>IF(D6959="KEEP",COUNTIF($D$2:D6959,"KEEP"),"")</f>
        <v/>
      </c>
      <c r="H6959">
        <f>IF(D6959="REMOVE",COUNTIF($D$2:D6959,"REMOVE"),"")</f>
        <v/>
      </c>
      <c r="I6959">
        <f>IF(E6959="Gmail",COUNTIF($E$2:E6959,"Gmail"),"")</f>
        <v/>
      </c>
      <c r="J6959">
        <f>IF(E6959="Outlook",COUNTIF($E$2:E6959,"Outlook"),"")</f>
        <v/>
      </c>
      <c r="K6959">
        <f>IF(E6959="Domain",COUNTIF($E$2:E6959,"Domain"),"")</f>
        <v/>
      </c>
    </row>
    <row r="6960">
      <c r="A6960" s="2" t="n"/>
      <c r="B6960">
        <f>LOWER(TRIM(A6960))</f>
        <v/>
      </c>
      <c r="C6960">
        <f>IF(B6960="","",IFERROR(INDEX('Bad Patterns'!$A$2:$A$120,MATCH(1,INDEX(--ISNUMBER(SEARCH('Bad Patterns'!$A$2:$A$120,B6960)),0),0)),""))</f>
        <v/>
      </c>
      <c r="D6960">
        <f>IF(B6960="","",IF(C6960&lt;&gt;"","REMOVE","KEEP"))</f>
        <v/>
      </c>
      <c r="E6960">
        <f>IF(D6960&lt;&gt;"KEEP","",IF(RIGHT(B6960,10)="@gmail.com","Gmail",IF(OR(RIGHT(B6960,12)="@outlook.com",RIGHT(B6960,12)="@hotmail.com",RIGHT(B6960,9)="@live.com"),"Outlook","Domain")))</f>
        <v/>
      </c>
      <c r="F6960">
        <f>IF(B6960="","",IFERROR(RIGHT(B6960,LEN(B6960)-FIND("@",B6960)),""))</f>
        <v/>
      </c>
      <c r="G6960">
        <f>IF(D6960="KEEP",COUNTIF($D$2:D6960,"KEEP"),"")</f>
        <v/>
      </c>
      <c r="H6960">
        <f>IF(D6960="REMOVE",COUNTIF($D$2:D6960,"REMOVE"),"")</f>
        <v/>
      </c>
      <c r="I6960">
        <f>IF(E6960="Gmail",COUNTIF($E$2:E6960,"Gmail"),"")</f>
        <v/>
      </c>
      <c r="J6960">
        <f>IF(E6960="Outlook",COUNTIF($E$2:E6960,"Outlook"),"")</f>
        <v/>
      </c>
      <c r="K6960">
        <f>IF(E6960="Domain",COUNTIF($E$2:E6960,"Domain"),"")</f>
        <v/>
      </c>
    </row>
    <row r="6961">
      <c r="A6961" s="2" t="n"/>
      <c r="B6961">
        <f>LOWER(TRIM(A6961))</f>
        <v/>
      </c>
      <c r="C6961">
        <f>IF(B6961="","",IFERROR(INDEX('Bad Patterns'!$A$2:$A$120,MATCH(1,INDEX(--ISNUMBER(SEARCH('Bad Patterns'!$A$2:$A$120,B6961)),0),0)),""))</f>
        <v/>
      </c>
      <c r="D6961">
        <f>IF(B6961="","",IF(C6961&lt;&gt;"","REMOVE","KEEP"))</f>
        <v/>
      </c>
      <c r="E6961">
        <f>IF(D6961&lt;&gt;"KEEP","",IF(RIGHT(B6961,10)="@gmail.com","Gmail",IF(OR(RIGHT(B6961,12)="@outlook.com",RIGHT(B6961,12)="@hotmail.com",RIGHT(B6961,9)="@live.com"),"Outlook","Domain")))</f>
        <v/>
      </c>
      <c r="F6961">
        <f>IF(B6961="","",IFERROR(RIGHT(B6961,LEN(B6961)-FIND("@",B6961)),""))</f>
        <v/>
      </c>
      <c r="G6961">
        <f>IF(D6961="KEEP",COUNTIF($D$2:D6961,"KEEP"),"")</f>
        <v/>
      </c>
      <c r="H6961">
        <f>IF(D6961="REMOVE",COUNTIF($D$2:D6961,"REMOVE"),"")</f>
        <v/>
      </c>
      <c r="I6961">
        <f>IF(E6961="Gmail",COUNTIF($E$2:E6961,"Gmail"),"")</f>
        <v/>
      </c>
      <c r="J6961">
        <f>IF(E6961="Outlook",COUNTIF($E$2:E6961,"Outlook"),"")</f>
        <v/>
      </c>
      <c r="K6961">
        <f>IF(E6961="Domain",COUNTIF($E$2:E6961,"Domain"),"")</f>
        <v/>
      </c>
    </row>
    <row r="6962">
      <c r="A6962" s="2" t="n"/>
      <c r="B6962">
        <f>LOWER(TRIM(A6962))</f>
        <v/>
      </c>
      <c r="C6962">
        <f>IF(B6962="","",IFERROR(INDEX('Bad Patterns'!$A$2:$A$120,MATCH(1,INDEX(--ISNUMBER(SEARCH('Bad Patterns'!$A$2:$A$120,B6962)),0),0)),""))</f>
        <v/>
      </c>
      <c r="D6962">
        <f>IF(B6962="","",IF(C6962&lt;&gt;"","REMOVE","KEEP"))</f>
        <v/>
      </c>
      <c r="E6962">
        <f>IF(D6962&lt;&gt;"KEEP","",IF(RIGHT(B6962,10)="@gmail.com","Gmail",IF(OR(RIGHT(B6962,12)="@outlook.com",RIGHT(B6962,12)="@hotmail.com",RIGHT(B6962,9)="@live.com"),"Outlook","Domain")))</f>
        <v/>
      </c>
      <c r="F6962">
        <f>IF(B6962="","",IFERROR(RIGHT(B6962,LEN(B6962)-FIND("@",B6962)),""))</f>
        <v/>
      </c>
      <c r="G6962">
        <f>IF(D6962="KEEP",COUNTIF($D$2:D6962,"KEEP"),"")</f>
        <v/>
      </c>
      <c r="H6962">
        <f>IF(D6962="REMOVE",COUNTIF($D$2:D6962,"REMOVE"),"")</f>
        <v/>
      </c>
      <c r="I6962">
        <f>IF(E6962="Gmail",COUNTIF($E$2:E6962,"Gmail"),"")</f>
        <v/>
      </c>
      <c r="J6962">
        <f>IF(E6962="Outlook",COUNTIF($E$2:E6962,"Outlook"),"")</f>
        <v/>
      </c>
      <c r="K6962">
        <f>IF(E6962="Domain",COUNTIF($E$2:E6962,"Domain"),"")</f>
        <v/>
      </c>
    </row>
    <row r="6963">
      <c r="A6963" s="2" t="n"/>
      <c r="B6963">
        <f>LOWER(TRIM(A6963))</f>
        <v/>
      </c>
      <c r="C6963">
        <f>IF(B6963="","",IFERROR(INDEX('Bad Patterns'!$A$2:$A$120,MATCH(1,INDEX(--ISNUMBER(SEARCH('Bad Patterns'!$A$2:$A$120,B6963)),0),0)),""))</f>
        <v/>
      </c>
      <c r="D6963">
        <f>IF(B6963="","",IF(C6963&lt;&gt;"","REMOVE","KEEP"))</f>
        <v/>
      </c>
      <c r="E6963">
        <f>IF(D6963&lt;&gt;"KEEP","",IF(RIGHT(B6963,10)="@gmail.com","Gmail",IF(OR(RIGHT(B6963,12)="@outlook.com",RIGHT(B6963,12)="@hotmail.com",RIGHT(B6963,9)="@live.com"),"Outlook","Domain")))</f>
        <v/>
      </c>
      <c r="F6963">
        <f>IF(B6963="","",IFERROR(RIGHT(B6963,LEN(B6963)-FIND("@",B6963)),""))</f>
        <v/>
      </c>
      <c r="G6963">
        <f>IF(D6963="KEEP",COUNTIF($D$2:D6963,"KEEP"),"")</f>
        <v/>
      </c>
      <c r="H6963">
        <f>IF(D6963="REMOVE",COUNTIF($D$2:D6963,"REMOVE"),"")</f>
        <v/>
      </c>
      <c r="I6963">
        <f>IF(E6963="Gmail",COUNTIF($E$2:E6963,"Gmail"),"")</f>
        <v/>
      </c>
      <c r="J6963">
        <f>IF(E6963="Outlook",COUNTIF($E$2:E6963,"Outlook"),"")</f>
        <v/>
      </c>
      <c r="K6963">
        <f>IF(E6963="Domain",COUNTIF($E$2:E6963,"Domain"),"")</f>
        <v/>
      </c>
    </row>
    <row r="6964">
      <c r="A6964" s="2" t="n"/>
      <c r="B6964">
        <f>LOWER(TRIM(A6964))</f>
        <v/>
      </c>
      <c r="C6964">
        <f>IF(B6964="","",IFERROR(INDEX('Bad Patterns'!$A$2:$A$120,MATCH(1,INDEX(--ISNUMBER(SEARCH('Bad Patterns'!$A$2:$A$120,B6964)),0),0)),""))</f>
        <v/>
      </c>
      <c r="D6964">
        <f>IF(B6964="","",IF(C6964&lt;&gt;"","REMOVE","KEEP"))</f>
        <v/>
      </c>
      <c r="E6964">
        <f>IF(D6964&lt;&gt;"KEEP","",IF(RIGHT(B6964,10)="@gmail.com","Gmail",IF(OR(RIGHT(B6964,12)="@outlook.com",RIGHT(B6964,12)="@hotmail.com",RIGHT(B6964,9)="@live.com"),"Outlook","Domain")))</f>
        <v/>
      </c>
      <c r="F6964">
        <f>IF(B6964="","",IFERROR(RIGHT(B6964,LEN(B6964)-FIND("@",B6964)),""))</f>
        <v/>
      </c>
      <c r="G6964">
        <f>IF(D6964="KEEP",COUNTIF($D$2:D6964,"KEEP"),"")</f>
        <v/>
      </c>
      <c r="H6964">
        <f>IF(D6964="REMOVE",COUNTIF($D$2:D6964,"REMOVE"),"")</f>
        <v/>
      </c>
      <c r="I6964">
        <f>IF(E6964="Gmail",COUNTIF($E$2:E6964,"Gmail"),"")</f>
        <v/>
      </c>
      <c r="J6964">
        <f>IF(E6964="Outlook",COUNTIF($E$2:E6964,"Outlook"),"")</f>
        <v/>
      </c>
      <c r="K6964">
        <f>IF(E6964="Domain",COUNTIF($E$2:E6964,"Domain"),"")</f>
        <v/>
      </c>
    </row>
    <row r="6965">
      <c r="A6965" s="2" t="n"/>
      <c r="B6965">
        <f>LOWER(TRIM(A6965))</f>
        <v/>
      </c>
      <c r="C6965">
        <f>IF(B6965="","",IFERROR(INDEX('Bad Patterns'!$A$2:$A$120,MATCH(1,INDEX(--ISNUMBER(SEARCH('Bad Patterns'!$A$2:$A$120,B6965)),0),0)),""))</f>
        <v/>
      </c>
      <c r="D6965">
        <f>IF(B6965="","",IF(C6965&lt;&gt;"","REMOVE","KEEP"))</f>
        <v/>
      </c>
      <c r="E6965">
        <f>IF(D6965&lt;&gt;"KEEP","",IF(RIGHT(B6965,10)="@gmail.com","Gmail",IF(OR(RIGHT(B6965,12)="@outlook.com",RIGHT(B6965,12)="@hotmail.com",RIGHT(B6965,9)="@live.com"),"Outlook","Domain")))</f>
        <v/>
      </c>
      <c r="F6965">
        <f>IF(B6965="","",IFERROR(RIGHT(B6965,LEN(B6965)-FIND("@",B6965)),""))</f>
        <v/>
      </c>
      <c r="G6965">
        <f>IF(D6965="KEEP",COUNTIF($D$2:D6965,"KEEP"),"")</f>
        <v/>
      </c>
      <c r="H6965">
        <f>IF(D6965="REMOVE",COUNTIF($D$2:D6965,"REMOVE"),"")</f>
        <v/>
      </c>
      <c r="I6965">
        <f>IF(E6965="Gmail",COUNTIF($E$2:E6965,"Gmail"),"")</f>
        <v/>
      </c>
      <c r="J6965">
        <f>IF(E6965="Outlook",COUNTIF($E$2:E6965,"Outlook"),"")</f>
        <v/>
      </c>
      <c r="K6965">
        <f>IF(E6965="Domain",COUNTIF($E$2:E6965,"Domain"),"")</f>
        <v/>
      </c>
    </row>
    <row r="6966">
      <c r="A6966" s="2" t="n"/>
      <c r="B6966">
        <f>LOWER(TRIM(A6966))</f>
        <v/>
      </c>
      <c r="C6966">
        <f>IF(B6966="","",IFERROR(INDEX('Bad Patterns'!$A$2:$A$120,MATCH(1,INDEX(--ISNUMBER(SEARCH('Bad Patterns'!$A$2:$A$120,B6966)),0),0)),""))</f>
        <v/>
      </c>
      <c r="D6966">
        <f>IF(B6966="","",IF(C6966&lt;&gt;"","REMOVE","KEEP"))</f>
        <v/>
      </c>
      <c r="E6966">
        <f>IF(D6966&lt;&gt;"KEEP","",IF(RIGHT(B6966,10)="@gmail.com","Gmail",IF(OR(RIGHT(B6966,12)="@outlook.com",RIGHT(B6966,12)="@hotmail.com",RIGHT(B6966,9)="@live.com"),"Outlook","Domain")))</f>
        <v/>
      </c>
      <c r="F6966">
        <f>IF(B6966="","",IFERROR(RIGHT(B6966,LEN(B6966)-FIND("@",B6966)),""))</f>
        <v/>
      </c>
      <c r="G6966">
        <f>IF(D6966="KEEP",COUNTIF($D$2:D6966,"KEEP"),"")</f>
        <v/>
      </c>
      <c r="H6966">
        <f>IF(D6966="REMOVE",COUNTIF($D$2:D6966,"REMOVE"),"")</f>
        <v/>
      </c>
      <c r="I6966">
        <f>IF(E6966="Gmail",COUNTIF($E$2:E6966,"Gmail"),"")</f>
        <v/>
      </c>
      <c r="J6966">
        <f>IF(E6966="Outlook",COUNTIF($E$2:E6966,"Outlook"),"")</f>
        <v/>
      </c>
      <c r="K6966">
        <f>IF(E6966="Domain",COUNTIF($E$2:E6966,"Domain"),"")</f>
        <v/>
      </c>
    </row>
    <row r="6967">
      <c r="A6967" s="2" t="n"/>
      <c r="B6967">
        <f>LOWER(TRIM(A6967))</f>
        <v/>
      </c>
      <c r="C6967">
        <f>IF(B6967="","",IFERROR(INDEX('Bad Patterns'!$A$2:$A$120,MATCH(1,INDEX(--ISNUMBER(SEARCH('Bad Patterns'!$A$2:$A$120,B6967)),0),0)),""))</f>
        <v/>
      </c>
      <c r="D6967">
        <f>IF(B6967="","",IF(C6967&lt;&gt;"","REMOVE","KEEP"))</f>
        <v/>
      </c>
      <c r="E6967">
        <f>IF(D6967&lt;&gt;"KEEP","",IF(RIGHT(B6967,10)="@gmail.com","Gmail",IF(OR(RIGHT(B6967,12)="@outlook.com",RIGHT(B6967,12)="@hotmail.com",RIGHT(B6967,9)="@live.com"),"Outlook","Domain")))</f>
        <v/>
      </c>
      <c r="F6967">
        <f>IF(B6967="","",IFERROR(RIGHT(B6967,LEN(B6967)-FIND("@",B6967)),""))</f>
        <v/>
      </c>
      <c r="G6967">
        <f>IF(D6967="KEEP",COUNTIF($D$2:D6967,"KEEP"),"")</f>
        <v/>
      </c>
      <c r="H6967">
        <f>IF(D6967="REMOVE",COUNTIF($D$2:D6967,"REMOVE"),"")</f>
        <v/>
      </c>
      <c r="I6967">
        <f>IF(E6967="Gmail",COUNTIF($E$2:E6967,"Gmail"),"")</f>
        <v/>
      </c>
      <c r="J6967">
        <f>IF(E6967="Outlook",COUNTIF($E$2:E6967,"Outlook"),"")</f>
        <v/>
      </c>
      <c r="K6967">
        <f>IF(E6967="Domain",COUNTIF($E$2:E6967,"Domain"),"")</f>
        <v/>
      </c>
    </row>
    <row r="6968">
      <c r="A6968" s="2" t="n"/>
      <c r="B6968">
        <f>LOWER(TRIM(A6968))</f>
        <v/>
      </c>
      <c r="C6968">
        <f>IF(B6968="","",IFERROR(INDEX('Bad Patterns'!$A$2:$A$120,MATCH(1,INDEX(--ISNUMBER(SEARCH('Bad Patterns'!$A$2:$A$120,B6968)),0),0)),""))</f>
        <v/>
      </c>
      <c r="D6968">
        <f>IF(B6968="","",IF(C6968&lt;&gt;"","REMOVE","KEEP"))</f>
        <v/>
      </c>
      <c r="E6968">
        <f>IF(D6968&lt;&gt;"KEEP","",IF(RIGHT(B6968,10)="@gmail.com","Gmail",IF(OR(RIGHT(B6968,12)="@outlook.com",RIGHT(B6968,12)="@hotmail.com",RIGHT(B6968,9)="@live.com"),"Outlook","Domain")))</f>
        <v/>
      </c>
      <c r="F6968">
        <f>IF(B6968="","",IFERROR(RIGHT(B6968,LEN(B6968)-FIND("@",B6968)),""))</f>
        <v/>
      </c>
      <c r="G6968">
        <f>IF(D6968="KEEP",COUNTIF($D$2:D6968,"KEEP"),"")</f>
        <v/>
      </c>
      <c r="H6968">
        <f>IF(D6968="REMOVE",COUNTIF($D$2:D6968,"REMOVE"),"")</f>
        <v/>
      </c>
      <c r="I6968">
        <f>IF(E6968="Gmail",COUNTIF($E$2:E6968,"Gmail"),"")</f>
        <v/>
      </c>
      <c r="J6968">
        <f>IF(E6968="Outlook",COUNTIF($E$2:E6968,"Outlook"),"")</f>
        <v/>
      </c>
      <c r="K6968">
        <f>IF(E6968="Domain",COUNTIF($E$2:E6968,"Domain"),"")</f>
        <v/>
      </c>
    </row>
    <row r="6969">
      <c r="A6969" s="2" t="n"/>
      <c r="B6969">
        <f>LOWER(TRIM(A6969))</f>
        <v/>
      </c>
      <c r="C6969">
        <f>IF(B6969="","",IFERROR(INDEX('Bad Patterns'!$A$2:$A$120,MATCH(1,INDEX(--ISNUMBER(SEARCH('Bad Patterns'!$A$2:$A$120,B6969)),0),0)),""))</f>
        <v/>
      </c>
      <c r="D6969">
        <f>IF(B6969="","",IF(C6969&lt;&gt;"","REMOVE","KEEP"))</f>
        <v/>
      </c>
      <c r="E6969">
        <f>IF(D6969&lt;&gt;"KEEP","",IF(RIGHT(B6969,10)="@gmail.com","Gmail",IF(OR(RIGHT(B6969,12)="@outlook.com",RIGHT(B6969,12)="@hotmail.com",RIGHT(B6969,9)="@live.com"),"Outlook","Domain")))</f>
        <v/>
      </c>
      <c r="F6969">
        <f>IF(B6969="","",IFERROR(RIGHT(B6969,LEN(B6969)-FIND("@",B6969)),""))</f>
        <v/>
      </c>
      <c r="G6969">
        <f>IF(D6969="KEEP",COUNTIF($D$2:D6969,"KEEP"),"")</f>
        <v/>
      </c>
      <c r="H6969">
        <f>IF(D6969="REMOVE",COUNTIF($D$2:D6969,"REMOVE"),"")</f>
        <v/>
      </c>
      <c r="I6969">
        <f>IF(E6969="Gmail",COUNTIF($E$2:E6969,"Gmail"),"")</f>
        <v/>
      </c>
      <c r="J6969">
        <f>IF(E6969="Outlook",COUNTIF($E$2:E6969,"Outlook"),"")</f>
        <v/>
      </c>
      <c r="K6969">
        <f>IF(E6969="Domain",COUNTIF($E$2:E6969,"Domain"),"")</f>
        <v/>
      </c>
    </row>
    <row r="6970">
      <c r="A6970" s="2" t="n"/>
      <c r="B6970">
        <f>LOWER(TRIM(A6970))</f>
        <v/>
      </c>
      <c r="C6970">
        <f>IF(B6970="","",IFERROR(INDEX('Bad Patterns'!$A$2:$A$120,MATCH(1,INDEX(--ISNUMBER(SEARCH('Bad Patterns'!$A$2:$A$120,B6970)),0),0)),""))</f>
        <v/>
      </c>
      <c r="D6970">
        <f>IF(B6970="","",IF(C6970&lt;&gt;"","REMOVE","KEEP"))</f>
        <v/>
      </c>
      <c r="E6970">
        <f>IF(D6970&lt;&gt;"KEEP","",IF(RIGHT(B6970,10)="@gmail.com","Gmail",IF(OR(RIGHT(B6970,12)="@outlook.com",RIGHT(B6970,12)="@hotmail.com",RIGHT(B6970,9)="@live.com"),"Outlook","Domain")))</f>
        <v/>
      </c>
      <c r="F6970">
        <f>IF(B6970="","",IFERROR(RIGHT(B6970,LEN(B6970)-FIND("@",B6970)),""))</f>
        <v/>
      </c>
      <c r="G6970">
        <f>IF(D6970="KEEP",COUNTIF($D$2:D6970,"KEEP"),"")</f>
        <v/>
      </c>
      <c r="H6970">
        <f>IF(D6970="REMOVE",COUNTIF($D$2:D6970,"REMOVE"),"")</f>
        <v/>
      </c>
      <c r="I6970">
        <f>IF(E6970="Gmail",COUNTIF($E$2:E6970,"Gmail"),"")</f>
        <v/>
      </c>
      <c r="J6970">
        <f>IF(E6970="Outlook",COUNTIF($E$2:E6970,"Outlook"),"")</f>
        <v/>
      </c>
      <c r="K6970">
        <f>IF(E6970="Domain",COUNTIF($E$2:E6970,"Domain"),"")</f>
        <v/>
      </c>
    </row>
    <row r="6971">
      <c r="A6971" s="2" t="n"/>
      <c r="B6971">
        <f>LOWER(TRIM(A6971))</f>
        <v/>
      </c>
      <c r="C6971">
        <f>IF(B6971="","",IFERROR(INDEX('Bad Patterns'!$A$2:$A$120,MATCH(1,INDEX(--ISNUMBER(SEARCH('Bad Patterns'!$A$2:$A$120,B6971)),0),0)),""))</f>
        <v/>
      </c>
      <c r="D6971">
        <f>IF(B6971="","",IF(C6971&lt;&gt;"","REMOVE","KEEP"))</f>
        <v/>
      </c>
      <c r="E6971">
        <f>IF(D6971&lt;&gt;"KEEP","",IF(RIGHT(B6971,10)="@gmail.com","Gmail",IF(OR(RIGHT(B6971,12)="@outlook.com",RIGHT(B6971,12)="@hotmail.com",RIGHT(B6971,9)="@live.com"),"Outlook","Domain")))</f>
        <v/>
      </c>
      <c r="F6971">
        <f>IF(B6971="","",IFERROR(RIGHT(B6971,LEN(B6971)-FIND("@",B6971)),""))</f>
        <v/>
      </c>
      <c r="G6971">
        <f>IF(D6971="KEEP",COUNTIF($D$2:D6971,"KEEP"),"")</f>
        <v/>
      </c>
      <c r="H6971">
        <f>IF(D6971="REMOVE",COUNTIF($D$2:D6971,"REMOVE"),"")</f>
        <v/>
      </c>
      <c r="I6971">
        <f>IF(E6971="Gmail",COUNTIF($E$2:E6971,"Gmail"),"")</f>
        <v/>
      </c>
      <c r="J6971">
        <f>IF(E6971="Outlook",COUNTIF($E$2:E6971,"Outlook"),"")</f>
        <v/>
      </c>
      <c r="K6971">
        <f>IF(E6971="Domain",COUNTIF($E$2:E6971,"Domain"),"")</f>
        <v/>
      </c>
    </row>
    <row r="6972">
      <c r="A6972" s="2" t="n"/>
      <c r="B6972">
        <f>LOWER(TRIM(A6972))</f>
        <v/>
      </c>
      <c r="C6972">
        <f>IF(B6972="","",IFERROR(INDEX('Bad Patterns'!$A$2:$A$120,MATCH(1,INDEX(--ISNUMBER(SEARCH('Bad Patterns'!$A$2:$A$120,B6972)),0),0)),""))</f>
        <v/>
      </c>
      <c r="D6972">
        <f>IF(B6972="","",IF(C6972&lt;&gt;"","REMOVE","KEEP"))</f>
        <v/>
      </c>
      <c r="E6972">
        <f>IF(D6972&lt;&gt;"KEEP","",IF(RIGHT(B6972,10)="@gmail.com","Gmail",IF(OR(RIGHT(B6972,12)="@outlook.com",RIGHT(B6972,12)="@hotmail.com",RIGHT(B6972,9)="@live.com"),"Outlook","Domain")))</f>
        <v/>
      </c>
      <c r="F6972">
        <f>IF(B6972="","",IFERROR(RIGHT(B6972,LEN(B6972)-FIND("@",B6972)),""))</f>
        <v/>
      </c>
      <c r="G6972">
        <f>IF(D6972="KEEP",COUNTIF($D$2:D6972,"KEEP"),"")</f>
        <v/>
      </c>
      <c r="H6972">
        <f>IF(D6972="REMOVE",COUNTIF($D$2:D6972,"REMOVE"),"")</f>
        <v/>
      </c>
      <c r="I6972">
        <f>IF(E6972="Gmail",COUNTIF($E$2:E6972,"Gmail"),"")</f>
        <v/>
      </c>
      <c r="J6972">
        <f>IF(E6972="Outlook",COUNTIF($E$2:E6972,"Outlook"),"")</f>
        <v/>
      </c>
      <c r="K6972">
        <f>IF(E6972="Domain",COUNTIF($E$2:E6972,"Domain"),"")</f>
        <v/>
      </c>
    </row>
    <row r="6973">
      <c r="A6973" s="2" t="n"/>
      <c r="B6973">
        <f>LOWER(TRIM(A6973))</f>
        <v/>
      </c>
      <c r="C6973">
        <f>IF(B6973="","",IFERROR(INDEX('Bad Patterns'!$A$2:$A$120,MATCH(1,INDEX(--ISNUMBER(SEARCH('Bad Patterns'!$A$2:$A$120,B6973)),0),0)),""))</f>
        <v/>
      </c>
      <c r="D6973">
        <f>IF(B6973="","",IF(C6973&lt;&gt;"","REMOVE","KEEP"))</f>
        <v/>
      </c>
      <c r="E6973">
        <f>IF(D6973&lt;&gt;"KEEP","",IF(RIGHT(B6973,10)="@gmail.com","Gmail",IF(OR(RIGHT(B6973,12)="@outlook.com",RIGHT(B6973,12)="@hotmail.com",RIGHT(B6973,9)="@live.com"),"Outlook","Domain")))</f>
        <v/>
      </c>
      <c r="F6973">
        <f>IF(B6973="","",IFERROR(RIGHT(B6973,LEN(B6973)-FIND("@",B6973)),""))</f>
        <v/>
      </c>
      <c r="G6973">
        <f>IF(D6973="KEEP",COUNTIF($D$2:D6973,"KEEP"),"")</f>
        <v/>
      </c>
      <c r="H6973">
        <f>IF(D6973="REMOVE",COUNTIF($D$2:D6973,"REMOVE"),"")</f>
        <v/>
      </c>
      <c r="I6973">
        <f>IF(E6973="Gmail",COUNTIF($E$2:E6973,"Gmail"),"")</f>
        <v/>
      </c>
      <c r="J6973">
        <f>IF(E6973="Outlook",COUNTIF($E$2:E6973,"Outlook"),"")</f>
        <v/>
      </c>
      <c r="K6973">
        <f>IF(E6973="Domain",COUNTIF($E$2:E6973,"Domain"),"")</f>
        <v/>
      </c>
    </row>
    <row r="6974">
      <c r="A6974" s="2" t="n"/>
      <c r="B6974">
        <f>LOWER(TRIM(A6974))</f>
        <v/>
      </c>
      <c r="C6974">
        <f>IF(B6974="","",IFERROR(INDEX('Bad Patterns'!$A$2:$A$120,MATCH(1,INDEX(--ISNUMBER(SEARCH('Bad Patterns'!$A$2:$A$120,B6974)),0),0)),""))</f>
        <v/>
      </c>
      <c r="D6974">
        <f>IF(B6974="","",IF(C6974&lt;&gt;"","REMOVE","KEEP"))</f>
        <v/>
      </c>
      <c r="E6974">
        <f>IF(D6974&lt;&gt;"KEEP","",IF(RIGHT(B6974,10)="@gmail.com","Gmail",IF(OR(RIGHT(B6974,12)="@outlook.com",RIGHT(B6974,12)="@hotmail.com",RIGHT(B6974,9)="@live.com"),"Outlook","Domain")))</f>
        <v/>
      </c>
      <c r="F6974">
        <f>IF(B6974="","",IFERROR(RIGHT(B6974,LEN(B6974)-FIND("@",B6974)),""))</f>
        <v/>
      </c>
      <c r="G6974">
        <f>IF(D6974="KEEP",COUNTIF($D$2:D6974,"KEEP"),"")</f>
        <v/>
      </c>
      <c r="H6974">
        <f>IF(D6974="REMOVE",COUNTIF($D$2:D6974,"REMOVE"),"")</f>
        <v/>
      </c>
      <c r="I6974">
        <f>IF(E6974="Gmail",COUNTIF($E$2:E6974,"Gmail"),"")</f>
        <v/>
      </c>
      <c r="J6974">
        <f>IF(E6974="Outlook",COUNTIF($E$2:E6974,"Outlook"),"")</f>
        <v/>
      </c>
      <c r="K6974">
        <f>IF(E6974="Domain",COUNTIF($E$2:E6974,"Domain"),"")</f>
        <v/>
      </c>
    </row>
    <row r="6975">
      <c r="A6975" s="2" t="n"/>
      <c r="B6975">
        <f>LOWER(TRIM(A6975))</f>
        <v/>
      </c>
      <c r="C6975">
        <f>IF(B6975="","",IFERROR(INDEX('Bad Patterns'!$A$2:$A$120,MATCH(1,INDEX(--ISNUMBER(SEARCH('Bad Patterns'!$A$2:$A$120,B6975)),0),0)),""))</f>
        <v/>
      </c>
      <c r="D6975">
        <f>IF(B6975="","",IF(C6975&lt;&gt;"","REMOVE","KEEP"))</f>
        <v/>
      </c>
      <c r="E6975">
        <f>IF(D6975&lt;&gt;"KEEP","",IF(RIGHT(B6975,10)="@gmail.com","Gmail",IF(OR(RIGHT(B6975,12)="@outlook.com",RIGHT(B6975,12)="@hotmail.com",RIGHT(B6975,9)="@live.com"),"Outlook","Domain")))</f>
        <v/>
      </c>
      <c r="F6975">
        <f>IF(B6975="","",IFERROR(RIGHT(B6975,LEN(B6975)-FIND("@",B6975)),""))</f>
        <v/>
      </c>
      <c r="G6975">
        <f>IF(D6975="KEEP",COUNTIF($D$2:D6975,"KEEP"),"")</f>
        <v/>
      </c>
      <c r="H6975">
        <f>IF(D6975="REMOVE",COUNTIF($D$2:D6975,"REMOVE"),"")</f>
        <v/>
      </c>
      <c r="I6975">
        <f>IF(E6975="Gmail",COUNTIF($E$2:E6975,"Gmail"),"")</f>
        <v/>
      </c>
      <c r="J6975">
        <f>IF(E6975="Outlook",COUNTIF($E$2:E6975,"Outlook"),"")</f>
        <v/>
      </c>
      <c r="K6975">
        <f>IF(E6975="Domain",COUNTIF($E$2:E6975,"Domain"),"")</f>
        <v/>
      </c>
    </row>
    <row r="6976">
      <c r="A6976" s="2" t="n"/>
      <c r="B6976">
        <f>LOWER(TRIM(A6976))</f>
        <v/>
      </c>
      <c r="C6976">
        <f>IF(B6976="","",IFERROR(INDEX('Bad Patterns'!$A$2:$A$120,MATCH(1,INDEX(--ISNUMBER(SEARCH('Bad Patterns'!$A$2:$A$120,B6976)),0),0)),""))</f>
        <v/>
      </c>
      <c r="D6976">
        <f>IF(B6976="","",IF(C6976&lt;&gt;"","REMOVE","KEEP"))</f>
        <v/>
      </c>
      <c r="E6976">
        <f>IF(D6976&lt;&gt;"KEEP","",IF(RIGHT(B6976,10)="@gmail.com","Gmail",IF(OR(RIGHT(B6976,12)="@outlook.com",RIGHT(B6976,12)="@hotmail.com",RIGHT(B6976,9)="@live.com"),"Outlook","Domain")))</f>
        <v/>
      </c>
      <c r="F6976">
        <f>IF(B6976="","",IFERROR(RIGHT(B6976,LEN(B6976)-FIND("@",B6976)),""))</f>
        <v/>
      </c>
      <c r="G6976">
        <f>IF(D6976="KEEP",COUNTIF($D$2:D6976,"KEEP"),"")</f>
        <v/>
      </c>
      <c r="H6976">
        <f>IF(D6976="REMOVE",COUNTIF($D$2:D6976,"REMOVE"),"")</f>
        <v/>
      </c>
      <c r="I6976">
        <f>IF(E6976="Gmail",COUNTIF($E$2:E6976,"Gmail"),"")</f>
        <v/>
      </c>
      <c r="J6976">
        <f>IF(E6976="Outlook",COUNTIF($E$2:E6976,"Outlook"),"")</f>
        <v/>
      </c>
      <c r="K6976">
        <f>IF(E6976="Domain",COUNTIF($E$2:E6976,"Domain"),"")</f>
        <v/>
      </c>
    </row>
    <row r="6977">
      <c r="A6977" s="2" t="n"/>
      <c r="B6977">
        <f>LOWER(TRIM(A6977))</f>
        <v/>
      </c>
      <c r="C6977">
        <f>IF(B6977="","",IFERROR(INDEX('Bad Patterns'!$A$2:$A$120,MATCH(1,INDEX(--ISNUMBER(SEARCH('Bad Patterns'!$A$2:$A$120,B6977)),0),0)),""))</f>
        <v/>
      </c>
      <c r="D6977">
        <f>IF(B6977="","",IF(C6977&lt;&gt;"","REMOVE","KEEP"))</f>
        <v/>
      </c>
      <c r="E6977">
        <f>IF(D6977&lt;&gt;"KEEP","",IF(RIGHT(B6977,10)="@gmail.com","Gmail",IF(OR(RIGHT(B6977,12)="@outlook.com",RIGHT(B6977,12)="@hotmail.com",RIGHT(B6977,9)="@live.com"),"Outlook","Domain")))</f>
        <v/>
      </c>
      <c r="F6977">
        <f>IF(B6977="","",IFERROR(RIGHT(B6977,LEN(B6977)-FIND("@",B6977)),""))</f>
        <v/>
      </c>
      <c r="G6977">
        <f>IF(D6977="KEEP",COUNTIF($D$2:D6977,"KEEP"),"")</f>
        <v/>
      </c>
      <c r="H6977">
        <f>IF(D6977="REMOVE",COUNTIF($D$2:D6977,"REMOVE"),"")</f>
        <v/>
      </c>
      <c r="I6977">
        <f>IF(E6977="Gmail",COUNTIF($E$2:E6977,"Gmail"),"")</f>
        <v/>
      </c>
      <c r="J6977">
        <f>IF(E6977="Outlook",COUNTIF($E$2:E6977,"Outlook"),"")</f>
        <v/>
      </c>
      <c r="K6977">
        <f>IF(E6977="Domain",COUNTIF($E$2:E6977,"Domain"),"")</f>
        <v/>
      </c>
    </row>
    <row r="6978">
      <c r="A6978" s="2" t="n"/>
      <c r="B6978">
        <f>LOWER(TRIM(A6978))</f>
        <v/>
      </c>
      <c r="C6978">
        <f>IF(B6978="","",IFERROR(INDEX('Bad Patterns'!$A$2:$A$120,MATCH(1,INDEX(--ISNUMBER(SEARCH('Bad Patterns'!$A$2:$A$120,B6978)),0),0)),""))</f>
        <v/>
      </c>
      <c r="D6978">
        <f>IF(B6978="","",IF(C6978&lt;&gt;"","REMOVE","KEEP"))</f>
        <v/>
      </c>
      <c r="E6978">
        <f>IF(D6978&lt;&gt;"KEEP","",IF(RIGHT(B6978,10)="@gmail.com","Gmail",IF(OR(RIGHT(B6978,12)="@outlook.com",RIGHT(B6978,12)="@hotmail.com",RIGHT(B6978,9)="@live.com"),"Outlook","Domain")))</f>
        <v/>
      </c>
      <c r="F6978">
        <f>IF(B6978="","",IFERROR(RIGHT(B6978,LEN(B6978)-FIND("@",B6978)),""))</f>
        <v/>
      </c>
      <c r="G6978">
        <f>IF(D6978="KEEP",COUNTIF($D$2:D6978,"KEEP"),"")</f>
        <v/>
      </c>
      <c r="H6978">
        <f>IF(D6978="REMOVE",COUNTIF($D$2:D6978,"REMOVE"),"")</f>
        <v/>
      </c>
      <c r="I6978">
        <f>IF(E6978="Gmail",COUNTIF($E$2:E6978,"Gmail"),"")</f>
        <v/>
      </c>
      <c r="J6978">
        <f>IF(E6978="Outlook",COUNTIF($E$2:E6978,"Outlook"),"")</f>
        <v/>
      </c>
      <c r="K6978">
        <f>IF(E6978="Domain",COUNTIF($E$2:E6978,"Domain"),"")</f>
        <v/>
      </c>
    </row>
    <row r="6979">
      <c r="A6979" s="2" t="n"/>
      <c r="B6979">
        <f>LOWER(TRIM(A6979))</f>
        <v/>
      </c>
      <c r="C6979">
        <f>IF(B6979="","",IFERROR(INDEX('Bad Patterns'!$A$2:$A$120,MATCH(1,INDEX(--ISNUMBER(SEARCH('Bad Patterns'!$A$2:$A$120,B6979)),0),0)),""))</f>
        <v/>
      </c>
      <c r="D6979">
        <f>IF(B6979="","",IF(C6979&lt;&gt;"","REMOVE","KEEP"))</f>
        <v/>
      </c>
      <c r="E6979">
        <f>IF(D6979&lt;&gt;"KEEP","",IF(RIGHT(B6979,10)="@gmail.com","Gmail",IF(OR(RIGHT(B6979,12)="@outlook.com",RIGHT(B6979,12)="@hotmail.com",RIGHT(B6979,9)="@live.com"),"Outlook","Domain")))</f>
        <v/>
      </c>
      <c r="F6979">
        <f>IF(B6979="","",IFERROR(RIGHT(B6979,LEN(B6979)-FIND("@",B6979)),""))</f>
        <v/>
      </c>
      <c r="G6979">
        <f>IF(D6979="KEEP",COUNTIF($D$2:D6979,"KEEP"),"")</f>
        <v/>
      </c>
      <c r="H6979">
        <f>IF(D6979="REMOVE",COUNTIF($D$2:D6979,"REMOVE"),"")</f>
        <v/>
      </c>
      <c r="I6979">
        <f>IF(E6979="Gmail",COUNTIF($E$2:E6979,"Gmail"),"")</f>
        <v/>
      </c>
      <c r="J6979">
        <f>IF(E6979="Outlook",COUNTIF($E$2:E6979,"Outlook"),"")</f>
        <v/>
      </c>
      <c r="K6979">
        <f>IF(E6979="Domain",COUNTIF($E$2:E6979,"Domain"),"")</f>
        <v/>
      </c>
    </row>
    <row r="6980">
      <c r="A6980" s="2" t="n"/>
      <c r="B6980">
        <f>LOWER(TRIM(A6980))</f>
        <v/>
      </c>
      <c r="C6980">
        <f>IF(B6980="","",IFERROR(INDEX('Bad Patterns'!$A$2:$A$120,MATCH(1,INDEX(--ISNUMBER(SEARCH('Bad Patterns'!$A$2:$A$120,B6980)),0),0)),""))</f>
        <v/>
      </c>
      <c r="D6980">
        <f>IF(B6980="","",IF(C6980&lt;&gt;"","REMOVE","KEEP"))</f>
        <v/>
      </c>
      <c r="E6980">
        <f>IF(D6980&lt;&gt;"KEEP","",IF(RIGHT(B6980,10)="@gmail.com","Gmail",IF(OR(RIGHT(B6980,12)="@outlook.com",RIGHT(B6980,12)="@hotmail.com",RIGHT(B6980,9)="@live.com"),"Outlook","Domain")))</f>
        <v/>
      </c>
      <c r="F6980">
        <f>IF(B6980="","",IFERROR(RIGHT(B6980,LEN(B6980)-FIND("@",B6980)),""))</f>
        <v/>
      </c>
      <c r="G6980">
        <f>IF(D6980="KEEP",COUNTIF($D$2:D6980,"KEEP"),"")</f>
        <v/>
      </c>
      <c r="H6980">
        <f>IF(D6980="REMOVE",COUNTIF($D$2:D6980,"REMOVE"),"")</f>
        <v/>
      </c>
      <c r="I6980">
        <f>IF(E6980="Gmail",COUNTIF($E$2:E6980,"Gmail"),"")</f>
        <v/>
      </c>
      <c r="J6980">
        <f>IF(E6980="Outlook",COUNTIF($E$2:E6980,"Outlook"),"")</f>
        <v/>
      </c>
      <c r="K6980">
        <f>IF(E6980="Domain",COUNTIF($E$2:E6980,"Domain"),"")</f>
        <v/>
      </c>
    </row>
    <row r="6981">
      <c r="A6981" s="2" t="n"/>
      <c r="B6981">
        <f>LOWER(TRIM(A6981))</f>
        <v/>
      </c>
      <c r="C6981">
        <f>IF(B6981="","",IFERROR(INDEX('Bad Patterns'!$A$2:$A$120,MATCH(1,INDEX(--ISNUMBER(SEARCH('Bad Patterns'!$A$2:$A$120,B6981)),0),0)),""))</f>
        <v/>
      </c>
      <c r="D6981">
        <f>IF(B6981="","",IF(C6981&lt;&gt;"","REMOVE","KEEP"))</f>
        <v/>
      </c>
      <c r="E6981">
        <f>IF(D6981&lt;&gt;"KEEP","",IF(RIGHT(B6981,10)="@gmail.com","Gmail",IF(OR(RIGHT(B6981,12)="@outlook.com",RIGHT(B6981,12)="@hotmail.com",RIGHT(B6981,9)="@live.com"),"Outlook","Domain")))</f>
        <v/>
      </c>
      <c r="F6981">
        <f>IF(B6981="","",IFERROR(RIGHT(B6981,LEN(B6981)-FIND("@",B6981)),""))</f>
        <v/>
      </c>
      <c r="G6981">
        <f>IF(D6981="KEEP",COUNTIF($D$2:D6981,"KEEP"),"")</f>
        <v/>
      </c>
      <c r="H6981">
        <f>IF(D6981="REMOVE",COUNTIF($D$2:D6981,"REMOVE"),"")</f>
        <v/>
      </c>
      <c r="I6981">
        <f>IF(E6981="Gmail",COUNTIF($E$2:E6981,"Gmail"),"")</f>
        <v/>
      </c>
      <c r="J6981">
        <f>IF(E6981="Outlook",COUNTIF($E$2:E6981,"Outlook"),"")</f>
        <v/>
      </c>
      <c r="K6981">
        <f>IF(E6981="Domain",COUNTIF($E$2:E6981,"Domain"),"")</f>
        <v/>
      </c>
    </row>
    <row r="6982">
      <c r="A6982" s="2" t="n"/>
      <c r="B6982">
        <f>LOWER(TRIM(A6982))</f>
        <v/>
      </c>
      <c r="C6982">
        <f>IF(B6982="","",IFERROR(INDEX('Bad Patterns'!$A$2:$A$120,MATCH(1,INDEX(--ISNUMBER(SEARCH('Bad Patterns'!$A$2:$A$120,B6982)),0),0)),""))</f>
        <v/>
      </c>
      <c r="D6982">
        <f>IF(B6982="","",IF(C6982&lt;&gt;"","REMOVE","KEEP"))</f>
        <v/>
      </c>
      <c r="E6982">
        <f>IF(D6982&lt;&gt;"KEEP","",IF(RIGHT(B6982,10)="@gmail.com","Gmail",IF(OR(RIGHT(B6982,12)="@outlook.com",RIGHT(B6982,12)="@hotmail.com",RIGHT(B6982,9)="@live.com"),"Outlook","Domain")))</f>
        <v/>
      </c>
      <c r="F6982">
        <f>IF(B6982="","",IFERROR(RIGHT(B6982,LEN(B6982)-FIND("@",B6982)),""))</f>
        <v/>
      </c>
      <c r="G6982">
        <f>IF(D6982="KEEP",COUNTIF($D$2:D6982,"KEEP"),"")</f>
        <v/>
      </c>
      <c r="H6982">
        <f>IF(D6982="REMOVE",COUNTIF($D$2:D6982,"REMOVE"),"")</f>
        <v/>
      </c>
      <c r="I6982">
        <f>IF(E6982="Gmail",COUNTIF($E$2:E6982,"Gmail"),"")</f>
        <v/>
      </c>
      <c r="J6982">
        <f>IF(E6982="Outlook",COUNTIF($E$2:E6982,"Outlook"),"")</f>
        <v/>
      </c>
      <c r="K6982">
        <f>IF(E6982="Domain",COUNTIF($E$2:E6982,"Domain"),"")</f>
        <v/>
      </c>
    </row>
    <row r="6983">
      <c r="A6983" s="2" t="n"/>
      <c r="B6983">
        <f>LOWER(TRIM(A6983))</f>
        <v/>
      </c>
      <c r="C6983">
        <f>IF(B6983="","",IFERROR(INDEX('Bad Patterns'!$A$2:$A$120,MATCH(1,INDEX(--ISNUMBER(SEARCH('Bad Patterns'!$A$2:$A$120,B6983)),0),0)),""))</f>
        <v/>
      </c>
      <c r="D6983">
        <f>IF(B6983="","",IF(C6983&lt;&gt;"","REMOVE","KEEP"))</f>
        <v/>
      </c>
      <c r="E6983">
        <f>IF(D6983&lt;&gt;"KEEP","",IF(RIGHT(B6983,10)="@gmail.com","Gmail",IF(OR(RIGHT(B6983,12)="@outlook.com",RIGHT(B6983,12)="@hotmail.com",RIGHT(B6983,9)="@live.com"),"Outlook","Domain")))</f>
        <v/>
      </c>
      <c r="F6983">
        <f>IF(B6983="","",IFERROR(RIGHT(B6983,LEN(B6983)-FIND("@",B6983)),""))</f>
        <v/>
      </c>
      <c r="G6983">
        <f>IF(D6983="KEEP",COUNTIF($D$2:D6983,"KEEP"),"")</f>
        <v/>
      </c>
      <c r="H6983">
        <f>IF(D6983="REMOVE",COUNTIF($D$2:D6983,"REMOVE"),"")</f>
        <v/>
      </c>
      <c r="I6983">
        <f>IF(E6983="Gmail",COUNTIF($E$2:E6983,"Gmail"),"")</f>
        <v/>
      </c>
      <c r="J6983">
        <f>IF(E6983="Outlook",COUNTIF($E$2:E6983,"Outlook"),"")</f>
        <v/>
      </c>
      <c r="K6983">
        <f>IF(E6983="Domain",COUNTIF($E$2:E6983,"Domain"),"")</f>
        <v/>
      </c>
    </row>
    <row r="6984">
      <c r="A6984" s="2" t="n"/>
      <c r="B6984">
        <f>LOWER(TRIM(A6984))</f>
        <v/>
      </c>
      <c r="C6984">
        <f>IF(B6984="","",IFERROR(INDEX('Bad Patterns'!$A$2:$A$120,MATCH(1,INDEX(--ISNUMBER(SEARCH('Bad Patterns'!$A$2:$A$120,B6984)),0),0)),""))</f>
        <v/>
      </c>
      <c r="D6984">
        <f>IF(B6984="","",IF(C6984&lt;&gt;"","REMOVE","KEEP"))</f>
        <v/>
      </c>
      <c r="E6984">
        <f>IF(D6984&lt;&gt;"KEEP","",IF(RIGHT(B6984,10)="@gmail.com","Gmail",IF(OR(RIGHT(B6984,12)="@outlook.com",RIGHT(B6984,12)="@hotmail.com",RIGHT(B6984,9)="@live.com"),"Outlook","Domain")))</f>
        <v/>
      </c>
      <c r="F6984">
        <f>IF(B6984="","",IFERROR(RIGHT(B6984,LEN(B6984)-FIND("@",B6984)),""))</f>
        <v/>
      </c>
      <c r="G6984">
        <f>IF(D6984="KEEP",COUNTIF($D$2:D6984,"KEEP"),"")</f>
        <v/>
      </c>
      <c r="H6984">
        <f>IF(D6984="REMOVE",COUNTIF($D$2:D6984,"REMOVE"),"")</f>
        <v/>
      </c>
      <c r="I6984">
        <f>IF(E6984="Gmail",COUNTIF($E$2:E6984,"Gmail"),"")</f>
        <v/>
      </c>
      <c r="J6984">
        <f>IF(E6984="Outlook",COUNTIF($E$2:E6984,"Outlook"),"")</f>
        <v/>
      </c>
      <c r="K6984">
        <f>IF(E6984="Domain",COUNTIF($E$2:E6984,"Domain"),"")</f>
        <v/>
      </c>
    </row>
    <row r="6985">
      <c r="A6985" s="2" t="n"/>
      <c r="B6985">
        <f>LOWER(TRIM(A6985))</f>
        <v/>
      </c>
      <c r="C6985">
        <f>IF(B6985="","",IFERROR(INDEX('Bad Patterns'!$A$2:$A$120,MATCH(1,INDEX(--ISNUMBER(SEARCH('Bad Patterns'!$A$2:$A$120,B6985)),0),0)),""))</f>
        <v/>
      </c>
      <c r="D6985">
        <f>IF(B6985="","",IF(C6985&lt;&gt;"","REMOVE","KEEP"))</f>
        <v/>
      </c>
      <c r="E6985">
        <f>IF(D6985&lt;&gt;"KEEP","",IF(RIGHT(B6985,10)="@gmail.com","Gmail",IF(OR(RIGHT(B6985,12)="@outlook.com",RIGHT(B6985,12)="@hotmail.com",RIGHT(B6985,9)="@live.com"),"Outlook","Domain")))</f>
        <v/>
      </c>
      <c r="F6985">
        <f>IF(B6985="","",IFERROR(RIGHT(B6985,LEN(B6985)-FIND("@",B6985)),""))</f>
        <v/>
      </c>
      <c r="G6985">
        <f>IF(D6985="KEEP",COUNTIF($D$2:D6985,"KEEP"),"")</f>
        <v/>
      </c>
      <c r="H6985">
        <f>IF(D6985="REMOVE",COUNTIF($D$2:D6985,"REMOVE"),"")</f>
        <v/>
      </c>
      <c r="I6985">
        <f>IF(E6985="Gmail",COUNTIF($E$2:E6985,"Gmail"),"")</f>
        <v/>
      </c>
      <c r="J6985">
        <f>IF(E6985="Outlook",COUNTIF($E$2:E6985,"Outlook"),"")</f>
        <v/>
      </c>
      <c r="K6985">
        <f>IF(E6985="Domain",COUNTIF($E$2:E6985,"Domain"),"")</f>
        <v/>
      </c>
    </row>
    <row r="6986">
      <c r="A6986" s="2" t="n"/>
      <c r="B6986">
        <f>LOWER(TRIM(A6986))</f>
        <v/>
      </c>
      <c r="C6986">
        <f>IF(B6986="","",IFERROR(INDEX('Bad Patterns'!$A$2:$A$120,MATCH(1,INDEX(--ISNUMBER(SEARCH('Bad Patterns'!$A$2:$A$120,B6986)),0),0)),""))</f>
        <v/>
      </c>
      <c r="D6986">
        <f>IF(B6986="","",IF(C6986&lt;&gt;"","REMOVE","KEEP"))</f>
        <v/>
      </c>
      <c r="E6986">
        <f>IF(D6986&lt;&gt;"KEEP","",IF(RIGHT(B6986,10)="@gmail.com","Gmail",IF(OR(RIGHT(B6986,12)="@outlook.com",RIGHT(B6986,12)="@hotmail.com",RIGHT(B6986,9)="@live.com"),"Outlook","Domain")))</f>
        <v/>
      </c>
      <c r="F6986">
        <f>IF(B6986="","",IFERROR(RIGHT(B6986,LEN(B6986)-FIND("@",B6986)),""))</f>
        <v/>
      </c>
      <c r="G6986">
        <f>IF(D6986="KEEP",COUNTIF($D$2:D6986,"KEEP"),"")</f>
        <v/>
      </c>
      <c r="H6986">
        <f>IF(D6986="REMOVE",COUNTIF($D$2:D6986,"REMOVE"),"")</f>
        <v/>
      </c>
      <c r="I6986">
        <f>IF(E6986="Gmail",COUNTIF($E$2:E6986,"Gmail"),"")</f>
        <v/>
      </c>
      <c r="J6986">
        <f>IF(E6986="Outlook",COUNTIF($E$2:E6986,"Outlook"),"")</f>
        <v/>
      </c>
      <c r="K6986">
        <f>IF(E6986="Domain",COUNTIF($E$2:E6986,"Domain"),"")</f>
        <v/>
      </c>
    </row>
    <row r="6987">
      <c r="A6987" s="2" t="n"/>
      <c r="B6987">
        <f>LOWER(TRIM(A6987))</f>
        <v/>
      </c>
      <c r="C6987">
        <f>IF(B6987="","",IFERROR(INDEX('Bad Patterns'!$A$2:$A$120,MATCH(1,INDEX(--ISNUMBER(SEARCH('Bad Patterns'!$A$2:$A$120,B6987)),0),0)),""))</f>
        <v/>
      </c>
      <c r="D6987">
        <f>IF(B6987="","",IF(C6987&lt;&gt;"","REMOVE","KEEP"))</f>
        <v/>
      </c>
      <c r="E6987">
        <f>IF(D6987&lt;&gt;"KEEP","",IF(RIGHT(B6987,10)="@gmail.com","Gmail",IF(OR(RIGHT(B6987,12)="@outlook.com",RIGHT(B6987,12)="@hotmail.com",RIGHT(B6987,9)="@live.com"),"Outlook","Domain")))</f>
        <v/>
      </c>
      <c r="F6987">
        <f>IF(B6987="","",IFERROR(RIGHT(B6987,LEN(B6987)-FIND("@",B6987)),""))</f>
        <v/>
      </c>
      <c r="G6987">
        <f>IF(D6987="KEEP",COUNTIF($D$2:D6987,"KEEP"),"")</f>
        <v/>
      </c>
      <c r="H6987">
        <f>IF(D6987="REMOVE",COUNTIF($D$2:D6987,"REMOVE"),"")</f>
        <v/>
      </c>
      <c r="I6987">
        <f>IF(E6987="Gmail",COUNTIF($E$2:E6987,"Gmail"),"")</f>
        <v/>
      </c>
      <c r="J6987">
        <f>IF(E6987="Outlook",COUNTIF($E$2:E6987,"Outlook"),"")</f>
        <v/>
      </c>
      <c r="K6987">
        <f>IF(E6987="Domain",COUNTIF($E$2:E6987,"Domain"),"")</f>
        <v/>
      </c>
    </row>
    <row r="6988">
      <c r="A6988" s="2" t="n"/>
      <c r="B6988">
        <f>LOWER(TRIM(A6988))</f>
        <v/>
      </c>
      <c r="C6988">
        <f>IF(B6988="","",IFERROR(INDEX('Bad Patterns'!$A$2:$A$120,MATCH(1,INDEX(--ISNUMBER(SEARCH('Bad Patterns'!$A$2:$A$120,B6988)),0),0)),""))</f>
        <v/>
      </c>
      <c r="D6988">
        <f>IF(B6988="","",IF(C6988&lt;&gt;"","REMOVE","KEEP"))</f>
        <v/>
      </c>
      <c r="E6988">
        <f>IF(D6988&lt;&gt;"KEEP","",IF(RIGHT(B6988,10)="@gmail.com","Gmail",IF(OR(RIGHT(B6988,12)="@outlook.com",RIGHT(B6988,12)="@hotmail.com",RIGHT(B6988,9)="@live.com"),"Outlook","Domain")))</f>
        <v/>
      </c>
      <c r="F6988">
        <f>IF(B6988="","",IFERROR(RIGHT(B6988,LEN(B6988)-FIND("@",B6988)),""))</f>
        <v/>
      </c>
      <c r="G6988">
        <f>IF(D6988="KEEP",COUNTIF($D$2:D6988,"KEEP"),"")</f>
        <v/>
      </c>
      <c r="H6988">
        <f>IF(D6988="REMOVE",COUNTIF($D$2:D6988,"REMOVE"),"")</f>
        <v/>
      </c>
      <c r="I6988">
        <f>IF(E6988="Gmail",COUNTIF($E$2:E6988,"Gmail"),"")</f>
        <v/>
      </c>
      <c r="J6988">
        <f>IF(E6988="Outlook",COUNTIF($E$2:E6988,"Outlook"),"")</f>
        <v/>
      </c>
      <c r="K6988">
        <f>IF(E6988="Domain",COUNTIF($E$2:E6988,"Domain"),"")</f>
        <v/>
      </c>
    </row>
    <row r="6989">
      <c r="A6989" s="2" t="n"/>
      <c r="B6989">
        <f>LOWER(TRIM(A6989))</f>
        <v/>
      </c>
      <c r="C6989">
        <f>IF(B6989="","",IFERROR(INDEX('Bad Patterns'!$A$2:$A$120,MATCH(1,INDEX(--ISNUMBER(SEARCH('Bad Patterns'!$A$2:$A$120,B6989)),0),0)),""))</f>
        <v/>
      </c>
      <c r="D6989">
        <f>IF(B6989="","",IF(C6989&lt;&gt;"","REMOVE","KEEP"))</f>
        <v/>
      </c>
      <c r="E6989">
        <f>IF(D6989&lt;&gt;"KEEP","",IF(RIGHT(B6989,10)="@gmail.com","Gmail",IF(OR(RIGHT(B6989,12)="@outlook.com",RIGHT(B6989,12)="@hotmail.com",RIGHT(B6989,9)="@live.com"),"Outlook","Domain")))</f>
        <v/>
      </c>
      <c r="F6989">
        <f>IF(B6989="","",IFERROR(RIGHT(B6989,LEN(B6989)-FIND("@",B6989)),""))</f>
        <v/>
      </c>
      <c r="G6989">
        <f>IF(D6989="KEEP",COUNTIF($D$2:D6989,"KEEP"),"")</f>
        <v/>
      </c>
      <c r="H6989">
        <f>IF(D6989="REMOVE",COUNTIF($D$2:D6989,"REMOVE"),"")</f>
        <v/>
      </c>
      <c r="I6989">
        <f>IF(E6989="Gmail",COUNTIF($E$2:E6989,"Gmail"),"")</f>
        <v/>
      </c>
      <c r="J6989">
        <f>IF(E6989="Outlook",COUNTIF($E$2:E6989,"Outlook"),"")</f>
        <v/>
      </c>
      <c r="K6989">
        <f>IF(E6989="Domain",COUNTIF($E$2:E6989,"Domain"),"")</f>
        <v/>
      </c>
    </row>
    <row r="6990">
      <c r="A6990" s="2" t="n"/>
      <c r="B6990">
        <f>LOWER(TRIM(A6990))</f>
        <v/>
      </c>
      <c r="C6990">
        <f>IF(B6990="","",IFERROR(INDEX('Bad Patterns'!$A$2:$A$120,MATCH(1,INDEX(--ISNUMBER(SEARCH('Bad Patterns'!$A$2:$A$120,B6990)),0),0)),""))</f>
        <v/>
      </c>
      <c r="D6990">
        <f>IF(B6990="","",IF(C6990&lt;&gt;"","REMOVE","KEEP"))</f>
        <v/>
      </c>
      <c r="E6990">
        <f>IF(D6990&lt;&gt;"KEEP","",IF(RIGHT(B6990,10)="@gmail.com","Gmail",IF(OR(RIGHT(B6990,12)="@outlook.com",RIGHT(B6990,12)="@hotmail.com",RIGHT(B6990,9)="@live.com"),"Outlook","Domain")))</f>
        <v/>
      </c>
      <c r="F6990">
        <f>IF(B6990="","",IFERROR(RIGHT(B6990,LEN(B6990)-FIND("@",B6990)),""))</f>
        <v/>
      </c>
      <c r="G6990">
        <f>IF(D6990="KEEP",COUNTIF($D$2:D6990,"KEEP"),"")</f>
        <v/>
      </c>
      <c r="H6990">
        <f>IF(D6990="REMOVE",COUNTIF($D$2:D6990,"REMOVE"),"")</f>
        <v/>
      </c>
      <c r="I6990">
        <f>IF(E6990="Gmail",COUNTIF($E$2:E6990,"Gmail"),"")</f>
        <v/>
      </c>
      <c r="J6990">
        <f>IF(E6990="Outlook",COUNTIF($E$2:E6990,"Outlook"),"")</f>
        <v/>
      </c>
      <c r="K6990">
        <f>IF(E6990="Domain",COUNTIF($E$2:E6990,"Domain"),"")</f>
        <v/>
      </c>
    </row>
    <row r="6991">
      <c r="A6991" s="2" t="n"/>
      <c r="B6991">
        <f>LOWER(TRIM(A6991))</f>
        <v/>
      </c>
      <c r="C6991">
        <f>IF(B6991="","",IFERROR(INDEX('Bad Patterns'!$A$2:$A$120,MATCH(1,INDEX(--ISNUMBER(SEARCH('Bad Patterns'!$A$2:$A$120,B6991)),0),0)),""))</f>
        <v/>
      </c>
      <c r="D6991">
        <f>IF(B6991="","",IF(C6991&lt;&gt;"","REMOVE","KEEP"))</f>
        <v/>
      </c>
      <c r="E6991">
        <f>IF(D6991&lt;&gt;"KEEP","",IF(RIGHT(B6991,10)="@gmail.com","Gmail",IF(OR(RIGHT(B6991,12)="@outlook.com",RIGHT(B6991,12)="@hotmail.com",RIGHT(B6991,9)="@live.com"),"Outlook","Domain")))</f>
        <v/>
      </c>
      <c r="F6991">
        <f>IF(B6991="","",IFERROR(RIGHT(B6991,LEN(B6991)-FIND("@",B6991)),""))</f>
        <v/>
      </c>
      <c r="G6991">
        <f>IF(D6991="KEEP",COUNTIF($D$2:D6991,"KEEP"),"")</f>
        <v/>
      </c>
      <c r="H6991">
        <f>IF(D6991="REMOVE",COUNTIF($D$2:D6991,"REMOVE"),"")</f>
        <v/>
      </c>
      <c r="I6991">
        <f>IF(E6991="Gmail",COUNTIF($E$2:E6991,"Gmail"),"")</f>
        <v/>
      </c>
      <c r="J6991">
        <f>IF(E6991="Outlook",COUNTIF($E$2:E6991,"Outlook"),"")</f>
        <v/>
      </c>
      <c r="K6991">
        <f>IF(E6991="Domain",COUNTIF($E$2:E6991,"Domain"),"")</f>
        <v/>
      </c>
    </row>
    <row r="6992">
      <c r="A6992" s="2" t="n"/>
      <c r="B6992">
        <f>LOWER(TRIM(A6992))</f>
        <v/>
      </c>
      <c r="C6992">
        <f>IF(B6992="","",IFERROR(INDEX('Bad Patterns'!$A$2:$A$120,MATCH(1,INDEX(--ISNUMBER(SEARCH('Bad Patterns'!$A$2:$A$120,B6992)),0),0)),""))</f>
        <v/>
      </c>
      <c r="D6992">
        <f>IF(B6992="","",IF(C6992&lt;&gt;"","REMOVE","KEEP"))</f>
        <v/>
      </c>
      <c r="E6992">
        <f>IF(D6992&lt;&gt;"KEEP","",IF(RIGHT(B6992,10)="@gmail.com","Gmail",IF(OR(RIGHT(B6992,12)="@outlook.com",RIGHT(B6992,12)="@hotmail.com",RIGHT(B6992,9)="@live.com"),"Outlook","Domain")))</f>
        <v/>
      </c>
      <c r="F6992">
        <f>IF(B6992="","",IFERROR(RIGHT(B6992,LEN(B6992)-FIND("@",B6992)),""))</f>
        <v/>
      </c>
      <c r="G6992">
        <f>IF(D6992="KEEP",COUNTIF($D$2:D6992,"KEEP"),"")</f>
        <v/>
      </c>
      <c r="H6992">
        <f>IF(D6992="REMOVE",COUNTIF($D$2:D6992,"REMOVE"),"")</f>
        <v/>
      </c>
      <c r="I6992">
        <f>IF(E6992="Gmail",COUNTIF($E$2:E6992,"Gmail"),"")</f>
        <v/>
      </c>
      <c r="J6992">
        <f>IF(E6992="Outlook",COUNTIF($E$2:E6992,"Outlook"),"")</f>
        <v/>
      </c>
      <c r="K6992">
        <f>IF(E6992="Domain",COUNTIF($E$2:E6992,"Domain"),"")</f>
        <v/>
      </c>
    </row>
    <row r="6993">
      <c r="A6993" s="2" t="n"/>
      <c r="B6993">
        <f>LOWER(TRIM(A6993))</f>
        <v/>
      </c>
      <c r="C6993">
        <f>IF(B6993="","",IFERROR(INDEX('Bad Patterns'!$A$2:$A$120,MATCH(1,INDEX(--ISNUMBER(SEARCH('Bad Patterns'!$A$2:$A$120,B6993)),0),0)),""))</f>
        <v/>
      </c>
      <c r="D6993">
        <f>IF(B6993="","",IF(C6993&lt;&gt;"","REMOVE","KEEP"))</f>
        <v/>
      </c>
      <c r="E6993">
        <f>IF(D6993&lt;&gt;"KEEP","",IF(RIGHT(B6993,10)="@gmail.com","Gmail",IF(OR(RIGHT(B6993,12)="@outlook.com",RIGHT(B6993,12)="@hotmail.com",RIGHT(B6993,9)="@live.com"),"Outlook","Domain")))</f>
        <v/>
      </c>
      <c r="F6993">
        <f>IF(B6993="","",IFERROR(RIGHT(B6993,LEN(B6993)-FIND("@",B6993)),""))</f>
        <v/>
      </c>
      <c r="G6993">
        <f>IF(D6993="KEEP",COUNTIF($D$2:D6993,"KEEP"),"")</f>
        <v/>
      </c>
      <c r="H6993">
        <f>IF(D6993="REMOVE",COUNTIF($D$2:D6993,"REMOVE"),"")</f>
        <v/>
      </c>
      <c r="I6993">
        <f>IF(E6993="Gmail",COUNTIF($E$2:E6993,"Gmail"),"")</f>
        <v/>
      </c>
      <c r="J6993">
        <f>IF(E6993="Outlook",COUNTIF($E$2:E6993,"Outlook"),"")</f>
        <v/>
      </c>
      <c r="K6993">
        <f>IF(E6993="Domain",COUNTIF($E$2:E6993,"Domain"),"")</f>
        <v/>
      </c>
    </row>
    <row r="6994">
      <c r="A6994" s="2" t="n"/>
      <c r="B6994">
        <f>LOWER(TRIM(A6994))</f>
        <v/>
      </c>
      <c r="C6994">
        <f>IF(B6994="","",IFERROR(INDEX('Bad Patterns'!$A$2:$A$120,MATCH(1,INDEX(--ISNUMBER(SEARCH('Bad Patterns'!$A$2:$A$120,B6994)),0),0)),""))</f>
        <v/>
      </c>
      <c r="D6994">
        <f>IF(B6994="","",IF(C6994&lt;&gt;"","REMOVE","KEEP"))</f>
        <v/>
      </c>
      <c r="E6994">
        <f>IF(D6994&lt;&gt;"KEEP","",IF(RIGHT(B6994,10)="@gmail.com","Gmail",IF(OR(RIGHT(B6994,12)="@outlook.com",RIGHT(B6994,12)="@hotmail.com",RIGHT(B6994,9)="@live.com"),"Outlook","Domain")))</f>
        <v/>
      </c>
      <c r="F6994">
        <f>IF(B6994="","",IFERROR(RIGHT(B6994,LEN(B6994)-FIND("@",B6994)),""))</f>
        <v/>
      </c>
      <c r="G6994">
        <f>IF(D6994="KEEP",COUNTIF($D$2:D6994,"KEEP"),"")</f>
        <v/>
      </c>
      <c r="H6994">
        <f>IF(D6994="REMOVE",COUNTIF($D$2:D6994,"REMOVE"),"")</f>
        <v/>
      </c>
      <c r="I6994">
        <f>IF(E6994="Gmail",COUNTIF($E$2:E6994,"Gmail"),"")</f>
        <v/>
      </c>
      <c r="J6994">
        <f>IF(E6994="Outlook",COUNTIF($E$2:E6994,"Outlook"),"")</f>
        <v/>
      </c>
      <c r="K6994">
        <f>IF(E6994="Domain",COUNTIF($E$2:E6994,"Domain"),"")</f>
        <v/>
      </c>
    </row>
    <row r="6995">
      <c r="A6995" s="2" t="n"/>
      <c r="B6995">
        <f>LOWER(TRIM(A6995))</f>
        <v/>
      </c>
      <c r="C6995">
        <f>IF(B6995="","",IFERROR(INDEX('Bad Patterns'!$A$2:$A$120,MATCH(1,INDEX(--ISNUMBER(SEARCH('Bad Patterns'!$A$2:$A$120,B6995)),0),0)),""))</f>
        <v/>
      </c>
      <c r="D6995">
        <f>IF(B6995="","",IF(C6995&lt;&gt;"","REMOVE","KEEP"))</f>
        <v/>
      </c>
      <c r="E6995">
        <f>IF(D6995&lt;&gt;"KEEP","",IF(RIGHT(B6995,10)="@gmail.com","Gmail",IF(OR(RIGHT(B6995,12)="@outlook.com",RIGHT(B6995,12)="@hotmail.com",RIGHT(B6995,9)="@live.com"),"Outlook","Domain")))</f>
        <v/>
      </c>
      <c r="F6995">
        <f>IF(B6995="","",IFERROR(RIGHT(B6995,LEN(B6995)-FIND("@",B6995)),""))</f>
        <v/>
      </c>
      <c r="G6995">
        <f>IF(D6995="KEEP",COUNTIF($D$2:D6995,"KEEP"),"")</f>
        <v/>
      </c>
      <c r="H6995">
        <f>IF(D6995="REMOVE",COUNTIF($D$2:D6995,"REMOVE"),"")</f>
        <v/>
      </c>
      <c r="I6995">
        <f>IF(E6995="Gmail",COUNTIF($E$2:E6995,"Gmail"),"")</f>
        <v/>
      </c>
      <c r="J6995">
        <f>IF(E6995="Outlook",COUNTIF($E$2:E6995,"Outlook"),"")</f>
        <v/>
      </c>
      <c r="K6995">
        <f>IF(E6995="Domain",COUNTIF($E$2:E6995,"Domain"),"")</f>
        <v/>
      </c>
    </row>
    <row r="6996">
      <c r="A6996" s="2" t="n"/>
      <c r="B6996">
        <f>LOWER(TRIM(A6996))</f>
        <v/>
      </c>
      <c r="C6996">
        <f>IF(B6996="","",IFERROR(INDEX('Bad Patterns'!$A$2:$A$120,MATCH(1,INDEX(--ISNUMBER(SEARCH('Bad Patterns'!$A$2:$A$120,B6996)),0),0)),""))</f>
        <v/>
      </c>
      <c r="D6996">
        <f>IF(B6996="","",IF(C6996&lt;&gt;"","REMOVE","KEEP"))</f>
        <v/>
      </c>
      <c r="E6996">
        <f>IF(D6996&lt;&gt;"KEEP","",IF(RIGHT(B6996,10)="@gmail.com","Gmail",IF(OR(RIGHT(B6996,12)="@outlook.com",RIGHT(B6996,12)="@hotmail.com",RIGHT(B6996,9)="@live.com"),"Outlook","Domain")))</f>
        <v/>
      </c>
      <c r="F6996">
        <f>IF(B6996="","",IFERROR(RIGHT(B6996,LEN(B6996)-FIND("@",B6996)),""))</f>
        <v/>
      </c>
      <c r="G6996">
        <f>IF(D6996="KEEP",COUNTIF($D$2:D6996,"KEEP"),"")</f>
        <v/>
      </c>
      <c r="H6996">
        <f>IF(D6996="REMOVE",COUNTIF($D$2:D6996,"REMOVE"),"")</f>
        <v/>
      </c>
      <c r="I6996">
        <f>IF(E6996="Gmail",COUNTIF($E$2:E6996,"Gmail"),"")</f>
        <v/>
      </c>
      <c r="J6996">
        <f>IF(E6996="Outlook",COUNTIF($E$2:E6996,"Outlook"),"")</f>
        <v/>
      </c>
      <c r="K6996">
        <f>IF(E6996="Domain",COUNTIF($E$2:E6996,"Domain"),"")</f>
        <v/>
      </c>
    </row>
    <row r="6997">
      <c r="A6997" s="2" t="n"/>
      <c r="B6997">
        <f>LOWER(TRIM(A6997))</f>
        <v/>
      </c>
      <c r="C6997">
        <f>IF(B6997="","",IFERROR(INDEX('Bad Patterns'!$A$2:$A$120,MATCH(1,INDEX(--ISNUMBER(SEARCH('Bad Patterns'!$A$2:$A$120,B6997)),0),0)),""))</f>
        <v/>
      </c>
      <c r="D6997">
        <f>IF(B6997="","",IF(C6997&lt;&gt;"","REMOVE","KEEP"))</f>
        <v/>
      </c>
      <c r="E6997">
        <f>IF(D6997&lt;&gt;"KEEP","",IF(RIGHT(B6997,10)="@gmail.com","Gmail",IF(OR(RIGHT(B6997,12)="@outlook.com",RIGHT(B6997,12)="@hotmail.com",RIGHT(B6997,9)="@live.com"),"Outlook","Domain")))</f>
        <v/>
      </c>
      <c r="F6997">
        <f>IF(B6997="","",IFERROR(RIGHT(B6997,LEN(B6997)-FIND("@",B6997)),""))</f>
        <v/>
      </c>
      <c r="G6997">
        <f>IF(D6997="KEEP",COUNTIF($D$2:D6997,"KEEP"),"")</f>
        <v/>
      </c>
      <c r="H6997">
        <f>IF(D6997="REMOVE",COUNTIF($D$2:D6997,"REMOVE"),"")</f>
        <v/>
      </c>
      <c r="I6997">
        <f>IF(E6997="Gmail",COUNTIF($E$2:E6997,"Gmail"),"")</f>
        <v/>
      </c>
      <c r="J6997">
        <f>IF(E6997="Outlook",COUNTIF($E$2:E6997,"Outlook"),"")</f>
        <v/>
      </c>
      <c r="K6997">
        <f>IF(E6997="Domain",COUNTIF($E$2:E6997,"Domain"),"")</f>
        <v/>
      </c>
    </row>
    <row r="6998">
      <c r="A6998" s="2" t="n"/>
      <c r="B6998">
        <f>LOWER(TRIM(A6998))</f>
        <v/>
      </c>
      <c r="C6998">
        <f>IF(B6998="","",IFERROR(INDEX('Bad Patterns'!$A$2:$A$120,MATCH(1,INDEX(--ISNUMBER(SEARCH('Bad Patterns'!$A$2:$A$120,B6998)),0),0)),""))</f>
        <v/>
      </c>
      <c r="D6998">
        <f>IF(B6998="","",IF(C6998&lt;&gt;"","REMOVE","KEEP"))</f>
        <v/>
      </c>
      <c r="E6998">
        <f>IF(D6998&lt;&gt;"KEEP","",IF(RIGHT(B6998,10)="@gmail.com","Gmail",IF(OR(RIGHT(B6998,12)="@outlook.com",RIGHT(B6998,12)="@hotmail.com",RIGHT(B6998,9)="@live.com"),"Outlook","Domain")))</f>
        <v/>
      </c>
      <c r="F6998">
        <f>IF(B6998="","",IFERROR(RIGHT(B6998,LEN(B6998)-FIND("@",B6998)),""))</f>
        <v/>
      </c>
      <c r="G6998">
        <f>IF(D6998="KEEP",COUNTIF($D$2:D6998,"KEEP"),"")</f>
        <v/>
      </c>
      <c r="H6998">
        <f>IF(D6998="REMOVE",COUNTIF($D$2:D6998,"REMOVE"),"")</f>
        <v/>
      </c>
      <c r="I6998">
        <f>IF(E6998="Gmail",COUNTIF($E$2:E6998,"Gmail"),"")</f>
        <v/>
      </c>
      <c r="J6998">
        <f>IF(E6998="Outlook",COUNTIF($E$2:E6998,"Outlook"),"")</f>
        <v/>
      </c>
      <c r="K6998">
        <f>IF(E6998="Domain",COUNTIF($E$2:E6998,"Domain"),"")</f>
        <v/>
      </c>
    </row>
    <row r="6999">
      <c r="A6999" s="2" t="n"/>
      <c r="B6999">
        <f>LOWER(TRIM(A6999))</f>
        <v/>
      </c>
      <c r="C6999">
        <f>IF(B6999="","",IFERROR(INDEX('Bad Patterns'!$A$2:$A$120,MATCH(1,INDEX(--ISNUMBER(SEARCH('Bad Patterns'!$A$2:$A$120,B6999)),0),0)),""))</f>
        <v/>
      </c>
      <c r="D6999">
        <f>IF(B6999="","",IF(C6999&lt;&gt;"","REMOVE","KEEP"))</f>
        <v/>
      </c>
      <c r="E6999">
        <f>IF(D6999&lt;&gt;"KEEP","",IF(RIGHT(B6999,10)="@gmail.com","Gmail",IF(OR(RIGHT(B6999,12)="@outlook.com",RIGHT(B6999,12)="@hotmail.com",RIGHT(B6999,9)="@live.com"),"Outlook","Domain")))</f>
        <v/>
      </c>
      <c r="F6999">
        <f>IF(B6999="","",IFERROR(RIGHT(B6999,LEN(B6999)-FIND("@",B6999)),""))</f>
        <v/>
      </c>
      <c r="G6999">
        <f>IF(D6999="KEEP",COUNTIF($D$2:D6999,"KEEP"),"")</f>
        <v/>
      </c>
      <c r="H6999">
        <f>IF(D6999="REMOVE",COUNTIF($D$2:D6999,"REMOVE"),"")</f>
        <v/>
      </c>
      <c r="I6999">
        <f>IF(E6999="Gmail",COUNTIF($E$2:E6999,"Gmail"),"")</f>
        <v/>
      </c>
      <c r="J6999">
        <f>IF(E6999="Outlook",COUNTIF($E$2:E6999,"Outlook"),"")</f>
        <v/>
      </c>
      <c r="K6999">
        <f>IF(E6999="Domain",COUNTIF($E$2:E6999,"Domain"),"")</f>
        <v/>
      </c>
    </row>
    <row r="7000">
      <c r="A7000" s="2" t="n"/>
      <c r="B7000">
        <f>LOWER(TRIM(A7000))</f>
        <v/>
      </c>
      <c r="C7000">
        <f>IF(B7000="","",IFERROR(INDEX('Bad Patterns'!$A$2:$A$120,MATCH(1,INDEX(--ISNUMBER(SEARCH('Bad Patterns'!$A$2:$A$120,B7000)),0),0)),""))</f>
        <v/>
      </c>
      <c r="D7000">
        <f>IF(B7000="","",IF(C7000&lt;&gt;"","REMOVE","KEEP"))</f>
        <v/>
      </c>
      <c r="E7000">
        <f>IF(D7000&lt;&gt;"KEEP","",IF(RIGHT(B7000,10)="@gmail.com","Gmail",IF(OR(RIGHT(B7000,12)="@outlook.com",RIGHT(B7000,12)="@hotmail.com",RIGHT(B7000,9)="@live.com"),"Outlook","Domain")))</f>
        <v/>
      </c>
      <c r="F7000">
        <f>IF(B7000="","",IFERROR(RIGHT(B7000,LEN(B7000)-FIND("@",B7000)),""))</f>
        <v/>
      </c>
      <c r="G7000">
        <f>IF(D7000="KEEP",COUNTIF($D$2:D7000,"KEEP"),"")</f>
        <v/>
      </c>
      <c r="H7000">
        <f>IF(D7000="REMOVE",COUNTIF($D$2:D7000,"REMOVE"),"")</f>
        <v/>
      </c>
      <c r="I7000">
        <f>IF(E7000="Gmail",COUNTIF($E$2:E7000,"Gmail"),"")</f>
        <v/>
      </c>
      <c r="J7000">
        <f>IF(E7000="Outlook",COUNTIF($E$2:E7000,"Outlook"),"")</f>
        <v/>
      </c>
      <c r="K7000">
        <f>IF(E7000="Domain",COUNTIF($E$2:E7000,"Domain"),"")</f>
        <v/>
      </c>
    </row>
    <row r="7001">
      <c r="A7001" s="2" t="n"/>
      <c r="B7001">
        <f>LOWER(TRIM(A7001))</f>
        <v/>
      </c>
      <c r="C7001">
        <f>IF(B7001="","",IFERROR(INDEX('Bad Patterns'!$A$2:$A$120,MATCH(1,INDEX(--ISNUMBER(SEARCH('Bad Patterns'!$A$2:$A$120,B7001)),0),0)),""))</f>
        <v/>
      </c>
      <c r="D7001">
        <f>IF(B7001="","",IF(C7001&lt;&gt;"","REMOVE","KEEP"))</f>
        <v/>
      </c>
      <c r="E7001">
        <f>IF(D7001&lt;&gt;"KEEP","",IF(RIGHT(B7001,10)="@gmail.com","Gmail",IF(OR(RIGHT(B7001,12)="@outlook.com",RIGHT(B7001,12)="@hotmail.com",RIGHT(B7001,9)="@live.com"),"Outlook","Domain")))</f>
        <v/>
      </c>
      <c r="F7001">
        <f>IF(B7001="","",IFERROR(RIGHT(B7001,LEN(B7001)-FIND("@",B7001)),""))</f>
        <v/>
      </c>
      <c r="G7001">
        <f>IF(D7001="KEEP",COUNTIF($D$2:D7001,"KEEP"),"")</f>
        <v/>
      </c>
      <c r="H7001">
        <f>IF(D7001="REMOVE",COUNTIF($D$2:D7001,"REMOVE"),"")</f>
        <v/>
      </c>
      <c r="I7001">
        <f>IF(E7001="Gmail",COUNTIF($E$2:E7001,"Gmail"),"")</f>
        <v/>
      </c>
      <c r="J7001">
        <f>IF(E7001="Outlook",COUNTIF($E$2:E7001,"Outlook"),"")</f>
        <v/>
      </c>
      <c r="K7001">
        <f>IF(E7001="Domain",COUNTIF($E$2:E7001,"Domain"),"")</f>
        <v/>
      </c>
    </row>
    <row r="7002">
      <c r="A7002" s="2" t="n"/>
      <c r="B7002">
        <f>LOWER(TRIM(A7002))</f>
        <v/>
      </c>
      <c r="C7002">
        <f>IF(B7002="","",IFERROR(INDEX('Bad Patterns'!$A$2:$A$120,MATCH(1,INDEX(--ISNUMBER(SEARCH('Bad Patterns'!$A$2:$A$120,B7002)),0),0)),""))</f>
        <v/>
      </c>
      <c r="D7002">
        <f>IF(B7002="","",IF(C7002&lt;&gt;"","REMOVE","KEEP"))</f>
        <v/>
      </c>
      <c r="E7002">
        <f>IF(D7002&lt;&gt;"KEEP","",IF(RIGHT(B7002,10)="@gmail.com","Gmail",IF(OR(RIGHT(B7002,12)="@outlook.com",RIGHT(B7002,12)="@hotmail.com",RIGHT(B7002,9)="@live.com"),"Outlook","Domain")))</f>
        <v/>
      </c>
      <c r="F7002">
        <f>IF(B7002="","",IFERROR(RIGHT(B7002,LEN(B7002)-FIND("@",B7002)),""))</f>
        <v/>
      </c>
      <c r="G7002">
        <f>IF(D7002="KEEP",COUNTIF($D$2:D7002,"KEEP"),"")</f>
        <v/>
      </c>
      <c r="H7002">
        <f>IF(D7002="REMOVE",COUNTIF($D$2:D7002,"REMOVE"),"")</f>
        <v/>
      </c>
      <c r="I7002">
        <f>IF(E7002="Gmail",COUNTIF($E$2:E7002,"Gmail"),"")</f>
        <v/>
      </c>
      <c r="J7002">
        <f>IF(E7002="Outlook",COUNTIF($E$2:E7002,"Outlook"),"")</f>
        <v/>
      </c>
      <c r="K7002">
        <f>IF(E7002="Domain",COUNTIF($E$2:E7002,"Domain"),"")</f>
        <v/>
      </c>
    </row>
    <row r="7003">
      <c r="A7003" s="2" t="n"/>
      <c r="B7003">
        <f>LOWER(TRIM(A7003))</f>
        <v/>
      </c>
      <c r="C7003">
        <f>IF(B7003="","",IFERROR(INDEX('Bad Patterns'!$A$2:$A$120,MATCH(1,INDEX(--ISNUMBER(SEARCH('Bad Patterns'!$A$2:$A$120,B7003)),0),0)),""))</f>
        <v/>
      </c>
      <c r="D7003">
        <f>IF(B7003="","",IF(C7003&lt;&gt;"","REMOVE","KEEP"))</f>
        <v/>
      </c>
      <c r="E7003">
        <f>IF(D7003&lt;&gt;"KEEP","",IF(RIGHT(B7003,10)="@gmail.com","Gmail",IF(OR(RIGHT(B7003,12)="@outlook.com",RIGHT(B7003,12)="@hotmail.com",RIGHT(B7003,9)="@live.com"),"Outlook","Domain")))</f>
        <v/>
      </c>
      <c r="F7003">
        <f>IF(B7003="","",IFERROR(RIGHT(B7003,LEN(B7003)-FIND("@",B7003)),""))</f>
        <v/>
      </c>
      <c r="G7003">
        <f>IF(D7003="KEEP",COUNTIF($D$2:D7003,"KEEP"),"")</f>
        <v/>
      </c>
      <c r="H7003">
        <f>IF(D7003="REMOVE",COUNTIF($D$2:D7003,"REMOVE"),"")</f>
        <v/>
      </c>
      <c r="I7003">
        <f>IF(E7003="Gmail",COUNTIF($E$2:E7003,"Gmail"),"")</f>
        <v/>
      </c>
      <c r="J7003">
        <f>IF(E7003="Outlook",COUNTIF($E$2:E7003,"Outlook"),"")</f>
        <v/>
      </c>
      <c r="K7003">
        <f>IF(E7003="Domain",COUNTIF($E$2:E7003,"Domain"),"")</f>
        <v/>
      </c>
    </row>
    <row r="7004">
      <c r="A7004" s="2" t="n"/>
      <c r="B7004">
        <f>LOWER(TRIM(A7004))</f>
        <v/>
      </c>
      <c r="C7004">
        <f>IF(B7004="","",IFERROR(INDEX('Bad Patterns'!$A$2:$A$120,MATCH(1,INDEX(--ISNUMBER(SEARCH('Bad Patterns'!$A$2:$A$120,B7004)),0),0)),""))</f>
        <v/>
      </c>
      <c r="D7004">
        <f>IF(B7004="","",IF(C7004&lt;&gt;"","REMOVE","KEEP"))</f>
        <v/>
      </c>
      <c r="E7004">
        <f>IF(D7004&lt;&gt;"KEEP","",IF(RIGHT(B7004,10)="@gmail.com","Gmail",IF(OR(RIGHT(B7004,12)="@outlook.com",RIGHT(B7004,12)="@hotmail.com",RIGHT(B7004,9)="@live.com"),"Outlook","Domain")))</f>
        <v/>
      </c>
      <c r="F7004">
        <f>IF(B7004="","",IFERROR(RIGHT(B7004,LEN(B7004)-FIND("@",B7004)),""))</f>
        <v/>
      </c>
      <c r="G7004">
        <f>IF(D7004="KEEP",COUNTIF($D$2:D7004,"KEEP"),"")</f>
        <v/>
      </c>
      <c r="H7004">
        <f>IF(D7004="REMOVE",COUNTIF($D$2:D7004,"REMOVE"),"")</f>
        <v/>
      </c>
      <c r="I7004">
        <f>IF(E7004="Gmail",COUNTIF($E$2:E7004,"Gmail"),"")</f>
        <v/>
      </c>
      <c r="J7004">
        <f>IF(E7004="Outlook",COUNTIF($E$2:E7004,"Outlook"),"")</f>
        <v/>
      </c>
      <c r="K7004">
        <f>IF(E7004="Domain",COUNTIF($E$2:E7004,"Domain"),"")</f>
        <v/>
      </c>
    </row>
    <row r="7005">
      <c r="A7005" s="2" t="n"/>
      <c r="B7005">
        <f>LOWER(TRIM(A7005))</f>
        <v/>
      </c>
      <c r="C7005">
        <f>IF(B7005="","",IFERROR(INDEX('Bad Patterns'!$A$2:$A$120,MATCH(1,INDEX(--ISNUMBER(SEARCH('Bad Patterns'!$A$2:$A$120,B7005)),0),0)),""))</f>
        <v/>
      </c>
      <c r="D7005">
        <f>IF(B7005="","",IF(C7005&lt;&gt;"","REMOVE","KEEP"))</f>
        <v/>
      </c>
      <c r="E7005">
        <f>IF(D7005&lt;&gt;"KEEP","",IF(RIGHT(B7005,10)="@gmail.com","Gmail",IF(OR(RIGHT(B7005,12)="@outlook.com",RIGHT(B7005,12)="@hotmail.com",RIGHT(B7005,9)="@live.com"),"Outlook","Domain")))</f>
        <v/>
      </c>
      <c r="F7005">
        <f>IF(B7005="","",IFERROR(RIGHT(B7005,LEN(B7005)-FIND("@",B7005)),""))</f>
        <v/>
      </c>
      <c r="G7005">
        <f>IF(D7005="KEEP",COUNTIF($D$2:D7005,"KEEP"),"")</f>
        <v/>
      </c>
      <c r="H7005">
        <f>IF(D7005="REMOVE",COUNTIF($D$2:D7005,"REMOVE"),"")</f>
        <v/>
      </c>
      <c r="I7005">
        <f>IF(E7005="Gmail",COUNTIF($E$2:E7005,"Gmail"),"")</f>
        <v/>
      </c>
      <c r="J7005">
        <f>IF(E7005="Outlook",COUNTIF($E$2:E7005,"Outlook"),"")</f>
        <v/>
      </c>
      <c r="K7005">
        <f>IF(E7005="Domain",COUNTIF($E$2:E7005,"Domain"),"")</f>
        <v/>
      </c>
    </row>
    <row r="7006">
      <c r="A7006" s="2" t="n"/>
      <c r="B7006">
        <f>LOWER(TRIM(A7006))</f>
        <v/>
      </c>
      <c r="C7006">
        <f>IF(B7006="","",IFERROR(INDEX('Bad Patterns'!$A$2:$A$120,MATCH(1,INDEX(--ISNUMBER(SEARCH('Bad Patterns'!$A$2:$A$120,B7006)),0),0)),""))</f>
        <v/>
      </c>
      <c r="D7006">
        <f>IF(B7006="","",IF(C7006&lt;&gt;"","REMOVE","KEEP"))</f>
        <v/>
      </c>
      <c r="E7006">
        <f>IF(D7006&lt;&gt;"KEEP","",IF(RIGHT(B7006,10)="@gmail.com","Gmail",IF(OR(RIGHT(B7006,12)="@outlook.com",RIGHT(B7006,12)="@hotmail.com",RIGHT(B7006,9)="@live.com"),"Outlook","Domain")))</f>
        <v/>
      </c>
      <c r="F7006">
        <f>IF(B7006="","",IFERROR(RIGHT(B7006,LEN(B7006)-FIND("@",B7006)),""))</f>
        <v/>
      </c>
      <c r="G7006">
        <f>IF(D7006="KEEP",COUNTIF($D$2:D7006,"KEEP"),"")</f>
        <v/>
      </c>
      <c r="H7006">
        <f>IF(D7006="REMOVE",COUNTIF($D$2:D7006,"REMOVE"),"")</f>
        <v/>
      </c>
      <c r="I7006">
        <f>IF(E7006="Gmail",COUNTIF($E$2:E7006,"Gmail"),"")</f>
        <v/>
      </c>
      <c r="J7006">
        <f>IF(E7006="Outlook",COUNTIF($E$2:E7006,"Outlook"),"")</f>
        <v/>
      </c>
      <c r="K7006">
        <f>IF(E7006="Domain",COUNTIF($E$2:E7006,"Domain"),"")</f>
        <v/>
      </c>
    </row>
    <row r="7007">
      <c r="A7007" s="2" t="n"/>
      <c r="B7007">
        <f>LOWER(TRIM(A7007))</f>
        <v/>
      </c>
      <c r="C7007">
        <f>IF(B7007="","",IFERROR(INDEX('Bad Patterns'!$A$2:$A$120,MATCH(1,INDEX(--ISNUMBER(SEARCH('Bad Patterns'!$A$2:$A$120,B7007)),0),0)),""))</f>
        <v/>
      </c>
      <c r="D7007">
        <f>IF(B7007="","",IF(C7007&lt;&gt;"","REMOVE","KEEP"))</f>
        <v/>
      </c>
      <c r="E7007">
        <f>IF(D7007&lt;&gt;"KEEP","",IF(RIGHT(B7007,10)="@gmail.com","Gmail",IF(OR(RIGHT(B7007,12)="@outlook.com",RIGHT(B7007,12)="@hotmail.com",RIGHT(B7007,9)="@live.com"),"Outlook","Domain")))</f>
        <v/>
      </c>
      <c r="F7007">
        <f>IF(B7007="","",IFERROR(RIGHT(B7007,LEN(B7007)-FIND("@",B7007)),""))</f>
        <v/>
      </c>
      <c r="G7007">
        <f>IF(D7007="KEEP",COUNTIF($D$2:D7007,"KEEP"),"")</f>
        <v/>
      </c>
      <c r="H7007">
        <f>IF(D7007="REMOVE",COUNTIF($D$2:D7007,"REMOVE"),"")</f>
        <v/>
      </c>
      <c r="I7007">
        <f>IF(E7007="Gmail",COUNTIF($E$2:E7007,"Gmail"),"")</f>
        <v/>
      </c>
      <c r="J7007">
        <f>IF(E7007="Outlook",COUNTIF($E$2:E7007,"Outlook"),"")</f>
        <v/>
      </c>
      <c r="K7007">
        <f>IF(E7007="Domain",COUNTIF($E$2:E7007,"Domain"),"")</f>
        <v/>
      </c>
    </row>
    <row r="7008">
      <c r="A7008" s="2" t="n"/>
      <c r="B7008">
        <f>LOWER(TRIM(A7008))</f>
        <v/>
      </c>
      <c r="C7008">
        <f>IF(B7008="","",IFERROR(INDEX('Bad Patterns'!$A$2:$A$120,MATCH(1,INDEX(--ISNUMBER(SEARCH('Bad Patterns'!$A$2:$A$120,B7008)),0),0)),""))</f>
        <v/>
      </c>
      <c r="D7008">
        <f>IF(B7008="","",IF(C7008&lt;&gt;"","REMOVE","KEEP"))</f>
        <v/>
      </c>
      <c r="E7008">
        <f>IF(D7008&lt;&gt;"KEEP","",IF(RIGHT(B7008,10)="@gmail.com","Gmail",IF(OR(RIGHT(B7008,12)="@outlook.com",RIGHT(B7008,12)="@hotmail.com",RIGHT(B7008,9)="@live.com"),"Outlook","Domain")))</f>
        <v/>
      </c>
      <c r="F7008">
        <f>IF(B7008="","",IFERROR(RIGHT(B7008,LEN(B7008)-FIND("@",B7008)),""))</f>
        <v/>
      </c>
      <c r="G7008">
        <f>IF(D7008="KEEP",COUNTIF($D$2:D7008,"KEEP"),"")</f>
        <v/>
      </c>
      <c r="H7008">
        <f>IF(D7008="REMOVE",COUNTIF($D$2:D7008,"REMOVE"),"")</f>
        <v/>
      </c>
      <c r="I7008">
        <f>IF(E7008="Gmail",COUNTIF($E$2:E7008,"Gmail"),"")</f>
        <v/>
      </c>
      <c r="J7008">
        <f>IF(E7008="Outlook",COUNTIF($E$2:E7008,"Outlook"),"")</f>
        <v/>
      </c>
      <c r="K7008">
        <f>IF(E7008="Domain",COUNTIF($E$2:E7008,"Domain"),"")</f>
        <v/>
      </c>
    </row>
    <row r="7009">
      <c r="A7009" s="2" t="n"/>
      <c r="B7009">
        <f>LOWER(TRIM(A7009))</f>
        <v/>
      </c>
      <c r="C7009">
        <f>IF(B7009="","",IFERROR(INDEX('Bad Patterns'!$A$2:$A$120,MATCH(1,INDEX(--ISNUMBER(SEARCH('Bad Patterns'!$A$2:$A$120,B7009)),0),0)),""))</f>
        <v/>
      </c>
      <c r="D7009">
        <f>IF(B7009="","",IF(C7009&lt;&gt;"","REMOVE","KEEP"))</f>
        <v/>
      </c>
      <c r="E7009">
        <f>IF(D7009&lt;&gt;"KEEP","",IF(RIGHT(B7009,10)="@gmail.com","Gmail",IF(OR(RIGHT(B7009,12)="@outlook.com",RIGHT(B7009,12)="@hotmail.com",RIGHT(B7009,9)="@live.com"),"Outlook","Domain")))</f>
        <v/>
      </c>
      <c r="F7009">
        <f>IF(B7009="","",IFERROR(RIGHT(B7009,LEN(B7009)-FIND("@",B7009)),""))</f>
        <v/>
      </c>
      <c r="G7009">
        <f>IF(D7009="KEEP",COUNTIF($D$2:D7009,"KEEP"),"")</f>
        <v/>
      </c>
      <c r="H7009">
        <f>IF(D7009="REMOVE",COUNTIF($D$2:D7009,"REMOVE"),"")</f>
        <v/>
      </c>
      <c r="I7009">
        <f>IF(E7009="Gmail",COUNTIF($E$2:E7009,"Gmail"),"")</f>
        <v/>
      </c>
      <c r="J7009">
        <f>IF(E7009="Outlook",COUNTIF($E$2:E7009,"Outlook"),"")</f>
        <v/>
      </c>
      <c r="K7009">
        <f>IF(E7009="Domain",COUNTIF($E$2:E7009,"Domain"),"")</f>
        <v/>
      </c>
    </row>
    <row r="7010">
      <c r="A7010" s="2" t="n"/>
      <c r="B7010">
        <f>LOWER(TRIM(A7010))</f>
        <v/>
      </c>
      <c r="C7010">
        <f>IF(B7010="","",IFERROR(INDEX('Bad Patterns'!$A$2:$A$120,MATCH(1,INDEX(--ISNUMBER(SEARCH('Bad Patterns'!$A$2:$A$120,B7010)),0),0)),""))</f>
        <v/>
      </c>
      <c r="D7010">
        <f>IF(B7010="","",IF(C7010&lt;&gt;"","REMOVE","KEEP"))</f>
        <v/>
      </c>
      <c r="E7010">
        <f>IF(D7010&lt;&gt;"KEEP","",IF(RIGHT(B7010,10)="@gmail.com","Gmail",IF(OR(RIGHT(B7010,12)="@outlook.com",RIGHT(B7010,12)="@hotmail.com",RIGHT(B7010,9)="@live.com"),"Outlook","Domain")))</f>
        <v/>
      </c>
      <c r="F7010">
        <f>IF(B7010="","",IFERROR(RIGHT(B7010,LEN(B7010)-FIND("@",B7010)),""))</f>
        <v/>
      </c>
      <c r="G7010">
        <f>IF(D7010="KEEP",COUNTIF($D$2:D7010,"KEEP"),"")</f>
        <v/>
      </c>
      <c r="H7010">
        <f>IF(D7010="REMOVE",COUNTIF($D$2:D7010,"REMOVE"),"")</f>
        <v/>
      </c>
      <c r="I7010">
        <f>IF(E7010="Gmail",COUNTIF($E$2:E7010,"Gmail"),"")</f>
        <v/>
      </c>
      <c r="J7010">
        <f>IF(E7010="Outlook",COUNTIF($E$2:E7010,"Outlook"),"")</f>
        <v/>
      </c>
      <c r="K7010">
        <f>IF(E7010="Domain",COUNTIF($E$2:E7010,"Domain"),"")</f>
        <v/>
      </c>
    </row>
    <row r="7011">
      <c r="A7011" s="2" t="n"/>
      <c r="B7011">
        <f>LOWER(TRIM(A7011))</f>
        <v/>
      </c>
      <c r="C7011">
        <f>IF(B7011="","",IFERROR(INDEX('Bad Patterns'!$A$2:$A$120,MATCH(1,INDEX(--ISNUMBER(SEARCH('Bad Patterns'!$A$2:$A$120,B7011)),0),0)),""))</f>
        <v/>
      </c>
      <c r="D7011">
        <f>IF(B7011="","",IF(C7011&lt;&gt;"","REMOVE","KEEP"))</f>
        <v/>
      </c>
      <c r="E7011">
        <f>IF(D7011&lt;&gt;"KEEP","",IF(RIGHT(B7011,10)="@gmail.com","Gmail",IF(OR(RIGHT(B7011,12)="@outlook.com",RIGHT(B7011,12)="@hotmail.com",RIGHT(B7011,9)="@live.com"),"Outlook","Domain")))</f>
        <v/>
      </c>
      <c r="F7011">
        <f>IF(B7011="","",IFERROR(RIGHT(B7011,LEN(B7011)-FIND("@",B7011)),""))</f>
        <v/>
      </c>
      <c r="G7011">
        <f>IF(D7011="KEEP",COUNTIF($D$2:D7011,"KEEP"),"")</f>
        <v/>
      </c>
      <c r="H7011">
        <f>IF(D7011="REMOVE",COUNTIF($D$2:D7011,"REMOVE"),"")</f>
        <v/>
      </c>
      <c r="I7011">
        <f>IF(E7011="Gmail",COUNTIF($E$2:E7011,"Gmail"),"")</f>
        <v/>
      </c>
      <c r="J7011">
        <f>IF(E7011="Outlook",COUNTIF($E$2:E7011,"Outlook"),"")</f>
        <v/>
      </c>
      <c r="K7011">
        <f>IF(E7011="Domain",COUNTIF($E$2:E7011,"Domain"),"")</f>
        <v/>
      </c>
    </row>
    <row r="7012">
      <c r="A7012" s="2" t="n"/>
      <c r="B7012">
        <f>LOWER(TRIM(A7012))</f>
        <v/>
      </c>
      <c r="C7012">
        <f>IF(B7012="","",IFERROR(INDEX('Bad Patterns'!$A$2:$A$120,MATCH(1,INDEX(--ISNUMBER(SEARCH('Bad Patterns'!$A$2:$A$120,B7012)),0),0)),""))</f>
        <v/>
      </c>
      <c r="D7012">
        <f>IF(B7012="","",IF(C7012&lt;&gt;"","REMOVE","KEEP"))</f>
        <v/>
      </c>
      <c r="E7012">
        <f>IF(D7012&lt;&gt;"KEEP","",IF(RIGHT(B7012,10)="@gmail.com","Gmail",IF(OR(RIGHT(B7012,12)="@outlook.com",RIGHT(B7012,12)="@hotmail.com",RIGHT(B7012,9)="@live.com"),"Outlook","Domain")))</f>
        <v/>
      </c>
      <c r="F7012">
        <f>IF(B7012="","",IFERROR(RIGHT(B7012,LEN(B7012)-FIND("@",B7012)),""))</f>
        <v/>
      </c>
      <c r="G7012">
        <f>IF(D7012="KEEP",COUNTIF($D$2:D7012,"KEEP"),"")</f>
        <v/>
      </c>
      <c r="H7012">
        <f>IF(D7012="REMOVE",COUNTIF($D$2:D7012,"REMOVE"),"")</f>
        <v/>
      </c>
      <c r="I7012">
        <f>IF(E7012="Gmail",COUNTIF($E$2:E7012,"Gmail"),"")</f>
        <v/>
      </c>
      <c r="J7012">
        <f>IF(E7012="Outlook",COUNTIF($E$2:E7012,"Outlook"),"")</f>
        <v/>
      </c>
      <c r="K7012">
        <f>IF(E7012="Domain",COUNTIF($E$2:E7012,"Domain"),"")</f>
        <v/>
      </c>
    </row>
    <row r="7013">
      <c r="A7013" s="2" t="n"/>
      <c r="B7013">
        <f>LOWER(TRIM(A7013))</f>
        <v/>
      </c>
      <c r="C7013">
        <f>IF(B7013="","",IFERROR(INDEX('Bad Patterns'!$A$2:$A$120,MATCH(1,INDEX(--ISNUMBER(SEARCH('Bad Patterns'!$A$2:$A$120,B7013)),0),0)),""))</f>
        <v/>
      </c>
      <c r="D7013">
        <f>IF(B7013="","",IF(C7013&lt;&gt;"","REMOVE","KEEP"))</f>
        <v/>
      </c>
      <c r="E7013">
        <f>IF(D7013&lt;&gt;"KEEP","",IF(RIGHT(B7013,10)="@gmail.com","Gmail",IF(OR(RIGHT(B7013,12)="@outlook.com",RIGHT(B7013,12)="@hotmail.com",RIGHT(B7013,9)="@live.com"),"Outlook","Domain")))</f>
        <v/>
      </c>
      <c r="F7013">
        <f>IF(B7013="","",IFERROR(RIGHT(B7013,LEN(B7013)-FIND("@",B7013)),""))</f>
        <v/>
      </c>
      <c r="G7013">
        <f>IF(D7013="KEEP",COUNTIF($D$2:D7013,"KEEP"),"")</f>
        <v/>
      </c>
      <c r="H7013">
        <f>IF(D7013="REMOVE",COUNTIF($D$2:D7013,"REMOVE"),"")</f>
        <v/>
      </c>
      <c r="I7013">
        <f>IF(E7013="Gmail",COUNTIF($E$2:E7013,"Gmail"),"")</f>
        <v/>
      </c>
      <c r="J7013">
        <f>IF(E7013="Outlook",COUNTIF($E$2:E7013,"Outlook"),"")</f>
        <v/>
      </c>
      <c r="K7013">
        <f>IF(E7013="Domain",COUNTIF($E$2:E7013,"Domain"),"")</f>
        <v/>
      </c>
    </row>
    <row r="7014">
      <c r="A7014" s="2" t="n"/>
      <c r="B7014">
        <f>LOWER(TRIM(A7014))</f>
        <v/>
      </c>
      <c r="C7014">
        <f>IF(B7014="","",IFERROR(INDEX('Bad Patterns'!$A$2:$A$120,MATCH(1,INDEX(--ISNUMBER(SEARCH('Bad Patterns'!$A$2:$A$120,B7014)),0),0)),""))</f>
        <v/>
      </c>
      <c r="D7014">
        <f>IF(B7014="","",IF(C7014&lt;&gt;"","REMOVE","KEEP"))</f>
        <v/>
      </c>
      <c r="E7014">
        <f>IF(D7014&lt;&gt;"KEEP","",IF(RIGHT(B7014,10)="@gmail.com","Gmail",IF(OR(RIGHT(B7014,12)="@outlook.com",RIGHT(B7014,12)="@hotmail.com",RIGHT(B7014,9)="@live.com"),"Outlook","Domain")))</f>
        <v/>
      </c>
      <c r="F7014">
        <f>IF(B7014="","",IFERROR(RIGHT(B7014,LEN(B7014)-FIND("@",B7014)),""))</f>
        <v/>
      </c>
      <c r="G7014">
        <f>IF(D7014="KEEP",COUNTIF($D$2:D7014,"KEEP"),"")</f>
        <v/>
      </c>
      <c r="H7014">
        <f>IF(D7014="REMOVE",COUNTIF($D$2:D7014,"REMOVE"),"")</f>
        <v/>
      </c>
      <c r="I7014">
        <f>IF(E7014="Gmail",COUNTIF($E$2:E7014,"Gmail"),"")</f>
        <v/>
      </c>
      <c r="J7014">
        <f>IF(E7014="Outlook",COUNTIF($E$2:E7014,"Outlook"),"")</f>
        <v/>
      </c>
      <c r="K7014">
        <f>IF(E7014="Domain",COUNTIF($E$2:E7014,"Domain"),"")</f>
        <v/>
      </c>
    </row>
    <row r="7015">
      <c r="A7015" s="2" t="n"/>
      <c r="B7015">
        <f>LOWER(TRIM(A7015))</f>
        <v/>
      </c>
      <c r="C7015">
        <f>IF(B7015="","",IFERROR(INDEX('Bad Patterns'!$A$2:$A$120,MATCH(1,INDEX(--ISNUMBER(SEARCH('Bad Patterns'!$A$2:$A$120,B7015)),0),0)),""))</f>
        <v/>
      </c>
      <c r="D7015">
        <f>IF(B7015="","",IF(C7015&lt;&gt;"","REMOVE","KEEP"))</f>
        <v/>
      </c>
      <c r="E7015">
        <f>IF(D7015&lt;&gt;"KEEP","",IF(RIGHT(B7015,10)="@gmail.com","Gmail",IF(OR(RIGHT(B7015,12)="@outlook.com",RIGHT(B7015,12)="@hotmail.com",RIGHT(B7015,9)="@live.com"),"Outlook","Domain")))</f>
        <v/>
      </c>
      <c r="F7015">
        <f>IF(B7015="","",IFERROR(RIGHT(B7015,LEN(B7015)-FIND("@",B7015)),""))</f>
        <v/>
      </c>
      <c r="G7015">
        <f>IF(D7015="KEEP",COUNTIF($D$2:D7015,"KEEP"),"")</f>
        <v/>
      </c>
      <c r="H7015">
        <f>IF(D7015="REMOVE",COUNTIF($D$2:D7015,"REMOVE"),"")</f>
        <v/>
      </c>
      <c r="I7015">
        <f>IF(E7015="Gmail",COUNTIF($E$2:E7015,"Gmail"),"")</f>
        <v/>
      </c>
      <c r="J7015">
        <f>IF(E7015="Outlook",COUNTIF($E$2:E7015,"Outlook"),"")</f>
        <v/>
      </c>
      <c r="K7015">
        <f>IF(E7015="Domain",COUNTIF($E$2:E7015,"Domain"),"")</f>
        <v/>
      </c>
    </row>
    <row r="7016">
      <c r="A7016" s="2" t="n"/>
      <c r="B7016">
        <f>LOWER(TRIM(A7016))</f>
        <v/>
      </c>
      <c r="C7016">
        <f>IF(B7016="","",IFERROR(INDEX('Bad Patterns'!$A$2:$A$120,MATCH(1,INDEX(--ISNUMBER(SEARCH('Bad Patterns'!$A$2:$A$120,B7016)),0),0)),""))</f>
        <v/>
      </c>
      <c r="D7016">
        <f>IF(B7016="","",IF(C7016&lt;&gt;"","REMOVE","KEEP"))</f>
        <v/>
      </c>
      <c r="E7016">
        <f>IF(D7016&lt;&gt;"KEEP","",IF(RIGHT(B7016,10)="@gmail.com","Gmail",IF(OR(RIGHT(B7016,12)="@outlook.com",RIGHT(B7016,12)="@hotmail.com",RIGHT(B7016,9)="@live.com"),"Outlook","Domain")))</f>
        <v/>
      </c>
      <c r="F7016">
        <f>IF(B7016="","",IFERROR(RIGHT(B7016,LEN(B7016)-FIND("@",B7016)),""))</f>
        <v/>
      </c>
      <c r="G7016">
        <f>IF(D7016="KEEP",COUNTIF($D$2:D7016,"KEEP"),"")</f>
        <v/>
      </c>
      <c r="H7016">
        <f>IF(D7016="REMOVE",COUNTIF($D$2:D7016,"REMOVE"),"")</f>
        <v/>
      </c>
      <c r="I7016">
        <f>IF(E7016="Gmail",COUNTIF($E$2:E7016,"Gmail"),"")</f>
        <v/>
      </c>
      <c r="J7016">
        <f>IF(E7016="Outlook",COUNTIF($E$2:E7016,"Outlook"),"")</f>
        <v/>
      </c>
      <c r="K7016">
        <f>IF(E7016="Domain",COUNTIF($E$2:E7016,"Domain"),"")</f>
        <v/>
      </c>
    </row>
    <row r="7017">
      <c r="A7017" s="2" t="n"/>
      <c r="B7017">
        <f>LOWER(TRIM(A7017))</f>
        <v/>
      </c>
      <c r="C7017">
        <f>IF(B7017="","",IFERROR(INDEX('Bad Patterns'!$A$2:$A$120,MATCH(1,INDEX(--ISNUMBER(SEARCH('Bad Patterns'!$A$2:$A$120,B7017)),0),0)),""))</f>
        <v/>
      </c>
      <c r="D7017">
        <f>IF(B7017="","",IF(C7017&lt;&gt;"","REMOVE","KEEP"))</f>
        <v/>
      </c>
      <c r="E7017">
        <f>IF(D7017&lt;&gt;"KEEP","",IF(RIGHT(B7017,10)="@gmail.com","Gmail",IF(OR(RIGHT(B7017,12)="@outlook.com",RIGHT(B7017,12)="@hotmail.com",RIGHT(B7017,9)="@live.com"),"Outlook","Domain")))</f>
        <v/>
      </c>
      <c r="F7017">
        <f>IF(B7017="","",IFERROR(RIGHT(B7017,LEN(B7017)-FIND("@",B7017)),""))</f>
        <v/>
      </c>
      <c r="G7017">
        <f>IF(D7017="KEEP",COUNTIF($D$2:D7017,"KEEP"),"")</f>
        <v/>
      </c>
      <c r="H7017">
        <f>IF(D7017="REMOVE",COUNTIF($D$2:D7017,"REMOVE"),"")</f>
        <v/>
      </c>
      <c r="I7017">
        <f>IF(E7017="Gmail",COUNTIF($E$2:E7017,"Gmail"),"")</f>
        <v/>
      </c>
      <c r="J7017">
        <f>IF(E7017="Outlook",COUNTIF($E$2:E7017,"Outlook"),"")</f>
        <v/>
      </c>
      <c r="K7017">
        <f>IF(E7017="Domain",COUNTIF($E$2:E7017,"Domain"),"")</f>
        <v/>
      </c>
    </row>
    <row r="7018">
      <c r="A7018" s="2" t="n"/>
      <c r="B7018">
        <f>LOWER(TRIM(A7018))</f>
        <v/>
      </c>
      <c r="C7018">
        <f>IF(B7018="","",IFERROR(INDEX('Bad Patterns'!$A$2:$A$120,MATCH(1,INDEX(--ISNUMBER(SEARCH('Bad Patterns'!$A$2:$A$120,B7018)),0),0)),""))</f>
        <v/>
      </c>
      <c r="D7018">
        <f>IF(B7018="","",IF(C7018&lt;&gt;"","REMOVE","KEEP"))</f>
        <v/>
      </c>
      <c r="E7018">
        <f>IF(D7018&lt;&gt;"KEEP","",IF(RIGHT(B7018,10)="@gmail.com","Gmail",IF(OR(RIGHT(B7018,12)="@outlook.com",RIGHT(B7018,12)="@hotmail.com",RIGHT(B7018,9)="@live.com"),"Outlook","Domain")))</f>
        <v/>
      </c>
      <c r="F7018">
        <f>IF(B7018="","",IFERROR(RIGHT(B7018,LEN(B7018)-FIND("@",B7018)),""))</f>
        <v/>
      </c>
      <c r="G7018">
        <f>IF(D7018="KEEP",COUNTIF($D$2:D7018,"KEEP"),"")</f>
        <v/>
      </c>
      <c r="H7018">
        <f>IF(D7018="REMOVE",COUNTIF($D$2:D7018,"REMOVE"),"")</f>
        <v/>
      </c>
      <c r="I7018">
        <f>IF(E7018="Gmail",COUNTIF($E$2:E7018,"Gmail"),"")</f>
        <v/>
      </c>
      <c r="J7018">
        <f>IF(E7018="Outlook",COUNTIF($E$2:E7018,"Outlook"),"")</f>
        <v/>
      </c>
      <c r="K7018">
        <f>IF(E7018="Domain",COUNTIF($E$2:E7018,"Domain"),"")</f>
        <v/>
      </c>
    </row>
    <row r="7019">
      <c r="A7019" s="2" t="n"/>
      <c r="B7019">
        <f>LOWER(TRIM(A7019))</f>
        <v/>
      </c>
      <c r="C7019">
        <f>IF(B7019="","",IFERROR(INDEX('Bad Patterns'!$A$2:$A$120,MATCH(1,INDEX(--ISNUMBER(SEARCH('Bad Patterns'!$A$2:$A$120,B7019)),0),0)),""))</f>
        <v/>
      </c>
      <c r="D7019">
        <f>IF(B7019="","",IF(C7019&lt;&gt;"","REMOVE","KEEP"))</f>
        <v/>
      </c>
      <c r="E7019">
        <f>IF(D7019&lt;&gt;"KEEP","",IF(RIGHT(B7019,10)="@gmail.com","Gmail",IF(OR(RIGHT(B7019,12)="@outlook.com",RIGHT(B7019,12)="@hotmail.com",RIGHT(B7019,9)="@live.com"),"Outlook","Domain")))</f>
        <v/>
      </c>
      <c r="F7019">
        <f>IF(B7019="","",IFERROR(RIGHT(B7019,LEN(B7019)-FIND("@",B7019)),""))</f>
        <v/>
      </c>
      <c r="G7019">
        <f>IF(D7019="KEEP",COUNTIF($D$2:D7019,"KEEP"),"")</f>
        <v/>
      </c>
      <c r="H7019">
        <f>IF(D7019="REMOVE",COUNTIF($D$2:D7019,"REMOVE"),"")</f>
        <v/>
      </c>
      <c r="I7019">
        <f>IF(E7019="Gmail",COUNTIF($E$2:E7019,"Gmail"),"")</f>
        <v/>
      </c>
      <c r="J7019">
        <f>IF(E7019="Outlook",COUNTIF($E$2:E7019,"Outlook"),"")</f>
        <v/>
      </c>
      <c r="K7019">
        <f>IF(E7019="Domain",COUNTIF($E$2:E7019,"Domain"),"")</f>
        <v/>
      </c>
    </row>
    <row r="7020">
      <c r="A7020" s="2" t="n"/>
      <c r="B7020">
        <f>LOWER(TRIM(A7020))</f>
        <v/>
      </c>
      <c r="C7020">
        <f>IF(B7020="","",IFERROR(INDEX('Bad Patterns'!$A$2:$A$120,MATCH(1,INDEX(--ISNUMBER(SEARCH('Bad Patterns'!$A$2:$A$120,B7020)),0),0)),""))</f>
        <v/>
      </c>
      <c r="D7020">
        <f>IF(B7020="","",IF(C7020&lt;&gt;"","REMOVE","KEEP"))</f>
        <v/>
      </c>
      <c r="E7020">
        <f>IF(D7020&lt;&gt;"KEEP","",IF(RIGHT(B7020,10)="@gmail.com","Gmail",IF(OR(RIGHT(B7020,12)="@outlook.com",RIGHT(B7020,12)="@hotmail.com",RIGHT(B7020,9)="@live.com"),"Outlook","Domain")))</f>
        <v/>
      </c>
      <c r="F7020">
        <f>IF(B7020="","",IFERROR(RIGHT(B7020,LEN(B7020)-FIND("@",B7020)),""))</f>
        <v/>
      </c>
      <c r="G7020">
        <f>IF(D7020="KEEP",COUNTIF($D$2:D7020,"KEEP"),"")</f>
        <v/>
      </c>
      <c r="H7020">
        <f>IF(D7020="REMOVE",COUNTIF($D$2:D7020,"REMOVE"),"")</f>
        <v/>
      </c>
      <c r="I7020">
        <f>IF(E7020="Gmail",COUNTIF($E$2:E7020,"Gmail"),"")</f>
        <v/>
      </c>
      <c r="J7020">
        <f>IF(E7020="Outlook",COUNTIF($E$2:E7020,"Outlook"),"")</f>
        <v/>
      </c>
      <c r="K7020">
        <f>IF(E7020="Domain",COUNTIF($E$2:E7020,"Domain"),"")</f>
        <v/>
      </c>
    </row>
    <row r="7021">
      <c r="A7021" s="2" t="n"/>
      <c r="B7021">
        <f>LOWER(TRIM(A7021))</f>
        <v/>
      </c>
      <c r="C7021">
        <f>IF(B7021="","",IFERROR(INDEX('Bad Patterns'!$A$2:$A$120,MATCH(1,INDEX(--ISNUMBER(SEARCH('Bad Patterns'!$A$2:$A$120,B7021)),0),0)),""))</f>
        <v/>
      </c>
      <c r="D7021">
        <f>IF(B7021="","",IF(C7021&lt;&gt;"","REMOVE","KEEP"))</f>
        <v/>
      </c>
      <c r="E7021">
        <f>IF(D7021&lt;&gt;"KEEP","",IF(RIGHT(B7021,10)="@gmail.com","Gmail",IF(OR(RIGHT(B7021,12)="@outlook.com",RIGHT(B7021,12)="@hotmail.com",RIGHT(B7021,9)="@live.com"),"Outlook","Domain")))</f>
        <v/>
      </c>
      <c r="F7021">
        <f>IF(B7021="","",IFERROR(RIGHT(B7021,LEN(B7021)-FIND("@",B7021)),""))</f>
        <v/>
      </c>
      <c r="G7021">
        <f>IF(D7021="KEEP",COUNTIF($D$2:D7021,"KEEP"),"")</f>
        <v/>
      </c>
      <c r="H7021">
        <f>IF(D7021="REMOVE",COUNTIF($D$2:D7021,"REMOVE"),"")</f>
        <v/>
      </c>
      <c r="I7021">
        <f>IF(E7021="Gmail",COUNTIF($E$2:E7021,"Gmail"),"")</f>
        <v/>
      </c>
      <c r="J7021">
        <f>IF(E7021="Outlook",COUNTIF($E$2:E7021,"Outlook"),"")</f>
        <v/>
      </c>
      <c r="K7021">
        <f>IF(E7021="Domain",COUNTIF($E$2:E7021,"Domain"),"")</f>
        <v/>
      </c>
    </row>
    <row r="7022">
      <c r="A7022" s="2" t="n"/>
      <c r="B7022">
        <f>LOWER(TRIM(A7022))</f>
        <v/>
      </c>
      <c r="C7022">
        <f>IF(B7022="","",IFERROR(INDEX('Bad Patterns'!$A$2:$A$120,MATCH(1,INDEX(--ISNUMBER(SEARCH('Bad Patterns'!$A$2:$A$120,B7022)),0),0)),""))</f>
        <v/>
      </c>
      <c r="D7022">
        <f>IF(B7022="","",IF(C7022&lt;&gt;"","REMOVE","KEEP"))</f>
        <v/>
      </c>
      <c r="E7022">
        <f>IF(D7022&lt;&gt;"KEEP","",IF(RIGHT(B7022,10)="@gmail.com","Gmail",IF(OR(RIGHT(B7022,12)="@outlook.com",RIGHT(B7022,12)="@hotmail.com",RIGHT(B7022,9)="@live.com"),"Outlook","Domain")))</f>
        <v/>
      </c>
      <c r="F7022">
        <f>IF(B7022="","",IFERROR(RIGHT(B7022,LEN(B7022)-FIND("@",B7022)),""))</f>
        <v/>
      </c>
      <c r="G7022">
        <f>IF(D7022="KEEP",COUNTIF($D$2:D7022,"KEEP"),"")</f>
        <v/>
      </c>
      <c r="H7022">
        <f>IF(D7022="REMOVE",COUNTIF($D$2:D7022,"REMOVE"),"")</f>
        <v/>
      </c>
      <c r="I7022">
        <f>IF(E7022="Gmail",COUNTIF($E$2:E7022,"Gmail"),"")</f>
        <v/>
      </c>
      <c r="J7022">
        <f>IF(E7022="Outlook",COUNTIF($E$2:E7022,"Outlook"),"")</f>
        <v/>
      </c>
      <c r="K7022">
        <f>IF(E7022="Domain",COUNTIF($E$2:E7022,"Domain"),"")</f>
        <v/>
      </c>
    </row>
    <row r="7023">
      <c r="A7023" s="2" t="n"/>
      <c r="B7023">
        <f>LOWER(TRIM(A7023))</f>
        <v/>
      </c>
      <c r="C7023">
        <f>IF(B7023="","",IFERROR(INDEX('Bad Patterns'!$A$2:$A$120,MATCH(1,INDEX(--ISNUMBER(SEARCH('Bad Patterns'!$A$2:$A$120,B7023)),0),0)),""))</f>
        <v/>
      </c>
      <c r="D7023">
        <f>IF(B7023="","",IF(C7023&lt;&gt;"","REMOVE","KEEP"))</f>
        <v/>
      </c>
      <c r="E7023">
        <f>IF(D7023&lt;&gt;"KEEP","",IF(RIGHT(B7023,10)="@gmail.com","Gmail",IF(OR(RIGHT(B7023,12)="@outlook.com",RIGHT(B7023,12)="@hotmail.com",RIGHT(B7023,9)="@live.com"),"Outlook","Domain")))</f>
        <v/>
      </c>
      <c r="F7023">
        <f>IF(B7023="","",IFERROR(RIGHT(B7023,LEN(B7023)-FIND("@",B7023)),""))</f>
        <v/>
      </c>
      <c r="G7023">
        <f>IF(D7023="KEEP",COUNTIF($D$2:D7023,"KEEP"),"")</f>
        <v/>
      </c>
      <c r="H7023">
        <f>IF(D7023="REMOVE",COUNTIF($D$2:D7023,"REMOVE"),"")</f>
        <v/>
      </c>
      <c r="I7023">
        <f>IF(E7023="Gmail",COUNTIF($E$2:E7023,"Gmail"),"")</f>
        <v/>
      </c>
      <c r="J7023">
        <f>IF(E7023="Outlook",COUNTIF($E$2:E7023,"Outlook"),"")</f>
        <v/>
      </c>
      <c r="K7023">
        <f>IF(E7023="Domain",COUNTIF($E$2:E7023,"Domain"),"")</f>
        <v/>
      </c>
    </row>
    <row r="7024">
      <c r="A7024" s="2" t="n"/>
      <c r="B7024">
        <f>LOWER(TRIM(A7024))</f>
        <v/>
      </c>
      <c r="C7024">
        <f>IF(B7024="","",IFERROR(INDEX('Bad Patterns'!$A$2:$A$120,MATCH(1,INDEX(--ISNUMBER(SEARCH('Bad Patterns'!$A$2:$A$120,B7024)),0),0)),""))</f>
        <v/>
      </c>
      <c r="D7024">
        <f>IF(B7024="","",IF(C7024&lt;&gt;"","REMOVE","KEEP"))</f>
        <v/>
      </c>
      <c r="E7024">
        <f>IF(D7024&lt;&gt;"KEEP","",IF(RIGHT(B7024,10)="@gmail.com","Gmail",IF(OR(RIGHT(B7024,12)="@outlook.com",RIGHT(B7024,12)="@hotmail.com",RIGHT(B7024,9)="@live.com"),"Outlook","Domain")))</f>
        <v/>
      </c>
      <c r="F7024">
        <f>IF(B7024="","",IFERROR(RIGHT(B7024,LEN(B7024)-FIND("@",B7024)),""))</f>
        <v/>
      </c>
      <c r="G7024">
        <f>IF(D7024="KEEP",COUNTIF($D$2:D7024,"KEEP"),"")</f>
        <v/>
      </c>
      <c r="H7024">
        <f>IF(D7024="REMOVE",COUNTIF($D$2:D7024,"REMOVE"),"")</f>
        <v/>
      </c>
      <c r="I7024">
        <f>IF(E7024="Gmail",COUNTIF($E$2:E7024,"Gmail"),"")</f>
        <v/>
      </c>
      <c r="J7024">
        <f>IF(E7024="Outlook",COUNTIF($E$2:E7024,"Outlook"),"")</f>
        <v/>
      </c>
      <c r="K7024">
        <f>IF(E7024="Domain",COUNTIF($E$2:E7024,"Domain"),"")</f>
        <v/>
      </c>
    </row>
    <row r="7025">
      <c r="A7025" s="2" t="n"/>
      <c r="B7025">
        <f>LOWER(TRIM(A7025))</f>
        <v/>
      </c>
      <c r="C7025">
        <f>IF(B7025="","",IFERROR(INDEX('Bad Patterns'!$A$2:$A$120,MATCH(1,INDEX(--ISNUMBER(SEARCH('Bad Patterns'!$A$2:$A$120,B7025)),0),0)),""))</f>
        <v/>
      </c>
      <c r="D7025">
        <f>IF(B7025="","",IF(C7025&lt;&gt;"","REMOVE","KEEP"))</f>
        <v/>
      </c>
      <c r="E7025">
        <f>IF(D7025&lt;&gt;"KEEP","",IF(RIGHT(B7025,10)="@gmail.com","Gmail",IF(OR(RIGHT(B7025,12)="@outlook.com",RIGHT(B7025,12)="@hotmail.com",RIGHT(B7025,9)="@live.com"),"Outlook","Domain")))</f>
        <v/>
      </c>
      <c r="F7025">
        <f>IF(B7025="","",IFERROR(RIGHT(B7025,LEN(B7025)-FIND("@",B7025)),""))</f>
        <v/>
      </c>
      <c r="G7025">
        <f>IF(D7025="KEEP",COUNTIF($D$2:D7025,"KEEP"),"")</f>
        <v/>
      </c>
      <c r="H7025">
        <f>IF(D7025="REMOVE",COUNTIF($D$2:D7025,"REMOVE"),"")</f>
        <v/>
      </c>
      <c r="I7025">
        <f>IF(E7025="Gmail",COUNTIF($E$2:E7025,"Gmail"),"")</f>
        <v/>
      </c>
      <c r="J7025">
        <f>IF(E7025="Outlook",COUNTIF($E$2:E7025,"Outlook"),"")</f>
        <v/>
      </c>
      <c r="K7025">
        <f>IF(E7025="Domain",COUNTIF($E$2:E7025,"Domain"),"")</f>
        <v/>
      </c>
    </row>
    <row r="7026">
      <c r="A7026" s="2" t="n"/>
      <c r="B7026">
        <f>LOWER(TRIM(A7026))</f>
        <v/>
      </c>
      <c r="C7026">
        <f>IF(B7026="","",IFERROR(INDEX('Bad Patterns'!$A$2:$A$120,MATCH(1,INDEX(--ISNUMBER(SEARCH('Bad Patterns'!$A$2:$A$120,B7026)),0),0)),""))</f>
        <v/>
      </c>
      <c r="D7026">
        <f>IF(B7026="","",IF(C7026&lt;&gt;"","REMOVE","KEEP"))</f>
        <v/>
      </c>
      <c r="E7026">
        <f>IF(D7026&lt;&gt;"KEEP","",IF(RIGHT(B7026,10)="@gmail.com","Gmail",IF(OR(RIGHT(B7026,12)="@outlook.com",RIGHT(B7026,12)="@hotmail.com",RIGHT(B7026,9)="@live.com"),"Outlook","Domain")))</f>
        <v/>
      </c>
      <c r="F7026">
        <f>IF(B7026="","",IFERROR(RIGHT(B7026,LEN(B7026)-FIND("@",B7026)),""))</f>
        <v/>
      </c>
      <c r="G7026">
        <f>IF(D7026="KEEP",COUNTIF($D$2:D7026,"KEEP"),"")</f>
        <v/>
      </c>
      <c r="H7026">
        <f>IF(D7026="REMOVE",COUNTIF($D$2:D7026,"REMOVE"),"")</f>
        <v/>
      </c>
      <c r="I7026">
        <f>IF(E7026="Gmail",COUNTIF($E$2:E7026,"Gmail"),"")</f>
        <v/>
      </c>
      <c r="J7026">
        <f>IF(E7026="Outlook",COUNTIF($E$2:E7026,"Outlook"),"")</f>
        <v/>
      </c>
      <c r="K7026">
        <f>IF(E7026="Domain",COUNTIF($E$2:E7026,"Domain"),"")</f>
        <v/>
      </c>
    </row>
    <row r="7027">
      <c r="A7027" s="2" t="n"/>
      <c r="B7027">
        <f>LOWER(TRIM(A7027))</f>
        <v/>
      </c>
      <c r="C7027">
        <f>IF(B7027="","",IFERROR(INDEX('Bad Patterns'!$A$2:$A$120,MATCH(1,INDEX(--ISNUMBER(SEARCH('Bad Patterns'!$A$2:$A$120,B7027)),0),0)),""))</f>
        <v/>
      </c>
      <c r="D7027">
        <f>IF(B7027="","",IF(C7027&lt;&gt;"","REMOVE","KEEP"))</f>
        <v/>
      </c>
      <c r="E7027">
        <f>IF(D7027&lt;&gt;"KEEP","",IF(RIGHT(B7027,10)="@gmail.com","Gmail",IF(OR(RIGHT(B7027,12)="@outlook.com",RIGHT(B7027,12)="@hotmail.com",RIGHT(B7027,9)="@live.com"),"Outlook","Domain")))</f>
        <v/>
      </c>
      <c r="F7027">
        <f>IF(B7027="","",IFERROR(RIGHT(B7027,LEN(B7027)-FIND("@",B7027)),""))</f>
        <v/>
      </c>
      <c r="G7027">
        <f>IF(D7027="KEEP",COUNTIF($D$2:D7027,"KEEP"),"")</f>
        <v/>
      </c>
      <c r="H7027">
        <f>IF(D7027="REMOVE",COUNTIF($D$2:D7027,"REMOVE"),"")</f>
        <v/>
      </c>
      <c r="I7027">
        <f>IF(E7027="Gmail",COUNTIF($E$2:E7027,"Gmail"),"")</f>
        <v/>
      </c>
      <c r="J7027">
        <f>IF(E7027="Outlook",COUNTIF($E$2:E7027,"Outlook"),"")</f>
        <v/>
      </c>
      <c r="K7027">
        <f>IF(E7027="Domain",COUNTIF($E$2:E7027,"Domain"),"")</f>
        <v/>
      </c>
    </row>
    <row r="7028">
      <c r="A7028" s="2" t="n"/>
      <c r="B7028">
        <f>LOWER(TRIM(A7028))</f>
        <v/>
      </c>
      <c r="C7028">
        <f>IF(B7028="","",IFERROR(INDEX('Bad Patterns'!$A$2:$A$120,MATCH(1,INDEX(--ISNUMBER(SEARCH('Bad Patterns'!$A$2:$A$120,B7028)),0),0)),""))</f>
        <v/>
      </c>
      <c r="D7028">
        <f>IF(B7028="","",IF(C7028&lt;&gt;"","REMOVE","KEEP"))</f>
        <v/>
      </c>
      <c r="E7028">
        <f>IF(D7028&lt;&gt;"KEEP","",IF(RIGHT(B7028,10)="@gmail.com","Gmail",IF(OR(RIGHT(B7028,12)="@outlook.com",RIGHT(B7028,12)="@hotmail.com",RIGHT(B7028,9)="@live.com"),"Outlook","Domain")))</f>
        <v/>
      </c>
      <c r="F7028">
        <f>IF(B7028="","",IFERROR(RIGHT(B7028,LEN(B7028)-FIND("@",B7028)),""))</f>
        <v/>
      </c>
      <c r="G7028">
        <f>IF(D7028="KEEP",COUNTIF($D$2:D7028,"KEEP"),"")</f>
        <v/>
      </c>
      <c r="H7028">
        <f>IF(D7028="REMOVE",COUNTIF($D$2:D7028,"REMOVE"),"")</f>
        <v/>
      </c>
      <c r="I7028">
        <f>IF(E7028="Gmail",COUNTIF($E$2:E7028,"Gmail"),"")</f>
        <v/>
      </c>
      <c r="J7028">
        <f>IF(E7028="Outlook",COUNTIF($E$2:E7028,"Outlook"),"")</f>
        <v/>
      </c>
      <c r="K7028">
        <f>IF(E7028="Domain",COUNTIF($E$2:E7028,"Domain"),"")</f>
        <v/>
      </c>
    </row>
    <row r="7029">
      <c r="A7029" s="2" t="n"/>
      <c r="B7029">
        <f>LOWER(TRIM(A7029))</f>
        <v/>
      </c>
      <c r="C7029">
        <f>IF(B7029="","",IFERROR(INDEX('Bad Patterns'!$A$2:$A$120,MATCH(1,INDEX(--ISNUMBER(SEARCH('Bad Patterns'!$A$2:$A$120,B7029)),0),0)),""))</f>
        <v/>
      </c>
      <c r="D7029">
        <f>IF(B7029="","",IF(C7029&lt;&gt;"","REMOVE","KEEP"))</f>
        <v/>
      </c>
      <c r="E7029">
        <f>IF(D7029&lt;&gt;"KEEP","",IF(RIGHT(B7029,10)="@gmail.com","Gmail",IF(OR(RIGHT(B7029,12)="@outlook.com",RIGHT(B7029,12)="@hotmail.com",RIGHT(B7029,9)="@live.com"),"Outlook","Domain")))</f>
        <v/>
      </c>
      <c r="F7029">
        <f>IF(B7029="","",IFERROR(RIGHT(B7029,LEN(B7029)-FIND("@",B7029)),""))</f>
        <v/>
      </c>
      <c r="G7029">
        <f>IF(D7029="KEEP",COUNTIF($D$2:D7029,"KEEP"),"")</f>
        <v/>
      </c>
      <c r="H7029">
        <f>IF(D7029="REMOVE",COUNTIF($D$2:D7029,"REMOVE"),"")</f>
        <v/>
      </c>
      <c r="I7029">
        <f>IF(E7029="Gmail",COUNTIF($E$2:E7029,"Gmail"),"")</f>
        <v/>
      </c>
      <c r="J7029">
        <f>IF(E7029="Outlook",COUNTIF($E$2:E7029,"Outlook"),"")</f>
        <v/>
      </c>
      <c r="K7029">
        <f>IF(E7029="Domain",COUNTIF($E$2:E7029,"Domain"),"")</f>
        <v/>
      </c>
    </row>
    <row r="7030">
      <c r="A7030" s="2" t="n"/>
      <c r="B7030">
        <f>LOWER(TRIM(A7030))</f>
        <v/>
      </c>
      <c r="C7030">
        <f>IF(B7030="","",IFERROR(INDEX('Bad Patterns'!$A$2:$A$120,MATCH(1,INDEX(--ISNUMBER(SEARCH('Bad Patterns'!$A$2:$A$120,B7030)),0),0)),""))</f>
        <v/>
      </c>
      <c r="D7030">
        <f>IF(B7030="","",IF(C7030&lt;&gt;"","REMOVE","KEEP"))</f>
        <v/>
      </c>
      <c r="E7030">
        <f>IF(D7030&lt;&gt;"KEEP","",IF(RIGHT(B7030,10)="@gmail.com","Gmail",IF(OR(RIGHT(B7030,12)="@outlook.com",RIGHT(B7030,12)="@hotmail.com",RIGHT(B7030,9)="@live.com"),"Outlook","Domain")))</f>
        <v/>
      </c>
      <c r="F7030">
        <f>IF(B7030="","",IFERROR(RIGHT(B7030,LEN(B7030)-FIND("@",B7030)),""))</f>
        <v/>
      </c>
      <c r="G7030">
        <f>IF(D7030="KEEP",COUNTIF($D$2:D7030,"KEEP"),"")</f>
        <v/>
      </c>
      <c r="H7030">
        <f>IF(D7030="REMOVE",COUNTIF($D$2:D7030,"REMOVE"),"")</f>
        <v/>
      </c>
      <c r="I7030">
        <f>IF(E7030="Gmail",COUNTIF($E$2:E7030,"Gmail"),"")</f>
        <v/>
      </c>
      <c r="J7030">
        <f>IF(E7030="Outlook",COUNTIF($E$2:E7030,"Outlook"),"")</f>
        <v/>
      </c>
      <c r="K7030">
        <f>IF(E7030="Domain",COUNTIF($E$2:E7030,"Domain"),"")</f>
        <v/>
      </c>
    </row>
    <row r="7031">
      <c r="A7031" s="2" t="n"/>
      <c r="B7031">
        <f>LOWER(TRIM(A7031))</f>
        <v/>
      </c>
      <c r="C7031">
        <f>IF(B7031="","",IFERROR(INDEX('Bad Patterns'!$A$2:$A$120,MATCH(1,INDEX(--ISNUMBER(SEARCH('Bad Patterns'!$A$2:$A$120,B7031)),0),0)),""))</f>
        <v/>
      </c>
      <c r="D7031">
        <f>IF(B7031="","",IF(C7031&lt;&gt;"","REMOVE","KEEP"))</f>
        <v/>
      </c>
      <c r="E7031">
        <f>IF(D7031&lt;&gt;"KEEP","",IF(RIGHT(B7031,10)="@gmail.com","Gmail",IF(OR(RIGHT(B7031,12)="@outlook.com",RIGHT(B7031,12)="@hotmail.com",RIGHT(B7031,9)="@live.com"),"Outlook","Domain")))</f>
        <v/>
      </c>
      <c r="F7031">
        <f>IF(B7031="","",IFERROR(RIGHT(B7031,LEN(B7031)-FIND("@",B7031)),""))</f>
        <v/>
      </c>
      <c r="G7031">
        <f>IF(D7031="KEEP",COUNTIF($D$2:D7031,"KEEP"),"")</f>
        <v/>
      </c>
      <c r="H7031">
        <f>IF(D7031="REMOVE",COUNTIF($D$2:D7031,"REMOVE"),"")</f>
        <v/>
      </c>
      <c r="I7031">
        <f>IF(E7031="Gmail",COUNTIF($E$2:E7031,"Gmail"),"")</f>
        <v/>
      </c>
      <c r="J7031">
        <f>IF(E7031="Outlook",COUNTIF($E$2:E7031,"Outlook"),"")</f>
        <v/>
      </c>
      <c r="K7031">
        <f>IF(E7031="Domain",COUNTIF($E$2:E7031,"Domain"),"")</f>
        <v/>
      </c>
    </row>
    <row r="7032">
      <c r="A7032" s="2" t="n"/>
      <c r="B7032">
        <f>LOWER(TRIM(A7032))</f>
        <v/>
      </c>
      <c r="C7032">
        <f>IF(B7032="","",IFERROR(INDEX('Bad Patterns'!$A$2:$A$120,MATCH(1,INDEX(--ISNUMBER(SEARCH('Bad Patterns'!$A$2:$A$120,B7032)),0),0)),""))</f>
        <v/>
      </c>
      <c r="D7032">
        <f>IF(B7032="","",IF(C7032&lt;&gt;"","REMOVE","KEEP"))</f>
        <v/>
      </c>
      <c r="E7032">
        <f>IF(D7032&lt;&gt;"KEEP","",IF(RIGHT(B7032,10)="@gmail.com","Gmail",IF(OR(RIGHT(B7032,12)="@outlook.com",RIGHT(B7032,12)="@hotmail.com",RIGHT(B7032,9)="@live.com"),"Outlook","Domain")))</f>
        <v/>
      </c>
      <c r="F7032">
        <f>IF(B7032="","",IFERROR(RIGHT(B7032,LEN(B7032)-FIND("@",B7032)),""))</f>
        <v/>
      </c>
      <c r="G7032">
        <f>IF(D7032="KEEP",COUNTIF($D$2:D7032,"KEEP"),"")</f>
        <v/>
      </c>
      <c r="H7032">
        <f>IF(D7032="REMOVE",COUNTIF($D$2:D7032,"REMOVE"),"")</f>
        <v/>
      </c>
      <c r="I7032">
        <f>IF(E7032="Gmail",COUNTIF($E$2:E7032,"Gmail"),"")</f>
        <v/>
      </c>
      <c r="J7032">
        <f>IF(E7032="Outlook",COUNTIF($E$2:E7032,"Outlook"),"")</f>
        <v/>
      </c>
      <c r="K7032">
        <f>IF(E7032="Domain",COUNTIF($E$2:E7032,"Domain"),"")</f>
        <v/>
      </c>
    </row>
    <row r="7033">
      <c r="A7033" s="2" t="n"/>
      <c r="B7033">
        <f>LOWER(TRIM(A7033))</f>
        <v/>
      </c>
      <c r="C7033">
        <f>IF(B7033="","",IFERROR(INDEX('Bad Patterns'!$A$2:$A$120,MATCH(1,INDEX(--ISNUMBER(SEARCH('Bad Patterns'!$A$2:$A$120,B7033)),0),0)),""))</f>
        <v/>
      </c>
      <c r="D7033">
        <f>IF(B7033="","",IF(C7033&lt;&gt;"","REMOVE","KEEP"))</f>
        <v/>
      </c>
      <c r="E7033">
        <f>IF(D7033&lt;&gt;"KEEP","",IF(RIGHT(B7033,10)="@gmail.com","Gmail",IF(OR(RIGHT(B7033,12)="@outlook.com",RIGHT(B7033,12)="@hotmail.com",RIGHT(B7033,9)="@live.com"),"Outlook","Domain")))</f>
        <v/>
      </c>
      <c r="F7033">
        <f>IF(B7033="","",IFERROR(RIGHT(B7033,LEN(B7033)-FIND("@",B7033)),""))</f>
        <v/>
      </c>
      <c r="G7033">
        <f>IF(D7033="KEEP",COUNTIF($D$2:D7033,"KEEP"),"")</f>
        <v/>
      </c>
      <c r="H7033">
        <f>IF(D7033="REMOVE",COUNTIF($D$2:D7033,"REMOVE"),"")</f>
        <v/>
      </c>
      <c r="I7033">
        <f>IF(E7033="Gmail",COUNTIF($E$2:E7033,"Gmail"),"")</f>
        <v/>
      </c>
      <c r="J7033">
        <f>IF(E7033="Outlook",COUNTIF($E$2:E7033,"Outlook"),"")</f>
        <v/>
      </c>
      <c r="K7033">
        <f>IF(E7033="Domain",COUNTIF($E$2:E7033,"Domain"),"")</f>
        <v/>
      </c>
    </row>
    <row r="7034">
      <c r="A7034" s="2" t="n"/>
      <c r="B7034">
        <f>LOWER(TRIM(A7034))</f>
        <v/>
      </c>
      <c r="C7034">
        <f>IF(B7034="","",IFERROR(INDEX('Bad Patterns'!$A$2:$A$120,MATCH(1,INDEX(--ISNUMBER(SEARCH('Bad Patterns'!$A$2:$A$120,B7034)),0),0)),""))</f>
        <v/>
      </c>
      <c r="D7034">
        <f>IF(B7034="","",IF(C7034&lt;&gt;"","REMOVE","KEEP"))</f>
        <v/>
      </c>
      <c r="E7034">
        <f>IF(D7034&lt;&gt;"KEEP","",IF(RIGHT(B7034,10)="@gmail.com","Gmail",IF(OR(RIGHT(B7034,12)="@outlook.com",RIGHT(B7034,12)="@hotmail.com",RIGHT(B7034,9)="@live.com"),"Outlook","Domain")))</f>
        <v/>
      </c>
      <c r="F7034">
        <f>IF(B7034="","",IFERROR(RIGHT(B7034,LEN(B7034)-FIND("@",B7034)),""))</f>
        <v/>
      </c>
      <c r="G7034">
        <f>IF(D7034="KEEP",COUNTIF($D$2:D7034,"KEEP"),"")</f>
        <v/>
      </c>
      <c r="H7034">
        <f>IF(D7034="REMOVE",COUNTIF($D$2:D7034,"REMOVE"),"")</f>
        <v/>
      </c>
      <c r="I7034">
        <f>IF(E7034="Gmail",COUNTIF($E$2:E7034,"Gmail"),"")</f>
        <v/>
      </c>
      <c r="J7034">
        <f>IF(E7034="Outlook",COUNTIF($E$2:E7034,"Outlook"),"")</f>
        <v/>
      </c>
      <c r="K7034">
        <f>IF(E7034="Domain",COUNTIF($E$2:E7034,"Domain"),"")</f>
        <v/>
      </c>
    </row>
    <row r="7035">
      <c r="A7035" s="2" t="n"/>
      <c r="B7035">
        <f>LOWER(TRIM(A7035))</f>
        <v/>
      </c>
      <c r="C7035">
        <f>IF(B7035="","",IFERROR(INDEX('Bad Patterns'!$A$2:$A$120,MATCH(1,INDEX(--ISNUMBER(SEARCH('Bad Patterns'!$A$2:$A$120,B7035)),0),0)),""))</f>
        <v/>
      </c>
      <c r="D7035">
        <f>IF(B7035="","",IF(C7035&lt;&gt;"","REMOVE","KEEP"))</f>
        <v/>
      </c>
      <c r="E7035">
        <f>IF(D7035&lt;&gt;"KEEP","",IF(RIGHT(B7035,10)="@gmail.com","Gmail",IF(OR(RIGHT(B7035,12)="@outlook.com",RIGHT(B7035,12)="@hotmail.com",RIGHT(B7035,9)="@live.com"),"Outlook","Domain")))</f>
        <v/>
      </c>
      <c r="F7035">
        <f>IF(B7035="","",IFERROR(RIGHT(B7035,LEN(B7035)-FIND("@",B7035)),""))</f>
        <v/>
      </c>
      <c r="G7035">
        <f>IF(D7035="KEEP",COUNTIF($D$2:D7035,"KEEP"),"")</f>
        <v/>
      </c>
      <c r="H7035">
        <f>IF(D7035="REMOVE",COUNTIF($D$2:D7035,"REMOVE"),"")</f>
        <v/>
      </c>
      <c r="I7035">
        <f>IF(E7035="Gmail",COUNTIF($E$2:E7035,"Gmail"),"")</f>
        <v/>
      </c>
      <c r="J7035">
        <f>IF(E7035="Outlook",COUNTIF($E$2:E7035,"Outlook"),"")</f>
        <v/>
      </c>
      <c r="K7035">
        <f>IF(E7035="Domain",COUNTIF($E$2:E7035,"Domain"),"")</f>
        <v/>
      </c>
    </row>
    <row r="7036">
      <c r="A7036" s="2" t="n"/>
      <c r="B7036">
        <f>LOWER(TRIM(A7036))</f>
        <v/>
      </c>
      <c r="C7036">
        <f>IF(B7036="","",IFERROR(INDEX('Bad Patterns'!$A$2:$A$120,MATCH(1,INDEX(--ISNUMBER(SEARCH('Bad Patterns'!$A$2:$A$120,B7036)),0),0)),""))</f>
        <v/>
      </c>
      <c r="D7036">
        <f>IF(B7036="","",IF(C7036&lt;&gt;"","REMOVE","KEEP"))</f>
        <v/>
      </c>
      <c r="E7036">
        <f>IF(D7036&lt;&gt;"KEEP","",IF(RIGHT(B7036,10)="@gmail.com","Gmail",IF(OR(RIGHT(B7036,12)="@outlook.com",RIGHT(B7036,12)="@hotmail.com",RIGHT(B7036,9)="@live.com"),"Outlook","Domain")))</f>
        <v/>
      </c>
      <c r="F7036">
        <f>IF(B7036="","",IFERROR(RIGHT(B7036,LEN(B7036)-FIND("@",B7036)),""))</f>
        <v/>
      </c>
      <c r="G7036">
        <f>IF(D7036="KEEP",COUNTIF($D$2:D7036,"KEEP"),"")</f>
        <v/>
      </c>
      <c r="H7036">
        <f>IF(D7036="REMOVE",COUNTIF($D$2:D7036,"REMOVE"),"")</f>
        <v/>
      </c>
      <c r="I7036">
        <f>IF(E7036="Gmail",COUNTIF($E$2:E7036,"Gmail"),"")</f>
        <v/>
      </c>
      <c r="J7036">
        <f>IF(E7036="Outlook",COUNTIF($E$2:E7036,"Outlook"),"")</f>
        <v/>
      </c>
      <c r="K7036">
        <f>IF(E7036="Domain",COUNTIF($E$2:E7036,"Domain"),"")</f>
        <v/>
      </c>
    </row>
    <row r="7037">
      <c r="A7037" s="2" t="n"/>
      <c r="B7037">
        <f>LOWER(TRIM(A7037))</f>
        <v/>
      </c>
      <c r="C7037">
        <f>IF(B7037="","",IFERROR(INDEX('Bad Patterns'!$A$2:$A$120,MATCH(1,INDEX(--ISNUMBER(SEARCH('Bad Patterns'!$A$2:$A$120,B7037)),0),0)),""))</f>
        <v/>
      </c>
      <c r="D7037">
        <f>IF(B7037="","",IF(C7037&lt;&gt;"","REMOVE","KEEP"))</f>
        <v/>
      </c>
      <c r="E7037">
        <f>IF(D7037&lt;&gt;"KEEP","",IF(RIGHT(B7037,10)="@gmail.com","Gmail",IF(OR(RIGHT(B7037,12)="@outlook.com",RIGHT(B7037,12)="@hotmail.com",RIGHT(B7037,9)="@live.com"),"Outlook","Domain")))</f>
        <v/>
      </c>
      <c r="F7037">
        <f>IF(B7037="","",IFERROR(RIGHT(B7037,LEN(B7037)-FIND("@",B7037)),""))</f>
        <v/>
      </c>
      <c r="G7037">
        <f>IF(D7037="KEEP",COUNTIF($D$2:D7037,"KEEP"),"")</f>
        <v/>
      </c>
      <c r="H7037">
        <f>IF(D7037="REMOVE",COUNTIF($D$2:D7037,"REMOVE"),"")</f>
        <v/>
      </c>
      <c r="I7037">
        <f>IF(E7037="Gmail",COUNTIF($E$2:E7037,"Gmail"),"")</f>
        <v/>
      </c>
      <c r="J7037">
        <f>IF(E7037="Outlook",COUNTIF($E$2:E7037,"Outlook"),"")</f>
        <v/>
      </c>
      <c r="K7037">
        <f>IF(E7037="Domain",COUNTIF($E$2:E7037,"Domain"),"")</f>
        <v/>
      </c>
    </row>
    <row r="7038">
      <c r="A7038" s="2" t="n"/>
      <c r="B7038">
        <f>LOWER(TRIM(A7038))</f>
        <v/>
      </c>
      <c r="C7038">
        <f>IF(B7038="","",IFERROR(INDEX('Bad Patterns'!$A$2:$A$120,MATCH(1,INDEX(--ISNUMBER(SEARCH('Bad Patterns'!$A$2:$A$120,B7038)),0),0)),""))</f>
        <v/>
      </c>
      <c r="D7038">
        <f>IF(B7038="","",IF(C7038&lt;&gt;"","REMOVE","KEEP"))</f>
        <v/>
      </c>
      <c r="E7038">
        <f>IF(D7038&lt;&gt;"KEEP","",IF(RIGHT(B7038,10)="@gmail.com","Gmail",IF(OR(RIGHT(B7038,12)="@outlook.com",RIGHT(B7038,12)="@hotmail.com",RIGHT(B7038,9)="@live.com"),"Outlook","Domain")))</f>
        <v/>
      </c>
      <c r="F7038">
        <f>IF(B7038="","",IFERROR(RIGHT(B7038,LEN(B7038)-FIND("@",B7038)),""))</f>
        <v/>
      </c>
      <c r="G7038">
        <f>IF(D7038="KEEP",COUNTIF($D$2:D7038,"KEEP"),"")</f>
        <v/>
      </c>
      <c r="H7038">
        <f>IF(D7038="REMOVE",COUNTIF($D$2:D7038,"REMOVE"),"")</f>
        <v/>
      </c>
      <c r="I7038">
        <f>IF(E7038="Gmail",COUNTIF($E$2:E7038,"Gmail"),"")</f>
        <v/>
      </c>
      <c r="J7038">
        <f>IF(E7038="Outlook",COUNTIF($E$2:E7038,"Outlook"),"")</f>
        <v/>
      </c>
      <c r="K7038">
        <f>IF(E7038="Domain",COUNTIF($E$2:E7038,"Domain"),"")</f>
        <v/>
      </c>
    </row>
    <row r="7039">
      <c r="A7039" s="2" t="n"/>
      <c r="B7039">
        <f>LOWER(TRIM(A7039))</f>
        <v/>
      </c>
      <c r="C7039">
        <f>IF(B7039="","",IFERROR(INDEX('Bad Patterns'!$A$2:$A$120,MATCH(1,INDEX(--ISNUMBER(SEARCH('Bad Patterns'!$A$2:$A$120,B7039)),0),0)),""))</f>
        <v/>
      </c>
      <c r="D7039">
        <f>IF(B7039="","",IF(C7039&lt;&gt;"","REMOVE","KEEP"))</f>
        <v/>
      </c>
      <c r="E7039">
        <f>IF(D7039&lt;&gt;"KEEP","",IF(RIGHT(B7039,10)="@gmail.com","Gmail",IF(OR(RIGHT(B7039,12)="@outlook.com",RIGHT(B7039,12)="@hotmail.com",RIGHT(B7039,9)="@live.com"),"Outlook","Domain")))</f>
        <v/>
      </c>
      <c r="F7039">
        <f>IF(B7039="","",IFERROR(RIGHT(B7039,LEN(B7039)-FIND("@",B7039)),""))</f>
        <v/>
      </c>
      <c r="G7039">
        <f>IF(D7039="KEEP",COUNTIF($D$2:D7039,"KEEP"),"")</f>
        <v/>
      </c>
      <c r="H7039">
        <f>IF(D7039="REMOVE",COUNTIF($D$2:D7039,"REMOVE"),"")</f>
        <v/>
      </c>
      <c r="I7039">
        <f>IF(E7039="Gmail",COUNTIF($E$2:E7039,"Gmail"),"")</f>
        <v/>
      </c>
      <c r="J7039">
        <f>IF(E7039="Outlook",COUNTIF($E$2:E7039,"Outlook"),"")</f>
        <v/>
      </c>
      <c r="K7039">
        <f>IF(E7039="Domain",COUNTIF($E$2:E7039,"Domain"),"")</f>
        <v/>
      </c>
    </row>
    <row r="7040">
      <c r="A7040" s="2" t="n"/>
      <c r="B7040">
        <f>LOWER(TRIM(A7040))</f>
        <v/>
      </c>
      <c r="C7040">
        <f>IF(B7040="","",IFERROR(INDEX('Bad Patterns'!$A$2:$A$120,MATCH(1,INDEX(--ISNUMBER(SEARCH('Bad Patterns'!$A$2:$A$120,B7040)),0),0)),""))</f>
        <v/>
      </c>
      <c r="D7040">
        <f>IF(B7040="","",IF(C7040&lt;&gt;"","REMOVE","KEEP"))</f>
        <v/>
      </c>
      <c r="E7040">
        <f>IF(D7040&lt;&gt;"KEEP","",IF(RIGHT(B7040,10)="@gmail.com","Gmail",IF(OR(RIGHT(B7040,12)="@outlook.com",RIGHT(B7040,12)="@hotmail.com",RIGHT(B7040,9)="@live.com"),"Outlook","Domain")))</f>
        <v/>
      </c>
      <c r="F7040">
        <f>IF(B7040="","",IFERROR(RIGHT(B7040,LEN(B7040)-FIND("@",B7040)),""))</f>
        <v/>
      </c>
      <c r="G7040">
        <f>IF(D7040="KEEP",COUNTIF($D$2:D7040,"KEEP"),"")</f>
        <v/>
      </c>
      <c r="H7040">
        <f>IF(D7040="REMOVE",COUNTIF($D$2:D7040,"REMOVE"),"")</f>
        <v/>
      </c>
      <c r="I7040">
        <f>IF(E7040="Gmail",COUNTIF($E$2:E7040,"Gmail"),"")</f>
        <v/>
      </c>
      <c r="J7040">
        <f>IF(E7040="Outlook",COUNTIF($E$2:E7040,"Outlook"),"")</f>
        <v/>
      </c>
      <c r="K7040">
        <f>IF(E7040="Domain",COUNTIF($E$2:E7040,"Domain"),"")</f>
        <v/>
      </c>
    </row>
    <row r="7041">
      <c r="A7041" s="2" t="n"/>
      <c r="B7041">
        <f>LOWER(TRIM(A7041))</f>
        <v/>
      </c>
      <c r="C7041">
        <f>IF(B7041="","",IFERROR(INDEX('Bad Patterns'!$A$2:$A$120,MATCH(1,INDEX(--ISNUMBER(SEARCH('Bad Patterns'!$A$2:$A$120,B7041)),0),0)),""))</f>
        <v/>
      </c>
      <c r="D7041">
        <f>IF(B7041="","",IF(C7041&lt;&gt;"","REMOVE","KEEP"))</f>
        <v/>
      </c>
      <c r="E7041">
        <f>IF(D7041&lt;&gt;"KEEP","",IF(RIGHT(B7041,10)="@gmail.com","Gmail",IF(OR(RIGHT(B7041,12)="@outlook.com",RIGHT(B7041,12)="@hotmail.com",RIGHT(B7041,9)="@live.com"),"Outlook","Domain")))</f>
        <v/>
      </c>
      <c r="F7041">
        <f>IF(B7041="","",IFERROR(RIGHT(B7041,LEN(B7041)-FIND("@",B7041)),""))</f>
        <v/>
      </c>
      <c r="G7041">
        <f>IF(D7041="KEEP",COUNTIF($D$2:D7041,"KEEP"),"")</f>
        <v/>
      </c>
      <c r="H7041">
        <f>IF(D7041="REMOVE",COUNTIF($D$2:D7041,"REMOVE"),"")</f>
        <v/>
      </c>
      <c r="I7041">
        <f>IF(E7041="Gmail",COUNTIF($E$2:E7041,"Gmail"),"")</f>
        <v/>
      </c>
      <c r="J7041">
        <f>IF(E7041="Outlook",COUNTIF($E$2:E7041,"Outlook"),"")</f>
        <v/>
      </c>
      <c r="K7041">
        <f>IF(E7041="Domain",COUNTIF($E$2:E7041,"Domain"),"")</f>
        <v/>
      </c>
    </row>
    <row r="7042">
      <c r="A7042" s="2" t="n"/>
      <c r="B7042">
        <f>LOWER(TRIM(A7042))</f>
        <v/>
      </c>
      <c r="C7042">
        <f>IF(B7042="","",IFERROR(INDEX('Bad Patterns'!$A$2:$A$120,MATCH(1,INDEX(--ISNUMBER(SEARCH('Bad Patterns'!$A$2:$A$120,B7042)),0),0)),""))</f>
        <v/>
      </c>
      <c r="D7042">
        <f>IF(B7042="","",IF(C7042&lt;&gt;"","REMOVE","KEEP"))</f>
        <v/>
      </c>
      <c r="E7042">
        <f>IF(D7042&lt;&gt;"KEEP","",IF(RIGHT(B7042,10)="@gmail.com","Gmail",IF(OR(RIGHT(B7042,12)="@outlook.com",RIGHT(B7042,12)="@hotmail.com",RIGHT(B7042,9)="@live.com"),"Outlook","Domain")))</f>
        <v/>
      </c>
      <c r="F7042">
        <f>IF(B7042="","",IFERROR(RIGHT(B7042,LEN(B7042)-FIND("@",B7042)),""))</f>
        <v/>
      </c>
      <c r="G7042">
        <f>IF(D7042="KEEP",COUNTIF($D$2:D7042,"KEEP"),"")</f>
        <v/>
      </c>
      <c r="H7042">
        <f>IF(D7042="REMOVE",COUNTIF($D$2:D7042,"REMOVE"),"")</f>
        <v/>
      </c>
      <c r="I7042">
        <f>IF(E7042="Gmail",COUNTIF($E$2:E7042,"Gmail"),"")</f>
        <v/>
      </c>
      <c r="J7042">
        <f>IF(E7042="Outlook",COUNTIF($E$2:E7042,"Outlook"),"")</f>
        <v/>
      </c>
      <c r="K7042">
        <f>IF(E7042="Domain",COUNTIF($E$2:E7042,"Domain"),"")</f>
        <v/>
      </c>
    </row>
    <row r="7043">
      <c r="A7043" s="2" t="n"/>
      <c r="B7043">
        <f>LOWER(TRIM(A7043))</f>
        <v/>
      </c>
      <c r="C7043">
        <f>IF(B7043="","",IFERROR(INDEX('Bad Patterns'!$A$2:$A$120,MATCH(1,INDEX(--ISNUMBER(SEARCH('Bad Patterns'!$A$2:$A$120,B7043)),0),0)),""))</f>
        <v/>
      </c>
      <c r="D7043">
        <f>IF(B7043="","",IF(C7043&lt;&gt;"","REMOVE","KEEP"))</f>
        <v/>
      </c>
      <c r="E7043">
        <f>IF(D7043&lt;&gt;"KEEP","",IF(RIGHT(B7043,10)="@gmail.com","Gmail",IF(OR(RIGHT(B7043,12)="@outlook.com",RIGHT(B7043,12)="@hotmail.com",RIGHT(B7043,9)="@live.com"),"Outlook","Domain")))</f>
        <v/>
      </c>
      <c r="F7043">
        <f>IF(B7043="","",IFERROR(RIGHT(B7043,LEN(B7043)-FIND("@",B7043)),""))</f>
        <v/>
      </c>
      <c r="G7043">
        <f>IF(D7043="KEEP",COUNTIF($D$2:D7043,"KEEP"),"")</f>
        <v/>
      </c>
      <c r="H7043">
        <f>IF(D7043="REMOVE",COUNTIF($D$2:D7043,"REMOVE"),"")</f>
        <v/>
      </c>
      <c r="I7043">
        <f>IF(E7043="Gmail",COUNTIF($E$2:E7043,"Gmail"),"")</f>
        <v/>
      </c>
      <c r="J7043">
        <f>IF(E7043="Outlook",COUNTIF($E$2:E7043,"Outlook"),"")</f>
        <v/>
      </c>
      <c r="K7043">
        <f>IF(E7043="Domain",COUNTIF($E$2:E7043,"Domain"),"")</f>
        <v/>
      </c>
    </row>
    <row r="7044">
      <c r="A7044" s="2" t="n"/>
      <c r="B7044">
        <f>LOWER(TRIM(A7044))</f>
        <v/>
      </c>
      <c r="C7044">
        <f>IF(B7044="","",IFERROR(INDEX('Bad Patterns'!$A$2:$A$120,MATCH(1,INDEX(--ISNUMBER(SEARCH('Bad Patterns'!$A$2:$A$120,B7044)),0),0)),""))</f>
        <v/>
      </c>
      <c r="D7044">
        <f>IF(B7044="","",IF(C7044&lt;&gt;"","REMOVE","KEEP"))</f>
        <v/>
      </c>
      <c r="E7044">
        <f>IF(D7044&lt;&gt;"KEEP","",IF(RIGHT(B7044,10)="@gmail.com","Gmail",IF(OR(RIGHT(B7044,12)="@outlook.com",RIGHT(B7044,12)="@hotmail.com",RIGHT(B7044,9)="@live.com"),"Outlook","Domain")))</f>
        <v/>
      </c>
      <c r="F7044">
        <f>IF(B7044="","",IFERROR(RIGHT(B7044,LEN(B7044)-FIND("@",B7044)),""))</f>
        <v/>
      </c>
      <c r="G7044">
        <f>IF(D7044="KEEP",COUNTIF($D$2:D7044,"KEEP"),"")</f>
        <v/>
      </c>
      <c r="H7044">
        <f>IF(D7044="REMOVE",COUNTIF($D$2:D7044,"REMOVE"),"")</f>
        <v/>
      </c>
      <c r="I7044">
        <f>IF(E7044="Gmail",COUNTIF($E$2:E7044,"Gmail"),"")</f>
        <v/>
      </c>
      <c r="J7044">
        <f>IF(E7044="Outlook",COUNTIF($E$2:E7044,"Outlook"),"")</f>
        <v/>
      </c>
      <c r="K7044">
        <f>IF(E7044="Domain",COUNTIF($E$2:E7044,"Domain"),"")</f>
        <v/>
      </c>
    </row>
    <row r="7045">
      <c r="A7045" s="2" t="n"/>
      <c r="B7045">
        <f>LOWER(TRIM(A7045))</f>
        <v/>
      </c>
      <c r="C7045">
        <f>IF(B7045="","",IFERROR(INDEX('Bad Patterns'!$A$2:$A$120,MATCH(1,INDEX(--ISNUMBER(SEARCH('Bad Patterns'!$A$2:$A$120,B7045)),0),0)),""))</f>
        <v/>
      </c>
      <c r="D7045">
        <f>IF(B7045="","",IF(C7045&lt;&gt;"","REMOVE","KEEP"))</f>
        <v/>
      </c>
      <c r="E7045">
        <f>IF(D7045&lt;&gt;"KEEP","",IF(RIGHT(B7045,10)="@gmail.com","Gmail",IF(OR(RIGHT(B7045,12)="@outlook.com",RIGHT(B7045,12)="@hotmail.com",RIGHT(B7045,9)="@live.com"),"Outlook","Domain")))</f>
        <v/>
      </c>
      <c r="F7045">
        <f>IF(B7045="","",IFERROR(RIGHT(B7045,LEN(B7045)-FIND("@",B7045)),""))</f>
        <v/>
      </c>
      <c r="G7045">
        <f>IF(D7045="KEEP",COUNTIF($D$2:D7045,"KEEP"),"")</f>
        <v/>
      </c>
      <c r="H7045">
        <f>IF(D7045="REMOVE",COUNTIF($D$2:D7045,"REMOVE"),"")</f>
        <v/>
      </c>
      <c r="I7045">
        <f>IF(E7045="Gmail",COUNTIF($E$2:E7045,"Gmail"),"")</f>
        <v/>
      </c>
      <c r="J7045">
        <f>IF(E7045="Outlook",COUNTIF($E$2:E7045,"Outlook"),"")</f>
        <v/>
      </c>
      <c r="K7045">
        <f>IF(E7045="Domain",COUNTIF($E$2:E7045,"Domain"),"")</f>
        <v/>
      </c>
    </row>
    <row r="7046">
      <c r="A7046" s="2" t="n"/>
      <c r="B7046">
        <f>LOWER(TRIM(A7046))</f>
        <v/>
      </c>
      <c r="C7046">
        <f>IF(B7046="","",IFERROR(INDEX('Bad Patterns'!$A$2:$A$120,MATCH(1,INDEX(--ISNUMBER(SEARCH('Bad Patterns'!$A$2:$A$120,B7046)),0),0)),""))</f>
        <v/>
      </c>
      <c r="D7046">
        <f>IF(B7046="","",IF(C7046&lt;&gt;"","REMOVE","KEEP"))</f>
        <v/>
      </c>
      <c r="E7046">
        <f>IF(D7046&lt;&gt;"KEEP","",IF(RIGHT(B7046,10)="@gmail.com","Gmail",IF(OR(RIGHT(B7046,12)="@outlook.com",RIGHT(B7046,12)="@hotmail.com",RIGHT(B7046,9)="@live.com"),"Outlook","Domain")))</f>
        <v/>
      </c>
      <c r="F7046">
        <f>IF(B7046="","",IFERROR(RIGHT(B7046,LEN(B7046)-FIND("@",B7046)),""))</f>
        <v/>
      </c>
      <c r="G7046">
        <f>IF(D7046="KEEP",COUNTIF($D$2:D7046,"KEEP"),"")</f>
        <v/>
      </c>
      <c r="H7046">
        <f>IF(D7046="REMOVE",COUNTIF($D$2:D7046,"REMOVE"),"")</f>
        <v/>
      </c>
      <c r="I7046">
        <f>IF(E7046="Gmail",COUNTIF($E$2:E7046,"Gmail"),"")</f>
        <v/>
      </c>
      <c r="J7046">
        <f>IF(E7046="Outlook",COUNTIF($E$2:E7046,"Outlook"),"")</f>
        <v/>
      </c>
      <c r="K7046">
        <f>IF(E7046="Domain",COUNTIF($E$2:E7046,"Domain"),"")</f>
        <v/>
      </c>
    </row>
    <row r="7047">
      <c r="A7047" s="2" t="n"/>
      <c r="B7047">
        <f>LOWER(TRIM(A7047))</f>
        <v/>
      </c>
      <c r="C7047">
        <f>IF(B7047="","",IFERROR(INDEX('Bad Patterns'!$A$2:$A$120,MATCH(1,INDEX(--ISNUMBER(SEARCH('Bad Patterns'!$A$2:$A$120,B7047)),0),0)),""))</f>
        <v/>
      </c>
      <c r="D7047">
        <f>IF(B7047="","",IF(C7047&lt;&gt;"","REMOVE","KEEP"))</f>
        <v/>
      </c>
      <c r="E7047">
        <f>IF(D7047&lt;&gt;"KEEP","",IF(RIGHT(B7047,10)="@gmail.com","Gmail",IF(OR(RIGHT(B7047,12)="@outlook.com",RIGHT(B7047,12)="@hotmail.com",RIGHT(B7047,9)="@live.com"),"Outlook","Domain")))</f>
        <v/>
      </c>
      <c r="F7047">
        <f>IF(B7047="","",IFERROR(RIGHT(B7047,LEN(B7047)-FIND("@",B7047)),""))</f>
        <v/>
      </c>
      <c r="G7047">
        <f>IF(D7047="KEEP",COUNTIF($D$2:D7047,"KEEP"),"")</f>
        <v/>
      </c>
      <c r="H7047">
        <f>IF(D7047="REMOVE",COUNTIF($D$2:D7047,"REMOVE"),"")</f>
        <v/>
      </c>
      <c r="I7047">
        <f>IF(E7047="Gmail",COUNTIF($E$2:E7047,"Gmail"),"")</f>
        <v/>
      </c>
      <c r="J7047">
        <f>IF(E7047="Outlook",COUNTIF($E$2:E7047,"Outlook"),"")</f>
        <v/>
      </c>
      <c r="K7047">
        <f>IF(E7047="Domain",COUNTIF($E$2:E7047,"Domain"),"")</f>
        <v/>
      </c>
    </row>
    <row r="7048">
      <c r="A7048" s="2" t="n"/>
      <c r="B7048">
        <f>LOWER(TRIM(A7048))</f>
        <v/>
      </c>
      <c r="C7048">
        <f>IF(B7048="","",IFERROR(INDEX('Bad Patterns'!$A$2:$A$120,MATCH(1,INDEX(--ISNUMBER(SEARCH('Bad Patterns'!$A$2:$A$120,B7048)),0),0)),""))</f>
        <v/>
      </c>
      <c r="D7048">
        <f>IF(B7048="","",IF(C7048&lt;&gt;"","REMOVE","KEEP"))</f>
        <v/>
      </c>
      <c r="E7048">
        <f>IF(D7048&lt;&gt;"KEEP","",IF(RIGHT(B7048,10)="@gmail.com","Gmail",IF(OR(RIGHT(B7048,12)="@outlook.com",RIGHT(B7048,12)="@hotmail.com",RIGHT(B7048,9)="@live.com"),"Outlook","Domain")))</f>
        <v/>
      </c>
      <c r="F7048">
        <f>IF(B7048="","",IFERROR(RIGHT(B7048,LEN(B7048)-FIND("@",B7048)),""))</f>
        <v/>
      </c>
      <c r="G7048">
        <f>IF(D7048="KEEP",COUNTIF($D$2:D7048,"KEEP"),"")</f>
        <v/>
      </c>
      <c r="H7048">
        <f>IF(D7048="REMOVE",COUNTIF($D$2:D7048,"REMOVE"),"")</f>
        <v/>
      </c>
      <c r="I7048">
        <f>IF(E7048="Gmail",COUNTIF($E$2:E7048,"Gmail"),"")</f>
        <v/>
      </c>
      <c r="J7048">
        <f>IF(E7048="Outlook",COUNTIF($E$2:E7048,"Outlook"),"")</f>
        <v/>
      </c>
      <c r="K7048">
        <f>IF(E7048="Domain",COUNTIF($E$2:E7048,"Domain"),"")</f>
        <v/>
      </c>
    </row>
    <row r="7049">
      <c r="A7049" s="2" t="n"/>
      <c r="B7049">
        <f>LOWER(TRIM(A7049))</f>
        <v/>
      </c>
      <c r="C7049">
        <f>IF(B7049="","",IFERROR(INDEX('Bad Patterns'!$A$2:$A$120,MATCH(1,INDEX(--ISNUMBER(SEARCH('Bad Patterns'!$A$2:$A$120,B7049)),0),0)),""))</f>
        <v/>
      </c>
      <c r="D7049">
        <f>IF(B7049="","",IF(C7049&lt;&gt;"","REMOVE","KEEP"))</f>
        <v/>
      </c>
      <c r="E7049">
        <f>IF(D7049&lt;&gt;"KEEP","",IF(RIGHT(B7049,10)="@gmail.com","Gmail",IF(OR(RIGHT(B7049,12)="@outlook.com",RIGHT(B7049,12)="@hotmail.com",RIGHT(B7049,9)="@live.com"),"Outlook","Domain")))</f>
        <v/>
      </c>
      <c r="F7049">
        <f>IF(B7049="","",IFERROR(RIGHT(B7049,LEN(B7049)-FIND("@",B7049)),""))</f>
        <v/>
      </c>
      <c r="G7049">
        <f>IF(D7049="KEEP",COUNTIF($D$2:D7049,"KEEP"),"")</f>
        <v/>
      </c>
      <c r="H7049">
        <f>IF(D7049="REMOVE",COUNTIF($D$2:D7049,"REMOVE"),"")</f>
        <v/>
      </c>
      <c r="I7049">
        <f>IF(E7049="Gmail",COUNTIF($E$2:E7049,"Gmail"),"")</f>
        <v/>
      </c>
      <c r="J7049">
        <f>IF(E7049="Outlook",COUNTIF($E$2:E7049,"Outlook"),"")</f>
        <v/>
      </c>
      <c r="K7049">
        <f>IF(E7049="Domain",COUNTIF($E$2:E7049,"Domain"),"")</f>
        <v/>
      </c>
    </row>
    <row r="7050">
      <c r="A7050" s="2" t="n"/>
      <c r="B7050">
        <f>LOWER(TRIM(A7050))</f>
        <v/>
      </c>
      <c r="C7050">
        <f>IF(B7050="","",IFERROR(INDEX('Bad Patterns'!$A$2:$A$120,MATCH(1,INDEX(--ISNUMBER(SEARCH('Bad Patterns'!$A$2:$A$120,B7050)),0),0)),""))</f>
        <v/>
      </c>
      <c r="D7050">
        <f>IF(B7050="","",IF(C7050&lt;&gt;"","REMOVE","KEEP"))</f>
        <v/>
      </c>
      <c r="E7050">
        <f>IF(D7050&lt;&gt;"KEEP","",IF(RIGHT(B7050,10)="@gmail.com","Gmail",IF(OR(RIGHT(B7050,12)="@outlook.com",RIGHT(B7050,12)="@hotmail.com",RIGHT(B7050,9)="@live.com"),"Outlook","Domain")))</f>
        <v/>
      </c>
      <c r="F7050">
        <f>IF(B7050="","",IFERROR(RIGHT(B7050,LEN(B7050)-FIND("@",B7050)),""))</f>
        <v/>
      </c>
      <c r="G7050">
        <f>IF(D7050="KEEP",COUNTIF($D$2:D7050,"KEEP"),"")</f>
        <v/>
      </c>
      <c r="H7050">
        <f>IF(D7050="REMOVE",COUNTIF($D$2:D7050,"REMOVE"),"")</f>
        <v/>
      </c>
      <c r="I7050">
        <f>IF(E7050="Gmail",COUNTIF($E$2:E7050,"Gmail"),"")</f>
        <v/>
      </c>
      <c r="J7050">
        <f>IF(E7050="Outlook",COUNTIF($E$2:E7050,"Outlook"),"")</f>
        <v/>
      </c>
      <c r="K7050">
        <f>IF(E7050="Domain",COUNTIF($E$2:E7050,"Domain"),"")</f>
        <v/>
      </c>
    </row>
    <row r="7051">
      <c r="A7051" s="2" t="n"/>
      <c r="B7051">
        <f>LOWER(TRIM(A7051))</f>
        <v/>
      </c>
      <c r="C7051">
        <f>IF(B7051="","",IFERROR(INDEX('Bad Patterns'!$A$2:$A$120,MATCH(1,INDEX(--ISNUMBER(SEARCH('Bad Patterns'!$A$2:$A$120,B7051)),0),0)),""))</f>
        <v/>
      </c>
      <c r="D7051">
        <f>IF(B7051="","",IF(C7051&lt;&gt;"","REMOVE","KEEP"))</f>
        <v/>
      </c>
      <c r="E7051">
        <f>IF(D7051&lt;&gt;"KEEP","",IF(RIGHT(B7051,10)="@gmail.com","Gmail",IF(OR(RIGHT(B7051,12)="@outlook.com",RIGHT(B7051,12)="@hotmail.com",RIGHT(B7051,9)="@live.com"),"Outlook","Domain")))</f>
        <v/>
      </c>
      <c r="F7051">
        <f>IF(B7051="","",IFERROR(RIGHT(B7051,LEN(B7051)-FIND("@",B7051)),""))</f>
        <v/>
      </c>
      <c r="G7051">
        <f>IF(D7051="KEEP",COUNTIF($D$2:D7051,"KEEP"),"")</f>
        <v/>
      </c>
      <c r="H7051">
        <f>IF(D7051="REMOVE",COUNTIF($D$2:D7051,"REMOVE"),"")</f>
        <v/>
      </c>
      <c r="I7051">
        <f>IF(E7051="Gmail",COUNTIF($E$2:E7051,"Gmail"),"")</f>
        <v/>
      </c>
      <c r="J7051">
        <f>IF(E7051="Outlook",COUNTIF($E$2:E7051,"Outlook"),"")</f>
        <v/>
      </c>
      <c r="K7051">
        <f>IF(E7051="Domain",COUNTIF($E$2:E7051,"Domain"),"")</f>
        <v/>
      </c>
    </row>
    <row r="7052">
      <c r="A7052" s="2" t="n"/>
      <c r="B7052">
        <f>LOWER(TRIM(A7052))</f>
        <v/>
      </c>
      <c r="C7052">
        <f>IF(B7052="","",IFERROR(INDEX('Bad Patterns'!$A$2:$A$120,MATCH(1,INDEX(--ISNUMBER(SEARCH('Bad Patterns'!$A$2:$A$120,B7052)),0),0)),""))</f>
        <v/>
      </c>
      <c r="D7052">
        <f>IF(B7052="","",IF(C7052&lt;&gt;"","REMOVE","KEEP"))</f>
        <v/>
      </c>
      <c r="E7052">
        <f>IF(D7052&lt;&gt;"KEEP","",IF(RIGHT(B7052,10)="@gmail.com","Gmail",IF(OR(RIGHT(B7052,12)="@outlook.com",RIGHT(B7052,12)="@hotmail.com",RIGHT(B7052,9)="@live.com"),"Outlook","Domain")))</f>
        <v/>
      </c>
      <c r="F7052">
        <f>IF(B7052="","",IFERROR(RIGHT(B7052,LEN(B7052)-FIND("@",B7052)),""))</f>
        <v/>
      </c>
      <c r="G7052">
        <f>IF(D7052="KEEP",COUNTIF($D$2:D7052,"KEEP"),"")</f>
        <v/>
      </c>
      <c r="H7052">
        <f>IF(D7052="REMOVE",COUNTIF($D$2:D7052,"REMOVE"),"")</f>
        <v/>
      </c>
      <c r="I7052">
        <f>IF(E7052="Gmail",COUNTIF($E$2:E7052,"Gmail"),"")</f>
        <v/>
      </c>
      <c r="J7052">
        <f>IF(E7052="Outlook",COUNTIF($E$2:E7052,"Outlook"),"")</f>
        <v/>
      </c>
      <c r="K7052">
        <f>IF(E7052="Domain",COUNTIF($E$2:E7052,"Domain"),"")</f>
        <v/>
      </c>
    </row>
    <row r="7053">
      <c r="A7053" s="2" t="n"/>
      <c r="B7053">
        <f>LOWER(TRIM(A7053))</f>
        <v/>
      </c>
      <c r="C7053">
        <f>IF(B7053="","",IFERROR(INDEX('Bad Patterns'!$A$2:$A$120,MATCH(1,INDEX(--ISNUMBER(SEARCH('Bad Patterns'!$A$2:$A$120,B7053)),0),0)),""))</f>
        <v/>
      </c>
      <c r="D7053">
        <f>IF(B7053="","",IF(C7053&lt;&gt;"","REMOVE","KEEP"))</f>
        <v/>
      </c>
      <c r="E7053">
        <f>IF(D7053&lt;&gt;"KEEP","",IF(RIGHT(B7053,10)="@gmail.com","Gmail",IF(OR(RIGHT(B7053,12)="@outlook.com",RIGHT(B7053,12)="@hotmail.com",RIGHT(B7053,9)="@live.com"),"Outlook","Domain")))</f>
        <v/>
      </c>
      <c r="F7053">
        <f>IF(B7053="","",IFERROR(RIGHT(B7053,LEN(B7053)-FIND("@",B7053)),""))</f>
        <v/>
      </c>
      <c r="G7053">
        <f>IF(D7053="KEEP",COUNTIF($D$2:D7053,"KEEP"),"")</f>
        <v/>
      </c>
      <c r="H7053">
        <f>IF(D7053="REMOVE",COUNTIF($D$2:D7053,"REMOVE"),"")</f>
        <v/>
      </c>
      <c r="I7053">
        <f>IF(E7053="Gmail",COUNTIF($E$2:E7053,"Gmail"),"")</f>
        <v/>
      </c>
      <c r="J7053">
        <f>IF(E7053="Outlook",COUNTIF($E$2:E7053,"Outlook"),"")</f>
        <v/>
      </c>
      <c r="K7053">
        <f>IF(E7053="Domain",COUNTIF($E$2:E7053,"Domain"),"")</f>
        <v/>
      </c>
    </row>
    <row r="7054">
      <c r="A7054" s="2" t="n"/>
      <c r="B7054">
        <f>LOWER(TRIM(A7054))</f>
        <v/>
      </c>
      <c r="C7054">
        <f>IF(B7054="","",IFERROR(INDEX('Bad Patterns'!$A$2:$A$120,MATCH(1,INDEX(--ISNUMBER(SEARCH('Bad Patterns'!$A$2:$A$120,B7054)),0),0)),""))</f>
        <v/>
      </c>
      <c r="D7054">
        <f>IF(B7054="","",IF(C7054&lt;&gt;"","REMOVE","KEEP"))</f>
        <v/>
      </c>
      <c r="E7054">
        <f>IF(D7054&lt;&gt;"KEEP","",IF(RIGHT(B7054,10)="@gmail.com","Gmail",IF(OR(RIGHT(B7054,12)="@outlook.com",RIGHT(B7054,12)="@hotmail.com",RIGHT(B7054,9)="@live.com"),"Outlook","Domain")))</f>
        <v/>
      </c>
      <c r="F7054">
        <f>IF(B7054="","",IFERROR(RIGHT(B7054,LEN(B7054)-FIND("@",B7054)),""))</f>
        <v/>
      </c>
      <c r="G7054">
        <f>IF(D7054="KEEP",COUNTIF($D$2:D7054,"KEEP"),"")</f>
        <v/>
      </c>
      <c r="H7054">
        <f>IF(D7054="REMOVE",COUNTIF($D$2:D7054,"REMOVE"),"")</f>
        <v/>
      </c>
      <c r="I7054">
        <f>IF(E7054="Gmail",COUNTIF($E$2:E7054,"Gmail"),"")</f>
        <v/>
      </c>
      <c r="J7054">
        <f>IF(E7054="Outlook",COUNTIF($E$2:E7054,"Outlook"),"")</f>
        <v/>
      </c>
      <c r="K7054">
        <f>IF(E7054="Domain",COUNTIF($E$2:E7054,"Domain"),"")</f>
        <v/>
      </c>
    </row>
    <row r="7055">
      <c r="A7055" s="2" t="n"/>
      <c r="B7055">
        <f>LOWER(TRIM(A7055))</f>
        <v/>
      </c>
      <c r="C7055">
        <f>IF(B7055="","",IFERROR(INDEX('Bad Patterns'!$A$2:$A$120,MATCH(1,INDEX(--ISNUMBER(SEARCH('Bad Patterns'!$A$2:$A$120,B7055)),0),0)),""))</f>
        <v/>
      </c>
      <c r="D7055">
        <f>IF(B7055="","",IF(C7055&lt;&gt;"","REMOVE","KEEP"))</f>
        <v/>
      </c>
      <c r="E7055">
        <f>IF(D7055&lt;&gt;"KEEP","",IF(RIGHT(B7055,10)="@gmail.com","Gmail",IF(OR(RIGHT(B7055,12)="@outlook.com",RIGHT(B7055,12)="@hotmail.com",RIGHT(B7055,9)="@live.com"),"Outlook","Domain")))</f>
        <v/>
      </c>
      <c r="F7055">
        <f>IF(B7055="","",IFERROR(RIGHT(B7055,LEN(B7055)-FIND("@",B7055)),""))</f>
        <v/>
      </c>
      <c r="G7055">
        <f>IF(D7055="KEEP",COUNTIF($D$2:D7055,"KEEP"),"")</f>
        <v/>
      </c>
      <c r="H7055">
        <f>IF(D7055="REMOVE",COUNTIF($D$2:D7055,"REMOVE"),"")</f>
        <v/>
      </c>
      <c r="I7055">
        <f>IF(E7055="Gmail",COUNTIF($E$2:E7055,"Gmail"),"")</f>
        <v/>
      </c>
      <c r="J7055">
        <f>IF(E7055="Outlook",COUNTIF($E$2:E7055,"Outlook"),"")</f>
        <v/>
      </c>
      <c r="K7055">
        <f>IF(E7055="Domain",COUNTIF($E$2:E7055,"Domain"),"")</f>
        <v/>
      </c>
    </row>
    <row r="7056">
      <c r="A7056" s="2" t="n"/>
      <c r="B7056">
        <f>LOWER(TRIM(A7056))</f>
        <v/>
      </c>
      <c r="C7056">
        <f>IF(B7056="","",IFERROR(INDEX('Bad Patterns'!$A$2:$A$120,MATCH(1,INDEX(--ISNUMBER(SEARCH('Bad Patterns'!$A$2:$A$120,B7056)),0),0)),""))</f>
        <v/>
      </c>
      <c r="D7056">
        <f>IF(B7056="","",IF(C7056&lt;&gt;"","REMOVE","KEEP"))</f>
        <v/>
      </c>
      <c r="E7056">
        <f>IF(D7056&lt;&gt;"KEEP","",IF(RIGHT(B7056,10)="@gmail.com","Gmail",IF(OR(RIGHT(B7056,12)="@outlook.com",RIGHT(B7056,12)="@hotmail.com",RIGHT(B7056,9)="@live.com"),"Outlook","Domain")))</f>
        <v/>
      </c>
      <c r="F7056">
        <f>IF(B7056="","",IFERROR(RIGHT(B7056,LEN(B7056)-FIND("@",B7056)),""))</f>
        <v/>
      </c>
      <c r="G7056">
        <f>IF(D7056="KEEP",COUNTIF($D$2:D7056,"KEEP"),"")</f>
        <v/>
      </c>
      <c r="H7056">
        <f>IF(D7056="REMOVE",COUNTIF($D$2:D7056,"REMOVE"),"")</f>
        <v/>
      </c>
      <c r="I7056">
        <f>IF(E7056="Gmail",COUNTIF($E$2:E7056,"Gmail"),"")</f>
        <v/>
      </c>
      <c r="J7056">
        <f>IF(E7056="Outlook",COUNTIF($E$2:E7056,"Outlook"),"")</f>
        <v/>
      </c>
      <c r="K7056">
        <f>IF(E7056="Domain",COUNTIF($E$2:E7056,"Domain"),"")</f>
        <v/>
      </c>
    </row>
    <row r="7057">
      <c r="A7057" s="2" t="n"/>
      <c r="B7057">
        <f>LOWER(TRIM(A7057))</f>
        <v/>
      </c>
      <c r="C7057">
        <f>IF(B7057="","",IFERROR(INDEX('Bad Patterns'!$A$2:$A$120,MATCH(1,INDEX(--ISNUMBER(SEARCH('Bad Patterns'!$A$2:$A$120,B7057)),0),0)),""))</f>
        <v/>
      </c>
      <c r="D7057">
        <f>IF(B7057="","",IF(C7057&lt;&gt;"","REMOVE","KEEP"))</f>
        <v/>
      </c>
      <c r="E7057">
        <f>IF(D7057&lt;&gt;"KEEP","",IF(RIGHT(B7057,10)="@gmail.com","Gmail",IF(OR(RIGHT(B7057,12)="@outlook.com",RIGHT(B7057,12)="@hotmail.com",RIGHT(B7057,9)="@live.com"),"Outlook","Domain")))</f>
        <v/>
      </c>
      <c r="F7057">
        <f>IF(B7057="","",IFERROR(RIGHT(B7057,LEN(B7057)-FIND("@",B7057)),""))</f>
        <v/>
      </c>
      <c r="G7057">
        <f>IF(D7057="KEEP",COUNTIF($D$2:D7057,"KEEP"),"")</f>
        <v/>
      </c>
      <c r="H7057">
        <f>IF(D7057="REMOVE",COUNTIF($D$2:D7057,"REMOVE"),"")</f>
        <v/>
      </c>
      <c r="I7057">
        <f>IF(E7057="Gmail",COUNTIF($E$2:E7057,"Gmail"),"")</f>
        <v/>
      </c>
      <c r="J7057">
        <f>IF(E7057="Outlook",COUNTIF($E$2:E7057,"Outlook"),"")</f>
        <v/>
      </c>
      <c r="K7057">
        <f>IF(E7057="Domain",COUNTIF($E$2:E7057,"Domain"),"")</f>
        <v/>
      </c>
    </row>
    <row r="7058">
      <c r="A7058" s="2" t="n"/>
      <c r="B7058">
        <f>LOWER(TRIM(A7058))</f>
        <v/>
      </c>
      <c r="C7058">
        <f>IF(B7058="","",IFERROR(INDEX('Bad Patterns'!$A$2:$A$120,MATCH(1,INDEX(--ISNUMBER(SEARCH('Bad Patterns'!$A$2:$A$120,B7058)),0),0)),""))</f>
        <v/>
      </c>
      <c r="D7058">
        <f>IF(B7058="","",IF(C7058&lt;&gt;"","REMOVE","KEEP"))</f>
        <v/>
      </c>
      <c r="E7058">
        <f>IF(D7058&lt;&gt;"KEEP","",IF(RIGHT(B7058,10)="@gmail.com","Gmail",IF(OR(RIGHT(B7058,12)="@outlook.com",RIGHT(B7058,12)="@hotmail.com",RIGHT(B7058,9)="@live.com"),"Outlook","Domain")))</f>
        <v/>
      </c>
      <c r="F7058">
        <f>IF(B7058="","",IFERROR(RIGHT(B7058,LEN(B7058)-FIND("@",B7058)),""))</f>
        <v/>
      </c>
      <c r="G7058">
        <f>IF(D7058="KEEP",COUNTIF($D$2:D7058,"KEEP"),"")</f>
        <v/>
      </c>
      <c r="H7058">
        <f>IF(D7058="REMOVE",COUNTIF($D$2:D7058,"REMOVE"),"")</f>
        <v/>
      </c>
      <c r="I7058">
        <f>IF(E7058="Gmail",COUNTIF($E$2:E7058,"Gmail"),"")</f>
        <v/>
      </c>
      <c r="J7058">
        <f>IF(E7058="Outlook",COUNTIF($E$2:E7058,"Outlook"),"")</f>
        <v/>
      </c>
      <c r="K7058">
        <f>IF(E7058="Domain",COUNTIF($E$2:E7058,"Domain"),"")</f>
        <v/>
      </c>
    </row>
    <row r="7059">
      <c r="A7059" s="2" t="n"/>
      <c r="B7059">
        <f>LOWER(TRIM(A7059))</f>
        <v/>
      </c>
      <c r="C7059">
        <f>IF(B7059="","",IFERROR(INDEX('Bad Patterns'!$A$2:$A$120,MATCH(1,INDEX(--ISNUMBER(SEARCH('Bad Patterns'!$A$2:$A$120,B7059)),0),0)),""))</f>
        <v/>
      </c>
      <c r="D7059">
        <f>IF(B7059="","",IF(C7059&lt;&gt;"","REMOVE","KEEP"))</f>
        <v/>
      </c>
      <c r="E7059">
        <f>IF(D7059&lt;&gt;"KEEP","",IF(RIGHT(B7059,10)="@gmail.com","Gmail",IF(OR(RIGHT(B7059,12)="@outlook.com",RIGHT(B7059,12)="@hotmail.com",RIGHT(B7059,9)="@live.com"),"Outlook","Domain")))</f>
        <v/>
      </c>
      <c r="F7059">
        <f>IF(B7059="","",IFERROR(RIGHT(B7059,LEN(B7059)-FIND("@",B7059)),""))</f>
        <v/>
      </c>
      <c r="G7059">
        <f>IF(D7059="KEEP",COUNTIF($D$2:D7059,"KEEP"),"")</f>
        <v/>
      </c>
      <c r="H7059">
        <f>IF(D7059="REMOVE",COUNTIF($D$2:D7059,"REMOVE"),"")</f>
        <v/>
      </c>
      <c r="I7059">
        <f>IF(E7059="Gmail",COUNTIF($E$2:E7059,"Gmail"),"")</f>
        <v/>
      </c>
      <c r="J7059">
        <f>IF(E7059="Outlook",COUNTIF($E$2:E7059,"Outlook"),"")</f>
        <v/>
      </c>
      <c r="K7059">
        <f>IF(E7059="Domain",COUNTIF($E$2:E7059,"Domain"),"")</f>
        <v/>
      </c>
    </row>
    <row r="7060">
      <c r="A7060" s="2" t="n"/>
      <c r="B7060">
        <f>LOWER(TRIM(A7060))</f>
        <v/>
      </c>
      <c r="C7060">
        <f>IF(B7060="","",IFERROR(INDEX('Bad Patterns'!$A$2:$A$120,MATCH(1,INDEX(--ISNUMBER(SEARCH('Bad Patterns'!$A$2:$A$120,B7060)),0),0)),""))</f>
        <v/>
      </c>
      <c r="D7060">
        <f>IF(B7060="","",IF(C7060&lt;&gt;"","REMOVE","KEEP"))</f>
        <v/>
      </c>
      <c r="E7060">
        <f>IF(D7060&lt;&gt;"KEEP","",IF(RIGHT(B7060,10)="@gmail.com","Gmail",IF(OR(RIGHT(B7060,12)="@outlook.com",RIGHT(B7060,12)="@hotmail.com",RIGHT(B7060,9)="@live.com"),"Outlook","Domain")))</f>
        <v/>
      </c>
      <c r="F7060">
        <f>IF(B7060="","",IFERROR(RIGHT(B7060,LEN(B7060)-FIND("@",B7060)),""))</f>
        <v/>
      </c>
      <c r="G7060">
        <f>IF(D7060="KEEP",COUNTIF($D$2:D7060,"KEEP"),"")</f>
        <v/>
      </c>
      <c r="H7060">
        <f>IF(D7060="REMOVE",COUNTIF($D$2:D7060,"REMOVE"),"")</f>
        <v/>
      </c>
      <c r="I7060">
        <f>IF(E7060="Gmail",COUNTIF($E$2:E7060,"Gmail"),"")</f>
        <v/>
      </c>
      <c r="J7060">
        <f>IF(E7060="Outlook",COUNTIF($E$2:E7060,"Outlook"),"")</f>
        <v/>
      </c>
      <c r="K7060">
        <f>IF(E7060="Domain",COUNTIF($E$2:E7060,"Domain"),"")</f>
        <v/>
      </c>
    </row>
    <row r="7061">
      <c r="A7061" s="2" t="n"/>
      <c r="B7061">
        <f>LOWER(TRIM(A7061))</f>
        <v/>
      </c>
      <c r="C7061">
        <f>IF(B7061="","",IFERROR(INDEX('Bad Patterns'!$A$2:$A$120,MATCH(1,INDEX(--ISNUMBER(SEARCH('Bad Patterns'!$A$2:$A$120,B7061)),0),0)),""))</f>
        <v/>
      </c>
      <c r="D7061">
        <f>IF(B7061="","",IF(C7061&lt;&gt;"","REMOVE","KEEP"))</f>
        <v/>
      </c>
      <c r="E7061">
        <f>IF(D7061&lt;&gt;"KEEP","",IF(RIGHT(B7061,10)="@gmail.com","Gmail",IF(OR(RIGHT(B7061,12)="@outlook.com",RIGHT(B7061,12)="@hotmail.com",RIGHT(B7061,9)="@live.com"),"Outlook","Domain")))</f>
        <v/>
      </c>
      <c r="F7061">
        <f>IF(B7061="","",IFERROR(RIGHT(B7061,LEN(B7061)-FIND("@",B7061)),""))</f>
        <v/>
      </c>
      <c r="G7061">
        <f>IF(D7061="KEEP",COUNTIF($D$2:D7061,"KEEP"),"")</f>
        <v/>
      </c>
      <c r="H7061">
        <f>IF(D7061="REMOVE",COUNTIF($D$2:D7061,"REMOVE"),"")</f>
        <v/>
      </c>
      <c r="I7061">
        <f>IF(E7061="Gmail",COUNTIF($E$2:E7061,"Gmail"),"")</f>
        <v/>
      </c>
      <c r="J7061">
        <f>IF(E7061="Outlook",COUNTIF($E$2:E7061,"Outlook"),"")</f>
        <v/>
      </c>
      <c r="K7061">
        <f>IF(E7061="Domain",COUNTIF($E$2:E7061,"Domain"),"")</f>
        <v/>
      </c>
    </row>
    <row r="7062">
      <c r="A7062" s="2" t="n"/>
      <c r="B7062">
        <f>LOWER(TRIM(A7062))</f>
        <v/>
      </c>
      <c r="C7062">
        <f>IF(B7062="","",IFERROR(INDEX('Bad Patterns'!$A$2:$A$120,MATCH(1,INDEX(--ISNUMBER(SEARCH('Bad Patterns'!$A$2:$A$120,B7062)),0),0)),""))</f>
        <v/>
      </c>
      <c r="D7062">
        <f>IF(B7062="","",IF(C7062&lt;&gt;"","REMOVE","KEEP"))</f>
        <v/>
      </c>
      <c r="E7062">
        <f>IF(D7062&lt;&gt;"KEEP","",IF(RIGHT(B7062,10)="@gmail.com","Gmail",IF(OR(RIGHT(B7062,12)="@outlook.com",RIGHT(B7062,12)="@hotmail.com",RIGHT(B7062,9)="@live.com"),"Outlook","Domain")))</f>
        <v/>
      </c>
      <c r="F7062">
        <f>IF(B7062="","",IFERROR(RIGHT(B7062,LEN(B7062)-FIND("@",B7062)),""))</f>
        <v/>
      </c>
      <c r="G7062">
        <f>IF(D7062="KEEP",COUNTIF($D$2:D7062,"KEEP"),"")</f>
        <v/>
      </c>
      <c r="H7062">
        <f>IF(D7062="REMOVE",COUNTIF($D$2:D7062,"REMOVE"),"")</f>
        <v/>
      </c>
      <c r="I7062">
        <f>IF(E7062="Gmail",COUNTIF($E$2:E7062,"Gmail"),"")</f>
        <v/>
      </c>
      <c r="J7062">
        <f>IF(E7062="Outlook",COUNTIF($E$2:E7062,"Outlook"),"")</f>
        <v/>
      </c>
      <c r="K7062">
        <f>IF(E7062="Domain",COUNTIF($E$2:E7062,"Domain"),"")</f>
        <v/>
      </c>
    </row>
    <row r="7063">
      <c r="A7063" s="2" t="n"/>
      <c r="B7063">
        <f>LOWER(TRIM(A7063))</f>
        <v/>
      </c>
      <c r="C7063">
        <f>IF(B7063="","",IFERROR(INDEX('Bad Patterns'!$A$2:$A$120,MATCH(1,INDEX(--ISNUMBER(SEARCH('Bad Patterns'!$A$2:$A$120,B7063)),0),0)),""))</f>
        <v/>
      </c>
      <c r="D7063">
        <f>IF(B7063="","",IF(C7063&lt;&gt;"","REMOVE","KEEP"))</f>
        <v/>
      </c>
      <c r="E7063">
        <f>IF(D7063&lt;&gt;"KEEP","",IF(RIGHT(B7063,10)="@gmail.com","Gmail",IF(OR(RIGHT(B7063,12)="@outlook.com",RIGHT(B7063,12)="@hotmail.com",RIGHT(B7063,9)="@live.com"),"Outlook","Domain")))</f>
        <v/>
      </c>
      <c r="F7063">
        <f>IF(B7063="","",IFERROR(RIGHT(B7063,LEN(B7063)-FIND("@",B7063)),""))</f>
        <v/>
      </c>
      <c r="G7063">
        <f>IF(D7063="KEEP",COUNTIF($D$2:D7063,"KEEP"),"")</f>
        <v/>
      </c>
      <c r="H7063">
        <f>IF(D7063="REMOVE",COUNTIF($D$2:D7063,"REMOVE"),"")</f>
        <v/>
      </c>
      <c r="I7063">
        <f>IF(E7063="Gmail",COUNTIF($E$2:E7063,"Gmail"),"")</f>
        <v/>
      </c>
      <c r="J7063">
        <f>IF(E7063="Outlook",COUNTIF($E$2:E7063,"Outlook"),"")</f>
        <v/>
      </c>
      <c r="K7063">
        <f>IF(E7063="Domain",COUNTIF($E$2:E7063,"Domain"),"")</f>
        <v/>
      </c>
    </row>
    <row r="7064">
      <c r="A7064" s="2" t="n"/>
      <c r="B7064">
        <f>LOWER(TRIM(A7064))</f>
        <v/>
      </c>
      <c r="C7064">
        <f>IF(B7064="","",IFERROR(INDEX('Bad Patterns'!$A$2:$A$120,MATCH(1,INDEX(--ISNUMBER(SEARCH('Bad Patterns'!$A$2:$A$120,B7064)),0),0)),""))</f>
        <v/>
      </c>
      <c r="D7064">
        <f>IF(B7064="","",IF(C7064&lt;&gt;"","REMOVE","KEEP"))</f>
        <v/>
      </c>
      <c r="E7064">
        <f>IF(D7064&lt;&gt;"KEEP","",IF(RIGHT(B7064,10)="@gmail.com","Gmail",IF(OR(RIGHT(B7064,12)="@outlook.com",RIGHT(B7064,12)="@hotmail.com",RIGHT(B7064,9)="@live.com"),"Outlook","Domain")))</f>
        <v/>
      </c>
      <c r="F7064">
        <f>IF(B7064="","",IFERROR(RIGHT(B7064,LEN(B7064)-FIND("@",B7064)),""))</f>
        <v/>
      </c>
      <c r="G7064">
        <f>IF(D7064="KEEP",COUNTIF($D$2:D7064,"KEEP"),"")</f>
        <v/>
      </c>
      <c r="H7064">
        <f>IF(D7064="REMOVE",COUNTIF($D$2:D7064,"REMOVE"),"")</f>
        <v/>
      </c>
      <c r="I7064">
        <f>IF(E7064="Gmail",COUNTIF($E$2:E7064,"Gmail"),"")</f>
        <v/>
      </c>
      <c r="J7064">
        <f>IF(E7064="Outlook",COUNTIF($E$2:E7064,"Outlook"),"")</f>
        <v/>
      </c>
      <c r="K7064">
        <f>IF(E7064="Domain",COUNTIF($E$2:E7064,"Domain"),"")</f>
        <v/>
      </c>
    </row>
    <row r="7065">
      <c r="A7065" s="2" t="n"/>
      <c r="B7065">
        <f>LOWER(TRIM(A7065))</f>
        <v/>
      </c>
      <c r="C7065">
        <f>IF(B7065="","",IFERROR(INDEX('Bad Patterns'!$A$2:$A$120,MATCH(1,INDEX(--ISNUMBER(SEARCH('Bad Patterns'!$A$2:$A$120,B7065)),0),0)),""))</f>
        <v/>
      </c>
      <c r="D7065">
        <f>IF(B7065="","",IF(C7065&lt;&gt;"","REMOVE","KEEP"))</f>
        <v/>
      </c>
      <c r="E7065">
        <f>IF(D7065&lt;&gt;"KEEP","",IF(RIGHT(B7065,10)="@gmail.com","Gmail",IF(OR(RIGHT(B7065,12)="@outlook.com",RIGHT(B7065,12)="@hotmail.com",RIGHT(B7065,9)="@live.com"),"Outlook","Domain")))</f>
        <v/>
      </c>
      <c r="F7065">
        <f>IF(B7065="","",IFERROR(RIGHT(B7065,LEN(B7065)-FIND("@",B7065)),""))</f>
        <v/>
      </c>
      <c r="G7065">
        <f>IF(D7065="KEEP",COUNTIF($D$2:D7065,"KEEP"),"")</f>
        <v/>
      </c>
      <c r="H7065">
        <f>IF(D7065="REMOVE",COUNTIF($D$2:D7065,"REMOVE"),"")</f>
        <v/>
      </c>
      <c r="I7065">
        <f>IF(E7065="Gmail",COUNTIF($E$2:E7065,"Gmail"),"")</f>
        <v/>
      </c>
      <c r="J7065">
        <f>IF(E7065="Outlook",COUNTIF($E$2:E7065,"Outlook"),"")</f>
        <v/>
      </c>
      <c r="K7065">
        <f>IF(E7065="Domain",COUNTIF($E$2:E7065,"Domain"),"")</f>
        <v/>
      </c>
    </row>
    <row r="7066">
      <c r="A7066" s="2" t="n"/>
      <c r="B7066">
        <f>LOWER(TRIM(A7066))</f>
        <v/>
      </c>
      <c r="C7066">
        <f>IF(B7066="","",IFERROR(INDEX('Bad Patterns'!$A$2:$A$120,MATCH(1,INDEX(--ISNUMBER(SEARCH('Bad Patterns'!$A$2:$A$120,B7066)),0),0)),""))</f>
        <v/>
      </c>
      <c r="D7066">
        <f>IF(B7066="","",IF(C7066&lt;&gt;"","REMOVE","KEEP"))</f>
        <v/>
      </c>
      <c r="E7066">
        <f>IF(D7066&lt;&gt;"KEEP","",IF(RIGHT(B7066,10)="@gmail.com","Gmail",IF(OR(RIGHT(B7066,12)="@outlook.com",RIGHT(B7066,12)="@hotmail.com",RIGHT(B7066,9)="@live.com"),"Outlook","Domain")))</f>
        <v/>
      </c>
      <c r="F7066">
        <f>IF(B7066="","",IFERROR(RIGHT(B7066,LEN(B7066)-FIND("@",B7066)),""))</f>
        <v/>
      </c>
      <c r="G7066">
        <f>IF(D7066="KEEP",COUNTIF($D$2:D7066,"KEEP"),"")</f>
        <v/>
      </c>
      <c r="H7066">
        <f>IF(D7066="REMOVE",COUNTIF($D$2:D7066,"REMOVE"),"")</f>
        <v/>
      </c>
      <c r="I7066">
        <f>IF(E7066="Gmail",COUNTIF($E$2:E7066,"Gmail"),"")</f>
        <v/>
      </c>
      <c r="J7066">
        <f>IF(E7066="Outlook",COUNTIF($E$2:E7066,"Outlook"),"")</f>
        <v/>
      </c>
      <c r="K7066">
        <f>IF(E7066="Domain",COUNTIF($E$2:E7066,"Domain"),"")</f>
        <v/>
      </c>
    </row>
    <row r="7067">
      <c r="A7067" s="2" t="n"/>
      <c r="B7067">
        <f>LOWER(TRIM(A7067))</f>
        <v/>
      </c>
      <c r="C7067">
        <f>IF(B7067="","",IFERROR(INDEX('Bad Patterns'!$A$2:$A$120,MATCH(1,INDEX(--ISNUMBER(SEARCH('Bad Patterns'!$A$2:$A$120,B7067)),0),0)),""))</f>
        <v/>
      </c>
      <c r="D7067">
        <f>IF(B7067="","",IF(C7067&lt;&gt;"","REMOVE","KEEP"))</f>
        <v/>
      </c>
      <c r="E7067">
        <f>IF(D7067&lt;&gt;"KEEP","",IF(RIGHT(B7067,10)="@gmail.com","Gmail",IF(OR(RIGHT(B7067,12)="@outlook.com",RIGHT(B7067,12)="@hotmail.com",RIGHT(B7067,9)="@live.com"),"Outlook","Domain")))</f>
        <v/>
      </c>
      <c r="F7067">
        <f>IF(B7067="","",IFERROR(RIGHT(B7067,LEN(B7067)-FIND("@",B7067)),""))</f>
        <v/>
      </c>
      <c r="G7067">
        <f>IF(D7067="KEEP",COUNTIF($D$2:D7067,"KEEP"),"")</f>
        <v/>
      </c>
      <c r="H7067">
        <f>IF(D7067="REMOVE",COUNTIF($D$2:D7067,"REMOVE"),"")</f>
        <v/>
      </c>
      <c r="I7067">
        <f>IF(E7067="Gmail",COUNTIF($E$2:E7067,"Gmail"),"")</f>
        <v/>
      </c>
      <c r="J7067">
        <f>IF(E7067="Outlook",COUNTIF($E$2:E7067,"Outlook"),"")</f>
        <v/>
      </c>
      <c r="K7067">
        <f>IF(E7067="Domain",COUNTIF($E$2:E7067,"Domain"),"")</f>
        <v/>
      </c>
    </row>
    <row r="7068">
      <c r="A7068" s="2" t="n"/>
      <c r="B7068">
        <f>LOWER(TRIM(A7068))</f>
        <v/>
      </c>
      <c r="C7068">
        <f>IF(B7068="","",IFERROR(INDEX('Bad Patterns'!$A$2:$A$120,MATCH(1,INDEX(--ISNUMBER(SEARCH('Bad Patterns'!$A$2:$A$120,B7068)),0),0)),""))</f>
        <v/>
      </c>
      <c r="D7068">
        <f>IF(B7068="","",IF(C7068&lt;&gt;"","REMOVE","KEEP"))</f>
        <v/>
      </c>
      <c r="E7068">
        <f>IF(D7068&lt;&gt;"KEEP","",IF(RIGHT(B7068,10)="@gmail.com","Gmail",IF(OR(RIGHT(B7068,12)="@outlook.com",RIGHT(B7068,12)="@hotmail.com",RIGHT(B7068,9)="@live.com"),"Outlook","Domain")))</f>
        <v/>
      </c>
      <c r="F7068">
        <f>IF(B7068="","",IFERROR(RIGHT(B7068,LEN(B7068)-FIND("@",B7068)),""))</f>
        <v/>
      </c>
      <c r="G7068">
        <f>IF(D7068="KEEP",COUNTIF($D$2:D7068,"KEEP"),"")</f>
        <v/>
      </c>
      <c r="H7068">
        <f>IF(D7068="REMOVE",COUNTIF($D$2:D7068,"REMOVE"),"")</f>
        <v/>
      </c>
      <c r="I7068">
        <f>IF(E7068="Gmail",COUNTIF($E$2:E7068,"Gmail"),"")</f>
        <v/>
      </c>
      <c r="J7068">
        <f>IF(E7068="Outlook",COUNTIF($E$2:E7068,"Outlook"),"")</f>
        <v/>
      </c>
      <c r="K7068">
        <f>IF(E7068="Domain",COUNTIF($E$2:E7068,"Domain"),"")</f>
        <v/>
      </c>
    </row>
    <row r="7069">
      <c r="A7069" s="2" t="n"/>
      <c r="B7069">
        <f>LOWER(TRIM(A7069))</f>
        <v/>
      </c>
      <c r="C7069">
        <f>IF(B7069="","",IFERROR(INDEX('Bad Patterns'!$A$2:$A$120,MATCH(1,INDEX(--ISNUMBER(SEARCH('Bad Patterns'!$A$2:$A$120,B7069)),0),0)),""))</f>
        <v/>
      </c>
      <c r="D7069">
        <f>IF(B7069="","",IF(C7069&lt;&gt;"","REMOVE","KEEP"))</f>
        <v/>
      </c>
      <c r="E7069">
        <f>IF(D7069&lt;&gt;"KEEP","",IF(RIGHT(B7069,10)="@gmail.com","Gmail",IF(OR(RIGHT(B7069,12)="@outlook.com",RIGHT(B7069,12)="@hotmail.com",RIGHT(B7069,9)="@live.com"),"Outlook","Domain")))</f>
        <v/>
      </c>
      <c r="F7069">
        <f>IF(B7069="","",IFERROR(RIGHT(B7069,LEN(B7069)-FIND("@",B7069)),""))</f>
        <v/>
      </c>
      <c r="G7069">
        <f>IF(D7069="KEEP",COUNTIF($D$2:D7069,"KEEP"),"")</f>
        <v/>
      </c>
      <c r="H7069">
        <f>IF(D7069="REMOVE",COUNTIF($D$2:D7069,"REMOVE"),"")</f>
        <v/>
      </c>
      <c r="I7069">
        <f>IF(E7069="Gmail",COUNTIF($E$2:E7069,"Gmail"),"")</f>
        <v/>
      </c>
      <c r="J7069">
        <f>IF(E7069="Outlook",COUNTIF($E$2:E7069,"Outlook"),"")</f>
        <v/>
      </c>
      <c r="K7069">
        <f>IF(E7069="Domain",COUNTIF($E$2:E7069,"Domain"),"")</f>
        <v/>
      </c>
    </row>
    <row r="7070">
      <c r="A7070" s="2" t="n"/>
      <c r="B7070">
        <f>LOWER(TRIM(A7070))</f>
        <v/>
      </c>
      <c r="C7070">
        <f>IF(B7070="","",IFERROR(INDEX('Bad Patterns'!$A$2:$A$120,MATCH(1,INDEX(--ISNUMBER(SEARCH('Bad Patterns'!$A$2:$A$120,B7070)),0),0)),""))</f>
        <v/>
      </c>
      <c r="D7070">
        <f>IF(B7070="","",IF(C7070&lt;&gt;"","REMOVE","KEEP"))</f>
        <v/>
      </c>
      <c r="E7070">
        <f>IF(D7070&lt;&gt;"KEEP","",IF(RIGHT(B7070,10)="@gmail.com","Gmail",IF(OR(RIGHT(B7070,12)="@outlook.com",RIGHT(B7070,12)="@hotmail.com",RIGHT(B7070,9)="@live.com"),"Outlook","Domain")))</f>
        <v/>
      </c>
      <c r="F7070">
        <f>IF(B7070="","",IFERROR(RIGHT(B7070,LEN(B7070)-FIND("@",B7070)),""))</f>
        <v/>
      </c>
      <c r="G7070">
        <f>IF(D7070="KEEP",COUNTIF($D$2:D7070,"KEEP"),"")</f>
        <v/>
      </c>
      <c r="H7070">
        <f>IF(D7070="REMOVE",COUNTIF($D$2:D7070,"REMOVE"),"")</f>
        <v/>
      </c>
      <c r="I7070">
        <f>IF(E7070="Gmail",COUNTIF($E$2:E7070,"Gmail"),"")</f>
        <v/>
      </c>
      <c r="J7070">
        <f>IF(E7070="Outlook",COUNTIF($E$2:E7070,"Outlook"),"")</f>
        <v/>
      </c>
      <c r="K7070">
        <f>IF(E7070="Domain",COUNTIF($E$2:E7070,"Domain"),"")</f>
        <v/>
      </c>
    </row>
    <row r="7071">
      <c r="A7071" s="2" t="n"/>
      <c r="B7071">
        <f>LOWER(TRIM(A7071))</f>
        <v/>
      </c>
      <c r="C7071">
        <f>IF(B7071="","",IFERROR(INDEX('Bad Patterns'!$A$2:$A$120,MATCH(1,INDEX(--ISNUMBER(SEARCH('Bad Patterns'!$A$2:$A$120,B7071)),0),0)),""))</f>
        <v/>
      </c>
      <c r="D7071">
        <f>IF(B7071="","",IF(C7071&lt;&gt;"","REMOVE","KEEP"))</f>
        <v/>
      </c>
      <c r="E7071">
        <f>IF(D7071&lt;&gt;"KEEP","",IF(RIGHT(B7071,10)="@gmail.com","Gmail",IF(OR(RIGHT(B7071,12)="@outlook.com",RIGHT(B7071,12)="@hotmail.com",RIGHT(B7071,9)="@live.com"),"Outlook","Domain")))</f>
        <v/>
      </c>
      <c r="F7071">
        <f>IF(B7071="","",IFERROR(RIGHT(B7071,LEN(B7071)-FIND("@",B7071)),""))</f>
        <v/>
      </c>
      <c r="G7071">
        <f>IF(D7071="KEEP",COUNTIF($D$2:D7071,"KEEP"),"")</f>
        <v/>
      </c>
      <c r="H7071">
        <f>IF(D7071="REMOVE",COUNTIF($D$2:D7071,"REMOVE"),"")</f>
        <v/>
      </c>
      <c r="I7071">
        <f>IF(E7071="Gmail",COUNTIF($E$2:E7071,"Gmail"),"")</f>
        <v/>
      </c>
      <c r="J7071">
        <f>IF(E7071="Outlook",COUNTIF($E$2:E7071,"Outlook"),"")</f>
        <v/>
      </c>
      <c r="K7071">
        <f>IF(E7071="Domain",COUNTIF($E$2:E7071,"Domain"),"")</f>
        <v/>
      </c>
    </row>
    <row r="7072">
      <c r="A7072" s="2" t="n"/>
      <c r="B7072">
        <f>LOWER(TRIM(A7072))</f>
        <v/>
      </c>
      <c r="C7072">
        <f>IF(B7072="","",IFERROR(INDEX('Bad Patterns'!$A$2:$A$120,MATCH(1,INDEX(--ISNUMBER(SEARCH('Bad Patterns'!$A$2:$A$120,B7072)),0),0)),""))</f>
        <v/>
      </c>
      <c r="D7072">
        <f>IF(B7072="","",IF(C7072&lt;&gt;"","REMOVE","KEEP"))</f>
        <v/>
      </c>
      <c r="E7072">
        <f>IF(D7072&lt;&gt;"KEEP","",IF(RIGHT(B7072,10)="@gmail.com","Gmail",IF(OR(RIGHT(B7072,12)="@outlook.com",RIGHT(B7072,12)="@hotmail.com",RIGHT(B7072,9)="@live.com"),"Outlook","Domain")))</f>
        <v/>
      </c>
      <c r="F7072">
        <f>IF(B7072="","",IFERROR(RIGHT(B7072,LEN(B7072)-FIND("@",B7072)),""))</f>
        <v/>
      </c>
      <c r="G7072">
        <f>IF(D7072="KEEP",COUNTIF($D$2:D7072,"KEEP"),"")</f>
        <v/>
      </c>
      <c r="H7072">
        <f>IF(D7072="REMOVE",COUNTIF($D$2:D7072,"REMOVE"),"")</f>
        <v/>
      </c>
      <c r="I7072">
        <f>IF(E7072="Gmail",COUNTIF($E$2:E7072,"Gmail"),"")</f>
        <v/>
      </c>
      <c r="J7072">
        <f>IF(E7072="Outlook",COUNTIF($E$2:E7072,"Outlook"),"")</f>
        <v/>
      </c>
      <c r="K7072">
        <f>IF(E7072="Domain",COUNTIF($E$2:E7072,"Domain"),"")</f>
        <v/>
      </c>
    </row>
    <row r="7073">
      <c r="A7073" s="2" t="n"/>
      <c r="B7073">
        <f>LOWER(TRIM(A7073))</f>
        <v/>
      </c>
      <c r="C7073">
        <f>IF(B7073="","",IFERROR(INDEX('Bad Patterns'!$A$2:$A$120,MATCH(1,INDEX(--ISNUMBER(SEARCH('Bad Patterns'!$A$2:$A$120,B7073)),0),0)),""))</f>
        <v/>
      </c>
      <c r="D7073">
        <f>IF(B7073="","",IF(C7073&lt;&gt;"","REMOVE","KEEP"))</f>
        <v/>
      </c>
      <c r="E7073">
        <f>IF(D7073&lt;&gt;"KEEP","",IF(RIGHT(B7073,10)="@gmail.com","Gmail",IF(OR(RIGHT(B7073,12)="@outlook.com",RIGHT(B7073,12)="@hotmail.com",RIGHT(B7073,9)="@live.com"),"Outlook","Domain")))</f>
        <v/>
      </c>
      <c r="F7073">
        <f>IF(B7073="","",IFERROR(RIGHT(B7073,LEN(B7073)-FIND("@",B7073)),""))</f>
        <v/>
      </c>
      <c r="G7073">
        <f>IF(D7073="KEEP",COUNTIF($D$2:D7073,"KEEP"),"")</f>
        <v/>
      </c>
      <c r="H7073">
        <f>IF(D7073="REMOVE",COUNTIF($D$2:D7073,"REMOVE"),"")</f>
        <v/>
      </c>
      <c r="I7073">
        <f>IF(E7073="Gmail",COUNTIF($E$2:E7073,"Gmail"),"")</f>
        <v/>
      </c>
      <c r="J7073">
        <f>IF(E7073="Outlook",COUNTIF($E$2:E7073,"Outlook"),"")</f>
        <v/>
      </c>
      <c r="K7073">
        <f>IF(E7073="Domain",COUNTIF($E$2:E7073,"Domain"),"")</f>
        <v/>
      </c>
    </row>
    <row r="7074">
      <c r="A7074" s="2" t="n"/>
      <c r="B7074">
        <f>LOWER(TRIM(A7074))</f>
        <v/>
      </c>
      <c r="C7074">
        <f>IF(B7074="","",IFERROR(INDEX('Bad Patterns'!$A$2:$A$120,MATCH(1,INDEX(--ISNUMBER(SEARCH('Bad Patterns'!$A$2:$A$120,B7074)),0),0)),""))</f>
        <v/>
      </c>
      <c r="D7074">
        <f>IF(B7074="","",IF(C7074&lt;&gt;"","REMOVE","KEEP"))</f>
        <v/>
      </c>
      <c r="E7074">
        <f>IF(D7074&lt;&gt;"KEEP","",IF(RIGHT(B7074,10)="@gmail.com","Gmail",IF(OR(RIGHT(B7074,12)="@outlook.com",RIGHT(B7074,12)="@hotmail.com",RIGHT(B7074,9)="@live.com"),"Outlook","Domain")))</f>
        <v/>
      </c>
      <c r="F7074">
        <f>IF(B7074="","",IFERROR(RIGHT(B7074,LEN(B7074)-FIND("@",B7074)),""))</f>
        <v/>
      </c>
      <c r="G7074">
        <f>IF(D7074="KEEP",COUNTIF($D$2:D7074,"KEEP"),"")</f>
        <v/>
      </c>
      <c r="H7074">
        <f>IF(D7074="REMOVE",COUNTIF($D$2:D7074,"REMOVE"),"")</f>
        <v/>
      </c>
      <c r="I7074">
        <f>IF(E7074="Gmail",COUNTIF($E$2:E7074,"Gmail"),"")</f>
        <v/>
      </c>
      <c r="J7074">
        <f>IF(E7074="Outlook",COUNTIF($E$2:E7074,"Outlook"),"")</f>
        <v/>
      </c>
      <c r="K7074">
        <f>IF(E7074="Domain",COUNTIF($E$2:E7074,"Domain"),"")</f>
        <v/>
      </c>
    </row>
    <row r="7075">
      <c r="A7075" s="2" t="n"/>
      <c r="B7075">
        <f>LOWER(TRIM(A7075))</f>
        <v/>
      </c>
      <c r="C7075">
        <f>IF(B7075="","",IFERROR(INDEX('Bad Patterns'!$A$2:$A$120,MATCH(1,INDEX(--ISNUMBER(SEARCH('Bad Patterns'!$A$2:$A$120,B7075)),0),0)),""))</f>
        <v/>
      </c>
      <c r="D7075">
        <f>IF(B7075="","",IF(C7075&lt;&gt;"","REMOVE","KEEP"))</f>
        <v/>
      </c>
      <c r="E7075">
        <f>IF(D7075&lt;&gt;"KEEP","",IF(RIGHT(B7075,10)="@gmail.com","Gmail",IF(OR(RIGHT(B7075,12)="@outlook.com",RIGHT(B7075,12)="@hotmail.com",RIGHT(B7075,9)="@live.com"),"Outlook","Domain")))</f>
        <v/>
      </c>
      <c r="F7075">
        <f>IF(B7075="","",IFERROR(RIGHT(B7075,LEN(B7075)-FIND("@",B7075)),""))</f>
        <v/>
      </c>
      <c r="G7075">
        <f>IF(D7075="KEEP",COUNTIF($D$2:D7075,"KEEP"),"")</f>
        <v/>
      </c>
      <c r="H7075">
        <f>IF(D7075="REMOVE",COUNTIF($D$2:D7075,"REMOVE"),"")</f>
        <v/>
      </c>
      <c r="I7075">
        <f>IF(E7075="Gmail",COUNTIF($E$2:E7075,"Gmail"),"")</f>
        <v/>
      </c>
      <c r="J7075">
        <f>IF(E7075="Outlook",COUNTIF($E$2:E7075,"Outlook"),"")</f>
        <v/>
      </c>
      <c r="K7075">
        <f>IF(E7075="Domain",COUNTIF($E$2:E7075,"Domain"),"")</f>
        <v/>
      </c>
    </row>
    <row r="7076">
      <c r="A7076" s="2" t="n"/>
      <c r="B7076">
        <f>LOWER(TRIM(A7076))</f>
        <v/>
      </c>
      <c r="C7076">
        <f>IF(B7076="","",IFERROR(INDEX('Bad Patterns'!$A$2:$A$120,MATCH(1,INDEX(--ISNUMBER(SEARCH('Bad Patterns'!$A$2:$A$120,B7076)),0),0)),""))</f>
        <v/>
      </c>
      <c r="D7076">
        <f>IF(B7076="","",IF(C7076&lt;&gt;"","REMOVE","KEEP"))</f>
        <v/>
      </c>
      <c r="E7076">
        <f>IF(D7076&lt;&gt;"KEEP","",IF(RIGHT(B7076,10)="@gmail.com","Gmail",IF(OR(RIGHT(B7076,12)="@outlook.com",RIGHT(B7076,12)="@hotmail.com",RIGHT(B7076,9)="@live.com"),"Outlook","Domain")))</f>
        <v/>
      </c>
      <c r="F7076">
        <f>IF(B7076="","",IFERROR(RIGHT(B7076,LEN(B7076)-FIND("@",B7076)),""))</f>
        <v/>
      </c>
      <c r="G7076">
        <f>IF(D7076="KEEP",COUNTIF($D$2:D7076,"KEEP"),"")</f>
        <v/>
      </c>
      <c r="H7076">
        <f>IF(D7076="REMOVE",COUNTIF($D$2:D7076,"REMOVE"),"")</f>
        <v/>
      </c>
      <c r="I7076">
        <f>IF(E7076="Gmail",COUNTIF($E$2:E7076,"Gmail"),"")</f>
        <v/>
      </c>
      <c r="J7076">
        <f>IF(E7076="Outlook",COUNTIF($E$2:E7076,"Outlook"),"")</f>
        <v/>
      </c>
      <c r="K7076">
        <f>IF(E7076="Domain",COUNTIF($E$2:E7076,"Domain"),"")</f>
        <v/>
      </c>
    </row>
    <row r="7077">
      <c r="A7077" s="2" t="n"/>
      <c r="B7077">
        <f>LOWER(TRIM(A7077))</f>
        <v/>
      </c>
      <c r="C7077">
        <f>IF(B7077="","",IFERROR(INDEX('Bad Patterns'!$A$2:$A$120,MATCH(1,INDEX(--ISNUMBER(SEARCH('Bad Patterns'!$A$2:$A$120,B7077)),0),0)),""))</f>
        <v/>
      </c>
      <c r="D7077">
        <f>IF(B7077="","",IF(C7077&lt;&gt;"","REMOVE","KEEP"))</f>
        <v/>
      </c>
      <c r="E7077">
        <f>IF(D7077&lt;&gt;"KEEP","",IF(RIGHT(B7077,10)="@gmail.com","Gmail",IF(OR(RIGHT(B7077,12)="@outlook.com",RIGHT(B7077,12)="@hotmail.com",RIGHT(B7077,9)="@live.com"),"Outlook","Domain")))</f>
        <v/>
      </c>
      <c r="F7077">
        <f>IF(B7077="","",IFERROR(RIGHT(B7077,LEN(B7077)-FIND("@",B7077)),""))</f>
        <v/>
      </c>
      <c r="G7077">
        <f>IF(D7077="KEEP",COUNTIF($D$2:D7077,"KEEP"),"")</f>
        <v/>
      </c>
      <c r="H7077">
        <f>IF(D7077="REMOVE",COUNTIF($D$2:D7077,"REMOVE"),"")</f>
        <v/>
      </c>
      <c r="I7077">
        <f>IF(E7077="Gmail",COUNTIF($E$2:E7077,"Gmail"),"")</f>
        <v/>
      </c>
      <c r="J7077">
        <f>IF(E7077="Outlook",COUNTIF($E$2:E7077,"Outlook"),"")</f>
        <v/>
      </c>
      <c r="K7077">
        <f>IF(E7077="Domain",COUNTIF($E$2:E7077,"Domain"),"")</f>
        <v/>
      </c>
    </row>
    <row r="7078">
      <c r="A7078" s="2" t="n"/>
      <c r="B7078">
        <f>LOWER(TRIM(A7078))</f>
        <v/>
      </c>
      <c r="C7078">
        <f>IF(B7078="","",IFERROR(INDEX('Bad Patterns'!$A$2:$A$120,MATCH(1,INDEX(--ISNUMBER(SEARCH('Bad Patterns'!$A$2:$A$120,B7078)),0),0)),""))</f>
        <v/>
      </c>
      <c r="D7078">
        <f>IF(B7078="","",IF(C7078&lt;&gt;"","REMOVE","KEEP"))</f>
        <v/>
      </c>
      <c r="E7078">
        <f>IF(D7078&lt;&gt;"KEEP","",IF(RIGHT(B7078,10)="@gmail.com","Gmail",IF(OR(RIGHT(B7078,12)="@outlook.com",RIGHT(B7078,12)="@hotmail.com",RIGHT(B7078,9)="@live.com"),"Outlook","Domain")))</f>
        <v/>
      </c>
      <c r="F7078">
        <f>IF(B7078="","",IFERROR(RIGHT(B7078,LEN(B7078)-FIND("@",B7078)),""))</f>
        <v/>
      </c>
      <c r="G7078">
        <f>IF(D7078="KEEP",COUNTIF($D$2:D7078,"KEEP"),"")</f>
        <v/>
      </c>
      <c r="H7078">
        <f>IF(D7078="REMOVE",COUNTIF($D$2:D7078,"REMOVE"),"")</f>
        <v/>
      </c>
      <c r="I7078">
        <f>IF(E7078="Gmail",COUNTIF($E$2:E7078,"Gmail"),"")</f>
        <v/>
      </c>
      <c r="J7078">
        <f>IF(E7078="Outlook",COUNTIF($E$2:E7078,"Outlook"),"")</f>
        <v/>
      </c>
      <c r="K7078">
        <f>IF(E7078="Domain",COUNTIF($E$2:E7078,"Domain"),"")</f>
        <v/>
      </c>
    </row>
    <row r="7079">
      <c r="A7079" s="2" t="n"/>
      <c r="B7079">
        <f>LOWER(TRIM(A7079))</f>
        <v/>
      </c>
      <c r="C7079">
        <f>IF(B7079="","",IFERROR(INDEX('Bad Patterns'!$A$2:$A$120,MATCH(1,INDEX(--ISNUMBER(SEARCH('Bad Patterns'!$A$2:$A$120,B7079)),0),0)),""))</f>
        <v/>
      </c>
      <c r="D7079">
        <f>IF(B7079="","",IF(C7079&lt;&gt;"","REMOVE","KEEP"))</f>
        <v/>
      </c>
      <c r="E7079">
        <f>IF(D7079&lt;&gt;"KEEP","",IF(RIGHT(B7079,10)="@gmail.com","Gmail",IF(OR(RIGHT(B7079,12)="@outlook.com",RIGHT(B7079,12)="@hotmail.com",RIGHT(B7079,9)="@live.com"),"Outlook","Domain")))</f>
        <v/>
      </c>
      <c r="F7079">
        <f>IF(B7079="","",IFERROR(RIGHT(B7079,LEN(B7079)-FIND("@",B7079)),""))</f>
        <v/>
      </c>
      <c r="G7079">
        <f>IF(D7079="KEEP",COUNTIF($D$2:D7079,"KEEP"),"")</f>
        <v/>
      </c>
      <c r="H7079">
        <f>IF(D7079="REMOVE",COUNTIF($D$2:D7079,"REMOVE"),"")</f>
        <v/>
      </c>
      <c r="I7079">
        <f>IF(E7079="Gmail",COUNTIF($E$2:E7079,"Gmail"),"")</f>
        <v/>
      </c>
      <c r="J7079">
        <f>IF(E7079="Outlook",COUNTIF($E$2:E7079,"Outlook"),"")</f>
        <v/>
      </c>
      <c r="K7079">
        <f>IF(E7079="Domain",COUNTIF($E$2:E7079,"Domain"),"")</f>
        <v/>
      </c>
    </row>
    <row r="7080">
      <c r="A7080" s="2" t="n"/>
      <c r="B7080">
        <f>LOWER(TRIM(A7080))</f>
        <v/>
      </c>
      <c r="C7080">
        <f>IF(B7080="","",IFERROR(INDEX('Bad Patterns'!$A$2:$A$120,MATCH(1,INDEX(--ISNUMBER(SEARCH('Bad Patterns'!$A$2:$A$120,B7080)),0),0)),""))</f>
        <v/>
      </c>
      <c r="D7080">
        <f>IF(B7080="","",IF(C7080&lt;&gt;"","REMOVE","KEEP"))</f>
        <v/>
      </c>
      <c r="E7080">
        <f>IF(D7080&lt;&gt;"KEEP","",IF(RIGHT(B7080,10)="@gmail.com","Gmail",IF(OR(RIGHT(B7080,12)="@outlook.com",RIGHT(B7080,12)="@hotmail.com",RIGHT(B7080,9)="@live.com"),"Outlook","Domain")))</f>
        <v/>
      </c>
      <c r="F7080">
        <f>IF(B7080="","",IFERROR(RIGHT(B7080,LEN(B7080)-FIND("@",B7080)),""))</f>
        <v/>
      </c>
      <c r="G7080">
        <f>IF(D7080="KEEP",COUNTIF($D$2:D7080,"KEEP"),"")</f>
        <v/>
      </c>
      <c r="H7080">
        <f>IF(D7080="REMOVE",COUNTIF($D$2:D7080,"REMOVE"),"")</f>
        <v/>
      </c>
      <c r="I7080">
        <f>IF(E7080="Gmail",COUNTIF($E$2:E7080,"Gmail"),"")</f>
        <v/>
      </c>
      <c r="J7080">
        <f>IF(E7080="Outlook",COUNTIF($E$2:E7080,"Outlook"),"")</f>
        <v/>
      </c>
      <c r="K7080">
        <f>IF(E7080="Domain",COUNTIF($E$2:E7080,"Domain"),"")</f>
        <v/>
      </c>
    </row>
    <row r="7081">
      <c r="A7081" s="2" t="n"/>
      <c r="B7081">
        <f>LOWER(TRIM(A7081))</f>
        <v/>
      </c>
      <c r="C7081">
        <f>IF(B7081="","",IFERROR(INDEX('Bad Patterns'!$A$2:$A$120,MATCH(1,INDEX(--ISNUMBER(SEARCH('Bad Patterns'!$A$2:$A$120,B7081)),0),0)),""))</f>
        <v/>
      </c>
      <c r="D7081">
        <f>IF(B7081="","",IF(C7081&lt;&gt;"","REMOVE","KEEP"))</f>
        <v/>
      </c>
      <c r="E7081">
        <f>IF(D7081&lt;&gt;"KEEP","",IF(RIGHT(B7081,10)="@gmail.com","Gmail",IF(OR(RIGHT(B7081,12)="@outlook.com",RIGHT(B7081,12)="@hotmail.com",RIGHT(B7081,9)="@live.com"),"Outlook","Domain")))</f>
        <v/>
      </c>
      <c r="F7081">
        <f>IF(B7081="","",IFERROR(RIGHT(B7081,LEN(B7081)-FIND("@",B7081)),""))</f>
        <v/>
      </c>
      <c r="G7081">
        <f>IF(D7081="KEEP",COUNTIF($D$2:D7081,"KEEP"),"")</f>
        <v/>
      </c>
      <c r="H7081">
        <f>IF(D7081="REMOVE",COUNTIF($D$2:D7081,"REMOVE"),"")</f>
        <v/>
      </c>
      <c r="I7081">
        <f>IF(E7081="Gmail",COUNTIF($E$2:E7081,"Gmail"),"")</f>
        <v/>
      </c>
      <c r="J7081">
        <f>IF(E7081="Outlook",COUNTIF($E$2:E7081,"Outlook"),"")</f>
        <v/>
      </c>
      <c r="K7081">
        <f>IF(E7081="Domain",COUNTIF($E$2:E7081,"Domain"),"")</f>
        <v/>
      </c>
    </row>
    <row r="7082">
      <c r="A7082" s="2" t="n"/>
      <c r="B7082">
        <f>LOWER(TRIM(A7082))</f>
        <v/>
      </c>
      <c r="C7082">
        <f>IF(B7082="","",IFERROR(INDEX('Bad Patterns'!$A$2:$A$120,MATCH(1,INDEX(--ISNUMBER(SEARCH('Bad Patterns'!$A$2:$A$120,B7082)),0),0)),""))</f>
        <v/>
      </c>
      <c r="D7082">
        <f>IF(B7082="","",IF(C7082&lt;&gt;"","REMOVE","KEEP"))</f>
        <v/>
      </c>
      <c r="E7082">
        <f>IF(D7082&lt;&gt;"KEEP","",IF(RIGHT(B7082,10)="@gmail.com","Gmail",IF(OR(RIGHT(B7082,12)="@outlook.com",RIGHT(B7082,12)="@hotmail.com",RIGHT(B7082,9)="@live.com"),"Outlook","Domain")))</f>
        <v/>
      </c>
      <c r="F7082">
        <f>IF(B7082="","",IFERROR(RIGHT(B7082,LEN(B7082)-FIND("@",B7082)),""))</f>
        <v/>
      </c>
      <c r="G7082">
        <f>IF(D7082="KEEP",COUNTIF($D$2:D7082,"KEEP"),"")</f>
        <v/>
      </c>
      <c r="H7082">
        <f>IF(D7082="REMOVE",COUNTIF($D$2:D7082,"REMOVE"),"")</f>
        <v/>
      </c>
      <c r="I7082">
        <f>IF(E7082="Gmail",COUNTIF($E$2:E7082,"Gmail"),"")</f>
        <v/>
      </c>
      <c r="J7082">
        <f>IF(E7082="Outlook",COUNTIF($E$2:E7082,"Outlook"),"")</f>
        <v/>
      </c>
      <c r="K7082">
        <f>IF(E7082="Domain",COUNTIF($E$2:E7082,"Domain"),"")</f>
        <v/>
      </c>
    </row>
    <row r="7083">
      <c r="A7083" s="2" t="n"/>
      <c r="B7083">
        <f>LOWER(TRIM(A7083))</f>
        <v/>
      </c>
      <c r="C7083">
        <f>IF(B7083="","",IFERROR(INDEX('Bad Patterns'!$A$2:$A$120,MATCH(1,INDEX(--ISNUMBER(SEARCH('Bad Patterns'!$A$2:$A$120,B7083)),0),0)),""))</f>
        <v/>
      </c>
      <c r="D7083">
        <f>IF(B7083="","",IF(C7083&lt;&gt;"","REMOVE","KEEP"))</f>
        <v/>
      </c>
      <c r="E7083">
        <f>IF(D7083&lt;&gt;"KEEP","",IF(RIGHT(B7083,10)="@gmail.com","Gmail",IF(OR(RIGHT(B7083,12)="@outlook.com",RIGHT(B7083,12)="@hotmail.com",RIGHT(B7083,9)="@live.com"),"Outlook","Domain")))</f>
        <v/>
      </c>
      <c r="F7083">
        <f>IF(B7083="","",IFERROR(RIGHT(B7083,LEN(B7083)-FIND("@",B7083)),""))</f>
        <v/>
      </c>
      <c r="G7083">
        <f>IF(D7083="KEEP",COUNTIF($D$2:D7083,"KEEP"),"")</f>
        <v/>
      </c>
      <c r="H7083">
        <f>IF(D7083="REMOVE",COUNTIF($D$2:D7083,"REMOVE"),"")</f>
        <v/>
      </c>
      <c r="I7083">
        <f>IF(E7083="Gmail",COUNTIF($E$2:E7083,"Gmail"),"")</f>
        <v/>
      </c>
      <c r="J7083">
        <f>IF(E7083="Outlook",COUNTIF($E$2:E7083,"Outlook"),"")</f>
        <v/>
      </c>
      <c r="K7083">
        <f>IF(E7083="Domain",COUNTIF($E$2:E7083,"Domain"),"")</f>
        <v/>
      </c>
    </row>
    <row r="7084">
      <c r="A7084" s="2" t="n"/>
      <c r="B7084">
        <f>LOWER(TRIM(A7084))</f>
        <v/>
      </c>
      <c r="C7084">
        <f>IF(B7084="","",IFERROR(INDEX('Bad Patterns'!$A$2:$A$120,MATCH(1,INDEX(--ISNUMBER(SEARCH('Bad Patterns'!$A$2:$A$120,B7084)),0),0)),""))</f>
        <v/>
      </c>
      <c r="D7084">
        <f>IF(B7084="","",IF(C7084&lt;&gt;"","REMOVE","KEEP"))</f>
        <v/>
      </c>
      <c r="E7084">
        <f>IF(D7084&lt;&gt;"KEEP","",IF(RIGHT(B7084,10)="@gmail.com","Gmail",IF(OR(RIGHT(B7084,12)="@outlook.com",RIGHT(B7084,12)="@hotmail.com",RIGHT(B7084,9)="@live.com"),"Outlook","Domain")))</f>
        <v/>
      </c>
      <c r="F7084">
        <f>IF(B7084="","",IFERROR(RIGHT(B7084,LEN(B7084)-FIND("@",B7084)),""))</f>
        <v/>
      </c>
      <c r="G7084">
        <f>IF(D7084="KEEP",COUNTIF($D$2:D7084,"KEEP"),"")</f>
        <v/>
      </c>
      <c r="H7084">
        <f>IF(D7084="REMOVE",COUNTIF($D$2:D7084,"REMOVE"),"")</f>
        <v/>
      </c>
      <c r="I7084">
        <f>IF(E7084="Gmail",COUNTIF($E$2:E7084,"Gmail"),"")</f>
        <v/>
      </c>
      <c r="J7084">
        <f>IF(E7084="Outlook",COUNTIF($E$2:E7084,"Outlook"),"")</f>
        <v/>
      </c>
      <c r="K7084">
        <f>IF(E7084="Domain",COUNTIF($E$2:E7084,"Domain"),"")</f>
        <v/>
      </c>
    </row>
    <row r="7085">
      <c r="A7085" s="2" t="n"/>
      <c r="B7085">
        <f>LOWER(TRIM(A7085))</f>
        <v/>
      </c>
      <c r="C7085">
        <f>IF(B7085="","",IFERROR(INDEX('Bad Patterns'!$A$2:$A$120,MATCH(1,INDEX(--ISNUMBER(SEARCH('Bad Patterns'!$A$2:$A$120,B7085)),0),0)),""))</f>
        <v/>
      </c>
      <c r="D7085">
        <f>IF(B7085="","",IF(C7085&lt;&gt;"","REMOVE","KEEP"))</f>
        <v/>
      </c>
      <c r="E7085">
        <f>IF(D7085&lt;&gt;"KEEP","",IF(RIGHT(B7085,10)="@gmail.com","Gmail",IF(OR(RIGHT(B7085,12)="@outlook.com",RIGHT(B7085,12)="@hotmail.com",RIGHT(B7085,9)="@live.com"),"Outlook","Domain")))</f>
        <v/>
      </c>
      <c r="F7085">
        <f>IF(B7085="","",IFERROR(RIGHT(B7085,LEN(B7085)-FIND("@",B7085)),""))</f>
        <v/>
      </c>
      <c r="G7085">
        <f>IF(D7085="KEEP",COUNTIF($D$2:D7085,"KEEP"),"")</f>
        <v/>
      </c>
      <c r="H7085">
        <f>IF(D7085="REMOVE",COUNTIF($D$2:D7085,"REMOVE"),"")</f>
        <v/>
      </c>
      <c r="I7085">
        <f>IF(E7085="Gmail",COUNTIF($E$2:E7085,"Gmail"),"")</f>
        <v/>
      </c>
      <c r="J7085">
        <f>IF(E7085="Outlook",COUNTIF($E$2:E7085,"Outlook"),"")</f>
        <v/>
      </c>
      <c r="K7085">
        <f>IF(E7085="Domain",COUNTIF($E$2:E7085,"Domain"),"")</f>
        <v/>
      </c>
    </row>
    <row r="7086">
      <c r="A7086" s="2" t="n"/>
      <c r="B7086">
        <f>LOWER(TRIM(A7086))</f>
        <v/>
      </c>
      <c r="C7086">
        <f>IF(B7086="","",IFERROR(INDEX('Bad Patterns'!$A$2:$A$120,MATCH(1,INDEX(--ISNUMBER(SEARCH('Bad Patterns'!$A$2:$A$120,B7086)),0),0)),""))</f>
        <v/>
      </c>
      <c r="D7086">
        <f>IF(B7086="","",IF(C7086&lt;&gt;"","REMOVE","KEEP"))</f>
        <v/>
      </c>
      <c r="E7086">
        <f>IF(D7086&lt;&gt;"KEEP","",IF(RIGHT(B7086,10)="@gmail.com","Gmail",IF(OR(RIGHT(B7086,12)="@outlook.com",RIGHT(B7086,12)="@hotmail.com",RIGHT(B7086,9)="@live.com"),"Outlook","Domain")))</f>
        <v/>
      </c>
      <c r="F7086">
        <f>IF(B7086="","",IFERROR(RIGHT(B7086,LEN(B7086)-FIND("@",B7086)),""))</f>
        <v/>
      </c>
      <c r="G7086">
        <f>IF(D7086="KEEP",COUNTIF($D$2:D7086,"KEEP"),"")</f>
        <v/>
      </c>
      <c r="H7086">
        <f>IF(D7086="REMOVE",COUNTIF($D$2:D7086,"REMOVE"),"")</f>
        <v/>
      </c>
      <c r="I7086">
        <f>IF(E7086="Gmail",COUNTIF($E$2:E7086,"Gmail"),"")</f>
        <v/>
      </c>
      <c r="J7086">
        <f>IF(E7086="Outlook",COUNTIF($E$2:E7086,"Outlook"),"")</f>
        <v/>
      </c>
      <c r="K7086">
        <f>IF(E7086="Domain",COUNTIF($E$2:E7086,"Domain"),"")</f>
        <v/>
      </c>
    </row>
    <row r="7087">
      <c r="A7087" s="2" t="n"/>
      <c r="B7087">
        <f>LOWER(TRIM(A7087))</f>
        <v/>
      </c>
      <c r="C7087">
        <f>IF(B7087="","",IFERROR(INDEX('Bad Patterns'!$A$2:$A$120,MATCH(1,INDEX(--ISNUMBER(SEARCH('Bad Patterns'!$A$2:$A$120,B7087)),0),0)),""))</f>
        <v/>
      </c>
      <c r="D7087">
        <f>IF(B7087="","",IF(C7087&lt;&gt;"","REMOVE","KEEP"))</f>
        <v/>
      </c>
      <c r="E7087">
        <f>IF(D7087&lt;&gt;"KEEP","",IF(RIGHT(B7087,10)="@gmail.com","Gmail",IF(OR(RIGHT(B7087,12)="@outlook.com",RIGHT(B7087,12)="@hotmail.com",RIGHT(B7087,9)="@live.com"),"Outlook","Domain")))</f>
        <v/>
      </c>
      <c r="F7087">
        <f>IF(B7087="","",IFERROR(RIGHT(B7087,LEN(B7087)-FIND("@",B7087)),""))</f>
        <v/>
      </c>
      <c r="G7087">
        <f>IF(D7087="KEEP",COUNTIF($D$2:D7087,"KEEP"),"")</f>
        <v/>
      </c>
      <c r="H7087">
        <f>IF(D7087="REMOVE",COUNTIF($D$2:D7087,"REMOVE"),"")</f>
        <v/>
      </c>
      <c r="I7087">
        <f>IF(E7087="Gmail",COUNTIF($E$2:E7087,"Gmail"),"")</f>
        <v/>
      </c>
      <c r="J7087">
        <f>IF(E7087="Outlook",COUNTIF($E$2:E7087,"Outlook"),"")</f>
        <v/>
      </c>
      <c r="K7087">
        <f>IF(E7087="Domain",COUNTIF($E$2:E7087,"Domain"),"")</f>
        <v/>
      </c>
    </row>
    <row r="7088">
      <c r="A7088" s="2" t="n"/>
      <c r="B7088">
        <f>LOWER(TRIM(A7088))</f>
        <v/>
      </c>
      <c r="C7088">
        <f>IF(B7088="","",IFERROR(INDEX('Bad Patterns'!$A$2:$A$120,MATCH(1,INDEX(--ISNUMBER(SEARCH('Bad Patterns'!$A$2:$A$120,B7088)),0),0)),""))</f>
        <v/>
      </c>
      <c r="D7088">
        <f>IF(B7088="","",IF(C7088&lt;&gt;"","REMOVE","KEEP"))</f>
        <v/>
      </c>
      <c r="E7088">
        <f>IF(D7088&lt;&gt;"KEEP","",IF(RIGHT(B7088,10)="@gmail.com","Gmail",IF(OR(RIGHT(B7088,12)="@outlook.com",RIGHT(B7088,12)="@hotmail.com",RIGHT(B7088,9)="@live.com"),"Outlook","Domain")))</f>
        <v/>
      </c>
      <c r="F7088">
        <f>IF(B7088="","",IFERROR(RIGHT(B7088,LEN(B7088)-FIND("@",B7088)),""))</f>
        <v/>
      </c>
      <c r="G7088">
        <f>IF(D7088="KEEP",COUNTIF($D$2:D7088,"KEEP"),"")</f>
        <v/>
      </c>
      <c r="H7088">
        <f>IF(D7088="REMOVE",COUNTIF($D$2:D7088,"REMOVE"),"")</f>
        <v/>
      </c>
      <c r="I7088">
        <f>IF(E7088="Gmail",COUNTIF($E$2:E7088,"Gmail"),"")</f>
        <v/>
      </c>
      <c r="J7088">
        <f>IF(E7088="Outlook",COUNTIF($E$2:E7088,"Outlook"),"")</f>
        <v/>
      </c>
      <c r="K7088">
        <f>IF(E7088="Domain",COUNTIF($E$2:E7088,"Domain"),"")</f>
        <v/>
      </c>
    </row>
    <row r="7089">
      <c r="A7089" s="2" t="n"/>
      <c r="B7089">
        <f>LOWER(TRIM(A7089))</f>
        <v/>
      </c>
      <c r="C7089">
        <f>IF(B7089="","",IFERROR(INDEX('Bad Patterns'!$A$2:$A$120,MATCH(1,INDEX(--ISNUMBER(SEARCH('Bad Patterns'!$A$2:$A$120,B7089)),0),0)),""))</f>
        <v/>
      </c>
      <c r="D7089">
        <f>IF(B7089="","",IF(C7089&lt;&gt;"","REMOVE","KEEP"))</f>
        <v/>
      </c>
      <c r="E7089">
        <f>IF(D7089&lt;&gt;"KEEP","",IF(RIGHT(B7089,10)="@gmail.com","Gmail",IF(OR(RIGHT(B7089,12)="@outlook.com",RIGHT(B7089,12)="@hotmail.com",RIGHT(B7089,9)="@live.com"),"Outlook","Domain")))</f>
        <v/>
      </c>
      <c r="F7089">
        <f>IF(B7089="","",IFERROR(RIGHT(B7089,LEN(B7089)-FIND("@",B7089)),""))</f>
        <v/>
      </c>
      <c r="G7089">
        <f>IF(D7089="KEEP",COUNTIF($D$2:D7089,"KEEP"),"")</f>
        <v/>
      </c>
      <c r="H7089">
        <f>IF(D7089="REMOVE",COUNTIF($D$2:D7089,"REMOVE"),"")</f>
        <v/>
      </c>
      <c r="I7089">
        <f>IF(E7089="Gmail",COUNTIF($E$2:E7089,"Gmail"),"")</f>
        <v/>
      </c>
      <c r="J7089">
        <f>IF(E7089="Outlook",COUNTIF($E$2:E7089,"Outlook"),"")</f>
        <v/>
      </c>
      <c r="K7089">
        <f>IF(E7089="Domain",COUNTIF($E$2:E7089,"Domain"),"")</f>
        <v/>
      </c>
    </row>
    <row r="7090">
      <c r="A7090" s="2" t="n"/>
      <c r="B7090">
        <f>LOWER(TRIM(A7090))</f>
        <v/>
      </c>
      <c r="C7090">
        <f>IF(B7090="","",IFERROR(INDEX('Bad Patterns'!$A$2:$A$120,MATCH(1,INDEX(--ISNUMBER(SEARCH('Bad Patterns'!$A$2:$A$120,B7090)),0),0)),""))</f>
        <v/>
      </c>
      <c r="D7090">
        <f>IF(B7090="","",IF(C7090&lt;&gt;"","REMOVE","KEEP"))</f>
        <v/>
      </c>
      <c r="E7090">
        <f>IF(D7090&lt;&gt;"KEEP","",IF(RIGHT(B7090,10)="@gmail.com","Gmail",IF(OR(RIGHT(B7090,12)="@outlook.com",RIGHT(B7090,12)="@hotmail.com",RIGHT(B7090,9)="@live.com"),"Outlook","Domain")))</f>
        <v/>
      </c>
      <c r="F7090">
        <f>IF(B7090="","",IFERROR(RIGHT(B7090,LEN(B7090)-FIND("@",B7090)),""))</f>
        <v/>
      </c>
      <c r="G7090">
        <f>IF(D7090="KEEP",COUNTIF($D$2:D7090,"KEEP"),"")</f>
        <v/>
      </c>
      <c r="H7090">
        <f>IF(D7090="REMOVE",COUNTIF($D$2:D7090,"REMOVE"),"")</f>
        <v/>
      </c>
      <c r="I7090">
        <f>IF(E7090="Gmail",COUNTIF($E$2:E7090,"Gmail"),"")</f>
        <v/>
      </c>
      <c r="J7090">
        <f>IF(E7090="Outlook",COUNTIF($E$2:E7090,"Outlook"),"")</f>
        <v/>
      </c>
      <c r="K7090">
        <f>IF(E7090="Domain",COUNTIF($E$2:E7090,"Domain"),"")</f>
        <v/>
      </c>
    </row>
    <row r="7091">
      <c r="A7091" s="2" t="n"/>
      <c r="B7091">
        <f>LOWER(TRIM(A7091))</f>
        <v/>
      </c>
      <c r="C7091">
        <f>IF(B7091="","",IFERROR(INDEX('Bad Patterns'!$A$2:$A$120,MATCH(1,INDEX(--ISNUMBER(SEARCH('Bad Patterns'!$A$2:$A$120,B7091)),0),0)),""))</f>
        <v/>
      </c>
      <c r="D7091">
        <f>IF(B7091="","",IF(C7091&lt;&gt;"","REMOVE","KEEP"))</f>
        <v/>
      </c>
      <c r="E7091">
        <f>IF(D7091&lt;&gt;"KEEP","",IF(RIGHT(B7091,10)="@gmail.com","Gmail",IF(OR(RIGHT(B7091,12)="@outlook.com",RIGHT(B7091,12)="@hotmail.com",RIGHT(B7091,9)="@live.com"),"Outlook","Domain")))</f>
        <v/>
      </c>
      <c r="F7091">
        <f>IF(B7091="","",IFERROR(RIGHT(B7091,LEN(B7091)-FIND("@",B7091)),""))</f>
        <v/>
      </c>
      <c r="G7091">
        <f>IF(D7091="KEEP",COUNTIF($D$2:D7091,"KEEP"),"")</f>
        <v/>
      </c>
      <c r="H7091">
        <f>IF(D7091="REMOVE",COUNTIF($D$2:D7091,"REMOVE"),"")</f>
        <v/>
      </c>
      <c r="I7091">
        <f>IF(E7091="Gmail",COUNTIF($E$2:E7091,"Gmail"),"")</f>
        <v/>
      </c>
      <c r="J7091">
        <f>IF(E7091="Outlook",COUNTIF($E$2:E7091,"Outlook"),"")</f>
        <v/>
      </c>
      <c r="K7091">
        <f>IF(E7091="Domain",COUNTIF($E$2:E7091,"Domain"),"")</f>
        <v/>
      </c>
    </row>
    <row r="7092">
      <c r="A7092" s="2" t="n"/>
      <c r="B7092">
        <f>LOWER(TRIM(A7092))</f>
        <v/>
      </c>
      <c r="C7092">
        <f>IF(B7092="","",IFERROR(INDEX('Bad Patterns'!$A$2:$A$120,MATCH(1,INDEX(--ISNUMBER(SEARCH('Bad Patterns'!$A$2:$A$120,B7092)),0),0)),""))</f>
        <v/>
      </c>
      <c r="D7092">
        <f>IF(B7092="","",IF(C7092&lt;&gt;"","REMOVE","KEEP"))</f>
        <v/>
      </c>
      <c r="E7092">
        <f>IF(D7092&lt;&gt;"KEEP","",IF(RIGHT(B7092,10)="@gmail.com","Gmail",IF(OR(RIGHT(B7092,12)="@outlook.com",RIGHT(B7092,12)="@hotmail.com",RIGHT(B7092,9)="@live.com"),"Outlook","Domain")))</f>
        <v/>
      </c>
      <c r="F7092">
        <f>IF(B7092="","",IFERROR(RIGHT(B7092,LEN(B7092)-FIND("@",B7092)),""))</f>
        <v/>
      </c>
      <c r="G7092">
        <f>IF(D7092="KEEP",COUNTIF($D$2:D7092,"KEEP"),"")</f>
        <v/>
      </c>
      <c r="H7092">
        <f>IF(D7092="REMOVE",COUNTIF($D$2:D7092,"REMOVE"),"")</f>
        <v/>
      </c>
      <c r="I7092">
        <f>IF(E7092="Gmail",COUNTIF($E$2:E7092,"Gmail"),"")</f>
        <v/>
      </c>
      <c r="J7092">
        <f>IF(E7092="Outlook",COUNTIF($E$2:E7092,"Outlook"),"")</f>
        <v/>
      </c>
      <c r="K7092">
        <f>IF(E7092="Domain",COUNTIF($E$2:E7092,"Domain"),"")</f>
        <v/>
      </c>
    </row>
    <row r="7093">
      <c r="A7093" s="2" t="n"/>
      <c r="B7093">
        <f>LOWER(TRIM(A7093))</f>
        <v/>
      </c>
      <c r="C7093">
        <f>IF(B7093="","",IFERROR(INDEX('Bad Patterns'!$A$2:$A$120,MATCH(1,INDEX(--ISNUMBER(SEARCH('Bad Patterns'!$A$2:$A$120,B7093)),0),0)),""))</f>
        <v/>
      </c>
      <c r="D7093">
        <f>IF(B7093="","",IF(C7093&lt;&gt;"","REMOVE","KEEP"))</f>
        <v/>
      </c>
      <c r="E7093">
        <f>IF(D7093&lt;&gt;"KEEP","",IF(RIGHT(B7093,10)="@gmail.com","Gmail",IF(OR(RIGHT(B7093,12)="@outlook.com",RIGHT(B7093,12)="@hotmail.com",RIGHT(B7093,9)="@live.com"),"Outlook","Domain")))</f>
        <v/>
      </c>
      <c r="F7093">
        <f>IF(B7093="","",IFERROR(RIGHT(B7093,LEN(B7093)-FIND("@",B7093)),""))</f>
        <v/>
      </c>
      <c r="G7093">
        <f>IF(D7093="KEEP",COUNTIF($D$2:D7093,"KEEP"),"")</f>
        <v/>
      </c>
      <c r="H7093">
        <f>IF(D7093="REMOVE",COUNTIF($D$2:D7093,"REMOVE"),"")</f>
        <v/>
      </c>
      <c r="I7093">
        <f>IF(E7093="Gmail",COUNTIF($E$2:E7093,"Gmail"),"")</f>
        <v/>
      </c>
      <c r="J7093">
        <f>IF(E7093="Outlook",COUNTIF($E$2:E7093,"Outlook"),"")</f>
        <v/>
      </c>
      <c r="K7093">
        <f>IF(E7093="Domain",COUNTIF($E$2:E7093,"Domain"),"")</f>
        <v/>
      </c>
    </row>
    <row r="7094">
      <c r="A7094" s="2" t="n"/>
      <c r="B7094">
        <f>LOWER(TRIM(A7094))</f>
        <v/>
      </c>
      <c r="C7094">
        <f>IF(B7094="","",IFERROR(INDEX('Bad Patterns'!$A$2:$A$120,MATCH(1,INDEX(--ISNUMBER(SEARCH('Bad Patterns'!$A$2:$A$120,B7094)),0),0)),""))</f>
        <v/>
      </c>
      <c r="D7094">
        <f>IF(B7094="","",IF(C7094&lt;&gt;"","REMOVE","KEEP"))</f>
        <v/>
      </c>
      <c r="E7094">
        <f>IF(D7094&lt;&gt;"KEEP","",IF(RIGHT(B7094,10)="@gmail.com","Gmail",IF(OR(RIGHT(B7094,12)="@outlook.com",RIGHT(B7094,12)="@hotmail.com",RIGHT(B7094,9)="@live.com"),"Outlook","Domain")))</f>
        <v/>
      </c>
      <c r="F7094">
        <f>IF(B7094="","",IFERROR(RIGHT(B7094,LEN(B7094)-FIND("@",B7094)),""))</f>
        <v/>
      </c>
      <c r="G7094">
        <f>IF(D7094="KEEP",COUNTIF($D$2:D7094,"KEEP"),"")</f>
        <v/>
      </c>
      <c r="H7094">
        <f>IF(D7094="REMOVE",COUNTIF($D$2:D7094,"REMOVE"),"")</f>
        <v/>
      </c>
      <c r="I7094">
        <f>IF(E7094="Gmail",COUNTIF($E$2:E7094,"Gmail"),"")</f>
        <v/>
      </c>
      <c r="J7094">
        <f>IF(E7094="Outlook",COUNTIF($E$2:E7094,"Outlook"),"")</f>
        <v/>
      </c>
      <c r="K7094">
        <f>IF(E7094="Domain",COUNTIF($E$2:E7094,"Domain"),"")</f>
        <v/>
      </c>
    </row>
    <row r="7095">
      <c r="A7095" s="2" t="n"/>
      <c r="B7095">
        <f>LOWER(TRIM(A7095))</f>
        <v/>
      </c>
      <c r="C7095">
        <f>IF(B7095="","",IFERROR(INDEX('Bad Patterns'!$A$2:$A$120,MATCH(1,INDEX(--ISNUMBER(SEARCH('Bad Patterns'!$A$2:$A$120,B7095)),0),0)),""))</f>
        <v/>
      </c>
      <c r="D7095">
        <f>IF(B7095="","",IF(C7095&lt;&gt;"","REMOVE","KEEP"))</f>
        <v/>
      </c>
      <c r="E7095">
        <f>IF(D7095&lt;&gt;"KEEP","",IF(RIGHT(B7095,10)="@gmail.com","Gmail",IF(OR(RIGHT(B7095,12)="@outlook.com",RIGHT(B7095,12)="@hotmail.com",RIGHT(B7095,9)="@live.com"),"Outlook","Domain")))</f>
        <v/>
      </c>
      <c r="F7095">
        <f>IF(B7095="","",IFERROR(RIGHT(B7095,LEN(B7095)-FIND("@",B7095)),""))</f>
        <v/>
      </c>
      <c r="G7095">
        <f>IF(D7095="KEEP",COUNTIF($D$2:D7095,"KEEP"),"")</f>
        <v/>
      </c>
      <c r="H7095">
        <f>IF(D7095="REMOVE",COUNTIF($D$2:D7095,"REMOVE"),"")</f>
        <v/>
      </c>
      <c r="I7095">
        <f>IF(E7095="Gmail",COUNTIF($E$2:E7095,"Gmail"),"")</f>
        <v/>
      </c>
      <c r="J7095">
        <f>IF(E7095="Outlook",COUNTIF($E$2:E7095,"Outlook"),"")</f>
        <v/>
      </c>
      <c r="K7095">
        <f>IF(E7095="Domain",COUNTIF($E$2:E7095,"Domain"),"")</f>
        <v/>
      </c>
    </row>
    <row r="7096">
      <c r="A7096" s="2" t="n"/>
      <c r="B7096">
        <f>LOWER(TRIM(A7096))</f>
        <v/>
      </c>
      <c r="C7096">
        <f>IF(B7096="","",IFERROR(INDEX('Bad Patterns'!$A$2:$A$120,MATCH(1,INDEX(--ISNUMBER(SEARCH('Bad Patterns'!$A$2:$A$120,B7096)),0),0)),""))</f>
        <v/>
      </c>
      <c r="D7096">
        <f>IF(B7096="","",IF(C7096&lt;&gt;"","REMOVE","KEEP"))</f>
        <v/>
      </c>
      <c r="E7096">
        <f>IF(D7096&lt;&gt;"KEEP","",IF(RIGHT(B7096,10)="@gmail.com","Gmail",IF(OR(RIGHT(B7096,12)="@outlook.com",RIGHT(B7096,12)="@hotmail.com",RIGHT(B7096,9)="@live.com"),"Outlook","Domain")))</f>
        <v/>
      </c>
      <c r="F7096">
        <f>IF(B7096="","",IFERROR(RIGHT(B7096,LEN(B7096)-FIND("@",B7096)),""))</f>
        <v/>
      </c>
      <c r="G7096">
        <f>IF(D7096="KEEP",COUNTIF($D$2:D7096,"KEEP"),"")</f>
        <v/>
      </c>
      <c r="H7096">
        <f>IF(D7096="REMOVE",COUNTIF($D$2:D7096,"REMOVE"),"")</f>
        <v/>
      </c>
      <c r="I7096">
        <f>IF(E7096="Gmail",COUNTIF($E$2:E7096,"Gmail"),"")</f>
        <v/>
      </c>
      <c r="J7096">
        <f>IF(E7096="Outlook",COUNTIF($E$2:E7096,"Outlook"),"")</f>
        <v/>
      </c>
      <c r="K7096">
        <f>IF(E7096="Domain",COUNTIF($E$2:E7096,"Domain"),"")</f>
        <v/>
      </c>
    </row>
    <row r="7097">
      <c r="A7097" s="2" t="n"/>
      <c r="B7097">
        <f>LOWER(TRIM(A7097))</f>
        <v/>
      </c>
      <c r="C7097">
        <f>IF(B7097="","",IFERROR(INDEX('Bad Patterns'!$A$2:$A$120,MATCH(1,INDEX(--ISNUMBER(SEARCH('Bad Patterns'!$A$2:$A$120,B7097)),0),0)),""))</f>
        <v/>
      </c>
      <c r="D7097">
        <f>IF(B7097="","",IF(C7097&lt;&gt;"","REMOVE","KEEP"))</f>
        <v/>
      </c>
      <c r="E7097">
        <f>IF(D7097&lt;&gt;"KEEP","",IF(RIGHT(B7097,10)="@gmail.com","Gmail",IF(OR(RIGHT(B7097,12)="@outlook.com",RIGHT(B7097,12)="@hotmail.com",RIGHT(B7097,9)="@live.com"),"Outlook","Domain")))</f>
        <v/>
      </c>
      <c r="F7097">
        <f>IF(B7097="","",IFERROR(RIGHT(B7097,LEN(B7097)-FIND("@",B7097)),""))</f>
        <v/>
      </c>
      <c r="G7097">
        <f>IF(D7097="KEEP",COUNTIF($D$2:D7097,"KEEP"),"")</f>
        <v/>
      </c>
      <c r="H7097">
        <f>IF(D7097="REMOVE",COUNTIF($D$2:D7097,"REMOVE"),"")</f>
        <v/>
      </c>
      <c r="I7097">
        <f>IF(E7097="Gmail",COUNTIF($E$2:E7097,"Gmail"),"")</f>
        <v/>
      </c>
      <c r="J7097">
        <f>IF(E7097="Outlook",COUNTIF($E$2:E7097,"Outlook"),"")</f>
        <v/>
      </c>
      <c r="K7097">
        <f>IF(E7097="Domain",COUNTIF($E$2:E7097,"Domain"),"")</f>
        <v/>
      </c>
    </row>
    <row r="7098">
      <c r="A7098" s="2" t="n"/>
      <c r="B7098">
        <f>LOWER(TRIM(A7098))</f>
        <v/>
      </c>
      <c r="C7098">
        <f>IF(B7098="","",IFERROR(INDEX('Bad Patterns'!$A$2:$A$120,MATCH(1,INDEX(--ISNUMBER(SEARCH('Bad Patterns'!$A$2:$A$120,B7098)),0),0)),""))</f>
        <v/>
      </c>
      <c r="D7098">
        <f>IF(B7098="","",IF(C7098&lt;&gt;"","REMOVE","KEEP"))</f>
        <v/>
      </c>
      <c r="E7098">
        <f>IF(D7098&lt;&gt;"KEEP","",IF(RIGHT(B7098,10)="@gmail.com","Gmail",IF(OR(RIGHT(B7098,12)="@outlook.com",RIGHT(B7098,12)="@hotmail.com",RIGHT(B7098,9)="@live.com"),"Outlook","Domain")))</f>
        <v/>
      </c>
      <c r="F7098">
        <f>IF(B7098="","",IFERROR(RIGHT(B7098,LEN(B7098)-FIND("@",B7098)),""))</f>
        <v/>
      </c>
      <c r="G7098">
        <f>IF(D7098="KEEP",COUNTIF($D$2:D7098,"KEEP"),"")</f>
        <v/>
      </c>
      <c r="H7098">
        <f>IF(D7098="REMOVE",COUNTIF($D$2:D7098,"REMOVE"),"")</f>
        <v/>
      </c>
      <c r="I7098">
        <f>IF(E7098="Gmail",COUNTIF($E$2:E7098,"Gmail"),"")</f>
        <v/>
      </c>
      <c r="J7098">
        <f>IF(E7098="Outlook",COUNTIF($E$2:E7098,"Outlook"),"")</f>
        <v/>
      </c>
      <c r="K7098">
        <f>IF(E7098="Domain",COUNTIF($E$2:E7098,"Domain"),"")</f>
        <v/>
      </c>
    </row>
    <row r="7099">
      <c r="A7099" s="2" t="n"/>
      <c r="B7099">
        <f>LOWER(TRIM(A7099))</f>
        <v/>
      </c>
      <c r="C7099">
        <f>IF(B7099="","",IFERROR(INDEX('Bad Patterns'!$A$2:$A$120,MATCH(1,INDEX(--ISNUMBER(SEARCH('Bad Patterns'!$A$2:$A$120,B7099)),0),0)),""))</f>
        <v/>
      </c>
      <c r="D7099">
        <f>IF(B7099="","",IF(C7099&lt;&gt;"","REMOVE","KEEP"))</f>
        <v/>
      </c>
      <c r="E7099">
        <f>IF(D7099&lt;&gt;"KEEP","",IF(RIGHT(B7099,10)="@gmail.com","Gmail",IF(OR(RIGHT(B7099,12)="@outlook.com",RIGHT(B7099,12)="@hotmail.com",RIGHT(B7099,9)="@live.com"),"Outlook","Domain")))</f>
        <v/>
      </c>
      <c r="F7099">
        <f>IF(B7099="","",IFERROR(RIGHT(B7099,LEN(B7099)-FIND("@",B7099)),""))</f>
        <v/>
      </c>
      <c r="G7099">
        <f>IF(D7099="KEEP",COUNTIF($D$2:D7099,"KEEP"),"")</f>
        <v/>
      </c>
      <c r="H7099">
        <f>IF(D7099="REMOVE",COUNTIF($D$2:D7099,"REMOVE"),"")</f>
        <v/>
      </c>
      <c r="I7099">
        <f>IF(E7099="Gmail",COUNTIF($E$2:E7099,"Gmail"),"")</f>
        <v/>
      </c>
      <c r="J7099">
        <f>IF(E7099="Outlook",COUNTIF($E$2:E7099,"Outlook"),"")</f>
        <v/>
      </c>
      <c r="K7099">
        <f>IF(E7099="Domain",COUNTIF($E$2:E7099,"Domain"),"")</f>
        <v/>
      </c>
    </row>
    <row r="7100">
      <c r="A7100" s="2" t="n"/>
      <c r="B7100">
        <f>LOWER(TRIM(A7100))</f>
        <v/>
      </c>
      <c r="C7100">
        <f>IF(B7100="","",IFERROR(INDEX('Bad Patterns'!$A$2:$A$120,MATCH(1,INDEX(--ISNUMBER(SEARCH('Bad Patterns'!$A$2:$A$120,B7100)),0),0)),""))</f>
        <v/>
      </c>
      <c r="D7100">
        <f>IF(B7100="","",IF(C7100&lt;&gt;"","REMOVE","KEEP"))</f>
        <v/>
      </c>
      <c r="E7100">
        <f>IF(D7100&lt;&gt;"KEEP","",IF(RIGHT(B7100,10)="@gmail.com","Gmail",IF(OR(RIGHT(B7100,12)="@outlook.com",RIGHT(B7100,12)="@hotmail.com",RIGHT(B7100,9)="@live.com"),"Outlook","Domain")))</f>
        <v/>
      </c>
      <c r="F7100">
        <f>IF(B7100="","",IFERROR(RIGHT(B7100,LEN(B7100)-FIND("@",B7100)),""))</f>
        <v/>
      </c>
      <c r="G7100">
        <f>IF(D7100="KEEP",COUNTIF($D$2:D7100,"KEEP"),"")</f>
        <v/>
      </c>
      <c r="H7100">
        <f>IF(D7100="REMOVE",COUNTIF($D$2:D7100,"REMOVE"),"")</f>
        <v/>
      </c>
      <c r="I7100">
        <f>IF(E7100="Gmail",COUNTIF($E$2:E7100,"Gmail"),"")</f>
        <v/>
      </c>
      <c r="J7100">
        <f>IF(E7100="Outlook",COUNTIF($E$2:E7100,"Outlook"),"")</f>
        <v/>
      </c>
      <c r="K7100">
        <f>IF(E7100="Domain",COUNTIF($E$2:E7100,"Domain"),"")</f>
        <v/>
      </c>
    </row>
    <row r="7101">
      <c r="A7101" s="2" t="n"/>
      <c r="B7101">
        <f>LOWER(TRIM(A7101))</f>
        <v/>
      </c>
      <c r="C7101">
        <f>IF(B7101="","",IFERROR(INDEX('Bad Patterns'!$A$2:$A$120,MATCH(1,INDEX(--ISNUMBER(SEARCH('Bad Patterns'!$A$2:$A$120,B7101)),0),0)),""))</f>
        <v/>
      </c>
      <c r="D7101">
        <f>IF(B7101="","",IF(C7101&lt;&gt;"","REMOVE","KEEP"))</f>
        <v/>
      </c>
      <c r="E7101">
        <f>IF(D7101&lt;&gt;"KEEP","",IF(RIGHT(B7101,10)="@gmail.com","Gmail",IF(OR(RIGHT(B7101,12)="@outlook.com",RIGHT(B7101,12)="@hotmail.com",RIGHT(B7101,9)="@live.com"),"Outlook","Domain")))</f>
        <v/>
      </c>
      <c r="F7101">
        <f>IF(B7101="","",IFERROR(RIGHT(B7101,LEN(B7101)-FIND("@",B7101)),""))</f>
        <v/>
      </c>
      <c r="G7101">
        <f>IF(D7101="KEEP",COUNTIF($D$2:D7101,"KEEP"),"")</f>
        <v/>
      </c>
      <c r="H7101">
        <f>IF(D7101="REMOVE",COUNTIF($D$2:D7101,"REMOVE"),"")</f>
        <v/>
      </c>
      <c r="I7101">
        <f>IF(E7101="Gmail",COUNTIF($E$2:E7101,"Gmail"),"")</f>
        <v/>
      </c>
      <c r="J7101">
        <f>IF(E7101="Outlook",COUNTIF($E$2:E7101,"Outlook"),"")</f>
        <v/>
      </c>
      <c r="K7101">
        <f>IF(E7101="Domain",COUNTIF($E$2:E7101,"Domain"),"")</f>
        <v/>
      </c>
    </row>
    <row r="7102">
      <c r="A7102" s="2" t="n"/>
      <c r="B7102">
        <f>LOWER(TRIM(A7102))</f>
        <v/>
      </c>
      <c r="C7102">
        <f>IF(B7102="","",IFERROR(INDEX('Bad Patterns'!$A$2:$A$120,MATCH(1,INDEX(--ISNUMBER(SEARCH('Bad Patterns'!$A$2:$A$120,B7102)),0),0)),""))</f>
        <v/>
      </c>
      <c r="D7102">
        <f>IF(B7102="","",IF(C7102&lt;&gt;"","REMOVE","KEEP"))</f>
        <v/>
      </c>
      <c r="E7102">
        <f>IF(D7102&lt;&gt;"KEEP","",IF(RIGHT(B7102,10)="@gmail.com","Gmail",IF(OR(RIGHT(B7102,12)="@outlook.com",RIGHT(B7102,12)="@hotmail.com",RIGHT(B7102,9)="@live.com"),"Outlook","Domain")))</f>
        <v/>
      </c>
      <c r="F7102">
        <f>IF(B7102="","",IFERROR(RIGHT(B7102,LEN(B7102)-FIND("@",B7102)),""))</f>
        <v/>
      </c>
      <c r="G7102">
        <f>IF(D7102="KEEP",COUNTIF($D$2:D7102,"KEEP"),"")</f>
        <v/>
      </c>
      <c r="H7102">
        <f>IF(D7102="REMOVE",COUNTIF($D$2:D7102,"REMOVE"),"")</f>
        <v/>
      </c>
      <c r="I7102">
        <f>IF(E7102="Gmail",COUNTIF($E$2:E7102,"Gmail"),"")</f>
        <v/>
      </c>
      <c r="J7102">
        <f>IF(E7102="Outlook",COUNTIF($E$2:E7102,"Outlook"),"")</f>
        <v/>
      </c>
      <c r="K7102">
        <f>IF(E7102="Domain",COUNTIF($E$2:E7102,"Domain"),"")</f>
        <v/>
      </c>
    </row>
    <row r="7103">
      <c r="A7103" s="2" t="n"/>
      <c r="B7103">
        <f>LOWER(TRIM(A7103))</f>
        <v/>
      </c>
      <c r="C7103">
        <f>IF(B7103="","",IFERROR(INDEX('Bad Patterns'!$A$2:$A$120,MATCH(1,INDEX(--ISNUMBER(SEARCH('Bad Patterns'!$A$2:$A$120,B7103)),0),0)),""))</f>
        <v/>
      </c>
      <c r="D7103">
        <f>IF(B7103="","",IF(C7103&lt;&gt;"","REMOVE","KEEP"))</f>
        <v/>
      </c>
      <c r="E7103">
        <f>IF(D7103&lt;&gt;"KEEP","",IF(RIGHT(B7103,10)="@gmail.com","Gmail",IF(OR(RIGHT(B7103,12)="@outlook.com",RIGHT(B7103,12)="@hotmail.com",RIGHT(B7103,9)="@live.com"),"Outlook","Domain")))</f>
        <v/>
      </c>
      <c r="F7103">
        <f>IF(B7103="","",IFERROR(RIGHT(B7103,LEN(B7103)-FIND("@",B7103)),""))</f>
        <v/>
      </c>
      <c r="G7103">
        <f>IF(D7103="KEEP",COUNTIF($D$2:D7103,"KEEP"),"")</f>
        <v/>
      </c>
      <c r="H7103">
        <f>IF(D7103="REMOVE",COUNTIF($D$2:D7103,"REMOVE"),"")</f>
        <v/>
      </c>
      <c r="I7103">
        <f>IF(E7103="Gmail",COUNTIF($E$2:E7103,"Gmail"),"")</f>
        <v/>
      </c>
      <c r="J7103">
        <f>IF(E7103="Outlook",COUNTIF($E$2:E7103,"Outlook"),"")</f>
        <v/>
      </c>
      <c r="K7103">
        <f>IF(E7103="Domain",COUNTIF($E$2:E7103,"Domain"),"")</f>
        <v/>
      </c>
    </row>
    <row r="7104">
      <c r="A7104" s="2" t="n"/>
      <c r="B7104">
        <f>LOWER(TRIM(A7104))</f>
        <v/>
      </c>
      <c r="C7104">
        <f>IF(B7104="","",IFERROR(INDEX('Bad Patterns'!$A$2:$A$120,MATCH(1,INDEX(--ISNUMBER(SEARCH('Bad Patterns'!$A$2:$A$120,B7104)),0),0)),""))</f>
        <v/>
      </c>
      <c r="D7104">
        <f>IF(B7104="","",IF(C7104&lt;&gt;"","REMOVE","KEEP"))</f>
        <v/>
      </c>
      <c r="E7104">
        <f>IF(D7104&lt;&gt;"KEEP","",IF(RIGHT(B7104,10)="@gmail.com","Gmail",IF(OR(RIGHT(B7104,12)="@outlook.com",RIGHT(B7104,12)="@hotmail.com",RIGHT(B7104,9)="@live.com"),"Outlook","Domain")))</f>
        <v/>
      </c>
      <c r="F7104">
        <f>IF(B7104="","",IFERROR(RIGHT(B7104,LEN(B7104)-FIND("@",B7104)),""))</f>
        <v/>
      </c>
      <c r="G7104">
        <f>IF(D7104="KEEP",COUNTIF($D$2:D7104,"KEEP"),"")</f>
        <v/>
      </c>
      <c r="H7104">
        <f>IF(D7104="REMOVE",COUNTIF($D$2:D7104,"REMOVE"),"")</f>
        <v/>
      </c>
      <c r="I7104">
        <f>IF(E7104="Gmail",COUNTIF($E$2:E7104,"Gmail"),"")</f>
        <v/>
      </c>
      <c r="J7104">
        <f>IF(E7104="Outlook",COUNTIF($E$2:E7104,"Outlook"),"")</f>
        <v/>
      </c>
      <c r="K7104">
        <f>IF(E7104="Domain",COUNTIF($E$2:E7104,"Domain"),"")</f>
        <v/>
      </c>
    </row>
    <row r="7105">
      <c r="A7105" s="2" t="n"/>
      <c r="B7105">
        <f>LOWER(TRIM(A7105))</f>
        <v/>
      </c>
      <c r="C7105">
        <f>IF(B7105="","",IFERROR(INDEX('Bad Patterns'!$A$2:$A$120,MATCH(1,INDEX(--ISNUMBER(SEARCH('Bad Patterns'!$A$2:$A$120,B7105)),0),0)),""))</f>
        <v/>
      </c>
      <c r="D7105">
        <f>IF(B7105="","",IF(C7105&lt;&gt;"","REMOVE","KEEP"))</f>
        <v/>
      </c>
      <c r="E7105">
        <f>IF(D7105&lt;&gt;"KEEP","",IF(RIGHT(B7105,10)="@gmail.com","Gmail",IF(OR(RIGHT(B7105,12)="@outlook.com",RIGHT(B7105,12)="@hotmail.com",RIGHT(B7105,9)="@live.com"),"Outlook","Domain")))</f>
        <v/>
      </c>
      <c r="F7105">
        <f>IF(B7105="","",IFERROR(RIGHT(B7105,LEN(B7105)-FIND("@",B7105)),""))</f>
        <v/>
      </c>
      <c r="G7105">
        <f>IF(D7105="KEEP",COUNTIF($D$2:D7105,"KEEP"),"")</f>
        <v/>
      </c>
      <c r="H7105">
        <f>IF(D7105="REMOVE",COUNTIF($D$2:D7105,"REMOVE"),"")</f>
        <v/>
      </c>
      <c r="I7105">
        <f>IF(E7105="Gmail",COUNTIF($E$2:E7105,"Gmail"),"")</f>
        <v/>
      </c>
      <c r="J7105">
        <f>IF(E7105="Outlook",COUNTIF($E$2:E7105,"Outlook"),"")</f>
        <v/>
      </c>
      <c r="K7105">
        <f>IF(E7105="Domain",COUNTIF($E$2:E7105,"Domain"),"")</f>
        <v/>
      </c>
    </row>
    <row r="7106">
      <c r="A7106" s="2" t="n"/>
      <c r="B7106">
        <f>LOWER(TRIM(A7106))</f>
        <v/>
      </c>
      <c r="C7106">
        <f>IF(B7106="","",IFERROR(INDEX('Bad Patterns'!$A$2:$A$120,MATCH(1,INDEX(--ISNUMBER(SEARCH('Bad Patterns'!$A$2:$A$120,B7106)),0),0)),""))</f>
        <v/>
      </c>
      <c r="D7106">
        <f>IF(B7106="","",IF(C7106&lt;&gt;"","REMOVE","KEEP"))</f>
        <v/>
      </c>
      <c r="E7106">
        <f>IF(D7106&lt;&gt;"KEEP","",IF(RIGHT(B7106,10)="@gmail.com","Gmail",IF(OR(RIGHT(B7106,12)="@outlook.com",RIGHT(B7106,12)="@hotmail.com",RIGHT(B7106,9)="@live.com"),"Outlook","Domain")))</f>
        <v/>
      </c>
      <c r="F7106">
        <f>IF(B7106="","",IFERROR(RIGHT(B7106,LEN(B7106)-FIND("@",B7106)),""))</f>
        <v/>
      </c>
      <c r="G7106">
        <f>IF(D7106="KEEP",COUNTIF($D$2:D7106,"KEEP"),"")</f>
        <v/>
      </c>
      <c r="H7106">
        <f>IF(D7106="REMOVE",COUNTIF($D$2:D7106,"REMOVE"),"")</f>
        <v/>
      </c>
      <c r="I7106">
        <f>IF(E7106="Gmail",COUNTIF($E$2:E7106,"Gmail"),"")</f>
        <v/>
      </c>
      <c r="J7106">
        <f>IF(E7106="Outlook",COUNTIF($E$2:E7106,"Outlook"),"")</f>
        <v/>
      </c>
      <c r="K7106">
        <f>IF(E7106="Domain",COUNTIF($E$2:E7106,"Domain"),"")</f>
        <v/>
      </c>
    </row>
    <row r="7107">
      <c r="A7107" s="2" t="n"/>
      <c r="B7107">
        <f>LOWER(TRIM(A7107))</f>
        <v/>
      </c>
      <c r="C7107">
        <f>IF(B7107="","",IFERROR(INDEX('Bad Patterns'!$A$2:$A$120,MATCH(1,INDEX(--ISNUMBER(SEARCH('Bad Patterns'!$A$2:$A$120,B7107)),0),0)),""))</f>
        <v/>
      </c>
      <c r="D7107">
        <f>IF(B7107="","",IF(C7107&lt;&gt;"","REMOVE","KEEP"))</f>
        <v/>
      </c>
      <c r="E7107">
        <f>IF(D7107&lt;&gt;"KEEP","",IF(RIGHT(B7107,10)="@gmail.com","Gmail",IF(OR(RIGHT(B7107,12)="@outlook.com",RIGHT(B7107,12)="@hotmail.com",RIGHT(B7107,9)="@live.com"),"Outlook","Domain")))</f>
        <v/>
      </c>
      <c r="F7107">
        <f>IF(B7107="","",IFERROR(RIGHT(B7107,LEN(B7107)-FIND("@",B7107)),""))</f>
        <v/>
      </c>
      <c r="G7107">
        <f>IF(D7107="KEEP",COUNTIF($D$2:D7107,"KEEP"),"")</f>
        <v/>
      </c>
      <c r="H7107">
        <f>IF(D7107="REMOVE",COUNTIF($D$2:D7107,"REMOVE"),"")</f>
        <v/>
      </c>
      <c r="I7107">
        <f>IF(E7107="Gmail",COUNTIF($E$2:E7107,"Gmail"),"")</f>
        <v/>
      </c>
      <c r="J7107">
        <f>IF(E7107="Outlook",COUNTIF($E$2:E7107,"Outlook"),"")</f>
        <v/>
      </c>
      <c r="K7107">
        <f>IF(E7107="Domain",COUNTIF($E$2:E7107,"Domain"),"")</f>
        <v/>
      </c>
    </row>
    <row r="7108">
      <c r="A7108" s="2" t="n"/>
      <c r="B7108">
        <f>LOWER(TRIM(A7108))</f>
        <v/>
      </c>
      <c r="C7108">
        <f>IF(B7108="","",IFERROR(INDEX('Bad Patterns'!$A$2:$A$120,MATCH(1,INDEX(--ISNUMBER(SEARCH('Bad Patterns'!$A$2:$A$120,B7108)),0),0)),""))</f>
        <v/>
      </c>
      <c r="D7108">
        <f>IF(B7108="","",IF(C7108&lt;&gt;"","REMOVE","KEEP"))</f>
        <v/>
      </c>
      <c r="E7108">
        <f>IF(D7108&lt;&gt;"KEEP","",IF(RIGHT(B7108,10)="@gmail.com","Gmail",IF(OR(RIGHT(B7108,12)="@outlook.com",RIGHT(B7108,12)="@hotmail.com",RIGHT(B7108,9)="@live.com"),"Outlook","Domain")))</f>
        <v/>
      </c>
      <c r="F7108">
        <f>IF(B7108="","",IFERROR(RIGHT(B7108,LEN(B7108)-FIND("@",B7108)),""))</f>
        <v/>
      </c>
      <c r="G7108">
        <f>IF(D7108="KEEP",COUNTIF($D$2:D7108,"KEEP"),"")</f>
        <v/>
      </c>
      <c r="H7108">
        <f>IF(D7108="REMOVE",COUNTIF($D$2:D7108,"REMOVE"),"")</f>
        <v/>
      </c>
      <c r="I7108">
        <f>IF(E7108="Gmail",COUNTIF($E$2:E7108,"Gmail"),"")</f>
        <v/>
      </c>
      <c r="J7108">
        <f>IF(E7108="Outlook",COUNTIF($E$2:E7108,"Outlook"),"")</f>
        <v/>
      </c>
      <c r="K7108">
        <f>IF(E7108="Domain",COUNTIF($E$2:E7108,"Domain"),"")</f>
        <v/>
      </c>
    </row>
    <row r="7109">
      <c r="A7109" s="2" t="n"/>
      <c r="B7109">
        <f>LOWER(TRIM(A7109))</f>
        <v/>
      </c>
      <c r="C7109">
        <f>IF(B7109="","",IFERROR(INDEX('Bad Patterns'!$A$2:$A$120,MATCH(1,INDEX(--ISNUMBER(SEARCH('Bad Patterns'!$A$2:$A$120,B7109)),0),0)),""))</f>
        <v/>
      </c>
      <c r="D7109">
        <f>IF(B7109="","",IF(C7109&lt;&gt;"","REMOVE","KEEP"))</f>
        <v/>
      </c>
      <c r="E7109">
        <f>IF(D7109&lt;&gt;"KEEP","",IF(RIGHT(B7109,10)="@gmail.com","Gmail",IF(OR(RIGHT(B7109,12)="@outlook.com",RIGHT(B7109,12)="@hotmail.com",RIGHT(B7109,9)="@live.com"),"Outlook","Domain")))</f>
        <v/>
      </c>
      <c r="F7109">
        <f>IF(B7109="","",IFERROR(RIGHT(B7109,LEN(B7109)-FIND("@",B7109)),""))</f>
        <v/>
      </c>
      <c r="G7109">
        <f>IF(D7109="KEEP",COUNTIF($D$2:D7109,"KEEP"),"")</f>
        <v/>
      </c>
      <c r="H7109">
        <f>IF(D7109="REMOVE",COUNTIF($D$2:D7109,"REMOVE"),"")</f>
        <v/>
      </c>
      <c r="I7109">
        <f>IF(E7109="Gmail",COUNTIF($E$2:E7109,"Gmail"),"")</f>
        <v/>
      </c>
      <c r="J7109">
        <f>IF(E7109="Outlook",COUNTIF($E$2:E7109,"Outlook"),"")</f>
        <v/>
      </c>
      <c r="K7109">
        <f>IF(E7109="Domain",COUNTIF($E$2:E7109,"Domain"),"")</f>
        <v/>
      </c>
    </row>
    <row r="7110">
      <c r="A7110" s="2" t="n"/>
      <c r="B7110">
        <f>LOWER(TRIM(A7110))</f>
        <v/>
      </c>
      <c r="C7110">
        <f>IF(B7110="","",IFERROR(INDEX('Bad Patterns'!$A$2:$A$120,MATCH(1,INDEX(--ISNUMBER(SEARCH('Bad Patterns'!$A$2:$A$120,B7110)),0),0)),""))</f>
        <v/>
      </c>
      <c r="D7110">
        <f>IF(B7110="","",IF(C7110&lt;&gt;"","REMOVE","KEEP"))</f>
        <v/>
      </c>
      <c r="E7110">
        <f>IF(D7110&lt;&gt;"KEEP","",IF(RIGHT(B7110,10)="@gmail.com","Gmail",IF(OR(RIGHT(B7110,12)="@outlook.com",RIGHT(B7110,12)="@hotmail.com",RIGHT(B7110,9)="@live.com"),"Outlook","Domain")))</f>
        <v/>
      </c>
      <c r="F7110">
        <f>IF(B7110="","",IFERROR(RIGHT(B7110,LEN(B7110)-FIND("@",B7110)),""))</f>
        <v/>
      </c>
      <c r="G7110">
        <f>IF(D7110="KEEP",COUNTIF($D$2:D7110,"KEEP"),"")</f>
        <v/>
      </c>
      <c r="H7110">
        <f>IF(D7110="REMOVE",COUNTIF($D$2:D7110,"REMOVE"),"")</f>
        <v/>
      </c>
      <c r="I7110">
        <f>IF(E7110="Gmail",COUNTIF($E$2:E7110,"Gmail"),"")</f>
        <v/>
      </c>
      <c r="J7110">
        <f>IF(E7110="Outlook",COUNTIF($E$2:E7110,"Outlook"),"")</f>
        <v/>
      </c>
      <c r="K7110">
        <f>IF(E7110="Domain",COUNTIF($E$2:E7110,"Domain"),"")</f>
        <v/>
      </c>
    </row>
    <row r="7111">
      <c r="A7111" s="2" t="n"/>
      <c r="B7111">
        <f>LOWER(TRIM(A7111))</f>
        <v/>
      </c>
      <c r="C7111">
        <f>IF(B7111="","",IFERROR(INDEX('Bad Patterns'!$A$2:$A$120,MATCH(1,INDEX(--ISNUMBER(SEARCH('Bad Patterns'!$A$2:$A$120,B7111)),0),0)),""))</f>
        <v/>
      </c>
      <c r="D7111">
        <f>IF(B7111="","",IF(C7111&lt;&gt;"","REMOVE","KEEP"))</f>
        <v/>
      </c>
      <c r="E7111">
        <f>IF(D7111&lt;&gt;"KEEP","",IF(RIGHT(B7111,10)="@gmail.com","Gmail",IF(OR(RIGHT(B7111,12)="@outlook.com",RIGHT(B7111,12)="@hotmail.com",RIGHT(B7111,9)="@live.com"),"Outlook","Domain")))</f>
        <v/>
      </c>
      <c r="F7111">
        <f>IF(B7111="","",IFERROR(RIGHT(B7111,LEN(B7111)-FIND("@",B7111)),""))</f>
        <v/>
      </c>
      <c r="G7111">
        <f>IF(D7111="KEEP",COUNTIF($D$2:D7111,"KEEP"),"")</f>
        <v/>
      </c>
      <c r="H7111">
        <f>IF(D7111="REMOVE",COUNTIF($D$2:D7111,"REMOVE"),"")</f>
        <v/>
      </c>
      <c r="I7111">
        <f>IF(E7111="Gmail",COUNTIF($E$2:E7111,"Gmail"),"")</f>
        <v/>
      </c>
      <c r="J7111">
        <f>IF(E7111="Outlook",COUNTIF($E$2:E7111,"Outlook"),"")</f>
        <v/>
      </c>
      <c r="K7111">
        <f>IF(E7111="Domain",COUNTIF($E$2:E7111,"Domain"),"")</f>
        <v/>
      </c>
    </row>
    <row r="7112">
      <c r="A7112" s="2" t="n"/>
      <c r="B7112">
        <f>LOWER(TRIM(A7112))</f>
        <v/>
      </c>
      <c r="C7112">
        <f>IF(B7112="","",IFERROR(INDEX('Bad Patterns'!$A$2:$A$120,MATCH(1,INDEX(--ISNUMBER(SEARCH('Bad Patterns'!$A$2:$A$120,B7112)),0),0)),""))</f>
        <v/>
      </c>
      <c r="D7112">
        <f>IF(B7112="","",IF(C7112&lt;&gt;"","REMOVE","KEEP"))</f>
        <v/>
      </c>
      <c r="E7112">
        <f>IF(D7112&lt;&gt;"KEEP","",IF(RIGHT(B7112,10)="@gmail.com","Gmail",IF(OR(RIGHT(B7112,12)="@outlook.com",RIGHT(B7112,12)="@hotmail.com",RIGHT(B7112,9)="@live.com"),"Outlook","Domain")))</f>
        <v/>
      </c>
      <c r="F7112">
        <f>IF(B7112="","",IFERROR(RIGHT(B7112,LEN(B7112)-FIND("@",B7112)),""))</f>
        <v/>
      </c>
      <c r="G7112">
        <f>IF(D7112="KEEP",COUNTIF($D$2:D7112,"KEEP"),"")</f>
        <v/>
      </c>
      <c r="H7112">
        <f>IF(D7112="REMOVE",COUNTIF($D$2:D7112,"REMOVE"),"")</f>
        <v/>
      </c>
      <c r="I7112">
        <f>IF(E7112="Gmail",COUNTIF($E$2:E7112,"Gmail"),"")</f>
        <v/>
      </c>
      <c r="J7112">
        <f>IF(E7112="Outlook",COUNTIF($E$2:E7112,"Outlook"),"")</f>
        <v/>
      </c>
      <c r="K7112">
        <f>IF(E7112="Domain",COUNTIF($E$2:E7112,"Domain"),"")</f>
        <v/>
      </c>
    </row>
    <row r="7113">
      <c r="A7113" s="2" t="n"/>
      <c r="B7113">
        <f>LOWER(TRIM(A7113))</f>
        <v/>
      </c>
      <c r="C7113">
        <f>IF(B7113="","",IFERROR(INDEX('Bad Patterns'!$A$2:$A$120,MATCH(1,INDEX(--ISNUMBER(SEARCH('Bad Patterns'!$A$2:$A$120,B7113)),0),0)),""))</f>
        <v/>
      </c>
      <c r="D7113">
        <f>IF(B7113="","",IF(C7113&lt;&gt;"","REMOVE","KEEP"))</f>
        <v/>
      </c>
      <c r="E7113">
        <f>IF(D7113&lt;&gt;"KEEP","",IF(RIGHT(B7113,10)="@gmail.com","Gmail",IF(OR(RIGHT(B7113,12)="@outlook.com",RIGHT(B7113,12)="@hotmail.com",RIGHT(B7113,9)="@live.com"),"Outlook","Domain")))</f>
        <v/>
      </c>
      <c r="F7113">
        <f>IF(B7113="","",IFERROR(RIGHT(B7113,LEN(B7113)-FIND("@",B7113)),""))</f>
        <v/>
      </c>
      <c r="G7113">
        <f>IF(D7113="KEEP",COUNTIF($D$2:D7113,"KEEP"),"")</f>
        <v/>
      </c>
      <c r="H7113">
        <f>IF(D7113="REMOVE",COUNTIF($D$2:D7113,"REMOVE"),"")</f>
        <v/>
      </c>
      <c r="I7113">
        <f>IF(E7113="Gmail",COUNTIF($E$2:E7113,"Gmail"),"")</f>
        <v/>
      </c>
      <c r="J7113">
        <f>IF(E7113="Outlook",COUNTIF($E$2:E7113,"Outlook"),"")</f>
        <v/>
      </c>
      <c r="K7113">
        <f>IF(E7113="Domain",COUNTIF($E$2:E7113,"Domain"),"")</f>
        <v/>
      </c>
    </row>
    <row r="7114">
      <c r="A7114" s="2" t="n"/>
      <c r="B7114">
        <f>LOWER(TRIM(A7114))</f>
        <v/>
      </c>
      <c r="C7114">
        <f>IF(B7114="","",IFERROR(INDEX('Bad Patterns'!$A$2:$A$120,MATCH(1,INDEX(--ISNUMBER(SEARCH('Bad Patterns'!$A$2:$A$120,B7114)),0),0)),""))</f>
        <v/>
      </c>
      <c r="D7114">
        <f>IF(B7114="","",IF(C7114&lt;&gt;"","REMOVE","KEEP"))</f>
        <v/>
      </c>
      <c r="E7114">
        <f>IF(D7114&lt;&gt;"KEEP","",IF(RIGHT(B7114,10)="@gmail.com","Gmail",IF(OR(RIGHT(B7114,12)="@outlook.com",RIGHT(B7114,12)="@hotmail.com",RIGHT(B7114,9)="@live.com"),"Outlook","Domain")))</f>
        <v/>
      </c>
      <c r="F7114">
        <f>IF(B7114="","",IFERROR(RIGHT(B7114,LEN(B7114)-FIND("@",B7114)),""))</f>
        <v/>
      </c>
      <c r="G7114">
        <f>IF(D7114="KEEP",COUNTIF($D$2:D7114,"KEEP"),"")</f>
        <v/>
      </c>
      <c r="H7114">
        <f>IF(D7114="REMOVE",COUNTIF($D$2:D7114,"REMOVE"),"")</f>
        <v/>
      </c>
      <c r="I7114">
        <f>IF(E7114="Gmail",COUNTIF($E$2:E7114,"Gmail"),"")</f>
        <v/>
      </c>
      <c r="J7114">
        <f>IF(E7114="Outlook",COUNTIF($E$2:E7114,"Outlook"),"")</f>
        <v/>
      </c>
      <c r="K7114">
        <f>IF(E7114="Domain",COUNTIF($E$2:E7114,"Domain"),"")</f>
        <v/>
      </c>
    </row>
    <row r="7115">
      <c r="A7115" s="2" t="n"/>
      <c r="B7115">
        <f>LOWER(TRIM(A7115))</f>
        <v/>
      </c>
      <c r="C7115">
        <f>IF(B7115="","",IFERROR(INDEX('Bad Patterns'!$A$2:$A$120,MATCH(1,INDEX(--ISNUMBER(SEARCH('Bad Patterns'!$A$2:$A$120,B7115)),0),0)),""))</f>
        <v/>
      </c>
      <c r="D7115">
        <f>IF(B7115="","",IF(C7115&lt;&gt;"","REMOVE","KEEP"))</f>
        <v/>
      </c>
      <c r="E7115">
        <f>IF(D7115&lt;&gt;"KEEP","",IF(RIGHT(B7115,10)="@gmail.com","Gmail",IF(OR(RIGHT(B7115,12)="@outlook.com",RIGHT(B7115,12)="@hotmail.com",RIGHT(B7115,9)="@live.com"),"Outlook","Domain")))</f>
        <v/>
      </c>
      <c r="F7115">
        <f>IF(B7115="","",IFERROR(RIGHT(B7115,LEN(B7115)-FIND("@",B7115)),""))</f>
        <v/>
      </c>
      <c r="G7115">
        <f>IF(D7115="KEEP",COUNTIF($D$2:D7115,"KEEP"),"")</f>
        <v/>
      </c>
      <c r="H7115">
        <f>IF(D7115="REMOVE",COUNTIF($D$2:D7115,"REMOVE"),"")</f>
        <v/>
      </c>
      <c r="I7115">
        <f>IF(E7115="Gmail",COUNTIF($E$2:E7115,"Gmail"),"")</f>
        <v/>
      </c>
      <c r="J7115">
        <f>IF(E7115="Outlook",COUNTIF($E$2:E7115,"Outlook"),"")</f>
        <v/>
      </c>
      <c r="K7115">
        <f>IF(E7115="Domain",COUNTIF($E$2:E7115,"Domain"),"")</f>
        <v/>
      </c>
    </row>
    <row r="7116">
      <c r="A7116" s="2" t="n"/>
      <c r="B7116">
        <f>LOWER(TRIM(A7116))</f>
        <v/>
      </c>
      <c r="C7116">
        <f>IF(B7116="","",IFERROR(INDEX('Bad Patterns'!$A$2:$A$120,MATCH(1,INDEX(--ISNUMBER(SEARCH('Bad Patterns'!$A$2:$A$120,B7116)),0),0)),""))</f>
        <v/>
      </c>
      <c r="D7116">
        <f>IF(B7116="","",IF(C7116&lt;&gt;"","REMOVE","KEEP"))</f>
        <v/>
      </c>
      <c r="E7116">
        <f>IF(D7116&lt;&gt;"KEEP","",IF(RIGHT(B7116,10)="@gmail.com","Gmail",IF(OR(RIGHT(B7116,12)="@outlook.com",RIGHT(B7116,12)="@hotmail.com",RIGHT(B7116,9)="@live.com"),"Outlook","Domain")))</f>
        <v/>
      </c>
      <c r="F7116">
        <f>IF(B7116="","",IFERROR(RIGHT(B7116,LEN(B7116)-FIND("@",B7116)),""))</f>
        <v/>
      </c>
      <c r="G7116">
        <f>IF(D7116="KEEP",COUNTIF($D$2:D7116,"KEEP"),"")</f>
        <v/>
      </c>
      <c r="H7116">
        <f>IF(D7116="REMOVE",COUNTIF($D$2:D7116,"REMOVE"),"")</f>
        <v/>
      </c>
      <c r="I7116">
        <f>IF(E7116="Gmail",COUNTIF($E$2:E7116,"Gmail"),"")</f>
        <v/>
      </c>
      <c r="J7116">
        <f>IF(E7116="Outlook",COUNTIF($E$2:E7116,"Outlook"),"")</f>
        <v/>
      </c>
      <c r="K7116">
        <f>IF(E7116="Domain",COUNTIF($E$2:E7116,"Domain"),"")</f>
        <v/>
      </c>
    </row>
    <row r="7117">
      <c r="A7117" s="2" t="n"/>
      <c r="B7117">
        <f>LOWER(TRIM(A7117))</f>
        <v/>
      </c>
      <c r="C7117">
        <f>IF(B7117="","",IFERROR(INDEX('Bad Patterns'!$A$2:$A$120,MATCH(1,INDEX(--ISNUMBER(SEARCH('Bad Patterns'!$A$2:$A$120,B7117)),0),0)),""))</f>
        <v/>
      </c>
      <c r="D7117">
        <f>IF(B7117="","",IF(C7117&lt;&gt;"","REMOVE","KEEP"))</f>
        <v/>
      </c>
      <c r="E7117">
        <f>IF(D7117&lt;&gt;"KEEP","",IF(RIGHT(B7117,10)="@gmail.com","Gmail",IF(OR(RIGHT(B7117,12)="@outlook.com",RIGHT(B7117,12)="@hotmail.com",RIGHT(B7117,9)="@live.com"),"Outlook","Domain")))</f>
        <v/>
      </c>
      <c r="F7117">
        <f>IF(B7117="","",IFERROR(RIGHT(B7117,LEN(B7117)-FIND("@",B7117)),""))</f>
        <v/>
      </c>
      <c r="G7117">
        <f>IF(D7117="KEEP",COUNTIF($D$2:D7117,"KEEP"),"")</f>
        <v/>
      </c>
      <c r="H7117">
        <f>IF(D7117="REMOVE",COUNTIF($D$2:D7117,"REMOVE"),"")</f>
        <v/>
      </c>
      <c r="I7117">
        <f>IF(E7117="Gmail",COUNTIF($E$2:E7117,"Gmail"),"")</f>
        <v/>
      </c>
      <c r="J7117">
        <f>IF(E7117="Outlook",COUNTIF($E$2:E7117,"Outlook"),"")</f>
        <v/>
      </c>
      <c r="K7117">
        <f>IF(E7117="Domain",COUNTIF($E$2:E7117,"Domain"),"")</f>
        <v/>
      </c>
    </row>
    <row r="7118">
      <c r="A7118" s="2" t="n"/>
      <c r="B7118">
        <f>LOWER(TRIM(A7118))</f>
        <v/>
      </c>
      <c r="C7118">
        <f>IF(B7118="","",IFERROR(INDEX('Bad Patterns'!$A$2:$A$120,MATCH(1,INDEX(--ISNUMBER(SEARCH('Bad Patterns'!$A$2:$A$120,B7118)),0),0)),""))</f>
        <v/>
      </c>
      <c r="D7118">
        <f>IF(B7118="","",IF(C7118&lt;&gt;"","REMOVE","KEEP"))</f>
        <v/>
      </c>
      <c r="E7118">
        <f>IF(D7118&lt;&gt;"KEEP","",IF(RIGHT(B7118,10)="@gmail.com","Gmail",IF(OR(RIGHT(B7118,12)="@outlook.com",RIGHT(B7118,12)="@hotmail.com",RIGHT(B7118,9)="@live.com"),"Outlook","Domain")))</f>
        <v/>
      </c>
      <c r="F7118">
        <f>IF(B7118="","",IFERROR(RIGHT(B7118,LEN(B7118)-FIND("@",B7118)),""))</f>
        <v/>
      </c>
      <c r="G7118">
        <f>IF(D7118="KEEP",COUNTIF($D$2:D7118,"KEEP"),"")</f>
        <v/>
      </c>
      <c r="H7118">
        <f>IF(D7118="REMOVE",COUNTIF($D$2:D7118,"REMOVE"),"")</f>
        <v/>
      </c>
      <c r="I7118">
        <f>IF(E7118="Gmail",COUNTIF($E$2:E7118,"Gmail"),"")</f>
        <v/>
      </c>
      <c r="J7118">
        <f>IF(E7118="Outlook",COUNTIF($E$2:E7118,"Outlook"),"")</f>
        <v/>
      </c>
      <c r="K7118">
        <f>IF(E7118="Domain",COUNTIF($E$2:E7118,"Domain"),"")</f>
        <v/>
      </c>
    </row>
    <row r="7119">
      <c r="A7119" s="2" t="n"/>
      <c r="B7119">
        <f>LOWER(TRIM(A7119))</f>
        <v/>
      </c>
      <c r="C7119">
        <f>IF(B7119="","",IFERROR(INDEX('Bad Patterns'!$A$2:$A$120,MATCH(1,INDEX(--ISNUMBER(SEARCH('Bad Patterns'!$A$2:$A$120,B7119)),0),0)),""))</f>
        <v/>
      </c>
      <c r="D7119">
        <f>IF(B7119="","",IF(C7119&lt;&gt;"","REMOVE","KEEP"))</f>
        <v/>
      </c>
      <c r="E7119">
        <f>IF(D7119&lt;&gt;"KEEP","",IF(RIGHT(B7119,10)="@gmail.com","Gmail",IF(OR(RIGHT(B7119,12)="@outlook.com",RIGHT(B7119,12)="@hotmail.com",RIGHT(B7119,9)="@live.com"),"Outlook","Domain")))</f>
        <v/>
      </c>
      <c r="F7119">
        <f>IF(B7119="","",IFERROR(RIGHT(B7119,LEN(B7119)-FIND("@",B7119)),""))</f>
        <v/>
      </c>
      <c r="G7119">
        <f>IF(D7119="KEEP",COUNTIF($D$2:D7119,"KEEP"),"")</f>
        <v/>
      </c>
      <c r="H7119">
        <f>IF(D7119="REMOVE",COUNTIF($D$2:D7119,"REMOVE"),"")</f>
        <v/>
      </c>
      <c r="I7119">
        <f>IF(E7119="Gmail",COUNTIF($E$2:E7119,"Gmail"),"")</f>
        <v/>
      </c>
      <c r="J7119">
        <f>IF(E7119="Outlook",COUNTIF($E$2:E7119,"Outlook"),"")</f>
        <v/>
      </c>
      <c r="K7119">
        <f>IF(E7119="Domain",COUNTIF($E$2:E7119,"Domain"),"")</f>
        <v/>
      </c>
    </row>
    <row r="7120">
      <c r="A7120" s="2" t="n"/>
      <c r="B7120">
        <f>LOWER(TRIM(A7120))</f>
        <v/>
      </c>
      <c r="C7120">
        <f>IF(B7120="","",IFERROR(INDEX('Bad Patterns'!$A$2:$A$120,MATCH(1,INDEX(--ISNUMBER(SEARCH('Bad Patterns'!$A$2:$A$120,B7120)),0),0)),""))</f>
        <v/>
      </c>
      <c r="D7120">
        <f>IF(B7120="","",IF(C7120&lt;&gt;"","REMOVE","KEEP"))</f>
        <v/>
      </c>
      <c r="E7120">
        <f>IF(D7120&lt;&gt;"KEEP","",IF(RIGHT(B7120,10)="@gmail.com","Gmail",IF(OR(RIGHT(B7120,12)="@outlook.com",RIGHT(B7120,12)="@hotmail.com",RIGHT(B7120,9)="@live.com"),"Outlook","Domain")))</f>
        <v/>
      </c>
      <c r="F7120">
        <f>IF(B7120="","",IFERROR(RIGHT(B7120,LEN(B7120)-FIND("@",B7120)),""))</f>
        <v/>
      </c>
      <c r="G7120">
        <f>IF(D7120="KEEP",COUNTIF($D$2:D7120,"KEEP"),"")</f>
        <v/>
      </c>
      <c r="H7120">
        <f>IF(D7120="REMOVE",COUNTIF($D$2:D7120,"REMOVE"),"")</f>
        <v/>
      </c>
      <c r="I7120">
        <f>IF(E7120="Gmail",COUNTIF($E$2:E7120,"Gmail"),"")</f>
        <v/>
      </c>
      <c r="J7120">
        <f>IF(E7120="Outlook",COUNTIF($E$2:E7120,"Outlook"),"")</f>
        <v/>
      </c>
      <c r="K7120">
        <f>IF(E7120="Domain",COUNTIF($E$2:E7120,"Domain"),"")</f>
        <v/>
      </c>
    </row>
    <row r="7121">
      <c r="A7121" s="2" t="n"/>
      <c r="B7121">
        <f>LOWER(TRIM(A7121))</f>
        <v/>
      </c>
      <c r="C7121">
        <f>IF(B7121="","",IFERROR(INDEX('Bad Patterns'!$A$2:$A$120,MATCH(1,INDEX(--ISNUMBER(SEARCH('Bad Patterns'!$A$2:$A$120,B7121)),0),0)),""))</f>
        <v/>
      </c>
      <c r="D7121">
        <f>IF(B7121="","",IF(C7121&lt;&gt;"","REMOVE","KEEP"))</f>
        <v/>
      </c>
      <c r="E7121">
        <f>IF(D7121&lt;&gt;"KEEP","",IF(RIGHT(B7121,10)="@gmail.com","Gmail",IF(OR(RIGHT(B7121,12)="@outlook.com",RIGHT(B7121,12)="@hotmail.com",RIGHT(B7121,9)="@live.com"),"Outlook","Domain")))</f>
        <v/>
      </c>
      <c r="F7121">
        <f>IF(B7121="","",IFERROR(RIGHT(B7121,LEN(B7121)-FIND("@",B7121)),""))</f>
        <v/>
      </c>
      <c r="G7121">
        <f>IF(D7121="KEEP",COUNTIF($D$2:D7121,"KEEP"),"")</f>
        <v/>
      </c>
      <c r="H7121">
        <f>IF(D7121="REMOVE",COUNTIF($D$2:D7121,"REMOVE"),"")</f>
        <v/>
      </c>
      <c r="I7121">
        <f>IF(E7121="Gmail",COUNTIF($E$2:E7121,"Gmail"),"")</f>
        <v/>
      </c>
      <c r="J7121">
        <f>IF(E7121="Outlook",COUNTIF($E$2:E7121,"Outlook"),"")</f>
        <v/>
      </c>
      <c r="K7121">
        <f>IF(E7121="Domain",COUNTIF($E$2:E7121,"Domain"),"")</f>
        <v/>
      </c>
    </row>
    <row r="7122">
      <c r="A7122" s="2" t="n"/>
      <c r="B7122">
        <f>LOWER(TRIM(A7122))</f>
        <v/>
      </c>
      <c r="C7122">
        <f>IF(B7122="","",IFERROR(INDEX('Bad Patterns'!$A$2:$A$120,MATCH(1,INDEX(--ISNUMBER(SEARCH('Bad Patterns'!$A$2:$A$120,B7122)),0),0)),""))</f>
        <v/>
      </c>
      <c r="D7122">
        <f>IF(B7122="","",IF(C7122&lt;&gt;"","REMOVE","KEEP"))</f>
        <v/>
      </c>
      <c r="E7122">
        <f>IF(D7122&lt;&gt;"KEEP","",IF(RIGHT(B7122,10)="@gmail.com","Gmail",IF(OR(RIGHT(B7122,12)="@outlook.com",RIGHT(B7122,12)="@hotmail.com",RIGHT(B7122,9)="@live.com"),"Outlook","Domain")))</f>
        <v/>
      </c>
      <c r="F7122">
        <f>IF(B7122="","",IFERROR(RIGHT(B7122,LEN(B7122)-FIND("@",B7122)),""))</f>
        <v/>
      </c>
      <c r="G7122">
        <f>IF(D7122="KEEP",COUNTIF($D$2:D7122,"KEEP"),"")</f>
        <v/>
      </c>
      <c r="H7122">
        <f>IF(D7122="REMOVE",COUNTIF($D$2:D7122,"REMOVE"),"")</f>
        <v/>
      </c>
      <c r="I7122">
        <f>IF(E7122="Gmail",COUNTIF($E$2:E7122,"Gmail"),"")</f>
        <v/>
      </c>
      <c r="J7122">
        <f>IF(E7122="Outlook",COUNTIF($E$2:E7122,"Outlook"),"")</f>
        <v/>
      </c>
      <c r="K7122">
        <f>IF(E7122="Domain",COUNTIF($E$2:E7122,"Domain"),"")</f>
        <v/>
      </c>
    </row>
    <row r="7123">
      <c r="A7123" s="2" t="n"/>
      <c r="B7123">
        <f>LOWER(TRIM(A7123))</f>
        <v/>
      </c>
      <c r="C7123">
        <f>IF(B7123="","",IFERROR(INDEX('Bad Patterns'!$A$2:$A$120,MATCH(1,INDEX(--ISNUMBER(SEARCH('Bad Patterns'!$A$2:$A$120,B7123)),0),0)),""))</f>
        <v/>
      </c>
      <c r="D7123">
        <f>IF(B7123="","",IF(C7123&lt;&gt;"","REMOVE","KEEP"))</f>
        <v/>
      </c>
      <c r="E7123">
        <f>IF(D7123&lt;&gt;"KEEP","",IF(RIGHT(B7123,10)="@gmail.com","Gmail",IF(OR(RIGHT(B7123,12)="@outlook.com",RIGHT(B7123,12)="@hotmail.com",RIGHT(B7123,9)="@live.com"),"Outlook","Domain")))</f>
        <v/>
      </c>
      <c r="F7123">
        <f>IF(B7123="","",IFERROR(RIGHT(B7123,LEN(B7123)-FIND("@",B7123)),""))</f>
        <v/>
      </c>
      <c r="G7123">
        <f>IF(D7123="KEEP",COUNTIF($D$2:D7123,"KEEP"),"")</f>
        <v/>
      </c>
      <c r="H7123">
        <f>IF(D7123="REMOVE",COUNTIF($D$2:D7123,"REMOVE"),"")</f>
        <v/>
      </c>
      <c r="I7123">
        <f>IF(E7123="Gmail",COUNTIF($E$2:E7123,"Gmail"),"")</f>
        <v/>
      </c>
      <c r="J7123">
        <f>IF(E7123="Outlook",COUNTIF($E$2:E7123,"Outlook"),"")</f>
        <v/>
      </c>
      <c r="K7123">
        <f>IF(E7123="Domain",COUNTIF($E$2:E7123,"Domain"),"")</f>
        <v/>
      </c>
    </row>
    <row r="7124">
      <c r="A7124" s="2" t="n"/>
      <c r="B7124">
        <f>LOWER(TRIM(A7124))</f>
        <v/>
      </c>
      <c r="C7124">
        <f>IF(B7124="","",IFERROR(INDEX('Bad Patterns'!$A$2:$A$120,MATCH(1,INDEX(--ISNUMBER(SEARCH('Bad Patterns'!$A$2:$A$120,B7124)),0),0)),""))</f>
        <v/>
      </c>
      <c r="D7124">
        <f>IF(B7124="","",IF(C7124&lt;&gt;"","REMOVE","KEEP"))</f>
        <v/>
      </c>
      <c r="E7124">
        <f>IF(D7124&lt;&gt;"KEEP","",IF(RIGHT(B7124,10)="@gmail.com","Gmail",IF(OR(RIGHT(B7124,12)="@outlook.com",RIGHT(B7124,12)="@hotmail.com",RIGHT(B7124,9)="@live.com"),"Outlook","Domain")))</f>
        <v/>
      </c>
      <c r="F7124">
        <f>IF(B7124="","",IFERROR(RIGHT(B7124,LEN(B7124)-FIND("@",B7124)),""))</f>
        <v/>
      </c>
      <c r="G7124">
        <f>IF(D7124="KEEP",COUNTIF($D$2:D7124,"KEEP"),"")</f>
        <v/>
      </c>
      <c r="H7124">
        <f>IF(D7124="REMOVE",COUNTIF($D$2:D7124,"REMOVE"),"")</f>
        <v/>
      </c>
      <c r="I7124">
        <f>IF(E7124="Gmail",COUNTIF($E$2:E7124,"Gmail"),"")</f>
        <v/>
      </c>
      <c r="J7124">
        <f>IF(E7124="Outlook",COUNTIF($E$2:E7124,"Outlook"),"")</f>
        <v/>
      </c>
      <c r="K7124">
        <f>IF(E7124="Domain",COUNTIF($E$2:E7124,"Domain"),"")</f>
        <v/>
      </c>
    </row>
    <row r="7125">
      <c r="A7125" s="2" t="n"/>
      <c r="B7125">
        <f>LOWER(TRIM(A7125))</f>
        <v/>
      </c>
      <c r="C7125">
        <f>IF(B7125="","",IFERROR(INDEX('Bad Patterns'!$A$2:$A$120,MATCH(1,INDEX(--ISNUMBER(SEARCH('Bad Patterns'!$A$2:$A$120,B7125)),0),0)),""))</f>
        <v/>
      </c>
      <c r="D7125">
        <f>IF(B7125="","",IF(C7125&lt;&gt;"","REMOVE","KEEP"))</f>
        <v/>
      </c>
      <c r="E7125">
        <f>IF(D7125&lt;&gt;"KEEP","",IF(RIGHT(B7125,10)="@gmail.com","Gmail",IF(OR(RIGHT(B7125,12)="@outlook.com",RIGHT(B7125,12)="@hotmail.com",RIGHT(B7125,9)="@live.com"),"Outlook","Domain")))</f>
        <v/>
      </c>
      <c r="F7125">
        <f>IF(B7125="","",IFERROR(RIGHT(B7125,LEN(B7125)-FIND("@",B7125)),""))</f>
        <v/>
      </c>
      <c r="G7125">
        <f>IF(D7125="KEEP",COUNTIF($D$2:D7125,"KEEP"),"")</f>
        <v/>
      </c>
      <c r="H7125">
        <f>IF(D7125="REMOVE",COUNTIF($D$2:D7125,"REMOVE"),"")</f>
        <v/>
      </c>
      <c r="I7125">
        <f>IF(E7125="Gmail",COUNTIF($E$2:E7125,"Gmail"),"")</f>
        <v/>
      </c>
      <c r="J7125">
        <f>IF(E7125="Outlook",COUNTIF($E$2:E7125,"Outlook"),"")</f>
        <v/>
      </c>
      <c r="K7125">
        <f>IF(E7125="Domain",COUNTIF($E$2:E7125,"Domain"),"")</f>
        <v/>
      </c>
    </row>
    <row r="7126">
      <c r="A7126" s="2" t="n"/>
      <c r="B7126">
        <f>LOWER(TRIM(A7126))</f>
        <v/>
      </c>
      <c r="C7126">
        <f>IF(B7126="","",IFERROR(INDEX('Bad Patterns'!$A$2:$A$120,MATCH(1,INDEX(--ISNUMBER(SEARCH('Bad Patterns'!$A$2:$A$120,B7126)),0),0)),""))</f>
        <v/>
      </c>
      <c r="D7126">
        <f>IF(B7126="","",IF(C7126&lt;&gt;"","REMOVE","KEEP"))</f>
        <v/>
      </c>
      <c r="E7126">
        <f>IF(D7126&lt;&gt;"KEEP","",IF(RIGHT(B7126,10)="@gmail.com","Gmail",IF(OR(RIGHT(B7126,12)="@outlook.com",RIGHT(B7126,12)="@hotmail.com",RIGHT(B7126,9)="@live.com"),"Outlook","Domain")))</f>
        <v/>
      </c>
      <c r="F7126">
        <f>IF(B7126="","",IFERROR(RIGHT(B7126,LEN(B7126)-FIND("@",B7126)),""))</f>
        <v/>
      </c>
      <c r="G7126">
        <f>IF(D7126="KEEP",COUNTIF($D$2:D7126,"KEEP"),"")</f>
        <v/>
      </c>
      <c r="H7126">
        <f>IF(D7126="REMOVE",COUNTIF($D$2:D7126,"REMOVE"),"")</f>
        <v/>
      </c>
      <c r="I7126">
        <f>IF(E7126="Gmail",COUNTIF($E$2:E7126,"Gmail"),"")</f>
        <v/>
      </c>
      <c r="J7126">
        <f>IF(E7126="Outlook",COUNTIF($E$2:E7126,"Outlook"),"")</f>
        <v/>
      </c>
      <c r="K7126">
        <f>IF(E7126="Domain",COUNTIF($E$2:E7126,"Domain"),"")</f>
        <v/>
      </c>
    </row>
    <row r="7127">
      <c r="A7127" s="2" t="n"/>
      <c r="B7127">
        <f>LOWER(TRIM(A7127))</f>
        <v/>
      </c>
      <c r="C7127">
        <f>IF(B7127="","",IFERROR(INDEX('Bad Patterns'!$A$2:$A$120,MATCH(1,INDEX(--ISNUMBER(SEARCH('Bad Patterns'!$A$2:$A$120,B7127)),0),0)),""))</f>
        <v/>
      </c>
      <c r="D7127">
        <f>IF(B7127="","",IF(C7127&lt;&gt;"","REMOVE","KEEP"))</f>
        <v/>
      </c>
      <c r="E7127">
        <f>IF(D7127&lt;&gt;"KEEP","",IF(RIGHT(B7127,10)="@gmail.com","Gmail",IF(OR(RIGHT(B7127,12)="@outlook.com",RIGHT(B7127,12)="@hotmail.com",RIGHT(B7127,9)="@live.com"),"Outlook","Domain")))</f>
        <v/>
      </c>
      <c r="F7127">
        <f>IF(B7127="","",IFERROR(RIGHT(B7127,LEN(B7127)-FIND("@",B7127)),""))</f>
        <v/>
      </c>
      <c r="G7127">
        <f>IF(D7127="KEEP",COUNTIF($D$2:D7127,"KEEP"),"")</f>
        <v/>
      </c>
      <c r="H7127">
        <f>IF(D7127="REMOVE",COUNTIF($D$2:D7127,"REMOVE"),"")</f>
        <v/>
      </c>
      <c r="I7127">
        <f>IF(E7127="Gmail",COUNTIF($E$2:E7127,"Gmail"),"")</f>
        <v/>
      </c>
      <c r="J7127">
        <f>IF(E7127="Outlook",COUNTIF($E$2:E7127,"Outlook"),"")</f>
        <v/>
      </c>
      <c r="K7127">
        <f>IF(E7127="Domain",COUNTIF($E$2:E7127,"Domain"),"")</f>
        <v/>
      </c>
    </row>
    <row r="7128">
      <c r="A7128" s="2" t="n"/>
      <c r="B7128">
        <f>LOWER(TRIM(A7128))</f>
        <v/>
      </c>
      <c r="C7128">
        <f>IF(B7128="","",IFERROR(INDEX('Bad Patterns'!$A$2:$A$120,MATCH(1,INDEX(--ISNUMBER(SEARCH('Bad Patterns'!$A$2:$A$120,B7128)),0),0)),""))</f>
        <v/>
      </c>
      <c r="D7128">
        <f>IF(B7128="","",IF(C7128&lt;&gt;"","REMOVE","KEEP"))</f>
        <v/>
      </c>
      <c r="E7128">
        <f>IF(D7128&lt;&gt;"KEEP","",IF(RIGHT(B7128,10)="@gmail.com","Gmail",IF(OR(RIGHT(B7128,12)="@outlook.com",RIGHT(B7128,12)="@hotmail.com",RIGHT(B7128,9)="@live.com"),"Outlook","Domain")))</f>
        <v/>
      </c>
      <c r="F7128">
        <f>IF(B7128="","",IFERROR(RIGHT(B7128,LEN(B7128)-FIND("@",B7128)),""))</f>
        <v/>
      </c>
      <c r="G7128">
        <f>IF(D7128="KEEP",COUNTIF($D$2:D7128,"KEEP"),"")</f>
        <v/>
      </c>
      <c r="H7128">
        <f>IF(D7128="REMOVE",COUNTIF($D$2:D7128,"REMOVE"),"")</f>
        <v/>
      </c>
      <c r="I7128">
        <f>IF(E7128="Gmail",COUNTIF($E$2:E7128,"Gmail"),"")</f>
        <v/>
      </c>
      <c r="J7128">
        <f>IF(E7128="Outlook",COUNTIF($E$2:E7128,"Outlook"),"")</f>
        <v/>
      </c>
      <c r="K7128">
        <f>IF(E7128="Domain",COUNTIF($E$2:E7128,"Domain"),"")</f>
        <v/>
      </c>
    </row>
    <row r="7129">
      <c r="A7129" s="2" t="n"/>
      <c r="B7129">
        <f>LOWER(TRIM(A7129))</f>
        <v/>
      </c>
      <c r="C7129">
        <f>IF(B7129="","",IFERROR(INDEX('Bad Patterns'!$A$2:$A$120,MATCH(1,INDEX(--ISNUMBER(SEARCH('Bad Patterns'!$A$2:$A$120,B7129)),0),0)),""))</f>
        <v/>
      </c>
      <c r="D7129">
        <f>IF(B7129="","",IF(C7129&lt;&gt;"","REMOVE","KEEP"))</f>
        <v/>
      </c>
      <c r="E7129">
        <f>IF(D7129&lt;&gt;"KEEP","",IF(RIGHT(B7129,10)="@gmail.com","Gmail",IF(OR(RIGHT(B7129,12)="@outlook.com",RIGHT(B7129,12)="@hotmail.com",RIGHT(B7129,9)="@live.com"),"Outlook","Domain")))</f>
        <v/>
      </c>
      <c r="F7129">
        <f>IF(B7129="","",IFERROR(RIGHT(B7129,LEN(B7129)-FIND("@",B7129)),""))</f>
        <v/>
      </c>
      <c r="G7129">
        <f>IF(D7129="KEEP",COUNTIF($D$2:D7129,"KEEP"),"")</f>
        <v/>
      </c>
      <c r="H7129">
        <f>IF(D7129="REMOVE",COUNTIF($D$2:D7129,"REMOVE"),"")</f>
        <v/>
      </c>
      <c r="I7129">
        <f>IF(E7129="Gmail",COUNTIF($E$2:E7129,"Gmail"),"")</f>
        <v/>
      </c>
      <c r="J7129">
        <f>IF(E7129="Outlook",COUNTIF($E$2:E7129,"Outlook"),"")</f>
        <v/>
      </c>
      <c r="K7129">
        <f>IF(E7129="Domain",COUNTIF($E$2:E7129,"Domain"),"")</f>
        <v/>
      </c>
    </row>
    <row r="7130">
      <c r="A7130" s="2" t="n"/>
      <c r="B7130">
        <f>LOWER(TRIM(A7130))</f>
        <v/>
      </c>
      <c r="C7130">
        <f>IF(B7130="","",IFERROR(INDEX('Bad Patterns'!$A$2:$A$120,MATCH(1,INDEX(--ISNUMBER(SEARCH('Bad Patterns'!$A$2:$A$120,B7130)),0),0)),""))</f>
        <v/>
      </c>
      <c r="D7130">
        <f>IF(B7130="","",IF(C7130&lt;&gt;"","REMOVE","KEEP"))</f>
        <v/>
      </c>
      <c r="E7130">
        <f>IF(D7130&lt;&gt;"KEEP","",IF(RIGHT(B7130,10)="@gmail.com","Gmail",IF(OR(RIGHT(B7130,12)="@outlook.com",RIGHT(B7130,12)="@hotmail.com",RIGHT(B7130,9)="@live.com"),"Outlook","Domain")))</f>
        <v/>
      </c>
      <c r="F7130">
        <f>IF(B7130="","",IFERROR(RIGHT(B7130,LEN(B7130)-FIND("@",B7130)),""))</f>
        <v/>
      </c>
      <c r="G7130">
        <f>IF(D7130="KEEP",COUNTIF($D$2:D7130,"KEEP"),"")</f>
        <v/>
      </c>
      <c r="H7130">
        <f>IF(D7130="REMOVE",COUNTIF($D$2:D7130,"REMOVE"),"")</f>
        <v/>
      </c>
      <c r="I7130">
        <f>IF(E7130="Gmail",COUNTIF($E$2:E7130,"Gmail"),"")</f>
        <v/>
      </c>
      <c r="J7130">
        <f>IF(E7130="Outlook",COUNTIF($E$2:E7130,"Outlook"),"")</f>
        <v/>
      </c>
      <c r="K7130">
        <f>IF(E7130="Domain",COUNTIF($E$2:E7130,"Domain"),"")</f>
        <v/>
      </c>
    </row>
    <row r="7131">
      <c r="A7131" s="2" t="n"/>
      <c r="B7131">
        <f>LOWER(TRIM(A7131))</f>
        <v/>
      </c>
      <c r="C7131">
        <f>IF(B7131="","",IFERROR(INDEX('Bad Patterns'!$A$2:$A$120,MATCH(1,INDEX(--ISNUMBER(SEARCH('Bad Patterns'!$A$2:$A$120,B7131)),0),0)),""))</f>
        <v/>
      </c>
      <c r="D7131">
        <f>IF(B7131="","",IF(C7131&lt;&gt;"","REMOVE","KEEP"))</f>
        <v/>
      </c>
      <c r="E7131">
        <f>IF(D7131&lt;&gt;"KEEP","",IF(RIGHT(B7131,10)="@gmail.com","Gmail",IF(OR(RIGHT(B7131,12)="@outlook.com",RIGHT(B7131,12)="@hotmail.com",RIGHT(B7131,9)="@live.com"),"Outlook","Domain")))</f>
        <v/>
      </c>
      <c r="F7131">
        <f>IF(B7131="","",IFERROR(RIGHT(B7131,LEN(B7131)-FIND("@",B7131)),""))</f>
        <v/>
      </c>
      <c r="G7131">
        <f>IF(D7131="KEEP",COUNTIF($D$2:D7131,"KEEP"),"")</f>
        <v/>
      </c>
      <c r="H7131">
        <f>IF(D7131="REMOVE",COUNTIF($D$2:D7131,"REMOVE"),"")</f>
        <v/>
      </c>
      <c r="I7131">
        <f>IF(E7131="Gmail",COUNTIF($E$2:E7131,"Gmail"),"")</f>
        <v/>
      </c>
      <c r="J7131">
        <f>IF(E7131="Outlook",COUNTIF($E$2:E7131,"Outlook"),"")</f>
        <v/>
      </c>
      <c r="K7131">
        <f>IF(E7131="Domain",COUNTIF($E$2:E7131,"Domain"),"")</f>
        <v/>
      </c>
    </row>
    <row r="7132">
      <c r="A7132" s="2" t="n"/>
      <c r="B7132">
        <f>LOWER(TRIM(A7132))</f>
        <v/>
      </c>
      <c r="C7132">
        <f>IF(B7132="","",IFERROR(INDEX('Bad Patterns'!$A$2:$A$120,MATCH(1,INDEX(--ISNUMBER(SEARCH('Bad Patterns'!$A$2:$A$120,B7132)),0),0)),""))</f>
        <v/>
      </c>
      <c r="D7132">
        <f>IF(B7132="","",IF(C7132&lt;&gt;"","REMOVE","KEEP"))</f>
        <v/>
      </c>
      <c r="E7132">
        <f>IF(D7132&lt;&gt;"KEEP","",IF(RIGHT(B7132,10)="@gmail.com","Gmail",IF(OR(RIGHT(B7132,12)="@outlook.com",RIGHT(B7132,12)="@hotmail.com",RIGHT(B7132,9)="@live.com"),"Outlook","Domain")))</f>
        <v/>
      </c>
      <c r="F7132">
        <f>IF(B7132="","",IFERROR(RIGHT(B7132,LEN(B7132)-FIND("@",B7132)),""))</f>
        <v/>
      </c>
      <c r="G7132">
        <f>IF(D7132="KEEP",COUNTIF($D$2:D7132,"KEEP"),"")</f>
        <v/>
      </c>
      <c r="H7132">
        <f>IF(D7132="REMOVE",COUNTIF($D$2:D7132,"REMOVE"),"")</f>
        <v/>
      </c>
      <c r="I7132">
        <f>IF(E7132="Gmail",COUNTIF($E$2:E7132,"Gmail"),"")</f>
        <v/>
      </c>
      <c r="J7132">
        <f>IF(E7132="Outlook",COUNTIF($E$2:E7132,"Outlook"),"")</f>
        <v/>
      </c>
      <c r="K7132">
        <f>IF(E7132="Domain",COUNTIF($E$2:E7132,"Domain"),"")</f>
        <v/>
      </c>
    </row>
    <row r="7133">
      <c r="A7133" s="2" t="n"/>
      <c r="B7133">
        <f>LOWER(TRIM(A7133))</f>
        <v/>
      </c>
      <c r="C7133">
        <f>IF(B7133="","",IFERROR(INDEX('Bad Patterns'!$A$2:$A$120,MATCH(1,INDEX(--ISNUMBER(SEARCH('Bad Patterns'!$A$2:$A$120,B7133)),0),0)),""))</f>
        <v/>
      </c>
      <c r="D7133">
        <f>IF(B7133="","",IF(C7133&lt;&gt;"","REMOVE","KEEP"))</f>
        <v/>
      </c>
      <c r="E7133">
        <f>IF(D7133&lt;&gt;"KEEP","",IF(RIGHT(B7133,10)="@gmail.com","Gmail",IF(OR(RIGHT(B7133,12)="@outlook.com",RIGHT(B7133,12)="@hotmail.com",RIGHT(B7133,9)="@live.com"),"Outlook","Domain")))</f>
        <v/>
      </c>
      <c r="F7133">
        <f>IF(B7133="","",IFERROR(RIGHT(B7133,LEN(B7133)-FIND("@",B7133)),""))</f>
        <v/>
      </c>
      <c r="G7133">
        <f>IF(D7133="KEEP",COUNTIF($D$2:D7133,"KEEP"),"")</f>
        <v/>
      </c>
      <c r="H7133">
        <f>IF(D7133="REMOVE",COUNTIF($D$2:D7133,"REMOVE"),"")</f>
        <v/>
      </c>
      <c r="I7133">
        <f>IF(E7133="Gmail",COUNTIF($E$2:E7133,"Gmail"),"")</f>
        <v/>
      </c>
      <c r="J7133">
        <f>IF(E7133="Outlook",COUNTIF($E$2:E7133,"Outlook"),"")</f>
        <v/>
      </c>
      <c r="K7133">
        <f>IF(E7133="Domain",COUNTIF($E$2:E7133,"Domain"),"")</f>
        <v/>
      </c>
    </row>
    <row r="7134">
      <c r="A7134" s="2" t="n"/>
      <c r="B7134">
        <f>LOWER(TRIM(A7134))</f>
        <v/>
      </c>
      <c r="C7134">
        <f>IF(B7134="","",IFERROR(INDEX('Bad Patterns'!$A$2:$A$120,MATCH(1,INDEX(--ISNUMBER(SEARCH('Bad Patterns'!$A$2:$A$120,B7134)),0),0)),""))</f>
        <v/>
      </c>
      <c r="D7134">
        <f>IF(B7134="","",IF(C7134&lt;&gt;"","REMOVE","KEEP"))</f>
        <v/>
      </c>
      <c r="E7134">
        <f>IF(D7134&lt;&gt;"KEEP","",IF(RIGHT(B7134,10)="@gmail.com","Gmail",IF(OR(RIGHT(B7134,12)="@outlook.com",RIGHT(B7134,12)="@hotmail.com",RIGHT(B7134,9)="@live.com"),"Outlook","Domain")))</f>
        <v/>
      </c>
      <c r="F7134">
        <f>IF(B7134="","",IFERROR(RIGHT(B7134,LEN(B7134)-FIND("@",B7134)),""))</f>
        <v/>
      </c>
      <c r="G7134">
        <f>IF(D7134="KEEP",COUNTIF($D$2:D7134,"KEEP"),"")</f>
        <v/>
      </c>
      <c r="H7134">
        <f>IF(D7134="REMOVE",COUNTIF($D$2:D7134,"REMOVE"),"")</f>
        <v/>
      </c>
      <c r="I7134">
        <f>IF(E7134="Gmail",COUNTIF($E$2:E7134,"Gmail"),"")</f>
        <v/>
      </c>
      <c r="J7134">
        <f>IF(E7134="Outlook",COUNTIF($E$2:E7134,"Outlook"),"")</f>
        <v/>
      </c>
      <c r="K7134">
        <f>IF(E7134="Domain",COUNTIF($E$2:E7134,"Domain"),"")</f>
        <v/>
      </c>
    </row>
    <row r="7135">
      <c r="A7135" s="2" t="n"/>
      <c r="B7135">
        <f>LOWER(TRIM(A7135))</f>
        <v/>
      </c>
      <c r="C7135">
        <f>IF(B7135="","",IFERROR(INDEX('Bad Patterns'!$A$2:$A$120,MATCH(1,INDEX(--ISNUMBER(SEARCH('Bad Patterns'!$A$2:$A$120,B7135)),0),0)),""))</f>
        <v/>
      </c>
      <c r="D7135">
        <f>IF(B7135="","",IF(C7135&lt;&gt;"","REMOVE","KEEP"))</f>
        <v/>
      </c>
      <c r="E7135">
        <f>IF(D7135&lt;&gt;"KEEP","",IF(RIGHT(B7135,10)="@gmail.com","Gmail",IF(OR(RIGHT(B7135,12)="@outlook.com",RIGHT(B7135,12)="@hotmail.com",RIGHT(B7135,9)="@live.com"),"Outlook","Domain")))</f>
        <v/>
      </c>
      <c r="F7135">
        <f>IF(B7135="","",IFERROR(RIGHT(B7135,LEN(B7135)-FIND("@",B7135)),""))</f>
        <v/>
      </c>
      <c r="G7135">
        <f>IF(D7135="KEEP",COUNTIF($D$2:D7135,"KEEP"),"")</f>
        <v/>
      </c>
      <c r="H7135">
        <f>IF(D7135="REMOVE",COUNTIF($D$2:D7135,"REMOVE"),"")</f>
        <v/>
      </c>
      <c r="I7135">
        <f>IF(E7135="Gmail",COUNTIF($E$2:E7135,"Gmail"),"")</f>
        <v/>
      </c>
      <c r="J7135">
        <f>IF(E7135="Outlook",COUNTIF($E$2:E7135,"Outlook"),"")</f>
        <v/>
      </c>
      <c r="K7135">
        <f>IF(E7135="Domain",COUNTIF($E$2:E7135,"Domain"),"")</f>
        <v/>
      </c>
    </row>
    <row r="7136">
      <c r="A7136" s="2" t="n"/>
      <c r="B7136">
        <f>LOWER(TRIM(A7136))</f>
        <v/>
      </c>
      <c r="C7136">
        <f>IF(B7136="","",IFERROR(INDEX('Bad Patterns'!$A$2:$A$120,MATCH(1,INDEX(--ISNUMBER(SEARCH('Bad Patterns'!$A$2:$A$120,B7136)),0),0)),""))</f>
        <v/>
      </c>
      <c r="D7136">
        <f>IF(B7136="","",IF(C7136&lt;&gt;"","REMOVE","KEEP"))</f>
        <v/>
      </c>
      <c r="E7136">
        <f>IF(D7136&lt;&gt;"KEEP","",IF(RIGHT(B7136,10)="@gmail.com","Gmail",IF(OR(RIGHT(B7136,12)="@outlook.com",RIGHT(B7136,12)="@hotmail.com",RIGHT(B7136,9)="@live.com"),"Outlook","Domain")))</f>
        <v/>
      </c>
      <c r="F7136">
        <f>IF(B7136="","",IFERROR(RIGHT(B7136,LEN(B7136)-FIND("@",B7136)),""))</f>
        <v/>
      </c>
      <c r="G7136">
        <f>IF(D7136="KEEP",COUNTIF($D$2:D7136,"KEEP"),"")</f>
        <v/>
      </c>
      <c r="H7136">
        <f>IF(D7136="REMOVE",COUNTIF($D$2:D7136,"REMOVE"),"")</f>
        <v/>
      </c>
      <c r="I7136">
        <f>IF(E7136="Gmail",COUNTIF($E$2:E7136,"Gmail"),"")</f>
        <v/>
      </c>
      <c r="J7136">
        <f>IF(E7136="Outlook",COUNTIF($E$2:E7136,"Outlook"),"")</f>
        <v/>
      </c>
      <c r="K7136">
        <f>IF(E7136="Domain",COUNTIF($E$2:E7136,"Domain"),"")</f>
        <v/>
      </c>
    </row>
    <row r="7137">
      <c r="A7137" s="2" t="n"/>
      <c r="B7137">
        <f>LOWER(TRIM(A7137))</f>
        <v/>
      </c>
      <c r="C7137">
        <f>IF(B7137="","",IFERROR(INDEX('Bad Patterns'!$A$2:$A$120,MATCH(1,INDEX(--ISNUMBER(SEARCH('Bad Patterns'!$A$2:$A$120,B7137)),0),0)),""))</f>
        <v/>
      </c>
      <c r="D7137">
        <f>IF(B7137="","",IF(C7137&lt;&gt;"","REMOVE","KEEP"))</f>
        <v/>
      </c>
      <c r="E7137">
        <f>IF(D7137&lt;&gt;"KEEP","",IF(RIGHT(B7137,10)="@gmail.com","Gmail",IF(OR(RIGHT(B7137,12)="@outlook.com",RIGHT(B7137,12)="@hotmail.com",RIGHT(B7137,9)="@live.com"),"Outlook","Domain")))</f>
        <v/>
      </c>
      <c r="F7137">
        <f>IF(B7137="","",IFERROR(RIGHT(B7137,LEN(B7137)-FIND("@",B7137)),""))</f>
        <v/>
      </c>
      <c r="G7137">
        <f>IF(D7137="KEEP",COUNTIF($D$2:D7137,"KEEP"),"")</f>
        <v/>
      </c>
      <c r="H7137">
        <f>IF(D7137="REMOVE",COUNTIF($D$2:D7137,"REMOVE"),"")</f>
        <v/>
      </c>
      <c r="I7137">
        <f>IF(E7137="Gmail",COUNTIF($E$2:E7137,"Gmail"),"")</f>
        <v/>
      </c>
      <c r="J7137">
        <f>IF(E7137="Outlook",COUNTIF($E$2:E7137,"Outlook"),"")</f>
        <v/>
      </c>
      <c r="K7137">
        <f>IF(E7137="Domain",COUNTIF($E$2:E7137,"Domain"),"")</f>
        <v/>
      </c>
    </row>
    <row r="7138">
      <c r="A7138" s="2" t="n"/>
      <c r="B7138">
        <f>LOWER(TRIM(A7138))</f>
        <v/>
      </c>
      <c r="C7138">
        <f>IF(B7138="","",IFERROR(INDEX('Bad Patterns'!$A$2:$A$120,MATCH(1,INDEX(--ISNUMBER(SEARCH('Bad Patterns'!$A$2:$A$120,B7138)),0),0)),""))</f>
        <v/>
      </c>
      <c r="D7138">
        <f>IF(B7138="","",IF(C7138&lt;&gt;"","REMOVE","KEEP"))</f>
        <v/>
      </c>
      <c r="E7138">
        <f>IF(D7138&lt;&gt;"KEEP","",IF(RIGHT(B7138,10)="@gmail.com","Gmail",IF(OR(RIGHT(B7138,12)="@outlook.com",RIGHT(B7138,12)="@hotmail.com",RIGHT(B7138,9)="@live.com"),"Outlook","Domain")))</f>
        <v/>
      </c>
      <c r="F7138">
        <f>IF(B7138="","",IFERROR(RIGHT(B7138,LEN(B7138)-FIND("@",B7138)),""))</f>
        <v/>
      </c>
      <c r="G7138">
        <f>IF(D7138="KEEP",COUNTIF($D$2:D7138,"KEEP"),"")</f>
        <v/>
      </c>
      <c r="H7138">
        <f>IF(D7138="REMOVE",COUNTIF($D$2:D7138,"REMOVE"),"")</f>
        <v/>
      </c>
      <c r="I7138">
        <f>IF(E7138="Gmail",COUNTIF($E$2:E7138,"Gmail"),"")</f>
        <v/>
      </c>
      <c r="J7138">
        <f>IF(E7138="Outlook",COUNTIF($E$2:E7138,"Outlook"),"")</f>
        <v/>
      </c>
      <c r="K7138">
        <f>IF(E7138="Domain",COUNTIF($E$2:E7138,"Domain"),"")</f>
        <v/>
      </c>
    </row>
    <row r="7139">
      <c r="A7139" s="2" t="n"/>
      <c r="B7139">
        <f>LOWER(TRIM(A7139))</f>
        <v/>
      </c>
      <c r="C7139">
        <f>IF(B7139="","",IFERROR(INDEX('Bad Patterns'!$A$2:$A$120,MATCH(1,INDEX(--ISNUMBER(SEARCH('Bad Patterns'!$A$2:$A$120,B7139)),0),0)),""))</f>
        <v/>
      </c>
      <c r="D7139">
        <f>IF(B7139="","",IF(C7139&lt;&gt;"","REMOVE","KEEP"))</f>
        <v/>
      </c>
      <c r="E7139">
        <f>IF(D7139&lt;&gt;"KEEP","",IF(RIGHT(B7139,10)="@gmail.com","Gmail",IF(OR(RIGHT(B7139,12)="@outlook.com",RIGHT(B7139,12)="@hotmail.com",RIGHT(B7139,9)="@live.com"),"Outlook","Domain")))</f>
        <v/>
      </c>
      <c r="F7139">
        <f>IF(B7139="","",IFERROR(RIGHT(B7139,LEN(B7139)-FIND("@",B7139)),""))</f>
        <v/>
      </c>
      <c r="G7139">
        <f>IF(D7139="KEEP",COUNTIF($D$2:D7139,"KEEP"),"")</f>
        <v/>
      </c>
      <c r="H7139">
        <f>IF(D7139="REMOVE",COUNTIF($D$2:D7139,"REMOVE"),"")</f>
        <v/>
      </c>
      <c r="I7139">
        <f>IF(E7139="Gmail",COUNTIF($E$2:E7139,"Gmail"),"")</f>
        <v/>
      </c>
      <c r="J7139">
        <f>IF(E7139="Outlook",COUNTIF($E$2:E7139,"Outlook"),"")</f>
        <v/>
      </c>
      <c r="K7139">
        <f>IF(E7139="Domain",COUNTIF($E$2:E7139,"Domain"),"")</f>
        <v/>
      </c>
    </row>
    <row r="7140">
      <c r="A7140" s="2" t="n"/>
      <c r="B7140">
        <f>LOWER(TRIM(A7140))</f>
        <v/>
      </c>
      <c r="C7140">
        <f>IF(B7140="","",IFERROR(INDEX('Bad Patterns'!$A$2:$A$120,MATCH(1,INDEX(--ISNUMBER(SEARCH('Bad Patterns'!$A$2:$A$120,B7140)),0),0)),""))</f>
        <v/>
      </c>
      <c r="D7140">
        <f>IF(B7140="","",IF(C7140&lt;&gt;"","REMOVE","KEEP"))</f>
        <v/>
      </c>
      <c r="E7140">
        <f>IF(D7140&lt;&gt;"KEEP","",IF(RIGHT(B7140,10)="@gmail.com","Gmail",IF(OR(RIGHT(B7140,12)="@outlook.com",RIGHT(B7140,12)="@hotmail.com",RIGHT(B7140,9)="@live.com"),"Outlook","Domain")))</f>
        <v/>
      </c>
      <c r="F7140">
        <f>IF(B7140="","",IFERROR(RIGHT(B7140,LEN(B7140)-FIND("@",B7140)),""))</f>
        <v/>
      </c>
      <c r="G7140">
        <f>IF(D7140="KEEP",COUNTIF($D$2:D7140,"KEEP"),"")</f>
        <v/>
      </c>
      <c r="H7140">
        <f>IF(D7140="REMOVE",COUNTIF($D$2:D7140,"REMOVE"),"")</f>
        <v/>
      </c>
      <c r="I7140">
        <f>IF(E7140="Gmail",COUNTIF($E$2:E7140,"Gmail"),"")</f>
        <v/>
      </c>
      <c r="J7140">
        <f>IF(E7140="Outlook",COUNTIF($E$2:E7140,"Outlook"),"")</f>
        <v/>
      </c>
      <c r="K7140">
        <f>IF(E7140="Domain",COUNTIF($E$2:E7140,"Domain"),"")</f>
        <v/>
      </c>
    </row>
    <row r="7141">
      <c r="A7141" s="2" t="n"/>
      <c r="B7141">
        <f>LOWER(TRIM(A7141))</f>
        <v/>
      </c>
      <c r="C7141">
        <f>IF(B7141="","",IFERROR(INDEX('Bad Patterns'!$A$2:$A$120,MATCH(1,INDEX(--ISNUMBER(SEARCH('Bad Patterns'!$A$2:$A$120,B7141)),0),0)),""))</f>
        <v/>
      </c>
      <c r="D7141">
        <f>IF(B7141="","",IF(C7141&lt;&gt;"","REMOVE","KEEP"))</f>
        <v/>
      </c>
      <c r="E7141">
        <f>IF(D7141&lt;&gt;"KEEP","",IF(RIGHT(B7141,10)="@gmail.com","Gmail",IF(OR(RIGHT(B7141,12)="@outlook.com",RIGHT(B7141,12)="@hotmail.com",RIGHT(B7141,9)="@live.com"),"Outlook","Domain")))</f>
        <v/>
      </c>
      <c r="F7141">
        <f>IF(B7141="","",IFERROR(RIGHT(B7141,LEN(B7141)-FIND("@",B7141)),""))</f>
        <v/>
      </c>
      <c r="G7141">
        <f>IF(D7141="KEEP",COUNTIF($D$2:D7141,"KEEP"),"")</f>
        <v/>
      </c>
      <c r="H7141">
        <f>IF(D7141="REMOVE",COUNTIF($D$2:D7141,"REMOVE"),"")</f>
        <v/>
      </c>
      <c r="I7141">
        <f>IF(E7141="Gmail",COUNTIF($E$2:E7141,"Gmail"),"")</f>
        <v/>
      </c>
      <c r="J7141">
        <f>IF(E7141="Outlook",COUNTIF($E$2:E7141,"Outlook"),"")</f>
        <v/>
      </c>
      <c r="K7141">
        <f>IF(E7141="Domain",COUNTIF($E$2:E7141,"Domain"),"")</f>
        <v/>
      </c>
    </row>
    <row r="7142">
      <c r="A7142" s="2" t="n"/>
      <c r="B7142">
        <f>LOWER(TRIM(A7142))</f>
        <v/>
      </c>
      <c r="C7142">
        <f>IF(B7142="","",IFERROR(INDEX('Bad Patterns'!$A$2:$A$120,MATCH(1,INDEX(--ISNUMBER(SEARCH('Bad Patterns'!$A$2:$A$120,B7142)),0),0)),""))</f>
        <v/>
      </c>
      <c r="D7142">
        <f>IF(B7142="","",IF(C7142&lt;&gt;"","REMOVE","KEEP"))</f>
        <v/>
      </c>
      <c r="E7142">
        <f>IF(D7142&lt;&gt;"KEEP","",IF(RIGHT(B7142,10)="@gmail.com","Gmail",IF(OR(RIGHT(B7142,12)="@outlook.com",RIGHT(B7142,12)="@hotmail.com",RIGHT(B7142,9)="@live.com"),"Outlook","Domain")))</f>
        <v/>
      </c>
      <c r="F7142">
        <f>IF(B7142="","",IFERROR(RIGHT(B7142,LEN(B7142)-FIND("@",B7142)),""))</f>
        <v/>
      </c>
      <c r="G7142">
        <f>IF(D7142="KEEP",COUNTIF($D$2:D7142,"KEEP"),"")</f>
        <v/>
      </c>
      <c r="H7142">
        <f>IF(D7142="REMOVE",COUNTIF($D$2:D7142,"REMOVE"),"")</f>
        <v/>
      </c>
      <c r="I7142">
        <f>IF(E7142="Gmail",COUNTIF($E$2:E7142,"Gmail"),"")</f>
        <v/>
      </c>
      <c r="J7142">
        <f>IF(E7142="Outlook",COUNTIF($E$2:E7142,"Outlook"),"")</f>
        <v/>
      </c>
      <c r="K7142">
        <f>IF(E7142="Domain",COUNTIF($E$2:E7142,"Domain"),"")</f>
        <v/>
      </c>
    </row>
    <row r="7143">
      <c r="A7143" s="2" t="n"/>
      <c r="B7143">
        <f>LOWER(TRIM(A7143))</f>
        <v/>
      </c>
      <c r="C7143">
        <f>IF(B7143="","",IFERROR(INDEX('Bad Patterns'!$A$2:$A$120,MATCH(1,INDEX(--ISNUMBER(SEARCH('Bad Patterns'!$A$2:$A$120,B7143)),0),0)),""))</f>
        <v/>
      </c>
      <c r="D7143">
        <f>IF(B7143="","",IF(C7143&lt;&gt;"","REMOVE","KEEP"))</f>
        <v/>
      </c>
      <c r="E7143">
        <f>IF(D7143&lt;&gt;"KEEP","",IF(RIGHT(B7143,10)="@gmail.com","Gmail",IF(OR(RIGHT(B7143,12)="@outlook.com",RIGHT(B7143,12)="@hotmail.com",RIGHT(B7143,9)="@live.com"),"Outlook","Domain")))</f>
        <v/>
      </c>
      <c r="F7143">
        <f>IF(B7143="","",IFERROR(RIGHT(B7143,LEN(B7143)-FIND("@",B7143)),""))</f>
        <v/>
      </c>
      <c r="G7143">
        <f>IF(D7143="KEEP",COUNTIF($D$2:D7143,"KEEP"),"")</f>
        <v/>
      </c>
      <c r="H7143">
        <f>IF(D7143="REMOVE",COUNTIF($D$2:D7143,"REMOVE"),"")</f>
        <v/>
      </c>
      <c r="I7143">
        <f>IF(E7143="Gmail",COUNTIF($E$2:E7143,"Gmail"),"")</f>
        <v/>
      </c>
      <c r="J7143">
        <f>IF(E7143="Outlook",COUNTIF($E$2:E7143,"Outlook"),"")</f>
        <v/>
      </c>
      <c r="K7143">
        <f>IF(E7143="Domain",COUNTIF($E$2:E7143,"Domain"),"")</f>
        <v/>
      </c>
    </row>
    <row r="7144">
      <c r="A7144" s="2" t="n"/>
      <c r="B7144">
        <f>LOWER(TRIM(A7144))</f>
        <v/>
      </c>
      <c r="C7144">
        <f>IF(B7144="","",IFERROR(INDEX('Bad Patterns'!$A$2:$A$120,MATCH(1,INDEX(--ISNUMBER(SEARCH('Bad Patterns'!$A$2:$A$120,B7144)),0),0)),""))</f>
        <v/>
      </c>
      <c r="D7144">
        <f>IF(B7144="","",IF(C7144&lt;&gt;"","REMOVE","KEEP"))</f>
        <v/>
      </c>
      <c r="E7144">
        <f>IF(D7144&lt;&gt;"KEEP","",IF(RIGHT(B7144,10)="@gmail.com","Gmail",IF(OR(RIGHT(B7144,12)="@outlook.com",RIGHT(B7144,12)="@hotmail.com",RIGHT(B7144,9)="@live.com"),"Outlook","Domain")))</f>
        <v/>
      </c>
      <c r="F7144">
        <f>IF(B7144="","",IFERROR(RIGHT(B7144,LEN(B7144)-FIND("@",B7144)),""))</f>
        <v/>
      </c>
      <c r="G7144">
        <f>IF(D7144="KEEP",COUNTIF($D$2:D7144,"KEEP"),"")</f>
        <v/>
      </c>
      <c r="H7144">
        <f>IF(D7144="REMOVE",COUNTIF($D$2:D7144,"REMOVE"),"")</f>
        <v/>
      </c>
      <c r="I7144">
        <f>IF(E7144="Gmail",COUNTIF($E$2:E7144,"Gmail"),"")</f>
        <v/>
      </c>
      <c r="J7144">
        <f>IF(E7144="Outlook",COUNTIF($E$2:E7144,"Outlook"),"")</f>
        <v/>
      </c>
      <c r="K7144">
        <f>IF(E7144="Domain",COUNTIF($E$2:E7144,"Domain"),"")</f>
        <v/>
      </c>
    </row>
    <row r="7145">
      <c r="A7145" s="2" t="n"/>
      <c r="B7145">
        <f>LOWER(TRIM(A7145))</f>
        <v/>
      </c>
      <c r="C7145">
        <f>IF(B7145="","",IFERROR(INDEX('Bad Patterns'!$A$2:$A$120,MATCH(1,INDEX(--ISNUMBER(SEARCH('Bad Patterns'!$A$2:$A$120,B7145)),0),0)),""))</f>
        <v/>
      </c>
      <c r="D7145">
        <f>IF(B7145="","",IF(C7145&lt;&gt;"","REMOVE","KEEP"))</f>
        <v/>
      </c>
      <c r="E7145">
        <f>IF(D7145&lt;&gt;"KEEP","",IF(RIGHT(B7145,10)="@gmail.com","Gmail",IF(OR(RIGHT(B7145,12)="@outlook.com",RIGHT(B7145,12)="@hotmail.com",RIGHT(B7145,9)="@live.com"),"Outlook","Domain")))</f>
        <v/>
      </c>
      <c r="F7145">
        <f>IF(B7145="","",IFERROR(RIGHT(B7145,LEN(B7145)-FIND("@",B7145)),""))</f>
        <v/>
      </c>
      <c r="G7145">
        <f>IF(D7145="KEEP",COUNTIF($D$2:D7145,"KEEP"),"")</f>
        <v/>
      </c>
      <c r="H7145">
        <f>IF(D7145="REMOVE",COUNTIF($D$2:D7145,"REMOVE"),"")</f>
        <v/>
      </c>
      <c r="I7145">
        <f>IF(E7145="Gmail",COUNTIF($E$2:E7145,"Gmail"),"")</f>
        <v/>
      </c>
      <c r="J7145">
        <f>IF(E7145="Outlook",COUNTIF($E$2:E7145,"Outlook"),"")</f>
        <v/>
      </c>
      <c r="K7145">
        <f>IF(E7145="Domain",COUNTIF($E$2:E7145,"Domain"),"")</f>
        <v/>
      </c>
    </row>
    <row r="7146">
      <c r="A7146" s="2" t="n"/>
      <c r="B7146">
        <f>LOWER(TRIM(A7146))</f>
        <v/>
      </c>
      <c r="C7146">
        <f>IF(B7146="","",IFERROR(INDEX('Bad Patterns'!$A$2:$A$120,MATCH(1,INDEX(--ISNUMBER(SEARCH('Bad Patterns'!$A$2:$A$120,B7146)),0),0)),""))</f>
        <v/>
      </c>
      <c r="D7146">
        <f>IF(B7146="","",IF(C7146&lt;&gt;"","REMOVE","KEEP"))</f>
        <v/>
      </c>
      <c r="E7146">
        <f>IF(D7146&lt;&gt;"KEEP","",IF(RIGHT(B7146,10)="@gmail.com","Gmail",IF(OR(RIGHT(B7146,12)="@outlook.com",RIGHT(B7146,12)="@hotmail.com",RIGHT(B7146,9)="@live.com"),"Outlook","Domain")))</f>
        <v/>
      </c>
      <c r="F7146">
        <f>IF(B7146="","",IFERROR(RIGHT(B7146,LEN(B7146)-FIND("@",B7146)),""))</f>
        <v/>
      </c>
      <c r="G7146">
        <f>IF(D7146="KEEP",COUNTIF($D$2:D7146,"KEEP"),"")</f>
        <v/>
      </c>
      <c r="H7146">
        <f>IF(D7146="REMOVE",COUNTIF($D$2:D7146,"REMOVE"),"")</f>
        <v/>
      </c>
      <c r="I7146">
        <f>IF(E7146="Gmail",COUNTIF($E$2:E7146,"Gmail"),"")</f>
        <v/>
      </c>
      <c r="J7146">
        <f>IF(E7146="Outlook",COUNTIF($E$2:E7146,"Outlook"),"")</f>
        <v/>
      </c>
      <c r="K7146">
        <f>IF(E7146="Domain",COUNTIF($E$2:E7146,"Domain"),"")</f>
        <v/>
      </c>
    </row>
    <row r="7147">
      <c r="A7147" s="2" t="n"/>
      <c r="B7147">
        <f>LOWER(TRIM(A7147))</f>
        <v/>
      </c>
      <c r="C7147">
        <f>IF(B7147="","",IFERROR(INDEX('Bad Patterns'!$A$2:$A$120,MATCH(1,INDEX(--ISNUMBER(SEARCH('Bad Patterns'!$A$2:$A$120,B7147)),0),0)),""))</f>
        <v/>
      </c>
      <c r="D7147">
        <f>IF(B7147="","",IF(C7147&lt;&gt;"","REMOVE","KEEP"))</f>
        <v/>
      </c>
      <c r="E7147">
        <f>IF(D7147&lt;&gt;"KEEP","",IF(RIGHT(B7147,10)="@gmail.com","Gmail",IF(OR(RIGHT(B7147,12)="@outlook.com",RIGHT(B7147,12)="@hotmail.com",RIGHT(B7147,9)="@live.com"),"Outlook","Domain")))</f>
        <v/>
      </c>
      <c r="F7147">
        <f>IF(B7147="","",IFERROR(RIGHT(B7147,LEN(B7147)-FIND("@",B7147)),""))</f>
        <v/>
      </c>
      <c r="G7147">
        <f>IF(D7147="KEEP",COUNTIF($D$2:D7147,"KEEP"),"")</f>
        <v/>
      </c>
      <c r="H7147">
        <f>IF(D7147="REMOVE",COUNTIF($D$2:D7147,"REMOVE"),"")</f>
        <v/>
      </c>
      <c r="I7147">
        <f>IF(E7147="Gmail",COUNTIF($E$2:E7147,"Gmail"),"")</f>
        <v/>
      </c>
      <c r="J7147">
        <f>IF(E7147="Outlook",COUNTIF($E$2:E7147,"Outlook"),"")</f>
        <v/>
      </c>
      <c r="K7147">
        <f>IF(E7147="Domain",COUNTIF($E$2:E7147,"Domain"),"")</f>
        <v/>
      </c>
    </row>
    <row r="7148">
      <c r="A7148" s="2" t="n"/>
      <c r="B7148">
        <f>LOWER(TRIM(A7148))</f>
        <v/>
      </c>
      <c r="C7148">
        <f>IF(B7148="","",IFERROR(INDEX('Bad Patterns'!$A$2:$A$120,MATCH(1,INDEX(--ISNUMBER(SEARCH('Bad Patterns'!$A$2:$A$120,B7148)),0),0)),""))</f>
        <v/>
      </c>
      <c r="D7148">
        <f>IF(B7148="","",IF(C7148&lt;&gt;"","REMOVE","KEEP"))</f>
        <v/>
      </c>
      <c r="E7148">
        <f>IF(D7148&lt;&gt;"KEEP","",IF(RIGHT(B7148,10)="@gmail.com","Gmail",IF(OR(RIGHT(B7148,12)="@outlook.com",RIGHT(B7148,12)="@hotmail.com",RIGHT(B7148,9)="@live.com"),"Outlook","Domain")))</f>
        <v/>
      </c>
      <c r="F7148">
        <f>IF(B7148="","",IFERROR(RIGHT(B7148,LEN(B7148)-FIND("@",B7148)),""))</f>
        <v/>
      </c>
      <c r="G7148">
        <f>IF(D7148="KEEP",COUNTIF($D$2:D7148,"KEEP"),"")</f>
        <v/>
      </c>
      <c r="H7148">
        <f>IF(D7148="REMOVE",COUNTIF($D$2:D7148,"REMOVE"),"")</f>
        <v/>
      </c>
      <c r="I7148">
        <f>IF(E7148="Gmail",COUNTIF($E$2:E7148,"Gmail"),"")</f>
        <v/>
      </c>
      <c r="J7148">
        <f>IF(E7148="Outlook",COUNTIF($E$2:E7148,"Outlook"),"")</f>
        <v/>
      </c>
      <c r="K7148">
        <f>IF(E7148="Domain",COUNTIF($E$2:E7148,"Domain"),"")</f>
        <v/>
      </c>
    </row>
    <row r="7149">
      <c r="A7149" s="2" t="n"/>
      <c r="B7149">
        <f>LOWER(TRIM(A7149))</f>
        <v/>
      </c>
      <c r="C7149">
        <f>IF(B7149="","",IFERROR(INDEX('Bad Patterns'!$A$2:$A$120,MATCH(1,INDEX(--ISNUMBER(SEARCH('Bad Patterns'!$A$2:$A$120,B7149)),0),0)),""))</f>
        <v/>
      </c>
      <c r="D7149">
        <f>IF(B7149="","",IF(C7149&lt;&gt;"","REMOVE","KEEP"))</f>
        <v/>
      </c>
      <c r="E7149">
        <f>IF(D7149&lt;&gt;"KEEP","",IF(RIGHT(B7149,10)="@gmail.com","Gmail",IF(OR(RIGHT(B7149,12)="@outlook.com",RIGHT(B7149,12)="@hotmail.com",RIGHT(B7149,9)="@live.com"),"Outlook","Domain")))</f>
        <v/>
      </c>
      <c r="F7149">
        <f>IF(B7149="","",IFERROR(RIGHT(B7149,LEN(B7149)-FIND("@",B7149)),""))</f>
        <v/>
      </c>
      <c r="G7149">
        <f>IF(D7149="KEEP",COUNTIF($D$2:D7149,"KEEP"),"")</f>
        <v/>
      </c>
      <c r="H7149">
        <f>IF(D7149="REMOVE",COUNTIF($D$2:D7149,"REMOVE"),"")</f>
        <v/>
      </c>
      <c r="I7149">
        <f>IF(E7149="Gmail",COUNTIF($E$2:E7149,"Gmail"),"")</f>
        <v/>
      </c>
      <c r="J7149">
        <f>IF(E7149="Outlook",COUNTIF($E$2:E7149,"Outlook"),"")</f>
        <v/>
      </c>
      <c r="K7149">
        <f>IF(E7149="Domain",COUNTIF($E$2:E7149,"Domain"),"")</f>
        <v/>
      </c>
    </row>
    <row r="7150">
      <c r="A7150" s="2" t="n"/>
      <c r="B7150">
        <f>LOWER(TRIM(A7150))</f>
        <v/>
      </c>
      <c r="C7150">
        <f>IF(B7150="","",IFERROR(INDEX('Bad Patterns'!$A$2:$A$120,MATCH(1,INDEX(--ISNUMBER(SEARCH('Bad Patterns'!$A$2:$A$120,B7150)),0),0)),""))</f>
        <v/>
      </c>
      <c r="D7150">
        <f>IF(B7150="","",IF(C7150&lt;&gt;"","REMOVE","KEEP"))</f>
        <v/>
      </c>
      <c r="E7150">
        <f>IF(D7150&lt;&gt;"KEEP","",IF(RIGHT(B7150,10)="@gmail.com","Gmail",IF(OR(RIGHT(B7150,12)="@outlook.com",RIGHT(B7150,12)="@hotmail.com",RIGHT(B7150,9)="@live.com"),"Outlook","Domain")))</f>
        <v/>
      </c>
      <c r="F7150">
        <f>IF(B7150="","",IFERROR(RIGHT(B7150,LEN(B7150)-FIND("@",B7150)),""))</f>
        <v/>
      </c>
      <c r="G7150">
        <f>IF(D7150="KEEP",COUNTIF($D$2:D7150,"KEEP"),"")</f>
        <v/>
      </c>
      <c r="H7150">
        <f>IF(D7150="REMOVE",COUNTIF($D$2:D7150,"REMOVE"),"")</f>
        <v/>
      </c>
      <c r="I7150">
        <f>IF(E7150="Gmail",COUNTIF($E$2:E7150,"Gmail"),"")</f>
        <v/>
      </c>
      <c r="J7150">
        <f>IF(E7150="Outlook",COUNTIF($E$2:E7150,"Outlook"),"")</f>
        <v/>
      </c>
      <c r="K7150">
        <f>IF(E7150="Domain",COUNTIF($E$2:E7150,"Domain"),"")</f>
        <v/>
      </c>
    </row>
    <row r="7151">
      <c r="A7151" s="2" t="n"/>
      <c r="B7151">
        <f>LOWER(TRIM(A7151))</f>
        <v/>
      </c>
      <c r="C7151">
        <f>IF(B7151="","",IFERROR(INDEX('Bad Patterns'!$A$2:$A$120,MATCH(1,INDEX(--ISNUMBER(SEARCH('Bad Patterns'!$A$2:$A$120,B7151)),0),0)),""))</f>
        <v/>
      </c>
      <c r="D7151">
        <f>IF(B7151="","",IF(C7151&lt;&gt;"","REMOVE","KEEP"))</f>
        <v/>
      </c>
      <c r="E7151">
        <f>IF(D7151&lt;&gt;"KEEP","",IF(RIGHT(B7151,10)="@gmail.com","Gmail",IF(OR(RIGHT(B7151,12)="@outlook.com",RIGHT(B7151,12)="@hotmail.com",RIGHT(B7151,9)="@live.com"),"Outlook","Domain")))</f>
        <v/>
      </c>
      <c r="F7151">
        <f>IF(B7151="","",IFERROR(RIGHT(B7151,LEN(B7151)-FIND("@",B7151)),""))</f>
        <v/>
      </c>
      <c r="G7151">
        <f>IF(D7151="KEEP",COUNTIF($D$2:D7151,"KEEP"),"")</f>
        <v/>
      </c>
      <c r="H7151">
        <f>IF(D7151="REMOVE",COUNTIF($D$2:D7151,"REMOVE"),"")</f>
        <v/>
      </c>
      <c r="I7151">
        <f>IF(E7151="Gmail",COUNTIF($E$2:E7151,"Gmail"),"")</f>
        <v/>
      </c>
      <c r="J7151">
        <f>IF(E7151="Outlook",COUNTIF($E$2:E7151,"Outlook"),"")</f>
        <v/>
      </c>
      <c r="K7151">
        <f>IF(E7151="Domain",COUNTIF($E$2:E7151,"Domain"),"")</f>
        <v/>
      </c>
    </row>
    <row r="7152">
      <c r="A7152" s="2" t="n"/>
      <c r="B7152">
        <f>LOWER(TRIM(A7152))</f>
        <v/>
      </c>
      <c r="C7152">
        <f>IF(B7152="","",IFERROR(INDEX('Bad Patterns'!$A$2:$A$120,MATCH(1,INDEX(--ISNUMBER(SEARCH('Bad Patterns'!$A$2:$A$120,B7152)),0),0)),""))</f>
        <v/>
      </c>
      <c r="D7152">
        <f>IF(B7152="","",IF(C7152&lt;&gt;"","REMOVE","KEEP"))</f>
        <v/>
      </c>
      <c r="E7152">
        <f>IF(D7152&lt;&gt;"KEEP","",IF(RIGHT(B7152,10)="@gmail.com","Gmail",IF(OR(RIGHT(B7152,12)="@outlook.com",RIGHT(B7152,12)="@hotmail.com",RIGHT(B7152,9)="@live.com"),"Outlook","Domain")))</f>
        <v/>
      </c>
      <c r="F7152">
        <f>IF(B7152="","",IFERROR(RIGHT(B7152,LEN(B7152)-FIND("@",B7152)),""))</f>
        <v/>
      </c>
      <c r="G7152">
        <f>IF(D7152="KEEP",COUNTIF($D$2:D7152,"KEEP"),"")</f>
        <v/>
      </c>
      <c r="H7152">
        <f>IF(D7152="REMOVE",COUNTIF($D$2:D7152,"REMOVE"),"")</f>
        <v/>
      </c>
      <c r="I7152">
        <f>IF(E7152="Gmail",COUNTIF($E$2:E7152,"Gmail"),"")</f>
        <v/>
      </c>
      <c r="J7152">
        <f>IF(E7152="Outlook",COUNTIF($E$2:E7152,"Outlook"),"")</f>
        <v/>
      </c>
      <c r="K7152">
        <f>IF(E7152="Domain",COUNTIF($E$2:E7152,"Domain"),"")</f>
        <v/>
      </c>
    </row>
    <row r="7153">
      <c r="A7153" s="2" t="n"/>
      <c r="B7153">
        <f>LOWER(TRIM(A7153))</f>
        <v/>
      </c>
      <c r="C7153">
        <f>IF(B7153="","",IFERROR(INDEX('Bad Patterns'!$A$2:$A$120,MATCH(1,INDEX(--ISNUMBER(SEARCH('Bad Patterns'!$A$2:$A$120,B7153)),0),0)),""))</f>
        <v/>
      </c>
      <c r="D7153">
        <f>IF(B7153="","",IF(C7153&lt;&gt;"","REMOVE","KEEP"))</f>
        <v/>
      </c>
      <c r="E7153">
        <f>IF(D7153&lt;&gt;"KEEP","",IF(RIGHT(B7153,10)="@gmail.com","Gmail",IF(OR(RIGHT(B7153,12)="@outlook.com",RIGHT(B7153,12)="@hotmail.com",RIGHT(B7153,9)="@live.com"),"Outlook","Domain")))</f>
        <v/>
      </c>
      <c r="F7153">
        <f>IF(B7153="","",IFERROR(RIGHT(B7153,LEN(B7153)-FIND("@",B7153)),""))</f>
        <v/>
      </c>
      <c r="G7153">
        <f>IF(D7153="KEEP",COUNTIF($D$2:D7153,"KEEP"),"")</f>
        <v/>
      </c>
      <c r="H7153">
        <f>IF(D7153="REMOVE",COUNTIF($D$2:D7153,"REMOVE"),"")</f>
        <v/>
      </c>
      <c r="I7153">
        <f>IF(E7153="Gmail",COUNTIF($E$2:E7153,"Gmail"),"")</f>
        <v/>
      </c>
      <c r="J7153">
        <f>IF(E7153="Outlook",COUNTIF($E$2:E7153,"Outlook"),"")</f>
        <v/>
      </c>
      <c r="K7153">
        <f>IF(E7153="Domain",COUNTIF($E$2:E7153,"Domain"),"")</f>
        <v/>
      </c>
    </row>
    <row r="7154">
      <c r="A7154" s="2" t="n"/>
      <c r="B7154">
        <f>LOWER(TRIM(A7154))</f>
        <v/>
      </c>
      <c r="C7154">
        <f>IF(B7154="","",IFERROR(INDEX('Bad Patterns'!$A$2:$A$120,MATCH(1,INDEX(--ISNUMBER(SEARCH('Bad Patterns'!$A$2:$A$120,B7154)),0),0)),""))</f>
        <v/>
      </c>
      <c r="D7154">
        <f>IF(B7154="","",IF(C7154&lt;&gt;"","REMOVE","KEEP"))</f>
        <v/>
      </c>
      <c r="E7154">
        <f>IF(D7154&lt;&gt;"KEEP","",IF(RIGHT(B7154,10)="@gmail.com","Gmail",IF(OR(RIGHT(B7154,12)="@outlook.com",RIGHT(B7154,12)="@hotmail.com",RIGHT(B7154,9)="@live.com"),"Outlook","Domain")))</f>
        <v/>
      </c>
      <c r="F7154">
        <f>IF(B7154="","",IFERROR(RIGHT(B7154,LEN(B7154)-FIND("@",B7154)),""))</f>
        <v/>
      </c>
      <c r="G7154">
        <f>IF(D7154="KEEP",COUNTIF($D$2:D7154,"KEEP"),"")</f>
        <v/>
      </c>
      <c r="H7154">
        <f>IF(D7154="REMOVE",COUNTIF($D$2:D7154,"REMOVE"),"")</f>
        <v/>
      </c>
      <c r="I7154">
        <f>IF(E7154="Gmail",COUNTIF($E$2:E7154,"Gmail"),"")</f>
        <v/>
      </c>
      <c r="J7154">
        <f>IF(E7154="Outlook",COUNTIF($E$2:E7154,"Outlook"),"")</f>
        <v/>
      </c>
      <c r="K7154">
        <f>IF(E7154="Domain",COUNTIF($E$2:E7154,"Domain"),"")</f>
        <v/>
      </c>
    </row>
    <row r="7155">
      <c r="A7155" s="2" t="n"/>
      <c r="B7155">
        <f>LOWER(TRIM(A7155))</f>
        <v/>
      </c>
      <c r="C7155">
        <f>IF(B7155="","",IFERROR(INDEX('Bad Patterns'!$A$2:$A$120,MATCH(1,INDEX(--ISNUMBER(SEARCH('Bad Patterns'!$A$2:$A$120,B7155)),0),0)),""))</f>
        <v/>
      </c>
      <c r="D7155">
        <f>IF(B7155="","",IF(C7155&lt;&gt;"","REMOVE","KEEP"))</f>
        <v/>
      </c>
      <c r="E7155">
        <f>IF(D7155&lt;&gt;"KEEP","",IF(RIGHT(B7155,10)="@gmail.com","Gmail",IF(OR(RIGHT(B7155,12)="@outlook.com",RIGHT(B7155,12)="@hotmail.com",RIGHT(B7155,9)="@live.com"),"Outlook","Domain")))</f>
        <v/>
      </c>
      <c r="F7155">
        <f>IF(B7155="","",IFERROR(RIGHT(B7155,LEN(B7155)-FIND("@",B7155)),""))</f>
        <v/>
      </c>
      <c r="G7155">
        <f>IF(D7155="KEEP",COUNTIF($D$2:D7155,"KEEP"),"")</f>
        <v/>
      </c>
      <c r="H7155">
        <f>IF(D7155="REMOVE",COUNTIF($D$2:D7155,"REMOVE"),"")</f>
        <v/>
      </c>
      <c r="I7155">
        <f>IF(E7155="Gmail",COUNTIF($E$2:E7155,"Gmail"),"")</f>
        <v/>
      </c>
      <c r="J7155">
        <f>IF(E7155="Outlook",COUNTIF($E$2:E7155,"Outlook"),"")</f>
        <v/>
      </c>
      <c r="K7155">
        <f>IF(E7155="Domain",COUNTIF($E$2:E7155,"Domain"),"")</f>
        <v/>
      </c>
    </row>
    <row r="7156">
      <c r="A7156" s="2" t="n"/>
      <c r="B7156">
        <f>LOWER(TRIM(A7156))</f>
        <v/>
      </c>
      <c r="C7156">
        <f>IF(B7156="","",IFERROR(INDEX('Bad Patterns'!$A$2:$A$120,MATCH(1,INDEX(--ISNUMBER(SEARCH('Bad Patterns'!$A$2:$A$120,B7156)),0),0)),""))</f>
        <v/>
      </c>
      <c r="D7156">
        <f>IF(B7156="","",IF(C7156&lt;&gt;"","REMOVE","KEEP"))</f>
        <v/>
      </c>
      <c r="E7156">
        <f>IF(D7156&lt;&gt;"KEEP","",IF(RIGHT(B7156,10)="@gmail.com","Gmail",IF(OR(RIGHT(B7156,12)="@outlook.com",RIGHT(B7156,12)="@hotmail.com",RIGHT(B7156,9)="@live.com"),"Outlook","Domain")))</f>
        <v/>
      </c>
      <c r="F7156">
        <f>IF(B7156="","",IFERROR(RIGHT(B7156,LEN(B7156)-FIND("@",B7156)),""))</f>
        <v/>
      </c>
      <c r="G7156">
        <f>IF(D7156="KEEP",COUNTIF($D$2:D7156,"KEEP"),"")</f>
        <v/>
      </c>
      <c r="H7156">
        <f>IF(D7156="REMOVE",COUNTIF($D$2:D7156,"REMOVE"),"")</f>
        <v/>
      </c>
      <c r="I7156">
        <f>IF(E7156="Gmail",COUNTIF($E$2:E7156,"Gmail"),"")</f>
        <v/>
      </c>
      <c r="J7156">
        <f>IF(E7156="Outlook",COUNTIF($E$2:E7156,"Outlook"),"")</f>
        <v/>
      </c>
      <c r="K7156">
        <f>IF(E7156="Domain",COUNTIF($E$2:E7156,"Domain"),"")</f>
        <v/>
      </c>
    </row>
    <row r="7157">
      <c r="A7157" s="2" t="n"/>
      <c r="B7157">
        <f>LOWER(TRIM(A7157))</f>
        <v/>
      </c>
      <c r="C7157">
        <f>IF(B7157="","",IFERROR(INDEX('Bad Patterns'!$A$2:$A$120,MATCH(1,INDEX(--ISNUMBER(SEARCH('Bad Patterns'!$A$2:$A$120,B7157)),0),0)),""))</f>
        <v/>
      </c>
      <c r="D7157">
        <f>IF(B7157="","",IF(C7157&lt;&gt;"","REMOVE","KEEP"))</f>
        <v/>
      </c>
      <c r="E7157">
        <f>IF(D7157&lt;&gt;"KEEP","",IF(RIGHT(B7157,10)="@gmail.com","Gmail",IF(OR(RIGHT(B7157,12)="@outlook.com",RIGHT(B7157,12)="@hotmail.com",RIGHT(B7157,9)="@live.com"),"Outlook","Domain")))</f>
        <v/>
      </c>
      <c r="F7157">
        <f>IF(B7157="","",IFERROR(RIGHT(B7157,LEN(B7157)-FIND("@",B7157)),""))</f>
        <v/>
      </c>
      <c r="G7157">
        <f>IF(D7157="KEEP",COUNTIF($D$2:D7157,"KEEP"),"")</f>
        <v/>
      </c>
      <c r="H7157">
        <f>IF(D7157="REMOVE",COUNTIF($D$2:D7157,"REMOVE"),"")</f>
        <v/>
      </c>
      <c r="I7157">
        <f>IF(E7157="Gmail",COUNTIF($E$2:E7157,"Gmail"),"")</f>
        <v/>
      </c>
      <c r="J7157">
        <f>IF(E7157="Outlook",COUNTIF($E$2:E7157,"Outlook"),"")</f>
        <v/>
      </c>
      <c r="K7157">
        <f>IF(E7157="Domain",COUNTIF($E$2:E7157,"Domain"),"")</f>
        <v/>
      </c>
    </row>
    <row r="7158">
      <c r="A7158" s="2" t="n"/>
      <c r="B7158">
        <f>LOWER(TRIM(A7158))</f>
        <v/>
      </c>
      <c r="C7158">
        <f>IF(B7158="","",IFERROR(INDEX('Bad Patterns'!$A$2:$A$120,MATCH(1,INDEX(--ISNUMBER(SEARCH('Bad Patterns'!$A$2:$A$120,B7158)),0),0)),""))</f>
        <v/>
      </c>
      <c r="D7158">
        <f>IF(B7158="","",IF(C7158&lt;&gt;"","REMOVE","KEEP"))</f>
        <v/>
      </c>
      <c r="E7158">
        <f>IF(D7158&lt;&gt;"KEEP","",IF(RIGHT(B7158,10)="@gmail.com","Gmail",IF(OR(RIGHT(B7158,12)="@outlook.com",RIGHT(B7158,12)="@hotmail.com",RIGHT(B7158,9)="@live.com"),"Outlook","Domain")))</f>
        <v/>
      </c>
      <c r="F7158">
        <f>IF(B7158="","",IFERROR(RIGHT(B7158,LEN(B7158)-FIND("@",B7158)),""))</f>
        <v/>
      </c>
      <c r="G7158">
        <f>IF(D7158="KEEP",COUNTIF($D$2:D7158,"KEEP"),"")</f>
        <v/>
      </c>
      <c r="H7158">
        <f>IF(D7158="REMOVE",COUNTIF($D$2:D7158,"REMOVE"),"")</f>
        <v/>
      </c>
      <c r="I7158">
        <f>IF(E7158="Gmail",COUNTIF($E$2:E7158,"Gmail"),"")</f>
        <v/>
      </c>
      <c r="J7158">
        <f>IF(E7158="Outlook",COUNTIF($E$2:E7158,"Outlook"),"")</f>
        <v/>
      </c>
      <c r="K7158">
        <f>IF(E7158="Domain",COUNTIF($E$2:E7158,"Domain"),"")</f>
        <v/>
      </c>
    </row>
    <row r="7159">
      <c r="A7159" s="2" t="n"/>
      <c r="B7159">
        <f>LOWER(TRIM(A7159))</f>
        <v/>
      </c>
      <c r="C7159">
        <f>IF(B7159="","",IFERROR(INDEX('Bad Patterns'!$A$2:$A$120,MATCH(1,INDEX(--ISNUMBER(SEARCH('Bad Patterns'!$A$2:$A$120,B7159)),0),0)),""))</f>
        <v/>
      </c>
      <c r="D7159">
        <f>IF(B7159="","",IF(C7159&lt;&gt;"","REMOVE","KEEP"))</f>
        <v/>
      </c>
      <c r="E7159">
        <f>IF(D7159&lt;&gt;"KEEP","",IF(RIGHT(B7159,10)="@gmail.com","Gmail",IF(OR(RIGHT(B7159,12)="@outlook.com",RIGHT(B7159,12)="@hotmail.com",RIGHT(B7159,9)="@live.com"),"Outlook","Domain")))</f>
        <v/>
      </c>
      <c r="F7159">
        <f>IF(B7159="","",IFERROR(RIGHT(B7159,LEN(B7159)-FIND("@",B7159)),""))</f>
        <v/>
      </c>
      <c r="G7159">
        <f>IF(D7159="KEEP",COUNTIF($D$2:D7159,"KEEP"),"")</f>
        <v/>
      </c>
      <c r="H7159">
        <f>IF(D7159="REMOVE",COUNTIF($D$2:D7159,"REMOVE"),"")</f>
        <v/>
      </c>
      <c r="I7159">
        <f>IF(E7159="Gmail",COUNTIF($E$2:E7159,"Gmail"),"")</f>
        <v/>
      </c>
      <c r="J7159">
        <f>IF(E7159="Outlook",COUNTIF($E$2:E7159,"Outlook"),"")</f>
        <v/>
      </c>
      <c r="K7159">
        <f>IF(E7159="Domain",COUNTIF($E$2:E7159,"Domain"),"")</f>
        <v/>
      </c>
    </row>
    <row r="7160">
      <c r="A7160" s="2" t="n"/>
      <c r="B7160">
        <f>LOWER(TRIM(A7160))</f>
        <v/>
      </c>
      <c r="C7160">
        <f>IF(B7160="","",IFERROR(INDEX('Bad Patterns'!$A$2:$A$120,MATCH(1,INDEX(--ISNUMBER(SEARCH('Bad Patterns'!$A$2:$A$120,B7160)),0),0)),""))</f>
        <v/>
      </c>
      <c r="D7160">
        <f>IF(B7160="","",IF(C7160&lt;&gt;"","REMOVE","KEEP"))</f>
        <v/>
      </c>
      <c r="E7160">
        <f>IF(D7160&lt;&gt;"KEEP","",IF(RIGHT(B7160,10)="@gmail.com","Gmail",IF(OR(RIGHT(B7160,12)="@outlook.com",RIGHT(B7160,12)="@hotmail.com",RIGHT(B7160,9)="@live.com"),"Outlook","Domain")))</f>
        <v/>
      </c>
      <c r="F7160">
        <f>IF(B7160="","",IFERROR(RIGHT(B7160,LEN(B7160)-FIND("@",B7160)),""))</f>
        <v/>
      </c>
      <c r="G7160">
        <f>IF(D7160="KEEP",COUNTIF($D$2:D7160,"KEEP"),"")</f>
        <v/>
      </c>
      <c r="H7160">
        <f>IF(D7160="REMOVE",COUNTIF($D$2:D7160,"REMOVE"),"")</f>
        <v/>
      </c>
      <c r="I7160">
        <f>IF(E7160="Gmail",COUNTIF($E$2:E7160,"Gmail"),"")</f>
        <v/>
      </c>
      <c r="J7160">
        <f>IF(E7160="Outlook",COUNTIF($E$2:E7160,"Outlook"),"")</f>
        <v/>
      </c>
      <c r="K7160">
        <f>IF(E7160="Domain",COUNTIF($E$2:E7160,"Domain"),"")</f>
        <v/>
      </c>
    </row>
    <row r="7161">
      <c r="A7161" s="2" t="n"/>
      <c r="B7161">
        <f>LOWER(TRIM(A7161))</f>
        <v/>
      </c>
      <c r="C7161">
        <f>IF(B7161="","",IFERROR(INDEX('Bad Patterns'!$A$2:$A$120,MATCH(1,INDEX(--ISNUMBER(SEARCH('Bad Patterns'!$A$2:$A$120,B7161)),0),0)),""))</f>
        <v/>
      </c>
      <c r="D7161">
        <f>IF(B7161="","",IF(C7161&lt;&gt;"","REMOVE","KEEP"))</f>
        <v/>
      </c>
      <c r="E7161">
        <f>IF(D7161&lt;&gt;"KEEP","",IF(RIGHT(B7161,10)="@gmail.com","Gmail",IF(OR(RIGHT(B7161,12)="@outlook.com",RIGHT(B7161,12)="@hotmail.com",RIGHT(B7161,9)="@live.com"),"Outlook","Domain")))</f>
        <v/>
      </c>
      <c r="F7161">
        <f>IF(B7161="","",IFERROR(RIGHT(B7161,LEN(B7161)-FIND("@",B7161)),""))</f>
        <v/>
      </c>
      <c r="G7161">
        <f>IF(D7161="KEEP",COUNTIF($D$2:D7161,"KEEP"),"")</f>
        <v/>
      </c>
      <c r="H7161">
        <f>IF(D7161="REMOVE",COUNTIF($D$2:D7161,"REMOVE"),"")</f>
        <v/>
      </c>
      <c r="I7161">
        <f>IF(E7161="Gmail",COUNTIF($E$2:E7161,"Gmail"),"")</f>
        <v/>
      </c>
      <c r="J7161">
        <f>IF(E7161="Outlook",COUNTIF($E$2:E7161,"Outlook"),"")</f>
        <v/>
      </c>
      <c r="K7161">
        <f>IF(E7161="Domain",COUNTIF($E$2:E7161,"Domain"),"")</f>
        <v/>
      </c>
    </row>
    <row r="7162">
      <c r="A7162" s="2" t="n"/>
      <c r="B7162">
        <f>LOWER(TRIM(A7162))</f>
        <v/>
      </c>
      <c r="C7162">
        <f>IF(B7162="","",IFERROR(INDEX('Bad Patterns'!$A$2:$A$120,MATCH(1,INDEX(--ISNUMBER(SEARCH('Bad Patterns'!$A$2:$A$120,B7162)),0),0)),""))</f>
        <v/>
      </c>
      <c r="D7162">
        <f>IF(B7162="","",IF(C7162&lt;&gt;"","REMOVE","KEEP"))</f>
        <v/>
      </c>
      <c r="E7162">
        <f>IF(D7162&lt;&gt;"KEEP","",IF(RIGHT(B7162,10)="@gmail.com","Gmail",IF(OR(RIGHT(B7162,12)="@outlook.com",RIGHT(B7162,12)="@hotmail.com",RIGHT(B7162,9)="@live.com"),"Outlook","Domain")))</f>
        <v/>
      </c>
      <c r="F7162">
        <f>IF(B7162="","",IFERROR(RIGHT(B7162,LEN(B7162)-FIND("@",B7162)),""))</f>
        <v/>
      </c>
      <c r="G7162">
        <f>IF(D7162="KEEP",COUNTIF($D$2:D7162,"KEEP"),"")</f>
        <v/>
      </c>
      <c r="H7162">
        <f>IF(D7162="REMOVE",COUNTIF($D$2:D7162,"REMOVE"),"")</f>
        <v/>
      </c>
      <c r="I7162">
        <f>IF(E7162="Gmail",COUNTIF($E$2:E7162,"Gmail"),"")</f>
        <v/>
      </c>
      <c r="J7162">
        <f>IF(E7162="Outlook",COUNTIF($E$2:E7162,"Outlook"),"")</f>
        <v/>
      </c>
      <c r="K7162">
        <f>IF(E7162="Domain",COUNTIF($E$2:E7162,"Domain"),"")</f>
        <v/>
      </c>
    </row>
    <row r="7163">
      <c r="A7163" s="2" t="n"/>
      <c r="B7163">
        <f>LOWER(TRIM(A7163))</f>
        <v/>
      </c>
      <c r="C7163">
        <f>IF(B7163="","",IFERROR(INDEX('Bad Patterns'!$A$2:$A$120,MATCH(1,INDEX(--ISNUMBER(SEARCH('Bad Patterns'!$A$2:$A$120,B7163)),0),0)),""))</f>
        <v/>
      </c>
      <c r="D7163">
        <f>IF(B7163="","",IF(C7163&lt;&gt;"","REMOVE","KEEP"))</f>
        <v/>
      </c>
      <c r="E7163">
        <f>IF(D7163&lt;&gt;"KEEP","",IF(RIGHT(B7163,10)="@gmail.com","Gmail",IF(OR(RIGHT(B7163,12)="@outlook.com",RIGHT(B7163,12)="@hotmail.com",RIGHT(B7163,9)="@live.com"),"Outlook","Domain")))</f>
        <v/>
      </c>
      <c r="F7163">
        <f>IF(B7163="","",IFERROR(RIGHT(B7163,LEN(B7163)-FIND("@",B7163)),""))</f>
        <v/>
      </c>
      <c r="G7163">
        <f>IF(D7163="KEEP",COUNTIF($D$2:D7163,"KEEP"),"")</f>
        <v/>
      </c>
      <c r="H7163">
        <f>IF(D7163="REMOVE",COUNTIF($D$2:D7163,"REMOVE"),"")</f>
        <v/>
      </c>
      <c r="I7163">
        <f>IF(E7163="Gmail",COUNTIF($E$2:E7163,"Gmail"),"")</f>
        <v/>
      </c>
      <c r="J7163">
        <f>IF(E7163="Outlook",COUNTIF($E$2:E7163,"Outlook"),"")</f>
        <v/>
      </c>
      <c r="K7163">
        <f>IF(E7163="Domain",COUNTIF($E$2:E7163,"Domain"),"")</f>
        <v/>
      </c>
    </row>
    <row r="7164">
      <c r="A7164" s="2" t="n"/>
      <c r="B7164">
        <f>LOWER(TRIM(A7164))</f>
        <v/>
      </c>
      <c r="C7164">
        <f>IF(B7164="","",IFERROR(INDEX('Bad Patterns'!$A$2:$A$120,MATCH(1,INDEX(--ISNUMBER(SEARCH('Bad Patterns'!$A$2:$A$120,B7164)),0),0)),""))</f>
        <v/>
      </c>
      <c r="D7164">
        <f>IF(B7164="","",IF(C7164&lt;&gt;"","REMOVE","KEEP"))</f>
        <v/>
      </c>
      <c r="E7164">
        <f>IF(D7164&lt;&gt;"KEEP","",IF(RIGHT(B7164,10)="@gmail.com","Gmail",IF(OR(RIGHT(B7164,12)="@outlook.com",RIGHT(B7164,12)="@hotmail.com",RIGHT(B7164,9)="@live.com"),"Outlook","Domain")))</f>
        <v/>
      </c>
      <c r="F7164">
        <f>IF(B7164="","",IFERROR(RIGHT(B7164,LEN(B7164)-FIND("@",B7164)),""))</f>
        <v/>
      </c>
      <c r="G7164">
        <f>IF(D7164="KEEP",COUNTIF($D$2:D7164,"KEEP"),"")</f>
        <v/>
      </c>
      <c r="H7164">
        <f>IF(D7164="REMOVE",COUNTIF($D$2:D7164,"REMOVE"),"")</f>
        <v/>
      </c>
      <c r="I7164">
        <f>IF(E7164="Gmail",COUNTIF($E$2:E7164,"Gmail"),"")</f>
        <v/>
      </c>
      <c r="J7164">
        <f>IF(E7164="Outlook",COUNTIF($E$2:E7164,"Outlook"),"")</f>
        <v/>
      </c>
      <c r="K7164">
        <f>IF(E7164="Domain",COUNTIF($E$2:E7164,"Domain"),"")</f>
        <v/>
      </c>
    </row>
    <row r="7165">
      <c r="A7165" s="2" t="n"/>
      <c r="B7165">
        <f>LOWER(TRIM(A7165))</f>
        <v/>
      </c>
      <c r="C7165">
        <f>IF(B7165="","",IFERROR(INDEX('Bad Patterns'!$A$2:$A$120,MATCH(1,INDEX(--ISNUMBER(SEARCH('Bad Patterns'!$A$2:$A$120,B7165)),0),0)),""))</f>
        <v/>
      </c>
      <c r="D7165">
        <f>IF(B7165="","",IF(C7165&lt;&gt;"","REMOVE","KEEP"))</f>
        <v/>
      </c>
      <c r="E7165">
        <f>IF(D7165&lt;&gt;"KEEP","",IF(RIGHT(B7165,10)="@gmail.com","Gmail",IF(OR(RIGHT(B7165,12)="@outlook.com",RIGHT(B7165,12)="@hotmail.com",RIGHT(B7165,9)="@live.com"),"Outlook","Domain")))</f>
        <v/>
      </c>
      <c r="F7165">
        <f>IF(B7165="","",IFERROR(RIGHT(B7165,LEN(B7165)-FIND("@",B7165)),""))</f>
        <v/>
      </c>
      <c r="G7165">
        <f>IF(D7165="KEEP",COUNTIF($D$2:D7165,"KEEP"),"")</f>
        <v/>
      </c>
      <c r="H7165">
        <f>IF(D7165="REMOVE",COUNTIF($D$2:D7165,"REMOVE"),"")</f>
        <v/>
      </c>
      <c r="I7165">
        <f>IF(E7165="Gmail",COUNTIF($E$2:E7165,"Gmail"),"")</f>
        <v/>
      </c>
      <c r="J7165">
        <f>IF(E7165="Outlook",COUNTIF($E$2:E7165,"Outlook"),"")</f>
        <v/>
      </c>
      <c r="K7165">
        <f>IF(E7165="Domain",COUNTIF($E$2:E7165,"Domain"),"")</f>
        <v/>
      </c>
    </row>
    <row r="7166">
      <c r="A7166" s="2" t="n"/>
      <c r="B7166">
        <f>LOWER(TRIM(A7166))</f>
        <v/>
      </c>
      <c r="C7166">
        <f>IF(B7166="","",IFERROR(INDEX('Bad Patterns'!$A$2:$A$120,MATCH(1,INDEX(--ISNUMBER(SEARCH('Bad Patterns'!$A$2:$A$120,B7166)),0),0)),""))</f>
        <v/>
      </c>
      <c r="D7166">
        <f>IF(B7166="","",IF(C7166&lt;&gt;"","REMOVE","KEEP"))</f>
        <v/>
      </c>
      <c r="E7166">
        <f>IF(D7166&lt;&gt;"KEEP","",IF(RIGHT(B7166,10)="@gmail.com","Gmail",IF(OR(RIGHT(B7166,12)="@outlook.com",RIGHT(B7166,12)="@hotmail.com",RIGHT(B7166,9)="@live.com"),"Outlook","Domain")))</f>
        <v/>
      </c>
      <c r="F7166">
        <f>IF(B7166="","",IFERROR(RIGHT(B7166,LEN(B7166)-FIND("@",B7166)),""))</f>
        <v/>
      </c>
      <c r="G7166">
        <f>IF(D7166="KEEP",COUNTIF($D$2:D7166,"KEEP"),"")</f>
        <v/>
      </c>
      <c r="H7166">
        <f>IF(D7166="REMOVE",COUNTIF($D$2:D7166,"REMOVE"),"")</f>
        <v/>
      </c>
      <c r="I7166">
        <f>IF(E7166="Gmail",COUNTIF($E$2:E7166,"Gmail"),"")</f>
        <v/>
      </c>
      <c r="J7166">
        <f>IF(E7166="Outlook",COUNTIF($E$2:E7166,"Outlook"),"")</f>
        <v/>
      </c>
      <c r="K7166">
        <f>IF(E7166="Domain",COUNTIF($E$2:E7166,"Domain"),"")</f>
        <v/>
      </c>
    </row>
    <row r="7167">
      <c r="A7167" s="2" t="n"/>
      <c r="B7167">
        <f>LOWER(TRIM(A7167))</f>
        <v/>
      </c>
      <c r="C7167">
        <f>IF(B7167="","",IFERROR(INDEX('Bad Patterns'!$A$2:$A$120,MATCH(1,INDEX(--ISNUMBER(SEARCH('Bad Patterns'!$A$2:$A$120,B7167)),0),0)),""))</f>
        <v/>
      </c>
      <c r="D7167">
        <f>IF(B7167="","",IF(C7167&lt;&gt;"","REMOVE","KEEP"))</f>
        <v/>
      </c>
      <c r="E7167">
        <f>IF(D7167&lt;&gt;"KEEP","",IF(RIGHT(B7167,10)="@gmail.com","Gmail",IF(OR(RIGHT(B7167,12)="@outlook.com",RIGHT(B7167,12)="@hotmail.com",RIGHT(B7167,9)="@live.com"),"Outlook","Domain")))</f>
        <v/>
      </c>
      <c r="F7167">
        <f>IF(B7167="","",IFERROR(RIGHT(B7167,LEN(B7167)-FIND("@",B7167)),""))</f>
        <v/>
      </c>
      <c r="G7167">
        <f>IF(D7167="KEEP",COUNTIF($D$2:D7167,"KEEP"),"")</f>
        <v/>
      </c>
      <c r="H7167">
        <f>IF(D7167="REMOVE",COUNTIF($D$2:D7167,"REMOVE"),"")</f>
        <v/>
      </c>
      <c r="I7167">
        <f>IF(E7167="Gmail",COUNTIF($E$2:E7167,"Gmail"),"")</f>
        <v/>
      </c>
      <c r="J7167">
        <f>IF(E7167="Outlook",COUNTIF($E$2:E7167,"Outlook"),"")</f>
        <v/>
      </c>
      <c r="K7167">
        <f>IF(E7167="Domain",COUNTIF($E$2:E7167,"Domain"),"")</f>
        <v/>
      </c>
    </row>
    <row r="7168">
      <c r="A7168" s="2" t="n"/>
      <c r="B7168">
        <f>LOWER(TRIM(A7168))</f>
        <v/>
      </c>
      <c r="C7168">
        <f>IF(B7168="","",IFERROR(INDEX('Bad Patterns'!$A$2:$A$120,MATCH(1,INDEX(--ISNUMBER(SEARCH('Bad Patterns'!$A$2:$A$120,B7168)),0),0)),""))</f>
        <v/>
      </c>
      <c r="D7168">
        <f>IF(B7168="","",IF(C7168&lt;&gt;"","REMOVE","KEEP"))</f>
        <v/>
      </c>
      <c r="E7168">
        <f>IF(D7168&lt;&gt;"KEEP","",IF(RIGHT(B7168,10)="@gmail.com","Gmail",IF(OR(RIGHT(B7168,12)="@outlook.com",RIGHT(B7168,12)="@hotmail.com",RIGHT(B7168,9)="@live.com"),"Outlook","Domain")))</f>
        <v/>
      </c>
      <c r="F7168">
        <f>IF(B7168="","",IFERROR(RIGHT(B7168,LEN(B7168)-FIND("@",B7168)),""))</f>
        <v/>
      </c>
      <c r="G7168">
        <f>IF(D7168="KEEP",COUNTIF($D$2:D7168,"KEEP"),"")</f>
        <v/>
      </c>
      <c r="H7168">
        <f>IF(D7168="REMOVE",COUNTIF($D$2:D7168,"REMOVE"),"")</f>
        <v/>
      </c>
      <c r="I7168">
        <f>IF(E7168="Gmail",COUNTIF($E$2:E7168,"Gmail"),"")</f>
        <v/>
      </c>
      <c r="J7168">
        <f>IF(E7168="Outlook",COUNTIF($E$2:E7168,"Outlook"),"")</f>
        <v/>
      </c>
      <c r="K7168">
        <f>IF(E7168="Domain",COUNTIF($E$2:E7168,"Domain"),"")</f>
        <v/>
      </c>
    </row>
    <row r="7169">
      <c r="A7169" s="2" t="n"/>
      <c r="B7169">
        <f>LOWER(TRIM(A7169))</f>
        <v/>
      </c>
      <c r="C7169">
        <f>IF(B7169="","",IFERROR(INDEX('Bad Patterns'!$A$2:$A$120,MATCH(1,INDEX(--ISNUMBER(SEARCH('Bad Patterns'!$A$2:$A$120,B7169)),0),0)),""))</f>
        <v/>
      </c>
      <c r="D7169">
        <f>IF(B7169="","",IF(C7169&lt;&gt;"","REMOVE","KEEP"))</f>
        <v/>
      </c>
      <c r="E7169">
        <f>IF(D7169&lt;&gt;"KEEP","",IF(RIGHT(B7169,10)="@gmail.com","Gmail",IF(OR(RIGHT(B7169,12)="@outlook.com",RIGHT(B7169,12)="@hotmail.com",RIGHT(B7169,9)="@live.com"),"Outlook","Domain")))</f>
        <v/>
      </c>
      <c r="F7169">
        <f>IF(B7169="","",IFERROR(RIGHT(B7169,LEN(B7169)-FIND("@",B7169)),""))</f>
        <v/>
      </c>
      <c r="G7169">
        <f>IF(D7169="KEEP",COUNTIF($D$2:D7169,"KEEP"),"")</f>
        <v/>
      </c>
      <c r="H7169">
        <f>IF(D7169="REMOVE",COUNTIF($D$2:D7169,"REMOVE"),"")</f>
        <v/>
      </c>
      <c r="I7169">
        <f>IF(E7169="Gmail",COUNTIF($E$2:E7169,"Gmail"),"")</f>
        <v/>
      </c>
      <c r="J7169">
        <f>IF(E7169="Outlook",COUNTIF($E$2:E7169,"Outlook"),"")</f>
        <v/>
      </c>
      <c r="K7169">
        <f>IF(E7169="Domain",COUNTIF($E$2:E7169,"Domain"),"")</f>
        <v/>
      </c>
    </row>
    <row r="7170">
      <c r="A7170" s="2" t="n"/>
      <c r="B7170">
        <f>LOWER(TRIM(A7170))</f>
        <v/>
      </c>
      <c r="C7170">
        <f>IF(B7170="","",IFERROR(INDEX('Bad Patterns'!$A$2:$A$120,MATCH(1,INDEX(--ISNUMBER(SEARCH('Bad Patterns'!$A$2:$A$120,B7170)),0),0)),""))</f>
        <v/>
      </c>
      <c r="D7170">
        <f>IF(B7170="","",IF(C7170&lt;&gt;"","REMOVE","KEEP"))</f>
        <v/>
      </c>
      <c r="E7170">
        <f>IF(D7170&lt;&gt;"KEEP","",IF(RIGHT(B7170,10)="@gmail.com","Gmail",IF(OR(RIGHT(B7170,12)="@outlook.com",RIGHT(B7170,12)="@hotmail.com",RIGHT(B7170,9)="@live.com"),"Outlook","Domain")))</f>
        <v/>
      </c>
      <c r="F7170">
        <f>IF(B7170="","",IFERROR(RIGHT(B7170,LEN(B7170)-FIND("@",B7170)),""))</f>
        <v/>
      </c>
      <c r="G7170">
        <f>IF(D7170="KEEP",COUNTIF($D$2:D7170,"KEEP"),"")</f>
        <v/>
      </c>
      <c r="H7170">
        <f>IF(D7170="REMOVE",COUNTIF($D$2:D7170,"REMOVE"),"")</f>
        <v/>
      </c>
      <c r="I7170">
        <f>IF(E7170="Gmail",COUNTIF($E$2:E7170,"Gmail"),"")</f>
        <v/>
      </c>
      <c r="J7170">
        <f>IF(E7170="Outlook",COUNTIF($E$2:E7170,"Outlook"),"")</f>
        <v/>
      </c>
      <c r="K7170">
        <f>IF(E7170="Domain",COUNTIF($E$2:E7170,"Domain"),"")</f>
        <v/>
      </c>
    </row>
    <row r="7171">
      <c r="A7171" s="2" t="n"/>
      <c r="B7171">
        <f>LOWER(TRIM(A7171))</f>
        <v/>
      </c>
      <c r="C7171">
        <f>IF(B7171="","",IFERROR(INDEX('Bad Patterns'!$A$2:$A$120,MATCH(1,INDEX(--ISNUMBER(SEARCH('Bad Patterns'!$A$2:$A$120,B7171)),0),0)),""))</f>
        <v/>
      </c>
      <c r="D7171">
        <f>IF(B7171="","",IF(C7171&lt;&gt;"","REMOVE","KEEP"))</f>
        <v/>
      </c>
      <c r="E7171">
        <f>IF(D7171&lt;&gt;"KEEP","",IF(RIGHT(B7171,10)="@gmail.com","Gmail",IF(OR(RIGHT(B7171,12)="@outlook.com",RIGHT(B7171,12)="@hotmail.com",RIGHT(B7171,9)="@live.com"),"Outlook","Domain")))</f>
        <v/>
      </c>
      <c r="F7171">
        <f>IF(B7171="","",IFERROR(RIGHT(B7171,LEN(B7171)-FIND("@",B7171)),""))</f>
        <v/>
      </c>
      <c r="G7171">
        <f>IF(D7171="KEEP",COUNTIF($D$2:D7171,"KEEP"),"")</f>
        <v/>
      </c>
      <c r="H7171">
        <f>IF(D7171="REMOVE",COUNTIF($D$2:D7171,"REMOVE"),"")</f>
        <v/>
      </c>
      <c r="I7171">
        <f>IF(E7171="Gmail",COUNTIF($E$2:E7171,"Gmail"),"")</f>
        <v/>
      </c>
      <c r="J7171">
        <f>IF(E7171="Outlook",COUNTIF($E$2:E7171,"Outlook"),"")</f>
        <v/>
      </c>
      <c r="K7171">
        <f>IF(E7171="Domain",COUNTIF($E$2:E7171,"Domain"),"")</f>
        <v/>
      </c>
    </row>
    <row r="7172">
      <c r="A7172" s="2" t="n"/>
      <c r="B7172">
        <f>LOWER(TRIM(A7172))</f>
        <v/>
      </c>
      <c r="C7172">
        <f>IF(B7172="","",IFERROR(INDEX('Bad Patterns'!$A$2:$A$120,MATCH(1,INDEX(--ISNUMBER(SEARCH('Bad Patterns'!$A$2:$A$120,B7172)),0),0)),""))</f>
        <v/>
      </c>
      <c r="D7172">
        <f>IF(B7172="","",IF(C7172&lt;&gt;"","REMOVE","KEEP"))</f>
        <v/>
      </c>
      <c r="E7172">
        <f>IF(D7172&lt;&gt;"KEEP","",IF(RIGHT(B7172,10)="@gmail.com","Gmail",IF(OR(RIGHT(B7172,12)="@outlook.com",RIGHT(B7172,12)="@hotmail.com",RIGHT(B7172,9)="@live.com"),"Outlook","Domain")))</f>
        <v/>
      </c>
      <c r="F7172">
        <f>IF(B7172="","",IFERROR(RIGHT(B7172,LEN(B7172)-FIND("@",B7172)),""))</f>
        <v/>
      </c>
      <c r="G7172">
        <f>IF(D7172="KEEP",COUNTIF($D$2:D7172,"KEEP"),"")</f>
        <v/>
      </c>
      <c r="H7172">
        <f>IF(D7172="REMOVE",COUNTIF($D$2:D7172,"REMOVE"),"")</f>
        <v/>
      </c>
      <c r="I7172">
        <f>IF(E7172="Gmail",COUNTIF($E$2:E7172,"Gmail"),"")</f>
        <v/>
      </c>
      <c r="J7172">
        <f>IF(E7172="Outlook",COUNTIF($E$2:E7172,"Outlook"),"")</f>
        <v/>
      </c>
      <c r="K7172">
        <f>IF(E7172="Domain",COUNTIF($E$2:E7172,"Domain"),"")</f>
        <v/>
      </c>
    </row>
    <row r="7173">
      <c r="A7173" s="2" t="n"/>
      <c r="B7173">
        <f>LOWER(TRIM(A7173))</f>
        <v/>
      </c>
      <c r="C7173">
        <f>IF(B7173="","",IFERROR(INDEX('Bad Patterns'!$A$2:$A$120,MATCH(1,INDEX(--ISNUMBER(SEARCH('Bad Patterns'!$A$2:$A$120,B7173)),0),0)),""))</f>
        <v/>
      </c>
      <c r="D7173">
        <f>IF(B7173="","",IF(C7173&lt;&gt;"","REMOVE","KEEP"))</f>
        <v/>
      </c>
      <c r="E7173">
        <f>IF(D7173&lt;&gt;"KEEP","",IF(RIGHT(B7173,10)="@gmail.com","Gmail",IF(OR(RIGHT(B7173,12)="@outlook.com",RIGHT(B7173,12)="@hotmail.com",RIGHT(B7173,9)="@live.com"),"Outlook","Domain")))</f>
        <v/>
      </c>
      <c r="F7173">
        <f>IF(B7173="","",IFERROR(RIGHT(B7173,LEN(B7173)-FIND("@",B7173)),""))</f>
        <v/>
      </c>
      <c r="G7173">
        <f>IF(D7173="KEEP",COUNTIF($D$2:D7173,"KEEP"),"")</f>
        <v/>
      </c>
      <c r="H7173">
        <f>IF(D7173="REMOVE",COUNTIF($D$2:D7173,"REMOVE"),"")</f>
        <v/>
      </c>
      <c r="I7173">
        <f>IF(E7173="Gmail",COUNTIF($E$2:E7173,"Gmail"),"")</f>
        <v/>
      </c>
      <c r="J7173">
        <f>IF(E7173="Outlook",COUNTIF($E$2:E7173,"Outlook"),"")</f>
        <v/>
      </c>
      <c r="K7173">
        <f>IF(E7173="Domain",COUNTIF($E$2:E7173,"Domain"),"")</f>
        <v/>
      </c>
    </row>
    <row r="7174">
      <c r="A7174" s="2" t="n"/>
      <c r="B7174">
        <f>LOWER(TRIM(A7174))</f>
        <v/>
      </c>
      <c r="C7174">
        <f>IF(B7174="","",IFERROR(INDEX('Bad Patterns'!$A$2:$A$120,MATCH(1,INDEX(--ISNUMBER(SEARCH('Bad Patterns'!$A$2:$A$120,B7174)),0),0)),""))</f>
        <v/>
      </c>
      <c r="D7174">
        <f>IF(B7174="","",IF(C7174&lt;&gt;"","REMOVE","KEEP"))</f>
        <v/>
      </c>
      <c r="E7174">
        <f>IF(D7174&lt;&gt;"KEEP","",IF(RIGHT(B7174,10)="@gmail.com","Gmail",IF(OR(RIGHT(B7174,12)="@outlook.com",RIGHT(B7174,12)="@hotmail.com",RIGHT(B7174,9)="@live.com"),"Outlook","Domain")))</f>
        <v/>
      </c>
      <c r="F7174">
        <f>IF(B7174="","",IFERROR(RIGHT(B7174,LEN(B7174)-FIND("@",B7174)),""))</f>
        <v/>
      </c>
      <c r="G7174">
        <f>IF(D7174="KEEP",COUNTIF($D$2:D7174,"KEEP"),"")</f>
        <v/>
      </c>
      <c r="H7174">
        <f>IF(D7174="REMOVE",COUNTIF($D$2:D7174,"REMOVE"),"")</f>
        <v/>
      </c>
      <c r="I7174">
        <f>IF(E7174="Gmail",COUNTIF($E$2:E7174,"Gmail"),"")</f>
        <v/>
      </c>
      <c r="J7174">
        <f>IF(E7174="Outlook",COUNTIF($E$2:E7174,"Outlook"),"")</f>
        <v/>
      </c>
      <c r="K7174">
        <f>IF(E7174="Domain",COUNTIF($E$2:E7174,"Domain"),"")</f>
        <v/>
      </c>
    </row>
    <row r="7175">
      <c r="A7175" s="2" t="n"/>
      <c r="B7175">
        <f>LOWER(TRIM(A7175))</f>
        <v/>
      </c>
      <c r="C7175">
        <f>IF(B7175="","",IFERROR(INDEX('Bad Patterns'!$A$2:$A$120,MATCH(1,INDEX(--ISNUMBER(SEARCH('Bad Patterns'!$A$2:$A$120,B7175)),0),0)),""))</f>
        <v/>
      </c>
      <c r="D7175">
        <f>IF(B7175="","",IF(C7175&lt;&gt;"","REMOVE","KEEP"))</f>
        <v/>
      </c>
      <c r="E7175">
        <f>IF(D7175&lt;&gt;"KEEP","",IF(RIGHT(B7175,10)="@gmail.com","Gmail",IF(OR(RIGHT(B7175,12)="@outlook.com",RIGHT(B7175,12)="@hotmail.com",RIGHT(B7175,9)="@live.com"),"Outlook","Domain")))</f>
        <v/>
      </c>
      <c r="F7175">
        <f>IF(B7175="","",IFERROR(RIGHT(B7175,LEN(B7175)-FIND("@",B7175)),""))</f>
        <v/>
      </c>
      <c r="G7175">
        <f>IF(D7175="KEEP",COUNTIF($D$2:D7175,"KEEP"),"")</f>
        <v/>
      </c>
      <c r="H7175">
        <f>IF(D7175="REMOVE",COUNTIF($D$2:D7175,"REMOVE"),"")</f>
        <v/>
      </c>
      <c r="I7175">
        <f>IF(E7175="Gmail",COUNTIF($E$2:E7175,"Gmail"),"")</f>
        <v/>
      </c>
      <c r="J7175">
        <f>IF(E7175="Outlook",COUNTIF($E$2:E7175,"Outlook"),"")</f>
        <v/>
      </c>
      <c r="K7175">
        <f>IF(E7175="Domain",COUNTIF($E$2:E7175,"Domain"),"")</f>
        <v/>
      </c>
    </row>
    <row r="7176">
      <c r="A7176" s="2" t="n"/>
      <c r="B7176">
        <f>LOWER(TRIM(A7176))</f>
        <v/>
      </c>
      <c r="C7176">
        <f>IF(B7176="","",IFERROR(INDEX('Bad Patterns'!$A$2:$A$120,MATCH(1,INDEX(--ISNUMBER(SEARCH('Bad Patterns'!$A$2:$A$120,B7176)),0),0)),""))</f>
        <v/>
      </c>
      <c r="D7176">
        <f>IF(B7176="","",IF(C7176&lt;&gt;"","REMOVE","KEEP"))</f>
        <v/>
      </c>
      <c r="E7176">
        <f>IF(D7176&lt;&gt;"KEEP","",IF(RIGHT(B7176,10)="@gmail.com","Gmail",IF(OR(RIGHT(B7176,12)="@outlook.com",RIGHT(B7176,12)="@hotmail.com",RIGHT(B7176,9)="@live.com"),"Outlook","Domain")))</f>
        <v/>
      </c>
      <c r="F7176">
        <f>IF(B7176="","",IFERROR(RIGHT(B7176,LEN(B7176)-FIND("@",B7176)),""))</f>
        <v/>
      </c>
      <c r="G7176">
        <f>IF(D7176="KEEP",COUNTIF($D$2:D7176,"KEEP"),"")</f>
        <v/>
      </c>
      <c r="H7176">
        <f>IF(D7176="REMOVE",COUNTIF($D$2:D7176,"REMOVE"),"")</f>
        <v/>
      </c>
      <c r="I7176">
        <f>IF(E7176="Gmail",COUNTIF($E$2:E7176,"Gmail"),"")</f>
        <v/>
      </c>
      <c r="J7176">
        <f>IF(E7176="Outlook",COUNTIF($E$2:E7176,"Outlook"),"")</f>
        <v/>
      </c>
      <c r="K7176">
        <f>IF(E7176="Domain",COUNTIF($E$2:E7176,"Domain"),"")</f>
        <v/>
      </c>
    </row>
    <row r="7177">
      <c r="A7177" s="2" t="n"/>
      <c r="B7177">
        <f>LOWER(TRIM(A7177))</f>
        <v/>
      </c>
      <c r="C7177">
        <f>IF(B7177="","",IFERROR(INDEX('Bad Patterns'!$A$2:$A$120,MATCH(1,INDEX(--ISNUMBER(SEARCH('Bad Patterns'!$A$2:$A$120,B7177)),0),0)),""))</f>
        <v/>
      </c>
      <c r="D7177">
        <f>IF(B7177="","",IF(C7177&lt;&gt;"","REMOVE","KEEP"))</f>
        <v/>
      </c>
      <c r="E7177">
        <f>IF(D7177&lt;&gt;"KEEP","",IF(RIGHT(B7177,10)="@gmail.com","Gmail",IF(OR(RIGHT(B7177,12)="@outlook.com",RIGHT(B7177,12)="@hotmail.com",RIGHT(B7177,9)="@live.com"),"Outlook","Domain")))</f>
        <v/>
      </c>
      <c r="F7177">
        <f>IF(B7177="","",IFERROR(RIGHT(B7177,LEN(B7177)-FIND("@",B7177)),""))</f>
        <v/>
      </c>
      <c r="G7177">
        <f>IF(D7177="KEEP",COUNTIF($D$2:D7177,"KEEP"),"")</f>
        <v/>
      </c>
      <c r="H7177">
        <f>IF(D7177="REMOVE",COUNTIF($D$2:D7177,"REMOVE"),"")</f>
        <v/>
      </c>
      <c r="I7177">
        <f>IF(E7177="Gmail",COUNTIF($E$2:E7177,"Gmail"),"")</f>
        <v/>
      </c>
      <c r="J7177">
        <f>IF(E7177="Outlook",COUNTIF($E$2:E7177,"Outlook"),"")</f>
        <v/>
      </c>
      <c r="K7177">
        <f>IF(E7177="Domain",COUNTIF($E$2:E7177,"Domain"),"")</f>
        <v/>
      </c>
    </row>
    <row r="7178">
      <c r="A7178" s="2" t="n"/>
      <c r="B7178">
        <f>LOWER(TRIM(A7178))</f>
        <v/>
      </c>
      <c r="C7178">
        <f>IF(B7178="","",IFERROR(INDEX('Bad Patterns'!$A$2:$A$120,MATCH(1,INDEX(--ISNUMBER(SEARCH('Bad Patterns'!$A$2:$A$120,B7178)),0),0)),""))</f>
        <v/>
      </c>
      <c r="D7178">
        <f>IF(B7178="","",IF(C7178&lt;&gt;"","REMOVE","KEEP"))</f>
        <v/>
      </c>
      <c r="E7178">
        <f>IF(D7178&lt;&gt;"KEEP","",IF(RIGHT(B7178,10)="@gmail.com","Gmail",IF(OR(RIGHT(B7178,12)="@outlook.com",RIGHT(B7178,12)="@hotmail.com",RIGHT(B7178,9)="@live.com"),"Outlook","Domain")))</f>
        <v/>
      </c>
      <c r="F7178">
        <f>IF(B7178="","",IFERROR(RIGHT(B7178,LEN(B7178)-FIND("@",B7178)),""))</f>
        <v/>
      </c>
      <c r="G7178">
        <f>IF(D7178="KEEP",COUNTIF($D$2:D7178,"KEEP"),"")</f>
        <v/>
      </c>
      <c r="H7178">
        <f>IF(D7178="REMOVE",COUNTIF($D$2:D7178,"REMOVE"),"")</f>
        <v/>
      </c>
      <c r="I7178">
        <f>IF(E7178="Gmail",COUNTIF($E$2:E7178,"Gmail"),"")</f>
        <v/>
      </c>
      <c r="J7178">
        <f>IF(E7178="Outlook",COUNTIF($E$2:E7178,"Outlook"),"")</f>
        <v/>
      </c>
      <c r="K7178">
        <f>IF(E7178="Domain",COUNTIF($E$2:E7178,"Domain"),"")</f>
        <v/>
      </c>
    </row>
    <row r="7179">
      <c r="A7179" s="2" t="n"/>
      <c r="B7179">
        <f>LOWER(TRIM(A7179))</f>
        <v/>
      </c>
      <c r="C7179">
        <f>IF(B7179="","",IFERROR(INDEX('Bad Patterns'!$A$2:$A$120,MATCH(1,INDEX(--ISNUMBER(SEARCH('Bad Patterns'!$A$2:$A$120,B7179)),0),0)),""))</f>
        <v/>
      </c>
      <c r="D7179">
        <f>IF(B7179="","",IF(C7179&lt;&gt;"","REMOVE","KEEP"))</f>
        <v/>
      </c>
      <c r="E7179">
        <f>IF(D7179&lt;&gt;"KEEP","",IF(RIGHT(B7179,10)="@gmail.com","Gmail",IF(OR(RIGHT(B7179,12)="@outlook.com",RIGHT(B7179,12)="@hotmail.com",RIGHT(B7179,9)="@live.com"),"Outlook","Domain")))</f>
        <v/>
      </c>
      <c r="F7179">
        <f>IF(B7179="","",IFERROR(RIGHT(B7179,LEN(B7179)-FIND("@",B7179)),""))</f>
        <v/>
      </c>
      <c r="G7179">
        <f>IF(D7179="KEEP",COUNTIF($D$2:D7179,"KEEP"),"")</f>
        <v/>
      </c>
      <c r="H7179">
        <f>IF(D7179="REMOVE",COUNTIF($D$2:D7179,"REMOVE"),"")</f>
        <v/>
      </c>
      <c r="I7179">
        <f>IF(E7179="Gmail",COUNTIF($E$2:E7179,"Gmail"),"")</f>
        <v/>
      </c>
      <c r="J7179">
        <f>IF(E7179="Outlook",COUNTIF($E$2:E7179,"Outlook"),"")</f>
        <v/>
      </c>
      <c r="K7179">
        <f>IF(E7179="Domain",COUNTIF($E$2:E7179,"Domain"),"")</f>
        <v/>
      </c>
    </row>
    <row r="7180">
      <c r="A7180" s="2" t="n"/>
      <c r="B7180">
        <f>LOWER(TRIM(A7180))</f>
        <v/>
      </c>
      <c r="C7180">
        <f>IF(B7180="","",IFERROR(INDEX('Bad Patterns'!$A$2:$A$120,MATCH(1,INDEX(--ISNUMBER(SEARCH('Bad Patterns'!$A$2:$A$120,B7180)),0),0)),""))</f>
        <v/>
      </c>
      <c r="D7180">
        <f>IF(B7180="","",IF(C7180&lt;&gt;"","REMOVE","KEEP"))</f>
        <v/>
      </c>
      <c r="E7180">
        <f>IF(D7180&lt;&gt;"KEEP","",IF(RIGHT(B7180,10)="@gmail.com","Gmail",IF(OR(RIGHT(B7180,12)="@outlook.com",RIGHT(B7180,12)="@hotmail.com",RIGHT(B7180,9)="@live.com"),"Outlook","Domain")))</f>
        <v/>
      </c>
      <c r="F7180">
        <f>IF(B7180="","",IFERROR(RIGHT(B7180,LEN(B7180)-FIND("@",B7180)),""))</f>
        <v/>
      </c>
      <c r="G7180">
        <f>IF(D7180="KEEP",COUNTIF($D$2:D7180,"KEEP"),"")</f>
        <v/>
      </c>
      <c r="H7180">
        <f>IF(D7180="REMOVE",COUNTIF($D$2:D7180,"REMOVE"),"")</f>
        <v/>
      </c>
      <c r="I7180">
        <f>IF(E7180="Gmail",COUNTIF($E$2:E7180,"Gmail"),"")</f>
        <v/>
      </c>
      <c r="J7180">
        <f>IF(E7180="Outlook",COUNTIF($E$2:E7180,"Outlook"),"")</f>
        <v/>
      </c>
      <c r="K7180">
        <f>IF(E7180="Domain",COUNTIF($E$2:E7180,"Domain"),"")</f>
        <v/>
      </c>
    </row>
    <row r="7181">
      <c r="A7181" s="2" t="n"/>
      <c r="B7181">
        <f>LOWER(TRIM(A7181))</f>
        <v/>
      </c>
      <c r="C7181">
        <f>IF(B7181="","",IFERROR(INDEX('Bad Patterns'!$A$2:$A$120,MATCH(1,INDEX(--ISNUMBER(SEARCH('Bad Patterns'!$A$2:$A$120,B7181)),0),0)),""))</f>
        <v/>
      </c>
      <c r="D7181">
        <f>IF(B7181="","",IF(C7181&lt;&gt;"","REMOVE","KEEP"))</f>
        <v/>
      </c>
      <c r="E7181">
        <f>IF(D7181&lt;&gt;"KEEP","",IF(RIGHT(B7181,10)="@gmail.com","Gmail",IF(OR(RIGHT(B7181,12)="@outlook.com",RIGHT(B7181,12)="@hotmail.com",RIGHT(B7181,9)="@live.com"),"Outlook","Domain")))</f>
        <v/>
      </c>
      <c r="F7181">
        <f>IF(B7181="","",IFERROR(RIGHT(B7181,LEN(B7181)-FIND("@",B7181)),""))</f>
        <v/>
      </c>
      <c r="G7181">
        <f>IF(D7181="KEEP",COUNTIF($D$2:D7181,"KEEP"),"")</f>
        <v/>
      </c>
      <c r="H7181">
        <f>IF(D7181="REMOVE",COUNTIF($D$2:D7181,"REMOVE"),"")</f>
        <v/>
      </c>
      <c r="I7181">
        <f>IF(E7181="Gmail",COUNTIF($E$2:E7181,"Gmail"),"")</f>
        <v/>
      </c>
      <c r="J7181">
        <f>IF(E7181="Outlook",COUNTIF($E$2:E7181,"Outlook"),"")</f>
        <v/>
      </c>
      <c r="K7181">
        <f>IF(E7181="Domain",COUNTIF($E$2:E7181,"Domain"),"")</f>
        <v/>
      </c>
    </row>
    <row r="7182">
      <c r="A7182" s="2" t="n"/>
      <c r="B7182">
        <f>LOWER(TRIM(A7182))</f>
        <v/>
      </c>
      <c r="C7182">
        <f>IF(B7182="","",IFERROR(INDEX('Bad Patterns'!$A$2:$A$120,MATCH(1,INDEX(--ISNUMBER(SEARCH('Bad Patterns'!$A$2:$A$120,B7182)),0),0)),""))</f>
        <v/>
      </c>
      <c r="D7182">
        <f>IF(B7182="","",IF(C7182&lt;&gt;"","REMOVE","KEEP"))</f>
        <v/>
      </c>
      <c r="E7182">
        <f>IF(D7182&lt;&gt;"KEEP","",IF(RIGHT(B7182,10)="@gmail.com","Gmail",IF(OR(RIGHT(B7182,12)="@outlook.com",RIGHT(B7182,12)="@hotmail.com",RIGHT(B7182,9)="@live.com"),"Outlook","Domain")))</f>
        <v/>
      </c>
      <c r="F7182">
        <f>IF(B7182="","",IFERROR(RIGHT(B7182,LEN(B7182)-FIND("@",B7182)),""))</f>
        <v/>
      </c>
      <c r="G7182">
        <f>IF(D7182="KEEP",COUNTIF($D$2:D7182,"KEEP"),"")</f>
        <v/>
      </c>
      <c r="H7182">
        <f>IF(D7182="REMOVE",COUNTIF($D$2:D7182,"REMOVE"),"")</f>
        <v/>
      </c>
      <c r="I7182">
        <f>IF(E7182="Gmail",COUNTIF($E$2:E7182,"Gmail"),"")</f>
        <v/>
      </c>
      <c r="J7182">
        <f>IF(E7182="Outlook",COUNTIF($E$2:E7182,"Outlook"),"")</f>
        <v/>
      </c>
      <c r="K7182">
        <f>IF(E7182="Domain",COUNTIF($E$2:E7182,"Domain"),"")</f>
        <v/>
      </c>
    </row>
    <row r="7183">
      <c r="A7183" s="2" t="n"/>
      <c r="B7183">
        <f>LOWER(TRIM(A7183))</f>
        <v/>
      </c>
      <c r="C7183">
        <f>IF(B7183="","",IFERROR(INDEX('Bad Patterns'!$A$2:$A$120,MATCH(1,INDEX(--ISNUMBER(SEARCH('Bad Patterns'!$A$2:$A$120,B7183)),0),0)),""))</f>
        <v/>
      </c>
      <c r="D7183">
        <f>IF(B7183="","",IF(C7183&lt;&gt;"","REMOVE","KEEP"))</f>
        <v/>
      </c>
      <c r="E7183">
        <f>IF(D7183&lt;&gt;"KEEP","",IF(RIGHT(B7183,10)="@gmail.com","Gmail",IF(OR(RIGHT(B7183,12)="@outlook.com",RIGHT(B7183,12)="@hotmail.com",RIGHT(B7183,9)="@live.com"),"Outlook","Domain")))</f>
        <v/>
      </c>
      <c r="F7183">
        <f>IF(B7183="","",IFERROR(RIGHT(B7183,LEN(B7183)-FIND("@",B7183)),""))</f>
        <v/>
      </c>
      <c r="G7183">
        <f>IF(D7183="KEEP",COUNTIF($D$2:D7183,"KEEP"),"")</f>
        <v/>
      </c>
      <c r="H7183">
        <f>IF(D7183="REMOVE",COUNTIF($D$2:D7183,"REMOVE"),"")</f>
        <v/>
      </c>
      <c r="I7183">
        <f>IF(E7183="Gmail",COUNTIF($E$2:E7183,"Gmail"),"")</f>
        <v/>
      </c>
      <c r="J7183">
        <f>IF(E7183="Outlook",COUNTIF($E$2:E7183,"Outlook"),"")</f>
        <v/>
      </c>
      <c r="K7183">
        <f>IF(E7183="Domain",COUNTIF($E$2:E7183,"Domain"),"")</f>
        <v/>
      </c>
    </row>
    <row r="7184">
      <c r="A7184" s="2" t="n"/>
      <c r="B7184">
        <f>LOWER(TRIM(A7184))</f>
        <v/>
      </c>
      <c r="C7184">
        <f>IF(B7184="","",IFERROR(INDEX('Bad Patterns'!$A$2:$A$120,MATCH(1,INDEX(--ISNUMBER(SEARCH('Bad Patterns'!$A$2:$A$120,B7184)),0),0)),""))</f>
        <v/>
      </c>
      <c r="D7184">
        <f>IF(B7184="","",IF(C7184&lt;&gt;"","REMOVE","KEEP"))</f>
        <v/>
      </c>
      <c r="E7184">
        <f>IF(D7184&lt;&gt;"KEEP","",IF(RIGHT(B7184,10)="@gmail.com","Gmail",IF(OR(RIGHT(B7184,12)="@outlook.com",RIGHT(B7184,12)="@hotmail.com",RIGHT(B7184,9)="@live.com"),"Outlook","Domain")))</f>
        <v/>
      </c>
      <c r="F7184">
        <f>IF(B7184="","",IFERROR(RIGHT(B7184,LEN(B7184)-FIND("@",B7184)),""))</f>
        <v/>
      </c>
      <c r="G7184">
        <f>IF(D7184="KEEP",COUNTIF($D$2:D7184,"KEEP"),"")</f>
        <v/>
      </c>
      <c r="H7184">
        <f>IF(D7184="REMOVE",COUNTIF($D$2:D7184,"REMOVE"),"")</f>
        <v/>
      </c>
      <c r="I7184">
        <f>IF(E7184="Gmail",COUNTIF($E$2:E7184,"Gmail"),"")</f>
        <v/>
      </c>
      <c r="J7184">
        <f>IF(E7184="Outlook",COUNTIF($E$2:E7184,"Outlook"),"")</f>
        <v/>
      </c>
      <c r="K7184">
        <f>IF(E7184="Domain",COUNTIF($E$2:E7184,"Domain"),"")</f>
        <v/>
      </c>
    </row>
    <row r="7185">
      <c r="A7185" s="2" t="n"/>
      <c r="B7185">
        <f>LOWER(TRIM(A7185))</f>
        <v/>
      </c>
      <c r="C7185">
        <f>IF(B7185="","",IFERROR(INDEX('Bad Patterns'!$A$2:$A$120,MATCH(1,INDEX(--ISNUMBER(SEARCH('Bad Patterns'!$A$2:$A$120,B7185)),0),0)),""))</f>
        <v/>
      </c>
      <c r="D7185">
        <f>IF(B7185="","",IF(C7185&lt;&gt;"","REMOVE","KEEP"))</f>
        <v/>
      </c>
      <c r="E7185">
        <f>IF(D7185&lt;&gt;"KEEP","",IF(RIGHT(B7185,10)="@gmail.com","Gmail",IF(OR(RIGHT(B7185,12)="@outlook.com",RIGHT(B7185,12)="@hotmail.com",RIGHT(B7185,9)="@live.com"),"Outlook","Domain")))</f>
        <v/>
      </c>
      <c r="F7185">
        <f>IF(B7185="","",IFERROR(RIGHT(B7185,LEN(B7185)-FIND("@",B7185)),""))</f>
        <v/>
      </c>
      <c r="G7185">
        <f>IF(D7185="KEEP",COUNTIF($D$2:D7185,"KEEP"),"")</f>
        <v/>
      </c>
      <c r="H7185">
        <f>IF(D7185="REMOVE",COUNTIF($D$2:D7185,"REMOVE"),"")</f>
        <v/>
      </c>
      <c r="I7185">
        <f>IF(E7185="Gmail",COUNTIF($E$2:E7185,"Gmail"),"")</f>
        <v/>
      </c>
      <c r="J7185">
        <f>IF(E7185="Outlook",COUNTIF($E$2:E7185,"Outlook"),"")</f>
        <v/>
      </c>
      <c r="K7185">
        <f>IF(E7185="Domain",COUNTIF($E$2:E7185,"Domain"),"")</f>
        <v/>
      </c>
    </row>
    <row r="7186">
      <c r="A7186" s="2" t="n"/>
      <c r="B7186">
        <f>LOWER(TRIM(A7186))</f>
        <v/>
      </c>
      <c r="C7186">
        <f>IF(B7186="","",IFERROR(INDEX('Bad Patterns'!$A$2:$A$120,MATCH(1,INDEX(--ISNUMBER(SEARCH('Bad Patterns'!$A$2:$A$120,B7186)),0),0)),""))</f>
        <v/>
      </c>
      <c r="D7186">
        <f>IF(B7186="","",IF(C7186&lt;&gt;"","REMOVE","KEEP"))</f>
        <v/>
      </c>
      <c r="E7186">
        <f>IF(D7186&lt;&gt;"KEEP","",IF(RIGHT(B7186,10)="@gmail.com","Gmail",IF(OR(RIGHT(B7186,12)="@outlook.com",RIGHT(B7186,12)="@hotmail.com",RIGHT(B7186,9)="@live.com"),"Outlook","Domain")))</f>
        <v/>
      </c>
      <c r="F7186">
        <f>IF(B7186="","",IFERROR(RIGHT(B7186,LEN(B7186)-FIND("@",B7186)),""))</f>
        <v/>
      </c>
      <c r="G7186">
        <f>IF(D7186="KEEP",COUNTIF($D$2:D7186,"KEEP"),"")</f>
        <v/>
      </c>
      <c r="H7186">
        <f>IF(D7186="REMOVE",COUNTIF($D$2:D7186,"REMOVE"),"")</f>
        <v/>
      </c>
      <c r="I7186">
        <f>IF(E7186="Gmail",COUNTIF($E$2:E7186,"Gmail"),"")</f>
        <v/>
      </c>
      <c r="J7186">
        <f>IF(E7186="Outlook",COUNTIF($E$2:E7186,"Outlook"),"")</f>
        <v/>
      </c>
      <c r="K7186">
        <f>IF(E7186="Domain",COUNTIF($E$2:E7186,"Domain"),"")</f>
        <v/>
      </c>
    </row>
    <row r="7187">
      <c r="A7187" s="2" t="n"/>
      <c r="B7187">
        <f>LOWER(TRIM(A7187))</f>
        <v/>
      </c>
      <c r="C7187">
        <f>IF(B7187="","",IFERROR(INDEX('Bad Patterns'!$A$2:$A$120,MATCH(1,INDEX(--ISNUMBER(SEARCH('Bad Patterns'!$A$2:$A$120,B7187)),0),0)),""))</f>
        <v/>
      </c>
      <c r="D7187">
        <f>IF(B7187="","",IF(C7187&lt;&gt;"","REMOVE","KEEP"))</f>
        <v/>
      </c>
      <c r="E7187">
        <f>IF(D7187&lt;&gt;"KEEP","",IF(RIGHT(B7187,10)="@gmail.com","Gmail",IF(OR(RIGHT(B7187,12)="@outlook.com",RIGHT(B7187,12)="@hotmail.com",RIGHT(B7187,9)="@live.com"),"Outlook","Domain")))</f>
        <v/>
      </c>
      <c r="F7187">
        <f>IF(B7187="","",IFERROR(RIGHT(B7187,LEN(B7187)-FIND("@",B7187)),""))</f>
        <v/>
      </c>
      <c r="G7187">
        <f>IF(D7187="KEEP",COUNTIF($D$2:D7187,"KEEP"),"")</f>
        <v/>
      </c>
      <c r="H7187">
        <f>IF(D7187="REMOVE",COUNTIF($D$2:D7187,"REMOVE"),"")</f>
        <v/>
      </c>
      <c r="I7187">
        <f>IF(E7187="Gmail",COUNTIF($E$2:E7187,"Gmail"),"")</f>
        <v/>
      </c>
      <c r="J7187">
        <f>IF(E7187="Outlook",COUNTIF($E$2:E7187,"Outlook"),"")</f>
        <v/>
      </c>
      <c r="K7187">
        <f>IF(E7187="Domain",COUNTIF($E$2:E7187,"Domain"),"")</f>
        <v/>
      </c>
    </row>
    <row r="7188">
      <c r="A7188" s="2" t="n"/>
      <c r="B7188">
        <f>LOWER(TRIM(A7188))</f>
        <v/>
      </c>
      <c r="C7188">
        <f>IF(B7188="","",IFERROR(INDEX('Bad Patterns'!$A$2:$A$120,MATCH(1,INDEX(--ISNUMBER(SEARCH('Bad Patterns'!$A$2:$A$120,B7188)),0),0)),""))</f>
        <v/>
      </c>
      <c r="D7188">
        <f>IF(B7188="","",IF(C7188&lt;&gt;"","REMOVE","KEEP"))</f>
        <v/>
      </c>
      <c r="E7188">
        <f>IF(D7188&lt;&gt;"KEEP","",IF(RIGHT(B7188,10)="@gmail.com","Gmail",IF(OR(RIGHT(B7188,12)="@outlook.com",RIGHT(B7188,12)="@hotmail.com",RIGHT(B7188,9)="@live.com"),"Outlook","Domain")))</f>
        <v/>
      </c>
      <c r="F7188">
        <f>IF(B7188="","",IFERROR(RIGHT(B7188,LEN(B7188)-FIND("@",B7188)),""))</f>
        <v/>
      </c>
      <c r="G7188">
        <f>IF(D7188="KEEP",COUNTIF($D$2:D7188,"KEEP"),"")</f>
        <v/>
      </c>
      <c r="H7188">
        <f>IF(D7188="REMOVE",COUNTIF($D$2:D7188,"REMOVE"),"")</f>
        <v/>
      </c>
      <c r="I7188">
        <f>IF(E7188="Gmail",COUNTIF($E$2:E7188,"Gmail"),"")</f>
        <v/>
      </c>
      <c r="J7188">
        <f>IF(E7188="Outlook",COUNTIF($E$2:E7188,"Outlook"),"")</f>
        <v/>
      </c>
      <c r="K7188">
        <f>IF(E7188="Domain",COUNTIF($E$2:E7188,"Domain"),"")</f>
        <v/>
      </c>
    </row>
    <row r="7189">
      <c r="A7189" s="2" t="n"/>
      <c r="B7189">
        <f>LOWER(TRIM(A7189))</f>
        <v/>
      </c>
      <c r="C7189">
        <f>IF(B7189="","",IFERROR(INDEX('Bad Patterns'!$A$2:$A$120,MATCH(1,INDEX(--ISNUMBER(SEARCH('Bad Patterns'!$A$2:$A$120,B7189)),0),0)),""))</f>
        <v/>
      </c>
      <c r="D7189">
        <f>IF(B7189="","",IF(C7189&lt;&gt;"","REMOVE","KEEP"))</f>
        <v/>
      </c>
      <c r="E7189">
        <f>IF(D7189&lt;&gt;"KEEP","",IF(RIGHT(B7189,10)="@gmail.com","Gmail",IF(OR(RIGHT(B7189,12)="@outlook.com",RIGHT(B7189,12)="@hotmail.com",RIGHT(B7189,9)="@live.com"),"Outlook","Domain")))</f>
        <v/>
      </c>
      <c r="F7189">
        <f>IF(B7189="","",IFERROR(RIGHT(B7189,LEN(B7189)-FIND("@",B7189)),""))</f>
        <v/>
      </c>
      <c r="G7189">
        <f>IF(D7189="KEEP",COUNTIF($D$2:D7189,"KEEP"),"")</f>
        <v/>
      </c>
      <c r="H7189">
        <f>IF(D7189="REMOVE",COUNTIF($D$2:D7189,"REMOVE"),"")</f>
        <v/>
      </c>
      <c r="I7189">
        <f>IF(E7189="Gmail",COUNTIF($E$2:E7189,"Gmail"),"")</f>
        <v/>
      </c>
      <c r="J7189">
        <f>IF(E7189="Outlook",COUNTIF($E$2:E7189,"Outlook"),"")</f>
        <v/>
      </c>
      <c r="K7189">
        <f>IF(E7189="Domain",COUNTIF($E$2:E7189,"Domain"),"")</f>
        <v/>
      </c>
    </row>
    <row r="7190">
      <c r="A7190" s="2" t="n"/>
      <c r="B7190">
        <f>LOWER(TRIM(A7190))</f>
        <v/>
      </c>
      <c r="C7190">
        <f>IF(B7190="","",IFERROR(INDEX('Bad Patterns'!$A$2:$A$120,MATCH(1,INDEX(--ISNUMBER(SEARCH('Bad Patterns'!$A$2:$A$120,B7190)),0),0)),""))</f>
        <v/>
      </c>
      <c r="D7190">
        <f>IF(B7190="","",IF(C7190&lt;&gt;"","REMOVE","KEEP"))</f>
        <v/>
      </c>
      <c r="E7190">
        <f>IF(D7190&lt;&gt;"KEEP","",IF(RIGHT(B7190,10)="@gmail.com","Gmail",IF(OR(RIGHT(B7190,12)="@outlook.com",RIGHT(B7190,12)="@hotmail.com",RIGHT(B7190,9)="@live.com"),"Outlook","Domain")))</f>
        <v/>
      </c>
      <c r="F7190">
        <f>IF(B7190="","",IFERROR(RIGHT(B7190,LEN(B7190)-FIND("@",B7190)),""))</f>
        <v/>
      </c>
      <c r="G7190">
        <f>IF(D7190="KEEP",COUNTIF($D$2:D7190,"KEEP"),"")</f>
        <v/>
      </c>
      <c r="H7190">
        <f>IF(D7190="REMOVE",COUNTIF($D$2:D7190,"REMOVE"),"")</f>
        <v/>
      </c>
      <c r="I7190">
        <f>IF(E7190="Gmail",COUNTIF($E$2:E7190,"Gmail"),"")</f>
        <v/>
      </c>
      <c r="J7190">
        <f>IF(E7190="Outlook",COUNTIF($E$2:E7190,"Outlook"),"")</f>
        <v/>
      </c>
      <c r="K7190">
        <f>IF(E7190="Domain",COUNTIF($E$2:E7190,"Domain"),"")</f>
        <v/>
      </c>
    </row>
    <row r="7191">
      <c r="A7191" s="2" t="n"/>
      <c r="B7191">
        <f>LOWER(TRIM(A7191))</f>
        <v/>
      </c>
      <c r="C7191">
        <f>IF(B7191="","",IFERROR(INDEX('Bad Patterns'!$A$2:$A$120,MATCH(1,INDEX(--ISNUMBER(SEARCH('Bad Patterns'!$A$2:$A$120,B7191)),0),0)),""))</f>
        <v/>
      </c>
      <c r="D7191">
        <f>IF(B7191="","",IF(C7191&lt;&gt;"","REMOVE","KEEP"))</f>
        <v/>
      </c>
      <c r="E7191">
        <f>IF(D7191&lt;&gt;"KEEP","",IF(RIGHT(B7191,10)="@gmail.com","Gmail",IF(OR(RIGHT(B7191,12)="@outlook.com",RIGHT(B7191,12)="@hotmail.com",RIGHT(B7191,9)="@live.com"),"Outlook","Domain")))</f>
        <v/>
      </c>
      <c r="F7191">
        <f>IF(B7191="","",IFERROR(RIGHT(B7191,LEN(B7191)-FIND("@",B7191)),""))</f>
        <v/>
      </c>
      <c r="G7191">
        <f>IF(D7191="KEEP",COUNTIF($D$2:D7191,"KEEP"),"")</f>
        <v/>
      </c>
      <c r="H7191">
        <f>IF(D7191="REMOVE",COUNTIF($D$2:D7191,"REMOVE"),"")</f>
        <v/>
      </c>
      <c r="I7191">
        <f>IF(E7191="Gmail",COUNTIF($E$2:E7191,"Gmail"),"")</f>
        <v/>
      </c>
      <c r="J7191">
        <f>IF(E7191="Outlook",COUNTIF($E$2:E7191,"Outlook"),"")</f>
        <v/>
      </c>
      <c r="K7191">
        <f>IF(E7191="Domain",COUNTIF($E$2:E7191,"Domain"),"")</f>
        <v/>
      </c>
    </row>
    <row r="7192">
      <c r="A7192" s="2" t="n"/>
      <c r="B7192">
        <f>LOWER(TRIM(A7192))</f>
        <v/>
      </c>
      <c r="C7192">
        <f>IF(B7192="","",IFERROR(INDEX('Bad Patterns'!$A$2:$A$120,MATCH(1,INDEX(--ISNUMBER(SEARCH('Bad Patterns'!$A$2:$A$120,B7192)),0),0)),""))</f>
        <v/>
      </c>
      <c r="D7192">
        <f>IF(B7192="","",IF(C7192&lt;&gt;"","REMOVE","KEEP"))</f>
        <v/>
      </c>
      <c r="E7192">
        <f>IF(D7192&lt;&gt;"KEEP","",IF(RIGHT(B7192,10)="@gmail.com","Gmail",IF(OR(RIGHT(B7192,12)="@outlook.com",RIGHT(B7192,12)="@hotmail.com",RIGHT(B7192,9)="@live.com"),"Outlook","Domain")))</f>
        <v/>
      </c>
      <c r="F7192">
        <f>IF(B7192="","",IFERROR(RIGHT(B7192,LEN(B7192)-FIND("@",B7192)),""))</f>
        <v/>
      </c>
      <c r="G7192">
        <f>IF(D7192="KEEP",COUNTIF($D$2:D7192,"KEEP"),"")</f>
        <v/>
      </c>
      <c r="H7192">
        <f>IF(D7192="REMOVE",COUNTIF($D$2:D7192,"REMOVE"),"")</f>
        <v/>
      </c>
      <c r="I7192">
        <f>IF(E7192="Gmail",COUNTIF($E$2:E7192,"Gmail"),"")</f>
        <v/>
      </c>
      <c r="J7192">
        <f>IF(E7192="Outlook",COUNTIF($E$2:E7192,"Outlook"),"")</f>
        <v/>
      </c>
      <c r="K7192">
        <f>IF(E7192="Domain",COUNTIF($E$2:E7192,"Domain"),"")</f>
        <v/>
      </c>
    </row>
    <row r="7193">
      <c r="A7193" s="2" t="n"/>
      <c r="B7193">
        <f>LOWER(TRIM(A7193))</f>
        <v/>
      </c>
      <c r="C7193">
        <f>IF(B7193="","",IFERROR(INDEX('Bad Patterns'!$A$2:$A$120,MATCH(1,INDEX(--ISNUMBER(SEARCH('Bad Patterns'!$A$2:$A$120,B7193)),0),0)),""))</f>
        <v/>
      </c>
      <c r="D7193">
        <f>IF(B7193="","",IF(C7193&lt;&gt;"","REMOVE","KEEP"))</f>
        <v/>
      </c>
      <c r="E7193">
        <f>IF(D7193&lt;&gt;"KEEP","",IF(RIGHT(B7193,10)="@gmail.com","Gmail",IF(OR(RIGHT(B7193,12)="@outlook.com",RIGHT(B7193,12)="@hotmail.com",RIGHT(B7193,9)="@live.com"),"Outlook","Domain")))</f>
        <v/>
      </c>
      <c r="F7193">
        <f>IF(B7193="","",IFERROR(RIGHT(B7193,LEN(B7193)-FIND("@",B7193)),""))</f>
        <v/>
      </c>
      <c r="G7193">
        <f>IF(D7193="KEEP",COUNTIF($D$2:D7193,"KEEP"),"")</f>
        <v/>
      </c>
      <c r="H7193">
        <f>IF(D7193="REMOVE",COUNTIF($D$2:D7193,"REMOVE"),"")</f>
        <v/>
      </c>
      <c r="I7193">
        <f>IF(E7193="Gmail",COUNTIF($E$2:E7193,"Gmail"),"")</f>
        <v/>
      </c>
      <c r="J7193">
        <f>IF(E7193="Outlook",COUNTIF($E$2:E7193,"Outlook"),"")</f>
        <v/>
      </c>
      <c r="K7193">
        <f>IF(E7193="Domain",COUNTIF($E$2:E7193,"Domain"),"")</f>
        <v/>
      </c>
    </row>
    <row r="7194">
      <c r="A7194" s="2" t="n"/>
      <c r="B7194">
        <f>LOWER(TRIM(A7194))</f>
        <v/>
      </c>
      <c r="C7194">
        <f>IF(B7194="","",IFERROR(INDEX('Bad Patterns'!$A$2:$A$120,MATCH(1,INDEX(--ISNUMBER(SEARCH('Bad Patterns'!$A$2:$A$120,B7194)),0),0)),""))</f>
        <v/>
      </c>
      <c r="D7194">
        <f>IF(B7194="","",IF(C7194&lt;&gt;"","REMOVE","KEEP"))</f>
        <v/>
      </c>
      <c r="E7194">
        <f>IF(D7194&lt;&gt;"KEEP","",IF(RIGHT(B7194,10)="@gmail.com","Gmail",IF(OR(RIGHT(B7194,12)="@outlook.com",RIGHT(B7194,12)="@hotmail.com",RIGHT(B7194,9)="@live.com"),"Outlook","Domain")))</f>
        <v/>
      </c>
      <c r="F7194">
        <f>IF(B7194="","",IFERROR(RIGHT(B7194,LEN(B7194)-FIND("@",B7194)),""))</f>
        <v/>
      </c>
      <c r="G7194">
        <f>IF(D7194="KEEP",COUNTIF($D$2:D7194,"KEEP"),"")</f>
        <v/>
      </c>
      <c r="H7194">
        <f>IF(D7194="REMOVE",COUNTIF($D$2:D7194,"REMOVE"),"")</f>
        <v/>
      </c>
      <c r="I7194">
        <f>IF(E7194="Gmail",COUNTIF($E$2:E7194,"Gmail"),"")</f>
        <v/>
      </c>
      <c r="J7194">
        <f>IF(E7194="Outlook",COUNTIF($E$2:E7194,"Outlook"),"")</f>
        <v/>
      </c>
      <c r="K7194">
        <f>IF(E7194="Domain",COUNTIF($E$2:E7194,"Domain"),"")</f>
        <v/>
      </c>
    </row>
    <row r="7195">
      <c r="A7195" s="2" t="n"/>
      <c r="B7195">
        <f>LOWER(TRIM(A7195))</f>
        <v/>
      </c>
      <c r="C7195">
        <f>IF(B7195="","",IFERROR(INDEX('Bad Patterns'!$A$2:$A$120,MATCH(1,INDEX(--ISNUMBER(SEARCH('Bad Patterns'!$A$2:$A$120,B7195)),0),0)),""))</f>
        <v/>
      </c>
      <c r="D7195">
        <f>IF(B7195="","",IF(C7195&lt;&gt;"","REMOVE","KEEP"))</f>
        <v/>
      </c>
      <c r="E7195">
        <f>IF(D7195&lt;&gt;"KEEP","",IF(RIGHT(B7195,10)="@gmail.com","Gmail",IF(OR(RIGHT(B7195,12)="@outlook.com",RIGHT(B7195,12)="@hotmail.com",RIGHT(B7195,9)="@live.com"),"Outlook","Domain")))</f>
        <v/>
      </c>
      <c r="F7195">
        <f>IF(B7195="","",IFERROR(RIGHT(B7195,LEN(B7195)-FIND("@",B7195)),""))</f>
        <v/>
      </c>
      <c r="G7195">
        <f>IF(D7195="KEEP",COUNTIF($D$2:D7195,"KEEP"),"")</f>
        <v/>
      </c>
      <c r="H7195">
        <f>IF(D7195="REMOVE",COUNTIF($D$2:D7195,"REMOVE"),"")</f>
        <v/>
      </c>
      <c r="I7195">
        <f>IF(E7195="Gmail",COUNTIF($E$2:E7195,"Gmail"),"")</f>
        <v/>
      </c>
      <c r="J7195">
        <f>IF(E7195="Outlook",COUNTIF($E$2:E7195,"Outlook"),"")</f>
        <v/>
      </c>
      <c r="K7195">
        <f>IF(E7195="Domain",COUNTIF($E$2:E7195,"Domain"),"")</f>
        <v/>
      </c>
    </row>
    <row r="7196">
      <c r="A7196" s="2" t="n"/>
      <c r="B7196">
        <f>LOWER(TRIM(A7196))</f>
        <v/>
      </c>
      <c r="C7196">
        <f>IF(B7196="","",IFERROR(INDEX('Bad Patterns'!$A$2:$A$120,MATCH(1,INDEX(--ISNUMBER(SEARCH('Bad Patterns'!$A$2:$A$120,B7196)),0),0)),""))</f>
        <v/>
      </c>
      <c r="D7196">
        <f>IF(B7196="","",IF(C7196&lt;&gt;"","REMOVE","KEEP"))</f>
        <v/>
      </c>
      <c r="E7196">
        <f>IF(D7196&lt;&gt;"KEEP","",IF(RIGHT(B7196,10)="@gmail.com","Gmail",IF(OR(RIGHT(B7196,12)="@outlook.com",RIGHT(B7196,12)="@hotmail.com",RIGHT(B7196,9)="@live.com"),"Outlook","Domain")))</f>
        <v/>
      </c>
      <c r="F7196">
        <f>IF(B7196="","",IFERROR(RIGHT(B7196,LEN(B7196)-FIND("@",B7196)),""))</f>
        <v/>
      </c>
      <c r="G7196">
        <f>IF(D7196="KEEP",COUNTIF($D$2:D7196,"KEEP"),"")</f>
        <v/>
      </c>
      <c r="H7196">
        <f>IF(D7196="REMOVE",COUNTIF($D$2:D7196,"REMOVE"),"")</f>
        <v/>
      </c>
      <c r="I7196">
        <f>IF(E7196="Gmail",COUNTIF($E$2:E7196,"Gmail"),"")</f>
        <v/>
      </c>
      <c r="J7196">
        <f>IF(E7196="Outlook",COUNTIF($E$2:E7196,"Outlook"),"")</f>
        <v/>
      </c>
      <c r="K7196">
        <f>IF(E7196="Domain",COUNTIF($E$2:E7196,"Domain"),"")</f>
        <v/>
      </c>
    </row>
    <row r="7197">
      <c r="A7197" s="2" t="n"/>
      <c r="B7197">
        <f>LOWER(TRIM(A7197))</f>
        <v/>
      </c>
      <c r="C7197">
        <f>IF(B7197="","",IFERROR(INDEX('Bad Patterns'!$A$2:$A$120,MATCH(1,INDEX(--ISNUMBER(SEARCH('Bad Patterns'!$A$2:$A$120,B7197)),0),0)),""))</f>
        <v/>
      </c>
      <c r="D7197">
        <f>IF(B7197="","",IF(C7197&lt;&gt;"","REMOVE","KEEP"))</f>
        <v/>
      </c>
      <c r="E7197">
        <f>IF(D7197&lt;&gt;"KEEP","",IF(RIGHT(B7197,10)="@gmail.com","Gmail",IF(OR(RIGHT(B7197,12)="@outlook.com",RIGHT(B7197,12)="@hotmail.com",RIGHT(B7197,9)="@live.com"),"Outlook","Domain")))</f>
        <v/>
      </c>
      <c r="F7197">
        <f>IF(B7197="","",IFERROR(RIGHT(B7197,LEN(B7197)-FIND("@",B7197)),""))</f>
        <v/>
      </c>
      <c r="G7197">
        <f>IF(D7197="KEEP",COUNTIF($D$2:D7197,"KEEP"),"")</f>
        <v/>
      </c>
      <c r="H7197">
        <f>IF(D7197="REMOVE",COUNTIF($D$2:D7197,"REMOVE"),"")</f>
        <v/>
      </c>
      <c r="I7197">
        <f>IF(E7197="Gmail",COUNTIF($E$2:E7197,"Gmail"),"")</f>
        <v/>
      </c>
      <c r="J7197">
        <f>IF(E7197="Outlook",COUNTIF($E$2:E7197,"Outlook"),"")</f>
        <v/>
      </c>
      <c r="K7197">
        <f>IF(E7197="Domain",COUNTIF($E$2:E7197,"Domain"),"")</f>
        <v/>
      </c>
    </row>
    <row r="7198">
      <c r="A7198" s="2" t="n"/>
      <c r="B7198">
        <f>LOWER(TRIM(A7198))</f>
        <v/>
      </c>
      <c r="C7198">
        <f>IF(B7198="","",IFERROR(INDEX('Bad Patterns'!$A$2:$A$120,MATCH(1,INDEX(--ISNUMBER(SEARCH('Bad Patterns'!$A$2:$A$120,B7198)),0),0)),""))</f>
        <v/>
      </c>
      <c r="D7198">
        <f>IF(B7198="","",IF(C7198&lt;&gt;"","REMOVE","KEEP"))</f>
        <v/>
      </c>
      <c r="E7198">
        <f>IF(D7198&lt;&gt;"KEEP","",IF(RIGHT(B7198,10)="@gmail.com","Gmail",IF(OR(RIGHT(B7198,12)="@outlook.com",RIGHT(B7198,12)="@hotmail.com",RIGHT(B7198,9)="@live.com"),"Outlook","Domain")))</f>
        <v/>
      </c>
      <c r="F7198">
        <f>IF(B7198="","",IFERROR(RIGHT(B7198,LEN(B7198)-FIND("@",B7198)),""))</f>
        <v/>
      </c>
      <c r="G7198">
        <f>IF(D7198="KEEP",COUNTIF($D$2:D7198,"KEEP"),"")</f>
        <v/>
      </c>
      <c r="H7198">
        <f>IF(D7198="REMOVE",COUNTIF($D$2:D7198,"REMOVE"),"")</f>
        <v/>
      </c>
      <c r="I7198">
        <f>IF(E7198="Gmail",COUNTIF($E$2:E7198,"Gmail"),"")</f>
        <v/>
      </c>
      <c r="J7198">
        <f>IF(E7198="Outlook",COUNTIF($E$2:E7198,"Outlook"),"")</f>
        <v/>
      </c>
      <c r="K7198">
        <f>IF(E7198="Domain",COUNTIF($E$2:E7198,"Domain"),"")</f>
        <v/>
      </c>
    </row>
    <row r="7199">
      <c r="A7199" s="2" t="n"/>
      <c r="B7199">
        <f>LOWER(TRIM(A7199))</f>
        <v/>
      </c>
      <c r="C7199">
        <f>IF(B7199="","",IFERROR(INDEX('Bad Patterns'!$A$2:$A$120,MATCH(1,INDEX(--ISNUMBER(SEARCH('Bad Patterns'!$A$2:$A$120,B7199)),0),0)),""))</f>
        <v/>
      </c>
      <c r="D7199">
        <f>IF(B7199="","",IF(C7199&lt;&gt;"","REMOVE","KEEP"))</f>
        <v/>
      </c>
      <c r="E7199">
        <f>IF(D7199&lt;&gt;"KEEP","",IF(RIGHT(B7199,10)="@gmail.com","Gmail",IF(OR(RIGHT(B7199,12)="@outlook.com",RIGHT(B7199,12)="@hotmail.com",RIGHT(B7199,9)="@live.com"),"Outlook","Domain")))</f>
        <v/>
      </c>
      <c r="F7199">
        <f>IF(B7199="","",IFERROR(RIGHT(B7199,LEN(B7199)-FIND("@",B7199)),""))</f>
        <v/>
      </c>
      <c r="G7199">
        <f>IF(D7199="KEEP",COUNTIF($D$2:D7199,"KEEP"),"")</f>
        <v/>
      </c>
      <c r="H7199">
        <f>IF(D7199="REMOVE",COUNTIF($D$2:D7199,"REMOVE"),"")</f>
        <v/>
      </c>
      <c r="I7199">
        <f>IF(E7199="Gmail",COUNTIF($E$2:E7199,"Gmail"),"")</f>
        <v/>
      </c>
      <c r="J7199">
        <f>IF(E7199="Outlook",COUNTIF($E$2:E7199,"Outlook"),"")</f>
        <v/>
      </c>
      <c r="K7199">
        <f>IF(E7199="Domain",COUNTIF($E$2:E7199,"Domain"),"")</f>
        <v/>
      </c>
    </row>
    <row r="7200">
      <c r="A7200" s="2" t="n"/>
      <c r="B7200">
        <f>LOWER(TRIM(A7200))</f>
        <v/>
      </c>
      <c r="C7200">
        <f>IF(B7200="","",IFERROR(INDEX('Bad Patterns'!$A$2:$A$120,MATCH(1,INDEX(--ISNUMBER(SEARCH('Bad Patterns'!$A$2:$A$120,B7200)),0),0)),""))</f>
        <v/>
      </c>
      <c r="D7200">
        <f>IF(B7200="","",IF(C7200&lt;&gt;"","REMOVE","KEEP"))</f>
        <v/>
      </c>
      <c r="E7200">
        <f>IF(D7200&lt;&gt;"KEEP","",IF(RIGHT(B7200,10)="@gmail.com","Gmail",IF(OR(RIGHT(B7200,12)="@outlook.com",RIGHT(B7200,12)="@hotmail.com",RIGHT(B7200,9)="@live.com"),"Outlook","Domain")))</f>
        <v/>
      </c>
      <c r="F7200">
        <f>IF(B7200="","",IFERROR(RIGHT(B7200,LEN(B7200)-FIND("@",B7200)),""))</f>
        <v/>
      </c>
      <c r="G7200">
        <f>IF(D7200="KEEP",COUNTIF($D$2:D7200,"KEEP"),"")</f>
        <v/>
      </c>
      <c r="H7200">
        <f>IF(D7200="REMOVE",COUNTIF($D$2:D7200,"REMOVE"),"")</f>
        <v/>
      </c>
      <c r="I7200">
        <f>IF(E7200="Gmail",COUNTIF($E$2:E7200,"Gmail"),"")</f>
        <v/>
      </c>
      <c r="J7200">
        <f>IF(E7200="Outlook",COUNTIF($E$2:E7200,"Outlook"),"")</f>
        <v/>
      </c>
      <c r="K7200">
        <f>IF(E7200="Domain",COUNTIF($E$2:E7200,"Domain"),"")</f>
        <v/>
      </c>
    </row>
    <row r="7201">
      <c r="A7201" s="2" t="n"/>
      <c r="B7201">
        <f>LOWER(TRIM(A7201))</f>
        <v/>
      </c>
      <c r="C7201">
        <f>IF(B7201="","",IFERROR(INDEX('Bad Patterns'!$A$2:$A$120,MATCH(1,INDEX(--ISNUMBER(SEARCH('Bad Patterns'!$A$2:$A$120,B7201)),0),0)),""))</f>
        <v/>
      </c>
      <c r="D7201">
        <f>IF(B7201="","",IF(C7201&lt;&gt;"","REMOVE","KEEP"))</f>
        <v/>
      </c>
      <c r="E7201">
        <f>IF(D7201&lt;&gt;"KEEP","",IF(RIGHT(B7201,10)="@gmail.com","Gmail",IF(OR(RIGHT(B7201,12)="@outlook.com",RIGHT(B7201,12)="@hotmail.com",RIGHT(B7201,9)="@live.com"),"Outlook","Domain")))</f>
        <v/>
      </c>
      <c r="F7201">
        <f>IF(B7201="","",IFERROR(RIGHT(B7201,LEN(B7201)-FIND("@",B7201)),""))</f>
        <v/>
      </c>
      <c r="G7201">
        <f>IF(D7201="KEEP",COUNTIF($D$2:D7201,"KEEP"),"")</f>
        <v/>
      </c>
      <c r="H7201">
        <f>IF(D7201="REMOVE",COUNTIF($D$2:D7201,"REMOVE"),"")</f>
        <v/>
      </c>
      <c r="I7201">
        <f>IF(E7201="Gmail",COUNTIF($E$2:E7201,"Gmail"),"")</f>
        <v/>
      </c>
      <c r="J7201">
        <f>IF(E7201="Outlook",COUNTIF($E$2:E7201,"Outlook"),"")</f>
        <v/>
      </c>
      <c r="K7201">
        <f>IF(E7201="Domain",COUNTIF($E$2:E7201,"Domain"),"")</f>
        <v/>
      </c>
    </row>
    <row r="7202">
      <c r="A7202" s="2" t="n"/>
      <c r="B7202">
        <f>LOWER(TRIM(A7202))</f>
        <v/>
      </c>
      <c r="C7202">
        <f>IF(B7202="","",IFERROR(INDEX('Bad Patterns'!$A$2:$A$120,MATCH(1,INDEX(--ISNUMBER(SEARCH('Bad Patterns'!$A$2:$A$120,B7202)),0),0)),""))</f>
        <v/>
      </c>
      <c r="D7202">
        <f>IF(B7202="","",IF(C7202&lt;&gt;"","REMOVE","KEEP"))</f>
        <v/>
      </c>
      <c r="E7202">
        <f>IF(D7202&lt;&gt;"KEEP","",IF(RIGHT(B7202,10)="@gmail.com","Gmail",IF(OR(RIGHT(B7202,12)="@outlook.com",RIGHT(B7202,12)="@hotmail.com",RIGHT(B7202,9)="@live.com"),"Outlook","Domain")))</f>
        <v/>
      </c>
      <c r="F7202">
        <f>IF(B7202="","",IFERROR(RIGHT(B7202,LEN(B7202)-FIND("@",B7202)),""))</f>
        <v/>
      </c>
      <c r="G7202">
        <f>IF(D7202="KEEP",COUNTIF($D$2:D7202,"KEEP"),"")</f>
        <v/>
      </c>
      <c r="H7202">
        <f>IF(D7202="REMOVE",COUNTIF($D$2:D7202,"REMOVE"),"")</f>
        <v/>
      </c>
      <c r="I7202">
        <f>IF(E7202="Gmail",COUNTIF($E$2:E7202,"Gmail"),"")</f>
        <v/>
      </c>
      <c r="J7202">
        <f>IF(E7202="Outlook",COUNTIF($E$2:E7202,"Outlook"),"")</f>
        <v/>
      </c>
      <c r="K7202">
        <f>IF(E7202="Domain",COUNTIF($E$2:E7202,"Domain"),"")</f>
        <v/>
      </c>
    </row>
    <row r="7203">
      <c r="A7203" s="2" t="n"/>
      <c r="B7203">
        <f>LOWER(TRIM(A7203))</f>
        <v/>
      </c>
      <c r="C7203">
        <f>IF(B7203="","",IFERROR(INDEX('Bad Patterns'!$A$2:$A$120,MATCH(1,INDEX(--ISNUMBER(SEARCH('Bad Patterns'!$A$2:$A$120,B7203)),0),0)),""))</f>
        <v/>
      </c>
      <c r="D7203">
        <f>IF(B7203="","",IF(C7203&lt;&gt;"","REMOVE","KEEP"))</f>
        <v/>
      </c>
      <c r="E7203">
        <f>IF(D7203&lt;&gt;"KEEP","",IF(RIGHT(B7203,10)="@gmail.com","Gmail",IF(OR(RIGHT(B7203,12)="@outlook.com",RIGHT(B7203,12)="@hotmail.com",RIGHT(B7203,9)="@live.com"),"Outlook","Domain")))</f>
        <v/>
      </c>
      <c r="F7203">
        <f>IF(B7203="","",IFERROR(RIGHT(B7203,LEN(B7203)-FIND("@",B7203)),""))</f>
        <v/>
      </c>
      <c r="G7203">
        <f>IF(D7203="KEEP",COUNTIF($D$2:D7203,"KEEP"),"")</f>
        <v/>
      </c>
      <c r="H7203">
        <f>IF(D7203="REMOVE",COUNTIF($D$2:D7203,"REMOVE"),"")</f>
        <v/>
      </c>
      <c r="I7203">
        <f>IF(E7203="Gmail",COUNTIF($E$2:E7203,"Gmail"),"")</f>
        <v/>
      </c>
      <c r="J7203">
        <f>IF(E7203="Outlook",COUNTIF($E$2:E7203,"Outlook"),"")</f>
        <v/>
      </c>
      <c r="K7203">
        <f>IF(E7203="Domain",COUNTIF($E$2:E7203,"Domain"),"")</f>
        <v/>
      </c>
    </row>
    <row r="7204">
      <c r="A7204" s="2" t="n"/>
      <c r="B7204">
        <f>LOWER(TRIM(A7204))</f>
        <v/>
      </c>
      <c r="C7204">
        <f>IF(B7204="","",IFERROR(INDEX('Bad Patterns'!$A$2:$A$120,MATCH(1,INDEX(--ISNUMBER(SEARCH('Bad Patterns'!$A$2:$A$120,B7204)),0),0)),""))</f>
        <v/>
      </c>
      <c r="D7204">
        <f>IF(B7204="","",IF(C7204&lt;&gt;"","REMOVE","KEEP"))</f>
        <v/>
      </c>
      <c r="E7204">
        <f>IF(D7204&lt;&gt;"KEEP","",IF(RIGHT(B7204,10)="@gmail.com","Gmail",IF(OR(RIGHT(B7204,12)="@outlook.com",RIGHT(B7204,12)="@hotmail.com",RIGHT(B7204,9)="@live.com"),"Outlook","Domain")))</f>
        <v/>
      </c>
      <c r="F7204">
        <f>IF(B7204="","",IFERROR(RIGHT(B7204,LEN(B7204)-FIND("@",B7204)),""))</f>
        <v/>
      </c>
      <c r="G7204">
        <f>IF(D7204="KEEP",COUNTIF($D$2:D7204,"KEEP"),"")</f>
        <v/>
      </c>
      <c r="H7204">
        <f>IF(D7204="REMOVE",COUNTIF($D$2:D7204,"REMOVE"),"")</f>
        <v/>
      </c>
      <c r="I7204">
        <f>IF(E7204="Gmail",COUNTIF($E$2:E7204,"Gmail"),"")</f>
        <v/>
      </c>
      <c r="J7204">
        <f>IF(E7204="Outlook",COUNTIF($E$2:E7204,"Outlook"),"")</f>
        <v/>
      </c>
      <c r="K7204">
        <f>IF(E7204="Domain",COUNTIF($E$2:E7204,"Domain"),"")</f>
        <v/>
      </c>
    </row>
    <row r="7205">
      <c r="A7205" s="2" t="n"/>
      <c r="B7205">
        <f>LOWER(TRIM(A7205))</f>
        <v/>
      </c>
      <c r="C7205">
        <f>IF(B7205="","",IFERROR(INDEX('Bad Patterns'!$A$2:$A$120,MATCH(1,INDEX(--ISNUMBER(SEARCH('Bad Patterns'!$A$2:$A$120,B7205)),0),0)),""))</f>
        <v/>
      </c>
      <c r="D7205">
        <f>IF(B7205="","",IF(C7205&lt;&gt;"","REMOVE","KEEP"))</f>
        <v/>
      </c>
      <c r="E7205">
        <f>IF(D7205&lt;&gt;"KEEP","",IF(RIGHT(B7205,10)="@gmail.com","Gmail",IF(OR(RIGHT(B7205,12)="@outlook.com",RIGHT(B7205,12)="@hotmail.com",RIGHT(B7205,9)="@live.com"),"Outlook","Domain")))</f>
        <v/>
      </c>
      <c r="F7205">
        <f>IF(B7205="","",IFERROR(RIGHT(B7205,LEN(B7205)-FIND("@",B7205)),""))</f>
        <v/>
      </c>
      <c r="G7205">
        <f>IF(D7205="KEEP",COUNTIF($D$2:D7205,"KEEP"),"")</f>
        <v/>
      </c>
      <c r="H7205">
        <f>IF(D7205="REMOVE",COUNTIF($D$2:D7205,"REMOVE"),"")</f>
        <v/>
      </c>
      <c r="I7205">
        <f>IF(E7205="Gmail",COUNTIF($E$2:E7205,"Gmail"),"")</f>
        <v/>
      </c>
      <c r="J7205">
        <f>IF(E7205="Outlook",COUNTIF($E$2:E7205,"Outlook"),"")</f>
        <v/>
      </c>
      <c r="K7205">
        <f>IF(E7205="Domain",COUNTIF($E$2:E7205,"Domain"),"")</f>
        <v/>
      </c>
    </row>
    <row r="7206">
      <c r="A7206" s="2" t="n"/>
      <c r="B7206">
        <f>LOWER(TRIM(A7206))</f>
        <v/>
      </c>
      <c r="C7206">
        <f>IF(B7206="","",IFERROR(INDEX('Bad Patterns'!$A$2:$A$120,MATCH(1,INDEX(--ISNUMBER(SEARCH('Bad Patterns'!$A$2:$A$120,B7206)),0),0)),""))</f>
        <v/>
      </c>
      <c r="D7206">
        <f>IF(B7206="","",IF(C7206&lt;&gt;"","REMOVE","KEEP"))</f>
        <v/>
      </c>
      <c r="E7206">
        <f>IF(D7206&lt;&gt;"KEEP","",IF(RIGHT(B7206,10)="@gmail.com","Gmail",IF(OR(RIGHT(B7206,12)="@outlook.com",RIGHT(B7206,12)="@hotmail.com",RIGHT(B7206,9)="@live.com"),"Outlook","Domain")))</f>
        <v/>
      </c>
      <c r="F7206">
        <f>IF(B7206="","",IFERROR(RIGHT(B7206,LEN(B7206)-FIND("@",B7206)),""))</f>
        <v/>
      </c>
      <c r="G7206">
        <f>IF(D7206="KEEP",COUNTIF($D$2:D7206,"KEEP"),"")</f>
        <v/>
      </c>
      <c r="H7206">
        <f>IF(D7206="REMOVE",COUNTIF($D$2:D7206,"REMOVE"),"")</f>
        <v/>
      </c>
      <c r="I7206">
        <f>IF(E7206="Gmail",COUNTIF($E$2:E7206,"Gmail"),"")</f>
        <v/>
      </c>
      <c r="J7206">
        <f>IF(E7206="Outlook",COUNTIF($E$2:E7206,"Outlook"),"")</f>
        <v/>
      </c>
      <c r="K7206">
        <f>IF(E7206="Domain",COUNTIF($E$2:E7206,"Domain"),"")</f>
        <v/>
      </c>
    </row>
    <row r="7207">
      <c r="A7207" s="2" t="n"/>
      <c r="B7207">
        <f>LOWER(TRIM(A7207))</f>
        <v/>
      </c>
      <c r="C7207">
        <f>IF(B7207="","",IFERROR(INDEX('Bad Patterns'!$A$2:$A$120,MATCH(1,INDEX(--ISNUMBER(SEARCH('Bad Patterns'!$A$2:$A$120,B7207)),0),0)),""))</f>
        <v/>
      </c>
      <c r="D7207">
        <f>IF(B7207="","",IF(C7207&lt;&gt;"","REMOVE","KEEP"))</f>
        <v/>
      </c>
      <c r="E7207">
        <f>IF(D7207&lt;&gt;"KEEP","",IF(RIGHT(B7207,10)="@gmail.com","Gmail",IF(OR(RIGHT(B7207,12)="@outlook.com",RIGHT(B7207,12)="@hotmail.com",RIGHT(B7207,9)="@live.com"),"Outlook","Domain")))</f>
        <v/>
      </c>
      <c r="F7207">
        <f>IF(B7207="","",IFERROR(RIGHT(B7207,LEN(B7207)-FIND("@",B7207)),""))</f>
        <v/>
      </c>
      <c r="G7207">
        <f>IF(D7207="KEEP",COUNTIF($D$2:D7207,"KEEP"),"")</f>
        <v/>
      </c>
      <c r="H7207">
        <f>IF(D7207="REMOVE",COUNTIF($D$2:D7207,"REMOVE"),"")</f>
        <v/>
      </c>
      <c r="I7207">
        <f>IF(E7207="Gmail",COUNTIF($E$2:E7207,"Gmail"),"")</f>
        <v/>
      </c>
      <c r="J7207">
        <f>IF(E7207="Outlook",COUNTIF($E$2:E7207,"Outlook"),"")</f>
        <v/>
      </c>
      <c r="K7207">
        <f>IF(E7207="Domain",COUNTIF($E$2:E7207,"Domain"),"")</f>
        <v/>
      </c>
    </row>
    <row r="7208">
      <c r="A7208" s="2" t="n"/>
      <c r="B7208">
        <f>LOWER(TRIM(A7208))</f>
        <v/>
      </c>
      <c r="C7208">
        <f>IF(B7208="","",IFERROR(INDEX('Bad Patterns'!$A$2:$A$120,MATCH(1,INDEX(--ISNUMBER(SEARCH('Bad Patterns'!$A$2:$A$120,B7208)),0),0)),""))</f>
        <v/>
      </c>
      <c r="D7208">
        <f>IF(B7208="","",IF(C7208&lt;&gt;"","REMOVE","KEEP"))</f>
        <v/>
      </c>
      <c r="E7208">
        <f>IF(D7208&lt;&gt;"KEEP","",IF(RIGHT(B7208,10)="@gmail.com","Gmail",IF(OR(RIGHT(B7208,12)="@outlook.com",RIGHT(B7208,12)="@hotmail.com",RIGHT(B7208,9)="@live.com"),"Outlook","Domain")))</f>
        <v/>
      </c>
      <c r="F7208">
        <f>IF(B7208="","",IFERROR(RIGHT(B7208,LEN(B7208)-FIND("@",B7208)),""))</f>
        <v/>
      </c>
      <c r="G7208">
        <f>IF(D7208="KEEP",COUNTIF($D$2:D7208,"KEEP"),"")</f>
        <v/>
      </c>
      <c r="H7208">
        <f>IF(D7208="REMOVE",COUNTIF($D$2:D7208,"REMOVE"),"")</f>
        <v/>
      </c>
      <c r="I7208">
        <f>IF(E7208="Gmail",COUNTIF($E$2:E7208,"Gmail"),"")</f>
        <v/>
      </c>
      <c r="J7208">
        <f>IF(E7208="Outlook",COUNTIF($E$2:E7208,"Outlook"),"")</f>
        <v/>
      </c>
      <c r="K7208">
        <f>IF(E7208="Domain",COUNTIF($E$2:E7208,"Domain"),"")</f>
        <v/>
      </c>
    </row>
    <row r="7209">
      <c r="A7209" s="2" t="n"/>
      <c r="B7209">
        <f>LOWER(TRIM(A7209))</f>
        <v/>
      </c>
      <c r="C7209">
        <f>IF(B7209="","",IFERROR(INDEX('Bad Patterns'!$A$2:$A$120,MATCH(1,INDEX(--ISNUMBER(SEARCH('Bad Patterns'!$A$2:$A$120,B7209)),0),0)),""))</f>
        <v/>
      </c>
      <c r="D7209">
        <f>IF(B7209="","",IF(C7209&lt;&gt;"","REMOVE","KEEP"))</f>
        <v/>
      </c>
      <c r="E7209">
        <f>IF(D7209&lt;&gt;"KEEP","",IF(RIGHT(B7209,10)="@gmail.com","Gmail",IF(OR(RIGHT(B7209,12)="@outlook.com",RIGHT(B7209,12)="@hotmail.com",RIGHT(B7209,9)="@live.com"),"Outlook","Domain")))</f>
        <v/>
      </c>
      <c r="F7209">
        <f>IF(B7209="","",IFERROR(RIGHT(B7209,LEN(B7209)-FIND("@",B7209)),""))</f>
        <v/>
      </c>
      <c r="G7209">
        <f>IF(D7209="KEEP",COUNTIF($D$2:D7209,"KEEP"),"")</f>
        <v/>
      </c>
      <c r="H7209">
        <f>IF(D7209="REMOVE",COUNTIF($D$2:D7209,"REMOVE"),"")</f>
        <v/>
      </c>
      <c r="I7209">
        <f>IF(E7209="Gmail",COUNTIF($E$2:E7209,"Gmail"),"")</f>
        <v/>
      </c>
      <c r="J7209">
        <f>IF(E7209="Outlook",COUNTIF($E$2:E7209,"Outlook"),"")</f>
        <v/>
      </c>
      <c r="K7209">
        <f>IF(E7209="Domain",COUNTIF($E$2:E7209,"Domain"),"")</f>
        <v/>
      </c>
    </row>
    <row r="7210">
      <c r="A7210" s="2" t="n"/>
      <c r="B7210">
        <f>LOWER(TRIM(A7210))</f>
        <v/>
      </c>
      <c r="C7210">
        <f>IF(B7210="","",IFERROR(INDEX('Bad Patterns'!$A$2:$A$120,MATCH(1,INDEX(--ISNUMBER(SEARCH('Bad Patterns'!$A$2:$A$120,B7210)),0),0)),""))</f>
        <v/>
      </c>
      <c r="D7210">
        <f>IF(B7210="","",IF(C7210&lt;&gt;"","REMOVE","KEEP"))</f>
        <v/>
      </c>
      <c r="E7210">
        <f>IF(D7210&lt;&gt;"KEEP","",IF(RIGHT(B7210,10)="@gmail.com","Gmail",IF(OR(RIGHT(B7210,12)="@outlook.com",RIGHT(B7210,12)="@hotmail.com",RIGHT(B7210,9)="@live.com"),"Outlook","Domain")))</f>
        <v/>
      </c>
      <c r="F7210">
        <f>IF(B7210="","",IFERROR(RIGHT(B7210,LEN(B7210)-FIND("@",B7210)),""))</f>
        <v/>
      </c>
      <c r="G7210">
        <f>IF(D7210="KEEP",COUNTIF($D$2:D7210,"KEEP"),"")</f>
        <v/>
      </c>
      <c r="H7210">
        <f>IF(D7210="REMOVE",COUNTIF($D$2:D7210,"REMOVE"),"")</f>
        <v/>
      </c>
      <c r="I7210">
        <f>IF(E7210="Gmail",COUNTIF($E$2:E7210,"Gmail"),"")</f>
        <v/>
      </c>
      <c r="J7210">
        <f>IF(E7210="Outlook",COUNTIF($E$2:E7210,"Outlook"),"")</f>
        <v/>
      </c>
      <c r="K7210">
        <f>IF(E7210="Domain",COUNTIF($E$2:E7210,"Domain"),"")</f>
        <v/>
      </c>
    </row>
    <row r="7211">
      <c r="A7211" s="2" t="n"/>
      <c r="B7211">
        <f>LOWER(TRIM(A7211))</f>
        <v/>
      </c>
      <c r="C7211">
        <f>IF(B7211="","",IFERROR(INDEX('Bad Patterns'!$A$2:$A$120,MATCH(1,INDEX(--ISNUMBER(SEARCH('Bad Patterns'!$A$2:$A$120,B7211)),0),0)),""))</f>
        <v/>
      </c>
      <c r="D7211">
        <f>IF(B7211="","",IF(C7211&lt;&gt;"","REMOVE","KEEP"))</f>
        <v/>
      </c>
      <c r="E7211">
        <f>IF(D7211&lt;&gt;"KEEP","",IF(RIGHT(B7211,10)="@gmail.com","Gmail",IF(OR(RIGHT(B7211,12)="@outlook.com",RIGHT(B7211,12)="@hotmail.com",RIGHT(B7211,9)="@live.com"),"Outlook","Domain")))</f>
        <v/>
      </c>
      <c r="F7211">
        <f>IF(B7211="","",IFERROR(RIGHT(B7211,LEN(B7211)-FIND("@",B7211)),""))</f>
        <v/>
      </c>
      <c r="G7211">
        <f>IF(D7211="KEEP",COUNTIF($D$2:D7211,"KEEP"),"")</f>
        <v/>
      </c>
      <c r="H7211">
        <f>IF(D7211="REMOVE",COUNTIF($D$2:D7211,"REMOVE"),"")</f>
        <v/>
      </c>
      <c r="I7211">
        <f>IF(E7211="Gmail",COUNTIF($E$2:E7211,"Gmail"),"")</f>
        <v/>
      </c>
      <c r="J7211">
        <f>IF(E7211="Outlook",COUNTIF($E$2:E7211,"Outlook"),"")</f>
        <v/>
      </c>
      <c r="K7211">
        <f>IF(E7211="Domain",COUNTIF($E$2:E7211,"Domain"),"")</f>
        <v/>
      </c>
    </row>
    <row r="7212">
      <c r="A7212" s="2" t="n"/>
      <c r="B7212">
        <f>LOWER(TRIM(A7212))</f>
        <v/>
      </c>
      <c r="C7212">
        <f>IF(B7212="","",IFERROR(INDEX('Bad Patterns'!$A$2:$A$120,MATCH(1,INDEX(--ISNUMBER(SEARCH('Bad Patterns'!$A$2:$A$120,B7212)),0),0)),""))</f>
        <v/>
      </c>
      <c r="D7212">
        <f>IF(B7212="","",IF(C7212&lt;&gt;"","REMOVE","KEEP"))</f>
        <v/>
      </c>
      <c r="E7212">
        <f>IF(D7212&lt;&gt;"KEEP","",IF(RIGHT(B7212,10)="@gmail.com","Gmail",IF(OR(RIGHT(B7212,12)="@outlook.com",RIGHT(B7212,12)="@hotmail.com",RIGHT(B7212,9)="@live.com"),"Outlook","Domain")))</f>
        <v/>
      </c>
      <c r="F7212">
        <f>IF(B7212="","",IFERROR(RIGHT(B7212,LEN(B7212)-FIND("@",B7212)),""))</f>
        <v/>
      </c>
      <c r="G7212">
        <f>IF(D7212="KEEP",COUNTIF($D$2:D7212,"KEEP"),"")</f>
        <v/>
      </c>
      <c r="H7212">
        <f>IF(D7212="REMOVE",COUNTIF($D$2:D7212,"REMOVE"),"")</f>
        <v/>
      </c>
      <c r="I7212">
        <f>IF(E7212="Gmail",COUNTIF($E$2:E7212,"Gmail"),"")</f>
        <v/>
      </c>
      <c r="J7212">
        <f>IF(E7212="Outlook",COUNTIF($E$2:E7212,"Outlook"),"")</f>
        <v/>
      </c>
      <c r="K7212">
        <f>IF(E7212="Domain",COUNTIF($E$2:E7212,"Domain"),"")</f>
        <v/>
      </c>
    </row>
    <row r="7213">
      <c r="A7213" s="2" t="n"/>
      <c r="B7213">
        <f>LOWER(TRIM(A7213))</f>
        <v/>
      </c>
      <c r="C7213">
        <f>IF(B7213="","",IFERROR(INDEX('Bad Patterns'!$A$2:$A$120,MATCH(1,INDEX(--ISNUMBER(SEARCH('Bad Patterns'!$A$2:$A$120,B7213)),0),0)),""))</f>
        <v/>
      </c>
      <c r="D7213">
        <f>IF(B7213="","",IF(C7213&lt;&gt;"","REMOVE","KEEP"))</f>
        <v/>
      </c>
      <c r="E7213">
        <f>IF(D7213&lt;&gt;"KEEP","",IF(RIGHT(B7213,10)="@gmail.com","Gmail",IF(OR(RIGHT(B7213,12)="@outlook.com",RIGHT(B7213,12)="@hotmail.com",RIGHT(B7213,9)="@live.com"),"Outlook","Domain")))</f>
        <v/>
      </c>
      <c r="F7213">
        <f>IF(B7213="","",IFERROR(RIGHT(B7213,LEN(B7213)-FIND("@",B7213)),""))</f>
        <v/>
      </c>
      <c r="G7213">
        <f>IF(D7213="KEEP",COUNTIF($D$2:D7213,"KEEP"),"")</f>
        <v/>
      </c>
      <c r="H7213">
        <f>IF(D7213="REMOVE",COUNTIF($D$2:D7213,"REMOVE"),"")</f>
        <v/>
      </c>
      <c r="I7213">
        <f>IF(E7213="Gmail",COUNTIF($E$2:E7213,"Gmail"),"")</f>
        <v/>
      </c>
      <c r="J7213">
        <f>IF(E7213="Outlook",COUNTIF($E$2:E7213,"Outlook"),"")</f>
        <v/>
      </c>
      <c r="K7213">
        <f>IF(E7213="Domain",COUNTIF($E$2:E7213,"Domain"),"")</f>
        <v/>
      </c>
    </row>
    <row r="7214">
      <c r="A7214" s="2" t="n"/>
      <c r="B7214">
        <f>LOWER(TRIM(A7214))</f>
        <v/>
      </c>
      <c r="C7214">
        <f>IF(B7214="","",IFERROR(INDEX('Bad Patterns'!$A$2:$A$120,MATCH(1,INDEX(--ISNUMBER(SEARCH('Bad Patterns'!$A$2:$A$120,B7214)),0),0)),""))</f>
        <v/>
      </c>
      <c r="D7214">
        <f>IF(B7214="","",IF(C7214&lt;&gt;"","REMOVE","KEEP"))</f>
        <v/>
      </c>
      <c r="E7214">
        <f>IF(D7214&lt;&gt;"KEEP","",IF(RIGHT(B7214,10)="@gmail.com","Gmail",IF(OR(RIGHT(B7214,12)="@outlook.com",RIGHT(B7214,12)="@hotmail.com",RIGHT(B7214,9)="@live.com"),"Outlook","Domain")))</f>
        <v/>
      </c>
      <c r="F7214">
        <f>IF(B7214="","",IFERROR(RIGHT(B7214,LEN(B7214)-FIND("@",B7214)),""))</f>
        <v/>
      </c>
      <c r="G7214">
        <f>IF(D7214="KEEP",COUNTIF($D$2:D7214,"KEEP"),"")</f>
        <v/>
      </c>
      <c r="H7214">
        <f>IF(D7214="REMOVE",COUNTIF($D$2:D7214,"REMOVE"),"")</f>
        <v/>
      </c>
      <c r="I7214">
        <f>IF(E7214="Gmail",COUNTIF($E$2:E7214,"Gmail"),"")</f>
        <v/>
      </c>
      <c r="J7214">
        <f>IF(E7214="Outlook",COUNTIF($E$2:E7214,"Outlook"),"")</f>
        <v/>
      </c>
      <c r="K7214">
        <f>IF(E7214="Domain",COUNTIF($E$2:E7214,"Domain"),"")</f>
        <v/>
      </c>
    </row>
    <row r="7215">
      <c r="A7215" s="2" t="n"/>
      <c r="B7215">
        <f>LOWER(TRIM(A7215))</f>
        <v/>
      </c>
      <c r="C7215">
        <f>IF(B7215="","",IFERROR(INDEX('Bad Patterns'!$A$2:$A$120,MATCH(1,INDEX(--ISNUMBER(SEARCH('Bad Patterns'!$A$2:$A$120,B7215)),0),0)),""))</f>
        <v/>
      </c>
      <c r="D7215">
        <f>IF(B7215="","",IF(C7215&lt;&gt;"","REMOVE","KEEP"))</f>
        <v/>
      </c>
      <c r="E7215">
        <f>IF(D7215&lt;&gt;"KEEP","",IF(RIGHT(B7215,10)="@gmail.com","Gmail",IF(OR(RIGHT(B7215,12)="@outlook.com",RIGHT(B7215,12)="@hotmail.com",RIGHT(B7215,9)="@live.com"),"Outlook","Domain")))</f>
        <v/>
      </c>
      <c r="F7215">
        <f>IF(B7215="","",IFERROR(RIGHT(B7215,LEN(B7215)-FIND("@",B7215)),""))</f>
        <v/>
      </c>
      <c r="G7215">
        <f>IF(D7215="KEEP",COUNTIF($D$2:D7215,"KEEP"),"")</f>
        <v/>
      </c>
      <c r="H7215">
        <f>IF(D7215="REMOVE",COUNTIF($D$2:D7215,"REMOVE"),"")</f>
        <v/>
      </c>
      <c r="I7215">
        <f>IF(E7215="Gmail",COUNTIF($E$2:E7215,"Gmail"),"")</f>
        <v/>
      </c>
      <c r="J7215">
        <f>IF(E7215="Outlook",COUNTIF($E$2:E7215,"Outlook"),"")</f>
        <v/>
      </c>
      <c r="K7215">
        <f>IF(E7215="Domain",COUNTIF($E$2:E7215,"Domain"),"")</f>
        <v/>
      </c>
    </row>
    <row r="7216">
      <c r="A7216" s="2" t="n"/>
      <c r="B7216">
        <f>LOWER(TRIM(A7216))</f>
        <v/>
      </c>
      <c r="C7216">
        <f>IF(B7216="","",IFERROR(INDEX('Bad Patterns'!$A$2:$A$120,MATCH(1,INDEX(--ISNUMBER(SEARCH('Bad Patterns'!$A$2:$A$120,B7216)),0),0)),""))</f>
        <v/>
      </c>
      <c r="D7216">
        <f>IF(B7216="","",IF(C7216&lt;&gt;"","REMOVE","KEEP"))</f>
        <v/>
      </c>
      <c r="E7216">
        <f>IF(D7216&lt;&gt;"KEEP","",IF(RIGHT(B7216,10)="@gmail.com","Gmail",IF(OR(RIGHT(B7216,12)="@outlook.com",RIGHT(B7216,12)="@hotmail.com",RIGHT(B7216,9)="@live.com"),"Outlook","Domain")))</f>
        <v/>
      </c>
      <c r="F7216">
        <f>IF(B7216="","",IFERROR(RIGHT(B7216,LEN(B7216)-FIND("@",B7216)),""))</f>
        <v/>
      </c>
      <c r="G7216">
        <f>IF(D7216="KEEP",COUNTIF($D$2:D7216,"KEEP"),"")</f>
        <v/>
      </c>
      <c r="H7216">
        <f>IF(D7216="REMOVE",COUNTIF($D$2:D7216,"REMOVE"),"")</f>
        <v/>
      </c>
      <c r="I7216">
        <f>IF(E7216="Gmail",COUNTIF($E$2:E7216,"Gmail"),"")</f>
        <v/>
      </c>
      <c r="J7216">
        <f>IF(E7216="Outlook",COUNTIF($E$2:E7216,"Outlook"),"")</f>
        <v/>
      </c>
      <c r="K7216">
        <f>IF(E7216="Domain",COUNTIF($E$2:E7216,"Domain"),"")</f>
        <v/>
      </c>
    </row>
    <row r="7217">
      <c r="A7217" s="2" t="n"/>
      <c r="B7217">
        <f>LOWER(TRIM(A7217))</f>
        <v/>
      </c>
      <c r="C7217">
        <f>IF(B7217="","",IFERROR(INDEX('Bad Patterns'!$A$2:$A$120,MATCH(1,INDEX(--ISNUMBER(SEARCH('Bad Patterns'!$A$2:$A$120,B7217)),0),0)),""))</f>
        <v/>
      </c>
      <c r="D7217">
        <f>IF(B7217="","",IF(C7217&lt;&gt;"","REMOVE","KEEP"))</f>
        <v/>
      </c>
      <c r="E7217">
        <f>IF(D7217&lt;&gt;"KEEP","",IF(RIGHT(B7217,10)="@gmail.com","Gmail",IF(OR(RIGHT(B7217,12)="@outlook.com",RIGHT(B7217,12)="@hotmail.com",RIGHT(B7217,9)="@live.com"),"Outlook","Domain")))</f>
        <v/>
      </c>
      <c r="F7217">
        <f>IF(B7217="","",IFERROR(RIGHT(B7217,LEN(B7217)-FIND("@",B7217)),""))</f>
        <v/>
      </c>
      <c r="G7217">
        <f>IF(D7217="KEEP",COUNTIF($D$2:D7217,"KEEP"),"")</f>
        <v/>
      </c>
      <c r="H7217">
        <f>IF(D7217="REMOVE",COUNTIF($D$2:D7217,"REMOVE"),"")</f>
        <v/>
      </c>
      <c r="I7217">
        <f>IF(E7217="Gmail",COUNTIF($E$2:E7217,"Gmail"),"")</f>
        <v/>
      </c>
      <c r="J7217">
        <f>IF(E7217="Outlook",COUNTIF($E$2:E7217,"Outlook"),"")</f>
        <v/>
      </c>
      <c r="K7217">
        <f>IF(E7217="Domain",COUNTIF($E$2:E7217,"Domain"),"")</f>
        <v/>
      </c>
    </row>
    <row r="7218">
      <c r="A7218" s="2" t="n"/>
      <c r="B7218">
        <f>LOWER(TRIM(A7218))</f>
        <v/>
      </c>
      <c r="C7218">
        <f>IF(B7218="","",IFERROR(INDEX('Bad Patterns'!$A$2:$A$120,MATCH(1,INDEX(--ISNUMBER(SEARCH('Bad Patterns'!$A$2:$A$120,B7218)),0),0)),""))</f>
        <v/>
      </c>
      <c r="D7218">
        <f>IF(B7218="","",IF(C7218&lt;&gt;"","REMOVE","KEEP"))</f>
        <v/>
      </c>
      <c r="E7218">
        <f>IF(D7218&lt;&gt;"KEEP","",IF(RIGHT(B7218,10)="@gmail.com","Gmail",IF(OR(RIGHT(B7218,12)="@outlook.com",RIGHT(B7218,12)="@hotmail.com",RIGHT(B7218,9)="@live.com"),"Outlook","Domain")))</f>
        <v/>
      </c>
      <c r="F7218">
        <f>IF(B7218="","",IFERROR(RIGHT(B7218,LEN(B7218)-FIND("@",B7218)),""))</f>
        <v/>
      </c>
      <c r="G7218">
        <f>IF(D7218="KEEP",COUNTIF($D$2:D7218,"KEEP"),"")</f>
        <v/>
      </c>
      <c r="H7218">
        <f>IF(D7218="REMOVE",COUNTIF($D$2:D7218,"REMOVE"),"")</f>
        <v/>
      </c>
      <c r="I7218">
        <f>IF(E7218="Gmail",COUNTIF($E$2:E7218,"Gmail"),"")</f>
        <v/>
      </c>
      <c r="J7218">
        <f>IF(E7218="Outlook",COUNTIF($E$2:E7218,"Outlook"),"")</f>
        <v/>
      </c>
      <c r="K7218">
        <f>IF(E7218="Domain",COUNTIF($E$2:E7218,"Domain"),"")</f>
        <v/>
      </c>
    </row>
    <row r="7219">
      <c r="A7219" s="2" t="n"/>
      <c r="B7219">
        <f>LOWER(TRIM(A7219))</f>
        <v/>
      </c>
      <c r="C7219">
        <f>IF(B7219="","",IFERROR(INDEX('Bad Patterns'!$A$2:$A$120,MATCH(1,INDEX(--ISNUMBER(SEARCH('Bad Patterns'!$A$2:$A$120,B7219)),0),0)),""))</f>
        <v/>
      </c>
      <c r="D7219">
        <f>IF(B7219="","",IF(C7219&lt;&gt;"","REMOVE","KEEP"))</f>
        <v/>
      </c>
      <c r="E7219">
        <f>IF(D7219&lt;&gt;"KEEP","",IF(RIGHT(B7219,10)="@gmail.com","Gmail",IF(OR(RIGHT(B7219,12)="@outlook.com",RIGHT(B7219,12)="@hotmail.com",RIGHT(B7219,9)="@live.com"),"Outlook","Domain")))</f>
        <v/>
      </c>
      <c r="F7219">
        <f>IF(B7219="","",IFERROR(RIGHT(B7219,LEN(B7219)-FIND("@",B7219)),""))</f>
        <v/>
      </c>
      <c r="G7219">
        <f>IF(D7219="KEEP",COUNTIF($D$2:D7219,"KEEP"),"")</f>
        <v/>
      </c>
      <c r="H7219">
        <f>IF(D7219="REMOVE",COUNTIF($D$2:D7219,"REMOVE"),"")</f>
        <v/>
      </c>
      <c r="I7219">
        <f>IF(E7219="Gmail",COUNTIF($E$2:E7219,"Gmail"),"")</f>
        <v/>
      </c>
      <c r="J7219">
        <f>IF(E7219="Outlook",COUNTIF($E$2:E7219,"Outlook"),"")</f>
        <v/>
      </c>
      <c r="K7219">
        <f>IF(E7219="Domain",COUNTIF($E$2:E7219,"Domain"),"")</f>
        <v/>
      </c>
    </row>
    <row r="7220">
      <c r="A7220" s="2" t="n"/>
      <c r="B7220">
        <f>LOWER(TRIM(A7220))</f>
        <v/>
      </c>
      <c r="C7220">
        <f>IF(B7220="","",IFERROR(INDEX('Bad Patterns'!$A$2:$A$120,MATCH(1,INDEX(--ISNUMBER(SEARCH('Bad Patterns'!$A$2:$A$120,B7220)),0),0)),""))</f>
        <v/>
      </c>
      <c r="D7220">
        <f>IF(B7220="","",IF(C7220&lt;&gt;"","REMOVE","KEEP"))</f>
        <v/>
      </c>
      <c r="E7220">
        <f>IF(D7220&lt;&gt;"KEEP","",IF(RIGHT(B7220,10)="@gmail.com","Gmail",IF(OR(RIGHT(B7220,12)="@outlook.com",RIGHT(B7220,12)="@hotmail.com",RIGHT(B7220,9)="@live.com"),"Outlook","Domain")))</f>
        <v/>
      </c>
      <c r="F7220">
        <f>IF(B7220="","",IFERROR(RIGHT(B7220,LEN(B7220)-FIND("@",B7220)),""))</f>
        <v/>
      </c>
      <c r="G7220">
        <f>IF(D7220="KEEP",COUNTIF($D$2:D7220,"KEEP"),"")</f>
        <v/>
      </c>
      <c r="H7220">
        <f>IF(D7220="REMOVE",COUNTIF($D$2:D7220,"REMOVE"),"")</f>
        <v/>
      </c>
      <c r="I7220">
        <f>IF(E7220="Gmail",COUNTIF($E$2:E7220,"Gmail"),"")</f>
        <v/>
      </c>
      <c r="J7220">
        <f>IF(E7220="Outlook",COUNTIF($E$2:E7220,"Outlook"),"")</f>
        <v/>
      </c>
      <c r="K7220">
        <f>IF(E7220="Domain",COUNTIF($E$2:E7220,"Domain"),"")</f>
        <v/>
      </c>
    </row>
    <row r="7221">
      <c r="A7221" s="2" t="n"/>
      <c r="B7221">
        <f>LOWER(TRIM(A7221))</f>
        <v/>
      </c>
      <c r="C7221">
        <f>IF(B7221="","",IFERROR(INDEX('Bad Patterns'!$A$2:$A$120,MATCH(1,INDEX(--ISNUMBER(SEARCH('Bad Patterns'!$A$2:$A$120,B7221)),0),0)),""))</f>
        <v/>
      </c>
      <c r="D7221">
        <f>IF(B7221="","",IF(C7221&lt;&gt;"","REMOVE","KEEP"))</f>
        <v/>
      </c>
      <c r="E7221">
        <f>IF(D7221&lt;&gt;"KEEP","",IF(RIGHT(B7221,10)="@gmail.com","Gmail",IF(OR(RIGHT(B7221,12)="@outlook.com",RIGHT(B7221,12)="@hotmail.com",RIGHT(B7221,9)="@live.com"),"Outlook","Domain")))</f>
        <v/>
      </c>
      <c r="F7221">
        <f>IF(B7221="","",IFERROR(RIGHT(B7221,LEN(B7221)-FIND("@",B7221)),""))</f>
        <v/>
      </c>
      <c r="G7221">
        <f>IF(D7221="KEEP",COUNTIF($D$2:D7221,"KEEP"),"")</f>
        <v/>
      </c>
      <c r="H7221">
        <f>IF(D7221="REMOVE",COUNTIF($D$2:D7221,"REMOVE"),"")</f>
        <v/>
      </c>
      <c r="I7221">
        <f>IF(E7221="Gmail",COUNTIF($E$2:E7221,"Gmail"),"")</f>
        <v/>
      </c>
      <c r="J7221">
        <f>IF(E7221="Outlook",COUNTIF($E$2:E7221,"Outlook"),"")</f>
        <v/>
      </c>
      <c r="K7221">
        <f>IF(E7221="Domain",COUNTIF($E$2:E7221,"Domain"),"")</f>
        <v/>
      </c>
    </row>
    <row r="7222">
      <c r="A7222" s="2" t="n"/>
      <c r="B7222">
        <f>LOWER(TRIM(A7222))</f>
        <v/>
      </c>
      <c r="C7222">
        <f>IF(B7222="","",IFERROR(INDEX('Bad Patterns'!$A$2:$A$120,MATCH(1,INDEX(--ISNUMBER(SEARCH('Bad Patterns'!$A$2:$A$120,B7222)),0),0)),""))</f>
        <v/>
      </c>
      <c r="D7222">
        <f>IF(B7222="","",IF(C7222&lt;&gt;"","REMOVE","KEEP"))</f>
        <v/>
      </c>
      <c r="E7222">
        <f>IF(D7222&lt;&gt;"KEEP","",IF(RIGHT(B7222,10)="@gmail.com","Gmail",IF(OR(RIGHT(B7222,12)="@outlook.com",RIGHT(B7222,12)="@hotmail.com",RIGHT(B7222,9)="@live.com"),"Outlook","Domain")))</f>
        <v/>
      </c>
      <c r="F7222">
        <f>IF(B7222="","",IFERROR(RIGHT(B7222,LEN(B7222)-FIND("@",B7222)),""))</f>
        <v/>
      </c>
      <c r="G7222">
        <f>IF(D7222="KEEP",COUNTIF($D$2:D7222,"KEEP"),"")</f>
        <v/>
      </c>
      <c r="H7222">
        <f>IF(D7222="REMOVE",COUNTIF($D$2:D7222,"REMOVE"),"")</f>
        <v/>
      </c>
      <c r="I7222">
        <f>IF(E7222="Gmail",COUNTIF($E$2:E7222,"Gmail"),"")</f>
        <v/>
      </c>
      <c r="J7222">
        <f>IF(E7222="Outlook",COUNTIF($E$2:E7222,"Outlook"),"")</f>
        <v/>
      </c>
      <c r="K7222">
        <f>IF(E7222="Domain",COUNTIF($E$2:E7222,"Domain"),"")</f>
        <v/>
      </c>
    </row>
    <row r="7223">
      <c r="A7223" s="2" t="n"/>
      <c r="B7223">
        <f>LOWER(TRIM(A7223))</f>
        <v/>
      </c>
      <c r="C7223">
        <f>IF(B7223="","",IFERROR(INDEX('Bad Patterns'!$A$2:$A$120,MATCH(1,INDEX(--ISNUMBER(SEARCH('Bad Patterns'!$A$2:$A$120,B7223)),0),0)),""))</f>
        <v/>
      </c>
      <c r="D7223">
        <f>IF(B7223="","",IF(C7223&lt;&gt;"","REMOVE","KEEP"))</f>
        <v/>
      </c>
      <c r="E7223">
        <f>IF(D7223&lt;&gt;"KEEP","",IF(RIGHT(B7223,10)="@gmail.com","Gmail",IF(OR(RIGHT(B7223,12)="@outlook.com",RIGHT(B7223,12)="@hotmail.com",RIGHT(B7223,9)="@live.com"),"Outlook","Domain")))</f>
        <v/>
      </c>
      <c r="F7223">
        <f>IF(B7223="","",IFERROR(RIGHT(B7223,LEN(B7223)-FIND("@",B7223)),""))</f>
        <v/>
      </c>
      <c r="G7223">
        <f>IF(D7223="KEEP",COUNTIF($D$2:D7223,"KEEP"),"")</f>
        <v/>
      </c>
      <c r="H7223">
        <f>IF(D7223="REMOVE",COUNTIF($D$2:D7223,"REMOVE"),"")</f>
        <v/>
      </c>
      <c r="I7223">
        <f>IF(E7223="Gmail",COUNTIF($E$2:E7223,"Gmail"),"")</f>
        <v/>
      </c>
      <c r="J7223">
        <f>IF(E7223="Outlook",COUNTIF($E$2:E7223,"Outlook"),"")</f>
        <v/>
      </c>
      <c r="K7223">
        <f>IF(E7223="Domain",COUNTIF($E$2:E7223,"Domain"),"")</f>
        <v/>
      </c>
    </row>
    <row r="7224">
      <c r="A7224" s="2" t="n"/>
      <c r="B7224">
        <f>LOWER(TRIM(A7224))</f>
        <v/>
      </c>
      <c r="C7224">
        <f>IF(B7224="","",IFERROR(INDEX('Bad Patterns'!$A$2:$A$120,MATCH(1,INDEX(--ISNUMBER(SEARCH('Bad Patterns'!$A$2:$A$120,B7224)),0),0)),""))</f>
        <v/>
      </c>
      <c r="D7224">
        <f>IF(B7224="","",IF(C7224&lt;&gt;"","REMOVE","KEEP"))</f>
        <v/>
      </c>
      <c r="E7224">
        <f>IF(D7224&lt;&gt;"KEEP","",IF(RIGHT(B7224,10)="@gmail.com","Gmail",IF(OR(RIGHT(B7224,12)="@outlook.com",RIGHT(B7224,12)="@hotmail.com",RIGHT(B7224,9)="@live.com"),"Outlook","Domain")))</f>
        <v/>
      </c>
      <c r="F7224">
        <f>IF(B7224="","",IFERROR(RIGHT(B7224,LEN(B7224)-FIND("@",B7224)),""))</f>
        <v/>
      </c>
      <c r="G7224">
        <f>IF(D7224="KEEP",COUNTIF($D$2:D7224,"KEEP"),"")</f>
        <v/>
      </c>
      <c r="H7224">
        <f>IF(D7224="REMOVE",COUNTIF($D$2:D7224,"REMOVE"),"")</f>
        <v/>
      </c>
      <c r="I7224">
        <f>IF(E7224="Gmail",COUNTIF($E$2:E7224,"Gmail"),"")</f>
        <v/>
      </c>
      <c r="J7224">
        <f>IF(E7224="Outlook",COUNTIF($E$2:E7224,"Outlook"),"")</f>
        <v/>
      </c>
      <c r="K7224">
        <f>IF(E7224="Domain",COUNTIF($E$2:E7224,"Domain"),"")</f>
        <v/>
      </c>
    </row>
    <row r="7225">
      <c r="A7225" s="2" t="n"/>
      <c r="B7225">
        <f>LOWER(TRIM(A7225))</f>
        <v/>
      </c>
      <c r="C7225">
        <f>IF(B7225="","",IFERROR(INDEX('Bad Patterns'!$A$2:$A$120,MATCH(1,INDEX(--ISNUMBER(SEARCH('Bad Patterns'!$A$2:$A$120,B7225)),0),0)),""))</f>
        <v/>
      </c>
      <c r="D7225">
        <f>IF(B7225="","",IF(C7225&lt;&gt;"","REMOVE","KEEP"))</f>
        <v/>
      </c>
      <c r="E7225">
        <f>IF(D7225&lt;&gt;"KEEP","",IF(RIGHT(B7225,10)="@gmail.com","Gmail",IF(OR(RIGHT(B7225,12)="@outlook.com",RIGHT(B7225,12)="@hotmail.com",RIGHT(B7225,9)="@live.com"),"Outlook","Domain")))</f>
        <v/>
      </c>
      <c r="F7225">
        <f>IF(B7225="","",IFERROR(RIGHT(B7225,LEN(B7225)-FIND("@",B7225)),""))</f>
        <v/>
      </c>
      <c r="G7225">
        <f>IF(D7225="KEEP",COUNTIF($D$2:D7225,"KEEP"),"")</f>
        <v/>
      </c>
      <c r="H7225">
        <f>IF(D7225="REMOVE",COUNTIF($D$2:D7225,"REMOVE"),"")</f>
        <v/>
      </c>
      <c r="I7225">
        <f>IF(E7225="Gmail",COUNTIF($E$2:E7225,"Gmail"),"")</f>
        <v/>
      </c>
      <c r="J7225">
        <f>IF(E7225="Outlook",COUNTIF($E$2:E7225,"Outlook"),"")</f>
        <v/>
      </c>
      <c r="K7225">
        <f>IF(E7225="Domain",COUNTIF($E$2:E7225,"Domain"),"")</f>
        <v/>
      </c>
    </row>
    <row r="7226">
      <c r="A7226" s="2" t="n"/>
      <c r="B7226">
        <f>LOWER(TRIM(A7226))</f>
        <v/>
      </c>
      <c r="C7226">
        <f>IF(B7226="","",IFERROR(INDEX('Bad Patterns'!$A$2:$A$120,MATCH(1,INDEX(--ISNUMBER(SEARCH('Bad Patterns'!$A$2:$A$120,B7226)),0),0)),""))</f>
        <v/>
      </c>
      <c r="D7226">
        <f>IF(B7226="","",IF(C7226&lt;&gt;"","REMOVE","KEEP"))</f>
        <v/>
      </c>
      <c r="E7226">
        <f>IF(D7226&lt;&gt;"KEEP","",IF(RIGHT(B7226,10)="@gmail.com","Gmail",IF(OR(RIGHT(B7226,12)="@outlook.com",RIGHT(B7226,12)="@hotmail.com",RIGHT(B7226,9)="@live.com"),"Outlook","Domain")))</f>
        <v/>
      </c>
      <c r="F7226">
        <f>IF(B7226="","",IFERROR(RIGHT(B7226,LEN(B7226)-FIND("@",B7226)),""))</f>
        <v/>
      </c>
      <c r="G7226">
        <f>IF(D7226="KEEP",COUNTIF($D$2:D7226,"KEEP"),"")</f>
        <v/>
      </c>
      <c r="H7226">
        <f>IF(D7226="REMOVE",COUNTIF($D$2:D7226,"REMOVE"),"")</f>
        <v/>
      </c>
      <c r="I7226">
        <f>IF(E7226="Gmail",COUNTIF($E$2:E7226,"Gmail"),"")</f>
        <v/>
      </c>
      <c r="J7226">
        <f>IF(E7226="Outlook",COUNTIF($E$2:E7226,"Outlook"),"")</f>
        <v/>
      </c>
      <c r="K7226">
        <f>IF(E7226="Domain",COUNTIF($E$2:E7226,"Domain"),"")</f>
        <v/>
      </c>
    </row>
    <row r="7227">
      <c r="A7227" s="2" t="n"/>
      <c r="B7227">
        <f>LOWER(TRIM(A7227))</f>
        <v/>
      </c>
      <c r="C7227">
        <f>IF(B7227="","",IFERROR(INDEX('Bad Patterns'!$A$2:$A$120,MATCH(1,INDEX(--ISNUMBER(SEARCH('Bad Patterns'!$A$2:$A$120,B7227)),0),0)),""))</f>
        <v/>
      </c>
      <c r="D7227">
        <f>IF(B7227="","",IF(C7227&lt;&gt;"","REMOVE","KEEP"))</f>
        <v/>
      </c>
      <c r="E7227">
        <f>IF(D7227&lt;&gt;"KEEP","",IF(RIGHT(B7227,10)="@gmail.com","Gmail",IF(OR(RIGHT(B7227,12)="@outlook.com",RIGHT(B7227,12)="@hotmail.com",RIGHT(B7227,9)="@live.com"),"Outlook","Domain")))</f>
        <v/>
      </c>
      <c r="F7227">
        <f>IF(B7227="","",IFERROR(RIGHT(B7227,LEN(B7227)-FIND("@",B7227)),""))</f>
        <v/>
      </c>
      <c r="G7227">
        <f>IF(D7227="KEEP",COUNTIF($D$2:D7227,"KEEP"),"")</f>
        <v/>
      </c>
      <c r="H7227">
        <f>IF(D7227="REMOVE",COUNTIF($D$2:D7227,"REMOVE"),"")</f>
        <v/>
      </c>
      <c r="I7227">
        <f>IF(E7227="Gmail",COUNTIF($E$2:E7227,"Gmail"),"")</f>
        <v/>
      </c>
      <c r="J7227">
        <f>IF(E7227="Outlook",COUNTIF($E$2:E7227,"Outlook"),"")</f>
        <v/>
      </c>
      <c r="K7227">
        <f>IF(E7227="Domain",COUNTIF($E$2:E7227,"Domain"),"")</f>
        <v/>
      </c>
    </row>
    <row r="7228">
      <c r="A7228" s="2" t="n"/>
      <c r="B7228">
        <f>LOWER(TRIM(A7228))</f>
        <v/>
      </c>
      <c r="C7228">
        <f>IF(B7228="","",IFERROR(INDEX('Bad Patterns'!$A$2:$A$120,MATCH(1,INDEX(--ISNUMBER(SEARCH('Bad Patterns'!$A$2:$A$120,B7228)),0),0)),""))</f>
        <v/>
      </c>
      <c r="D7228">
        <f>IF(B7228="","",IF(C7228&lt;&gt;"","REMOVE","KEEP"))</f>
        <v/>
      </c>
      <c r="E7228">
        <f>IF(D7228&lt;&gt;"KEEP","",IF(RIGHT(B7228,10)="@gmail.com","Gmail",IF(OR(RIGHT(B7228,12)="@outlook.com",RIGHT(B7228,12)="@hotmail.com",RIGHT(B7228,9)="@live.com"),"Outlook","Domain")))</f>
        <v/>
      </c>
      <c r="F7228">
        <f>IF(B7228="","",IFERROR(RIGHT(B7228,LEN(B7228)-FIND("@",B7228)),""))</f>
        <v/>
      </c>
      <c r="G7228">
        <f>IF(D7228="KEEP",COUNTIF($D$2:D7228,"KEEP"),"")</f>
        <v/>
      </c>
      <c r="H7228">
        <f>IF(D7228="REMOVE",COUNTIF($D$2:D7228,"REMOVE"),"")</f>
        <v/>
      </c>
      <c r="I7228">
        <f>IF(E7228="Gmail",COUNTIF($E$2:E7228,"Gmail"),"")</f>
        <v/>
      </c>
      <c r="J7228">
        <f>IF(E7228="Outlook",COUNTIF($E$2:E7228,"Outlook"),"")</f>
        <v/>
      </c>
      <c r="K7228">
        <f>IF(E7228="Domain",COUNTIF($E$2:E7228,"Domain"),"")</f>
        <v/>
      </c>
    </row>
    <row r="7229">
      <c r="A7229" s="2" t="n"/>
      <c r="B7229">
        <f>LOWER(TRIM(A7229))</f>
        <v/>
      </c>
      <c r="C7229">
        <f>IF(B7229="","",IFERROR(INDEX('Bad Patterns'!$A$2:$A$120,MATCH(1,INDEX(--ISNUMBER(SEARCH('Bad Patterns'!$A$2:$A$120,B7229)),0),0)),""))</f>
        <v/>
      </c>
      <c r="D7229">
        <f>IF(B7229="","",IF(C7229&lt;&gt;"","REMOVE","KEEP"))</f>
        <v/>
      </c>
      <c r="E7229">
        <f>IF(D7229&lt;&gt;"KEEP","",IF(RIGHT(B7229,10)="@gmail.com","Gmail",IF(OR(RIGHT(B7229,12)="@outlook.com",RIGHT(B7229,12)="@hotmail.com",RIGHT(B7229,9)="@live.com"),"Outlook","Domain")))</f>
        <v/>
      </c>
      <c r="F7229">
        <f>IF(B7229="","",IFERROR(RIGHT(B7229,LEN(B7229)-FIND("@",B7229)),""))</f>
        <v/>
      </c>
      <c r="G7229">
        <f>IF(D7229="KEEP",COUNTIF($D$2:D7229,"KEEP"),"")</f>
        <v/>
      </c>
      <c r="H7229">
        <f>IF(D7229="REMOVE",COUNTIF($D$2:D7229,"REMOVE"),"")</f>
        <v/>
      </c>
      <c r="I7229">
        <f>IF(E7229="Gmail",COUNTIF($E$2:E7229,"Gmail"),"")</f>
        <v/>
      </c>
      <c r="J7229">
        <f>IF(E7229="Outlook",COUNTIF($E$2:E7229,"Outlook"),"")</f>
        <v/>
      </c>
      <c r="K7229">
        <f>IF(E7229="Domain",COUNTIF($E$2:E7229,"Domain"),"")</f>
        <v/>
      </c>
    </row>
    <row r="7230">
      <c r="A7230" s="2" t="n"/>
      <c r="B7230">
        <f>LOWER(TRIM(A7230))</f>
        <v/>
      </c>
      <c r="C7230">
        <f>IF(B7230="","",IFERROR(INDEX('Bad Patterns'!$A$2:$A$120,MATCH(1,INDEX(--ISNUMBER(SEARCH('Bad Patterns'!$A$2:$A$120,B7230)),0),0)),""))</f>
        <v/>
      </c>
      <c r="D7230">
        <f>IF(B7230="","",IF(C7230&lt;&gt;"","REMOVE","KEEP"))</f>
        <v/>
      </c>
      <c r="E7230">
        <f>IF(D7230&lt;&gt;"KEEP","",IF(RIGHT(B7230,10)="@gmail.com","Gmail",IF(OR(RIGHT(B7230,12)="@outlook.com",RIGHT(B7230,12)="@hotmail.com",RIGHT(B7230,9)="@live.com"),"Outlook","Domain")))</f>
        <v/>
      </c>
      <c r="F7230">
        <f>IF(B7230="","",IFERROR(RIGHT(B7230,LEN(B7230)-FIND("@",B7230)),""))</f>
        <v/>
      </c>
      <c r="G7230">
        <f>IF(D7230="KEEP",COUNTIF($D$2:D7230,"KEEP"),"")</f>
        <v/>
      </c>
      <c r="H7230">
        <f>IF(D7230="REMOVE",COUNTIF($D$2:D7230,"REMOVE"),"")</f>
        <v/>
      </c>
      <c r="I7230">
        <f>IF(E7230="Gmail",COUNTIF($E$2:E7230,"Gmail"),"")</f>
        <v/>
      </c>
      <c r="J7230">
        <f>IF(E7230="Outlook",COUNTIF($E$2:E7230,"Outlook"),"")</f>
        <v/>
      </c>
      <c r="K7230">
        <f>IF(E7230="Domain",COUNTIF($E$2:E7230,"Domain"),"")</f>
        <v/>
      </c>
    </row>
    <row r="7231">
      <c r="A7231" s="2" t="n"/>
      <c r="B7231">
        <f>LOWER(TRIM(A7231))</f>
        <v/>
      </c>
      <c r="C7231">
        <f>IF(B7231="","",IFERROR(INDEX('Bad Patterns'!$A$2:$A$120,MATCH(1,INDEX(--ISNUMBER(SEARCH('Bad Patterns'!$A$2:$A$120,B7231)),0),0)),""))</f>
        <v/>
      </c>
      <c r="D7231">
        <f>IF(B7231="","",IF(C7231&lt;&gt;"","REMOVE","KEEP"))</f>
        <v/>
      </c>
      <c r="E7231">
        <f>IF(D7231&lt;&gt;"KEEP","",IF(RIGHT(B7231,10)="@gmail.com","Gmail",IF(OR(RIGHT(B7231,12)="@outlook.com",RIGHT(B7231,12)="@hotmail.com",RIGHT(B7231,9)="@live.com"),"Outlook","Domain")))</f>
        <v/>
      </c>
      <c r="F7231">
        <f>IF(B7231="","",IFERROR(RIGHT(B7231,LEN(B7231)-FIND("@",B7231)),""))</f>
        <v/>
      </c>
      <c r="G7231">
        <f>IF(D7231="KEEP",COUNTIF($D$2:D7231,"KEEP"),"")</f>
        <v/>
      </c>
      <c r="H7231">
        <f>IF(D7231="REMOVE",COUNTIF($D$2:D7231,"REMOVE"),"")</f>
        <v/>
      </c>
      <c r="I7231">
        <f>IF(E7231="Gmail",COUNTIF($E$2:E7231,"Gmail"),"")</f>
        <v/>
      </c>
      <c r="J7231">
        <f>IF(E7231="Outlook",COUNTIF($E$2:E7231,"Outlook"),"")</f>
        <v/>
      </c>
      <c r="K7231">
        <f>IF(E7231="Domain",COUNTIF($E$2:E7231,"Domain"),"")</f>
        <v/>
      </c>
    </row>
    <row r="7232">
      <c r="A7232" s="2" t="n"/>
      <c r="B7232">
        <f>LOWER(TRIM(A7232))</f>
        <v/>
      </c>
      <c r="C7232">
        <f>IF(B7232="","",IFERROR(INDEX('Bad Patterns'!$A$2:$A$120,MATCH(1,INDEX(--ISNUMBER(SEARCH('Bad Patterns'!$A$2:$A$120,B7232)),0),0)),""))</f>
        <v/>
      </c>
      <c r="D7232">
        <f>IF(B7232="","",IF(C7232&lt;&gt;"","REMOVE","KEEP"))</f>
        <v/>
      </c>
      <c r="E7232">
        <f>IF(D7232&lt;&gt;"KEEP","",IF(RIGHT(B7232,10)="@gmail.com","Gmail",IF(OR(RIGHT(B7232,12)="@outlook.com",RIGHT(B7232,12)="@hotmail.com",RIGHT(B7232,9)="@live.com"),"Outlook","Domain")))</f>
        <v/>
      </c>
      <c r="F7232">
        <f>IF(B7232="","",IFERROR(RIGHT(B7232,LEN(B7232)-FIND("@",B7232)),""))</f>
        <v/>
      </c>
      <c r="G7232">
        <f>IF(D7232="KEEP",COUNTIF($D$2:D7232,"KEEP"),"")</f>
        <v/>
      </c>
      <c r="H7232">
        <f>IF(D7232="REMOVE",COUNTIF($D$2:D7232,"REMOVE"),"")</f>
        <v/>
      </c>
      <c r="I7232">
        <f>IF(E7232="Gmail",COUNTIF($E$2:E7232,"Gmail"),"")</f>
        <v/>
      </c>
      <c r="J7232">
        <f>IF(E7232="Outlook",COUNTIF($E$2:E7232,"Outlook"),"")</f>
        <v/>
      </c>
      <c r="K7232">
        <f>IF(E7232="Domain",COUNTIF($E$2:E7232,"Domain"),"")</f>
        <v/>
      </c>
    </row>
    <row r="7233">
      <c r="A7233" s="2" t="n"/>
      <c r="B7233">
        <f>LOWER(TRIM(A7233))</f>
        <v/>
      </c>
      <c r="C7233">
        <f>IF(B7233="","",IFERROR(INDEX('Bad Patterns'!$A$2:$A$120,MATCH(1,INDEX(--ISNUMBER(SEARCH('Bad Patterns'!$A$2:$A$120,B7233)),0),0)),""))</f>
        <v/>
      </c>
      <c r="D7233">
        <f>IF(B7233="","",IF(C7233&lt;&gt;"","REMOVE","KEEP"))</f>
        <v/>
      </c>
      <c r="E7233">
        <f>IF(D7233&lt;&gt;"KEEP","",IF(RIGHT(B7233,10)="@gmail.com","Gmail",IF(OR(RIGHT(B7233,12)="@outlook.com",RIGHT(B7233,12)="@hotmail.com",RIGHT(B7233,9)="@live.com"),"Outlook","Domain")))</f>
        <v/>
      </c>
      <c r="F7233">
        <f>IF(B7233="","",IFERROR(RIGHT(B7233,LEN(B7233)-FIND("@",B7233)),""))</f>
        <v/>
      </c>
      <c r="G7233">
        <f>IF(D7233="KEEP",COUNTIF($D$2:D7233,"KEEP"),"")</f>
        <v/>
      </c>
      <c r="H7233">
        <f>IF(D7233="REMOVE",COUNTIF($D$2:D7233,"REMOVE"),"")</f>
        <v/>
      </c>
      <c r="I7233">
        <f>IF(E7233="Gmail",COUNTIF($E$2:E7233,"Gmail"),"")</f>
        <v/>
      </c>
      <c r="J7233">
        <f>IF(E7233="Outlook",COUNTIF($E$2:E7233,"Outlook"),"")</f>
        <v/>
      </c>
      <c r="K7233">
        <f>IF(E7233="Domain",COUNTIF($E$2:E7233,"Domain"),"")</f>
        <v/>
      </c>
    </row>
    <row r="7234">
      <c r="A7234" s="2" t="n"/>
      <c r="B7234">
        <f>LOWER(TRIM(A7234))</f>
        <v/>
      </c>
      <c r="C7234">
        <f>IF(B7234="","",IFERROR(INDEX('Bad Patterns'!$A$2:$A$120,MATCH(1,INDEX(--ISNUMBER(SEARCH('Bad Patterns'!$A$2:$A$120,B7234)),0),0)),""))</f>
        <v/>
      </c>
      <c r="D7234">
        <f>IF(B7234="","",IF(C7234&lt;&gt;"","REMOVE","KEEP"))</f>
        <v/>
      </c>
      <c r="E7234">
        <f>IF(D7234&lt;&gt;"KEEP","",IF(RIGHT(B7234,10)="@gmail.com","Gmail",IF(OR(RIGHT(B7234,12)="@outlook.com",RIGHT(B7234,12)="@hotmail.com",RIGHT(B7234,9)="@live.com"),"Outlook","Domain")))</f>
        <v/>
      </c>
      <c r="F7234">
        <f>IF(B7234="","",IFERROR(RIGHT(B7234,LEN(B7234)-FIND("@",B7234)),""))</f>
        <v/>
      </c>
      <c r="G7234">
        <f>IF(D7234="KEEP",COUNTIF($D$2:D7234,"KEEP"),"")</f>
        <v/>
      </c>
      <c r="H7234">
        <f>IF(D7234="REMOVE",COUNTIF($D$2:D7234,"REMOVE"),"")</f>
        <v/>
      </c>
      <c r="I7234">
        <f>IF(E7234="Gmail",COUNTIF($E$2:E7234,"Gmail"),"")</f>
        <v/>
      </c>
      <c r="J7234">
        <f>IF(E7234="Outlook",COUNTIF($E$2:E7234,"Outlook"),"")</f>
        <v/>
      </c>
      <c r="K7234">
        <f>IF(E7234="Domain",COUNTIF($E$2:E7234,"Domain"),"")</f>
        <v/>
      </c>
    </row>
    <row r="7235">
      <c r="A7235" s="2" t="n"/>
      <c r="B7235">
        <f>LOWER(TRIM(A7235))</f>
        <v/>
      </c>
      <c r="C7235">
        <f>IF(B7235="","",IFERROR(INDEX('Bad Patterns'!$A$2:$A$120,MATCH(1,INDEX(--ISNUMBER(SEARCH('Bad Patterns'!$A$2:$A$120,B7235)),0),0)),""))</f>
        <v/>
      </c>
      <c r="D7235">
        <f>IF(B7235="","",IF(C7235&lt;&gt;"","REMOVE","KEEP"))</f>
        <v/>
      </c>
      <c r="E7235">
        <f>IF(D7235&lt;&gt;"KEEP","",IF(RIGHT(B7235,10)="@gmail.com","Gmail",IF(OR(RIGHT(B7235,12)="@outlook.com",RIGHT(B7235,12)="@hotmail.com",RIGHT(B7235,9)="@live.com"),"Outlook","Domain")))</f>
        <v/>
      </c>
      <c r="F7235">
        <f>IF(B7235="","",IFERROR(RIGHT(B7235,LEN(B7235)-FIND("@",B7235)),""))</f>
        <v/>
      </c>
      <c r="G7235">
        <f>IF(D7235="KEEP",COUNTIF($D$2:D7235,"KEEP"),"")</f>
        <v/>
      </c>
      <c r="H7235">
        <f>IF(D7235="REMOVE",COUNTIF($D$2:D7235,"REMOVE"),"")</f>
        <v/>
      </c>
      <c r="I7235">
        <f>IF(E7235="Gmail",COUNTIF($E$2:E7235,"Gmail"),"")</f>
        <v/>
      </c>
      <c r="J7235">
        <f>IF(E7235="Outlook",COUNTIF($E$2:E7235,"Outlook"),"")</f>
        <v/>
      </c>
      <c r="K7235">
        <f>IF(E7235="Domain",COUNTIF($E$2:E7235,"Domain"),"")</f>
        <v/>
      </c>
    </row>
    <row r="7236">
      <c r="A7236" s="2" t="n"/>
      <c r="B7236">
        <f>LOWER(TRIM(A7236))</f>
        <v/>
      </c>
      <c r="C7236">
        <f>IF(B7236="","",IFERROR(INDEX('Bad Patterns'!$A$2:$A$120,MATCH(1,INDEX(--ISNUMBER(SEARCH('Bad Patterns'!$A$2:$A$120,B7236)),0),0)),""))</f>
        <v/>
      </c>
      <c r="D7236">
        <f>IF(B7236="","",IF(C7236&lt;&gt;"","REMOVE","KEEP"))</f>
        <v/>
      </c>
      <c r="E7236">
        <f>IF(D7236&lt;&gt;"KEEP","",IF(RIGHT(B7236,10)="@gmail.com","Gmail",IF(OR(RIGHT(B7236,12)="@outlook.com",RIGHT(B7236,12)="@hotmail.com",RIGHT(B7236,9)="@live.com"),"Outlook","Domain")))</f>
        <v/>
      </c>
      <c r="F7236">
        <f>IF(B7236="","",IFERROR(RIGHT(B7236,LEN(B7236)-FIND("@",B7236)),""))</f>
        <v/>
      </c>
      <c r="G7236">
        <f>IF(D7236="KEEP",COUNTIF($D$2:D7236,"KEEP"),"")</f>
        <v/>
      </c>
      <c r="H7236">
        <f>IF(D7236="REMOVE",COUNTIF($D$2:D7236,"REMOVE"),"")</f>
        <v/>
      </c>
      <c r="I7236">
        <f>IF(E7236="Gmail",COUNTIF($E$2:E7236,"Gmail"),"")</f>
        <v/>
      </c>
      <c r="J7236">
        <f>IF(E7236="Outlook",COUNTIF($E$2:E7236,"Outlook"),"")</f>
        <v/>
      </c>
      <c r="K7236">
        <f>IF(E7236="Domain",COUNTIF($E$2:E7236,"Domain"),"")</f>
        <v/>
      </c>
    </row>
    <row r="7237">
      <c r="A7237" s="2" t="n"/>
      <c r="B7237">
        <f>LOWER(TRIM(A7237))</f>
        <v/>
      </c>
      <c r="C7237">
        <f>IF(B7237="","",IFERROR(INDEX('Bad Patterns'!$A$2:$A$120,MATCH(1,INDEX(--ISNUMBER(SEARCH('Bad Patterns'!$A$2:$A$120,B7237)),0),0)),""))</f>
        <v/>
      </c>
      <c r="D7237">
        <f>IF(B7237="","",IF(C7237&lt;&gt;"","REMOVE","KEEP"))</f>
        <v/>
      </c>
      <c r="E7237">
        <f>IF(D7237&lt;&gt;"KEEP","",IF(RIGHT(B7237,10)="@gmail.com","Gmail",IF(OR(RIGHT(B7237,12)="@outlook.com",RIGHT(B7237,12)="@hotmail.com",RIGHT(B7237,9)="@live.com"),"Outlook","Domain")))</f>
        <v/>
      </c>
      <c r="F7237">
        <f>IF(B7237="","",IFERROR(RIGHT(B7237,LEN(B7237)-FIND("@",B7237)),""))</f>
        <v/>
      </c>
      <c r="G7237">
        <f>IF(D7237="KEEP",COUNTIF($D$2:D7237,"KEEP"),"")</f>
        <v/>
      </c>
      <c r="H7237">
        <f>IF(D7237="REMOVE",COUNTIF($D$2:D7237,"REMOVE"),"")</f>
        <v/>
      </c>
      <c r="I7237">
        <f>IF(E7237="Gmail",COUNTIF($E$2:E7237,"Gmail"),"")</f>
        <v/>
      </c>
      <c r="J7237">
        <f>IF(E7237="Outlook",COUNTIF($E$2:E7237,"Outlook"),"")</f>
        <v/>
      </c>
      <c r="K7237">
        <f>IF(E7237="Domain",COUNTIF($E$2:E7237,"Domain"),"")</f>
        <v/>
      </c>
    </row>
    <row r="7238">
      <c r="A7238" s="2" t="n"/>
      <c r="B7238">
        <f>LOWER(TRIM(A7238))</f>
        <v/>
      </c>
      <c r="C7238">
        <f>IF(B7238="","",IFERROR(INDEX('Bad Patterns'!$A$2:$A$120,MATCH(1,INDEX(--ISNUMBER(SEARCH('Bad Patterns'!$A$2:$A$120,B7238)),0),0)),""))</f>
        <v/>
      </c>
      <c r="D7238">
        <f>IF(B7238="","",IF(C7238&lt;&gt;"","REMOVE","KEEP"))</f>
        <v/>
      </c>
      <c r="E7238">
        <f>IF(D7238&lt;&gt;"KEEP","",IF(RIGHT(B7238,10)="@gmail.com","Gmail",IF(OR(RIGHT(B7238,12)="@outlook.com",RIGHT(B7238,12)="@hotmail.com",RIGHT(B7238,9)="@live.com"),"Outlook","Domain")))</f>
        <v/>
      </c>
      <c r="F7238">
        <f>IF(B7238="","",IFERROR(RIGHT(B7238,LEN(B7238)-FIND("@",B7238)),""))</f>
        <v/>
      </c>
      <c r="G7238">
        <f>IF(D7238="KEEP",COUNTIF($D$2:D7238,"KEEP"),"")</f>
        <v/>
      </c>
      <c r="H7238">
        <f>IF(D7238="REMOVE",COUNTIF($D$2:D7238,"REMOVE"),"")</f>
        <v/>
      </c>
      <c r="I7238">
        <f>IF(E7238="Gmail",COUNTIF($E$2:E7238,"Gmail"),"")</f>
        <v/>
      </c>
      <c r="J7238">
        <f>IF(E7238="Outlook",COUNTIF($E$2:E7238,"Outlook"),"")</f>
        <v/>
      </c>
      <c r="K7238">
        <f>IF(E7238="Domain",COUNTIF($E$2:E7238,"Domain"),"")</f>
        <v/>
      </c>
    </row>
    <row r="7239">
      <c r="A7239" s="2" t="n"/>
      <c r="B7239">
        <f>LOWER(TRIM(A7239))</f>
        <v/>
      </c>
      <c r="C7239">
        <f>IF(B7239="","",IFERROR(INDEX('Bad Patterns'!$A$2:$A$120,MATCH(1,INDEX(--ISNUMBER(SEARCH('Bad Patterns'!$A$2:$A$120,B7239)),0),0)),""))</f>
        <v/>
      </c>
      <c r="D7239">
        <f>IF(B7239="","",IF(C7239&lt;&gt;"","REMOVE","KEEP"))</f>
        <v/>
      </c>
      <c r="E7239">
        <f>IF(D7239&lt;&gt;"KEEP","",IF(RIGHT(B7239,10)="@gmail.com","Gmail",IF(OR(RIGHT(B7239,12)="@outlook.com",RIGHT(B7239,12)="@hotmail.com",RIGHT(B7239,9)="@live.com"),"Outlook","Domain")))</f>
        <v/>
      </c>
      <c r="F7239">
        <f>IF(B7239="","",IFERROR(RIGHT(B7239,LEN(B7239)-FIND("@",B7239)),""))</f>
        <v/>
      </c>
      <c r="G7239">
        <f>IF(D7239="KEEP",COUNTIF($D$2:D7239,"KEEP"),"")</f>
        <v/>
      </c>
      <c r="H7239">
        <f>IF(D7239="REMOVE",COUNTIF($D$2:D7239,"REMOVE"),"")</f>
        <v/>
      </c>
      <c r="I7239">
        <f>IF(E7239="Gmail",COUNTIF($E$2:E7239,"Gmail"),"")</f>
        <v/>
      </c>
      <c r="J7239">
        <f>IF(E7239="Outlook",COUNTIF($E$2:E7239,"Outlook"),"")</f>
        <v/>
      </c>
      <c r="K7239">
        <f>IF(E7239="Domain",COUNTIF($E$2:E7239,"Domain"),"")</f>
        <v/>
      </c>
    </row>
    <row r="7240">
      <c r="A7240" s="2" t="n"/>
      <c r="B7240">
        <f>LOWER(TRIM(A7240))</f>
        <v/>
      </c>
      <c r="C7240">
        <f>IF(B7240="","",IFERROR(INDEX('Bad Patterns'!$A$2:$A$120,MATCH(1,INDEX(--ISNUMBER(SEARCH('Bad Patterns'!$A$2:$A$120,B7240)),0),0)),""))</f>
        <v/>
      </c>
      <c r="D7240">
        <f>IF(B7240="","",IF(C7240&lt;&gt;"","REMOVE","KEEP"))</f>
        <v/>
      </c>
      <c r="E7240">
        <f>IF(D7240&lt;&gt;"KEEP","",IF(RIGHT(B7240,10)="@gmail.com","Gmail",IF(OR(RIGHT(B7240,12)="@outlook.com",RIGHT(B7240,12)="@hotmail.com",RIGHT(B7240,9)="@live.com"),"Outlook","Domain")))</f>
        <v/>
      </c>
      <c r="F7240">
        <f>IF(B7240="","",IFERROR(RIGHT(B7240,LEN(B7240)-FIND("@",B7240)),""))</f>
        <v/>
      </c>
      <c r="G7240">
        <f>IF(D7240="KEEP",COUNTIF($D$2:D7240,"KEEP"),"")</f>
        <v/>
      </c>
      <c r="H7240">
        <f>IF(D7240="REMOVE",COUNTIF($D$2:D7240,"REMOVE"),"")</f>
        <v/>
      </c>
      <c r="I7240">
        <f>IF(E7240="Gmail",COUNTIF($E$2:E7240,"Gmail"),"")</f>
        <v/>
      </c>
      <c r="J7240">
        <f>IF(E7240="Outlook",COUNTIF($E$2:E7240,"Outlook"),"")</f>
        <v/>
      </c>
      <c r="K7240">
        <f>IF(E7240="Domain",COUNTIF($E$2:E7240,"Domain"),"")</f>
        <v/>
      </c>
    </row>
    <row r="7241">
      <c r="A7241" s="2" t="n"/>
      <c r="B7241">
        <f>LOWER(TRIM(A7241))</f>
        <v/>
      </c>
      <c r="C7241">
        <f>IF(B7241="","",IFERROR(INDEX('Bad Patterns'!$A$2:$A$120,MATCH(1,INDEX(--ISNUMBER(SEARCH('Bad Patterns'!$A$2:$A$120,B7241)),0),0)),""))</f>
        <v/>
      </c>
      <c r="D7241">
        <f>IF(B7241="","",IF(C7241&lt;&gt;"","REMOVE","KEEP"))</f>
        <v/>
      </c>
      <c r="E7241">
        <f>IF(D7241&lt;&gt;"KEEP","",IF(RIGHT(B7241,10)="@gmail.com","Gmail",IF(OR(RIGHT(B7241,12)="@outlook.com",RIGHT(B7241,12)="@hotmail.com",RIGHT(B7241,9)="@live.com"),"Outlook","Domain")))</f>
        <v/>
      </c>
      <c r="F7241">
        <f>IF(B7241="","",IFERROR(RIGHT(B7241,LEN(B7241)-FIND("@",B7241)),""))</f>
        <v/>
      </c>
      <c r="G7241">
        <f>IF(D7241="KEEP",COUNTIF($D$2:D7241,"KEEP"),"")</f>
        <v/>
      </c>
      <c r="H7241">
        <f>IF(D7241="REMOVE",COUNTIF($D$2:D7241,"REMOVE"),"")</f>
        <v/>
      </c>
      <c r="I7241">
        <f>IF(E7241="Gmail",COUNTIF($E$2:E7241,"Gmail"),"")</f>
        <v/>
      </c>
      <c r="J7241">
        <f>IF(E7241="Outlook",COUNTIF($E$2:E7241,"Outlook"),"")</f>
        <v/>
      </c>
      <c r="K7241">
        <f>IF(E7241="Domain",COUNTIF($E$2:E7241,"Domain"),"")</f>
        <v/>
      </c>
    </row>
    <row r="7242">
      <c r="A7242" s="2" t="n"/>
      <c r="B7242">
        <f>LOWER(TRIM(A7242))</f>
        <v/>
      </c>
      <c r="C7242">
        <f>IF(B7242="","",IFERROR(INDEX('Bad Patterns'!$A$2:$A$120,MATCH(1,INDEX(--ISNUMBER(SEARCH('Bad Patterns'!$A$2:$A$120,B7242)),0),0)),""))</f>
        <v/>
      </c>
      <c r="D7242">
        <f>IF(B7242="","",IF(C7242&lt;&gt;"","REMOVE","KEEP"))</f>
        <v/>
      </c>
      <c r="E7242">
        <f>IF(D7242&lt;&gt;"KEEP","",IF(RIGHT(B7242,10)="@gmail.com","Gmail",IF(OR(RIGHT(B7242,12)="@outlook.com",RIGHT(B7242,12)="@hotmail.com",RIGHT(B7242,9)="@live.com"),"Outlook","Domain")))</f>
        <v/>
      </c>
      <c r="F7242">
        <f>IF(B7242="","",IFERROR(RIGHT(B7242,LEN(B7242)-FIND("@",B7242)),""))</f>
        <v/>
      </c>
      <c r="G7242">
        <f>IF(D7242="KEEP",COUNTIF($D$2:D7242,"KEEP"),"")</f>
        <v/>
      </c>
      <c r="H7242">
        <f>IF(D7242="REMOVE",COUNTIF($D$2:D7242,"REMOVE"),"")</f>
        <v/>
      </c>
      <c r="I7242">
        <f>IF(E7242="Gmail",COUNTIF($E$2:E7242,"Gmail"),"")</f>
        <v/>
      </c>
      <c r="J7242">
        <f>IF(E7242="Outlook",COUNTIF($E$2:E7242,"Outlook"),"")</f>
        <v/>
      </c>
      <c r="K7242">
        <f>IF(E7242="Domain",COUNTIF($E$2:E7242,"Domain"),"")</f>
        <v/>
      </c>
    </row>
    <row r="7243">
      <c r="A7243" s="2" t="n"/>
      <c r="B7243">
        <f>LOWER(TRIM(A7243))</f>
        <v/>
      </c>
      <c r="C7243">
        <f>IF(B7243="","",IFERROR(INDEX('Bad Patterns'!$A$2:$A$120,MATCH(1,INDEX(--ISNUMBER(SEARCH('Bad Patterns'!$A$2:$A$120,B7243)),0),0)),""))</f>
        <v/>
      </c>
      <c r="D7243">
        <f>IF(B7243="","",IF(C7243&lt;&gt;"","REMOVE","KEEP"))</f>
        <v/>
      </c>
      <c r="E7243">
        <f>IF(D7243&lt;&gt;"KEEP","",IF(RIGHT(B7243,10)="@gmail.com","Gmail",IF(OR(RIGHT(B7243,12)="@outlook.com",RIGHT(B7243,12)="@hotmail.com",RIGHT(B7243,9)="@live.com"),"Outlook","Domain")))</f>
        <v/>
      </c>
      <c r="F7243">
        <f>IF(B7243="","",IFERROR(RIGHT(B7243,LEN(B7243)-FIND("@",B7243)),""))</f>
        <v/>
      </c>
      <c r="G7243">
        <f>IF(D7243="KEEP",COUNTIF($D$2:D7243,"KEEP"),"")</f>
        <v/>
      </c>
      <c r="H7243">
        <f>IF(D7243="REMOVE",COUNTIF($D$2:D7243,"REMOVE"),"")</f>
        <v/>
      </c>
      <c r="I7243">
        <f>IF(E7243="Gmail",COUNTIF($E$2:E7243,"Gmail"),"")</f>
        <v/>
      </c>
      <c r="J7243">
        <f>IF(E7243="Outlook",COUNTIF($E$2:E7243,"Outlook"),"")</f>
        <v/>
      </c>
      <c r="K7243">
        <f>IF(E7243="Domain",COUNTIF($E$2:E7243,"Domain"),"")</f>
        <v/>
      </c>
    </row>
    <row r="7244">
      <c r="A7244" s="2" t="n"/>
      <c r="B7244">
        <f>LOWER(TRIM(A7244))</f>
        <v/>
      </c>
      <c r="C7244">
        <f>IF(B7244="","",IFERROR(INDEX('Bad Patterns'!$A$2:$A$120,MATCH(1,INDEX(--ISNUMBER(SEARCH('Bad Patterns'!$A$2:$A$120,B7244)),0),0)),""))</f>
        <v/>
      </c>
      <c r="D7244">
        <f>IF(B7244="","",IF(C7244&lt;&gt;"","REMOVE","KEEP"))</f>
        <v/>
      </c>
      <c r="E7244">
        <f>IF(D7244&lt;&gt;"KEEP","",IF(RIGHT(B7244,10)="@gmail.com","Gmail",IF(OR(RIGHT(B7244,12)="@outlook.com",RIGHT(B7244,12)="@hotmail.com",RIGHT(B7244,9)="@live.com"),"Outlook","Domain")))</f>
        <v/>
      </c>
      <c r="F7244">
        <f>IF(B7244="","",IFERROR(RIGHT(B7244,LEN(B7244)-FIND("@",B7244)),""))</f>
        <v/>
      </c>
      <c r="G7244">
        <f>IF(D7244="KEEP",COUNTIF($D$2:D7244,"KEEP"),"")</f>
        <v/>
      </c>
      <c r="H7244">
        <f>IF(D7244="REMOVE",COUNTIF($D$2:D7244,"REMOVE"),"")</f>
        <v/>
      </c>
      <c r="I7244">
        <f>IF(E7244="Gmail",COUNTIF($E$2:E7244,"Gmail"),"")</f>
        <v/>
      </c>
      <c r="J7244">
        <f>IF(E7244="Outlook",COUNTIF($E$2:E7244,"Outlook"),"")</f>
        <v/>
      </c>
      <c r="K7244">
        <f>IF(E7244="Domain",COUNTIF($E$2:E7244,"Domain"),"")</f>
        <v/>
      </c>
    </row>
    <row r="7245">
      <c r="A7245" s="2" t="n"/>
      <c r="B7245">
        <f>LOWER(TRIM(A7245))</f>
        <v/>
      </c>
      <c r="C7245">
        <f>IF(B7245="","",IFERROR(INDEX('Bad Patterns'!$A$2:$A$120,MATCH(1,INDEX(--ISNUMBER(SEARCH('Bad Patterns'!$A$2:$A$120,B7245)),0),0)),""))</f>
        <v/>
      </c>
      <c r="D7245">
        <f>IF(B7245="","",IF(C7245&lt;&gt;"","REMOVE","KEEP"))</f>
        <v/>
      </c>
      <c r="E7245">
        <f>IF(D7245&lt;&gt;"KEEP","",IF(RIGHT(B7245,10)="@gmail.com","Gmail",IF(OR(RIGHT(B7245,12)="@outlook.com",RIGHT(B7245,12)="@hotmail.com",RIGHT(B7245,9)="@live.com"),"Outlook","Domain")))</f>
        <v/>
      </c>
      <c r="F7245">
        <f>IF(B7245="","",IFERROR(RIGHT(B7245,LEN(B7245)-FIND("@",B7245)),""))</f>
        <v/>
      </c>
      <c r="G7245">
        <f>IF(D7245="KEEP",COUNTIF($D$2:D7245,"KEEP"),"")</f>
        <v/>
      </c>
      <c r="H7245">
        <f>IF(D7245="REMOVE",COUNTIF($D$2:D7245,"REMOVE"),"")</f>
        <v/>
      </c>
      <c r="I7245">
        <f>IF(E7245="Gmail",COUNTIF($E$2:E7245,"Gmail"),"")</f>
        <v/>
      </c>
      <c r="J7245">
        <f>IF(E7245="Outlook",COUNTIF($E$2:E7245,"Outlook"),"")</f>
        <v/>
      </c>
      <c r="K7245">
        <f>IF(E7245="Domain",COUNTIF($E$2:E7245,"Domain"),"")</f>
        <v/>
      </c>
    </row>
    <row r="7246">
      <c r="A7246" s="2" t="n"/>
      <c r="B7246">
        <f>LOWER(TRIM(A7246))</f>
        <v/>
      </c>
      <c r="C7246">
        <f>IF(B7246="","",IFERROR(INDEX('Bad Patterns'!$A$2:$A$120,MATCH(1,INDEX(--ISNUMBER(SEARCH('Bad Patterns'!$A$2:$A$120,B7246)),0),0)),""))</f>
        <v/>
      </c>
      <c r="D7246">
        <f>IF(B7246="","",IF(C7246&lt;&gt;"","REMOVE","KEEP"))</f>
        <v/>
      </c>
      <c r="E7246">
        <f>IF(D7246&lt;&gt;"KEEP","",IF(RIGHT(B7246,10)="@gmail.com","Gmail",IF(OR(RIGHT(B7246,12)="@outlook.com",RIGHT(B7246,12)="@hotmail.com",RIGHT(B7246,9)="@live.com"),"Outlook","Domain")))</f>
        <v/>
      </c>
      <c r="F7246">
        <f>IF(B7246="","",IFERROR(RIGHT(B7246,LEN(B7246)-FIND("@",B7246)),""))</f>
        <v/>
      </c>
      <c r="G7246">
        <f>IF(D7246="KEEP",COUNTIF($D$2:D7246,"KEEP"),"")</f>
        <v/>
      </c>
      <c r="H7246">
        <f>IF(D7246="REMOVE",COUNTIF($D$2:D7246,"REMOVE"),"")</f>
        <v/>
      </c>
      <c r="I7246">
        <f>IF(E7246="Gmail",COUNTIF($E$2:E7246,"Gmail"),"")</f>
        <v/>
      </c>
      <c r="J7246">
        <f>IF(E7246="Outlook",COUNTIF($E$2:E7246,"Outlook"),"")</f>
        <v/>
      </c>
      <c r="K7246">
        <f>IF(E7246="Domain",COUNTIF($E$2:E7246,"Domain"),"")</f>
        <v/>
      </c>
    </row>
    <row r="7247">
      <c r="A7247" s="2" t="n"/>
      <c r="B7247">
        <f>LOWER(TRIM(A7247))</f>
        <v/>
      </c>
      <c r="C7247">
        <f>IF(B7247="","",IFERROR(INDEX('Bad Patterns'!$A$2:$A$120,MATCH(1,INDEX(--ISNUMBER(SEARCH('Bad Patterns'!$A$2:$A$120,B7247)),0),0)),""))</f>
        <v/>
      </c>
      <c r="D7247">
        <f>IF(B7247="","",IF(C7247&lt;&gt;"","REMOVE","KEEP"))</f>
        <v/>
      </c>
      <c r="E7247">
        <f>IF(D7247&lt;&gt;"KEEP","",IF(RIGHT(B7247,10)="@gmail.com","Gmail",IF(OR(RIGHT(B7247,12)="@outlook.com",RIGHT(B7247,12)="@hotmail.com",RIGHT(B7247,9)="@live.com"),"Outlook","Domain")))</f>
        <v/>
      </c>
      <c r="F7247">
        <f>IF(B7247="","",IFERROR(RIGHT(B7247,LEN(B7247)-FIND("@",B7247)),""))</f>
        <v/>
      </c>
      <c r="G7247">
        <f>IF(D7247="KEEP",COUNTIF($D$2:D7247,"KEEP"),"")</f>
        <v/>
      </c>
      <c r="H7247">
        <f>IF(D7247="REMOVE",COUNTIF($D$2:D7247,"REMOVE"),"")</f>
        <v/>
      </c>
      <c r="I7247">
        <f>IF(E7247="Gmail",COUNTIF($E$2:E7247,"Gmail"),"")</f>
        <v/>
      </c>
      <c r="J7247">
        <f>IF(E7247="Outlook",COUNTIF($E$2:E7247,"Outlook"),"")</f>
        <v/>
      </c>
      <c r="K7247">
        <f>IF(E7247="Domain",COUNTIF($E$2:E7247,"Domain"),"")</f>
        <v/>
      </c>
    </row>
    <row r="7248">
      <c r="A7248" s="2" t="n"/>
      <c r="B7248">
        <f>LOWER(TRIM(A7248))</f>
        <v/>
      </c>
      <c r="C7248">
        <f>IF(B7248="","",IFERROR(INDEX('Bad Patterns'!$A$2:$A$120,MATCH(1,INDEX(--ISNUMBER(SEARCH('Bad Patterns'!$A$2:$A$120,B7248)),0),0)),""))</f>
        <v/>
      </c>
      <c r="D7248">
        <f>IF(B7248="","",IF(C7248&lt;&gt;"","REMOVE","KEEP"))</f>
        <v/>
      </c>
      <c r="E7248">
        <f>IF(D7248&lt;&gt;"KEEP","",IF(RIGHT(B7248,10)="@gmail.com","Gmail",IF(OR(RIGHT(B7248,12)="@outlook.com",RIGHT(B7248,12)="@hotmail.com",RIGHT(B7248,9)="@live.com"),"Outlook","Domain")))</f>
        <v/>
      </c>
      <c r="F7248">
        <f>IF(B7248="","",IFERROR(RIGHT(B7248,LEN(B7248)-FIND("@",B7248)),""))</f>
        <v/>
      </c>
      <c r="G7248">
        <f>IF(D7248="KEEP",COUNTIF($D$2:D7248,"KEEP"),"")</f>
        <v/>
      </c>
      <c r="H7248">
        <f>IF(D7248="REMOVE",COUNTIF($D$2:D7248,"REMOVE"),"")</f>
        <v/>
      </c>
      <c r="I7248">
        <f>IF(E7248="Gmail",COUNTIF($E$2:E7248,"Gmail"),"")</f>
        <v/>
      </c>
      <c r="J7248">
        <f>IF(E7248="Outlook",COUNTIF($E$2:E7248,"Outlook"),"")</f>
        <v/>
      </c>
      <c r="K7248">
        <f>IF(E7248="Domain",COUNTIF($E$2:E7248,"Domain"),"")</f>
        <v/>
      </c>
    </row>
    <row r="7249">
      <c r="A7249" s="2" t="n"/>
      <c r="B7249">
        <f>LOWER(TRIM(A7249))</f>
        <v/>
      </c>
      <c r="C7249">
        <f>IF(B7249="","",IFERROR(INDEX('Bad Patterns'!$A$2:$A$120,MATCH(1,INDEX(--ISNUMBER(SEARCH('Bad Patterns'!$A$2:$A$120,B7249)),0),0)),""))</f>
        <v/>
      </c>
      <c r="D7249">
        <f>IF(B7249="","",IF(C7249&lt;&gt;"","REMOVE","KEEP"))</f>
        <v/>
      </c>
      <c r="E7249">
        <f>IF(D7249&lt;&gt;"KEEP","",IF(RIGHT(B7249,10)="@gmail.com","Gmail",IF(OR(RIGHT(B7249,12)="@outlook.com",RIGHT(B7249,12)="@hotmail.com",RIGHT(B7249,9)="@live.com"),"Outlook","Domain")))</f>
        <v/>
      </c>
      <c r="F7249">
        <f>IF(B7249="","",IFERROR(RIGHT(B7249,LEN(B7249)-FIND("@",B7249)),""))</f>
        <v/>
      </c>
      <c r="G7249">
        <f>IF(D7249="KEEP",COUNTIF($D$2:D7249,"KEEP"),"")</f>
        <v/>
      </c>
      <c r="H7249">
        <f>IF(D7249="REMOVE",COUNTIF($D$2:D7249,"REMOVE"),"")</f>
        <v/>
      </c>
      <c r="I7249">
        <f>IF(E7249="Gmail",COUNTIF($E$2:E7249,"Gmail"),"")</f>
        <v/>
      </c>
      <c r="J7249">
        <f>IF(E7249="Outlook",COUNTIF($E$2:E7249,"Outlook"),"")</f>
        <v/>
      </c>
      <c r="K7249">
        <f>IF(E7249="Domain",COUNTIF($E$2:E7249,"Domain"),"")</f>
        <v/>
      </c>
    </row>
    <row r="7250">
      <c r="A7250" s="2" t="n"/>
      <c r="B7250">
        <f>LOWER(TRIM(A7250))</f>
        <v/>
      </c>
      <c r="C7250">
        <f>IF(B7250="","",IFERROR(INDEX('Bad Patterns'!$A$2:$A$120,MATCH(1,INDEX(--ISNUMBER(SEARCH('Bad Patterns'!$A$2:$A$120,B7250)),0),0)),""))</f>
        <v/>
      </c>
      <c r="D7250">
        <f>IF(B7250="","",IF(C7250&lt;&gt;"","REMOVE","KEEP"))</f>
        <v/>
      </c>
      <c r="E7250">
        <f>IF(D7250&lt;&gt;"KEEP","",IF(RIGHT(B7250,10)="@gmail.com","Gmail",IF(OR(RIGHT(B7250,12)="@outlook.com",RIGHT(B7250,12)="@hotmail.com",RIGHT(B7250,9)="@live.com"),"Outlook","Domain")))</f>
        <v/>
      </c>
      <c r="F7250">
        <f>IF(B7250="","",IFERROR(RIGHT(B7250,LEN(B7250)-FIND("@",B7250)),""))</f>
        <v/>
      </c>
      <c r="G7250">
        <f>IF(D7250="KEEP",COUNTIF($D$2:D7250,"KEEP"),"")</f>
        <v/>
      </c>
      <c r="H7250">
        <f>IF(D7250="REMOVE",COUNTIF($D$2:D7250,"REMOVE"),"")</f>
        <v/>
      </c>
      <c r="I7250">
        <f>IF(E7250="Gmail",COUNTIF($E$2:E7250,"Gmail"),"")</f>
        <v/>
      </c>
      <c r="J7250">
        <f>IF(E7250="Outlook",COUNTIF($E$2:E7250,"Outlook"),"")</f>
        <v/>
      </c>
      <c r="K7250">
        <f>IF(E7250="Domain",COUNTIF($E$2:E7250,"Domain"),"")</f>
        <v/>
      </c>
    </row>
    <row r="7251">
      <c r="A7251" s="2" t="n"/>
      <c r="B7251">
        <f>LOWER(TRIM(A7251))</f>
        <v/>
      </c>
      <c r="C7251">
        <f>IF(B7251="","",IFERROR(INDEX('Bad Patterns'!$A$2:$A$120,MATCH(1,INDEX(--ISNUMBER(SEARCH('Bad Patterns'!$A$2:$A$120,B7251)),0),0)),""))</f>
        <v/>
      </c>
      <c r="D7251">
        <f>IF(B7251="","",IF(C7251&lt;&gt;"","REMOVE","KEEP"))</f>
        <v/>
      </c>
      <c r="E7251">
        <f>IF(D7251&lt;&gt;"KEEP","",IF(RIGHT(B7251,10)="@gmail.com","Gmail",IF(OR(RIGHT(B7251,12)="@outlook.com",RIGHT(B7251,12)="@hotmail.com",RIGHT(B7251,9)="@live.com"),"Outlook","Domain")))</f>
        <v/>
      </c>
      <c r="F7251">
        <f>IF(B7251="","",IFERROR(RIGHT(B7251,LEN(B7251)-FIND("@",B7251)),""))</f>
        <v/>
      </c>
      <c r="G7251">
        <f>IF(D7251="KEEP",COUNTIF($D$2:D7251,"KEEP"),"")</f>
        <v/>
      </c>
      <c r="H7251">
        <f>IF(D7251="REMOVE",COUNTIF($D$2:D7251,"REMOVE"),"")</f>
        <v/>
      </c>
      <c r="I7251">
        <f>IF(E7251="Gmail",COUNTIF($E$2:E7251,"Gmail"),"")</f>
        <v/>
      </c>
      <c r="J7251">
        <f>IF(E7251="Outlook",COUNTIF($E$2:E7251,"Outlook"),"")</f>
        <v/>
      </c>
      <c r="K7251">
        <f>IF(E7251="Domain",COUNTIF($E$2:E7251,"Domain"),"")</f>
        <v/>
      </c>
    </row>
    <row r="7252">
      <c r="A7252" s="2" t="n"/>
      <c r="B7252">
        <f>LOWER(TRIM(A7252))</f>
        <v/>
      </c>
      <c r="C7252">
        <f>IF(B7252="","",IFERROR(INDEX('Bad Patterns'!$A$2:$A$120,MATCH(1,INDEX(--ISNUMBER(SEARCH('Bad Patterns'!$A$2:$A$120,B7252)),0),0)),""))</f>
        <v/>
      </c>
      <c r="D7252">
        <f>IF(B7252="","",IF(C7252&lt;&gt;"","REMOVE","KEEP"))</f>
        <v/>
      </c>
      <c r="E7252">
        <f>IF(D7252&lt;&gt;"KEEP","",IF(RIGHT(B7252,10)="@gmail.com","Gmail",IF(OR(RIGHT(B7252,12)="@outlook.com",RIGHT(B7252,12)="@hotmail.com",RIGHT(B7252,9)="@live.com"),"Outlook","Domain")))</f>
        <v/>
      </c>
      <c r="F7252">
        <f>IF(B7252="","",IFERROR(RIGHT(B7252,LEN(B7252)-FIND("@",B7252)),""))</f>
        <v/>
      </c>
      <c r="G7252">
        <f>IF(D7252="KEEP",COUNTIF($D$2:D7252,"KEEP"),"")</f>
        <v/>
      </c>
      <c r="H7252">
        <f>IF(D7252="REMOVE",COUNTIF($D$2:D7252,"REMOVE"),"")</f>
        <v/>
      </c>
      <c r="I7252">
        <f>IF(E7252="Gmail",COUNTIF($E$2:E7252,"Gmail"),"")</f>
        <v/>
      </c>
      <c r="J7252">
        <f>IF(E7252="Outlook",COUNTIF($E$2:E7252,"Outlook"),"")</f>
        <v/>
      </c>
      <c r="K7252">
        <f>IF(E7252="Domain",COUNTIF($E$2:E7252,"Domain"),"")</f>
        <v/>
      </c>
    </row>
    <row r="7253">
      <c r="A7253" s="2" t="n"/>
      <c r="B7253">
        <f>LOWER(TRIM(A7253))</f>
        <v/>
      </c>
      <c r="C7253">
        <f>IF(B7253="","",IFERROR(INDEX('Bad Patterns'!$A$2:$A$120,MATCH(1,INDEX(--ISNUMBER(SEARCH('Bad Patterns'!$A$2:$A$120,B7253)),0),0)),""))</f>
        <v/>
      </c>
      <c r="D7253">
        <f>IF(B7253="","",IF(C7253&lt;&gt;"","REMOVE","KEEP"))</f>
        <v/>
      </c>
      <c r="E7253">
        <f>IF(D7253&lt;&gt;"KEEP","",IF(RIGHT(B7253,10)="@gmail.com","Gmail",IF(OR(RIGHT(B7253,12)="@outlook.com",RIGHT(B7253,12)="@hotmail.com",RIGHT(B7253,9)="@live.com"),"Outlook","Domain")))</f>
        <v/>
      </c>
      <c r="F7253">
        <f>IF(B7253="","",IFERROR(RIGHT(B7253,LEN(B7253)-FIND("@",B7253)),""))</f>
        <v/>
      </c>
      <c r="G7253">
        <f>IF(D7253="KEEP",COUNTIF($D$2:D7253,"KEEP"),"")</f>
        <v/>
      </c>
      <c r="H7253">
        <f>IF(D7253="REMOVE",COUNTIF($D$2:D7253,"REMOVE"),"")</f>
        <v/>
      </c>
      <c r="I7253">
        <f>IF(E7253="Gmail",COUNTIF($E$2:E7253,"Gmail"),"")</f>
        <v/>
      </c>
      <c r="J7253">
        <f>IF(E7253="Outlook",COUNTIF($E$2:E7253,"Outlook"),"")</f>
        <v/>
      </c>
      <c r="K7253">
        <f>IF(E7253="Domain",COUNTIF($E$2:E7253,"Domain"),"")</f>
        <v/>
      </c>
    </row>
    <row r="7254">
      <c r="A7254" s="2" t="n"/>
      <c r="B7254">
        <f>LOWER(TRIM(A7254))</f>
        <v/>
      </c>
      <c r="C7254">
        <f>IF(B7254="","",IFERROR(INDEX('Bad Patterns'!$A$2:$A$120,MATCH(1,INDEX(--ISNUMBER(SEARCH('Bad Patterns'!$A$2:$A$120,B7254)),0),0)),""))</f>
        <v/>
      </c>
      <c r="D7254">
        <f>IF(B7254="","",IF(C7254&lt;&gt;"","REMOVE","KEEP"))</f>
        <v/>
      </c>
      <c r="E7254">
        <f>IF(D7254&lt;&gt;"KEEP","",IF(RIGHT(B7254,10)="@gmail.com","Gmail",IF(OR(RIGHT(B7254,12)="@outlook.com",RIGHT(B7254,12)="@hotmail.com",RIGHT(B7254,9)="@live.com"),"Outlook","Domain")))</f>
        <v/>
      </c>
      <c r="F7254">
        <f>IF(B7254="","",IFERROR(RIGHT(B7254,LEN(B7254)-FIND("@",B7254)),""))</f>
        <v/>
      </c>
      <c r="G7254">
        <f>IF(D7254="KEEP",COUNTIF($D$2:D7254,"KEEP"),"")</f>
        <v/>
      </c>
      <c r="H7254">
        <f>IF(D7254="REMOVE",COUNTIF($D$2:D7254,"REMOVE"),"")</f>
        <v/>
      </c>
      <c r="I7254">
        <f>IF(E7254="Gmail",COUNTIF($E$2:E7254,"Gmail"),"")</f>
        <v/>
      </c>
      <c r="J7254">
        <f>IF(E7254="Outlook",COUNTIF($E$2:E7254,"Outlook"),"")</f>
        <v/>
      </c>
      <c r="K7254">
        <f>IF(E7254="Domain",COUNTIF($E$2:E7254,"Domain"),"")</f>
        <v/>
      </c>
    </row>
    <row r="7255">
      <c r="A7255" s="2" t="n"/>
      <c r="B7255">
        <f>LOWER(TRIM(A7255))</f>
        <v/>
      </c>
      <c r="C7255">
        <f>IF(B7255="","",IFERROR(INDEX('Bad Patterns'!$A$2:$A$120,MATCH(1,INDEX(--ISNUMBER(SEARCH('Bad Patterns'!$A$2:$A$120,B7255)),0),0)),""))</f>
        <v/>
      </c>
      <c r="D7255">
        <f>IF(B7255="","",IF(C7255&lt;&gt;"","REMOVE","KEEP"))</f>
        <v/>
      </c>
      <c r="E7255">
        <f>IF(D7255&lt;&gt;"KEEP","",IF(RIGHT(B7255,10)="@gmail.com","Gmail",IF(OR(RIGHT(B7255,12)="@outlook.com",RIGHT(B7255,12)="@hotmail.com",RIGHT(B7255,9)="@live.com"),"Outlook","Domain")))</f>
        <v/>
      </c>
      <c r="F7255">
        <f>IF(B7255="","",IFERROR(RIGHT(B7255,LEN(B7255)-FIND("@",B7255)),""))</f>
        <v/>
      </c>
      <c r="G7255">
        <f>IF(D7255="KEEP",COUNTIF($D$2:D7255,"KEEP"),"")</f>
        <v/>
      </c>
      <c r="H7255">
        <f>IF(D7255="REMOVE",COUNTIF($D$2:D7255,"REMOVE"),"")</f>
        <v/>
      </c>
      <c r="I7255">
        <f>IF(E7255="Gmail",COUNTIF($E$2:E7255,"Gmail"),"")</f>
        <v/>
      </c>
      <c r="J7255">
        <f>IF(E7255="Outlook",COUNTIF($E$2:E7255,"Outlook"),"")</f>
        <v/>
      </c>
      <c r="K7255">
        <f>IF(E7255="Domain",COUNTIF($E$2:E7255,"Domain"),"")</f>
        <v/>
      </c>
    </row>
    <row r="7256">
      <c r="A7256" s="2" t="n"/>
      <c r="B7256">
        <f>LOWER(TRIM(A7256))</f>
        <v/>
      </c>
      <c r="C7256">
        <f>IF(B7256="","",IFERROR(INDEX('Bad Patterns'!$A$2:$A$120,MATCH(1,INDEX(--ISNUMBER(SEARCH('Bad Patterns'!$A$2:$A$120,B7256)),0),0)),""))</f>
        <v/>
      </c>
      <c r="D7256">
        <f>IF(B7256="","",IF(C7256&lt;&gt;"","REMOVE","KEEP"))</f>
        <v/>
      </c>
      <c r="E7256">
        <f>IF(D7256&lt;&gt;"KEEP","",IF(RIGHT(B7256,10)="@gmail.com","Gmail",IF(OR(RIGHT(B7256,12)="@outlook.com",RIGHT(B7256,12)="@hotmail.com",RIGHT(B7256,9)="@live.com"),"Outlook","Domain")))</f>
        <v/>
      </c>
      <c r="F7256">
        <f>IF(B7256="","",IFERROR(RIGHT(B7256,LEN(B7256)-FIND("@",B7256)),""))</f>
        <v/>
      </c>
      <c r="G7256">
        <f>IF(D7256="KEEP",COUNTIF($D$2:D7256,"KEEP"),"")</f>
        <v/>
      </c>
      <c r="H7256">
        <f>IF(D7256="REMOVE",COUNTIF($D$2:D7256,"REMOVE"),"")</f>
        <v/>
      </c>
      <c r="I7256">
        <f>IF(E7256="Gmail",COUNTIF($E$2:E7256,"Gmail"),"")</f>
        <v/>
      </c>
      <c r="J7256">
        <f>IF(E7256="Outlook",COUNTIF($E$2:E7256,"Outlook"),"")</f>
        <v/>
      </c>
      <c r="K7256">
        <f>IF(E7256="Domain",COUNTIF($E$2:E7256,"Domain"),"")</f>
        <v/>
      </c>
    </row>
    <row r="7257">
      <c r="A7257" s="2" t="n"/>
      <c r="B7257">
        <f>LOWER(TRIM(A7257))</f>
        <v/>
      </c>
      <c r="C7257">
        <f>IF(B7257="","",IFERROR(INDEX('Bad Patterns'!$A$2:$A$120,MATCH(1,INDEX(--ISNUMBER(SEARCH('Bad Patterns'!$A$2:$A$120,B7257)),0),0)),""))</f>
        <v/>
      </c>
      <c r="D7257">
        <f>IF(B7257="","",IF(C7257&lt;&gt;"","REMOVE","KEEP"))</f>
        <v/>
      </c>
      <c r="E7257">
        <f>IF(D7257&lt;&gt;"KEEP","",IF(RIGHT(B7257,10)="@gmail.com","Gmail",IF(OR(RIGHT(B7257,12)="@outlook.com",RIGHT(B7257,12)="@hotmail.com",RIGHT(B7257,9)="@live.com"),"Outlook","Domain")))</f>
        <v/>
      </c>
      <c r="F7257">
        <f>IF(B7257="","",IFERROR(RIGHT(B7257,LEN(B7257)-FIND("@",B7257)),""))</f>
        <v/>
      </c>
      <c r="G7257">
        <f>IF(D7257="KEEP",COUNTIF($D$2:D7257,"KEEP"),"")</f>
        <v/>
      </c>
      <c r="H7257">
        <f>IF(D7257="REMOVE",COUNTIF($D$2:D7257,"REMOVE"),"")</f>
        <v/>
      </c>
      <c r="I7257">
        <f>IF(E7257="Gmail",COUNTIF($E$2:E7257,"Gmail"),"")</f>
        <v/>
      </c>
      <c r="J7257">
        <f>IF(E7257="Outlook",COUNTIF($E$2:E7257,"Outlook"),"")</f>
        <v/>
      </c>
      <c r="K7257">
        <f>IF(E7257="Domain",COUNTIF($E$2:E7257,"Domain"),"")</f>
        <v/>
      </c>
    </row>
    <row r="7258">
      <c r="A7258" s="2" t="n"/>
      <c r="B7258">
        <f>LOWER(TRIM(A7258))</f>
        <v/>
      </c>
      <c r="C7258">
        <f>IF(B7258="","",IFERROR(INDEX('Bad Patterns'!$A$2:$A$120,MATCH(1,INDEX(--ISNUMBER(SEARCH('Bad Patterns'!$A$2:$A$120,B7258)),0),0)),""))</f>
        <v/>
      </c>
      <c r="D7258">
        <f>IF(B7258="","",IF(C7258&lt;&gt;"","REMOVE","KEEP"))</f>
        <v/>
      </c>
      <c r="E7258">
        <f>IF(D7258&lt;&gt;"KEEP","",IF(RIGHT(B7258,10)="@gmail.com","Gmail",IF(OR(RIGHT(B7258,12)="@outlook.com",RIGHT(B7258,12)="@hotmail.com",RIGHT(B7258,9)="@live.com"),"Outlook","Domain")))</f>
        <v/>
      </c>
      <c r="F7258">
        <f>IF(B7258="","",IFERROR(RIGHT(B7258,LEN(B7258)-FIND("@",B7258)),""))</f>
        <v/>
      </c>
      <c r="G7258">
        <f>IF(D7258="KEEP",COUNTIF($D$2:D7258,"KEEP"),"")</f>
        <v/>
      </c>
      <c r="H7258">
        <f>IF(D7258="REMOVE",COUNTIF($D$2:D7258,"REMOVE"),"")</f>
        <v/>
      </c>
      <c r="I7258">
        <f>IF(E7258="Gmail",COUNTIF($E$2:E7258,"Gmail"),"")</f>
        <v/>
      </c>
      <c r="J7258">
        <f>IF(E7258="Outlook",COUNTIF($E$2:E7258,"Outlook"),"")</f>
        <v/>
      </c>
      <c r="K7258">
        <f>IF(E7258="Domain",COUNTIF($E$2:E7258,"Domain"),"")</f>
        <v/>
      </c>
    </row>
    <row r="7259">
      <c r="A7259" s="2" t="n"/>
      <c r="B7259">
        <f>LOWER(TRIM(A7259))</f>
        <v/>
      </c>
      <c r="C7259">
        <f>IF(B7259="","",IFERROR(INDEX('Bad Patterns'!$A$2:$A$120,MATCH(1,INDEX(--ISNUMBER(SEARCH('Bad Patterns'!$A$2:$A$120,B7259)),0),0)),""))</f>
        <v/>
      </c>
      <c r="D7259">
        <f>IF(B7259="","",IF(C7259&lt;&gt;"","REMOVE","KEEP"))</f>
        <v/>
      </c>
      <c r="E7259">
        <f>IF(D7259&lt;&gt;"KEEP","",IF(RIGHT(B7259,10)="@gmail.com","Gmail",IF(OR(RIGHT(B7259,12)="@outlook.com",RIGHT(B7259,12)="@hotmail.com",RIGHT(B7259,9)="@live.com"),"Outlook","Domain")))</f>
        <v/>
      </c>
      <c r="F7259">
        <f>IF(B7259="","",IFERROR(RIGHT(B7259,LEN(B7259)-FIND("@",B7259)),""))</f>
        <v/>
      </c>
      <c r="G7259">
        <f>IF(D7259="KEEP",COUNTIF($D$2:D7259,"KEEP"),"")</f>
        <v/>
      </c>
      <c r="H7259">
        <f>IF(D7259="REMOVE",COUNTIF($D$2:D7259,"REMOVE"),"")</f>
        <v/>
      </c>
      <c r="I7259">
        <f>IF(E7259="Gmail",COUNTIF($E$2:E7259,"Gmail"),"")</f>
        <v/>
      </c>
      <c r="J7259">
        <f>IF(E7259="Outlook",COUNTIF($E$2:E7259,"Outlook"),"")</f>
        <v/>
      </c>
      <c r="K7259">
        <f>IF(E7259="Domain",COUNTIF($E$2:E7259,"Domain"),"")</f>
        <v/>
      </c>
    </row>
    <row r="7260">
      <c r="A7260" s="2" t="n"/>
      <c r="B7260">
        <f>LOWER(TRIM(A7260))</f>
        <v/>
      </c>
      <c r="C7260">
        <f>IF(B7260="","",IFERROR(INDEX('Bad Patterns'!$A$2:$A$120,MATCH(1,INDEX(--ISNUMBER(SEARCH('Bad Patterns'!$A$2:$A$120,B7260)),0),0)),""))</f>
        <v/>
      </c>
      <c r="D7260">
        <f>IF(B7260="","",IF(C7260&lt;&gt;"","REMOVE","KEEP"))</f>
        <v/>
      </c>
      <c r="E7260">
        <f>IF(D7260&lt;&gt;"KEEP","",IF(RIGHT(B7260,10)="@gmail.com","Gmail",IF(OR(RIGHT(B7260,12)="@outlook.com",RIGHT(B7260,12)="@hotmail.com",RIGHT(B7260,9)="@live.com"),"Outlook","Domain")))</f>
        <v/>
      </c>
      <c r="F7260">
        <f>IF(B7260="","",IFERROR(RIGHT(B7260,LEN(B7260)-FIND("@",B7260)),""))</f>
        <v/>
      </c>
      <c r="G7260">
        <f>IF(D7260="KEEP",COUNTIF($D$2:D7260,"KEEP"),"")</f>
        <v/>
      </c>
      <c r="H7260">
        <f>IF(D7260="REMOVE",COUNTIF($D$2:D7260,"REMOVE"),"")</f>
        <v/>
      </c>
      <c r="I7260">
        <f>IF(E7260="Gmail",COUNTIF($E$2:E7260,"Gmail"),"")</f>
        <v/>
      </c>
      <c r="J7260">
        <f>IF(E7260="Outlook",COUNTIF($E$2:E7260,"Outlook"),"")</f>
        <v/>
      </c>
      <c r="K7260">
        <f>IF(E7260="Domain",COUNTIF($E$2:E7260,"Domain"),"")</f>
        <v/>
      </c>
    </row>
    <row r="7261">
      <c r="A7261" s="2" t="n"/>
      <c r="B7261">
        <f>LOWER(TRIM(A7261))</f>
        <v/>
      </c>
      <c r="C7261">
        <f>IF(B7261="","",IFERROR(INDEX('Bad Patterns'!$A$2:$A$120,MATCH(1,INDEX(--ISNUMBER(SEARCH('Bad Patterns'!$A$2:$A$120,B7261)),0),0)),""))</f>
        <v/>
      </c>
      <c r="D7261">
        <f>IF(B7261="","",IF(C7261&lt;&gt;"","REMOVE","KEEP"))</f>
        <v/>
      </c>
      <c r="E7261">
        <f>IF(D7261&lt;&gt;"KEEP","",IF(RIGHT(B7261,10)="@gmail.com","Gmail",IF(OR(RIGHT(B7261,12)="@outlook.com",RIGHT(B7261,12)="@hotmail.com",RIGHT(B7261,9)="@live.com"),"Outlook","Domain")))</f>
        <v/>
      </c>
      <c r="F7261">
        <f>IF(B7261="","",IFERROR(RIGHT(B7261,LEN(B7261)-FIND("@",B7261)),""))</f>
        <v/>
      </c>
      <c r="G7261">
        <f>IF(D7261="KEEP",COUNTIF($D$2:D7261,"KEEP"),"")</f>
        <v/>
      </c>
      <c r="H7261">
        <f>IF(D7261="REMOVE",COUNTIF($D$2:D7261,"REMOVE"),"")</f>
        <v/>
      </c>
      <c r="I7261">
        <f>IF(E7261="Gmail",COUNTIF($E$2:E7261,"Gmail"),"")</f>
        <v/>
      </c>
      <c r="J7261">
        <f>IF(E7261="Outlook",COUNTIF($E$2:E7261,"Outlook"),"")</f>
        <v/>
      </c>
      <c r="K7261">
        <f>IF(E7261="Domain",COUNTIF($E$2:E7261,"Domain"),"")</f>
        <v/>
      </c>
    </row>
    <row r="7262">
      <c r="A7262" s="2" t="n"/>
      <c r="B7262">
        <f>LOWER(TRIM(A7262))</f>
        <v/>
      </c>
      <c r="C7262">
        <f>IF(B7262="","",IFERROR(INDEX('Bad Patterns'!$A$2:$A$120,MATCH(1,INDEX(--ISNUMBER(SEARCH('Bad Patterns'!$A$2:$A$120,B7262)),0),0)),""))</f>
        <v/>
      </c>
      <c r="D7262">
        <f>IF(B7262="","",IF(C7262&lt;&gt;"","REMOVE","KEEP"))</f>
        <v/>
      </c>
      <c r="E7262">
        <f>IF(D7262&lt;&gt;"KEEP","",IF(RIGHT(B7262,10)="@gmail.com","Gmail",IF(OR(RIGHT(B7262,12)="@outlook.com",RIGHT(B7262,12)="@hotmail.com",RIGHT(B7262,9)="@live.com"),"Outlook","Domain")))</f>
        <v/>
      </c>
      <c r="F7262">
        <f>IF(B7262="","",IFERROR(RIGHT(B7262,LEN(B7262)-FIND("@",B7262)),""))</f>
        <v/>
      </c>
      <c r="G7262">
        <f>IF(D7262="KEEP",COUNTIF($D$2:D7262,"KEEP"),"")</f>
        <v/>
      </c>
      <c r="H7262">
        <f>IF(D7262="REMOVE",COUNTIF($D$2:D7262,"REMOVE"),"")</f>
        <v/>
      </c>
      <c r="I7262">
        <f>IF(E7262="Gmail",COUNTIF($E$2:E7262,"Gmail"),"")</f>
        <v/>
      </c>
      <c r="J7262">
        <f>IF(E7262="Outlook",COUNTIF($E$2:E7262,"Outlook"),"")</f>
        <v/>
      </c>
      <c r="K7262">
        <f>IF(E7262="Domain",COUNTIF($E$2:E7262,"Domain"),"")</f>
        <v/>
      </c>
    </row>
    <row r="7263">
      <c r="A7263" s="2" t="n"/>
      <c r="B7263">
        <f>LOWER(TRIM(A7263))</f>
        <v/>
      </c>
      <c r="C7263">
        <f>IF(B7263="","",IFERROR(INDEX('Bad Patterns'!$A$2:$A$120,MATCH(1,INDEX(--ISNUMBER(SEARCH('Bad Patterns'!$A$2:$A$120,B7263)),0),0)),""))</f>
        <v/>
      </c>
      <c r="D7263">
        <f>IF(B7263="","",IF(C7263&lt;&gt;"","REMOVE","KEEP"))</f>
        <v/>
      </c>
      <c r="E7263">
        <f>IF(D7263&lt;&gt;"KEEP","",IF(RIGHT(B7263,10)="@gmail.com","Gmail",IF(OR(RIGHT(B7263,12)="@outlook.com",RIGHT(B7263,12)="@hotmail.com",RIGHT(B7263,9)="@live.com"),"Outlook","Domain")))</f>
        <v/>
      </c>
      <c r="F7263">
        <f>IF(B7263="","",IFERROR(RIGHT(B7263,LEN(B7263)-FIND("@",B7263)),""))</f>
        <v/>
      </c>
      <c r="G7263">
        <f>IF(D7263="KEEP",COUNTIF($D$2:D7263,"KEEP"),"")</f>
        <v/>
      </c>
      <c r="H7263">
        <f>IF(D7263="REMOVE",COUNTIF($D$2:D7263,"REMOVE"),"")</f>
        <v/>
      </c>
      <c r="I7263">
        <f>IF(E7263="Gmail",COUNTIF($E$2:E7263,"Gmail"),"")</f>
        <v/>
      </c>
      <c r="J7263">
        <f>IF(E7263="Outlook",COUNTIF($E$2:E7263,"Outlook"),"")</f>
        <v/>
      </c>
      <c r="K7263">
        <f>IF(E7263="Domain",COUNTIF($E$2:E7263,"Domain"),"")</f>
        <v/>
      </c>
    </row>
    <row r="7264">
      <c r="A7264" s="2" t="n"/>
      <c r="B7264">
        <f>LOWER(TRIM(A7264))</f>
        <v/>
      </c>
      <c r="C7264">
        <f>IF(B7264="","",IFERROR(INDEX('Bad Patterns'!$A$2:$A$120,MATCH(1,INDEX(--ISNUMBER(SEARCH('Bad Patterns'!$A$2:$A$120,B7264)),0),0)),""))</f>
        <v/>
      </c>
      <c r="D7264">
        <f>IF(B7264="","",IF(C7264&lt;&gt;"","REMOVE","KEEP"))</f>
        <v/>
      </c>
      <c r="E7264">
        <f>IF(D7264&lt;&gt;"KEEP","",IF(RIGHT(B7264,10)="@gmail.com","Gmail",IF(OR(RIGHT(B7264,12)="@outlook.com",RIGHT(B7264,12)="@hotmail.com",RIGHT(B7264,9)="@live.com"),"Outlook","Domain")))</f>
        <v/>
      </c>
      <c r="F7264">
        <f>IF(B7264="","",IFERROR(RIGHT(B7264,LEN(B7264)-FIND("@",B7264)),""))</f>
        <v/>
      </c>
      <c r="G7264">
        <f>IF(D7264="KEEP",COUNTIF($D$2:D7264,"KEEP"),"")</f>
        <v/>
      </c>
      <c r="H7264">
        <f>IF(D7264="REMOVE",COUNTIF($D$2:D7264,"REMOVE"),"")</f>
        <v/>
      </c>
      <c r="I7264">
        <f>IF(E7264="Gmail",COUNTIF($E$2:E7264,"Gmail"),"")</f>
        <v/>
      </c>
      <c r="J7264">
        <f>IF(E7264="Outlook",COUNTIF($E$2:E7264,"Outlook"),"")</f>
        <v/>
      </c>
      <c r="K7264">
        <f>IF(E7264="Domain",COUNTIF($E$2:E7264,"Domain"),"")</f>
        <v/>
      </c>
    </row>
    <row r="7265">
      <c r="A7265" s="2" t="n"/>
      <c r="B7265">
        <f>LOWER(TRIM(A7265))</f>
        <v/>
      </c>
      <c r="C7265">
        <f>IF(B7265="","",IFERROR(INDEX('Bad Patterns'!$A$2:$A$120,MATCH(1,INDEX(--ISNUMBER(SEARCH('Bad Patterns'!$A$2:$A$120,B7265)),0),0)),""))</f>
        <v/>
      </c>
      <c r="D7265">
        <f>IF(B7265="","",IF(C7265&lt;&gt;"","REMOVE","KEEP"))</f>
        <v/>
      </c>
      <c r="E7265">
        <f>IF(D7265&lt;&gt;"KEEP","",IF(RIGHT(B7265,10)="@gmail.com","Gmail",IF(OR(RIGHT(B7265,12)="@outlook.com",RIGHT(B7265,12)="@hotmail.com",RIGHT(B7265,9)="@live.com"),"Outlook","Domain")))</f>
        <v/>
      </c>
      <c r="F7265">
        <f>IF(B7265="","",IFERROR(RIGHT(B7265,LEN(B7265)-FIND("@",B7265)),""))</f>
        <v/>
      </c>
      <c r="G7265">
        <f>IF(D7265="KEEP",COUNTIF($D$2:D7265,"KEEP"),"")</f>
        <v/>
      </c>
      <c r="H7265">
        <f>IF(D7265="REMOVE",COUNTIF($D$2:D7265,"REMOVE"),"")</f>
        <v/>
      </c>
      <c r="I7265">
        <f>IF(E7265="Gmail",COUNTIF($E$2:E7265,"Gmail"),"")</f>
        <v/>
      </c>
      <c r="J7265">
        <f>IF(E7265="Outlook",COUNTIF($E$2:E7265,"Outlook"),"")</f>
        <v/>
      </c>
      <c r="K7265">
        <f>IF(E7265="Domain",COUNTIF($E$2:E7265,"Domain"),"")</f>
        <v/>
      </c>
    </row>
    <row r="7266">
      <c r="A7266" s="2" t="n"/>
      <c r="B7266">
        <f>LOWER(TRIM(A7266))</f>
        <v/>
      </c>
      <c r="C7266">
        <f>IF(B7266="","",IFERROR(INDEX('Bad Patterns'!$A$2:$A$120,MATCH(1,INDEX(--ISNUMBER(SEARCH('Bad Patterns'!$A$2:$A$120,B7266)),0),0)),""))</f>
        <v/>
      </c>
      <c r="D7266">
        <f>IF(B7266="","",IF(C7266&lt;&gt;"","REMOVE","KEEP"))</f>
        <v/>
      </c>
      <c r="E7266">
        <f>IF(D7266&lt;&gt;"KEEP","",IF(RIGHT(B7266,10)="@gmail.com","Gmail",IF(OR(RIGHT(B7266,12)="@outlook.com",RIGHT(B7266,12)="@hotmail.com",RIGHT(B7266,9)="@live.com"),"Outlook","Domain")))</f>
        <v/>
      </c>
      <c r="F7266">
        <f>IF(B7266="","",IFERROR(RIGHT(B7266,LEN(B7266)-FIND("@",B7266)),""))</f>
        <v/>
      </c>
      <c r="G7266">
        <f>IF(D7266="KEEP",COUNTIF($D$2:D7266,"KEEP"),"")</f>
        <v/>
      </c>
      <c r="H7266">
        <f>IF(D7266="REMOVE",COUNTIF($D$2:D7266,"REMOVE"),"")</f>
        <v/>
      </c>
      <c r="I7266">
        <f>IF(E7266="Gmail",COUNTIF($E$2:E7266,"Gmail"),"")</f>
        <v/>
      </c>
      <c r="J7266">
        <f>IF(E7266="Outlook",COUNTIF($E$2:E7266,"Outlook"),"")</f>
        <v/>
      </c>
      <c r="K7266">
        <f>IF(E7266="Domain",COUNTIF($E$2:E7266,"Domain"),"")</f>
        <v/>
      </c>
    </row>
    <row r="7267">
      <c r="A7267" s="2" t="n"/>
      <c r="B7267">
        <f>LOWER(TRIM(A7267))</f>
        <v/>
      </c>
      <c r="C7267">
        <f>IF(B7267="","",IFERROR(INDEX('Bad Patterns'!$A$2:$A$120,MATCH(1,INDEX(--ISNUMBER(SEARCH('Bad Patterns'!$A$2:$A$120,B7267)),0),0)),""))</f>
        <v/>
      </c>
      <c r="D7267">
        <f>IF(B7267="","",IF(C7267&lt;&gt;"","REMOVE","KEEP"))</f>
        <v/>
      </c>
      <c r="E7267">
        <f>IF(D7267&lt;&gt;"KEEP","",IF(RIGHT(B7267,10)="@gmail.com","Gmail",IF(OR(RIGHT(B7267,12)="@outlook.com",RIGHT(B7267,12)="@hotmail.com",RIGHT(B7267,9)="@live.com"),"Outlook","Domain")))</f>
        <v/>
      </c>
      <c r="F7267">
        <f>IF(B7267="","",IFERROR(RIGHT(B7267,LEN(B7267)-FIND("@",B7267)),""))</f>
        <v/>
      </c>
      <c r="G7267">
        <f>IF(D7267="KEEP",COUNTIF($D$2:D7267,"KEEP"),"")</f>
        <v/>
      </c>
      <c r="H7267">
        <f>IF(D7267="REMOVE",COUNTIF($D$2:D7267,"REMOVE"),"")</f>
        <v/>
      </c>
      <c r="I7267">
        <f>IF(E7267="Gmail",COUNTIF($E$2:E7267,"Gmail"),"")</f>
        <v/>
      </c>
      <c r="J7267">
        <f>IF(E7267="Outlook",COUNTIF($E$2:E7267,"Outlook"),"")</f>
        <v/>
      </c>
      <c r="K7267">
        <f>IF(E7267="Domain",COUNTIF($E$2:E7267,"Domain"),"")</f>
        <v/>
      </c>
    </row>
    <row r="7268">
      <c r="A7268" s="2" t="n"/>
      <c r="B7268">
        <f>LOWER(TRIM(A7268))</f>
        <v/>
      </c>
      <c r="C7268">
        <f>IF(B7268="","",IFERROR(INDEX('Bad Patterns'!$A$2:$A$120,MATCH(1,INDEX(--ISNUMBER(SEARCH('Bad Patterns'!$A$2:$A$120,B7268)),0),0)),""))</f>
        <v/>
      </c>
      <c r="D7268">
        <f>IF(B7268="","",IF(C7268&lt;&gt;"","REMOVE","KEEP"))</f>
        <v/>
      </c>
      <c r="E7268">
        <f>IF(D7268&lt;&gt;"KEEP","",IF(RIGHT(B7268,10)="@gmail.com","Gmail",IF(OR(RIGHT(B7268,12)="@outlook.com",RIGHT(B7268,12)="@hotmail.com",RIGHT(B7268,9)="@live.com"),"Outlook","Domain")))</f>
        <v/>
      </c>
      <c r="F7268">
        <f>IF(B7268="","",IFERROR(RIGHT(B7268,LEN(B7268)-FIND("@",B7268)),""))</f>
        <v/>
      </c>
      <c r="G7268">
        <f>IF(D7268="KEEP",COUNTIF($D$2:D7268,"KEEP"),"")</f>
        <v/>
      </c>
      <c r="H7268">
        <f>IF(D7268="REMOVE",COUNTIF($D$2:D7268,"REMOVE"),"")</f>
        <v/>
      </c>
      <c r="I7268">
        <f>IF(E7268="Gmail",COUNTIF($E$2:E7268,"Gmail"),"")</f>
        <v/>
      </c>
      <c r="J7268">
        <f>IF(E7268="Outlook",COUNTIF($E$2:E7268,"Outlook"),"")</f>
        <v/>
      </c>
      <c r="K7268">
        <f>IF(E7268="Domain",COUNTIF($E$2:E7268,"Domain"),"")</f>
        <v/>
      </c>
    </row>
    <row r="7269">
      <c r="A7269" s="2" t="n"/>
      <c r="B7269">
        <f>LOWER(TRIM(A7269))</f>
        <v/>
      </c>
      <c r="C7269">
        <f>IF(B7269="","",IFERROR(INDEX('Bad Patterns'!$A$2:$A$120,MATCH(1,INDEX(--ISNUMBER(SEARCH('Bad Patterns'!$A$2:$A$120,B7269)),0),0)),""))</f>
        <v/>
      </c>
      <c r="D7269">
        <f>IF(B7269="","",IF(C7269&lt;&gt;"","REMOVE","KEEP"))</f>
        <v/>
      </c>
      <c r="E7269">
        <f>IF(D7269&lt;&gt;"KEEP","",IF(RIGHT(B7269,10)="@gmail.com","Gmail",IF(OR(RIGHT(B7269,12)="@outlook.com",RIGHT(B7269,12)="@hotmail.com",RIGHT(B7269,9)="@live.com"),"Outlook","Domain")))</f>
        <v/>
      </c>
      <c r="F7269">
        <f>IF(B7269="","",IFERROR(RIGHT(B7269,LEN(B7269)-FIND("@",B7269)),""))</f>
        <v/>
      </c>
      <c r="G7269">
        <f>IF(D7269="KEEP",COUNTIF($D$2:D7269,"KEEP"),"")</f>
        <v/>
      </c>
      <c r="H7269">
        <f>IF(D7269="REMOVE",COUNTIF($D$2:D7269,"REMOVE"),"")</f>
        <v/>
      </c>
      <c r="I7269">
        <f>IF(E7269="Gmail",COUNTIF($E$2:E7269,"Gmail"),"")</f>
        <v/>
      </c>
      <c r="J7269">
        <f>IF(E7269="Outlook",COUNTIF($E$2:E7269,"Outlook"),"")</f>
        <v/>
      </c>
      <c r="K7269">
        <f>IF(E7269="Domain",COUNTIF($E$2:E7269,"Domain"),"")</f>
        <v/>
      </c>
    </row>
    <row r="7270">
      <c r="A7270" s="2" t="n"/>
      <c r="B7270">
        <f>LOWER(TRIM(A7270))</f>
        <v/>
      </c>
      <c r="C7270">
        <f>IF(B7270="","",IFERROR(INDEX('Bad Patterns'!$A$2:$A$120,MATCH(1,INDEX(--ISNUMBER(SEARCH('Bad Patterns'!$A$2:$A$120,B7270)),0),0)),""))</f>
        <v/>
      </c>
      <c r="D7270">
        <f>IF(B7270="","",IF(C7270&lt;&gt;"","REMOVE","KEEP"))</f>
        <v/>
      </c>
      <c r="E7270">
        <f>IF(D7270&lt;&gt;"KEEP","",IF(RIGHT(B7270,10)="@gmail.com","Gmail",IF(OR(RIGHT(B7270,12)="@outlook.com",RIGHT(B7270,12)="@hotmail.com",RIGHT(B7270,9)="@live.com"),"Outlook","Domain")))</f>
        <v/>
      </c>
      <c r="F7270">
        <f>IF(B7270="","",IFERROR(RIGHT(B7270,LEN(B7270)-FIND("@",B7270)),""))</f>
        <v/>
      </c>
      <c r="G7270">
        <f>IF(D7270="KEEP",COUNTIF($D$2:D7270,"KEEP"),"")</f>
        <v/>
      </c>
      <c r="H7270">
        <f>IF(D7270="REMOVE",COUNTIF($D$2:D7270,"REMOVE"),"")</f>
        <v/>
      </c>
      <c r="I7270">
        <f>IF(E7270="Gmail",COUNTIF($E$2:E7270,"Gmail"),"")</f>
        <v/>
      </c>
      <c r="J7270">
        <f>IF(E7270="Outlook",COUNTIF($E$2:E7270,"Outlook"),"")</f>
        <v/>
      </c>
      <c r="K7270">
        <f>IF(E7270="Domain",COUNTIF($E$2:E7270,"Domain"),"")</f>
        <v/>
      </c>
    </row>
    <row r="7271">
      <c r="A7271" s="2" t="n"/>
      <c r="B7271">
        <f>LOWER(TRIM(A7271))</f>
        <v/>
      </c>
      <c r="C7271">
        <f>IF(B7271="","",IFERROR(INDEX('Bad Patterns'!$A$2:$A$120,MATCH(1,INDEX(--ISNUMBER(SEARCH('Bad Patterns'!$A$2:$A$120,B7271)),0),0)),""))</f>
        <v/>
      </c>
      <c r="D7271">
        <f>IF(B7271="","",IF(C7271&lt;&gt;"","REMOVE","KEEP"))</f>
        <v/>
      </c>
      <c r="E7271">
        <f>IF(D7271&lt;&gt;"KEEP","",IF(RIGHT(B7271,10)="@gmail.com","Gmail",IF(OR(RIGHT(B7271,12)="@outlook.com",RIGHT(B7271,12)="@hotmail.com",RIGHT(B7271,9)="@live.com"),"Outlook","Domain")))</f>
        <v/>
      </c>
      <c r="F7271">
        <f>IF(B7271="","",IFERROR(RIGHT(B7271,LEN(B7271)-FIND("@",B7271)),""))</f>
        <v/>
      </c>
      <c r="G7271">
        <f>IF(D7271="KEEP",COUNTIF($D$2:D7271,"KEEP"),"")</f>
        <v/>
      </c>
      <c r="H7271">
        <f>IF(D7271="REMOVE",COUNTIF($D$2:D7271,"REMOVE"),"")</f>
        <v/>
      </c>
      <c r="I7271">
        <f>IF(E7271="Gmail",COUNTIF($E$2:E7271,"Gmail"),"")</f>
        <v/>
      </c>
      <c r="J7271">
        <f>IF(E7271="Outlook",COUNTIF($E$2:E7271,"Outlook"),"")</f>
        <v/>
      </c>
      <c r="K7271">
        <f>IF(E7271="Domain",COUNTIF($E$2:E7271,"Domain"),"")</f>
        <v/>
      </c>
    </row>
    <row r="7272">
      <c r="A7272" s="2" t="n"/>
      <c r="B7272">
        <f>LOWER(TRIM(A7272))</f>
        <v/>
      </c>
      <c r="C7272">
        <f>IF(B7272="","",IFERROR(INDEX('Bad Patterns'!$A$2:$A$120,MATCH(1,INDEX(--ISNUMBER(SEARCH('Bad Patterns'!$A$2:$A$120,B7272)),0),0)),""))</f>
        <v/>
      </c>
      <c r="D7272">
        <f>IF(B7272="","",IF(C7272&lt;&gt;"","REMOVE","KEEP"))</f>
        <v/>
      </c>
      <c r="E7272">
        <f>IF(D7272&lt;&gt;"KEEP","",IF(RIGHT(B7272,10)="@gmail.com","Gmail",IF(OR(RIGHT(B7272,12)="@outlook.com",RIGHT(B7272,12)="@hotmail.com",RIGHT(B7272,9)="@live.com"),"Outlook","Domain")))</f>
        <v/>
      </c>
      <c r="F7272">
        <f>IF(B7272="","",IFERROR(RIGHT(B7272,LEN(B7272)-FIND("@",B7272)),""))</f>
        <v/>
      </c>
      <c r="G7272">
        <f>IF(D7272="KEEP",COUNTIF($D$2:D7272,"KEEP"),"")</f>
        <v/>
      </c>
      <c r="H7272">
        <f>IF(D7272="REMOVE",COUNTIF($D$2:D7272,"REMOVE"),"")</f>
        <v/>
      </c>
      <c r="I7272">
        <f>IF(E7272="Gmail",COUNTIF($E$2:E7272,"Gmail"),"")</f>
        <v/>
      </c>
      <c r="J7272">
        <f>IF(E7272="Outlook",COUNTIF($E$2:E7272,"Outlook"),"")</f>
        <v/>
      </c>
      <c r="K7272">
        <f>IF(E7272="Domain",COUNTIF($E$2:E7272,"Domain"),"")</f>
        <v/>
      </c>
    </row>
    <row r="7273">
      <c r="A7273" s="2" t="n"/>
      <c r="B7273">
        <f>LOWER(TRIM(A7273))</f>
        <v/>
      </c>
      <c r="C7273">
        <f>IF(B7273="","",IFERROR(INDEX('Bad Patterns'!$A$2:$A$120,MATCH(1,INDEX(--ISNUMBER(SEARCH('Bad Patterns'!$A$2:$A$120,B7273)),0),0)),""))</f>
        <v/>
      </c>
      <c r="D7273">
        <f>IF(B7273="","",IF(C7273&lt;&gt;"","REMOVE","KEEP"))</f>
        <v/>
      </c>
      <c r="E7273">
        <f>IF(D7273&lt;&gt;"KEEP","",IF(RIGHT(B7273,10)="@gmail.com","Gmail",IF(OR(RIGHT(B7273,12)="@outlook.com",RIGHT(B7273,12)="@hotmail.com",RIGHT(B7273,9)="@live.com"),"Outlook","Domain")))</f>
        <v/>
      </c>
      <c r="F7273">
        <f>IF(B7273="","",IFERROR(RIGHT(B7273,LEN(B7273)-FIND("@",B7273)),""))</f>
        <v/>
      </c>
      <c r="G7273">
        <f>IF(D7273="KEEP",COUNTIF($D$2:D7273,"KEEP"),"")</f>
        <v/>
      </c>
      <c r="H7273">
        <f>IF(D7273="REMOVE",COUNTIF($D$2:D7273,"REMOVE"),"")</f>
        <v/>
      </c>
      <c r="I7273">
        <f>IF(E7273="Gmail",COUNTIF($E$2:E7273,"Gmail"),"")</f>
        <v/>
      </c>
      <c r="J7273">
        <f>IF(E7273="Outlook",COUNTIF($E$2:E7273,"Outlook"),"")</f>
        <v/>
      </c>
      <c r="K7273">
        <f>IF(E7273="Domain",COUNTIF($E$2:E7273,"Domain"),"")</f>
        <v/>
      </c>
    </row>
    <row r="7274">
      <c r="A7274" s="2" t="n"/>
      <c r="B7274">
        <f>LOWER(TRIM(A7274))</f>
        <v/>
      </c>
      <c r="C7274">
        <f>IF(B7274="","",IFERROR(INDEX('Bad Patterns'!$A$2:$A$120,MATCH(1,INDEX(--ISNUMBER(SEARCH('Bad Patterns'!$A$2:$A$120,B7274)),0),0)),""))</f>
        <v/>
      </c>
      <c r="D7274">
        <f>IF(B7274="","",IF(C7274&lt;&gt;"","REMOVE","KEEP"))</f>
        <v/>
      </c>
      <c r="E7274">
        <f>IF(D7274&lt;&gt;"KEEP","",IF(RIGHT(B7274,10)="@gmail.com","Gmail",IF(OR(RIGHT(B7274,12)="@outlook.com",RIGHT(B7274,12)="@hotmail.com",RIGHT(B7274,9)="@live.com"),"Outlook","Domain")))</f>
        <v/>
      </c>
      <c r="F7274">
        <f>IF(B7274="","",IFERROR(RIGHT(B7274,LEN(B7274)-FIND("@",B7274)),""))</f>
        <v/>
      </c>
      <c r="G7274">
        <f>IF(D7274="KEEP",COUNTIF($D$2:D7274,"KEEP"),"")</f>
        <v/>
      </c>
      <c r="H7274">
        <f>IF(D7274="REMOVE",COUNTIF($D$2:D7274,"REMOVE"),"")</f>
        <v/>
      </c>
      <c r="I7274">
        <f>IF(E7274="Gmail",COUNTIF($E$2:E7274,"Gmail"),"")</f>
        <v/>
      </c>
      <c r="J7274">
        <f>IF(E7274="Outlook",COUNTIF($E$2:E7274,"Outlook"),"")</f>
        <v/>
      </c>
      <c r="K7274">
        <f>IF(E7274="Domain",COUNTIF($E$2:E7274,"Domain"),"")</f>
        <v/>
      </c>
    </row>
    <row r="7275">
      <c r="A7275" s="2" t="n"/>
      <c r="B7275">
        <f>LOWER(TRIM(A7275))</f>
        <v/>
      </c>
      <c r="C7275">
        <f>IF(B7275="","",IFERROR(INDEX('Bad Patterns'!$A$2:$A$120,MATCH(1,INDEX(--ISNUMBER(SEARCH('Bad Patterns'!$A$2:$A$120,B7275)),0),0)),""))</f>
        <v/>
      </c>
      <c r="D7275">
        <f>IF(B7275="","",IF(C7275&lt;&gt;"","REMOVE","KEEP"))</f>
        <v/>
      </c>
      <c r="E7275">
        <f>IF(D7275&lt;&gt;"KEEP","",IF(RIGHT(B7275,10)="@gmail.com","Gmail",IF(OR(RIGHT(B7275,12)="@outlook.com",RIGHT(B7275,12)="@hotmail.com",RIGHT(B7275,9)="@live.com"),"Outlook","Domain")))</f>
        <v/>
      </c>
      <c r="F7275">
        <f>IF(B7275="","",IFERROR(RIGHT(B7275,LEN(B7275)-FIND("@",B7275)),""))</f>
        <v/>
      </c>
      <c r="G7275">
        <f>IF(D7275="KEEP",COUNTIF($D$2:D7275,"KEEP"),"")</f>
        <v/>
      </c>
      <c r="H7275">
        <f>IF(D7275="REMOVE",COUNTIF($D$2:D7275,"REMOVE"),"")</f>
        <v/>
      </c>
      <c r="I7275">
        <f>IF(E7275="Gmail",COUNTIF($E$2:E7275,"Gmail"),"")</f>
        <v/>
      </c>
      <c r="J7275">
        <f>IF(E7275="Outlook",COUNTIF($E$2:E7275,"Outlook"),"")</f>
        <v/>
      </c>
      <c r="K7275">
        <f>IF(E7275="Domain",COUNTIF($E$2:E7275,"Domain"),"")</f>
        <v/>
      </c>
    </row>
    <row r="7276">
      <c r="A7276" s="2" t="n"/>
      <c r="B7276">
        <f>LOWER(TRIM(A7276))</f>
        <v/>
      </c>
      <c r="C7276">
        <f>IF(B7276="","",IFERROR(INDEX('Bad Patterns'!$A$2:$A$120,MATCH(1,INDEX(--ISNUMBER(SEARCH('Bad Patterns'!$A$2:$A$120,B7276)),0),0)),""))</f>
        <v/>
      </c>
      <c r="D7276">
        <f>IF(B7276="","",IF(C7276&lt;&gt;"","REMOVE","KEEP"))</f>
        <v/>
      </c>
      <c r="E7276">
        <f>IF(D7276&lt;&gt;"KEEP","",IF(RIGHT(B7276,10)="@gmail.com","Gmail",IF(OR(RIGHT(B7276,12)="@outlook.com",RIGHT(B7276,12)="@hotmail.com",RIGHT(B7276,9)="@live.com"),"Outlook","Domain")))</f>
        <v/>
      </c>
      <c r="F7276">
        <f>IF(B7276="","",IFERROR(RIGHT(B7276,LEN(B7276)-FIND("@",B7276)),""))</f>
        <v/>
      </c>
      <c r="G7276">
        <f>IF(D7276="KEEP",COUNTIF($D$2:D7276,"KEEP"),"")</f>
        <v/>
      </c>
      <c r="H7276">
        <f>IF(D7276="REMOVE",COUNTIF($D$2:D7276,"REMOVE"),"")</f>
        <v/>
      </c>
      <c r="I7276">
        <f>IF(E7276="Gmail",COUNTIF($E$2:E7276,"Gmail"),"")</f>
        <v/>
      </c>
      <c r="J7276">
        <f>IF(E7276="Outlook",COUNTIF($E$2:E7276,"Outlook"),"")</f>
        <v/>
      </c>
      <c r="K7276">
        <f>IF(E7276="Domain",COUNTIF($E$2:E7276,"Domain"),"")</f>
        <v/>
      </c>
    </row>
    <row r="7277">
      <c r="A7277" s="2" t="n"/>
      <c r="B7277">
        <f>LOWER(TRIM(A7277))</f>
        <v/>
      </c>
      <c r="C7277">
        <f>IF(B7277="","",IFERROR(INDEX('Bad Patterns'!$A$2:$A$120,MATCH(1,INDEX(--ISNUMBER(SEARCH('Bad Patterns'!$A$2:$A$120,B7277)),0),0)),""))</f>
        <v/>
      </c>
      <c r="D7277">
        <f>IF(B7277="","",IF(C7277&lt;&gt;"","REMOVE","KEEP"))</f>
        <v/>
      </c>
      <c r="E7277">
        <f>IF(D7277&lt;&gt;"KEEP","",IF(RIGHT(B7277,10)="@gmail.com","Gmail",IF(OR(RIGHT(B7277,12)="@outlook.com",RIGHT(B7277,12)="@hotmail.com",RIGHT(B7277,9)="@live.com"),"Outlook","Domain")))</f>
        <v/>
      </c>
      <c r="F7277">
        <f>IF(B7277="","",IFERROR(RIGHT(B7277,LEN(B7277)-FIND("@",B7277)),""))</f>
        <v/>
      </c>
      <c r="G7277">
        <f>IF(D7277="KEEP",COUNTIF($D$2:D7277,"KEEP"),"")</f>
        <v/>
      </c>
      <c r="H7277">
        <f>IF(D7277="REMOVE",COUNTIF($D$2:D7277,"REMOVE"),"")</f>
        <v/>
      </c>
      <c r="I7277">
        <f>IF(E7277="Gmail",COUNTIF($E$2:E7277,"Gmail"),"")</f>
        <v/>
      </c>
      <c r="J7277">
        <f>IF(E7277="Outlook",COUNTIF($E$2:E7277,"Outlook"),"")</f>
        <v/>
      </c>
      <c r="K7277">
        <f>IF(E7277="Domain",COUNTIF($E$2:E7277,"Domain"),"")</f>
        <v/>
      </c>
    </row>
    <row r="7278">
      <c r="A7278" s="2" t="n"/>
      <c r="B7278">
        <f>LOWER(TRIM(A7278))</f>
        <v/>
      </c>
      <c r="C7278">
        <f>IF(B7278="","",IFERROR(INDEX('Bad Patterns'!$A$2:$A$120,MATCH(1,INDEX(--ISNUMBER(SEARCH('Bad Patterns'!$A$2:$A$120,B7278)),0),0)),""))</f>
        <v/>
      </c>
      <c r="D7278">
        <f>IF(B7278="","",IF(C7278&lt;&gt;"","REMOVE","KEEP"))</f>
        <v/>
      </c>
      <c r="E7278">
        <f>IF(D7278&lt;&gt;"KEEP","",IF(RIGHT(B7278,10)="@gmail.com","Gmail",IF(OR(RIGHT(B7278,12)="@outlook.com",RIGHT(B7278,12)="@hotmail.com",RIGHT(B7278,9)="@live.com"),"Outlook","Domain")))</f>
        <v/>
      </c>
      <c r="F7278">
        <f>IF(B7278="","",IFERROR(RIGHT(B7278,LEN(B7278)-FIND("@",B7278)),""))</f>
        <v/>
      </c>
      <c r="G7278">
        <f>IF(D7278="KEEP",COUNTIF($D$2:D7278,"KEEP"),"")</f>
        <v/>
      </c>
      <c r="H7278">
        <f>IF(D7278="REMOVE",COUNTIF($D$2:D7278,"REMOVE"),"")</f>
        <v/>
      </c>
      <c r="I7278">
        <f>IF(E7278="Gmail",COUNTIF($E$2:E7278,"Gmail"),"")</f>
        <v/>
      </c>
      <c r="J7278">
        <f>IF(E7278="Outlook",COUNTIF($E$2:E7278,"Outlook"),"")</f>
        <v/>
      </c>
      <c r="K7278">
        <f>IF(E7278="Domain",COUNTIF($E$2:E7278,"Domain"),"")</f>
        <v/>
      </c>
    </row>
    <row r="7279">
      <c r="A7279" s="2" t="n"/>
      <c r="B7279">
        <f>LOWER(TRIM(A7279))</f>
        <v/>
      </c>
      <c r="C7279">
        <f>IF(B7279="","",IFERROR(INDEX('Bad Patterns'!$A$2:$A$120,MATCH(1,INDEX(--ISNUMBER(SEARCH('Bad Patterns'!$A$2:$A$120,B7279)),0),0)),""))</f>
        <v/>
      </c>
      <c r="D7279">
        <f>IF(B7279="","",IF(C7279&lt;&gt;"","REMOVE","KEEP"))</f>
        <v/>
      </c>
      <c r="E7279">
        <f>IF(D7279&lt;&gt;"KEEP","",IF(RIGHT(B7279,10)="@gmail.com","Gmail",IF(OR(RIGHT(B7279,12)="@outlook.com",RIGHT(B7279,12)="@hotmail.com",RIGHT(B7279,9)="@live.com"),"Outlook","Domain")))</f>
        <v/>
      </c>
      <c r="F7279">
        <f>IF(B7279="","",IFERROR(RIGHT(B7279,LEN(B7279)-FIND("@",B7279)),""))</f>
        <v/>
      </c>
      <c r="G7279">
        <f>IF(D7279="KEEP",COUNTIF($D$2:D7279,"KEEP"),"")</f>
        <v/>
      </c>
      <c r="H7279">
        <f>IF(D7279="REMOVE",COUNTIF($D$2:D7279,"REMOVE"),"")</f>
        <v/>
      </c>
      <c r="I7279">
        <f>IF(E7279="Gmail",COUNTIF($E$2:E7279,"Gmail"),"")</f>
        <v/>
      </c>
      <c r="J7279">
        <f>IF(E7279="Outlook",COUNTIF($E$2:E7279,"Outlook"),"")</f>
        <v/>
      </c>
      <c r="K7279">
        <f>IF(E7279="Domain",COUNTIF($E$2:E7279,"Domain"),"")</f>
        <v/>
      </c>
    </row>
    <row r="7280">
      <c r="A7280" s="2" t="n"/>
      <c r="B7280">
        <f>LOWER(TRIM(A7280))</f>
        <v/>
      </c>
      <c r="C7280">
        <f>IF(B7280="","",IFERROR(INDEX('Bad Patterns'!$A$2:$A$120,MATCH(1,INDEX(--ISNUMBER(SEARCH('Bad Patterns'!$A$2:$A$120,B7280)),0),0)),""))</f>
        <v/>
      </c>
      <c r="D7280">
        <f>IF(B7280="","",IF(C7280&lt;&gt;"","REMOVE","KEEP"))</f>
        <v/>
      </c>
      <c r="E7280">
        <f>IF(D7280&lt;&gt;"KEEP","",IF(RIGHT(B7280,10)="@gmail.com","Gmail",IF(OR(RIGHT(B7280,12)="@outlook.com",RIGHT(B7280,12)="@hotmail.com",RIGHT(B7280,9)="@live.com"),"Outlook","Domain")))</f>
        <v/>
      </c>
      <c r="F7280">
        <f>IF(B7280="","",IFERROR(RIGHT(B7280,LEN(B7280)-FIND("@",B7280)),""))</f>
        <v/>
      </c>
      <c r="G7280">
        <f>IF(D7280="KEEP",COUNTIF($D$2:D7280,"KEEP"),"")</f>
        <v/>
      </c>
      <c r="H7280">
        <f>IF(D7280="REMOVE",COUNTIF($D$2:D7280,"REMOVE"),"")</f>
        <v/>
      </c>
      <c r="I7280">
        <f>IF(E7280="Gmail",COUNTIF($E$2:E7280,"Gmail"),"")</f>
        <v/>
      </c>
      <c r="J7280">
        <f>IF(E7280="Outlook",COUNTIF($E$2:E7280,"Outlook"),"")</f>
        <v/>
      </c>
      <c r="K7280">
        <f>IF(E7280="Domain",COUNTIF($E$2:E7280,"Domain"),"")</f>
        <v/>
      </c>
    </row>
    <row r="7281">
      <c r="A7281" s="2" t="n"/>
      <c r="B7281">
        <f>LOWER(TRIM(A7281))</f>
        <v/>
      </c>
      <c r="C7281">
        <f>IF(B7281="","",IFERROR(INDEX('Bad Patterns'!$A$2:$A$120,MATCH(1,INDEX(--ISNUMBER(SEARCH('Bad Patterns'!$A$2:$A$120,B7281)),0),0)),""))</f>
        <v/>
      </c>
      <c r="D7281">
        <f>IF(B7281="","",IF(C7281&lt;&gt;"","REMOVE","KEEP"))</f>
        <v/>
      </c>
      <c r="E7281">
        <f>IF(D7281&lt;&gt;"KEEP","",IF(RIGHT(B7281,10)="@gmail.com","Gmail",IF(OR(RIGHT(B7281,12)="@outlook.com",RIGHT(B7281,12)="@hotmail.com",RIGHT(B7281,9)="@live.com"),"Outlook","Domain")))</f>
        <v/>
      </c>
      <c r="F7281">
        <f>IF(B7281="","",IFERROR(RIGHT(B7281,LEN(B7281)-FIND("@",B7281)),""))</f>
        <v/>
      </c>
      <c r="G7281">
        <f>IF(D7281="KEEP",COUNTIF($D$2:D7281,"KEEP"),"")</f>
        <v/>
      </c>
      <c r="H7281">
        <f>IF(D7281="REMOVE",COUNTIF($D$2:D7281,"REMOVE"),"")</f>
        <v/>
      </c>
      <c r="I7281">
        <f>IF(E7281="Gmail",COUNTIF($E$2:E7281,"Gmail"),"")</f>
        <v/>
      </c>
      <c r="J7281">
        <f>IF(E7281="Outlook",COUNTIF($E$2:E7281,"Outlook"),"")</f>
        <v/>
      </c>
      <c r="K7281">
        <f>IF(E7281="Domain",COUNTIF($E$2:E7281,"Domain"),"")</f>
        <v/>
      </c>
    </row>
    <row r="7282">
      <c r="A7282" s="2" t="n"/>
      <c r="B7282">
        <f>LOWER(TRIM(A7282))</f>
        <v/>
      </c>
      <c r="C7282">
        <f>IF(B7282="","",IFERROR(INDEX('Bad Patterns'!$A$2:$A$120,MATCH(1,INDEX(--ISNUMBER(SEARCH('Bad Patterns'!$A$2:$A$120,B7282)),0),0)),""))</f>
        <v/>
      </c>
      <c r="D7282">
        <f>IF(B7282="","",IF(C7282&lt;&gt;"","REMOVE","KEEP"))</f>
        <v/>
      </c>
      <c r="E7282">
        <f>IF(D7282&lt;&gt;"KEEP","",IF(RIGHT(B7282,10)="@gmail.com","Gmail",IF(OR(RIGHT(B7282,12)="@outlook.com",RIGHT(B7282,12)="@hotmail.com",RIGHT(B7282,9)="@live.com"),"Outlook","Domain")))</f>
        <v/>
      </c>
      <c r="F7282">
        <f>IF(B7282="","",IFERROR(RIGHT(B7282,LEN(B7282)-FIND("@",B7282)),""))</f>
        <v/>
      </c>
      <c r="G7282">
        <f>IF(D7282="KEEP",COUNTIF($D$2:D7282,"KEEP"),"")</f>
        <v/>
      </c>
      <c r="H7282">
        <f>IF(D7282="REMOVE",COUNTIF($D$2:D7282,"REMOVE"),"")</f>
        <v/>
      </c>
      <c r="I7282">
        <f>IF(E7282="Gmail",COUNTIF($E$2:E7282,"Gmail"),"")</f>
        <v/>
      </c>
      <c r="J7282">
        <f>IF(E7282="Outlook",COUNTIF($E$2:E7282,"Outlook"),"")</f>
        <v/>
      </c>
      <c r="K7282">
        <f>IF(E7282="Domain",COUNTIF($E$2:E7282,"Domain"),"")</f>
        <v/>
      </c>
    </row>
    <row r="7283">
      <c r="A7283" s="2" t="n"/>
      <c r="B7283">
        <f>LOWER(TRIM(A7283))</f>
        <v/>
      </c>
      <c r="C7283">
        <f>IF(B7283="","",IFERROR(INDEX('Bad Patterns'!$A$2:$A$120,MATCH(1,INDEX(--ISNUMBER(SEARCH('Bad Patterns'!$A$2:$A$120,B7283)),0),0)),""))</f>
        <v/>
      </c>
      <c r="D7283">
        <f>IF(B7283="","",IF(C7283&lt;&gt;"","REMOVE","KEEP"))</f>
        <v/>
      </c>
      <c r="E7283">
        <f>IF(D7283&lt;&gt;"KEEP","",IF(RIGHT(B7283,10)="@gmail.com","Gmail",IF(OR(RIGHT(B7283,12)="@outlook.com",RIGHT(B7283,12)="@hotmail.com",RIGHT(B7283,9)="@live.com"),"Outlook","Domain")))</f>
        <v/>
      </c>
      <c r="F7283">
        <f>IF(B7283="","",IFERROR(RIGHT(B7283,LEN(B7283)-FIND("@",B7283)),""))</f>
        <v/>
      </c>
      <c r="G7283">
        <f>IF(D7283="KEEP",COUNTIF($D$2:D7283,"KEEP"),"")</f>
        <v/>
      </c>
      <c r="H7283">
        <f>IF(D7283="REMOVE",COUNTIF($D$2:D7283,"REMOVE"),"")</f>
        <v/>
      </c>
      <c r="I7283">
        <f>IF(E7283="Gmail",COUNTIF($E$2:E7283,"Gmail"),"")</f>
        <v/>
      </c>
      <c r="J7283">
        <f>IF(E7283="Outlook",COUNTIF($E$2:E7283,"Outlook"),"")</f>
        <v/>
      </c>
      <c r="K7283">
        <f>IF(E7283="Domain",COUNTIF($E$2:E7283,"Domain"),"")</f>
        <v/>
      </c>
    </row>
    <row r="7284">
      <c r="A7284" s="2" t="n"/>
      <c r="B7284">
        <f>LOWER(TRIM(A7284))</f>
        <v/>
      </c>
      <c r="C7284">
        <f>IF(B7284="","",IFERROR(INDEX('Bad Patterns'!$A$2:$A$120,MATCH(1,INDEX(--ISNUMBER(SEARCH('Bad Patterns'!$A$2:$A$120,B7284)),0),0)),""))</f>
        <v/>
      </c>
      <c r="D7284">
        <f>IF(B7284="","",IF(C7284&lt;&gt;"","REMOVE","KEEP"))</f>
        <v/>
      </c>
      <c r="E7284">
        <f>IF(D7284&lt;&gt;"KEEP","",IF(RIGHT(B7284,10)="@gmail.com","Gmail",IF(OR(RIGHT(B7284,12)="@outlook.com",RIGHT(B7284,12)="@hotmail.com",RIGHT(B7284,9)="@live.com"),"Outlook","Domain")))</f>
        <v/>
      </c>
      <c r="F7284">
        <f>IF(B7284="","",IFERROR(RIGHT(B7284,LEN(B7284)-FIND("@",B7284)),""))</f>
        <v/>
      </c>
      <c r="G7284">
        <f>IF(D7284="KEEP",COUNTIF($D$2:D7284,"KEEP"),"")</f>
        <v/>
      </c>
      <c r="H7284">
        <f>IF(D7284="REMOVE",COUNTIF($D$2:D7284,"REMOVE"),"")</f>
        <v/>
      </c>
      <c r="I7284">
        <f>IF(E7284="Gmail",COUNTIF($E$2:E7284,"Gmail"),"")</f>
        <v/>
      </c>
      <c r="J7284">
        <f>IF(E7284="Outlook",COUNTIF($E$2:E7284,"Outlook"),"")</f>
        <v/>
      </c>
      <c r="K7284">
        <f>IF(E7284="Domain",COUNTIF($E$2:E7284,"Domain"),"")</f>
        <v/>
      </c>
    </row>
    <row r="7285">
      <c r="A7285" s="2" t="n"/>
      <c r="B7285">
        <f>LOWER(TRIM(A7285))</f>
        <v/>
      </c>
      <c r="C7285">
        <f>IF(B7285="","",IFERROR(INDEX('Bad Patterns'!$A$2:$A$120,MATCH(1,INDEX(--ISNUMBER(SEARCH('Bad Patterns'!$A$2:$A$120,B7285)),0),0)),""))</f>
        <v/>
      </c>
      <c r="D7285">
        <f>IF(B7285="","",IF(C7285&lt;&gt;"","REMOVE","KEEP"))</f>
        <v/>
      </c>
      <c r="E7285">
        <f>IF(D7285&lt;&gt;"KEEP","",IF(RIGHT(B7285,10)="@gmail.com","Gmail",IF(OR(RIGHT(B7285,12)="@outlook.com",RIGHT(B7285,12)="@hotmail.com",RIGHT(B7285,9)="@live.com"),"Outlook","Domain")))</f>
        <v/>
      </c>
      <c r="F7285">
        <f>IF(B7285="","",IFERROR(RIGHT(B7285,LEN(B7285)-FIND("@",B7285)),""))</f>
        <v/>
      </c>
      <c r="G7285">
        <f>IF(D7285="KEEP",COUNTIF($D$2:D7285,"KEEP"),"")</f>
        <v/>
      </c>
      <c r="H7285">
        <f>IF(D7285="REMOVE",COUNTIF($D$2:D7285,"REMOVE"),"")</f>
        <v/>
      </c>
      <c r="I7285">
        <f>IF(E7285="Gmail",COUNTIF($E$2:E7285,"Gmail"),"")</f>
        <v/>
      </c>
      <c r="J7285">
        <f>IF(E7285="Outlook",COUNTIF($E$2:E7285,"Outlook"),"")</f>
        <v/>
      </c>
      <c r="K7285">
        <f>IF(E7285="Domain",COUNTIF($E$2:E7285,"Domain"),"")</f>
        <v/>
      </c>
    </row>
    <row r="7286">
      <c r="A7286" s="2" t="n"/>
      <c r="B7286">
        <f>LOWER(TRIM(A7286))</f>
        <v/>
      </c>
      <c r="C7286">
        <f>IF(B7286="","",IFERROR(INDEX('Bad Patterns'!$A$2:$A$120,MATCH(1,INDEX(--ISNUMBER(SEARCH('Bad Patterns'!$A$2:$A$120,B7286)),0),0)),""))</f>
        <v/>
      </c>
      <c r="D7286">
        <f>IF(B7286="","",IF(C7286&lt;&gt;"","REMOVE","KEEP"))</f>
        <v/>
      </c>
      <c r="E7286">
        <f>IF(D7286&lt;&gt;"KEEP","",IF(RIGHT(B7286,10)="@gmail.com","Gmail",IF(OR(RIGHT(B7286,12)="@outlook.com",RIGHT(B7286,12)="@hotmail.com",RIGHT(B7286,9)="@live.com"),"Outlook","Domain")))</f>
        <v/>
      </c>
      <c r="F7286">
        <f>IF(B7286="","",IFERROR(RIGHT(B7286,LEN(B7286)-FIND("@",B7286)),""))</f>
        <v/>
      </c>
      <c r="G7286">
        <f>IF(D7286="KEEP",COUNTIF($D$2:D7286,"KEEP"),"")</f>
        <v/>
      </c>
      <c r="H7286">
        <f>IF(D7286="REMOVE",COUNTIF($D$2:D7286,"REMOVE"),"")</f>
        <v/>
      </c>
      <c r="I7286">
        <f>IF(E7286="Gmail",COUNTIF($E$2:E7286,"Gmail"),"")</f>
        <v/>
      </c>
      <c r="J7286">
        <f>IF(E7286="Outlook",COUNTIF($E$2:E7286,"Outlook"),"")</f>
        <v/>
      </c>
      <c r="K7286">
        <f>IF(E7286="Domain",COUNTIF($E$2:E7286,"Domain"),"")</f>
        <v/>
      </c>
    </row>
    <row r="7287">
      <c r="A7287" s="2" t="n"/>
      <c r="B7287">
        <f>LOWER(TRIM(A7287))</f>
        <v/>
      </c>
      <c r="C7287">
        <f>IF(B7287="","",IFERROR(INDEX('Bad Patterns'!$A$2:$A$120,MATCH(1,INDEX(--ISNUMBER(SEARCH('Bad Patterns'!$A$2:$A$120,B7287)),0),0)),""))</f>
        <v/>
      </c>
      <c r="D7287">
        <f>IF(B7287="","",IF(C7287&lt;&gt;"","REMOVE","KEEP"))</f>
        <v/>
      </c>
      <c r="E7287">
        <f>IF(D7287&lt;&gt;"KEEP","",IF(RIGHT(B7287,10)="@gmail.com","Gmail",IF(OR(RIGHT(B7287,12)="@outlook.com",RIGHT(B7287,12)="@hotmail.com",RIGHT(B7287,9)="@live.com"),"Outlook","Domain")))</f>
        <v/>
      </c>
      <c r="F7287">
        <f>IF(B7287="","",IFERROR(RIGHT(B7287,LEN(B7287)-FIND("@",B7287)),""))</f>
        <v/>
      </c>
      <c r="G7287">
        <f>IF(D7287="KEEP",COUNTIF($D$2:D7287,"KEEP"),"")</f>
        <v/>
      </c>
      <c r="H7287">
        <f>IF(D7287="REMOVE",COUNTIF($D$2:D7287,"REMOVE"),"")</f>
        <v/>
      </c>
      <c r="I7287">
        <f>IF(E7287="Gmail",COUNTIF($E$2:E7287,"Gmail"),"")</f>
        <v/>
      </c>
      <c r="J7287">
        <f>IF(E7287="Outlook",COUNTIF($E$2:E7287,"Outlook"),"")</f>
        <v/>
      </c>
      <c r="K7287">
        <f>IF(E7287="Domain",COUNTIF($E$2:E7287,"Domain"),"")</f>
        <v/>
      </c>
    </row>
    <row r="7288">
      <c r="A7288" s="2" t="n"/>
      <c r="B7288">
        <f>LOWER(TRIM(A7288))</f>
        <v/>
      </c>
      <c r="C7288">
        <f>IF(B7288="","",IFERROR(INDEX('Bad Patterns'!$A$2:$A$120,MATCH(1,INDEX(--ISNUMBER(SEARCH('Bad Patterns'!$A$2:$A$120,B7288)),0),0)),""))</f>
        <v/>
      </c>
      <c r="D7288">
        <f>IF(B7288="","",IF(C7288&lt;&gt;"","REMOVE","KEEP"))</f>
        <v/>
      </c>
      <c r="E7288">
        <f>IF(D7288&lt;&gt;"KEEP","",IF(RIGHT(B7288,10)="@gmail.com","Gmail",IF(OR(RIGHT(B7288,12)="@outlook.com",RIGHT(B7288,12)="@hotmail.com",RIGHT(B7288,9)="@live.com"),"Outlook","Domain")))</f>
        <v/>
      </c>
      <c r="F7288">
        <f>IF(B7288="","",IFERROR(RIGHT(B7288,LEN(B7288)-FIND("@",B7288)),""))</f>
        <v/>
      </c>
      <c r="G7288">
        <f>IF(D7288="KEEP",COUNTIF($D$2:D7288,"KEEP"),"")</f>
        <v/>
      </c>
      <c r="H7288">
        <f>IF(D7288="REMOVE",COUNTIF($D$2:D7288,"REMOVE"),"")</f>
        <v/>
      </c>
      <c r="I7288">
        <f>IF(E7288="Gmail",COUNTIF($E$2:E7288,"Gmail"),"")</f>
        <v/>
      </c>
      <c r="J7288">
        <f>IF(E7288="Outlook",COUNTIF($E$2:E7288,"Outlook"),"")</f>
        <v/>
      </c>
      <c r="K7288">
        <f>IF(E7288="Domain",COUNTIF($E$2:E7288,"Domain"),"")</f>
        <v/>
      </c>
    </row>
    <row r="7289">
      <c r="A7289" s="2" t="n"/>
      <c r="B7289">
        <f>LOWER(TRIM(A7289))</f>
        <v/>
      </c>
      <c r="C7289">
        <f>IF(B7289="","",IFERROR(INDEX('Bad Patterns'!$A$2:$A$120,MATCH(1,INDEX(--ISNUMBER(SEARCH('Bad Patterns'!$A$2:$A$120,B7289)),0),0)),""))</f>
        <v/>
      </c>
      <c r="D7289">
        <f>IF(B7289="","",IF(C7289&lt;&gt;"","REMOVE","KEEP"))</f>
        <v/>
      </c>
      <c r="E7289">
        <f>IF(D7289&lt;&gt;"KEEP","",IF(RIGHT(B7289,10)="@gmail.com","Gmail",IF(OR(RIGHT(B7289,12)="@outlook.com",RIGHT(B7289,12)="@hotmail.com",RIGHT(B7289,9)="@live.com"),"Outlook","Domain")))</f>
        <v/>
      </c>
      <c r="F7289">
        <f>IF(B7289="","",IFERROR(RIGHT(B7289,LEN(B7289)-FIND("@",B7289)),""))</f>
        <v/>
      </c>
      <c r="G7289">
        <f>IF(D7289="KEEP",COUNTIF($D$2:D7289,"KEEP"),"")</f>
        <v/>
      </c>
      <c r="H7289">
        <f>IF(D7289="REMOVE",COUNTIF($D$2:D7289,"REMOVE"),"")</f>
        <v/>
      </c>
      <c r="I7289">
        <f>IF(E7289="Gmail",COUNTIF($E$2:E7289,"Gmail"),"")</f>
        <v/>
      </c>
      <c r="J7289">
        <f>IF(E7289="Outlook",COUNTIF($E$2:E7289,"Outlook"),"")</f>
        <v/>
      </c>
      <c r="K7289">
        <f>IF(E7289="Domain",COUNTIF($E$2:E7289,"Domain"),"")</f>
        <v/>
      </c>
    </row>
    <row r="7290">
      <c r="A7290" s="2" t="n"/>
      <c r="B7290">
        <f>LOWER(TRIM(A7290))</f>
        <v/>
      </c>
      <c r="C7290">
        <f>IF(B7290="","",IFERROR(INDEX('Bad Patterns'!$A$2:$A$120,MATCH(1,INDEX(--ISNUMBER(SEARCH('Bad Patterns'!$A$2:$A$120,B7290)),0),0)),""))</f>
        <v/>
      </c>
      <c r="D7290">
        <f>IF(B7290="","",IF(C7290&lt;&gt;"","REMOVE","KEEP"))</f>
        <v/>
      </c>
      <c r="E7290">
        <f>IF(D7290&lt;&gt;"KEEP","",IF(RIGHT(B7290,10)="@gmail.com","Gmail",IF(OR(RIGHT(B7290,12)="@outlook.com",RIGHT(B7290,12)="@hotmail.com",RIGHT(B7290,9)="@live.com"),"Outlook","Domain")))</f>
        <v/>
      </c>
      <c r="F7290">
        <f>IF(B7290="","",IFERROR(RIGHT(B7290,LEN(B7290)-FIND("@",B7290)),""))</f>
        <v/>
      </c>
      <c r="G7290">
        <f>IF(D7290="KEEP",COUNTIF($D$2:D7290,"KEEP"),"")</f>
        <v/>
      </c>
      <c r="H7290">
        <f>IF(D7290="REMOVE",COUNTIF($D$2:D7290,"REMOVE"),"")</f>
        <v/>
      </c>
      <c r="I7290">
        <f>IF(E7290="Gmail",COUNTIF($E$2:E7290,"Gmail"),"")</f>
        <v/>
      </c>
      <c r="J7290">
        <f>IF(E7290="Outlook",COUNTIF($E$2:E7290,"Outlook"),"")</f>
        <v/>
      </c>
      <c r="K7290">
        <f>IF(E7290="Domain",COUNTIF($E$2:E7290,"Domain"),"")</f>
        <v/>
      </c>
    </row>
    <row r="7291">
      <c r="A7291" s="2" t="n"/>
      <c r="B7291">
        <f>LOWER(TRIM(A7291))</f>
        <v/>
      </c>
      <c r="C7291">
        <f>IF(B7291="","",IFERROR(INDEX('Bad Patterns'!$A$2:$A$120,MATCH(1,INDEX(--ISNUMBER(SEARCH('Bad Patterns'!$A$2:$A$120,B7291)),0),0)),""))</f>
        <v/>
      </c>
      <c r="D7291">
        <f>IF(B7291="","",IF(C7291&lt;&gt;"","REMOVE","KEEP"))</f>
        <v/>
      </c>
      <c r="E7291">
        <f>IF(D7291&lt;&gt;"KEEP","",IF(RIGHT(B7291,10)="@gmail.com","Gmail",IF(OR(RIGHT(B7291,12)="@outlook.com",RIGHT(B7291,12)="@hotmail.com",RIGHT(B7291,9)="@live.com"),"Outlook","Domain")))</f>
        <v/>
      </c>
      <c r="F7291">
        <f>IF(B7291="","",IFERROR(RIGHT(B7291,LEN(B7291)-FIND("@",B7291)),""))</f>
        <v/>
      </c>
      <c r="G7291">
        <f>IF(D7291="KEEP",COUNTIF($D$2:D7291,"KEEP"),"")</f>
        <v/>
      </c>
      <c r="H7291">
        <f>IF(D7291="REMOVE",COUNTIF($D$2:D7291,"REMOVE"),"")</f>
        <v/>
      </c>
      <c r="I7291">
        <f>IF(E7291="Gmail",COUNTIF($E$2:E7291,"Gmail"),"")</f>
        <v/>
      </c>
      <c r="J7291">
        <f>IF(E7291="Outlook",COUNTIF($E$2:E7291,"Outlook"),"")</f>
        <v/>
      </c>
      <c r="K7291">
        <f>IF(E7291="Domain",COUNTIF($E$2:E7291,"Domain"),"")</f>
        <v/>
      </c>
    </row>
    <row r="7292">
      <c r="A7292" s="2" t="n"/>
      <c r="B7292">
        <f>LOWER(TRIM(A7292))</f>
        <v/>
      </c>
      <c r="C7292">
        <f>IF(B7292="","",IFERROR(INDEX('Bad Patterns'!$A$2:$A$120,MATCH(1,INDEX(--ISNUMBER(SEARCH('Bad Patterns'!$A$2:$A$120,B7292)),0),0)),""))</f>
        <v/>
      </c>
      <c r="D7292">
        <f>IF(B7292="","",IF(C7292&lt;&gt;"","REMOVE","KEEP"))</f>
        <v/>
      </c>
      <c r="E7292">
        <f>IF(D7292&lt;&gt;"KEEP","",IF(RIGHT(B7292,10)="@gmail.com","Gmail",IF(OR(RIGHT(B7292,12)="@outlook.com",RIGHT(B7292,12)="@hotmail.com",RIGHT(B7292,9)="@live.com"),"Outlook","Domain")))</f>
        <v/>
      </c>
      <c r="F7292">
        <f>IF(B7292="","",IFERROR(RIGHT(B7292,LEN(B7292)-FIND("@",B7292)),""))</f>
        <v/>
      </c>
      <c r="G7292">
        <f>IF(D7292="KEEP",COUNTIF($D$2:D7292,"KEEP"),"")</f>
        <v/>
      </c>
      <c r="H7292">
        <f>IF(D7292="REMOVE",COUNTIF($D$2:D7292,"REMOVE"),"")</f>
        <v/>
      </c>
      <c r="I7292">
        <f>IF(E7292="Gmail",COUNTIF($E$2:E7292,"Gmail"),"")</f>
        <v/>
      </c>
      <c r="J7292">
        <f>IF(E7292="Outlook",COUNTIF($E$2:E7292,"Outlook"),"")</f>
        <v/>
      </c>
      <c r="K7292">
        <f>IF(E7292="Domain",COUNTIF($E$2:E7292,"Domain"),"")</f>
        <v/>
      </c>
    </row>
    <row r="7293">
      <c r="A7293" s="2" t="n"/>
      <c r="B7293">
        <f>LOWER(TRIM(A7293))</f>
        <v/>
      </c>
      <c r="C7293">
        <f>IF(B7293="","",IFERROR(INDEX('Bad Patterns'!$A$2:$A$120,MATCH(1,INDEX(--ISNUMBER(SEARCH('Bad Patterns'!$A$2:$A$120,B7293)),0),0)),""))</f>
        <v/>
      </c>
      <c r="D7293">
        <f>IF(B7293="","",IF(C7293&lt;&gt;"","REMOVE","KEEP"))</f>
        <v/>
      </c>
      <c r="E7293">
        <f>IF(D7293&lt;&gt;"KEEP","",IF(RIGHT(B7293,10)="@gmail.com","Gmail",IF(OR(RIGHT(B7293,12)="@outlook.com",RIGHT(B7293,12)="@hotmail.com",RIGHT(B7293,9)="@live.com"),"Outlook","Domain")))</f>
        <v/>
      </c>
      <c r="F7293">
        <f>IF(B7293="","",IFERROR(RIGHT(B7293,LEN(B7293)-FIND("@",B7293)),""))</f>
        <v/>
      </c>
      <c r="G7293">
        <f>IF(D7293="KEEP",COUNTIF($D$2:D7293,"KEEP"),"")</f>
        <v/>
      </c>
      <c r="H7293">
        <f>IF(D7293="REMOVE",COUNTIF($D$2:D7293,"REMOVE"),"")</f>
        <v/>
      </c>
      <c r="I7293">
        <f>IF(E7293="Gmail",COUNTIF($E$2:E7293,"Gmail"),"")</f>
        <v/>
      </c>
      <c r="J7293">
        <f>IF(E7293="Outlook",COUNTIF($E$2:E7293,"Outlook"),"")</f>
        <v/>
      </c>
      <c r="K7293">
        <f>IF(E7293="Domain",COUNTIF($E$2:E7293,"Domain"),"")</f>
        <v/>
      </c>
    </row>
    <row r="7294">
      <c r="A7294" s="2" t="n"/>
      <c r="B7294">
        <f>LOWER(TRIM(A7294))</f>
        <v/>
      </c>
      <c r="C7294">
        <f>IF(B7294="","",IFERROR(INDEX('Bad Patterns'!$A$2:$A$120,MATCH(1,INDEX(--ISNUMBER(SEARCH('Bad Patterns'!$A$2:$A$120,B7294)),0),0)),""))</f>
        <v/>
      </c>
      <c r="D7294">
        <f>IF(B7294="","",IF(C7294&lt;&gt;"","REMOVE","KEEP"))</f>
        <v/>
      </c>
      <c r="E7294">
        <f>IF(D7294&lt;&gt;"KEEP","",IF(RIGHT(B7294,10)="@gmail.com","Gmail",IF(OR(RIGHT(B7294,12)="@outlook.com",RIGHT(B7294,12)="@hotmail.com",RIGHT(B7294,9)="@live.com"),"Outlook","Domain")))</f>
        <v/>
      </c>
      <c r="F7294">
        <f>IF(B7294="","",IFERROR(RIGHT(B7294,LEN(B7294)-FIND("@",B7294)),""))</f>
        <v/>
      </c>
      <c r="G7294">
        <f>IF(D7294="KEEP",COUNTIF($D$2:D7294,"KEEP"),"")</f>
        <v/>
      </c>
      <c r="H7294">
        <f>IF(D7294="REMOVE",COUNTIF($D$2:D7294,"REMOVE"),"")</f>
        <v/>
      </c>
      <c r="I7294">
        <f>IF(E7294="Gmail",COUNTIF($E$2:E7294,"Gmail"),"")</f>
        <v/>
      </c>
      <c r="J7294">
        <f>IF(E7294="Outlook",COUNTIF($E$2:E7294,"Outlook"),"")</f>
        <v/>
      </c>
      <c r="K7294">
        <f>IF(E7294="Domain",COUNTIF($E$2:E7294,"Domain"),"")</f>
        <v/>
      </c>
    </row>
    <row r="7295">
      <c r="A7295" s="2" t="n"/>
      <c r="B7295">
        <f>LOWER(TRIM(A7295))</f>
        <v/>
      </c>
      <c r="C7295">
        <f>IF(B7295="","",IFERROR(INDEX('Bad Patterns'!$A$2:$A$120,MATCH(1,INDEX(--ISNUMBER(SEARCH('Bad Patterns'!$A$2:$A$120,B7295)),0),0)),""))</f>
        <v/>
      </c>
      <c r="D7295">
        <f>IF(B7295="","",IF(C7295&lt;&gt;"","REMOVE","KEEP"))</f>
        <v/>
      </c>
      <c r="E7295">
        <f>IF(D7295&lt;&gt;"KEEP","",IF(RIGHT(B7295,10)="@gmail.com","Gmail",IF(OR(RIGHT(B7295,12)="@outlook.com",RIGHT(B7295,12)="@hotmail.com",RIGHT(B7295,9)="@live.com"),"Outlook","Domain")))</f>
        <v/>
      </c>
      <c r="F7295">
        <f>IF(B7295="","",IFERROR(RIGHT(B7295,LEN(B7295)-FIND("@",B7295)),""))</f>
        <v/>
      </c>
      <c r="G7295">
        <f>IF(D7295="KEEP",COUNTIF($D$2:D7295,"KEEP"),"")</f>
        <v/>
      </c>
      <c r="H7295">
        <f>IF(D7295="REMOVE",COUNTIF($D$2:D7295,"REMOVE"),"")</f>
        <v/>
      </c>
      <c r="I7295">
        <f>IF(E7295="Gmail",COUNTIF($E$2:E7295,"Gmail"),"")</f>
        <v/>
      </c>
      <c r="J7295">
        <f>IF(E7295="Outlook",COUNTIF($E$2:E7295,"Outlook"),"")</f>
        <v/>
      </c>
      <c r="K7295">
        <f>IF(E7295="Domain",COUNTIF($E$2:E7295,"Domain"),"")</f>
        <v/>
      </c>
    </row>
    <row r="7296">
      <c r="A7296" s="2" t="n"/>
      <c r="B7296">
        <f>LOWER(TRIM(A7296))</f>
        <v/>
      </c>
      <c r="C7296">
        <f>IF(B7296="","",IFERROR(INDEX('Bad Patterns'!$A$2:$A$120,MATCH(1,INDEX(--ISNUMBER(SEARCH('Bad Patterns'!$A$2:$A$120,B7296)),0),0)),""))</f>
        <v/>
      </c>
      <c r="D7296">
        <f>IF(B7296="","",IF(C7296&lt;&gt;"","REMOVE","KEEP"))</f>
        <v/>
      </c>
      <c r="E7296">
        <f>IF(D7296&lt;&gt;"KEEP","",IF(RIGHT(B7296,10)="@gmail.com","Gmail",IF(OR(RIGHT(B7296,12)="@outlook.com",RIGHT(B7296,12)="@hotmail.com",RIGHT(B7296,9)="@live.com"),"Outlook","Domain")))</f>
        <v/>
      </c>
      <c r="F7296">
        <f>IF(B7296="","",IFERROR(RIGHT(B7296,LEN(B7296)-FIND("@",B7296)),""))</f>
        <v/>
      </c>
      <c r="G7296">
        <f>IF(D7296="KEEP",COUNTIF($D$2:D7296,"KEEP"),"")</f>
        <v/>
      </c>
      <c r="H7296">
        <f>IF(D7296="REMOVE",COUNTIF($D$2:D7296,"REMOVE"),"")</f>
        <v/>
      </c>
      <c r="I7296">
        <f>IF(E7296="Gmail",COUNTIF($E$2:E7296,"Gmail"),"")</f>
        <v/>
      </c>
      <c r="J7296">
        <f>IF(E7296="Outlook",COUNTIF($E$2:E7296,"Outlook"),"")</f>
        <v/>
      </c>
      <c r="K7296">
        <f>IF(E7296="Domain",COUNTIF($E$2:E7296,"Domain"),"")</f>
        <v/>
      </c>
    </row>
    <row r="7297">
      <c r="A7297" s="2" t="n"/>
      <c r="B7297">
        <f>LOWER(TRIM(A7297))</f>
        <v/>
      </c>
      <c r="C7297">
        <f>IF(B7297="","",IFERROR(INDEX('Bad Patterns'!$A$2:$A$120,MATCH(1,INDEX(--ISNUMBER(SEARCH('Bad Patterns'!$A$2:$A$120,B7297)),0),0)),""))</f>
        <v/>
      </c>
      <c r="D7297">
        <f>IF(B7297="","",IF(C7297&lt;&gt;"","REMOVE","KEEP"))</f>
        <v/>
      </c>
      <c r="E7297">
        <f>IF(D7297&lt;&gt;"KEEP","",IF(RIGHT(B7297,10)="@gmail.com","Gmail",IF(OR(RIGHT(B7297,12)="@outlook.com",RIGHT(B7297,12)="@hotmail.com",RIGHT(B7297,9)="@live.com"),"Outlook","Domain")))</f>
        <v/>
      </c>
      <c r="F7297">
        <f>IF(B7297="","",IFERROR(RIGHT(B7297,LEN(B7297)-FIND("@",B7297)),""))</f>
        <v/>
      </c>
      <c r="G7297">
        <f>IF(D7297="KEEP",COUNTIF($D$2:D7297,"KEEP"),"")</f>
        <v/>
      </c>
      <c r="H7297">
        <f>IF(D7297="REMOVE",COUNTIF($D$2:D7297,"REMOVE"),"")</f>
        <v/>
      </c>
      <c r="I7297">
        <f>IF(E7297="Gmail",COUNTIF($E$2:E7297,"Gmail"),"")</f>
        <v/>
      </c>
      <c r="J7297">
        <f>IF(E7297="Outlook",COUNTIF($E$2:E7297,"Outlook"),"")</f>
        <v/>
      </c>
      <c r="K7297">
        <f>IF(E7297="Domain",COUNTIF($E$2:E7297,"Domain"),"")</f>
        <v/>
      </c>
    </row>
    <row r="7298">
      <c r="A7298" s="2" t="n"/>
      <c r="B7298">
        <f>LOWER(TRIM(A7298))</f>
        <v/>
      </c>
      <c r="C7298">
        <f>IF(B7298="","",IFERROR(INDEX('Bad Patterns'!$A$2:$A$120,MATCH(1,INDEX(--ISNUMBER(SEARCH('Bad Patterns'!$A$2:$A$120,B7298)),0),0)),""))</f>
        <v/>
      </c>
      <c r="D7298">
        <f>IF(B7298="","",IF(C7298&lt;&gt;"","REMOVE","KEEP"))</f>
        <v/>
      </c>
      <c r="E7298">
        <f>IF(D7298&lt;&gt;"KEEP","",IF(RIGHT(B7298,10)="@gmail.com","Gmail",IF(OR(RIGHT(B7298,12)="@outlook.com",RIGHT(B7298,12)="@hotmail.com",RIGHT(B7298,9)="@live.com"),"Outlook","Domain")))</f>
        <v/>
      </c>
      <c r="F7298">
        <f>IF(B7298="","",IFERROR(RIGHT(B7298,LEN(B7298)-FIND("@",B7298)),""))</f>
        <v/>
      </c>
      <c r="G7298">
        <f>IF(D7298="KEEP",COUNTIF($D$2:D7298,"KEEP"),"")</f>
        <v/>
      </c>
      <c r="H7298">
        <f>IF(D7298="REMOVE",COUNTIF($D$2:D7298,"REMOVE"),"")</f>
        <v/>
      </c>
      <c r="I7298">
        <f>IF(E7298="Gmail",COUNTIF($E$2:E7298,"Gmail"),"")</f>
        <v/>
      </c>
      <c r="J7298">
        <f>IF(E7298="Outlook",COUNTIF($E$2:E7298,"Outlook"),"")</f>
        <v/>
      </c>
      <c r="K7298">
        <f>IF(E7298="Domain",COUNTIF($E$2:E7298,"Domain"),"")</f>
        <v/>
      </c>
    </row>
    <row r="7299">
      <c r="A7299" s="2" t="n"/>
      <c r="B7299">
        <f>LOWER(TRIM(A7299))</f>
        <v/>
      </c>
      <c r="C7299">
        <f>IF(B7299="","",IFERROR(INDEX('Bad Patterns'!$A$2:$A$120,MATCH(1,INDEX(--ISNUMBER(SEARCH('Bad Patterns'!$A$2:$A$120,B7299)),0),0)),""))</f>
        <v/>
      </c>
      <c r="D7299">
        <f>IF(B7299="","",IF(C7299&lt;&gt;"","REMOVE","KEEP"))</f>
        <v/>
      </c>
      <c r="E7299">
        <f>IF(D7299&lt;&gt;"KEEP","",IF(RIGHT(B7299,10)="@gmail.com","Gmail",IF(OR(RIGHT(B7299,12)="@outlook.com",RIGHT(B7299,12)="@hotmail.com",RIGHT(B7299,9)="@live.com"),"Outlook","Domain")))</f>
        <v/>
      </c>
      <c r="F7299">
        <f>IF(B7299="","",IFERROR(RIGHT(B7299,LEN(B7299)-FIND("@",B7299)),""))</f>
        <v/>
      </c>
      <c r="G7299">
        <f>IF(D7299="KEEP",COUNTIF($D$2:D7299,"KEEP"),"")</f>
        <v/>
      </c>
      <c r="H7299">
        <f>IF(D7299="REMOVE",COUNTIF($D$2:D7299,"REMOVE"),"")</f>
        <v/>
      </c>
      <c r="I7299">
        <f>IF(E7299="Gmail",COUNTIF($E$2:E7299,"Gmail"),"")</f>
        <v/>
      </c>
      <c r="J7299">
        <f>IF(E7299="Outlook",COUNTIF($E$2:E7299,"Outlook"),"")</f>
        <v/>
      </c>
      <c r="K7299">
        <f>IF(E7299="Domain",COUNTIF($E$2:E7299,"Domain"),"")</f>
        <v/>
      </c>
    </row>
    <row r="7300">
      <c r="A7300" s="2" t="n"/>
      <c r="B7300">
        <f>LOWER(TRIM(A7300))</f>
        <v/>
      </c>
      <c r="C7300">
        <f>IF(B7300="","",IFERROR(INDEX('Bad Patterns'!$A$2:$A$120,MATCH(1,INDEX(--ISNUMBER(SEARCH('Bad Patterns'!$A$2:$A$120,B7300)),0),0)),""))</f>
        <v/>
      </c>
      <c r="D7300">
        <f>IF(B7300="","",IF(C7300&lt;&gt;"","REMOVE","KEEP"))</f>
        <v/>
      </c>
      <c r="E7300">
        <f>IF(D7300&lt;&gt;"KEEP","",IF(RIGHT(B7300,10)="@gmail.com","Gmail",IF(OR(RIGHT(B7300,12)="@outlook.com",RIGHT(B7300,12)="@hotmail.com",RIGHT(B7300,9)="@live.com"),"Outlook","Domain")))</f>
        <v/>
      </c>
      <c r="F7300">
        <f>IF(B7300="","",IFERROR(RIGHT(B7300,LEN(B7300)-FIND("@",B7300)),""))</f>
        <v/>
      </c>
      <c r="G7300">
        <f>IF(D7300="KEEP",COUNTIF($D$2:D7300,"KEEP"),"")</f>
        <v/>
      </c>
      <c r="H7300">
        <f>IF(D7300="REMOVE",COUNTIF($D$2:D7300,"REMOVE"),"")</f>
        <v/>
      </c>
      <c r="I7300">
        <f>IF(E7300="Gmail",COUNTIF($E$2:E7300,"Gmail"),"")</f>
        <v/>
      </c>
      <c r="J7300">
        <f>IF(E7300="Outlook",COUNTIF($E$2:E7300,"Outlook"),"")</f>
        <v/>
      </c>
      <c r="K7300">
        <f>IF(E7300="Domain",COUNTIF($E$2:E7300,"Domain"),"")</f>
        <v/>
      </c>
    </row>
    <row r="7301">
      <c r="A7301" s="2" t="n"/>
      <c r="B7301">
        <f>LOWER(TRIM(A7301))</f>
        <v/>
      </c>
      <c r="C7301">
        <f>IF(B7301="","",IFERROR(INDEX('Bad Patterns'!$A$2:$A$120,MATCH(1,INDEX(--ISNUMBER(SEARCH('Bad Patterns'!$A$2:$A$120,B7301)),0),0)),""))</f>
        <v/>
      </c>
      <c r="D7301">
        <f>IF(B7301="","",IF(C7301&lt;&gt;"","REMOVE","KEEP"))</f>
        <v/>
      </c>
      <c r="E7301">
        <f>IF(D7301&lt;&gt;"KEEP","",IF(RIGHT(B7301,10)="@gmail.com","Gmail",IF(OR(RIGHT(B7301,12)="@outlook.com",RIGHT(B7301,12)="@hotmail.com",RIGHT(B7301,9)="@live.com"),"Outlook","Domain")))</f>
        <v/>
      </c>
      <c r="F7301">
        <f>IF(B7301="","",IFERROR(RIGHT(B7301,LEN(B7301)-FIND("@",B7301)),""))</f>
        <v/>
      </c>
      <c r="G7301">
        <f>IF(D7301="KEEP",COUNTIF($D$2:D7301,"KEEP"),"")</f>
        <v/>
      </c>
      <c r="H7301">
        <f>IF(D7301="REMOVE",COUNTIF($D$2:D7301,"REMOVE"),"")</f>
        <v/>
      </c>
      <c r="I7301">
        <f>IF(E7301="Gmail",COUNTIF($E$2:E7301,"Gmail"),"")</f>
        <v/>
      </c>
      <c r="J7301">
        <f>IF(E7301="Outlook",COUNTIF($E$2:E7301,"Outlook"),"")</f>
        <v/>
      </c>
      <c r="K7301">
        <f>IF(E7301="Domain",COUNTIF($E$2:E7301,"Domain"),"")</f>
        <v/>
      </c>
    </row>
    <row r="7302">
      <c r="A7302" s="2" t="n"/>
      <c r="B7302">
        <f>LOWER(TRIM(A7302))</f>
        <v/>
      </c>
      <c r="C7302">
        <f>IF(B7302="","",IFERROR(INDEX('Bad Patterns'!$A$2:$A$120,MATCH(1,INDEX(--ISNUMBER(SEARCH('Bad Patterns'!$A$2:$A$120,B7302)),0),0)),""))</f>
        <v/>
      </c>
      <c r="D7302">
        <f>IF(B7302="","",IF(C7302&lt;&gt;"","REMOVE","KEEP"))</f>
        <v/>
      </c>
      <c r="E7302">
        <f>IF(D7302&lt;&gt;"KEEP","",IF(RIGHT(B7302,10)="@gmail.com","Gmail",IF(OR(RIGHT(B7302,12)="@outlook.com",RIGHT(B7302,12)="@hotmail.com",RIGHT(B7302,9)="@live.com"),"Outlook","Domain")))</f>
        <v/>
      </c>
      <c r="F7302">
        <f>IF(B7302="","",IFERROR(RIGHT(B7302,LEN(B7302)-FIND("@",B7302)),""))</f>
        <v/>
      </c>
      <c r="G7302">
        <f>IF(D7302="KEEP",COUNTIF($D$2:D7302,"KEEP"),"")</f>
        <v/>
      </c>
      <c r="H7302">
        <f>IF(D7302="REMOVE",COUNTIF($D$2:D7302,"REMOVE"),"")</f>
        <v/>
      </c>
      <c r="I7302">
        <f>IF(E7302="Gmail",COUNTIF($E$2:E7302,"Gmail"),"")</f>
        <v/>
      </c>
      <c r="J7302">
        <f>IF(E7302="Outlook",COUNTIF($E$2:E7302,"Outlook"),"")</f>
        <v/>
      </c>
      <c r="K7302">
        <f>IF(E7302="Domain",COUNTIF($E$2:E7302,"Domain"),"")</f>
        <v/>
      </c>
    </row>
    <row r="7303">
      <c r="A7303" s="2" t="n"/>
      <c r="B7303">
        <f>LOWER(TRIM(A7303))</f>
        <v/>
      </c>
      <c r="C7303">
        <f>IF(B7303="","",IFERROR(INDEX('Bad Patterns'!$A$2:$A$120,MATCH(1,INDEX(--ISNUMBER(SEARCH('Bad Patterns'!$A$2:$A$120,B7303)),0),0)),""))</f>
        <v/>
      </c>
      <c r="D7303">
        <f>IF(B7303="","",IF(C7303&lt;&gt;"","REMOVE","KEEP"))</f>
        <v/>
      </c>
      <c r="E7303">
        <f>IF(D7303&lt;&gt;"KEEP","",IF(RIGHT(B7303,10)="@gmail.com","Gmail",IF(OR(RIGHT(B7303,12)="@outlook.com",RIGHT(B7303,12)="@hotmail.com",RIGHT(B7303,9)="@live.com"),"Outlook","Domain")))</f>
        <v/>
      </c>
      <c r="F7303">
        <f>IF(B7303="","",IFERROR(RIGHT(B7303,LEN(B7303)-FIND("@",B7303)),""))</f>
        <v/>
      </c>
      <c r="G7303">
        <f>IF(D7303="KEEP",COUNTIF($D$2:D7303,"KEEP"),"")</f>
        <v/>
      </c>
      <c r="H7303">
        <f>IF(D7303="REMOVE",COUNTIF($D$2:D7303,"REMOVE"),"")</f>
        <v/>
      </c>
      <c r="I7303">
        <f>IF(E7303="Gmail",COUNTIF($E$2:E7303,"Gmail"),"")</f>
        <v/>
      </c>
      <c r="J7303">
        <f>IF(E7303="Outlook",COUNTIF($E$2:E7303,"Outlook"),"")</f>
        <v/>
      </c>
      <c r="K7303">
        <f>IF(E7303="Domain",COUNTIF($E$2:E7303,"Domain"),"")</f>
        <v/>
      </c>
    </row>
    <row r="7304">
      <c r="A7304" s="2" t="n"/>
      <c r="B7304">
        <f>LOWER(TRIM(A7304))</f>
        <v/>
      </c>
      <c r="C7304">
        <f>IF(B7304="","",IFERROR(INDEX('Bad Patterns'!$A$2:$A$120,MATCH(1,INDEX(--ISNUMBER(SEARCH('Bad Patterns'!$A$2:$A$120,B7304)),0),0)),""))</f>
        <v/>
      </c>
      <c r="D7304">
        <f>IF(B7304="","",IF(C7304&lt;&gt;"","REMOVE","KEEP"))</f>
        <v/>
      </c>
      <c r="E7304">
        <f>IF(D7304&lt;&gt;"KEEP","",IF(RIGHT(B7304,10)="@gmail.com","Gmail",IF(OR(RIGHT(B7304,12)="@outlook.com",RIGHT(B7304,12)="@hotmail.com",RIGHT(B7304,9)="@live.com"),"Outlook","Domain")))</f>
        <v/>
      </c>
      <c r="F7304">
        <f>IF(B7304="","",IFERROR(RIGHT(B7304,LEN(B7304)-FIND("@",B7304)),""))</f>
        <v/>
      </c>
      <c r="G7304">
        <f>IF(D7304="KEEP",COUNTIF($D$2:D7304,"KEEP"),"")</f>
        <v/>
      </c>
      <c r="H7304">
        <f>IF(D7304="REMOVE",COUNTIF($D$2:D7304,"REMOVE"),"")</f>
        <v/>
      </c>
      <c r="I7304">
        <f>IF(E7304="Gmail",COUNTIF($E$2:E7304,"Gmail"),"")</f>
        <v/>
      </c>
      <c r="J7304">
        <f>IF(E7304="Outlook",COUNTIF($E$2:E7304,"Outlook"),"")</f>
        <v/>
      </c>
      <c r="K7304">
        <f>IF(E7304="Domain",COUNTIF($E$2:E7304,"Domain"),"")</f>
        <v/>
      </c>
    </row>
    <row r="7305">
      <c r="A7305" s="2" t="n"/>
      <c r="B7305">
        <f>LOWER(TRIM(A7305))</f>
        <v/>
      </c>
      <c r="C7305">
        <f>IF(B7305="","",IFERROR(INDEX('Bad Patterns'!$A$2:$A$120,MATCH(1,INDEX(--ISNUMBER(SEARCH('Bad Patterns'!$A$2:$A$120,B7305)),0),0)),""))</f>
        <v/>
      </c>
      <c r="D7305">
        <f>IF(B7305="","",IF(C7305&lt;&gt;"","REMOVE","KEEP"))</f>
        <v/>
      </c>
      <c r="E7305">
        <f>IF(D7305&lt;&gt;"KEEP","",IF(RIGHT(B7305,10)="@gmail.com","Gmail",IF(OR(RIGHT(B7305,12)="@outlook.com",RIGHT(B7305,12)="@hotmail.com",RIGHT(B7305,9)="@live.com"),"Outlook","Domain")))</f>
        <v/>
      </c>
      <c r="F7305">
        <f>IF(B7305="","",IFERROR(RIGHT(B7305,LEN(B7305)-FIND("@",B7305)),""))</f>
        <v/>
      </c>
      <c r="G7305">
        <f>IF(D7305="KEEP",COUNTIF($D$2:D7305,"KEEP"),"")</f>
        <v/>
      </c>
      <c r="H7305">
        <f>IF(D7305="REMOVE",COUNTIF($D$2:D7305,"REMOVE"),"")</f>
        <v/>
      </c>
      <c r="I7305">
        <f>IF(E7305="Gmail",COUNTIF($E$2:E7305,"Gmail"),"")</f>
        <v/>
      </c>
      <c r="J7305">
        <f>IF(E7305="Outlook",COUNTIF($E$2:E7305,"Outlook"),"")</f>
        <v/>
      </c>
      <c r="K7305">
        <f>IF(E7305="Domain",COUNTIF($E$2:E7305,"Domain"),"")</f>
        <v/>
      </c>
    </row>
    <row r="7306">
      <c r="A7306" s="2" t="n"/>
      <c r="B7306">
        <f>LOWER(TRIM(A7306))</f>
        <v/>
      </c>
      <c r="C7306">
        <f>IF(B7306="","",IFERROR(INDEX('Bad Patterns'!$A$2:$A$120,MATCH(1,INDEX(--ISNUMBER(SEARCH('Bad Patterns'!$A$2:$A$120,B7306)),0),0)),""))</f>
        <v/>
      </c>
      <c r="D7306">
        <f>IF(B7306="","",IF(C7306&lt;&gt;"","REMOVE","KEEP"))</f>
        <v/>
      </c>
      <c r="E7306">
        <f>IF(D7306&lt;&gt;"KEEP","",IF(RIGHT(B7306,10)="@gmail.com","Gmail",IF(OR(RIGHT(B7306,12)="@outlook.com",RIGHT(B7306,12)="@hotmail.com",RIGHT(B7306,9)="@live.com"),"Outlook","Domain")))</f>
        <v/>
      </c>
      <c r="F7306">
        <f>IF(B7306="","",IFERROR(RIGHT(B7306,LEN(B7306)-FIND("@",B7306)),""))</f>
        <v/>
      </c>
      <c r="G7306">
        <f>IF(D7306="KEEP",COUNTIF($D$2:D7306,"KEEP"),"")</f>
        <v/>
      </c>
      <c r="H7306">
        <f>IF(D7306="REMOVE",COUNTIF($D$2:D7306,"REMOVE"),"")</f>
        <v/>
      </c>
      <c r="I7306">
        <f>IF(E7306="Gmail",COUNTIF($E$2:E7306,"Gmail"),"")</f>
        <v/>
      </c>
      <c r="J7306">
        <f>IF(E7306="Outlook",COUNTIF($E$2:E7306,"Outlook"),"")</f>
        <v/>
      </c>
      <c r="K7306">
        <f>IF(E7306="Domain",COUNTIF($E$2:E7306,"Domain"),"")</f>
        <v/>
      </c>
    </row>
    <row r="7307">
      <c r="A7307" s="2" t="n"/>
      <c r="B7307">
        <f>LOWER(TRIM(A7307))</f>
        <v/>
      </c>
      <c r="C7307">
        <f>IF(B7307="","",IFERROR(INDEX('Bad Patterns'!$A$2:$A$120,MATCH(1,INDEX(--ISNUMBER(SEARCH('Bad Patterns'!$A$2:$A$120,B7307)),0),0)),""))</f>
        <v/>
      </c>
      <c r="D7307">
        <f>IF(B7307="","",IF(C7307&lt;&gt;"","REMOVE","KEEP"))</f>
        <v/>
      </c>
      <c r="E7307">
        <f>IF(D7307&lt;&gt;"KEEP","",IF(RIGHT(B7307,10)="@gmail.com","Gmail",IF(OR(RIGHT(B7307,12)="@outlook.com",RIGHT(B7307,12)="@hotmail.com",RIGHT(B7307,9)="@live.com"),"Outlook","Domain")))</f>
        <v/>
      </c>
      <c r="F7307">
        <f>IF(B7307="","",IFERROR(RIGHT(B7307,LEN(B7307)-FIND("@",B7307)),""))</f>
        <v/>
      </c>
      <c r="G7307">
        <f>IF(D7307="KEEP",COUNTIF($D$2:D7307,"KEEP"),"")</f>
        <v/>
      </c>
      <c r="H7307">
        <f>IF(D7307="REMOVE",COUNTIF($D$2:D7307,"REMOVE"),"")</f>
        <v/>
      </c>
      <c r="I7307">
        <f>IF(E7307="Gmail",COUNTIF($E$2:E7307,"Gmail"),"")</f>
        <v/>
      </c>
      <c r="J7307">
        <f>IF(E7307="Outlook",COUNTIF($E$2:E7307,"Outlook"),"")</f>
        <v/>
      </c>
      <c r="K7307">
        <f>IF(E7307="Domain",COUNTIF($E$2:E7307,"Domain"),"")</f>
        <v/>
      </c>
    </row>
    <row r="7308">
      <c r="A7308" s="2" t="n"/>
      <c r="B7308">
        <f>LOWER(TRIM(A7308))</f>
        <v/>
      </c>
      <c r="C7308">
        <f>IF(B7308="","",IFERROR(INDEX('Bad Patterns'!$A$2:$A$120,MATCH(1,INDEX(--ISNUMBER(SEARCH('Bad Patterns'!$A$2:$A$120,B7308)),0),0)),""))</f>
        <v/>
      </c>
      <c r="D7308">
        <f>IF(B7308="","",IF(C7308&lt;&gt;"","REMOVE","KEEP"))</f>
        <v/>
      </c>
      <c r="E7308">
        <f>IF(D7308&lt;&gt;"KEEP","",IF(RIGHT(B7308,10)="@gmail.com","Gmail",IF(OR(RIGHT(B7308,12)="@outlook.com",RIGHT(B7308,12)="@hotmail.com",RIGHT(B7308,9)="@live.com"),"Outlook","Domain")))</f>
        <v/>
      </c>
      <c r="F7308">
        <f>IF(B7308="","",IFERROR(RIGHT(B7308,LEN(B7308)-FIND("@",B7308)),""))</f>
        <v/>
      </c>
      <c r="G7308">
        <f>IF(D7308="KEEP",COUNTIF($D$2:D7308,"KEEP"),"")</f>
        <v/>
      </c>
      <c r="H7308">
        <f>IF(D7308="REMOVE",COUNTIF($D$2:D7308,"REMOVE"),"")</f>
        <v/>
      </c>
      <c r="I7308">
        <f>IF(E7308="Gmail",COUNTIF($E$2:E7308,"Gmail"),"")</f>
        <v/>
      </c>
      <c r="J7308">
        <f>IF(E7308="Outlook",COUNTIF($E$2:E7308,"Outlook"),"")</f>
        <v/>
      </c>
      <c r="K7308">
        <f>IF(E7308="Domain",COUNTIF($E$2:E7308,"Domain"),"")</f>
        <v/>
      </c>
    </row>
    <row r="7309">
      <c r="A7309" s="2" t="n"/>
      <c r="B7309">
        <f>LOWER(TRIM(A7309))</f>
        <v/>
      </c>
      <c r="C7309">
        <f>IF(B7309="","",IFERROR(INDEX('Bad Patterns'!$A$2:$A$120,MATCH(1,INDEX(--ISNUMBER(SEARCH('Bad Patterns'!$A$2:$A$120,B7309)),0),0)),""))</f>
        <v/>
      </c>
      <c r="D7309">
        <f>IF(B7309="","",IF(C7309&lt;&gt;"","REMOVE","KEEP"))</f>
        <v/>
      </c>
      <c r="E7309">
        <f>IF(D7309&lt;&gt;"KEEP","",IF(RIGHT(B7309,10)="@gmail.com","Gmail",IF(OR(RIGHT(B7309,12)="@outlook.com",RIGHT(B7309,12)="@hotmail.com",RIGHT(B7309,9)="@live.com"),"Outlook","Domain")))</f>
        <v/>
      </c>
      <c r="F7309">
        <f>IF(B7309="","",IFERROR(RIGHT(B7309,LEN(B7309)-FIND("@",B7309)),""))</f>
        <v/>
      </c>
      <c r="G7309">
        <f>IF(D7309="KEEP",COUNTIF($D$2:D7309,"KEEP"),"")</f>
        <v/>
      </c>
      <c r="H7309">
        <f>IF(D7309="REMOVE",COUNTIF($D$2:D7309,"REMOVE"),"")</f>
        <v/>
      </c>
      <c r="I7309">
        <f>IF(E7309="Gmail",COUNTIF($E$2:E7309,"Gmail"),"")</f>
        <v/>
      </c>
      <c r="J7309">
        <f>IF(E7309="Outlook",COUNTIF($E$2:E7309,"Outlook"),"")</f>
        <v/>
      </c>
      <c r="K7309">
        <f>IF(E7309="Domain",COUNTIF($E$2:E7309,"Domain"),"")</f>
        <v/>
      </c>
    </row>
    <row r="7310">
      <c r="A7310" s="2" t="n"/>
      <c r="B7310">
        <f>LOWER(TRIM(A7310))</f>
        <v/>
      </c>
      <c r="C7310">
        <f>IF(B7310="","",IFERROR(INDEX('Bad Patterns'!$A$2:$A$120,MATCH(1,INDEX(--ISNUMBER(SEARCH('Bad Patterns'!$A$2:$A$120,B7310)),0),0)),""))</f>
        <v/>
      </c>
      <c r="D7310">
        <f>IF(B7310="","",IF(C7310&lt;&gt;"","REMOVE","KEEP"))</f>
        <v/>
      </c>
      <c r="E7310">
        <f>IF(D7310&lt;&gt;"KEEP","",IF(RIGHT(B7310,10)="@gmail.com","Gmail",IF(OR(RIGHT(B7310,12)="@outlook.com",RIGHT(B7310,12)="@hotmail.com",RIGHT(B7310,9)="@live.com"),"Outlook","Domain")))</f>
        <v/>
      </c>
      <c r="F7310">
        <f>IF(B7310="","",IFERROR(RIGHT(B7310,LEN(B7310)-FIND("@",B7310)),""))</f>
        <v/>
      </c>
      <c r="G7310">
        <f>IF(D7310="KEEP",COUNTIF($D$2:D7310,"KEEP"),"")</f>
        <v/>
      </c>
      <c r="H7310">
        <f>IF(D7310="REMOVE",COUNTIF($D$2:D7310,"REMOVE"),"")</f>
        <v/>
      </c>
      <c r="I7310">
        <f>IF(E7310="Gmail",COUNTIF($E$2:E7310,"Gmail"),"")</f>
        <v/>
      </c>
      <c r="J7310">
        <f>IF(E7310="Outlook",COUNTIF($E$2:E7310,"Outlook"),"")</f>
        <v/>
      </c>
      <c r="K7310">
        <f>IF(E7310="Domain",COUNTIF($E$2:E7310,"Domain"),"")</f>
        <v/>
      </c>
    </row>
    <row r="7311">
      <c r="A7311" s="2" t="n"/>
      <c r="B7311">
        <f>LOWER(TRIM(A7311))</f>
        <v/>
      </c>
      <c r="C7311">
        <f>IF(B7311="","",IFERROR(INDEX('Bad Patterns'!$A$2:$A$120,MATCH(1,INDEX(--ISNUMBER(SEARCH('Bad Patterns'!$A$2:$A$120,B7311)),0),0)),""))</f>
        <v/>
      </c>
      <c r="D7311">
        <f>IF(B7311="","",IF(C7311&lt;&gt;"","REMOVE","KEEP"))</f>
        <v/>
      </c>
      <c r="E7311">
        <f>IF(D7311&lt;&gt;"KEEP","",IF(RIGHT(B7311,10)="@gmail.com","Gmail",IF(OR(RIGHT(B7311,12)="@outlook.com",RIGHT(B7311,12)="@hotmail.com",RIGHT(B7311,9)="@live.com"),"Outlook","Domain")))</f>
        <v/>
      </c>
      <c r="F7311">
        <f>IF(B7311="","",IFERROR(RIGHT(B7311,LEN(B7311)-FIND("@",B7311)),""))</f>
        <v/>
      </c>
      <c r="G7311">
        <f>IF(D7311="KEEP",COUNTIF($D$2:D7311,"KEEP"),"")</f>
        <v/>
      </c>
      <c r="H7311">
        <f>IF(D7311="REMOVE",COUNTIF($D$2:D7311,"REMOVE"),"")</f>
        <v/>
      </c>
      <c r="I7311">
        <f>IF(E7311="Gmail",COUNTIF($E$2:E7311,"Gmail"),"")</f>
        <v/>
      </c>
      <c r="J7311">
        <f>IF(E7311="Outlook",COUNTIF($E$2:E7311,"Outlook"),"")</f>
        <v/>
      </c>
      <c r="K7311">
        <f>IF(E7311="Domain",COUNTIF($E$2:E7311,"Domain"),"")</f>
        <v/>
      </c>
    </row>
    <row r="7312">
      <c r="A7312" s="2" t="n"/>
      <c r="B7312">
        <f>LOWER(TRIM(A7312))</f>
        <v/>
      </c>
      <c r="C7312">
        <f>IF(B7312="","",IFERROR(INDEX('Bad Patterns'!$A$2:$A$120,MATCH(1,INDEX(--ISNUMBER(SEARCH('Bad Patterns'!$A$2:$A$120,B7312)),0),0)),""))</f>
        <v/>
      </c>
      <c r="D7312">
        <f>IF(B7312="","",IF(C7312&lt;&gt;"","REMOVE","KEEP"))</f>
        <v/>
      </c>
      <c r="E7312">
        <f>IF(D7312&lt;&gt;"KEEP","",IF(RIGHT(B7312,10)="@gmail.com","Gmail",IF(OR(RIGHT(B7312,12)="@outlook.com",RIGHT(B7312,12)="@hotmail.com",RIGHT(B7312,9)="@live.com"),"Outlook","Domain")))</f>
        <v/>
      </c>
      <c r="F7312">
        <f>IF(B7312="","",IFERROR(RIGHT(B7312,LEN(B7312)-FIND("@",B7312)),""))</f>
        <v/>
      </c>
      <c r="G7312">
        <f>IF(D7312="KEEP",COUNTIF($D$2:D7312,"KEEP"),"")</f>
        <v/>
      </c>
      <c r="H7312">
        <f>IF(D7312="REMOVE",COUNTIF($D$2:D7312,"REMOVE"),"")</f>
        <v/>
      </c>
      <c r="I7312">
        <f>IF(E7312="Gmail",COUNTIF($E$2:E7312,"Gmail"),"")</f>
        <v/>
      </c>
      <c r="J7312">
        <f>IF(E7312="Outlook",COUNTIF($E$2:E7312,"Outlook"),"")</f>
        <v/>
      </c>
      <c r="K7312">
        <f>IF(E7312="Domain",COUNTIF($E$2:E7312,"Domain"),"")</f>
        <v/>
      </c>
    </row>
    <row r="7313">
      <c r="A7313" s="2" t="n"/>
      <c r="B7313">
        <f>LOWER(TRIM(A7313))</f>
        <v/>
      </c>
      <c r="C7313">
        <f>IF(B7313="","",IFERROR(INDEX('Bad Patterns'!$A$2:$A$120,MATCH(1,INDEX(--ISNUMBER(SEARCH('Bad Patterns'!$A$2:$A$120,B7313)),0),0)),""))</f>
        <v/>
      </c>
      <c r="D7313">
        <f>IF(B7313="","",IF(C7313&lt;&gt;"","REMOVE","KEEP"))</f>
        <v/>
      </c>
      <c r="E7313">
        <f>IF(D7313&lt;&gt;"KEEP","",IF(RIGHT(B7313,10)="@gmail.com","Gmail",IF(OR(RIGHT(B7313,12)="@outlook.com",RIGHT(B7313,12)="@hotmail.com",RIGHT(B7313,9)="@live.com"),"Outlook","Domain")))</f>
        <v/>
      </c>
      <c r="F7313">
        <f>IF(B7313="","",IFERROR(RIGHT(B7313,LEN(B7313)-FIND("@",B7313)),""))</f>
        <v/>
      </c>
      <c r="G7313">
        <f>IF(D7313="KEEP",COUNTIF($D$2:D7313,"KEEP"),"")</f>
        <v/>
      </c>
      <c r="H7313">
        <f>IF(D7313="REMOVE",COUNTIF($D$2:D7313,"REMOVE"),"")</f>
        <v/>
      </c>
      <c r="I7313">
        <f>IF(E7313="Gmail",COUNTIF($E$2:E7313,"Gmail"),"")</f>
        <v/>
      </c>
      <c r="J7313">
        <f>IF(E7313="Outlook",COUNTIF($E$2:E7313,"Outlook"),"")</f>
        <v/>
      </c>
      <c r="K7313">
        <f>IF(E7313="Domain",COUNTIF($E$2:E7313,"Domain"),"")</f>
        <v/>
      </c>
    </row>
    <row r="7314">
      <c r="A7314" s="2" t="n"/>
      <c r="B7314">
        <f>LOWER(TRIM(A7314))</f>
        <v/>
      </c>
      <c r="C7314">
        <f>IF(B7314="","",IFERROR(INDEX('Bad Patterns'!$A$2:$A$120,MATCH(1,INDEX(--ISNUMBER(SEARCH('Bad Patterns'!$A$2:$A$120,B7314)),0),0)),""))</f>
        <v/>
      </c>
      <c r="D7314">
        <f>IF(B7314="","",IF(C7314&lt;&gt;"","REMOVE","KEEP"))</f>
        <v/>
      </c>
      <c r="E7314">
        <f>IF(D7314&lt;&gt;"KEEP","",IF(RIGHT(B7314,10)="@gmail.com","Gmail",IF(OR(RIGHT(B7314,12)="@outlook.com",RIGHT(B7314,12)="@hotmail.com",RIGHT(B7314,9)="@live.com"),"Outlook","Domain")))</f>
        <v/>
      </c>
      <c r="F7314">
        <f>IF(B7314="","",IFERROR(RIGHT(B7314,LEN(B7314)-FIND("@",B7314)),""))</f>
        <v/>
      </c>
      <c r="G7314">
        <f>IF(D7314="KEEP",COUNTIF($D$2:D7314,"KEEP"),"")</f>
        <v/>
      </c>
      <c r="H7314">
        <f>IF(D7314="REMOVE",COUNTIF($D$2:D7314,"REMOVE"),"")</f>
        <v/>
      </c>
      <c r="I7314">
        <f>IF(E7314="Gmail",COUNTIF($E$2:E7314,"Gmail"),"")</f>
        <v/>
      </c>
      <c r="J7314">
        <f>IF(E7314="Outlook",COUNTIF($E$2:E7314,"Outlook"),"")</f>
        <v/>
      </c>
      <c r="K7314">
        <f>IF(E7314="Domain",COUNTIF($E$2:E7314,"Domain"),"")</f>
        <v/>
      </c>
    </row>
    <row r="7315">
      <c r="A7315" s="2" t="n"/>
      <c r="B7315">
        <f>LOWER(TRIM(A7315))</f>
        <v/>
      </c>
      <c r="C7315">
        <f>IF(B7315="","",IFERROR(INDEX('Bad Patterns'!$A$2:$A$120,MATCH(1,INDEX(--ISNUMBER(SEARCH('Bad Patterns'!$A$2:$A$120,B7315)),0),0)),""))</f>
        <v/>
      </c>
      <c r="D7315">
        <f>IF(B7315="","",IF(C7315&lt;&gt;"","REMOVE","KEEP"))</f>
        <v/>
      </c>
      <c r="E7315">
        <f>IF(D7315&lt;&gt;"KEEP","",IF(RIGHT(B7315,10)="@gmail.com","Gmail",IF(OR(RIGHT(B7315,12)="@outlook.com",RIGHT(B7315,12)="@hotmail.com",RIGHT(B7315,9)="@live.com"),"Outlook","Domain")))</f>
        <v/>
      </c>
      <c r="F7315">
        <f>IF(B7315="","",IFERROR(RIGHT(B7315,LEN(B7315)-FIND("@",B7315)),""))</f>
        <v/>
      </c>
      <c r="G7315">
        <f>IF(D7315="KEEP",COUNTIF($D$2:D7315,"KEEP"),"")</f>
        <v/>
      </c>
      <c r="H7315">
        <f>IF(D7315="REMOVE",COUNTIF($D$2:D7315,"REMOVE"),"")</f>
        <v/>
      </c>
      <c r="I7315">
        <f>IF(E7315="Gmail",COUNTIF($E$2:E7315,"Gmail"),"")</f>
        <v/>
      </c>
      <c r="J7315">
        <f>IF(E7315="Outlook",COUNTIF($E$2:E7315,"Outlook"),"")</f>
        <v/>
      </c>
      <c r="K7315">
        <f>IF(E7315="Domain",COUNTIF($E$2:E7315,"Domain"),"")</f>
        <v/>
      </c>
    </row>
    <row r="7316">
      <c r="A7316" s="2" t="n"/>
      <c r="B7316">
        <f>LOWER(TRIM(A7316))</f>
        <v/>
      </c>
      <c r="C7316">
        <f>IF(B7316="","",IFERROR(INDEX('Bad Patterns'!$A$2:$A$120,MATCH(1,INDEX(--ISNUMBER(SEARCH('Bad Patterns'!$A$2:$A$120,B7316)),0),0)),""))</f>
        <v/>
      </c>
      <c r="D7316">
        <f>IF(B7316="","",IF(C7316&lt;&gt;"","REMOVE","KEEP"))</f>
        <v/>
      </c>
      <c r="E7316">
        <f>IF(D7316&lt;&gt;"KEEP","",IF(RIGHT(B7316,10)="@gmail.com","Gmail",IF(OR(RIGHT(B7316,12)="@outlook.com",RIGHT(B7316,12)="@hotmail.com",RIGHT(B7316,9)="@live.com"),"Outlook","Domain")))</f>
        <v/>
      </c>
      <c r="F7316">
        <f>IF(B7316="","",IFERROR(RIGHT(B7316,LEN(B7316)-FIND("@",B7316)),""))</f>
        <v/>
      </c>
      <c r="G7316">
        <f>IF(D7316="KEEP",COUNTIF($D$2:D7316,"KEEP"),"")</f>
        <v/>
      </c>
      <c r="H7316">
        <f>IF(D7316="REMOVE",COUNTIF($D$2:D7316,"REMOVE"),"")</f>
        <v/>
      </c>
      <c r="I7316">
        <f>IF(E7316="Gmail",COUNTIF($E$2:E7316,"Gmail"),"")</f>
        <v/>
      </c>
      <c r="J7316">
        <f>IF(E7316="Outlook",COUNTIF($E$2:E7316,"Outlook"),"")</f>
        <v/>
      </c>
      <c r="K7316">
        <f>IF(E7316="Domain",COUNTIF($E$2:E7316,"Domain"),"")</f>
        <v/>
      </c>
    </row>
    <row r="7317">
      <c r="A7317" s="2" t="n"/>
      <c r="B7317">
        <f>LOWER(TRIM(A7317))</f>
        <v/>
      </c>
      <c r="C7317">
        <f>IF(B7317="","",IFERROR(INDEX('Bad Patterns'!$A$2:$A$120,MATCH(1,INDEX(--ISNUMBER(SEARCH('Bad Patterns'!$A$2:$A$120,B7317)),0),0)),""))</f>
        <v/>
      </c>
      <c r="D7317">
        <f>IF(B7317="","",IF(C7317&lt;&gt;"","REMOVE","KEEP"))</f>
        <v/>
      </c>
      <c r="E7317">
        <f>IF(D7317&lt;&gt;"KEEP","",IF(RIGHT(B7317,10)="@gmail.com","Gmail",IF(OR(RIGHT(B7317,12)="@outlook.com",RIGHT(B7317,12)="@hotmail.com",RIGHT(B7317,9)="@live.com"),"Outlook","Domain")))</f>
        <v/>
      </c>
      <c r="F7317">
        <f>IF(B7317="","",IFERROR(RIGHT(B7317,LEN(B7317)-FIND("@",B7317)),""))</f>
        <v/>
      </c>
      <c r="G7317">
        <f>IF(D7317="KEEP",COUNTIF($D$2:D7317,"KEEP"),"")</f>
        <v/>
      </c>
      <c r="H7317">
        <f>IF(D7317="REMOVE",COUNTIF($D$2:D7317,"REMOVE"),"")</f>
        <v/>
      </c>
      <c r="I7317">
        <f>IF(E7317="Gmail",COUNTIF($E$2:E7317,"Gmail"),"")</f>
        <v/>
      </c>
      <c r="J7317">
        <f>IF(E7317="Outlook",COUNTIF($E$2:E7317,"Outlook"),"")</f>
        <v/>
      </c>
      <c r="K7317">
        <f>IF(E7317="Domain",COUNTIF($E$2:E7317,"Domain"),"")</f>
        <v/>
      </c>
    </row>
    <row r="7318">
      <c r="A7318" s="2" t="n"/>
      <c r="B7318">
        <f>LOWER(TRIM(A7318))</f>
        <v/>
      </c>
      <c r="C7318">
        <f>IF(B7318="","",IFERROR(INDEX('Bad Patterns'!$A$2:$A$120,MATCH(1,INDEX(--ISNUMBER(SEARCH('Bad Patterns'!$A$2:$A$120,B7318)),0),0)),""))</f>
        <v/>
      </c>
      <c r="D7318">
        <f>IF(B7318="","",IF(C7318&lt;&gt;"","REMOVE","KEEP"))</f>
        <v/>
      </c>
      <c r="E7318">
        <f>IF(D7318&lt;&gt;"KEEP","",IF(RIGHT(B7318,10)="@gmail.com","Gmail",IF(OR(RIGHT(B7318,12)="@outlook.com",RIGHT(B7318,12)="@hotmail.com",RIGHT(B7318,9)="@live.com"),"Outlook","Domain")))</f>
        <v/>
      </c>
      <c r="F7318">
        <f>IF(B7318="","",IFERROR(RIGHT(B7318,LEN(B7318)-FIND("@",B7318)),""))</f>
        <v/>
      </c>
      <c r="G7318">
        <f>IF(D7318="KEEP",COUNTIF($D$2:D7318,"KEEP"),"")</f>
        <v/>
      </c>
      <c r="H7318">
        <f>IF(D7318="REMOVE",COUNTIF($D$2:D7318,"REMOVE"),"")</f>
        <v/>
      </c>
      <c r="I7318">
        <f>IF(E7318="Gmail",COUNTIF($E$2:E7318,"Gmail"),"")</f>
        <v/>
      </c>
      <c r="J7318">
        <f>IF(E7318="Outlook",COUNTIF($E$2:E7318,"Outlook"),"")</f>
        <v/>
      </c>
      <c r="K7318">
        <f>IF(E7318="Domain",COUNTIF($E$2:E7318,"Domain"),"")</f>
        <v/>
      </c>
    </row>
    <row r="7319">
      <c r="A7319" s="2" t="n"/>
      <c r="B7319">
        <f>LOWER(TRIM(A7319))</f>
        <v/>
      </c>
      <c r="C7319">
        <f>IF(B7319="","",IFERROR(INDEX('Bad Patterns'!$A$2:$A$120,MATCH(1,INDEX(--ISNUMBER(SEARCH('Bad Patterns'!$A$2:$A$120,B7319)),0),0)),""))</f>
        <v/>
      </c>
      <c r="D7319">
        <f>IF(B7319="","",IF(C7319&lt;&gt;"","REMOVE","KEEP"))</f>
        <v/>
      </c>
      <c r="E7319">
        <f>IF(D7319&lt;&gt;"KEEP","",IF(RIGHT(B7319,10)="@gmail.com","Gmail",IF(OR(RIGHT(B7319,12)="@outlook.com",RIGHT(B7319,12)="@hotmail.com",RIGHT(B7319,9)="@live.com"),"Outlook","Domain")))</f>
        <v/>
      </c>
      <c r="F7319">
        <f>IF(B7319="","",IFERROR(RIGHT(B7319,LEN(B7319)-FIND("@",B7319)),""))</f>
        <v/>
      </c>
      <c r="G7319">
        <f>IF(D7319="KEEP",COUNTIF($D$2:D7319,"KEEP"),"")</f>
        <v/>
      </c>
      <c r="H7319">
        <f>IF(D7319="REMOVE",COUNTIF($D$2:D7319,"REMOVE"),"")</f>
        <v/>
      </c>
      <c r="I7319">
        <f>IF(E7319="Gmail",COUNTIF($E$2:E7319,"Gmail"),"")</f>
        <v/>
      </c>
      <c r="J7319">
        <f>IF(E7319="Outlook",COUNTIF($E$2:E7319,"Outlook"),"")</f>
        <v/>
      </c>
      <c r="K7319">
        <f>IF(E7319="Domain",COUNTIF($E$2:E7319,"Domain"),"")</f>
        <v/>
      </c>
    </row>
    <row r="7320">
      <c r="A7320" s="2" t="n"/>
      <c r="B7320">
        <f>LOWER(TRIM(A7320))</f>
        <v/>
      </c>
      <c r="C7320">
        <f>IF(B7320="","",IFERROR(INDEX('Bad Patterns'!$A$2:$A$120,MATCH(1,INDEX(--ISNUMBER(SEARCH('Bad Patterns'!$A$2:$A$120,B7320)),0),0)),""))</f>
        <v/>
      </c>
      <c r="D7320">
        <f>IF(B7320="","",IF(C7320&lt;&gt;"","REMOVE","KEEP"))</f>
        <v/>
      </c>
      <c r="E7320">
        <f>IF(D7320&lt;&gt;"KEEP","",IF(RIGHT(B7320,10)="@gmail.com","Gmail",IF(OR(RIGHT(B7320,12)="@outlook.com",RIGHT(B7320,12)="@hotmail.com",RIGHT(B7320,9)="@live.com"),"Outlook","Domain")))</f>
        <v/>
      </c>
      <c r="F7320">
        <f>IF(B7320="","",IFERROR(RIGHT(B7320,LEN(B7320)-FIND("@",B7320)),""))</f>
        <v/>
      </c>
      <c r="G7320">
        <f>IF(D7320="KEEP",COUNTIF($D$2:D7320,"KEEP"),"")</f>
        <v/>
      </c>
      <c r="H7320">
        <f>IF(D7320="REMOVE",COUNTIF($D$2:D7320,"REMOVE"),"")</f>
        <v/>
      </c>
      <c r="I7320">
        <f>IF(E7320="Gmail",COUNTIF($E$2:E7320,"Gmail"),"")</f>
        <v/>
      </c>
      <c r="J7320">
        <f>IF(E7320="Outlook",COUNTIF($E$2:E7320,"Outlook"),"")</f>
        <v/>
      </c>
      <c r="K7320">
        <f>IF(E7320="Domain",COUNTIF($E$2:E7320,"Domain"),"")</f>
        <v/>
      </c>
    </row>
    <row r="7321">
      <c r="A7321" s="2" t="n"/>
      <c r="B7321">
        <f>LOWER(TRIM(A7321))</f>
        <v/>
      </c>
      <c r="C7321">
        <f>IF(B7321="","",IFERROR(INDEX('Bad Patterns'!$A$2:$A$120,MATCH(1,INDEX(--ISNUMBER(SEARCH('Bad Patterns'!$A$2:$A$120,B7321)),0),0)),""))</f>
        <v/>
      </c>
      <c r="D7321">
        <f>IF(B7321="","",IF(C7321&lt;&gt;"","REMOVE","KEEP"))</f>
        <v/>
      </c>
      <c r="E7321">
        <f>IF(D7321&lt;&gt;"KEEP","",IF(RIGHT(B7321,10)="@gmail.com","Gmail",IF(OR(RIGHT(B7321,12)="@outlook.com",RIGHT(B7321,12)="@hotmail.com",RIGHT(B7321,9)="@live.com"),"Outlook","Domain")))</f>
        <v/>
      </c>
      <c r="F7321">
        <f>IF(B7321="","",IFERROR(RIGHT(B7321,LEN(B7321)-FIND("@",B7321)),""))</f>
        <v/>
      </c>
      <c r="G7321">
        <f>IF(D7321="KEEP",COUNTIF($D$2:D7321,"KEEP"),"")</f>
        <v/>
      </c>
      <c r="H7321">
        <f>IF(D7321="REMOVE",COUNTIF($D$2:D7321,"REMOVE"),"")</f>
        <v/>
      </c>
      <c r="I7321">
        <f>IF(E7321="Gmail",COUNTIF($E$2:E7321,"Gmail"),"")</f>
        <v/>
      </c>
      <c r="J7321">
        <f>IF(E7321="Outlook",COUNTIF($E$2:E7321,"Outlook"),"")</f>
        <v/>
      </c>
      <c r="K7321">
        <f>IF(E7321="Domain",COUNTIF($E$2:E7321,"Domain"),"")</f>
        <v/>
      </c>
    </row>
    <row r="7322">
      <c r="A7322" s="2" t="n"/>
      <c r="B7322">
        <f>LOWER(TRIM(A7322))</f>
        <v/>
      </c>
      <c r="C7322">
        <f>IF(B7322="","",IFERROR(INDEX('Bad Patterns'!$A$2:$A$120,MATCH(1,INDEX(--ISNUMBER(SEARCH('Bad Patterns'!$A$2:$A$120,B7322)),0),0)),""))</f>
        <v/>
      </c>
      <c r="D7322">
        <f>IF(B7322="","",IF(C7322&lt;&gt;"","REMOVE","KEEP"))</f>
        <v/>
      </c>
      <c r="E7322">
        <f>IF(D7322&lt;&gt;"KEEP","",IF(RIGHT(B7322,10)="@gmail.com","Gmail",IF(OR(RIGHT(B7322,12)="@outlook.com",RIGHT(B7322,12)="@hotmail.com",RIGHT(B7322,9)="@live.com"),"Outlook","Domain")))</f>
        <v/>
      </c>
      <c r="F7322">
        <f>IF(B7322="","",IFERROR(RIGHT(B7322,LEN(B7322)-FIND("@",B7322)),""))</f>
        <v/>
      </c>
      <c r="G7322">
        <f>IF(D7322="KEEP",COUNTIF($D$2:D7322,"KEEP"),"")</f>
        <v/>
      </c>
      <c r="H7322">
        <f>IF(D7322="REMOVE",COUNTIF($D$2:D7322,"REMOVE"),"")</f>
        <v/>
      </c>
      <c r="I7322">
        <f>IF(E7322="Gmail",COUNTIF($E$2:E7322,"Gmail"),"")</f>
        <v/>
      </c>
      <c r="J7322">
        <f>IF(E7322="Outlook",COUNTIF($E$2:E7322,"Outlook"),"")</f>
        <v/>
      </c>
      <c r="K7322">
        <f>IF(E7322="Domain",COUNTIF($E$2:E7322,"Domain"),"")</f>
        <v/>
      </c>
    </row>
    <row r="7323">
      <c r="A7323" s="2" t="n"/>
      <c r="B7323">
        <f>LOWER(TRIM(A7323))</f>
        <v/>
      </c>
      <c r="C7323">
        <f>IF(B7323="","",IFERROR(INDEX('Bad Patterns'!$A$2:$A$120,MATCH(1,INDEX(--ISNUMBER(SEARCH('Bad Patterns'!$A$2:$A$120,B7323)),0),0)),""))</f>
        <v/>
      </c>
      <c r="D7323">
        <f>IF(B7323="","",IF(C7323&lt;&gt;"","REMOVE","KEEP"))</f>
        <v/>
      </c>
      <c r="E7323">
        <f>IF(D7323&lt;&gt;"KEEP","",IF(RIGHT(B7323,10)="@gmail.com","Gmail",IF(OR(RIGHT(B7323,12)="@outlook.com",RIGHT(B7323,12)="@hotmail.com",RIGHT(B7323,9)="@live.com"),"Outlook","Domain")))</f>
        <v/>
      </c>
      <c r="F7323">
        <f>IF(B7323="","",IFERROR(RIGHT(B7323,LEN(B7323)-FIND("@",B7323)),""))</f>
        <v/>
      </c>
      <c r="G7323">
        <f>IF(D7323="KEEP",COUNTIF($D$2:D7323,"KEEP"),"")</f>
        <v/>
      </c>
      <c r="H7323">
        <f>IF(D7323="REMOVE",COUNTIF($D$2:D7323,"REMOVE"),"")</f>
        <v/>
      </c>
      <c r="I7323">
        <f>IF(E7323="Gmail",COUNTIF($E$2:E7323,"Gmail"),"")</f>
        <v/>
      </c>
      <c r="J7323">
        <f>IF(E7323="Outlook",COUNTIF($E$2:E7323,"Outlook"),"")</f>
        <v/>
      </c>
      <c r="K7323">
        <f>IF(E7323="Domain",COUNTIF($E$2:E7323,"Domain"),"")</f>
        <v/>
      </c>
    </row>
    <row r="7324">
      <c r="A7324" s="2" t="n"/>
      <c r="B7324">
        <f>LOWER(TRIM(A7324))</f>
        <v/>
      </c>
      <c r="C7324">
        <f>IF(B7324="","",IFERROR(INDEX('Bad Patterns'!$A$2:$A$120,MATCH(1,INDEX(--ISNUMBER(SEARCH('Bad Patterns'!$A$2:$A$120,B7324)),0),0)),""))</f>
        <v/>
      </c>
      <c r="D7324">
        <f>IF(B7324="","",IF(C7324&lt;&gt;"","REMOVE","KEEP"))</f>
        <v/>
      </c>
      <c r="E7324">
        <f>IF(D7324&lt;&gt;"KEEP","",IF(RIGHT(B7324,10)="@gmail.com","Gmail",IF(OR(RIGHT(B7324,12)="@outlook.com",RIGHT(B7324,12)="@hotmail.com",RIGHT(B7324,9)="@live.com"),"Outlook","Domain")))</f>
        <v/>
      </c>
      <c r="F7324">
        <f>IF(B7324="","",IFERROR(RIGHT(B7324,LEN(B7324)-FIND("@",B7324)),""))</f>
        <v/>
      </c>
      <c r="G7324">
        <f>IF(D7324="KEEP",COUNTIF($D$2:D7324,"KEEP"),"")</f>
        <v/>
      </c>
      <c r="H7324">
        <f>IF(D7324="REMOVE",COUNTIF($D$2:D7324,"REMOVE"),"")</f>
        <v/>
      </c>
      <c r="I7324">
        <f>IF(E7324="Gmail",COUNTIF($E$2:E7324,"Gmail"),"")</f>
        <v/>
      </c>
      <c r="J7324">
        <f>IF(E7324="Outlook",COUNTIF($E$2:E7324,"Outlook"),"")</f>
        <v/>
      </c>
      <c r="K7324">
        <f>IF(E7324="Domain",COUNTIF($E$2:E7324,"Domain"),"")</f>
        <v/>
      </c>
    </row>
    <row r="7325">
      <c r="A7325" s="2" t="n"/>
      <c r="B7325">
        <f>LOWER(TRIM(A7325))</f>
        <v/>
      </c>
      <c r="C7325">
        <f>IF(B7325="","",IFERROR(INDEX('Bad Patterns'!$A$2:$A$120,MATCH(1,INDEX(--ISNUMBER(SEARCH('Bad Patterns'!$A$2:$A$120,B7325)),0),0)),""))</f>
        <v/>
      </c>
      <c r="D7325">
        <f>IF(B7325="","",IF(C7325&lt;&gt;"","REMOVE","KEEP"))</f>
        <v/>
      </c>
      <c r="E7325">
        <f>IF(D7325&lt;&gt;"KEEP","",IF(RIGHT(B7325,10)="@gmail.com","Gmail",IF(OR(RIGHT(B7325,12)="@outlook.com",RIGHT(B7325,12)="@hotmail.com",RIGHT(B7325,9)="@live.com"),"Outlook","Domain")))</f>
        <v/>
      </c>
      <c r="F7325">
        <f>IF(B7325="","",IFERROR(RIGHT(B7325,LEN(B7325)-FIND("@",B7325)),""))</f>
        <v/>
      </c>
      <c r="G7325">
        <f>IF(D7325="KEEP",COUNTIF($D$2:D7325,"KEEP"),"")</f>
        <v/>
      </c>
      <c r="H7325">
        <f>IF(D7325="REMOVE",COUNTIF($D$2:D7325,"REMOVE"),"")</f>
        <v/>
      </c>
      <c r="I7325">
        <f>IF(E7325="Gmail",COUNTIF($E$2:E7325,"Gmail"),"")</f>
        <v/>
      </c>
      <c r="J7325">
        <f>IF(E7325="Outlook",COUNTIF($E$2:E7325,"Outlook"),"")</f>
        <v/>
      </c>
      <c r="K7325">
        <f>IF(E7325="Domain",COUNTIF($E$2:E7325,"Domain"),"")</f>
        <v/>
      </c>
    </row>
    <row r="7326">
      <c r="A7326" s="2" t="n"/>
      <c r="B7326">
        <f>LOWER(TRIM(A7326))</f>
        <v/>
      </c>
      <c r="C7326">
        <f>IF(B7326="","",IFERROR(INDEX('Bad Patterns'!$A$2:$A$120,MATCH(1,INDEX(--ISNUMBER(SEARCH('Bad Patterns'!$A$2:$A$120,B7326)),0),0)),""))</f>
        <v/>
      </c>
      <c r="D7326">
        <f>IF(B7326="","",IF(C7326&lt;&gt;"","REMOVE","KEEP"))</f>
        <v/>
      </c>
      <c r="E7326">
        <f>IF(D7326&lt;&gt;"KEEP","",IF(RIGHT(B7326,10)="@gmail.com","Gmail",IF(OR(RIGHT(B7326,12)="@outlook.com",RIGHT(B7326,12)="@hotmail.com",RIGHT(B7326,9)="@live.com"),"Outlook","Domain")))</f>
        <v/>
      </c>
      <c r="F7326">
        <f>IF(B7326="","",IFERROR(RIGHT(B7326,LEN(B7326)-FIND("@",B7326)),""))</f>
        <v/>
      </c>
      <c r="G7326">
        <f>IF(D7326="KEEP",COUNTIF($D$2:D7326,"KEEP"),"")</f>
        <v/>
      </c>
      <c r="H7326">
        <f>IF(D7326="REMOVE",COUNTIF($D$2:D7326,"REMOVE"),"")</f>
        <v/>
      </c>
      <c r="I7326">
        <f>IF(E7326="Gmail",COUNTIF($E$2:E7326,"Gmail"),"")</f>
        <v/>
      </c>
      <c r="J7326">
        <f>IF(E7326="Outlook",COUNTIF($E$2:E7326,"Outlook"),"")</f>
        <v/>
      </c>
      <c r="K7326">
        <f>IF(E7326="Domain",COUNTIF($E$2:E7326,"Domain"),"")</f>
        <v/>
      </c>
    </row>
    <row r="7327">
      <c r="A7327" s="2" t="n"/>
      <c r="B7327">
        <f>LOWER(TRIM(A7327))</f>
        <v/>
      </c>
      <c r="C7327">
        <f>IF(B7327="","",IFERROR(INDEX('Bad Patterns'!$A$2:$A$120,MATCH(1,INDEX(--ISNUMBER(SEARCH('Bad Patterns'!$A$2:$A$120,B7327)),0),0)),""))</f>
        <v/>
      </c>
      <c r="D7327">
        <f>IF(B7327="","",IF(C7327&lt;&gt;"","REMOVE","KEEP"))</f>
        <v/>
      </c>
      <c r="E7327">
        <f>IF(D7327&lt;&gt;"KEEP","",IF(RIGHT(B7327,10)="@gmail.com","Gmail",IF(OR(RIGHT(B7327,12)="@outlook.com",RIGHT(B7327,12)="@hotmail.com",RIGHT(B7327,9)="@live.com"),"Outlook","Domain")))</f>
        <v/>
      </c>
      <c r="F7327">
        <f>IF(B7327="","",IFERROR(RIGHT(B7327,LEN(B7327)-FIND("@",B7327)),""))</f>
        <v/>
      </c>
      <c r="G7327">
        <f>IF(D7327="KEEP",COUNTIF($D$2:D7327,"KEEP"),"")</f>
        <v/>
      </c>
      <c r="H7327">
        <f>IF(D7327="REMOVE",COUNTIF($D$2:D7327,"REMOVE"),"")</f>
        <v/>
      </c>
      <c r="I7327">
        <f>IF(E7327="Gmail",COUNTIF($E$2:E7327,"Gmail"),"")</f>
        <v/>
      </c>
      <c r="J7327">
        <f>IF(E7327="Outlook",COUNTIF($E$2:E7327,"Outlook"),"")</f>
        <v/>
      </c>
      <c r="K7327">
        <f>IF(E7327="Domain",COUNTIF($E$2:E7327,"Domain"),"")</f>
        <v/>
      </c>
    </row>
    <row r="7328">
      <c r="A7328" s="2" t="n"/>
      <c r="B7328">
        <f>LOWER(TRIM(A7328))</f>
        <v/>
      </c>
      <c r="C7328">
        <f>IF(B7328="","",IFERROR(INDEX('Bad Patterns'!$A$2:$A$120,MATCH(1,INDEX(--ISNUMBER(SEARCH('Bad Patterns'!$A$2:$A$120,B7328)),0),0)),""))</f>
        <v/>
      </c>
      <c r="D7328">
        <f>IF(B7328="","",IF(C7328&lt;&gt;"","REMOVE","KEEP"))</f>
        <v/>
      </c>
      <c r="E7328">
        <f>IF(D7328&lt;&gt;"KEEP","",IF(RIGHT(B7328,10)="@gmail.com","Gmail",IF(OR(RIGHT(B7328,12)="@outlook.com",RIGHT(B7328,12)="@hotmail.com",RIGHT(B7328,9)="@live.com"),"Outlook","Domain")))</f>
        <v/>
      </c>
      <c r="F7328">
        <f>IF(B7328="","",IFERROR(RIGHT(B7328,LEN(B7328)-FIND("@",B7328)),""))</f>
        <v/>
      </c>
      <c r="G7328">
        <f>IF(D7328="KEEP",COUNTIF($D$2:D7328,"KEEP"),"")</f>
        <v/>
      </c>
      <c r="H7328">
        <f>IF(D7328="REMOVE",COUNTIF($D$2:D7328,"REMOVE"),"")</f>
        <v/>
      </c>
      <c r="I7328">
        <f>IF(E7328="Gmail",COUNTIF($E$2:E7328,"Gmail"),"")</f>
        <v/>
      </c>
      <c r="J7328">
        <f>IF(E7328="Outlook",COUNTIF($E$2:E7328,"Outlook"),"")</f>
        <v/>
      </c>
      <c r="K7328">
        <f>IF(E7328="Domain",COUNTIF($E$2:E7328,"Domain"),"")</f>
        <v/>
      </c>
    </row>
    <row r="7329">
      <c r="A7329" s="2" t="n"/>
      <c r="B7329">
        <f>LOWER(TRIM(A7329))</f>
        <v/>
      </c>
      <c r="C7329">
        <f>IF(B7329="","",IFERROR(INDEX('Bad Patterns'!$A$2:$A$120,MATCH(1,INDEX(--ISNUMBER(SEARCH('Bad Patterns'!$A$2:$A$120,B7329)),0),0)),""))</f>
        <v/>
      </c>
      <c r="D7329">
        <f>IF(B7329="","",IF(C7329&lt;&gt;"","REMOVE","KEEP"))</f>
        <v/>
      </c>
      <c r="E7329">
        <f>IF(D7329&lt;&gt;"KEEP","",IF(RIGHT(B7329,10)="@gmail.com","Gmail",IF(OR(RIGHT(B7329,12)="@outlook.com",RIGHT(B7329,12)="@hotmail.com",RIGHT(B7329,9)="@live.com"),"Outlook","Domain")))</f>
        <v/>
      </c>
      <c r="F7329">
        <f>IF(B7329="","",IFERROR(RIGHT(B7329,LEN(B7329)-FIND("@",B7329)),""))</f>
        <v/>
      </c>
      <c r="G7329">
        <f>IF(D7329="KEEP",COUNTIF($D$2:D7329,"KEEP"),"")</f>
        <v/>
      </c>
      <c r="H7329">
        <f>IF(D7329="REMOVE",COUNTIF($D$2:D7329,"REMOVE"),"")</f>
        <v/>
      </c>
      <c r="I7329">
        <f>IF(E7329="Gmail",COUNTIF($E$2:E7329,"Gmail"),"")</f>
        <v/>
      </c>
      <c r="J7329">
        <f>IF(E7329="Outlook",COUNTIF($E$2:E7329,"Outlook"),"")</f>
        <v/>
      </c>
      <c r="K7329">
        <f>IF(E7329="Domain",COUNTIF($E$2:E7329,"Domain"),"")</f>
        <v/>
      </c>
    </row>
    <row r="7330">
      <c r="A7330" s="2" t="n"/>
      <c r="B7330">
        <f>LOWER(TRIM(A7330))</f>
        <v/>
      </c>
      <c r="C7330">
        <f>IF(B7330="","",IFERROR(INDEX('Bad Patterns'!$A$2:$A$120,MATCH(1,INDEX(--ISNUMBER(SEARCH('Bad Patterns'!$A$2:$A$120,B7330)),0),0)),""))</f>
        <v/>
      </c>
      <c r="D7330">
        <f>IF(B7330="","",IF(C7330&lt;&gt;"","REMOVE","KEEP"))</f>
        <v/>
      </c>
      <c r="E7330">
        <f>IF(D7330&lt;&gt;"KEEP","",IF(RIGHT(B7330,10)="@gmail.com","Gmail",IF(OR(RIGHT(B7330,12)="@outlook.com",RIGHT(B7330,12)="@hotmail.com",RIGHT(B7330,9)="@live.com"),"Outlook","Domain")))</f>
        <v/>
      </c>
      <c r="F7330">
        <f>IF(B7330="","",IFERROR(RIGHT(B7330,LEN(B7330)-FIND("@",B7330)),""))</f>
        <v/>
      </c>
      <c r="G7330">
        <f>IF(D7330="KEEP",COUNTIF($D$2:D7330,"KEEP"),"")</f>
        <v/>
      </c>
      <c r="H7330">
        <f>IF(D7330="REMOVE",COUNTIF($D$2:D7330,"REMOVE"),"")</f>
        <v/>
      </c>
      <c r="I7330">
        <f>IF(E7330="Gmail",COUNTIF($E$2:E7330,"Gmail"),"")</f>
        <v/>
      </c>
      <c r="J7330">
        <f>IF(E7330="Outlook",COUNTIF($E$2:E7330,"Outlook"),"")</f>
        <v/>
      </c>
      <c r="K7330">
        <f>IF(E7330="Domain",COUNTIF($E$2:E7330,"Domain"),"")</f>
        <v/>
      </c>
    </row>
    <row r="7331">
      <c r="A7331" s="2" t="n"/>
      <c r="B7331">
        <f>LOWER(TRIM(A7331))</f>
        <v/>
      </c>
      <c r="C7331">
        <f>IF(B7331="","",IFERROR(INDEX('Bad Patterns'!$A$2:$A$120,MATCH(1,INDEX(--ISNUMBER(SEARCH('Bad Patterns'!$A$2:$A$120,B7331)),0),0)),""))</f>
        <v/>
      </c>
      <c r="D7331">
        <f>IF(B7331="","",IF(C7331&lt;&gt;"","REMOVE","KEEP"))</f>
        <v/>
      </c>
      <c r="E7331">
        <f>IF(D7331&lt;&gt;"KEEP","",IF(RIGHT(B7331,10)="@gmail.com","Gmail",IF(OR(RIGHT(B7331,12)="@outlook.com",RIGHT(B7331,12)="@hotmail.com",RIGHT(B7331,9)="@live.com"),"Outlook","Domain")))</f>
        <v/>
      </c>
      <c r="F7331">
        <f>IF(B7331="","",IFERROR(RIGHT(B7331,LEN(B7331)-FIND("@",B7331)),""))</f>
        <v/>
      </c>
      <c r="G7331">
        <f>IF(D7331="KEEP",COUNTIF($D$2:D7331,"KEEP"),"")</f>
        <v/>
      </c>
      <c r="H7331">
        <f>IF(D7331="REMOVE",COUNTIF($D$2:D7331,"REMOVE"),"")</f>
        <v/>
      </c>
      <c r="I7331">
        <f>IF(E7331="Gmail",COUNTIF($E$2:E7331,"Gmail"),"")</f>
        <v/>
      </c>
      <c r="J7331">
        <f>IF(E7331="Outlook",COUNTIF($E$2:E7331,"Outlook"),"")</f>
        <v/>
      </c>
      <c r="K7331">
        <f>IF(E7331="Domain",COUNTIF($E$2:E7331,"Domain"),"")</f>
        <v/>
      </c>
    </row>
    <row r="7332">
      <c r="A7332" s="2" t="n"/>
      <c r="B7332">
        <f>LOWER(TRIM(A7332))</f>
        <v/>
      </c>
      <c r="C7332">
        <f>IF(B7332="","",IFERROR(INDEX('Bad Patterns'!$A$2:$A$120,MATCH(1,INDEX(--ISNUMBER(SEARCH('Bad Patterns'!$A$2:$A$120,B7332)),0),0)),""))</f>
        <v/>
      </c>
      <c r="D7332">
        <f>IF(B7332="","",IF(C7332&lt;&gt;"","REMOVE","KEEP"))</f>
        <v/>
      </c>
      <c r="E7332">
        <f>IF(D7332&lt;&gt;"KEEP","",IF(RIGHT(B7332,10)="@gmail.com","Gmail",IF(OR(RIGHT(B7332,12)="@outlook.com",RIGHT(B7332,12)="@hotmail.com",RIGHT(B7332,9)="@live.com"),"Outlook","Domain")))</f>
        <v/>
      </c>
      <c r="F7332">
        <f>IF(B7332="","",IFERROR(RIGHT(B7332,LEN(B7332)-FIND("@",B7332)),""))</f>
        <v/>
      </c>
      <c r="G7332">
        <f>IF(D7332="KEEP",COUNTIF($D$2:D7332,"KEEP"),"")</f>
        <v/>
      </c>
      <c r="H7332">
        <f>IF(D7332="REMOVE",COUNTIF($D$2:D7332,"REMOVE"),"")</f>
        <v/>
      </c>
      <c r="I7332">
        <f>IF(E7332="Gmail",COUNTIF($E$2:E7332,"Gmail"),"")</f>
        <v/>
      </c>
      <c r="J7332">
        <f>IF(E7332="Outlook",COUNTIF($E$2:E7332,"Outlook"),"")</f>
        <v/>
      </c>
      <c r="K7332">
        <f>IF(E7332="Domain",COUNTIF($E$2:E7332,"Domain"),"")</f>
        <v/>
      </c>
    </row>
    <row r="7333">
      <c r="A7333" s="2" t="n"/>
      <c r="B7333">
        <f>LOWER(TRIM(A7333))</f>
        <v/>
      </c>
      <c r="C7333">
        <f>IF(B7333="","",IFERROR(INDEX('Bad Patterns'!$A$2:$A$120,MATCH(1,INDEX(--ISNUMBER(SEARCH('Bad Patterns'!$A$2:$A$120,B7333)),0),0)),""))</f>
        <v/>
      </c>
      <c r="D7333">
        <f>IF(B7333="","",IF(C7333&lt;&gt;"","REMOVE","KEEP"))</f>
        <v/>
      </c>
      <c r="E7333">
        <f>IF(D7333&lt;&gt;"KEEP","",IF(RIGHT(B7333,10)="@gmail.com","Gmail",IF(OR(RIGHT(B7333,12)="@outlook.com",RIGHT(B7333,12)="@hotmail.com",RIGHT(B7333,9)="@live.com"),"Outlook","Domain")))</f>
        <v/>
      </c>
      <c r="F7333">
        <f>IF(B7333="","",IFERROR(RIGHT(B7333,LEN(B7333)-FIND("@",B7333)),""))</f>
        <v/>
      </c>
      <c r="G7333">
        <f>IF(D7333="KEEP",COUNTIF($D$2:D7333,"KEEP"),"")</f>
        <v/>
      </c>
      <c r="H7333">
        <f>IF(D7333="REMOVE",COUNTIF($D$2:D7333,"REMOVE"),"")</f>
        <v/>
      </c>
      <c r="I7333">
        <f>IF(E7333="Gmail",COUNTIF($E$2:E7333,"Gmail"),"")</f>
        <v/>
      </c>
      <c r="J7333">
        <f>IF(E7333="Outlook",COUNTIF($E$2:E7333,"Outlook"),"")</f>
        <v/>
      </c>
      <c r="K7333">
        <f>IF(E7333="Domain",COUNTIF($E$2:E7333,"Domain"),"")</f>
        <v/>
      </c>
    </row>
    <row r="7334">
      <c r="A7334" s="2" t="n"/>
      <c r="B7334">
        <f>LOWER(TRIM(A7334))</f>
        <v/>
      </c>
      <c r="C7334">
        <f>IF(B7334="","",IFERROR(INDEX('Bad Patterns'!$A$2:$A$120,MATCH(1,INDEX(--ISNUMBER(SEARCH('Bad Patterns'!$A$2:$A$120,B7334)),0),0)),""))</f>
        <v/>
      </c>
      <c r="D7334">
        <f>IF(B7334="","",IF(C7334&lt;&gt;"","REMOVE","KEEP"))</f>
        <v/>
      </c>
      <c r="E7334">
        <f>IF(D7334&lt;&gt;"KEEP","",IF(RIGHT(B7334,10)="@gmail.com","Gmail",IF(OR(RIGHT(B7334,12)="@outlook.com",RIGHT(B7334,12)="@hotmail.com",RIGHT(B7334,9)="@live.com"),"Outlook","Domain")))</f>
        <v/>
      </c>
      <c r="F7334">
        <f>IF(B7334="","",IFERROR(RIGHT(B7334,LEN(B7334)-FIND("@",B7334)),""))</f>
        <v/>
      </c>
      <c r="G7334">
        <f>IF(D7334="KEEP",COUNTIF($D$2:D7334,"KEEP"),"")</f>
        <v/>
      </c>
      <c r="H7334">
        <f>IF(D7334="REMOVE",COUNTIF($D$2:D7334,"REMOVE"),"")</f>
        <v/>
      </c>
      <c r="I7334">
        <f>IF(E7334="Gmail",COUNTIF($E$2:E7334,"Gmail"),"")</f>
        <v/>
      </c>
      <c r="J7334">
        <f>IF(E7334="Outlook",COUNTIF($E$2:E7334,"Outlook"),"")</f>
        <v/>
      </c>
      <c r="K7334">
        <f>IF(E7334="Domain",COUNTIF($E$2:E7334,"Domain"),"")</f>
        <v/>
      </c>
    </row>
    <row r="7335">
      <c r="A7335" s="2" t="n"/>
      <c r="B7335">
        <f>LOWER(TRIM(A7335))</f>
        <v/>
      </c>
      <c r="C7335">
        <f>IF(B7335="","",IFERROR(INDEX('Bad Patterns'!$A$2:$A$120,MATCH(1,INDEX(--ISNUMBER(SEARCH('Bad Patterns'!$A$2:$A$120,B7335)),0),0)),""))</f>
        <v/>
      </c>
      <c r="D7335">
        <f>IF(B7335="","",IF(C7335&lt;&gt;"","REMOVE","KEEP"))</f>
        <v/>
      </c>
      <c r="E7335">
        <f>IF(D7335&lt;&gt;"KEEP","",IF(RIGHT(B7335,10)="@gmail.com","Gmail",IF(OR(RIGHT(B7335,12)="@outlook.com",RIGHT(B7335,12)="@hotmail.com",RIGHT(B7335,9)="@live.com"),"Outlook","Domain")))</f>
        <v/>
      </c>
      <c r="F7335">
        <f>IF(B7335="","",IFERROR(RIGHT(B7335,LEN(B7335)-FIND("@",B7335)),""))</f>
        <v/>
      </c>
      <c r="G7335">
        <f>IF(D7335="KEEP",COUNTIF($D$2:D7335,"KEEP"),"")</f>
        <v/>
      </c>
      <c r="H7335">
        <f>IF(D7335="REMOVE",COUNTIF($D$2:D7335,"REMOVE"),"")</f>
        <v/>
      </c>
      <c r="I7335">
        <f>IF(E7335="Gmail",COUNTIF($E$2:E7335,"Gmail"),"")</f>
        <v/>
      </c>
      <c r="J7335">
        <f>IF(E7335="Outlook",COUNTIF($E$2:E7335,"Outlook"),"")</f>
        <v/>
      </c>
      <c r="K7335">
        <f>IF(E7335="Domain",COUNTIF($E$2:E7335,"Domain"),"")</f>
        <v/>
      </c>
    </row>
    <row r="7336">
      <c r="A7336" s="2" t="n"/>
      <c r="B7336">
        <f>LOWER(TRIM(A7336))</f>
        <v/>
      </c>
      <c r="C7336">
        <f>IF(B7336="","",IFERROR(INDEX('Bad Patterns'!$A$2:$A$120,MATCH(1,INDEX(--ISNUMBER(SEARCH('Bad Patterns'!$A$2:$A$120,B7336)),0),0)),""))</f>
        <v/>
      </c>
      <c r="D7336">
        <f>IF(B7336="","",IF(C7336&lt;&gt;"","REMOVE","KEEP"))</f>
        <v/>
      </c>
      <c r="E7336">
        <f>IF(D7336&lt;&gt;"KEEP","",IF(RIGHT(B7336,10)="@gmail.com","Gmail",IF(OR(RIGHT(B7336,12)="@outlook.com",RIGHT(B7336,12)="@hotmail.com",RIGHT(B7336,9)="@live.com"),"Outlook","Domain")))</f>
        <v/>
      </c>
      <c r="F7336">
        <f>IF(B7336="","",IFERROR(RIGHT(B7336,LEN(B7336)-FIND("@",B7336)),""))</f>
        <v/>
      </c>
      <c r="G7336">
        <f>IF(D7336="KEEP",COUNTIF($D$2:D7336,"KEEP"),"")</f>
        <v/>
      </c>
      <c r="H7336">
        <f>IF(D7336="REMOVE",COUNTIF($D$2:D7336,"REMOVE"),"")</f>
        <v/>
      </c>
      <c r="I7336">
        <f>IF(E7336="Gmail",COUNTIF($E$2:E7336,"Gmail"),"")</f>
        <v/>
      </c>
      <c r="J7336">
        <f>IF(E7336="Outlook",COUNTIF($E$2:E7336,"Outlook"),"")</f>
        <v/>
      </c>
      <c r="K7336">
        <f>IF(E7336="Domain",COUNTIF($E$2:E7336,"Domain"),"")</f>
        <v/>
      </c>
    </row>
    <row r="7337">
      <c r="A7337" s="2" t="n"/>
      <c r="B7337">
        <f>LOWER(TRIM(A7337))</f>
        <v/>
      </c>
      <c r="C7337">
        <f>IF(B7337="","",IFERROR(INDEX('Bad Patterns'!$A$2:$A$120,MATCH(1,INDEX(--ISNUMBER(SEARCH('Bad Patterns'!$A$2:$A$120,B7337)),0),0)),""))</f>
        <v/>
      </c>
      <c r="D7337">
        <f>IF(B7337="","",IF(C7337&lt;&gt;"","REMOVE","KEEP"))</f>
        <v/>
      </c>
      <c r="E7337">
        <f>IF(D7337&lt;&gt;"KEEP","",IF(RIGHT(B7337,10)="@gmail.com","Gmail",IF(OR(RIGHT(B7337,12)="@outlook.com",RIGHT(B7337,12)="@hotmail.com",RIGHT(B7337,9)="@live.com"),"Outlook","Domain")))</f>
        <v/>
      </c>
      <c r="F7337">
        <f>IF(B7337="","",IFERROR(RIGHT(B7337,LEN(B7337)-FIND("@",B7337)),""))</f>
        <v/>
      </c>
      <c r="G7337">
        <f>IF(D7337="KEEP",COUNTIF($D$2:D7337,"KEEP"),"")</f>
        <v/>
      </c>
      <c r="H7337">
        <f>IF(D7337="REMOVE",COUNTIF($D$2:D7337,"REMOVE"),"")</f>
        <v/>
      </c>
      <c r="I7337">
        <f>IF(E7337="Gmail",COUNTIF($E$2:E7337,"Gmail"),"")</f>
        <v/>
      </c>
      <c r="J7337">
        <f>IF(E7337="Outlook",COUNTIF($E$2:E7337,"Outlook"),"")</f>
        <v/>
      </c>
      <c r="K7337">
        <f>IF(E7337="Domain",COUNTIF($E$2:E7337,"Domain"),"")</f>
        <v/>
      </c>
    </row>
    <row r="7338">
      <c r="A7338" s="2" t="n"/>
      <c r="B7338">
        <f>LOWER(TRIM(A7338))</f>
        <v/>
      </c>
      <c r="C7338">
        <f>IF(B7338="","",IFERROR(INDEX('Bad Patterns'!$A$2:$A$120,MATCH(1,INDEX(--ISNUMBER(SEARCH('Bad Patterns'!$A$2:$A$120,B7338)),0),0)),""))</f>
        <v/>
      </c>
      <c r="D7338">
        <f>IF(B7338="","",IF(C7338&lt;&gt;"","REMOVE","KEEP"))</f>
        <v/>
      </c>
      <c r="E7338">
        <f>IF(D7338&lt;&gt;"KEEP","",IF(RIGHT(B7338,10)="@gmail.com","Gmail",IF(OR(RIGHT(B7338,12)="@outlook.com",RIGHT(B7338,12)="@hotmail.com",RIGHT(B7338,9)="@live.com"),"Outlook","Domain")))</f>
        <v/>
      </c>
      <c r="F7338">
        <f>IF(B7338="","",IFERROR(RIGHT(B7338,LEN(B7338)-FIND("@",B7338)),""))</f>
        <v/>
      </c>
      <c r="G7338">
        <f>IF(D7338="KEEP",COUNTIF($D$2:D7338,"KEEP"),"")</f>
        <v/>
      </c>
      <c r="H7338">
        <f>IF(D7338="REMOVE",COUNTIF($D$2:D7338,"REMOVE"),"")</f>
        <v/>
      </c>
      <c r="I7338">
        <f>IF(E7338="Gmail",COUNTIF($E$2:E7338,"Gmail"),"")</f>
        <v/>
      </c>
      <c r="J7338">
        <f>IF(E7338="Outlook",COUNTIF($E$2:E7338,"Outlook"),"")</f>
        <v/>
      </c>
      <c r="K7338">
        <f>IF(E7338="Domain",COUNTIF($E$2:E7338,"Domain"),"")</f>
        <v/>
      </c>
    </row>
    <row r="7339">
      <c r="A7339" s="2" t="n"/>
      <c r="B7339">
        <f>LOWER(TRIM(A7339))</f>
        <v/>
      </c>
      <c r="C7339">
        <f>IF(B7339="","",IFERROR(INDEX('Bad Patterns'!$A$2:$A$120,MATCH(1,INDEX(--ISNUMBER(SEARCH('Bad Patterns'!$A$2:$A$120,B7339)),0),0)),""))</f>
        <v/>
      </c>
      <c r="D7339">
        <f>IF(B7339="","",IF(C7339&lt;&gt;"","REMOVE","KEEP"))</f>
        <v/>
      </c>
      <c r="E7339">
        <f>IF(D7339&lt;&gt;"KEEP","",IF(RIGHT(B7339,10)="@gmail.com","Gmail",IF(OR(RIGHT(B7339,12)="@outlook.com",RIGHT(B7339,12)="@hotmail.com",RIGHT(B7339,9)="@live.com"),"Outlook","Domain")))</f>
        <v/>
      </c>
      <c r="F7339">
        <f>IF(B7339="","",IFERROR(RIGHT(B7339,LEN(B7339)-FIND("@",B7339)),""))</f>
        <v/>
      </c>
      <c r="G7339">
        <f>IF(D7339="KEEP",COUNTIF($D$2:D7339,"KEEP"),"")</f>
        <v/>
      </c>
      <c r="H7339">
        <f>IF(D7339="REMOVE",COUNTIF($D$2:D7339,"REMOVE"),"")</f>
        <v/>
      </c>
      <c r="I7339">
        <f>IF(E7339="Gmail",COUNTIF($E$2:E7339,"Gmail"),"")</f>
        <v/>
      </c>
      <c r="J7339">
        <f>IF(E7339="Outlook",COUNTIF($E$2:E7339,"Outlook"),"")</f>
        <v/>
      </c>
      <c r="K7339">
        <f>IF(E7339="Domain",COUNTIF($E$2:E7339,"Domain"),"")</f>
        <v/>
      </c>
    </row>
    <row r="7340">
      <c r="A7340" s="2" t="n"/>
      <c r="B7340">
        <f>LOWER(TRIM(A7340))</f>
        <v/>
      </c>
      <c r="C7340">
        <f>IF(B7340="","",IFERROR(INDEX('Bad Patterns'!$A$2:$A$120,MATCH(1,INDEX(--ISNUMBER(SEARCH('Bad Patterns'!$A$2:$A$120,B7340)),0),0)),""))</f>
        <v/>
      </c>
      <c r="D7340">
        <f>IF(B7340="","",IF(C7340&lt;&gt;"","REMOVE","KEEP"))</f>
        <v/>
      </c>
      <c r="E7340">
        <f>IF(D7340&lt;&gt;"KEEP","",IF(RIGHT(B7340,10)="@gmail.com","Gmail",IF(OR(RIGHT(B7340,12)="@outlook.com",RIGHT(B7340,12)="@hotmail.com",RIGHT(B7340,9)="@live.com"),"Outlook","Domain")))</f>
        <v/>
      </c>
      <c r="F7340">
        <f>IF(B7340="","",IFERROR(RIGHT(B7340,LEN(B7340)-FIND("@",B7340)),""))</f>
        <v/>
      </c>
      <c r="G7340">
        <f>IF(D7340="KEEP",COUNTIF($D$2:D7340,"KEEP"),"")</f>
        <v/>
      </c>
      <c r="H7340">
        <f>IF(D7340="REMOVE",COUNTIF($D$2:D7340,"REMOVE"),"")</f>
        <v/>
      </c>
      <c r="I7340">
        <f>IF(E7340="Gmail",COUNTIF($E$2:E7340,"Gmail"),"")</f>
        <v/>
      </c>
      <c r="J7340">
        <f>IF(E7340="Outlook",COUNTIF($E$2:E7340,"Outlook"),"")</f>
        <v/>
      </c>
      <c r="K7340">
        <f>IF(E7340="Domain",COUNTIF($E$2:E7340,"Domain"),"")</f>
        <v/>
      </c>
    </row>
    <row r="7341">
      <c r="A7341" s="2" t="n"/>
      <c r="B7341">
        <f>LOWER(TRIM(A7341))</f>
        <v/>
      </c>
      <c r="C7341">
        <f>IF(B7341="","",IFERROR(INDEX('Bad Patterns'!$A$2:$A$120,MATCH(1,INDEX(--ISNUMBER(SEARCH('Bad Patterns'!$A$2:$A$120,B7341)),0),0)),""))</f>
        <v/>
      </c>
      <c r="D7341">
        <f>IF(B7341="","",IF(C7341&lt;&gt;"","REMOVE","KEEP"))</f>
        <v/>
      </c>
      <c r="E7341">
        <f>IF(D7341&lt;&gt;"KEEP","",IF(RIGHT(B7341,10)="@gmail.com","Gmail",IF(OR(RIGHT(B7341,12)="@outlook.com",RIGHT(B7341,12)="@hotmail.com",RIGHT(B7341,9)="@live.com"),"Outlook","Domain")))</f>
        <v/>
      </c>
      <c r="F7341">
        <f>IF(B7341="","",IFERROR(RIGHT(B7341,LEN(B7341)-FIND("@",B7341)),""))</f>
        <v/>
      </c>
      <c r="G7341">
        <f>IF(D7341="KEEP",COUNTIF($D$2:D7341,"KEEP"),"")</f>
        <v/>
      </c>
      <c r="H7341">
        <f>IF(D7341="REMOVE",COUNTIF($D$2:D7341,"REMOVE"),"")</f>
        <v/>
      </c>
      <c r="I7341">
        <f>IF(E7341="Gmail",COUNTIF($E$2:E7341,"Gmail"),"")</f>
        <v/>
      </c>
      <c r="J7341">
        <f>IF(E7341="Outlook",COUNTIF($E$2:E7341,"Outlook"),"")</f>
        <v/>
      </c>
      <c r="K7341">
        <f>IF(E7341="Domain",COUNTIF($E$2:E7341,"Domain"),"")</f>
        <v/>
      </c>
    </row>
    <row r="7342">
      <c r="A7342" s="2" t="n"/>
      <c r="B7342">
        <f>LOWER(TRIM(A7342))</f>
        <v/>
      </c>
      <c r="C7342">
        <f>IF(B7342="","",IFERROR(INDEX('Bad Patterns'!$A$2:$A$120,MATCH(1,INDEX(--ISNUMBER(SEARCH('Bad Patterns'!$A$2:$A$120,B7342)),0),0)),""))</f>
        <v/>
      </c>
      <c r="D7342">
        <f>IF(B7342="","",IF(C7342&lt;&gt;"","REMOVE","KEEP"))</f>
        <v/>
      </c>
      <c r="E7342">
        <f>IF(D7342&lt;&gt;"KEEP","",IF(RIGHT(B7342,10)="@gmail.com","Gmail",IF(OR(RIGHT(B7342,12)="@outlook.com",RIGHT(B7342,12)="@hotmail.com",RIGHT(B7342,9)="@live.com"),"Outlook","Domain")))</f>
        <v/>
      </c>
      <c r="F7342">
        <f>IF(B7342="","",IFERROR(RIGHT(B7342,LEN(B7342)-FIND("@",B7342)),""))</f>
        <v/>
      </c>
      <c r="G7342">
        <f>IF(D7342="KEEP",COUNTIF($D$2:D7342,"KEEP"),"")</f>
        <v/>
      </c>
      <c r="H7342">
        <f>IF(D7342="REMOVE",COUNTIF($D$2:D7342,"REMOVE"),"")</f>
        <v/>
      </c>
      <c r="I7342">
        <f>IF(E7342="Gmail",COUNTIF($E$2:E7342,"Gmail"),"")</f>
        <v/>
      </c>
      <c r="J7342">
        <f>IF(E7342="Outlook",COUNTIF($E$2:E7342,"Outlook"),"")</f>
        <v/>
      </c>
      <c r="K7342">
        <f>IF(E7342="Domain",COUNTIF($E$2:E7342,"Domain"),"")</f>
        <v/>
      </c>
    </row>
    <row r="7343">
      <c r="A7343" s="2" t="n"/>
      <c r="B7343">
        <f>LOWER(TRIM(A7343))</f>
        <v/>
      </c>
      <c r="C7343">
        <f>IF(B7343="","",IFERROR(INDEX('Bad Patterns'!$A$2:$A$120,MATCH(1,INDEX(--ISNUMBER(SEARCH('Bad Patterns'!$A$2:$A$120,B7343)),0),0)),""))</f>
        <v/>
      </c>
      <c r="D7343">
        <f>IF(B7343="","",IF(C7343&lt;&gt;"","REMOVE","KEEP"))</f>
        <v/>
      </c>
      <c r="E7343">
        <f>IF(D7343&lt;&gt;"KEEP","",IF(RIGHT(B7343,10)="@gmail.com","Gmail",IF(OR(RIGHT(B7343,12)="@outlook.com",RIGHT(B7343,12)="@hotmail.com",RIGHT(B7343,9)="@live.com"),"Outlook","Domain")))</f>
        <v/>
      </c>
      <c r="F7343">
        <f>IF(B7343="","",IFERROR(RIGHT(B7343,LEN(B7343)-FIND("@",B7343)),""))</f>
        <v/>
      </c>
      <c r="G7343">
        <f>IF(D7343="KEEP",COUNTIF($D$2:D7343,"KEEP"),"")</f>
        <v/>
      </c>
      <c r="H7343">
        <f>IF(D7343="REMOVE",COUNTIF($D$2:D7343,"REMOVE"),"")</f>
        <v/>
      </c>
      <c r="I7343">
        <f>IF(E7343="Gmail",COUNTIF($E$2:E7343,"Gmail"),"")</f>
        <v/>
      </c>
      <c r="J7343">
        <f>IF(E7343="Outlook",COUNTIF($E$2:E7343,"Outlook"),"")</f>
        <v/>
      </c>
      <c r="K7343">
        <f>IF(E7343="Domain",COUNTIF($E$2:E7343,"Domain"),"")</f>
        <v/>
      </c>
    </row>
    <row r="7344">
      <c r="A7344" s="2" t="n"/>
      <c r="B7344">
        <f>LOWER(TRIM(A7344))</f>
        <v/>
      </c>
      <c r="C7344">
        <f>IF(B7344="","",IFERROR(INDEX('Bad Patterns'!$A$2:$A$120,MATCH(1,INDEX(--ISNUMBER(SEARCH('Bad Patterns'!$A$2:$A$120,B7344)),0),0)),""))</f>
        <v/>
      </c>
      <c r="D7344">
        <f>IF(B7344="","",IF(C7344&lt;&gt;"","REMOVE","KEEP"))</f>
        <v/>
      </c>
      <c r="E7344">
        <f>IF(D7344&lt;&gt;"KEEP","",IF(RIGHT(B7344,10)="@gmail.com","Gmail",IF(OR(RIGHT(B7344,12)="@outlook.com",RIGHT(B7344,12)="@hotmail.com",RIGHT(B7344,9)="@live.com"),"Outlook","Domain")))</f>
        <v/>
      </c>
      <c r="F7344">
        <f>IF(B7344="","",IFERROR(RIGHT(B7344,LEN(B7344)-FIND("@",B7344)),""))</f>
        <v/>
      </c>
      <c r="G7344">
        <f>IF(D7344="KEEP",COUNTIF($D$2:D7344,"KEEP"),"")</f>
        <v/>
      </c>
      <c r="H7344">
        <f>IF(D7344="REMOVE",COUNTIF($D$2:D7344,"REMOVE"),"")</f>
        <v/>
      </c>
      <c r="I7344">
        <f>IF(E7344="Gmail",COUNTIF($E$2:E7344,"Gmail"),"")</f>
        <v/>
      </c>
      <c r="J7344">
        <f>IF(E7344="Outlook",COUNTIF($E$2:E7344,"Outlook"),"")</f>
        <v/>
      </c>
      <c r="K7344">
        <f>IF(E7344="Domain",COUNTIF($E$2:E7344,"Domain"),"")</f>
        <v/>
      </c>
    </row>
    <row r="7345">
      <c r="A7345" s="2" t="n"/>
      <c r="B7345">
        <f>LOWER(TRIM(A7345))</f>
        <v/>
      </c>
      <c r="C7345">
        <f>IF(B7345="","",IFERROR(INDEX('Bad Patterns'!$A$2:$A$120,MATCH(1,INDEX(--ISNUMBER(SEARCH('Bad Patterns'!$A$2:$A$120,B7345)),0),0)),""))</f>
        <v/>
      </c>
      <c r="D7345">
        <f>IF(B7345="","",IF(C7345&lt;&gt;"","REMOVE","KEEP"))</f>
        <v/>
      </c>
      <c r="E7345">
        <f>IF(D7345&lt;&gt;"KEEP","",IF(RIGHT(B7345,10)="@gmail.com","Gmail",IF(OR(RIGHT(B7345,12)="@outlook.com",RIGHT(B7345,12)="@hotmail.com",RIGHT(B7345,9)="@live.com"),"Outlook","Domain")))</f>
        <v/>
      </c>
      <c r="F7345">
        <f>IF(B7345="","",IFERROR(RIGHT(B7345,LEN(B7345)-FIND("@",B7345)),""))</f>
        <v/>
      </c>
      <c r="G7345">
        <f>IF(D7345="KEEP",COUNTIF($D$2:D7345,"KEEP"),"")</f>
        <v/>
      </c>
      <c r="H7345">
        <f>IF(D7345="REMOVE",COUNTIF($D$2:D7345,"REMOVE"),"")</f>
        <v/>
      </c>
      <c r="I7345">
        <f>IF(E7345="Gmail",COUNTIF($E$2:E7345,"Gmail"),"")</f>
        <v/>
      </c>
      <c r="J7345">
        <f>IF(E7345="Outlook",COUNTIF($E$2:E7345,"Outlook"),"")</f>
        <v/>
      </c>
      <c r="K7345">
        <f>IF(E7345="Domain",COUNTIF($E$2:E7345,"Domain"),"")</f>
        <v/>
      </c>
    </row>
    <row r="7346">
      <c r="A7346" s="2" t="n"/>
      <c r="B7346">
        <f>LOWER(TRIM(A7346))</f>
        <v/>
      </c>
      <c r="C7346">
        <f>IF(B7346="","",IFERROR(INDEX('Bad Patterns'!$A$2:$A$120,MATCH(1,INDEX(--ISNUMBER(SEARCH('Bad Patterns'!$A$2:$A$120,B7346)),0),0)),""))</f>
        <v/>
      </c>
      <c r="D7346">
        <f>IF(B7346="","",IF(C7346&lt;&gt;"","REMOVE","KEEP"))</f>
        <v/>
      </c>
      <c r="E7346">
        <f>IF(D7346&lt;&gt;"KEEP","",IF(RIGHT(B7346,10)="@gmail.com","Gmail",IF(OR(RIGHT(B7346,12)="@outlook.com",RIGHT(B7346,12)="@hotmail.com",RIGHT(B7346,9)="@live.com"),"Outlook","Domain")))</f>
        <v/>
      </c>
      <c r="F7346">
        <f>IF(B7346="","",IFERROR(RIGHT(B7346,LEN(B7346)-FIND("@",B7346)),""))</f>
        <v/>
      </c>
      <c r="G7346">
        <f>IF(D7346="KEEP",COUNTIF($D$2:D7346,"KEEP"),"")</f>
        <v/>
      </c>
      <c r="H7346">
        <f>IF(D7346="REMOVE",COUNTIF($D$2:D7346,"REMOVE"),"")</f>
        <v/>
      </c>
      <c r="I7346">
        <f>IF(E7346="Gmail",COUNTIF($E$2:E7346,"Gmail"),"")</f>
        <v/>
      </c>
      <c r="J7346">
        <f>IF(E7346="Outlook",COUNTIF($E$2:E7346,"Outlook"),"")</f>
        <v/>
      </c>
      <c r="K7346">
        <f>IF(E7346="Domain",COUNTIF($E$2:E7346,"Domain"),"")</f>
        <v/>
      </c>
    </row>
    <row r="7347">
      <c r="A7347" s="2" t="n"/>
      <c r="B7347">
        <f>LOWER(TRIM(A7347))</f>
        <v/>
      </c>
      <c r="C7347">
        <f>IF(B7347="","",IFERROR(INDEX('Bad Patterns'!$A$2:$A$120,MATCH(1,INDEX(--ISNUMBER(SEARCH('Bad Patterns'!$A$2:$A$120,B7347)),0),0)),""))</f>
        <v/>
      </c>
      <c r="D7347">
        <f>IF(B7347="","",IF(C7347&lt;&gt;"","REMOVE","KEEP"))</f>
        <v/>
      </c>
      <c r="E7347">
        <f>IF(D7347&lt;&gt;"KEEP","",IF(RIGHT(B7347,10)="@gmail.com","Gmail",IF(OR(RIGHT(B7347,12)="@outlook.com",RIGHT(B7347,12)="@hotmail.com",RIGHT(B7347,9)="@live.com"),"Outlook","Domain")))</f>
        <v/>
      </c>
      <c r="F7347">
        <f>IF(B7347="","",IFERROR(RIGHT(B7347,LEN(B7347)-FIND("@",B7347)),""))</f>
        <v/>
      </c>
      <c r="G7347">
        <f>IF(D7347="KEEP",COUNTIF($D$2:D7347,"KEEP"),"")</f>
        <v/>
      </c>
      <c r="H7347">
        <f>IF(D7347="REMOVE",COUNTIF($D$2:D7347,"REMOVE"),"")</f>
        <v/>
      </c>
      <c r="I7347">
        <f>IF(E7347="Gmail",COUNTIF($E$2:E7347,"Gmail"),"")</f>
        <v/>
      </c>
      <c r="J7347">
        <f>IF(E7347="Outlook",COUNTIF($E$2:E7347,"Outlook"),"")</f>
        <v/>
      </c>
      <c r="K7347">
        <f>IF(E7347="Domain",COUNTIF($E$2:E7347,"Domain"),"")</f>
        <v/>
      </c>
    </row>
    <row r="7348">
      <c r="A7348" s="2" t="n"/>
      <c r="B7348">
        <f>LOWER(TRIM(A7348))</f>
        <v/>
      </c>
      <c r="C7348">
        <f>IF(B7348="","",IFERROR(INDEX('Bad Patterns'!$A$2:$A$120,MATCH(1,INDEX(--ISNUMBER(SEARCH('Bad Patterns'!$A$2:$A$120,B7348)),0),0)),""))</f>
        <v/>
      </c>
      <c r="D7348">
        <f>IF(B7348="","",IF(C7348&lt;&gt;"","REMOVE","KEEP"))</f>
        <v/>
      </c>
      <c r="E7348">
        <f>IF(D7348&lt;&gt;"KEEP","",IF(RIGHT(B7348,10)="@gmail.com","Gmail",IF(OR(RIGHT(B7348,12)="@outlook.com",RIGHT(B7348,12)="@hotmail.com",RIGHT(B7348,9)="@live.com"),"Outlook","Domain")))</f>
        <v/>
      </c>
      <c r="F7348">
        <f>IF(B7348="","",IFERROR(RIGHT(B7348,LEN(B7348)-FIND("@",B7348)),""))</f>
        <v/>
      </c>
      <c r="G7348">
        <f>IF(D7348="KEEP",COUNTIF($D$2:D7348,"KEEP"),"")</f>
        <v/>
      </c>
      <c r="H7348">
        <f>IF(D7348="REMOVE",COUNTIF($D$2:D7348,"REMOVE"),"")</f>
        <v/>
      </c>
      <c r="I7348">
        <f>IF(E7348="Gmail",COUNTIF($E$2:E7348,"Gmail"),"")</f>
        <v/>
      </c>
      <c r="J7348">
        <f>IF(E7348="Outlook",COUNTIF($E$2:E7348,"Outlook"),"")</f>
        <v/>
      </c>
      <c r="K7348">
        <f>IF(E7348="Domain",COUNTIF($E$2:E7348,"Domain"),"")</f>
        <v/>
      </c>
    </row>
    <row r="7349">
      <c r="A7349" s="2" t="n"/>
      <c r="B7349">
        <f>LOWER(TRIM(A7349))</f>
        <v/>
      </c>
      <c r="C7349">
        <f>IF(B7349="","",IFERROR(INDEX('Bad Patterns'!$A$2:$A$120,MATCH(1,INDEX(--ISNUMBER(SEARCH('Bad Patterns'!$A$2:$A$120,B7349)),0),0)),""))</f>
        <v/>
      </c>
      <c r="D7349">
        <f>IF(B7349="","",IF(C7349&lt;&gt;"","REMOVE","KEEP"))</f>
        <v/>
      </c>
      <c r="E7349">
        <f>IF(D7349&lt;&gt;"KEEP","",IF(RIGHT(B7349,10)="@gmail.com","Gmail",IF(OR(RIGHT(B7349,12)="@outlook.com",RIGHT(B7349,12)="@hotmail.com",RIGHT(B7349,9)="@live.com"),"Outlook","Domain")))</f>
        <v/>
      </c>
      <c r="F7349">
        <f>IF(B7349="","",IFERROR(RIGHT(B7349,LEN(B7349)-FIND("@",B7349)),""))</f>
        <v/>
      </c>
      <c r="G7349">
        <f>IF(D7349="KEEP",COUNTIF($D$2:D7349,"KEEP"),"")</f>
        <v/>
      </c>
      <c r="H7349">
        <f>IF(D7349="REMOVE",COUNTIF($D$2:D7349,"REMOVE"),"")</f>
        <v/>
      </c>
      <c r="I7349">
        <f>IF(E7349="Gmail",COUNTIF($E$2:E7349,"Gmail"),"")</f>
        <v/>
      </c>
      <c r="J7349">
        <f>IF(E7349="Outlook",COUNTIF($E$2:E7349,"Outlook"),"")</f>
        <v/>
      </c>
      <c r="K7349">
        <f>IF(E7349="Domain",COUNTIF($E$2:E7349,"Domain"),"")</f>
        <v/>
      </c>
    </row>
    <row r="7350">
      <c r="A7350" s="2" t="n"/>
      <c r="B7350">
        <f>LOWER(TRIM(A7350))</f>
        <v/>
      </c>
      <c r="C7350">
        <f>IF(B7350="","",IFERROR(INDEX('Bad Patterns'!$A$2:$A$120,MATCH(1,INDEX(--ISNUMBER(SEARCH('Bad Patterns'!$A$2:$A$120,B7350)),0),0)),""))</f>
        <v/>
      </c>
      <c r="D7350">
        <f>IF(B7350="","",IF(C7350&lt;&gt;"","REMOVE","KEEP"))</f>
        <v/>
      </c>
      <c r="E7350">
        <f>IF(D7350&lt;&gt;"KEEP","",IF(RIGHT(B7350,10)="@gmail.com","Gmail",IF(OR(RIGHT(B7350,12)="@outlook.com",RIGHT(B7350,12)="@hotmail.com",RIGHT(B7350,9)="@live.com"),"Outlook","Domain")))</f>
        <v/>
      </c>
      <c r="F7350">
        <f>IF(B7350="","",IFERROR(RIGHT(B7350,LEN(B7350)-FIND("@",B7350)),""))</f>
        <v/>
      </c>
      <c r="G7350">
        <f>IF(D7350="KEEP",COUNTIF($D$2:D7350,"KEEP"),"")</f>
        <v/>
      </c>
      <c r="H7350">
        <f>IF(D7350="REMOVE",COUNTIF($D$2:D7350,"REMOVE"),"")</f>
        <v/>
      </c>
      <c r="I7350">
        <f>IF(E7350="Gmail",COUNTIF($E$2:E7350,"Gmail"),"")</f>
        <v/>
      </c>
      <c r="J7350">
        <f>IF(E7350="Outlook",COUNTIF($E$2:E7350,"Outlook"),"")</f>
        <v/>
      </c>
      <c r="K7350">
        <f>IF(E7350="Domain",COUNTIF($E$2:E7350,"Domain"),"")</f>
        <v/>
      </c>
    </row>
    <row r="7351">
      <c r="A7351" s="2" t="n"/>
      <c r="B7351">
        <f>LOWER(TRIM(A7351))</f>
        <v/>
      </c>
      <c r="C7351">
        <f>IF(B7351="","",IFERROR(INDEX('Bad Patterns'!$A$2:$A$120,MATCH(1,INDEX(--ISNUMBER(SEARCH('Bad Patterns'!$A$2:$A$120,B7351)),0),0)),""))</f>
        <v/>
      </c>
      <c r="D7351">
        <f>IF(B7351="","",IF(C7351&lt;&gt;"","REMOVE","KEEP"))</f>
        <v/>
      </c>
      <c r="E7351">
        <f>IF(D7351&lt;&gt;"KEEP","",IF(RIGHT(B7351,10)="@gmail.com","Gmail",IF(OR(RIGHT(B7351,12)="@outlook.com",RIGHT(B7351,12)="@hotmail.com",RIGHT(B7351,9)="@live.com"),"Outlook","Domain")))</f>
        <v/>
      </c>
      <c r="F7351">
        <f>IF(B7351="","",IFERROR(RIGHT(B7351,LEN(B7351)-FIND("@",B7351)),""))</f>
        <v/>
      </c>
      <c r="G7351">
        <f>IF(D7351="KEEP",COUNTIF($D$2:D7351,"KEEP"),"")</f>
        <v/>
      </c>
      <c r="H7351">
        <f>IF(D7351="REMOVE",COUNTIF($D$2:D7351,"REMOVE"),"")</f>
        <v/>
      </c>
      <c r="I7351">
        <f>IF(E7351="Gmail",COUNTIF($E$2:E7351,"Gmail"),"")</f>
        <v/>
      </c>
      <c r="J7351">
        <f>IF(E7351="Outlook",COUNTIF($E$2:E7351,"Outlook"),"")</f>
        <v/>
      </c>
      <c r="K7351">
        <f>IF(E7351="Domain",COUNTIF($E$2:E7351,"Domain"),"")</f>
        <v/>
      </c>
    </row>
    <row r="7352">
      <c r="A7352" s="2" t="n"/>
      <c r="B7352">
        <f>LOWER(TRIM(A7352))</f>
        <v/>
      </c>
      <c r="C7352">
        <f>IF(B7352="","",IFERROR(INDEX('Bad Patterns'!$A$2:$A$120,MATCH(1,INDEX(--ISNUMBER(SEARCH('Bad Patterns'!$A$2:$A$120,B7352)),0),0)),""))</f>
        <v/>
      </c>
      <c r="D7352">
        <f>IF(B7352="","",IF(C7352&lt;&gt;"","REMOVE","KEEP"))</f>
        <v/>
      </c>
      <c r="E7352">
        <f>IF(D7352&lt;&gt;"KEEP","",IF(RIGHT(B7352,10)="@gmail.com","Gmail",IF(OR(RIGHT(B7352,12)="@outlook.com",RIGHT(B7352,12)="@hotmail.com",RIGHT(B7352,9)="@live.com"),"Outlook","Domain")))</f>
        <v/>
      </c>
      <c r="F7352">
        <f>IF(B7352="","",IFERROR(RIGHT(B7352,LEN(B7352)-FIND("@",B7352)),""))</f>
        <v/>
      </c>
      <c r="G7352">
        <f>IF(D7352="KEEP",COUNTIF($D$2:D7352,"KEEP"),"")</f>
        <v/>
      </c>
      <c r="H7352">
        <f>IF(D7352="REMOVE",COUNTIF($D$2:D7352,"REMOVE"),"")</f>
        <v/>
      </c>
      <c r="I7352">
        <f>IF(E7352="Gmail",COUNTIF($E$2:E7352,"Gmail"),"")</f>
        <v/>
      </c>
      <c r="J7352">
        <f>IF(E7352="Outlook",COUNTIF($E$2:E7352,"Outlook"),"")</f>
        <v/>
      </c>
      <c r="K7352">
        <f>IF(E7352="Domain",COUNTIF($E$2:E7352,"Domain"),"")</f>
        <v/>
      </c>
    </row>
    <row r="7353">
      <c r="A7353" s="2" t="n"/>
      <c r="B7353">
        <f>LOWER(TRIM(A7353))</f>
        <v/>
      </c>
      <c r="C7353">
        <f>IF(B7353="","",IFERROR(INDEX('Bad Patterns'!$A$2:$A$120,MATCH(1,INDEX(--ISNUMBER(SEARCH('Bad Patterns'!$A$2:$A$120,B7353)),0),0)),""))</f>
        <v/>
      </c>
      <c r="D7353">
        <f>IF(B7353="","",IF(C7353&lt;&gt;"","REMOVE","KEEP"))</f>
        <v/>
      </c>
      <c r="E7353">
        <f>IF(D7353&lt;&gt;"KEEP","",IF(RIGHT(B7353,10)="@gmail.com","Gmail",IF(OR(RIGHT(B7353,12)="@outlook.com",RIGHT(B7353,12)="@hotmail.com",RIGHT(B7353,9)="@live.com"),"Outlook","Domain")))</f>
        <v/>
      </c>
      <c r="F7353">
        <f>IF(B7353="","",IFERROR(RIGHT(B7353,LEN(B7353)-FIND("@",B7353)),""))</f>
        <v/>
      </c>
      <c r="G7353">
        <f>IF(D7353="KEEP",COUNTIF($D$2:D7353,"KEEP"),"")</f>
        <v/>
      </c>
      <c r="H7353">
        <f>IF(D7353="REMOVE",COUNTIF($D$2:D7353,"REMOVE"),"")</f>
        <v/>
      </c>
      <c r="I7353">
        <f>IF(E7353="Gmail",COUNTIF($E$2:E7353,"Gmail"),"")</f>
        <v/>
      </c>
      <c r="J7353">
        <f>IF(E7353="Outlook",COUNTIF($E$2:E7353,"Outlook"),"")</f>
        <v/>
      </c>
      <c r="K7353">
        <f>IF(E7353="Domain",COUNTIF($E$2:E7353,"Domain"),"")</f>
        <v/>
      </c>
    </row>
    <row r="7354">
      <c r="A7354" s="2" t="n"/>
      <c r="B7354">
        <f>LOWER(TRIM(A7354))</f>
        <v/>
      </c>
      <c r="C7354">
        <f>IF(B7354="","",IFERROR(INDEX('Bad Patterns'!$A$2:$A$120,MATCH(1,INDEX(--ISNUMBER(SEARCH('Bad Patterns'!$A$2:$A$120,B7354)),0),0)),""))</f>
        <v/>
      </c>
      <c r="D7354">
        <f>IF(B7354="","",IF(C7354&lt;&gt;"","REMOVE","KEEP"))</f>
        <v/>
      </c>
      <c r="E7354">
        <f>IF(D7354&lt;&gt;"KEEP","",IF(RIGHT(B7354,10)="@gmail.com","Gmail",IF(OR(RIGHT(B7354,12)="@outlook.com",RIGHT(B7354,12)="@hotmail.com",RIGHT(B7354,9)="@live.com"),"Outlook","Domain")))</f>
        <v/>
      </c>
      <c r="F7354">
        <f>IF(B7354="","",IFERROR(RIGHT(B7354,LEN(B7354)-FIND("@",B7354)),""))</f>
        <v/>
      </c>
      <c r="G7354">
        <f>IF(D7354="KEEP",COUNTIF($D$2:D7354,"KEEP"),"")</f>
        <v/>
      </c>
      <c r="H7354">
        <f>IF(D7354="REMOVE",COUNTIF($D$2:D7354,"REMOVE"),"")</f>
        <v/>
      </c>
      <c r="I7354">
        <f>IF(E7354="Gmail",COUNTIF($E$2:E7354,"Gmail"),"")</f>
        <v/>
      </c>
      <c r="J7354">
        <f>IF(E7354="Outlook",COUNTIF($E$2:E7354,"Outlook"),"")</f>
        <v/>
      </c>
      <c r="K7354">
        <f>IF(E7354="Domain",COUNTIF($E$2:E7354,"Domain"),"")</f>
        <v/>
      </c>
    </row>
    <row r="7355">
      <c r="A7355" s="2" t="n"/>
      <c r="B7355">
        <f>LOWER(TRIM(A7355))</f>
        <v/>
      </c>
      <c r="C7355">
        <f>IF(B7355="","",IFERROR(INDEX('Bad Patterns'!$A$2:$A$120,MATCH(1,INDEX(--ISNUMBER(SEARCH('Bad Patterns'!$A$2:$A$120,B7355)),0),0)),""))</f>
        <v/>
      </c>
      <c r="D7355">
        <f>IF(B7355="","",IF(C7355&lt;&gt;"","REMOVE","KEEP"))</f>
        <v/>
      </c>
      <c r="E7355">
        <f>IF(D7355&lt;&gt;"KEEP","",IF(RIGHT(B7355,10)="@gmail.com","Gmail",IF(OR(RIGHT(B7355,12)="@outlook.com",RIGHT(B7355,12)="@hotmail.com",RIGHT(B7355,9)="@live.com"),"Outlook","Domain")))</f>
        <v/>
      </c>
      <c r="F7355">
        <f>IF(B7355="","",IFERROR(RIGHT(B7355,LEN(B7355)-FIND("@",B7355)),""))</f>
        <v/>
      </c>
      <c r="G7355">
        <f>IF(D7355="KEEP",COUNTIF($D$2:D7355,"KEEP"),"")</f>
        <v/>
      </c>
      <c r="H7355">
        <f>IF(D7355="REMOVE",COUNTIF($D$2:D7355,"REMOVE"),"")</f>
        <v/>
      </c>
      <c r="I7355">
        <f>IF(E7355="Gmail",COUNTIF($E$2:E7355,"Gmail"),"")</f>
        <v/>
      </c>
      <c r="J7355">
        <f>IF(E7355="Outlook",COUNTIF($E$2:E7355,"Outlook"),"")</f>
        <v/>
      </c>
      <c r="K7355">
        <f>IF(E7355="Domain",COUNTIF($E$2:E7355,"Domain"),"")</f>
        <v/>
      </c>
    </row>
    <row r="7356">
      <c r="A7356" s="2" t="n"/>
      <c r="B7356">
        <f>LOWER(TRIM(A7356))</f>
        <v/>
      </c>
      <c r="C7356">
        <f>IF(B7356="","",IFERROR(INDEX('Bad Patterns'!$A$2:$A$120,MATCH(1,INDEX(--ISNUMBER(SEARCH('Bad Patterns'!$A$2:$A$120,B7356)),0),0)),""))</f>
        <v/>
      </c>
      <c r="D7356">
        <f>IF(B7356="","",IF(C7356&lt;&gt;"","REMOVE","KEEP"))</f>
        <v/>
      </c>
      <c r="E7356">
        <f>IF(D7356&lt;&gt;"KEEP","",IF(RIGHT(B7356,10)="@gmail.com","Gmail",IF(OR(RIGHT(B7356,12)="@outlook.com",RIGHT(B7356,12)="@hotmail.com",RIGHT(B7356,9)="@live.com"),"Outlook","Domain")))</f>
        <v/>
      </c>
      <c r="F7356">
        <f>IF(B7356="","",IFERROR(RIGHT(B7356,LEN(B7356)-FIND("@",B7356)),""))</f>
        <v/>
      </c>
      <c r="G7356">
        <f>IF(D7356="KEEP",COUNTIF($D$2:D7356,"KEEP"),"")</f>
        <v/>
      </c>
      <c r="H7356">
        <f>IF(D7356="REMOVE",COUNTIF($D$2:D7356,"REMOVE"),"")</f>
        <v/>
      </c>
      <c r="I7356">
        <f>IF(E7356="Gmail",COUNTIF($E$2:E7356,"Gmail"),"")</f>
        <v/>
      </c>
      <c r="J7356">
        <f>IF(E7356="Outlook",COUNTIF($E$2:E7356,"Outlook"),"")</f>
        <v/>
      </c>
      <c r="K7356">
        <f>IF(E7356="Domain",COUNTIF($E$2:E7356,"Domain"),"")</f>
        <v/>
      </c>
    </row>
    <row r="7357">
      <c r="A7357" s="2" t="n"/>
      <c r="B7357">
        <f>LOWER(TRIM(A7357))</f>
        <v/>
      </c>
      <c r="C7357">
        <f>IF(B7357="","",IFERROR(INDEX('Bad Patterns'!$A$2:$A$120,MATCH(1,INDEX(--ISNUMBER(SEARCH('Bad Patterns'!$A$2:$A$120,B7357)),0),0)),""))</f>
        <v/>
      </c>
      <c r="D7357">
        <f>IF(B7357="","",IF(C7357&lt;&gt;"","REMOVE","KEEP"))</f>
        <v/>
      </c>
      <c r="E7357">
        <f>IF(D7357&lt;&gt;"KEEP","",IF(RIGHT(B7357,10)="@gmail.com","Gmail",IF(OR(RIGHT(B7357,12)="@outlook.com",RIGHT(B7357,12)="@hotmail.com",RIGHT(B7357,9)="@live.com"),"Outlook","Domain")))</f>
        <v/>
      </c>
      <c r="F7357">
        <f>IF(B7357="","",IFERROR(RIGHT(B7357,LEN(B7357)-FIND("@",B7357)),""))</f>
        <v/>
      </c>
      <c r="G7357">
        <f>IF(D7357="KEEP",COUNTIF($D$2:D7357,"KEEP"),"")</f>
        <v/>
      </c>
      <c r="H7357">
        <f>IF(D7357="REMOVE",COUNTIF($D$2:D7357,"REMOVE"),"")</f>
        <v/>
      </c>
      <c r="I7357">
        <f>IF(E7357="Gmail",COUNTIF($E$2:E7357,"Gmail"),"")</f>
        <v/>
      </c>
      <c r="J7357">
        <f>IF(E7357="Outlook",COUNTIF($E$2:E7357,"Outlook"),"")</f>
        <v/>
      </c>
      <c r="K7357">
        <f>IF(E7357="Domain",COUNTIF($E$2:E7357,"Domain"),"")</f>
        <v/>
      </c>
    </row>
    <row r="7358">
      <c r="A7358" s="2" t="n"/>
      <c r="B7358">
        <f>LOWER(TRIM(A7358))</f>
        <v/>
      </c>
      <c r="C7358">
        <f>IF(B7358="","",IFERROR(INDEX('Bad Patterns'!$A$2:$A$120,MATCH(1,INDEX(--ISNUMBER(SEARCH('Bad Patterns'!$A$2:$A$120,B7358)),0),0)),""))</f>
        <v/>
      </c>
      <c r="D7358">
        <f>IF(B7358="","",IF(C7358&lt;&gt;"","REMOVE","KEEP"))</f>
        <v/>
      </c>
      <c r="E7358">
        <f>IF(D7358&lt;&gt;"KEEP","",IF(RIGHT(B7358,10)="@gmail.com","Gmail",IF(OR(RIGHT(B7358,12)="@outlook.com",RIGHT(B7358,12)="@hotmail.com",RIGHT(B7358,9)="@live.com"),"Outlook","Domain")))</f>
        <v/>
      </c>
      <c r="F7358">
        <f>IF(B7358="","",IFERROR(RIGHT(B7358,LEN(B7358)-FIND("@",B7358)),""))</f>
        <v/>
      </c>
      <c r="G7358">
        <f>IF(D7358="KEEP",COUNTIF($D$2:D7358,"KEEP"),"")</f>
        <v/>
      </c>
      <c r="H7358">
        <f>IF(D7358="REMOVE",COUNTIF($D$2:D7358,"REMOVE"),"")</f>
        <v/>
      </c>
      <c r="I7358">
        <f>IF(E7358="Gmail",COUNTIF($E$2:E7358,"Gmail"),"")</f>
        <v/>
      </c>
      <c r="J7358">
        <f>IF(E7358="Outlook",COUNTIF($E$2:E7358,"Outlook"),"")</f>
        <v/>
      </c>
      <c r="K7358">
        <f>IF(E7358="Domain",COUNTIF($E$2:E7358,"Domain"),"")</f>
        <v/>
      </c>
    </row>
    <row r="7359">
      <c r="A7359" s="2" t="n"/>
      <c r="B7359">
        <f>LOWER(TRIM(A7359))</f>
        <v/>
      </c>
      <c r="C7359">
        <f>IF(B7359="","",IFERROR(INDEX('Bad Patterns'!$A$2:$A$120,MATCH(1,INDEX(--ISNUMBER(SEARCH('Bad Patterns'!$A$2:$A$120,B7359)),0),0)),""))</f>
        <v/>
      </c>
      <c r="D7359">
        <f>IF(B7359="","",IF(C7359&lt;&gt;"","REMOVE","KEEP"))</f>
        <v/>
      </c>
      <c r="E7359">
        <f>IF(D7359&lt;&gt;"KEEP","",IF(RIGHT(B7359,10)="@gmail.com","Gmail",IF(OR(RIGHT(B7359,12)="@outlook.com",RIGHT(B7359,12)="@hotmail.com",RIGHT(B7359,9)="@live.com"),"Outlook","Domain")))</f>
        <v/>
      </c>
      <c r="F7359">
        <f>IF(B7359="","",IFERROR(RIGHT(B7359,LEN(B7359)-FIND("@",B7359)),""))</f>
        <v/>
      </c>
      <c r="G7359">
        <f>IF(D7359="KEEP",COUNTIF($D$2:D7359,"KEEP"),"")</f>
        <v/>
      </c>
      <c r="H7359">
        <f>IF(D7359="REMOVE",COUNTIF($D$2:D7359,"REMOVE"),"")</f>
        <v/>
      </c>
      <c r="I7359">
        <f>IF(E7359="Gmail",COUNTIF($E$2:E7359,"Gmail"),"")</f>
        <v/>
      </c>
      <c r="J7359">
        <f>IF(E7359="Outlook",COUNTIF($E$2:E7359,"Outlook"),"")</f>
        <v/>
      </c>
      <c r="K7359">
        <f>IF(E7359="Domain",COUNTIF($E$2:E7359,"Domain"),"")</f>
        <v/>
      </c>
    </row>
    <row r="7360">
      <c r="A7360" s="2" t="n"/>
      <c r="B7360">
        <f>LOWER(TRIM(A7360))</f>
        <v/>
      </c>
      <c r="C7360">
        <f>IF(B7360="","",IFERROR(INDEX('Bad Patterns'!$A$2:$A$120,MATCH(1,INDEX(--ISNUMBER(SEARCH('Bad Patterns'!$A$2:$A$120,B7360)),0),0)),""))</f>
        <v/>
      </c>
      <c r="D7360">
        <f>IF(B7360="","",IF(C7360&lt;&gt;"","REMOVE","KEEP"))</f>
        <v/>
      </c>
      <c r="E7360">
        <f>IF(D7360&lt;&gt;"KEEP","",IF(RIGHT(B7360,10)="@gmail.com","Gmail",IF(OR(RIGHT(B7360,12)="@outlook.com",RIGHT(B7360,12)="@hotmail.com",RIGHT(B7360,9)="@live.com"),"Outlook","Domain")))</f>
        <v/>
      </c>
      <c r="F7360">
        <f>IF(B7360="","",IFERROR(RIGHT(B7360,LEN(B7360)-FIND("@",B7360)),""))</f>
        <v/>
      </c>
      <c r="G7360">
        <f>IF(D7360="KEEP",COUNTIF($D$2:D7360,"KEEP"),"")</f>
        <v/>
      </c>
      <c r="H7360">
        <f>IF(D7360="REMOVE",COUNTIF($D$2:D7360,"REMOVE"),"")</f>
        <v/>
      </c>
      <c r="I7360">
        <f>IF(E7360="Gmail",COUNTIF($E$2:E7360,"Gmail"),"")</f>
        <v/>
      </c>
      <c r="J7360">
        <f>IF(E7360="Outlook",COUNTIF($E$2:E7360,"Outlook"),"")</f>
        <v/>
      </c>
      <c r="K7360">
        <f>IF(E7360="Domain",COUNTIF($E$2:E7360,"Domain"),"")</f>
        <v/>
      </c>
    </row>
    <row r="7361">
      <c r="A7361" s="2" t="n"/>
      <c r="B7361">
        <f>LOWER(TRIM(A7361))</f>
        <v/>
      </c>
      <c r="C7361">
        <f>IF(B7361="","",IFERROR(INDEX('Bad Patterns'!$A$2:$A$120,MATCH(1,INDEX(--ISNUMBER(SEARCH('Bad Patterns'!$A$2:$A$120,B7361)),0),0)),""))</f>
        <v/>
      </c>
      <c r="D7361">
        <f>IF(B7361="","",IF(C7361&lt;&gt;"","REMOVE","KEEP"))</f>
        <v/>
      </c>
      <c r="E7361">
        <f>IF(D7361&lt;&gt;"KEEP","",IF(RIGHT(B7361,10)="@gmail.com","Gmail",IF(OR(RIGHT(B7361,12)="@outlook.com",RIGHT(B7361,12)="@hotmail.com",RIGHT(B7361,9)="@live.com"),"Outlook","Domain")))</f>
        <v/>
      </c>
      <c r="F7361">
        <f>IF(B7361="","",IFERROR(RIGHT(B7361,LEN(B7361)-FIND("@",B7361)),""))</f>
        <v/>
      </c>
      <c r="G7361">
        <f>IF(D7361="KEEP",COUNTIF($D$2:D7361,"KEEP"),"")</f>
        <v/>
      </c>
      <c r="H7361">
        <f>IF(D7361="REMOVE",COUNTIF($D$2:D7361,"REMOVE"),"")</f>
        <v/>
      </c>
      <c r="I7361">
        <f>IF(E7361="Gmail",COUNTIF($E$2:E7361,"Gmail"),"")</f>
        <v/>
      </c>
      <c r="J7361">
        <f>IF(E7361="Outlook",COUNTIF($E$2:E7361,"Outlook"),"")</f>
        <v/>
      </c>
      <c r="K7361">
        <f>IF(E7361="Domain",COUNTIF($E$2:E7361,"Domain"),"")</f>
        <v/>
      </c>
    </row>
    <row r="7362">
      <c r="A7362" s="2" t="n"/>
      <c r="B7362">
        <f>LOWER(TRIM(A7362))</f>
        <v/>
      </c>
      <c r="C7362">
        <f>IF(B7362="","",IFERROR(INDEX('Bad Patterns'!$A$2:$A$120,MATCH(1,INDEX(--ISNUMBER(SEARCH('Bad Patterns'!$A$2:$A$120,B7362)),0),0)),""))</f>
        <v/>
      </c>
      <c r="D7362">
        <f>IF(B7362="","",IF(C7362&lt;&gt;"","REMOVE","KEEP"))</f>
        <v/>
      </c>
      <c r="E7362">
        <f>IF(D7362&lt;&gt;"KEEP","",IF(RIGHT(B7362,10)="@gmail.com","Gmail",IF(OR(RIGHT(B7362,12)="@outlook.com",RIGHT(B7362,12)="@hotmail.com",RIGHT(B7362,9)="@live.com"),"Outlook","Domain")))</f>
        <v/>
      </c>
      <c r="F7362">
        <f>IF(B7362="","",IFERROR(RIGHT(B7362,LEN(B7362)-FIND("@",B7362)),""))</f>
        <v/>
      </c>
      <c r="G7362">
        <f>IF(D7362="KEEP",COUNTIF($D$2:D7362,"KEEP"),"")</f>
        <v/>
      </c>
      <c r="H7362">
        <f>IF(D7362="REMOVE",COUNTIF($D$2:D7362,"REMOVE"),"")</f>
        <v/>
      </c>
      <c r="I7362">
        <f>IF(E7362="Gmail",COUNTIF($E$2:E7362,"Gmail"),"")</f>
        <v/>
      </c>
      <c r="J7362">
        <f>IF(E7362="Outlook",COUNTIF($E$2:E7362,"Outlook"),"")</f>
        <v/>
      </c>
      <c r="K7362">
        <f>IF(E7362="Domain",COUNTIF($E$2:E7362,"Domain"),"")</f>
        <v/>
      </c>
    </row>
    <row r="7363">
      <c r="A7363" s="2" t="n"/>
      <c r="B7363">
        <f>LOWER(TRIM(A7363))</f>
        <v/>
      </c>
      <c r="C7363">
        <f>IF(B7363="","",IFERROR(INDEX('Bad Patterns'!$A$2:$A$120,MATCH(1,INDEX(--ISNUMBER(SEARCH('Bad Patterns'!$A$2:$A$120,B7363)),0),0)),""))</f>
        <v/>
      </c>
      <c r="D7363">
        <f>IF(B7363="","",IF(C7363&lt;&gt;"","REMOVE","KEEP"))</f>
        <v/>
      </c>
      <c r="E7363">
        <f>IF(D7363&lt;&gt;"KEEP","",IF(RIGHT(B7363,10)="@gmail.com","Gmail",IF(OR(RIGHT(B7363,12)="@outlook.com",RIGHT(B7363,12)="@hotmail.com",RIGHT(B7363,9)="@live.com"),"Outlook","Domain")))</f>
        <v/>
      </c>
      <c r="F7363">
        <f>IF(B7363="","",IFERROR(RIGHT(B7363,LEN(B7363)-FIND("@",B7363)),""))</f>
        <v/>
      </c>
      <c r="G7363">
        <f>IF(D7363="KEEP",COUNTIF($D$2:D7363,"KEEP"),"")</f>
        <v/>
      </c>
      <c r="H7363">
        <f>IF(D7363="REMOVE",COUNTIF($D$2:D7363,"REMOVE"),"")</f>
        <v/>
      </c>
      <c r="I7363">
        <f>IF(E7363="Gmail",COUNTIF($E$2:E7363,"Gmail"),"")</f>
        <v/>
      </c>
      <c r="J7363">
        <f>IF(E7363="Outlook",COUNTIF($E$2:E7363,"Outlook"),"")</f>
        <v/>
      </c>
      <c r="K7363">
        <f>IF(E7363="Domain",COUNTIF($E$2:E7363,"Domain"),"")</f>
        <v/>
      </c>
    </row>
    <row r="7364">
      <c r="A7364" s="2" t="n"/>
      <c r="B7364">
        <f>LOWER(TRIM(A7364))</f>
        <v/>
      </c>
      <c r="C7364">
        <f>IF(B7364="","",IFERROR(INDEX('Bad Patterns'!$A$2:$A$120,MATCH(1,INDEX(--ISNUMBER(SEARCH('Bad Patterns'!$A$2:$A$120,B7364)),0),0)),""))</f>
        <v/>
      </c>
      <c r="D7364">
        <f>IF(B7364="","",IF(C7364&lt;&gt;"","REMOVE","KEEP"))</f>
        <v/>
      </c>
      <c r="E7364">
        <f>IF(D7364&lt;&gt;"KEEP","",IF(RIGHT(B7364,10)="@gmail.com","Gmail",IF(OR(RIGHT(B7364,12)="@outlook.com",RIGHT(B7364,12)="@hotmail.com",RIGHT(B7364,9)="@live.com"),"Outlook","Domain")))</f>
        <v/>
      </c>
      <c r="F7364">
        <f>IF(B7364="","",IFERROR(RIGHT(B7364,LEN(B7364)-FIND("@",B7364)),""))</f>
        <v/>
      </c>
      <c r="G7364">
        <f>IF(D7364="KEEP",COUNTIF($D$2:D7364,"KEEP"),"")</f>
        <v/>
      </c>
      <c r="H7364">
        <f>IF(D7364="REMOVE",COUNTIF($D$2:D7364,"REMOVE"),"")</f>
        <v/>
      </c>
      <c r="I7364">
        <f>IF(E7364="Gmail",COUNTIF($E$2:E7364,"Gmail"),"")</f>
        <v/>
      </c>
      <c r="J7364">
        <f>IF(E7364="Outlook",COUNTIF($E$2:E7364,"Outlook"),"")</f>
        <v/>
      </c>
      <c r="K7364">
        <f>IF(E7364="Domain",COUNTIF($E$2:E7364,"Domain"),"")</f>
        <v/>
      </c>
    </row>
    <row r="7365">
      <c r="A7365" s="2" t="n"/>
      <c r="B7365">
        <f>LOWER(TRIM(A7365))</f>
        <v/>
      </c>
      <c r="C7365">
        <f>IF(B7365="","",IFERROR(INDEX('Bad Patterns'!$A$2:$A$120,MATCH(1,INDEX(--ISNUMBER(SEARCH('Bad Patterns'!$A$2:$A$120,B7365)),0),0)),""))</f>
        <v/>
      </c>
      <c r="D7365">
        <f>IF(B7365="","",IF(C7365&lt;&gt;"","REMOVE","KEEP"))</f>
        <v/>
      </c>
      <c r="E7365">
        <f>IF(D7365&lt;&gt;"KEEP","",IF(RIGHT(B7365,10)="@gmail.com","Gmail",IF(OR(RIGHT(B7365,12)="@outlook.com",RIGHT(B7365,12)="@hotmail.com",RIGHT(B7365,9)="@live.com"),"Outlook","Domain")))</f>
        <v/>
      </c>
      <c r="F7365">
        <f>IF(B7365="","",IFERROR(RIGHT(B7365,LEN(B7365)-FIND("@",B7365)),""))</f>
        <v/>
      </c>
      <c r="G7365">
        <f>IF(D7365="KEEP",COUNTIF($D$2:D7365,"KEEP"),"")</f>
        <v/>
      </c>
      <c r="H7365">
        <f>IF(D7365="REMOVE",COUNTIF($D$2:D7365,"REMOVE"),"")</f>
        <v/>
      </c>
      <c r="I7365">
        <f>IF(E7365="Gmail",COUNTIF($E$2:E7365,"Gmail"),"")</f>
        <v/>
      </c>
      <c r="J7365">
        <f>IF(E7365="Outlook",COUNTIF($E$2:E7365,"Outlook"),"")</f>
        <v/>
      </c>
      <c r="K7365">
        <f>IF(E7365="Domain",COUNTIF($E$2:E7365,"Domain"),"")</f>
        <v/>
      </c>
    </row>
    <row r="7366">
      <c r="A7366" s="2" t="n"/>
      <c r="B7366">
        <f>LOWER(TRIM(A7366))</f>
        <v/>
      </c>
      <c r="C7366">
        <f>IF(B7366="","",IFERROR(INDEX('Bad Patterns'!$A$2:$A$120,MATCH(1,INDEX(--ISNUMBER(SEARCH('Bad Patterns'!$A$2:$A$120,B7366)),0),0)),""))</f>
        <v/>
      </c>
      <c r="D7366">
        <f>IF(B7366="","",IF(C7366&lt;&gt;"","REMOVE","KEEP"))</f>
        <v/>
      </c>
      <c r="E7366">
        <f>IF(D7366&lt;&gt;"KEEP","",IF(RIGHT(B7366,10)="@gmail.com","Gmail",IF(OR(RIGHT(B7366,12)="@outlook.com",RIGHT(B7366,12)="@hotmail.com",RIGHT(B7366,9)="@live.com"),"Outlook","Domain")))</f>
        <v/>
      </c>
      <c r="F7366">
        <f>IF(B7366="","",IFERROR(RIGHT(B7366,LEN(B7366)-FIND("@",B7366)),""))</f>
        <v/>
      </c>
      <c r="G7366">
        <f>IF(D7366="KEEP",COUNTIF($D$2:D7366,"KEEP"),"")</f>
        <v/>
      </c>
      <c r="H7366">
        <f>IF(D7366="REMOVE",COUNTIF($D$2:D7366,"REMOVE"),"")</f>
        <v/>
      </c>
      <c r="I7366">
        <f>IF(E7366="Gmail",COUNTIF($E$2:E7366,"Gmail"),"")</f>
        <v/>
      </c>
      <c r="J7366">
        <f>IF(E7366="Outlook",COUNTIF($E$2:E7366,"Outlook"),"")</f>
        <v/>
      </c>
      <c r="K7366">
        <f>IF(E7366="Domain",COUNTIF($E$2:E7366,"Domain"),"")</f>
        <v/>
      </c>
    </row>
    <row r="7367">
      <c r="A7367" s="2" t="n"/>
      <c r="B7367">
        <f>LOWER(TRIM(A7367))</f>
        <v/>
      </c>
      <c r="C7367">
        <f>IF(B7367="","",IFERROR(INDEX('Bad Patterns'!$A$2:$A$120,MATCH(1,INDEX(--ISNUMBER(SEARCH('Bad Patterns'!$A$2:$A$120,B7367)),0),0)),""))</f>
        <v/>
      </c>
      <c r="D7367">
        <f>IF(B7367="","",IF(C7367&lt;&gt;"","REMOVE","KEEP"))</f>
        <v/>
      </c>
      <c r="E7367">
        <f>IF(D7367&lt;&gt;"KEEP","",IF(RIGHT(B7367,10)="@gmail.com","Gmail",IF(OR(RIGHT(B7367,12)="@outlook.com",RIGHT(B7367,12)="@hotmail.com",RIGHT(B7367,9)="@live.com"),"Outlook","Domain")))</f>
        <v/>
      </c>
      <c r="F7367">
        <f>IF(B7367="","",IFERROR(RIGHT(B7367,LEN(B7367)-FIND("@",B7367)),""))</f>
        <v/>
      </c>
      <c r="G7367">
        <f>IF(D7367="KEEP",COUNTIF($D$2:D7367,"KEEP"),"")</f>
        <v/>
      </c>
      <c r="H7367">
        <f>IF(D7367="REMOVE",COUNTIF($D$2:D7367,"REMOVE"),"")</f>
        <v/>
      </c>
      <c r="I7367">
        <f>IF(E7367="Gmail",COUNTIF($E$2:E7367,"Gmail"),"")</f>
        <v/>
      </c>
      <c r="J7367">
        <f>IF(E7367="Outlook",COUNTIF($E$2:E7367,"Outlook"),"")</f>
        <v/>
      </c>
      <c r="K7367">
        <f>IF(E7367="Domain",COUNTIF($E$2:E7367,"Domain"),"")</f>
        <v/>
      </c>
    </row>
    <row r="7368">
      <c r="A7368" s="2" t="n"/>
      <c r="B7368">
        <f>LOWER(TRIM(A7368))</f>
        <v/>
      </c>
      <c r="C7368">
        <f>IF(B7368="","",IFERROR(INDEX('Bad Patterns'!$A$2:$A$120,MATCH(1,INDEX(--ISNUMBER(SEARCH('Bad Patterns'!$A$2:$A$120,B7368)),0),0)),""))</f>
        <v/>
      </c>
      <c r="D7368">
        <f>IF(B7368="","",IF(C7368&lt;&gt;"","REMOVE","KEEP"))</f>
        <v/>
      </c>
      <c r="E7368">
        <f>IF(D7368&lt;&gt;"KEEP","",IF(RIGHT(B7368,10)="@gmail.com","Gmail",IF(OR(RIGHT(B7368,12)="@outlook.com",RIGHT(B7368,12)="@hotmail.com",RIGHT(B7368,9)="@live.com"),"Outlook","Domain")))</f>
        <v/>
      </c>
      <c r="F7368">
        <f>IF(B7368="","",IFERROR(RIGHT(B7368,LEN(B7368)-FIND("@",B7368)),""))</f>
        <v/>
      </c>
      <c r="G7368">
        <f>IF(D7368="KEEP",COUNTIF($D$2:D7368,"KEEP"),"")</f>
        <v/>
      </c>
      <c r="H7368">
        <f>IF(D7368="REMOVE",COUNTIF($D$2:D7368,"REMOVE"),"")</f>
        <v/>
      </c>
      <c r="I7368">
        <f>IF(E7368="Gmail",COUNTIF($E$2:E7368,"Gmail"),"")</f>
        <v/>
      </c>
      <c r="J7368">
        <f>IF(E7368="Outlook",COUNTIF($E$2:E7368,"Outlook"),"")</f>
        <v/>
      </c>
      <c r="K7368">
        <f>IF(E7368="Domain",COUNTIF($E$2:E7368,"Domain"),"")</f>
        <v/>
      </c>
    </row>
    <row r="7369">
      <c r="A7369" s="2" t="n"/>
      <c r="B7369">
        <f>LOWER(TRIM(A7369))</f>
        <v/>
      </c>
      <c r="C7369">
        <f>IF(B7369="","",IFERROR(INDEX('Bad Patterns'!$A$2:$A$120,MATCH(1,INDEX(--ISNUMBER(SEARCH('Bad Patterns'!$A$2:$A$120,B7369)),0),0)),""))</f>
        <v/>
      </c>
      <c r="D7369">
        <f>IF(B7369="","",IF(C7369&lt;&gt;"","REMOVE","KEEP"))</f>
        <v/>
      </c>
      <c r="E7369">
        <f>IF(D7369&lt;&gt;"KEEP","",IF(RIGHT(B7369,10)="@gmail.com","Gmail",IF(OR(RIGHT(B7369,12)="@outlook.com",RIGHT(B7369,12)="@hotmail.com",RIGHT(B7369,9)="@live.com"),"Outlook","Domain")))</f>
        <v/>
      </c>
      <c r="F7369">
        <f>IF(B7369="","",IFERROR(RIGHT(B7369,LEN(B7369)-FIND("@",B7369)),""))</f>
        <v/>
      </c>
      <c r="G7369">
        <f>IF(D7369="KEEP",COUNTIF($D$2:D7369,"KEEP"),"")</f>
        <v/>
      </c>
      <c r="H7369">
        <f>IF(D7369="REMOVE",COUNTIF($D$2:D7369,"REMOVE"),"")</f>
        <v/>
      </c>
      <c r="I7369">
        <f>IF(E7369="Gmail",COUNTIF($E$2:E7369,"Gmail"),"")</f>
        <v/>
      </c>
      <c r="J7369">
        <f>IF(E7369="Outlook",COUNTIF($E$2:E7369,"Outlook"),"")</f>
        <v/>
      </c>
      <c r="K7369">
        <f>IF(E7369="Domain",COUNTIF($E$2:E7369,"Domain"),"")</f>
        <v/>
      </c>
    </row>
    <row r="7370">
      <c r="A7370" s="2" t="n"/>
      <c r="B7370">
        <f>LOWER(TRIM(A7370))</f>
        <v/>
      </c>
      <c r="C7370">
        <f>IF(B7370="","",IFERROR(INDEX('Bad Patterns'!$A$2:$A$120,MATCH(1,INDEX(--ISNUMBER(SEARCH('Bad Patterns'!$A$2:$A$120,B7370)),0),0)),""))</f>
        <v/>
      </c>
      <c r="D7370">
        <f>IF(B7370="","",IF(C7370&lt;&gt;"","REMOVE","KEEP"))</f>
        <v/>
      </c>
      <c r="E7370">
        <f>IF(D7370&lt;&gt;"KEEP","",IF(RIGHT(B7370,10)="@gmail.com","Gmail",IF(OR(RIGHT(B7370,12)="@outlook.com",RIGHT(B7370,12)="@hotmail.com",RIGHT(B7370,9)="@live.com"),"Outlook","Domain")))</f>
        <v/>
      </c>
      <c r="F7370">
        <f>IF(B7370="","",IFERROR(RIGHT(B7370,LEN(B7370)-FIND("@",B7370)),""))</f>
        <v/>
      </c>
      <c r="G7370">
        <f>IF(D7370="KEEP",COUNTIF($D$2:D7370,"KEEP"),"")</f>
        <v/>
      </c>
      <c r="H7370">
        <f>IF(D7370="REMOVE",COUNTIF($D$2:D7370,"REMOVE"),"")</f>
        <v/>
      </c>
      <c r="I7370">
        <f>IF(E7370="Gmail",COUNTIF($E$2:E7370,"Gmail"),"")</f>
        <v/>
      </c>
      <c r="J7370">
        <f>IF(E7370="Outlook",COUNTIF($E$2:E7370,"Outlook"),"")</f>
        <v/>
      </c>
      <c r="K7370">
        <f>IF(E7370="Domain",COUNTIF($E$2:E7370,"Domain"),"")</f>
        <v/>
      </c>
    </row>
    <row r="7371">
      <c r="A7371" s="2" t="n"/>
      <c r="B7371">
        <f>LOWER(TRIM(A7371))</f>
        <v/>
      </c>
      <c r="C7371">
        <f>IF(B7371="","",IFERROR(INDEX('Bad Patterns'!$A$2:$A$120,MATCH(1,INDEX(--ISNUMBER(SEARCH('Bad Patterns'!$A$2:$A$120,B7371)),0),0)),""))</f>
        <v/>
      </c>
      <c r="D7371">
        <f>IF(B7371="","",IF(C7371&lt;&gt;"","REMOVE","KEEP"))</f>
        <v/>
      </c>
      <c r="E7371">
        <f>IF(D7371&lt;&gt;"KEEP","",IF(RIGHT(B7371,10)="@gmail.com","Gmail",IF(OR(RIGHT(B7371,12)="@outlook.com",RIGHT(B7371,12)="@hotmail.com",RIGHT(B7371,9)="@live.com"),"Outlook","Domain")))</f>
        <v/>
      </c>
      <c r="F7371">
        <f>IF(B7371="","",IFERROR(RIGHT(B7371,LEN(B7371)-FIND("@",B7371)),""))</f>
        <v/>
      </c>
      <c r="G7371">
        <f>IF(D7371="KEEP",COUNTIF($D$2:D7371,"KEEP"),"")</f>
        <v/>
      </c>
      <c r="H7371">
        <f>IF(D7371="REMOVE",COUNTIF($D$2:D7371,"REMOVE"),"")</f>
        <v/>
      </c>
      <c r="I7371">
        <f>IF(E7371="Gmail",COUNTIF($E$2:E7371,"Gmail"),"")</f>
        <v/>
      </c>
      <c r="J7371">
        <f>IF(E7371="Outlook",COUNTIF($E$2:E7371,"Outlook"),"")</f>
        <v/>
      </c>
      <c r="K7371">
        <f>IF(E7371="Domain",COUNTIF($E$2:E7371,"Domain"),"")</f>
        <v/>
      </c>
    </row>
    <row r="7372">
      <c r="A7372" s="2" t="n"/>
      <c r="B7372">
        <f>LOWER(TRIM(A7372))</f>
        <v/>
      </c>
      <c r="C7372">
        <f>IF(B7372="","",IFERROR(INDEX('Bad Patterns'!$A$2:$A$120,MATCH(1,INDEX(--ISNUMBER(SEARCH('Bad Patterns'!$A$2:$A$120,B7372)),0),0)),""))</f>
        <v/>
      </c>
      <c r="D7372">
        <f>IF(B7372="","",IF(C7372&lt;&gt;"","REMOVE","KEEP"))</f>
        <v/>
      </c>
      <c r="E7372">
        <f>IF(D7372&lt;&gt;"KEEP","",IF(RIGHT(B7372,10)="@gmail.com","Gmail",IF(OR(RIGHT(B7372,12)="@outlook.com",RIGHT(B7372,12)="@hotmail.com",RIGHT(B7372,9)="@live.com"),"Outlook","Domain")))</f>
        <v/>
      </c>
      <c r="F7372">
        <f>IF(B7372="","",IFERROR(RIGHT(B7372,LEN(B7372)-FIND("@",B7372)),""))</f>
        <v/>
      </c>
      <c r="G7372">
        <f>IF(D7372="KEEP",COUNTIF($D$2:D7372,"KEEP"),"")</f>
        <v/>
      </c>
      <c r="H7372">
        <f>IF(D7372="REMOVE",COUNTIF($D$2:D7372,"REMOVE"),"")</f>
        <v/>
      </c>
      <c r="I7372">
        <f>IF(E7372="Gmail",COUNTIF($E$2:E7372,"Gmail"),"")</f>
        <v/>
      </c>
      <c r="J7372">
        <f>IF(E7372="Outlook",COUNTIF($E$2:E7372,"Outlook"),"")</f>
        <v/>
      </c>
      <c r="K7372">
        <f>IF(E7372="Domain",COUNTIF($E$2:E7372,"Domain"),"")</f>
        <v/>
      </c>
    </row>
    <row r="7373">
      <c r="A7373" s="2" t="n"/>
      <c r="B7373">
        <f>LOWER(TRIM(A7373))</f>
        <v/>
      </c>
      <c r="C7373">
        <f>IF(B7373="","",IFERROR(INDEX('Bad Patterns'!$A$2:$A$120,MATCH(1,INDEX(--ISNUMBER(SEARCH('Bad Patterns'!$A$2:$A$120,B7373)),0),0)),""))</f>
        <v/>
      </c>
      <c r="D7373">
        <f>IF(B7373="","",IF(C7373&lt;&gt;"","REMOVE","KEEP"))</f>
        <v/>
      </c>
      <c r="E7373">
        <f>IF(D7373&lt;&gt;"KEEP","",IF(RIGHT(B7373,10)="@gmail.com","Gmail",IF(OR(RIGHT(B7373,12)="@outlook.com",RIGHT(B7373,12)="@hotmail.com",RIGHT(B7373,9)="@live.com"),"Outlook","Domain")))</f>
        <v/>
      </c>
      <c r="F7373">
        <f>IF(B7373="","",IFERROR(RIGHT(B7373,LEN(B7373)-FIND("@",B7373)),""))</f>
        <v/>
      </c>
      <c r="G7373">
        <f>IF(D7373="KEEP",COUNTIF($D$2:D7373,"KEEP"),"")</f>
        <v/>
      </c>
      <c r="H7373">
        <f>IF(D7373="REMOVE",COUNTIF($D$2:D7373,"REMOVE"),"")</f>
        <v/>
      </c>
      <c r="I7373">
        <f>IF(E7373="Gmail",COUNTIF($E$2:E7373,"Gmail"),"")</f>
        <v/>
      </c>
      <c r="J7373">
        <f>IF(E7373="Outlook",COUNTIF($E$2:E7373,"Outlook"),"")</f>
        <v/>
      </c>
      <c r="K7373">
        <f>IF(E7373="Domain",COUNTIF($E$2:E7373,"Domain"),"")</f>
        <v/>
      </c>
    </row>
    <row r="7374">
      <c r="A7374" s="2" t="n"/>
      <c r="B7374">
        <f>LOWER(TRIM(A7374))</f>
        <v/>
      </c>
      <c r="C7374">
        <f>IF(B7374="","",IFERROR(INDEX('Bad Patterns'!$A$2:$A$120,MATCH(1,INDEX(--ISNUMBER(SEARCH('Bad Patterns'!$A$2:$A$120,B7374)),0),0)),""))</f>
        <v/>
      </c>
      <c r="D7374">
        <f>IF(B7374="","",IF(C7374&lt;&gt;"","REMOVE","KEEP"))</f>
        <v/>
      </c>
      <c r="E7374">
        <f>IF(D7374&lt;&gt;"KEEP","",IF(RIGHT(B7374,10)="@gmail.com","Gmail",IF(OR(RIGHT(B7374,12)="@outlook.com",RIGHT(B7374,12)="@hotmail.com",RIGHT(B7374,9)="@live.com"),"Outlook","Domain")))</f>
        <v/>
      </c>
      <c r="F7374">
        <f>IF(B7374="","",IFERROR(RIGHT(B7374,LEN(B7374)-FIND("@",B7374)),""))</f>
        <v/>
      </c>
      <c r="G7374">
        <f>IF(D7374="KEEP",COUNTIF($D$2:D7374,"KEEP"),"")</f>
        <v/>
      </c>
      <c r="H7374">
        <f>IF(D7374="REMOVE",COUNTIF($D$2:D7374,"REMOVE"),"")</f>
        <v/>
      </c>
      <c r="I7374">
        <f>IF(E7374="Gmail",COUNTIF($E$2:E7374,"Gmail"),"")</f>
        <v/>
      </c>
      <c r="J7374">
        <f>IF(E7374="Outlook",COUNTIF($E$2:E7374,"Outlook"),"")</f>
        <v/>
      </c>
      <c r="K7374">
        <f>IF(E7374="Domain",COUNTIF($E$2:E7374,"Domain"),"")</f>
        <v/>
      </c>
    </row>
    <row r="7375">
      <c r="A7375" s="2" t="n"/>
      <c r="B7375">
        <f>LOWER(TRIM(A7375))</f>
        <v/>
      </c>
      <c r="C7375">
        <f>IF(B7375="","",IFERROR(INDEX('Bad Patterns'!$A$2:$A$120,MATCH(1,INDEX(--ISNUMBER(SEARCH('Bad Patterns'!$A$2:$A$120,B7375)),0),0)),""))</f>
        <v/>
      </c>
      <c r="D7375">
        <f>IF(B7375="","",IF(C7375&lt;&gt;"","REMOVE","KEEP"))</f>
        <v/>
      </c>
      <c r="E7375">
        <f>IF(D7375&lt;&gt;"KEEP","",IF(RIGHT(B7375,10)="@gmail.com","Gmail",IF(OR(RIGHT(B7375,12)="@outlook.com",RIGHT(B7375,12)="@hotmail.com",RIGHT(B7375,9)="@live.com"),"Outlook","Domain")))</f>
        <v/>
      </c>
      <c r="F7375">
        <f>IF(B7375="","",IFERROR(RIGHT(B7375,LEN(B7375)-FIND("@",B7375)),""))</f>
        <v/>
      </c>
      <c r="G7375">
        <f>IF(D7375="KEEP",COUNTIF($D$2:D7375,"KEEP"),"")</f>
        <v/>
      </c>
      <c r="H7375">
        <f>IF(D7375="REMOVE",COUNTIF($D$2:D7375,"REMOVE"),"")</f>
        <v/>
      </c>
      <c r="I7375">
        <f>IF(E7375="Gmail",COUNTIF($E$2:E7375,"Gmail"),"")</f>
        <v/>
      </c>
      <c r="J7375">
        <f>IF(E7375="Outlook",COUNTIF($E$2:E7375,"Outlook"),"")</f>
        <v/>
      </c>
      <c r="K7375">
        <f>IF(E7375="Domain",COUNTIF($E$2:E7375,"Domain"),"")</f>
        <v/>
      </c>
    </row>
    <row r="7376">
      <c r="A7376" s="2" t="n"/>
      <c r="B7376">
        <f>LOWER(TRIM(A7376))</f>
        <v/>
      </c>
      <c r="C7376">
        <f>IF(B7376="","",IFERROR(INDEX('Bad Patterns'!$A$2:$A$120,MATCH(1,INDEX(--ISNUMBER(SEARCH('Bad Patterns'!$A$2:$A$120,B7376)),0),0)),""))</f>
        <v/>
      </c>
      <c r="D7376">
        <f>IF(B7376="","",IF(C7376&lt;&gt;"","REMOVE","KEEP"))</f>
        <v/>
      </c>
      <c r="E7376">
        <f>IF(D7376&lt;&gt;"KEEP","",IF(RIGHT(B7376,10)="@gmail.com","Gmail",IF(OR(RIGHT(B7376,12)="@outlook.com",RIGHT(B7376,12)="@hotmail.com",RIGHT(B7376,9)="@live.com"),"Outlook","Domain")))</f>
        <v/>
      </c>
      <c r="F7376">
        <f>IF(B7376="","",IFERROR(RIGHT(B7376,LEN(B7376)-FIND("@",B7376)),""))</f>
        <v/>
      </c>
      <c r="G7376">
        <f>IF(D7376="KEEP",COUNTIF($D$2:D7376,"KEEP"),"")</f>
        <v/>
      </c>
      <c r="H7376">
        <f>IF(D7376="REMOVE",COUNTIF($D$2:D7376,"REMOVE"),"")</f>
        <v/>
      </c>
      <c r="I7376">
        <f>IF(E7376="Gmail",COUNTIF($E$2:E7376,"Gmail"),"")</f>
        <v/>
      </c>
      <c r="J7376">
        <f>IF(E7376="Outlook",COUNTIF($E$2:E7376,"Outlook"),"")</f>
        <v/>
      </c>
      <c r="K7376">
        <f>IF(E7376="Domain",COUNTIF($E$2:E7376,"Domain"),"")</f>
        <v/>
      </c>
    </row>
    <row r="7377">
      <c r="A7377" s="2" t="n"/>
      <c r="B7377">
        <f>LOWER(TRIM(A7377))</f>
        <v/>
      </c>
      <c r="C7377">
        <f>IF(B7377="","",IFERROR(INDEX('Bad Patterns'!$A$2:$A$120,MATCH(1,INDEX(--ISNUMBER(SEARCH('Bad Patterns'!$A$2:$A$120,B7377)),0),0)),""))</f>
        <v/>
      </c>
      <c r="D7377">
        <f>IF(B7377="","",IF(C7377&lt;&gt;"","REMOVE","KEEP"))</f>
        <v/>
      </c>
      <c r="E7377">
        <f>IF(D7377&lt;&gt;"KEEP","",IF(RIGHT(B7377,10)="@gmail.com","Gmail",IF(OR(RIGHT(B7377,12)="@outlook.com",RIGHT(B7377,12)="@hotmail.com",RIGHT(B7377,9)="@live.com"),"Outlook","Domain")))</f>
        <v/>
      </c>
      <c r="F7377">
        <f>IF(B7377="","",IFERROR(RIGHT(B7377,LEN(B7377)-FIND("@",B7377)),""))</f>
        <v/>
      </c>
      <c r="G7377">
        <f>IF(D7377="KEEP",COUNTIF($D$2:D7377,"KEEP"),"")</f>
        <v/>
      </c>
      <c r="H7377">
        <f>IF(D7377="REMOVE",COUNTIF($D$2:D7377,"REMOVE"),"")</f>
        <v/>
      </c>
      <c r="I7377">
        <f>IF(E7377="Gmail",COUNTIF($E$2:E7377,"Gmail"),"")</f>
        <v/>
      </c>
      <c r="J7377">
        <f>IF(E7377="Outlook",COUNTIF($E$2:E7377,"Outlook"),"")</f>
        <v/>
      </c>
      <c r="K7377">
        <f>IF(E7377="Domain",COUNTIF($E$2:E7377,"Domain"),"")</f>
        <v/>
      </c>
    </row>
    <row r="7378">
      <c r="A7378" s="2" t="n"/>
      <c r="B7378">
        <f>LOWER(TRIM(A7378))</f>
        <v/>
      </c>
      <c r="C7378">
        <f>IF(B7378="","",IFERROR(INDEX('Bad Patterns'!$A$2:$A$120,MATCH(1,INDEX(--ISNUMBER(SEARCH('Bad Patterns'!$A$2:$A$120,B7378)),0),0)),""))</f>
        <v/>
      </c>
      <c r="D7378">
        <f>IF(B7378="","",IF(C7378&lt;&gt;"","REMOVE","KEEP"))</f>
        <v/>
      </c>
      <c r="E7378">
        <f>IF(D7378&lt;&gt;"KEEP","",IF(RIGHT(B7378,10)="@gmail.com","Gmail",IF(OR(RIGHT(B7378,12)="@outlook.com",RIGHT(B7378,12)="@hotmail.com",RIGHT(B7378,9)="@live.com"),"Outlook","Domain")))</f>
        <v/>
      </c>
      <c r="F7378">
        <f>IF(B7378="","",IFERROR(RIGHT(B7378,LEN(B7378)-FIND("@",B7378)),""))</f>
        <v/>
      </c>
      <c r="G7378">
        <f>IF(D7378="KEEP",COUNTIF($D$2:D7378,"KEEP"),"")</f>
        <v/>
      </c>
      <c r="H7378">
        <f>IF(D7378="REMOVE",COUNTIF($D$2:D7378,"REMOVE"),"")</f>
        <v/>
      </c>
      <c r="I7378">
        <f>IF(E7378="Gmail",COUNTIF($E$2:E7378,"Gmail"),"")</f>
        <v/>
      </c>
      <c r="J7378">
        <f>IF(E7378="Outlook",COUNTIF($E$2:E7378,"Outlook"),"")</f>
        <v/>
      </c>
      <c r="K7378">
        <f>IF(E7378="Domain",COUNTIF($E$2:E7378,"Domain"),"")</f>
        <v/>
      </c>
    </row>
    <row r="7379">
      <c r="A7379" s="2" t="n"/>
      <c r="B7379">
        <f>LOWER(TRIM(A7379))</f>
        <v/>
      </c>
      <c r="C7379">
        <f>IF(B7379="","",IFERROR(INDEX('Bad Patterns'!$A$2:$A$120,MATCH(1,INDEX(--ISNUMBER(SEARCH('Bad Patterns'!$A$2:$A$120,B7379)),0),0)),""))</f>
        <v/>
      </c>
      <c r="D7379">
        <f>IF(B7379="","",IF(C7379&lt;&gt;"","REMOVE","KEEP"))</f>
        <v/>
      </c>
      <c r="E7379">
        <f>IF(D7379&lt;&gt;"KEEP","",IF(RIGHT(B7379,10)="@gmail.com","Gmail",IF(OR(RIGHT(B7379,12)="@outlook.com",RIGHT(B7379,12)="@hotmail.com",RIGHT(B7379,9)="@live.com"),"Outlook","Domain")))</f>
        <v/>
      </c>
      <c r="F7379">
        <f>IF(B7379="","",IFERROR(RIGHT(B7379,LEN(B7379)-FIND("@",B7379)),""))</f>
        <v/>
      </c>
      <c r="G7379">
        <f>IF(D7379="KEEP",COUNTIF($D$2:D7379,"KEEP"),"")</f>
        <v/>
      </c>
      <c r="H7379">
        <f>IF(D7379="REMOVE",COUNTIF($D$2:D7379,"REMOVE"),"")</f>
        <v/>
      </c>
      <c r="I7379">
        <f>IF(E7379="Gmail",COUNTIF($E$2:E7379,"Gmail"),"")</f>
        <v/>
      </c>
      <c r="J7379">
        <f>IF(E7379="Outlook",COUNTIF($E$2:E7379,"Outlook"),"")</f>
        <v/>
      </c>
      <c r="K7379">
        <f>IF(E7379="Domain",COUNTIF($E$2:E7379,"Domain"),"")</f>
        <v/>
      </c>
    </row>
    <row r="7380">
      <c r="A7380" s="2" t="n"/>
      <c r="B7380">
        <f>LOWER(TRIM(A7380))</f>
        <v/>
      </c>
      <c r="C7380">
        <f>IF(B7380="","",IFERROR(INDEX('Bad Patterns'!$A$2:$A$120,MATCH(1,INDEX(--ISNUMBER(SEARCH('Bad Patterns'!$A$2:$A$120,B7380)),0),0)),""))</f>
        <v/>
      </c>
      <c r="D7380">
        <f>IF(B7380="","",IF(C7380&lt;&gt;"","REMOVE","KEEP"))</f>
        <v/>
      </c>
      <c r="E7380">
        <f>IF(D7380&lt;&gt;"KEEP","",IF(RIGHT(B7380,10)="@gmail.com","Gmail",IF(OR(RIGHT(B7380,12)="@outlook.com",RIGHT(B7380,12)="@hotmail.com",RIGHT(B7380,9)="@live.com"),"Outlook","Domain")))</f>
        <v/>
      </c>
      <c r="F7380">
        <f>IF(B7380="","",IFERROR(RIGHT(B7380,LEN(B7380)-FIND("@",B7380)),""))</f>
        <v/>
      </c>
      <c r="G7380">
        <f>IF(D7380="KEEP",COUNTIF($D$2:D7380,"KEEP"),"")</f>
        <v/>
      </c>
      <c r="H7380">
        <f>IF(D7380="REMOVE",COUNTIF($D$2:D7380,"REMOVE"),"")</f>
        <v/>
      </c>
      <c r="I7380">
        <f>IF(E7380="Gmail",COUNTIF($E$2:E7380,"Gmail"),"")</f>
        <v/>
      </c>
      <c r="J7380">
        <f>IF(E7380="Outlook",COUNTIF($E$2:E7380,"Outlook"),"")</f>
        <v/>
      </c>
      <c r="K7380">
        <f>IF(E7380="Domain",COUNTIF($E$2:E7380,"Domain"),"")</f>
        <v/>
      </c>
    </row>
    <row r="7381">
      <c r="A7381" s="2" t="n"/>
      <c r="B7381">
        <f>LOWER(TRIM(A7381))</f>
        <v/>
      </c>
      <c r="C7381">
        <f>IF(B7381="","",IFERROR(INDEX('Bad Patterns'!$A$2:$A$120,MATCH(1,INDEX(--ISNUMBER(SEARCH('Bad Patterns'!$A$2:$A$120,B7381)),0),0)),""))</f>
        <v/>
      </c>
      <c r="D7381">
        <f>IF(B7381="","",IF(C7381&lt;&gt;"","REMOVE","KEEP"))</f>
        <v/>
      </c>
      <c r="E7381">
        <f>IF(D7381&lt;&gt;"KEEP","",IF(RIGHT(B7381,10)="@gmail.com","Gmail",IF(OR(RIGHT(B7381,12)="@outlook.com",RIGHT(B7381,12)="@hotmail.com",RIGHT(B7381,9)="@live.com"),"Outlook","Domain")))</f>
        <v/>
      </c>
      <c r="F7381">
        <f>IF(B7381="","",IFERROR(RIGHT(B7381,LEN(B7381)-FIND("@",B7381)),""))</f>
        <v/>
      </c>
      <c r="G7381">
        <f>IF(D7381="KEEP",COUNTIF($D$2:D7381,"KEEP"),"")</f>
        <v/>
      </c>
      <c r="H7381">
        <f>IF(D7381="REMOVE",COUNTIF($D$2:D7381,"REMOVE"),"")</f>
        <v/>
      </c>
      <c r="I7381">
        <f>IF(E7381="Gmail",COUNTIF($E$2:E7381,"Gmail"),"")</f>
        <v/>
      </c>
      <c r="J7381">
        <f>IF(E7381="Outlook",COUNTIF($E$2:E7381,"Outlook"),"")</f>
        <v/>
      </c>
      <c r="K7381">
        <f>IF(E7381="Domain",COUNTIF($E$2:E7381,"Domain"),"")</f>
        <v/>
      </c>
    </row>
    <row r="7382">
      <c r="A7382" s="2" t="n"/>
      <c r="B7382">
        <f>LOWER(TRIM(A7382))</f>
        <v/>
      </c>
      <c r="C7382">
        <f>IF(B7382="","",IFERROR(INDEX('Bad Patterns'!$A$2:$A$120,MATCH(1,INDEX(--ISNUMBER(SEARCH('Bad Patterns'!$A$2:$A$120,B7382)),0),0)),""))</f>
        <v/>
      </c>
      <c r="D7382">
        <f>IF(B7382="","",IF(C7382&lt;&gt;"","REMOVE","KEEP"))</f>
        <v/>
      </c>
      <c r="E7382">
        <f>IF(D7382&lt;&gt;"KEEP","",IF(RIGHT(B7382,10)="@gmail.com","Gmail",IF(OR(RIGHT(B7382,12)="@outlook.com",RIGHT(B7382,12)="@hotmail.com",RIGHT(B7382,9)="@live.com"),"Outlook","Domain")))</f>
        <v/>
      </c>
      <c r="F7382">
        <f>IF(B7382="","",IFERROR(RIGHT(B7382,LEN(B7382)-FIND("@",B7382)),""))</f>
        <v/>
      </c>
      <c r="G7382">
        <f>IF(D7382="KEEP",COUNTIF($D$2:D7382,"KEEP"),"")</f>
        <v/>
      </c>
      <c r="H7382">
        <f>IF(D7382="REMOVE",COUNTIF($D$2:D7382,"REMOVE"),"")</f>
        <v/>
      </c>
      <c r="I7382">
        <f>IF(E7382="Gmail",COUNTIF($E$2:E7382,"Gmail"),"")</f>
        <v/>
      </c>
      <c r="J7382">
        <f>IF(E7382="Outlook",COUNTIF($E$2:E7382,"Outlook"),"")</f>
        <v/>
      </c>
      <c r="K7382">
        <f>IF(E7382="Domain",COUNTIF($E$2:E7382,"Domain"),"")</f>
        <v/>
      </c>
    </row>
    <row r="7383">
      <c r="A7383" s="2" t="n"/>
      <c r="B7383">
        <f>LOWER(TRIM(A7383))</f>
        <v/>
      </c>
      <c r="C7383">
        <f>IF(B7383="","",IFERROR(INDEX('Bad Patterns'!$A$2:$A$120,MATCH(1,INDEX(--ISNUMBER(SEARCH('Bad Patterns'!$A$2:$A$120,B7383)),0),0)),""))</f>
        <v/>
      </c>
      <c r="D7383">
        <f>IF(B7383="","",IF(C7383&lt;&gt;"","REMOVE","KEEP"))</f>
        <v/>
      </c>
      <c r="E7383">
        <f>IF(D7383&lt;&gt;"KEEP","",IF(RIGHT(B7383,10)="@gmail.com","Gmail",IF(OR(RIGHT(B7383,12)="@outlook.com",RIGHT(B7383,12)="@hotmail.com",RIGHT(B7383,9)="@live.com"),"Outlook","Domain")))</f>
        <v/>
      </c>
      <c r="F7383">
        <f>IF(B7383="","",IFERROR(RIGHT(B7383,LEN(B7383)-FIND("@",B7383)),""))</f>
        <v/>
      </c>
      <c r="G7383">
        <f>IF(D7383="KEEP",COUNTIF($D$2:D7383,"KEEP"),"")</f>
        <v/>
      </c>
      <c r="H7383">
        <f>IF(D7383="REMOVE",COUNTIF($D$2:D7383,"REMOVE"),"")</f>
        <v/>
      </c>
      <c r="I7383">
        <f>IF(E7383="Gmail",COUNTIF($E$2:E7383,"Gmail"),"")</f>
        <v/>
      </c>
      <c r="J7383">
        <f>IF(E7383="Outlook",COUNTIF($E$2:E7383,"Outlook"),"")</f>
        <v/>
      </c>
      <c r="K7383">
        <f>IF(E7383="Domain",COUNTIF($E$2:E7383,"Domain"),"")</f>
        <v/>
      </c>
    </row>
    <row r="7384">
      <c r="A7384" s="2" t="n"/>
      <c r="B7384">
        <f>LOWER(TRIM(A7384))</f>
        <v/>
      </c>
      <c r="C7384">
        <f>IF(B7384="","",IFERROR(INDEX('Bad Patterns'!$A$2:$A$120,MATCH(1,INDEX(--ISNUMBER(SEARCH('Bad Patterns'!$A$2:$A$120,B7384)),0),0)),""))</f>
        <v/>
      </c>
      <c r="D7384">
        <f>IF(B7384="","",IF(C7384&lt;&gt;"","REMOVE","KEEP"))</f>
        <v/>
      </c>
      <c r="E7384">
        <f>IF(D7384&lt;&gt;"KEEP","",IF(RIGHT(B7384,10)="@gmail.com","Gmail",IF(OR(RIGHT(B7384,12)="@outlook.com",RIGHT(B7384,12)="@hotmail.com",RIGHT(B7384,9)="@live.com"),"Outlook","Domain")))</f>
        <v/>
      </c>
      <c r="F7384">
        <f>IF(B7384="","",IFERROR(RIGHT(B7384,LEN(B7384)-FIND("@",B7384)),""))</f>
        <v/>
      </c>
      <c r="G7384">
        <f>IF(D7384="KEEP",COUNTIF($D$2:D7384,"KEEP"),"")</f>
        <v/>
      </c>
      <c r="H7384">
        <f>IF(D7384="REMOVE",COUNTIF($D$2:D7384,"REMOVE"),"")</f>
        <v/>
      </c>
      <c r="I7384">
        <f>IF(E7384="Gmail",COUNTIF($E$2:E7384,"Gmail"),"")</f>
        <v/>
      </c>
      <c r="J7384">
        <f>IF(E7384="Outlook",COUNTIF($E$2:E7384,"Outlook"),"")</f>
        <v/>
      </c>
      <c r="K7384">
        <f>IF(E7384="Domain",COUNTIF($E$2:E7384,"Domain"),"")</f>
        <v/>
      </c>
    </row>
    <row r="7385">
      <c r="A7385" s="2" t="n"/>
      <c r="B7385">
        <f>LOWER(TRIM(A7385))</f>
        <v/>
      </c>
      <c r="C7385">
        <f>IF(B7385="","",IFERROR(INDEX('Bad Patterns'!$A$2:$A$120,MATCH(1,INDEX(--ISNUMBER(SEARCH('Bad Patterns'!$A$2:$A$120,B7385)),0),0)),""))</f>
        <v/>
      </c>
      <c r="D7385">
        <f>IF(B7385="","",IF(C7385&lt;&gt;"","REMOVE","KEEP"))</f>
        <v/>
      </c>
      <c r="E7385">
        <f>IF(D7385&lt;&gt;"KEEP","",IF(RIGHT(B7385,10)="@gmail.com","Gmail",IF(OR(RIGHT(B7385,12)="@outlook.com",RIGHT(B7385,12)="@hotmail.com",RIGHT(B7385,9)="@live.com"),"Outlook","Domain")))</f>
        <v/>
      </c>
      <c r="F7385">
        <f>IF(B7385="","",IFERROR(RIGHT(B7385,LEN(B7385)-FIND("@",B7385)),""))</f>
        <v/>
      </c>
      <c r="G7385">
        <f>IF(D7385="KEEP",COUNTIF($D$2:D7385,"KEEP"),"")</f>
        <v/>
      </c>
      <c r="H7385">
        <f>IF(D7385="REMOVE",COUNTIF($D$2:D7385,"REMOVE"),"")</f>
        <v/>
      </c>
      <c r="I7385">
        <f>IF(E7385="Gmail",COUNTIF($E$2:E7385,"Gmail"),"")</f>
        <v/>
      </c>
      <c r="J7385">
        <f>IF(E7385="Outlook",COUNTIF($E$2:E7385,"Outlook"),"")</f>
        <v/>
      </c>
      <c r="K7385">
        <f>IF(E7385="Domain",COUNTIF($E$2:E7385,"Domain"),"")</f>
        <v/>
      </c>
    </row>
    <row r="7386">
      <c r="A7386" s="2" t="n"/>
      <c r="B7386">
        <f>LOWER(TRIM(A7386))</f>
        <v/>
      </c>
      <c r="C7386">
        <f>IF(B7386="","",IFERROR(INDEX('Bad Patterns'!$A$2:$A$120,MATCH(1,INDEX(--ISNUMBER(SEARCH('Bad Patterns'!$A$2:$A$120,B7386)),0),0)),""))</f>
        <v/>
      </c>
      <c r="D7386">
        <f>IF(B7386="","",IF(C7386&lt;&gt;"","REMOVE","KEEP"))</f>
        <v/>
      </c>
      <c r="E7386">
        <f>IF(D7386&lt;&gt;"KEEP","",IF(RIGHT(B7386,10)="@gmail.com","Gmail",IF(OR(RIGHT(B7386,12)="@outlook.com",RIGHT(B7386,12)="@hotmail.com",RIGHT(B7386,9)="@live.com"),"Outlook","Domain")))</f>
        <v/>
      </c>
      <c r="F7386">
        <f>IF(B7386="","",IFERROR(RIGHT(B7386,LEN(B7386)-FIND("@",B7386)),""))</f>
        <v/>
      </c>
      <c r="G7386">
        <f>IF(D7386="KEEP",COUNTIF($D$2:D7386,"KEEP"),"")</f>
        <v/>
      </c>
      <c r="H7386">
        <f>IF(D7386="REMOVE",COUNTIF($D$2:D7386,"REMOVE"),"")</f>
        <v/>
      </c>
      <c r="I7386">
        <f>IF(E7386="Gmail",COUNTIF($E$2:E7386,"Gmail"),"")</f>
        <v/>
      </c>
      <c r="J7386">
        <f>IF(E7386="Outlook",COUNTIF($E$2:E7386,"Outlook"),"")</f>
        <v/>
      </c>
      <c r="K7386">
        <f>IF(E7386="Domain",COUNTIF($E$2:E7386,"Domain"),"")</f>
        <v/>
      </c>
    </row>
    <row r="7387">
      <c r="A7387" s="2" t="n"/>
      <c r="B7387">
        <f>LOWER(TRIM(A7387))</f>
        <v/>
      </c>
      <c r="C7387">
        <f>IF(B7387="","",IFERROR(INDEX('Bad Patterns'!$A$2:$A$120,MATCH(1,INDEX(--ISNUMBER(SEARCH('Bad Patterns'!$A$2:$A$120,B7387)),0),0)),""))</f>
        <v/>
      </c>
      <c r="D7387">
        <f>IF(B7387="","",IF(C7387&lt;&gt;"","REMOVE","KEEP"))</f>
        <v/>
      </c>
      <c r="E7387">
        <f>IF(D7387&lt;&gt;"KEEP","",IF(RIGHT(B7387,10)="@gmail.com","Gmail",IF(OR(RIGHT(B7387,12)="@outlook.com",RIGHT(B7387,12)="@hotmail.com",RIGHT(B7387,9)="@live.com"),"Outlook","Domain")))</f>
        <v/>
      </c>
      <c r="F7387">
        <f>IF(B7387="","",IFERROR(RIGHT(B7387,LEN(B7387)-FIND("@",B7387)),""))</f>
        <v/>
      </c>
      <c r="G7387">
        <f>IF(D7387="KEEP",COUNTIF($D$2:D7387,"KEEP"),"")</f>
        <v/>
      </c>
      <c r="H7387">
        <f>IF(D7387="REMOVE",COUNTIF($D$2:D7387,"REMOVE"),"")</f>
        <v/>
      </c>
      <c r="I7387">
        <f>IF(E7387="Gmail",COUNTIF($E$2:E7387,"Gmail"),"")</f>
        <v/>
      </c>
      <c r="J7387">
        <f>IF(E7387="Outlook",COUNTIF($E$2:E7387,"Outlook"),"")</f>
        <v/>
      </c>
      <c r="K7387">
        <f>IF(E7387="Domain",COUNTIF($E$2:E7387,"Domain"),"")</f>
        <v/>
      </c>
    </row>
    <row r="7388">
      <c r="A7388" s="2" t="n"/>
      <c r="B7388">
        <f>LOWER(TRIM(A7388))</f>
        <v/>
      </c>
      <c r="C7388">
        <f>IF(B7388="","",IFERROR(INDEX('Bad Patterns'!$A$2:$A$120,MATCH(1,INDEX(--ISNUMBER(SEARCH('Bad Patterns'!$A$2:$A$120,B7388)),0),0)),""))</f>
        <v/>
      </c>
      <c r="D7388">
        <f>IF(B7388="","",IF(C7388&lt;&gt;"","REMOVE","KEEP"))</f>
        <v/>
      </c>
      <c r="E7388">
        <f>IF(D7388&lt;&gt;"KEEP","",IF(RIGHT(B7388,10)="@gmail.com","Gmail",IF(OR(RIGHT(B7388,12)="@outlook.com",RIGHT(B7388,12)="@hotmail.com",RIGHT(B7388,9)="@live.com"),"Outlook","Domain")))</f>
        <v/>
      </c>
      <c r="F7388">
        <f>IF(B7388="","",IFERROR(RIGHT(B7388,LEN(B7388)-FIND("@",B7388)),""))</f>
        <v/>
      </c>
      <c r="G7388">
        <f>IF(D7388="KEEP",COUNTIF($D$2:D7388,"KEEP"),"")</f>
        <v/>
      </c>
      <c r="H7388">
        <f>IF(D7388="REMOVE",COUNTIF($D$2:D7388,"REMOVE"),"")</f>
        <v/>
      </c>
      <c r="I7388">
        <f>IF(E7388="Gmail",COUNTIF($E$2:E7388,"Gmail"),"")</f>
        <v/>
      </c>
      <c r="J7388">
        <f>IF(E7388="Outlook",COUNTIF($E$2:E7388,"Outlook"),"")</f>
        <v/>
      </c>
      <c r="K7388">
        <f>IF(E7388="Domain",COUNTIF($E$2:E7388,"Domain"),"")</f>
        <v/>
      </c>
    </row>
    <row r="7389">
      <c r="A7389" s="2" t="n"/>
      <c r="B7389">
        <f>LOWER(TRIM(A7389))</f>
        <v/>
      </c>
      <c r="C7389">
        <f>IF(B7389="","",IFERROR(INDEX('Bad Patterns'!$A$2:$A$120,MATCH(1,INDEX(--ISNUMBER(SEARCH('Bad Patterns'!$A$2:$A$120,B7389)),0),0)),""))</f>
        <v/>
      </c>
      <c r="D7389">
        <f>IF(B7389="","",IF(C7389&lt;&gt;"","REMOVE","KEEP"))</f>
        <v/>
      </c>
      <c r="E7389">
        <f>IF(D7389&lt;&gt;"KEEP","",IF(RIGHT(B7389,10)="@gmail.com","Gmail",IF(OR(RIGHT(B7389,12)="@outlook.com",RIGHT(B7389,12)="@hotmail.com",RIGHT(B7389,9)="@live.com"),"Outlook","Domain")))</f>
        <v/>
      </c>
      <c r="F7389">
        <f>IF(B7389="","",IFERROR(RIGHT(B7389,LEN(B7389)-FIND("@",B7389)),""))</f>
        <v/>
      </c>
      <c r="G7389">
        <f>IF(D7389="KEEP",COUNTIF($D$2:D7389,"KEEP"),"")</f>
        <v/>
      </c>
      <c r="H7389">
        <f>IF(D7389="REMOVE",COUNTIF($D$2:D7389,"REMOVE"),"")</f>
        <v/>
      </c>
      <c r="I7389">
        <f>IF(E7389="Gmail",COUNTIF($E$2:E7389,"Gmail"),"")</f>
        <v/>
      </c>
      <c r="J7389">
        <f>IF(E7389="Outlook",COUNTIF($E$2:E7389,"Outlook"),"")</f>
        <v/>
      </c>
      <c r="K7389">
        <f>IF(E7389="Domain",COUNTIF($E$2:E7389,"Domain"),"")</f>
        <v/>
      </c>
    </row>
    <row r="7390">
      <c r="A7390" s="2" t="n"/>
      <c r="B7390">
        <f>LOWER(TRIM(A7390))</f>
        <v/>
      </c>
      <c r="C7390">
        <f>IF(B7390="","",IFERROR(INDEX('Bad Patterns'!$A$2:$A$120,MATCH(1,INDEX(--ISNUMBER(SEARCH('Bad Patterns'!$A$2:$A$120,B7390)),0),0)),""))</f>
        <v/>
      </c>
      <c r="D7390">
        <f>IF(B7390="","",IF(C7390&lt;&gt;"","REMOVE","KEEP"))</f>
        <v/>
      </c>
      <c r="E7390">
        <f>IF(D7390&lt;&gt;"KEEP","",IF(RIGHT(B7390,10)="@gmail.com","Gmail",IF(OR(RIGHT(B7390,12)="@outlook.com",RIGHT(B7390,12)="@hotmail.com",RIGHT(B7390,9)="@live.com"),"Outlook","Domain")))</f>
        <v/>
      </c>
      <c r="F7390">
        <f>IF(B7390="","",IFERROR(RIGHT(B7390,LEN(B7390)-FIND("@",B7390)),""))</f>
        <v/>
      </c>
      <c r="G7390">
        <f>IF(D7390="KEEP",COUNTIF($D$2:D7390,"KEEP"),"")</f>
        <v/>
      </c>
      <c r="H7390">
        <f>IF(D7390="REMOVE",COUNTIF($D$2:D7390,"REMOVE"),"")</f>
        <v/>
      </c>
      <c r="I7390">
        <f>IF(E7390="Gmail",COUNTIF($E$2:E7390,"Gmail"),"")</f>
        <v/>
      </c>
      <c r="J7390">
        <f>IF(E7390="Outlook",COUNTIF($E$2:E7390,"Outlook"),"")</f>
        <v/>
      </c>
      <c r="K7390">
        <f>IF(E7390="Domain",COUNTIF($E$2:E7390,"Domain"),"")</f>
        <v/>
      </c>
    </row>
    <row r="7391">
      <c r="A7391" s="2" t="n"/>
      <c r="B7391">
        <f>LOWER(TRIM(A7391))</f>
        <v/>
      </c>
      <c r="C7391">
        <f>IF(B7391="","",IFERROR(INDEX('Bad Patterns'!$A$2:$A$120,MATCH(1,INDEX(--ISNUMBER(SEARCH('Bad Patterns'!$A$2:$A$120,B7391)),0),0)),""))</f>
        <v/>
      </c>
      <c r="D7391">
        <f>IF(B7391="","",IF(C7391&lt;&gt;"","REMOVE","KEEP"))</f>
        <v/>
      </c>
      <c r="E7391">
        <f>IF(D7391&lt;&gt;"KEEP","",IF(RIGHT(B7391,10)="@gmail.com","Gmail",IF(OR(RIGHT(B7391,12)="@outlook.com",RIGHT(B7391,12)="@hotmail.com",RIGHT(B7391,9)="@live.com"),"Outlook","Domain")))</f>
        <v/>
      </c>
      <c r="F7391">
        <f>IF(B7391="","",IFERROR(RIGHT(B7391,LEN(B7391)-FIND("@",B7391)),""))</f>
        <v/>
      </c>
      <c r="G7391">
        <f>IF(D7391="KEEP",COUNTIF($D$2:D7391,"KEEP"),"")</f>
        <v/>
      </c>
      <c r="H7391">
        <f>IF(D7391="REMOVE",COUNTIF($D$2:D7391,"REMOVE"),"")</f>
        <v/>
      </c>
      <c r="I7391">
        <f>IF(E7391="Gmail",COUNTIF($E$2:E7391,"Gmail"),"")</f>
        <v/>
      </c>
      <c r="J7391">
        <f>IF(E7391="Outlook",COUNTIF($E$2:E7391,"Outlook"),"")</f>
        <v/>
      </c>
      <c r="K7391">
        <f>IF(E7391="Domain",COUNTIF($E$2:E7391,"Domain"),"")</f>
        <v/>
      </c>
    </row>
    <row r="7392">
      <c r="A7392" s="2" t="n"/>
      <c r="B7392">
        <f>LOWER(TRIM(A7392))</f>
        <v/>
      </c>
      <c r="C7392">
        <f>IF(B7392="","",IFERROR(INDEX('Bad Patterns'!$A$2:$A$120,MATCH(1,INDEX(--ISNUMBER(SEARCH('Bad Patterns'!$A$2:$A$120,B7392)),0),0)),""))</f>
        <v/>
      </c>
      <c r="D7392">
        <f>IF(B7392="","",IF(C7392&lt;&gt;"","REMOVE","KEEP"))</f>
        <v/>
      </c>
      <c r="E7392">
        <f>IF(D7392&lt;&gt;"KEEP","",IF(RIGHT(B7392,10)="@gmail.com","Gmail",IF(OR(RIGHT(B7392,12)="@outlook.com",RIGHT(B7392,12)="@hotmail.com",RIGHT(B7392,9)="@live.com"),"Outlook","Domain")))</f>
        <v/>
      </c>
      <c r="F7392">
        <f>IF(B7392="","",IFERROR(RIGHT(B7392,LEN(B7392)-FIND("@",B7392)),""))</f>
        <v/>
      </c>
      <c r="G7392">
        <f>IF(D7392="KEEP",COUNTIF($D$2:D7392,"KEEP"),"")</f>
        <v/>
      </c>
      <c r="H7392">
        <f>IF(D7392="REMOVE",COUNTIF($D$2:D7392,"REMOVE"),"")</f>
        <v/>
      </c>
      <c r="I7392">
        <f>IF(E7392="Gmail",COUNTIF($E$2:E7392,"Gmail"),"")</f>
        <v/>
      </c>
      <c r="J7392">
        <f>IF(E7392="Outlook",COUNTIF($E$2:E7392,"Outlook"),"")</f>
        <v/>
      </c>
      <c r="K7392">
        <f>IF(E7392="Domain",COUNTIF($E$2:E7392,"Domain"),"")</f>
        <v/>
      </c>
    </row>
    <row r="7393">
      <c r="A7393" s="2" t="n"/>
      <c r="B7393">
        <f>LOWER(TRIM(A7393))</f>
        <v/>
      </c>
      <c r="C7393">
        <f>IF(B7393="","",IFERROR(INDEX('Bad Patterns'!$A$2:$A$120,MATCH(1,INDEX(--ISNUMBER(SEARCH('Bad Patterns'!$A$2:$A$120,B7393)),0),0)),""))</f>
        <v/>
      </c>
      <c r="D7393">
        <f>IF(B7393="","",IF(C7393&lt;&gt;"","REMOVE","KEEP"))</f>
        <v/>
      </c>
      <c r="E7393">
        <f>IF(D7393&lt;&gt;"KEEP","",IF(RIGHT(B7393,10)="@gmail.com","Gmail",IF(OR(RIGHT(B7393,12)="@outlook.com",RIGHT(B7393,12)="@hotmail.com",RIGHT(B7393,9)="@live.com"),"Outlook","Domain")))</f>
        <v/>
      </c>
      <c r="F7393">
        <f>IF(B7393="","",IFERROR(RIGHT(B7393,LEN(B7393)-FIND("@",B7393)),""))</f>
        <v/>
      </c>
      <c r="G7393">
        <f>IF(D7393="KEEP",COUNTIF($D$2:D7393,"KEEP"),"")</f>
        <v/>
      </c>
      <c r="H7393">
        <f>IF(D7393="REMOVE",COUNTIF($D$2:D7393,"REMOVE"),"")</f>
        <v/>
      </c>
      <c r="I7393">
        <f>IF(E7393="Gmail",COUNTIF($E$2:E7393,"Gmail"),"")</f>
        <v/>
      </c>
      <c r="J7393">
        <f>IF(E7393="Outlook",COUNTIF($E$2:E7393,"Outlook"),"")</f>
        <v/>
      </c>
      <c r="K7393">
        <f>IF(E7393="Domain",COUNTIF($E$2:E7393,"Domain"),"")</f>
        <v/>
      </c>
    </row>
    <row r="7394">
      <c r="A7394" s="2" t="n"/>
      <c r="B7394">
        <f>LOWER(TRIM(A7394))</f>
        <v/>
      </c>
      <c r="C7394">
        <f>IF(B7394="","",IFERROR(INDEX('Bad Patterns'!$A$2:$A$120,MATCH(1,INDEX(--ISNUMBER(SEARCH('Bad Patterns'!$A$2:$A$120,B7394)),0),0)),""))</f>
        <v/>
      </c>
      <c r="D7394">
        <f>IF(B7394="","",IF(C7394&lt;&gt;"","REMOVE","KEEP"))</f>
        <v/>
      </c>
      <c r="E7394">
        <f>IF(D7394&lt;&gt;"KEEP","",IF(RIGHT(B7394,10)="@gmail.com","Gmail",IF(OR(RIGHT(B7394,12)="@outlook.com",RIGHT(B7394,12)="@hotmail.com",RIGHT(B7394,9)="@live.com"),"Outlook","Domain")))</f>
        <v/>
      </c>
      <c r="F7394">
        <f>IF(B7394="","",IFERROR(RIGHT(B7394,LEN(B7394)-FIND("@",B7394)),""))</f>
        <v/>
      </c>
      <c r="G7394">
        <f>IF(D7394="KEEP",COUNTIF($D$2:D7394,"KEEP"),"")</f>
        <v/>
      </c>
      <c r="H7394">
        <f>IF(D7394="REMOVE",COUNTIF($D$2:D7394,"REMOVE"),"")</f>
        <v/>
      </c>
      <c r="I7394">
        <f>IF(E7394="Gmail",COUNTIF($E$2:E7394,"Gmail"),"")</f>
        <v/>
      </c>
      <c r="J7394">
        <f>IF(E7394="Outlook",COUNTIF($E$2:E7394,"Outlook"),"")</f>
        <v/>
      </c>
      <c r="K7394">
        <f>IF(E7394="Domain",COUNTIF($E$2:E7394,"Domain"),"")</f>
        <v/>
      </c>
    </row>
    <row r="7395">
      <c r="A7395" s="2" t="n"/>
      <c r="B7395">
        <f>LOWER(TRIM(A7395))</f>
        <v/>
      </c>
      <c r="C7395">
        <f>IF(B7395="","",IFERROR(INDEX('Bad Patterns'!$A$2:$A$120,MATCH(1,INDEX(--ISNUMBER(SEARCH('Bad Patterns'!$A$2:$A$120,B7395)),0),0)),""))</f>
        <v/>
      </c>
      <c r="D7395">
        <f>IF(B7395="","",IF(C7395&lt;&gt;"","REMOVE","KEEP"))</f>
        <v/>
      </c>
      <c r="E7395">
        <f>IF(D7395&lt;&gt;"KEEP","",IF(RIGHT(B7395,10)="@gmail.com","Gmail",IF(OR(RIGHT(B7395,12)="@outlook.com",RIGHT(B7395,12)="@hotmail.com",RIGHT(B7395,9)="@live.com"),"Outlook","Domain")))</f>
        <v/>
      </c>
      <c r="F7395">
        <f>IF(B7395="","",IFERROR(RIGHT(B7395,LEN(B7395)-FIND("@",B7395)),""))</f>
        <v/>
      </c>
      <c r="G7395">
        <f>IF(D7395="KEEP",COUNTIF($D$2:D7395,"KEEP"),"")</f>
        <v/>
      </c>
      <c r="H7395">
        <f>IF(D7395="REMOVE",COUNTIF($D$2:D7395,"REMOVE"),"")</f>
        <v/>
      </c>
      <c r="I7395">
        <f>IF(E7395="Gmail",COUNTIF($E$2:E7395,"Gmail"),"")</f>
        <v/>
      </c>
      <c r="J7395">
        <f>IF(E7395="Outlook",COUNTIF($E$2:E7395,"Outlook"),"")</f>
        <v/>
      </c>
      <c r="K7395">
        <f>IF(E7395="Domain",COUNTIF($E$2:E7395,"Domain"),"")</f>
        <v/>
      </c>
    </row>
    <row r="7396">
      <c r="A7396" s="2" t="n"/>
      <c r="B7396">
        <f>LOWER(TRIM(A7396))</f>
        <v/>
      </c>
      <c r="C7396">
        <f>IF(B7396="","",IFERROR(INDEX('Bad Patterns'!$A$2:$A$120,MATCH(1,INDEX(--ISNUMBER(SEARCH('Bad Patterns'!$A$2:$A$120,B7396)),0),0)),""))</f>
        <v/>
      </c>
      <c r="D7396">
        <f>IF(B7396="","",IF(C7396&lt;&gt;"","REMOVE","KEEP"))</f>
        <v/>
      </c>
      <c r="E7396">
        <f>IF(D7396&lt;&gt;"KEEP","",IF(RIGHT(B7396,10)="@gmail.com","Gmail",IF(OR(RIGHT(B7396,12)="@outlook.com",RIGHT(B7396,12)="@hotmail.com",RIGHT(B7396,9)="@live.com"),"Outlook","Domain")))</f>
        <v/>
      </c>
      <c r="F7396">
        <f>IF(B7396="","",IFERROR(RIGHT(B7396,LEN(B7396)-FIND("@",B7396)),""))</f>
        <v/>
      </c>
      <c r="G7396">
        <f>IF(D7396="KEEP",COUNTIF($D$2:D7396,"KEEP"),"")</f>
        <v/>
      </c>
      <c r="H7396">
        <f>IF(D7396="REMOVE",COUNTIF($D$2:D7396,"REMOVE"),"")</f>
        <v/>
      </c>
      <c r="I7396">
        <f>IF(E7396="Gmail",COUNTIF($E$2:E7396,"Gmail"),"")</f>
        <v/>
      </c>
      <c r="J7396">
        <f>IF(E7396="Outlook",COUNTIF($E$2:E7396,"Outlook"),"")</f>
        <v/>
      </c>
      <c r="K7396">
        <f>IF(E7396="Domain",COUNTIF($E$2:E7396,"Domain"),"")</f>
        <v/>
      </c>
    </row>
    <row r="7397">
      <c r="A7397" s="2" t="n"/>
      <c r="B7397">
        <f>LOWER(TRIM(A7397))</f>
        <v/>
      </c>
      <c r="C7397">
        <f>IF(B7397="","",IFERROR(INDEX('Bad Patterns'!$A$2:$A$120,MATCH(1,INDEX(--ISNUMBER(SEARCH('Bad Patterns'!$A$2:$A$120,B7397)),0),0)),""))</f>
        <v/>
      </c>
      <c r="D7397">
        <f>IF(B7397="","",IF(C7397&lt;&gt;"","REMOVE","KEEP"))</f>
        <v/>
      </c>
      <c r="E7397">
        <f>IF(D7397&lt;&gt;"KEEP","",IF(RIGHT(B7397,10)="@gmail.com","Gmail",IF(OR(RIGHT(B7397,12)="@outlook.com",RIGHT(B7397,12)="@hotmail.com",RIGHT(B7397,9)="@live.com"),"Outlook","Domain")))</f>
        <v/>
      </c>
      <c r="F7397">
        <f>IF(B7397="","",IFERROR(RIGHT(B7397,LEN(B7397)-FIND("@",B7397)),""))</f>
        <v/>
      </c>
      <c r="G7397">
        <f>IF(D7397="KEEP",COUNTIF($D$2:D7397,"KEEP"),"")</f>
        <v/>
      </c>
      <c r="H7397">
        <f>IF(D7397="REMOVE",COUNTIF($D$2:D7397,"REMOVE"),"")</f>
        <v/>
      </c>
      <c r="I7397">
        <f>IF(E7397="Gmail",COUNTIF($E$2:E7397,"Gmail"),"")</f>
        <v/>
      </c>
      <c r="J7397">
        <f>IF(E7397="Outlook",COUNTIF($E$2:E7397,"Outlook"),"")</f>
        <v/>
      </c>
      <c r="K7397">
        <f>IF(E7397="Domain",COUNTIF($E$2:E7397,"Domain"),"")</f>
        <v/>
      </c>
    </row>
    <row r="7398">
      <c r="A7398" s="2" t="n"/>
      <c r="B7398">
        <f>LOWER(TRIM(A7398))</f>
        <v/>
      </c>
      <c r="C7398">
        <f>IF(B7398="","",IFERROR(INDEX('Bad Patterns'!$A$2:$A$120,MATCH(1,INDEX(--ISNUMBER(SEARCH('Bad Patterns'!$A$2:$A$120,B7398)),0),0)),""))</f>
        <v/>
      </c>
      <c r="D7398">
        <f>IF(B7398="","",IF(C7398&lt;&gt;"","REMOVE","KEEP"))</f>
        <v/>
      </c>
      <c r="E7398">
        <f>IF(D7398&lt;&gt;"KEEP","",IF(RIGHT(B7398,10)="@gmail.com","Gmail",IF(OR(RIGHT(B7398,12)="@outlook.com",RIGHT(B7398,12)="@hotmail.com",RIGHT(B7398,9)="@live.com"),"Outlook","Domain")))</f>
        <v/>
      </c>
      <c r="F7398">
        <f>IF(B7398="","",IFERROR(RIGHT(B7398,LEN(B7398)-FIND("@",B7398)),""))</f>
        <v/>
      </c>
      <c r="G7398">
        <f>IF(D7398="KEEP",COUNTIF($D$2:D7398,"KEEP"),"")</f>
        <v/>
      </c>
      <c r="H7398">
        <f>IF(D7398="REMOVE",COUNTIF($D$2:D7398,"REMOVE"),"")</f>
        <v/>
      </c>
      <c r="I7398">
        <f>IF(E7398="Gmail",COUNTIF($E$2:E7398,"Gmail"),"")</f>
        <v/>
      </c>
      <c r="J7398">
        <f>IF(E7398="Outlook",COUNTIF($E$2:E7398,"Outlook"),"")</f>
        <v/>
      </c>
      <c r="K7398">
        <f>IF(E7398="Domain",COUNTIF($E$2:E7398,"Domain"),"")</f>
        <v/>
      </c>
    </row>
    <row r="7399">
      <c r="A7399" s="2" t="n"/>
      <c r="B7399">
        <f>LOWER(TRIM(A7399))</f>
        <v/>
      </c>
      <c r="C7399">
        <f>IF(B7399="","",IFERROR(INDEX('Bad Patterns'!$A$2:$A$120,MATCH(1,INDEX(--ISNUMBER(SEARCH('Bad Patterns'!$A$2:$A$120,B7399)),0),0)),""))</f>
        <v/>
      </c>
      <c r="D7399">
        <f>IF(B7399="","",IF(C7399&lt;&gt;"","REMOVE","KEEP"))</f>
        <v/>
      </c>
      <c r="E7399">
        <f>IF(D7399&lt;&gt;"KEEP","",IF(RIGHT(B7399,10)="@gmail.com","Gmail",IF(OR(RIGHT(B7399,12)="@outlook.com",RIGHT(B7399,12)="@hotmail.com",RIGHT(B7399,9)="@live.com"),"Outlook","Domain")))</f>
        <v/>
      </c>
      <c r="F7399">
        <f>IF(B7399="","",IFERROR(RIGHT(B7399,LEN(B7399)-FIND("@",B7399)),""))</f>
        <v/>
      </c>
      <c r="G7399">
        <f>IF(D7399="KEEP",COUNTIF($D$2:D7399,"KEEP"),"")</f>
        <v/>
      </c>
      <c r="H7399">
        <f>IF(D7399="REMOVE",COUNTIF($D$2:D7399,"REMOVE"),"")</f>
        <v/>
      </c>
      <c r="I7399">
        <f>IF(E7399="Gmail",COUNTIF($E$2:E7399,"Gmail"),"")</f>
        <v/>
      </c>
      <c r="J7399">
        <f>IF(E7399="Outlook",COUNTIF($E$2:E7399,"Outlook"),"")</f>
        <v/>
      </c>
      <c r="K7399">
        <f>IF(E7399="Domain",COUNTIF($E$2:E7399,"Domain"),"")</f>
        <v/>
      </c>
    </row>
    <row r="7400">
      <c r="A7400" s="2" t="n"/>
      <c r="B7400">
        <f>LOWER(TRIM(A7400))</f>
        <v/>
      </c>
      <c r="C7400">
        <f>IF(B7400="","",IFERROR(INDEX('Bad Patterns'!$A$2:$A$120,MATCH(1,INDEX(--ISNUMBER(SEARCH('Bad Patterns'!$A$2:$A$120,B7400)),0),0)),""))</f>
        <v/>
      </c>
      <c r="D7400">
        <f>IF(B7400="","",IF(C7400&lt;&gt;"","REMOVE","KEEP"))</f>
        <v/>
      </c>
      <c r="E7400">
        <f>IF(D7400&lt;&gt;"KEEP","",IF(RIGHT(B7400,10)="@gmail.com","Gmail",IF(OR(RIGHT(B7400,12)="@outlook.com",RIGHT(B7400,12)="@hotmail.com",RIGHT(B7400,9)="@live.com"),"Outlook","Domain")))</f>
        <v/>
      </c>
      <c r="F7400">
        <f>IF(B7400="","",IFERROR(RIGHT(B7400,LEN(B7400)-FIND("@",B7400)),""))</f>
        <v/>
      </c>
      <c r="G7400">
        <f>IF(D7400="KEEP",COUNTIF($D$2:D7400,"KEEP"),"")</f>
        <v/>
      </c>
      <c r="H7400">
        <f>IF(D7400="REMOVE",COUNTIF($D$2:D7400,"REMOVE"),"")</f>
        <v/>
      </c>
      <c r="I7400">
        <f>IF(E7400="Gmail",COUNTIF($E$2:E7400,"Gmail"),"")</f>
        <v/>
      </c>
      <c r="J7400">
        <f>IF(E7400="Outlook",COUNTIF($E$2:E7400,"Outlook"),"")</f>
        <v/>
      </c>
      <c r="K7400">
        <f>IF(E7400="Domain",COUNTIF($E$2:E7400,"Domain"),"")</f>
        <v/>
      </c>
    </row>
    <row r="7401">
      <c r="A7401" s="2" t="n"/>
      <c r="B7401">
        <f>LOWER(TRIM(A7401))</f>
        <v/>
      </c>
      <c r="C7401">
        <f>IF(B7401="","",IFERROR(INDEX('Bad Patterns'!$A$2:$A$120,MATCH(1,INDEX(--ISNUMBER(SEARCH('Bad Patterns'!$A$2:$A$120,B7401)),0),0)),""))</f>
        <v/>
      </c>
      <c r="D7401">
        <f>IF(B7401="","",IF(C7401&lt;&gt;"","REMOVE","KEEP"))</f>
        <v/>
      </c>
      <c r="E7401">
        <f>IF(D7401&lt;&gt;"KEEP","",IF(RIGHT(B7401,10)="@gmail.com","Gmail",IF(OR(RIGHT(B7401,12)="@outlook.com",RIGHT(B7401,12)="@hotmail.com",RIGHT(B7401,9)="@live.com"),"Outlook","Domain")))</f>
        <v/>
      </c>
      <c r="F7401">
        <f>IF(B7401="","",IFERROR(RIGHT(B7401,LEN(B7401)-FIND("@",B7401)),""))</f>
        <v/>
      </c>
      <c r="G7401">
        <f>IF(D7401="KEEP",COUNTIF($D$2:D7401,"KEEP"),"")</f>
        <v/>
      </c>
      <c r="H7401">
        <f>IF(D7401="REMOVE",COUNTIF($D$2:D7401,"REMOVE"),"")</f>
        <v/>
      </c>
      <c r="I7401">
        <f>IF(E7401="Gmail",COUNTIF($E$2:E7401,"Gmail"),"")</f>
        <v/>
      </c>
      <c r="J7401">
        <f>IF(E7401="Outlook",COUNTIF($E$2:E7401,"Outlook"),"")</f>
        <v/>
      </c>
      <c r="K7401">
        <f>IF(E7401="Domain",COUNTIF($E$2:E7401,"Domain"),"")</f>
        <v/>
      </c>
    </row>
    <row r="7402">
      <c r="A7402" s="2" t="n"/>
      <c r="B7402">
        <f>LOWER(TRIM(A7402))</f>
        <v/>
      </c>
      <c r="C7402">
        <f>IF(B7402="","",IFERROR(INDEX('Bad Patterns'!$A$2:$A$120,MATCH(1,INDEX(--ISNUMBER(SEARCH('Bad Patterns'!$A$2:$A$120,B7402)),0),0)),""))</f>
        <v/>
      </c>
      <c r="D7402">
        <f>IF(B7402="","",IF(C7402&lt;&gt;"","REMOVE","KEEP"))</f>
        <v/>
      </c>
      <c r="E7402">
        <f>IF(D7402&lt;&gt;"KEEP","",IF(RIGHT(B7402,10)="@gmail.com","Gmail",IF(OR(RIGHT(B7402,12)="@outlook.com",RIGHT(B7402,12)="@hotmail.com",RIGHT(B7402,9)="@live.com"),"Outlook","Domain")))</f>
        <v/>
      </c>
      <c r="F7402">
        <f>IF(B7402="","",IFERROR(RIGHT(B7402,LEN(B7402)-FIND("@",B7402)),""))</f>
        <v/>
      </c>
      <c r="G7402">
        <f>IF(D7402="KEEP",COUNTIF($D$2:D7402,"KEEP"),"")</f>
        <v/>
      </c>
      <c r="H7402">
        <f>IF(D7402="REMOVE",COUNTIF($D$2:D7402,"REMOVE"),"")</f>
        <v/>
      </c>
      <c r="I7402">
        <f>IF(E7402="Gmail",COUNTIF($E$2:E7402,"Gmail"),"")</f>
        <v/>
      </c>
      <c r="J7402">
        <f>IF(E7402="Outlook",COUNTIF($E$2:E7402,"Outlook"),"")</f>
        <v/>
      </c>
      <c r="K7402">
        <f>IF(E7402="Domain",COUNTIF($E$2:E7402,"Domain"),"")</f>
        <v/>
      </c>
    </row>
    <row r="7403">
      <c r="A7403" s="2" t="n"/>
      <c r="B7403">
        <f>LOWER(TRIM(A7403))</f>
        <v/>
      </c>
      <c r="C7403">
        <f>IF(B7403="","",IFERROR(INDEX('Bad Patterns'!$A$2:$A$120,MATCH(1,INDEX(--ISNUMBER(SEARCH('Bad Patterns'!$A$2:$A$120,B7403)),0),0)),""))</f>
        <v/>
      </c>
      <c r="D7403">
        <f>IF(B7403="","",IF(C7403&lt;&gt;"","REMOVE","KEEP"))</f>
        <v/>
      </c>
      <c r="E7403">
        <f>IF(D7403&lt;&gt;"KEEP","",IF(RIGHT(B7403,10)="@gmail.com","Gmail",IF(OR(RIGHT(B7403,12)="@outlook.com",RIGHT(B7403,12)="@hotmail.com",RIGHT(B7403,9)="@live.com"),"Outlook","Domain")))</f>
        <v/>
      </c>
      <c r="F7403">
        <f>IF(B7403="","",IFERROR(RIGHT(B7403,LEN(B7403)-FIND("@",B7403)),""))</f>
        <v/>
      </c>
      <c r="G7403">
        <f>IF(D7403="KEEP",COUNTIF($D$2:D7403,"KEEP"),"")</f>
        <v/>
      </c>
      <c r="H7403">
        <f>IF(D7403="REMOVE",COUNTIF($D$2:D7403,"REMOVE"),"")</f>
        <v/>
      </c>
      <c r="I7403">
        <f>IF(E7403="Gmail",COUNTIF($E$2:E7403,"Gmail"),"")</f>
        <v/>
      </c>
      <c r="J7403">
        <f>IF(E7403="Outlook",COUNTIF($E$2:E7403,"Outlook"),"")</f>
        <v/>
      </c>
      <c r="K7403">
        <f>IF(E7403="Domain",COUNTIF($E$2:E7403,"Domain"),"")</f>
        <v/>
      </c>
    </row>
    <row r="7404">
      <c r="A7404" s="2" t="n"/>
      <c r="B7404">
        <f>LOWER(TRIM(A7404))</f>
        <v/>
      </c>
      <c r="C7404">
        <f>IF(B7404="","",IFERROR(INDEX('Bad Patterns'!$A$2:$A$120,MATCH(1,INDEX(--ISNUMBER(SEARCH('Bad Patterns'!$A$2:$A$120,B7404)),0),0)),""))</f>
        <v/>
      </c>
      <c r="D7404">
        <f>IF(B7404="","",IF(C7404&lt;&gt;"","REMOVE","KEEP"))</f>
        <v/>
      </c>
      <c r="E7404">
        <f>IF(D7404&lt;&gt;"KEEP","",IF(RIGHT(B7404,10)="@gmail.com","Gmail",IF(OR(RIGHT(B7404,12)="@outlook.com",RIGHT(B7404,12)="@hotmail.com",RIGHT(B7404,9)="@live.com"),"Outlook","Domain")))</f>
        <v/>
      </c>
      <c r="F7404">
        <f>IF(B7404="","",IFERROR(RIGHT(B7404,LEN(B7404)-FIND("@",B7404)),""))</f>
        <v/>
      </c>
      <c r="G7404">
        <f>IF(D7404="KEEP",COUNTIF($D$2:D7404,"KEEP"),"")</f>
        <v/>
      </c>
      <c r="H7404">
        <f>IF(D7404="REMOVE",COUNTIF($D$2:D7404,"REMOVE"),"")</f>
        <v/>
      </c>
      <c r="I7404">
        <f>IF(E7404="Gmail",COUNTIF($E$2:E7404,"Gmail"),"")</f>
        <v/>
      </c>
      <c r="J7404">
        <f>IF(E7404="Outlook",COUNTIF($E$2:E7404,"Outlook"),"")</f>
        <v/>
      </c>
      <c r="K7404">
        <f>IF(E7404="Domain",COUNTIF($E$2:E7404,"Domain"),"")</f>
        <v/>
      </c>
    </row>
    <row r="7405">
      <c r="A7405" s="2" t="n"/>
      <c r="B7405">
        <f>LOWER(TRIM(A7405))</f>
        <v/>
      </c>
      <c r="C7405">
        <f>IF(B7405="","",IFERROR(INDEX('Bad Patterns'!$A$2:$A$120,MATCH(1,INDEX(--ISNUMBER(SEARCH('Bad Patterns'!$A$2:$A$120,B7405)),0),0)),""))</f>
        <v/>
      </c>
      <c r="D7405">
        <f>IF(B7405="","",IF(C7405&lt;&gt;"","REMOVE","KEEP"))</f>
        <v/>
      </c>
      <c r="E7405">
        <f>IF(D7405&lt;&gt;"KEEP","",IF(RIGHT(B7405,10)="@gmail.com","Gmail",IF(OR(RIGHT(B7405,12)="@outlook.com",RIGHT(B7405,12)="@hotmail.com",RIGHT(B7405,9)="@live.com"),"Outlook","Domain")))</f>
        <v/>
      </c>
      <c r="F7405">
        <f>IF(B7405="","",IFERROR(RIGHT(B7405,LEN(B7405)-FIND("@",B7405)),""))</f>
        <v/>
      </c>
      <c r="G7405">
        <f>IF(D7405="KEEP",COUNTIF($D$2:D7405,"KEEP"),"")</f>
        <v/>
      </c>
      <c r="H7405">
        <f>IF(D7405="REMOVE",COUNTIF($D$2:D7405,"REMOVE"),"")</f>
        <v/>
      </c>
      <c r="I7405">
        <f>IF(E7405="Gmail",COUNTIF($E$2:E7405,"Gmail"),"")</f>
        <v/>
      </c>
      <c r="J7405">
        <f>IF(E7405="Outlook",COUNTIF($E$2:E7405,"Outlook"),"")</f>
        <v/>
      </c>
      <c r="K7405">
        <f>IF(E7405="Domain",COUNTIF($E$2:E7405,"Domain"),"")</f>
        <v/>
      </c>
    </row>
    <row r="7406">
      <c r="A7406" s="2" t="n"/>
      <c r="B7406">
        <f>LOWER(TRIM(A7406))</f>
        <v/>
      </c>
      <c r="C7406">
        <f>IF(B7406="","",IFERROR(INDEX('Bad Patterns'!$A$2:$A$120,MATCH(1,INDEX(--ISNUMBER(SEARCH('Bad Patterns'!$A$2:$A$120,B7406)),0),0)),""))</f>
        <v/>
      </c>
      <c r="D7406">
        <f>IF(B7406="","",IF(C7406&lt;&gt;"","REMOVE","KEEP"))</f>
        <v/>
      </c>
      <c r="E7406">
        <f>IF(D7406&lt;&gt;"KEEP","",IF(RIGHT(B7406,10)="@gmail.com","Gmail",IF(OR(RIGHT(B7406,12)="@outlook.com",RIGHT(B7406,12)="@hotmail.com",RIGHT(B7406,9)="@live.com"),"Outlook","Domain")))</f>
        <v/>
      </c>
      <c r="F7406">
        <f>IF(B7406="","",IFERROR(RIGHT(B7406,LEN(B7406)-FIND("@",B7406)),""))</f>
        <v/>
      </c>
      <c r="G7406">
        <f>IF(D7406="KEEP",COUNTIF($D$2:D7406,"KEEP"),"")</f>
        <v/>
      </c>
      <c r="H7406">
        <f>IF(D7406="REMOVE",COUNTIF($D$2:D7406,"REMOVE"),"")</f>
        <v/>
      </c>
      <c r="I7406">
        <f>IF(E7406="Gmail",COUNTIF($E$2:E7406,"Gmail"),"")</f>
        <v/>
      </c>
      <c r="J7406">
        <f>IF(E7406="Outlook",COUNTIF($E$2:E7406,"Outlook"),"")</f>
        <v/>
      </c>
      <c r="K7406">
        <f>IF(E7406="Domain",COUNTIF($E$2:E7406,"Domain"),"")</f>
        <v/>
      </c>
    </row>
    <row r="7407">
      <c r="A7407" s="2" t="n"/>
      <c r="B7407">
        <f>LOWER(TRIM(A7407))</f>
        <v/>
      </c>
      <c r="C7407">
        <f>IF(B7407="","",IFERROR(INDEX('Bad Patterns'!$A$2:$A$120,MATCH(1,INDEX(--ISNUMBER(SEARCH('Bad Patterns'!$A$2:$A$120,B7407)),0),0)),""))</f>
        <v/>
      </c>
      <c r="D7407">
        <f>IF(B7407="","",IF(C7407&lt;&gt;"","REMOVE","KEEP"))</f>
        <v/>
      </c>
      <c r="E7407">
        <f>IF(D7407&lt;&gt;"KEEP","",IF(RIGHT(B7407,10)="@gmail.com","Gmail",IF(OR(RIGHT(B7407,12)="@outlook.com",RIGHT(B7407,12)="@hotmail.com",RIGHT(B7407,9)="@live.com"),"Outlook","Domain")))</f>
        <v/>
      </c>
      <c r="F7407">
        <f>IF(B7407="","",IFERROR(RIGHT(B7407,LEN(B7407)-FIND("@",B7407)),""))</f>
        <v/>
      </c>
      <c r="G7407">
        <f>IF(D7407="KEEP",COUNTIF($D$2:D7407,"KEEP"),"")</f>
        <v/>
      </c>
      <c r="H7407">
        <f>IF(D7407="REMOVE",COUNTIF($D$2:D7407,"REMOVE"),"")</f>
        <v/>
      </c>
      <c r="I7407">
        <f>IF(E7407="Gmail",COUNTIF($E$2:E7407,"Gmail"),"")</f>
        <v/>
      </c>
      <c r="J7407">
        <f>IF(E7407="Outlook",COUNTIF($E$2:E7407,"Outlook"),"")</f>
        <v/>
      </c>
      <c r="K7407">
        <f>IF(E7407="Domain",COUNTIF($E$2:E7407,"Domain"),"")</f>
        <v/>
      </c>
    </row>
    <row r="7408">
      <c r="A7408" s="2" t="n"/>
      <c r="B7408">
        <f>LOWER(TRIM(A7408))</f>
        <v/>
      </c>
      <c r="C7408">
        <f>IF(B7408="","",IFERROR(INDEX('Bad Patterns'!$A$2:$A$120,MATCH(1,INDEX(--ISNUMBER(SEARCH('Bad Patterns'!$A$2:$A$120,B7408)),0),0)),""))</f>
        <v/>
      </c>
      <c r="D7408">
        <f>IF(B7408="","",IF(C7408&lt;&gt;"","REMOVE","KEEP"))</f>
        <v/>
      </c>
      <c r="E7408">
        <f>IF(D7408&lt;&gt;"KEEP","",IF(RIGHT(B7408,10)="@gmail.com","Gmail",IF(OR(RIGHT(B7408,12)="@outlook.com",RIGHT(B7408,12)="@hotmail.com",RIGHT(B7408,9)="@live.com"),"Outlook","Domain")))</f>
        <v/>
      </c>
      <c r="F7408">
        <f>IF(B7408="","",IFERROR(RIGHT(B7408,LEN(B7408)-FIND("@",B7408)),""))</f>
        <v/>
      </c>
      <c r="G7408">
        <f>IF(D7408="KEEP",COUNTIF($D$2:D7408,"KEEP"),"")</f>
        <v/>
      </c>
      <c r="H7408">
        <f>IF(D7408="REMOVE",COUNTIF($D$2:D7408,"REMOVE"),"")</f>
        <v/>
      </c>
      <c r="I7408">
        <f>IF(E7408="Gmail",COUNTIF($E$2:E7408,"Gmail"),"")</f>
        <v/>
      </c>
      <c r="J7408">
        <f>IF(E7408="Outlook",COUNTIF($E$2:E7408,"Outlook"),"")</f>
        <v/>
      </c>
      <c r="K7408">
        <f>IF(E7408="Domain",COUNTIF($E$2:E7408,"Domain"),"")</f>
        <v/>
      </c>
    </row>
    <row r="7409">
      <c r="A7409" s="2" t="n"/>
      <c r="B7409">
        <f>LOWER(TRIM(A7409))</f>
        <v/>
      </c>
      <c r="C7409">
        <f>IF(B7409="","",IFERROR(INDEX('Bad Patterns'!$A$2:$A$120,MATCH(1,INDEX(--ISNUMBER(SEARCH('Bad Patterns'!$A$2:$A$120,B7409)),0),0)),""))</f>
        <v/>
      </c>
      <c r="D7409">
        <f>IF(B7409="","",IF(C7409&lt;&gt;"","REMOVE","KEEP"))</f>
        <v/>
      </c>
      <c r="E7409">
        <f>IF(D7409&lt;&gt;"KEEP","",IF(RIGHT(B7409,10)="@gmail.com","Gmail",IF(OR(RIGHT(B7409,12)="@outlook.com",RIGHT(B7409,12)="@hotmail.com",RIGHT(B7409,9)="@live.com"),"Outlook","Domain")))</f>
        <v/>
      </c>
      <c r="F7409">
        <f>IF(B7409="","",IFERROR(RIGHT(B7409,LEN(B7409)-FIND("@",B7409)),""))</f>
        <v/>
      </c>
      <c r="G7409">
        <f>IF(D7409="KEEP",COUNTIF($D$2:D7409,"KEEP"),"")</f>
        <v/>
      </c>
      <c r="H7409">
        <f>IF(D7409="REMOVE",COUNTIF($D$2:D7409,"REMOVE"),"")</f>
        <v/>
      </c>
      <c r="I7409">
        <f>IF(E7409="Gmail",COUNTIF($E$2:E7409,"Gmail"),"")</f>
        <v/>
      </c>
      <c r="J7409">
        <f>IF(E7409="Outlook",COUNTIF($E$2:E7409,"Outlook"),"")</f>
        <v/>
      </c>
      <c r="K7409">
        <f>IF(E7409="Domain",COUNTIF($E$2:E7409,"Domain"),"")</f>
        <v/>
      </c>
    </row>
    <row r="7410">
      <c r="A7410" s="2" t="n"/>
      <c r="B7410">
        <f>LOWER(TRIM(A7410))</f>
        <v/>
      </c>
      <c r="C7410">
        <f>IF(B7410="","",IFERROR(INDEX('Bad Patterns'!$A$2:$A$120,MATCH(1,INDEX(--ISNUMBER(SEARCH('Bad Patterns'!$A$2:$A$120,B7410)),0),0)),""))</f>
        <v/>
      </c>
      <c r="D7410">
        <f>IF(B7410="","",IF(C7410&lt;&gt;"","REMOVE","KEEP"))</f>
        <v/>
      </c>
      <c r="E7410">
        <f>IF(D7410&lt;&gt;"KEEP","",IF(RIGHT(B7410,10)="@gmail.com","Gmail",IF(OR(RIGHT(B7410,12)="@outlook.com",RIGHT(B7410,12)="@hotmail.com",RIGHT(B7410,9)="@live.com"),"Outlook","Domain")))</f>
        <v/>
      </c>
      <c r="F7410">
        <f>IF(B7410="","",IFERROR(RIGHT(B7410,LEN(B7410)-FIND("@",B7410)),""))</f>
        <v/>
      </c>
      <c r="G7410">
        <f>IF(D7410="KEEP",COUNTIF($D$2:D7410,"KEEP"),"")</f>
        <v/>
      </c>
      <c r="H7410">
        <f>IF(D7410="REMOVE",COUNTIF($D$2:D7410,"REMOVE"),"")</f>
        <v/>
      </c>
      <c r="I7410">
        <f>IF(E7410="Gmail",COUNTIF($E$2:E7410,"Gmail"),"")</f>
        <v/>
      </c>
      <c r="J7410">
        <f>IF(E7410="Outlook",COUNTIF($E$2:E7410,"Outlook"),"")</f>
        <v/>
      </c>
      <c r="K7410">
        <f>IF(E7410="Domain",COUNTIF($E$2:E7410,"Domain"),"")</f>
        <v/>
      </c>
    </row>
    <row r="7411">
      <c r="A7411" s="2" t="n"/>
      <c r="B7411">
        <f>LOWER(TRIM(A7411))</f>
        <v/>
      </c>
      <c r="C7411">
        <f>IF(B7411="","",IFERROR(INDEX('Bad Patterns'!$A$2:$A$120,MATCH(1,INDEX(--ISNUMBER(SEARCH('Bad Patterns'!$A$2:$A$120,B7411)),0),0)),""))</f>
        <v/>
      </c>
      <c r="D7411">
        <f>IF(B7411="","",IF(C7411&lt;&gt;"","REMOVE","KEEP"))</f>
        <v/>
      </c>
      <c r="E7411">
        <f>IF(D7411&lt;&gt;"KEEP","",IF(RIGHT(B7411,10)="@gmail.com","Gmail",IF(OR(RIGHT(B7411,12)="@outlook.com",RIGHT(B7411,12)="@hotmail.com",RIGHT(B7411,9)="@live.com"),"Outlook","Domain")))</f>
        <v/>
      </c>
      <c r="F7411">
        <f>IF(B7411="","",IFERROR(RIGHT(B7411,LEN(B7411)-FIND("@",B7411)),""))</f>
        <v/>
      </c>
      <c r="G7411">
        <f>IF(D7411="KEEP",COUNTIF($D$2:D7411,"KEEP"),"")</f>
        <v/>
      </c>
      <c r="H7411">
        <f>IF(D7411="REMOVE",COUNTIF($D$2:D7411,"REMOVE"),"")</f>
        <v/>
      </c>
      <c r="I7411">
        <f>IF(E7411="Gmail",COUNTIF($E$2:E7411,"Gmail"),"")</f>
        <v/>
      </c>
      <c r="J7411">
        <f>IF(E7411="Outlook",COUNTIF($E$2:E7411,"Outlook"),"")</f>
        <v/>
      </c>
      <c r="K7411">
        <f>IF(E7411="Domain",COUNTIF($E$2:E7411,"Domain"),"")</f>
        <v/>
      </c>
    </row>
    <row r="7412">
      <c r="A7412" s="2" t="n"/>
      <c r="B7412">
        <f>LOWER(TRIM(A7412))</f>
        <v/>
      </c>
      <c r="C7412">
        <f>IF(B7412="","",IFERROR(INDEX('Bad Patterns'!$A$2:$A$120,MATCH(1,INDEX(--ISNUMBER(SEARCH('Bad Patterns'!$A$2:$A$120,B7412)),0),0)),""))</f>
        <v/>
      </c>
      <c r="D7412">
        <f>IF(B7412="","",IF(C7412&lt;&gt;"","REMOVE","KEEP"))</f>
        <v/>
      </c>
      <c r="E7412">
        <f>IF(D7412&lt;&gt;"KEEP","",IF(RIGHT(B7412,10)="@gmail.com","Gmail",IF(OR(RIGHT(B7412,12)="@outlook.com",RIGHT(B7412,12)="@hotmail.com",RIGHT(B7412,9)="@live.com"),"Outlook","Domain")))</f>
        <v/>
      </c>
      <c r="F7412">
        <f>IF(B7412="","",IFERROR(RIGHT(B7412,LEN(B7412)-FIND("@",B7412)),""))</f>
        <v/>
      </c>
      <c r="G7412">
        <f>IF(D7412="KEEP",COUNTIF($D$2:D7412,"KEEP"),"")</f>
        <v/>
      </c>
      <c r="H7412">
        <f>IF(D7412="REMOVE",COUNTIF($D$2:D7412,"REMOVE"),"")</f>
        <v/>
      </c>
      <c r="I7412">
        <f>IF(E7412="Gmail",COUNTIF($E$2:E7412,"Gmail"),"")</f>
        <v/>
      </c>
      <c r="J7412">
        <f>IF(E7412="Outlook",COUNTIF($E$2:E7412,"Outlook"),"")</f>
        <v/>
      </c>
      <c r="K7412">
        <f>IF(E7412="Domain",COUNTIF($E$2:E7412,"Domain"),"")</f>
        <v/>
      </c>
    </row>
    <row r="7413">
      <c r="A7413" s="2" t="n"/>
      <c r="B7413">
        <f>LOWER(TRIM(A7413))</f>
        <v/>
      </c>
      <c r="C7413">
        <f>IF(B7413="","",IFERROR(INDEX('Bad Patterns'!$A$2:$A$120,MATCH(1,INDEX(--ISNUMBER(SEARCH('Bad Patterns'!$A$2:$A$120,B7413)),0),0)),""))</f>
        <v/>
      </c>
      <c r="D7413">
        <f>IF(B7413="","",IF(C7413&lt;&gt;"","REMOVE","KEEP"))</f>
        <v/>
      </c>
      <c r="E7413">
        <f>IF(D7413&lt;&gt;"KEEP","",IF(RIGHT(B7413,10)="@gmail.com","Gmail",IF(OR(RIGHT(B7413,12)="@outlook.com",RIGHT(B7413,12)="@hotmail.com",RIGHT(B7413,9)="@live.com"),"Outlook","Domain")))</f>
        <v/>
      </c>
      <c r="F7413">
        <f>IF(B7413="","",IFERROR(RIGHT(B7413,LEN(B7413)-FIND("@",B7413)),""))</f>
        <v/>
      </c>
      <c r="G7413">
        <f>IF(D7413="KEEP",COUNTIF($D$2:D7413,"KEEP"),"")</f>
        <v/>
      </c>
      <c r="H7413">
        <f>IF(D7413="REMOVE",COUNTIF($D$2:D7413,"REMOVE"),"")</f>
        <v/>
      </c>
      <c r="I7413">
        <f>IF(E7413="Gmail",COUNTIF($E$2:E7413,"Gmail"),"")</f>
        <v/>
      </c>
      <c r="J7413">
        <f>IF(E7413="Outlook",COUNTIF($E$2:E7413,"Outlook"),"")</f>
        <v/>
      </c>
      <c r="K7413">
        <f>IF(E7413="Domain",COUNTIF($E$2:E7413,"Domain"),"")</f>
        <v/>
      </c>
    </row>
    <row r="7414">
      <c r="A7414" s="2" t="n"/>
      <c r="B7414">
        <f>LOWER(TRIM(A7414))</f>
        <v/>
      </c>
      <c r="C7414">
        <f>IF(B7414="","",IFERROR(INDEX('Bad Patterns'!$A$2:$A$120,MATCH(1,INDEX(--ISNUMBER(SEARCH('Bad Patterns'!$A$2:$A$120,B7414)),0),0)),""))</f>
        <v/>
      </c>
      <c r="D7414">
        <f>IF(B7414="","",IF(C7414&lt;&gt;"","REMOVE","KEEP"))</f>
        <v/>
      </c>
      <c r="E7414">
        <f>IF(D7414&lt;&gt;"KEEP","",IF(RIGHT(B7414,10)="@gmail.com","Gmail",IF(OR(RIGHT(B7414,12)="@outlook.com",RIGHT(B7414,12)="@hotmail.com",RIGHT(B7414,9)="@live.com"),"Outlook","Domain")))</f>
        <v/>
      </c>
      <c r="F7414">
        <f>IF(B7414="","",IFERROR(RIGHT(B7414,LEN(B7414)-FIND("@",B7414)),""))</f>
        <v/>
      </c>
      <c r="G7414">
        <f>IF(D7414="KEEP",COUNTIF($D$2:D7414,"KEEP"),"")</f>
        <v/>
      </c>
      <c r="H7414">
        <f>IF(D7414="REMOVE",COUNTIF($D$2:D7414,"REMOVE"),"")</f>
        <v/>
      </c>
      <c r="I7414">
        <f>IF(E7414="Gmail",COUNTIF($E$2:E7414,"Gmail"),"")</f>
        <v/>
      </c>
      <c r="J7414">
        <f>IF(E7414="Outlook",COUNTIF($E$2:E7414,"Outlook"),"")</f>
        <v/>
      </c>
      <c r="K7414">
        <f>IF(E7414="Domain",COUNTIF($E$2:E7414,"Domain"),"")</f>
        <v/>
      </c>
    </row>
    <row r="7415">
      <c r="A7415" s="2" t="n"/>
      <c r="B7415">
        <f>LOWER(TRIM(A7415))</f>
        <v/>
      </c>
      <c r="C7415">
        <f>IF(B7415="","",IFERROR(INDEX('Bad Patterns'!$A$2:$A$120,MATCH(1,INDEX(--ISNUMBER(SEARCH('Bad Patterns'!$A$2:$A$120,B7415)),0),0)),""))</f>
        <v/>
      </c>
      <c r="D7415">
        <f>IF(B7415="","",IF(C7415&lt;&gt;"","REMOVE","KEEP"))</f>
        <v/>
      </c>
      <c r="E7415">
        <f>IF(D7415&lt;&gt;"KEEP","",IF(RIGHT(B7415,10)="@gmail.com","Gmail",IF(OR(RIGHT(B7415,12)="@outlook.com",RIGHT(B7415,12)="@hotmail.com",RIGHT(B7415,9)="@live.com"),"Outlook","Domain")))</f>
        <v/>
      </c>
      <c r="F7415">
        <f>IF(B7415="","",IFERROR(RIGHT(B7415,LEN(B7415)-FIND("@",B7415)),""))</f>
        <v/>
      </c>
      <c r="G7415">
        <f>IF(D7415="KEEP",COUNTIF($D$2:D7415,"KEEP"),"")</f>
        <v/>
      </c>
      <c r="H7415">
        <f>IF(D7415="REMOVE",COUNTIF($D$2:D7415,"REMOVE"),"")</f>
        <v/>
      </c>
      <c r="I7415">
        <f>IF(E7415="Gmail",COUNTIF($E$2:E7415,"Gmail"),"")</f>
        <v/>
      </c>
      <c r="J7415">
        <f>IF(E7415="Outlook",COUNTIF($E$2:E7415,"Outlook"),"")</f>
        <v/>
      </c>
      <c r="K7415">
        <f>IF(E7415="Domain",COUNTIF($E$2:E7415,"Domain"),"")</f>
        <v/>
      </c>
    </row>
    <row r="7416">
      <c r="A7416" s="2" t="n"/>
      <c r="B7416">
        <f>LOWER(TRIM(A7416))</f>
        <v/>
      </c>
      <c r="C7416">
        <f>IF(B7416="","",IFERROR(INDEX('Bad Patterns'!$A$2:$A$120,MATCH(1,INDEX(--ISNUMBER(SEARCH('Bad Patterns'!$A$2:$A$120,B7416)),0),0)),""))</f>
        <v/>
      </c>
      <c r="D7416">
        <f>IF(B7416="","",IF(C7416&lt;&gt;"","REMOVE","KEEP"))</f>
        <v/>
      </c>
      <c r="E7416">
        <f>IF(D7416&lt;&gt;"KEEP","",IF(RIGHT(B7416,10)="@gmail.com","Gmail",IF(OR(RIGHT(B7416,12)="@outlook.com",RIGHT(B7416,12)="@hotmail.com",RIGHT(B7416,9)="@live.com"),"Outlook","Domain")))</f>
        <v/>
      </c>
      <c r="F7416">
        <f>IF(B7416="","",IFERROR(RIGHT(B7416,LEN(B7416)-FIND("@",B7416)),""))</f>
        <v/>
      </c>
      <c r="G7416">
        <f>IF(D7416="KEEP",COUNTIF($D$2:D7416,"KEEP"),"")</f>
        <v/>
      </c>
      <c r="H7416">
        <f>IF(D7416="REMOVE",COUNTIF($D$2:D7416,"REMOVE"),"")</f>
        <v/>
      </c>
      <c r="I7416">
        <f>IF(E7416="Gmail",COUNTIF($E$2:E7416,"Gmail"),"")</f>
        <v/>
      </c>
      <c r="J7416">
        <f>IF(E7416="Outlook",COUNTIF($E$2:E7416,"Outlook"),"")</f>
        <v/>
      </c>
      <c r="K7416">
        <f>IF(E7416="Domain",COUNTIF($E$2:E7416,"Domain"),"")</f>
        <v/>
      </c>
    </row>
    <row r="7417">
      <c r="A7417" s="2" t="n"/>
      <c r="B7417">
        <f>LOWER(TRIM(A7417))</f>
        <v/>
      </c>
      <c r="C7417">
        <f>IF(B7417="","",IFERROR(INDEX('Bad Patterns'!$A$2:$A$120,MATCH(1,INDEX(--ISNUMBER(SEARCH('Bad Patterns'!$A$2:$A$120,B7417)),0),0)),""))</f>
        <v/>
      </c>
      <c r="D7417">
        <f>IF(B7417="","",IF(C7417&lt;&gt;"","REMOVE","KEEP"))</f>
        <v/>
      </c>
      <c r="E7417">
        <f>IF(D7417&lt;&gt;"KEEP","",IF(RIGHT(B7417,10)="@gmail.com","Gmail",IF(OR(RIGHT(B7417,12)="@outlook.com",RIGHT(B7417,12)="@hotmail.com",RIGHT(B7417,9)="@live.com"),"Outlook","Domain")))</f>
        <v/>
      </c>
      <c r="F7417">
        <f>IF(B7417="","",IFERROR(RIGHT(B7417,LEN(B7417)-FIND("@",B7417)),""))</f>
        <v/>
      </c>
      <c r="G7417">
        <f>IF(D7417="KEEP",COUNTIF($D$2:D7417,"KEEP"),"")</f>
        <v/>
      </c>
      <c r="H7417">
        <f>IF(D7417="REMOVE",COUNTIF($D$2:D7417,"REMOVE"),"")</f>
        <v/>
      </c>
      <c r="I7417">
        <f>IF(E7417="Gmail",COUNTIF($E$2:E7417,"Gmail"),"")</f>
        <v/>
      </c>
      <c r="J7417">
        <f>IF(E7417="Outlook",COUNTIF($E$2:E7417,"Outlook"),"")</f>
        <v/>
      </c>
      <c r="K7417">
        <f>IF(E7417="Domain",COUNTIF($E$2:E7417,"Domain"),"")</f>
        <v/>
      </c>
    </row>
    <row r="7418">
      <c r="A7418" s="2" t="n"/>
      <c r="B7418">
        <f>LOWER(TRIM(A7418))</f>
        <v/>
      </c>
      <c r="C7418">
        <f>IF(B7418="","",IFERROR(INDEX('Bad Patterns'!$A$2:$A$120,MATCH(1,INDEX(--ISNUMBER(SEARCH('Bad Patterns'!$A$2:$A$120,B7418)),0),0)),""))</f>
        <v/>
      </c>
      <c r="D7418">
        <f>IF(B7418="","",IF(C7418&lt;&gt;"","REMOVE","KEEP"))</f>
        <v/>
      </c>
      <c r="E7418">
        <f>IF(D7418&lt;&gt;"KEEP","",IF(RIGHT(B7418,10)="@gmail.com","Gmail",IF(OR(RIGHT(B7418,12)="@outlook.com",RIGHT(B7418,12)="@hotmail.com",RIGHT(B7418,9)="@live.com"),"Outlook","Domain")))</f>
        <v/>
      </c>
      <c r="F7418">
        <f>IF(B7418="","",IFERROR(RIGHT(B7418,LEN(B7418)-FIND("@",B7418)),""))</f>
        <v/>
      </c>
      <c r="G7418">
        <f>IF(D7418="KEEP",COUNTIF($D$2:D7418,"KEEP"),"")</f>
        <v/>
      </c>
      <c r="H7418">
        <f>IF(D7418="REMOVE",COUNTIF($D$2:D7418,"REMOVE"),"")</f>
        <v/>
      </c>
      <c r="I7418">
        <f>IF(E7418="Gmail",COUNTIF($E$2:E7418,"Gmail"),"")</f>
        <v/>
      </c>
      <c r="J7418">
        <f>IF(E7418="Outlook",COUNTIF($E$2:E7418,"Outlook"),"")</f>
        <v/>
      </c>
      <c r="K7418">
        <f>IF(E7418="Domain",COUNTIF($E$2:E7418,"Domain"),"")</f>
        <v/>
      </c>
    </row>
    <row r="7419">
      <c r="A7419" s="2" t="n"/>
      <c r="B7419">
        <f>LOWER(TRIM(A7419))</f>
        <v/>
      </c>
      <c r="C7419">
        <f>IF(B7419="","",IFERROR(INDEX('Bad Patterns'!$A$2:$A$120,MATCH(1,INDEX(--ISNUMBER(SEARCH('Bad Patterns'!$A$2:$A$120,B7419)),0),0)),""))</f>
        <v/>
      </c>
      <c r="D7419">
        <f>IF(B7419="","",IF(C7419&lt;&gt;"","REMOVE","KEEP"))</f>
        <v/>
      </c>
      <c r="E7419">
        <f>IF(D7419&lt;&gt;"KEEP","",IF(RIGHT(B7419,10)="@gmail.com","Gmail",IF(OR(RIGHT(B7419,12)="@outlook.com",RIGHT(B7419,12)="@hotmail.com",RIGHT(B7419,9)="@live.com"),"Outlook","Domain")))</f>
        <v/>
      </c>
      <c r="F7419">
        <f>IF(B7419="","",IFERROR(RIGHT(B7419,LEN(B7419)-FIND("@",B7419)),""))</f>
        <v/>
      </c>
      <c r="G7419">
        <f>IF(D7419="KEEP",COUNTIF($D$2:D7419,"KEEP"),"")</f>
        <v/>
      </c>
      <c r="H7419">
        <f>IF(D7419="REMOVE",COUNTIF($D$2:D7419,"REMOVE"),"")</f>
        <v/>
      </c>
      <c r="I7419">
        <f>IF(E7419="Gmail",COUNTIF($E$2:E7419,"Gmail"),"")</f>
        <v/>
      </c>
      <c r="J7419">
        <f>IF(E7419="Outlook",COUNTIF($E$2:E7419,"Outlook"),"")</f>
        <v/>
      </c>
      <c r="K7419">
        <f>IF(E7419="Domain",COUNTIF($E$2:E7419,"Domain"),"")</f>
        <v/>
      </c>
    </row>
    <row r="7420">
      <c r="A7420" s="2" t="n"/>
      <c r="B7420">
        <f>LOWER(TRIM(A7420))</f>
        <v/>
      </c>
      <c r="C7420">
        <f>IF(B7420="","",IFERROR(INDEX('Bad Patterns'!$A$2:$A$120,MATCH(1,INDEX(--ISNUMBER(SEARCH('Bad Patterns'!$A$2:$A$120,B7420)),0),0)),""))</f>
        <v/>
      </c>
      <c r="D7420">
        <f>IF(B7420="","",IF(C7420&lt;&gt;"","REMOVE","KEEP"))</f>
        <v/>
      </c>
      <c r="E7420">
        <f>IF(D7420&lt;&gt;"KEEP","",IF(RIGHT(B7420,10)="@gmail.com","Gmail",IF(OR(RIGHT(B7420,12)="@outlook.com",RIGHT(B7420,12)="@hotmail.com",RIGHT(B7420,9)="@live.com"),"Outlook","Domain")))</f>
        <v/>
      </c>
      <c r="F7420">
        <f>IF(B7420="","",IFERROR(RIGHT(B7420,LEN(B7420)-FIND("@",B7420)),""))</f>
        <v/>
      </c>
      <c r="G7420">
        <f>IF(D7420="KEEP",COUNTIF($D$2:D7420,"KEEP"),"")</f>
        <v/>
      </c>
      <c r="H7420">
        <f>IF(D7420="REMOVE",COUNTIF($D$2:D7420,"REMOVE"),"")</f>
        <v/>
      </c>
      <c r="I7420">
        <f>IF(E7420="Gmail",COUNTIF($E$2:E7420,"Gmail"),"")</f>
        <v/>
      </c>
      <c r="J7420">
        <f>IF(E7420="Outlook",COUNTIF($E$2:E7420,"Outlook"),"")</f>
        <v/>
      </c>
      <c r="K7420">
        <f>IF(E7420="Domain",COUNTIF($E$2:E7420,"Domain"),"")</f>
        <v/>
      </c>
    </row>
    <row r="7421">
      <c r="A7421" s="2" t="n"/>
      <c r="B7421">
        <f>LOWER(TRIM(A7421))</f>
        <v/>
      </c>
      <c r="C7421">
        <f>IF(B7421="","",IFERROR(INDEX('Bad Patterns'!$A$2:$A$120,MATCH(1,INDEX(--ISNUMBER(SEARCH('Bad Patterns'!$A$2:$A$120,B7421)),0),0)),""))</f>
        <v/>
      </c>
      <c r="D7421">
        <f>IF(B7421="","",IF(C7421&lt;&gt;"","REMOVE","KEEP"))</f>
        <v/>
      </c>
      <c r="E7421">
        <f>IF(D7421&lt;&gt;"KEEP","",IF(RIGHT(B7421,10)="@gmail.com","Gmail",IF(OR(RIGHT(B7421,12)="@outlook.com",RIGHT(B7421,12)="@hotmail.com",RIGHT(B7421,9)="@live.com"),"Outlook","Domain")))</f>
        <v/>
      </c>
      <c r="F7421">
        <f>IF(B7421="","",IFERROR(RIGHT(B7421,LEN(B7421)-FIND("@",B7421)),""))</f>
        <v/>
      </c>
      <c r="G7421">
        <f>IF(D7421="KEEP",COUNTIF($D$2:D7421,"KEEP"),"")</f>
        <v/>
      </c>
      <c r="H7421">
        <f>IF(D7421="REMOVE",COUNTIF($D$2:D7421,"REMOVE"),"")</f>
        <v/>
      </c>
      <c r="I7421">
        <f>IF(E7421="Gmail",COUNTIF($E$2:E7421,"Gmail"),"")</f>
        <v/>
      </c>
      <c r="J7421">
        <f>IF(E7421="Outlook",COUNTIF($E$2:E7421,"Outlook"),"")</f>
        <v/>
      </c>
      <c r="K7421">
        <f>IF(E7421="Domain",COUNTIF($E$2:E7421,"Domain"),"")</f>
        <v/>
      </c>
    </row>
    <row r="7422">
      <c r="A7422" s="2" t="n"/>
      <c r="B7422">
        <f>LOWER(TRIM(A7422))</f>
        <v/>
      </c>
      <c r="C7422">
        <f>IF(B7422="","",IFERROR(INDEX('Bad Patterns'!$A$2:$A$120,MATCH(1,INDEX(--ISNUMBER(SEARCH('Bad Patterns'!$A$2:$A$120,B7422)),0),0)),""))</f>
        <v/>
      </c>
      <c r="D7422">
        <f>IF(B7422="","",IF(C7422&lt;&gt;"","REMOVE","KEEP"))</f>
        <v/>
      </c>
      <c r="E7422">
        <f>IF(D7422&lt;&gt;"KEEP","",IF(RIGHT(B7422,10)="@gmail.com","Gmail",IF(OR(RIGHT(B7422,12)="@outlook.com",RIGHT(B7422,12)="@hotmail.com",RIGHT(B7422,9)="@live.com"),"Outlook","Domain")))</f>
        <v/>
      </c>
      <c r="F7422">
        <f>IF(B7422="","",IFERROR(RIGHT(B7422,LEN(B7422)-FIND("@",B7422)),""))</f>
        <v/>
      </c>
      <c r="G7422">
        <f>IF(D7422="KEEP",COUNTIF($D$2:D7422,"KEEP"),"")</f>
        <v/>
      </c>
      <c r="H7422">
        <f>IF(D7422="REMOVE",COUNTIF($D$2:D7422,"REMOVE"),"")</f>
        <v/>
      </c>
      <c r="I7422">
        <f>IF(E7422="Gmail",COUNTIF($E$2:E7422,"Gmail"),"")</f>
        <v/>
      </c>
      <c r="J7422">
        <f>IF(E7422="Outlook",COUNTIF($E$2:E7422,"Outlook"),"")</f>
        <v/>
      </c>
      <c r="K7422">
        <f>IF(E7422="Domain",COUNTIF($E$2:E7422,"Domain"),"")</f>
        <v/>
      </c>
    </row>
    <row r="7423">
      <c r="A7423" s="2" t="n"/>
      <c r="B7423">
        <f>LOWER(TRIM(A7423))</f>
        <v/>
      </c>
      <c r="C7423">
        <f>IF(B7423="","",IFERROR(INDEX('Bad Patterns'!$A$2:$A$120,MATCH(1,INDEX(--ISNUMBER(SEARCH('Bad Patterns'!$A$2:$A$120,B7423)),0),0)),""))</f>
        <v/>
      </c>
      <c r="D7423">
        <f>IF(B7423="","",IF(C7423&lt;&gt;"","REMOVE","KEEP"))</f>
        <v/>
      </c>
      <c r="E7423">
        <f>IF(D7423&lt;&gt;"KEEP","",IF(RIGHT(B7423,10)="@gmail.com","Gmail",IF(OR(RIGHT(B7423,12)="@outlook.com",RIGHT(B7423,12)="@hotmail.com",RIGHT(B7423,9)="@live.com"),"Outlook","Domain")))</f>
        <v/>
      </c>
      <c r="F7423">
        <f>IF(B7423="","",IFERROR(RIGHT(B7423,LEN(B7423)-FIND("@",B7423)),""))</f>
        <v/>
      </c>
      <c r="G7423">
        <f>IF(D7423="KEEP",COUNTIF($D$2:D7423,"KEEP"),"")</f>
        <v/>
      </c>
      <c r="H7423">
        <f>IF(D7423="REMOVE",COUNTIF($D$2:D7423,"REMOVE"),"")</f>
        <v/>
      </c>
      <c r="I7423">
        <f>IF(E7423="Gmail",COUNTIF($E$2:E7423,"Gmail"),"")</f>
        <v/>
      </c>
      <c r="J7423">
        <f>IF(E7423="Outlook",COUNTIF($E$2:E7423,"Outlook"),"")</f>
        <v/>
      </c>
      <c r="K7423">
        <f>IF(E7423="Domain",COUNTIF($E$2:E7423,"Domain"),"")</f>
        <v/>
      </c>
    </row>
    <row r="7424">
      <c r="A7424" s="2" t="n"/>
      <c r="B7424">
        <f>LOWER(TRIM(A7424))</f>
        <v/>
      </c>
      <c r="C7424">
        <f>IF(B7424="","",IFERROR(INDEX('Bad Patterns'!$A$2:$A$120,MATCH(1,INDEX(--ISNUMBER(SEARCH('Bad Patterns'!$A$2:$A$120,B7424)),0),0)),""))</f>
        <v/>
      </c>
      <c r="D7424">
        <f>IF(B7424="","",IF(C7424&lt;&gt;"","REMOVE","KEEP"))</f>
        <v/>
      </c>
      <c r="E7424">
        <f>IF(D7424&lt;&gt;"KEEP","",IF(RIGHT(B7424,10)="@gmail.com","Gmail",IF(OR(RIGHT(B7424,12)="@outlook.com",RIGHT(B7424,12)="@hotmail.com",RIGHT(B7424,9)="@live.com"),"Outlook","Domain")))</f>
        <v/>
      </c>
      <c r="F7424">
        <f>IF(B7424="","",IFERROR(RIGHT(B7424,LEN(B7424)-FIND("@",B7424)),""))</f>
        <v/>
      </c>
      <c r="G7424">
        <f>IF(D7424="KEEP",COUNTIF($D$2:D7424,"KEEP"),"")</f>
        <v/>
      </c>
      <c r="H7424">
        <f>IF(D7424="REMOVE",COUNTIF($D$2:D7424,"REMOVE"),"")</f>
        <v/>
      </c>
      <c r="I7424">
        <f>IF(E7424="Gmail",COUNTIF($E$2:E7424,"Gmail"),"")</f>
        <v/>
      </c>
      <c r="J7424">
        <f>IF(E7424="Outlook",COUNTIF($E$2:E7424,"Outlook"),"")</f>
        <v/>
      </c>
      <c r="K7424">
        <f>IF(E7424="Domain",COUNTIF($E$2:E7424,"Domain"),"")</f>
        <v/>
      </c>
    </row>
    <row r="7425">
      <c r="A7425" s="2" t="n"/>
      <c r="B7425">
        <f>LOWER(TRIM(A7425))</f>
        <v/>
      </c>
      <c r="C7425">
        <f>IF(B7425="","",IFERROR(INDEX('Bad Patterns'!$A$2:$A$120,MATCH(1,INDEX(--ISNUMBER(SEARCH('Bad Patterns'!$A$2:$A$120,B7425)),0),0)),""))</f>
        <v/>
      </c>
      <c r="D7425">
        <f>IF(B7425="","",IF(C7425&lt;&gt;"","REMOVE","KEEP"))</f>
        <v/>
      </c>
      <c r="E7425">
        <f>IF(D7425&lt;&gt;"KEEP","",IF(RIGHT(B7425,10)="@gmail.com","Gmail",IF(OR(RIGHT(B7425,12)="@outlook.com",RIGHT(B7425,12)="@hotmail.com",RIGHT(B7425,9)="@live.com"),"Outlook","Domain")))</f>
        <v/>
      </c>
      <c r="F7425">
        <f>IF(B7425="","",IFERROR(RIGHT(B7425,LEN(B7425)-FIND("@",B7425)),""))</f>
        <v/>
      </c>
      <c r="G7425">
        <f>IF(D7425="KEEP",COUNTIF($D$2:D7425,"KEEP"),"")</f>
        <v/>
      </c>
      <c r="H7425">
        <f>IF(D7425="REMOVE",COUNTIF($D$2:D7425,"REMOVE"),"")</f>
        <v/>
      </c>
      <c r="I7425">
        <f>IF(E7425="Gmail",COUNTIF($E$2:E7425,"Gmail"),"")</f>
        <v/>
      </c>
      <c r="J7425">
        <f>IF(E7425="Outlook",COUNTIF($E$2:E7425,"Outlook"),"")</f>
        <v/>
      </c>
      <c r="K7425">
        <f>IF(E7425="Domain",COUNTIF($E$2:E7425,"Domain"),"")</f>
        <v/>
      </c>
    </row>
    <row r="7426">
      <c r="A7426" s="2" t="n"/>
      <c r="B7426">
        <f>LOWER(TRIM(A7426))</f>
        <v/>
      </c>
      <c r="C7426">
        <f>IF(B7426="","",IFERROR(INDEX('Bad Patterns'!$A$2:$A$120,MATCH(1,INDEX(--ISNUMBER(SEARCH('Bad Patterns'!$A$2:$A$120,B7426)),0),0)),""))</f>
        <v/>
      </c>
      <c r="D7426">
        <f>IF(B7426="","",IF(C7426&lt;&gt;"","REMOVE","KEEP"))</f>
        <v/>
      </c>
      <c r="E7426">
        <f>IF(D7426&lt;&gt;"KEEP","",IF(RIGHT(B7426,10)="@gmail.com","Gmail",IF(OR(RIGHT(B7426,12)="@outlook.com",RIGHT(B7426,12)="@hotmail.com",RIGHT(B7426,9)="@live.com"),"Outlook","Domain")))</f>
        <v/>
      </c>
      <c r="F7426">
        <f>IF(B7426="","",IFERROR(RIGHT(B7426,LEN(B7426)-FIND("@",B7426)),""))</f>
        <v/>
      </c>
      <c r="G7426">
        <f>IF(D7426="KEEP",COUNTIF($D$2:D7426,"KEEP"),"")</f>
        <v/>
      </c>
      <c r="H7426">
        <f>IF(D7426="REMOVE",COUNTIF($D$2:D7426,"REMOVE"),"")</f>
        <v/>
      </c>
      <c r="I7426">
        <f>IF(E7426="Gmail",COUNTIF($E$2:E7426,"Gmail"),"")</f>
        <v/>
      </c>
      <c r="J7426">
        <f>IF(E7426="Outlook",COUNTIF($E$2:E7426,"Outlook"),"")</f>
        <v/>
      </c>
      <c r="K7426">
        <f>IF(E7426="Domain",COUNTIF($E$2:E7426,"Domain"),"")</f>
        <v/>
      </c>
    </row>
    <row r="7427">
      <c r="A7427" s="2" t="n"/>
      <c r="B7427">
        <f>LOWER(TRIM(A7427))</f>
        <v/>
      </c>
      <c r="C7427">
        <f>IF(B7427="","",IFERROR(INDEX('Bad Patterns'!$A$2:$A$120,MATCH(1,INDEX(--ISNUMBER(SEARCH('Bad Patterns'!$A$2:$A$120,B7427)),0),0)),""))</f>
        <v/>
      </c>
      <c r="D7427">
        <f>IF(B7427="","",IF(C7427&lt;&gt;"","REMOVE","KEEP"))</f>
        <v/>
      </c>
      <c r="E7427">
        <f>IF(D7427&lt;&gt;"KEEP","",IF(RIGHT(B7427,10)="@gmail.com","Gmail",IF(OR(RIGHT(B7427,12)="@outlook.com",RIGHT(B7427,12)="@hotmail.com",RIGHT(B7427,9)="@live.com"),"Outlook","Domain")))</f>
        <v/>
      </c>
      <c r="F7427">
        <f>IF(B7427="","",IFERROR(RIGHT(B7427,LEN(B7427)-FIND("@",B7427)),""))</f>
        <v/>
      </c>
      <c r="G7427">
        <f>IF(D7427="KEEP",COUNTIF($D$2:D7427,"KEEP"),"")</f>
        <v/>
      </c>
      <c r="H7427">
        <f>IF(D7427="REMOVE",COUNTIF($D$2:D7427,"REMOVE"),"")</f>
        <v/>
      </c>
      <c r="I7427">
        <f>IF(E7427="Gmail",COUNTIF($E$2:E7427,"Gmail"),"")</f>
        <v/>
      </c>
      <c r="J7427">
        <f>IF(E7427="Outlook",COUNTIF($E$2:E7427,"Outlook"),"")</f>
        <v/>
      </c>
      <c r="K7427">
        <f>IF(E7427="Domain",COUNTIF($E$2:E7427,"Domain"),"")</f>
        <v/>
      </c>
    </row>
    <row r="7428">
      <c r="A7428" s="2" t="n"/>
      <c r="B7428">
        <f>LOWER(TRIM(A7428))</f>
        <v/>
      </c>
      <c r="C7428">
        <f>IF(B7428="","",IFERROR(INDEX('Bad Patterns'!$A$2:$A$120,MATCH(1,INDEX(--ISNUMBER(SEARCH('Bad Patterns'!$A$2:$A$120,B7428)),0),0)),""))</f>
        <v/>
      </c>
      <c r="D7428">
        <f>IF(B7428="","",IF(C7428&lt;&gt;"","REMOVE","KEEP"))</f>
        <v/>
      </c>
      <c r="E7428">
        <f>IF(D7428&lt;&gt;"KEEP","",IF(RIGHT(B7428,10)="@gmail.com","Gmail",IF(OR(RIGHT(B7428,12)="@outlook.com",RIGHT(B7428,12)="@hotmail.com",RIGHT(B7428,9)="@live.com"),"Outlook","Domain")))</f>
        <v/>
      </c>
      <c r="F7428">
        <f>IF(B7428="","",IFERROR(RIGHT(B7428,LEN(B7428)-FIND("@",B7428)),""))</f>
        <v/>
      </c>
      <c r="G7428">
        <f>IF(D7428="KEEP",COUNTIF($D$2:D7428,"KEEP"),"")</f>
        <v/>
      </c>
      <c r="H7428">
        <f>IF(D7428="REMOVE",COUNTIF($D$2:D7428,"REMOVE"),"")</f>
        <v/>
      </c>
      <c r="I7428">
        <f>IF(E7428="Gmail",COUNTIF($E$2:E7428,"Gmail"),"")</f>
        <v/>
      </c>
      <c r="J7428">
        <f>IF(E7428="Outlook",COUNTIF($E$2:E7428,"Outlook"),"")</f>
        <v/>
      </c>
      <c r="K7428">
        <f>IF(E7428="Domain",COUNTIF($E$2:E7428,"Domain"),"")</f>
        <v/>
      </c>
    </row>
    <row r="7429">
      <c r="A7429" s="2" t="n"/>
      <c r="B7429">
        <f>LOWER(TRIM(A7429))</f>
        <v/>
      </c>
      <c r="C7429">
        <f>IF(B7429="","",IFERROR(INDEX('Bad Patterns'!$A$2:$A$120,MATCH(1,INDEX(--ISNUMBER(SEARCH('Bad Patterns'!$A$2:$A$120,B7429)),0),0)),""))</f>
        <v/>
      </c>
      <c r="D7429">
        <f>IF(B7429="","",IF(C7429&lt;&gt;"","REMOVE","KEEP"))</f>
        <v/>
      </c>
      <c r="E7429">
        <f>IF(D7429&lt;&gt;"KEEP","",IF(RIGHT(B7429,10)="@gmail.com","Gmail",IF(OR(RIGHT(B7429,12)="@outlook.com",RIGHT(B7429,12)="@hotmail.com",RIGHT(B7429,9)="@live.com"),"Outlook","Domain")))</f>
        <v/>
      </c>
      <c r="F7429">
        <f>IF(B7429="","",IFERROR(RIGHT(B7429,LEN(B7429)-FIND("@",B7429)),""))</f>
        <v/>
      </c>
      <c r="G7429">
        <f>IF(D7429="KEEP",COUNTIF($D$2:D7429,"KEEP"),"")</f>
        <v/>
      </c>
      <c r="H7429">
        <f>IF(D7429="REMOVE",COUNTIF($D$2:D7429,"REMOVE"),"")</f>
        <v/>
      </c>
      <c r="I7429">
        <f>IF(E7429="Gmail",COUNTIF($E$2:E7429,"Gmail"),"")</f>
        <v/>
      </c>
      <c r="J7429">
        <f>IF(E7429="Outlook",COUNTIF($E$2:E7429,"Outlook"),"")</f>
        <v/>
      </c>
      <c r="K7429">
        <f>IF(E7429="Domain",COUNTIF($E$2:E7429,"Domain"),"")</f>
        <v/>
      </c>
    </row>
    <row r="7430">
      <c r="A7430" s="2" t="n"/>
      <c r="B7430">
        <f>LOWER(TRIM(A7430))</f>
        <v/>
      </c>
      <c r="C7430">
        <f>IF(B7430="","",IFERROR(INDEX('Bad Patterns'!$A$2:$A$120,MATCH(1,INDEX(--ISNUMBER(SEARCH('Bad Patterns'!$A$2:$A$120,B7430)),0),0)),""))</f>
        <v/>
      </c>
      <c r="D7430">
        <f>IF(B7430="","",IF(C7430&lt;&gt;"","REMOVE","KEEP"))</f>
        <v/>
      </c>
      <c r="E7430">
        <f>IF(D7430&lt;&gt;"KEEP","",IF(RIGHT(B7430,10)="@gmail.com","Gmail",IF(OR(RIGHT(B7430,12)="@outlook.com",RIGHT(B7430,12)="@hotmail.com",RIGHT(B7430,9)="@live.com"),"Outlook","Domain")))</f>
        <v/>
      </c>
      <c r="F7430">
        <f>IF(B7430="","",IFERROR(RIGHT(B7430,LEN(B7430)-FIND("@",B7430)),""))</f>
        <v/>
      </c>
      <c r="G7430">
        <f>IF(D7430="KEEP",COUNTIF($D$2:D7430,"KEEP"),"")</f>
        <v/>
      </c>
      <c r="H7430">
        <f>IF(D7430="REMOVE",COUNTIF($D$2:D7430,"REMOVE"),"")</f>
        <v/>
      </c>
      <c r="I7430">
        <f>IF(E7430="Gmail",COUNTIF($E$2:E7430,"Gmail"),"")</f>
        <v/>
      </c>
      <c r="J7430">
        <f>IF(E7430="Outlook",COUNTIF($E$2:E7430,"Outlook"),"")</f>
        <v/>
      </c>
      <c r="K7430">
        <f>IF(E7430="Domain",COUNTIF($E$2:E7430,"Domain"),"")</f>
        <v/>
      </c>
    </row>
    <row r="7431">
      <c r="A7431" s="2" t="n"/>
      <c r="B7431">
        <f>LOWER(TRIM(A7431))</f>
        <v/>
      </c>
      <c r="C7431">
        <f>IF(B7431="","",IFERROR(INDEX('Bad Patterns'!$A$2:$A$120,MATCH(1,INDEX(--ISNUMBER(SEARCH('Bad Patterns'!$A$2:$A$120,B7431)),0),0)),""))</f>
        <v/>
      </c>
      <c r="D7431">
        <f>IF(B7431="","",IF(C7431&lt;&gt;"","REMOVE","KEEP"))</f>
        <v/>
      </c>
      <c r="E7431">
        <f>IF(D7431&lt;&gt;"KEEP","",IF(RIGHT(B7431,10)="@gmail.com","Gmail",IF(OR(RIGHT(B7431,12)="@outlook.com",RIGHT(B7431,12)="@hotmail.com",RIGHT(B7431,9)="@live.com"),"Outlook","Domain")))</f>
        <v/>
      </c>
      <c r="F7431">
        <f>IF(B7431="","",IFERROR(RIGHT(B7431,LEN(B7431)-FIND("@",B7431)),""))</f>
        <v/>
      </c>
      <c r="G7431">
        <f>IF(D7431="KEEP",COUNTIF($D$2:D7431,"KEEP"),"")</f>
        <v/>
      </c>
      <c r="H7431">
        <f>IF(D7431="REMOVE",COUNTIF($D$2:D7431,"REMOVE"),"")</f>
        <v/>
      </c>
      <c r="I7431">
        <f>IF(E7431="Gmail",COUNTIF($E$2:E7431,"Gmail"),"")</f>
        <v/>
      </c>
      <c r="J7431">
        <f>IF(E7431="Outlook",COUNTIF($E$2:E7431,"Outlook"),"")</f>
        <v/>
      </c>
      <c r="K7431">
        <f>IF(E7431="Domain",COUNTIF($E$2:E7431,"Domain"),"")</f>
        <v/>
      </c>
    </row>
    <row r="7432">
      <c r="A7432" s="2" t="n"/>
      <c r="B7432">
        <f>LOWER(TRIM(A7432))</f>
        <v/>
      </c>
      <c r="C7432">
        <f>IF(B7432="","",IFERROR(INDEX('Bad Patterns'!$A$2:$A$120,MATCH(1,INDEX(--ISNUMBER(SEARCH('Bad Patterns'!$A$2:$A$120,B7432)),0),0)),""))</f>
        <v/>
      </c>
      <c r="D7432">
        <f>IF(B7432="","",IF(C7432&lt;&gt;"","REMOVE","KEEP"))</f>
        <v/>
      </c>
      <c r="E7432">
        <f>IF(D7432&lt;&gt;"KEEP","",IF(RIGHT(B7432,10)="@gmail.com","Gmail",IF(OR(RIGHT(B7432,12)="@outlook.com",RIGHT(B7432,12)="@hotmail.com",RIGHT(B7432,9)="@live.com"),"Outlook","Domain")))</f>
        <v/>
      </c>
      <c r="F7432">
        <f>IF(B7432="","",IFERROR(RIGHT(B7432,LEN(B7432)-FIND("@",B7432)),""))</f>
        <v/>
      </c>
      <c r="G7432">
        <f>IF(D7432="KEEP",COUNTIF($D$2:D7432,"KEEP"),"")</f>
        <v/>
      </c>
      <c r="H7432">
        <f>IF(D7432="REMOVE",COUNTIF($D$2:D7432,"REMOVE"),"")</f>
        <v/>
      </c>
      <c r="I7432">
        <f>IF(E7432="Gmail",COUNTIF($E$2:E7432,"Gmail"),"")</f>
        <v/>
      </c>
      <c r="J7432">
        <f>IF(E7432="Outlook",COUNTIF($E$2:E7432,"Outlook"),"")</f>
        <v/>
      </c>
      <c r="K7432">
        <f>IF(E7432="Domain",COUNTIF($E$2:E7432,"Domain"),"")</f>
        <v/>
      </c>
    </row>
    <row r="7433">
      <c r="A7433" s="2" t="n"/>
      <c r="B7433">
        <f>LOWER(TRIM(A7433))</f>
        <v/>
      </c>
      <c r="C7433">
        <f>IF(B7433="","",IFERROR(INDEX('Bad Patterns'!$A$2:$A$120,MATCH(1,INDEX(--ISNUMBER(SEARCH('Bad Patterns'!$A$2:$A$120,B7433)),0),0)),""))</f>
        <v/>
      </c>
      <c r="D7433">
        <f>IF(B7433="","",IF(C7433&lt;&gt;"","REMOVE","KEEP"))</f>
        <v/>
      </c>
      <c r="E7433">
        <f>IF(D7433&lt;&gt;"KEEP","",IF(RIGHT(B7433,10)="@gmail.com","Gmail",IF(OR(RIGHT(B7433,12)="@outlook.com",RIGHT(B7433,12)="@hotmail.com",RIGHT(B7433,9)="@live.com"),"Outlook","Domain")))</f>
        <v/>
      </c>
      <c r="F7433">
        <f>IF(B7433="","",IFERROR(RIGHT(B7433,LEN(B7433)-FIND("@",B7433)),""))</f>
        <v/>
      </c>
      <c r="G7433">
        <f>IF(D7433="KEEP",COUNTIF($D$2:D7433,"KEEP"),"")</f>
        <v/>
      </c>
      <c r="H7433">
        <f>IF(D7433="REMOVE",COUNTIF($D$2:D7433,"REMOVE"),"")</f>
        <v/>
      </c>
      <c r="I7433">
        <f>IF(E7433="Gmail",COUNTIF($E$2:E7433,"Gmail"),"")</f>
        <v/>
      </c>
      <c r="J7433">
        <f>IF(E7433="Outlook",COUNTIF($E$2:E7433,"Outlook"),"")</f>
        <v/>
      </c>
      <c r="K7433">
        <f>IF(E7433="Domain",COUNTIF($E$2:E7433,"Domain"),"")</f>
        <v/>
      </c>
    </row>
    <row r="7434">
      <c r="A7434" s="2" t="n"/>
      <c r="B7434">
        <f>LOWER(TRIM(A7434))</f>
        <v/>
      </c>
      <c r="C7434">
        <f>IF(B7434="","",IFERROR(INDEX('Bad Patterns'!$A$2:$A$120,MATCH(1,INDEX(--ISNUMBER(SEARCH('Bad Patterns'!$A$2:$A$120,B7434)),0),0)),""))</f>
        <v/>
      </c>
      <c r="D7434">
        <f>IF(B7434="","",IF(C7434&lt;&gt;"","REMOVE","KEEP"))</f>
        <v/>
      </c>
      <c r="E7434">
        <f>IF(D7434&lt;&gt;"KEEP","",IF(RIGHT(B7434,10)="@gmail.com","Gmail",IF(OR(RIGHT(B7434,12)="@outlook.com",RIGHT(B7434,12)="@hotmail.com",RIGHT(B7434,9)="@live.com"),"Outlook","Domain")))</f>
        <v/>
      </c>
      <c r="F7434">
        <f>IF(B7434="","",IFERROR(RIGHT(B7434,LEN(B7434)-FIND("@",B7434)),""))</f>
        <v/>
      </c>
      <c r="G7434">
        <f>IF(D7434="KEEP",COUNTIF($D$2:D7434,"KEEP"),"")</f>
        <v/>
      </c>
      <c r="H7434">
        <f>IF(D7434="REMOVE",COUNTIF($D$2:D7434,"REMOVE"),"")</f>
        <v/>
      </c>
      <c r="I7434">
        <f>IF(E7434="Gmail",COUNTIF($E$2:E7434,"Gmail"),"")</f>
        <v/>
      </c>
      <c r="J7434">
        <f>IF(E7434="Outlook",COUNTIF($E$2:E7434,"Outlook"),"")</f>
        <v/>
      </c>
      <c r="K7434">
        <f>IF(E7434="Domain",COUNTIF($E$2:E7434,"Domain"),"")</f>
        <v/>
      </c>
    </row>
    <row r="7435">
      <c r="A7435" s="2" t="n"/>
      <c r="B7435">
        <f>LOWER(TRIM(A7435))</f>
        <v/>
      </c>
      <c r="C7435">
        <f>IF(B7435="","",IFERROR(INDEX('Bad Patterns'!$A$2:$A$120,MATCH(1,INDEX(--ISNUMBER(SEARCH('Bad Patterns'!$A$2:$A$120,B7435)),0),0)),""))</f>
        <v/>
      </c>
      <c r="D7435">
        <f>IF(B7435="","",IF(C7435&lt;&gt;"","REMOVE","KEEP"))</f>
        <v/>
      </c>
      <c r="E7435">
        <f>IF(D7435&lt;&gt;"KEEP","",IF(RIGHT(B7435,10)="@gmail.com","Gmail",IF(OR(RIGHT(B7435,12)="@outlook.com",RIGHT(B7435,12)="@hotmail.com",RIGHT(B7435,9)="@live.com"),"Outlook","Domain")))</f>
        <v/>
      </c>
      <c r="F7435">
        <f>IF(B7435="","",IFERROR(RIGHT(B7435,LEN(B7435)-FIND("@",B7435)),""))</f>
        <v/>
      </c>
      <c r="G7435">
        <f>IF(D7435="KEEP",COUNTIF($D$2:D7435,"KEEP"),"")</f>
        <v/>
      </c>
      <c r="H7435">
        <f>IF(D7435="REMOVE",COUNTIF($D$2:D7435,"REMOVE"),"")</f>
        <v/>
      </c>
      <c r="I7435">
        <f>IF(E7435="Gmail",COUNTIF($E$2:E7435,"Gmail"),"")</f>
        <v/>
      </c>
      <c r="J7435">
        <f>IF(E7435="Outlook",COUNTIF($E$2:E7435,"Outlook"),"")</f>
        <v/>
      </c>
      <c r="K7435">
        <f>IF(E7435="Domain",COUNTIF($E$2:E7435,"Domain"),"")</f>
        <v/>
      </c>
    </row>
    <row r="7436">
      <c r="A7436" s="2" t="n"/>
      <c r="B7436">
        <f>LOWER(TRIM(A7436))</f>
        <v/>
      </c>
      <c r="C7436">
        <f>IF(B7436="","",IFERROR(INDEX('Bad Patterns'!$A$2:$A$120,MATCH(1,INDEX(--ISNUMBER(SEARCH('Bad Patterns'!$A$2:$A$120,B7436)),0),0)),""))</f>
        <v/>
      </c>
      <c r="D7436">
        <f>IF(B7436="","",IF(C7436&lt;&gt;"","REMOVE","KEEP"))</f>
        <v/>
      </c>
      <c r="E7436">
        <f>IF(D7436&lt;&gt;"KEEP","",IF(RIGHT(B7436,10)="@gmail.com","Gmail",IF(OR(RIGHT(B7436,12)="@outlook.com",RIGHT(B7436,12)="@hotmail.com",RIGHT(B7436,9)="@live.com"),"Outlook","Domain")))</f>
        <v/>
      </c>
      <c r="F7436">
        <f>IF(B7436="","",IFERROR(RIGHT(B7436,LEN(B7436)-FIND("@",B7436)),""))</f>
        <v/>
      </c>
      <c r="G7436">
        <f>IF(D7436="KEEP",COUNTIF($D$2:D7436,"KEEP"),"")</f>
        <v/>
      </c>
      <c r="H7436">
        <f>IF(D7436="REMOVE",COUNTIF($D$2:D7436,"REMOVE"),"")</f>
        <v/>
      </c>
      <c r="I7436">
        <f>IF(E7436="Gmail",COUNTIF($E$2:E7436,"Gmail"),"")</f>
        <v/>
      </c>
      <c r="J7436">
        <f>IF(E7436="Outlook",COUNTIF($E$2:E7436,"Outlook"),"")</f>
        <v/>
      </c>
      <c r="K7436">
        <f>IF(E7436="Domain",COUNTIF($E$2:E7436,"Domain"),"")</f>
        <v/>
      </c>
    </row>
    <row r="7437">
      <c r="A7437" s="2" t="n"/>
      <c r="B7437">
        <f>LOWER(TRIM(A7437))</f>
        <v/>
      </c>
      <c r="C7437">
        <f>IF(B7437="","",IFERROR(INDEX('Bad Patterns'!$A$2:$A$120,MATCH(1,INDEX(--ISNUMBER(SEARCH('Bad Patterns'!$A$2:$A$120,B7437)),0),0)),""))</f>
        <v/>
      </c>
      <c r="D7437">
        <f>IF(B7437="","",IF(C7437&lt;&gt;"","REMOVE","KEEP"))</f>
        <v/>
      </c>
      <c r="E7437">
        <f>IF(D7437&lt;&gt;"KEEP","",IF(RIGHT(B7437,10)="@gmail.com","Gmail",IF(OR(RIGHT(B7437,12)="@outlook.com",RIGHT(B7437,12)="@hotmail.com",RIGHT(B7437,9)="@live.com"),"Outlook","Domain")))</f>
        <v/>
      </c>
      <c r="F7437">
        <f>IF(B7437="","",IFERROR(RIGHT(B7437,LEN(B7437)-FIND("@",B7437)),""))</f>
        <v/>
      </c>
      <c r="G7437">
        <f>IF(D7437="KEEP",COUNTIF($D$2:D7437,"KEEP"),"")</f>
        <v/>
      </c>
      <c r="H7437">
        <f>IF(D7437="REMOVE",COUNTIF($D$2:D7437,"REMOVE"),"")</f>
        <v/>
      </c>
      <c r="I7437">
        <f>IF(E7437="Gmail",COUNTIF($E$2:E7437,"Gmail"),"")</f>
        <v/>
      </c>
      <c r="J7437">
        <f>IF(E7437="Outlook",COUNTIF($E$2:E7437,"Outlook"),"")</f>
        <v/>
      </c>
      <c r="K7437">
        <f>IF(E7437="Domain",COUNTIF($E$2:E7437,"Domain"),"")</f>
        <v/>
      </c>
    </row>
    <row r="7438">
      <c r="A7438" s="2" t="n"/>
      <c r="B7438">
        <f>LOWER(TRIM(A7438))</f>
        <v/>
      </c>
      <c r="C7438">
        <f>IF(B7438="","",IFERROR(INDEX('Bad Patterns'!$A$2:$A$120,MATCH(1,INDEX(--ISNUMBER(SEARCH('Bad Patterns'!$A$2:$A$120,B7438)),0),0)),""))</f>
        <v/>
      </c>
      <c r="D7438">
        <f>IF(B7438="","",IF(C7438&lt;&gt;"","REMOVE","KEEP"))</f>
        <v/>
      </c>
      <c r="E7438">
        <f>IF(D7438&lt;&gt;"KEEP","",IF(RIGHT(B7438,10)="@gmail.com","Gmail",IF(OR(RIGHT(B7438,12)="@outlook.com",RIGHT(B7438,12)="@hotmail.com",RIGHT(B7438,9)="@live.com"),"Outlook","Domain")))</f>
        <v/>
      </c>
      <c r="F7438">
        <f>IF(B7438="","",IFERROR(RIGHT(B7438,LEN(B7438)-FIND("@",B7438)),""))</f>
        <v/>
      </c>
      <c r="G7438">
        <f>IF(D7438="KEEP",COUNTIF($D$2:D7438,"KEEP"),"")</f>
        <v/>
      </c>
      <c r="H7438">
        <f>IF(D7438="REMOVE",COUNTIF($D$2:D7438,"REMOVE"),"")</f>
        <v/>
      </c>
      <c r="I7438">
        <f>IF(E7438="Gmail",COUNTIF($E$2:E7438,"Gmail"),"")</f>
        <v/>
      </c>
      <c r="J7438">
        <f>IF(E7438="Outlook",COUNTIF($E$2:E7438,"Outlook"),"")</f>
        <v/>
      </c>
      <c r="K7438">
        <f>IF(E7438="Domain",COUNTIF($E$2:E7438,"Domain"),"")</f>
        <v/>
      </c>
    </row>
    <row r="7439">
      <c r="A7439" s="2" t="n"/>
      <c r="B7439">
        <f>LOWER(TRIM(A7439))</f>
        <v/>
      </c>
      <c r="C7439">
        <f>IF(B7439="","",IFERROR(INDEX('Bad Patterns'!$A$2:$A$120,MATCH(1,INDEX(--ISNUMBER(SEARCH('Bad Patterns'!$A$2:$A$120,B7439)),0),0)),""))</f>
        <v/>
      </c>
      <c r="D7439">
        <f>IF(B7439="","",IF(C7439&lt;&gt;"","REMOVE","KEEP"))</f>
        <v/>
      </c>
      <c r="E7439">
        <f>IF(D7439&lt;&gt;"KEEP","",IF(RIGHT(B7439,10)="@gmail.com","Gmail",IF(OR(RIGHT(B7439,12)="@outlook.com",RIGHT(B7439,12)="@hotmail.com",RIGHT(B7439,9)="@live.com"),"Outlook","Domain")))</f>
        <v/>
      </c>
      <c r="F7439">
        <f>IF(B7439="","",IFERROR(RIGHT(B7439,LEN(B7439)-FIND("@",B7439)),""))</f>
        <v/>
      </c>
      <c r="G7439">
        <f>IF(D7439="KEEP",COUNTIF($D$2:D7439,"KEEP"),"")</f>
        <v/>
      </c>
      <c r="H7439">
        <f>IF(D7439="REMOVE",COUNTIF($D$2:D7439,"REMOVE"),"")</f>
        <v/>
      </c>
      <c r="I7439">
        <f>IF(E7439="Gmail",COUNTIF($E$2:E7439,"Gmail"),"")</f>
        <v/>
      </c>
      <c r="J7439">
        <f>IF(E7439="Outlook",COUNTIF($E$2:E7439,"Outlook"),"")</f>
        <v/>
      </c>
      <c r="K7439">
        <f>IF(E7439="Domain",COUNTIF($E$2:E7439,"Domain"),"")</f>
        <v/>
      </c>
    </row>
    <row r="7440">
      <c r="A7440" s="2" t="n"/>
      <c r="B7440">
        <f>LOWER(TRIM(A7440))</f>
        <v/>
      </c>
      <c r="C7440">
        <f>IF(B7440="","",IFERROR(INDEX('Bad Patterns'!$A$2:$A$120,MATCH(1,INDEX(--ISNUMBER(SEARCH('Bad Patterns'!$A$2:$A$120,B7440)),0),0)),""))</f>
        <v/>
      </c>
      <c r="D7440">
        <f>IF(B7440="","",IF(C7440&lt;&gt;"","REMOVE","KEEP"))</f>
        <v/>
      </c>
      <c r="E7440">
        <f>IF(D7440&lt;&gt;"KEEP","",IF(RIGHT(B7440,10)="@gmail.com","Gmail",IF(OR(RIGHT(B7440,12)="@outlook.com",RIGHT(B7440,12)="@hotmail.com",RIGHT(B7440,9)="@live.com"),"Outlook","Domain")))</f>
        <v/>
      </c>
      <c r="F7440">
        <f>IF(B7440="","",IFERROR(RIGHT(B7440,LEN(B7440)-FIND("@",B7440)),""))</f>
        <v/>
      </c>
      <c r="G7440">
        <f>IF(D7440="KEEP",COUNTIF($D$2:D7440,"KEEP"),"")</f>
        <v/>
      </c>
      <c r="H7440">
        <f>IF(D7440="REMOVE",COUNTIF($D$2:D7440,"REMOVE"),"")</f>
        <v/>
      </c>
      <c r="I7440">
        <f>IF(E7440="Gmail",COUNTIF($E$2:E7440,"Gmail"),"")</f>
        <v/>
      </c>
      <c r="J7440">
        <f>IF(E7440="Outlook",COUNTIF($E$2:E7440,"Outlook"),"")</f>
        <v/>
      </c>
      <c r="K7440">
        <f>IF(E7440="Domain",COUNTIF($E$2:E7440,"Domain"),"")</f>
        <v/>
      </c>
    </row>
    <row r="7441">
      <c r="A7441" s="2" t="n"/>
      <c r="B7441">
        <f>LOWER(TRIM(A7441))</f>
        <v/>
      </c>
      <c r="C7441">
        <f>IF(B7441="","",IFERROR(INDEX('Bad Patterns'!$A$2:$A$120,MATCH(1,INDEX(--ISNUMBER(SEARCH('Bad Patterns'!$A$2:$A$120,B7441)),0),0)),""))</f>
        <v/>
      </c>
      <c r="D7441">
        <f>IF(B7441="","",IF(C7441&lt;&gt;"","REMOVE","KEEP"))</f>
        <v/>
      </c>
      <c r="E7441">
        <f>IF(D7441&lt;&gt;"KEEP","",IF(RIGHT(B7441,10)="@gmail.com","Gmail",IF(OR(RIGHT(B7441,12)="@outlook.com",RIGHT(B7441,12)="@hotmail.com",RIGHT(B7441,9)="@live.com"),"Outlook","Domain")))</f>
        <v/>
      </c>
      <c r="F7441">
        <f>IF(B7441="","",IFERROR(RIGHT(B7441,LEN(B7441)-FIND("@",B7441)),""))</f>
        <v/>
      </c>
      <c r="G7441">
        <f>IF(D7441="KEEP",COUNTIF($D$2:D7441,"KEEP"),"")</f>
        <v/>
      </c>
      <c r="H7441">
        <f>IF(D7441="REMOVE",COUNTIF($D$2:D7441,"REMOVE"),"")</f>
        <v/>
      </c>
      <c r="I7441">
        <f>IF(E7441="Gmail",COUNTIF($E$2:E7441,"Gmail"),"")</f>
        <v/>
      </c>
      <c r="J7441">
        <f>IF(E7441="Outlook",COUNTIF($E$2:E7441,"Outlook"),"")</f>
        <v/>
      </c>
      <c r="K7441">
        <f>IF(E7441="Domain",COUNTIF($E$2:E7441,"Domain"),"")</f>
        <v/>
      </c>
    </row>
    <row r="7442">
      <c r="A7442" s="2" t="n"/>
      <c r="B7442">
        <f>LOWER(TRIM(A7442))</f>
        <v/>
      </c>
      <c r="C7442">
        <f>IF(B7442="","",IFERROR(INDEX('Bad Patterns'!$A$2:$A$120,MATCH(1,INDEX(--ISNUMBER(SEARCH('Bad Patterns'!$A$2:$A$120,B7442)),0),0)),""))</f>
        <v/>
      </c>
      <c r="D7442">
        <f>IF(B7442="","",IF(C7442&lt;&gt;"","REMOVE","KEEP"))</f>
        <v/>
      </c>
      <c r="E7442">
        <f>IF(D7442&lt;&gt;"KEEP","",IF(RIGHT(B7442,10)="@gmail.com","Gmail",IF(OR(RIGHT(B7442,12)="@outlook.com",RIGHT(B7442,12)="@hotmail.com",RIGHT(B7442,9)="@live.com"),"Outlook","Domain")))</f>
        <v/>
      </c>
      <c r="F7442">
        <f>IF(B7442="","",IFERROR(RIGHT(B7442,LEN(B7442)-FIND("@",B7442)),""))</f>
        <v/>
      </c>
      <c r="G7442">
        <f>IF(D7442="KEEP",COUNTIF($D$2:D7442,"KEEP"),"")</f>
        <v/>
      </c>
      <c r="H7442">
        <f>IF(D7442="REMOVE",COUNTIF($D$2:D7442,"REMOVE"),"")</f>
        <v/>
      </c>
      <c r="I7442">
        <f>IF(E7442="Gmail",COUNTIF($E$2:E7442,"Gmail"),"")</f>
        <v/>
      </c>
      <c r="J7442">
        <f>IF(E7442="Outlook",COUNTIF($E$2:E7442,"Outlook"),"")</f>
        <v/>
      </c>
      <c r="K7442">
        <f>IF(E7442="Domain",COUNTIF($E$2:E7442,"Domain"),"")</f>
        <v/>
      </c>
    </row>
    <row r="7443">
      <c r="A7443" s="2" t="n"/>
      <c r="B7443">
        <f>LOWER(TRIM(A7443))</f>
        <v/>
      </c>
      <c r="C7443">
        <f>IF(B7443="","",IFERROR(INDEX('Bad Patterns'!$A$2:$A$120,MATCH(1,INDEX(--ISNUMBER(SEARCH('Bad Patterns'!$A$2:$A$120,B7443)),0),0)),""))</f>
        <v/>
      </c>
      <c r="D7443">
        <f>IF(B7443="","",IF(C7443&lt;&gt;"","REMOVE","KEEP"))</f>
        <v/>
      </c>
      <c r="E7443">
        <f>IF(D7443&lt;&gt;"KEEP","",IF(RIGHT(B7443,10)="@gmail.com","Gmail",IF(OR(RIGHT(B7443,12)="@outlook.com",RIGHT(B7443,12)="@hotmail.com",RIGHT(B7443,9)="@live.com"),"Outlook","Domain")))</f>
        <v/>
      </c>
      <c r="F7443">
        <f>IF(B7443="","",IFERROR(RIGHT(B7443,LEN(B7443)-FIND("@",B7443)),""))</f>
        <v/>
      </c>
      <c r="G7443">
        <f>IF(D7443="KEEP",COUNTIF($D$2:D7443,"KEEP"),"")</f>
        <v/>
      </c>
      <c r="H7443">
        <f>IF(D7443="REMOVE",COUNTIF($D$2:D7443,"REMOVE"),"")</f>
        <v/>
      </c>
      <c r="I7443">
        <f>IF(E7443="Gmail",COUNTIF($E$2:E7443,"Gmail"),"")</f>
        <v/>
      </c>
      <c r="J7443">
        <f>IF(E7443="Outlook",COUNTIF($E$2:E7443,"Outlook"),"")</f>
        <v/>
      </c>
      <c r="K7443">
        <f>IF(E7443="Domain",COUNTIF($E$2:E7443,"Domain"),"")</f>
        <v/>
      </c>
    </row>
    <row r="7444">
      <c r="A7444" s="2" t="n"/>
      <c r="B7444">
        <f>LOWER(TRIM(A7444))</f>
        <v/>
      </c>
      <c r="C7444">
        <f>IF(B7444="","",IFERROR(INDEX('Bad Patterns'!$A$2:$A$120,MATCH(1,INDEX(--ISNUMBER(SEARCH('Bad Patterns'!$A$2:$A$120,B7444)),0),0)),""))</f>
        <v/>
      </c>
      <c r="D7444">
        <f>IF(B7444="","",IF(C7444&lt;&gt;"","REMOVE","KEEP"))</f>
        <v/>
      </c>
      <c r="E7444">
        <f>IF(D7444&lt;&gt;"KEEP","",IF(RIGHT(B7444,10)="@gmail.com","Gmail",IF(OR(RIGHT(B7444,12)="@outlook.com",RIGHT(B7444,12)="@hotmail.com",RIGHT(B7444,9)="@live.com"),"Outlook","Domain")))</f>
        <v/>
      </c>
      <c r="F7444">
        <f>IF(B7444="","",IFERROR(RIGHT(B7444,LEN(B7444)-FIND("@",B7444)),""))</f>
        <v/>
      </c>
      <c r="G7444">
        <f>IF(D7444="KEEP",COUNTIF($D$2:D7444,"KEEP"),"")</f>
        <v/>
      </c>
      <c r="H7444">
        <f>IF(D7444="REMOVE",COUNTIF($D$2:D7444,"REMOVE"),"")</f>
        <v/>
      </c>
      <c r="I7444">
        <f>IF(E7444="Gmail",COUNTIF($E$2:E7444,"Gmail"),"")</f>
        <v/>
      </c>
      <c r="J7444">
        <f>IF(E7444="Outlook",COUNTIF($E$2:E7444,"Outlook"),"")</f>
        <v/>
      </c>
      <c r="K7444">
        <f>IF(E7444="Domain",COUNTIF($E$2:E7444,"Domain"),"")</f>
        <v/>
      </c>
    </row>
    <row r="7445">
      <c r="A7445" s="2" t="n"/>
      <c r="B7445">
        <f>LOWER(TRIM(A7445))</f>
        <v/>
      </c>
      <c r="C7445">
        <f>IF(B7445="","",IFERROR(INDEX('Bad Patterns'!$A$2:$A$120,MATCH(1,INDEX(--ISNUMBER(SEARCH('Bad Patterns'!$A$2:$A$120,B7445)),0),0)),""))</f>
        <v/>
      </c>
      <c r="D7445">
        <f>IF(B7445="","",IF(C7445&lt;&gt;"","REMOVE","KEEP"))</f>
        <v/>
      </c>
      <c r="E7445">
        <f>IF(D7445&lt;&gt;"KEEP","",IF(RIGHT(B7445,10)="@gmail.com","Gmail",IF(OR(RIGHT(B7445,12)="@outlook.com",RIGHT(B7445,12)="@hotmail.com",RIGHT(B7445,9)="@live.com"),"Outlook","Domain")))</f>
        <v/>
      </c>
      <c r="F7445">
        <f>IF(B7445="","",IFERROR(RIGHT(B7445,LEN(B7445)-FIND("@",B7445)),""))</f>
        <v/>
      </c>
      <c r="G7445">
        <f>IF(D7445="KEEP",COUNTIF($D$2:D7445,"KEEP"),"")</f>
        <v/>
      </c>
      <c r="H7445">
        <f>IF(D7445="REMOVE",COUNTIF($D$2:D7445,"REMOVE"),"")</f>
        <v/>
      </c>
      <c r="I7445">
        <f>IF(E7445="Gmail",COUNTIF($E$2:E7445,"Gmail"),"")</f>
        <v/>
      </c>
      <c r="J7445">
        <f>IF(E7445="Outlook",COUNTIF($E$2:E7445,"Outlook"),"")</f>
        <v/>
      </c>
      <c r="K7445">
        <f>IF(E7445="Domain",COUNTIF($E$2:E7445,"Domain"),"")</f>
        <v/>
      </c>
    </row>
    <row r="7446">
      <c r="A7446" s="2" t="n"/>
      <c r="B7446">
        <f>LOWER(TRIM(A7446))</f>
        <v/>
      </c>
      <c r="C7446">
        <f>IF(B7446="","",IFERROR(INDEX('Bad Patterns'!$A$2:$A$120,MATCH(1,INDEX(--ISNUMBER(SEARCH('Bad Patterns'!$A$2:$A$120,B7446)),0),0)),""))</f>
        <v/>
      </c>
      <c r="D7446">
        <f>IF(B7446="","",IF(C7446&lt;&gt;"","REMOVE","KEEP"))</f>
        <v/>
      </c>
      <c r="E7446">
        <f>IF(D7446&lt;&gt;"KEEP","",IF(RIGHT(B7446,10)="@gmail.com","Gmail",IF(OR(RIGHT(B7446,12)="@outlook.com",RIGHT(B7446,12)="@hotmail.com",RIGHT(B7446,9)="@live.com"),"Outlook","Domain")))</f>
        <v/>
      </c>
      <c r="F7446">
        <f>IF(B7446="","",IFERROR(RIGHT(B7446,LEN(B7446)-FIND("@",B7446)),""))</f>
        <v/>
      </c>
      <c r="G7446">
        <f>IF(D7446="KEEP",COUNTIF($D$2:D7446,"KEEP"),"")</f>
        <v/>
      </c>
      <c r="H7446">
        <f>IF(D7446="REMOVE",COUNTIF($D$2:D7446,"REMOVE"),"")</f>
        <v/>
      </c>
      <c r="I7446">
        <f>IF(E7446="Gmail",COUNTIF($E$2:E7446,"Gmail"),"")</f>
        <v/>
      </c>
      <c r="J7446">
        <f>IF(E7446="Outlook",COUNTIF($E$2:E7446,"Outlook"),"")</f>
        <v/>
      </c>
      <c r="K7446">
        <f>IF(E7446="Domain",COUNTIF($E$2:E7446,"Domain"),"")</f>
        <v/>
      </c>
    </row>
    <row r="7447">
      <c r="A7447" s="2" t="n"/>
      <c r="B7447">
        <f>LOWER(TRIM(A7447))</f>
        <v/>
      </c>
      <c r="C7447">
        <f>IF(B7447="","",IFERROR(INDEX('Bad Patterns'!$A$2:$A$120,MATCH(1,INDEX(--ISNUMBER(SEARCH('Bad Patterns'!$A$2:$A$120,B7447)),0),0)),""))</f>
        <v/>
      </c>
      <c r="D7447">
        <f>IF(B7447="","",IF(C7447&lt;&gt;"","REMOVE","KEEP"))</f>
        <v/>
      </c>
      <c r="E7447">
        <f>IF(D7447&lt;&gt;"KEEP","",IF(RIGHT(B7447,10)="@gmail.com","Gmail",IF(OR(RIGHT(B7447,12)="@outlook.com",RIGHT(B7447,12)="@hotmail.com",RIGHT(B7447,9)="@live.com"),"Outlook","Domain")))</f>
        <v/>
      </c>
      <c r="F7447">
        <f>IF(B7447="","",IFERROR(RIGHT(B7447,LEN(B7447)-FIND("@",B7447)),""))</f>
        <v/>
      </c>
      <c r="G7447">
        <f>IF(D7447="KEEP",COUNTIF($D$2:D7447,"KEEP"),"")</f>
        <v/>
      </c>
      <c r="H7447">
        <f>IF(D7447="REMOVE",COUNTIF($D$2:D7447,"REMOVE"),"")</f>
        <v/>
      </c>
      <c r="I7447">
        <f>IF(E7447="Gmail",COUNTIF($E$2:E7447,"Gmail"),"")</f>
        <v/>
      </c>
      <c r="J7447">
        <f>IF(E7447="Outlook",COUNTIF($E$2:E7447,"Outlook"),"")</f>
        <v/>
      </c>
      <c r="K7447">
        <f>IF(E7447="Domain",COUNTIF($E$2:E7447,"Domain"),"")</f>
        <v/>
      </c>
    </row>
    <row r="7448">
      <c r="A7448" s="2" t="n"/>
      <c r="B7448">
        <f>LOWER(TRIM(A7448))</f>
        <v/>
      </c>
      <c r="C7448">
        <f>IF(B7448="","",IFERROR(INDEX('Bad Patterns'!$A$2:$A$120,MATCH(1,INDEX(--ISNUMBER(SEARCH('Bad Patterns'!$A$2:$A$120,B7448)),0),0)),""))</f>
        <v/>
      </c>
      <c r="D7448">
        <f>IF(B7448="","",IF(C7448&lt;&gt;"","REMOVE","KEEP"))</f>
        <v/>
      </c>
      <c r="E7448">
        <f>IF(D7448&lt;&gt;"KEEP","",IF(RIGHT(B7448,10)="@gmail.com","Gmail",IF(OR(RIGHT(B7448,12)="@outlook.com",RIGHT(B7448,12)="@hotmail.com",RIGHT(B7448,9)="@live.com"),"Outlook","Domain")))</f>
        <v/>
      </c>
      <c r="F7448">
        <f>IF(B7448="","",IFERROR(RIGHT(B7448,LEN(B7448)-FIND("@",B7448)),""))</f>
        <v/>
      </c>
      <c r="G7448">
        <f>IF(D7448="KEEP",COUNTIF($D$2:D7448,"KEEP"),"")</f>
        <v/>
      </c>
      <c r="H7448">
        <f>IF(D7448="REMOVE",COUNTIF($D$2:D7448,"REMOVE"),"")</f>
        <v/>
      </c>
      <c r="I7448">
        <f>IF(E7448="Gmail",COUNTIF($E$2:E7448,"Gmail"),"")</f>
        <v/>
      </c>
      <c r="J7448">
        <f>IF(E7448="Outlook",COUNTIF($E$2:E7448,"Outlook"),"")</f>
        <v/>
      </c>
      <c r="K7448">
        <f>IF(E7448="Domain",COUNTIF($E$2:E7448,"Domain"),"")</f>
        <v/>
      </c>
    </row>
    <row r="7449">
      <c r="A7449" s="2" t="n"/>
      <c r="B7449">
        <f>LOWER(TRIM(A7449))</f>
        <v/>
      </c>
      <c r="C7449">
        <f>IF(B7449="","",IFERROR(INDEX('Bad Patterns'!$A$2:$A$120,MATCH(1,INDEX(--ISNUMBER(SEARCH('Bad Patterns'!$A$2:$A$120,B7449)),0),0)),""))</f>
        <v/>
      </c>
      <c r="D7449">
        <f>IF(B7449="","",IF(C7449&lt;&gt;"","REMOVE","KEEP"))</f>
        <v/>
      </c>
      <c r="E7449">
        <f>IF(D7449&lt;&gt;"KEEP","",IF(RIGHT(B7449,10)="@gmail.com","Gmail",IF(OR(RIGHT(B7449,12)="@outlook.com",RIGHT(B7449,12)="@hotmail.com",RIGHT(B7449,9)="@live.com"),"Outlook","Domain")))</f>
        <v/>
      </c>
      <c r="F7449">
        <f>IF(B7449="","",IFERROR(RIGHT(B7449,LEN(B7449)-FIND("@",B7449)),""))</f>
        <v/>
      </c>
      <c r="G7449">
        <f>IF(D7449="KEEP",COUNTIF($D$2:D7449,"KEEP"),"")</f>
        <v/>
      </c>
      <c r="H7449">
        <f>IF(D7449="REMOVE",COUNTIF($D$2:D7449,"REMOVE"),"")</f>
        <v/>
      </c>
      <c r="I7449">
        <f>IF(E7449="Gmail",COUNTIF($E$2:E7449,"Gmail"),"")</f>
        <v/>
      </c>
      <c r="J7449">
        <f>IF(E7449="Outlook",COUNTIF($E$2:E7449,"Outlook"),"")</f>
        <v/>
      </c>
      <c r="K7449">
        <f>IF(E7449="Domain",COUNTIF($E$2:E7449,"Domain"),"")</f>
        <v/>
      </c>
    </row>
    <row r="7450">
      <c r="A7450" s="2" t="n"/>
      <c r="B7450">
        <f>LOWER(TRIM(A7450))</f>
        <v/>
      </c>
      <c r="C7450">
        <f>IF(B7450="","",IFERROR(INDEX('Bad Patterns'!$A$2:$A$120,MATCH(1,INDEX(--ISNUMBER(SEARCH('Bad Patterns'!$A$2:$A$120,B7450)),0),0)),""))</f>
        <v/>
      </c>
      <c r="D7450">
        <f>IF(B7450="","",IF(C7450&lt;&gt;"","REMOVE","KEEP"))</f>
        <v/>
      </c>
      <c r="E7450">
        <f>IF(D7450&lt;&gt;"KEEP","",IF(RIGHT(B7450,10)="@gmail.com","Gmail",IF(OR(RIGHT(B7450,12)="@outlook.com",RIGHT(B7450,12)="@hotmail.com",RIGHT(B7450,9)="@live.com"),"Outlook","Domain")))</f>
        <v/>
      </c>
      <c r="F7450">
        <f>IF(B7450="","",IFERROR(RIGHT(B7450,LEN(B7450)-FIND("@",B7450)),""))</f>
        <v/>
      </c>
      <c r="G7450">
        <f>IF(D7450="KEEP",COUNTIF($D$2:D7450,"KEEP"),"")</f>
        <v/>
      </c>
      <c r="H7450">
        <f>IF(D7450="REMOVE",COUNTIF($D$2:D7450,"REMOVE"),"")</f>
        <v/>
      </c>
      <c r="I7450">
        <f>IF(E7450="Gmail",COUNTIF($E$2:E7450,"Gmail"),"")</f>
        <v/>
      </c>
      <c r="J7450">
        <f>IF(E7450="Outlook",COUNTIF($E$2:E7450,"Outlook"),"")</f>
        <v/>
      </c>
      <c r="K7450">
        <f>IF(E7450="Domain",COUNTIF($E$2:E7450,"Domain"),"")</f>
        <v/>
      </c>
    </row>
    <row r="7451">
      <c r="A7451" s="2" t="n"/>
      <c r="B7451">
        <f>LOWER(TRIM(A7451))</f>
        <v/>
      </c>
      <c r="C7451">
        <f>IF(B7451="","",IFERROR(INDEX('Bad Patterns'!$A$2:$A$120,MATCH(1,INDEX(--ISNUMBER(SEARCH('Bad Patterns'!$A$2:$A$120,B7451)),0),0)),""))</f>
        <v/>
      </c>
      <c r="D7451">
        <f>IF(B7451="","",IF(C7451&lt;&gt;"","REMOVE","KEEP"))</f>
        <v/>
      </c>
      <c r="E7451">
        <f>IF(D7451&lt;&gt;"KEEP","",IF(RIGHT(B7451,10)="@gmail.com","Gmail",IF(OR(RIGHT(B7451,12)="@outlook.com",RIGHT(B7451,12)="@hotmail.com",RIGHT(B7451,9)="@live.com"),"Outlook","Domain")))</f>
        <v/>
      </c>
      <c r="F7451">
        <f>IF(B7451="","",IFERROR(RIGHT(B7451,LEN(B7451)-FIND("@",B7451)),""))</f>
        <v/>
      </c>
      <c r="G7451">
        <f>IF(D7451="KEEP",COUNTIF($D$2:D7451,"KEEP"),"")</f>
        <v/>
      </c>
      <c r="H7451">
        <f>IF(D7451="REMOVE",COUNTIF($D$2:D7451,"REMOVE"),"")</f>
        <v/>
      </c>
      <c r="I7451">
        <f>IF(E7451="Gmail",COUNTIF($E$2:E7451,"Gmail"),"")</f>
        <v/>
      </c>
      <c r="J7451">
        <f>IF(E7451="Outlook",COUNTIF($E$2:E7451,"Outlook"),"")</f>
        <v/>
      </c>
      <c r="K7451">
        <f>IF(E7451="Domain",COUNTIF($E$2:E7451,"Domain"),"")</f>
        <v/>
      </c>
    </row>
    <row r="7452">
      <c r="A7452" s="2" t="n"/>
      <c r="B7452">
        <f>LOWER(TRIM(A7452))</f>
        <v/>
      </c>
      <c r="C7452">
        <f>IF(B7452="","",IFERROR(INDEX('Bad Patterns'!$A$2:$A$120,MATCH(1,INDEX(--ISNUMBER(SEARCH('Bad Patterns'!$A$2:$A$120,B7452)),0),0)),""))</f>
        <v/>
      </c>
      <c r="D7452">
        <f>IF(B7452="","",IF(C7452&lt;&gt;"","REMOVE","KEEP"))</f>
        <v/>
      </c>
      <c r="E7452">
        <f>IF(D7452&lt;&gt;"KEEP","",IF(RIGHT(B7452,10)="@gmail.com","Gmail",IF(OR(RIGHT(B7452,12)="@outlook.com",RIGHT(B7452,12)="@hotmail.com",RIGHT(B7452,9)="@live.com"),"Outlook","Domain")))</f>
        <v/>
      </c>
      <c r="F7452">
        <f>IF(B7452="","",IFERROR(RIGHT(B7452,LEN(B7452)-FIND("@",B7452)),""))</f>
        <v/>
      </c>
      <c r="G7452">
        <f>IF(D7452="KEEP",COUNTIF($D$2:D7452,"KEEP"),"")</f>
        <v/>
      </c>
      <c r="H7452">
        <f>IF(D7452="REMOVE",COUNTIF($D$2:D7452,"REMOVE"),"")</f>
        <v/>
      </c>
      <c r="I7452">
        <f>IF(E7452="Gmail",COUNTIF($E$2:E7452,"Gmail"),"")</f>
        <v/>
      </c>
      <c r="J7452">
        <f>IF(E7452="Outlook",COUNTIF($E$2:E7452,"Outlook"),"")</f>
        <v/>
      </c>
      <c r="K7452">
        <f>IF(E7452="Domain",COUNTIF($E$2:E7452,"Domain"),"")</f>
        <v/>
      </c>
    </row>
    <row r="7453">
      <c r="A7453" s="2" t="n"/>
      <c r="B7453">
        <f>LOWER(TRIM(A7453))</f>
        <v/>
      </c>
      <c r="C7453">
        <f>IF(B7453="","",IFERROR(INDEX('Bad Patterns'!$A$2:$A$120,MATCH(1,INDEX(--ISNUMBER(SEARCH('Bad Patterns'!$A$2:$A$120,B7453)),0),0)),""))</f>
        <v/>
      </c>
      <c r="D7453">
        <f>IF(B7453="","",IF(C7453&lt;&gt;"","REMOVE","KEEP"))</f>
        <v/>
      </c>
      <c r="E7453">
        <f>IF(D7453&lt;&gt;"KEEP","",IF(RIGHT(B7453,10)="@gmail.com","Gmail",IF(OR(RIGHT(B7453,12)="@outlook.com",RIGHT(B7453,12)="@hotmail.com",RIGHT(B7453,9)="@live.com"),"Outlook","Domain")))</f>
        <v/>
      </c>
      <c r="F7453">
        <f>IF(B7453="","",IFERROR(RIGHT(B7453,LEN(B7453)-FIND("@",B7453)),""))</f>
        <v/>
      </c>
      <c r="G7453">
        <f>IF(D7453="KEEP",COUNTIF($D$2:D7453,"KEEP"),"")</f>
        <v/>
      </c>
      <c r="H7453">
        <f>IF(D7453="REMOVE",COUNTIF($D$2:D7453,"REMOVE"),"")</f>
        <v/>
      </c>
      <c r="I7453">
        <f>IF(E7453="Gmail",COUNTIF($E$2:E7453,"Gmail"),"")</f>
        <v/>
      </c>
      <c r="J7453">
        <f>IF(E7453="Outlook",COUNTIF($E$2:E7453,"Outlook"),"")</f>
        <v/>
      </c>
      <c r="K7453">
        <f>IF(E7453="Domain",COUNTIF($E$2:E7453,"Domain"),"")</f>
        <v/>
      </c>
    </row>
    <row r="7454">
      <c r="A7454" s="2" t="n"/>
      <c r="B7454">
        <f>LOWER(TRIM(A7454))</f>
        <v/>
      </c>
      <c r="C7454">
        <f>IF(B7454="","",IFERROR(INDEX('Bad Patterns'!$A$2:$A$120,MATCH(1,INDEX(--ISNUMBER(SEARCH('Bad Patterns'!$A$2:$A$120,B7454)),0),0)),""))</f>
        <v/>
      </c>
      <c r="D7454">
        <f>IF(B7454="","",IF(C7454&lt;&gt;"","REMOVE","KEEP"))</f>
        <v/>
      </c>
      <c r="E7454">
        <f>IF(D7454&lt;&gt;"KEEP","",IF(RIGHT(B7454,10)="@gmail.com","Gmail",IF(OR(RIGHT(B7454,12)="@outlook.com",RIGHT(B7454,12)="@hotmail.com",RIGHT(B7454,9)="@live.com"),"Outlook","Domain")))</f>
        <v/>
      </c>
      <c r="F7454">
        <f>IF(B7454="","",IFERROR(RIGHT(B7454,LEN(B7454)-FIND("@",B7454)),""))</f>
        <v/>
      </c>
      <c r="G7454">
        <f>IF(D7454="KEEP",COUNTIF($D$2:D7454,"KEEP"),"")</f>
        <v/>
      </c>
      <c r="H7454">
        <f>IF(D7454="REMOVE",COUNTIF($D$2:D7454,"REMOVE"),"")</f>
        <v/>
      </c>
      <c r="I7454">
        <f>IF(E7454="Gmail",COUNTIF($E$2:E7454,"Gmail"),"")</f>
        <v/>
      </c>
      <c r="J7454">
        <f>IF(E7454="Outlook",COUNTIF($E$2:E7454,"Outlook"),"")</f>
        <v/>
      </c>
      <c r="K7454">
        <f>IF(E7454="Domain",COUNTIF($E$2:E7454,"Domain"),"")</f>
        <v/>
      </c>
    </row>
    <row r="7455">
      <c r="A7455" s="2" t="n"/>
      <c r="B7455">
        <f>LOWER(TRIM(A7455))</f>
        <v/>
      </c>
      <c r="C7455">
        <f>IF(B7455="","",IFERROR(INDEX('Bad Patterns'!$A$2:$A$120,MATCH(1,INDEX(--ISNUMBER(SEARCH('Bad Patterns'!$A$2:$A$120,B7455)),0),0)),""))</f>
        <v/>
      </c>
      <c r="D7455">
        <f>IF(B7455="","",IF(C7455&lt;&gt;"","REMOVE","KEEP"))</f>
        <v/>
      </c>
      <c r="E7455">
        <f>IF(D7455&lt;&gt;"KEEP","",IF(RIGHT(B7455,10)="@gmail.com","Gmail",IF(OR(RIGHT(B7455,12)="@outlook.com",RIGHT(B7455,12)="@hotmail.com",RIGHT(B7455,9)="@live.com"),"Outlook","Domain")))</f>
        <v/>
      </c>
      <c r="F7455">
        <f>IF(B7455="","",IFERROR(RIGHT(B7455,LEN(B7455)-FIND("@",B7455)),""))</f>
        <v/>
      </c>
      <c r="G7455">
        <f>IF(D7455="KEEP",COUNTIF($D$2:D7455,"KEEP"),"")</f>
        <v/>
      </c>
      <c r="H7455">
        <f>IF(D7455="REMOVE",COUNTIF($D$2:D7455,"REMOVE"),"")</f>
        <v/>
      </c>
      <c r="I7455">
        <f>IF(E7455="Gmail",COUNTIF($E$2:E7455,"Gmail"),"")</f>
        <v/>
      </c>
      <c r="J7455">
        <f>IF(E7455="Outlook",COUNTIF($E$2:E7455,"Outlook"),"")</f>
        <v/>
      </c>
      <c r="K7455">
        <f>IF(E7455="Domain",COUNTIF($E$2:E7455,"Domain"),"")</f>
        <v/>
      </c>
    </row>
    <row r="7456">
      <c r="A7456" s="2" t="n"/>
      <c r="B7456">
        <f>LOWER(TRIM(A7456))</f>
        <v/>
      </c>
      <c r="C7456">
        <f>IF(B7456="","",IFERROR(INDEX('Bad Patterns'!$A$2:$A$120,MATCH(1,INDEX(--ISNUMBER(SEARCH('Bad Patterns'!$A$2:$A$120,B7456)),0),0)),""))</f>
        <v/>
      </c>
      <c r="D7456">
        <f>IF(B7456="","",IF(C7456&lt;&gt;"","REMOVE","KEEP"))</f>
        <v/>
      </c>
      <c r="E7456">
        <f>IF(D7456&lt;&gt;"KEEP","",IF(RIGHT(B7456,10)="@gmail.com","Gmail",IF(OR(RIGHT(B7456,12)="@outlook.com",RIGHT(B7456,12)="@hotmail.com",RIGHT(B7456,9)="@live.com"),"Outlook","Domain")))</f>
        <v/>
      </c>
      <c r="F7456">
        <f>IF(B7456="","",IFERROR(RIGHT(B7456,LEN(B7456)-FIND("@",B7456)),""))</f>
        <v/>
      </c>
      <c r="G7456">
        <f>IF(D7456="KEEP",COUNTIF($D$2:D7456,"KEEP"),"")</f>
        <v/>
      </c>
      <c r="H7456">
        <f>IF(D7456="REMOVE",COUNTIF($D$2:D7456,"REMOVE"),"")</f>
        <v/>
      </c>
      <c r="I7456">
        <f>IF(E7456="Gmail",COUNTIF($E$2:E7456,"Gmail"),"")</f>
        <v/>
      </c>
      <c r="J7456">
        <f>IF(E7456="Outlook",COUNTIF($E$2:E7456,"Outlook"),"")</f>
        <v/>
      </c>
      <c r="K7456">
        <f>IF(E7456="Domain",COUNTIF($E$2:E7456,"Domain"),"")</f>
        <v/>
      </c>
    </row>
    <row r="7457">
      <c r="A7457" s="2" t="n"/>
      <c r="B7457">
        <f>LOWER(TRIM(A7457))</f>
        <v/>
      </c>
      <c r="C7457">
        <f>IF(B7457="","",IFERROR(INDEX('Bad Patterns'!$A$2:$A$120,MATCH(1,INDEX(--ISNUMBER(SEARCH('Bad Patterns'!$A$2:$A$120,B7457)),0),0)),""))</f>
        <v/>
      </c>
      <c r="D7457">
        <f>IF(B7457="","",IF(C7457&lt;&gt;"","REMOVE","KEEP"))</f>
        <v/>
      </c>
      <c r="E7457">
        <f>IF(D7457&lt;&gt;"KEEP","",IF(RIGHT(B7457,10)="@gmail.com","Gmail",IF(OR(RIGHT(B7457,12)="@outlook.com",RIGHT(B7457,12)="@hotmail.com",RIGHT(B7457,9)="@live.com"),"Outlook","Domain")))</f>
        <v/>
      </c>
      <c r="F7457">
        <f>IF(B7457="","",IFERROR(RIGHT(B7457,LEN(B7457)-FIND("@",B7457)),""))</f>
        <v/>
      </c>
      <c r="G7457">
        <f>IF(D7457="KEEP",COUNTIF($D$2:D7457,"KEEP"),"")</f>
        <v/>
      </c>
      <c r="H7457">
        <f>IF(D7457="REMOVE",COUNTIF($D$2:D7457,"REMOVE"),"")</f>
        <v/>
      </c>
      <c r="I7457">
        <f>IF(E7457="Gmail",COUNTIF($E$2:E7457,"Gmail"),"")</f>
        <v/>
      </c>
      <c r="J7457">
        <f>IF(E7457="Outlook",COUNTIF($E$2:E7457,"Outlook"),"")</f>
        <v/>
      </c>
      <c r="K7457">
        <f>IF(E7457="Domain",COUNTIF($E$2:E7457,"Domain"),"")</f>
        <v/>
      </c>
    </row>
    <row r="7458">
      <c r="A7458" s="2" t="n"/>
      <c r="B7458">
        <f>LOWER(TRIM(A7458))</f>
        <v/>
      </c>
      <c r="C7458">
        <f>IF(B7458="","",IFERROR(INDEX('Bad Patterns'!$A$2:$A$120,MATCH(1,INDEX(--ISNUMBER(SEARCH('Bad Patterns'!$A$2:$A$120,B7458)),0),0)),""))</f>
        <v/>
      </c>
      <c r="D7458">
        <f>IF(B7458="","",IF(C7458&lt;&gt;"","REMOVE","KEEP"))</f>
        <v/>
      </c>
      <c r="E7458">
        <f>IF(D7458&lt;&gt;"KEEP","",IF(RIGHT(B7458,10)="@gmail.com","Gmail",IF(OR(RIGHT(B7458,12)="@outlook.com",RIGHT(B7458,12)="@hotmail.com",RIGHT(B7458,9)="@live.com"),"Outlook","Domain")))</f>
        <v/>
      </c>
      <c r="F7458">
        <f>IF(B7458="","",IFERROR(RIGHT(B7458,LEN(B7458)-FIND("@",B7458)),""))</f>
        <v/>
      </c>
      <c r="G7458">
        <f>IF(D7458="KEEP",COUNTIF($D$2:D7458,"KEEP"),"")</f>
        <v/>
      </c>
      <c r="H7458">
        <f>IF(D7458="REMOVE",COUNTIF($D$2:D7458,"REMOVE"),"")</f>
        <v/>
      </c>
      <c r="I7458">
        <f>IF(E7458="Gmail",COUNTIF($E$2:E7458,"Gmail"),"")</f>
        <v/>
      </c>
      <c r="J7458">
        <f>IF(E7458="Outlook",COUNTIF($E$2:E7458,"Outlook"),"")</f>
        <v/>
      </c>
      <c r="K7458">
        <f>IF(E7458="Domain",COUNTIF($E$2:E7458,"Domain"),"")</f>
        <v/>
      </c>
    </row>
    <row r="7459">
      <c r="A7459" s="2" t="n"/>
      <c r="B7459">
        <f>LOWER(TRIM(A7459))</f>
        <v/>
      </c>
      <c r="C7459">
        <f>IF(B7459="","",IFERROR(INDEX('Bad Patterns'!$A$2:$A$120,MATCH(1,INDEX(--ISNUMBER(SEARCH('Bad Patterns'!$A$2:$A$120,B7459)),0),0)),""))</f>
        <v/>
      </c>
      <c r="D7459">
        <f>IF(B7459="","",IF(C7459&lt;&gt;"","REMOVE","KEEP"))</f>
        <v/>
      </c>
      <c r="E7459">
        <f>IF(D7459&lt;&gt;"KEEP","",IF(RIGHT(B7459,10)="@gmail.com","Gmail",IF(OR(RIGHT(B7459,12)="@outlook.com",RIGHT(B7459,12)="@hotmail.com",RIGHT(B7459,9)="@live.com"),"Outlook","Domain")))</f>
        <v/>
      </c>
      <c r="F7459">
        <f>IF(B7459="","",IFERROR(RIGHT(B7459,LEN(B7459)-FIND("@",B7459)),""))</f>
        <v/>
      </c>
      <c r="G7459">
        <f>IF(D7459="KEEP",COUNTIF($D$2:D7459,"KEEP"),"")</f>
        <v/>
      </c>
      <c r="H7459">
        <f>IF(D7459="REMOVE",COUNTIF($D$2:D7459,"REMOVE"),"")</f>
        <v/>
      </c>
      <c r="I7459">
        <f>IF(E7459="Gmail",COUNTIF($E$2:E7459,"Gmail"),"")</f>
        <v/>
      </c>
      <c r="J7459">
        <f>IF(E7459="Outlook",COUNTIF($E$2:E7459,"Outlook"),"")</f>
        <v/>
      </c>
      <c r="K7459">
        <f>IF(E7459="Domain",COUNTIF($E$2:E7459,"Domain"),"")</f>
        <v/>
      </c>
    </row>
    <row r="7460">
      <c r="A7460" s="2" t="n"/>
      <c r="B7460">
        <f>LOWER(TRIM(A7460))</f>
        <v/>
      </c>
      <c r="C7460">
        <f>IF(B7460="","",IFERROR(INDEX('Bad Patterns'!$A$2:$A$120,MATCH(1,INDEX(--ISNUMBER(SEARCH('Bad Patterns'!$A$2:$A$120,B7460)),0),0)),""))</f>
        <v/>
      </c>
      <c r="D7460">
        <f>IF(B7460="","",IF(C7460&lt;&gt;"","REMOVE","KEEP"))</f>
        <v/>
      </c>
      <c r="E7460">
        <f>IF(D7460&lt;&gt;"KEEP","",IF(RIGHT(B7460,10)="@gmail.com","Gmail",IF(OR(RIGHT(B7460,12)="@outlook.com",RIGHT(B7460,12)="@hotmail.com",RIGHT(B7460,9)="@live.com"),"Outlook","Domain")))</f>
        <v/>
      </c>
      <c r="F7460">
        <f>IF(B7460="","",IFERROR(RIGHT(B7460,LEN(B7460)-FIND("@",B7460)),""))</f>
        <v/>
      </c>
      <c r="G7460">
        <f>IF(D7460="KEEP",COUNTIF($D$2:D7460,"KEEP"),"")</f>
        <v/>
      </c>
      <c r="H7460">
        <f>IF(D7460="REMOVE",COUNTIF($D$2:D7460,"REMOVE"),"")</f>
        <v/>
      </c>
      <c r="I7460">
        <f>IF(E7460="Gmail",COUNTIF($E$2:E7460,"Gmail"),"")</f>
        <v/>
      </c>
      <c r="J7460">
        <f>IF(E7460="Outlook",COUNTIF($E$2:E7460,"Outlook"),"")</f>
        <v/>
      </c>
      <c r="K7460">
        <f>IF(E7460="Domain",COUNTIF($E$2:E7460,"Domain"),"")</f>
        <v/>
      </c>
    </row>
    <row r="7461">
      <c r="A7461" s="2" t="n"/>
      <c r="B7461">
        <f>LOWER(TRIM(A7461))</f>
        <v/>
      </c>
      <c r="C7461">
        <f>IF(B7461="","",IFERROR(INDEX('Bad Patterns'!$A$2:$A$120,MATCH(1,INDEX(--ISNUMBER(SEARCH('Bad Patterns'!$A$2:$A$120,B7461)),0),0)),""))</f>
        <v/>
      </c>
      <c r="D7461">
        <f>IF(B7461="","",IF(C7461&lt;&gt;"","REMOVE","KEEP"))</f>
        <v/>
      </c>
      <c r="E7461">
        <f>IF(D7461&lt;&gt;"KEEP","",IF(RIGHT(B7461,10)="@gmail.com","Gmail",IF(OR(RIGHT(B7461,12)="@outlook.com",RIGHT(B7461,12)="@hotmail.com",RIGHT(B7461,9)="@live.com"),"Outlook","Domain")))</f>
        <v/>
      </c>
      <c r="F7461">
        <f>IF(B7461="","",IFERROR(RIGHT(B7461,LEN(B7461)-FIND("@",B7461)),""))</f>
        <v/>
      </c>
      <c r="G7461">
        <f>IF(D7461="KEEP",COUNTIF($D$2:D7461,"KEEP"),"")</f>
        <v/>
      </c>
      <c r="H7461">
        <f>IF(D7461="REMOVE",COUNTIF($D$2:D7461,"REMOVE"),"")</f>
        <v/>
      </c>
      <c r="I7461">
        <f>IF(E7461="Gmail",COUNTIF($E$2:E7461,"Gmail"),"")</f>
        <v/>
      </c>
      <c r="J7461">
        <f>IF(E7461="Outlook",COUNTIF($E$2:E7461,"Outlook"),"")</f>
        <v/>
      </c>
      <c r="K7461">
        <f>IF(E7461="Domain",COUNTIF($E$2:E7461,"Domain"),"")</f>
        <v/>
      </c>
    </row>
    <row r="7462">
      <c r="A7462" s="2" t="n"/>
      <c r="B7462">
        <f>LOWER(TRIM(A7462))</f>
        <v/>
      </c>
      <c r="C7462">
        <f>IF(B7462="","",IFERROR(INDEX('Bad Patterns'!$A$2:$A$120,MATCH(1,INDEX(--ISNUMBER(SEARCH('Bad Patterns'!$A$2:$A$120,B7462)),0),0)),""))</f>
        <v/>
      </c>
      <c r="D7462">
        <f>IF(B7462="","",IF(C7462&lt;&gt;"","REMOVE","KEEP"))</f>
        <v/>
      </c>
      <c r="E7462">
        <f>IF(D7462&lt;&gt;"KEEP","",IF(RIGHT(B7462,10)="@gmail.com","Gmail",IF(OR(RIGHT(B7462,12)="@outlook.com",RIGHT(B7462,12)="@hotmail.com",RIGHT(B7462,9)="@live.com"),"Outlook","Domain")))</f>
        <v/>
      </c>
      <c r="F7462">
        <f>IF(B7462="","",IFERROR(RIGHT(B7462,LEN(B7462)-FIND("@",B7462)),""))</f>
        <v/>
      </c>
      <c r="G7462">
        <f>IF(D7462="KEEP",COUNTIF($D$2:D7462,"KEEP"),"")</f>
        <v/>
      </c>
      <c r="H7462">
        <f>IF(D7462="REMOVE",COUNTIF($D$2:D7462,"REMOVE"),"")</f>
        <v/>
      </c>
      <c r="I7462">
        <f>IF(E7462="Gmail",COUNTIF($E$2:E7462,"Gmail"),"")</f>
        <v/>
      </c>
      <c r="J7462">
        <f>IF(E7462="Outlook",COUNTIF($E$2:E7462,"Outlook"),"")</f>
        <v/>
      </c>
      <c r="K7462">
        <f>IF(E7462="Domain",COUNTIF($E$2:E7462,"Domain"),"")</f>
        <v/>
      </c>
    </row>
    <row r="7463">
      <c r="A7463" s="2" t="n"/>
      <c r="B7463">
        <f>LOWER(TRIM(A7463))</f>
        <v/>
      </c>
      <c r="C7463">
        <f>IF(B7463="","",IFERROR(INDEX('Bad Patterns'!$A$2:$A$120,MATCH(1,INDEX(--ISNUMBER(SEARCH('Bad Patterns'!$A$2:$A$120,B7463)),0),0)),""))</f>
        <v/>
      </c>
      <c r="D7463">
        <f>IF(B7463="","",IF(C7463&lt;&gt;"","REMOVE","KEEP"))</f>
        <v/>
      </c>
      <c r="E7463">
        <f>IF(D7463&lt;&gt;"KEEP","",IF(RIGHT(B7463,10)="@gmail.com","Gmail",IF(OR(RIGHT(B7463,12)="@outlook.com",RIGHT(B7463,12)="@hotmail.com",RIGHT(B7463,9)="@live.com"),"Outlook","Domain")))</f>
        <v/>
      </c>
      <c r="F7463">
        <f>IF(B7463="","",IFERROR(RIGHT(B7463,LEN(B7463)-FIND("@",B7463)),""))</f>
        <v/>
      </c>
      <c r="G7463">
        <f>IF(D7463="KEEP",COUNTIF($D$2:D7463,"KEEP"),"")</f>
        <v/>
      </c>
      <c r="H7463">
        <f>IF(D7463="REMOVE",COUNTIF($D$2:D7463,"REMOVE"),"")</f>
        <v/>
      </c>
      <c r="I7463">
        <f>IF(E7463="Gmail",COUNTIF($E$2:E7463,"Gmail"),"")</f>
        <v/>
      </c>
      <c r="J7463">
        <f>IF(E7463="Outlook",COUNTIF($E$2:E7463,"Outlook"),"")</f>
        <v/>
      </c>
      <c r="K7463">
        <f>IF(E7463="Domain",COUNTIF($E$2:E7463,"Domain"),"")</f>
        <v/>
      </c>
    </row>
    <row r="7464">
      <c r="A7464" s="2" t="n"/>
      <c r="B7464">
        <f>LOWER(TRIM(A7464))</f>
        <v/>
      </c>
      <c r="C7464">
        <f>IF(B7464="","",IFERROR(INDEX('Bad Patterns'!$A$2:$A$120,MATCH(1,INDEX(--ISNUMBER(SEARCH('Bad Patterns'!$A$2:$A$120,B7464)),0),0)),""))</f>
        <v/>
      </c>
      <c r="D7464">
        <f>IF(B7464="","",IF(C7464&lt;&gt;"","REMOVE","KEEP"))</f>
        <v/>
      </c>
      <c r="E7464">
        <f>IF(D7464&lt;&gt;"KEEP","",IF(RIGHT(B7464,10)="@gmail.com","Gmail",IF(OR(RIGHT(B7464,12)="@outlook.com",RIGHT(B7464,12)="@hotmail.com",RIGHT(B7464,9)="@live.com"),"Outlook","Domain")))</f>
        <v/>
      </c>
      <c r="F7464">
        <f>IF(B7464="","",IFERROR(RIGHT(B7464,LEN(B7464)-FIND("@",B7464)),""))</f>
        <v/>
      </c>
      <c r="G7464">
        <f>IF(D7464="KEEP",COUNTIF($D$2:D7464,"KEEP"),"")</f>
        <v/>
      </c>
      <c r="H7464">
        <f>IF(D7464="REMOVE",COUNTIF($D$2:D7464,"REMOVE"),"")</f>
        <v/>
      </c>
      <c r="I7464">
        <f>IF(E7464="Gmail",COUNTIF($E$2:E7464,"Gmail"),"")</f>
        <v/>
      </c>
      <c r="J7464">
        <f>IF(E7464="Outlook",COUNTIF($E$2:E7464,"Outlook"),"")</f>
        <v/>
      </c>
      <c r="K7464">
        <f>IF(E7464="Domain",COUNTIF($E$2:E7464,"Domain"),"")</f>
        <v/>
      </c>
    </row>
    <row r="7465">
      <c r="A7465" s="2" t="n"/>
      <c r="B7465">
        <f>LOWER(TRIM(A7465))</f>
        <v/>
      </c>
      <c r="C7465">
        <f>IF(B7465="","",IFERROR(INDEX('Bad Patterns'!$A$2:$A$120,MATCH(1,INDEX(--ISNUMBER(SEARCH('Bad Patterns'!$A$2:$A$120,B7465)),0),0)),""))</f>
        <v/>
      </c>
      <c r="D7465">
        <f>IF(B7465="","",IF(C7465&lt;&gt;"","REMOVE","KEEP"))</f>
        <v/>
      </c>
      <c r="E7465">
        <f>IF(D7465&lt;&gt;"KEEP","",IF(RIGHT(B7465,10)="@gmail.com","Gmail",IF(OR(RIGHT(B7465,12)="@outlook.com",RIGHT(B7465,12)="@hotmail.com",RIGHT(B7465,9)="@live.com"),"Outlook","Domain")))</f>
        <v/>
      </c>
      <c r="F7465">
        <f>IF(B7465="","",IFERROR(RIGHT(B7465,LEN(B7465)-FIND("@",B7465)),""))</f>
        <v/>
      </c>
      <c r="G7465">
        <f>IF(D7465="KEEP",COUNTIF($D$2:D7465,"KEEP"),"")</f>
        <v/>
      </c>
      <c r="H7465">
        <f>IF(D7465="REMOVE",COUNTIF($D$2:D7465,"REMOVE"),"")</f>
        <v/>
      </c>
      <c r="I7465">
        <f>IF(E7465="Gmail",COUNTIF($E$2:E7465,"Gmail"),"")</f>
        <v/>
      </c>
      <c r="J7465">
        <f>IF(E7465="Outlook",COUNTIF($E$2:E7465,"Outlook"),"")</f>
        <v/>
      </c>
      <c r="K7465">
        <f>IF(E7465="Domain",COUNTIF($E$2:E7465,"Domain"),"")</f>
        <v/>
      </c>
    </row>
    <row r="7466">
      <c r="A7466" s="2" t="n"/>
      <c r="B7466">
        <f>LOWER(TRIM(A7466))</f>
        <v/>
      </c>
      <c r="C7466">
        <f>IF(B7466="","",IFERROR(INDEX('Bad Patterns'!$A$2:$A$120,MATCH(1,INDEX(--ISNUMBER(SEARCH('Bad Patterns'!$A$2:$A$120,B7466)),0),0)),""))</f>
        <v/>
      </c>
      <c r="D7466">
        <f>IF(B7466="","",IF(C7466&lt;&gt;"","REMOVE","KEEP"))</f>
        <v/>
      </c>
      <c r="E7466">
        <f>IF(D7466&lt;&gt;"KEEP","",IF(RIGHT(B7466,10)="@gmail.com","Gmail",IF(OR(RIGHT(B7466,12)="@outlook.com",RIGHT(B7466,12)="@hotmail.com",RIGHT(B7466,9)="@live.com"),"Outlook","Domain")))</f>
        <v/>
      </c>
      <c r="F7466">
        <f>IF(B7466="","",IFERROR(RIGHT(B7466,LEN(B7466)-FIND("@",B7466)),""))</f>
        <v/>
      </c>
      <c r="G7466">
        <f>IF(D7466="KEEP",COUNTIF($D$2:D7466,"KEEP"),"")</f>
        <v/>
      </c>
      <c r="H7466">
        <f>IF(D7466="REMOVE",COUNTIF($D$2:D7466,"REMOVE"),"")</f>
        <v/>
      </c>
      <c r="I7466">
        <f>IF(E7466="Gmail",COUNTIF($E$2:E7466,"Gmail"),"")</f>
        <v/>
      </c>
      <c r="J7466">
        <f>IF(E7466="Outlook",COUNTIF($E$2:E7466,"Outlook"),"")</f>
        <v/>
      </c>
      <c r="K7466">
        <f>IF(E7466="Domain",COUNTIF($E$2:E7466,"Domain"),"")</f>
        <v/>
      </c>
    </row>
    <row r="7467">
      <c r="A7467" s="2" t="n"/>
      <c r="B7467">
        <f>LOWER(TRIM(A7467))</f>
        <v/>
      </c>
      <c r="C7467">
        <f>IF(B7467="","",IFERROR(INDEX('Bad Patterns'!$A$2:$A$120,MATCH(1,INDEX(--ISNUMBER(SEARCH('Bad Patterns'!$A$2:$A$120,B7467)),0),0)),""))</f>
        <v/>
      </c>
      <c r="D7467">
        <f>IF(B7467="","",IF(C7467&lt;&gt;"","REMOVE","KEEP"))</f>
        <v/>
      </c>
      <c r="E7467">
        <f>IF(D7467&lt;&gt;"KEEP","",IF(RIGHT(B7467,10)="@gmail.com","Gmail",IF(OR(RIGHT(B7467,12)="@outlook.com",RIGHT(B7467,12)="@hotmail.com",RIGHT(B7467,9)="@live.com"),"Outlook","Domain")))</f>
        <v/>
      </c>
      <c r="F7467">
        <f>IF(B7467="","",IFERROR(RIGHT(B7467,LEN(B7467)-FIND("@",B7467)),""))</f>
        <v/>
      </c>
      <c r="G7467">
        <f>IF(D7467="KEEP",COUNTIF($D$2:D7467,"KEEP"),"")</f>
        <v/>
      </c>
      <c r="H7467">
        <f>IF(D7467="REMOVE",COUNTIF($D$2:D7467,"REMOVE"),"")</f>
        <v/>
      </c>
      <c r="I7467">
        <f>IF(E7467="Gmail",COUNTIF($E$2:E7467,"Gmail"),"")</f>
        <v/>
      </c>
      <c r="J7467">
        <f>IF(E7467="Outlook",COUNTIF($E$2:E7467,"Outlook"),"")</f>
        <v/>
      </c>
      <c r="K7467">
        <f>IF(E7467="Domain",COUNTIF($E$2:E7467,"Domain"),"")</f>
        <v/>
      </c>
    </row>
    <row r="7468">
      <c r="A7468" s="2" t="n"/>
      <c r="B7468">
        <f>LOWER(TRIM(A7468))</f>
        <v/>
      </c>
      <c r="C7468">
        <f>IF(B7468="","",IFERROR(INDEX('Bad Patterns'!$A$2:$A$120,MATCH(1,INDEX(--ISNUMBER(SEARCH('Bad Patterns'!$A$2:$A$120,B7468)),0),0)),""))</f>
        <v/>
      </c>
      <c r="D7468">
        <f>IF(B7468="","",IF(C7468&lt;&gt;"","REMOVE","KEEP"))</f>
        <v/>
      </c>
      <c r="E7468">
        <f>IF(D7468&lt;&gt;"KEEP","",IF(RIGHT(B7468,10)="@gmail.com","Gmail",IF(OR(RIGHT(B7468,12)="@outlook.com",RIGHT(B7468,12)="@hotmail.com",RIGHT(B7468,9)="@live.com"),"Outlook","Domain")))</f>
        <v/>
      </c>
      <c r="F7468">
        <f>IF(B7468="","",IFERROR(RIGHT(B7468,LEN(B7468)-FIND("@",B7468)),""))</f>
        <v/>
      </c>
      <c r="G7468">
        <f>IF(D7468="KEEP",COUNTIF($D$2:D7468,"KEEP"),"")</f>
        <v/>
      </c>
      <c r="H7468">
        <f>IF(D7468="REMOVE",COUNTIF($D$2:D7468,"REMOVE"),"")</f>
        <v/>
      </c>
      <c r="I7468">
        <f>IF(E7468="Gmail",COUNTIF($E$2:E7468,"Gmail"),"")</f>
        <v/>
      </c>
      <c r="J7468">
        <f>IF(E7468="Outlook",COUNTIF($E$2:E7468,"Outlook"),"")</f>
        <v/>
      </c>
      <c r="K7468">
        <f>IF(E7468="Domain",COUNTIF($E$2:E7468,"Domain"),"")</f>
        <v/>
      </c>
    </row>
    <row r="7469">
      <c r="A7469" s="2" t="n"/>
      <c r="B7469">
        <f>LOWER(TRIM(A7469))</f>
        <v/>
      </c>
      <c r="C7469">
        <f>IF(B7469="","",IFERROR(INDEX('Bad Patterns'!$A$2:$A$120,MATCH(1,INDEX(--ISNUMBER(SEARCH('Bad Patterns'!$A$2:$A$120,B7469)),0),0)),""))</f>
        <v/>
      </c>
      <c r="D7469">
        <f>IF(B7469="","",IF(C7469&lt;&gt;"","REMOVE","KEEP"))</f>
        <v/>
      </c>
      <c r="E7469">
        <f>IF(D7469&lt;&gt;"KEEP","",IF(RIGHT(B7469,10)="@gmail.com","Gmail",IF(OR(RIGHT(B7469,12)="@outlook.com",RIGHT(B7469,12)="@hotmail.com",RIGHT(B7469,9)="@live.com"),"Outlook","Domain")))</f>
        <v/>
      </c>
      <c r="F7469">
        <f>IF(B7469="","",IFERROR(RIGHT(B7469,LEN(B7469)-FIND("@",B7469)),""))</f>
        <v/>
      </c>
      <c r="G7469">
        <f>IF(D7469="KEEP",COUNTIF($D$2:D7469,"KEEP"),"")</f>
        <v/>
      </c>
      <c r="H7469">
        <f>IF(D7469="REMOVE",COUNTIF($D$2:D7469,"REMOVE"),"")</f>
        <v/>
      </c>
      <c r="I7469">
        <f>IF(E7469="Gmail",COUNTIF($E$2:E7469,"Gmail"),"")</f>
        <v/>
      </c>
      <c r="J7469">
        <f>IF(E7469="Outlook",COUNTIF($E$2:E7469,"Outlook"),"")</f>
        <v/>
      </c>
      <c r="K7469">
        <f>IF(E7469="Domain",COUNTIF($E$2:E7469,"Domain"),"")</f>
        <v/>
      </c>
    </row>
    <row r="7470">
      <c r="A7470" s="2" t="n"/>
      <c r="B7470">
        <f>LOWER(TRIM(A7470))</f>
        <v/>
      </c>
      <c r="C7470">
        <f>IF(B7470="","",IFERROR(INDEX('Bad Patterns'!$A$2:$A$120,MATCH(1,INDEX(--ISNUMBER(SEARCH('Bad Patterns'!$A$2:$A$120,B7470)),0),0)),""))</f>
        <v/>
      </c>
      <c r="D7470">
        <f>IF(B7470="","",IF(C7470&lt;&gt;"","REMOVE","KEEP"))</f>
        <v/>
      </c>
      <c r="E7470">
        <f>IF(D7470&lt;&gt;"KEEP","",IF(RIGHT(B7470,10)="@gmail.com","Gmail",IF(OR(RIGHT(B7470,12)="@outlook.com",RIGHT(B7470,12)="@hotmail.com",RIGHT(B7470,9)="@live.com"),"Outlook","Domain")))</f>
        <v/>
      </c>
      <c r="F7470">
        <f>IF(B7470="","",IFERROR(RIGHT(B7470,LEN(B7470)-FIND("@",B7470)),""))</f>
        <v/>
      </c>
      <c r="G7470">
        <f>IF(D7470="KEEP",COUNTIF($D$2:D7470,"KEEP"),"")</f>
        <v/>
      </c>
      <c r="H7470">
        <f>IF(D7470="REMOVE",COUNTIF($D$2:D7470,"REMOVE"),"")</f>
        <v/>
      </c>
      <c r="I7470">
        <f>IF(E7470="Gmail",COUNTIF($E$2:E7470,"Gmail"),"")</f>
        <v/>
      </c>
      <c r="J7470">
        <f>IF(E7470="Outlook",COUNTIF($E$2:E7470,"Outlook"),"")</f>
        <v/>
      </c>
      <c r="K7470">
        <f>IF(E7470="Domain",COUNTIF($E$2:E7470,"Domain"),"")</f>
        <v/>
      </c>
    </row>
    <row r="7471">
      <c r="A7471" s="2" t="n"/>
      <c r="B7471">
        <f>LOWER(TRIM(A7471))</f>
        <v/>
      </c>
      <c r="C7471">
        <f>IF(B7471="","",IFERROR(INDEX('Bad Patterns'!$A$2:$A$120,MATCH(1,INDEX(--ISNUMBER(SEARCH('Bad Patterns'!$A$2:$A$120,B7471)),0),0)),""))</f>
        <v/>
      </c>
      <c r="D7471">
        <f>IF(B7471="","",IF(C7471&lt;&gt;"","REMOVE","KEEP"))</f>
        <v/>
      </c>
      <c r="E7471">
        <f>IF(D7471&lt;&gt;"KEEP","",IF(RIGHT(B7471,10)="@gmail.com","Gmail",IF(OR(RIGHT(B7471,12)="@outlook.com",RIGHT(B7471,12)="@hotmail.com",RIGHT(B7471,9)="@live.com"),"Outlook","Domain")))</f>
        <v/>
      </c>
      <c r="F7471">
        <f>IF(B7471="","",IFERROR(RIGHT(B7471,LEN(B7471)-FIND("@",B7471)),""))</f>
        <v/>
      </c>
      <c r="G7471">
        <f>IF(D7471="KEEP",COUNTIF($D$2:D7471,"KEEP"),"")</f>
        <v/>
      </c>
      <c r="H7471">
        <f>IF(D7471="REMOVE",COUNTIF($D$2:D7471,"REMOVE"),"")</f>
        <v/>
      </c>
      <c r="I7471">
        <f>IF(E7471="Gmail",COUNTIF($E$2:E7471,"Gmail"),"")</f>
        <v/>
      </c>
      <c r="J7471">
        <f>IF(E7471="Outlook",COUNTIF($E$2:E7471,"Outlook"),"")</f>
        <v/>
      </c>
      <c r="K7471">
        <f>IF(E7471="Domain",COUNTIF($E$2:E7471,"Domain"),"")</f>
        <v/>
      </c>
    </row>
    <row r="7472">
      <c r="A7472" s="2" t="n"/>
      <c r="B7472">
        <f>LOWER(TRIM(A7472))</f>
        <v/>
      </c>
      <c r="C7472">
        <f>IF(B7472="","",IFERROR(INDEX('Bad Patterns'!$A$2:$A$120,MATCH(1,INDEX(--ISNUMBER(SEARCH('Bad Patterns'!$A$2:$A$120,B7472)),0),0)),""))</f>
        <v/>
      </c>
      <c r="D7472">
        <f>IF(B7472="","",IF(C7472&lt;&gt;"","REMOVE","KEEP"))</f>
        <v/>
      </c>
      <c r="E7472">
        <f>IF(D7472&lt;&gt;"KEEP","",IF(RIGHT(B7472,10)="@gmail.com","Gmail",IF(OR(RIGHT(B7472,12)="@outlook.com",RIGHT(B7472,12)="@hotmail.com",RIGHT(B7472,9)="@live.com"),"Outlook","Domain")))</f>
        <v/>
      </c>
      <c r="F7472">
        <f>IF(B7472="","",IFERROR(RIGHT(B7472,LEN(B7472)-FIND("@",B7472)),""))</f>
        <v/>
      </c>
      <c r="G7472">
        <f>IF(D7472="KEEP",COUNTIF($D$2:D7472,"KEEP"),"")</f>
        <v/>
      </c>
      <c r="H7472">
        <f>IF(D7472="REMOVE",COUNTIF($D$2:D7472,"REMOVE"),"")</f>
        <v/>
      </c>
      <c r="I7472">
        <f>IF(E7472="Gmail",COUNTIF($E$2:E7472,"Gmail"),"")</f>
        <v/>
      </c>
      <c r="J7472">
        <f>IF(E7472="Outlook",COUNTIF($E$2:E7472,"Outlook"),"")</f>
        <v/>
      </c>
      <c r="K7472">
        <f>IF(E7472="Domain",COUNTIF($E$2:E7472,"Domain"),"")</f>
        <v/>
      </c>
    </row>
    <row r="7473">
      <c r="A7473" s="2" t="n"/>
      <c r="B7473">
        <f>LOWER(TRIM(A7473))</f>
        <v/>
      </c>
      <c r="C7473">
        <f>IF(B7473="","",IFERROR(INDEX('Bad Patterns'!$A$2:$A$120,MATCH(1,INDEX(--ISNUMBER(SEARCH('Bad Patterns'!$A$2:$A$120,B7473)),0),0)),""))</f>
        <v/>
      </c>
      <c r="D7473">
        <f>IF(B7473="","",IF(C7473&lt;&gt;"","REMOVE","KEEP"))</f>
        <v/>
      </c>
      <c r="E7473">
        <f>IF(D7473&lt;&gt;"KEEP","",IF(RIGHT(B7473,10)="@gmail.com","Gmail",IF(OR(RIGHT(B7473,12)="@outlook.com",RIGHT(B7473,12)="@hotmail.com",RIGHT(B7473,9)="@live.com"),"Outlook","Domain")))</f>
        <v/>
      </c>
      <c r="F7473">
        <f>IF(B7473="","",IFERROR(RIGHT(B7473,LEN(B7473)-FIND("@",B7473)),""))</f>
        <v/>
      </c>
      <c r="G7473">
        <f>IF(D7473="KEEP",COUNTIF($D$2:D7473,"KEEP"),"")</f>
        <v/>
      </c>
      <c r="H7473">
        <f>IF(D7473="REMOVE",COUNTIF($D$2:D7473,"REMOVE"),"")</f>
        <v/>
      </c>
      <c r="I7473">
        <f>IF(E7473="Gmail",COUNTIF($E$2:E7473,"Gmail"),"")</f>
        <v/>
      </c>
      <c r="J7473">
        <f>IF(E7473="Outlook",COUNTIF($E$2:E7473,"Outlook"),"")</f>
        <v/>
      </c>
      <c r="K7473">
        <f>IF(E7473="Domain",COUNTIF($E$2:E7473,"Domain"),"")</f>
        <v/>
      </c>
    </row>
    <row r="7474">
      <c r="A7474" s="2" t="n"/>
      <c r="B7474">
        <f>LOWER(TRIM(A7474))</f>
        <v/>
      </c>
      <c r="C7474">
        <f>IF(B7474="","",IFERROR(INDEX('Bad Patterns'!$A$2:$A$120,MATCH(1,INDEX(--ISNUMBER(SEARCH('Bad Patterns'!$A$2:$A$120,B7474)),0),0)),""))</f>
        <v/>
      </c>
      <c r="D7474">
        <f>IF(B7474="","",IF(C7474&lt;&gt;"","REMOVE","KEEP"))</f>
        <v/>
      </c>
      <c r="E7474">
        <f>IF(D7474&lt;&gt;"KEEP","",IF(RIGHT(B7474,10)="@gmail.com","Gmail",IF(OR(RIGHT(B7474,12)="@outlook.com",RIGHT(B7474,12)="@hotmail.com",RIGHT(B7474,9)="@live.com"),"Outlook","Domain")))</f>
        <v/>
      </c>
      <c r="F7474">
        <f>IF(B7474="","",IFERROR(RIGHT(B7474,LEN(B7474)-FIND("@",B7474)),""))</f>
        <v/>
      </c>
      <c r="G7474">
        <f>IF(D7474="KEEP",COUNTIF($D$2:D7474,"KEEP"),"")</f>
        <v/>
      </c>
      <c r="H7474">
        <f>IF(D7474="REMOVE",COUNTIF($D$2:D7474,"REMOVE"),"")</f>
        <v/>
      </c>
      <c r="I7474">
        <f>IF(E7474="Gmail",COUNTIF($E$2:E7474,"Gmail"),"")</f>
        <v/>
      </c>
      <c r="J7474">
        <f>IF(E7474="Outlook",COUNTIF($E$2:E7474,"Outlook"),"")</f>
        <v/>
      </c>
      <c r="K7474">
        <f>IF(E7474="Domain",COUNTIF($E$2:E7474,"Domain"),"")</f>
        <v/>
      </c>
    </row>
    <row r="7475">
      <c r="A7475" s="2" t="n"/>
      <c r="B7475">
        <f>LOWER(TRIM(A7475))</f>
        <v/>
      </c>
      <c r="C7475">
        <f>IF(B7475="","",IFERROR(INDEX('Bad Patterns'!$A$2:$A$120,MATCH(1,INDEX(--ISNUMBER(SEARCH('Bad Patterns'!$A$2:$A$120,B7475)),0),0)),""))</f>
        <v/>
      </c>
      <c r="D7475">
        <f>IF(B7475="","",IF(C7475&lt;&gt;"","REMOVE","KEEP"))</f>
        <v/>
      </c>
      <c r="E7475">
        <f>IF(D7475&lt;&gt;"KEEP","",IF(RIGHT(B7475,10)="@gmail.com","Gmail",IF(OR(RIGHT(B7475,12)="@outlook.com",RIGHT(B7475,12)="@hotmail.com",RIGHT(B7475,9)="@live.com"),"Outlook","Domain")))</f>
        <v/>
      </c>
      <c r="F7475">
        <f>IF(B7475="","",IFERROR(RIGHT(B7475,LEN(B7475)-FIND("@",B7475)),""))</f>
        <v/>
      </c>
      <c r="G7475">
        <f>IF(D7475="KEEP",COUNTIF($D$2:D7475,"KEEP"),"")</f>
        <v/>
      </c>
      <c r="H7475">
        <f>IF(D7475="REMOVE",COUNTIF($D$2:D7475,"REMOVE"),"")</f>
        <v/>
      </c>
      <c r="I7475">
        <f>IF(E7475="Gmail",COUNTIF($E$2:E7475,"Gmail"),"")</f>
        <v/>
      </c>
      <c r="J7475">
        <f>IF(E7475="Outlook",COUNTIF($E$2:E7475,"Outlook"),"")</f>
        <v/>
      </c>
      <c r="K7475">
        <f>IF(E7475="Domain",COUNTIF($E$2:E7475,"Domain"),"")</f>
        <v/>
      </c>
    </row>
    <row r="7476">
      <c r="A7476" s="2" t="n"/>
      <c r="B7476">
        <f>LOWER(TRIM(A7476))</f>
        <v/>
      </c>
      <c r="C7476">
        <f>IF(B7476="","",IFERROR(INDEX('Bad Patterns'!$A$2:$A$120,MATCH(1,INDEX(--ISNUMBER(SEARCH('Bad Patterns'!$A$2:$A$120,B7476)),0),0)),""))</f>
        <v/>
      </c>
      <c r="D7476">
        <f>IF(B7476="","",IF(C7476&lt;&gt;"","REMOVE","KEEP"))</f>
        <v/>
      </c>
      <c r="E7476">
        <f>IF(D7476&lt;&gt;"KEEP","",IF(RIGHT(B7476,10)="@gmail.com","Gmail",IF(OR(RIGHT(B7476,12)="@outlook.com",RIGHT(B7476,12)="@hotmail.com",RIGHT(B7476,9)="@live.com"),"Outlook","Domain")))</f>
        <v/>
      </c>
      <c r="F7476">
        <f>IF(B7476="","",IFERROR(RIGHT(B7476,LEN(B7476)-FIND("@",B7476)),""))</f>
        <v/>
      </c>
      <c r="G7476">
        <f>IF(D7476="KEEP",COUNTIF($D$2:D7476,"KEEP"),"")</f>
        <v/>
      </c>
      <c r="H7476">
        <f>IF(D7476="REMOVE",COUNTIF($D$2:D7476,"REMOVE"),"")</f>
        <v/>
      </c>
      <c r="I7476">
        <f>IF(E7476="Gmail",COUNTIF($E$2:E7476,"Gmail"),"")</f>
        <v/>
      </c>
      <c r="J7476">
        <f>IF(E7476="Outlook",COUNTIF($E$2:E7476,"Outlook"),"")</f>
        <v/>
      </c>
      <c r="K7476">
        <f>IF(E7476="Domain",COUNTIF($E$2:E7476,"Domain"),"")</f>
        <v/>
      </c>
    </row>
    <row r="7477">
      <c r="A7477" s="2" t="n"/>
      <c r="B7477">
        <f>LOWER(TRIM(A7477))</f>
        <v/>
      </c>
      <c r="C7477">
        <f>IF(B7477="","",IFERROR(INDEX('Bad Patterns'!$A$2:$A$120,MATCH(1,INDEX(--ISNUMBER(SEARCH('Bad Patterns'!$A$2:$A$120,B7477)),0),0)),""))</f>
        <v/>
      </c>
      <c r="D7477">
        <f>IF(B7477="","",IF(C7477&lt;&gt;"","REMOVE","KEEP"))</f>
        <v/>
      </c>
      <c r="E7477">
        <f>IF(D7477&lt;&gt;"KEEP","",IF(RIGHT(B7477,10)="@gmail.com","Gmail",IF(OR(RIGHT(B7477,12)="@outlook.com",RIGHT(B7477,12)="@hotmail.com",RIGHT(B7477,9)="@live.com"),"Outlook","Domain")))</f>
        <v/>
      </c>
      <c r="F7477">
        <f>IF(B7477="","",IFERROR(RIGHT(B7477,LEN(B7477)-FIND("@",B7477)),""))</f>
        <v/>
      </c>
      <c r="G7477">
        <f>IF(D7477="KEEP",COUNTIF($D$2:D7477,"KEEP"),"")</f>
        <v/>
      </c>
      <c r="H7477">
        <f>IF(D7477="REMOVE",COUNTIF($D$2:D7477,"REMOVE"),"")</f>
        <v/>
      </c>
      <c r="I7477">
        <f>IF(E7477="Gmail",COUNTIF($E$2:E7477,"Gmail"),"")</f>
        <v/>
      </c>
      <c r="J7477">
        <f>IF(E7477="Outlook",COUNTIF($E$2:E7477,"Outlook"),"")</f>
        <v/>
      </c>
      <c r="K7477">
        <f>IF(E7477="Domain",COUNTIF($E$2:E7477,"Domain"),"")</f>
        <v/>
      </c>
    </row>
    <row r="7478">
      <c r="A7478" s="2" t="n"/>
      <c r="B7478">
        <f>LOWER(TRIM(A7478))</f>
        <v/>
      </c>
      <c r="C7478">
        <f>IF(B7478="","",IFERROR(INDEX('Bad Patterns'!$A$2:$A$120,MATCH(1,INDEX(--ISNUMBER(SEARCH('Bad Patterns'!$A$2:$A$120,B7478)),0),0)),""))</f>
        <v/>
      </c>
      <c r="D7478">
        <f>IF(B7478="","",IF(C7478&lt;&gt;"","REMOVE","KEEP"))</f>
        <v/>
      </c>
      <c r="E7478">
        <f>IF(D7478&lt;&gt;"KEEP","",IF(RIGHT(B7478,10)="@gmail.com","Gmail",IF(OR(RIGHT(B7478,12)="@outlook.com",RIGHT(B7478,12)="@hotmail.com",RIGHT(B7478,9)="@live.com"),"Outlook","Domain")))</f>
        <v/>
      </c>
      <c r="F7478">
        <f>IF(B7478="","",IFERROR(RIGHT(B7478,LEN(B7478)-FIND("@",B7478)),""))</f>
        <v/>
      </c>
      <c r="G7478">
        <f>IF(D7478="KEEP",COUNTIF($D$2:D7478,"KEEP"),"")</f>
        <v/>
      </c>
      <c r="H7478">
        <f>IF(D7478="REMOVE",COUNTIF($D$2:D7478,"REMOVE"),"")</f>
        <v/>
      </c>
      <c r="I7478">
        <f>IF(E7478="Gmail",COUNTIF($E$2:E7478,"Gmail"),"")</f>
        <v/>
      </c>
      <c r="J7478">
        <f>IF(E7478="Outlook",COUNTIF($E$2:E7478,"Outlook"),"")</f>
        <v/>
      </c>
      <c r="K7478">
        <f>IF(E7478="Domain",COUNTIF($E$2:E7478,"Domain"),"")</f>
        <v/>
      </c>
    </row>
    <row r="7479">
      <c r="A7479" s="2" t="n"/>
      <c r="B7479">
        <f>LOWER(TRIM(A7479))</f>
        <v/>
      </c>
      <c r="C7479">
        <f>IF(B7479="","",IFERROR(INDEX('Bad Patterns'!$A$2:$A$120,MATCH(1,INDEX(--ISNUMBER(SEARCH('Bad Patterns'!$A$2:$A$120,B7479)),0),0)),""))</f>
        <v/>
      </c>
      <c r="D7479">
        <f>IF(B7479="","",IF(C7479&lt;&gt;"","REMOVE","KEEP"))</f>
        <v/>
      </c>
      <c r="E7479">
        <f>IF(D7479&lt;&gt;"KEEP","",IF(RIGHT(B7479,10)="@gmail.com","Gmail",IF(OR(RIGHT(B7479,12)="@outlook.com",RIGHT(B7479,12)="@hotmail.com",RIGHT(B7479,9)="@live.com"),"Outlook","Domain")))</f>
        <v/>
      </c>
      <c r="F7479">
        <f>IF(B7479="","",IFERROR(RIGHT(B7479,LEN(B7479)-FIND("@",B7479)),""))</f>
        <v/>
      </c>
      <c r="G7479">
        <f>IF(D7479="KEEP",COUNTIF($D$2:D7479,"KEEP"),"")</f>
        <v/>
      </c>
      <c r="H7479">
        <f>IF(D7479="REMOVE",COUNTIF($D$2:D7479,"REMOVE"),"")</f>
        <v/>
      </c>
      <c r="I7479">
        <f>IF(E7479="Gmail",COUNTIF($E$2:E7479,"Gmail"),"")</f>
        <v/>
      </c>
      <c r="J7479">
        <f>IF(E7479="Outlook",COUNTIF($E$2:E7479,"Outlook"),"")</f>
        <v/>
      </c>
      <c r="K7479">
        <f>IF(E7479="Domain",COUNTIF($E$2:E7479,"Domain"),"")</f>
        <v/>
      </c>
    </row>
    <row r="7480">
      <c r="A7480" s="2" t="n"/>
      <c r="B7480">
        <f>LOWER(TRIM(A7480))</f>
        <v/>
      </c>
      <c r="C7480">
        <f>IF(B7480="","",IFERROR(INDEX('Bad Patterns'!$A$2:$A$120,MATCH(1,INDEX(--ISNUMBER(SEARCH('Bad Patterns'!$A$2:$A$120,B7480)),0),0)),""))</f>
        <v/>
      </c>
      <c r="D7480">
        <f>IF(B7480="","",IF(C7480&lt;&gt;"","REMOVE","KEEP"))</f>
        <v/>
      </c>
      <c r="E7480">
        <f>IF(D7480&lt;&gt;"KEEP","",IF(RIGHT(B7480,10)="@gmail.com","Gmail",IF(OR(RIGHT(B7480,12)="@outlook.com",RIGHT(B7480,12)="@hotmail.com",RIGHT(B7480,9)="@live.com"),"Outlook","Domain")))</f>
        <v/>
      </c>
      <c r="F7480">
        <f>IF(B7480="","",IFERROR(RIGHT(B7480,LEN(B7480)-FIND("@",B7480)),""))</f>
        <v/>
      </c>
      <c r="G7480">
        <f>IF(D7480="KEEP",COUNTIF($D$2:D7480,"KEEP"),"")</f>
        <v/>
      </c>
      <c r="H7480">
        <f>IF(D7480="REMOVE",COUNTIF($D$2:D7480,"REMOVE"),"")</f>
        <v/>
      </c>
      <c r="I7480">
        <f>IF(E7480="Gmail",COUNTIF($E$2:E7480,"Gmail"),"")</f>
        <v/>
      </c>
      <c r="J7480">
        <f>IF(E7480="Outlook",COUNTIF($E$2:E7480,"Outlook"),"")</f>
        <v/>
      </c>
      <c r="K7480">
        <f>IF(E7480="Domain",COUNTIF($E$2:E7480,"Domain"),"")</f>
        <v/>
      </c>
    </row>
    <row r="7481">
      <c r="A7481" s="2" t="n"/>
      <c r="B7481">
        <f>LOWER(TRIM(A7481))</f>
        <v/>
      </c>
      <c r="C7481">
        <f>IF(B7481="","",IFERROR(INDEX('Bad Patterns'!$A$2:$A$120,MATCH(1,INDEX(--ISNUMBER(SEARCH('Bad Patterns'!$A$2:$A$120,B7481)),0),0)),""))</f>
        <v/>
      </c>
      <c r="D7481">
        <f>IF(B7481="","",IF(C7481&lt;&gt;"","REMOVE","KEEP"))</f>
        <v/>
      </c>
      <c r="E7481">
        <f>IF(D7481&lt;&gt;"KEEP","",IF(RIGHT(B7481,10)="@gmail.com","Gmail",IF(OR(RIGHT(B7481,12)="@outlook.com",RIGHT(B7481,12)="@hotmail.com",RIGHT(B7481,9)="@live.com"),"Outlook","Domain")))</f>
        <v/>
      </c>
      <c r="F7481">
        <f>IF(B7481="","",IFERROR(RIGHT(B7481,LEN(B7481)-FIND("@",B7481)),""))</f>
        <v/>
      </c>
      <c r="G7481">
        <f>IF(D7481="KEEP",COUNTIF($D$2:D7481,"KEEP"),"")</f>
        <v/>
      </c>
      <c r="H7481">
        <f>IF(D7481="REMOVE",COUNTIF($D$2:D7481,"REMOVE"),"")</f>
        <v/>
      </c>
      <c r="I7481">
        <f>IF(E7481="Gmail",COUNTIF($E$2:E7481,"Gmail"),"")</f>
        <v/>
      </c>
      <c r="J7481">
        <f>IF(E7481="Outlook",COUNTIF($E$2:E7481,"Outlook"),"")</f>
        <v/>
      </c>
      <c r="K7481">
        <f>IF(E7481="Domain",COUNTIF($E$2:E7481,"Domain"),"")</f>
        <v/>
      </c>
    </row>
    <row r="7482">
      <c r="A7482" s="2" t="n"/>
      <c r="B7482">
        <f>LOWER(TRIM(A7482))</f>
        <v/>
      </c>
      <c r="C7482">
        <f>IF(B7482="","",IFERROR(INDEX('Bad Patterns'!$A$2:$A$120,MATCH(1,INDEX(--ISNUMBER(SEARCH('Bad Patterns'!$A$2:$A$120,B7482)),0),0)),""))</f>
        <v/>
      </c>
      <c r="D7482">
        <f>IF(B7482="","",IF(C7482&lt;&gt;"","REMOVE","KEEP"))</f>
        <v/>
      </c>
      <c r="E7482">
        <f>IF(D7482&lt;&gt;"KEEP","",IF(RIGHT(B7482,10)="@gmail.com","Gmail",IF(OR(RIGHT(B7482,12)="@outlook.com",RIGHT(B7482,12)="@hotmail.com",RIGHT(B7482,9)="@live.com"),"Outlook","Domain")))</f>
        <v/>
      </c>
      <c r="F7482">
        <f>IF(B7482="","",IFERROR(RIGHT(B7482,LEN(B7482)-FIND("@",B7482)),""))</f>
        <v/>
      </c>
      <c r="G7482">
        <f>IF(D7482="KEEP",COUNTIF($D$2:D7482,"KEEP"),"")</f>
        <v/>
      </c>
      <c r="H7482">
        <f>IF(D7482="REMOVE",COUNTIF($D$2:D7482,"REMOVE"),"")</f>
        <v/>
      </c>
      <c r="I7482">
        <f>IF(E7482="Gmail",COUNTIF($E$2:E7482,"Gmail"),"")</f>
        <v/>
      </c>
      <c r="J7482">
        <f>IF(E7482="Outlook",COUNTIF($E$2:E7482,"Outlook"),"")</f>
        <v/>
      </c>
      <c r="K7482">
        <f>IF(E7482="Domain",COUNTIF($E$2:E7482,"Domain"),"")</f>
        <v/>
      </c>
    </row>
    <row r="7483">
      <c r="A7483" s="2" t="n"/>
      <c r="B7483">
        <f>LOWER(TRIM(A7483))</f>
        <v/>
      </c>
      <c r="C7483">
        <f>IF(B7483="","",IFERROR(INDEX('Bad Patterns'!$A$2:$A$120,MATCH(1,INDEX(--ISNUMBER(SEARCH('Bad Patterns'!$A$2:$A$120,B7483)),0),0)),""))</f>
        <v/>
      </c>
      <c r="D7483">
        <f>IF(B7483="","",IF(C7483&lt;&gt;"","REMOVE","KEEP"))</f>
        <v/>
      </c>
      <c r="E7483">
        <f>IF(D7483&lt;&gt;"KEEP","",IF(RIGHT(B7483,10)="@gmail.com","Gmail",IF(OR(RIGHT(B7483,12)="@outlook.com",RIGHT(B7483,12)="@hotmail.com",RIGHT(B7483,9)="@live.com"),"Outlook","Domain")))</f>
        <v/>
      </c>
      <c r="F7483">
        <f>IF(B7483="","",IFERROR(RIGHT(B7483,LEN(B7483)-FIND("@",B7483)),""))</f>
        <v/>
      </c>
      <c r="G7483">
        <f>IF(D7483="KEEP",COUNTIF($D$2:D7483,"KEEP"),"")</f>
        <v/>
      </c>
      <c r="H7483">
        <f>IF(D7483="REMOVE",COUNTIF($D$2:D7483,"REMOVE"),"")</f>
        <v/>
      </c>
      <c r="I7483">
        <f>IF(E7483="Gmail",COUNTIF($E$2:E7483,"Gmail"),"")</f>
        <v/>
      </c>
      <c r="J7483">
        <f>IF(E7483="Outlook",COUNTIF($E$2:E7483,"Outlook"),"")</f>
        <v/>
      </c>
      <c r="K7483">
        <f>IF(E7483="Domain",COUNTIF($E$2:E7483,"Domain"),"")</f>
        <v/>
      </c>
    </row>
    <row r="7484">
      <c r="A7484" s="2" t="n"/>
      <c r="B7484">
        <f>LOWER(TRIM(A7484))</f>
        <v/>
      </c>
      <c r="C7484">
        <f>IF(B7484="","",IFERROR(INDEX('Bad Patterns'!$A$2:$A$120,MATCH(1,INDEX(--ISNUMBER(SEARCH('Bad Patterns'!$A$2:$A$120,B7484)),0),0)),""))</f>
        <v/>
      </c>
      <c r="D7484">
        <f>IF(B7484="","",IF(C7484&lt;&gt;"","REMOVE","KEEP"))</f>
        <v/>
      </c>
      <c r="E7484">
        <f>IF(D7484&lt;&gt;"KEEP","",IF(RIGHT(B7484,10)="@gmail.com","Gmail",IF(OR(RIGHT(B7484,12)="@outlook.com",RIGHT(B7484,12)="@hotmail.com",RIGHT(B7484,9)="@live.com"),"Outlook","Domain")))</f>
        <v/>
      </c>
      <c r="F7484">
        <f>IF(B7484="","",IFERROR(RIGHT(B7484,LEN(B7484)-FIND("@",B7484)),""))</f>
        <v/>
      </c>
      <c r="G7484">
        <f>IF(D7484="KEEP",COUNTIF($D$2:D7484,"KEEP"),"")</f>
        <v/>
      </c>
      <c r="H7484">
        <f>IF(D7484="REMOVE",COUNTIF($D$2:D7484,"REMOVE"),"")</f>
        <v/>
      </c>
      <c r="I7484">
        <f>IF(E7484="Gmail",COUNTIF($E$2:E7484,"Gmail"),"")</f>
        <v/>
      </c>
      <c r="J7484">
        <f>IF(E7484="Outlook",COUNTIF($E$2:E7484,"Outlook"),"")</f>
        <v/>
      </c>
      <c r="K7484">
        <f>IF(E7484="Domain",COUNTIF($E$2:E7484,"Domain"),"")</f>
        <v/>
      </c>
    </row>
    <row r="7485">
      <c r="A7485" s="2" t="n"/>
      <c r="B7485">
        <f>LOWER(TRIM(A7485))</f>
        <v/>
      </c>
      <c r="C7485">
        <f>IF(B7485="","",IFERROR(INDEX('Bad Patterns'!$A$2:$A$120,MATCH(1,INDEX(--ISNUMBER(SEARCH('Bad Patterns'!$A$2:$A$120,B7485)),0),0)),""))</f>
        <v/>
      </c>
      <c r="D7485">
        <f>IF(B7485="","",IF(C7485&lt;&gt;"","REMOVE","KEEP"))</f>
        <v/>
      </c>
      <c r="E7485">
        <f>IF(D7485&lt;&gt;"KEEP","",IF(RIGHT(B7485,10)="@gmail.com","Gmail",IF(OR(RIGHT(B7485,12)="@outlook.com",RIGHT(B7485,12)="@hotmail.com",RIGHT(B7485,9)="@live.com"),"Outlook","Domain")))</f>
        <v/>
      </c>
      <c r="F7485">
        <f>IF(B7485="","",IFERROR(RIGHT(B7485,LEN(B7485)-FIND("@",B7485)),""))</f>
        <v/>
      </c>
      <c r="G7485">
        <f>IF(D7485="KEEP",COUNTIF($D$2:D7485,"KEEP"),"")</f>
        <v/>
      </c>
      <c r="H7485">
        <f>IF(D7485="REMOVE",COUNTIF($D$2:D7485,"REMOVE"),"")</f>
        <v/>
      </c>
      <c r="I7485">
        <f>IF(E7485="Gmail",COUNTIF($E$2:E7485,"Gmail"),"")</f>
        <v/>
      </c>
      <c r="J7485">
        <f>IF(E7485="Outlook",COUNTIF($E$2:E7485,"Outlook"),"")</f>
        <v/>
      </c>
      <c r="K7485">
        <f>IF(E7485="Domain",COUNTIF($E$2:E7485,"Domain"),"")</f>
        <v/>
      </c>
    </row>
    <row r="7486">
      <c r="A7486" s="2" t="n"/>
      <c r="B7486">
        <f>LOWER(TRIM(A7486))</f>
        <v/>
      </c>
      <c r="C7486">
        <f>IF(B7486="","",IFERROR(INDEX('Bad Patterns'!$A$2:$A$120,MATCH(1,INDEX(--ISNUMBER(SEARCH('Bad Patterns'!$A$2:$A$120,B7486)),0),0)),""))</f>
        <v/>
      </c>
      <c r="D7486">
        <f>IF(B7486="","",IF(C7486&lt;&gt;"","REMOVE","KEEP"))</f>
        <v/>
      </c>
      <c r="E7486">
        <f>IF(D7486&lt;&gt;"KEEP","",IF(RIGHT(B7486,10)="@gmail.com","Gmail",IF(OR(RIGHT(B7486,12)="@outlook.com",RIGHT(B7486,12)="@hotmail.com",RIGHT(B7486,9)="@live.com"),"Outlook","Domain")))</f>
        <v/>
      </c>
      <c r="F7486">
        <f>IF(B7486="","",IFERROR(RIGHT(B7486,LEN(B7486)-FIND("@",B7486)),""))</f>
        <v/>
      </c>
      <c r="G7486">
        <f>IF(D7486="KEEP",COUNTIF($D$2:D7486,"KEEP"),"")</f>
        <v/>
      </c>
      <c r="H7486">
        <f>IF(D7486="REMOVE",COUNTIF($D$2:D7486,"REMOVE"),"")</f>
        <v/>
      </c>
      <c r="I7486">
        <f>IF(E7486="Gmail",COUNTIF($E$2:E7486,"Gmail"),"")</f>
        <v/>
      </c>
      <c r="J7486">
        <f>IF(E7486="Outlook",COUNTIF($E$2:E7486,"Outlook"),"")</f>
        <v/>
      </c>
      <c r="K7486">
        <f>IF(E7486="Domain",COUNTIF($E$2:E7486,"Domain"),"")</f>
        <v/>
      </c>
    </row>
    <row r="7487">
      <c r="A7487" s="2" t="n"/>
      <c r="B7487">
        <f>LOWER(TRIM(A7487))</f>
        <v/>
      </c>
      <c r="C7487">
        <f>IF(B7487="","",IFERROR(INDEX('Bad Patterns'!$A$2:$A$120,MATCH(1,INDEX(--ISNUMBER(SEARCH('Bad Patterns'!$A$2:$A$120,B7487)),0),0)),""))</f>
        <v/>
      </c>
      <c r="D7487">
        <f>IF(B7487="","",IF(C7487&lt;&gt;"","REMOVE","KEEP"))</f>
        <v/>
      </c>
      <c r="E7487">
        <f>IF(D7487&lt;&gt;"KEEP","",IF(RIGHT(B7487,10)="@gmail.com","Gmail",IF(OR(RIGHT(B7487,12)="@outlook.com",RIGHT(B7487,12)="@hotmail.com",RIGHT(B7487,9)="@live.com"),"Outlook","Domain")))</f>
        <v/>
      </c>
      <c r="F7487">
        <f>IF(B7487="","",IFERROR(RIGHT(B7487,LEN(B7487)-FIND("@",B7487)),""))</f>
        <v/>
      </c>
      <c r="G7487">
        <f>IF(D7487="KEEP",COUNTIF($D$2:D7487,"KEEP"),"")</f>
        <v/>
      </c>
      <c r="H7487">
        <f>IF(D7487="REMOVE",COUNTIF($D$2:D7487,"REMOVE"),"")</f>
        <v/>
      </c>
      <c r="I7487">
        <f>IF(E7487="Gmail",COUNTIF($E$2:E7487,"Gmail"),"")</f>
        <v/>
      </c>
      <c r="J7487">
        <f>IF(E7487="Outlook",COUNTIF($E$2:E7487,"Outlook"),"")</f>
        <v/>
      </c>
      <c r="K7487">
        <f>IF(E7487="Domain",COUNTIF($E$2:E7487,"Domain"),"")</f>
        <v/>
      </c>
    </row>
    <row r="7488">
      <c r="A7488" s="2" t="n"/>
      <c r="B7488">
        <f>LOWER(TRIM(A7488))</f>
        <v/>
      </c>
      <c r="C7488">
        <f>IF(B7488="","",IFERROR(INDEX('Bad Patterns'!$A$2:$A$120,MATCH(1,INDEX(--ISNUMBER(SEARCH('Bad Patterns'!$A$2:$A$120,B7488)),0),0)),""))</f>
        <v/>
      </c>
      <c r="D7488">
        <f>IF(B7488="","",IF(C7488&lt;&gt;"","REMOVE","KEEP"))</f>
        <v/>
      </c>
      <c r="E7488">
        <f>IF(D7488&lt;&gt;"KEEP","",IF(RIGHT(B7488,10)="@gmail.com","Gmail",IF(OR(RIGHT(B7488,12)="@outlook.com",RIGHT(B7488,12)="@hotmail.com",RIGHT(B7488,9)="@live.com"),"Outlook","Domain")))</f>
        <v/>
      </c>
      <c r="F7488">
        <f>IF(B7488="","",IFERROR(RIGHT(B7488,LEN(B7488)-FIND("@",B7488)),""))</f>
        <v/>
      </c>
      <c r="G7488">
        <f>IF(D7488="KEEP",COUNTIF($D$2:D7488,"KEEP"),"")</f>
        <v/>
      </c>
      <c r="H7488">
        <f>IF(D7488="REMOVE",COUNTIF($D$2:D7488,"REMOVE"),"")</f>
        <v/>
      </c>
      <c r="I7488">
        <f>IF(E7488="Gmail",COUNTIF($E$2:E7488,"Gmail"),"")</f>
        <v/>
      </c>
      <c r="J7488">
        <f>IF(E7488="Outlook",COUNTIF($E$2:E7488,"Outlook"),"")</f>
        <v/>
      </c>
      <c r="K7488">
        <f>IF(E7488="Domain",COUNTIF($E$2:E7488,"Domain"),"")</f>
        <v/>
      </c>
    </row>
    <row r="7489">
      <c r="A7489" s="2" t="n"/>
      <c r="B7489">
        <f>LOWER(TRIM(A7489))</f>
        <v/>
      </c>
      <c r="C7489">
        <f>IF(B7489="","",IFERROR(INDEX('Bad Patterns'!$A$2:$A$120,MATCH(1,INDEX(--ISNUMBER(SEARCH('Bad Patterns'!$A$2:$A$120,B7489)),0),0)),""))</f>
        <v/>
      </c>
      <c r="D7489">
        <f>IF(B7489="","",IF(C7489&lt;&gt;"","REMOVE","KEEP"))</f>
        <v/>
      </c>
      <c r="E7489">
        <f>IF(D7489&lt;&gt;"KEEP","",IF(RIGHT(B7489,10)="@gmail.com","Gmail",IF(OR(RIGHT(B7489,12)="@outlook.com",RIGHT(B7489,12)="@hotmail.com",RIGHT(B7489,9)="@live.com"),"Outlook","Domain")))</f>
        <v/>
      </c>
      <c r="F7489">
        <f>IF(B7489="","",IFERROR(RIGHT(B7489,LEN(B7489)-FIND("@",B7489)),""))</f>
        <v/>
      </c>
      <c r="G7489">
        <f>IF(D7489="KEEP",COUNTIF($D$2:D7489,"KEEP"),"")</f>
        <v/>
      </c>
      <c r="H7489">
        <f>IF(D7489="REMOVE",COUNTIF($D$2:D7489,"REMOVE"),"")</f>
        <v/>
      </c>
      <c r="I7489">
        <f>IF(E7489="Gmail",COUNTIF($E$2:E7489,"Gmail"),"")</f>
        <v/>
      </c>
      <c r="J7489">
        <f>IF(E7489="Outlook",COUNTIF($E$2:E7489,"Outlook"),"")</f>
        <v/>
      </c>
      <c r="K7489">
        <f>IF(E7489="Domain",COUNTIF($E$2:E7489,"Domain"),"")</f>
        <v/>
      </c>
    </row>
    <row r="7490">
      <c r="A7490" s="2" t="n"/>
      <c r="B7490">
        <f>LOWER(TRIM(A7490))</f>
        <v/>
      </c>
      <c r="C7490">
        <f>IF(B7490="","",IFERROR(INDEX('Bad Patterns'!$A$2:$A$120,MATCH(1,INDEX(--ISNUMBER(SEARCH('Bad Patterns'!$A$2:$A$120,B7490)),0),0)),""))</f>
        <v/>
      </c>
      <c r="D7490">
        <f>IF(B7490="","",IF(C7490&lt;&gt;"","REMOVE","KEEP"))</f>
        <v/>
      </c>
      <c r="E7490">
        <f>IF(D7490&lt;&gt;"KEEP","",IF(RIGHT(B7490,10)="@gmail.com","Gmail",IF(OR(RIGHT(B7490,12)="@outlook.com",RIGHT(B7490,12)="@hotmail.com",RIGHT(B7490,9)="@live.com"),"Outlook","Domain")))</f>
        <v/>
      </c>
      <c r="F7490">
        <f>IF(B7490="","",IFERROR(RIGHT(B7490,LEN(B7490)-FIND("@",B7490)),""))</f>
        <v/>
      </c>
      <c r="G7490">
        <f>IF(D7490="KEEP",COUNTIF($D$2:D7490,"KEEP"),"")</f>
        <v/>
      </c>
      <c r="H7490">
        <f>IF(D7490="REMOVE",COUNTIF($D$2:D7490,"REMOVE"),"")</f>
        <v/>
      </c>
      <c r="I7490">
        <f>IF(E7490="Gmail",COUNTIF($E$2:E7490,"Gmail"),"")</f>
        <v/>
      </c>
      <c r="J7490">
        <f>IF(E7490="Outlook",COUNTIF($E$2:E7490,"Outlook"),"")</f>
        <v/>
      </c>
      <c r="K7490">
        <f>IF(E7490="Domain",COUNTIF($E$2:E7490,"Domain"),"")</f>
        <v/>
      </c>
    </row>
    <row r="7491">
      <c r="A7491" s="2" t="n"/>
      <c r="B7491">
        <f>LOWER(TRIM(A7491))</f>
        <v/>
      </c>
      <c r="C7491">
        <f>IF(B7491="","",IFERROR(INDEX('Bad Patterns'!$A$2:$A$120,MATCH(1,INDEX(--ISNUMBER(SEARCH('Bad Patterns'!$A$2:$A$120,B7491)),0),0)),""))</f>
        <v/>
      </c>
      <c r="D7491">
        <f>IF(B7491="","",IF(C7491&lt;&gt;"","REMOVE","KEEP"))</f>
        <v/>
      </c>
      <c r="E7491">
        <f>IF(D7491&lt;&gt;"KEEP","",IF(RIGHT(B7491,10)="@gmail.com","Gmail",IF(OR(RIGHT(B7491,12)="@outlook.com",RIGHT(B7491,12)="@hotmail.com",RIGHT(B7491,9)="@live.com"),"Outlook","Domain")))</f>
        <v/>
      </c>
      <c r="F7491">
        <f>IF(B7491="","",IFERROR(RIGHT(B7491,LEN(B7491)-FIND("@",B7491)),""))</f>
        <v/>
      </c>
      <c r="G7491">
        <f>IF(D7491="KEEP",COUNTIF($D$2:D7491,"KEEP"),"")</f>
        <v/>
      </c>
      <c r="H7491">
        <f>IF(D7491="REMOVE",COUNTIF($D$2:D7491,"REMOVE"),"")</f>
        <v/>
      </c>
      <c r="I7491">
        <f>IF(E7491="Gmail",COUNTIF($E$2:E7491,"Gmail"),"")</f>
        <v/>
      </c>
      <c r="J7491">
        <f>IF(E7491="Outlook",COUNTIF($E$2:E7491,"Outlook"),"")</f>
        <v/>
      </c>
      <c r="K7491">
        <f>IF(E7491="Domain",COUNTIF($E$2:E7491,"Domain"),"")</f>
        <v/>
      </c>
    </row>
    <row r="7492">
      <c r="A7492" s="2" t="n"/>
      <c r="B7492">
        <f>LOWER(TRIM(A7492))</f>
        <v/>
      </c>
      <c r="C7492">
        <f>IF(B7492="","",IFERROR(INDEX('Bad Patterns'!$A$2:$A$120,MATCH(1,INDEX(--ISNUMBER(SEARCH('Bad Patterns'!$A$2:$A$120,B7492)),0),0)),""))</f>
        <v/>
      </c>
      <c r="D7492">
        <f>IF(B7492="","",IF(C7492&lt;&gt;"","REMOVE","KEEP"))</f>
        <v/>
      </c>
      <c r="E7492">
        <f>IF(D7492&lt;&gt;"KEEP","",IF(RIGHT(B7492,10)="@gmail.com","Gmail",IF(OR(RIGHT(B7492,12)="@outlook.com",RIGHT(B7492,12)="@hotmail.com",RIGHT(B7492,9)="@live.com"),"Outlook","Domain")))</f>
        <v/>
      </c>
      <c r="F7492">
        <f>IF(B7492="","",IFERROR(RIGHT(B7492,LEN(B7492)-FIND("@",B7492)),""))</f>
        <v/>
      </c>
      <c r="G7492">
        <f>IF(D7492="KEEP",COUNTIF($D$2:D7492,"KEEP"),"")</f>
        <v/>
      </c>
      <c r="H7492">
        <f>IF(D7492="REMOVE",COUNTIF($D$2:D7492,"REMOVE"),"")</f>
        <v/>
      </c>
      <c r="I7492">
        <f>IF(E7492="Gmail",COUNTIF($E$2:E7492,"Gmail"),"")</f>
        <v/>
      </c>
      <c r="J7492">
        <f>IF(E7492="Outlook",COUNTIF($E$2:E7492,"Outlook"),"")</f>
        <v/>
      </c>
      <c r="K7492">
        <f>IF(E7492="Domain",COUNTIF($E$2:E7492,"Domain"),"")</f>
        <v/>
      </c>
    </row>
    <row r="7493">
      <c r="A7493" s="2" t="n"/>
      <c r="B7493">
        <f>LOWER(TRIM(A7493))</f>
        <v/>
      </c>
      <c r="C7493">
        <f>IF(B7493="","",IFERROR(INDEX('Bad Patterns'!$A$2:$A$120,MATCH(1,INDEX(--ISNUMBER(SEARCH('Bad Patterns'!$A$2:$A$120,B7493)),0),0)),""))</f>
        <v/>
      </c>
      <c r="D7493">
        <f>IF(B7493="","",IF(C7493&lt;&gt;"","REMOVE","KEEP"))</f>
        <v/>
      </c>
      <c r="E7493">
        <f>IF(D7493&lt;&gt;"KEEP","",IF(RIGHT(B7493,10)="@gmail.com","Gmail",IF(OR(RIGHT(B7493,12)="@outlook.com",RIGHT(B7493,12)="@hotmail.com",RIGHT(B7493,9)="@live.com"),"Outlook","Domain")))</f>
        <v/>
      </c>
      <c r="F7493">
        <f>IF(B7493="","",IFERROR(RIGHT(B7493,LEN(B7493)-FIND("@",B7493)),""))</f>
        <v/>
      </c>
      <c r="G7493">
        <f>IF(D7493="KEEP",COUNTIF($D$2:D7493,"KEEP"),"")</f>
        <v/>
      </c>
      <c r="H7493">
        <f>IF(D7493="REMOVE",COUNTIF($D$2:D7493,"REMOVE"),"")</f>
        <v/>
      </c>
      <c r="I7493">
        <f>IF(E7493="Gmail",COUNTIF($E$2:E7493,"Gmail"),"")</f>
        <v/>
      </c>
      <c r="J7493">
        <f>IF(E7493="Outlook",COUNTIF($E$2:E7493,"Outlook"),"")</f>
        <v/>
      </c>
      <c r="K7493">
        <f>IF(E7493="Domain",COUNTIF($E$2:E7493,"Domain"),"")</f>
        <v/>
      </c>
    </row>
    <row r="7494">
      <c r="A7494" s="2" t="n"/>
      <c r="B7494">
        <f>LOWER(TRIM(A7494))</f>
        <v/>
      </c>
      <c r="C7494">
        <f>IF(B7494="","",IFERROR(INDEX('Bad Patterns'!$A$2:$A$120,MATCH(1,INDEX(--ISNUMBER(SEARCH('Bad Patterns'!$A$2:$A$120,B7494)),0),0)),""))</f>
        <v/>
      </c>
      <c r="D7494">
        <f>IF(B7494="","",IF(C7494&lt;&gt;"","REMOVE","KEEP"))</f>
        <v/>
      </c>
      <c r="E7494">
        <f>IF(D7494&lt;&gt;"KEEP","",IF(RIGHT(B7494,10)="@gmail.com","Gmail",IF(OR(RIGHT(B7494,12)="@outlook.com",RIGHT(B7494,12)="@hotmail.com",RIGHT(B7494,9)="@live.com"),"Outlook","Domain")))</f>
        <v/>
      </c>
      <c r="F7494">
        <f>IF(B7494="","",IFERROR(RIGHT(B7494,LEN(B7494)-FIND("@",B7494)),""))</f>
        <v/>
      </c>
      <c r="G7494">
        <f>IF(D7494="KEEP",COUNTIF($D$2:D7494,"KEEP"),"")</f>
        <v/>
      </c>
      <c r="H7494">
        <f>IF(D7494="REMOVE",COUNTIF($D$2:D7494,"REMOVE"),"")</f>
        <v/>
      </c>
      <c r="I7494">
        <f>IF(E7494="Gmail",COUNTIF($E$2:E7494,"Gmail"),"")</f>
        <v/>
      </c>
      <c r="J7494">
        <f>IF(E7494="Outlook",COUNTIF($E$2:E7494,"Outlook"),"")</f>
        <v/>
      </c>
      <c r="K7494">
        <f>IF(E7494="Domain",COUNTIF($E$2:E7494,"Domain"),"")</f>
        <v/>
      </c>
    </row>
    <row r="7495">
      <c r="A7495" s="2" t="n"/>
      <c r="B7495">
        <f>LOWER(TRIM(A7495))</f>
        <v/>
      </c>
      <c r="C7495">
        <f>IF(B7495="","",IFERROR(INDEX('Bad Patterns'!$A$2:$A$120,MATCH(1,INDEX(--ISNUMBER(SEARCH('Bad Patterns'!$A$2:$A$120,B7495)),0),0)),""))</f>
        <v/>
      </c>
      <c r="D7495">
        <f>IF(B7495="","",IF(C7495&lt;&gt;"","REMOVE","KEEP"))</f>
        <v/>
      </c>
      <c r="E7495">
        <f>IF(D7495&lt;&gt;"KEEP","",IF(RIGHT(B7495,10)="@gmail.com","Gmail",IF(OR(RIGHT(B7495,12)="@outlook.com",RIGHT(B7495,12)="@hotmail.com",RIGHT(B7495,9)="@live.com"),"Outlook","Domain")))</f>
        <v/>
      </c>
      <c r="F7495">
        <f>IF(B7495="","",IFERROR(RIGHT(B7495,LEN(B7495)-FIND("@",B7495)),""))</f>
        <v/>
      </c>
      <c r="G7495">
        <f>IF(D7495="KEEP",COUNTIF($D$2:D7495,"KEEP"),"")</f>
        <v/>
      </c>
      <c r="H7495">
        <f>IF(D7495="REMOVE",COUNTIF($D$2:D7495,"REMOVE"),"")</f>
        <v/>
      </c>
      <c r="I7495">
        <f>IF(E7495="Gmail",COUNTIF($E$2:E7495,"Gmail"),"")</f>
        <v/>
      </c>
      <c r="J7495">
        <f>IF(E7495="Outlook",COUNTIF($E$2:E7495,"Outlook"),"")</f>
        <v/>
      </c>
      <c r="K7495">
        <f>IF(E7495="Domain",COUNTIF($E$2:E7495,"Domain"),"")</f>
        <v/>
      </c>
    </row>
    <row r="7496">
      <c r="A7496" s="2" t="n"/>
      <c r="B7496">
        <f>LOWER(TRIM(A7496))</f>
        <v/>
      </c>
      <c r="C7496">
        <f>IF(B7496="","",IFERROR(INDEX('Bad Patterns'!$A$2:$A$120,MATCH(1,INDEX(--ISNUMBER(SEARCH('Bad Patterns'!$A$2:$A$120,B7496)),0),0)),""))</f>
        <v/>
      </c>
      <c r="D7496">
        <f>IF(B7496="","",IF(C7496&lt;&gt;"","REMOVE","KEEP"))</f>
        <v/>
      </c>
      <c r="E7496">
        <f>IF(D7496&lt;&gt;"KEEP","",IF(RIGHT(B7496,10)="@gmail.com","Gmail",IF(OR(RIGHT(B7496,12)="@outlook.com",RIGHT(B7496,12)="@hotmail.com",RIGHT(B7496,9)="@live.com"),"Outlook","Domain")))</f>
        <v/>
      </c>
      <c r="F7496">
        <f>IF(B7496="","",IFERROR(RIGHT(B7496,LEN(B7496)-FIND("@",B7496)),""))</f>
        <v/>
      </c>
      <c r="G7496">
        <f>IF(D7496="KEEP",COUNTIF($D$2:D7496,"KEEP"),"")</f>
        <v/>
      </c>
      <c r="H7496">
        <f>IF(D7496="REMOVE",COUNTIF($D$2:D7496,"REMOVE"),"")</f>
        <v/>
      </c>
      <c r="I7496">
        <f>IF(E7496="Gmail",COUNTIF($E$2:E7496,"Gmail"),"")</f>
        <v/>
      </c>
      <c r="J7496">
        <f>IF(E7496="Outlook",COUNTIF($E$2:E7496,"Outlook"),"")</f>
        <v/>
      </c>
      <c r="K7496">
        <f>IF(E7496="Domain",COUNTIF($E$2:E7496,"Domain"),"")</f>
        <v/>
      </c>
    </row>
    <row r="7497">
      <c r="A7497" s="2" t="n"/>
      <c r="B7497">
        <f>LOWER(TRIM(A7497))</f>
        <v/>
      </c>
      <c r="C7497">
        <f>IF(B7497="","",IFERROR(INDEX('Bad Patterns'!$A$2:$A$120,MATCH(1,INDEX(--ISNUMBER(SEARCH('Bad Patterns'!$A$2:$A$120,B7497)),0),0)),""))</f>
        <v/>
      </c>
      <c r="D7497">
        <f>IF(B7497="","",IF(C7497&lt;&gt;"","REMOVE","KEEP"))</f>
        <v/>
      </c>
      <c r="E7497">
        <f>IF(D7497&lt;&gt;"KEEP","",IF(RIGHT(B7497,10)="@gmail.com","Gmail",IF(OR(RIGHT(B7497,12)="@outlook.com",RIGHT(B7497,12)="@hotmail.com",RIGHT(B7497,9)="@live.com"),"Outlook","Domain")))</f>
        <v/>
      </c>
      <c r="F7497">
        <f>IF(B7497="","",IFERROR(RIGHT(B7497,LEN(B7497)-FIND("@",B7497)),""))</f>
        <v/>
      </c>
      <c r="G7497">
        <f>IF(D7497="KEEP",COUNTIF($D$2:D7497,"KEEP"),"")</f>
        <v/>
      </c>
      <c r="H7497">
        <f>IF(D7497="REMOVE",COUNTIF($D$2:D7497,"REMOVE"),"")</f>
        <v/>
      </c>
      <c r="I7497">
        <f>IF(E7497="Gmail",COUNTIF($E$2:E7497,"Gmail"),"")</f>
        <v/>
      </c>
      <c r="J7497">
        <f>IF(E7497="Outlook",COUNTIF($E$2:E7497,"Outlook"),"")</f>
        <v/>
      </c>
      <c r="K7497">
        <f>IF(E7497="Domain",COUNTIF($E$2:E7497,"Domain"),"")</f>
        <v/>
      </c>
    </row>
    <row r="7498">
      <c r="A7498" s="2" t="n"/>
      <c r="B7498">
        <f>LOWER(TRIM(A7498))</f>
        <v/>
      </c>
      <c r="C7498">
        <f>IF(B7498="","",IFERROR(INDEX('Bad Patterns'!$A$2:$A$120,MATCH(1,INDEX(--ISNUMBER(SEARCH('Bad Patterns'!$A$2:$A$120,B7498)),0),0)),""))</f>
        <v/>
      </c>
      <c r="D7498">
        <f>IF(B7498="","",IF(C7498&lt;&gt;"","REMOVE","KEEP"))</f>
        <v/>
      </c>
      <c r="E7498">
        <f>IF(D7498&lt;&gt;"KEEP","",IF(RIGHT(B7498,10)="@gmail.com","Gmail",IF(OR(RIGHT(B7498,12)="@outlook.com",RIGHT(B7498,12)="@hotmail.com",RIGHT(B7498,9)="@live.com"),"Outlook","Domain")))</f>
        <v/>
      </c>
      <c r="F7498">
        <f>IF(B7498="","",IFERROR(RIGHT(B7498,LEN(B7498)-FIND("@",B7498)),""))</f>
        <v/>
      </c>
      <c r="G7498">
        <f>IF(D7498="KEEP",COUNTIF($D$2:D7498,"KEEP"),"")</f>
        <v/>
      </c>
      <c r="H7498">
        <f>IF(D7498="REMOVE",COUNTIF($D$2:D7498,"REMOVE"),"")</f>
        <v/>
      </c>
      <c r="I7498">
        <f>IF(E7498="Gmail",COUNTIF($E$2:E7498,"Gmail"),"")</f>
        <v/>
      </c>
      <c r="J7498">
        <f>IF(E7498="Outlook",COUNTIF($E$2:E7498,"Outlook"),"")</f>
        <v/>
      </c>
      <c r="K7498">
        <f>IF(E7498="Domain",COUNTIF($E$2:E7498,"Domain"),"")</f>
        <v/>
      </c>
    </row>
    <row r="7499">
      <c r="A7499" s="2" t="n"/>
      <c r="B7499">
        <f>LOWER(TRIM(A7499))</f>
        <v/>
      </c>
      <c r="C7499">
        <f>IF(B7499="","",IFERROR(INDEX('Bad Patterns'!$A$2:$A$120,MATCH(1,INDEX(--ISNUMBER(SEARCH('Bad Patterns'!$A$2:$A$120,B7499)),0),0)),""))</f>
        <v/>
      </c>
      <c r="D7499">
        <f>IF(B7499="","",IF(C7499&lt;&gt;"","REMOVE","KEEP"))</f>
        <v/>
      </c>
      <c r="E7499">
        <f>IF(D7499&lt;&gt;"KEEP","",IF(RIGHT(B7499,10)="@gmail.com","Gmail",IF(OR(RIGHT(B7499,12)="@outlook.com",RIGHT(B7499,12)="@hotmail.com",RIGHT(B7499,9)="@live.com"),"Outlook","Domain")))</f>
        <v/>
      </c>
      <c r="F7499">
        <f>IF(B7499="","",IFERROR(RIGHT(B7499,LEN(B7499)-FIND("@",B7499)),""))</f>
        <v/>
      </c>
      <c r="G7499">
        <f>IF(D7499="KEEP",COUNTIF($D$2:D7499,"KEEP"),"")</f>
        <v/>
      </c>
      <c r="H7499">
        <f>IF(D7499="REMOVE",COUNTIF($D$2:D7499,"REMOVE"),"")</f>
        <v/>
      </c>
      <c r="I7499">
        <f>IF(E7499="Gmail",COUNTIF($E$2:E7499,"Gmail"),"")</f>
        <v/>
      </c>
      <c r="J7499">
        <f>IF(E7499="Outlook",COUNTIF($E$2:E7499,"Outlook"),"")</f>
        <v/>
      </c>
      <c r="K7499">
        <f>IF(E7499="Domain",COUNTIF($E$2:E7499,"Domain"),"")</f>
        <v/>
      </c>
    </row>
    <row r="7500">
      <c r="A7500" s="2" t="n"/>
      <c r="B7500">
        <f>LOWER(TRIM(A7500))</f>
        <v/>
      </c>
      <c r="C7500">
        <f>IF(B7500="","",IFERROR(INDEX('Bad Patterns'!$A$2:$A$120,MATCH(1,INDEX(--ISNUMBER(SEARCH('Bad Patterns'!$A$2:$A$120,B7500)),0),0)),""))</f>
        <v/>
      </c>
      <c r="D7500">
        <f>IF(B7500="","",IF(C7500&lt;&gt;"","REMOVE","KEEP"))</f>
        <v/>
      </c>
      <c r="E7500">
        <f>IF(D7500&lt;&gt;"KEEP","",IF(RIGHT(B7500,10)="@gmail.com","Gmail",IF(OR(RIGHT(B7500,12)="@outlook.com",RIGHT(B7500,12)="@hotmail.com",RIGHT(B7500,9)="@live.com"),"Outlook","Domain")))</f>
        <v/>
      </c>
      <c r="F7500">
        <f>IF(B7500="","",IFERROR(RIGHT(B7500,LEN(B7500)-FIND("@",B7500)),""))</f>
        <v/>
      </c>
      <c r="G7500">
        <f>IF(D7500="KEEP",COUNTIF($D$2:D7500,"KEEP"),"")</f>
        <v/>
      </c>
      <c r="H7500">
        <f>IF(D7500="REMOVE",COUNTIF($D$2:D7500,"REMOVE"),"")</f>
        <v/>
      </c>
      <c r="I7500">
        <f>IF(E7500="Gmail",COUNTIF($E$2:E7500,"Gmail"),"")</f>
        <v/>
      </c>
      <c r="J7500">
        <f>IF(E7500="Outlook",COUNTIF($E$2:E7500,"Outlook"),"")</f>
        <v/>
      </c>
      <c r="K7500">
        <f>IF(E7500="Domain",COUNTIF($E$2:E7500,"Domain"),"")</f>
        <v/>
      </c>
    </row>
    <row r="7501">
      <c r="A7501" s="2" t="n"/>
      <c r="B7501">
        <f>LOWER(TRIM(A7501))</f>
        <v/>
      </c>
      <c r="C7501">
        <f>IF(B7501="","",IFERROR(INDEX('Bad Patterns'!$A$2:$A$120,MATCH(1,INDEX(--ISNUMBER(SEARCH('Bad Patterns'!$A$2:$A$120,B7501)),0),0)),""))</f>
        <v/>
      </c>
      <c r="D7501">
        <f>IF(B7501="","",IF(C7501&lt;&gt;"","REMOVE","KEEP"))</f>
        <v/>
      </c>
      <c r="E7501">
        <f>IF(D7501&lt;&gt;"KEEP","",IF(RIGHT(B7501,10)="@gmail.com","Gmail",IF(OR(RIGHT(B7501,12)="@outlook.com",RIGHT(B7501,12)="@hotmail.com",RIGHT(B7501,9)="@live.com"),"Outlook","Domain")))</f>
        <v/>
      </c>
      <c r="F7501">
        <f>IF(B7501="","",IFERROR(RIGHT(B7501,LEN(B7501)-FIND("@",B7501)),""))</f>
        <v/>
      </c>
      <c r="G7501">
        <f>IF(D7501="KEEP",COUNTIF($D$2:D7501,"KEEP"),"")</f>
        <v/>
      </c>
      <c r="H7501">
        <f>IF(D7501="REMOVE",COUNTIF($D$2:D7501,"REMOVE"),"")</f>
        <v/>
      </c>
      <c r="I7501">
        <f>IF(E7501="Gmail",COUNTIF($E$2:E7501,"Gmail"),"")</f>
        <v/>
      </c>
      <c r="J7501">
        <f>IF(E7501="Outlook",COUNTIF($E$2:E7501,"Outlook"),"")</f>
        <v/>
      </c>
      <c r="K7501">
        <f>IF(E7501="Domain",COUNTIF($E$2:E7501,"Domain"),"")</f>
        <v/>
      </c>
    </row>
    <row r="7502">
      <c r="A7502" s="2" t="n"/>
      <c r="B7502">
        <f>LOWER(TRIM(A7502))</f>
        <v/>
      </c>
      <c r="C7502">
        <f>IF(B7502="","",IFERROR(INDEX('Bad Patterns'!$A$2:$A$120,MATCH(1,INDEX(--ISNUMBER(SEARCH('Bad Patterns'!$A$2:$A$120,B7502)),0),0)),""))</f>
        <v/>
      </c>
      <c r="D7502">
        <f>IF(B7502="","",IF(C7502&lt;&gt;"","REMOVE","KEEP"))</f>
        <v/>
      </c>
      <c r="E7502">
        <f>IF(D7502&lt;&gt;"KEEP","",IF(RIGHT(B7502,10)="@gmail.com","Gmail",IF(OR(RIGHT(B7502,12)="@outlook.com",RIGHT(B7502,12)="@hotmail.com",RIGHT(B7502,9)="@live.com"),"Outlook","Domain")))</f>
        <v/>
      </c>
      <c r="F7502">
        <f>IF(B7502="","",IFERROR(RIGHT(B7502,LEN(B7502)-FIND("@",B7502)),""))</f>
        <v/>
      </c>
      <c r="G7502">
        <f>IF(D7502="KEEP",COUNTIF($D$2:D7502,"KEEP"),"")</f>
        <v/>
      </c>
      <c r="H7502">
        <f>IF(D7502="REMOVE",COUNTIF($D$2:D7502,"REMOVE"),"")</f>
        <v/>
      </c>
      <c r="I7502">
        <f>IF(E7502="Gmail",COUNTIF($E$2:E7502,"Gmail"),"")</f>
        <v/>
      </c>
      <c r="J7502">
        <f>IF(E7502="Outlook",COUNTIF($E$2:E7502,"Outlook"),"")</f>
        <v/>
      </c>
      <c r="K7502">
        <f>IF(E7502="Domain",COUNTIF($E$2:E7502,"Domain"),"")</f>
        <v/>
      </c>
    </row>
    <row r="7503">
      <c r="A7503" s="2" t="n"/>
      <c r="B7503">
        <f>LOWER(TRIM(A7503))</f>
        <v/>
      </c>
      <c r="C7503">
        <f>IF(B7503="","",IFERROR(INDEX('Bad Patterns'!$A$2:$A$120,MATCH(1,INDEX(--ISNUMBER(SEARCH('Bad Patterns'!$A$2:$A$120,B7503)),0),0)),""))</f>
        <v/>
      </c>
      <c r="D7503">
        <f>IF(B7503="","",IF(C7503&lt;&gt;"","REMOVE","KEEP"))</f>
        <v/>
      </c>
      <c r="E7503">
        <f>IF(D7503&lt;&gt;"KEEP","",IF(RIGHT(B7503,10)="@gmail.com","Gmail",IF(OR(RIGHT(B7503,12)="@outlook.com",RIGHT(B7503,12)="@hotmail.com",RIGHT(B7503,9)="@live.com"),"Outlook","Domain")))</f>
        <v/>
      </c>
      <c r="F7503">
        <f>IF(B7503="","",IFERROR(RIGHT(B7503,LEN(B7503)-FIND("@",B7503)),""))</f>
        <v/>
      </c>
      <c r="G7503">
        <f>IF(D7503="KEEP",COUNTIF($D$2:D7503,"KEEP"),"")</f>
        <v/>
      </c>
      <c r="H7503">
        <f>IF(D7503="REMOVE",COUNTIF($D$2:D7503,"REMOVE"),"")</f>
        <v/>
      </c>
      <c r="I7503">
        <f>IF(E7503="Gmail",COUNTIF($E$2:E7503,"Gmail"),"")</f>
        <v/>
      </c>
      <c r="J7503">
        <f>IF(E7503="Outlook",COUNTIF($E$2:E7503,"Outlook"),"")</f>
        <v/>
      </c>
      <c r="K7503">
        <f>IF(E7503="Domain",COUNTIF($E$2:E7503,"Domain"),"")</f>
        <v/>
      </c>
    </row>
    <row r="7504">
      <c r="A7504" s="2" t="n"/>
      <c r="B7504">
        <f>LOWER(TRIM(A7504))</f>
        <v/>
      </c>
      <c r="C7504">
        <f>IF(B7504="","",IFERROR(INDEX('Bad Patterns'!$A$2:$A$120,MATCH(1,INDEX(--ISNUMBER(SEARCH('Bad Patterns'!$A$2:$A$120,B7504)),0),0)),""))</f>
        <v/>
      </c>
      <c r="D7504">
        <f>IF(B7504="","",IF(C7504&lt;&gt;"","REMOVE","KEEP"))</f>
        <v/>
      </c>
      <c r="E7504">
        <f>IF(D7504&lt;&gt;"KEEP","",IF(RIGHT(B7504,10)="@gmail.com","Gmail",IF(OR(RIGHT(B7504,12)="@outlook.com",RIGHT(B7504,12)="@hotmail.com",RIGHT(B7504,9)="@live.com"),"Outlook","Domain")))</f>
        <v/>
      </c>
      <c r="F7504">
        <f>IF(B7504="","",IFERROR(RIGHT(B7504,LEN(B7504)-FIND("@",B7504)),""))</f>
        <v/>
      </c>
      <c r="G7504">
        <f>IF(D7504="KEEP",COUNTIF($D$2:D7504,"KEEP"),"")</f>
        <v/>
      </c>
      <c r="H7504">
        <f>IF(D7504="REMOVE",COUNTIF($D$2:D7504,"REMOVE"),"")</f>
        <v/>
      </c>
      <c r="I7504">
        <f>IF(E7504="Gmail",COUNTIF($E$2:E7504,"Gmail"),"")</f>
        <v/>
      </c>
      <c r="J7504">
        <f>IF(E7504="Outlook",COUNTIF($E$2:E7504,"Outlook"),"")</f>
        <v/>
      </c>
      <c r="K7504">
        <f>IF(E7504="Domain",COUNTIF($E$2:E7504,"Domain"),"")</f>
        <v/>
      </c>
    </row>
    <row r="7505">
      <c r="A7505" s="2" t="n"/>
      <c r="B7505">
        <f>LOWER(TRIM(A7505))</f>
        <v/>
      </c>
      <c r="C7505">
        <f>IF(B7505="","",IFERROR(INDEX('Bad Patterns'!$A$2:$A$120,MATCH(1,INDEX(--ISNUMBER(SEARCH('Bad Patterns'!$A$2:$A$120,B7505)),0),0)),""))</f>
        <v/>
      </c>
      <c r="D7505">
        <f>IF(B7505="","",IF(C7505&lt;&gt;"","REMOVE","KEEP"))</f>
        <v/>
      </c>
      <c r="E7505">
        <f>IF(D7505&lt;&gt;"KEEP","",IF(RIGHT(B7505,10)="@gmail.com","Gmail",IF(OR(RIGHT(B7505,12)="@outlook.com",RIGHT(B7505,12)="@hotmail.com",RIGHT(B7505,9)="@live.com"),"Outlook","Domain")))</f>
        <v/>
      </c>
      <c r="F7505">
        <f>IF(B7505="","",IFERROR(RIGHT(B7505,LEN(B7505)-FIND("@",B7505)),""))</f>
        <v/>
      </c>
      <c r="G7505">
        <f>IF(D7505="KEEP",COUNTIF($D$2:D7505,"KEEP"),"")</f>
        <v/>
      </c>
      <c r="H7505">
        <f>IF(D7505="REMOVE",COUNTIF($D$2:D7505,"REMOVE"),"")</f>
        <v/>
      </c>
      <c r="I7505">
        <f>IF(E7505="Gmail",COUNTIF($E$2:E7505,"Gmail"),"")</f>
        <v/>
      </c>
      <c r="J7505">
        <f>IF(E7505="Outlook",COUNTIF($E$2:E7505,"Outlook"),"")</f>
        <v/>
      </c>
      <c r="K7505">
        <f>IF(E7505="Domain",COUNTIF($E$2:E7505,"Domain"),"")</f>
        <v/>
      </c>
    </row>
    <row r="7506">
      <c r="A7506" s="2" t="n"/>
      <c r="B7506">
        <f>LOWER(TRIM(A7506))</f>
        <v/>
      </c>
      <c r="C7506">
        <f>IF(B7506="","",IFERROR(INDEX('Bad Patterns'!$A$2:$A$120,MATCH(1,INDEX(--ISNUMBER(SEARCH('Bad Patterns'!$A$2:$A$120,B7506)),0),0)),""))</f>
        <v/>
      </c>
      <c r="D7506">
        <f>IF(B7506="","",IF(C7506&lt;&gt;"","REMOVE","KEEP"))</f>
        <v/>
      </c>
      <c r="E7506">
        <f>IF(D7506&lt;&gt;"KEEP","",IF(RIGHT(B7506,10)="@gmail.com","Gmail",IF(OR(RIGHT(B7506,12)="@outlook.com",RIGHT(B7506,12)="@hotmail.com",RIGHT(B7506,9)="@live.com"),"Outlook","Domain")))</f>
        <v/>
      </c>
      <c r="F7506">
        <f>IF(B7506="","",IFERROR(RIGHT(B7506,LEN(B7506)-FIND("@",B7506)),""))</f>
        <v/>
      </c>
      <c r="G7506">
        <f>IF(D7506="KEEP",COUNTIF($D$2:D7506,"KEEP"),"")</f>
        <v/>
      </c>
      <c r="H7506">
        <f>IF(D7506="REMOVE",COUNTIF($D$2:D7506,"REMOVE"),"")</f>
        <v/>
      </c>
      <c r="I7506">
        <f>IF(E7506="Gmail",COUNTIF($E$2:E7506,"Gmail"),"")</f>
        <v/>
      </c>
      <c r="J7506">
        <f>IF(E7506="Outlook",COUNTIF($E$2:E7506,"Outlook"),"")</f>
        <v/>
      </c>
      <c r="K7506">
        <f>IF(E7506="Domain",COUNTIF($E$2:E7506,"Domain"),"")</f>
        <v/>
      </c>
    </row>
    <row r="7507">
      <c r="A7507" s="2" t="n"/>
      <c r="B7507">
        <f>LOWER(TRIM(A7507))</f>
        <v/>
      </c>
      <c r="C7507">
        <f>IF(B7507="","",IFERROR(INDEX('Bad Patterns'!$A$2:$A$120,MATCH(1,INDEX(--ISNUMBER(SEARCH('Bad Patterns'!$A$2:$A$120,B7507)),0),0)),""))</f>
        <v/>
      </c>
      <c r="D7507">
        <f>IF(B7507="","",IF(C7507&lt;&gt;"","REMOVE","KEEP"))</f>
        <v/>
      </c>
      <c r="E7507">
        <f>IF(D7507&lt;&gt;"KEEP","",IF(RIGHT(B7507,10)="@gmail.com","Gmail",IF(OR(RIGHT(B7507,12)="@outlook.com",RIGHT(B7507,12)="@hotmail.com",RIGHT(B7507,9)="@live.com"),"Outlook","Domain")))</f>
        <v/>
      </c>
      <c r="F7507">
        <f>IF(B7507="","",IFERROR(RIGHT(B7507,LEN(B7507)-FIND("@",B7507)),""))</f>
        <v/>
      </c>
      <c r="G7507">
        <f>IF(D7507="KEEP",COUNTIF($D$2:D7507,"KEEP"),"")</f>
        <v/>
      </c>
      <c r="H7507">
        <f>IF(D7507="REMOVE",COUNTIF($D$2:D7507,"REMOVE"),"")</f>
        <v/>
      </c>
      <c r="I7507">
        <f>IF(E7507="Gmail",COUNTIF($E$2:E7507,"Gmail"),"")</f>
        <v/>
      </c>
      <c r="J7507">
        <f>IF(E7507="Outlook",COUNTIF($E$2:E7507,"Outlook"),"")</f>
        <v/>
      </c>
      <c r="K7507">
        <f>IF(E7507="Domain",COUNTIF($E$2:E7507,"Domain"),"")</f>
        <v/>
      </c>
    </row>
    <row r="7508">
      <c r="A7508" s="2" t="n"/>
      <c r="B7508">
        <f>LOWER(TRIM(A7508))</f>
        <v/>
      </c>
      <c r="C7508">
        <f>IF(B7508="","",IFERROR(INDEX('Bad Patterns'!$A$2:$A$120,MATCH(1,INDEX(--ISNUMBER(SEARCH('Bad Patterns'!$A$2:$A$120,B7508)),0),0)),""))</f>
        <v/>
      </c>
      <c r="D7508">
        <f>IF(B7508="","",IF(C7508&lt;&gt;"","REMOVE","KEEP"))</f>
        <v/>
      </c>
      <c r="E7508">
        <f>IF(D7508&lt;&gt;"KEEP","",IF(RIGHT(B7508,10)="@gmail.com","Gmail",IF(OR(RIGHT(B7508,12)="@outlook.com",RIGHT(B7508,12)="@hotmail.com",RIGHT(B7508,9)="@live.com"),"Outlook","Domain")))</f>
        <v/>
      </c>
      <c r="F7508">
        <f>IF(B7508="","",IFERROR(RIGHT(B7508,LEN(B7508)-FIND("@",B7508)),""))</f>
        <v/>
      </c>
      <c r="G7508">
        <f>IF(D7508="KEEP",COUNTIF($D$2:D7508,"KEEP"),"")</f>
        <v/>
      </c>
      <c r="H7508">
        <f>IF(D7508="REMOVE",COUNTIF($D$2:D7508,"REMOVE"),"")</f>
        <v/>
      </c>
      <c r="I7508">
        <f>IF(E7508="Gmail",COUNTIF($E$2:E7508,"Gmail"),"")</f>
        <v/>
      </c>
      <c r="J7508">
        <f>IF(E7508="Outlook",COUNTIF($E$2:E7508,"Outlook"),"")</f>
        <v/>
      </c>
      <c r="K7508">
        <f>IF(E7508="Domain",COUNTIF($E$2:E7508,"Domain"),"")</f>
        <v/>
      </c>
    </row>
    <row r="7509">
      <c r="A7509" s="2" t="n"/>
      <c r="B7509">
        <f>LOWER(TRIM(A7509))</f>
        <v/>
      </c>
      <c r="C7509">
        <f>IF(B7509="","",IFERROR(INDEX('Bad Patterns'!$A$2:$A$120,MATCH(1,INDEX(--ISNUMBER(SEARCH('Bad Patterns'!$A$2:$A$120,B7509)),0),0)),""))</f>
        <v/>
      </c>
      <c r="D7509">
        <f>IF(B7509="","",IF(C7509&lt;&gt;"","REMOVE","KEEP"))</f>
        <v/>
      </c>
      <c r="E7509">
        <f>IF(D7509&lt;&gt;"KEEP","",IF(RIGHT(B7509,10)="@gmail.com","Gmail",IF(OR(RIGHT(B7509,12)="@outlook.com",RIGHT(B7509,12)="@hotmail.com",RIGHT(B7509,9)="@live.com"),"Outlook","Domain")))</f>
        <v/>
      </c>
      <c r="F7509">
        <f>IF(B7509="","",IFERROR(RIGHT(B7509,LEN(B7509)-FIND("@",B7509)),""))</f>
        <v/>
      </c>
      <c r="G7509">
        <f>IF(D7509="KEEP",COUNTIF($D$2:D7509,"KEEP"),"")</f>
        <v/>
      </c>
      <c r="H7509">
        <f>IF(D7509="REMOVE",COUNTIF($D$2:D7509,"REMOVE"),"")</f>
        <v/>
      </c>
      <c r="I7509">
        <f>IF(E7509="Gmail",COUNTIF($E$2:E7509,"Gmail"),"")</f>
        <v/>
      </c>
      <c r="J7509">
        <f>IF(E7509="Outlook",COUNTIF($E$2:E7509,"Outlook"),"")</f>
        <v/>
      </c>
      <c r="K7509">
        <f>IF(E7509="Domain",COUNTIF($E$2:E7509,"Domain"),"")</f>
        <v/>
      </c>
    </row>
    <row r="7510">
      <c r="A7510" s="2" t="n"/>
      <c r="B7510">
        <f>LOWER(TRIM(A7510))</f>
        <v/>
      </c>
      <c r="C7510">
        <f>IF(B7510="","",IFERROR(INDEX('Bad Patterns'!$A$2:$A$120,MATCH(1,INDEX(--ISNUMBER(SEARCH('Bad Patterns'!$A$2:$A$120,B7510)),0),0)),""))</f>
        <v/>
      </c>
      <c r="D7510">
        <f>IF(B7510="","",IF(C7510&lt;&gt;"","REMOVE","KEEP"))</f>
        <v/>
      </c>
      <c r="E7510">
        <f>IF(D7510&lt;&gt;"KEEP","",IF(RIGHT(B7510,10)="@gmail.com","Gmail",IF(OR(RIGHT(B7510,12)="@outlook.com",RIGHT(B7510,12)="@hotmail.com",RIGHT(B7510,9)="@live.com"),"Outlook","Domain")))</f>
        <v/>
      </c>
      <c r="F7510">
        <f>IF(B7510="","",IFERROR(RIGHT(B7510,LEN(B7510)-FIND("@",B7510)),""))</f>
        <v/>
      </c>
      <c r="G7510">
        <f>IF(D7510="KEEP",COUNTIF($D$2:D7510,"KEEP"),"")</f>
        <v/>
      </c>
      <c r="H7510">
        <f>IF(D7510="REMOVE",COUNTIF($D$2:D7510,"REMOVE"),"")</f>
        <v/>
      </c>
      <c r="I7510">
        <f>IF(E7510="Gmail",COUNTIF($E$2:E7510,"Gmail"),"")</f>
        <v/>
      </c>
      <c r="J7510">
        <f>IF(E7510="Outlook",COUNTIF($E$2:E7510,"Outlook"),"")</f>
        <v/>
      </c>
      <c r="K7510">
        <f>IF(E7510="Domain",COUNTIF($E$2:E7510,"Domain"),"")</f>
        <v/>
      </c>
    </row>
    <row r="7511">
      <c r="A7511" s="2" t="n"/>
      <c r="B7511">
        <f>LOWER(TRIM(A7511))</f>
        <v/>
      </c>
      <c r="C7511">
        <f>IF(B7511="","",IFERROR(INDEX('Bad Patterns'!$A$2:$A$120,MATCH(1,INDEX(--ISNUMBER(SEARCH('Bad Patterns'!$A$2:$A$120,B7511)),0),0)),""))</f>
        <v/>
      </c>
      <c r="D7511">
        <f>IF(B7511="","",IF(C7511&lt;&gt;"","REMOVE","KEEP"))</f>
        <v/>
      </c>
      <c r="E7511">
        <f>IF(D7511&lt;&gt;"KEEP","",IF(RIGHT(B7511,10)="@gmail.com","Gmail",IF(OR(RIGHT(B7511,12)="@outlook.com",RIGHT(B7511,12)="@hotmail.com",RIGHT(B7511,9)="@live.com"),"Outlook","Domain")))</f>
        <v/>
      </c>
      <c r="F7511">
        <f>IF(B7511="","",IFERROR(RIGHT(B7511,LEN(B7511)-FIND("@",B7511)),""))</f>
        <v/>
      </c>
      <c r="G7511">
        <f>IF(D7511="KEEP",COUNTIF($D$2:D7511,"KEEP"),"")</f>
        <v/>
      </c>
      <c r="H7511">
        <f>IF(D7511="REMOVE",COUNTIF($D$2:D7511,"REMOVE"),"")</f>
        <v/>
      </c>
      <c r="I7511">
        <f>IF(E7511="Gmail",COUNTIF($E$2:E7511,"Gmail"),"")</f>
        <v/>
      </c>
      <c r="J7511">
        <f>IF(E7511="Outlook",COUNTIF($E$2:E7511,"Outlook"),"")</f>
        <v/>
      </c>
      <c r="K7511">
        <f>IF(E7511="Domain",COUNTIF($E$2:E7511,"Domain"),"")</f>
        <v/>
      </c>
    </row>
    <row r="7512">
      <c r="A7512" s="2" t="n"/>
      <c r="B7512">
        <f>LOWER(TRIM(A7512))</f>
        <v/>
      </c>
      <c r="C7512">
        <f>IF(B7512="","",IFERROR(INDEX('Bad Patterns'!$A$2:$A$120,MATCH(1,INDEX(--ISNUMBER(SEARCH('Bad Patterns'!$A$2:$A$120,B7512)),0),0)),""))</f>
        <v/>
      </c>
      <c r="D7512">
        <f>IF(B7512="","",IF(C7512&lt;&gt;"","REMOVE","KEEP"))</f>
        <v/>
      </c>
      <c r="E7512">
        <f>IF(D7512&lt;&gt;"KEEP","",IF(RIGHT(B7512,10)="@gmail.com","Gmail",IF(OR(RIGHT(B7512,12)="@outlook.com",RIGHT(B7512,12)="@hotmail.com",RIGHT(B7512,9)="@live.com"),"Outlook","Domain")))</f>
        <v/>
      </c>
      <c r="F7512">
        <f>IF(B7512="","",IFERROR(RIGHT(B7512,LEN(B7512)-FIND("@",B7512)),""))</f>
        <v/>
      </c>
      <c r="G7512">
        <f>IF(D7512="KEEP",COUNTIF($D$2:D7512,"KEEP"),"")</f>
        <v/>
      </c>
      <c r="H7512">
        <f>IF(D7512="REMOVE",COUNTIF($D$2:D7512,"REMOVE"),"")</f>
        <v/>
      </c>
      <c r="I7512">
        <f>IF(E7512="Gmail",COUNTIF($E$2:E7512,"Gmail"),"")</f>
        <v/>
      </c>
      <c r="J7512">
        <f>IF(E7512="Outlook",COUNTIF($E$2:E7512,"Outlook"),"")</f>
        <v/>
      </c>
      <c r="K7512">
        <f>IF(E7512="Domain",COUNTIF($E$2:E7512,"Domain"),"")</f>
        <v/>
      </c>
    </row>
    <row r="7513">
      <c r="A7513" s="2" t="n"/>
      <c r="B7513">
        <f>LOWER(TRIM(A7513))</f>
        <v/>
      </c>
      <c r="C7513">
        <f>IF(B7513="","",IFERROR(INDEX('Bad Patterns'!$A$2:$A$120,MATCH(1,INDEX(--ISNUMBER(SEARCH('Bad Patterns'!$A$2:$A$120,B7513)),0),0)),""))</f>
        <v/>
      </c>
      <c r="D7513">
        <f>IF(B7513="","",IF(C7513&lt;&gt;"","REMOVE","KEEP"))</f>
        <v/>
      </c>
      <c r="E7513">
        <f>IF(D7513&lt;&gt;"KEEP","",IF(RIGHT(B7513,10)="@gmail.com","Gmail",IF(OR(RIGHT(B7513,12)="@outlook.com",RIGHT(B7513,12)="@hotmail.com",RIGHT(B7513,9)="@live.com"),"Outlook","Domain")))</f>
        <v/>
      </c>
      <c r="F7513">
        <f>IF(B7513="","",IFERROR(RIGHT(B7513,LEN(B7513)-FIND("@",B7513)),""))</f>
        <v/>
      </c>
      <c r="G7513">
        <f>IF(D7513="KEEP",COUNTIF($D$2:D7513,"KEEP"),"")</f>
        <v/>
      </c>
      <c r="H7513">
        <f>IF(D7513="REMOVE",COUNTIF($D$2:D7513,"REMOVE"),"")</f>
        <v/>
      </c>
      <c r="I7513">
        <f>IF(E7513="Gmail",COUNTIF($E$2:E7513,"Gmail"),"")</f>
        <v/>
      </c>
      <c r="J7513">
        <f>IF(E7513="Outlook",COUNTIF($E$2:E7513,"Outlook"),"")</f>
        <v/>
      </c>
      <c r="K7513">
        <f>IF(E7513="Domain",COUNTIF($E$2:E7513,"Domain"),"")</f>
        <v/>
      </c>
    </row>
    <row r="7514">
      <c r="A7514" s="2" t="n"/>
      <c r="B7514">
        <f>LOWER(TRIM(A7514))</f>
        <v/>
      </c>
      <c r="C7514">
        <f>IF(B7514="","",IFERROR(INDEX('Bad Patterns'!$A$2:$A$120,MATCH(1,INDEX(--ISNUMBER(SEARCH('Bad Patterns'!$A$2:$A$120,B7514)),0),0)),""))</f>
        <v/>
      </c>
      <c r="D7514">
        <f>IF(B7514="","",IF(C7514&lt;&gt;"","REMOVE","KEEP"))</f>
        <v/>
      </c>
      <c r="E7514">
        <f>IF(D7514&lt;&gt;"KEEP","",IF(RIGHT(B7514,10)="@gmail.com","Gmail",IF(OR(RIGHT(B7514,12)="@outlook.com",RIGHT(B7514,12)="@hotmail.com",RIGHT(B7514,9)="@live.com"),"Outlook","Domain")))</f>
        <v/>
      </c>
      <c r="F7514">
        <f>IF(B7514="","",IFERROR(RIGHT(B7514,LEN(B7514)-FIND("@",B7514)),""))</f>
        <v/>
      </c>
      <c r="G7514">
        <f>IF(D7514="KEEP",COUNTIF($D$2:D7514,"KEEP"),"")</f>
        <v/>
      </c>
      <c r="H7514">
        <f>IF(D7514="REMOVE",COUNTIF($D$2:D7514,"REMOVE"),"")</f>
        <v/>
      </c>
      <c r="I7514">
        <f>IF(E7514="Gmail",COUNTIF($E$2:E7514,"Gmail"),"")</f>
        <v/>
      </c>
      <c r="J7514">
        <f>IF(E7514="Outlook",COUNTIF($E$2:E7514,"Outlook"),"")</f>
        <v/>
      </c>
      <c r="K7514">
        <f>IF(E7514="Domain",COUNTIF($E$2:E7514,"Domain"),"")</f>
        <v/>
      </c>
    </row>
    <row r="7515">
      <c r="A7515" s="2" t="n"/>
      <c r="B7515">
        <f>LOWER(TRIM(A7515))</f>
        <v/>
      </c>
      <c r="C7515">
        <f>IF(B7515="","",IFERROR(INDEX('Bad Patterns'!$A$2:$A$120,MATCH(1,INDEX(--ISNUMBER(SEARCH('Bad Patterns'!$A$2:$A$120,B7515)),0),0)),""))</f>
        <v/>
      </c>
      <c r="D7515">
        <f>IF(B7515="","",IF(C7515&lt;&gt;"","REMOVE","KEEP"))</f>
        <v/>
      </c>
      <c r="E7515">
        <f>IF(D7515&lt;&gt;"KEEP","",IF(RIGHT(B7515,10)="@gmail.com","Gmail",IF(OR(RIGHT(B7515,12)="@outlook.com",RIGHT(B7515,12)="@hotmail.com",RIGHT(B7515,9)="@live.com"),"Outlook","Domain")))</f>
        <v/>
      </c>
      <c r="F7515">
        <f>IF(B7515="","",IFERROR(RIGHT(B7515,LEN(B7515)-FIND("@",B7515)),""))</f>
        <v/>
      </c>
      <c r="G7515">
        <f>IF(D7515="KEEP",COUNTIF($D$2:D7515,"KEEP"),"")</f>
        <v/>
      </c>
      <c r="H7515">
        <f>IF(D7515="REMOVE",COUNTIF($D$2:D7515,"REMOVE"),"")</f>
        <v/>
      </c>
      <c r="I7515">
        <f>IF(E7515="Gmail",COUNTIF($E$2:E7515,"Gmail"),"")</f>
        <v/>
      </c>
      <c r="J7515">
        <f>IF(E7515="Outlook",COUNTIF($E$2:E7515,"Outlook"),"")</f>
        <v/>
      </c>
      <c r="K7515">
        <f>IF(E7515="Domain",COUNTIF($E$2:E7515,"Domain"),"")</f>
        <v/>
      </c>
    </row>
    <row r="7516">
      <c r="A7516" s="2" t="n"/>
      <c r="B7516">
        <f>LOWER(TRIM(A7516))</f>
        <v/>
      </c>
      <c r="C7516">
        <f>IF(B7516="","",IFERROR(INDEX('Bad Patterns'!$A$2:$A$120,MATCH(1,INDEX(--ISNUMBER(SEARCH('Bad Patterns'!$A$2:$A$120,B7516)),0),0)),""))</f>
        <v/>
      </c>
      <c r="D7516">
        <f>IF(B7516="","",IF(C7516&lt;&gt;"","REMOVE","KEEP"))</f>
        <v/>
      </c>
      <c r="E7516">
        <f>IF(D7516&lt;&gt;"KEEP","",IF(RIGHT(B7516,10)="@gmail.com","Gmail",IF(OR(RIGHT(B7516,12)="@outlook.com",RIGHT(B7516,12)="@hotmail.com",RIGHT(B7516,9)="@live.com"),"Outlook","Domain")))</f>
        <v/>
      </c>
      <c r="F7516">
        <f>IF(B7516="","",IFERROR(RIGHT(B7516,LEN(B7516)-FIND("@",B7516)),""))</f>
        <v/>
      </c>
      <c r="G7516">
        <f>IF(D7516="KEEP",COUNTIF($D$2:D7516,"KEEP"),"")</f>
        <v/>
      </c>
      <c r="H7516">
        <f>IF(D7516="REMOVE",COUNTIF($D$2:D7516,"REMOVE"),"")</f>
        <v/>
      </c>
      <c r="I7516">
        <f>IF(E7516="Gmail",COUNTIF($E$2:E7516,"Gmail"),"")</f>
        <v/>
      </c>
      <c r="J7516">
        <f>IF(E7516="Outlook",COUNTIF($E$2:E7516,"Outlook"),"")</f>
        <v/>
      </c>
      <c r="K7516">
        <f>IF(E7516="Domain",COUNTIF($E$2:E7516,"Domain"),"")</f>
        <v/>
      </c>
    </row>
    <row r="7517">
      <c r="A7517" s="2" t="n"/>
      <c r="B7517">
        <f>LOWER(TRIM(A7517))</f>
        <v/>
      </c>
      <c r="C7517">
        <f>IF(B7517="","",IFERROR(INDEX('Bad Patterns'!$A$2:$A$120,MATCH(1,INDEX(--ISNUMBER(SEARCH('Bad Patterns'!$A$2:$A$120,B7517)),0),0)),""))</f>
        <v/>
      </c>
      <c r="D7517">
        <f>IF(B7517="","",IF(C7517&lt;&gt;"","REMOVE","KEEP"))</f>
        <v/>
      </c>
      <c r="E7517">
        <f>IF(D7517&lt;&gt;"KEEP","",IF(RIGHT(B7517,10)="@gmail.com","Gmail",IF(OR(RIGHT(B7517,12)="@outlook.com",RIGHT(B7517,12)="@hotmail.com",RIGHT(B7517,9)="@live.com"),"Outlook","Domain")))</f>
        <v/>
      </c>
      <c r="F7517">
        <f>IF(B7517="","",IFERROR(RIGHT(B7517,LEN(B7517)-FIND("@",B7517)),""))</f>
        <v/>
      </c>
      <c r="G7517">
        <f>IF(D7517="KEEP",COUNTIF($D$2:D7517,"KEEP"),"")</f>
        <v/>
      </c>
      <c r="H7517">
        <f>IF(D7517="REMOVE",COUNTIF($D$2:D7517,"REMOVE"),"")</f>
        <v/>
      </c>
      <c r="I7517">
        <f>IF(E7517="Gmail",COUNTIF($E$2:E7517,"Gmail"),"")</f>
        <v/>
      </c>
      <c r="J7517">
        <f>IF(E7517="Outlook",COUNTIF($E$2:E7517,"Outlook"),"")</f>
        <v/>
      </c>
      <c r="K7517">
        <f>IF(E7517="Domain",COUNTIF($E$2:E7517,"Domain"),"")</f>
        <v/>
      </c>
    </row>
    <row r="7518">
      <c r="A7518" s="2" t="n"/>
      <c r="B7518">
        <f>LOWER(TRIM(A7518))</f>
        <v/>
      </c>
      <c r="C7518">
        <f>IF(B7518="","",IFERROR(INDEX('Bad Patterns'!$A$2:$A$120,MATCH(1,INDEX(--ISNUMBER(SEARCH('Bad Patterns'!$A$2:$A$120,B7518)),0),0)),""))</f>
        <v/>
      </c>
      <c r="D7518">
        <f>IF(B7518="","",IF(C7518&lt;&gt;"","REMOVE","KEEP"))</f>
        <v/>
      </c>
      <c r="E7518">
        <f>IF(D7518&lt;&gt;"KEEP","",IF(RIGHT(B7518,10)="@gmail.com","Gmail",IF(OR(RIGHT(B7518,12)="@outlook.com",RIGHT(B7518,12)="@hotmail.com",RIGHT(B7518,9)="@live.com"),"Outlook","Domain")))</f>
        <v/>
      </c>
      <c r="F7518">
        <f>IF(B7518="","",IFERROR(RIGHT(B7518,LEN(B7518)-FIND("@",B7518)),""))</f>
        <v/>
      </c>
      <c r="G7518">
        <f>IF(D7518="KEEP",COUNTIF($D$2:D7518,"KEEP"),"")</f>
        <v/>
      </c>
      <c r="H7518">
        <f>IF(D7518="REMOVE",COUNTIF($D$2:D7518,"REMOVE"),"")</f>
        <v/>
      </c>
      <c r="I7518">
        <f>IF(E7518="Gmail",COUNTIF($E$2:E7518,"Gmail"),"")</f>
        <v/>
      </c>
      <c r="J7518">
        <f>IF(E7518="Outlook",COUNTIF($E$2:E7518,"Outlook"),"")</f>
        <v/>
      </c>
      <c r="K7518">
        <f>IF(E7518="Domain",COUNTIF($E$2:E7518,"Domain"),"")</f>
        <v/>
      </c>
    </row>
    <row r="7519">
      <c r="A7519" s="2" t="n"/>
      <c r="B7519">
        <f>LOWER(TRIM(A7519))</f>
        <v/>
      </c>
      <c r="C7519">
        <f>IF(B7519="","",IFERROR(INDEX('Bad Patterns'!$A$2:$A$120,MATCH(1,INDEX(--ISNUMBER(SEARCH('Bad Patterns'!$A$2:$A$120,B7519)),0),0)),""))</f>
        <v/>
      </c>
      <c r="D7519">
        <f>IF(B7519="","",IF(C7519&lt;&gt;"","REMOVE","KEEP"))</f>
        <v/>
      </c>
      <c r="E7519">
        <f>IF(D7519&lt;&gt;"KEEP","",IF(RIGHT(B7519,10)="@gmail.com","Gmail",IF(OR(RIGHT(B7519,12)="@outlook.com",RIGHT(B7519,12)="@hotmail.com",RIGHT(B7519,9)="@live.com"),"Outlook","Domain")))</f>
        <v/>
      </c>
      <c r="F7519">
        <f>IF(B7519="","",IFERROR(RIGHT(B7519,LEN(B7519)-FIND("@",B7519)),""))</f>
        <v/>
      </c>
      <c r="G7519">
        <f>IF(D7519="KEEP",COUNTIF($D$2:D7519,"KEEP"),"")</f>
        <v/>
      </c>
      <c r="H7519">
        <f>IF(D7519="REMOVE",COUNTIF($D$2:D7519,"REMOVE"),"")</f>
        <v/>
      </c>
      <c r="I7519">
        <f>IF(E7519="Gmail",COUNTIF($E$2:E7519,"Gmail"),"")</f>
        <v/>
      </c>
      <c r="J7519">
        <f>IF(E7519="Outlook",COUNTIF($E$2:E7519,"Outlook"),"")</f>
        <v/>
      </c>
      <c r="K7519">
        <f>IF(E7519="Domain",COUNTIF($E$2:E7519,"Domain"),"")</f>
        <v/>
      </c>
    </row>
    <row r="7520">
      <c r="A7520" s="2" t="n"/>
      <c r="B7520">
        <f>LOWER(TRIM(A7520))</f>
        <v/>
      </c>
      <c r="C7520">
        <f>IF(B7520="","",IFERROR(INDEX('Bad Patterns'!$A$2:$A$120,MATCH(1,INDEX(--ISNUMBER(SEARCH('Bad Patterns'!$A$2:$A$120,B7520)),0),0)),""))</f>
        <v/>
      </c>
      <c r="D7520">
        <f>IF(B7520="","",IF(C7520&lt;&gt;"","REMOVE","KEEP"))</f>
        <v/>
      </c>
      <c r="E7520">
        <f>IF(D7520&lt;&gt;"KEEP","",IF(RIGHT(B7520,10)="@gmail.com","Gmail",IF(OR(RIGHT(B7520,12)="@outlook.com",RIGHT(B7520,12)="@hotmail.com",RIGHT(B7520,9)="@live.com"),"Outlook","Domain")))</f>
        <v/>
      </c>
      <c r="F7520">
        <f>IF(B7520="","",IFERROR(RIGHT(B7520,LEN(B7520)-FIND("@",B7520)),""))</f>
        <v/>
      </c>
      <c r="G7520">
        <f>IF(D7520="KEEP",COUNTIF($D$2:D7520,"KEEP"),"")</f>
        <v/>
      </c>
      <c r="H7520">
        <f>IF(D7520="REMOVE",COUNTIF($D$2:D7520,"REMOVE"),"")</f>
        <v/>
      </c>
      <c r="I7520">
        <f>IF(E7520="Gmail",COUNTIF($E$2:E7520,"Gmail"),"")</f>
        <v/>
      </c>
      <c r="J7520">
        <f>IF(E7520="Outlook",COUNTIF($E$2:E7520,"Outlook"),"")</f>
        <v/>
      </c>
      <c r="K7520">
        <f>IF(E7520="Domain",COUNTIF($E$2:E7520,"Domain"),"")</f>
        <v/>
      </c>
    </row>
    <row r="7521">
      <c r="A7521" s="2" t="n"/>
      <c r="B7521">
        <f>LOWER(TRIM(A7521))</f>
        <v/>
      </c>
      <c r="C7521">
        <f>IF(B7521="","",IFERROR(INDEX('Bad Patterns'!$A$2:$A$120,MATCH(1,INDEX(--ISNUMBER(SEARCH('Bad Patterns'!$A$2:$A$120,B7521)),0),0)),""))</f>
        <v/>
      </c>
      <c r="D7521">
        <f>IF(B7521="","",IF(C7521&lt;&gt;"","REMOVE","KEEP"))</f>
        <v/>
      </c>
      <c r="E7521">
        <f>IF(D7521&lt;&gt;"KEEP","",IF(RIGHT(B7521,10)="@gmail.com","Gmail",IF(OR(RIGHT(B7521,12)="@outlook.com",RIGHT(B7521,12)="@hotmail.com",RIGHT(B7521,9)="@live.com"),"Outlook","Domain")))</f>
        <v/>
      </c>
      <c r="F7521">
        <f>IF(B7521="","",IFERROR(RIGHT(B7521,LEN(B7521)-FIND("@",B7521)),""))</f>
        <v/>
      </c>
      <c r="G7521">
        <f>IF(D7521="KEEP",COUNTIF($D$2:D7521,"KEEP"),"")</f>
        <v/>
      </c>
      <c r="H7521">
        <f>IF(D7521="REMOVE",COUNTIF($D$2:D7521,"REMOVE"),"")</f>
        <v/>
      </c>
      <c r="I7521">
        <f>IF(E7521="Gmail",COUNTIF($E$2:E7521,"Gmail"),"")</f>
        <v/>
      </c>
      <c r="J7521">
        <f>IF(E7521="Outlook",COUNTIF($E$2:E7521,"Outlook"),"")</f>
        <v/>
      </c>
      <c r="K7521">
        <f>IF(E7521="Domain",COUNTIF($E$2:E7521,"Domain"),"")</f>
        <v/>
      </c>
    </row>
    <row r="7522">
      <c r="A7522" s="2" t="n"/>
      <c r="B7522">
        <f>LOWER(TRIM(A7522))</f>
        <v/>
      </c>
      <c r="C7522">
        <f>IF(B7522="","",IFERROR(INDEX('Bad Patterns'!$A$2:$A$120,MATCH(1,INDEX(--ISNUMBER(SEARCH('Bad Patterns'!$A$2:$A$120,B7522)),0),0)),""))</f>
        <v/>
      </c>
      <c r="D7522">
        <f>IF(B7522="","",IF(C7522&lt;&gt;"","REMOVE","KEEP"))</f>
        <v/>
      </c>
      <c r="E7522">
        <f>IF(D7522&lt;&gt;"KEEP","",IF(RIGHT(B7522,10)="@gmail.com","Gmail",IF(OR(RIGHT(B7522,12)="@outlook.com",RIGHT(B7522,12)="@hotmail.com",RIGHT(B7522,9)="@live.com"),"Outlook","Domain")))</f>
        <v/>
      </c>
      <c r="F7522">
        <f>IF(B7522="","",IFERROR(RIGHT(B7522,LEN(B7522)-FIND("@",B7522)),""))</f>
        <v/>
      </c>
      <c r="G7522">
        <f>IF(D7522="KEEP",COUNTIF($D$2:D7522,"KEEP"),"")</f>
        <v/>
      </c>
      <c r="H7522">
        <f>IF(D7522="REMOVE",COUNTIF($D$2:D7522,"REMOVE"),"")</f>
        <v/>
      </c>
      <c r="I7522">
        <f>IF(E7522="Gmail",COUNTIF($E$2:E7522,"Gmail"),"")</f>
        <v/>
      </c>
      <c r="J7522">
        <f>IF(E7522="Outlook",COUNTIF($E$2:E7522,"Outlook"),"")</f>
        <v/>
      </c>
      <c r="K7522">
        <f>IF(E7522="Domain",COUNTIF($E$2:E7522,"Domain"),"")</f>
        <v/>
      </c>
    </row>
    <row r="7523">
      <c r="A7523" s="2" t="n"/>
      <c r="B7523">
        <f>LOWER(TRIM(A7523))</f>
        <v/>
      </c>
      <c r="C7523">
        <f>IF(B7523="","",IFERROR(INDEX('Bad Patterns'!$A$2:$A$120,MATCH(1,INDEX(--ISNUMBER(SEARCH('Bad Patterns'!$A$2:$A$120,B7523)),0),0)),""))</f>
        <v/>
      </c>
      <c r="D7523">
        <f>IF(B7523="","",IF(C7523&lt;&gt;"","REMOVE","KEEP"))</f>
        <v/>
      </c>
      <c r="E7523">
        <f>IF(D7523&lt;&gt;"KEEP","",IF(RIGHT(B7523,10)="@gmail.com","Gmail",IF(OR(RIGHT(B7523,12)="@outlook.com",RIGHT(B7523,12)="@hotmail.com",RIGHT(B7523,9)="@live.com"),"Outlook","Domain")))</f>
        <v/>
      </c>
      <c r="F7523">
        <f>IF(B7523="","",IFERROR(RIGHT(B7523,LEN(B7523)-FIND("@",B7523)),""))</f>
        <v/>
      </c>
      <c r="G7523">
        <f>IF(D7523="KEEP",COUNTIF($D$2:D7523,"KEEP"),"")</f>
        <v/>
      </c>
      <c r="H7523">
        <f>IF(D7523="REMOVE",COUNTIF($D$2:D7523,"REMOVE"),"")</f>
        <v/>
      </c>
      <c r="I7523">
        <f>IF(E7523="Gmail",COUNTIF($E$2:E7523,"Gmail"),"")</f>
        <v/>
      </c>
      <c r="J7523">
        <f>IF(E7523="Outlook",COUNTIF($E$2:E7523,"Outlook"),"")</f>
        <v/>
      </c>
      <c r="K7523">
        <f>IF(E7523="Domain",COUNTIF($E$2:E7523,"Domain"),"")</f>
        <v/>
      </c>
    </row>
    <row r="7524">
      <c r="A7524" s="2" t="n"/>
      <c r="B7524">
        <f>LOWER(TRIM(A7524))</f>
        <v/>
      </c>
      <c r="C7524">
        <f>IF(B7524="","",IFERROR(INDEX('Bad Patterns'!$A$2:$A$120,MATCH(1,INDEX(--ISNUMBER(SEARCH('Bad Patterns'!$A$2:$A$120,B7524)),0),0)),""))</f>
        <v/>
      </c>
      <c r="D7524">
        <f>IF(B7524="","",IF(C7524&lt;&gt;"","REMOVE","KEEP"))</f>
        <v/>
      </c>
      <c r="E7524">
        <f>IF(D7524&lt;&gt;"KEEP","",IF(RIGHT(B7524,10)="@gmail.com","Gmail",IF(OR(RIGHT(B7524,12)="@outlook.com",RIGHT(B7524,12)="@hotmail.com",RIGHT(B7524,9)="@live.com"),"Outlook","Domain")))</f>
        <v/>
      </c>
      <c r="F7524">
        <f>IF(B7524="","",IFERROR(RIGHT(B7524,LEN(B7524)-FIND("@",B7524)),""))</f>
        <v/>
      </c>
      <c r="G7524">
        <f>IF(D7524="KEEP",COUNTIF($D$2:D7524,"KEEP"),"")</f>
        <v/>
      </c>
      <c r="H7524">
        <f>IF(D7524="REMOVE",COUNTIF($D$2:D7524,"REMOVE"),"")</f>
        <v/>
      </c>
      <c r="I7524">
        <f>IF(E7524="Gmail",COUNTIF($E$2:E7524,"Gmail"),"")</f>
        <v/>
      </c>
      <c r="J7524">
        <f>IF(E7524="Outlook",COUNTIF($E$2:E7524,"Outlook"),"")</f>
        <v/>
      </c>
      <c r="K7524">
        <f>IF(E7524="Domain",COUNTIF($E$2:E7524,"Domain"),"")</f>
        <v/>
      </c>
    </row>
    <row r="7525">
      <c r="A7525" s="2" t="n"/>
      <c r="B7525">
        <f>LOWER(TRIM(A7525))</f>
        <v/>
      </c>
      <c r="C7525">
        <f>IF(B7525="","",IFERROR(INDEX('Bad Patterns'!$A$2:$A$120,MATCH(1,INDEX(--ISNUMBER(SEARCH('Bad Patterns'!$A$2:$A$120,B7525)),0),0)),""))</f>
        <v/>
      </c>
      <c r="D7525">
        <f>IF(B7525="","",IF(C7525&lt;&gt;"","REMOVE","KEEP"))</f>
        <v/>
      </c>
      <c r="E7525">
        <f>IF(D7525&lt;&gt;"KEEP","",IF(RIGHT(B7525,10)="@gmail.com","Gmail",IF(OR(RIGHT(B7525,12)="@outlook.com",RIGHT(B7525,12)="@hotmail.com",RIGHT(B7525,9)="@live.com"),"Outlook","Domain")))</f>
        <v/>
      </c>
      <c r="F7525">
        <f>IF(B7525="","",IFERROR(RIGHT(B7525,LEN(B7525)-FIND("@",B7525)),""))</f>
        <v/>
      </c>
      <c r="G7525">
        <f>IF(D7525="KEEP",COUNTIF($D$2:D7525,"KEEP"),"")</f>
        <v/>
      </c>
      <c r="H7525">
        <f>IF(D7525="REMOVE",COUNTIF($D$2:D7525,"REMOVE"),"")</f>
        <v/>
      </c>
      <c r="I7525">
        <f>IF(E7525="Gmail",COUNTIF($E$2:E7525,"Gmail"),"")</f>
        <v/>
      </c>
      <c r="J7525">
        <f>IF(E7525="Outlook",COUNTIF($E$2:E7525,"Outlook"),"")</f>
        <v/>
      </c>
      <c r="K7525">
        <f>IF(E7525="Domain",COUNTIF($E$2:E7525,"Domain"),"")</f>
        <v/>
      </c>
    </row>
    <row r="7526">
      <c r="A7526" s="2" t="n"/>
      <c r="B7526">
        <f>LOWER(TRIM(A7526))</f>
        <v/>
      </c>
      <c r="C7526">
        <f>IF(B7526="","",IFERROR(INDEX('Bad Patterns'!$A$2:$A$120,MATCH(1,INDEX(--ISNUMBER(SEARCH('Bad Patterns'!$A$2:$A$120,B7526)),0),0)),""))</f>
        <v/>
      </c>
      <c r="D7526">
        <f>IF(B7526="","",IF(C7526&lt;&gt;"","REMOVE","KEEP"))</f>
        <v/>
      </c>
      <c r="E7526">
        <f>IF(D7526&lt;&gt;"KEEP","",IF(RIGHT(B7526,10)="@gmail.com","Gmail",IF(OR(RIGHT(B7526,12)="@outlook.com",RIGHT(B7526,12)="@hotmail.com",RIGHT(B7526,9)="@live.com"),"Outlook","Domain")))</f>
        <v/>
      </c>
      <c r="F7526">
        <f>IF(B7526="","",IFERROR(RIGHT(B7526,LEN(B7526)-FIND("@",B7526)),""))</f>
        <v/>
      </c>
      <c r="G7526">
        <f>IF(D7526="KEEP",COUNTIF($D$2:D7526,"KEEP"),"")</f>
        <v/>
      </c>
      <c r="H7526">
        <f>IF(D7526="REMOVE",COUNTIF($D$2:D7526,"REMOVE"),"")</f>
        <v/>
      </c>
      <c r="I7526">
        <f>IF(E7526="Gmail",COUNTIF($E$2:E7526,"Gmail"),"")</f>
        <v/>
      </c>
      <c r="J7526">
        <f>IF(E7526="Outlook",COUNTIF($E$2:E7526,"Outlook"),"")</f>
        <v/>
      </c>
      <c r="K7526">
        <f>IF(E7526="Domain",COUNTIF($E$2:E7526,"Domain"),"")</f>
        <v/>
      </c>
    </row>
    <row r="7527">
      <c r="A7527" s="2" t="n"/>
      <c r="B7527">
        <f>LOWER(TRIM(A7527))</f>
        <v/>
      </c>
      <c r="C7527">
        <f>IF(B7527="","",IFERROR(INDEX('Bad Patterns'!$A$2:$A$120,MATCH(1,INDEX(--ISNUMBER(SEARCH('Bad Patterns'!$A$2:$A$120,B7527)),0),0)),""))</f>
        <v/>
      </c>
      <c r="D7527">
        <f>IF(B7527="","",IF(C7527&lt;&gt;"","REMOVE","KEEP"))</f>
        <v/>
      </c>
      <c r="E7527">
        <f>IF(D7527&lt;&gt;"KEEP","",IF(RIGHT(B7527,10)="@gmail.com","Gmail",IF(OR(RIGHT(B7527,12)="@outlook.com",RIGHT(B7527,12)="@hotmail.com",RIGHT(B7527,9)="@live.com"),"Outlook","Domain")))</f>
        <v/>
      </c>
      <c r="F7527">
        <f>IF(B7527="","",IFERROR(RIGHT(B7527,LEN(B7527)-FIND("@",B7527)),""))</f>
        <v/>
      </c>
      <c r="G7527">
        <f>IF(D7527="KEEP",COUNTIF($D$2:D7527,"KEEP"),"")</f>
        <v/>
      </c>
      <c r="H7527">
        <f>IF(D7527="REMOVE",COUNTIF($D$2:D7527,"REMOVE"),"")</f>
        <v/>
      </c>
      <c r="I7527">
        <f>IF(E7527="Gmail",COUNTIF($E$2:E7527,"Gmail"),"")</f>
        <v/>
      </c>
      <c r="J7527">
        <f>IF(E7527="Outlook",COUNTIF($E$2:E7527,"Outlook"),"")</f>
        <v/>
      </c>
      <c r="K7527">
        <f>IF(E7527="Domain",COUNTIF($E$2:E7527,"Domain"),"")</f>
        <v/>
      </c>
    </row>
    <row r="7528">
      <c r="A7528" s="2" t="n"/>
      <c r="B7528">
        <f>LOWER(TRIM(A7528))</f>
        <v/>
      </c>
      <c r="C7528">
        <f>IF(B7528="","",IFERROR(INDEX('Bad Patterns'!$A$2:$A$120,MATCH(1,INDEX(--ISNUMBER(SEARCH('Bad Patterns'!$A$2:$A$120,B7528)),0),0)),""))</f>
        <v/>
      </c>
      <c r="D7528">
        <f>IF(B7528="","",IF(C7528&lt;&gt;"","REMOVE","KEEP"))</f>
        <v/>
      </c>
      <c r="E7528">
        <f>IF(D7528&lt;&gt;"KEEP","",IF(RIGHT(B7528,10)="@gmail.com","Gmail",IF(OR(RIGHT(B7528,12)="@outlook.com",RIGHT(B7528,12)="@hotmail.com",RIGHT(B7528,9)="@live.com"),"Outlook","Domain")))</f>
        <v/>
      </c>
      <c r="F7528">
        <f>IF(B7528="","",IFERROR(RIGHT(B7528,LEN(B7528)-FIND("@",B7528)),""))</f>
        <v/>
      </c>
      <c r="G7528">
        <f>IF(D7528="KEEP",COUNTIF($D$2:D7528,"KEEP"),"")</f>
        <v/>
      </c>
      <c r="H7528">
        <f>IF(D7528="REMOVE",COUNTIF($D$2:D7528,"REMOVE"),"")</f>
        <v/>
      </c>
      <c r="I7528">
        <f>IF(E7528="Gmail",COUNTIF($E$2:E7528,"Gmail"),"")</f>
        <v/>
      </c>
      <c r="J7528">
        <f>IF(E7528="Outlook",COUNTIF($E$2:E7528,"Outlook"),"")</f>
        <v/>
      </c>
      <c r="K7528">
        <f>IF(E7528="Domain",COUNTIF($E$2:E7528,"Domain"),"")</f>
        <v/>
      </c>
    </row>
    <row r="7529">
      <c r="A7529" s="2" t="n"/>
      <c r="B7529">
        <f>LOWER(TRIM(A7529))</f>
        <v/>
      </c>
      <c r="C7529">
        <f>IF(B7529="","",IFERROR(INDEX('Bad Patterns'!$A$2:$A$120,MATCH(1,INDEX(--ISNUMBER(SEARCH('Bad Patterns'!$A$2:$A$120,B7529)),0),0)),""))</f>
        <v/>
      </c>
      <c r="D7529">
        <f>IF(B7529="","",IF(C7529&lt;&gt;"","REMOVE","KEEP"))</f>
        <v/>
      </c>
      <c r="E7529">
        <f>IF(D7529&lt;&gt;"KEEP","",IF(RIGHT(B7529,10)="@gmail.com","Gmail",IF(OR(RIGHT(B7529,12)="@outlook.com",RIGHT(B7529,12)="@hotmail.com",RIGHT(B7529,9)="@live.com"),"Outlook","Domain")))</f>
        <v/>
      </c>
      <c r="F7529">
        <f>IF(B7529="","",IFERROR(RIGHT(B7529,LEN(B7529)-FIND("@",B7529)),""))</f>
        <v/>
      </c>
      <c r="G7529">
        <f>IF(D7529="KEEP",COUNTIF($D$2:D7529,"KEEP"),"")</f>
        <v/>
      </c>
      <c r="H7529">
        <f>IF(D7529="REMOVE",COUNTIF($D$2:D7529,"REMOVE"),"")</f>
        <v/>
      </c>
      <c r="I7529">
        <f>IF(E7529="Gmail",COUNTIF($E$2:E7529,"Gmail"),"")</f>
        <v/>
      </c>
      <c r="J7529">
        <f>IF(E7529="Outlook",COUNTIF($E$2:E7529,"Outlook"),"")</f>
        <v/>
      </c>
      <c r="K7529">
        <f>IF(E7529="Domain",COUNTIF($E$2:E7529,"Domain"),"")</f>
        <v/>
      </c>
    </row>
    <row r="7530">
      <c r="A7530" s="2" t="n"/>
      <c r="B7530">
        <f>LOWER(TRIM(A7530))</f>
        <v/>
      </c>
      <c r="C7530">
        <f>IF(B7530="","",IFERROR(INDEX('Bad Patterns'!$A$2:$A$120,MATCH(1,INDEX(--ISNUMBER(SEARCH('Bad Patterns'!$A$2:$A$120,B7530)),0),0)),""))</f>
        <v/>
      </c>
      <c r="D7530">
        <f>IF(B7530="","",IF(C7530&lt;&gt;"","REMOVE","KEEP"))</f>
        <v/>
      </c>
      <c r="E7530">
        <f>IF(D7530&lt;&gt;"KEEP","",IF(RIGHT(B7530,10)="@gmail.com","Gmail",IF(OR(RIGHT(B7530,12)="@outlook.com",RIGHT(B7530,12)="@hotmail.com",RIGHT(B7530,9)="@live.com"),"Outlook","Domain")))</f>
        <v/>
      </c>
      <c r="F7530">
        <f>IF(B7530="","",IFERROR(RIGHT(B7530,LEN(B7530)-FIND("@",B7530)),""))</f>
        <v/>
      </c>
      <c r="G7530">
        <f>IF(D7530="KEEP",COUNTIF($D$2:D7530,"KEEP"),"")</f>
        <v/>
      </c>
      <c r="H7530">
        <f>IF(D7530="REMOVE",COUNTIF($D$2:D7530,"REMOVE"),"")</f>
        <v/>
      </c>
      <c r="I7530">
        <f>IF(E7530="Gmail",COUNTIF($E$2:E7530,"Gmail"),"")</f>
        <v/>
      </c>
      <c r="J7530">
        <f>IF(E7530="Outlook",COUNTIF($E$2:E7530,"Outlook"),"")</f>
        <v/>
      </c>
      <c r="K7530">
        <f>IF(E7530="Domain",COUNTIF($E$2:E7530,"Domain"),"")</f>
        <v/>
      </c>
    </row>
    <row r="7531">
      <c r="A7531" s="2" t="n"/>
      <c r="B7531">
        <f>LOWER(TRIM(A7531))</f>
        <v/>
      </c>
      <c r="C7531">
        <f>IF(B7531="","",IFERROR(INDEX('Bad Patterns'!$A$2:$A$120,MATCH(1,INDEX(--ISNUMBER(SEARCH('Bad Patterns'!$A$2:$A$120,B7531)),0),0)),""))</f>
        <v/>
      </c>
      <c r="D7531">
        <f>IF(B7531="","",IF(C7531&lt;&gt;"","REMOVE","KEEP"))</f>
        <v/>
      </c>
      <c r="E7531">
        <f>IF(D7531&lt;&gt;"KEEP","",IF(RIGHT(B7531,10)="@gmail.com","Gmail",IF(OR(RIGHT(B7531,12)="@outlook.com",RIGHT(B7531,12)="@hotmail.com",RIGHT(B7531,9)="@live.com"),"Outlook","Domain")))</f>
        <v/>
      </c>
      <c r="F7531">
        <f>IF(B7531="","",IFERROR(RIGHT(B7531,LEN(B7531)-FIND("@",B7531)),""))</f>
        <v/>
      </c>
      <c r="G7531">
        <f>IF(D7531="KEEP",COUNTIF($D$2:D7531,"KEEP"),"")</f>
        <v/>
      </c>
      <c r="H7531">
        <f>IF(D7531="REMOVE",COUNTIF($D$2:D7531,"REMOVE"),"")</f>
        <v/>
      </c>
      <c r="I7531">
        <f>IF(E7531="Gmail",COUNTIF($E$2:E7531,"Gmail"),"")</f>
        <v/>
      </c>
      <c r="J7531">
        <f>IF(E7531="Outlook",COUNTIF($E$2:E7531,"Outlook"),"")</f>
        <v/>
      </c>
      <c r="K7531">
        <f>IF(E7531="Domain",COUNTIF($E$2:E7531,"Domain"),"")</f>
        <v/>
      </c>
    </row>
    <row r="7532">
      <c r="A7532" s="2" t="n"/>
      <c r="B7532">
        <f>LOWER(TRIM(A7532))</f>
        <v/>
      </c>
      <c r="C7532">
        <f>IF(B7532="","",IFERROR(INDEX('Bad Patterns'!$A$2:$A$120,MATCH(1,INDEX(--ISNUMBER(SEARCH('Bad Patterns'!$A$2:$A$120,B7532)),0),0)),""))</f>
        <v/>
      </c>
      <c r="D7532">
        <f>IF(B7532="","",IF(C7532&lt;&gt;"","REMOVE","KEEP"))</f>
        <v/>
      </c>
      <c r="E7532">
        <f>IF(D7532&lt;&gt;"KEEP","",IF(RIGHT(B7532,10)="@gmail.com","Gmail",IF(OR(RIGHT(B7532,12)="@outlook.com",RIGHT(B7532,12)="@hotmail.com",RIGHT(B7532,9)="@live.com"),"Outlook","Domain")))</f>
        <v/>
      </c>
      <c r="F7532">
        <f>IF(B7532="","",IFERROR(RIGHT(B7532,LEN(B7532)-FIND("@",B7532)),""))</f>
        <v/>
      </c>
      <c r="G7532">
        <f>IF(D7532="KEEP",COUNTIF($D$2:D7532,"KEEP"),"")</f>
        <v/>
      </c>
      <c r="H7532">
        <f>IF(D7532="REMOVE",COUNTIF($D$2:D7532,"REMOVE"),"")</f>
        <v/>
      </c>
      <c r="I7532">
        <f>IF(E7532="Gmail",COUNTIF($E$2:E7532,"Gmail"),"")</f>
        <v/>
      </c>
      <c r="J7532">
        <f>IF(E7532="Outlook",COUNTIF($E$2:E7532,"Outlook"),"")</f>
        <v/>
      </c>
      <c r="K7532">
        <f>IF(E7532="Domain",COUNTIF($E$2:E7532,"Domain"),"")</f>
        <v/>
      </c>
    </row>
    <row r="7533">
      <c r="A7533" s="2" t="n"/>
      <c r="B7533">
        <f>LOWER(TRIM(A7533))</f>
        <v/>
      </c>
      <c r="C7533">
        <f>IF(B7533="","",IFERROR(INDEX('Bad Patterns'!$A$2:$A$120,MATCH(1,INDEX(--ISNUMBER(SEARCH('Bad Patterns'!$A$2:$A$120,B7533)),0),0)),""))</f>
        <v/>
      </c>
      <c r="D7533">
        <f>IF(B7533="","",IF(C7533&lt;&gt;"","REMOVE","KEEP"))</f>
        <v/>
      </c>
      <c r="E7533">
        <f>IF(D7533&lt;&gt;"KEEP","",IF(RIGHT(B7533,10)="@gmail.com","Gmail",IF(OR(RIGHT(B7533,12)="@outlook.com",RIGHT(B7533,12)="@hotmail.com",RIGHT(B7533,9)="@live.com"),"Outlook","Domain")))</f>
        <v/>
      </c>
      <c r="F7533">
        <f>IF(B7533="","",IFERROR(RIGHT(B7533,LEN(B7533)-FIND("@",B7533)),""))</f>
        <v/>
      </c>
      <c r="G7533">
        <f>IF(D7533="KEEP",COUNTIF($D$2:D7533,"KEEP"),"")</f>
        <v/>
      </c>
      <c r="H7533">
        <f>IF(D7533="REMOVE",COUNTIF($D$2:D7533,"REMOVE"),"")</f>
        <v/>
      </c>
      <c r="I7533">
        <f>IF(E7533="Gmail",COUNTIF($E$2:E7533,"Gmail"),"")</f>
        <v/>
      </c>
      <c r="J7533">
        <f>IF(E7533="Outlook",COUNTIF($E$2:E7533,"Outlook"),"")</f>
        <v/>
      </c>
      <c r="K7533">
        <f>IF(E7533="Domain",COUNTIF($E$2:E7533,"Domain"),"")</f>
        <v/>
      </c>
    </row>
    <row r="7534">
      <c r="A7534" s="2" t="n"/>
      <c r="B7534">
        <f>LOWER(TRIM(A7534))</f>
        <v/>
      </c>
      <c r="C7534">
        <f>IF(B7534="","",IFERROR(INDEX('Bad Patterns'!$A$2:$A$120,MATCH(1,INDEX(--ISNUMBER(SEARCH('Bad Patterns'!$A$2:$A$120,B7534)),0),0)),""))</f>
        <v/>
      </c>
      <c r="D7534">
        <f>IF(B7534="","",IF(C7534&lt;&gt;"","REMOVE","KEEP"))</f>
        <v/>
      </c>
      <c r="E7534">
        <f>IF(D7534&lt;&gt;"KEEP","",IF(RIGHT(B7534,10)="@gmail.com","Gmail",IF(OR(RIGHT(B7534,12)="@outlook.com",RIGHT(B7534,12)="@hotmail.com",RIGHT(B7534,9)="@live.com"),"Outlook","Domain")))</f>
        <v/>
      </c>
      <c r="F7534">
        <f>IF(B7534="","",IFERROR(RIGHT(B7534,LEN(B7534)-FIND("@",B7534)),""))</f>
        <v/>
      </c>
      <c r="G7534">
        <f>IF(D7534="KEEP",COUNTIF($D$2:D7534,"KEEP"),"")</f>
        <v/>
      </c>
      <c r="H7534">
        <f>IF(D7534="REMOVE",COUNTIF($D$2:D7534,"REMOVE"),"")</f>
        <v/>
      </c>
      <c r="I7534">
        <f>IF(E7534="Gmail",COUNTIF($E$2:E7534,"Gmail"),"")</f>
        <v/>
      </c>
      <c r="J7534">
        <f>IF(E7534="Outlook",COUNTIF($E$2:E7534,"Outlook"),"")</f>
        <v/>
      </c>
      <c r="K7534">
        <f>IF(E7534="Domain",COUNTIF($E$2:E7534,"Domain"),"")</f>
        <v/>
      </c>
    </row>
    <row r="7535">
      <c r="A7535" s="2" t="n"/>
      <c r="B7535">
        <f>LOWER(TRIM(A7535))</f>
        <v/>
      </c>
      <c r="C7535">
        <f>IF(B7535="","",IFERROR(INDEX('Bad Patterns'!$A$2:$A$120,MATCH(1,INDEX(--ISNUMBER(SEARCH('Bad Patterns'!$A$2:$A$120,B7535)),0),0)),""))</f>
        <v/>
      </c>
      <c r="D7535">
        <f>IF(B7535="","",IF(C7535&lt;&gt;"","REMOVE","KEEP"))</f>
        <v/>
      </c>
      <c r="E7535">
        <f>IF(D7535&lt;&gt;"KEEP","",IF(RIGHT(B7535,10)="@gmail.com","Gmail",IF(OR(RIGHT(B7535,12)="@outlook.com",RIGHT(B7535,12)="@hotmail.com",RIGHT(B7535,9)="@live.com"),"Outlook","Domain")))</f>
        <v/>
      </c>
      <c r="F7535">
        <f>IF(B7535="","",IFERROR(RIGHT(B7535,LEN(B7535)-FIND("@",B7535)),""))</f>
        <v/>
      </c>
      <c r="G7535">
        <f>IF(D7535="KEEP",COUNTIF($D$2:D7535,"KEEP"),"")</f>
        <v/>
      </c>
      <c r="H7535">
        <f>IF(D7535="REMOVE",COUNTIF($D$2:D7535,"REMOVE"),"")</f>
        <v/>
      </c>
      <c r="I7535">
        <f>IF(E7535="Gmail",COUNTIF($E$2:E7535,"Gmail"),"")</f>
        <v/>
      </c>
      <c r="J7535">
        <f>IF(E7535="Outlook",COUNTIF($E$2:E7535,"Outlook"),"")</f>
        <v/>
      </c>
      <c r="K7535">
        <f>IF(E7535="Domain",COUNTIF($E$2:E7535,"Domain"),"")</f>
        <v/>
      </c>
    </row>
    <row r="7536">
      <c r="A7536" s="2" t="n"/>
      <c r="B7536">
        <f>LOWER(TRIM(A7536))</f>
        <v/>
      </c>
      <c r="C7536">
        <f>IF(B7536="","",IFERROR(INDEX('Bad Patterns'!$A$2:$A$120,MATCH(1,INDEX(--ISNUMBER(SEARCH('Bad Patterns'!$A$2:$A$120,B7536)),0),0)),""))</f>
        <v/>
      </c>
      <c r="D7536">
        <f>IF(B7536="","",IF(C7536&lt;&gt;"","REMOVE","KEEP"))</f>
        <v/>
      </c>
      <c r="E7536">
        <f>IF(D7536&lt;&gt;"KEEP","",IF(RIGHT(B7536,10)="@gmail.com","Gmail",IF(OR(RIGHT(B7536,12)="@outlook.com",RIGHT(B7536,12)="@hotmail.com",RIGHT(B7536,9)="@live.com"),"Outlook","Domain")))</f>
        <v/>
      </c>
      <c r="F7536">
        <f>IF(B7536="","",IFERROR(RIGHT(B7536,LEN(B7536)-FIND("@",B7536)),""))</f>
        <v/>
      </c>
      <c r="G7536">
        <f>IF(D7536="KEEP",COUNTIF($D$2:D7536,"KEEP"),"")</f>
        <v/>
      </c>
      <c r="H7536">
        <f>IF(D7536="REMOVE",COUNTIF($D$2:D7536,"REMOVE"),"")</f>
        <v/>
      </c>
      <c r="I7536">
        <f>IF(E7536="Gmail",COUNTIF($E$2:E7536,"Gmail"),"")</f>
        <v/>
      </c>
      <c r="J7536">
        <f>IF(E7536="Outlook",COUNTIF($E$2:E7536,"Outlook"),"")</f>
        <v/>
      </c>
      <c r="K7536">
        <f>IF(E7536="Domain",COUNTIF($E$2:E7536,"Domain"),"")</f>
        <v/>
      </c>
    </row>
    <row r="7537">
      <c r="A7537" s="2" t="n"/>
      <c r="B7537">
        <f>LOWER(TRIM(A7537))</f>
        <v/>
      </c>
      <c r="C7537">
        <f>IF(B7537="","",IFERROR(INDEX('Bad Patterns'!$A$2:$A$120,MATCH(1,INDEX(--ISNUMBER(SEARCH('Bad Patterns'!$A$2:$A$120,B7537)),0),0)),""))</f>
        <v/>
      </c>
      <c r="D7537">
        <f>IF(B7537="","",IF(C7537&lt;&gt;"","REMOVE","KEEP"))</f>
        <v/>
      </c>
      <c r="E7537">
        <f>IF(D7537&lt;&gt;"KEEP","",IF(RIGHT(B7537,10)="@gmail.com","Gmail",IF(OR(RIGHT(B7537,12)="@outlook.com",RIGHT(B7537,12)="@hotmail.com",RIGHT(B7537,9)="@live.com"),"Outlook","Domain")))</f>
        <v/>
      </c>
      <c r="F7537">
        <f>IF(B7537="","",IFERROR(RIGHT(B7537,LEN(B7537)-FIND("@",B7537)),""))</f>
        <v/>
      </c>
      <c r="G7537">
        <f>IF(D7537="KEEP",COUNTIF($D$2:D7537,"KEEP"),"")</f>
        <v/>
      </c>
      <c r="H7537">
        <f>IF(D7537="REMOVE",COUNTIF($D$2:D7537,"REMOVE"),"")</f>
        <v/>
      </c>
      <c r="I7537">
        <f>IF(E7537="Gmail",COUNTIF($E$2:E7537,"Gmail"),"")</f>
        <v/>
      </c>
      <c r="J7537">
        <f>IF(E7537="Outlook",COUNTIF($E$2:E7537,"Outlook"),"")</f>
        <v/>
      </c>
      <c r="K7537">
        <f>IF(E7537="Domain",COUNTIF($E$2:E7537,"Domain"),"")</f>
        <v/>
      </c>
    </row>
    <row r="7538">
      <c r="A7538" s="2" t="n"/>
      <c r="B7538">
        <f>LOWER(TRIM(A7538))</f>
        <v/>
      </c>
      <c r="C7538">
        <f>IF(B7538="","",IFERROR(INDEX('Bad Patterns'!$A$2:$A$120,MATCH(1,INDEX(--ISNUMBER(SEARCH('Bad Patterns'!$A$2:$A$120,B7538)),0),0)),""))</f>
        <v/>
      </c>
      <c r="D7538">
        <f>IF(B7538="","",IF(C7538&lt;&gt;"","REMOVE","KEEP"))</f>
        <v/>
      </c>
      <c r="E7538">
        <f>IF(D7538&lt;&gt;"KEEP","",IF(RIGHT(B7538,10)="@gmail.com","Gmail",IF(OR(RIGHT(B7538,12)="@outlook.com",RIGHT(B7538,12)="@hotmail.com",RIGHT(B7538,9)="@live.com"),"Outlook","Domain")))</f>
        <v/>
      </c>
      <c r="F7538">
        <f>IF(B7538="","",IFERROR(RIGHT(B7538,LEN(B7538)-FIND("@",B7538)),""))</f>
        <v/>
      </c>
      <c r="G7538">
        <f>IF(D7538="KEEP",COUNTIF($D$2:D7538,"KEEP"),"")</f>
        <v/>
      </c>
      <c r="H7538">
        <f>IF(D7538="REMOVE",COUNTIF($D$2:D7538,"REMOVE"),"")</f>
        <v/>
      </c>
      <c r="I7538">
        <f>IF(E7538="Gmail",COUNTIF($E$2:E7538,"Gmail"),"")</f>
        <v/>
      </c>
      <c r="J7538">
        <f>IF(E7538="Outlook",COUNTIF($E$2:E7538,"Outlook"),"")</f>
        <v/>
      </c>
      <c r="K7538">
        <f>IF(E7538="Domain",COUNTIF($E$2:E7538,"Domain"),"")</f>
        <v/>
      </c>
    </row>
    <row r="7539">
      <c r="A7539" s="2" t="n"/>
      <c r="B7539">
        <f>LOWER(TRIM(A7539))</f>
        <v/>
      </c>
      <c r="C7539">
        <f>IF(B7539="","",IFERROR(INDEX('Bad Patterns'!$A$2:$A$120,MATCH(1,INDEX(--ISNUMBER(SEARCH('Bad Patterns'!$A$2:$A$120,B7539)),0),0)),""))</f>
        <v/>
      </c>
      <c r="D7539">
        <f>IF(B7539="","",IF(C7539&lt;&gt;"","REMOVE","KEEP"))</f>
        <v/>
      </c>
      <c r="E7539">
        <f>IF(D7539&lt;&gt;"KEEP","",IF(RIGHT(B7539,10)="@gmail.com","Gmail",IF(OR(RIGHT(B7539,12)="@outlook.com",RIGHT(B7539,12)="@hotmail.com",RIGHT(B7539,9)="@live.com"),"Outlook","Domain")))</f>
        <v/>
      </c>
      <c r="F7539">
        <f>IF(B7539="","",IFERROR(RIGHT(B7539,LEN(B7539)-FIND("@",B7539)),""))</f>
        <v/>
      </c>
      <c r="G7539">
        <f>IF(D7539="KEEP",COUNTIF($D$2:D7539,"KEEP"),"")</f>
        <v/>
      </c>
      <c r="H7539">
        <f>IF(D7539="REMOVE",COUNTIF($D$2:D7539,"REMOVE"),"")</f>
        <v/>
      </c>
      <c r="I7539">
        <f>IF(E7539="Gmail",COUNTIF($E$2:E7539,"Gmail"),"")</f>
        <v/>
      </c>
      <c r="J7539">
        <f>IF(E7539="Outlook",COUNTIF($E$2:E7539,"Outlook"),"")</f>
        <v/>
      </c>
      <c r="K7539">
        <f>IF(E7539="Domain",COUNTIF($E$2:E7539,"Domain"),"")</f>
        <v/>
      </c>
    </row>
    <row r="7540">
      <c r="A7540" s="2" t="n"/>
      <c r="B7540">
        <f>LOWER(TRIM(A7540))</f>
        <v/>
      </c>
      <c r="C7540">
        <f>IF(B7540="","",IFERROR(INDEX('Bad Patterns'!$A$2:$A$120,MATCH(1,INDEX(--ISNUMBER(SEARCH('Bad Patterns'!$A$2:$A$120,B7540)),0),0)),""))</f>
        <v/>
      </c>
      <c r="D7540">
        <f>IF(B7540="","",IF(C7540&lt;&gt;"","REMOVE","KEEP"))</f>
        <v/>
      </c>
      <c r="E7540">
        <f>IF(D7540&lt;&gt;"KEEP","",IF(RIGHT(B7540,10)="@gmail.com","Gmail",IF(OR(RIGHT(B7540,12)="@outlook.com",RIGHT(B7540,12)="@hotmail.com",RIGHT(B7540,9)="@live.com"),"Outlook","Domain")))</f>
        <v/>
      </c>
      <c r="F7540">
        <f>IF(B7540="","",IFERROR(RIGHT(B7540,LEN(B7540)-FIND("@",B7540)),""))</f>
        <v/>
      </c>
      <c r="G7540">
        <f>IF(D7540="KEEP",COUNTIF($D$2:D7540,"KEEP"),"")</f>
        <v/>
      </c>
      <c r="H7540">
        <f>IF(D7540="REMOVE",COUNTIF($D$2:D7540,"REMOVE"),"")</f>
        <v/>
      </c>
      <c r="I7540">
        <f>IF(E7540="Gmail",COUNTIF($E$2:E7540,"Gmail"),"")</f>
        <v/>
      </c>
      <c r="J7540">
        <f>IF(E7540="Outlook",COUNTIF($E$2:E7540,"Outlook"),"")</f>
        <v/>
      </c>
      <c r="K7540">
        <f>IF(E7540="Domain",COUNTIF($E$2:E7540,"Domain"),"")</f>
        <v/>
      </c>
    </row>
    <row r="7541">
      <c r="A7541" s="2" t="n"/>
      <c r="B7541">
        <f>LOWER(TRIM(A7541))</f>
        <v/>
      </c>
      <c r="C7541">
        <f>IF(B7541="","",IFERROR(INDEX('Bad Patterns'!$A$2:$A$120,MATCH(1,INDEX(--ISNUMBER(SEARCH('Bad Patterns'!$A$2:$A$120,B7541)),0),0)),""))</f>
        <v/>
      </c>
      <c r="D7541">
        <f>IF(B7541="","",IF(C7541&lt;&gt;"","REMOVE","KEEP"))</f>
        <v/>
      </c>
      <c r="E7541">
        <f>IF(D7541&lt;&gt;"KEEP","",IF(RIGHT(B7541,10)="@gmail.com","Gmail",IF(OR(RIGHT(B7541,12)="@outlook.com",RIGHT(B7541,12)="@hotmail.com",RIGHT(B7541,9)="@live.com"),"Outlook","Domain")))</f>
        <v/>
      </c>
      <c r="F7541">
        <f>IF(B7541="","",IFERROR(RIGHT(B7541,LEN(B7541)-FIND("@",B7541)),""))</f>
        <v/>
      </c>
      <c r="G7541">
        <f>IF(D7541="KEEP",COUNTIF($D$2:D7541,"KEEP"),"")</f>
        <v/>
      </c>
      <c r="H7541">
        <f>IF(D7541="REMOVE",COUNTIF($D$2:D7541,"REMOVE"),"")</f>
        <v/>
      </c>
      <c r="I7541">
        <f>IF(E7541="Gmail",COUNTIF($E$2:E7541,"Gmail"),"")</f>
        <v/>
      </c>
      <c r="J7541">
        <f>IF(E7541="Outlook",COUNTIF($E$2:E7541,"Outlook"),"")</f>
        <v/>
      </c>
      <c r="K7541">
        <f>IF(E7541="Domain",COUNTIF($E$2:E7541,"Domain"),"")</f>
        <v/>
      </c>
    </row>
    <row r="7542">
      <c r="A7542" s="2" t="n"/>
      <c r="B7542">
        <f>LOWER(TRIM(A7542))</f>
        <v/>
      </c>
      <c r="C7542">
        <f>IF(B7542="","",IFERROR(INDEX('Bad Patterns'!$A$2:$A$120,MATCH(1,INDEX(--ISNUMBER(SEARCH('Bad Patterns'!$A$2:$A$120,B7542)),0),0)),""))</f>
        <v/>
      </c>
      <c r="D7542">
        <f>IF(B7542="","",IF(C7542&lt;&gt;"","REMOVE","KEEP"))</f>
        <v/>
      </c>
      <c r="E7542">
        <f>IF(D7542&lt;&gt;"KEEP","",IF(RIGHT(B7542,10)="@gmail.com","Gmail",IF(OR(RIGHT(B7542,12)="@outlook.com",RIGHT(B7542,12)="@hotmail.com",RIGHT(B7542,9)="@live.com"),"Outlook","Domain")))</f>
        <v/>
      </c>
      <c r="F7542">
        <f>IF(B7542="","",IFERROR(RIGHT(B7542,LEN(B7542)-FIND("@",B7542)),""))</f>
        <v/>
      </c>
      <c r="G7542">
        <f>IF(D7542="KEEP",COUNTIF($D$2:D7542,"KEEP"),"")</f>
        <v/>
      </c>
      <c r="H7542">
        <f>IF(D7542="REMOVE",COUNTIF($D$2:D7542,"REMOVE"),"")</f>
        <v/>
      </c>
      <c r="I7542">
        <f>IF(E7542="Gmail",COUNTIF($E$2:E7542,"Gmail"),"")</f>
        <v/>
      </c>
      <c r="J7542">
        <f>IF(E7542="Outlook",COUNTIF($E$2:E7542,"Outlook"),"")</f>
        <v/>
      </c>
      <c r="K7542">
        <f>IF(E7542="Domain",COUNTIF($E$2:E7542,"Domain"),"")</f>
        <v/>
      </c>
    </row>
    <row r="7543">
      <c r="A7543" s="2" t="n"/>
      <c r="B7543">
        <f>LOWER(TRIM(A7543))</f>
        <v/>
      </c>
      <c r="C7543">
        <f>IF(B7543="","",IFERROR(INDEX('Bad Patterns'!$A$2:$A$120,MATCH(1,INDEX(--ISNUMBER(SEARCH('Bad Patterns'!$A$2:$A$120,B7543)),0),0)),""))</f>
        <v/>
      </c>
      <c r="D7543">
        <f>IF(B7543="","",IF(C7543&lt;&gt;"","REMOVE","KEEP"))</f>
        <v/>
      </c>
      <c r="E7543">
        <f>IF(D7543&lt;&gt;"KEEP","",IF(RIGHT(B7543,10)="@gmail.com","Gmail",IF(OR(RIGHT(B7543,12)="@outlook.com",RIGHT(B7543,12)="@hotmail.com",RIGHT(B7543,9)="@live.com"),"Outlook","Domain")))</f>
        <v/>
      </c>
      <c r="F7543">
        <f>IF(B7543="","",IFERROR(RIGHT(B7543,LEN(B7543)-FIND("@",B7543)),""))</f>
        <v/>
      </c>
      <c r="G7543">
        <f>IF(D7543="KEEP",COUNTIF($D$2:D7543,"KEEP"),"")</f>
        <v/>
      </c>
      <c r="H7543">
        <f>IF(D7543="REMOVE",COUNTIF($D$2:D7543,"REMOVE"),"")</f>
        <v/>
      </c>
      <c r="I7543">
        <f>IF(E7543="Gmail",COUNTIF($E$2:E7543,"Gmail"),"")</f>
        <v/>
      </c>
      <c r="J7543">
        <f>IF(E7543="Outlook",COUNTIF($E$2:E7543,"Outlook"),"")</f>
        <v/>
      </c>
      <c r="K7543">
        <f>IF(E7543="Domain",COUNTIF($E$2:E7543,"Domain"),"")</f>
        <v/>
      </c>
    </row>
    <row r="7544">
      <c r="A7544" s="2" t="n"/>
      <c r="B7544">
        <f>LOWER(TRIM(A7544))</f>
        <v/>
      </c>
      <c r="C7544">
        <f>IF(B7544="","",IFERROR(INDEX('Bad Patterns'!$A$2:$A$120,MATCH(1,INDEX(--ISNUMBER(SEARCH('Bad Patterns'!$A$2:$A$120,B7544)),0),0)),""))</f>
        <v/>
      </c>
      <c r="D7544">
        <f>IF(B7544="","",IF(C7544&lt;&gt;"","REMOVE","KEEP"))</f>
        <v/>
      </c>
      <c r="E7544">
        <f>IF(D7544&lt;&gt;"KEEP","",IF(RIGHT(B7544,10)="@gmail.com","Gmail",IF(OR(RIGHT(B7544,12)="@outlook.com",RIGHT(B7544,12)="@hotmail.com",RIGHT(B7544,9)="@live.com"),"Outlook","Domain")))</f>
        <v/>
      </c>
      <c r="F7544">
        <f>IF(B7544="","",IFERROR(RIGHT(B7544,LEN(B7544)-FIND("@",B7544)),""))</f>
        <v/>
      </c>
      <c r="G7544">
        <f>IF(D7544="KEEP",COUNTIF($D$2:D7544,"KEEP"),"")</f>
        <v/>
      </c>
      <c r="H7544">
        <f>IF(D7544="REMOVE",COUNTIF($D$2:D7544,"REMOVE"),"")</f>
        <v/>
      </c>
      <c r="I7544">
        <f>IF(E7544="Gmail",COUNTIF($E$2:E7544,"Gmail"),"")</f>
        <v/>
      </c>
      <c r="J7544">
        <f>IF(E7544="Outlook",COUNTIF($E$2:E7544,"Outlook"),"")</f>
        <v/>
      </c>
      <c r="K7544">
        <f>IF(E7544="Domain",COUNTIF($E$2:E7544,"Domain"),"")</f>
        <v/>
      </c>
    </row>
    <row r="7545">
      <c r="A7545" s="2" t="n"/>
      <c r="B7545">
        <f>LOWER(TRIM(A7545))</f>
        <v/>
      </c>
      <c r="C7545">
        <f>IF(B7545="","",IFERROR(INDEX('Bad Patterns'!$A$2:$A$120,MATCH(1,INDEX(--ISNUMBER(SEARCH('Bad Patterns'!$A$2:$A$120,B7545)),0),0)),""))</f>
        <v/>
      </c>
      <c r="D7545">
        <f>IF(B7545="","",IF(C7545&lt;&gt;"","REMOVE","KEEP"))</f>
        <v/>
      </c>
      <c r="E7545">
        <f>IF(D7545&lt;&gt;"KEEP","",IF(RIGHT(B7545,10)="@gmail.com","Gmail",IF(OR(RIGHT(B7545,12)="@outlook.com",RIGHT(B7545,12)="@hotmail.com",RIGHT(B7545,9)="@live.com"),"Outlook","Domain")))</f>
        <v/>
      </c>
      <c r="F7545">
        <f>IF(B7545="","",IFERROR(RIGHT(B7545,LEN(B7545)-FIND("@",B7545)),""))</f>
        <v/>
      </c>
      <c r="G7545">
        <f>IF(D7545="KEEP",COUNTIF($D$2:D7545,"KEEP"),"")</f>
        <v/>
      </c>
      <c r="H7545">
        <f>IF(D7545="REMOVE",COUNTIF($D$2:D7545,"REMOVE"),"")</f>
        <v/>
      </c>
      <c r="I7545">
        <f>IF(E7545="Gmail",COUNTIF($E$2:E7545,"Gmail"),"")</f>
        <v/>
      </c>
      <c r="J7545">
        <f>IF(E7545="Outlook",COUNTIF($E$2:E7545,"Outlook"),"")</f>
        <v/>
      </c>
      <c r="K7545">
        <f>IF(E7545="Domain",COUNTIF($E$2:E7545,"Domain"),"")</f>
        <v/>
      </c>
    </row>
    <row r="7546">
      <c r="A7546" s="2" t="n"/>
      <c r="B7546">
        <f>LOWER(TRIM(A7546))</f>
        <v/>
      </c>
      <c r="C7546">
        <f>IF(B7546="","",IFERROR(INDEX('Bad Patterns'!$A$2:$A$120,MATCH(1,INDEX(--ISNUMBER(SEARCH('Bad Patterns'!$A$2:$A$120,B7546)),0),0)),""))</f>
        <v/>
      </c>
      <c r="D7546">
        <f>IF(B7546="","",IF(C7546&lt;&gt;"","REMOVE","KEEP"))</f>
        <v/>
      </c>
      <c r="E7546">
        <f>IF(D7546&lt;&gt;"KEEP","",IF(RIGHT(B7546,10)="@gmail.com","Gmail",IF(OR(RIGHT(B7546,12)="@outlook.com",RIGHT(B7546,12)="@hotmail.com",RIGHT(B7546,9)="@live.com"),"Outlook","Domain")))</f>
        <v/>
      </c>
      <c r="F7546">
        <f>IF(B7546="","",IFERROR(RIGHT(B7546,LEN(B7546)-FIND("@",B7546)),""))</f>
        <v/>
      </c>
      <c r="G7546">
        <f>IF(D7546="KEEP",COUNTIF($D$2:D7546,"KEEP"),"")</f>
        <v/>
      </c>
      <c r="H7546">
        <f>IF(D7546="REMOVE",COUNTIF($D$2:D7546,"REMOVE"),"")</f>
        <v/>
      </c>
      <c r="I7546">
        <f>IF(E7546="Gmail",COUNTIF($E$2:E7546,"Gmail"),"")</f>
        <v/>
      </c>
      <c r="J7546">
        <f>IF(E7546="Outlook",COUNTIF($E$2:E7546,"Outlook"),"")</f>
        <v/>
      </c>
      <c r="K7546">
        <f>IF(E7546="Domain",COUNTIF($E$2:E7546,"Domain"),"")</f>
        <v/>
      </c>
    </row>
    <row r="7547">
      <c r="A7547" s="2" t="n"/>
      <c r="B7547">
        <f>LOWER(TRIM(A7547))</f>
        <v/>
      </c>
      <c r="C7547">
        <f>IF(B7547="","",IFERROR(INDEX('Bad Patterns'!$A$2:$A$120,MATCH(1,INDEX(--ISNUMBER(SEARCH('Bad Patterns'!$A$2:$A$120,B7547)),0),0)),""))</f>
        <v/>
      </c>
      <c r="D7547">
        <f>IF(B7547="","",IF(C7547&lt;&gt;"","REMOVE","KEEP"))</f>
        <v/>
      </c>
      <c r="E7547">
        <f>IF(D7547&lt;&gt;"KEEP","",IF(RIGHT(B7547,10)="@gmail.com","Gmail",IF(OR(RIGHT(B7547,12)="@outlook.com",RIGHT(B7547,12)="@hotmail.com",RIGHT(B7547,9)="@live.com"),"Outlook","Domain")))</f>
        <v/>
      </c>
      <c r="F7547">
        <f>IF(B7547="","",IFERROR(RIGHT(B7547,LEN(B7547)-FIND("@",B7547)),""))</f>
        <v/>
      </c>
      <c r="G7547">
        <f>IF(D7547="KEEP",COUNTIF($D$2:D7547,"KEEP"),"")</f>
        <v/>
      </c>
      <c r="H7547">
        <f>IF(D7547="REMOVE",COUNTIF($D$2:D7547,"REMOVE"),"")</f>
        <v/>
      </c>
      <c r="I7547">
        <f>IF(E7547="Gmail",COUNTIF($E$2:E7547,"Gmail"),"")</f>
        <v/>
      </c>
      <c r="J7547">
        <f>IF(E7547="Outlook",COUNTIF($E$2:E7547,"Outlook"),"")</f>
        <v/>
      </c>
      <c r="K7547">
        <f>IF(E7547="Domain",COUNTIF($E$2:E7547,"Domain"),"")</f>
        <v/>
      </c>
    </row>
    <row r="7548">
      <c r="A7548" s="2" t="n"/>
      <c r="B7548">
        <f>LOWER(TRIM(A7548))</f>
        <v/>
      </c>
      <c r="C7548">
        <f>IF(B7548="","",IFERROR(INDEX('Bad Patterns'!$A$2:$A$120,MATCH(1,INDEX(--ISNUMBER(SEARCH('Bad Patterns'!$A$2:$A$120,B7548)),0),0)),""))</f>
        <v/>
      </c>
      <c r="D7548">
        <f>IF(B7548="","",IF(C7548&lt;&gt;"","REMOVE","KEEP"))</f>
        <v/>
      </c>
      <c r="E7548">
        <f>IF(D7548&lt;&gt;"KEEP","",IF(RIGHT(B7548,10)="@gmail.com","Gmail",IF(OR(RIGHT(B7548,12)="@outlook.com",RIGHT(B7548,12)="@hotmail.com",RIGHT(B7548,9)="@live.com"),"Outlook","Domain")))</f>
        <v/>
      </c>
      <c r="F7548">
        <f>IF(B7548="","",IFERROR(RIGHT(B7548,LEN(B7548)-FIND("@",B7548)),""))</f>
        <v/>
      </c>
      <c r="G7548">
        <f>IF(D7548="KEEP",COUNTIF($D$2:D7548,"KEEP"),"")</f>
        <v/>
      </c>
      <c r="H7548">
        <f>IF(D7548="REMOVE",COUNTIF($D$2:D7548,"REMOVE"),"")</f>
        <v/>
      </c>
      <c r="I7548">
        <f>IF(E7548="Gmail",COUNTIF($E$2:E7548,"Gmail"),"")</f>
        <v/>
      </c>
      <c r="J7548">
        <f>IF(E7548="Outlook",COUNTIF($E$2:E7548,"Outlook"),"")</f>
        <v/>
      </c>
      <c r="K7548">
        <f>IF(E7548="Domain",COUNTIF($E$2:E7548,"Domain"),"")</f>
        <v/>
      </c>
    </row>
    <row r="7549">
      <c r="A7549" s="2" t="n"/>
      <c r="B7549">
        <f>LOWER(TRIM(A7549))</f>
        <v/>
      </c>
      <c r="C7549">
        <f>IF(B7549="","",IFERROR(INDEX('Bad Patterns'!$A$2:$A$120,MATCH(1,INDEX(--ISNUMBER(SEARCH('Bad Patterns'!$A$2:$A$120,B7549)),0),0)),""))</f>
        <v/>
      </c>
      <c r="D7549">
        <f>IF(B7549="","",IF(C7549&lt;&gt;"","REMOVE","KEEP"))</f>
        <v/>
      </c>
      <c r="E7549">
        <f>IF(D7549&lt;&gt;"KEEP","",IF(RIGHT(B7549,10)="@gmail.com","Gmail",IF(OR(RIGHT(B7549,12)="@outlook.com",RIGHT(B7549,12)="@hotmail.com",RIGHT(B7549,9)="@live.com"),"Outlook","Domain")))</f>
        <v/>
      </c>
      <c r="F7549">
        <f>IF(B7549="","",IFERROR(RIGHT(B7549,LEN(B7549)-FIND("@",B7549)),""))</f>
        <v/>
      </c>
      <c r="G7549">
        <f>IF(D7549="KEEP",COUNTIF($D$2:D7549,"KEEP"),"")</f>
        <v/>
      </c>
      <c r="H7549">
        <f>IF(D7549="REMOVE",COUNTIF($D$2:D7549,"REMOVE"),"")</f>
        <v/>
      </c>
      <c r="I7549">
        <f>IF(E7549="Gmail",COUNTIF($E$2:E7549,"Gmail"),"")</f>
        <v/>
      </c>
      <c r="J7549">
        <f>IF(E7549="Outlook",COUNTIF($E$2:E7549,"Outlook"),"")</f>
        <v/>
      </c>
      <c r="K7549">
        <f>IF(E7549="Domain",COUNTIF($E$2:E7549,"Domain"),"")</f>
        <v/>
      </c>
    </row>
    <row r="7550">
      <c r="A7550" s="2" t="n"/>
      <c r="B7550">
        <f>LOWER(TRIM(A7550))</f>
        <v/>
      </c>
      <c r="C7550">
        <f>IF(B7550="","",IFERROR(INDEX('Bad Patterns'!$A$2:$A$120,MATCH(1,INDEX(--ISNUMBER(SEARCH('Bad Patterns'!$A$2:$A$120,B7550)),0),0)),""))</f>
        <v/>
      </c>
      <c r="D7550">
        <f>IF(B7550="","",IF(C7550&lt;&gt;"","REMOVE","KEEP"))</f>
        <v/>
      </c>
      <c r="E7550">
        <f>IF(D7550&lt;&gt;"KEEP","",IF(RIGHT(B7550,10)="@gmail.com","Gmail",IF(OR(RIGHT(B7550,12)="@outlook.com",RIGHT(B7550,12)="@hotmail.com",RIGHT(B7550,9)="@live.com"),"Outlook","Domain")))</f>
        <v/>
      </c>
      <c r="F7550">
        <f>IF(B7550="","",IFERROR(RIGHT(B7550,LEN(B7550)-FIND("@",B7550)),""))</f>
        <v/>
      </c>
      <c r="G7550">
        <f>IF(D7550="KEEP",COUNTIF($D$2:D7550,"KEEP"),"")</f>
        <v/>
      </c>
      <c r="H7550">
        <f>IF(D7550="REMOVE",COUNTIF($D$2:D7550,"REMOVE"),"")</f>
        <v/>
      </c>
      <c r="I7550">
        <f>IF(E7550="Gmail",COUNTIF($E$2:E7550,"Gmail"),"")</f>
        <v/>
      </c>
      <c r="J7550">
        <f>IF(E7550="Outlook",COUNTIF($E$2:E7550,"Outlook"),"")</f>
        <v/>
      </c>
      <c r="K7550">
        <f>IF(E7550="Domain",COUNTIF($E$2:E7550,"Domain"),"")</f>
        <v/>
      </c>
    </row>
    <row r="7551">
      <c r="A7551" s="2" t="n"/>
      <c r="B7551">
        <f>LOWER(TRIM(A7551))</f>
        <v/>
      </c>
      <c r="C7551">
        <f>IF(B7551="","",IFERROR(INDEX('Bad Patterns'!$A$2:$A$120,MATCH(1,INDEX(--ISNUMBER(SEARCH('Bad Patterns'!$A$2:$A$120,B7551)),0),0)),""))</f>
        <v/>
      </c>
      <c r="D7551">
        <f>IF(B7551="","",IF(C7551&lt;&gt;"","REMOVE","KEEP"))</f>
        <v/>
      </c>
      <c r="E7551">
        <f>IF(D7551&lt;&gt;"KEEP","",IF(RIGHT(B7551,10)="@gmail.com","Gmail",IF(OR(RIGHT(B7551,12)="@outlook.com",RIGHT(B7551,12)="@hotmail.com",RIGHT(B7551,9)="@live.com"),"Outlook","Domain")))</f>
        <v/>
      </c>
      <c r="F7551">
        <f>IF(B7551="","",IFERROR(RIGHT(B7551,LEN(B7551)-FIND("@",B7551)),""))</f>
        <v/>
      </c>
      <c r="G7551">
        <f>IF(D7551="KEEP",COUNTIF($D$2:D7551,"KEEP"),"")</f>
        <v/>
      </c>
      <c r="H7551">
        <f>IF(D7551="REMOVE",COUNTIF($D$2:D7551,"REMOVE"),"")</f>
        <v/>
      </c>
      <c r="I7551">
        <f>IF(E7551="Gmail",COUNTIF($E$2:E7551,"Gmail"),"")</f>
        <v/>
      </c>
      <c r="J7551">
        <f>IF(E7551="Outlook",COUNTIF($E$2:E7551,"Outlook"),"")</f>
        <v/>
      </c>
      <c r="K7551">
        <f>IF(E7551="Domain",COUNTIF($E$2:E7551,"Domain"),"")</f>
        <v/>
      </c>
    </row>
    <row r="7552">
      <c r="A7552" s="2" t="n"/>
      <c r="B7552">
        <f>LOWER(TRIM(A7552))</f>
        <v/>
      </c>
      <c r="C7552">
        <f>IF(B7552="","",IFERROR(INDEX('Bad Patterns'!$A$2:$A$120,MATCH(1,INDEX(--ISNUMBER(SEARCH('Bad Patterns'!$A$2:$A$120,B7552)),0),0)),""))</f>
        <v/>
      </c>
      <c r="D7552">
        <f>IF(B7552="","",IF(C7552&lt;&gt;"","REMOVE","KEEP"))</f>
        <v/>
      </c>
      <c r="E7552">
        <f>IF(D7552&lt;&gt;"KEEP","",IF(RIGHT(B7552,10)="@gmail.com","Gmail",IF(OR(RIGHT(B7552,12)="@outlook.com",RIGHT(B7552,12)="@hotmail.com",RIGHT(B7552,9)="@live.com"),"Outlook","Domain")))</f>
        <v/>
      </c>
      <c r="F7552">
        <f>IF(B7552="","",IFERROR(RIGHT(B7552,LEN(B7552)-FIND("@",B7552)),""))</f>
        <v/>
      </c>
      <c r="G7552">
        <f>IF(D7552="KEEP",COUNTIF($D$2:D7552,"KEEP"),"")</f>
        <v/>
      </c>
      <c r="H7552">
        <f>IF(D7552="REMOVE",COUNTIF($D$2:D7552,"REMOVE"),"")</f>
        <v/>
      </c>
      <c r="I7552">
        <f>IF(E7552="Gmail",COUNTIF($E$2:E7552,"Gmail"),"")</f>
        <v/>
      </c>
      <c r="J7552">
        <f>IF(E7552="Outlook",COUNTIF($E$2:E7552,"Outlook"),"")</f>
        <v/>
      </c>
      <c r="K7552">
        <f>IF(E7552="Domain",COUNTIF($E$2:E7552,"Domain"),"")</f>
        <v/>
      </c>
    </row>
    <row r="7553">
      <c r="A7553" s="2" t="n"/>
      <c r="B7553">
        <f>LOWER(TRIM(A7553))</f>
        <v/>
      </c>
      <c r="C7553">
        <f>IF(B7553="","",IFERROR(INDEX('Bad Patterns'!$A$2:$A$120,MATCH(1,INDEX(--ISNUMBER(SEARCH('Bad Patterns'!$A$2:$A$120,B7553)),0),0)),""))</f>
        <v/>
      </c>
      <c r="D7553">
        <f>IF(B7553="","",IF(C7553&lt;&gt;"","REMOVE","KEEP"))</f>
        <v/>
      </c>
      <c r="E7553">
        <f>IF(D7553&lt;&gt;"KEEP","",IF(RIGHT(B7553,10)="@gmail.com","Gmail",IF(OR(RIGHT(B7553,12)="@outlook.com",RIGHT(B7553,12)="@hotmail.com",RIGHT(B7553,9)="@live.com"),"Outlook","Domain")))</f>
        <v/>
      </c>
      <c r="F7553">
        <f>IF(B7553="","",IFERROR(RIGHT(B7553,LEN(B7553)-FIND("@",B7553)),""))</f>
        <v/>
      </c>
      <c r="G7553">
        <f>IF(D7553="KEEP",COUNTIF($D$2:D7553,"KEEP"),"")</f>
        <v/>
      </c>
      <c r="H7553">
        <f>IF(D7553="REMOVE",COUNTIF($D$2:D7553,"REMOVE"),"")</f>
        <v/>
      </c>
      <c r="I7553">
        <f>IF(E7553="Gmail",COUNTIF($E$2:E7553,"Gmail"),"")</f>
        <v/>
      </c>
      <c r="J7553">
        <f>IF(E7553="Outlook",COUNTIF($E$2:E7553,"Outlook"),"")</f>
        <v/>
      </c>
      <c r="K7553">
        <f>IF(E7553="Domain",COUNTIF($E$2:E7553,"Domain"),"")</f>
        <v/>
      </c>
    </row>
    <row r="7554">
      <c r="A7554" s="2" t="n"/>
      <c r="B7554">
        <f>LOWER(TRIM(A7554))</f>
        <v/>
      </c>
      <c r="C7554">
        <f>IF(B7554="","",IFERROR(INDEX('Bad Patterns'!$A$2:$A$120,MATCH(1,INDEX(--ISNUMBER(SEARCH('Bad Patterns'!$A$2:$A$120,B7554)),0),0)),""))</f>
        <v/>
      </c>
      <c r="D7554">
        <f>IF(B7554="","",IF(C7554&lt;&gt;"","REMOVE","KEEP"))</f>
        <v/>
      </c>
      <c r="E7554">
        <f>IF(D7554&lt;&gt;"KEEP","",IF(RIGHT(B7554,10)="@gmail.com","Gmail",IF(OR(RIGHT(B7554,12)="@outlook.com",RIGHT(B7554,12)="@hotmail.com",RIGHT(B7554,9)="@live.com"),"Outlook","Domain")))</f>
        <v/>
      </c>
      <c r="F7554">
        <f>IF(B7554="","",IFERROR(RIGHT(B7554,LEN(B7554)-FIND("@",B7554)),""))</f>
        <v/>
      </c>
      <c r="G7554">
        <f>IF(D7554="KEEP",COUNTIF($D$2:D7554,"KEEP"),"")</f>
        <v/>
      </c>
      <c r="H7554">
        <f>IF(D7554="REMOVE",COUNTIF($D$2:D7554,"REMOVE"),"")</f>
        <v/>
      </c>
      <c r="I7554">
        <f>IF(E7554="Gmail",COUNTIF($E$2:E7554,"Gmail"),"")</f>
        <v/>
      </c>
      <c r="J7554">
        <f>IF(E7554="Outlook",COUNTIF($E$2:E7554,"Outlook"),"")</f>
        <v/>
      </c>
      <c r="K7554">
        <f>IF(E7554="Domain",COUNTIF($E$2:E7554,"Domain"),"")</f>
        <v/>
      </c>
    </row>
    <row r="7555">
      <c r="A7555" s="2" t="n"/>
      <c r="B7555">
        <f>LOWER(TRIM(A7555))</f>
        <v/>
      </c>
      <c r="C7555">
        <f>IF(B7555="","",IFERROR(INDEX('Bad Patterns'!$A$2:$A$120,MATCH(1,INDEX(--ISNUMBER(SEARCH('Bad Patterns'!$A$2:$A$120,B7555)),0),0)),""))</f>
        <v/>
      </c>
      <c r="D7555">
        <f>IF(B7555="","",IF(C7555&lt;&gt;"","REMOVE","KEEP"))</f>
        <v/>
      </c>
      <c r="E7555">
        <f>IF(D7555&lt;&gt;"KEEP","",IF(RIGHT(B7555,10)="@gmail.com","Gmail",IF(OR(RIGHT(B7555,12)="@outlook.com",RIGHT(B7555,12)="@hotmail.com",RIGHT(B7555,9)="@live.com"),"Outlook","Domain")))</f>
        <v/>
      </c>
      <c r="F7555">
        <f>IF(B7555="","",IFERROR(RIGHT(B7555,LEN(B7555)-FIND("@",B7555)),""))</f>
        <v/>
      </c>
      <c r="G7555">
        <f>IF(D7555="KEEP",COUNTIF($D$2:D7555,"KEEP"),"")</f>
        <v/>
      </c>
      <c r="H7555">
        <f>IF(D7555="REMOVE",COUNTIF($D$2:D7555,"REMOVE"),"")</f>
        <v/>
      </c>
      <c r="I7555">
        <f>IF(E7555="Gmail",COUNTIF($E$2:E7555,"Gmail"),"")</f>
        <v/>
      </c>
      <c r="J7555">
        <f>IF(E7555="Outlook",COUNTIF($E$2:E7555,"Outlook"),"")</f>
        <v/>
      </c>
      <c r="K7555">
        <f>IF(E7555="Domain",COUNTIF($E$2:E7555,"Domain"),"")</f>
        <v/>
      </c>
    </row>
    <row r="7556">
      <c r="A7556" s="2" t="n"/>
      <c r="B7556">
        <f>LOWER(TRIM(A7556))</f>
        <v/>
      </c>
      <c r="C7556">
        <f>IF(B7556="","",IFERROR(INDEX('Bad Patterns'!$A$2:$A$120,MATCH(1,INDEX(--ISNUMBER(SEARCH('Bad Patterns'!$A$2:$A$120,B7556)),0),0)),""))</f>
        <v/>
      </c>
      <c r="D7556">
        <f>IF(B7556="","",IF(C7556&lt;&gt;"","REMOVE","KEEP"))</f>
        <v/>
      </c>
      <c r="E7556">
        <f>IF(D7556&lt;&gt;"KEEP","",IF(RIGHT(B7556,10)="@gmail.com","Gmail",IF(OR(RIGHT(B7556,12)="@outlook.com",RIGHT(B7556,12)="@hotmail.com",RIGHT(B7556,9)="@live.com"),"Outlook","Domain")))</f>
        <v/>
      </c>
      <c r="F7556">
        <f>IF(B7556="","",IFERROR(RIGHT(B7556,LEN(B7556)-FIND("@",B7556)),""))</f>
        <v/>
      </c>
      <c r="G7556">
        <f>IF(D7556="KEEP",COUNTIF($D$2:D7556,"KEEP"),"")</f>
        <v/>
      </c>
      <c r="H7556">
        <f>IF(D7556="REMOVE",COUNTIF($D$2:D7556,"REMOVE"),"")</f>
        <v/>
      </c>
      <c r="I7556">
        <f>IF(E7556="Gmail",COUNTIF($E$2:E7556,"Gmail"),"")</f>
        <v/>
      </c>
      <c r="J7556">
        <f>IF(E7556="Outlook",COUNTIF($E$2:E7556,"Outlook"),"")</f>
        <v/>
      </c>
      <c r="K7556">
        <f>IF(E7556="Domain",COUNTIF($E$2:E7556,"Domain"),"")</f>
        <v/>
      </c>
    </row>
    <row r="7557">
      <c r="A7557" s="2" t="n"/>
      <c r="B7557">
        <f>LOWER(TRIM(A7557))</f>
        <v/>
      </c>
      <c r="C7557">
        <f>IF(B7557="","",IFERROR(INDEX('Bad Patterns'!$A$2:$A$120,MATCH(1,INDEX(--ISNUMBER(SEARCH('Bad Patterns'!$A$2:$A$120,B7557)),0),0)),""))</f>
        <v/>
      </c>
      <c r="D7557">
        <f>IF(B7557="","",IF(C7557&lt;&gt;"","REMOVE","KEEP"))</f>
        <v/>
      </c>
      <c r="E7557">
        <f>IF(D7557&lt;&gt;"KEEP","",IF(RIGHT(B7557,10)="@gmail.com","Gmail",IF(OR(RIGHT(B7557,12)="@outlook.com",RIGHT(B7557,12)="@hotmail.com",RIGHT(B7557,9)="@live.com"),"Outlook","Domain")))</f>
        <v/>
      </c>
      <c r="F7557">
        <f>IF(B7557="","",IFERROR(RIGHT(B7557,LEN(B7557)-FIND("@",B7557)),""))</f>
        <v/>
      </c>
      <c r="G7557">
        <f>IF(D7557="KEEP",COUNTIF($D$2:D7557,"KEEP"),"")</f>
        <v/>
      </c>
      <c r="H7557">
        <f>IF(D7557="REMOVE",COUNTIF($D$2:D7557,"REMOVE"),"")</f>
        <v/>
      </c>
      <c r="I7557">
        <f>IF(E7557="Gmail",COUNTIF($E$2:E7557,"Gmail"),"")</f>
        <v/>
      </c>
      <c r="J7557">
        <f>IF(E7557="Outlook",COUNTIF($E$2:E7557,"Outlook"),"")</f>
        <v/>
      </c>
      <c r="K7557">
        <f>IF(E7557="Domain",COUNTIF($E$2:E7557,"Domain"),"")</f>
        <v/>
      </c>
    </row>
    <row r="7558">
      <c r="A7558" s="2" t="n"/>
      <c r="B7558">
        <f>LOWER(TRIM(A7558))</f>
        <v/>
      </c>
      <c r="C7558">
        <f>IF(B7558="","",IFERROR(INDEX('Bad Patterns'!$A$2:$A$120,MATCH(1,INDEX(--ISNUMBER(SEARCH('Bad Patterns'!$A$2:$A$120,B7558)),0),0)),""))</f>
        <v/>
      </c>
      <c r="D7558">
        <f>IF(B7558="","",IF(C7558&lt;&gt;"","REMOVE","KEEP"))</f>
        <v/>
      </c>
      <c r="E7558">
        <f>IF(D7558&lt;&gt;"KEEP","",IF(RIGHT(B7558,10)="@gmail.com","Gmail",IF(OR(RIGHT(B7558,12)="@outlook.com",RIGHT(B7558,12)="@hotmail.com",RIGHT(B7558,9)="@live.com"),"Outlook","Domain")))</f>
        <v/>
      </c>
      <c r="F7558">
        <f>IF(B7558="","",IFERROR(RIGHT(B7558,LEN(B7558)-FIND("@",B7558)),""))</f>
        <v/>
      </c>
      <c r="G7558">
        <f>IF(D7558="KEEP",COUNTIF($D$2:D7558,"KEEP"),"")</f>
        <v/>
      </c>
      <c r="H7558">
        <f>IF(D7558="REMOVE",COUNTIF($D$2:D7558,"REMOVE"),"")</f>
        <v/>
      </c>
      <c r="I7558">
        <f>IF(E7558="Gmail",COUNTIF($E$2:E7558,"Gmail"),"")</f>
        <v/>
      </c>
      <c r="J7558">
        <f>IF(E7558="Outlook",COUNTIF($E$2:E7558,"Outlook"),"")</f>
        <v/>
      </c>
      <c r="K7558">
        <f>IF(E7558="Domain",COUNTIF($E$2:E7558,"Domain"),"")</f>
        <v/>
      </c>
    </row>
    <row r="7559">
      <c r="A7559" s="2" t="n"/>
      <c r="B7559">
        <f>LOWER(TRIM(A7559))</f>
        <v/>
      </c>
      <c r="C7559">
        <f>IF(B7559="","",IFERROR(INDEX('Bad Patterns'!$A$2:$A$120,MATCH(1,INDEX(--ISNUMBER(SEARCH('Bad Patterns'!$A$2:$A$120,B7559)),0),0)),""))</f>
        <v/>
      </c>
      <c r="D7559">
        <f>IF(B7559="","",IF(C7559&lt;&gt;"","REMOVE","KEEP"))</f>
        <v/>
      </c>
      <c r="E7559">
        <f>IF(D7559&lt;&gt;"KEEP","",IF(RIGHT(B7559,10)="@gmail.com","Gmail",IF(OR(RIGHT(B7559,12)="@outlook.com",RIGHT(B7559,12)="@hotmail.com",RIGHT(B7559,9)="@live.com"),"Outlook","Domain")))</f>
        <v/>
      </c>
      <c r="F7559">
        <f>IF(B7559="","",IFERROR(RIGHT(B7559,LEN(B7559)-FIND("@",B7559)),""))</f>
        <v/>
      </c>
      <c r="G7559">
        <f>IF(D7559="KEEP",COUNTIF($D$2:D7559,"KEEP"),"")</f>
        <v/>
      </c>
      <c r="H7559">
        <f>IF(D7559="REMOVE",COUNTIF($D$2:D7559,"REMOVE"),"")</f>
        <v/>
      </c>
      <c r="I7559">
        <f>IF(E7559="Gmail",COUNTIF($E$2:E7559,"Gmail"),"")</f>
        <v/>
      </c>
      <c r="J7559">
        <f>IF(E7559="Outlook",COUNTIF($E$2:E7559,"Outlook"),"")</f>
        <v/>
      </c>
      <c r="K7559">
        <f>IF(E7559="Domain",COUNTIF($E$2:E7559,"Domain"),"")</f>
        <v/>
      </c>
    </row>
    <row r="7560">
      <c r="A7560" s="2" t="n"/>
      <c r="B7560">
        <f>LOWER(TRIM(A7560))</f>
        <v/>
      </c>
      <c r="C7560">
        <f>IF(B7560="","",IFERROR(INDEX('Bad Patterns'!$A$2:$A$120,MATCH(1,INDEX(--ISNUMBER(SEARCH('Bad Patterns'!$A$2:$A$120,B7560)),0),0)),""))</f>
        <v/>
      </c>
      <c r="D7560">
        <f>IF(B7560="","",IF(C7560&lt;&gt;"","REMOVE","KEEP"))</f>
        <v/>
      </c>
      <c r="E7560">
        <f>IF(D7560&lt;&gt;"KEEP","",IF(RIGHT(B7560,10)="@gmail.com","Gmail",IF(OR(RIGHT(B7560,12)="@outlook.com",RIGHT(B7560,12)="@hotmail.com",RIGHT(B7560,9)="@live.com"),"Outlook","Domain")))</f>
        <v/>
      </c>
      <c r="F7560">
        <f>IF(B7560="","",IFERROR(RIGHT(B7560,LEN(B7560)-FIND("@",B7560)),""))</f>
        <v/>
      </c>
      <c r="G7560">
        <f>IF(D7560="KEEP",COUNTIF($D$2:D7560,"KEEP"),"")</f>
        <v/>
      </c>
      <c r="H7560">
        <f>IF(D7560="REMOVE",COUNTIF($D$2:D7560,"REMOVE"),"")</f>
        <v/>
      </c>
      <c r="I7560">
        <f>IF(E7560="Gmail",COUNTIF($E$2:E7560,"Gmail"),"")</f>
        <v/>
      </c>
      <c r="J7560">
        <f>IF(E7560="Outlook",COUNTIF($E$2:E7560,"Outlook"),"")</f>
        <v/>
      </c>
      <c r="K7560">
        <f>IF(E7560="Domain",COUNTIF($E$2:E7560,"Domain"),"")</f>
        <v/>
      </c>
    </row>
    <row r="7561">
      <c r="A7561" s="2" t="n"/>
      <c r="B7561">
        <f>LOWER(TRIM(A7561))</f>
        <v/>
      </c>
      <c r="C7561">
        <f>IF(B7561="","",IFERROR(INDEX('Bad Patterns'!$A$2:$A$120,MATCH(1,INDEX(--ISNUMBER(SEARCH('Bad Patterns'!$A$2:$A$120,B7561)),0),0)),""))</f>
        <v/>
      </c>
      <c r="D7561">
        <f>IF(B7561="","",IF(C7561&lt;&gt;"","REMOVE","KEEP"))</f>
        <v/>
      </c>
      <c r="E7561">
        <f>IF(D7561&lt;&gt;"KEEP","",IF(RIGHT(B7561,10)="@gmail.com","Gmail",IF(OR(RIGHT(B7561,12)="@outlook.com",RIGHT(B7561,12)="@hotmail.com",RIGHT(B7561,9)="@live.com"),"Outlook","Domain")))</f>
        <v/>
      </c>
      <c r="F7561">
        <f>IF(B7561="","",IFERROR(RIGHT(B7561,LEN(B7561)-FIND("@",B7561)),""))</f>
        <v/>
      </c>
      <c r="G7561">
        <f>IF(D7561="KEEP",COUNTIF($D$2:D7561,"KEEP"),"")</f>
        <v/>
      </c>
      <c r="H7561">
        <f>IF(D7561="REMOVE",COUNTIF($D$2:D7561,"REMOVE"),"")</f>
        <v/>
      </c>
      <c r="I7561">
        <f>IF(E7561="Gmail",COUNTIF($E$2:E7561,"Gmail"),"")</f>
        <v/>
      </c>
      <c r="J7561">
        <f>IF(E7561="Outlook",COUNTIF($E$2:E7561,"Outlook"),"")</f>
        <v/>
      </c>
      <c r="K7561">
        <f>IF(E7561="Domain",COUNTIF($E$2:E7561,"Domain"),"")</f>
        <v/>
      </c>
    </row>
    <row r="7562">
      <c r="A7562" s="2" t="n"/>
      <c r="B7562">
        <f>LOWER(TRIM(A7562))</f>
        <v/>
      </c>
      <c r="C7562">
        <f>IF(B7562="","",IFERROR(INDEX('Bad Patterns'!$A$2:$A$120,MATCH(1,INDEX(--ISNUMBER(SEARCH('Bad Patterns'!$A$2:$A$120,B7562)),0),0)),""))</f>
        <v/>
      </c>
      <c r="D7562">
        <f>IF(B7562="","",IF(C7562&lt;&gt;"","REMOVE","KEEP"))</f>
        <v/>
      </c>
      <c r="E7562">
        <f>IF(D7562&lt;&gt;"KEEP","",IF(RIGHT(B7562,10)="@gmail.com","Gmail",IF(OR(RIGHT(B7562,12)="@outlook.com",RIGHT(B7562,12)="@hotmail.com",RIGHT(B7562,9)="@live.com"),"Outlook","Domain")))</f>
        <v/>
      </c>
      <c r="F7562">
        <f>IF(B7562="","",IFERROR(RIGHT(B7562,LEN(B7562)-FIND("@",B7562)),""))</f>
        <v/>
      </c>
      <c r="G7562">
        <f>IF(D7562="KEEP",COUNTIF($D$2:D7562,"KEEP"),"")</f>
        <v/>
      </c>
      <c r="H7562">
        <f>IF(D7562="REMOVE",COUNTIF($D$2:D7562,"REMOVE"),"")</f>
        <v/>
      </c>
      <c r="I7562">
        <f>IF(E7562="Gmail",COUNTIF($E$2:E7562,"Gmail"),"")</f>
        <v/>
      </c>
      <c r="J7562">
        <f>IF(E7562="Outlook",COUNTIF($E$2:E7562,"Outlook"),"")</f>
        <v/>
      </c>
      <c r="K7562">
        <f>IF(E7562="Domain",COUNTIF($E$2:E7562,"Domain"),"")</f>
        <v/>
      </c>
    </row>
    <row r="7563">
      <c r="A7563" s="2" t="n"/>
      <c r="B7563">
        <f>LOWER(TRIM(A7563))</f>
        <v/>
      </c>
      <c r="C7563">
        <f>IF(B7563="","",IFERROR(INDEX('Bad Patterns'!$A$2:$A$120,MATCH(1,INDEX(--ISNUMBER(SEARCH('Bad Patterns'!$A$2:$A$120,B7563)),0),0)),""))</f>
        <v/>
      </c>
      <c r="D7563">
        <f>IF(B7563="","",IF(C7563&lt;&gt;"","REMOVE","KEEP"))</f>
        <v/>
      </c>
      <c r="E7563">
        <f>IF(D7563&lt;&gt;"KEEP","",IF(RIGHT(B7563,10)="@gmail.com","Gmail",IF(OR(RIGHT(B7563,12)="@outlook.com",RIGHT(B7563,12)="@hotmail.com",RIGHT(B7563,9)="@live.com"),"Outlook","Domain")))</f>
        <v/>
      </c>
      <c r="F7563">
        <f>IF(B7563="","",IFERROR(RIGHT(B7563,LEN(B7563)-FIND("@",B7563)),""))</f>
        <v/>
      </c>
      <c r="G7563">
        <f>IF(D7563="KEEP",COUNTIF($D$2:D7563,"KEEP"),"")</f>
        <v/>
      </c>
      <c r="H7563">
        <f>IF(D7563="REMOVE",COUNTIF($D$2:D7563,"REMOVE"),"")</f>
        <v/>
      </c>
      <c r="I7563">
        <f>IF(E7563="Gmail",COUNTIF($E$2:E7563,"Gmail"),"")</f>
        <v/>
      </c>
      <c r="J7563">
        <f>IF(E7563="Outlook",COUNTIF($E$2:E7563,"Outlook"),"")</f>
        <v/>
      </c>
      <c r="K7563">
        <f>IF(E7563="Domain",COUNTIF($E$2:E7563,"Domain"),"")</f>
        <v/>
      </c>
    </row>
    <row r="7564">
      <c r="A7564" s="2" t="n"/>
      <c r="B7564">
        <f>LOWER(TRIM(A7564))</f>
        <v/>
      </c>
      <c r="C7564">
        <f>IF(B7564="","",IFERROR(INDEX('Bad Patterns'!$A$2:$A$120,MATCH(1,INDEX(--ISNUMBER(SEARCH('Bad Patterns'!$A$2:$A$120,B7564)),0),0)),""))</f>
        <v/>
      </c>
      <c r="D7564">
        <f>IF(B7564="","",IF(C7564&lt;&gt;"","REMOVE","KEEP"))</f>
        <v/>
      </c>
      <c r="E7564">
        <f>IF(D7564&lt;&gt;"KEEP","",IF(RIGHT(B7564,10)="@gmail.com","Gmail",IF(OR(RIGHT(B7564,12)="@outlook.com",RIGHT(B7564,12)="@hotmail.com",RIGHT(B7564,9)="@live.com"),"Outlook","Domain")))</f>
        <v/>
      </c>
      <c r="F7564">
        <f>IF(B7564="","",IFERROR(RIGHT(B7564,LEN(B7564)-FIND("@",B7564)),""))</f>
        <v/>
      </c>
      <c r="G7564">
        <f>IF(D7564="KEEP",COUNTIF($D$2:D7564,"KEEP"),"")</f>
        <v/>
      </c>
      <c r="H7564">
        <f>IF(D7564="REMOVE",COUNTIF($D$2:D7564,"REMOVE"),"")</f>
        <v/>
      </c>
      <c r="I7564">
        <f>IF(E7564="Gmail",COUNTIF($E$2:E7564,"Gmail"),"")</f>
        <v/>
      </c>
      <c r="J7564">
        <f>IF(E7564="Outlook",COUNTIF($E$2:E7564,"Outlook"),"")</f>
        <v/>
      </c>
      <c r="K7564">
        <f>IF(E7564="Domain",COUNTIF($E$2:E7564,"Domain"),"")</f>
        <v/>
      </c>
    </row>
    <row r="7565">
      <c r="A7565" s="2" t="n"/>
      <c r="B7565">
        <f>LOWER(TRIM(A7565))</f>
        <v/>
      </c>
      <c r="C7565">
        <f>IF(B7565="","",IFERROR(INDEX('Bad Patterns'!$A$2:$A$120,MATCH(1,INDEX(--ISNUMBER(SEARCH('Bad Patterns'!$A$2:$A$120,B7565)),0),0)),""))</f>
        <v/>
      </c>
      <c r="D7565">
        <f>IF(B7565="","",IF(C7565&lt;&gt;"","REMOVE","KEEP"))</f>
        <v/>
      </c>
      <c r="E7565">
        <f>IF(D7565&lt;&gt;"KEEP","",IF(RIGHT(B7565,10)="@gmail.com","Gmail",IF(OR(RIGHT(B7565,12)="@outlook.com",RIGHT(B7565,12)="@hotmail.com",RIGHT(B7565,9)="@live.com"),"Outlook","Domain")))</f>
        <v/>
      </c>
      <c r="F7565">
        <f>IF(B7565="","",IFERROR(RIGHT(B7565,LEN(B7565)-FIND("@",B7565)),""))</f>
        <v/>
      </c>
      <c r="G7565">
        <f>IF(D7565="KEEP",COUNTIF($D$2:D7565,"KEEP"),"")</f>
        <v/>
      </c>
      <c r="H7565">
        <f>IF(D7565="REMOVE",COUNTIF($D$2:D7565,"REMOVE"),"")</f>
        <v/>
      </c>
      <c r="I7565">
        <f>IF(E7565="Gmail",COUNTIF($E$2:E7565,"Gmail"),"")</f>
        <v/>
      </c>
      <c r="J7565">
        <f>IF(E7565="Outlook",COUNTIF($E$2:E7565,"Outlook"),"")</f>
        <v/>
      </c>
      <c r="K7565">
        <f>IF(E7565="Domain",COUNTIF($E$2:E7565,"Domain"),"")</f>
        <v/>
      </c>
    </row>
    <row r="7566">
      <c r="A7566" s="2" t="n"/>
      <c r="B7566">
        <f>LOWER(TRIM(A7566))</f>
        <v/>
      </c>
      <c r="C7566">
        <f>IF(B7566="","",IFERROR(INDEX('Bad Patterns'!$A$2:$A$120,MATCH(1,INDEX(--ISNUMBER(SEARCH('Bad Patterns'!$A$2:$A$120,B7566)),0),0)),""))</f>
        <v/>
      </c>
      <c r="D7566">
        <f>IF(B7566="","",IF(C7566&lt;&gt;"","REMOVE","KEEP"))</f>
        <v/>
      </c>
      <c r="E7566">
        <f>IF(D7566&lt;&gt;"KEEP","",IF(RIGHT(B7566,10)="@gmail.com","Gmail",IF(OR(RIGHT(B7566,12)="@outlook.com",RIGHT(B7566,12)="@hotmail.com",RIGHT(B7566,9)="@live.com"),"Outlook","Domain")))</f>
        <v/>
      </c>
      <c r="F7566">
        <f>IF(B7566="","",IFERROR(RIGHT(B7566,LEN(B7566)-FIND("@",B7566)),""))</f>
        <v/>
      </c>
      <c r="G7566">
        <f>IF(D7566="KEEP",COUNTIF($D$2:D7566,"KEEP"),"")</f>
        <v/>
      </c>
      <c r="H7566">
        <f>IF(D7566="REMOVE",COUNTIF($D$2:D7566,"REMOVE"),"")</f>
        <v/>
      </c>
      <c r="I7566">
        <f>IF(E7566="Gmail",COUNTIF($E$2:E7566,"Gmail"),"")</f>
        <v/>
      </c>
      <c r="J7566">
        <f>IF(E7566="Outlook",COUNTIF($E$2:E7566,"Outlook"),"")</f>
        <v/>
      </c>
      <c r="K7566">
        <f>IF(E7566="Domain",COUNTIF($E$2:E7566,"Domain"),"")</f>
        <v/>
      </c>
    </row>
    <row r="7567">
      <c r="A7567" s="2" t="n"/>
      <c r="B7567">
        <f>LOWER(TRIM(A7567))</f>
        <v/>
      </c>
      <c r="C7567">
        <f>IF(B7567="","",IFERROR(INDEX('Bad Patterns'!$A$2:$A$120,MATCH(1,INDEX(--ISNUMBER(SEARCH('Bad Patterns'!$A$2:$A$120,B7567)),0),0)),""))</f>
        <v/>
      </c>
      <c r="D7567">
        <f>IF(B7567="","",IF(C7567&lt;&gt;"","REMOVE","KEEP"))</f>
        <v/>
      </c>
      <c r="E7567">
        <f>IF(D7567&lt;&gt;"KEEP","",IF(RIGHT(B7567,10)="@gmail.com","Gmail",IF(OR(RIGHT(B7567,12)="@outlook.com",RIGHT(B7567,12)="@hotmail.com",RIGHT(B7567,9)="@live.com"),"Outlook","Domain")))</f>
        <v/>
      </c>
      <c r="F7567">
        <f>IF(B7567="","",IFERROR(RIGHT(B7567,LEN(B7567)-FIND("@",B7567)),""))</f>
        <v/>
      </c>
      <c r="G7567">
        <f>IF(D7567="KEEP",COUNTIF($D$2:D7567,"KEEP"),"")</f>
        <v/>
      </c>
      <c r="H7567">
        <f>IF(D7567="REMOVE",COUNTIF($D$2:D7567,"REMOVE"),"")</f>
        <v/>
      </c>
      <c r="I7567">
        <f>IF(E7567="Gmail",COUNTIF($E$2:E7567,"Gmail"),"")</f>
        <v/>
      </c>
      <c r="J7567">
        <f>IF(E7567="Outlook",COUNTIF($E$2:E7567,"Outlook"),"")</f>
        <v/>
      </c>
      <c r="K7567">
        <f>IF(E7567="Domain",COUNTIF($E$2:E7567,"Domain"),"")</f>
        <v/>
      </c>
    </row>
    <row r="7568">
      <c r="A7568" s="2" t="n"/>
      <c r="B7568">
        <f>LOWER(TRIM(A7568))</f>
        <v/>
      </c>
      <c r="C7568">
        <f>IF(B7568="","",IFERROR(INDEX('Bad Patterns'!$A$2:$A$120,MATCH(1,INDEX(--ISNUMBER(SEARCH('Bad Patterns'!$A$2:$A$120,B7568)),0),0)),""))</f>
        <v/>
      </c>
      <c r="D7568">
        <f>IF(B7568="","",IF(C7568&lt;&gt;"","REMOVE","KEEP"))</f>
        <v/>
      </c>
      <c r="E7568">
        <f>IF(D7568&lt;&gt;"KEEP","",IF(RIGHT(B7568,10)="@gmail.com","Gmail",IF(OR(RIGHT(B7568,12)="@outlook.com",RIGHT(B7568,12)="@hotmail.com",RIGHT(B7568,9)="@live.com"),"Outlook","Domain")))</f>
        <v/>
      </c>
      <c r="F7568">
        <f>IF(B7568="","",IFERROR(RIGHT(B7568,LEN(B7568)-FIND("@",B7568)),""))</f>
        <v/>
      </c>
      <c r="G7568">
        <f>IF(D7568="KEEP",COUNTIF($D$2:D7568,"KEEP"),"")</f>
        <v/>
      </c>
      <c r="H7568">
        <f>IF(D7568="REMOVE",COUNTIF($D$2:D7568,"REMOVE"),"")</f>
        <v/>
      </c>
      <c r="I7568">
        <f>IF(E7568="Gmail",COUNTIF($E$2:E7568,"Gmail"),"")</f>
        <v/>
      </c>
      <c r="J7568">
        <f>IF(E7568="Outlook",COUNTIF($E$2:E7568,"Outlook"),"")</f>
        <v/>
      </c>
      <c r="K7568">
        <f>IF(E7568="Domain",COUNTIF($E$2:E7568,"Domain"),"")</f>
        <v/>
      </c>
    </row>
    <row r="7569">
      <c r="A7569" s="2" t="n"/>
      <c r="B7569">
        <f>LOWER(TRIM(A7569))</f>
        <v/>
      </c>
      <c r="C7569">
        <f>IF(B7569="","",IFERROR(INDEX('Bad Patterns'!$A$2:$A$120,MATCH(1,INDEX(--ISNUMBER(SEARCH('Bad Patterns'!$A$2:$A$120,B7569)),0),0)),""))</f>
        <v/>
      </c>
      <c r="D7569">
        <f>IF(B7569="","",IF(C7569&lt;&gt;"","REMOVE","KEEP"))</f>
        <v/>
      </c>
      <c r="E7569">
        <f>IF(D7569&lt;&gt;"KEEP","",IF(RIGHT(B7569,10)="@gmail.com","Gmail",IF(OR(RIGHT(B7569,12)="@outlook.com",RIGHT(B7569,12)="@hotmail.com",RIGHT(B7569,9)="@live.com"),"Outlook","Domain")))</f>
        <v/>
      </c>
      <c r="F7569">
        <f>IF(B7569="","",IFERROR(RIGHT(B7569,LEN(B7569)-FIND("@",B7569)),""))</f>
        <v/>
      </c>
      <c r="G7569">
        <f>IF(D7569="KEEP",COUNTIF($D$2:D7569,"KEEP"),"")</f>
        <v/>
      </c>
      <c r="H7569">
        <f>IF(D7569="REMOVE",COUNTIF($D$2:D7569,"REMOVE"),"")</f>
        <v/>
      </c>
      <c r="I7569">
        <f>IF(E7569="Gmail",COUNTIF($E$2:E7569,"Gmail"),"")</f>
        <v/>
      </c>
      <c r="J7569">
        <f>IF(E7569="Outlook",COUNTIF($E$2:E7569,"Outlook"),"")</f>
        <v/>
      </c>
      <c r="K7569">
        <f>IF(E7569="Domain",COUNTIF($E$2:E7569,"Domain"),"")</f>
        <v/>
      </c>
    </row>
    <row r="7570">
      <c r="A7570" s="2" t="n"/>
      <c r="B7570">
        <f>LOWER(TRIM(A7570))</f>
        <v/>
      </c>
      <c r="C7570">
        <f>IF(B7570="","",IFERROR(INDEX('Bad Patterns'!$A$2:$A$120,MATCH(1,INDEX(--ISNUMBER(SEARCH('Bad Patterns'!$A$2:$A$120,B7570)),0),0)),""))</f>
        <v/>
      </c>
      <c r="D7570">
        <f>IF(B7570="","",IF(C7570&lt;&gt;"","REMOVE","KEEP"))</f>
        <v/>
      </c>
      <c r="E7570">
        <f>IF(D7570&lt;&gt;"KEEP","",IF(RIGHT(B7570,10)="@gmail.com","Gmail",IF(OR(RIGHT(B7570,12)="@outlook.com",RIGHT(B7570,12)="@hotmail.com",RIGHT(B7570,9)="@live.com"),"Outlook","Domain")))</f>
        <v/>
      </c>
      <c r="F7570">
        <f>IF(B7570="","",IFERROR(RIGHT(B7570,LEN(B7570)-FIND("@",B7570)),""))</f>
        <v/>
      </c>
      <c r="G7570">
        <f>IF(D7570="KEEP",COUNTIF($D$2:D7570,"KEEP"),"")</f>
        <v/>
      </c>
      <c r="H7570">
        <f>IF(D7570="REMOVE",COUNTIF($D$2:D7570,"REMOVE"),"")</f>
        <v/>
      </c>
      <c r="I7570">
        <f>IF(E7570="Gmail",COUNTIF($E$2:E7570,"Gmail"),"")</f>
        <v/>
      </c>
      <c r="J7570">
        <f>IF(E7570="Outlook",COUNTIF($E$2:E7570,"Outlook"),"")</f>
        <v/>
      </c>
      <c r="K7570">
        <f>IF(E7570="Domain",COUNTIF($E$2:E7570,"Domain"),"")</f>
        <v/>
      </c>
    </row>
    <row r="7571">
      <c r="A7571" s="2" t="n"/>
      <c r="B7571">
        <f>LOWER(TRIM(A7571))</f>
        <v/>
      </c>
      <c r="C7571">
        <f>IF(B7571="","",IFERROR(INDEX('Bad Patterns'!$A$2:$A$120,MATCH(1,INDEX(--ISNUMBER(SEARCH('Bad Patterns'!$A$2:$A$120,B7571)),0),0)),""))</f>
        <v/>
      </c>
      <c r="D7571">
        <f>IF(B7571="","",IF(C7571&lt;&gt;"","REMOVE","KEEP"))</f>
        <v/>
      </c>
      <c r="E7571">
        <f>IF(D7571&lt;&gt;"KEEP","",IF(RIGHT(B7571,10)="@gmail.com","Gmail",IF(OR(RIGHT(B7571,12)="@outlook.com",RIGHT(B7571,12)="@hotmail.com",RIGHT(B7571,9)="@live.com"),"Outlook","Domain")))</f>
        <v/>
      </c>
      <c r="F7571">
        <f>IF(B7571="","",IFERROR(RIGHT(B7571,LEN(B7571)-FIND("@",B7571)),""))</f>
        <v/>
      </c>
      <c r="G7571">
        <f>IF(D7571="KEEP",COUNTIF($D$2:D7571,"KEEP"),"")</f>
        <v/>
      </c>
      <c r="H7571">
        <f>IF(D7571="REMOVE",COUNTIF($D$2:D7571,"REMOVE"),"")</f>
        <v/>
      </c>
      <c r="I7571">
        <f>IF(E7571="Gmail",COUNTIF($E$2:E7571,"Gmail"),"")</f>
        <v/>
      </c>
      <c r="J7571">
        <f>IF(E7571="Outlook",COUNTIF($E$2:E7571,"Outlook"),"")</f>
        <v/>
      </c>
      <c r="K7571">
        <f>IF(E7571="Domain",COUNTIF($E$2:E7571,"Domain"),"")</f>
        <v/>
      </c>
    </row>
    <row r="7572">
      <c r="A7572" s="2" t="n"/>
      <c r="B7572">
        <f>LOWER(TRIM(A7572))</f>
        <v/>
      </c>
      <c r="C7572">
        <f>IF(B7572="","",IFERROR(INDEX('Bad Patterns'!$A$2:$A$120,MATCH(1,INDEX(--ISNUMBER(SEARCH('Bad Patterns'!$A$2:$A$120,B7572)),0),0)),""))</f>
        <v/>
      </c>
      <c r="D7572">
        <f>IF(B7572="","",IF(C7572&lt;&gt;"","REMOVE","KEEP"))</f>
        <v/>
      </c>
      <c r="E7572">
        <f>IF(D7572&lt;&gt;"KEEP","",IF(RIGHT(B7572,10)="@gmail.com","Gmail",IF(OR(RIGHT(B7572,12)="@outlook.com",RIGHT(B7572,12)="@hotmail.com",RIGHT(B7572,9)="@live.com"),"Outlook","Domain")))</f>
        <v/>
      </c>
      <c r="F7572">
        <f>IF(B7572="","",IFERROR(RIGHT(B7572,LEN(B7572)-FIND("@",B7572)),""))</f>
        <v/>
      </c>
      <c r="G7572">
        <f>IF(D7572="KEEP",COUNTIF($D$2:D7572,"KEEP"),"")</f>
        <v/>
      </c>
      <c r="H7572">
        <f>IF(D7572="REMOVE",COUNTIF($D$2:D7572,"REMOVE"),"")</f>
        <v/>
      </c>
      <c r="I7572">
        <f>IF(E7572="Gmail",COUNTIF($E$2:E7572,"Gmail"),"")</f>
        <v/>
      </c>
      <c r="J7572">
        <f>IF(E7572="Outlook",COUNTIF($E$2:E7572,"Outlook"),"")</f>
        <v/>
      </c>
      <c r="K7572">
        <f>IF(E7572="Domain",COUNTIF($E$2:E7572,"Domain"),"")</f>
        <v/>
      </c>
    </row>
    <row r="7573">
      <c r="A7573" s="2" t="n"/>
      <c r="B7573">
        <f>LOWER(TRIM(A7573))</f>
        <v/>
      </c>
      <c r="C7573">
        <f>IF(B7573="","",IFERROR(INDEX('Bad Patterns'!$A$2:$A$120,MATCH(1,INDEX(--ISNUMBER(SEARCH('Bad Patterns'!$A$2:$A$120,B7573)),0),0)),""))</f>
        <v/>
      </c>
      <c r="D7573">
        <f>IF(B7573="","",IF(C7573&lt;&gt;"","REMOVE","KEEP"))</f>
        <v/>
      </c>
      <c r="E7573">
        <f>IF(D7573&lt;&gt;"KEEP","",IF(RIGHT(B7573,10)="@gmail.com","Gmail",IF(OR(RIGHT(B7573,12)="@outlook.com",RIGHT(B7573,12)="@hotmail.com",RIGHT(B7573,9)="@live.com"),"Outlook","Domain")))</f>
        <v/>
      </c>
      <c r="F7573">
        <f>IF(B7573="","",IFERROR(RIGHT(B7573,LEN(B7573)-FIND("@",B7573)),""))</f>
        <v/>
      </c>
      <c r="G7573">
        <f>IF(D7573="KEEP",COUNTIF($D$2:D7573,"KEEP"),"")</f>
        <v/>
      </c>
      <c r="H7573">
        <f>IF(D7573="REMOVE",COUNTIF($D$2:D7573,"REMOVE"),"")</f>
        <v/>
      </c>
      <c r="I7573">
        <f>IF(E7573="Gmail",COUNTIF($E$2:E7573,"Gmail"),"")</f>
        <v/>
      </c>
      <c r="J7573">
        <f>IF(E7573="Outlook",COUNTIF($E$2:E7573,"Outlook"),"")</f>
        <v/>
      </c>
      <c r="K7573">
        <f>IF(E7573="Domain",COUNTIF($E$2:E7573,"Domain"),"")</f>
        <v/>
      </c>
    </row>
    <row r="7574">
      <c r="A7574" s="2" t="n"/>
      <c r="B7574">
        <f>LOWER(TRIM(A7574))</f>
        <v/>
      </c>
      <c r="C7574">
        <f>IF(B7574="","",IFERROR(INDEX('Bad Patterns'!$A$2:$A$120,MATCH(1,INDEX(--ISNUMBER(SEARCH('Bad Patterns'!$A$2:$A$120,B7574)),0),0)),""))</f>
        <v/>
      </c>
      <c r="D7574">
        <f>IF(B7574="","",IF(C7574&lt;&gt;"","REMOVE","KEEP"))</f>
        <v/>
      </c>
      <c r="E7574">
        <f>IF(D7574&lt;&gt;"KEEP","",IF(RIGHT(B7574,10)="@gmail.com","Gmail",IF(OR(RIGHT(B7574,12)="@outlook.com",RIGHT(B7574,12)="@hotmail.com",RIGHT(B7574,9)="@live.com"),"Outlook","Domain")))</f>
        <v/>
      </c>
      <c r="F7574">
        <f>IF(B7574="","",IFERROR(RIGHT(B7574,LEN(B7574)-FIND("@",B7574)),""))</f>
        <v/>
      </c>
      <c r="G7574">
        <f>IF(D7574="KEEP",COUNTIF($D$2:D7574,"KEEP"),"")</f>
        <v/>
      </c>
      <c r="H7574">
        <f>IF(D7574="REMOVE",COUNTIF($D$2:D7574,"REMOVE"),"")</f>
        <v/>
      </c>
      <c r="I7574">
        <f>IF(E7574="Gmail",COUNTIF($E$2:E7574,"Gmail"),"")</f>
        <v/>
      </c>
      <c r="J7574">
        <f>IF(E7574="Outlook",COUNTIF($E$2:E7574,"Outlook"),"")</f>
        <v/>
      </c>
      <c r="K7574">
        <f>IF(E7574="Domain",COUNTIF($E$2:E7574,"Domain"),"")</f>
        <v/>
      </c>
    </row>
    <row r="7575">
      <c r="A7575" s="2" t="n"/>
      <c r="B7575">
        <f>LOWER(TRIM(A7575))</f>
        <v/>
      </c>
      <c r="C7575">
        <f>IF(B7575="","",IFERROR(INDEX('Bad Patterns'!$A$2:$A$120,MATCH(1,INDEX(--ISNUMBER(SEARCH('Bad Patterns'!$A$2:$A$120,B7575)),0),0)),""))</f>
        <v/>
      </c>
      <c r="D7575">
        <f>IF(B7575="","",IF(C7575&lt;&gt;"","REMOVE","KEEP"))</f>
        <v/>
      </c>
      <c r="E7575">
        <f>IF(D7575&lt;&gt;"KEEP","",IF(RIGHT(B7575,10)="@gmail.com","Gmail",IF(OR(RIGHT(B7575,12)="@outlook.com",RIGHT(B7575,12)="@hotmail.com",RIGHT(B7575,9)="@live.com"),"Outlook","Domain")))</f>
        <v/>
      </c>
      <c r="F7575">
        <f>IF(B7575="","",IFERROR(RIGHT(B7575,LEN(B7575)-FIND("@",B7575)),""))</f>
        <v/>
      </c>
      <c r="G7575">
        <f>IF(D7575="KEEP",COUNTIF($D$2:D7575,"KEEP"),"")</f>
        <v/>
      </c>
      <c r="H7575">
        <f>IF(D7575="REMOVE",COUNTIF($D$2:D7575,"REMOVE"),"")</f>
        <v/>
      </c>
      <c r="I7575">
        <f>IF(E7575="Gmail",COUNTIF($E$2:E7575,"Gmail"),"")</f>
        <v/>
      </c>
      <c r="J7575">
        <f>IF(E7575="Outlook",COUNTIF($E$2:E7575,"Outlook"),"")</f>
        <v/>
      </c>
      <c r="K7575">
        <f>IF(E7575="Domain",COUNTIF($E$2:E7575,"Domain"),"")</f>
        <v/>
      </c>
    </row>
    <row r="7576">
      <c r="A7576" s="2" t="n"/>
      <c r="B7576">
        <f>LOWER(TRIM(A7576))</f>
        <v/>
      </c>
      <c r="C7576">
        <f>IF(B7576="","",IFERROR(INDEX('Bad Patterns'!$A$2:$A$120,MATCH(1,INDEX(--ISNUMBER(SEARCH('Bad Patterns'!$A$2:$A$120,B7576)),0),0)),""))</f>
        <v/>
      </c>
      <c r="D7576">
        <f>IF(B7576="","",IF(C7576&lt;&gt;"","REMOVE","KEEP"))</f>
        <v/>
      </c>
      <c r="E7576">
        <f>IF(D7576&lt;&gt;"KEEP","",IF(RIGHT(B7576,10)="@gmail.com","Gmail",IF(OR(RIGHT(B7576,12)="@outlook.com",RIGHT(B7576,12)="@hotmail.com",RIGHT(B7576,9)="@live.com"),"Outlook","Domain")))</f>
        <v/>
      </c>
      <c r="F7576">
        <f>IF(B7576="","",IFERROR(RIGHT(B7576,LEN(B7576)-FIND("@",B7576)),""))</f>
        <v/>
      </c>
      <c r="G7576">
        <f>IF(D7576="KEEP",COUNTIF($D$2:D7576,"KEEP"),"")</f>
        <v/>
      </c>
      <c r="H7576">
        <f>IF(D7576="REMOVE",COUNTIF($D$2:D7576,"REMOVE"),"")</f>
        <v/>
      </c>
      <c r="I7576">
        <f>IF(E7576="Gmail",COUNTIF($E$2:E7576,"Gmail"),"")</f>
        <v/>
      </c>
      <c r="J7576">
        <f>IF(E7576="Outlook",COUNTIF($E$2:E7576,"Outlook"),"")</f>
        <v/>
      </c>
      <c r="K7576">
        <f>IF(E7576="Domain",COUNTIF($E$2:E7576,"Domain"),"")</f>
        <v/>
      </c>
    </row>
    <row r="7577">
      <c r="A7577" s="2" t="n"/>
      <c r="B7577">
        <f>LOWER(TRIM(A7577))</f>
        <v/>
      </c>
      <c r="C7577">
        <f>IF(B7577="","",IFERROR(INDEX('Bad Patterns'!$A$2:$A$120,MATCH(1,INDEX(--ISNUMBER(SEARCH('Bad Patterns'!$A$2:$A$120,B7577)),0),0)),""))</f>
        <v/>
      </c>
      <c r="D7577">
        <f>IF(B7577="","",IF(C7577&lt;&gt;"","REMOVE","KEEP"))</f>
        <v/>
      </c>
      <c r="E7577">
        <f>IF(D7577&lt;&gt;"KEEP","",IF(RIGHT(B7577,10)="@gmail.com","Gmail",IF(OR(RIGHT(B7577,12)="@outlook.com",RIGHT(B7577,12)="@hotmail.com",RIGHT(B7577,9)="@live.com"),"Outlook","Domain")))</f>
        <v/>
      </c>
      <c r="F7577">
        <f>IF(B7577="","",IFERROR(RIGHT(B7577,LEN(B7577)-FIND("@",B7577)),""))</f>
        <v/>
      </c>
      <c r="G7577">
        <f>IF(D7577="KEEP",COUNTIF($D$2:D7577,"KEEP"),"")</f>
        <v/>
      </c>
      <c r="H7577">
        <f>IF(D7577="REMOVE",COUNTIF($D$2:D7577,"REMOVE"),"")</f>
        <v/>
      </c>
      <c r="I7577">
        <f>IF(E7577="Gmail",COUNTIF($E$2:E7577,"Gmail"),"")</f>
        <v/>
      </c>
      <c r="J7577">
        <f>IF(E7577="Outlook",COUNTIF($E$2:E7577,"Outlook"),"")</f>
        <v/>
      </c>
      <c r="K7577">
        <f>IF(E7577="Domain",COUNTIF($E$2:E7577,"Domain"),"")</f>
        <v/>
      </c>
    </row>
    <row r="7578">
      <c r="A7578" s="2" t="n"/>
      <c r="B7578">
        <f>LOWER(TRIM(A7578))</f>
        <v/>
      </c>
      <c r="C7578">
        <f>IF(B7578="","",IFERROR(INDEX('Bad Patterns'!$A$2:$A$120,MATCH(1,INDEX(--ISNUMBER(SEARCH('Bad Patterns'!$A$2:$A$120,B7578)),0),0)),""))</f>
        <v/>
      </c>
      <c r="D7578">
        <f>IF(B7578="","",IF(C7578&lt;&gt;"","REMOVE","KEEP"))</f>
        <v/>
      </c>
      <c r="E7578">
        <f>IF(D7578&lt;&gt;"KEEP","",IF(RIGHT(B7578,10)="@gmail.com","Gmail",IF(OR(RIGHT(B7578,12)="@outlook.com",RIGHT(B7578,12)="@hotmail.com",RIGHT(B7578,9)="@live.com"),"Outlook","Domain")))</f>
        <v/>
      </c>
      <c r="F7578">
        <f>IF(B7578="","",IFERROR(RIGHT(B7578,LEN(B7578)-FIND("@",B7578)),""))</f>
        <v/>
      </c>
      <c r="G7578">
        <f>IF(D7578="KEEP",COUNTIF($D$2:D7578,"KEEP"),"")</f>
        <v/>
      </c>
      <c r="H7578">
        <f>IF(D7578="REMOVE",COUNTIF($D$2:D7578,"REMOVE"),"")</f>
        <v/>
      </c>
      <c r="I7578">
        <f>IF(E7578="Gmail",COUNTIF($E$2:E7578,"Gmail"),"")</f>
        <v/>
      </c>
      <c r="J7578">
        <f>IF(E7578="Outlook",COUNTIF($E$2:E7578,"Outlook"),"")</f>
        <v/>
      </c>
      <c r="K7578">
        <f>IF(E7578="Domain",COUNTIF($E$2:E7578,"Domain"),"")</f>
        <v/>
      </c>
    </row>
    <row r="7579">
      <c r="A7579" s="2" t="n"/>
      <c r="B7579">
        <f>LOWER(TRIM(A7579))</f>
        <v/>
      </c>
      <c r="C7579">
        <f>IF(B7579="","",IFERROR(INDEX('Bad Patterns'!$A$2:$A$120,MATCH(1,INDEX(--ISNUMBER(SEARCH('Bad Patterns'!$A$2:$A$120,B7579)),0),0)),""))</f>
        <v/>
      </c>
      <c r="D7579">
        <f>IF(B7579="","",IF(C7579&lt;&gt;"","REMOVE","KEEP"))</f>
        <v/>
      </c>
      <c r="E7579">
        <f>IF(D7579&lt;&gt;"KEEP","",IF(RIGHT(B7579,10)="@gmail.com","Gmail",IF(OR(RIGHT(B7579,12)="@outlook.com",RIGHT(B7579,12)="@hotmail.com",RIGHT(B7579,9)="@live.com"),"Outlook","Domain")))</f>
        <v/>
      </c>
      <c r="F7579">
        <f>IF(B7579="","",IFERROR(RIGHT(B7579,LEN(B7579)-FIND("@",B7579)),""))</f>
        <v/>
      </c>
      <c r="G7579">
        <f>IF(D7579="KEEP",COUNTIF($D$2:D7579,"KEEP"),"")</f>
        <v/>
      </c>
      <c r="H7579">
        <f>IF(D7579="REMOVE",COUNTIF($D$2:D7579,"REMOVE"),"")</f>
        <v/>
      </c>
      <c r="I7579">
        <f>IF(E7579="Gmail",COUNTIF($E$2:E7579,"Gmail"),"")</f>
        <v/>
      </c>
      <c r="J7579">
        <f>IF(E7579="Outlook",COUNTIF($E$2:E7579,"Outlook"),"")</f>
        <v/>
      </c>
      <c r="K7579">
        <f>IF(E7579="Domain",COUNTIF($E$2:E7579,"Domain"),"")</f>
        <v/>
      </c>
    </row>
    <row r="7580">
      <c r="A7580" s="2" t="n"/>
      <c r="B7580">
        <f>LOWER(TRIM(A7580))</f>
        <v/>
      </c>
      <c r="C7580">
        <f>IF(B7580="","",IFERROR(INDEX('Bad Patterns'!$A$2:$A$120,MATCH(1,INDEX(--ISNUMBER(SEARCH('Bad Patterns'!$A$2:$A$120,B7580)),0),0)),""))</f>
        <v/>
      </c>
      <c r="D7580">
        <f>IF(B7580="","",IF(C7580&lt;&gt;"","REMOVE","KEEP"))</f>
        <v/>
      </c>
      <c r="E7580">
        <f>IF(D7580&lt;&gt;"KEEP","",IF(RIGHT(B7580,10)="@gmail.com","Gmail",IF(OR(RIGHT(B7580,12)="@outlook.com",RIGHT(B7580,12)="@hotmail.com",RIGHT(B7580,9)="@live.com"),"Outlook","Domain")))</f>
        <v/>
      </c>
      <c r="F7580">
        <f>IF(B7580="","",IFERROR(RIGHT(B7580,LEN(B7580)-FIND("@",B7580)),""))</f>
        <v/>
      </c>
      <c r="G7580">
        <f>IF(D7580="KEEP",COUNTIF($D$2:D7580,"KEEP"),"")</f>
        <v/>
      </c>
      <c r="H7580">
        <f>IF(D7580="REMOVE",COUNTIF($D$2:D7580,"REMOVE"),"")</f>
        <v/>
      </c>
      <c r="I7580">
        <f>IF(E7580="Gmail",COUNTIF($E$2:E7580,"Gmail"),"")</f>
        <v/>
      </c>
      <c r="J7580">
        <f>IF(E7580="Outlook",COUNTIF($E$2:E7580,"Outlook"),"")</f>
        <v/>
      </c>
      <c r="K7580">
        <f>IF(E7580="Domain",COUNTIF($E$2:E7580,"Domain"),"")</f>
        <v/>
      </c>
    </row>
    <row r="7581">
      <c r="A7581" s="2" t="n"/>
      <c r="B7581">
        <f>LOWER(TRIM(A7581))</f>
        <v/>
      </c>
      <c r="C7581">
        <f>IF(B7581="","",IFERROR(INDEX('Bad Patterns'!$A$2:$A$120,MATCH(1,INDEX(--ISNUMBER(SEARCH('Bad Patterns'!$A$2:$A$120,B7581)),0),0)),""))</f>
        <v/>
      </c>
      <c r="D7581">
        <f>IF(B7581="","",IF(C7581&lt;&gt;"","REMOVE","KEEP"))</f>
        <v/>
      </c>
      <c r="E7581">
        <f>IF(D7581&lt;&gt;"KEEP","",IF(RIGHT(B7581,10)="@gmail.com","Gmail",IF(OR(RIGHT(B7581,12)="@outlook.com",RIGHT(B7581,12)="@hotmail.com",RIGHT(B7581,9)="@live.com"),"Outlook","Domain")))</f>
        <v/>
      </c>
      <c r="F7581">
        <f>IF(B7581="","",IFERROR(RIGHT(B7581,LEN(B7581)-FIND("@",B7581)),""))</f>
        <v/>
      </c>
      <c r="G7581">
        <f>IF(D7581="KEEP",COUNTIF($D$2:D7581,"KEEP"),"")</f>
        <v/>
      </c>
      <c r="H7581">
        <f>IF(D7581="REMOVE",COUNTIF($D$2:D7581,"REMOVE"),"")</f>
        <v/>
      </c>
      <c r="I7581">
        <f>IF(E7581="Gmail",COUNTIF($E$2:E7581,"Gmail"),"")</f>
        <v/>
      </c>
      <c r="J7581">
        <f>IF(E7581="Outlook",COUNTIF($E$2:E7581,"Outlook"),"")</f>
        <v/>
      </c>
      <c r="K7581">
        <f>IF(E7581="Domain",COUNTIF($E$2:E7581,"Domain"),"")</f>
        <v/>
      </c>
    </row>
    <row r="7582">
      <c r="A7582" s="2" t="n"/>
      <c r="B7582">
        <f>LOWER(TRIM(A7582))</f>
        <v/>
      </c>
      <c r="C7582">
        <f>IF(B7582="","",IFERROR(INDEX('Bad Patterns'!$A$2:$A$120,MATCH(1,INDEX(--ISNUMBER(SEARCH('Bad Patterns'!$A$2:$A$120,B7582)),0),0)),""))</f>
        <v/>
      </c>
      <c r="D7582">
        <f>IF(B7582="","",IF(C7582&lt;&gt;"","REMOVE","KEEP"))</f>
        <v/>
      </c>
      <c r="E7582">
        <f>IF(D7582&lt;&gt;"KEEP","",IF(RIGHT(B7582,10)="@gmail.com","Gmail",IF(OR(RIGHT(B7582,12)="@outlook.com",RIGHT(B7582,12)="@hotmail.com",RIGHT(B7582,9)="@live.com"),"Outlook","Domain")))</f>
        <v/>
      </c>
      <c r="F7582">
        <f>IF(B7582="","",IFERROR(RIGHT(B7582,LEN(B7582)-FIND("@",B7582)),""))</f>
        <v/>
      </c>
      <c r="G7582">
        <f>IF(D7582="KEEP",COUNTIF($D$2:D7582,"KEEP"),"")</f>
        <v/>
      </c>
      <c r="H7582">
        <f>IF(D7582="REMOVE",COUNTIF($D$2:D7582,"REMOVE"),"")</f>
        <v/>
      </c>
      <c r="I7582">
        <f>IF(E7582="Gmail",COUNTIF($E$2:E7582,"Gmail"),"")</f>
        <v/>
      </c>
      <c r="J7582">
        <f>IF(E7582="Outlook",COUNTIF($E$2:E7582,"Outlook"),"")</f>
        <v/>
      </c>
      <c r="K7582">
        <f>IF(E7582="Domain",COUNTIF($E$2:E7582,"Domain"),"")</f>
        <v/>
      </c>
    </row>
    <row r="7583">
      <c r="A7583" s="2" t="n"/>
      <c r="B7583">
        <f>LOWER(TRIM(A7583))</f>
        <v/>
      </c>
      <c r="C7583">
        <f>IF(B7583="","",IFERROR(INDEX('Bad Patterns'!$A$2:$A$120,MATCH(1,INDEX(--ISNUMBER(SEARCH('Bad Patterns'!$A$2:$A$120,B7583)),0),0)),""))</f>
        <v/>
      </c>
      <c r="D7583">
        <f>IF(B7583="","",IF(C7583&lt;&gt;"","REMOVE","KEEP"))</f>
        <v/>
      </c>
      <c r="E7583">
        <f>IF(D7583&lt;&gt;"KEEP","",IF(RIGHT(B7583,10)="@gmail.com","Gmail",IF(OR(RIGHT(B7583,12)="@outlook.com",RIGHT(B7583,12)="@hotmail.com",RIGHT(B7583,9)="@live.com"),"Outlook","Domain")))</f>
        <v/>
      </c>
      <c r="F7583">
        <f>IF(B7583="","",IFERROR(RIGHT(B7583,LEN(B7583)-FIND("@",B7583)),""))</f>
        <v/>
      </c>
      <c r="G7583">
        <f>IF(D7583="KEEP",COUNTIF($D$2:D7583,"KEEP"),"")</f>
        <v/>
      </c>
      <c r="H7583">
        <f>IF(D7583="REMOVE",COUNTIF($D$2:D7583,"REMOVE"),"")</f>
        <v/>
      </c>
      <c r="I7583">
        <f>IF(E7583="Gmail",COUNTIF($E$2:E7583,"Gmail"),"")</f>
        <v/>
      </c>
      <c r="J7583">
        <f>IF(E7583="Outlook",COUNTIF($E$2:E7583,"Outlook"),"")</f>
        <v/>
      </c>
      <c r="K7583">
        <f>IF(E7583="Domain",COUNTIF($E$2:E7583,"Domain"),"")</f>
        <v/>
      </c>
    </row>
    <row r="7584">
      <c r="A7584" s="2" t="n"/>
      <c r="B7584">
        <f>LOWER(TRIM(A7584))</f>
        <v/>
      </c>
      <c r="C7584">
        <f>IF(B7584="","",IFERROR(INDEX('Bad Patterns'!$A$2:$A$120,MATCH(1,INDEX(--ISNUMBER(SEARCH('Bad Patterns'!$A$2:$A$120,B7584)),0),0)),""))</f>
        <v/>
      </c>
      <c r="D7584">
        <f>IF(B7584="","",IF(C7584&lt;&gt;"","REMOVE","KEEP"))</f>
        <v/>
      </c>
      <c r="E7584">
        <f>IF(D7584&lt;&gt;"KEEP","",IF(RIGHT(B7584,10)="@gmail.com","Gmail",IF(OR(RIGHT(B7584,12)="@outlook.com",RIGHT(B7584,12)="@hotmail.com",RIGHT(B7584,9)="@live.com"),"Outlook","Domain")))</f>
        <v/>
      </c>
      <c r="F7584">
        <f>IF(B7584="","",IFERROR(RIGHT(B7584,LEN(B7584)-FIND("@",B7584)),""))</f>
        <v/>
      </c>
      <c r="G7584">
        <f>IF(D7584="KEEP",COUNTIF($D$2:D7584,"KEEP"),"")</f>
        <v/>
      </c>
      <c r="H7584">
        <f>IF(D7584="REMOVE",COUNTIF($D$2:D7584,"REMOVE"),"")</f>
        <v/>
      </c>
      <c r="I7584">
        <f>IF(E7584="Gmail",COUNTIF($E$2:E7584,"Gmail"),"")</f>
        <v/>
      </c>
      <c r="J7584">
        <f>IF(E7584="Outlook",COUNTIF($E$2:E7584,"Outlook"),"")</f>
        <v/>
      </c>
      <c r="K7584">
        <f>IF(E7584="Domain",COUNTIF($E$2:E7584,"Domain"),"")</f>
        <v/>
      </c>
    </row>
    <row r="7585">
      <c r="A7585" s="2" t="n"/>
      <c r="B7585">
        <f>LOWER(TRIM(A7585))</f>
        <v/>
      </c>
      <c r="C7585">
        <f>IF(B7585="","",IFERROR(INDEX('Bad Patterns'!$A$2:$A$120,MATCH(1,INDEX(--ISNUMBER(SEARCH('Bad Patterns'!$A$2:$A$120,B7585)),0),0)),""))</f>
        <v/>
      </c>
      <c r="D7585">
        <f>IF(B7585="","",IF(C7585&lt;&gt;"","REMOVE","KEEP"))</f>
        <v/>
      </c>
      <c r="E7585">
        <f>IF(D7585&lt;&gt;"KEEP","",IF(RIGHT(B7585,10)="@gmail.com","Gmail",IF(OR(RIGHT(B7585,12)="@outlook.com",RIGHT(B7585,12)="@hotmail.com",RIGHT(B7585,9)="@live.com"),"Outlook","Domain")))</f>
        <v/>
      </c>
      <c r="F7585">
        <f>IF(B7585="","",IFERROR(RIGHT(B7585,LEN(B7585)-FIND("@",B7585)),""))</f>
        <v/>
      </c>
      <c r="G7585">
        <f>IF(D7585="KEEP",COUNTIF($D$2:D7585,"KEEP"),"")</f>
        <v/>
      </c>
      <c r="H7585">
        <f>IF(D7585="REMOVE",COUNTIF($D$2:D7585,"REMOVE"),"")</f>
        <v/>
      </c>
      <c r="I7585">
        <f>IF(E7585="Gmail",COUNTIF($E$2:E7585,"Gmail"),"")</f>
        <v/>
      </c>
      <c r="J7585">
        <f>IF(E7585="Outlook",COUNTIF($E$2:E7585,"Outlook"),"")</f>
        <v/>
      </c>
      <c r="K7585">
        <f>IF(E7585="Domain",COUNTIF($E$2:E7585,"Domain"),"")</f>
        <v/>
      </c>
    </row>
    <row r="7586">
      <c r="A7586" s="2" t="n"/>
      <c r="B7586">
        <f>LOWER(TRIM(A7586))</f>
        <v/>
      </c>
      <c r="C7586">
        <f>IF(B7586="","",IFERROR(INDEX('Bad Patterns'!$A$2:$A$120,MATCH(1,INDEX(--ISNUMBER(SEARCH('Bad Patterns'!$A$2:$A$120,B7586)),0),0)),""))</f>
        <v/>
      </c>
      <c r="D7586">
        <f>IF(B7586="","",IF(C7586&lt;&gt;"","REMOVE","KEEP"))</f>
        <v/>
      </c>
      <c r="E7586">
        <f>IF(D7586&lt;&gt;"KEEP","",IF(RIGHT(B7586,10)="@gmail.com","Gmail",IF(OR(RIGHT(B7586,12)="@outlook.com",RIGHT(B7586,12)="@hotmail.com",RIGHT(B7586,9)="@live.com"),"Outlook","Domain")))</f>
        <v/>
      </c>
      <c r="F7586">
        <f>IF(B7586="","",IFERROR(RIGHT(B7586,LEN(B7586)-FIND("@",B7586)),""))</f>
        <v/>
      </c>
      <c r="G7586">
        <f>IF(D7586="KEEP",COUNTIF($D$2:D7586,"KEEP"),"")</f>
        <v/>
      </c>
      <c r="H7586">
        <f>IF(D7586="REMOVE",COUNTIF($D$2:D7586,"REMOVE"),"")</f>
        <v/>
      </c>
      <c r="I7586">
        <f>IF(E7586="Gmail",COUNTIF($E$2:E7586,"Gmail"),"")</f>
        <v/>
      </c>
      <c r="J7586">
        <f>IF(E7586="Outlook",COUNTIF($E$2:E7586,"Outlook"),"")</f>
        <v/>
      </c>
      <c r="K7586">
        <f>IF(E7586="Domain",COUNTIF($E$2:E7586,"Domain"),"")</f>
        <v/>
      </c>
    </row>
    <row r="7587">
      <c r="A7587" s="2" t="n"/>
      <c r="B7587">
        <f>LOWER(TRIM(A7587))</f>
        <v/>
      </c>
      <c r="C7587">
        <f>IF(B7587="","",IFERROR(INDEX('Bad Patterns'!$A$2:$A$120,MATCH(1,INDEX(--ISNUMBER(SEARCH('Bad Patterns'!$A$2:$A$120,B7587)),0),0)),""))</f>
        <v/>
      </c>
      <c r="D7587">
        <f>IF(B7587="","",IF(C7587&lt;&gt;"","REMOVE","KEEP"))</f>
        <v/>
      </c>
      <c r="E7587">
        <f>IF(D7587&lt;&gt;"KEEP","",IF(RIGHT(B7587,10)="@gmail.com","Gmail",IF(OR(RIGHT(B7587,12)="@outlook.com",RIGHT(B7587,12)="@hotmail.com",RIGHT(B7587,9)="@live.com"),"Outlook","Domain")))</f>
        <v/>
      </c>
      <c r="F7587">
        <f>IF(B7587="","",IFERROR(RIGHT(B7587,LEN(B7587)-FIND("@",B7587)),""))</f>
        <v/>
      </c>
      <c r="G7587">
        <f>IF(D7587="KEEP",COUNTIF($D$2:D7587,"KEEP"),"")</f>
        <v/>
      </c>
      <c r="H7587">
        <f>IF(D7587="REMOVE",COUNTIF($D$2:D7587,"REMOVE"),"")</f>
        <v/>
      </c>
      <c r="I7587">
        <f>IF(E7587="Gmail",COUNTIF($E$2:E7587,"Gmail"),"")</f>
        <v/>
      </c>
      <c r="J7587">
        <f>IF(E7587="Outlook",COUNTIF($E$2:E7587,"Outlook"),"")</f>
        <v/>
      </c>
      <c r="K7587">
        <f>IF(E7587="Domain",COUNTIF($E$2:E7587,"Domain"),"")</f>
        <v/>
      </c>
    </row>
    <row r="7588">
      <c r="A7588" s="2" t="n"/>
      <c r="B7588">
        <f>LOWER(TRIM(A7588))</f>
        <v/>
      </c>
      <c r="C7588">
        <f>IF(B7588="","",IFERROR(INDEX('Bad Patterns'!$A$2:$A$120,MATCH(1,INDEX(--ISNUMBER(SEARCH('Bad Patterns'!$A$2:$A$120,B7588)),0),0)),""))</f>
        <v/>
      </c>
      <c r="D7588">
        <f>IF(B7588="","",IF(C7588&lt;&gt;"","REMOVE","KEEP"))</f>
        <v/>
      </c>
      <c r="E7588">
        <f>IF(D7588&lt;&gt;"KEEP","",IF(RIGHT(B7588,10)="@gmail.com","Gmail",IF(OR(RIGHT(B7588,12)="@outlook.com",RIGHT(B7588,12)="@hotmail.com",RIGHT(B7588,9)="@live.com"),"Outlook","Domain")))</f>
        <v/>
      </c>
      <c r="F7588">
        <f>IF(B7588="","",IFERROR(RIGHT(B7588,LEN(B7588)-FIND("@",B7588)),""))</f>
        <v/>
      </c>
      <c r="G7588">
        <f>IF(D7588="KEEP",COUNTIF($D$2:D7588,"KEEP"),"")</f>
        <v/>
      </c>
      <c r="H7588">
        <f>IF(D7588="REMOVE",COUNTIF($D$2:D7588,"REMOVE"),"")</f>
        <v/>
      </c>
      <c r="I7588">
        <f>IF(E7588="Gmail",COUNTIF($E$2:E7588,"Gmail"),"")</f>
        <v/>
      </c>
      <c r="J7588">
        <f>IF(E7588="Outlook",COUNTIF($E$2:E7588,"Outlook"),"")</f>
        <v/>
      </c>
      <c r="K7588">
        <f>IF(E7588="Domain",COUNTIF($E$2:E7588,"Domain"),"")</f>
        <v/>
      </c>
    </row>
    <row r="7589">
      <c r="A7589" s="2" t="n"/>
      <c r="B7589">
        <f>LOWER(TRIM(A7589))</f>
        <v/>
      </c>
      <c r="C7589">
        <f>IF(B7589="","",IFERROR(INDEX('Bad Patterns'!$A$2:$A$120,MATCH(1,INDEX(--ISNUMBER(SEARCH('Bad Patterns'!$A$2:$A$120,B7589)),0),0)),""))</f>
        <v/>
      </c>
      <c r="D7589">
        <f>IF(B7589="","",IF(C7589&lt;&gt;"","REMOVE","KEEP"))</f>
        <v/>
      </c>
      <c r="E7589">
        <f>IF(D7589&lt;&gt;"KEEP","",IF(RIGHT(B7589,10)="@gmail.com","Gmail",IF(OR(RIGHT(B7589,12)="@outlook.com",RIGHT(B7589,12)="@hotmail.com",RIGHT(B7589,9)="@live.com"),"Outlook","Domain")))</f>
        <v/>
      </c>
      <c r="F7589">
        <f>IF(B7589="","",IFERROR(RIGHT(B7589,LEN(B7589)-FIND("@",B7589)),""))</f>
        <v/>
      </c>
      <c r="G7589">
        <f>IF(D7589="KEEP",COUNTIF($D$2:D7589,"KEEP"),"")</f>
        <v/>
      </c>
      <c r="H7589">
        <f>IF(D7589="REMOVE",COUNTIF($D$2:D7589,"REMOVE"),"")</f>
        <v/>
      </c>
      <c r="I7589">
        <f>IF(E7589="Gmail",COUNTIF($E$2:E7589,"Gmail"),"")</f>
        <v/>
      </c>
      <c r="J7589">
        <f>IF(E7589="Outlook",COUNTIF($E$2:E7589,"Outlook"),"")</f>
        <v/>
      </c>
      <c r="K7589">
        <f>IF(E7589="Domain",COUNTIF($E$2:E7589,"Domain"),"")</f>
        <v/>
      </c>
    </row>
    <row r="7590">
      <c r="A7590" s="2" t="n"/>
      <c r="B7590">
        <f>LOWER(TRIM(A7590))</f>
        <v/>
      </c>
      <c r="C7590">
        <f>IF(B7590="","",IFERROR(INDEX('Bad Patterns'!$A$2:$A$120,MATCH(1,INDEX(--ISNUMBER(SEARCH('Bad Patterns'!$A$2:$A$120,B7590)),0),0)),""))</f>
        <v/>
      </c>
      <c r="D7590">
        <f>IF(B7590="","",IF(C7590&lt;&gt;"","REMOVE","KEEP"))</f>
        <v/>
      </c>
      <c r="E7590">
        <f>IF(D7590&lt;&gt;"KEEP","",IF(RIGHT(B7590,10)="@gmail.com","Gmail",IF(OR(RIGHT(B7590,12)="@outlook.com",RIGHT(B7590,12)="@hotmail.com",RIGHT(B7590,9)="@live.com"),"Outlook","Domain")))</f>
        <v/>
      </c>
      <c r="F7590">
        <f>IF(B7590="","",IFERROR(RIGHT(B7590,LEN(B7590)-FIND("@",B7590)),""))</f>
        <v/>
      </c>
      <c r="G7590">
        <f>IF(D7590="KEEP",COUNTIF($D$2:D7590,"KEEP"),"")</f>
        <v/>
      </c>
      <c r="H7590">
        <f>IF(D7590="REMOVE",COUNTIF($D$2:D7590,"REMOVE"),"")</f>
        <v/>
      </c>
      <c r="I7590">
        <f>IF(E7590="Gmail",COUNTIF($E$2:E7590,"Gmail"),"")</f>
        <v/>
      </c>
      <c r="J7590">
        <f>IF(E7590="Outlook",COUNTIF($E$2:E7590,"Outlook"),"")</f>
        <v/>
      </c>
      <c r="K7590">
        <f>IF(E7590="Domain",COUNTIF($E$2:E7590,"Domain"),"")</f>
        <v/>
      </c>
    </row>
    <row r="7591">
      <c r="A7591" s="2" t="n"/>
      <c r="B7591">
        <f>LOWER(TRIM(A7591))</f>
        <v/>
      </c>
      <c r="C7591">
        <f>IF(B7591="","",IFERROR(INDEX('Bad Patterns'!$A$2:$A$120,MATCH(1,INDEX(--ISNUMBER(SEARCH('Bad Patterns'!$A$2:$A$120,B7591)),0),0)),""))</f>
        <v/>
      </c>
      <c r="D7591">
        <f>IF(B7591="","",IF(C7591&lt;&gt;"","REMOVE","KEEP"))</f>
        <v/>
      </c>
      <c r="E7591">
        <f>IF(D7591&lt;&gt;"KEEP","",IF(RIGHT(B7591,10)="@gmail.com","Gmail",IF(OR(RIGHT(B7591,12)="@outlook.com",RIGHT(B7591,12)="@hotmail.com",RIGHT(B7591,9)="@live.com"),"Outlook","Domain")))</f>
        <v/>
      </c>
      <c r="F7591">
        <f>IF(B7591="","",IFERROR(RIGHT(B7591,LEN(B7591)-FIND("@",B7591)),""))</f>
        <v/>
      </c>
      <c r="G7591">
        <f>IF(D7591="KEEP",COUNTIF($D$2:D7591,"KEEP"),"")</f>
        <v/>
      </c>
      <c r="H7591">
        <f>IF(D7591="REMOVE",COUNTIF($D$2:D7591,"REMOVE"),"")</f>
        <v/>
      </c>
      <c r="I7591">
        <f>IF(E7591="Gmail",COUNTIF($E$2:E7591,"Gmail"),"")</f>
        <v/>
      </c>
      <c r="J7591">
        <f>IF(E7591="Outlook",COUNTIF($E$2:E7591,"Outlook"),"")</f>
        <v/>
      </c>
      <c r="K7591">
        <f>IF(E7591="Domain",COUNTIF($E$2:E7591,"Domain"),"")</f>
        <v/>
      </c>
    </row>
    <row r="7592">
      <c r="A7592" s="2" t="n"/>
      <c r="B7592">
        <f>LOWER(TRIM(A7592))</f>
        <v/>
      </c>
      <c r="C7592">
        <f>IF(B7592="","",IFERROR(INDEX('Bad Patterns'!$A$2:$A$120,MATCH(1,INDEX(--ISNUMBER(SEARCH('Bad Patterns'!$A$2:$A$120,B7592)),0),0)),""))</f>
        <v/>
      </c>
      <c r="D7592">
        <f>IF(B7592="","",IF(C7592&lt;&gt;"","REMOVE","KEEP"))</f>
        <v/>
      </c>
      <c r="E7592">
        <f>IF(D7592&lt;&gt;"KEEP","",IF(RIGHT(B7592,10)="@gmail.com","Gmail",IF(OR(RIGHT(B7592,12)="@outlook.com",RIGHT(B7592,12)="@hotmail.com",RIGHT(B7592,9)="@live.com"),"Outlook","Domain")))</f>
        <v/>
      </c>
      <c r="F7592">
        <f>IF(B7592="","",IFERROR(RIGHT(B7592,LEN(B7592)-FIND("@",B7592)),""))</f>
        <v/>
      </c>
      <c r="G7592">
        <f>IF(D7592="KEEP",COUNTIF($D$2:D7592,"KEEP"),"")</f>
        <v/>
      </c>
      <c r="H7592">
        <f>IF(D7592="REMOVE",COUNTIF($D$2:D7592,"REMOVE"),"")</f>
        <v/>
      </c>
      <c r="I7592">
        <f>IF(E7592="Gmail",COUNTIF($E$2:E7592,"Gmail"),"")</f>
        <v/>
      </c>
      <c r="J7592">
        <f>IF(E7592="Outlook",COUNTIF($E$2:E7592,"Outlook"),"")</f>
        <v/>
      </c>
      <c r="K7592">
        <f>IF(E7592="Domain",COUNTIF($E$2:E7592,"Domain"),"")</f>
        <v/>
      </c>
    </row>
    <row r="7593">
      <c r="A7593" s="2" t="n"/>
      <c r="B7593">
        <f>LOWER(TRIM(A7593))</f>
        <v/>
      </c>
      <c r="C7593">
        <f>IF(B7593="","",IFERROR(INDEX('Bad Patterns'!$A$2:$A$120,MATCH(1,INDEX(--ISNUMBER(SEARCH('Bad Patterns'!$A$2:$A$120,B7593)),0),0)),""))</f>
        <v/>
      </c>
      <c r="D7593">
        <f>IF(B7593="","",IF(C7593&lt;&gt;"","REMOVE","KEEP"))</f>
        <v/>
      </c>
      <c r="E7593">
        <f>IF(D7593&lt;&gt;"KEEP","",IF(RIGHT(B7593,10)="@gmail.com","Gmail",IF(OR(RIGHT(B7593,12)="@outlook.com",RIGHT(B7593,12)="@hotmail.com",RIGHT(B7593,9)="@live.com"),"Outlook","Domain")))</f>
        <v/>
      </c>
      <c r="F7593">
        <f>IF(B7593="","",IFERROR(RIGHT(B7593,LEN(B7593)-FIND("@",B7593)),""))</f>
        <v/>
      </c>
      <c r="G7593">
        <f>IF(D7593="KEEP",COUNTIF($D$2:D7593,"KEEP"),"")</f>
        <v/>
      </c>
      <c r="H7593">
        <f>IF(D7593="REMOVE",COUNTIF($D$2:D7593,"REMOVE"),"")</f>
        <v/>
      </c>
      <c r="I7593">
        <f>IF(E7593="Gmail",COUNTIF($E$2:E7593,"Gmail"),"")</f>
        <v/>
      </c>
      <c r="J7593">
        <f>IF(E7593="Outlook",COUNTIF($E$2:E7593,"Outlook"),"")</f>
        <v/>
      </c>
      <c r="K7593">
        <f>IF(E7593="Domain",COUNTIF($E$2:E7593,"Domain"),"")</f>
        <v/>
      </c>
    </row>
    <row r="7594">
      <c r="A7594" s="2" t="n"/>
      <c r="B7594">
        <f>LOWER(TRIM(A7594))</f>
        <v/>
      </c>
      <c r="C7594">
        <f>IF(B7594="","",IFERROR(INDEX('Bad Patterns'!$A$2:$A$120,MATCH(1,INDEX(--ISNUMBER(SEARCH('Bad Patterns'!$A$2:$A$120,B7594)),0),0)),""))</f>
        <v/>
      </c>
      <c r="D7594">
        <f>IF(B7594="","",IF(C7594&lt;&gt;"","REMOVE","KEEP"))</f>
        <v/>
      </c>
      <c r="E7594">
        <f>IF(D7594&lt;&gt;"KEEP","",IF(RIGHT(B7594,10)="@gmail.com","Gmail",IF(OR(RIGHT(B7594,12)="@outlook.com",RIGHT(B7594,12)="@hotmail.com",RIGHT(B7594,9)="@live.com"),"Outlook","Domain")))</f>
        <v/>
      </c>
      <c r="F7594">
        <f>IF(B7594="","",IFERROR(RIGHT(B7594,LEN(B7594)-FIND("@",B7594)),""))</f>
        <v/>
      </c>
      <c r="G7594">
        <f>IF(D7594="KEEP",COUNTIF($D$2:D7594,"KEEP"),"")</f>
        <v/>
      </c>
      <c r="H7594">
        <f>IF(D7594="REMOVE",COUNTIF($D$2:D7594,"REMOVE"),"")</f>
        <v/>
      </c>
      <c r="I7594">
        <f>IF(E7594="Gmail",COUNTIF($E$2:E7594,"Gmail"),"")</f>
        <v/>
      </c>
      <c r="J7594">
        <f>IF(E7594="Outlook",COUNTIF($E$2:E7594,"Outlook"),"")</f>
        <v/>
      </c>
      <c r="K7594">
        <f>IF(E7594="Domain",COUNTIF($E$2:E7594,"Domain"),"")</f>
        <v/>
      </c>
    </row>
    <row r="7595">
      <c r="A7595" s="2" t="n"/>
      <c r="B7595">
        <f>LOWER(TRIM(A7595))</f>
        <v/>
      </c>
      <c r="C7595">
        <f>IF(B7595="","",IFERROR(INDEX('Bad Patterns'!$A$2:$A$120,MATCH(1,INDEX(--ISNUMBER(SEARCH('Bad Patterns'!$A$2:$A$120,B7595)),0),0)),""))</f>
        <v/>
      </c>
      <c r="D7595">
        <f>IF(B7595="","",IF(C7595&lt;&gt;"","REMOVE","KEEP"))</f>
        <v/>
      </c>
      <c r="E7595">
        <f>IF(D7595&lt;&gt;"KEEP","",IF(RIGHT(B7595,10)="@gmail.com","Gmail",IF(OR(RIGHT(B7595,12)="@outlook.com",RIGHT(B7595,12)="@hotmail.com",RIGHT(B7595,9)="@live.com"),"Outlook","Domain")))</f>
        <v/>
      </c>
      <c r="F7595">
        <f>IF(B7595="","",IFERROR(RIGHT(B7595,LEN(B7595)-FIND("@",B7595)),""))</f>
        <v/>
      </c>
      <c r="G7595">
        <f>IF(D7595="KEEP",COUNTIF($D$2:D7595,"KEEP"),"")</f>
        <v/>
      </c>
      <c r="H7595">
        <f>IF(D7595="REMOVE",COUNTIF($D$2:D7595,"REMOVE"),"")</f>
        <v/>
      </c>
      <c r="I7595">
        <f>IF(E7595="Gmail",COUNTIF($E$2:E7595,"Gmail"),"")</f>
        <v/>
      </c>
      <c r="J7595">
        <f>IF(E7595="Outlook",COUNTIF($E$2:E7595,"Outlook"),"")</f>
        <v/>
      </c>
      <c r="K7595">
        <f>IF(E7595="Domain",COUNTIF($E$2:E7595,"Domain"),"")</f>
        <v/>
      </c>
    </row>
    <row r="7596">
      <c r="A7596" s="2" t="n"/>
      <c r="B7596">
        <f>LOWER(TRIM(A7596))</f>
        <v/>
      </c>
      <c r="C7596">
        <f>IF(B7596="","",IFERROR(INDEX('Bad Patterns'!$A$2:$A$120,MATCH(1,INDEX(--ISNUMBER(SEARCH('Bad Patterns'!$A$2:$A$120,B7596)),0),0)),""))</f>
        <v/>
      </c>
      <c r="D7596">
        <f>IF(B7596="","",IF(C7596&lt;&gt;"","REMOVE","KEEP"))</f>
        <v/>
      </c>
      <c r="E7596">
        <f>IF(D7596&lt;&gt;"KEEP","",IF(RIGHT(B7596,10)="@gmail.com","Gmail",IF(OR(RIGHT(B7596,12)="@outlook.com",RIGHT(B7596,12)="@hotmail.com",RIGHT(B7596,9)="@live.com"),"Outlook","Domain")))</f>
        <v/>
      </c>
      <c r="F7596">
        <f>IF(B7596="","",IFERROR(RIGHT(B7596,LEN(B7596)-FIND("@",B7596)),""))</f>
        <v/>
      </c>
      <c r="G7596">
        <f>IF(D7596="KEEP",COUNTIF($D$2:D7596,"KEEP"),"")</f>
        <v/>
      </c>
      <c r="H7596">
        <f>IF(D7596="REMOVE",COUNTIF($D$2:D7596,"REMOVE"),"")</f>
        <v/>
      </c>
      <c r="I7596">
        <f>IF(E7596="Gmail",COUNTIF($E$2:E7596,"Gmail"),"")</f>
        <v/>
      </c>
      <c r="J7596">
        <f>IF(E7596="Outlook",COUNTIF($E$2:E7596,"Outlook"),"")</f>
        <v/>
      </c>
      <c r="K7596">
        <f>IF(E7596="Domain",COUNTIF($E$2:E7596,"Domain"),"")</f>
        <v/>
      </c>
    </row>
    <row r="7597">
      <c r="A7597" s="2" t="n"/>
      <c r="B7597">
        <f>LOWER(TRIM(A7597))</f>
        <v/>
      </c>
      <c r="C7597">
        <f>IF(B7597="","",IFERROR(INDEX('Bad Patterns'!$A$2:$A$120,MATCH(1,INDEX(--ISNUMBER(SEARCH('Bad Patterns'!$A$2:$A$120,B7597)),0),0)),""))</f>
        <v/>
      </c>
      <c r="D7597">
        <f>IF(B7597="","",IF(C7597&lt;&gt;"","REMOVE","KEEP"))</f>
        <v/>
      </c>
      <c r="E7597">
        <f>IF(D7597&lt;&gt;"KEEP","",IF(RIGHT(B7597,10)="@gmail.com","Gmail",IF(OR(RIGHT(B7597,12)="@outlook.com",RIGHT(B7597,12)="@hotmail.com",RIGHT(B7597,9)="@live.com"),"Outlook","Domain")))</f>
        <v/>
      </c>
      <c r="F7597">
        <f>IF(B7597="","",IFERROR(RIGHT(B7597,LEN(B7597)-FIND("@",B7597)),""))</f>
        <v/>
      </c>
      <c r="G7597">
        <f>IF(D7597="KEEP",COUNTIF($D$2:D7597,"KEEP"),"")</f>
        <v/>
      </c>
      <c r="H7597">
        <f>IF(D7597="REMOVE",COUNTIF($D$2:D7597,"REMOVE"),"")</f>
        <v/>
      </c>
      <c r="I7597">
        <f>IF(E7597="Gmail",COUNTIF($E$2:E7597,"Gmail"),"")</f>
        <v/>
      </c>
      <c r="J7597">
        <f>IF(E7597="Outlook",COUNTIF($E$2:E7597,"Outlook"),"")</f>
        <v/>
      </c>
      <c r="K7597">
        <f>IF(E7597="Domain",COUNTIF($E$2:E7597,"Domain"),"")</f>
        <v/>
      </c>
    </row>
    <row r="7598">
      <c r="A7598" s="2" t="n"/>
      <c r="B7598">
        <f>LOWER(TRIM(A7598))</f>
        <v/>
      </c>
      <c r="C7598">
        <f>IF(B7598="","",IFERROR(INDEX('Bad Patterns'!$A$2:$A$120,MATCH(1,INDEX(--ISNUMBER(SEARCH('Bad Patterns'!$A$2:$A$120,B7598)),0),0)),""))</f>
        <v/>
      </c>
      <c r="D7598">
        <f>IF(B7598="","",IF(C7598&lt;&gt;"","REMOVE","KEEP"))</f>
        <v/>
      </c>
      <c r="E7598">
        <f>IF(D7598&lt;&gt;"KEEP","",IF(RIGHT(B7598,10)="@gmail.com","Gmail",IF(OR(RIGHT(B7598,12)="@outlook.com",RIGHT(B7598,12)="@hotmail.com",RIGHT(B7598,9)="@live.com"),"Outlook","Domain")))</f>
        <v/>
      </c>
      <c r="F7598">
        <f>IF(B7598="","",IFERROR(RIGHT(B7598,LEN(B7598)-FIND("@",B7598)),""))</f>
        <v/>
      </c>
      <c r="G7598">
        <f>IF(D7598="KEEP",COUNTIF($D$2:D7598,"KEEP"),"")</f>
        <v/>
      </c>
      <c r="H7598">
        <f>IF(D7598="REMOVE",COUNTIF($D$2:D7598,"REMOVE"),"")</f>
        <v/>
      </c>
      <c r="I7598">
        <f>IF(E7598="Gmail",COUNTIF($E$2:E7598,"Gmail"),"")</f>
        <v/>
      </c>
      <c r="J7598">
        <f>IF(E7598="Outlook",COUNTIF($E$2:E7598,"Outlook"),"")</f>
        <v/>
      </c>
      <c r="K7598">
        <f>IF(E7598="Domain",COUNTIF($E$2:E7598,"Domain"),"")</f>
        <v/>
      </c>
    </row>
    <row r="7599">
      <c r="A7599" s="2" t="n"/>
      <c r="B7599">
        <f>LOWER(TRIM(A7599))</f>
        <v/>
      </c>
      <c r="C7599">
        <f>IF(B7599="","",IFERROR(INDEX('Bad Patterns'!$A$2:$A$120,MATCH(1,INDEX(--ISNUMBER(SEARCH('Bad Patterns'!$A$2:$A$120,B7599)),0),0)),""))</f>
        <v/>
      </c>
      <c r="D7599">
        <f>IF(B7599="","",IF(C7599&lt;&gt;"","REMOVE","KEEP"))</f>
        <v/>
      </c>
      <c r="E7599">
        <f>IF(D7599&lt;&gt;"KEEP","",IF(RIGHT(B7599,10)="@gmail.com","Gmail",IF(OR(RIGHT(B7599,12)="@outlook.com",RIGHT(B7599,12)="@hotmail.com",RIGHT(B7599,9)="@live.com"),"Outlook","Domain")))</f>
        <v/>
      </c>
      <c r="F7599">
        <f>IF(B7599="","",IFERROR(RIGHT(B7599,LEN(B7599)-FIND("@",B7599)),""))</f>
        <v/>
      </c>
      <c r="G7599">
        <f>IF(D7599="KEEP",COUNTIF($D$2:D7599,"KEEP"),"")</f>
        <v/>
      </c>
      <c r="H7599">
        <f>IF(D7599="REMOVE",COUNTIF($D$2:D7599,"REMOVE"),"")</f>
        <v/>
      </c>
      <c r="I7599">
        <f>IF(E7599="Gmail",COUNTIF($E$2:E7599,"Gmail"),"")</f>
        <v/>
      </c>
      <c r="J7599">
        <f>IF(E7599="Outlook",COUNTIF($E$2:E7599,"Outlook"),"")</f>
        <v/>
      </c>
      <c r="K7599">
        <f>IF(E7599="Domain",COUNTIF($E$2:E7599,"Domain"),"")</f>
        <v/>
      </c>
    </row>
    <row r="7600">
      <c r="A7600" s="2" t="n"/>
      <c r="B7600">
        <f>LOWER(TRIM(A7600))</f>
        <v/>
      </c>
      <c r="C7600">
        <f>IF(B7600="","",IFERROR(INDEX('Bad Patterns'!$A$2:$A$120,MATCH(1,INDEX(--ISNUMBER(SEARCH('Bad Patterns'!$A$2:$A$120,B7600)),0),0)),""))</f>
        <v/>
      </c>
      <c r="D7600">
        <f>IF(B7600="","",IF(C7600&lt;&gt;"","REMOVE","KEEP"))</f>
        <v/>
      </c>
      <c r="E7600">
        <f>IF(D7600&lt;&gt;"KEEP","",IF(RIGHT(B7600,10)="@gmail.com","Gmail",IF(OR(RIGHT(B7600,12)="@outlook.com",RIGHT(B7600,12)="@hotmail.com",RIGHT(B7600,9)="@live.com"),"Outlook","Domain")))</f>
        <v/>
      </c>
      <c r="F7600">
        <f>IF(B7600="","",IFERROR(RIGHT(B7600,LEN(B7600)-FIND("@",B7600)),""))</f>
        <v/>
      </c>
      <c r="G7600">
        <f>IF(D7600="KEEP",COUNTIF($D$2:D7600,"KEEP"),"")</f>
        <v/>
      </c>
      <c r="H7600">
        <f>IF(D7600="REMOVE",COUNTIF($D$2:D7600,"REMOVE"),"")</f>
        <v/>
      </c>
      <c r="I7600">
        <f>IF(E7600="Gmail",COUNTIF($E$2:E7600,"Gmail"),"")</f>
        <v/>
      </c>
      <c r="J7600">
        <f>IF(E7600="Outlook",COUNTIF($E$2:E7600,"Outlook"),"")</f>
        <v/>
      </c>
      <c r="K7600">
        <f>IF(E7600="Domain",COUNTIF($E$2:E7600,"Domain"),"")</f>
        <v/>
      </c>
    </row>
    <row r="7601">
      <c r="A7601" s="2" t="n"/>
      <c r="B7601">
        <f>LOWER(TRIM(A7601))</f>
        <v/>
      </c>
      <c r="C7601">
        <f>IF(B7601="","",IFERROR(INDEX('Bad Patterns'!$A$2:$A$120,MATCH(1,INDEX(--ISNUMBER(SEARCH('Bad Patterns'!$A$2:$A$120,B7601)),0),0)),""))</f>
        <v/>
      </c>
      <c r="D7601">
        <f>IF(B7601="","",IF(C7601&lt;&gt;"","REMOVE","KEEP"))</f>
        <v/>
      </c>
      <c r="E7601">
        <f>IF(D7601&lt;&gt;"KEEP","",IF(RIGHT(B7601,10)="@gmail.com","Gmail",IF(OR(RIGHT(B7601,12)="@outlook.com",RIGHT(B7601,12)="@hotmail.com",RIGHT(B7601,9)="@live.com"),"Outlook","Domain")))</f>
        <v/>
      </c>
      <c r="F7601">
        <f>IF(B7601="","",IFERROR(RIGHT(B7601,LEN(B7601)-FIND("@",B7601)),""))</f>
        <v/>
      </c>
      <c r="G7601">
        <f>IF(D7601="KEEP",COUNTIF($D$2:D7601,"KEEP"),"")</f>
        <v/>
      </c>
      <c r="H7601">
        <f>IF(D7601="REMOVE",COUNTIF($D$2:D7601,"REMOVE"),"")</f>
        <v/>
      </c>
      <c r="I7601">
        <f>IF(E7601="Gmail",COUNTIF($E$2:E7601,"Gmail"),"")</f>
        <v/>
      </c>
      <c r="J7601">
        <f>IF(E7601="Outlook",COUNTIF($E$2:E7601,"Outlook"),"")</f>
        <v/>
      </c>
      <c r="K7601">
        <f>IF(E7601="Domain",COUNTIF($E$2:E7601,"Domain"),"")</f>
        <v/>
      </c>
    </row>
    <row r="7602">
      <c r="A7602" s="2" t="n"/>
      <c r="B7602">
        <f>LOWER(TRIM(A7602))</f>
        <v/>
      </c>
      <c r="C7602">
        <f>IF(B7602="","",IFERROR(INDEX('Bad Patterns'!$A$2:$A$120,MATCH(1,INDEX(--ISNUMBER(SEARCH('Bad Patterns'!$A$2:$A$120,B7602)),0),0)),""))</f>
        <v/>
      </c>
      <c r="D7602">
        <f>IF(B7602="","",IF(C7602&lt;&gt;"","REMOVE","KEEP"))</f>
        <v/>
      </c>
      <c r="E7602">
        <f>IF(D7602&lt;&gt;"KEEP","",IF(RIGHT(B7602,10)="@gmail.com","Gmail",IF(OR(RIGHT(B7602,12)="@outlook.com",RIGHT(B7602,12)="@hotmail.com",RIGHT(B7602,9)="@live.com"),"Outlook","Domain")))</f>
        <v/>
      </c>
      <c r="F7602">
        <f>IF(B7602="","",IFERROR(RIGHT(B7602,LEN(B7602)-FIND("@",B7602)),""))</f>
        <v/>
      </c>
      <c r="G7602">
        <f>IF(D7602="KEEP",COUNTIF($D$2:D7602,"KEEP"),"")</f>
        <v/>
      </c>
      <c r="H7602">
        <f>IF(D7602="REMOVE",COUNTIF($D$2:D7602,"REMOVE"),"")</f>
        <v/>
      </c>
      <c r="I7602">
        <f>IF(E7602="Gmail",COUNTIF($E$2:E7602,"Gmail"),"")</f>
        <v/>
      </c>
      <c r="J7602">
        <f>IF(E7602="Outlook",COUNTIF($E$2:E7602,"Outlook"),"")</f>
        <v/>
      </c>
      <c r="K7602">
        <f>IF(E7602="Domain",COUNTIF($E$2:E7602,"Domain"),"")</f>
        <v/>
      </c>
    </row>
    <row r="7603">
      <c r="A7603" s="2" t="n"/>
      <c r="B7603">
        <f>LOWER(TRIM(A7603))</f>
        <v/>
      </c>
      <c r="C7603">
        <f>IF(B7603="","",IFERROR(INDEX('Bad Patterns'!$A$2:$A$120,MATCH(1,INDEX(--ISNUMBER(SEARCH('Bad Patterns'!$A$2:$A$120,B7603)),0),0)),""))</f>
        <v/>
      </c>
      <c r="D7603">
        <f>IF(B7603="","",IF(C7603&lt;&gt;"","REMOVE","KEEP"))</f>
        <v/>
      </c>
      <c r="E7603">
        <f>IF(D7603&lt;&gt;"KEEP","",IF(RIGHT(B7603,10)="@gmail.com","Gmail",IF(OR(RIGHT(B7603,12)="@outlook.com",RIGHT(B7603,12)="@hotmail.com",RIGHT(B7603,9)="@live.com"),"Outlook","Domain")))</f>
        <v/>
      </c>
      <c r="F7603">
        <f>IF(B7603="","",IFERROR(RIGHT(B7603,LEN(B7603)-FIND("@",B7603)),""))</f>
        <v/>
      </c>
      <c r="G7603">
        <f>IF(D7603="KEEP",COUNTIF($D$2:D7603,"KEEP"),"")</f>
        <v/>
      </c>
      <c r="H7603">
        <f>IF(D7603="REMOVE",COUNTIF($D$2:D7603,"REMOVE"),"")</f>
        <v/>
      </c>
      <c r="I7603">
        <f>IF(E7603="Gmail",COUNTIF($E$2:E7603,"Gmail"),"")</f>
        <v/>
      </c>
      <c r="J7603">
        <f>IF(E7603="Outlook",COUNTIF($E$2:E7603,"Outlook"),"")</f>
        <v/>
      </c>
      <c r="K7603">
        <f>IF(E7603="Domain",COUNTIF($E$2:E7603,"Domain"),"")</f>
        <v/>
      </c>
    </row>
    <row r="7604">
      <c r="A7604" s="2" t="n"/>
      <c r="B7604">
        <f>LOWER(TRIM(A7604))</f>
        <v/>
      </c>
      <c r="C7604">
        <f>IF(B7604="","",IFERROR(INDEX('Bad Patterns'!$A$2:$A$120,MATCH(1,INDEX(--ISNUMBER(SEARCH('Bad Patterns'!$A$2:$A$120,B7604)),0),0)),""))</f>
        <v/>
      </c>
      <c r="D7604">
        <f>IF(B7604="","",IF(C7604&lt;&gt;"","REMOVE","KEEP"))</f>
        <v/>
      </c>
      <c r="E7604">
        <f>IF(D7604&lt;&gt;"KEEP","",IF(RIGHT(B7604,10)="@gmail.com","Gmail",IF(OR(RIGHT(B7604,12)="@outlook.com",RIGHT(B7604,12)="@hotmail.com",RIGHT(B7604,9)="@live.com"),"Outlook","Domain")))</f>
        <v/>
      </c>
      <c r="F7604">
        <f>IF(B7604="","",IFERROR(RIGHT(B7604,LEN(B7604)-FIND("@",B7604)),""))</f>
        <v/>
      </c>
      <c r="G7604">
        <f>IF(D7604="KEEP",COUNTIF($D$2:D7604,"KEEP"),"")</f>
        <v/>
      </c>
      <c r="H7604">
        <f>IF(D7604="REMOVE",COUNTIF($D$2:D7604,"REMOVE"),"")</f>
        <v/>
      </c>
      <c r="I7604">
        <f>IF(E7604="Gmail",COUNTIF($E$2:E7604,"Gmail"),"")</f>
        <v/>
      </c>
      <c r="J7604">
        <f>IF(E7604="Outlook",COUNTIF($E$2:E7604,"Outlook"),"")</f>
        <v/>
      </c>
      <c r="K7604">
        <f>IF(E7604="Domain",COUNTIF($E$2:E7604,"Domain"),"")</f>
        <v/>
      </c>
    </row>
    <row r="7605">
      <c r="A7605" s="2" t="n"/>
      <c r="B7605">
        <f>LOWER(TRIM(A7605))</f>
        <v/>
      </c>
      <c r="C7605">
        <f>IF(B7605="","",IFERROR(INDEX('Bad Patterns'!$A$2:$A$120,MATCH(1,INDEX(--ISNUMBER(SEARCH('Bad Patterns'!$A$2:$A$120,B7605)),0),0)),""))</f>
        <v/>
      </c>
      <c r="D7605">
        <f>IF(B7605="","",IF(C7605&lt;&gt;"","REMOVE","KEEP"))</f>
        <v/>
      </c>
      <c r="E7605">
        <f>IF(D7605&lt;&gt;"KEEP","",IF(RIGHT(B7605,10)="@gmail.com","Gmail",IF(OR(RIGHT(B7605,12)="@outlook.com",RIGHT(B7605,12)="@hotmail.com",RIGHT(B7605,9)="@live.com"),"Outlook","Domain")))</f>
        <v/>
      </c>
      <c r="F7605">
        <f>IF(B7605="","",IFERROR(RIGHT(B7605,LEN(B7605)-FIND("@",B7605)),""))</f>
        <v/>
      </c>
      <c r="G7605">
        <f>IF(D7605="KEEP",COUNTIF($D$2:D7605,"KEEP"),"")</f>
        <v/>
      </c>
      <c r="H7605">
        <f>IF(D7605="REMOVE",COUNTIF($D$2:D7605,"REMOVE"),"")</f>
        <v/>
      </c>
      <c r="I7605">
        <f>IF(E7605="Gmail",COUNTIF($E$2:E7605,"Gmail"),"")</f>
        <v/>
      </c>
      <c r="J7605">
        <f>IF(E7605="Outlook",COUNTIF($E$2:E7605,"Outlook"),"")</f>
        <v/>
      </c>
      <c r="K7605">
        <f>IF(E7605="Domain",COUNTIF($E$2:E7605,"Domain"),"")</f>
        <v/>
      </c>
    </row>
    <row r="7606">
      <c r="A7606" s="2" t="n"/>
      <c r="B7606">
        <f>LOWER(TRIM(A7606))</f>
        <v/>
      </c>
      <c r="C7606">
        <f>IF(B7606="","",IFERROR(INDEX('Bad Patterns'!$A$2:$A$120,MATCH(1,INDEX(--ISNUMBER(SEARCH('Bad Patterns'!$A$2:$A$120,B7606)),0),0)),""))</f>
        <v/>
      </c>
      <c r="D7606">
        <f>IF(B7606="","",IF(C7606&lt;&gt;"","REMOVE","KEEP"))</f>
        <v/>
      </c>
      <c r="E7606">
        <f>IF(D7606&lt;&gt;"KEEP","",IF(RIGHT(B7606,10)="@gmail.com","Gmail",IF(OR(RIGHT(B7606,12)="@outlook.com",RIGHT(B7606,12)="@hotmail.com",RIGHT(B7606,9)="@live.com"),"Outlook","Domain")))</f>
        <v/>
      </c>
      <c r="F7606">
        <f>IF(B7606="","",IFERROR(RIGHT(B7606,LEN(B7606)-FIND("@",B7606)),""))</f>
        <v/>
      </c>
      <c r="G7606">
        <f>IF(D7606="KEEP",COUNTIF($D$2:D7606,"KEEP"),"")</f>
        <v/>
      </c>
      <c r="H7606">
        <f>IF(D7606="REMOVE",COUNTIF($D$2:D7606,"REMOVE"),"")</f>
        <v/>
      </c>
      <c r="I7606">
        <f>IF(E7606="Gmail",COUNTIF($E$2:E7606,"Gmail"),"")</f>
        <v/>
      </c>
      <c r="J7606">
        <f>IF(E7606="Outlook",COUNTIF($E$2:E7606,"Outlook"),"")</f>
        <v/>
      </c>
      <c r="K7606">
        <f>IF(E7606="Domain",COUNTIF($E$2:E7606,"Domain"),"")</f>
        <v/>
      </c>
    </row>
    <row r="7607">
      <c r="A7607" s="2" t="n"/>
      <c r="B7607">
        <f>LOWER(TRIM(A7607))</f>
        <v/>
      </c>
      <c r="C7607">
        <f>IF(B7607="","",IFERROR(INDEX('Bad Patterns'!$A$2:$A$120,MATCH(1,INDEX(--ISNUMBER(SEARCH('Bad Patterns'!$A$2:$A$120,B7607)),0),0)),""))</f>
        <v/>
      </c>
      <c r="D7607">
        <f>IF(B7607="","",IF(C7607&lt;&gt;"","REMOVE","KEEP"))</f>
        <v/>
      </c>
      <c r="E7607">
        <f>IF(D7607&lt;&gt;"KEEP","",IF(RIGHT(B7607,10)="@gmail.com","Gmail",IF(OR(RIGHT(B7607,12)="@outlook.com",RIGHT(B7607,12)="@hotmail.com",RIGHT(B7607,9)="@live.com"),"Outlook","Domain")))</f>
        <v/>
      </c>
      <c r="F7607">
        <f>IF(B7607="","",IFERROR(RIGHT(B7607,LEN(B7607)-FIND("@",B7607)),""))</f>
        <v/>
      </c>
      <c r="G7607">
        <f>IF(D7607="KEEP",COUNTIF($D$2:D7607,"KEEP"),"")</f>
        <v/>
      </c>
      <c r="H7607">
        <f>IF(D7607="REMOVE",COUNTIF($D$2:D7607,"REMOVE"),"")</f>
        <v/>
      </c>
      <c r="I7607">
        <f>IF(E7607="Gmail",COUNTIF($E$2:E7607,"Gmail"),"")</f>
        <v/>
      </c>
      <c r="J7607">
        <f>IF(E7607="Outlook",COUNTIF($E$2:E7607,"Outlook"),"")</f>
        <v/>
      </c>
      <c r="K7607">
        <f>IF(E7607="Domain",COUNTIF($E$2:E7607,"Domain"),"")</f>
        <v/>
      </c>
    </row>
    <row r="7608">
      <c r="A7608" s="2" t="n"/>
      <c r="B7608">
        <f>LOWER(TRIM(A7608))</f>
        <v/>
      </c>
      <c r="C7608">
        <f>IF(B7608="","",IFERROR(INDEX('Bad Patterns'!$A$2:$A$120,MATCH(1,INDEX(--ISNUMBER(SEARCH('Bad Patterns'!$A$2:$A$120,B7608)),0),0)),""))</f>
        <v/>
      </c>
      <c r="D7608">
        <f>IF(B7608="","",IF(C7608&lt;&gt;"","REMOVE","KEEP"))</f>
        <v/>
      </c>
      <c r="E7608">
        <f>IF(D7608&lt;&gt;"KEEP","",IF(RIGHT(B7608,10)="@gmail.com","Gmail",IF(OR(RIGHT(B7608,12)="@outlook.com",RIGHT(B7608,12)="@hotmail.com",RIGHT(B7608,9)="@live.com"),"Outlook","Domain")))</f>
        <v/>
      </c>
      <c r="F7608">
        <f>IF(B7608="","",IFERROR(RIGHT(B7608,LEN(B7608)-FIND("@",B7608)),""))</f>
        <v/>
      </c>
      <c r="G7608">
        <f>IF(D7608="KEEP",COUNTIF($D$2:D7608,"KEEP"),"")</f>
        <v/>
      </c>
      <c r="H7608">
        <f>IF(D7608="REMOVE",COUNTIF($D$2:D7608,"REMOVE"),"")</f>
        <v/>
      </c>
      <c r="I7608">
        <f>IF(E7608="Gmail",COUNTIF($E$2:E7608,"Gmail"),"")</f>
        <v/>
      </c>
      <c r="J7608">
        <f>IF(E7608="Outlook",COUNTIF($E$2:E7608,"Outlook"),"")</f>
        <v/>
      </c>
      <c r="K7608">
        <f>IF(E7608="Domain",COUNTIF($E$2:E7608,"Domain"),"")</f>
        <v/>
      </c>
    </row>
    <row r="7609">
      <c r="A7609" s="2" t="n"/>
      <c r="B7609">
        <f>LOWER(TRIM(A7609))</f>
        <v/>
      </c>
      <c r="C7609">
        <f>IF(B7609="","",IFERROR(INDEX('Bad Patterns'!$A$2:$A$120,MATCH(1,INDEX(--ISNUMBER(SEARCH('Bad Patterns'!$A$2:$A$120,B7609)),0),0)),""))</f>
        <v/>
      </c>
      <c r="D7609">
        <f>IF(B7609="","",IF(C7609&lt;&gt;"","REMOVE","KEEP"))</f>
        <v/>
      </c>
      <c r="E7609">
        <f>IF(D7609&lt;&gt;"KEEP","",IF(RIGHT(B7609,10)="@gmail.com","Gmail",IF(OR(RIGHT(B7609,12)="@outlook.com",RIGHT(B7609,12)="@hotmail.com",RIGHT(B7609,9)="@live.com"),"Outlook","Domain")))</f>
        <v/>
      </c>
      <c r="F7609">
        <f>IF(B7609="","",IFERROR(RIGHT(B7609,LEN(B7609)-FIND("@",B7609)),""))</f>
        <v/>
      </c>
      <c r="G7609">
        <f>IF(D7609="KEEP",COUNTIF($D$2:D7609,"KEEP"),"")</f>
        <v/>
      </c>
      <c r="H7609">
        <f>IF(D7609="REMOVE",COUNTIF($D$2:D7609,"REMOVE"),"")</f>
        <v/>
      </c>
      <c r="I7609">
        <f>IF(E7609="Gmail",COUNTIF($E$2:E7609,"Gmail"),"")</f>
        <v/>
      </c>
      <c r="J7609">
        <f>IF(E7609="Outlook",COUNTIF($E$2:E7609,"Outlook"),"")</f>
        <v/>
      </c>
      <c r="K7609">
        <f>IF(E7609="Domain",COUNTIF($E$2:E7609,"Domain"),"")</f>
        <v/>
      </c>
    </row>
    <row r="7610">
      <c r="A7610" s="2" t="n"/>
      <c r="B7610">
        <f>LOWER(TRIM(A7610))</f>
        <v/>
      </c>
      <c r="C7610">
        <f>IF(B7610="","",IFERROR(INDEX('Bad Patterns'!$A$2:$A$120,MATCH(1,INDEX(--ISNUMBER(SEARCH('Bad Patterns'!$A$2:$A$120,B7610)),0),0)),""))</f>
        <v/>
      </c>
      <c r="D7610">
        <f>IF(B7610="","",IF(C7610&lt;&gt;"","REMOVE","KEEP"))</f>
        <v/>
      </c>
      <c r="E7610">
        <f>IF(D7610&lt;&gt;"KEEP","",IF(RIGHT(B7610,10)="@gmail.com","Gmail",IF(OR(RIGHT(B7610,12)="@outlook.com",RIGHT(B7610,12)="@hotmail.com",RIGHT(B7610,9)="@live.com"),"Outlook","Domain")))</f>
        <v/>
      </c>
      <c r="F7610">
        <f>IF(B7610="","",IFERROR(RIGHT(B7610,LEN(B7610)-FIND("@",B7610)),""))</f>
        <v/>
      </c>
      <c r="G7610">
        <f>IF(D7610="KEEP",COUNTIF($D$2:D7610,"KEEP"),"")</f>
        <v/>
      </c>
      <c r="H7610">
        <f>IF(D7610="REMOVE",COUNTIF($D$2:D7610,"REMOVE"),"")</f>
        <v/>
      </c>
      <c r="I7610">
        <f>IF(E7610="Gmail",COUNTIF($E$2:E7610,"Gmail"),"")</f>
        <v/>
      </c>
      <c r="J7610">
        <f>IF(E7610="Outlook",COUNTIF($E$2:E7610,"Outlook"),"")</f>
        <v/>
      </c>
      <c r="K7610">
        <f>IF(E7610="Domain",COUNTIF($E$2:E7610,"Domain"),"")</f>
        <v/>
      </c>
    </row>
    <row r="7611">
      <c r="A7611" s="2" t="n"/>
      <c r="B7611">
        <f>LOWER(TRIM(A7611))</f>
        <v/>
      </c>
      <c r="C7611">
        <f>IF(B7611="","",IFERROR(INDEX('Bad Patterns'!$A$2:$A$120,MATCH(1,INDEX(--ISNUMBER(SEARCH('Bad Patterns'!$A$2:$A$120,B7611)),0),0)),""))</f>
        <v/>
      </c>
      <c r="D7611">
        <f>IF(B7611="","",IF(C7611&lt;&gt;"","REMOVE","KEEP"))</f>
        <v/>
      </c>
      <c r="E7611">
        <f>IF(D7611&lt;&gt;"KEEP","",IF(RIGHT(B7611,10)="@gmail.com","Gmail",IF(OR(RIGHT(B7611,12)="@outlook.com",RIGHT(B7611,12)="@hotmail.com",RIGHT(B7611,9)="@live.com"),"Outlook","Domain")))</f>
        <v/>
      </c>
      <c r="F7611">
        <f>IF(B7611="","",IFERROR(RIGHT(B7611,LEN(B7611)-FIND("@",B7611)),""))</f>
        <v/>
      </c>
      <c r="G7611">
        <f>IF(D7611="KEEP",COUNTIF($D$2:D7611,"KEEP"),"")</f>
        <v/>
      </c>
      <c r="H7611">
        <f>IF(D7611="REMOVE",COUNTIF($D$2:D7611,"REMOVE"),"")</f>
        <v/>
      </c>
      <c r="I7611">
        <f>IF(E7611="Gmail",COUNTIF($E$2:E7611,"Gmail"),"")</f>
        <v/>
      </c>
      <c r="J7611">
        <f>IF(E7611="Outlook",COUNTIF($E$2:E7611,"Outlook"),"")</f>
        <v/>
      </c>
      <c r="K7611">
        <f>IF(E7611="Domain",COUNTIF($E$2:E7611,"Domain"),"")</f>
        <v/>
      </c>
    </row>
    <row r="7612">
      <c r="A7612" s="2" t="n"/>
      <c r="B7612">
        <f>LOWER(TRIM(A7612))</f>
        <v/>
      </c>
      <c r="C7612">
        <f>IF(B7612="","",IFERROR(INDEX('Bad Patterns'!$A$2:$A$120,MATCH(1,INDEX(--ISNUMBER(SEARCH('Bad Patterns'!$A$2:$A$120,B7612)),0),0)),""))</f>
        <v/>
      </c>
      <c r="D7612">
        <f>IF(B7612="","",IF(C7612&lt;&gt;"","REMOVE","KEEP"))</f>
        <v/>
      </c>
      <c r="E7612">
        <f>IF(D7612&lt;&gt;"KEEP","",IF(RIGHT(B7612,10)="@gmail.com","Gmail",IF(OR(RIGHT(B7612,12)="@outlook.com",RIGHT(B7612,12)="@hotmail.com",RIGHT(B7612,9)="@live.com"),"Outlook","Domain")))</f>
        <v/>
      </c>
      <c r="F7612">
        <f>IF(B7612="","",IFERROR(RIGHT(B7612,LEN(B7612)-FIND("@",B7612)),""))</f>
        <v/>
      </c>
      <c r="G7612">
        <f>IF(D7612="KEEP",COUNTIF($D$2:D7612,"KEEP"),"")</f>
        <v/>
      </c>
      <c r="H7612">
        <f>IF(D7612="REMOVE",COUNTIF($D$2:D7612,"REMOVE"),"")</f>
        <v/>
      </c>
      <c r="I7612">
        <f>IF(E7612="Gmail",COUNTIF($E$2:E7612,"Gmail"),"")</f>
        <v/>
      </c>
      <c r="J7612">
        <f>IF(E7612="Outlook",COUNTIF($E$2:E7612,"Outlook"),"")</f>
        <v/>
      </c>
      <c r="K7612">
        <f>IF(E7612="Domain",COUNTIF($E$2:E7612,"Domain"),"")</f>
        <v/>
      </c>
    </row>
    <row r="7613">
      <c r="A7613" s="2" t="n"/>
      <c r="B7613">
        <f>LOWER(TRIM(A7613))</f>
        <v/>
      </c>
      <c r="C7613">
        <f>IF(B7613="","",IFERROR(INDEX('Bad Patterns'!$A$2:$A$120,MATCH(1,INDEX(--ISNUMBER(SEARCH('Bad Patterns'!$A$2:$A$120,B7613)),0),0)),""))</f>
        <v/>
      </c>
      <c r="D7613">
        <f>IF(B7613="","",IF(C7613&lt;&gt;"","REMOVE","KEEP"))</f>
        <v/>
      </c>
      <c r="E7613">
        <f>IF(D7613&lt;&gt;"KEEP","",IF(RIGHT(B7613,10)="@gmail.com","Gmail",IF(OR(RIGHT(B7613,12)="@outlook.com",RIGHT(B7613,12)="@hotmail.com",RIGHT(B7613,9)="@live.com"),"Outlook","Domain")))</f>
        <v/>
      </c>
      <c r="F7613">
        <f>IF(B7613="","",IFERROR(RIGHT(B7613,LEN(B7613)-FIND("@",B7613)),""))</f>
        <v/>
      </c>
      <c r="G7613">
        <f>IF(D7613="KEEP",COUNTIF($D$2:D7613,"KEEP"),"")</f>
        <v/>
      </c>
      <c r="H7613">
        <f>IF(D7613="REMOVE",COUNTIF($D$2:D7613,"REMOVE"),"")</f>
        <v/>
      </c>
      <c r="I7613">
        <f>IF(E7613="Gmail",COUNTIF($E$2:E7613,"Gmail"),"")</f>
        <v/>
      </c>
      <c r="J7613">
        <f>IF(E7613="Outlook",COUNTIF($E$2:E7613,"Outlook"),"")</f>
        <v/>
      </c>
      <c r="K7613">
        <f>IF(E7613="Domain",COUNTIF($E$2:E7613,"Domain"),"")</f>
        <v/>
      </c>
    </row>
    <row r="7614">
      <c r="A7614" s="2" t="n"/>
      <c r="B7614">
        <f>LOWER(TRIM(A7614))</f>
        <v/>
      </c>
      <c r="C7614">
        <f>IF(B7614="","",IFERROR(INDEX('Bad Patterns'!$A$2:$A$120,MATCH(1,INDEX(--ISNUMBER(SEARCH('Bad Patterns'!$A$2:$A$120,B7614)),0),0)),""))</f>
        <v/>
      </c>
      <c r="D7614">
        <f>IF(B7614="","",IF(C7614&lt;&gt;"","REMOVE","KEEP"))</f>
        <v/>
      </c>
      <c r="E7614">
        <f>IF(D7614&lt;&gt;"KEEP","",IF(RIGHT(B7614,10)="@gmail.com","Gmail",IF(OR(RIGHT(B7614,12)="@outlook.com",RIGHT(B7614,12)="@hotmail.com",RIGHT(B7614,9)="@live.com"),"Outlook","Domain")))</f>
        <v/>
      </c>
      <c r="F7614">
        <f>IF(B7614="","",IFERROR(RIGHT(B7614,LEN(B7614)-FIND("@",B7614)),""))</f>
        <v/>
      </c>
      <c r="G7614">
        <f>IF(D7614="KEEP",COUNTIF($D$2:D7614,"KEEP"),"")</f>
        <v/>
      </c>
      <c r="H7614">
        <f>IF(D7614="REMOVE",COUNTIF($D$2:D7614,"REMOVE"),"")</f>
        <v/>
      </c>
      <c r="I7614">
        <f>IF(E7614="Gmail",COUNTIF($E$2:E7614,"Gmail"),"")</f>
        <v/>
      </c>
      <c r="J7614">
        <f>IF(E7614="Outlook",COUNTIF($E$2:E7614,"Outlook"),"")</f>
        <v/>
      </c>
      <c r="K7614">
        <f>IF(E7614="Domain",COUNTIF($E$2:E7614,"Domain"),"")</f>
        <v/>
      </c>
    </row>
    <row r="7615">
      <c r="A7615" s="2" t="n"/>
      <c r="B7615">
        <f>LOWER(TRIM(A7615))</f>
        <v/>
      </c>
      <c r="C7615">
        <f>IF(B7615="","",IFERROR(INDEX('Bad Patterns'!$A$2:$A$120,MATCH(1,INDEX(--ISNUMBER(SEARCH('Bad Patterns'!$A$2:$A$120,B7615)),0),0)),""))</f>
        <v/>
      </c>
      <c r="D7615">
        <f>IF(B7615="","",IF(C7615&lt;&gt;"","REMOVE","KEEP"))</f>
        <v/>
      </c>
      <c r="E7615">
        <f>IF(D7615&lt;&gt;"KEEP","",IF(RIGHT(B7615,10)="@gmail.com","Gmail",IF(OR(RIGHT(B7615,12)="@outlook.com",RIGHT(B7615,12)="@hotmail.com",RIGHT(B7615,9)="@live.com"),"Outlook","Domain")))</f>
        <v/>
      </c>
      <c r="F7615">
        <f>IF(B7615="","",IFERROR(RIGHT(B7615,LEN(B7615)-FIND("@",B7615)),""))</f>
        <v/>
      </c>
      <c r="G7615">
        <f>IF(D7615="KEEP",COUNTIF($D$2:D7615,"KEEP"),"")</f>
        <v/>
      </c>
      <c r="H7615">
        <f>IF(D7615="REMOVE",COUNTIF($D$2:D7615,"REMOVE"),"")</f>
        <v/>
      </c>
      <c r="I7615">
        <f>IF(E7615="Gmail",COUNTIF($E$2:E7615,"Gmail"),"")</f>
        <v/>
      </c>
      <c r="J7615">
        <f>IF(E7615="Outlook",COUNTIF($E$2:E7615,"Outlook"),"")</f>
        <v/>
      </c>
      <c r="K7615">
        <f>IF(E7615="Domain",COUNTIF($E$2:E7615,"Domain"),"")</f>
        <v/>
      </c>
    </row>
    <row r="7616">
      <c r="A7616" s="2" t="n"/>
      <c r="B7616">
        <f>LOWER(TRIM(A7616))</f>
        <v/>
      </c>
      <c r="C7616">
        <f>IF(B7616="","",IFERROR(INDEX('Bad Patterns'!$A$2:$A$120,MATCH(1,INDEX(--ISNUMBER(SEARCH('Bad Patterns'!$A$2:$A$120,B7616)),0),0)),""))</f>
        <v/>
      </c>
      <c r="D7616">
        <f>IF(B7616="","",IF(C7616&lt;&gt;"","REMOVE","KEEP"))</f>
        <v/>
      </c>
      <c r="E7616">
        <f>IF(D7616&lt;&gt;"KEEP","",IF(RIGHT(B7616,10)="@gmail.com","Gmail",IF(OR(RIGHT(B7616,12)="@outlook.com",RIGHT(B7616,12)="@hotmail.com",RIGHT(B7616,9)="@live.com"),"Outlook","Domain")))</f>
        <v/>
      </c>
      <c r="F7616">
        <f>IF(B7616="","",IFERROR(RIGHT(B7616,LEN(B7616)-FIND("@",B7616)),""))</f>
        <v/>
      </c>
      <c r="G7616">
        <f>IF(D7616="KEEP",COUNTIF($D$2:D7616,"KEEP"),"")</f>
        <v/>
      </c>
      <c r="H7616">
        <f>IF(D7616="REMOVE",COUNTIF($D$2:D7616,"REMOVE"),"")</f>
        <v/>
      </c>
      <c r="I7616">
        <f>IF(E7616="Gmail",COUNTIF($E$2:E7616,"Gmail"),"")</f>
        <v/>
      </c>
      <c r="J7616">
        <f>IF(E7616="Outlook",COUNTIF($E$2:E7616,"Outlook"),"")</f>
        <v/>
      </c>
      <c r="K7616">
        <f>IF(E7616="Domain",COUNTIF($E$2:E7616,"Domain"),"")</f>
        <v/>
      </c>
    </row>
    <row r="7617">
      <c r="A7617" s="2" t="n"/>
      <c r="B7617">
        <f>LOWER(TRIM(A7617))</f>
        <v/>
      </c>
      <c r="C7617">
        <f>IF(B7617="","",IFERROR(INDEX('Bad Patterns'!$A$2:$A$120,MATCH(1,INDEX(--ISNUMBER(SEARCH('Bad Patterns'!$A$2:$A$120,B7617)),0),0)),""))</f>
        <v/>
      </c>
      <c r="D7617">
        <f>IF(B7617="","",IF(C7617&lt;&gt;"","REMOVE","KEEP"))</f>
        <v/>
      </c>
      <c r="E7617">
        <f>IF(D7617&lt;&gt;"KEEP","",IF(RIGHT(B7617,10)="@gmail.com","Gmail",IF(OR(RIGHT(B7617,12)="@outlook.com",RIGHT(B7617,12)="@hotmail.com",RIGHT(B7617,9)="@live.com"),"Outlook","Domain")))</f>
        <v/>
      </c>
      <c r="F7617">
        <f>IF(B7617="","",IFERROR(RIGHT(B7617,LEN(B7617)-FIND("@",B7617)),""))</f>
        <v/>
      </c>
      <c r="G7617">
        <f>IF(D7617="KEEP",COUNTIF($D$2:D7617,"KEEP"),"")</f>
        <v/>
      </c>
      <c r="H7617">
        <f>IF(D7617="REMOVE",COUNTIF($D$2:D7617,"REMOVE"),"")</f>
        <v/>
      </c>
      <c r="I7617">
        <f>IF(E7617="Gmail",COUNTIF($E$2:E7617,"Gmail"),"")</f>
        <v/>
      </c>
      <c r="J7617">
        <f>IF(E7617="Outlook",COUNTIF($E$2:E7617,"Outlook"),"")</f>
        <v/>
      </c>
      <c r="K7617">
        <f>IF(E7617="Domain",COUNTIF($E$2:E7617,"Domain"),"")</f>
        <v/>
      </c>
    </row>
    <row r="7618">
      <c r="A7618" s="2" t="n"/>
      <c r="B7618">
        <f>LOWER(TRIM(A7618))</f>
        <v/>
      </c>
      <c r="C7618">
        <f>IF(B7618="","",IFERROR(INDEX('Bad Patterns'!$A$2:$A$120,MATCH(1,INDEX(--ISNUMBER(SEARCH('Bad Patterns'!$A$2:$A$120,B7618)),0),0)),""))</f>
        <v/>
      </c>
      <c r="D7618">
        <f>IF(B7618="","",IF(C7618&lt;&gt;"","REMOVE","KEEP"))</f>
        <v/>
      </c>
      <c r="E7618">
        <f>IF(D7618&lt;&gt;"KEEP","",IF(RIGHT(B7618,10)="@gmail.com","Gmail",IF(OR(RIGHT(B7618,12)="@outlook.com",RIGHT(B7618,12)="@hotmail.com",RIGHT(B7618,9)="@live.com"),"Outlook","Domain")))</f>
        <v/>
      </c>
      <c r="F7618">
        <f>IF(B7618="","",IFERROR(RIGHT(B7618,LEN(B7618)-FIND("@",B7618)),""))</f>
        <v/>
      </c>
      <c r="G7618">
        <f>IF(D7618="KEEP",COUNTIF($D$2:D7618,"KEEP"),"")</f>
        <v/>
      </c>
      <c r="H7618">
        <f>IF(D7618="REMOVE",COUNTIF($D$2:D7618,"REMOVE"),"")</f>
        <v/>
      </c>
      <c r="I7618">
        <f>IF(E7618="Gmail",COUNTIF($E$2:E7618,"Gmail"),"")</f>
        <v/>
      </c>
      <c r="J7618">
        <f>IF(E7618="Outlook",COUNTIF($E$2:E7618,"Outlook"),"")</f>
        <v/>
      </c>
      <c r="K7618">
        <f>IF(E7618="Domain",COUNTIF($E$2:E7618,"Domain"),"")</f>
        <v/>
      </c>
    </row>
    <row r="7619">
      <c r="A7619" s="2" t="n"/>
      <c r="B7619">
        <f>LOWER(TRIM(A7619))</f>
        <v/>
      </c>
      <c r="C7619">
        <f>IF(B7619="","",IFERROR(INDEX('Bad Patterns'!$A$2:$A$120,MATCH(1,INDEX(--ISNUMBER(SEARCH('Bad Patterns'!$A$2:$A$120,B7619)),0),0)),""))</f>
        <v/>
      </c>
      <c r="D7619">
        <f>IF(B7619="","",IF(C7619&lt;&gt;"","REMOVE","KEEP"))</f>
        <v/>
      </c>
      <c r="E7619">
        <f>IF(D7619&lt;&gt;"KEEP","",IF(RIGHT(B7619,10)="@gmail.com","Gmail",IF(OR(RIGHT(B7619,12)="@outlook.com",RIGHT(B7619,12)="@hotmail.com",RIGHT(B7619,9)="@live.com"),"Outlook","Domain")))</f>
        <v/>
      </c>
      <c r="F7619">
        <f>IF(B7619="","",IFERROR(RIGHT(B7619,LEN(B7619)-FIND("@",B7619)),""))</f>
        <v/>
      </c>
      <c r="G7619">
        <f>IF(D7619="KEEP",COUNTIF($D$2:D7619,"KEEP"),"")</f>
        <v/>
      </c>
      <c r="H7619">
        <f>IF(D7619="REMOVE",COUNTIF($D$2:D7619,"REMOVE"),"")</f>
        <v/>
      </c>
      <c r="I7619">
        <f>IF(E7619="Gmail",COUNTIF($E$2:E7619,"Gmail"),"")</f>
        <v/>
      </c>
      <c r="J7619">
        <f>IF(E7619="Outlook",COUNTIF($E$2:E7619,"Outlook"),"")</f>
        <v/>
      </c>
      <c r="K7619">
        <f>IF(E7619="Domain",COUNTIF($E$2:E7619,"Domain"),"")</f>
        <v/>
      </c>
    </row>
    <row r="7620">
      <c r="A7620" s="2" t="n"/>
      <c r="B7620">
        <f>LOWER(TRIM(A7620))</f>
        <v/>
      </c>
      <c r="C7620">
        <f>IF(B7620="","",IFERROR(INDEX('Bad Patterns'!$A$2:$A$120,MATCH(1,INDEX(--ISNUMBER(SEARCH('Bad Patterns'!$A$2:$A$120,B7620)),0),0)),""))</f>
        <v/>
      </c>
      <c r="D7620">
        <f>IF(B7620="","",IF(C7620&lt;&gt;"","REMOVE","KEEP"))</f>
        <v/>
      </c>
      <c r="E7620">
        <f>IF(D7620&lt;&gt;"KEEP","",IF(RIGHT(B7620,10)="@gmail.com","Gmail",IF(OR(RIGHT(B7620,12)="@outlook.com",RIGHT(B7620,12)="@hotmail.com",RIGHT(B7620,9)="@live.com"),"Outlook","Domain")))</f>
        <v/>
      </c>
      <c r="F7620">
        <f>IF(B7620="","",IFERROR(RIGHT(B7620,LEN(B7620)-FIND("@",B7620)),""))</f>
        <v/>
      </c>
      <c r="G7620">
        <f>IF(D7620="KEEP",COUNTIF($D$2:D7620,"KEEP"),"")</f>
        <v/>
      </c>
      <c r="H7620">
        <f>IF(D7620="REMOVE",COUNTIF($D$2:D7620,"REMOVE"),"")</f>
        <v/>
      </c>
      <c r="I7620">
        <f>IF(E7620="Gmail",COUNTIF($E$2:E7620,"Gmail"),"")</f>
        <v/>
      </c>
      <c r="J7620">
        <f>IF(E7620="Outlook",COUNTIF($E$2:E7620,"Outlook"),"")</f>
        <v/>
      </c>
      <c r="K7620">
        <f>IF(E7620="Domain",COUNTIF($E$2:E7620,"Domain"),"")</f>
        <v/>
      </c>
    </row>
    <row r="7621">
      <c r="A7621" s="2" t="n"/>
      <c r="B7621">
        <f>LOWER(TRIM(A7621))</f>
        <v/>
      </c>
      <c r="C7621">
        <f>IF(B7621="","",IFERROR(INDEX('Bad Patterns'!$A$2:$A$120,MATCH(1,INDEX(--ISNUMBER(SEARCH('Bad Patterns'!$A$2:$A$120,B7621)),0),0)),""))</f>
        <v/>
      </c>
      <c r="D7621">
        <f>IF(B7621="","",IF(C7621&lt;&gt;"","REMOVE","KEEP"))</f>
        <v/>
      </c>
      <c r="E7621">
        <f>IF(D7621&lt;&gt;"KEEP","",IF(RIGHT(B7621,10)="@gmail.com","Gmail",IF(OR(RIGHT(B7621,12)="@outlook.com",RIGHT(B7621,12)="@hotmail.com",RIGHT(B7621,9)="@live.com"),"Outlook","Domain")))</f>
        <v/>
      </c>
      <c r="F7621">
        <f>IF(B7621="","",IFERROR(RIGHT(B7621,LEN(B7621)-FIND("@",B7621)),""))</f>
        <v/>
      </c>
      <c r="G7621">
        <f>IF(D7621="KEEP",COUNTIF($D$2:D7621,"KEEP"),"")</f>
        <v/>
      </c>
      <c r="H7621">
        <f>IF(D7621="REMOVE",COUNTIF($D$2:D7621,"REMOVE"),"")</f>
        <v/>
      </c>
      <c r="I7621">
        <f>IF(E7621="Gmail",COUNTIF($E$2:E7621,"Gmail"),"")</f>
        <v/>
      </c>
      <c r="J7621">
        <f>IF(E7621="Outlook",COUNTIF($E$2:E7621,"Outlook"),"")</f>
        <v/>
      </c>
      <c r="K7621">
        <f>IF(E7621="Domain",COUNTIF($E$2:E7621,"Domain"),"")</f>
        <v/>
      </c>
    </row>
    <row r="7622">
      <c r="A7622" s="2" t="n"/>
      <c r="B7622">
        <f>LOWER(TRIM(A7622))</f>
        <v/>
      </c>
      <c r="C7622">
        <f>IF(B7622="","",IFERROR(INDEX('Bad Patterns'!$A$2:$A$120,MATCH(1,INDEX(--ISNUMBER(SEARCH('Bad Patterns'!$A$2:$A$120,B7622)),0),0)),""))</f>
        <v/>
      </c>
      <c r="D7622">
        <f>IF(B7622="","",IF(C7622&lt;&gt;"","REMOVE","KEEP"))</f>
        <v/>
      </c>
      <c r="E7622">
        <f>IF(D7622&lt;&gt;"KEEP","",IF(RIGHT(B7622,10)="@gmail.com","Gmail",IF(OR(RIGHT(B7622,12)="@outlook.com",RIGHT(B7622,12)="@hotmail.com",RIGHT(B7622,9)="@live.com"),"Outlook","Domain")))</f>
        <v/>
      </c>
      <c r="F7622">
        <f>IF(B7622="","",IFERROR(RIGHT(B7622,LEN(B7622)-FIND("@",B7622)),""))</f>
        <v/>
      </c>
      <c r="G7622">
        <f>IF(D7622="KEEP",COUNTIF($D$2:D7622,"KEEP"),"")</f>
        <v/>
      </c>
      <c r="H7622">
        <f>IF(D7622="REMOVE",COUNTIF($D$2:D7622,"REMOVE"),"")</f>
        <v/>
      </c>
      <c r="I7622">
        <f>IF(E7622="Gmail",COUNTIF($E$2:E7622,"Gmail"),"")</f>
        <v/>
      </c>
      <c r="J7622">
        <f>IF(E7622="Outlook",COUNTIF($E$2:E7622,"Outlook"),"")</f>
        <v/>
      </c>
      <c r="K7622">
        <f>IF(E7622="Domain",COUNTIF($E$2:E7622,"Domain"),"")</f>
        <v/>
      </c>
    </row>
    <row r="7623">
      <c r="A7623" s="2" t="n"/>
      <c r="B7623">
        <f>LOWER(TRIM(A7623))</f>
        <v/>
      </c>
      <c r="C7623">
        <f>IF(B7623="","",IFERROR(INDEX('Bad Patterns'!$A$2:$A$120,MATCH(1,INDEX(--ISNUMBER(SEARCH('Bad Patterns'!$A$2:$A$120,B7623)),0),0)),""))</f>
        <v/>
      </c>
      <c r="D7623">
        <f>IF(B7623="","",IF(C7623&lt;&gt;"","REMOVE","KEEP"))</f>
        <v/>
      </c>
      <c r="E7623">
        <f>IF(D7623&lt;&gt;"KEEP","",IF(RIGHT(B7623,10)="@gmail.com","Gmail",IF(OR(RIGHT(B7623,12)="@outlook.com",RIGHT(B7623,12)="@hotmail.com",RIGHT(B7623,9)="@live.com"),"Outlook","Domain")))</f>
        <v/>
      </c>
      <c r="F7623">
        <f>IF(B7623="","",IFERROR(RIGHT(B7623,LEN(B7623)-FIND("@",B7623)),""))</f>
        <v/>
      </c>
      <c r="G7623">
        <f>IF(D7623="KEEP",COUNTIF($D$2:D7623,"KEEP"),"")</f>
        <v/>
      </c>
      <c r="H7623">
        <f>IF(D7623="REMOVE",COUNTIF($D$2:D7623,"REMOVE"),"")</f>
        <v/>
      </c>
      <c r="I7623">
        <f>IF(E7623="Gmail",COUNTIF($E$2:E7623,"Gmail"),"")</f>
        <v/>
      </c>
      <c r="J7623">
        <f>IF(E7623="Outlook",COUNTIF($E$2:E7623,"Outlook"),"")</f>
        <v/>
      </c>
      <c r="K7623">
        <f>IF(E7623="Domain",COUNTIF($E$2:E7623,"Domain"),"")</f>
        <v/>
      </c>
    </row>
    <row r="7624">
      <c r="A7624" s="2" t="n"/>
      <c r="B7624">
        <f>LOWER(TRIM(A7624))</f>
        <v/>
      </c>
      <c r="C7624">
        <f>IF(B7624="","",IFERROR(INDEX('Bad Patterns'!$A$2:$A$120,MATCH(1,INDEX(--ISNUMBER(SEARCH('Bad Patterns'!$A$2:$A$120,B7624)),0),0)),""))</f>
        <v/>
      </c>
      <c r="D7624">
        <f>IF(B7624="","",IF(C7624&lt;&gt;"","REMOVE","KEEP"))</f>
        <v/>
      </c>
      <c r="E7624">
        <f>IF(D7624&lt;&gt;"KEEP","",IF(RIGHT(B7624,10)="@gmail.com","Gmail",IF(OR(RIGHT(B7624,12)="@outlook.com",RIGHT(B7624,12)="@hotmail.com",RIGHT(B7624,9)="@live.com"),"Outlook","Domain")))</f>
        <v/>
      </c>
      <c r="F7624">
        <f>IF(B7624="","",IFERROR(RIGHT(B7624,LEN(B7624)-FIND("@",B7624)),""))</f>
        <v/>
      </c>
      <c r="G7624">
        <f>IF(D7624="KEEP",COUNTIF($D$2:D7624,"KEEP"),"")</f>
        <v/>
      </c>
      <c r="H7624">
        <f>IF(D7624="REMOVE",COUNTIF($D$2:D7624,"REMOVE"),"")</f>
        <v/>
      </c>
      <c r="I7624">
        <f>IF(E7624="Gmail",COUNTIF($E$2:E7624,"Gmail"),"")</f>
        <v/>
      </c>
      <c r="J7624">
        <f>IF(E7624="Outlook",COUNTIF($E$2:E7624,"Outlook"),"")</f>
        <v/>
      </c>
      <c r="K7624">
        <f>IF(E7624="Domain",COUNTIF($E$2:E7624,"Domain"),"")</f>
        <v/>
      </c>
    </row>
    <row r="7625">
      <c r="A7625" s="2" t="n"/>
      <c r="B7625">
        <f>LOWER(TRIM(A7625))</f>
        <v/>
      </c>
      <c r="C7625">
        <f>IF(B7625="","",IFERROR(INDEX('Bad Patterns'!$A$2:$A$120,MATCH(1,INDEX(--ISNUMBER(SEARCH('Bad Patterns'!$A$2:$A$120,B7625)),0),0)),""))</f>
        <v/>
      </c>
      <c r="D7625">
        <f>IF(B7625="","",IF(C7625&lt;&gt;"","REMOVE","KEEP"))</f>
        <v/>
      </c>
      <c r="E7625">
        <f>IF(D7625&lt;&gt;"KEEP","",IF(RIGHT(B7625,10)="@gmail.com","Gmail",IF(OR(RIGHT(B7625,12)="@outlook.com",RIGHT(B7625,12)="@hotmail.com",RIGHT(B7625,9)="@live.com"),"Outlook","Domain")))</f>
        <v/>
      </c>
      <c r="F7625">
        <f>IF(B7625="","",IFERROR(RIGHT(B7625,LEN(B7625)-FIND("@",B7625)),""))</f>
        <v/>
      </c>
      <c r="G7625">
        <f>IF(D7625="KEEP",COUNTIF($D$2:D7625,"KEEP"),"")</f>
        <v/>
      </c>
      <c r="H7625">
        <f>IF(D7625="REMOVE",COUNTIF($D$2:D7625,"REMOVE"),"")</f>
        <v/>
      </c>
      <c r="I7625">
        <f>IF(E7625="Gmail",COUNTIF($E$2:E7625,"Gmail"),"")</f>
        <v/>
      </c>
      <c r="J7625">
        <f>IF(E7625="Outlook",COUNTIF($E$2:E7625,"Outlook"),"")</f>
        <v/>
      </c>
      <c r="K7625">
        <f>IF(E7625="Domain",COUNTIF($E$2:E7625,"Domain"),"")</f>
        <v/>
      </c>
    </row>
    <row r="7626">
      <c r="A7626" s="2" t="n"/>
      <c r="B7626">
        <f>LOWER(TRIM(A7626))</f>
        <v/>
      </c>
      <c r="C7626">
        <f>IF(B7626="","",IFERROR(INDEX('Bad Patterns'!$A$2:$A$120,MATCH(1,INDEX(--ISNUMBER(SEARCH('Bad Patterns'!$A$2:$A$120,B7626)),0),0)),""))</f>
        <v/>
      </c>
      <c r="D7626">
        <f>IF(B7626="","",IF(C7626&lt;&gt;"","REMOVE","KEEP"))</f>
        <v/>
      </c>
      <c r="E7626">
        <f>IF(D7626&lt;&gt;"KEEP","",IF(RIGHT(B7626,10)="@gmail.com","Gmail",IF(OR(RIGHT(B7626,12)="@outlook.com",RIGHT(B7626,12)="@hotmail.com",RIGHT(B7626,9)="@live.com"),"Outlook","Domain")))</f>
        <v/>
      </c>
      <c r="F7626">
        <f>IF(B7626="","",IFERROR(RIGHT(B7626,LEN(B7626)-FIND("@",B7626)),""))</f>
        <v/>
      </c>
      <c r="G7626">
        <f>IF(D7626="KEEP",COUNTIF($D$2:D7626,"KEEP"),"")</f>
        <v/>
      </c>
      <c r="H7626">
        <f>IF(D7626="REMOVE",COUNTIF($D$2:D7626,"REMOVE"),"")</f>
        <v/>
      </c>
      <c r="I7626">
        <f>IF(E7626="Gmail",COUNTIF($E$2:E7626,"Gmail"),"")</f>
        <v/>
      </c>
      <c r="J7626">
        <f>IF(E7626="Outlook",COUNTIF($E$2:E7626,"Outlook"),"")</f>
        <v/>
      </c>
      <c r="K7626">
        <f>IF(E7626="Domain",COUNTIF($E$2:E7626,"Domain"),"")</f>
        <v/>
      </c>
    </row>
    <row r="7627">
      <c r="A7627" s="2" t="n"/>
      <c r="B7627">
        <f>LOWER(TRIM(A7627))</f>
        <v/>
      </c>
      <c r="C7627">
        <f>IF(B7627="","",IFERROR(INDEX('Bad Patterns'!$A$2:$A$120,MATCH(1,INDEX(--ISNUMBER(SEARCH('Bad Patterns'!$A$2:$A$120,B7627)),0),0)),""))</f>
        <v/>
      </c>
      <c r="D7627">
        <f>IF(B7627="","",IF(C7627&lt;&gt;"","REMOVE","KEEP"))</f>
        <v/>
      </c>
      <c r="E7627">
        <f>IF(D7627&lt;&gt;"KEEP","",IF(RIGHT(B7627,10)="@gmail.com","Gmail",IF(OR(RIGHT(B7627,12)="@outlook.com",RIGHT(B7627,12)="@hotmail.com",RIGHT(B7627,9)="@live.com"),"Outlook","Domain")))</f>
        <v/>
      </c>
      <c r="F7627">
        <f>IF(B7627="","",IFERROR(RIGHT(B7627,LEN(B7627)-FIND("@",B7627)),""))</f>
        <v/>
      </c>
      <c r="G7627">
        <f>IF(D7627="KEEP",COUNTIF($D$2:D7627,"KEEP"),"")</f>
        <v/>
      </c>
      <c r="H7627">
        <f>IF(D7627="REMOVE",COUNTIF($D$2:D7627,"REMOVE"),"")</f>
        <v/>
      </c>
      <c r="I7627">
        <f>IF(E7627="Gmail",COUNTIF($E$2:E7627,"Gmail"),"")</f>
        <v/>
      </c>
      <c r="J7627">
        <f>IF(E7627="Outlook",COUNTIF($E$2:E7627,"Outlook"),"")</f>
        <v/>
      </c>
      <c r="K7627">
        <f>IF(E7627="Domain",COUNTIF($E$2:E7627,"Domain"),"")</f>
        <v/>
      </c>
    </row>
    <row r="7628">
      <c r="A7628" s="2" t="n"/>
      <c r="B7628">
        <f>LOWER(TRIM(A7628))</f>
        <v/>
      </c>
      <c r="C7628">
        <f>IF(B7628="","",IFERROR(INDEX('Bad Patterns'!$A$2:$A$120,MATCH(1,INDEX(--ISNUMBER(SEARCH('Bad Patterns'!$A$2:$A$120,B7628)),0),0)),""))</f>
        <v/>
      </c>
      <c r="D7628">
        <f>IF(B7628="","",IF(C7628&lt;&gt;"","REMOVE","KEEP"))</f>
        <v/>
      </c>
      <c r="E7628">
        <f>IF(D7628&lt;&gt;"KEEP","",IF(RIGHT(B7628,10)="@gmail.com","Gmail",IF(OR(RIGHT(B7628,12)="@outlook.com",RIGHT(B7628,12)="@hotmail.com",RIGHT(B7628,9)="@live.com"),"Outlook","Domain")))</f>
        <v/>
      </c>
      <c r="F7628">
        <f>IF(B7628="","",IFERROR(RIGHT(B7628,LEN(B7628)-FIND("@",B7628)),""))</f>
        <v/>
      </c>
      <c r="G7628">
        <f>IF(D7628="KEEP",COUNTIF($D$2:D7628,"KEEP"),"")</f>
        <v/>
      </c>
      <c r="H7628">
        <f>IF(D7628="REMOVE",COUNTIF($D$2:D7628,"REMOVE"),"")</f>
        <v/>
      </c>
      <c r="I7628">
        <f>IF(E7628="Gmail",COUNTIF($E$2:E7628,"Gmail"),"")</f>
        <v/>
      </c>
      <c r="J7628">
        <f>IF(E7628="Outlook",COUNTIF($E$2:E7628,"Outlook"),"")</f>
        <v/>
      </c>
      <c r="K7628">
        <f>IF(E7628="Domain",COUNTIF($E$2:E7628,"Domain"),"")</f>
        <v/>
      </c>
    </row>
    <row r="7629">
      <c r="A7629" s="2" t="n"/>
      <c r="B7629">
        <f>LOWER(TRIM(A7629))</f>
        <v/>
      </c>
      <c r="C7629">
        <f>IF(B7629="","",IFERROR(INDEX('Bad Patterns'!$A$2:$A$120,MATCH(1,INDEX(--ISNUMBER(SEARCH('Bad Patterns'!$A$2:$A$120,B7629)),0),0)),""))</f>
        <v/>
      </c>
      <c r="D7629">
        <f>IF(B7629="","",IF(C7629&lt;&gt;"","REMOVE","KEEP"))</f>
        <v/>
      </c>
      <c r="E7629">
        <f>IF(D7629&lt;&gt;"KEEP","",IF(RIGHT(B7629,10)="@gmail.com","Gmail",IF(OR(RIGHT(B7629,12)="@outlook.com",RIGHT(B7629,12)="@hotmail.com",RIGHT(B7629,9)="@live.com"),"Outlook","Domain")))</f>
        <v/>
      </c>
      <c r="F7629">
        <f>IF(B7629="","",IFERROR(RIGHT(B7629,LEN(B7629)-FIND("@",B7629)),""))</f>
        <v/>
      </c>
      <c r="G7629">
        <f>IF(D7629="KEEP",COUNTIF($D$2:D7629,"KEEP"),"")</f>
        <v/>
      </c>
      <c r="H7629">
        <f>IF(D7629="REMOVE",COUNTIF($D$2:D7629,"REMOVE"),"")</f>
        <v/>
      </c>
      <c r="I7629">
        <f>IF(E7629="Gmail",COUNTIF($E$2:E7629,"Gmail"),"")</f>
        <v/>
      </c>
      <c r="J7629">
        <f>IF(E7629="Outlook",COUNTIF($E$2:E7629,"Outlook"),"")</f>
        <v/>
      </c>
      <c r="K7629">
        <f>IF(E7629="Domain",COUNTIF($E$2:E7629,"Domain"),"")</f>
        <v/>
      </c>
    </row>
    <row r="7630">
      <c r="A7630" s="2" t="n"/>
      <c r="B7630">
        <f>LOWER(TRIM(A7630))</f>
        <v/>
      </c>
      <c r="C7630">
        <f>IF(B7630="","",IFERROR(INDEX('Bad Patterns'!$A$2:$A$120,MATCH(1,INDEX(--ISNUMBER(SEARCH('Bad Patterns'!$A$2:$A$120,B7630)),0),0)),""))</f>
        <v/>
      </c>
      <c r="D7630">
        <f>IF(B7630="","",IF(C7630&lt;&gt;"","REMOVE","KEEP"))</f>
        <v/>
      </c>
      <c r="E7630">
        <f>IF(D7630&lt;&gt;"KEEP","",IF(RIGHT(B7630,10)="@gmail.com","Gmail",IF(OR(RIGHT(B7630,12)="@outlook.com",RIGHT(B7630,12)="@hotmail.com",RIGHT(B7630,9)="@live.com"),"Outlook","Domain")))</f>
        <v/>
      </c>
      <c r="F7630">
        <f>IF(B7630="","",IFERROR(RIGHT(B7630,LEN(B7630)-FIND("@",B7630)),""))</f>
        <v/>
      </c>
      <c r="G7630">
        <f>IF(D7630="KEEP",COUNTIF($D$2:D7630,"KEEP"),"")</f>
        <v/>
      </c>
      <c r="H7630">
        <f>IF(D7630="REMOVE",COUNTIF($D$2:D7630,"REMOVE"),"")</f>
        <v/>
      </c>
      <c r="I7630">
        <f>IF(E7630="Gmail",COUNTIF($E$2:E7630,"Gmail"),"")</f>
        <v/>
      </c>
      <c r="J7630">
        <f>IF(E7630="Outlook",COUNTIF($E$2:E7630,"Outlook"),"")</f>
        <v/>
      </c>
      <c r="K7630">
        <f>IF(E7630="Domain",COUNTIF($E$2:E7630,"Domain"),"")</f>
        <v/>
      </c>
    </row>
    <row r="7631">
      <c r="A7631" s="2" t="n"/>
      <c r="B7631">
        <f>LOWER(TRIM(A7631))</f>
        <v/>
      </c>
      <c r="C7631">
        <f>IF(B7631="","",IFERROR(INDEX('Bad Patterns'!$A$2:$A$120,MATCH(1,INDEX(--ISNUMBER(SEARCH('Bad Patterns'!$A$2:$A$120,B7631)),0),0)),""))</f>
        <v/>
      </c>
      <c r="D7631">
        <f>IF(B7631="","",IF(C7631&lt;&gt;"","REMOVE","KEEP"))</f>
        <v/>
      </c>
      <c r="E7631">
        <f>IF(D7631&lt;&gt;"KEEP","",IF(RIGHT(B7631,10)="@gmail.com","Gmail",IF(OR(RIGHT(B7631,12)="@outlook.com",RIGHT(B7631,12)="@hotmail.com",RIGHT(B7631,9)="@live.com"),"Outlook","Domain")))</f>
        <v/>
      </c>
      <c r="F7631">
        <f>IF(B7631="","",IFERROR(RIGHT(B7631,LEN(B7631)-FIND("@",B7631)),""))</f>
        <v/>
      </c>
      <c r="G7631">
        <f>IF(D7631="KEEP",COUNTIF($D$2:D7631,"KEEP"),"")</f>
        <v/>
      </c>
      <c r="H7631">
        <f>IF(D7631="REMOVE",COUNTIF($D$2:D7631,"REMOVE"),"")</f>
        <v/>
      </c>
      <c r="I7631">
        <f>IF(E7631="Gmail",COUNTIF($E$2:E7631,"Gmail"),"")</f>
        <v/>
      </c>
      <c r="J7631">
        <f>IF(E7631="Outlook",COUNTIF($E$2:E7631,"Outlook"),"")</f>
        <v/>
      </c>
      <c r="K7631">
        <f>IF(E7631="Domain",COUNTIF($E$2:E7631,"Domain"),"")</f>
        <v/>
      </c>
    </row>
    <row r="7632">
      <c r="A7632" s="2" t="n"/>
      <c r="B7632">
        <f>LOWER(TRIM(A7632))</f>
        <v/>
      </c>
      <c r="C7632">
        <f>IF(B7632="","",IFERROR(INDEX('Bad Patterns'!$A$2:$A$120,MATCH(1,INDEX(--ISNUMBER(SEARCH('Bad Patterns'!$A$2:$A$120,B7632)),0),0)),""))</f>
        <v/>
      </c>
      <c r="D7632">
        <f>IF(B7632="","",IF(C7632&lt;&gt;"","REMOVE","KEEP"))</f>
        <v/>
      </c>
      <c r="E7632">
        <f>IF(D7632&lt;&gt;"KEEP","",IF(RIGHT(B7632,10)="@gmail.com","Gmail",IF(OR(RIGHT(B7632,12)="@outlook.com",RIGHT(B7632,12)="@hotmail.com",RIGHT(B7632,9)="@live.com"),"Outlook","Domain")))</f>
        <v/>
      </c>
      <c r="F7632">
        <f>IF(B7632="","",IFERROR(RIGHT(B7632,LEN(B7632)-FIND("@",B7632)),""))</f>
        <v/>
      </c>
      <c r="G7632">
        <f>IF(D7632="KEEP",COUNTIF($D$2:D7632,"KEEP"),"")</f>
        <v/>
      </c>
      <c r="H7632">
        <f>IF(D7632="REMOVE",COUNTIF($D$2:D7632,"REMOVE"),"")</f>
        <v/>
      </c>
      <c r="I7632">
        <f>IF(E7632="Gmail",COUNTIF($E$2:E7632,"Gmail"),"")</f>
        <v/>
      </c>
      <c r="J7632">
        <f>IF(E7632="Outlook",COUNTIF($E$2:E7632,"Outlook"),"")</f>
        <v/>
      </c>
      <c r="K7632">
        <f>IF(E7632="Domain",COUNTIF($E$2:E7632,"Domain"),"")</f>
        <v/>
      </c>
    </row>
    <row r="7633">
      <c r="A7633" s="2" t="n"/>
      <c r="B7633">
        <f>LOWER(TRIM(A7633))</f>
        <v/>
      </c>
      <c r="C7633">
        <f>IF(B7633="","",IFERROR(INDEX('Bad Patterns'!$A$2:$A$120,MATCH(1,INDEX(--ISNUMBER(SEARCH('Bad Patterns'!$A$2:$A$120,B7633)),0),0)),""))</f>
        <v/>
      </c>
      <c r="D7633">
        <f>IF(B7633="","",IF(C7633&lt;&gt;"","REMOVE","KEEP"))</f>
        <v/>
      </c>
      <c r="E7633">
        <f>IF(D7633&lt;&gt;"KEEP","",IF(RIGHT(B7633,10)="@gmail.com","Gmail",IF(OR(RIGHT(B7633,12)="@outlook.com",RIGHT(B7633,12)="@hotmail.com",RIGHT(B7633,9)="@live.com"),"Outlook","Domain")))</f>
        <v/>
      </c>
      <c r="F7633">
        <f>IF(B7633="","",IFERROR(RIGHT(B7633,LEN(B7633)-FIND("@",B7633)),""))</f>
        <v/>
      </c>
      <c r="G7633">
        <f>IF(D7633="KEEP",COUNTIF($D$2:D7633,"KEEP"),"")</f>
        <v/>
      </c>
      <c r="H7633">
        <f>IF(D7633="REMOVE",COUNTIF($D$2:D7633,"REMOVE"),"")</f>
        <v/>
      </c>
      <c r="I7633">
        <f>IF(E7633="Gmail",COUNTIF($E$2:E7633,"Gmail"),"")</f>
        <v/>
      </c>
      <c r="J7633">
        <f>IF(E7633="Outlook",COUNTIF($E$2:E7633,"Outlook"),"")</f>
        <v/>
      </c>
      <c r="K7633">
        <f>IF(E7633="Domain",COUNTIF($E$2:E7633,"Domain"),"")</f>
        <v/>
      </c>
    </row>
    <row r="7634">
      <c r="A7634" s="2" t="n"/>
      <c r="B7634">
        <f>LOWER(TRIM(A7634))</f>
        <v/>
      </c>
      <c r="C7634">
        <f>IF(B7634="","",IFERROR(INDEX('Bad Patterns'!$A$2:$A$120,MATCH(1,INDEX(--ISNUMBER(SEARCH('Bad Patterns'!$A$2:$A$120,B7634)),0),0)),""))</f>
        <v/>
      </c>
      <c r="D7634">
        <f>IF(B7634="","",IF(C7634&lt;&gt;"","REMOVE","KEEP"))</f>
        <v/>
      </c>
      <c r="E7634">
        <f>IF(D7634&lt;&gt;"KEEP","",IF(RIGHT(B7634,10)="@gmail.com","Gmail",IF(OR(RIGHT(B7634,12)="@outlook.com",RIGHT(B7634,12)="@hotmail.com",RIGHT(B7634,9)="@live.com"),"Outlook","Domain")))</f>
        <v/>
      </c>
      <c r="F7634">
        <f>IF(B7634="","",IFERROR(RIGHT(B7634,LEN(B7634)-FIND("@",B7634)),""))</f>
        <v/>
      </c>
      <c r="G7634">
        <f>IF(D7634="KEEP",COUNTIF($D$2:D7634,"KEEP"),"")</f>
        <v/>
      </c>
      <c r="H7634">
        <f>IF(D7634="REMOVE",COUNTIF($D$2:D7634,"REMOVE"),"")</f>
        <v/>
      </c>
      <c r="I7634">
        <f>IF(E7634="Gmail",COUNTIF($E$2:E7634,"Gmail"),"")</f>
        <v/>
      </c>
      <c r="J7634">
        <f>IF(E7634="Outlook",COUNTIF($E$2:E7634,"Outlook"),"")</f>
        <v/>
      </c>
      <c r="K7634">
        <f>IF(E7634="Domain",COUNTIF($E$2:E7634,"Domain"),"")</f>
        <v/>
      </c>
    </row>
    <row r="7635">
      <c r="A7635" s="2" t="n"/>
      <c r="B7635">
        <f>LOWER(TRIM(A7635))</f>
        <v/>
      </c>
      <c r="C7635">
        <f>IF(B7635="","",IFERROR(INDEX('Bad Patterns'!$A$2:$A$120,MATCH(1,INDEX(--ISNUMBER(SEARCH('Bad Patterns'!$A$2:$A$120,B7635)),0),0)),""))</f>
        <v/>
      </c>
      <c r="D7635">
        <f>IF(B7635="","",IF(C7635&lt;&gt;"","REMOVE","KEEP"))</f>
        <v/>
      </c>
      <c r="E7635">
        <f>IF(D7635&lt;&gt;"KEEP","",IF(RIGHT(B7635,10)="@gmail.com","Gmail",IF(OR(RIGHT(B7635,12)="@outlook.com",RIGHT(B7635,12)="@hotmail.com",RIGHT(B7635,9)="@live.com"),"Outlook","Domain")))</f>
        <v/>
      </c>
      <c r="F7635">
        <f>IF(B7635="","",IFERROR(RIGHT(B7635,LEN(B7635)-FIND("@",B7635)),""))</f>
        <v/>
      </c>
      <c r="G7635">
        <f>IF(D7635="KEEP",COUNTIF($D$2:D7635,"KEEP"),"")</f>
        <v/>
      </c>
      <c r="H7635">
        <f>IF(D7635="REMOVE",COUNTIF($D$2:D7635,"REMOVE"),"")</f>
        <v/>
      </c>
      <c r="I7635">
        <f>IF(E7635="Gmail",COUNTIF($E$2:E7635,"Gmail"),"")</f>
        <v/>
      </c>
      <c r="J7635">
        <f>IF(E7635="Outlook",COUNTIF($E$2:E7635,"Outlook"),"")</f>
        <v/>
      </c>
      <c r="K7635">
        <f>IF(E7635="Domain",COUNTIF($E$2:E7635,"Domain"),"")</f>
        <v/>
      </c>
    </row>
    <row r="7636">
      <c r="A7636" s="2" t="n"/>
      <c r="B7636">
        <f>LOWER(TRIM(A7636))</f>
        <v/>
      </c>
      <c r="C7636">
        <f>IF(B7636="","",IFERROR(INDEX('Bad Patterns'!$A$2:$A$120,MATCH(1,INDEX(--ISNUMBER(SEARCH('Bad Patterns'!$A$2:$A$120,B7636)),0),0)),""))</f>
        <v/>
      </c>
      <c r="D7636">
        <f>IF(B7636="","",IF(C7636&lt;&gt;"","REMOVE","KEEP"))</f>
        <v/>
      </c>
      <c r="E7636">
        <f>IF(D7636&lt;&gt;"KEEP","",IF(RIGHT(B7636,10)="@gmail.com","Gmail",IF(OR(RIGHT(B7636,12)="@outlook.com",RIGHT(B7636,12)="@hotmail.com",RIGHT(B7636,9)="@live.com"),"Outlook","Domain")))</f>
        <v/>
      </c>
      <c r="F7636">
        <f>IF(B7636="","",IFERROR(RIGHT(B7636,LEN(B7636)-FIND("@",B7636)),""))</f>
        <v/>
      </c>
      <c r="G7636">
        <f>IF(D7636="KEEP",COUNTIF($D$2:D7636,"KEEP"),"")</f>
        <v/>
      </c>
      <c r="H7636">
        <f>IF(D7636="REMOVE",COUNTIF($D$2:D7636,"REMOVE"),"")</f>
        <v/>
      </c>
      <c r="I7636">
        <f>IF(E7636="Gmail",COUNTIF($E$2:E7636,"Gmail"),"")</f>
        <v/>
      </c>
      <c r="J7636">
        <f>IF(E7636="Outlook",COUNTIF($E$2:E7636,"Outlook"),"")</f>
        <v/>
      </c>
      <c r="K7636">
        <f>IF(E7636="Domain",COUNTIF($E$2:E7636,"Domain"),"")</f>
        <v/>
      </c>
    </row>
    <row r="7637">
      <c r="A7637" s="2" t="n"/>
      <c r="B7637">
        <f>LOWER(TRIM(A7637))</f>
        <v/>
      </c>
      <c r="C7637">
        <f>IF(B7637="","",IFERROR(INDEX('Bad Patterns'!$A$2:$A$120,MATCH(1,INDEX(--ISNUMBER(SEARCH('Bad Patterns'!$A$2:$A$120,B7637)),0),0)),""))</f>
        <v/>
      </c>
      <c r="D7637">
        <f>IF(B7637="","",IF(C7637&lt;&gt;"","REMOVE","KEEP"))</f>
        <v/>
      </c>
      <c r="E7637">
        <f>IF(D7637&lt;&gt;"KEEP","",IF(RIGHT(B7637,10)="@gmail.com","Gmail",IF(OR(RIGHT(B7637,12)="@outlook.com",RIGHT(B7637,12)="@hotmail.com",RIGHT(B7637,9)="@live.com"),"Outlook","Domain")))</f>
        <v/>
      </c>
      <c r="F7637">
        <f>IF(B7637="","",IFERROR(RIGHT(B7637,LEN(B7637)-FIND("@",B7637)),""))</f>
        <v/>
      </c>
      <c r="G7637">
        <f>IF(D7637="KEEP",COUNTIF($D$2:D7637,"KEEP"),"")</f>
        <v/>
      </c>
      <c r="H7637">
        <f>IF(D7637="REMOVE",COUNTIF($D$2:D7637,"REMOVE"),"")</f>
        <v/>
      </c>
      <c r="I7637">
        <f>IF(E7637="Gmail",COUNTIF($E$2:E7637,"Gmail"),"")</f>
        <v/>
      </c>
      <c r="J7637">
        <f>IF(E7637="Outlook",COUNTIF($E$2:E7637,"Outlook"),"")</f>
        <v/>
      </c>
      <c r="K7637">
        <f>IF(E7637="Domain",COUNTIF($E$2:E7637,"Domain"),"")</f>
        <v/>
      </c>
    </row>
    <row r="7638">
      <c r="A7638" s="2" t="n"/>
      <c r="B7638">
        <f>LOWER(TRIM(A7638))</f>
        <v/>
      </c>
      <c r="C7638">
        <f>IF(B7638="","",IFERROR(INDEX('Bad Patterns'!$A$2:$A$120,MATCH(1,INDEX(--ISNUMBER(SEARCH('Bad Patterns'!$A$2:$A$120,B7638)),0),0)),""))</f>
        <v/>
      </c>
      <c r="D7638">
        <f>IF(B7638="","",IF(C7638&lt;&gt;"","REMOVE","KEEP"))</f>
        <v/>
      </c>
      <c r="E7638">
        <f>IF(D7638&lt;&gt;"KEEP","",IF(RIGHT(B7638,10)="@gmail.com","Gmail",IF(OR(RIGHT(B7638,12)="@outlook.com",RIGHT(B7638,12)="@hotmail.com",RIGHT(B7638,9)="@live.com"),"Outlook","Domain")))</f>
        <v/>
      </c>
      <c r="F7638">
        <f>IF(B7638="","",IFERROR(RIGHT(B7638,LEN(B7638)-FIND("@",B7638)),""))</f>
        <v/>
      </c>
      <c r="G7638">
        <f>IF(D7638="KEEP",COUNTIF($D$2:D7638,"KEEP"),"")</f>
        <v/>
      </c>
      <c r="H7638">
        <f>IF(D7638="REMOVE",COUNTIF($D$2:D7638,"REMOVE"),"")</f>
        <v/>
      </c>
      <c r="I7638">
        <f>IF(E7638="Gmail",COUNTIF($E$2:E7638,"Gmail"),"")</f>
        <v/>
      </c>
      <c r="J7638">
        <f>IF(E7638="Outlook",COUNTIF($E$2:E7638,"Outlook"),"")</f>
        <v/>
      </c>
      <c r="K7638">
        <f>IF(E7638="Domain",COUNTIF($E$2:E7638,"Domain"),"")</f>
        <v/>
      </c>
    </row>
    <row r="7639">
      <c r="A7639" s="2" t="n"/>
      <c r="B7639">
        <f>LOWER(TRIM(A7639))</f>
        <v/>
      </c>
      <c r="C7639">
        <f>IF(B7639="","",IFERROR(INDEX('Bad Patterns'!$A$2:$A$120,MATCH(1,INDEX(--ISNUMBER(SEARCH('Bad Patterns'!$A$2:$A$120,B7639)),0),0)),""))</f>
        <v/>
      </c>
      <c r="D7639">
        <f>IF(B7639="","",IF(C7639&lt;&gt;"","REMOVE","KEEP"))</f>
        <v/>
      </c>
      <c r="E7639">
        <f>IF(D7639&lt;&gt;"KEEP","",IF(RIGHT(B7639,10)="@gmail.com","Gmail",IF(OR(RIGHT(B7639,12)="@outlook.com",RIGHT(B7639,12)="@hotmail.com",RIGHT(B7639,9)="@live.com"),"Outlook","Domain")))</f>
        <v/>
      </c>
      <c r="F7639">
        <f>IF(B7639="","",IFERROR(RIGHT(B7639,LEN(B7639)-FIND("@",B7639)),""))</f>
        <v/>
      </c>
      <c r="G7639">
        <f>IF(D7639="KEEP",COUNTIF($D$2:D7639,"KEEP"),"")</f>
        <v/>
      </c>
      <c r="H7639">
        <f>IF(D7639="REMOVE",COUNTIF($D$2:D7639,"REMOVE"),"")</f>
        <v/>
      </c>
      <c r="I7639">
        <f>IF(E7639="Gmail",COUNTIF($E$2:E7639,"Gmail"),"")</f>
        <v/>
      </c>
      <c r="J7639">
        <f>IF(E7639="Outlook",COUNTIF($E$2:E7639,"Outlook"),"")</f>
        <v/>
      </c>
      <c r="K7639">
        <f>IF(E7639="Domain",COUNTIF($E$2:E7639,"Domain"),"")</f>
        <v/>
      </c>
    </row>
    <row r="7640">
      <c r="A7640" s="2" t="n"/>
      <c r="B7640">
        <f>LOWER(TRIM(A7640))</f>
        <v/>
      </c>
      <c r="C7640">
        <f>IF(B7640="","",IFERROR(INDEX('Bad Patterns'!$A$2:$A$120,MATCH(1,INDEX(--ISNUMBER(SEARCH('Bad Patterns'!$A$2:$A$120,B7640)),0),0)),""))</f>
        <v/>
      </c>
      <c r="D7640">
        <f>IF(B7640="","",IF(C7640&lt;&gt;"","REMOVE","KEEP"))</f>
        <v/>
      </c>
      <c r="E7640">
        <f>IF(D7640&lt;&gt;"KEEP","",IF(RIGHT(B7640,10)="@gmail.com","Gmail",IF(OR(RIGHT(B7640,12)="@outlook.com",RIGHT(B7640,12)="@hotmail.com",RIGHT(B7640,9)="@live.com"),"Outlook","Domain")))</f>
        <v/>
      </c>
      <c r="F7640">
        <f>IF(B7640="","",IFERROR(RIGHT(B7640,LEN(B7640)-FIND("@",B7640)),""))</f>
        <v/>
      </c>
      <c r="G7640">
        <f>IF(D7640="KEEP",COUNTIF($D$2:D7640,"KEEP"),"")</f>
        <v/>
      </c>
      <c r="H7640">
        <f>IF(D7640="REMOVE",COUNTIF($D$2:D7640,"REMOVE"),"")</f>
        <v/>
      </c>
      <c r="I7640">
        <f>IF(E7640="Gmail",COUNTIF($E$2:E7640,"Gmail"),"")</f>
        <v/>
      </c>
      <c r="J7640">
        <f>IF(E7640="Outlook",COUNTIF($E$2:E7640,"Outlook"),"")</f>
        <v/>
      </c>
      <c r="K7640">
        <f>IF(E7640="Domain",COUNTIF($E$2:E7640,"Domain"),"")</f>
        <v/>
      </c>
    </row>
    <row r="7641">
      <c r="A7641" s="2" t="n"/>
      <c r="B7641">
        <f>LOWER(TRIM(A7641))</f>
        <v/>
      </c>
      <c r="C7641">
        <f>IF(B7641="","",IFERROR(INDEX('Bad Patterns'!$A$2:$A$120,MATCH(1,INDEX(--ISNUMBER(SEARCH('Bad Patterns'!$A$2:$A$120,B7641)),0),0)),""))</f>
        <v/>
      </c>
      <c r="D7641">
        <f>IF(B7641="","",IF(C7641&lt;&gt;"","REMOVE","KEEP"))</f>
        <v/>
      </c>
      <c r="E7641">
        <f>IF(D7641&lt;&gt;"KEEP","",IF(RIGHT(B7641,10)="@gmail.com","Gmail",IF(OR(RIGHT(B7641,12)="@outlook.com",RIGHT(B7641,12)="@hotmail.com",RIGHT(B7641,9)="@live.com"),"Outlook","Domain")))</f>
        <v/>
      </c>
      <c r="F7641">
        <f>IF(B7641="","",IFERROR(RIGHT(B7641,LEN(B7641)-FIND("@",B7641)),""))</f>
        <v/>
      </c>
      <c r="G7641">
        <f>IF(D7641="KEEP",COUNTIF($D$2:D7641,"KEEP"),"")</f>
        <v/>
      </c>
      <c r="H7641">
        <f>IF(D7641="REMOVE",COUNTIF($D$2:D7641,"REMOVE"),"")</f>
        <v/>
      </c>
      <c r="I7641">
        <f>IF(E7641="Gmail",COUNTIF($E$2:E7641,"Gmail"),"")</f>
        <v/>
      </c>
      <c r="J7641">
        <f>IF(E7641="Outlook",COUNTIF($E$2:E7641,"Outlook"),"")</f>
        <v/>
      </c>
      <c r="K7641">
        <f>IF(E7641="Domain",COUNTIF($E$2:E7641,"Domain"),"")</f>
        <v/>
      </c>
    </row>
    <row r="7642">
      <c r="A7642" s="2" t="n"/>
      <c r="B7642">
        <f>LOWER(TRIM(A7642))</f>
        <v/>
      </c>
      <c r="C7642">
        <f>IF(B7642="","",IFERROR(INDEX('Bad Patterns'!$A$2:$A$120,MATCH(1,INDEX(--ISNUMBER(SEARCH('Bad Patterns'!$A$2:$A$120,B7642)),0),0)),""))</f>
        <v/>
      </c>
      <c r="D7642">
        <f>IF(B7642="","",IF(C7642&lt;&gt;"","REMOVE","KEEP"))</f>
        <v/>
      </c>
      <c r="E7642">
        <f>IF(D7642&lt;&gt;"KEEP","",IF(RIGHT(B7642,10)="@gmail.com","Gmail",IF(OR(RIGHT(B7642,12)="@outlook.com",RIGHT(B7642,12)="@hotmail.com",RIGHT(B7642,9)="@live.com"),"Outlook","Domain")))</f>
        <v/>
      </c>
      <c r="F7642">
        <f>IF(B7642="","",IFERROR(RIGHT(B7642,LEN(B7642)-FIND("@",B7642)),""))</f>
        <v/>
      </c>
      <c r="G7642">
        <f>IF(D7642="KEEP",COUNTIF($D$2:D7642,"KEEP"),"")</f>
        <v/>
      </c>
      <c r="H7642">
        <f>IF(D7642="REMOVE",COUNTIF($D$2:D7642,"REMOVE"),"")</f>
        <v/>
      </c>
      <c r="I7642">
        <f>IF(E7642="Gmail",COUNTIF($E$2:E7642,"Gmail"),"")</f>
        <v/>
      </c>
      <c r="J7642">
        <f>IF(E7642="Outlook",COUNTIF($E$2:E7642,"Outlook"),"")</f>
        <v/>
      </c>
      <c r="K7642">
        <f>IF(E7642="Domain",COUNTIF($E$2:E7642,"Domain"),"")</f>
        <v/>
      </c>
    </row>
    <row r="7643">
      <c r="A7643" s="2" t="n"/>
      <c r="B7643">
        <f>LOWER(TRIM(A7643))</f>
        <v/>
      </c>
      <c r="C7643">
        <f>IF(B7643="","",IFERROR(INDEX('Bad Patterns'!$A$2:$A$120,MATCH(1,INDEX(--ISNUMBER(SEARCH('Bad Patterns'!$A$2:$A$120,B7643)),0),0)),""))</f>
        <v/>
      </c>
      <c r="D7643">
        <f>IF(B7643="","",IF(C7643&lt;&gt;"","REMOVE","KEEP"))</f>
        <v/>
      </c>
      <c r="E7643">
        <f>IF(D7643&lt;&gt;"KEEP","",IF(RIGHT(B7643,10)="@gmail.com","Gmail",IF(OR(RIGHT(B7643,12)="@outlook.com",RIGHT(B7643,12)="@hotmail.com",RIGHT(B7643,9)="@live.com"),"Outlook","Domain")))</f>
        <v/>
      </c>
      <c r="F7643">
        <f>IF(B7643="","",IFERROR(RIGHT(B7643,LEN(B7643)-FIND("@",B7643)),""))</f>
        <v/>
      </c>
      <c r="G7643">
        <f>IF(D7643="KEEP",COUNTIF($D$2:D7643,"KEEP"),"")</f>
        <v/>
      </c>
      <c r="H7643">
        <f>IF(D7643="REMOVE",COUNTIF($D$2:D7643,"REMOVE"),"")</f>
        <v/>
      </c>
      <c r="I7643">
        <f>IF(E7643="Gmail",COUNTIF($E$2:E7643,"Gmail"),"")</f>
        <v/>
      </c>
      <c r="J7643">
        <f>IF(E7643="Outlook",COUNTIF($E$2:E7643,"Outlook"),"")</f>
        <v/>
      </c>
      <c r="K7643">
        <f>IF(E7643="Domain",COUNTIF($E$2:E7643,"Domain"),"")</f>
        <v/>
      </c>
    </row>
    <row r="7644">
      <c r="A7644" s="2" t="n"/>
      <c r="B7644">
        <f>LOWER(TRIM(A7644))</f>
        <v/>
      </c>
      <c r="C7644">
        <f>IF(B7644="","",IFERROR(INDEX('Bad Patterns'!$A$2:$A$120,MATCH(1,INDEX(--ISNUMBER(SEARCH('Bad Patterns'!$A$2:$A$120,B7644)),0),0)),""))</f>
        <v/>
      </c>
      <c r="D7644">
        <f>IF(B7644="","",IF(C7644&lt;&gt;"","REMOVE","KEEP"))</f>
        <v/>
      </c>
      <c r="E7644">
        <f>IF(D7644&lt;&gt;"KEEP","",IF(RIGHT(B7644,10)="@gmail.com","Gmail",IF(OR(RIGHT(B7644,12)="@outlook.com",RIGHT(B7644,12)="@hotmail.com",RIGHT(B7644,9)="@live.com"),"Outlook","Domain")))</f>
        <v/>
      </c>
      <c r="F7644">
        <f>IF(B7644="","",IFERROR(RIGHT(B7644,LEN(B7644)-FIND("@",B7644)),""))</f>
        <v/>
      </c>
      <c r="G7644">
        <f>IF(D7644="KEEP",COUNTIF($D$2:D7644,"KEEP"),"")</f>
        <v/>
      </c>
      <c r="H7644">
        <f>IF(D7644="REMOVE",COUNTIF($D$2:D7644,"REMOVE"),"")</f>
        <v/>
      </c>
      <c r="I7644">
        <f>IF(E7644="Gmail",COUNTIF($E$2:E7644,"Gmail"),"")</f>
        <v/>
      </c>
      <c r="J7644">
        <f>IF(E7644="Outlook",COUNTIF($E$2:E7644,"Outlook"),"")</f>
        <v/>
      </c>
      <c r="K7644">
        <f>IF(E7644="Domain",COUNTIF($E$2:E7644,"Domain"),"")</f>
        <v/>
      </c>
    </row>
    <row r="7645">
      <c r="A7645" s="2" t="n"/>
      <c r="B7645">
        <f>LOWER(TRIM(A7645))</f>
        <v/>
      </c>
      <c r="C7645">
        <f>IF(B7645="","",IFERROR(INDEX('Bad Patterns'!$A$2:$A$120,MATCH(1,INDEX(--ISNUMBER(SEARCH('Bad Patterns'!$A$2:$A$120,B7645)),0),0)),""))</f>
        <v/>
      </c>
      <c r="D7645">
        <f>IF(B7645="","",IF(C7645&lt;&gt;"","REMOVE","KEEP"))</f>
        <v/>
      </c>
      <c r="E7645">
        <f>IF(D7645&lt;&gt;"KEEP","",IF(RIGHT(B7645,10)="@gmail.com","Gmail",IF(OR(RIGHT(B7645,12)="@outlook.com",RIGHT(B7645,12)="@hotmail.com",RIGHT(B7645,9)="@live.com"),"Outlook","Domain")))</f>
        <v/>
      </c>
      <c r="F7645">
        <f>IF(B7645="","",IFERROR(RIGHT(B7645,LEN(B7645)-FIND("@",B7645)),""))</f>
        <v/>
      </c>
      <c r="G7645">
        <f>IF(D7645="KEEP",COUNTIF($D$2:D7645,"KEEP"),"")</f>
        <v/>
      </c>
      <c r="H7645">
        <f>IF(D7645="REMOVE",COUNTIF($D$2:D7645,"REMOVE"),"")</f>
        <v/>
      </c>
      <c r="I7645">
        <f>IF(E7645="Gmail",COUNTIF($E$2:E7645,"Gmail"),"")</f>
        <v/>
      </c>
      <c r="J7645">
        <f>IF(E7645="Outlook",COUNTIF($E$2:E7645,"Outlook"),"")</f>
        <v/>
      </c>
      <c r="K7645">
        <f>IF(E7645="Domain",COUNTIF($E$2:E7645,"Domain"),"")</f>
        <v/>
      </c>
    </row>
    <row r="7646">
      <c r="A7646" s="2" t="n"/>
      <c r="B7646">
        <f>LOWER(TRIM(A7646))</f>
        <v/>
      </c>
      <c r="C7646">
        <f>IF(B7646="","",IFERROR(INDEX('Bad Patterns'!$A$2:$A$120,MATCH(1,INDEX(--ISNUMBER(SEARCH('Bad Patterns'!$A$2:$A$120,B7646)),0),0)),""))</f>
        <v/>
      </c>
      <c r="D7646">
        <f>IF(B7646="","",IF(C7646&lt;&gt;"","REMOVE","KEEP"))</f>
        <v/>
      </c>
      <c r="E7646">
        <f>IF(D7646&lt;&gt;"KEEP","",IF(RIGHT(B7646,10)="@gmail.com","Gmail",IF(OR(RIGHT(B7646,12)="@outlook.com",RIGHT(B7646,12)="@hotmail.com",RIGHT(B7646,9)="@live.com"),"Outlook","Domain")))</f>
        <v/>
      </c>
      <c r="F7646">
        <f>IF(B7646="","",IFERROR(RIGHT(B7646,LEN(B7646)-FIND("@",B7646)),""))</f>
        <v/>
      </c>
      <c r="G7646">
        <f>IF(D7646="KEEP",COUNTIF($D$2:D7646,"KEEP"),"")</f>
        <v/>
      </c>
      <c r="H7646">
        <f>IF(D7646="REMOVE",COUNTIF($D$2:D7646,"REMOVE"),"")</f>
        <v/>
      </c>
      <c r="I7646">
        <f>IF(E7646="Gmail",COUNTIF($E$2:E7646,"Gmail"),"")</f>
        <v/>
      </c>
      <c r="J7646">
        <f>IF(E7646="Outlook",COUNTIF($E$2:E7646,"Outlook"),"")</f>
        <v/>
      </c>
      <c r="K7646">
        <f>IF(E7646="Domain",COUNTIF($E$2:E7646,"Domain"),"")</f>
        <v/>
      </c>
    </row>
    <row r="7647">
      <c r="A7647" s="2" t="n"/>
      <c r="B7647">
        <f>LOWER(TRIM(A7647))</f>
        <v/>
      </c>
      <c r="C7647">
        <f>IF(B7647="","",IFERROR(INDEX('Bad Patterns'!$A$2:$A$120,MATCH(1,INDEX(--ISNUMBER(SEARCH('Bad Patterns'!$A$2:$A$120,B7647)),0),0)),""))</f>
        <v/>
      </c>
      <c r="D7647">
        <f>IF(B7647="","",IF(C7647&lt;&gt;"","REMOVE","KEEP"))</f>
        <v/>
      </c>
      <c r="E7647">
        <f>IF(D7647&lt;&gt;"KEEP","",IF(RIGHT(B7647,10)="@gmail.com","Gmail",IF(OR(RIGHT(B7647,12)="@outlook.com",RIGHT(B7647,12)="@hotmail.com",RIGHT(B7647,9)="@live.com"),"Outlook","Domain")))</f>
        <v/>
      </c>
      <c r="F7647">
        <f>IF(B7647="","",IFERROR(RIGHT(B7647,LEN(B7647)-FIND("@",B7647)),""))</f>
        <v/>
      </c>
      <c r="G7647">
        <f>IF(D7647="KEEP",COUNTIF($D$2:D7647,"KEEP"),"")</f>
        <v/>
      </c>
      <c r="H7647">
        <f>IF(D7647="REMOVE",COUNTIF($D$2:D7647,"REMOVE"),"")</f>
        <v/>
      </c>
      <c r="I7647">
        <f>IF(E7647="Gmail",COUNTIF($E$2:E7647,"Gmail"),"")</f>
        <v/>
      </c>
      <c r="J7647">
        <f>IF(E7647="Outlook",COUNTIF($E$2:E7647,"Outlook"),"")</f>
        <v/>
      </c>
      <c r="K7647">
        <f>IF(E7647="Domain",COUNTIF($E$2:E7647,"Domain"),"")</f>
        <v/>
      </c>
    </row>
    <row r="7648">
      <c r="A7648" s="2" t="n"/>
      <c r="B7648">
        <f>LOWER(TRIM(A7648))</f>
        <v/>
      </c>
      <c r="C7648">
        <f>IF(B7648="","",IFERROR(INDEX('Bad Patterns'!$A$2:$A$120,MATCH(1,INDEX(--ISNUMBER(SEARCH('Bad Patterns'!$A$2:$A$120,B7648)),0),0)),""))</f>
        <v/>
      </c>
      <c r="D7648">
        <f>IF(B7648="","",IF(C7648&lt;&gt;"","REMOVE","KEEP"))</f>
        <v/>
      </c>
      <c r="E7648">
        <f>IF(D7648&lt;&gt;"KEEP","",IF(RIGHT(B7648,10)="@gmail.com","Gmail",IF(OR(RIGHT(B7648,12)="@outlook.com",RIGHT(B7648,12)="@hotmail.com",RIGHT(B7648,9)="@live.com"),"Outlook","Domain")))</f>
        <v/>
      </c>
      <c r="F7648">
        <f>IF(B7648="","",IFERROR(RIGHT(B7648,LEN(B7648)-FIND("@",B7648)),""))</f>
        <v/>
      </c>
      <c r="G7648">
        <f>IF(D7648="KEEP",COUNTIF($D$2:D7648,"KEEP"),"")</f>
        <v/>
      </c>
      <c r="H7648">
        <f>IF(D7648="REMOVE",COUNTIF($D$2:D7648,"REMOVE"),"")</f>
        <v/>
      </c>
      <c r="I7648">
        <f>IF(E7648="Gmail",COUNTIF($E$2:E7648,"Gmail"),"")</f>
        <v/>
      </c>
      <c r="J7648">
        <f>IF(E7648="Outlook",COUNTIF($E$2:E7648,"Outlook"),"")</f>
        <v/>
      </c>
      <c r="K7648">
        <f>IF(E7648="Domain",COUNTIF($E$2:E7648,"Domain"),"")</f>
        <v/>
      </c>
    </row>
    <row r="7649">
      <c r="A7649" s="2" t="n"/>
      <c r="B7649">
        <f>LOWER(TRIM(A7649))</f>
        <v/>
      </c>
      <c r="C7649">
        <f>IF(B7649="","",IFERROR(INDEX('Bad Patterns'!$A$2:$A$120,MATCH(1,INDEX(--ISNUMBER(SEARCH('Bad Patterns'!$A$2:$A$120,B7649)),0),0)),""))</f>
        <v/>
      </c>
      <c r="D7649">
        <f>IF(B7649="","",IF(C7649&lt;&gt;"","REMOVE","KEEP"))</f>
        <v/>
      </c>
      <c r="E7649">
        <f>IF(D7649&lt;&gt;"KEEP","",IF(RIGHT(B7649,10)="@gmail.com","Gmail",IF(OR(RIGHT(B7649,12)="@outlook.com",RIGHT(B7649,12)="@hotmail.com",RIGHT(B7649,9)="@live.com"),"Outlook","Domain")))</f>
        <v/>
      </c>
      <c r="F7649">
        <f>IF(B7649="","",IFERROR(RIGHT(B7649,LEN(B7649)-FIND("@",B7649)),""))</f>
        <v/>
      </c>
      <c r="G7649">
        <f>IF(D7649="KEEP",COUNTIF($D$2:D7649,"KEEP"),"")</f>
        <v/>
      </c>
      <c r="H7649">
        <f>IF(D7649="REMOVE",COUNTIF($D$2:D7649,"REMOVE"),"")</f>
        <v/>
      </c>
      <c r="I7649">
        <f>IF(E7649="Gmail",COUNTIF($E$2:E7649,"Gmail"),"")</f>
        <v/>
      </c>
      <c r="J7649">
        <f>IF(E7649="Outlook",COUNTIF($E$2:E7649,"Outlook"),"")</f>
        <v/>
      </c>
      <c r="K7649">
        <f>IF(E7649="Domain",COUNTIF($E$2:E7649,"Domain"),"")</f>
        <v/>
      </c>
    </row>
    <row r="7650">
      <c r="A7650" s="2" t="n"/>
      <c r="B7650">
        <f>LOWER(TRIM(A7650))</f>
        <v/>
      </c>
      <c r="C7650">
        <f>IF(B7650="","",IFERROR(INDEX('Bad Patterns'!$A$2:$A$120,MATCH(1,INDEX(--ISNUMBER(SEARCH('Bad Patterns'!$A$2:$A$120,B7650)),0),0)),""))</f>
        <v/>
      </c>
      <c r="D7650">
        <f>IF(B7650="","",IF(C7650&lt;&gt;"","REMOVE","KEEP"))</f>
        <v/>
      </c>
      <c r="E7650">
        <f>IF(D7650&lt;&gt;"KEEP","",IF(RIGHT(B7650,10)="@gmail.com","Gmail",IF(OR(RIGHT(B7650,12)="@outlook.com",RIGHT(B7650,12)="@hotmail.com",RIGHT(B7650,9)="@live.com"),"Outlook","Domain")))</f>
        <v/>
      </c>
      <c r="F7650">
        <f>IF(B7650="","",IFERROR(RIGHT(B7650,LEN(B7650)-FIND("@",B7650)),""))</f>
        <v/>
      </c>
      <c r="G7650">
        <f>IF(D7650="KEEP",COUNTIF($D$2:D7650,"KEEP"),"")</f>
        <v/>
      </c>
      <c r="H7650">
        <f>IF(D7650="REMOVE",COUNTIF($D$2:D7650,"REMOVE"),"")</f>
        <v/>
      </c>
      <c r="I7650">
        <f>IF(E7650="Gmail",COUNTIF($E$2:E7650,"Gmail"),"")</f>
        <v/>
      </c>
      <c r="J7650">
        <f>IF(E7650="Outlook",COUNTIF($E$2:E7650,"Outlook"),"")</f>
        <v/>
      </c>
      <c r="K7650">
        <f>IF(E7650="Domain",COUNTIF($E$2:E7650,"Domain"),"")</f>
        <v/>
      </c>
    </row>
    <row r="7651">
      <c r="A7651" s="2" t="n"/>
      <c r="B7651">
        <f>LOWER(TRIM(A7651))</f>
        <v/>
      </c>
      <c r="C7651">
        <f>IF(B7651="","",IFERROR(INDEX('Bad Patterns'!$A$2:$A$120,MATCH(1,INDEX(--ISNUMBER(SEARCH('Bad Patterns'!$A$2:$A$120,B7651)),0),0)),""))</f>
        <v/>
      </c>
      <c r="D7651">
        <f>IF(B7651="","",IF(C7651&lt;&gt;"","REMOVE","KEEP"))</f>
        <v/>
      </c>
      <c r="E7651">
        <f>IF(D7651&lt;&gt;"KEEP","",IF(RIGHT(B7651,10)="@gmail.com","Gmail",IF(OR(RIGHT(B7651,12)="@outlook.com",RIGHT(B7651,12)="@hotmail.com",RIGHT(B7651,9)="@live.com"),"Outlook","Domain")))</f>
        <v/>
      </c>
      <c r="F7651">
        <f>IF(B7651="","",IFERROR(RIGHT(B7651,LEN(B7651)-FIND("@",B7651)),""))</f>
        <v/>
      </c>
      <c r="G7651">
        <f>IF(D7651="KEEP",COUNTIF($D$2:D7651,"KEEP"),"")</f>
        <v/>
      </c>
      <c r="H7651">
        <f>IF(D7651="REMOVE",COUNTIF($D$2:D7651,"REMOVE"),"")</f>
        <v/>
      </c>
      <c r="I7651">
        <f>IF(E7651="Gmail",COUNTIF($E$2:E7651,"Gmail"),"")</f>
        <v/>
      </c>
      <c r="J7651">
        <f>IF(E7651="Outlook",COUNTIF($E$2:E7651,"Outlook"),"")</f>
        <v/>
      </c>
      <c r="K7651">
        <f>IF(E7651="Domain",COUNTIF($E$2:E7651,"Domain"),"")</f>
        <v/>
      </c>
    </row>
    <row r="7652">
      <c r="A7652" s="2" t="n"/>
      <c r="B7652">
        <f>LOWER(TRIM(A7652))</f>
        <v/>
      </c>
      <c r="C7652">
        <f>IF(B7652="","",IFERROR(INDEX('Bad Patterns'!$A$2:$A$120,MATCH(1,INDEX(--ISNUMBER(SEARCH('Bad Patterns'!$A$2:$A$120,B7652)),0),0)),""))</f>
        <v/>
      </c>
      <c r="D7652">
        <f>IF(B7652="","",IF(C7652&lt;&gt;"","REMOVE","KEEP"))</f>
        <v/>
      </c>
      <c r="E7652">
        <f>IF(D7652&lt;&gt;"KEEP","",IF(RIGHT(B7652,10)="@gmail.com","Gmail",IF(OR(RIGHT(B7652,12)="@outlook.com",RIGHT(B7652,12)="@hotmail.com",RIGHT(B7652,9)="@live.com"),"Outlook","Domain")))</f>
        <v/>
      </c>
      <c r="F7652">
        <f>IF(B7652="","",IFERROR(RIGHT(B7652,LEN(B7652)-FIND("@",B7652)),""))</f>
        <v/>
      </c>
      <c r="G7652">
        <f>IF(D7652="KEEP",COUNTIF($D$2:D7652,"KEEP"),"")</f>
        <v/>
      </c>
      <c r="H7652">
        <f>IF(D7652="REMOVE",COUNTIF($D$2:D7652,"REMOVE"),"")</f>
        <v/>
      </c>
      <c r="I7652">
        <f>IF(E7652="Gmail",COUNTIF($E$2:E7652,"Gmail"),"")</f>
        <v/>
      </c>
      <c r="J7652">
        <f>IF(E7652="Outlook",COUNTIF($E$2:E7652,"Outlook"),"")</f>
        <v/>
      </c>
      <c r="K7652">
        <f>IF(E7652="Domain",COUNTIF($E$2:E7652,"Domain"),"")</f>
        <v/>
      </c>
    </row>
    <row r="7653">
      <c r="A7653" s="2" t="n"/>
      <c r="B7653">
        <f>LOWER(TRIM(A7653))</f>
        <v/>
      </c>
      <c r="C7653">
        <f>IF(B7653="","",IFERROR(INDEX('Bad Patterns'!$A$2:$A$120,MATCH(1,INDEX(--ISNUMBER(SEARCH('Bad Patterns'!$A$2:$A$120,B7653)),0),0)),""))</f>
        <v/>
      </c>
      <c r="D7653">
        <f>IF(B7653="","",IF(C7653&lt;&gt;"","REMOVE","KEEP"))</f>
        <v/>
      </c>
      <c r="E7653">
        <f>IF(D7653&lt;&gt;"KEEP","",IF(RIGHT(B7653,10)="@gmail.com","Gmail",IF(OR(RIGHT(B7653,12)="@outlook.com",RIGHT(B7653,12)="@hotmail.com",RIGHT(B7653,9)="@live.com"),"Outlook","Domain")))</f>
        <v/>
      </c>
      <c r="F7653">
        <f>IF(B7653="","",IFERROR(RIGHT(B7653,LEN(B7653)-FIND("@",B7653)),""))</f>
        <v/>
      </c>
      <c r="G7653">
        <f>IF(D7653="KEEP",COUNTIF($D$2:D7653,"KEEP"),"")</f>
        <v/>
      </c>
      <c r="H7653">
        <f>IF(D7653="REMOVE",COUNTIF($D$2:D7653,"REMOVE"),"")</f>
        <v/>
      </c>
      <c r="I7653">
        <f>IF(E7653="Gmail",COUNTIF($E$2:E7653,"Gmail"),"")</f>
        <v/>
      </c>
      <c r="J7653">
        <f>IF(E7653="Outlook",COUNTIF($E$2:E7653,"Outlook"),"")</f>
        <v/>
      </c>
      <c r="K7653">
        <f>IF(E7653="Domain",COUNTIF($E$2:E7653,"Domain"),"")</f>
        <v/>
      </c>
    </row>
    <row r="7654">
      <c r="A7654" s="2" t="n"/>
      <c r="B7654">
        <f>LOWER(TRIM(A7654))</f>
        <v/>
      </c>
      <c r="C7654">
        <f>IF(B7654="","",IFERROR(INDEX('Bad Patterns'!$A$2:$A$120,MATCH(1,INDEX(--ISNUMBER(SEARCH('Bad Patterns'!$A$2:$A$120,B7654)),0),0)),""))</f>
        <v/>
      </c>
      <c r="D7654">
        <f>IF(B7654="","",IF(C7654&lt;&gt;"","REMOVE","KEEP"))</f>
        <v/>
      </c>
      <c r="E7654">
        <f>IF(D7654&lt;&gt;"KEEP","",IF(RIGHT(B7654,10)="@gmail.com","Gmail",IF(OR(RIGHT(B7654,12)="@outlook.com",RIGHT(B7654,12)="@hotmail.com",RIGHT(B7654,9)="@live.com"),"Outlook","Domain")))</f>
        <v/>
      </c>
      <c r="F7654">
        <f>IF(B7654="","",IFERROR(RIGHT(B7654,LEN(B7654)-FIND("@",B7654)),""))</f>
        <v/>
      </c>
      <c r="G7654">
        <f>IF(D7654="KEEP",COUNTIF($D$2:D7654,"KEEP"),"")</f>
        <v/>
      </c>
      <c r="H7654">
        <f>IF(D7654="REMOVE",COUNTIF($D$2:D7654,"REMOVE"),"")</f>
        <v/>
      </c>
      <c r="I7654">
        <f>IF(E7654="Gmail",COUNTIF($E$2:E7654,"Gmail"),"")</f>
        <v/>
      </c>
      <c r="J7654">
        <f>IF(E7654="Outlook",COUNTIF($E$2:E7654,"Outlook"),"")</f>
        <v/>
      </c>
      <c r="K7654">
        <f>IF(E7654="Domain",COUNTIF($E$2:E7654,"Domain"),"")</f>
        <v/>
      </c>
    </row>
    <row r="7655">
      <c r="A7655" s="2" t="n"/>
      <c r="B7655">
        <f>LOWER(TRIM(A7655))</f>
        <v/>
      </c>
      <c r="C7655">
        <f>IF(B7655="","",IFERROR(INDEX('Bad Patterns'!$A$2:$A$120,MATCH(1,INDEX(--ISNUMBER(SEARCH('Bad Patterns'!$A$2:$A$120,B7655)),0),0)),""))</f>
        <v/>
      </c>
      <c r="D7655">
        <f>IF(B7655="","",IF(C7655&lt;&gt;"","REMOVE","KEEP"))</f>
        <v/>
      </c>
      <c r="E7655">
        <f>IF(D7655&lt;&gt;"KEEP","",IF(RIGHT(B7655,10)="@gmail.com","Gmail",IF(OR(RIGHT(B7655,12)="@outlook.com",RIGHT(B7655,12)="@hotmail.com",RIGHT(B7655,9)="@live.com"),"Outlook","Domain")))</f>
        <v/>
      </c>
      <c r="F7655">
        <f>IF(B7655="","",IFERROR(RIGHT(B7655,LEN(B7655)-FIND("@",B7655)),""))</f>
        <v/>
      </c>
      <c r="G7655">
        <f>IF(D7655="KEEP",COUNTIF($D$2:D7655,"KEEP"),"")</f>
        <v/>
      </c>
      <c r="H7655">
        <f>IF(D7655="REMOVE",COUNTIF($D$2:D7655,"REMOVE"),"")</f>
        <v/>
      </c>
      <c r="I7655">
        <f>IF(E7655="Gmail",COUNTIF($E$2:E7655,"Gmail"),"")</f>
        <v/>
      </c>
      <c r="J7655">
        <f>IF(E7655="Outlook",COUNTIF($E$2:E7655,"Outlook"),"")</f>
        <v/>
      </c>
      <c r="K7655">
        <f>IF(E7655="Domain",COUNTIF($E$2:E7655,"Domain"),"")</f>
        <v/>
      </c>
    </row>
    <row r="7656">
      <c r="A7656" s="2" t="n"/>
      <c r="B7656">
        <f>LOWER(TRIM(A7656))</f>
        <v/>
      </c>
      <c r="C7656">
        <f>IF(B7656="","",IFERROR(INDEX('Bad Patterns'!$A$2:$A$120,MATCH(1,INDEX(--ISNUMBER(SEARCH('Bad Patterns'!$A$2:$A$120,B7656)),0),0)),""))</f>
        <v/>
      </c>
      <c r="D7656">
        <f>IF(B7656="","",IF(C7656&lt;&gt;"","REMOVE","KEEP"))</f>
        <v/>
      </c>
      <c r="E7656">
        <f>IF(D7656&lt;&gt;"KEEP","",IF(RIGHT(B7656,10)="@gmail.com","Gmail",IF(OR(RIGHT(B7656,12)="@outlook.com",RIGHT(B7656,12)="@hotmail.com",RIGHT(B7656,9)="@live.com"),"Outlook","Domain")))</f>
        <v/>
      </c>
      <c r="F7656">
        <f>IF(B7656="","",IFERROR(RIGHT(B7656,LEN(B7656)-FIND("@",B7656)),""))</f>
        <v/>
      </c>
      <c r="G7656">
        <f>IF(D7656="KEEP",COUNTIF($D$2:D7656,"KEEP"),"")</f>
        <v/>
      </c>
      <c r="H7656">
        <f>IF(D7656="REMOVE",COUNTIF($D$2:D7656,"REMOVE"),"")</f>
        <v/>
      </c>
      <c r="I7656">
        <f>IF(E7656="Gmail",COUNTIF($E$2:E7656,"Gmail"),"")</f>
        <v/>
      </c>
      <c r="J7656">
        <f>IF(E7656="Outlook",COUNTIF($E$2:E7656,"Outlook"),"")</f>
        <v/>
      </c>
      <c r="K7656">
        <f>IF(E7656="Domain",COUNTIF($E$2:E7656,"Domain"),"")</f>
        <v/>
      </c>
    </row>
    <row r="7657">
      <c r="A7657" s="2" t="n"/>
      <c r="B7657">
        <f>LOWER(TRIM(A7657))</f>
        <v/>
      </c>
      <c r="C7657">
        <f>IF(B7657="","",IFERROR(INDEX('Bad Patterns'!$A$2:$A$120,MATCH(1,INDEX(--ISNUMBER(SEARCH('Bad Patterns'!$A$2:$A$120,B7657)),0),0)),""))</f>
        <v/>
      </c>
      <c r="D7657">
        <f>IF(B7657="","",IF(C7657&lt;&gt;"","REMOVE","KEEP"))</f>
        <v/>
      </c>
      <c r="E7657">
        <f>IF(D7657&lt;&gt;"KEEP","",IF(RIGHT(B7657,10)="@gmail.com","Gmail",IF(OR(RIGHT(B7657,12)="@outlook.com",RIGHT(B7657,12)="@hotmail.com",RIGHT(B7657,9)="@live.com"),"Outlook","Domain")))</f>
        <v/>
      </c>
      <c r="F7657">
        <f>IF(B7657="","",IFERROR(RIGHT(B7657,LEN(B7657)-FIND("@",B7657)),""))</f>
        <v/>
      </c>
      <c r="G7657">
        <f>IF(D7657="KEEP",COUNTIF($D$2:D7657,"KEEP"),"")</f>
        <v/>
      </c>
      <c r="H7657">
        <f>IF(D7657="REMOVE",COUNTIF($D$2:D7657,"REMOVE"),"")</f>
        <v/>
      </c>
      <c r="I7657">
        <f>IF(E7657="Gmail",COUNTIF($E$2:E7657,"Gmail"),"")</f>
        <v/>
      </c>
      <c r="J7657">
        <f>IF(E7657="Outlook",COUNTIF($E$2:E7657,"Outlook"),"")</f>
        <v/>
      </c>
      <c r="K7657">
        <f>IF(E7657="Domain",COUNTIF($E$2:E7657,"Domain"),"")</f>
        <v/>
      </c>
    </row>
    <row r="7658">
      <c r="A7658" s="2" t="n"/>
      <c r="B7658">
        <f>LOWER(TRIM(A7658))</f>
        <v/>
      </c>
      <c r="C7658">
        <f>IF(B7658="","",IFERROR(INDEX('Bad Patterns'!$A$2:$A$120,MATCH(1,INDEX(--ISNUMBER(SEARCH('Bad Patterns'!$A$2:$A$120,B7658)),0),0)),""))</f>
        <v/>
      </c>
      <c r="D7658">
        <f>IF(B7658="","",IF(C7658&lt;&gt;"","REMOVE","KEEP"))</f>
        <v/>
      </c>
      <c r="E7658">
        <f>IF(D7658&lt;&gt;"KEEP","",IF(RIGHT(B7658,10)="@gmail.com","Gmail",IF(OR(RIGHT(B7658,12)="@outlook.com",RIGHT(B7658,12)="@hotmail.com",RIGHT(B7658,9)="@live.com"),"Outlook","Domain")))</f>
        <v/>
      </c>
      <c r="F7658">
        <f>IF(B7658="","",IFERROR(RIGHT(B7658,LEN(B7658)-FIND("@",B7658)),""))</f>
        <v/>
      </c>
      <c r="G7658">
        <f>IF(D7658="KEEP",COUNTIF($D$2:D7658,"KEEP"),"")</f>
        <v/>
      </c>
      <c r="H7658">
        <f>IF(D7658="REMOVE",COUNTIF($D$2:D7658,"REMOVE"),"")</f>
        <v/>
      </c>
      <c r="I7658">
        <f>IF(E7658="Gmail",COUNTIF($E$2:E7658,"Gmail"),"")</f>
        <v/>
      </c>
      <c r="J7658">
        <f>IF(E7658="Outlook",COUNTIF($E$2:E7658,"Outlook"),"")</f>
        <v/>
      </c>
      <c r="K7658">
        <f>IF(E7658="Domain",COUNTIF($E$2:E7658,"Domain"),"")</f>
        <v/>
      </c>
    </row>
    <row r="7659">
      <c r="A7659" s="2" t="n"/>
      <c r="B7659">
        <f>LOWER(TRIM(A7659))</f>
        <v/>
      </c>
      <c r="C7659">
        <f>IF(B7659="","",IFERROR(INDEX('Bad Patterns'!$A$2:$A$120,MATCH(1,INDEX(--ISNUMBER(SEARCH('Bad Patterns'!$A$2:$A$120,B7659)),0),0)),""))</f>
        <v/>
      </c>
      <c r="D7659">
        <f>IF(B7659="","",IF(C7659&lt;&gt;"","REMOVE","KEEP"))</f>
        <v/>
      </c>
      <c r="E7659">
        <f>IF(D7659&lt;&gt;"KEEP","",IF(RIGHT(B7659,10)="@gmail.com","Gmail",IF(OR(RIGHT(B7659,12)="@outlook.com",RIGHT(B7659,12)="@hotmail.com",RIGHT(B7659,9)="@live.com"),"Outlook","Domain")))</f>
        <v/>
      </c>
      <c r="F7659">
        <f>IF(B7659="","",IFERROR(RIGHT(B7659,LEN(B7659)-FIND("@",B7659)),""))</f>
        <v/>
      </c>
      <c r="G7659">
        <f>IF(D7659="KEEP",COUNTIF($D$2:D7659,"KEEP"),"")</f>
        <v/>
      </c>
      <c r="H7659">
        <f>IF(D7659="REMOVE",COUNTIF($D$2:D7659,"REMOVE"),"")</f>
        <v/>
      </c>
      <c r="I7659">
        <f>IF(E7659="Gmail",COUNTIF($E$2:E7659,"Gmail"),"")</f>
        <v/>
      </c>
      <c r="J7659">
        <f>IF(E7659="Outlook",COUNTIF($E$2:E7659,"Outlook"),"")</f>
        <v/>
      </c>
      <c r="K7659">
        <f>IF(E7659="Domain",COUNTIF($E$2:E7659,"Domain"),"")</f>
        <v/>
      </c>
    </row>
    <row r="7660">
      <c r="A7660" s="2" t="n"/>
      <c r="B7660">
        <f>LOWER(TRIM(A7660))</f>
        <v/>
      </c>
      <c r="C7660">
        <f>IF(B7660="","",IFERROR(INDEX('Bad Patterns'!$A$2:$A$120,MATCH(1,INDEX(--ISNUMBER(SEARCH('Bad Patterns'!$A$2:$A$120,B7660)),0),0)),""))</f>
        <v/>
      </c>
      <c r="D7660">
        <f>IF(B7660="","",IF(C7660&lt;&gt;"","REMOVE","KEEP"))</f>
        <v/>
      </c>
      <c r="E7660">
        <f>IF(D7660&lt;&gt;"KEEP","",IF(RIGHT(B7660,10)="@gmail.com","Gmail",IF(OR(RIGHT(B7660,12)="@outlook.com",RIGHT(B7660,12)="@hotmail.com",RIGHT(B7660,9)="@live.com"),"Outlook","Domain")))</f>
        <v/>
      </c>
      <c r="F7660">
        <f>IF(B7660="","",IFERROR(RIGHT(B7660,LEN(B7660)-FIND("@",B7660)),""))</f>
        <v/>
      </c>
      <c r="G7660">
        <f>IF(D7660="KEEP",COUNTIF($D$2:D7660,"KEEP"),"")</f>
        <v/>
      </c>
      <c r="H7660">
        <f>IF(D7660="REMOVE",COUNTIF($D$2:D7660,"REMOVE"),"")</f>
        <v/>
      </c>
      <c r="I7660">
        <f>IF(E7660="Gmail",COUNTIF($E$2:E7660,"Gmail"),"")</f>
        <v/>
      </c>
      <c r="J7660">
        <f>IF(E7660="Outlook",COUNTIF($E$2:E7660,"Outlook"),"")</f>
        <v/>
      </c>
      <c r="K7660">
        <f>IF(E7660="Domain",COUNTIF($E$2:E7660,"Domain"),"")</f>
        <v/>
      </c>
    </row>
    <row r="7661">
      <c r="A7661" s="2" t="n"/>
      <c r="B7661">
        <f>LOWER(TRIM(A7661))</f>
        <v/>
      </c>
      <c r="C7661">
        <f>IF(B7661="","",IFERROR(INDEX('Bad Patterns'!$A$2:$A$120,MATCH(1,INDEX(--ISNUMBER(SEARCH('Bad Patterns'!$A$2:$A$120,B7661)),0),0)),""))</f>
        <v/>
      </c>
      <c r="D7661">
        <f>IF(B7661="","",IF(C7661&lt;&gt;"","REMOVE","KEEP"))</f>
        <v/>
      </c>
      <c r="E7661">
        <f>IF(D7661&lt;&gt;"KEEP","",IF(RIGHT(B7661,10)="@gmail.com","Gmail",IF(OR(RIGHT(B7661,12)="@outlook.com",RIGHT(B7661,12)="@hotmail.com",RIGHT(B7661,9)="@live.com"),"Outlook","Domain")))</f>
        <v/>
      </c>
      <c r="F7661">
        <f>IF(B7661="","",IFERROR(RIGHT(B7661,LEN(B7661)-FIND("@",B7661)),""))</f>
        <v/>
      </c>
      <c r="G7661">
        <f>IF(D7661="KEEP",COUNTIF($D$2:D7661,"KEEP"),"")</f>
        <v/>
      </c>
      <c r="H7661">
        <f>IF(D7661="REMOVE",COUNTIF($D$2:D7661,"REMOVE"),"")</f>
        <v/>
      </c>
      <c r="I7661">
        <f>IF(E7661="Gmail",COUNTIF($E$2:E7661,"Gmail"),"")</f>
        <v/>
      </c>
      <c r="J7661">
        <f>IF(E7661="Outlook",COUNTIF($E$2:E7661,"Outlook"),"")</f>
        <v/>
      </c>
      <c r="K7661">
        <f>IF(E7661="Domain",COUNTIF($E$2:E7661,"Domain"),"")</f>
        <v/>
      </c>
    </row>
    <row r="7662">
      <c r="A7662" s="2" t="n"/>
      <c r="B7662">
        <f>LOWER(TRIM(A7662))</f>
        <v/>
      </c>
      <c r="C7662">
        <f>IF(B7662="","",IFERROR(INDEX('Bad Patterns'!$A$2:$A$120,MATCH(1,INDEX(--ISNUMBER(SEARCH('Bad Patterns'!$A$2:$A$120,B7662)),0),0)),""))</f>
        <v/>
      </c>
      <c r="D7662">
        <f>IF(B7662="","",IF(C7662&lt;&gt;"","REMOVE","KEEP"))</f>
        <v/>
      </c>
      <c r="E7662">
        <f>IF(D7662&lt;&gt;"KEEP","",IF(RIGHT(B7662,10)="@gmail.com","Gmail",IF(OR(RIGHT(B7662,12)="@outlook.com",RIGHT(B7662,12)="@hotmail.com",RIGHT(B7662,9)="@live.com"),"Outlook","Domain")))</f>
        <v/>
      </c>
      <c r="F7662">
        <f>IF(B7662="","",IFERROR(RIGHT(B7662,LEN(B7662)-FIND("@",B7662)),""))</f>
        <v/>
      </c>
      <c r="G7662">
        <f>IF(D7662="KEEP",COUNTIF($D$2:D7662,"KEEP"),"")</f>
        <v/>
      </c>
      <c r="H7662">
        <f>IF(D7662="REMOVE",COUNTIF($D$2:D7662,"REMOVE"),"")</f>
        <v/>
      </c>
      <c r="I7662">
        <f>IF(E7662="Gmail",COUNTIF($E$2:E7662,"Gmail"),"")</f>
        <v/>
      </c>
      <c r="J7662">
        <f>IF(E7662="Outlook",COUNTIF($E$2:E7662,"Outlook"),"")</f>
        <v/>
      </c>
      <c r="K7662">
        <f>IF(E7662="Domain",COUNTIF($E$2:E7662,"Domain"),"")</f>
        <v/>
      </c>
    </row>
    <row r="7663">
      <c r="A7663" s="2" t="n"/>
      <c r="B7663">
        <f>LOWER(TRIM(A7663))</f>
        <v/>
      </c>
      <c r="C7663">
        <f>IF(B7663="","",IFERROR(INDEX('Bad Patterns'!$A$2:$A$120,MATCH(1,INDEX(--ISNUMBER(SEARCH('Bad Patterns'!$A$2:$A$120,B7663)),0),0)),""))</f>
        <v/>
      </c>
      <c r="D7663">
        <f>IF(B7663="","",IF(C7663&lt;&gt;"","REMOVE","KEEP"))</f>
        <v/>
      </c>
      <c r="E7663">
        <f>IF(D7663&lt;&gt;"KEEP","",IF(RIGHT(B7663,10)="@gmail.com","Gmail",IF(OR(RIGHT(B7663,12)="@outlook.com",RIGHT(B7663,12)="@hotmail.com",RIGHT(B7663,9)="@live.com"),"Outlook","Domain")))</f>
        <v/>
      </c>
      <c r="F7663">
        <f>IF(B7663="","",IFERROR(RIGHT(B7663,LEN(B7663)-FIND("@",B7663)),""))</f>
        <v/>
      </c>
      <c r="G7663">
        <f>IF(D7663="KEEP",COUNTIF($D$2:D7663,"KEEP"),"")</f>
        <v/>
      </c>
      <c r="H7663">
        <f>IF(D7663="REMOVE",COUNTIF($D$2:D7663,"REMOVE"),"")</f>
        <v/>
      </c>
      <c r="I7663">
        <f>IF(E7663="Gmail",COUNTIF($E$2:E7663,"Gmail"),"")</f>
        <v/>
      </c>
      <c r="J7663">
        <f>IF(E7663="Outlook",COUNTIF($E$2:E7663,"Outlook"),"")</f>
        <v/>
      </c>
      <c r="K7663">
        <f>IF(E7663="Domain",COUNTIF($E$2:E7663,"Domain"),"")</f>
        <v/>
      </c>
    </row>
    <row r="7664">
      <c r="A7664" s="2" t="n"/>
      <c r="B7664">
        <f>LOWER(TRIM(A7664))</f>
        <v/>
      </c>
      <c r="C7664">
        <f>IF(B7664="","",IFERROR(INDEX('Bad Patterns'!$A$2:$A$120,MATCH(1,INDEX(--ISNUMBER(SEARCH('Bad Patterns'!$A$2:$A$120,B7664)),0),0)),""))</f>
        <v/>
      </c>
      <c r="D7664">
        <f>IF(B7664="","",IF(C7664&lt;&gt;"","REMOVE","KEEP"))</f>
        <v/>
      </c>
      <c r="E7664">
        <f>IF(D7664&lt;&gt;"KEEP","",IF(RIGHT(B7664,10)="@gmail.com","Gmail",IF(OR(RIGHT(B7664,12)="@outlook.com",RIGHT(B7664,12)="@hotmail.com",RIGHT(B7664,9)="@live.com"),"Outlook","Domain")))</f>
        <v/>
      </c>
      <c r="F7664">
        <f>IF(B7664="","",IFERROR(RIGHT(B7664,LEN(B7664)-FIND("@",B7664)),""))</f>
        <v/>
      </c>
      <c r="G7664">
        <f>IF(D7664="KEEP",COUNTIF($D$2:D7664,"KEEP"),"")</f>
        <v/>
      </c>
      <c r="H7664">
        <f>IF(D7664="REMOVE",COUNTIF($D$2:D7664,"REMOVE"),"")</f>
        <v/>
      </c>
      <c r="I7664">
        <f>IF(E7664="Gmail",COUNTIF($E$2:E7664,"Gmail"),"")</f>
        <v/>
      </c>
      <c r="J7664">
        <f>IF(E7664="Outlook",COUNTIF($E$2:E7664,"Outlook"),"")</f>
        <v/>
      </c>
      <c r="K7664">
        <f>IF(E7664="Domain",COUNTIF($E$2:E7664,"Domain"),"")</f>
        <v/>
      </c>
    </row>
    <row r="7665">
      <c r="A7665" s="2" t="n"/>
      <c r="B7665">
        <f>LOWER(TRIM(A7665))</f>
        <v/>
      </c>
      <c r="C7665">
        <f>IF(B7665="","",IFERROR(INDEX('Bad Patterns'!$A$2:$A$120,MATCH(1,INDEX(--ISNUMBER(SEARCH('Bad Patterns'!$A$2:$A$120,B7665)),0),0)),""))</f>
        <v/>
      </c>
      <c r="D7665">
        <f>IF(B7665="","",IF(C7665&lt;&gt;"","REMOVE","KEEP"))</f>
        <v/>
      </c>
      <c r="E7665">
        <f>IF(D7665&lt;&gt;"KEEP","",IF(RIGHT(B7665,10)="@gmail.com","Gmail",IF(OR(RIGHT(B7665,12)="@outlook.com",RIGHT(B7665,12)="@hotmail.com",RIGHT(B7665,9)="@live.com"),"Outlook","Domain")))</f>
        <v/>
      </c>
      <c r="F7665">
        <f>IF(B7665="","",IFERROR(RIGHT(B7665,LEN(B7665)-FIND("@",B7665)),""))</f>
        <v/>
      </c>
      <c r="G7665">
        <f>IF(D7665="KEEP",COUNTIF($D$2:D7665,"KEEP"),"")</f>
        <v/>
      </c>
      <c r="H7665">
        <f>IF(D7665="REMOVE",COUNTIF($D$2:D7665,"REMOVE"),"")</f>
        <v/>
      </c>
      <c r="I7665">
        <f>IF(E7665="Gmail",COUNTIF($E$2:E7665,"Gmail"),"")</f>
        <v/>
      </c>
      <c r="J7665">
        <f>IF(E7665="Outlook",COUNTIF($E$2:E7665,"Outlook"),"")</f>
        <v/>
      </c>
      <c r="K7665">
        <f>IF(E7665="Domain",COUNTIF($E$2:E7665,"Domain"),"")</f>
        <v/>
      </c>
    </row>
    <row r="7666">
      <c r="A7666" s="2" t="n"/>
      <c r="B7666">
        <f>LOWER(TRIM(A7666))</f>
        <v/>
      </c>
      <c r="C7666">
        <f>IF(B7666="","",IFERROR(INDEX('Bad Patterns'!$A$2:$A$120,MATCH(1,INDEX(--ISNUMBER(SEARCH('Bad Patterns'!$A$2:$A$120,B7666)),0),0)),""))</f>
        <v/>
      </c>
      <c r="D7666">
        <f>IF(B7666="","",IF(C7666&lt;&gt;"","REMOVE","KEEP"))</f>
        <v/>
      </c>
      <c r="E7666">
        <f>IF(D7666&lt;&gt;"KEEP","",IF(RIGHT(B7666,10)="@gmail.com","Gmail",IF(OR(RIGHT(B7666,12)="@outlook.com",RIGHT(B7666,12)="@hotmail.com",RIGHT(B7666,9)="@live.com"),"Outlook","Domain")))</f>
        <v/>
      </c>
      <c r="F7666">
        <f>IF(B7666="","",IFERROR(RIGHT(B7666,LEN(B7666)-FIND("@",B7666)),""))</f>
        <v/>
      </c>
      <c r="G7666">
        <f>IF(D7666="KEEP",COUNTIF($D$2:D7666,"KEEP"),"")</f>
        <v/>
      </c>
      <c r="H7666">
        <f>IF(D7666="REMOVE",COUNTIF($D$2:D7666,"REMOVE"),"")</f>
        <v/>
      </c>
      <c r="I7666">
        <f>IF(E7666="Gmail",COUNTIF($E$2:E7666,"Gmail"),"")</f>
        <v/>
      </c>
      <c r="J7666">
        <f>IF(E7666="Outlook",COUNTIF($E$2:E7666,"Outlook"),"")</f>
        <v/>
      </c>
      <c r="K7666">
        <f>IF(E7666="Domain",COUNTIF($E$2:E7666,"Domain"),"")</f>
        <v/>
      </c>
    </row>
    <row r="7667">
      <c r="A7667" s="2" t="n"/>
      <c r="B7667">
        <f>LOWER(TRIM(A7667))</f>
        <v/>
      </c>
      <c r="C7667">
        <f>IF(B7667="","",IFERROR(INDEX('Bad Patterns'!$A$2:$A$120,MATCH(1,INDEX(--ISNUMBER(SEARCH('Bad Patterns'!$A$2:$A$120,B7667)),0),0)),""))</f>
        <v/>
      </c>
      <c r="D7667">
        <f>IF(B7667="","",IF(C7667&lt;&gt;"","REMOVE","KEEP"))</f>
        <v/>
      </c>
      <c r="E7667">
        <f>IF(D7667&lt;&gt;"KEEP","",IF(RIGHT(B7667,10)="@gmail.com","Gmail",IF(OR(RIGHT(B7667,12)="@outlook.com",RIGHT(B7667,12)="@hotmail.com",RIGHT(B7667,9)="@live.com"),"Outlook","Domain")))</f>
        <v/>
      </c>
      <c r="F7667">
        <f>IF(B7667="","",IFERROR(RIGHT(B7667,LEN(B7667)-FIND("@",B7667)),""))</f>
        <v/>
      </c>
      <c r="G7667">
        <f>IF(D7667="KEEP",COUNTIF($D$2:D7667,"KEEP"),"")</f>
        <v/>
      </c>
      <c r="H7667">
        <f>IF(D7667="REMOVE",COUNTIF($D$2:D7667,"REMOVE"),"")</f>
        <v/>
      </c>
      <c r="I7667">
        <f>IF(E7667="Gmail",COUNTIF($E$2:E7667,"Gmail"),"")</f>
        <v/>
      </c>
      <c r="J7667">
        <f>IF(E7667="Outlook",COUNTIF($E$2:E7667,"Outlook"),"")</f>
        <v/>
      </c>
      <c r="K7667">
        <f>IF(E7667="Domain",COUNTIF($E$2:E7667,"Domain"),"")</f>
        <v/>
      </c>
    </row>
    <row r="7668">
      <c r="A7668" s="2" t="n"/>
      <c r="B7668">
        <f>LOWER(TRIM(A7668))</f>
        <v/>
      </c>
      <c r="C7668">
        <f>IF(B7668="","",IFERROR(INDEX('Bad Patterns'!$A$2:$A$120,MATCH(1,INDEX(--ISNUMBER(SEARCH('Bad Patterns'!$A$2:$A$120,B7668)),0),0)),""))</f>
        <v/>
      </c>
      <c r="D7668">
        <f>IF(B7668="","",IF(C7668&lt;&gt;"","REMOVE","KEEP"))</f>
        <v/>
      </c>
      <c r="E7668">
        <f>IF(D7668&lt;&gt;"KEEP","",IF(RIGHT(B7668,10)="@gmail.com","Gmail",IF(OR(RIGHT(B7668,12)="@outlook.com",RIGHT(B7668,12)="@hotmail.com",RIGHT(B7668,9)="@live.com"),"Outlook","Domain")))</f>
        <v/>
      </c>
      <c r="F7668">
        <f>IF(B7668="","",IFERROR(RIGHT(B7668,LEN(B7668)-FIND("@",B7668)),""))</f>
        <v/>
      </c>
      <c r="G7668">
        <f>IF(D7668="KEEP",COUNTIF($D$2:D7668,"KEEP"),"")</f>
        <v/>
      </c>
      <c r="H7668">
        <f>IF(D7668="REMOVE",COUNTIF($D$2:D7668,"REMOVE"),"")</f>
        <v/>
      </c>
      <c r="I7668">
        <f>IF(E7668="Gmail",COUNTIF($E$2:E7668,"Gmail"),"")</f>
        <v/>
      </c>
      <c r="J7668">
        <f>IF(E7668="Outlook",COUNTIF($E$2:E7668,"Outlook"),"")</f>
        <v/>
      </c>
      <c r="K7668">
        <f>IF(E7668="Domain",COUNTIF($E$2:E7668,"Domain"),"")</f>
        <v/>
      </c>
    </row>
    <row r="7669">
      <c r="A7669" s="2" t="n"/>
      <c r="B7669">
        <f>LOWER(TRIM(A7669))</f>
        <v/>
      </c>
      <c r="C7669">
        <f>IF(B7669="","",IFERROR(INDEX('Bad Patterns'!$A$2:$A$120,MATCH(1,INDEX(--ISNUMBER(SEARCH('Bad Patterns'!$A$2:$A$120,B7669)),0),0)),""))</f>
        <v/>
      </c>
      <c r="D7669">
        <f>IF(B7669="","",IF(C7669&lt;&gt;"","REMOVE","KEEP"))</f>
        <v/>
      </c>
      <c r="E7669">
        <f>IF(D7669&lt;&gt;"KEEP","",IF(RIGHT(B7669,10)="@gmail.com","Gmail",IF(OR(RIGHT(B7669,12)="@outlook.com",RIGHT(B7669,12)="@hotmail.com",RIGHT(B7669,9)="@live.com"),"Outlook","Domain")))</f>
        <v/>
      </c>
      <c r="F7669">
        <f>IF(B7669="","",IFERROR(RIGHT(B7669,LEN(B7669)-FIND("@",B7669)),""))</f>
        <v/>
      </c>
      <c r="G7669">
        <f>IF(D7669="KEEP",COUNTIF($D$2:D7669,"KEEP"),"")</f>
        <v/>
      </c>
      <c r="H7669">
        <f>IF(D7669="REMOVE",COUNTIF($D$2:D7669,"REMOVE"),"")</f>
        <v/>
      </c>
      <c r="I7669">
        <f>IF(E7669="Gmail",COUNTIF($E$2:E7669,"Gmail"),"")</f>
        <v/>
      </c>
      <c r="J7669">
        <f>IF(E7669="Outlook",COUNTIF($E$2:E7669,"Outlook"),"")</f>
        <v/>
      </c>
      <c r="K7669">
        <f>IF(E7669="Domain",COUNTIF($E$2:E7669,"Domain"),"")</f>
        <v/>
      </c>
    </row>
    <row r="7670">
      <c r="A7670" s="2" t="n"/>
      <c r="B7670">
        <f>LOWER(TRIM(A7670))</f>
        <v/>
      </c>
      <c r="C7670">
        <f>IF(B7670="","",IFERROR(INDEX('Bad Patterns'!$A$2:$A$120,MATCH(1,INDEX(--ISNUMBER(SEARCH('Bad Patterns'!$A$2:$A$120,B7670)),0),0)),""))</f>
        <v/>
      </c>
      <c r="D7670">
        <f>IF(B7670="","",IF(C7670&lt;&gt;"","REMOVE","KEEP"))</f>
        <v/>
      </c>
      <c r="E7670">
        <f>IF(D7670&lt;&gt;"KEEP","",IF(RIGHT(B7670,10)="@gmail.com","Gmail",IF(OR(RIGHT(B7670,12)="@outlook.com",RIGHT(B7670,12)="@hotmail.com",RIGHT(B7670,9)="@live.com"),"Outlook","Domain")))</f>
        <v/>
      </c>
      <c r="F7670">
        <f>IF(B7670="","",IFERROR(RIGHT(B7670,LEN(B7670)-FIND("@",B7670)),""))</f>
        <v/>
      </c>
      <c r="G7670">
        <f>IF(D7670="KEEP",COUNTIF($D$2:D7670,"KEEP"),"")</f>
        <v/>
      </c>
      <c r="H7670">
        <f>IF(D7670="REMOVE",COUNTIF($D$2:D7670,"REMOVE"),"")</f>
        <v/>
      </c>
      <c r="I7670">
        <f>IF(E7670="Gmail",COUNTIF($E$2:E7670,"Gmail"),"")</f>
        <v/>
      </c>
      <c r="J7670">
        <f>IF(E7670="Outlook",COUNTIF($E$2:E7670,"Outlook"),"")</f>
        <v/>
      </c>
      <c r="K7670">
        <f>IF(E7670="Domain",COUNTIF($E$2:E7670,"Domain"),"")</f>
        <v/>
      </c>
    </row>
    <row r="7671">
      <c r="A7671" s="2" t="n"/>
      <c r="B7671">
        <f>LOWER(TRIM(A7671))</f>
        <v/>
      </c>
      <c r="C7671">
        <f>IF(B7671="","",IFERROR(INDEX('Bad Patterns'!$A$2:$A$120,MATCH(1,INDEX(--ISNUMBER(SEARCH('Bad Patterns'!$A$2:$A$120,B7671)),0),0)),""))</f>
        <v/>
      </c>
      <c r="D7671">
        <f>IF(B7671="","",IF(C7671&lt;&gt;"","REMOVE","KEEP"))</f>
        <v/>
      </c>
      <c r="E7671">
        <f>IF(D7671&lt;&gt;"KEEP","",IF(RIGHT(B7671,10)="@gmail.com","Gmail",IF(OR(RIGHT(B7671,12)="@outlook.com",RIGHT(B7671,12)="@hotmail.com",RIGHT(B7671,9)="@live.com"),"Outlook","Domain")))</f>
        <v/>
      </c>
      <c r="F7671">
        <f>IF(B7671="","",IFERROR(RIGHT(B7671,LEN(B7671)-FIND("@",B7671)),""))</f>
        <v/>
      </c>
      <c r="G7671">
        <f>IF(D7671="KEEP",COUNTIF($D$2:D7671,"KEEP"),"")</f>
        <v/>
      </c>
      <c r="H7671">
        <f>IF(D7671="REMOVE",COUNTIF($D$2:D7671,"REMOVE"),"")</f>
        <v/>
      </c>
      <c r="I7671">
        <f>IF(E7671="Gmail",COUNTIF($E$2:E7671,"Gmail"),"")</f>
        <v/>
      </c>
      <c r="J7671">
        <f>IF(E7671="Outlook",COUNTIF($E$2:E7671,"Outlook"),"")</f>
        <v/>
      </c>
      <c r="K7671">
        <f>IF(E7671="Domain",COUNTIF($E$2:E7671,"Domain"),"")</f>
        <v/>
      </c>
    </row>
    <row r="7672">
      <c r="A7672" s="2" t="n"/>
      <c r="B7672">
        <f>LOWER(TRIM(A7672))</f>
        <v/>
      </c>
      <c r="C7672">
        <f>IF(B7672="","",IFERROR(INDEX('Bad Patterns'!$A$2:$A$120,MATCH(1,INDEX(--ISNUMBER(SEARCH('Bad Patterns'!$A$2:$A$120,B7672)),0),0)),""))</f>
        <v/>
      </c>
      <c r="D7672">
        <f>IF(B7672="","",IF(C7672&lt;&gt;"","REMOVE","KEEP"))</f>
        <v/>
      </c>
      <c r="E7672">
        <f>IF(D7672&lt;&gt;"KEEP","",IF(RIGHT(B7672,10)="@gmail.com","Gmail",IF(OR(RIGHT(B7672,12)="@outlook.com",RIGHT(B7672,12)="@hotmail.com",RIGHT(B7672,9)="@live.com"),"Outlook","Domain")))</f>
        <v/>
      </c>
      <c r="F7672">
        <f>IF(B7672="","",IFERROR(RIGHT(B7672,LEN(B7672)-FIND("@",B7672)),""))</f>
        <v/>
      </c>
      <c r="G7672">
        <f>IF(D7672="KEEP",COUNTIF($D$2:D7672,"KEEP"),"")</f>
        <v/>
      </c>
      <c r="H7672">
        <f>IF(D7672="REMOVE",COUNTIF($D$2:D7672,"REMOVE"),"")</f>
        <v/>
      </c>
      <c r="I7672">
        <f>IF(E7672="Gmail",COUNTIF($E$2:E7672,"Gmail"),"")</f>
        <v/>
      </c>
      <c r="J7672">
        <f>IF(E7672="Outlook",COUNTIF($E$2:E7672,"Outlook"),"")</f>
        <v/>
      </c>
      <c r="K7672">
        <f>IF(E7672="Domain",COUNTIF($E$2:E7672,"Domain"),"")</f>
        <v/>
      </c>
    </row>
    <row r="7673">
      <c r="A7673" s="2" t="n"/>
      <c r="B7673">
        <f>LOWER(TRIM(A7673))</f>
        <v/>
      </c>
      <c r="C7673">
        <f>IF(B7673="","",IFERROR(INDEX('Bad Patterns'!$A$2:$A$120,MATCH(1,INDEX(--ISNUMBER(SEARCH('Bad Patterns'!$A$2:$A$120,B7673)),0),0)),""))</f>
        <v/>
      </c>
      <c r="D7673">
        <f>IF(B7673="","",IF(C7673&lt;&gt;"","REMOVE","KEEP"))</f>
        <v/>
      </c>
      <c r="E7673">
        <f>IF(D7673&lt;&gt;"KEEP","",IF(RIGHT(B7673,10)="@gmail.com","Gmail",IF(OR(RIGHT(B7673,12)="@outlook.com",RIGHT(B7673,12)="@hotmail.com",RIGHT(B7673,9)="@live.com"),"Outlook","Domain")))</f>
        <v/>
      </c>
      <c r="F7673">
        <f>IF(B7673="","",IFERROR(RIGHT(B7673,LEN(B7673)-FIND("@",B7673)),""))</f>
        <v/>
      </c>
      <c r="G7673">
        <f>IF(D7673="KEEP",COUNTIF($D$2:D7673,"KEEP"),"")</f>
        <v/>
      </c>
      <c r="H7673">
        <f>IF(D7673="REMOVE",COUNTIF($D$2:D7673,"REMOVE"),"")</f>
        <v/>
      </c>
      <c r="I7673">
        <f>IF(E7673="Gmail",COUNTIF($E$2:E7673,"Gmail"),"")</f>
        <v/>
      </c>
      <c r="J7673">
        <f>IF(E7673="Outlook",COUNTIF($E$2:E7673,"Outlook"),"")</f>
        <v/>
      </c>
      <c r="K7673">
        <f>IF(E7673="Domain",COUNTIF($E$2:E7673,"Domain"),"")</f>
        <v/>
      </c>
    </row>
    <row r="7674">
      <c r="A7674" s="2" t="n"/>
      <c r="B7674">
        <f>LOWER(TRIM(A7674))</f>
        <v/>
      </c>
      <c r="C7674">
        <f>IF(B7674="","",IFERROR(INDEX('Bad Patterns'!$A$2:$A$120,MATCH(1,INDEX(--ISNUMBER(SEARCH('Bad Patterns'!$A$2:$A$120,B7674)),0),0)),""))</f>
        <v/>
      </c>
      <c r="D7674">
        <f>IF(B7674="","",IF(C7674&lt;&gt;"","REMOVE","KEEP"))</f>
        <v/>
      </c>
      <c r="E7674">
        <f>IF(D7674&lt;&gt;"KEEP","",IF(RIGHT(B7674,10)="@gmail.com","Gmail",IF(OR(RIGHT(B7674,12)="@outlook.com",RIGHT(B7674,12)="@hotmail.com",RIGHT(B7674,9)="@live.com"),"Outlook","Domain")))</f>
        <v/>
      </c>
      <c r="F7674">
        <f>IF(B7674="","",IFERROR(RIGHT(B7674,LEN(B7674)-FIND("@",B7674)),""))</f>
        <v/>
      </c>
      <c r="G7674">
        <f>IF(D7674="KEEP",COUNTIF($D$2:D7674,"KEEP"),"")</f>
        <v/>
      </c>
      <c r="H7674">
        <f>IF(D7674="REMOVE",COUNTIF($D$2:D7674,"REMOVE"),"")</f>
        <v/>
      </c>
      <c r="I7674">
        <f>IF(E7674="Gmail",COUNTIF($E$2:E7674,"Gmail"),"")</f>
        <v/>
      </c>
      <c r="J7674">
        <f>IF(E7674="Outlook",COUNTIF($E$2:E7674,"Outlook"),"")</f>
        <v/>
      </c>
      <c r="K7674">
        <f>IF(E7674="Domain",COUNTIF($E$2:E7674,"Domain"),"")</f>
        <v/>
      </c>
    </row>
    <row r="7675">
      <c r="A7675" s="2" t="n"/>
      <c r="B7675">
        <f>LOWER(TRIM(A7675))</f>
        <v/>
      </c>
      <c r="C7675">
        <f>IF(B7675="","",IFERROR(INDEX('Bad Patterns'!$A$2:$A$120,MATCH(1,INDEX(--ISNUMBER(SEARCH('Bad Patterns'!$A$2:$A$120,B7675)),0),0)),""))</f>
        <v/>
      </c>
      <c r="D7675">
        <f>IF(B7675="","",IF(C7675&lt;&gt;"","REMOVE","KEEP"))</f>
        <v/>
      </c>
      <c r="E7675">
        <f>IF(D7675&lt;&gt;"KEEP","",IF(RIGHT(B7675,10)="@gmail.com","Gmail",IF(OR(RIGHT(B7675,12)="@outlook.com",RIGHT(B7675,12)="@hotmail.com",RIGHT(B7675,9)="@live.com"),"Outlook","Domain")))</f>
        <v/>
      </c>
      <c r="F7675">
        <f>IF(B7675="","",IFERROR(RIGHT(B7675,LEN(B7675)-FIND("@",B7675)),""))</f>
        <v/>
      </c>
      <c r="G7675">
        <f>IF(D7675="KEEP",COUNTIF($D$2:D7675,"KEEP"),"")</f>
        <v/>
      </c>
      <c r="H7675">
        <f>IF(D7675="REMOVE",COUNTIF($D$2:D7675,"REMOVE"),"")</f>
        <v/>
      </c>
      <c r="I7675">
        <f>IF(E7675="Gmail",COUNTIF($E$2:E7675,"Gmail"),"")</f>
        <v/>
      </c>
      <c r="J7675">
        <f>IF(E7675="Outlook",COUNTIF($E$2:E7675,"Outlook"),"")</f>
        <v/>
      </c>
      <c r="K7675">
        <f>IF(E7675="Domain",COUNTIF($E$2:E7675,"Domain"),"")</f>
        <v/>
      </c>
    </row>
    <row r="7676">
      <c r="A7676" s="2" t="n"/>
      <c r="B7676">
        <f>LOWER(TRIM(A7676))</f>
        <v/>
      </c>
      <c r="C7676">
        <f>IF(B7676="","",IFERROR(INDEX('Bad Patterns'!$A$2:$A$120,MATCH(1,INDEX(--ISNUMBER(SEARCH('Bad Patterns'!$A$2:$A$120,B7676)),0),0)),""))</f>
        <v/>
      </c>
      <c r="D7676">
        <f>IF(B7676="","",IF(C7676&lt;&gt;"","REMOVE","KEEP"))</f>
        <v/>
      </c>
      <c r="E7676">
        <f>IF(D7676&lt;&gt;"KEEP","",IF(RIGHT(B7676,10)="@gmail.com","Gmail",IF(OR(RIGHT(B7676,12)="@outlook.com",RIGHT(B7676,12)="@hotmail.com",RIGHT(B7676,9)="@live.com"),"Outlook","Domain")))</f>
        <v/>
      </c>
      <c r="F7676">
        <f>IF(B7676="","",IFERROR(RIGHT(B7676,LEN(B7676)-FIND("@",B7676)),""))</f>
        <v/>
      </c>
      <c r="G7676">
        <f>IF(D7676="KEEP",COUNTIF($D$2:D7676,"KEEP"),"")</f>
        <v/>
      </c>
      <c r="H7676">
        <f>IF(D7676="REMOVE",COUNTIF($D$2:D7676,"REMOVE"),"")</f>
        <v/>
      </c>
      <c r="I7676">
        <f>IF(E7676="Gmail",COUNTIF($E$2:E7676,"Gmail"),"")</f>
        <v/>
      </c>
      <c r="J7676">
        <f>IF(E7676="Outlook",COUNTIF($E$2:E7676,"Outlook"),"")</f>
        <v/>
      </c>
      <c r="K7676">
        <f>IF(E7676="Domain",COUNTIF($E$2:E7676,"Domain"),"")</f>
        <v/>
      </c>
    </row>
    <row r="7677">
      <c r="A7677" s="2" t="n"/>
      <c r="B7677">
        <f>LOWER(TRIM(A7677))</f>
        <v/>
      </c>
      <c r="C7677">
        <f>IF(B7677="","",IFERROR(INDEX('Bad Patterns'!$A$2:$A$120,MATCH(1,INDEX(--ISNUMBER(SEARCH('Bad Patterns'!$A$2:$A$120,B7677)),0),0)),""))</f>
        <v/>
      </c>
      <c r="D7677">
        <f>IF(B7677="","",IF(C7677&lt;&gt;"","REMOVE","KEEP"))</f>
        <v/>
      </c>
      <c r="E7677">
        <f>IF(D7677&lt;&gt;"KEEP","",IF(RIGHT(B7677,10)="@gmail.com","Gmail",IF(OR(RIGHT(B7677,12)="@outlook.com",RIGHT(B7677,12)="@hotmail.com",RIGHT(B7677,9)="@live.com"),"Outlook","Domain")))</f>
        <v/>
      </c>
      <c r="F7677">
        <f>IF(B7677="","",IFERROR(RIGHT(B7677,LEN(B7677)-FIND("@",B7677)),""))</f>
        <v/>
      </c>
      <c r="G7677">
        <f>IF(D7677="KEEP",COUNTIF($D$2:D7677,"KEEP"),"")</f>
        <v/>
      </c>
      <c r="H7677">
        <f>IF(D7677="REMOVE",COUNTIF($D$2:D7677,"REMOVE"),"")</f>
        <v/>
      </c>
      <c r="I7677">
        <f>IF(E7677="Gmail",COUNTIF($E$2:E7677,"Gmail"),"")</f>
        <v/>
      </c>
      <c r="J7677">
        <f>IF(E7677="Outlook",COUNTIF($E$2:E7677,"Outlook"),"")</f>
        <v/>
      </c>
      <c r="K7677">
        <f>IF(E7677="Domain",COUNTIF($E$2:E7677,"Domain"),"")</f>
        <v/>
      </c>
    </row>
    <row r="7678">
      <c r="A7678" s="2" t="n"/>
      <c r="B7678">
        <f>LOWER(TRIM(A7678))</f>
        <v/>
      </c>
      <c r="C7678">
        <f>IF(B7678="","",IFERROR(INDEX('Bad Patterns'!$A$2:$A$120,MATCH(1,INDEX(--ISNUMBER(SEARCH('Bad Patterns'!$A$2:$A$120,B7678)),0),0)),""))</f>
        <v/>
      </c>
      <c r="D7678">
        <f>IF(B7678="","",IF(C7678&lt;&gt;"","REMOVE","KEEP"))</f>
        <v/>
      </c>
      <c r="E7678">
        <f>IF(D7678&lt;&gt;"KEEP","",IF(RIGHT(B7678,10)="@gmail.com","Gmail",IF(OR(RIGHT(B7678,12)="@outlook.com",RIGHT(B7678,12)="@hotmail.com",RIGHT(B7678,9)="@live.com"),"Outlook","Domain")))</f>
        <v/>
      </c>
      <c r="F7678">
        <f>IF(B7678="","",IFERROR(RIGHT(B7678,LEN(B7678)-FIND("@",B7678)),""))</f>
        <v/>
      </c>
      <c r="G7678">
        <f>IF(D7678="KEEP",COUNTIF($D$2:D7678,"KEEP"),"")</f>
        <v/>
      </c>
      <c r="H7678">
        <f>IF(D7678="REMOVE",COUNTIF($D$2:D7678,"REMOVE"),"")</f>
        <v/>
      </c>
      <c r="I7678">
        <f>IF(E7678="Gmail",COUNTIF($E$2:E7678,"Gmail"),"")</f>
        <v/>
      </c>
      <c r="J7678">
        <f>IF(E7678="Outlook",COUNTIF($E$2:E7678,"Outlook"),"")</f>
        <v/>
      </c>
      <c r="K7678">
        <f>IF(E7678="Domain",COUNTIF($E$2:E7678,"Domain"),"")</f>
        <v/>
      </c>
    </row>
    <row r="7679">
      <c r="A7679" s="2" t="n"/>
      <c r="B7679">
        <f>LOWER(TRIM(A7679))</f>
        <v/>
      </c>
      <c r="C7679">
        <f>IF(B7679="","",IFERROR(INDEX('Bad Patterns'!$A$2:$A$120,MATCH(1,INDEX(--ISNUMBER(SEARCH('Bad Patterns'!$A$2:$A$120,B7679)),0),0)),""))</f>
        <v/>
      </c>
      <c r="D7679">
        <f>IF(B7679="","",IF(C7679&lt;&gt;"","REMOVE","KEEP"))</f>
        <v/>
      </c>
      <c r="E7679">
        <f>IF(D7679&lt;&gt;"KEEP","",IF(RIGHT(B7679,10)="@gmail.com","Gmail",IF(OR(RIGHT(B7679,12)="@outlook.com",RIGHT(B7679,12)="@hotmail.com",RIGHT(B7679,9)="@live.com"),"Outlook","Domain")))</f>
        <v/>
      </c>
      <c r="F7679">
        <f>IF(B7679="","",IFERROR(RIGHT(B7679,LEN(B7679)-FIND("@",B7679)),""))</f>
        <v/>
      </c>
      <c r="G7679">
        <f>IF(D7679="KEEP",COUNTIF($D$2:D7679,"KEEP"),"")</f>
        <v/>
      </c>
      <c r="H7679">
        <f>IF(D7679="REMOVE",COUNTIF($D$2:D7679,"REMOVE"),"")</f>
        <v/>
      </c>
      <c r="I7679">
        <f>IF(E7679="Gmail",COUNTIF($E$2:E7679,"Gmail"),"")</f>
        <v/>
      </c>
      <c r="J7679">
        <f>IF(E7679="Outlook",COUNTIF($E$2:E7679,"Outlook"),"")</f>
        <v/>
      </c>
      <c r="K7679">
        <f>IF(E7679="Domain",COUNTIF($E$2:E7679,"Domain"),"")</f>
        <v/>
      </c>
    </row>
    <row r="7680">
      <c r="A7680" s="2" t="n"/>
      <c r="B7680">
        <f>LOWER(TRIM(A7680))</f>
        <v/>
      </c>
      <c r="C7680">
        <f>IF(B7680="","",IFERROR(INDEX('Bad Patterns'!$A$2:$A$120,MATCH(1,INDEX(--ISNUMBER(SEARCH('Bad Patterns'!$A$2:$A$120,B7680)),0),0)),""))</f>
        <v/>
      </c>
      <c r="D7680">
        <f>IF(B7680="","",IF(C7680&lt;&gt;"","REMOVE","KEEP"))</f>
        <v/>
      </c>
      <c r="E7680">
        <f>IF(D7680&lt;&gt;"KEEP","",IF(RIGHT(B7680,10)="@gmail.com","Gmail",IF(OR(RIGHT(B7680,12)="@outlook.com",RIGHT(B7680,12)="@hotmail.com",RIGHT(B7680,9)="@live.com"),"Outlook","Domain")))</f>
        <v/>
      </c>
      <c r="F7680">
        <f>IF(B7680="","",IFERROR(RIGHT(B7680,LEN(B7680)-FIND("@",B7680)),""))</f>
        <v/>
      </c>
      <c r="G7680">
        <f>IF(D7680="KEEP",COUNTIF($D$2:D7680,"KEEP"),"")</f>
        <v/>
      </c>
      <c r="H7680">
        <f>IF(D7680="REMOVE",COUNTIF($D$2:D7680,"REMOVE"),"")</f>
        <v/>
      </c>
      <c r="I7680">
        <f>IF(E7680="Gmail",COUNTIF($E$2:E7680,"Gmail"),"")</f>
        <v/>
      </c>
      <c r="J7680">
        <f>IF(E7680="Outlook",COUNTIF($E$2:E7680,"Outlook"),"")</f>
        <v/>
      </c>
      <c r="K7680">
        <f>IF(E7680="Domain",COUNTIF($E$2:E7680,"Domain"),"")</f>
        <v/>
      </c>
    </row>
    <row r="7681">
      <c r="A7681" s="2" t="n"/>
      <c r="B7681">
        <f>LOWER(TRIM(A7681))</f>
        <v/>
      </c>
      <c r="C7681">
        <f>IF(B7681="","",IFERROR(INDEX('Bad Patterns'!$A$2:$A$120,MATCH(1,INDEX(--ISNUMBER(SEARCH('Bad Patterns'!$A$2:$A$120,B7681)),0),0)),""))</f>
        <v/>
      </c>
      <c r="D7681">
        <f>IF(B7681="","",IF(C7681&lt;&gt;"","REMOVE","KEEP"))</f>
        <v/>
      </c>
      <c r="E7681">
        <f>IF(D7681&lt;&gt;"KEEP","",IF(RIGHT(B7681,10)="@gmail.com","Gmail",IF(OR(RIGHT(B7681,12)="@outlook.com",RIGHT(B7681,12)="@hotmail.com",RIGHT(B7681,9)="@live.com"),"Outlook","Domain")))</f>
        <v/>
      </c>
      <c r="F7681">
        <f>IF(B7681="","",IFERROR(RIGHT(B7681,LEN(B7681)-FIND("@",B7681)),""))</f>
        <v/>
      </c>
      <c r="G7681">
        <f>IF(D7681="KEEP",COUNTIF($D$2:D7681,"KEEP"),"")</f>
        <v/>
      </c>
      <c r="H7681">
        <f>IF(D7681="REMOVE",COUNTIF($D$2:D7681,"REMOVE"),"")</f>
        <v/>
      </c>
      <c r="I7681">
        <f>IF(E7681="Gmail",COUNTIF($E$2:E7681,"Gmail"),"")</f>
        <v/>
      </c>
      <c r="J7681">
        <f>IF(E7681="Outlook",COUNTIF($E$2:E7681,"Outlook"),"")</f>
        <v/>
      </c>
      <c r="K7681">
        <f>IF(E7681="Domain",COUNTIF($E$2:E7681,"Domain"),"")</f>
        <v/>
      </c>
    </row>
    <row r="7682">
      <c r="A7682" s="2" t="n"/>
      <c r="B7682">
        <f>LOWER(TRIM(A7682))</f>
        <v/>
      </c>
      <c r="C7682">
        <f>IF(B7682="","",IFERROR(INDEX('Bad Patterns'!$A$2:$A$120,MATCH(1,INDEX(--ISNUMBER(SEARCH('Bad Patterns'!$A$2:$A$120,B7682)),0),0)),""))</f>
        <v/>
      </c>
      <c r="D7682">
        <f>IF(B7682="","",IF(C7682&lt;&gt;"","REMOVE","KEEP"))</f>
        <v/>
      </c>
      <c r="E7682">
        <f>IF(D7682&lt;&gt;"KEEP","",IF(RIGHT(B7682,10)="@gmail.com","Gmail",IF(OR(RIGHT(B7682,12)="@outlook.com",RIGHT(B7682,12)="@hotmail.com",RIGHT(B7682,9)="@live.com"),"Outlook","Domain")))</f>
        <v/>
      </c>
      <c r="F7682">
        <f>IF(B7682="","",IFERROR(RIGHT(B7682,LEN(B7682)-FIND("@",B7682)),""))</f>
        <v/>
      </c>
      <c r="G7682">
        <f>IF(D7682="KEEP",COUNTIF($D$2:D7682,"KEEP"),"")</f>
        <v/>
      </c>
      <c r="H7682">
        <f>IF(D7682="REMOVE",COUNTIF($D$2:D7682,"REMOVE"),"")</f>
        <v/>
      </c>
      <c r="I7682">
        <f>IF(E7682="Gmail",COUNTIF($E$2:E7682,"Gmail"),"")</f>
        <v/>
      </c>
      <c r="J7682">
        <f>IF(E7682="Outlook",COUNTIF($E$2:E7682,"Outlook"),"")</f>
        <v/>
      </c>
      <c r="K7682">
        <f>IF(E7682="Domain",COUNTIF($E$2:E7682,"Domain"),"")</f>
        <v/>
      </c>
    </row>
    <row r="7683">
      <c r="A7683" s="2" t="n"/>
      <c r="B7683">
        <f>LOWER(TRIM(A7683))</f>
        <v/>
      </c>
      <c r="C7683">
        <f>IF(B7683="","",IFERROR(INDEX('Bad Patterns'!$A$2:$A$120,MATCH(1,INDEX(--ISNUMBER(SEARCH('Bad Patterns'!$A$2:$A$120,B7683)),0),0)),""))</f>
        <v/>
      </c>
      <c r="D7683">
        <f>IF(B7683="","",IF(C7683&lt;&gt;"","REMOVE","KEEP"))</f>
        <v/>
      </c>
      <c r="E7683">
        <f>IF(D7683&lt;&gt;"KEEP","",IF(RIGHT(B7683,10)="@gmail.com","Gmail",IF(OR(RIGHT(B7683,12)="@outlook.com",RIGHT(B7683,12)="@hotmail.com",RIGHT(B7683,9)="@live.com"),"Outlook","Domain")))</f>
        <v/>
      </c>
      <c r="F7683">
        <f>IF(B7683="","",IFERROR(RIGHT(B7683,LEN(B7683)-FIND("@",B7683)),""))</f>
        <v/>
      </c>
      <c r="G7683">
        <f>IF(D7683="KEEP",COUNTIF($D$2:D7683,"KEEP"),"")</f>
        <v/>
      </c>
      <c r="H7683">
        <f>IF(D7683="REMOVE",COUNTIF($D$2:D7683,"REMOVE"),"")</f>
        <v/>
      </c>
      <c r="I7683">
        <f>IF(E7683="Gmail",COUNTIF($E$2:E7683,"Gmail"),"")</f>
        <v/>
      </c>
      <c r="J7683">
        <f>IF(E7683="Outlook",COUNTIF($E$2:E7683,"Outlook"),"")</f>
        <v/>
      </c>
      <c r="K7683">
        <f>IF(E7683="Domain",COUNTIF($E$2:E7683,"Domain"),"")</f>
        <v/>
      </c>
    </row>
    <row r="7684">
      <c r="A7684" s="2" t="n"/>
      <c r="B7684">
        <f>LOWER(TRIM(A7684))</f>
        <v/>
      </c>
      <c r="C7684">
        <f>IF(B7684="","",IFERROR(INDEX('Bad Patterns'!$A$2:$A$120,MATCH(1,INDEX(--ISNUMBER(SEARCH('Bad Patterns'!$A$2:$A$120,B7684)),0),0)),""))</f>
        <v/>
      </c>
      <c r="D7684">
        <f>IF(B7684="","",IF(C7684&lt;&gt;"","REMOVE","KEEP"))</f>
        <v/>
      </c>
      <c r="E7684">
        <f>IF(D7684&lt;&gt;"KEEP","",IF(RIGHT(B7684,10)="@gmail.com","Gmail",IF(OR(RIGHT(B7684,12)="@outlook.com",RIGHT(B7684,12)="@hotmail.com",RIGHT(B7684,9)="@live.com"),"Outlook","Domain")))</f>
        <v/>
      </c>
      <c r="F7684">
        <f>IF(B7684="","",IFERROR(RIGHT(B7684,LEN(B7684)-FIND("@",B7684)),""))</f>
        <v/>
      </c>
      <c r="G7684">
        <f>IF(D7684="KEEP",COUNTIF($D$2:D7684,"KEEP"),"")</f>
        <v/>
      </c>
      <c r="H7684">
        <f>IF(D7684="REMOVE",COUNTIF($D$2:D7684,"REMOVE"),"")</f>
        <v/>
      </c>
      <c r="I7684">
        <f>IF(E7684="Gmail",COUNTIF($E$2:E7684,"Gmail"),"")</f>
        <v/>
      </c>
      <c r="J7684">
        <f>IF(E7684="Outlook",COUNTIF($E$2:E7684,"Outlook"),"")</f>
        <v/>
      </c>
      <c r="K7684">
        <f>IF(E7684="Domain",COUNTIF($E$2:E7684,"Domain"),"")</f>
        <v/>
      </c>
    </row>
    <row r="7685">
      <c r="A7685" s="2" t="n"/>
      <c r="B7685">
        <f>LOWER(TRIM(A7685))</f>
        <v/>
      </c>
      <c r="C7685">
        <f>IF(B7685="","",IFERROR(INDEX('Bad Patterns'!$A$2:$A$120,MATCH(1,INDEX(--ISNUMBER(SEARCH('Bad Patterns'!$A$2:$A$120,B7685)),0),0)),""))</f>
        <v/>
      </c>
      <c r="D7685">
        <f>IF(B7685="","",IF(C7685&lt;&gt;"","REMOVE","KEEP"))</f>
        <v/>
      </c>
      <c r="E7685">
        <f>IF(D7685&lt;&gt;"KEEP","",IF(RIGHT(B7685,10)="@gmail.com","Gmail",IF(OR(RIGHT(B7685,12)="@outlook.com",RIGHT(B7685,12)="@hotmail.com",RIGHT(B7685,9)="@live.com"),"Outlook","Domain")))</f>
        <v/>
      </c>
      <c r="F7685">
        <f>IF(B7685="","",IFERROR(RIGHT(B7685,LEN(B7685)-FIND("@",B7685)),""))</f>
        <v/>
      </c>
      <c r="G7685">
        <f>IF(D7685="KEEP",COUNTIF($D$2:D7685,"KEEP"),"")</f>
        <v/>
      </c>
      <c r="H7685">
        <f>IF(D7685="REMOVE",COUNTIF($D$2:D7685,"REMOVE"),"")</f>
        <v/>
      </c>
      <c r="I7685">
        <f>IF(E7685="Gmail",COUNTIF($E$2:E7685,"Gmail"),"")</f>
        <v/>
      </c>
      <c r="J7685">
        <f>IF(E7685="Outlook",COUNTIF($E$2:E7685,"Outlook"),"")</f>
        <v/>
      </c>
      <c r="K7685">
        <f>IF(E7685="Domain",COUNTIF($E$2:E7685,"Domain"),"")</f>
        <v/>
      </c>
    </row>
    <row r="7686">
      <c r="A7686" s="2" t="n"/>
      <c r="B7686">
        <f>LOWER(TRIM(A7686))</f>
        <v/>
      </c>
      <c r="C7686">
        <f>IF(B7686="","",IFERROR(INDEX('Bad Patterns'!$A$2:$A$120,MATCH(1,INDEX(--ISNUMBER(SEARCH('Bad Patterns'!$A$2:$A$120,B7686)),0),0)),""))</f>
        <v/>
      </c>
      <c r="D7686">
        <f>IF(B7686="","",IF(C7686&lt;&gt;"","REMOVE","KEEP"))</f>
        <v/>
      </c>
      <c r="E7686">
        <f>IF(D7686&lt;&gt;"KEEP","",IF(RIGHT(B7686,10)="@gmail.com","Gmail",IF(OR(RIGHT(B7686,12)="@outlook.com",RIGHT(B7686,12)="@hotmail.com",RIGHT(B7686,9)="@live.com"),"Outlook","Domain")))</f>
        <v/>
      </c>
      <c r="F7686">
        <f>IF(B7686="","",IFERROR(RIGHT(B7686,LEN(B7686)-FIND("@",B7686)),""))</f>
        <v/>
      </c>
      <c r="G7686">
        <f>IF(D7686="KEEP",COUNTIF($D$2:D7686,"KEEP"),"")</f>
        <v/>
      </c>
      <c r="H7686">
        <f>IF(D7686="REMOVE",COUNTIF($D$2:D7686,"REMOVE"),"")</f>
        <v/>
      </c>
      <c r="I7686">
        <f>IF(E7686="Gmail",COUNTIF($E$2:E7686,"Gmail"),"")</f>
        <v/>
      </c>
      <c r="J7686">
        <f>IF(E7686="Outlook",COUNTIF($E$2:E7686,"Outlook"),"")</f>
        <v/>
      </c>
      <c r="K7686">
        <f>IF(E7686="Domain",COUNTIF($E$2:E7686,"Domain"),"")</f>
        <v/>
      </c>
    </row>
    <row r="7687">
      <c r="A7687" s="2" t="n"/>
      <c r="B7687">
        <f>LOWER(TRIM(A7687))</f>
        <v/>
      </c>
      <c r="C7687">
        <f>IF(B7687="","",IFERROR(INDEX('Bad Patterns'!$A$2:$A$120,MATCH(1,INDEX(--ISNUMBER(SEARCH('Bad Patterns'!$A$2:$A$120,B7687)),0),0)),""))</f>
        <v/>
      </c>
      <c r="D7687">
        <f>IF(B7687="","",IF(C7687&lt;&gt;"","REMOVE","KEEP"))</f>
        <v/>
      </c>
      <c r="E7687">
        <f>IF(D7687&lt;&gt;"KEEP","",IF(RIGHT(B7687,10)="@gmail.com","Gmail",IF(OR(RIGHT(B7687,12)="@outlook.com",RIGHT(B7687,12)="@hotmail.com",RIGHT(B7687,9)="@live.com"),"Outlook","Domain")))</f>
        <v/>
      </c>
      <c r="F7687">
        <f>IF(B7687="","",IFERROR(RIGHT(B7687,LEN(B7687)-FIND("@",B7687)),""))</f>
        <v/>
      </c>
      <c r="G7687">
        <f>IF(D7687="KEEP",COUNTIF($D$2:D7687,"KEEP"),"")</f>
        <v/>
      </c>
      <c r="H7687">
        <f>IF(D7687="REMOVE",COUNTIF($D$2:D7687,"REMOVE"),"")</f>
        <v/>
      </c>
      <c r="I7687">
        <f>IF(E7687="Gmail",COUNTIF($E$2:E7687,"Gmail"),"")</f>
        <v/>
      </c>
      <c r="J7687">
        <f>IF(E7687="Outlook",COUNTIF($E$2:E7687,"Outlook"),"")</f>
        <v/>
      </c>
      <c r="K7687">
        <f>IF(E7687="Domain",COUNTIF($E$2:E7687,"Domain"),"")</f>
        <v/>
      </c>
    </row>
    <row r="7688">
      <c r="A7688" s="2" t="n"/>
      <c r="B7688">
        <f>LOWER(TRIM(A7688))</f>
        <v/>
      </c>
      <c r="C7688">
        <f>IF(B7688="","",IFERROR(INDEX('Bad Patterns'!$A$2:$A$120,MATCH(1,INDEX(--ISNUMBER(SEARCH('Bad Patterns'!$A$2:$A$120,B7688)),0),0)),""))</f>
        <v/>
      </c>
      <c r="D7688">
        <f>IF(B7688="","",IF(C7688&lt;&gt;"","REMOVE","KEEP"))</f>
        <v/>
      </c>
      <c r="E7688">
        <f>IF(D7688&lt;&gt;"KEEP","",IF(RIGHT(B7688,10)="@gmail.com","Gmail",IF(OR(RIGHT(B7688,12)="@outlook.com",RIGHT(B7688,12)="@hotmail.com",RIGHT(B7688,9)="@live.com"),"Outlook","Domain")))</f>
        <v/>
      </c>
      <c r="F7688">
        <f>IF(B7688="","",IFERROR(RIGHT(B7688,LEN(B7688)-FIND("@",B7688)),""))</f>
        <v/>
      </c>
      <c r="G7688">
        <f>IF(D7688="KEEP",COUNTIF($D$2:D7688,"KEEP"),"")</f>
        <v/>
      </c>
      <c r="H7688">
        <f>IF(D7688="REMOVE",COUNTIF($D$2:D7688,"REMOVE"),"")</f>
        <v/>
      </c>
      <c r="I7688">
        <f>IF(E7688="Gmail",COUNTIF($E$2:E7688,"Gmail"),"")</f>
        <v/>
      </c>
      <c r="J7688">
        <f>IF(E7688="Outlook",COUNTIF($E$2:E7688,"Outlook"),"")</f>
        <v/>
      </c>
      <c r="K7688">
        <f>IF(E7688="Domain",COUNTIF($E$2:E7688,"Domain"),"")</f>
        <v/>
      </c>
    </row>
    <row r="7689">
      <c r="A7689" s="2" t="n"/>
      <c r="B7689">
        <f>LOWER(TRIM(A7689))</f>
        <v/>
      </c>
      <c r="C7689">
        <f>IF(B7689="","",IFERROR(INDEX('Bad Patterns'!$A$2:$A$120,MATCH(1,INDEX(--ISNUMBER(SEARCH('Bad Patterns'!$A$2:$A$120,B7689)),0),0)),""))</f>
        <v/>
      </c>
      <c r="D7689">
        <f>IF(B7689="","",IF(C7689&lt;&gt;"","REMOVE","KEEP"))</f>
        <v/>
      </c>
      <c r="E7689">
        <f>IF(D7689&lt;&gt;"KEEP","",IF(RIGHT(B7689,10)="@gmail.com","Gmail",IF(OR(RIGHT(B7689,12)="@outlook.com",RIGHT(B7689,12)="@hotmail.com",RIGHT(B7689,9)="@live.com"),"Outlook","Domain")))</f>
        <v/>
      </c>
      <c r="F7689">
        <f>IF(B7689="","",IFERROR(RIGHT(B7689,LEN(B7689)-FIND("@",B7689)),""))</f>
        <v/>
      </c>
      <c r="G7689">
        <f>IF(D7689="KEEP",COUNTIF($D$2:D7689,"KEEP"),"")</f>
        <v/>
      </c>
      <c r="H7689">
        <f>IF(D7689="REMOVE",COUNTIF($D$2:D7689,"REMOVE"),"")</f>
        <v/>
      </c>
      <c r="I7689">
        <f>IF(E7689="Gmail",COUNTIF($E$2:E7689,"Gmail"),"")</f>
        <v/>
      </c>
      <c r="J7689">
        <f>IF(E7689="Outlook",COUNTIF($E$2:E7689,"Outlook"),"")</f>
        <v/>
      </c>
      <c r="K7689">
        <f>IF(E7689="Domain",COUNTIF($E$2:E7689,"Domain"),"")</f>
        <v/>
      </c>
    </row>
    <row r="7690">
      <c r="A7690" s="2" t="n"/>
      <c r="B7690">
        <f>LOWER(TRIM(A7690))</f>
        <v/>
      </c>
      <c r="C7690">
        <f>IF(B7690="","",IFERROR(INDEX('Bad Patterns'!$A$2:$A$120,MATCH(1,INDEX(--ISNUMBER(SEARCH('Bad Patterns'!$A$2:$A$120,B7690)),0),0)),""))</f>
        <v/>
      </c>
      <c r="D7690">
        <f>IF(B7690="","",IF(C7690&lt;&gt;"","REMOVE","KEEP"))</f>
        <v/>
      </c>
      <c r="E7690">
        <f>IF(D7690&lt;&gt;"KEEP","",IF(RIGHT(B7690,10)="@gmail.com","Gmail",IF(OR(RIGHT(B7690,12)="@outlook.com",RIGHT(B7690,12)="@hotmail.com",RIGHT(B7690,9)="@live.com"),"Outlook","Domain")))</f>
        <v/>
      </c>
      <c r="F7690">
        <f>IF(B7690="","",IFERROR(RIGHT(B7690,LEN(B7690)-FIND("@",B7690)),""))</f>
        <v/>
      </c>
      <c r="G7690">
        <f>IF(D7690="KEEP",COUNTIF($D$2:D7690,"KEEP"),"")</f>
        <v/>
      </c>
      <c r="H7690">
        <f>IF(D7690="REMOVE",COUNTIF($D$2:D7690,"REMOVE"),"")</f>
        <v/>
      </c>
      <c r="I7690">
        <f>IF(E7690="Gmail",COUNTIF($E$2:E7690,"Gmail"),"")</f>
        <v/>
      </c>
      <c r="J7690">
        <f>IF(E7690="Outlook",COUNTIF($E$2:E7690,"Outlook"),"")</f>
        <v/>
      </c>
      <c r="K7690">
        <f>IF(E7690="Domain",COUNTIF($E$2:E7690,"Domain"),"")</f>
        <v/>
      </c>
    </row>
    <row r="7691">
      <c r="A7691" s="2" t="n"/>
      <c r="B7691">
        <f>LOWER(TRIM(A7691))</f>
        <v/>
      </c>
      <c r="C7691">
        <f>IF(B7691="","",IFERROR(INDEX('Bad Patterns'!$A$2:$A$120,MATCH(1,INDEX(--ISNUMBER(SEARCH('Bad Patterns'!$A$2:$A$120,B7691)),0),0)),""))</f>
        <v/>
      </c>
      <c r="D7691">
        <f>IF(B7691="","",IF(C7691&lt;&gt;"","REMOVE","KEEP"))</f>
        <v/>
      </c>
      <c r="E7691">
        <f>IF(D7691&lt;&gt;"KEEP","",IF(RIGHT(B7691,10)="@gmail.com","Gmail",IF(OR(RIGHT(B7691,12)="@outlook.com",RIGHT(B7691,12)="@hotmail.com",RIGHT(B7691,9)="@live.com"),"Outlook","Domain")))</f>
        <v/>
      </c>
      <c r="F7691">
        <f>IF(B7691="","",IFERROR(RIGHT(B7691,LEN(B7691)-FIND("@",B7691)),""))</f>
        <v/>
      </c>
      <c r="G7691">
        <f>IF(D7691="KEEP",COUNTIF($D$2:D7691,"KEEP"),"")</f>
        <v/>
      </c>
      <c r="H7691">
        <f>IF(D7691="REMOVE",COUNTIF($D$2:D7691,"REMOVE"),"")</f>
        <v/>
      </c>
      <c r="I7691">
        <f>IF(E7691="Gmail",COUNTIF($E$2:E7691,"Gmail"),"")</f>
        <v/>
      </c>
      <c r="J7691">
        <f>IF(E7691="Outlook",COUNTIF($E$2:E7691,"Outlook"),"")</f>
        <v/>
      </c>
      <c r="K7691">
        <f>IF(E7691="Domain",COUNTIF($E$2:E7691,"Domain"),"")</f>
        <v/>
      </c>
    </row>
    <row r="7692">
      <c r="A7692" s="2" t="n"/>
      <c r="B7692">
        <f>LOWER(TRIM(A7692))</f>
        <v/>
      </c>
      <c r="C7692">
        <f>IF(B7692="","",IFERROR(INDEX('Bad Patterns'!$A$2:$A$120,MATCH(1,INDEX(--ISNUMBER(SEARCH('Bad Patterns'!$A$2:$A$120,B7692)),0),0)),""))</f>
        <v/>
      </c>
      <c r="D7692">
        <f>IF(B7692="","",IF(C7692&lt;&gt;"","REMOVE","KEEP"))</f>
        <v/>
      </c>
      <c r="E7692">
        <f>IF(D7692&lt;&gt;"KEEP","",IF(RIGHT(B7692,10)="@gmail.com","Gmail",IF(OR(RIGHT(B7692,12)="@outlook.com",RIGHT(B7692,12)="@hotmail.com",RIGHT(B7692,9)="@live.com"),"Outlook","Domain")))</f>
        <v/>
      </c>
      <c r="F7692">
        <f>IF(B7692="","",IFERROR(RIGHT(B7692,LEN(B7692)-FIND("@",B7692)),""))</f>
        <v/>
      </c>
      <c r="G7692">
        <f>IF(D7692="KEEP",COUNTIF($D$2:D7692,"KEEP"),"")</f>
        <v/>
      </c>
      <c r="H7692">
        <f>IF(D7692="REMOVE",COUNTIF($D$2:D7692,"REMOVE"),"")</f>
        <v/>
      </c>
      <c r="I7692">
        <f>IF(E7692="Gmail",COUNTIF($E$2:E7692,"Gmail"),"")</f>
        <v/>
      </c>
      <c r="J7692">
        <f>IF(E7692="Outlook",COUNTIF($E$2:E7692,"Outlook"),"")</f>
        <v/>
      </c>
      <c r="K7692">
        <f>IF(E7692="Domain",COUNTIF($E$2:E7692,"Domain"),"")</f>
        <v/>
      </c>
    </row>
    <row r="7693">
      <c r="A7693" s="2" t="n"/>
      <c r="B7693">
        <f>LOWER(TRIM(A7693))</f>
        <v/>
      </c>
      <c r="C7693">
        <f>IF(B7693="","",IFERROR(INDEX('Bad Patterns'!$A$2:$A$120,MATCH(1,INDEX(--ISNUMBER(SEARCH('Bad Patterns'!$A$2:$A$120,B7693)),0),0)),""))</f>
        <v/>
      </c>
      <c r="D7693">
        <f>IF(B7693="","",IF(C7693&lt;&gt;"","REMOVE","KEEP"))</f>
        <v/>
      </c>
      <c r="E7693">
        <f>IF(D7693&lt;&gt;"KEEP","",IF(RIGHT(B7693,10)="@gmail.com","Gmail",IF(OR(RIGHT(B7693,12)="@outlook.com",RIGHT(B7693,12)="@hotmail.com",RIGHT(B7693,9)="@live.com"),"Outlook","Domain")))</f>
        <v/>
      </c>
      <c r="F7693">
        <f>IF(B7693="","",IFERROR(RIGHT(B7693,LEN(B7693)-FIND("@",B7693)),""))</f>
        <v/>
      </c>
      <c r="G7693">
        <f>IF(D7693="KEEP",COUNTIF($D$2:D7693,"KEEP"),"")</f>
        <v/>
      </c>
      <c r="H7693">
        <f>IF(D7693="REMOVE",COUNTIF($D$2:D7693,"REMOVE"),"")</f>
        <v/>
      </c>
      <c r="I7693">
        <f>IF(E7693="Gmail",COUNTIF($E$2:E7693,"Gmail"),"")</f>
        <v/>
      </c>
      <c r="J7693">
        <f>IF(E7693="Outlook",COUNTIF($E$2:E7693,"Outlook"),"")</f>
        <v/>
      </c>
      <c r="K7693">
        <f>IF(E7693="Domain",COUNTIF($E$2:E7693,"Domain"),"")</f>
        <v/>
      </c>
    </row>
    <row r="7694">
      <c r="A7694" s="2" t="n"/>
      <c r="B7694">
        <f>LOWER(TRIM(A7694))</f>
        <v/>
      </c>
      <c r="C7694">
        <f>IF(B7694="","",IFERROR(INDEX('Bad Patterns'!$A$2:$A$120,MATCH(1,INDEX(--ISNUMBER(SEARCH('Bad Patterns'!$A$2:$A$120,B7694)),0),0)),""))</f>
        <v/>
      </c>
      <c r="D7694">
        <f>IF(B7694="","",IF(C7694&lt;&gt;"","REMOVE","KEEP"))</f>
        <v/>
      </c>
      <c r="E7694">
        <f>IF(D7694&lt;&gt;"KEEP","",IF(RIGHT(B7694,10)="@gmail.com","Gmail",IF(OR(RIGHT(B7694,12)="@outlook.com",RIGHT(B7694,12)="@hotmail.com",RIGHT(B7694,9)="@live.com"),"Outlook","Domain")))</f>
        <v/>
      </c>
      <c r="F7694">
        <f>IF(B7694="","",IFERROR(RIGHT(B7694,LEN(B7694)-FIND("@",B7694)),""))</f>
        <v/>
      </c>
      <c r="G7694">
        <f>IF(D7694="KEEP",COUNTIF($D$2:D7694,"KEEP"),"")</f>
        <v/>
      </c>
      <c r="H7694">
        <f>IF(D7694="REMOVE",COUNTIF($D$2:D7694,"REMOVE"),"")</f>
        <v/>
      </c>
      <c r="I7694">
        <f>IF(E7694="Gmail",COUNTIF($E$2:E7694,"Gmail"),"")</f>
        <v/>
      </c>
      <c r="J7694">
        <f>IF(E7694="Outlook",COUNTIF($E$2:E7694,"Outlook"),"")</f>
        <v/>
      </c>
      <c r="K7694">
        <f>IF(E7694="Domain",COUNTIF($E$2:E7694,"Domain"),"")</f>
        <v/>
      </c>
    </row>
    <row r="7695">
      <c r="A7695" s="2" t="n"/>
      <c r="B7695">
        <f>LOWER(TRIM(A7695))</f>
        <v/>
      </c>
      <c r="C7695">
        <f>IF(B7695="","",IFERROR(INDEX('Bad Patterns'!$A$2:$A$120,MATCH(1,INDEX(--ISNUMBER(SEARCH('Bad Patterns'!$A$2:$A$120,B7695)),0),0)),""))</f>
        <v/>
      </c>
      <c r="D7695">
        <f>IF(B7695="","",IF(C7695&lt;&gt;"","REMOVE","KEEP"))</f>
        <v/>
      </c>
      <c r="E7695">
        <f>IF(D7695&lt;&gt;"KEEP","",IF(RIGHT(B7695,10)="@gmail.com","Gmail",IF(OR(RIGHT(B7695,12)="@outlook.com",RIGHT(B7695,12)="@hotmail.com",RIGHT(B7695,9)="@live.com"),"Outlook","Domain")))</f>
        <v/>
      </c>
      <c r="F7695">
        <f>IF(B7695="","",IFERROR(RIGHT(B7695,LEN(B7695)-FIND("@",B7695)),""))</f>
        <v/>
      </c>
      <c r="G7695">
        <f>IF(D7695="KEEP",COUNTIF($D$2:D7695,"KEEP"),"")</f>
        <v/>
      </c>
      <c r="H7695">
        <f>IF(D7695="REMOVE",COUNTIF($D$2:D7695,"REMOVE"),"")</f>
        <v/>
      </c>
      <c r="I7695">
        <f>IF(E7695="Gmail",COUNTIF($E$2:E7695,"Gmail"),"")</f>
        <v/>
      </c>
      <c r="J7695">
        <f>IF(E7695="Outlook",COUNTIF($E$2:E7695,"Outlook"),"")</f>
        <v/>
      </c>
      <c r="K7695">
        <f>IF(E7695="Domain",COUNTIF($E$2:E7695,"Domain"),"")</f>
        <v/>
      </c>
    </row>
    <row r="7696">
      <c r="A7696" s="2" t="n"/>
      <c r="B7696">
        <f>LOWER(TRIM(A7696))</f>
        <v/>
      </c>
      <c r="C7696">
        <f>IF(B7696="","",IFERROR(INDEX('Bad Patterns'!$A$2:$A$120,MATCH(1,INDEX(--ISNUMBER(SEARCH('Bad Patterns'!$A$2:$A$120,B7696)),0),0)),""))</f>
        <v/>
      </c>
      <c r="D7696">
        <f>IF(B7696="","",IF(C7696&lt;&gt;"","REMOVE","KEEP"))</f>
        <v/>
      </c>
      <c r="E7696">
        <f>IF(D7696&lt;&gt;"KEEP","",IF(RIGHT(B7696,10)="@gmail.com","Gmail",IF(OR(RIGHT(B7696,12)="@outlook.com",RIGHT(B7696,12)="@hotmail.com",RIGHT(B7696,9)="@live.com"),"Outlook","Domain")))</f>
        <v/>
      </c>
      <c r="F7696">
        <f>IF(B7696="","",IFERROR(RIGHT(B7696,LEN(B7696)-FIND("@",B7696)),""))</f>
        <v/>
      </c>
      <c r="G7696">
        <f>IF(D7696="KEEP",COUNTIF($D$2:D7696,"KEEP"),"")</f>
        <v/>
      </c>
      <c r="H7696">
        <f>IF(D7696="REMOVE",COUNTIF($D$2:D7696,"REMOVE"),"")</f>
        <v/>
      </c>
      <c r="I7696">
        <f>IF(E7696="Gmail",COUNTIF($E$2:E7696,"Gmail"),"")</f>
        <v/>
      </c>
      <c r="J7696">
        <f>IF(E7696="Outlook",COUNTIF($E$2:E7696,"Outlook"),"")</f>
        <v/>
      </c>
      <c r="K7696">
        <f>IF(E7696="Domain",COUNTIF($E$2:E7696,"Domain"),"")</f>
        <v/>
      </c>
    </row>
    <row r="7697">
      <c r="A7697" s="2" t="n"/>
      <c r="B7697">
        <f>LOWER(TRIM(A7697))</f>
        <v/>
      </c>
      <c r="C7697">
        <f>IF(B7697="","",IFERROR(INDEX('Bad Patterns'!$A$2:$A$120,MATCH(1,INDEX(--ISNUMBER(SEARCH('Bad Patterns'!$A$2:$A$120,B7697)),0),0)),""))</f>
        <v/>
      </c>
      <c r="D7697">
        <f>IF(B7697="","",IF(C7697&lt;&gt;"","REMOVE","KEEP"))</f>
        <v/>
      </c>
      <c r="E7697">
        <f>IF(D7697&lt;&gt;"KEEP","",IF(RIGHT(B7697,10)="@gmail.com","Gmail",IF(OR(RIGHT(B7697,12)="@outlook.com",RIGHT(B7697,12)="@hotmail.com",RIGHT(B7697,9)="@live.com"),"Outlook","Domain")))</f>
        <v/>
      </c>
      <c r="F7697">
        <f>IF(B7697="","",IFERROR(RIGHT(B7697,LEN(B7697)-FIND("@",B7697)),""))</f>
        <v/>
      </c>
      <c r="G7697">
        <f>IF(D7697="KEEP",COUNTIF($D$2:D7697,"KEEP"),"")</f>
        <v/>
      </c>
      <c r="H7697">
        <f>IF(D7697="REMOVE",COUNTIF($D$2:D7697,"REMOVE"),"")</f>
        <v/>
      </c>
      <c r="I7697">
        <f>IF(E7697="Gmail",COUNTIF($E$2:E7697,"Gmail"),"")</f>
        <v/>
      </c>
      <c r="J7697">
        <f>IF(E7697="Outlook",COUNTIF($E$2:E7697,"Outlook"),"")</f>
        <v/>
      </c>
      <c r="K7697">
        <f>IF(E7697="Domain",COUNTIF($E$2:E7697,"Domain"),"")</f>
        <v/>
      </c>
    </row>
    <row r="7698">
      <c r="A7698" s="2" t="n"/>
      <c r="B7698">
        <f>LOWER(TRIM(A7698))</f>
        <v/>
      </c>
      <c r="C7698">
        <f>IF(B7698="","",IFERROR(INDEX('Bad Patterns'!$A$2:$A$120,MATCH(1,INDEX(--ISNUMBER(SEARCH('Bad Patterns'!$A$2:$A$120,B7698)),0),0)),""))</f>
        <v/>
      </c>
      <c r="D7698">
        <f>IF(B7698="","",IF(C7698&lt;&gt;"","REMOVE","KEEP"))</f>
        <v/>
      </c>
      <c r="E7698">
        <f>IF(D7698&lt;&gt;"KEEP","",IF(RIGHT(B7698,10)="@gmail.com","Gmail",IF(OR(RIGHT(B7698,12)="@outlook.com",RIGHT(B7698,12)="@hotmail.com",RIGHT(B7698,9)="@live.com"),"Outlook","Domain")))</f>
        <v/>
      </c>
      <c r="F7698">
        <f>IF(B7698="","",IFERROR(RIGHT(B7698,LEN(B7698)-FIND("@",B7698)),""))</f>
        <v/>
      </c>
      <c r="G7698">
        <f>IF(D7698="KEEP",COUNTIF($D$2:D7698,"KEEP"),"")</f>
        <v/>
      </c>
      <c r="H7698">
        <f>IF(D7698="REMOVE",COUNTIF($D$2:D7698,"REMOVE"),"")</f>
        <v/>
      </c>
      <c r="I7698">
        <f>IF(E7698="Gmail",COUNTIF($E$2:E7698,"Gmail"),"")</f>
        <v/>
      </c>
      <c r="J7698">
        <f>IF(E7698="Outlook",COUNTIF($E$2:E7698,"Outlook"),"")</f>
        <v/>
      </c>
      <c r="K7698">
        <f>IF(E7698="Domain",COUNTIF($E$2:E7698,"Domain"),"")</f>
        <v/>
      </c>
    </row>
    <row r="7699">
      <c r="A7699" s="2" t="n"/>
      <c r="B7699">
        <f>LOWER(TRIM(A7699))</f>
        <v/>
      </c>
      <c r="C7699">
        <f>IF(B7699="","",IFERROR(INDEX('Bad Patterns'!$A$2:$A$120,MATCH(1,INDEX(--ISNUMBER(SEARCH('Bad Patterns'!$A$2:$A$120,B7699)),0),0)),""))</f>
        <v/>
      </c>
      <c r="D7699">
        <f>IF(B7699="","",IF(C7699&lt;&gt;"","REMOVE","KEEP"))</f>
        <v/>
      </c>
      <c r="E7699">
        <f>IF(D7699&lt;&gt;"KEEP","",IF(RIGHT(B7699,10)="@gmail.com","Gmail",IF(OR(RIGHT(B7699,12)="@outlook.com",RIGHT(B7699,12)="@hotmail.com",RIGHT(B7699,9)="@live.com"),"Outlook","Domain")))</f>
        <v/>
      </c>
      <c r="F7699">
        <f>IF(B7699="","",IFERROR(RIGHT(B7699,LEN(B7699)-FIND("@",B7699)),""))</f>
        <v/>
      </c>
      <c r="G7699">
        <f>IF(D7699="KEEP",COUNTIF($D$2:D7699,"KEEP"),"")</f>
        <v/>
      </c>
      <c r="H7699">
        <f>IF(D7699="REMOVE",COUNTIF($D$2:D7699,"REMOVE"),"")</f>
        <v/>
      </c>
      <c r="I7699">
        <f>IF(E7699="Gmail",COUNTIF($E$2:E7699,"Gmail"),"")</f>
        <v/>
      </c>
      <c r="J7699">
        <f>IF(E7699="Outlook",COUNTIF($E$2:E7699,"Outlook"),"")</f>
        <v/>
      </c>
      <c r="K7699">
        <f>IF(E7699="Domain",COUNTIF($E$2:E7699,"Domain"),"")</f>
        <v/>
      </c>
    </row>
    <row r="7700">
      <c r="A7700" s="2" t="n"/>
      <c r="B7700">
        <f>LOWER(TRIM(A7700))</f>
        <v/>
      </c>
      <c r="C7700">
        <f>IF(B7700="","",IFERROR(INDEX('Bad Patterns'!$A$2:$A$120,MATCH(1,INDEX(--ISNUMBER(SEARCH('Bad Patterns'!$A$2:$A$120,B7700)),0),0)),""))</f>
        <v/>
      </c>
      <c r="D7700">
        <f>IF(B7700="","",IF(C7700&lt;&gt;"","REMOVE","KEEP"))</f>
        <v/>
      </c>
      <c r="E7700">
        <f>IF(D7700&lt;&gt;"KEEP","",IF(RIGHT(B7700,10)="@gmail.com","Gmail",IF(OR(RIGHT(B7700,12)="@outlook.com",RIGHT(B7700,12)="@hotmail.com",RIGHT(B7700,9)="@live.com"),"Outlook","Domain")))</f>
        <v/>
      </c>
      <c r="F7700">
        <f>IF(B7700="","",IFERROR(RIGHT(B7700,LEN(B7700)-FIND("@",B7700)),""))</f>
        <v/>
      </c>
      <c r="G7700">
        <f>IF(D7700="KEEP",COUNTIF($D$2:D7700,"KEEP"),"")</f>
        <v/>
      </c>
      <c r="H7700">
        <f>IF(D7700="REMOVE",COUNTIF($D$2:D7700,"REMOVE"),"")</f>
        <v/>
      </c>
      <c r="I7700">
        <f>IF(E7700="Gmail",COUNTIF($E$2:E7700,"Gmail"),"")</f>
        <v/>
      </c>
      <c r="J7700">
        <f>IF(E7700="Outlook",COUNTIF($E$2:E7700,"Outlook"),"")</f>
        <v/>
      </c>
      <c r="K7700">
        <f>IF(E7700="Domain",COUNTIF($E$2:E7700,"Domain"),"")</f>
        <v/>
      </c>
    </row>
    <row r="7701">
      <c r="A7701" s="2" t="n"/>
      <c r="B7701">
        <f>LOWER(TRIM(A7701))</f>
        <v/>
      </c>
      <c r="C7701">
        <f>IF(B7701="","",IFERROR(INDEX('Bad Patterns'!$A$2:$A$120,MATCH(1,INDEX(--ISNUMBER(SEARCH('Bad Patterns'!$A$2:$A$120,B7701)),0),0)),""))</f>
        <v/>
      </c>
      <c r="D7701">
        <f>IF(B7701="","",IF(C7701&lt;&gt;"","REMOVE","KEEP"))</f>
        <v/>
      </c>
      <c r="E7701">
        <f>IF(D7701&lt;&gt;"KEEP","",IF(RIGHT(B7701,10)="@gmail.com","Gmail",IF(OR(RIGHT(B7701,12)="@outlook.com",RIGHT(B7701,12)="@hotmail.com",RIGHT(B7701,9)="@live.com"),"Outlook","Domain")))</f>
        <v/>
      </c>
      <c r="F7701">
        <f>IF(B7701="","",IFERROR(RIGHT(B7701,LEN(B7701)-FIND("@",B7701)),""))</f>
        <v/>
      </c>
      <c r="G7701">
        <f>IF(D7701="KEEP",COUNTIF($D$2:D7701,"KEEP"),"")</f>
        <v/>
      </c>
      <c r="H7701">
        <f>IF(D7701="REMOVE",COUNTIF($D$2:D7701,"REMOVE"),"")</f>
        <v/>
      </c>
      <c r="I7701">
        <f>IF(E7701="Gmail",COUNTIF($E$2:E7701,"Gmail"),"")</f>
        <v/>
      </c>
      <c r="J7701">
        <f>IF(E7701="Outlook",COUNTIF($E$2:E7701,"Outlook"),"")</f>
        <v/>
      </c>
      <c r="K7701">
        <f>IF(E7701="Domain",COUNTIF($E$2:E7701,"Domain"),"")</f>
        <v/>
      </c>
    </row>
    <row r="7702">
      <c r="A7702" s="2" t="n"/>
      <c r="B7702">
        <f>LOWER(TRIM(A7702))</f>
        <v/>
      </c>
      <c r="C7702">
        <f>IF(B7702="","",IFERROR(INDEX('Bad Patterns'!$A$2:$A$120,MATCH(1,INDEX(--ISNUMBER(SEARCH('Bad Patterns'!$A$2:$A$120,B7702)),0),0)),""))</f>
        <v/>
      </c>
      <c r="D7702">
        <f>IF(B7702="","",IF(C7702&lt;&gt;"","REMOVE","KEEP"))</f>
        <v/>
      </c>
      <c r="E7702">
        <f>IF(D7702&lt;&gt;"KEEP","",IF(RIGHT(B7702,10)="@gmail.com","Gmail",IF(OR(RIGHT(B7702,12)="@outlook.com",RIGHT(B7702,12)="@hotmail.com",RIGHT(B7702,9)="@live.com"),"Outlook","Domain")))</f>
        <v/>
      </c>
      <c r="F7702">
        <f>IF(B7702="","",IFERROR(RIGHT(B7702,LEN(B7702)-FIND("@",B7702)),""))</f>
        <v/>
      </c>
      <c r="G7702">
        <f>IF(D7702="KEEP",COUNTIF($D$2:D7702,"KEEP"),"")</f>
        <v/>
      </c>
      <c r="H7702">
        <f>IF(D7702="REMOVE",COUNTIF($D$2:D7702,"REMOVE"),"")</f>
        <v/>
      </c>
      <c r="I7702">
        <f>IF(E7702="Gmail",COUNTIF($E$2:E7702,"Gmail"),"")</f>
        <v/>
      </c>
      <c r="J7702">
        <f>IF(E7702="Outlook",COUNTIF($E$2:E7702,"Outlook"),"")</f>
        <v/>
      </c>
      <c r="K7702">
        <f>IF(E7702="Domain",COUNTIF($E$2:E7702,"Domain"),"")</f>
        <v/>
      </c>
    </row>
    <row r="7703">
      <c r="A7703" s="2" t="n"/>
      <c r="B7703">
        <f>LOWER(TRIM(A7703))</f>
        <v/>
      </c>
      <c r="C7703">
        <f>IF(B7703="","",IFERROR(INDEX('Bad Patterns'!$A$2:$A$120,MATCH(1,INDEX(--ISNUMBER(SEARCH('Bad Patterns'!$A$2:$A$120,B7703)),0),0)),""))</f>
        <v/>
      </c>
      <c r="D7703">
        <f>IF(B7703="","",IF(C7703&lt;&gt;"","REMOVE","KEEP"))</f>
        <v/>
      </c>
      <c r="E7703">
        <f>IF(D7703&lt;&gt;"KEEP","",IF(RIGHT(B7703,10)="@gmail.com","Gmail",IF(OR(RIGHT(B7703,12)="@outlook.com",RIGHT(B7703,12)="@hotmail.com",RIGHT(B7703,9)="@live.com"),"Outlook","Domain")))</f>
        <v/>
      </c>
      <c r="F7703">
        <f>IF(B7703="","",IFERROR(RIGHT(B7703,LEN(B7703)-FIND("@",B7703)),""))</f>
        <v/>
      </c>
      <c r="G7703">
        <f>IF(D7703="KEEP",COUNTIF($D$2:D7703,"KEEP"),"")</f>
        <v/>
      </c>
      <c r="H7703">
        <f>IF(D7703="REMOVE",COUNTIF($D$2:D7703,"REMOVE"),"")</f>
        <v/>
      </c>
      <c r="I7703">
        <f>IF(E7703="Gmail",COUNTIF($E$2:E7703,"Gmail"),"")</f>
        <v/>
      </c>
      <c r="J7703">
        <f>IF(E7703="Outlook",COUNTIF($E$2:E7703,"Outlook"),"")</f>
        <v/>
      </c>
      <c r="K7703">
        <f>IF(E7703="Domain",COUNTIF($E$2:E7703,"Domain"),"")</f>
        <v/>
      </c>
    </row>
    <row r="7704">
      <c r="A7704" s="2" t="n"/>
      <c r="B7704">
        <f>LOWER(TRIM(A7704))</f>
        <v/>
      </c>
      <c r="C7704">
        <f>IF(B7704="","",IFERROR(INDEX('Bad Patterns'!$A$2:$A$120,MATCH(1,INDEX(--ISNUMBER(SEARCH('Bad Patterns'!$A$2:$A$120,B7704)),0),0)),""))</f>
        <v/>
      </c>
      <c r="D7704">
        <f>IF(B7704="","",IF(C7704&lt;&gt;"","REMOVE","KEEP"))</f>
        <v/>
      </c>
      <c r="E7704">
        <f>IF(D7704&lt;&gt;"KEEP","",IF(RIGHT(B7704,10)="@gmail.com","Gmail",IF(OR(RIGHT(B7704,12)="@outlook.com",RIGHT(B7704,12)="@hotmail.com",RIGHT(B7704,9)="@live.com"),"Outlook","Domain")))</f>
        <v/>
      </c>
      <c r="F7704">
        <f>IF(B7704="","",IFERROR(RIGHT(B7704,LEN(B7704)-FIND("@",B7704)),""))</f>
        <v/>
      </c>
      <c r="G7704">
        <f>IF(D7704="KEEP",COUNTIF($D$2:D7704,"KEEP"),"")</f>
        <v/>
      </c>
      <c r="H7704">
        <f>IF(D7704="REMOVE",COUNTIF($D$2:D7704,"REMOVE"),"")</f>
        <v/>
      </c>
      <c r="I7704">
        <f>IF(E7704="Gmail",COUNTIF($E$2:E7704,"Gmail"),"")</f>
        <v/>
      </c>
      <c r="J7704">
        <f>IF(E7704="Outlook",COUNTIF($E$2:E7704,"Outlook"),"")</f>
        <v/>
      </c>
      <c r="K7704">
        <f>IF(E7704="Domain",COUNTIF($E$2:E7704,"Domain"),"")</f>
        <v/>
      </c>
    </row>
    <row r="7705">
      <c r="A7705" s="2" t="n"/>
      <c r="B7705">
        <f>LOWER(TRIM(A7705))</f>
        <v/>
      </c>
      <c r="C7705">
        <f>IF(B7705="","",IFERROR(INDEX('Bad Patterns'!$A$2:$A$120,MATCH(1,INDEX(--ISNUMBER(SEARCH('Bad Patterns'!$A$2:$A$120,B7705)),0),0)),""))</f>
        <v/>
      </c>
      <c r="D7705">
        <f>IF(B7705="","",IF(C7705&lt;&gt;"","REMOVE","KEEP"))</f>
        <v/>
      </c>
      <c r="E7705">
        <f>IF(D7705&lt;&gt;"KEEP","",IF(RIGHT(B7705,10)="@gmail.com","Gmail",IF(OR(RIGHT(B7705,12)="@outlook.com",RIGHT(B7705,12)="@hotmail.com",RIGHT(B7705,9)="@live.com"),"Outlook","Domain")))</f>
        <v/>
      </c>
      <c r="F7705">
        <f>IF(B7705="","",IFERROR(RIGHT(B7705,LEN(B7705)-FIND("@",B7705)),""))</f>
        <v/>
      </c>
      <c r="G7705">
        <f>IF(D7705="KEEP",COUNTIF($D$2:D7705,"KEEP"),"")</f>
        <v/>
      </c>
      <c r="H7705">
        <f>IF(D7705="REMOVE",COUNTIF($D$2:D7705,"REMOVE"),"")</f>
        <v/>
      </c>
      <c r="I7705">
        <f>IF(E7705="Gmail",COUNTIF($E$2:E7705,"Gmail"),"")</f>
        <v/>
      </c>
      <c r="J7705">
        <f>IF(E7705="Outlook",COUNTIF($E$2:E7705,"Outlook"),"")</f>
        <v/>
      </c>
      <c r="K7705">
        <f>IF(E7705="Domain",COUNTIF($E$2:E7705,"Domain"),"")</f>
        <v/>
      </c>
    </row>
    <row r="7706">
      <c r="A7706" s="2" t="n"/>
      <c r="B7706">
        <f>LOWER(TRIM(A7706))</f>
        <v/>
      </c>
      <c r="C7706">
        <f>IF(B7706="","",IFERROR(INDEX('Bad Patterns'!$A$2:$A$120,MATCH(1,INDEX(--ISNUMBER(SEARCH('Bad Patterns'!$A$2:$A$120,B7706)),0),0)),""))</f>
        <v/>
      </c>
      <c r="D7706">
        <f>IF(B7706="","",IF(C7706&lt;&gt;"","REMOVE","KEEP"))</f>
        <v/>
      </c>
      <c r="E7706">
        <f>IF(D7706&lt;&gt;"KEEP","",IF(RIGHT(B7706,10)="@gmail.com","Gmail",IF(OR(RIGHT(B7706,12)="@outlook.com",RIGHT(B7706,12)="@hotmail.com",RIGHT(B7706,9)="@live.com"),"Outlook","Domain")))</f>
        <v/>
      </c>
      <c r="F7706">
        <f>IF(B7706="","",IFERROR(RIGHT(B7706,LEN(B7706)-FIND("@",B7706)),""))</f>
        <v/>
      </c>
      <c r="G7706">
        <f>IF(D7706="KEEP",COUNTIF($D$2:D7706,"KEEP"),"")</f>
        <v/>
      </c>
      <c r="H7706">
        <f>IF(D7706="REMOVE",COUNTIF($D$2:D7706,"REMOVE"),"")</f>
        <v/>
      </c>
      <c r="I7706">
        <f>IF(E7706="Gmail",COUNTIF($E$2:E7706,"Gmail"),"")</f>
        <v/>
      </c>
      <c r="J7706">
        <f>IF(E7706="Outlook",COUNTIF($E$2:E7706,"Outlook"),"")</f>
        <v/>
      </c>
      <c r="K7706">
        <f>IF(E7706="Domain",COUNTIF($E$2:E7706,"Domain"),"")</f>
        <v/>
      </c>
    </row>
    <row r="7707">
      <c r="A7707" s="2" t="n"/>
      <c r="B7707">
        <f>LOWER(TRIM(A7707))</f>
        <v/>
      </c>
      <c r="C7707">
        <f>IF(B7707="","",IFERROR(INDEX('Bad Patterns'!$A$2:$A$120,MATCH(1,INDEX(--ISNUMBER(SEARCH('Bad Patterns'!$A$2:$A$120,B7707)),0),0)),""))</f>
        <v/>
      </c>
      <c r="D7707">
        <f>IF(B7707="","",IF(C7707&lt;&gt;"","REMOVE","KEEP"))</f>
        <v/>
      </c>
      <c r="E7707">
        <f>IF(D7707&lt;&gt;"KEEP","",IF(RIGHT(B7707,10)="@gmail.com","Gmail",IF(OR(RIGHT(B7707,12)="@outlook.com",RIGHT(B7707,12)="@hotmail.com",RIGHT(B7707,9)="@live.com"),"Outlook","Domain")))</f>
        <v/>
      </c>
      <c r="F7707">
        <f>IF(B7707="","",IFERROR(RIGHT(B7707,LEN(B7707)-FIND("@",B7707)),""))</f>
        <v/>
      </c>
      <c r="G7707">
        <f>IF(D7707="KEEP",COUNTIF($D$2:D7707,"KEEP"),"")</f>
        <v/>
      </c>
      <c r="H7707">
        <f>IF(D7707="REMOVE",COUNTIF($D$2:D7707,"REMOVE"),"")</f>
        <v/>
      </c>
      <c r="I7707">
        <f>IF(E7707="Gmail",COUNTIF($E$2:E7707,"Gmail"),"")</f>
        <v/>
      </c>
      <c r="J7707">
        <f>IF(E7707="Outlook",COUNTIF($E$2:E7707,"Outlook"),"")</f>
        <v/>
      </c>
      <c r="K7707">
        <f>IF(E7707="Domain",COUNTIF($E$2:E7707,"Domain"),"")</f>
        <v/>
      </c>
    </row>
    <row r="7708">
      <c r="A7708" s="2" t="n"/>
      <c r="B7708">
        <f>LOWER(TRIM(A7708))</f>
        <v/>
      </c>
      <c r="C7708">
        <f>IF(B7708="","",IFERROR(INDEX('Bad Patterns'!$A$2:$A$120,MATCH(1,INDEX(--ISNUMBER(SEARCH('Bad Patterns'!$A$2:$A$120,B7708)),0),0)),""))</f>
        <v/>
      </c>
      <c r="D7708">
        <f>IF(B7708="","",IF(C7708&lt;&gt;"","REMOVE","KEEP"))</f>
        <v/>
      </c>
      <c r="E7708">
        <f>IF(D7708&lt;&gt;"KEEP","",IF(RIGHT(B7708,10)="@gmail.com","Gmail",IF(OR(RIGHT(B7708,12)="@outlook.com",RIGHT(B7708,12)="@hotmail.com",RIGHT(B7708,9)="@live.com"),"Outlook","Domain")))</f>
        <v/>
      </c>
      <c r="F7708">
        <f>IF(B7708="","",IFERROR(RIGHT(B7708,LEN(B7708)-FIND("@",B7708)),""))</f>
        <v/>
      </c>
      <c r="G7708">
        <f>IF(D7708="KEEP",COUNTIF($D$2:D7708,"KEEP"),"")</f>
        <v/>
      </c>
      <c r="H7708">
        <f>IF(D7708="REMOVE",COUNTIF($D$2:D7708,"REMOVE"),"")</f>
        <v/>
      </c>
      <c r="I7708">
        <f>IF(E7708="Gmail",COUNTIF($E$2:E7708,"Gmail"),"")</f>
        <v/>
      </c>
      <c r="J7708">
        <f>IF(E7708="Outlook",COUNTIF($E$2:E7708,"Outlook"),"")</f>
        <v/>
      </c>
      <c r="K7708">
        <f>IF(E7708="Domain",COUNTIF($E$2:E7708,"Domain"),"")</f>
        <v/>
      </c>
    </row>
    <row r="7709">
      <c r="A7709" s="2" t="n"/>
      <c r="B7709">
        <f>LOWER(TRIM(A7709))</f>
        <v/>
      </c>
      <c r="C7709">
        <f>IF(B7709="","",IFERROR(INDEX('Bad Patterns'!$A$2:$A$120,MATCH(1,INDEX(--ISNUMBER(SEARCH('Bad Patterns'!$A$2:$A$120,B7709)),0),0)),""))</f>
        <v/>
      </c>
      <c r="D7709">
        <f>IF(B7709="","",IF(C7709&lt;&gt;"","REMOVE","KEEP"))</f>
        <v/>
      </c>
      <c r="E7709">
        <f>IF(D7709&lt;&gt;"KEEP","",IF(RIGHT(B7709,10)="@gmail.com","Gmail",IF(OR(RIGHT(B7709,12)="@outlook.com",RIGHT(B7709,12)="@hotmail.com",RIGHT(B7709,9)="@live.com"),"Outlook","Domain")))</f>
        <v/>
      </c>
      <c r="F7709">
        <f>IF(B7709="","",IFERROR(RIGHT(B7709,LEN(B7709)-FIND("@",B7709)),""))</f>
        <v/>
      </c>
      <c r="G7709">
        <f>IF(D7709="KEEP",COUNTIF($D$2:D7709,"KEEP"),"")</f>
        <v/>
      </c>
      <c r="H7709">
        <f>IF(D7709="REMOVE",COUNTIF($D$2:D7709,"REMOVE"),"")</f>
        <v/>
      </c>
      <c r="I7709">
        <f>IF(E7709="Gmail",COUNTIF($E$2:E7709,"Gmail"),"")</f>
        <v/>
      </c>
      <c r="J7709">
        <f>IF(E7709="Outlook",COUNTIF($E$2:E7709,"Outlook"),"")</f>
        <v/>
      </c>
      <c r="K7709">
        <f>IF(E7709="Domain",COUNTIF($E$2:E7709,"Domain"),"")</f>
        <v/>
      </c>
    </row>
    <row r="7710">
      <c r="A7710" s="2" t="n"/>
      <c r="B7710">
        <f>LOWER(TRIM(A7710))</f>
        <v/>
      </c>
      <c r="C7710">
        <f>IF(B7710="","",IFERROR(INDEX('Bad Patterns'!$A$2:$A$120,MATCH(1,INDEX(--ISNUMBER(SEARCH('Bad Patterns'!$A$2:$A$120,B7710)),0),0)),""))</f>
        <v/>
      </c>
      <c r="D7710">
        <f>IF(B7710="","",IF(C7710&lt;&gt;"","REMOVE","KEEP"))</f>
        <v/>
      </c>
      <c r="E7710">
        <f>IF(D7710&lt;&gt;"KEEP","",IF(RIGHT(B7710,10)="@gmail.com","Gmail",IF(OR(RIGHT(B7710,12)="@outlook.com",RIGHT(B7710,12)="@hotmail.com",RIGHT(B7710,9)="@live.com"),"Outlook","Domain")))</f>
        <v/>
      </c>
      <c r="F7710">
        <f>IF(B7710="","",IFERROR(RIGHT(B7710,LEN(B7710)-FIND("@",B7710)),""))</f>
        <v/>
      </c>
      <c r="G7710">
        <f>IF(D7710="KEEP",COUNTIF($D$2:D7710,"KEEP"),"")</f>
        <v/>
      </c>
      <c r="H7710">
        <f>IF(D7710="REMOVE",COUNTIF($D$2:D7710,"REMOVE"),"")</f>
        <v/>
      </c>
      <c r="I7710">
        <f>IF(E7710="Gmail",COUNTIF($E$2:E7710,"Gmail"),"")</f>
        <v/>
      </c>
      <c r="J7710">
        <f>IF(E7710="Outlook",COUNTIF($E$2:E7710,"Outlook"),"")</f>
        <v/>
      </c>
      <c r="K7710">
        <f>IF(E7710="Domain",COUNTIF($E$2:E7710,"Domain"),"")</f>
        <v/>
      </c>
    </row>
    <row r="7711">
      <c r="A7711" s="2" t="n"/>
      <c r="B7711">
        <f>LOWER(TRIM(A7711))</f>
        <v/>
      </c>
      <c r="C7711">
        <f>IF(B7711="","",IFERROR(INDEX('Bad Patterns'!$A$2:$A$120,MATCH(1,INDEX(--ISNUMBER(SEARCH('Bad Patterns'!$A$2:$A$120,B7711)),0),0)),""))</f>
        <v/>
      </c>
      <c r="D7711">
        <f>IF(B7711="","",IF(C7711&lt;&gt;"","REMOVE","KEEP"))</f>
        <v/>
      </c>
      <c r="E7711">
        <f>IF(D7711&lt;&gt;"KEEP","",IF(RIGHT(B7711,10)="@gmail.com","Gmail",IF(OR(RIGHT(B7711,12)="@outlook.com",RIGHT(B7711,12)="@hotmail.com",RIGHT(B7711,9)="@live.com"),"Outlook","Domain")))</f>
        <v/>
      </c>
      <c r="F7711">
        <f>IF(B7711="","",IFERROR(RIGHT(B7711,LEN(B7711)-FIND("@",B7711)),""))</f>
        <v/>
      </c>
      <c r="G7711">
        <f>IF(D7711="KEEP",COUNTIF($D$2:D7711,"KEEP"),"")</f>
        <v/>
      </c>
      <c r="H7711">
        <f>IF(D7711="REMOVE",COUNTIF($D$2:D7711,"REMOVE"),"")</f>
        <v/>
      </c>
      <c r="I7711">
        <f>IF(E7711="Gmail",COUNTIF($E$2:E7711,"Gmail"),"")</f>
        <v/>
      </c>
      <c r="J7711">
        <f>IF(E7711="Outlook",COUNTIF($E$2:E7711,"Outlook"),"")</f>
        <v/>
      </c>
      <c r="K7711">
        <f>IF(E7711="Domain",COUNTIF($E$2:E7711,"Domain"),"")</f>
        <v/>
      </c>
    </row>
    <row r="7712">
      <c r="A7712" s="2" t="n"/>
      <c r="B7712">
        <f>LOWER(TRIM(A7712))</f>
        <v/>
      </c>
      <c r="C7712">
        <f>IF(B7712="","",IFERROR(INDEX('Bad Patterns'!$A$2:$A$120,MATCH(1,INDEX(--ISNUMBER(SEARCH('Bad Patterns'!$A$2:$A$120,B7712)),0),0)),""))</f>
        <v/>
      </c>
      <c r="D7712">
        <f>IF(B7712="","",IF(C7712&lt;&gt;"","REMOVE","KEEP"))</f>
        <v/>
      </c>
      <c r="E7712">
        <f>IF(D7712&lt;&gt;"KEEP","",IF(RIGHT(B7712,10)="@gmail.com","Gmail",IF(OR(RIGHT(B7712,12)="@outlook.com",RIGHT(B7712,12)="@hotmail.com",RIGHT(B7712,9)="@live.com"),"Outlook","Domain")))</f>
        <v/>
      </c>
      <c r="F7712">
        <f>IF(B7712="","",IFERROR(RIGHT(B7712,LEN(B7712)-FIND("@",B7712)),""))</f>
        <v/>
      </c>
      <c r="G7712">
        <f>IF(D7712="KEEP",COUNTIF($D$2:D7712,"KEEP"),"")</f>
        <v/>
      </c>
      <c r="H7712">
        <f>IF(D7712="REMOVE",COUNTIF($D$2:D7712,"REMOVE"),"")</f>
        <v/>
      </c>
      <c r="I7712">
        <f>IF(E7712="Gmail",COUNTIF($E$2:E7712,"Gmail"),"")</f>
        <v/>
      </c>
      <c r="J7712">
        <f>IF(E7712="Outlook",COUNTIF($E$2:E7712,"Outlook"),"")</f>
        <v/>
      </c>
      <c r="K7712">
        <f>IF(E7712="Domain",COUNTIF($E$2:E7712,"Domain"),"")</f>
        <v/>
      </c>
    </row>
    <row r="7713">
      <c r="A7713" s="2" t="n"/>
      <c r="B7713">
        <f>LOWER(TRIM(A7713))</f>
        <v/>
      </c>
      <c r="C7713">
        <f>IF(B7713="","",IFERROR(INDEX('Bad Patterns'!$A$2:$A$120,MATCH(1,INDEX(--ISNUMBER(SEARCH('Bad Patterns'!$A$2:$A$120,B7713)),0),0)),""))</f>
        <v/>
      </c>
      <c r="D7713">
        <f>IF(B7713="","",IF(C7713&lt;&gt;"","REMOVE","KEEP"))</f>
        <v/>
      </c>
      <c r="E7713">
        <f>IF(D7713&lt;&gt;"KEEP","",IF(RIGHT(B7713,10)="@gmail.com","Gmail",IF(OR(RIGHT(B7713,12)="@outlook.com",RIGHT(B7713,12)="@hotmail.com",RIGHT(B7713,9)="@live.com"),"Outlook","Domain")))</f>
        <v/>
      </c>
      <c r="F7713">
        <f>IF(B7713="","",IFERROR(RIGHT(B7713,LEN(B7713)-FIND("@",B7713)),""))</f>
        <v/>
      </c>
      <c r="G7713">
        <f>IF(D7713="KEEP",COUNTIF($D$2:D7713,"KEEP"),"")</f>
        <v/>
      </c>
      <c r="H7713">
        <f>IF(D7713="REMOVE",COUNTIF($D$2:D7713,"REMOVE"),"")</f>
        <v/>
      </c>
      <c r="I7713">
        <f>IF(E7713="Gmail",COUNTIF($E$2:E7713,"Gmail"),"")</f>
        <v/>
      </c>
      <c r="J7713">
        <f>IF(E7713="Outlook",COUNTIF($E$2:E7713,"Outlook"),"")</f>
        <v/>
      </c>
      <c r="K7713">
        <f>IF(E7713="Domain",COUNTIF($E$2:E7713,"Domain"),"")</f>
        <v/>
      </c>
    </row>
    <row r="7714">
      <c r="A7714" s="2" t="n"/>
      <c r="B7714">
        <f>LOWER(TRIM(A7714))</f>
        <v/>
      </c>
      <c r="C7714">
        <f>IF(B7714="","",IFERROR(INDEX('Bad Patterns'!$A$2:$A$120,MATCH(1,INDEX(--ISNUMBER(SEARCH('Bad Patterns'!$A$2:$A$120,B7714)),0),0)),""))</f>
        <v/>
      </c>
      <c r="D7714">
        <f>IF(B7714="","",IF(C7714&lt;&gt;"","REMOVE","KEEP"))</f>
        <v/>
      </c>
      <c r="E7714">
        <f>IF(D7714&lt;&gt;"KEEP","",IF(RIGHT(B7714,10)="@gmail.com","Gmail",IF(OR(RIGHT(B7714,12)="@outlook.com",RIGHT(B7714,12)="@hotmail.com",RIGHT(B7714,9)="@live.com"),"Outlook","Domain")))</f>
        <v/>
      </c>
      <c r="F7714">
        <f>IF(B7714="","",IFERROR(RIGHT(B7714,LEN(B7714)-FIND("@",B7714)),""))</f>
        <v/>
      </c>
      <c r="G7714">
        <f>IF(D7714="KEEP",COUNTIF($D$2:D7714,"KEEP"),"")</f>
        <v/>
      </c>
      <c r="H7714">
        <f>IF(D7714="REMOVE",COUNTIF($D$2:D7714,"REMOVE"),"")</f>
        <v/>
      </c>
      <c r="I7714">
        <f>IF(E7714="Gmail",COUNTIF($E$2:E7714,"Gmail"),"")</f>
        <v/>
      </c>
      <c r="J7714">
        <f>IF(E7714="Outlook",COUNTIF($E$2:E7714,"Outlook"),"")</f>
        <v/>
      </c>
      <c r="K7714">
        <f>IF(E7714="Domain",COUNTIF($E$2:E7714,"Domain"),"")</f>
        <v/>
      </c>
    </row>
    <row r="7715">
      <c r="A7715" s="2" t="n"/>
      <c r="B7715">
        <f>LOWER(TRIM(A7715))</f>
        <v/>
      </c>
      <c r="C7715">
        <f>IF(B7715="","",IFERROR(INDEX('Bad Patterns'!$A$2:$A$120,MATCH(1,INDEX(--ISNUMBER(SEARCH('Bad Patterns'!$A$2:$A$120,B7715)),0),0)),""))</f>
        <v/>
      </c>
      <c r="D7715">
        <f>IF(B7715="","",IF(C7715&lt;&gt;"","REMOVE","KEEP"))</f>
        <v/>
      </c>
      <c r="E7715">
        <f>IF(D7715&lt;&gt;"KEEP","",IF(RIGHT(B7715,10)="@gmail.com","Gmail",IF(OR(RIGHT(B7715,12)="@outlook.com",RIGHT(B7715,12)="@hotmail.com",RIGHT(B7715,9)="@live.com"),"Outlook","Domain")))</f>
        <v/>
      </c>
      <c r="F7715">
        <f>IF(B7715="","",IFERROR(RIGHT(B7715,LEN(B7715)-FIND("@",B7715)),""))</f>
        <v/>
      </c>
      <c r="G7715">
        <f>IF(D7715="KEEP",COUNTIF($D$2:D7715,"KEEP"),"")</f>
        <v/>
      </c>
      <c r="H7715">
        <f>IF(D7715="REMOVE",COUNTIF($D$2:D7715,"REMOVE"),"")</f>
        <v/>
      </c>
      <c r="I7715">
        <f>IF(E7715="Gmail",COUNTIF($E$2:E7715,"Gmail"),"")</f>
        <v/>
      </c>
      <c r="J7715">
        <f>IF(E7715="Outlook",COUNTIF($E$2:E7715,"Outlook"),"")</f>
        <v/>
      </c>
      <c r="K7715">
        <f>IF(E7715="Domain",COUNTIF($E$2:E7715,"Domain"),"")</f>
        <v/>
      </c>
    </row>
    <row r="7716">
      <c r="A7716" s="2" t="n"/>
      <c r="B7716">
        <f>LOWER(TRIM(A7716))</f>
        <v/>
      </c>
      <c r="C7716">
        <f>IF(B7716="","",IFERROR(INDEX('Bad Patterns'!$A$2:$A$120,MATCH(1,INDEX(--ISNUMBER(SEARCH('Bad Patterns'!$A$2:$A$120,B7716)),0),0)),""))</f>
        <v/>
      </c>
      <c r="D7716">
        <f>IF(B7716="","",IF(C7716&lt;&gt;"","REMOVE","KEEP"))</f>
        <v/>
      </c>
      <c r="E7716">
        <f>IF(D7716&lt;&gt;"KEEP","",IF(RIGHT(B7716,10)="@gmail.com","Gmail",IF(OR(RIGHT(B7716,12)="@outlook.com",RIGHT(B7716,12)="@hotmail.com",RIGHT(B7716,9)="@live.com"),"Outlook","Domain")))</f>
        <v/>
      </c>
      <c r="F7716">
        <f>IF(B7716="","",IFERROR(RIGHT(B7716,LEN(B7716)-FIND("@",B7716)),""))</f>
        <v/>
      </c>
      <c r="G7716">
        <f>IF(D7716="KEEP",COUNTIF($D$2:D7716,"KEEP"),"")</f>
        <v/>
      </c>
      <c r="H7716">
        <f>IF(D7716="REMOVE",COUNTIF($D$2:D7716,"REMOVE"),"")</f>
        <v/>
      </c>
      <c r="I7716">
        <f>IF(E7716="Gmail",COUNTIF($E$2:E7716,"Gmail"),"")</f>
        <v/>
      </c>
      <c r="J7716">
        <f>IF(E7716="Outlook",COUNTIF($E$2:E7716,"Outlook"),"")</f>
        <v/>
      </c>
      <c r="K7716">
        <f>IF(E7716="Domain",COUNTIF($E$2:E7716,"Domain"),"")</f>
        <v/>
      </c>
    </row>
    <row r="7717">
      <c r="A7717" s="2" t="n"/>
      <c r="B7717">
        <f>LOWER(TRIM(A7717))</f>
        <v/>
      </c>
      <c r="C7717">
        <f>IF(B7717="","",IFERROR(INDEX('Bad Patterns'!$A$2:$A$120,MATCH(1,INDEX(--ISNUMBER(SEARCH('Bad Patterns'!$A$2:$A$120,B7717)),0),0)),""))</f>
        <v/>
      </c>
      <c r="D7717">
        <f>IF(B7717="","",IF(C7717&lt;&gt;"","REMOVE","KEEP"))</f>
        <v/>
      </c>
      <c r="E7717">
        <f>IF(D7717&lt;&gt;"KEEP","",IF(RIGHT(B7717,10)="@gmail.com","Gmail",IF(OR(RIGHT(B7717,12)="@outlook.com",RIGHT(B7717,12)="@hotmail.com",RIGHT(B7717,9)="@live.com"),"Outlook","Domain")))</f>
        <v/>
      </c>
      <c r="F7717">
        <f>IF(B7717="","",IFERROR(RIGHT(B7717,LEN(B7717)-FIND("@",B7717)),""))</f>
        <v/>
      </c>
      <c r="G7717">
        <f>IF(D7717="KEEP",COUNTIF($D$2:D7717,"KEEP"),"")</f>
        <v/>
      </c>
      <c r="H7717">
        <f>IF(D7717="REMOVE",COUNTIF($D$2:D7717,"REMOVE"),"")</f>
        <v/>
      </c>
      <c r="I7717">
        <f>IF(E7717="Gmail",COUNTIF($E$2:E7717,"Gmail"),"")</f>
        <v/>
      </c>
      <c r="J7717">
        <f>IF(E7717="Outlook",COUNTIF($E$2:E7717,"Outlook"),"")</f>
        <v/>
      </c>
      <c r="K7717">
        <f>IF(E7717="Domain",COUNTIF($E$2:E7717,"Domain"),"")</f>
        <v/>
      </c>
    </row>
    <row r="7718">
      <c r="A7718" s="2" t="n"/>
      <c r="B7718">
        <f>LOWER(TRIM(A7718))</f>
        <v/>
      </c>
      <c r="C7718">
        <f>IF(B7718="","",IFERROR(INDEX('Bad Patterns'!$A$2:$A$120,MATCH(1,INDEX(--ISNUMBER(SEARCH('Bad Patterns'!$A$2:$A$120,B7718)),0),0)),""))</f>
        <v/>
      </c>
      <c r="D7718">
        <f>IF(B7718="","",IF(C7718&lt;&gt;"","REMOVE","KEEP"))</f>
        <v/>
      </c>
      <c r="E7718">
        <f>IF(D7718&lt;&gt;"KEEP","",IF(RIGHT(B7718,10)="@gmail.com","Gmail",IF(OR(RIGHT(B7718,12)="@outlook.com",RIGHT(B7718,12)="@hotmail.com",RIGHT(B7718,9)="@live.com"),"Outlook","Domain")))</f>
        <v/>
      </c>
      <c r="F7718">
        <f>IF(B7718="","",IFERROR(RIGHT(B7718,LEN(B7718)-FIND("@",B7718)),""))</f>
        <v/>
      </c>
      <c r="G7718">
        <f>IF(D7718="KEEP",COUNTIF($D$2:D7718,"KEEP"),"")</f>
        <v/>
      </c>
      <c r="H7718">
        <f>IF(D7718="REMOVE",COUNTIF($D$2:D7718,"REMOVE"),"")</f>
        <v/>
      </c>
      <c r="I7718">
        <f>IF(E7718="Gmail",COUNTIF($E$2:E7718,"Gmail"),"")</f>
        <v/>
      </c>
      <c r="J7718">
        <f>IF(E7718="Outlook",COUNTIF($E$2:E7718,"Outlook"),"")</f>
        <v/>
      </c>
      <c r="K7718">
        <f>IF(E7718="Domain",COUNTIF($E$2:E7718,"Domain"),"")</f>
        <v/>
      </c>
    </row>
    <row r="7719">
      <c r="A7719" s="2" t="n"/>
      <c r="B7719">
        <f>LOWER(TRIM(A7719))</f>
        <v/>
      </c>
      <c r="C7719">
        <f>IF(B7719="","",IFERROR(INDEX('Bad Patterns'!$A$2:$A$120,MATCH(1,INDEX(--ISNUMBER(SEARCH('Bad Patterns'!$A$2:$A$120,B7719)),0),0)),""))</f>
        <v/>
      </c>
      <c r="D7719">
        <f>IF(B7719="","",IF(C7719&lt;&gt;"","REMOVE","KEEP"))</f>
        <v/>
      </c>
      <c r="E7719">
        <f>IF(D7719&lt;&gt;"KEEP","",IF(RIGHT(B7719,10)="@gmail.com","Gmail",IF(OR(RIGHT(B7719,12)="@outlook.com",RIGHT(B7719,12)="@hotmail.com",RIGHT(B7719,9)="@live.com"),"Outlook","Domain")))</f>
        <v/>
      </c>
      <c r="F7719">
        <f>IF(B7719="","",IFERROR(RIGHT(B7719,LEN(B7719)-FIND("@",B7719)),""))</f>
        <v/>
      </c>
      <c r="G7719">
        <f>IF(D7719="KEEP",COUNTIF($D$2:D7719,"KEEP"),"")</f>
        <v/>
      </c>
      <c r="H7719">
        <f>IF(D7719="REMOVE",COUNTIF($D$2:D7719,"REMOVE"),"")</f>
        <v/>
      </c>
      <c r="I7719">
        <f>IF(E7719="Gmail",COUNTIF($E$2:E7719,"Gmail"),"")</f>
        <v/>
      </c>
      <c r="J7719">
        <f>IF(E7719="Outlook",COUNTIF($E$2:E7719,"Outlook"),"")</f>
        <v/>
      </c>
      <c r="K7719">
        <f>IF(E7719="Domain",COUNTIF($E$2:E7719,"Domain"),"")</f>
        <v/>
      </c>
    </row>
    <row r="7720">
      <c r="A7720" s="2" t="n"/>
      <c r="B7720">
        <f>LOWER(TRIM(A7720))</f>
        <v/>
      </c>
      <c r="C7720">
        <f>IF(B7720="","",IFERROR(INDEX('Bad Patterns'!$A$2:$A$120,MATCH(1,INDEX(--ISNUMBER(SEARCH('Bad Patterns'!$A$2:$A$120,B7720)),0),0)),""))</f>
        <v/>
      </c>
      <c r="D7720">
        <f>IF(B7720="","",IF(C7720&lt;&gt;"","REMOVE","KEEP"))</f>
        <v/>
      </c>
      <c r="E7720">
        <f>IF(D7720&lt;&gt;"KEEP","",IF(RIGHT(B7720,10)="@gmail.com","Gmail",IF(OR(RIGHT(B7720,12)="@outlook.com",RIGHT(B7720,12)="@hotmail.com",RIGHT(B7720,9)="@live.com"),"Outlook","Domain")))</f>
        <v/>
      </c>
      <c r="F7720">
        <f>IF(B7720="","",IFERROR(RIGHT(B7720,LEN(B7720)-FIND("@",B7720)),""))</f>
        <v/>
      </c>
      <c r="G7720">
        <f>IF(D7720="KEEP",COUNTIF($D$2:D7720,"KEEP"),"")</f>
        <v/>
      </c>
      <c r="H7720">
        <f>IF(D7720="REMOVE",COUNTIF($D$2:D7720,"REMOVE"),"")</f>
        <v/>
      </c>
      <c r="I7720">
        <f>IF(E7720="Gmail",COUNTIF($E$2:E7720,"Gmail"),"")</f>
        <v/>
      </c>
      <c r="J7720">
        <f>IF(E7720="Outlook",COUNTIF($E$2:E7720,"Outlook"),"")</f>
        <v/>
      </c>
      <c r="K7720">
        <f>IF(E7720="Domain",COUNTIF($E$2:E7720,"Domain"),"")</f>
        <v/>
      </c>
    </row>
    <row r="7721">
      <c r="A7721" s="2" t="n"/>
      <c r="B7721">
        <f>LOWER(TRIM(A7721))</f>
        <v/>
      </c>
      <c r="C7721">
        <f>IF(B7721="","",IFERROR(INDEX('Bad Patterns'!$A$2:$A$120,MATCH(1,INDEX(--ISNUMBER(SEARCH('Bad Patterns'!$A$2:$A$120,B7721)),0),0)),""))</f>
        <v/>
      </c>
      <c r="D7721">
        <f>IF(B7721="","",IF(C7721&lt;&gt;"","REMOVE","KEEP"))</f>
        <v/>
      </c>
      <c r="E7721">
        <f>IF(D7721&lt;&gt;"KEEP","",IF(RIGHT(B7721,10)="@gmail.com","Gmail",IF(OR(RIGHT(B7721,12)="@outlook.com",RIGHT(B7721,12)="@hotmail.com",RIGHT(B7721,9)="@live.com"),"Outlook","Domain")))</f>
        <v/>
      </c>
      <c r="F7721">
        <f>IF(B7721="","",IFERROR(RIGHT(B7721,LEN(B7721)-FIND("@",B7721)),""))</f>
        <v/>
      </c>
      <c r="G7721">
        <f>IF(D7721="KEEP",COUNTIF($D$2:D7721,"KEEP"),"")</f>
        <v/>
      </c>
      <c r="H7721">
        <f>IF(D7721="REMOVE",COUNTIF($D$2:D7721,"REMOVE"),"")</f>
        <v/>
      </c>
      <c r="I7721">
        <f>IF(E7721="Gmail",COUNTIF($E$2:E7721,"Gmail"),"")</f>
        <v/>
      </c>
      <c r="J7721">
        <f>IF(E7721="Outlook",COUNTIF($E$2:E7721,"Outlook"),"")</f>
        <v/>
      </c>
      <c r="K7721">
        <f>IF(E7721="Domain",COUNTIF($E$2:E7721,"Domain"),"")</f>
        <v/>
      </c>
    </row>
    <row r="7722">
      <c r="A7722" s="2" t="n"/>
      <c r="B7722">
        <f>LOWER(TRIM(A7722))</f>
        <v/>
      </c>
      <c r="C7722">
        <f>IF(B7722="","",IFERROR(INDEX('Bad Patterns'!$A$2:$A$120,MATCH(1,INDEX(--ISNUMBER(SEARCH('Bad Patterns'!$A$2:$A$120,B7722)),0),0)),""))</f>
        <v/>
      </c>
      <c r="D7722">
        <f>IF(B7722="","",IF(C7722&lt;&gt;"","REMOVE","KEEP"))</f>
        <v/>
      </c>
      <c r="E7722">
        <f>IF(D7722&lt;&gt;"KEEP","",IF(RIGHT(B7722,10)="@gmail.com","Gmail",IF(OR(RIGHT(B7722,12)="@outlook.com",RIGHT(B7722,12)="@hotmail.com",RIGHT(B7722,9)="@live.com"),"Outlook","Domain")))</f>
        <v/>
      </c>
      <c r="F7722">
        <f>IF(B7722="","",IFERROR(RIGHT(B7722,LEN(B7722)-FIND("@",B7722)),""))</f>
        <v/>
      </c>
      <c r="G7722">
        <f>IF(D7722="KEEP",COUNTIF($D$2:D7722,"KEEP"),"")</f>
        <v/>
      </c>
      <c r="H7722">
        <f>IF(D7722="REMOVE",COUNTIF($D$2:D7722,"REMOVE"),"")</f>
        <v/>
      </c>
      <c r="I7722">
        <f>IF(E7722="Gmail",COUNTIF($E$2:E7722,"Gmail"),"")</f>
        <v/>
      </c>
      <c r="J7722">
        <f>IF(E7722="Outlook",COUNTIF($E$2:E7722,"Outlook"),"")</f>
        <v/>
      </c>
      <c r="K7722">
        <f>IF(E7722="Domain",COUNTIF($E$2:E7722,"Domain"),"")</f>
        <v/>
      </c>
    </row>
    <row r="7723">
      <c r="A7723" s="2" t="n"/>
      <c r="B7723">
        <f>LOWER(TRIM(A7723))</f>
        <v/>
      </c>
      <c r="C7723">
        <f>IF(B7723="","",IFERROR(INDEX('Bad Patterns'!$A$2:$A$120,MATCH(1,INDEX(--ISNUMBER(SEARCH('Bad Patterns'!$A$2:$A$120,B7723)),0),0)),""))</f>
        <v/>
      </c>
      <c r="D7723">
        <f>IF(B7723="","",IF(C7723&lt;&gt;"","REMOVE","KEEP"))</f>
        <v/>
      </c>
      <c r="E7723">
        <f>IF(D7723&lt;&gt;"KEEP","",IF(RIGHT(B7723,10)="@gmail.com","Gmail",IF(OR(RIGHT(B7723,12)="@outlook.com",RIGHT(B7723,12)="@hotmail.com",RIGHT(B7723,9)="@live.com"),"Outlook","Domain")))</f>
        <v/>
      </c>
      <c r="F7723">
        <f>IF(B7723="","",IFERROR(RIGHT(B7723,LEN(B7723)-FIND("@",B7723)),""))</f>
        <v/>
      </c>
      <c r="G7723">
        <f>IF(D7723="KEEP",COUNTIF($D$2:D7723,"KEEP"),"")</f>
        <v/>
      </c>
      <c r="H7723">
        <f>IF(D7723="REMOVE",COUNTIF($D$2:D7723,"REMOVE"),"")</f>
        <v/>
      </c>
      <c r="I7723">
        <f>IF(E7723="Gmail",COUNTIF($E$2:E7723,"Gmail"),"")</f>
        <v/>
      </c>
      <c r="J7723">
        <f>IF(E7723="Outlook",COUNTIF($E$2:E7723,"Outlook"),"")</f>
        <v/>
      </c>
      <c r="K7723">
        <f>IF(E7723="Domain",COUNTIF($E$2:E7723,"Domain"),"")</f>
        <v/>
      </c>
    </row>
    <row r="7724">
      <c r="A7724" s="2" t="n"/>
      <c r="B7724">
        <f>LOWER(TRIM(A7724))</f>
        <v/>
      </c>
      <c r="C7724">
        <f>IF(B7724="","",IFERROR(INDEX('Bad Patterns'!$A$2:$A$120,MATCH(1,INDEX(--ISNUMBER(SEARCH('Bad Patterns'!$A$2:$A$120,B7724)),0),0)),""))</f>
        <v/>
      </c>
      <c r="D7724">
        <f>IF(B7724="","",IF(C7724&lt;&gt;"","REMOVE","KEEP"))</f>
        <v/>
      </c>
      <c r="E7724">
        <f>IF(D7724&lt;&gt;"KEEP","",IF(RIGHT(B7724,10)="@gmail.com","Gmail",IF(OR(RIGHT(B7724,12)="@outlook.com",RIGHT(B7724,12)="@hotmail.com",RIGHT(B7724,9)="@live.com"),"Outlook","Domain")))</f>
        <v/>
      </c>
      <c r="F7724">
        <f>IF(B7724="","",IFERROR(RIGHT(B7724,LEN(B7724)-FIND("@",B7724)),""))</f>
        <v/>
      </c>
      <c r="G7724">
        <f>IF(D7724="KEEP",COUNTIF($D$2:D7724,"KEEP"),"")</f>
        <v/>
      </c>
      <c r="H7724">
        <f>IF(D7724="REMOVE",COUNTIF($D$2:D7724,"REMOVE"),"")</f>
        <v/>
      </c>
      <c r="I7724">
        <f>IF(E7724="Gmail",COUNTIF($E$2:E7724,"Gmail"),"")</f>
        <v/>
      </c>
      <c r="J7724">
        <f>IF(E7724="Outlook",COUNTIF($E$2:E7724,"Outlook"),"")</f>
        <v/>
      </c>
      <c r="K7724">
        <f>IF(E7724="Domain",COUNTIF($E$2:E7724,"Domain"),"")</f>
        <v/>
      </c>
    </row>
    <row r="7725">
      <c r="A7725" s="2" t="n"/>
      <c r="B7725">
        <f>LOWER(TRIM(A7725))</f>
        <v/>
      </c>
      <c r="C7725">
        <f>IF(B7725="","",IFERROR(INDEX('Bad Patterns'!$A$2:$A$120,MATCH(1,INDEX(--ISNUMBER(SEARCH('Bad Patterns'!$A$2:$A$120,B7725)),0),0)),""))</f>
        <v/>
      </c>
      <c r="D7725">
        <f>IF(B7725="","",IF(C7725&lt;&gt;"","REMOVE","KEEP"))</f>
        <v/>
      </c>
      <c r="E7725">
        <f>IF(D7725&lt;&gt;"KEEP","",IF(RIGHT(B7725,10)="@gmail.com","Gmail",IF(OR(RIGHT(B7725,12)="@outlook.com",RIGHT(B7725,12)="@hotmail.com",RIGHT(B7725,9)="@live.com"),"Outlook","Domain")))</f>
        <v/>
      </c>
      <c r="F7725">
        <f>IF(B7725="","",IFERROR(RIGHT(B7725,LEN(B7725)-FIND("@",B7725)),""))</f>
        <v/>
      </c>
      <c r="G7725">
        <f>IF(D7725="KEEP",COUNTIF($D$2:D7725,"KEEP"),"")</f>
        <v/>
      </c>
      <c r="H7725">
        <f>IF(D7725="REMOVE",COUNTIF($D$2:D7725,"REMOVE"),"")</f>
        <v/>
      </c>
      <c r="I7725">
        <f>IF(E7725="Gmail",COUNTIF($E$2:E7725,"Gmail"),"")</f>
        <v/>
      </c>
      <c r="J7725">
        <f>IF(E7725="Outlook",COUNTIF($E$2:E7725,"Outlook"),"")</f>
        <v/>
      </c>
      <c r="K7725">
        <f>IF(E7725="Domain",COUNTIF($E$2:E7725,"Domain"),"")</f>
        <v/>
      </c>
    </row>
    <row r="7726">
      <c r="A7726" s="2" t="n"/>
      <c r="B7726">
        <f>LOWER(TRIM(A7726))</f>
        <v/>
      </c>
      <c r="C7726">
        <f>IF(B7726="","",IFERROR(INDEX('Bad Patterns'!$A$2:$A$120,MATCH(1,INDEX(--ISNUMBER(SEARCH('Bad Patterns'!$A$2:$A$120,B7726)),0),0)),""))</f>
        <v/>
      </c>
      <c r="D7726">
        <f>IF(B7726="","",IF(C7726&lt;&gt;"","REMOVE","KEEP"))</f>
        <v/>
      </c>
      <c r="E7726">
        <f>IF(D7726&lt;&gt;"KEEP","",IF(RIGHT(B7726,10)="@gmail.com","Gmail",IF(OR(RIGHT(B7726,12)="@outlook.com",RIGHT(B7726,12)="@hotmail.com",RIGHT(B7726,9)="@live.com"),"Outlook","Domain")))</f>
        <v/>
      </c>
      <c r="F7726">
        <f>IF(B7726="","",IFERROR(RIGHT(B7726,LEN(B7726)-FIND("@",B7726)),""))</f>
        <v/>
      </c>
      <c r="G7726">
        <f>IF(D7726="KEEP",COUNTIF($D$2:D7726,"KEEP"),"")</f>
        <v/>
      </c>
      <c r="H7726">
        <f>IF(D7726="REMOVE",COUNTIF($D$2:D7726,"REMOVE"),"")</f>
        <v/>
      </c>
      <c r="I7726">
        <f>IF(E7726="Gmail",COUNTIF($E$2:E7726,"Gmail"),"")</f>
        <v/>
      </c>
      <c r="J7726">
        <f>IF(E7726="Outlook",COUNTIF($E$2:E7726,"Outlook"),"")</f>
        <v/>
      </c>
      <c r="K7726">
        <f>IF(E7726="Domain",COUNTIF($E$2:E7726,"Domain"),"")</f>
        <v/>
      </c>
    </row>
    <row r="7727">
      <c r="A7727" s="2" t="n"/>
      <c r="B7727">
        <f>LOWER(TRIM(A7727))</f>
        <v/>
      </c>
      <c r="C7727">
        <f>IF(B7727="","",IFERROR(INDEX('Bad Patterns'!$A$2:$A$120,MATCH(1,INDEX(--ISNUMBER(SEARCH('Bad Patterns'!$A$2:$A$120,B7727)),0),0)),""))</f>
        <v/>
      </c>
      <c r="D7727">
        <f>IF(B7727="","",IF(C7727&lt;&gt;"","REMOVE","KEEP"))</f>
        <v/>
      </c>
      <c r="E7727">
        <f>IF(D7727&lt;&gt;"KEEP","",IF(RIGHT(B7727,10)="@gmail.com","Gmail",IF(OR(RIGHT(B7727,12)="@outlook.com",RIGHT(B7727,12)="@hotmail.com",RIGHT(B7727,9)="@live.com"),"Outlook","Domain")))</f>
        <v/>
      </c>
      <c r="F7727">
        <f>IF(B7727="","",IFERROR(RIGHT(B7727,LEN(B7727)-FIND("@",B7727)),""))</f>
        <v/>
      </c>
      <c r="G7727">
        <f>IF(D7727="KEEP",COUNTIF($D$2:D7727,"KEEP"),"")</f>
        <v/>
      </c>
      <c r="H7727">
        <f>IF(D7727="REMOVE",COUNTIF($D$2:D7727,"REMOVE"),"")</f>
        <v/>
      </c>
      <c r="I7727">
        <f>IF(E7727="Gmail",COUNTIF($E$2:E7727,"Gmail"),"")</f>
        <v/>
      </c>
      <c r="J7727">
        <f>IF(E7727="Outlook",COUNTIF($E$2:E7727,"Outlook"),"")</f>
        <v/>
      </c>
      <c r="K7727">
        <f>IF(E7727="Domain",COUNTIF($E$2:E7727,"Domain"),"")</f>
        <v/>
      </c>
    </row>
    <row r="7728">
      <c r="A7728" s="2" t="n"/>
      <c r="B7728">
        <f>LOWER(TRIM(A7728))</f>
        <v/>
      </c>
      <c r="C7728">
        <f>IF(B7728="","",IFERROR(INDEX('Bad Patterns'!$A$2:$A$120,MATCH(1,INDEX(--ISNUMBER(SEARCH('Bad Patterns'!$A$2:$A$120,B7728)),0),0)),""))</f>
        <v/>
      </c>
      <c r="D7728">
        <f>IF(B7728="","",IF(C7728&lt;&gt;"","REMOVE","KEEP"))</f>
        <v/>
      </c>
      <c r="E7728">
        <f>IF(D7728&lt;&gt;"KEEP","",IF(RIGHT(B7728,10)="@gmail.com","Gmail",IF(OR(RIGHT(B7728,12)="@outlook.com",RIGHT(B7728,12)="@hotmail.com",RIGHT(B7728,9)="@live.com"),"Outlook","Domain")))</f>
        <v/>
      </c>
      <c r="F7728">
        <f>IF(B7728="","",IFERROR(RIGHT(B7728,LEN(B7728)-FIND("@",B7728)),""))</f>
        <v/>
      </c>
      <c r="G7728">
        <f>IF(D7728="KEEP",COUNTIF($D$2:D7728,"KEEP"),"")</f>
        <v/>
      </c>
      <c r="H7728">
        <f>IF(D7728="REMOVE",COUNTIF($D$2:D7728,"REMOVE"),"")</f>
        <v/>
      </c>
      <c r="I7728">
        <f>IF(E7728="Gmail",COUNTIF($E$2:E7728,"Gmail"),"")</f>
        <v/>
      </c>
      <c r="J7728">
        <f>IF(E7728="Outlook",COUNTIF($E$2:E7728,"Outlook"),"")</f>
        <v/>
      </c>
      <c r="K7728">
        <f>IF(E7728="Domain",COUNTIF($E$2:E7728,"Domain"),"")</f>
        <v/>
      </c>
    </row>
    <row r="7729">
      <c r="A7729" s="2" t="n"/>
      <c r="B7729">
        <f>LOWER(TRIM(A7729))</f>
        <v/>
      </c>
      <c r="C7729">
        <f>IF(B7729="","",IFERROR(INDEX('Bad Patterns'!$A$2:$A$120,MATCH(1,INDEX(--ISNUMBER(SEARCH('Bad Patterns'!$A$2:$A$120,B7729)),0),0)),""))</f>
        <v/>
      </c>
      <c r="D7729">
        <f>IF(B7729="","",IF(C7729&lt;&gt;"","REMOVE","KEEP"))</f>
        <v/>
      </c>
      <c r="E7729">
        <f>IF(D7729&lt;&gt;"KEEP","",IF(RIGHT(B7729,10)="@gmail.com","Gmail",IF(OR(RIGHT(B7729,12)="@outlook.com",RIGHT(B7729,12)="@hotmail.com",RIGHT(B7729,9)="@live.com"),"Outlook","Domain")))</f>
        <v/>
      </c>
      <c r="F7729">
        <f>IF(B7729="","",IFERROR(RIGHT(B7729,LEN(B7729)-FIND("@",B7729)),""))</f>
        <v/>
      </c>
      <c r="G7729">
        <f>IF(D7729="KEEP",COUNTIF($D$2:D7729,"KEEP"),"")</f>
        <v/>
      </c>
      <c r="H7729">
        <f>IF(D7729="REMOVE",COUNTIF($D$2:D7729,"REMOVE"),"")</f>
        <v/>
      </c>
      <c r="I7729">
        <f>IF(E7729="Gmail",COUNTIF($E$2:E7729,"Gmail"),"")</f>
        <v/>
      </c>
      <c r="J7729">
        <f>IF(E7729="Outlook",COUNTIF($E$2:E7729,"Outlook"),"")</f>
        <v/>
      </c>
      <c r="K7729">
        <f>IF(E7729="Domain",COUNTIF($E$2:E7729,"Domain"),"")</f>
        <v/>
      </c>
    </row>
    <row r="7730">
      <c r="A7730" s="2" t="n"/>
      <c r="B7730">
        <f>LOWER(TRIM(A7730))</f>
        <v/>
      </c>
      <c r="C7730">
        <f>IF(B7730="","",IFERROR(INDEX('Bad Patterns'!$A$2:$A$120,MATCH(1,INDEX(--ISNUMBER(SEARCH('Bad Patterns'!$A$2:$A$120,B7730)),0),0)),""))</f>
        <v/>
      </c>
      <c r="D7730">
        <f>IF(B7730="","",IF(C7730&lt;&gt;"","REMOVE","KEEP"))</f>
        <v/>
      </c>
      <c r="E7730">
        <f>IF(D7730&lt;&gt;"KEEP","",IF(RIGHT(B7730,10)="@gmail.com","Gmail",IF(OR(RIGHT(B7730,12)="@outlook.com",RIGHT(B7730,12)="@hotmail.com",RIGHT(B7730,9)="@live.com"),"Outlook","Domain")))</f>
        <v/>
      </c>
      <c r="F7730">
        <f>IF(B7730="","",IFERROR(RIGHT(B7730,LEN(B7730)-FIND("@",B7730)),""))</f>
        <v/>
      </c>
      <c r="G7730">
        <f>IF(D7730="KEEP",COUNTIF($D$2:D7730,"KEEP"),"")</f>
        <v/>
      </c>
      <c r="H7730">
        <f>IF(D7730="REMOVE",COUNTIF($D$2:D7730,"REMOVE"),"")</f>
        <v/>
      </c>
      <c r="I7730">
        <f>IF(E7730="Gmail",COUNTIF($E$2:E7730,"Gmail"),"")</f>
        <v/>
      </c>
      <c r="J7730">
        <f>IF(E7730="Outlook",COUNTIF($E$2:E7730,"Outlook"),"")</f>
        <v/>
      </c>
      <c r="K7730">
        <f>IF(E7730="Domain",COUNTIF($E$2:E7730,"Domain"),"")</f>
        <v/>
      </c>
    </row>
    <row r="7731">
      <c r="A7731" s="2" t="n"/>
      <c r="B7731">
        <f>LOWER(TRIM(A7731))</f>
        <v/>
      </c>
      <c r="C7731">
        <f>IF(B7731="","",IFERROR(INDEX('Bad Patterns'!$A$2:$A$120,MATCH(1,INDEX(--ISNUMBER(SEARCH('Bad Patterns'!$A$2:$A$120,B7731)),0),0)),""))</f>
        <v/>
      </c>
      <c r="D7731">
        <f>IF(B7731="","",IF(C7731&lt;&gt;"","REMOVE","KEEP"))</f>
        <v/>
      </c>
      <c r="E7731">
        <f>IF(D7731&lt;&gt;"KEEP","",IF(RIGHT(B7731,10)="@gmail.com","Gmail",IF(OR(RIGHT(B7731,12)="@outlook.com",RIGHT(B7731,12)="@hotmail.com",RIGHT(B7731,9)="@live.com"),"Outlook","Domain")))</f>
        <v/>
      </c>
      <c r="F7731">
        <f>IF(B7731="","",IFERROR(RIGHT(B7731,LEN(B7731)-FIND("@",B7731)),""))</f>
        <v/>
      </c>
      <c r="G7731">
        <f>IF(D7731="KEEP",COUNTIF($D$2:D7731,"KEEP"),"")</f>
        <v/>
      </c>
      <c r="H7731">
        <f>IF(D7731="REMOVE",COUNTIF($D$2:D7731,"REMOVE"),"")</f>
        <v/>
      </c>
      <c r="I7731">
        <f>IF(E7731="Gmail",COUNTIF($E$2:E7731,"Gmail"),"")</f>
        <v/>
      </c>
      <c r="J7731">
        <f>IF(E7731="Outlook",COUNTIF($E$2:E7731,"Outlook"),"")</f>
        <v/>
      </c>
      <c r="K7731">
        <f>IF(E7731="Domain",COUNTIF($E$2:E7731,"Domain"),"")</f>
        <v/>
      </c>
    </row>
    <row r="7732">
      <c r="A7732" s="2" t="n"/>
      <c r="B7732">
        <f>LOWER(TRIM(A7732))</f>
        <v/>
      </c>
      <c r="C7732">
        <f>IF(B7732="","",IFERROR(INDEX('Bad Patterns'!$A$2:$A$120,MATCH(1,INDEX(--ISNUMBER(SEARCH('Bad Patterns'!$A$2:$A$120,B7732)),0),0)),""))</f>
        <v/>
      </c>
      <c r="D7732">
        <f>IF(B7732="","",IF(C7732&lt;&gt;"","REMOVE","KEEP"))</f>
        <v/>
      </c>
      <c r="E7732">
        <f>IF(D7732&lt;&gt;"KEEP","",IF(RIGHT(B7732,10)="@gmail.com","Gmail",IF(OR(RIGHT(B7732,12)="@outlook.com",RIGHT(B7732,12)="@hotmail.com",RIGHT(B7732,9)="@live.com"),"Outlook","Domain")))</f>
        <v/>
      </c>
      <c r="F7732">
        <f>IF(B7732="","",IFERROR(RIGHT(B7732,LEN(B7732)-FIND("@",B7732)),""))</f>
        <v/>
      </c>
      <c r="G7732">
        <f>IF(D7732="KEEP",COUNTIF($D$2:D7732,"KEEP"),"")</f>
        <v/>
      </c>
      <c r="H7732">
        <f>IF(D7732="REMOVE",COUNTIF($D$2:D7732,"REMOVE"),"")</f>
        <v/>
      </c>
      <c r="I7732">
        <f>IF(E7732="Gmail",COUNTIF($E$2:E7732,"Gmail"),"")</f>
        <v/>
      </c>
      <c r="J7732">
        <f>IF(E7732="Outlook",COUNTIF($E$2:E7732,"Outlook"),"")</f>
        <v/>
      </c>
      <c r="K7732">
        <f>IF(E7732="Domain",COUNTIF($E$2:E7732,"Domain"),"")</f>
        <v/>
      </c>
    </row>
    <row r="7733">
      <c r="A7733" s="2" t="n"/>
      <c r="B7733">
        <f>LOWER(TRIM(A7733))</f>
        <v/>
      </c>
      <c r="C7733">
        <f>IF(B7733="","",IFERROR(INDEX('Bad Patterns'!$A$2:$A$120,MATCH(1,INDEX(--ISNUMBER(SEARCH('Bad Patterns'!$A$2:$A$120,B7733)),0),0)),""))</f>
        <v/>
      </c>
      <c r="D7733">
        <f>IF(B7733="","",IF(C7733&lt;&gt;"","REMOVE","KEEP"))</f>
        <v/>
      </c>
      <c r="E7733">
        <f>IF(D7733&lt;&gt;"KEEP","",IF(RIGHT(B7733,10)="@gmail.com","Gmail",IF(OR(RIGHT(B7733,12)="@outlook.com",RIGHT(B7733,12)="@hotmail.com",RIGHT(B7733,9)="@live.com"),"Outlook","Domain")))</f>
        <v/>
      </c>
      <c r="F7733">
        <f>IF(B7733="","",IFERROR(RIGHT(B7733,LEN(B7733)-FIND("@",B7733)),""))</f>
        <v/>
      </c>
      <c r="G7733">
        <f>IF(D7733="KEEP",COUNTIF($D$2:D7733,"KEEP"),"")</f>
        <v/>
      </c>
      <c r="H7733">
        <f>IF(D7733="REMOVE",COUNTIF($D$2:D7733,"REMOVE"),"")</f>
        <v/>
      </c>
      <c r="I7733">
        <f>IF(E7733="Gmail",COUNTIF($E$2:E7733,"Gmail"),"")</f>
        <v/>
      </c>
      <c r="J7733">
        <f>IF(E7733="Outlook",COUNTIF($E$2:E7733,"Outlook"),"")</f>
        <v/>
      </c>
      <c r="K7733">
        <f>IF(E7733="Domain",COUNTIF($E$2:E7733,"Domain"),"")</f>
        <v/>
      </c>
    </row>
    <row r="7734">
      <c r="A7734" s="2" t="n"/>
      <c r="B7734">
        <f>LOWER(TRIM(A7734))</f>
        <v/>
      </c>
      <c r="C7734">
        <f>IF(B7734="","",IFERROR(INDEX('Bad Patterns'!$A$2:$A$120,MATCH(1,INDEX(--ISNUMBER(SEARCH('Bad Patterns'!$A$2:$A$120,B7734)),0),0)),""))</f>
        <v/>
      </c>
      <c r="D7734">
        <f>IF(B7734="","",IF(C7734&lt;&gt;"","REMOVE","KEEP"))</f>
        <v/>
      </c>
      <c r="E7734">
        <f>IF(D7734&lt;&gt;"KEEP","",IF(RIGHT(B7734,10)="@gmail.com","Gmail",IF(OR(RIGHT(B7734,12)="@outlook.com",RIGHT(B7734,12)="@hotmail.com",RIGHT(B7734,9)="@live.com"),"Outlook","Domain")))</f>
        <v/>
      </c>
      <c r="F7734">
        <f>IF(B7734="","",IFERROR(RIGHT(B7734,LEN(B7734)-FIND("@",B7734)),""))</f>
        <v/>
      </c>
      <c r="G7734">
        <f>IF(D7734="KEEP",COUNTIF($D$2:D7734,"KEEP"),"")</f>
        <v/>
      </c>
      <c r="H7734">
        <f>IF(D7734="REMOVE",COUNTIF($D$2:D7734,"REMOVE"),"")</f>
        <v/>
      </c>
      <c r="I7734">
        <f>IF(E7734="Gmail",COUNTIF($E$2:E7734,"Gmail"),"")</f>
        <v/>
      </c>
      <c r="J7734">
        <f>IF(E7734="Outlook",COUNTIF($E$2:E7734,"Outlook"),"")</f>
        <v/>
      </c>
      <c r="K7734">
        <f>IF(E7734="Domain",COUNTIF($E$2:E7734,"Domain"),"")</f>
        <v/>
      </c>
    </row>
    <row r="7735">
      <c r="A7735" s="2" t="n"/>
      <c r="B7735">
        <f>LOWER(TRIM(A7735))</f>
        <v/>
      </c>
      <c r="C7735">
        <f>IF(B7735="","",IFERROR(INDEX('Bad Patterns'!$A$2:$A$120,MATCH(1,INDEX(--ISNUMBER(SEARCH('Bad Patterns'!$A$2:$A$120,B7735)),0),0)),""))</f>
        <v/>
      </c>
      <c r="D7735">
        <f>IF(B7735="","",IF(C7735&lt;&gt;"","REMOVE","KEEP"))</f>
        <v/>
      </c>
      <c r="E7735">
        <f>IF(D7735&lt;&gt;"KEEP","",IF(RIGHT(B7735,10)="@gmail.com","Gmail",IF(OR(RIGHT(B7735,12)="@outlook.com",RIGHT(B7735,12)="@hotmail.com",RIGHT(B7735,9)="@live.com"),"Outlook","Domain")))</f>
        <v/>
      </c>
      <c r="F7735">
        <f>IF(B7735="","",IFERROR(RIGHT(B7735,LEN(B7735)-FIND("@",B7735)),""))</f>
        <v/>
      </c>
      <c r="G7735">
        <f>IF(D7735="KEEP",COUNTIF($D$2:D7735,"KEEP"),"")</f>
        <v/>
      </c>
      <c r="H7735">
        <f>IF(D7735="REMOVE",COUNTIF($D$2:D7735,"REMOVE"),"")</f>
        <v/>
      </c>
      <c r="I7735">
        <f>IF(E7735="Gmail",COUNTIF($E$2:E7735,"Gmail"),"")</f>
        <v/>
      </c>
      <c r="J7735">
        <f>IF(E7735="Outlook",COUNTIF($E$2:E7735,"Outlook"),"")</f>
        <v/>
      </c>
      <c r="K7735">
        <f>IF(E7735="Domain",COUNTIF($E$2:E7735,"Domain"),"")</f>
        <v/>
      </c>
    </row>
    <row r="7736">
      <c r="A7736" s="2" t="n"/>
      <c r="B7736">
        <f>LOWER(TRIM(A7736))</f>
        <v/>
      </c>
      <c r="C7736">
        <f>IF(B7736="","",IFERROR(INDEX('Bad Patterns'!$A$2:$A$120,MATCH(1,INDEX(--ISNUMBER(SEARCH('Bad Patterns'!$A$2:$A$120,B7736)),0),0)),""))</f>
        <v/>
      </c>
      <c r="D7736">
        <f>IF(B7736="","",IF(C7736&lt;&gt;"","REMOVE","KEEP"))</f>
        <v/>
      </c>
      <c r="E7736">
        <f>IF(D7736&lt;&gt;"KEEP","",IF(RIGHT(B7736,10)="@gmail.com","Gmail",IF(OR(RIGHT(B7736,12)="@outlook.com",RIGHT(B7736,12)="@hotmail.com",RIGHT(B7736,9)="@live.com"),"Outlook","Domain")))</f>
        <v/>
      </c>
      <c r="F7736">
        <f>IF(B7736="","",IFERROR(RIGHT(B7736,LEN(B7736)-FIND("@",B7736)),""))</f>
        <v/>
      </c>
      <c r="G7736">
        <f>IF(D7736="KEEP",COUNTIF($D$2:D7736,"KEEP"),"")</f>
        <v/>
      </c>
      <c r="H7736">
        <f>IF(D7736="REMOVE",COUNTIF($D$2:D7736,"REMOVE"),"")</f>
        <v/>
      </c>
      <c r="I7736">
        <f>IF(E7736="Gmail",COUNTIF($E$2:E7736,"Gmail"),"")</f>
        <v/>
      </c>
      <c r="J7736">
        <f>IF(E7736="Outlook",COUNTIF($E$2:E7736,"Outlook"),"")</f>
        <v/>
      </c>
      <c r="K7736">
        <f>IF(E7736="Domain",COUNTIF($E$2:E7736,"Domain"),"")</f>
        <v/>
      </c>
    </row>
    <row r="7737">
      <c r="A7737" s="2" t="n"/>
      <c r="B7737">
        <f>LOWER(TRIM(A7737))</f>
        <v/>
      </c>
      <c r="C7737">
        <f>IF(B7737="","",IFERROR(INDEX('Bad Patterns'!$A$2:$A$120,MATCH(1,INDEX(--ISNUMBER(SEARCH('Bad Patterns'!$A$2:$A$120,B7737)),0),0)),""))</f>
        <v/>
      </c>
      <c r="D7737">
        <f>IF(B7737="","",IF(C7737&lt;&gt;"","REMOVE","KEEP"))</f>
        <v/>
      </c>
      <c r="E7737">
        <f>IF(D7737&lt;&gt;"KEEP","",IF(RIGHT(B7737,10)="@gmail.com","Gmail",IF(OR(RIGHT(B7737,12)="@outlook.com",RIGHT(B7737,12)="@hotmail.com",RIGHT(B7737,9)="@live.com"),"Outlook","Domain")))</f>
        <v/>
      </c>
      <c r="F7737">
        <f>IF(B7737="","",IFERROR(RIGHT(B7737,LEN(B7737)-FIND("@",B7737)),""))</f>
        <v/>
      </c>
      <c r="G7737">
        <f>IF(D7737="KEEP",COUNTIF($D$2:D7737,"KEEP"),"")</f>
        <v/>
      </c>
      <c r="H7737">
        <f>IF(D7737="REMOVE",COUNTIF($D$2:D7737,"REMOVE"),"")</f>
        <v/>
      </c>
      <c r="I7737">
        <f>IF(E7737="Gmail",COUNTIF($E$2:E7737,"Gmail"),"")</f>
        <v/>
      </c>
      <c r="J7737">
        <f>IF(E7737="Outlook",COUNTIF($E$2:E7737,"Outlook"),"")</f>
        <v/>
      </c>
      <c r="K7737">
        <f>IF(E7737="Domain",COUNTIF($E$2:E7737,"Domain"),"")</f>
        <v/>
      </c>
    </row>
    <row r="7738">
      <c r="A7738" s="2" t="n"/>
      <c r="B7738">
        <f>LOWER(TRIM(A7738))</f>
        <v/>
      </c>
      <c r="C7738">
        <f>IF(B7738="","",IFERROR(INDEX('Bad Patterns'!$A$2:$A$120,MATCH(1,INDEX(--ISNUMBER(SEARCH('Bad Patterns'!$A$2:$A$120,B7738)),0),0)),""))</f>
        <v/>
      </c>
      <c r="D7738">
        <f>IF(B7738="","",IF(C7738&lt;&gt;"","REMOVE","KEEP"))</f>
        <v/>
      </c>
      <c r="E7738">
        <f>IF(D7738&lt;&gt;"KEEP","",IF(RIGHT(B7738,10)="@gmail.com","Gmail",IF(OR(RIGHT(B7738,12)="@outlook.com",RIGHT(B7738,12)="@hotmail.com",RIGHT(B7738,9)="@live.com"),"Outlook","Domain")))</f>
        <v/>
      </c>
      <c r="F7738">
        <f>IF(B7738="","",IFERROR(RIGHT(B7738,LEN(B7738)-FIND("@",B7738)),""))</f>
        <v/>
      </c>
      <c r="G7738">
        <f>IF(D7738="KEEP",COUNTIF($D$2:D7738,"KEEP"),"")</f>
        <v/>
      </c>
      <c r="H7738">
        <f>IF(D7738="REMOVE",COUNTIF($D$2:D7738,"REMOVE"),"")</f>
        <v/>
      </c>
      <c r="I7738">
        <f>IF(E7738="Gmail",COUNTIF($E$2:E7738,"Gmail"),"")</f>
        <v/>
      </c>
      <c r="J7738">
        <f>IF(E7738="Outlook",COUNTIF($E$2:E7738,"Outlook"),"")</f>
        <v/>
      </c>
      <c r="K7738">
        <f>IF(E7738="Domain",COUNTIF($E$2:E7738,"Domain"),"")</f>
        <v/>
      </c>
    </row>
    <row r="7739">
      <c r="A7739" s="2" t="n"/>
      <c r="B7739">
        <f>LOWER(TRIM(A7739))</f>
        <v/>
      </c>
      <c r="C7739">
        <f>IF(B7739="","",IFERROR(INDEX('Bad Patterns'!$A$2:$A$120,MATCH(1,INDEX(--ISNUMBER(SEARCH('Bad Patterns'!$A$2:$A$120,B7739)),0),0)),""))</f>
        <v/>
      </c>
      <c r="D7739">
        <f>IF(B7739="","",IF(C7739&lt;&gt;"","REMOVE","KEEP"))</f>
        <v/>
      </c>
      <c r="E7739">
        <f>IF(D7739&lt;&gt;"KEEP","",IF(RIGHT(B7739,10)="@gmail.com","Gmail",IF(OR(RIGHT(B7739,12)="@outlook.com",RIGHT(B7739,12)="@hotmail.com",RIGHT(B7739,9)="@live.com"),"Outlook","Domain")))</f>
        <v/>
      </c>
      <c r="F7739">
        <f>IF(B7739="","",IFERROR(RIGHT(B7739,LEN(B7739)-FIND("@",B7739)),""))</f>
        <v/>
      </c>
      <c r="G7739">
        <f>IF(D7739="KEEP",COUNTIF($D$2:D7739,"KEEP"),"")</f>
        <v/>
      </c>
      <c r="H7739">
        <f>IF(D7739="REMOVE",COUNTIF($D$2:D7739,"REMOVE"),"")</f>
        <v/>
      </c>
      <c r="I7739">
        <f>IF(E7739="Gmail",COUNTIF($E$2:E7739,"Gmail"),"")</f>
        <v/>
      </c>
      <c r="J7739">
        <f>IF(E7739="Outlook",COUNTIF($E$2:E7739,"Outlook"),"")</f>
        <v/>
      </c>
      <c r="K7739">
        <f>IF(E7739="Domain",COUNTIF($E$2:E7739,"Domain"),"")</f>
        <v/>
      </c>
    </row>
    <row r="7740">
      <c r="A7740" s="2" t="n"/>
      <c r="B7740">
        <f>LOWER(TRIM(A7740))</f>
        <v/>
      </c>
      <c r="C7740">
        <f>IF(B7740="","",IFERROR(INDEX('Bad Patterns'!$A$2:$A$120,MATCH(1,INDEX(--ISNUMBER(SEARCH('Bad Patterns'!$A$2:$A$120,B7740)),0),0)),""))</f>
        <v/>
      </c>
      <c r="D7740">
        <f>IF(B7740="","",IF(C7740&lt;&gt;"","REMOVE","KEEP"))</f>
        <v/>
      </c>
      <c r="E7740">
        <f>IF(D7740&lt;&gt;"KEEP","",IF(RIGHT(B7740,10)="@gmail.com","Gmail",IF(OR(RIGHT(B7740,12)="@outlook.com",RIGHT(B7740,12)="@hotmail.com",RIGHT(B7740,9)="@live.com"),"Outlook","Domain")))</f>
        <v/>
      </c>
      <c r="F7740">
        <f>IF(B7740="","",IFERROR(RIGHT(B7740,LEN(B7740)-FIND("@",B7740)),""))</f>
        <v/>
      </c>
      <c r="G7740">
        <f>IF(D7740="KEEP",COUNTIF($D$2:D7740,"KEEP"),"")</f>
        <v/>
      </c>
      <c r="H7740">
        <f>IF(D7740="REMOVE",COUNTIF($D$2:D7740,"REMOVE"),"")</f>
        <v/>
      </c>
      <c r="I7740">
        <f>IF(E7740="Gmail",COUNTIF($E$2:E7740,"Gmail"),"")</f>
        <v/>
      </c>
      <c r="J7740">
        <f>IF(E7740="Outlook",COUNTIF($E$2:E7740,"Outlook"),"")</f>
        <v/>
      </c>
      <c r="K7740">
        <f>IF(E7740="Domain",COUNTIF($E$2:E7740,"Domain"),"")</f>
        <v/>
      </c>
    </row>
    <row r="7741">
      <c r="A7741" s="2" t="n"/>
      <c r="B7741">
        <f>LOWER(TRIM(A7741))</f>
        <v/>
      </c>
      <c r="C7741">
        <f>IF(B7741="","",IFERROR(INDEX('Bad Patterns'!$A$2:$A$120,MATCH(1,INDEX(--ISNUMBER(SEARCH('Bad Patterns'!$A$2:$A$120,B7741)),0),0)),""))</f>
        <v/>
      </c>
      <c r="D7741">
        <f>IF(B7741="","",IF(C7741&lt;&gt;"","REMOVE","KEEP"))</f>
        <v/>
      </c>
      <c r="E7741">
        <f>IF(D7741&lt;&gt;"KEEP","",IF(RIGHT(B7741,10)="@gmail.com","Gmail",IF(OR(RIGHT(B7741,12)="@outlook.com",RIGHT(B7741,12)="@hotmail.com",RIGHT(B7741,9)="@live.com"),"Outlook","Domain")))</f>
        <v/>
      </c>
      <c r="F7741">
        <f>IF(B7741="","",IFERROR(RIGHT(B7741,LEN(B7741)-FIND("@",B7741)),""))</f>
        <v/>
      </c>
      <c r="G7741">
        <f>IF(D7741="KEEP",COUNTIF($D$2:D7741,"KEEP"),"")</f>
        <v/>
      </c>
      <c r="H7741">
        <f>IF(D7741="REMOVE",COUNTIF($D$2:D7741,"REMOVE"),"")</f>
        <v/>
      </c>
      <c r="I7741">
        <f>IF(E7741="Gmail",COUNTIF($E$2:E7741,"Gmail"),"")</f>
        <v/>
      </c>
      <c r="J7741">
        <f>IF(E7741="Outlook",COUNTIF($E$2:E7741,"Outlook"),"")</f>
        <v/>
      </c>
      <c r="K7741">
        <f>IF(E7741="Domain",COUNTIF($E$2:E7741,"Domain"),"")</f>
        <v/>
      </c>
    </row>
    <row r="7742">
      <c r="A7742" s="2" t="n"/>
      <c r="B7742">
        <f>LOWER(TRIM(A7742))</f>
        <v/>
      </c>
      <c r="C7742">
        <f>IF(B7742="","",IFERROR(INDEX('Bad Patterns'!$A$2:$A$120,MATCH(1,INDEX(--ISNUMBER(SEARCH('Bad Patterns'!$A$2:$A$120,B7742)),0),0)),""))</f>
        <v/>
      </c>
      <c r="D7742">
        <f>IF(B7742="","",IF(C7742&lt;&gt;"","REMOVE","KEEP"))</f>
        <v/>
      </c>
      <c r="E7742">
        <f>IF(D7742&lt;&gt;"KEEP","",IF(RIGHT(B7742,10)="@gmail.com","Gmail",IF(OR(RIGHT(B7742,12)="@outlook.com",RIGHT(B7742,12)="@hotmail.com",RIGHT(B7742,9)="@live.com"),"Outlook","Domain")))</f>
        <v/>
      </c>
      <c r="F7742">
        <f>IF(B7742="","",IFERROR(RIGHT(B7742,LEN(B7742)-FIND("@",B7742)),""))</f>
        <v/>
      </c>
      <c r="G7742">
        <f>IF(D7742="KEEP",COUNTIF($D$2:D7742,"KEEP"),"")</f>
        <v/>
      </c>
      <c r="H7742">
        <f>IF(D7742="REMOVE",COUNTIF($D$2:D7742,"REMOVE"),"")</f>
        <v/>
      </c>
      <c r="I7742">
        <f>IF(E7742="Gmail",COUNTIF($E$2:E7742,"Gmail"),"")</f>
        <v/>
      </c>
      <c r="J7742">
        <f>IF(E7742="Outlook",COUNTIF($E$2:E7742,"Outlook"),"")</f>
        <v/>
      </c>
      <c r="K7742">
        <f>IF(E7742="Domain",COUNTIF($E$2:E7742,"Domain"),"")</f>
        <v/>
      </c>
    </row>
    <row r="7743">
      <c r="A7743" s="2" t="n"/>
      <c r="B7743">
        <f>LOWER(TRIM(A7743))</f>
        <v/>
      </c>
      <c r="C7743">
        <f>IF(B7743="","",IFERROR(INDEX('Bad Patterns'!$A$2:$A$120,MATCH(1,INDEX(--ISNUMBER(SEARCH('Bad Patterns'!$A$2:$A$120,B7743)),0),0)),""))</f>
        <v/>
      </c>
      <c r="D7743">
        <f>IF(B7743="","",IF(C7743&lt;&gt;"","REMOVE","KEEP"))</f>
        <v/>
      </c>
      <c r="E7743">
        <f>IF(D7743&lt;&gt;"KEEP","",IF(RIGHT(B7743,10)="@gmail.com","Gmail",IF(OR(RIGHT(B7743,12)="@outlook.com",RIGHT(B7743,12)="@hotmail.com",RIGHT(B7743,9)="@live.com"),"Outlook","Domain")))</f>
        <v/>
      </c>
      <c r="F7743">
        <f>IF(B7743="","",IFERROR(RIGHT(B7743,LEN(B7743)-FIND("@",B7743)),""))</f>
        <v/>
      </c>
      <c r="G7743">
        <f>IF(D7743="KEEP",COUNTIF($D$2:D7743,"KEEP"),"")</f>
        <v/>
      </c>
      <c r="H7743">
        <f>IF(D7743="REMOVE",COUNTIF($D$2:D7743,"REMOVE"),"")</f>
        <v/>
      </c>
      <c r="I7743">
        <f>IF(E7743="Gmail",COUNTIF($E$2:E7743,"Gmail"),"")</f>
        <v/>
      </c>
      <c r="J7743">
        <f>IF(E7743="Outlook",COUNTIF($E$2:E7743,"Outlook"),"")</f>
        <v/>
      </c>
      <c r="K7743">
        <f>IF(E7743="Domain",COUNTIF($E$2:E7743,"Domain"),"")</f>
        <v/>
      </c>
    </row>
    <row r="7744">
      <c r="A7744" s="2" t="n"/>
      <c r="B7744">
        <f>LOWER(TRIM(A7744))</f>
        <v/>
      </c>
      <c r="C7744">
        <f>IF(B7744="","",IFERROR(INDEX('Bad Patterns'!$A$2:$A$120,MATCH(1,INDEX(--ISNUMBER(SEARCH('Bad Patterns'!$A$2:$A$120,B7744)),0),0)),""))</f>
        <v/>
      </c>
      <c r="D7744">
        <f>IF(B7744="","",IF(C7744&lt;&gt;"","REMOVE","KEEP"))</f>
        <v/>
      </c>
      <c r="E7744">
        <f>IF(D7744&lt;&gt;"KEEP","",IF(RIGHT(B7744,10)="@gmail.com","Gmail",IF(OR(RIGHT(B7744,12)="@outlook.com",RIGHT(B7744,12)="@hotmail.com",RIGHT(B7744,9)="@live.com"),"Outlook","Domain")))</f>
        <v/>
      </c>
      <c r="F7744">
        <f>IF(B7744="","",IFERROR(RIGHT(B7744,LEN(B7744)-FIND("@",B7744)),""))</f>
        <v/>
      </c>
      <c r="G7744">
        <f>IF(D7744="KEEP",COUNTIF($D$2:D7744,"KEEP"),"")</f>
        <v/>
      </c>
      <c r="H7744">
        <f>IF(D7744="REMOVE",COUNTIF($D$2:D7744,"REMOVE"),"")</f>
        <v/>
      </c>
      <c r="I7744">
        <f>IF(E7744="Gmail",COUNTIF($E$2:E7744,"Gmail"),"")</f>
        <v/>
      </c>
      <c r="J7744">
        <f>IF(E7744="Outlook",COUNTIF($E$2:E7744,"Outlook"),"")</f>
        <v/>
      </c>
      <c r="K7744">
        <f>IF(E7744="Domain",COUNTIF($E$2:E7744,"Domain"),"")</f>
        <v/>
      </c>
    </row>
    <row r="7745">
      <c r="A7745" s="2" t="n"/>
      <c r="B7745">
        <f>LOWER(TRIM(A7745))</f>
        <v/>
      </c>
      <c r="C7745">
        <f>IF(B7745="","",IFERROR(INDEX('Bad Patterns'!$A$2:$A$120,MATCH(1,INDEX(--ISNUMBER(SEARCH('Bad Patterns'!$A$2:$A$120,B7745)),0),0)),""))</f>
        <v/>
      </c>
      <c r="D7745">
        <f>IF(B7745="","",IF(C7745&lt;&gt;"","REMOVE","KEEP"))</f>
        <v/>
      </c>
      <c r="E7745">
        <f>IF(D7745&lt;&gt;"KEEP","",IF(RIGHT(B7745,10)="@gmail.com","Gmail",IF(OR(RIGHT(B7745,12)="@outlook.com",RIGHT(B7745,12)="@hotmail.com",RIGHT(B7745,9)="@live.com"),"Outlook","Domain")))</f>
        <v/>
      </c>
      <c r="F7745">
        <f>IF(B7745="","",IFERROR(RIGHT(B7745,LEN(B7745)-FIND("@",B7745)),""))</f>
        <v/>
      </c>
      <c r="G7745">
        <f>IF(D7745="KEEP",COUNTIF($D$2:D7745,"KEEP"),"")</f>
        <v/>
      </c>
      <c r="H7745">
        <f>IF(D7745="REMOVE",COUNTIF($D$2:D7745,"REMOVE"),"")</f>
        <v/>
      </c>
      <c r="I7745">
        <f>IF(E7745="Gmail",COUNTIF($E$2:E7745,"Gmail"),"")</f>
        <v/>
      </c>
      <c r="J7745">
        <f>IF(E7745="Outlook",COUNTIF($E$2:E7745,"Outlook"),"")</f>
        <v/>
      </c>
      <c r="K7745">
        <f>IF(E7745="Domain",COUNTIF($E$2:E7745,"Domain"),"")</f>
        <v/>
      </c>
    </row>
    <row r="7746">
      <c r="A7746" s="2" t="n"/>
      <c r="B7746">
        <f>LOWER(TRIM(A7746))</f>
        <v/>
      </c>
      <c r="C7746">
        <f>IF(B7746="","",IFERROR(INDEX('Bad Patterns'!$A$2:$A$120,MATCH(1,INDEX(--ISNUMBER(SEARCH('Bad Patterns'!$A$2:$A$120,B7746)),0),0)),""))</f>
        <v/>
      </c>
      <c r="D7746">
        <f>IF(B7746="","",IF(C7746&lt;&gt;"","REMOVE","KEEP"))</f>
        <v/>
      </c>
      <c r="E7746">
        <f>IF(D7746&lt;&gt;"KEEP","",IF(RIGHT(B7746,10)="@gmail.com","Gmail",IF(OR(RIGHT(B7746,12)="@outlook.com",RIGHT(B7746,12)="@hotmail.com",RIGHT(B7746,9)="@live.com"),"Outlook","Domain")))</f>
        <v/>
      </c>
      <c r="F7746">
        <f>IF(B7746="","",IFERROR(RIGHT(B7746,LEN(B7746)-FIND("@",B7746)),""))</f>
        <v/>
      </c>
      <c r="G7746">
        <f>IF(D7746="KEEP",COUNTIF($D$2:D7746,"KEEP"),"")</f>
        <v/>
      </c>
      <c r="H7746">
        <f>IF(D7746="REMOVE",COUNTIF($D$2:D7746,"REMOVE"),"")</f>
        <v/>
      </c>
      <c r="I7746">
        <f>IF(E7746="Gmail",COUNTIF($E$2:E7746,"Gmail"),"")</f>
        <v/>
      </c>
      <c r="J7746">
        <f>IF(E7746="Outlook",COUNTIF($E$2:E7746,"Outlook"),"")</f>
        <v/>
      </c>
      <c r="K7746">
        <f>IF(E7746="Domain",COUNTIF($E$2:E7746,"Domain"),"")</f>
        <v/>
      </c>
    </row>
    <row r="7747">
      <c r="A7747" s="2" t="n"/>
      <c r="B7747">
        <f>LOWER(TRIM(A7747))</f>
        <v/>
      </c>
      <c r="C7747">
        <f>IF(B7747="","",IFERROR(INDEX('Bad Patterns'!$A$2:$A$120,MATCH(1,INDEX(--ISNUMBER(SEARCH('Bad Patterns'!$A$2:$A$120,B7747)),0),0)),""))</f>
        <v/>
      </c>
      <c r="D7747">
        <f>IF(B7747="","",IF(C7747&lt;&gt;"","REMOVE","KEEP"))</f>
        <v/>
      </c>
      <c r="E7747">
        <f>IF(D7747&lt;&gt;"KEEP","",IF(RIGHT(B7747,10)="@gmail.com","Gmail",IF(OR(RIGHT(B7747,12)="@outlook.com",RIGHT(B7747,12)="@hotmail.com",RIGHT(B7747,9)="@live.com"),"Outlook","Domain")))</f>
        <v/>
      </c>
      <c r="F7747">
        <f>IF(B7747="","",IFERROR(RIGHT(B7747,LEN(B7747)-FIND("@",B7747)),""))</f>
        <v/>
      </c>
      <c r="G7747">
        <f>IF(D7747="KEEP",COUNTIF($D$2:D7747,"KEEP"),"")</f>
        <v/>
      </c>
      <c r="H7747">
        <f>IF(D7747="REMOVE",COUNTIF($D$2:D7747,"REMOVE"),"")</f>
        <v/>
      </c>
      <c r="I7747">
        <f>IF(E7747="Gmail",COUNTIF($E$2:E7747,"Gmail"),"")</f>
        <v/>
      </c>
      <c r="J7747">
        <f>IF(E7747="Outlook",COUNTIF($E$2:E7747,"Outlook"),"")</f>
        <v/>
      </c>
      <c r="K7747">
        <f>IF(E7747="Domain",COUNTIF($E$2:E7747,"Domain"),"")</f>
        <v/>
      </c>
    </row>
    <row r="7748">
      <c r="A7748" s="2" t="n"/>
      <c r="B7748">
        <f>LOWER(TRIM(A7748))</f>
        <v/>
      </c>
      <c r="C7748">
        <f>IF(B7748="","",IFERROR(INDEX('Bad Patterns'!$A$2:$A$120,MATCH(1,INDEX(--ISNUMBER(SEARCH('Bad Patterns'!$A$2:$A$120,B7748)),0),0)),""))</f>
        <v/>
      </c>
      <c r="D7748">
        <f>IF(B7748="","",IF(C7748&lt;&gt;"","REMOVE","KEEP"))</f>
        <v/>
      </c>
      <c r="E7748">
        <f>IF(D7748&lt;&gt;"KEEP","",IF(RIGHT(B7748,10)="@gmail.com","Gmail",IF(OR(RIGHT(B7748,12)="@outlook.com",RIGHT(B7748,12)="@hotmail.com",RIGHT(B7748,9)="@live.com"),"Outlook","Domain")))</f>
        <v/>
      </c>
      <c r="F7748">
        <f>IF(B7748="","",IFERROR(RIGHT(B7748,LEN(B7748)-FIND("@",B7748)),""))</f>
        <v/>
      </c>
      <c r="G7748">
        <f>IF(D7748="KEEP",COUNTIF($D$2:D7748,"KEEP"),"")</f>
        <v/>
      </c>
      <c r="H7748">
        <f>IF(D7748="REMOVE",COUNTIF($D$2:D7748,"REMOVE"),"")</f>
        <v/>
      </c>
      <c r="I7748">
        <f>IF(E7748="Gmail",COUNTIF($E$2:E7748,"Gmail"),"")</f>
        <v/>
      </c>
      <c r="J7748">
        <f>IF(E7748="Outlook",COUNTIF($E$2:E7748,"Outlook"),"")</f>
        <v/>
      </c>
      <c r="K7748">
        <f>IF(E7748="Domain",COUNTIF($E$2:E7748,"Domain"),"")</f>
        <v/>
      </c>
    </row>
    <row r="7749">
      <c r="A7749" s="2" t="n"/>
      <c r="B7749">
        <f>LOWER(TRIM(A7749))</f>
        <v/>
      </c>
      <c r="C7749">
        <f>IF(B7749="","",IFERROR(INDEX('Bad Patterns'!$A$2:$A$120,MATCH(1,INDEX(--ISNUMBER(SEARCH('Bad Patterns'!$A$2:$A$120,B7749)),0),0)),""))</f>
        <v/>
      </c>
      <c r="D7749">
        <f>IF(B7749="","",IF(C7749&lt;&gt;"","REMOVE","KEEP"))</f>
        <v/>
      </c>
      <c r="E7749">
        <f>IF(D7749&lt;&gt;"KEEP","",IF(RIGHT(B7749,10)="@gmail.com","Gmail",IF(OR(RIGHT(B7749,12)="@outlook.com",RIGHT(B7749,12)="@hotmail.com",RIGHT(B7749,9)="@live.com"),"Outlook","Domain")))</f>
        <v/>
      </c>
      <c r="F7749">
        <f>IF(B7749="","",IFERROR(RIGHT(B7749,LEN(B7749)-FIND("@",B7749)),""))</f>
        <v/>
      </c>
      <c r="G7749">
        <f>IF(D7749="KEEP",COUNTIF($D$2:D7749,"KEEP"),"")</f>
        <v/>
      </c>
      <c r="H7749">
        <f>IF(D7749="REMOVE",COUNTIF($D$2:D7749,"REMOVE"),"")</f>
        <v/>
      </c>
      <c r="I7749">
        <f>IF(E7749="Gmail",COUNTIF($E$2:E7749,"Gmail"),"")</f>
        <v/>
      </c>
      <c r="J7749">
        <f>IF(E7749="Outlook",COUNTIF($E$2:E7749,"Outlook"),"")</f>
        <v/>
      </c>
      <c r="K7749">
        <f>IF(E7749="Domain",COUNTIF($E$2:E7749,"Domain"),"")</f>
        <v/>
      </c>
    </row>
    <row r="7750">
      <c r="A7750" s="2" t="n"/>
      <c r="B7750">
        <f>LOWER(TRIM(A7750))</f>
        <v/>
      </c>
      <c r="C7750">
        <f>IF(B7750="","",IFERROR(INDEX('Bad Patterns'!$A$2:$A$120,MATCH(1,INDEX(--ISNUMBER(SEARCH('Bad Patterns'!$A$2:$A$120,B7750)),0),0)),""))</f>
        <v/>
      </c>
      <c r="D7750">
        <f>IF(B7750="","",IF(C7750&lt;&gt;"","REMOVE","KEEP"))</f>
        <v/>
      </c>
      <c r="E7750">
        <f>IF(D7750&lt;&gt;"KEEP","",IF(RIGHT(B7750,10)="@gmail.com","Gmail",IF(OR(RIGHT(B7750,12)="@outlook.com",RIGHT(B7750,12)="@hotmail.com",RIGHT(B7750,9)="@live.com"),"Outlook","Domain")))</f>
        <v/>
      </c>
      <c r="F7750">
        <f>IF(B7750="","",IFERROR(RIGHT(B7750,LEN(B7750)-FIND("@",B7750)),""))</f>
        <v/>
      </c>
      <c r="G7750">
        <f>IF(D7750="KEEP",COUNTIF($D$2:D7750,"KEEP"),"")</f>
        <v/>
      </c>
      <c r="H7750">
        <f>IF(D7750="REMOVE",COUNTIF($D$2:D7750,"REMOVE"),"")</f>
        <v/>
      </c>
      <c r="I7750">
        <f>IF(E7750="Gmail",COUNTIF($E$2:E7750,"Gmail"),"")</f>
        <v/>
      </c>
      <c r="J7750">
        <f>IF(E7750="Outlook",COUNTIF($E$2:E7750,"Outlook"),"")</f>
        <v/>
      </c>
      <c r="K7750">
        <f>IF(E7750="Domain",COUNTIF($E$2:E7750,"Domain"),"")</f>
        <v/>
      </c>
    </row>
    <row r="7751">
      <c r="A7751" s="2" t="n"/>
      <c r="B7751">
        <f>LOWER(TRIM(A7751))</f>
        <v/>
      </c>
      <c r="C7751">
        <f>IF(B7751="","",IFERROR(INDEX('Bad Patterns'!$A$2:$A$120,MATCH(1,INDEX(--ISNUMBER(SEARCH('Bad Patterns'!$A$2:$A$120,B7751)),0),0)),""))</f>
        <v/>
      </c>
      <c r="D7751">
        <f>IF(B7751="","",IF(C7751&lt;&gt;"","REMOVE","KEEP"))</f>
        <v/>
      </c>
      <c r="E7751">
        <f>IF(D7751&lt;&gt;"KEEP","",IF(RIGHT(B7751,10)="@gmail.com","Gmail",IF(OR(RIGHT(B7751,12)="@outlook.com",RIGHT(B7751,12)="@hotmail.com",RIGHT(B7751,9)="@live.com"),"Outlook","Domain")))</f>
        <v/>
      </c>
      <c r="F7751">
        <f>IF(B7751="","",IFERROR(RIGHT(B7751,LEN(B7751)-FIND("@",B7751)),""))</f>
        <v/>
      </c>
      <c r="G7751">
        <f>IF(D7751="KEEP",COUNTIF($D$2:D7751,"KEEP"),"")</f>
        <v/>
      </c>
      <c r="H7751">
        <f>IF(D7751="REMOVE",COUNTIF($D$2:D7751,"REMOVE"),"")</f>
        <v/>
      </c>
      <c r="I7751">
        <f>IF(E7751="Gmail",COUNTIF($E$2:E7751,"Gmail"),"")</f>
        <v/>
      </c>
      <c r="J7751">
        <f>IF(E7751="Outlook",COUNTIF($E$2:E7751,"Outlook"),"")</f>
        <v/>
      </c>
      <c r="K7751">
        <f>IF(E7751="Domain",COUNTIF($E$2:E7751,"Domain"),"")</f>
        <v/>
      </c>
    </row>
    <row r="7752">
      <c r="A7752" s="2" t="n"/>
      <c r="B7752">
        <f>LOWER(TRIM(A7752))</f>
        <v/>
      </c>
      <c r="C7752">
        <f>IF(B7752="","",IFERROR(INDEX('Bad Patterns'!$A$2:$A$120,MATCH(1,INDEX(--ISNUMBER(SEARCH('Bad Patterns'!$A$2:$A$120,B7752)),0),0)),""))</f>
        <v/>
      </c>
      <c r="D7752">
        <f>IF(B7752="","",IF(C7752&lt;&gt;"","REMOVE","KEEP"))</f>
        <v/>
      </c>
      <c r="E7752">
        <f>IF(D7752&lt;&gt;"KEEP","",IF(RIGHT(B7752,10)="@gmail.com","Gmail",IF(OR(RIGHT(B7752,12)="@outlook.com",RIGHT(B7752,12)="@hotmail.com",RIGHT(B7752,9)="@live.com"),"Outlook","Domain")))</f>
        <v/>
      </c>
      <c r="F7752">
        <f>IF(B7752="","",IFERROR(RIGHT(B7752,LEN(B7752)-FIND("@",B7752)),""))</f>
        <v/>
      </c>
      <c r="G7752">
        <f>IF(D7752="KEEP",COUNTIF($D$2:D7752,"KEEP"),"")</f>
        <v/>
      </c>
      <c r="H7752">
        <f>IF(D7752="REMOVE",COUNTIF($D$2:D7752,"REMOVE"),"")</f>
        <v/>
      </c>
      <c r="I7752">
        <f>IF(E7752="Gmail",COUNTIF($E$2:E7752,"Gmail"),"")</f>
        <v/>
      </c>
      <c r="J7752">
        <f>IF(E7752="Outlook",COUNTIF($E$2:E7752,"Outlook"),"")</f>
        <v/>
      </c>
      <c r="K7752">
        <f>IF(E7752="Domain",COUNTIF($E$2:E7752,"Domain"),"")</f>
        <v/>
      </c>
    </row>
    <row r="7753">
      <c r="A7753" s="2" t="n"/>
      <c r="B7753">
        <f>LOWER(TRIM(A7753))</f>
        <v/>
      </c>
      <c r="C7753">
        <f>IF(B7753="","",IFERROR(INDEX('Bad Patterns'!$A$2:$A$120,MATCH(1,INDEX(--ISNUMBER(SEARCH('Bad Patterns'!$A$2:$A$120,B7753)),0),0)),""))</f>
        <v/>
      </c>
      <c r="D7753">
        <f>IF(B7753="","",IF(C7753&lt;&gt;"","REMOVE","KEEP"))</f>
        <v/>
      </c>
      <c r="E7753">
        <f>IF(D7753&lt;&gt;"KEEP","",IF(RIGHT(B7753,10)="@gmail.com","Gmail",IF(OR(RIGHT(B7753,12)="@outlook.com",RIGHT(B7753,12)="@hotmail.com",RIGHT(B7753,9)="@live.com"),"Outlook","Domain")))</f>
        <v/>
      </c>
      <c r="F7753">
        <f>IF(B7753="","",IFERROR(RIGHT(B7753,LEN(B7753)-FIND("@",B7753)),""))</f>
        <v/>
      </c>
      <c r="G7753">
        <f>IF(D7753="KEEP",COUNTIF($D$2:D7753,"KEEP"),"")</f>
        <v/>
      </c>
      <c r="H7753">
        <f>IF(D7753="REMOVE",COUNTIF($D$2:D7753,"REMOVE"),"")</f>
        <v/>
      </c>
      <c r="I7753">
        <f>IF(E7753="Gmail",COUNTIF($E$2:E7753,"Gmail"),"")</f>
        <v/>
      </c>
      <c r="J7753">
        <f>IF(E7753="Outlook",COUNTIF($E$2:E7753,"Outlook"),"")</f>
        <v/>
      </c>
      <c r="K7753">
        <f>IF(E7753="Domain",COUNTIF($E$2:E7753,"Domain"),"")</f>
        <v/>
      </c>
    </row>
    <row r="7754">
      <c r="A7754" s="2" t="n"/>
      <c r="B7754">
        <f>LOWER(TRIM(A7754))</f>
        <v/>
      </c>
      <c r="C7754">
        <f>IF(B7754="","",IFERROR(INDEX('Bad Patterns'!$A$2:$A$120,MATCH(1,INDEX(--ISNUMBER(SEARCH('Bad Patterns'!$A$2:$A$120,B7754)),0),0)),""))</f>
        <v/>
      </c>
      <c r="D7754">
        <f>IF(B7754="","",IF(C7754&lt;&gt;"","REMOVE","KEEP"))</f>
        <v/>
      </c>
      <c r="E7754">
        <f>IF(D7754&lt;&gt;"KEEP","",IF(RIGHT(B7754,10)="@gmail.com","Gmail",IF(OR(RIGHT(B7754,12)="@outlook.com",RIGHT(B7754,12)="@hotmail.com",RIGHT(B7754,9)="@live.com"),"Outlook","Domain")))</f>
        <v/>
      </c>
      <c r="F7754">
        <f>IF(B7754="","",IFERROR(RIGHT(B7754,LEN(B7754)-FIND("@",B7754)),""))</f>
        <v/>
      </c>
      <c r="G7754">
        <f>IF(D7754="KEEP",COUNTIF($D$2:D7754,"KEEP"),"")</f>
        <v/>
      </c>
      <c r="H7754">
        <f>IF(D7754="REMOVE",COUNTIF($D$2:D7754,"REMOVE"),"")</f>
        <v/>
      </c>
      <c r="I7754">
        <f>IF(E7754="Gmail",COUNTIF($E$2:E7754,"Gmail"),"")</f>
        <v/>
      </c>
      <c r="J7754">
        <f>IF(E7754="Outlook",COUNTIF($E$2:E7754,"Outlook"),"")</f>
        <v/>
      </c>
      <c r="K7754">
        <f>IF(E7754="Domain",COUNTIF($E$2:E7754,"Domain"),"")</f>
        <v/>
      </c>
    </row>
    <row r="7755">
      <c r="A7755" s="2" t="n"/>
      <c r="B7755">
        <f>LOWER(TRIM(A7755))</f>
        <v/>
      </c>
      <c r="C7755">
        <f>IF(B7755="","",IFERROR(INDEX('Bad Patterns'!$A$2:$A$120,MATCH(1,INDEX(--ISNUMBER(SEARCH('Bad Patterns'!$A$2:$A$120,B7755)),0),0)),""))</f>
        <v/>
      </c>
      <c r="D7755">
        <f>IF(B7755="","",IF(C7755&lt;&gt;"","REMOVE","KEEP"))</f>
        <v/>
      </c>
      <c r="E7755">
        <f>IF(D7755&lt;&gt;"KEEP","",IF(RIGHT(B7755,10)="@gmail.com","Gmail",IF(OR(RIGHT(B7755,12)="@outlook.com",RIGHT(B7755,12)="@hotmail.com",RIGHT(B7755,9)="@live.com"),"Outlook","Domain")))</f>
        <v/>
      </c>
      <c r="F7755">
        <f>IF(B7755="","",IFERROR(RIGHT(B7755,LEN(B7755)-FIND("@",B7755)),""))</f>
        <v/>
      </c>
      <c r="G7755">
        <f>IF(D7755="KEEP",COUNTIF($D$2:D7755,"KEEP"),"")</f>
        <v/>
      </c>
      <c r="H7755">
        <f>IF(D7755="REMOVE",COUNTIF($D$2:D7755,"REMOVE"),"")</f>
        <v/>
      </c>
      <c r="I7755">
        <f>IF(E7755="Gmail",COUNTIF($E$2:E7755,"Gmail"),"")</f>
        <v/>
      </c>
      <c r="J7755">
        <f>IF(E7755="Outlook",COUNTIF($E$2:E7755,"Outlook"),"")</f>
        <v/>
      </c>
      <c r="K7755">
        <f>IF(E7755="Domain",COUNTIF($E$2:E7755,"Domain"),"")</f>
        <v/>
      </c>
    </row>
    <row r="7756">
      <c r="A7756" s="2" t="n"/>
      <c r="B7756">
        <f>LOWER(TRIM(A7756))</f>
        <v/>
      </c>
      <c r="C7756">
        <f>IF(B7756="","",IFERROR(INDEX('Bad Patterns'!$A$2:$A$120,MATCH(1,INDEX(--ISNUMBER(SEARCH('Bad Patterns'!$A$2:$A$120,B7756)),0),0)),""))</f>
        <v/>
      </c>
      <c r="D7756">
        <f>IF(B7756="","",IF(C7756&lt;&gt;"","REMOVE","KEEP"))</f>
        <v/>
      </c>
      <c r="E7756">
        <f>IF(D7756&lt;&gt;"KEEP","",IF(RIGHT(B7756,10)="@gmail.com","Gmail",IF(OR(RIGHT(B7756,12)="@outlook.com",RIGHT(B7756,12)="@hotmail.com",RIGHT(B7756,9)="@live.com"),"Outlook","Domain")))</f>
        <v/>
      </c>
      <c r="F7756">
        <f>IF(B7756="","",IFERROR(RIGHT(B7756,LEN(B7756)-FIND("@",B7756)),""))</f>
        <v/>
      </c>
      <c r="G7756">
        <f>IF(D7756="KEEP",COUNTIF($D$2:D7756,"KEEP"),"")</f>
        <v/>
      </c>
      <c r="H7756">
        <f>IF(D7756="REMOVE",COUNTIF($D$2:D7756,"REMOVE"),"")</f>
        <v/>
      </c>
      <c r="I7756">
        <f>IF(E7756="Gmail",COUNTIF($E$2:E7756,"Gmail"),"")</f>
        <v/>
      </c>
      <c r="J7756">
        <f>IF(E7756="Outlook",COUNTIF($E$2:E7756,"Outlook"),"")</f>
        <v/>
      </c>
      <c r="K7756">
        <f>IF(E7756="Domain",COUNTIF($E$2:E7756,"Domain"),"")</f>
        <v/>
      </c>
    </row>
    <row r="7757">
      <c r="A7757" s="2" t="n"/>
      <c r="B7757">
        <f>LOWER(TRIM(A7757))</f>
        <v/>
      </c>
      <c r="C7757">
        <f>IF(B7757="","",IFERROR(INDEX('Bad Patterns'!$A$2:$A$120,MATCH(1,INDEX(--ISNUMBER(SEARCH('Bad Patterns'!$A$2:$A$120,B7757)),0),0)),""))</f>
        <v/>
      </c>
      <c r="D7757">
        <f>IF(B7757="","",IF(C7757&lt;&gt;"","REMOVE","KEEP"))</f>
        <v/>
      </c>
      <c r="E7757">
        <f>IF(D7757&lt;&gt;"KEEP","",IF(RIGHT(B7757,10)="@gmail.com","Gmail",IF(OR(RIGHT(B7757,12)="@outlook.com",RIGHT(B7757,12)="@hotmail.com",RIGHT(B7757,9)="@live.com"),"Outlook","Domain")))</f>
        <v/>
      </c>
      <c r="F7757">
        <f>IF(B7757="","",IFERROR(RIGHT(B7757,LEN(B7757)-FIND("@",B7757)),""))</f>
        <v/>
      </c>
      <c r="G7757">
        <f>IF(D7757="KEEP",COUNTIF($D$2:D7757,"KEEP"),"")</f>
        <v/>
      </c>
      <c r="H7757">
        <f>IF(D7757="REMOVE",COUNTIF($D$2:D7757,"REMOVE"),"")</f>
        <v/>
      </c>
      <c r="I7757">
        <f>IF(E7757="Gmail",COUNTIF($E$2:E7757,"Gmail"),"")</f>
        <v/>
      </c>
      <c r="J7757">
        <f>IF(E7757="Outlook",COUNTIF($E$2:E7757,"Outlook"),"")</f>
        <v/>
      </c>
      <c r="K7757">
        <f>IF(E7757="Domain",COUNTIF($E$2:E7757,"Domain"),"")</f>
        <v/>
      </c>
    </row>
    <row r="7758">
      <c r="A7758" s="2" t="n"/>
      <c r="B7758">
        <f>LOWER(TRIM(A7758))</f>
        <v/>
      </c>
      <c r="C7758">
        <f>IF(B7758="","",IFERROR(INDEX('Bad Patterns'!$A$2:$A$120,MATCH(1,INDEX(--ISNUMBER(SEARCH('Bad Patterns'!$A$2:$A$120,B7758)),0),0)),""))</f>
        <v/>
      </c>
      <c r="D7758">
        <f>IF(B7758="","",IF(C7758&lt;&gt;"","REMOVE","KEEP"))</f>
        <v/>
      </c>
      <c r="E7758">
        <f>IF(D7758&lt;&gt;"KEEP","",IF(RIGHT(B7758,10)="@gmail.com","Gmail",IF(OR(RIGHT(B7758,12)="@outlook.com",RIGHT(B7758,12)="@hotmail.com",RIGHT(B7758,9)="@live.com"),"Outlook","Domain")))</f>
        <v/>
      </c>
      <c r="F7758">
        <f>IF(B7758="","",IFERROR(RIGHT(B7758,LEN(B7758)-FIND("@",B7758)),""))</f>
        <v/>
      </c>
      <c r="G7758">
        <f>IF(D7758="KEEP",COUNTIF($D$2:D7758,"KEEP"),"")</f>
        <v/>
      </c>
      <c r="H7758">
        <f>IF(D7758="REMOVE",COUNTIF($D$2:D7758,"REMOVE"),"")</f>
        <v/>
      </c>
      <c r="I7758">
        <f>IF(E7758="Gmail",COUNTIF($E$2:E7758,"Gmail"),"")</f>
        <v/>
      </c>
      <c r="J7758">
        <f>IF(E7758="Outlook",COUNTIF($E$2:E7758,"Outlook"),"")</f>
        <v/>
      </c>
      <c r="K7758">
        <f>IF(E7758="Domain",COUNTIF($E$2:E7758,"Domain"),"")</f>
        <v/>
      </c>
    </row>
    <row r="7759">
      <c r="A7759" s="2" t="n"/>
      <c r="B7759">
        <f>LOWER(TRIM(A7759))</f>
        <v/>
      </c>
      <c r="C7759">
        <f>IF(B7759="","",IFERROR(INDEX('Bad Patterns'!$A$2:$A$120,MATCH(1,INDEX(--ISNUMBER(SEARCH('Bad Patterns'!$A$2:$A$120,B7759)),0),0)),""))</f>
        <v/>
      </c>
      <c r="D7759">
        <f>IF(B7759="","",IF(C7759&lt;&gt;"","REMOVE","KEEP"))</f>
        <v/>
      </c>
      <c r="E7759">
        <f>IF(D7759&lt;&gt;"KEEP","",IF(RIGHT(B7759,10)="@gmail.com","Gmail",IF(OR(RIGHT(B7759,12)="@outlook.com",RIGHT(B7759,12)="@hotmail.com",RIGHT(B7759,9)="@live.com"),"Outlook","Domain")))</f>
        <v/>
      </c>
      <c r="F7759">
        <f>IF(B7759="","",IFERROR(RIGHT(B7759,LEN(B7759)-FIND("@",B7759)),""))</f>
        <v/>
      </c>
      <c r="G7759">
        <f>IF(D7759="KEEP",COUNTIF($D$2:D7759,"KEEP"),"")</f>
        <v/>
      </c>
      <c r="H7759">
        <f>IF(D7759="REMOVE",COUNTIF($D$2:D7759,"REMOVE"),"")</f>
        <v/>
      </c>
      <c r="I7759">
        <f>IF(E7759="Gmail",COUNTIF($E$2:E7759,"Gmail"),"")</f>
        <v/>
      </c>
      <c r="J7759">
        <f>IF(E7759="Outlook",COUNTIF($E$2:E7759,"Outlook"),"")</f>
        <v/>
      </c>
      <c r="K7759">
        <f>IF(E7759="Domain",COUNTIF($E$2:E7759,"Domain"),"")</f>
        <v/>
      </c>
    </row>
    <row r="7760">
      <c r="A7760" s="2" t="n"/>
      <c r="B7760">
        <f>LOWER(TRIM(A7760))</f>
        <v/>
      </c>
      <c r="C7760">
        <f>IF(B7760="","",IFERROR(INDEX('Bad Patterns'!$A$2:$A$120,MATCH(1,INDEX(--ISNUMBER(SEARCH('Bad Patterns'!$A$2:$A$120,B7760)),0),0)),""))</f>
        <v/>
      </c>
      <c r="D7760">
        <f>IF(B7760="","",IF(C7760&lt;&gt;"","REMOVE","KEEP"))</f>
        <v/>
      </c>
      <c r="E7760">
        <f>IF(D7760&lt;&gt;"KEEP","",IF(RIGHT(B7760,10)="@gmail.com","Gmail",IF(OR(RIGHT(B7760,12)="@outlook.com",RIGHT(B7760,12)="@hotmail.com",RIGHT(B7760,9)="@live.com"),"Outlook","Domain")))</f>
        <v/>
      </c>
      <c r="F7760">
        <f>IF(B7760="","",IFERROR(RIGHT(B7760,LEN(B7760)-FIND("@",B7760)),""))</f>
        <v/>
      </c>
      <c r="G7760">
        <f>IF(D7760="KEEP",COUNTIF($D$2:D7760,"KEEP"),"")</f>
        <v/>
      </c>
      <c r="H7760">
        <f>IF(D7760="REMOVE",COUNTIF($D$2:D7760,"REMOVE"),"")</f>
        <v/>
      </c>
      <c r="I7760">
        <f>IF(E7760="Gmail",COUNTIF($E$2:E7760,"Gmail"),"")</f>
        <v/>
      </c>
      <c r="J7760">
        <f>IF(E7760="Outlook",COUNTIF($E$2:E7760,"Outlook"),"")</f>
        <v/>
      </c>
      <c r="K7760">
        <f>IF(E7760="Domain",COUNTIF($E$2:E7760,"Domain"),"")</f>
        <v/>
      </c>
    </row>
    <row r="7761">
      <c r="A7761" s="2" t="n"/>
      <c r="B7761">
        <f>LOWER(TRIM(A7761))</f>
        <v/>
      </c>
      <c r="C7761">
        <f>IF(B7761="","",IFERROR(INDEX('Bad Patterns'!$A$2:$A$120,MATCH(1,INDEX(--ISNUMBER(SEARCH('Bad Patterns'!$A$2:$A$120,B7761)),0),0)),""))</f>
        <v/>
      </c>
      <c r="D7761">
        <f>IF(B7761="","",IF(C7761&lt;&gt;"","REMOVE","KEEP"))</f>
        <v/>
      </c>
      <c r="E7761">
        <f>IF(D7761&lt;&gt;"KEEP","",IF(RIGHT(B7761,10)="@gmail.com","Gmail",IF(OR(RIGHT(B7761,12)="@outlook.com",RIGHT(B7761,12)="@hotmail.com",RIGHT(B7761,9)="@live.com"),"Outlook","Domain")))</f>
        <v/>
      </c>
      <c r="F7761">
        <f>IF(B7761="","",IFERROR(RIGHT(B7761,LEN(B7761)-FIND("@",B7761)),""))</f>
        <v/>
      </c>
      <c r="G7761">
        <f>IF(D7761="KEEP",COUNTIF($D$2:D7761,"KEEP"),"")</f>
        <v/>
      </c>
      <c r="H7761">
        <f>IF(D7761="REMOVE",COUNTIF($D$2:D7761,"REMOVE"),"")</f>
        <v/>
      </c>
      <c r="I7761">
        <f>IF(E7761="Gmail",COUNTIF($E$2:E7761,"Gmail"),"")</f>
        <v/>
      </c>
      <c r="J7761">
        <f>IF(E7761="Outlook",COUNTIF($E$2:E7761,"Outlook"),"")</f>
        <v/>
      </c>
      <c r="K7761">
        <f>IF(E7761="Domain",COUNTIF($E$2:E7761,"Domain"),"")</f>
        <v/>
      </c>
    </row>
    <row r="7762">
      <c r="A7762" s="2" t="n"/>
      <c r="B7762">
        <f>LOWER(TRIM(A7762))</f>
        <v/>
      </c>
      <c r="C7762">
        <f>IF(B7762="","",IFERROR(INDEX('Bad Patterns'!$A$2:$A$120,MATCH(1,INDEX(--ISNUMBER(SEARCH('Bad Patterns'!$A$2:$A$120,B7762)),0),0)),""))</f>
        <v/>
      </c>
      <c r="D7762">
        <f>IF(B7762="","",IF(C7762&lt;&gt;"","REMOVE","KEEP"))</f>
        <v/>
      </c>
      <c r="E7762">
        <f>IF(D7762&lt;&gt;"KEEP","",IF(RIGHT(B7762,10)="@gmail.com","Gmail",IF(OR(RIGHT(B7762,12)="@outlook.com",RIGHT(B7762,12)="@hotmail.com",RIGHT(B7762,9)="@live.com"),"Outlook","Domain")))</f>
        <v/>
      </c>
      <c r="F7762">
        <f>IF(B7762="","",IFERROR(RIGHT(B7762,LEN(B7762)-FIND("@",B7762)),""))</f>
        <v/>
      </c>
      <c r="G7762">
        <f>IF(D7762="KEEP",COUNTIF($D$2:D7762,"KEEP"),"")</f>
        <v/>
      </c>
      <c r="H7762">
        <f>IF(D7762="REMOVE",COUNTIF($D$2:D7762,"REMOVE"),"")</f>
        <v/>
      </c>
      <c r="I7762">
        <f>IF(E7762="Gmail",COUNTIF($E$2:E7762,"Gmail"),"")</f>
        <v/>
      </c>
      <c r="J7762">
        <f>IF(E7762="Outlook",COUNTIF($E$2:E7762,"Outlook"),"")</f>
        <v/>
      </c>
      <c r="K7762">
        <f>IF(E7762="Domain",COUNTIF($E$2:E7762,"Domain"),"")</f>
        <v/>
      </c>
    </row>
    <row r="7763">
      <c r="A7763" s="2" t="n"/>
      <c r="B7763">
        <f>LOWER(TRIM(A7763))</f>
        <v/>
      </c>
      <c r="C7763">
        <f>IF(B7763="","",IFERROR(INDEX('Bad Patterns'!$A$2:$A$120,MATCH(1,INDEX(--ISNUMBER(SEARCH('Bad Patterns'!$A$2:$A$120,B7763)),0),0)),""))</f>
        <v/>
      </c>
      <c r="D7763">
        <f>IF(B7763="","",IF(C7763&lt;&gt;"","REMOVE","KEEP"))</f>
        <v/>
      </c>
      <c r="E7763">
        <f>IF(D7763&lt;&gt;"KEEP","",IF(RIGHT(B7763,10)="@gmail.com","Gmail",IF(OR(RIGHT(B7763,12)="@outlook.com",RIGHT(B7763,12)="@hotmail.com",RIGHT(B7763,9)="@live.com"),"Outlook","Domain")))</f>
        <v/>
      </c>
      <c r="F7763">
        <f>IF(B7763="","",IFERROR(RIGHT(B7763,LEN(B7763)-FIND("@",B7763)),""))</f>
        <v/>
      </c>
      <c r="G7763">
        <f>IF(D7763="KEEP",COUNTIF($D$2:D7763,"KEEP"),"")</f>
        <v/>
      </c>
      <c r="H7763">
        <f>IF(D7763="REMOVE",COUNTIF($D$2:D7763,"REMOVE"),"")</f>
        <v/>
      </c>
      <c r="I7763">
        <f>IF(E7763="Gmail",COUNTIF($E$2:E7763,"Gmail"),"")</f>
        <v/>
      </c>
      <c r="J7763">
        <f>IF(E7763="Outlook",COUNTIF($E$2:E7763,"Outlook"),"")</f>
        <v/>
      </c>
      <c r="K7763">
        <f>IF(E7763="Domain",COUNTIF($E$2:E7763,"Domain"),"")</f>
        <v/>
      </c>
    </row>
    <row r="7764">
      <c r="A7764" s="2" t="n"/>
      <c r="B7764">
        <f>LOWER(TRIM(A7764))</f>
        <v/>
      </c>
      <c r="C7764">
        <f>IF(B7764="","",IFERROR(INDEX('Bad Patterns'!$A$2:$A$120,MATCH(1,INDEX(--ISNUMBER(SEARCH('Bad Patterns'!$A$2:$A$120,B7764)),0),0)),""))</f>
        <v/>
      </c>
      <c r="D7764">
        <f>IF(B7764="","",IF(C7764&lt;&gt;"","REMOVE","KEEP"))</f>
        <v/>
      </c>
      <c r="E7764">
        <f>IF(D7764&lt;&gt;"KEEP","",IF(RIGHT(B7764,10)="@gmail.com","Gmail",IF(OR(RIGHT(B7764,12)="@outlook.com",RIGHT(B7764,12)="@hotmail.com",RIGHT(B7764,9)="@live.com"),"Outlook","Domain")))</f>
        <v/>
      </c>
      <c r="F7764">
        <f>IF(B7764="","",IFERROR(RIGHT(B7764,LEN(B7764)-FIND("@",B7764)),""))</f>
        <v/>
      </c>
      <c r="G7764">
        <f>IF(D7764="KEEP",COUNTIF($D$2:D7764,"KEEP"),"")</f>
        <v/>
      </c>
      <c r="H7764">
        <f>IF(D7764="REMOVE",COUNTIF($D$2:D7764,"REMOVE"),"")</f>
        <v/>
      </c>
      <c r="I7764">
        <f>IF(E7764="Gmail",COUNTIF($E$2:E7764,"Gmail"),"")</f>
        <v/>
      </c>
      <c r="J7764">
        <f>IF(E7764="Outlook",COUNTIF($E$2:E7764,"Outlook"),"")</f>
        <v/>
      </c>
      <c r="K7764">
        <f>IF(E7764="Domain",COUNTIF($E$2:E7764,"Domain"),"")</f>
        <v/>
      </c>
    </row>
    <row r="7765">
      <c r="A7765" s="2" t="n"/>
      <c r="B7765">
        <f>LOWER(TRIM(A7765))</f>
        <v/>
      </c>
      <c r="C7765">
        <f>IF(B7765="","",IFERROR(INDEX('Bad Patterns'!$A$2:$A$120,MATCH(1,INDEX(--ISNUMBER(SEARCH('Bad Patterns'!$A$2:$A$120,B7765)),0),0)),""))</f>
        <v/>
      </c>
      <c r="D7765">
        <f>IF(B7765="","",IF(C7765&lt;&gt;"","REMOVE","KEEP"))</f>
        <v/>
      </c>
      <c r="E7765">
        <f>IF(D7765&lt;&gt;"KEEP","",IF(RIGHT(B7765,10)="@gmail.com","Gmail",IF(OR(RIGHT(B7765,12)="@outlook.com",RIGHT(B7765,12)="@hotmail.com",RIGHT(B7765,9)="@live.com"),"Outlook","Domain")))</f>
        <v/>
      </c>
      <c r="F7765">
        <f>IF(B7765="","",IFERROR(RIGHT(B7765,LEN(B7765)-FIND("@",B7765)),""))</f>
        <v/>
      </c>
      <c r="G7765">
        <f>IF(D7765="KEEP",COUNTIF($D$2:D7765,"KEEP"),"")</f>
        <v/>
      </c>
      <c r="H7765">
        <f>IF(D7765="REMOVE",COUNTIF($D$2:D7765,"REMOVE"),"")</f>
        <v/>
      </c>
      <c r="I7765">
        <f>IF(E7765="Gmail",COUNTIF($E$2:E7765,"Gmail"),"")</f>
        <v/>
      </c>
      <c r="J7765">
        <f>IF(E7765="Outlook",COUNTIF($E$2:E7765,"Outlook"),"")</f>
        <v/>
      </c>
      <c r="K7765">
        <f>IF(E7765="Domain",COUNTIF($E$2:E7765,"Domain"),"")</f>
        <v/>
      </c>
    </row>
    <row r="7766">
      <c r="A7766" s="2" t="n"/>
      <c r="B7766">
        <f>LOWER(TRIM(A7766))</f>
        <v/>
      </c>
      <c r="C7766">
        <f>IF(B7766="","",IFERROR(INDEX('Bad Patterns'!$A$2:$A$120,MATCH(1,INDEX(--ISNUMBER(SEARCH('Bad Patterns'!$A$2:$A$120,B7766)),0),0)),""))</f>
        <v/>
      </c>
      <c r="D7766">
        <f>IF(B7766="","",IF(C7766&lt;&gt;"","REMOVE","KEEP"))</f>
        <v/>
      </c>
      <c r="E7766">
        <f>IF(D7766&lt;&gt;"KEEP","",IF(RIGHT(B7766,10)="@gmail.com","Gmail",IF(OR(RIGHT(B7766,12)="@outlook.com",RIGHT(B7766,12)="@hotmail.com",RIGHT(B7766,9)="@live.com"),"Outlook","Domain")))</f>
        <v/>
      </c>
      <c r="F7766">
        <f>IF(B7766="","",IFERROR(RIGHT(B7766,LEN(B7766)-FIND("@",B7766)),""))</f>
        <v/>
      </c>
      <c r="G7766">
        <f>IF(D7766="KEEP",COUNTIF($D$2:D7766,"KEEP"),"")</f>
        <v/>
      </c>
      <c r="H7766">
        <f>IF(D7766="REMOVE",COUNTIF($D$2:D7766,"REMOVE"),"")</f>
        <v/>
      </c>
      <c r="I7766">
        <f>IF(E7766="Gmail",COUNTIF($E$2:E7766,"Gmail"),"")</f>
        <v/>
      </c>
      <c r="J7766">
        <f>IF(E7766="Outlook",COUNTIF($E$2:E7766,"Outlook"),"")</f>
        <v/>
      </c>
      <c r="K7766">
        <f>IF(E7766="Domain",COUNTIF($E$2:E7766,"Domain"),"")</f>
        <v/>
      </c>
    </row>
    <row r="7767">
      <c r="A7767" s="2" t="n"/>
      <c r="B7767">
        <f>LOWER(TRIM(A7767))</f>
        <v/>
      </c>
      <c r="C7767">
        <f>IF(B7767="","",IFERROR(INDEX('Bad Patterns'!$A$2:$A$120,MATCH(1,INDEX(--ISNUMBER(SEARCH('Bad Patterns'!$A$2:$A$120,B7767)),0),0)),""))</f>
        <v/>
      </c>
      <c r="D7767">
        <f>IF(B7767="","",IF(C7767&lt;&gt;"","REMOVE","KEEP"))</f>
        <v/>
      </c>
      <c r="E7767">
        <f>IF(D7767&lt;&gt;"KEEP","",IF(RIGHT(B7767,10)="@gmail.com","Gmail",IF(OR(RIGHT(B7767,12)="@outlook.com",RIGHT(B7767,12)="@hotmail.com",RIGHT(B7767,9)="@live.com"),"Outlook","Domain")))</f>
        <v/>
      </c>
      <c r="F7767">
        <f>IF(B7767="","",IFERROR(RIGHT(B7767,LEN(B7767)-FIND("@",B7767)),""))</f>
        <v/>
      </c>
      <c r="G7767">
        <f>IF(D7767="KEEP",COUNTIF($D$2:D7767,"KEEP"),"")</f>
        <v/>
      </c>
      <c r="H7767">
        <f>IF(D7767="REMOVE",COUNTIF($D$2:D7767,"REMOVE"),"")</f>
        <v/>
      </c>
      <c r="I7767">
        <f>IF(E7767="Gmail",COUNTIF($E$2:E7767,"Gmail"),"")</f>
        <v/>
      </c>
      <c r="J7767">
        <f>IF(E7767="Outlook",COUNTIF($E$2:E7767,"Outlook"),"")</f>
        <v/>
      </c>
      <c r="K7767">
        <f>IF(E7767="Domain",COUNTIF($E$2:E7767,"Domain"),"")</f>
        <v/>
      </c>
    </row>
    <row r="7768">
      <c r="A7768" s="2" t="n"/>
      <c r="B7768">
        <f>LOWER(TRIM(A7768))</f>
        <v/>
      </c>
      <c r="C7768">
        <f>IF(B7768="","",IFERROR(INDEX('Bad Patterns'!$A$2:$A$120,MATCH(1,INDEX(--ISNUMBER(SEARCH('Bad Patterns'!$A$2:$A$120,B7768)),0),0)),""))</f>
        <v/>
      </c>
      <c r="D7768">
        <f>IF(B7768="","",IF(C7768&lt;&gt;"","REMOVE","KEEP"))</f>
        <v/>
      </c>
      <c r="E7768">
        <f>IF(D7768&lt;&gt;"KEEP","",IF(RIGHT(B7768,10)="@gmail.com","Gmail",IF(OR(RIGHT(B7768,12)="@outlook.com",RIGHT(B7768,12)="@hotmail.com",RIGHT(B7768,9)="@live.com"),"Outlook","Domain")))</f>
        <v/>
      </c>
      <c r="F7768">
        <f>IF(B7768="","",IFERROR(RIGHT(B7768,LEN(B7768)-FIND("@",B7768)),""))</f>
        <v/>
      </c>
      <c r="G7768">
        <f>IF(D7768="KEEP",COUNTIF($D$2:D7768,"KEEP"),"")</f>
        <v/>
      </c>
      <c r="H7768">
        <f>IF(D7768="REMOVE",COUNTIF($D$2:D7768,"REMOVE"),"")</f>
        <v/>
      </c>
      <c r="I7768">
        <f>IF(E7768="Gmail",COUNTIF($E$2:E7768,"Gmail"),"")</f>
        <v/>
      </c>
      <c r="J7768">
        <f>IF(E7768="Outlook",COUNTIF($E$2:E7768,"Outlook"),"")</f>
        <v/>
      </c>
      <c r="K7768">
        <f>IF(E7768="Domain",COUNTIF($E$2:E7768,"Domain"),"")</f>
        <v/>
      </c>
    </row>
    <row r="7769">
      <c r="A7769" s="2" t="n"/>
      <c r="B7769">
        <f>LOWER(TRIM(A7769))</f>
        <v/>
      </c>
      <c r="C7769">
        <f>IF(B7769="","",IFERROR(INDEX('Bad Patterns'!$A$2:$A$120,MATCH(1,INDEX(--ISNUMBER(SEARCH('Bad Patterns'!$A$2:$A$120,B7769)),0),0)),""))</f>
        <v/>
      </c>
      <c r="D7769">
        <f>IF(B7769="","",IF(C7769&lt;&gt;"","REMOVE","KEEP"))</f>
        <v/>
      </c>
      <c r="E7769">
        <f>IF(D7769&lt;&gt;"KEEP","",IF(RIGHT(B7769,10)="@gmail.com","Gmail",IF(OR(RIGHT(B7769,12)="@outlook.com",RIGHT(B7769,12)="@hotmail.com",RIGHT(B7769,9)="@live.com"),"Outlook","Domain")))</f>
        <v/>
      </c>
      <c r="F7769">
        <f>IF(B7769="","",IFERROR(RIGHT(B7769,LEN(B7769)-FIND("@",B7769)),""))</f>
        <v/>
      </c>
      <c r="G7769">
        <f>IF(D7769="KEEP",COUNTIF($D$2:D7769,"KEEP"),"")</f>
        <v/>
      </c>
      <c r="H7769">
        <f>IF(D7769="REMOVE",COUNTIF($D$2:D7769,"REMOVE"),"")</f>
        <v/>
      </c>
      <c r="I7769">
        <f>IF(E7769="Gmail",COUNTIF($E$2:E7769,"Gmail"),"")</f>
        <v/>
      </c>
      <c r="J7769">
        <f>IF(E7769="Outlook",COUNTIF($E$2:E7769,"Outlook"),"")</f>
        <v/>
      </c>
      <c r="K7769">
        <f>IF(E7769="Domain",COUNTIF($E$2:E7769,"Domain"),"")</f>
        <v/>
      </c>
    </row>
    <row r="7770">
      <c r="A7770" s="2" t="n"/>
      <c r="B7770">
        <f>LOWER(TRIM(A7770))</f>
        <v/>
      </c>
      <c r="C7770">
        <f>IF(B7770="","",IFERROR(INDEX('Bad Patterns'!$A$2:$A$120,MATCH(1,INDEX(--ISNUMBER(SEARCH('Bad Patterns'!$A$2:$A$120,B7770)),0),0)),""))</f>
        <v/>
      </c>
      <c r="D7770">
        <f>IF(B7770="","",IF(C7770&lt;&gt;"","REMOVE","KEEP"))</f>
        <v/>
      </c>
      <c r="E7770">
        <f>IF(D7770&lt;&gt;"KEEP","",IF(RIGHT(B7770,10)="@gmail.com","Gmail",IF(OR(RIGHT(B7770,12)="@outlook.com",RIGHT(B7770,12)="@hotmail.com",RIGHT(B7770,9)="@live.com"),"Outlook","Domain")))</f>
        <v/>
      </c>
      <c r="F7770">
        <f>IF(B7770="","",IFERROR(RIGHT(B7770,LEN(B7770)-FIND("@",B7770)),""))</f>
        <v/>
      </c>
      <c r="G7770">
        <f>IF(D7770="KEEP",COUNTIF($D$2:D7770,"KEEP"),"")</f>
        <v/>
      </c>
      <c r="H7770">
        <f>IF(D7770="REMOVE",COUNTIF($D$2:D7770,"REMOVE"),"")</f>
        <v/>
      </c>
      <c r="I7770">
        <f>IF(E7770="Gmail",COUNTIF($E$2:E7770,"Gmail"),"")</f>
        <v/>
      </c>
      <c r="J7770">
        <f>IF(E7770="Outlook",COUNTIF($E$2:E7770,"Outlook"),"")</f>
        <v/>
      </c>
      <c r="K7770">
        <f>IF(E7770="Domain",COUNTIF($E$2:E7770,"Domain"),"")</f>
        <v/>
      </c>
    </row>
    <row r="7771">
      <c r="A7771" s="2" t="n"/>
      <c r="B7771">
        <f>LOWER(TRIM(A7771))</f>
        <v/>
      </c>
      <c r="C7771">
        <f>IF(B7771="","",IFERROR(INDEX('Bad Patterns'!$A$2:$A$120,MATCH(1,INDEX(--ISNUMBER(SEARCH('Bad Patterns'!$A$2:$A$120,B7771)),0),0)),""))</f>
        <v/>
      </c>
      <c r="D7771">
        <f>IF(B7771="","",IF(C7771&lt;&gt;"","REMOVE","KEEP"))</f>
        <v/>
      </c>
      <c r="E7771">
        <f>IF(D7771&lt;&gt;"KEEP","",IF(RIGHT(B7771,10)="@gmail.com","Gmail",IF(OR(RIGHT(B7771,12)="@outlook.com",RIGHT(B7771,12)="@hotmail.com",RIGHT(B7771,9)="@live.com"),"Outlook","Domain")))</f>
        <v/>
      </c>
      <c r="F7771">
        <f>IF(B7771="","",IFERROR(RIGHT(B7771,LEN(B7771)-FIND("@",B7771)),""))</f>
        <v/>
      </c>
      <c r="G7771">
        <f>IF(D7771="KEEP",COUNTIF($D$2:D7771,"KEEP"),"")</f>
        <v/>
      </c>
      <c r="H7771">
        <f>IF(D7771="REMOVE",COUNTIF($D$2:D7771,"REMOVE"),"")</f>
        <v/>
      </c>
      <c r="I7771">
        <f>IF(E7771="Gmail",COUNTIF($E$2:E7771,"Gmail"),"")</f>
        <v/>
      </c>
      <c r="J7771">
        <f>IF(E7771="Outlook",COUNTIF($E$2:E7771,"Outlook"),"")</f>
        <v/>
      </c>
      <c r="K7771">
        <f>IF(E7771="Domain",COUNTIF($E$2:E7771,"Domain"),"")</f>
        <v/>
      </c>
    </row>
    <row r="7772">
      <c r="A7772" s="2" t="n"/>
      <c r="B7772">
        <f>LOWER(TRIM(A7772))</f>
        <v/>
      </c>
      <c r="C7772">
        <f>IF(B7772="","",IFERROR(INDEX('Bad Patterns'!$A$2:$A$120,MATCH(1,INDEX(--ISNUMBER(SEARCH('Bad Patterns'!$A$2:$A$120,B7772)),0),0)),""))</f>
        <v/>
      </c>
      <c r="D7772">
        <f>IF(B7772="","",IF(C7772&lt;&gt;"","REMOVE","KEEP"))</f>
        <v/>
      </c>
      <c r="E7772">
        <f>IF(D7772&lt;&gt;"KEEP","",IF(RIGHT(B7772,10)="@gmail.com","Gmail",IF(OR(RIGHT(B7772,12)="@outlook.com",RIGHT(B7772,12)="@hotmail.com",RIGHT(B7772,9)="@live.com"),"Outlook","Domain")))</f>
        <v/>
      </c>
      <c r="F7772">
        <f>IF(B7772="","",IFERROR(RIGHT(B7772,LEN(B7772)-FIND("@",B7772)),""))</f>
        <v/>
      </c>
      <c r="G7772">
        <f>IF(D7772="KEEP",COUNTIF($D$2:D7772,"KEEP"),"")</f>
        <v/>
      </c>
      <c r="H7772">
        <f>IF(D7772="REMOVE",COUNTIF($D$2:D7772,"REMOVE"),"")</f>
        <v/>
      </c>
      <c r="I7772">
        <f>IF(E7772="Gmail",COUNTIF($E$2:E7772,"Gmail"),"")</f>
        <v/>
      </c>
      <c r="J7772">
        <f>IF(E7772="Outlook",COUNTIF($E$2:E7772,"Outlook"),"")</f>
        <v/>
      </c>
      <c r="K7772">
        <f>IF(E7772="Domain",COUNTIF($E$2:E7772,"Domain"),"")</f>
        <v/>
      </c>
    </row>
    <row r="7773">
      <c r="A7773" s="2" t="n"/>
      <c r="B7773">
        <f>LOWER(TRIM(A7773))</f>
        <v/>
      </c>
      <c r="C7773">
        <f>IF(B7773="","",IFERROR(INDEX('Bad Patterns'!$A$2:$A$120,MATCH(1,INDEX(--ISNUMBER(SEARCH('Bad Patterns'!$A$2:$A$120,B7773)),0),0)),""))</f>
        <v/>
      </c>
      <c r="D7773">
        <f>IF(B7773="","",IF(C7773&lt;&gt;"","REMOVE","KEEP"))</f>
        <v/>
      </c>
      <c r="E7773">
        <f>IF(D7773&lt;&gt;"KEEP","",IF(RIGHT(B7773,10)="@gmail.com","Gmail",IF(OR(RIGHT(B7773,12)="@outlook.com",RIGHT(B7773,12)="@hotmail.com",RIGHT(B7773,9)="@live.com"),"Outlook","Domain")))</f>
        <v/>
      </c>
      <c r="F7773">
        <f>IF(B7773="","",IFERROR(RIGHT(B7773,LEN(B7773)-FIND("@",B7773)),""))</f>
        <v/>
      </c>
      <c r="G7773">
        <f>IF(D7773="KEEP",COUNTIF($D$2:D7773,"KEEP"),"")</f>
        <v/>
      </c>
      <c r="H7773">
        <f>IF(D7773="REMOVE",COUNTIF($D$2:D7773,"REMOVE"),"")</f>
        <v/>
      </c>
      <c r="I7773">
        <f>IF(E7773="Gmail",COUNTIF($E$2:E7773,"Gmail"),"")</f>
        <v/>
      </c>
      <c r="J7773">
        <f>IF(E7773="Outlook",COUNTIF($E$2:E7773,"Outlook"),"")</f>
        <v/>
      </c>
      <c r="K7773">
        <f>IF(E7773="Domain",COUNTIF($E$2:E7773,"Domain"),"")</f>
        <v/>
      </c>
    </row>
    <row r="7774">
      <c r="A7774" s="2" t="n"/>
      <c r="B7774">
        <f>LOWER(TRIM(A7774))</f>
        <v/>
      </c>
      <c r="C7774">
        <f>IF(B7774="","",IFERROR(INDEX('Bad Patterns'!$A$2:$A$120,MATCH(1,INDEX(--ISNUMBER(SEARCH('Bad Patterns'!$A$2:$A$120,B7774)),0),0)),""))</f>
        <v/>
      </c>
      <c r="D7774">
        <f>IF(B7774="","",IF(C7774&lt;&gt;"","REMOVE","KEEP"))</f>
        <v/>
      </c>
      <c r="E7774">
        <f>IF(D7774&lt;&gt;"KEEP","",IF(RIGHT(B7774,10)="@gmail.com","Gmail",IF(OR(RIGHT(B7774,12)="@outlook.com",RIGHT(B7774,12)="@hotmail.com",RIGHT(B7774,9)="@live.com"),"Outlook","Domain")))</f>
        <v/>
      </c>
      <c r="F7774">
        <f>IF(B7774="","",IFERROR(RIGHT(B7774,LEN(B7774)-FIND("@",B7774)),""))</f>
        <v/>
      </c>
      <c r="G7774">
        <f>IF(D7774="KEEP",COUNTIF($D$2:D7774,"KEEP"),"")</f>
        <v/>
      </c>
      <c r="H7774">
        <f>IF(D7774="REMOVE",COUNTIF($D$2:D7774,"REMOVE"),"")</f>
        <v/>
      </c>
      <c r="I7774">
        <f>IF(E7774="Gmail",COUNTIF($E$2:E7774,"Gmail"),"")</f>
        <v/>
      </c>
      <c r="J7774">
        <f>IF(E7774="Outlook",COUNTIF($E$2:E7774,"Outlook"),"")</f>
        <v/>
      </c>
      <c r="K7774">
        <f>IF(E7774="Domain",COUNTIF($E$2:E7774,"Domain"),"")</f>
        <v/>
      </c>
    </row>
    <row r="7775">
      <c r="A7775" s="2" t="n"/>
      <c r="B7775">
        <f>LOWER(TRIM(A7775))</f>
        <v/>
      </c>
      <c r="C7775">
        <f>IF(B7775="","",IFERROR(INDEX('Bad Patterns'!$A$2:$A$120,MATCH(1,INDEX(--ISNUMBER(SEARCH('Bad Patterns'!$A$2:$A$120,B7775)),0),0)),""))</f>
        <v/>
      </c>
      <c r="D7775">
        <f>IF(B7775="","",IF(C7775&lt;&gt;"","REMOVE","KEEP"))</f>
        <v/>
      </c>
      <c r="E7775">
        <f>IF(D7775&lt;&gt;"KEEP","",IF(RIGHT(B7775,10)="@gmail.com","Gmail",IF(OR(RIGHT(B7775,12)="@outlook.com",RIGHT(B7775,12)="@hotmail.com",RIGHT(B7775,9)="@live.com"),"Outlook","Domain")))</f>
        <v/>
      </c>
      <c r="F7775">
        <f>IF(B7775="","",IFERROR(RIGHT(B7775,LEN(B7775)-FIND("@",B7775)),""))</f>
        <v/>
      </c>
      <c r="G7775">
        <f>IF(D7775="KEEP",COUNTIF($D$2:D7775,"KEEP"),"")</f>
        <v/>
      </c>
      <c r="H7775">
        <f>IF(D7775="REMOVE",COUNTIF($D$2:D7775,"REMOVE"),"")</f>
        <v/>
      </c>
      <c r="I7775">
        <f>IF(E7775="Gmail",COUNTIF($E$2:E7775,"Gmail"),"")</f>
        <v/>
      </c>
      <c r="J7775">
        <f>IF(E7775="Outlook",COUNTIF($E$2:E7775,"Outlook"),"")</f>
        <v/>
      </c>
      <c r="K7775">
        <f>IF(E7775="Domain",COUNTIF($E$2:E7775,"Domain"),"")</f>
        <v/>
      </c>
    </row>
    <row r="7776">
      <c r="A7776" s="2" t="n"/>
      <c r="B7776">
        <f>LOWER(TRIM(A7776))</f>
        <v/>
      </c>
      <c r="C7776">
        <f>IF(B7776="","",IFERROR(INDEX('Bad Patterns'!$A$2:$A$120,MATCH(1,INDEX(--ISNUMBER(SEARCH('Bad Patterns'!$A$2:$A$120,B7776)),0),0)),""))</f>
        <v/>
      </c>
      <c r="D7776">
        <f>IF(B7776="","",IF(C7776&lt;&gt;"","REMOVE","KEEP"))</f>
        <v/>
      </c>
      <c r="E7776">
        <f>IF(D7776&lt;&gt;"KEEP","",IF(RIGHT(B7776,10)="@gmail.com","Gmail",IF(OR(RIGHT(B7776,12)="@outlook.com",RIGHT(B7776,12)="@hotmail.com",RIGHT(B7776,9)="@live.com"),"Outlook","Domain")))</f>
        <v/>
      </c>
      <c r="F7776">
        <f>IF(B7776="","",IFERROR(RIGHT(B7776,LEN(B7776)-FIND("@",B7776)),""))</f>
        <v/>
      </c>
      <c r="G7776">
        <f>IF(D7776="KEEP",COUNTIF($D$2:D7776,"KEEP"),"")</f>
        <v/>
      </c>
      <c r="H7776">
        <f>IF(D7776="REMOVE",COUNTIF($D$2:D7776,"REMOVE"),"")</f>
        <v/>
      </c>
      <c r="I7776">
        <f>IF(E7776="Gmail",COUNTIF($E$2:E7776,"Gmail"),"")</f>
        <v/>
      </c>
      <c r="J7776">
        <f>IF(E7776="Outlook",COUNTIF($E$2:E7776,"Outlook"),"")</f>
        <v/>
      </c>
      <c r="K7776">
        <f>IF(E7776="Domain",COUNTIF($E$2:E7776,"Domain"),"")</f>
        <v/>
      </c>
    </row>
    <row r="7777">
      <c r="A7777" s="2" t="n"/>
      <c r="B7777">
        <f>LOWER(TRIM(A7777))</f>
        <v/>
      </c>
      <c r="C7777">
        <f>IF(B7777="","",IFERROR(INDEX('Bad Patterns'!$A$2:$A$120,MATCH(1,INDEX(--ISNUMBER(SEARCH('Bad Patterns'!$A$2:$A$120,B7777)),0),0)),""))</f>
        <v/>
      </c>
      <c r="D7777">
        <f>IF(B7777="","",IF(C7777&lt;&gt;"","REMOVE","KEEP"))</f>
        <v/>
      </c>
      <c r="E7777">
        <f>IF(D7777&lt;&gt;"KEEP","",IF(RIGHT(B7777,10)="@gmail.com","Gmail",IF(OR(RIGHT(B7777,12)="@outlook.com",RIGHT(B7777,12)="@hotmail.com",RIGHT(B7777,9)="@live.com"),"Outlook","Domain")))</f>
        <v/>
      </c>
      <c r="F7777">
        <f>IF(B7777="","",IFERROR(RIGHT(B7777,LEN(B7777)-FIND("@",B7777)),""))</f>
        <v/>
      </c>
      <c r="G7777">
        <f>IF(D7777="KEEP",COUNTIF($D$2:D7777,"KEEP"),"")</f>
        <v/>
      </c>
      <c r="H7777">
        <f>IF(D7777="REMOVE",COUNTIF($D$2:D7777,"REMOVE"),"")</f>
        <v/>
      </c>
      <c r="I7777">
        <f>IF(E7777="Gmail",COUNTIF($E$2:E7777,"Gmail"),"")</f>
        <v/>
      </c>
      <c r="J7777">
        <f>IF(E7777="Outlook",COUNTIF($E$2:E7777,"Outlook"),"")</f>
        <v/>
      </c>
      <c r="K7777">
        <f>IF(E7777="Domain",COUNTIF($E$2:E7777,"Domain"),"")</f>
        <v/>
      </c>
    </row>
    <row r="7778">
      <c r="A7778" s="2" t="n"/>
      <c r="B7778">
        <f>LOWER(TRIM(A7778))</f>
        <v/>
      </c>
      <c r="C7778">
        <f>IF(B7778="","",IFERROR(INDEX('Bad Patterns'!$A$2:$A$120,MATCH(1,INDEX(--ISNUMBER(SEARCH('Bad Patterns'!$A$2:$A$120,B7778)),0),0)),""))</f>
        <v/>
      </c>
      <c r="D7778">
        <f>IF(B7778="","",IF(C7778&lt;&gt;"","REMOVE","KEEP"))</f>
        <v/>
      </c>
      <c r="E7778">
        <f>IF(D7778&lt;&gt;"KEEP","",IF(RIGHT(B7778,10)="@gmail.com","Gmail",IF(OR(RIGHT(B7778,12)="@outlook.com",RIGHT(B7778,12)="@hotmail.com",RIGHT(B7778,9)="@live.com"),"Outlook","Domain")))</f>
        <v/>
      </c>
      <c r="F7778">
        <f>IF(B7778="","",IFERROR(RIGHT(B7778,LEN(B7778)-FIND("@",B7778)),""))</f>
        <v/>
      </c>
      <c r="G7778">
        <f>IF(D7778="KEEP",COUNTIF($D$2:D7778,"KEEP"),"")</f>
        <v/>
      </c>
      <c r="H7778">
        <f>IF(D7778="REMOVE",COUNTIF($D$2:D7778,"REMOVE"),"")</f>
        <v/>
      </c>
      <c r="I7778">
        <f>IF(E7778="Gmail",COUNTIF($E$2:E7778,"Gmail"),"")</f>
        <v/>
      </c>
      <c r="J7778">
        <f>IF(E7778="Outlook",COUNTIF($E$2:E7778,"Outlook"),"")</f>
        <v/>
      </c>
      <c r="K7778">
        <f>IF(E7778="Domain",COUNTIF($E$2:E7778,"Domain"),"")</f>
        <v/>
      </c>
    </row>
    <row r="7779">
      <c r="A7779" s="2" t="n"/>
      <c r="B7779">
        <f>LOWER(TRIM(A7779))</f>
        <v/>
      </c>
      <c r="C7779">
        <f>IF(B7779="","",IFERROR(INDEX('Bad Patterns'!$A$2:$A$120,MATCH(1,INDEX(--ISNUMBER(SEARCH('Bad Patterns'!$A$2:$A$120,B7779)),0),0)),""))</f>
        <v/>
      </c>
      <c r="D7779">
        <f>IF(B7779="","",IF(C7779&lt;&gt;"","REMOVE","KEEP"))</f>
        <v/>
      </c>
      <c r="E7779">
        <f>IF(D7779&lt;&gt;"KEEP","",IF(RIGHT(B7779,10)="@gmail.com","Gmail",IF(OR(RIGHT(B7779,12)="@outlook.com",RIGHT(B7779,12)="@hotmail.com",RIGHT(B7779,9)="@live.com"),"Outlook","Domain")))</f>
        <v/>
      </c>
      <c r="F7779">
        <f>IF(B7779="","",IFERROR(RIGHT(B7779,LEN(B7779)-FIND("@",B7779)),""))</f>
        <v/>
      </c>
      <c r="G7779">
        <f>IF(D7779="KEEP",COUNTIF($D$2:D7779,"KEEP"),"")</f>
        <v/>
      </c>
      <c r="H7779">
        <f>IF(D7779="REMOVE",COUNTIF($D$2:D7779,"REMOVE"),"")</f>
        <v/>
      </c>
      <c r="I7779">
        <f>IF(E7779="Gmail",COUNTIF($E$2:E7779,"Gmail"),"")</f>
        <v/>
      </c>
      <c r="J7779">
        <f>IF(E7779="Outlook",COUNTIF($E$2:E7779,"Outlook"),"")</f>
        <v/>
      </c>
      <c r="K7779">
        <f>IF(E7779="Domain",COUNTIF($E$2:E7779,"Domain"),"")</f>
        <v/>
      </c>
    </row>
    <row r="7780">
      <c r="A7780" s="2" t="n"/>
      <c r="B7780">
        <f>LOWER(TRIM(A7780))</f>
        <v/>
      </c>
      <c r="C7780">
        <f>IF(B7780="","",IFERROR(INDEX('Bad Patterns'!$A$2:$A$120,MATCH(1,INDEX(--ISNUMBER(SEARCH('Bad Patterns'!$A$2:$A$120,B7780)),0),0)),""))</f>
        <v/>
      </c>
      <c r="D7780">
        <f>IF(B7780="","",IF(C7780&lt;&gt;"","REMOVE","KEEP"))</f>
        <v/>
      </c>
      <c r="E7780">
        <f>IF(D7780&lt;&gt;"KEEP","",IF(RIGHT(B7780,10)="@gmail.com","Gmail",IF(OR(RIGHT(B7780,12)="@outlook.com",RIGHT(B7780,12)="@hotmail.com",RIGHT(B7780,9)="@live.com"),"Outlook","Domain")))</f>
        <v/>
      </c>
      <c r="F7780">
        <f>IF(B7780="","",IFERROR(RIGHT(B7780,LEN(B7780)-FIND("@",B7780)),""))</f>
        <v/>
      </c>
      <c r="G7780">
        <f>IF(D7780="KEEP",COUNTIF($D$2:D7780,"KEEP"),"")</f>
        <v/>
      </c>
      <c r="H7780">
        <f>IF(D7780="REMOVE",COUNTIF($D$2:D7780,"REMOVE"),"")</f>
        <v/>
      </c>
      <c r="I7780">
        <f>IF(E7780="Gmail",COUNTIF($E$2:E7780,"Gmail"),"")</f>
        <v/>
      </c>
      <c r="J7780">
        <f>IF(E7780="Outlook",COUNTIF($E$2:E7780,"Outlook"),"")</f>
        <v/>
      </c>
      <c r="K7780">
        <f>IF(E7780="Domain",COUNTIF($E$2:E7780,"Domain"),"")</f>
        <v/>
      </c>
    </row>
    <row r="7781">
      <c r="A7781" s="2" t="n"/>
      <c r="B7781">
        <f>LOWER(TRIM(A7781))</f>
        <v/>
      </c>
      <c r="C7781">
        <f>IF(B7781="","",IFERROR(INDEX('Bad Patterns'!$A$2:$A$120,MATCH(1,INDEX(--ISNUMBER(SEARCH('Bad Patterns'!$A$2:$A$120,B7781)),0),0)),""))</f>
        <v/>
      </c>
      <c r="D7781">
        <f>IF(B7781="","",IF(C7781&lt;&gt;"","REMOVE","KEEP"))</f>
        <v/>
      </c>
      <c r="E7781">
        <f>IF(D7781&lt;&gt;"KEEP","",IF(RIGHT(B7781,10)="@gmail.com","Gmail",IF(OR(RIGHT(B7781,12)="@outlook.com",RIGHT(B7781,12)="@hotmail.com",RIGHT(B7781,9)="@live.com"),"Outlook","Domain")))</f>
        <v/>
      </c>
      <c r="F7781">
        <f>IF(B7781="","",IFERROR(RIGHT(B7781,LEN(B7781)-FIND("@",B7781)),""))</f>
        <v/>
      </c>
      <c r="G7781">
        <f>IF(D7781="KEEP",COUNTIF($D$2:D7781,"KEEP"),"")</f>
        <v/>
      </c>
      <c r="H7781">
        <f>IF(D7781="REMOVE",COUNTIF($D$2:D7781,"REMOVE"),"")</f>
        <v/>
      </c>
      <c r="I7781">
        <f>IF(E7781="Gmail",COUNTIF($E$2:E7781,"Gmail"),"")</f>
        <v/>
      </c>
      <c r="J7781">
        <f>IF(E7781="Outlook",COUNTIF($E$2:E7781,"Outlook"),"")</f>
        <v/>
      </c>
      <c r="K7781">
        <f>IF(E7781="Domain",COUNTIF($E$2:E7781,"Domain"),"")</f>
        <v/>
      </c>
    </row>
    <row r="7782">
      <c r="A7782" s="2" t="n"/>
      <c r="B7782">
        <f>LOWER(TRIM(A7782))</f>
        <v/>
      </c>
      <c r="C7782">
        <f>IF(B7782="","",IFERROR(INDEX('Bad Patterns'!$A$2:$A$120,MATCH(1,INDEX(--ISNUMBER(SEARCH('Bad Patterns'!$A$2:$A$120,B7782)),0),0)),""))</f>
        <v/>
      </c>
      <c r="D7782">
        <f>IF(B7782="","",IF(C7782&lt;&gt;"","REMOVE","KEEP"))</f>
        <v/>
      </c>
      <c r="E7782">
        <f>IF(D7782&lt;&gt;"KEEP","",IF(RIGHT(B7782,10)="@gmail.com","Gmail",IF(OR(RIGHT(B7782,12)="@outlook.com",RIGHT(B7782,12)="@hotmail.com",RIGHT(B7782,9)="@live.com"),"Outlook","Domain")))</f>
        <v/>
      </c>
      <c r="F7782">
        <f>IF(B7782="","",IFERROR(RIGHT(B7782,LEN(B7782)-FIND("@",B7782)),""))</f>
        <v/>
      </c>
      <c r="G7782">
        <f>IF(D7782="KEEP",COUNTIF($D$2:D7782,"KEEP"),"")</f>
        <v/>
      </c>
      <c r="H7782">
        <f>IF(D7782="REMOVE",COUNTIF($D$2:D7782,"REMOVE"),"")</f>
        <v/>
      </c>
      <c r="I7782">
        <f>IF(E7782="Gmail",COUNTIF($E$2:E7782,"Gmail"),"")</f>
        <v/>
      </c>
      <c r="J7782">
        <f>IF(E7782="Outlook",COUNTIF($E$2:E7782,"Outlook"),"")</f>
        <v/>
      </c>
      <c r="K7782">
        <f>IF(E7782="Domain",COUNTIF($E$2:E7782,"Domain"),"")</f>
        <v/>
      </c>
    </row>
    <row r="7783">
      <c r="A7783" s="2" t="n"/>
      <c r="B7783">
        <f>LOWER(TRIM(A7783))</f>
        <v/>
      </c>
      <c r="C7783">
        <f>IF(B7783="","",IFERROR(INDEX('Bad Patterns'!$A$2:$A$120,MATCH(1,INDEX(--ISNUMBER(SEARCH('Bad Patterns'!$A$2:$A$120,B7783)),0),0)),""))</f>
        <v/>
      </c>
      <c r="D7783">
        <f>IF(B7783="","",IF(C7783&lt;&gt;"","REMOVE","KEEP"))</f>
        <v/>
      </c>
      <c r="E7783">
        <f>IF(D7783&lt;&gt;"KEEP","",IF(RIGHT(B7783,10)="@gmail.com","Gmail",IF(OR(RIGHT(B7783,12)="@outlook.com",RIGHT(B7783,12)="@hotmail.com",RIGHT(B7783,9)="@live.com"),"Outlook","Domain")))</f>
        <v/>
      </c>
      <c r="F7783">
        <f>IF(B7783="","",IFERROR(RIGHT(B7783,LEN(B7783)-FIND("@",B7783)),""))</f>
        <v/>
      </c>
      <c r="G7783">
        <f>IF(D7783="KEEP",COUNTIF($D$2:D7783,"KEEP"),"")</f>
        <v/>
      </c>
      <c r="H7783">
        <f>IF(D7783="REMOVE",COUNTIF($D$2:D7783,"REMOVE"),"")</f>
        <v/>
      </c>
      <c r="I7783">
        <f>IF(E7783="Gmail",COUNTIF($E$2:E7783,"Gmail"),"")</f>
        <v/>
      </c>
      <c r="J7783">
        <f>IF(E7783="Outlook",COUNTIF($E$2:E7783,"Outlook"),"")</f>
        <v/>
      </c>
      <c r="K7783">
        <f>IF(E7783="Domain",COUNTIF($E$2:E7783,"Domain"),"")</f>
        <v/>
      </c>
    </row>
    <row r="7784">
      <c r="A7784" s="2" t="n"/>
      <c r="B7784">
        <f>LOWER(TRIM(A7784))</f>
        <v/>
      </c>
      <c r="C7784">
        <f>IF(B7784="","",IFERROR(INDEX('Bad Patterns'!$A$2:$A$120,MATCH(1,INDEX(--ISNUMBER(SEARCH('Bad Patterns'!$A$2:$A$120,B7784)),0),0)),""))</f>
        <v/>
      </c>
      <c r="D7784">
        <f>IF(B7784="","",IF(C7784&lt;&gt;"","REMOVE","KEEP"))</f>
        <v/>
      </c>
      <c r="E7784">
        <f>IF(D7784&lt;&gt;"KEEP","",IF(RIGHT(B7784,10)="@gmail.com","Gmail",IF(OR(RIGHT(B7784,12)="@outlook.com",RIGHT(B7784,12)="@hotmail.com",RIGHT(B7784,9)="@live.com"),"Outlook","Domain")))</f>
        <v/>
      </c>
      <c r="F7784">
        <f>IF(B7784="","",IFERROR(RIGHT(B7784,LEN(B7784)-FIND("@",B7784)),""))</f>
        <v/>
      </c>
      <c r="G7784">
        <f>IF(D7784="KEEP",COUNTIF($D$2:D7784,"KEEP"),"")</f>
        <v/>
      </c>
      <c r="H7784">
        <f>IF(D7784="REMOVE",COUNTIF($D$2:D7784,"REMOVE"),"")</f>
        <v/>
      </c>
      <c r="I7784">
        <f>IF(E7784="Gmail",COUNTIF($E$2:E7784,"Gmail"),"")</f>
        <v/>
      </c>
      <c r="J7784">
        <f>IF(E7784="Outlook",COUNTIF($E$2:E7784,"Outlook"),"")</f>
        <v/>
      </c>
      <c r="K7784">
        <f>IF(E7784="Domain",COUNTIF($E$2:E7784,"Domain"),"")</f>
        <v/>
      </c>
    </row>
    <row r="7785">
      <c r="A7785" s="2" t="n"/>
      <c r="B7785">
        <f>LOWER(TRIM(A7785))</f>
        <v/>
      </c>
      <c r="C7785">
        <f>IF(B7785="","",IFERROR(INDEX('Bad Patterns'!$A$2:$A$120,MATCH(1,INDEX(--ISNUMBER(SEARCH('Bad Patterns'!$A$2:$A$120,B7785)),0),0)),""))</f>
        <v/>
      </c>
      <c r="D7785">
        <f>IF(B7785="","",IF(C7785&lt;&gt;"","REMOVE","KEEP"))</f>
        <v/>
      </c>
      <c r="E7785">
        <f>IF(D7785&lt;&gt;"KEEP","",IF(RIGHT(B7785,10)="@gmail.com","Gmail",IF(OR(RIGHT(B7785,12)="@outlook.com",RIGHT(B7785,12)="@hotmail.com",RIGHT(B7785,9)="@live.com"),"Outlook","Domain")))</f>
        <v/>
      </c>
      <c r="F7785">
        <f>IF(B7785="","",IFERROR(RIGHT(B7785,LEN(B7785)-FIND("@",B7785)),""))</f>
        <v/>
      </c>
      <c r="G7785">
        <f>IF(D7785="KEEP",COUNTIF($D$2:D7785,"KEEP"),"")</f>
        <v/>
      </c>
      <c r="H7785">
        <f>IF(D7785="REMOVE",COUNTIF($D$2:D7785,"REMOVE"),"")</f>
        <v/>
      </c>
      <c r="I7785">
        <f>IF(E7785="Gmail",COUNTIF($E$2:E7785,"Gmail"),"")</f>
        <v/>
      </c>
      <c r="J7785">
        <f>IF(E7785="Outlook",COUNTIF($E$2:E7785,"Outlook"),"")</f>
        <v/>
      </c>
      <c r="K7785">
        <f>IF(E7785="Domain",COUNTIF($E$2:E7785,"Domain"),"")</f>
        <v/>
      </c>
    </row>
    <row r="7786">
      <c r="A7786" s="2" t="n"/>
      <c r="B7786">
        <f>LOWER(TRIM(A7786))</f>
        <v/>
      </c>
      <c r="C7786">
        <f>IF(B7786="","",IFERROR(INDEX('Bad Patterns'!$A$2:$A$120,MATCH(1,INDEX(--ISNUMBER(SEARCH('Bad Patterns'!$A$2:$A$120,B7786)),0),0)),""))</f>
        <v/>
      </c>
      <c r="D7786">
        <f>IF(B7786="","",IF(C7786&lt;&gt;"","REMOVE","KEEP"))</f>
        <v/>
      </c>
      <c r="E7786">
        <f>IF(D7786&lt;&gt;"KEEP","",IF(RIGHT(B7786,10)="@gmail.com","Gmail",IF(OR(RIGHT(B7786,12)="@outlook.com",RIGHT(B7786,12)="@hotmail.com",RIGHT(B7786,9)="@live.com"),"Outlook","Domain")))</f>
        <v/>
      </c>
      <c r="F7786">
        <f>IF(B7786="","",IFERROR(RIGHT(B7786,LEN(B7786)-FIND("@",B7786)),""))</f>
        <v/>
      </c>
      <c r="G7786">
        <f>IF(D7786="KEEP",COUNTIF($D$2:D7786,"KEEP"),"")</f>
        <v/>
      </c>
      <c r="H7786">
        <f>IF(D7786="REMOVE",COUNTIF($D$2:D7786,"REMOVE"),"")</f>
        <v/>
      </c>
      <c r="I7786">
        <f>IF(E7786="Gmail",COUNTIF($E$2:E7786,"Gmail"),"")</f>
        <v/>
      </c>
      <c r="J7786">
        <f>IF(E7786="Outlook",COUNTIF($E$2:E7786,"Outlook"),"")</f>
        <v/>
      </c>
      <c r="K7786">
        <f>IF(E7786="Domain",COUNTIF($E$2:E7786,"Domain"),"")</f>
        <v/>
      </c>
    </row>
    <row r="7787">
      <c r="A7787" s="2" t="n"/>
      <c r="B7787">
        <f>LOWER(TRIM(A7787))</f>
        <v/>
      </c>
      <c r="C7787">
        <f>IF(B7787="","",IFERROR(INDEX('Bad Patterns'!$A$2:$A$120,MATCH(1,INDEX(--ISNUMBER(SEARCH('Bad Patterns'!$A$2:$A$120,B7787)),0),0)),""))</f>
        <v/>
      </c>
      <c r="D7787">
        <f>IF(B7787="","",IF(C7787&lt;&gt;"","REMOVE","KEEP"))</f>
        <v/>
      </c>
      <c r="E7787">
        <f>IF(D7787&lt;&gt;"KEEP","",IF(RIGHT(B7787,10)="@gmail.com","Gmail",IF(OR(RIGHT(B7787,12)="@outlook.com",RIGHT(B7787,12)="@hotmail.com",RIGHT(B7787,9)="@live.com"),"Outlook","Domain")))</f>
        <v/>
      </c>
      <c r="F7787">
        <f>IF(B7787="","",IFERROR(RIGHT(B7787,LEN(B7787)-FIND("@",B7787)),""))</f>
        <v/>
      </c>
      <c r="G7787">
        <f>IF(D7787="KEEP",COUNTIF($D$2:D7787,"KEEP"),"")</f>
        <v/>
      </c>
      <c r="H7787">
        <f>IF(D7787="REMOVE",COUNTIF($D$2:D7787,"REMOVE"),"")</f>
        <v/>
      </c>
      <c r="I7787">
        <f>IF(E7787="Gmail",COUNTIF($E$2:E7787,"Gmail"),"")</f>
        <v/>
      </c>
      <c r="J7787">
        <f>IF(E7787="Outlook",COUNTIF($E$2:E7787,"Outlook"),"")</f>
        <v/>
      </c>
      <c r="K7787">
        <f>IF(E7787="Domain",COUNTIF($E$2:E7787,"Domain"),"")</f>
        <v/>
      </c>
    </row>
    <row r="7788">
      <c r="A7788" s="2" t="n"/>
      <c r="B7788">
        <f>LOWER(TRIM(A7788))</f>
        <v/>
      </c>
      <c r="C7788">
        <f>IF(B7788="","",IFERROR(INDEX('Bad Patterns'!$A$2:$A$120,MATCH(1,INDEX(--ISNUMBER(SEARCH('Bad Patterns'!$A$2:$A$120,B7788)),0),0)),""))</f>
        <v/>
      </c>
      <c r="D7788">
        <f>IF(B7788="","",IF(C7788&lt;&gt;"","REMOVE","KEEP"))</f>
        <v/>
      </c>
      <c r="E7788">
        <f>IF(D7788&lt;&gt;"KEEP","",IF(RIGHT(B7788,10)="@gmail.com","Gmail",IF(OR(RIGHT(B7788,12)="@outlook.com",RIGHT(B7788,12)="@hotmail.com",RIGHT(B7788,9)="@live.com"),"Outlook","Domain")))</f>
        <v/>
      </c>
      <c r="F7788">
        <f>IF(B7788="","",IFERROR(RIGHT(B7788,LEN(B7788)-FIND("@",B7788)),""))</f>
        <v/>
      </c>
      <c r="G7788">
        <f>IF(D7788="KEEP",COUNTIF($D$2:D7788,"KEEP"),"")</f>
        <v/>
      </c>
      <c r="H7788">
        <f>IF(D7788="REMOVE",COUNTIF($D$2:D7788,"REMOVE"),"")</f>
        <v/>
      </c>
      <c r="I7788">
        <f>IF(E7788="Gmail",COUNTIF($E$2:E7788,"Gmail"),"")</f>
        <v/>
      </c>
      <c r="J7788">
        <f>IF(E7788="Outlook",COUNTIF($E$2:E7788,"Outlook"),"")</f>
        <v/>
      </c>
      <c r="K7788">
        <f>IF(E7788="Domain",COUNTIF($E$2:E7788,"Domain"),"")</f>
        <v/>
      </c>
    </row>
    <row r="7789">
      <c r="A7789" s="2" t="n"/>
      <c r="B7789">
        <f>LOWER(TRIM(A7789))</f>
        <v/>
      </c>
      <c r="C7789">
        <f>IF(B7789="","",IFERROR(INDEX('Bad Patterns'!$A$2:$A$120,MATCH(1,INDEX(--ISNUMBER(SEARCH('Bad Patterns'!$A$2:$A$120,B7789)),0),0)),""))</f>
        <v/>
      </c>
      <c r="D7789">
        <f>IF(B7789="","",IF(C7789&lt;&gt;"","REMOVE","KEEP"))</f>
        <v/>
      </c>
      <c r="E7789">
        <f>IF(D7789&lt;&gt;"KEEP","",IF(RIGHT(B7789,10)="@gmail.com","Gmail",IF(OR(RIGHT(B7789,12)="@outlook.com",RIGHT(B7789,12)="@hotmail.com",RIGHT(B7789,9)="@live.com"),"Outlook","Domain")))</f>
        <v/>
      </c>
      <c r="F7789">
        <f>IF(B7789="","",IFERROR(RIGHT(B7789,LEN(B7789)-FIND("@",B7789)),""))</f>
        <v/>
      </c>
      <c r="G7789">
        <f>IF(D7789="KEEP",COUNTIF($D$2:D7789,"KEEP"),"")</f>
        <v/>
      </c>
      <c r="H7789">
        <f>IF(D7789="REMOVE",COUNTIF($D$2:D7789,"REMOVE"),"")</f>
        <v/>
      </c>
      <c r="I7789">
        <f>IF(E7789="Gmail",COUNTIF($E$2:E7789,"Gmail"),"")</f>
        <v/>
      </c>
      <c r="J7789">
        <f>IF(E7789="Outlook",COUNTIF($E$2:E7789,"Outlook"),"")</f>
        <v/>
      </c>
      <c r="K7789">
        <f>IF(E7789="Domain",COUNTIF($E$2:E7789,"Domain"),"")</f>
        <v/>
      </c>
    </row>
    <row r="7790">
      <c r="A7790" s="2" t="n"/>
      <c r="B7790">
        <f>LOWER(TRIM(A7790))</f>
        <v/>
      </c>
      <c r="C7790">
        <f>IF(B7790="","",IFERROR(INDEX('Bad Patterns'!$A$2:$A$120,MATCH(1,INDEX(--ISNUMBER(SEARCH('Bad Patterns'!$A$2:$A$120,B7790)),0),0)),""))</f>
        <v/>
      </c>
      <c r="D7790">
        <f>IF(B7790="","",IF(C7790&lt;&gt;"","REMOVE","KEEP"))</f>
        <v/>
      </c>
      <c r="E7790">
        <f>IF(D7790&lt;&gt;"KEEP","",IF(RIGHT(B7790,10)="@gmail.com","Gmail",IF(OR(RIGHT(B7790,12)="@outlook.com",RIGHT(B7790,12)="@hotmail.com",RIGHT(B7790,9)="@live.com"),"Outlook","Domain")))</f>
        <v/>
      </c>
      <c r="F7790">
        <f>IF(B7790="","",IFERROR(RIGHT(B7790,LEN(B7790)-FIND("@",B7790)),""))</f>
        <v/>
      </c>
      <c r="G7790">
        <f>IF(D7790="KEEP",COUNTIF($D$2:D7790,"KEEP"),"")</f>
        <v/>
      </c>
      <c r="H7790">
        <f>IF(D7790="REMOVE",COUNTIF($D$2:D7790,"REMOVE"),"")</f>
        <v/>
      </c>
      <c r="I7790">
        <f>IF(E7790="Gmail",COUNTIF($E$2:E7790,"Gmail"),"")</f>
        <v/>
      </c>
      <c r="J7790">
        <f>IF(E7790="Outlook",COUNTIF($E$2:E7790,"Outlook"),"")</f>
        <v/>
      </c>
      <c r="K7790">
        <f>IF(E7790="Domain",COUNTIF($E$2:E7790,"Domain"),"")</f>
        <v/>
      </c>
    </row>
    <row r="7791">
      <c r="A7791" s="2" t="n"/>
      <c r="B7791">
        <f>LOWER(TRIM(A7791))</f>
        <v/>
      </c>
      <c r="C7791">
        <f>IF(B7791="","",IFERROR(INDEX('Bad Patterns'!$A$2:$A$120,MATCH(1,INDEX(--ISNUMBER(SEARCH('Bad Patterns'!$A$2:$A$120,B7791)),0),0)),""))</f>
        <v/>
      </c>
      <c r="D7791">
        <f>IF(B7791="","",IF(C7791&lt;&gt;"","REMOVE","KEEP"))</f>
        <v/>
      </c>
      <c r="E7791">
        <f>IF(D7791&lt;&gt;"KEEP","",IF(RIGHT(B7791,10)="@gmail.com","Gmail",IF(OR(RIGHT(B7791,12)="@outlook.com",RIGHT(B7791,12)="@hotmail.com",RIGHT(B7791,9)="@live.com"),"Outlook","Domain")))</f>
        <v/>
      </c>
      <c r="F7791">
        <f>IF(B7791="","",IFERROR(RIGHT(B7791,LEN(B7791)-FIND("@",B7791)),""))</f>
        <v/>
      </c>
      <c r="G7791">
        <f>IF(D7791="KEEP",COUNTIF($D$2:D7791,"KEEP"),"")</f>
        <v/>
      </c>
      <c r="H7791">
        <f>IF(D7791="REMOVE",COUNTIF($D$2:D7791,"REMOVE"),"")</f>
        <v/>
      </c>
      <c r="I7791">
        <f>IF(E7791="Gmail",COUNTIF($E$2:E7791,"Gmail"),"")</f>
        <v/>
      </c>
      <c r="J7791">
        <f>IF(E7791="Outlook",COUNTIF($E$2:E7791,"Outlook"),"")</f>
        <v/>
      </c>
      <c r="K7791">
        <f>IF(E7791="Domain",COUNTIF($E$2:E7791,"Domain"),"")</f>
        <v/>
      </c>
    </row>
    <row r="7792">
      <c r="A7792" s="2" t="n"/>
      <c r="B7792">
        <f>LOWER(TRIM(A7792))</f>
        <v/>
      </c>
      <c r="C7792">
        <f>IF(B7792="","",IFERROR(INDEX('Bad Patterns'!$A$2:$A$120,MATCH(1,INDEX(--ISNUMBER(SEARCH('Bad Patterns'!$A$2:$A$120,B7792)),0),0)),""))</f>
        <v/>
      </c>
      <c r="D7792">
        <f>IF(B7792="","",IF(C7792&lt;&gt;"","REMOVE","KEEP"))</f>
        <v/>
      </c>
      <c r="E7792">
        <f>IF(D7792&lt;&gt;"KEEP","",IF(RIGHT(B7792,10)="@gmail.com","Gmail",IF(OR(RIGHT(B7792,12)="@outlook.com",RIGHT(B7792,12)="@hotmail.com",RIGHT(B7792,9)="@live.com"),"Outlook","Domain")))</f>
        <v/>
      </c>
      <c r="F7792">
        <f>IF(B7792="","",IFERROR(RIGHT(B7792,LEN(B7792)-FIND("@",B7792)),""))</f>
        <v/>
      </c>
      <c r="G7792">
        <f>IF(D7792="KEEP",COUNTIF($D$2:D7792,"KEEP"),"")</f>
        <v/>
      </c>
      <c r="H7792">
        <f>IF(D7792="REMOVE",COUNTIF($D$2:D7792,"REMOVE"),"")</f>
        <v/>
      </c>
      <c r="I7792">
        <f>IF(E7792="Gmail",COUNTIF($E$2:E7792,"Gmail"),"")</f>
        <v/>
      </c>
      <c r="J7792">
        <f>IF(E7792="Outlook",COUNTIF($E$2:E7792,"Outlook"),"")</f>
        <v/>
      </c>
      <c r="K7792">
        <f>IF(E7792="Domain",COUNTIF($E$2:E7792,"Domain"),"")</f>
        <v/>
      </c>
    </row>
    <row r="7793">
      <c r="A7793" s="2" t="n"/>
      <c r="B7793">
        <f>LOWER(TRIM(A7793))</f>
        <v/>
      </c>
      <c r="C7793">
        <f>IF(B7793="","",IFERROR(INDEX('Bad Patterns'!$A$2:$A$120,MATCH(1,INDEX(--ISNUMBER(SEARCH('Bad Patterns'!$A$2:$A$120,B7793)),0),0)),""))</f>
        <v/>
      </c>
      <c r="D7793">
        <f>IF(B7793="","",IF(C7793&lt;&gt;"","REMOVE","KEEP"))</f>
        <v/>
      </c>
      <c r="E7793">
        <f>IF(D7793&lt;&gt;"KEEP","",IF(RIGHT(B7793,10)="@gmail.com","Gmail",IF(OR(RIGHT(B7793,12)="@outlook.com",RIGHT(B7793,12)="@hotmail.com",RIGHT(B7793,9)="@live.com"),"Outlook","Domain")))</f>
        <v/>
      </c>
      <c r="F7793">
        <f>IF(B7793="","",IFERROR(RIGHT(B7793,LEN(B7793)-FIND("@",B7793)),""))</f>
        <v/>
      </c>
      <c r="G7793">
        <f>IF(D7793="KEEP",COUNTIF($D$2:D7793,"KEEP"),"")</f>
        <v/>
      </c>
      <c r="H7793">
        <f>IF(D7793="REMOVE",COUNTIF($D$2:D7793,"REMOVE"),"")</f>
        <v/>
      </c>
      <c r="I7793">
        <f>IF(E7793="Gmail",COUNTIF($E$2:E7793,"Gmail"),"")</f>
        <v/>
      </c>
      <c r="J7793">
        <f>IF(E7793="Outlook",COUNTIF($E$2:E7793,"Outlook"),"")</f>
        <v/>
      </c>
      <c r="K7793">
        <f>IF(E7793="Domain",COUNTIF($E$2:E7793,"Domain"),"")</f>
        <v/>
      </c>
    </row>
    <row r="7794">
      <c r="A7794" s="2" t="n"/>
      <c r="B7794">
        <f>LOWER(TRIM(A7794))</f>
        <v/>
      </c>
      <c r="C7794">
        <f>IF(B7794="","",IFERROR(INDEX('Bad Patterns'!$A$2:$A$120,MATCH(1,INDEX(--ISNUMBER(SEARCH('Bad Patterns'!$A$2:$A$120,B7794)),0),0)),""))</f>
        <v/>
      </c>
      <c r="D7794">
        <f>IF(B7794="","",IF(C7794&lt;&gt;"","REMOVE","KEEP"))</f>
        <v/>
      </c>
      <c r="E7794">
        <f>IF(D7794&lt;&gt;"KEEP","",IF(RIGHT(B7794,10)="@gmail.com","Gmail",IF(OR(RIGHT(B7794,12)="@outlook.com",RIGHT(B7794,12)="@hotmail.com",RIGHT(B7794,9)="@live.com"),"Outlook","Domain")))</f>
        <v/>
      </c>
      <c r="F7794">
        <f>IF(B7794="","",IFERROR(RIGHT(B7794,LEN(B7794)-FIND("@",B7794)),""))</f>
        <v/>
      </c>
      <c r="G7794">
        <f>IF(D7794="KEEP",COUNTIF($D$2:D7794,"KEEP"),"")</f>
        <v/>
      </c>
      <c r="H7794">
        <f>IF(D7794="REMOVE",COUNTIF($D$2:D7794,"REMOVE"),"")</f>
        <v/>
      </c>
      <c r="I7794">
        <f>IF(E7794="Gmail",COUNTIF($E$2:E7794,"Gmail"),"")</f>
        <v/>
      </c>
      <c r="J7794">
        <f>IF(E7794="Outlook",COUNTIF($E$2:E7794,"Outlook"),"")</f>
        <v/>
      </c>
      <c r="K7794">
        <f>IF(E7794="Domain",COUNTIF($E$2:E7794,"Domain"),"")</f>
        <v/>
      </c>
    </row>
    <row r="7795">
      <c r="A7795" s="2" t="n"/>
      <c r="B7795">
        <f>LOWER(TRIM(A7795))</f>
        <v/>
      </c>
      <c r="C7795">
        <f>IF(B7795="","",IFERROR(INDEX('Bad Patterns'!$A$2:$A$120,MATCH(1,INDEX(--ISNUMBER(SEARCH('Bad Patterns'!$A$2:$A$120,B7795)),0),0)),""))</f>
        <v/>
      </c>
      <c r="D7795">
        <f>IF(B7795="","",IF(C7795&lt;&gt;"","REMOVE","KEEP"))</f>
        <v/>
      </c>
      <c r="E7795">
        <f>IF(D7795&lt;&gt;"KEEP","",IF(RIGHT(B7795,10)="@gmail.com","Gmail",IF(OR(RIGHT(B7795,12)="@outlook.com",RIGHT(B7795,12)="@hotmail.com",RIGHT(B7795,9)="@live.com"),"Outlook","Domain")))</f>
        <v/>
      </c>
      <c r="F7795">
        <f>IF(B7795="","",IFERROR(RIGHT(B7795,LEN(B7795)-FIND("@",B7795)),""))</f>
        <v/>
      </c>
      <c r="G7795">
        <f>IF(D7795="KEEP",COUNTIF($D$2:D7795,"KEEP"),"")</f>
        <v/>
      </c>
      <c r="H7795">
        <f>IF(D7795="REMOVE",COUNTIF($D$2:D7795,"REMOVE"),"")</f>
        <v/>
      </c>
      <c r="I7795">
        <f>IF(E7795="Gmail",COUNTIF($E$2:E7795,"Gmail"),"")</f>
        <v/>
      </c>
      <c r="J7795">
        <f>IF(E7795="Outlook",COUNTIF($E$2:E7795,"Outlook"),"")</f>
        <v/>
      </c>
      <c r="K7795">
        <f>IF(E7795="Domain",COUNTIF($E$2:E7795,"Domain"),"")</f>
        <v/>
      </c>
    </row>
    <row r="7796">
      <c r="A7796" s="2" t="n"/>
      <c r="B7796">
        <f>LOWER(TRIM(A7796))</f>
        <v/>
      </c>
      <c r="C7796">
        <f>IF(B7796="","",IFERROR(INDEX('Bad Patterns'!$A$2:$A$120,MATCH(1,INDEX(--ISNUMBER(SEARCH('Bad Patterns'!$A$2:$A$120,B7796)),0),0)),""))</f>
        <v/>
      </c>
      <c r="D7796">
        <f>IF(B7796="","",IF(C7796&lt;&gt;"","REMOVE","KEEP"))</f>
        <v/>
      </c>
      <c r="E7796">
        <f>IF(D7796&lt;&gt;"KEEP","",IF(RIGHT(B7796,10)="@gmail.com","Gmail",IF(OR(RIGHT(B7796,12)="@outlook.com",RIGHT(B7796,12)="@hotmail.com",RIGHT(B7796,9)="@live.com"),"Outlook","Domain")))</f>
        <v/>
      </c>
      <c r="F7796">
        <f>IF(B7796="","",IFERROR(RIGHT(B7796,LEN(B7796)-FIND("@",B7796)),""))</f>
        <v/>
      </c>
      <c r="G7796">
        <f>IF(D7796="KEEP",COUNTIF($D$2:D7796,"KEEP"),"")</f>
        <v/>
      </c>
      <c r="H7796">
        <f>IF(D7796="REMOVE",COUNTIF($D$2:D7796,"REMOVE"),"")</f>
        <v/>
      </c>
      <c r="I7796">
        <f>IF(E7796="Gmail",COUNTIF($E$2:E7796,"Gmail"),"")</f>
        <v/>
      </c>
      <c r="J7796">
        <f>IF(E7796="Outlook",COUNTIF($E$2:E7796,"Outlook"),"")</f>
        <v/>
      </c>
      <c r="K7796">
        <f>IF(E7796="Domain",COUNTIF($E$2:E7796,"Domain"),"")</f>
        <v/>
      </c>
    </row>
    <row r="7797">
      <c r="A7797" s="2" t="n"/>
      <c r="B7797">
        <f>LOWER(TRIM(A7797))</f>
        <v/>
      </c>
      <c r="C7797">
        <f>IF(B7797="","",IFERROR(INDEX('Bad Patterns'!$A$2:$A$120,MATCH(1,INDEX(--ISNUMBER(SEARCH('Bad Patterns'!$A$2:$A$120,B7797)),0),0)),""))</f>
        <v/>
      </c>
      <c r="D7797">
        <f>IF(B7797="","",IF(C7797&lt;&gt;"","REMOVE","KEEP"))</f>
        <v/>
      </c>
      <c r="E7797">
        <f>IF(D7797&lt;&gt;"KEEP","",IF(RIGHT(B7797,10)="@gmail.com","Gmail",IF(OR(RIGHT(B7797,12)="@outlook.com",RIGHT(B7797,12)="@hotmail.com",RIGHT(B7797,9)="@live.com"),"Outlook","Domain")))</f>
        <v/>
      </c>
      <c r="F7797">
        <f>IF(B7797="","",IFERROR(RIGHT(B7797,LEN(B7797)-FIND("@",B7797)),""))</f>
        <v/>
      </c>
      <c r="G7797">
        <f>IF(D7797="KEEP",COUNTIF($D$2:D7797,"KEEP"),"")</f>
        <v/>
      </c>
      <c r="H7797">
        <f>IF(D7797="REMOVE",COUNTIF($D$2:D7797,"REMOVE"),"")</f>
        <v/>
      </c>
      <c r="I7797">
        <f>IF(E7797="Gmail",COUNTIF($E$2:E7797,"Gmail"),"")</f>
        <v/>
      </c>
      <c r="J7797">
        <f>IF(E7797="Outlook",COUNTIF($E$2:E7797,"Outlook"),"")</f>
        <v/>
      </c>
      <c r="K7797">
        <f>IF(E7797="Domain",COUNTIF($E$2:E7797,"Domain"),"")</f>
        <v/>
      </c>
    </row>
    <row r="7798">
      <c r="A7798" s="2" t="n"/>
      <c r="B7798">
        <f>LOWER(TRIM(A7798))</f>
        <v/>
      </c>
      <c r="C7798">
        <f>IF(B7798="","",IFERROR(INDEX('Bad Patterns'!$A$2:$A$120,MATCH(1,INDEX(--ISNUMBER(SEARCH('Bad Patterns'!$A$2:$A$120,B7798)),0),0)),""))</f>
        <v/>
      </c>
      <c r="D7798">
        <f>IF(B7798="","",IF(C7798&lt;&gt;"","REMOVE","KEEP"))</f>
        <v/>
      </c>
      <c r="E7798">
        <f>IF(D7798&lt;&gt;"KEEP","",IF(RIGHT(B7798,10)="@gmail.com","Gmail",IF(OR(RIGHT(B7798,12)="@outlook.com",RIGHT(B7798,12)="@hotmail.com",RIGHT(B7798,9)="@live.com"),"Outlook","Domain")))</f>
        <v/>
      </c>
      <c r="F7798">
        <f>IF(B7798="","",IFERROR(RIGHT(B7798,LEN(B7798)-FIND("@",B7798)),""))</f>
        <v/>
      </c>
      <c r="G7798">
        <f>IF(D7798="KEEP",COUNTIF($D$2:D7798,"KEEP"),"")</f>
        <v/>
      </c>
      <c r="H7798">
        <f>IF(D7798="REMOVE",COUNTIF($D$2:D7798,"REMOVE"),"")</f>
        <v/>
      </c>
      <c r="I7798">
        <f>IF(E7798="Gmail",COUNTIF($E$2:E7798,"Gmail"),"")</f>
        <v/>
      </c>
      <c r="J7798">
        <f>IF(E7798="Outlook",COUNTIF($E$2:E7798,"Outlook"),"")</f>
        <v/>
      </c>
      <c r="K7798">
        <f>IF(E7798="Domain",COUNTIF($E$2:E7798,"Domain"),"")</f>
        <v/>
      </c>
    </row>
    <row r="7799">
      <c r="A7799" s="2" t="n"/>
      <c r="B7799">
        <f>LOWER(TRIM(A7799))</f>
        <v/>
      </c>
      <c r="C7799">
        <f>IF(B7799="","",IFERROR(INDEX('Bad Patterns'!$A$2:$A$120,MATCH(1,INDEX(--ISNUMBER(SEARCH('Bad Patterns'!$A$2:$A$120,B7799)),0),0)),""))</f>
        <v/>
      </c>
      <c r="D7799">
        <f>IF(B7799="","",IF(C7799&lt;&gt;"","REMOVE","KEEP"))</f>
        <v/>
      </c>
      <c r="E7799">
        <f>IF(D7799&lt;&gt;"KEEP","",IF(RIGHT(B7799,10)="@gmail.com","Gmail",IF(OR(RIGHT(B7799,12)="@outlook.com",RIGHT(B7799,12)="@hotmail.com",RIGHT(B7799,9)="@live.com"),"Outlook","Domain")))</f>
        <v/>
      </c>
      <c r="F7799">
        <f>IF(B7799="","",IFERROR(RIGHT(B7799,LEN(B7799)-FIND("@",B7799)),""))</f>
        <v/>
      </c>
      <c r="G7799">
        <f>IF(D7799="KEEP",COUNTIF($D$2:D7799,"KEEP"),"")</f>
        <v/>
      </c>
      <c r="H7799">
        <f>IF(D7799="REMOVE",COUNTIF($D$2:D7799,"REMOVE"),"")</f>
        <v/>
      </c>
      <c r="I7799">
        <f>IF(E7799="Gmail",COUNTIF($E$2:E7799,"Gmail"),"")</f>
        <v/>
      </c>
      <c r="J7799">
        <f>IF(E7799="Outlook",COUNTIF($E$2:E7799,"Outlook"),"")</f>
        <v/>
      </c>
      <c r="K7799">
        <f>IF(E7799="Domain",COUNTIF($E$2:E7799,"Domain"),"")</f>
        <v/>
      </c>
    </row>
    <row r="7800">
      <c r="A7800" s="2" t="n"/>
      <c r="B7800">
        <f>LOWER(TRIM(A7800))</f>
        <v/>
      </c>
      <c r="C7800">
        <f>IF(B7800="","",IFERROR(INDEX('Bad Patterns'!$A$2:$A$120,MATCH(1,INDEX(--ISNUMBER(SEARCH('Bad Patterns'!$A$2:$A$120,B7800)),0),0)),""))</f>
        <v/>
      </c>
      <c r="D7800">
        <f>IF(B7800="","",IF(C7800&lt;&gt;"","REMOVE","KEEP"))</f>
        <v/>
      </c>
      <c r="E7800">
        <f>IF(D7800&lt;&gt;"KEEP","",IF(RIGHT(B7800,10)="@gmail.com","Gmail",IF(OR(RIGHT(B7800,12)="@outlook.com",RIGHT(B7800,12)="@hotmail.com",RIGHT(B7800,9)="@live.com"),"Outlook","Domain")))</f>
        <v/>
      </c>
      <c r="F7800">
        <f>IF(B7800="","",IFERROR(RIGHT(B7800,LEN(B7800)-FIND("@",B7800)),""))</f>
        <v/>
      </c>
      <c r="G7800">
        <f>IF(D7800="KEEP",COUNTIF($D$2:D7800,"KEEP"),"")</f>
        <v/>
      </c>
      <c r="H7800">
        <f>IF(D7800="REMOVE",COUNTIF($D$2:D7800,"REMOVE"),"")</f>
        <v/>
      </c>
      <c r="I7800">
        <f>IF(E7800="Gmail",COUNTIF($E$2:E7800,"Gmail"),"")</f>
        <v/>
      </c>
      <c r="J7800">
        <f>IF(E7800="Outlook",COUNTIF($E$2:E7800,"Outlook"),"")</f>
        <v/>
      </c>
      <c r="K7800">
        <f>IF(E7800="Domain",COUNTIF($E$2:E7800,"Domain"),"")</f>
        <v/>
      </c>
    </row>
    <row r="7801">
      <c r="A7801" s="2" t="n"/>
      <c r="B7801">
        <f>LOWER(TRIM(A7801))</f>
        <v/>
      </c>
      <c r="C7801">
        <f>IF(B7801="","",IFERROR(INDEX('Bad Patterns'!$A$2:$A$120,MATCH(1,INDEX(--ISNUMBER(SEARCH('Bad Patterns'!$A$2:$A$120,B7801)),0),0)),""))</f>
        <v/>
      </c>
      <c r="D7801">
        <f>IF(B7801="","",IF(C7801&lt;&gt;"","REMOVE","KEEP"))</f>
        <v/>
      </c>
      <c r="E7801">
        <f>IF(D7801&lt;&gt;"KEEP","",IF(RIGHT(B7801,10)="@gmail.com","Gmail",IF(OR(RIGHT(B7801,12)="@outlook.com",RIGHT(B7801,12)="@hotmail.com",RIGHT(B7801,9)="@live.com"),"Outlook","Domain")))</f>
        <v/>
      </c>
      <c r="F7801">
        <f>IF(B7801="","",IFERROR(RIGHT(B7801,LEN(B7801)-FIND("@",B7801)),""))</f>
        <v/>
      </c>
      <c r="G7801">
        <f>IF(D7801="KEEP",COUNTIF($D$2:D7801,"KEEP"),"")</f>
        <v/>
      </c>
      <c r="H7801">
        <f>IF(D7801="REMOVE",COUNTIF($D$2:D7801,"REMOVE"),"")</f>
        <v/>
      </c>
      <c r="I7801">
        <f>IF(E7801="Gmail",COUNTIF($E$2:E7801,"Gmail"),"")</f>
        <v/>
      </c>
      <c r="J7801">
        <f>IF(E7801="Outlook",COUNTIF($E$2:E7801,"Outlook"),"")</f>
        <v/>
      </c>
      <c r="K7801">
        <f>IF(E7801="Domain",COUNTIF($E$2:E7801,"Domain"),"")</f>
        <v/>
      </c>
    </row>
    <row r="7802">
      <c r="A7802" s="2" t="n"/>
      <c r="B7802">
        <f>LOWER(TRIM(A7802))</f>
        <v/>
      </c>
      <c r="C7802">
        <f>IF(B7802="","",IFERROR(INDEX('Bad Patterns'!$A$2:$A$120,MATCH(1,INDEX(--ISNUMBER(SEARCH('Bad Patterns'!$A$2:$A$120,B7802)),0),0)),""))</f>
        <v/>
      </c>
      <c r="D7802">
        <f>IF(B7802="","",IF(C7802&lt;&gt;"","REMOVE","KEEP"))</f>
        <v/>
      </c>
      <c r="E7802">
        <f>IF(D7802&lt;&gt;"KEEP","",IF(RIGHT(B7802,10)="@gmail.com","Gmail",IF(OR(RIGHT(B7802,12)="@outlook.com",RIGHT(B7802,12)="@hotmail.com",RIGHT(B7802,9)="@live.com"),"Outlook","Domain")))</f>
        <v/>
      </c>
      <c r="F7802">
        <f>IF(B7802="","",IFERROR(RIGHT(B7802,LEN(B7802)-FIND("@",B7802)),""))</f>
        <v/>
      </c>
      <c r="G7802">
        <f>IF(D7802="KEEP",COUNTIF($D$2:D7802,"KEEP"),"")</f>
        <v/>
      </c>
      <c r="H7802">
        <f>IF(D7802="REMOVE",COUNTIF($D$2:D7802,"REMOVE"),"")</f>
        <v/>
      </c>
      <c r="I7802">
        <f>IF(E7802="Gmail",COUNTIF($E$2:E7802,"Gmail"),"")</f>
        <v/>
      </c>
      <c r="J7802">
        <f>IF(E7802="Outlook",COUNTIF($E$2:E7802,"Outlook"),"")</f>
        <v/>
      </c>
      <c r="K7802">
        <f>IF(E7802="Domain",COUNTIF($E$2:E7802,"Domain"),"")</f>
        <v/>
      </c>
    </row>
    <row r="7803">
      <c r="A7803" s="2" t="n"/>
      <c r="B7803">
        <f>LOWER(TRIM(A7803))</f>
        <v/>
      </c>
      <c r="C7803">
        <f>IF(B7803="","",IFERROR(INDEX('Bad Patterns'!$A$2:$A$120,MATCH(1,INDEX(--ISNUMBER(SEARCH('Bad Patterns'!$A$2:$A$120,B7803)),0),0)),""))</f>
        <v/>
      </c>
      <c r="D7803">
        <f>IF(B7803="","",IF(C7803&lt;&gt;"","REMOVE","KEEP"))</f>
        <v/>
      </c>
      <c r="E7803">
        <f>IF(D7803&lt;&gt;"KEEP","",IF(RIGHT(B7803,10)="@gmail.com","Gmail",IF(OR(RIGHT(B7803,12)="@outlook.com",RIGHT(B7803,12)="@hotmail.com",RIGHT(B7803,9)="@live.com"),"Outlook","Domain")))</f>
        <v/>
      </c>
      <c r="F7803">
        <f>IF(B7803="","",IFERROR(RIGHT(B7803,LEN(B7803)-FIND("@",B7803)),""))</f>
        <v/>
      </c>
      <c r="G7803">
        <f>IF(D7803="KEEP",COUNTIF($D$2:D7803,"KEEP"),"")</f>
        <v/>
      </c>
      <c r="H7803">
        <f>IF(D7803="REMOVE",COUNTIF($D$2:D7803,"REMOVE"),"")</f>
        <v/>
      </c>
      <c r="I7803">
        <f>IF(E7803="Gmail",COUNTIF($E$2:E7803,"Gmail"),"")</f>
        <v/>
      </c>
      <c r="J7803">
        <f>IF(E7803="Outlook",COUNTIF($E$2:E7803,"Outlook"),"")</f>
        <v/>
      </c>
      <c r="K7803">
        <f>IF(E7803="Domain",COUNTIF($E$2:E7803,"Domain"),"")</f>
        <v/>
      </c>
    </row>
    <row r="7804">
      <c r="A7804" s="2" t="n"/>
      <c r="B7804">
        <f>LOWER(TRIM(A7804))</f>
        <v/>
      </c>
      <c r="C7804">
        <f>IF(B7804="","",IFERROR(INDEX('Bad Patterns'!$A$2:$A$120,MATCH(1,INDEX(--ISNUMBER(SEARCH('Bad Patterns'!$A$2:$A$120,B7804)),0),0)),""))</f>
        <v/>
      </c>
      <c r="D7804">
        <f>IF(B7804="","",IF(C7804&lt;&gt;"","REMOVE","KEEP"))</f>
        <v/>
      </c>
      <c r="E7804">
        <f>IF(D7804&lt;&gt;"KEEP","",IF(RIGHT(B7804,10)="@gmail.com","Gmail",IF(OR(RIGHT(B7804,12)="@outlook.com",RIGHT(B7804,12)="@hotmail.com",RIGHT(B7804,9)="@live.com"),"Outlook","Domain")))</f>
        <v/>
      </c>
      <c r="F7804">
        <f>IF(B7804="","",IFERROR(RIGHT(B7804,LEN(B7804)-FIND("@",B7804)),""))</f>
        <v/>
      </c>
      <c r="G7804">
        <f>IF(D7804="KEEP",COUNTIF($D$2:D7804,"KEEP"),"")</f>
        <v/>
      </c>
      <c r="H7804">
        <f>IF(D7804="REMOVE",COUNTIF($D$2:D7804,"REMOVE"),"")</f>
        <v/>
      </c>
      <c r="I7804">
        <f>IF(E7804="Gmail",COUNTIF($E$2:E7804,"Gmail"),"")</f>
        <v/>
      </c>
      <c r="J7804">
        <f>IF(E7804="Outlook",COUNTIF($E$2:E7804,"Outlook"),"")</f>
        <v/>
      </c>
      <c r="K7804">
        <f>IF(E7804="Domain",COUNTIF($E$2:E7804,"Domain"),"")</f>
        <v/>
      </c>
    </row>
    <row r="7805">
      <c r="A7805" s="2" t="n"/>
      <c r="B7805">
        <f>LOWER(TRIM(A7805))</f>
        <v/>
      </c>
      <c r="C7805">
        <f>IF(B7805="","",IFERROR(INDEX('Bad Patterns'!$A$2:$A$120,MATCH(1,INDEX(--ISNUMBER(SEARCH('Bad Patterns'!$A$2:$A$120,B7805)),0),0)),""))</f>
        <v/>
      </c>
      <c r="D7805">
        <f>IF(B7805="","",IF(C7805&lt;&gt;"","REMOVE","KEEP"))</f>
        <v/>
      </c>
      <c r="E7805">
        <f>IF(D7805&lt;&gt;"KEEP","",IF(RIGHT(B7805,10)="@gmail.com","Gmail",IF(OR(RIGHT(B7805,12)="@outlook.com",RIGHT(B7805,12)="@hotmail.com",RIGHT(B7805,9)="@live.com"),"Outlook","Domain")))</f>
        <v/>
      </c>
      <c r="F7805">
        <f>IF(B7805="","",IFERROR(RIGHT(B7805,LEN(B7805)-FIND("@",B7805)),""))</f>
        <v/>
      </c>
      <c r="G7805">
        <f>IF(D7805="KEEP",COUNTIF($D$2:D7805,"KEEP"),"")</f>
        <v/>
      </c>
      <c r="H7805">
        <f>IF(D7805="REMOVE",COUNTIF($D$2:D7805,"REMOVE"),"")</f>
        <v/>
      </c>
      <c r="I7805">
        <f>IF(E7805="Gmail",COUNTIF($E$2:E7805,"Gmail"),"")</f>
        <v/>
      </c>
      <c r="J7805">
        <f>IF(E7805="Outlook",COUNTIF($E$2:E7805,"Outlook"),"")</f>
        <v/>
      </c>
      <c r="K7805">
        <f>IF(E7805="Domain",COUNTIF($E$2:E7805,"Domain"),"")</f>
        <v/>
      </c>
    </row>
    <row r="7806">
      <c r="A7806" s="2" t="n"/>
      <c r="B7806">
        <f>LOWER(TRIM(A7806))</f>
        <v/>
      </c>
      <c r="C7806">
        <f>IF(B7806="","",IFERROR(INDEX('Bad Patterns'!$A$2:$A$120,MATCH(1,INDEX(--ISNUMBER(SEARCH('Bad Patterns'!$A$2:$A$120,B7806)),0),0)),""))</f>
        <v/>
      </c>
      <c r="D7806">
        <f>IF(B7806="","",IF(C7806&lt;&gt;"","REMOVE","KEEP"))</f>
        <v/>
      </c>
      <c r="E7806">
        <f>IF(D7806&lt;&gt;"KEEP","",IF(RIGHT(B7806,10)="@gmail.com","Gmail",IF(OR(RIGHT(B7806,12)="@outlook.com",RIGHT(B7806,12)="@hotmail.com",RIGHT(B7806,9)="@live.com"),"Outlook","Domain")))</f>
        <v/>
      </c>
      <c r="F7806">
        <f>IF(B7806="","",IFERROR(RIGHT(B7806,LEN(B7806)-FIND("@",B7806)),""))</f>
        <v/>
      </c>
      <c r="G7806">
        <f>IF(D7806="KEEP",COUNTIF($D$2:D7806,"KEEP"),"")</f>
        <v/>
      </c>
      <c r="H7806">
        <f>IF(D7806="REMOVE",COUNTIF($D$2:D7806,"REMOVE"),"")</f>
        <v/>
      </c>
      <c r="I7806">
        <f>IF(E7806="Gmail",COUNTIF($E$2:E7806,"Gmail"),"")</f>
        <v/>
      </c>
      <c r="J7806">
        <f>IF(E7806="Outlook",COUNTIF($E$2:E7806,"Outlook"),"")</f>
        <v/>
      </c>
      <c r="K7806">
        <f>IF(E7806="Domain",COUNTIF($E$2:E7806,"Domain"),"")</f>
        <v/>
      </c>
    </row>
    <row r="7807">
      <c r="A7807" s="2" t="n"/>
      <c r="B7807">
        <f>LOWER(TRIM(A7807))</f>
        <v/>
      </c>
      <c r="C7807">
        <f>IF(B7807="","",IFERROR(INDEX('Bad Patterns'!$A$2:$A$120,MATCH(1,INDEX(--ISNUMBER(SEARCH('Bad Patterns'!$A$2:$A$120,B7807)),0),0)),""))</f>
        <v/>
      </c>
      <c r="D7807">
        <f>IF(B7807="","",IF(C7807&lt;&gt;"","REMOVE","KEEP"))</f>
        <v/>
      </c>
      <c r="E7807">
        <f>IF(D7807&lt;&gt;"KEEP","",IF(RIGHT(B7807,10)="@gmail.com","Gmail",IF(OR(RIGHT(B7807,12)="@outlook.com",RIGHT(B7807,12)="@hotmail.com",RIGHT(B7807,9)="@live.com"),"Outlook","Domain")))</f>
        <v/>
      </c>
      <c r="F7807">
        <f>IF(B7807="","",IFERROR(RIGHT(B7807,LEN(B7807)-FIND("@",B7807)),""))</f>
        <v/>
      </c>
      <c r="G7807">
        <f>IF(D7807="KEEP",COUNTIF($D$2:D7807,"KEEP"),"")</f>
        <v/>
      </c>
      <c r="H7807">
        <f>IF(D7807="REMOVE",COUNTIF($D$2:D7807,"REMOVE"),"")</f>
        <v/>
      </c>
      <c r="I7807">
        <f>IF(E7807="Gmail",COUNTIF($E$2:E7807,"Gmail"),"")</f>
        <v/>
      </c>
      <c r="J7807">
        <f>IF(E7807="Outlook",COUNTIF($E$2:E7807,"Outlook"),"")</f>
        <v/>
      </c>
      <c r="K7807">
        <f>IF(E7807="Domain",COUNTIF($E$2:E7807,"Domain"),"")</f>
        <v/>
      </c>
    </row>
    <row r="7808">
      <c r="A7808" s="2" t="n"/>
      <c r="B7808">
        <f>LOWER(TRIM(A7808))</f>
        <v/>
      </c>
      <c r="C7808">
        <f>IF(B7808="","",IFERROR(INDEX('Bad Patterns'!$A$2:$A$120,MATCH(1,INDEX(--ISNUMBER(SEARCH('Bad Patterns'!$A$2:$A$120,B7808)),0),0)),""))</f>
        <v/>
      </c>
      <c r="D7808">
        <f>IF(B7808="","",IF(C7808&lt;&gt;"","REMOVE","KEEP"))</f>
        <v/>
      </c>
      <c r="E7808">
        <f>IF(D7808&lt;&gt;"KEEP","",IF(RIGHT(B7808,10)="@gmail.com","Gmail",IF(OR(RIGHT(B7808,12)="@outlook.com",RIGHT(B7808,12)="@hotmail.com",RIGHT(B7808,9)="@live.com"),"Outlook","Domain")))</f>
        <v/>
      </c>
      <c r="F7808">
        <f>IF(B7808="","",IFERROR(RIGHT(B7808,LEN(B7808)-FIND("@",B7808)),""))</f>
        <v/>
      </c>
      <c r="G7808">
        <f>IF(D7808="KEEP",COUNTIF($D$2:D7808,"KEEP"),"")</f>
        <v/>
      </c>
      <c r="H7808">
        <f>IF(D7808="REMOVE",COUNTIF($D$2:D7808,"REMOVE"),"")</f>
        <v/>
      </c>
      <c r="I7808">
        <f>IF(E7808="Gmail",COUNTIF($E$2:E7808,"Gmail"),"")</f>
        <v/>
      </c>
      <c r="J7808">
        <f>IF(E7808="Outlook",COUNTIF($E$2:E7808,"Outlook"),"")</f>
        <v/>
      </c>
      <c r="K7808">
        <f>IF(E7808="Domain",COUNTIF($E$2:E7808,"Domain"),"")</f>
        <v/>
      </c>
    </row>
    <row r="7809">
      <c r="A7809" s="2" t="n"/>
      <c r="B7809">
        <f>LOWER(TRIM(A7809))</f>
        <v/>
      </c>
      <c r="C7809">
        <f>IF(B7809="","",IFERROR(INDEX('Bad Patterns'!$A$2:$A$120,MATCH(1,INDEX(--ISNUMBER(SEARCH('Bad Patterns'!$A$2:$A$120,B7809)),0),0)),""))</f>
        <v/>
      </c>
      <c r="D7809">
        <f>IF(B7809="","",IF(C7809&lt;&gt;"","REMOVE","KEEP"))</f>
        <v/>
      </c>
      <c r="E7809">
        <f>IF(D7809&lt;&gt;"KEEP","",IF(RIGHT(B7809,10)="@gmail.com","Gmail",IF(OR(RIGHT(B7809,12)="@outlook.com",RIGHT(B7809,12)="@hotmail.com",RIGHT(B7809,9)="@live.com"),"Outlook","Domain")))</f>
        <v/>
      </c>
      <c r="F7809">
        <f>IF(B7809="","",IFERROR(RIGHT(B7809,LEN(B7809)-FIND("@",B7809)),""))</f>
        <v/>
      </c>
      <c r="G7809">
        <f>IF(D7809="KEEP",COUNTIF($D$2:D7809,"KEEP"),"")</f>
        <v/>
      </c>
      <c r="H7809">
        <f>IF(D7809="REMOVE",COUNTIF($D$2:D7809,"REMOVE"),"")</f>
        <v/>
      </c>
      <c r="I7809">
        <f>IF(E7809="Gmail",COUNTIF($E$2:E7809,"Gmail"),"")</f>
        <v/>
      </c>
      <c r="J7809">
        <f>IF(E7809="Outlook",COUNTIF($E$2:E7809,"Outlook"),"")</f>
        <v/>
      </c>
      <c r="K7809">
        <f>IF(E7809="Domain",COUNTIF($E$2:E7809,"Domain"),"")</f>
        <v/>
      </c>
    </row>
    <row r="7810">
      <c r="A7810" s="2" t="n"/>
      <c r="B7810">
        <f>LOWER(TRIM(A7810))</f>
        <v/>
      </c>
      <c r="C7810">
        <f>IF(B7810="","",IFERROR(INDEX('Bad Patterns'!$A$2:$A$120,MATCH(1,INDEX(--ISNUMBER(SEARCH('Bad Patterns'!$A$2:$A$120,B7810)),0),0)),""))</f>
        <v/>
      </c>
      <c r="D7810">
        <f>IF(B7810="","",IF(C7810&lt;&gt;"","REMOVE","KEEP"))</f>
        <v/>
      </c>
      <c r="E7810">
        <f>IF(D7810&lt;&gt;"KEEP","",IF(RIGHT(B7810,10)="@gmail.com","Gmail",IF(OR(RIGHT(B7810,12)="@outlook.com",RIGHT(B7810,12)="@hotmail.com",RIGHT(B7810,9)="@live.com"),"Outlook","Domain")))</f>
        <v/>
      </c>
      <c r="F7810">
        <f>IF(B7810="","",IFERROR(RIGHT(B7810,LEN(B7810)-FIND("@",B7810)),""))</f>
        <v/>
      </c>
      <c r="G7810">
        <f>IF(D7810="KEEP",COUNTIF($D$2:D7810,"KEEP"),"")</f>
        <v/>
      </c>
      <c r="H7810">
        <f>IF(D7810="REMOVE",COUNTIF($D$2:D7810,"REMOVE"),"")</f>
        <v/>
      </c>
      <c r="I7810">
        <f>IF(E7810="Gmail",COUNTIF($E$2:E7810,"Gmail"),"")</f>
        <v/>
      </c>
      <c r="J7810">
        <f>IF(E7810="Outlook",COUNTIF($E$2:E7810,"Outlook"),"")</f>
        <v/>
      </c>
      <c r="K7810">
        <f>IF(E7810="Domain",COUNTIF($E$2:E7810,"Domain"),"")</f>
        <v/>
      </c>
    </row>
    <row r="7811">
      <c r="A7811" s="2" t="n"/>
      <c r="B7811">
        <f>LOWER(TRIM(A7811))</f>
        <v/>
      </c>
      <c r="C7811">
        <f>IF(B7811="","",IFERROR(INDEX('Bad Patterns'!$A$2:$A$120,MATCH(1,INDEX(--ISNUMBER(SEARCH('Bad Patterns'!$A$2:$A$120,B7811)),0),0)),""))</f>
        <v/>
      </c>
      <c r="D7811">
        <f>IF(B7811="","",IF(C7811&lt;&gt;"","REMOVE","KEEP"))</f>
        <v/>
      </c>
      <c r="E7811">
        <f>IF(D7811&lt;&gt;"KEEP","",IF(RIGHT(B7811,10)="@gmail.com","Gmail",IF(OR(RIGHT(B7811,12)="@outlook.com",RIGHT(B7811,12)="@hotmail.com",RIGHT(B7811,9)="@live.com"),"Outlook","Domain")))</f>
        <v/>
      </c>
      <c r="F7811">
        <f>IF(B7811="","",IFERROR(RIGHT(B7811,LEN(B7811)-FIND("@",B7811)),""))</f>
        <v/>
      </c>
      <c r="G7811">
        <f>IF(D7811="KEEP",COUNTIF($D$2:D7811,"KEEP"),"")</f>
        <v/>
      </c>
      <c r="H7811">
        <f>IF(D7811="REMOVE",COUNTIF($D$2:D7811,"REMOVE"),"")</f>
        <v/>
      </c>
      <c r="I7811">
        <f>IF(E7811="Gmail",COUNTIF($E$2:E7811,"Gmail"),"")</f>
        <v/>
      </c>
      <c r="J7811">
        <f>IF(E7811="Outlook",COUNTIF($E$2:E7811,"Outlook"),"")</f>
        <v/>
      </c>
      <c r="K7811">
        <f>IF(E7811="Domain",COUNTIF($E$2:E7811,"Domain"),"")</f>
        <v/>
      </c>
    </row>
    <row r="7812">
      <c r="A7812" s="2" t="n"/>
      <c r="B7812">
        <f>LOWER(TRIM(A7812))</f>
        <v/>
      </c>
      <c r="C7812">
        <f>IF(B7812="","",IFERROR(INDEX('Bad Patterns'!$A$2:$A$120,MATCH(1,INDEX(--ISNUMBER(SEARCH('Bad Patterns'!$A$2:$A$120,B7812)),0),0)),""))</f>
        <v/>
      </c>
      <c r="D7812">
        <f>IF(B7812="","",IF(C7812&lt;&gt;"","REMOVE","KEEP"))</f>
        <v/>
      </c>
      <c r="E7812">
        <f>IF(D7812&lt;&gt;"KEEP","",IF(RIGHT(B7812,10)="@gmail.com","Gmail",IF(OR(RIGHT(B7812,12)="@outlook.com",RIGHT(B7812,12)="@hotmail.com",RIGHT(B7812,9)="@live.com"),"Outlook","Domain")))</f>
        <v/>
      </c>
      <c r="F7812">
        <f>IF(B7812="","",IFERROR(RIGHT(B7812,LEN(B7812)-FIND("@",B7812)),""))</f>
        <v/>
      </c>
      <c r="G7812">
        <f>IF(D7812="KEEP",COUNTIF($D$2:D7812,"KEEP"),"")</f>
        <v/>
      </c>
      <c r="H7812">
        <f>IF(D7812="REMOVE",COUNTIF($D$2:D7812,"REMOVE"),"")</f>
        <v/>
      </c>
      <c r="I7812">
        <f>IF(E7812="Gmail",COUNTIF($E$2:E7812,"Gmail"),"")</f>
        <v/>
      </c>
      <c r="J7812">
        <f>IF(E7812="Outlook",COUNTIF($E$2:E7812,"Outlook"),"")</f>
        <v/>
      </c>
      <c r="K7812">
        <f>IF(E7812="Domain",COUNTIF($E$2:E7812,"Domain"),"")</f>
        <v/>
      </c>
    </row>
    <row r="7813">
      <c r="A7813" s="2" t="n"/>
      <c r="B7813">
        <f>LOWER(TRIM(A7813))</f>
        <v/>
      </c>
      <c r="C7813">
        <f>IF(B7813="","",IFERROR(INDEX('Bad Patterns'!$A$2:$A$120,MATCH(1,INDEX(--ISNUMBER(SEARCH('Bad Patterns'!$A$2:$A$120,B7813)),0),0)),""))</f>
        <v/>
      </c>
      <c r="D7813">
        <f>IF(B7813="","",IF(C7813&lt;&gt;"","REMOVE","KEEP"))</f>
        <v/>
      </c>
      <c r="E7813">
        <f>IF(D7813&lt;&gt;"KEEP","",IF(RIGHT(B7813,10)="@gmail.com","Gmail",IF(OR(RIGHT(B7813,12)="@outlook.com",RIGHT(B7813,12)="@hotmail.com",RIGHT(B7813,9)="@live.com"),"Outlook","Domain")))</f>
        <v/>
      </c>
      <c r="F7813">
        <f>IF(B7813="","",IFERROR(RIGHT(B7813,LEN(B7813)-FIND("@",B7813)),""))</f>
        <v/>
      </c>
      <c r="G7813">
        <f>IF(D7813="KEEP",COUNTIF($D$2:D7813,"KEEP"),"")</f>
        <v/>
      </c>
      <c r="H7813">
        <f>IF(D7813="REMOVE",COUNTIF($D$2:D7813,"REMOVE"),"")</f>
        <v/>
      </c>
      <c r="I7813">
        <f>IF(E7813="Gmail",COUNTIF($E$2:E7813,"Gmail"),"")</f>
        <v/>
      </c>
      <c r="J7813">
        <f>IF(E7813="Outlook",COUNTIF($E$2:E7813,"Outlook"),"")</f>
        <v/>
      </c>
      <c r="K7813">
        <f>IF(E7813="Domain",COUNTIF($E$2:E7813,"Domain"),"")</f>
        <v/>
      </c>
    </row>
    <row r="7814">
      <c r="A7814" s="2" t="n"/>
      <c r="B7814">
        <f>LOWER(TRIM(A7814))</f>
        <v/>
      </c>
      <c r="C7814">
        <f>IF(B7814="","",IFERROR(INDEX('Bad Patterns'!$A$2:$A$120,MATCH(1,INDEX(--ISNUMBER(SEARCH('Bad Patterns'!$A$2:$A$120,B7814)),0),0)),""))</f>
        <v/>
      </c>
      <c r="D7814">
        <f>IF(B7814="","",IF(C7814&lt;&gt;"","REMOVE","KEEP"))</f>
        <v/>
      </c>
      <c r="E7814">
        <f>IF(D7814&lt;&gt;"KEEP","",IF(RIGHT(B7814,10)="@gmail.com","Gmail",IF(OR(RIGHT(B7814,12)="@outlook.com",RIGHT(B7814,12)="@hotmail.com",RIGHT(B7814,9)="@live.com"),"Outlook","Domain")))</f>
        <v/>
      </c>
      <c r="F7814">
        <f>IF(B7814="","",IFERROR(RIGHT(B7814,LEN(B7814)-FIND("@",B7814)),""))</f>
        <v/>
      </c>
      <c r="G7814">
        <f>IF(D7814="KEEP",COUNTIF($D$2:D7814,"KEEP"),"")</f>
        <v/>
      </c>
      <c r="H7814">
        <f>IF(D7814="REMOVE",COUNTIF($D$2:D7814,"REMOVE"),"")</f>
        <v/>
      </c>
      <c r="I7814">
        <f>IF(E7814="Gmail",COUNTIF($E$2:E7814,"Gmail"),"")</f>
        <v/>
      </c>
      <c r="J7814">
        <f>IF(E7814="Outlook",COUNTIF($E$2:E7814,"Outlook"),"")</f>
        <v/>
      </c>
      <c r="K7814">
        <f>IF(E7814="Domain",COUNTIF($E$2:E7814,"Domain"),"")</f>
        <v/>
      </c>
    </row>
    <row r="7815">
      <c r="A7815" s="2" t="n"/>
      <c r="B7815">
        <f>LOWER(TRIM(A7815))</f>
        <v/>
      </c>
      <c r="C7815">
        <f>IF(B7815="","",IFERROR(INDEX('Bad Patterns'!$A$2:$A$120,MATCH(1,INDEX(--ISNUMBER(SEARCH('Bad Patterns'!$A$2:$A$120,B7815)),0),0)),""))</f>
        <v/>
      </c>
      <c r="D7815">
        <f>IF(B7815="","",IF(C7815&lt;&gt;"","REMOVE","KEEP"))</f>
        <v/>
      </c>
      <c r="E7815">
        <f>IF(D7815&lt;&gt;"KEEP","",IF(RIGHT(B7815,10)="@gmail.com","Gmail",IF(OR(RIGHT(B7815,12)="@outlook.com",RIGHT(B7815,12)="@hotmail.com",RIGHT(B7815,9)="@live.com"),"Outlook","Domain")))</f>
        <v/>
      </c>
      <c r="F7815">
        <f>IF(B7815="","",IFERROR(RIGHT(B7815,LEN(B7815)-FIND("@",B7815)),""))</f>
        <v/>
      </c>
      <c r="G7815">
        <f>IF(D7815="KEEP",COUNTIF($D$2:D7815,"KEEP"),"")</f>
        <v/>
      </c>
      <c r="H7815">
        <f>IF(D7815="REMOVE",COUNTIF($D$2:D7815,"REMOVE"),"")</f>
        <v/>
      </c>
      <c r="I7815">
        <f>IF(E7815="Gmail",COUNTIF($E$2:E7815,"Gmail"),"")</f>
        <v/>
      </c>
      <c r="J7815">
        <f>IF(E7815="Outlook",COUNTIF($E$2:E7815,"Outlook"),"")</f>
        <v/>
      </c>
      <c r="K7815">
        <f>IF(E7815="Domain",COUNTIF($E$2:E7815,"Domain"),"")</f>
        <v/>
      </c>
    </row>
    <row r="7816">
      <c r="A7816" s="2" t="n"/>
      <c r="B7816">
        <f>LOWER(TRIM(A7816))</f>
        <v/>
      </c>
      <c r="C7816">
        <f>IF(B7816="","",IFERROR(INDEX('Bad Patterns'!$A$2:$A$120,MATCH(1,INDEX(--ISNUMBER(SEARCH('Bad Patterns'!$A$2:$A$120,B7816)),0),0)),""))</f>
        <v/>
      </c>
      <c r="D7816">
        <f>IF(B7816="","",IF(C7816&lt;&gt;"","REMOVE","KEEP"))</f>
        <v/>
      </c>
      <c r="E7816">
        <f>IF(D7816&lt;&gt;"KEEP","",IF(RIGHT(B7816,10)="@gmail.com","Gmail",IF(OR(RIGHT(B7816,12)="@outlook.com",RIGHT(B7816,12)="@hotmail.com",RIGHT(B7816,9)="@live.com"),"Outlook","Domain")))</f>
        <v/>
      </c>
      <c r="F7816">
        <f>IF(B7816="","",IFERROR(RIGHT(B7816,LEN(B7816)-FIND("@",B7816)),""))</f>
        <v/>
      </c>
      <c r="G7816">
        <f>IF(D7816="KEEP",COUNTIF($D$2:D7816,"KEEP"),"")</f>
        <v/>
      </c>
      <c r="H7816">
        <f>IF(D7816="REMOVE",COUNTIF($D$2:D7816,"REMOVE"),"")</f>
        <v/>
      </c>
      <c r="I7816">
        <f>IF(E7816="Gmail",COUNTIF($E$2:E7816,"Gmail"),"")</f>
        <v/>
      </c>
      <c r="J7816">
        <f>IF(E7816="Outlook",COUNTIF($E$2:E7816,"Outlook"),"")</f>
        <v/>
      </c>
      <c r="K7816">
        <f>IF(E7816="Domain",COUNTIF($E$2:E7816,"Domain"),"")</f>
        <v/>
      </c>
    </row>
    <row r="7817">
      <c r="A7817" s="2" t="n"/>
      <c r="B7817">
        <f>LOWER(TRIM(A7817))</f>
        <v/>
      </c>
      <c r="C7817">
        <f>IF(B7817="","",IFERROR(INDEX('Bad Patterns'!$A$2:$A$120,MATCH(1,INDEX(--ISNUMBER(SEARCH('Bad Patterns'!$A$2:$A$120,B7817)),0),0)),""))</f>
        <v/>
      </c>
      <c r="D7817">
        <f>IF(B7817="","",IF(C7817&lt;&gt;"","REMOVE","KEEP"))</f>
        <v/>
      </c>
      <c r="E7817">
        <f>IF(D7817&lt;&gt;"KEEP","",IF(RIGHT(B7817,10)="@gmail.com","Gmail",IF(OR(RIGHT(B7817,12)="@outlook.com",RIGHT(B7817,12)="@hotmail.com",RIGHT(B7817,9)="@live.com"),"Outlook","Domain")))</f>
        <v/>
      </c>
      <c r="F7817">
        <f>IF(B7817="","",IFERROR(RIGHT(B7817,LEN(B7817)-FIND("@",B7817)),""))</f>
        <v/>
      </c>
      <c r="G7817">
        <f>IF(D7817="KEEP",COUNTIF($D$2:D7817,"KEEP"),"")</f>
        <v/>
      </c>
      <c r="H7817">
        <f>IF(D7817="REMOVE",COUNTIF($D$2:D7817,"REMOVE"),"")</f>
        <v/>
      </c>
      <c r="I7817">
        <f>IF(E7817="Gmail",COUNTIF($E$2:E7817,"Gmail"),"")</f>
        <v/>
      </c>
      <c r="J7817">
        <f>IF(E7817="Outlook",COUNTIF($E$2:E7817,"Outlook"),"")</f>
        <v/>
      </c>
      <c r="K7817">
        <f>IF(E7817="Domain",COUNTIF($E$2:E7817,"Domain"),"")</f>
        <v/>
      </c>
    </row>
    <row r="7818">
      <c r="A7818" s="2" t="n"/>
      <c r="B7818">
        <f>LOWER(TRIM(A7818))</f>
        <v/>
      </c>
      <c r="C7818">
        <f>IF(B7818="","",IFERROR(INDEX('Bad Patterns'!$A$2:$A$120,MATCH(1,INDEX(--ISNUMBER(SEARCH('Bad Patterns'!$A$2:$A$120,B7818)),0),0)),""))</f>
        <v/>
      </c>
      <c r="D7818">
        <f>IF(B7818="","",IF(C7818&lt;&gt;"","REMOVE","KEEP"))</f>
        <v/>
      </c>
      <c r="E7818">
        <f>IF(D7818&lt;&gt;"KEEP","",IF(RIGHT(B7818,10)="@gmail.com","Gmail",IF(OR(RIGHT(B7818,12)="@outlook.com",RIGHT(B7818,12)="@hotmail.com",RIGHT(B7818,9)="@live.com"),"Outlook","Domain")))</f>
        <v/>
      </c>
      <c r="F7818">
        <f>IF(B7818="","",IFERROR(RIGHT(B7818,LEN(B7818)-FIND("@",B7818)),""))</f>
        <v/>
      </c>
      <c r="G7818">
        <f>IF(D7818="KEEP",COUNTIF($D$2:D7818,"KEEP"),"")</f>
        <v/>
      </c>
      <c r="H7818">
        <f>IF(D7818="REMOVE",COUNTIF($D$2:D7818,"REMOVE"),"")</f>
        <v/>
      </c>
      <c r="I7818">
        <f>IF(E7818="Gmail",COUNTIF($E$2:E7818,"Gmail"),"")</f>
        <v/>
      </c>
      <c r="J7818">
        <f>IF(E7818="Outlook",COUNTIF($E$2:E7818,"Outlook"),"")</f>
        <v/>
      </c>
      <c r="K7818">
        <f>IF(E7818="Domain",COUNTIF($E$2:E7818,"Domain"),"")</f>
        <v/>
      </c>
    </row>
    <row r="7819">
      <c r="A7819" s="2" t="n"/>
      <c r="B7819">
        <f>LOWER(TRIM(A7819))</f>
        <v/>
      </c>
      <c r="C7819">
        <f>IF(B7819="","",IFERROR(INDEX('Bad Patterns'!$A$2:$A$120,MATCH(1,INDEX(--ISNUMBER(SEARCH('Bad Patterns'!$A$2:$A$120,B7819)),0),0)),""))</f>
        <v/>
      </c>
      <c r="D7819">
        <f>IF(B7819="","",IF(C7819&lt;&gt;"","REMOVE","KEEP"))</f>
        <v/>
      </c>
      <c r="E7819">
        <f>IF(D7819&lt;&gt;"KEEP","",IF(RIGHT(B7819,10)="@gmail.com","Gmail",IF(OR(RIGHT(B7819,12)="@outlook.com",RIGHT(B7819,12)="@hotmail.com",RIGHT(B7819,9)="@live.com"),"Outlook","Domain")))</f>
        <v/>
      </c>
      <c r="F7819">
        <f>IF(B7819="","",IFERROR(RIGHT(B7819,LEN(B7819)-FIND("@",B7819)),""))</f>
        <v/>
      </c>
      <c r="G7819">
        <f>IF(D7819="KEEP",COUNTIF($D$2:D7819,"KEEP"),"")</f>
        <v/>
      </c>
      <c r="H7819">
        <f>IF(D7819="REMOVE",COUNTIF($D$2:D7819,"REMOVE"),"")</f>
        <v/>
      </c>
      <c r="I7819">
        <f>IF(E7819="Gmail",COUNTIF($E$2:E7819,"Gmail"),"")</f>
        <v/>
      </c>
      <c r="J7819">
        <f>IF(E7819="Outlook",COUNTIF($E$2:E7819,"Outlook"),"")</f>
        <v/>
      </c>
      <c r="K7819">
        <f>IF(E7819="Domain",COUNTIF($E$2:E7819,"Domain"),"")</f>
        <v/>
      </c>
    </row>
    <row r="7820">
      <c r="A7820" s="2" t="n"/>
      <c r="B7820">
        <f>LOWER(TRIM(A7820))</f>
        <v/>
      </c>
      <c r="C7820">
        <f>IF(B7820="","",IFERROR(INDEX('Bad Patterns'!$A$2:$A$120,MATCH(1,INDEX(--ISNUMBER(SEARCH('Bad Patterns'!$A$2:$A$120,B7820)),0),0)),""))</f>
        <v/>
      </c>
      <c r="D7820">
        <f>IF(B7820="","",IF(C7820&lt;&gt;"","REMOVE","KEEP"))</f>
        <v/>
      </c>
      <c r="E7820">
        <f>IF(D7820&lt;&gt;"KEEP","",IF(RIGHT(B7820,10)="@gmail.com","Gmail",IF(OR(RIGHT(B7820,12)="@outlook.com",RIGHT(B7820,12)="@hotmail.com",RIGHT(B7820,9)="@live.com"),"Outlook","Domain")))</f>
        <v/>
      </c>
      <c r="F7820">
        <f>IF(B7820="","",IFERROR(RIGHT(B7820,LEN(B7820)-FIND("@",B7820)),""))</f>
        <v/>
      </c>
      <c r="G7820">
        <f>IF(D7820="KEEP",COUNTIF($D$2:D7820,"KEEP"),"")</f>
        <v/>
      </c>
      <c r="H7820">
        <f>IF(D7820="REMOVE",COUNTIF($D$2:D7820,"REMOVE"),"")</f>
        <v/>
      </c>
      <c r="I7820">
        <f>IF(E7820="Gmail",COUNTIF($E$2:E7820,"Gmail"),"")</f>
        <v/>
      </c>
      <c r="J7820">
        <f>IF(E7820="Outlook",COUNTIF($E$2:E7820,"Outlook"),"")</f>
        <v/>
      </c>
      <c r="K7820">
        <f>IF(E7820="Domain",COUNTIF($E$2:E7820,"Domain"),"")</f>
        <v/>
      </c>
    </row>
    <row r="7821">
      <c r="A7821" s="2" t="n"/>
      <c r="B7821">
        <f>LOWER(TRIM(A7821))</f>
        <v/>
      </c>
      <c r="C7821">
        <f>IF(B7821="","",IFERROR(INDEX('Bad Patterns'!$A$2:$A$120,MATCH(1,INDEX(--ISNUMBER(SEARCH('Bad Patterns'!$A$2:$A$120,B7821)),0),0)),""))</f>
        <v/>
      </c>
      <c r="D7821">
        <f>IF(B7821="","",IF(C7821&lt;&gt;"","REMOVE","KEEP"))</f>
        <v/>
      </c>
      <c r="E7821">
        <f>IF(D7821&lt;&gt;"KEEP","",IF(RIGHT(B7821,10)="@gmail.com","Gmail",IF(OR(RIGHT(B7821,12)="@outlook.com",RIGHT(B7821,12)="@hotmail.com",RIGHT(B7821,9)="@live.com"),"Outlook","Domain")))</f>
        <v/>
      </c>
      <c r="F7821">
        <f>IF(B7821="","",IFERROR(RIGHT(B7821,LEN(B7821)-FIND("@",B7821)),""))</f>
        <v/>
      </c>
      <c r="G7821">
        <f>IF(D7821="KEEP",COUNTIF($D$2:D7821,"KEEP"),"")</f>
        <v/>
      </c>
      <c r="H7821">
        <f>IF(D7821="REMOVE",COUNTIF($D$2:D7821,"REMOVE"),"")</f>
        <v/>
      </c>
      <c r="I7821">
        <f>IF(E7821="Gmail",COUNTIF($E$2:E7821,"Gmail"),"")</f>
        <v/>
      </c>
      <c r="J7821">
        <f>IF(E7821="Outlook",COUNTIF($E$2:E7821,"Outlook"),"")</f>
        <v/>
      </c>
      <c r="K7821">
        <f>IF(E7821="Domain",COUNTIF($E$2:E7821,"Domain"),"")</f>
        <v/>
      </c>
    </row>
    <row r="7822">
      <c r="A7822" s="2" t="n"/>
      <c r="B7822">
        <f>LOWER(TRIM(A7822))</f>
        <v/>
      </c>
      <c r="C7822">
        <f>IF(B7822="","",IFERROR(INDEX('Bad Patterns'!$A$2:$A$120,MATCH(1,INDEX(--ISNUMBER(SEARCH('Bad Patterns'!$A$2:$A$120,B7822)),0),0)),""))</f>
        <v/>
      </c>
      <c r="D7822">
        <f>IF(B7822="","",IF(C7822&lt;&gt;"","REMOVE","KEEP"))</f>
        <v/>
      </c>
      <c r="E7822">
        <f>IF(D7822&lt;&gt;"KEEP","",IF(RIGHT(B7822,10)="@gmail.com","Gmail",IF(OR(RIGHT(B7822,12)="@outlook.com",RIGHT(B7822,12)="@hotmail.com",RIGHT(B7822,9)="@live.com"),"Outlook","Domain")))</f>
        <v/>
      </c>
      <c r="F7822">
        <f>IF(B7822="","",IFERROR(RIGHT(B7822,LEN(B7822)-FIND("@",B7822)),""))</f>
        <v/>
      </c>
      <c r="G7822">
        <f>IF(D7822="KEEP",COUNTIF($D$2:D7822,"KEEP"),"")</f>
        <v/>
      </c>
      <c r="H7822">
        <f>IF(D7822="REMOVE",COUNTIF($D$2:D7822,"REMOVE"),"")</f>
        <v/>
      </c>
      <c r="I7822">
        <f>IF(E7822="Gmail",COUNTIF($E$2:E7822,"Gmail"),"")</f>
        <v/>
      </c>
      <c r="J7822">
        <f>IF(E7822="Outlook",COUNTIF($E$2:E7822,"Outlook"),"")</f>
        <v/>
      </c>
      <c r="K7822">
        <f>IF(E7822="Domain",COUNTIF($E$2:E7822,"Domain"),"")</f>
        <v/>
      </c>
    </row>
    <row r="7823">
      <c r="A7823" s="2" t="n"/>
      <c r="B7823">
        <f>LOWER(TRIM(A7823))</f>
        <v/>
      </c>
      <c r="C7823">
        <f>IF(B7823="","",IFERROR(INDEX('Bad Patterns'!$A$2:$A$120,MATCH(1,INDEX(--ISNUMBER(SEARCH('Bad Patterns'!$A$2:$A$120,B7823)),0),0)),""))</f>
        <v/>
      </c>
      <c r="D7823">
        <f>IF(B7823="","",IF(C7823&lt;&gt;"","REMOVE","KEEP"))</f>
        <v/>
      </c>
      <c r="E7823">
        <f>IF(D7823&lt;&gt;"KEEP","",IF(RIGHT(B7823,10)="@gmail.com","Gmail",IF(OR(RIGHT(B7823,12)="@outlook.com",RIGHT(B7823,12)="@hotmail.com",RIGHT(B7823,9)="@live.com"),"Outlook","Domain")))</f>
        <v/>
      </c>
      <c r="F7823">
        <f>IF(B7823="","",IFERROR(RIGHT(B7823,LEN(B7823)-FIND("@",B7823)),""))</f>
        <v/>
      </c>
      <c r="G7823">
        <f>IF(D7823="KEEP",COUNTIF($D$2:D7823,"KEEP"),"")</f>
        <v/>
      </c>
      <c r="H7823">
        <f>IF(D7823="REMOVE",COUNTIF($D$2:D7823,"REMOVE"),"")</f>
        <v/>
      </c>
      <c r="I7823">
        <f>IF(E7823="Gmail",COUNTIF($E$2:E7823,"Gmail"),"")</f>
        <v/>
      </c>
      <c r="J7823">
        <f>IF(E7823="Outlook",COUNTIF($E$2:E7823,"Outlook"),"")</f>
        <v/>
      </c>
      <c r="K7823">
        <f>IF(E7823="Domain",COUNTIF($E$2:E7823,"Domain"),"")</f>
        <v/>
      </c>
    </row>
    <row r="7824">
      <c r="A7824" s="2" t="n"/>
      <c r="B7824">
        <f>LOWER(TRIM(A7824))</f>
        <v/>
      </c>
      <c r="C7824">
        <f>IF(B7824="","",IFERROR(INDEX('Bad Patterns'!$A$2:$A$120,MATCH(1,INDEX(--ISNUMBER(SEARCH('Bad Patterns'!$A$2:$A$120,B7824)),0),0)),""))</f>
        <v/>
      </c>
      <c r="D7824">
        <f>IF(B7824="","",IF(C7824&lt;&gt;"","REMOVE","KEEP"))</f>
        <v/>
      </c>
      <c r="E7824">
        <f>IF(D7824&lt;&gt;"KEEP","",IF(RIGHT(B7824,10)="@gmail.com","Gmail",IF(OR(RIGHT(B7824,12)="@outlook.com",RIGHT(B7824,12)="@hotmail.com",RIGHT(B7824,9)="@live.com"),"Outlook","Domain")))</f>
        <v/>
      </c>
      <c r="F7824">
        <f>IF(B7824="","",IFERROR(RIGHT(B7824,LEN(B7824)-FIND("@",B7824)),""))</f>
        <v/>
      </c>
      <c r="G7824">
        <f>IF(D7824="KEEP",COUNTIF($D$2:D7824,"KEEP"),"")</f>
        <v/>
      </c>
      <c r="H7824">
        <f>IF(D7824="REMOVE",COUNTIF($D$2:D7824,"REMOVE"),"")</f>
        <v/>
      </c>
      <c r="I7824">
        <f>IF(E7824="Gmail",COUNTIF($E$2:E7824,"Gmail"),"")</f>
        <v/>
      </c>
      <c r="J7824">
        <f>IF(E7824="Outlook",COUNTIF($E$2:E7824,"Outlook"),"")</f>
        <v/>
      </c>
      <c r="K7824">
        <f>IF(E7824="Domain",COUNTIF($E$2:E7824,"Domain"),"")</f>
        <v/>
      </c>
    </row>
    <row r="7825">
      <c r="A7825" s="2" t="n"/>
      <c r="B7825">
        <f>LOWER(TRIM(A7825))</f>
        <v/>
      </c>
      <c r="C7825">
        <f>IF(B7825="","",IFERROR(INDEX('Bad Patterns'!$A$2:$A$120,MATCH(1,INDEX(--ISNUMBER(SEARCH('Bad Patterns'!$A$2:$A$120,B7825)),0),0)),""))</f>
        <v/>
      </c>
      <c r="D7825">
        <f>IF(B7825="","",IF(C7825&lt;&gt;"","REMOVE","KEEP"))</f>
        <v/>
      </c>
      <c r="E7825">
        <f>IF(D7825&lt;&gt;"KEEP","",IF(RIGHT(B7825,10)="@gmail.com","Gmail",IF(OR(RIGHT(B7825,12)="@outlook.com",RIGHT(B7825,12)="@hotmail.com",RIGHT(B7825,9)="@live.com"),"Outlook","Domain")))</f>
        <v/>
      </c>
      <c r="F7825">
        <f>IF(B7825="","",IFERROR(RIGHT(B7825,LEN(B7825)-FIND("@",B7825)),""))</f>
        <v/>
      </c>
      <c r="G7825">
        <f>IF(D7825="KEEP",COUNTIF($D$2:D7825,"KEEP"),"")</f>
        <v/>
      </c>
      <c r="H7825">
        <f>IF(D7825="REMOVE",COUNTIF($D$2:D7825,"REMOVE"),"")</f>
        <v/>
      </c>
      <c r="I7825">
        <f>IF(E7825="Gmail",COUNTIF($E$2:E7825,"Gmail"),"")</f>
        <v/>
      </c>
      <c r="J7825">
        <f>IF(E7825="Outlook",COUNTIF($E$2:E7825,"Outlook"),"")</f>
        <v/>
      </c>
      <c r="K7825">
        <f>IF(E7825="Domain",COUNTIF($E$2:E7825,"Domain"),"")</f>
        <v/>
      </c>
    </row>
    <row r="7826">
      <c r="A7826" s="2" t="n"/>
      <c r="B7826">
        <f>LOWER(TRIM(A7826))</f>
        <v/>
      </c>
      <c r="C7826">
        <f>IF(B7826="","",IFERROR(INDEX('Bad Patterns'!$A$2:$A$120,MATCH(1,INDEX(--ISNUMBER(SEARCH('Bad Patterns'!$A$2:$A$120,B7826)),0),0)),""))</f>
        <v/>
      </c>
      <c r="D7826">
        <f>IF(B7826="","",IF(C7826&lt;&gt;"","REMOVE","KEEP"))</f>
        <v/>
      </c>
      <c r="E7826">
        <f>IF(D7826&lt;&gt;"KEEP","",IF(RIGHT(B7826,10)="@gmail.com","Gmail",IF(OR(RIGHT(B7826,12)="@outlook.com",RIGHT(B7826,12)="@hotmail.com",RIGHT(B7826,9)="@live.com"),"Outlook","Domain")))</f>
        <v/>
      </c>
      <c r="F7826">
        <f>IF(B7826="","",IFERROR(RIGHT(B7826,LEN(B7826)-FIND("@",B7826)),""))</f>
        <v/>
      </c>
      <c r="G7826">
        <f>IF(D7826="KEEP",COUNTIF($D$2:D7826,"KEEP"),"")</f>
        <v/>
      </c>
      <c r="H7826">
        <f>IF(D7826="REMOVE",COUNTIF($D$2:D7826,"REMOVE"),"")</f>
        <v/>
      </c>
      <c r="I7826">
        <f>IF(E7826="Gmail",COUNTIF($E$2:E7826,"Gmail"),"")</f>
        <v/>
      </c>
      <c r="J7826">
        <f>IF(E7826="Outlook",COUNTIF($E$2:E7826,"Outlook"),"")</f>
        <v/>
      </c>
      <c r="K7826">
        <f>IF(E7826="Domain",COUNTIF($E$2:E7826,"Domain"),"")</f>
        <v/>
      </c>
    </row>
    <row r="7827">
      <c r="A7827" s="2" t="n"/>
      <c r="B7827">
        <f>LOWER(TRIM(A7827))</f>
        <v/>
      </c>
      <c r="C7827">
        <f>IF(B7827="","",IFERROR(INDEX('Bad Patterns'!$A$2:$A$120,MATCH(1,INDEX(--ISNUMBER(SEARCH('Bad Patterns'!$A$2:$A$120,B7827)),0),0)),""))</f>
        <v/>
      </c>
      <c r="D7827">
        <f>IF(B7827="","",IF(C7827&lt;&gt;"","REMOVE","KEEP"))</f>
        <v/>
      </c>
      <c r="E7827">
        <f>IF(D7827&lt;&gt;"KEEP","",IF(RIGHT(B7827,10)="@gmail.com","Gmail",IF(OR(RIGHT(B7827,12)="@outlook.com",RIGHT(B7827,12)="@hotmail.com",RIGHT(B7827,9)="@live.com"),"Outlook","Domain")))</f>
        <v/>
      </c>
      <c r="F7827">
        <f>IF(B7827="","",IFERROR(RIGHT(B7827,LEN(B7827)-FIND("@",B7827)),""))</f>
        <v/>
      </c>
      <c r="G7827">
        <f>IF(D7827="KEEP",COUNTIF($D$2:D7827,"KEEP"),"")</f>
        <v/>
      </c>
      <c r="H7827">
        <f>IF(D7827="REMOVE",COUNTIF($D$2:D7827,"REMOVE"),"")</f>
        <v/>
      </c>
      <c r="I7827">
        <f>IF(E7827="Gmail",COUNTIF($E$2:E7827,"Gmail"),"")</f>
        <v/>
      </c>
      <c r="J7827">
        <f>IF(E7827="Outlook",COUNTIF($E$2:E7827,"Outlook"),"")</f>
        <v/>
      </c>
      <c r="K7827">
        <f>IF(E7827="Domain",COUNTIF($E$2:E7827,"Domain"),"")</f>
        <v/>
      </c>
    </row>
    <row r="7828">
      <c r="A7828" s="2" t="n"/>
      <c r="B7828">
        <f>LOWER(TRIM(A7828))</f>
        <v/>
      </c>
      <c r="C7828">
        <f>IF(B7828="","",IFERROR(INDEX('Bad Patterns'!$A$2:$A$120,MATCH(1,INDEX(--ISNUMBER(SEARCH('Bad Patterns'!$A$2:$A$120,B7828)),0),0)),""))</f>
        <v/>
      </c>
      <c r="D7828">
        <f>IF(B7828="","",IF(C7828&lt;&gt;"","REMOVE","KEEP"))</f>
        <v/>
      </c>
      <c r="E7828">
        <f>IF(D7828&lt;&gt;"KEEP","",IF(RIGHT(B7828,10)="@gmail.com","Gmail",IF(OR(RIGHT(B7828,12)="@outlook.com",RIGHT(B7828,12)="@hotmail.com",RIGHT(B7828,9)="@live.com"),"Outlook","Domain")))</f>
        <v/>
      </c>
      <c r="F7828">
        <f>IF(B7828="","",IFERROR(RIGHT(B7828,LEN(B7828)-FIND("@",B7828)),""))</f>
        <v/>
      </c>
      <c r="G7828">
        <f>IF(D7828="KEEP",COUNTIF($D$2:D7828,"KEEP"),"")</f>
        <v/>
      </c>
      <c r="H7828">
        <f>IF(D7828="REMOVE",COUNTIF($D$2:D7828,"REMOVE"),"")</f>
        <v/>
      </c>
      <c r="I7828">
        <f>IF(E7828="Gmail",COUNTIF($E$2:E7828,"Gmail"),"")</f>
        <v/>
      </c>
      <c r="J7828">
        <f>IF(E7828="Outlook",COUNTIF($E$2:E7828,"Outlook"),"")</f>
        <v/>
      </c>
      <c r="K7828">
        <f>IF(E7828="Domain",COUNTIF($E$2:E7828,"Domain"),"")</f>
        <v/>
      </c>
    </row>
    <row r="7829">
      <c r="A7829" s="2" t="n"/>
      <c r="B7829">
        <f>LOWER(TRIM(A7829))</f>
        <v/>
      </c>
      <c r="C7829">
        <f>IF(B7829="","",IFERROR(INDEX('Bad Patterns'!$A$2:$A$120,MATCH(1,INDEX(--ISNUMBER(SEARCH('Bad Patterns'!$A$2:$A$120,B7829)),0),0)),""))</f>
        <v/>
      </c>
      <c r="D7829">
        <f>IF(B7829="","",IF(C7829&lt;&gt;"","REMOVE","KEEP"))</f>
        <v/>
      </c>
      <c r="E7829">
        <f>IF(D7829&lt;&gt;"KEEP","",IF(RIGHT(B7829,10)="@gmail.com","Gmail",IF(OR(RIGHT(B7829,12)="@outlook.com",RIGHT(B7829,12)="@hotmail.com",RIGHT(B7829,9)="@live.com"),"Outlook","Domain")))</f>
        <v/>
      </c>
      <c r="F7829">
        <f>IF(B7829="","",IFERROR(RIGHT(B7829,LEN(B7829)-FIND("@",B7829)),""))</f>
        <v/>
      </c>
      <c r="G7829">
        <f>IF(D7829="KEEP",COUNTIF($D$2:D7829,"KEEP"),"")</f>
        <v/>
      </c>
      <c r="H7829">
        <f>IF(D7829="REMOVE",COUNTIF($D$2:D7829,"REMOVE"),"")</f>
        <v/>
      </c>
      <c r="I7829">
        <f>IF(E7829="Gmail",COUNTIF($E$2:E7829,"Gmail"),"")</f>
        <v/>
      </c>
      <c r="J7829">
        <f>IF(E7829="Outlook",COUNTIF($E$2:E7829,"Outlook"),"")</f>
        <v/>
      </c>
      <c r="K7829">
        <f>IF(E7829="Domain",COUNTIF($E$2:E7829,"Domain"),"")</f>
        <v/>
      </c>
    </row>
    <row r="7830">
      <c r="A7830" s="2" t="n"/>
      <c r="B7830">
        <f>LOWER(TRIM(A7830))</f>
        <v/>
      </c>
      <c r="C7830">
        <f>IF(B7830="","",IFERROR(INDEX('Bad Patterns'!$A$2:$A$120,MATCH(1,INDEX(--ISNUMBER(SEARCH('Bad Patterns'!$A$2:$A$120,B7830)),0),0)),""))</f>
        <v/>
      </c>
      <c r="D7830">
        <f>IF(B7830="","",IF(C7830&lt;&gt;"","REMOVE","KEEP"))</f>
        <v/>
      </c>
      <c r="E7830">
        <f>IF(D7830&lt;&gt;"KEEP","",IF(RIGHT(B7830,10)="@gmail.com","Gmail",IF(OR(RIGHT(B7830,12)="@outlook.com",RIGHT(B7830,12)="@hotmail.com",RIGHT(B7830,9)="@live.com"),"Outlook","Domain")))</f>
        <v/>
      </c>
      <c r="F7830">
        <f>IF(B7830="","",IFERROR(RIGHT(B7830,LEN(B7830)-FIND("@",B7830)),""))</f>
        <v/>
      </c>
      <c r="G7830">
        <f>IF(D7830="KEEP",COUNTIF($D$2:D7830,"KEEP"),"")</f>
        <v/>
      </c>
      <c r="H7830">
        <f>IF(D7830="REMOVE",COUNTIF($D$2:D7830,"REMOVE"),"")</f>
        <v/>
      </c>
      <c r="I7830">
        <f>IF(E7830="Gmail",COUNTIF($E$2:E7830,"Gmail"),"")</f>
        <v/>
      </c>
      <c r="J7830">
        <f>IF(E7830="Outlook",COUNTIF($E$2:E7830,"Outlook"),"")</f>
        <v/>
      </c>
      <c r="K7830">
        <f>IF(E7830="Domain",COUNTIF($E$2:E7830,"Domain"),"")</f>
        <v/>
      </c>
    </row>
    <row r="7831">
      <c r="A7831" s="2" t="n"/>
      <c r="B7831">
        <f>LOWER(TRIM(A7831))</f>
        <v/>
      </c>
      <c r="C7831">
        <f>IF(B7831="","",IFERROR(INDEX('Bad Patterns'!$A$2:$A$120,MATCH(1,INDEX(--ISNUMBER(SEARCH('Bad Patterns'!$A$2:$A$120,B7831)),0),0)),""))</f>
        <v/>
      </c>
      <c r="D7831">
        <f>IF(B7831="","",IF(C7831&lt;&gt;"","REMOVE","KEEP"))</f>
        <v/>
      </c>
      <c r="E7831">
        <f>IF(D7831&lt;&gt;"KEEP","",IF(RIGHT(B7831,10)="@gmail.com","Gmail",IF(OR(RIGHT(B7831,12)="@outlook.com",RIGHT(B7831,12)="@hotmail.com",RIGHT(B7831,9)="@live.com"),"Outlook","Domain")))</f>
        <v/>
      </c>
      <c r="F7831">
        <f>IF(B7831="","",IFERROR(RIGHT(B7831,LEN(B7831)-FIND("@",B7831)),""))</f>
        <v/>
      </c>
      <c r="G7831">
        <f>IF(D7831="KEEP",COUNTIF($D$2:D7831,"KEEP"),"")</f>
        <v/>
      </c>
      <c r="H7831">
        <f>IF(D7831="REMOVE",COUNTIF($D$2:D7831,"REMOVE"),"")</f>
        <v/>
      </c>
      <c r="I7831">
        <f>IF(E7831="Gmail",COUNTIF($E$2:E7831,"Gmail"),"")</f>
        <v/>
      </c>
      <c r="J7831">
        <f>IF(E7831="Outlook",COUNTIF($E$2:E7831,"Outlook"),"")</f>
        <v/>
      </c>
      <c r="K7831">
        <f>IF(E7831="Domain",COUNTIF($E$2:E7831,"Domain"),"")</f>
        <v/>
      </c>
    </row>
    <row r="7832">
      <c r="A7832" s="2" t="n"/>
      <c r="B7832">
        <f>LOWER(TRIM(A7832))</f>
        <v/>
      </c>
      <c r="C7832">
        <f>IF(B7832="","",IFERROR(INDEX('Bad Patterns'!$A$2:$A$120,MATCH(1,INDEX(--ISNUMBER(SEARCH('Bad Patterns'!$A$2:$A$120,B7832)),0),0)),""))</f>
        <v/>
      </c>
      <c r="D7832">
        <f>IF(B7832="","",IF(C7832&lt;&gt;"","REMOVE","KEEP"))</f>
        <v/>
      </c>
      <c r="E7832">
        <f>IF(D7832&lt;&gt;"KEEP","",IF(RIGHT(B7832,10)="@gmail.com","Gmail",IF(OR(RIGHT(B7832,12)="@outlook.com",RIGHT(B7832,12)="@hotmail.com",RIGHT(B7832,9)="@live.com"),"Outlook","Domain")))</f>
        <v/>
      </c>
      <c r="F7832">
        <f>IF(B7832="","",IFERROR(RIGHT(B7832,LEN(B7832)-FIND("@",B7832)),""))</f>
        <v/>
      </c>
      <c r="G7832">
        <f>IF(D7832="KEEP",COUNTIF($D$2:D7832,"KEEP"),"")</f>
        <v/>
      </c>
      <c r="H7832">
        <f>IF(D7832="REMOVE",COUNTIF($D$2:D7832,"REMOVE"),"")</f>
        <v/>
      </c>
      <c r="I7832">
        <f>IF(E7832="Gmail",COUNTIF($E$2:E7832,"Gmail"),"")</f>
        <v/>
      </c>
      <c r="J7832">
        <f>IF(E7832="Outlook",COUNTIF($E$2:E7832,"Outlook"),"")</f>
        <v/>
      </c>
      <c r="K7832">
        <f>IF(E7832="Domain",COUNTIF($E$2:E7832,"Domain"),"")</f>
        <v/>
      </c>
    </row>
    <row r="7833">
      <c r="A7833" s="2" t="n"/>
      <c r="B7833">
        <f>LOWER(TRIM(A7833))</f>
        <v/>
      </c>
      <c r="C7833">
        <f>IF(B7833="","",IFERROR(INDEX('Bad Patterns'!$A$2:$A$120,MATCH(1,INDEX(--ISNUMBER(SEARCH('Bad Patterns'!$A$2:$A$120,B7833)),0),0)),""))</f>
        <v/>
      </c>
      <c r="D7833">
        <f>IF(B7833="","",IF(C7833&lt;&gt;"","REMOVE","KEEP"))</f>
        <v/>
      </c>
      <c r="E7833">
        <f>IF(D7833&lt;&gt;"KEEP","",IF(RIGHT(B7833,10)="@gmail.com","Gmail",IF(OR(RIGHT(B7833,12)="@outlook.com",RIGHT(B7833,12)="@hotmail.com",RIGHT(B7833,9)="@live.com"),"Outlook","Domain")))</f>
        <v/>
      </c>
      <c r="F7833">
        <f>IF(B7833="","",IFERROR(RIGHT(B7833,LEN(B7833)-FIND("@",B7833)),""))</f>
        <v/>
      </c>
      <c r="G7833">
        <f>IF(D7833="KEEP",COUNTIF($D$2:D7833,"KEEP"),"")</f>
        <v/>
      </c>
      <c r="H7833">
        <f>IF(D7833="REMOVE",COUNTIF($D$2:D7833,"REMOVE"),"")</f>
        <v/>
      </c>
      <c r="I7833">
        <f>IF(E7833="Gmail",COUNTIF($E$2:E7833,"Gmail"),"")</f>
        <v/>
      </c>
      <c r="J7833">
        <f>IF(E7833="Outlook",COUNTIF($E$2:E7833,"Outlook"),"")</f>
        <v/>
      </c>
      <c r="K7833">
        <f>IF(E7833="Domain",COUNTIF($E$2:E7833,"Domain"),"")</f>
        <v/>
      </c>
    </row>
    <row r="7834">
      <c r="A7834" s="2" t="n"/>
      <c r="B7834">
        <f>LOWER(TRIM(A7834))</f>
        <v/>
      </c>
      <c r="C7834">
        <f>IF(B7834="","",IFERROR(INDEX('Bad Patterns'!$A$2:$A$120,MATCH(1,INDEX(--ISNUMBER(SEARCH('Bad Patterns'!$A$2:$A$120,B7834)),0),0)),""))</f>
        <v/>
      </c>
      <c r="D7834">
        <f>IF(B7834="","",IF(C7834&lt;&gt;"","REMOVE","KEEP"))</f>
        <v/>
      </c>
      <c r="E7834">
        <f>IF(D7834&lt;&gt;"KEEP","",IF(RIGHT(B7834,10)="@gmail.com","Gmail",IF(OR(RIGHT(B7834,12)="@outlook.com",RIGHT(B7834,12)="@hotmail.com",RIGHT(B7834,9)="@live.com"),"Outlook","Domain")))</f>
        <v/>
      </c>
      <c r="F7834">
        <f>IF(B7834="","",IFERROR(RIGHT(B7834,LEN(B7834)-FIND("@",B7834)),""))</f>
        <v/>
      </c>
      <c r="G7834">
        <f>IF(D7834="KEEP",COUNTIF($D$2:D7834,"KEEP"),"")</f>
        <v/>
      </c>
      <c r="H7834">
        <f>IF(D7834="REMOVE",COUNTIF($D$2:D7834,"REMOVE"),"")</f>
        <v/>
      </c>
      <c r="I7834">
        <f>IF(E7834="Gmail",COUNTIF($E$2:E7834,"Gmail"),"")</f>
        <v/>
      </c>
      <c r="J7834">
        <f>IF(E7834="Outlook",COUNTIF($E$2:E7834,"Outlook"),"")</f>
        <v/>
      </c>
      <c r="K7834">
        <f>IF(E7834="Domain",COUNTIF($E$2:E7834,"Domain"),"")</f>
        <v/>
      </c>
    </row>
    <row r="7835">
      <c r="A7835" s="2" t="n"/>
      <c r="B7835">
        <f>LOWER(TRIM(A7835))</f>
        <v/>
      </c>
      <c r="C7835">
        <f>IF(B7835="","",IFERROR(INDEX('Bad Patterns'!$A$2:$A$120,MATCH(1,INDEX(--ISNUMBER(SEARCH('Bad Patterns'!$A$2:$A$120,B7835)),0),0)),""))</f>
        <v/>
      </c>
      <c r="D7835">
        <f>IF(B7835="","",IF(C7835&lt;&gt;"","REMOVE","KEEP"))</f>
        <v/>
      </c>
      <c r="E7835">
        <f>IF(D7835&lt;&gt;"KEEP","",IF(RIGHT(B7835,10)="@gmail.com","Gmail",IF(OR(RIGHT(B7835,12)="@outlook.com",RIGHT(B7835,12)="@hotmail.com",RIGHT(B7835,9)="@live.com"),"Outlook","Domain")))</f>
        <v/>
      </c>
      <c r="F7835">
        <f>IF(B7835="","",IFERROR(RIGHT(B7835,LEN(B7835)-FIND("@",B7835)),""))</f>
        <v/>
      </c>
      <c r="G7835">
        <f>IF(D7835="KEEP",COUNTIF($D$2:D7835,"KEEP"),"")</f>
        <v/>
      </c>
      <c r="H7835">
        <f>IF(D7835="REMOVE",COUNTIF($D$2:D7835,"REMOVE"),"")</f>
        <v/>
      </c>
      <c r="I7835">
        <f>IF(E7835="Gmail",COUNTIF($E$2:E7835,"Gmail"),"")</f>
        <v/>
      </c>
      <c r="J7835">
        <f>IF(E7835="Outlook",COUNTIF($E$2:E7835,"Outlook"),"")</f>
        <v/>
      </c>
      <c r="K7835">
        <f>IF(E7835="Domain",COUNTIF($E$2:E7835,"Domain"),"")</f>
        <v/>
      </c>
    </row>
    <row r="7836">
      <c r="A7836" s="2" t="n"/>
      <c r="B7836">
        <f>LOWER(TRIM(A7836))</f>
        <v/>
      </c>
      <c r="C7836">
        <f>IF(B7836="","",IFERROR(INDEX('Bad Patterns'!$A$2:$A$120,MATCH(1,INDEX(--ISNUMBER(SEARCH('Bad Patterns'!$A$2:$A$120,B7836)),0),0)),""))</f>
        <v/>
      </c>
      <c r="D7836">
        <f>IF(B7836="","",IF(C7836&lt;&gt;"","REMOVE","KEEP"))</f>
        <v/>
      </c>
      <c r="E7836">
        <f>IF(D7836&lt;&gt;"KEEP","",IF(RIGHT(B7836,10)="@gmail.com","Gmail",IF(OR(RIGHT(B7836,12)="@outlook.com",RIGHT(B7836,12)="@hotmail.com",RIGHT(B7836,9)="@live.com"),"Outlook","Domain")))</f>
        <v/>
      </c>
      <c r="F7836">
        <f>IF(B7836="","",IFERROR(RIGHT(B7836,LEN(B7836)-FIND("@",B7836)),""))</f>
        <v/>
      </c>
      <c r="G7836">
        <f>IF(D7836="KEEP",COUNTIF($D$2:D7836,"KEEP"),"")</f>
        <v/>
      </c>
      <c r="H7836">
        <f>IF(D7836="REMOVE",COUNTIF($D$2:D7836,"REMOVE"),"")</f>
        <v/>
      </c>
      <c r="I7836">
        <f>IF(E7836="Gmail",COUNTIF($E$2:E7836,"Gmail"),"")</f>
        <v/>
      </c>
      <c r="J7836">
        <f>IF(E7836="Outlook",COUNTIF($E$2:E7836,"Outlook"),"")</f>
        <v/>
      </c>
      <c r="K7836">
        <f>IF(E7836="Domain",COUNTIF($E$2:E7836,"Domain"),"")</f>
        <v/>
      </c>
    </row>
    <row r="7837">
      <c r="A7837" s="2" t="n"/>
      <c r="B7837">
        <f>LOWER(TRIM(A7837))</f>
        <v/>
      </c>
      <c r="C7837">
        <f>IF(B7837="","",IFERROR(INDEX('Bad Patterns'!$A$2:$A$120,MATCH(1,INDEX(--ISNUMBER(SEARCH('Bad Patterns'!$A$2:$A$120,B7837)),0),0)),""))</f>
        <v/>
      </c>
      <c r="D7837">
        <f>IF(B7837="","",IF(C7837&lt;&gt;"","REMOVE","KEEP"))</f>
        <v/>
      </c>
      <c r="E7837">
        <f>IF(D7837&lt;&gt;"KEEP","",IF(RIGHT(B7837,10)="@gmail.com","Gmail",IF(OR(RIGHT(B7837,12)="@outlook.com",RIGHT(B7837,12)="@hotmail.com",RIGHT(B7837,9)="@live.com"),"Outlook","Domain")))</f>
        <v/>
      </c>
      <c r="F7837">
        <f>IF(B7837="","",IFERROR(RIGHT(B7837,LEN(B7837)-FIND("@",B7837)),""))</f>
        <v/>
      </c>
      <c r="G7837">
        <f>IF(D7837="KEEP",COUNTIF($D$2:D7837,"KEEP"),"")</f>
        <v/>
      </c>
      <c r="H7837">
        <f>IF(D7837="REMOVE",COUNTIF($D$2:D7837,"REMOVE"),"")</f>
        <v/>
      </c>
      <c r="I7837">
        <f>IF(E7837="Gmail",COUNTIF($E$2:E7837,"Gmail"),"")</f>
        <v/>
      </c>
      <c r="J7837">
        <f>IF(E7837="Outlook",COUNTIF($E$2:E7837,"Outlook"),"")</f>
        <v/>
      </c>
      <c r="K7837">
        <f>IF(E7837="Domain",COUNTIF($E$2:E7837,"Domain"),"")</f>
        <v/>
      </c>
    </row>
    <row r="7838">
      <c r="A7838" s="2" t="n"/>
      <c r="B7838">
        <f>LOWER(TRIM(A7838))</f>
        <v/>
      </c>
      <c r="C7838">
        <f>IF(B7838="","",IFERROR(INDEX('Bad Patterns'!$A$2:$A$120,MATCH(1,INDEX(--ISNUMBER(SEARCH('Bad Patterns'!$A$2:$A$120,B7838)),0),0)),""))</f>
        <v/>
      </c>
      <c r="D7838">
        <f>IF(B7838="","",IF(C7838&lt;&gt;"","REMOVE","KEEP"))</f>
        <v/>
      </c>
      <c r="E7838">
        <f>IF(D7838&lt;&gt;"KEEP","",IF(RIGHT(B7838,10)="@gmail.com","Gmail",IF(OR(RIGHT(B7838,12)="@outlook.com",RIGHT(B7838,12)="@hotmail.com",RIGHT(B7838,9)="@live.com"),"Outlook","Domain")))</f>
        <v/>
      </c>
      <c r="F7838">
        <f>IF(B7838="","",IFERROR(RIGHT(B7838,LEN(B7838)-FIND("@",B7838)),""))</f>
        <v/>
      </c>
      <c r="G7838">
        <f>IF(D7838="KEEP",COUNTIF($D$2:D7838,"KEEP"),"")</f>
        <v/>
      </c>
      <c r="H7838">
        <f>IF(D7838="REMOVE",COUNTIF($D$2:D7838,"REMOVE"),"")</f>
        <v/>
      </c>
      <c r="I7838">
        <f>IF(E7838="Gmail",COUNTIF($E$2:E7838,"Gmail"),"")</f>
        <v/>
      </c>
      <c r="J7838">
        <f>IF(E7838="Outlook",COUNTIF($E$2:E7838,"Outlook"),"")</f>
        <v/>
      </c>
      <c r="K7838">
        <f>IF(E7838="Domain",COUNTIF($E$2:E7838,"Domain"),"")</f>
        <v/>
      </c>
    </row>
    <row r="7839">
      <c r="A7839" s="2" t="n"/>
      <c r="B7839">
        <f>LOWER(TRIM(A7839))</f>
        <v/>
      </c>
      <c r="C7839">
        <f>IF(B7839="","",IFERROR(INDEX('Bad Patterns'!$A$2:$A$120,MATCH(1,INDEX(--ISNUMBER(SEARCH('Bad Patterns'!$A$2:$A$120,B7839)),0),0)),""))</f>
        <v/>
      </c>
      <c r="D7839">
        <f>IF(B7839="","",IF(C7839&lt;&gt;"","REMOVE","KEEP"))</f>
        <v/>
      </c>
      <c r="E7839">
        <f>IF(D7839&lt;&gt;"KEEP","",IF(RIGHT(B7839,10)="@gmail.com","Gmail",IF(OR(RIGHT(B7839,12)="@outlook.com",RIGHT(B7839,12)="@hotmail.com",RIGHT(B7839,9)="@live.com"),"Outlook","Domain")))</f>
        <v/>
      </c>
      <c r="F7839">
        <f>IF(B7839="","",IFERROR(RIGHT(B7839,LEN(B7839)-FIND("@",B7839)),""))</f>
        <v/>
      </c>
      <c r="G7839">
        <f>IF(D7839="KEEP",COUNTIF($D$2:D7839,"KEEP"),"")</f>
        <v/>
      </c>
      <c r="H7839">
        <f>IF(D7839="REMOVE",COUNTIF($D$2:D7839,"REMOVE"),"")</f>
        <v/>
      </c>
      <c r="I7839">
        <f>IF(E7839="Gmail",COUNTIF($E$2:E7839,"Gmail"),"")</f>
        <v/>
      </c>
      <c r="J7839">
        <f>IF(E7839="Outlook",COUNTIF($E$2:E7839,"Outlook"),"")</f>
        <v/>
      </c>
      <c r="K7839">
        <f>IF(E7839="Domain",COUNTIF($E$2:E7839,"Domain"),"")</f>
        <v/>
      </c>
    </row>
    <row r="7840">
      <c r="A7840" s="2" t="n"/>
      <c r="B7840">
        <f>LOWER(TRIM(A7840))</f>
        <v/>
      </c>
      <c r="C7840">
        <f>IF(B7840="","",IFERROR(INDEX('Bad Patterns'!$A$2:$A$120,MATCH(1,INDEX(--ISNUMBER(SEARCH('Bad Patterns'!$A$2:$A$120,B7840)),0),0)),""))</f>
        <v/>
      </c>
      <c r="D7840">
        <f>IF(B7840="","",IF(C7840&lt;&gt;"","REMOVE","KEEP"))</f>
        <v/>
      </c>
      <c r="E7840">
        <f>IF(D7840&lt;&gt;"KEEP","",IF(RIGHT(B7840,10)="@gmail.com","Gmail",IF(OR(RIGHT(B7840,12)="@outlook.com",RIGHT(B7840,12)="@hotmail.com",RIGHT(B7840,9)="@live.com"),"Outlook","Domain")))</f>
        <v/>
      </c>
      <c r="F7840">
        <f>IF(B7840="","",IFERROR(RIGHT(B7840,LEN(B7840)-FIND("@",B7840)),""))</f>
        <v/>
      </c>
      <c r="G7840">
        <f>IF(D7840="KEEP",COUNTIF($D$2:D7840,"KEEP"),"")</f>
        <v/>
      </c>
      <c r="H7840">
        <f>IF(D7840="REMOVE",COUNTIF($D$2:D7840,"REMOVE"),"")</f>
        <v/>
      </c>
      <c r="I7840">
        <f>IF(E7840="Gmail",COUNTIF($E$2:E7840,"Gmail"),"")</f>
        <v/>
      </c>
      <c r="J7840">
        <f>IF(E7840="Outlook",COUNTIF($E$2:E7840,"Outlook"),"")</f>
        <v/>
      </c>
      <c r="K7840">
        <f>IF(E7840="Domain",COUNTIF($E$2:E7840,"Domain"),"")</f>
        <v/>
      </c>
    </row>
    <row r="7841">
      <c r="A7841" s="2" t="n"/>
      <c r="B7841">
        <f>LOWER(TRIM(A7841))</f>
        <v/>
      </c>
      <c r="C7841">
        <f>IF(B7841="","",IFERROR(INDEX('Bad Patterns'!$A$2:$A$120,MATCH(1,INDEX(--ISNUMBER(SEARCH('Bad Patterns'!$A$2:$A$120,B7841)),0),0)),""))</f>
        <v/>
      </c>
      <c r="D7841">
        <f>IF(B7841="","",IF(C7841&lt;&gt;"","REMOVE","KEEP"))</f>
        <v/>
      </c>
      <c r="E7841">
        <f>IF(D7841&lt;&gt;"KEEP","",IF(RIGHT(B7841,10)="@gmail.com","Gmail",IF(OR(RIGHT(B7841,12)="@outlook.com",RIGHT(B7841,12)="@hotmail.com",RIGHT(B7841,9)="@live.com"),"Outlook","Domain")))</f>
        <v/>
      </c>
      <c r="F7841">
        <f>IF(B7841="","",IFERROR(RIGHT(B7841,LEN(B7841)-FIND("@",B7841)),""))</f>
        <v/>
      </c>
      <c r="G7841">
        <f>IF(D7841="KEEP",COUNTIF($D$2:D7841,"KEEP"),"")</f>
        <v/>
      </c>
      <c r="H7841">
        <f>IF(D7841="REMOVE",COUNTIF($D$2:D7841,"REMOVE"),"")</f>
        <v/>
      </c>
      <c r="I7841">
        <f>IF(E7841="Gmail",COUNTIF($E$2:E7841,"Gmail"),"")</f>
        <v/>
      </c>
      <c r="J7841">
        <f>IF(E7841="Outlook",COUNTIF($E$2:E7841,"Outlook"),"")</f>
        <v/>
      </c>
      <c r="K7841">
        <f>IF(E7841="Domain",COUNTIF($E$2:E7841,"Domain"),"")</f>
        <v/>
      </c>
    </row>
    <row r="7842">
      <c r="A7842" s="2" t="n"/>
      <c r="B7842">
        <f>LOWER(TRIM(A7842))</f>
        <v/>
      </c>
      <c r="C7842">
        <f>IF(B7842="","",IFERROR(INDEX('Bad Patterns'!$A$2:$A$120,MATCH(1,INDEX(--ISNUMBER(SEARCH('Bad Patterns'!$A$2:$A$120,B7842)),0),0)),""))</f>
        <v/>
      </c>
      <c r="D7842">
        <f>IF(B7842="","",IF(C7842&lt;&gt;"","REMOVE","KEEP"))</f>
        <v/>
      </c>
      <c r="E7842">
        <f>IF(D7842&lt;&gt;"KEEP","",IF(RIGHT(B7842,10)="@gmail.com","Gmail",IF(OR(RIGHT(B7842,12)="@outlook.com",RIGHT(B7842,12)="@hotmail.com",RIGHT(B7842,9)="@live.com"),"Outlook","Domain")))</f>
        <v/>
      </c>
      <c r="F7842">
        <f>IF(B7842="","",IFERROR(RIGHT(B7842,LEN(B7842)-FIND("@",B7842)),""))</f>
        <v/>
      </c>
      <c r="G7842">
        <f>IF(D7842="KEEP",COUNTIF($D$2:D7842,"KEEP"),"")</f>
        <v/>
      </c>
      <c r="H7842">
        <f>IF(D7842="REMOVE",COUNTIF($D$2:D7842,"REMOVE"),"")</f>
        <v/>
      </c>
      <c r="I7842">
        <f>IF(E7842="Gmail",COUNTIF($E$2:E7842,"Gmail"),"")</f>
        <v/>
      </c>
      <c r="J7842">
        <f>IF(E7842="Outlook",COUNTIF($E$2:E7842,"Outlook"),"")</f>
        <v/>
      </c>
      <c r="K7842">
        <f>IF(E7842="Domain",COUNTIF($E$2:E7842,"Domain"),"")</f>
        <v/>
      </c>
    </row>
    <row r="7843">
      <c r="A7843" s="2" t="n"/>
      <c r="B7843">
        <f>LOWER(TRIM(A7843))</f>
        <v/>
      </c>
      <c r="C7843">
        <f>IF(B7843="","",IFERROR(INDEX('Bad Patterns'!$A$2:$A$120,MATCH(1,INDEX(--ISNUMBER(SEARCH('Bad Patterns'!$A$2:$A$120,B7843)),0),0)),""))</f>
        <v/>
      </c>
      <c r="D7843">
        <f>IF(B7843="","",IF(C7843&lt;&gt;"","REMOVE","KEEP"))</f>
        <v/>
      </c>
      <c r="E7843">
        <f>IF(D7843&lt;&gt;"KEEP","",IF(RIGHT(B7843,10)="@gmail.com","Gmail",IF(OR(RIGHT(B7843,12)="@outlook.com",RIGHT(B7843,12)="@hotmail.com",RIGHT(B7843,9)="@live.com"),"Outlook","Domain")))</f>
        <v/>
      </c>
      <c r="F7843">
        <f>IF(B7843="","",IFERROR(RIGHT(B7843,LEN(B7843)-FIND("@",B7843)),""))</f>
        <v/>
      </c>
      <c r="G7843">
        <f>IF(D7843="KEEP",COUNTIF($D$2:D7843,"KEEP"),"")</f>
        <v/>
      </c>
      <c r="H7843">
        <f>IF(D7843="REMOVE",COUNTIF($D$2:D7843,"REMOVE"),"")</f>
        <v/>
      </c>
      <c r="I7843">
        <f>IF(E7843="Gmail",COUNTIF($E$2:E7843,"Gmail"),"")</f>
        <v/>
      </c>
      <c r="J7843">
        <f>IF(E7843="Outlook",COUNTIF($E$2:E7843,"Outlook"),"")</f>
        <v/>
      </c>
      <c r="K7843">
        <f>IF(E7843="Domain",COUNTIF($E$2:E7843,"Domain"),"")</f>
        <v/>
      </c>
    </row>
    <row r="7844">
      <c r="A7844" s="2" t="n"/>
      <c r="B7844">
        <f>LOWER(TRIM(A7844))</f>
        <v/>
      </c>
      <c r="C7844">
        <f>IF(B7844="","",IFERROR(INDEX('Bad Patterns'!$A$2:$A$120,MATCH(1,INDEX(--ISNUMBER(SEARCH('Bad Patterns'!$A$2:$A$120,B7844)),0),0)),""))</f>
        <v/>
      </c>
      <c r="D7844">
        <f>IF(B7844="","",IF(C7844&lt;&gt;"","REMOVE","KEEP"))</f>
        <v/>
      </c>
      <c r="E7844">
        <f>IF(D7844&lt;&gt;"KEEP","",IF(RIGHT(B7844,10)="@gmail.com","Gmail",IF(OR(RIGHT(B7844,12)="@outlook.com",RIGHT(B7844,12)="@hotmail.com",RIGHT(B7844,9)="@live.com"),"Outlook","Domain")))</f>
        <v/>
      </c>
      <c r="F7844">
        <f>IF(B7844="","",IFERROR(RIGHT(B7844,LEN(B7844)-FIND("@",B7844)),""))</f>
        <v/>
      </c>
      <c r="G7844">
        <f>IF(D7844="KEEP",COUNTIF($D$2:D7844,"KEEP"),"")</f>
        <v/>
      </c>
      <c r="H7844">
        <f>IF(D7844="REMOVE",COUNTIF($D$2:D7844,"REMOVE"),"")</f>
        <v/>
      </c>
      <c r="I7844">
        <f>IF(E7844="Gmail",COUNTIF($E$2:E7844,"Gmail"),"")</f>
        <v/>
      </c>
      <c r="J7844">
        <f>IF(E7844="Outlook",COUNTIF($E$2:E7844,"Outlook"),"")</f>
        <v/>
      </c>
      <c r="K7844">
        <f>IF(E7844="Domain",COUNTIF($E$2:E7844,"Domain"),"")</f>
        <v/>
      </c>
    </row>
    <row r="7845">
      <c r="A7845" s="2" t="n"/>
      <c r="B7845">
        <f>LOWER(TRIM(A7845))</f>
        <v/>
      </c>
      <c r="C7845">
        <f>IF(B7845="","",IFERROR(INDEX('Bad Patterns'!$A$2:$A$120,MATCH(1,INDEX(--ISNUMBER(SEARCH('Bad Patterns'!$A$2:$A$120,B7845)),0),0)),""))</f>
        <v/>
      </c>
      <c r="D7845">
        <f>IF(B7845="","",IF(C7845&lt;&gt;"","REMOVE","KEEP"))</f>
        <v/>
      </c>
      <c r="E7845">
        <f>IF(D7845&lt;&gt;"KEEP","",IF(RIGHT(B7845,10)="@gmail.com","Gmail",IF(OR(RIGHT(B7845,12)="@outlook.com",RIGHT(B7845,12)="@hotmail.com",RIGHT(B7845,9)="@live.com"),"Outlook","Domain")))</f>
        <v/>
      </c>
      <c r="F7845">
        <f>IF(B7845="","",IFERROR(RIGHT(B7845,LEN(B7845)-FIND("@",B7845)),""))</f>
        <v/>
      </c>
      <c r="G7845">
        <f>IF(D7845="KEEP",COUNTIF($D$2:D7845,"KEEP"),"")</f>
        <v/>
      </c>
      <c r="H7845">
        <f>IF(D7845="REMOVE",COUNTIF($D$2:D7845,"REMOVE"),"")</f>
        <v/>
      </c>
      <c r="I7845">
        <f>IF(E7845="Gmail",COUNTIF($E$2:E7845,"Gmail"),"")</f>
        <v/>
      </c>
      <c r="J7845">
        <f>IF(E7845="Outlook",COUNTIF($E$2:E7845,"Outlook"),"")</f>
        <v/>
      </c>
      <c r="K7845">
        <f>IF(E7845="Domain",COUNTIF($E$2:E7845,"Domain"),"")</f>
        <v/>
      </c>
    </row>
    <row r="7846">
      <c r="A7846" s="2" t="n"/>
      <c r="B7846">
        <f>LOWER(TRIM(A7846))</f>
        <v/>
      </c>
      <c r="C7846">
        <f>IF(B7846="","",IFERROR(INDEX('Bad Patterns'!$A$2:$A$120,MATCH(1,INDEX(--ISNUMBER(SEARCH('Bad Patterns'!$A$2:$A$120,B7846)),0),0)),""))</f>
        <v/>
      </c>
      <c r="D7846">
        <f>IF(B7846="","",IF(C7846&lt;&gt;"","REMOVE","KEEP"))</f>
        <v/>
      </c>
      <c r="E7846">
        <f>IF(D7846&lt;&gt;"KEEP","",IF(RIGHT(B7846,10)="@gmail.com","Gmail",IF(OR(RIGHT(B7846,12)="@outlook.com",RIGHT(B7846,12)="@hotmail.com",RIGHT(B7846,9)="@live.com"),"Outlook","Domain")))</f>
        <v/>
      </c>
      <c r="F7846">
        <f>IF(B7846="","",IFERROR(RIGHT(B7846,LEN(B7846)-FIND("@",B7846)),""))</f>
        <v/>
      </c>
      <c r="G7846">
        <f>IF(D7846="KEEP",COUNTIF($D$2:D7846,"KEEP"),"")</f>
        <v/>
      </c>
      <c r="H7846">
        <f>IF(D7846="REMOVE",COUNTIF($D$2:D7846,"REMOVE"),"")</f>
        <v/>
      </c>
      <c r="I7846">
        <f>IF(E7846="Gmail",COUNTIF($E$2:E7846,"Gmail"),"")</f>
        <v/>
      </c>
      <c r="J7846">
        <f>IF(E7846="Outlook",COUNTIF($E$2:E7846,"Outlook"),"")</f>
        <v/>
      </c>
      <c r="K7846">
        <f>IF(E7846="Domain",COUNTIF($E$2:E7846,"Domain"),"")</f>
        <v/>
      </c>
    </row>
    <row r="7847">
      <c r="A7847" s="2" t="n"/>
      <c r="B7847">
        <f>LOWER(TRIM(A7847))</f>
        <v/>
      </c>
      <c r="C7847">
        <f>IF(B7847="","",IFERROR(INDEX('Bad Patterns'!$A$2:$A$120,MATCH(1,INDEX(--ISNUMBER(SEARCH('Bad Patterns'!$A$2:$A$120,B7847)),0),0)),""))</f>
        <v/>
      </c>
      <c r="D7847">
        <f>IF(B7847="","",IF(C7847&lt;&gt;"","REMOVE","KEEP"))</f>
        <v/>
      </c>
      <c r="E7847">
        <f>IF(D7847&lt;&gt;"KEEP","",IF(RIGHT(B7847,10)="@gmail.com","Gmail",IF(OR(RIGHT(B7847,12)="@outlook.com",RIGHT(B7847,12)="@hotmail.com",RIGHT(B7847,9)="@live.com"),"Outlook","Domain")))</f>
        <v/>
      </c>
      <c r="F7847">
        <f>IF(B7847="","",IFERROR(RIGHT(B7847,LEN(B7847)-FIND("@",B7847)),""))</f>
        <v/>
      </c>
      <c r="G7847">
        <f>IF(D7847="KEEP",COUNTIF($D$2:D7847,"KEEP"),"")</f>
        <v/>
      </c>
      <c r="H7847">
        <f>IF(D7847="REMOVE",COUNTIF($D$2:D7847,"REMOVE"),"")</f>
        <v/>
      </c>
      <c r="I7847">
        <f>IF(E7847="Gmail",COUNTIF($E$2:E7847,"Gmail"),"")</f>
        <v/>
      </c>
      <c r="J7847">
        <f>IF(E7847="Outlook",COUNTIF($E$2:E7847,"Outlook"),"")</f>
        <v/>
      </c>
      <c r="K7847">
        <f>IF(E7847="Domain",COUNTIF($E$2:E7847,"Domain"),"")</f>
        <v/>
      </c>
    </row>
    <row r="7848">
      <c r="A7848" s="2" t="n"/>
      <c r="B7848">
        <f>LOWER(TRIM(A7848))</f>
        <v/>
      </c>
      <c r="C7848">
        <f>IF(B7848="","",IFERROR(INDEX('Bad Patterns'!$A$2:$A$120,MATCH(1,INDEX(--ISNUMBER(SEARCH('Bad Patterns'!$A$2:$A$120,B7848)),0),0)),""))</f>
        <v/>
      </c>
      <c r="D7848">
        <f>IF(B7848="","",IF(C7848&lt;&gt;"","REMOVE","KEEP"))</f>
        <v/>
      </c>
      <c r="E7848">
        <f>IF(D7848&lt;&gt;"KEEP","",IF(RIGHT(B7848,10)="@gmail.com","Gmail",IF(OR(RIGHT(B7848,12)="@outlook.com",RIGHT(B7848,12)="@hotmail.com",RIGHT(B7848,9)="@live.com"),"Outlook","Domain")))</f>
        <v/>
      </c>
      <c r="F7848">
        <f>IF(B7848="","",IFERROR(RIGHT(B7848,LEN(B7848)-FIND("@",B7848)),""))</f>
        <v/>
      </c>
      <c r="G7848">
        <f>IF(D7848="KEEP",COUNTIF($D$2:D7848,"KEEP"),"")</f>
        <v/>
      </c>
      <c r="H7848">
        <f>IF(D7848="REMOVE",COUNTIF($D$2:D7848,"REMOVE"),"")</f>
        <v/>
      </c>
      <c r="I7848">
        <f>IF(E7848="Gmail",COUNTIF($E$2:E7848,"Gmail"),"")</f>
        <v/>
      </c>
      <c r="J7848">
        <f>IF(E7848="Outlook",COUNTIF($E$2:E7848,"Outlook"),"")</f>
        <v/>
      </c>
      <c r="K7848">
        <f>IF(E7848="Domain",COUNTIF($E$2:E7848,"Domain"),"")</f>
        <v/>
      </c>
    </row>
    <row r="7849">
      <c r="A7849" s="2" t="n"/>
      <c r="B7849">
        <f>LOWER(TRIM(A7849))</f>
        <v/>
      </c>
      <c r="C7849">
        <f>IF(B7849="","",IFERROR(INDEX('Bad Patterns'!$A$2:$A$120,MATCH(1,INDEX(--ISNUMBER(SEARCH('Bad Patterns'!$A$2:$A$120,B7849)),0),0)),""))</f>
        <v/>
      </c>
      <c r="D7849">
        <f>IF(B7849="","",IF(C7849&lt;&gt;"","REMOVE","KEEP"))</f>
        <v/>
      </c>
      <c r="E7849">
        <f>IF(D7849&lt;&gt;"KEEP","",IF(RIGHT(B7849,10)="@gmail.com","Gmail",IF(OR(RIGHT(B7849,12)="@outlook.com",RIGHT(B7849,12)="@hotmail.com",RIGHT(B7849,9)="@live.com"),"Outlook","Domain")))</f>
        <v/>
      </c>
      <c r="F7849">
        <f>IF(B7849="","",IFERROR(RIGHT(B7849,LEN(B7849)-FIND("@",B7849)),""))</f>
        <v/>
      </c>
      <c r="G7849">
        <f>IF(D7849="KEEP",COUNTIF($D$2:D7849,"KEEP"),"")</f>
        <v/>
      </c>
      <c r="H7849">
        <f>IF(D7849="REMOVE",COUNTIF($D$2:D7849,"REMOVE"),"")</f>
        <v/>
      </c>
      <c r="I7849">
        <f>IF(E7849="Gmail",COUNTIF($E$2:E7849,"Gmail"),"")</f>
        <v/>
      </c>
      <c r="J7849">
        <f>IF(E7849="Outlook",COUNTIF($E$2:E7849,"Outlook"),"")</f>
        <v/>
      </c>
      <c r="K7849">
        <f>IF(E7849="Domain",COUNTIF($E$2:E7849,"Domain"),"")</f>
        <v/>
      </c>
    </row>
    <row r="7850">
      <c r="A7850" s="2" t="n"/>
      <c r="B7850">
        <f>LOWER(TRIM(A7850))</f>
        <v/>
      </c>
      <c r="C7850">
        <f>IF(B7850="","",IFERROR(INDEX('Bad Patterns'!$A$2:$A$120,MATCH(1,INDEX(--ISNUMBER(SEARCH('Bad Patterns'!$A$2:$A$120,B7850)),0),0)),""))</f>
        <v/>
      </c>
      <c r="D7850">
        <f>IF(B7850="","",IF(C7850&lt;&gt;"","REMOVE","KEEP"))</f>
        <v/>
      </c>
      <c r="E7850">
        <f>IF(D7850&lt;&gt;"KEEP","",IF(RIGHT(B7850,10)="@gmail.com","Gmail",IF(OR(RIGHT(B7850,12)="@outlook.com",RIGHT(B7850,12)="@hotmail.com",RIGHT(B7850,9)="@live.com"),"Outlook","Domain")))</f>
        <v/>
      </c>
      <c r="F7850">
        <f>IF(B7850="","",IFERROR(RIGHT(B7850,LEN(B7850)-FIND("@",B7850)),""))</f>
        <v/>
      </c>
      <c r="G7850">
        <f>IF(D7850="KEEP",COUNTIF($D$2:D7850,"KEEP"),"")</f>
        <v/>
      </c>
      <c r="H7850">
        <f>IF(D7850="REMOVE",COUNTIF($D$2:D7850,"REMOVE"),"")</f>
        <v/>
      </c>
      <c r="I7850">
        <f>IF(E7850="Gmail",COUNTIF($E$2:E7850,"Gmail"),"")</f>
        <v/>
      </c>
      <c r="J7850">
        <f>IF(E7850="Outlook",COUNTIF($E$2:E7850,"Outlook"),"")</f>
        <v/>
      </c>
      <c r="K7850">
        <f>IF(E7850="Domain",COUNTIF($E$2:E7850,"Domain"),"")</f>
        <v/>
      </c>
    </row>
    <row r="7851">
      <c r="A7851" s="2" t="n"/>
      <c r="B7851">
        <f>LOWER(TRIM(A7851))</f>
        <v/>
      </c>
      <c r="C7851">
        <f>IF(B7851="","",IFERROR(INDEX('Bad Patterns'!$A$2:$A$120,MATCH(1,INDEX(--ISNUMBER(SEARCH('Bad Patterns'!$A$2:$A$120,B7851)),0),0)),""))</f>
        <v/>
      </c>
      <c r="D7851">
        <f>IF(B7851="","",IF(C7851&lt;&gt;"","REMOVE","KEEP"))</f>
        <v/>
      </c>
      <c r="E7851">
        <f>IF(D7851&lt;&gt;"KEEP","",IF(RIGHT(B7851,10)="@gmail.com","Gmail",IF(OR(RIGHT(B7851,12)="@outlook.com",RIGHT(B7851,12)="@hotmail.com",RIGHT(B7851,9)="@live.com"),"Outlook","Domain")))</f>
        <v/>
      </c>
      <c r="F7851">
        <f>IF(B7851="","",IFERROR(RIGHT(B7851,LEN(B7851)-FIND("@",B7851)),""))</f>
        <v/>
      </c>
      <c r="G7851">
        <f>IF(D7851="KEEP",COUNTIF($D$2:D7851,"KEEP"),"")</f>
        <v/>
      </c>
      <c r="H7851">
        <f>IF(D7851="REMOVE",COUNTIF($D$2:D7851,"REMOVE"),"")</f>
        <v/>
      </c>
      <c r="I7851">
        <f>IF(E7851="Gmail",COUNTIF($E$2:E7851,"Gmail"),"")</f>
        <v/>
      </c>
      <c r="J7851">
        <f>IF(E7851="Outlook",COUNTIF($E$2:E7851,"Outlook"),"")</f>
        <v/>
      </c>
      <c r="K7851">
        <f>IF(E7851="Domain",COUNTIF($E$2:E7851,"Domain"),"")</f>
        <v/>
      </c>
    </row>
    <row r="7852">
      <c r="A7852" s="2" t="n"/>
      <c r="B7852">
        <f>LOWER(TRIM(A7852))</f>
        <v/>
      </c>
      <c r="C7852">
        <f>IF(B7852="","",IFERROR(INDEX('Bad Patterns'!$A$2:$A$120,MATCH(1,INDEX(--ISNUMBER(SEARCH('Bad Patterns'!$A$2:$A$120,B7852)),0),0)),""))</f>
        <v/>
      </c>
      <c r="D7852">
        <f>IF(B7852="","",IF(C7852&lt;&gt;"","REMOVE","KEEP"))</f>
        <v/>
      </c>
      <c r="E7852">
        <f>IF(D7852&lt;&gt;"KEEP","",IF(RIGHT(B7852,10)="@gmail.com","Gmail",IF(OR(RIGHT(B7852,12)="@outlook.com",RIGHT(B7852,12)="@hotmail.com",RIGHT(B7852,9)="@live.com"),"Outlook","Domain")))</f>
        <v/>
      </c>
      <c r="F7852">
        <f>IF(B7852="","",IFERROR(RIGHT(B7852,LEN(B7852)-FIND("@",B7852)),""))</f>
        <v/>
      </c>
      <c r="G7852">
        <f>IF(D7852="KEEP",COUNTIF($D$2:D7852,"KEEP"),"")</f>
        <v/>
      </c>
      <c r="H7852">
        <f>IF(D7852="REMOVE",COUNTIF($D$2:D7852,"REMOVE"),"")</f>
        <v/>
      </c>
      <c r="I7852">
        <f>IF(E7852="Gmail",COUNTIF($E$2:E7852,"Gmail"),"")</f>
        <v/>
      </c>
      <c r="J7852">
        <f>IF(E7852="Outlook",COUNTIF($E$2:E7852,"Outlook"),"")</f>
        <v/>
      </c>
      <c r="K7852">
        <f>IF(E7852="Domain",COUNTIF($E$2:E7852,"Domain"),"")</f>
        <v/>
      </c>
    </row>
    <row r="7853">
      <c r="A7853" s="2" t="n"/>
      <c r="B7853">
        <f>LOWER(TRIM(A7853))</f>
        <v/>
      </c>
      <c r="C7853">
        <f>IF(B7853="","",IFERROR(INDEX('Bad Patterns'!$A$2:$A$120,MATCH(1,INDEX(--ISNUMBER(SEARCH('Bad Patterns'!$A$2:$A$120,B7853)),0),0)),""))</f>
        <v/>
      </c>
      <c r="D7853">
        <f>IF(B7853="","",IF(C7853&lt;&gt;"","REMOVE","KEEP"))</f>
        <v/>
      </c>
      <c r="E7853">
        <f>IF(D7853&lt;&gt;"KEEP","",IF(RIGHT(B7853,10)="@gmail.com","Gmail",IF(OR(RIGHT(B7853,12)="@outlook.com",RIGHT(B7853,12)="@hotmail.com",RIGHT(B7853,9)="@live.com"),"Outlook","Domain")))</f>
        <v/>
      </c>
      <c r="F7853">
        <f>IF(B7853="","",IFERROR(RIGHT(B7853,LEN(B7853)-FIND("@",B7853)),""))</f>
        <v/>
      </c>
      <c r="G7853">
        <f>IF(D7853="KEEP",COUNTIF($D$2:D7853,"KEEP"),"")</f>
        <v/>
      </c>
      <c r="H7853">
        <f>IF(D7853="REMOVE",COUNTIF($D$2:D7853,"REMOVE"),"")</f>
        <v/>
      </c>
      <c r="I7853">
        <f>IF(E7853="Gmail",COUNTIF($E$2:E7853,"Gmail"),"")</f>
        <v/>
      </c>
      <c r="J7853">
        <f>IF(E7853="Outlook",COUNTIF($E$2:E7853,"Outlook"),"")</f>
        <v/>
      </c>
      <c r="K7853">
        <f>IF(E7853="Domain",COUNTIF($E$2:E7853,"Domain"),"")</f>
        <v/>
      </c>
    </row>
    <row r="7854">
      <c r="A7854" s="2" t="n"/>
      <c r="B7854">
        <f>LOWER(TRIM(A7854))</f>
        <v/>
      </c>
      <c r="C7854">
        <f>IF(B7854="","",IFERROR(INDEX('Bad Patterns'!$A$2:$A$120,MATCH(1,INDEX(--ISNUMBER(SEARCH('Bad Patterns'!$A$2:$A$120,B7854)),0),0)),""))</f>
        <v/>
      </c>
      <c r="D7854">
        <f>IF(B7854="","",IF(C7854&lt;&gt;"","REMOVE","KEEP"))</f>
        <v/>
      </c>
      <c r="E7854">
        <f>IF(D7854&lt;&gt;"KEEP","",IF(RIGHT(B7854,10)="@gmail.com","Gmail",IF(OR(RIGHT(B7854,12)="@outlook.com",RIGHT(B7854,12)="@hotmail.com",RIGHT(B7854,9)="@live.com"),"Outlook","Domain")))</f>
        <v/>
      </c>
      <c r="F7854">
        <f>IF(B7854="","",IFERROR(RIGHT(B7854,LEN(B7854)-FIND("@",B7854)),""))</f>
        <v/>
      </c>
      <c r="G7854">
        <f>IF(D7854="KEEP",COUNTIF($D$2:D7854,"KEEP"),"")</f>
        <v/>
      </c>
      <c r="H7854">
        <f>IF(D7854="REMOVE",COUNTIF($D$2:D7854,"REMOVE"),"")</f>
        <v/>
      </c>
      <c r="I7854">
        <f>IF(E7854="Gmail",COUNTIF($E$2:E7854,"Gmail"),"")</f>
        <v/>
      </c>
      <c r="J7854">
        <f>IF(E7854="Outlook",COUNTIF($E$2:E7854,"Outlook"),"")</f>
        <v/>
      </c>
      <c r="K7854">
        <f>IF(E7854="Domain",COUNTIF($E$2:E7854,"Domain"),"")</f>
        <v/>
      </c>
    </row>
    <row r="7855">
      <c r="A7855" s="2" t="n"/>
      <c r="B7855">
        <f>LOWER(TRIM(A7855))</f>
        <v/>
      </c>
      <c r="C7855">
        <f>IF(B7855="","",IFERROR(INDEX('Bad Patterns'!$A$2:$A$120,MATCH(1,INDEX(--ISNUMBER(SEARCH('Bad Patterns'!$A$2:$A$120,B7855)),0),0)),""))</f>
        <v/>
      </c>
      <c r="D7855">
        <f>IF(B7855="","",IF(C7855&lt;&gt;"","REMOVE","KEEP"))</f>
        <v/>
      </c>
      <c r="E7855">
        <f>IF(D7855&lt;&gt;"KEEP","",IF(RIGHT(B7855,10)="@gmail.com","Gmail",IF(OR(RIGHT(B7855,12)="@outlook.com",RIGHT(B7855,12)="@hotmail.com",RIGHT(B7855,9)="@live.com"),"Outlook","Domain")))</f>
        <v/>
      </c>
      <c r="F7855">
        <f>IF(B7855="","",IFERROR(RIGHT(B7855,LEN(B7855)-FIND("@",B7855)),""))</f>
        <v/>
      </c>
      <c r="G7855">
        <f>IF(D7855="KEEP",COUNTIF($D$2:D7855,"KEEP"),"")</f>
        <v/>
      </c>
      <c r="H7855">
        <f>IF(D7855="REMOVE",COUNTIF($D$2:D7855,"REMOVE"),"")</f>
        <v/>
      </c>
      <c r="I7855">
        <f>IF(E7855="Gmail",COUNTIF($E$2:E7855,"Gmail"),"")</f>
        <v/>
      </c>
      <c r="J7855">
        <f>IF(E7855="Outlook",COUNTIF($E$2:E7855,"Outlook"),"")</f>
        <v/>
      </c>
      <c r="K7855">
        <f>IF(E7855="Domain",COUNTIF($E$2:E7855,"Domain"),"")</f>
        <v/>
      </c>
    </row>
    <row r="7856">
      <c r="A7856" s="2" t="n"/>
      <c r="B7856">
        <f>LOWER(TRIM(A7856))</f>
        <v/>
      </c>
      <c r="C7856">
        <f>IF(B7856="","",IFERROR(INDEX('Bad Patterns'!$A$2:$A$120,MATCH(1,INDEX(--ISNUMBER(SEARCH('Bad Patterns'!$A$2:$A$120,B7856)),0),0)),""))</f>
        <v/>
      </c>
      <c r="D7856">
        <f>IF(B7856="","",IF(C7856&lt;&gt;"","REMOVE","KEEP"))</f>
        <v/>
      </c>
      <c r="E7856">
        <f>IF(D7856&lt;&gt;"KEEP","",IF(RIGHT(B7856,10)="@gmail.com","Gmail",IF(OR(RIGHT(B7856,12)="@outlook.com",RIGHT(B7856,12)="@hotmail.com",RIGHT(B7856,9)="@live.com"),"Outlook","Domain")))</f>
        <v/>
      </c>
      <c r="F7856">
        <f>IF(B7856="","",IFERROR(RIGHT(B7856,LEN(B7856)-FIND("@",B7856)),""))</f>
        <v/>
      </c>
      <c r="G7856">
        <f>IF(D7856="KEEP",COUNTIF($D$2:D7856,"KEEP"),"")</f>
        <v/>
      </c>
      <c r="H7856">
        <f>IF(D7856="REMOVE",COUNTIF($D$2:D7856,"REMOVE"),"")</f>
        <v/>
      </c>
      <c r="I7856">
        <f>IF(E7856="Gmail",COUNTIF($E$2:E7856,"Gmail"),"")</f>
        <v/>
      </c>
      <c r="J7856">
        <f>IF(E7856="Outlook",COUNTIF($E$2:E7856,"Outlook"),"")</f>
        <v/>
      </c>
      <c r="K7856">
        <f>IF(E7856="Domain",COUNTIF($E$2:E7856,"Domain"),"")</f>
        <v/>
      </c>
    </row>
    <row r="7857">
      <c r="A7857" s="2" t="n"/>
      <c r="B7857">
        <f>LOWER(TRIM(A7857))</f>
        <v/>
      </c>
      <c r="C7857">
        <f>IF(B7857="","",IFERROR(INDEX('Bad Patterns'!$A$2:$A$120,MATCH(1,INDEX(--ISNUMBER(SEARCH('Bad Patterns'!$A$2:$A$120,B7857)),0),0)),""))</f>
        <v/>
      </c>
      <c r="D7857">
        <f>IF(B7857="","",IF(C7857&lt;&gt;"","REMOVE","KEEP"))</f>
        <v/>
      </c>
      <c r="E7857">
        <f>IF(D7857&lt;&gt;"KEEP","",IF(RIGHT(B7857,10)="@gmail.com","Gmail",IF(OR(RIGHT(B7857,12)="@outlook.com",RIGHT(B7857,12)="@hotmail.com",RIGHT(B7857,9)="@live.com"),"Outlook","Domain")))</f>
        <v/>
      </c>
      <c r="F7857">
        <f>IF(B7857="","",IFERROR(RIGHT(B7857,LEN(B7857)-FIND("@",B7857)),""))</f>
        <v/>
      </c>
      <c r="G7857">
        <f>IF(D7857="KEEP",COUNTIF($D$2:D7857,"KEEP"),"")</f>
        <v/>
      </c>
      <c r="H7857">
        <f>IF(D7857="REMOVE",COUNTIF($D$2:D7857,"REMOVE"),"")</f>
        <v/>
      </c>
      <c r="I7857">
        <f>IF(E7857="Gmail",COUNTIF($E$2:E7857,"Gmail"),"")</f>
        <v/>
      </c>
      <c r="J7857">
        <f>IF(E7857="Outlook",COUNTIF($E$2:E7857,"Outlook"),"")</f>
        <v/>
      </c>
      <c r="K7857">
        <f>IF(E7857="Domain",COUNTIF($E$2:E7857,"Domain"),"")</f>
        <v/>
      </c>
    </row>
    <row r="7858">
      <c r="A7858" s="2" t="n"/>
      <c r="B7858">
        <f>LOWER(TRIM(A7858))</f>
        <v/>
      </c>
      <c r="C7858">
        <f>IF(B7858="","",IFERROR(INDEX('Bad Patterns'!$A$2:$A$120,MATCH(1,INDEX(--ISNUMBER(SEARCH('Bad Patterns'!$A$2:$A$120,B7858)),0),0)),""))</f>
        <v/>
      </c>
      <c r="D7858">
        <f>IF(B7858="","",IF(C7858&lt;&gt;"","REMOVE","KEEP"))</f>
        <v/>
      </c>
      <c r="E7858">
        <f>IF(D7858&lt;&gt;"KEEP","",IF(RIGHT(B7858,10)="@gmail.com","Gmail",IF(OR(RIGHT(B7858,12)="@outlook.com",RIGHT(B7858,12)="@hotmail.com",RIGHT(B7858,9)="@live.com"),"Outlook","Domain")))</f>
        <v/>
      </c>
      <c r="F7858">
        <f>IF(B7858="","",IFERROR(RIGHT(B7858,LEN(B7858)-FIND("@",B7858)),""))</f>
        <v/>
      </c>
      <c r="G7858">
        <f>IF(D7858="KEEP",COUNTIF($D$2:D7858,"KEEP"),"")</f>
        <v/>
      </c>
      <c r="H7858">
        <f>IF(D7858="REMOVE",COUNTIF($D$2:D7858,"REMOVE"),"")</f>
        <v/>
      </c>
      <c r="I7858">
        <f>IF(E7858="Gmail",COUNTIF($E$2:E7858,"Gmail"),"")</f>
        <v/>
      </c>
      <c r="J7858">
        <f>IF(E7858="Outlook",COUNTIF($E$2:E7858,"Outlook"),"")</f>
        <v/>
      </c>
      <c r="K7858">
        <f>IF(E7858="Domain",COUNTIF($E$2:E7858,"Domain"),"")</f>
        <v/>
      </c>
    </row>
    <row r="7859">
      <c r="A7859" s="2" t="n"/>
      <c r="B7859">
        <f>LOWER(TRIM(A7859))</f>
        <v/>
      </c>
      <c r="C7859">
        <f>IF(B7859="","",IFERROR(INDEX('Bad Patterns'!$A$2:$A$120,MATCH(1,INDEX(--ISNUMBER(SEARCH('Bad Patterns'!$A$2:$A$120,B7859)),0),0)),""))</f>
        <v/>
      </c>
      <c r="D7859">
        <f>IF(B7859="","",IF(C7859&lt;&gt;"","REMOVE","KEEP"))</f>
        <v/>
      </c>
      <c r="E7859">
        <f>IF(D7859&lt;&gt;"KEEP","",IF(RIGHT(B7859,10)="@gmail.com","Gmail",IF(OR(RIGHT(B7859,12)="@outlook.com",RIGHT(B7859,12)="@hotmail.com",RIGHT(B7859,9)="@live.com"),"Outlook","Domain")))</f>
        <v/>
      </c>
      <c r="F7859">
        <f>IF(B7859="","",IFERROR(RIGHT(B7859,LEN(B7859)-FIND("@",B7859)),""))</f>
        <v/>
      </c>
      <c r="G7859">
        <f>IF(D7859="KEEP",COUNTIF($D$2:D7859,"KEEP"),"")</f>
        <v/>
      </c>
      <c r="H7859">
        <f>IF(D7859="REMOVE",COUNTIF($D$2:D7859,"REMOVE"),"")</f>
        <v/>
      </c>
      <c r="I7859">
        <f>IF(E7859="Gmail",COUNTIF($E$2:E7859,"Gmail"),"")</f>
        <v/>
      </c>
      <c r="J7859">
        <f>IF(E7859="Outlook",COUNTIF($E$2:E7859,"Outlook"),"")</f>
        <v/>
      </c>
      <c r="K7859">
        <f>IF(E7859="Domain",COUNTIF($E$2:E7859,"Domain"),"")</f>
        <v/>
      </c>
    </row>
    <row r="7860">
      <c r="A7860" s="2" t="n"/>
      <c r="B7860">
        <f>LOWER(TRIM(A7860))</f>
        <v/>
      </c>
      <c r="C7860">
        <f>IF(B7860="","",IFERROR(INDEX('Bad Patterns'!$A$2:$A$120,MATCH(1,INDEX(--ISNUMBER(SEARCH('Bad Patterns'!$A$2:$A$120,B7860)),0),0)),""))</f>
        <v/>
      </c>
      <c r="D7860">
        <f>IF(B7860="","",IF(C7860&lt;&gt;"","REMOVE","KEEP"))</f>
        <v/>
      </c>
      <c r="E7860">
        <f>IF(D7860&lt;&gt;"KEEP","",IF(RIGHT(B7860,10)="@gmail.com","Gmail",IF(OR(RIGHT(B7860,12)="@outlook.com",RIGHT(B7860,12)="@hotmail.com",RIGHT(B7860,9)="@live.com"),"Outlook","Domain")))</f>
        <v/>
      </c>
      <c r="F7860">
        <f>IF(B7860="","",IFERROR(RIGHT(B7860,LEN(B7860)-FIND("@",B7860)),""))</f>
        <v/>
      </c>
      <c r="G7860">
        <f>IF(D7860="KEEP",COUNTIF($D$2:D7860,"KEEP"),"")</f>
        <v/>
      </c>
      <c r="H7860">
        <f>IF(D7860="REMOVE",COUNTIF($D$2:D7860,"REMOVE"),"")</f>
        <v/>
      </c>
      <c r="I7860">
        <f>IF(E7860="Gmail",COUNTIF($E$2:E7860,"Gmail"),"")</f>
        <v/>
      </c>
      <c r="J7860">
        <f>IF(E7860="Outlook",COUNTIF($E$2:E7860,"Outlook"),"")</f>
        <v/>
      </c>
      <c r="K7860">
        <f>IF(E7860="Domain",COUNTIF($E$2:E7860,"Domain"),"")</f>
        <v/>
      </c>
    </row>
    <row r="7861">
      <c r="A7861" s="2" t="n"/>
      <c r="B7861">
        <f>LOWER(TRIM(A7861))</f>
        <v/>
      </c>
      <c r="C7861">
        <f>IF(B7861="","",IFERROR(INDEX('Bad Patterns'!$A$2:$A$120,MATCH(1,INDEX(--ISNUMBER(SEARCH('Bad Patterns'!$A$2:$A$120,B7861)),0),0)),""))</f>
        <v/>
      </c>
      <c r="D7861">
        <f>IF(B7861="","",IF(C7861&lt;&gt;"","REMOVE","KEEP"))</f>
        <v/>
      </c>
      <c r="E7861">
        <f>IF(D7861&lt;&gt;"KEEP","",IF(RIGHT(B7861,10)="@gmail.com","Gmail",IF(OR(RIGHT(B7861,12)="@outlook.com",RIGHT(B7861,12)="@hotmail.com",RIGHT(B7861,9)="@live.com"),"Outlook","Domain")))</f>
        <v/>
      </c>
      <c r="F7861">
        <f>IF(B7861="","",IFERROR(RIGHT(B7861,LEN(B7861)-FIND("@",B7861)),""))</f>
        <v/>
      </c>
      <c r="G7861">
        <f>IF(D7861="KEEP",COUNTIF($D$2:D7861,"KEEP"),"")</f>
        <v/>
      </c>
      <c r="H7861">
        <f>IF(D7861="REMOVE",COUNTIF($D$2:D7861,"REMOVE"),"")</f>
        <v/>
      </c>
      <c r="I7861">
        <f>IF(E7861="Gmail",COUNTIF($E$2:E7861,"Gmail"),"")</f>
        <v/>
      </c>
      <c r="J7861">
        <f>IF(E7861="Outlook",COUNTIF($E$2:E7861,"Outlook"),"")</f>
        <v/>
      </c>
      <c r="K7861">
        <f>IF(E7861="Domain",COUNTIF($E$2:E7861,"Domain"),"")</f>
        <v/>
      </c>
    </row>
    <row r="7862">
      <c r="A7862" s="2" t="n"/>
      <c r="B7862">
        <f>LOWER(TRIM(A7862))</f>
        <v/>
      </c>
      <c r="C7862">
        <f>IF(B7862="","",IFERROR(INDEX('Bad Patterns'!$A$2:$A$120,MATCH(1,INDEX(--ISNUMBER(SEARCH('Bad Patterns'!$A$2:$A$120,B7862)),0),0)),""))</f>
        <v/>
      </c>
      <c r="D7862">
        <f>IF(B7862="","",IF(C7862&lt;&gt;"","REMOVE","KEEP"))</f>
        <v/>
      </c>
      <c r="E7862">
        <f>IF(D7862&lt;&gt;"KEEP","",IF(RIGHT(B7862,10)="@gmail.com","Gmail",IF(OR(RIGHT(B7862,12)="@outlook.com",RIGHT(B7862,12)="@hotmail.com",RIGHT(B7862,9)="@live.com"),"Outlook","Domain")))</f>
        <v/>
      </c>
      <c r="F7862">
        <f>IF(B7862="","",IFERROR(RIGHT(B7862,LEN(B7862)-FIND("@",B7862)),""))</f>
        <v/>
      </c>
      <c r="G7862">
        <f>IF(D7862="KEEP",COUNTIF($D$2:D7862,"KEEP"),"")</f>
        <v/>
      </c>
      <c r="H7862">
        <f>IF(D7862="REMOVE",COUNTIF($D$2:D7862,"REMOVE"),"")</f>
        <v/>
      </c>
      <c r="I7862">
        <f>IF(E7862="Gmail",COUNTIF($E$2:E7862,"Gmail"),"")</f>
        <v/>
      </c>
      <c r="J7862">
        <f>IF(E7862="Outlook",COUNTIF($E$2:E7862,"Outlook"),"")</f>
        <v/>
      </c>
      <c r="K7862">
        <f>IF(E7862="Domain",COUNTIF($E$2:E7862,"Domain"),"")</f>
        <v/>
      </c>
    </row>
    <row r="7863">
      <c r="A7863" s="2" t="n"/>
      <c r="B7863">
        <f>LOWER(TRIM(A7863))</f>
        <v/>
      </c>
      <c r="C7863">
        <f>IF(B7863="","",IFERROR(INDEX('Bad Patterns'!$A$2:$A$120,MATCH(1,INDEX(--ISNUMBER(SEARCH('Bad Patterns'!$A$2:$A$120,B7863)),0),0)),""))</f>
        <v/>
      </c>
      <c r="D7863">
        <f>IF(B7863="","",IF(C7863&lt;&gt;"","REMOVE","KEEP"))</f>
        <v/>
      </c>
      <c r="E7863">
        <f>IF(D7863&lt;&gt;"KEEP","",IF(RIGHT(B7863,10)="@gmail.com","Gmail",IF(OR(RIGHT(B7863,12)="@outlook.com",RIGHT(B7863,12)="@hotmail.com",RIGHT(B7863,9)="@live.com"),"Outlook","Domain")))</f>
        <v/>
      </c>
      <c r="F7863">
        <f>IF(B7863="","",IFERROR(RIGHT(B7863,LEN(B7863)-FIND("@",B7863)),""))</f>
        <v/>
      </c>
      <c r="G7863">
        <f>IF(D7863="KEEP",COUNTIF($D$2:D7863,"KEEP"),"")</f>
        <v/>
      </c>
      <c r="H7863">
        <f>IF(D7863="REMOVE",COUNTIF($D$2:D7863,"REMOVE"),"")</f>
        <v/>
      </c>
      <c r="I7863">
        <f>IF(E7863="Gmail",COUNTIF($E$2:E7863,"Gmail"),"")</f>
        <v/>
      </c>
      <c r="J7863">
        <f>IF(E7863="Outlook",COUNTIF($E$2:E7863,"Outlook"),"")</f>
        <v/>
      </c>
      <c r="K7863">
        <f>IF(E7863="Domain",COUNTIF($E$2:E7863,"Domain"),"")</f>
        <v/>
      </c>
    </row>
    <row r="7864">
      <c r="A7864" s="2" t="n"/>
      <c r="B7864">
        <f>LOWER(TRIM(A7864))</f>
        <v/>
      </c>
      <c r="C7864">
        <f>IF(B7864="","",IFERROR(INDEX('Bad Patterns'!$A$2:$A$120,MATCH(1,INDEX(--ISNUMBER(SEARCH('Bad Patterns'!$A$2:$A$120,B7864)),0),0)),""))</f>
        <v/>
      </c>
      <c r="D7864">
        <f>IF(B7864="","",IF(C7864&lt;&gt;"","REMOVE","KEEP"))</f>
        <v/>
      </c>
      <c r="E7864">
        <f>IF(D7864&lt;&gt;"KEEP","",IF(RIGHT(B7864,10)="@gmail.com","Gmail",IF(OR(RIGHT(B7864,12)="@outlook.com",RIGHT(B7864,12)="@hotmail.com",RIGHT(B7864,9)="@live.com"),"Outlook","Domain")))</f>
        <v/>
      </c>
      <c r="F7864">
        <f>IF(B7864="","",IFERROR(RIGHT(B7864,LEN(B7864)-FIND("@",B7864)),""))</f>
        <v/>
      </c>
      <c r="G7864">
        <f>IF(D7864="KEEP",COUNTIF($D$2:D7864,"KEEP"),"")</f>
        <v/>
      </c>
      <c r="H7864">
        <f>IF(D7864="REMOVE",COUNTIF($D$2:D7864,"REMOVE"),"")</f>
        <v/>
      </c>
      <c r="I7864">
        <f>IF(E7864="Gmail",COUNTIF($E$2:E7864,"Gmail"),"")</f>
        <v/>
      </c>
      <c r="J7864">
        <f>IF(E7864="Outlook",COUNTIF($E$2:E7864,"Outlook"),"")</f>
        <v/>
      </c>
      <c r="K7864">
        <f>IF(E7864="Domain",COUNTIF($E$2:E7864,"Domain"),"")</f>
        <v/>
      </c>
    </row>
    <row r="7865">
      <c r="A7865" s="2" t="n"/>
      <c r="B7865">
        <f>LOWER(TRIM(A7865))</f>
        <v/>
      </c>
      <c r="C7865">
        <f>IF(B7865="","",IFERROR(INDEX('Bad Patterns'!$A$2:$A$120,MATCH(1,INDEX(--ISNUMBER(SEARCH('Bad Patterns'!$A$2:$A$120,B7865)),0),0)),""))</f>
        <v/>
      </c>
      <c r="D7865">
        <f>IF(B7865="","",IF(C7865&lt;&gt;"","REMOVE","KEEP"))</f>
        <v/>
      </c>
      <c r="E7865">
        <f>IF(D7865&lt;&gt;"KEEP","",IF(RIGHT(B7865,10)="@gmail.com","Gmail",IF(OR(RIGHT(B7865,12)="@outlook.com",RIGHT(B7865,12)="@hotmail.com",RIGHT(B7865,9)="@live.com"),"Outlook","Domain")))</f>
        <v/>
      </c>
      <c r="F7865">
        <f>IF(B7865="","",IFERROR(RIGHT(B7865,LEN(B7865)-FIND("@",B7865)),""))</f>
        <v/>
      </c>
      <c r="G7865">
        <f>IF(D7865="KEEP",COUNTIF($D$2:D7865,"KEEP"),"")</f>
        <v/>
      </c>
      <c r="H7865">
        <f>IF(D7865="REMOVE",COUNTIF($D$2:D7865,"REMOVE"),"")</f>
        <v/>
      </c>
      <c r="I7865">
        <f>IF(E7865="Gmail",COUNTIF($E$2:E7865,"Gmail"),"")</f>
        <v/>
      </c>
      <c r="J7865">
        <f>IF(E7865="Outlook",COUNTIF($E$2:E7865,"Outlook"),"")</f>
        <v/>
      </c>
      <c r="K7865">
        <f>IF(E7865="Domain",COUNTIF($E$2:E7865,"Domain"),"")</f>
        <v/>
      </c>
    </row>
    <row r="7866">
      <c r="A7866" s="2" t="n"/>
      <c r="B7866">
        <f>LOWER(TRIM(A7866))</f>
        <v/>
      </c>
      <c r="C7866">
        <f>IF(B7866="","",IFERROR(INDEX('Bad Patterns'!$A$2:$A$120,MATCH(1,INDEX(--ISNUMBER(SEARCH('Bad Patterns'!$A$2:$A$120,B7866)),0),0)),""))</f>
        <v/>
      </c>
      <c r="D7866">
        <f>IF(B7866="","",IF(C7866&lt;&gt;"","REMOVE","KEEP"))</f>
        <v/>
      </c>
      <c r="E7866">
        <f>IF(D7866&lt;&gt;"KEEP","",IF(RIGHT(B7866,10)="@gmail.com","Gmail",IF(OR(RIGHT(B7866,12)="@outlook.com",RIGHT(B7866,12)="@hotmail.com",RIGHT(B7866,9)="@live.com"),"Outlook","Domain")))</f>
        <v/>
      </c>
      <c r="F7866">
        <f>IF(B7866="","",IFERROR(RIGHT(B7866,LEN(B7866)-FIND("@",B7866)),""))</f>
        <v/>
      </c>
      <c r="G7866">
        <f>IF(D7866="KEEP",COUNTIF($D$2:D7866,"KEEP"),"")</f>
        <v/>
      </c>
      <c r="H7866">
        <f>IF(D7866="REMOVE",COUNTIF($D$2:D7866,"REMOVE"),"")</f>
        <v/>
      </c>
      <c r="I7866">
        <f>IF(E7866="Gmail",COUNTIF($E$2:E7866,"Gmail"),"")</f>
        <v/>
      </c>
      <c r="J7866">
        <f>IF(E7866="Outlook",COUNTIF($E$2:E7866,"Outlook"),"")</f>
        <v/>
      </c>
      <c r="K7866">
        <f>IF(E7866="Domain",COUNTIF($E$2:E7866,"Domain"),"")</f>
        <v/>
      </c>
    </row>
    <row r="7867">
      <c r="A7867" s="2" t="n"/>
      <c r="B7867">
        <f>LOWER(TRIM(A7867))</f>
        <v/>
      </c>
      <c r="C7867">
        <f>IF(B7867="","",IFERROR(INDEX('Bad Patterns'!$A$2:$A$120,MATCH(1,INDEX(--ISNUMBER(SEARCH('Bad Patterns'!$A$2:$A$120,B7867)),0),0)),""))</f>
        <v/>
      </c>
      <c r="D7867">
        <f>IF(B7867="","",IF(C7867&lt;&gt;"","REMOVE","KEEP"))</f>
        <v/>
      </c>
      <c r="E7867">
        <f>IF(D7867&lt;&gt;"KEEP","",IF(RIGHT(B7867,10)="@gmail.com","Gmail",IF(OR(RIGHT(B7867,12)="@outlook.com",RIGHT(B7867,12)="@hotmail.com",RIGHT(B7867,9)="@live.com"),"Outlook","Domain")))</f>
        <v/>
      </c>
      <c r="F7867">
        <f>IF(B7867="","",IFERROR(RIGHT(B7867,LEN(B7867)-FIND("@",B7867)),""))</f>
        <v/>
      </c>
      <c r="G7867">
        <f>IF(D7867="KEEP",COUNTIF($D$2:D7867,"KEEP"),"")</f>
        <v/>
      </c>
      <c r="H7867">
        <f>IF(D7867="REMOVE",COUNTIF($D$2:D7867,"REMOVE"),"")</f>
        <v/>
      </c>
      <c r="I7867">
        <f>IF(E7867="Gmail",COUNTIF($E$2:E7867,"Gmail"),"")</f>
        <v/>
      </c>
      <c r="J7867">
        <f>IF(E7867="Outlook",COUNTIF($E$2:E7867,"Outlook"),"")</f>
        <v/>
      </c>
      <c r="K7867">
        <f>IF(E7867="Domain",COUNTIF($E$2:E7867,"Domain"),"")</f>
        <v/>
      </c>
    </row>
    <row r="7868">
      <c r="A7868" s="2" t="n"/>
      <c r="B7868">
        <f>LOWER(TRIM(A7868))</f>
        <v/>
      </c>
      <c r="C7868">
        <f>IF(B7868="","",IFERROR(INDEX('Bad Patterns'!$A$2:$A$120,MATCH(1,INDEX(--ISNUMBER(SEARCH('Bad Patterns'!$A$2:$A$120,B7868)),0),0)),""))</f>
        <v/>
      </c>
      <c r="D7868">
        <f>IF(B7868="","",IF(C7868&lt;&gt;"","REMOVE","KEEP"))</f>
        <v/>
      </c>
      <c r="E7868">
        <f>IF(D7868&lt;&gt;"KEEP","",IF(RIGHT(B7868,10)="@gmail.com","Gmail",IF(OR(RIGHT(B7868,12)="@outlook.com",RIGHT(B7868,12)="@hotmail.com",RIGHT(B7868,9)="@live.com"),"Outlook","Domain")))</f>
        <v/>
      </c>
      <c r="F7868">
        <f>IF(B7868="","",IFERROR(RIGHT(B7868,LEN(B7868)-FIND("@",B7868)),""))</f>
        <v/>
      </c>
      <c r="G7868">
        <f>IF(D7868="KEEP",COUNTIF($D$2:D7868,"KEEP"),"")</f>
        <v/>
      </c>
      <c r="H7868">
        <f>IF(D7868="REMOVE",COUNTIF($D$2:D7868,"REMOVE"),"")</f>
        <v/>
      </c>
      <c r="I7868">
        <f>IF(E7868="Gmail",COUNTIF($E$2:E7868,"Gmail"),"")</f>
        <v/>
      </c>
      <c r="J7868">
        <f>IF(E7868="Outlook",COUNTIF($E$2:E7868,"Outlook"),"")</f>
        <v/>
      </c>
      <c r="K7868">
        <f>IF(E7868="Domain",COUNTIF($E$2:E7868,"Domain"),"")</f>
        <v/>
      </c>
    </row>
    <row r="7869">
      <c r="A7869" s="2" t="n"/>
      <c r="B7869">
        <f>LOWER(TRIM(A7869))</f>
        <v/>
      </c>
      <c r="C7869">
        <f>IF(B7869="","",IFERROR(INDEX('Bad Patterns'!$A$2:$A$120,MATCH(1,INDEX(--ISNUMBER(SEARCH('Bad Patterns'!$A$2:$A$120,B7869)),0),0)),""))</f>
        <v/>
      </c>
      <c r="D7869">
        <f>IF(B7869="","",IF(C7869&lt;&gt;"","REMOVE","KEEP"))</f>
        <v/>
      </c>
      <c r="E7869">
        <f>IF(D7869&lt;&gt;"KEEP","",IF(RIGHT(B7869,10)="@gmail.com","Gmail",IF(OR(RIGHT(B7869,12)="@outlook.com",RIGHT(B7869,12)="@hotmail.com",RIGHT(B7869,9)="@live.com"),"Outlook","Domain")))</f>
        <v/>
      </c>
      <c r="F7869">
        <f>IF(B7869="","",IFERROR(RIGHT(B7869,LEN(B7869)-FIND("@",B7869)),""))</f>
        <v/>
      </c>
      <c r="G7869">
        <f>IF(D7869="KEEP",COUNTIF($D$2:D7869,"KEEP"),"")</f>
        <v/>
      </c>
      <c r="H7869">
        <f>IF(D7869="REMOVE",COUNTIF($D$2:D7869,"REMOVE"),"")</f>
        <v/>
      </c>
      <c r="I7869">
        <f>IF(E7869="Gmail",COUNTIF($E$2:E7869,"Gmail"),"")</f>
        <v/>
      </c>
      <c r="J7869">
        <f>IF(E7869="Outlook",COUNTIF($E$2:E7869,"Outlook"),"")</f>
        <v/>
      </c>
      <c r="K7869">
        <f>IF(E7869="Domain",COUNTIF($E$2:E7869,"Domain"),"")</f>
        <v/>
      </c>
    </row>
    <row r="7870">
      <c r="A7870" s="2" t="n"/>
      <c r="B7870">
        <f>LOWER(TRIM(A7870))</f>
        <v/>
      </c>
      <c r="C7870">
        <f>IF(B7870="","",IFERROR(INDEX('Bad Patterns'!$A$2:$A$120,MATCH(1,INDEX(--ISNUMBER(SEARCH('Bad Patterns'!$A$2:$A$120,B7870)),0),0)),""))</f>
        <v/>
      </c>
      <c r="D7870">
        <f>IF(B7870="","",IF(C7870&lt;&gt;"","REMOVE","KEEP"))</f>
        <v/>
      </c>
      <c r="E7870">
        <f>IF(D7870&lt;&gt;"KEEP","",IF(RIGHT(B7870,10)="@gmail.com","Gmail",IF(OR(RIGHT(B7870,12)="@outlook.com",RIGHT(B7870,12)="@hotmail.com",RIGHT(B7870,9)="@live.com"),"Outlook","Domain")))</f>
        <v/>
      </c>
      <c r="F7870">
        <f>IF(B7870="","",IFERROR(RIGHT(B7870,LEN(B7870)-FIND("@",B7870)),""))</f>
        <v/>
      </c>
      <c r="G7870">
        <f>IF(D7870="KEEP",COUNTIF($D$2:D7870,"KEEP"),"")</f>
        <v/>
      </c>
      <c r="H7870">
        <f>IF(D7870="REMOVE",COUNTIF($D$2:D7870,"REMOVE"),"")</f>
        <v/>
      </c>
      <c r="I7870">
        <f>IF(E7870="Gmail",COUNTIF($E$2:E7870,"Gmail"),"")</f>
        <v/>
      </c>
      <c r="J7870">
        <f>IF(E7870="Outlook",COUNTIF($E$2:E7870,"Outlook"),"")</f>
        <v/>
      </c>
      <c r="K7870">
        <f>IF(E7870="Domain",COUNTIF($E$2:E7870,"Domain"),"")</f>
        <v/>
      </c>
    </row>
    <row r="7871">
      <c r="A7871" s="2" t="n"/>
      <c r="B7871">
        <f>LOWER(TRIM(A7871))</f>
        <v/>
      </c>
      <c r="C7871">
        <f>IF(B7871="","",IFERROR(INDEX('Bad Patterns'!$A$2:$A$120,MATCH(1,INDEX(--ISNUMBER(SEARCH('Bad Patterns'!$A$2:$A$120,B7871)),0),0)),""))</f>
        <v/>
      </c>
      <c r="D7871">
        <f>IF(B7871="","",IF(C7871&lt;&gt;"","REMOVE","KEEP"))</f>
        <v/>
      </c>
      <c r="E7871">
        <f>IF(D7871&lt;&gt;"KEEP","",IF(RIGHT(B7871,10)="@gmail.com","Gmail",IF(OR(RIGHT(B7871,12)="@outlook.com",RIGHT(B7871,12)="@hotmail.com",RIGHT(B7871,9)="@live.com"),"Outlook","Domain")))</f>
        <v/>
      </c>
      <c r="F7871">
        <f>IF(B7871="","",IFERROR(RIGHT(B7871,LEN(B7871)-FIND("@",B7871)),""))</f>
        <v/>
      </c>
      <c r="G7871">
        <f>IF(D7871="KEEP",COUNTIF($D$2:D7871,"KEEP"),"")</f>
        <v/>
      </c>
      <c r="H7871">
        <f>IF(D7871="REMOVE",COUNTIF($D$2:D7871,"REMOVE"),"")</f>
        <v/>
      </c>
      <c r="I7871">
        <f>IF(E7871="Gmail",COUNTIF($E$2:E7871,"Gmail"),"")</f>
        <v/>
      </c>
      <c r="J7871">
        <f>IF(E7871="Outlook",COUNTIF($E$2:E7871,"Outlook"),"")</f>
        <v/>
      </c>
      <c r="K7871">
        <f>IF(E7871="Domain",COUNTIF($E$2:E7871,"Domain"),"")</f>
        <v/>
      </c>
    </row>
    <row r="7872">
      <c r="A7872" s="2" t="n"/>
      <c r="B7872">
        <f>LOWER(TRIM(A7872))</f>
        <v/>
      </c>
      <c r="C7872">
        <f>IF(B7872="","",IFERROR(INDEX('Bad Patterns'!$A$2:$A$120,MATCH(1,INDEX(--ISNUMBER(SEARCH('Bad Patterns'!$A$2:$A$120,B7872)),0),0)),""))</f>
        <v/>
      </c>
      <c r="D7872">
        <f>IF(B7872="","",IF(C7872&lt;&gt;"","REMOVE","KEEP"))</f>
        <v/>
      </c>
      <c r="E7872">
        <f>IF(D7872&lt;&gt;"KEEP","",IF(RIGHT(B7872,10)="@gmail.com","Gmail",IF(OR(RIGHT(B7872,12)="@outlook.com",RIGHT(B7872,12)="@hotmail.com",RIGHT(B7872,9)="@live.com"),"Outlook","Domain")))</f>
        <v/>
      </c>
      <c r="F7872">
        <f>IF(B7872="","",IFERROR(RIGHT(B7872,LEN(B7872)-FIND("@",B7872)),""))</f>
        <v/>
      </c>
      <c r="G7872">
        <f>IF(D7872="KEEP",COUNTIF($D$2:D7872,"KEEP"),"")</f>
        <v/>
      </c>
      <c r="H7872">
        <f>IF(D7872="REMOVE",COUNTIF($D$2:D7872,"REMOVE"),"")</f>
        <v/>
      </c>
      <c r="I7872">
        <f>IF(E7872="Gmail",COUNTIF($E$2:E7872,"Gmail"),"")</f>
        <v/>
      </c>
      <c r="J7872">
        <f>IF(E7872="Outlook",COUNTIF($E$2:E7872,"Outlook"),"")</f>
        <v/>
      </c>
      <c r="K7872">
        <f>IF(E7872="Domain",COUNTIF($E$2:E7872,"Domain"),"")</f>
        <v/>
      </c>
    </row>
    <row r="7873">
      <c r="A7873" s="2" t="n"/>
      <c r="B7873">
        <f>LOWER(TRIM(A7873))</f>
        <v/>
      </c>
      <c r="C7873">
        <f>IF(B7873="","",IFERROR(INDEX('Bad Patterns'!$A$2:$A$120,MATCH(1,INDEX(--ISNUMBER(SEARCH('Bad Patterns'!$A$2:$A$120,B7873)),0),0)),""))</f>
        <v/>
      </c>
      <c r="D7873">
        <f>IF(B7873="","",IF(C7873&lt;&gt;"","REMOVE","KEEP"))</f>
        <v/>
      </c>
      <c r="E7873">
        <f>IF(D7873&lt;&gt;"KEEP","",IF(RIGHT(B7873,10)="@gmail.com","Gmail",IF(OR(RIGHT(B7873,12)="@outlook.com",RIGHT(B7873,12)="@hotmail.com",RIGHT(B7873,9)="@live.com"),"Outlook","Domain")))</f>
        <v/>
      </c>
      <c r="F7873">
        <f>IF(B7873="","",IFERROR(RIGHT(B7873,LEN(B7873)-FIND("@",B7873)),""))</f>
        <v/>
      </c>
      <c r="G7873">
        <f>IF(D7873="KEEP",COUNTIF($D$2:D7873,"KEEP"),"")</f>
        <v/>
      </c>
      <c r="H7873">
        <f>IF(D7873="REMOVE",COUNTIF($D$2:D7873,"REMOVE"),"")</f>
        <v/>
      </c>
      <c r="I7873">
        <f>IF(E7873="Gmail",COUNTIF($E$2:E7873,"Gmail"),"")</f>
        <v/>
      </c>
      <c r="J7873">
        <f>IF(E7873="Outlook",COUNTIF($E$2:E7873,"Outlook"),"")</f>
        <v/>
      </c>
      <c r="K7873">
        <f>IF(E7873="Domain",COUNTIF($E$2:E7873,"Domain"),"")</f>
        <v/>
      </c>
    </row>
    <row r="7874">
      <c r="A7874" s="2" t="n"/>
      <c r="B7874">
        <f>LOWER(TRIM(A7874))</f>
        <v/>
      </c>
      <c r="C7874">
        <f>IF(B7874="","",IFERROR(INDEX('Bad Patterns'!$A$2:$A$120,MATCH(1,INDEX(--ISNUMBER(SEARCH('Bad Patterns'!$A$2:$A$120,B7874)),0),0)),""))</f>
        <v/>
      </c>
      <c r="D7874">
        <f>IF(B7874="","",IF(C7874&lt;&gt;"","REMOVE","KEEP"))</f>
        <v/>
      </c>
      <c r="E7874">
        <f>IF(D7874&lt;&gt;"KEEP","",IF(RIGHT(B7874,10)="@gmail.com","Gmail",IF(OR(RIGHT(B7874,12)="@outlook.com",RIGHT(B7874,12)="@hotmail.com",RIGHT(B7874,9)="@live.com"),"Outlook","Domain")))</f>
        <v/>
      </c>
      <c r="F7874">
        <f>IF(B7874="","",IFERROR(RIGHT(B7874,LEN(B7874)-FIND("@",B7874)),""))</f>
        <v/>
      </c>
      <c r="G7874">
        <f>IF(D7874="KEEP",COUNTIF($D$2:D7874,"KEEP"),"")</f>
        <v/>
      </c>
      <c r="H7874">
        <f>IF(D7874="REMOVE",COUNTIF($D$2:D7874,"REMOVE"),"")</f>
        <v/>
      </c>
      <c r="I7874">
        <f>IF(E7874="Gmail",COUNTIF($E$2:E7874,"Gmail"),"")</f>
        <v/>
      </c>
      <c r="J7874">
        <f>IF(E7874="Outlook",COUNTIF($E$2:E7874,"Outlook"),"")</f>
        <v/>
      </c>
      <c r="K7874">
        <f>IF(E7874="Domain",COUNTIF($E$2:E7874,"Domain"),"")</f>
        <v/>
      </c>
    </row>
    <row r="7875">
      <c r="A7875" s="2" t="n"/>
      <c r="B7875">
        <f>LOWER(TRIM(A7875))</f>
        <v/>
      </c>
      <c r="C7875">
        <f>IF(B7875="","",IFERROR(INDEX('Bad Patterns'!$A$2:$A$120,MATCH(1,INDEX(--ISNUMBER(SEARCH('Bad Patterns'!$A$2:$A$120,B7875)),0),0)),""))</f>
        <v/>
      </c>
      <c r="D7875">
        <f>IF(B7875="","",IF(C7875&lt;&gt;"","REMOVE","KEEP"))</f>
        <v/>
      </c>
      <c r="E7875">
        <f>IF(D7875&lt;&gt;"KEEP","",IF(RIGHT(B7875,10)="@gmail.com","Gmail",IF(OR(RIGHT(B7875,12)="@outlook.com",RIGHT(B7875,12)="@hotmail.com",RIGHT(B7875,9)="@live.com"),"Outlook","Domain")))</f>
        <v/>
      </c>
      <c r="F7875">
        <f>IF(B7875="","",IFERROR(RIGHT(B7875,LEN(B7875)-FIND("@",B7875)),""))</f>
        <v/>
      </c>
      <c r="G7875">
        <f>IF(D7875="KEEP",COUNTIF($D$2:D7875,"KEEP"),"")</f>
        <v/>
      </c>
      <c r="H7875">
        <f>IF(D7875="REMOVE",COUNTIF($D$2:D7875,"REMOVE"),"")</f>
        <v/>
      </c>
      <c r="I7875">
        <f>IF(E7875="Gmail",COUNTIF($E$2:E7875,"Gmail"),"")</f>
        <v/>
      </c>
      <c r="J7875">
        <f>IF(E7875="Outlook",COUNTIF($E$2:E7875,"Outlook"),"")</f>
        <v/>
      </c>
      <c r="K7875">
        <f>IF(E7875="Domain",COUNTIF($E$2:E7875,"Domain"),"")</f>
        <v/>
      </c>
    </row>
    <row r="7876">
      <c r="A7876" s="2" t="n"/>
      <c r="B7876">
        <f>LOWER(TRIM(A7876))</f>
        <v/>
      </c>
      <c r="C7876">
        <f>IF(B7876="","",IFERROR(INDEX('Bad Patterns'!$A$2:$A$120,MATCH(1,INDEX(--ISNUMBER(SEARCH('Bad Patterns'!$A$2:$A$120,B7876)),0),0)),""))</f>
        <v/>
      </c>
      <c r="D7876">
        <f>IF(B7876="","",IF(C7876&lt;&gt;"","REMOVE","KEEP"))</f>
        <v/>
      </c>
      <c r="E7876">
        <f>IF(D7876&lt;&gt;"KEEP","",IF(RIGHT(B7876,10)="@gmail.com","Gmail",IF(OR(RIGHT(B7876,12)="@outlook.com",RIGHT(B7876,12)="@hotmail.com",RIGHT(B7876,9)="@live.com"),"Outlook","Domain")))</f>
        <v/>
      </c>
      <c r="F7876">
        <f>IF(B7876="","",IFERROR(RIGHT(B7876,LEN(B7876)-FIND("@",B7876)),""))</f>
        <v/>
      </c>
      <c r="G7876">
        <f>IF(D7876="KEEP",COUNTIF($D$2:D7876,"KEEP"),"")</f>
        <v/>
      </c>
      <c r="H7876">
        <f>IF(D7876="REMOVE",COUNTIF($D$2:D7876,"REMOVE"),"")</f>
        <v/>
      </c>
      <c r="I7876">
        <f>IF(E7876="Gmail",COUNTIF($E$2:E7876,"Gmail"),"")</f>
        <v/>
      </c>
      <c r="J7876">
        <f>IF(E7876="Outlook",COUNTIF($E$2:E7876,"Outlook"),"")</f>
        <v/>
      </c>
      <c r="K7876">
        <f>IF(E7876="Domain",COUNTIF($E$2:E7876,"Domain"),"")</f>
        <v/>
      </c>
    </row>
    <row r="7877">
      <c r="A7877" s="2" t="n"/>
      <c r="B7877">
        <f>LOWER(TRIM(A7877))</f>
        <v/>
      </c>
      <c r="C7877">
        <f>IF(B7877="","",IFERROR(INDEX('Bad Patterns'!$A$2:$A$120,MATCH(1,INDEX(--ISNUMBER(SEARCH('Bad Patterns'!$A$2:$A$120,B7877)),0),0)),""))</f>
        <v/>
      </c>
      <c r="D7877">
        <f>IF(B7877="","",IF(C7877&lt;&gt;"","REMOVE","KEEP"))</f>
        <v/>
      </c>
      <c r="E7877">
        <f>IF(D7877&lt;&gt;"KEEP","",IF(RIGHT(B7877,10)="@gmail.com","Gmail",IF(OR(RIGHT(B7877,12)="@outlook.com",RIGHT(B7877,12)="@hotmail.com",RIGHT(B7877,9)="@live.com"),"Outlook","Domain")))</f>
        <v/>
      </c>
      <c r="F7877">
        <f>IF(B7877="","",IFERROR(RIGHT(B7877,LEN(B7877)-FIND("@",B7877)),""))</f>
        <v/>
      </c>
      <c r="G7877">
        <f>IF(D7877="KEEP",COUNTIF($D$2:D7877,"KEEP"),"")</f>
        <v/>
      </c>
      <c r="H7877">
        <f>IF(D7877="REMOVE",COUNTIF($D$2:D7877,"REMOVE"),"")</f>
        <v/>
      </c>
      <c r="I7877">
        <f>IF(E7877="Gmail",COUNTIF($E$2:E7877,"Gmail"),"")</f>
        <v/>
      </c>
      <c r="J7877">
        <f>IF(E7877="Outlook",COUNTIF($E$2:E7877,"Outlook"),"")</f>
        <v/>
      </c>
      <c r="K7877">
        <f>IF(E7877="Domain",COUNTIF($E$2:E7877,"Domain"),"")</f>
        <v/>
      </c>
    </row>
    <row r="7878">
      <c r="A7878" s="2" t="n"/>
      <c r="B7878">
        <f>LOWER(TRIM(A7878))</f>
        <v/>
      </c>
      <c r="C7878">
        <f>IF(B7878="","",IFERROR(INDEX('Bad Patterns'!$A$2:$A$120,MATCH(1,INDEX(--ISNUMBER(SEARCH('Bad Patterns'!$A$2:$A$120,B7878)),0),0)),""))</f>
        <v/>
      </c>
      <c r="D7878">
        <f>IF(B7878="","",IF(C7878&lt;&gt;"","REMOVE","KEEP"))</f>
        <v/>
      </c>
      <c r="E7878">
        <f>IF(D7878&lt;&gt;"KEEP","",IF(RIGHT(B7878,10)="@gmail.com","Gmail",IF(OR(RIGHT(B7878,12)="@outlook.com",RIGHT(B7878,12)="@hotmail.com",RIGHT(B7878,9)="@live.com"),"Outlook","Domain")))</f>
        <v/>
      </c>
      <c r="F7878">
        <f>IF(B7878="","",IFERROR(RIGHT(B7878,LEN(B7878)-FIND("@",B7878)),""))</f>
        <v/>
      </c>
      <c r="G7878">
        <f>IF(D7878="KEEP",COUNTIF($D$2:D7878,"KEEP"),"")</f>
        <v/>
      </c>
      <c r="H7878">
        <f>IF(D7878="REMOVE",COUNTIF($D$2:D7878,"REMOVE"),"")</f>
        <v/>
      </c>
      <c r="I7878">
        <f>IF(E7878="Gmail",COUNTIF($E$2:E7878,"Gmail"),"")</f>
        <v/>
      </c>
      <c r="J7878">
        <f>IF(E7878="Outlook",COUNTIF($E$2:E7878,"Outlook"),"")</f>
        <v/>
      </c>
      <c r="K7878">
        <f>IF(E7878="Domain",COUNTIF($E$2:E7878,"Domain"),"")</f>
        <v/>
      </c>
    </row>
    <row r="7879">
      <c r="A7879" s="2" t="n"/>
      <c r="B7879">
        <f>LOWER(TRIM(A7879))</f>
        <v/>
      </c>
      <c r="C7879">
        <f>IF(B7879="","",IFERROR(INDEX('Bad Patterns'!$A$2:$A$120,MATCH(1,INDEX(--ISNUMBER(SEARCH('Bad Patterns'!$A$2:$A$120,B7879)),0),0)),""))</f>
        <v/>
      </c>
      <c r="D7879">
        <f>IF(B7879="","",IF(C7879&lt;&gt;"","REMOVE","KEEP"))</f>
        <v/>
      </c>
      <c r="E7879">
        <f>IF(D7879&lt;&gt;"KEEP","",IF(RIGHT(B7879,10)="@gmail.com","Gmail",IF(OR(RIGHT(B7879,12)="@outlook.com",RIGHT(B7879,12)="@hotmail.com",RIGHT(B7879,9)="@live.com"),"Outlook","Domain")))</f>
        <v/>
      </c>
      <c r="F7879">
        <f>IF(B7879="","",IFERROR(RIGHT(B7879,LEN(B7879)-FIND("@",B7879)),""))</f>
        <v/>
      </c>
      <c r="G7879">
        <f>IF(D7879="KEEP",COUNTIF($D$2:D7879,"KEEP"),"")</f>
        <v/>
      </c>
      <c r="H7879">
        <f>IF(D7879="REMOVE",COUNTIF($D$2:D7879,"REMOVE"),"")</f>
        <v/>
      </c>
      <c r="I7879">
        <f>IF(E7879="Gmail",COUNTIF($E$2:E7879,"Gmail"),"")</f>
        <v/>
      </c>
      <c r="J7879">
        <f>IF(E7879="Outlook",COUNTIF($E$2:E7879,"Outlook"),"")</f>
        <v/>
      </c>
      <c r="K7879">
        <f>IF(E7879="Domain",COUNTIF($E$2:E7879,"Domain"),"")</f>
        <v/>
      </c>
    </row>
    <row r="7880">
      <c r="A7880" s="2" t="n"/>
      <c r="B7880">
        <f>LOWER(TRIM(A7880))</f>
        <v/>
      </c>
      <c r="C7880">
        <f>IF(B7880="","",IFERROR(INDEX('Bad Patterns'!$A$2:$A$120,MATCH(1,INDEX(--ISNUMBER(SEARCH('Bad Patterns'!$A$2:$A$120,B7880)),0),0)),""))</f>
        <v/>
      </c>
      <c r="D7880">
        <f>IF(B7880="","",IF(C7880&lt;&gt;"","REMOVE","KEEP"))</f>
        <v/>
      </c>
      <c r="E7880">
        <f>IF(D7880&lt;&gt;"KEEP","",IF(RIGHT(B7880,10)="@gmail.com","Gmail",IF(OR(RIGHT(B7880,12)="@outlook.com",RIGHT(B7880,12)="@hotmail.com",RIGHT(B7880,9)="@live.com"),"Outlook","Domain")))</f>
        <v/>
      </c>
      <c r="F7880">
        <f>IF(B7880="","",IFERROR(RIGHT(B7880,LEN(B7880)-FIND("@",B7880)),""))</f>
        <v/>
      </c>
      <c r="G7880">
        <f>IF(D7880="KEEP",COUNTIF($D$2:D7880,"KEEP"),"")</f>
        <v/>
      </c>
      <c r="H7880">
        <f>IF(D7880="REMOVE",COUNTIF($D$2:D7880,"REMOVE"),"")</f>
        <v/>
      </c>
      <c r="I7880">
        <f>IF(E7880="Gmail",COUNTIF($E$2:E7880,"Gmail"),"")</f>
        <v/>
      </c>
      <c r="J7880">
        <f>IF(E7880="Outlook",COUNTIF($E$2:E7880,"Outlook"),"")</f>
        <v/>
      </c>
      <c r="K7880">
        <f>IF(E7880="Domain",COUNTIF($E$2:E7880,"Domain"),"")</f>
        <v/>
      </c>
    </row>
    <row r="7881">
      <c r="A7881" s="2" t="n"/>
      <c r="B7881">
        <f>LOWER(TRIM(A7881))</f>
        <v/>
      </c>
      <c r="C7881">
        <f>IF(B7881="","",IFERROR(INDEX('Bad Patterns'!$A$2:$A$120,MATCH(1,INDEX(--ISNUMBER(SEARCH('Bad Patterns'!$A$2:$A$120,B7881)),0),0)),""))</f>
        <v/>
      </c>
      <c r="D7881">
        <f>IF(B7881="","",IF(C7881&lt;&gt;"","REMOVE","KEEP"))</f>
        <v/>
      </c>
      <c r="E7881">
        <f>IF(D7881&lt;&gt;"KEEP","",IF(RIGHT(B7881,10)="@gmail.com","Gmail",IF(OR(RIGHT(B7881,12)="@outlook.com",RIGHT(B7881,12)="@hotmail.com",RIGHT(B7881,9)="@live.com"),"Outlook","Domain")))</f>
        <v/>
      </c>
      <c r="F7881">
        <f>IF(B7881="","",IFERROR(RIGHT(B7881,LEN(B7881)-FIND("@",B7881)),""))</f>
        <v/>
      </c>
      <c r="G7881">
        <f>IF(D7881="KEEP",COUNTIF($D$2:D7881,"KEEP"),"")</f>
        <v/>
      </c>
      <c r="H7881">
        <f>IF(D7881="REMOVE",COUNTIF($D$2:D7881,"REMOVE"),"")</f>
        <v/>
      </c>
      <c r="I7881">
        <f>IF(E7881="Gmail",COUNTIF($E$2:E7881,"Gmail"),"")</f>
        <v/>
      </c>
      <c r="J7881">
        <f>IF(E7881="Outlook",COUNTIF($E$2:E7881,"Outlook"),"")</f>
        <v/>
      </c>
      <c r="K7881">
        <f>IF(E7881="Domain",COUNTIF($E$2:E7881,"Domain"),"")</f>
        <v/>
      </c>
    </row>
    <row r="7882">
      <c r="A7882" s="2" t="n"/>
      <c r="B7882">
        <f>LOWER(TRIM(A7882))</f>
        <v/>
      </c>
      <c r="C7882">
        <f>IF(B7882="","",IFERROR(INDEX('Bad Patterns'!$A$2:$A$120,MATCH(1,INDEX(--ISNUMBER(SEARCH('Bad Patterns'!$A$2:$A$120,B7882)),0),0)),""))</f>
        <v/>
      </c>
      <c r="D7882">
        <f>IF(B7882="","",IF(C7882&lt;&gt;"","REMOVE","KEEP"))</f>
        <v/>
      </c>
      <c r="E7882">
        <f>IF(D7882&lt;&gt;"KEEP","",IF(RIGHT(B7882,10)="@gmail.com","Gmail",IF(OR(RIGHT(B7882,12)="@outlook.com",RIGHT(B7882,12)="@hotmail.com",RIGHT(B7882,9)="@live.com"),"Outlook","Domain")))</f>
        <v/>
      </c>
      <c r="F7882">
        <f>IF(B7882="","",IFERROR(RIGHT(B7882,LEN(B7882)-FIND("@",B7882)),""))</f>
        <v/>
      </c>
      <c r="G7882">
        <f>IF(D7882="KEEP",COUNTIF($D$2:D7882,"KEEP"),"")</f>
        <v/>
      </c>
      <c r="H7882">
        <f>IF(D7882="REMOVE",COUNTIF($D$2:D7882,"REMOVE"),"")</f>
        <v/>
      </c>
      <c r="I7882">
        <f>IF(E7882="Gmail",COUNTIF($E$2:E7882,"Gmail"),"")</f>
        <v/>
      </c>
      <c r="J7882">
        <f>IF(E7882="Outlook",COUNTIF($E$2:E7882,"Outlook"),"")</f>
        <v/>
      </c>
      <c r="K7882">
        <f>IF(E7882="Domain",COUNTIF($E$2:E7882,"Domain"),"")</f>
        <v/>
      </c>
    </row>
    <row r="7883">
      <c r="A7883" s="2" t="n"/>
      <c r="B7883">
        <f>LOWER(TRIM(A7883))</f>
        <v/>
      </c>
      <c r="C7883">
        <f>IF(B7883="","",IFERROR(INDEX('Bad Patterns'!$A$2:$A$120,MATCH(1,INDEX(--ISNUMBER(SEARCH('Bad Patterns'!$A$2:$A$120,B7883)),0),0)),""))</f>
        <v/>
      </c>
      <c r="D7883">
        <f>IF(B7883="","",IF(C7883&lt;&gt;"","REMOVE","KEEP"))</f>
        <v/>
      </c>
      <c r="E7883">
        <f>IF(D7883&lt;&gt;"KEEP","",IF(RIGHT(B7883,10)="@gmail.com","Gmail",IF(OR(RIGHT(B7883,12)="@outlook.com",RIGHT(B7883,12)="@hotmail.com",RIGHT(B7883,9)="@live.com"),"Outlook","Domain")))</f>
        <v/>
      </c>
      <c r="F7883">
        <f>IF(B7883="","",IFERROR(RIGHT(B7883,LEN(B7883)-FIND("@",B7883)),""))</f>
        <v/>
      </c>
      <c r="G7883">
        <f>IF(D7883="KEEP",COUNTIF($D$2:D7883,"KEEP"),"")</f>
        <v/>
      </c>
      <c r="H7883">
        <f>IF(D7883="REMOVE",COUNTIF($D$2:D7883,"REMOVE"),"")</f>
        <v/>
      </c>
      <c r="I7883">
        <f>IF(E7883="Gmail",COUNTIF($E$2:E7883,"Gmail"),"")</f>
        <v/>
      </c>
      <c r="J7883">
        <f>IF(E7883="Outlook",COUNTIF($E$2:E7883,"Outlook"),"")</f>
        <v/>
      </c>
      <c r="K7883">
        <f>IF(E7883="Domain",COUNTIF($E$2:E7883,"Domain"),"")</f>
        <v/>
      </c>
    </row>
    <row r="7884">
      <c r="A7884" s="2" t="n"/>
      <c r="B7884">
        <f>LOWER(TRIM(A7884))</f>
        <v/>
      </c>
      <c r="C7884">
        <f>IF(B7884="","",IFERROR(INDEX('Bad Patterns'!$A$2:$A$120,MATCH(1,INDEX(--ISNUMBER(SEARCH('Bad Patterns'!$A$2:$A$120,B7884)),0),0)),""))</f>
        <v/>
      </c>
      <c r="D7884">
        <f>IF(B7884="","",IF(C7884&lt;&gt;"","REMOVE","KEEP"))</f>
        <v/>
      </c>
      <c r="E7884">
        <f>IF(D7884&lt;&gt;"KEEP","",IF(RIGHT(B7884,10)="@gmail.com","Gmail",IF(OR(RIGHT(B7884,12)="@outlook.com",RIGHT(B7884,12)="@hotmail.com",RIGHT(B7884,9)="@live.com"),"Outlook","Domain")))</f>
        <v/>
      </c>
      <c r="F7884">
        <f>IF(B7884="","",IFERROR(RIGHT(B7884,LEN(B7884)-FIND("@",B7884)),""))</f>
        <v/>
      </c>
      <c r="G7884">
        <f>IF(D7884="KEEP",COUNTIF($D$2:D7884,"KEEP"),"")</f>
        <v/>
      </c>
      <c r="H7884">
        <f>IF(D7884="REMOVE",COUNTIF($D$2:D7884,"REMOVE"),"")</f>
        <v/>
      </c>
      <c r="I7884">
        <f>IF(E7884="Gmail",COUNTIF($E$2:E7884,"Gmail"),"")</f>
        <v/>
      </c>
      <c r="J7884">
        <f>IF(E7884="Outlook",COUNTIF($E$2:E7884,"Outlook"),"")</f>
        <v/>
      </c>
      <c r="K7884">
        <f>IF(E7884="Domain",COUNTIF($E$2:E7884,"Domain"),"")</f>
        <v/>
      </c>
    </row>
    <row r="7885">
      <c r="A7885" s="2" t="n"/>
      <c r="B7885">
        <f>LOWER(TRIM(A7885))</f>
        <v/>
      </c>
      <c r="C7885">
        <f>IF(B7885="","",IFERROR(INDEX('Bad Patterns'!$A$2:$A$120,MATCH(1,INDEX(--ISNUMBER(SEARCH('Bad Patterns'!$A$2:$A$120,B7885)),0),0)),""))</f>
        <v/>
      </c>
      <c r="D7885">
        <f>IF(B7885="","",IF(C7885&lt;&gt;"","REMOVE","KEEP"))</f>
        <v/>
      </c>
      <c r="E7885">
        <f>IF(D7885&lt;&gt;"KEEP","",IF(RIGHT(B7885,10)="@gmail.com","Gmail",IF(OR(RIGHT(B7885,12)="@outlook.com",RIGHT(B7885,12)="@hotmail.com",RIGHT(B7885,9)="@live.com"),"Outlook","Domain")))</f>
        <v/>
      </c>
      <c r="F7885">
        <f>IF(B7885="","",IFERROR(RIGHT(B7885,LEN(B7885)-FIND("@",B7885)),""))</f>
        <v/>
      </c>
      <c r="G7885">
        <f>IF(D7885="KEEP",COUNTIF($D$2:D7885,"KEEP"),"")</f>
        <v/>
      </c>
      <c r="H7885">
        <f>IF(D7885="REMOVE",COUNTIF($D$2:D7885,"REMOVE"),"")</f>
        <v/>
      </c>
      <c r="I7885">
        <f>IF(E7885="Gmail",COUNTIF($E$2:E7885,"Gmail"),"")</f>
        <v/>
      </c>
      <c r="J7885">
        <f>IF(E7885="Outlook",COUNTIF($E$2:E7885,"Outlook"),"")</f>
        <v/>
      </c>
      <c r="K7885">
        <f>IF(E7885="Domain",COUNTIF($E$2:E7885,"Domain"),"")</f>
        <v/>
      </c>
    </row>
    <row r="7886">
      <c r="A7886" s="2" t="n"/>
      <c r="B7886">
        <f>LOWER(TRIM(A7886))</f>
        <v/>
      </c>
      <c r="C7886">
        <f>IF(B7886="","",IFERROR(INDEX('Bad Patterns'!$A$2:$A$120,MATCH(1,INDEX(--ISNUMBER(SEARCH('Bad Patterns'!$A$2:$A$120,B7886)),0),0)),""))</f>
        <v/>
      </c>
      <c r="D7886">
        <f>IF(B7886="","",IF(C7886&lt;&gt;"","REMOVE","KEEP"))</f>
        <v/>
      </c>
      <c r="E7886">
        <f>IF(D7886&lt;&gt;"KEEP","",IF(RIGHT(B7886,10)="@gmail.com","Gmail",IF(OR(RIGHT(B7886,12)="@outlook.com",RIGHT(B7886,12)="@hotmail.com",RIGHT(B7886,9)="@live.com"),"Outlook","Domain")))</f>
        <v/>
      </c>
      <c r="F7886">
        <f>IF(B7886="","",IFERROR(RIGHT(B7886,LEN(B7886)-FIND("@",B7886)),""))</f>
        <v/>
      </c>
      <c r="G7886">
        <f>IF(D7886="KEEP",COUNTIF($D$2:D7886,"KEEP"),"")</f>
        <v/>
      </c>
      <c r="H7886">
        <f>IF(D7886="REMOVE",COUNTIF($D$2:D7886,"REMOVE"),"")</f>
        <v/>
      </c>
      <c r="I7886">
        <f>IF(E7886="Gmail",COUNTIF($E$2:E7886,"Gmail"),"")</f>
        <v/>
      </c>
      <c r="J7886">
        <f>IF(E7886="Outlook",COUNTIF($E$2:E7886,"Outlook"),"")</f>
        <v/>
      </c>
      <c r="K7886">
        <f>IF(E7886="Domain",COUNTIF($E$2:E7886,"Domain"),"")</f>
        <v/>
      </c>
    </row>
    <row r="7887">
      <c r="A7887" s="2" t="n"/>
      <c r="B7887">
        <f>LOWER(TRIM(A7887))</f>
        <v/>
      </c>
      <c r="C7887">
        <f>IF(B7887="","",IFERROR(INDEX('Bad Patterns'!$A$2:$A$120,MATCH(1,INDEX(--ISNUMBER(SEARCH('Bad Patterns'!$A$2:$A$120,B7887)),0),0)),""))</f>
        <v/>
      </c>
      <c r="D7887">
        <f>IF(B7887="","",IF(C7887&lt;&gt;"","REMOVE","KEEP"))</f>
        <v/>
      </c>
      <c r="E7887">
        <f>IF(D7887&lt;&gt;"KEEP","",IF(RIGHT(B7887,10)="@gmail.com","Gmail",IF(OR(RIGHT(B7887,12)="@outlook.com",RIGHT(B7887,12)="@hotmail.com",RIGHT(B7887,9)="@live.com"),"Outlook","Domain")))</f>
        <v/>
      </c>
      <c r="F7887">
        <f>IF(B7887="","",IFERROR(RIGHT(B7887,LEN(B7887)-FIND("@",B7887)),""))</f>
        <v/>
      </c>
      <c r="G7887">
        <f>IF(D7887="KEEP",COUNTIF($D$2:D7887,"KEEP"),"")</f>
        <v/>
      </c>
      <c r="H7887">
        <f>IF(D7887="REMOVE",COUNTIF($D$2:D7887,"REMOVE"),"")</f>
        <v/>
      </c>
      <c r="I7887">
        <f>IF(E7887="Gmail",COUNTIF($E$2:E7887,"Gmail"),"")</f>
        <v/>
      </c>
      <c r="J7887">
        <f>IF(E7887="Outlook",COUNTIF($E$2:E7887,"Outlook"),"")</f>
        <v/>
      </c>
      <c r="K7887">
        <f>IF(E7887="Domain",COUNTIF($E$2:E7887,"Domain"),"")</f>
        <v/>
      </c>
    </row>
    <row r="7888">
      <c r="A7888" s="2" t="n"/>
      <c r="B7888">
        <f>LOWER(TRIM(A7888))</f>
        <v/>
      </c>
      <c r="C7888">
        <f>IF(B7888="","",IFERROR(INDEX('Bad Patterns'!$A$2:$A$120,MATCH(1,INDEX(--ISNUMBER(SEARCH('Bad Patterns'!$A$2:$A$120,B7888)),0),0)),""))</f>
        <v/>
      </c>
      <c r="D7888">
        <f>IF(B7888="","",IF(C7888&lt;&gt;"","REMOVE","KEEP"))</f>
        <v/>
      </c>
      <c r="E7888">
        <f>IF(D7888&lt;&gt;"KEEP","",IF(RIGHT(B7888,10)="@gmail.com","Gmail",IF(OR(RIGHT(B7888,12)="@outlook.com",RIGHT(B7888,12)="@hotmail.com",RIGHT(B7888,9)="@live.com"),"Outlook","Domain")))</f>
        <v/>
      </c>
      <c r="F7888">
        <f>IF(B7888="","",IFERROR(RIGHT(B7888,LEN(B7888)-FIND("@",B7888)),""))</f>
        <v/>
      </c>
      <c r="G7888">
        <f>IF(D7888="KEEP",COUNTIF($D$2:D7888,"KEEP"),"")</f>
        <v/>
      </c>
      <c r="H7888">
        <f>IF(D7888="REMOVE",COUNTIF($D$2:D7888,"REMOVE"),"")</f>
        <v/>
      </c>
      <c r="I7888">
        <f>IF(E7888="Gmail",COUNTIF($E$2:E7888,"Gmail"),"")</f>
        <v/>
      </c>
      <c r="J7888">
        <f>IF(E7888="Outlook",COUNTIF($E$2:E7888,"Outlook"),"")</f>
        <v/>
      </c>
      <c r="K7888">
        <f>IF(E7888="Domain",COUNTIF($E$2:E7888,"Domain"),"")</f>
        <v/>
      </c>
    </row>
    <row r="7889">
      <c r="A7889" s="2" t="n"/>
      <c r="B7889">
        <f>LOWER(TRIM(A7889))</f>
        <v/>
      </c>
      <c r="C7889">
        <f>IF(B7889="","",IFERROR(INDEX('Bad Patterns'!$A$2:$A$120,MATCH(1,INDEX(--ISNUMBER(SEARCH('Bad Patterns'!$A$2:$A$120,B7889)),0),0)),""))</f>
        <v/>
      </c>
      <c r="D7889">
        <f>IF(B7889="","",IF(C7889&lt;&gt;"","REMOVE","KEEP"))</f>
        <v/>
      </c>
      <c r="E7889">
        <f>IF(D7889&lt;&gt;"KEEP","",IF(RIGHT(B7889,10)="@gmail.com","Gmail",IF(OR(RIGHT(B7889,12)="@outlook.com",RIGHT(B7889,12)="@hotmail.com",RIGHT(B7889,9)="@live.com"),"Outlook","Domain")))</f>
        <v/>
      </c>
      <c r="F7889">
        <f>IF(B7889="","",IFERROR(RIGHT(B7889,LEN(B7889)-FIND("@",B7889)),""))</f>
        <v/>
      </c>
      <c r="G7889">
        <f>IF(D7889="KEEP",COUNTIF($D$2:D7889,"KEEP"),"")</f>
        <v/>
      </c>
      <c r="H7889">
        <f>IF(D7889="REMOVE",COUNTIF($D$2:D7889,"REMOVE"),"")</f>
        <v/>
      </c>
      <c r="I7889">
        <f>IF(E7889="Gmail",COUNTIF($E$2:E7889,"Gmail"),"")</f>
        <v/>
      </c>
      <c r="J7889">
        <f>IF(E7889="Outlook",COUNTIF($E$2:E7889,"Outlook"),"")</f>
        <v/>
      </c>
      <c r="K7889">
        <f>IF(E7889="Domain",COUNTIF($E$2:E7889,"Domain"),"")</f>
        <v/>
      </c>
    </row>
    <row r="7890">
      <c r="A7890" s="2" t="n"/>
      <c r="B7890">
        <f>LOWER(TRIM(A7890))</f>
        <v/>
      </c>
      <c r="C7890">
        <f>IF(B7890="","",IFERROR(INDEX('Bad Patterns'!$A$2:$A$120,MATCH(1,INDEX(--ISNUMBER(SEARCH('Bad Patterns'!$A$2:$A$120,B7890)),0),0)),""))</f>
        <v/>
      </c>
      <c r="D7890">
        <f>IF(B7890="","",IF(C7890&lt;&gt;"","REMOVE","KEEP"))</f>
        <v/>
      </c>
      <c r="E7890">
        <f>IF(D7890&lt;&gt;"KEEP","",IF(RIGHT(B7890,10)="@gmail.com","Gmail",IF(OR(RIGHT(B7890,12)="@outlook.com",RIGHT(B7890,12)="@hotmail.com",RIGHT(B7890,9)="@live.com"),"Outlook","Domain")))</f>
        <v/>
      </c>
      <c r="F7890">
        <f>IF(B7890="","",IFERROR(RIGHT(B7890,LEN(B7890)-FIND("@",B7890)),""))</f>
        <v/>
      </c>
      <c r="G7890">
        <f>IF(D7890="KEEP",COUNTIF($D$2:D7890,"KEEP"),"")</f>
        <v/>
      </c>
      <c r="H7890">
        <f>IF(D7890="REMOVE",COUNTIF($D$2:D7890,"REMOVE"),"")</f>
        <v/>
      </c>
      <c r="I7890">
        <f>IF(E7890="Gmail",COUNTIF($E$2:E7890,"Gmail"),"")</f>
        <v/>
      </c>
      <c r="J7890">
        <f>IF(E7890="Outlook",COUNTIF($E$2:E7890,"Outlook"),"")</f>
        <v/>
      </c>
      <c r="K7890">
        <f>IF(E7890="Domain",COUNTIF($E$2:E7890,"Domain"),"")</f>
        <v/>
      </c>
    </row>
    <row r="7891">
      <c r="A7891" s="2" t="n"/>
      <c r="B7891">
        <f>LOWER(TRIM(A7891))</f>
        <v/>
      </c>
      <c r="C7891">
        <f>IF(B7891="","",IFERROR(INDEX('Bad Patterns'!$A$2:$A$120,MATCH(1,INDEX(--ISNUMBER(SEARCH('Bad Patterns'!$A$2:$A$120,B7891)),0),0)),""))</f>
        <v/>
      </c>
      <c r="D7891">
        <f>IF(B7891="","",IF(C7891&lt;&gt;"","REMOVE","KEEP"))</f>
        <v/>
      </c>
      <c r="E7891">
        <f>IF(D7891&lt;&gt;"KEEP","",IF(RIGHT(B7891,10)="@gmail.com","Gmail",IF(OR(RIGHT(B7891,12)="@outlook.com",RIGHT(B7891,12)="@hotmail.com",RIGHT(B7891,9)="@live.com"),"Outlook","Domain")))</f>
        <v/>
      </c>
      <c r="F7891">
        <f>IF(B7891="","",IFERROR(RIGHT(B7891,LEN(B7891)-FIND("@",B7891)),""))</f>
        <v/>
      </c>
      <c r="G7891">
        <f>IF(D7891="KEEP",COUNTIF($D$2:D7891,"KEEP"),"")</f>
        <v/>
      </c>
      <c r="H7891">
        <f>IF(D7891="REMOVE",COUNTIF($D$2:D7891,"REMOVE"),"")</f>
        <v/>
      </c>
      <c r="I7891">
        <f>IF(E7891="Gmail",COUNTIF($E$2:E7891,"Gmail"),"")</f>
        <v/>
      </c>
      <c r="J7891">
        <f>IF(E7891="Outlook",COUNTIF($E$2:E7891,"Outlook"),"")</f>
        <v/>
      </c>
      <c r="K7891">
        <f>IF(E7891="Domain",COUNTIF($E$2:E7891,"Domain"),"")</f>
        <v/>
      </c>
    </row>
    <row r="7892">
      <c r="A7892" s="2" t="n"/>
      <c r="B7892">
        <f>LOWER(TRIM(A7892))</f>
        <v/>
      </c>
      <c r="C7892">
        <f>IF(B7892="","",IFERROR(INDEX('Bad Patterns'!$A$2:$A$120,MATCH(1,INDEX(--ISNUMBER(SEARCH('Bad Patterns'!$A$2:$A$120,B7892)),0),0)),""))</f>
        <v/>
      </c>
      <c r="D7892">
        <f>IF(B7892="","",IF(C7892&lt;&gt;"","REMOVE","KEEP"))</f>
        <v/>
      </c>
      <c r="E7892">
        <f>IF(D7892&lt;&gt;"KEEP","",IF(RIGHT(B7892,10)="@gmail.com","Gmail",IF(OR(RIGHT(B7892,12)="@outlook.com",RIGHT(B7892,12)="@hotmail.com",RIGHT(B7892,9)="@live.com"),"Outlook","Domain")))</f>
        <v/>
      </c>
      <c r="F7892">
        <f>IF(B7892="","",IFERROR(RIGHT(B7892,LEN(B7892)-FIND("@",B7892)),""))</f>
        <v/>
      </c>
      <c r="G7892">
        <f>IF(D7892="KEEP",COUNTIF($D$2:D7892,"KEEP"),"")</f>
        <v/>
      </c>
      <c r="H7892">
        <f>IF(D7892="REMOVE",COUNTIF($D$2:D7892,"REMOVE"),"")</f>
        <v/>
      </c>
      <c r="I7892">
        <f>IF(E7892="Gmail",COUNTIF($E$2:E7892,"Gmail"),"")</f>
        <v/>
      </c>
      <c r="J7892">
        <f>IF(E7892="Outlook",COUNTIF($E$2:E7892,"Outlook"),"")</f>
        <v/>
      </c>
      <c r="K7892">
        <f>IF(E7892="Domain",COUNTIF($E$2:E7892,"Domain"),"")</f>
        <v/>
      </c>
    </row>
    <row r="7893">
      <c r="A7893" s="2" t="n"/>
      <c r="B7893">
        <f>LOWER(TRIM(A7893))</f>
        <v/>
      </c>
      <c r="C7893">
        <f>IF(B7893="","",IFERROR(INDEX('Bad Patterns'!$A$2:$A$120,MATCH(1,INDEX(--ISNUMBER(SEARCH('Bad Patterns'!$A$2:$A$120,B7893)),0),0)),""))</f>
        <v/>
      </c>
      <c r="D7893">
        <f>IF(B7893="","",IF(C7893&lt;&gt;"","REMOVE","KEEP"))</f>
        <v/>
      </c>
      <c r="E7893">
        <f>IF(D7893&lt;&gt;"KEEP","",IF(RIGHT(B7893,10)="@gmail.com","Gmail",IF(OR(RIGHT(B7893,12)="@outlook.com",RIGHT(B7893,12)="@hotmail.com",RIGHT(B7893,9)="@live.com"),"Outlook","Domain")))</f>
        <v/>
      </c>
      <c r="F7893">
        <f>IF(B7893="","",IFERROR(RIGHT(B7893,LEN(B7893)-FIND("@",B7893)),""))</f>
        <v/>
      </c>
      <c r="G7893">
        <f>IF(D7893="KEEP",COUNTIF($D$2:D7893,"KEEP"),"")</f>
        <v/>
      </c>
      <c r="H7893">
        <f>IF(D7893="REMOVE",COUNTIF($D$2:D7893,"REMOVE"),"")</f>
        <v/>
      </c>
      <c r="I7893">
        <f>IF(E7893="Gmail",COUNTIF($E$2:E7893,"Gmail"),"")</f>
        <v/>
      </c>
      <c r="J7893">
        <f>IF(E7893="Outlook",COUNTIF($E$2:E7893,"Outlook"),"")</f>
        <v/>
      </c>
      <c r="K7893">
        <f>IF(E7893="Domain",COUNTIF($E$2:E7893,"Domain"),"")</f>
        <v/>
      </c>
    </row>
    <row r="7894">
      <c r="A7894" s="2" t="n"/>
      <c r="B7894">
        <f>LOWER(TRIM(A7894))</f>
        <v/>
      </c>
      <c r="C7894">
        <f>IF(B7894="","",IFERROR(INDEX('Bad Patterns'!$A$2:$A$120,MATCH(1,INDEX(--ISNUMBER(SEARCH('Bad Patterns'!$A$2:$A$120,B7894)),0),0)),""))</f>
        <v/>
      </c>
      <c r="D7894">
        <f>IF(B7894="","",IF(C7894&lt;&gt;"","REMOVE","KEEP"))</f>
        <v/>
      </c>
      <c r="E7894">
        <f>IF(D7894&lt;&gt;"KEEP","",IF(RIGHT(B7894,10)="@gmail.com","Gmail",IF(OR(RIGHT(B7894,12)="@outlook.com",RIGHT(B7894,12)="@hotmail.com",RIGHT(B7894,9)="@live.com"),"Outlook","Domain")))</f>
        <v/>
      </c>
      <c r="F7894">
        <f>IF(B7894="","",IFERROR(RIGHT(B7894,LEN(B7894)-FIND("@",B7894)),""))</f>
        <v/>
      </c>
      <c r="G7894">
        <f>IF(D7894="KEEP",COUNTIF($D$2:D7894,"KEEP"),"")</f>
        <v/>
      </c>
      <c r="H7894">
        <f>IF(D7894="REMOVE",COUNTIF($D$2:D7894,"REMOVE"),"")</f>
        <v/>
      </c>
      <c r="I7894">
        <f>IF(E7894="Gmail",COUNTIF($E$2:E7894,"Gmail"),"")</f>
        <v/>
      </c>
      <c r="J7894">
        <f>IF(E7894="Outlook",COUNTIF($E$2:E7894,"Outlook"),"")</f>
        <v/>
      </c>
      <c r="K7894">
        <f>IF(E7894="Domain",COUNTIF($E$2:E7894,"Domain"),"")</f>
        <v/>
      </c>
    </row>
    <row r="7895">
      <c r="A7895" s="2" t="n"/>
      <c r="B7895">
        <f>LOWER(TRIM(A7895))</f>
        <v/>
      </c>
      <c r="C7895">
        <f>IF(B7895="","",IFERROR(INDEX('Bad Patterns'!$A$2:$A$120,MATCH(1,INDEX(--ISNUMBER(SEARCH('Bad Patterns'!$A$2:$A$120,B7895)),0),0)),""))</f>
        <v/>
      </c>
      <c r="D7895">
        <f>IF(B7895="","",IF(C7895&lt;&gt;"","REMOVE","KEEP"))</f>
        <v/>
      </c>
      <c r="E7895">
        <f>IF(D7895&lt;&gt;"KEEP","",IF(RIGHT(B7895,10)="@gmail.com","Gmail",IF(OR(RIGHT(B7895,12)="@outlook.com",RIGHT(B7895,12)="@hotmail.com",RIGHT(B7895,9)="@live.com"),"Outlook","Domain")))</f>
        <v/>
      </c>
      <c r="F7895">
        <f>IF(B7895="","",IFERROR(RIGHT(B7895,LEN(B7895)-FIND("@",B7895)),""))</f>
        <v/>
      </c>
      <c r="G7895">
        <f>IF(D7895="KEEP",COUNTIF($D$2:D7895,"KEEP"),"")</f>
        <v/>
      </c>
      <c r="H7895">
        <f>IF(D7895="REMOVE",COUNTIF($D$2:D7895,"REMOVE"),"")</f>
        <v/>
      </c>
      <c r="I7895">
        <f>IF(E7895="Gmail",COUNTIF($E$2:E7895,"Gmail"),"")</f>
        <v/>
      </c>
      <c r="J7895">
        <f>IF(E7895="Outlook",COUNTIF($E$2:E7895,"Outlook"),"")</f>
        <v/>
      </c>
      <c r="K7895">
        <f>IF(E7895="Domain",COUNTIF($E$2:E7895,"Domain"),"")</f>
        <v/>
      </c>
    </row>
    <row r="7896">
      <c r="A7896" s="2" t="n"/>
      <c r="B7896">
        <f>LOWER(TRIM(A7896))</f>
        <v/>
      </c>
      <c r="C7896">
        <f>IF(B7896="","",IFERROR(INDEX('Bad Patterns'!$A$2:$A$120,MATCH(1,INDEX(--ISNUMBER(SEARCH('Bad Patterns'!$A$2:$A$120,B7896)),0),0)),""))</f>
        <v/>
      </c>
      <c r="D7896">
        <f>IF(B7896="","",IF(C7896&lt;&gt;"","REMOVE","KEEP"))</f>
        <v/>
      </c>
      <c r="E7896">
        <f>IF(D7896&lt;&gt;"KEEP","",IF(RIGHT(B7896,10)="@gmail.com","Gmail",IF(OR(RIGHT(B7896,12)="@outlook.com",RIGHT(B7896,12)="@hotmail.com",RIGHT(B7896,9)="@live.com"),"Outlook","Domain")))</f>
        <v/>
      </c>
      <c r="F7896">
        <f>IF(B7896="","",IFERROR(RIGHT(B7896,LEN(B7896)-FIND("@",B7896)),""))</f>
        <v/>
      </c>
      <c r="G7896">
        <f>IF(D7896="KEEP",COUNTIF($D$2:D7896,"KEEP"),"")</f>
        <v/>
      </c>
      <c r="H7896">
        <f>IF(D7896="REMOVE",COUNTIF($D$2:D7896,"REMOVE"),"")</f>
        <v/>
      </c>
      <c r="I7896">
        <f>IF(E7896="Gmail",COUNTIF($E$2:E7896,"Gmail"),"")</f>
        <v/>
      </c>
      <c r="J7896">
        <f>IF(E7896="Outlook",COUNTIF($E$2:E7896,"Outlook"),"")</f>
        <v/>
      </c>
      <c r="K7896">
        <f>IF(E7896="Domain",COUNTIF($E$2:E7896,"Domain"),"")</f>
        <v/>
      </c>
    </row>
    <row r="7897">
      <c r="A7897" s="2" t="n"/>
      <c r="B7897">
        <f>LOWER(TRIM(A7897))</f>
        <v/>
      </c>
      <c r="C7897">
        <f>IF(B7897="","",IFERROR(INDEX('Bad Patterns'!$A$2:$A$120,MATCH(1,INDEX(--ISNUMBER(SEARCH('Bad Patterns'!$A$2:$A$120,B7897)),0),0)),""))</f>
        <v/>
      </c>
      <c r="D7897">
        <f>IF(B7897="","",IF(C7897&lt;&gt;"","REMOVE","KEEP"))</f>
        <v/>
      </c>
      <c r="E7897">
        <f>IF(D7897&lt;&gt;"KEEP","",IF(RIGHT(B7897,10)="@gmail.com","Gmail",IF(OR(RIGHT(B7897,12)="@outlook.com",RIGHT(B7897,12)="@hotmail.com",RIGHT(B7897,9)="@live.com"),"Outlook","Domain")))</f>
        <v/>
      </c>
      <c r="F7897">
        <f>IF(B7897="","",IFERROR(RIGHT(B7897,LEN(B7897)-FIND("@",B7897)),""))</f>
        <v/>
      </c>
      <c r="G7897">
        <f>IF(D7897="KEEP",COUNTIF($D$2:D7897,"KEEP"),"")</f>
        <v/>
      </c>
      <c r="H7897">
        <f>IF(D7897="REMOVE",COUNTIF($D$2:D7897,"REMOVE"),"")</f>
        <v/>
      </c>
      <c r="I7897">
        <f>IF(E7897="Gmail",COUNTIF($E$2:E7897,"Gmail"),"")</f>
        <v/>
      </c>
      <c r="J7897">
        <f>IF(E7897="Outlook",COUNTIF($E$2:E7897,"Outlook"),"")</f>
        <v/>
      </c>
      <c r="K7897">
        <f>IF(E7897="Domain",COUNTIF($E$2:E7897,"Domain"),"")</f>
        <v/>
      </c>
    </row>
    <row r="7898">
      <c r="A7898" s="2" t="n"/>
      <c r="B7898">
        <f>LOWER(TRIM(A7898))</f>
        <v/>
      </c>
      <c r="C7898">
        <f>IF(B7898="","",IFERROR(INDEX('Bad Patterns'!$A$2:$A$120,MATCH(1,INDEX(--ISNUMBER(SEARCH('Bad Patterns'!$A$2:$A$120,B7898)),0),0)),""))</f>
        <v/>
      </c>
      <c r="D7898">
        <f>IF(B7898="","",IF(C7898&lt;&gt;"","REMOVE","KEEP"))</f>
        <v/>
      </c>
      <c r="E7898">
        <f>IF(D7898&lt;&gt;"KEEP","",IF(RIGHT(B7898,10)="@gmail.com","Gmail",IF(OR(RIGHT(B7898,12)="@outlook.com",RIGHT(B7898,12)="@hotmail.com",RIGHT(B7898,9)="@live.com"),"Outlook","Domain")))</f>
        <v/>
      </c>
      <c r="F7898">
        <f>IF(B7898="","",IFERROR(RIGHT(B7898,LEN(B7898)-FIND("@",B7898)),""))</f>
        <v/>
      </c>
      <c r="G7898">
        <f>IF(D7898="KEEP",COUNTIF($D$2:D7898,"KEEP"),"")</f>
        <v/>
      </c>
      <c r="H7898">
        <f>IF(D7898="REMOVE",COUNTIF($D$2:D7898,"REMOVE"),"")</f>
        <v/>
      </c>
      <c r="I7898">
        <f>IF(E7898="Gmail",COUNTIF($E$2:E7898,"Gmail"),"")</f>
        <v/>
      </c>
      <c r="J7898">
        <f>IF(E7898="Outlook",COUNTIF($E$2:E7898,"Outlook"),"")</f>
        <v/>
      </c>
      <c r="K7898">
        <f>IF(E7898="Domain",COUNTIF($E$2:E7898,"Domain"),"")</f>
        <v/>
      </c>
    </row>
    <row r="7899">
      <c r="A7899" s="2" t="n"/>
      <c r="B7899">
        <f>LOWER(TRIM(A7899))</f>
        <v/>
      </c>
      <c r="C7899">
        <f>IF(B7899="","",IFERROR(INDEX('Bad Patterns'!$A$2:$A$120,MATCH(1,INDEX(--ISNUMBER(SEARCH('Bad Patterns'!$A$2:$A$120,B7899)),0),0)),""))</f>
        <v/>
      </c>
      <c r="D7899">
        <f>IF(B7899="","",IF(C7899&lt;&gt;"","REMOVE","KEEP"))</f>
        <v/>
      </c>
      <c r="E7899">
        <f>IF(D7899&lt;&gt;"KEEP","",IF(RIGHT(B7899,10)="@gmail.com","Gmail",IF(OR(RIGHT(B7899,12)="@outlook.com",RIGHT(B7899,12)="@hotmail.com",RIGHT(B7899,9)="@live.com"),"Outlook","Domain")))</f>
        <v/>
      </c>
      <c r="F7899">
        <f>IF(B7899="","",IFERROR(RIGHT(B7899,LEN(B7899)-FIND("@",B7899)),""))</f>
        <v/>
      </c>
      <c r="G7899">
        <f>IF(D7899="KEEP",COUNTIF($D$2:D7899,"KEEP"),"")</f>
        <v/>
      </c>
      <c r="H7899">
        <f>IF(D7899="REMOVE",COUNTIF($D$2:D7899,"REMOVE"),"")</f>
        <v/>
      </c>
      <c r="I7899">
        <f>IF(E7899="Gmail",COUNTIF($E$2:E7899,"Gmail"),"")</f>
        <v/>
      </c>
      <c r="J7899">
        <f>IF(E7899="Outlook",COUNTIF($E$2:E7899,"Outlook"),"")</f>
        <v/>
      </c>
      <c r="K7899">
        <f>IF(E7899="Domain",COUNTIF($E$2:E7899,"Domain"),"")</f>
        <v/>
      </c>
    </row>
    <row r="7900">
      <c r="A7900" s="2" t="n"/>
      <c r="B7900">
        <f>LOWER(TRIM(A7900))</f>
        <v/>
      </c>
      <c r="C7900">
        <f>IF(B7900="","",IFERROR(INDEX('Bad Patterns'!$A$2:$A$120,MATCH(1,INDEX(--ISNUMBER(SEARCH('Bad Patterns'!$A$2:$A$120,B7900)),0),0)),""))</f>
        <v/>
      </c>
      <c r="D7900">
        <f>IF(B7900="","",IF(C7900&lt;&gt;"","REMOVE","KEEP"))</f>
        <v/>
      </c>
      <c r="E7900">
        <f>IF(D7900&lt;&gt;"KEEP","",IF(RIGHT(B7900,10)="@gmail.com","Gmail",IF(OR(RIGHT(B7900,12)="@outlook.com",RIGHT(B7900,12)="@hotmail.com",RIGHT(B7900,9)="@live.com"),"Outlook","Domain")))</f>
        <v/>
      </c>
      <c r="F7900">
        <f>IF(B7900="","",IFERROR(RIGHT(B7900,LEN(B7900)-FIND("@",B7900)),""))</f>
        <v/>
      </c>
      <c r="G7900">
        <f>IF(D7900="KEEP",COUNTIF($D$2:D7900,"KEEP"),"")</f>
        <v/>
      </c>
      <c r="H7900">
        <f>IF(D7900="REMOVE",COUNTIF($D$2:D7900,"REMOVE"),"")</f>
        <v/>
      </c>
      <c r="I7900">
        <f>IF(E7900="Gmail",COUNTIF($E$2:E7900,"Gmail"),"")</f>
        <v/>
      </c>
      <c r="J7900">
        <f>IF(E7900="Outlook",COUNTIF($E$2:E7900,"Outlook"),"")</f>
        <v/>
      </c>
      <c r="K7900">
        <f>IF(E7900="Domain",COUNTIF($E$2:E7900,"Domain"),"")</f>
        <v/>
      </c>
    </row>
    <row r="7901">
      <c r="A7901" s="2" t="n"/>
      <c r="B7901">
        <f>LOWER(TRIM(A7901))</f>
        <v/>
      </c>
      <c r="C7901">
        <f>IF(B7901="","",IFERROR(INDEX('Bad Patterns'!$A$2:$A$120,MATCH(1,INDEX(--ISNUMBER(SEARCH('Bad Patterns'!$A$2:$A$120,B7901)),0),0)),""))</f>
        <v/>
      </c>
      <c r="D7901">
        <f>IF(B7901="","",IF(C7901&lt;&gt;"","REMOVE","KEEP"))</f>
        <v/>
      </c>
      <c r="E7901">
        <f>IF(D7901&lt;&gt;"KEEP","",IF(RIGHT(B7901,10)="@gmail.com","Gmail",IF(OR(RIGHT(B7901,12)="@outlook.com",RIGHT(B7901,12)="@hotmail.com",RIGHT(B7901,9)="@live.com"),"Outlook","Domain")))</f>
        <v/>
      </c>
      <c r="F7901">
        <f>IF(B7901="","",IFERROR(RIGHT(B7901,LEN(B7901)-FIND("@",B7901)),""))</f>
        <v/>
      </c>
      <c r="G7901">
        <f>IF(D7901="KEEP",COUNTIF($D$2:D7901,"KEEP"),"")</f>
        <v/>
      </c>
      <c r="H7901">
        <f>IF(D7901="REMOVE",COUNTIF($D$2:D7901,"REMOVE"),"")</f>
        <v/>
      </c>
      <c r="I7901">
        <f>IF(E7901="Gmail",COUNTIF($E$2:E7901,"Gmail"),"")</f>
        <v/>
      </c>
      <c r="J7901">
        <f>IF(E7901="Outlook",COUNTIF($E$2:E7901,"Outlook"),"")</f>
        <v/>
      </c>
      <c r="K7901">
        <f>IF(E7901="Domain",COUNTIF($E$2:E7901,"Domain"),"")</f>
        <v/>
      </c>
    </row>
    <row r="7902">
      <c r="A7902" s="2" t="n"/>
      <c r="B7902">
        <f>LOWER(TRIM(A7902))</f>
        <v/>
      </c>
      <c r="C7902">
        <f>IF(B7902="","",IFERROR(INDEX('Bad Patterns'!$A$2:$A$120,MATCH(1,INDEX(--ISNUMBER(SEARCH('Bad Patterns'!$A$2:$A$120,B7902)),0),0)),""))</f>
        <v/>
      </c>
      <c r="D7902">
        <f>IF(B7902="","",IF(C7902&lt;&gt;"","REMOVE","KEEP"))</f>
        <v/>
      </c>
      <c r="E7902">
        <f>IF(D7902&lt;&gt;"KEEP","",IF(RIGHT(B7902,10)="@gmail.com","Gmail",IF(OR(RIGHT(B7902,12)="@outlook.com",RIGHT(B7902,12)="@hotmail.com",RIGHT(B7902,9)="@live.com"),"Outlook","Domain")))</f>
        <v/>
      </c>
      <c r="F7902">
        <f>IF(B7902="","",IFERROR(RIGHT(B7902,LEN(B7902)-FIND("@",B7902)),""))</f>
        <v/>
      </c>
      <c r="G7902">
        <f>IF(D7902="KEEP",COUNTIF($D$2:D7902,"KEEP"),"")</f>
        <v/>
      </c>
      <c r="H7902">
        <f>IF(D7902="REMOVE",COUNTIF($D$2:D7902,"REMOVE"),"")</f>
        <v/>
      </c>
      <c r="I7902">
        <f>IF(E7902="Gmail",COUNTIF($E$2:E7902,"Gmail"),"")</f>
        <v/>
      </c>
      <c r="J7902">
        <f>IF(E7902="Outlook",COUNTIF($E$2:E7902,"Outlook"),"")</f>
        <v/>
      </c>
      <c r="K7902">
        <f>IF(E7902="Domain",COUNTIF($E$2:E7902,"Domain"),"")</f>
        <v/>
      </c>
    </row>
    <row r="7903">
      <c r="A7903" s="2" t="n"/>
      <c r="B7903">
        <f>LOWER(TRIM(A7903))</f>
        <v/>
      </c>
      <c r="C7903">
        <f>IF(B7903="","",IFERROR(INDEX('Bad Patterns'!$A$2:$A$120,MATCH(1,INDEX(--ISNUMBER(SEARCH('Bad Patterns'!$A$2:$A$120,B7903)),0),0)),""))</f>
        <v/>
      </c>
      <c r="D7903">
        <f>IF(B7903="","",IF(C7903&lt;&gt;"","REMOVE","KEEP"))</f>
        <v/>
      </c>
      <c r="E7903">
        <f>IF(D7903&lt;&gt;"KEEP","",IF(RIGHT(B7903,10)="@gmail.com","Gmail",IF(OR(RIGHT(B7903,12)="@outlook.com",RIGHT(B7903,12)="@hotmail.com",RIGHT(B7903,9)="@live.com"),"Outlook","Domain")))</f>
        <v/>
      </c>
      <c r="F7903">
        <f>IF(B7903="","",IFERROR(RIGHT(B7903,LEN(B7903)-FIND("@",B7903)),""))</f>
        <v/>
      </c>
      <c r="G7903">
        <f>IF(D7903="KEEP",COUNTIF($D$2:D7903,"KEEP"),"")</f>
        <v/>
      </c>
      <c r="H7903">
        <f>IF(D7903="REMOVE",COUNTIF($D$2:D7903,"REMOVE"),"")</f>
        <v/>
      </c>
      <c r="I7903">
        <f>IF(E7903="Gmail",COUNTIF($E$2:E7903,"Gmail"),"")</f>
        <v/>
      </c>
      <c r="J7903">
        <f>IF(E7903="Outlook",COUNTIF($E$2:E7903,"Outlook"),"")</f>
        <v/>
      </c>
      <c r="K7903">
        <f>IF(E7903="Domain",COUNTIF($E$2:E7903,"Domain"),"")</f>
        <v/>
      </c>
    </row>
    <row r="7904">
      <c r="A7904" s="2" t="n"/>
      <c r="B7904">
        <f>LOWER(TRIM(A7904))</f>
        <v/>
      </c>
      <c r="C7904">
        <f>IF(B7904="","",IFERROR(INDEX('Bad Patterns'!$A$2:$A$120,MATCH(1,INDEX(--ISNUMBER(SEARCH('Bad Patterns'!$A$2:$A$120,B7904)),0),0)),""))</f>
        <v/>
      </c>
      <c r="D7904">
        <f>IF(B7904="","",IF(C7904&lt;&gt;"","REMOVE","KEEP"))</f>
        <v/>
      </c>
      <c r="E7904">
        <f>IF(D7904&lt;&gt;"KEEP","",IF(RIGHT(B7904,10)="@gmail.com","Gmail",IF(OR(RIGHT(B7904,12)="@outlook.com",RIGHT(B7904,12)="@hotmail.com",RIGHT(B7904,9)="@live.com"),"Outlook","Domain")))</f>
        <v/>
      </c>
      <c r="F7904">
        <f>IF(B7904="","",IFERROR(RIGHT(B7904,LEN(B7904)-FIND("@",B7904)),""))</f>
        <v/>
      </c>
      <c r="G7904">
        <f>IF(D7904="KEEP",COUNTIF($D$2:D7904,"KEEP"),"")</f>
        <v/>
      </c>
      <c r="H7904">
        <f>IF(D7904="REMOVE",COUNTIF($D$2:D7904,"REMOVE"),"")</f>
        <v/>
      </c>
      <c r="I7904">
        <f>IF(E7904="Gmail",COUNTIF($E$2:E7904,"Gmail"),"")</f>
        <v/>
      </c>
      <c r="J7904">
        <f>IF(E7904="Outlook",COUNTIF($E$2:E7904,"Outlook"),"")</f>
        <v/>
      </c>
      <c r="K7904">
        <f>IF(E7904="Domain",COUNTIF($E$2:E7904,"Domain"),"")</f>
        <v/>
      </c>
    </row>
    <row r="7905">
      <c r="A7905" s="2" t="n"/>
      <c r="B7905">
        <f>LOWER(TRIM(A7905))</f>
        <v/>
      </c>
      <c r="C7905">
        <f>IF(B7905="","",IFERROR(INDEX('Bad Patterns'!$A$2:$A$120,MATCH(1,INDEX(--ISNUMBER(SEARCH('Bad Patterns'!$A$2:$A$120,B7905)),0),0)),""))</f>
        <v/>
      </c>
      <c r="D7905">
        <f>IF(B7905="","",IF(C7905&lt;&gt;"","REMOVE","KEEP"))</f>
        <v/>
      </c>
      <c r="E7905">
        <f>IF(D7905&lt;&gt;"KEEP","",IF(RIGHT(B7905,10)="@gmail.com","Gmail",IF(OR(RIGHT(B7905,12)="@outlook.com",RIGHT(B7905,12)="@hotmail.com",RIGHT(B7905,9)="@live.com"),"Outlook","Domain")))</f>
        <v/>
      </c>
      <c r="F7905">
        <f>IF(B7905="","",IFERROR(RIGHT(B7905,LEN(B7905)-FIND("@",B7905)),""))</f>
        <v/>
      </c>
      <c r="G7905">
        <f>IF(D7905="KEEP",COUNTIF($D$2:D7905,"KEEP"),"")</f>
        <v/>
      </c>
      <c r="H7905">
        <f>IF(D7905="REMOVE",COUNTIF($D$2:D7905,"REMOVE"),"")</f>
        <v/>
      </c>
      <c r="I7905">
        <f>IF(E7905="Gmail",COUNTIF($E$2:E7905,"Gmail"),"")</f>
        <v/>
      </c>
      <c r="J7905">
        <f>IF(E7905="Outlook",COUNTIF($E$2:E7905,"Outlook"),"")</f>
        <v/>
      </c>
      <c r="K7905">
        <f>IF(E7905="Domain",COUNTIF($E$2:E7905,"Domain"),"")</f>
        <v/>
      </c>
    </row>
    <row r="7906">
      <c r="A7906" s="2" t="n"/>
      <c r="B7906">
        <f>LOWER(TRIM(A7906))</f>
        <v/>
      </c>
      <c r="C7906">
        <f>IF(B7906="","",IFERROR(INDEX('Bad Patterns'!$A$2:$A$120,MATCH(1,INDEX(--ISNUMBER(SEARCH('Bad Patterns'!$A$2:$A$120,B7906)),0),0)),""))</f>
        <v/>
      </c>
      <c r="D7906">
        <f>IF(B7906="","",IF(C7906&lt;&gt;"","REMOVE","KEEP"))</f>
        <v/>
      </c>
      <c r="E7906">
        <f>IF(D7906&lt;&gt;"KEEP","",IF(RIGHT(B7906,10)="@gmail.com","Gmail",IF(OR(RIGHT(B7906,12)="@outlook.com",RIGHT(B7906,12)="@hotmail.com",RIGHT(B7906,9)="@live.com"),"Outlook","Domain")))</f>
        <v/>
      </c>
      <c r="F7906">
        <f>IF(B7906="","",IFERROR(RIGHT(B7906,LEN(B7906)-FIND("@",B7906)),""))</f>
        <v/>
      </c>
      <c r="G7906">
        <f>IF(D7906="KEEP",COUNTIF($D$2:D7906,"KEEP"),"")</f>
        <v/>
      </c>
      <c r="H7906">
        <f>IF(D7906="REMOVE",COUNTIF($D$2:D7906,"REMOVE"),"")</f>
        <v/>
      </c>
      <c r="I7906">
        <f>IF(E7906="Gmail",COUNTIF($E$2:E7906,"Gmail"),"")</f>
        <v/>
      </c>
      <c r="J7906">
        <f>IF(E7906="Outlook",COUNTIF($E$2:E7906,"Outlook"),"")</f>
        <v/>
      </c>
      <c r="K7906">
        <f>IF(E7906="Domain",COUNTIF($E$2:E7906,"Domain"),"")</f>
        <v/>
      </c>
    </row>
    <row r="7907">
      <c r="A7907" s="2" t="n"/>
      <c r="B7907">
        <f>LOWER(TRIM(A7907))</f>
        <v/>
      </c>
      <c r="C7907">
        <f>IF(B7907="","",IFERROR(INDEX('Bad Patterns'!$A$2:$A$120,MATCH(1,INDEX(--ISNUMBER(SEARCH('Bad Patterns'!$A$2:$A$120,B7907)),0),0)),""))</f>
        <v/>
      </c>
      <c r="D7907">
        <f>IF(B7907="","",IF(C7907&lt;&gt;"","REMOVE","KEEP"))</f>
        <v/>
      </c>
      <c r="E7907">
        <f>IF(D7907&lt;&gt;"KEEP","",IF(RIGHT(B7907,10)="@gmail.com","Gmail",IF(OR(RIGHT(B7907,12)="@outlook.com",RIGHT(B7907,12)="@hotmail.com",RIGHT(B7907,9)="@live.com"),"Outlook","Domain")))</f>
        <v/>
      </c>
      <c r="F7907">
        <f>IF(B7907="","",IFERROR(RIGHT(B7907,LEN(B7907)-FIND("@",B7907)),""))</f>
        <v/>
      </c>
      <c r="G7907">
        <f>IF(D7907="KEEP",COUNTIF($D$2:D7907,"KEEP"),"")</f>
        <v/>
      </c>
      <c r="H7907">
        <f>IF(D7907="REMOVE",COUNTIF($D$2:D7907,"REMOVE"),"")</f>
        <v/>
      </c>
      <c r="I7907">
        <f>IF(E7907="Gmail",COUNTIF($E$2:E7907,"Gmail"),"")</f>
        <v/>
      </c>
      <c r="J7907">
        <f>IF(E7907="Outlook",COUNTIF($E$2:E7907,"Outlook"),"")</f>
        <v/>
      </c>
      <c r="K7907">
        <f>IF(E7907="Domain",COUNTIF($E$2:E7907,"Domain"),"")</f>
        <v/>
      </c>
    </row>
    <row r="7908">
      <c r="A7908" s="2" t="n"/>
      <c r="B7908">
        <f>LOWER(TRIM(A7908))</f>
        <v/>
      </c>
      <c r="C7908">
        <f>IF(B7908="","",IFERROR(INDEX('Bad Patterns'!$A$2:$A$120,MATCH(1,INDEX(--ISNUMBER(SEARCH('Bad Patterns'!$A$2:$A$120,B7908)),0),0)),""))</f>
        <v/>
      </c>
      <c r="D7908">
        <f>IF(B7908="","",IF(C7908&lt;&gt;"","REMOVE","KEEP"))</f>
        <v/>
      </c>
      <c r="E7908">
        <f>IF(D7908&lt;&gt;"KEEP","",IF(RIGHT(B7908,10)="@gmail.com","Gmail",IF(OR(RIGHT(B7908,12)="@outlook.com",RIGHT(B7908,12)="@hotmail.com",RIGHT(B7908,9)="@live.com"),"Outlook","Domain")))</f>
        <v/>
      </c>
      <c r="F7908">
        <f>IF(B7908="","",IFERROR(RIGHT(B7908,LEN(B7908)-FIND("@",B7908)),""))</f>
        <v/>
      </c>
      <c r="G7908">
        <f>IF(D7908="KEEP",COUNTIF($D$2:D7908,"KEEP"),"")</f>
        <v/>
      </c>
      <c r="H7908">
        <f>IF(D7908="REMOVE",COUNTIF($D$2:D7908,"REMOVE"),"")</f>
        <v/>
      </c>
      <c r="I7908">
        <f>IF(E7908="Gmail",COUNTIF($E$2:E7908,"Gmail"),"")</f>
        <v/>
      </c>
      <c r="J7908">
        <f>IF(E7908="Outlook",COUNTIF($E$2:E7908,"Outlook"),"")</f>
        <v/>
      </c>
      <c r="K7908">
        <f>IF(E7908="Domain",COUNTIF($E$2:E7908,"Domain"),"")</f>
        <v/>
      </c>
    </row>
    <row r="7909">
      <c r="A7909" s="2" t="n"/>
      <c r="B7909">
        <f>LOWER(TRIM(A7909))</f>
        <v/>
      </c>
      <c r="C7909">
        <f>IF(B7909="","",IFERROR(INDEX('Bad Patterns'!$A$2:$A$120,MATCH(1,INDEX(--ISNUMBER(SEARCH('Bad Patterns'!$A$2:$A$120,B7909)),0),0)),""))</f>
        <v/>
      </c>
      <c r="D7909">
        <f>IF(B7909="","",IF(C7909&lt;&gt;"","REMOVE","KEEP"))</f>
        <v/>
      </c>
      <c r="E7909">
        <f>IF(D7909&lt;&gt;"KEEP","",IF(RIGHT(B7909,10)="@gmail.com","Gmail",IF(OR(RIGHT(B7909,12)="@outlook.com",RIGHT(B7909,12)="@hotmail.com",RIGHT(B7909,9)="@live.com"),"Outlook","Domain")))</f>
        <v/>
      </c>
      <c r="F7909">
        <f>IF(B7909="","",IFERROR(RIGHT(B7909,LEN(B7909)-FIND("@",B7909)),""))</f>
        <v/>
      </c>
      <c r="G7909">
        <f>IF(D7909="KEEP",COUNTIF($D$2:D7909,"KEEP"),"")</f>
        <v/>
      </c>
      <c r="H7909">
        <f>IF(D7909="REMOVE",COUNTIF($D$2:D7909,"REMOVE"),"")</f>
        <v/>
      </c>
      <c r="I7909">
        <f>IF(E7909="Gmail",COUNTIF($E$2:E7909,"Gmail"),"")</f>
        <v/>
      </c>
      <c r="J7909">
        <f>IF(E7909="Outlook",COUNTIF($E$2:E7909,"Outlook"),"")</f>
        <v/>
      </c>
      <c r="K7909">
        <f>IF(E7909="Domain",COUNTIF($E$2:E7909,"Domain"),"")</f>
        <v/>
      </c>
    </row>
    <row r="7910">
      <c r="A7910" s="2" t="n"/>
      <c r="B7910">
        <f>LOWER(TRIM(A7910))</f>
        <v/>
      </c>
      <c r="C7910">
        <f>IF(B7910="","",IFERROR(INDEX('Bad Patterns'!$A$2:$A$120,MATCH(1,INDEX(--ISNUMBER(SEARCH('Bad Patterns'!$A$2:$A$120,B7910)),0),0)),""))</f>
        <v/>
      </c>
      <c r="D7910">
        <f>IF(B7910="","",IF(C7910&lt;&gt;"","REMOVE","KEEP"))</f>
        <v/>
      </c>
      <c r="E7910">
        <f>IF(D7910&lt;&gt;"KEEP","",IF(RIGHT(B7910,10)="@gmail.com","Gmail",IF(OR(RIGHT(B7910,12)="@outlook.com",RIGHT(B7910,12)="@hotmail.com",RIGHT(B7910,9)="@live.com"),"Outlook","Domain")))</f>
        <v/>
      </c>
      <c r="F7910">
        <f>IF(B7910="","",IFERROR(RIGHT(B7910,LEN(B7910)-FIND("@",B7910)),""))</f>
        <v/>
      </c>
      <c r="G7910">
        <f>IF(D7910="KEEP",COUNTIF($D$2:D7910,"KEEP"),"")</f>
        <v/>
      </c>
      <c r="H7910">
        <f>IF(D7910="REMOVE",COUNTIF($D$2:D7910,"REMOVE"),"")</f>
        <v/>
      </c>
      <c r="I7910">
        <f>IF(E7910="Gmail",COUNTIF($E$2:E7910,"Gmail"),"")</f>
        <v/>
      </c>
      <c r="J7910">
        <f>IF(E7910="Outlook",COUNTIF($E$2:E7910,"Outlook"),"")</f>
        <v/>
      </c>
      <c r="K7910">
        <f>IF(E7910="Domain",COUNTIF($E$2:E7910,"Domain"),"")</f>
        <v/>
      </c>
    </row>
    <row r="7911">
      <c r="A7911" s="2" t="n"/>
      <c r="B7911">
        <f>LOWER(TRIM(A7911))</f>
        <v/>
      </c>
      <c r="C7911">
        <f>IF(B7911="","",IFERROR(INDEX('Bad Patterns'!$A$2:$A$120,MATCH(1,INDEX(--ISNUMBER(SEARCH('Bad Patterns'!$A$2:$A$120,B7911)),0),0)),""))</f>
        <v/>
      </c>
      <c r="D7911">
        <f>IF(B7911="","",IF(C7911&lt;&gt;"","REMOVE","KEEP"))</f>
        <v/>
      </c>
      <c r="E7911">
        <f>IF(D7911&lt;&gt;"KEEP","",IF(RIGHT(B7911,10)="@gmail.com","Gmail",IF(OR(RIGHT(B7911,12)="@outlook.com",RIGHT(B7911,12)="@hotmail.com",RIGHT(B7911,9)="@live.com"),"Outlook","Domain")))</f>
        <v/>
      </c>
      <c r="F7911">
        <f>IF(B7911="","",IFERROR(RIGHT(B7911,LEN(B7911)-FIND("@",B7911)),""))</f>
        <v/>
      </c>
      <c r="G7911">
        <f>IF(D7911="KEEP",COUNTIF($D$2:D7911,"KEEP"),"")</f>
        <v/>
      </c>
      <c r="H7911">
        <f>IF(D7911="REMOVE",COUNTIF($D$2:D7911,"REMOVE"),"")</f>
        <v/>
      </c>
      <c r="I7911">
        <f>IF(E7911="Gmail",COUNTIF($E$2:E7911,"Gmail"),"")</f>
        <v/>
      </c>
      <c r="J7911">
        <f>IF(E7911="Outlook",COUNTIF($E$2:E7911,"Outlook"),"")</f>
        <v/>
      </c>
      <c r="K7911">
        <f>IF(E7911="Domain",COUNTIF($E$2:E7911,"Domain"),"")</f>
        <v/>
      </c>
    </row>
    <row r="7912">
      <c r="A7912" s="2" t="n"/>
      <c r="B7912">
        <f>LOWER(TRIM(A7912))</f>
        <v/>
      </c>
      <c r="C7912">
        <f>IF(B7912="","",IFERROR(INDEX('Bad Patterns'!$A$2:$A$120,MATCH(1,INDEX(--ISNUMBER(SEARCH('Bad Patterns'!$A$2:$A$120,B7912)),0),0)),""))</f>
        <v/>
      </c>
      <c r="D7912">
        <f>IF(B7912="","",IF(C7912&lt;&gt;"","REMOVE","KEEP"))</f>
        <v/>
      </c>
      <c r="E7912">
        <f>IF(D7912&lt;&gt;"KEEP","",IF(RIGHT(B7912,10)="@gmail.com","Gmail",IF(OR(RIGHT(B7912,12)="@outlook.com",RIGHT(B7912,12)="@hotmail.com",RIGHT(B7912,9)="@live.com"),"Outlook","Domain")))</f>
        <v/>
      </c>
      <c r="F7912">
        <f>IF(B7912="","",IFERROR(RIGHT(B7912,LEN(B7912)-FIND("@",B7912)),""))</f>
        <v/>
      </c>
      <c r="G7912">
        <f>IF(D7912="KEEP",COUNTIF($D$2:D7912,"KEEP"),"")</f>
        <v/>
      </c>
      <c r="H7912">
        <f>IF(D7912="REMOVE",COUNTIF($D$2:D7912,"REMOVE"),"")</f>
        <v/>
      </c>
      <c r="I7912">
        <f>IF(E7912="Gmail",COUNTIF($E$2:E7912,"Gmail"),"")</f>
        <v/>
      </c>
      <c r="J7912">
        <f>IF(E7912="Outlook",COUNTIF($E$2:E7912,"Outlook"),"")</f>
        <v/>
      </c>
      <c r="K7912">
        <f>IF(E7912="Domain",COUNTIF($E$2:E7912,"Domain"),"")</f>
        <v/>
      </c>
    </row>
    <row r="7913">
      <c r="A7913" s="2" t="n"/>
      <c r="B7913">
        <f>LOWER(TRIM(A7913))</f>
        <v/>
      </c>
      <c r="C7913">
        <f>IF(B7913="","",IFERROR(INDEX('Bad Patterns'!$A$2:$A$120,MATCH(1,INDEX(--ISNUMBER(SEARCH('Bad Patterns'!$A$2:$A$120,B7913)),0),0)),""))</f>
        <v/>
      </c>
      <c r="D7913">
        <f>IF(B7913="","",IF(C7913&lt;&gt;"","REMOVE","KEEP"))</f>
        <v/>
      </c>
      <c r="E7913">
        <f>IF(D7913&lt;&gt;"KEEP","",IF(RIGHT(B7913,10)="@gmail.com","Gmail",IF(OR(RIGHT(B7913,12)="@outlook.com",RIGHT(B7913,12)="@hotmail.com",RIGHT(B7913,9)="@live.com"),"Outlook","Domain")))</f>
        <v/>
      </c>
      <c r="F7913">
        <f>IF(B7913="","",IFERROR(RIGHT(B7913,LEN(B7913)-FIND("@",B7913)),""))</f>
        <v/>
      </c>
      <c r="G7913">
        <f>IF(D7913="KEEP",COUNTIF($D$2:D7913,"KEEP"),"")</f>
        <v/>
      </c>
      <c r="H7913">
        <f>IF(D7913="REMOVE",COUNTIF($D$2:D7913,"REMOVE"),"")</f>
        <v/>
      </c>
      <c r="I7913">
        <f>IF(E7913="Gmail",COUNTIF($E$2:E7913,"Gmail"),"")</f>
        <v/>
      </c>
      <c r="J7913">
        <f>IF(E7913="Outlook",COUNTIF($E$2:E7913,"Outlook"),"")</f>
        <v/>
      </c>
      <c r="K7913">
        <f>IF(E7913="Domain",COUNTIF($E$2:E7913,"Domain"),"")</f>
        <v/>
      </c>
    </row>
    <row r="7914">
      <c r="A7914" s="2" t="n"/>
      <c r="B7914">
        <f>LOWER(TRIM(A7914))</f>
        <v/>
      </c>
      <c r="C7914">
        <f>IF(B7914="","",IFERROR(INDEX('Bad Patterns'!$A$2:$A$120,MATCH(1,INDEX(--ISNUMBER(SEARCH('Bad Patterns'!$A$2:$A$120,B7914)),0),0)),""))</f>
        <v/>
      </c>
      <c r="D7914">
        <f>IF(B7914="","",IF(C7914&lt;&gt;"","REMOVE","KEEP"))</f>
        <v/>
      </c>
      <c r="E7914">
        <f>IF(D7914&lt;&gt;"KEEP","",IF(RIGHT(B7914,10)="@gmail.com","Gmail",IF(OR(RIGHT(B7914,12)="@outlook.com",RIGHT(B7914,12)="@hotmail.com",RIGHT(B7914,9)="@live.com"),"Outlook","Domain")))</f>
        <v/>
      </c>
      <c r="F7914">
        <f>IF(B7914="","",IFERROR(RIGHT(B7914,LEN(B7914)-FIND("@",B7914)),""))</f>
        <v/>
      </c>
      <c r="G7914">
        <f>IF(D7914="KEEP",COUNTIF($D$2:D7914,"KEEP"),"")</f>
        <v/>
      </c>
      <c r="H7914">
        <f>IF(D7914="REMOVE",COUNTIF($D$2:D7914,"REMOVE"),"")</f>
        <v/>
      </c>
      <c r="I7914">
        <f>IF(E7914="Gmail",COUNTIF($E$2:E7914,"Gmail"),"")</f>
        <v/>
      </c>
      <c r="J7914">
        <f>IF(E7914="Outlook",COUNTIF($E$2:E7914,"Outlook"),"")</f>
        <v/>
      </c>
      <c r="K7914">
        <f>IF(E7914="Domain",COUNTIF($E$2:E7914,"Domain"),"")</f>
        <v/>
      </c>
    </row>
    <row r="7915">
      <c r="A7915" s="2" t="n"/>
      <c r="B7915">
        <f>LOWER(TRIM(A7915))</f>
        <v/>
      </c>
      <c r="C7915">
        <f>IF(B7915="","",IFERROR(INDEX('Bad Patterns'!$A$2:$A$120,MATCH(1,INDEX(--ISNUMBER(SEARCH('Bad Patterns'!$A$2:$A$120,B7915)),0),0)),""))</f>
        <v/>
      </c>
      <c r="D7915">
        <f>IF(B7915="","",IF(C7915&lt;&gt;"","REMOVE","KEEP"))</f>
        <v/>
      </c>
      <c r="E7915">
        <f>IF(D7915&lt;&gt;"KEEP","",IF(RIGHT(B7915,10)="@gmail.com","Gmail",IF(OR(RIGHT(B7915,12)="@outlook.com",RIGHT(B7915,12)="@hotmail.com",RIGHT(B7915,9)="@live.com"),"Outlook","Domain")))</f>
        <v/>
      </c>
      <c r="F7915">
        <f>IF(B7915="","",IFERROR(RIGHT(B7915,LEN(B7915)-FIND("@",B7915)),""))</f>
        <v/>
      </c>
      <c r="G7915">
        <f>IF(D7915="KEEP",COUNTIF($D$2:D7915,"KEEP"),"")</f>
        <v/>
      </c>
      <c r="H7915">
        <f>IF(D7915="REMOVE",COUNTIF($D$2:D7915,"REMOVE"),"")</f>
        <v/>
      </c>
      <c r="I7915">
        <f>IF(E7915="Gmail",COUNTIF($E$2:E7915,"Gmail"),"")</f>
        <v/>
      </c>
      <c r="J7915">
        <f>IF(E7915="Outlook",COUNTIF($E$2:E7915,"Outlook"),"")</f>
        <v/>
      </c>
      <c r="K7915">
        <f>IF(E7915="Domain",COUNTIF($E$2:E7915,"Domain"),"")</f>
        <v/>
      </c>
    </row>
    <row r="7916">
      <c r="A7916" s="2" t="n"/>
      <c r="B7916">
        <f>LOWER(TRIM(A7916))</f>
        <v/>
      </c>
      <c r="C7916">
        <f>IF(B7916="","",IFERROR(INDEX('Bad Patterns'!$A$2:$A$120,MATCH(1,INDEX(--ISNUMBER(SEARCH('Bad Patterns'!$A$2:$A$120,B7916)),0),0)),""))</f>
        <v/>
      </c>
      <c r="D7916">
        <f>IF(B7916="","",IF(C7916&lt;&gt;"","REMOVE","KEEP"))</f>
        <v/>
      </c>
      <c r="E7916">
        <f>IF(D7916&lt;&gt;"KEEP","",IF(RIGHT(B7916,10)="@gmail.com","Gmail",IF(OR(RIGHT(B7916,12)="@outlook.com",RIGHT(B7916,12)="@hotmail.com",RIGHT(B7916,9)="@live.com"),"Outlook","Domain")))</f>
        <v/>
      </c>
      <c r="F7916">
        <f>IF(B7916="","",IFERROR(RIGHT(B7916,LEN(B7916)-FIND("@",B7916)),""))</f>
        <v/>
      </c>
      <c r="G7916">
        <f>IF(D7916="KEEP",COUNTIF($D$2:D7916,"KEEP"),"")</f>
        <v/>
      </c>
      <c r="H7916">
        <f>IF(D7916="REMOVE",COUNTIF($D$2:D7916,"REMOVE"),"")</f>
        <v/>
      </c>
      <c r="I7916">
        <f>IF(E7916="Gmail",COUNTIF($E$2:E7916,"Gmail"),"")</f>
        <v/>
      </c>
      <c r="J7916">
        <f>IF(E7916="Outlook",COUNTIF($E$2:E7916,"Outlook"),"")</f>
        <v/>
      </c>
      <c r="K7916">
        <f>IF(E7916="Domain",COUNTIF($E$2:E7916,"Domain"),"")</f>
        <v/>
      </c>
    </row>
    <row r="7917">
      <c r="A7917" s="2" t="n"/>
      <c r="B7917">
        <f>LOWER(TRIM(A7917))</f>
        <v/>
      </c>
      <c r="C7917">
        <f>IF(B7917="","",IFERROR(INDEX('Bad Patterns'!$A$2:$A$120,MATCH(1,INDEX(--ISNUMBER(SEARCH('Bad Patterns'!$A$2:$A$120,B7917)),0),0)),""))</f>
        <v/>
      </c>
      <c r="D7917">
        <f>IF(B7917="","",IF(C7917&lt;&gt;"","REMOVE","KEEP"))</f>
        <v/>
      </c>
      <c r="E7917">
        <f>IF(D7917&lt;&gt;"KEEP","",IF(RIGHT(B7917,10)="@gmail.com","Gmail",IF(OR(RIGHT(B7917,12)="@outlook.com",RIGHT(B7917,12)="@hotmail.com",RIGHT(B7917,9)="@live.com"),"Outlook","Domain")))</f>
        <v/>
      </c>
      <c r="F7917">
        <f>IF(B7917="","",IFERROR(RIGHT(B7917,LEN(B7917)-FIND("@",B7917)),""))</f>
        <v/>
      </c>
      <c r="G7917">
        <f>IF(D7917="KEEP",COUNTIF($D$2:D7917,"KEEP"),"")</f>
        <v/>
      </c>
      <c r="H7917">
        <f>IF(D7917="REMOVE",COUNTIF($D$2:D7917,"REMOVE"),"")</f>
        <v/>
      </c>
      <c r="I7917">
        <f>IF(E7917="Gmail",COUNTIF($E$2:E7917,"Gmail"),"")</f>
        <v/>
      </c>
      <c r="J7917">
        <f>IF(E7917="Outlook",COUNTIF($E$2:E7917,"Outlook"),"")</f>
        <v/>
      </c>
      <c r="K7917">
        <f>IF(E7917="Domain",COUNTIF($E$2:E7917,"Domain"),"")</f>
        <v/>
      </c>
    </row>
    <row r="7918">
      <c r="A7918" s="2" t="n"/>
      <c r="B7918">
        <f>LOWER(TRIM(A7918))</f>
        <v/>
      </c>
      <c r="C7918">
        <f>IF(B7918="","",IFERROR(INDEX('Bad Patterns'!$A$2:$A$120,MATCH(1,INDEX(--ISNUMBER(SEARCH('Bad Patterns'!$A$2:$A$120,B7918)),0),0)),""))</f>
        <v/>
      </c>
      <c r="D7918">
        <f>IF(B7918="","",IF(C7918&lt;&gt;"","REMOVE","KEEP"))</f>
        <v/>
      </c>
      <c r="E7918">
        <f>IF(D7918&lt;&gt;"KEEP","",IF(RIGHT(B7918,10)="@gmail.com","Gmail",IF(OR(RIGHT(B7918,12)="@outlook.com",RIGHT(B7918,12)="@hotmail.com",RIGHT(B7918,9)="@live.com"),"Outlook","Domain")))</f>
        <v/>
      </c>
      <c r="F7918">
        <f>IF(B7918="","",IFERROR(RIGHT(B7918,LEN(B7918)-FIND("@",B7918)),""))</f>
        <v/>
      </c>
      <c r="G7918">
        <f>IF(D7918="KEEP",COUNTIF($D$2:D7918,"KEEP"),"")</f>
        <v/>
      </c>
      <c r="H7918">
        <f>IF(D7918="REMOVE",COUNTIF($D$2:D7918,"REMOVE"),"")</f>
        <v/>
      </c>
      <c r="I7918">
        <f>IF(E7918="Gmail",COUNTIF($E$2:E7918,"Gmail"),"")</f>
        <v/>
      </c>
      <c r="J7918">
        <f>IF(E7918="Outlook",COUNTIF($E$2:E7918,"Outlook"),"")</f>
        <v/>
      </c>
      <c r="K7918">
        <f>IF(E7918="Domain",COUNTIF($E$2:E7918,"Domain"),"")</f>
        <v/>
      </c>
    </row>
    <row r="7919">
      <c r="A7919" s="2" t="n"/>
      <c r="B7919">
        <f>LOWER(TRIM(A7919))</f>
        <v/>
      </c>
      <c r="C7919">
        <f>IF(B7919="","",IFERROR(INDEX('Bad Patterns'!$A$2:$A$120,MATCH(1,INDEX(--ISNUMBER(SEARCH('Bad Patterns'!$A$2:$A$120,B7919)),0),0)),""))</f>
        <v/>
      </c>
      <c r="D7919">
        <f>IF(B7919="","",IF(C7919&lt;&gt;"","REMOVE","KEEP"))</f>
        <v/>
      </c>
      <c r="E7919">
        <f>IF(D7919&lt;&gt;"KEEP","",IF(RIGHT(B7919,10)="@gmail.com","Gmail",IF(OR(RIGHT(B7919,12)="@outlook.com",RIGHT(B7919,12)="@hotmail.com",RIGHT(B7919,9)="@live.com"),"Outlook","Domain")))</f>
        <v/>
      </c>
      <c r="F7919">
        <f>IF(B7919="","",IFERROR(RIGHT(B7919,LEN(B7919)-FIND("@",B7919)),""))</f>
        <v/>
      </c>
      <c r="G7919">
        <f>IF(D7919="KEEP",COUNTIF($D$2:D7919,"KEEP"),"")</f>
        <v/>
      </c>
      <c r="H7919">
        <f>IF(D7919="REMOVE",COUNTIF($D$2:D7919,"REMOVE"),"")</f>
        <v/>
      </c>
      <c r="I7919">
        <f>IF(E7919="Gmail",COUNTIF($E$2:E7919,"Gmail"),"")</f>
        <v/>
      </c>
      <c r="J7919">
        <f>IF(E7919="Outlook",COUNTIF($E$2:E7919,"Outlook"),"")</f>
        <v/>
      </c>
      <c r="K7919">
        <f>IF(E7919="Domain",COUNTIF($E$2:E7919,"Domain"),"")</f>
        <v/>
      </c>
    </row>
    <row r="7920">
      <c r="A7920" s="2" t="n"/>
      <c r="B7920">
        <f>LOWER(TRIM(A7920))</f>
        <v/>
      </c>
      <c r="C7920">
        <f>IF(B7920="","",IFERROR(INDEX('Bad Patterns'!$A$2:$A$120,MATCH(1,INDEX(--ISNUMBER(SEARCH('Bad Patterns'!$A$2:$A$120,B7920)),0),0)),""))</f>
        <v/>
      </c>
      <c r="D7920">
        <f>IF(B7920="","",IF(C7920&lt;&gt;"","REMOVE","KEEP"))</f>
        <v/>
      </c>
      <c r="E7920">
        <f>IF(D7920&lt;&gt;"KEEP","",IF(RIGHT(B7920,10)="@gmail.com","Gmail",IF(OR(RIGHT(B7920,12)="@outlook.com",RIGHT(B7920,12)="@hotmail.com",RIGHT(B7920,9)="@live.com"),"Outlook","Domain")))</f>
        <v/>
      </c>
      <c r="F7920">
        <f>IF(B7920="","",IFERROR(RIGHT(B7920,LEN(B7920)-FIND("@",B7920)),""))</f>
        <v/>
      </c>
      <c r="G7920">
        <f>IF(D7920="KEEP",COUNTIF($D$2:D7920,"KEEP"),"")</f>
        <v/>
      </c>
      <c r="H7920">
        <f>IF(D7920="REMOVE",COUNTIF($D$2:D7920,"REMOVE"),"")</f>
        <v/>
      </c>
      <c r="I7920">
        <f>IF(E7920="Gmail",COUNTIF($E$2:E7920,"Gmail"),"")</f>
        <v/>
      </c>
      <c r="J7920">
        <f>IF(E7920="Outlook",COUNTIF($E$2:E7920,"Outlook"),"")</f>
        <v/>
      </c>
      <c r="K7920">
        <f>IF(E7920="Domain",COUNTIF($E$2:E7920,"Domain"),"")</f>
        <v/>
      </c>
    </row>
    <row r="7921">
      <c r="A7921" s="2" t="n"/>
      <c r="B7921">
        <f>LOWER(TRIM(A7921))</f>
        <v/>
      </c>
      <c r="C7921">
        <f>IF(B7921="","",IFERROR(INDEX('Bad Patterns'!$A$2:$A$120,MATCH(1,INDEX(--ISNUMBER(SEARCH('Bad Patterns'!$A$2:$A$120,B7921)),0),0)),""))</f>
        <v/>
      </c>
      <c r="D7921">
        <f>IF(B7921="","",IF(C7921&lt;&gt;"","REMOVE","KEEP"))</f>
        <v/>
      </c>
      <c r="E7921">
        <f>IF(D7921&lt;&gt;"KEEP","",IF(RIGHT(B7921,10)="@gmail.com","Gmail",IF(OR(RIGHT(B7921,12)="@outlook.com",RIGHT(B7921,12)="@hotmail.com",RIGHT(B7921,9)="@live.com"),"Outlook","Domain")))</f>
        <v/>
      </c>
      <c r="F7921">
        <f>IF(B7921="","",IFERROR(RIGHT(B7921,LEN(B7921)-FIND("@",B7921)),""))</f>
        <v/>
      </c>
      <c r="G7921">
        <f>IF(D7921="KEEP",COUNTIF($D$2:D7921,"KEEP"),"")</f>
        <v/>
      </c>
      <c r="H7921">
        <f>IF(D7921="REMOVE",COUNTIF($D$2:D7921,"REMOVE"),"")</f>
        <v/>
      </c>
      <c r="I7921">
        <f>IF(E7921="Gmail",COUNTIF($E$2:E7921,"Gmail"),"")</f>
        <v/>
      </c>
      <c r="J7921">
        <f>IF(E7921="Outlook",COUNTIF($E$2:E7921,"Outlook"),"")</f>
        <v/>
      </c>
      <c r="K7921">
        <f>IF(E7921="Domain",COUNTIF($E$2:E7921,"Domain"),"")</f>
        <v/>
      </c>
    </row>
    <row r="7922">
      <c r="A7922" s="2" t="n"/>
      <c r="B7922">
        <f>LOWER(TRIM(A7922))</f>
        <v/>
      </c>
      <c r="C7922">
        <f>IF(B7922="","",IFERROR(INDEX('Bad Patterns'!$A$2:$A$120,MATCH(1,INDEX(--ISNUMBER(SEARCH('Bad Patterns'!$A$2:$A$120,B7922)),0),0)),""))</f>
        <v/>
      </c>
      <c r="D7922">
        <f>IF(B7922="","",IF(C7922&lt;&gt;"","REMOVE","KEEP"))</f>
        <v/>
      </c>
      <c r="E7922">
        <f>IF(D7922&lt;&gt;"KEEP","",IF(RIGHT(B7922,10)="@gmail.com","Gmail",IF(OR(RIGHT(B7922,12)="@outlook.com",RIGHT(B7922,12)="@hotmail.com",RIGHT(B7922,9)="@live.com"),"Outlook","Domain")))</f>
        <v/>
      </c>
      <c r="F7922">
        <f>IF(B7922="","",IFERROR(RIGHT(B7922,LEN(B7922)-FIND("@",B7922)),""))</f>
        <v/>
      </c>
      <c r="G7922">
        <f>IF(D7922="KEEP",COUNTIF($D$2:D7922,"KEEP"),"")</f>
        <v/>
      </c>
      <c r="H7922">
        <f>IF(D7922="REMOVE",COUNTIF($D$2:D7922,"REMOVE"),"")</f>
        <v/>
      </c>
      <c r="I7922">
        <f>IF(E7922="Gmail",COUNTIF($E$2:E7922,"Gmail"),"")</f>
        <v/>
      </c>
      <c r="J7922">
        <f>IF(E7922="Outlook",COUNTIF($E$2:E7922,"Outlook"),"")</f>
        <v/>
      </c>
      <c r="K7922">
        <f>IF(E7922="Domain",COUNTIF($E$2:E7922,"Domain"),"")</f>
        <v/>
      </c>
    </row>
    <row r="7923">
      <c r="A7923" s="2" t="n"/>
      <c r="B7923">
        <f>LOWER(TRIM(A7923))</f>
        <v/>
      </c>
      <c r="C7923">
        <f>IF(B7923="","",IFERROR(INDEX('Bad Patterns'!$A$2:$A$120,MATCH(1,INDEX(--ISNUMBER(SEARCH('Bad Patterns'!$A$2:$A$120,B7923)),0),0)),""))</f>
        <v/>
      </c>
      <c r="D7923">
        <f>IF(B7923="","",IF(C7923&lt;&gt;"","REMOVE","KEEP"))</f>
        <v/>
      </c>
      <c r="E7923">
        <f>IF(D7923&lt;&gt;"KEEP","",IF(RIGHT(B7923,10)="@gmail.com","Gmail",IF(OR(RIGHT(B7923,12)="@outlook.com",RIGHT(B7923,12)="@hotmail.com",RIGHT(B7923,9)="@live.com"),"Outlook","Domain")))</f>
        <v/>
      </c>
      <c r="F7923">
        <f>IF(B7923="","",IFERROR(RIGHT(B7923,LEN(B7923)-FIND("@",B7923)),""))</f>
        <v/>
      </c>
      <c r="G7923">
        <f>IF(D7923="KEEP",COUNTIF($D$2:D7923,"KEEP"),"")</f>
        <v/>
      </c>
      <c r="H7923">
        <f>IF(D7923="REMOVE",COUNTIF($D$2:D7923,"REMOVE"),"")</f>
        <v/>
      </c>
      <c r="I7923">
        <f>IF(E7923="Gmail",COUNTIF($E$2:E7923,"Gmail"),"")</f>
        <v/>
      </c>
      <c r="J7923">
        <f>IF(E7923="Outlook",COUNTIF($E$2:E7923,"Outlook"),"")</f>
        <v/>
      </c>
      <c r="K7923">
        <f>IF(E7923="Domain",COUNTIF($E$2:E7923,"Domain"),"")</f>
        <v/>
      </c>
    </row>
    <row r="7924">
      <c r="A7924" s="2" t="n"/>
      <c r="B7924">
        <f>LOWER(TRIM(A7924))</f>
        <v/>
      </c>
      <c r="C7924">
        <f>IF(B7924="","",IFERROR(INDEX('Bad Patterns'!$A$2:$A$120,MATCH(1,INDEX(--ISNUMBER(SEARCH('Bad Patterns'!$A$2:$A$120,B7924)),0),0)),""))</f>
        <v/>
      </c>
      <c r="D7924">
        <f>IF(B7924="","",IF(C7924&lt;&gt;"","REMOVE","KEEP"))</f>
        <v/>
      </c>
      <c r="E7924">
        <f>IF(D7924&lt;&gt;"KEEP","",IF(RIGHT(B7924,10)="@gmail.com","Gmail",IF(OR(RIGHT(B7924,12)="@outlook.com",RIGHT(B7924,12)="@hotmail.com",RIGHT(B7924,9)="@live.com"),"Outlook","Domain")))</f>
        <v/>
      </c>
      <c r="F7924">
        <f>IF(B7924="","",IFERROR(RIGHT(B7924,LEN(B7924)-FIND("@",B7924)),""))</f>
        <v/>
      </c>
      <c r="G7924">
        <f>IF(D7924="KEEP",COUNTIF($D$2:D7924,"KEEP"),"")</f>
        <v/>
      </c>
      <c r="H7924">
        <f>IF(D7924="REMOVE",COUNTIF($D$2:D7924,"REMOVE"),"")</f>
        <v/>
      </c>
      <c r="I7924">
        <f>IF(E7924="Gmail",COUNTIF($E$2:E7924,"Gmail"),"")</f>
        <v/>
      </c>
      <c r="J7924">
        <f>IF(E7924="Outlook",COUNTIF($E$2:E7924,"Outlook"),"")</f>
        <v/>
      </c>
      <c r="K7924">
        <f>IF(E7924="Domain",COUNTIF($E$2:E7924,"Domain"),"")</f>
        <v/>
      </c>
    </row>
    <row r="7925">
      <c r="A7925" s="2" t="n"/>
      <c r="B7925">
        <f>LOWER(TRIM(A7925))</f>
        <v/>
      </c>
      <c r="C7925">
        <f>IF(B7925="","",IFERROR(INDEX('Bad Patterns'!$A$2:$A$120,MATCH(1,INDEX(--ISNUMBER(SEARCH('Bad Patterns'!$A$2:$A$120,B7925)),0),0)),""))</f>
        <v/>
      </c>
      <c r="D7925">
        <f>IF(B7925="","",IF(C7925&lt;&gt;"","REMOVE","KEEP"))</f>
        <v/>
      </c>
      <c r="E7925">
        <f>IF(D7925&lt;&gt;"KEEP","",IF(RIGHT(B7925,10)="@gmail.com","Gmail",IF(OR(RIGHT(B7925,12)="@outlook.com",RIGHT(B7925,12)="@hotmail.com",RIGHT(B7925,9)="@live.com"),"Outlook","Domain")))</f>
        <v/>
      </c>
      <c r="F7925">
        <f>IF(B7925="","",IFERROR(RIGHT(B7925,LEN(B7925)-FIND("@",B7925)),""))</f>
        <v/>
      </c>
      <c r="G7925">
        <f>IF(D7925="KEEP",COUNTIF($D$2:D7925,"KEEP"),"")</f>
        <v/>
      </c>
      <c r="H7925">
        <f>IF(D7925="REMOVE",COUNTIF($D$2:D7925,"REMOVE"),"")</f>
        <v/>
      </c>
      <c r="I7925">
        <f>IF(E7925="Gmail",COUNTIF($E$2:E7925,"Gmail"),"")</f>
        <v/>
      </c>
      <c r="J7925">
        <f>IF(E7925="Outlook",COUNTIF($E$2:E7925,"Outlook"),"")</f>
        <v/>
      </c>
      <c r="K7925">
        <f>IF(E7925="Domain",COUNTIF($E$2:E7925,"Domain"),"")</f>
        <v/>
      </c>
    </row>
    <row r="7926">
      <c r="A7926" s="2" t="n"/>
      <c r="B7926">
        <f>LOWER(TRIM(A7926))</f>
        <v/>
      </c>
      <c r="C7926">
        <f>IF(B7926="","",IFERROR(INDEX('Bad Patterns'!$A$2:$A$120,MATCH(1,INDEX(--ISNUMBER(SEARCH('Bad Patterns'!$A$2:$A$120,B7926)),0),0)),""))</f>
        <v/>
      </c>
      <c r="D7926">
        <f>IF(B7926="","",IF(C7926&lt;&gt;"","REMOVE","KEEP"))</f>
        <v/>
      </c>
      <c r="E7926">
        <f>IF(D7926&lt;&gt;"KEEP","",IF(RIGHT(B7926,10)="@gmail.com","Gmail",IF(OR(RIGHT(B7926,12)="@outlook.com",RIGHT(B7926,12)="@hotmail.com",RIGHT(B7926,9)="@live.com"),"Outlook","Domain")))</f>
        <v/>
      </c>
      <c r="F7926">
        <f>IF(B7926="","",IFERROR(RIGHT(B7926,LEN(B7926)-FIND("@",B7926)),""))</f>
        <v/>
      </c>
      <c r="G7926">
        <f>IF(D7926="KEEP",COUNTIF($D$2:D7926,"KEEP"),"")</f>
        <v/>
      </c>
      <c r="H7926">
        <f>IF(D7926="REMOVE",COUNTIF($D$2:D7926,"REMOVE"),"")</f>
        <v/>
      </c>
      <c r="I7926">
        <f>IF(E7926="Gmail",COUNTIF($E$2:E7926,"Gmail"),"")</f>
        <v/>
      </c>
      <c r="J7926">
        <f>IF(E7926="Outlook",COUNTIF($E$2:E7926,"Outlook"),"")</f>
        <v/>
      </c>
      <c r="K7926">
        <f>IF(E7926="Domain",COUNTIF($E$2:E7926,"Domain"),"")</f>
        <v/>
      </c>
    </row>
    <row r="7927">
      <c r="A7927" s="2" t="n"/>
      <c r="B7927">
        <f>LOWER(TRIM(A7927))</f>
        <v/>
      </c>
      <c r="C7927">
        <f>IF(B7927="","",IFERROR(INDEX('Bad Patterns'!$A$2:$A$120,MATCH(1,INDEX(--ISNUMBER(SEARCH('Bad Patterns'!$A$2:$A$120,B7927)),0),0)),""))</f>
        <v/>
      </c>
      <c r="D7927">
        <f>IF(B7927="","",IF(C7927&lt;&gt;"","REMOVE","KEEP"))</f>
        <v/>
      </c>
      <c r="E7927">
        <f>IF(D7927&lt;&gt;"KEEP","",IF(RIGHT(B7927,10)="@gmail.com","Gmail",IF(OR(RIGHT(B7927,12)="@outlook.com",RIGHT(B7927,12)="@hotmail.com",RIGHT(B7927,9)="@live.com"),"Outlook","Domain")))</f>
        <v/>
      </c>
      <c r="F7927">
        <f>IF(B7927="","",IFERROR(RIGHT(B7927,LEN(B7927)-FIND("@",B7927)),""))</f>
        <v/>
      </c>
      <c r="G7927">
        <f>IF(D7927="KEEP",COUNTIF($D$2:D7927,"KEEP"),"")</f>
        <v/>
      </c>
      <c r="H7927">
        <f>IF(D7927="REMOVE",COUNTIF($D$2:D7927,"REMOVE"),"")</f>
        <v/>
      </c>
      <c r="I7927">
        <f>IF(E7927="Gmail",COUNTIF($E$2:E7927,"Gmail"),"")</f>
        <v/>
      </c>
      <c r="J7927">
        <f>IF(E7927="Outlook",COUNTIF($E$2:E7927,"Outlook"),"")</f>
        <v/>
      </c>
      <c r="K7927">
        <f>IF(E7927="Domain",COUNTIF($E$2:E7927,"Domain"),"")</f>
        <v/>
      </c>
    </row>
    <row r="7928">
      <c r="A7928" s="2" t="n"/>
      <c r="B7928">
        <f>LOWER(TRIM(A7928))</f>
        <v/>
      </c>
      <c r="C7928">
        <f>IF(B7928="","",IFERROR(INDEX('Bad Patterns'!$A$2:$A$120,MATCH(1,INDEX(--ISNUMBER(SEARCH('Bad Patterns'!$A$2:$A$120,B7928)),0),0)),""))</f>
        <v/>
      </c>
      <c r="D7928">
        <f>IF(B7928="","",IF(C7928&lt;&gt;"","REMOVE","KEEP"))</f>
        <v/>
      </c>
      <c r="E7928">
        <f>IF(D7928&lt;&gt;"KEEP","",IF(RIGHT(B7928,10)="@gmail.com","Gmail",IF(OR(RIGHT(B7928,12)="@outlook.com",RIGHT(B7928,12)="@hotmail.com",RIGHT(B7928,9)="@live.com"),"Outlook","Domain")))</f>
        <v/>
      </c>
      <c r="F7928">
        <f>IF(B7928="","",IFERROR(RIGHT(B7928,LEN(B7928)-FIND("@",B7928)),""))</f>
        <v/>
      </c>
      <c r="G7928">
        <f>IF(D7928="KEEP",COUNTIF($D$2:D7928,"KEEP"),"")</f>
        <v/>
      </c>
      <c r="H7928">
        <f>IF(D7928="REMOVE",COUNTIF($D$2:D7928,"REMOVE"),"")</f>
        <v/>
      </c>
      <c r="I7928">
        <f>IF(E7928="Gmail",COUNTIF($E$2:E7928,"Gmail"),"")</f>
        <v/>
      </c>
      <c r="J7928">
        <f>IF(E7928="Outlook",COUNTIF($E$2:E7928,"Outlook"),"")</f>
        <v/>
      </c>
      <c r="K7928">
        <f>IF(E7928="Domain",COUNTIF($E$2:E7928,"Domain"),"")</f>
        <v/>
      </c>
    </row>
    <row r="7929">
      <c r="A7929" s="2" t="n"/>
      <c r="B7929">
        <f>LOWER(TRIM(A7929))</f>
        <v/>
      </c>
      <c r="C7929">
        <f>IF(B7929="","",IFERROR(INDEX('Bad Patterns'!$A$2:$A$120,MATCH(1,INDEX(--ISNUMBER(SEARCH('Bad Patterns'!$A$2:$A$120,B7929)),0),0)),""))</f>
        <v/>
      </c>
      <c r="D7929">
        <f>IF(B7929="","",IF(C7929&lt;&gt;"","REMOVE","KEEP"))</f>
        <v/>
      </c>
      <c r="E7929">
        <f>IF(D7929&lt;&gt;"KEEP","",IF(RIGHT(B7929,10)="@gmail.com","Gmail",IF(OR(RIGHT(B7929,12)="@outlook.com",RIGHT(B7929,12)="@hotmail.com",RIGHT(B7929,9)="@live.com"),"Outlook","Domain")))</f>
        <v/>
      </c>
      <c r="F7929">
        <f>IF(B7929="","",IFERROR(RIGHT(B7929,LEN(B7929)-FIND("@",B7929)),""))</f>
        <v/>
      </c>
      <c r="G7929">
        <f>IF(D7929="KEEP",COUNTIF($D$2:D7929,"KEEP"),"")</f>
        <v/>
      </c>
      <c r="H7929">
        <f>IF(D7929="REMOVE",COUNTIF($D$2:D7929,"REMOVE"),"")</f>
        <v/>
      </c>
      <c r="I7929">
        <f>IF(E7929="Gmail",COUNTIF($E$2:E7929,"Gmail"),"")</f>
        <v/>
      </c>
      <c r="J7929">
        <f>IF(E7929="Outlook",COUNTIF($E$2:E7929,"Outlook"),"")</f>
        <v/>
      </c>
      <c r="K7929">
        <f>IF(E7929="Domain",COUNTIF($E$2:E7929,"Domain"),"")</f>
        <v/>
      </c>
    </row>
    <row r="7930">
      <c r="A7930" s="2" t="n"/>
      <c r="B7930">
        <f>LOWER(TRIM(A7930))</f>
        <v/>
      </c>
      <c r="C7930">
        <f>IF(B7930="","",IFERROR(INDEX('Bad Patterns'!$A$2:$A$120,MATCH(1,INDEX(--ISNUMBER(SEARCH('Bad Patterns'!$A$2:$A$120,B7930)),0),0)),""))</f>
        <v/>
      </c>
      <c r="D7930">
        <f>IF(B7930="","",IF(C7930&lt;&gt;"","REMOVE","KEEP"))</f>
        <v/>
      </c>
      <c r="E7930">
        <f>IF(D7930&lt;&gt;"KEEP","",IF(RIGHT(B7930,10)="@gmail.com","Gmail",IF(OR(RIGHT(B7930,12)="@outlook.com",RIGHT(B7930,12)="@hotmail.com",RIGHT(B7930,9)="@live.com"),"Outlook","Domain")))</f>
        <v/>
      </c>
      <c r="F7930">
        <f>IF(B7930="","",IFERROR(RIGHT(B7930,LEN(B7930)-FIND("@",B7930)),""))</f>
        <v/>
      </c>
      <c r="G7930">
        <f>IF(D7930="KEEP",COUNTIF($D$2:D7930,"KEEP"),"")</f>
        <v/>
      </c>
      <c r="H7930">
        <f>IF(D7930="REMOVE",COUNTIF($D$2:D7930,"REMOVE"),"")</f>
        <v/>
      </c>
      <c r="I7930">
        <f>IF(E7930="Gmail",COUNTIF($E$2:E7930,"Gmail"),"")</f>
        <v/>
      </c>
      <c r="J7930">
        <f>IF(E7930="Outlook",COUNTIF($E$2:E7930,"Outlook"),"")</f>
        <v/>
      </c>
      <c r="K7930">
        <f>IF(E7930="Domain",COUNTIF($E$2:E7930,"Domain"),"")</f>
        <v/>
      </c>
    </row>
    <row r="7931">
      <c r="A7931" s="2" t="n"/>
      <c r="B7931">
        <f>LOWER(TRIM(A7931))</f>
        <v/>
      </c>
      <c r="C7931">
        <f>IF(B7931="","",IFERROR(INDEX('Bad Patterns'!$A$2:$A$120,MATCH(1,INDEX(--ISNUMBER(SEARCH('Bad Patterns'!$A$2:$A$120,B7931)),0),0)),""))</f>
        <v/>
      </c>
      <c r="D7931">
        <f>IF(B7931="","",IF(C7931&lt;&gt;"","REMOVE","KEEP"))</f>
        <v/>
      </c>
      <c r="E7931">
        <f>IF(D7931&lt;&gt;"KEEP","",IF(RIGHT(B7931,10)="@gmail.com","Gmail",IF(OR(RIGHT(B7931,12)="@outlook.com",RIGHT(B7931,12)="@hotmail.com",RIGHT(B7931,9)="@live.com"),"Outlook","Domain")))</f>
        <v/>
      </c>
      <c r="F7931">
        <f>IF(B7931="","",IFERROR(RIGHT(B7931,LEN(B7931)-FIND("@",B7931)),""))</f>
        <v/>
      </c>
      <c r="G7931">
        <f>IF(D7931="KEEP",COUNTIF($D$2:D7931,"KEEP"),"")</f>
        <v/>
      </c>
      <c r="H7931">
        <f>IF(D7931="REMOVE",COUNTIF($D$2:D7931,"REMOVE"),"")</f>
        <v/>
      </c>
      <c r="I7931">
        <f>IF(E7931="Gmail",COUNTIF($E$2:E7931,"Gmail"),"")</f>
        <v/>
      </c>
      <c r="J7931">
        <f>IF(E7931="Outlook",COUNTIF($E$2:E7931,"Outlook"),"")</f>
        <v/>
      </c>
      <c r="K7931">
        <f>IF(E7931="Domain",COUNTIF($E$2:E7931,"Domain"),"")</f>
        <v/>
      </c>
    </row>
    <row r="7932">
      <c r="A7932" s="2" t="n"/>
      <c r="B7932">
        <f>LOWER(TRIM(A7932))</f>
        <v/>
      </c>
      <c r="C7932">
        <f>IF(B7932="","",IFERROR(INDEX('Bad Patterns'!$A$2:$A$120,MATCH(1,INDEX(--ISNUMBER(SEARCH('Bad Patterns'!$A$2:$A$120,B7932)),0),0)),""))</f>
        <v/>
      </c>
      <c r="D7932">
        <f>IF(B7932="","",IF(C7932&lt;&gt;"","REMOVE","KEEP"))</f>
        <v/>
      </c>
      <c r="E7932">
        <f>IF(D7932&lt;&gt;"KEEP","",IF(RIGHT(B7932,10)="@gmail.com","Gmail",IF(OR(RIGHT(B7932,12)="@outlook.com",RIGHT(B7932,12)="@hotmail.com",RIGHT(B7932,9)="@live.com"),"Outlook","Domain")))</f>
        <v/>
      </c>
      <c r="F7932">
        <f>IF(B7932="","",IFERROR(RIGHT(B7932,LEN(B7932)-FIND("@",B7932)),""))</f>
        <v/>
      </c>
      <c r="G7932">
        <f>IF(D7932="KEEP",COUNTIF($D$2:D7932,"KEEP"),"")</f>
        <v/>
      </c>
      <c r="H7932">
        <f>IF(D7932="REMOVE",COUNTIF($D$2:D7932,"REMOVE"),"")</f>
        <v/>
      </c>
      <c r="I7932">
        <f>IF(E7932="Gmail",COUNTIF($E$2:E7932,"Gmail"),"")</f>
        <v/>
      </c>
      <c r="J7932">
        <f>IF(E7932="Outlook",COUNTIF($E$2:E7932,"Outlook"),"")</f>
        <v/>
      </c>
      <c r="K7932">
        <f>IF(E7932="Domain",COUNTIF($E$2:E7932,"Domain"),"")</f>
        <v/>
      </c>
    </row>
    <row r="7933">
      <c r="A7933" s="2" t="n"/>
      <c r="B7933">
        <f>LOWER(TRIM(A7933))</f>
        <v/>
      </c>
      <c r="C7933">
        <f>IF(B7933="","",IFERROR(INDEX('Bad Patterns'!$A$2:$A$120,MATCH(1,INDEX(--ISNUMBER(SEARCH('Bad Patterns'!$A$2:$A$120,B7933)),0),0)),""))</f>
        <v/>
      </c>
      <c r="D7933">
        <f>IF(B7933="","",IF(C7933&lt;&gt;"","REMOVE","KEEP"))</f>
        <v/>
      </c>
      <c r="E7933">
        <f>IF(D7933&lt;&gt;"KEEP","",IF(RIGHT(B7933,10)="@gmail.com","Gmail",IF(OR(RIGHT(B7933,12)="@outlook.com",RIGHT(B7933,12)="@hotmail.com",RIGHT(B7933,9)="@live.com"),"Outlook","Domain")))</f>
        <v/>
      </c>
      <c r="F7933">
        <f>IF(B7933="","",IFERROR(RIGHT(B7933,LEN(B7933)-FIND("@",B7933)),""))</f>
        <v/>
      </c>
      <c r="G7933">
        <f>IF(D7933="KEEP",COUNTIF($D$2:D7933,"KEEP"),"")</f>
        <v/>
      </c>
      <c r="H7933">
        <f>IF(D7933="REMOVE",COUNTIF($D$2:D7933,"REMOVE"),"")</f>
        <v/>
      </c>
      <c r="I7933">
        <f>IF(E7933="Gmail",COUNTIF($E$2:E7933,"Gmail"),"")</f>
        <v/>
      </c>
      <c r="J7933">
        <f>IF(E7933="Outlook",COUNTIF($E$2:E7933,"Outlook"),"")</f>
        <v/>
      </c>
      <c r="K7933">
        <f>IF(E7933="Domain",COUNTIF($E$2:E7933,"Domain"),"")</f>
        <v/>
      </c>
    </row>
    <row r="7934">
      <c r="A7934" s="2" t="n"/>
      <c r="B7934">
        <f>LOWER(TRIM(A7934))</f>
        <v/>
      </c>
      <c r="C7934">
        <f>IF(B7934="","",IFERROR(INDEX('Bad Patterns'!$A$2:$A$120,MATCH(1,INDEX(--ISNUMBER(SEARCH('Bad Patterns'!$A$2:$A$120,B7934)),0),0)),""))</f>
        <v/>
      </c>
      <c r="D7934">
        <f>IF(B7934="","",IF(C7934&lt;&gt;"","REMOVE","KEEP"))</f>
        <v/>
      </c>
      <c r="E7934">
        <f>IF(D7934&lt;&gt;"KEEP","",IF(RIGHT(B7934,10)="@gmail.com","Gmail",IF(OR(RIGHT(B7934,12)="@outlook.com",RIGHT(B7934,12)="@hotmail.com",RIGHT(B7934,9)="@live.com"),"Outlook","Domain")))</f>
        <v/>
      </c>
      <c r="F7934">
        <f>IF(B7934="","",IFERROR(RIGHT(B7934,LEN(B7934)-FIND("@",B7934)),""))</f>
        <v/>
      </c>
      <c r="G7934">
        <f>IF(D7934="KEEP",COUNTIF($D$2:D7934,"KEEP"),"")</f>
        <v/>
      </c>
      <c r="H7934">
        <f>IF(D7934="REMOVE",COUNTIF($D$2:D7934,"REMOVE"),"")</f>
        <v/>
      </c>
      <c r="I7934">
        <f>IF(E7934="Gmail",COUNTIF($E$2:E7934,"Gmail"),"")</f>
        <v/>
      </c>
      <c r="J7934">
        <f>IF(E7934="Outlook",COUNTIF($E$2:E7934,"Outlook"),"")</f>
        <v/>
      </c>
      <c r="K7934">
        <f>IF(E7934="Domain",COUNTIF($E$2:E7934,"Domain"),"")</f>
        <v/>
      </c>
    </row>
    <row r="7935">
      <c r="A7935" s="2" t="n"/>
      <c r="B7935">
        <f>LOWER(TRIM(A7935))</f>
        <v/>
      </c>
      <c r="C7935">
        <f>IF(B7935="","",IFERROR(INDEX('Bad Patterns'!$A$2:$A$120,MATCH(1,INDEX(--ISNUMBER(SEARCH('Bad Patterns'!$A$2:$A$120,B7935)),0),0)),""))</f>
        <v/>
      </c>
      <c r="D7935">
        <f>IF(B7935="","",IF(C7935&lt;&gt;"","REMOVE","KEEP"))</f>
        <v/>
      </c>
      <c r="E7935">
        <f>IF(D7935&lt;&gt;"KEEP","",IF(RIGHT(B7935,10)="@gmail.com","Gmail",IF(OR(RIGHT(B7935,12)="@outlook.com",RIGHT(B7935,12)="@hotmail.com",RIGHT(B7935,9)="@live.com"),"Outlook","Domain")))</f>
        <v/>
      </c>
      <c r="F7935">
        <f>IF(B7935="","",IFERROR(RIGHT(B7935,LEN(B7935)-FIND("@",B7935)),""))</f>
        <v/>
      </c>
      <c r="G7935">
        <f>IF(D7935="KEEP",COUNTIF($D$2:D7935,"KEEP"),"")</f>
        <v/>
      </c>
      <c r="H7935">
        <f>IF(D7935="REMOVE",COUNTIF($D$2:D7935,"REMOVE"),"")</f>
        <v/>
      </c>
      <c r="I7935">
        <f>IF(E7935="Gmail",COUNTIF($E$2:E7935,"Gmail"),"")</f>
        <v/>
      </c>
      <c r="J7935">
        <f>IF(E7935="Outlook",COUNTIF($E$2:E7935,"Outlook"),"")</f>
        <v/>
      </c>
      <c r="K7935">
        <f>IF(E7935="Domain",COUNTIF($E$2:E7935,"Domain"),"")</f>
        <v/>
      </c>
    </row>
    <row r="7936">
      <c r="A7936" s="2" t="n"/>
      <c r="B7936">
        <f>LOWER(TRIM(A7936))</f>
        <v/>
      </c>
      <c r="C7936">
        <f>IF(B7936="","",IFERROR(INDEX('Bad Patterns'!$A$2:$A$120,MATCH(1,INDEX(--ISNUMBER(SEARCH('Bad Patterns'!$A$2:$A$120,B7936)),0),0)),""))</f>
        <v/>
      </c>
      <c r="D7936">
        <f>IF(B7936="","",IF(C7936&lt;&gt;"","REMOVE","KEEP"))</f>
        <v/>
      </c>
      <c r="E7936">
        <f>IF(D7936&lt;&gt;"KEEP","",IF(RIGHT(B7936,10)="@gmail.com","Gmail",IF(OR(RIGHT(B7936,12)="@outlook.com",RIGHT(B7936,12)="@hotmail.com",RIGHT(B7936,9)="@live.com"),"Outlook","Domain")))</f>
        <v/>
      </c>
      <c r="F7936">
        <f>IF(B7936="","",IFERROR(RIGHT(B7936,LEN(B7936)-FIND("@",B7936)),""))</f>
        <v/>
      </c>
      <c r="G7936">
        <f>IF(D7936="KEEP",COUNTIF($D$2:D7936,"KEEP"),"")</f>
        <v/>
      </c>
      <c r="H7936">
        <f>IF(D7936="REMOVE",COUNTIF($D$2:D7936,"REMOVE"),"")</f>
        <v/>
      </c>
      <c r="I7936">
        <f>IF(E7936="Gmail",COUNTIF($E$2:E7936,"Gmail"),"")</f>
        <v/>
      </c>
      <c r="J7936">
        <f>IF(E7936="Outlook",COUNTIF($E$2:E7936,"Outlook"),"")</f>
        <v/>
      </c>
      <c r="K7936">
        <f>IF(E7936="Domain",COUNTIF($E$2:E7936,"Domain"),"")</f>
        <v/>
      </c>
    </row>
    <row r="7937">
      <c r="A7937" s="2" t="n"/>
      <c r="B7937">
        <f>LOWER(TRIM(A7937))</f>
        <v/>
      </c>
      <c r="C7937">
        <f>IF(B7937="","",IFERROR(INDEX('Bad Patterns'!$A$2:$A$120,MATCH(1,INDEX(--ISNUMBER(SEARCH('Bad Patterns'!$A$2:$A$120,B7937)),0),0)),""))</f>
        <v/>
      </c>
      <c r="D7937">
        <f>IF(B7937="","",IF(C7937&lt;&gt;"","REMOVE","KEEP"))</f>
        <v/>
      </c>
      <c r="E7937">
        <f>IF(D7937&lt;&gt;"KEEP","",IF(RIGHT(B7937,10)="@gmail.com","Gmail",IF(OR(RIGHT(B7937,12)="@outlook.com",RIGHT(B7937,12)="@hotmail.com",RIGHT(B7937,9)="@live.com"),"Outlook","Domain")))</f>
        <v/>
      </c>
      <c r="F7937">
        <f>IF(B7937="","",IFERROR(RIGHT(B7937,LEN(B7937)-FIND("@",B7937)),""))</f>
        <v/>
      </c>
      <c r="G7937">
        <f>IF(D7937="KEEP",COUNTIF($D$2:D7937,"KEEP"),"")</f>
        <v/>
      </c>
      <c r="H7937">
        <f>IF(D7937="REMOVE",COUNTIF($D$2:D7937,"REMOVE"),"")</f>
        <v/>
      </c>
      <c r="I7937">
        <f>IF(E7937="Gmail",COUNTIF($E$2:E7937,"Gmail"),"")</f>
        <v/>
      </c>
      <c r="J7937">
        <f>IF(E7937="Outlook",COUNTIF($E$2:E7937,"Outlook"),"")</f>
        <v/>
      </c>
      <c r="K7937">
        <f>IF(E7937="Domain",COUNTIF($E$2:E7937,"Domain"),"")</f>
        <v/>
      </c>
    </row>
    <row r="7938">
      <c r="A7938" s="2" t="n"/>
      <c r="B7938">
        <f>LOWER(TRIM(A7938))</f>
        <v/>
      </c>
      <c r="C7938">
        <f>IF(B7938="","",IFERROR(INDEX('Bad Patterns'!$A$2:$A$120,MATCH(1,INDEX(--ISNUMBER(SEARCH('Bad Patterns'!$A$2:$A$120,B7938)),0),0)),""))</f>
        <v/>
      </c>
      <c r="D7938">
        <f>IF(B7938="","",IF(C7938&lt;&gt;"","REMOVE","KEEP"))</f>
        <v/>
      </c>
      <c r="E7938">
        <f>IF(D7938&lt;&gt;"KEEP","",IF(RIGHT(B7938,10)="@gmail.com","Gmail",IF(OR(RIGHT(B7938,12)="@outlook.com",RIGHT(B7938,12)="@hotmail.com",RIGHT(B7938,9)="@live.com"),"Outlook","Domain")))</f>
        <v/>
      </c>
      <c r="F7938">
        <f>IF(B7938="","",IFERROR(RIGHT(B7938,LEN(B7938)-FIND("@",B7938)),""))</f>
        <v/>
      </c>
      <c r="G7938">
        <f>IF(D7938="KEEP",COUNTIF($D$2:D7938,"KEEP"),"")</f>
        <v/>
      </c>
      <c r="H7938">
        <f>IF(D7938="REMOVE",COUNTIF($D$2:D7938,"REMOVE"),"")</f>
        <v/>
      </c>
      <c r="I7938">
        <f>IF(E7938="Gmail",COUNTIF($E$2:E7938,"Gmail"),"")</f>
        <v/>
      </c>
      <c r="J7938">
        <f>IF(E7938="Outlook",COUNTIF($E$2:E7938,"Outlook"),"")</f>
        <v/>
      </c>
      <c r="K7938">
        <f>IF(E7938="Domain",COUNTIF($E$2:E7938,"Domain"),"")</f>
        <v/>
      </c>
    </row>
    <row r="7939">
      <c r="A7939" s="2" t="n"/>
      <c r="B7939">
        <f>LOWER(TRIM(A7939))</f>
        <v/>
      </c>
      <c r="C7939">
        <f>IF(B7939="","",IFERROR(INDEX('Bad Patterns'!$A$2:$A$120,MATCH(1,INDEX(--ISNUMBER(SEARCH('Bad Patterns'!$A$2:$A$120,B7939)),0),0)),""))</f>
        <v/>
      </c>
      <c r="D7939">
        <f>IF(B7939="","",IF(C7939&lt;&gt;"","REMOVE","KEEP"))</f>
        <v/>
      </c>
      <c r="E7939">
        <f>IF(D7939&lt;&gt;"KEEP","",IF(RIGHT(B7939,10)="@gmail.com","Gmail",IF(OR(RIGHT(B7939,12)="@outlook.com",RIGHT(B7939,12)="@hotmail.com",RIGHT(B7939,9)="@live.com"),"Outlook","Domain")))</f>
        <v/>
      </c>
      <c r="F7939">
        <f>IF(B7939="","",IFERROR(RIGHT(B7939,LEN(B7939)-FIND("@",B7939)),""))</f>
        <v/>
      </c>
      <c r="G7939">
        <f>IF(D7939="KEEP",COUNTIF($D$2:D7939,"KEEP"),"")</f>
        <v/>
      </c>
      <c r="H7939">
        <f>IF(D7939="REMOVE",COUNTIF($D$2:D7939,"REMOVE"),"")</f>
        <v/>
      </c>
      <c r="I7939">
        <f>IF(E7939="Gmail",COUNTIF($E$2:E7939,"Gmail"),"")</f>
        <v/>
      </c>
      <c r="J7939">
        <f>IF(E7939="Outlook",COUNTIF($E$2:E7939,"Outlook"),"")</f>
        <v/>
      </c>
      <c r="K7939">
        <f>IF(E7939="Domain",COUNTIF($E$2:E7939,"Domain"),"")</f>
        <v/>
      </c>
    </row>
    <row r="7940">
      <c r="A7940" s="2" t="n"/>
      <c r="B7940">
        <f>LOWER(TRIM(A7940))</f>
        <v/>
      </c>
      <c r="C7940">
        <f>IF(B7940="","",IFERROR(INDEX('Bad Patterns'!$A$2:$A$120,MATCH(1,INDEX(--ISNUMBER(SEARCH('Bad Patterns'!$A$2:$A$120,B7940)),0),0)),""))</f>
        <v/>
      </c>
      <c r="D7940">
        <f>IF(B7940="","",IF(C7940&lt;&gt;"","REMOVE","KEEP"))</f>
        <v/>
      </c>
      <c r="E7940">
        <f>IF(D7940&lt;&gt;"KEEP","",IF(RIGHT(B7940,10)="@gmail.com","Gmail",IF(OR(RIGHT(B7940,12)="@outlook.com",RIGHT(B7940,12)="@hotmail.com",RIGHT(B7940,9)="@live.com"),"Outlook","Domain")))</f>
        <v/>
      </c>
      <c r="F7940">
        <f>IF(B7940="","",IFERROR(RIGHT(B7940,LEN(B7940)-FIND("@",B7940)),""))</f>
        <v/>
      </c>
      <c r="G7940">
        <f>IF(D7940="KEEP",COUNTIF($D$2:D7940,"KEEP"),"")</f>
        <v/>
      </c>
      <c r="H7940">
        <f>IF(D7940="REMOVE",COUNTIF($D$2:D7940,"REMOVE"),"")</f>
        <v/>
      </c>
      <c r="I7940">
        <f>IF(E7940="Gmail",COUNTIF($E$2:E7940,"Gmail"),"")</f>
        <v/>
      </c>
      <c r="J7940">
        <f>IF(E7940="Outlook",COUNTIF($E$2:E7940,"Outlook"),"")</f>
        <v/>
      </c>
      <c r="K7940">
        <f>IF(E7940="Domain",COUNTIF($E$2:E7940,"Domain"),"")</f>
        <v/>
      </c>
    </row>
    <row r="7941">
      <c r="A7941" s="2" t="n"/>
      <c r="B7941">
        <f>LOWER(TRIM(A7941))</f>
        <v/>
      </c>
      <c r="C7941">
        <f>IF(B7941="","",IFERROR(INDEX('Bad Patterns'!$A$2:$A$120,MATCH(1,INDEX(--ISNUMBER(SEARCH('Bad Patterns'!$A$2:$A$120,B7941)),0),0)),""))</f>
        <v/>
      </c>
      <c r="D7941">
        <f>IF(B7941="","",IF(C7941&lt;&gt;"","REMOVE","KEEP"))</f>
        <v/>
      </c>
      <c r="E7941">
        <f>IF(D7941&lt;&gt;"KEEP","",IF(RIGHT(B7941,10)="@gmail.com","Gmail",IF(OR(RIGHT(B7941,12)="@outlook.com",RIGHT(B7941,12)="@hotmail.com",RIGHT(B7941,9)="@live.com"),"Outlook","Domain")))</f>
        <v/>
      </c>
      <c r="F7941">
        <f>IF(B7941="","",IFERROR(RIGHT(B7941,LEN(B7941)-FIND("@",B7941)),""))</f>
        <v/>
      </c>
      <c r="G7941">
        <f>IF(D7941="KEEP",COUNTIF($D$2:D7941,"KEEP"),"")</f>
        <v/>
      </c>
      <c r="H7941">
        <f>IF(D7941="REMOVE",COUNTIF($D$2:D7941,"REMOVE"),"")</f>
        <v/>
      </c>
      <c r="I7941">
        <f>IF(E7941="Gmail",COUNTIF($E$2:E7941,"Gmail"),"")</f>
        <v/>
      </c>
      <c r="J7941">
        <f>IF(E7941="Outlook",COUNTIF($E$2:E7941,"Outlook"),"")</f>
        <v/>
      </c>
      <c r="K7941">
        <f>IF(E7941="Domain",COUNTIF($E$2:E7941,"Domain"),"")</f>
        <v/>
      </c>
    </row>
    <row r="7942">
      <c r="A7942" s="2" t="n"/>
      <c r="B7942">
        <f>LOWER(TRIM(A7942))</f>
        <v/>
      </c>
      <c r="C7942">
        <f>IF(B7942="","",IFERROR(INDEX('Bad Patterns'!$A$2:$A$120,MATCH(1,INDEX(--ISNUMBER(SEARCH('Bad Patterns'!$A$2:$A$120,B7942)),0),0)),""))</f>
        <v/>
      </c>
      <c r="D7942">
        <f>IF(B7942="","",IF(C7942&lt;&gt;"","REMOVE","KEEP"))</f>
        <v/>
      </c>
      <c r="E7942">
        <f>IF(D7942&lt;&gt;"KEEP","",IF(RIGHT(B7942,10)="@gmail.com","Gmail",IF(OR(RIGHT(B7942,12)="@outlook.com",RIGHT(B7942,12)="@hotmail.com",RIGHT(B7942,9)="@live.com"),"Outlook","Domain")))</f>
        <v/>
      </c>
      <c r="F7942">
        <f>IF(B7942="","",IFERROR(RIGHT(B7942,LEN(B7942)-FIND("@",B7942)),""))</f>
        <v/>
      </c>
      <c r="G7942">
        <f>IF(D7942="KEEP",COUNTIF($D$2:D7942,"KEEP"),"")</f>
        <v/>
      </c>
      <c r="H7942">
        <f>IF(D7942="REMOVE",COUNTIF($D$2:D7942,"REMOVE"),"")</f>
        <v/>
      </c>
      <c r="I7942">
        <f>IF(E7942="Gmail",COUNTIF($E$2:E7942,"Gmail"),"")</f>
        <v/>
      </c>
      <c r="J7942">
        <f>IF(E7942="Outlook",COUNTIF($E$2:E7942,"Outlook"),"")</f>
        <v/>
      </c>
      <c r="K7942">
        <f>IF(E7942="Domain",COUNTIF($E$2:E7942,"Domain"),"")</f>
        <v/>
      </c>
    </row>
    <row r="7943">
      <c r="A7943" s="2" t="n"/>
      <c r="B7943">
        <f>LOWER(TRIM(A7943))</f>
        <v/>
      </c>
      <c r="C7943">
        <f>IF(B7943="","",IFERROR(INDEX('Bad Patterns'!$A$2:$A$120,MATCH(1,INDEX(--ISNUMBER(SEARCH('Bad Patterns'!$A$2:$A$120,B7943)),0),0)),""))</f>
        <v/>
      </c>
      <c r="D7943">
        <f>IF(B7943="","",IF(C7943&lt;&gt;"","REMOVE","KEEP"))</f>
        <v/>
      </c>
      <c r="E7943">
        <f>IF(D7943&lt;&gt;"KEEP","",IF(RIGHT(B7943,10)="@gmail.com","Gmail",IF(OR(RIGHT(B7943,12)="@outlook.com",RIGHT(B7943,12)="@hotmail.com",RIGHT(B7943,9)="@live.com"),"Outlook","Domain")))</f>
        <v/>
      </c>
      <c r="F7943">
        <f>IF(B7943="","",IFERROR(RIGHT(B7943,LEN(B7943)-FIND("@",B7943)),""))</f>
        <v/>
      </c>
      <c r="G7943">
        <f>IF(D7943="KEEP",COUNTIF($D$2:D7943,"KEEP"),"")</f>
        <v/>
      </c>
      <c r="H7943">
        <f>IF(D7943="REMOVE",COUNTIF($D$2:D7943,"REMOVE"),"")</f>
        <v/>
      </c>
      <c r="I7943">
        <f>IF(E7943="Gmail",COUNTIF($E$2:E7943,"Gmail"),"")</f>
        <v/>
      </c>
      <c r="J7943">
        <f>IF(E7943="Outlook",COUNTIF($E$2:E7943,"Outlook"),"")</f>
        <v/>
      </c>
      <c r="K7943">
        <f>IF(E7943="Domain",COUNTIF($E$2:E7943,"Domain"),"")</f>
        <v/>
      </c>
    </row>
    <row r="7944">
      <c r="A7944" s="2" t="n"/>
      <c r="B7944">
        <f>LOWER(TRIM(A7944))</f>
        <v/>
      </c>
      <c r="C7944">
        <f>IF(B7944="","",IFERROR(INDEX('Bad Patterns'!$A$2:$A$120,MATCH(1,INDEX(--ISNUMBER(SEARCH('Bad Patterns'!$A$2:$A$120,B7944)),0),0)),""))</f>
        <v/>
      </c>
      <c r="D7944">
        <f>IF(B7944="","",IF(C7944&lt;&gt;"","REMOVE","KEEP"))</f>
        <v/>
      </c>
      <c r="E7944">
        <f>IF(D7944&lt;&gt;"KEEP","",IF(RIGHT(B7944,10)="@gmail.com","Gmail",IF(OR(RIGHT(B7944,12)="@outlook.com",RIGHT(B7944,12)="@hotmail.com",RIGHT(B7944,9)="@live.com"),"Outlook","Domain")))</f>
        <v/>
      </c>
      <c r="F7944">
        <f>IF(B7944="","",IFERROR(RIGHT(B7944,LEN(B7944)-FIND("@",B7944)),""))</f>
        <v/>
      </c>
      <c r="G7944">
        <f>IF(D7944="KEEP",COUNTIF($D$2:D7944,"KEEP"),"")</f>
        <v/>
      </c>
      <c r="H7944">
        <f>IF(D7944="REMOVE",COUNTIF($D$2:D7944,"REMOVE"),"")</f>
        <v/>
      </c>
      <c r="I7944">
        <f>IF(E7944="Gmail",COUNTIF($E$2:E7944,"Gmail"),"")</f>
        <v/>
      </c>
      <c r="J7944">
        <f>IF(E7944="Outlook",COUNTIF($E$2:E7944,"Outlook"),"")</f>
        <v/>
      </c>
      <c r="K7944">
        <f>IF(E7944="Domain",COUNTIF($E$2:E7944,"Domain"),"")</f>
        <v/>
      </c>
    </row>
    <row r="7945">
      <c r="A7945" s="2" t="n"/>
      <c r="B7945">
        <f>LOWER(TRIM(A7945))</f>
        <v/>
      </c>
      <c r="C7945">
        <f>IF(B7945="","",IFERROR(INDEX('Bad Patterns'!$A$2:$A$120,MATCH(1,INDEX(--ISNUMBER(SEARCH('Bad Patterns'!$A$2:$A$120,B7945)),0),0)),""))</f>
        <v/>
      </c>
      <c r="D7945">
        <f>IF(B7945="","",IF(C7945&lt;&gt;"","REMOVE","KEEP"))</f>
        <v/>
      </c>
      <c r="E7945">
        <f>IF(D7945&lt;&gt;"KEEP","",IF(RIGHT(B7945,10)="@gmail.com","Gmail",IF(OR(RIGHT(B7945,12)="@outlook.com",RIGHT(B7945,12)="@hotmail.com",RIGHT(B7945,9)="@live.com"),"Outlook","Domain")))</f>
        <v/>
      </c>
      <c r="F7945">
        <f>IF(B7945="","",IFERROR(RIGHT(B7945,LEN(B7945)-FIND("@",B7945)),""))</f>
        <v/>
      </c>
      <c r="G7945">
        <f>IF(D7945="KEEP",COUNTIF($D$2:D7945,"KEEP"),"")</f>
        <v/>
      </c>
      <c r="H7945">
        <f>IF(D7945="REMOVE",COUNTIF($D$2:D7945,"REMOVE"),"")</f>
        <v/>
      </c>
      <c r="I7945">
        <f>IF(E7945="Gmail",COUNTIF($E$2:E7945,"Gmail"),"")</f>
        <v/>
      </c>
      <c r="J7945">
        <f>IF(E7945="Outlook",COUNTIF($E$2:E7945,"Outlook"),"")</f>
        <v/>
      </c>
      <c r="K7945">
        <f>IF(E7945="Domain",COUNTIF($E$2:E7945,"Domain"),"")</f>
        <v/>
      </c>
    </row>
    <row r="7946">
      <c r="A7946" s="2" t="n"/>
      <c r="B7946">
        <f>LOWER(TRIM(A7946))</f>
        <v/>
      </c>
      <c r="C7946">
        <f>IF(B7946="","",IFERROR(INDEX('Bad Patterns'!$A$2:$A$120,MATCH(1,INDEX(--ISNUMBER(SEARCH('Bad Patterns'!$A$2:$A$120,B7946)),0),0)),""))</f>
        <v/>
      </c>
      <c r="D7946">
        <f>IF(B7946="","",IF(C7946&lt;&gt;"","REMOVE","KEEP"))</f>
        <v/>
      </c>
      <c r="E7946">
        <f>IF(D7946&lt;&gt;"KEEP","",IF(RIGHT(B7946,10)="@gmail.com","Gmail",IF(OR(RIGHT(B7946,12)="@outlook.com",RIGHT(B7946,12)="@hotmail.com",RIGHT(B7946,9)="@live.com"),"Outlook","Domain")))</f>
        <v/>
      </c>
      <c r="F7946">
        <f>IF(B7946="","",IFERROR(RIGHT(B7946,LEN(B7946)-FIND("@",B7946)),""))</f>
        <v/>
      </c>
      <c r="G7946">
        <f>IF(D7946="KEEP",COUNTIF($D$2:D7946,"KEEP"),"")</f>
        <v/>
      </c>
      <c r="H7946">
        <f>IF(D7946="REMOVE",COUNTIF($D$2:D7946,"REMOVE"),"")</f>
        <v/>
      </c>
      <c r="I7946">
        <f>IF(E7946="Gmail",COUNTIF($E$2:E7946,"Gmail"),"")</f>
        <v/>
      </c>
      <c r="J7946">
        <f>IF(E7946="Outlook",COUNTIF($E$2:E7946,"Outlook"),"")</f>
        <v/>
      </c>
      <c r="K7946">
        <f>IF(E7946="Domain",COUNTIF($E$2:E7946,"Domain"),"")</f>
        <v/>
      </c>
    </row>
    <row r="7947">
      <c r="A7947" s="2" t="n"/>
      <c r="B7947">
        <f>LOWER(TRIM(A7947))</f>
        <v/>
      </c>
      <c r="C7947">
        <f>IF(B7947="","",IFERROR(INDEX('Bad Patterns'!$A$2:$A$120,MATCH(1,INDEX(--ISNUMBER(SEARCH('Bad Patterns'!$A$2:$A$120,B7947)),0),0)),""))</f>
        <v/>
      </c>
      <c r="D7947">
        <f>IF(B7947="","",IF(C7947&lt;&gt;"","REMOVE","KEEP"))</f>
        <v/>
      </c>
      <c r="E7947">
        <f>IF(D7947&lt;&gt;"KEEP","",IF(RIGHT(B7947,10)="@gmail.com","Gmail",IF(OR(RIGHT(B7947,12)="@outlook.com",RIGHT(B7947,12)="@hotmail.com",RIGHT(B7947,9)="@live.com"),"Outlook","Domain")))</f>
        <v/>
      </c>
      <c r="F7947">
        <f>IF(B7947="","",IFERROR(RIGHT(B7947,LEN(B7947)-FIND("@",B7947)),""))</f>
        <v/>
      </c>
      <c r="G7947">
        <f>IF(D7947="KEEP",COUNTIF($D$2:D7947,"KEEP"),"")</f>
        <v/>
      </c>
      <c r="H7947">
        <f>IF(D7947="REMOVE",COUNTIF($D$2:D7947,"REMOVE"),"")</f>
        <v/>
      </c>
      <c r="I7947">
        <f>IF(E7947="Gmail",COUNTIF($E$2:E7947,"Gmail"),"")</f>
        <v/>
      </c>
      <c r="J7947">
        <f>IF(E7947="Outlook",COUNTIF($E$2:E7947,"Outlook"),"")</f>
        <v/>
      </c>
      <c r="K7947">
        <f>IF(E7947="Domain",COUNTIF($E$2:E7947,"Domain"),"")</f>
        <v/>
      </c>
    </row>
    <row r="7948">
      <c r="A7948" s="2" t="n"/>
      <c r="B7948">
        <f>LOWER(TRIM(A7948))</f>
        <v/>
      </c>
      <c r="C7948">
        <f>IF(B7948="","",IFERROR(INDEX('Bad Patterns'!$A$2:$A$120,MATCH(1,INDEX(--ISNUMBER(SEARCH('Bad Patterns'!$A$2:$A$120,B7948)),0),0)),""))</f>
        <v/>
      </c>
      <c r="D7948">
        <f>IF(B7948="","",IF(C7948&lt;&gt;"","REMOVE","KEEP"))</f>
        <v/>
      </c>
      <c r="E7948">
        <f>IF(D7948&lt;&gt;"KEEP","",IF(RIGHT(B7948,10)="@gmail.com","Gmail",IF(OR(RIGHT(B7948,12)="@outlook.com",RIGHT(B7948,12)="@hotmail.com",RIGHT(B7948,9)="@live.com"),"Outlook","Domain")))</f>
        <v/>
      </c>
      <c r="F7948">
        <f>IF(B7948="","",IFERROR(RIGHT(B7948,LEN(B7948)-FIND("@",B7948)),""))</f>
        <v/>
      </c>
      <c r="G7948">
        <f>IF(D7948="KEEP",COUNTIF($D$2:D7948,"KEEP"),"")</f>
        <v/>
      </c>
      <c r="H7948">
        <f>IF(D7948="REMOVE",COUNTIF($D$2:D7948,"REMOVE"),"")</f>
        <v/>
      </c>
      <c r="I7948">
        <f>IF(E7948="Gmail",COUNTIF($E$2:E7948,"Gmail"),"")</f>
        <v/>
      </c>
      <c r="J7948">
        <f>IF(E7948="Outlook",COUNTIF($E$2:E7948,"Outlook"),"")</f>
        <v/>
      </c>
      <c r="K7948">
        <f>IF(E7948="Domain",COUNTIF($E$2:E7948,"Domain"),"")</f>
        <v/>
      </c>
    </row>
    <row r="7949">
      <c r="A7949" s="2" t="n"/>
      <c r="B7949">
        <f>LOWER(TRIM(A7949))</f>
        <v/>
      </c>
      <c r="C7949">
        <f>IF(B7949="","",IFERROR(INDEX('Bad Patterns'!$A$2:$A$120,MATCH(1,INDEX(--ISNUMBER(SEARCH('Bad Patterns'!$A$2:$A$120,B7949)),0),0)),""))</f>
        <v/>
      </c>
      <c r="D7949">
        <f>IF(B7949="","",IF(C7949&lt;&gt;"","REMOVE","KEEP"))</f>
        <v/>
      </c>
      <c r="E7949">
        <f>IF(D7949&lt;&gt;"KEEP","",IF(RIGHT(B7949,10)="@gmail.com","Gmail",IF(OR(RIGHT(B7949,12)="@outlook.com",RIGHT(B7949,12)="@hotmail.com",RIGHT(B7949,9)="@live.com"),"Outlook","Domain")))</f>
        <v/>
      </c>
      <c r="F7949">
        <f>IF(B7949="","",IFERROR(RIGHT(B7949,LEN(B7949)-FIND("@",B7949)),""))</f>
        <v/>
      </c>
      <c r="G7949">
        <f>IF(D7949="KEEP",COUNTIF($D$2:D7949,"KEEP"),"")</f>
        <v/>
      </c>
      <c r="H7949">
        <f>IF(D7949="REMOVE",COUNTIF($D$2:D7949,"REMOVE"),"")</f>
        <v/>
      </c>
      <c r="I7949">
        <f>IF(E7949="Gmail",COUNTIF($E$2:E7949,"Gmail"),"")</f>
        <v/>
      </c>
      <c r="J7949">
        <f>IF(E7949="Outlook",COUNTIF($E$2:E7949,"Outlook"),"")</f>
        <v/>
      </c>
      <c r="K7949">
        <f>IF(E7949="Domain",COUNTIF($E$2:E7949,"Domain"),"")</f>
        <v/>
      </c>
    </row>
    <row r="7950">
      <c r="A7950" s="2" t="n"/>
      <c r="B7950">
        <f>LOWER(TRIM(A7950))</f>
        <v/>
      </c>
      <c r="C7950">
        <f>IF(B7950="","",IFERROR(INDEX('Bad Patterns'!$A$2:$A$120,MATCH(1,INDEX(--ISNUMBER(SEARCH('Bad Patterns'!$A$2:$A$120,B7950)),0),0)),""))</f>
        <v/>
      </c>
      <c r="D7950">
        <f>IF(B7950="","",IF(C7950&lt;&gt;"","REMOVE","KEEP"))</f>
        <v/>
      </c>
      <c r="E7950">
        <f>IF(D7950&lt;&gt;"KEEP","",IF(RIGHT(B7950,10)="@gmail.com","Gmail",IF(OR(RIGHT(B7950,12)="@outlook.com",RIGHT(B7950,12)="@hotmail.com",RIGHT(B7950,9)="@live.com"),"Outlook","Domain")))</f>
        <v/>
      </c>
      <c r="F7950">
        <f>IF(B7950="","",IFERROR(RIGHT(B7950,LEN(B7950)-FIND("@",B7950)),""))</f>
        <v/>
      </c>
      <c r="G7950">
        <f>IF(D7950="KEEP",COUNTIF($D$2:D7950,"KEEP"),"")</f>
        <v/>
      </c>
      <c r="H7950">
        <f>IF(D7950="REMOVE",COUNTIF($D$2:D7950,"REMOVE"),"")</f>
        <v/>
      </c>
      <c r="I7950">
        <f>IF(E7950="Gmail",COUNTIF($E$2:E7950,"Gmail"),"")</f>
        <v/>
      </c>
      <c r="J7950">
        <f>IF(E7950="Outlook",COUNTIF($E$2:E7950,"Outlook"),"")</f>
        <v/>
      </c>
      <c r="K7950">
        <f>IF(E7950="Domain",COUNTIF($E$2:E7950,"Domain"),"")</f>
        <v/>
      </c>
    </row>
    <row r="7951">
      <c r="A7951" s="2" t="n"/>
      <c r="B7951">
        <f>LOWER(TRIM(A7951))</f>
        <v/>
      </c>
      <c r="C7951">
        <f>IF(B7951="","",IFERROR(INDEX('Bad Patterns'!$A$2:$A$120,MATCH(1,INDEX(--ISNUMBER(SEARCH('Bad Patterns'!$A$2:$A$120,B7951)),0),0)),""))</f>
        <v/>
      </c>
      <c r="D7951">
        <f>IF(B7951="","",IF(C7951&lt;&gt;"","REMOVE","KEEP"))</f>
        <v/>
      </c>
      <c r="E7951">
        <f>IF(D7951&lt;&gt;"KEEP","",IF(RIGHT(B7951,10)="@gmail.com","Gmail",IF(OR(RIGHT(B7951,12)="@outlook.com",RIGHT(B7951,12)="@hotmail.com",RIGHT(B7951,9)="@live.com"),"Outlook","Domain")))</f>
        <v/>
      </c>
      <c r="F7951">
        <f>IF(B7951="","",IFERROR(RIGHT(B7951,LEN(B7951)-FIND("@",B7951)),""))</f>
        <v/>
      </c>
      <c r="G7951">
        <f>IF(D7951="KEEP",COUNTIF($D$2:D7951,"KEEP"),"")</f>
        <v/>
      </c>
      <c r="H7951">
        <f>IF(D7951="REMOVE",COUNTIF($D$2:D7951,"REMOVE"),"")</f>
        <v/>
      </c>
      <c r="I7951">
        <f>IF(E7951="Gmail",COUNTIF($E$2:E7951,"Gmail"),"")</f>
        <v/>
      </c>
      <c r="J7951">
        <f>IF(E7951="Outlook",COUNTIF($E$2:E7951,"Outlook"),"")</f>
        <v/>
      </c>
      <c r="K7951">
        <f>IF(E7951="Domain",COUNTIF($E$2:E7951,"Domain"),"")</f>
        <v/>
      </c>
    </row>
    <row r="7952">
      <c r="A7952" s="2" t="n"/>
      <c r="B7952">
        <f>LOWER(TRIM(A7952))</f>
        <v/>
      </c>
      <c r="C7952">
        <f>IF(B7952="","",IFERROR(INDEX('Bad Patterns'!$A$2:$A$120,MATCH(1,INDEX(--ISNUMBER(SEARCH('Bad Patterns'!$A$2:$A$120,B7952)),0),0)),""))</f>
        <v/>
      </c>
      <c r="D7952">
        <f>IF(B7952="","",IF(C7952&lt;&gt;"","REMOVE","KEEP"))</f>
        <v/>
      </c>
      <c r="E7952">
        <f>IF(D7952&lt;&gt;"KEEP","",IF(RIGHT(B7952,10)="@gmail.com","Gmail",IF(OR(RIGHT(B7952,12)="@outlook.com",RIGHT(B7952,12)="@hotmail.com",RIGHT(B7952,9)="@live.com"),"Outlook","Domain")))</f>
        <v/>
      </c>
      <c r="F7952">
        <f>IF(B7952="","",IFERROR(RIGHT(B7952,LEN(B7952)-FIND("@",B7952)),""))</f>
        <v/>
      </c>
      <c r="G7952">
        <f>IF(D7952="KEEP",COUNTIF($D$2:D7952,"KEEP"),"")</f>
        <v/>
      </c>
      <c r="H7952">
        <f>IF(D7952="REMOVE",COUNTIF($D$2:D7952,"REMOVE"),"")</f>
        <v/>
      </c>
      <c r="I7952">
        <f>IF(E7952="Gmail",COUNTIF($E$2:E7952,"Gmail"),"")</f>
        <v/>
      </c>
      <c r="J7952">
        <f>IF(E7952="Outlook",COUNTIF($E$2:E7952,"Outlook"),"")</f>
        <v/>
      </c>
      <c r="K7952">
        <f>IF(E7952="Domain",COUNTIF($E$2:E7952,"Domain"),"")</f>
        <v/>
      </c>
    </row>
    <row r="7953">
      <c r="A7953" s="2" t="n"/>
      <c r="B7953">
        <f>LOWER(TRIM(A7953))</f>
        <v/>
      </c>
      <c r="C7953">
        <f>IF(B7953="","",IFERROR(INDEX('Bad Patterns'!$A$2:$A$120,MATCH(1,INDEX(--ISNUMBER(SEARCH('Bad Patterns'!$A$2:$A$120,B7953)),0),0)),""))</f>
        <v/>
      </c>
      <c r="D7953">
        <f>IF(B7953="","",IF(C7953&lt;&gt;"","REMOVE","KEEP"))</f>
        <v/>
      </c>
      <c r="E7953">
        <f>IF(D7953&lt;&gt;"KEEP","",IF(RIGHT(B7953,10)="@gmail.com","Gmail",IF(OR(RIGHT(B7953,12)="@outlook.com",RIGHT(B7953,12)="@hotmail.com",RIGHT(B7953,9)="@live.com"),"Outlook","Domain")))</f>
        <v/>
      </c>
      <c r="F7953">
        <f>IF(B7953="","",IFERROR(RIGHT(B7953,LEN(B7953)-FIND("@",B7953)),""))</f>
        <v/>
      </c>
      <c r="G7953">
        <f>IF(D7953="KEEP",COUNTIF($D$2:D7953,"KEEP"),"")</f>
        <v/>
      </c>
      <c r="H7953">
        <f>IF(D7953="REMOVE",COUNTIF($D$2:D7953,"REMOVE"),"")</f>
        <v/>
      </c>
      <c r="I7953">
        <f>IF(E7953="Gmail",COUNTIF($E$2:E7953,"Gmail"),"")</f>
        <v/>
      </c>
      <c r="J7953">
        <f>IF(E7953="Outlook",COUNTIF($E$2:E7953,"Outlook"),"")</f>
        <v/>
      </c>
      <c r="K7953">
        <f>IF(E7953="Domain",COUNTIF($E$2:E7953,"Domain"),"")</f>
        <v/>
      </c>
    </row>
    <row r="7954">
      <c r="A7954" s="2" t="n"/>
      <c r="B7954">
        <f>LOWER(TRIM(A7954))</f>
        <v/>
      </c>
      <c r="C7954">
        <f>IF(B7954="","",IFERROR(INDEX('Bad Patterns'!$A$2:$A$120,MATCH(1,INDEX(--ISNUMBER(SEARCH('Bad Patterns'!$A$2:$A$120,B7954)),0),0)),""))</f>
        <v/>
      </c>
      <c r="D7954">
        <f>IF(B7954="","",IF(C7954&lt;&gt;"","REMOVE","KEEP"))</f>
        <v/>
      </c>
      <c r="E7954">
        <f>IF(D7954&lt;&gt;"KEEP","",IF(RIGHT(B7954,10)="@gmail.com","Gmail",IF(OR(RIGHT(B7954,12)="@outlook.com",RIGHT(B7954,12)="@hotmail.com",RIGHT(B7954,9)="@live.com"),"Outlook","Domain")))</f>
        <v/>
      </c>
      <c r="F7954">
        <f>IF(B7954="","",IFERROR(RIGHT(B7954,LEN(B7954)-FIND("@",B7954)),""))</f>
        <v/>
      </c>
      <c r="G7954">
        <f>IF(D7954="KEEP",COUNTIF($D$2:D7954,"KEEP"),"")</f>
        <v/>
      </c>
      <c r="H7954">
        <f>IF(D7954="REMOVE",COUNTIF($D$2:D7954,"REMOVE"),"")</f>
        <v/>
      </c>
      <c r="I7954">
        <f>IF(E7954="Gmail",COUNTIF($E$2:E7954,"Gmail"),"")</f>
        <v/>
      </c>
      <c r="J7954">
        <f>IF(E7954="Outlook",COUNTIF($E$2:E7954,"Outlook"),"")</f>
        <v/>
      </c>
      <c r="K7954">
        <f>IF(E7954="Domain",COUNTIF($E$2:E7954,"Domain"),"")</f>
        <v/>
      </c>
    </row>
    <row r="7955">
      <c r="A7955" s="2" t="n"/>
      <c r="B7955">
        <f>LOWER(TRIM(A7955))</f>
        <v/>
      </c>
      <c r="C7955">
        <f>IF(B7955="","",IFERROR(INDEX('Bad Patterns'!$A$2:$A$120,MATCH(1,INDEX(--ISNUMBER(SEARCH('Bad Patterns'!$A$2:$A$120,B7955)),0),0)),""))</f>
        <v/>
      </c>
      <c r="D7955">
        <f>IF(B7955="","",IF(C7955&lt;&gt;"","REMOVE","KEEP"))</f>
        <v/>
      </c>
      <c r="E7955">
        <f>IF(D7955&lt;&gt;"KEEP","",IF(RIGHT(B7955,10)="@gmail.com","Gmail",IF(OR(RIGHT(B7955,12)="@outlook.com",RIGHT(B7955,12)="@hotmail.com",RIGHT(B7955,9)="@live.com"),"Outlook","Domain")))</f>
        <v/>
      </c>
      <c r="F7955">
        <f>IF(B7955="","",IFERROR(RIGHT(B7955,LEN(B7955)-FIND("@",B7955)),""))</f>
        <v/>
      </c>
      <c r="G7955">
        <f>IF(D7955="KEEP",COUNTIF($D$2:D7955,"KEEP"),"")</f>
        <v/>
      </c>
      <c r="H7955">
        <f>IF(D7955="REMOVE",COUNTIF($D$2:D7955,"REMOVE"),"")</f>
        <v/>
      </c>
      <c r="I7955">
        <f>IF(E7955="Gmail",COUNTIF($E$2:E7955,"Gmail"),"")</f>
        <v/>
      </c>
      <c r="J7955">
        <f>IF(E7955="Outlook",COUNTIF($E$2:E7955,"Outlook"),"")</f>
        <v/>
      </c>
      <c r="K7955">
        <f>IF(E7955="Domain",COUNTIF($E$2:E7955,"Domain"),"")</f>
        <v/>
      </c>
    </row>
    <row r="7956">
      <c r="A7956" s="2" t="n"/>
      <c r="B7956">
        <f>LOWER(TRIM(A7956))</f>
        <v/>
      </c>
      <c r="C7956">
        <f>IF(B7956="","",IFERROR(INDEX('Bad Patterns'!$A$2:$A$120,MATCH(1,INDEX(--ISNUMBER(SEARCH('Bad Patterns'!$A$2:$A$120,B7956)),0),0)),""))</f>
        <v/>
      </c>
      <c r="D7956">
        <f>IF(B7956="","",IF(C7956&lt;&gt;"","REMOVE","KEEP"))</f>
        <v/>
      </c>
      <c r="E7956">
        <f>IF(D7956&lt;&gt;"KEEP","",IF(RIGHT(B7956,10)="@gmail.com","Gmail",IF(OR(RIGHT(B7956,12)="@outlook.com",RIGHT(B7956,12)="@hotmail.com",RIGHT(B7956,9)="@live.com"),"Outlook","Domain")))</f>
        <v/>
      </c>
      <c r="F7956">
        <f>IF(B7956="","",IFERROR(RIGHT(B7956,LEN(B7956)-FIND("@",B7956)),""))</f>
        <v/>
      </c>
      <c r="G7956">
        <f>IF(D7956="KEEP",COUNTIF($D$2:D7956,"KEEP"),"")</f>
        <v/>
      </c>
      <c r="H7956">
        <f>IF(D7956="REMOVE",COUNTIF($D$2:D7956,"REMOVE"),"")</f>
        <v/>
      </c>
      <c r="I7956">
        <f>IF(E7956="Gmail",COUNTIF($E$2:E7956,"Gmail"),"")</f>
        <v/>
      </c>
      <c r="J7956">
        <f>IF(E7956="Outlook",COUNTIF($E$2:E7956,"Outlook"),"")</f>
        <v/>
      </c>
      <c r="K7956">
        <f>IF(E7956="Domain",COUNTIF($E$2:E7956,"Domain"),"")</f>
        <v/>
      </c>
    </row>
    <row r="7957">
      <c r="A7957" s="2" t="n"/>
      <c r="B7957">
        <f>LOWER(TRIM(A7957))</f>
        <v/>
      </c>
      <c r="C7957">
        <f>IF(B7957="","",IFERROR(INDEX('Bad Patterns'!$A$2:$A$120,MATCH(1,INDEX(--ISNUMBER(SEARCH('Bad Patterns'!$A$2:$A$120,B7957)),0),0)),""))</f>
        <v/>
      </c>
      <c r="D7957">
        <f>IF(B7957="","",IF(C7957&lt;&gt;"","REMOVE","KEEP"))</f>
        <v/>
      </c>
      <c r="E7957">
        <f>IF(D7957&lt;&gt;"KEEP","",IF(RIGHT(B7957,10)="@gmail.com","Gmail",IF(OR(RIGHT(B7957,12)="@outlook.com",RIGHT(B7957,12)="@hotmail.com",RIGHT(B7957,9)="@live.com"),"Outlook","Domain")))</f>
        <v/>
      </c>
      <c r="F7957">
        <f>IF(B7957="","",IFERROR(RIGHT(B7957,LEN(B7957)-FIND("@",B7957)),""))</f>
        <v/>
      </c>
      <c r="G7957">
        <f>IF(D7957="KEEP",COUNTIF($D$2:D7957,"KEEP"),"")</f>
        <v/>
      </c>
      <c r="H7957">
        <f>IF(D7957="REMOVE",COUNTIF($D$2:D7957,"REMOVE"),"")</f>
        <v/>
      </c>
      <c r="I7957">
        <f>IF(E7957="Gmail",COUNTIF($E$2:E7957,"Gmail"),"")</f>
        <v/>
      </c>
      <c r="J7957">
        <f>IF(E7957="Outlook",COUNTIF($E$2:E7957,"Outlook"),"")</f>
        <v/>
      </c>
      <c r="K7957">
        <f>IF(E7957="Domain",COUNTIF($E$2:E7957,"Domain"),"")</f>
        <v/>
      </c>
    </row>
    <row r="7958">
      <c r="A7958" s="2" t="n"/>
      <c r="B7958">
        <f>LOWER(TRIM(A7958))</f>
        <v/>
      </c>
      <c r="C7958">
        <f>IF(B7958="","",IFERROR(INDEX('Bad Patterns'!$A$2:$A$120,MATCH(1,INDEX(--ISNUMBER(SEARCH('Bad Patterns'!$A$2:$A$120,B7958)),0),0)),""))</f>
        <v/>
      </c>
      <c r="D7958">
        <f>IF(B7958="","",IF(C7958&lt;&gt;"","REMOVE","KEEP"))</f>
        <v/>
      </c>
      <c r="E7958">
        <f>IF(D7958&lt;&gt;"KEEP","",IF(RIGHT(B7958,10)="@gmail.com","Gmail",IF(OR(RIGHT(B7958,12)="@outlook.com",RIGHT(B7958,12)="@hotmail.com",RIGHT(B7958,9)="@live.com"),"Outlook","Domain")))</f>
        <v/>
      </c>
      <c r="F7958">
        <f>IF(B7958="","",IFERROR(RIGHT(B7958,LEN(B7958)-FIND("@",B7958)),""))</f>
        <v/>
      </c>
      <c r="G7958">
        <f>IF(D7958="KEEP",COUNTIF($D$2:D7958,"KEEP"),"")</f>
        <v/>
      </c>
      <c r="H7958">
        <f>IF(D7958="REMOVE",COUNTIF($D$2:D7958,"REMOVE"),"")</f>
        <v/>
      </c>
      <c r="I7958">
        <f>IF(E7958="Gmail",COUNTIF($E$2:E7958,"Gmail"),"")</f>
        <v/>
      </c>
      <c r="J7958">
        <f>IF(E7958="Outlook",COUNTIF($E$2:E7958,"Outlook"),"")</f>
        <v/>
      </c>
      <c r="K7958">
        <f>IF(E7958="Domain",COUNTIF($E$2:E7958,"Domain"),"")</f>
        <v/>
      </c>
    </row>
    <row r="7959">
      <c r="A7959" s="2" t="n"/>
      <c r="B7959">
        <f>LOWER(TRIM(A7959))</f>
        <v/>
      </c>
      <c r="C7959">
        <f>IF(B7959="","",IFERROR(INDEX('Bad Patterns'!$A$2:$A$120,MATCH(1,INDEX(--ISNUMBER(SEARCH('Bad Patterns'!$A$2:$A$120,B7959)),0),0)),""))</f>
        <v/>
      </c>
      <c r="D7959">
        <f>IF(B7959="","",IF(C7959&lt;&gt;"","REMOVE","KEEP"))</f>
        <v/>
      </c>
      <c r="E7959">
        <f>IF(D7959&lt;&gt;"KEEP","",IF(RIGHT(B7959,10)="@gmail.com","Gmail",IF(OR(RIGHT(B7959,12)="@outlook.com",RIGHT(B7959,12)="@hotmail.com",RIGHT(B7959,9)="@live.com"),"Outlook","Domain")))</f>
        <v/>
      </c>
      <c r="F7959">
        <f>IF(B7959="","",IFERROR(RIGHT(B7959,LEN(B7959)-FIND("@",B7959)),""))</f>
        <v/>
      </c>
      <c r="G7959">
        <f>IF(D7959="KEEP",COUNTIF($D$2:D7959,"KEEP"),"")</f>
        <v/>
      </c>
      <c r="H7959">
        <f>IF(D7959="REMOVE",COUNTIF($D$2:D7959,"REMOVE"),"")</f>
        <v/>
      </c>
      <c r="I7959">
        <f>IF(E7959="Gmail",COUNTIF($E$2:E7959,"Gmail"),"")</f>
        <v/>
      </c>
      <c r="J7959">
        <f>IF(E7959="Outlook",COUNTIF($E$2:E7959,"Outlook"),"")</f>
        <v/>
      </c>
      <c r="K7959">
        <f>IF(E7959="Domain",COUNTIF($E$2:E7959,"Domain"),"")</f>
        <v/>
      </c>
    </row>
    <row r="7960">
      <c r="A7960" s="2" t="n"/>
      <c r="B7960">
        <f>LOWER(TRIM(A7960))</f>
        <v/>
      </c>
      <c r="C7960">
        <f>IF(B7960="","",IFERROR(INDEX('Bad Patterns'!$A$2:$A$120,MATCH(1,INDEX(--ISNUMBER(SEARCH('Bad Patterns'!$A$2:$A$120,B7960)),0),0)),""))</f>
        <v/>
      </c>
      <c r="D7960">
        <f>IF(B7960="","",IF(C7960&lt;&gt;"","REMOVE","KEEP"))</f>
        <v/>
      </c>
      <c r="E7960">
        <f>IF(D7960&lt;&gt;"KEEP","",IF(RIGHT(B7960,10)="@gmail.com","Gmail",IF(OR(RIGHT(B7960,12)="@outlook.com",RIGHT(B7960,12)="@hotmail.com",RIGHT(B7960,9)="@live.com"),"Outlook","Domain")))</f>
        <v/>
      </c>
      <c r="F7960">
        <f>IF(B7960="","",IFERROR(RIGHT(B7960,LEN(B7960)-FIND("@",B7960)),""))</f>
        <v/>
      </c>
      <c r="G7960">
        <f>IF(D7960="KEEP",COUNTIF($D$2:D7960,"KEEP"),"")</f>
        <v/>
      </c>
      <c r="H7960">
        <f>IF(D7960="REMOVE",COUNTIF($D$2:D7960,"REMOVE"),"")</f>
        <v/>
      </c>
      <c r="I7960">
        <f>IF(E7960="Gmail",COUNTIF($E$2:E7960,"Gmail"),"")</f>
        <v/>
      </c>
      <c r="J7960">
        <f>IF(E7960="Outlook",COUNTIF($E$2:E7960,"Outlook"),"")</f>
        <v/>
      </c>
      <c r="K7960">
        <f>IF(E7960="Domain",COUNTIF($E$2:E7960,"Domain"),"")</f>
        <v/>
      </c>
    </row>
    <row r="7961">
      <c r="A7961" s="2" t="n"/>
      <c r="B7961">
        <f>LOWER(TRIM(A7961))</f>
        <v/>
      </c>
      <c r="C7961">
        <f>IF(B7961="","",IFERROR(INDEX('Bad Patterns'!$A$2:$A$120,MATCH(1,INDEX(--ISNUMBER(SEARCH('Bad Patterns'!$A$2:$A$120,B7961)),0),0)),""))</f>
        <v/>
      </c>
      <c r="D7961">
        <f>IF(B7961="","",IF(C7961&lt;&gt;"","REMOVE","KEEP"))</f>
        <v/>
      </c>
      <c r="E7961">
        <f>IF(D7961&lt;&gt;"KEEP","",IF(RIGHT(B7961,10)="@gmail.com","Gmail",IF(OR(RIGHT(B7961,12)="@outlook.com",RIGHT(B7961,12)="@hotmail.com",RIGHT(B7961,9)="@live.com"),"Outlook","Domain")))</f>
        <v/>
      </c>
      <c r="F7961">
        <f>IF(B7961="","",IFERROR(RIGHT(B7961,LEN(B7961)-FIND("@",B7961)),""))</f>
        <v/>
      </c>
      <c r="G7961">
        <f>IF(D7961="KEEP",COUNTIF($D$2:D7961,"KEEP"),"")</f>
        <v/>
      </c>
      <c r="H7961">
        <f>IF(D7961="REMOVE",COUNTIF($D$2:D7961,"REMOVE"),"")</f>
        <v/>
      </c>
      <c r="I7961">
        <f>IF(E7961="Gmail",COUNTIF($E$2:E7961,"Gmail"),"")</f>
        <v/>
      </c>
      <c r="J7961">
        <f>IF(E7961="Outlook",COUNTIF($E$2:E7961,"Outlook"),"")</f>
        <v/>
      </c>
      <c r="K7961">
        <f>IF(E7961="Domain",COUNTIF($E$2:E7961,"Domain"),"")</f>
        <v/>
      </c>
    </row>
    <row r="7962">
      <c r="A7962" s="2" t="n"/>
      <c r="B7962">
        <f>LOWER(TRIM(A7962))</f>
        <v/>
      </c>
      <c r="C7962">
        <f>IF(B7962="","",IFERROR(INDEX('Bad Patterns'!$A$2:$A$120,MATCH(1,INDEX(--ISNUMBER(SEARCH('Bad Patterns'!$A$2:$A$120,B7962)),0),0)),""))</f>
        <v/>
      </c>
      <c r="D7962">
        <f>IF(B7962="","",IF(C7962&lt;&gt;"","REMOVE","KEEP"))</f>
        <v/>
      </c>
      <c r="E7962">
        <f>IF(D7962&lt;&gt;"KEEP","",IF(RIGHT(B7962,10)="@gmail.com","Gmail",IF(OR(RIGHT(B7962,12)="@outlook.com",RIGHT(B7962,12)="@hotmail.com",RIGHT(B7962,9)="@live.com"),"Outlook","Domain")))</f>
        <v/>
      </c>
      <c r="F7962">
        <f>IF(B7962="","",IFERROR(RIGHT(B7962,LEN(B7962)-FIND("@",B7962)),""))</f>
        <v/>
      </c>
      <c r="G7962">
        <f>IF(D7962="KEEP",COUNTIF($D$2:D7962,"KEEP"),"")</f>
        <v/>
      </c>
      <c r="H7962">
        <f>IF(D7962="REMOVE",COUNTIF($D$2:D7962,"REMOVE"),"")</f>
        <v/>
      </c>
      <c r="I7962">
        <f>IF(E7962="Gmail",COUNTIF($E$2:E7962,"Gmail"),"")</f>
        <v/>
      </c>
      <c r="J7962">
        <f>IF(E7962="Outlook",COUNTIF($E$2:E7962,"Outlook"),"")</f>
        <v/>
      </c>
      <c r="K7962">
        <f>IF(E7962="Domain",COUNTIF($E$2:E7962,"Domain"),"")</f>
        <v/>
      </c>
    </row>
    <row r="7963">
      <c r="A7963" s="2" t="n"/>
      <c r="B7963">
        <f>LOWER(TRIM(A7963))</f>
        <v/>
      </c>
      <c r="C7963">
        <f>IF(B7963="","",IFERROR(INDEX('Bad Patterns'!$A$2:$A$120,MATCH(1,INDEX(--ISNUMBER(SEARCH('Bad Patterns'!$A$2:$A$120,B7963)),0),0)),""))</f>
        <v/>
      </c>
      <c r="D7963">
        <f>IF(B7963="","",IF(C7963&lt;&gt;"","REMOVE","KEEP"))</f>
        <v/>
      </c>
      <c r="E7963">
        <f>IF(D7963&lt;&gt;"KEEP","",IF(RIGHT(B7963,10)="@gmail.com","Gmail",IF(OR(RIGHT(B7963,12)="@outlook.com",RIGHT(B7963,12)="@hotmail.com",RIGHT(B7963,9)="@live.com"),"Outlook","Domain")))</f>
        <v/>
      </c>
      <c r="F7963">
        <f>IF(B7963="","",IFERROR(RIGHT(B7963,LEN(B7963)-FIND("@",B7963)),""))</f>
        <v/>
      </c>
      <c r="G7963">
        <f>IF(D7963="KEEP",COUNTIF($D$2:D7963,"KEEP"),"")</f>
        <v/>
      </c>
      <c r="H7963">
        <f>IF(D7963="REMOVE",COUNTIF($D$2:D7963,"REMOVE"),"")</f>
        <v/>
      </c>
      <c r="I7963">
        <f>IF(E7963="Gmail",COUNTIF($E$2:E7963,"Gmail"),"")</f>
        <v/>
      </c>
      <c r="J7963">
        <f>IF(E7963="Outlook",COUNTIF($E$2:E7963,"Outlook"),"")</f>
        <v/>
      </c>
      <c r="K7963">
        <f>IF(E7963="Domain",COUNTIF($E$2:E7963,"Domain"),"")</f>
        <v/>
      </c>
    </row>
    <row r="7964">
      <c r="A7964" s="2" t="n"/>
      <c r="B7964">
        <f>LOWER(TRIM(A7964))</f>
        <v/>
      </c>
      <c r="C7964">
        <f>IF(B7964="","",IFERROR(INDEX('Bad Patterns'!$A$2:$A$120,MATCH(1,INDEX(--ISNUMBER(SEARCH('Bad Patterns'!$A$2:$A$120,B7964)),0),0)),""))</f>
        <v/>
      </c>
      <c r="D7964">
        <f>IF(B7964="","",IF(C7964&lt;&gt;"","REMOVE","KEEP"))</f>
        <v/>
      </c>
      <c r="E7964">
        <f>IF(D7964&lt;&gt;"KEEP","",IF(RIGHT(B7964,10)="@gmail.com","Gmail",IF(OR(RIGHT(B7964,12)="@outlook.com",RIGHT(B7964,12)="@hotmail.com",RIGHT(B7964,9)="@live.com"),"Outlook","Domain")))</f>
        <v/>
      </c>
      <c r="F7964">
        <f>IF(B7964="","",IFERROR(RIGHT(B7964,LEN(B7964)-FIND("@",B7964)),""))</f>
        <v/>
      </c>
      <c r="G7964">
        <f>IF(D7964="KEEP",COUNTIF($D$2:D7964,"KEEP"),"")</f>
        <v/>
      </c>
      <c r="H7964">
        <f>IF(D7964="REMOVE",COUNTIF($D$2:D7964,"REMOVE"),"")</f>
        <v/>
      </c>
      <c r="I7964">
        <f>IF(E7964="Gmail",COUNTIF($E$2:E7964,"Gmail"),"")</f>
        <v/>
      </c>
      <c r="J7964">
        <f>IF(E7964="Outlook",COUNTIF($E$2:E7964,"Outlook"),"")</f>
        <v/>
      </c>
      <c r="K7964">
        <f>IF(E7964="Domain",COUNTIF($E$2:E7964,"Domain"),"")</f>
        <v/>
      </c>
    </row>
    <row r="7965">
      <c r="A7965" s="2" t="n"/>
      <c r="B7965">
        <f>LOWER(TRIM(A7965))</f>
        <v/>
      </c>
      <c r="C7965">
        <f>IF(B7965="","",IFERROR(INDEX('Bad Patterns'!$A$2:$A$120,MATCH(1,INDEX(--ISNUMBER(SEARCH('Bad Patterns'!$A$2:$A$120,B7965)),0),0)),""))</f>
        <v/>
      </c>
      <c r="D7965">
        <f>IF(B7965="","",IF(C7965&lt;&gt;"","REMOVE","KEEP"))</f>
        <v/>
      </c>
      <c r="E7965">
        <f>IF(D7965&lt;&gt;"KEEP","",IF(RIGHT(B7965,10)="@gmail.com","Gmail",IF(OR(RIGHT(B7965,12)="@outlook.com",RIGHT(B7965,12)="@hotmail.com",RIGHT(B7965,9)="@live.com"),"Outlook","Domain")))</f>
        <v/>
      </c>
      <c r="F7965">
        <f>IF(B7965="","",IFERROR(RIGHT(B7965,LEN(B7965)-FIND("@",B7965)),""))</f>
        <v/>
      </c>
      <c r="G7965">
        <f>IF(D7965="KEEP",COUNTIF($D$2:D7965,"KEEP"),"")</f>
        <v/>
      </c>
      <c r="H7965">
        <f>IF(D7965="REMOVE",COUNTIF($D$2:D7965,"REMOVE"),"")</f>
        <v/>
      </c>
      <c r="I7965">
        <f>IF(E7965="Gmail",COUNTIF($E$2:E7965,"Gmail"),"")</f>
        <v/>
      </c>
      <c r="J7965">
        <f>IF(E7965="Outlook",COUNTIF($E$2:E7965,"Outlook"),"")</f>
        <v/>
      </c>
      <c r="K7965">
        <f>IF(E7965="Domain",COUNTIF($E$2:E7965,"Domain"),"")</f>
        <v/>
      </c>
    </row>
    <row r="7966">
      <c r="A7966" s="2" t="n"/>
      <c r="B7966">
        <f>LOWER(TRIM(A7966))</f>
        <v/>
      </c>
      <c r="C7966">
        <f>IF(B7966="","",IFERROR(INDEX('Bad Patterns'!$A$2:$A$120,MATCH(1,INDEX(--ISNUMBER(SEARCH('Bad Patterns'!$A$2:$A$120,B7966)),0),0)),""))</f>
        <v/>
      </c>
      <c r="D7966">
        <f>IF(B7966="","",IF(C7966&lt;&gt;"","REMOVE","KEEP"))</f>
        <v/>
      </c>
      <c r="E7966">
        <f>IF(D7966&lt;&gt;"KEEP","",IF(RIGHT(B7966,10)="@gmail.com","Gmail",IF(OR(RIGHT(B7966,12)="@outlook.com",RIGHT(B7966,12)="@hotmail.com",RIGHT(B7966,9)="@live.com"),"Outlook","Domain")))</f>
        <v/>
      </c>
      <c r="F7966">
        <f>IF(B7966="","",IFERROR(RIGHT(B7966,LEN(B7966)-FIND("@",B7966)),""))</f>
        <v/>
      </c>
      <c r="G7966">
        <f>IF(D7966="KEEP",COUNTIF($D$2:D7966,"KEEP"),"")</f>
        <v/>
      </c>
      <c r="H7966">
        <f>IF(D7966="REMOVE",COUNTIF($D$2:D7966,"REMOVE"),"")</f>
        <v/>
      </c>
      <c r="I7966">
        <f>IF(E7966="Gmail",COUNTIF($E$2:E7966,"Gmail"),"")</f>
        <v/>
      </c>
      <c r="J7966">
        <f>IF(E7966="Outlook",COUNTIF($E$2:E7966,"Outlook"),"")</f>
        <v/>
      </c>
      <c r="K7966">
        <f>IF(E7966="Domain",COUNTIF($E$2:E7966,"Domain"),"")</f>
        <v/>
      </c>
    </row>
    <row r="7967">
      <c r="A7967" s="2" t="n"/>
      <c r="B7967">
        <f>LOWER(TRIM(A7967))</f>
        <v/>
      </c>
      <c r="C7967">
        <f>IF(B7967="","",IFERROR(INDEX('Bad Patterns'!$A$2:$A$120,MATCH(1,INDEX(--ISNUMBER(SEARCH('Bad Patterns'!$A$2:$A$120,B7967)),0),0)),""))</f>
        <v/>
      </c>
      <c r="D7967">
        <f>IF(B7967="","",IF(C7967&lt;&gt;"","REMOVE","KEEP"))</f>
        <v/>
      </c>
      <c r="E7967">
        <f>IF(D7967&lt;&gt;"KEEP","",IF(RIGHT(B7967,10)="@gmail.com","Gmail",IF(OR(RIGHT(B7967,12)="@outlook.com",RIGHT(B7967,12)="@hotmail.com",RIGHT(B7967,9)="@live.com"),"Outlook","Domain")))</f>
        <v/>
      </c>
      <c r="F7967">
        <f>IF(B7967="","",IFERROR(RIGHT(B7967,LEN(B7967)-FIND("@",B7967)),""))</f>
        <v/>
      </c>
      <c r="G7967">
        <f>IF(D7967="KEEP",COUNTIF($D$2:D7967,"KEEP"),"")</f>
        <v/>
      </c>
      <c r="H7967">
        <f>IF(D7967="REMOVE",COUNTIF($D$2:D7967,"REMOVE"),"")</f>
        <v/>
      </c>
      <c r="I7967">
        <f>IF(E7967="Gmail",COUNTIF($E$2:E7967,"Gmail"),"")</f>
        <v/>
      </c>
      <c r="J7967">
        <f>IF(E7967="Outlook",COUNTIF($E$2:E7967,"Outlook"),"")</f>
        <v/>
      </c>
      <c r="K7967">
        <f>IF(E7967="Domain",COUNTIF($E$2:E7967,"Domain"),"")</f>
        <v/>
      </c>
    </row>
    <row r="7968">
      <c r="A7968" s="2" t="n"/>
      <c r="B7968">
        <f>LOWER(TRIM(A7968))</f>
        <v/>
      </c>
      <c r="C7968">
        <f>IF(B7968="","",IFERROR(INDEX('Bad Patterns'!$A$2:$A$120,MATCH(1,INDEX(--ISNUMBER(SEARCH('Bad Patterns'!$A$2:$A$120,B7968)),0),0)),""))</f>
        <v/>
      </c>
      <c r="D7968">
        <f>IF(B7968="","",IF(C7968&lt;&gt;"","REMOVE","KEEP"))</f>
        <v/>
      </c>
      <c r="E7968">
        <f>IF(D7968&lt;&gt;"KEEP","",IF(RIGHT(B7968,10)="@gmail.com","Gmail",IF(OR(RIGHT(B7968,12)="@outlook.com",RIGHT(B7968,12)="@hotmail.com",RIGHT(B7968,9)="@live.com"),"Outlook","Domain")))</f>
        <v/>
      </c>
      <c r="F7968">
        <f>IF(B7968="","",IFERROR(RIGHT(B7968,LEN(B7968)-FIND("@",B7968)),""))</f>
        <v/>
      </c>
      <c r="G7968">
        <f>IF(D7968="KEEP",COUNTIF($D$2:D7968,"KEEP"),"")</f>
        <v/>
      </c>
      <c r="H7968">
        <f>IF(D7968="REMOVE",COUNTIF($D$2:D7968,"REMOVE"),"")</f>
        <v/>
      </c>
      <c r="I7968">
        <f>IF(E7968="Gmail",COUNTIF($E$2:E7968,"Gmail"),"")</f>
        <v/>
      </c>
      <c r="J7968">
        <f>IF(E7968="Outlook",COUNTIF($E$2:E7968,"Outlook"),"")</f>
        <v/>
      </c>
      <c r="K7968">
        <f>IF(E7968="Domain",COUNTIF($E$2:E7968,"Domain"),"")</f>
        <v/>
      </c>
    </row>
    <row r="7969">
      <c r="A7969" s="2" t="n"/>
      <c r="B7969">
        <f>LOWER(TRIM(A7969))</f>
        <v/>
      </c>
      <c r="C7969">
        <f>IF(B7969="","",IFERROR(INDEX('Bad Patterns'!$A$2:$A$120,MATCH(1,INDEX(--ISNUMBER(SEARCH('Bad Patterns'!$A$2:$A$120,B7969)),0),0)),""))</f>
        <v/>
      </c>
      <c r="D7969">
        <f>IF(B7969="","",IF(C7969&lt;&gt;"","REMOVE","KEEP"))</f>
        <v/>
      </c>
      <c r="E7969">
        <f>IF(D7969&lt;&gt;"KEEP","",IF(RIGHT(B7969,10)="@gmail.com","Gmail",IF(OR(RIGHT(B7969,12)="@outlook.com",RIGHT(B7969,12)="@hotmail.com",RIGHT(B7969,9)="@live.com"),"Outlook","Domain")))</f>
        <v/>
      </c>
      <c r="F7969">
        <f>IF(B7969="","",IFERROR(RIGHT(B7969,LEN(B7969)-FIND("@",B7969)),""))</f>
        <v/>
      </c>
      <c r="G7969">
        <f>IF(D7969="KEEP",COUNTIF($D$2:D7969,"KEEP"),"")</f>
        <v/>
      </c>
      <c r="H7969">
        <f>IF(D7969="REMOVE",COUNTIF($D$2:D7969,"REMOVE"),"")</f>
        <v/>
      </c>
      <c r="I7969">
        <f>IF(E7969="Gmail",COUNTIF($E$2:E7969,"Gmail"),"")</f>
        <v/>
      </c>
      <c r="J7969">
        <f>IF(E7969="Outlook",COUNTIF($E$2:E7969,"Outlook"),"")</f>
        <v/>
      </c>
      <c r="K7969">
        <f>IF(E7969="Domain",COUNTIF($E$2:E7969,"Domain"),"")</f>
        <v/>
      </c>
    </row>
    <row r="7970">
      <c r="A7970" s="2" t="n"/>
      <c r="B7970">
        <f>LOWER(TRIM(A7970))</f>
        <v/>
      </c>
      <c r="C7970">
        <f>IF(B7970="","",IFERROR(INDEX('Bad Patterns'!$A$2:$A$120,MATCH(1,INDEX(--ISNUMBER(SEARCH('Bad Patterns'!$A$2:$A$120,B7970)),0),0)),""))</f>
        <v/>
      </c>
      <c r="D7970">
        <f>IF(B7970="","",IF(C7970&lt;&gt;"","REMOVE","KEEP"))</f>
        <v/>
      </c>
      <c r="E7970">
        <f>IF(D7970&lt;&gt;"KEEP","",IF(RIGHT(B7970,10)="@gmail.com","Gmail",IF(OR(RIGHT(B7970,12)="@outlook.com",RIGHT(B7970,12)="@hotmail.com",RIGHT(B7970,9)="@live.com"),"Outlook","Domain")))</f>
        <v/>
      </c>
      <c r="F7970">
        <f>IF(B7970="","",IFERROR(RIGHT(B7970,LEN(B7970)-FIND("@",B7970)),""))</f>
        <v/>
      </c>
      <c r="G7970">
        <f>IF(D7970="KEEP",COUNTIF($D$2:D7970,"KEEP"),"")</f>
        <v/>
      </c>
      <c r="H7970">
        <f>IF(D7970="REMOVE",COUNTIF($D$2:D7970,"REMOVE"),"")</f>
        <v/>
      </c>
      <c r="I7970">
        <f>IF(E7970="Gmail",COUNTIF($E$2:E7970,"Gmail"),"")</f>
        <v/>
      </c>
      <c r="J7970">
        <f>IF(E7970="Outlook",COUNTIF($E$2:E7970,"Outlook"),"")</f>
        <v/>
      </c>
      <c r="K7970">
        <f>IF(E7970="Domain",COUNTIF($E$2:E7970,"Domain"),"")</f>
        <v/>
      </c>
    </row>
    <row r="7971">
      <c r="A7971" s="2" t="n"/>
      <c r="B7971">
        <f>LOWER(TRIM(A7971))</f>
        <v/>
      </c>
      <c r="C7971">
        <f>IF(B7971="","",IFERROR(INDEX('Bad Patterns'!$A$2:$A$120,MATCH(1,INDEX(--ISNUMBER(SEARCH('Bad Patterns'!$A$2:$A$120,B7971)),0),0)),""))</f>
        <v/>
      </c>
      <c r="D7971">
        <f>IF(B7971="","",IF(C7971&lt;&gt;"","REMOVE","KEEP"))</f>
        <v/>
      </c>
      <c r="E7971">
        <f>IF(D7971&lt;&gt;"KEEP","",IF(RIGHT(B7971,10)="@gmail.com","Gmail",IF(OR(RIGHT(B7971,12)="@outlook.com",RIGHT(B7971,12)="@hotmail.com",RIGHT(B7971,9)="@live.com"),"Outlook","Domain")))</f>
        <v/>
      </c>
      <c r="F7971">
        <f>IF(B7971="","",IFERROR(RIGHT(B7971,LEN(B7971)-FIND("@",B7971)),""))</f>
        <v/>
      </c>
      <c r="G7971">
        <f>IF(D7971="KEEP",COUNTIF($D$2:D7971,"KEEP"),"")</f>
        <v/>
      </c>
      <c r="H7971">
        <f>IF(D7971="REMOVE",COUNTIF($D$2:D7971,"REMOVE"),"")</f>
        <v/>
      </c>
      <c r="I7971">
        <f>IF(E7971="Gmail",COUNTIF($E$2:E7971,"Gmail"),"")</f>
        <v/>
      </c>
      <c r="J7971">
        <f>IF(E7971="Outlook",COUNTIF($E$2:E7971,"Outlook"),"")</f>
        <v/>
      </c>
      <c r="K7971">
        <f>IF(E7971="Domain",COUNTIF($E$2:E7971,"Domain"),"")</f>
        <v/>
      </c>
    </row>
    <row r="7972">
      <c r="A7972" s="2" t="n"/>
      <c r="B7972">
        <f>LOWER(TRIM(A7972))</f>
        <v/>
      </c>
      <c r="C7972">
        <f>IF(B7972="","",IFERROR(INDEX('Bad Patterns'!$A$2:$A$120,MATCH(1,INDEX(--ISNUMBER(SEARCH('Bad Patterns'!$A$2:$A$120,B7972)),0),0)),""))</f>
        <v/>
      </c>
      <c r="D7972">
        <f>IF(B7972="","",IF(C7972&lt;&gt;"","REMOVE","KEEP"))</f>
        <v/>
      </c>
      <c r="E7972">
        <f>IF(D7972&lt;&gt;"KEEP","",IF(RIGHT(B7972,10)="@gmail.com","Gmail",IF(OR(RIGHT(B7972,12)="@outlook.com",RIGHT(B7972,12)="@hotmail.com",RIGHT(B7972,9)="@live.com"),"Outlook","Domain")))</f>
        <v/>
      </c>
      <c r="F7972">
        <f>IF(B7972="","",IFERROR(RIGHT(B7972,LEN(B7972)-FIND("@",B7972)),""))</f>
        <v/>
      </c>
      <c r="G7972">
        <f>IF(D7972="KEEP",COUNTIF($D$2:D7972,"KEEP"),"")</f>
        <v/>
      </c>
      <c r="H7972">
        <f>IF(D7972="REMOVE",COUNTIF($D$2:D7972,"REMOVE"),"")</f>
        <v/>
      </c>
      <c r="I7972">
        <f>IF(E7972="Gmail",COUNTIF($E$2:E7972,"Gmail"),"")</f>
        <v/>
      </c>
      <c r="J7972">
        <f>IF(E7972="Outlook",COUNTIF($E$2:E7972,"Outlook"),"")</f>
        <v/>
      </c>
      <c r="K7972">
        <f>IF(E7972="Domain",COUNTIF($E$2:E7972,"Domain"),"")</f>
        <v/>
      </c>
    </row>
    <row r="7973">
      <c r="A7973" s="2" t="n"/>
      <c r="B7973">
        <f>LOWER(TRIM(A7973))</f>
        <v/>
      </c>
      <c r="C7973">
        <f>IF(B7973="","",IFERROR(INDEX('Bad Patterns'!$A$2:$A$120,MATCH(1,INDEX(--ISNUMBER(SEARCH('Bad Patterns'!$A$2:$A$120,B7973)),0),0)),""))</f>
        <v/>
      </c>
      <c r="D7973">
        <f>IF(B7973="","",IF(C7973&lt;&gt;"","REMOVE","KEEP"))</f>
        <v/>
      </c>
      <c r="E7973">
        <f>IF(D7973&lt;&gt;"KEEP","",IF(RIGHT(B7973,10)="@gmail.com","Gmail",IF(OR(RIGHT(B7973,12)="@outlook.com",RIGHT(B7973,12)="@hotmail.com",RIGHT(B7973,9)="@live.com"),"Outlook","Domain")))</f>
        <v/>
      </c>
      <c r="F7973">
        <f>IF(B7973="","",IFERROR(RIGHT(B7973,LEN(B7973)-FIND("@",B7973)),""))</f>
        <v/>
      </c>
      <c r="G7973">
        <f>IF(D7973="KEEP",COUNTIF($D$2:D7973,"KEEP"),"")</f>
        <v/>
      </c>
      <c r="H7973">
        <f>IF(D7973="REMOVE",COUNTIF($D$2:D7973,"REMOVE"),"")</f>
        <v/>
      </c>
      <c r="I7973">
        <f>IF(E7973="Gmail",COUNTIF($E$2:E7973,"Gmail"),"")</f>
        <v/>
      </c>
      <c r="J7973">
        <f>IF(E7973="Outlook",COUNTIF($E$2:E7973,"Outlook"),"")</f>
        <v/>
      </c>
      <c r="K7973">
        <f>IF(E7973="Domain",COUNTIF($E$2:E7973,"Domain"),"")</f>
        <v/>
      </c>
    </row>
    <row r="7974">
      <c r="A7974" s="2" t="n"/>
      <c r="B7974">
        <f>LOWER(TRIM(A7974))</f>
        <v/>
      </c>
      <c r="C7974">
        <f>IF(B7974="","",IFERROR(INDEX('Bad Patterns'!$A$2:$A$120,MATCH(1,INDEX(--ISNUMBER(SEARCH('Bad Patterns'!$A$2:$A$120,B7974)),0),0)),""))</f>
        <v/>
      </c>
      <c r="D7974">
        <f>IF(B7974="","",IF(C7974&lt;&gt;"","REMOVE","KEEP"))</f>
        <v/>
      </c>
      <c r="E7974">
        <f>IF(D7974&lt;&gt;"KEEP","",IF(RIGHT(B7974,10)="@gmail.com","Gmail",IF(OR(RIGHT(B7974,12)="@outlook.com",RIGHT(B7974,12)="@hotmail.com",RIGHT(B7974,9)="@live.com"),"Outlook","Domain")))</f>
        <v/>
      </c>
      <c r="F7974">
        <f>IF(B7974="","",IFERROR(RIGHT(B7974,LEN(B7974)-FIND("@",B7974)),""))</f>
        <v/>
      </c>
      <c r="G7974">
        <f>IF(D7974="KEEP",COUNTIF($D$2:D7974,"KEEP"),"")</f>
        <v/>
      </c>
      <c r="H7974">
        <f>IF(D7974="REMOVE",COUNTIF($D$2:D7974,"REMOVE"),"")</f>
        <v/>
      </c>
      <c r="I7974">
        <f>IF(E7974="Gmail",COUNTIF($E$2:E7974,"Gmail"),"")</f>
        <v/>
      </c>
      <c r="J7974">
        <f>IF(E7974="Outlook",COUNTIF($E$2:E7974,"Outlook"),"")</f>
        <v/>
      </c>
      <c r="K7974">
        <f>IF(E7974="Domain",COUNTIF($E$2:E7974,"Domain"),"")</f>
        <v/>
      </c>
    </row>
    <row r="7975">
      <c r="A7975" s="2" t="n"/>
      <c r="B7975">
        <f>LOWER(TRIM(A7975))</f>
        <v/>
      </c>
      <c r="C7975">
        <f>IF(B7975="","",IFERROR(INDEX('Bad Patterns'!$A$2:$A$120,MATCH(1,INDEX(--ISNUMBER(SEARCH('Bad Patterns'!$A$2:$A$120,B7975)),0),0)),""))</f>
        <v/>
      </c>
      <c r="D7975">
        <f>IF(B7975="","",IF(C7975&lt;&gt;"","REMOVE","KEEP"))</f>
        <v/>
      </c>
      <c r="E7975">
        <f>IF(D7975&lt;&gt;"KEEP","",IF(RIGHT(B7975,10)="@gmail.com","Gmail",IF(OR(RIGHT(B7975,12)="@outlook.com",RIGHT(B7975,12)="@hotmail.com",RIGHT(B7975,9)="@live.com"),"Outlook","Domain")))</f>
        <v/>
      </c>
      <c r="F7975">
        <f>IF(B7975="","",IFERROR(RIGHT(B7975,LEN(B7975)-FIND("@",B7975)),""))</f>
        <v/>
      </c>
      <c r="G7975">
        <f>IF(D7975="KEEP",COUNTIF($D$2:D7975,"KEEP"),"")</f>
        <v/>
      </c>
      <c r="H7975">
        <f>IF(D7975="REMOVE",COUNTIF($D$2:D7975,"REMOVE"),"")</f>
        <v/>
      </c>
      <c r="I7975">
        <f>IF(E7975="Gmail",COUNTIF($E$2:E7975,"Gmail"),"")</f>
        <v/>
      </c>
      <c r="J7975">
        <f>IF(E7975="Outlook",COUNTIF($E$2:E7975,"Outlook"),"")</f>
        <v/>
      </c>
      <c r="K7975">
        <f>IF(E7975="Domain",COUNTIF($E$2:E7975,"Domain"),"")</f>
        <v/>
      </c>
    </row>
    <row r="7976">
      <c r="A7976" s="2" t="n"/>
      <c r="B7976">
        <f>LOWER(TRIM(A7976))</f>
        <v/>
      </c>
      <c r="C7976">
        <f>IF(B7976="","",IFERROR(INDEX('Bad Patterns'!$A$2:$A$120,MATCH(1,INDEX(--ISNUMBER(SEARCH('Bad Patterns'!$A$2:$A$120,B7976)),0),0)),""))</f>
        <v/>
      </c>
      <c r="D7976">
        <f>IF(B7976="","",IF(C7976&lt;&gt;"","REMOVE","KEEP"))</f>
        <v/>
      </c>
      <c r="E7976">
        <f>IF(D7976&lt;&gt;"KEEP","",IF(RIGHT(B7976,10)="@gmail.com","Gmail",IF(OR(RIGHT(B7976,12)="@outlook.com",RIGHT(B7976,12)="@hotmail.com",RIGHT(B7976,9)="@live.com"),"Outlook","Domain")))</f>
        <v/>
      </c>
      <c r="F7976">
        <f>IF(B7976="","",IFERROR(RIGHT(B7976,LEN(B7976)-FIND("@",B7976)),""))</f>
        <v/>
      </c>
      <c r="G7976">
        <f>IF(D7976="KEEP",COUNTIF($D$2:D7976,"KEEP"),"")</f>
        <v/>
      </c>
      <c r="H7976">
        <f>IF(D7976="REMOVE",COUNTIF($D$2:D7976,"REMOVE"),"")</f>
        <v/>
      </c>
      <c r="I7976">
        <f>IF(E7976="Gmail",COUNTIF($E$2:E7976,"Gmail"),"")</f>
        <v/>
      </c>
      <c r="J7976">
        <f>IF(E7976="Outlook",COUNTIF($E$2:E7976,"Outlook"),"")</f>
        <v/>
      </c>
      <c r="K7976">
        <f>IF(E7976="Domain",COUNTIF($E$2:E7976,"Domain"),"")</f>
        <v/>
      </c>
    </row>
    <row r="7977">
      <c r="A7977" s="2" t="n"/>
      <c r="B7977">
        <f>LOWER(TRIM(A7977))</f>
        <v/>
      </c>
      <c r="C7977">
        <f>IF(B7977="","",IFERROR(INDEX('Bad Patterns'!$A$2:$A$120,MATCH(1,INDEX(--ISNUMBER(SEARCH('Bad Patterns'!$A$2:$A$120,B7977)),0),0)),""))</f>
        <v/>
      </c>
      <c r="D7977">
        <f>IF(B7977="","",IF(C7977&lt;&gt;"","REMOVE","KEEP"))</f>
        <v/>
      </c>
      <c r="E7977">
        <f>IF(D7977&lt;&gt;"KEEP","",IF(RIGHT(B7977,10)="@gmail.com","Gmail",IF(OR(RIGHT(B7977,12)="@outlook.com",RIGHT(B7977,12)="@hotmail.com",RIGHT(B7977,9)="@live.com"),"Outlook","Domain")))</f>
        <v/>
      </c>
      <c r="F7977">
        <f>IF(B7977="","",IFERROR(RIGHT(B7977,LEN(B7977)-FIND("@",B7977)),""))</f>
        <v/>
      </c>
      <c r="G7977">
        <f>IF(D7977="KEEP",COUNTIF($D$2:D7977,"KEEP"),"")</f>
        <v/>
      </c>
      <c r="H7977">
        <f>IF(D7977="REMOVE",COUNTIF($D$2:D7977,"REMOVE"),"")</f>
        <v/>
      </c>
      <c r="I7977">
        <f>IF(E7977="Gmail",COUNTIF($E$2:E7977,"Gmail"),"")</f>
        <v/>
      </c>
      <c r="J7977">
        <f>IF(E7977="Outlook",COUNTIF($E$2:E7977,"Outlook"),"")</f>
        <v/>
      </c>
      <c r="K7977">
        <f>IF(E7977="Domain",COUNTIF($E$2:E7977,"Domain"),"")</f>
        <v/>
      </c>
    </row>
    <row r="7978">
      <c r="A7978" s="2" t="n"/>
      <c r="B7978">
        <f>LOWER(TRIM(A7978))</f>
        <v/>
      </c>
      <c r="C7978">
        <f>IF(B7978="","",IFERROR(INDEX('Bad Patterns'!$A$2:$A$120,MATCH(1,INDEX(--ISNUMBER(SEARCH('Bad Patterns'!$A$2:$A$120,B7978)),0),0)),""))</f>
        <v/>
      </c>
      <c r="D7978">
        <f>IF(B7978="","",IF(C7978&lt;&gt;"","REMOVE","KEEP"))</f>
        <v/>
      </c>
      <c r="E7978">
        <f>IF(D7978&lt;&gt;"KEEP","",IF(RIGHT(B7978,10)="@gmail.com","Gmail",IF(OR(RIGHT(B7978,12)="@outlook.com",RIGHT(B7978,12)="@hotmail.com",RIGHT(B7978,9)="@live.com"),"Outlook","Domain")))</f>
        <v/>
      </c>
      <c r="F7978">
        <f>IF(B7978="","",IFERROR(RIGHT(B7978,LEN(B7978)-FIND("@",B7978)),""))</f>
        <v/>
      </c>
      <c r="G7978">
        <f>IF(D7978="KEEP",COUNTIF($D$2:D7978,"KEEP"),"")</f>
        <v/>
      </c>
      <c r="H7978">
        <f>IF(D7978="REMOVE",COUNTIF($D$2:D7978,"REMOVE"),"")</f>
        <v/>
      </c>
      <c r="I7978">
        <f>IF(E7978="Gmail",COUNTIF($E$2:E7978,"Gmail"),"")</f>
        <v/>
      </c>
      <c r="J7978">
        <f>IF(E7978="Outlook",COUNTIF($E$2:E7978,"Outlook"),"")</f>
        <v/>
      </c>
      <c r="K7978">
        <f>IF(E7978="Domain",COUNTIF($E$2:E7978,"Domain"),"")</f>
        <v/>
      </c>
    </row>
    <row r="7979">
      <c r="A7979" s="2" t="n"/>
      <c r="B7979">
        <f>LOWER(TRIM(A7979))</f>
        <v/>
      </c>
      <c r="C7979">
        <f>IF(B7979="","",IFERROR(INDEX('Bad Patterns'!$A$2:$A$120,MATCH(1,INDEX(--ISNUMBER(SEARCH('Bad Patterns'!$A$2:$A$120,B7979)),0),0)),""))</f>
        <v/>
      </c>
      <c r="D7979">
        <f>IF(B7979="","",IF(C7979&lt;&gt;"","REMOVE","KEEP"))</f>
        <v/>
      </c>
      <c r="E7979">
        <f>IF(D7979&lt;&gt;"KEEP","",IF(RIGHT(B7979,10)="@gmail.com","Gmail",IF(OR(RIGHT(B7979,12)="@outlook.com",RIGHT(B7979,12)="@hotmail.com",RIGHT(B7979,9)="@live.com"),"Outlook","Domain")))</f>
        <v/>
      </c>
      <c r="F7979">
        <f>IF(B7979="","",IFERROR(RIGHT(B7979,LEN(B7979)-FIND("@",B7979)),""))</f>
        <v/>
      </c>
      <c r="G7979">
        <f>IF(D7979="KEEP",COUNTIF($D$2:D7979,"KEEP"),"")</f>
        <v/>
      </c>
      <c r="H7979">
        <f>IF(D7979="REMOVE",COUNTIF($D$2:D7979,"REMOVE"),"")</f>
        <v/>
      </c>
      <c r="I7979">
        <f>IF(E7979="Gmail",COUNTIF($E$2:E7979,"Gmail"),"")</f>
        <v/>
      </c>
      <c r="J7979">
        <f>IF(E7979="Outlook",COUNTIF($E$2:E7979,"Outlook"),"")</f>
        <v/>
      </c>
      <c r="K7979">
        <f>IF(E7979="Domain",COUNTIF($E$2:E7979,"Domain"),"")</f>
        <v/>
      </c>
    </row>
    <row r="7980">
      <c r="A7980" s="2" t="n"/>
      <c r="B7980">
        <f>LOWER(TRIM(A7980))</f>
        <v/>
      </c>
      <c r="C7980">
        <f>IF(B7980="","",IFERROR(INDEX('Bad Patterns'!$A$2:$A$120,MATCH(1,INDEX(--ISNUMBER(SEARCH('Bad Patterns'!$A$2:$A$120,B7980)),0),0)),""))</f>
        <v/>
      </c>
      <c r="D7980">
        <f>IF(B7980="","",IF(C7980&lt;&gt;"","REMOVE","KEEP"))</f>
        <v/>
      </c>
      <c r="E7980">
        <f>IF(D7980&lt;&gt;"KEEP","",IF(RIGHT(B7980,10)="@gmail.com","Gmail",IF(OR(RIGHT(B7980,12)="@outlook.com",RIGHT(B7980,12)="@hotmail.com",RIGHT(B7980,9)="@live.com"),"Outlook","Domain")))</f>
        <v/>
      </c>
      <c r="F7980">
        <f>IF(B7980="","",IFERROR(RIGHT(B7980,LEN(B7980)-FIND("@",B7980)),""))</f>
        <v/>
      </c>
      <c r="G7980">
        <f>IF(D7980="KEEP",COUNTIF($D$2:D7980,"KEEP"),"")</f>
        <v/>
      </c>
      <c r="H7980">
        <f>IF(D7980="REMOVE",COUNTIF($D$2:D7980,"REMOVE"),"")</f>
        <v/>
      </c>
      <c r="I7980">
        <f>IF(E7980="Gmail",COUNTIF($E$2:E7980,"Gmail"),"")</f>
        <v/>
      </c>
      <c r="J7980">
        <f>IF(E7980="Outlook",COUNTIF($E$2:E7980,"Outlook"),"")</f>
        <v/>
      </c>
      <c r="K7980">
        <f>IF(E7980="Domain",COUNTIF($E$2:E7980,"Domain"),"")</f>
        <v/>
      </c>
    </row>
    <row r="7981">
      <c r="A7981" s="2" t="n"/>
      <c r="B7981">
        <f>LOWER(TRIM(A7981))</f>
        <v/>
      </c>
      <c r="C7981">
        <f>IF(B7981="","",IFERROR(INDEX('Bad Patterns'!$A$2:$A$120,MATCH(1,INDEX(--ISNUMBER(SEARCH('Bad Patterns'!$A$2:$A$120,B7981)),0),0)),""))</f>
        <v/>
      </c>
      <c r="D7981">
        <f>IF(B7981="","",IF(C7981&lt;&gt;"","REMOVE","KEEP"))</f>
        <v/>
      </c>
      <c r="E7981">
        <f>IF(D7981&lt;&gt;"KEEP","",IF(RIGHT(B7981,10)="@gmail.com","Gmail",IF(OR(RIGHT(B7981,12)="@outlook.com",RIGHT(B7981,12)="@hotmail.com",RIGHT(B7981,9)="@live.com"),"Outlook","Domain")))</f>
        <v/>
      </c>
      <c r="F7981">
        <f>IF(B7981="","",IFERROR(RIGHT(B7981,LEN(B7981)-FIND("@",B7981)),""))</f>
        <v/>
      </c>
      <c r="G7981">
        <f>IF(D7981="KEEP",COUNTIF($D$2:D7981,"KEEP"),"")</f>
        <v/>
      </c>
      <c r="H7981">
        <f>IF(D7981="REMOVE",COUNTIF($D$2:D7981,"REMOVE"),"")</f>
        <v/>
      </c>
      <c r="I7981">
        <f>IF(E7981="Gmail",COUNTIF($E$2:E7981,"Gmail"),"")</f>
        <v/>
      </c>
      <c r="J7981">
        <f>IF(E7981="Outlook",COUNTIF($E$2:E7981,"Outlook"),"")</f>
        <v/>
      </c>
      <c r="K7981">
        <f>IF(E7981="Domain",COUNTIF($E$2:E7981,"Domain"),"")</f>
        <v/>
      </c>
    </row>
    <row r="7982">
      <c r="A7982" s="2" t="n"/>
      <c r="B7982">
        <f>LOWER(TRIM(A7982))</f>
        <v/>
      </c>
      <c r="C7982">
        <f>IF(B7982="","",IFERROR(INDEX('Bad Patterns'!$A$2:$A$120,MATCH(1,INDEX(--ISNUMBER(SEARCH('Bad Patterns'!$A$2:$A$120,B7982)),0),0)),""))</f>
        <v/>
      </c>
      <c r="D7982">
        <f>IF(B7982="","",IF(C7982&lt;&gt;"","REMOVE","KEEP"))</f>
        <v/>
      </c>
      <c r="E7982">
        <f>IF(D7982&lt;&gt;"KEEP","",IF(RIGHT(B7982,10)="@gmail.com","Gmail",IF(OR(RIGHT(B7982,12)="@outlook.com",RIGHT(B7982,12)="@hotmail.com",RIGHT(B7982,9)="@live.com"),"Outlook","Domain")))</f>
        <v/>
      </c>
      <c r="F7982">
        <f>IF(B7982="","",IFERROR(RIGHT(B7982,LEN(B7982)-FIND("@",B7982)),""))</f>
        <v/>
      </c>
      <c r="G7982">
        <f>IF(D7982="KEEP",COUNTIF($D$2:D7982,"KEEP"),"")</f>
        <v/>
      </c>
      <c r="H7982">
        <f>IF(D7982="REMOVE",COUNTIF($D$2:D7982,"REMOVE"),"")</f>
        <v/>
      </c>
      <c r="I7982">
        <f>IF(E7982="Gmail",COUNTIF($E$2:E7982,"Gmail"),"")</f>
        <v/>
      </c>
      <c r="J7982">
        <f>IF(E7982="Outlook",COUNTIF($E$2:E7982,"Outlook"),"")</f>
        <v/>
      </c>
      <c r="K7982">
        <f>IF(E7982="Domain",COUNTIF($E$2:E7982,"Domain"),"")</f>
        <v/>
      </c>
    </row>
    <row r="7983">
      <c r="A7983" s="2" t="n"/>
      <c r="B7983">
        <f>LOWER(TRIM(A7983))</f>
        <v/>
      </c>
      <c r="C7983">
        <f>IF(B7983="","",IFERROR(INDEX('Bad Patterns'!$A$2:$A$120,MATCH(1,INDEX(--ISNUMBER(SEARCH('Bad Patterns'!$A$2:$A$120,B7983)),0),0)),""))</f>
        <v/>
      </c>
      <c r="D7983">
        <f>IF(B7983="","",IF(C7983&lt;&gt;"","REMOVE","KEEP"))</f>
        <v/>
      </c>
      <c r="E7983">
        <f>IF(D7983&lt;&gt;"KEEP","",IF(RIGHT(B7983,10)="@gmail.com","Gmail",IF(OR(RIGHT(B7983,12)="@outlook.com",RIGHT(B7983,12)="@hotmail.com",RIGHT(B7983,9)="@live.com"),"Outlook","Domain")))</f>
        <v/>
      </c>
      <c r="F7983">
        <f>IF(B7983="","",IFERROR(RIGHT(B7983,LEN(B7983)-FIND("@",B7983)),""))</f>
        <v/>
      </c>
      <c r="G7983">
        <f>IF(D7983="KEEP",COUNTIF($D$2:D7983,"KEEP"),"")</f>
        <v/>
      </c>
      <c r="H7983">
        <f>IF(D7983="REMOVE",COUNTIF($D$2:D7983,"REMOVE"),"")</f>
        <v/>
      </c>
      <c r="I7983">
        <f>IF(E7983="Gmail",COUNTIF($E$2:E7983,"Gmail"),"")</f>
        <v/>
      </c>
      <c r="J7983">
        <f>IF(E7983="Outlook",COUNTIF($E$2:E7983,"Outlook"),"")</f>
        <v/>
      </c>
      <c r="K7983">
        <f>IF(E7983="Domain",COUNTIF($E$2:E7983,"Domain"),"")</f>
        <v/>
      </c>
    </row>
    <row r="7984">
      <c r="A7984" s="2" t="n"/>
      <c r="B7984">
        <f>LOWER(TRIM(A7984))</f>
        <v/>
      </c>
      <c r="C7984">
        <f>IF(B7984="","",IFERROR(INDEX('Bad Patterns'!$A$2:$A$120,MATCH(1,INDEX(--ISNUMBER(SEARCH('Bad Patterns'!$A$2:$A$120,B7984)),0),0)),""))</f>
        <v/>
      </c>
      <c r="D7984">
        <f>IF(B7984="","",IF(C7984&lt;&gt;"","REMOVE","KEEP"))</f>
        <v/>
      </c>
      <c r="E7984">
        <f>IF(D7984&lt;&gt;"KEEP","",IF(RIGHT(B7984,10)="@gmail.com","Gmail",IF(OR(RIGHT(B7984,12)="@outlook.com",RIGHT(B7984,12)="@hotmail.com",RIGHT(B7984,9)="@live.com"),"Outlook","Domain")))</f>
        <v/>
      </c>
      <c r="F7984">
        <f>IF(B7984="","",IFERROR(RIGHT(B7984,LEN(B7984)-FIND("@",B7984)),""))</f>
        <v/>
      </c>
      <c r="G7984">
        <f>IF(D7984="KEEP",COUNTIF($D$2:D7984,"KEEP"),"")</f>
        <v/>
      </c>
      <c r="H7984">
        <f>IF(D7984="REMOVE",COUNTIF($D$2:D7984,"REMOVE"),"")</f>
        <v/>
      </c>
      <c r="I7984">
        <f>IF(E7984="Gmail",COUNTIF($E$2:E7984,"Gmail"),"")</f>
        <v/>
      </c>
      <c r="J7984">
        <f>IF(E7984="Outlook",COUNTIF($E$2:E7984,"Outlook"),"")</f>
        <v/>
      </c>
      <c r="K7984">
        <f>IF(E7984="Domain",COUNTIF($E$2:E7984,"Domain"),"")</f>
        <v/>
      </c>
    </row>
    <row r="7985">
      <c r="A7985" s="2" t="n"/>
      <c r="B7985">
        <f>LOWER(TRIM(A7985))</f>
        <v/>
      </c>
      <c r="C7985">
        <f>IF(B7985="","",IFERROR(INDEX('Bad Patterns'!$A$2:$A$120,MATCH(1,INDEX(--ISNUMBER(SEARCH('Bad Patterns'!$A$2:$A$120,B7985)),0),0)),""))</f>
        <v/>
      </c>
      <c r="D7985">
        <f>IF(B7985="","",IF(C7985&lt;&gt;"","REMOVE","KEEP"))</f>
        <v/>
      </c>
      <c r="E7985">
        <f>IF(D7985&lt;&gt;"KEEP","",IF(RIGHT(B7985,10)="@gmail.com","Gmail",IF(OR(RIGHT(B7985,12)="@outlook.com",RIGHT(B7985,12)="@hotmail.com",RIGHT(B7985,9)="@live.com"),"Outlook","Domain")))</f>
        <v/>
      </c>
      <c r="F7985">
        <f>IF(B7985="","",IFERROR(RIGHT(B7985,LEN(B7985)-FIND("@",B7985)),""))</f>
        <v/>
      </c>
      <c r="G7985">
        <f>IF(D7985="KEEP",COUNTIF($D$2:D7985,"KEEP"),"")</f>
        <v/>
      </c>
      <c r="H7985">
        <f>IF(D7985="REMOVE",COUNTIF($D$2:D7985,"REMOVE"),"")</f>
        <v/>
      </c>
      <c r="I7985">
        <f>IF(E7985="Gmail",COUNTIF($E$2:E7985,"Gmail"),"")</f>
        <v/>
      </c>
      <c r="J7985">
        <f>IF(E7985="Outlook",COUNTIF($E$2:E7985,"Outlook"),"")</f>
        <v/>
      </c>
      <c r="K7985">
        <f>IF(E7985="Domain",COUNTIF($E$2:E7985,"Domain"),"")</f>
        <v/>
      </c>
    </row>
    <row r="7986">
      <c r="A7986" s="2" t="n"/>
      <c r="B7986">
        <f>LOWER(TRIM(A7986))</f>
        <v/>
      </c>
      <c r="C7986">
        <f>IF(B7986="","",IFERROR(INDEX('Bad Patterns'!$A$2:$A$120,MATCH(1,INDEX(--ISNUMBER(SEARCH('Bad Patterns'!$A$2:$A$120,B7986)),0),0)),""))</f>
        <v/>
      </c>
      <c r="D7986">
        <f>IF(B7986="","",IF(C7986&lt;&gt;"","REMOVE","KEEP"))</f>
        <v/>
      </c>
      <c r="E7986">
        <f>IF(D7986&lt;&gt;"KEEP","",IF(RIGHT(B7986,10)="@gmail.com","Gmail",IF(OR(RIGHT(B7986,12)="@outlook.com",RIGHT(B7986,12)="@hotmail.com",RIGHT(B7986,9)="@live.com"),"Outlook","Domain")))</f>
        <v/>
      </c>
      <c r="F7986">
        <f>IF(B7986="","",IFERROR(RIGHT(B7986,LEN(B7986)-FIND("@",B7986)),""))</f>
        <v/>
      </c>
      <c r="G7986">
        <f>IF(D7986="KEEP",COUNTIF($D$2:D7986,"KEEP"),"")</f>
        <v/>
      </c>
      <c r="H7986">
        <f>IF(D7986="REMOVE",COUNTIF($D$2:D7986,"REMOVE"),"")</f>
        <v/>
      </c>
      <c r="I7986">
        <f>IF(E7986="Gmail",COUNTIF($E$2:E7986,"Gmail"),"")</f>
        <v/>
      </c>
      <c r="J7986">
        <f>IF(E7986="Outlook",COUNTIF($E$2:E7986,"Outlook"),"")</f>
        <v/>
      </c>
      <c r="K7986">
        <f>IF(E7986="Domain",COUNTIF($E$2:E7986,"Domain"),"")</f>
        <v/>
      </c>
    </row>
    <row r="7987">
      <c r="A7987" s="2" t="n"/>
      <c r="B7987">
        <f>LOWER(TRIM(A7987))</f>
        <v/>
      </c>
      <c r="C7987">
        <f>IF(B7987="","",IFERROR(INDEX('Bad Patterns'!$A$2:$A$120,MATCH(1,INDEX(--ISNUMBER(SEARCH('Bad Patterns'!$A$2:$A$120,B7987)),0),0)),""))</f>
        <v/>
      </c>
      <c r="D7987">
        <f>IF(B7987="","",IF(C7987&lt;&gt;"","REMOVE","KEEP"))</f>
        <v/>
      </c>
      <c r="E7987">
        <f>IF(D7987&lt;&gt;"KEEP","",IF(RIGHT(B7987,10)="@gmail.com","Gmail",IF(OR(RIGHT(B7987,12)="@outlook.com",RIGHT(B7987,12)="@hotmail.com",RIGHT(B7987,9)="@live.com"),"Outlook","Domain")))</f>
        <v/>
      </c>
      <c r="F7987">
        <f>IF(B7987="","",IFERROR(RIGHT(B7987,LEN(B7987)-FIND("@",B7987)),""))</f>
        <v/>
      </c>
      <c r="G7987">
        <f>IF(D7987="KEEP",COUNTIF($D$2:D7987,"KEEP"),"")</f>
        <v/>
      </c>
      <c r="H7987">
        <f>IF(D7987="REMOVE",COUNTIF($D$2:D7987,"REMOVE"),"")</f>
        <v/>
      </c>
      <c r="I7987">
        <f>IF(E7987="Gmail",COUNTIF($E$2:E7987,"Gmail"),"")</f>
        <v/>
      </c>
      <c r="J7987">
        <f>IF(E7987="Outlook",COUNTIF($E$2:E7987,"Outlook"),"")</f>
        <v/>
      </c>
      <c r="K7987">
        <f>IF(E7987="Domain",COUNTIF($E$2:E7987,"Domain"),"")</f>
        <v/>
      </c>
    </row>
    <row r="7988">
      <c r="A7988" s="2" t="n"/>
      <c r="B7988">
        <f>LOWER(TRIM(A7988))</f>
        <v/>
      </c>
      <c r="C7988">
        <f>IF(B7988="","",IFERROR(INDEX('Bad Patterns'!$A$2:$A$120,MATCH(1,INDEX(--ISNUMBER(SEARCH('Bad Patterns'!$A$2:$A$120,B7988)),0),0)),""))</f>
        <v/>
      </c>
      <c r="D7988">
        <f>IF(B7988="","",IF(C7988&lt;&gt;"","REMOVE","KEEP"))</f>
        <v/>
      </c>
      <c r="E7988">
        <f>IF(D7988&lt;&gt;"KEEP","",IF(RIGHT(B7988,10)="@gmail.com","Gmail",IF(OR(RIGHT(B7988,12)="@outlook.com",RIGHT(B7988,12)="@hotmail.com",RIGHT(B7988,9)="@live.com"),"Outlook","Domain")))</f>
        <v/>
      </c>
      <c r="F7988">
        <f>IF(B7988="","",IFERROR(RIGHT(B7988,LEN(B7988)-FIND("@",B7988)),""))</f>
        <v/>
      </c>
      <c r="G7988">
        <f>IF(D7988="KEEP",COUNTIF($D$2:D7988,"KEEP"),"")</f>
        <v/>
      </c>
      <c r="H7988">
        <f>IF(D7988="REMOVE",COUNTIF($D$2:D7988,"REMOVE"),"")</f>
        <v/>
      </c>
      <c r="I7988">
        <f>IF(E7988="Gmail",COUNTIF($E$2:E7988,"Gmail"),"")</f>
        <v/>
      </c>
      <c r="J7988">
        <f>IF(E7988="Outlook",COUNTIF($E$2:E7988,"Outlook"),"")</f>
        <v/>
      </c>
      <c r="K7988">
        <f>IF(E7988="Domain",COUNTIF($E$2:E7988,"Domain"),"")</f>
        <v/>
      </c>
    </row>
    <row r="7989">
      <c r="A7989" s="2" t="n"/>
      <c r="B7989">
        <f>LOWER(TRIM(A7989))</f>
        <v/>
      </c>
      <c r="C7989">
        <f>IF(B7989="","",IFERROR(INDEX('Bad Patterns'!$A$2:$A$120,MATCH(1,INDEX(--ISNUMBER(SEARCH('Bad Patterns'!$A$2:$A$120,B7989)),0),0)),""))</f>
        <v/>
      </c>
      <c r="D7989">
        <f>IF(B7989="","",IF(C7989&lt;&gt;"","REMOVE","KEEP"))</f>
        <v/>
      </c>
      <c r="E7989">
        <f>IF(D7989&lt;&gt;"KEEP","",IF(RIGHT(B7989,10)="@gmail.com","Gmail",IF(OR(RIGHT(B7989,12)="@outlook.com",RIGHT(B7989,12)="@hotmail.com",RIGHT(B7989,9)="@live.com"),"Outlook","Domain")))</f>
        <v/>
      </c>
      <c r="F7989">
        <f>IF(B7989="","",IFERROR(RIGHT(B7989,LEN(B7989)-FIND("@",B7989)),""))</f>
        <v/>
      </c>
      <c r="G7989">
        <f>IF(D7989="KEEP",COUNTIF($D$2:D7989,"KEEP"),"")</f>
        <v/>
      </c>
      <c r="H7989">
        <f>IF(D7989="REMOVE",COUNTIF($D$2:D7989,"REMOVE"),"")</f>
        <v/>
      </c>
      <c r="I7989">
        <f>IF(E7989="Gmail",COUNTIF($E$2:E7989,"Gmail"),"")</f>
        <v/>
      </c>
      <c r="J7989">
        <f>IF(E7989="Outlook",COUNTIF($E$2:E7989,"Outlook"),"")</f>
        <v/>
      </c>
      <c r="K7989">
        <f>IF(E7989="Domain",COUNTIF($E$2:E7989,"Domain"),"")</f>
        <v/>
      </c>
    </row>
    <row r="7990">
      <c r="A7990" s="2" t="n"/>
      <c r="B7990">
        <f>LOWER(TRIM(A7990))</f>
        <v/>
      </c>
      <c r="C7990">
        <f>IF(B7990="","",IFERROR(INDEX('Bad Patterns'!$A$2:$A$120,MATCH(1,INDEX(--ISNUMBER(SEARCH('Bad Patterns'!$A$2:$A$120,B7990)),0),0)),""))</f>
        <v/>
      </c>
      <c r="D7990">
        <f>IF(B7990="","",IF(C7990&lt;&gt;"","REMOVE","KEEP"))</f>
        <v/>
      </c>
      <c r="E7990">
        <f>IF(D7990&lt;&gt;"KEEP","",IF(RIGHT(B7990,10)="@gmail.com","Gmail",IF(OR(RIGHT(B7990,12)="@outlook.com",RIGHT(B7990,12)="@hotmail.com",RIGHT(B7990,9)="@live.com"),"Outlook","Domain")))</f>
        <v/>
      </c>
      <c r="F7990">
        <f>IF(B7990="","",IFERROR(RIGHT(B7990,LEN(B7990)-FIND("@",B7990)),""))</f>
        <v/>
      </c>
      <c r="G7990">
        <f>IF(D7990="KEEP",COUNTIF($D$2:D7990,"KEEP"),"")</f>
        <v/>
      </c>
      <c r="H7990">
        <f>IF(D7990="REMOVE",COUNTIF($D$2:D7990,"REMOVE"),"")</f>
        <v/>
      </c>
      <c r="I7990">
        <f>IF(E7990="Gmail",COUNTIF($E$2:E7990,"Gmail"),"")</f>
        <v/>
      </c>
      <c r="J7990">
        <f>IF(E7990="Outlook",COUNTIF($E$2:E7990,"Outlook"),"")</f>
        <v/>
      </c>
      <c r="K7990">
        <f>IF(E7990="Domain",COUNTIF($E$2:E7990,"Domain"),"")</f>
        <v/>
      </c>
    </row>
    <row r="7991">
      <c r="A7991" s="2" t="n"/>
      <c r="B7991">
        <f>LOWER(TRIM(A7991))</f>
        <v/>
      </c>
      <c r="C7991">
        <f>IF(B7991="","",IFERROR(INDEX('Bad Patterns'!$A$2:$A$120,MATCH(1,INDEX(--ISNUMBER(SEARCH('Bad Patterns'!$A$2:$A$120,B7991)),0),0)),""))</f>
        <v/>
      </c>
      <c r="D7991">
        <f>IF(B7991="","",IF(C7991&lt;&gt;"","REMOVE","KEEP"))</f>
        <v/>
      </c>
      <c r="E7991">
        <f>IF(D7991&lt;&gt;"KEEP","",IF(RIGHT(B7991,10)="@gmail.com","Gmail",IF(OR(RIGHT(B7991,12)="@outlook.com",RIGHT(B7991,12)="@hotmail.com",RIGHT(B7991,9)="@live.com"),"Outlook","Domain")))</f>
        <v/>
      </c>
      <c r="F7991">
        <f>IF(B7991="","",IFERROR(RIGHT(B7991,LEN(B7991)-FIND("@",B7991)),""))</f>
        <v/>
      </c>
      <c r="G7991">
        <f>IF(D7991="KEEP",COUNTIF($D$2:D7991,"KEEP"),"")</f>
        <v/>
      </c>
      <c r="H7991">
        <f>IF(D7991="REMOVE",COUNTIF($D$2:D7991,"REMOVE"),"")</f>
        <v/>
      </c>
      <c r="I7991">
        <f>IF(E7991="Gmail",COUNTIF($E$2:E7991,"Gmail"),"")</f>
        <v/>
      </c>
      <c r="J7991">
        <f>IF(E7991="Outlook",COUNTIF($E$2:E7991,"Outlook"),"")</f>
        <v/>
      </c>
      <c r="K7991">
        <f>IF(E7991="Domain",COUNTIF($E$2:E7991,"Domain"),"")</f>
        <v/>
      </c>
    </row>
    <row r="7992">
      <c r="A7992" s="2" t="n"/>
      <c r="B7992">
        <f>LOWER(TRIM(A7992))</f>
        <v/>
      </c>
      <c r="C7992">
        <f>IF(B7992="","",IFERROR(INDEX('Bad Patterns'!$A$2:$A$120,MATCH(1,INDEX(--ISNUMBER(SEARCH('Bad Patterns'!$A$2:$A$120,B7992)),0),0)),""))</f>
        <v/>
      </c>
      <c r="D7992">
        <f>IF(B7992="","",IF(C7992&lt;&gt;"","REMOVE","KEEP"))</f>
        <v/>
      </c>
      <c r="E7992">
        <f>IF(D7992&lt;&gt;"KEEP","",IF(RIGHT(B7992,10)="@gmail.com","Gmail",IF(OR(RIGHT(B7992,12)="@outlook.com",RIGHT(B7992,12)="@hotmail.com",RIGHT(B7992,9)="@live.com"),"Outlook","Domain")))</f>
        <v/>
      </c>
      <c r="F7992">
        <f>IF(B7992="","",IFERROR(RIGHT(B7992,LEN(B7992)-FIND("@",B7992)),""))</f>
        <v/>
      </c>
      <c r="G7992">
        <f>IF(D7992="KEEP",COUNTIF($D$2:D7992,"KEEP"),"")</f>
        <v/>
      </c>
      <c r="H7992">
        <f>IF(D7992="REMOVE",COUNTIF($D$2:D7992,"REMOVE"),"")</f>
        <v/>
      </c>
      <c r="I7992">
        <f>IF(E7992="Gmail",COUNTIF($E$2:E7992,"Gmail"),"")</f>
        <v/>
      </c>
      <c r="J7992">
        <f>IF(E7992="Outlook",COUNTIF($E$2:E7992,"Outlook"),"")</f>
        <v/>
      </c>
      <c r="K7992">
        <f>IF(E7992="Domain",COUNTIF($E$2:E7992,"Domain"),"")</f>
        <v/>
      </c>
    </row>
    <row r="7993">
      <c r="A7993" s="2" t="n"/>
      <c r="B7993">
        <f>LOWER(TRIM(A7993))</f>
        <v/>
      </c>
      <c r="C7993">
        <f>IF(B7993="","",IFERROR(INDEX('Bad Patterns'!$A$2:$A$120,MATCH(1,INDEX(--ISNUMBER(SEARCH('Bad Patterns'!$A$2:$A$120,B7993)),0),0)),""))</f>
        <v/>
      </c>
      <c r="D7993">
        <f>IF(B7993="","",IF(C7993&lt;&gt;"","REMOVE","KEEP"))</f>
        <v/>
      </c>
      <c r="E7993">
        <f>IF(D7993&lt;&gt;"KEEP","",IF(RIGHT(B7993,10)="@gmail.com","Gmail",IF(OR(RIGHT(B7993,12)="@outlook.com",RIGHT(B7993,12)="@hotmail.com",RIGHT(B7993,9)="@live.com"),"Outlook","Domain")))</f>
        <v/>
      </c>
      <c r="F7993">
        <f>IF(B7993="","",IFERROR(RIGHT(B7993,LEN(B7993)-FIND("@",B7993)),""))</f>
        <v/>
      </c>
      <c r="G7993">
        <f>IF(D7993="KEEP",COUNTIF($D$2:D7993,"KEEP"),"")</f>
        <v/>
      </c>
      <c r="H7993">
        <f>IF(D7993="REMOVE",COUNTIF($D$2:D7993,"REMOVE"),"")</f>
        <v/>
      </c>
      <c r="I7993">
        <f>IF(E7993="Gmail",COUNTIF($E$2:E7993,"Gmail"),"")</f>
        <v/>
      </c>
      <c r="J7993">
        <f>IF(E7993="Outlook",COUNTIF($E$2:E7993,"Outlook"),"")</f>
        <v/>
      </c>
      <c r="K7993">
        <f>IF(E7993="Domain",COUNTIF($E$2:E7993,"Domain"),"")</f>
        <v/>
      </c>
    </row>
    <row r="7994">
      <c r="A7994" s="2" t="n"/>
      <c r="B7994">
        <f>LOWER(TRIM(A7994))</f>
        <v/>
      </c>
      <c r="C7994">
        <f>IF(B7994="","",IFERROR(INDEX('Bad Patterns'!$A$2:$A$120,MATCH(1,INDEX(--ISNUMBER(SEARCH('Bad Patterns'!$A$2:$A$120,B7994)),0),0)),""))</f>
        <v/>
      </c>
      <c r="D7994">
        <f>IF(B7994="","",IF(C7994&lt;&gt;"","REMOVE","KEEP"))</f>
        <v/>
      </c>
      <c r="E7994">
        <f>IF(D7994&lt;&gt;"KEEP","",IF(RIGHT(B7994,10)="@gmail.com","Gmail",IF(OR(RIGHT(B7994,12)="@outlook.com",RIGHT(B7994,12)="@hotmail.com",RIGHT(B7994,9)="@live.com"),"Outlook","Domain")))</f>
        <v/>
      </c>
      <c r="F7994">
        <f>IF(B7994="","",IFERROR(RIGHT(B7994,LEN(B7994)-FIND("@",B7994)),""))</f>
        <v/>
      </c>
      <c r="G7994">
        <f>IF(D7994="KEEP",COUNTIF($D$2:D7994,"KEEP"),"")</f>
        <v/>
      </c>
      <c r="H7994">
        <f>IF(D7994="REMOVE",COUNTIF($D$2:D7994,"REMOVE"),"")</f>
        <v/>
      </c>
      <c r="I7994">
        <f>IF(E7994="Gmail",COUNTIF($E$2:E7994,"Gmail"),"")</f>
        <v/>
      </c>
      <c r="J7994">
        <f>IF(E7994="Outlook",COUNTIF($E$2:E7994,"Outlook"),"")</f>
        <v/>
      </c>
      <c r="K7994">
        <f>IF(E7994="Domain",COUNTIF($E$2:E7994,"Domain"),"")</f>
        <v/>
      </c>
    </row>
    <row r="7995">
      <c r="A7995" s="2" t="n"/>
      <c r="B7995">
        <f>LOWER(TRIM(A7995))</f>
        <v/>
      </c>
      <c r="C7995">
        <f>IF(B7995="","",IFERROR(INDEX('Bad Patterns'!$A$2:$A$120,MATCH(1,INDEX(--ISNUMBER(SEARCH('Bad Patterns'!$A$2:$A$120,B7995)),0),0)),""))</f>
        <v/>
      </c>
      <c r="D7995">
        <f>IF(B7995="","",IF(C7995&lt;&gt;"","REMOVE","KEEP"))</f>
        <v/>
      </c>
      <c r="E7995">
        <f>IF(D7995&lt;&gt;"KEEP","",IF(RIGHT(B7995,10)="@gmail.com","Gmail",IF(OR(RIGHT(B7995,12)="@outlook.com",RIGHT(B7995,12)="@hotmail.com",RIGHT(B7995,9)="@live.com"),"Outlook","Domain")))</f>
        <v/>
      </c>
      <c r="F7995">
        <f>IF(B7995="","",IFERROR(RIGHT(B7995,LEN(B7995)-FIND("@",B7995)),""))</f>
        <v/>
      </c>
      <c r="G7995">
        <f>IF(D7995="KEEP",COUNTIF($D$2:D7995,"KEEP"),"")</f>
        <v/>
      </c>
      <c r="H7995">
        <f>IF(D7995="REMOVE",COUNTIF($D$2:D7995,"REMOVE"),"")</f>
        <v/>
      </c>
      <c r="I7995">
        <f>IF(E7995="Gmail",COUNTIF($E$2:E7995,"Gmail"),"")</f>
        <v/>
      </c>
      <c r="J7995">
        <f>IF(E7995="Outlook",COUNTIF($E$2:E7995,"Outlook"),"")</f>
        <v/>
      </c>
      <c r="K7995">
        <f>IF(E7995="Domain",COUNTIF($E$2:E7995,"Domain"),"")</f>
        <v/>
      </c>
    </row>
    <row r="7996">
      <c r="A7996" s="2" t="n"/>
      <c r="B7996">
        <f>LOWER(TRIM(A7996))</f>
        <v/>
      </c>
      <c r="C7996">
        <f>IF(B7996="","",IFERROR(INDEX('Bad Patterns'!$A$2:$A$120,MATCH(1,INDEX(--ISNUMBER(SEARCH('Bad Patterns'!$A$2:$A$120,B7996)),0),0)),""))</f>
        <v/>
      </c>
      <c r="D7996">
        <f>IF(B7996="","",IF(C7996&lt;&gt;"","REMOVE","KEEP"))</f>
        <v/>
      </c>
      <c r="E7996">
        <f>IF(D7996&lt;&gt;"KEEP","",IF(RIGHT(B7996,10)="@gmail.com","Gmail",IF(OR(RIGHT(B7996,12)="@outlook.com",RIGHT(B7996,12)="@hotmail.com",RIGHT(B7996,9)="@live.com"),"Outlook","Domain")))</f>
        <v/>
      </c>
      <c r="F7996">
        <f>IF(B7996="","",IFERROR(RIGHT(B7996,LEN(B7996)-FIND("@",B7996)),""))</f>
        <v/>
      </c>
      <c r="G7996">
        <f>IF(D7996="KEEP",COUNTIF($D$2:D7996,"KEEP"),"")</f>
        <v/>
      </c>
      <c r="H7996">
        <f>IF(D7996="REMOVE",COUNTIF($D$2:D7996,"REMOVE"),"")</f>
        <v/>
      </c>
      <c r="I7996">
        <f>IF(E7996="Gmail",COUNTIF($E$2:E7996,"Gmail"),"")</f>
        <v/>
      </c>
      <c r="J7996">
        <f>IF(E7996="Outlook",COUNTIF($E$2:E7996,"Outlook"),"")</f>
        <v/>
      </c>
      <c r="K7996">
        <f>IF(E7996="Domain",COUNTIF($E$2:E7996,"Domain"),"")</f>
        <v/>
      </c>
    </row>
    <row r="7997">
      <c r="A7997" s="2" t="n"/>
      <c r="B7997">
        <f>LOWER(TRIM(A7997))</f>
        <v/>
      </c>
      <c r="C7997">
        <f>IF(B7997="","",IFERROR(INDEX('Bad Patterns'!$A$2:$A$120,MATCH(1,INDEX(--ISNUMBER(SEARCH('Bad Patterns'!$A$2:$A$120,B7997)),0),0)),""))</f>
        <v/>
      </c>
      <c r="D7997">
        <f>IF(B7997="","",IF(C7997&lt;&gt;"","REMOVE","KEEP"))</f>
        <v/>
      </c>
      <c r="E7997">
        <f>IF(D7997&lt;&gt;"KEEP","",IF(RIGHT(B7997,10)="@gmail.com","Gmail",IF(OR(RIGHT(B7997,12)="@outlook.com",RIGHT(B7997,12)="@hotmail.com",RIGHT(B7997,9)="@live.com"),"Outlook","Domain")))</f>
        <v/>
      </c>
      <c r="F7997">
        <f>IF(B7997="","",IFERROR(RIGHT(B7997,LEN(B7997)-FIND("@",B7997)),""))</f>
        <v/>
      </c>
      <c r="G7997">
        <f>IF(D7997="KEEP",COUNTIF($D$2:D7997,"KEEP"),"")</f>
        <v/>
      </c>
      <c r="H7997">
        <f>IF(D7997="REMOVE",COUNTIF($D$2:D7997,"REMOVE"),"")</f>
        <v/>
      </c>
      <c r="I7997">
        <f>IF(E7997="Gmail",COUNTIF($E$2:E7997,"Gmail"),"")</f>
        <v/>
      </c>
      <c r="J7997">
        <f>IF(E7997="Outlook",COUNTIF($E$2:E7997,"Outlook"),"")</f>
        <v/>
      </c>
      <c r="K7997">
        <f>IF(E7997="Domain",COUNTIF($E$2:E7997,"Domain"),"")</f>
        <v/>
      </c>
    </row>
    <row r="7998">
      <c r="A7998" s="2" t="n"/>
      <c r="B7998">
        <f>LOWER(TRIM(A7998))</f>
        <v/>
      </c>
      <c r="C7998">
        <f>IF(B7998="","",IFERROR(INDEX('Bad Patterns'!$A$2:$A$120,MATCH(1,INDEX(--ISNUMBER(SEARCH('Bad Patterns'!$A$2:$A$120,B7998)),0),0)),""))</f>
        <v/>
      </c>
      <c r="D7998">
        <f>IF(B7998="","",IF(C7998&lt;&gt;"","REMOVE","KEEP"))</f>
        <v/>
      </c>
      <c r="E7998">
        <f>IF(D7998&lt;&gt;"KEEP","",IF(RIGHT(B7998,10)="@gmail.com","Gmail",IF(OR(RIGHT(B7998,12)="@outlook.com",RIGHT(B7998,12)="@hotmail.com",RIGHT(B7998,9)="@live.com"),"Outlook","Domain")))</f>
        <v/>
      </c>
      <c r="F7998">
        <f>IF(B7998="","",IFERROR(RIGHT(B7998,LEN(B7998)-FIND("@",B7998)),""))</f>
        <v/>
      </c>
      <c r="G7998">
        <f>IF(D7998="KEEP",COUNTIF($D$2:D7998,"KEEP"),"")</f>
        <v/>
      </c>
      <c r="H7998">
        <f>IF(D7998="REMOVE",COUNTIF($D$2:D7998,"REMOVE"),"")</f>
        <v/>
      </c>
      <c r="I7998">
        <f>IF(E7998="Gmail",COUNTIF($E$2:E7998,"Gmail"),"")</f>
        <v/>
      </c>
      <c r="J7998">
        <f>IF(E7998="Outlook",COUNTIF($E$2:E7998,"Outlook"),"")</f>
        <v/>
      </c>
      <c r="K7998">
        <f>IF(E7998="Domain",COUNTIF($E$2:E7998,"Domain"),"")</f>
        <v/>
      </c>
    </row>
    <row r="7999">
      <c r="A7999" s="2" t="n"/>
      <c r="B7999">
        <f>LOWER(TRIM(A7999))</f>
        <v/>
      </c>
      <c r="C7999">
        <f>IF(B7999="","",IFERROR(INDEX('Bad Patterns'!$A$2:$A$120,MATCH(1,INDEX(--ISNUMBER(SEARCH('Bad Patterns'!$A$2:$A$120,B7999)),0),0)),""))</f>
        <v/>
      </c>
      <c r="D7999">
        <f>IF(B7999="","",IF(C7999&lt;&gt;"","REMOVE","KEEP"))</f>
        <v/>
      </c>
      <c r="E7999">
        <f>IF(D7999&lt;&gt;"KEEP","",IF(RIGHT(B7999,10)="@gmail.com","Gmail",IF(OR(RIGHT(B7999,12)="@outlook.com",RIGHT(B7999,12)="@hotmail.com",RIGHT(B7999,9)="@live.com"),"Outlook","Domain")))</f>
        <v/>
      </c>
      <c r="F7999">
        <f>IF(B7999="","",IFERROR(RIGHT(B7999,LEN(B7999)-FIND("@",B7999)),""))</f>
        <v/>
      </c>
      <c r="G7999">
        <f>IF(D7999="KEEP",COUNTIF($D$2:D7999,"KEEP"),"")</f>
        <v/>
      </c>
      <c r="H7999">
        <f>IF(D7999="REMOVE",COUNTIF($D$2:D7999,"REMOVE"),"")</f>
        <v/>
      </c>
      <c r="I7999">
        <f>IF(E7999="Gmail",COUNTIF($E$2:E7999,"Gmail"),"")</f>
        <v/>
      </c>
      <c r="J7999">
        <f>IF(E7999="Outlook",COUNTIF($E$2:E7999,"Outlook"),"")</f>
        <v/>
      </c>
      <c r="K7999">
        <f>IF(E7999="Domain",COUNTIF($E$2:E7999,"Domain"),"")</f>
        <v/>
      </c>
    </row>
    <row r="8000">
      <c r="A8000" s="2" t="n"/>
      <c r="B8000">
        <f>LOWER(TRIM(A8000))</f>
        <v/>
      </c>
      <c r="C8000">
        <f>IF(B8000="","",IFERROR(INDEX('Bad Patterns'!$A$2:$A$120,MATCH(1,INDEX(--ISNUMBER(SEARCH('Bad Patterns'!$A$2:$A$120,B8000)),0),0)),""))</f>
        <v/>
      </c>
      <c r="D8000">
        <f>IF(B8000="","",IF(C8000&lt;&gt;"","REMOVE","KEEP"))</f>
        <v/>
      </c>
      <c r="E8000">
        <f>IF(D8000&lt;&gt;"KEEP","",IF(RIGHT(B8000,10)="@gmail.com","Gmail",IF(OR(RIGHT(B8000,12)="@outlook.com",RIGHT(B8000,12)="@hotmail.com",RIGHT(B8000,9)="@live.com"),"Outlook","Domain")))</f>
        <v/>
      </c>
      <c r="F8000">
        <f>IF(B8000="","",IFERROR(RIGHT(B8000,LEN(B8000)-FIND("@",B8000)),""))</f>
        <v/>
      </c>
      <c r="G8000">
        <f>IF(D8000="KEEP",COUNTIF($D$2:D8000,"KEEP"),"")</f>
        <v/>
      </c>
      <c r="H8000">
        <f>IF(D8000="REMOVE",COUNTIF($D$2:D8000,"REMOVE"),"")</f>
        <v/>
      </c>
      <c r="I8000">
        <f>IF(E8000="Gmail",COUNTIF($E$2:E8000,"Gmail"),"")</f>
        <v/>
      </c>
      <c r="J8000">
        <f>IF(E8000="Outlook",COUNTIF($E$2:E8000,"Outlook"),"")</f>
        <v/>
      </c>
      <c r="K8000">
        <f>IF(E8000="Domain",COUNTIF($E$2:E8000,"Domain"),"")</f>
        <v/>
      </c>
    </row>
    <row r="8001">
      <c r="A8001" s="2" t="n"/>
      <c r="B8001">
        <f>LOWER(TRIM(A8001))</f>
        <v/>
      </c>
      <c r="C8001">
        <f>IF(B8001="","",IFERROR(INDEX('Bad Patterns'!$A$2:$A$120,MATCH(1,INDEX(--ISNUMBER(SEARCH('Bad Patterns'!$A$2:$A$120,B8001)),0),0)),""))</f>
        <v/>
      </c>
      <c r="D8001">
        <f>IF(B8001="","",IF(C8001&lt;&gt;"","REMOVE","KEEP"))</f>
        <v/>
      </c>
      <c r="E8001">
        <f>IF(D8001&lt;&gt;"KEEP","",IF(RIGHT(B8001,10)="@gmail.com","Gmail",IF(OR(RIGHT(B8001,12)="@outlook.com",RIGHT(B8001,12)="@hotmail.com",RIGHT(B8001,9)="@live.com"),"Outlook","Domain")))</f>
        <v/>
      </c>
      <c r="F8001">
        <f>IF(B8001="","",IFERROR(RIGHT(B8001,LEN(B8001)-FIND("@",B8001)),""))</f>
        <v/>
      </c>
      <c r="G8001">
        <f>IF(D8001="KEEP",COUNTIF($D$2:D8001,"KEEP"),"")</f>
        <v/>
      </c>
      <c r="H8001">
        <f>IF(D8001="REMOVE",COUNTIF($D$2:D8001,"REMOVE"),"")</f>
        <v/>
      </c>
      <c r="I8001">
        <f>IF(E8001="Gmail",COUNTIF($E$2:E8001,"Gmail"),"")</f>
        <v/>
      </c>
      <c r="J8001">
        <f>IF(E8001="Outlook",COUNTIF($E$2:E8001,"Outlook"),"")</f>
        <v/>
      </c>
      <c r="K8001">
        <f>IF(E8001="Domain",COUNTIF($E$2:E8001,"Domain"),"")</f>
        <v/>
      </c>
    </row>
    <row r="8002">
      <c r="A8002" s="2" t="n"/>
      <c r="B8002">
        <f>LOWER(TRIM(A8002))</f>
        <v/>
      </c>
      <c r="C8002">
        <f>IF(B8002="","",IFERROR(INDEX('Bad Patterns'!$A$2:$A$120,MATCH(1,INDEX(--ISNUMBER(SEARCH('Bad Patterns'!$A$2:$A$120,B8002)),0),0)),""))</f>
        <v/>
      </c>
      <c r="D8002">
        <f>IF(B8002="","",IF(C8002&lt;&gt;"","REMOVE","KEEP"))</f>
        <v/>
      </c>
      <c r="E8002">
        <f>IF(D8002&lt;&gt;"KEEP","",IF(RIGHT(B8002,10)="@gmail.com","Gmail",IF(OR(RIGHT(B8002,12)="@outlook.com",RIGHT(B8002,12)="@hotmail.com",RIGHT(B8002,9)="@live.com"),"Outlook","Domain")))</f>
        <v/>
      </c>
      <c r="F8002">
        <f>IF(B8002="","",IFERROR(RIGHT(B8002,LEN(B8002)-FIND("@",B8002)),""))</f>
        <v/>
      </c>
      <c r="G8002">
        <f>IF(D8002="KEEP",COUNTIF($D$2:D8002,"KEEP"),"")</f>
        <v/>
      </c>
      <c r="H8002">
        <f>IF(D8002="REMOVE",COUNTIF($D$2:D8002,"REMOVE"),"")</f>
        <v/>
      </c>
      <c r="I8002">
        <f>IF(E8002="Gmail",COUNTIF($E$2:E8002,"Gmail"),"")</f>
        <v/>
      </c>
      <c r="J8002">
        <f>IF(E8002="Outlook",COUNTIF($E$2:E8002,"Outlook"),"")</f>
        <v/>
      </c>
      <c r="K8002">
        <f>IF(E8002="Domain",COUNTIF($E$2:E8002,"Domain"),"")</f>
        <v/>
      </c>
    </row>
    <row r="8003">
      <c r="A8003" s="2" t="n"/>
      <c r="B8003">
        <f>LOWER(TRIM(A8003))</f>
        <v/>
      </c>
      <c r="C8003">
        <f>IF(B8003="","",IFERROR(INDEX('Bad Patterns'!$A$2:$A$120,MATCH(1,INDEX(--ISNUMBER(SEARCH('Bad Patterns'!$A$2:$A$120,B8003)),0),0)),""))</f>
        <v/>
      </c>
      <c r="D8003">
        <f>IF(B8003="","",IF(C8003&lt;&gt;"","REMOVE","KEEP"))</f>
        <v/>
      </c>
      <c r="E8003">
        <f>IF(D8003&lt;&gt;"KEEP","",IF(RIGHT(B8003,10)="@gmail.com","Gmail",IF(OR(RIGHT(B8003,12)="@outlook.com",RIGHT(B8003,12)="@hotmail.com",RIGHT(B8003,9)="@live.com"),"Outlook","Domain")))</f>
        <v/>
      </c>
      <c r="F8003">
        <f>IF(B8003="","",IFERROR(RIGHT(B8003,LEN(B8003)-FIND("@",B8003)),""))</f>
        <v/>
      </c>
      <c r="G8003">
        <f>IF(D8003="KEEP",COUNTIF($D$2:D8003,"KEEP"),"")</f>
        <v/>
      </c>
      <c r="H8003">
        <f>IF(D8003="REMOVE",COUNTIF($D$2:D8003,"REMOVE"),"")</f>
        <v/>
      </c>
      <c r="I8003">
        <f>IF(E8003="Gmail",COUNTIF($E$2:E8003,"Gmail"),"")</f>
        <v/>
      </c>
      <c r="J8003">
        <f>IF(E8003="Outlook",COUNTIF($E$2:E8003,"Outlook"),"")</f>
        <v/>
      </c>
      <c r="K8003">
        <f>IF(E8003="Domain",COUNTIF($E$2:E8003,"Domain"),"")</f>
        <v/>
      </c>
    </row>
    <row r="8004">
      <c r="A8004" s="2" t="n"/>
      <c r="B8004">
        <f>LOWER(TRIM(A8004))</f>
        <v/>
      </c>
      <c r="C8004">
        <f>IF(B8004="","",IFERROR(INDEX('Bad Patterns'!$A$2:$A$120,MATCH(1,INDEX(--ISNUMBER(SEARCH('Bad Patterns'!$A$2:$A$120,B8004)),0),0)),""))</f>
        <v/>
      </c>
      <c r="D8004">
        <f>IF(B8004="","",IF(C8004&lt;&gt;"","REMOVE","KEEP"))</f>
        <v/>
      </c>
      <c r="E8004">
        <f>IF(D8004&lt;&gt;"KEEP","",IF(RIGHT(B8004,10)="@gmail.com","Gmail",IF(OR(RIGHT(B8004,12)="@outlook.com",RIGHT(B8004,12)="@hotmail.com",RIGHT(B8004,9)="@live.com"),"Outlook","Domain")))</f>
        <v/>
      </c>
      <c r="F8004">
        <f>IF(B8004="","",IFERROR(RIGHT(B8004,LEN(B8004)-FIND("@",B8004)),""))</f>
        <v/>
      </c>
      <c r="G8004">
        <f>IF(D8004="KEEP",COUNTIF($D$2:D8004,"KEEP"),"")</f>
        <v/>
      </c>
      <c r="H8004">
        <f>IF(D8004="REMOVE",COUNTIF($D$2:D8004,"REMOVE"),"")</f>
        <v/>
      </c>
      <c r="I8004">
        <f>IF(E8004="Gmail",COUNTIF($E$2:E8004,"Gmail"),"")</f>
        <v/>
      </c>
      <c r="J8004">
        <f>IF(E8004="Outlook",COUNTIF($E$2:E8004,"Outlook"),"")</f>
        <v/>
      </c>
      <c r="K8004">
        <f>IF(E8004="Domain",COUNTIF($E$2:E8004,"Domain"),"")</f>
        <v/>
      </c>
    </row>
    <row r="8005">
      <c r="A8005" s="2" t="n"/>
      <c r="B8005">
        <f>LOWER(TRIM(A8005))</f>
        <v/>
      </c>
      <c r="C8005">
        <f>IF(B8005="","",IFERROR(INDEX('Bad Patterns'!$A$2:$A$120,MATCH(1,INDEX(--ISNUMBER(SEARCH('Bad Patterns'!$A$2:$A$120,B8005)),0),0)),""))</f>
        <v/>
      </c>
      <c r="D8005">
        <f>IF(B8005="","",IF(C8005&lt;&gt;"","REMOVE","KEEP"))</f>
        <v/>
      </c>
      <c r="E8005">
        <f>IF(D8005&lt;&gt;"KEEP","",IF(RIGHT(B8005,10)="@gmail.com","Gmail",IF(OR(RIGHT(B8005,12)="@outlook.com",RIGHT(B8005,12)="@hotmail.com",RIGHT(B8005,9)="@live.com"),"Outlook","Domain")))</f>
        <v/>
      </c>
      <c r="F8005">
        <f>IF(B8005="","",IFERROR(RIGHT(B8005,LEN(B8005)-FIND("@",B8005)),""))</f>
        <v/>
      </c>
      <c r="G8005">
        <f>IF(D8005="KEEP",COUNTIF($D$2:D8005,"KEEP"),"")</f>
        <v/>
      </c>
      <c r="H8005">
        <f>IF(D8005="REMOVE",COUNTIF($D$2:D8005,"REMOVE"),"")</f>
        <v/>
      </c>
      <c r="I8005">
        <f>IF(E8005="Gmail",COUNTIF($E$2:E8005,"Gmail"),"")</f>
        <v/>
      </c>
      <c r="J8005">
        <f>IF(E8005="Outlook",COUNTIF($E$2:E8005,"Outlook"),"")</f>
        <v/>
      </c>
      <c r="K8005">
        <f>IF(E8005="Domain",COUNTIF($E$2:E8005,"Domain"),"")</f>
        <v/>
      </c>
    </row>
    <row r="8006">
      <c r="A8006" s="2" t="n"/>
      <c r="B8006">
        <f>LOWER(TRIM(A8006))</f>
        <v/>
      </c>
      <c r="C8006">
        <f>IF(B8006="","",IFERROR(INDEX('Bad Patterns'!$A$2:$A$120,MATCH(1,INDEX(--ISNUMBER(SEARCH('Bad Patterns'!$A$2:$A$120,B8006)),0),0)),""))</f>
        <v/>
      </c>
      <c r="D8006">
        <f>IF(B8006="","",IF(C8006&lt;&gt;"","REMOVE","KEEP"))</f>
        <v/>
      </c>
      <c r="E8006">
        <f>IF(D8006&lt;&gt;"KEEP","",IF(RIGHT(B8006,10)="@gmail.com","Gmail",IF(OR(RIGHT(B8006,12)="@outlook.com",RIGHT(B8006,12)="@hotmail.com",RIGHT(B8006,9)="@live.com"),"Outlook","Domain")))</f>
        <v/>
      </c>
      <c r="F8006">
        <f>IF(B8006="","",IFERROR(RIGHT(B8006,LEN(B8006)-FIND("@",B8006)),""))</f>
        <v/>
      </c>
      <c r="G8006">
        <f>IF(D8006="KEEP",COUNTIF($D$2:D8006,"KEEP"),"")</f>
        <v/>
      </c>
      <c r="H8006">
        <f>IF(D8006="REMOVE",COUNTIF($D$2:D8006,"REMOVE"),"")</f>
        <v/>
      </c>
      <c r="I8006">
        <f>IF(E8006="Gmail",COUNTIF($E$2:E8006,"Gmail"),"")</f>
        <v/>
      </c>
      <c r="J8006">
        <f>IF(E8006="Outlook",COUNTIF($E$2:E8006,"Outlook"),"")</f>
        <v/>
      </c>
      <c r="K8006">
        <f>IF(E8006="Domain",COUNTIF($E$2:E8006,"Domain"),"")</f>
        <v/>
      </c>
    </row>
    <row r="8007">
      <c r="A8007" s="2" t="n"/>
      <c r="B8007">
        <f>LOWER(TRIM(A8007))</f>
        <v/>
      </c>
      <c r="C8007">
        <f>IF(B8007="","",IFERROR(INDEX('Bad Patterns'!$A$2:$A$120,MATCH(1,INDEX(--ISNUMBER(SEARCH('Bad Patterns'!$A$2:$A$120,B8007)),0),0)),""))</f>
        <v/>
      </c>
      <c r="D8007">
        <f>IF(B8007="","",IF(C8007&lt;&gt;"","REMOVE","KEEP"))</f>
        <v/>
      </c>
      <c r="E8007">
        <f>IF(D8007&lt;&gt;"KEEP","",IF(RIGHT(B8007,10)="@gmail.com","Gmail",IF(OR(RIGHT(B8007,12)="@outlook.com",RIGHT(B8007,12)="@hotmail.com",RIGHT(B8007,9)="@live.com"),"Outlook","Domain")))</f>
        <v/>
      </c>
      <c r="F8007">
        <f>IF(B8007="","",IFERROR(RIGHT(B8007,LEN(B8007)-FIND("@",B8007)),""))</f>
        <v/>
      </c>
      <c r="G8007">
        <f>IF(D8007="KEEP",COUNTIF($D$2:D8007,"KEEP"),"")</f>
        <v/>
      </c>
      <c r="H8007">
        <f>IF(D8007="REMOVE",COUNTIF($D$2:D8007,"REMOVE"),"")</f>
        <v/>
      </c>
      <c r="I8007">
        <f>IF(E8007="Gmail",COUNTIF($E$2:E8007,"Gmail"),"")</f>
        <v/>
      </c>
      <c r="J8007">
        <f>IF(E8007="Outlook",COUNTIF($E$2:E8007,"Outlook"),"")</f>
        <v/>
      </c>
      <c r="K8007">
        <f>IF(E8007="Domain",COUNTIF($E$2:E8007,"Domain"),"")</f>
        <v/>
      </c>
    </row>
    <row r="8008">
      <c r="A8008" s="2" t="n"/>
      <c r="B8008">
        <f>LOWER(TRIM(A8008))</f>
        <v/>
      </c>
      <c r="C8008">
        <f>IF(B8008="","",IFERROR(INDEX('Bad Patterns'!$A$2:$A$120,MATCH(1,INDEX(--ISNUMBER(SEARCH('Bad Patterns'!$A$2:$A$120,B8008)),0),0)),""))</f>
        <v/>
      </c>
      <c r="D8008">
        <f>IF(B8008="","",IF(C8008&lt;&gt;"","REMOVE","KEEP"))</f>
        <v/>
      </c>
      <c r="E8008">
        <f>IF(D8008&lt;&gt;"KEEP","",IF(RIGHT(B8008,10)="@gmail.com","Gmail",IF(OR(RIGHT(B8008,12)="@outlook.com",RIGHT(B8008,12)="@hotmail.com",RIGHT(B8008,9)="@live.com"),"Outlook","Domain")))</f>
        <v/>
      </c>
      <c r="F8008">
        <f>IF(B8008="","",IFERROR(RIGHT(B8008,LEN(B8008)-FIND("@",B8008)),""))</f>
        <v/>
      </c>
      <c r="G8008">
        <f>IF(D8008="KEEP",COUNTIF($D$2:D8008,"KEEP"),"")</f>
        <v/>
      </c>
      <c r="H8008">
        <f>IF(D8008="REMOVE",COUNTIF($D$2:D8008,"REMOVE"),"")</f>
        <v/>
      </c>
      <c r="I8008">
        <f>IF(E8008="Gmail",COUNTIF($E$2:E8008,"Gmail"),"")</f>
        <v/>
      </c>
      <c r="J8008">
        <f>IF(E8008="Outlook",COUNTIF($E$2:E8008,"Outlook"),"")</f>
        <v/>
      </c>
      <c r="K8008">
        <f>IF(E8008="Domain",COUNTIF($E$2:E8008,"Domain"),"")</f>
        <v/>
      </c>
    </row>
    <row r="8009">
      <c r="A8009" s="2" t="n"/>
      <c r="B8009">
        <f>LOWER(TRIM(A8009))</f>
        <v/>
      </c>
      <c r="C8009">
        <f>IF(B8009="","",IFERROR(INDEX('Bad Patterns'!$A$2:$A$120,MATCH(1,INDEX(--ISNUMBER(SEARCH('Bad Patterns'!$A$2:$A$120,B8009)),0),0)),""))</f>
        <v/>
      </c>
      <c r="D8009">
        <f>IF(B8009="","",IF(C8009&lt;&gt;"","REMOVE","KEEP"))</f>
        <v/>
      </c>
      <c r="E8009">
        <f>IF(D8009&lt;&gt;"KEEP","",IF(RIGHT(B8009,10)="@gmail.com","Gmail",IF(OR(RIGHT(B8009,12)="@outlook.com",RIGHT(B8009,12)="@hotmail.com",RIGHT(B8009,9)="@live.com"),"Outlook","Domain")))</f>
        <v/>
      </c>
      <c r="F8009">
        <f>IF(B8009="","",IFERROR(RIGHT(B8009,LEN(B8009)-FIND("@",B8009)),""))</f>
        <v/>
      </c>
      <c r="G8009">
        <f>IF(D8009="KEEP",COUNTIF($D$2:D8009,"KEEP"),"")</f>
        <v/>
      </c>
      <c r="H8009">
        <f>IF(D8009="REMOVE",COUNTIF($D$2:D8009,"REMOVE"),"")</f>
        <v/>
      </c>
      <c r="I8009">
        <f>IF(E8009="Gmail",COUNTIF($E$2:E8009,"Gmail"),"")</f>
        <v/>
      </c>
      <c r="J8009">
        <f>IF(E8009="Outlook",COUNTIF($E$2:E8009,"Outlook"),"")</f>
        <v/>
      </c>
      <c r="K8009">
        <f>IF(E8009="Domain",COUNTIF($E$2:E8009,"Domain"),"")</f>
        <v/>
      </c>
    </row>
    <row r="8010">
      <c r="A8010" s="2" t="n"/>
      <c r="B8010">
        <f>LOWER(TRIM(A8010))</f>
        <v/>
      </c>
      <c r="C8010">
        <f>IF(B8010="","",IFERROR(INDEX('Bad Patterns'!$A$2:$A$120,MATCH(1,INDEX(--ISNUMBER(SEARCH('Bad Patterns'!$A$2:$A$120,B8010)),0),0)),""))</f>
        <v/>
      </c>
      <c r="D8010">
        <f>IF(B8010="","",IF(C8010&lt;&gt;"","REMOVE","KEEP"))</f>
        <v/>
      </c>
      <c r="E8010">
        <f>IF(D8010&lt;&gt;"KEEP","",IF(RIGHT(B8010,10)="@gmail.com","Gmail",IF(OR(RIGHT(B8010,12)="@outlook.com",RIGHT(B8010,12)="@hotmail.com",RIGHT(B8010,9)="@live.com"),"Outlook","Domain")))</f>
        <v/>
      </c>
      <c r="F8010">
        <f>IF(B8010="","",IFERROR(RIGHT(B8010,LEN(B8010)-FIND("@",B8010)),""))</f>
        <v/>
      </c>
      <c r="G8010">
        <f>IF(D8010="KEEP",COUNTIF($D$2:D8010,"KEEP"),"")</f>
        <v/>
      </c>
      <c r="H8010">
        <f>IF(D8010="REMOVE",COUNTIF($D$2:D8010,"REMOVE"),"")</f>
        <v/>
      </c>
      <c r="I8010">
        <f>IF(E8010="Gmail",COUNTIF($E$2:E8010,"Gmail"),"")</f>
        <v/>
      </c>
      <c r="J8010">
        <f>IF(E8010="Outlook",COUNTIF($E$2:E8010,"Outlook"),"")</f>
        <v/>
      </c>
      <c r="K8010">
        <f>IF(E8010="Domain",COUNTIF($E$2:E8010,"Domain"),"")</f>
        <v/>
      </c>
    </row>
    <row r="8011">
      <c r="A8011" s="2" t="n"/>
      <c r="B8011">
        <f>LOWER(TRIM(A8011))</f>
        <v/>
      </c>
      <c r="C8011">
        <f>IF(B8011="","",IFERROR(INDEX('Bad Patterns'!$A$2:$A$120,MATCH(1,INDEX(--ISNUMBER(SEARCH('Bad Patterns'!$A$2:$A$120,B8011)),0),0)),""))</f>
        <v/>
      </c>
      <c r="D8011">
        <f>IF(B8011="","",IF(C8011&lt;&gt;"","REMOVE","KEEP"))</f>
        <v/>
      </c>
      <c r="E8011">
        <f>IF(D8011&lt;&gt;"KEEP","",IF(RIGHT(B8011,10)="@gmail.com","Gmail",IF(OR(RIGHT(B8011,12)="@outlook.com",RIGHT(B8011,12)="@hotmail.com",RIGHT(B8011,9)="@live.com"),"Outlook","Domain")))</f>
        <v/>
      </c>
      <c r="F8011">
        <f>IF(B8011="","",IFERROR(RIGHT(B8011,LEN(B8011)-FIND("@",B8011)),""))</f>
        <v/>
      </c>
      <c r="G8011">
        <f>IF(D8011="KEEP",COUNTIF($D$2:D8011,"KEEP"),"")</f>
        <v/>
      </c>
      <c r="H8011">
        <f>IF(D8011="REMOVE",COUNTIF($D$2:D8011,"REMOVE"),"")</f>
        <v/>
      </c>
      <c r="I8011">
        <f>IF(E8011="Gmail",COUNTIF($E$2:E8011,"Gmail"),"")</f>
        <v/>
      </c>
      <c r="J8011">
        <f>IF(E8011="Outlook",COUNTIF($E$2:E8011,"Outlook"),"")</f>
        <v/>
      </c>
      <c r="K8011">
        <f>IF(E8011="Domain",COUNTIF($E$2:E8011,"Domain"),"")</f>
        <v/>
      </c>
    </row>
    <row r="8012">
      <c r="A8012" s="2" t="n"/>
      <c r="B8012">
        <f>LOWER(TRIM(A8012))</f>
        <v/>
      </c>
      <c r="C8012">
        <f>IF(B8012="","",IFERROR(INDEX('Bad Patterns'!$A$2:$A$120,MATCH(1,INDEX(--ISNUMBER(SEARCH('Bad Patterns'!$A$2:$A$120,B8012)),0),0)),""))</f>
        <v/>
      </c>
      <c r="D8012">
        <f>IF(B8012="","",IF(C8012&lt;&gt;"","REMOVE","KEEP"))</f>
        <v/>
      </c>
      <c r="E8012">
        <f>IF(D8012&lt;&gt;"KEEP","",IF(RIGHT(B8012,10)="@gmail.com","Gmail",IF(OR(RIGHT(B8012,12)="@outlook.com",RIGHT(B8012,12)="@hotmail.com",RIGHT(B8012,9)="@live.com"),"Outlook","Domain")))</f>
        <v/>
      </c>
      <c r="F8012">
        <f>IF(B8012="","",IFERROR(RIGHT(B8012,LEN(B8012)-FIND("@",B8012)),""))</f>
        <v/>
      </c>
      <c r="G8012">
        <f>IF(D8012="KEEP",COUNTIF($D$2:D8012,"KEEP"),"")</f>
        <v/>
      </c>
      <c r="H8012">
        <f>IF(D8012="REMOVE",COUNTIF($D$2:D8012,"REMOVE"),"")</f>
        <v/>
      </c>
      <c r="I8012">
        <f>IF(E8012="Gmail",COUNTIF($E$2:E8012,"Gmail"),"")</f>
        <v/>
      </c>
      <c r="J8012">
        <f>IF(E8012="Outlook",COUNTIF($E$2:E8012,"Outlook"),"")</f>
        <v/>
      </c>
      <c r="K8012">
        <f>IF(E8012="Domain",COUNTIF($E$2:E8012,"Domain"),"")</f>
        <v/>
      </c>
    </row>
    <row r="8013">
      <c r="A8013" s="2" t="n"/>
      <c r="B8013">
        <f>LOWER(TRIM(A8013))</f>
        <v/>
      </c>
      <c r="C8013">
        <f>IF(B8013="","",IFERROR(INDEX('Bad Patterns'!$A$2:$A$120,MATCH(1,INDEX(--ISNUMBER(SEARCH('Bad Patterns'!$A$2:$A$120,B8013)),0),0)),""))</f>
        <v/>
      </c>
      <c r="D8013">
        <f>IF(B8013="","",IF(C8013&lt;&gt;"","REMOVE","KEEP"))</f>
        <v/>
      </c>
      <c r="E8013">
        <f>IF(D8013&lt;&gt;"KEEP","",IF(RIGHT(B8013,10)="@gmail.com","Gmail",IF(OR(RIGHT(B8013,12)="@outlook.com",RIGHT(B8013,12)="@hotmail.com",RIGHT(B8013,9)="@live.com"),"Outlook","Domain")))</f>
        <v/>
      </c>
      <c r="F8013">
        <f>IF(B8013="","",IFERROR(RIGHT(B8013,LEN(B8013)-FIND("@",B8013)),""))</f>
        <v/>
      </c>
      <c r="G8013">
        <f>IF(D8013="KEEP",COUNTIF($D$2:D8013,"KEEP"),"")</f>
        <v/>
      </c>
      <c r="H8013">
        <f>IF(D8013="REMOVE",COUNTIF($D$2:D8013,"REMOVE"),"")</f>
        <v/>
      </c>
      <c r="I8013">
        <f>IF(E8013="Gmail",COUNTIF($E$2:E8013,"Gmail"),"")</f>
        <v/>
      </c>
      <c r="J8013">
        <f>IF(E8013="Outlook",COUNTIF($E$2:E8013,"Outlook"),"")</f>
        <v/>
      </c>
      <c r="K8013">
        <f>IF(E8013="Domain",COUNTIF($E$2:E8013,"Domain"),"")</f>
        <v/>
      </c>
    </row>
    <row r="8014">
      <c r="A8014" s="2" t="n"/>
      <c r="B8014">
        <f>LOWER(TRIM(A8014))</f>
        <v/>
      </c>
      <c r="C8014">
        <f>IF(B8014="","",IFERROR(INDEX('Bad Patterns'!$A$2:$A$120,MATCH(1,INDEX(--ISNUMBER(SEARCH('Bad Patterns'!$A$2:$A$120,B8014)),0),0)),""))</f>
        <v/>
      </c>
      <c r="D8014">
        <f>IF(B8014="","",IF(C8014&lt;&gt;"","REMOVE","KEEP"))</f>
        <v/>
      </c>
      <c r="E8014">
        <f>IF(D8014&lt;&gt;"KEEP","",IF(RIGHT(B8014,10)="@gmail.com","Gmail",IF(OR(RIGHT(B8014,12)="@outlook.com",RIGHT(B8014,12)="@hotmail.com",RIGHT(B8014,9)="@live.com"),"Outlook","Domain")))</f>
        <v/>
      </c>
      <c r="F8014">
        <f>IF(B8014="","",IFERROR(RIGHT(B8014,LEN(B8014)-FIND("@",B8014)),""))</f>
        <v/>
      </c>
      <c r="G8014">
        <f>IF(D8014="KEEP",COUNTIF($D$2:D8014,"KEEP"),"")</f>
        <v/>
      </c>
      <c r="H8014">
        <f>IF(D8014="REMOVE",COUNTIF($D$2:D8014,"REMOVE"),"")</f>
        <v/>
      </c>
      <c r="I8014">
        <f>IF(E8014="Gmail",COUNTIF($E$2:E8014,"Gmail"),"")</f>
        <v/>
      </c>
      <c r="J8014">
        <f>IF(E8014="Outlook",COUNTIF($E$2:E8014,"Outlook"),"")</f>
        <v/>
      </c>
      <c r="K8014">
        <f>IF(E8014="Domain",COUNTIF($E$2:E8014,"Domain"),"")</f>
        <v/>
      </c>
    </row>
    <row r="8015">
      <c r="A8015" s="2" t="n"/>
      <c r="B8015">
        <f>LOWER(TRIM(A8015))</f>
        <v/>
      </c>
      <c r="C8015">
        <f>IF(B8015="","",IFERROR(INDEX('Bad Patterns'!$A$2:$A$120,MATCH(1,INDEX(--ISNUMBER(SEARCH('Bad Patterns'!$A$2:$A$120,B8015)),0),0)),""))</f>
        <v/>
      </c>
      <c r="D8015">
        <f>IF(B8015="","",IF(C8015&lt;&gt;"","REMOVE","KEEP"))</f>
        <v/>
      </c>
      <c r="E8015">
        <f>IF(D8015&lt;&gt;"KEEP","",IF(RIGHT(B8015,10)="@gmail.com","Gmail",IF(OR(RIGHT(B8015,12)="@outlook.com",RIGHT(B8015,12)="@hotmail.com",RIGHT(B8015,9)="@live.com"),"Outlook","Domain")))</f>
        <v/>
      </c>
      <c r="F8015">
        <f>IF(B8015="","",IFERROR(RIGHT(B8015,LEN(B8015)-FIND("@",B8015)),""))</f>
        <v/>
      </c>
      <c r="G8015">
        <f>IF(D8015="KEEP",COUNTIF($D$2:D8015,"KEEP"),"")</f>
        <v/>
      </c>
      <c r="H8015">
        <f>IF(D8015="REMOVE",COUNTIF($D$2:D8015,"REMOVE"),"")</f>
        <v/>
      </c>
      <c r="I8015">
        <f>IF(E8015="Gmail",COUNTIF($E$2:E8015,"Gmail"),"")</f>
        <v/>
      </c>
      <c r="J8015">
        <f>IF(E8015="Outlook",COUNTIF($E$2:E8015,"Outlook"),"")</f>
        <v/>
      </c>
      <c r="K8015">
        <f>IF(E8015="Domain",COUNTIF($E$2:E8015,"Domain"),"")</f>
        <v/>
      </c>
    </row>
    <row r="8016">
      <c r="A8016" s="2" t="n"/>
      <c r="B8016">
        <f>LOWER(TRIM(A8016))</f>
        <v/>
      </c>
      <c r="C8016">
        <f>IF(B8016="","",IFERROR(INDEX('Bad Patterns'!$A$2:$A$120,MATCH(1,INDEX(--ISNUMBER(SEARCH('Bad Patterns'!$A$2:$A$120,B8016)),0),0)),""))</f>
        <v/>
      </c>
      <c r="D8016">
        <f>IF(B8016="","",IF(C8016&lt;&gt;"","REMOVE","KEEP"))</f>
        <v/>
      </c>
      <c r="E8016">
        <f>IF(D8016&lt;&gt;"KEEP","",IF(RIGHT(B8016,10)="@gmail.com","Gmail",IF(OR(RIGHT(B8016,12)="@outlook.com",RIGHT(B8016,12)="@hotmail.com",RIGHT(B8016,9)="@live.com"),"Outlook","Domain")))</f>
        <v/>
      </c>
      <c r="F8016">
        <f>IF(B8016="","",IFERROR(RIGHT(B8016,LEN(B8016)-FIND("@",B8016)),""))</f>
        <v/>
      </c>
      <c r="G8016">
        <f>IF(D8016="KEEP",COUNTIF($D$2:D8016,"KEEP"),"")</f>
        <v/>
      </c>
      <c r="H8016">
        <f>IF(D8016="REMOVE",COUNTIF($D$2:D8016,"REMOVE"),"")</f>
        <v/>
      </c>
      <c r="I8016">
        <f>IF(E8016="Gmail",COUNTIF($E$2:E8016,"Gmail"),"")</f>
        <v/>
      </c>
      <c r="J8016">
        <f>IF(E8016="Outlook",COUNTIF($E$2:E8016,"Outlook"),"")</f>
        <v/>
      </c>
      <c r="K8016">
        <f>IF(E8016="Domain",COUNTIF($E$2:E8016,"Domain"),"")</f>
        <v/>
      </c>
    </row>
    <row r="8017">
      <c r="A8017" s="2" t="n"/>
      <c r="B8017">
        <f>LOWER(TRIM(A8017))</f>
        <v/>
      </c>
      <c r="C8017">
        <f>IF(B8017="","",IFERROR(INDEX('Bad Patterns'!$A$2:$A$120,MATCH(1,INDEX(--ISNUMBER(SEARCH('Bad Patterns'!$A$2:$A$120,B8017)),0),0)),""))</f>
        <v/>
      </c>
      <c r="D8017">
        <f>IF(B8017="","",IF(C8017&lt;&gt;"","REMOVE","KEEP"))</f>
        <v/>
      </c>
      <c r="E8017">
        <f>IF(D8017&lt;&gt;"KEEP","",IF(RIGHT(B8017,10)="@gmail.com","Gmail",IF(OR(RIGHT(B8017,12)="@outlook.com",RIGHT(B8017,12)="@hotmail.com",RIGHT(B8017,9)="@live.com"),"Outlook","Domain")))</f>
        <v/>
      </c>
      <c r="F8017">
        <f>IF(B8017="","",IFERROR(RIGHT(B8017,LEN(B8017)-FIND("@",B8017)),""))</f>
        <v/>
      </c>
      <c r="G8017">
        <f>IF(D8017="KEEP",COUNTIF($D$2:D8017,"KEEP"),"")</f>
        <v/>
      </c>
      <c r="H8017">
        <f>IF(D8017="REMOVE",COUNTIF($D$2:D8017,"REMOVE"),"")</f>
        <v/>
      </c>
      <c r="I8017">
        <f>IF(E8017="Gmail",COUNTIF($E$2:E8017,"Gmail"),"")</f>
        <v/>
      </c>
      <c r="J8017">
        <f>IF(E8017="Outlook",COUNTIF($E$2:E8017,"Outlook"),"")</f>
        <v/>
      </c>
      <c r="K8017">
        <f>IF(E8017="Domain",COUNTIF($E$2:E8017,"Domain"),"")</f>
        <v/>
      </c>
    </row>
    <row r="8018">
      <c r="A8018" s="2" t="n"/>
      <c r="B8018">
        <f>LOWER(TRIM(A8018))</f>
        <v/>
      </c>
      <c r="C8018">
        <f>IF(B8018="","",IFERROR(INDEX('Bad Patterns'!$A$2:$A$120,MATCH(1,INDEX(--ISNUMBER(SEARCH('Bad Patterns'!$A$2:$A$120,B8018)),0),0)),""))</f>
        <v/>
      </c>
      <c r="D8018">
        <f>IF(B8018="","",IF(C8018&lt;&gt;"","REMOVE","KEEP"))</f>
        <v/>
      </c>
      <c r="E8018">
        <f>IF(D8018&lt;&gt;"KEEP","",IF(RIGHT(B8018,10)="@gmail.com","Gmail",IF(OR(RIGHT(B8018,12)="@outlook.com",RIGHT(B8018,12)="@hotmail.com",RIGHT(B8018,9)="@live.com"),"Outlook","Domain")))</f>
        <v/>
      </c>
      <c r="F8018">
        <f>IF(B8018="","",IFERROR(RIGHT(B8018,LEN(B8018)-FIND("@",B8018)),""))</f>
        <v/>
      </c>
      <c r="G8018">
        <f>IF(D8018="KEEP",COUNTIF($D$2:D8018,"KEEP"),"")</f>
        <v/>
      </c>
      <c r="H8018">
        <f>IF(D8018="REMOVE",COUNTIF($D$2:D8018,"REMOVE"),"")</f>
        <v/>
      </c>
      <c r="I8018">
        <f>IF(E8018="Gmail",COUNTIF($E$2:E8018,"Gmail"),"")</f>
        <v/>
      </c>
      <c r="J8018">
        <f>IF(E8018="Outlook",COUNTIF($E$2:E8018,"Outlook"),"")</f>
        <v/>
      </c>
      <c r="K8018">
        <f>IF(E8018="Domain",COUNTIF($E$2:E8018,"Domain"),"")</f>
        <v/>
      </c>
    </row>
    <row r="8019">
      <c r="A8019" s="2" t="n"/>
      <c r="B8019">
        <f>LOWER(TRIM(A8019))</f>
        <v/>
      </c>
      <c r="C8019">
        <f>IF(B8019="","",IFERROR(INDEX('Bad Patterns'!$A$2:$A$120,MATCH(1,INDEX(--ISNUMBER(SEARCH('Bad Patterns'!$A$2:$A$120,B8019)),0),0)),""))</f>
        <v/>
      </c>
      <c r="D8019">
        <f>IF(B8019="","",IF(C8019&lt;&gt;"","REMOVE","KEEP"))</f>
        <v/>
      </c>
      <c r="E8019">
        <f>IF(D8019&lt;&gt;"KEEP","",IF(RIGHT(B8019,10)="@gmail.com","Gmail",IF(OR(RIGHT(B8019,12)="@outlook.com",RIGHT(B8019,12)="@hotmail.com",RIGHT(B8019,9)="@live.com"),"Outlook","Domain")))</f>
        <v/>
      </c>
      <c r="F8019">
        <f>IF(B8019="","",IFERROR(RIGHT(B8019,LEN(B8019)-FIND("@",B8019)),""))</f>
        <v/>
      </c>
      <c r="G8019">
        <f>IF(D8019="KEEP",COUNTIF($D$2:D8019,"KEEP"),"")</f>
        <v/>
      </c>
      <c r="H8019">
        <f>IF(D8019="REMOVE",COUNTIF($D$2:D8019,"REMOVE"),"")</f>
        <v/>
      </c>
      <c r="I8019">
        <f>IF(E8019="Gmail",COUNTIF($E$2:E8019,"Gmail"),"")</f>
        <v/>
      </c>
      <c r="J8019">
        <f>IF(E8019="Outlook",COUNTIF($E$2:E8019,"Outlook"),"")</f>
        <v/>
      </c>
      <c r="K8019">
        <f>IF(E8019="Domain",COUNTIF($E$2:E8019,"Domain"),"")</f>
        <v/>
      </c>
    </row>
    <row r="8020">
      <c r="A8020" s="2" t="n"/>
      <c r="B8020">
        <f>LOWER(TRIM(A8020))</f>
        <v/>
      </c>
      <c r="C8020">
        <f>IF(B8020="","",IFERROR(INDEX('Bad Patterns'!$A$2:$A$120,MATCH(1,INDEX(--ISNUMBER(SEARCH('Bad Patterns'!$A$2:$A$120,B8020)),0),0)),""))</f>
        <v/>
      </c>
      <c r="D8020">
        <f>IF(B8020="","",IF(C8020&lt;&gt;"","REMOVE","KEEP"))</f>
        <v/>
      </c>
      <c r="E8020">
        <f>IF(D8020&lt;&gt;"KEEP","",IF(RIGHT(B8020,10)="@gmail.com","Gmail",IF(OR(RIGHT(B8020,12)="@outlook.com",RIGHT(B8020,12)="@hotmail.com",RIGHT(B8020,9)="@live.com"),"Outlook","Domain")))</f>
        <v/>
      </c>
      <c r="F8020">
        <f>IF(B8020="","",IFERROR(RIGHT(B8020,LEN(B8020)-FIND("@",B8020)),""))</f>
        <v/>
      </c>
      <c r="G8020">
        <f>IF(D8020="KEEP",COUNTIF($D$2:D8020,"KEEP"),"")</f>
        <v/>
      </c>
      <c r="H8020">
        <f>IF(D8020="REMOVE",COUNTIF($D$2:D8020,"REMOVE"),"")</f>
        <v/>
      </c>
      <c r="I8020">
        <f>IF(E8020="Gmail",COUNTIF($E$2:E8020,"Gmail"),"")</f>
        <v/>
      </c>
      <c r="J8020">
        <f>IF(E8020="Outlook",COUNTIF($E$2:E8020,"Outlook"),"")</f>
        <v/>
      </c>
      <c r="K8020">
        <f>IF(E8020="Domain",COUNTIF($E$2:E8020,"Domain"),"")</f>
        <v/>
      </c>
    </row>
    <row r="8021">
      <c r="A8021" s="2" t="n"/>
      <c r="B8021">
        <f>LOWER(TRIM(A8021))</f>
        <v/>
      </c>
      <c r="C8021">
        <f>IF(B8021="","",IFERROR(INDEX('Bad Patterns'!$A$2:$A$120,MATCH(1,INDEX(--ISNUMBER(SEARCH('Bad Patterns'!$A$2:$A$120,B8021)),0),0)),""))</f>
        <v/>
      </c>
      <c r="D8021">
        <f>IF(B8021="","",IF(C8021&lt;&gt;"","REMOVE","KEEP"))</f>
        <v/>
      </c>
      <c r="E8021">
        <f>IF(D8021&lt;&gt;"KEEP","",IF(RIGHT(B8021,10)="@gmail.com","Gmail",IF(OR(RIGHT(B8021,12)="@outlook.com",RIGHT(B8021,12)="@hotmail.com",RIGHT(B8021,9)="@live.com"),"Outlook","Domain")))</f>
        <v/>
      </c>
      <c r="F8021">
        <f>IF(B8021="","",IFERROR(RIGHT(B8021,LEN(B8021)-FIND("@",B8021)),""))</f>
        <v/>
      </c>
      <c r="G8021">
        <f>IF(D8021="KEEP",COUNTIF($D$2:D8021,"KEEP"),"")</f>
        <v/>
      </c>
      <c r="H8021">
        <f>IF(D8021="REMOVE",COUNTIF($D$2:D8021,"REMOVE"),"")</f>
        <v/>
      </c>
      <c r="I8021">
        <f>IF(E8021="Gmail",COUNTIF($E$2:E8021,"Gmail"),"")</f>
        <v/>
      </c>
      <c r="J8021">
        <f>IF(E8021="Outlook",COUNTIF($E$2:E8021,"Outlook"),"")</f>
        <v/>
      </c>
      <c r="K8021">
        <f>IF(E8021="Domain",COUNTIF($E$2:E8021,"Domain"),"")</f>
        <v/>
      </c>
    </row>
    <row r="8022">
      <c r="A8022" s="2" t="n"/>
      <c r="B8022">
        <f>LOWER(TRIM(A8022))</f>
        <v/>
      </c>
      <c r="C8022">
        <f>IF(B8022="","",IFERROR(INDEX('Bad Patterns'!$A$2:$A$120,MATCH(1,INDEX(--ISNUMBER(SEARCH('Bad Patterns'!$A$2:$A$120,B8022)),0),0)),""))</f>
        <v/>
      </c>
      <c r="D8022">
        <f>IF(B8022="","",IF(C8022&lt;&gt;"","REMOVE","KEEP"))</f>
        <v/>
      </c>
      <c r="E8022">
        <f>IF(D8022&lt;&gt;"KEEP","",IF(RIGHT(B8022,10)="@gmail.com","Gmail",IF(OR(RIGHT(B8022,12)="@outlook.com",RIGHT(B8022,12)="@hotmail.com",RIGHT(B8022,9)="@live.com"),"Outlook","Domain")))</f>
        <v/>
      </c>
      <c r="F8022">
        <f>IF(B8022="","",IFERROR(RIGHT(B8022,LEN(B8022)-FIND("@",B8022)),""))</f>
        <v/>
      </c>
      <c r="G8022">
        <f>IF(D8022="KEEP",COUNTIF($D$2:D8022,"KEEP"),"")</f>
        <v/>
      </c>
      <c r="H8022">
        <f>IF(D8022="REMOVE",COUNTIF($D$2:D8022,"REMOVE"),"")</f>
        <v/>
      </c>
      <c r="I8022">
        <f>IF(E8022="Gmail",COUNTIF($E$2:E8022,"Gmail"),"")</f>
        <v/>
      </c>
      <c r="J8022">
        <f>IF(E8022="Outlook",COUNTIF($E$2:E8022,"Outlook"),"")</f>
        <v/>
      </c>
      <c r="K8022">
        <f>IF(E8022="Domain",COUNTIF($E$2:E8022,"Domain"),"")</f>
        <v/>
      </c>
    </row>
    <row r="8023">
      <c r="A8023" s="2" t="n"/>
      <c r="B8023">
        <f>LOWER(TRIM(A8023))</f>
        <v/>
      </c>
      <c r="C8023">
        <f>IF(B8023="","",IFERROR(INDEX('Bad Patterns'!$A$2:$A$120,MATCH(1,INDEX(--ISNUMBER(SEARCH('Bad Patterns'!$A$2:$A$120,B8023)),0),0)),""))</f>
        <v/>
      </c>
      <c r="D8023">
        <f>IF(B8023="","",IF(C8023&lt;&gt;"","REMOVE","KEEP"))</f>
        <v/>
      </c>
      <c r="E8023">
        <f>IF(D8023&lt;&gt;"KEEP","",IF(RIGHT(B8023,10)="@gmail.com","Gmail",IF(OR(RIGHT(B8023,12)="@outlook.com",RIGHT(B8023,12)="@hotmail.com",RIGHT(B8023,9)="@live.com"),"Outlook","Domain")))</f>
        <v/>
      </c>
      <c r="F8023">
        <f>IF(B8023="","",IFERROR(RIGHT(B8023,LEN(B8023)-FIND("@",B8023)),""))</f>
        <v/>
      </c>
      <c r="G8023">
        <f>IF(D8023="KEEP",COUNTIF($D$2:D8023,"KEEP"),"")</f>
        <v/>
      </c>
      <c r="H8023">
        <f>IF(D8023="REMOVE",COUNTIF($D$2:D8023,"REMOVE"),"")</f>
        <v/>
      </c>
      <c r="I8023">
        <f>IF(E8023="Gmail",COUNTIF($E$2:E8023,"Gmail"),"")</f>
        <v/>
      </c>
      <c r="J8023">
        <f>IF(E8023="Outlook",COUNTIF($E$2:E8023,"Outlook"),"")</f>
        <v/>
      </c>
      <c r="K8023">
        <f>IF(E8023="Domain",COUNTIF($E$2:E8023,"Domain"),"")</f>
        <v/>
      </c>
    </row>
    <row r="8024">
      <c r="A8024" s="2" t="n"/>
      <c r="B8024">
        <f>LOWER(TRIM(A8024))</f>
        <v/>
      </c>
      <c r="C8024">
        <f>IF(B8024="","",IFERROR(INDEX('Bad Patterns'!$A$2:$A$120,MATCH(1,INDEX(--ISNUMBER(SEARCH('Bad Patterns'!$A$2:$A$120,B8024)),0),0)),""))</f>
        <v/>
      </c>
      <c r="D8024">
        <f>IF(B8024="","",IF(C8024&lt;&gt;"","REMOVE","KEEP"))</f>
        <v/>
      </c>
      <c r="E8024">
        <f>IF(D8024&lt;&gt;"KEEP","",IF(RIGHT(B8024,10)="@gmail.com","Gmail",IF(OR(RIGHT(B8024,12)="@outlook.com",RIGHT(B8024,12)="@hotmail.com",RIGHT(B8024,9)="@live.com"),"Outlook","Domain")))</f>
        <v/>
      </c>
      <c r="F8024">
        <f>IF(B8024="","",IFERROR(RIGHT(B8024,LEN(B8024)-FIND("@",B8024)),""))</f>
        <v/>
      </c>
      <c r="G8024">
        <f>IF(D8024="KEEP",COUNTIF($D$2:D8024,"KEEP"),"")</f>
        <v/>
      </c>
      <c r="H8024">
        <f>IF(D8024="REMOVE",COUNTIF($D$2:D8024,"REMOVE"),"")</f>
        <v/>
      </c>
      <c r="I8024">
        <f>IF(E8024="Gmail",COUNTIF($E$2:E8024,"Gmail"),"")</f>
        <v/>
      </c>
      <c r="J8024">
        <f>IF(E8024="Outlook",COUNTIF($E$2:E8024,"Outlook"),"")</f>
        <v/>
      </c>
      <c r="K8024">
        <f>IF(E8024="Domain",COUNTIF($E$2:E8024,"Domain"),"")</f>
        <v/>
      </c>
    </row>
    <row r="8025">
      <c r="A8025" s="2" t="n"/>
      <c r="B8025">
        <f>LOWER(TRIM(A8025))</f>
        <v/>
      </c>
      <c r="C8025">
        <f>IF(B8025="","",IFERROR(INDEX('Bad Patterns'!$A$2:$A$120,MATCH(1,INDEX(--ISNUMBER(SEARCH('Bad Patterns'!$A$2:$A$120,B8025)),0),0)),""))</f>
        <v/>
      </c>
      <c r="D8025">
        <f>IF(B8025="","",IF(C8025&lt;&gt;"","REMOVE","KEEP"))</f>
        <v/>
      </c>
      <c r="E8025">
        <f>IF(D8025&lt;&gt;"KEEP","",IF(RIGHT(B8025,10)="@gmail.com","Gmail",IF(OR(RIGHT(B8025,12)="@outlook.com",RIGHT(B8025,12)="@hotmail.com",RIGHT(B8025,9)="@live.com"),"Outlook","Domain")))</f>
        <v/>
      </c>
      <c r="F8025">
        <f>IF(B8025="","",IFERROR(RIGHT(B8025,LEN(B8025)-FIND("@",B8025)),""))</f>
        <v/>
      </c>
      <c r="G8025">
        <f>IF(D8025="KEEP",COUNTIF($D$2:D8025,"KEEP"),"")</f>
        <v/>
      </c>
      <c r="H8025">
        <f>IF(D8025="REMOVE",COUNTIF($D$2:D8025,"REMOVE"),"")</f>
        <v/>
      </c>
      <c r="I8025">
        <f>IF(E8025="Gmail",COUNTIF($E$2:E8025,"Gmail"),"")</f>
        <v/>
      </c>
      <c r="J8025">
        <f>IF(E8025="Outlook",COUNTIF($E$2:E8025,"Outlook"),"")</f>
        <v/>
      </c>
      <c r="K8025">
        <f>IF(E8025="Domain",COUNTIF($E$2:E8025,"Domain"),"")</f>
        <v/>
      </c>
    </row>
    <row r="8026">
      <c r="A8026" s="2" t="n"/>
      <c r="B8026">
        <f>LOWER(TRIM(A8026))</f>
        <v/>
      </c>
      <c r="C8026">
        <f>IF(B8026="","",IFERROR(INDEX('Bad Patterns'!$A$2:$A$120,MATCH(1,INDEX(--ISNUMBER(SEARCH('Bad Patterns'!$A$2:$A$120,B8026)),0),0)),""))</f>
        <v/>
      </c>
      <c r="D8026">
        <f>IF(B8026="","",IF(C8026&lt;&gt;"","REMOVE","KEEP"))</f>
        <v/>
      </c>
      <c r="E8026">
        <f>IF(D8026&lt;&gt;"KEEP","",IF(RIGHT(B8026,10)="@gmail.com","Gmail",IF(OR(RIGHT(B8026,12)="@outlook.com",RIGHT(B8026,12)="@hotmail.com",RIGHT(B8026,9)="@live.com"),"Outlook","Domain")))</f>
        <v/>
      </c>
      <c r="F8026">
        <f>IF(B8026="","",IFERROR(RIGHT(B8026,LEN(B8026)-FIND("@",B8026)),""))</f>
        <v/>
      </c>
      <c r="G8026">
        <f>IF(D8026="KEEP",COUNTIF($D$2:D8026,"KEEP"),"")</f>
        <v/>
      </c>
      <c r="H8026">
        <f>IF(D8026="REMOVE",COUNTIF($D$2:D8026,"REMOVE"),"")</f>
        <v/>
      </c>
      <c r="I8026">
        <f>IF(E8026="Gmail",COUNTIF($E$2:E8026,"Gmail"),"")</f>
        <v/>
      </c>
      <c r="J8026">
        <f>IF(E8026="Outlook",COUNTIF($E$2:E8026,"Outlook"),"")</f>
        <v/>
      </c>
      <c r="K8026">
        <f>IF(E8026="Domain",COUNTIF($E$2:E8026,"Domain"),"")</f>
        <v/>
      </c>
    </row>
    <row r="8027">
      <c r="A8027" s="2" t="n"/>
      <c r="B8027">
        <f>LOWER(TRIM(A8027))</f>
        <v/>
      </c>
      <c r="C8027">
        <f>IF(B8027="","",IFERROR(INDEX('Bad Patterns'!$A$2:$A$120,MATCH(1,INDEX(--ISNUMBER(SEARCH('Bad Patterns'!$A$2:$A$120,B8027)),0),0)),""))</f>
        <v/>
      </c>
      <c r="D8027">
        <f>IF(B8027="","",IF(C8027&lt;&gt;"","REMOVE","KEEP"))</f>
        <v/>
      </c>
      <c r="E8027">
        <f>IF(D8027&lt;&gt;"KEEP","",IF(RIGHT(B8027,10)="@gmail.com","Gmail",IF(OR(RIGHT(B8027,12)="@outlook.com",RIGHT(B8027,12)="@hotmail.com",RIGHT(B8027,9)="@live.com"),"Outlook","Domain")))</f>
        <v/>
      </c>
      <c r="F8027">
        <f>IF(B8027="","",IFERROR(RIGHT(B8027,LEN(B8027)-FIND("@",B8027)),""))</f>
        <v/>
      </c>
      <c r="G8027">
        <f>IF(D8027="KEEP",COUNTIF($D$2:D8027,"KEEP"),"")</f>
        <v/>
      </c>
      <c r="H8027">
        <f>IF(D8027="REMOVE",COUNTIF($D$2:D8027,"REMOVE"),"")</f>
        <v/>
      </c>
      <c r="I8027">
        <f>IF(E8027="Gmail",COUNTIF($E$2:E8027,"Gmail"),"")</f>
        <v/>
      </c>
      <c r="J8027">
        <f>IF(E8027="Outlook",COUNTIF($E$2:E8027,"Outlook"),"")</f>
        <v/>
      </c>
      <c r="K8027">
        <f>IF(E8027="Domain",COUNTIF($E$2:E8027,"Domain"),"")</f>
        <v/>
      </c>
    </row>
    <row r="8028">
      <c r="A8028" s="2" t="n"/>
      <c r="B8028">
        <f>LOWER(TRIM(A8028))</f>
        <v/>
      </c>
      <c r="C8028">
        <f>IF(B8028="","",IFERROR(INDEX('Bad Patterns'!$A$2:$A$120,MATCH(1,INDEX(--ISNUMBER(SEARCH('Bad Patterns'!$A$2:$A$120,B8028)),0),0)),""))</f>
        <v/>
      </c>
      <c r="D8028">
        <f>IF(B8028="","",IF(C8028&lt;&gt;"","REMOVE","KEEP"))</f>
        <v/>
      </c>
      <c r="E8028">
        <f>IF(D8028&lt;&gt;"KEEP","",IF(RIGHT(B8028,10)="@gmail.com","Gmail",IF(OR(RIGHT(B8028,12)="@outlook.com",RIGHT(B8028,12)="@hotmail.com",RIGHT(B8028,9)="@live.com"),"Outlook","Domain")))</f>
        <v/>
      </c>
      <c r="F8028">
        <f>IF(B8028="","",IFERROR(RIGHT(B8028,LEN(B8028)-FIND("@",B8028)),""))</f>
        <v/>
      </c>
      <c r="G8028">
        <f>IF(D8028="KEEP",COUNTIF($D$2:D8028,"KEEP"),"")</f>
        <v/>
      </c>
      <c r="H8028">
        <f>IF(D8028="REMOVE",COUNTIF($D$2:D8028,"REMOVE"),"")</f>
        <v/>
      </c>
      <c r="I8028">
        <f>IF(E8028="Gmail",COUNTIF($E$2:E8028,"Gmail"),"")</f>
        <v/>
      </c>
      <c r="J8028">
        <f>IF(E8028="Outlook",COUNTIF($E$2:E8028,"Outlook"),"")</f>
        <v/>
      </c>
      <c r="K8028">
        <f>IF(E8028="Domain",COUNTIF($E$2:E8028,"Domain"),"")</f>
        <v/>
      </c>
    </row>
    <row r="8029">
      <c r="A8029" s="2" t="n"/>
      <c r="B8029">
        <f>LOWER(TRIM(A8029))</f>
        <v/>
      </c>
      <c r="C8029">
        <f>IF(B8029="","",IFERROR(INDEX('Bad Patterns'!$A$2:$A$120,MATCH(1,INDEX(--ISNUMBER(SEARCH('Bad Patterns'!$A$2:$A$120,B8029)),0),0)),""))</f>
        <v/>
      </c>
      <c r="D8029">
        <f>IF(B8029="","",IF(C8029&lt;&gt;"","REMOVE","KEEP"))</f>
        <v/>
      </c>
      <c r="E8029">
        <f>IF(D8029&lt;&gt;"KEEP","",IF(RIGHT(B8029,10)="@gmail.com","Gmail",IF(OR(RIGHT(B8029,12)="@outlook.com",RIGHT(B8029,12)="@hotmail.com",RIGHT(B8029,9)="@live.com"),"Outlook","Domain")))</f>
        <v/>
      </c>
      <c r="F8029">
        <f>IF(B8029="","",IFERROR(RIGHT(B8029,LEN(B8029)-FIND("@",B8029)),""))</f>
        <v/>
      </c>
      <c r="G8029">
        <f>IF(D8029="KEEP",COUNTIF($D$2:D8029,"KEEP"),"")</f>
        <v/>
      </c>
      <c r="H8029">
        <f>IF(D8029="REMOVE",COUNTIF($D$2:D8029,"REMOVE"),"")</f>
        <v/>
      </c>
      <c r="I8029">
        <f>IF(E8029="Gmail",COUNTIF($E$2:E8029,"Gmail"),"")</f>
        <v/>
      </c>
      <c r="J8029">
        <f>IF(E8029="Outlook",COUNTIF($E$2:E8029,"Outlook"),"")</f>
        <v/>
      </c>
      <c r="K8029">
        <f>IF(E8029="Domain",COUNTIF($E$2:E8029,"Domain"),"")</f>
        <v/>
      </c>
    </row>
    <row r="8030">
      <c r="A8030" s="2" t="n"/>
      <c r="B8030">
        <f>LOWER(TRIM(A8030))</f>
        <v/>
      </c>
      <c r="C8030">
        <f>IF(B8030="","",IFERROR(INDEX('Bad Patterns'!$A$2:$A$120,MATCH(1,INDEX(--ISNUMBER(SEARCH('Bad Patterns'!$A$2:$A$120,B8030)),0),0)),""))</f>
        <v/>
      </c>
      <c r="D8030">
        <f>IF(B8030="","",IF(C8030&lt;&gt;"","REMOVE","KEEP"))</f>
        <v/>
      </c>
      <c r="E8030">
        <f>IF(D8030&lt;&gt;"KEEP","",IF(RIGHT(B8030,10)="@gmail.com","Gmail",IF(OR(RIGHT(B8030,12)="@outlook.com",RIGHT(B8030,12)="@hotmail.com",RIGHT(B8030,9)="@live.com"),"Outlook","Domain")))</f>
        <v/>
      </c>
      <c r="F8030">
        <f>IF(B8030="","",IFERROR(RIGHT(B8030,LEN(B8030)-FIND("@",B8030)),""))</f>
        <v/>
      </c>
      <c r="G8030">
        <f>IF(D8030="KEEP",COUNTIF($D$2:D8030,"KEEP"),"")</f>
        <v/>
      </c>
      <c r="H8030">
        <f>IF(D8030="REMOVE",COUNTIF($D$2:D8030,"REMOVE"),"")</f>
        <v/>
      </c>
      <c r="I8030">
        <f>IF(E8030="Gmail",COUNTIF($E$2:E8030,"Gmail"),"")</f>
        <v/>
      </c>
      <c r="J8030">
        <f>IF(E8030="Outlook",COUNTIF($E$2:E8030,"Outlook"),"")</f>
        <v/>
      </c>
      <c r="K8030">
        <f>IF(E8030="Domain",COUNTIF($E$2:E8030,"Domain"),"")</f>
        <v/>
      </c>
    </row>
    <row r="8031">
      <c r="A8031" s="2" t="n"/>
      <c r="B8031">
        <f>LOWER(TRIM(A8031))</f>
        <v/>
      </c>
      <c r="C8031">
        <f>IF(B8031="","",IFERROR(INDEX('Bad Patterns'!$A$2:$A$120,MATCH(1,INDEX(--ISNUMBER(SEARCH('Bad Patterns'!$A$2:$A$120,B8031)),0),0)),""))</f>
        <v/>
      </c>
      <c r="D8031">
        <f>IF(B8031="","",IF(C8031&lt;&gt;"","REMOVE","KEEP"))</f>
        <v/>
      </c>
      <c r="E8031">
        <f>IF(D8031&lt;&gt;"KEEP","",IF(RIGHT(B8031,10)="@gmail.com","Gmail",IF(OR(RIGHT(B8031,12)="@outlook.com",RIGHT(B8031,12)="@hotmail.com",RIGHT(B8031,9)="@live.com"),"Outlook","Domain")))</f>
        <v/>
      </c>
      <c r="F8031">
        <f>IF(B8031="","",IFERROR(RIGHT(B8031,LEN(B8031)-FIND("@",B8031)),""))</f>
        <v/>
      </c>
      <c r="G8031">
        <f>IF(D8031="KEEP",COUNTIF($D$2:D8031,"KEEP"),"")</f>
        <v/>
      </c>
      <c r="H8031">
        <f>IF(D8031="REMOVE",COUNTIF($D$2:D8031,"REMOVE"),"")</f>
        <v/>
      </c>
      <c r="I8031">
        <f>IF(E8031="Gmail",COUNTIF($E$2:E8031,"Gmail"),"")</f>
        <v/>
      </c>
      <c r="J8031">
        <f>IF(E8031="Outlook",COUNTIF($E$2:E8031,"Outlook"),"")</f>
        <v/>
      </c>
      <c r="K8031">
        <f>IF(E8031="Domain",COUNTIF($E$2:E8031,"Domain"),"")</f>
        <v/>
      </c>
    </row>
    <row r="8032">
      <c r="A8032" s="2" t="n"/>
      <c r="B8032">
        <f>LOWER(TRIM(A8032))</f>
        <v/>
      </c>
      <c r="C8032">
        <f>IF(B8032="","",IFERROR(INDEX('Bad Patterns'!$A$2:$A$120,MATCH(1,INDEX(--ISNUMBER(SEARCH('Bad Patterns'!$A$2:$A$120,B8032)),0),0)),""))</f>
        <v/>
      </c>
      <c r="D8032">
        <f>IF(B8032="","",IF(C8032&lt;&gt;"","REMOVE","KEEP"))</f>
        <v/>
      </c>
      <c r="E8032">
        <f>IF(D8032&lt;&gt;"KEEP","",IF(RIGHT(B8032,10)="@gmail.com","Gmail",IF(OR(RIGHT(B8032,12)="@outlook.com",RIGHT(B8032,12)="@hotmail.com",RIGHT(B8032,9)="@live.com"),"Outlook","Domain")))</f>
        <v/>
      </c>
      <c r="F8032">
        <f>IF(B8032="","",IFERROR(RIGHT(B8032,LEN(B8032)-FIND("@",B8032)),""))</f>
        <v/>
      </c>
      <c r="G8032">
        <f>IF(D8032="KEEP",COUNTIF($D$2:D8032,"KEEP"),"")</f>
        <v/>
      </c>
      <c r="H8032">
        <f>IF(D8032="REMOVE",COUNTIF($D$2:D8032,"REMOVE"),"")</f>
        <v/>
      </c>
      <c r="I8032">
        <f>IF(E8032="Gmail",COUNTIF($E$2:E8032,"Gmail"),"")</f>
        <v/>
      </c>
      <c r="J8032">
        <f>IF(E8032="Outlook",COUNTIF($E$2:E8032,"Outlook"),"")</f>
        <v/>
      </c>
      <c r="K8032">
        <f>IF(E8032="Domain",COUNTIF($E$2:E8032,"Domain"),"")</f>
        <v/>
      </c>
    </row>
    <row r="8033">
      <c r="A8033" s="2" t="n"/>
      <c r="B8033">
        <f>LOWER(TRIM(A8033))</f>
        <v/>
      </c>
      <c r="C8033">
        <f>IF(B8033="","",IFERROR(INDEX('Bad Patterns'!$A$2:$A$120,MATCH(1,INDEX(--ISNUMBER(SEARCH('Bad Patterns'!$A$2:$A$120,B8033)),0),0)),""))</f>
        <v/>
      </c>
      <c r="D8033">
        <f>IF(B8033="","",IF(C8033&lt;&gt;"","REMOVE","KEEP"))</f>
        <v/>
      </c>
      <c r="E8033">
        <f>IF(D8033&lt;&gt;"KEEP","",IF(RIGHT(B8033,10)="@gmail.com","Gmail",IF(OR(RIGHT(B8033,12)="@outlook.com",RIGHT(B8033,12)="@hotmail.com",RIGHT(B8033,9)="@live.com"),"Outlook","Domain")))</f>
        <v/>
      </c>
      <c r="F8033">
        <f>IF(B8033="","",IFERROR(RIGHT(B8033,LEN(B8033)-FIND("@",B8033)),""))</f>
        <v/>
      </c>
      <c r="G8033">
        <f>IF(D8033="KEEP",COUNTIF($D$2:D8033,"KEEP"),"")</f>
        <v/>
      </c>
      <c r="H8033">
        <f>IF(D8033="REMOVE",COUNTIF($D$2:D8033,"REMOVE"),"")</f>
        <v/>
      </c>
      <c r="I8033">
        <f>IF(E8033="Gmail",COUNTIF($E$2:E8033,"Gmail"),"")</f>
        <v/>
      </c>
      <c r="J8033">
        <f>IF(E8033="Outlook",COUNTIF($E$2:E8033,"Outlook"),"")</f>
        <v/>
      </c>
      <c r="K8033">
        <f>IF(E8033="Domain",COUNTIF($E$2:E8033,"Domain"),"")</f>
        <v/>
      </c>
    </row>
    <row r="8034">
      <c r="A8034" s="2" t="n"/>
      <c r="B8034">
        <f>LOWER(TRIM(A8034))</f>
        <v/>
      </c>
      <c r="C8034">
        <f>IF(B8034="","",IFERROR(INDEX('Bad Patterns'!$A$2:$A$120,MATCH(1,INDEX(--ISNUMBER(SEARCH('Bad Patterns'!$A$2:$A$120,B8034)),0),0)),""))</f>
        <v/>
      </c>
      <c r="D8034">
        <f>IF(B8034="","",IF(C8034&lt;&gt;"","REMOVE","KEEP"))</f>
        <v/>
      </c>
      <c r="E8034">
        <f>IF(D8034&lt;&gt;"KEEP","",IF(RIGHT(B8034,10)="@gmail.com","Gmail",IF(OR(RIGHT(B8034,12)="@outlook.com",RIGHT(B8034,12)="@hotmail.com",RIGHT(B8034,9)="@live.com"),"Outlook","Domain")))</f>
        <v/>
      </c>
      <c r="F8034">
        <f>IF(B8034="","",IFERROR(RIGHT(B8034,LEN(B8034)-FIND("@",B8034)),""))</f>
        <v/>
      </c>
      <c r="G8034">
        <f>IF(D8034="KEEP",COUNTIF($D$2:D8034,"KEEP"),"")</f>
        <v/>
      </c>
      <c r="H8034">
        <f>IF(D8034="REMOVE",COUNTIF($D$2:D8034,"REMOVE"),"")</f>
        <v/>
      </c>
      <c r="I8034">
        <f>IF(E8034="Gmail",COUNTIF($E$2:E8034,"Gmail"),"")</f>
        <v/>
      </c>
      <c r="J8034">
        <f>IF(E8034="Outlook",COUNTIF($E$2:E8034,"Outlook"),"")</f>
        <v/>
      </c>
      <c r="K8034">
        <f>IF(E8034="Domain",COUNTIF($E$2:E8034,"Domain"),"")</f>
        <v/>
      </c>
    </row>
    <row r="8035">
      <c r="A8035" s="2" t="n"/>
      <c r="B8035">
        <f>LOWER(TRIM(A8035))</f>
        <v/>
      </c>
      <c r="C8035">
        <f>IF(B8035="","",IFERROR(INDEX('Bad Patterns'!$A$2:$A$120,MATCH(1,INDEX(--ISNUMBER(SEARCH('Bad Patterns'!$A$2:$A$120,B8035)),0),0)),""))</f>
        <v/>
      </c>
      <c r="D8035">
        <f>IF(B8035="","",IF(C8035&lt;&gt;"","REMOVE","KEEP"))</f>
        <v/>
      </c>
      <c r="E8035">
        <f>IF(D8035&lt;&gt;"KEEP","",IF(RIGHT(B8035,10)="@gmail.com","Gmail",IF(OR(RIGHT(B8035,12)="@outlook.com",RIGHT(B8035,12)="@hotmail.com",RIGHT(B8035,9)="@live.com"),"Outlook","Domain")))</f>
        <v/>
      </c>
      <c r="F8035">
        <f>IF(B8035="","",IFERROR(RIGHT(B8035,LEN(B8035)-FIND("@",B8035)),""))</f>
        <v/>
      </c>
      <c r="G8035">
        <f>IF(D8035="KEEP",COUNTIF($D$2:D8035,"KEEP"),"")</f>
        <v/>
      </c>
      <c r="H8035">
        <f>IF(D8035="REMOVE",COUNTIF($D$2:D8035,"REMOVE"),"")</f>
        <v/>
      </c>
      <c r="I8035">
        <f>IF(E8035="Gmail",COUNTIF($E$2:E8035,"Gmail"),"")</f>
        <v/>
      </c>
      <c r="J8035">
        <f>IF(E8035="Outlook",COUNTIF($E$2:E8035,"Outlook"),"")</f>
        <v/>
      </c>
      <c r="K8035">
        <f>IF(E8035="Domain",COUNTIF($E$2:E8035,"Domain"),"")</f>
        <v/>
      </c>
    </row>
    <row r="8036">
      <c r="A8036" s="2" t="n"/>
      <c r="B8036">
        <f>LOWER(TRIM(A8036))</f>
        <v/>
      </c>
      <c r="C8036">
        <f>IF(B8036="","",IFERROR(INDEX('Bad Patterns'!$A$2:$A$120,MATCH(1,INDEX(--ISNUMBER(SEARCH('Bad Patterns'!$A$2:$A$120,B8036)),0),0)),""))</f>
        <v/>
      </c>
      <c r="D8036">
        <f>IF(B8036="","",IF(C8036&lt;&gt;"","REMOVE","KEEP"))</f>
        <v/>
      </c>
      <c r="E8036">
        <f>IF(D8036&lt;&gt;"KEEP","",IF(RIGHT(B8036,10)="@gmail.com","Gmail",IF(OR(RIGHT(B8036,12)="@outlook.com",RIGHT(B8036,12)="@hotmail.com",RIGHT(B8036,9)="@live.com"),"Outlook","Domain")))</f>
        <v/>
      </c>
      <c r="F8036">
        <f>IF(B8036="","",IFERROR(RIGHT(B8036,LEN(B8036)-FIND("@",B8036)),""))</f>
        <v/>
      </c>
      <c r="G8036">
        <f>IF(D8036="KEEP",COUNTIF($D$2:D8036,"KEEP"),"")</f>
        <v/>
      </c>
      <c r="H8036">
        <f>IF(D8036="REMOVE",COUNTIF($D$2:D8036,"REMOVE"),"")</f>
        <v/>
      </c>
      <c r="I8036">
        <f>IF(E8036="Gmail",COUNTIF($E$2:E8036,"Gmail"),"")</f>
        <v/>
      </c>
      <c r="J8036">
        <f>IF(E8036="Outlook",COUNTIF($E$2:E8036,"Outlook"),"")</f>
        <v/>
      </c>
      <c r="K8036">
        <f>IF(E8036="Domain",COUNTIF($E$2:E8036,"Domain"),"")</f>
        <v/>
      </c>
    </row>
    <row r="8037">
      <c r="A8037" s="2" t="n"/>
      <c r="B8037">
        <f>LOWER(TRIM(A8037))</f>
        <v/>
      </c>
      <c r="C8037">
        <f>IF(B8037="","",IFERROR(INDEX('Bad Patterns'!$A$2:$A$120,MATCH(1,INDEX(--ISNUMBER(SEARCH('Bad Patterns'!$A$2:$A$120,B8037)),0),0)),""))</f>
        <v/>
      </c>
      <c r="D8037">
        <f>IF(B8037="","",IF(C8037&lt;&gt;"","REMOVE","KEEP"))</f>
        <v/>
      </c>
      <c r="E8037">
        <f>IF(D8037&lt;&gt;"KEEP","",IF(RIGHT(B8037,10)="@gmail.com","Gmail",IF(OR(RIGHT(B8037,12)="@outlook.com",RIGHT(B8037,12)="@hotmail.com",RIGHT(B8037,9)="@live.com"),"Outlook","Domain")))</f>
        <v/>
      </c>
      <c r="F8037">
        <f>IF(B8037="","",IFERROR(RIGHT(B8037,LEN(B8037)-FIND("@",B8037)),""))</f>
        <v/>
      </c>
      <c r="G8037">
        <f>IF(D8037="KEEP",COUNTIF($D$2:D8037,"KEEP"),"")</f>
        <v/>
      </c>
      <c r="H8037">
        <f>IF(D8037="REMOVE",COUNTIF($D$2:D8037,"REMOVE"),"")</f>
        <v/>
      </c>
      <c r="I8037">
        <f>IF(E8037="Gmail",COUNTIF($E$2:E8037,"Gmail"),"")</f>
        <v/>
      </c>
      <c r="J8037">
        <f>IF(E8037="Outlook",COUNTIF($E$2:E8037,"Outlook"),"")</f>
        <v/>
      </c>
      <c r="K8037">
        <f>IF(E8037="Domain",COUNTIF($E$2:E8037,"Domain"),"")</f>
        <v/>
      </c>
    </row>
    <row r="8038">
      <c r="A8038" s="2" t="n"/>
      <c r="B8038">
        <f>LOWER(TRIM(A8038))</f>
        <v/>
      </c>
      <c r="C8038">
        <f>IF(B8038="","",IFERROR(INDEX('Bad Patterns'!$A$2:$A$120,MATCH(1,INDEX(--ISNUMBER(SEARCH('Bad Patterns'!$A$2:$A$120,B8038)),0),0)),""))</f>
        <v/>
      </c>
      <c r="D8038">
        <f>IF(B8038="","",IF(C8038&lt;&gt;"","REMOVE","KEEP"))</f>
        <v/>
      </c>
      <c r="E8038">
        <f>IF(D8038&lt;&gt;"KEEP","",IF(RIGHT(B8038,10)="@gmail.com","Gmail",IF(OR(RIGHT(B8038,12)="@outlook.com",RIGHT(B8038,12)="@hotmail.com",RIGHT(B8038,9)="@live.com"),"Outlook","Domain")))</f>
        <v/>
      </c>
      <c r="F8038">
        <f>IF(B8038="","",IFERROR(RIGHT(B8038,LEN(B8038)-FIND("@",B8038)),""))</f>
        <v/>
      </c>
      <c r="G8038">
        <f>IF(D8038="KEEP",COUNTIF($D$2:D8038,"KEEP"),"")</f>
        <v/>
      </c>
      <c r="H8038">
        <f>IF(D8038="REMOVE",COUNTIF($D$2:D8038,"REMOVE"),"")</f>
        <v/>
      </c>
      <c r="I8038">
        <f>IF(E8038="Gmail",COUNTIF($E$2:E8038,"Gmail"),"")</f>
        <v/>
      </c>
      <c r="J8038">
        <f>IF(E8038="Outlook",COUNTIF($E$2:E8038,"Outlook"),"")</f>
        <v/>
      </c>
      <c r="K8038">
        <f>IF(E8038="Domain",COUNTIF($E$2:E8038,"Domain"),"")</f>
        <v/>
      </c>
    </row>
    <row r="8039">
      <c r="A8039" s="2" t="n"/>
      <c r="B8039">
        <f>LOWER(TRIM(A8039))</f>
        <v/>
      </c>
      <c r="C8039">
        <f>IF(B8039="","",IFERROR(INDEX('Bad Patterns'!$A$2:$A$120,MATCH(1,INDEX(--ISNUMBER(SEARCH('Bad Patterns'!$A$2:$A$120,B8039)),0),0)),""))</f>
        <v/>
      </c>
      <c r="D8039">
        <f>IF(B8039="","",IF(C8039&lt;&gt;"","REMOVE","KEEP"))</f>
        <v/>
      </c>
      <c r="E8039">
        <f>IF(D8039&lt;&gt;"KEEP","",IF(RIGHT(B8039,10)="@gmail.com","Gmail",IF(OR(RIGHT(B8039,12)="@outlook.com",RIGHT(B8039,12)="@hotmail.com",RIGHT(B8039,9)="@live.com"),"Outlook","Domain")))</f>
        <v/>
      </c>
      <c r="F8039">
        <f>IF(B8039="","",IFERROR(RIGHT(B8039,LEN(B8039)-FIND("@",B8039)),""))</f>
        <v/>
      </c>
      <c r="G8039">
        <f>IF(D8039="KEEP",COUNTIF($D$2:D8039,"KEEP"),"")</f>
        <v/>
      </c>
      <c r="H8039">
        <f>IF(D8039="REMOVE",COUNTIF($D$2:D8039,"REMOVE"),"")</f>
        <v/>
      </c>
      <c r="I8039">
        <f>IF(E8039="Gmail",COUNTIF($E$2:E8039,"Gmail"),"")</f>
        <v/>
      </c>
      <c r="J8039">
        <f>IF(E8039="Outlook",COUNTIF($E$2:E8039,"Outlook"),"")</f>
        <v/>
      </c>
      <c r="K8039">
        <f>IF(E8039="Domain",COUNTIF($E$2:E8039,"Domain"),"")</f>
        <v/>
      </c>
    </row>
    <row r="8040">
      <c r="A8040" s="2" t="n"/>
      <c r="B8040">
        <f>LOWER(TRIM(A8040))</f>
        <v/>
      </c>
      <c r="C8040">
        <f>IF(B8040="","",IFERROR(INDEX('Bad Patterns'!$A$2:$A$120,MATCH(1,INDEX(--ISNUMBER(SEARCH('Bad Patterns'!$A$2:$A$120,B8040)),0),0)),""))</f>
        <v/>
      </c>
      <c r="D8040">
        <f>IF(B8040="","",IF(C8040&lt;&gt;"","REMOVE","KEEP"))</f>
        <v/>
      </c>
      <c r="E8040">
        <f>IF(D8040&lt;&gt;"KEEP","",IF(RIGHT(B8040,10)="@gmail.com","Gmail",IF(OR(RIGHT(B8040,12)="@outlook.com",RIGHT(B8040,12)="@hotmail.com",RIGHT(B8040,9)="@live.com"),"Outlook","Domain")))</f>
        <v/>
      </c>
      <c r="F8040">
        <f>IF(B8040="","",IFERROR(RIGHT(B8040,LEN(B8040)-FIND("@",B8040)),""))</f>
        <v/>
      </c>
      <c r="G8040">
        <f>IF(D8040="KEEP",COUNTIF($D$2:D8040,"KEEP"),"")</f>
        <v/>
      </c>
      <c r="H8040">
        <f>IF(D8040="REMOVE",COUNTIF($D$2:D8040,"REMOVE"),"")</f>
        <v/>
      </c>
      <c r="I8040">
        <f>IF(E8040="Gmail",COUNTIF($E$2:E8040,"Gmail"),"")</f>
        <v/>
      </c>
      <c r="J8040">
        <f>IF(E8040="Outlook",COUNTIF($E$2:E8040,"Outlook"),"")</f>
        <v/>
      </c>
      <c r="K8040">
        <f>IF(E8040="Domain",COUNTIF($E$2:E8040,"Domain"),"")</f>
        <v/>
      </c>
    </row>
    <row r="8041">
      <c r="A8041" s="2" t="n"/>
      <c r="B8041">
        <f>LOWER(TRIM(A8041))</f>
        <v/>
      </c>
      <c r="C8041">
        <f>IF(B8041="","",IFERROR(INDEX('Bad Patterns'!$A$2:$A$120,MATCH(1,INDEX(--ISNUMBER(SEARCH('Bad Patterns'!$A$2:$A$120,B8041)),0),0)),""))</f>
        <v/>
      </c>
      <c r="D8041">
        <f>IF(B8041="","",IF(C8041&lt;&gt;"","REMOVE","KEEP"))</f>
        <v/>
      </c>
      <c r="E8041">
        <f>IF(D8041&lt;&gt;"KEEP","",IF(RIGHT(B8041,10)="@gmail.com","Gmail",IF(OR(RIGHT(B8041,12)="@outlook.com",RIGHT(B8041,12)="@hotmail.com",RIGHT(B8041,9)="@live.com"),"Outlook","Domain")))</f>
        <v/>
      </c>
      <c r="F8041">
        <f>IF(B8041="","",IFERROR(RIGHT(B8041,LEN(B8041)-FIND("@",B8041)),""))</f>
        <v/>
      </c>
      <c r="G8041">
        <f>IF(D8041="KEEP",COUNTIF($D$2:D8041,"KEEP"),"")</f>
        <v/>
      </c>
      <c r="H8041">
        <f>IF(D8041="REMOVE",COUNTIF($D$2:D8041,"REMOVE"),"")</f>
        <v/>
      </c>
      <c r="I8041">
        <f>IF(E8041="Gmail",COUNTIF($E$2:E8041,"Gmail"),"")</f>
        <v/>
      </c>
      <c r="J8041">
        <f>IF(E8041="Outlook",COUNTIF($E$2:E8041,"Outlook"),"")</f>
        <v/>
      </c>
      <c r="K8041">
        <f>IF(E8041="Domain",COUNTIF($E$2:E8041,"Domain"),"")</f>
        <v/>
      </c>
    </row>
    <row r="8042">
      <c r="A8042" s="2" t="n"/>
      <c r="B8042">
        <f>LOWER(TRIM(A8042))</f>
        <v/>
      </c>
      <c r="C8042">
        <f>IF(B8042="","",IFERROR(INDEX('Bad Patterns'!$A$2:$A$120,MATCH(1,INDEX(--ISNUMBER(SEARCH('Bad Patterns'!$A$2:$A$120,B8042)),0),0)),""))</f>
        <v/>
      </c>
      <c r="D8042">
        <f>IF(B8042="","",IF(C8042&lt;&gt;"","REMOVE","KEEP"))</f>
        <v/>
      </c>
      <c r="E8042">
        <f>IF(D8042&lt;&gt;"KEEP","",IF(RIGHT(B8042,10)="@gmail.com","Gmail",IF(OR(RIGHT(B8042,12)="@outlook.com",RIGHT(B8042,12)="@hotmail.com",RIGHT(B8042,9)="@live.com"),"Outlook","Domain")))</f>
        <v/>
      </c>
      <c r="F8042">
        <f>IF(B8042="","",IFERROR(RIGHT(B8042,LEN(B8042)-FIND("@",B8042)),""))</f>
        <v/>
      </c>
      <c r="G8042">
        <f>IF(D8042="KEEP",COUNTIF($D$2:D8042,"KEEP"),"")</f>
        <v/>
      </c>
      <c r="H8042">
        <f>IF(D8042="REMOVE",COUNTIF($D$2:D8042,"REMOVE"),"")</f>
        <v/>
      </c>
      <c r="I8042">
        <f>IF(E8042="Gmail",COUNTIF($E$2:E8042,"Gmail"),"")</f>
        <v/>
      </c>
      <c r="J8042">
        <f>IF(E8042="Outlook",COUNTIF($E$2:E8042,"Outlook"),"")</f>
        <v/>
      </c>
      <c r="K8042">
        <f>IF(E8042="Domain",COUNTIF($E$2:E8042,"Domain"),"")</f>
        <v/>
      </c>
    </row>
    <row r="8043">
      <c r="A8043" s="2" t="n"/>
      <c r="B8043">
        <f>LOWER(TRIM(A8043))</f>
        <v/>
      </c>
      <c r="C8043">
        <f>IF(B8043="","",IFERROR(INDEX('Bad Patterns'!$A$2:$A$120,MATCH(1,INDEX(--ISNUMBER(SEARCH('Bad Patterns'!$A$2:$A$120,B8043)),0),0)),""))</f>
        <v/>
      </c>
      <c r="D8043">
        <f>IF(B8043="","",IF(C8043&lt;&gt;"","REMOVE","KEEP"))</f>
        <v/>
      </c>
      <c r="E8043">
        <f>IF(D8043&lt;&gt;"KEEP","",IF(RIGHT(B8043,10)="@gmail.com","Gmail",IF(OR(RIGHT(B8043,12)="@outlook.com",RIGHT(B8043,12)="@hotmail.com",RIGHT(B8043,9)="@live.com"),"Outlook","Domain")))</f>
        <v/>
      </c>
      <c r="F8043">
        <f>IF(B8043="","",IFERROR(RIGHT(B8043,LEN(B8043)-FIND("@",B8043)),""))</f>
        <v/>
      </c>
      <c r="G8043">
        <f>IF(D8043="KEEP",COUNTIF($D$2:D8043,"KEEP"),"")</f>
        <v/>
      </c>
      <c r="H8043">
        <f>IF(D8043="REMOVE",COUNTIF($D$2:D8043,"REMOVE"),"")</f>
        <v/>
      </c>
      <c r="I8043">
        <f>IF(E8043="Gmail",COUNTIF($E$2:E8043,"Gmail"),"")</f>
        <v/>
      </c>
      <c r="J8043">
        <f>IF(E8043="Outlook",COUNTIF($E$2:E8043,"Outlook"),"")</f>
        <v/>
      </c>
      <c r="K8043">
        <f>IF(E8043="Domain",COUNTIF($E$2:E8043,"Domain"),"")</f>
        <v/>
      </c>
    </row>
    <row r="8044">
      <c r="A8044" s="2" t="n"/>
      <c r="B8044">
        <f>LOWER(TRIM(A8044))</f>
        <v/>
      </c>
      <c r="C8044">
        <f>IF(B8044="","",IFERROR(INDEX('Bad Patterns'!$A$2:$A$120,MATCH(1,INDEX(--ISNUMBER(SEARCH('Bad Patterns'!$A$2:$A$120,B8044)),0),0)),""))</f>
        <v/>
      </c>
      <c r="D8044">
        <f>IF(B8044="","",IF(C8044&lt;&gt;"","REMOVE","KEEP"))</f>
        <v/>
      </c>
      <c r="E8044">
        <f>IF(D8044&lt;&gt;"KEEP","",IF(RIGHT(B8044,10)="@gmail.com","Gmail",IF(OR(RIGHT(B8044,12)="@outlook.com",RIGHT(B8044,12)="@hotmail.com",RIGHT(B8044,9)="@live.com"),"Outlook","Domain")))</f>
        <v/>
      </c>
      <c r="F8044">
        <f>IF(B8044="","",IFERROR(RIGHT(B8044,LEN(B8044)-FIND("@",B8044)),""))</f>
        <v/>
      </c>
      <c r="G8044">
        <f>IF(D8044="KEEP",COUNTIF($D$2:D8044,"KEEP"),"")</f>
        <v/>
      </c>
      <c r="H8044">
        <f>IF(D8044="REMOVE",COUNTIF($D$2:D8044,"REMOVE"),"")</f>
        <v/>
      </c>
      <c r="I8044">
        <f>IF(E8044="Gmail",COUNTIF($E$2:E8044,"Gmail"),"")</f>
        <v/>
      </c>
      <c r="J8044">
        <f>IF(E8044="Outlook",COUNTIF($E$2:E8044,"Outlook"),"")</f>
        <v/>
      </c>
      <c r="K8044">
        <f>IF(E8044="Domain",COUNTIF($E$2:E8044,"Domain"),"")</f>
        <v/>
      </c>
    </row>
    <row r="8045">
      <c r="A8045" s="2" t="n"/>
      <c r="B8045">
        <f>LOWER(TRIM(A8045))</f>
        <v/>
      </c>
      <c r="C8045">
        <f>IF(B8045="","",IFERROR(INDEX('Bad Patterns'!$A$2:$A$120,MATCH(1,INDEX(--ISNUMBER(SEARCH('Bad Patterns'!$A$2:$A$120,B8045)),0),0)),""))</f>
        <v/>
      </c>
      <c r="D8045">
        <f>IF(B8045="","",IF(C8045&lt;&gt;"","REMOVE","KEEP"))</f>
        <v/>
      </c>
      <c r="E8045">
        <f>IF(D8045&lt;&gt;"KEEP","",IF(RIGHT(B8045,10)="@gmail.com","Gmail",IF(OR(RIGHT(B8045,12)="@outlook.com",RIGHT(B8045,12)="@hotmail.com",RIGHT(B8045,9)="@live.com"),"Outlook","Domain")))</f>
        <v/>
      </c>
      <c r="F8045">
        <f>IF(B8045="","",IFERROR(RIGHT(B8045,LEN(B8045)-FIND("@",B8045)),""))</f>
        <v/>
      </c>
      <c r="G8045">
        <f>IF(D8045="KEEP",COUNTIF($D$2:D8045,"KEEP"),"")</f>
        <v/>
      </c>
      <c r="H8045">
        <f>IF(D8045="REMOVE",COUNTIF($D$2:D8045,"REMOVE"),"")</f>
        <v/>
      </c>
      <c r="I8045">
        <f>IF(E8045="Gmail",COUNTIF($E$2:E8045,"Gmail"),"")</f>
        <v/>
      </c>
      <c r="J8045">
        <f>IF(E8045="Outlook",COUNTIF($E$2:E8045,"Outlook"),"")</f>
        <v/>
      </c>
      <c r="K8045">
        <f>IF(E8045="Domain",COUNTIF($E$2:E8045,"Domain"),"")</f>
        <v/>
      </c>
    </row>
    <row r="8046">
      <c r="A8046" s="2" t="n"/>
      <c r="B8046">
        <f>LOWER(TRIM(A8046))</f>
        <v/>
      </c>
      <c r="C8046">
        <f>IF(B8046="","",IFERROR(INDEX('Bad Patterns'!$A$2:$A$120,MATCH(1,INDEX(--ISNUMBER(SEARCH('Bad Patterns'!$A$2:$A$120,B8046)),0),0)),""))</f>
        <v/>
      </c>
      <c r="D8046">
        <f>IF(B8046="","",IF(C8046&lt;&gt;"","REMOVE","KEEP"))</f>
        <v/>
      </c>
      <c r="E8046">
        <f>IF(D8046&lt;&gt;"KEEP","",IF(RIGHT(B8046,10)="@gmail.com","Gmail",IF(OR(RIGHT(B8046,12)="@outlook.com",RIGHT(B8046,12)="@hotmail.com",RIGHT(B8046,9)="@live.com"),"Outlook","Domain")))</f>
        <v/>
      </c>
      <c r="F8046">
        <f>IF(B8046="","",IFERROR(RIGHT(B8046,LEN(B8046)-FIND("@",B8046)),""))</f>
        <v/>
      </c>
      <c r="G8046">
        <f>IF(D8046="KEEP",COUNTIF($D$2:D8046,"KEEP"),"")</f>
        <v/>
      </c>
      <c r="H8046">
        <f>IF(D8046="REMOVE",COUNTIF($D$2:D8046,"REMOVE"),"")</f>
        <v/>
      </c>
      <c r="I8046">
        <f>IF(E8046="Gmail",COUNTIF($E$2:E8046,"Gmail"),"")</f>
        <v/>
      </c>
      <c r="J8046">
        <f>IF(E8046="Outlook",COUNTIF($E$2:E8046,"Outlook"),"")</f>
        <v/>
      </c>
      <c r="K8046">
        <f>IF(E8046="Domain",COUNTIF($E$2:E8046,"Domain"),"")</f>
        <v/>
      </c>
    </row>
    <row r="8047">
      <c r="A8047" s="2" t="n"/>
      <c r="B8047">
        <f>LOWER(TRIM(A8047))</f>
        <v/>
      </c>
      <c r="C8047">
        <f>IF(B8047="","",IFERROR(INDEX('Bad Patterns'!$A$2:$A$120,MATCH(1,INDEX(--ISNUMBER(SEARCH('Bad Patterns'!$A$2:$A$120,B8047)),0),0)),""))</f>
        <v/>
      </c>
      <c r="D8047">
        <f>IF(B8047="","",IF(C8047&lt;&gt;"","REMOVE","KEEP"))</f>
        <v/>
      </c>
      <c r="E8047">
        <f>IF(D8047&lt;&gt;"KEEP","",IF(RIGHT(B8047,10)="@gmail.com","Gmail",IF(OR(RIGHT(B8047,12)="@outlook.com",RIGHT(B8047,12)="@hotmail.com",RIGHT(B8047,9)="@live.com"),"Outlook","Domain")))</f>
        <v/>
      </c>
      <c r="F8047">
        <f>IF(B8047="","",IFERROR(RIGHT(B8047,LEN(B8047)-FIND("@",B8047)),""))</f>
        <v/>
      </c>
      <c r="G8047">
        <f>IF(D8047="KEEP",COUNTIF($D$2:D8047,"KEEP"),"")</f>
        <v/>
      </c>
      <c r="H8047">
        <f>IF(D8047="REMOVE",COUNTIF($D$2:D8047,"REMOVE"),"")</f>
        <v/>
      </c>
      <c r="I8047">
        <f>IF(E8047="Gmail",COUNTIF($E$2:E8047,"Gmail"),"")</f>
        <v/>
      </c>
      <c r="J8047">
        <f>IF(E8047="Outlook",COUNTIF($E$2:E8047,"Outlook"),"")</f>
        <v/>
      </c>
      <c r="K8047">
        <f>IF(E8047="Domain",COUNTIF($E$2:E8047,"Domain"),"")</f>
        <v/>
      </c>
    </row>
    <row r="8048">
      <c r="A8048" s="2" t="n"/>
      <c r="B8048">
        <f>LOWER(TRIM(A8048))</f>
        <v/>
      </c>
      <c r="C8048">
        <f>IF(B8048="","",IFERROR(INDEX('Bad Patterns'!$A$2:$A$120,MATCH(1,INDEX(--ISNUMBER(SEARCH('Bad Patterns'!$A$2:$A$120,B8048)),0),0)),""))</f>
        <v/>
      </c>
      <c r="D8048">
        <f>IF(B8048="","",IF(C8048&lt;&gt;"","REMOVE","KEEP"))</f>
        <v/>
      </c>
      <c r="E8048">
        <f>IF(D8048&lt;&gt;"KEEP","",IF(RIGHT(B8048,10)="@gmail.com","Gmail",IF(OR(RIGHT(B8048,12)="@outlook.com",RIGHT(B8048,12)="@hotmail.com",RIGHT(B8048,9)="@live.com"),"Outlook","Domain")))</f>
        <v/>
      </c>
      <c r="F8048">
        <f>IF(B8048="","",IFERROR(RIGHT(B8048,LEN(B8048)-FIND("@",B8048)),""))</f>
        <v/>
      </c>
      <c r="G8048">
        <f>IF(D8048="KEEP",COUNTIF($D$2:D8048,"KEEP"),"")</f>
        <v/>
      </c>
      <c r="H8048">
        <f>IF(D8048="REMOVE",COUNTIF($D$2:D8048,"REMOVE"),"")</f>
        <v/>
      </c>
      <c r="I8048">
        <f>IF(E8048="Gmail",COUNTIF($E$2:E8048,"Gmail"),"")</f>
        <v/>
      </c>
      <c r="J8048">
        <f>IF(E8048="Outlook",COUNTIF($E$2:E8048,"Outlook"),"")</f>
        <v/>
      </c>
      <c r="K8048">
        <f>IF(E8048="Domain",COUNTIF($E$2:E8048,"Domain"),"")</f>
        <v/>
      </c>
    </row>
    <row r="8049">
      <c r="A8049" s="2" t="n"/>
      <c r="B8049">
        <f>LOWER(TRIM(A8049))</f>
        <v/>
      </c>
      <c r="C8049">
        <f>IF(B8049="","",IFERROR(INDEX('Bad Patterns'!$A$2:$A$120,MATCH(1,INDEX(--ISNUMBER(SEARCH('Bad Patterns'!$A$2:$A$120,B8049)),0),0)),""))</f>
        <v/>
      </c>
      <c r="D8049">
        <f>IF(B8049="","",IF(C8049&lt;&gt;"","REMOVE","KEEP"))</f>
        <v/>
      </c>
      <c r="E8049">
        <f>IF(D8049&lt;&gt;"KEEP","",IF(RIGHT(B8049,10)="@gmail.com","Gmail",IF(OR(RIGHT(B8049,12)="@outlook.com",RIGHT(B8049,12)="@hotmail.com",RIGHT(B8049,9)="@live.com"),"Outlook","Domain")))</f>
        <v/>
      </c>
      <c r="F8049">
        <f>IF(B8049="","",IFERROR(RIGHT(B8049,LEN(B8049)-FIND("@",B8049)),""))</f>
        <v/>
      </c>
      <c r="G8049">
        <f>IF(D8049="KEEP",COUNTIF($D$2:D8049,"KEEP"),"")</f>
        <v/>
      </c>
      <c r="H8049">
        <f>IF(D8049="REMOVE",COUNTIF($D$2:D8049,"REMOVE"),"")</f>
        <v/>
      </c>
      <c r="I8049">
        <f>IF(E8049="Gmail",COUNTIF($E$2:E8049,"Gmail"),"")</f>
        <v/>
      </c>
      <c r="J8049">
        <f>IF(E8049="Outlook",COUNTIF($E$2:E8049,"Outlook"),"")</f>
        <v/>
      </c>
      <c r="K8049">
        <f>IF(E8049="Domain",COUNTIF($E$2:E8049,"Domain"),"")</f>
        <v/>
      </c>
    </row>
    <row r="8050">
      <c r="A8050" s="2" t="n"/>
      <c r="B8050">
        <f>LOWER(TRIM(A8050))</f>
        <v/>
      </c>
      <c r="C8050">
        <f>IF(B8050="","",IFERROR(INDEX('Bad Patterns'!$A$2:$A$120,MATCH(1,INDEX(--ISNUMBER(SEARCH('Bad Patterns'!$A$2:$A$120,B8050)),0),0)),""))</f>
        <v/>
      </c>
      <c r="D8050">
        <f>IF(B8050="","",IF(C8050&lt;&gt;"","REMOVE","KEEP"))</f>
        <v/>
      </c>
      <c r="E8050">
        <f>IF(D8050&lt;&gt;"KEEP","",IF(RIGHT(B8050,10)="@gmail.com","Gmail",IF(OR(RIGHT(B8050,12)="@outlook.com",RIGHT(B8050,12)="@hotmail.com",RIGHT(B8050,9)="@live.com"),"Outlook","Domain")))</f>
        <v/>
      </c>
      <c r="F8050">
        <f>IF(B8050="","",IFERROR(RIGHT(B8050,LEN(B8050)-FIND("@",B8050)),""))</f>
        <v/>
      </c>
      <c r="G8050">
        <f>IF(D8050="KEEP",COUNTIF($D$2:D8050,"KEEP"),"")</f>
        <v/>
      </c>
      <c r="H8050">
        <f>IF(D8050="REMOVE",COUNTIF($D$2:D8050,"REMOVE"),"")</f>
        <v/>
      </c>
      <c r="I8050">
        <f>IF(E8050="Gmail",COUNTIF($E$2:E8050,"Gmail"),"")</f>
        <v/>
      </c>
      <c r="J8050">
        <f>IF(E8050="Outlook",COUNTIF($E$2:E8050,"Outlook"),"")</f>
        <v/>
      </c>
      <c r="K8050">
        <f>IF(E8050="Domain",COUNTIF($E$2:E8050,"Domain"),"")</f>
        <v/>
      </c>
    </row>
    <row r="8051">
      <c r="A8051" s="2" t="n"/>
      <c r="B8051">
        <f>LOWER(TRIM(A8051))</f>
        <v/>
      </c>
      <c r="C8051">
        <f>IF(B8051="","",IFERROR(INDEX('Bad Patterns'!$A$2:$A$120,MATCH(1,INDEX(--ISNUMBER(SEARCH('Bad Patterns'!$A$2:$A$120,B8051)),0),0)),""))</f>
        <v/>
      </c>
      <c r="D8051">
        <f>IF(B8051="","",IF(C8051&lt;&gt;"","REMOVE","KEEP"))</f>
        <v/>
      </c>
      <c r="E8051">
        <f>IF(D8051&lt;&gt;"KEEP","",IF(RIGHT(B8051,10)="@gmail.com","Gmail",IF(OR(RIGHT(B8051,12)="@outlook.com",RIGHT(B8051,12)="@hotmail.com",RIGHT(B8051,9)="@live.com"),"Outlook","Domain")))</f>
        <v/>
      </c>
      <c r="F8051">
        <f>IF(B8051="","",IFERROR(RIGHT(B8051,LEN(B8051)-FIND("@",B8051)),""))</f>
        <v/>
      </c>
      <c r="G8051">
        <f>IF(D8051="KEEP",COUNTIF($D$2:D8051,"KEEP"),"")</f>
        <v/>
      </c>
      <c r="H8051">
        <f>IF(D8051="REMOVE",COUNTIF($D$2:D8051,"REMOVE"),"")</f>
        <v/>
      </c>
      <c r="I8051">
        <f>IF(E8051="Gmail",COUNTIF($E$2:E8051,"Gmail"),"")</f>
        <v/>
      </c>
      <c r="J8051">
        <f>IF(E8051="Outlook",COUNTIF($E$2:E8051,"Outlook"),"")</f>
        <v/>
      </c>
      <c r="K8051">
        <f>IF(E8051="Domain",COUNTIF($E$2:E8051,"Domain"),"")</f>
        <v/>
      </c>
    </row>
    <row r="8052">
      <c r="A8052" s="2" t="n"/>
      <c r="B8052">
        <f>LOWER(TRIM(A8052))</f>
        <v/>
      </c>
      <c r="C8052">
        <f>IF(B8052="","",IFERROR(INDEX('Bad Patterns'!$A$2:$A$120,MATCH(1,INDEX(--ISNUMBER(SEARCH('Bad Patterns'!$A$2:$A$120,B8052)),0),0)),""))</f>
        <v/>
      </c>
      <c r="D8052">
        <f>IF(B8052="","",IF(C8052&lt;&gt;"","REMOVE","KEEP"))</f>
        <v/>
      </c>
      <c r="E8052">
        <f>IF(D8052&lt;&gt;"KEEP","",IF(RIGHT(B8052,10)="@gmail.com","Gmail",IF(OR(RIGHT(B8052,12)="@outlook.com",RIGHT(B8052,12)="@hotmail.com",RIGHT(B8052,9)="@live.com"),"Outlook","Domain")))</f>
        <v/>
      </c>
      <c r="F8052">
        <f>IF(B8052="","",IFERROR(RIGHT(B8052,LEN(B8052)-FIND("@",B8052)),""))</f>
        <v/>
      </c>
      <c r="G8052">
        <f>IF(D8052="KEEP",COUNTIF($D$2:D8052,"KEEP"),"")</f>
        <v/>
      </c>
      <c r="H8052">
        <f>IF(D8052="REMOVE",COUNTIF($D$2:D8052,"REMOVE"),"")</f>
        <v/>
      </c>
      <c r="I8052">
        <f>IF(E8052="Gmail",COUNTIF($E$2:E8052,"Gmail"),"")</f>
        <v/>
      </c>
      <c r="J8052">
        <f>IF(E8052="Outlook",COUNTIF($E$2:E8052,"Outlook"),"")</f>
        <v/>
      </c>
      <c r="K8052">
        <f>IF(E8052="Domain",COUNTIF($E$2:E8052,"Domain"),"")</f>
        <v/>
      </c>
    </row>
    <row r="8053">
      <c r="A8053" s="2" t="n"/>
      <c r="B8053">
        <f>LOWER(TRIM(A8053))</f>
        <v/>
      </c>
      <c r="C8053">
        <f>IF(B8053="","",IFERROR(INDEX('Bad Patterns'!$A$2:$A$120,MATCH(1,INDEX(--ISNUMBER(SEARCH('Bad Patterns'!$A$2:$A$120,B8053)),0),0)),""))</f>
        <v/>
      </c>
      <c r="D8053">
        <f>IF(B8053="","",IF(C8053&lt;&gt;"","REMOVE","KEEP"))</f>
        <v/>
      </c>
      <c r="E8053">
        <f>IF(D8053&lt;&gt;"KEEP","",IF(RIGHT(B8053,10)="@gmail.com","Gmail",IF(OR(RIGHT(B8053,12)="@outlook.com",RIGHT(B8053,12)="@hotmail.com",RIGHT(B8053,9)="@live.com"),"Outlook","Domain")))</f>
        <v/>
      </c>
      <c r="F8053">
        <f>IF(B8053="","",IFERROR(RIGHT(B8053,LEN(B8053)-FIND("@",B8053)),""))</f>
        <v/>
      </c>
      <c r="G8053">
        <f>IF(D8053="KEEP",COUNTIF($D$2:D8053,"KEEP"),"")</f>
        <v/>
      </c>
      <c r="H8053">
        <f>IF(D8053="REMOVE",COUNTIF($D$2:D8053,"REMOVE"),"")</f>
        <v/>
      </c>
      <c r="I8053">
        <f>IF(E8053="Gmail",COUNTIF($E$2:E8053,"Gmail"),"")</f>
        <v/>
      </c>
      <c r="J8053">
        <f>IF(E8053="Outlook",COUNTIF($E$2:E8053,"Outlook"),"")</f>
        <v/>
      </c>
      <c r="K8053">
        <f>IF(E8053="Domain",COUNTIF($E$2:E8053,"Domain"),"")</f>
        <v/>
      </c>
    </row>
    <row r="8054">
      <c r="A8054" s="2" t="n"/>
      <c r="B8054">
        <f>LOWER(TRIM(A8054))</f>
        <v/>
      </c>
      <c r="C8054">
        <f>IF(B8054="","",IFERROR(INDEX('Bad Patterns'!$A$2:$A$120,MATCH(1,INDEX(--ISNUMBER(SEARCH('Bad Patterns'!$A$2:$A$120,B8054)),0),0)),""))</f>
        <v/>
      </c>
      <c r="D8054">
        <f>IF(B8054="","",IF(C8054&lt;&gt;"","REMOVE","KEEP"))</f>
        <v/>
      </c>
      <c r="E8054">
        <f>IF(D8054&lt;&gt;"KEEP","",IF(RIGHT(B8054,10)="@gmail.com","Gmail",IF(OR(RIGHT(B8054,12)="@outlook.com",RIGHT(B8054,12)="@hotmail.com",RIGHT(B8054,9)="@live.com"),"Outlook","Domain")))</f>
        <v/>
      </c>
      <c r="F8054">
        <f>IF(B8054="","",IFERROR(RIGHT(B8054,LEN(B8054)-FIND("@",B8054)),""))</f>
        <v/>
      </c>
      <c r="G8054">
        <f>IF(D8054="KEEP",COUNTIF($D$2:D8054,"KEEP"),"")</f>
        <v/>
      </c>
      <c r="H8054">
        <f>IF(D8054="REMOVE",COUNTIF($D$2:D8054,"REMOVE"),"")</f>
        <v/>
      </c>
      <c r="I8054">
        <f>IF(E8054="Gmail",COUNTIF($E$2:E8054,"Gmail"),"")</f>
        <v/>
      </c>
      <c r="J8054">
        <f>IF(E8054="Outlook",COUNTIF($E$2:E8054,"Outlook"),"")</f>
        <v/>
      </c>
      <c r="K8054">
        <f>IF(E8054="Domain",COUNTIF($E$2:E8054,"Domain"),"")</f>
        <v/>
      </c>
    </row>
    <row r="8055">
      <c r="A8055" s="2" t="n"/>
      <c r="B8055">
        <f>LOWER(TRIM(A8055))</f>
        <v/>
      </c>
      <c r="C8055">
        <f>IF(B8055="","",IFERROR(INDEX('Bad Patterns'!$A$2:$A$120,MATCH(1,INDEX(--ISNUMBER(SEARCH('Bad Patterns'!$A$2:$A$120,B8055)),0),0)),""))</f>
        <v/>
      </c>
      <c r="D8055">
        <f>IF(B8055="","",IF(C8055&lt;&gt;"","REMOVE","KEEP"))</f>
        <v/>
      </c>
      <c r="E8055">
        <f>IF(D8055&lt;&gt;"KEEP","",IF(RIGHT(B8055,10)="@gmail.com","Gmail",IF(OR(RIGHT(B8055,12)="@outlook.com",RIGHT(B8055,12)="@hotmail.com",RIGHT(B8055,9)="@live.com"),"Outlook","Domain")))</f>
        <v/>
      </c>
      <c r="F8055">
        <f>IF(B8055="","",IFERROR(RIGHT(B8055,LEN(B8055)-FIND("@",B8055)),""))</f>
        <v/>
      </c>
      <c r="G8055">
        <f>IF(D8055="KEEP",COUNTIF($D$2:D8055,"KEEP"),"")</f>
        <v/>
      </c>
      <c r="H8055">
        <f>IF(D8055="REMOVE",COUNTIF($D$2:D8055,"REMOVE"),"")</f>
        <v/>
      </c>
      <c r="I8055">
        <f>IF(E8055="Gmail",COUNTIF($E$2:E8055,"Gmail"),"")</f>
        <v/>
      </c>
      <c r="J8055">
        <f>IF(E8055="Outlook",COUNTIF($E$2:E8055,"Outlook"),"")</f>
        <v/>
      </c>
      <c r="K8055">
        <f>IF(E8055="Domain",COUNTIF($E$2:E8055,"Domain"),"")</f>
        <v/>
      </c>
    </row>
    <row r="8056">
      <c r="A8056" s="2" t="n"/>
      <c r="B8056">
        <f>LOWER(TRIM(A8056))</f>
        <v/>
      </c>
      <c r="C8056">
        <f>IF(B8056="","",IFERROR(INDEX('Bad Patterns'!$A$2:$A$120,MATCH(1,INDEX(--ISNUMBER(SEARCH('Bad Patterns'!$A$2:$A$120,B8056)),0),0)),""))</f>
        <v/>
      </c>
      <c r="D8056">
        <f>IF(B8056="","",IF(C8056&lt;&gt;"","REMOVE","KEEP"))</f>
        <v/>
      </c>
      <c r="E8056">
        <f>IF(D8056&lt;&gt;"KEEP","",IF(RIGHT(B8056,10)="@gmail.com","Gmail",IF(OR(RIGHT(B8056,12)="@outlook.com",RIGHT(B8056,12)="@hotmail.com",RIGHT(B8056,9)="@live.com"),"Outlook","Domain")))</f>
        <v/>
      </c>
      <c r="F8056">
        <f>IF(B8056="","",IFERROR(RIGHT(B8056,LEN(B8056)-FIND("@",B8056)),""))</f>
        <v/>
      </c>
      <c r="G8056">
        <f>IF(D8056="KEEP",COUNTIF($D$2:D8056,"KEEP"),"")</f>
        <v/>
      </c>
      <c r="H8056">
        <f>IF(D8056="REMOVE",COUNTIF($D$2:D8056,"REMOVE"),"")</f>
        <v/>
      </c>
      <c r="I8056">
        <f>IF(E8056="Gmail",COUNTIF($E$2:E8056,"Gmail"),"")</f>
        <v/>
      </c>
      <c r="J8056">
        <f>IF(E8056="Outlook",COUNTIF($E$2:E8056,"Outlook"),"")</f>
        <v/>
      </c>
      <c r="K8056">
        <f>IF(E8056="Domain",COUNTIF($E$2:E8056,"Domain"),"")</f>
        <v/>
      </c>
    </row>
    <row r="8057">
      <c r="A8057" s="2" t="n"/>
      <c r="B8057">
        <f>LOWER(TRIM(A8057))</f>
        <v/>
      </c>
      <c r="C8057">
        <f>IF(B8057="","",IFERROR(INDEX('Bad Patterns'!$A$2:$A$120,MATCH(1,INDEX(--ISNUMBER(SEARCH('Bad Patterns'!$A$2:$A$120,B8057)),0),0)),""))</f>
        <v/>
      </c>
      <c r="D8057">
        <f>IF(B8057="","",IF(C8057&lt;&gt;"","REMOVE","KEEP"))</f>
        <v/>
      </c>
      <c r="E8057">
        <f>IF(D8057&lt;&gt;"KEEP","",IF(RIGHT(B8057,10)="@gmail.com","Gmail",IF(OR(RIGHT(B8057,12)="@outlook.com",RIGHT(B8057,12)="@hotmail.com",RIGHT(B8057,9)="@live.com"),"Outlook","Domain")))</f>
        <v/>
      </c>
      <c r="F8057">
        <f>IF(B8057="","",IFERROR(RIGHT(B8057,LEN(B8057)-FIND("@",B8057)),""))</f>
        <v/>
      </c>
      <c r="G8057">
        <f>IF(D8057="KEEP",COUNTIF($D$2:D8057,"KEEP"),"")</f>
        <v/>
      </c>
      <c r="H8057">
        <f>IF(D8057="REMOVE",COUNTIF($D$2:D8057,"REMOVE"),"")</f>
        <v/>
      </c>
      <c r="I8057">
        <f>IF(E8057="Gmail",COUNTIF($E$2:E8057,"Gmail"),"")</f>
        <v/>
      </c>
      <c r="J8057">
        <f>IF(E8057="Outlook",COUNTIF($E$2:E8057,"Outlook"),"")</f>
        <v/>
      </c>
      <c r="K8057">
        <f>IF(E8057="Domain",COUNTIF($E$2:E8057,"Domain"),"")</f>
        <v/>
      </c>
    </row>
    <row r="8058">
      <c r="A8058" s="2" t="n"/>
      <c r="B8058">
        <f>LOWER(TRIM(A8058))</f>
        <v/>
      </c>
      <c r="C8058">
        <f>IF(B8058="","",IFERROR(INDEX('Bad Patterns'!$A$2:$A$120,MATCH(1,INDEX(--ISNUMBER(SEARCH('Bad Patterns'!$A$2:$A$120,B8058)),0),0)),""))</f>
        <v/>
      </c>
      <c r="D8058">
        <f>IF(B8058="","",IF(C8058&lt;&gt;"","REMOVE","KEEP"))</f>
        <v/>
      </c>
      <c r="E8058">
        <f>IF(D8058&lt;&gt;"KEEP","",IF(RIGHT(B8058,10)="@gmail.com","Gmail",IF(OR(RIGHT(B8058,12)="@outlook.com",RIGHT(B8058,12)="@hotmail.com",RIGHT(B8058,9)="@live.com"),"Outlook","Domain")))</f>
        <v/>
      </c>
      <c r="F8058">
        <f>IF(B8058="","",IFERROR(RIGHT(B8058,LEN(B8058)-FIND("@",B8058)),""))</f>
        <v/>
      </c>
      <c r="G8058">
        <f>IF(D8058="KEEP",COUNTIF($D$2:D8058,"KEEP"),"")</f>
        <v/>
      </c>
      <c r="H8058">
        <f>IF(D8058="REMOVE",COUNTIF($D$2:D8058,"REMOVE"),"")</f>
        <v/>
      </c>
      <c r="I8058">
        <f>IF(E8058="Gmail",COUNTIF($E$2:E8058,"Gmail"),"")</f>
        <v/>
      </c>
      <c r="J8058">
        <f>IF(E8058="Outlook",COUNTIF($E$2:E8058,"Outlook"),"")</f>
        <v/>
      </c>
      <c r="K8058">
        <f>IF(E8058="Domain",COUNTIF($E$2:E8058,"Domain"),"")</f>
        <v/>
      </c>
    </row>
    <row r="8059">
      <c r="A8059" s="2" t="n"/>
      <c r="B8059">
        <f>LOWER(TRIM(A8059))</f>
        <v/>
      </c>
      <c r="C8059">
        <f>IF(B8059="","",IFERROR(INDEX('Bad Patterns'!$A$2:$A$120,MATCH(1,INDEX(--ISNUMBER(SEARCH('Bad Patterns'!$A$2:$A$120,B8059)),0),0)),""))</f>
        <v/>
      </c>
      <c r="D8059">
        <f>IF(B8059="","",IF(C8059&lt;&gt;"","REMOVE","KEEP"))</f>
        <v/>
      </c>
      <c r="E8059">
        <f>IF(D8059&lt;&gt;"KEEP","",IF(RIGHT(B8059,10)="@gmail.com","Gmail",IF(OR(RIGHT(B8059,12)="@outlook.com",RIGHT(B8059,12)="@hotmail.com",RIGHT(B8059,9)="@live.com"),"Outlook","Domain")))</f>
        <v/>
      </c>
      <c r="F8059">
        <f>IF(B8059="","",IFERROR(RIGHT(B8059,LEN(B8059)-FIND("@",B8059)),""))</f>
        <v/>
      </c>
      <c r="G8059">
        <f>IF(D8059="KEEP",COUNTIF($D$2:D8059,"KEEP"),"")</f>
        <v/>
      </c>
      <c r="H8059">
        <f>IF(D8059="REMOVE",COUNTIF($D$2:D8059,"REMOVE"),"")</f>
        <v/>
      </c>
      <c r="I8059">
        <f>IF(E8059="Gmail",COUNTIF($E$2:E8059,"Gmail"),"")</f>
        <v/>
      </c>
      <c r="J8059">
        <f>IF(E8059="Outlook",COUNTIF($E$2:E8059,"Outlook"),"")</f>
        <v/>
      </c>
      <c r="K8059">
        <f>IF(E8059="Domain",COUNTIF($E$2:E8059,"Domain"),"")</f>
        <v/>
      </c>
    </row>
    <row r="8060">
      <c r="A8060" s="2" t="n"/>
      <c r="B8060">
        <f>LOWER(TRIM(A8060))</f>
        <v/>
      </c>
      <c r="C8060">
        <f>IF(B8060="","",IFERROR(INDEX('Bad Patterns'!$A$2:$A$120,MATCH(1,INDEX(--ISNUMBER(SEARCH('Bad Patterns'!$A$2:$A$120,B8060)),0),0)),""))</f>
        <v/>
      </c>
      <c r="D8060">
        <f>IF(B8060="","",IF(C8060&lt;&gt;"","REMOVE","KEEP"))</f>
        <v/>
      </c>
      <c r="E8060">
        <f>IF(D8060&lt;&gt;"KEEP","",IF(RIGHT(B8060,10)="@gmail.com","Gmail",IF(OR(RIGHT(B8060,12)="@outlook.com",RIGHT(B8060,12)="@hotmail.com",RIGHT(B8060,9)="@live.com"),"Outlook","Domain")))</f>
        <v/>
      </c>
      <c r="F8060">
        <f>IF(B8060="","",IFERROR(RIGHT(B8060,LEN(B8060)-FIND("@",B8060)),""))</f>
        <v/>
      </c>
      <c r="G8060">
        <f>IF(D8060="KEEP",COUNTIF($D$2:D8060,"KEEP"),"")</f>
        <v/>
      </c>
      <c r="H8060">
        <f>IF(D8060="REMOVE",COUNTIF($D$2:D8060,"REMOVE"),"")</f>
        <v/>
      </c>
      <c r="I8060">
        <f>IF(E8060="Gmail",COUNTIF($E$2:E8060,"Gmail"),"")</f>
        <v/>
      </c>
      <c r="J8060">
        <f>IF(E8060="Outlook",COUNTIF($E$2:E8060,"Outlook"),"")</f>
        <v/>
      </c>
      <c r="K8060">
        <f>IF(E8060="Domain",COUNTIF($E$2:E8060,"Domain"),"")</f>
        <v/>
      </c>
    </row>
    <row r="8061">
      <c r="A8061" s="2" t="n"/>
      <c r="B8061">
        <f>LOWER(TRIM(A8061))</f>
        <v/>
      </c>
      <c r="C8061">
        <f>IF(B8061="","",IFERROR(INDEX('Bad Patterns'!$A$2:$A$120,MATCH(1,INDEX(--ISNUMBER(SEARCH('Bad Patterns'!$A$2:$A$120,B8061)),0),0)),""))</f>
        <v/>
      </c>
      <c r="D8061">
        <f>IF(B8061="","",IF(C8061&lt;&gt;"","REMOVE","KEEP"))</f>
        <v/>
      </c>
      <c r="E8061">
        <f>IF(D8061&lt;&gt;"KEEP","",IF(RIGHT(B8061,10)="@gmail.com","Gmail",IF(OR(RIGHT(B8061,12)="@outlook.com",RIGHT(B8061,12)="@hotmail.com",RIGHT(B8061,9)="@live.com"),"Outlook","Domain")))</f>
        <v/>
      </c>
      <c r="F8061">
        <f>IF(B8061="","",IFERROR(RIGHT(B8061,LEN(B8061)-FIND("@",B8061)),""))</f>
        <v/>
      </c>
      <c r="G8061">
        <f>IF(D8061="KEEP",COUNTIF($D$2:D8061,"KEEP"),"")</f>
        <v/>
      </c>
      <c r="H8061">
        <f>IF(D8061="REMOVE",COUNTIF($D$2:D8061,"REMOVE"),"")</f>
        <v/>
      </c>
      <c r="I8061">
        <f>IF(E8061="Gmail",COUNTIF($E$2:E8061,"Gmail"),"")</f>
        <v/>
      </c>
      <c r="J8061">
        <f>IF(E8061="Outlook",COUNTIF($E$2:E8061,"Outlook"),"")</f>
        <v/>
      </c>
      <c r="K8061">
        <f>IF(E8061="Domain",COUNTIF($E$2:E8061,"Domain"),"")</f>
        <v/>
      </c>
    </row>
    <row r="8062">
      <c r="A8062" s="2" t="n"/>
      <c r="B8062">
        <f>LOWER(TRIM(A8062))</f>
        <v/>
      </c>
      <c r="C8062">
        <f>IF(B8062="","",IFERROR(INDEX('Bad Patterns'!$A$2:$A$120,MATCH(1,INDEX(--ISNUMBER(SEARCH('Bad Patterns'!$A$2:$A$120,B8062)),0),0)),""))</f>
        <v/>
      </c>
      <c r="D8062">
        <f>IF(B8062="","",IF(C8062&lt;&gt;"","REMOVE","KEEP"))</f>
        <v/>
      </c>
      <c r="E8062">
        <f>IF(D8062&lt;&gt;"KEEP","",IF(RIGHT(B8062,10)="@gmail.com","Gmail",IF(OR(RIGHT(B8062,12)="@outlook.com",RIGHT(B8062,12)="@hotmail.com",RIGHT(B8062,9)="@live.com"),"Outlook","Domain")))</f>
        <v/>
      </c>
      <c r="F8062">
        <f>IF(B8062="","",IFERROR(RIGHT(B8062,LEN(B8062)-FIND("@",B8062)),""))</f>
        <v/>
      </c>
      <c r="G8062">
        <f>IF(D8062="KEEP",COUNTIF($D$2:D8062,"KEEP"),"")</f>
        <v/>
      </c>
      <c r="H8062">
        <f>IF(D8062="REMOVE",COUNTIF($D$2:D8062,"REMOVE"),"")</f>
        <v/>
      </c>
      <c r="I8062">
        <f>IF(E8062="Gmail",COUNTIF($E$2:E8062,"Gmail"),"")</f>
        <v/>
      </c>
      <c r="J8062">
        <f>IF(E8062="Outlook",COUNTIF($E$2:E8062,"Outlook"),"")</f>
        <v/>
      </c>
      <c r="K8062">
        <f>IF(E8062="Domain",COUNTIF($E$2:E8062,"Domain"),"")</f>
        <v/>
      </c>
    </row>
    <row r="8063">
      <c r="A8063" s="2" t="n"/>
      <c r="B8063">
        <f>LOWER(TRIM(A8063))</f>
        <v/>
      </c>
      <c r="C8063">
        <f>IF(B8063="","",IFERROR(INDEX('Bad Patterns'!$A$2:$A$120,MATCH(1,INDEX(--ISNUMBER(SEARCH('Bad Patterns'!$A$2:$A$120,B8063)),0),0)),""))</f>
        <v/>
      </c>
      <c r="D8063">
        <f>IF(B8063="","",IF(C8063&lt;&gt;"","REMOVE","KEEP"))</f>
        <v/>
      </c>
      <c r="E8063">
        <f>IF(D8063&lt;&gt;"KEEP","",IF(RIGHT(B8063,10)="@gmail.com","Gmail",IF(OR(RIGHT(B8063,12)="@outlook.com",RIGHT(B8063,12)="@hotmail.com",RIGHT(B8063,9)="@live.com"),"Outlook","Domain")))</f>
        <v/>
      </c>
      <c r="F8063">
        <f>IF(B8063="","",IFERROR(RIGHT(B8063,LEN(B8063)-FIND("@",B8063)),""))</f>
        <v/>
      </c>
      <c r="G8063">
        <f>IF(D8063="KEEP",COUNTIF($D$2:D8063,"KEEP"),"")</f>
        <v/>
      </c>
      <c r="H8063">
        <f>IF(D8063="REMOVE",COUNTIF($D$2:D8063,"REMOVE"),"")</f>
        <v/>
      </c>
      <c r="I8063">
        <f>IF(E8063="Gmail",COUNTIF($E$2:E8063,"Gmail"),"")</f>
        <v/>
      </c>
      <c r="J8063">
        <f>IF(E8063="Outlook",COUNTIF($E$2:E8063,"Outlook"),"")</f>
        <v/>
      </c>
      <c r="K8063">
        <f>IF(E8063="Domain",COUNTIF($E$2:E8063,"Domain"),"")</f>
        <v/>
      </c>
    </row>
    <row r="8064">
      <c r="A8064" s="2" t="n"/>
      <c r="B8064">
        <f>LOWER(TRIM(A8064))</f>
        <v/>
      </c>
      <c r="C8064">
        <f>IF(B8064="","",IFERROR(INDEX('Bad Patterns'!$A$2:$A$120,MATCH(1,INDEX(--ISNUMBER(SEARCH('Bad Patterns'!$A$2:$A$120,B8064)),0),0)),""))</f>
        <v/>
      </c>
      <c r="D8064">
        <f>IF(B8064="","",IF(C8064&lt;&gt;"","REMOVE","KEEP"))</f>
        <v/>
      </c>
      <c r="E8064">
        <f>IF(D8064&lt;&gt;"KEEP","",IF(RIGHT(B8064,10)="@gmail.com","Gmail",IF(OR(RIGHT(B8064,12)="@outlook.com",RIGHT(B8064,12)="@hotmail.com",RIGHT(B8064,9)="@live.com"),"Outlook","Domain")))</f>
        <v/>
      </c>
      <c r="F8064">
        <f>IF(B8064="","",IFERROR(RIGHT(B8064,LEN(B8064)-FIND("@",B8064)),""))</f>
        <v/>
      </c>
      <c r="G8064">
        <f>IF(D8064="KEEP",COUNTIF($D$2:D8064,"KEEP"),"")</f>
        <v/>
      </c>
      <c r="H8064">
        <f>IF(D8064="REMOVE",COUNTIF($D$2:D8064,"REMOVE"),"")</f>
        <v/>
      </c>
      <c r="I8064">
        <f>IF(E8064="Gmail",COUNTIF($E$2:E8064,"Gmail"),"")</f>
        <v/>
      </c>
      <c r="J8064">
        <f>IF(E8064="Outlook",COUNTIF($E$2:E8064,"Outlook"),"")</f>
        <v/>
      </c>
      <c r="K8064">
        <f>IF(E8064="Domain",COUNTIF($E$2:E8064,"Domain"),"")</f>
        <v/>
      </c>
    </row>
    <row r="8065">
      <c r="A8065" s="2" t="n"/>
      <c r="B8065">
        <f>LOWER(TRIM(A8065))</f>
        <v/>
      </c>
      <c r="C8065">
        <f>IF(B8065="","",IFERROR(INDEX('Bad Patterns'!$A$2:$A$120,MATCH(1,INDEX(--ISNUMBER(SEARCH('Bad Patterns'!$A$2:$A$120,B8065)),0),0)),""))</f>
        <v/>
      </c>
      <c r="D8065">
        <f>IF(B8065="","",IF(C8065&lt;&gt;"","REMOVE","KEEP"))</f>
        <v/>
      </c>
      <c r="E8065">
        <f>IF(D8065&lt;&gt;"KEEP","",IF(RIGHT(B8065,10)="@gmail.com","Gmail",IF(OR(RIGHT(B8065,12)="@outlook.com",RIGHT(B8065,12)="@hotmail.com",RIGHT(B8065,9)="@live.com"),"Outlook","Domain")))</f>
        <v/>
      </c>
      <c r="F8065">
        <f>IF(B8065="","",IFERROR(RIGHT(B8065,LEN(B8065)-FIND("@",B8065)),""))</f>
        <v/>
      </c>
      <c r="G8065">
        <f>IF(D8065="KEEP",COUNTIF($D$2:D8065,"KEEP"),"")</f>
        <v/>
      </c>
      <c r="H8065">
        <f>IF(D8065="REMOVE",COUNTIF($D$2:D8065,"REMOVE"),"")</f>
        <v/>
      </c>
      <c r="I8065">
        <f>IF(E8065="Gmail",COUNTIF($E$2:E8065,"Gmail"),"")</f>
        <v/>
      </c>
      <c r="J8065">
        <f>IF(E8065="Outlook",COUNTIF($E$2:E8065,"Outlook"),"")</f>
        <v/>
      </c>
      <c r="K8065">
        <f>IF(E8065="Domain",COUNTIF($E$2:E8065,"Domain"),"")</f>
        <v/>
      </c>
    </row>
    <row r="8066">
      <c r="A8066" s="2" t="n"/>
      <c r="B8066">
        <f>LOWER(TRIM(A8066))</f>
        <v/>
      </c>
      <c r="C8066">
        <f>IF(B8066="","",IFERROR(INDEX('Bad Patterns'!$A$2:$A$120,MATCH(1,INDEX(--ISNUMBER(SEARCH('Bad Patterns'!$A$2:$A$120,B8066)),0),0)),""))</f>
        <v/>
      </c>
      <c r="D8066">
        <f>IF(B8066="","",IF(C8066&lt;&gt;"","REMOVE","KEEP"))</f>
        <v/>
      </c>
      <c r="E8066">
        <f>IF(D8066&lt;&gt;"KEEP","",IF(RIGHT(B8066,10)="@gmail.com","Gmail",IF(OR(RIGHT(B8066,12)="@outlook.com",RIGHT(B8066,12)="@hotmail.com",RIGHT(B8066,9)="@live.com"),"Outlook","Domain")))</f>
        <v/>
      </c>
      <c r="F8066">
        <f>IF(B8066="","",IFERROR(RIGHT(B8066,LEN(B8066)-FIND("@",B8066)),""))</f>
        <v/>
      </c>
      <c r="G8066">
        <f>IF(D8066="KEEP",COUNTIF($D$2:D8066,"KEEP"),"")</f>
        <v/>
      </c>
      <c r="H8066">
        <f>IF(D8066="REMOVE",COUNTIF($D$2:D8066,"REMOVE"),"")</f>
        <v/>
      </c>
      <c r="I8066">
        <f>IF(E8066="Gmail",COUNTIF($E$2:E8066,"Gmail"),"")</f>
        <v/>
      </c>
      <c r="J8066">
        <f>IF(E8066="Outlook",COUNTIF($E$2:E8066,"Outlook"),"")</f>
        <v/>
      </c>
      <c r="K8066">
        <f>IF(E8066="Domain",COUNTIF($E$2:E8066,"Domain"),"")</f>
        <v/>
      </c>
    </row>
    <row r="8067">
      <c r="A8067" s="2" t="n"/>
      <c r="B8067">
        <f>LOWER(TRIM(A8067))</f>
        <v/>
      </c>
      <c r="C8067">
        <f>IF(B8067="","",IFERROR(INDEX('Bad Patterns'!$A$2:$A$120,MATCH(1,INDEX(--ISNUMBER(SEARCH('Bad Patterns'!$A$2:$A$120,B8067)),0),0)),""))</f>
        <v/>
      </c>
      <c r="D8067">
        <f>IF(B8067="","",IF(C8067&lt;&gt;"","REMOVE","KEEP"))</f>
        <v/>
      </c>
      <c r="E8067">
        <f>IF(D8067&lt;&gt;"KEEP","",IF(RIGHT(B8067,10)="@gmail.com","Gmail",IF(OR(RIGHT(B8067,12)="@outlook.com",RIGHT(B8067,12)="@hotmail.com",RIGHT(B8067,9)="@live.com"),"Outlook","Domain")))</f>
        <v/>
      </c>
      <c r="F8067">
        <f>IF(B8067="","",IFERROR(RIGHT(B8067,LEN(B8067)-FIND("@",B8067)),""))</f>
        <v/>
      </c>
      <c r="G8067">
        <f>IF(D8067="KEEP",COUNTIF($D$2:D8067,"KEEP"),"")</f>
        <v/>
      </c>
      <c r="H8067">
        <f>IF(D8067="REMOVE",COUNTIF($D$2:D8067,"REMOVE"),"")</f>
        <v/>
      </c>
      <c r="I8067">
        <f>IF(E8067="Gmail",COUNTIF($E$2:E8067,"Gmail"),"")</f>
        <v/>
      </c>
      <c r="J8067">
        <f>IF(E8067="Outlook",COUNTIF($E$2:E8067,"Outlook"),"")</f>
        <v/>
      </c>
      <c r="K8067">
        <f>IF(E8067="Domain",COUNTIF($E$2:E8067,"Domain"),"")</f>
        <v/>
      </c>
    </row>
    <row r="8068">
      <c r="A8068" s="2" t="n"/>
      <c r="B8068">
        <f>LOWER(TRIM(A8068))</f>
        <v/>
      </c>
      <c r="C8068">
        <f>IF(B8068="","",IFERROR(INDEX('Bad Patterns'!$A$2:$A$120,MATCH(1,INDEX(--ISNUMBER(SEARCH('Bad Patterns'!$A$2:$A$120,B8068)),0),0)),""))</f>
        <v/>
      </c>
      <c r="D8068">
        <f>IF(B8068="","",IF(C8068&lt;&gt;"","REMOVE","KEEP"))</f>
        <v/>
      </c>
      <c r="E8068">
        <f>IF(D8068&lt;&gt;"KEEP","",IF(RIGHT(B8068,10)="@gmail.com","Gmail",IF(OR(RIGHT(B8068,12)="@outlook.com",RIGHT(B8068,12)="@hotmail.com",RIGHT(B8068,9)="@live.com"),"Outlook","Domain")))</f>
        <v/>
      </c>
      <c r="F8068">
        <f>IF(B8068="","",IFERROR(RIGHT(B8068,LEN(B8068)-FIND("@",B8068)),""))</f>
        <v/>
      </c>
      <c r="G8068">
        <f>IF(D8068="KEEP",COUNTIF($D$2:D8068,"KEEP"),"")</f>
        <v/>
      </c>
      <c r="H8068">
        <f>IF(D8068="REMOVE",COUNTIF($D$2:D8068,"REMOVE"),"")</f>
        <v/>
      </c>
      <c r="I8068">
        <f>IF(E8068="Gmail",COUNTIF($E$2:E8068,"Gmail"),"")</f>
        <v/>
      </c>
      <c r="J8068">
        <f>IF(E8068="Outlook",COUNTIF($E$2:E8068,"Outlook"),"")</f>
        <v/>
      </c>
      <c r="K8068">
        <f>IF(E8068="Domain",COUNTIF($E$2:E8068,"Domain"),"")</f>
        <v/>
      </c>
    </row>
    <row r="8069">
      <c r="A8069" s="2" t="n"/>
      <c r="B8069">
        <f>LOWER(TRIM(A8069))</f>
        <v/>
      </c>
      <c r="C8069">
        <f>IF(B8069="","",IFERROR(INDEX('Bad Patterns'!$A$2:$A$120,MATCH(1,INDEX(--ISNUMBER(SEARCH('Bad Patterns'!$A$2:$A$120,B8069)),0),0)),""))</f>
        <v/>
      </c>
      <c r="D8069">
        <f>IF(B8069="","",IF(C8069&lt;&gt;"","REMOVE","KEEP"))</f>
        <v/>
      </c>
      <c r="E8069">
        <f>IF(D8069&lt;&gt;"KEEP","",IF(RIGHT(B8069,10)="@gmail.com","Gmail",IF(OR(RIGHT(B8069,12)="@outlook.com",RIGHT(B8069,12)="@hotmail.com",RIGHT(B8069,9)="@live.com"),"Outlook","Domain")))</f>
        <v/>
      </c>
      <c r="F8069">
        <f>IF(B8069="","",IFERROR(RIGHT(B8069,LEN(B8069)-FIND("@",B8069)),""))</f>
        <v/>
      </c>
      <c r="G8069">
        <f>IF(D8069="KEEP",COUNTIF($D$2:D8069,"KEEP"),"")</f>
        <v/>
      </c>
      <c r="H8069">
        <f>IF(D8069="REMOVE",COUNTIF($D$2:D8069,"REMOVE"),"")</f>
        <v/>
      </c>
      <c r="I8069">
        <f>IF(E8069="Gmail",COUNTIF($E$2:E8069,"Gmail"),"")</f>
        <v/>
      </c>
      <c r="J8069">
        <f>IF(E8069="Outlook",COUNTIF($E$2:E8069,"Outlook"),"")</f>
        <v/>
      </c>
      <c r="K8069">
        <f>IF(E8069="Domain",COUNTIF($E$2:E8069,"Domain"),"")</f>
        <v/>
      </c>
    </row>
    <row r="8070">
      <c r="A8070" s="2" t="n"/>
      <c r="B8070">
        <f>LOWER(TRIM(A8070))</f>
        <v/>
      </c>
      <c r="C8070">
        <f>IF(B8070="","",IFERROR(INDEX('Bad Patterns'!$A$2:$A$120,MATCH(1,INDEX(--ISNUMBER(SEARCH('Bad Patterns'!$A$2:$A$120,B8070)),0),0)),""))</f>
        <v/>
      </c>
      <c r="D8070">
        <f>IF(B8070="","",IF(C8070&lt;&gt;"","REMOVE","KEEP"))</f>
        <v/>
      </c>
      <c r="E8070">
        <f>IF(D8070&lt;&gt;"KEEP","",IF(RIGHT(B8070,10)="@gmail.com","Gmail",IF(OR(RIGHT(B8070,12)="@outlook.com",RIGHT(B8070,12)="@hotmail.com",RIGHT(B8070,9)="@live.com"),"Outlook","Domain")))</f>
        <v/>
      </c>
      <c r="F8070">
        <f>IF(B8070="","",IFERROR(RIGHT(B8070,LEN(B8070)-FIND("@",B8070)),""))</f>
        <v/>
      </c>
      <c r="G8070">
        <f>IF(D8070="KEEP",COUNTIF($D$2:D8070,"KEEP"),"")</f>
        <v/>
      </c>
      <c r="H8070">
        <f>IF(D8070="REMOVE",COUNTIF($D$2:D8070,"REMOVE"),"")</f>
        <v/>
      </c>
      <c r="I8070">
        <f>IF(E8070="Gmail",COUNTIF($E$2:E8070,"Gmail"),"")</f>
        <v/>
      </c>
      <c r="J8070">
        <f>IF(E8070="Outlook",COUNTIF($E$2:E8070,"Outlook"),"")</f>
        <v/>
      </c>
      <c r="K8070">
        <f>IF(E8070="Domain",COUNTIF($E$2:E8070,"Domain"),"")</f>
        <v/>
      </c>
    </row>
    <row r="8071">
      <c r="A8071" s="2" t="n"/>
      <c r="B8071">
        <f>LOWER(TRIM(A8071))</f>
        <v/>
      </c>
      <c r="C8071">
        <f>IF(B8071="","",IFERROR(INDEX('Bad Patterns'!$A$2:$A$120,MATCH(1,INDEX(--ISNUMBER(SEARCH('Bad Patterns'!$A$2:$A$120,B8071)),0),0)),""))</f>
        <v/>
      </c>
      <c r="D8071">
        <f>IF(B8071="","",IF(C8071&lt;&gt;"","REMOVE","KEEP"))</f>
        <v/>
      </c>
      <c r="E8071">
        <f>IF(D8071&lt;&gt;"KEEP","",IF(RIGHT(B8071,10)="@gmail.com","Gmail",IF(OR(RIGHT(B8071,12)="@outlook.com",RIGHT(B8071,12)="@hotmail.com",RIGHT(B8071,9)="@live.com"),"Outlook","Domain")))</f>
        <v/>
      </c>
      <c r="F8071">
        <f>IF(B8071="","",IFERROR(RIGHT(B8071,LEN(B8071)-FIND("@",B8071)),""))</f>
        <v/>
      </c>
      <c r="G8071">
        <f>IF(D8071="KEEP",COUNTIF($D$2:D8071,"KEEP"),"")</f>
        <v/>
      </c>
      <c r="H8071">
        <f>IF(D8071="REMOVE",COUNTIF($D$2:D8071,"REMOVE"),"")</f>
        <v/>
      </c>
      <c r="I8071">
        <f>IF(E8071="Gmail",COUNTIF($E$2:E8071,"Gmail"),"")</f>
        <v/>
      </c>
      <c r="J8071">
        <f>IF(E8071="Outlook",COUNTIF($E$2:E8071,"Outlook"),"")</f>
        <v/>
      </c>
      <c r="K8071">
        <f>IF(E8071="Domain",COUNTIF($E$2:E8071,"Domain"),"")</f>
        <v/>
      </c>
    </row>
    <row r="8072">
      <c r="A8072" s="2" t="n"/>
      <c r="B8072">
        <f>LOWER(TRIM(A8072))</f>
        <v/>
      </c>
      <c r="C8072">
        <f>IF(B8072="","",IFERROR(INDEX('Bad Patterns'!$A$2:$A$120,MATCH(1,INDEX(--ISNUMBER(SEARCH('Bad Patterns'!$A$2:$A$120,B8072)),0),0)),""))</f>
        <v/>
      </c>
      <c r="D8072">
        <f>IF(B8072="","",IF(C8072&lt;&gt;"","REMOVE","KEEP"))</f>
        <v/>
      </c>
      <c r="E8072">
        <f>IF(D8072&lt;&gt;"KEEP","",IF(RIGHT(B8072,10)="@gmail.com","Gmail",IF(OR(RIGHT(B8072,12)="@outlook.com",RIGHT(B8072,12)="@hotmail.com",RIGHT(B8072,9)="@live.com"),"Outlook","Domain")))</f>
        <v/>
      </c>
      <c r="F8072">
        <f>IF(B8072="","",IFERROR(RIGHT(B8072,LEN(B8072)-FIND("@",B8072)),""))</f>
        <v/>
      </c>
      <c r="G8072">
        <f>IF(D8072="KEEP",COUNTIF($D$2:D8072,"KEEP"),"")</f>
        <v/>
      </c>
      <c r="H8072">
        <f>IF(D8072="REMOVE",COUNTIF($D$2:D8072,"REMOVE"),"")</f>
        <v/>
      </c>
      <c r="I8072">
        <f>IF(E8072="Gmail",COUNTIF($E$2:E8072,"Gmail"),"")</f>
        <v/>
      </c>
      <c r="J8072">
        <f>IF(E8072="Outlook",COUNTIF($E$2:E8072,"Outlook"),"")</f>
        <v/>
      </c>
      <c r="K8072">
        <f>IF(E8072="Domain",COUNTIF($E$2:E8072,"Domain"),"")</f>
        <v/>
      </c>
    </row>
    <row r="8073">
      <c r="A8073" s="2" t="n"/>
      <c r="B8073">
        <f>LOWER(TRIM(A8073))</f>
        <v/>
      </c>
      <c r="C8073">
        <f>IF(B8073="","",IFERROR(INDEX('Bad Patterns'!$A$2:$A$120,MATCH(1,INDEX(--ISNUMBER(SEARCH('Bad Patterns'!$A$2:$A$120,B8073)),0),0)),""))</f>
        <v/>
      </c>
      <c r="D8073">
        <f>IF(B8073="","",IF(C8073&lt;&gt;"","REMOVE","KEEP"))</f>
        <v/>
      </c>
      <c r="E8073">
        <f>IF(D8073&lt;&gt;"KEEP","",IF(RIGHT(B8073,10)="@gmail.com","Gmail",IF(OR(RIGHT(B8073,12)="@outlook.com",RIGHT(B8073,12)="@hotmail.com",RIGHT(B8073,9)="@live.com"),"Outlook","Domain")))</f>
        <v/>
      </c>
      <c r="F8073">
        <f>IF(B8073="","",IFERROR(RIGHT(B8073,LEN(B8073)-FIND("@",B8073)),""))</f>
        <v/>
      </c>
      <c r="G8073">
        <f>IF(D8073="KEEP",COUNTIF($D$2:D8073,"KEEP"),"")</f>
        <v/>
      </c>
      <c r="H8073">
        <f>IF(D8073="REMOVE",COUNTIF($D$2:D8073,"REMOVE"),"")</f>
        <v/>
      </c>
      <c r="I8073">
        <f>IF(E8073="Gmail",COUNTIF($E$2:E8073,"Gmail"),"")</f>
        <v/>
      </c>
      <c r="J8073">
        <f>IF(E8073="Outlook",COUNTIF($E$2:E8073,"Outlook"),"")</f>
        <v/>
      </c>
      <c r="K8073">
        <f>IF(E8073="Domain",COUNTIF($E$2:E8073,"Domain"),"")</f>
        <v/>
      </c>
    </row>
    <row r="8074">
      <c r="A8074" s="2" t="n"/>
      <c r="B8074">
        <f>LOWER(TRIM(A8074))</f>
        <v/>
      </c>
      <c r="C8074">
        <f>IF(B8074="","",IFERROR(INDEX('Bad Patterns'!$A$2:$A$120,MATCH(1,INDEX(--ISNUMBER(SEARCH('Bad Patterns'!$A$2:$A$120,B8074)),0),0)),""))</f>
        <v/>
      </c>
      <c r="D8074">
        <f>IF(B8074="","",IF(C8074&lt;&gt;"","REMOVE","KEEP"))</f>
        <v/>
      </c>
      <c r="E8074">
        <f>IF(D8074&lt;&gt;"KEEP","",IF(RIGHT(B8074,10)="@gmail.com","Gmail",IF(OR(RIGHT(B8074,12)="@outlook.com",RIGHT(B8074,12)="@hotmail.com",RIGHT(B8074,9)="@live.com"),"Outlook","Domain")))</f>
        <v/>
      </c>
      <c r="F8074">
        <f>IF(B8074="","",IFERROR(RIGHT(B8074,LEN(B8074)-FIND("@",B8074)),""))</f>
        <v/>
      </c>
      <c r="G8074">
        <f>IF(D8074="KEEP",COUNTIF($D$2:D8074,"KEEP"),"")</f>
        <v/>
      </c>
      <c r="H8074">
        <f>IF(D8074="REMOVE",COUNTIF($D$2:D8074,"REMOVE"),"")</f>
        <v/>
      </c>
      <c r="I8074">
        <f>IF(E8074="Gmail",COUNTIF($E$2:E8074,"Gmail"),"")</f>
        <v/>
      </c>
      <c r="J8074">
        <f>IF(E8074="Outlook",COUNTIF($E$2:E8074,"Outlook"),"")</f>
        <v/>
      </c>
      <c r="K8074">
        <f>IF(E8074="Domain",COUNTIF($E$2:E8074,"Domain"),"")</f>
        <v/>
      </c>
    </row>
    <row r="8075">
      <c r="A8075" s="2" t="n"/>
      <c r="B8075">
        <f>LOWER(TRIM(A8075))</f>
        <v/>
      </c>
      <c r="C8075">
        <f>IF(B8075="","",IFERROR(INDEX('Bad Patterns'!$A$2:$A$120,MATCH(1,INDEX(--ISNUMBER(SEARCH('Bad Patterns'!$A$2:$A$120,B8075)),0),0)),""))</f>
        <v/>
      </c>
      <c r="D8075">
        <f>IF(B8075="","",IF(C8075&lt;&gt;"","REMOVE","KEEP"))</f>
        <v/>
      </c>
      <c r="E8075">
        <f>IF(D8075&lt;&gt;"KEEP","",IF(RIGHT(B8075,10)="@gmail.com","Gmail",IF(OR(RIGHT(B8075,12)="@outlook.com",RIGHT(B8075,12)="@hotmail.com",RIGHT(B8075,9)="@live.com"),"Outlook","Domain")))</f>
        <v/>
      </c>
      <c r="F8075">
        <f>IF(B8075="","",IFERROR(RIGHT(B8075,LEN(B8075)-FIND("@",B8075)),""))</f>
        <v/>
      </c>
      <c r="G8075">
        <f>IF(D8075="KEEP",COUNTIF($D$2:D8075,"KEEP"),"")</f>
        <v/>
      </c>
      <c r="H8075">
        <f>IF(D8075="REMOVE",COUNTIF($D$2:D8075,"REMOVE"),"")</f>
        <v/>
      </c>
      <c r="I8075">
        <f>IF(E8075="Gmail",COUNTIF($E$2:E8075,"Gmail"),"")</f>
        <v/>
      </c>
      <c r="J8075">
        <f>IF(E8075="Outlook",COUNTIF($E$2:E8075,"Outlook"),"")</f>
        <v/>
      </c>
      <c r="K8075">
        <f>IF(E8075="Domain",COUNTIF($E$2:E8075,"Domain"),"")</f>
        <v/>
      </c>
    </row>
    <row r="8076">
      <c r="A8076" s="2" t="n"/>
      <c r="B8076">
        <f>LOWER(TRIM(A8076))</f>
        <v/>
      </c>
      <c r="C8076">
        <f>IF(B8076="","",IFERROR(INDEX('Bad Patterns'!$A$2:$A$120,MATCH(1,INDEX(--ISNUMBER(SEARCH('Bad Patterns'!$A$2:$A$120,B8076)),0),0)),""))</f>
        <v/>
      </c>
      <c r="D8076">
        <f>IF(B8076="","",IF(C8076&lt;&gt;"","REMOVE","KEEP"))</f>
        <v/>
      </c>
      <c r="E8076">
        <f>IF(D8076&lt;&gt;"KEEP","",IF(RIGHT(B8076,10)="@gmail.com","Gmail",IF(OR(RIGHT(B8076,12)="@outlook.com",RIGHT(B8076,12)="@hotmail.com",RIGHT(B8076,9)="@live.com"),"Outlook","Domain")))</f>
        <v/>
      </c>
      <c r="F8076">
        <f>IF(B8076="","",IFERROR(RIGHT(B8076,LEN(B8076)-FIND("@",B8076)),""))</f>
        <v/>
      </c>
      <c r="G8076">
        <f>IF(D8076="KEEP",COUNTIF($D$2:D8076,"KEEP"),"")</f>
        <v/>
      </c>
      <c r="H8076">
        <f>IF(D8076="REMOVE",COUNTIF($D$2:D8076,"REMOVE"),"")</f>
        <v/>
      </c>
      <c r="I8076">
        <f>IF(E8076="Gmail",COUNTIF($E$2:E8076,"Gmail"),"")</f>
        <v/>
      </c>
      <c r="J8076">
        <f>IF(E8076="Outlook",COUNTIF($E$2:E8076,"Outlook"),"")</f>
        <v/>
      </c>
      <c r="K8076">
        <f>IF(E8076="Domain",COUNTIF($E$2:E8076,"Domain"),"")</f>
        <v/>
      </c>
    </row>
    <row r="8077">
      <c r="A8077" s="2" t="n"/>
      <c r="B8077">
        <f>LOWER(TRIM(A8077))</f>
        <v/>
      </c>
      <c r="C8077">
        <f>IF(B8077="","",IFERROR(INDEX('Bad Patterns'!$A$2:$A$120,MATCH(1,INDEX(--ISNUMBER(SEARCH('Bad Patterns'!$A$2:$A$120,B8077)),0),0)),""))</f>
        <v/>
      </c>
      <c r="D8077">
        <f>IF(B8077="","",IF(C8077&lt;&gt;"","REMOVE","KEEP"))</f>
        <v/>
      </c>
      <c r="E8077">
        <f>IF(D8077&lt;&gt;"KEEP","",IF(RIGHT(B8077,10)="@gmail.com","Gmail",IF(OR(RIGHT(B8077,12)="@outlook.com",RIGHT(B8077,12)="@hotmail.com",RIGHT(B8077,9)="@live.com"),"Outlook","Domain")))</f>
        <v/>
      </c>
      <c r="F8077">
        <f>IF(B8077="","",IFERROR(RIGHT(B8077,LEN(B8077)-FIND("@",B8077)),""))</f>
        <v/>
      </c>
      <c r="G8077">
        <f>IF(D8077="KEEP",COUNTIF($D$2:D8077,"KEEP"),"")</f>
        <v/>
      </c>
      <c r="H8077">
        <f>IF(D8077="REMOVE",COUNTIF($D$2:D8077,"REMOVE"),"")</f>
        <v/>
      </c>
      <c r="I8077">
        <f>IF(E8077="Gmail",COUNTIF($E$2:E8077,"Gmail"),"")</f>
        <v/>
      </c>
      <c r="J8077">
        <f>IF(E8077="Outlook",COUNTIF($E$2:E8077,"Outlook"),"")</f>
        <v/>
      </c>
      <c r="K8077">
        <f>IF(E8077="Domain",COUNTIF($E$2:E8077,"Domain"),"")</f>
        <v/>
      </c>
    </row>
    <row r="8078">
      <c r="A8078" s="2" t="n"/>
      <c r="B8078">
        <f>LOWER(TRIM(A8078))</f>
        <v/>
      </c>
      <c r="C8078">
        <f>IF(B8078="","",IFERROR(INDEX('Bad Patterns'!$A$2:$A$120,MATCH(1,INDEX(--ISNUMBER(SEARCH('Bad Patterns'!$A$2:$A$120,B8078)),0),0)),""))</f>
        <v/>
      </c>
      <c r="D8078">
        <f>IF(B8078="","",IF(C8078&lt;&gt;"","REMOVE","KEEP"))</f>
        <v/>
      </c>
      <c r="E8078">
        <f>IF(D8078&lt;&gt;"KEEP","",IF(RIGHT(B8078,10)="@gmail.com","Gmail",IF(OR(RIGHT(B8078,12)="@outlook.com",RIGHT(B8078,12)="@hotmail.com",RIGHT(B8078,9)="@live.com"),"Outlook","Domain")))</f>
        <v/>
      </c>
      <c r="F8078">
        <f>IF(B8078="","",IFERROR(RIGHT(B8078,LEN(B8078)-FIND("@",B8078)),""))</f>
        <v/>
      </c>
      <c r="G8078">
        <f>IF(D8078="KEEP",COUNTIF($D$2:D8078,"KEEP"),"")</f>
        <v/>
      </c>
      <c r="H8078">
        <f>IF(D8078="REMOVE",COUNTIF($D$2:D8078,"REMOVE"),"")</f>
        <v/>
      </c>
      <c r="I8078">
        <f>IF(E8078="Gmail",COUNTIF($E$2:E8078,"Gmail"),"")</f>
        <v/>
      </c>
      <c r="J8078">
        <f>IF(E8078="Outlook",COUNTIF($E$2:E8078,"Outlook"),"")</f>
        <v/>
      </c>
      <c r="K8078">
        <f>IF(E8078="Domain",COUNTIF($E$2:E8078,"Domain"),"")</f>
        <v/>
      </c>
    </row>
    <row r="8079">
      <c r="A8079" s="2" t="n"/>
      <c r="B8079">
        <f>LOWER(TRIM(A8079))</f>
        <v/>
      </c>
      <c r="C8079">
        <f>IF(B8079="","",IFERROR(INDEX('Bad Patterns'!$A$2:$A$120,MATCH(1,INDEX(--ISNUMBER(SEARCH('Bad Patterns'!$A$2:$A$120,B8079)),0),0)),""))</f>
        <v/>
      </c>
      <c r="D8079">
        <f>IF(B8079="","",IF(C8079&lt;&gt;"","REMOVE","KEEP"))</f>
        <v/>
      </c>
      <c r="E8079">
        <f>IF(D8079&lt;&gt;"KEEP","",IF(RIGHT(B8079,10)="@gmail.com","Gmail",IF(OR(RIGHT(B8079,12)="@outlook.com",RIGHT(B8079,12)="@hotmail.com",RIGHT(B8079,9)="@live.com"),"Outlook","Domain")))</f>
        <v/>
      </c>
      <c r="F8079">
        <f>IF(B8079="","",IFERROR(RIGHT(B8079,LEN(B8079)-FIND("@",B8079)),""))</f>
        <v/>
      </c>
      <c r="G8079">
        <f>IF(D8079="KEEP",COUNTIF($D$2:D8079,"KEEP"),"")</f>
        <v/>
      </c>
      <c r="H8079">
        <f>IF(D8079="REMOVE",COUNTIF($D$2:D8079,"REMOVE"),"")</f>
        <v/>
      </c>
      <c r="I8079">
        <f>IF(E8079="Gmail",COUNTIF($E$2:E8079,"Gmail"),"")</f>
        <v/>
      </c>
      <c r="J8079">
        <f>IF(E8079="Outlook",COUNTIF($E$2:E8079,"Outlook"),"")</f>
        <v/>
      </c>
      <c r="K8079">
        <f>IF(E8079="Domain",COUNTIF($E$2:E8079,"Domain"),"")</f>
        <v/>
      </c>
    </row>
    <row r="8080">
      <c r="A8080" s="2" t="n"/>
      <c r="B8080">
        <f>LOWER(TRIM(A8080))</f>
        <v/>
      </c>
      <c r="C8080">
        <f>IF(B8080="","",IFERROR(INDEX('Bad Patterns'!$A$2:$A$120,MATCH(1,INDEX(--ISNUMBER(SEARCH('Bad Patterns'!$A$2:$A$120,B8080)),0),0)),""))</f>
        <v/>
      </c>
      <c r="D8080">
        <f>IF(B8080="","",IF(C8080&lt;&gt;"","REMOVE","KEEP"))</f>
        <v/>
      </c>
      <c r="E8080">
        <f>IF(D8080&lt;&gt;"KEEP","",IF(RIGHT(B8080,10)="@gmail.com","Gmail",IF(OR(RIGHT(B8080,12)="@outlook.com",RIGHT(B8080,12)="@hotmail.com",RIGHT(B8080,9)="@live.com"),"Outlook","Domain")))</f>
        <v/>
      </c>
      <c r="F8080">
        <f>IF(B8080="","",IFERROR(RIGHT(B8080,LEN(B8080)-FIND("@",B8080)),""))</f>
        <v/>
      </c>
      <c r="G8080">
        <f>IF(D8080="KEEP",COUNTIF($D$2:D8080,"KEEP"),"")</f>
        <v/>
      </c>
      <c r="H8080">
        <f>IF(D8080="REMOVE",COUNTIF($D$2:D8080,"REMOVE"),"")</f>
        <v/>
      </c>
      <c r="I8080">
        <f>IF(E8080="Gmail",COUNTIF($E$2:E8080,"Gmail"),"")</f>
        <v/>
      </c>
      <c r="J8080">
        <f>IF(E8080="Outlook",COUNTIF($E$2:E8080,"Outlook"),"")</f>
        <v/>
      </c>
      <c r="K8080">
        <f>IF(E8080="Domain",COUNTIF($E$2:E8080,"Domain"),"")</f>
        <v/>
      </c>
    </row>
    <row r="8081">
      <c r="A8081" s="2" t="n"/>
      <c r="B8081">
        <f>LOWER(TRIM(A8081))</f>
        <v/>
      </c>
      <c r="C8081">
        <f>IF(B8081="","",IFERROR(INDEX('Bad Patterns'!$A$2:$A$120,MATCH(1,INDEX(--ISNUMBER(SEARCH('Bad Patterns'!$A$2:$A$120,B8081)),0),0)),""))</f>
        <v/>
      </c>
      <c r="D8081">
        <f>IF(B8081="","",IF(C8081&lt;&gt;"","REMOVE","KEEP"))</f>
        <v/>
      </c>
      <c r="E8081">
        <f>IF(D8081&lt;&gt;"KEEP","",IF(RIGHT(B8081,10)="@gmail.com","Gmail",IF(OR(RIGHT(B8081,12)="@outlook.com",RIGHT(B8081,12)="@hotmail.com",RIGHT(B8081,9)="@live.com"),"Outlook","Domain")))</f>
        <v/>
      </c>
      <c r="F8081">
        <f>IF(B8081="","",IFERROR(RIGHT(B8081,LEN(B8081)-FIND("@",B8081)),""))</f>
        <v/>
      </c>
      <c r="G8081">
        <f>IF(D8081="KEEP",COUNTIF($D$2:D8081,"KEEP"),"")</f>
        <v/>
      </c>
      <c r="H8081">
        <f>IF(D8081="REMOVE",COUNTIF($D$2:D8081,"REMOVE"),"")</f>
        <v/>
      </c>
      <c r="I8081">
        <f>IF(E8081="Gmail",COUNTIF($E$2:E8081,"Gmail"),"")</f>
        <v/>
      </c>
      <c r="J8081">
        <f>IF(E8081="Outlook",COUNTIF($E$2:E8081,"Outlook"),"")</f>
        <v/>
      </c>
      <c r="K8081">
        <f>IF(E8081="Domain",COUNTIF($E$2:E8081,"Domain"),"")</f>
        <v/>
      </c>
    </row>
    <row r="8082">
      <c r="A8082" s="2" t="n"/>
      <c r="B8082">
        <f>LOWER(TRIM(A8082))</f>
        <v/>
      </c>
      <c r="C8082">
        <f>IF(B8082="","",IFERROR(INDEX('Bad Patterns'!$A$2:$A$120,MATCH(1,INDEX(--ISNUMBER(SEARCH('Bad Patterns'!$A$2:$A$120,B8082)),0),0)),""))</f>
        <v/>
      </c>
      <c r="D8082">
        <f>IF(B8082="","",IF(C8082&lt;&gt;"","REMOVE","KEEP"))</f>
        <v/>
      </c>
      <c r="E8082">
        <f>IF(D8082&lt;&gt;"KEEP","",IF(RIGHT(B8082,10)="@gmail.com","Gmail",IF(OR(RIGHT(B8082,12)="@outlook.com",RIGHT(B8082,12)="@hotmail.com",RIGHT(B8082,9)="@live.com"),"Outlook","Domain")))</f>
        <v/>
      </c>
      <c r="F8082">
        <f>IF(B8082="","",IFERROR(RIGHT(B8082,LEN(B8082)-FIND("@",B8082)),""))</f>
        <v/>
      </c>
      <c r="G8082">
        <f>IF(D8082="KEEP",COUNTIF($D$2:D8082,"KEEP"),"")</f>
        <v/>
      </c>
      <c r="H8082">
        <f>IF(D8082="REMOVE",COUNTIF($D$2:D8082,"REMOVE"),"")</f>
        <v/>
      </c>
      <c r="I8082">
        <f>IF(E8082="Gmail",COUNTIF($E$2:E8082,"Gmail"),"")</f>
        <v/>
      </c>
      <c r="J8082">
        <f>IF(E8082="Outlook",COUNTIF($E$2:E8082,"Outlook"),"")</f>
        <v/>
      </c>
      <c r="K8082">
        <f>IF(E8082="Domain",COUNTIF($E$2:E8082,"Domain"),"")</f>
        <v/>
      </c>
    </row>
    <row r="8083">
      <c r="A8083" s="2" t="n"/>
      <c r="B8083">
        <f>LOWER(TRIM(A8083))</f>
        <v/>
      </c>
      <c r="C8083">
        <f>IF(B8083="","",IFERROR(INDEX('Bad Patterns'!$A$2:$A$120,MATCH(1,INDEX(--ISNUMBER(SEARCH('Bad Patterns'!$A$2:$A$120,B8083)),0),0)),""))</f>
        <v/>
      </c>
      <c r="D8083">
        <f>IF(B8083="","",IF(C8083&lt;&gt;"","REMOVE","KEEP"))</f>
        <v/>
      </c>
      <c r="E8083">
        <f>IF(D8083&lt;&gt;"KEEP","",IF(RIGHT(B8083,10)="@gmail.com","Gmail",IF(OR(RIGHT(B8083,12)="@outlook.com",RIGHT(B8083,12)="@hotmail.com",RIGHT(B8083,9)="@live.com"),"Outlook","Domain")))</f>
        <v/>
      </c>
      <c r="F8083">
        <f>IF(B8083="","",IFERROR(RIGHT(B8083,LEN(B8083)-FIND("@",B8083)),""))</f>
        <v/>
      </c>
      <c r="G8083">
        <f>IF(D8083="KEEP",COUNTIF($D$2:D8083,"KEEP"),"")</f>
        <v/>
      </c>
      <c r="H8083">
        <f>IF(D8083="REMOVE",COUNTIF($D$2:D8083,"REMOVE"),"")</f>
        <v/>
      </c>
      <c r="I8083">
        <f>IF(E8083="Gmail",COUNTIF($E$2:E8083,"Gmail"),"")</f>
        <v/>
      </c>
      <c r="J8083">
        <f>IF(E8083="Outlook",COUNTIF($E$2:E8083,"Outlook"),"")</f>
        <v/>
      </c>
      <c r="K8083">
        <f>IF(E8083="Domain",COUNTIF($E$2:E8083,"Domain"),"")</f>
        <v/>
      </c>
    </row>
    <row r="8084">
      <c r="A8084" s="2" t="n"/>
      <c r="B8084">
        <f>LOWER(TRIM(A8084))</f>
        <v/>
      </c>
      <c r="C8084">
        <f>IF(B8084="","",IFERROR(INDEX('Bad Patterns'!$A$2:$A$120,MATCH(1,INDEX(--ISNUMBER(SEARCH('Bad Patterns'!$A$2:$A$120,B8084)),0),0)),""))</f>
        <v/>
      </c>
      <c r="D8084">
        <f>IF(B8084="","",IF(C8084&lt;&gt;"","REMOVE","KEEP"))</f>
        <v/>
      </c>
      <c r="E8084">
        <f>IF(D8084&lt;&gt;"KEEP","",IF(RIGHT(B8084,10)="@gmail.com","Gmail",IF(OR(RIGHT(B8084,12)="@outlook.com",RIGHT(B8084,12)="@hotmail.com",RIGHT(B8084,9)="@live.com"),"Outlook","Domain")))</f>
        <v/>
      </c>
      <c r="F8084">
        <f>IF(B8084="","",IFERROR(RIGHT(B8084,LEN(B8084)-FIND("@",B8084)),""))</f>
        <v/>
      </c>
      <c r="G8084">
        <f>IF(D8084="KEEP",COUNTIF($D$2:D8084,"KEEP"),"")</f>
        <v/>
      </c>
      <c r="H8084">
        <f>IF(D8084="REMOVE",COUNTIF($D$2:D8084,"REMOVE"),"")</f>
        <v/>
      </c>
      <c r="I8084">
        <f>IF(E8084="Gmail",COUNTIF($E$2:E8084,"Gmail"),"")</f>
        <v/>
      </c>
      <c r="J8084">
        <f>IF(E8084="Outlook",COUNTIF($E$2:E8084,"Outlook"),"")</f>
        <v/>
      </c>
      <c r="K8084">
        <f>IF(E8084="Domain",COUNTIF($E$2:E8084,"Domain"),"")</f>
        <v/>
      </c>
    </row>
    <row r="8085">
      <c r="A8085" s="2" t="n"/>
      <c r="B8085">
        <f>LOWER(TRIM(A8085))</f>
        <v/>
      </c>
      <c r="C8085">
        <f>IF(B8085="","",IFERROR(INDEX('Bad Patterns'!$A$2:$A$120,MATCH(1,INDEX(--ISNUMBER(SEARCH('Bad Patterns'!$A$2:$A$120,B8085)),0),0)),""))</f>
        <v/>
      </c>
      <c r="D8085">
        <f>IF(B8085="","",IF(C8085&lt;&gt;"","REMOVE","KEEP"))</f>
        <v/>
      </c>
      <c r="E8085">
        <f>IF(D8085&lt;&gt;"KEEP","",IF(RIGHT(B8085,10)="@gmail.com","Gmail",IF(OR(RIGHT(B8085,12)="@outlook.com",RIGHT(B8085,12)="@hotmail.com",RIGHT(B8085,9)="@live.com"),"Outlook","Domain")))</f>
        <v/>
      </c>
      <c r="F8085">
        <f>IF(B8085="","",IFERROR(RIGHT(B8085,LEN(B8085)-FIND("@",B8085)),""))</f>
        <v/>
      </c>
      <c r="G8085">
        <f>IF(D8085="KEEP",COUNTIF($D$2:D8085,"KEEP"),"")</f>
        <v/>
      </c>
      <c r="H8085">
        <f>IF(D8085="REMOVE",COUNTIF($D$2:D8085,"REMOVE"),"")</f>
        <v/>
      </c>
      <c r="I8085">
        <f>IF(E8085="Gmail",COUNTIF($E$2:E8085,"Gmail"),"")</f>
        <v/>
      </c>
      <c r="J8085">
        <f>IF(E8085="Outlook",COUNTIF($E$2:E8085,"Outlook"),"")</f>
        <v/>
      </c>
      <c r="K8085">
        <f>IF(E8085="Domain",COUNTIF($E$2:E8085,"Domain"),"")</f>
        <v/>
      </c>
    </row>
    <row r="8086">
      <c r="A8086" s="2" t="n"/>
      <c r="B8086">
        <f>LOWER(TRIM(A8086))</f>
        <v/>
      </c>
      <c r="C8086">
        <f>IF(B8086="","",IFERROR(INDEX('Bad Patterns'!$A$2:$A$120,MATCH(1,INDEX(--ISNUMBER(SEARCH('Bad Patterns'!$A$2:$A$120,B8086)),0),0)),""))</f>
        <v/>
      </c>
      <c r="D8086">
        <f>IF(B8086="","",IF(C8086&lt;&gt;"","REMOVE","KEEP"))</f>
        <v/>
      </c>
      <c r="E8086">
        <f>IF(D8086&lt;&gt;"KEEP","",IF(RIGHT(B8086,10)="@gmail.com","Gmail",IF(OR(RIGHT(B8086,12)="@outlook.com",RIGHT(B8086,12)="@hotmail.com",RIGHT(B8086,9)="@live.com"),"Outlook","Domain")))</f>
        <v/>
      </c>
      <c r="F8086">
        <f>IF(B8086="","",IFERROR(RIGHT(B8086,LEN(B8086)-FIND("@",B8086)),""))</f>
        <v/>
      </c>
      <c r="G8086">
        <f>IF(D8086="KEEP",COUNTIF($D$2:D8086,"KEEP"),"")</f>
        <v/>
      </c>
      <c r="H8086">
        <f>IF(D8086="REMOVE",COUNTIF($D$2:D8086,"REMOVE"),"")</f>
        <v/>
      </c>
      <c r="I8086">
        <f>IF(E8086="Gmail",COUNTIF($E$2:E8086,"Gmail"),"")</f>
        <v/>
      </c>
      <c r="J8086">
        <f>IF(E8086="Outlook",COUNTIF($E$2:E8086,"Outlook"),"")</f>
        <v/>
      </c>
      <c r="K8086">
        <f>IF(E8086="Domain",COUNTIF($E$2:E8086,"Domain"),"")</f>
        <v/>
      </c>
    </row>
    <row r="8087">
      <c r="A8087" s="2" t="n"/>
      <c r="B8087">
        <f>LOWER(TRIM(A8087))</f>
        <v/>
      </c>
      <c r="C8087">
        <f>IF(B8087="","",IFERROR(INDEX('Bad Patterns'!$A$2:$A$120,MATCH(1,INDEX(--ISNUMBER(SEARCH('Bad Patterns'!$A$2:$A$120,B8087)),0),0)),""))</f>
        <v/>
      </c>
      <c r="D8087">
        <f>IF(B8087="","",IF(C8087&lt;&gt;"","REMOVE","KEEP"))</f>
        <v/>
      </c>
      <c r="E8087">
        <f>IF(D8087&lt;&gt;"KEEP","",IF(RIGHT(B8087,10)="@gmail.com","Gmail",IF(OR(RIGHT(B8087,12)="@outlook.com",RIGHT(B8087,12)="@hotmail.com",RIGHT(B8087,9)="@live.com"),"Outlook","Domain")))</f>
        <v/>
      </c>
      <c r="F8087">
        <f>IF(B8087="","",IFERROR(RIGHT(B8087,LEN(B8087)-FIND("@",B8087)),""))</f>
        <v/>
      </c>
      <c r="G8087">
        <f>IF(D8087="KEEP",COUNTIF($D$2:D8087,"KEEP"),"")</f>
        <v/>
      </c>
      <c r="H8087">
        <f>IF(D8087="REMOVE",COUNTIF($D$2:D8087,"REMOVE"),"")</f>
        <v/>
      </c>
      <c r="I8087">
        <f>IF(E8087="Gmail",COUNTIF($E$2:E8087,"Gmail"),"")</f>
        <v/>
      </c>
      <c r="J8087">
        <f>IF(E8087="Outlook",COUNTIF($E$2:E8087,"Outlook"),"")</f>
        <v/>
      </c>
      <c r="K8087">
        <f>IF(E8087="Domain",COUNTIF($E$2:E8087,"Domain"),"")</f>
        <v/>
      </c>
    </row>
    <row r="8088">
      <c r="A8088" s="2" t="n"/>
      <c r="B8088">
        <f>LOWER(TRIM(A8088))</f>
        <v/>
      </c>
      <c r="C8088">
        <f>IF(B8088="","",IFERROR(INDEX('Bad Patterns'!$A$2:$A$120,MATCH(1,INDEX(--ISNUMBER(SEARCH('Bad Patterns'!$A$2:$A$120,B8088)),0),0)),""))</f>
        <v/>
      </c>
      <c r="D8088">
        <f>IF(B8088="","",IF(C8088&lt;&gt;"","REMOVE","KEEP"))</f>
        <v/>
      </c>
      <c r="E8088">
        <f>IF(D8088&lt;&gt;"KEEP","",IF(RIGHT(B8088,10)="@gmail.com","Gmail",IF(OR(RIGHT(B8088,12)="@outlook.com",RIGHT(B8088,12)="@hotmail.com",RIGHT(B8088,9)="@live.com"),"Outlook","Domain")))</f>
        <v/>
      </c>
      <c r="F8088">
        <f>IF(B8088="","",IFERROR(RIGHT(B8088,LEN(B8088)-FIND("@",B8088)),""))</f>
        <v/>
      </c>
      <c r="G8088">
        <f>IF(D8088="KEEP",COUNTIF($D$2:D8088,"KEEP"),"")</f>
        <v/>
      </c>
      <c r="H8088">
        <f>IF(D8088="REMOVE",COUNTIF($D$2:D8088,"REMOVE"),"")</f>
        <v/>
      </c>
      <c r="I8088">
        <f>IF(E8088="Gmail",COUNTIF($E$2:E8088,"Gmail"),"")</f>
        <v/>
      </c>
      <c r="J8088">
        <f>IF(E8088="Outlook",COUNTIF($E$2:E8088,"Outlook"),"")</f>
        <v/>
      </c>
      <c r="K8088">
        <f>IF(E8088="Domain",COUNTIF($E$2:E8088,"Domain"),"")</f>
        <v/>
      </c>
    </row>
    <row r="8089">
      <c r="A8089" s="2" t="n"/>
      <c r="B8089">
        <f>LOWER(TRIM(A8089))</f>
        <v/>
      </c>
      <c r="C8089">
        <f>IF(B8089="","",IFERROR(INDEX('Bad Patterns'!$A$2:$A$120,MATCH(1,INDEX(--ISNUMBER(SEARCH('Bad Patterns'!$A$2:$A$120,B8089)),0),0)),""))</f>
        <v/>
      </c>
      <c r="D8089">
        <f>IF(B8089="","",IF(C8089&lt;&gt;"","REMOVE","KEEP"))</f>
        <v/>
      </c>
      <c r="E8089">
        <f>IF(D8089&lt;&gt;"KEEP","",IF(RIGHT(B8089,10)="@gmail.com","Gmail",IF(OR(RIGHT(B8089,12)="@outlook.com",RIGHT(B8089,12)="@hotmail.com",RIGHT(B8089,9)="@live.com"),"Outlook","Domain")))</f>
        <v/>
      </c>
      <c r="F8089">
        <f>IF(B8089="","",IFERROR(RIGHT(B8089,LEN(B8089)-FIND("@",B8089)),""))</f>
        <v/>
      </c>
      <c r="G8089">
        <f>IF(D8089="KEEP",COUNTIF($D$2:D8089,"KEEP"),"")</f>
        <v/>
      </c>
      <c r="H8089">
        <f>IF(D8089="REMOVE",COUNTIF($D$2:D8089,"REMOVE"),"")</f>
        <v/>
      </c>
      <c r="I8089">
        <f>IF(E8089="Gmail",COUNTIF($E$2:E8089,"Gmail"),"")</f>
        <v/>
      </c>
      <c r="J8089">
        <f>IF(E8089="Outlook",COUNTIF($E$2:E8089,"Outlook"),"")</f>
        <v/>
      </c>
      <c r="K8089">
        <f>IF(E8089="Domain",COUNTIF($E$2:E8089,"Domain"),"")</f>
        <v/>
      </c>
    </row>
    <row r="8090">
      <c r="A8090" s="2" t="n"/>
      <c r="B8090">
        <f>LOWER(TRIM(A8090))</f>
        <v/>
      </c>
      <c r="C8090">
        <f>IF(B8090="","",IFERROR(INDEX('Bad Patterns'!$A$2:$A$120,MATCH(1,INDEX(--ISNUMBER(SEARCH('Bad Patterns'!$A$2:$A$120,B8090)),0),0)),""))</f>
        <v/>
      </c>
      <c r="D8090">
        <f>IF(B8090="","",IF(C8090&lt;&gt;"","REMOVE","KEEP"))</f>
        <v/>
      </c>
      <c r="E8090">
        <f>IF(D8090&lt;&gt;"KEEP","",IF(RIGHT(B8090,10)="@gmail.com","Gmail",IF(OR(RIGHT(B8090,12)="@outlook.com",RIGHT(B8090,12)="@hotmail.com",RIGHT(B8090,9)="@live.com"),"Outlook","Domain")))</f>
        <v/>
      </c>
      <c r="F8090">
        <f>IF(B8090="","",IFERROR(RIGHT(B8090,LEN(B8090)-FIND("@",B8090)),""))</f>
        <v/>
      </c>
      <c r="G8090">
        <f>IF(D8090="KEEP",COUNTIF($D$2:D8090,"KEEP"),"")</f>
        <v/>
      </c>
      <c r="H8090">
        <f>IF(D8090="REMOVE",COUNTIF($D$2:D8090,"REMOVE"),"")</f>
        <v/>
      </c>
      <c r="I8090">
        <f>IF(E8090="Gmail",COUNTIF($E$2:E8090,"Gmail"),"")</f>
        <v/>
      </c>
      <c r="J8090">
        <f>IF(E8090="Outlook",COUNTIF($E$2:E8090,"Outlook"),"")</f>
        <v/>
      </c>
      <c r="K8090">
        <f>IF(E8090="Domain",COUNTIF($E$2:E8090,"Domain"),"")</f>
        <v/>
      </c>
    </row>
    <row r="8091">
      <c r="A8091" s="2" t="n"/>
      <c r="B8091">
        <f>LOWER(TRIM(A8091))</f>
        <v/>
      </c>
      <c r="C8091">
        <f>IF(B8091="","",IFERROR(INDEX('Bad Patterns'!$A$2:$A$120,MATCH(1,INDEX(--ISNUMBER(SEARCH('Bad Patterns'!$A$2:$A$120,B8091)),0),0)),""))</f>
        <v/>
      </c>
      <c r="D8091">
        <f>IF(B8091="","",IF(C8091&lt;&gt;"","REMOVE","KEEP"))</f>
        <v/>
      </c>
      <c r="E8091">
        <f>IF(D8091&lt;&gt;"KEEP","",IF(RIGHT(B8091,10)="@gmail.com","Gmail",IF(OR(RIGHT(B8091,12)="@outlook.com",RIGHT(B8091,12)="@hotmail.com",RIGHT(B8091,9)="@live.com"),"Outlook","Domain")))</f>
        <v/>
      </c>
      <c r="F8091">
        <f>IF(B8091="","",IFERROR(RIGHT(B8091,LEN(B8091)-FIND("@",B8091)),""))</f>
        <v/>
      </c>
      <c r="G8091">
        <f>IF(D8091="KEEP",COUNTIF($D$2:D8091,"KEEP"),"")</f>
        <v/>
      </c>
      <c r="H8091">
        <f>IF(D8091="REMOVE",COUNTIF($D$2:D8091,"REMOVE"),"")</f>
        <v/>
      </c>
      <c r="I8091">
        <f>IF(E8091="Gmail",COUNTIF($E$2:E8091,"Gmail"),"")</f>
        <v/>
      </c>
      <c r="J8091">
        <f>IF(E8091="Outlook",COUNTIF($E$2:E8091,"Outlook"),"")</f>
        <v/>
      </c>
      <c r="K8091">
        <f>IF(E8091="Domain",COUNTIF($E$2:E8091,"Domain"),"")</f>
        <v/>
      </c>
    </row>
    <row r="8092">
      <c r="A8092" s="2" t="n"/>
      <c r="B8092">
        <f>LOWER(TRIM(A8092))</f>
        <v/>
      </c>
      <c r="C8092">
        <f>IF(B8092="","",IFERROR(INDEX('Bad Patterns'!$A$2:$A$120,MATCH(1,INDEX(--ISNUMBER(SEARCH('Bad Patterns'!$A$2:$A$120,B8092)),0),0)),""))</f>
        <v/>
      </c>
      <c r="D8092">
        <f>IF(B8092="","",IF(C8092&lt;&gt;"","REMOVE","KEEP"))</f>
        <v/>
      </c>
      <c r="E8092">
        <f>IF(D8092&lt;&gt;"KEEP","",IF(RIGHT(B8092,10)="@gmail.com","Gmail",IF(OR(RIGHT(B8092,12)="@outlook.com",RIGHT(B8092,12)="@hotmail.com",RIGHT(B8092,9)="@live.com"),"Outlook","Domain")))</f>
        <v/>
      </c>
      <c r="F8092">
        <f>IF(B8092="","",IFERROR(RIGHT(B8092,LEN(B8092)-FIND("@",B8092)),""))</f>
        <v/>
      </c>
      <c r="G8092">
        <f>IF(D8092="KEEP",COUNTIF($D$2:D8092,"KEEP"),"")</f>
        <v/>
      </c>
      <c r="H8092">
        <f>IF(D8092="REMOVE",COUNTIF($D$2:D8092,"REMOVE"),"")</f>
        <v/>
      </c>
      <c r="I8092">
        <f>IF(E8092="Gmail",COUNTIF($E$2:E8092,"Gmail"),"")</f>
        <v/>
      </c>
      <c r="J8092">
        <f>IF(E8092="Outlook",COUNTIF($E$2:E8092,"Outlook"),"")</f>
        <v/>
      </c>
      <c r="K8092">
        <f>IF(E8092="Domain",COUNTIF($E$2:E8092,"Domain"),"")</f>
        <v/>
      </c>
    </row>
    <row r="8093">
      <c r="A8093" s="2" t="n"/>
      <c r="B8093">
        <f>LOWER(TRIM(A8093))</f>
        <v/>
      </c>
      <c r="C8093">
        <f>IF(B8093="","",IFERROR(INDEX('Bad Patterns'!$A$2:$A$120,MATCH(1,INDEX(--ISNUMBER(SEARCH('Bad Patterns'!$A$2:$A$120,B8093)),0),0)),""))</f>
        <v/>
      </c>
      <c r="D8093">
        <f>IF(B8093="","",IF(C8093&lt;&gt;"","REMOVE","KEEP"))</f>
        <v/>
      </c>
      <c r="E8093">
        <f>IF(D8093&lt;&gt;"KEEP","",IF(RIGHT(B8093,10)="@gmail.com","Gmail",IF(OR(RIGHT(B8093,12)="@outlook.com",RIGHT(B8093,12)="@hotmail.com",RIGHT(B8093,9)="@live.com"),"Outlook","Domain")))</f>
        <v/>
      </c>
      <c r="F8093">
        <f>IF(B8093="","",IFERROR(RIGHT(B8093,LEN(B8093)-FIND("@",B8093)),""))</f>
        <v/>
      </c>
      <c r="G8093">
        <f>IF(D8093="KEEP",COUNTIF($D$2:D8093,"KEEP"),"")</f>
        <v/>
      </c>
      <c r="H8093">
        <f>IF(D8093="REMOVE",COUNTIF($D$2:D8093,"REMOVE"),"")</f>
        <v/>
      </c>
      <c r="I8093">
        <f>IF(E8093="Gmail",COUNTIF($E$2:E8093,"Gmail"),"")</f>
        <v/>
      </c>
      <c r="J8093">
        <f>IF(E8093="Outlook",COUNTIF($E$2:E8093,"Outlook"),"")</f>
        <v/>
      </c>
      <c r="K8093">
        <f>IF(E8093="Domain",COUNTIF($E$2:E8093,"Domain"),"")</f>
        <v/>
      </c>
    </row>
    <row r="8094">
      <c r="A8094" s="2" t="n"/>
      <c r="B8094">
        <f>LOWER(TRIM(A8094))</f>
        <v/>
      </c>
      <c r="C8094">
        <f>IF(B8094="","",IFERROR(INDEX('Bad Patterns'!$A$2:$A$120,MATCH(1,INDEX(--ISNUMBER(SEARCH('Bad Patterns'!$A$2:$A$120,B8094)),0),0)),""))</f>
        <v/>
      </c>
      <c r="D8094">
        <f>IF(B8094="","",IF(C8094&lt;&gt;"","REMOVE","KEEP"))</f>
        <v/>
      </c>
      <c r="E8094">
        <f>IF(D8094&lt;&gt;"KEEP","",IF(RIGHT(B8094,10)="@gmail.com","Gmail",IF(OR(RIGHT(B8094,12)="@outlook.com",RIGHT(B8094,12)="@hotmail.com",RIGHT(B8094,9)="@live.com"),"Outlook","Domain")))</f>
        <v/>
      </c>
      <c r="F8094">
        <f>IF(B8094="","",IFERROR(RIGHT(B8094,LEN(B8094)-FIND("@",B8094)),""))</f>
        <v/>
      </c>
      <c r="G8094">
        <f>IF(D8094="KEEP",COUNTIF($D$2:D8094,"KEEP"),"")</f>
        <v/>
      </c>
      <c r="H8094">
        <f>IF(D8094="REMOVE",COUNTIF($D$2:D8094,"REMOVE"),"")</f>
        <v/>
      </c>
      <c r="I8094">
        <f>IF(E8094="Gmail",COUNTIF($E$2:E8094,"Gmail"),"")</f>
        <v/>
      </c>
      <c r="J8094">
        <f>IF(E8094="Outlook",COUNTIF($E$2:E8094,"Outlook"),"")</f>
        <v/>
      </c>
      <c r="K8094">
        <f>IF(E8094="Domain",COUNTIF($E$2:E8094,"Domain"),"")</f>
        <v/>
      </c>
    </row>
    <row r="8095">
      <c r="A8095" s="2" t="n"/>
      <c r="B8095">
        <f>LOWER(TRIM(A8095))</f>
        <v/>
      </c>
      <c r="C8095">
        <f>IF(B8095="","",IFERROR(INDEX('Bad Patterns'!$A$2:$A$120,MATCH(1,INDEX(--ISNUMBER(SEARCH('Bad Patterns'!$A$2:$A$120,B8095)),0),0)),""))</f>
        <v/>
      </c>
      <c r="D8095">
        <f>IF(B8095="","",IF(C8095&lt;&gt;"","REMOVE","KEEP"))</f>
        <v/>
      </c>
      <c r="E8095">
        <f>IF(D8095&lt;&gt;"KEEP","",IF(RIGHT(B8095,10)="@gmail.com","Gmail",IF(OR(RIGHT(B8095,12)="@outlook.com",RIGHT(B8095,12)="@hotmail.com",RIGHT(B8095,9)="@live.com"),"Outlook","Domain")))</f>
        <v/>
      </c>
      <c r="F8095">
        <f>IF(B8095="","",IFERROR(RIGHT(B8095,LEN(B8095)-FIND("@",B8095)),""))</f>
        <v/>
      </c>
      <c r="G8095">
        <f>IF(D8095="KEEP",COUNTIF($D$2:D8095,"KEEP"),"")</f>
        <v/>
      </c>
      <c r="H8095">
        <f>IF(D8095="REMOVE",COUNTIF($D$2:D8095,"REMOVE"),"")</f>
        <v/>
      </c>
      <c r="I8095">
        <f>IF(E8095="Gmail",COUNTIF($E$2:E8095,"Gmail"),"")</f>
        <v/>
      </c>
      <c r="J8095">
        <f>IF(E8095="Outlook",COUNTIF($E$2:E8095,"Outlook"),"")</f>
        <v/>
      </c>
      <c r="K8095">
        <f>IF(E8095="Domain",COUNTIF($E$2:E8095,"Domain"),"")</f>
        <v/>
      </c>
    </row>
    <row r="8096">
      <c r="A8096" s="2" t="n"/>
      <c r="B8096">
        <f>LOWER(TRIM(A8096))</f>
        <v/>
      </c>
      <c r="C8096">
        <f>IF(B8096="","",IFERROR(INDEX('Bad Patterns'!$A$2:$A$120,MATCH(1,INDEX(--ISNUMBER(SEARCH('Bad Patterns'!$A$2:$A$120,B8096)),0),0)),""))</f>
        <v/>
      </c>
      <c r="D8096">
        <f>IF(B8096="","",IF(C8096&lt;&gt;"","REMOVE","KEEP"))</f>
        <v/>
      </c>
      <c r="E8096">
        <f>IF(D8096&lt;&gt;"KEEP","",IF(RIGHT(B8096,10)="@gmail.com","Gmail",IF(OR(RIGHT(B8096,12)="@outlook.com",RIGHT(B8096,12)="@hotmail.com",RIGHT(B8096,9)="@live.com"),"Outlook","Domain")))</f>
        <v/>
      </c>
      <c r="F8096">
        <f>IF(B8096="","",IFERROR(RIGHT(B8096,LEN(B8096)-FIND("@",B8096)),""))</f>
        <v/>
      </c>
      <c r="G8096">
        <f>IF(D8096="KEEP",COUNTIF($D$2:D8096,"KEEP"),"")</f>
        <v/>
      </c>
      <c r="H8096">
        <f>IF(D8096="REMOVE",COUNTIF($D$2:D8096,"REMOVE"),"")</f>
        <v/>
      </c>
      <c r="I8096">
        <f>IF(E8096="Gmail",COUNTIF($E$2:E8096,"Gmail"),"")</f>
        <v/>
      </c>
      <c r="J8096">
        <f>IF(E8096="Outlook",COUNTIF($E$2:E8096,"Outlook"),"")</f>
        <v/>
      </c>
      <c r="K8096">
        <f>IF(E8096="Domain",COUNTIF($E$2:E8096,"Domain"),"")</f>
        <v/>
      </c>
    </row>
    <row r="8097">
      <c r="A8097" s="2" t="n"/>
      <c r="B8097">
        <f>LOWER(TRIM(A8097))</f>
        <v/>
      </c>
      <c r="C8097">
        <f>IF(B8097="","",IFERROR(INDEX('Bad Patterns'!$A$2:$A$120,MATCH(1,INDEX(--ISNUMBER(SEARCH('Bad Patterns'!$A$2:$A$120,B8097)),0),0)),""))</f>
        <v/>
      </c>
      <c r="D8097">
        <f>IF(B8097="","",IF(C8097&lt;&gt;"","REMOVE","KEEP"))</f>
        <v/>
      </c>
      <c r="E8097">
        <f>IF(D8097&lt;&gt;"KEEP","",IF(RIGHT(B8097,10)="@gmail.com","Gmail",IF(OR(RIGHT(B8097,12)="@outlook.com",RIGHT(B8097,12)="@hotmail.com",RIGHT(B8097,9)="@live.com"),"Outlook","Domain")))</f>
        <v/>
      </c>
      <c r="F8097">
        <f>IF(B8097="","",IFERROR(RIGHT(B8097,LEN(B8097)-FIND("@",B8097)),""))</f>
        <v/>
      </c>
      <c r="G8097">
        <f>IF(D8097="KEEP",COUNTIF($D$2:D8097,"KEEP"),"")</f>
        <v/>
      </c>
      <c r="H8097">
        <f>IF(D8097="REMOVE",COUNTIF($D$2:D8097,"REMOVE"),"")</f>
        <v/>
      </c>
      <c r="I8097">
        <f>IF(E8097="Gmail",COUNTIF($E$2:E8097,"Gmail"),"")</f>
        <v/>
      </c>
      <c r="J8097">
        <f>IF(E8097="Outlook",COUNTIF($E$2:E8097,"Outlook"),"")</f>
        <v/>
      </c>
      <c r="K8097">
        <f>IF(E8097="Domain",COUNTIF($E$2:E8097,"Domain"),"")</f>
        <v/>
      </c>
    </row>
    <row r="8098">
      <c r="A8098" s="2" t="n"/>
      <c r="B8098">
        <f>LOWER(TRIM(A8098))</f>
        <v/>
      </c>
      <c r="C8098">
        <f>IF(B8098="","",IFERROR(INDEX('Bad Patterns'!$A$2:$A$120,MATCH(1,INDEX(--ISNUMBER(SEARCH('Bad Patterns'!$A$2:$A$120,B8098)),0),0)),""))</f>
        <v/>
      </c>
      <c r="D8098">
        <f>IF(B8098="","",IF(C8098&lt;&gt;"","REMOVE","KEEP"))</f>
        <v/>
      </c>
      <c r="E8098">
        <f>IF(D8098&lt;&gt;"KEEP","",IF(RIGHT(B8098,10)="@gmail.com","Gmail",IF(OR(RIGHT(B8098,12)="@outlook.com",RIGHT(B8098,12)="@hotmail.com",RIGHT(B8098,9)="@live.com"),"Outlook","Domain")))</f>
        <v/>
      </c>
      <c r="F8098">
        <f>IF(B8098="","",IFERROR(RIGHT(B8098,LEN(B8098)-FIND("@",B8098)),""))</f>
        <v/>
      </c>
      <c r="G8098">
        <f>IF(D8098="KEEP",COUNTIF($D$2:D8098,"KEEP"),"")</f>
        <v/>
      </c>
      <c r="H8098">
        <f>IF(D8098="REMOVE",COUNTIF($D$2:D8098,"REMOVE"),"")</f>
        <v/>
      </c>
      <c r="I8098">
        <f>IF(E8098="Gmail",COUNTIF($E$2:E8098,"Gmail"),"")</f>
        <v/>
      </c>
      <c r="J8098">
        <f>IF(E8098="Outlook",COUNTIF($E$2:E8098,"Outlook"),"")</f>
        <v/>
      </c>
      <c r="K8098">
        <f>IF(E8098="Domain",COUNTIF($E$2:E8098,"Domain"),"")</f>
        <v/>
      </c>
    </row>
    <row r="8099">
      <c r="A8099" s="2" t="n"/>
      <c r="B8099">
        <f>LOWER(TRIM(A8099))</f>
        <v/>
      </c>
      <c r="C8099">
        <f>IF(B8099="","",IFERROR(INDEX('Bad Patterns'!$A$2:$A$120,MATCH(1,INDEX(--ISNUMBER(SEARCH('Bad Patterns'!$A$2:$A$120,B8099)),0),0)),""))</f>
        <v/>
      </c>
      <c r="D8099">
        <f>IF(B8099="","",IF(C8099&lt;&gt;"","REMOVE","KEEP"))</f>
        <v/>
      </c>
      <c r="E8099">
        <f>IF(D8099&lt;&gt;"KEEP","",IF(RIGHT(B8099,10)="@gmail.com","Gmail",IF(OR(RIGHT(B8099,12)="@outlook.com",RIGHT(B8099,12)="@hotmail.com",RIGHT(B8099,9)="@live.com"),"Outlook","Domain")))</f>
        <v/>
      </c>
      <c r="F8099">
        <f>IF(B8099="","",IFERROR(RIGHT(B8099,LEN(B8099)-FIND("@",B8099)),""))</f>
        <v/>
      </c>
      <c r="G8099">
        <f>IF(D8099="KEEP",COUNTIF($D$2:D8099,"KEEP"),"")</f>
        <v/>
      </c>
      <c r="H8099">
        <f>IF(D8099="REMOVE",COUNTIF($D$2:D8099,"REMOVE"),"")</f>
        <v/>
      </c>
      <c r="I8099">
        <f>IF(E8099="Gmail",COUNTIF($E$2:E8099,"Gmail"),"")</f>
        <v/>
      </c>
      <c r="J8099">
        <f>IF(E8099="Outlook",COUNTIF($E$2:E8099,"Outlook"),"")</f>
        <v/>
      </c>
      <c r="K8099">
        <f>IF(E8099="Domain",COUNTIF($E$2:E8099,"Domain"),"")</f>
        <v/>
      </c>
    </row>
    <row r="8100">
      <c r="A8100" s="2" t="n"/>
      <c r="B8100">
        <f>LOWER(TRIM(A8100))</f>
        <v/>
      </c>
      <c r="C8100">
        <f>IF(B8100="","",IFERROR(INDEX('Bad Patterns'!$A$2:$A$120,MATCH(1,INDEX(--ISNUMBER(SEARCH('Bad Patterns'!$A$2:$A$120,B8100)),0),0)),""))</f>
        <v/>
      </c>
      <c r="D8100">
        <f>IF(B8100="","",IF(C8100&lt;&gt;"","REMOVE","KEEP"))</f>
        <v/>
      </c>
      <c r="E8100">
        <f>IF(D8100&lt;&gt;"KEEP","",IF(RIGHT(B8100,10)="@gmail.com","Gmail",IF(OR(RIGHT(B8100,12)="@outlook.com",RIGHT(B8100,12)="@hotmail.com",RIGHT(B8100,9)="@live.com"),"Outlook","Domain")))</f>
        <v/>
      </c>
      <c r="F8100">
        <f>IF(B8100="","",IFERROR(RIGHT(B8100,LEN(B8100)-FIND("@",B8100)),""))</f>
        <v/>
      </c>
      <c r="G8100">
        <f>IF(D8100="KEEP",COUNTIF($D$2:D8100,"KEEP"),"")</f>
        <v/>
      </c>
      <c r="H8100">
        <f>IF(D8100="REMOVE",COUNTIF($D$2:D8100,"REMOVE"),"")</f>
        <v/>
      </c>
      <c r="I8100">
        <f>IF(E8100="Gmail",COUNTIF($E$2:E8100,"Gmail"),"")</f>
        <v/>
      </c>
      <c r="J8100">
        <f>IF(E8100="Outlook",COUNTIF($E$2:E8100,"Outlook"),"")</f>
        <v/>
      </c>
      <c r="K8100">
        <f>IF(E8100="Domain",COUNTIF($E$2:E8100,"Domain"),"")</f>
        <v/>
      </c>
    </row>
    <row r="8101">
      <c r="A8101" s="2" t="n"/>
      <c r="B8101">
        <f>LOWER(TRIM(A8101))</f>
        <v/>
      </c>
      <c r="C8101">
        <f>IF(B8101="","",IFERROR(INDEX('Bad Patterns'!$A$2:$A$120,MATCH(1,INDEX(--ISNUMBER(SEARCH('Bad Patterns'!$A$2:$A$120,B8101)),0),0)),""))</f>
        <v/>
      </c>
      <c r="D8101">
        <f>IF(B8101="","",IF(C8101&lt;&gt;"","REMOVE","KEEP"))</f>
        <v/>
      </c>
      <c r="E8101">
        <f>IF(D8101&lt;&gt;"KEEP","",IF(RIGHT(B8101,10)="@gmail.com","Gmail",IF(OR(RIGHT(B8101,12)="@outlook.com",RIGHT(B8101,12)="@hotmail.com",RIGHT(B8101,9)="@live.com"),"Outlook","Domain")))</f>
        <v/>
      </c>
      <c r="F8101">
        <f>IF(B8101="","",IFERROR(RIGHT(B8101,LEN(B8101)-FIND("@",B8101)),""))</f>
        <v/>
      </c>
      <c r="G8101">
        <f>IF(D8101="KEEP",COUNTIF($D$2:D8101,"KEEP"),"")</f>
        <v/>
      </c>
      <c r="H8101">
        <f>IF(D8101="REMOVE",COUNTIF($D$2:D8101,"REMOVE"),"")</f>
        <v/>
      </c>
      <c r="I8101">
        <f>IF(E8101="Gmail",COUNTIF($E$2:E8101,"Gmail"),"")</f>
        <v/>
      </c>
      <c r="J8101">
        <f>IF(E8101="Outlook",COUNTIF($E$2:E8101,"Outlook"),"")</f>
        <v/>
      </c>
      <c r="K8101">
        <f>IF(E8101="Domain",COUNTIF($E$2:E8101,"Domain"),"")</f>
        <v/>
      </c>
    </row>
    <row r="8102">
      <c r="A8102" s="2" t="n"/>
      <c r="B8102">
        <f>LOWER(TRIM(A8102))</f>
        <v/>
      </c>
      <c r="C8102">
        <f>IF(B8102="","",IFERROR(INDEX('Bad Patterns'!$A$2:$A$120,MATCH(1,INDEX(--ISNUMBER(SEARCH('Bad Patterns'!$A$2:$A$120,B8102)),0),0)),""))</f>
        <v/>
      </c>
      <c r="D8102">
        <f>IF(B8102="","",IF(C8102&lt;&gt;"","REMOVE","KEEP"))</f>
        <v/>
      </c>
      <c r="E8102">
        <f>IF(D8102&lt;&gt;"KEEP","",IF(RIGHT(B8102,10)="@gmail.com","Gmail",IF(OR(RIGHT(B8102,12)="@outlook.com",RIGHT(B8102,12)="@hotmail.com",RIGHT(B8102,9)="@live.com"),"Outlook","Domain")))</f>
        <v/>
      </c>
      <c r="F8102">
        <f>IF(B8102="","",IFERROR(RIGHT(B8102,LEN(B8102)-FIND("@",B8102)),""))</f>
        <v/>
      </c>
      <c r="G8102">
        <f>IF(D8102="KEEP",COUNTIF($D$2:D8102,"KEEP"),"")</f>
        <v/>
      </c>
      <c r="H8102">
        <f>IF(D8102="REMOVE",COUNTIF($D$2:D8102,"REMOVE"),"")</f>
        <v/>
      </c>
      <c r="I8102">
        <f>IF(E8102="Gmail",COUNTIF($E$2:E8102,"Gmail"),"")</f>
        <v/>
      </c>
      <c r="J8102">
        <f>IF(E8102="Outlook",COUNTIF($E$2:E8102,"Outlook"),"")</f>
        <v/>
      </c>
      <c r="K8102">
        <f>IF(E8102="Domain",COUNTIF($E$2:E8102,"Domain"),"")</f>
        <v/>
      </c>
    </row>
    <row r="8103">
      <c r="A8103" s="2" t="n"/>
      <c r="B8103">
        <f>LOWER(TRIM(A8103))</f>
        <v/>
      </c>
      <c r="C8103">
        <f>IF(B8103="","",IFERROR(INDEX('Bad Patterns'!$A$2:$A$120,MATCH(1,INDEX(--ISNUMBER(SEARCH('Bad Patterns'!$A$2:$A$120,B8103)),0),0)),""))</f>
        <v/>
      </c>
      <c r="D8103">
        <f>IF(B8103="","",IF(C8103&lt;&gt;"","REMOVE","KEEP"))</f>
        <v/>
      </c>
      <c r="E8103">
        <f>IF(D8103&lt;&gt;"KEEP","",IF(RIGHT(B8103,10)="@gmail.com","Gmail",IF(OR(RIGHT(B8103,12)="@outlook.com",RIGHT(B8103,12)="@hotmail.com",RIGHT(B8103,9)="@live.com"),"Outlook","Domain")))</f>
        <v/>
      </c>
      <c r="F8103">
        <f>IF(B8103="","",IFERROR(RIGHT(B8103,LEN(B8103)-FIND("@",B8103)),""))</f>
        <v/>
      </c>
      <c r="G8103">
        <f>IF(D8103="KEEP",COUNTIF($D$2:D8103,"KEEP"),"")</f>
        <v/>
      </c>
      <c r="H8103">
        <f>IF(D8103="REMOVE",COUNTIF($D$2:D8103,"REMOVE"),"")</f>
        <v/>
      </c>
      <c r="I8103">
        <f>IF(E8103="Gmail",COUNTIF($E$2:E8103,"Gmail"),"")</f>
        <v/>
      </c>
      <c r="J8103">
        <f>IF(E8103="Outlook",COUNTIF($E$2:E8103,"Outlook"),"")</f>
        <v/>
      </c>
      <c r="K8103">
        <f>IF(E8103="Domain",COUNTIF($E$2:E8103,"Domain"),"")</f>
        <v/>
      </c>
    </row>
    <row r="8104">
      <c r="A8104" s="2" t="n"/>
      <c r="B8104">
        <f>LOWER(TRIM(A8104))</f>
        <v/>
      </c>
      <c r="C8104">
        <f>IF(B8104="","",IFERROR(INDEX('Bad Patterns'!$A$2:$A$120,MATCH(1,INDEX(--ISNUMBER(SEARCH('Bad Patterns'!$A$2:$A$120,B8104)),0),0)),""))</f>
        <v/>
      </c>
      <c r="D8104">
        <f>IF(B8104="","",IF(C8104&lt;&gt;"","REMOVE","KEEP"))</f>
        <v/>
      </c>
      <c r="E8104">
        <f>IF(D8104&lt;&gt;"KEEP","",IF(RIGHT(B8104,10)="@gmail.com","Gmail",IF(OR(RIGHT(B8104,12)="@outlook.com",RIGHT(B8104,12)="@hotmail.com",RIGHT(B8104,9)="@live.com"),"Outlook","Domain")))</f>
        <v/>
      </c>
      <c r="F8104">
        <f>IF(B8104="","",IFERROR(RIGHT(B8104,LEN(B8104)-FIND("@",B8104)),""))</f>
        <v/>
      </c>
      <c r="G8104">
        <f>IF(D8104="KEEP",COUNTIF($D$2:D8104,"KEEP"),"")</f>
        <v/>
      </c>
      <c r="H8104">
        <f>IF(D8104="REMOVE",COUNTIF($D$2:D8104,"REMOVE"),"")</f>
        <v/>
      </c>
      <c r="I8104">
        <f>IF(E8104="Gmail",COUNTIF($E$2:E8104,"Gmail"),"")</f>
        <v/>
      </c>
      <c r="J8104">
        <f>IF(E8104="Outlook",COUNTIF($E$2:E8104,"Outlook"),"")</f>
        <v/>
      </c>
      <c r="K8104">
        <f>IF(E8104="Domain",COUNTIF($E$2:E8104,"Domain"),"")</f>
        <v/>
      </c>
    </row>
    <row r="8105">
      <c r="A8105" s="2" t="n"/>
      <c r="B8105">
        <f>LOWER(TRIM(A8105))</f>
        <v/>
      </c>
      <c r="C8105">
        <f>IF(B8105="","",IFERROR(INDEX('Bad Patterns'!$A$2:$A$120,MATCH(1,INDEX(--ISNUMBER(SEARCH('Bad Patterns'!$A$2:$A$120,B8105)),0),0)),""))</f>
        <v/>
      </c>
      <c r="D8105">
        <f>IF(B8105="","",IF(C8105&lt;&gt;"","REMOVE","KEEP"))</f>
        <v/>
      </c>
      <c r="E8105">
        <f>IF(D8105&lt;&gt;"KEEP","",IF(RIGHT(B8105,10)="@gmail.com","Gmail",IF(OR(RIGHT(B8105,12)="@outlook.com",RIGHT(B8105,12)="@hotmail.com",RIGHT(B8105,9)="@live.com"),"Outlook","Domain")))</f>
        <v/>
      </c>
      <c r="F8105">
        <f>IF(B8105="","",IFERROR(RIGHT(B8105,LEN(B8105)-FIND("@",B8105)),""))</f>
        <v/>
      </c>
      <c r="G8105">
        <f>IF(D8105="KEEP",COUNTIF($D$2:D8105,"KEEP"),"")</f>
        <v/>
      </c>
      <c r="H8105">
        <f>IF(D8105="REMOVE",COUNTIF($D$2:D8105,"REMOVE"),"")</f>
        <v/>
      </c>
      <c r="I8105">
        <f>IF(E8105="Gmail",COUNTIF($E$2:E8105,"Gmail"),"")</f>
        <v/>
      </c>
      <c r="J8105">
        <f>IF(E8105="Outlook",COUNTIF($E$2:E8105,"Outlook"),"")</f>
        <v/>
      </c>
      <c r="K8105">
        <f>IF(E8105="Domain",COUNTIF($E$2:E8105,"Domain"),"")</f>
        <v/>
      </c>
    </row>
    <row r="8106">
      <c r="A8106" s="2" t="n"/>
      <c r="B8106">
        <f>LOWER(TRIM(A8106))</f>
        <v/>
      </c>
      <c r="C8106">
        <f>IF(B8106="","",IFERROR(INDEX('Bad Patterns'!$A$2:$A$120,MATCH(1,INDEX(--ISNUMBER(SEARCH('Bad Patterns'!$A$2:$A$120,B8106)),0),0)),""))</f>
        <v/>
      </c>
      <c r="D8106">
        <f>IF(B8106="","",IF(C8106&lt;&gt;"","REMOVE","KEEP"))</f>
        <v/>
      </c>
      <c r="E8106">
        <f>IF(D8106&lt;&gt;"KEEP","",IF(RIGHT(B8106,10)="@gmail.com","Gmail",IF(OR(RIGHT(B8106,12)="@outlook.com",RIGHT(B8106,12)="@hotmail.com",RIGHT(B8106,9)="@live.com"),"Outlook","Domain")))</f>
        <v/>
      </c>
      <c r="F8106">
        <f>IF(B8106="","",IFERROR(RIGHT(B8106,LEN(B8106)-FIND("@",B8106)),""))</f>
        <v/>
      </c>
      <c r="G8106">
        <f>IF(D8106="KEEP",COUNTIF($D$2:D8106,"KEEP"),"")</f>
        <v/>
      </c>
      <c r="H8106">
        <f>IF(D8106="REMOVE",COUNTIF($D$2:D8106,"REMOVE"),"")</f>
        <v/>
      </c>
      <c r="I8106">
        <f>IF(E8106="Gmail",COUNTIF($E$2:E8106,"Gmail"),"")</f>
        <v/>
      </c>
      <c r="J8106">
        <f>IF(E8106="Outlook",COUNTIF($E$2:E8106,"Outlook"),"")</f>
        <v/>
      </c>
      <c r="K8106">
        <f>IF(E8106="Domain",COUNTIF($E$2:E8106,"Domain"),"")</f>
        <v/>
      </c>
    </row>
    <row r="8107">
      <c r="A8107" s="2" t="n"/>
      <c r="B8107">
        <f>LOWER(TRIM(A8107))</f>
        <v/>
      </c>
      <c r="C8107">
        <f>IF(B8107="","",IFERROR(INDEX('Bad Patterns'!$A$2:$A$120,MATCH(1,INDEX(--ISNUMBER(SEARCH('Bad Patterns'!$A$2:$A$120,B8107)),0),0)),""))</f>
        <v/>
      </c>
      <c r="D8107">
        <f>IF(B8107="","",IF(C8107&lt;&gt;"","REMOVE","KEEP"))</f>
        <v/>
      </c>
      <c r="E8107">
        <f>IF(D8107&lt;&gt;"KEEP","",IF(RIGHT(B8107,10)="@gmail.com","Gmail",IF(OR(RIGHT(B8107,12)="@outlook.com",RIGHT(B8107,12)="@hotmail.com",RIGHT(B8107,9)="@live.com"),"Outlook","Domain")))</f>
        <v/>
      </c>
      <c r="F8107">
        <f>IF(B8107="","",IFERROR(RIGHT(B8107,LEN(B8107)-FIND("@",B8107)),""))</f>
        <v/>
      </c>
      <c r="G8107">
        <f>IF(D8107="KEEP",COUNTIF($D$2:D8107,"KEEP"),"")</f>
        <v/>
      </c>
      <c r="H8107">
        <f>IF(D8107="REMOVE",COUNTIF($D$2:D8107,"REMOVE"),"")</f>
        <v/>
      </c>
      <c r="I8107">
        <f>IF(E8107="Gmail",COUNTIF($E$2:E8107,"Gmail"),"")</f>
        <v/>
      </c>
      <c r="J8107">
        <f>IF(E8107="Outlook",COUNTIF($E$2:E8107,"Outlook"),"")</f>
        <v/>
      </c>
      <c r="K8107">
        <f>IF(E8107="Domain",COUNTIF($E$2:E8107,"Domain"),"")</f>
        <v/>
      </c>
    </row>
    <row r="8108">
      <c r="A8108" s="2" t="n"/>
      <c r="B8108">
        <f>LOWER(TRIM(A8108))</f>
        <v/>
      </c>
      <c r="C8108">
        <f>IF(B8108="","",IFERROR(INDEX('Bad Patterns'!$A$2:$A$120,MATCH(1,INDEX(--ISNUMBER(SEARCH('Bad Patterns'!$A$2:$A$120,B8108)),0),0)),""))</f>
        <v/>
      </c>
      <c r="D8108">
        <f>IF(B8108="","",IF(C8108&lt;&gt;"","REMOVE","KEEP"))</f>
        <v/>
      </c>
      <c r="E8108">
        <f>IF(D8108&lt;&gt;"KEEP","",IF(RIGHT(B8108,10)="@gmail.com","Gmail",IF(OR(RIGHT(B8108,12)="@outlook.com",RIGHT(B8108,12)="@hotmail.com",RIGHT(B8108,9)="@live.com"),"Outlook","Domain")))</f>
        <v/>
      </c>
      <c r="F8108">
        <f>IF(B8108="","",IFERROR(RIGHT(B8108,LEN(B8108)-FIND("@",B8108)),""))</f>
        <v/>
      </c>
      <c r="G8108">
        <f>IF(D8108="KEEP",COUNTIF($D$2:D8108,"KEEP"),"")</f>
        <v/>
      </c>
      <c r="H8108">
        <f>IF(D8108="REMOVE",COUNTIF($D$2:D8108,"REMOVE"),"")</f>
        <v/>
      </c>
      <c r="I8108">
        <f>IF(E8108="Gmail",COUNTIF($E$2:E8108,"Gmail"),"")</f>
        <v/>
      </c>
      <c r="J8108">
        <f>IF(E8108="Outlook",COUNTIF($E$2:E8108,"Outlook"),"")</f>
        <v/>
      </c>
      <c r="K8108">
        <f>IF(E8108="Domain",COUNTIF($E$2:E8108,"Domain"),"")</f>
        <v/>
      </c>
    </row>
    <row r="8109">
      <c r="A8109" s="2" t="n"/>
      <c r="B8109">
        <f>LOWER(TRIM(A8109))</f>
        <v/>
      </c>
      <c r="C8109">
        <f>IF(B8109="","",IFERROR(INDEX('Bad Patterns'!$A$2:$A$120,MATCH(1,INDEX(--ISNUMBER(SEARCH('Bad Patterns'!$A$2:$A$120,B8109)),0),0)),""))</f>
        <v/>
      </c>
      <c r="D8109">
        <f>IF(B8109="","",IF(C8109&lt;&gt;"","REMOVE","KEEP"))</f>
        <v/>
      </c>
      <c r="E8109">
        <f>IF(D8109&lt;&gt;"KEEP","",IF(RIGHT(B8109,10)="@gmail.com","Gmail",IF(OR(RIGHT(B8109,12)="@outlook.com",RIGHT(B8109,12)="@hotmail.com",RIGHT(B8109,9)="@live.com"),"Outlook","Domain")))</f>
        <v/>
      </c>
      <c r="F8109">
        <f>IF(B8109="","",IFERROR(RIGHT(B8109,LEN(B8109)-FIND("@",B8109)),""))</f>
        <v/>
      </c>
      <c r="G8109">
        <f>IF(D8109="KEEP",COUNTIF($D$2:D8109,"KEEP"),"")</f>
        <v/>
      </c>
      <c r="H8109">
        <f>IF(D8109="REMOVE",COUNTIF($D$2:D8109,"REMOVE"),"")</f>
        <v/>
      </c>
      <c r="I8109">
        <f>IF(E8109="Gmail",COUNTIF($E$2:E8109,"Gmail"),"")</f>
        <v/>
      </c>
      <c r="J8109">
        <f>IF(E8109="Outlook",COUNTIF($E$2:E8109,"Outlook"),"")</f>
        <v/>
      </c>
      <c r="K8109">
        <f>IF(E8109="Domain",COUNTIF($E$2:E8109,"Domain"),"")</f>
        <v/>
      </c>
    </row>
    <row r="8110">
      <c r="A8110" s="2" t="n"/>
      <c r="B8110">
        <f>LOWER(TRIM(A8110))</f>
        <v/>
      </c>
      <c r="C8110">
        <f>IF(B8110="","",IFERROR(INDEX('Bad Patterns'!$A$2:$A$120,MATCH(1,INDEX(--ISNUMBER(SEARCH('Bad Patterns'!$A$2:$A$120,B8110)),0),0)),""))</f>
        <v/>
      </c>
      <c r="D8110">
        <f>IF(B8110="","",IF(C8110&lt;&gt;"","REMOVE","KEEP"))</f>
        <v/>
      </c>
      <c r="E8110">
        <f>IF(D8110&lt;&gt;"KEEP","",IF(RIGHT(B8110,10)="@gmail.com","Gmail",IF(OR(RIGHT(B8110,12)="@outlook.com",RIGHT(B8110,12)="@hotmail.com",RIGHT(B8110,9)="@live.com"),"Outlook","Domain")))</f>
        <v/>
      </c>
      <c r="F8110">
        <f>IF(B8110="","",IFERROR(RIGHT(B8110,LEN(B8110)-FIND("@",B8110)),""))</f>
        <v/>
      </c>
      <c r="G8110">
        <f>IF(D8110="KEEP",COUNTIF($D$2:D8110,"KEEP"),"")</f>
        <v/>
      </c>
      <c r="H8110">
        <f>IF(D8110="REMOVE",COUNTIF($D$2:D8110,"REMOVE"),"")</f>
        <v/>
      </c>
      <c r="I8110">
        <f>IF(E8110="Gmail",COUNTIF($E$2:E8110,"Gmail"),"")</f>
        <v/>
      </c>
      <c r="J8110">
        <f>IF(E8110="Outlook",COUNTIF($E$2:E8110,"Outlook"),"")</f>
        <v/>
      </c>
      <c r="K8110">
        <f>IF(E8110="Domain",COUNTIF($E$2:E8110,"Domain"),"")</f>
        <v/>
      </c>
    </row>
    <row r="8111">
      <c r="A8111" s="2" t="n"/>
      <c r="B8111">
        <f>LOWER(TRIM(A8111))</f>
        <v/>
      </c>
      <c r="C8111">
        <f>IF(B8111="","",IFERROR(INDEX('Bad Patterns'!$A$2:$A$120,MATCH(1,INDEX(--ISNUMBER(SEARCH('Bad Patterns'!$A$2:$A$120,B8111)),0),0)),""))</f>
        <v/>
      </c>
      <c r="D8111">
        <f>IF(B8111="","",IF(C8111&lt;&gt;"","REMOVE","KEEP"))</f>
        <v/>
      </c>
      <c r="E8111">
        <f>IF(D8111&lt;&gt;"KEEP","",IF(RIGHT(B8111,10)="@gmail.com","Gmail",IF(OR(RIGHT(B8111,12)="@outlook.com",RIGHT(B8111,12)="@hotmail.com",RIGHT(B8111,9)="@live.com"),"Outlook","Domain")))</f>
        <v/>
      </c>
      <c r="F8111">
        <f>IF(B8111="","",IFERROR(RIGHT(B8111,LEN(B8111)-FIND("@",B8111)),""))</f>
        <v/>
      </c>
      <c r="G8111">
        <f>IF(D8111="KEEP",COUNTIF($D$2:D8111,"KEEP"),"")</f>
        <v/>
      </c>
      <c r="H8111">
        <f>IF(D8111="REMOVE",COUNTIF($D$2:D8111,"REMOVE"),"")</f>
        <v/>
      </c>
      <c r="I8111">
        <f>IF(E8111="Gmail",COUNTIF($E$2:E8111,"Gmail"),"")</f>
        <v/>
      </c>
      <c r="J8111">
        <f>IF(E8111="Outlook",COUNTIF($E$2:E8111,"Outlook"),"")</f>
        <v/>
      </c>
      <c r="K8111">
        <f>IF(E8111="Domain",COUNTIF($E$2:E8111,"Domain"),"")</f>
        <v/>
      </c>
    </row>
    <row r="8112">
      <c r="A8112" s="2" t="n"/>
      <c r="B8112">
        <f>LOWER(TRIM(A8112))</f>
        <v/>
      </c>
      <c r="C8112">
        <f>IF(B8112="","",IFERROR(INDEX('Bad Patterns'!$A$2:$A$120,MATCH(1,INDEX(--ISNUMBER(SEARCH('Bad Patterns'!$A$2:$A$120,B8112)),0),0)),""))</f>
        <v/>
      </c>
      <c r="D8112">
        <f>IF(B8112="","",IF(C8112&lt;&gt;"","REMOVE","KEEP"))</f>
        <v/>
      </c>
      <c r="E8112">
        <f>IF(D8112&lt;&gt;"KEEP","",IF(RIGHT(B8112,10)="@gmail.com","Gmail",IF(OR(RIGHT(B8112,12)="@outlook.com",RIGHT(B8112,12)="@hotmail.com",RIGHT(B8112,9)="@live.com"),"Outlook","Domain")))</f>
        <v/>
      </c>
      <c r="F8112">
        <f>IF(B8112="","",IFERROR(RIGHT(B8112,LEN(B8112)-FIND("@",B8112)),""))</f>
        <v/>
      </c>
      <c r="G8112">
        <f>IF(D8112="KEEP",COUNTIF($D$2:D8112,"KEEP"),"")</f>
        <v/>
      </c>
      <c r="H8112">
        <f>IF(D8112="REMOVE",COUNTIF($D$2:D8112,"REMOVE"),"")</f>
        <v/>
      </c>
      <c r="I8112">
        <f>IF(E8112="Gmail",COUNTIF($E$2:E8112,"Gmail"),"")</f>
        <v/>
      </c>
      <c r="J8112">
        <f>IF(E8112="Outlook",COUNTIF($E$2:E8112,"Outlook"),"")</f>
        <v/>
      </c>
      <c r="K8112">
        <f>IF(E8112="Domain",COUNTIF($E$2:E8112,"Domain"),"")</f>
        <v/>
      </c>
    </row>
    <row r="8113">
      <c r="A8113" s="2" t="n"/>
      <c r="B8113">
        <f>LOWER(TRIM(A8113))</f>
        <v/>
      </c>
      <c r="C8113">
        <f>IF(B8113="","",IFERROR(INDEX('Bad Patterns'!$A$2:$A$120,MATCH(1,INDEX(--ISNUMBER(SEARCH('Bad Patterns'!$A$2:$A$120,B8113)),0),0)),""))</f>
        <v/>
      </c>
      <c r="D8113">
        <f>IF(B8113="","",IF(C8113&lt;&gt;"","REMOVE","KEEP"))</f>
        <v/>
      </c>
      <c r="E8113">
        <f>IF(D8113&lt;&gt;"KEEP","",IF(RIGHT(B8113,10)="@gmail.com","Gmail",IF(OR(RIGHT(B8113,12)="@outlook.com",RIGHT(B8113,12)="@hotmail.com",RIGHT(B8113,9)="@live.com"),"Outlook","Domain")))</f>
        <v/>
      </c>
      <c r="F8113">
        <f>IF(B8113="","",IFERROR(RIGHT(B8113,LEN(B8113)-FIND("@",B8113)),""))</f>
        <v/>
      </c>
      <c r="G8113">
        <f>IF(D8113="KEEP",COUNTIF($D$2:D8113,"KEEP"),"")</f>
        <v/>
      </c>
      <c r="H8113">
        <f>IF(D8113="REMOVE",COUNTIF($D$2:D8113,"REMOVE"),"")</f>
        <v/>
      </c>
      <c r="I8113">
        <f>IF(E8113="Gmail",COUNTIF($E$2:E8113,"Gmail"),"")</f>
        <v/>
      </c>
      <c r="J8113">
        <f>IF(E8113="Outlook",COUNTIF($E$2:E8113,"Outlook"),"")</f>
        <v/>
      </c>
      <c r="K8113">
        <f>IF(E8113="Domain",COUNTIF($E$2:E8113,"Domain"),"")</f>
        <v/>
      </c>
    </row>
    <row r="8114">
      <c r="A8114" s="2" t="n"/>
      <c r="B8114">
        <f>LOWER(TRIM(A8114))</f>
        <v/>
      </c>
      <c r="C8114">
        <f>IF(B8114="","",IFERROR(INDEX('Bad Patterns'!$A$2:$A$120,MATCH(1,INDEX(--ISNUMBER(SEARCH('Bad Patterns'!$A$2:$A$120,B8114)),0),0)),""))</f>
        <v/>
      </c>
      <c r="D8114">
        <f>IF(B8114="","",IF(C8114&lt;&gt;"","REMOVE","KEEP"))</f>
        <v/>
      </c>
      <c r="E8114">
        <f>IF(D8114&lt;&gt;"KEEP","",IF(RIGHT(B8114,10)="@gmail.com","Gmail",IF(OR(RIGHT(B8114,12)="@outlook.com",RIGHT(B8114,12)="@hotmail.com",RIGHT(B8114,9)="@live.com"),"Outlook","Domain")))</f>
        <v/>
      </c>
      <c r="F8114">
        <f>IF(B8114="","",IFERROR(RIGHT(B8114,LEN(B8114)-FIND("@",B8114)),""))</f>
        <v/>
      </c>
      <c r="G8114">
        <f>IF(D8114="KEEP",COUNTIF($D$2:D8114,"KEEP"),"")</f>
        <v/>
      </c>
      <c r="H8114">
        <f>IF(D8114="REMOVE",COUNTIF($D$2:D8114,"REMOVE"),"")</f>
        <v/>
      </c>
      <c r="I8114">
        <f>IF(E8114="Gmail",COUNTIF($E$2:E8114,"Gmail"),"")</f>
        <v/>
      </c>
      <c r="J8114">
        <f>IF(E8114="Outlook",COUNTIF($E$2:E8114,"Outlook"),"")</f>
        <v/>
      </c>
      <c r="K8114">
        <f>IF(E8114="Domain",COUNTIF($E$2:E8114,"Domain"),"")</f>
        <v/>
      </c>
    </row>
    <row r="8115">
      <c r="A8115" s="2" t="n"/>
      <c r="B8115">
        <f>LOWER(TRIM(A8115))</f>
        <v/>
      </c>
      <c r="C8115">
        <f>IF(B8115="","",IFERROR(INDEX('Bad Patterns'!$A$2:$A$120,MATCH(1,INDEX(--ISNUMBER(SEARCH('Bad Patterns'!$A$2:$A$120,B8115)),0),0)),""))</f>
        <v/>
      </c>
      <c r="D8115">
        <f>IF(B8115="","",IF(C8115&lt;&gt;"","REMOVE","KEEP"))</f>
        <v/>
      </c>
      <c r="E8115">
        <f>IF(D8115&lt;&gt;"KEEP","",IF(RIGHT(B8115,10)="@gmail.com","Gmail",IF(OR(RIGHT(B8115,12)="@outlook.com",RIGHT(B8115,12)="@hotmail.com",RIGHT(B8115,9)="@live.com"),"Outlook","Domain")))</f>
        <v/>
      </c>
      <c r="F8115">
        <f>IF(B8115="","",IFERROR(RIGHT(B8115,LEN(B8115)-FIND("@",B8115)),""))</f>
        <v/>
      </c>
      <c r="G8115">
        <f>IF(D8115="KEEP",COUNTIF($D$2:D8115,"KEEP"),"")</f>
        <v/>
      </c>
      <c r="H8115">
        <f>IF(D8115="REMOVE",COUNTIF($D$2:D8115,"REMOVE"),"")</f>
        <v/>
      </c>
      <c r="I8115">
        <f>IF(E8115="Gmail",COUNTIF($E$2:E8115,"Gmail"),"")</f>
        <v/>
      </c>
      <c r="J8115">
        <f>IF(E8115="Outlook",COUNTIF($E$2:E8115,"Outlook"),"")</f>
        <v/>
      </c>
      <c r="K8115">
        <f>IF(E8115="Domain",COUNTIF($E$2:E8115,"Domain"),"")</f>
        <v/>
      </c>
    </row>
    <row r="8116">
      <c r="A8116" s="2" t="n"/>
      <c r="B8116">
        <f>LOWER(TRIM(A8116))</f>
        <v/>
      </c>
      <c r="C8116">
        <f>IF(B8116="","",IFERROR(INDEX('Bad Patterns'!$A$2:$A$120,MATCH(1,INDEX(--ISNUMBER(SEARCH('Bad Patterns'!$A$2:$A$120,B8116)),0),0)),""))</f>
        <v/>
      </c>
      <c r="D8116">
        <f>IF(B8116="","",IF(C8116&lt;&gt;"","REMOVE","KEEP"))</f>
        <v/>
      </c>
      <c r="E8116">
        <f>IF(D8116&lt;&gt;"KEEP","",IF(RIGHT(B8116,10)="@gmail.com","Gmail",IF(OR(RIGHT(B8116,12)="@outlook.com",RIGHT(B8116,12)="@hotmail.com",RIGHT(B8116,9)="@live.com"),"Outlook","Domain")))</f>
        <v/>
      </c>
      <c r="F8116">
        <f>IF(B8116="","",IFERROR(RIGHT(B8116,LEN(B8116)-FIND("@",B8116)),""))</f>
        <v/>
      </c>
      <c r="G8116">
        <f>IF(D8116="KEEP",COUNTIF($D$2:D8116,"KEEP"),"")</f>
        <v/>
      </c>
      <c r="H8116">
        <f>IF(D8116="REMOVE",COUNTIF($D$2:D8116,"REMOVE"),"")</f>
        <v/>
      </c>
      <c r="I8116">
        <f>IF(E8116="Gmail",COUNTIF($E$2:E8116,"Gmail"),"")</f>
        <v/>
      </c>
      <c r="J8116">
        <f>IF(E8116="Outlook",COUNTIF($E$2:E8116,"Outlook"),"")</f>
        <v/>
      </c>
      <c r="K8116">
        <f>IF(E8116="Domain",COUNTIF($E$2:E8116,"Domain"),"")</f>
        <v/>
      </c>
    </row>
    <row r="8117">
      <c r="A8117" s="2" t="n"/>
      <c r="B8117">
        <f>LOWER(TRIM(A8117))</f>
        <v/>
      </c>
      <c r="C8117">
        <f>IF(B8117="","",IFERROR(INDEX('Bad Patterns'!$A$2:$A$120,MATCH(1,INDEX(--ISNUMBER(SEARCH('Bad Patterns'!$A$2:$A$120,B8117)),0),0)),""))</f>
        <v/>
      </c>
      <c r="D8117">
        <f>IF(B8117="","",IF(C8117&lt;&gt;"","REMOVE","KEEP"))</f>
        <v/>
      </c>
      <c r="E8117">
        <f>IF(D8117&lt;&gt;"KEEP","",IF(RIGHT(B8117,10)="@gmail.com","Gmail",IF(OR(RIGHT(B8117,12)="@outlook.com",RIGHT(B8117,12)="@hotmail.com",RIGHT(B8117,9)="@live.com"),"Outlook","Domain")))</f>
        <v/>
      </c>
      <c r="F8117">
        <f>IF(B8117="","",IFERROR(RIGHT(B8117,LEN(B8117)-FIND("@",B8117)),""))</f>
        <v/>
      </c>
      <c r="G8117">
        <f>IF(D8117="KEEP",COUNTIF($D$2:D8117,"KEEP"),"")</f>
        <v/>
      </c>
      <c r="H8117">
        <f>IF(D8117="REMOVE",COUNTIF($D$2:D8117,"REMOVE"),"")</f>
        <v/>
      </c>
      <c r="I8117">
        <f>IF(E8117="Gmail",COUNTIF($E$2:E8117,"Gmail"),"")</f>
        <v/>
      </c>
      <c r="J8117">
        <f>IF(E8117="Outlook",COUNTIF($E$2:E8117,"Outlook"),"")</f>
        <v/>
      </c>
      <c r="K8117">
        <f>IF(E8117="Domain",COUNTIF($E$2:E8117,"Domain"),"")</f>
        <v/>
      </c>
    </row>
    <row r="8118">
      <c r="A8118" s="2" t="n"/>
      <c r="B8118">
        <f>LOWER(TRIM(A8118))</f>
        <v/>
      </c>
      <c r="C8118">
        <f>IF(B8118="","",IFERROR(INDEX('Bad Patterns'!$A$2:$A$120,MATCH(1,INDEX(--ISNUMBER(SEARCH('Bad Patterns'!$A$2:$A$120,B8118)),0),0)),""))</f>
        <v/>
      </c>
      <c r="D8118">
        <f>IF(B8118="","",IF(C8118&lt;&gt;"","REMOVE","KEEP"))</f>
        <v/>
      </c>
      <c r="E8118">
        <f>IF(D8118&lt;&gt;"KEEP","",IF(RIGHT(B8118,10)="@gmail.com","Gmail",IF(OR(RIGHT(B8118,12)="@outlook.com",RIGHT(B8118,12)="@hotmail.com",RIGHT(B8118,9)="@live.com"),"Outlook","Domain")))</f>
        <v/>
      </c>
      <c r="F8118">
        <f>IF(B8118="","",IFERROR(RIGHT(B8118,LEN(B8118)-FIND("@",B8118)),""))</f>
        <v/>
      </c>
      <c r="G8118">
        <f>IF(D8118="KEEP",COUNTIF($D$2:D8118,"KEEP"),"")</f>
        <v/>
      </c>
      <c r="H8118">
        <f>IF(D8118="REMOVE",COUNTIF($D$2:D8118,"REMOVE"),"")</f>
        <v/>
      </c>
      <c r="I8118">
        <f>IF(E8118="Gmail",COUNTIF($E$2:E8118,"Gmail"),"")</f>
        <v/>
      </c>
      <c r="J8118">
        <f>IF(E8118="Outlook",COUNTIF($E$2:E8118,"Outlook"),"")</f>
        <v/>
      </c>
      <c r="K8118">
        <f>IF(E8118="Domain",COUNTIF($E$2:E8118,"Domain"),"")</f>
        <v/>
      </c>
    </row>
    <row r="8119">
      <c r="A8119" s="2" t="n"/>
      <c r="B8119">
        <f>LOWER(TRIM(A8119))</f>
        <v/>
      </c>
      <c r="C8119">
        <f>IF(B8119="","",IFERROR(INDEX('Bad Patterns'!$A$2:$A$120,MATCH(1,INDEX(--ISNUMBER(SEARCH('Bad Patterns'!$A$2:$A$120,B8119)),0),0)),""))</f>
        <v/>
      </c>
      <c r="D8119">
        <f>IF(B8119="","",IF(C8119&lt;&gt;"","REMOVE","KEEP"))</f>
        <v/>
      </c>
      <c r="E8119">
        <f>IF(D8119&lt;&gt;"KEEP","",IF(RIGHT(B8119,10)="@gmail.com","Gmail",IF(OR(RIGHT(B8119,12)="@outlook.com",RIGHT(B8119,12)="@hotmail.com",RIGHT(B8119,9)="@live.com"),"Outlook","Domain")))</f>
        <v/>
      </c>
      <c r="F8119">
        <f>IF(B8119="","",IFERROR(RIGHT(B8119,LEN(B8119)-FIND("@",B8119)),""))</f>
        <v/>
      </c>
      <c r="G8119">
        <f>IF(D8119="KEEP",COUNTIF($D$2:D8119,"KEEP"),"")</f>
        <v/>
      </c>
      <c r="H8119">
        <f>IF(D8119="REMOVE",COUNTIF($D$2:D8119,"REMOVE"),"")</f>
        <v/>
      </c>
      <c r="I8119">
        <f>IF(E8119="Gmail",COUNTIF($E$2:E8119,"Gmail"),"")</f>
        <v/>
      </c>
      <c r="J8119">
        <f>IF(E8119="Outlook",COUNTIF($E$2:E8119,"Outlook"),"")</f>
        <v/>
      </c>
      <c r="K8119">
        <f>IF(E8119="Domain",COUNTIF($E$2:E8119,"Domain"),"")</f>
        <v/>
      </c>
    </row>
    <row r="8120">
      <c r="A8120" s="2" t="n"/>
      <c r="B8120">
        <f>LOWER(TRIM(A8120))</f>
        <v/>
      </c>
      <c r="C8120">
        <f>IF(B8120="","",IFERROR(INDEX('Bad Patterns'!$A$2:$A$120,MATCH(1,INDEX(--ISNUMBER(SEARCH('Bad Patterns'!$A$2:$A$120,B8120)),0),0)),""))</f>
        <v/>
      </c>
      <c r="D8120">
        <f>IF(B8120="","",IF(C8120&lt;&gt;"","REMOVE","KEEP"))</f>
        <v/>
      </c>
      <c r="E8120">
        <f>IF(D8120&lt;&gt;"KEEP","",IF(RIGHT(B8120,10)="@gmail.com","Gmail",IF(OR(RIGHT(B8120,12)="@outlook.com",RIGHT(B8120,12)="@hotmail.com",RIGHT(B8120,9)="@live.com"),"Outlook","Domain")))</f>
        <v/>
      </c>
      <c r="F8120">
        <f>IF(B8120="","",IFERROR(RIGHT(B8120,LEN(B8120)-FIND("@",B8120)),""))</f>
        <v/>
      </c>
      <c r="G8120">
        <f>IF(D8120="KEEP",COUNTIF($D$2:D8120,"KEEP"),"")</f>
        <v/>
      </c>
      <c r="H8120">
        <f>IF(D8120="REMOVE",COUNTIF($D$2:D8120,"REMOVE"),"")</f>
        <v/>
      </c>
      <c r="I8120">
        <f>IF(E8120="Gmail",COUNTIF($E$2:E8120,"Gmail"),"")</f>
        <v/>
      </c>
      <c r="J8120">
        <f>IF(E8120="Outlook",COUNTIF($E$2:E8120,"Outlook"),"")</f>
        <v/>
      </c>
      <c r="K8120">
        <f>IF(E8120="Domain",COUNTIF($E$2:E8120,"Domain"),"")</f>
        <v/>
      </c>
    </row>
    <row r="8121">
      <c r="A8121" s="2" t="n"/>
      <c r="B8121">
        <f>LOWER(TRIM(A8121))</f>
        <v/>
      </c>
      <c r="C8121">
        <f>IF(B8121="","",IFERROR(INDEX('Bad Patterns'!$A$2:$A$120,MATCH(1,INDEX(--ISNUMBER(SEARCH('Bad Patterns'!$A$2:$A$120,B8121)),0),0)),""))</f>
        <v/>
      </c>
      <c r="D8121">
        <f>IF(B8121="","",IF(C8121&lt;&gt;"","REMOVE","KEEP"))</f>
        <v/>
      </c>
      <c r="E8121">
        <f>IF(D8121&lt;&gt;"KEEP","",IF(RIGHT(B8121,10)="@gmail.com","Gmail",IF(OR(RIGHT(B8121,12)="@outlook.com",RIGHT(B8121,12)="@hotmail.com",RIGHT(B8121,9)="@live.com"),"Outlook","Domain")))</f>
        <v/>
      </c>
      <c r="F8121">
        <f>IF(B8121="","",IFERROR(RIGHT(B8121,LEN(B8121)-FIND("@",B8121)),""))</f>
        <v/>
      </c>
      <c r="G8121">
        <f>IF(D8121="KEEP",COUNTIF($D$2:D8121,"KEEP"),"")</f>
        <v/>
      </c>
      <c r="H8121">
        <f>IF(D8121="REMOVE",COUNTIF($D$2:D8121,"REMOVE"),"")</f>
        <v/>
      </c>
      <c r="I8121">
        <f>IF(E8121="Gmail",COUNTIF($E$2:E8121,"Gmail"),"")</f>
        <v/>
      </c>
      <c r="J8121">
        <f>IF(E8121="Outlook",COUNTIF($E$2:E8121,"Outlook"),"")</f>
        <v/>
      </c>
      <c r="K8121">
        <f>IF(E8121="Domain",COUNTIF($E$2:E8121,"Domain"),"")</f>
        <v/>
      </c>
    </row>
    <row r="8122">
      <c r="A8122" s="2" t="n"/>
      <c r="B8122">
        <f>LOWER(TRIM(A8122))</f>
        <v/>
      </c>
      <c r="C8122">
        <f>IF(B8122="","",IFERROR(INDEX('Bad Patterns'!$A$2:$A$120,MATCH(1,INDEX(--ISNUMBER(SEARCH('Bad Patterns'!$A$2:$A$120,B8122)),0),0)),""))</f>
        <v/>
      </c>
      <c r="D8122">
        <f>IF(B8122="","",IF(C8122&lt;&gt;"","REMOVE","KEEP"))</f>
        <v/>
      </c>
      <c r="E8122">
        <f>IF(D8122&lt;&gt;"KEEP","",IF(RIGHT(B8122,10)="@gmail.com","Gmail",IF(OR(RIGHT(B8122,12)="@outlook.com",RIGHT(B8122,12)="@hotmail.com",RIGHT(B8122,9)="@live.com"),"Outlook","Domain")))</f>
        <v/>
      </c>
      <c r="F8122">
        <f>IF(B8122="","",IFERROR(RIGHT(B8122,LEN(B8122)-FIND("@",B8122)),""))</f>
        <v/>
      </c>
      <c r="G8122">
        <f>IF(D8122="KEEP",COUNTIF($D$2:D8122,"KEEP"),"")</f>
        <v/>
      </c>
      <c r="H8122">
        <f>IF(D8122="REMOVE",COUNTIF($D$2:D8122,"REMOVE"),"")</f>
        <v/>
      </c>
      <c r="I8122">
        <f>IF(E8122="Gmail",COUNTIF($E$2:E8122,"Gmail"),"")</f>
        <v/>
      </c>
      <c r="J8122">
        <f>IF(E8122="Outlook",COUNTIF($E$2:E8122,"Outlook"),"")</f>
        <v/>
      </c>
      <c r="K8122">
        <f>IF(E8122="Domain",COUNTIF($E$2:E8122,"Domain"),"")</f>
        <v/>
      </c>
    </row>
    <row r="8123">
      <c r="A8123" s="2" t="n"/>
      <c r="B8123">
        <f>LOWER(TRIM(A8123))</f>
        <v/>
      </c>
      <c r="C8123">
        <f>IF(B8123="","",IFERROR(INDEX('Bad Patterns'!$A$2:$A$120,MATCH(1,INDEX(--ISNUMBER(SEARCH('Bad Patterns'!$A$2:$A$120,B8123)),0),0)),""))</f>
        <v/>
      </c>
      <c r="D8123">
        <f>IF(B8123="","",IF(C8123&lt;&gt;"","REMOVE","KEEP"))</f>
        <v/>
      </c>
      <c r="E8123">
        <f>IF(D8123&lt;&gt;"KEEP","",IF(RIGHT(B8123,10)="@gmail.com","Gmail",IF(OR(RIGHT(B8123,12)="@outlook.com",RIGHT(B8123,12)="@hotmail.com",RIGHT(B8123,9)="@live.com"),"Outlook","Domain")))</f>
        <v/>
      </c>
      <c r="F8123">
        <f>IF(B8123="","",IFERROR(RIGHT(B8123,LEN(B8123)-FIND("@",B8123)),""))</f>
        <v/>
      </c>
      <c r="G8123">
        <f>IF(D8123="KEEP",COUNTIF($D$2:D8123,"KEEP"),"")</f>
        <v/>
      </c>
      <c r="H8123">
        <f>IF(D8123="REMOVE",COUNTIF($D$2:D8123,"REMOVE"),"")</f>
        <v/>
      </c>
      <c r="I8123">
        <f>IF(E8123="Gmail",COUNTIF($E$2:E8123,"Gmail"),"")</f>
        <v/>
      </c>
      <c r="J8123">
        <f>IF(E8123="Outlook",COUNTIF($E$2:E8123,"Outlook"),"")</f>
        <v/>
      </c>
      <c r="K8123">
        <f>IF(E8123="Domain",COUNTIF($E$2:E8123,"Domain"),"")</f>
        <v/>
      </c>
    </row>
    <row r="8124">
      <c r="A8124" s="2" t="n"/>
      <c r="B8124">
        <f>LOWER(TRIM(A8124))</f>
        <v/>
      </c>
      <c r="C8124">
        <f>IF(B8124="","",IFERROR(INDEX('Bad Patterns'!$A$2:$A$120,MATCH(1,INDEX(--ISNUMBER(SEARCH('Bad Patterns'!$A$2:$A$120,B8124)),0),0)),""))</f>
        <v/>
      </c>
      <c r="D8124">
        <f>IF(B8124="","",IF(C8124&lt;&gt;"","REMOVE","KEEP"))</f>
        <v/>
      </c>
      <c r="E8124">
        <f>IF(D8124&lt;&gt;"KEEP","",IF(RIGHT(B8124,10)="@gmail.com","Gmail",IF(OR(RIGHT(B8124,12)="@outlook.com",RIGHT(B8124,12)="@hotmail.com",RIGHT(B8124,9)="@live.com"),"Outlook","Domain")))</f>
        <v/>
      </c>
      <c r="F8124">
        <f>IF(B8124="","",IFERROR(RIGHT(B8124,LEN(B8124)-FIND("@",B8124)),""))</f>
        <v/>
      </c>
      <c r="G8124">
        <f>IF(D8124="KEEP",COUNTIF($D$2:D8124,"KEEP"),"")</f>
        <v/>
      </c>
      <c r="H8124">
        <f>IF(D8124="REMOVE",COUNTIF($D$2:D8124,"REMOVE"),"")</f>
        <v/>
      </c>
      <c r="I8124">
        <f>IF(E8124="Gmail",COUNTIF($E$2:E8124,"Gmail"),"")</f>
        <v/>
      </c>
      <c r="J8124">
        <f>IF(E8124="Outlook",COUNTIF($E$2:E8124,"Outlook"),"")</f>
        <v/>
      </c>
      <c r="K8124">
        <f>IF(E8124="Domain",COUNTIF($E$2:E8124,"Domain"),"")</f>
        <v/>
      </c>
    </row>
    <row r="8125">
      <c r="A8125" s="2" t="n"/>
      <c r="B8125">
        <f>LOWER(TRIM(A8125))</f>
        <v/>
      </c>
      <c r="C8125">
        <f>IF(B8125="","",IFERROR(INDEX('Bad Patterns'!$A$2:$A$120,MATCH(1,INDEX(--ISNUMBER(SEARCH('Bad Patterns'!$A$2:$A$120,B8125)),0),0)),""))</f>
        <v/>
      </c>
      <c r="D8125">
        <f>IF(B8125="","",IF(C8125&lt;&gt;"","REMOVE","KEEP"))</f>
        <v/>
      </c>
      <c r="E8125">
        <f>IF(D8125&lt;&gt;"KEEP","",IF(RIGHT(B8125,10)="@gmail.com","Gmail",IF(OR(RIGHT(B8125,12)="@outlook.com",RIGHT(B8125,12)="@hotmail.com",RIGHT(B8125,9)="@live.com"),"Outlook","Domain")))</f>
        <v/>
      </c>
      <c r="F8125">
        <f>IF(B8125="","",IFERROR(RIGHT(B8125,LEN(B8125)-FIND("@",B8125)),""))</f>
        <v/>
      </c>
      <c r="G8125">
        <f>IF(D8125="KEEP",COUNTIF($D$2:D8125,"KEEP"),"")</f>
        <v/>
      </c>
      <c r="H8125">
        <f>IF(D8125="REMOVE",COUNTIF($D$2:D8125,"REMOVE"),"")</f>
        <v/>
      </c>
      <c r="I8125">
        <f>IF(E8125="Gmail",COUNTIF($E$2:E8125,"Gmail"),"")</f>
        <v/>
      </c>
      <c r="J8125">
        <f>IF(E8125="Outlook",COUNTIF($E$2:E8125,"Outlook"),"")</f>
        <v/>
      </c>
      <c r="K8125">
        <f>IF(E8125="Domain",COUNTIF($E$2:E8125,"Domain"),"")</f>
        <v/>
      </c>
    </row>
    <row r="8126">
      <c r="A8126" s="2" t="n"/>
      <c r="B8126">
        <f>LOWER(TRIM(A8126))</f>
        <v/>
      </c>
      <c r="C8126">
        <f>IF(B8126="","",IFERROR(INDEX('Bad Patterns'!$A$2:$A$120,MATCH(1,INDEX(--ISNUMBER(SEARCH('Bad Patterns'!$A$2:$A$120,B8126)),0),0)),""))</f>
        <v/>
      </c>
      <c r="D8126">
        <f>IF(B8126="","",IF(C8126&lt;&gt;"","REMOVE","KEEP"))</f>
        <v/>
      </c>
      <c r="E8126">
        <f>IF(D8126&lt;&gt;"KEEP","",IF(RIGHT(B8126,10)="@gmail.com","Gmail",IF(OR(RIGHT(B8126,12)="@outlook.com",RIGHT(B8126,12)="@hotmail.com",RIGHT(B8126,9)="@live.com"),"Outlook","Domain")))</f>
        <v/>
      </c>
      <c r="F8126">
        <f>IF(B8126="","",IFERROR(RIGHT(B8126,LEN(B8126)-FIND("@",B8126)),""))</f>
        <v/>
      </c>
      <c r="G8126">
        <f>IF(D8126="KEEP",COUNTIF($D$2:D8126,"KEEP"),"")</f>
        <v/>
      </c>
      <c r="H8126">
        <f>IF(D8126="REMOVE",COUNTIF($D$2:D8126,"REMOVE"),"")</f>
        <v/>
      </c>
      <c r="I8126">
        <f>IF(E8126="Gmail",COUNTIF($E$2:E8126,"Gmail"),"")</f>
        <v/>
      </c>
      <c r="J8126">
        <f>IF(E8126="Outlook",COUNTIF($E$2:E8126,"Outlook"),"")</f>
        <v/>
      </c>
      <c r="K8126">
        <f>IF(E8126="Domain",COUNTIF($E$2:E8126,"Domain"),"")</f>
        <v/>
      </c>
    </row>
    <row r="8127">
      <c r="A8127" s="2" t="n"/>
      <c r="B8127">
        <f>LOWER(TRIM(A8127))</f>
        <v/>
      </c>
      <c r="C8127">
        <f>IF(B8127="","",IFERROR(INDEX('Bad Patterns'!$A$2:$A$120,MATCH(1,INDEX(--ISNUMBER(SEARCH('Bad Patterns'!$A$2:$A$120,B8127)),0),0)),""))</f>
        <v/>
      </c>
      <c r="D8127">
        <f>IF(B8127="","",IF(C8127&lt;&gt;"","REMOVE","KEEP"))</f>
        <v/>
      </c>
      <c r="E8127">
        <f>IF(D8127&lt;&gt;"KEEP","",IF(RIGHT(B8127,10)="@gmail.com","Gmail",IF(OR(RIGHT(B8127,12)="@outlook.com",RIGHT(B8127,12)="@hotmail.com",RIGHT(B8127,9)="@live.com"),"Outlook","Domain")))</f>
        <v/>
      </c>
      <c r="F8127">
        <f>IF(B8127="","",IFERROR(RIGHT(B8127,LEN(B8127)-FIND("@",B8127)),""))</f>
        <v/>
      </c>
      <c r="G8127">
        <f>IF(D8127="KEEP",COUNTIF($D$2:D8127,"KEEP"),"")</f>
        <v/>
      </c>
      <c r="H8127">
        <f>IF(D8127="REMOVE",COUNTIF($D$2:D8127,"REMOVE"),"")</f>
        <v/>
      </c>
      <c r="I8127">
        <f>IF(E8127="Gmail",COUNTIF($E$2:E8127,"Gmail"),"")</f>
        <v/>
      </c>
      <c r="J8127">
        <f>IF(E8127="Outlook",COUNTIF($E$2:E8127,"Outlook"),"")</f>
        <v/>
      </c>
      <c r="K8127">
        <f>IF(E8127="Domain",COUNTIF($E$2:E8127,"Domain"),"")</f>
        <v/>
      </c>
    </row>
    <row r="8128">
      <c r="A8128" s="2" t="n"/>
      <c r="B8128">
        <f>LOWER(TRIM(A8128))</f>
        <v/>
      </c>
      <c r="C8128">
        <f>IF(B8128="","",IFERROR(INDEX('Bad Patterns'!$A$2:$A$120,MATCH(1,INDEX(--ISNUMBER(SEARCH('Bad Patterns'!$A$2:$A$120,B8128)),0),0)),""))</f>
        <v/>
      </c>
      <c r="D8128">
        <f>IF(B8128="","",IF(C8128&lt;&gt;"","REMOVE","KEEP"))</f>
        <v/>
      </c>
      <c r="E8128">
        <f>IF(D8128&lt;&gt;"KEEP","",IF(RIGHT(B8128,10)="@gmail.com","Gmail",IF(OR(RIGHT(B8128,12)="@outlook.com",RIGHT(B8128,12)="@hotmail.com",RIGHT(B8128,9)="@live.com"),"Outlook","Domain")))</f>
        <v/>
      </c>
      <c r="F8128">
        <f>IF(B8128="","",IFERROR(RIGHT(B8128,LEN(B8128)-FIND("@",B8128)),""))</f>
        <v/>
      </c>
      <c r="G8128">
        <f>IF(D8128="KEEP",COUNTIF($D$2:D8128,"KEEP"),"")</f>
        <v/>
      </c>
      <c r="H8128">
        <f>IF(D8128="REMOVE",COUNTIF($D$2:D8128,"REMOVE"),"")</f>
        <v/>
      </c>
      <c r="I8128">
        <f>IF(E8128="Gmail",COUNTIF($E$2:E8128,"Gmail"),"")</f>
        <v/>
      </c>
      <c r="J8128">
        <f>IF(E8128="Outlook",COUNTIF($E$2:E8128,"Outlook"),"")</f>
        <v/>
      </c>
      <c r="K8128">
        <f>IF(E8128="Domain",COUNTIF($E$2:E8128,"Domain"),"")</f>
        <v/>
      </c>
    </row>
    <row r="8129">
      <c r="A8129" s="2" t="n"/>
      <c r="B8129">
        <f>LOWER(TRIM(A8129))</f>
        <v/>
      </c>
      <c r="C8129">
        <f>IF(B8129="","",IFERROR(INDEX('Bad Patterns'!$A$2:$A$120,MATCH(1,INDEX(--ISNUMBER(SEARCH('Bad Patterns'!$A$2:$A$120,B8129)),0),0)),""))</f>
        <v/>
      </c>
      <c r="D8129">
        <f>IF(B8129="","",IF(C8129&lt;&gt;"","REMOVE","KEEP"))</f>
        <v/>
      </c>
      <c r="E8129">
        <f>IF(D8129&lt;&gt;"KEEP","",IF(RIGHT(B8129,10)="@gmail.com","Gmail",IF(OR(RIGHT(B8129,12)="@outlook.com",RIGHT(B8129,12)="@hotmail.com",RIGHT(B8129,9)="@live.com"),"Outlook","Domain")))</f>
        <v/>
      </c>
      <c r="F8129">
        <f>IF(B8129="","",IFERROR(RIGHT(B8129,LEN(B8129)-FIND("@",B8129)),""))</f>
        <v/>
      </c>
      <c r="G8129">
        <f>IF(D8129="KEEP",COUNTIF($D$2:D8129,"KEEP"),"")</f>
        <v/>
      </c>
      <c r="H8129">
        <f>IF(D8129="REMOVE",COUNTIF($D$2:D8129,"REMOVE"),"")</f>
        <v/>
      </c>
      <c r="I8129">
        <f>IF(E8129="Gmail",COUNTIF($E$2:E8129,"Gmail"),"")</f>
        <v/>
      </c>
      <c r="J8129">
        <f>IF(E8129="Outlook",COUNTIF($E$2:E8129,"Outlook"),"")</f>
        <v/>
      </c>
      <c r="K8129">
        <f>IF(E8129="Domain",COUNTIF($E$2:E8129,"Domain"),"")</f>
        <v/>
      </c>
    </row>
    <row r="8130">
      <c r="A8130" s="2" t="n"/>
      <c r="B8130">
        <f>LOWER(TRIM(A8130))</f>
        <v/>
      </c>
      <c r="C8130">
        <f>IF(B8130="","",IFERROR(INDEX('Bad Patterns'!$A$2:$A$120,MATCH(1,INDEX(--ISNUMBER(SEARCH('Bad Patterns'!$A$2:$A$120,B8130)),0),0)),""))</f>
        <v/>
      </c>
      <c r="D8130">
        <f>IF(B8130="","",IF(C8130&lt;&gt;"","REMOVE","KEEP"))</f>
        <v/>
      </c>
      <c r="E8130">
        <f>IF(D8130&lt;&gt;"KEEP","",IF(RIGHT(B8130,10)="@gmail.com","Gmail",IF(OR(RIGHT(B8130,12)="@outlook.com",RIGHT(B8130,12)="@hotmail.com",RIGHT(B8130,9)="@live.com"),"Outlook","Domain")))</f>
        <v/>
      </c>
      <c r="F8130">
        <f>IF(B8130="","",IFERROR(RIGHT(B8130,LEN(B8130)-FIND("@",B8130)),""))</f>
        <v/>
      </c>
      <c r="G8130">
        <f>IF(D8130="KEEP",COUNTIF($D$2:D8130,"KEEP"),"")</f>
        <v/>
      </c>
      <c r="H8130">
        <f>IF(D8130="REMOVE",COUNTIF($D$2:D8130,"REMOVE"),"")</f>
        <v/>
      </c>
      <c r="I8130">
        <f>IF(E8130="Gmail",COUNTIF($E$2:E8130,"Gmail"),"")</f>
        <v/>
      </c>
      <c r="J8130">
        <f>IF(E8130="Outlook",COUNTIF($E$2:E8130,"Outlook"),"")</f>
        <v/>
      </c>
      <c r="K8130">
        <f>IF(E8130="Domain",COUNTIF($E$2:E8130,"Domain"),"")</f>
        <v/>
      </c>
    </row>
    <row r="8131">
      <c r="A8131" s="2" t="n"/>
      <c r="B8131">
        <f>LOWER(TRIM(A8131))</f>
        <v/>
      </c>
      <c r="C8131">
        <f>IF(B8131="","",IFERROR(INDEX('Bad Patterns'!$A$2:$A$120,MATCH(1,INDEX(--ISNUMBER(SEARCH('Bad Patterns'!$A$2:$A$120,B8131)),0),0)),""))</f>
        <v/>
      </c>
      <c r="D8131">
        <f>IF(B8131="","",IF(C8131&lt;&gt;"","REMOVE","KEEP"))</f>
        <v/>
      </c>
      <c r="E8131">
        <f>IF(D8131&lt;&gt;"KEEP","",IF(RIGHT(B8131,10)="@gmail.com","Gmail",IF(OR(RIGHT(B8131,12)="@outlook.com",RIGHT(B8131,12)="@hotmail.com",RIGHT(B8131,9)="@live.com"),"Outlook","Domain")))</f>
        <v/>
      </c>
      <c r="F8131">
        <f>IF(B8131="","",IFERROR(RIGHT(B8131,LEN(B8131)-FIND("@",B8131)),""))</f>
        <v/>
      </c>
      <c r="G8131">
        <f>IF(D8131="KEEP",COUNTIF($D$2:D8131,"KEEP"),"")</f>
        <v/>
      </c>
      <c r="H8131">
        <f>IF(D8131="REMOVE",COUNTIF($D$2:D8131,"REMOVE"),"")</f>
        <v/>
      </c>
      <c r="I8131">
        <f>IF(E8131="Gmail",COUNTIF($E$2:E8131,"Gmail"),"")</f>
        <v/>
      </c>
      <c r="J8131">
        <f>IF(E8131="Outlook",COUNTIF($E$2:E8131,"Outlook"),"")</f>
        <v/>
      </c>
      <c r="K8131">
        <f>IF(E8131="Domain",COUNTIF($E$2:E8131,"Domain"),"")</f>
        <v/>
      </c>
    </row>
    <row r="8132">
      <c r="A8132" s="2" t="n"/>
      <c r="B8132">
        <f>LOWER(TRIM(A8132))</f>
        <v/>
      </c>
      <c r="C8132">
        <f>IF(B8132="","",IFERROR(INDEX('Bad Patterns'!$A$2:$A$120,MATCH(1,INDEX(--ISNUMBER(SEARCH('Bad Patterns'!$A$2:$A$120,B8132)),0),0)),""))</f>
        <v/>
      </c>
      <c r="D8132">
        <f>IF(B8132="","",IF(C8132&lt;&gt;"","REMOVE","KEEP"))</f>
        <v/>
      </c>
      <c r="E8132">
        <f>IF(D8132&lt;&gt;"KEEP","",IF(RIGHT(B8132,10)="@gmail.com","Gmail",IF(OR(RIGHT(B8132,12)="@outlook.com",RIGHT(B8132,12)="@hotmail.com",RIGHT(B8132,9)="@live.com"),"Outlook","Domain")))</f>
        <v/>
      </c>
      <c r="F8132">
        <f>IF(B8132="","",IFERROR(RIGHT(B8132,LEN(B8132)-FIND("@",B8132)),""))</f>
        <v/>
      </c>
      <c r="G8132">
        <f>IF(D8132="KEEP",COUNTIF($D$2:D8132,"KEEP"),"")</f>
        <v/>
      </c>
      <c r="H8132">
        <f>IF(D8132="REMOVE",COUNTIF($D$2:D8132,"REMOVE"),"")</f>
        <v/>
      </c>
      <c r="I8132">
        <f>IF(E8132="Gmail",COUNTIF($E$2:E8132,"Gmail"),"")</f>
        <v/>
      </c>
      <c r="J8132">
        <f>IF(E8132="Outlook",COUNTIF($E$2:E8132,"Outlook"),"")</f>
        <v/>
      </c>
      <c r="K8132">
        <f>IF(E8132="Domain",COUNTIF($E$2:E8132,"Domain"),"")</f>
        <v/>
      </c>
    </row>
    <row r="8133">
      <c r="A8133" s="2" t="n"/>
      <c r="B8133">
        <f>LOWER(TRIM(A8133))</f>
        <v/>
      </c>
      <c r="C8133">
        <f>IF(B8133="","",IFERROR(INDEX('Bad Patterns'!$A$2:$A$120,MATCH(1,INDEX(--ISNUMBER(SEARCH('Bad Patterns'!$A$2:$A$120,B8133)),0),0)),""))</f>
        <v/>
      </c>
      <c r="D8133">
        <f>IF(B8133="","",IF(C8133&lt;&gt;"","REMOVE","KEEP"))</f>
        <v/>
      </c>
      <c r="E8133">
        <f>IF(D8133&lt;&gt;"KEEP","",IF(RIGHT(B8133,10)="@gmail.com","Gmail",IF(OR(RIGHT(B8133,12)="@outlook.com",RIGHT(B8133,12)="@hotmail.com",RIGHT(B8133,9)="@live.com"),"Outlook","Domain")))</f>
        <v/>
      </c>
      <c r="F8133">
        <f>IF(B8133="","",IFERROR(RIGHT(B8133,LEN(B8133)-FIND("@",B8133)),""))</f>
        <v/>
      </c>
      <c r="G8133">
        <f>IF(D8133="KEEP",COUNTIF($D$2:D8133,"KEEP"),"")</f>
        <v/>
      </c>
      <c r="H8133">
        <f>IF(D8133="REMOVE",COUNTIF($D$2:D8133,"REMOVE"),"")</f>
        <v/>
      </c>
      <c r="I8133">
        <f>IF(E8133="Gmail",COUNTIF($E$2:E8133,"Gmail"),"")</f>
        <v/>
      </c>
      <c r="J8133">
        <f>IF(E8133="Outlook",COUNTIF($E$2:E8133,"Outlook"),"")</f>
        <v/>
      </c>
      <c r="K8133">
        <f>IF(E8133="Domain",COUNTIF($E$2:E8133,"Domain"),"")</f>
        <v/>
      </c>
    </row>
    <row r="8134">
      <c r="A8134" s="2" t="n"/>
      <c r="B8134">
        <f>LOWER(TRIM(A8134))</f>
        <v/>
      </c>
      <c r="C8134">
        <f>IF(B8134="","",IFERROR(INDEX('Bad Patterns'!$A$2:$A$120,MATCH(1,INDEX(--ISNUMBER(SEARCH('Bad Patterns'!$A$2:$A$120,B8134)),0),0)),""))</f>
        <v/>
      </c>
      <c r="D8134">
        <f>IF(B8134="","",IF(C8134&lt;&gt;"","REMOVE","KEEP"))</f>
        <v/>
      </c>
      <c r="E8134">
        <f>IF(D8134&lt;&gt;"KEEP","",IF(RIGHT(B8134,10)="@gmail.com","Gmail",IF(OR(RIGHT(B8134,12)="@outlook.com",RIGHT(B8134,12)="@hotmail.com",RIGHT(B8134,9)="@live.com"),"Outlook","Domain")))</f>
        <v/>
      </c>
      <c r="F8134">
        <f>IF(B8134="","",IFERROR(RIGHT(B8134,LEN(B8134)-FIND("@",B8134)),""))</f>
        <v/>
      </c>
      <c r="G8134">
        <f>IF(D8134="KEEP",COUNTIF($D$2:D8134,"KEEP"),"")</f>
        <v/>
      </c>
      <c r="H8134">
        <f>IF(D8134="REMOVE",COUNTIF($D$2:D8134,"REMOVE"),"")</f>
        <v/>
      </c>
      <c r="I8134">
        <f>IF(E8134="Gmail",COUNTIF($E$2:E8134,"Gmail"),"")</f>
        <v/>
      </c>
      <c r="J8134">
        <f>IF(E8134="Outlook",COUNTIF($E$2:E8134,"Outlook"),"")</f>
        <v/>
      </c>
      <c r="K8134">
        <f>IF(E8134="Domain",COUNTIF($E$2:E8134,"Domain"),"")</f>
        <v/>
      </c>
    </row>
    <row r="8135">
      <c r="A8135" s="2" t="n"/>
      <c r="B8135">
        <f>LOWER(TRIM(A8135))</f>
        <v/>
      </c>
      <c r="C8135">
        <f>IF(B8135="","",IFERROR(INDEX('Bad Patterns'!$A$2:$A$120,MATCH(1,INDEX(--ISNUMBER(SEARCH('Bad Patterns'!$A$2:$A$120,B8135)),0),0)),""))</f>
        <v/>
      </c>
      <c r="D8135">
        <f>IF(B8135="","",IF(C8135&lt;&gt;"","REMOVE","KEEP"))</f>
        <v/>
      </c>
      <c r="E8135">
        <f>IF(D8135&lt;&gt;"KEEP","",IF(RIGHT(B8135,10)="@gmail.com","Gmail",IF(OR(RIGHT(B8135,12)="@outlook.com",RIGHT(B8135,12)="@hotmail.com",RIGHT(B8135,9)="@live.com"),"Outlook","Domain")))</f>
        <v/>
      </c>
      <c r="F8135">
        <f>IF(B8135="","",IFERROR(RIGHT(B8135,LEN(B8135)-FIND("@",B8135)),""))</f>
        <v/>
      </c>
      <c r="G8135">
        <f>IF(D8135="KEEP",COUNTIF($D$2:D8135,"KEEP"),"")</f>
        <v/>
      </c>
      <c r="H8135">
        <f>IF(D8135="REMOVE",COUNTIF($D$2:D8135,"REMOVE"),"")</f>
        <v/>
      </c>
      <c r="I8135">
        <f>IF(E8135="Gmail",COUNTIF($E$2:E8135,"Gmail"),"")</f>
        <v/>
      </c>
      <c r="J8135">
        <f>IF(E8135="Outlook",COUNTIF($E$2:E8135,"Outlook"),"")</f>
        <v/>
      </c>
      <c r="K8135">
        <f>IF(E8135="Domain",COUNTIF($E$2:E8135,"Domain"),"")</f>
        <v/>
      </c>
    </row>
    <row r="8136">
      <c r="A8136" s="2" t="n"/>
      <c r="B8136">
        <f>LOWER(TRIM(A8136))</f>
        <v/>
      </c>
      <c r="C8136">
        <f>IF(B8136="","",IFERROR(INDEX('Bad Patterns'!$A$2:$A$120,MATCH(1,INDEX(--ISNUMBER(SEARCH('Bad Patterns'!$A$2:$A$120,B8136)),0),0)),""))</f>
        <v/>
      </c>
      <c r="D8136">
        <f>IF(B8136="","",IF(C8136&lt;&gt;"","REMOVE","KEEP"))</f>
        <v/>
      </c>
      <c r="E8136">
        <f>IF(D8136&lt;&gt;"KEEP","",IF(RIGHT(B8136,10)="@gmail.com","Gmail",IF(OR(RIGHT(B8136,12)="@outlook.com",RIGHT(B8136,12)="@hotmail.com",RIGHT(B8136,9)="@live.com"),"Outlook","Domain")))</f>
        <v/>
      </c>
      <c r="F8136">
        <f>IF(B8136="","",IFERROR(RIGHT(B8136,LEN(B8136)-FIND("@",B8136)),""))</f>
        <v/>
      </c>
      <c r="G8136">
        <f>IF(D8136="KEEP",COUNTIF($D$2:D8136,"KEEP"),"")</f>
        <v/>
      </c>
      <c r="H8136">
        <f>IF(D8136="REMOVE",COUNTIF($D$2:D8136,"REMOVE"),"")</f>
        <v/>
      </c>
      <c r="I8136">
        <f>IF(E8136="Gmail",COUNTIF($E$2:E8136,"Gmail"),"")</f>
        <v/>
      </c>
      <c r="J8136">
        <f>IF(E8136="Outlook",COUNTIF($E$2:E8136,"Outlook"),"")</f>
        <v/>
      </c>
      <c r="K8136">
        <f>IF(E8136="Domain",COUNTIF($E$2:E8136,"Domain"),"")</f>
        <v/>
      </c>
    </row>
    <row r="8137">
      <c r="A8137" s="2" t="n"/>
      <c r="B8137">
        <f>LOWER(TRIM(A8137))</f>
        <v/>
      </c>
      <c r="C8137">
        <f>IF(B8137="","",IFERROR(INDEX('Bad Patterns'!$A$2:$A$120,MATCH(1,INDEX(--ISNUMBER(SEARCH('Bad Patterns'!$A$2:$A$120,B8137)),0),0)),""))</f>
        <v/>
      </c>
      <c r="D8137">
        <f>IF(B8137="","",IF(C8137&lt;&gt;"","REMOVE","KEEP"))</f>
        <v/>
      </c>
      <c r="E8137">
        <f>IF(D8137&lt;&gt;"KEEP","",IF(RIGHT(B8137,10)="@gmail.com","Gmail",IF(OR(RIGHT(B8137,12)="@outlook.com",RIGHT(B8137,12)="@hotmail.com",RIGHT(B8137,9)="@live.com"),"Outlook","Domain")))</f>
        <v/>
      </c>
      <c r="F8137">
        <f>IF(B8137="","",IFERROR(RIGHT(B8137,LEN(B8137)-FIND("@",B8137)),""))</f>
        <v/>
      </c>
      <c r="G8137">
        <f>IF(D8137="KEEP",COUNTIF($D$2:D8137,"KEEP"),"")</f>
        <v/>
      </c>
      <c r="H8137">
        <f>IF(D8137="REMOVE",COUNTIF($D$2:D8137,"REMOVE"),"")</f>
        <v/>
      </c>
      <c r="I8137">
        <f>IF(E8137="Gmail",COUNTIF($E$2:E8137,"Gmail"),"")</f>
        <v/>
      </c>
      <c r="J8137">
        <f>IF(E8137="Outlook",COUNTIF($E$2:E8137,"Outlook"),"")</f>
        <v/>
      </c>
      <c r="K8137">
        <f>IF(E8137="Domain",COUNTIF($E$2:E8137,"Domain"),"")</f>
        <v/>
      </c>
    </row>
    <row r="8138">
      <c r="A8138" s="2" t="n"/>
      <c r="B8138">
        <f>LOWER(TRIM(A8138))</f>
        <v/>
      </c>
      <c r="C8138">
        <f>IF(B8138="","",IFERROR(INDEX('Bad Patterns'!$A$2:$A$120,MATCH(1,INDEX(--ISNUMBER(SEARCH('Bad Patterns'!$A$2:$A$120,B8138)),0),0)),""))</f>
        <v/>
      </c>
      <c r="D8138">
        <f>IF(B8138="","",IF(C8138&lt;&gt;"","REMOVE","KEEP"))</f>
        <v/>
      </c>
      <c r="E8138">
        <f>IF(D8138&lt;&gt;"KEEP","",IF(RIGHT(B8138,10)="@gmail.com","Gmail",IF(OR(RIGHT(B8138,12)="@outlook.com",RIGHT(B8138,12)="@hotmail.com",RIGHT(B8138,9)="@live.com"),"Outlook","Domain")))</f>
        <v/>
      </c>
      <c r="F8138">
        <f>IF(B8138="","",IFERROR(RIGHT(B8138,LEN(B8138)-FIND("@",B8138)),""))</f>
        <v/>
      </c>
      <c r="G8138">
        <f>IF(D8138="KEEP",COUNTIF($D$2:D8138,"KEEP"),"")</f>
        <v/>
      </c>
      <c r="H8138">
        <f>IF(D8138="REMOVE",COUNTIF($D$2:D8138,"REMOVE"),"")</f>
        <v/>
      </c>
      <c r="I8138">
        <f>IF(E8138="Gmail",COUNTIF($E$2:E8138,"Gmail"),"")</f>
        <v/>
      </c>
      <c r="J8138">
        <f>IF(E8138="Outlook",COUNTIF($E$2:E8138,"Outlook"),"")</f>
        <v/>
      </c>
      <c r="K8138">
        <f>IF(E8138="Domain",COUNTIF($E$2:E8138,"Domain"),"")</f>
        <v/>
      </c>
    </row>
    <row r="8139">
      <c r="A8139" s="2" t="n"/>
      <c r="B8139">
        <f>LOWER(TRIM(A8139))</f>
        <v/>
      </c>
      <c r="C8139">
        <f>IF(B8139="","",IFERROR(INDEX('Bad Patterns'!$A$2:$A$120,MATCH(1,INDEX(--ISNUMBER(SEARCH('Bad Patterns'!$A$2:$A$120,B8139)),0),0)),""))</f>
        <v/>
      </c>
      <c r="D8139">
        <f>IF(B8139="","",IF(C8139&lt;&gt;"","REMOVE","KEEP"))</f>
        <v/>
      </c>
      <c r="E8139">
        <f>IF(D8139&lt;&gt;"KEEP","",IF(RIGHT(B8139,10)="@gmail.com","Gmail",IF(OR(RIGHT(B8139,12)="@outlook.com",RIGHT(B8139,12)="@hotmail.com",RIGHT(B8139,9)="@live.com"),"Outlook","Domain")))</f>
        <v/>
      </c>
      <c r="F8139">
        <f>IF(B8139="","",IFERROR(RIGHT(B8139,LEN(B8139)-FIND("@",B8139)),""))</f>
        <v/>
      </c>
      <c r="G8139">
        <f>IF(D8139="KEEP",COUNTIF($D$2:D8139,"KEEP"),"")</f>
        <v/>
      </c>
      <c r="H8139">
        <f>IF(D8139="REMOVE",COUNTIF($D$2:D8139,"REMOVE"),"")</f>
        <v/>
      </c>
      <c r="I8139">
        <f>IF(E8139="Gmail",COUNTIF($E$2:E8139,"Gmail"),"")</f>
        <v/>
      </c>
      <c r="J8139">
        <f>IF(E8139="Outlook",COUNTIF($E$2:E8139,"Outlook"),"")</f>
        <v/>
      </c>
      <c r="K8139">
        <f>IF(E8139="Domain",COUNTIF($E$2:E8139,"Domain"),"")</f>
        <v/>
      </c>
    </row>
    <row r="8140">
      <c r="A8140" s="2" t="n"/>
      <c r="B8140">
        <f>LOWER(TRIM(A8140))</f>
        <v/>
      </c>
      <c r="C8140">
        <f>IF(B8140="","",IFERROR(INDEX('Bad Patterns'!$A$2:$A$120,MATCH(1,INDEX(--ISNUMBER(SEARCH('Bad Patterns'!$A$2:$A$120,B8140)),0),0)),""))</f>
        <v/>
      </c>
      <c r="D8140">
        <f>IF(B8140="","",IF(C8140&lt;&gt;"","REMOVE","KEEP"))</f>
        <v/>
      </c>
      <c r="E8140">
        <f>IF(D8140&lt;&gt;"KEEP","",IF(RIGHT(B8140,10)="@gmail.com","Gmail",IF(OR(RIGHT(B8140,12)="@outlook.com",RIGHT(B8140,12)="@hotmail.com",RIGHT(B8140,9)="@live.com"),"Outlook","Domain")))</f>
        <v/>
      </c>
      <c r="F8140">
        <f>IF(B8140="","",IFERROR(RIGHT(B8140,LEN(B8140)-FIND("@",B8140)),""))</f>
        <v/>
      </c>
      <c r="G8140">
        <f>IF(D8140="KEEP",COUNTIF($D$2:D8140,"KEEP"),"")</f>
        <v/>
      </c>
      <c r="H8140">
        <f>IF(D8140="REMOVE",COUNTIF($D$2:D8140,"REMOVE"),"")</f>
        <v/>
      </c>
      <c r="I8140">
        <f>IF(E8140="Gmail",COUNTIF($E$2:E8140,"Gmail"),"")</f>
        <v/>
      </c>
      <c r="J8140">
        <f>IF(E8140="Outlook",COUNTIF($E$2:E8140,"Outlook"),"")</f>
        <v/>
      </c>
      <c r="K8140">
        <f>IF(E8140="Domain",COUNTIF($E$2:E8140,"Domain"),"")</f>
        <v/>
      </c>
    </row>
    <row r="8141">
      <c r="A8141" s="2" t="n"/>
      <c r="B8141">
        <f>LOWER(TRIM(A8141))</f>
        <v/>
      </c>
      <c r="C8141">
        <f>IF(B8141="","",IFERROR(INDEX('Bad Patterns'!$A$2:$A$120,MATCH(1,INDEX(--ISNUMBER(SEARCH('Bad Patterns'!$A$2:$A$120,B8141)),0),0)),""))</f>
        <v/>
      </c>
      <c r="D8141">
        <f>IF(B8141="","",IF(C8141&lt;&gt;"","REMOVE","KEEP"))</f>
        <v/>
      </c>
      <c r="E8141">
        <f>IF(D8141&lt;&gt;"KEEP","",IF(RIGHT(B8141,10)="@gmail.com","Gmail",IF(OR(RIGHT(B8141,12)="@outlook.com",RIGHT(B8141,12)="@hotmail.com",RIGHT(B8141,9)="@live.com"),"Outlook","Domain")))</f>
        <v/>
      </c>
      <c r="F8141">
        <f>IF(B8141="","",IFERROR(RIGHT(B8141,LEN(B8141)-FIND("@",B8141)),""))</f>
        <v/>
      </c>
      <c r="G8141">
        <f>IF(D8141="KEEP",COUNTIF($D$2:D8141,"KEEP"),"")</f>
        <v/>
      </c>
      <c r="H8141">
        <f>IF(D8141="REMOVE",COUNTIF($D$2:D8141,"REMOVE"),"")</f>
        <v/>
      </c>
      <c r="I8141">
        <f>IF(E8141="Gmail",COUNTIF($E$2:E8141,"Gmail"),"")</f>
        <v/>
      </c>
      <c r="J8141">
        <f>IF(E8141="Outlook",COUNTIF($E$2:E8141,"Outlook"),"")</f>
        <v/>
      </c>
      <c r="K8141">
        <f>IF(E8141="Domain",COUNTIF($E$2:E8141,"Domain"),"")</f>
        <v/>
      </c>
    </row>
    <row r="8142">
      <c r="A8142" s="2" t="n"/>
      <c r="B8142">
        <f>LOWER(TRIM(A8142))</f>
        <v/>
      </c>
      <c r="C8142">
        <f>IF(B8142="","",IFERROR(INDEX('Bad Patterns'!$A$2:$A$120,MATCH(1,INDEX(--ISNUMBER(SEARCH('Bad Patterns'!$A$2:$A$120,B8142)),0),0)),""))</f>
        <v/>
      </c>
      <c r="D8142">
        <f>IF(B8142="","",IF(C8142&lt;&gt;"","REMOVE","KEEP"))</f>
        <v/>
      </c>
      <c r="E8142">
        <f>IF(D8142&lt;&gt;"KEEP","",IF(RIGHT(B8142,10)="@gmail.com","Gmail",IF(OR(RIGHT(B8142,12)="@outlook.com",RIGHT(B8142,12)="@hotmail.com",RIGHT(B8142,9)="@live.com"),"Outlook","Domain")))</f>
        <v/>
      </c>
      <c r="F8142">
        <f>IF(B8142="","",IFERROR(RIGHT(B8142,LEN(B8142)-FIND("@",B8142)),""))</f>
        <v/>
      </c>
      <c r="G8142">
        <f>IF(D8142="KEEP",COUNTIF($D$2:D8142,"KEEP"),"")</f>
        <v/>
      </c>
      <c r="H8142">
        <f>IF(D8142="REMOVE",COUNTIF($D$2:D8142,"REMOVE"),"")</f>
        <v/>
      </c>
      <c r="I8142">
        <f>IF(E8142="Gmail",COUNTIF($E$2:E8142,"Gmail"),"")</f>
        <v/>
      </c>
      <c r="J8142">
        <f>IF(E8142="Outlook",COUNTIF($E$2:E8142,"Outlook"),"")</f>
        <v/>
      </c>
      <c r="K8142">
        <f>IF(E8142="Domain",COUNTIF($E$2:E8142,"Domain"),"")</f>
        <v/>
      </c>
    </row>
    <row r="8143">
      <c r="A8143" s="2" t="n"/>
      <c r="B8143">
        <f>LOWER(TRIM(A8143))</f>
        <v/>
      </c>
      <c r="C8143">
        <f>IF(B8143="","",IFERROR(INDEX('Bad Patterns'!$A$2:$A$120,MATCH(1,INDEX(--ISNUMBER(SEARCH('Bad Patterns'!$A$2:$A$120,B8143)),0),0)),""))</f>
        <v/>
      </c>
      <c r="D8143">
        <f>IF(B8143="","",IF(C8143&lt;&gt;"","REMOVE","KEEP"))</f>
        <v/>
      </c>
      <c r="E8143">
        <f>IF(D8143&lt;&gt;"KEEP","",IF(RIGHT(B8143,10)="@gmail.com","Gmail",IF(OR(RIGHT(B8143,12)="@outlook.com",RIGHT(B8143,12)="@hotmail.com",RIGHT(B8143,9)="@live.com"),"Outlook","Domain")))</f>
        <v/>
      </c>
      <c r="F8143">
        <f>IF(B8143="","",IFERROR(RIGHT(B8143,LEN(B8143)-FIND("@",B8143)),""))</f>
        <v/>
      </c>
      <c r="G8143">
        <f>IF(D8143="KEEP",COUNTIF($D$2:D8143,"KEEP"),"")</f>
        <v/>
      </c>
      <c r="H8143">
        <f>IF(D8143="REMOVE",COUNTIF($D$2:D8143,"REMOVE"),"")</f>
        <v/>
      </c>
      <c r="I8143">
        <f>IF(E8143="Gmail",COUNTIF($E$2:E8143,"Gmail"),"")</f>
        <v/>
      </c>
      <c r="J8143">
        <f>IF(E8143="Outlook",COUNTIF($E$2:E8143,"Outlook"),"")</f>
        <v/>
      </c>
      <c r="K8143">
        <f>IF(E8143="Domain",COUNTIF($E$2:E8143,"Domain"),"")</f>
        <v/>
      </c>
    </row>
    <row r="8144">
      <c r="A8144" s="2" t="n"/>
      <c r="B8144">
        <f>LOWER(TRIM(A8144))</f>
        <v/>
      </c>
      <c r="C8144">
        <f>IF(B8144="","",IFERROR(INDEX('Bad Patterns'!$A$2:$A$120,MATCH(1,INDEX(--ISNUMBER(SEARCH('Bad Patterns'!$A$2:$A$120,B8144)),0),0)),""))</f>
        <v/>
      </c>
      <c r="D8144">
        <f>IF(B8144="","",IF(C8144&lt;&gt;"","REMOVE","KEEP"))</f>
        <v/>
      </c>
      <c r="E8144">
        <f>IF(D8144&lt;&gt;"KEEP","",IF(RIGHT(B8144,10)="@gmail.com","Gmail",IF(OR(RIGHT(B8144,12)="@outlook.com",RIGHT(B8144,12)="@hotmail.com",RIGHT(B8144,9)="@live.com"),"Outlook","Domain")))</f>
        <v/>
      </c>
      <c r="F8144">
        <f>IF(B8144="","",IFERROR(RIGHT(B8144,LEN(B8144)-FIND("@",B8144)),""))</f>
        <v/>
      </c>
      <c r="G8144">
        <f>IF(D8144="KEEP",COUNTIF($D$2:D8144,"KEEP"),"")</f>
        <v/>
      </c>
      <c r="H8144">
        <f>IF(D8144="REMOVE",COUNTIF($D$2:D8144,"REMOVE"),"")</f>
        <v/>
      </c>
      <c r="I8144">
        <f>IF(E8144="Gmail",COUNTIF($E$2:E8144,"Gmail"),"")</f>
        <v/>
      </c>
      <c r="J8144">
        <f>IF(E8144="Outlook",COUNTIF($E$2:E8144,"Outlook"),"")</f>
        <v/>
      </c>
      <c r="K8144">
        <f>IF(E8144="Domain",COUNTIF($E$2:E8144,"Domain"),"")</f>
        <v/>
      </c>
    </row>
    <row r="8145">
      <c r="A8145" s="2" t="n"/>
      <c r="B8145">
        <f>LOWER(TRIM(A8145))</f>
        <v/>
      </c>
      <c r="C8145">
        <f>IF(B8145="","",IFERROR(INDEX('Bad Patterns'!$A$2:$A$120,MATCH(1,INDEX(--ISNUMBER(SEARCH('Bad Patterns'!$A$2:$A$120,B8145)),0),0)),""))</f>
        <v/>
      </c>
      <c r="D8145">
        <f>IF(B8145="","",IF(C8145&lt;&gt;"","REMOVE","KEEP"))</f>
        <v/>
      </c>
      <c r="E8145">
        <f>IF(D8145&lt;&gt;"KEEP","",IF(RIGHT(B8145,10)="@gmail.com","Gmail",IF(OR(RIGHT(B8145,12)="@outlook.com",RIGHT(B8145,12)="@hotmail.com",RIGHT(B8145,9)="@live.com"),"Outlook","Domain")))</f>
        <v/>
      </c>
      <c r="F8145">
        <f>IF(B8145="","",IFERROR(RIGHT(B8145,LEN(B8145)-FIND("@",B8145)),""))</f>
        <v/>
      </c>
      <c r="G8145">
        <f>IF(D8145="KEEP",COUNTIF($D$2:D8145,"KEEP"),"")</f>
        <v/>
      </c>
      <c r="H8145">
        <f>IF(D8145="REMOVE",COUNTIF($D$2:D8145,"REMOVE"),"")</f>
        <v/>
      </c>
      <c r="I8145">
        <f>IF(E8145="Gmail",COUNTIF($E$2:E8145,"Gmail"),"")</f>
        <v/>
      </c>
      <c r="J8145">
        <f>IF(E8145="Outlook",COUNTIF($E$2:E8145,"Outlook"),"")</f>
        <v/>
      </c>
      <c r="K8145">
        <f>IF(E8145="Domain",COUNTIF($E$2:E8145,"Domain"),"")</f>
        <v/>
      </c>
    </row>
    <row r="8146">
      <c r="A8146" s="2" t="n"/>
      <c r="B8146">
        <f>LOWER(TRIM(A8146))</f>
        <v/>
      </c>
      <c r="C8146">
        <f>IF(B8146="","",IFERROR(INDEX('Bad Patterns'!$A$2:$A$120,MATCH(1,INDEX(--ISNUMBER(SEARCH('Bad Patterns'!$A$2:$A$120,B8146)),0),0)),""))</f>
        <v/>
      </c>
      <c r="D8146">
        <f>IF(B8146="","",IF(C8146&lt;&gt;"","REMOVE","KEEP"))</f>
        <v/>
      </c>
      <c r="E8146">
        <f>IF(D8146&lt;&gt;"KEEP","",IF(RIGHT(B8146,10)="@gmail.com","Gmail",IF(OR(RIGHT(B8146,12)="@outlook.com",RIGHT(B8146,12)="@hotmail.com",RIGHT(B8146,9)="@live.com"),"Outlook","Domain")))</f>
        <v/>
      </c>
      <c r="F8146">
        <f>IF(B8146="","",IFERROR(RIGHT(B8146,LEN(B8146)-FIND("@",B8146)),""))</f>
        <v/>
      </c>
      <c r="G8146">
        <f>IF(D8146="KEEP",COUNTIF($D$2:D8146,"KEEP"),"")</f>
        <v/>
      </c>
      <c r="H8146">
        <f>IF(D8146="REMOVE",COUNTIF($D$2:D8146,"REMOVE"),"")</f>
        <v/>
      </c>
      <c r="I8146">
        <f>IF(E8146="Gmail",COUNTIF($E$2:E8146,"Gmail"),"")</f>
        <v/>
      </c>
      <c r="J8146">
        <f>IF(E8146="Outlook",COUNTIF($E$2:E8146,"Outlook"),"")</f>
        <v/>
      </c>
      <c r="K8146">
        <f>IF(E8146="Domain",COUNTIF($E$2:E8146,"Domain"),"")</f>
        <v/>
      </c>
    </row>
    <row r="8147">
      <c r="A8147" s="2" t="n"/>
      <c r="B8147">
        <f>LOWER(TRIM(A8147))</f>
        <v/>
      </c>
      <c r="C8147">
        <f>IF(B8147="","",IFERROR(INDEX('Bad Patterns'!$A$2:$A$120,MATCH(1,INDEX(--ISNUMBER(SEARCH('Bad Patterns'!$A$2:$A$120,B8147)),0),0)),""))</f>
        <v/>
      </c>
      <c r="D8147">
        <f>IF(B8147="","",IF(C8147&lt;&gt;"","REMOVE","KEEP"))</f>
        <v/>
      </c>
      <c r="E8147">
        <f>IF(D8147&lt;&gt;"KEEP","",IF(RIGHT(B8147,10)="@gmail.com","Gmail",IF(OR(RIGHT(B8147,12)="@outlook.com",RIGHT(B8147,12)="@hotmail.com",RIGHT(B8147,9)="@live.com"),"Outlook","Domain")))</f>
        <v/>
      </c>
      <c r="F8147">
        <f>IF(B8147="","",IFERROR(RIGHT(B8147,LEN(B8147)-FIND("@",B8147)),""))</f>
        <v/>
      </c>
      <c r="G8147">
        <f>IF(D8147="KEEP",COUNTIF($D$2:D8147,"KEEP"),"")</f>
        <v/>
      </c>
      <c r="H8147">
        <f>IF(D8147="REMOVE",COUNTIF($D$2:D8147,"REMOVE"),"")</f>
        <v/>
      </c>
      <c r="I8147">
        <f>IF(E8147="Gmail",COUNTIF($E$2:E8147,"Gmail"),"")</f>
        <v/>
      </c>
      <c r="J8147">
        <f>IF(E8147="Outlook",COUNTIF($E$2:E8147,"Outlook"),"")</f>
        <v/>
      </c>
      <c r="K8147">
        <f>IF(E8147="Domain",COUNTIF($E$2:E8147,"Domain"),"")</f>
        <v/>
      </c>
    </row>
    <row r="8148">
      <c r="A8148" s="2" t="n"/>
      <c r="B8148">
        <f>LOWER(TRIM(A8148))</f>
        <v/>
      </c>
      <c r="C8148">
        <f>IF(B8148="","",IFERROR(INDEX('Bad Patterns'!$A$2:$A$120,MATCH(1,INDEX(--ISNUMBER(SEARCH('Bad Patterns'!$A$2:$A$120,B8148)),0),0)),""))</f>
        <v/>
      </c>
      <c r="D8148">
        <f>IF(B8148="","",IF(C8148&lt;&gt;"","REMOVE","KEEP"))</f>
        <v/>
      </c>
      <c r="E8148">
        <f>IF(D8148&lt;&gt;"KEEP","",IF(RIGHT(B8148,10)="@gmail.com","Gmail",IF(OR(RIGHT(B8148,12)="@outlook.com",RIGHT(B8148,12)="@hotmail.com",RIGHT(B8148,9)="@live.com"),"Outlook","Domain")))</f>
        <v/>
      </c>
      <c r="F8148">
        <f>IF(B8148="","",IFERROR(RIGHT(B8148,LEN(B8148)-FIND("@",B8148)),""))</f>
        <v/>
      </c>
      <c r="G8148">
        <f>IF(D8148="KEEP",COUNTIF($D$2:D8148,"KEEP"),"")</f>
        <v/>
      </c>
      <c r="H8148">
        <f>IF(D8148="REMOVE",COUNTIF($D$2:D8148,"REMOVE"),"")</f>
        <v/>
      </c>
      <c r="I8148">
        <f>IF(E8148="Gmail",COUNTIF($E$2:E8148,"Gmail"),"")</f>
        <v/>
      </c>
      <c r="J8148">
        <f>IF(E8148="Outlook",COUNTIF($E$2:E8148,"Outlook"),"")</f>
        <v/>
      </c>
      <c r="K8148">
        <f>IF(E8148="Domain",COUNTIF($E$2:E8148,"Domain"),"")</f>
        <v/>
      </c>
    </row>
    <row r="8149">
      <c r="A8149" s="2" t="n"/>
      <c r="B8149">
        <f>LOWER(TRIM(A8149))</f>
        <v/>
      </c>
      <c r="C8149">
        <f>IF(B8149="","",IFERROR(INDEX('Bad Patterns'!$A$2:$A$120,MATCH(1,INDEX(--ISNUMBER(SEARCH('Bad Patterns'!$A$2:$A$120,B8149)),0),0)),""))</f>
        <v/>
      </c>
      <c r="D8149">
        <f>IF(B8149="","",IF(C8149&lt;&gt;"","REMOVE","KEEP"))</f>
        <v/>
      </c>
      <c r="E8149">
        <f>IF(D8149&lt;&gt;"KEEP","",IF(RIGHT(B8149,10)="@gmail.com","Gmail",IF(OR(RIGHT(B8149,12)="@outlook.com",RIGHT(B8149,12)="@hotmail.com",RIGHT(B8149,9)="@live.com"),"Outlook","Domain")))</f>
        <v/>
      </c>
      <c r="F8149">
        <f>IF(B8149="","",IFERROR(RIGHT(B8149,LEN(B8149)-FIND("@",B8149)),""))</f>
        <v/>
      </c>
      <c r="G8149">
        <f>IF(D8149="KEEP",COUNTIF($D$2:D8149,"KEEP"),"")</f>
        <v/>
      </c>
      <c r="H8149">
        <f>IF(D8149="REMOVE",COUNTIF($D$2:D8149,"REMOVE"),"")</f>
        <v/>
      </c>
      <c r="I8149">
        <f>IF(E8149="Gmail",COUNTIF($E$2:E8149,"Gmail"),"")</f>
        <v/>
      </c>
      <c r="J8149">
        <f>IF(E8149="Outlook",COUNTIF($E$2:E8149,"Outlook"),"")</f>
        <v/>
      </c>
      <c r="K8149">
        <f>IF(E8149="Domain",COUNTIF($E$2:E8149,"Domain"),"")</f>
        <v/>
      </c>
    </row>
    <row r="8150">
      <c r="A8150" s="2" t="n"/>
      <c r="B8150">
        <f>LOWER(TRIM(A8150))</f>
        <v/>
      </c>
      <c r="C8150">
        <f>IF(B8150="","",IFERROR(INDEX('Bad Patterns'!$A$2:$A$120,MATCH(1,INDEX(--ISNUMBER(SEARCH('Bad Patterns'!$A$2:$A$120,B8150)),0),0)),""))</f>
        <v/>
      </c>
      <c r="D8150">
        <f>IF(B8150="","",IF(C8150&lt;&gt;"","REMOVE","KEEP"))</f>
        <v/>
      </c>
      <c r="E8150">
        <f>IF(D8150&lt;&gt;"KEEP","",IF(RIGHT(B8150,10)="@gmail.com","Gmail",IF(OR(RIGHT(B8150,12)="@outlook.com",RIGHT(B8150,12)="@hotmail.com",RIGHT(B8150,9)="@live.com"),"Outlook","Domain")))</f>
        <v/>
      </c>
      <c r="F8150">
        <f>IF(B8150="","",IFERROR(RIGHT(B8150,LEN(B8150)-FIND("@",B8150)),""))</f>
        <v/>
      </c>
      <c r="G8150">
        <f>IF(D8150="KEEP",COUNTIF($D$2:D8150,"KEEP"),"")</f>
        <v/>
      </c>
      <c r="H8150">
        <f>IF(D8150="REMOVE",COUNTIF($D$2:D8150,"REMOVE"),"")</f>
        <v/>
      </c>
      <c r="I8150">
        <f>IF(E8150="Gmail",COUNTIF($E$2:E8150,"Gmail"),"")</f>
        <v/>
      </c>
      <c r="J8150">
        <f>IF(E8150="Outlook",COUNTIF($E$2:E8150,"Outlook"),"")</f>
        <v/>
      </c>
      <c r="K8150">
        <f>IF(E8150="Domain",COUNTIF($E$2:E8150,"Domain"),"")</f>
        <v/>
      </c>
    </row>
    <row r="8151">
      <c r="A8151" s="2" t="n"/>
      <c r="B8151">
        <f>LOWER(TRIM(A8151))</f>
        <v/>
      </c>
      <c r="C8151">
        <f>IF(B8151="","",IFERROR(INDEX('Bad Patterns'!$A$2:$A$120,MATCH(1,INDEX(--ISNUMBER(SEARCH('Bad Patterns'!$A$2:$A$120,B8151)),0),0)),""))</f>
        <v/>
      </c>
      <c r="D8151">
        <f>IF(B8151="","",IF(C8151&lt;&gt;"","REMOVE","KEEP"))</f>
        <v/>
      </c>
      <c r="E8151">
        <f>IF(D8151&lt;&gt;"KEEP","",IF(RIGHT(B8151,10)="@gmail.com","Gmail",IF(OR(RIGHT(B8151,12)="@outlook.com",RIGHT(B8151,12)="@hotmail.com",RIGHT(B8151,9)="@live.com"),"Outlook","Domain")))</f>
        <v/>
      </c>
      <c r="F8151">
        <f>IF(B8151="","",IFERROR(RIGHT(B8151,LEN(B8151)-FIND("@",B8151)),""))</f>
        <v/>
      </c>
      <c r="G8151">
        <f>IF(D8151="KEEP",COUNTIF($D$2:D8151,"KEEP"),"")</f>
        <v/>
      </c>
      <c r="H8151">
        <f>IF(D8151="REMOVE",COUNTIF($D$2:D8151,"REMOVE"),"")</f>
        <v/>
      </c>
      <c r="I8151">
        <f>IF(E8151="Gmail",COUNTIF($E$2:E8151,"Gmail"),"")</f>
        <v/>
      </c>
      <c r="J8151">
        <f>IF(E8151="Outlook",COUNTIF($E$2:E8151,"Outlook"),"")</f>
        <v/>
      </c>
      <c r="K8151">
        <f>IF(E8151="Domain",COUNTIF($E$2:E8151,"Domain"),"")</f>
        <v/>
      </c>
    </row>
    <row r="8152">
      <c r="A8152" s="2" t="n"/>
      <c r="B8152">
        <f>LOWER(TRIM(A8152))</f>
        <v/>
      </c>
      <c r="C8152">
        <f>IF(B8152="","",IFERROR(INDEX('Bad Patterns'!$A$2:$A$120,MATCH(1,INDEX(--ISNUMBER(SEARCH('Bad Patterns'!$A$2:$A$120,B8152)),0),0)),""))</f>
        <v/>
      </c>
      <c r="D8152">
        <f>IF(B8152="","",IF(C8152&lt;&gt;"","REMOVE","KEEP"))</f>
        <v/>
      </c>
      <c r="E8152">
        <f>IF(D8152&lt;&gt;"KEEP","",IF(RIGHT(B8152,10)="@gmail.com","Gmail",IF(OR(RIGHT(B8152,12)="@outlook.com",RIGHT(B8152,12)="@hotmail.com",RIGHT(B8152,9)="@live.com"),"Outlook","Domain")))</f>
        <v/>
      </c>
      <c r="F8152">
        <f>IF(B8152="","",IFERROR(RIGHT(B8152,LEN(B8152)-FIND("@",B8152)),""))</f>
        <v/>
      </c>
      <c r="G8152">
        <f>IF(D8152="KEEP",COUNTIF($D$2:D8152,"KEEP"),"")</f>
        <v/>
      </c>
      <c r="H8152">
        <f>IF(D8152="REMOVE",COUNTIF($D$2:D8152,"REMOVE"),"")</f>
        <v/>
      </c>
      <c r="I8152">
        <f>IF(E8152="Gmail",COUNTIF($E$2:E8152,"Gmail"),"")</f>
        <v/>
      </c>
      <c r="J8152">
        <f>IF(E8152="Outlook",COUNTIF($E$2:E8152,"Outlook"),"")</f>
        <v/>
      </c>
      <c r="K8152">
        <f>IF(E8152="Domain",COUNTIF($E$2:E8152,"Domain"),"")</f>
        <v/>
      </c>
    </row>
    <row r="8153">
      <c r="A8153" s="2" t="n"/>
      <c r="B8153">
        <f>LOWER(TRIM(A8153))</f>
        <v/>
      </c>
      <c r="C8153">
        <f>IF(B8153="","",IFERROR(INDEX('Bad Patterns'!$A$2:$A$120,MATCH(1,INDEX(--ISNUMBER(SEARCH('Bad Patterns'!$A$2:$A$120,B8153)),0),0)),""))</f>
        <v/>
      </c>
      <c r="D8153">
        <f>IF(B8153="","",IF(C8153&lt;&gt;"","REMOVE","KEEP"))</f>
        <v/>
      </c>
      <c r="E8153">
        <f>IF(D8153&lt;&gt;"KEEP","",IF(RIGHT(B8153,10)="@gmail.com","Gmail",IF(OR(RIGHT(B8153,12)="@outlook.com",RIGHT(B8153,12)="@hotmail.com",RIGHT(B8153,9)="@live.com"),"Outlook","Domain")))</f>
        <v/>
      </c>
      <c r="F8153">
        <f>IF(B8153="","",IFERROR(RIGHT(B8153,LEN(B8153)-FIND("@",B8153)),""))</f>
        <v/>
      </c>
      <c r="G8153">
        <f>IF(D8153="KEEP",COUNTIF($D$2:D8153,"KEEP"),"")</f>
        <v/>
      </c>
      <c r="H8153">
        <f>IF(D8153="REMOVE",COUNTIF($D$2:D8153,"REMOVE"),"")</f>
        <v/>
      </c>
      <c r="I8153">
        <f>IF(E8153="Gmail",COUNTIF($E$2:E8153,"Gmail"),"")</f>
        <v/>
      </c>
      <c r="J8153">
        <f>IF(E8153="Outlook",COUNTIF($E$2:E8153,"Outlook"),"")</f>
        <v/>
      </c>
      <c r="K8153">
        <f>IF(E8153="Domain",COUNTIF($E$2:E8153,"Domain"),"")</f>
        <v/>
      </c>
    </row>
    <row r="8154">
      <c r="A8154" s="2" t="n"/>
      <c r="B8154">
        <f>LOWER(TRIM(A8154))</f>
        <v/>
      </c>
      <c r="C8154">
        <f>IF(B8154="","",IFERROR(INDEX('Bad Patterns'!$A$2:$A$120,MATCH(1,INDEX(--ISNUMBER(SEARCH('Bad Patterns'!$A$2:$A$120,B8154)),0),0)),""))</f>
        <v/>
      </c>
      <c r="D8154">
        <f>IF(B8154="","",IF(C8154&lt;&gt;"","REMOVE","KEEP"))</f>
        <v/>
      </c>
      <c r="E8154">
        <f>IF(D8154&lt;&gt;"KEEP","",IF(RIGHT(B8154,10)="@gmail.com","Gmail",IF(OR(RIGHT(B8154,12)="@outlook.com",RIGHT(B8154,12)="@hotmail.com",RIGHT(B8154,9)="@live.com"),"Outlook","Domain")))</f>
        <v/>
      </c>
      <c r="F8154">
        <f>IF(B8154="","",IFERROR(RIGHT(B8154,LEN(B8154)-FIND("@",B8154)),""))</f>
        <v/>
      </c>
      <c r="G8154">
        <f>IF(D8154="KEEP",COUNTIF($D$2:D8154,"KEEP"),"")</f>
        <v/>
      </c>
      <c r="H8154">
        <f>IF(D8154="REMOVE",COUNTIF($D$2:D8154,"REMOVE"),"")</f>
        <v/>
      </c>
      <c r="I8154">
        <f>IF(E8154="Gmail",COUNTIF($E$2:E8154,"Gmail"),"")</f>
        <v/>
      </c>
      <c r="J8154">
        <f>IF(E8154="Outlook",COUNTIF($E$2:E8154,"Outlook"),"")</f>
        <v/>
      </c>
      <c r="K8154">
        <f>IF(E8154="Domain",COUNTIF($E$2:E8154,"Domain"),"")</f>
        <v/>
      </c>
    </row>
    <row r="8155">
      <c r="A8155" s="2" t="n"/>
      <c r="B8155">
        <f>LOWER(TRIM(A8155))</f>
        <v/>
      </c>
      <c r="C8155">
        <f>IF(B8155="","",IFERROR(INDEX('Bad Patterns'!$A$2:$A$120,MATCH(1,INDEX(--ISNUMBER(SEARCH('Bad Patterns'!$A$2:$A$120,B8155)),0),0)),""))</f>
        <v/>
      </c>
      <c r="D8155">
        <f>IF(B8155="","",IF(C8155&lt;&gt;"","REMOVE","KEEP"))</f>
        <v/>
      </c>
      <c r="E8155">
        <f>IF(D8155&lt;&gt;"KEEP","",IF(RIGHT(B8155,10)="@gmail.com","Gmail",IF(OR(RIGHT(B8155,12)="@outlook.com",RIGHT(B8155,12)="@hotmail.com",RIGHT(B8155,9)="@live.com"),"Outlook","Domain")))</f>
        <v/>
      </c>
      <c r="F8155">
        <f>IF(B8155="","",IFERROR(RIGHT(B8155,LEN(B8155)-FIND("@",B8155)),""))</f>
        <v/>
      </c>
      <c r="G8155">
        <f>IF(D8155="KEEP",COUNTIF($D$2:D8155,"KEEP"),"")</f>
        <v/>
      </c>
      <c r="H8155">
        <f>IF(D8155="REMOVE",COUNTIF($D$2:D8155,"REMOVE"),"")</f>
        <v/>
      </c>
      <c r="I8155">
        <f>IF(E8155="Gmail",COUNTIF($E$2:E8155,"Gmail"),"")</f>
        <v/>
      </c>
      <c r="J8155">
        <f>IF(E8155="Outlook",COUNTIF($E$2:E8155,"Outlook"),"")</f>
        <v/>
      </c>
      <c r="K8155">
        <f>IF(E8155="Domain",COUNTIF($E$2:E8155,"Domain"),"")</f>
        <v/>
      </c>
    </row>
    <row r="8156">
      <c r="A8156" s="2" t="n"/>
      <c r="B8156">
        <f>LOWER(TRIM(A8156))</f>
        <v/>
      </c>
      <c r="C8156">
        <f>IF(B8156="","",IFERROR(INDEX('Bad Patterns'!$A$2:$A$120,MATCH(1,INDEX(--ISNUMBER(SEARCH('Bad Patterns'!$A$2:$A$120,B8156)),0),0)),""))</f>
        <v/>
      </c>
      <c r="D8156">
        <f>IF(B8156="","",IF(C8156&lt;&gt;"","REMOVE","KEEP"))</f>
        <v/>
      </c>
      <c r="E8156">
        <f>IF(D8156&lt;&gt;"KEEP","",IF(RIGHT(B8156,10)="@gmail.com","Gmail",IF(OR(RIGHT(B8156,12)="@outlook.com",RIGHT(B8156,12)="@hotmail.com",RIGHT(B8156,9)="@live.com"),"Outlook","Domain")))</f>
        <v/>
      </c>
      <c r="F8156">
        <f>IF(B8156="","",IFERROR(RIGHT(B8156,LEN(B8156)-FIND("@",B8156)),""))</f>
        <v/>
      </c>
      <c r="G8156">
        <f>IF(D8156="KEEP",COUNTIF($D$2:D8156,"KEEP"),"")</f>
        <v/>
      </c>
      <c r="H8156">
        <f>IF(D8156="REMOVE",COUNTIF($D$2:D8156,"REMOVE"),"")</f>
        <v/>
      </c>
      <c r="I8156">
        <f>IF(E8156="Gmail",COUNTIF($E$2:E8156,"Gmail"),"")</f>
        <v/>
      </c>
      <c r="J8156">
        <f>IF(E8156="Outlook",COUNTIF($E$2:E8156,"Outlook"),"")</f>
        <v/>
      </c>
      <c r="K8156">
        <f>IF(E8156="Domain",COUNTIF($E$2:E8156,"Domain"),"")</f>
        <v/>
      </c>
    </row>
    <row r="8157">
      <c r="A8157" s="2" t="n"/>
      <c r="B8157">
        <f>LOWER(TRIM(A8157))</f>
        <v/>
      </c>
      <c r="C8157">
        <f>IF(B8157="","",IFERROR(INDEX('Bad Patterns'!$A$2:$A$120,MATCH(1,INDEX(--ISNUMBER(SEARCH('Bad Patterns'!$A$2:$A$120,B8157)),0),0)),""))</f>
        <v/>
      </c>
      <c r="D8157">
        <f>IF(B8157="","",IF(C8157&lt;&gt;"","REMOVE","KEEP"))</f>
        <v/>
      </c>
      <c r="E8157">
        <f>IF(D8157&lt;&gt;"KEEP","",IF(RIGHT(B8157,10)="@gmail.com","Gmail",IF(OR(RIGHT(B8157,12)="@outlook.com",RIGHT(B8157,12)="@hotmail.com",RIGHT(B8157,9)="@live.com"),"Outlook","Domain")))</f>
        <v/>
      </c>
      <c r="F8157">
        <f>IF(B8157="","",IFERROR(RIGHT(B8157,LEN(B8157)-FIND("@",B8157)),""))</f>
        <v/>
      </c>
      <c r="G8157">
        <f>IF(D8157="KEEP",COUNTIF($D$2:D8157,"KEEP"),"")</f>
        <v/>
      </c>
      <c r="H8157">
        <f>IF(D8157="REMOVE",COUNTIF($D$2:D8157,"REMOVE"),"")</f>
        <v/>
      </c>
      <c r="I8157">
        <f>IF(E8157="Gmail",COUNTIF($E$2:E8157,"Gmail"),"")</f>
        <v/>
      </c>
      <c r="J8157">
        <f>IF(E8157="Outlook",COUNTIF($E$2:E8157,"Outlook"),"")</f>
        <v/>
      </c>
      <c r="K8157">
        <f>IF(E8157="Domain",COUNTIF($E$2:E8157,"Domain"),"")</f>
        <v/>
      </c>
    </row>
    <row r="8158">
      <c r="A8158" s="2" t="n"/>
      <c r="B8158">
        <f>LOWER(TRIM(A8158))</f>
        <v/>
      </c>
      <c r="C8158">
        <f>IF(B8158="","",IFERROR(INDEX('Bad Patterns'!$A$2:$A$120,MATCH(1,INDEX(--ISNUMBER(SEARCH('Bad Patterns'!$A$2:$A$120,B8158)),0),0)),""))</f>
        <v/>
      </c>
      <c r="D8158">
        <f>IF(B8158="","",IF(C8158&lt;&gt;"","REMOVE","KEEP"))</f>
        <v/>
      </c>
      <c r="E8158">
        <f>IF(D8158&lt;&gt;"KEEP","",IF(RIGHT(B8158,10)="@gmail.com","Gmail",IF(OR(RIGHT(B8158,12)="@outlook.com",RIGHT(B8158,12)="@hotmail.com",RIGHT(B8158,9)="@live.com"),"Outlook","Domain")))</f>
        <v/>
      </c>
      <c r="F8158">
        <f>IF(B8158="","",IFERROR(RIGHT(B8158,LEN(B8158)-FIND("@",B8158)),""))</f>
        <v/>
      </c>
      <c r="G8158">
        <f>IF(D8158="KEEP",COUNTIF($D$2:D8158,"KEEP"),"")</f>
        <v/>
      </c>
      <c r="H8158">
        <f>IF(D8158="REMOVE",COUNTIF($D$2:D8158,"REMOVE"),"")</f>
        <v/>
      </c>
      <c r="I8158">
        <f>IF(E8158="Gmail",COUNTIF($E$2:E8158,"Gmail"),"")</f>
        <v/>
      </c>
      <c r="J8158">
        <f>IF(E8158="Outlook",COUNTIF($E$2:E8158,"Outlook"),"")</f>
        <v/>
      </c>
      <c r="K8158">
        <f>IF(E8158="Domain",COUNTIF($E$2:E8158,"Domain"),"")</f>
        <v/>
      </c>
    </row>
    <row r="8159">
      <c r="A8159" s="2" t="n"/>
      <c r="B8159">
        <f>LOWER(TRIM(A8159))</f>
        <v/>
      </c>
      <c r="C8159">
        <f>IF(B8159="","",IFERROR(INDEX('Bad Patterns'!$A$2:$A$120,MATCH(1,INDEX(--ISNUMBER(SEARCH('Bad Patterns'!$A$2:$A$120,B8159)),0),0)),""))</f>
        <v/>
      </c>
      <c r="D8159">
        <f>IF(B8159="","",IF(C8159&lt;&gt;"","REMOVE","KEEP"))</f>
        <v/>
      </c>
      <c r="E8159">
        <f>IF(D8159&lt;&gt;"KEEP","",IF(RIGHT(B8159,10)="@gmail.com","Gmail",IF(OR(RIGHT(B8159,12)="@outlook.com",RIGHT(B8159,12)="@hotmail.com",RIGHT(B8159,9)="@live.com"),"Outlook","Domain")))</f>
        <v/>
      </c>
      <c r="F8159">
        <f>IF(B8159="","",IFERROR(RIGHT(B8159,LEN(B8159)-FIND("@",B8159)),""))</f>
        <v/>
      </c>
      <c r="G8159">
        <f>IF(D8159="KEEP",COUNTIF($D$2:D8159,"KEEP"),"")</f>
        <v/>
      </c>
      <c r="H8159">
        <f>IF(D8159="REMOVE",COUNTIF($D$2:D8159,"REMOVE"),"")</f>
        <v/>
      </c>
      <c r="I8159">
        <f>IF(E8159="Gmail",COUNTIF($E$2:E8159,"Gmail"),"")</f>
        <v/>
      </c>
      <c r="J8159">
        <f>IF(E8159="Outlook",COUNTIF($E$2:E8159,"Outlook"),"")</f>
        <v/>
      </c>
      <c r="K8159">
        <f>IF(E8159="Domain",COUNTIF($E$2:E8159,"Domain"),"")</f>
        <v/>
      </c>
    </row>
    <row r="8160">
      <c r="A8160" s="2" t="n"/>
      <c r="B8160">
        <f>LOWER(TRIM(A8160))</f>
        <v/>
      </c>
      <c r="C8160">
        <f>IF(B8160="","",IFERROR(INDEX('Bad Patterns'!$A$2:$A$120,MATCH(1,INDEX(--ISNUMBER(SEARCH('Bad Patterns'!$A$2:$A$120,B8160)),0),0)),""))</f>
        <v/>
      </c>
      <c r="D8160">
        <f>IF(B8160="","",IF(C8160&lt;&gt;"","REMOVE","KEEP"))</f>
        <v/>
      </c>
      <c r="E8160">
        <f>IF(D8160&lt;&gt;"KEEP","",IF(RIGHT(B8160,10)="@gmail.com","Gmail",IF(OR(RIGHT(B8160,12)="@outlook.com",RIGHT(B8160,12)="@hotmail.com",RIGHT(B8160,9)="@live.com"),"Outlook","Domain")))</f>
        <v/>
      </c>
      <c r="F8160">
        <f>IF(B8160="","",IFERROR(RIGHT(B8160,LEN(B8160)-FIND("@",B8160)),""))</f>
        <v/>
      </c>
      <c r="G8160">
        <f>IF(D8160="KEEP",COUNTIF($D$2:D8160,"KEEP"),"")</f>
        <v/>
      </c>
      <c r="H8160">
        <f>IF(D8160="REMOVE",COUNTIF($D$2:D8160,"REMOVE"),"")</f>
        <v/>
      </c>
      <c r="I8160">
        <f>IF(E8160="Gmail",COUNTIF($E$2:E8160,"Gmail"),"")</f>
        <v/>
      </c>
      <c r="J8160">
        <f>IF(E8160="Outlook",COUNTIF($E$2:E8160,"Outlook"),"")</f>
        <v/>
      </c>
      <c r="K8160">
        <f>IF(E8160="Domain",COUNTIF($E$2:E8160,"Domain"),"")</f>
        <v/>
      </c>
    </row>
    <row r="8161">
      <c r="A8161" s="2" t="n"/>
      <c r="B8161">
        <f>LOWER(TRIM(A8161))</f>
        <v/>
      </c>
      <c r="C8161">
        <f>IF(B8161="","",IFERROR(INDEX('Bad Patterns'!$A$2:$A$120,MATCH(1,INDEX(--ISNUMBER(SEARCH('Bad Patterns'!$A$2:$A$120,B8161)),0),0)),""))</f>
        <v/>
      </c>
      <c r="D8161">
        <f>IF(B8161="","",IF(C8161&lt;&gt;"","REMOVE","KEEP"))</f>
        <v/>
      </c>
      <c r="E8161">
        <f>IF(D8161&lt;&gt;"KEEP","",IF(RIGHT(B8161,10)="@gmail.com","Gmail",IF(OR(RIGHT(B8161,12)="@outlook.com",RIGHT(B8161,12)="@hotmail.com",RIGHT(B8161,9)="@live.com"),"Outlook","Domain")))</f>
        <v/>
      </c>
      <c r="F8161">
        <f>IF(B8161="","",IFERROR(RIGHT(B8161,LEN(B8161)-FIND("@",B8161)),""))</f>
        <v/>
      </c>
      <c r="G8161">
        <f>IF(D8161="KEEP",COUNTIF($D$2:D8161,"KEEP"),"")</f>
        <v/>
      </c>
      <c r="H8161">
        <f>IF(D8161="REMOVE",COUNTIF($D$2:D8161,"REMOVE"),"")</f>
        <v/>
      </c>
      <c r="I8161">
        <f>IF(E8161="Gmail",COUNTIF($E$2:E8161,"Gmail"),"")</f>
        <v/>
      </c>
      <c r="J8161">
        <f>IF(E8161="Outlook",COUNTIF($E$2:E8161,"Outlook"),"")</f>
        <v/>
      </c>
      <c r="K8161">
        <f>IF(E8161="Domain",COUNTIF($E$2:E8161,"Domain"),"")</f>
        <v/>
      </c>
    </row>
    <row r="8162">
      <c r="A8162" s="2" t="n"/>
      <c r="B8162">
        <f>LOWER(TRIM(A8162))</f>
        <v/>
      </c>
      <c r="C8162">
        <f>IF(B8162="","",IFERROR(INDEX('Bad Patterns'!$A$2:$A$120,MATCH(1,INDEX(--ISNUMBER(SEARCH('Bad Patterns'!$A$2:$A$120,B8162)),0),0)),""))</f>
        <v/>
      </c>
      <c r="D8162">
        <f>IF(B8162="","",IF(C8162&lt;&gt;"","REMOVE","KEEP"))</f>
        <v/>
      </c>
      <c r="E8162">
        <f>IF(D8162&lt;&gt;"KEEP","",IF(RIGHT(B8162,10)="@gmail.com","Gmail",IF(OR(RIGHT(B8162,12)="@outlook.com",RIGHT(B8162,12)="@hotmail.com",RIGHT(B8162,9)="@live.com"),"Outlook","Domain")))</f>
        <v/>
      </c>
      <c r="F8162">
        <f>IF(B8162="","",IFERROR(RIGHT(B8162,LEN(B8162)-FIND("@",B8162)),""))</f>
        <v/>
      </c>
      <c r="G8162">
        <f>IF(D8162="KEEP",COUNTIF($D$2:D8162,"KEEP"),"")</f>
        <v/>
      </c>
      <c r="H8162">
        <f>IF(D8162="REMOVE",COUNTIF($D$2:D8162,"REMOVE"),"")</f>
        <v/>
      </c>
      <c r="I8162">
        <f>IF(E8162="Gmail",COUNTIF($E$2:E8162,"Gmail"),"")</f>
        <v/>
      </c>
      <c r="J8162">
        <f>IF(E8162="Outlook",COUNTIF($E$2:E8162,"Outlook"),"")</f>
        <v/>
      </c>
      <c r="K8162">
        <f>IF(E8162="Domain",COUNTIF($E$2:E8162,"Domain"),"")</f>
        <v/>
      </c>
    </row>
    <row r="8163">
      <c r="A8163" s="2" t="n"/>
      <c r="B8163">
        <f>LOWER(TRIM(A8163))</f>
        <v/>
      </c>
      <c r="C8163">
        <f>IF(B8163="","",IFERROR(INDEX('Bad Patterns'!$A$2:$A$120,MATCH(1,INDEX(--ISNUMBER(SEARCH('Bad Patterns'!$A$2:$A$120,B8163)),0),0)),""))</f>
        <v/>
      </c>
      <c r="D8163">
        <f>IF(B8163="","",IF(C8163&lt;&gt;"","REMOVE","KEEP"))</f>
        <v/>
      </c>
      <c r="E8163">
        <f>IF(D8163&lt;&gt;"KEEP","",IF(RIGHT(B8163,10)="@gmail.com","Gmail",IF(OR(RIGHT(B8163,12)="@outlook.com",RIGHT(B8163,12)="@hotmail.com",RIGHT(B8163,9)="@live.com"),"Outlook","Domain")))</f>
        <v/>
      </c>
      <c r="F8163">
        <f>IF(B8163="","",IFERROR(RIGHT(B8163,LEN(B8163)-FIND("@",B8163)),""))</f>
        <v/>
      </c>
      <c r="G8163">
        <f>IF(D8163="KEEP",COUNTIF($D$2:D8163,"KEEP"),"")</f>
        <v/>
      </c>
      <c r="H8163">
        <f>IF(D8163="REMOVE",COUNTIF($D$2:D8163,"REMOVE"),"")</f>
        <v/>
      </c>
      <c r="I8163">
        <f>IF(E8163="Gmail",COUNTIF($E$2:E8163,"Gmail"),"")</f>
        <v/>
      </c>
      <c r="J8163">
        <f>IF(E8163="Outlook",COUNTIF($E$2:E8163,"Outlook"),"")</f>
        <v/>
      </c>
      <c r="K8163">
        <f>IF(E8163="Domain",COUNTIF($E$2:E8163,"Domain"),"")</f>
        <v/>
      </c>
    </row>
    <row r="8164">
      <c r="A8164" s="2" t="n"/>
      <c r="B8164">
        <f>LOWER(TRIM(A8164))</f>
        <v/>
      </c>
      <c r="C8164">
        <f>IF(B8164="","",IFERROR(INDEX('Bad Patterns'!$A$2:$A$120,MATCH(1,INDEX(--ISNUMBER(SEARCH('Bad Patterns'!$A$2:$A$120,B8164)),0),0)),""))</f>
        <v/>
      </c>
      <c r="D8164">
        <f>IF(B8164="","",IF(C8164&lt;&gt;"","REMOVE","KEEP"))</f>
        <v/>
      </c>
      <c r="E8164">
        <f>IF(D8164&lt;&gt;"KEEP","",IF(RIGHT(B8164,10)="@gmail.com","Gmail",IF(OR(RIGHT(B8164,12)="@outlook.com",RIGHT(B8164,12)="@hotmail.com",RIGHT(B8164,9)="@live.com"),"Outlook","Domain")))</f>
        <v/>
      </c>
      <c r="F8164">
        <f>IF(B8164="","",IFERROR(RIGHT(B8164,LEN(B8164)-FIND("@",B8164)),""))</f>
        <v/>
      </c>
      <c r="G8164">
        <f>IF(D8164="KEEP",COUNTIF($D$2:D8164,"KEEP"),"")</f>
        <v/>
      </c>
      <c r="H8164">
        <f>IF(D8164="REMOVE",COUNTIF($D$2:D8164,"REMOVE"),"")</f>
        <v/>
      </c>
      <c r="I8164">
        <f>IF(E8164="Gmail",COUNTIF($E$2:E8164,"Gmail"),"")</f>
        <v/>
      </c>
      <c r="J8164">
        <f>IF(E8164="Outlook",COUNTIF($E$2:E8164,"Outlook"),"")</f>
        <v/>
      </c>
      <c r="K8164">
        <f>IF(E8164="Domain",COUNTIF($E$2:E8164,"Domain"),"")</f>
        <v/>
      </c>
    </row>
    <row r="8165">
      <c r="A8165" s="2" t="n"/>
      <c r="B8165">
        <f>LOWER(TRIM(A8165))</f>
        <v/>
      </c>
      <c r="C8165">
        <f>IF(B8165="","",IFERROR(INDEX('Bad Patterns'!$A$2:$A$120,MATCH(1,INDEX(--ISNUMBER(SEARCH('Bad Patterns'!$A$2:$A$120,B8165)),0),0)),""))</f>
        <v/>
      </c>
      <c r="D8165">
        <f>IF(B8165="","",IF(C8165&lt;&gt;"","REMOVE","KEEP"))</f>
        <v/>
      </c>
      <c r="E8165">
        <f>IF(D8165&lt;&gt;"KEEP","",IF(RIGHT(B8165,10)="@gmail.com","Gmail",IF(OR(RIGHT(B8165,12)="@outlook.com",RIGHT(B8165,12)="@hotmail.com",RIGHT(B8165,9)="@live.com"),"Outlook","Domain")))</f>
        <v/>
      </c>
      <c r="F8165">
        <f>IF(B8165="","",IFERROR(RIGHT(B8165,LEN(B8165)-FIND("@",B8165)),""))</f>
        <v/>
      </c>
      <c r="G8165">
        <f>IF(D8165="KEEP",COUNTIF($D$2:D8165,"KEEP"),"")</f>
        <v/>
      </c>
      <c r="H8165">
        <f>IF(D8165="REMOVE",COUNTIF($D$2:D8165,"REMOVE"),"")</f>
        <v/>
      </c>
      <c r="I8165">
        <f>IF(E8165="Gmail",COUNTIF($E$2:E8165,"Gmail"),"")</f>
        <v/>
      </c>
      <c r="J8165">
        <f>IF(E8165="Outlook",COUNTIF($E$2:E8165,"Outlook"),"")</f>
        <v/>
      </c>
      <c r="K8165">
        <f>IF(E8165="Domain",COUNTIF($E$2:E8165,"Domain"),"")</f>
        <v/>
      </c>
    </row>
    <row r="8166">
      <c r="A8166" s="2" t="n"/>
      <c r="B8166">
        <f>LOWER(TRIM(A8166))</f>
        <v/>
      </c>
      <c r="C8166">
        <f>IF(B8166="","",IFERROR(INDEX('Bad Patterns'!$A$2:$A$120,MATCH(1,INDEX(--ISNUMBER(SEARCH('Bad Patterns'!$A$2:$A$120,B8166)),0),0)),""))</f>
        <v/>
      </c>
      <c r="D8166">
        <f>IF(B8166="","",IF(C8166&lt;&gt;"","REMOVE","KEEP"))</f>
        <v/>
      </c>
      <c r="E8166">
        <f>IF(D8166&lt;&gt;"KEEP","",IF(RIGHT(B8166,10)="@gmail.com","Gmail",IF(OR(RIGHT(B8166,12)="@outlook.com",RIGHT(B8166,12)="@hotmail.com",RIGHT(B8166,9)="@live.com"),"Outlook","Domain")))</f>
        <v/>
      </c>
      <c r="F8166">
        <f>IF(B8166="","",IFERROR(RIGHT(B8166,LEN(B8166)-FIND("@",B8166)),""))</f>
        <v/>
      </c>
      <c r="G8166">
        <f>IF(D8166="KEEP",COUNTIF($D$2:D8166,"KEEP"),"")</f>
        <v/>
      </c>
      <c r="H8166">
        <f>IF(D8166="REMOVE",COUNTIF($D$2:D8166,"REMOVE"),"")</f>
        <v/>
      </c>
      <c r="I8166">
        <f>IF(E8166="Gmail",COUNTIF($E$2:E8166,"Gmail"),"")</f>
        <v/>
      </c>
      <c r="J8166">
        <f>IF(E8166="Outlook",COUNTIF($E$2:E8166,"Outlook"),"")</f>
        <v/>
      </c>
      <c r="K8166">
        <f>IF(E8166="Domain",COUNTIF($E$2:E8166,"Domain"),"")</f>
        <v/>
      </c>
    </row>
    <row r="8167">
      <c r="A8167" s="2" t="n"/>
      <c r="B8167">
        <f>LOWER(TRIM(A8167))</f>
        <v/>
      </c>
      <c r="C8167">
        <f>IF(B8167="","",IFERROR(INDEX('Bad Patterns'!$A$2:$A$120,MATCH(1,INDEX(--ISNUMBER(SEARCH('Bad Patterns'!$A$2:$A$120,B8167)),0),0)),""))</f>
        <v/>
      </c>
      <c r="D8167">
        <f>IF(B8167="","",IF(C8167&lt;&gt;"","REMOVE","KEEP"))</f>
        <v/>
      </c>
      <c r="E8167">
        <f>IF(D8167&lt;&gt;"KEEP","",IF(RIGHT(B8167,10)="@gmail.com","Gmail",IF(OR(RIGHT(B8167,12)="@outlook.com",RIGHT(B8167,12)="@hotmail.com",RIGHT(B8167,9)="@live.com"),"Outlook","Domain")))</f>
        <v/>
      </c>
      <c r="F8167">
        <f>IF(B8167="","",IFERROR(RIGHT(B8167,LEN(B8167)-FIND("@",B8167)),""))</f>
        <v/>
      </c>
      <c r="G8167">
        <f>IF(D8167="KEEP",COUNTIF($D$2:D8167,"KEEP"),"")</f>
        <v/>
      </c>
      <c r="H8167">
        <f>IF(D8167="REMOVE",COUNTIF($D$2:D8167,"REMOVE"),"")</f>
        <v/>
      </c>
      <c r="I8167">
        <f>IF(E8167="Gmail",COUNTIF($E$2:E8167,"Gmail"),"")</f>
        <v/>
      </c>
      <c r="J8167">
        <f>IF(E8167="Outlook",COUNTIF($E$2:E8167,"Outlook"),"")</f>
        <v/>
      </c>
      <c r="K8167">
        <f>IF(E8167="Domain",COUNTIF($E$2:E8167,"Domain"),"")</f>
        <v/>
      </c>
    </row>
    <row r="8168">
      <c r="A8168" s="2" t="n"/>
      <c r="B8168">
        <f>LOWER(TRIM(A8168))</f>
        <v/>
      </c>
      <c r="C8168">
        <f>IF(B8168="","",IFERROR(INDEX('Bad Patterns'!$A$2:$A$120,MATCH(1,INDEX(--ISNUMBER(SEARCH('Bad Patterns'!$A$2:$A$120,B8168)),0),0)),""))</f>
        <v/>
      </c>
      <c r="D8168">
        <f>IF(B8168="","",IF(C8168&lt;&gt;"","REMOVE","KEEP"))</f>
        <v/>
      </c>
      <c r="E8168">
        <f>IF(D8168&lt;&gt;"KEEP","",IF(RIGHT(B8168,10)="@gmail.com","Gmail",IF(OR(RIGHT(B8168,12)="@outlook.com",RIGHT(B8168,12)="@hotmail.com",RIGHT(B8168,9)="@live.com"),"Outlook","Domain")))</f>
        <v/>
      </c>
      <c r="F8168">
        <f>IF(B8168="","",IFERROR(RIGHT(B8168,LEN(B8168)-FIND("@",B8168)),""))</f>
        <v/>
      </c>
      <c r="G8168">
        <f>IF(D8168="KEEP",COUNTIF($D$2:D8168,"KEEP"),"")</f>
        <v/>
      </c>
      <c r="H8168">
        <f>IF(D8168="REMOVE",COUNTIF($D$2:D8168,"REMOVE"),"")</f>
        <v/>
      </c>
      <c r="I8168">
        <f>IF(E8168="Gmail",COUNTIF($E$2:E8168,"Gmail"),"")</f>
        <v/>
      </c>
      <c r="J8168">
        <f>IF(E8168="Outlook",COUNTIF($E$2:E8168,"Outlook"),"")</f>
        <v/>
      </c>
      <c r="K8168">
        <f>IF(E8168="Domain",COUNTIF($E$2:E8168,"Domain"),"")</f>
        <v/>
      </c>
    </row>
    <row r="8169">
      <c r="A8169" s="2" t="n"/>
      <c r="B8169">
        <f>LOWER(TRIM(A8169))</f>
        <v/>
      </c>
      <c r="C8169">
        <f>IF(B8169="","",IFERROR(INDEX('Bad Patterns'!$A$2:$A$120,MATCH(1,INDEX(--ISNUMBER(SEARCH('Bad Patterns'!$A$2:$A$120,B8169)),0),0)),""))</f>
        <v/>
      </c>
      <c r="D8169">
        <f>IF(B8169="","",IF(C8169&lt;&gt;"","REMOVE","KEEP"))</f>
        <v/>
      </c>
      <c r="E8169">
        <f>IF(D8169&lt;&gt;"KEEP","",IF(RIGHT(B8169,10)="@gmail.com","Gmail",IF(OR(RIGHT(B8169,12)="@outlook.com",RIGHT(B8169,12)="@hotmail.com",RIGHT(B8169,9)="@live.com"),"Outlook","Domain")))</f>
        <v/>
      </c>
      <c r="F8169">
        <f>IF(B8169="","",IFERROR(RIGHT(B8169,LEN(B8169)-FIND("@",B8169)),""))</f>
        <v/>
      </c>
      <c r="G8169">
        <f>IF(D8169="KEEP",COUNTIF($D$2:D8169,"KEEP"),"")</f>
        <v/>
      </c>
      <c r="H8169">
        <f>IF(D8169="REMOVE",COUNTIF($D$2:D8169,"REMOVE"),"")</f>
        <v/>
      </c>
      <c r="I8169">
        <f>IF(E8169="Gmail",COUNTIF($E$2:E8169,"Gmail"),"")</f>
        <v/>
      </c>
      <c r="J8169">
        <f>IF(E8169="Outlook",COUNTIF($E$2:E8169,"Outlook"),"")</f>
        <v/>
      </c>
      <c r="K8169">
        <f>IF(E8169="Domain",COUNTIF($E$2:E8169,"Domain"),"")</f>
        <v/>
      </c>
    </row>
    <row r="8170">
      <c r="A8170" s="2" t="n"/>
      <c r="B8170">
        <f>LOWER(TRIM(A8170))</f>
        <v/>
      </c>
      <c r="C8170">
        <f>IF(B8170="","",IFERROR(INDEX('Bad Patterns'!$A$2:$A$120,MATCH(1,INDEX(--ISNUMBER(SEARCH('Bad Patterns'!$A$2:$A$120,B8170)),0),0)),""))</f>
        <v/>
      </c>
      <c r="D8170">
        <f>IF(B8170="","",IF(C8170&lt;&gt;"","REMOVE","KEEP"))</f>
        <v/>
      </c>
      <c r="E8170">
        <f>IF(D8170&lt;&gt;"KEEP","",IF(RIGHT(B8170,10)="@gmail.com","Gmail",IF(OR(RIGHT(B8170,12)="@outlook.com",RIGHT(B8170,12)="@hotmail.com",RIGHT(B8170,9)="@live.com"),"Outlook","Domain")))</f>
        <v/>
      </c>
      <c r="F8170">
        <f>IF(B8170="","",IFERROR(RIGHT(B8170,LEN(B8170)-FIND("@",B8170)),""))</f>
        <v/>
      </c>
      <c r="G8170">
        <f>IF(D8170="KEEP",COUNTIF($D$2:D8170,"KEEP"),"")</f>
        <v/>
      </c>
      <c r="H8170">
        <f>IF(D8170="REMOVE",COUNTIF($D$2:D8170,"REMOVE"),"")</f>
        <v/>
      </c>
      <c r="I8170">
        <f>IF(E8170="Gmail",COUNTIF($E$2:E8170,"Gmail"),"")</f>
        <v/>
      </c>
      <c r="J8170">
        <f>IF(E8170="Outlook",COUNTIF($E$2:E8170,"Outlook"),"")</f>
        <v/>
      </c>
      <c r="K8170">
        <f>IF(E8170="Domain",COUNTIF($E$2:E8170,"Domain"),"")</f>
        <v/>
      </c>
    </row>
    <row r="8171">
      <c r="A8171" s="2" t="n"/>
      <c r="B8171">
        <f>LOWER(TRIM(A8171))</f>
        <v/>
      </c>
      <c r="C8171">
        <f>IF(B8171="","",IFERROR(INDEX('Bad Patterns'!$A$2:$A$120,MATCH(1,INDEX(--ISNUMBER(SEARCH('Bad Patterns'!$A$2:$A$120,B8171)),0),0)),""))</f>
        <v/>
      </c>
      <c r="D8171">
        <f>IF(B8171="","",IF(C8171&lt;&gt;"","REMOVE","KEEP"))</f>
        <v/>
      </c>
      <c r="E8171">
        <f>IF(D8171&lt;&gt;"KEEP","",IF(RIGHT(B8171,10)="@gmail.com","Gmail",IF(OR(RIGHT(B8171,12)="@outlook.com",RIGHT(B8171,12)="@hotmail.com",RIGHT(B8171,9)="@live.com"),"Outlook","Domain")))</f>
        <v/>
      </c>
      <c r="F8171">
        <f>IF(B8171="","",IFERROR(RIGHT(B8171,LEN(B8171)-FIND("@",B8171)),""))</f>
        <v/>
      </c>
      <c r="G8171">
        <f>IF(D8171="KEEP",COUNTIF($D$2:D8171,"KEEP"),"")</f>
        <v/>
      </c>
      <c r="H8171">
        <f>IF(D8171="REMOVE",COUNTIF($D$2:D8171,"REMOVE"),"")</f>
        <v/>
      </c>
      <c r="I8171">
        <f>IF(E8171="Gmail",COUNTIF($E$2:E8171,"Gmail"),"")</f>
        <v/>
      </c>
      <c r="J8171">
        <f>IF(E8171="Outlook",COUNTIF($E$2:E8171,"Outlook"),"")</f>
        <v/>
      </c>
      <c r="K8171">
        <f>IF(E8171="Domain",COUNTIF($E$2:E8171,"Domain"),"")</f>
        <v/>
      </c>
    </row>
    <row r="8172">
      <c r="A8172" s="2" t="n"/>
      <c r="B8172">
        <f>LOWER(TRIM(A8172))</f>
        <v/>
      </c>
      <c r="C8172">
        <f>IF(B8172="","",IFERROR(INDEX('Bad Patterns'!$A$2:$A$120,MATCH(1,INDEX(--ISNUMBER(SEARCH('Bad Patterns'!$A$2:$A$120,B8172)),0),0)),""))</f>
        <v/>
      </c>
      <c r="D8172">
        <f>IF(B8172="","",IF(C8172&lt;&gt;"","REMOVE","KEEP"))</f>
        <v/>
      </c>
      <c r="E8172">
        <f>IF(D8172&lt;&gt;"KEEP","",IF(RIGHT(B8172,10)="@gmail.com","Gmail",IF(OR(RIGHT(B8172,12)="@outlook.com",RIGHT(B8172,12)="@hotmail.com",RIGHT(B8172,9)="@live.com"),"Outlook","Domain")))</f>
        <v/>
      </c>
      <c r="F8172">
        <f>IF(B8172="","",IFERROR(RIGHT(B8172,LEN(B8172)-FIND("@",B8172)),""))</f>
        <v/>
      </c>
      <c r="G8172">
        <f>IF(D8172="KEEP",COUNTIF($D$2:D8172,"KEEP"),"")</f>
        <v/>
      </c>
      <c r="H8172">
        <f>IF(D8172="REMOVE",COUNTIF($D$2:D8172,"REMOVE"),"")</f>
        <v/>
      </c>
      <c r="I8172">
        <f>IF(E8172="Gmail",COUNTIF($E$2:E8172,"Gmail"),"")</f>
        <v/>
      </c>
      <c r="J8172">
        <f>IF(E8172="Outlook",COUNTIF($E$2:E8172,"Outlook"),"")</f>
        <v/>
      </c>
      <c r="K8172">
        <f>IF(E8172="Domain",COUNTIF($E$2:E8172,"Domain"),"")</f>
        <v/>
      </c>
    </row>
    <row r="8173">
      <c r="A8173" s="2" t="n"/>
      <c r="B8173">
        <f>LOWER(TRIM(A8173))</f>
        <v/>
      </c>
      <c r="C8173">
        <f>IF(B8173="","",IFERROR(INDEX('Bad Patterns'!$A$2:$A$120,MATCH(1,INDEX(--ISNUMBER(SEARCH('Bad Patterns'!$A$2:$A$120,B8173)),0),0)),""))</f>
        <v/>
      </c>
      <c r="D8173">
        <f>IF(B8173="","",IF(C8173&lt;&gt;"","REMOVE","KEEP"))</f>
        <v/>
      </c>
      <c r="E8173">
        <f>IF(D8173&lt;&gt;"KEEP","",IF(RIGHT(B8173,10)="@gmail.com","Gmail",IF(OR(RIGHT(B8173,12)="@outlook.com",RIGHT(B8173,12)="@hotmail.com",RIGHT(B8173,9)="@live.com"),"Outlook","Domain")))</f>
        <v/>
      </c>
      <c r="F8173">
        <f>IF(B8173="","",IFERROR(RIGHT(B8173,LEN(B8173)-FIND("@",B8173)),""))</f>
        <v/>
      </c>
      <c r="G8173">
        <f>IF(D8173="KEEP",COUNTIF($D$2:D8173,"KEEP"),"")</f>
        <v/>
      </c>
      <c r="H8173">
        <f>IF(D8173="REMOVE",COUNTIF($D$2:D8173,"REMOVE"),"")</f>
        <v/>
      </c>
      <c r="I8173">
        <f>IF(E8173="Gmail",COUNTIF($E$2:E8173,"Gmail"),"")</f>
        <v/>
      </c>
      <c r="J8173">
        <f>IF(E8173="Outlook",COUNTIF($E$2:E8173,"Outlook"),"")</f>
        <v/>
      </c>
      <c r="K8173">
        <f>IF(E8173="Domain",COUNTIF($E$2:E8173,"Domain"),"")</f>
        <v/>
      </c>
    </row>
    <row r="8174">
      <c r="A8174" s="2" t="n"/>
      <c r="B8174">
        <f>LOWER(TRIM(A8174))</f>
        <v/>
      </c>
      <c r="C8174">
        <f>IF(B8174="","",IFERROR(INDEX('Bad Patterns'!$A$2:$A$120,MATCH(1,INDEX(--ISNUMBER(SEARCH('Bad Patterns'!$A$2:$A$120,B8174)),0),0)),""))</f>
        <v/>
      </c>
      <c r="D8174">
        <f>IF(B8174="","",IF(C8174&lt;&gt;"","REMOVE","KEEP"))</f>
        <v/>
      </c>
      <c r="E8174">
        <f>IF(D8174&lt;&gt;"KEEP","",IF(RIGHT(B8174,10)="@gmail.com","Gmail",IF(OR(RIGHT(B8174,12)="@outlook.com",RIGHT(B8174,12)="@hotmail.com",RIGHT(B8174,9)="@live.com"),"Outlook","Domain")))</f>
        <v/>
      </c>
      <c r="F8174">
        <f>IF(B8174="","",IFERROR(RIGHT(B8174,LEN(B8174)-FIND("@",B8174)),""))</f>
        <v/>
      </c>
      <c r="G8174">
        <f>IF(D8174="KEEP",COUNTIF($D$2:D8174,"KEEP"),"")</f>
        <v/>
      </c>
      <c r="H8174">
        <f>IF(D8174="REMOVE",COUNTIF($D$2:D8174,"REMOVE"),"")</f>
        <v/>
      </c>
      <c r="I8174">
        <f>IF(E8174="Gmail",COUNTIF($E$2:E8174,"Gmail"),"")</f>
        <v/>
      </c>
      <c r="J8174">
        <f>IF(E8174="Outlook",COUNTIF($E$2:E8174,"Outlook"),"")</f>
        <v/>
      </c>
      <c r="K8174">
        <f>IF(E8174="Domain",COUNTIF($E$2:E8174,"Domain"),"")</f>
        <v/>
      </c>
    </row>
    <row r="8175">
      <c r="A8175" s="2" t="n"/>
      <c r="B8175">
        <f>LOWER(TRIM(A8175))</f>
        <v/>
      </c>
      <c r="C8175">
        <f>IF(B8175="","",IFERROR(INDEX('Bad Patterns'!$A$2:$A$120,MATCH(1,INDEX(--ISNUMBER(SEARCH('Bad Patterns'!$A$2:$A$120,B8175)),0),0)),""))</f>
        <v/>
      </c>
      <c r="D8175">
        <f>IF(B8175="","",IF(C8175&lt;&gt;"","REMOVE","KEEP"))</f>
        <v/>
      </c>
      <c r="E8175">
        <f>IF(D8175&lt;&gt;"KEEP","",IF(RIGHT(B8175,10)="@gmail.com","Gmail",IF(OR(RIGHT(B8175,12)="@outlook.com",RIGHT(B8175,12)="@hotmail.com",RIGHT(B8175,9)="@live.com"),"Outlook","Domain")))</f>
        <v/>
      </c>
      <c r="F8175">
        <f>IF(B8175="","",IFERROR(RIGHT(B8175,LEN(B8175)-FIND("@",B8175)),""))</f>
        <v/>
      </c>
      <c r="G8175">
        <f>IF(D8175="KEEP",COUNTIF($D$2:D8175,"KEEP"),"")</f>
        <v/>
      </c>
      <c r="H8175">
        <f>IF(D8175="REMOVE",COUNTIF($D$2:D8175,"REMOVE"),"")</f>
        <v/>
      </c>
      <c r="I8175">
        <f>IF(E8175="Gmail",COUNTIF($E$2:E8175,"Gmail"),"")</f>
        <v/>
      </c>
      <c r="J8175">
        <f>IF(E8175="Outlook",COUNTIF($E$2:E8175,"Outlook"),"")</f>
        <v/>
      </c>
      <c r="K8175">
        <f>IF(E8175="Domain",COUNTIF($E$2:E8175,"Domain"),"")</f>
        <v/>
      </c>
    </row>
    <row r="8176">
      <c r="A8176" s="2" t="n"/>
      <c r="B8176">
        <f>LOWER(TRIM(A8176))</f>
        <v/>
      </c>
      <c r="C8176">
        <f>IF(B8176="","",IFERROR(INDEX('Bad Patterns'!$A$2:$A$120,MATCH(1,INDEX(--ISNUMBER(SEARCH('Bad Patterns'!$A$2:$A$120,B8176)),0),0)),""))</f>
        <v/>
      </c>
      <c r="D8176">
        <f>IF(B8176="","",IF(C8176&lt;&gt;"","REMOVE","KEEP"))</f>
        <v/>
      </c>
      <c r="E8176">
        <f>IF(D8176&lt;&gt;"KEEP","",IF(RIGHT(B8176,10)="@gmail.com","Gmail",IF(OR(RIGHT(B8176,12)="@outlook.com",RIGHT(B8176,12)="@hotmail.com",RIGHT(B8176,9)="@live.com"),"Outlook","Domain")))</f>
        <v/>
      </c>
      <c r="F8176">
        <f>IF(B8176="","",IFERROR(RIGHT(B8176,LEN(B8176)-FIND("@",B8176)),""))</f>
        <v/>
      </c>
      <c r="G8176">
        <f>IF(D8176="KEEP",COUNTIF($D$2:D8176,"KEEP"),"")</f>
        <v/>
      </c>
      <c r="H8176">
        <f>IF(D8176="REMOVE",COUNTIF($D$2:D8176,"REMOVE"),"")</f>
        <v/>
      </c>
      <c r="I8176">
        <f>IF(E8176="Gmail",COUNTIF($E$2:E8176,"Gmail"),"")</f>
        <v/>
      </c>
      <c r="J8176">
        <f>IF(E8176="Outlook",COUNTIF($E$2:E8176,"Outlook"),"")</f>
        <v/>
      </c>
      <c r="K8176">
        <f>IF(E8176="Domain",COUNTIF($E$2:E8176,"Domain"),"")</f>
        <v/>
      </c>
    </row>
    <row r="8177">
      <c r="A8177" s="2" t="n"/>
      <c r="B8177">
        <f>LOWER(TRIM(A8177))</f>
        <v/>
      </c>
      <c r="C8177">
        <f>IF(B8177="","",IFERROR(INDEX('Bad Patterns'!$A$2:$A$120,MATCH(1,INDEX(--ISNUMBER(SEARCH('Bad Patterns'!$A$2:$A$120,B8177)),0),0)),""))</f>
        <v/>
      </c>
      <c r="D8177">
        <f>IF(B8177="","",IF(C8177&lt;&gt;"","REMOVE","KEEP"))</f>
        <v/>
      </c>
      <c r="E8177">
        <f>IF(D8177&lt;&gt;"KEEP","",IF(RIGHT(B8177,10)="@gmail.com","Gmail",IF(OR(RIGHT(B8177,12)="@outlook.com",RIGHT(B8177,12)="@hotmail.com",RIGHT(B8177,9)="@live.com"),"Outlook","Domain")))</f>
        <v/>
      </c>
      <c r="F8177">
        <f>IF(B8177="","",IFERROR(RIGHT(B8177,LEN(B8177)-FIND("@",B8177)),""))</f>
        <v/>
      </c>
      <c r="G8177">
        <f>IF(D8177="KEEP",COUNTIF($D$2:D8177,"KEEP"),"")</f>
        <v/>
      </c>
      <c r="H8177">
        <f>IF(D8177="REMOVE",COUNTIF($D$2:D8177,"REMOVE"),"")</f>
        <v/>
      </c>
      <c r="I8177">
        <f>IF(E8177="Gmail",COUNTIF($E$2:E8177,"Gmail"),"")</f>
        <v/>
      </c>
      <c r="J8177">
        <f>IF(E8177="Outlook",COUNTIF($E$2:E8177,"Outlook"),"")</f>
        <v/>
      </c>
      <c r="K8177">
        <f>IF(E8177="Domain",COUNTIF($E$2:E8177,"Domain"),"")</f>
        <v/>
      </c>
    </row>
    <row r="8178">
      <c r="A8178" s="2" t="n"/>
      <c r="B8178">
        <f>LOWER(TRIM(A8178))</f>
        <v/>
      </c>
      <c r="C8178">
        <f>IF(B8178="","",IFERROR(INDEX('Bad Patterns'!$A$2:$A$120,MATCH(1,INDEX(--ISNUMBER(SEARCH('Bad Patterns'!$A$2:$A$120,B8178)),0),0)),""))</f>
        <v/>
      </c>
      <c r="D8178">
        <f>IF(B8178="","",IF(C8178&lt;&gt;"","REMOVE","KEEP"))</f>
        <v/>
      </c>
      <c r="E8178">
        <f>IF(D8178&lt;&gt;"KEEP","",IF(RIGHT(B8178,10)="@gmail.com","Gmail",IF(OR(RIGHT(B8178,12)="@outlook.com",RIGHT(B8178,12)="@hotmail.com",RIGHT(B8178,9)="@live.com"),"Outlook","Domain")))</f>
        <v/>
      </c>
      <c r="F8178">
        <f>IF(B8178="","",IFERROR(RIGHT(B8178,LEN(B8178)-FIND("@",B8178)),""))</f>
        <v/>
      </c>
      <c r="G8178">
        <f>IF(D8178="KEEP",COUNTIF($D$2:D8178,"KEEP"),"")</f>
        <v/>
      </c>
      <c r="H8178">
        <f>IF(D8178="REMOVE",COUNTIF($D$2:D8178,"REMOVE"),"")</f>
        <v/>
      </c>
      <c r="I8178">
        <f>IF(E8178="Gmail",COUNTIF($E$2:E8178,"Gmail"),"")</f>
        <v/>
      </c>
      <c r="J8178">
        <f>IF(E8178="Outlook",COUNTIF($E$2:E8178,"Outlook"),"")</f>
        <v/>
      </c>
      <c r="K8178">
        <f>IF(E8178="Domain",COUNTIF($E$2:E8178,"Domain"),"")</f>
        <v/>
      </c>
    </row>
    <row r="8179">
      <c r="A8179" s="2" t="n"/>
      <c r="B8179">
        <f>LOWER(TRIM(A8179))</f>
        <v/>
      </c>
      <c r="C8179">
        <f>IF(B8179="","",IFERROR(INDEX('Bad Patterns'!$A$2:$A$120,MATCH(1,INDEX(--ISNUMBER(SEARCH('Bad Patterns'!$A$2:$A$120,B8179)),0),0)),""))</f>
        <v/>
      </c>
      <c r="D8179">
        <f>IF(B8179="","",IF(C8179&lt;&gt;"","REMOVE","KEEP"))</f>
        <v/>
      </c>
      <c r="E8179">
        <f>IF(D8179&lt;&gt;"KEEP","",IF(RIGHT(B8179,10)="@gmail.com","Gmail",IF(OR(RIGHT(B8179,12)="@outlook.com",RIGHT(B8179,12)="@hotmail.com",RIGHT(B8179,9)="@live.com"),"Outlook","Domain")))</f>
        <v/>
      </c>
      <c r="F8179">
        <f>IF(B8179="","",IFERROR(RIGHT(B8179,LEN(B8179)-FIND("@",B8179)),""))</f>
        <v/>
      </c>
      <c r="G8179">
        <f>IF(D8179="KEEP",COUNTIF($D$2:D8179,"KEEP"),"")</f>
        <v/>
      </c>
      <c r="H8179">
        <f>IF(D8179="REMOVE",COUNTIF($D$2:D8179,"REMOVE"),"")</f>
        <v/>
      </c>
      <c r="I8179">
        <f>IF(E8179="Gmail",COUNTIF($E$2:E8179,"Gmail"),"")</f>
        <v/>
      </c>
      <c r="J8179">
        <f>IF(E8179="Outlook",COUNTIF($E$2:E8179,"Outlook"),"")</f>
        <v/>
      </c>
      <c r="K8179">
        <f>IF(E8179="Domain",COUNTIF($E$2:E8179,"Domain"),"")</f>
        <v/>
      </c>
    </row>
    <row r="8180">
      <c r="A8180" s="2" t="n"/>
      <c r="B8180">
        <f>LOWER(TRIM(A8180))</f>
        <v/>
      </c>
      <c r="C8180">
        <f>IF(B8180="","",IFERROR(INDEX('Bad Patterns'!$A$2:$A$120,MATCH(1,INDEX(--ISNUMBER(SEARCH('Bad Patterns'!$A$2:$A$120,B8180)),0),0)),""))</f>
        <v/>
      </c>
      <c r="D8180">
        <f>IF(B8180="","",IF(C8180&lt;&gt;"","REMOVE","KEEP"))</f>
        <v/>
      </c>
      <c r="E8180">
        <f>IF(D8180&lt;&gt;"KEEP","",IF(RIGHT(B8180,10)="@gmail.com","Gmail",IF(OR(RIGHT(B8180,12)="@outlook.com",RIGHT(B8180,12)="@hotmail.com",RIGHT(B8180,9)="@live.com"),"Outlook","Domain")))</f>
        <v/>
      </c>
      <c r="F8180">
        <f>IF(B8180="","",IFERROR(RIGHT(B8180,LEN(B8180)-FIND("@",B8180)),""))</f>
        <v/>
      </c>
      <c r="G8180">
        <f>IF(D8180="KEEP",COUNTIF($D$2:D8180,"KEEP"),"")</f>
        <v/>
      </c>
      <c r="H8180">
        <f>IF(D8180="REMOVE",COUNTIF($D$2:D8180,"REMOVE"),"")</f>
        <v/>
      </c>
      <c r="I8180">
        <f>IF(E8180="Gmail",COUNTIF($E$2:E8180,"Gmail"),"")</f>
        <v/>
      </c>
      <c r="J8180">
        <f>IF(E8180="Outlook",COUNTIF($E$2:E8180,"Outlook"),"")</f>
        <v/>
      </c>
      <c r="K8180">
        <f>IF(E8180="Domain",COUNTIF($E$2:E8180,"Domain"),"")</f>
        <v/>
      </c>
    </row>
    <row r="8181">
      <c r="A8181" s="2" t="n"/>
      <c r="B8181">
        <f>LOWER(TRIM(A8181))</f>
        <v/>
      </c>
      <c r="C8181">
        <f>IF(B8181="","",IFERROR(INDEX('Bad Patterns'!$A$2:$A$120,MATCH(1,INDEX(--ISNUMBER(SEARCH('Bad Patterns'!$A$2:$A$120,B8181)),0),0)),""))</f>
        <v/>
      </c>
      <c r="D8181">
        <f>IF(B8181="","",IF(C8181&lt;&gt;"","REMOVE","KEEP"))</f>
        <v/>
      </c>
      <c r="E8181">
        <f>IF(D8181&lt;&gt;"KEEP","",IF(RIGHT(B8181,10)="@gmail.com","Gmail",IF(OR(RIGHT(B8181,12)="@outlook.com",RIGHT(B8181,12)="@hotmail.com",RIGHT(B8181,9)="@live.com"),"Outlook","Domain")))</f>
        <v/>
      </c>
      <c r="F8181">
        <f>IF(B8181="","",IFERROR(RIGHT(B8181,LEN(B8181)-FIND("@",B8181)),""))</f>
        <v/>
      </c>
      <c r="G8181">
        <f>IF(D8181="KEEP",COUNTIF($D$2:D8181,"KEEP"),"")</f>
        <v/>
      </c>
      <c r="H8181">
        <f>IF(D8181="REMOVE",COUNTIF($D$2:D8181,"REMOVE"),"")</f>
        <v/>
      </c>
      <c r="I8181">
        <f>IF(E8181="Gmail",COUNTIF($E$2:E8181,"Gmail"),"")</f>
        <v/>
      </c>
      <c r="J8181">
        <f>IF(E8181="Outlook",COUNTIF($E$2:E8181,"Outlook"),"")</f>
        <v/>
      </c>
      <c r="K8181">
        <f>IF(E8181="Domain",COUNTIF($E$2:E8181,"Domain"),"")</f>
        <v/>
      </c>
    </row>
    <row r="8182">
      <c r="A8182" s="2" t="n"/>
      <c r="B8182">
        <f>LOWER(TRIM(A8182))</f>
        <v/>
      </c>
      <c r="C8182">
        <f>IF(B8182="","",IFERROR(INDEX('Bad Patterns'!$A$2:$A$120,MATCH(1,INDEX(--ISNUMBER(SEARCH('Bad Patterns'!$A$2:$A$120,B8182)),0),0)),""))</f>
        <v/>
      </c>
      <c r="D8182">
        <f>IF(B8182="","",IF(C8182&lt;&gt;"","REMOVE","KEEP"))</f>
        <v/>
      </c>
      <c r="E8182">
        <f>IF(D8182&lt;&gt;"KEEP","",IF(RIGHT(B8182,10)="@gmail.com","Gmail",IF(OR(RIGHT(B8182,12)="@outlook.com",RIGHT(B8182,12)="@hotmail.com",RIGHT(B8182,9)="@live.com"),"Outlook","Domain")))</f>
        <v/>
      </c>
      <c r="F8182">
        <f>IF(B8182="","",IFERROR(RIGHT(B8182,LEN(B8182)-FIND("@",B8182)),""))</f>
        <v/>
      </c>
      <c r="G8182">
        <f>IF(D8182="KEEP",COUNTIF($D$2:D8182,"KEEP"),"")</f>
        <v/>
      </c>
      <c r="H8182">
        <f>IF(D8182="REMOVE",COUNTIF($D$2:D8182,"REMOVE"),"")</f>
        <v/>
      </c>
      <c r="I8182">
        <f>IF(E8182="Gmail",COUNTIF($E$2:E8182,"Gmail"),"")</f>
        <v/>
      </c>
      <c r="J8182">
        <f>IF(E8182="Outlook",COUNTIF($E$2:E8182,"Outlook"),"")</f>
        <v/>
      </c>
      <c r="K8182">
        <f>IF(E8182="Domain",COUNTIF($E$2:E8182,"Domain"),"")</f>
        <v/>
      </c>
    </row>
    <row r="8183">
      <c r="A8183" s="2" t="n"/>
      <c r="B8183">
        <f>LOWER(TRIM(A8183))</f>
        <v/>
      </c>
      <c r="C8183">
        <f>IF(B8183="","",IFERROR(INDEX('Bad Patterns'!$A$2:$A$120,MATCH(1,INDEX(--ISNUMBER(SEARCH('Bad Patterns'!$A$2:$A$120,B8183)),0),0)),""))</f>
        <v/>
      </c>
      <c r="D8183">
        <f>IF(B8183="","",IF(C8183&lt;&gt;"","REMOVE","KEEP"))</f>
        <v/>
      </c>
      <c r="E8183">
        <f>IF(D8183&lt;&gt;"KEEP","",IF(RIGHT(B8183,10)="@gmail.com","Gmail",IF(OR(RIGHT(B8183,12)="@outlook.com",RIGHT(B8183,12)="@hotmail.com",RIGHT(B8183,9)="@live.com"),"Outlook","Domain")))</f>
        <v/>
      </c>
      <c r="F8183">
        <f>IF(B8183="","",IFERROR(RIGHT(B8183,LEN(B8183)-FIND("@",B8183)),""))</f>
        <v/>
      </c>
      <c r="G8183">
        <f>IF(D8183="KEEP",COUNTIF($D$2:D8183,"KEEP"),"")</f>
        <v/>
      </c>
      <c r="H8183">
        <f>IF(D8183="REMOVE",COUNTIF($D$2:D8183,"REMOVE"),"")</f>
        <v/>
      </c>
      <c r="I8183">
        <f>IF(E8183="Gmail",COUNTIF($E$2:E8183,"Gmail"),"")</f>
        <v/>
      </c>
      <c r="J8183">
        <f>IF(E8183="Outlook",COUNTIF($E$2:E8183,"Outlook"),"")</f>
        <v/>
      </c>
      <c r="K8183">
        <f>IF(E8183="Domain",COUNTIF($E$2:E8183,"Domain"),"")</f>
        <v/>
      </c>
    </row>
    <row r="8184">
      <c r="A8184" s="2" t="n"/>
      <c r="B8184">
        <f>LOWER(TRIM(A8184))</f>
        <v/>
      </c>
      <c r="C8184">
        <f>IF(B8184="","",IFERROR(INDEX('Bad Patterns'!$A$2:$A$120,MATCH(1,INDEX(--ISNUMBER(SEARCH('Bad Patterns'!$A$2:$A$120,B8184)),0),0)),""))</f>
        <v/>
      </c>
      <c r="D8184">
        <f>IF(B8184="","",IF(C8184&lt;&gt;"","REMOVE","KEEP"))</f>
        <v/>
      </c>
      <c r="E8184">
        <f>IF(D8184&lt;&gt;"KEEP","",IF(RIGHT(B8184,10)="@gmail.com","Gmail",IF(OR(RIGHT(B8184,12)="@outlook.com",RIGHT(B8184,12)="@hotmail.com",RIGHT(B8184,9)="@live.com"),"Outlook","Domain")))</f>
        <v/>
      </c>
      <c r="F8184">
        <f>IF(B8184="","",IFERROR(RIGHT(B8184,LEN(B8184)-FIND("@",B8184)),""))</f>
        <v/>
      </c>
      <c r="G8184">
        <f>IF(D8184="KEEP",COUNTIF($D$2:D8184,"KEEP"),"")</f>
        <v/>
      </c>
      <c r="H8184">
        <f>IF(D8184="REMOVE",COUNTIF($D$2:D8184,"REMOVE"),"")</f>
        <v/>
      </c>
      <c r="I8184">
        <f>IF(E8184="Gmail",COUNTIF($E$2:E8184,"Gmail"),"")</f>
        <v/>
      </c>
      <c r="J8184">
        <f>IF(E8184="Outlook",COUNTIF($E$2:E8184,"Outlook"),"")</f>
        <v/>
      </c>
      <c r="K8184">
        <f>IF(E8184="Domain",COUNTIF($E$2:E8184,"Domain"),"")</f>
        <v/>
      </c>
    </row>
    <row r="8185">
      <c r="A8185" s="2" t="n"/>
      <c r="B8185">
        <f>LOWER(TRIM(A8185))</f>
        <v/>
      </c>
      <c r="C8185">
        <f>IF(B8185="","",IFERROR(INDEX('Bad Patterns'!$A$2:$A$120,MATCH(1,INDEX(--ISNUMBER(SEARCH('Bad Patterns'!$A$2:$A$120,B8185)),0),0)),""))</f>
        <v/>
      </c>
      <c r="D8185">
        <f>IF(B8185="","",IF(C8185&lt;&gt;"","REMOVE","KEEP"))</f>
        <v/>
      </c>
      <c r="E8185">
        <f>IF(D8185&lt;&gt;"KEEP","",IF(RIGHT(B8185,10)="@gmail.com","Gmail",IF(OR(RIGHT(B8185,12)="@outlook.com",RIGHT(B8185,12)="@hotmail.com",RIGHT(B8185,9)="@live.com"),"Outlook","Domain")))</f>
        <v/>
      </c>
      <c r="F8185">
        <f>IF(B8185="","",IFERROR(RIGHT(B8185,LEN(B8185)-FIND("@",B8185)),""))</f>
        <v/>
      </c>
      <c r="G8185">
        <f>IF(D8185="KEEP",COUNTIF($D$2:D8185,"KEEP"),"")</f>
        <v/>
      </c>
      <c r="H8185">
        <f>IF(D8185="REMOVE",COUNTIF($D$2:D8185,"REMOVE"),"")</f>
        <v/>
      </c>
      <c r="I8185">
        <f>IF(E8185="Gmail",COUNTIF($E$2:E8185,"Gmail"),"")</f>
        <v/>
      </c>
      <c r="J8185">
        <f>IF(E8185="Outlook",COUNTIF($E$2:E8185,"Outlook"),"")</f>
        <v/>
      </c>
      <c r="K8185">
        <f>IF(E8185="Domain",COUNTIF($E$2:E8185,"Domain"),"")</f>
        <v/>
      </c>
    </row>
    <row r="8186">
      <c r="A8186" s="2" t="n"/>
      <c r="B8186">
        <f>LOWER(TRIM(A8186))</f>
        <v/>
      </c>
      <c r="C8186">
        <f>IF(B8186="","",IFERROR(INDEX('Bad Patterns'!$A$2:$A$120,MATCH(1,INDEX(--ISNUMBER(SEARCH('Bad Patterns'!$A$2:$A$120,B8186)),0),0)),""))</f>
        <v/>
      </c>
      <c r="D8186">
        <f>IF(B8186="","",IF(C8186&lt;&gt;"","REMOVE","KEEP"))</f>
        <v/>
      </c>
      <c r="E8186">
        <f>IF(D8186&lt;&gt;"KEEP","",IF(RIGHT(B8186,10)="@gmail.com","Gmail",IF(OR(RIGHT(B8186,12)="@outlook.com",RIGHT(B8186,12)="@hotmail.com",RIGHT(B8186,9)="@live.com"),"Outlook","Domain")))</f>
        <v/>
      </c>
      <c r="F8186">
        <f>IF(B8186="","",IFERROR(RIGHT(B8186,LEN(B8186)-FIND("@",B8186)),""))</f>
        <v/>
      </c>
      <c r="G8186">
        <f>IF(D8186="KEEP",COUNTIF($D$2:D8186,"KEEP"),"")</f>
        <v/>
      </c>
      <c r="H8186">
        <f>IF(D8186="REMOVE",COUNTIF($D$2:D8186,"REMOVE"),"")</f>
        <v/>
      </c>
      <c r="I8186">
        <f>IF(E8186="Gmail",COUNTIF($E$2:E8186,"Gmail"),"")</f>
        <v/>
      </c>
      <c r="J8186">
        <f>IF(E8186="Outlook",COUNTIF($E$2:E8186,"Outlook"),"")</f>
        <v/>
      </c>
      <c r="K8186">
        <f>IF(E8186="Domain",COUNTIF($E$2:E8186,"Domain"),"")</f>
        <v/>
      </c>
    </row>
    <row r="8187">
      <c r="A8187" s="2" t="n"/>
      <c r="B8187">
        <f>LOWER(TRIM(A8187))</f>
        <v/>
      </c>
      <c r="C8187">
        <f>IF(B8187="","",IFERROR(INDEX('Bad Patterns'!$A$2:$A$120,MATCH(1,INDEX(--ISNUMBER(SEARCH('Bad Patterns'!$A$2:$A$120,B8187)),0),0)),""))</f>
        <v/>
      </c>
      <c r="D8187">
        <f>IF(B8187="","",IF(C8187&lt;&gt;"","REMOVE","KEEP"))</f>
        <v/>
      </c>
      <c r="E8187">
        <f>IF(D8187&lt;&gt;"KEEP","",IF(RIGHT(B8187,10)="@gmail.com","Gmail",IF(OR(RIGHT(B8187,12)="@outlook.com",RIGHT(B8187,12)="@hotmail.com",RIGHT(B8187,9)="@live.com"),"Outlook","Domain")))</f>
        <v/>
      </c>
      <c r="F8187">
        <f>IF(B8187="","",IFERROR(RIGHT(B8187,LEN(B8187)-FIND("@",B8187)),""))</f>
        <v/>
      </c>
      <c r="G8187">
        <f>IF(D8187="KEEP",COUNTIF($D$2:D8187,"KEEP"),"")</f>
        <v/>
      </c>
      <c r="H8187">
        <f>IF(D8187="REMOVE",COUNTIF($D$2:D8187,"REMOVE"),"")</f>
        <v/>
      </c>
      <c r="I8187">
        <f>IF(E8187="Gmail",COUNTIF($E$2:E8187,"Gmail"),"")</f>
        <v/>
      </c>
      <c r="J8187">
        <f>IF(E8187="Outlook",COUNTIF($E$2:E8187,"Outlook"),"")</f>
        <v/>
      </c>
      <c r="K8187">
        <f>IF(E8187="Domain",COUNTIF($E$2:E8187,"Domain"),"")</f>
        <v/>
      </c>
    </row>
    <row r="8188">
      <c r="A8188" s="2" t="n"/>
      <c r="B8188">
        <f>LOWER(TRIM(A8188))</f>
        <v/>
      </c>
      <c r="C8188">
        <f>IF(B8188="","",IFERROR(INDEX('Bad Patterns'!$A$2:$A$120,MATCH(1,INDEX(--ISNUMBER(SEARCH('Bad Patterns'!$A$2:$A$120,B8188)),0),0)),""))</f>
        <v/>
      </c>
      <c r="D8188">
        <f>IF(B8188="","",IF(C8188&lt;&gt;"","REMOVE","KEEP"))</f>
        <v/>
      </c>
      <c r="E8188">
        <f>IF(D8188&lt;&gt;"KEEP","",IF(RIGHT(B8188,10)="@gmail.com","Gmail",IF(OR(RIGHT(B8188,12)="@outlook.com",RIGHT(B8188,12)="@hotmail.com",RIGHT(B8188,9)="@live.com"),"Outlook","Domain")))</f>
        <v/>
      </c>
      <c r="F8188">
        <f>IF(B8188="","",IFERROR(RIGHT(B8188,LEN(B8188)-FIND("@",B8188)),""))</f>
        <v/>
      </c>
      <c r="G8188">
        <f>IF(D8188="KEEP",COUNTIF($D$2:D8188,"KEEP"),"")</f>
        <v/>
      </c>
      <c r="H8188">
        <f>IF(D8188="REMOVE",COUNTIF($D$2:D8188,"REMOVE"),"")</f>
        <v/>
      </c>
      <c r="I8188">
        <f>IF(E8188="Gmail",COUNTIF($E$2:E8188,"Gmail"),"")</f>
        <v/>
      </c>
      <c r="J8188">
        <f>IF(E8188="Outlook",COUNTIF($E$2:E8188,"Outlook"),"")</f>
        <v/>
      </c>
      <c r="K8188">
        <f>IF(E8188="Domain",COUNTIF($E$2:E8188,"Domain"),"")</f>
        <v/>
      </c>
    </row>
    <row r="8189">
      <c r="A8189" s="2" t="n"/>
      <c r="B8189">
        <f>LOWER(TRIM(A8189))</f>
        <v/>
      </c>
      <c r="C8189">
        <f>IF(B8189="","",IFERROR(INDEX('Bad Patterns'!$A$2:$A$120,MATCH(1,INDEX(--ISNUMBER(SEARCH('Bad Patterns'!$A$2:$A$120,B8189)),0),0)),""))</f>
        <v/>
      </c>
      <c r="D8189">
        <f>IF(B8189="","",IF(C8189&lt;&gt;"","REMOVE","KEEP"))</f>
        <v/>
      </c>
      <c r="E8189">
        <f>IF(D8189&lt;&gt;"KEEP","",IF(RIGHT(B8189,10)="@gmail.com","Gmail",IF(OR(RIGHT(B8189,12)="@outlook.com",RIGHT(B8189,12)="@hotmail.com",RIGHT(B8189,9)="@live.com"),"Outlook","Domain")))</f>
        <v/>
      </c>
      <c r="F8189">
        <f>IF(B8189="","",IFERROR(RIGHT(B8189,LEN(B8189)-FIND("@",B8189)),""))</f>
        <v/>
      </c>
      <c r="G8189">
        <f>IF(D8189="KEEP",COUNTIF($D$2:D8189,"KEEP"),"")</f>
        <v/>
      </c>
      <c r="H8189">
        <f>IF(D8189="REMOVE",COUNTIF($D$2:D8189,"REMOVE"),"")</f>
        <v/>
      </c>
      <c r="I8189">
        <f>IF(E8189="Gmail",COUNTIF($E$2:E8189,"Gmail"),"")</f>
        <v/>
      </c>
      <c r="J8189">
        <f>IF(E8189="Outlook",COUNTIF($E$2:E8189,"Outlook"),"")</f>
        <v/>
      </c>
      <c r="K8189">
        <f>IF(E8189="Domain",COUNTIF($E$2:E8189,"Domain"),"")</f>
        <v/>
      </c>
    </row>
    <row r="8190">
      <c r="A8190" s="2" t="n"/>
      <c r="B8190">
        <f>LOWER(TRIM(A8190))</f>
        <v/>
      </c>
      <c r="C8190">
        <f>IF(B8190="","",IFERROR(INDEX('Bad Patterns'!$A$2:$A$120,MATCH(1,INDEX(--ISNUMBER(SEARCH('Bad Patterns'!$A$2:$A$120,B8190)),0),0)),""))</f>
        <v/>
      </c>
      <c r="D8190">
        <f>IF(B8190="","",IF(C8190&lt;&gt;"","REMOVE","KEEP"))</f>
        <v/>
      </c>
      <c r="E8190">
        <f>IF(D8190&lt;&gt;"KEEP","",IF(RIGHT(B8190,10)="@gmail.com","Gmail",IF(OR(RIGHT(B8190,12)="@outlook.com",RIGHT(B8190,12)="@hotmail.com",RIGHT(B8190,9)="@live.com"),"Outlook","Domain")))</f>
        <v/>
      </c>
      <c r="F8190">
        <f>IF(B8190="","",IFERROR(RIGHT(B8190,LEN(B8190)-FIND("@",B8190)),""))</f>
        <v/>
      </c>
      <c r="G8190">
        <f>IF(D8190="KEEP",COUNTIF($D$2:D8190,"KEEP"),"")</f>
        <v/>
      </c>
      <c r="H8190">
        <f>IF(D8190="REMOVE",COUNTIF($D$2:D8190,"REMOVE"),"")</f>
        <v/>
      </c>
      <c r="I8190">
        <f>IF(E8190="Gmail",COUNTIF($E$2:E8190,"Gmail"),"")</f>
        <v/>
      </c>
      <c r="J8190">
        <f>IF(E8190="Outlook",COUNTIF($E$2:E8190,"Outlook"),"")</f>
        <v/>
      </c>
      <c r="K8190">
        <f>IF(E8190="Domain",COUNTIF($E$2:E8190,"Domain"),"")</f>
        <v/>
      </c>
    </row>
    <row r="8191">
      <c r="A8191" s="2" t="n"/>
      <c r="B8191">
        <f>LOWER(TRIM(A8191))</f>
        <v/>
      </c>
      <c r="C8191">
        <f>IF(B8191="","",IFERROR(INDEX('Bad Patterns'!$A$2:$A$120,MATCH(1,INDEX(--ISNUMBER(SEARCH('Bad Patterns'!$A$2:$A$120,B8191)),0),0)),""))</f>
        <v/>
      </c>
      <c r="D8191">
        <f>IF(B8191="","",IF(C8191&lt;&gt;"","REMOVE","KEEP"))</f>
        <v/>
      </c>
      <c r="E8191">
        <f>IF(D8191&lt;&gt;"KEEP","",IF(RIGHT(B8191,10)="@gmail.com","Gmail",IF(OR(RIGHT(B8191,12)="@outlook.com",RIGHT(B8191,12)="@hotmail.com",RIGHT(B8191,9)="@live.com"),"Outlook","Domain")))</f>
        <v/>
      </c>
      <c r="F8191">
        <f>IF(B8191="","",IFERROR(RIGHT(B8191,LEN(B8191)-FIND("@",B8191)),""))</f>
        <v/>
      </c>
      <c r="G8191">
        <f>IF(D8191="KEEP",COUNTIF($D$2:D8191,"KEEP"),"")</f>
        <v/>
      </c>
      <c r="H8191">
        <f>IF(D8191="REMOVE",COUNTIF($D$2:D8191,"REMOVE"),"")</f>
        <v/>
      </c>
      <c r="I8191">
        <f>IF(E8191="Gmail",COUNTIF($E$2:E8191,"Gmail"),"")</f>
        <v/>
      </c>
      <c r="J8191">
        <f>IF(E8191="Outlook",COUNTIF($E$2:E8191,"Outlook"),"")</f>
        <v/>
      </c>
      <c r="K8191">
        <f>IF(E8191="Domain",COUNTIF($E$2:E8191,"Domain"),"")</f>
        <v/>
      </c>
    </row>
    <row r="8192">
      <c r="A8192" s="2" t="n"/>
      <c r="B8192">
        <f>LOWER(TRIM(A8192))</f>
        <v/>
      </c>
      <c r="C8192">
        <f>IF(B8192="","",IFERROR(INDEX('Bad Patterns'!$A$2:$A$120,MATCH(1,INDEX(--ISNUMBER(SEARCH('Bad Patterns'!$A$2:$A$120,B8192)),0),0)),""))</f>
        <v/>
      </c>
      <c r="D8192">
        <f>IF(B8192="","",IF(C8192&lt;&gt;"","REMOVE","KEEP"))</f>
        <v/>
      </c>
      <c r="E8192">
        <f>IF(D8192&lt;&gt;"KEEP","",IF(RIGHT(B8192,10)="@gmail.com","Gmail",IF(OR(RIGHT(B8192,12)="@outlook.com",RIGHT(B8192,12)="@hotmail.com",RIGHT(B8192,9)="@live.com"),"Outlook","Domain")))</f>
        <v/>
      </c>
      <c r="F8192">
        <f>IF(B8192="","",IFERROR(RIGHT(B8192,LEN(B8192)-FIND("@",B8192)),""))</f>
        <v/>
      </c>
      <c r="G8192">
        <f>IF(D8192="KEEP",COUNTIF($D$2:D8192,"KEEP"),"")</f>
        <v/>
      </c>
      <c r="H8192">
        <f>IF(D8192="REMOVE",COUNTIF($D$2:D8192,"REMOVE"),"")</f>
        <v/>
      </c>
      <c r="I8192">
        <f>IF(E8192="Gmail",COUNTIF($E$2:E8192,"Gmail"),"")</f>
        <v/>
      </c>
      <c r="J8192">
        <f>IF(E8192="Outlook",COUNTIF($E$2:E8192,"Outlook"),"")</f>
        <v/>
      </c>
      <c r="K8192">
        <f>IF(E8192="Domain",COUNTIF($E$2:E8192,"Domain"),"")</f>
        <v/>
      </c>
    </row>
    <row r="8193">
      <c r="A8193" s="2" t="n"/>
      <c r="B8193">
        <f>LOWER(TRIM(A8193))</f>
        <v/>
      </c>
      <c r="C8193">
        <f>IF(B8193="","",IFERROR(INDEX('Bad Patterns'!$A$2:$A$120,MATCH(1,INDEX(--ISNUMBER(SEARCH('Bad Patterns'!$A$2:$A$120,B8193)),0),0)),""))</f>
        <v/>
      </c>
      <c r="D8193">
        <f>IF(B8193="","",IF(C8193&lt;&gt;"","REMOVE","KEEP"))</f>
        <v/>
      </c>
      <c r="E8193">
        <f>IF(D8193&lt;&gt;"KEEP","",IF(RIGHT(B8193,10)="@gmail.com","Gmail",IF(OR(RIGHT(B8193,12)="@outlook.com",RIGHT(B8193,12)="@hotmail.com",RIGHT(B8193,9)="@live.com"),"Outlook","Domain")))</f>
        <v/>
      </c>
      <c r="F8193">
        <f>IF(B8193="","",IFERROR(RIGHT(B8193,LEN(B8193)-FIND("@",B8193)),""))</f>
        <v/>
      </c>
      <c r="G8193">
        <f>IF(D8193="KEEP",COUNTIF($D$2:D8193,"KEEP"),"")</f>
        <v/>
      </c>
      <c r="H8193">
        <f>IF(D8193="REMOVE",COUNTIF($D$2:D8193,"REMOVE"),"")</f>
        <v/>
      </c>
      <c r="I8193">
        <f>IF(E8193="Gmail",COUNTIF($E$2:E8193,"Gmail"),"")</f>
        <v/>
      </c>
      <c r="J8193">
        <f>IF(E8193="Outlook",COUNTIF($E$2:E8193,"Outlook"),"")</f>
        <v/>
      </c>
      <c r="K8193">
        <f>IF(E8193="Domain",COUNTIF($E$2:E8193,"Domain"),"")</f>
        <v/>
      </c>
    </row>
    <row r="8194">
      <c r="A8194" s="2" t="n"/>
      <c r="B8194">
        <f>LOWER(TRIM(A8194))</f>
        <v/>
      </c>
      <c r="C8194">
        <f>IF(B8194="","",IFERROR(INDEX('Bad Patterns'!$A$2:$A$120,MATCH(1,INDEX(--ISNUMBER(SEARCH('Bad Patterns'!$A$2:$A$120,B8194)),0),0)),""))</f>
        <v/>
      </c>
      <c r="D8194">
        <f>IF(B8194="","",IF(C8194&lt;&gt;"","REMOVE","KEEP"))</f>
        <v/>
      </c>
      <c r="E8194">
        <f>IF(D8194&lt;&gt;"KEEP","",IF(RIGHT(B8194,10)="@gmail.com","Gmail",IF(OR(RIGHT(B8194,12)="@outlook.com",RIGHT(B8194,12)="@hotmail.com",RIGHT(B8194,9)="@live.com"),"Outlook","Domain")))</f>
        <v/>
      </c>
      <c r="F8194">
        <f>IF(B8194="","",IFERROR(RIGHT(B8194,LEN(B8194)-FIND("@",B8194)),""))</f>
        <v/>
      </c>
      <c r="G8194">
        <f>IF(D8194="KEEP",COUNTIF($D$2:D8194,"KEEP"),"")</f>
        <v/>
      </c>
      <c r="H8194">
        <f>IF(D8194="REMOVE",COUNTIF($D$2:D8194,"REMOVE"),"")</f>
        <v/>
      </c>
      <c r="I8194">
        <f>IF(E8194="Gmail",COUNTIF($E$2:E8194,"Gmail"),"")</f>
        <v/>
      </c>
      <c r="J8194">
        <f>IF(E8194="Outlook",COUNTIF($E$2:E8194,"Outlook"),"")</f>
        <v/>
      </c>
      <c r="K8194">
        <f>IF(E8194="Domain",COUNTIF($E$2:E8194,"Domain"),"")</f>
        <v/>
      </c>
    </row>
    <row r="8195">
      <c r="A8195" s="2" t="n"/>
      <c r="B8195">
        <f>LOWER(TRIM(A8195))</f>
        <v/>
      </c>
      <c r="C8195">
        <f>IF(B8195="","",IFERROR(INDEX('Bad Patterns'!$A$2:$A$120,MATCH(1,INDEX(--ISNUMBER(SEARCH('Bad Patterns'!$A$2:$A$120,B8195)),0),0)),""))</f>
        <v/>
      </c>
      <c r="D8195">
        <f>IF(B8195="","",IF(C8195&lt;&gt;"","REMOVE","KEEP"))</f>
        <v/>
      </c>
      <c r="E8195">
        <f>IF(D8195&lt;&gt;"KEEP","",IF(RIGHT(B8195,10)="@gmail.com","Gmail",IF(OR(RIGHT(B8195,12)="@outlook.com",RIGHT(B8195,12)="@hotmail.com",RIGHT(B8195,9)="@live.com"),"Outlook","Domain")))</f>
        <v/>
      </c>
      <c r="F8195">
        <f>IF(B8195="","",IFERROR(RIGHT(B8195,LEN(B8195)-FIND("@",B8195)),""))</f>
        <v/>
      </c>
      <c r="G8195">
        <f>IF(D8195="KEEP",COUNTIF($D$2:D8195,"KEEP"),"")</f>
        <v/>
      </c>
      <c r="H8195">
        <f>IF(D8195="REMOVE",COUNTIF($D$2:D8195,"REMOVE"),"")</f>
        <v/>
      </c>
      <c r="I8195">
        <f>IF(E8195="Gmail",COUNTIF($E$2:E8195,"Gmail"),"")</f>
        <v/>
      </c>
      <c r="J8195">
        <f>IF(E8195="Outlook",COUNTIF($E$2:E8195,"Outlook"),"")</f>
        <v/>
      </c>
      <c r="K8195">
        <f>IF(E8195="Domain",COUNTIF($E$2:E8195,"Domain"),"")</f>
        <v/>
      </c>
    </row>
    <row r="8196">
      <c r="A8196" s="2" t="n"/>
      <c r="B8196">
        <f>LOWER(TRIM(A8196))</f>
        <v/>
      </c>
      <c r="C8196">
        <f>IF(B8196="","",IFERROR(INDEX('Bad Patterns'!$A$2:$A$120,MATCH(1,INDEX(--ISNUMBER(SEARCH('Bad Patterns'!$A$2:$A$120,B8196)),0),0)),""))</f>
        <v/>
      </c>
      <c r="D8196">
        <f>IF(B8196="","",IF(C8196&lt;&gt;"","REMOVE","KEEP"))</f>
        <v/>
      </c>
      <c r="E8196">
        <f>IF(D8196&lt;&gt;"KEEP","",IF(RIGHT(B8196,10)="@gmail.com","Gmail",IF(OR(RIGHT(B8196,12)="@outlook.com",RIGHT(B8196,12)="@hotmail.com",RIGHT(B8196,9)="@live.com"),"Outlook","Domain")))</f>
        <v/>
      </c>
      <c r="F8196">
        <f>IF(B8196="","",IFERROR(RIGHT(B8196,LEN(B8196)-FIND("@",B8196)),""))</f>
        <v/>
      </c>
      <c r="G8196">
        <f>IF(D8196="KEEP",COUNTIF($D$2:D8196,"KEEP"),"")</f>
        <v/>
      </c>
      <c r="H8196">
        <f>IF(D8196="REMOVE",COUNTIF($D$2:D8196,"REMOVE"),"")</f>
        <v/>
      </c>
      <c r="I8196">
        <f>IF(E8196="Gmail",COUNTIF($E$2:E8196,"Gmail"),"")</f>
        <v/>
      </c>
      <c r="J8196">
        <f>IF(E8196="Outlook",COUNTIF($E$2:E8196,"Outlook"),"")</f>
        <v/>
      </c>
      <c r="K8196">
        <f>IF(E8196="Domain",COUNTIF($E$2:E8196,"Domain"),"")</f>
        <v/>
      </c>
    </row>
    <row r="8197">
      <c r="A8197" s="2" t="n"/>
      <c r="B8197">
        <f>LOWER(TRIM(A8197))</f>
        <v/>
      </c>
      <c r="C8197">
        <f>IF(B8197="","",IFERROR(INDEX('Bad Patterns'!$A$2:$A$120,MATCH(1,INDEX(--ISNUMBER(SEARCH('Bad Patterns'!$A$2:$A$120,B8197)),0),0)),""))</f>
        <v/>
      </c>
      <c r="D8197">
        <f>IF(B8197="","",IF(C8197&lt;&gt;"","REMOVE","KEEP"))</f>
        <v/>
      </c>
      <c r="E8197">
        <f>IF(D8197&lt;&gt;"KEEP","",IF(RIGHT(B8197,10)="@gmail.com","Gmail",IF(OR(RIGHT(B8197,12)="@outlook.com",RIGHT(B8197,12)="@hotmail.com",RIGHT(B8197,9)="@live.com"),"Outlook","Domain")))</f>
        <v/>
      </c>
      <c r="F8197">
        <f>IF(B8197="","",IFERROR(RIGHT(B8197,LEN(B8197)-FIND("@",B8197)),""))</f>
        <v/>
      </c>
      <c r="G8197">
        <f>IF(D8197="KEEP",COUNTIF($D$2:D8197,"KEEP"),"")</f>
        <v/>
      </c>
      <c r="H8197">
        <f>IF(D8197="REMOVE",COUNTIF($D$2:D8197,"REMOVE"),"")</f>
        <v/>
      </c>
      <c r="I8197">
        <f>IF(E8197="Gmail",COUNTIF($E$2:E8197,"Gmail"),"")</f>
        <v/>
      </c>
      <c r="J8197">
        <f>IF(E8197="Outlook",COUNTIF($E$2:E8197,"Outlook"),"")</f>
        <v/>
      </c>
      <c r="K8197">
        <f>IF(E8197="Domain",COUNTIF($E$2:E8197,"Domain"),"")</f>
        <v/>
      </c>
    </row>
    <row r="8198">
      <c r="A8198" s="2" t="n"/>
      <c r="B8198">
        <f>LOWER(TRIM(A8198))</f>
        <v/>
      </c>
      <c r="C8198">
        <f>IF(B8198="","",IFERROR(INDEX('Bad Patterns'!$A$2:$A$120,MATCH(1,INDEX(--ISNUMBER(SEARCH('Bad Patterns'!$A$2:$A$120,B8198)),0),0)),""))</f>
        <v/>
      </c>
      <c r="D8198">
        <f>IF(B8198="","",IF(C8198&lt;&gt;"","REMOVE","KEEP"))</f>
        <v/>
      </c>
      <c r="E8198">
        <f>IF(D8198&lt;&gt;"KEEP","",IF(RIGHT(B8198,10)="@gmail.com","Gmail",IF(OR(RIGHT(B8198,12)="@outlook.com",RIGHT(B8198,12)="@hotmail.com",RIGHT(B8198,9)="@live.com"),"Outlook","Domain")))</f>
        <v/>
      </c>
      <c r="F8198">
        <f>IF(B8198="","",IFERROR(RIGHT(B8198,LEN(B8198)-FIND("@",B8198)),""))</f>
        <v/>
      </c>
      <c r="G8198">
        <f>IF(D8198="KEEP",COUNTIF($D$2:D8198,"KEEP"),"")</f>
        <v/>
      </c>
      <c r="H8198">
        <f>IF(D8198="REMOVE",COUNTIF($D$2:D8198,"REMOVE"),"")</f>
        <v/>
      </c>
      <c r="I8198">
        <f>IF(E8198="Gmail",COUNTIF($E$2:E8198,"Gmail"),"")</f>
        <v/>
      </c>
      <c r="J8198">
        <f>IF(E8198="Outlook",COUNTIF($E$2:E8198,"Outlook"),"")</f>
        <v/>
      </c>
      <c r="K8198">
        <f>IF(E8198="Domain",COUNTIF($E$2:E8198,"Domain"),"")</f>
        <v/>
      </c>
    </row>
    <row r="8199">
      <c r="A8199" s="2" t="n"/>
      <c r="B8199">
        <f>LOWER(TRIM(A8199))</f>
        <v/>
      </c>
      <c r="C8199">
        <f>IF(B8199="","",IFERROR(INDEX('Bad Patterns'!$A$2:$A$120,MATCH(1,INDEX(--ISNUMBER(SEARCH('Bad Patterns'!$A$2:$A$120,B8199)),0),0)),""))</f>
        <v/>
      </c>
      <c r="D8199">
        <f>IF(B8199="","",IF(C8199&lt;&gt;"","REMOVE","KEEP"))</f>
        <v/>
      </c>
      <c r="E8199">
        <f>IF(D8199&lt;&gt;"KEEP","",IF(RIGHT(B8199,10)="@gmail.com","Gmail",IF(OR(RIGHT(B8199,12)="@outlook.com",RIGHT(B8199,12)="@hotmail.com",RIGHT(B8199,9)="@live.com"),"Outlook","Domain")))</f>
        <v/>
      </c>
      <c r="F8199">
        <f>IF(B8199="","",IFERROR(RIGHT(B8199,LEN(B8199)-FIND("@",B8199)),""))</f>
        <v/>
      </c>
      <c r="G8199">
        <f>IF(D8199="KEEP",COUNTIF($D$2:D8199,"KEEP"),"")</f>
        <v/>
      </c>
      <c r="H8199">
        <f>IF(D8199="REMOVE",COUNTIF($D$2:D8199,"REMOVE"),"")</f>
        <v/>
      </c>
      <c r="I8199">
        <f>IF(E8199="Gmail",COUNTIF($E$2:E8199,"Gmail"),"")</f>
        <v/>
      </c>
      <c r="J8199">
        <f>IF(E8199="Outlook",COUNTIF($E$2:E8199,"Outlook"),"")</f>
        <v/>
      </c>
      <c r="K8199">
        <f>IF(E8199="Domain",COUNTIF($E$2:E8199,"Domain"),"")</f>
        <v/>
      </c>
    </row>
    <row r="8200">
      <c r="A8200" s="2" t="n"/>
      <c r="B8200">
        <f>LOWER(TRIM(A8200))</f>
        <v/>
      </c>
      <c r="C8200">
        <f>IF(B8200="","",IFERROR(INDEX('Bad Patterns'!$A$2:$A$120,MATCH(1,INDEX(--ISNUMBER(SEARCH('Bad Patterns'!$A$2:$A$120,B8200)),0),0)),""))</f>
        <v/>
      </c>
      <c r="D8200">
        <f>IF(B8200="","",IF(C8200&lt;&gt;"","REMOVE","KEEP"))</f>
        <v/>
      </c>
      <c r="E8200">
        <f>IF(D8200&lt;&gt;"KEEP","",IF(RIGHT(B8200,10)="@gmail.com","Gmail",IF(OR(RIGHT(B8200,12)="@outlook.com",RIGHT(B8200,12)="@hotmail.com",RIGHT(B8200,9)="@live.com"),"Outlook","Domain")))</f>
        <v/>
      </c>
      <c r="F8200">
        <f>IF(B8200="","",IFERROR(RIGHT(B8200,LEN(B8200)-FIND("@",B8200)),""))</f>
        <v/>
      </c>
      <c r="G8200">
        <f>IF(D8200="KEEP",COUNTIF($D$2:D8200,"KEEP"),"")</f>
        <v/>
      </c>
      <c r="H8200">
        <f>IF(D8200="REMOVE",COUNTIF($D$2:D8200,"REMOVE"),"")</f>
        <v/>
      </c>
      <c r="I8200">
        <f>IF(E8200="Gmail",COUNTIF($E$2:E8200,"Gmail"),"")</f>
        <v/>
      </c>
      <c r="J8200">
        <f>IF(E8200="Outlook",COUNTIF($E$2:E8200,"Outlook"),"")</f>
        <v/>
      </c>
      <c r="K8200">
        <f>IF(E8200="Domain",COUNTIF($E$2:E8200,"Domain"),"")</f>
        <v/>
      </c>
    </row>
    <row r="8201">
      <c r="A8201" s="2" t="n"/>
      <c r="B8201">
        <f>LOWER(TRIM(A8201))</f>
        <v/>
      </c>
      <c r="C8201">
        <f>IF(B8201="","",IFERROR(INDEX('Bad Patterns'!$A$2:$A$120,MATCH(1,INDEX(--ISNUMBER(SEARCH('Bad Patterns'!$A$2:$A$120,B8201)),0),0)),""))</f>
        <v/>
      </c>
      <c r="D8201">
        <f>IF(B8201="","",IF(C8201&lt;&gt;"","REMOVE","KEEP"))</f>
        <v/>
      </c>
      <c r="E8201">
        <f>IF(D8201&lt;&gt;"KEEP","",IF(RIGHT(B8201,10)="@gmail.com","Gmail",IF(OR(RIGHT(B8201,12)="@outlook.com",RIGHT(B8201,12)="@hotmail.com",RIGHT(B8201,9)="@live.com"),"Outlook","Domain")))</f>
        <v/>
      </c>
      <c r="F8201">
        <f>IF(B8201="","",IFERROR(RIGHT(B8201,LEN(B8201)-FIND("@",B8201)),""))</f>
        <v/>
      </c>
      <c r="G8201">
        <f>IF(D8201="KEEP",COUNTIF($D$2:D8201,"KEEP"),"")</f>
        <v/>
      </c>
      <c r="H8201">
        <f>IF(D8201="REMOVE",COUNTIF($D$2:D8201,"REMOVE"),"")</f>
        <v/>
      </c>
      <c r="I8201">
        <f>IF(E8201="Gmail",COUNTIF($E$2:E8201,"Gmail"),"")</f>
        <v/>
      </c>
      <c r="J8201">
        <f>IF(E8201="Outlook",COUNTIF($E$2:E8201,"Outlook"),"")</f>
        <v/>
      </c>
      <c r="K8201">
        <f>IF(E8201="Domain",COUNTIF($E$2:E8201,"Domain"),"")</f>
        <v/>
      </c>
    </row>
    <row r="8202">
      <c r="A8202" s="2" t="n"/>
      <c r="B8202">
        <f>LOWER(TRIM(A8202))</f>
        <v/>
      </c>
      <c r="C8202">
        <f>IF(B8202="","",IFERROR(INDEX('Bad Patterns'!$A$2:$A$120,MATCH(1,INDEX(--ISNUMBER(SEARCH('Bad Patterns'!$A$2:$A$120,B8202)),0),0)),""))</f>
        <v/>
      </c>
      <c r="D8202">
        <f>IF(B8202="","",IF(C8202&lt;&gt;"","REMOVE","KEEP"))</f>
        <v/>
      </c>
      <c r="E8202">
        <f>IF(D8202&lt;&gt;"KEEP","",IF(RIGHT(B8202,10)="@gmail.com","Gmail",IF(OR(RIGHT(B8202,12)="@outlook.com",RIGHT(B8202,12)="@hotmail.com",RIGHT(B8202,9)="@live.com"),"Outlook","Domain")))</f>
        <v/>
      </c>
      <c r="F8202">
        <f>IF(B8202="","",IFERROR(RIGHT(B8202,LEN(B8202)-FIND("@",B8202)),""))</f>
        <v/>
      </c>
      <c r="G8202">
        <f>IF(D8202="KEEP",COUNTIF($D$2:D8202,"KEEP"),"")</f>
        <v/>
      </c>
      <c r="H8202">
        <f>IF(D8202="REMOVE",COUNTIF($D$2:D8202,"REMOVE"),"")</f>
        <v/>
      </c>
      <c r="I8202">
        <f>IF(E8202="Gmail",COUNTIF($E$2:E8202,"Gmail"),"")</f>
        <v/>
      </c>
      <c r="J8202">
        <f>IF(E8202="Outlook",COUNTIF($E$2:E8202,"Outlook"),"")</f>
        <v/>
      </c>
      <c r="K8202">
        <f>IF(E8202="Domain",COUNTIF($E$2:E8202,"Domain"),"")</f>
        <v/>
      </c>
    </row>
    <row r="8203">
      <c r="A8203" s="2" t="n"/>
      <c r="B8203">
        <f>LOWER(TRIM(A8203))</f>
        <v/>
      </c>
      <c r="C8203">
        <f>IF(B8203="","",IFERROR(INDEX('Bad Patterns'!$A$2:$A$120,MATCH(1,INDEX(--ISNUMBER(SEARCH('Bad Patterns'!$A$2:$A$120,B8203)),0),0)),""))</f>
        <v/>
      </c>
      <c r="D8203">
        <f>IF(B8203="","",IF(C8203&lt;&gt;"","REMOVE","KEEP"))</f>
        <v/>
      </c>
      <c r="E8203">
        <f>IF(D8203&lt;&gt;"KEEP","",IF(RIGHT(B8203,10)="@gmail.com","Gmail",IF(OR(RIGHT(B8203,12)="@outlook.com",RIGHT(B8203,12)="@hotmail.com",RIGHT(B8203,9)="@live.com"),"Outlook","Domain")))</f>
        <v/>
      </c>
      <c r="F8203">
        <f>IF(B8203="","",IFERROR(RIGHT(B8203,LEN(B8203)-FIND("@",B8203)),""))</f>
        <v/>
      </c>
      <c r="G8203">
        <f>IF(D8203="KEEP",COUNTIF($D$2:D8203,"KEEP"),"")</f>
        <v/>
      </c>
      <c r="H8203">
        <f>IF(D8203="REMOVE",COUNTIF($D$2:D8203,"REMOVE"),"")</f>
        <v/>
      </c>
      <c r="I8203">
        <f>IF(E8203="Gmail",COUNTIF($E$2:E8203,"Gmail"),"")</f>
        <v/>
      </c>
      <c r="J8203">
        <f>IF(E8203="Outlook",COUNTIF($E$2:E8203,"Outlook"),"")</f>
        <v/>
      </c>
      <c r="K8203">
        <f>IF(E8203="Domain",COUNTIF($E$2:E8203,"Domain"),"")</f>
        <v/>
      </c>
    </row>
    <row r="8204">
      <c r="A8204" s="2" t="n"/>
      <c r="B8204">
        <f>LOWER(TRIM(A8204))</f>
        <v/>
      </c>
      <c r="C8204">
        <f>IF(B8204="","",IFERROR(INDEX('Bad Patterns'!$A$2:$A$120,MATCH(1,INDEX(--ISNUMBER(SEARCH('Bad Patterns'!$A$2:$A$120,B8204)),0),0)),""))</f>
        <v/>
      </c>
      <c r="D8204">
        <f>IF(B8204="","",IF(C8204&lt;&gt;"","REMOVE","KEEP"))</f>
        <v/>
      </c>
      <c r="E8204">
        <f>IF(D8204&lt;&gt;"KEEP","",IF(RIGHT(B8204,10)="@gmail.com","Gmail",IF(OR(RIGHT(B8204,12)="@outlook.com",RIGHT(B8204,12)="@hotmail.com",RIGHT(B8204,9)="@live.com"),"Outlook","Domain")))</f>
        <v/>
      </c>
      <c r="F8204">
        <f>IF(B8204="","",IFERROR(RIGHT(B8204,LEN(B8204)-FIND("@",B8204)),""))</f>
        <v/>
      </c>
      <c r="G8204">
        <f>IF(D8204="KEEP",COUNTIF($D$2:D8204,"KEEP"),"")</f>
        <v/>
      </c>
      <c r="H8204">
        <f>IF(D8204="REMOVE",COUNTIF($D$2:D8204,"REMOVE"),"")</f>
        <v/>
      </c>
      <c r="I8204">
        <f>IF(E8204="Gmail",COUNTIF($E$2:E8204,"Gmail"),"")</f>
        <v/>
      </c>
      <c r="J8204">
        <f>IF(E8204="Outlook",COUNTIF($E$2:E8204,"Outlook"),"")</f>
        <v/>
      </c>
      <c r="K8204">
        <f>IF(E8204="Domain",COUNTIF($E$2:E8204,"Domain"),"")</f>
        <v/>
      </c>
    </row>
    <row r="8205">
      <c r="A8205" s="2" t="n"/>
      <c r="B8205">
        <f>LOWER(TRIM(A8205))</f>
        <v/>
      </c>
      <c r="C8205">
        <f>IF(B8205="","",IFERROR(INDEX('Bad Patterns'!$A$2:$A$120,MATCH(1,INDEX(--ISNUMBER(SEARCH('Bad Patterns'!$A$2:$A$120,B8205)),0),0)),""))</f>
        <v/>
      </c>
      <c r="D8205">
        <f>IF(B8205="","",IF(C8205&lt;&gt;"","REMOVE","KEEP"))</f>
        <v/>
      </c>
      <c r="E8205">
        <f>IF(D8205&lt;&gt;"KEEP","",IF(RIGHT(B8205,10)="@gmail.com","Gmail",IF(OR(RIGHT(B8205,12)="@outlook.com",RIGHT(B8205,12)="@hotmail.com",RIGHT(B8205,9)="@live.com"),"Outlook","Domain")))</f>
        <v/>
      </c>
      <c r="F8205">
        <f>IF(B8205="","",IFERROR(RIGHT(B8205,LEN(B8205)-FIND("@",B8205)),""))</f>
        <v/>
      </c>
      <c r="G8205">
        <f>IF(D8205="KEEP",COUNTIF($D$2:D8205,"KEEP"),"")</f>
        <v/>
      </c>
      <c r="H8205">
        <f>IF(D8205="REMOVE",COUNTIF($D$2:D8205,"REMOVE"),"")</f>
        <v/>
      </c>
      <c r="I8205">
        <f>IF(E8205="Gmail",COUNTIF($E$2:E8205,"Gmail"),"")</f>
        <v/>
      </c>
      <c r="J8205">
        <f>IF(E8205="Outlook",COUNTIF($E$2:E8205,"Outlook"),"")</f>
        <v/>
      </c>
      <c r="K8205">
        <f>IF(E8205="Domain",COUNTIF($E$2:E8205,"Domain"),"")</f>
        <v/>
      </c>
    </row>
    <row r="8206">
      <c r="A8206" s="2" t="n"/>
      <c r="B8206">
        <f>LOWER(TRIM(A8206))</f>
        <v/>
      </c>
      <c r="C8206">
        <f>IF(B8206="","",IFERROR(INDEX('Bad Patterns'!$A$2:$A$120,MATCH(1,INDEX(--ISNUMBER(SEARCH('Bad Patterns'!$A$2:$A$120,B8206)),0),0)),""))</f>
        <v/>
      </c>
      <c r="D8206">
        <f>IF(B8206="","",IF(C8206&lt;&gt;"","REMOVE","KEEP"))</f>
        <v/>
      </c>
      <c r="E8206">
        <f>IF(D8206&lt;&gt;"KEEP","",IF(RIGHT(B8206,10)="@gmail.com","Gmail",IF(OR(RIGHT(B8206,12)="@outlook.com",RIGHT(B8206,12)="@hotmail.com",RIGHT(B8206,9)="@live.com"),"Outlook","Domain")))</f>
        <v/>
      </c>
      <c r="F8206">
        <f>IF(B8206="","",IFERROR(RIGHT(B8206,LEN(B8206)-FIND("@",B8206)),""))</f>
        <v/>
      </c>
      <c r="G8206">
        <f>IF(D8206="KEEP",COUNTIF($D$2:D8206,"KEEP"),"")</f>
        <v/>
      </c>
      <c r="H8206">
        <f>IF(D8206="REMOVE",COUNTIF($D$2:D8206,"REMOVE"),"")</f>
        <v/>
      </c>
      <c r="I8206">
        <f>IF(E8206="Gmail",COUNTIF($E$2:E8206,"Gmail"),"")</f>
        <v/>
      </c>
      <c r="J8206">
        <f>IF(E8206="Outlook",COUNTIF($E$2:E8206,"Outlook"),"")</f>
        <v/>
      </c>
      <c r="K8206">
        <f>IF(E8206="Domain",COUNTIF($E$2:E8206,"Domain"),"")</f>
        <v/>
      </c>
    </row>
    <row r="8207">
      <c r="A8207" s="2" t="n"/>
      <c r="B8207">
        <f>LOWER(TRIM(A8207))</f>
        <v/>
      </c>
      <c r="C8207">
        <f>IF(B8207="","",IFERROR(INDEX('Bad Patterns'!$A$2:$A$120,MATCH(1,INDEX(--ISNUMBER(SEARCH('Bad Patterns'!$A$2:$A$120,B8207)),0),0)),""))</f>
        <v/>
      </c>
      <c r="D8207">
        <f>IF(B8207="","",IF(C8207&lt;&gt;"","REMOVE","KEEP"))</f>
        <v/>
      </c>
      <c r="E8207">
        <f>IF(D8207&lt;&gt;"KEEP","",IF(RIGHT(B8207,10)="@gmail.com","Gmail",IF(OR(RIGHT(B8207,12)="@outlook.com",RIGHT(B8207,12)="@hotmail.com",RIGHT(B8207,9)="@live.com"),"Outlook","Domain")))</f>
        <v/>
      </c>
      <c r="F8207">
        <f>IF(B8207="","",IFERROR(RIGHT(B8207,LEN(B8207)-FIND("@",B8207)),""))</f>
        <v/>
      </c>
      <c r="G8207">
        <f>IF(D8207="KEEP",COUNTIF($D$2:D8207,"KEEP"),"")</f>
        <v/>
      </c>
      <c r="H8207">
        <f>IF(D8207="REMOVE",COUNTIF($D$2:D8207,"REMOVE"),"")</f>
        <v/>
      </c>
      <c r="I8207">
        <f>IF(E8207="Gmail",COUNTIF($E$2:E8207,"Gmail"),"")</f>
        <v/>
      </c>
      <c r="J8207">
        <f>IF(E8207="Outlook",COUNTIF($E$2:E8207,"Outlook"),"")</f>
        <v/>
      </c>
      <c r="K8207">
        <f>IF(E8207="Domain",COUNTIF($E$2:E8207,"Domain"),"")</f>
        <v/>
      </c>
    </row>
    <row r="8208">
      <c r="A8208" s="2" t="n"/>
      <c r="B8208">
        <f>LOWER(TRIM(A8208))</f>
        <v/>
      </c>
      <c r="C8208">
        <f>IF(B8208="","",IFERROR(INDEX('Bad Patterns'!$A$2:$A$120,MATCH(1,INDEX(--ISNUMBER(SEARCH('Bad Patterns'!$A$2:$A$120,B8208)),0),0)),""))</f>
        <v/>
      </c>
      <c r="D8208">
        <f>IF(B8208="","",IF(C8208&lt;&gt;"","REMOVE","KEEP"))</f>
        <v/>
      </c>
      <c r="E8208">
        <f>IF(D8208&lt;&gt;"KEEP","",IF(RIGHT(B8208,10)="@gmail.com","Gmail",IF(OR(RIGHT(B8208,12)="@outlook.com",RIGHT(B8208,12)="@hotmail.com",RIGHT(B8208,9)="@live.com"),"Outlook","Domain")))</f>
        <v/>
      </c>
      <c r="F8208">
        <f>IF(B8208="","",IFERROR(RIGHT(B8208,LEN(B8208)-FIND("@",B8208)),""))</f>
        <v/>
      </c>
      <c r="G8208">
        <f>IF(D8208="KEEP",COUNTIF($D$2:D8208,"KEEP"),"")</f>
        <v/>
      </c>
      <c r="H8208">
        <f>IF(D8208="REMOVE",COUNTIF($D$2:D8208,"REMOVE"),"")</f>
        <v/>
      </c>
      <c r="I8208">
        <f>IF(E8208="Gmail",COUNTIF($E$2:E8208,"Gmail"),"")</f>
        <v/>
      </c>
      <c r="J8208">
        <f>IF(E8208="Outlook",COUNTIF($E$2:E8208,"Outlook"),"")</f>
        <v/>
      </c>
      <c r="K8208">
        <f>IF(E8208="Domain",COUNTIF($E$2:E8208,"Domain"),"")</f>
        <v/>
      </c>
    </row>
    <row r="8209">
      <c r="A8209" s="2" t="n"/>
      <c r="B8209">
        <f>LOWER(TRIM(A8209))</f>
        <v/>
      </c>
      <c r="C8209">
        <f>IF(B8209="","",IFERROR(INDEX('Bad Patterns'!$A$2:$A$120,MATCH(1,INDEX(--ISNUMBER(SEARCH('Bad Patterns'!$A$2:$A$120,B8209)),0),0)),""))</f>
        <v/>
      </c>
      <c r="D8209">
        <f>IF(B8209="","",IF(C8209&lt;&gt;"","REMOVE","KEEP"))</f>
        <v/>
      </c>
      <c r="E8209">
        <f>IF(D8209&lt;&gt;"KEEP","",IF(RIGHT(B8209,10)="@gmail.com","Gmail",IF(OR(RIGHT(B8209,12)="@outlook.com",RIGHT(B8209,12)="@hotmail.com",RIGHT(B8209,9)="@live.com"),"Outlook","Domain")))</f>
        <v/>
      </c>
      <c r="F8209">
        <f>IF(B8209="","",IFERROR(RIGHT(B8209,LEN(B8209)-FIND("@",B8209)),""))</f>
        <v/>
      </c>
      <c r="G8209">
        <f>IF(D8209="KEEP",COUNTIF($D$2:D8209,"KEEP"),"")</f>
        <v/>
      </c>
      <c r="H8209">
        <f>IF(D8209="REMOVE",COUNTIF($D$2:D8209,"REMOVE"),"")</f>
        <v/>
      </c>
      <c r="I8209">
        <f>IF(E8209="Gmail",COUNTIF($E$2:E8209,"Gmail"),"")</f>
        <v/>
      </c>
      <c r="J8209">
        <f>IF(E8209="Outlook",COUNTIF($E$2:E8209,"Outlook"),"")</f>
        <v/>
      </c>
      <c r="K8209">
        <f>IF(E8209="Domain",COUNTIF($E$2:E8209,"Domain"),"")</f>
        <v/>
      </c>
    </row>
    <row r="8210">
      <c r="A8210" s="2" t="n"/>
      <c r="B8210">
        <f>LOWER(TRIM(A8210))</f>
        <v/>
      </c>
      <c r="C8210">
        <f>IF(B8210="","",IFERROR(INDEX('Bad Patterns'!$A$2:$A$120,MATCH(1,INDEX(--ISNUMBER(SEARCH('Bad Patterns'!$A$2:$A$120,B8210)),0),0)),""))</f>
        <v/>
      </c>
      <c r="D8210">
        <f>IF(B8210="","",IF(C8210&lt;&gt;"","REMOVE","KEEP"))</f>
        <v/>
      </c>
      <c r="E8210">
        <f>IF(D8210&lt;&gt;"KEEP","",IF(RIGHT(B8210,10)="@gmail.com","Gmail",IF(OR(RIGHT(B8210,12)="@outlook.com",RIGHT(B8210,12)="@hotmail.com",RIGHT(B8210,9)="@live.com"),"Outlook","Domain")))</f>
        <v/>
      </c>
      <c r="F8210">
        <f>IF(B8210="","",IFERROR(RIGHT(B8210,LEN(B8210)-FIND("@",B8210)),""))</f>
        <v/>
      </c>
      <c r="G8210">
        <f>IF(D8210="KEEP",COUNTIF($D$2:D8210,"KEEP"),"")</f>
        <v/>
      </c>
      <c r="H8210">
        <f>IF(D8210="REMOVE",COUNTIF($D$2:D8210,"REMOVE"),"")</f>
        <v/>
      </c>
      <c r="I8210">
        <f>IF(E8210="Gmail",COUNTIF($E$2:E8210,"Gmail"),"")</f>
        <v/>
      </c>
      <c r="J8210">
        <f>IF(E8210="Outlook",COUNTIF($E$2:E8210,"Outlook"),"")</f>
        <v/>
      </c>
      <c r="K8210">
        <f>IF(E8210="Domain",COUNTIF($E$2:E8210,"Domain"),"")</f>
        <v/>
      </c>
    </row>
    <row r="8211">
      <c r="A8211" s="2" t="n"/>
      <c r="B8211">
        <f>LOWER(TRIM(A8211))</f>
        <v/>
      </c>
      <c r="C8211">
        <f>IF(B8211="","",IFERROR(INDEX('Bad Patterns'!$A$2:$A$120,MATCH(1,INDEX(--ISNUMBER(SEARCH('Bad Patterns'!$A$2:$A$120,B8211)),0),0)),""))</f>
        <v/>
      </c>
      <c r="D8211">
        <f>IF(B8211="","",IF(C8211&lt;&gt;"","REMOVE","KEEP"))</f>
        <v/>
      </c>
      <c r="E8211">
        <f>IF(D8211&lt;&gt;"KEEP","",IF(RIGHT(B8211,10)="@gmail.com","Gmail",IF(OR(RIGHT(B8211,12)="@outlook.com",RIGHT(B8211,12)="@hotmail.com",RIGHT(B8211,9)="@live.com"),"Outlook","Domain")))</f>
        <v/>
      </c>
      <c r="F8211">
        <f>IF(B8211="","",IFERROR(RIGHT(B8211,LEN(B8211)-FIND("@",B8211)),""))</f>
        <v/>
      </c>
      <c r="G8211">
        <f>IF(D8211="KEEP",COUNTIF($D$2:D8211,"KEEP"),"")</f>
        <v/>
      </c>
      <c r="H8211">
        <f>IF(D8211="REMOVE",COUNTIF($D$2:D8211,"REMOVE"),"")</f>
        <v/>
      </c>
      <c r="I8211">
        <f>IF(E8211="Gmail",COUNTIF($E$2:E8211,"Gmail"),"")</f>
        <v/>
      </c>
      <c r="J8211">
        <f>IF(E8211="Outlook",COUNTIF($E$2:E8211,"Outlook"),"")</f>
        <v/>
      </c>
      <c r="K8211">
        <f>IF(E8211="Domain",COUNTIF($E$2:E8211,"Domain"),"")</f>
        <v/>
      </c>
    </row>
    <row r="8212">
      <c r="A8212" s="2" t="n"/>
      <c r="B8212">
        <f>LOWER(TRIM(A8212))</f>
        <v/>
      </c>
      <c r="C8212">
        <f>IF(B8212="","",IFERROR(INDEX('Bad Patterns'!$A$2:$A$120,MATCH(1,INDEX(--ISNUMBER(SEARCH('Bad Patterns'!$A$2:$A$120,B8212)),0),0)),""))</f>
        <v/>
      </c>
      <c r="D8212">
        <f>IF(B8212="","",IF(C8212&lt;&gt;"","REMOVE","KEEP"))</f>
        <v/>
      </c>
      <c r="E8212">
        <f>IF(D8212&lt;&gt;"KEEP","",IF(RIGHT(B8212,10)="@gmail.com","Gmail",IF(OR(RIGHT(B8212,12)="@outlook.com",RIGHT(B8212,12)="@hotmail.com",RIGHT(B8212,9)="@live.com"),"Outlook","Domain")))</f>
        <v/>
      </c>
      <c r="F8212">
        <f>IF(B8212="","",IFERROR(RIGHT(B8212,LEN(B8212)-FIND("@",B8212)),""))</f>
        <v/>
      </c>
      <c r="G8212">
        <f>IF(D8212="KEEP",COUNTIF($D$2:D8212,"KEEP"),"")</f>
        <v/>
      </c>
      <c r="H8212">
        <f>IF(D8212="REMOVE",COUNTIF($D$2:D8212,"REMOVE"),"")</f>
        <v/>
      </c>
      <c r="I8212">
        <f>IF(E8212="Gmail",COUNTIF($E$2:E8212,"Gmail"),"")</f>
        <v/>
      </c>
      <c r="J8212">
        <f>IF(E8212="Outlook",COUNTIF($E$2:E8212,"Outlook"),"")</f>
        <v/>
      </c>
      <c r="K8212">
        <f>IF(E8212="Domain",COUNTIF($E$2:E8212,"Domain"),"")</f>
        <v/>
      </c>
    </row>
    <row r="8213">
      <c r="A8213" s="2" t="n"/>
      <c r="B8213">
        <f>LOWER(TRIM(A8213))</f>
        <v/>
      </c>
      <c r="C8213">
        <f>IF(B8213="","",IFERROR(INDEX('Bad Patterns'!$A$2:$A$120,MATCH(1,INDEX(--ISNUMBER(SEARCH('Bad Patterns'!$A$2:$A$120,B8213)),0),0)),""))</f>
        <v/>
      </c>
      <c r="D8213">
        <f>IF(B8213="","",IF(C8213&lt;&gt;"","REMOVE","KEEP"))</f>
        <v/>
      </c>
      <c r="E8213">
        <f>IF(D8213&lt;&gt;"KEEP","",IF(RIGHT(B8213,10)="@gmail.com","Gmail",IF(OR(RIGHT(B8213,12)="@outlook.com",RIGHT(B8213,12)="@hotmail.com",RIGHT(B8213,9)="@live.com"),"Outlook","Domain")))</f>
        <v/>
      </c>
      <c r="F8213">
        <f>IF(B8213="","",IFERROR(RIGHT(B8213,LEN(B8213)-FIND("@",B8213)),""))</f>
        <v/>
      </c>
      <c r="G8213">
        <f>IF(D8213="KEEP",COUNTIF($D$2:D8213,"KEEP"),"")</f>
        <v/>
      </c>
      <c r="H8213">
        <f>IF(D8213="REMOVE",COUNTIF($D$2:D8213,"REMOVE"),"")</f>
        <v/>
      </c>
      <c r="I8213">
        <f>IF(E8213="Gmail",COUNTIF($E$2:E8213,"Gmail"),"")</f>
        <v/>
      </c>
      <c r="J8213">
        <f>IF(E8213="Outlook",COUNTIF($E$2:E8213,"Outlook"),"")</f>
        <v/>
      </c>
      <c r="K8213">
        <f>IF(E8213="Domain",COUNTIF($E$2:E8213,"Domain"),"")</f>
        <v/>
      </c>
    </row>
    <row r="8214">
      <c r="A8214" s="2" t="n"/>
      <c r="B8214">
        <f>LOWER(TRIM(A8214))</f>
        <v/>
      </c>
      <c r="C8214">
        <f>IF(B8214="","",IFERROR(INDEX('Bad Patterns'!$A$2:$A$120,MATCH(1,INDEX(--ISNUMBER(SEARCH('Bad Patterns'!$A$2:$A$120,B8214)),0),0)),""))</f>
        <v/>
      </c>
      <c r="D8214">
        <f>IF(B8214="","",IF(C8214&lt;&gt;"","REMOVE","KEEP"))</f>
        <v/>
      </c>
      <c r="E8214">
        <f>IF(D8214&lt;&gt;"KEEP","",IF(RIGHT(B8214,10)="@gmail.com","Gmail",IF(OR(RIGHT(B8214,12)="@outlook.com",RIGHT(B8214,12)="@hotmail.com",RIGHT(B8214,9)="@live.com"),"Outlook","Domain")))</f>
        <v/>
      </c>
      <c r="F8214">
        <f>IF(B8214="","",IFERROR(RIGHT(B8214,LEN(B8214)-FIND("@",B8214)),""))</f>
        <v/>
      </c>
      <c r="G8214">
        <f>IF(D8214="KEEP",COUNTIF($D$2:D8214,"KEEP"),"")</f>
        <v/>
      </c>
      <c r="H8214">
        <f>IF(D8214="REMOVE",COUNTIF($D$2:D8214,"REMOVE"),"")</f>
        <v/>
      </c>
      <c r="I8214">
        <f>IF(E8214="Gmail",COUNTIF($E$2:E8214,"Gmail"),"")</f>
        <v/>
      </c>
      <c r="J8214">
        <f>IF(E8214="Outlook",COUNTIF($E$2:E8214,"Outlook"),"")</f>
        <v/>
      </c>
      <c r="K8214">
        <f>IF(E8214="Domain",COUNTIF($E$2:E8214,"Domain"),"")</f>
        <v/>
      </c>
    </row>
    <row r="8215">
      <c r="A8215" s="2" t="n"/>
      <c r="B8215">
        <f>LOWER(TRIM(A8215))</f>
        <v/>
      </c>
      <c r="C8215">
        <f>IF(B8215="","",IFERROR(INDEX('Bad Patterns'!$A$2:$A$120,MATCH(1,INDEX(--ISNUMBER(SEARCH('Bad Patterns'!$A$2:$A$120,B8215)),0),0)),""))</f>
        <v/>
      </c>
      <c r="D8215">
        <f>IF(B8215="","",IF(C8215&lt;&gt;"","REMOVE","KEEP"))</f>
        <v/>
      </c>
      <c r="E8215">
        <f>IF(D8215&lt;&gt;"KEEP","",IF(RIGHT(B8215,10)="@gmail.com","Gmail",IF(OR(RIGHT(B8215,12)="@outlook.com",RIGHT(B8215,12)="@hotmail.com",RIGHT(B8215,9)="@live.com"),"Outlook","Domain")))</f>
        <v/>
      </c>
      <c r="F8215">
        <f>IF(B8215="","",IFERROR(RIGHT(B8215,LEN(B8215)-FIND("@",B8215)),""))</f>
        <v/>
      </c>
      <c r="G8215">
        <f>IF(D8215="KEEP",COUNTIF($D$2:D8215,"KEEP"),"")</f>
        <v/>
      </c>
      <c r="H8215">
        <f>IF(D8215="REMOVE",COUNTIF($D$2:D8215,"REMOVE"),"")</f>
        <v/>
      </c>
      <c r="I8215">
        <f>IF(E8215="Gmail",COUNTIF($E$2:E8215,"Gmail"),"")</f>
        <v/>
      </c>
      <c r="J8215">
        <f>IF(E8215="Outlook",COUNTIF($E$2:E8215,"Outlook"),"")</f>
        <v/>
      </c>
      <c r="K8215">
        <f>IF(E8215="Domain",COUNTIF($E$2:E8215,"Domain"),"")</f>
        <v/>
      </c>
    </row>
    <row r="8216">
      <c r="A8216" s="2" t="n"/>
      <c r="B8216">
        <f>LOWER(TRIM(A8216))</f>
        <v/>
      </c>
      <c r="C8216">
        <f>IF(B8216="","",IFERROR(INDEX('Bad Patterns'!$A$2:$A$120,MATCH(1,INDEX(--ISNUMBER(SEARCH('Bad Patterns'!$A$2:$A$120,B8216)),0),0)),""))</f>
        <v/>
      </c>
      <c r="D8216">
        <f>IF(B8216="","",IF(C8216&lt;&gt;"","REMOVE","KEEP"))</f>
        <v/>
      </c>
      <c r="E8216">
        <f>IF(D8216&lt;&gt;"KEEP","",IF(RIGHT(B8216,10)="@gmail.com","Gmail",IF(OR(RIGHT(B8216,12)="@outlook.com",RIGHT(B8216,12)="@hotmail.com",RIGHT(B8216,9)="@live.com"),"Outlook","Domain")))</f>
        <v/>
      </c>
      <c r="F8216">
        <f>IF(B8216="","",IFERROR(RIGHT(B8216,LEN(B8216)-FIND("@",B8216)),""))</f>
        <v/>
      </c>
      <c r="G8216">
        <f>IF(D8216="KEEP",COUNTIF($D$2:D8216,"KEEP"),"")</f>
        <v/>
      </c>
      <c r="H8216">
        <f>IF(D8216="REMOVE",COUNTIF($D$2:D8216,"REMOVE"),"")</f>
        <v/>
      </c>
      <c r="I8216">
        <f>IF(E8216="Gmail",COUNTIF($E$2:E8216,"Gmail"),"")</f>
        <v/>
      </c>
      <c r="J8216">
        <f>IF(E8216="Outlook",COUNTIF($E$2:E8216,"Outlook"),"")</f>
        <v/>
      </c>
      <c r="K8216">
        <f>IF(E8216="Domain",COUNTIF($E$2:E8216,"Domain"),"")</f>
        <v/>
      </c>
    </row>
    <row r="8217">
      <c r="A8217" s="2" t="n"/>
      <c r="B8217">
        <f>LOWER(TRIM(A8217))</f>
        <v/>
      </c>
      <c r="C8217">
        <f>IF(B8217="","",IFERROR(INDEX('Bad Patterns'!$A$2:$A$120,MATCH(1,INDEX(--ISNUMBER(SEARCH('Bad Patterns'!$A$2:$A$120,B8217)),0),0)),""))</f>
        <v/>
      </c>
      <c r="D8217">
        <f>IF(B8217="","",IF(C8217&lt;&gt;"","REMOVE","KEEP"))</f>
        <v/>
      </c>
      <c r="E8217">
        <f>IF(D8217&lt;&gt;"KEEP","",IF(RIGHT(B8217,10)="@gmail.com","Gmail",IF(OR(RIGHT(B8217,12)="@outlook.com",RIGHT(B8217,12)="@hotmail.com",RIGHT(B8217,9)="@live.com"),"Outlook","Domain")))</f>
        <v/>
      </c>
      <c r="F8217">
        <f>IF(B8217="","",IFERROR(RIGHT(B8217,LEN(B8217)-FIND("@",B8217)),""))</f>
        <v/>
      </c>
      <c r="G8217">
        <f>IF(D8217="KEEP",COUNTIF($D$2:D8217,"KEEP"),"")</f>
        <v/>
      </c>
      <c r="H8217">
        <f>IF(D8217="REMOVE",COUNTIF($D$2:D8217,"REMOVE"),"")</f>
        <v/>
      </c>
      <c r="I8217">
        <f>IF(E8217="Gmail",COUNTIF($E$2:E8217,"Gmail"),"")</f>
        <v/>
      </c>
      <c r="J8217">
        <f>IF(E8217="Outlook",COUNTIF($E$2:E8217,"Outlook"),"")</f>
        <v/>
      </c>
      <c r="K8217">
        <f>IF(E8217="Domain",COUNTIF($E$2:E8217,"Domain"),"")</f>
        <v/>
      </c>
    </row>
    <row r="8218">
      <c r="A8218" s="2" t="n"/>
      <c r="B8218">
        <f>LOWER(TRIM(A8218))</f>
        <v/>
      </c>
      <c r="C8218">
        <f>IF(B8218="","",IFERROR(INDEX('Bad Patterns'!$A$2:$A$120,MATCH(1,INDEX(--ISNUMBER(SEARCH('Bad Patterns'!$A$2:$A$120,B8218)),0),0)),""))</f>
        <v/>
      </c>
      <c r="D8218">
        <f>IF(B8218="","",IF(C8218&lt;&gt;"","REMOVE","KEEP"))</f>
        <v/>
      </c>
      <c r="E8218">
        <f>IF(D8218&lt;&gt;"KEEP","",IF(RIGHT(B8218,10)="@gmail.com","Gmail",IF(OR(RIGHT(B8218,12)="@outlook.com",RIGHT(B8218,12)="@hotmail.com",RIGHT(B8218,9)="@live.com"),"Outlook","Domain")))</f>
        <v/>
      </c>
      <c r="F8218">
        <f>IF(B8218="","",IFERROR(RIGHT(B8218,LEN(B8218)-FIND("@",B8218)),""))</f>
        <v/>
      </c>
      <c r="G8218">
        <f>IF(D8218="KEEP",COUNTIF($D$2:D8218,"KEEP"),"")</f>
        <v/>
      </c>
      <c r="H8218">
        <f>IF(D8218="REMOVE",COUNTIF($D$2:D8218,"REMOVE"),"")</f>
        <v/>
      </c>
      <c r="I8218">
        <f>IF(E8218="Gmail",COUNTIF($E$2:E8218,"Gmail"),"")</f>
        <v/>
      </c>
      <c r="J8218">
        <f>IF(E8218="Outlook",COUNTIF($E$2:E8218,"Outlook"),"")</f>
        <v/>
      </c>
      <c r="K8218">
        <f>IF(E8218="Domain",COUNTIF($E$2:E8218,"Domain"),"")</f>
        <v/>
      </c>
    </row>
    <row r="8219">
      <c r="A8219" s="2" t="n"/>
      <c r="B8219">
        <f>LOWER(TRIM(A8219))</f>
        <v/>
      </c>
      <c r="C8219">
        <f>IF(B8219="","",IFERROR(INDEX('Bad Patterns'!$A$2:$A$120,MATCH(1,INDEX(--ISNUMBER(SEARCH('Bad Patterns'!$A$2:$A$120,B8219)),0),0)),""))</f>
        <v/>
      </c>
      <c r="D8219">
        <f>IF(B8219="","",IF(C8219&lt;&gt;"","REMOVE","KEEP"))</f>
        <v/>
      </c>
      <c r="E8219">
        <f>IF(D8219&lt;&gt;"KEEP","",IF(RIGHT(B8219,10)="@gmail.com","Gmail",IF(OR(RIGHT(B8219,12)="@outlook.com",RIGHT(B8219,12)="@hotmail.com",RIGHT(B8219,9)="@live.com"),"Outlook","Domain")))</f>
        <v/>
      </c>
      <c r="F8219">
        <f>IF(B8219="","",IFERROR(RIGHT(B8219,LEN(B8219)-FIND("@",B8219)),""))</f>
        <v/>
      </c>
      <c r="G8219">
        <f>IF(D8219="KEEP",COUNTIF($D$2:D8219,"KEEP"),"")</f>
        <v/>
      </c>
      <c r="H8219">
        <f>IF(D8219="REMOVE",COUNTIF($D$2:D8219,"REMOVE"),"")</f>
        <v/>
      </c>
      <c r="I8219">
        <f>IF(E8219="Gmail",COUNTIF($E$2:E8219,"Gmail"),"")</f>
        <v/>
      </c>
      <c r="J8219">
        <f>IF(E8219="Outlook",COUNTIF($E$2:E8219,"Outlook"),"")</f>
        <v/>
      </c>
      <c r="K8219">
        <f>IF(E8219="Domain",COUNTIF($E$2:E8219,"Domain"),"")</f>
        <v/>
      </c>
    </row>
    <row r="8220">
      <c r="A8220" s="2" t="n"/>
      <c r="B8220">
        <f>LOWER(TRIM(A8220))</f>
        <v/>
      </c>
      <c r="C8220">
        <f>IF(B8220="","",IFERROR(INDEX('Bad Patterns'!$A$2:$A$120,MATCH(1,INDEX(--ISNUMBER(SEARCH('Bad Patterns'!$A$2:$A$120,B8220)),0),0)),""))</f>
        <v/>
      </c>
      <c r="D8220">
        <f>IF(B8220="","",IF(C8220&lt;&gt;"","REMOVE","KEEP"))</f>
        <v/>
      </c>
      <c r="E8220">
        <f>IF(D8220&lt;&gt;"KEEP","",IF(RIGHT(B8220,10)="@gmail.com","Gmail",IF(OR(RIGHT(B8220,12)="@outlook.com",RIGHT(B8220,12)="@hotmail.com",RIGHT(B8220,9)="@live.com"),"Outlook","Domain")))</f>
        <v/>
      </c>
      <c r="F8220">
        <f>IF(B8220="","",IFERROR(RIGHT(B8220,LEN(B8220)-FIND("@",B8220)),""))</f>
        <v/>
      </c>
      <c r="G8220">
        <f>IF(D8220="KEEP",COUNTIF($D$2:D8220,"KEEP"),"")</f>
        <v/>
      </c>
      <c r="H8220">
        <f>IF(D8220="REMOVE",COUNTIF($D$2:D8220,"REMOVE"),"")</f>
        <v/>
      </c>
      <c r="I8220">
        <f>IF(E8220="Gmail",COUNTIF($E$2:E8220,"Gmail"),"")</f>
        <v/>
      </c>
      <c r="J8220">
        <f>IF(E8220="Outlook",COUNTIF($E$2:E8220,"Outlook"),"")</f>
        <v/>
      </c>
      <c r="K8220">
        <f>IF(E8220="Domain",COUNTIF($E$2:E8220,"Domain"),"")</f>
        <v/>
      </c>
    </row>
    <row r="8221">
      <c r="A8221" s="2" t="n"/>
      <c r="B8221">
        <f>LOWER(TRIM(A8221))</f>
        <v/>
      </c>
      <c r="C8221">
        <f>IF(B8221="","",IFERROR(INDEX('Bad Patterns'!$A$2:$A$120,MATCH(1,INDEX(--ISNUMBER(SEARCH('Bad Patterns'!$A$2:$A$120,B8221)),0),0)),""))</f>
        <v/>
      </c>
      <c r="D8221">
        <f>IF(B8221="","",IF(C8221&lt;&gt;"","REMOVE","KEEP"))</f>
        <v/>
      </c>
      <c r="E8221">
        <f>IF(D8221&lt;&gt;"KEEP","",IF(RIGHT(B8221,10)="@gmail.com","Gmail",IF(OR(RIGHT(B8221,12)="@outlook.com",RIGHT(B8221,12)="@hotmail.com",RIGHT(B8221,9)="@live.com"),"Outlook","Domain")))</f>
        <v/>
      </c>
      <c r="F8221">
        <f>IF(B8221="","",IFERROR(RIGHT(B8221,LEN(B8221)-FIND("@",B8221)),""))</f>
        <v/>
      </c>
      <c r="G8221">
        <f>IF(D8221="KEEP",COUNTIF($D$2:D8221,"KEEP"),"")</f>
        <v/>
      </c>
      <c r="H8221">
        <f>IF(D8221="REMOVE",COUNTIF($D$2:D8221,"REMOVE"),"")</f>
        <v/>
      </c>
      <c r="I8221">
        <f>IF(E8221="Gmail",COUNTIF($E$2:E8221,"Gmail"),"")</f>
        <v/>
      </c>
      <c r="J8221">
        <f>IF(E8221="Outlook",COUNTIF($E$2:E8221,"Outlook"),"")</f>
        <v/>
      </c>
      <c r="K8221">
        <f>IF(E8221="Domain",COUNTIF($E$2:E8221,"Domain"),"")</f>
        <v/>
      </c>
    </row>
    <row r="8222">
      <c r="A8222" s="2" t="n"/>
      <c r="B8222">
        <f>LOWER(TRIM(A8222))</f>
        <v/>
      </c>
      <c r="C8222">
        <f>IF(B8222="","",IFERROR(INDEX('Bad Patterns'!$A$2:$A$120,MATCH(1,INDEX(--ISNUMBER(SEARCH('Bad Patterns'!$A$2:$A$120,B8222)),0),0)),""))</f>
        <v/>
      </c>
      <c r="D8222">
        <f>IF(B8222="","",IF(C8222&lt;&gt;"","REMOVE","KEEP"))</f>
        <v/>
      </c>
      <c r="E8222">
        <f>IF(D8222&lt;&gt;"KEEP","",IF(RIGHT(B8222,10)="@gmail.com","Gmail",IF(OR(RIGHT(B8222,12)="@outlook.com",RIGHT(B8222,12)="@hotmail.com",RIGHT(B8222,9)="@live.com"),"Outlook","Domain")))</f>
        <v/>
      </c>
      <c r="F8222">
        <f>IF(B8222="","",IFERROR(RIGHT(B8222,LEN(B8222)-FIND("@",B8222)),""))</f>
        <v/>
      </c>
      <c r="G8222">
        <f>IF(D8222="KEEP",COUNTIF($D$2:D8222,"KEEP"),"")</f>
        <v/>
      </c>
      <c r="H8222">
        <f>IF(D8222="REMOVE",COUNTIF($D$2:D8222,"REMOVE"),"")</f>
        <v/>
      </c>
      <c r="I8222">
        <f>IF(E8222="Gmail",COUNTIF($E$2:E8222,"Gmail"),"")</f>
        <v/>
      </c>
      <c r="J8222">
        <f>IF(E8222="Outlook",COUNTIF($E$2:E8222,"Outlook"),"")</f>
        <v/>
      </c>
      <c r="K8222">
        <f>IF(E8222="Domain",COUNTIF($E$2:E8222,"Domain"),"")</f>
        <v/>
      </c>
    </row>
    <row r="8223">
      <c r="A8223" s="2" t="n"/>
      <c r="B8223">
        <f>LOWER(TRIM(A8223))</f>
        <v/>
      </c>
      <c r="C8223">
        <f>IF(B8223="","",IFERROR(INDEX('Bad Patterns'!$A$2:$A$120,MATCH(1,INDEX(--ISNUMBER(SEARCH('Bad Patterns'!$A$2:$A$120,B8223)),0),0)),""))</f>
        <v/>
      </c>
      <c r="D8223">
        <f>IF(B8223="","",IF(C8223&lt;&gt;"","REMOVE","KEEP"))</f>
        <v/>
      </c>
      <c r="E8223">
        <f>IF(D8223&lt;&gt;"KEEP","",IF(RIGHT(B8223,10)="@gmail.com","Gmail",IF(OR(RIGHT(B8223,12)="@outlook.com",RIGHT(B8223,12)="@hotmail.com",RIGHT(B8223,9)="@live.com"),"Outlook","Domain")))</f>
        <v/>
      </c>
      <c r="F8223">
        <f>IF(B8223="","",IFERROR(RIGHT(B8223,LEN(B8223)-FIND("@",B8223)),""))</f>
        <v/>
      </c>
      <c r="G8223">
        <f>IF(D8223="KEEP",COUNTIF($D$2:D8223,"KEEP"),"")</f>
        <v/>
      </c>
      <c r="H8223">
        <f>IF(D8223="REMOVE",COUNTIF($D$2:D8223,"REMOVE"),"")</f>
        <v/>
      </c>
      <c r="I8223">
        <f>IF(E8223="Gmail",COUNTIF($E$2:E8223,"Gmail"),"")</f>
        <v/>
      </c>
      <c r="J8223">
        <f>IF(E8223="Outlook",COUNTIF($E$2:E8223,"Outlook"),"")</f>
        <v/>
      </c>
      <c r="K8223">
        <f>IF(E8223="Domain",COUNTIF($E$2:E8223,"Domain"),"")</f>
        <v/>
      </c>
    </row>
    <row r="8224">
      <c r="A8224" s="2" t="n"/>
      <c r="B8224">
        <f>LOWER(TRIM(A8224))</f>
        <v/>
      </c>
      <c r="C8224">
        <f>IF(B8224="","",IFERROR(INDEX('Bad Patterns'!$A$2:$A$120,MATCH(1,INDEX(--ISNUMBER(SEARCH('Bad Patterns'!$A$2:$A$120,B8224)),0),0)),""))</f>
        <v/>
      </c>
      <c r="D8224">
        <f>IF(B8224="","",IF(C8224&lt;&gt;"","REMOVE","KEEP"))</f>
        <v/>
      </c>
      <c r="E8224">
        <f>IF(D8224&lt;&gt;"KEEP","",IF(RIGHT(B8224,10)="@gmail.com","Gmail",IF(OR(RIGHT(B8224,12)="@outlook.com",RIGHT(B8224,12)="@hotmail.com",RIGHT(B8224,9)="@live.com"),"Outlook","Domain")))</f>
        <v/>
      </c>
      <c r="F8224">
        <f>IF(B8224="","",IFERROR(RIGHT(B8224,LEN(B8224)-FIND("@",B8224)),""))</f>
        <v/>
      </c>
      <c r="G8224">
        <f>IF(D8224="KEEP",COUNTIF($D$2:D8224,"KEEP"),"")</f>
        <v/>
      </c>
      <c r="H8224">
        <f>IF(D8224="REMOVE",COUNTIF($D$2:D8224,"REMOVE"),"")</f>
        <v/>
      </c>
      <c r="I8224">
        <f>IF(E8224="Gmail",COUNTIF($E$2:E8224,"Gmail"),"")</f>
        <v/>
      </c>
      <c r="J8224">
        <f>IF(E8224="Outlook",COUNTIF($E$2:E8224,"Outlook"),"")</f>
        <v/>
      </c>
      <c r="K8224">
        <f>IF(E8224="Domain",COUNTIF($E$2:E8224,"Domain"),"")</f>
        <v/>
      </c>
    </row>
    <row r="8225">
      <c r="A8225" s="2" t="n"/>
      <c r="B8225">
        <f>LOWER(TRIM(A8225))</f>
        <v/>
      </c>
      <c r="C8225">
        <f>IF(B8225="","",IFERROR(INDEX('Bad Patterns'!$A$2:$A$120,MATCH(1,INDEX(--ISNUMBER(SEARCH('Bad Patterns'!$A$2:$A$120,B8225)),0),0)),""))</f>
        <v/>
      </c>
      <c r="D8225">
        <f>IF(B8225="","",IF(C8225&lt;&gt;"","REMOVE","KEEP"))</f>
        <v/>
      </c>
      <c r="E8225">
        <f>IF(D8225&lt;&gt;"KEEP","",IF(RIGHT(B8225,10)="@gmail.com","Gmail",IF(OR(RIGHT(B8225,12)="@outlook.com",RIGHT(B8225,12)="@hotmail.com",RIGHT(B8225,9)="@live.com"),"Outlook","Domain")))</f>
        <v/>
      </c>
      <c r="F8225">
        <f>IF(B8225="","",IFERROR(RIGHT(B8225,LEN(B8225)-FIND("@",B8225)),""))</f>
        <v/>
      </c>
      <c r="G8225">
        <f>IF(D8225="KEEP",COUNTIF($D$2:D8225,"KEEP"),"")</f>
        <v/>
      </c>
      <c r="H8225">
        <f>IF(D8225="REMOVE",COUNTIF($D$2:D8225,"REMOVE"),"")</f>
        <v/>
      </c>
      <c r="I8225">
        <f>IF(E8225="Gmail",COUNTIF($E$2:E8225,"Gmail"),"")</f>
        <v/>
      </c>
      <c r="J8225">
        <f>IF(E8225="Outlook",COUNTIF($E$2:E8225,"Outlook"),"")</f>
        <v/>
      </c>
      <c r="K8225">
        <f>IF(E8225="Domain",COUNTIF($E$2:E8225,"Domain"),"")</f>
        <v/>
      </c>
    </row>
    <row r="8226">
      <c r="A8226" s="2" t="n"/>
      <c r="B8226">
        <f>LOWER(TRIM(A8226))</f>
        <v/>
      </c>
      <c r="C8226">
        <f>IF(B8226="","",IFERROR(INDEX('Bad Patterns'!$A$2:$A$120,MATCH(1,INDEX(--ISNUMBER(SEARCH('Bad Patterns'!$A$2:$A$120,B8226)),0),0)),""))</f>
        <v/>
      </c>
      <c r="D8226">
        <f>IF(B8226="","",IF(C8226&lt;&gt;"","REMOVE","KEEP"))</f>
        <v/>
      </c>
      <c r="E8226">
        <f>IF(D8226&lt;&gt;"KEEP","",IF(RIGHT(B8226,10)="@gmail.com","Gmail",IF(OR(RIGHT(B8226,12)="@outlook.com",RIGHT(B8226,12)="@hotmail.com",RIGHT(B8226,9)="@live.com"),"Outlook","Domain")))</f>
        <v/>
      </c>
      <c r="F8226">
        <f>IF(B8226="","",IFERROR(RIGHT(B8226,LEN(B8226)-FIND("@",B8226)),""))</f>
        <v/>
      </c>
      <c r="G8226">
        <f>IF(D8226="KEEP",COUNTIF($D$2:D8226,"KEEP"),"")</f>
        <v/>
      </c>
      <c r="H8226">
        <f>IF(D8226="REMOVE",COUNTIF($D$2:D8226,"REMOVE"),"")</f>
        <v/>
      </c>
      <c r="I8226">
        <f>IF(E8226="Gmail",COUNTIF($E$2:E8226,"Gmail"),"")</f>
        <v/>
      </c>
      <c r="J8226">
        <f>IF(E8226="Outlook",COUNTIF($E$2:E8226,"Outlook"),"")</f>
        <v/>
      </c>
      <c r="K8226">
        <f>IF(E8226="Domain",COUNTIF($E$2:E8226,"Domain"),"")</f>
        <v/>
      </c>
    </row>
    <row r="8227">
      <c r="A8227" s="2" t="n"/>
      <c r="B8227">
        <f>LOWER(TRIM(A8227))</f>
        <v/>
      </c>
      <c r="C8227">
        <f>IF(B8227="","",IFERROR(INDEX('Bad Patterns'!$A$2:$A$120,MATCH(1,INDEX(--ISNUMBER(SEARCH('Bad Patterns'!$A$2:$A$120,B8227)),0),0)),""))</f>
        <v/>
      </c>
      <c r="D8227">
        <f>IF(B8227="","",IF(C8227&lt;&gt;"","REMOVE","KEEP"))</f>
        <v/>
      </c>
      <c r="E8227">
        <f>IF(D8227&lt;&gt;"KEEP","",IF(RIGHT(B8227,10)="@gmail.com","Gmail",IF(OR(RIGHT(B8227,12)="@outlook.com",RIGHT(B8227,12)="@hotmail.com",RIGHT(B8227,9)="@live.com"),"Outlook","Domain")))</f>
        <v/>
      </c>
      <c r="F8227">
        <f>IF(B8227="","",IFERROR(RIGHT(B8227,LEN(B8227)-FIND("@",B8227)),""))</f>
        <v/>
      </c>
      <c r="G8227">
        <f>IF(D8227="KEEP",COUNTIF($D$2:D8227,"KEEP"),"")</f>
        <v/>
      </c>
      <c r="H8227">
        <f>IF(D8227="REMOVE",COUNTIF($D$2:D8227,"REMOVE"),"")</f>
        <v/>
      </c>
      <c r="I8227">
        <f>IF(E8227="Gmail",COUNTIF($E$2:E8227,"Gmail"),"")</f>
        <v/>
      </c>
      <c r="J8227">
        <f>IF(E8227="Outlook",COUNTIF($E$2:E8227,"Outlook"),"")</f>
        <v/>
      </c>
      <c r="K8227">
        <f>IF(E8227="Domain",COUNTIF($E$2:E8227,"Domain"),"")</f>
        <v/>
      </c>
    </row>
    <row r="8228">
      <c r="A8228" s="2" t="n"/>
      <c r="B8228">
        <f>LOWER(TRIM(A8228))</f>
        <v/>
      </c>
      <c r="C8228">
        <f>IF(B8228="","",IFERROR(INDEX('Bad Patterns'!$A$2:$A$120,MATCH(1,INDEX(--ISNUMBER(SEARCH('Bad Patterns'!$A$2:$A$120,B8228)),0),0)),""))</f>
        <v/>
      </c>
      <c r="D8228">
        <f>IF(B8228="","",IF(C8228&lt;&gt;"","REMOVE","KEEP"))</f>
        <v/>
      </c>
      <c r="E8228">
        <f>IF(D8228&lt;&gt;"KEEP","",IF(RIGHT(B8228,10)="@gmail.com","Gmail",IF(OR(RIGHT(B8228,12)="@outlook.com",RIGHT(B8228,12)="@hotmail.com",RIGHT(B8228,9)="@live.com"),"Outlook","Domain")))</f>
        <v/>
      </c>
      <c r="F8228">
        <f>IF(B8228="","",IFERROR(RIGHT(B8228,LEN(B8228)-FIND("@",B8228)),""))</f>
        <v/>
      </c>
      <c r="G8228">
        <f>IF(D8228="KEEP",COUNTIF($D$2:D8228,"KEEP"),"")</f>
        <v/>
      </c>
      <c r="H8228">
        <f>IF(D8228="REMOVE",COUNTIF($D$2:D8228,"REMOVE"),"")</f>
        <v/>
      </c>
      <c r="I8228">
        <f>IF(E8228="Gmail",COUNTIF($E$2:E8228,"Gmail"),"")</f>
        <v/>
      </c>
      <c r="J8228">
        <f>IF(E8228="Outlook",COUNTIF($E$2:E8228,"Outlook"),"")</f>
        <v/>
      </c>
      <c r="K8228">
        <f>IF(E8228="Domain",COUNTIF($E$2:E8228,"Domain"),"")</f>
        <v/>
      </c>
    </row>
    <row r="8229">
      <c r="A8229" s="2" t="n"/>
      <c r="B8229">
        <f>LOWER(TRIM(A8229))</f>
        <v/>
      </c>
      <c r="C8229">
        <f>IF(B8229="","",IFERROR(INDEX('Bad Patterns'!$A$2:$A$120,MATCH(1,INDEX(--ISNUMBER(SEARCH('Bad Patterns'!$A$2:$A$120,B8229)),0),0)),""))</f>
        <v/>
      </c>
      <c r="D8229">
        <f>IF(B8229="","",IF(C8229&lt;&gt;"","REMOVE","KEEP"))</f>
        <v/>
      </c>
      <c r="E8229">
        <f>IF(D8229&lt;&gt;"KEEP","",IF(RIGHT(B8229,10)="@gmail.com","Gmail",IF(OR(RIGHT(B8229,12)="@outlook.com",RIGHT(B8229,12)="@hotmail.com",RIGHT(B8229,9)="@live.com"),"Outlook","Domain")))</f>
        <v/>
      </c>
      <c r="F8229">
        <f>IF(B8229="","",IFERROR(RIGHT(B8229,LEN(B8229)-FIND("@",B8229)),""))</f>
        <v/>
      </c>
      <c r="G8229">
        <f>IF(D8229="KEEP",COUNTIF($D$2:D8229,"KEEP"),"")</f>
        <v/>
      </c>
      <c r="H8229">
        <f>IF(D8229="REMOVE",COUNTIF($D$2:D8229,"REMOVE"),"")</f>
        <v/>
      </c>
      <c r="I8229">
        <f>IF(E8229="Gmail",COUNTIF($E$2:E8229,"Gmail"),"")</f>
        <v/>
      </c>
      <c r="J8229">
        <f>IF(E8229="Outlook",COUNTIF($E$2:E8229,"Outlook"),"")</f>
        <v/>
      </c>
      <c r="K8229">
        <f>IF(E8229="Domain",COUNTIF($E$2:E8229,"Domain"),"")</f>
        <v/>
      </c>
    </row>
    <row r="8230">
      <c r="A8230" s="2" t="n"/>
      <c r="B8230">
        <f>LOWER(TRIM(A8230))</f>
        <v/>
      </c>
      <c r="C8230">
        <f>IF(B8230="","",IFERROR(INDEX('Bad Patterns'!$A$2:$A$120,MATCH(1,INDEX(--ISNUMBER(SEARCH('Bad Patterns'!$A$2:$A$120,B8230)),0),0)),""))</f>
        <v/>
      </c>
      <c r="D8230">
        <f>IF(B8230="","",IF(C8230&lt;&gt;"","REMOVE","KEEP"))</f>
        <v/>
      </c>
      <c r="E8230">
        <f>IF(D8230&lt;&gt;"KEEP","",IF(RIGHT(B8230,10)="@gmail.com","Gmail",IF(OR(RIGHT(B8230,12)="@outlook.com",RIGHT(B8230,12)="@hotmail.com",RIGHT(B8230,9)="@live.com"),"Outlook","Domain")))</f>
        <v/>
      </c>
      <c r="F8230">
        <f>IF(B8230="","",IFERROR(RIGHT(B8230,LEN(B8230)-FIND("@",B8230)),""))</f>
        <v/>
      </c>
      <c r="G8230">
        <f>IF(D8230="KEEP",COUNTIF($D$2:D8230,"KEEP"),"")</f>
        <v/>
      </c>
      <c r="H8230">
        <f>IF(D8230="REMOVE",COUNTIF($D$2:D8230,"REMOVE"),"")</f>
        <v/>
      </c>
      <c r="I8230">
        <f>IF(E8230="Gmail",COUNTIF($E$2:E8230,"Gmail"),"")</f>
        <v/>
      </c>
      <c r="J8230">
        <f>IF(E8230="Outlook",COUNTIF($E$2:E8230,"Outlook"),"")</f>
        <v/>
      </c>
      <c r="K8230">
        <f>IF(E8230="Domain",COUNTIF($E$2:E8230,"Domain"),"")</f>
        <v/>
      </c>
    </row>
    <row r="8231">
      <c r="A8231" s="2" t="n"/>
      <c r="B8231">
        <f>LOWER(TRIM(A8231))</f>
        <v/>
      </c>
      <c r="C8231">
        <f>IF(B8231="","",IFERROR(INDEX('Bad Patterns'!$A$2:$A$120,MATCH(1,INDEX(--ISNUMBER(SEARCH('Bad Patterns'!$A$2:$A$120,B8231)),0),0)),""))</f>
        <v/>
      </c>
      <c r="D8231">
        <f>IF(B8231="","",IF(C8231&lt;&gt;"","REMOVE","KEEP"))</f>
        <v/>
      </c>
      <c r="E8231">
        <f>IF(D8231&lt;&gt;"KEEP","",IF(RIGHT(B8231,10)="@gmail.com","Gmail",IF(OR(RIGHT(B8231,12)="@outlook.com",RIGHT(B8231,12)="@hotmail.com",RIGHT(B8231,9)="@live.com"),"Outlook","Domain")))</f>
        <v/>
      </c>
      <c r="F8231">
        <f>IF(B8231="","",IFERROR(RIGHT(B8231,LEN(B8231)-FIND("@",B8231)),""))</f>
        <v/>
      </c>
      <c r="G8231">
        <f>IF(D8231="KEEP",COUNTIF($D$2:D8231,"KEEP"),"")</f>
        <v/>
      </c>
      <c r="H8231">
        <f>IF(D8231="REMOVE",COUNTIF($D$2:D8231,"REMOVE"),"")</f>
        <v/>
      </c>
      <c r="I8231">
        <f>IF(E8231="Gmail",COUNTIF($E$2:E8231,"Gmail"),"")</f>
        <v/>
      </c>
      <c r="J8231">
        <f>IF(E8231="Outlook",COUNTIF($E$2:E8231,"Outlook"),"")</f>
        <v/>
      </c>
      <c r="K8231">
        <f>IF(E8231="Domain",COUNTIF($E$2:E8231,"Domain"),"")</f>
        <v/>
      </c>
    </row>
    <row r="8232">
      <c r="A8232" s="2" t="n"/>
      <c r="B8232">
        <f>LOWER(TRIM(A8232))</f>
        <v/>
      </c>
      <c r="C8232">
        <f>IF(B8232="","",IFERROR(INDEX('Bad Patterns'!$A$2:$A$120,MATCH(1,INDEX(--ISNUMBER(SEARCH('Bad Patterns'!$A$2:$A$120,B8232)),0),0)),""))</f>
        <v/>
      </c>
      <c r="D8232">
        <f>IF(B8232="","",IF(C8232&lt;&gt;"","REMOVE","KEEP"))</f>
        <v/>
      </c>
      <c r="E8232">
        <f>IF(D8232&lt;&gt;"KEEP","",IF(RIGHT(B8232,10)="@gmail.com","Gmail",IF(OR(RIGHT(B8232,12)="@outlook.com",RIGHT(B8232,12)="@hotmail.com",RIGHT(B8232,9)="@live.com"),"Outlook","Domain")))</f>
        <v/>
      </c>
      <c r="F8232">
        <f>IF(B8232="","",IFERROR(RIGHT(B8232,LEN(B8232)-FIND("@",B8232)),""))</f>
        <v/>
      </c>
      <c r="G8232">
        <f>IF(D8232="KEEP",COUNTIF($D$2:D8232,"KEEP"),"")</f>
        <v/>
      </c>
      <c r="H8232">
        <f>IF(D8232="REMOVE",COUNTIF($D$2:D8232,"REMOVE"),"")</f>
        <v/>
      </c>
      <c r="I8232">
        <f>IF(E8232="Gmail",COUNTIF($E$2:E8232,"Gmail"),"")</f>
        <v/>
      </c>
      <c r="J8232">
        <f>IF(E8232="Outlook",COUNTIF($E$2:E8232,"Outlook"),"")</f>
        <v/>
      </c>
      <c r="K8232">
        <f>IF(E8232="Domain",COUNTIF($E$2:E8232,"Domain"),"")</f>
        <v/>
      </c>
    </row>
    <row r="8233">
      <c r="A8233" s="2" t="n"/>
      <c r="B8233">
        <f>LOWER(TRIM(A8233))</f>
        <v/>
      </c>
      <c r="C8233">
        <f>IF(B8233="","",IFERROR(INDEX('Bad Patterns'!$A$2:$A$120,MATCH(1,INDEX(--ISNUMBER(SEARCH('Bad Patterns'!$A$2:$A$120,B8233)),0),0)),""))</f>
        <v/>
      </c>
      <c r="D8233">
        <f>IF(B8233="","",IF(C8233&lt;&gt;"","REMOVE","KEEP"))</f>
        <v/>
      </c>
      <c r="E8233">
        <f>IF(D8233&lt;&gt;"KEEP","",IF(RIGHT(B8233,10)="@gmail.com","Gmail",IF(OR(RIGHT(B8233,12)="@outlook.com",RIGHT(B8233,12)="@hotmail.com",RIGHT(B8233,9)="@live.com"),"Outlook","Domain")))</f>
        <v/>
      </c>
      <c r="F8233">
        <f>IF(B8233="","",IFERROR(RIGHT(B8233,LEN(B8233)-FIND("@",B8233)),""))</f>
        <v/>
      </c>
      <c r="G8233">
        <f>IF(D8233="KEEP",COUNTIF($D$2:D8233,"KEEP"),"")</f>
        <v/>
      </c>
      <c r="H8233">
        <f>IF(D8233="REMOVE",COUNTIF($D$2:D8233,"REMOVE"),"")</f>
        <v/>
      </c>
      <c r="I8233">
        <f>IF(E8233="Gmail",COUNTIF($E$2:E8233,"Gmail"),"")</f>
        <v/>
      </c>
      <c r="J8233">
        <f>IF(E8233="Outlook",COUNTIF($E$2:E8233,"Outlook"),"")</f>
        <v/>
      </c>
      <c r="K8233">
        <f>IF(E8233="Domain",COUNTIF($E$2:E8233,"Domain"),"")</f>
        <v/>
      </c>
    </row>
    <row r="8234">
      <c r="A8234" s="2" t="n"/>
      <c r="B8234">
        <f>LOWER(TRIM(A8234))</f>
        <v/>
      </c>
      <c r="C8234">
        <f>IF(B8234="","",IFERROR(INDEX('Bad Patterns'!$A$2:$A$120,MATCH(1,INDEX(--ISNUMBER(SEARCH('Bad Patterns'!$A$2:$A$120,B8234)),0),0)),""))</f>
        <v/>
      </c>
      <c r="D8234">
        <f>IF(B8234="","",IF(C8234&lt;&gt;"","REMOVE","KEEP"))</f>
        <v/>
      </c>
      <c r="E8234">
        <f>IF(D8234&lt;&gt;"KEEP","",IF(RIGHT(B8234,10)="@gmail.com","Gmail",IF(OR(RIGHT(B8234,12)="@outlook.com",RIGHT(B8234,12)="@hotmail.com",RIGHT(B8234,9)="@live.com"),"Outlook","Domain")))</f>
        <v/>
      </c>
      <c r="F8234">
        <f>IF(B8234="","",IFERROR(RIGHT(B8234,LEN(B8234)-FIND("@",B8234)),""))</f>
        <v/>
      </c>
      <c r="G8234">
        <f>IF(D8234="KEEP",COUNTIF($D$2:D8234,"KEEP"),"")</f>
        <v/>
      </c>
      <c r="H8234">
        <f>IF(D8234="REMOVE",COUNTIF($D$2:D8234,"REMOVE"),"")</f>
        <v/>
      </c>
      <c r="I8234">
        <f>IF(E8234="Gmail",COUNTIF($E$2:E8234,"Gmail"),"")</f>
        <v/>
      </c>
      <c r="J8234">
        <f>IF(E8234="Outlook",COUNTIF($E$2:E8234,"Outlook"),"")</f>
        <v/>
      </c>
      <c r="K8234">
        <f>IF(E8234="Domain",COUNTIF($E$2:E8234,"Domain"),"")</f>
        <v/>
      </c>
    </row>
    <row r="8235">
      <c r="A8235" s="2" t="n"/>
      <c r="B8235">
        <f>LOWER(TRIM(A8235))</f>
        <v/>
      </c>
      <c r="C8235">
        <f>IF(B8235="","",IFERROR(INDEX('Bad Patterns'!$A$2:$A$120,MATCH(1,INDEX(--ISNUMBER(SEARCH('Bad Patterns'!$A$2:$A$120,B8235)),0),0)),""))</f>
        <v/>
      </c>
      <c r="D8235">
        <f>IF(B8235="","",IF(C8235&lt;&gt;"","REMOVE","KEEP"))</f>
        <v/>
      </c>
      <c r="E8235">
        <f>IF(D8235&lt;&gt;"KEEP","",IF(RIGHT(B8235,10)="@gmail.com","Gmail",IF(OR(RIGHT(B8235,12)="@outlook.com",RIGHT(B8235,12)="@hotmail.com",RIGHT(B8235,9)="@live.com"),"Outlook","Domain")))</f>
        <v/>
      </c>
      <c r="F8235">
        <f>IF(B8235="","",IFERROR(RIGHT(B8235,LEN(B8235)-FIND("@",B8235)),""))</f>
        <v/>
      </c>
      <c r="G8235">
        <f>IF(D8235="KEEP",COUNTIF($D$2:D8235,"KEEP"),"")</f>
        <v/>
      </c>
      <c r="H8235">
        <f>IF(D8235="REMOVE",COUNTIF($D$2:D8235,"REMOVE"),"")</f>
        <v/>
      </c>
      <c r="I8235">
        <f>IF(E8235="Gmail",COUNTIF($E$2:E8235,"Gmail"),"")</f>
        <v/>
      </c>
      <c r="J8235">
        <f>IF(E8235="Outlook",COUNTIF($E$2:E8235,"Outlook"),"")</f>
        <v/>
      </c>
      <c r="K8235">
        <f>IF(E8235="Domain",COUNTIF($E$2:E8235,"Domain"),"")</f>
        <v/>
      </c>
    </row>
    <row r="8236">
      <c r="A8236" s="2" t="n"/>
      <c r="B8236">
        <f>LOWER(TRIM(A8236))</f>
        <v/>
      </c>
      <c r="C8236">
        <f>IF(B8236="","",IFERROR(INDEX('Bad Patterns'!$A$2:$A$120,MATCH(1,INDEX(--ISNUMBER(SEARCH('Bad Patterns'!$A$2:$A$120,B8236)),0),0)),""))</f>
        <v/>
      </c>
      <c r="D8236">
        <f>IF(B8236="","",IF(C8236&lt;&gt;"","REMOVE","KEEP"))</f>
        <v/>
      </c>
      <c r="E8236">
        <f>IF(D8236&lt;&gt;"KEEP","",IF(RIGHT(B8236,10)="@gmail.com","Gmail",IF(OR(RIGHT(B8236,12)="@outlook.com",RIGHT(B8236,12)="@hotmail.com",RIGHT(B8236,9)="@live.com"),"Outlook","Domain")))</f>
        <v/>
      </c>
      <c r="F8236">
        <f>IF(B8236="","",IFERROR(RIGHT(B8236,LEN(B8236)-FIND("@",B8236)),""))</f>
        <v/>
      </c>
      <c r="G8236">
        <f>IF(D8236="KEEP",COUNTIF($D$2:D8236,"KEEP"),"")</f>
        <v/>
      </c>
      <c r="H8236">
        <f>IF(D8236="REMOVE",COUNTIF($D$2:D8236,"REMOVE"),"")</f>
        <v/>
      </c>
      <c r="I8236">
        <f>IF(E8236="Gmail",COUNTIF($E$2:E8236,"Gmail"),"")</f>
        <v/>
      </c>
      <c r="J8236">
        <f>IF(E8236="Outlook",COUNTIF($E$2:E8236,"Outlook"),"")</f>
        <v/>
      </c>
      <c r="K8236">
        <f>IF(E8236="Domain",COUNTIF($E$2:E8236,"Domain"),"")</f>
        <v/>
      </c>
    </row>
    <row r="8237">
      <c r="A8237" s="2" t="n"/>
      <c r="B8237">
        <f>LOWER(TRIM(A8237))</f>
        <v/>
      </c>
      <c r="C8237">
        <f>IF(B8237="","",IFERROR(INDEX('Bad Patterns'!$A$2:$A$120,MATCH(1,INDEX(--ISNUMBER(SEARCH('Bad Patterns'!$A$2:$A$120,B8237)),0),0)),""))</f>
        <v/>
      </c>
      <c r="D8237">
        <f>IF(B8237="","",IF(C8237&lt;&gt;"","REMOVE","KEEP"))</f>
        <v/>
      </c>
      <c r="E8237">
        <f>IF(D8237&lt;&gt;"KEEP","",IF(RIGHT(B8237,10)="@gmail.com","Gmail",IF(OR(RIGHT(B8237,12)="@outlook.com",RIGHT(B8237,12)="@hotmail.com",RIGHT(B8237,9)="@live.com"),"Outlook","Domain")))</f>
        <v/>
      </c>
      <c r="F8237">
        <f>IF(B8237="","",IFERROR(RIGHT(B8237,LEN(B8237)-FIND("@",B8237)),""))</f>
        <v/>
      </c>
      <c r="G8237">
        <f>IF(D8237="KEEP",COUNTIF($D$2:D8237,"KEEP"),"")</f>
        <v/>
      </c>
      <c r="H8237">
        <f>IF(D8237="REMOVE",COUNTIF($D$2:D8237,"REMOVE"),"")</f>
        <v/>
      </c>
      <c r="I8237">
        <f>IF(E8237="Gmail",COUNTIF($E$2:E8237,"Gmail"),"")</f>
        <v/>
      </c>
      <c r="J8237">
        <f>IF(E8237="Outlook",COUNTIF($E$2:E8237,"Outlook"),"")</f>
        <v/>
      </c>
      <c r="K8237">
        <f>IF(E8237="Domain",COUNTIF($E$2:E8237,"Domain"),"")</f>
        <v/>
      </c>
    </row>
    <row r="8238">
      <c r="A8238" s="2" t="n"/>
      <c r="B8238">
        <f>LOWER(TRIM(A8238))</f>
        <v/>
      </c>
      <c r="C8238">
        <f>IF(B8238="","",IFERROR(INDEX('Bad Patterns'!$A$2:$A$120,MATCH(1,INDEX(--ISNUMBER(SEARCH('Bad Patterns'!$A$2:$A$120,B8238)),0),0)),""))</f>
        <v/>
      </c>
      <c r="D8238">
        <f>IF(B8238="","",IF(C8238&lt;&gt;"","REMOVE","KEEP"))</f>
        <v/>
      </c>
      <c r="E8238">
        <f>IF(D8238&lt;&gt;"KEEP","",IF(RIGHT(B8238,10)="@gmail.com","Gmail",IF(OR(RIGHT(B8238,12)="@outlook.com",RIGHT(B8238,12)="@hotmail.com",RIGHT(B8238,9)="@live.com"),"Outlook","Domain")))</f>
        <v/>
      </c>
      <c r="F8238">
        <f>IF(B8238="","",IFERROR(RIGHT(B8238,LEN(B8238)-FIND("@",B8238)),""))</f>
        <v/>
      </c>
      <c r="G8238">
        <f>IF(D8238="KEEP",COUNTIF($D$2:D8238,"KEEP"),"")</f>
        <v/>
      </c>
      <c r="H8238">
        <f>IF(D8238="REMOVE",COUNTIF($D$2:D8238,"REMOVE"),"")</f>
        <v/>
      </c>
      <c r="I8238">
        <f>IF(E8238="Gmail",COUNTIF($E$2:E8238,"Gmail"),"")</f>
        <v/>
      </c>
      <c r="J8238">
        <f>IF(E8238="Outlook",COUNTIF($E$2:E8238,"Outlook"),"")</f>
        <v/>
      </c>
      <c r="K8238">
        <f>IF(E8238="Domain",COUNTIF($E$2:E8238,"Domain"),"")</f>
        <v/>
      </c>
    </row>
    <row r="8239">
      <c r="A8239" s="2" t="n"/>
      <c r="B8239">
        <f>LOWER(TRIM(A8239))</f>
        <v/>
      </c>
      <c r="C8239">
        <f>IF(B8239="","",IFERROR(INDEX('Bad Patterns'!$A$2:$A$120,MATCH(1,INDEX(--ISNUMBER(SEARCH('Bad Patterns'!$A$2:$A$120,B8239)),0),0)),""))</f>
        <v/>
      </c>
      <c r="D8239">
        <f>IF(B8239="","",IF(C8239&lt;&gt;"","REMOVE","KEEP"))</f>
        <v/>
      </c>
      <c r="E8239">
        <f>IF(D8239&lt;&gt;"KEEP","",IF(RIGHT(B8239,10)="@gmail.com","Gmail",IF(OR(RIGHT(B8239,12)="@outlook.com",RIGHT(B8239,12)="@hotmail.com",RIGHT(B8239,9)="@live.com"),"Outlook","Domain")))</f>
        <v/>
      </c>
      <c r="F8239">
        <f>IF(B8239="","",IFERROR(RIGHT(B8239,LEN(B8239)-FIND("@",B8239)),""))</f>
        <v/>
      </c>
      <c r="G8239">
        <f>IF(D8239="KEEP",COUNTIF($D$2:D8239,"KEEP"),"")</f>
        <v/>
      </c>
      <c r="H8239">
        <f>IF(D8239="REMOVE",COUNTIF($D$2:D8239,"REMOVE"),"")</f>
        <v/>
      </c>
      <c r="I8239">
        <f>IF(E8239="Gmail",COUNTIF($E$2:E8239,"Gmail"),"")</f>
        <v/>
      </c>
      <c r="J8239">
        <f>IF(E8239="Outlook",COUNTIF($E$2:E8239,"Outlook"),"")</f>
        <v/>
      </c>
      <c r="K8239">
        <f>IF(E8239="Domain",COUNTIF($E$2:E8239,"Domain"),"")</f>
        <v/>
      </c>
    </row>
    <row r="8240">
      <c r="A8240" s="2" t="n"/>
      <c r="B8240">
        <f>LOWER(TRIM(A8240))</f>
        <v/>
      </c>
      <c r="C8240">
        <f>IF(B8240="","",IFERROR(INDEX('Bad Patterns'!$A$2:$A$120,MATCH(1,INDEX(--ISNUMBER(SEARCH('Bad Patterns'!$A$2:$A$120,B8240)),0),0)),""))</f>
        <v/>
      </c>
      <c r="D8240">
        <f>IF(B8240="","",IF(C8240&lt;&gt;"","REMOVE","KEEP"))</f>
        <v/>
      </c>
      <c r="E8240">
        <f>IF(D8240&lt;&gt;"KEEP","",IF(RIGHT(B8240,10)="@gmail.com","Gmail",IF(OR(RIGHT(B8240,12)="@outlook.com",RIGHT(B8240,12)="@hotmail.com",RIGHT(B8240,9)="@live.com"),"Outlook","Domain")))</f>
        <v/>
      </c>
      <c r="F8240">
        <f>IF(B8240="","",IFERROR(RIGHT(B8240,LEN(B8240)-FIND("@",B8240)),""))</f>
        <v/>
      </c>
      <c r="G8240">
        <f>IF(D8240="KEEP",COUNTIF($D$2:D8240,"KEEP"),"")</f>
        <v/>
      </c>
      <c r="H8240">
        <f>IF(D8240="REMOVE",COUNTIF($D$2:D8240,"REMOVE"),"")</f>
        <v/>
      </c>
      <c r="I8240">
        <f>IF(E8240="Gmail",COUNTIF($E$2:E8240,"Gmail"),"")</f>
        <v/>
      </c>
      <c r="J8240">
        <f>IF(E8240="Outlook",COUNTIF($E$2:E8240,"Outlook"),"")</f>
        <v/>
      </c>
      <c r="K8240">
        <f>IF(E8240="Domain",COUNTIF($E$2:E8240,"Domain"),"")</f>
        <v/>
      </c>
    </row>
    <row r="8241">
      <c r="A8241" s="2" t="n"/>
      <c r="B8241">
        <f>LOWER(TRIM(A8241))</f>
        <v/>
      </c>
      <c r="C8241">
        <f>IF(B8241="","",IFERROR(INDEX('Bad Patterns'!$A$2:$A$120,MATCH(1,INDEX(--ISNUMBER(SEARCH('Bad Patterns'!$A$2:$A$120,B8241)),0),0)),""))</f>
        <v/>
      </c>
      <c r="D8241">
        <f>IF(B8241="","",IF(C8241&lt;&gt;"","REMOVE","KEEP"))</f>
        <v/>
      </c>
      <c r="E8241">
        <f>IF(D8241&lt;&gt;"KEEP","",IF(RIGHT(B8241,10)="@gmail.com","Gmail",IF(OR(RIGHT(B8241,12)="@outlook.com",RIGHT(B8241,12)="@hotmail.com",RIGHT(B8241,9)="@live.com"),"Outlook","Domain")))</f>
        <v/>
      </c>
      <c r="F8241">
        <f>IF(B8241="","",IFERROR(RIGHT(B8241,LEN(B8241)-FIND("@",B8241)),""))</f>
        <v/>
      </c>
      <c r="G8241">
        <f>IF(D8241="KEEP",COUNTIF($D$2:D8241,"KEEP"),"")</f>
        <v/>
      </c>
      <c r="H8241">
        <f>IF(D8241="REMOVE",COUNTIF($D$2:D8241,"REMOVE"),"")</f>
        <v/>
      </c>
      <c r="I8241">
        <f>IF(E8241="Gmail",COUNTIF($E$2:E8241,"Gmail"),"")</f>
        <v/>
      </c>
      <c r="J8241">
        <f>IF(E8241="Outlook",COUNTIF($E$2:E8241,"Outlook"),"")</f>
        <v/>
      </c>
      <c r="K8241">
        <f>IF(E8241="Domain",COUNTIF($E$2:E8241,"Domain"),"")</f>
        <v/>
      </c>
    </row>
    <row r="8242">
      <c r="A8242" s="2" t="n"/>
      <c r="B8242">
        <f>LOWER(TRIM(A8242))</f>
        <v/>
      </c>
      <c r="C8242">
        <f>IF(B8242="","",IFERROR(INDEX('Bad Patterns'!$A$2:$A$120,MATCH(1,INDEX(--ISNUMBER(SEARCH('Bad Patterns'!$A$2:$A$120,B8242)),0),0)),""))</f>
        <v/>
      </c>
      <c r="D8242">
        <f>IF(B8242="","",IF(C8242&lt;&gt;"","REMOVE","KEEP"))</f>
        <v/>
      </c>
      <c r="E8242">
        <f>IF(D8242&lt;&gt;"KEEP","",IF(RIGHT(B8242,10)="@gmail.com","Gmail",IF(OR(RIGHT(B8242,12)="@outlook.com",RIGHT(B8242,12)="@hotmail.com",RIGHT(B8242,9)="@live.com"),"Outlook","Domain")))</f>
        <v/>
      </c>
      <c r="F8242">
        <f>IF(B8242="","",IFERROR(RIGHT(B8242,LEN(B8242)-FIND("@",B8242)),""))</f>
        <v/>
      </c>
      <c r="G8242">
        <f>IF(D8242="KEEP",COUNTIF($D$2:D8242,"KEEP"),"")</f>
        <v/>
      </c>
      <c r="H8242">
        <f>IF(D8242="REMOVE",COUNTIF($D$2:D8242,"REMOVE"),"")</f>
        <v/>
      </c>
      <c r="I8242">
        <f>IF(E8242="Gmail",COUNTIF($E$2:E8242,"Gmail"),"")</f>
        <v/>
      </c>
      <c r="J8242">
        <f>IF(E8242="Outlook",COUNTIF($E$2:E8242,"Outlook"),"")</f>
        <v/>
      </c>
      <c r="K8242">
        <f>IF(E8242="Domain",COUNTIF($E$2:E8242,"Domain"),"")</f>
        <v/>
      </c>
    </row>
    <row r="8243">
      <c r="A8243" s="2" t="n"/>
      <c r="B8243">
        <f>LOWER(TRIM(A8243))</f>
        <v/>
      </c>
      <c r="C8243">
        <f>IF(B8243="","",IFERROR(INDEX('Bad Patterns'!$A$2:$A$120,MATCH(1,INDEX(--ISNUMBER(SEARCH('Bad Patterns'!$A$2:$A$120,B8243)),0),0)),""))</f>
        <v/>
      </c>
      <c r="D8243">
        <f>IF(B8243="","",IF(C8243&lt;&gt;"","REMOVE","KEEP"))</f>
        <v/>
      </c>
      <c r="E8243">
        <f>IF(D8243&lt;&gt;"KEEP","",IF(RIGHT(B8243,10)="@gmail.com","Gmail",IF(OR(RIGHT(B8243,12)="@outlook.com",RIGHT(B8243,12)="@hotmail.com",RIGHT(B8243,9)="@live.com"),"Outlook","Domain")))</f>
        <v/>
      </c>
      <c r="F8243">
        <f>IF(B8243="","",IFERROR(RIGHT(B8243,LEN(B8243)-FIND("@",B8243)),""))</f>
        <v/>
      </c>
      <c r="G8243">
        <f>IF(D8243="KEEP",COUNTIF($D$2:D8243,"KEEP"),"")</f>
        <v/>
      </c>
      <c r="H8243">
        <f>IF(D8243="REMOVE",COUNTIF($D$2:D8243,"REMOVE"),"")</f>
        <v/>
      </c>
      <c r="I8243">
        <f>IF(E8243="Gmail",COUNTIF($E$2:E8243,"Gmail"),"")</f>
        <v/>
      </c>
      <c r="J8243">
        <f>IF(E8243="Outlook",COUNTIF($E$2:E8243,"Outlook"),"")</f>
        <v/>
      </c>
      <c r="K8243">
        <f>IF(E8243="Domain",COUNTIF($E$2:E8243,"Domain"),"")</f>
        <v/>
      </c>
    </row>
    <row r="8244">
      <c r="A8244" s="2" t="n"/>
      <c r="B8244">
        <f>LOWER(TRIM(A8244))</f>
        <v/>
      </c>
      <c r="C8244">
        <f>IF(B8244="","",IFERROR(INDEX('Bad Patterns'!$A$2:$A$120,MATCH(1,INDEX(--ISNUMBER(SEARCH('Bad Patterns'!$A$2:$A$120,B8244)),0),0)),""))</f>
        <v/>
      </c>
      <c r="D8244">
        <f>IF(B8244="","",IF(C8244&lt;&gt;"","REMOVE","KEEP"))</f>
        <v/>
      </c>
      <c r="E8244">
        <f>IF(D8244&lt;&gt;"KEEP","",IF(RIGHT(B8244,10)="@gmail.com","Gmail",IF(OR(RIGHT(B8244,12)="@outlook.com",RIGHT(B8244,12)="@hotmail.com",RIGHT(B8244,9)="@live.com"),"Outlook","Domain")))</f>
        <v/>
      </c>
      <c r="F8244">
        <f>IF(B8244="","",IFERROR(RIGHT(B8244,LEN(B8244)-FIND("@",B8244)),""))</f>
        <v/>
      </c>
      <c r="G8244">
        <f>IF(D8244="KEEP",COUNTIF($D$2:D8244,"KEEP"),"")</f>
        <v/>
      </c>
      <c r="H8244">
        <f>IF(D8244="REMOVE",COUNTIF($D$2:D8244,"REMOVE"),"")</f>
        <v/>
      </c>
      <c r="I8244">
        <f>IF(E8244="Gmail",COUNTIF($E$2:E8244,"Gmail"),"")</f>
        <v/>
      </c>
      <c r="J8244">
        <f>IF(E8244="Outlook",COUNTIF($E$2:E8244,"Outlook"),"")</f>
        <v/>
      </c>
      <c r="K8244">
        <f>IF(E8244="Domain",COUNTIF($E$2:E8244,"Domain"),"")</f>
        <v/>
      </c>
    </row>
    <row r="8245">
      <c r="A8245" s="2" t="n"/>
      <c r="B8245">
        <f>LOWER(TRIM(A8245))</f>
        <v/>
      </c>
      <c r="C8245">
        <f>IF(B8245="","",IFERROR(INDEX('Bad Patterns'!$A$2:$A$120,MATCH(1,INDEX(--ISNUMBER(SEARCH('Bad Patterns'!$A$2:$A$120,B8245)),0),0)),""))</f>
        <v/>
      </c>
      <c r="D8245">
        <f>IF(B8245="","",IF(C8245&lt;&gt;"","REMOVE","KEEP"))</f>
        <v/>
      </c>
      <c r="E8245">
        <f>IF(D8245&lt;&gt;"KEEP","",IF(RIGHT(B8245,10)="@gmail.com","Gmail",IF(OR(RIGHT(B8245,12)="@outlook.com",RIGHT(B8245,12)="@hotmail.com",RIGHT(B8245,9)="@live.com"),"Outlook","Domain")))</f>
        <v/>
      </c>
      <c r="F8245">
        <f>IF(B8245="","",IFERROR(RIGHT(B8245,LEN(B8245)-FIND("@",B8245)),""))</f>
        <v/>
      </c>
      <c r="G8245">
        <f>IF(D8245="KEEP",COUNTIF($D$2:D8245,"KEEP"),"")</f>
        <v/>
      </c>
      <c r="H8245">
        <f>IF(D8245="REMOVE",COUNTIF($D$2:D8245,"REMOVE"),"")</f>
        <v/>
      </c>
      <c r="I8245">
        <f>IF(E8245="Gmail",COUNTIF($E$2:E8245,"Gmail"),"")</f>
        <v/>
      </c>
      <c r="J8245">
        <f>IF(E8245="Outlook",COUNTIF($E$2:E8245,"Outlook"),"")</f>
        <v/>
      </c>
      <c r="K8245">
        <f>IF(E8245="Domain",COUNTIF($E$2:E8245,"Domain"),"")</f>
        <v/>
      </c>
    </row>
    <row r="8246">
      <c r="A8246" s="2" t="n"/>
      <c r="B8246">
        <f>LOWER(TRIM(A8246))</f>
        <v/>
      </c>
      <c r="C8246">
        <f>IF(B8246="","",IFERROR(INDEX('Bad Patterns'!$A$2:$A$120,MATCH(1,INDEX(--ISNUMBER(SEARCH('Bad Patterns'!$A$2:$A$120,B8246)),0),0)),""))</f>
        <v/>
      </c>
      <c r="D8246">
        <f>IF(B8246="","",IF(C8246&lt;&gt;"","REMOVE","KEEP"))</f>
        <v/>
      </c>
      <c r="E8246">
        <f>IF(D8246&lt;&gt;"KEEP","",IF(RIGHT(B8246,10)="@gmail.com","Gmail",IF(OR(RIGHT(B8246,12)="@outlook.com",RIGHT(B8246,12)="@hotmail.com",RIGHT(B8246,9)="@live.com"),"Outlook","Domain")))</f>
        <v/>
      </c>
      <c r="F8246">
        <f>IF(B8246="","",IFERROR(RIGHT(B8246,LEN(B8246)-FIND("@",B8246)),""))</f>
        <v/>
      </c>
      <c r="G8246">
        <f>IF(D8246="KEEP",COUNTIF($D$2:D8246,"KEEP"),"")</f>
        <v/>
      </c>
      <c r="H8246">
        <f>IF(D8246="REMOVE",COUNTIF($D$2:D8246,"REMOVE"),"")</f>
        <v/>
      </c>
      <c r="I8246">
        <f>IF(E8246="Gmail",COUNTIF($E$2:E8246,"Gmail"),"")</f>
        <v/>
      </c>
      <c r="J8246">
        <f>IF(E8246="Outlook",COUNTIF($E$2:E8246,"Outlook"),"")</f>
        <v/>
      </c>
      <c r="K8246">
        <f>IF(E8246="Domain",COUNTIF($E$2:E8246,"Domain"),"")</f>
        <v/>
      </c>
    </row>
    <row r="8247">
      <c r="A8247" s="2" t="n"/>
      <c r="B8247">
        <f>LOWER(TRIM(A8247))</f>
        <v/>
      </c>
      <c r="C8247">
        <f>IF(B8247="","",IFERROR(INDEX('Bad Patterns'!$A$2:$A$120,MATCH(1,INDEX(--ISNUMBER(SEARCH('Bad Patterns'!$A$2:$A$120,B8247)),0),0)),""))</f>
        <v/>
      </c>
      <c r="D8247">
        <f>IF(B8247="","",IF(C8247&lt;&gt;"","REMOVE","KEEP"))</f>
        <v/>
      </c>
      <c r="E8247">
        <f>IF(D8247&lt;&gt;"KEEP","",IF(RIGHT(B8247,10)="@gmail.com","Gmail",IF(OR(RIGHT(B8247,12)="@outlook.com",RIGHT(B8247,12)="@hotmail.com",RIGHT(B8247,9)="@live.com"),"Outlook","Domain")))</f>
        <v/>
      </c>
      <c r="F8247">
        <f>IF(B8247="","",IFERROR(RIGHT(B8247,LEN(B8247)-FIND("@",B8247)),""))</f>
        <v/>
      </c>
      <c r="G8247">
        <f>IF(D8247="KEEP",COUNTIF($D$2:D8247,"KEEP"),"")</f>
        <v/>
      </c>
      <c r="H8247">
        <f>IF(D8247="REMOVE",COUNTIF($D$2:D8247,"REMOVE"),"")</f>
        <v/>
      </c>
      <c r="I8247">
        <f>IF(E8247="Gmail",COUNTIF($E$2:E8247,"Gmail"),"")</f>
        <v/>
      </c>
      <c r="J8247">
        <f>IF(E8247="Outlook",COUNTIF($E$2:E8247,"Outlook"),"")</f>
        <v/>
      </c>
      <c r="K8247">
        <f>IF(E8247="Domain",COUNTIF($E$2:E8247,"Domain"),"")</f>
        <v/>
      </c>
    </row>
    <row r="8248">
      <c r="A8248" s="2" t="n"/>
      <c r="B8248">
        <f>LOWER(TRIM(A8248))</f>
        <v/>
      </c>
      <c r="C8248">
        <f>IF(B8248="","",IFERROR(INDEX('Bad Patterns'!$A$2:$A$120,MATCH(1,INDEX(--ISNUMBER(SEARCH('Bad Patterns'!$A$2:$A$120,B8248)),0),0)),""))</f>
        <v/>
      </c>
      <c r="D8248">
        <f>IF(B8248="","",IF(C8248&lt;&gt;"","REMOVE","KEEP"))</f>
        <v/>
      </c>
      <c r="E8248">
        <f>IF(D8248&lt;&gt;"KEEP","",IF(RIGHT(B8248,10)="@gmail.com","Gmail",IF(OR(RIGHT(B8248,12)="@outlook.com",RIGHT(B8248,12)="@hotmail.com",RIGHT(B8248,9)="@live.com"),"Outlook","Domain")))</f>
        <v/>
      </c>
      <c r="F8248">
        <f>IF(B8248="","",IFERROR(RIGHT(B8248,LEN(B8248)-FIND("@",B8248)),""))</f>
        <v/>
      </c>
      <c r="G8248">
        <f>IF(D8248="KEEP",COUNTIF($D$2:D8248,"KEEP"),"")</f>
        <v/>
      </c>
      <c r="H8248">
        <f>IF(D8248="REMOVE",COUNTIF($D$2:D8248,"REMOVE"),"")</f>
        <v/>
      </c>
      <c r="I8248">
        <f>IF(E8248="Gmail",COUNTIF($E$2:E8248,"Gmail"),"")</f>
        <v/>
      </c>
      <c r="J8248">
        <f>IF(E8248="Outlook",COUNTIF($E$2:E8248,"Outlook"),"")</f>
        <v/>
      </c>
      <c r="K8248">
        <f>IF(E8248="Domain",COUNTIF($E$2:E8248,"Domain"),"")</f>
        <v/>
      </c>
    </row>
    <row r="8249">
      <c r="A8249" s="2" t="n"/>
      <c r="B8249">
        <f>LOWER(TRIM(A8249))</f>
        <v/>
      </c>
      <c r="C8249">
        <f>IF(B8249="","",IFERROR(INDEX('Bad Patterns'!$A$2:$A$120,MATCH(1,INDEX(--ISNUMBER(SEARCH('Bad Patterns'!$A$2:$A$120,B8249)),0),0)),""))</f>
        <v/>
      </c>
      <c r="D8249">
        <f>IF(B8249="","",IF(C8249&lt;&gt;"","REMOVE","KEEP"))</f>
        <v/>
      </c>
      <c r="E8249">
        <f>IF(D8249&lt;&gt;"KEEP","",IF(RIGHT(B8249,10)="@gmail.com","Gmail",IF(OR(RIGHT(B8249,12)="@outlook.com",RIGHT(B8249,12)="@hotmail.com",RIGHT(B8249,9)="@live.com"),"Outlook","Domain")))</f>
        <v/>
      </c>
      <c r="F8249">
        <f>IF(B8249="","",IFERROR(RIGHT(B8249,LEN(B8249)-FIND("@",B8249)),""))</f>
        <v/>
      </c>
      <c r="G8249">
        <f>IF(D8249="KEEP",COUNTIF($D$2:D8249,"KEEP"),"")</f>
        <v/>
      </c>
      <c r="H8249">
        <f>IF(D8249="REMOVE",COUNTIF($D$2:D8249,"REMOVE"),"")</f>
        <v/>
      </c>
      <c r="I8249">
        <f>IF(E8249="Gmail",COUNTIF($E$2:E8249,"Gmail"),"")</f>
        <v/>
      </c>
      <c r="J8249">
        <f>IF(E8249="Outlook",COUNTIF($E$2:E8249,"Outlook"),"")</f>
        <v/>
      </c>
      <c r="K8249">
        <f>IF(E8249="Domain",COUNTIF($E$2:E8249,"Domain"),"")</f>
        <v/>
      </c>
    </row>
    <row r="8250">
      <c r="A8250" s="2" t="n"/>
      <c r="B8250">
        <f>LOWER(TRIM(A8250))</f>
        <v/>
      </c>
      <c r="C8250">
        <f>IF(B8250="","",IFERROR(INDEX('Bad Patterns'!$A$2:$A$120,MATCH(1,INDEX(--ISNUMBER(SEARCH('Bad Patterns'!$A$2:$A$120,B8250)),0),0)),""))</f>
        <v/>
      </c>
      <c r="D8250">
        <f>IF(B8250="","",IF(C8250&lt;&gt;"","REMOVE","KEEP"))</f>
        <v/>
      </c>
      <c r="E8250">
        <f>IF(D8250&lt;&gt;"KEEP","",IF(RIGHT(B8250,10)="@gmail.com","Gmail",IF(OR(RIGHT(B8250,12)="@outlook.com",RIGHT(B8250,12)="@hotmail.com",RIGHT(B8250,9)="@live.com"),"Outlook","Domain")))</f>
        <v/>
      </c>
      <c r="F8250">
        <f>IF(B8250="","",IFERROR(RIGHT(B8250,LEN(B8250)-FIND("@",B8250)),""))</f>
        <v/>
      </c>
      <c r="G8250">
        <f>IF(D8250="KEEP",COUNTIF($D$2:D8250,"KEEP"),"")</f>
        <v/>
      </c>
      <c r="H8250">
        <f>IF(D8250="REMOVE",COUNTIF($D$2:D8250,"REMOVE"),"")</f>
        <v/>
      </c>
      <c r="I8250">
        <f>IF(E8250="Gmail",COUNTIF($E$2:E8250,"Gmail"),"")</f>
        <v/>
      </c>
      <c r="J8250">
        <f>IF(E8250="Outlook",COUNTIF($E$2:E8250,"Outlook"),"")</f>
        <v/>
      </c>
      <c r="K8250">
        <f>IF(E8250="Domain",COUNTIF($E$2:E8250,"Domain"),"")</f>
        <v/>
      </c>
    </row>
    <row r="8251">
      <c r="A8251" s="2" t="n"/>
      <c r="B8251">
        <f>LOWER(TRIM(A8251))</f>
        <v/>
      </c>
      <c r="C8251">
        <f>IF(B8251="","",IFERROR(INDEX('Bad Patterns'!$A$2:$A$120,MATCH(1,INDEX(--ISNUMBER(SEARCH('Bad Patterns'!$A$2:$A$120,B8251)),0),0)),""))</f>
        <v/>
      </c>
      <c r="D8251">
        <f>IF(B8251="","",IF(C8251&lt;&gt;"","REMOVE","KEEP"))</f>
        <v/>
      </c>
      <c r="E8251">
        <f>IF(D8251&lt;&gt;"KEEP","",IF(RIGHT(B8251,10)="@gmail.com","Gmail",IF(OR(RIGHT(B8251,12)="@outlook.com",RIGHT(B8251,12)="@hotmail.com",RIGHT(B8251,9)="@live.com"),"Outlook","Domain")))</f>
        <v/>
      </c>
      <c r="F8251">
        <f>IF(B8251="","",IFERROR(RIGHT(B8251,LEN(B8251)-FIND("@",B8251)),""))</f>
        <v/>
      </c>
      <c r="G8251">
        <f>IF(D8251="KEEP",COUNTIF($D$2:D8251,"KEEP"),"")</f>
        <v/>
      </c>
      <c r="H8251">
        <f>IF(D8251="REMOVE",COUNTIF($D$2:D8251,"REMOVE"),"")</f>
        <v/>
      </c>
      <c r="I8251">
        <f>IF(E8251="Gmail",COUNTIF($E$2:E8251,"Gmail"),"")</f>
        <v/>
      </c>
      <c r="J8251">
        <f>IF(E8251="Outlook",COUNTIF($E$2:E8251,"Outlook"),"")</f>
        <v/>
      </c>
      <c r="K8251">
        <f>IF(E8251="Domain",COUNTIF($E$2:E8251,"Domain"),"")</f>
        <v/>
      </c>
    </row>
    <row r="8252">
      <c r="A8252" s="2" t="n"/>
      <c r="B8252">
        <f>LOWER(TRIM(A8252))</f>
        <v/>
      </c>
      <c r="C8252">
        <f>IF(B8252="","",IFERROR(INDEX('Bad Patterns'!$A$2:$A$120,MATCH(1,INDEX(--ISNUMBER(SEARCH('Bad Patterns'!$A$2:$A$120,B8252)),0),0)),""))</f>
        <v/>
      </c>
      <c r="D8252">
        <f>IF(B8252="","",IF(C8252&lt;&gt;"","REMOVE","KEEP"))</f>
        <v/>
      </c>
      <c r="E8252">
        <f>IF(D8252&lt;&gt;"KEEP","",IF(RIGHT(B8252,10)="@gmail.com","Gmail",IF(OR(RIGHT(B8252,12)="@outlook.com",RIGHT(B8252,12)="@hotmail.com",RIGHT(B8252,9)="@live.com"),"Outlook","Domain")))</f>
        <v/>
      </c>
      <c r="F8252">
        <f>IF(B8252="","",IFERROR(RIGHT(B8252,LEN(B8252)-FIND("@",B8252)),""))</f>
        <v/>
      </c>
      <c r="G8252">
        <f>IF(D8252="KEEP",COUNTIF($D$2:D8252,"KEEP"),"")</f>
        <v/>
      </c>
      <c r="H8252">
        <f>IF(D8252="REMOVE",COUNTIF($D$2:D8252,"REMOVE"),"")</f>
        <v/>
      </c>
      <c r="I8252">
        <f>IF(E8252="Gmail",COUNTIF($E$2:E8252,"Gmail"),"")</f>
        <v/>
      </c>
      <c r="J8252">
        <f>IF(E8252="Outlook",COUNTIF($E$2:E8252,"Outlook"),"")</f>
        <v/>
      </c>
      <c r="K8252">
        <f>IF(E8252="Domain",COUNTIF($E$2:E8252,"Domain"),"")</f>
        <v/>
      </c>
    </row>
    <row r="8253">
      <c r="A8253" s="2" t="n"/>
      <c r="B8253">
        <f>LOWER(TRIM(A8253))</f>
        <v/>
      </c>
      <c r="C8253">
        <f>IF(B8253="","",IFERROR(INDEX('Bad Patterns'!$A$2:$A$120,MATCH(1,INDEX(--ISNUMBER(SEARCH('Bad Patterns'!$A$2:$A$120,B8253)),0),0)),""))</f>
        <v/>
      </c>
      <c r="D8253">
        <f>IF(B8253="","",IF(C8253&lt;&gt;"","REMOVE","KEEP"))</f>
        <v/>
      </c>
      <c r="E8253">
        <f>IF(D8253&lt;&gt;"KEEP","",IF(RIGHT(B8253,10)="@gmail.com","Gmail",IF(OR(RIGHT(B8253,12)="@outlook.com",RIGHT(B8253,12)="@hotmail.com",RIGHT(B8253,9)="@live.com"),"Outlook","Domain")))</f>
        <v/>
      </c>
      <c r="F8253">
        <f>IF(B8253="","",IFERROR(RIGHT(B8253,LEN(B8253)-FIND("@",B8253)),""))</f>
        <v/>
      </c>
      <c r="G8253">
        <f>IF(D8253="KEEP",COUNTIF($D$2:D8253,"KEEP"),"")</f>
        <v/>
      </c>
      <c r="H8253">
        <f>IF(D8253="REMOVE",COUNTIF($D$2:D8253,"REMOVE"),"")</f>
        <v/>
      </c>
      <c r="I8253">
        <f>IF(E8253="Gmail",COUNTIF($E$2:E8253,"Gmail"),"")</f>
        <v/>
      </c>
      <c r="J8253">
        <f>IF(E8253="Outlook",COUNTIF($E$2:E8253,"Outlook"),"")</f>
        <v/>
      </c>
      <c r="K8253">
        <f>IF(E8253="Domain",COUNTIF($E$2:E8253,"Domain"),"")</f>
        <v/>
      </c>
    </row>
    <row r="8254">
      <c r="A8254" s="2" t="n"/>
      <c r="B8254">
        <f>LOWER(TRIM(A8254))</f>
        <v/>
      </c>
      <c r="C8254">
        <f>IF(B8254="","",IFERROR(INDEX('Bad Patterns'!$A$2:$A$120,MATCH(1,INDEX(--ISNUMBER(SEARCH('Bad Patterns'!$A$2:$A$120,B8254)),0),0)),""))</f>
        <v/>
      </c>
      <c r="D8254">
        <f>IF(B8254="","",IF(C8254&lt;&gt;"","REMOVE","KEEP"))</f>
        <v/>
      </c>
      <c r="E8254">
        <f>IF(D8254&lt;&gt;"KEEP","",IF(RIGHT(B8254,10)="@gmail.com","Gmail",IF(OR(RIGHT(B8254,12)="@outlook.com",RIGHT(B8254,12)="@hotmail.com",RIGHT(B8254,9)="@live.com"),"Outlook","Domain")))</f>
        <v/>
      </c>
      <c r="F8254">
        <f>IF(B8254="","",IFERROR(RIGHT(B8254,LEN(B8254)-FIND("@",B8254)),""))</f>
        <v/>
      </c>
      <c r="G8254">
        <f>IF(D8254="KEEP",COUNTIF($D$2:D8254,"KEEP"),"")</f>
        <v/>
      </c>
      <c r="H8254">
        <f>IF(D8254="REMOVE",COUNTIF($D$2:D8254,"REMOVE"),"")</f>
        <v/>
      </c>
      <c r="I8254">
        <f>IF(E8254="Gmail",COUNTIF($E$2:E8254,"Gmail"),"")</f>
        <v/>
      </c>
      <c r="J8254">
        <f>IF(E8254="Outlook",COUNTIF($E$2:E8254,"Outlook"),"")</f>
        <v/>
      </c>
      <c r="K8254">
        <f>IF(E8254="Domain",COUNTIF($E$2:E8254,"Domain"),"")</f>
        <v/>
      </c>
    </row>
    <row r="8255">
      <c r="A8255" s="2" t="n"/>
      <c r="B8255">
        <f>LOWER(TRIM(A8255))</f>
        <v/>
      </c>
      <c r="C8255">
        <f>IF(B8255="","",IFERROR(INDEX('Bad Patterns'!$A$2:$A$120,MATCH(1,INDEX(--ISNUMBER(SEARCH('Bad Patterns'!$A$2:$A$120,B8255)),0),0)),""))</f>
        <v/>
      </c>
      <c r="D8255">
        <f>IF(B8255="","",IF(C8255&lt;&gt;"","REMOVE","KEEP"))</f>
        <v/>
      </c>
      <c r="E8255">
        <f>IF(D8255&lt;&gt;"KEEP","",IF(RIGHT(B8255,10)="@gmail.com","Gmail",IF(OR(RIGHT(B8255,12)="@outlook.com",RIGHT(B8255,12)="@hotmail.com",RIGHT(B8255,9)="@live.com"),"Outlook","Domain")))</f>
        <v/>
      </c>
      <c r="F8255">
        <f>IF(B8255="","",IFERROR(RIGHT(B8255,LEN(B8255)-FIND("@",B8255)),""))</f>
        <v/>
      </c>
      <c r="G8255">
        <f>IF(D8255="KEEP",COUNTIF($D$2:D8255,"KEEP"),"")</f>
        <v/>
      </c>
      <c r="H8255">
        <f>IF(D8255="REMOVE",COUNTIF($D$2:D8255,"REMOVE"),"")</f>
        <v/>
      </c>
      <c r="I8255">
        <f>IF(E8255="Gmail",COUNTIF($E$2:E8255,"Gmail"),"")</f>
        <v/>
      </c>
      <c r="J8255">
        <f>IF(E8255="Outlook",COUNTIF($E$2:E8255,"Outlook"),"")</f>
        <v/>
      </c>
      <c r="K8255">
        <f>IF(E8255="Domain",COUNTIF($E$2:E8255,"Domain"),"")</f>
        <v/>
      </c>
    </row>
    <row r="8256">
      <c r="A8256" s="2" t="n"/>
      <c r="B8256">
        <f>LOWER(TRIM(A8256))</f>
        <v/>
      </c>
      <c r="C8256">
        <f>IF(B8256="","",IFERROR(INDEX('Bad Patterns'!$A$2:$A$120,MATCH(1,INDEX(--ISNUMBER(SEARCH('Bad Patterns'!$A$2:$A$120,B8256)),0),0)),""))</f>
        <v/>
      </c>
      <c r="D8256">
        <f>IF(B8256="","",IF(C8256&lt;&gt;"","REMOVE","KEEP"))</f>
        <v/>
      </c>
      <c r="E8256">
        <f>IF(D8256&lt;&gt;"KEEP","",IF(RIGHT(B8256,10)="@gmail.com","Gmail",IF(OR(RIGHT(B8256,12)="@outlook.com",RIGHT(B8256,12)="@hotmail.com",RIGHT(B8256,9)="@live.com"),"Outlook","Domain")))</f>
        <v/>
      </c>
      <c r="F8256">
        <f>IF(B8256="","",IFERROR(RIGHT(B8256,LEN(B8256)-FIND("@",B8256)),""))</f>
        <v/>
      </c>
      <c r="G8256">
        <f>IF(D8256="KEEP",COUNTIF($D$2:D8256,"KEEP"),"")</f>
        <v/>
      </c>
      <c r="H8256">
        <f>IF(D8256="REMOVE",COUNTIF($D$2:D8256,"REMOVE"),"")</f>
        <v/>
      </c>
      <c r="I8256">
        <f>IF(E8256="Gmail",COUNTIF($E$2:E8256,"Gmail"),"")</f>
        <v/>
      </c>
      <c r="J8256">
        <f>IF(E8256="Outlook",COUNTIF($E$2:E8256,"Outlook"),"")</f>
        <v/>
      </c>
      <c r="K8256">
        <f>IF(E8256="Domain",COUNTIF($E$2:E8256,"Domain"),"")</f>
        <v/>
      </c>
    </row>
    <row r="8257">
      <c r="A8257" s="2" t="n"/>
      <c r="B8257">
        <f>LOWER(TRIM(A8257))</f>
        <v/>
      </c>
      <c r="C8257">
        <f>IF(B8257="","",IFERROR(INDEX('Bad Patterns'!$A$2:$A$120,MATCH(1,INDEX(--ISNUMBER(SEARCH('Bad Patterns'!$A$2:$A$120,B8257)),0),0)),""))</f>
        <v/>
      </c>
      <c r="D8257">
        <f>IF(B8257="","",IF(C8257&lt;&gt;"","REMOVE","KEEP"))</f>
        <v/>
      </c>
      <c r="E8257">
        <f>IF(D8257&lt;&gt;"KEEP","",IF(RIGHT(B8257,10)="@gmail.com","Gmail",IF(OR(RIGHT(B8257,12)="@outlook.com",RIGHT(B8257,12)="@hotmail.com",RIGHT(B8257,9)="@live.com"),"Outlook","Domain")))</f>
        <v/>
      </c>
      <c r="F8257">
        <f>IF(B8257="","",IFERROR(RIGHT(B8257,LEN(B8257)-FIND("@",B8257)),""))</f>
        <v/>
      </c>
      <c r="G8257">
        <f>IF(D8257="KEEP",COUNTIF($D$2:D8257,"KEEP"),"")</f>
        <v/>
      </c>
      <c r="H8257">
        <f>IF(D8257="REMOVE",COUNTIF($D$2:D8257,"REMOVE"),"")</f>
        <v/>
      </c>
      <c r="I8257">
        <f>IF(E8257="Gmail",COUNTIF($E$2:E8257,"Gmail"),"")</f>
        <v/>
      </c>
      <c r="J8257">
        <f>IF(E8257="Outlook",COUNTIF($E$2:E8257,"Outlook"),"")</f>
        <v/>
      </c>
      <c r="K8257">
        <f>IF(E8257="Domain",COUNTIF($E$2:E8257,"Domain"),"")</f>
        <v/>
      </c>
    </row>
    <row r="8258">
      <c r="A8258" s="2" t="n"/>
      <c r="B8258">
        <f>LOWER(TRIM(A8258))</f>
        <v/>
      </c>
      <c r="C8258">
        <f>IF(B8258="","",IFERROR(INDEX('Bad Patterns'!$A$2:$A$120,MATCH(1,INDEX(--ISNUMBER(SEARCH('Bad Patterns'!$A$2:$A$120,B8258)),0),0)),""))</f>
        <v/>
      </c>
      <c r="D8258">
        <f>IF(B8258="","",IF(C8258&lt;&gt;"","REMOVE","KEEP"))</f>
        <v/>
      </c>
      <c r="E8258">
        <f>IF(D8258&lt;&gt;"KEEP","",IF(RIGHT(B8258,10)="@gmail.com","Gmail",IF(OR(RIGHT(B8258,12)="@outlook.com",RIGHT(B8258,12)="@hotmail.com",RIGHT(B8258,9)="@live.com"),"Outlook","Domain")))</f>
        <v/>
      </c>
      <c r="F8258">
        <f>IF(B8258="","",IFERROR(RIGHT(B8258,LEN(B8258)-FIND("@",B8258)),""))</f>
        <v/>
      </c>
      <c r="G8258">
        <f>IF(D8258="KEEP",COUNTIF($D$2:D8258,"KEEP"),"")</f>
        <v/>
      </c>
      <c r="H8258">
        <f>IF(D8258="REMOVE",COUNTIF($D$2:D8258,"REMOVE"),"")</f>
        <v/>
      </c>
      <c r="I8258">
        <f>IF(E8258="Gmail",COUNTIF($E$2:E8258,"Gmail"),"")</f>
        <v/>
      </c>
      <c r="J8258">
        <f>IF(E8258="Outlook",COUNTIF($E$2:E8258,"Outlook"),"")</f>
        <v/>
      </c>
      <c r="K8258">
        <f>IF(E8258="Domain",COUNTIF($E$2:E8258,"Domain"),"")</f>
        <v/>
      </c>
    </row>
    <row r="8259">
      <c r="A8259" s="2" t="n"/>
      <c r="B8259">
        <f>LOWER(TRIM(A8259))</f>
        <v/>
      </c>
      <c r="C8259">
        <f>IF(B8259="","",IFERROR(INDEX('Bad Patterns'!$A$2:$A$120,MATCH(1,INDEX(--ISNUMBER(SEARCH('Bad Patterns'!$A$2:$A$120,B8259)),0),0)),""))</f>
        <v/>
      </c>
      <c r="D8259">
        <f>IF(B8259="","",IF(C8259&lt;&gt;"","REMOVE","KEEP"))</f>
        <v/>
      </c>
      <c r="E8259">
        <f>IF(D8259&lt;&gt;"KEEP","",IF(RIGHT(B8259,10)="@gmail.com","Gmail",IF(OR(RIGHT(B8259,12)="@outlook.com",RIGHT(B8259,12)="@hotmail.com",RIGHT(B8259,9)="@live.com"),"Outlook","Domain")))</f>
        <v/>
      </c>
      <c r="F8259">
        <f>IF(B8259="","",IFERROR(RIGHT(B8259,LEN(B8259)-FIND("@",B8259)),""))</f>
        <v/>
      </c>
      <c r="G8259">
        <f>IF(D8259="KEEP",COUNTIF($D$2:D8259,"KEEP"),"")</f>
        <v/>
      </c>
      <c r="H8259">
        <f>IF(D8259="REMOVE",COUNTIF($D$2:D8259,"REMOVE"),"")</f>
        <v/>
      </c>
      <c r="I8259">
        <f>IF(E8259="Gmail",COUNTIF($E$2:E8259,"Gmail"),"")</f>
        <v/>
      </c>
      <c r="J8259">
        <f>IF(E8259="Outlook",COUNTIF($E$2:E8259,"Outlook"),"")</f>
        <v/>
      </c>
      <c r="K8259">
        <f>IF(E8259="Domain",COUNTIF($E$2:E8259,"Domain"),"")</f>
        <v/>
      </c>
    </row>
    <row r="8260">
      <c r="A8260" s="2" t="n"/>
      <c r="B8260">
        <f>LOWER(TRIM(A8260))</f>
        <v/>
      </c>
      <c r="C8260">
        <f>IF(B8260="","",IFERROR(INDEX('Bad Patterns'!$A$2:$A$120,MATCH(1,INDEX(--ISNUMBER(SEARCH('Bad Patterns'!$A$2:$A$120,B8260)),0),0)),""))</f>
        <v/>
      </c>
      <c r="D8260">
        <f>IF(B8260="","",IF(C8260&lt;&gt;"","REMOVE","KEEP"))</f>
        <v/>
      </c>
      <c r="E8260">
        <f>IF(D8260&lt;&gt;"KEEP","",IF(RIGHT(B8260,10)="@gmail.com","Gmail",IF(OR(RIGHT(B8260,12)="@outlook.com",RIGHT(B8260,12)="@hotmail.com",RIGHT(B8260,9)="@live.com"),"Outlook","Domain")))</f>
        <v/>
      </c>
      <c r="F8260">
        <f>IF(B8260="","",IFERROR(RIGHT(B8260,LEN(B8260)-FIND("@",B8260)),""))</f>
        <v/>
      </c>
      <c r="G8260">
        <f>IF(D8260="KEEP",COUNTIF($D$2:D8260,"KEEP"),"")</f>
        <v/>
      </c>
      <c r="H8260">
        <f>IF(D8260="REMOVE",COUNTIF($D$2:D8260,"REMOVE"),"")</f>
        <v/>
      </c>
      <c r="I8260">
        <f>IF(E8260="Gmail",COUNTIF($E$2:E8260,"Gmail"),"")</f>
        <v/>
      </c>
      <c r="J8260">
        <f>IF(E8260="Outlook",COUNTIF($E$2:E8260,"Outlook"),"")</f>
        <v/>
      </c>
      <c r="K8260">
        <f>IF(E8260="Domain",COUNTIF($E$2:E8260,"Domain"),"")</f>
        <v/>
      </c>
    </row>
    <row r="8261">
      <c r="A8261" s="2" t="n"/>
      <c r="B8261">
        <f>LOWER(TRIM(A8261))</f>
        <v/>
      </c>
      <c r="C8261">
        <f>IF(B8261="","",IFERROR(INDEX('Bad Patterns'!$A$2:$A$120,MATCH(1,INDEX(--ISNUMBER(SEARCH('Bad Patterns'!$A$2:$A$120,B8261)),0),0)),""))</f>
        <v/>
      </c>
      <c r="D8261">
        <f>IF(B8261="","",IF(C8261&lt;&gt;"","REMOVE","KEEP"))</f>
        <v/>
      </c>
      <c r="E8261">
        <f>IF(D8261&lt;&gt;"KEEP","",IF(RIGHT(B8261,10)="@gmail.com","Gmail",IF(OR(RIGHT(B8261,12)="@outlook.com",RIGHT(B8261,12)="@hotmail.com",RIGHT(B8261,9)="@live.com"),"Outlook","Domain")))</f>
        <v/>
      </c>
      <c r="F8261">
        <f>IF(B8261="","",IFERROR(RIGHT(B8261,LEN(B8261)-FIND("@",B8261)),""))</f>
        <v/>
      </c>
      <c r="G8261">
        <f>IF(D8261="KEEP",COUNTIF($D$2:D8261,"KEEP"),"")</f>
        <v/>
      </c>
      <c r="H8261">
        <f>IF(D8261="REMOVE",COUNTIF($D$2:D8261,"REMOVE"),"")</f>
        <v/>
      </c>
      <c r="I8261">
        <f>IF(E8261="Gmail",COUNTIF($E$2:E8261,"Gmail"),"")</f>
        <v/>
      </c>
      <c r="J8261">
        <f>IF(E8261="Outlook",COUNTIF($E$2:E8261,"Outlook"),"")</f>
        <v/>
      </c>
      <c r="K8261">
        <f>IF(E8261="Domain",COUNTIF($E$2:E8261,"Domain"),"")</f>
        <v/>
      </c>
    </row>
    <row r="8262">
      <c r="A8262" s="2" t="n"/>
      <c r="B8262">
        <f>LOWER(TRIM(A8262))</f>
        <v/>
      </c>
      <c r="C8262">
        <f>IF(B8262="","",IFERROR(INDEX('Bad Patterns'!$A$2:$A$120,MATCH(1,INDEX(--ISNUMBER(SEARCH('Bad Patterns'!$A$2:$A$120,B8262)),0),0)),""))</f>
        <v/>
      </c>
      <c r="D8262">
        <f>IF(B8262="","",IF(C8262&lt;&gt;"","REMOVE","KEEP"))</f>
        <v/>
      </c>
      <c r="E8262">
        <f>IF(D8262&lt;&gt;"KEEP","",IF(RIGHT(B8262,10)="@gmail.com","Gmail",IF(OR(RIGHT(B8262,12)="@outlook.com",RIGHT(B8262,12)="@hotmail.com",RIGHT(B8262,9)="@live.com"),"Outlook","Domain")))</f>
        <v/>
      </c>
      <c r="F8262">
        <f>IF(B8262="","",IFERROR(RIGHT(B8262,LEN(B8262)-FIND("@",B8262)),""))</f>
        <v/>
      </c>
      <c r="G8262">
        <f>IF(D8262="KEEP",COUNTIF($D$2:D8262,"KEEP"),"")</f>
        <v/>
      </c>
      <c r="H8262">
        <f>IF(D8262="REMOVE",COUNTIF($D$2:D8262,"REMOVE"),"")</f>
        <v/>
      </c>
      <c r="I8262">
        <f>IF(E8262="Gmail",COUNTIF($E$2:E8262,"Gmail"),"")</f>
        <v/>
      </c>
      <c r="J8262">
        <f>IF(E8262="Outlook",COUNTIF($E$2:E8262,"Outlook"),"")</f>
        <v/>
      </c>
      <c r="K8262">
        <f>IF(E8262="Domain",COUNTIF($E$2:E8262,"Domain"),"")</f>
        <v/>
      </c>
    </row>
    <row r="8263">
      <c r="A8263" s="2" t="n"/>
      <c r="B8263">
        <f>LOWER(TRIM(A8263))</f>
        <v/>
      </c>
      <c r="C8263">
        <f>IF(B8263="","",IFERROR(INDEX('Bad Patterns'!$A$2:$A$120,MATCH(1,INDEX(--ISNUMBER(SEARCH('Bad Patterns'!$A$2:$A$120,B8263)),0),0)),""))</f>
        <v/>
      </c>
      <c r="D8263">
        <f>IF(B8263="","",IF(C8263&lt;&gt;"","REMOVE","KEEP"))</f>
        <v/>
      </c>
      <c r="E8263">
        <f>IF(D8263&lt;&gt;"KEEP","",IF(RIGHT(B8263,10)="@gmail.com","Gmail",IF(OR(RIGHT(B8263,12)="@outlook.com",RIGHT(B8263,12)="@hotmail.com",RIGHT(B8263,9)="@live.com"),"Outlook","Domain")))</f>
        <v/>
      </c>
      <c r="F8263">
        <f>IF(B8263="","",IFERROR(RIGHT(B8263,LEN(B8263)-FIND("@",B8263)),""))</f>
        <v/>
      </c>
      <c r="G8263">
        <f>IF(D8263="KEEP",COUNTIF($D$2:D8263,"KEEP"),"")</f>
        <v/>
      </c>
      <c r="H8263">
        <f>IF(D8263="REMOVE",COUNTIF($D$2:D8263,"REMOVE"),"")</f>
        <v/>
      </c>
      <c r="I8263">
        <f>IF(E8263="Gmail",COUNTIF($E$2:E8263,"Gmail"),"")</f>
        <v/>
      </c>
      <c r="J8263">
        <f>IF(E8263="Outlook",COUNTIF($E$2:E8263,"Outlook"),"")</f>
        <v/>
      </c>
      <c r="K8263">
        <f>IF(E8263="Domain",COUNTIF($E$2:E8263,"Domain"),"")</f>
        <v/>
      </c>
    </row>
    <row r="8264">
      <c r="A8264" s="2" t="n"/>
      <c r="B8264">
        <f>LOWER(TRIM(A8264))</f>
        <v/>
      </c>
      <c r="C8264">
        <f>IF(B8264="","",IFERROR(INDEX('Bad Patterns'!$A$2:$A$120,MATCH(1,INDEX(--ISNUMBER(SEARCH('Bad Patterns'!$A$2:$A$120,B8264)),0),0)),""))</f>
        <v/>
      </c>
      <c r="D8264">
        <f>IF(B8264="","",IF(C8264&lt;&gt;"","REMOVE","KEEP"))</f>
        <v/>
      </c>
      <c r="E8264">
        <f>IF(D8264&lt;&gt;"KEEP","",IF(RIGHT(B8264,10)="@gmail.com","Gmail",IF(OR(RIGHT(B8264,12)="@outlook.com",RIGHT(B8264,12)="@hotmail.com",RIGHT(B8264,9)="@live.com"),"Outlook","Domain")))</f>
        <v/>
      </c>
      <c r="F8264">
        <f>IF(B8264="","",IFERROR(RIGHT(B8264,LEN(B8264)-FIND("@",B8264)),""))</f>
        <v/>
      </c>
      <c r="G8264">
        <f>IF(D8264="KEEP",COUNTIF($D$2:D8264,"KEEP"),"")</f>
        <v/>
      </c>
      <c r="H8264">
        <f>IF(D8264="REMOVE",COUNTIF($D$2:D8264,"REMOVE"),"")</f>
        <v/>
      </c>
      <c r="I8264">
        <f>IF(E8264="Gmail",COUNTIF($E$2:E8264,"Gmail"),"")</f>
        <v/>
      </c>
      <c r="J8264">
        <f>IF(E8264="Outlook",COUNTIF($E$2:E8264,"Outlook"),"")</f>
        <v/>
      </c>
      <c r="K8264">
        <f>IF(E8264="Domain",COUNTIF($E$2:E8264,"Domain"),"")</f>
        <v/>
      </c>
    </row>
    <row r="8265">
      <c r="A8265" s="2" t="n"/>
      <c r="B8265">
        <f>LOWER(TRIM(A8265))</f>
        <v/>
      </c>
      <c r="C8265">
        <f>IF(B8265="","",IFERROR(INDEX('Bad Patterns'!$A$2:$A$120,MATCH(1,INDEX(--ISNUMBER(SEARCH('Bad Patterns'!$A$2:$A$120,B8265)),0),0)),""))</f>
        <v/>
      </c>
      <c r="D8265">
        <f>IF(B8265="","",IF(C8265&lt;&gt;"","REMOVE","KEEP"))</f>
        <v/>
      </c>
      <c r="E8265">
        <f>IF(D8265&lt;&gt;"KEEP","",IF(RIGHT(B8265,10)="@gmail.com","Gmail",IF(OR(RIGHT(B8265,12)="@outlook.com",RIGHT(B8265,12)="@hotmail.com",RIGHT(B8265,9)="@live.com"),"Outlook","Domain")))</f>
        <v/>
      </c>
      <c r="F8265">
        <f>IF(B8265="","",IFERROR(RIGHT(B8265,LEN(B8265)-FIND("@",B8265)),""))</f>
        <v/>
      </c>
      <c r="G8265">
        <f>IF(D8265="KEEP",COUNTIF($D$2:D8265,"KEEP"),"")</f>
        <v/>
      </c>
      <c r="H8265">
        <f>IF(D8265="REMOVE",COUNTIF($D$2:D8265,"REMOVE"),"")</f>
        <v/>
      </c>
      <c r="I8265">
        <f>IF(E8265="Gmail",COUNTIF($E$2:E8265,"Gmail"),"")</f>
        <v/>
      </c>
      <c r="J8265">
        <f>IF(E8265="Outlook",COUNTIF($E$2:E8265,"Outlook"),"")</f>
        <v/>
      </c>
      <c r="K8265">
        <f>IF(E8265="Domain",COUNTIF($E$2:E8265,"Domain"),"")</f>
        <v/>
      </c>
    </row>
    <row r="8266">
      <c r="A8266" s="2" t="n"/>
      <c r="B8266">
        <f>LOWER(TRIM(A8266))</f>
        <v/>
      </c>
      <c r="C8266">
        <f>IF(B8266="","",IFERROR(INDEX('Bad Patterns'!$A$2:$A$120,MATCH(1,INDEX(--ISNUMBER(SEARCH('Bad Patterns'!$A$2:$A$120,B8266)),0),0)),""))</f>
        <v/>
      </c>
      <c r="D8266">
        <f>IF(B8266="","",IF(C8266&lt;&gt;"","REMOVE","KEEP"))</f>
        <v/>
      </c>
      <c r="E8266">
        <f>IF(D8266&lt;&gt;"KEEP","",IF(RIGHT(B8266,10)="@gmail.com","Gmail",IF(OR(RIGHT(B8266,12)="@outlook.com",RIGHT(B8266,12)="@hotmail.com",RIGHT(B8266,9)="@live.com"),"Outlook","Domain")))</f>
        <v/>
      </c>
      <c r="F8266">
        <f>IF(B8266="","",IFERROR(RIGHT(B8266,LEN(B8266)-FIND("@",B8266)),""))</f>
        <v/>
      </c>
      <c r="G8266">
        <f>IF(D8266="KEEP",COUNTIF($D$2:D8266,"KEEP"),"")</f>
        <v/>
      </c>
      <c r="H8266">
        <f>IF(D8266="REMOVE",COUNTIF($D$2:D8266,"REMOVE"),"")</f>
        <v/>
      </c>
      <c r="I8266">
        <f>IF(E8266="Gmail",COUNTIF($E$2:E8266,"Gmail"),"")</f>
        <v/>
      </c>
      <c r="J8266">
        <f>IF(E8266="Outlook",COUNTIF($E$2:E8266,"Outlook"),"")</f>
        <v/>
      </c>
      <c r="K8266">
        <f>IF(E8266="Domain",COUNTIF($E$2:E8266,"Domain"),"")</f>
        <v/>
      </c>
    </row>
    <row r="8267">
      <c r="A8267" s="2" t="n"/>
      <c r="B8267">
        <f>LOWER(TRIM(A8267))</f>
        <v/>
      </c>
      <c r="C8267">
        <f>IF(B8267="","",IFERROR(INDEX('Bad Patterns'!$A$2:$A$120,MATCH(1,INDEX(--ISNUMBER(SEARCH('Bad Patterns'!$A$2:$A$120,B8267)),0),0)),""))</f>
        <v/>
      </c>
      <c r="D8267">
        <f>IF(B8267="","",IF(C8267&lt;&gt;"","REMOVE","KEEP"))</f>
        <v/>
      </c>
      <c r="E8267">
        <f>IF(D8267&lt;&gt;"KEEP","",IF(RIGHT(B8267,10)="@gmail.com","Gmail",IF(OR(RIGHT(B8267,12)="@outlook.com",RIGHT(B8267,12)="@hotmail.com",RIGHT(B8267,9)="@live.com"),"Outlook","Domain")))</f>
        <v/>
      </c>
      <c r="F8267">
        <f>IF(B8267="","",IFERROR(RIGHT(B8267,LEN(B8267)-FIND("@",B8267)),""))</f>
        <v/>
      </c>
      <c r="G8267">
        <f>IF(D8267="KEEP",COUNTIF($D$2:D8267,"KEEP"),"")</f>
        <v/>
      </c>
      <c r="H8267">
        <f>IF(D8267="REMOVE",COUNTIF($D$2:D8267,"REMOVE"),"")</f>
        <v/>
      </c>
      <c r="I8267">
        <f>IF(E8267="Gmail",COUNTIF($E$2:E8267,"Gmail"),"")</f>
        <v/>
      </c>
      <c r="J8267">
        <f>IF(E8267="Outlook",COUNTIF($E$2:E8267,"Outlook"),"")</f>
        <v/>
      </c>
      <c r="K8267">
        <f>IF(E8267="Domain",COUNTIF($E$2:E8267,"Domain"),"")</f>
        <v/>
      </c>
    </row>
    <row r="8268">
      <c r="A8268" s="2" t="n"/>
      <c r="B8268">
        <f>LOWER(TRIM(A8268))</f>
        <v/>
      </c>
      <c r="C8268">
        <f>IF(B8268="","",IFERROR(INDEX('Bad Patterns'!$A$2:$A$120,MATCH(1,INDEX(--ISNUMBER(SEARCH('Bad Patterns'!$A$2:$A$120,B8268)),0),0)),""))</f>
        <v/>
      </c>
      <c r="D8268">
        <f>IF(B8268="","",IF(C8268&lt;&gt;"","REMOVE","KEEP"))</f>
        <v/>
      </c>
      <c r="E8268">
        <f>IF(D8268&lt;&gt;"KEEP","",IF(RIGHT(B8268,10)="@gmail.com","Gmail",IF(OR(RIGHT(B8268,12)="@outlook.com",RIGHT(B8268,12)="@hotmail.com",RIGHT(B8268,9)="@live.com"),"Outlook","Domain")))</f>
        <v/>
      </c>
      <c r="F8268">
        <f>IF(B8268="","",IFERROR(RIGHT(B8268,LEN(B8268)-FIND("@",B8268)),""))</f>
        <v/>
      </c>
      <c r="G8268">
        <f>IF(D8268="KEEP",COUNTIF($D$2:D8268,"KEEP"),"")</f>
        <v/>
      </c>
      <c r="H8268">
        <f>IF(D8268="REMOVE",COUNTIF($D$2:D8268,"REMOVE"),"")</f>
        <v/>
      </c>
      <c r="I8268">
        <f>IF(E8268="Gmail",COUNTIF($E$2:E8268,"Gmail"),"")</f>
        <v/>
      </c>
      <c r="J8268">
        <f>IF(E8268="Outlook",COUNTIF($E$2:E8268,"Outlook"),"")</f>
        <v/>
      </c>
      <c r="K8268">
        <f>IF(E8268="Domain",COUNTIF($E$2:E8268,"Domain"),"")</f>
        <v/>
      </c>
    </row>
    <row r="8269">
      <c r="A8269" s="2" t="n"/>
      <c r="B8269">
        <f>LOWER(TRIM(A8269))</f>
        <v/>
      </c>
      <c r="C8269">
        <f>IF(B8269="","",IFERROR(INDEX('Bad Patterns'!$A$2:$A$120,MATCH(1,INDEX(--ISNUMBER(SEARCH('Bad Patterns'!$A$2:$A$120,B8269)),0),0)),""))</f>
        <v/>
      </c>
      <c r="D8269">
        <f>IF(B8269="","",IF(C8269&lt;&gt;"","REMOVE","KEEP"))</f>
        <v/>
      </c>
      <c r="E8269">
        <f>IF(D8269&lt;&gt;"KEEP","",IF(RIGHT(B8269,10)="@gmail.com","Gmail",IF(OR(RIGHT(B8269,12)="@outlook.com",RIGHT(B8269,12)="@hotmail.com",RIGHT(B8269,9)="@live.com"),"Outlook","Domain")))</f>
        <v/>
      </c>
      <c r="F8269">
        <f>IF(B8269="","",IFERROR(RIGHT(B8269,LEN(B8269)-FIND("@",B8269)),""))</f>
        <v/>
      </c>
      <c r="G8269">
        <f>IF(D8269="KEEP",COUNTIF($D$2:D8269,"KEEP"),"")</f>
        <v/>
      </c>
      <c r="H8269">
        <f>IF(D8269="REMOVE",COUNTIF($D$2:D8269,"REMOVE"),"")</f>
        <v/>
      </c>
      <c r="I8269">
        <f>IF(E8269="Gmail",COUNTIF($E$2:E8269,"Gmail"),"")</f>
        <v/>
      </c>
      <c r="J8269">
        <f>IF(E8269="Outlook",COUNTIF($E$2:E8269,"Outlook"),"")</f>
        <v/>
      </c>
      <c r="K8269">
        <f>IF(E8269="Domain",COUNTIF($E$2:E8269,"Domain"),"")</f>
        <v/>
      </c>
    </row>
    <row r="8270">
      <c r="A8270" s="2" t="n"/>
      <c r="B8270">
        <f>LOWER(TRIM(A8270))</f>
        <v/>
      </c>
      <c r="C8270">
        <f>IF(B8270="","",IFERROR(INDEX('Bad Patterns'!$A$2:$A$120,MATCH(1,INDEX(--ISNUMBER(SEARCH('Bad Patterns'!$A$2:$A$120,B8270)),0),0)),""))</f>
        <v/>
      </c>
      <c r="D8270">
        <f>IF(B8270="","",IF(C8270&lt;&gt;"","REMOVE","KEEP"))</f>
        <v/>
      </c>
      <c r="E8270">
        <f>IF(D8270&lt;&gt;"KEEP","",IF(RIGHT(B8270,10)="@gmail.com","Gmail",IF(OR(RIGHT(B8270,12)="@outlook.com",RIGHT(B8270,12)="@hotmail.com",RIGHT(B8270,9)="@live.com"),"Outlook","Domain")))</f>
        <v/>
      </c>
      <c r="F8270">
        <f>IF(B8270="","",IFERROR(RIGHT(B8270,LEN(B8270)-FIND("@",B8270)),""))</f>
        <v/>
      </c>
      <c r="G8270">
        <f>IF(D8270="KEEP",COUNTIF($D$2:D8270,"KEEP"),"")</f>
        <v/>
      </c>
      <c r="H8270">
        <f>IF(D8270="REMOVE",COUNTIF($D$2:D8270,"REMOVE"),"")</f>
        <v/>
      </c>
      <c r="I8270">
        <f>IF(E8270="Gmail",COUNTIF($E$2:E8270,"Gmail"),"")</f>
        <v/>
      </c>
      <c r="J8270">
        <f>IF(E8270="Outlook",COUNTIF($E$2:E8270,"Outlook"),"")</f>
        <v/>
      </c>
      <c r="K8270">
        <f>IF(E8270="Domain",COUNTIF($E$2:E8270,"Domain"),"")</f>
        <v/>
      </c>
    </row>
    <row r="8271">
      <c r="A8271" s="2" t="n"/>
      <c r="B8271">
        <f>LOWER(TRIM(A8271))</f>
        <v/>
      </c>
      <c r="C8271">
        <f>IF(B8271="","",IFERROR(INDEX('Bad Patterns'!$A$2:$A$120,MATCH(1,INDEX(--ISNUMBER(SEARCH('Bad Patterns'!$A$2:$A$120,B8271)),0),0)),""))</f>
        <v/>
      </c>
      <c r="D8271">
        <f>IF(B8271="","",IF(C8271&lt;&gt;"","REMOVE","KEEP"))</f>
        <v/>
      </c>
      <c r="E8271">
        <f>IF(D8271&lt;&gt;"KEEP","",IF(RIGHT(B8271,10)="@gmail.com","Gmail",IF(OR(RIGHT(B8271,12)="@outlook.com",RIGHT(B8271,12)="@hotmail.com",RIGHT(B8271,9)="@live.com"),"Outlook","Domain")))</f>
        <v/>
      </c>
      <c r="F8271">
        <f>IF(B8271="","",IFERROR(RIGHT(B8271,LEN(B8271)-FIND("@",B8271)),""))</f>
        <v/>
      </c>
      <c r="G8271">
        <f>IF(D8271="KEEP",COUNTIF($D$2:D8271,"KEEP"),"")</f>
        <v/>
      </c>
      <c r="H8271">
        <f>IF(D8271="REMOVE",COUNTIF($D$2:D8271,"REMOVE"),"")</f>
        <v/>
      </c>
      <c r="I8271">
        <f>IF(E8271="Gmail",COUNTIF($E$2:E8271,"Gmail"),"")</f>
        <v/>
      </c>
      <c r="J8271">
        <f>IF(E8271="Outlook",COUNTIF($E$2:E8271,"Outlook"),"")</f>
        <v/>
      </c>
      <c r="K8271">
        <f>IF(E8271="Domain",COUNTIF($E$2:E8271,"Domain"),"")</f>
        <v/>
      </c>
    </row>
    <row r="8272">
      <c r="A8272" s="2" t="n"/>
      <c r="B8272">
        <f>LOWER(TRIM(A8272))</f>
        <v/>
      </c>
      <c r="C8272">
        <f>IF(B8272="","",IFERROR(INDEX('Bad Patterns'!$A$2:$A$120,MATCH(1,INDEX(--ISNUMBER(SEARCH('Bad Patterns'!$A$2:$A$120,B8272)),0),0)),""))</f>
        <v/>
      </c>
      <c r="D8272">
        <f>IF(B8272="","",IF(C8272&lt;&gt;"","REMOVE","KEEP"))</f>
        <v/>
      </c>
      <c r="E8272">
        <f>IF(D8272&lt;&gt;"KEEP","",IF(RIGHT(B8272,10)="@gmail.com","Gmail",IF(OR(RIGHT(B8272,12)="@outlook.com",RIGHT(B8272,12)="@hotmail.com",RIGHT(B8272,9)="@live.com"),"Outlook","Domain")))</f>
        <v/>
      </c>
      <c r="F8272">
        <f>IF(B8272="","",IFERROR(RIGHT(B8272,LEN(B8272)-FIND("@",B8272)),""))</f>
        <v/>
      </c>
      <c r="G8272">
        <f>IF(D8272="KEEP",COUNTIF($D$2:D8272,"KEEP"),"")</f>
        <v/>
      </c>
      <c r="H8272">
        <f>IF(D8272="REMOVE",COUNTIF($D$2:D8272,"REMOVE"),"")</f>
        <v/>
      </c>
      <c r="I8272">
        <f>IF(E8272="Gmail",COUNTIF($E$2:E8272,"Gmail"),"")</f>
        <v/>
      </c>
      <c r="J8272">
        <f>IF(E8272="Outlook",COUNTIF($E$2:E8272,"Outlook"),"")</f>
        <v/>
      </c>
      <c r="K8272">
        <f>IF(E8272="Domain",COUNTIF($E$2:E8272,"Domain"),"")</f>
        <v/>
      </c>
    </row>
    <row r="8273">
      <c r="A8273" s="2" t="n"/>
      <c r="B8273">
        <f>LOWER(TRIM(A8273))</f>
        <v/>
      </c>
      <c r="C8273">
        <f>IF(B8273="","",IFERROR(INDEX('Bad Patterns'!$A$2:$A$120,MATCH(1,INDEX(--ISNUMBER(SEARCH('Bad Patterns'!$A$2:$A$120,B8273)),0),0)),""))</f>
        <v/>
      </c>
      <c r="D8273">
        <f>IF(B8273="","",IF(C8273&lt;&gt;"","REMOVE","KEEP"))</f>
        <v/>
      </c>
      <c r="E8273">
        <f>IF(D8273&lt;&gt;"KEEP","",IF(RIGHT(B8273,10)="@gmail.com","Gmail",IF(OR(RIGHT(B8273,12)="@outlook.com",RIGHT(B8273,12)="@hotmail.com",RIGHT(B8273,9)="@live.com"),"Outlook","Domain")))</f>
        <v/>
      </c>
      <c r="F8273">
        <f>IF(B8273="","",IFERROR(RIGHT(B8273,LEN(B8273)-FIND("@",B8273)),""))</f>
        <v/>
      </c>
      <c r="G8273">
        <f>IF(D8273="KEEP",COUNTIF($D$2:D8273,"KEEP"),"")</f>
        <v/>
      </c>
      <c r="H8273">
        <f>IF(D8273="REMOVE",COUNTIF($D$2:D8273,"REMOVE"),"")</f>
        <v/>
      </c>
      <c r="I8273">
        <f>IF(E8273="Gmail",COUNTIF($E$2:E8273,"Gmail"),"")</f>
        <v/>
      </c>
      <c r="J8273">
        <f>IF(E8273="Outlook",COUNTIF($E$2:E8273,"Outlook"),"")</f>
        <v/>
      </c>
      <c r="K8273">
        <f>IF(E8273="Domain",COUNTIF($E$2:E8273,"Domain"),"")</f>
        <v/>
      </c>
    </row>
    <row r="8274">
      <c r="A8274" s="2" t="n"/>
      <c r="B8274">
        <f>LOWER(TRIM(A8274))</f>
        <v/>
      </c>
      <c r="C8274">
        <f>IF(B8274="","",IFERROR(INDEX('Bad Patterns'!$A$2:$A$120,MATCH(1,INDEX(--ISNUMBER(SEARCH('Bad Patterns'!$A$2:$A$120,B8274)),0),0)),""))</f>
        <v/>
      </c>
      <c r="D8274">
        <f>IF(B8274="","",IF(C8274&lt;&gt;"","REMOVE","KEEP"))</f>
        <v/>
      </c>
      <c r="E8274">
        <f>IF(D8274&lt;&gt;"KEEP","",IF(RIGHT(B8274,10)="@gmail.com","Gmail",IF(OR(RIGHT(B8274,12)="@outlook.com",RIGHT(B8274,12)="@hotmail.com",RIGHT(B8274,9)="@live.com"),"Outlook","Domain")))</f>
        <v/>
      </c>
      <c r="F8274">
        <f>IF(B8274="","",IFERROR(RIGHT(B8274,LEN(B8274)-FIND("@",B8274)),""))</f>
        <v/>
      </c>
      <c r="G8274">
        <f>IF(D8274="KEEP",COUNTIF($D$2:D8274,"KEEP"),"")</f>
        <v/>
      </c>
      <c r="H8274">
        <f>IF(D8274="REMOVE",COUNTIF($D$2:D8274,"REMOVE"),"")</f>
        <v/>
      </c>
      <c r="I8274">
        <f>IF(E8274="Gmail",COUNTIF($E$2:E8274,"Gmail"),"")</f>
        <v/>
      </c>
      <c r="J8274">
        <f>IF(E8274="Outlook",COUNTIF($E$2:E8274,"Outlook"),"")</f>
        <v/>
      </c>
      <c r="K8274">
        <f>IF(E8274="Domain",COUNTIF($E$2:E8274,"Domain"),"")</f>
        <v/>
      </c>
    </row>
    <row r="8275">
      <c r="A8275" s="2" t="n"/>
      <c r="B8275">
        <f>LOWER(TRIM(A8275))</f>
        <v/>
      </c>
      <c r="C8275">
        <f>IF(B8275="","",IFERROR(INDEX('Bad Patterns'!$A$2:$A$120,MATCH(1,INDEX(--ISNUMBER(SEARCH('Bad Patterns'!$A$2:$A$120,B8275)),0),0)),""))</f>
        <v/>
      </c>
      <c r="D8275">
        <f>IF(B8275="","",IF(C8275&lt;&gt;"","REMOVE","KEEP"))</f>
        <v/>
      </c>
      <c r="E8275">
        <f>IF(D8275&lt;&gt;"KEEP","",IF(RIGHT(B8275,10)="@gmail.com","Gmail",IF(OR(RIGHT(B8275,12)="@outlook.com",RIGHT(B8275,12)="@hotmail.com",RIGHT(B8275,9)="@live.com"),"Outlook","Domain")))</f>
        <v/>
      </c>
      <c r="F8275">
        <f>IF(B8275="","",IFERROR(RIGHT(B8275,LEN(B8275)-FIND("@",B8275)),""))</f>
        <v/>
      </c>
      <c r="G8275">
        <f>IF(D8275="KEEP",COUNTIF($D$2:D8275,"KEEP"),"")</f>
        <v/>
      </c>
      <c r="H8275">
        <f>IF(D8275="REMOVE",COUNTIF($D$2:D8275,"REMOVE"),"")</f>
        <v/>
      </c>
      <c r="I8275">
        <f>IF(E8275="Gmail",COUNTIF($E$2:E8275,"Gmail"),"")</f>
        <v/>
      </c>
      <c r="J8275">
        <f>IF(E8275="Outlook",COUNTIF($E$2:E8275,"Outlook"),"")</f>
        <v/>
      </c>
      <c r="K8275">
        <f>IF(E8275="Domain",COUNTIF($E$2:E8275,"Domain"),"")</f>
        <v/>
      </c>
    </row>
    <row r="8276">
      <c r="A8276" s="2" t="n"/>
      <c r="B8276">
        <f>LOWER(TRIM(A8276))</f>
        <v/>
      </c>
      <c r="C8276">
        <f>IF(B8276="","",IFERROR(INDEX('Bad Patterns'!$A$2:$A$120,MATCH(1,INDEX(--ISNUMBER(SEARCH('Bad Patterns'!$A$2:$A$120,B8276)),0),0)),""))</f>
        <v/>
      </c>
      <c r="D8276">
        <f>IF(B8276="","",IF(C8276&lt;&gt;"","REMOVE","KEEP"))</f>
        <v/>
      </c>
      <c r="E8276">
        <f>IF(D8276&lt;&gt;"KEEP","",IF(RIGHT(B8276,10)="@gmail.com","Gmail",IF(OR(RIGHT(B8276,12)="@outlook.com",RIGHT(B8276,12)="@hotmail.com",RIGHT(B8276,9)="@live.com"),"Outlook","Domain")))</f>
        <v/>
      </c>
      <c r="F8276">
        <f>IF(B8276="","",IFERROR(RIGHT(B8276,LEN(B8276)-FIND("@",B8276)),""))</f>
        <v/>
      </c>
      <c r="G8276">
        <f>IF(D8276="KEEP",COUNTIF($D$2:D8276,"KEEP"),"")</f>
        <v/>
      </c>
      <c r="H8276">
        <f>IF(D8276="REMOVE",COUNTIF($D$2:D8276,"REMOVE"),"")</f>
        <v/>
      </c>
      <c r="I8276">
        <f>IF(E8276="Gmail",COUNTIF($E$2:E8276,"Gmail"),"")</f>
        <v/>
      </c>
      <c r="J8276">
        <f>IF(E8276="Outlook",COUNTIF($E$2:E8276,"Outlook"),"")</f>
        <v/>
      </c>
      <c r="K8276">
        <f>IF(E8276="Domain",COUNTIF($E$2:E8276,"Domain"),"")</f>
        <v/>
      </c>
    </row>
    <row r="8277">
      <c r="A8277" s="2" t="n"/>
      <c r="B8277">
        <f>LOWER(TRIM(A8277))</f>
        <v/>
      </c>
      <c r="C8277">
        <f>IF(B8277="","",IFERROR(INDEX('Bad Patterns'!$A$2:$A$120,MATCH(1,INDEX(--ISNUMBER(SEARCH('Bad Patterns'!$A$2:$A$120,B8277)),0),0)),""))</f>
        <v/>
      </c>
      <c r="D8277">
        <f>IF(B8277="","",IF(C8277&lt;&gt;"","REMOVE","KEEP"))</f>
        <v/>
      </c>
      <c r="E8277">
        <f>IF(D8277&lt;&gt;"KEEP","",IF(RIGHT(B8277,10)="@gmail.com","Gmail",IF(OR(RIGHT(B8277,12)="@outlook.com",RIGHT(B8277,12)="@hotmail.com",RIGHT(B8277,9)="@live.com"),"Outlook","Domain")))</f>
        <v/>
      </c>
      <c r="F8277">
        <f>IF(B8277="","",IFERROR(RIGHT(B8277,LEN(B8277)-FIND("@",B8277)),""))</f>
        <v/>
      </c>
      <c r="G8277">
        <f>IF(D8277="KEEP",COUNTIF($D$2:D8277,"KEEP"),"")</f>
        <v/>
      </c>
      <c r="H8277">
        <f>IF(D8277="REMOVE",COUNTIF($D$2:D8277,"REMOVE"),"")</f>
        <v/>
      </c>
      <c r="I8277">
        <f>IF(E8277="Gmail",COUNTIF($E$2:E8277,"Gmail"),"")</f>
        <v/>
      </c>
      <c r="J8277">
        <f>IF(E8277="Outlook",COUNTIF($E$2:E8277,"Outlook"),"")</f>
        <v/>
      </c>
      <c r="K8277">
        <f>IF(E8277="Domain",COUNTIF($E$2:E8277,"Domain"),"")</f>
        <v/>
      </c>
    </row>
    <row r="8278">
      <c r="A8278" s="2" t="n"/>
      <c r="B8278">
        <f>LOWER(TRIM(A8278))</f>
        <v/>
      </c>
      <c r="C8278">
        <f>IF(B8278="","",IFERROR(INDEX('Bad Patterns'!$A$2:$A$120,MATCH(1,INDEX(--ISNUMBER(SEARCH('Bad Patterns'!$A$2:$A$120,B8278)),0),0)),""))</f>
        <v/>
      </c>
      <c r="D8278">
        <f>IF(B8278="","",IF(C8278&lt;&gt;"","REMOVE","KEEP"))</f>
        <v/>
      </c>
      <c r="E8278">
        <f>IF(D8278&lt;&gt;"KEEP","",IF(RIGHT(B8278,10)="@gmail.com","Gmail",IF(OR(RIGHT(B8278,12)="@outlook.com",RIGHT(B8278,12)="@hotmail.com",RIGHT(B8278,9)="@live.com"),"Outlook","Domain")))</f>
        <v/>
      </c>
      <c r="F8278">
        <f>IF(B8278="","",IFERROR(RIGHT(B8278,LEN(B8278)-FIND("@",B8278)),""))</f>
        <v/>
      </c>
      <c r="G8278">
        <f>IF(D8278="KEEP",COUNTIF($D$2:D8278,"KEEP"),"")</f>
        <v/>
      </c>
      <c r="H8278">
        <f>IF(D8278="REMOVE",COUNTIF($D$2:D8278,"REMOVE"),"")</f>
        <v/>
      </c>
      <c r="I8278">
        <f>IF(E8278="Gmail",COUNTIF($E$2:E8278,"Gmail"),"")</f>
        <v/>
      </c>
      <c r="J8278">
        <f>IF(E8278="Outlook",COUNTIF($E$2:E8278,"Outlook"),"")</f>
        <v/>
      </c>
      <c r="K8278">
        <f>IF(E8278="Domain",COUNTIF($E$2:E8278,"Domain"),"")</f>
        <v/>
      </c>
    </row>
    <row r="8279">
      <c r="A8279" s="2" t="n"/>
      <c r="B8279">
        <f>LOWER(TRIM(A8279))</f>
        <v/>
      </c>
      <c r="C8279">
        <f>IF(B8279="","",IFERROR(INDEX('Bad Patterns'!$A$2:$A$120,MATCH(1,INDEX(--ISNUMBER(SEARCH('Bad Patterns'!$A$2:$A$120,B8279)),0),0)),""))</f>
        <v/>
      </c>
      <c r="D8279">
        <f>IF(B8279="","",IF(C8279&lt;&gt;"","REMOVE","KEEP"))</f>
        <v/>
      </c>
      <c r="E8279">
        <f>IF(D8279&lt;&gt;"KEEP","",IF(RIGHT(B8279,10)="@gmail.com","Gmail",IF(OR(RIGHT(B8279,12)="@outlook.com",RIGHT(B8279,12)="@hotmail.com",RIGHT(B8279,9)="@live.com"),"Outlook","Domain")))</f>
        <v/>
      </c>
      <c r="F8279">
        <f>IF(B8279="","",IFERROR(RIGHT(B8279,LEN(B8279)-FIND("@",B8279)),""))</f>
        <v/>
      </c>
      <c r="G8279">
        <f>IF(D8279="KEEP",COUNTIF($D$2:D8279,"KEEP"),"")</f>
        <v/>
      </c>
      <c r="H8279">
        <f>IF(D8279="REMOVE",COUNTIF($D$2:D8279,"REMOVE"),"")</f>
        <v/>
      </c>
      <c r="I8279">
        <f>IF(E8279="Gmail",COUNTIF($E$2:E8279,"Gmail"),"")</f>
        <v/>
      </c>
      <c r="J8279">
        <f>IF(E8279="Outlook",COUNTIF($E$2:E8279,"Outlook"),"")</f>
        <v/>
      </c>
      <c r="K8279">
        <f>IF(E8279="Domain",COUNTIF($E$2:E8279,"Domain"),"")</f>
        <v/>
      </c>
    </row>
    <row r="8280">
      <c r="A8280" s="2" t="n"/>
      <c r="B8280">
        <f>LOWER(TRIM(A8280))</f>
        <v/>
      </c>
      <c r="C8280">
        <f>IF(B8280="","",IFERROR(INDEX('Bad Patterns'!$A$2:$A$120,MATCH(1,INDEX(--ISNUMBER(SEARCH('Bad Patterns'!$A$2:$A$120,B8280)),0),0)),""))</f>
        <v/>
      </c>
      <c r="D8280">
        <f>IF(B8280="","",IF(C8280&lt;&gt;"","REMOVE","KEEP"))</f>
        <v/>
      </c>
      <c r="E8280">
        <f>IF(D8280&lt;&gt;"KEEP","",IF(RIGHT(B8280,10)="@gmail.com","Gmail",IF(OR(RIGHT(B8280,12)="@outlook.com",RIGHT(B8280,12)="@hotmail.com",RIGHT(B8280,9)="@live.com"),"Outlook","Domain")))</f>
        <v/>
      </c>
      <c r="F8280">
        <f>IF(B8280="","",IFERROR(RIGHT(B8280,LEN(B8280)-FIND("@",B8280)),""))</f>
        <v/>
      </c>
      <c r="G8280">
        <f>IF(D8280="KEEP",COUNTIF($D$2:D8280,"KEEP"),"")</f>
        <v/>
      </c>
      <c r="H8280">
        <f>IF(D8280="REMOVE",COUNTIF($D$2:D8280,"REMOVE"),"")</f>
        <v/>
      </c>
      <c r="I8280">
        <f>IF(E8280="Gmail",COUNTIF($E$2:E8280,"Gmail"),"")</f>
        <v/>
      </c>
      <c r="J8280">
        <f>IF(E8280="Outlook",COUNTIF($E$2:E8280,"Outlook"),"")</f>
        <v/>
      </c>
      <c r="K8280">
        <f>IF(E8280="Domain",COUNTIF($E$2:E8280,"Domain"),"")</f>
        <v/>
      </c>
    </row>
    <row r="8281">
      <c r="A8281" s="2" t="n"/>
      <c r="B8281">
        <f>LOWER(TRIM(A8281))</f>
        <v/>
      </c>
      <c r="C8281">
        <f>IF(B8281="","",IFERROR(INDEX('Bad Patterns'!$A$2:$A$120,MATCH(1,INDEX(--ISNUMBER(SEARCH('Bad Patterns'!$A$2:$A$120,B8281)),0),0)),""))</f>
        <v/>
      </c>
      <c r="D8281">
        <f>IF(B8281="","",IF(C8281&lt;&gt;"","REMOVE","KEEP"))</f>
        <v/>
      </c>
      <c r="E8281">
        <f>IF(D8281&lt;&gt;"KEEP","",IF(RIGHT(B8281,10)="@gmail.com","Gmail",IF(OR(RIGHT(B8281,12)="@outlook.com",RIGHT(B8281,12)="@hotmail.com",RIGHT(B8281,9)="@live.com"),"Outlook","Domain")))</f>
        <v/>
      </c>
      <c r="F8281">
        <f>IF(B8281="","",IFERROR(RIGHT(B8281,LEN(B8281)-FIND("@",B8281)),""))</f>
        <v/>
      </c>
      <c r="G8281">
        <f>IF(D8281="KEEP",COUNTIF($D$2:D8281,"KEEP"),"")</f>
        <v/>
      </c>
      <c r="H8281">
        <f>IF(D8281="REMOVE",COUNTIF($D$2:D8281,"REMOVE"),"")</f>
        <v/>
      </c>
      <c r="I8281">
        <f>IF(E8281="Gmail",COUNTIF($E$2:E8281,"Gmail"),"")</f>
        <v/>
      </c>
      <c r="J8281">
        <f>IF(E8281="Outlook",COUNTIF($E$2:E8281,"Outlook"),"")</f>
        <v/>
      </c>
      <c r="K8281">
        <f>IF(E8281="Domain",COUNTIF($E$2:E8281,"Domain"),"")</f>
        <v/>
      </c>
    </row>
    <row r="8282">
      <c r="A8282" s="2" t="n"/>
      <c r="B8282">
        <f>LOWER(TRIM(A8282))</f>
        <v/>
      </c>
      <c r="C8282">
        <f>IF(B8282="","",IFERROR(INDEX('Bad Patterns'!$A$2:$A$120,MATCH(1,INDEX(--ISNUMBER(SEARCH('Bad Patterns'!$A$2:$A$120,B8282)),0),0)),""))</f>
        <v/>
      </c>
      <c r="D8282">
        <f>IF(B8282="","",IF(C8282&lt;&gt;"","REMOVE","KEEP"))</f>
        <v/>
      </c>
      <c r="E8282">
        <f>IF(D8282&lt;&gt;"KEEP","",IF(RIGHT(B8282,10)="@gmail.com","Gmail",IF(OR(RIGHT(B8282,12)="@outlook.com",RIGHT(B8282,12)="@hotmail.com",RIGHT(B8282,9)="@live.com"),"Outlook","Domain")))</f>
        <v/>
      </c>
      <c r="F8282">
        <f>IF(B8282="","",IFERROR(RIGHT(B8282,LEN(B8282)-FIND("@",B8282)),""))</f>
        <v/>
      </c>
      <c r="G8282">
        <f>IF(D8282="KEEP",COUNTIF($D$2:D8282,"KEEP"),"")</f>
        <v/>
      </c>
      <c r="H8282">
        <f>IF(D8282="REMOVE",COUNTIF($D$2:D8282,"REMOVE"),"")</f>
        <v/>
      </c>
      <c r="I8282">
        <f>IF(E8282="Gmail",COUNTIF($E$2:E8282,"Gmail"),"")</f>
        <v/>
      </c>
      <c r="J8282">
        <f>IF(E8282="Outlook",COUNTIF($E$2:E8282,"Outlook"),"")</f>
        <v/>
      </c>
      <c r="K8282">
        <f>IF(E8282="Domain",COUNTIF($E$2:E8282,"Domain"),"")</f>
        <v/>
      </c>
    </row>
    <row r="8283">
      <c r="A8283" s="2" t="n"/>
      <c r="B8283">
        <f>LOWER(TRIM(A8283))</f>
        <v/>
      </c>
      <c r="C8283">
        <f>IF(B8283="","",IFERROR(INDEX('Bad Patterns'!$A$2:$A$120,MATCH(1,INDEX(--ISNUMBER(SEARCH('Bad Patterns'!$A$2:$A$120,B8283)),0),0)),""))</f>
        <v/>
      </c>
      <c r="D8283">
        <f>IF(B8283="","",IF(C8283&lt;&gt;"","REMOVE","KEEP"))</f>
        <v/>
      </c>
      <c r="E8283">
        <f>IF(D8283&lt;&gt;"KEEP","",IF(RIGHT(B8283,10)="@gmail.com","Gmail",IF(OR(RIGHT(B8283,12)="@outlook.com",RIGHT(B8283,12)="@hotmail.com",RIGHT(B8283,9)="@live.com"),"Outlook","Domain")))</f>
        <v/>
      </c>
      <c r="F8283">
        <f>IF(B8283="","",IFERROR(RIGHT(B8283,LEN(B8283)-FIND("@",B8283)),""))</f>
        <v/>
      </c>
      <c r="G8283">
        <f>IF(D8283="KEEP",COUNTIF($D$2:D8283,"KEEP"),"")</f>
        <v/>
      </c>
      <c r="H8283">
        <f>IF(D8283="REMOVE",COUNTIF($D$2:D8283,"REMOVE"),"")</f>
        <v/>
      </c>
      <c r="I8283">
        <f>IF(E8283="Gmail",COUNTIF($E$2:E8283,"Gmail"),"")</f>
        <v/>
      </c>
      <c r="J8283">
        <f>IF(E8283="Outlook",COUNTIF($E$2:E8283,"Outlook"),"")</f>
        <v/>
      </c>
      <c r="K8283">
        <f>IF(E8283="Domain",COUNTIF($E$2:E8283,"Domain"),"")</f>
        <v/>
      </c>
    </row>
    <row r="8284">
      <c r="A8284" s="2" t="n"/>
      <c r="B8284">
        <f>LOWER(TRIM(A8284))</f>
        <v/>
      </c>
      <c r="C8284">
        <f>IF(B8284="","",IFERROR(INDEX('Bad Patterns'!$A$2:$A$120,MATCH(1,INDEX(--ISNUMBER(SEARCH('Bad Patterns'!$A$2:$A$120,B8284)),0),0)),""))</f>
        <v/>
      </c>
      <c r="D8284">
        <f>IF(B8284="","",IF(C8284&lt;&gt;"","REMOVE","KEEP"))</f>
        <v/>
      </c>
      <c r="E8284">
        <f>IF(D8284&lt;&gt;"KEEP","",IF(RIGHT(B8284,10)="@gmail.com","Gmail",IF(OR(RIGHT(B8284,12)="@outlook.com",RIGHT(B8284,12)="@hotmail.com",RIGHT(B8284,9)="@live.com"),"Outlook","Domain")))</f>
        <v/>
      </c>
      <c r="F8284">
        <f>IF(B8284="","",IFERROR(RIGHT(B8284,LEN(B8284)-FIND("@",B8284)),""))</f>
        <v/>
      </c>
      <c r="G8284">
        <f>IF(D8284="KEEP",COUNTIF($D$2:D8284,"KEEP"),"")</f>
        <v/>
      </c>
      <c r="H8284">
        <f>IF(D8284="REMOVE",COUNTIF($D$2:D8284,"REMOVE"),"")</f>
        <v/>
      </c>
      <c r="I8284">
        <f>IF(E8284="Gmail",COUNTIF($E$2:E8284,"Gmail"),"")</f>
        <v/>
      </c>
      <c r="J8284">
        <f>IF(E8284="Outlook",COUNTIF($E$2:E8284,"Outlook"),"")</f>
        <v/>
      </c>
      <c r="K8284">
        <f>IF(E8284="Domain",COUNTIF($E$2:E8284,"Domain"),"")</f>
        <v/>
      </c>
    </row>
    <row r="8285">
      <c r="A8285" s="2" t="n"/>
      <c r="B8285">
        <f>LOWER(TRIM(A8285))</f>
        <v/>
      </c>
      <c r="C8285">
        <f>IF(B8285="","",IFERROR(INDEX('Bad Patterns'!$A$2:$A$120,MATCH(1,INDEX(--ISNUMBER(SEARCH('Bad Patterns'!$A$2:$A$120,B8285)),0),0)),""))</f>
        <v/>
      </c>
      <c r="D8285">
        <f>IF(B8285="","",IF(C8285&lt;&gt;"","REMOVE","KEEP"))</f>
        <v/>
      </c>
      <c r="E8285">
        <f>IF(D8285&lt;&gt;"KEEP","",IF(RIGHT(B8285,10)="@gmail.com","Gmail",IF(OR(RIGHT(B8285,12)="@outlook.com",RIGHT(B8285,12)="@hotmail.com",RIGHT(B8285,9)="@live.com"),"Outlook","Domain")))</f>
        <v/>
      </c>
      <c r="F8285">
        <f>IF(B8285="","",IFERROR(RIGHT(B8285,LEN(B8285)-FIND("@",B8285)),""))</f>
        <v/>
      </c>
      <c r="G8285">
        <f>IF(D8285="KEEP",COUNTIF($D$2:D8285,"KEEP"),"")</f>
        <v/>
      </c>
      <c r="H8285">
        <f>IF(D8285="REMOVE",COUNTIF($D$2:D8285,"REMOVE"),"")</f>
        <v/>
      </c>
      <c r="I8285">
        <f>IF(E8285="Gmail",COUNTIF($E$2:E8285,"Gmail"),"")</f>
        <v/>
      </c>
      <c r="J8285">
        <f>IF(E8285="Outlook",COUNTIF($E$2:E8285,"Outlook"),"")</f>
        <v/>
      </c>
      <c r="K8285">
        <f>IF(E8285="Domain",COUNTIF($E$2:E8285,"Domain"),"")</f>
        <v/>
      </c>
    </row>
    <row r="8286">
      <c r="A8286" s="2" t="n"/>
      <c r="B8286">
        <f>LOWER(TRIM(A8286))</f>
        <v/>
      </c>
      <c r="C8286">
        <f>IF(B8286="","",IFERROR(INDEX('Bad Patterns'!$A$2:$A$120,MATCH(1,INDEX(--ISNUMBER(SEARCH('Bad Patterns'!$A$2:$A$120,B8286)),0),0)),""))</f>
        <v/>
      </c>
      <c r="D8286">
        <f>IF(B8286="","",IF(C8286&lt;&gt;"","REMOVE","KEEP"))</f>
        <v/>
      </c>
      <c r="E8286">
        <f>IF(D8286&lt;&gt;"KEEP","",IF(RIGHT(B8286,10)="@gmail.com","Gmail",IF(OR(RIGHT(B8286,12)="@outlook.com",RIGHT(B8286,12)="@hotmail.com",RIGHT(B8286,9)="@live.com"),"Outlook","Domain")))</f>
        <v/>
      </c>
      <c r="F8286">
        <f>IF(B8286="","",IFERROR(RIGHT(B8286,LEN(B8286)-FIND("@",B8286)),""))</f>
        <v/>
      </c>
      <c r="G8286">
        <f>IF(D8286="KEEP",COUNTIF($D$2:D8286,"KEEP"),"")</f>
        <v/>
      </c>
      <c r="H8286">
        <f>IF(D8286="REMOVE",COUNTIF($D$2:D8286,"REMOVE"),"")</f>
        <v/>
      </c>
      <c r="I8286">
        <f>IF(E8286="Gmail",COUNTIF($E$2:E8286,"Gmail"),"")</f>
        <v/>
      </c>
      <c r="J8286">
        <f>IF(E8286="Outlook",COUNTIF($E$2:E8286,"Outlook"),"")</f>
        <v/>
      </c>
      <c r="K8286">
        <f>IF(E8286="Domain",COUNTIF($E$2:E8286,"Domain"),"")</f>
        <v/>
      </c>
    </row>
    <row r="8287">
      <c r="A8287" s="2" t="n"/>
      <c r="B8287">
        <f>LOWER(TRIM(A8287))</f>
        <v/>
      </c>
      <c r="C8287">
        <f>IF(B8287="","",IFERROR(INDEX('Bad Patterns'!$A$2:$A$120,MATCH(1,INDEX(--ISNUMBER(SEARCH('Bad Patterns'!$A$2:$A$120,B8287)),0),0)),""))</f>
        <v/>
      </c>
      <c r="D8287">
        <f>IF(B8287="","",IF(C8287&lt;&gt;"","REMOVE","KEEP"))</f>
        <v/>
      </c>
      <c r="E8287">
        <f>IF(D8287&lt;&gt;"KEEP","",IF(RIGHT(B8287,10)="@gmail.com","Gmail",IF(OR(RIGHT(B8287,12)="@outlook.com",RIGHT(B8287,12)="@hotmail.com",RIGHT(B8287,9)="@live.com"),"Outlook","Domain")))</f>
        <v/>
      </c>
      <c r="F8287">
        <f>IF(B8287="","",IFERROR(RIGHT(B8287,LEN(B8287)-FIND("@",B8287)),""))</f>
        <v/>
      </c>
      <c r="G8287">
        <f>IF(D8287="KEEP",COUNTIF($D$2:D8287,"KEEP"),"")</f>
        <v/>
      </c>
      <c r="H8287">
        <f>IF(D8287="REMOVE",COUNTIF($D$2:D8287,"REMOVE"),"")</f>
        <v/>
      </c>
      <c r="I8287">
        <f>IF(E8287="Gmail",COUNTIF($E$2:E8287,"Gmail"),"")</f>
        <v/>
      </c>
      <c r="J8287">
        <f>IF(E8287="Outlook",COUNTIF($E$2:E8287,"Outlook"),"")</f>
        <v/>
      </c>
      <c r="K8287">
        <f>IF(E8287="Domain",COUNTIF($E$2:E8287,"Domain"),"")</f>
        <v/>
      </c>
    </row>
    <row r="8288">
      <c r="A8288" s="2" t="n"/>
      <c r="B8288">
        <f>LOWER(TRIM(A8288))</f>
        <v/>
      </c>
      <c r="C8288">
        <f>IF(B8288="","",IFERROR(INDEX('Bad Patterns'!$A$2:$A$120,MATCH(1,INDEX(--ISNUMBER(SEARCH('Bad Patterns'!$A$2:$A$120,B8288)),0),0)),""))</f>
        <v/>
      </c>
      <c r="D8288">
        <f>IF(B8288="","",IF(C8288&lt;&gt;"","REMOVE","KEEP"))</f>
        <v/>
      </c>
      <c r="E8288">
        <f>IF(D8288&lt;&gt;"KEEP","",IF(RIGHT(B8288,10)="@gmail.com","Gmail",IF(OR(RIGHT(B8288,12)="@outlook.com",RIGHT(B8288,12)="@hotmail.com",RIGHT(B8288,9)="@live.com"),"Outlook","Domain")))</f>
        <v/>
      </c>
      <c r="F8288">
        <f>IF(B8288="","",IFERROR(RIGHT(B8288,LEN(B8288)-FIND("@",B8288)),""))</f>
        <v/>
      </c>
      <c r="G8288">
        <f>IF(D8288="KEEP",COUNTIF($D$2:D8288,"KEEP"),"")</f>
        <v/>
      </c>
      <c r="H8288">
        <f>IF(D8288="REMOVE",COUNTIF($D$2:D8288,"REMOVE"),"")</f>
        <v/>
      </c>
      <c r="I8288">
        <f>IF(E8288="Gmail",COUNTIF($E$2:E8288,"Gmail"),"")</f>
        <v/>
      </c>
      <c r="J8288">
        <f>IF(E8288="Outlook",COUNTIF($E$2:E8288,"Outlook"),"")</f>
        <v/>
      </c>
      <c r="K8288">
        <f>IF(E8288="Domain",COUNTIF($E$2:E8288,"Domain"),"")</f>
        <v/>
      </c>
    </row>
    <row r="8289">
      <c r="A8289" s="2" t="n"/>
      <c r="B8289">
        <f>LOWER(TRIM(A8289))</f>
        <v/>
      </c>
      <c r="C8289">
        <f>IF(B8289="","",IFERROR(INDEX('Bad Patterns'!$A$2:$A$120,MATCH(1,INDEX(--ISNUMBER(SEARCH('Bad Patterns'!$A$2:$A$120,B8289)),0),0)),""))</f>
        <v/>
      </c>
      <c r="D8289">
        <f>IF(B8289="","",IF(C8289&lt;&gt;"","REMOVE","KEEP"))</f>
        <v/>
      </c>
      <c r="E8289">
        <f>IF(D8289&lt;&gt;"KEEP","",IF(RIGHT(B8289,10)="@gmail.com","Gmail",IF(OR(RIGHT(B8289,12)="@outlook.com",RIGHT(B8289,12)="@hotmail.com",RIGHT(B8289,9)="@live.com"),"Outlook","Domain")))</f>
        <v/>
      </c>
      <c r="F8289">
        <f>IF(B8289="","",IFERROR(RIGHT(B8289,LEN(B8289)-FIND("@",B8289)),""))</f>
        <v/>
      </c>
      <c r="G8289">
        <f>IF(D8289="KEEP",COUNTIF($D$2:D8289,"KEEP"),"")</f>
        <v/>
      </c>
      <c r="H8289">
        <f>IF(D8289="REMOVE",COUNTIF($D$2:D8289,"REMOVE"),"")</f>
        <v/>
      </c>
      <c r="I8289">
        <f>IF(E8289="Gmail",COUNTIF($E$2:E8289,"Gmail"),"")</f>
        <v/>
      </c>
      <c r="J8289">
        <f>IF(E8289="Outlook",COUNTIF($E$2:E8289,"Outlook"),"")</f>
        <v/>
      </c>
      <c r="K8289">
        <f>IF(E8289="Domain",COUNTIF($E$2:E8289,"Domain"),"")</f>
        <v/>
      </c>
    </row>
    <row r="8290">
      <c r="A8290" s="2" t="n"/>
      <c r="B8290">
        <f>LOWER(TRIM(A8290))</f>
        <v/>
      </c>
      <c r="C8290">
        <f>IF(B8290="","",IFERROR(INDEX('Bad Patterns'!$A$2:$A$120,MATCH(1,INDEX(--ISNUMBER(SEARCH('Bad Patterns'!$A$2:$A$120,B8290)),0),0)),""))</f>
        <v/>
      </c>
      <c r="D8290">
        <f>IF(B8290="","",IF(C8290&lt;&gt;"","REMOVE","KEEP"))</f>
        <v/>
      </c>
      <c r="E8290">
        <f>IF(D8290&lt;&gt;"KEEP","",IF(RIGHT(B8290,10)="@gmail.com","Gmail",IF(OR(RIGHT(B8290,12)="@outlook.com",RIGHT(B8290,12)="@hotmail.com",RIGHT(B8290,9)="@live.com"),"Outlook","Domain")))</f>
        <v/>
      </c>
      <c r="F8290">
        <f>IF(B8290="","",IFERROR(RIGHT(B8290,LEN(B8290)-FIND("@",B8290)),""))</f>
        <v/>
      </c>
      <c r="G8290">
        <f>IF(D8290="KEEP",COUNTIF($D$2:D8290,"KEEP"),"")</f>
        <v/>
      </c>
      <c r="H8290">
        <f>IF(D8290="REMOVE",COUNTIF($D$2:D8290,"REMOVE"),"")</f>
        <v/>
      </c>
      <c r="I8290">
        <f>IF(E8290="Gmail",COUNTIF($E$2:E8290,"Gmail"),"")</f>
        <v/>
      </c>
      <c r="J8290">
        <f>IF(E8290="Outlook",COUNTIF($E$2:E8290,"Outlook"),"")</f>
        <v/>
      </c>
      <c r="K8290">
        <f>IF(E8290="Domain",COUNTIF($E$2:E8290,"Domain"),"")</f>
        <v/>
      </c>
    </row>
    <row r="8291">
      <c r="A8291" s="2" t="n"/>
      <c r="B8291">
        <f>LOWER(TRIM(A8291))</f>
        <v/>
      </c>
      <c r="C8291">
        <f>IF(B8291="","",IFERROR(INDEX('Bad Patterns'!$A$2:$A$120,MATCH(1,INDEX(--ISNUMBER(SEARCH('Bad Patterns'!$A$2:$A$120,B8291)),0),0)),""))</f>
        <v/>
      </c>
      <c r="D8291">
        <f>IF(B8291="","",IF(C8291&lt;&gt;"","REMOVE","KEEP"))</f>
        <v/>
      </c>
      <c r="E8291">
        <f>IF(D8291&lt;&gt;"KEEP","",IF(RIGHT(B8291,10)="@gmail.com","Gmail",IF(OR(RIGHT(B8291,12)="@outlook.com",RIGHT(B8291,12)="@hotmail.com",RIGHT(B8291,9)="@live.com"),"Outlook","Domain")))</f>
        <v/>
      </c>
      <c r="F8291">
        <f>IF(B8291="","",IFERROR(RIGHT(B8291,LEN(B8291)-FIND("@",B8291)),""))</f>
        <v/>
      </c>
      <c r="G8291">
        <f>IF(D8291="KEEP",COUNTIF($D$2:D8291,"KEEP"),"")</f>
        <v/>
      </c>
      <c r="H8291">
        <f>IF(D8291="REMOVE",COUNTIF($D$2:D8291,"REMOVE"),"")</f>
        <v/>
      </c>
      <c r="I8291">
        <f>IF(E8291="Gmail",COUNTIF($E$2:E8291,"Gmail"),"")</f>
        <v/>
      </c>
      <c r="J8291">
        <f>IF(E8291="Outlook",COUNTIF($E$2:E8291,"Outlook"),"")</f>
        <v/>
      </c>
      <c r="K8291">
        <f>IF(E8291="Domain",COUNTIF($E$2:E8291,"Domain"),"")</f>
        <v/>
      </c>
    </row>
    <row r="8292">
      <c r="A8292" s="2" t="n"/>
      <c r="B8292">
        <f>LOWER(TRIM(A8292))</f>
        <v/>
      </c>
      <c r="C8292">
        <f>IF(B8292="","",IFERROR(INDEX('Bad Patterns'!$A$2:$A$120,MATCH(1,INDEX(--ISNUMBER(SEARCH('Bad Patterns'!$A$2:$A$120,B8292)),0),0)),""))</f>
        <v/>
      </c>
      <c r="D8292">
        <f>IF(B8292="","",IF(C8292&lt;&gt;"","REMOVE","KEEP"))</f>
        <v/>
      </c>
      <c r="E8292">
        <f>IF(D8292&lt;&gt;"KEEP","",IF(RIGHT(B8292,10)="@gmail.com","Gmail",IF(OR(RIGHT(B8292,12)="@outlook.com",RIGHT(B8292,12)="@hotmail.com",RIGHT(B8292,9)="@live.com"),"Outlook","Domain")))</f>
        <v/>
      </c>
      <c r="F8292">
        <f>IF(B8292="","",IFERROR(RIGHT(B8292,LEN(B8292)-FIND("@",B8292)),""))</f>
        <v/>
      </c>
      <c r="G8292">
        <f>IF(D8292="KEEP",COUNTIF($D$2:D8292,"KEEP"),"")</f>
        <v/>
      </c>
      <c r="H8292">
        <f>IF(D8292="REMOVE",COUNTIF($D$2:D8292,"REMOVE"),"")</f>
        <v/>
      </c>
      <c r="I8292">
        <f>IF(E8292="Gmail",COUNTIF($E$2:E8292,"Gmail"),"")</f>
        <v/>
      </c>
      <c r="J8292">
        <f>IF(E8292="Outlook",COUNTIF($E$2:E8292,"Outlook"),"")</f>
        <v/>
      </c>
      <c r="K8292">
        <f>IF(E8292="Domain",COUNTIF($E$2:E8292,"Domain"),"")</f>
        <v/>
      </c>
    </row>
    <row r="8293">
      <c r="A8293" s="2" t="n"/>
      <c r="B8293">
        <f>LOWER(TRIM(A8293))</f>
        <v/>
      </c>
      <c r="C8293">
        <f>IF(B8293="","",IFERROR(INDEX('Bad Patterns'!$A$2:$A$120,MATCH(1,INDEX(--ISNUMBER(SEARCH('Bad Patterns'!$A$2:$A$120,B8293)),0),0)),""))</f>
        <v/>
      </c>
      <c r="D8293">
        <f>IF(B8293="","",IF(C8293&lt;&gt;"","REMOVE","KEEP"))</f>
        <v/>
      </c>
      <c r="E8293">
        <f>IF(D8293&lt;&gt;"KEEP","",IF(RIGHT(B8293,10)="@gmail.com","Gmail",IF(OR(RIGHT(B8293,12)="@outlook.com",RIGHT(B8293,12)="@hotmail.com",RIGHT(B8293,9)="@live.com"),"Outlook","Domain")))</f>
        <v/>
      </c>
      <c r="F8293">
        <f>IF(B8293="","",IFERROR(RIGHT(B8293,LEN(B8293)-FIND("@",B8293)),""))</f>
        <v/>
      </c>
      <c r="G8293">
        <f>IF(D8293="KEEP",COUNTIF($D$2:D8293,"KEEP"),"")</f>
        <v/>
      </c>
      <c r="H8293">
        <f>IF(D8293="REMOVE",COUNTIF($D$2:D8293,"REMOVE"),"")</f>
        <v/>
      </c>
      <c r="I8293">
        <f>IF(E8293="Gmail",COUNTIF($E$2:E8293,"Gmail"),"")</f>
        <v/>
      </c>
      <c r="J8293">
        <f>IF(E8293="Outlook",COUNTIF($E$2:E8293,"Outlook"),"")</f>
        <v/>
      </c>
      <c r="K8293">
        <f>IF(E8293="Domain",COUNTIF($E$2:E8293,"Domain"),"")</f>
        <v/>
      </c>
    </row>
    <row r="8294">
      <c r="A8294" s="2" t="n"/>
      <c r="B8294">
        <f>LOWER(TRIM(A8294))</f>
        <v/>
      </c>
      <c r="C8294">
        <f>IF(B8294="","",IFERROR(INDEX('Bad Patterns'!$A$2:$A$120,MATCH(1,INDEX(--ISNUMBER(SEARCH('Bad Patterns'!$A$2:$A$120,B8294)),0),0)),""))</f>
        <v/>
      </c>
      <c r="D8294">
        <f>IF(B8294="","",IF(C8294&lt;&gt;"","REMOVE","KEEP"))</f>
        <v/>
      </c>
      <c r="E8294">
        <f>IF(D8294&lt;&gt;"KEEP","",IF(RIGHT(B8294,10)="@gmail.com","Gmail",IF(OR(RIGHT(B8294,12)="@outlook.com",RIGHT(B8294,12)="@hotmail.com",RIGHT(B8294,9)="@live.com"),"Outlook","Domain")))</f>
        <v/>
      </c>
      <c r="F8294">
        <f>IF(B8294="","",IFERROR(RIGHT(B8294,LEN(B8294)-FIND("@",B8294)),""))</f>
        <v/>
      </c>
      <c r="G8294">
        <f>IF(D8294="KEEP",COUNTIF($D$2:D8294,"KEEP"),"")</f>
        <v/>
      </c>
      <c r="H8294">
        <f>IF(D8294="REMOVE",COUNTIF($D$2:D8294,"REMOVE"),"")</f>
        <v/>
      </c>
      <c r="I8294">
        <f>IF(E8294="Gmail",COUNTIF($E$2:E8294,"Gmail"),"")</f>
        <v/>
      </c>
      <c r="J8294">
        <f>IF(E8294="Outlook",COUNTIF($E$2:E8294,"Outlook"),"")</f>
        <v/>
      </c>
      <c r="K8294">
        <f>IF(E8294="Domain",COUNTIF($E$2:E8294,"Domain"),"")</f>
        <v/>
      </c>
    </row>
    <row r="8295">
      <c r="A8295" s="2" t="n"/>
      <c r="B8295">
        <f>LOWER(TRIM(A8295))</f>
        <v/>
      </c>
      <c r="C8295">
        <f>IF(B8295="","",IFERROR(INDEX('Bad Patterns'!$A$2:$A$120,MATCH(1,INDEX(--ISNUMBER(SEARCH('Bad Patterns'!$A$2:$A$120,B8295)),0),0)),""))</f>
        <v/>
      </c>
      <c r="D8295">
        <f>IF(B8295="","",IF(C8295&lt;&gt;"","REMOVE","KEEP"))</f>
        <v/>
      </c>
      <c r="E8295">
        <f>IF(D8295&lt;&gt;"KEEP","",IF(RIGHT(B8295,10)="@gmail.com","Gmail",IF(OR(RIGHT(B8295,12)="@outlook.com",RIGHT(B8295,12)="@hotmail.com",RIGHT(B8295,9)="@live.com"),"Outlook","Domain")))</f>
        <v/>
      </c>
      <c r="F8295">
        <f>IF(B8295="","",IFERROR(RIGHT(B8295,LEN(B8295)-FIND("@",B8295)),""))</f>
        <v/>
      </c>
      <c r="G8295">
        <f>IF(D8295="KEEP",COUNTIF($D$2:D8295,"KEEP"),"")</f>
        <v/>
      </c>
      <c r="H8295">
        <f>IF(D8295="REMOVE",COUNTIF($D$2:D8295,"REMOVE"),"")</f>
        <v/>
      </c>
      <c r="I8295">
        <f>IF(E8295="Gmail",COUNTIF($E$2:E8295,"Gmail"),"")</f>
        <v/>
      </c>
      <c r="J8295">
        <f>IF(E8295="Outlook",COUNTIF($E$2:E8295,"Outlook"),"")</f>
        <v/>
      </c>
      <c r="K8295">
        <f>IF(E8295="Domain",COUNTIF($E$2:E8295,"Domain"),"")</f>
        <v/>
      </c>
    </row>
    <row r="8296">
      <c r="A8296" s="2" t="n"/>
      <c r="B8296">
        <f>LOWER(TRIM(A8296))</f>
        <v/>
      </c>
      <c r="C8296">
        <f>IF(B8296="","",IFERROR(INDEX('Bad Patterns'!$A$2:$A$120,MATCH(1,INDEX(--ISNUMBER(SEARCH('Bad Patterns'!$A$2:$A$120,B8296)),0),0)),""))</f>
        <v/>
      </c>
      <c r="D8296">
        <f>IF(B8296="","",IF(C8296&lt;&gt;"","REMOVE","KEEP"))</f>
        <v/>
      </c>
      <c r="E8296">
        <f>IF(D8296&lt;&gt;"KEEP","",IF(RIGHT(B8296,10)="@gmail.com","Gmail",IF(OR(RIGHT(B8296,12)="@outlook.com",RIGHT(B8296,12)="@hotmail.com",RIGHT(B8296,9)="@live.com"),"Outlook","Domain")))</f>
        <v/>
      </c>
      <c r="F8296">
        <f>IF(B8296="","",IFERROR(RIGHT(B8296,LEN(B8296)-FIND("@",B8296)),""))</f>
        <v/>
      </c>
      <c r="G8296">
        <f>IF(D8296="KEEP",COUNTIF($D$2:D8296,"KEEP"),"")</f>
        <v/>
      </c>
      <c r="H8296">
        <f>IF(D8296="REMOVE",COUNTIF($D$2:D8296,"REMOVE"),"")</f>
        <v/>
      </c>
      <c r="I8296">
        <f>IF(E8296="Gmail",COUNTIF($E$2:E8296,"Gmail"),"")</f>
        <v/>
      </c>
      <c r="J8296">
        <f>IF(E8296="Outlook",COUNTIF($E$2:E8296,"Outlook"),"")</f>
        <v/>
      </c>
      <c r="K8296">
        <f>IF(E8296="Domain",COUNTIF($E$2:E8296,"Domain"),"")</f>
        <v/>
      </c>
    </row>
    <row r="8297">
      <c r="A8297" s="2" t="n"/>
      <c r="B8297">
        <f>LOWER(TRIM(A8297))</f>
        <v/>
      </c>
      <c r="C8297">
        <f>IF(B8297="","",IFERROR(INDEX('Bad Patterns'!$A$2:$A$120,MATCH(1,INDEX(--ISNUMBER(SEARCH('Bad Patterns'!$A$2:$A$120,B8297)),0),0)),""))</f>
        <v/>
      </c>
      <c r="D8297">
        <f>IF(B8297="","",IF(C8297&lt;&gt;"","REMOVE","KEEP"))</f>
        <v/>
      </c>
      <c r="E8297">
        <f>IF(D8297&lt;&gt;"KEEP","",IF(RIGHT(B8297,10)="@gmail.com","Gmail",IF(OR(RIGHT(B8297,12)="@outlook.com",RIGHT(B8297,12)="@hotmail.com",RIGHT(B8297,9)="@live.com"),"Outlook","Domain")))</f>
        <v/>
      </c>
      <c r="F8297">
        <f>IF(B8297="","",IFERROR(RIGHT(B8297,LEN(B8297)-FIND("@",B8297)),""))</f>
        <v/>
      </c>
      <c r="G8297">
        <f>IF(D8297="KEEP",COUNTIF($D$2:D8297,"KEEP"),"")</f>
        <v/>
      </c>
      <c r="H8297">
        <f>IF(D8297="REMOVE",COUNTIF($D$2:D8297,"REMOVE"),"")</f>
        <v/>
      </c>
      <c r="I8297">
        <f>IF(E8297="Gmail",COUNTIF($E$2:E8297,"Gmail"),"")</f>
        <v/>
      </c>
      <c r="J8297">
        <f>IF(E8297="Outlook",COUNTIF($E$2:E8297,"Outlook"),"")</f>
        <v/>
      </c>
      <c r="K8297">
        <f>IF(E8297="Domain",COUNTIF($E$2:E8297,"Domain"),"")</f>
        <v/>
      </c>
    </row>
    <row r="8298">
      <c r="A8298" s="2" t="n"/>
      <c r="B8298">
        <f>LOWER(TRIM(A8298))</f>
        <v/>
      </c>
      <c r="C8298">
        <f>IF(B8298="","",IFERROR(INDEX('Bad Patterns'!$A$2:$A$120,MATCH(1,INDEX(--ISNUMBER(SEARCH('Bad Patterns'!$A$2:$A$120,B8298)),0),0)),""))</f>
        <v/>
      </c>
      <c r="D8298">
        <f>IF(B8298="","",IF(C8298&lt;&gt;"","REMOVE","KEEP"))</f>
        <v/>
      </c>
      <c r="E8298">
        <f>IF(D8298&lt;&gt;"KEEP","",IF(RIGHT(B8298,10)="@gmail.com","Gmail",IF(OR(RIGHT(B8298,12)="@outlook.com",RIGHT(B8298,12)="@hotmail.com",RIGHT(B8298,9)="@live.com"),"Outlook","Domain")))</f>
        <v/>
      </c>
      <c r="F8298">
        <f>IF(B8298="","",IFERROR(RIGHT(B8298,LEN(B8298)-FIND("@",B8298)),""))</f>
        <v/>
      </c>
      <c r="G8298">
        <f>IF(D8298="KEEP",COUNTIF($D$2:D8298,"KEEP"),"")</f>
        <v/>
      </c>
      <c r="H8298">
        <f>IF(D8298="REMOVE",COUNTIF($D$2:D8298,"REMOVE"),"")</f>
        <v/>
      </c>
      <c r="I8298">
        <f>IF(E8298="Gmail",COUNTIF($E$2:E8298,"Gmail"),"")</f>
        <v/>
      </c>
      <c r="J8298">
        <f>IF(E8298="Outlook",COUNTIF($E$2:E8298,"Outlook"),"")</f>
        <v/>
      </c>
      <c r="K8298">
        <f>IF(E8298="Domain",COUNTIF($E$2:E8298,"Domain"),"")</f>
        <v/>
      </c>
    </row>
    <row r="8299">
      <c r="A8299" s="2" t="n"/>
      <c r="B8299">
        <f>LOWER(TRIM(A8299))</f>
        <v/>
      </c>
      <c r="C8299">
        <f>IF(B8299="","",IFERROR(INDEX('Bad Patterns'!$A$2:$A$120,MATCH(1,INDEX(--ISNUMBER(SEARCH('Bad Patterns'!$A$2:$A$120,B8299)),0),0)),""))</f>
        <v/>
      </c>
      <c r="D8299">
        <f>IF(B8299="","",IF(C8299&lt;&gt;"","REMOVE","KEEP"))</f>
        <v/>
      </c>
      <c r="E8299">
        <f>IF(D8299&lt;&gt;"KEEP","",IF(RIGHT(B8299,10)="@gmail.com","Gmail",IF(OR(RIGHT(B8299,12)="@outlook.com",RIGHT(B8299,12)="@hotmail.com",RIGHT(B8299,9)="@live.com"),"Outlook","Domain")))</f>
        <v/>
      </c>
      <c r="F8299">
        <f>IF(B8299="","",IFERROR(RIGHT(B8299,LEN(B8299)-FIND("@",B8299)),""))</f>
        <v/>
      </c>
      <c r="G8299">
        <f>IF(D8299="KEEP",COUNTIF($D$2:D8299,"KEEP"),"")</f>
        <v/>
      </c>
      <c r="H8299">
        <f>IF(D8299="REMOVE",COUNTIF($D$2:D8299,"REMOVE"),"")</f>
        <v/>
      </c>
      <c r="I8299">
        <f>IF(E8299="Gmail",COUNTIF($E$2:E8299,"Gmail"),"")</f>
        <v/>
      </c>
      <c r="J8299">
        <f>IF(E8299="Outlook",COUNTIF($E$2:E8299,"Outlook"),"")</f>
        <v/>
      </c>
      <c r="K8299">
        <f>IF(E8299="Domain",COUNTIF($E$2:E8299,"Domain"),"")</f>
        <v/>
      </c>
    </row>
    <row r="8300">
      <c r="A8300" s="2" t="n"/>
      <c r="B8300">
        <f>LOWER(TRIM(A8300))</f>
        <v/>
      </c>
      <c r="C8300">
        <f>IF(B8300="","",IFERROR(INDEX('Bad Patterns'!$A$2:$A$120,MATCH(1,INDEX(--ISNUMBER(SEARCH('Bad Patterns'!$A$2:$A$120,B8300)),0),0)),""))</f>
        <v/>
      </c>
      <c r="D8300">
        <f>IF(B8300="","",IF(C8300&lt;&gt;"","REMOVE","KEEP"))</f>
        <v/>
      </c>
      <c r="E8300">
        <f>IF(D8300&lt;&gt;"KEEP","",IF(RIGHT(B8300,10)="@gmail.com","Gmail",IF(OR(RIGHT(B8300,12)="@outlook.com",RIGHT(B8300,12)="@hotmail.com",RIGHT(B8300,9)="@live.com"),"Outlook","Domain")))</f>
        <v/>
      </c>
      <c r="F8300">
        <f>IF(B8300="","",IFERROR(RIGHT(B8300,LEN(B8300)-FIND("@",B8300)),""))</f>
        <v/>
      </c>
      <c r="G8300">
        <f>IF(D8300="KEEP",COUNTIF($D$2:D8300,"KEEP"),"")</f>
        <v/>
      </c>
      <c r="H8300">
        <f>IF(D8300="REMOVE",COUNTIF($D$2:D8300,"REMOVE"),"")</f>
        <v/>
      </c>
      <c r="I8300">
        <f>IF(E8300="Gmail",COUNTIF($E$2:E8300,"Gmail"),"")</f>
        <v/>
      </c>
      <c r="J8300">
        <f>IF(E8300="Outlook",COUNTIF($E$2:E8300,"Outlook"),"")</f>
        <v/>
      </c>
      <c r="K8300">
        <f>IF(E8300="Domain",COUNTIF($E$2:E8300,"Domain"),"")</f>
        <v/>
      </c>
    </row>
    <row r="8301">
      <c r="A8301" s="2" t="n"/>
      <c r="B8301">
        <f>LOWER(TRIM(A8301))</f>
        <v/>
      </c>
      <c r="C8301">
        <f>IF(B8301="","",IFERROR(INDEX('Bad Patterns'!$A$2:$A$120,MATCH(1,INDEX(--ISNUMBER(SEARCH('Bad Patterns'!$A$2:$A$120,B8301)),0),0)),""))</f>
        <v/>
      </c>
      <c r="D8301">
        <f>IF(B8301="","",IF(C8301&lt;&gt;"","REMOVE","KEEP"))</f>
        <v/>
      </c>
      <c r="E8301">
        <f>IF(D8301&lt;&gt;"KEEP","",IF(RIGHT(B8301,10)="@gmail.com","Gmail",IF(OR(RIGHT(B8301,12)="@outlook.com",RIGHT(B8301,12)="@hotmail.com",RIGHT(B8301,9)="@live.com"),"Outlook","Domain")))</f>
        <v/>
      </c>
      <c r="F8301">
        <f>IF(B8301="","",IFERROR(RIGHT(B8301,LEN(B8301)-FIND("@",B8301)),""))</f>
        <v/>
      </c>
      <c r="G8301">
        <f>IF(D8301="KEEP",COUNTIF($D$2:D8301,"KEEP"),"")</f>
        <v/>
      </c>
      <c r="H8301">
        <f>IF(D8301="REMOVE",COUNTIF($D$2:D8301,"REMOVE"),"")</f>
        <v/>
      </c>
      <c r="I8301">
        <f>IF(E8301="Gmail",COUNTIF($E$2:E8301,"Gmail"),"")</f>
        <v/>
      </c>
      <c r="J8301">
        <f>IF(E8301="Outlook",COUNTIF($E$2:E8301,"Outlook"),"")</f>
        <v/>
      </c>
      <c r="K8301">
        <f>IF(E8301="Domain",COUNTIF($E$2:E8301,"Domain"),"")</f>
        <v/>
      </c>
    </row>
    <row r="8302">
      <c r="A8302" s="2" t="n"/>
      <c r="B8302">
        <f>LOWER(TRIM(A8302))</f>
        <v/>
      </c>
      <c r="C8302">
        <f>IF(B8302="","",IFERROR(INDEX('Bad Patterns'!$A$2:$A$120,MATCH(1,INDEX(--ISNUMBER(SEARCH('Bad Patterns'!$A$2:$A$120,B8302)),0),0)),""))</f>
        <v/>
      </c>
      <c r="D8302">
        <f>IF(B8302="","",IF(C8302&lt;&gt;"","REMOVE","KEEP"))</f>
        <v/>
      </c>
      <c r="E8302">
        <f>IF(D8302&lt;&gt;"KEEP","",IF(RIGHT(B8302,10)="@gmail.com","Gmail",IF(OR(RIGHT(B8302,12)="@outlook.com",RIGHT(B8302,12)="@hotmail.com",RIGHT(B8302,9)="@live.com"),"Outlook","Domain")))</f>
        <v/>
      </c>
      <c r="F8302">
        <f>IF(B8302="","",IFERROR(RIGHT(B8302,LEN(B8302)-FIND("@",B8302)),""))</f>
        <v/>
      </c>
      <c r="G8302">
        <f>IF(D8302="KEEP",COUNTIF($D$2:D8302,"KEEP"),"")</f>
        <v/>
      </c>
      <c r="H8302">
        <f>IF(D8302="REMOVE",COUNTIF($D$2:D8302,"REMOVE"),"")</f>
        <v/>
      </c>
      <c r="I8302">
        <f>IF(E8302="Gmail",COUNTIF($E$2:E8302,"Gmail"),"")</f>
        <v/>
      </c>
      <c r="J8302">
        <f>IF(E8302="Outlook",COUNTIF($E$2:E8302,"Outlook"),"")</f>
        <v/>
      </c>
      <c r="K8302">
        <f>IF(E8302="Domain",COUNTIF($E$2:E8302,"Domain"),"")</f>
        <v/>
      </c>
    </row>
    <row r="8303">
      <c r="A8303" s="2" t="n"/>
      <c r="B8303">
        <f>LOWER(TRIM(A8303))</f>
        <v/>
      </c>
      <c r="C8303">
        <f>IF(B8303="","",IFERROR(INDEX('Bad Patterns'!$A$2:$A$120,MATCH(1,INDEX(--ISNUMBER(SEARCH('Bad Patterns'!$A$2:$A$120,B8303)),0),0)),""))</f>
        <v/>
      </c>
      <c r="D8303">
        <f>IF(B8303="","",IF(C8303&lt;&gt;"","REMOVE","KEEP"))</f>
        <v/>
      </c>
      <c r="E8303">
        <f>IF(D8303&lt;&gt;"KEEP","",IF(RIGHT(B8303,10)="@gmail.com","Gmail",IF(OR(RIGHT(B8303,12)="@outlook.com",RIGHT(B8303,12)="@hotmail.com",RIGHT(B8303,9)="@live.com"),"Outlook","Domain")))</f>
        <v/>
      </c>
      <c r="F8303">
        <f>IF(B8303="","",IFERROR(RIGHT(B8303,LEN(B8303)-FIND("@",B8303)),""))</f>
        <v/>
      </c>
      <c r="G8303">
        <f>IF(D8303="KEEP",COUNTIF($D$2:D8303,"KEEP"),"")</f>
        <v/>
      </c>
      <c r="H8303">
        <f>IF(D8303="REMOVE",COUNTIF($D$2:D8303,"REMOVE"),"")</f>
        <v/>
      </c>
      <c r="I8303">
        <f>IF(E8303="Gmail",COUNTIF($E$2:E8303,"Gmail"),"")</f>
        <v/>
      </c>
      <c r="J8303">
        <f>IF(E8303="Outlook",COUNTIF($E$2:E8303,"Outlook"),"")</f>
        <v/>
      </c>
      <c r="K8303">
        <f>IF(E8303="Domain",COUNTIF($E$2:E8303,"Domain"),"")</f>
        <v/>
      </c>
    </row>
    <row r="8304">
      <c r="A8304" s="2" t="n"/>
      <c r="B8304">
        <f>LOWER(TRIM(A8304))</f>
        <v/>
      </c>
      <c r="C8304">
        <f>IF(B8304="","",IFERROR(INDEX('Bad Patterns'!$A$2:$A$120,MATCH(1,INDEX(--ISNUMBER(SEARCH('Bad Patterns'!$A$2:$A$120,B8304)),0),0)),""))</f>
        <v/>
      </c>
      <c r="D8304">
        <f>IF(B8304="","",IF(C8304&lt;&gt;"","REMOVE","KEEP"))</f>
        <v/>
      </c>
      <c r="E8304">
        <f>IF(D8304&lt;&gt;"KEEP","",IF(RIGHT(B8304,10)="@gmail.com","Gmail",IF(OR(RIGHT(B8304,12)="@outlook.com",RIGHT(B8304,12)="@hotmail.com",RIGHT(B8304,9)="@live.com"),"Outlook","Domain")))</f>
        <v/>
      </c>
      <c r="F8304">
        <f>IF(B8304="","",IFERROR(RIGHT(B8304,LEN(B8304)-FIND("@",B8304)),""))</f>
        <v/>
      </c>
      <c r="G8304">
        <f>IF(D8304="KEEP",COUNTIF($D$2:D8304,"KEEP"),"")</f>
        <v/>
      </c>
      <c r="H8304">
        <f>IF(D8304="REMOVE",COUNTIF($D$2:D8304,"REMOVE"),"")</f>
        <v/>
      </c>
      <c r="I8304">
        <f>IF(E8304="Gmail",COUNTIF($E$2:E8304,"Gmail"),"")</f>
        <v/>
      </c>
      <c r="J8304">
        <f>IF(E8304="Outlook",COUNTIF($E$2:E8304,"Outlook"),"")</f>
        <v/>
      </c>
      <c r="K8304">
        <f>IF(E8304="Domain",COUNTIF($E$2:E8304,"Domain"),"")</f>
        <v/>
      </c>
    </row>
    <row r="8305">
      <c r="A8305" s="2" t="n"/>
      <c r="B8305">
        <f>LOWER(TRIM(A8305))</f>
        <v/>
      </c>
      <c r="C8305">
        <f>IF(B8305="","",IFERROR(INDEX('Bad Patterns'!$A$2:$A$120,MATCH(1,INDEX(--ISNUMBER(SEARCH('Bad Patterns'!$A$2:$A$120,B8305)),0),0)),""))</f>
        <v/>
      </c>
      <c r="D8305">
        <f>IF(B8305="","",IF(C8305&lt;&gt;"","REMOVE","KEEP"))</f>
        <v/>
      </c>
      <c r="E8305">
        <f>IF(D8305&lt;&gt;"KEEP","",IF(RIGHT(B8305,10)="@gmail.com","Gmail",IF(OR(RIGHT(B8305,12)="@outlook.com",RIGHT(B8305,12)="@hotmail.com",RIGHT(B8305,9)="@live.com"),"Outlook","Domain")))</f>
        <v/>
      </c>
      <c r="F8305">
        <f>IF(B8305="","",IFERROR(RIGHT(B8305,LEN(B8305)-FIND("@",B8305)),""))</f>
        <v/>
      </c>
      <c r="G8305">
        <f>IF(D8305="KEEP",COUNTIF($D$2:D8305,"KEEP"),"")</f>
        <v/>
      </c>
      <c r="H8305">
        <f>IF(D8305="REMOVE",COUNTIF($D$2:D8305,"REMOVE"),"")</f>
        <v/>
      </c>
      <c r="I8305">
        <f>IF(E8305="Gmail",COUNTIF($E$2:E8305,"Gmail"),"")</f>
        <v/>
      </c>
      <c r="J8305">
        <f>IF(E8305="Outlook",COUNTIF($E$2:E8305,"Outlook"),"")</f>
        <v/>
      </c>
      <c r="K8305">
        <f>IF(E8305="Domain",COUNTIF($E$2:E8305,"Domain"),"")</f>
        <v/>
      </c>
    </row>
    <row r="8306">
      <c r="A8306" s="2" t="n"/>
      <c r="B8306">
        <f>LOWER(TRIM(A8306))</f>
        <v/>
      </c>
      <c r="C8306">
        <f>IF(B8306="","",IFERROR(INDEX('Bad Patterns'!$A$2:$A$120,MATCH(1,INDEX(--ISNUMBER(SEARCH('Bad Patterns'!$A$2:$A$120,B8306)),0),0)),""))</f>
        <v/>
      </c>
      <c r="D8306">
        <f>IF(B8306="","",IF(C8306&lt;&gt;"","REMOVE","KEEP"))</f>
        <v/>
      </c>
      <c r="E8306">
        <f>IF(D8306&lt;&gt;"KEEP","",IF(RIGHT(B8306,10)="@gmail.com","Gmail",IF(OR(RIGHT(B8306,12)="@outlook.com",RIGHT(B8306,12)="@hotmail.com",RIGHT(B8306,9)="@live.com"),"Outlook","Domain")))</f>
        <v/>
      </c>
      <c r="F8306">
        <f>IF(B8306="","",IFERROR(RIGHT(B8306,LEN(B8306)-FIND("@",B8306)),""))</f>
        <v/>
      </c>
      <c r="G8306">
        <f>IF(D8306="KEEP",COUNTIF($D$2:D8306,"KEEP"),"")</f>
        <v/>
      </c>
      <c r="H8306">
        <f>IF(D8306="REMOVE",COUNTIF($D$2:D8306,"REMOVE"),"")</f>
        <v/>
      </c>
      <c r="I8306">
        <f>IF(E8306="Gmail",COUNTIF($E$2:E8306,"Gmail"),"")</f>
        <v/>
      </c>
      <c r="J8306">
        <f>IF(E8306="Outlook",COUNTIF($E$2:E8306,"Outlook"),"")</f>
        <v/>
      </c>
      <c r="K8306">
        <f>IF(E8306="Domain",COUNTIF($E$2:E8306,"Domain"),"")</f>
        <v/>
      </c>
    </row>
    <row r="8307">
      <c r="A8307" s="2" t="n"/>
      <c r="B8307">
        <f>LOWER(TRIM(A8307))</f>
        <v/>
      </c>
      <c r="C8307">
        <f>IF(B8307="","",IFERROR(INDEX('Bad Patterns'!$A$2:$A$120,MATCH(1,INDEX(--ISNUMBER(SEARCH('Bad Patterns'!$A$2:$A$120,B8307)),0),0)),""))</f>
        <v/>
      </c>
      <c r="D8307">
        <f>IF(B8307="","",IF(C8307&lt;&gt;"","REMOVE","KEEP"))</f>
        <v/>
      </c>
      <c r="E8307">
        <f>IF(D8307&lt;&gt;"KEEP","",IF(RIGHT(B8307,10)="@gmail.com","Gmail",IF(OR(RIGHT(B8307,12)="@outlook.com",RIGHT(B8307,12)="@hotmail.com",RIGHT(B8307,9)="@live.com"),"Outlook","Domain")))</f>
        <v/>
      </c>
      <c r="F8307">
        <f>IF(B8307="","",IFERROR(RIGHT(B8307,LEN(B8307)-FIND("@",B8307)),""))</f>
        <v/>
      </c>
      <c r="G8307">
        <f>IF(D8307="KEEP",COUNTIF($D$2:D8307,"KEEP"),"")</f>
        <v/>
      </c>
      <c r="H8307">
        <f>IF(D8307="REMOVE",COUNTIF($D$2:D8307,"REMOVE"),"")</f>
        <v/>
      </c>
      <c r="I8307">
        <f>IF(E8307="Gmail",COUNTIF($E$2:E8307,"Gmail"),"")</f>
        <v/>
      </c>
      <c r="J8307">
        <f>IF(E8307="Outlook",COUNTIF($E$2:E8307,"Outlook"),"")</f>
        <v/>
      </c>
      <c r="K8307">
        <f>IF(E8307="Domain",COUNTIF($E$2:E8307,"Domain"),"")</f>
        <v/>
      </c>
    </row>
    <row r="8308">
      <c r="A8308" s="2" t="n"/>
      <c r="B8308">
        <f>LOWER(TRIM(A8308))</f>
        <v/>
      </c>
      <c r="C8308">
        <f>IF(B8308="","",IFERROR(INDEX('Bad Patterns'!$A$2:$A$120,MATCH(1,INDEX(--ISNUMBER(SEARCH('Bad Patterns'!$A$2:$A$120,B8308)),0),0)),""))</f>
        <v/>
      </c>
      <c r="D8308">
        <f>IF(B8308="","",IF(C8308&lt;&gt;"","REMOVE","KEEP"))</f>
        <v/>
      </c>
      <c r="E8308">
        <f>IF(D8308&lt;&gt;"KEEP","",IF(RIGHT(B8308,10)="@gmail.com","Gmail",IF(OR(RIGHT(B8308,12)="@outlook.com",RIGHT(B8308,12)="@hotmail.com",RIGHT(B8308,9)="@live.com"),"Outlook","Domain")))</f>
        <v/>
      </c>
      <c r="F8308">
        <f>IF(B8308="","",IFERROR(RIGHT(B8308,LEN(B8308)-FIND("@",B8308)),""))</f>
        <v/>
      </c>
      <c r="G8308">
        <f>IF(D8308="KEEP",COUNTIF($D$2:D8308,"KEEP"),"")</f>
        <v/>
      </c>
      <c r="H8308">
        <f>IF(D8308="REMOVE",COUNTIF($D$2:D8308,"REMOVE"),"")</f>
        <v/>
      </c>
      <c r="I8308">
        <f>IF(E8308="Gmail",COUNTIF($E$2:E8308,"Gmail"),"")</f>
        <v/>
      </c>
      <c r="J8308">
        <f>IF(E8308="Outlook",COUNTIF($E$2:E8308,"Outlook"),"")</f>
        <v/>
      </c>
      <c r="K8308">
        <f>IF(E8308="Domain",COUNTIF($E$2:E8308,"Domain"),"")</f>
        <v/>
      </c>
    </row>
    <row r="8309">
      <c r="A8309" s="2" t="n"/>
      <c r="B8309">
        <f>LOWER(TRIM(A8309))</f>
        <v/>
      </c>
      <c r="C8309">
        <f>IF(B8309="","",IFERROR(INDEX('Bad Patterns'!$A$2:$A$120,MATCH(1,INDEX(--ISNUMBER(SEARCH('Bad Patterns'!$A$2:$A$120,B8309)),0),0)),""))</f>
        <v/>
      </c>
      <c r="D8309">
        <f>IF(B8309="","",IF(C8309&lt;&gt;"","REMOVE","KEEP"))</f>
        <v/>
      </c>
      <c r="E8309">
        <f>IF(D8309&lt;&gt;"KEEP","",IF(RIGHT(B8309,10)="@gmail.com","Gmail",IF(OR(RIGHT(B8309,12)="@outlook.com",RIGHT(B8309,12)="@hotmail.com",RIGHT(B8309,9)="@live.com"),"Outlook","Domain")))</f>
        <v/>
      </c>
      <c r="F8309">
        <f>IF(B8309="","",IFERROR(RIGHT(B8309,LEN(B8309)-FIND("@",B8309)),""))</f>
        <v/>
      </c>
      <c r="G8309">
        <f>IF(D8309="KEEP",COUNTIF($D$2:D8309,"KEEP"),"")</f>
        <v/>
      </c>
      <c r="H8309">
        <f>IF(D8309="REMOVE",COUNTIF($D$2:D8309,"REMOVE"),"")</f>
        <v/>
      </c>
      <c r="I8309">
        <f>IF(E8309="Gmail",COUNTIF($E$2:E8309,"Gmail"),"")</f>
        <v/>
      </c>
      <c r="J8309">
        <f>IF(E8309="Outlook",COUNTIF($E$2:E8309,"Outlook"),"")</f>
        <v/>
      </c>
      <c r="K8309">
        <f>IF(E8309="Domain",COUNTIF($E$2:E8309,"Domain"),"")</f>
        <v/>
      </c>
    </row>
    <row r="8310">
      <c r="A8310" s="2" t="n"/>
      <c r="B8310">
        <f>LOWER(TRIM(A8310))</f>
        <v/>
      </c>
      <c r="C8310">
        <f>IF(B8310="","",IFERROR(INDEX('Bad Patterns'!$A$2:$A$120,MATCH(1,INDEX(--ISNUMBER(SEARCH('Bad Patterns'!$A$2:$A$120,B8310)),0),0)),""))</f>
        <v/>
      </c>
      <c r="D8310">
        <f>IF(B8310="","",IF(C8310&lt;&gt;"","REMOVE","KEEP"))</f>
        <v/>
      </c>
      <c r="E8310">
        <f>IF(D8310&lt;&gt;"KEEP","",IF(RIGHT(B8310,10)="@gmail.com","Gmail",IF(OR(RIGHT(B8310,12)="@outlook.com",RIGHT(B8310,12)="@hotmail.com",RIGHT(B8310,9)="@live.com"),"Outlook","Domain")))</f>
        <v/>
      </c>
      <c r="F8310">
        <f>IF(B8310="","",IFERROR(RIGHT(B8310,LEN(B8310)-FIND("@",B8310)),""))</f>
        <v/>
      </c>
      <c r="G8310">
        <f>IF(D8310="KEEP",COUNTIF($D$2:D8310,"KEEP"),"")</f>
        <v/>
      </c>
      <c r="H8310">
        <f>IF(D8310="REMOVE",COUNTIF($D$2:D8310,"REMOVE"),"")</f>
        <v/>
      </c>
      <c r="I8310">
        <f>IF(E8310="Gmail",COUNTIF($E$2:E8310,"Gmail"),"")</f>
        <v/>
      </c>
      <c r="J8310">
        <f>IF(E8310="Outlook",COUNTIF($E$2:E8310,"Outlook"),"")</f>
        <v/>
      </c>
      <c r="K8310">
        <f>IF(E8310="Domain",COUNTIF($E$2:E8310,"Domain"),"")</f>
        <v/>
      </c>
    </row>
    <row r="8311">
      <c r="A8311" s="2" t="n"/>
      <c r="B8311">
        <f>LOWER(TRIM(A8311))</f>
        <v/>
      </c>
      <c r="C8311">
        <f>IF(B8311="","",IFERROR(INDEX('Bad Patterns'!$A$2:$A$120,MATCH(1,INDEX(--ISNUMBER(SEARCH('Bad Patterns'!$A$2:$A$120,B8311)),0),0)),""))</f>
        <v/>
      </c>
      <c r="D8311">
        <f>IF(B8311="","",IF(C8311&lt;&gt;"","REMOVE","KEEP"))</f>
        <v/>
      </c>
      <c r="E8311">
        <f>IF(D8311&lt;&gt;"KEEP","",IF(RIGHT(B8311,10)="@gmail.com","Gmail",IF(OR(RIGHT(B8311,12)="@outlook.com",RIGHT(B8311,12)="@hotmail.com",RIGHT(B8311,9)="@live.com"),"Outlook","Domain")))</f>
        <v/>
      </c>
      <c r="F8311">
        <f>IF(B8311="","",IFERROR(RIGHT(B8311,LEN(B8311)-FIND("@",B8311)),""))</f>
        <v/>
      </c>
      <c r="G8311">
        <f>IF(D8311="KEEP",COUNTIF($D$2:D8311,"KEEP"),"")</f>
        <v/>
      </c>
      <c r="H8311">
        <f>IF(D8311="REMOVE",COUNTIF($D$2:D8311,"REMOVE"),"")</f>
        <v/>
      </c>
      <c r="I8311">
        <f>IF(E8311="Gmail",COUNTIF($E$2:E8311,"Gmail"),"")</f>
        <v/>
      </c>
      <c r="J8311">
        <f>IF(E8311="Outlook",COUNTIF($E$2:E8311,"Outlook"),"")</f>
        <v/>
      </c>
      <c r="K8311">
        <f>IF(E8311="Domain",COUNTIF($E$2:E8311,"Domain"),"")</f>
        <v/>
      </c>
    </row>
    <row r="8312">
      <c r="A8312" s="2" t="n"/>
      <c r="B8312">
        <f>LOWER(TRIM(A8312))</f>
        <v/>
      </c>
      <c r="C8312">
        <f>IF(B8312="","",IFERROR(INDEX('Bad Patterns'!$A$2:$A$120,MATCH(1,INDEX(--ISNUMBER(SEARCH('Bad Patterns'!$A$2:$A$120,B8312)),0),0)),""))</f>
        <v/>
      </c>
      <c r="D8312">
        <f>IF(B8312="","",IF(C8312&lt;&gt;"","REMOVE","KEEP"))</f>
        <v/>
      </c>
      <c r="E8312">
        <f>IF(D8312&lt;&gt;"KEEP","",IF(RIGHT(B8312,10)="@gmail.com","Gmail",IF(OR(RIGHT(B8312,12)="@outlook.com",RIGHT(B8312,12)="@hotmail.com",RIGHT(B8312,9)="@live.com"),"Outlook","Domain")))</f>
        <v/>
      </c>
      <c r="F8312">
        <f>IF(B8312="","",IFERROR(RIGHT(B8312,LEN(B8312)-FIND("@",B8312)),""))</f>
        <v/>
      </c>
      <c r="G8312">
        <f>IF(D8312="KEEP",COUNTIF($D$2:D8312,"KEEP"),"")</f>
        <v/>
      </c>
      <c r="H8312">
        <f>IF(D8312="REMOVE",COUNTIF($D$2:D8312,"REMOVE"),"")</f>
        <v/>
      </c>
      <c r="I8312">
        <f>IF(E8312="Gmail",COUNTIF($E$2:E8312,"Gmail"),"")</f>
        <v/>
      </c>
      <c r="J8312">
        <f>IF(E8312="Outlook",COUNTIF($E$2:E8312,"Outlook"),"")</f>
        <v/>
      </c>
      <c r="K8312">
        <f>IF(E8312="Domain",COUNTIF($E$2:E8312,"Domain"),"")</f>
        <v/>
      </c>
    </row>
    <row r="8313">
      <c r="A8313" s="2" t="n"/>
      <c r="B8313">
        <f>LOWER(TRIM(A8313))</f>
        <v/>
      </c>
      <c r="C8313">
        <f>IF(B8313="","",IFERROR(INDEX('Bad Patterns'!$A$2:$A$120,MATCH(1,INDEX(--ISNUMBER(SEARCH('Bad Patterns'!$A$2:$A$120,B8313)),0),0)),""))</f>
        <v/>
      </c>
      <c r="D8313">
        <f>IF(B8313="","",IF(C8313&lt;&gt;"","REMOVE","KEEP"))</f>
        <v/>
      </c>
      <c r="E8313">
        <f>IF(D8313&lt;&gt;"KEEP","",IF(RIGHT(B8313,10)="@gmail.com","Gmail",IF(OR(RIGHT(B8313,12)="@outlook.com",RIGHT(B8313,12)="@hotmail.com",RIGHT(B8313,9)="@live.com"),"Outlook","Domain")))</f>
        <v/>
      </c>
      <c r="F8313">
        <f>IF(B8313="","",IFERROR(RIGHT(B8313,LEN(B8313)-FIND("@",B8313)),""))</f>
        <v/>
      </c>
      <c r="G8313">
        <f>IF(D8313="KEEP",COUNTIF($D$2:D8313,"KEEP"),"")</f>
        <v/>
      </c>
      <c r="H8313">
        <f>IF(D8313="REMOVE",COUNTIF($D$2:D8313,"REMOVE"),"")</f>
        <v/>
      </c>
      <c r="I8313">
        <f>IF(E8313="Gmail",COUNTIF($E$2:E8313,"Gmail"),"")</f>
        <v/>
      </c>
      <c r="J8313">
        <f>IF(E8313="Outlook",COUNTIF($E$2:E8313,"Outlook"),"")</f>
        <v/>
      </c>
      <c r="K8313">
        <f>IF(E8313="Domain",COUNTIF($E$2:E8313,"Domain"),"")</f>
        <v/>
      </c>
    </row>
    <row r="8314">
      <c r="A8314" s="2" t="n"/>
      <c r="B8314">
        <f>LOWER(TRIM(A8314))</f>
        <v/>
      </c>
      <c r="C8314">
        <f>IF(B8314="","",IFERROR(INDEX('Bad Patterns'!$A$2:$A$120,MATCH(1,INDEX(--ISNUMBER(SEARCH('Bad Patterns'!$A$2:$A$120,B8314)),0),0)),""))</f>
        <v/>
      </c>
      <c r="D8314">
        <f>IF(B8314="","",IF(C8314&lt;&gt;"","REMOVE","KEEP"))</f>
        <v/>
      </c>
      <c r="E8314">
        <f>IF(D8314&lt;&gt;"KEEP","",IF(RIGHT(B8314,10)="@gmail.com","Gmail",IF(OR(RIGHT(B8314,12)="@outlook.com",RIGHT(B8314,12)="@hotmail.com",RIGHT(B8314,9)="@live.com"),"Outlook","Domain")))</f>
        <v/>
      </c>
      <c r="F8314">
        <f>IF(B8314="","",IFERROR(RIGHT(B8314,LEN(B8314)-FIND("@",B8314)),""))</f>
        <v/>
      </c>
      <c r="G8314">
        <f>IF(D8314="KEEP",COUNTIF($D$2:D8314,"KEEP"),"")</f>
        <v/>
      </c>
      <c r="H8314">
        <f>IF(D8314="REMOVE",COUNTIF($D$2:D8314,"REMOVE"),"")</f>
        <v/>
      </c>
      <c r="I8314">
        <f>IF(E8314="Gmail",COUNTIF($E$2:E8314,"Gmail"),"")</f>
        <v/>
      </c>
      <c r="J8314">
        <f>IF(E8314="Outlook",COUNTIF($E$2:E8314,"Outlook"),"")</f>
        <v/>
      </c>
      <c r="K8314">
        <f>IF(E8314="Domain",COUNTIF($E$2:E8314,"Domain"),"")</f>
        <v/>
      </c>
    </row>
    <row r="8315">
      <c r="A8315" s="2" t="n"/>
      <c r="B8315">
        <f>LOWER(TRIM(A8315))</f>
        <v/>
      </c>
      <c r="C8315">
        <f>IF(B8315="","",IFERROR(INDEX('Bad Patterns'!$A$2:$A$120,MATCH(1,INDEX(--ISNUMBER(SEARCH('Bad Patterns'!$A$2:$A$120,B8315)),0),0)),""))</f>
        <v/>
      </c>
      <c r="D8315">
        <f>IF(B8315="","",IF(C8315&lt;&gt;"","REMOVE","KEEP"))</f>
        <v/>
      </c>
      <c r="E8315">
        <f>IF(D8315&lt;&gt;"KEEP","",IF(RIGHT(B8315,10)="@gmail.com","Gmail",IF(OR(RIGHT(B8315,12)="@outlook.com",RIGHT(B8315,12)="@hotmail.com",RIGHT(B8315,9)="@live.com"),"Outlook","Domain")))</f>
        <v/>
      </c>
      <c r="F8315">
        <f>IF(B8315="","",IFERROR(RIGHT(B8315,LEN(B8315)-FIND("@",B8315)),""))</f>
        <v/>
      </c>
      <c r="G8315">
        <f>IF(D8315="KEEP",COUNTIF($D$2:D8315,"KEEP"),"")</f>
        <v/>
      </c>
      <c r="H8315">
        <f>IF(D8315="REMOVE",COUNTIF($D$2:D8315,"REMOVE"),"")</f>
        <v/>
      </c>
      <c r="I8315">
        <f>IF(E8315="Gmail",COUNTIF($E$2:E8315,"Gmail"),"")</f>
        <v/>
      </c>
      <c r="J8315">
        <f>IF(E8315="Outlook",COUNTIF($E$2:E8315,"Outlook"),"")</f>
        <v/>
      </c>
      <c r="K8315">
        <f>IF(E8315="Domain",COUNTIF($E$2:E8315,"Domain"),"")</f>
        <v/>
      </c>
    </row>
    <row r="8316">
      <c r="A8316" s="2" t="n"/>
      <c r="B8316">
        <f>LOWER(TRIM(A8316))</f>
        <v/>
      </c>
      <c r="C8316">
        <f>IF(B8316="","",IFERROR(INDEX('Bad Patterns'!$A$2:$A$120,MATCH(1,INDEX(--ISNUMBER(SEARCH('Bad Patterns'!$A$2:$A$120,B8316)),0),0)),""))</f>
        <v/>
      </c>
      <c r="D8316">
        <f>IF(B8316="","",IF(C8316&lt;&gt;"","REMOVE","KEEP"))</f>
        <v/>
      </c>
      <c r="E8316">
        <f>IF(D8316&lt;&gt;"KEEP","",IF(RIGHT(B8316,10)="@gmail.com","Gmail",IF(OR(RIGHT(B8316,12)="@outlook.com",RIGHT(B8316,12)="@hotmail.com",RIGHT(B8316,9)="@live.com"),"Outlook","Domain")))</f>
        <v/>
      </c>
      <c r="F8316">
        <f>IF(B8316="","",IFERROR(RIGHT(B8316,LEN(B8316)-FIND("@",B8316)),""))</f>
        <v/>
      </c>
      <c r="G8316">
        <f>IF(D8316="KEEP",COUNTIF($D$2:D8316,"KEEP"),"")</f>
        <v/>
      </c>
      <c r="H8316">
        <f>IF(D8316="REMOVE",COUNTIF($D$2:D8316,"REMOVE"),"")</f>
        <v/>
      </c>
      <c r="I8316">
        <f>IF(E8316="Gmail",COUNTIF($E$2:E8316,"Gmail"),"")</f>
        <v/>
      </c>
      <c r="J8316">
        <f>IF(E8316="Outlook",COUNTIF($E$2:E8316,"Outlook"),"")</f>
        <v/>
      </c>
      <c r="K8316">
        <f>IF(E8316="Domain",COUNTIF($E$2:E8316,"Domain"),"")</f>
        <v/>
      </c>
    </row>
    <row r="8317">
      <c r="A8317" s="2" t="n"/>
      <c r="B8317">
        <f>LOWER(TRIM(A8317))</f>
        <v/>
      </c>
      <c r="C8317">
        <f>IF(B8317="","",IFERROR(INDEX('Bad Patterns'!$A$2:$A$120,MATCH(1,INDEX(--ISNUMBER(SEARCH('Bad Patterns'!$A$2:$A$120,B8317)),0),0)),""))</f>
        <v/>
      </c>
      <c r="D8317">
        <f>IF(B8317="","",IF(C8317&lt;&gt;"","REMOVE","KEEP"))</f>
        <v/>
      </c>
      <c r="E8317">
        <f>IF(D8317&lt;&gt;"KEEP","",IF(RIGHT(B8317,10)="@gmail.com","Gmail",IF(OR(RIGHT(B8317,12)="@outlook.com",RIGHT(B8317,12)="@hotmail.com",RIGHT(B8317,9)="@live.com"),"Outlook","Domain")))</f>
        <v/>
      </c>
      <c r="F8317">
        <f>IF(B8317="","",IFERROR(RIGHT(B8317,LEN(B8317)-FIND("@",B8317)),""))</f>
        <v/>
      </c>
      <c r="G8317">
        <f>IF(D8317="KEEP",COUNTIF($D$2:D8317,"KEEP"),"")</f>
        <v/>
      </c>
      <c r="H8317">
        <f>IF(D8317="REMOVE",COUNTIF($D$2:D8317,"REMOVE"),"")</f>
        <v/>
      </c>
      <c r="I8317">
        <f>IF(E8317="Gmail",COUNTIF($E$2:E8317,"Gmail"),"")</f>
        <v/>
      </c>
      <c r="J8317">
        <f>IF(E8317="Outlook",COUNTIF($E$2:E8317,"Outlook"),"")</f>
        <v/>
      </c>
      <c r="K8317">
        <f>IF(E8317="Domain",COUNTIF($E$2:E8317,"Domain"),"")</f>
        <v/>
      </c>
    </row>
    <row r="8318">
      <c r="A8318" s="2" t="n"/>
      <c r="B8318">
        <f>LOWER(TRIM(A8318))</f>
        <v/>
      </c>
      <c r="C8318">
        <f>IF(B8318="","",IFERROR(INDEX('Bad Patterns'!$A$2:$A$120,MATCH(1,INDEX(--ISNUMBER(SEARCH('Bad Patterns'!$A$2:$A$120,B8318)),0),0)),""))</f>
        <v/>
      </c>
      <c r="D8318">
        <f>IF(B8318="","",IF(C8318&lt;&gt;"","REMOVE","KEEP"))</f>
        <v/>
      </c>
      <c r="E8318">
        <f>IF(D8318&lt;&gt;"KEEP","",IF(RIGHT(B8318,10)="@gmail.com","Gmail",IF(OR(RIGHT(B8318,12)="@outlook.com",RIGHT(B8318,12)="@hotmail.com",RIGHT(B8318,9)="@live.com"),"Outlook","Domain")))</f>
        <v/>
      </c>
      <c r="F8318">
        <f>IF(B8318="","",IFERROR(RIGHT(B8318,LEN(B8318)-FIND("@",B8318)),""))</f>
        <v/>
      </c>
      <c r="G8318">
        <f>IF(D8318="KEEP",COUNTIF($D$2:D8318,"KEEP"),"")</f>
        <v/>
      </c>
      <c r="H8318">
        <f>IF(D8318="REMOVE",COUNTIF($D$2:D8318,"REMOVE"),"")</f>
        <v/>
      </c>
      <c r="I8318">
        <f>IF(E8318="Gmail",COUNTIF($E$2:E8318,"Gmail"),"")</f>
        <v/>
      </c>
      <c r="J8318">
        <f>IF(E8318="Outlook",COUNTIF($E$2:E8318,"Outlook"),"")</f>
        <v/>
      </c>
      <c r="K8318">
        <f>IF(E8318="Domain",COUNTIF($E$2:E8318,"Domain"),"")</f>
        <v/>
      </c>
    </row>
    <row r="8319">
      <c r="A8319" s="2" t="n"/>
      <c r="B8319">
        <f>LOWER(TRIM(A8319))</f>
        <v/>
      </c>
      <c r="C8319">
        <f>IF(B8319="","",IFERROR(INDEX('Bad Patterns'!$A$2:$A$120,MATCH(1,INDEX(--ISNUMBER(SEARCH('Bad Patterns'!$A$2:$A$120,B8319)),0),0)),""))</f>
        <v/>
      </c>
      <c r="D8319">
        <f>IF(B8319="","",IF(C8319&lt;&gt;"","REMOVE","KEEP"))</f>
        <v/>
      </c>
      <c r="E8319">
        <f>IF(D8319&lt;&gt;"KEEP","",IF(RIGHT(B8319,10)="@gmail.com","Gmail",IF(OR(RIGHT(B8319,12)="@outlook.com",RIGHT(B8319,12)="@hotmail.com",RIGHT(B8319,9)="@live.com"),"Outlook","Domain")))</f>
        <v/>
      </c>
      <c r="F8319">
        <f>IF(B8319="","",IFERROR(RIGHT(B8319,LEN(B8319)-FIND("@",B8319)),""))</f>
        <v/>
      </c>
      <c r="G8319">
        <f>IF(D8319="KEEP",COUNTIF($D$2:D8319,"KEEP"),"")</f>
        <v/>
      </c>
      <c r="H8319">
        <f>IF(D8319="REMOVE",COUNTIF($D$2:D8319,"REMOVE"),"")</f>
        <v/>
      </c>
      <c r="I8319">
        <f>IF(E8319="Gmail",COUNTIF($E$2:E8319,"Gmail"),"")</f>
        <v/>
      </c>
      <c r="J8319">
        <f>IF(E8319="Outlook",COUNTIF($E$2:E8319,"Outlook"),"")</f>
        <v/>
      </c>
      <c r="K8319">
        <f>IF(E8319="Domain",COUNTIF($E$2:E8319,"Domain"),"")</f>
        <v/>
      </c>
    </row>
    <row r="8320">
      <c r="A8320" s="2" t="n"/>
      <c r="B8320">
        <f>LOWER(TRIM(A8320))</f>
        <v/>
      </c>
      <c r="C8320">
        <f>IF(B8320="","",IFERROR(INDEX('Bad Patterns'!$A$2:$A$120,MATCH(1,INDEX(--ISNUMBER(SEARCH('Bad Patterns'!$A$2:$A$120,B8320)),0),0)),""))</f>
        <v/>
      </c>
      <c r="D8320">
        <f>IF(B8320="","",IF(C8320&lt;&gt;"","REMOVE","KEEP"))</f>
        <v/>
      </c>
      <c r="E8320">
        <f>IF(D8320&lt;&gt;"KEEP","",IF(RIGHT(B8320,10)="@gmail.com","Gmail",IF(OR(RIGHT(B8320,12)="@outlook.com",RIGHT(B8320,12)="@hotmail.com",RIGHT(B8320,9)="@live.com"),"Outlook","Domain")))</f>
        <v/>
      </c>
      <c r="F8320">
        <f>IF(B8320="","",IFERROR(RIGHT(B8320,LEN(B8320)-FIND("@",B8320)),""))</f>
        <v/>
      </c>
      <c r="G8320">
        <f>IF(D8320="KEEP",COUNTIF($D$2:D8320,"KEEP"),"")</f>
        <v/>
      </c>
      <c r="H8320">
        <f>IF(D8320="REMOVE",COUNTIF($D$2:D8320,"REMOVE"),"")</f>
        <v/>
      </c>
      <c r="I8320">
        <f>IF(E8320="Gmail",COUNTIF($E$2:E8320,"Gmail"),"")</f>
        <v/>
      </c>
      <c r="J8320">
        <f>IF(E8320="Outlook",COUNTIF($E$2:E8320,"Outlook"),"")</f>
        <v/>
      </c>
      <c r="K8320">
        <f>IF(E8320="Domain",COUNTIF($E$2:E8320,"Domain"),"")</f>
        <v/>
      </c>
    </row>
    <row r="8321">
      <c r="A8321" s="2" t="n"/>
      <c r="B8321">
        <f>LOWER(TRIM(A8321))</f>
        <v/>
      </c>
      <c r="C8321">
        <f>IF(B8321="","",IFERROR(INDEX('Bad Patterns'!$A$2:$A$120,MATCH(1,INDEX(--ISNUMBER(SEARCH('Bad Patterns'!$A$2:$A$120,B8321)),0),0)),""))</f>
        <v/>
      </c>
      <c r="D8321">
        <f>IF(B8321="","",IF(C8321&lt;&gt;"","REMOVE","KEEP"))</f>
        <v/>
      </c>
      <c r="E8321">
        <f>IF(D8321&lt;&gt;"KEEP","",IF(RIGHT(B8321,10)="@gmail.com","Gmail",IF(OR(RIGHT(B8321,12)="@outlook.com",RIGHT(B8321,12)="@hotmail.com",RIGHT(B8321,9)="@live.com"),"Outlook","Domain")))</f>
        <v/>
      </c>
      <c r="F8321">
        <f>IF(B8321="","",IFERROR(RIGHT(B8321,LEN(B8321)-FIND("@",B8321)),""))</f>
        <v/>
      </c>
      <c r="G8321">
        <f>IF(D8321="KEEP",COUNTIF($D$2:D8321,"KEEP"),"")</f>
        <v/>
      </c>
      <c r="H8321">
        <f>IF(D8321="REMOVE",COUNTIF($D$2:D8321,"REMOVE"),"")</f>
        <v/>
      </c>
      <c r="I8321">
        <f>IF(E8321="Gmail",COUNTIF($E$2:E8321,"Gmail"),"")</f>
        <v/>
      </c>
      <c r="J8321">
        <f>IF(E8321="Outlook",COUNTIF($E$2:E8321,"Outlook"),"")</f>
        <v/>
      </c>
      <c r="K8321">
        <f>IF(E8321="Domain",COUNTIF($E$2:E8321,"Domain"),"")</f>
        <v/>
      </c>
    </row>
    <row r="8322">
      <c r="A8322" s="2" t="n"/>
      <c r="B8322">
        <f>LOWER(TRIM(A8322))</f>
        <v/>
      </c>
      <c r="C8322">
        <f>IF(B8322="","",IFERROR(INDEX('Bad Patterns'!$A$2:$A$120,MATCH(1,INDEX(--ISNUMBER(SEARCH('Bad Patterns'!$A$2:$A$120,B8322)),0),0)),""))</f>
        <v/>
      </c>
      <c r="D8322">
        <f>IF(B8322="","",IF(C8322&lt;&gt;"","REMOVE","KEEP"))</f>
        <v/>
      </c>
      <c r="E8322">
        <f>IF(D8322&lt;&gt;"KEEP","",IF(RIGHT(B8322,10)="@gmail.com","Gmail",IF(OR(RIGHT(B8322,12)="@outlook.com",RIGHT(B8322,12)="@hotmail.com",RIGHT(B8322,9)="@live.com"),"Outlook","Domain")))</f>
        <v/>
      </c>
      <c r="F8322">
        <f>IF(B8322="","",IFERROR(RIGHT(B8322,LEN(B8322)-FIND("@",B8322)),""))</f>
        <v/>
      </c>
      <c r="G8322">
        <f>IF(D8322="KEEP",COUNTIF($D$2:D8322,"KEEP"),"")</f>
        <v/>
      </c>
      <c r="H8322">
        <f>IF(D8322="REMOVE",COUNTIF($D$2:D8322,"REMOVE"),"")</f>
        <v/>
      </c>
      <c r="I8322">
        <f>IF(E8322="Gmail",COUNTIF($E$2:E8322,"Gmail"),"")</f>
        <v/>
      </c>
      <c r="J8322">
        <f>IF(E8322="Outlook",COUNTIF($E$2:E8322,"Outlook"),"")</f>
        <v/>
      </c>
      <c r="K8322">
        <f>IF(E8322="Domain",COUNTIF($E$2:E8322,"Domain"),"")</f>
        <v/>
      </c>
    </row>
    <row r="8323">
      <c r="A8323" s="2" t="n"/>
      <c r="B8323">
        <f>LOWER(TRIM(A8323))</f>
        <v/>
      </c>
      <c r="C8323">
        <f>IF(B8323="","",IFERROR(INDEX('Bad Patterns'!$A$2:$A$120,MATCH(1,INDEX(--ISNUMBER(SEARCH('Bad Patterns'!$A$2:$A$120,B8323)),0),0)),""))</f>
        <v/>
      </c>
      <c r="D8323">
        <f>IF(B8323="","",IF(C8323&lt;&gt;"","REMOVE","KEEP"))</f>
        <v/>
      </c>
      <c r="E8323">
        <f>IF(D8323&lt;&gt;"KEEP","",IF(RIGHT(B8323,10)="@gmail.com","Gmail",IF(OR(RIGHT(B8323,12)="@outlook.com",RIGHT(B8323,12)="@hotmail.com",RIGHT(B8323,9)="@live.com"),"Outlook","Domain")))</f>
        <v/>
      </c>
      <c r="F8323">
        <f>IF(B8323="","",IFERROR(RIGHT(B8323,LEN(B8323)-FIND("@",B8323)),""))</f>
        <v/>
      </c>
      <c r="G8323">
        <f>IF(D8323="KEEP",COUNTIF($D$2:D8323,"KEEP"),"")</f>
        <v/>
      </c>
      <c r="H8323">
        <f>IF(D8323="REMOVE",COUNTIF($D$2:D8323,"REMOVE"),"")</f>
        <v/>
      </c>
      <c r="I8323">
        <f>IF(E8323="Gmail",COUNTIF($E$2:E8323,"Gmail"),"")</f>
        <v/>
      </c>
      <c r="J8323">
        <f>IF(E8323="Outlook",COUNTIF($E$2:E8323,"Outlook"),"")</f>
        <v/>
      </c>
      <c r="K8323">
        <f>IF(E8323="Domain",COUNTIF($E$2:E8323,"Domain"),"")</f>
        <v/>
      </c>
    </row>
    <row r="8324">
      <c r="A8324" s="2" t="n"/>
      <c r="B8324">
        <f>LOWER(TRIM(A8324))</f>
        <v/>
      </c>
      <c r="C8324">
        <f>IF(B8324="","",IFERROR(INDEX('Bad Patterns'!$A$2:$A$120,MATCH(1,INDEX(--ISNUMBER(SEARCH('Bad Patterns'!$A$2:$A$120,B8324)),0),0)),""))</f>
        <v/>
      </c>
      <c r="D8324">
        <f>IF(B8324="","",IF(C8324&lt;&gt;"","REMOVE","KEEP"))</f>
        <v/>
      </c>
      <c r="E8324">
        <f>IF(D8324&lt;&gt;"KEEP","",IF(RIGHT(B8324,10)="@gmail.com","Gmail",IF(OR(RIGHT(B8324,12)="@outlook.com",RIGHT(B8324,12)="@hotmail.com",RIGHT(B8324,9)="@live.com"),"Outlook","Domain")))</f>
        <v/>
      </c>
      <c r="F8324">
        <f>IF(B8324="","",IFERROR(RIGHT(B8324,LEN(B8324)-FIND("@",B8324)),""))</f>
        <v/>
      </c>
      <c r="G8324">
        <f>IF(D8324="KEEP",COUNTIF($D$2:D8324,"KEEP"),"")</f>
        <v/>
      </c>
      <c r="H8324">
        <f>IF(D8324="REMOVE",COUNTIF($D$2:D8324,"REMOVE"),"")</f>
        <v/>
      </c>
      <c r="I8324">
        <f>IF(E8324="Gmail",COUNTIF($E$2:E8324,"Gmail"),"")</f>
        <v/>
      </c>
      <c r="J8324">
        <f>IF(E8324="Outlook",COUNTIF($E$2:E8324,"Outlook"),"")</f>
        <v/>
      </c>
      <c r="K8324">
        <f>IF(E8324="Domain",COUNTIF($E$2:E8324,"Domain"),"")</f>
        <v/>
      </c>
    </row>
    <row r="8325">
      <c r="A8325" s="2" t="n"/>
      <c r="B8325">
        <f>LOWER(TRIM(A8325))</f>
        <v/>
      </c>
      <c r="C8325">
        <f>IF(B8325="","",IFERROR(INDEX('Bad Patterns'!$A$2:$A$120,MATCH(1,INDEX(--ISNUMBER(SEARCH('Bad Patterns'!$A$2:$A$120,B8325)),0),0)),""))</f>
        <v/>
      </c>
      <c r="D8325">
        <f>IF(B8325="","",IF(C8325&lt;&gt;"","REMOVE","KEEP"))</f>
        <v/>
      </c>
      <c r="E8325">
        <f>IF(D8325&lt;&gt;"KEEP","",IF(RIGHT(B8325,10)="@gmail.com","Gmail",IF(OR(RIGHT(B8325,12)="@outlook.com",RIGHT(B8325,12)="@hotmail.com",RIGHT(B8325,9)="@live.com"),"Outlook","Domain")))</f>
        <v/>
      </c>
      <c r="F8325">
        <f>IF(B8325="","",IFERROR(RIGHT(B8325,LEN(B8325)-FIND("@",B8325)),""))</f>
        <v/>
      </c>
      <c r="G8325">
        <f>IF(D8325="KEEP",COUNTIF($D$2:D8325,"KEEP"),"")</f>
        <v/>
      </c>
      <c r="H8325">
        <f>IF(D8325="REMOVE",COUNTIF($D$2:D8325,"REMOVE"),"")</f>
        <v/>
      </c>
      <c r="I8325">
        <f>IF(E8325="Gmail",COUNTIF($E$2:E8325,"Gmail"),"")</f>
        <v/>
      </c>
      <c r="J8325">
        <f>IF(E8325="Outlook",COUNTIF($E$2:E8325,"Outlook"),"")</f>
        <v/>
      </c>
      <c r="K8325">
        <f>IF(E8325="Domain",COUNTIF($E$2:E8325,"Domain"),"")</f>
        <v/>
      </c>
    </row>
    <row r="8326">
      <c r="A8326" s="2" t="n"/>
      <c r="B8326">
        <f>LOWER(TRIM(A8326))</f>
        <v/>
      </c>
      <c r="C8326">
        <f>IF(B8326="","",IFERROR(INDEX('Bad Patterns'!$A$2:$A$120,MATCH(1,INDEX(--ISNUMBER(SEARCH('Bad Patterns'!$A$2:$A$120,B8326)),0),0)),""))</f>
        <v/>
      </c>
      <c r="D8326">
        <f>IF(B8326="","",IF(C8326&lt;&gt;"","REMOVE","KEEP"))</f>
        <v/>
      </c>
      <c r="E8326">
        <f>IF(D8326&lt;&gt;"KEEP","",IF(RIGHT(B8326,10)="@gmail.com","Gmail",IF(OR(RIGHT(B8326,12)="@outlook.com",RIGHT(B8326,12)="@hotmail.com",RIGHT(B8326,9)="@live.com"),"Outlook","Domain")))</f>
        <v/>
      </c>
      <c r="F8326">
        <f>IF(B8326="","",IFERROR(RIGHT(B8326,LEN(B8326)-FIND("@",B8326)),""))</f>
        <v/>
      </c>
      <c r="G8326">
        <f>IF(D8326="KEEP",COUNTIF($D$2:D8326,"KEEP"),"")</f>
        <v/>
      </c>
      <c r="H8326">
        <f>IF(D8326="REMOVE",COUNTIF($D$2:D8326,"REMOVE"),"")</f>
        <v/>
      </c>
      <c r="I8326">
        <f>IF(E8326="Gmail",COUNTIF($E$2:E8326,"Gmail"),"")</f>
        <v/>
      </c>
      <c r="J8326">
        <f>IF(E8326="Outlook",COUNTIF($E$2:E8326,"Outlook"),"")</f>
        <v/>
      </c>
      <c r="K8326">
        <f>IF(E8326="Domain",COUNTIF($E$2:E8326,"Domain"),"")</f>
        <v/>
      </c>
    </row>
    <row r="8327">
      <c r="A8327" s="2" t="n"/>
      <c r="B8327">
        <f>LOWER(TRIM(A8327))</f>
        <v/>
      </c>
      <c r="C8327">
        <f>IF(B8327="","",IFERROR(INDEX('Bad Patterns'!$A$2:$A$120,MATCH(1,INDEX(--ISNUMBER(SEARCH('Bad Patterns'!$A$2:$A$120,B8327)),0),0)),""))</f>
        <v/>
      </c>
      <c r="D8327">
        <f>IF(B8327="","",IF(C8327&lt;&gt;"","REMOVE","KEEP"))</f>
        <v/>
      </c>
      <c r="E8327">
        <f>IF(D8327&lt;&gt;"KEEP","",IF(RIGHT(B8327,10)="@gmail.com","Gmail",IF(OR(RIGHT(B8327,12)="@outlook.com",RIGHT(B8327,12)="@hotmail.com",RIGHT(B8327,9)="@live.com"),"Outlook","Domain")))</f>
        <v/>
      </c>
      <c r="F8327">
        <f>IF(B8327="","",IFERROR(RIGHT(B8327,LEN(B8327)-FIND("@",B8327)),""))</f>
        <v/>
      </c>
      <c r="G8327">
        <f>IF(D8327="KEEP",COUNTIF($D$2:D8327,"KEEP"),"")</f>
        <v/>
      </c>
      <c r="H8327">
        <f>IF(D8327="REMOVE",COUNTIF($D$2:D8327,"REMOVE"),"")</f>
        <v/>
      </c>
      <c r="I8327">
        <f>IF(E8327="Gmail",COUNTIF($E$2:E8327,"Gmail"),"")</f>
        <v/>
      </c>
      <c r="J8327">
        <f>IF(E8327="Outlook",COUNTIF($E$2:E8327,"Outlook"),"")</f>
        <v/>
      </c>
      <c r="K8327">
        <f>IF(E8327="Domain",COUNTIF($E$2:E8327,"Domain"),"")</f>
        <v/>
      </c>
    </row>
    <row r="8328">
      <c r="A8328" s="2" t="n"/>
      <c r="B8328">
        <f>LOWER(TRIM(A8328))</f>
        <v/>
      </c>
      <c r="C8328">
        <f>IF(B8328="","",IFERROR(INDEX('Bad Patterns'!$A$2:$A$120,MATCH(1,INDEX(--ISNUMBER(SEARCH('Bad Patterns'!$A$2:$A$120,B8328)),0),0)),""))</f>
        <v/>
      </c>
      <c r="D8328">
        <f>IF(B8328="","",IF(C8328&lt;&gt;"","REMOVE","KEEP"))</f>
        <v/>
      </c>
      <c r="E8328">
        <f>IF(D8328&lt;&gt;"KEEP","",IF(RIGHT(B8328,10)="@gmail.com","Gmail",IF(OR(RIGHT(B8328,12)="@outlook.com",RIGHT(B8328,12)="@hotmail.com",RIGHT(B8328,9)="@live.com"),"Outlook","Domain")))</f>
        <v/>
      </c>
      <c r="F8328">
        <f>IF(B8328="","",IFERROR(RIGHT(B8328,LEN(B8328)-FIND("@",B8328)),""))</f>
        <v/>
      </c>
      <c r="G8328">
        <f>IF(D8328="KEEP",COUNTIF($D$2:D8328,"KEEP"),"")</f>
        <v/>
      </c>
      <c r="H8328">
        <f>IF(D8328="REMOVE",COUNTIF($D$2:D8328,"REMOVE"),"")</f>
        <v/>
      </c>
      <c r="I8328">
        <f>IF(E8328="Gmail",COUNTIF($E$2:E8328,"Gmail"),"")</f>
        <v/>
      </c>
      <c r="J8328">
        <f>IF(E8328="Outlook",COUNTIF($E$2:E8328,"Outlook"),"")</f>
        <v/>
      </c>
      <c r="K8328">
        <f>IF(E8328="Domain",COUNTIF($E$2:E8328,"Domain"),"")</f>
        <v/>
      </c>
    </row>
    <row r="8329">
      <c r="A8329" s="2" t="n"/>
      <c r="B8329">
        <f>LOWER(TRIM(A8329))</f>
        <v/>
      </c>
      <c r="C8329">
        <f>IF(B8329="","",IFERROR(INDEX('Bad Patterns'!$A$2:$A$120,MATCH(1,INDEX(--ISNUMBER(SEARCH('Bad Patterns'!$A$2:$A$120,B8329)),0),0)),""))</f>
        <v/>
      </c>
      <c r="D8329">
        <f>IF(B8329="","",IF(C8329&lt;&gt;"","REMOVE","KEEP"))</f>
        <v/>
      </c>
      <c r="E8329">
        <f>IF(D8329&lt;&gt;"KEEP","",IF(RIGHT(B8329,10)="@gmail.com","Gmail",IF(OR(RIGHT(B8329,12)="@outlook.com",RIGHT(B8329,12)="@hotmail.com",RIGHT(B8329,9)="@live.com"),"Outlook","Domain")))</f>
        <v/>
      </c>
      <c r="F8329">
        <f>IF(B8329="","",IFERROR(RIGHT(B8329,LEN(B8329)-FIND("@",B8329)),""))</f>
        <v/>
      </c>
      <c r="G8329">
        <f>IF(D8329="KEEP",COUNTIF($D$2:D8329,"KEEP"),"")</f>
        <v/>
      </c>
      <c r="H8329">
        <f>IF(D8329="REMOVE",COUNTIF($D$2:D8329,"REMOVE"),"")</f>
        <v/>
      </c>
      <c r="I8329">
        <f>IF(E8329="Gmail",COUNTIF($E$2:E8329,"Gmail"),"")</f>
        <v/>
      </c>
      <c r="J8329">
        <f>IF(E8329="Outlook",COUNTIF($E$2:E8329,"Outlook"),"")</f>
        <v/>
      </c>
      <c r="K8329">
        <f>IF(E8329="Domain",COUNTIF($E$2:E8329,"Domain"),"")</f>
        <v/>
      </c>
    </row>
    <row r="8330">
      <c r="A8330" s="2" t="n"/>
      <c r="B8330">
        <f>LOWER(TRIM(A8330))</f>
        <v/>
      </c>
      <c r="C8330">
        <f>IF(B8330="","",IFERROR(INDEX('Bad Patterns'!$A$2:$A$120,MATCH(1,INDEX(--ISNUMBER(SEARCH('Bad Patterns'!$A$2:$A$120,B8330)),0),0)),""))</f>
        <v/>
      </c>
      <c r="D8330">
        <f>IF(B8330="","",IF(C8330&lt;&gt;"","REMOVE","KEEP"))</f>
        <v/>
      </c>
      <c r="E8330">
        <f>IF(D8330&lt;&gt;"KEEP","",IF(RIGHT(B8330,10)="@gmail.com","Gmail",IF(OR(RIGHT(B8330,12)="@outlook.com",RIGHT(B8330,12)="@hotmail.com",RIGHT(B8330,9)="@live.com"),"Outlook","Domain")))</f>
        <v/>
      </c>
      <c r="F8330">
        <f>IF(B8330="","",IFERROR(RIGHT(B8330,LEN(B8330)-FIND("@",B8330)),""))</f>
        <v/>
      </c>
      <c r="G8330">
        <f>IF(D8330="KEEP",COUNTIF($D$2:D8330,"KEEP"),"")</f>
        <v/>
      </c>
      <c r="H8330">
        <f>IF(D8330="REMOVE",COUNTIF($D$2:D8330,"REMOVE"),"")</f>
        <v/>
      </c>
      <c r="I8330">
        <f>IF(E8330="Gmail",COUNTIF($E$2:E8330,"Gmail"),"")</f>
        <v/>
      </c>
      <c r="J8330">
        <f>IF(E8330="Outlook",COUNTIF($E$2:E8330,"Outlook"),"")</f>
        <v/>
      </c>
      <c r="K8330">
        <f>IF(E8330="Domain",COUNTIF($E$2:E8330,"Domain"),"")</f>
        <v/>
      </c>
    </row>
    <row r="8331">
      <c r="A8331" s="2" t="n"/>
      <c r="B8331">
        <f>LOWER(TRIM(A8331))</f>
        <v/>
      </c>
      <c r="C8331">
        <f>IF(B8331="","",IFERROR(INDEX('Bad Patterns'!$A$2:$A$120,MATCH(1,INDEX(--ISNUMBER(SEARCH('Bad Patterns'!$A$2:$A$120,B8331)),0),0)),""))</f>
        <v/>
      </c>
      <c r="D8331">
        <f>IF(B8331="","",IF(C8331&lt;&gt;"","REMOVE","KEEP"))</f>
        <v/>
      </c>
      <c r="E8331">
        <f>IF(D8331&lt;&gt;"KEEP","",IF(RIGHT(B8331,10)="@gmail.com","Gmail",IF(OR(RIGHT(B8331,12)="@outlook.com",RIGHT(B8331,12)="@hotmail.com",RIGHT(B8331,9)="@live.com"),"Outlook","Domain")))</f>
        <v/>
      </c>
      <c r="F8331">
        <f>IF(B8331="","",IFERROR(RIGHT(B8331,LEN(B8331)-FIND("@",B8331)),""))</f>
        <v/>
      </c>
      <c r="G8331">
        <f>IF(D8331="KEEP",COUNTIF($D$2:D8331,"KEEP"),"")</f>
        <v/>
      </c>
      <c r="H8331">
        <f>IF(D8331="REMOVE",COUNTIF($D$2:D8331,"REMOVE"),"")</f>
        <v/>
      </c>
      <c r="I8331">
        <f>IF(E8331="Gmail",COUNTIF($E$2:E8331,"Gmail"),"")</f>
        <v/>
      </c>
      <c r="J8331">
        <f>IF(E8331="Outlook",COUNTIF($E$2:E8331,"Outlook"),"")</f>
        <v/>
      </c>
      <c r="K8331">
        <f>IF(E8331="Domain",COUNTIF($E$2:E8331,"Domain"),"")</f>
        <v/>
      </c>
    </row>
    <row r="8332">
      <c r="A8332" s="2" t="n"/>
      <c r="B8332">
        <f>LOWER(TRIM(A8332))</f>
        <v/>
      </c>
      <c r="C8332">
        <f>IF(B8332="","",IFERROR(INDEX('Bad Patterns'!$A$2:$A$120,MATCH(1,INDEX(--ISNUMBER(SEARCH('Bad Patterns'!$A$2:$A$120,B8332)),0),0)),""))</f>
        <v/>
      </c>
      <c r="D8332">
        <f>IF(B8332="","",IF(C8332&lt;&gt;"","REMOVE","KEEP"))</f>
        <v/>
      </c>
      <c r="E8332">
        <f>IF(D8332&lt;&gt;"KEEP","",IF(RIGHT(B8332,10)="@gmail.com","Gmail",IF(OR(RIGHT(B8332,12)="@outlook.com",RIGHT(B8332,12)="@hotmail.com",RIGHT(B8332,9)="@live.com"),"Outlook","Domain")))</f>
        <v/>
      </c>
      <c r="F8332">
        <f>IF(B8332="","",IFERROR(RIGHT(B8332,LEN(B8332)-FIND("@",B8332)),""))</f>
        <v/>
      </c>
      <c r="G8332">
        <f>IF(D8332="KEEP",COUNTIF($D$2:D8332,"KEEP"),"")</f>
        <v/>
      </c>
      <c r="H8332">
        <f>IF(D8332="REMOVE",COUNTIF($D$2:D8332,"REMOVE"),"")</f>
        <v/>
      </c>
      <c r="I8332">
        <f>IF(E8332="Gmail",COUNTIF($E$2:E8332,"Gmail"),"")</f>
        <v/>
      </c>
      <c r="J8332">
        <f>IF(E8332="Outlook",COUNTIF($E$2:E8332,"Outlook"),"")</f>
        <v/>
      </c>
      <c r="K8332">
        <f>IF(E8332="Domain",COUNTIF($E$2:E8332,"Domain"),"")</f>
        <v/>
      </c>
    </row>
    <row r="8333">
      <c r="A8333" s="2" t="n"/>
      <c r="B8333">
        <f>LOWER(TRIM(A8333))</f>
        <v/>
      </c>
      <c r="C8333">
        <f>IF(B8333="","",IFERROR(INDEX('Bad Patterns'!$A$2:$A$120,MATCH(1,INDEX(--ISNUMBER(SEARCH('Bad Patterns'!$A$2:$A$120,B8333)),0),0)),""))</f>
        <v/>
      </c>
      <c r="D8333">
        <f>IF(B8333="","",IF(C8333&lt;&gt;"","REMOVE","KEEP"))</f>
        <v/>
      </c>
      <c r="E8333">
        <f>IF(D8333&lt;&gt;"KEEP","",IF(RIGHT(B8333,10)="@gmail.com","Gmail",IF(OR(RIGHT(B8333,12)="@outlook.com",RIGHT(B8333,12)="@hotmail.com",RIGHT(B8333,9)="@live.com"),"Outlook","Domain")))</f>
        <v/>
      </c>
      <c r="F8333">
        <f>IF(B8333="","",IFERROR(RIGHT(B8333,LEN(B8333)-FIND("@",B8333)),""))</f>
        <v/>
      </c>
      <c r="G8333">
        <f>IF(D8333="KEEP",COUNTIF($D$2:D8333,"KEEP"),"")</f>
        <v/>
      </c>
      <c r="H8333">
        <f>IF(D8333="REMOVE",COUNTIF($D$2:D8333,"REMOVE"),"")</f>
        <v/>
      </c>
      <c r="I8333">
        <f>IF(E8333="Gmail",COUNTIF($E$2:E8333,"Gmail"),"")</f>
        <v/>
      </c>
      <c r="J8333">
        <f>IF(E8333="Outlook",COUNTIF($E$2:E8333,"Outlook"),"")</f>
        <v/>
      </c>
      <c r="K8333">
        <f>IF(E8333="Domain",COUNTIF($E$2:E8333,"Domain"),"")</f>
        <v/>
      </c>
    </row>
    <row r="8334">
      <c r="A8334" s="2" t="n"/>
      <c r="B8334">
        <f>LOWER(TRIM(A8334))</f>
        <v/>
      </c>
      <c r="C8334">
        <f>IF(B8334="","",IFERROR(INDEX('Bad Patterns'!$A$2:$A$120,MATCH(1,INDEX(--ISNUMBER(SEARCH('Bad Patterns'!$A$2:$A$120,B8334)),0),0)),""))</f>
        <v/>
      </c>
      <c r="D8334">
        <f>IF(B8334="","",IF(C8334&lt;&gt;"","REMOVE","KEEP"))</f>
        <v/>
      </c>
      <c r="E8334">
        <f>IF(D8334&lt;&gt;"KEEP","",IF(RIGHT(B8334,10)="@gmail.com","Gmail",IF(OR(RIGHT(B8334,12)="@outlook.com",RIGHT(B8334,12)="@hotmail.com",RIGHT(B8334,9)="@live.com"),"Outlook","Domain")))</f>
        <v/>
      </c>
      <c r="F8334">
        <f>IF(B8334="","",IFERROR(RIGHT(B8334,LEN(B8334)-FIND("@",B8334)),""))</f>
        <v/>
      </c>
      <c r="G8334">
        <f>IF(D8334="KEEP",COUNTIF($D$2:D8334,"KEEP"),"")</f>
        <v/>
      </c>
      <c r="H8334">
        <f>IF(D8334="REMOVE",COUNTIF($D$2:D8334,"REMOVE"),"")</f>
        <v/>
      </c>
      <c r="I8334">
        <f>IF(E8334="Gmail",COUNTIF($E$2:E8334,"Gmail"),"")</f>
        <v/>
      </c>
      <c r="J8334">
        <f>IF(E8334="Outlook",COUNTIF($E$2:E8334,"Outlook"),"")</f>
        <v/>
      </c>
      <c r="K8334">
        <f>IF(E8334="Domain",COUNTIF($E$2:E8334,"Domain"),"")</f>
        <v/>
      </c>
    </row>
    <row r="8335">
      <c r="A8335" s="2" t="n"/>
      <c r="B8335">
        <f>LOWER(TRIM(A8335))</f>
        <v/>
      </c>
      <c r="C8335">
        <f>IF(B8335="","",IFERROR(INDEX('Bad Patterns'!$A$2:$A$120,MATCH(1,INDEX(--ISNUMBER(SEARCH('Bad Patterns'!$A$2:$A$120,B8335)),0),0)),""))</f>
        <v/>
      </c>
      <c r="D8335">
        <f>IF(B8335="","",IF(C8335&lt;&gt;"","REMOVE","KEEP"))</f>
        <v/>
      </c>
      <c r="E8335">
        <f>IF(D8335&lt;&gt;"KEEP","",IF(RIGHT(B8335,10)="@gmail.com","Gmail",IF(OR(RIGHT(B8335,12)="@outlook.com",RIGHT(B8335,12)="@hotmail.com",RIGHT(B8335,9)="@live.com"),"Outlook","Domain")))</f>
        <v/>
      </c>
      <c r="F8335">
        <f>IF(B8335="","",IFERROR(RIGHT(B8335,LEN(B8335)-FIND("@",B8335)),""))</f>
        <v/>
      </c>
      <c r="G8335">
        <f>IF(D8335="KEEP",COUNTIF($D$2:D8335,"KEEP"),"")</f>
        <v/>
      </c>
      <c r="H8335">
        <f>IF(D8335="REMOVE",COUNTIF($D$2:D8335,"REMOVE"),"")</f>
        <v/>
      </c>
      <c r="I8335">
        <f>IF(E8335="Gmail",COUNTIF($E$2:E8335,"Gmail"),"")</f>
        <v/>
      </c>
      <c r="J8335">
        <f>IF(E8335="Outlook",COUNTIF($E$2:E8335,"Outlook"),"")</f>
        <v/>
      </c>
      <c r="K8335">
        <f>IF(E8335="Domain",COUNTIF($E$2:E8335,"Domain"),"")</f>
        <v/>
      </c>
    </row>
    <row r="8336">
      <c r="A8336" s="2" t="n"/>
      <c r="B8336">
        <f>LOWER(TRIM(A8336))</f>
        <v/>
      </c>
      <c r="C8336">
        <f>IF(B8336="","",IFERROR(INDEX('Bad Patterns'!$A$2:$A$120,MATCH(1,INDEX(--ISNUMBER(SEARCH('Bad Patterns'!$A$2:$A$120,B8336)),0),0)),""))</f>
        <v/>
      </c>
      <c r="D8336">
        <f>IF(B8336="","",IF(C8336&lt;&gt;"","REMOVE","KEEP"))</f>
        <v/>
      </c>
      <c r="E8336">
        <f>IF(D8336&lt;&gt;"KEEP","",IF(RIGHT(B8336,10)="@gmail.com","Gmail",IF(OR(RIGHT(B8336,12)="@outlook.com",RIGHT(B8336,12)="@hotmail.com",RIGHT(B8336,9)="@live.com"),"Outlook","Domain")))</f>
        <v/>
      </c>
      <c r="F8336">
        <f>IF(B8336="","",IFERROR(RIGHT(B8336,LEN(B8336)-FIND("@",B8336)),""))</f>
        <v/>
      </c>
      <c r="G8336">
        <f>IF(D8336="KEEP",COUNTIF($D$2:D8336,"KEEP"),"")</f>
        <v/>
      </c>
      <c r="H8336">
        <f>IF(D8336="REMOVE",COUNTIF($D$2:D8336,"REMOVE"),"")</f>
        <v/>
      </c>
      <c r="I8336">
        <f>IF(E8336="Gmail",COUNTIF($E$2:E8336,"Gmail"),"")</f>
        <v/>
      </c>
      <c r="J8336">
        <f>IF(E8336="Outlook",COUNTIF($E$2:E8336,"Outlook"),"")</f>
        <v/>
      </c>
      <c r="K8336">
        <f>IF(E8336="Domain",COUNTIF($E$2:E8336,"Domain"),"")</f>
        <v/>
      </c>
    </row>
    <row r="8337">
      <c r="A8337" s="2" t="n"/>
      <c r="B8337">
        <f>LOWER(TRIM(A8337))</f>
        <v/>
      </c>
      <c r="C8337">
        <f>IF(B8337="","",IFERROR(INDEX('Bad Patterns'!$A$2:$A$120,MATCH(1,INDEX(--ISNUMBER(SEARCH('Bad Patterns'!$A$2:$A$120,B8337)),0),0)),""))</f>
        <v/>
      </c>
      <c r="D8337">
        <f>IF(B8337="","",IF(C8337&lt;&gt;"","REMOVE","KEEP"))</f>
        <v/>
      </c>
      <c r="E8337">
        <f>IF(D8337&lt;&gt;"KEEP","",IF(RIGHT(B8337,10)="@gmail.com","Gmail",IF(OR(RIGHT(B8337,12)="@outlook.com",RIGHT(B8337,12)="@hotmail.com",RIGHT(B8337,9)="@live.com"),"Outlook","Domain")))</f>
        <v/>
      </c>
      <c r="F8337">
        <f>IF(B8337="","",IFERROR(RIGHT(B8337,LEN(B8337)-FIND("@",B8337)),""))</f>
        <v/>
      </c>
      <c r="G8337">
        <f>IF(D8337="KEEP",COUNTIF($D$2:D8337,"KEEP"),"")</f>
        <v/>
      </c>
      <c r="H8337">
        <f>IF(D8337="REMOVE",COUNTIF($D$2:D8337,"REMOVE"),"")</f>
        <v/>
      </c>
      <c r="I8337">
        <f>IF(E8337="Gmail",COUNTIF($E$2:E8337,"Gmail"),"")</f>
        <v/>
      </c>
      <c r="J8337">
        <f>IF(E8337="Outlook",COUNTIF($E$2:E8337,"Outlook"),"")</f>
        <v/>
      </c>
      <c r="K8337">
        <f>IF(E8337="Domain",COUNTIF($E$2:E8337,"Domain"),"")</f>
        <v/>
      </c>
    </row>
    <row r="8338">
      <c r="A8338" s="2" t="n"/>
      <c r="B8338">
        <f>LOWER(TRIM(A8338))</f>
        <v/>
      </c>
      <c r="C8338">
        <f>IF(B8338="","",IFERROR(INDEX('Bad Patterns'!$A$2:$A$120,MATCH(1,INDEX(--ISNUMBER(SEARCH('Bad Patterns'!$A$2:$A$120,B8338)),0),0)),""))</f>
        <v/>
      </c>
      <c r="D8338">
        <f>IF(B8338="","",IF(C8338&lt;&gt;"","REMOVE","KEEP"))</f>
        <v/>
      </c>
      <c r="E8338">
        <f>IF(D8338&lt;&gt;"KEEP","",IF(RIGHT(B8338,10)="@gmail.com","Gmail",IF(OR(RIGHT(B8338,12)="@outlook.com",RIGHT(B8338,12)="@hotmail.com",RIGHT(B8338,9)="@live.com"),"Outlook","Domain")))</f>
        <v/>
      </c>
      <c r="F8338">
        <f>IF(B8338="","",IFERROR(RIGHT(B8338,LEN(B8338)-FIND("@",B8338)),""))</f>
        <v/>
      </c>
      <c r="G8338">
        <f>IF(D8338="KEEP",COUNTIF($D$2:D8338,"KEEP"),"")</f>
        <v/>
      </c>
      <c r="H8338">
        <f>IF(D8338="REMOVE",COUNTIF($D$2:D8338,"REMOVE"),"")</f>
        <v/>
      </c>
      <c r="I8338">
        <f>IF(E8338="Gmail",COUNTIF($E$2:E8338,"Gmail"),"")</f>
        <v/>
      </c>
      <c r="J8338">
        <f>IF(E8338="Outlook",COUNTIF($E$2:E8338,"Outlook"),"")</f>
        <v/>
      </c>
      <c r="K8338">
        <f>IF(E8338="Domain",COUNTIF($E$2:E8338,"Domain"),"")</f>
        <v/>
      </c>
    </row>
    <row r="8339">
      <c r="A8339" s="2" t="n"/>
      <c r="B8339">
        <f>LOWER(TRIM(A8339))</f>
        <v/>
      </c>
      <c r="C8339">
        <f>IF(B8339="","",IFERROR(INDEX('Bad Patterns'!$A$2:$A$120,MATCH(1,INDEX(--ISNUMBER(SEARCH('Bad Patterns'!$A$2:$A$120,B8339)),0),0)),""))</f>
        <v/>
      </c>
      <c r="D8339">
        <f>IF(B8339="","",IF(C8339&lt;&gt;"","REMOVE","KEEP"))</f>
        <v/>
      </c>
      <c r="E8339">
        <f>IF(D8339&lt;&gt;"KEEP","",IF(RIGHT(B8339,10)="@gmail.com","Gmail",IF(OR(RIGHT(B8339,12)="@outlook.com",RIGHT(B8339,12)="@hotmail.com",RIGHT(B8339,9)="@live.com"),"Outlook","Domain")))</f>
        <v/>
      </c>
      <c r="F8339">
        <f>IF(B8339="","",IFERROR(RIGHT(B8339,LEN(B8339)-FIND("@",B8339)),""))</f>
        <v/>
      </c>
      <c r="G8339">
        <f>IF(D8339="KEEP",COUNTIF($D$2:D8339,"KEEP"),"")</f>
        <v/>
      </c>
      <c r="H8339">
        <f>IF(D8339="REMOVE",COUNTIF($D$2:D8339,"REMOVE"),"")</f>
        <v/>
      </c>
      <c r="I8339">
        <f>IF(E8339="Gmail",COUNTIF($E$2:E8339,"Gmail"),"")</f>
        <v/>
      </c>
      <c r="J8339">
        <f>IF(E8339="Outlook",COUNTIF($E$2:E8339,"Outlook"),"")</f>
        <v/>
      </c>
      <c r="K8339">
        <f>IF(E8339="Domain",COUNTIF($E$2:E8339,"Domain"),"")</f>
        <v/>
      </c>
    </row>
    <row r="8340">
      <c r="A8340" s="2" t="n"/>
      <c r="B8340">
        <f>LOWER(TRIM(A8340))</f>
        <v/>
      </c>
      <c r="C8340">
        <f>IF(B8340="","",IFERROR(INDEX('Bad Patterns'!$A$2:$A$120,MATCH(1,INDEX(--ISNUMBER(SEARCH('Bad Patterns'!$A$2:$A$120,B8340)),0),0)),""))</f>
        <v/>
      </c>
      <c r="D8340">
        <f>IF(B8340="","",IF(C8340&lt;&gt;"","REMOVE","KEEP"))</f>
        <v/>
      </c>
      <c r="E8340">
        <f>IF(D8340&lt;&gt;"KEEP","",IF(RIGHT(B8340,10)="@gmail.com","Gmail",IF(OR(RIGHT(B8340,12)="@outlook.com",RIGHT(B8340,12)="@hotmail.com",RIGHT(B8340,9)="@live.com"),"Outlook","Domain")))</f>
        <v/>
      </c>
      <c r="F8340">
        <f>IF(B8340="","",IFERROR(RIGHT(B8340,LEN(B8340)-FIND("@",B8340)),""))</f>
        <v/>
      </c>
      <c r="G8340">
        <f>IF(D8340="KEEP",COUNTIF($D$2:D8340,"KEEP"),"")</f>
        <v/>
      </c>
      <c r="H8340">
        <f>IF(D8340="REMOVE",COUNTIF($D$2:D8340,"REMOVE"),"")</f>
        <v/>
      </c>
      <c r="I8340">
        <f>IF(E8340="Gmail",COUNTIF($E$2:E8340,"Gmail"),"")</f>
        <v/>
      </c>
      <c r="J8340">
        <f>IF(E8340="Outlook",COUNTIF($E$2:E8340,"Outlook"),"")</f>
        <v/>
      </c>
      <c r="K8340">
        <f>IF(E8340="Domain",COUNTIF($E$2:E8340,"Domain"),"")</f>
        <v/>
      </c>
    </row>
    <row r="8341">
      <c r="A8341" s="2" t="n"/>
      <c r="B8341">
        <f>LOWER(TRIM(A8341))</f>
        <v/>
      </c>
      <c r="C8341">
        <f>IF(B8341="","",IFERROR(INDEX('Bad Patterns'!$A$2:$A$120,MATCH(1,INDEX(--ISNUMBER(SEARCH('Bad Patterns'!$A$2:$A$120,B8341)),0),0)),""))</f>
        <v/>
      </c>
      <c r="D8341">
        <f>IF(B8341="","",IF(C8341&lt;&gt;"","REMOVE","KEEP"))</f>
        <v/>
      </c>
      <c r="E8341">
        <f>IF(D8341&lt;&gt;"KEEP","",IF(RIGHT(B8341,10)="@gmail.com","Gmail",IF(OR(RIGHT(B8341,12)="@outlook.com",RIGHT(B8341,12)="@hotmail.com",RIGHT(B8341,9)="@live.com"),"Outlook","Domain")))</f>
        <v/>
      </c>
      <c r="F8341">
        <f>IF(B8341="","",IFERROR(RIGHT(B8341,LEN(B8341)-FIND("@",B8341)),""))</f>
        <v/>
      </c>
      <c r="G8341">
        <f>IF(D8341="KEEP",COUNTIF($D$2:D8341,"KEEP"),"")</f>
        <v/>
      </c>
      <c r="H8341">
        <f>IF(D8341="REMOVE",COUNTIF($D$2:D8341,"REMOVE"),"")</f>
        <v/>
      </c>
      <c r="I8341">
        <f>IF(E8341="Gmail",COUNTIF($E$2:E8341,"Gmail"),"")</f>
        <v/>
      </c>
      <c r="J8341">
        <f>IF(E8341="Outlook",COUNTIF($E$2:E8341,"Outlook"),"")</f>
        <v/>
      </c>
      <c r="K8341">
        <f>IF(E8341="Domain",COUNTIF($E$2:E8341,"Domain"),"")</f>
        <v/>
      </c>
    </row>
    <row r="8342">
      <c r="A8342" s="2" t="n"/>
      <c r="B8342">
        <f>LOWER(TRIM(A8342))</f>
        <v/>
      </c>
      <c r="C8342">
        <f>IF(B8342="","",IFERROR(INDEX('Bad Patterns'!$A$2:$A$120,MATCH(1,INDEX(--ISNUMBER(SEARCH('Bad Patterns'!$A$2:$A$120,B8342)),0),0)),""))</f>
        <v/>
      </c>
      <c r="D8342">
        <f>IF(B8342="","",IF(C8342&lt;&gt;"","REMOVE","KEEP"))</f>
        <v/>
      </c>
      <c r="E8342">
        <f>IF(D8342&lt;&gt;"KEEP","",IF(RIGHT(B8342,10)="@gmail.com","Gmail",IF(OR(RIGHT(B8342,12)="@outlook.com",RIGHT(B8342,12)="@hotmail.com",RIGHT(B8342,9)="@live.com"),"Outlook","Domain")))</f>
        <v/>
      </c>
      <c r="F8342">
        <f>IF(B8342="","",IFERROR(RIGHT(B8342,LEN(B8342)-FIND("@",B8342)),""))</f>
        <v/>
      </c>
      <c r="G8342">
        <f>IF(D8342="KEEP",COUNTIF($D$2:D8342,"KEEP"),"")</f>
        <v/>
      </c>
      <c r="H8342">
        <f>IF(D8342="REMOVE",COUNTIF($D$2:D8342,"REMOVE"),"")</f>
        <v/>
      </c>
      <c r="I8342">
        <f>IF(E8342="Gmail",COUNTIF($E$2:E8342,"Gmail"),"")</f>
        <v/>
      </c>
      <c r="J8342">
        <f>IF(E8342="Outlook",COUNTIF($E$2:E8342,"Outlook"),"")</f>
        <v/>
      </c>
      <c r="K8342">
        <f>IF(E8342="Domain",COUNTIF($E$2:E8342,"Domain"),"")</f>
        <v/>
      </c>
    </row>
    <row r="8343">
      <c r="A8343" s="2" t="n"/>
      <c r="B8343">
        <f>LOWER(TRIM(A8343))</f>
        <v/>
      </c>
      <c r="C8343">
        <f>IF(B8343="","",IFERROR(INDEX('Bad Patterns'!$A$2:$A$120,MATCH(1,INDEX(--ISNUMBER(SEARCH('Bad Patterns'!$A$2:$A$120,B8343)),0),0)),""))</f>
        <v/>
      </c>
      <c r="D8343">
        <f>IF(B8343="","",IF(C8343&lt;&gt;"","REMOVE","KEEP"))</f>
        <v/>
      </c>
      <c r="E8343">
        <f>IF(D8343&lt;&gt;"KEEP","",IF(RIGHT(B8343,10)="@gmail.com","Gmail",IF(OR(RIGHT(B8343,12)="@outlook.com",RIGHT(B8343,12)="@hotmail.com",RIGHT(B8343,9)="@live.com"),"Outlook","Domain")))</f>
        <v/>
      </c>
      <c r="F8343">
        <f>IF(B8343="","",IFERROR(RIGHT(B8343,LEN(B8343)-FIND("@",B8343)),""))</f>
        <v/>
      </c>
      <c r="G8343">
        <f>IF(D8343="KEEP",COUNTIF($D$2:D8343,"KEEP"),"")</f>
        <v/>
      </c>
      <c r="H8343">
        <f>IF(D8343="REMOVE",COUNTIF($D$2:D8343,"REMOVE"),"")</f>
        <v/>
      </c>
      <c r="I8343">
        <f>IF(E8343="Gmail",COUNTIF($E$2:E8343,"Gmail"),"")</f>
        <v/>
      </c>
      <c r="J8343">
        <f>IF(E8343="Outlook",COUNTIF($E$2:E8343,"Outlook"),"")</f>
        <v/>
      </c>
      <c r="K8343">
        <f>IF(E8343="Domain",COUNTIF($E$2:E8343,"Domain"),"")</f>
        <v/>
      </c>
    </row>
    <row r="8344">
      <c r="A8344" s="2" t="n"/>
      <c r="B8344">
        <f>LOWER(TRIM(A8344))</f>
        <v/>
      </c>
      <c r="C8344">
        <f>IF(B8344="","",IFERROR(INDEX('Bad Patterns'!$A$2:$A$120,MATCH(1,INDEX(--ISNUMBER(SEARCH('Bad Patterns'!$A$2:$A$120,B8344)),0),0)),""))</f>
        <v/>
      </c>
      <c r="D8344">
        <f>IF(B8344="","",IF(C8344&lt;&gt;"","REMOVE","KEEP"))</f>
        <v/>
      </c>
      <c r="E8344">
        <f>IF(D8344&lt;&gt;"KEEP","",IF(RIGHT(B8344,10)="@gmail.com","Gmail",IF(OR(RIGHT(B8344,12)="@outlook.com",RIGHT(B8344,12)="@hotmail.com",RIGHT(B8344,9)="@live.com"),"Outlook","Domain")))</f>
        <v/>
      </c>
      <c r="F8344">
        <f>IF(B8344="","",IFERROR(RIGHT(B8344,LEN(B8344)-FIND("@",B8344)),""))</f>
        <v/>
      </c>
      <c r="G8344">
        <f>IF(D8344="KEEP",COUNTIF($D$2:D8344,"KEEP"),"")</f>
        <v/>
      </c>
      <c r="H8344">
        <f>IF(D8344="REMOVE",COUNTIF($D$2:D8344,"REMOVE"),"")</f>
        <v/>
      </c>
      <c r="I8344">
        <f>IF(E8344="Gmail",COUNTIF($E$2:E8344,"Gmail"),"")</f>
        <v/>
      </c>
      <c r="J8344">
        <f>IF(E8344="Outlook",COUNTIF($E$2:E8344,"Outlook"),"")</f>
        <v/>
      </c>
      <c r="K8344">
        <f>IF(E8344="Domain",COUNTIF($E$2:E8344,"Domain"),"")</f>
        <v/>
      </c>
    </row>
    <row r="8345">
      <c r="A8345" s="2" t="n"/>
      <c r="B8345">
        <f>LOWER(TRIM(A8345))</f>
        <v/>
      </c>
      <c r="C8345">
        <f>IF(B8345="","",IFERROR(INDEX('Bad Patterns'!$A$2:$A$120,MATCH(1,INDEX(--ISNUMBER(SEARCH('Bad Patterns'!$A$2:$A$120,B8345)),0),0)),""))</f>
        <v/>
      </c>
      <c r="D8345">
        <f>IF(B8345="","",IF(C8345&lt;&gt;"","REMOVE","KEEP"))</f>
        <v/>
      </c>
      <c r="E8345">
        <f>IF(D8345&lt;&gt;"KEEP","",IF(RIGHT(B8345,10)="@gmail.com","Gmail",IF(OR(RIGHT(B8345,12)="@outlook.com",RIGHT(B8345,12)="@hotmail.com",RIGHT(B8345,9)="@live.com"),"Outlook","Domain")))</f>
        <v/>
      </c>
      <c r="F8345">
        <f>IF(B8345="","",IFERROR(RIGHT(B8345,LEN(B8345)-FIND("@",B8345)),""))</f>
        <v/>
      </c>
      <c r="G8345">
        <f>IF(D8345="KEEP",COUNTIF($D$2:D8345,"KEEP"),"")</f>
        <v/>
      </c>
      <c r="H8345">
        <f>IF(D8345="REMOVE",COUNTIF($D$2:D8345,"REMOVE"),"")</f>
        <v/>
      </c>
      <c r="I8345">
        <f>IF(E8345="Gmail",COUNTIF($E$2:E8345,"Gmail"),"")</f>
        <v/>
      </c>
      <c r="J8345">
        <f>IF(E8345="Outlook",COUNTIF($E$2:E8345,"Outlook"),"")</f>
        <v/>
      </c>
      <c r="K8345">
        <f>IF(E8345="Domain",COUNTIF($E$2:E8345,"Domain"),"")</f>
        <v/>
      </c>
    </row>
    <row r="8346">
      <c r="A8346" s="2" t="n"/>
      <c r="B8346">
        <f>LOWER(TRIM(A8346))</f>
        <v/>
      </c>
      <c r="C8346">
        <f>IF(B8346="","",IFERROR(INDEX('Bad Patterns'!$A$2:$A$120,MATCH(1,INDEX(--ISNUMBER(SEARCH('Bad Patterns'!$A$2:$A$120,B8346)),0),0)),""))</f>
        <v/>
      </c>
      <c r="D8346">
        <f>IF(B8346="","",IF(C8346&lt;&gt;"","REMOVE","KEEP"))</f>
        <v/>
      </c>
      <c r="E8346">
        <f>IF(D8346&lt;&gt;"KEEP","",IF(RIGHT(B8346,10)="@gmail.com","Gmail",IF(OR(RIGHT(B8346,12)="@outlook.com",RIGHT(B8346,12)="@hotmail.com",RIGHT(B8346,9)="@live.com"),"Outlook","Domain")))</f>
        <v/>
      </c>
      <c r="F8346">
        <f>IF(B8346="","",IFERROR(RIGHT(B8346,LEN(B8346)-FIND("@",B8346)),""))</f>
        <v/>
      </c>
      <c r="G8346">
        <f>IF(D8346="KEEP",COUNTIF($D$2:D8346,"KEEP"),"")</f>
        <v/>
      </c>
      <c r="H8346">
        <f>IF(D8346="REMOVE",COUNTIF($D$2:D8346,"REMOVE"),"")</f>
        <v/>
      </c>
      <c r="I8346">
        <f>IF(E8346="Gmail",COUNTIF($E$2:E8346,"Gmail"),"")</f>
        <v/>
      </c>
      <c r="J8346">
        <f>IF(E8346="Outlook",COUNTIF($E$2:E8346,"Outlook"),"")</f>
        <v/>
      </c>
      <c r="K8346">
        <f>IF(E8346="Domain",COUNTIF($E$2:E8346,"Domain"),"")</f>
        <v/>
      </c>
    </row>
    <row r="8347">
      <c r="A8347" s="2" t="n"/>
      <c r="B8347">
        <f>LOWER(TRIM(A8347))</f>
        <v/>
      </c>
      <c r="C8347">
        <f>IF(B8347="","",IFERROR(INDEX('Bad Patterns'!$A$2:$A$120,MATCH(1,INDEX(--ISNUMBER(SEARCH('Bad Patterns'!$A$2:$A$120,B8347)),0),0)),""))</f>
        <v/>
      </c>
      <c r="D8347">
        <f>IF(B8347="","",IF(C8347&lt;&gt;"","REMOVE","KEEP"))</f>
        <v/>
      </c>
      <c r="E8347">
        <f>IF(D8347&lt;&gt;"KEEP","",IF(RIGHT(B8347,10)="@gmail.com","Gmail",IF(OR(RIGHT(B8347,12)="@outlook.com",RIGHT(B8347,12)="@hotmail.com",RIGHT(B8347,9)="@live.com"),"Outlook","Domain")))</f>
        <v/>
      </c>
      <c r="F8347">
        <f>IF(B8347="","",IFERROR(RIGHT(B8347,LEN(B8347)-FIND("@",B8347)),""))</f>
        <v/>
      </c>
      <c r="G8347">
        <f>IF(D8347="KEEP",COUNTIF($D$2:D8347,"KEEP"),"")</f>
        <v/>
      </c>
      <c r="H8347">
        <f>IF(D8347="REMOVE",COUNTIF($D$2:D8347,"REMOVE"),"")</f>
        <v/>
      </c>
      <c r="I8347">
        <f>IF(E8347="Gmail",COUNTIF($E$2:E8347,"Gmail"),"")</f>
        <v/>
      </c>
      <c r="J8347">
        <f>IF(E8347="Outlook",COUNTIF($E$2:E8347,"Outlook"),"")</f>
        <v/>
      </c>
      <c r="K8347">
        <f>IF(E8347="Domain",COUNTIF($E$2:E8347,"Domain"),"")</f>
        <v/>
      </c>
    </row>
    <row r="8348">
      <c r="A8348" s="2" t="n"/>
      <c r="B8348">
        <f>LOWER(TRIM(A8348))</f>
        <v/>
      </c>
      <c r="C8348">
        <f>IF(B8348="","",IFERROR(INDEX('Bad Patterns'!$A$2:$A$120,MATCH(1,INDEX(--ISNUMBER(SEARCH('Bad Patterns'!$A$2:$A$120,B8348)),0),0)),""))</f>
        <v/>
      </c>
      <c r="D8348">
        <f>IF(B8348="","",IF(C8348&lt;&gt;"","REMOVE","KEEP"))</f>
        <v/>
      </c>
      <c r="E8348">
        <f>IF(D8348&lt;&gt;"KEEP","",IF(RIGHT(B8348,10)="@gmail.com","Gmail",IF(OR(RIGHT(B8348,12)="@outlook.com",RIGHT(B8348,12)="@hotmail.com",RIGHT(B8348,9)="@live.com"),"Outlook","Domain")))</f>
        <v/>
      </c>
      <c r="F8348">
        <f>IF(B8348="","",IFERROR(RIGHT(B8348,LEN(B8348)-FIND("@",B8348)),""))</f>
        <v/>
      </c>
      <c r="G8348">
        <f>IF(D8348="KEEP",COUNTIF($D$2:D8348,"KEEP"),"")</f>
        <v/>
      </c>
      <c r="H8348">
        <f>IF(D8348="REMOVE",COUNTIF($D$2:D8348,"REMOVE"),"")</f>
        <v/>
      </c>
      <c r="I8348">
        <f>IF(E8348="Gmail",COUNTIF($E$2:E8348,"Gmail"),"")</f>
        <v/>
      </c>
      <c r="J8348">
        <f>IF(E8348="Outlook",COUNTIF($E$2:E8348,"Outlook"),"")</f>
        <v/>
      </c>
      <c r="K8348">
        <f>IF(E8348="Domain",COUNTIF($E$2:E8348,"Domain"),"")</f>
        <v/>
      </c>
    </row>
    <row r="8349">
      <c r="A8349" s="2" t="n"/>
      <c r="B8349">
        <f>LOWER(TRIM(A8349))</f>
        <v/>
      </c>
      <c r="C8349">
        <f>IF(B8349="","",IFERROR(INDEX('Bad Patterns'!$A$2:$A$120,MATCH(1,INDEX(--ISNUMBER(SEARCH('Bad Patterns'!$A$2:$A$120,B8349)),0),0)),""))</f>
        <v/>
      </c>
      <c r="D8349">
        <f>IF(B8349="","",IF(C8349&lt;&gt;"","REMOVE","KEEP"))</f>
        <v/>
      </c>
      <c r="E8349">
        <f>IF(D8349&lt;&gt;"KEEP","",IF(RIGHT(B8349,10)="@gmail.com","Gmail",IF(OR(RIGHT(B8349,12)="@outlook.com",RIGHT(B8349,12)="@hotmail.com",RIGHT(B8349,9)="@live.com"),"Outlook","Domain")))</f>
        <v/>
      </c>
      <c r="F8349">
        <f>IF(B8349="","",IFERROR(RIGHT(B8349,LEN(B8349)-FIND("@",B8349)),""))</f>
        <v/>
      </c>
      <c r="G8349">
        <f>IF(D8349="KEEP",COUNTIF($D$2:D8349,"KEEP"),"")</f>
        <v/>
      </c>
      <c r="H8349">
        <f>IF(D8349="REMOVE",COUNTIF($D$2:D8349,"REMOVE"),"")</f>
        <v/>
      </c>
      <c r="I8349">
        <f>IF(E8349="Gmail",COUNTIF($E$2:E8349,"Gmail"),"")</f>
        <v/>
      </c>
      <c r="J8349">
        <f>IF(E8349="Outlook",COUNTIF($E$2:E8349,"Outlook"),"")</f>
        <v/>
      </c>
      <c r="K8349">
        <f>IF(E8349="Domain",COUNTIF($E$2:E8349,"Domain"),"")</f>
        <v/>
      </c>
    </row>
    <row r="8350">
      <c r="A8350" s="2" t="n"/>
      <c r="B8350">
        <f>LOWER(TRIM(A8350))</f>
        <v/>
      </c>
      <c r="C8350">
        <f>IF(B8350="","",IFERROR(INDEX('Bad Patterns'!$A$2:$A$120,MATCH(1,INDEX(--ISNUMBER(SEARCH('Bad Patterns'!$A$2:$A$120,B8350)),0),0)),""))</f>
        <v/>
      </c>
      <c r="D8350">
        <f>IF(B8350="","",IF(C8350&lt;&gt;"","REMOVE","KEEP"))</f>
        <v/>
      </c>
      <c r="E8350">
        <f>IF(D8350&lt;&gt;"KEEP","",IF(RIGHT(B8350,10)="@gmail.com","Gmail",IF(OR(RIGHT(B8350,12)="@outlook.com",RIGHT(B8350,12)="@hotmail.com",RIGHT(B8350,9)="@live.com"),"Outlook","Domain")))</f>
        <v/>
      </c>
      <c r="F8350">
        <f>IF(B8350="","",IFERROR(RIGHT(B8350,LEN(B8350)-FIND("@",B8350)),""))</f>
        <v/>
      </c>
      <c r="G8350">
        <f>IF(D8350="KEEP",COUNTIF($D$2:D8350,"KEEP"),"")</f>
        <v/>
      </c>
      <c r="H8350">
        <f>IF(D8350="REMOVE",COUNTIF($D$2:D8350,"REMOVE"),"")</f>
        <v/>
      </c>
      <c r="I8350">
        <f>IF(E8350="Gmail",COUNTIF($E$2:E8350,"Gmail"),"")</f>
        <v/>
      </c>
      <c r="J8350">
        <f>IF(E8350="Outlook",COUNTIF($E$2:E8350,"Outlook"),"")</f>
        <v/>
      </c>
      <c r="K8350">
        <f>IF(E8350="Domain",COUNTIF($E$2:E8350,"Domain"),"")</f>
        <v/>
      </c>
    </row>
    <row r="8351">
      <c r="A8351" s="2" t="n"/>
      <c r="B8351">
        <f>LOWER(TRIM(A8351))</f>
        <v/>
      </c>
      <c r="C8351">
        <f>IF(B8351="","",IFERROR(INDEX('Bad Patterns'!$A$2:$A$120,MATCH(1,INDEX(--ISNUMBER(SEARCH('Bad Patterns'!$A$2:$A$120,B8351)),0),0)),""))</f>
        <v/>
      </c>
      <c r="D8351">
        <f>IF(B8351="","",IF(C8351&lt;&gt;"","REMOVE","KEEP"))</f>
        <v/>
      </c>
      <c r="E8351">
        <f>IF(D8351&lt;&gt;"KEEP","",IF(RIGHT(B8351,10)="@gmail.com","Gmail",IF(OR(RIGHT(B8351,12)="@outlook.com",RIGHT(B8351,12)="@hotmail.com",RIGHT(B8351,9)="@live.com"),"Outlook","Domain")))</f>
        <v/>
      </c>
      <c r="F8351">
        <f>IF(B8351="","",IFERROR(RIGHT(B8351,LEN(B8351)-FIND("@",B8351)),""))</f>
        <v/>
      </c>
      <c r="G8351">
        <f>IF(D8351="KEEP",COUNTIF($D$2:D8351,"KEEP"),"")</f>
        <v/>
      </c>
      <c r="H8351">
        <f>IF(D8351="REMOVE",COUNTIF($D$2:D8351,"REMOVE"),"")</f>
        <v/>
      </c>
      <c r="I8351">
        <f>IF(E8351="Gmail",COUNTIF($E$2:E8351,"Gmail"),"")</f>
        <v/>
      </c>
      <c r="J8351">
        <f>IF(E8351="Outlook",COUNTIF($E$2:E8351,"Outlook"),"")</f>
        <v/>
      </c>
      <c r="K8351">
        <f>IF(E8351="Domain",COUNTIF($E$2:E8351,"Domain"),"")</f>
        <v/>
      </c>
    </row>
    <row r="8352">
      <c r="A8352" s="2" t="n"/>
      <c r="B8352">
        <f>LOWER(TRIM(A8352))</f>
        <v/>
      </c>
      <c r="C8352">
        <f>IF(B8352="","",IFERROR(INDEX('Bad Patterns'!$A$2:$A$120,MATCH(1,INDEX(--ISNUMBER(SEARCH('Bad Patterns'!$A$2:$A$120,B8352)),0),0)),""))</f>
        <v/>
      </c>
      <c r="D8352">
        <f>IF(B8352="","",IF(C8352&lt;&gt;"","REMOVE","KEEP"))</f>
        <v/>
      </c>
      <c r="E8352">
        <f>IF(D8352&lt;&gt;"KEEP","",IF(RIGHT(B8352,10)="@gmail.com","Gmail",IF(OR(RIGHT(B8352,12)="@outlook.com",RIGHT(B8352,12)="@hotmail.com",RIGHT(B8352,9)="@live.com"),"Outlook","Domain")))</f>
        <v/>
      </c>
      <c r="F8352">
        <f>IF(B8352="","",IFERROR(RIGHT(B8352,LEN(B8352)-FIND("@",B8352)),""))</f>
        <v/>
      </c>
      <c r="G8352">
        <f>IF(D8352="KEEP",COUNTIF($D$2:D8352,"KEEP"),"")</f>
        <v/>
      </c>
      <c r="H8352">
        <f>IF(D8352="REMOVE",COUNTIF($D$2:D8352,"REMOVE"),"")</f>
        <v/>
      </c>
      <c r="I8352">
        <f>IF(E8352="Gmail",COUNTIF($E$2:E8352,"Gmail"),"")</f>
        <v/>
      </c>
      <c r="J8352">
        <f>IF(E8352="Outlook",COUNTIF($E$2:E8352,"Outlook"),"")</f>
        <v/>
      </c>
      <c r="K8352">
        <f>IF(E8352="Domain",COUNTIF($E$2:E8352,"Domain"),"")</f>
        <v/>
      </c>
    </row>
    <row r="8353">
      <c r="A8353" s="2" t="n"/>
      <c r="B8353">
        <f>LOWER(TRIM(A8353))</f>
        <v/>
      </c>
      <c r="C8353">
        <f>IF(B8353="","",IFERROR(INDEX('Bad Patterns'!$A$2:$A$120,MATCH(1,INDEX(--ISNUMBER(SEARCH('Bad Patterns'!$A$2:$A$120,B8353)),0),0)),""))</f>
        <v/>
      </c>
      <c r="D8353">
        <f>IF(B8353="","",IF(C8353&lt;&gt;"","REMOVE","KEEP"))</f>
        <v/>
      </c>
      <c r="E8353">
        <f>IF(D8353&lt;&gt;"KEEP","",IF(RIGHT(B8353,10)="@gmail.com","Gmail",IF(OR(RIGHT(B8353,12)="@outlook.com",RIGHT(B8353,12)="@hotmail.com",RIGHT(B8353,9)="@live.com"),"Outlook","Domain")))</f>
        <v/>
      </c>
      <c r="F8353">
        <f>IF(B8353="","",IFERROR(RIGHT(B8353,LEN(B8353)-FIND("@",B8353)),""))</f>
        <v/>
      </c>
      <c r="G8353">
        <f>IF(D8353="KEEP",COUNTIF($D$2:D8353,"KEEP"),"")</f>
        <v/>
      </c>
      <c r="H8353">
        <f>IF(D8353="REMOVE",COUNTIF($D$2:D8353,"REMOVE"),"")</f>
        <v/>
      </c>
      <c r="I8353">
        <f>IF(E8353="Gmail",COUNTIF($E$2:E8353,"Gmail"),"")</f>
        <v/>
      </c>
      <c r="J8353">
        <f>IF(E8353="Outlook",COUNTIF($E$2:E8353,"Outlook"),"")</f>
        <v/>
      </c>
      <c r="K8353">
        <f>IF(E8353="Domain",COUNTIF($E$2:E8353,"Domain"),"")</f>
        <v/>
      </c>
    </row>
    <row r="8354">
      <c r="A8354" s="2" t="n"/>
      <c r="B8354">
        <f>LOWER(TRIM(A8354))</f>
        <v/>
      </c>
      <c r="C8354">
        <f>IF(B8354="","",IFERROR(INDEX('Bad Patterns'!$A$2:$A$120,MATCH(1,INDEX(--ISNUMBER(SEARCH('Bad Patterns'!$A$2:$A$120,B8354)),0),0)),""))</f>
        <v/>
      </c>
      <c r="D8354">
        <f>IF(B8354="","",IF(C8354&lt;&gt;"","REMOVE","KEEP"))</f>
        <v/>
      </c>
      <c r="E8354">
        <f>IF(D8354&lt;&gt;"KEEP","",IF(RIGHT(B8354,10)="@gmail.com","Gmail",IF(OR(RIGHT(B8354,12)="@outlook.com",RIGHT(B8354,12)="@hotmail.com",RIGHT(B8354,9)="@live.com"),"Outlook","Domain")))</f>
        <v/>
      </c>
      <c r="F8354">
        <f>IF(B8354="","",IFERROR(RIGHT(B8354,LEN(B8354)-FIND("@",B8354)),""))</f>
        <v/>
      </c>
      <c r="G8354">
        <f>IF(D8354="KEEP",COUNTIF($D$2:D8354,"KEEP"),"")</f>
        <v/>
      </c>
      <c r="H8354">
        <f>IF(D8354="REMOVE",COUNTIF($D$2:D8354,"REMOVE"),"")</f>
        <v/>
      </c>
      <c r="I8354">
        <f>IF(E8354="Gmail",COUNTIF($E$2:E8354,"Gmail"),"")</f>
        <v/>
      </c>
      <c r="J8354">
        <f>IF(E8354="Outlook",COUNTIF($E$2:E8354,"Outlook"),"")</f>
        <v/>
      </c>
      <c r="K8354">
        <f>IF(E8354="Domain",COUNTIF($E$2:E8354,"Domain"),"")</f>
        <v/>
      </c>
    </row>
    <row r="8355">
      <c r="A8355" s="2" t="n"/>
      <c r="B8355">
        <f>LOWER(TRIM(A8355))</f>
        <v/>
      </c>
      <c r="C8355">
        <f>IF(B8355="","",IFERROR(INDEX('Bad Patterns'!$A$2:$A$120,MATCH(1,INDEX(--ISNUMBER(SEARCH('Bad Patterns'!$A$2:$A$120,B8355)),0),0)),""))</f>
        <v/>
      </c>
      <c r="D8355">
        <f>IF(B8355="","",IF(C8355&lt;&gt;"","REMOVE","KEEP"))</f>
        <v/>
      </c>
      <c r="E8355">
        <f>IF(D8355&lt;&gt;"KEEP","",IF(RIGHT(B8355,10)="@gmail.com","Gmail",IF(OR(RIGHT(B8355,12)="@outlook.com",RIGHT(B8355,12)="@hotmail.com",RIGHT(B8355,9)="@live.com"),"Outlook","Domain")))</f>
        <v/>
      </c>
      <c r="F8355">
        <f>IF(B8355="","",IFERROR(RIGHT(B8355,LEN(B8355)-FIND("@",B8355)),""))</f>
        <v/>
      </c>
      <c r="G8355">
        <f>IF(D8355="KEEP",COUNTIF($D$2:D8355,"KEEP"),"")</f>
        <v/>
      </c>
      <c r="H8355">
        <f>IF(D8355="REMOVE",COUNTIF($D$2:D8355,"REMOVE"),"")</f>
        <v/>
      </c>
      <c r="I8355">
        <f>IF(E8355="Gmail",COUNTIF($E$2:E8355,"Gmail"),"")</f>
        <v/>
      </c>
      <c r="J8355">
        <f>IF(E8355="Outlook",COUNTIF($E$2:E8355,"Outlook"),"")</f>
        <v/>
      </c>
      <c r="K8355">
        <f>IF(E8355="Domain",COUNTIF($E$2:E8355,"Domain"),"")</f>
        <v/>
      </c>
    </row>
    <row r="8356">
      <c r="A8356" s="2" t="n"/>
      <c r="B8356">
        <f>LOWER(TRIM(A8356))</f>
        <v/>
      </c>
      <c r="C8356">
        <f>IF(B8356="","",IFERROR(INDEX('Bad Patterns'!$A$2:$A$120,MATCH(1,INDEX(--ISNUMBER(SEARCH('Bad Patterns'!$A$2:$A$120,B8356)),0),0)),""))</f>
        <v/>
      </c>
      <c r="D8356">
        <f>IF(B8356="","",IF(C8356&lt;&gt;"","REMOVE","KEEP"))</f>
        <v/>
      </c>
      <c r="E8356">
        <f>IF(D8356&lt;&gt;"KEEP","",IF(RIGHT(B8356,10)="@gmail.com","Gmail",IF(OR(RIGHT(B8356,12)="@outlook.com",RIGHT(B8356,12)="@hotmail.com",RIGHT(B8356,9)="@live.com"),"Outlook","Domain")))</f>
        <v/>
      </c>
      <c r="F8356">
        <f>IF(B8356="","",IFERROR(RIGHT(B8356,LEN(B8356)-FIND("@",B8356)),""))</f>
        <v/>
      </c>
      <c r="G8356">
        <f>IF(D8356="KEEP",COUNTIF($D$2:D8356,"KEEP"),"")</f>
        <v/>
      </c>
      <c r="H8356">
        <f>IF(D8356="REMOVE",COUNTIF($D$2:D8356,"REMOVE"),"")</f>
        <v/>
      </c>
      <c r="I8356">
        <f>IF(E8356="Gmail",COUNTIF($E$2:E8356,"Gmail"),"")</f>
        <v/>
      </c>
      <c r="J8356">
        <f>IF(E8356="Outlook",COUNTIF($E$2:E8356,"Outlook"),"")</f>
        <v/>
      </c>
      <c r="K8356">
        <f>IF(E8356="Domain",COUNTIF($E$2:E8356,"Domain"),"")</f>
        <v/>
      </c>
    </row>
    <row r="8357">
      <c r="A8357" s="2" t="n"/>
      <c r="B8357">
        <f>LOWER(TRIM(A8357))</f>
        <v/>
      </c>
      <c r="C8357">
        <f>IF(B8357="","",IFERROR(INDEX('Bad Patterns'!$A$2:$A$120,MATCH(1,INDEX(--ISNUMBER(SEARCH('Bad Patterns'!$A$2:$A$120,B8357)),0),0)),""))</f>
        <v/>
      </c>
      <c r="D8357">
        <f>IF(B8357="","",IF(C8357&lt;&gt;"","REMOVE","KEEP"))</f>
        <v/>
      </c>
      <c r="E8357">
        <f>IF(D8357&lt;&gt;"KEEP","",IF(RIGHT(B8357,10)="@gmail.com","Gmail",IF(OR(RIGHT(B8357,12)="@outlook.com",RIGHT(B8357,12)="@hotmail.com",RIGHT(B8357,9)="@live.com"),"Outlook","Domain")))</f>
        <v/>
      </c>
      <c r="F8357">
        <f>IF(B8357="","",IFERROR(RIGHT(B8357,LEN(B8357)-FIND("@",B8357)),""))</f>
        <v/>
      </c>
      <c r="G8357">
        <f>IF(D8357="KEEP",COUNTIF($D$2:D8357,"KEEP"),"")</f>
        <v/>
      </c>
      <c r="H8357">
        <f>IF(D8357="REMOVE",COUNTIF($D$2:D8357,"REMOVE"),"")</f>
        <v/>
      </c>
      <c r="I8357">
        <f>IF(E8357="Gmail",COUNTIF($E$2:E8357,"Gmail"),"")</f>
        <v/>
      </c>
      <c r="J8357">
        <f>IF(E8357="Outlook",COUNTIF($E$2:E8357,"Outlook"),"")</f>
        <v/>
      </c>
      <c r="K8357">
        <f>IF(E8357="Domain",COUNTIF($E$2:E8357,"Domain"),"")</f>
        <v/>
      </c>
    </row>
    <row r="8358">
      <c r="A8358" s="2" t="n"/>
      <c r="B8358">
        <f>LOWER(TRIM(A8358))</f>
        <v/>
      </c>
      <c r="C8358">
        <f>IF(B8358="","",IFERROR(INDEX('Bad Patterns'!$A$2:$A$120,MATCH(1,INDEX(--ISNUMBER(SEARCH('Bad Patterns'!$A$2:$A$120,B8358)),0),0)),""))</f>
        <v/>
      </c>
      <c r="D8358">
        <f>IF(B8358="","",IF(C8358&lt;&gt;"","REMOVE","KEEP"))</f>
        <v/>
      </c>
      <c r="E8358">
        <f>IF(D8358&lt;&gt;"KEEP","",IF(RIGHT(B8358,10)="@gmail.com","Gmail",IF(OR(RIGHT(B8358,12)="@outlook.com",RIGHT(B8358,12)="@hotmail.com",RIGHT(B8358,9)="@live.com"),"Outlook","Domain")))</f>
        <v/>
      </c>
      <c r="F8358">
        <f>IF(B8358="","",IFERROR(RIGHT(B8358,LEN(B8358)-FIND("@",B8358)),""))</f>
        <v/>
      </c>
      <c r="G8358">
        <f>IF(D8358="KEEP",COUNTIF($D$2:D8358,"KEEP"),"")</f>
        <v/>
      </c>
      <c r="H8358">
        <f>IF(D8358="REMOVE",COUNTIF($D$2:D8358,"REMOVE"),"")</f>
        <v/>
      </c>
      <c r="I8358">
        <f>IF(E8358="Gmail",COUNTIF($E$2:E8358,"Gmail"),"")</f>
        <v/>
      </c>
      <c r="J8358">
        <f>IF(E8358="Outlook",COUNTIF($E$2:E8358,"Outlook"),"")</f>
        <v/>
      </c>
      <c r="K8358">
        <f>IF(E8358="Domain",COUNTIF($E$2:E8358,"Domain"),"")</f>
        <v/>
      </c>
    </row>
    <row r="8359">
      <c r="A8359" s="2" t="n"/>
      <c r="B8359">
        <f>LOWER(TRIM(A8359))</f>
        <v/>
      </c>
      <c r="C8359">
        <f>IF(B8359="","",IFERROR(INDEX('Bad Patterns'!$A$2:$A$120,MATCH(1,INDEX(--ISNUMBER(SEARCH('Bad Patterns'!$A$2:$A$120,B8359)),0),0)),""))</f>
        <v/>
      </c>
      <c r="D8359">
        <f>IF(B8359="","",IF(C8359&lt;&gt;"","REMOVE","KEEP"))</f>
        <v/>
      </c>
      <c r="E8359">
        <f>IF(D8359&lt;&gt;"KEEP","",IF(RIGHT(B8359,10)="@gmail.com","Gmail",IF(OR(RIGHT(B8359,12)="@outlook.com",RIGHT(B8359,12)="@hotmail.com",RIGHT(B8359,9)="@live.com"),"Outlook","Domain")))</f>
        <v/>
      </c>
      <c r="F8359">
        <f>IF(B8359="","",IFERROR(RIGHT(B8359,LEN(B8359)-FIND("@",B8359)),""))</f>
        <v/>
      </c>
      <c r="G8359">
        <f>IF(D8359="KEEP",COUNTIF($D$2:D8359,"KEEP"),"")</f>
        <v/>
      </c>
      <c r="H8359">
        <f>IF(D8359="REMOVE",COUNTIF($D$2:D8359,"REMOVE"),"")</f>
        <v/>
      </c>
      <c r="I8359">
        <f>IF(E8359="Gmail",COUNTIF($E$2:E8359,"Gmail"),"")</f>
        <v/>
      </c>
      <c r="J8359">
        <f>IF(E8359="Outlook",COUNTIF($E$2:E8359,"Outlook"),"")</f>
        <v/>
      </c>
      <c r="K8359">
        <f>IF(E8359="Domain",COUNTIF($E$2:E8359,"Domain"),"")</f>
        <v/>
      </c>
    </row>
    <row r="8360">
      <c r="A8360" s="2" t="n"/>
      <c r="B8360">
        <f>LOWER(TRIM(A8360))</f>
        <v/>
      </c>
      <c r="C8360">
        <f>IF(B8360="","",IFERROR(INDEX('Bad Patterns'!$A$2:$A$120,MATCH(1,INDEX(--ISNUMBER(SEARCH('Bad Patterns'!$A$2:$A$120,B8360)),0),0)),""))</f>
        <v/>
      </c>
      <c r="D8360">
        <f>IF(B8360="","",IF(C8360&lt;&gt;"","REMOVE","KEEP"))</f>
        <v/>
      </c>
      <c r="E8360">
        <f>IF(D8360&lt;&gt;"KEEP","",IF(RIGHT(B8360,10)="@gmail.com","Gmail",IF(OR(RIGHT(B8360,12)="@outlook.com",RIGHT(B8360,12)="@hotmail.com",RIGHT(B8360,9)="@live.com"),"Outlook","Domain")))</f>
        <v/>
      </c>
      <c r="F8360">
        <f>IF(B8360="","",IFERROR(RIGHT(B8360,LEN(B8360)-FIND("@",B8360)),""))</f>
        <v/>
      </c>
      <c r="G8360">
        <f>IF(D8360="KEEP",COUNTIF($D$2:D8360,"KEEP"),"")</f>
        <v/>
      </c>
      <c r="H8360">
        <f>IF(D8360="REMOVE",COUNTIF($D$2:D8360,"REMOVE"),"")</f>
        <v/>
      </c>
      <c r="I8360">
        <f>IF(E8360="Gmail",COUNTIF($E$2:E8360,"Gmail"),"")</f>
        <v/>
      </c>
      <c r="J8360">
        <f>IF(E8360="Outlook",COUNTIF($E$2:E8360,"Outlook"),"")</f>
        <v/>
      </c>
      <c r="K8360">
        <f>IF(E8360="Domain",COUNTIF($E$2:E8360,"Domain"),"")</f>
        <v/>
      </c>
    </row>
    <row r="8361">
      <c r="A8361" s="2" t="n"/>
      <c r="B8361">
        <f>LOWER(TRIM(A8361))</f>
        <v/>
      </c>
      <c r="C8361">
        <f>IF(B8361="","",IFERROR(INDEX('Bad Patterns'!$A$2:$A$120,MATCH(1,INDEX(--ISNUMBER(SEARCH('Bad Patterns'!$A$2:$A$120,B8361)),0),0)),""))</f>
        <v/>
      </c>
      <c r="D8361">
        <f>IF(B8361="","",IF(C8361&lt;&gt;"","REMOVE","KEEP"))</f>
        <v/>
      </c>
      <c r="E8361">
        <f>IF(D8361&lt;&gt;"KEEP","",IF(RIGHT(B8361,10)="@gmail.com","Gmail",IF(OR(RIGHT(B8361,12)="@outlook.com",RIGHT(B8361,12)="@hotmail.com",RIGHT(B8361,9)="@live.com"),"Outlook","Domain")))</f>
        <v/>
      </c>
      <c r="F8361">
        <f>IF(B8361="","",IFERROR(RIGHT(B8361,LEN(B8361)-FIND("@",B8361)),""))</f>
        <v/>
      </c>
      <c r="G8361">
        <f>IF(D8361="KEEP",COUNTIF($D$2:D8361,"KEEP"),"")</f>
        <v/>
      </c>
      <c r="H8361">
        <f>IF(D8361="REMOVE",COUNTIF($D$2:D8361,"REMOVE"),"")</f>
        <v/>
      </c>
      <c r="I8361">
        <f>IF(E8361="Gmail",COUNTIF($E$2:E8361,"Gmail"),"")</f>
        <v/>
      </c>
      <c r="J8361">
        <f>IF(E8361="Outlook",COUNTIF($E$2:E8361,"Outlook"),"")</f>
        <v/>
      </c>
      <c r="K8361">
        <f>IF(E8361="Domain",COUNTIF($E$2:E8361,"Domain"),"")</f>
        <v/>
      </c>
    </row>
    <row r="8362">
      <c r="A8362" s="2" t="n"/>
      <c r="B8362">
        <f>LOWER(TRIM(A8362))</f>
        <v/>
      </c>
      <c r="C8362">
        <f>IF(B8362="","",IFERROR(INDEX('Bad Patterns'!$A$2:$A$120,MATCH(1,INDEX(--ISNUMBER(SEARCH('Bad Patterns'!$A$2:$A$120,B8362)),0),0)),""))</f>
        <v/>
      </c>
      <c r="D8362">
        <f>IF(B8362="","",IF(C8362&lt;&gt;"","REMOVE","KEEP"))</f>
        <v/>
      </c>
      <c r="E8362">
        <f>IF(D8362&lt;&gt;"KEEP","",IF(RIGHT(B8362,10)="@gmail.com","Gmail",IF(OR(RIGHT(B8362,12)="@outlook.com",RIGHT(B8362,12)="@hotmail.com",RIGHT(B8362,9)="@live.com"),"Outlook","Domain")))</f>
        <v/>
      </c>
      <c r="F8362">
        <f>IF(B8362="","",IFERROR(RIGHT(B8362,LEN(B8362)-FIND("@",B8362)),""))</f>
        <v/>
      </c>
      <c r="G8362">
        <f>IF(D8362="KEEP",COUNTIF($D$2:D8362,"KEEP"),"")</f>
        <v/>
      </c>
      <c r="H8362">
        <f>IF(D8362="REMOVE",COUNTIF($D$2:D8362,"REMOVE"),"")</f>
        <v/>
      </c>
      <c r="I8362">
        <f>IF(E8362="Gmail",COUNTIF($E$2:E8362,"Gmail"),"")</f>
        <v/>
      </c>
      <c r="J8362">
        <f>IF(E8362="Outlook",COUNTIF($E$2:E8362,"Outlook"),"")</f>
        <v/>
      </c>
      <c r="K8362">
        <f>IF(E8362="Domain",COUNTIF($E$2:E8362,"Domain"),"")</f>
        <v/>
      </c>
    </row>
    <row r="8363">
      <c r="A8363" s="2" t="n"/>
      <c r="B8363">
        <f>LOWER(TRIM(A8363))</f>
        <v/>
      </c>
      <c r="C8363">
        <f>IF(B8363="","",IFERROR(INDEX('Bad Patterns'!$A$2:$A$120,MATCH(1,INDEX(--ISNUMBER(SEARCH('Bad Patterns'!$A$2:$A$120,B8363)),0),0)),""))</f>
        <v/>
      </c>
      <c r="D8363">
        <f>IF(B8363="","",IF(C8363&lt;&gt;"","REMOVE","KEEP"))</f>
        <v/>
      </c>
      <c r="E8363">
        <f>IF(D8363&lt;&gt;"KEEP","",IF(RIGHT(B8363,10)="@gmail.com","Gmail",IF(OR(RIGHT(B8363,12)="@outlook.com",RIGHT(B8363,12)="@hotmail.com",RIGHT(B8363,9)="@live.com"),"Outlook","Domain")))</f>
        <v/>
      </c>
      <c r="F8363">
        <f>IF(B8363="","",IFERROR(RIGHT(B8363,LEN(B8363)-FIND("@",B8363)),""))</f>
        <v/>
      </c>
      <c r="G8363">
        <f>IF(D8363="KEEP",COUNTIF($D$2:D8363,"KEEP"),"")</f>
        <v/>
      </c>
      <c r="H8363">
        <f>IF(D8363="REMOVE",COUNTIF($D$2:D8363,"REMOVE"),"")</f>
        <v/>
      </c>
      <c r="I8363">
        <f>IF(E8363="Gmail",COUNTIF($E$2:E8363,"Gmail"),"")</f>
        <v/>
      </c>
      <c r="J8363">
        <f>IF(E8363="Outlook",COUNTIF($E$2:E8363,"Outlook"),"")</f>
        <v/>
      </c>
      <c r="K8363">
        <f>IF(E8363="Domain",COUNTIF($E$2:E8363,"Domain"),"")</f>
        <v/>
      </c>
    </row>
    <row r="8364">
      <c r="A8364" s="2" t="n"/>
      <c r="B8364">
        <f>LOWER(TRIM(A8364))</f>
        <v/>
      </c>
      <c r="C8364">
        <f>IF(B8364="","",IFERROR(INDEX('Bad Patterns'!$A$2:$A$120,MATCH(1,INDEX(--ISNUMBER(SEARCH('Bad Patterns'!$A$2:$A$120,B8364)),0),0)),""))</f>
        <v/>
      </c>
      <c r="D8364">
        <f>IF(B8364="","",IF(C8364&lt;&gt;"","REMOVE","KEEP"))</f>
        <v/>
      </c>
      <c r="E8364">
        <f>IF(D8364&lt;&gt;"KEEP","",IF(RIGHT(B8364,10)="@gmail.com","Gmail",IF(OR(RIGHT(B8364,12)="@outlook.com",RIGHT(B8364,12)="@hotmail.com",RIGHT(B8364,9)="@live.com"),"Outlook","Domain")))</f>
        <v/>
      </c>
      <c r="F8364">
        <f>IF(B8364="","",IFERROR(RIGHT(B8364,LEN(B8364)-FIND("@",B8364)),""))</f>
        <v/>
      </c>
      <c r="G8364">
        <f>IF(D8364="KEEP",COUNTIF($D$2:D8364,"KEEP"),"")</f>
        <v/>
      </c>
      <c r="H8364">
        <f>IF(D8364="REMOVE",COUNTIF($D$2:D8364,"REMOVE"),"")</f>
        <v/>
      </c>
      <c r="I8364">
        <f>IF(E8364="Gmail",COUNTIF($E$2:E8364,"Gmail"),"")</f>
        <v/>
      </c>
      <c r="J8364">
        <f>IF(E8364="Outlook",COUNTIF($E$2:E8364,"Outlook"),"")</f>
        <v/>
      </c>
      <c r="K8364">
        <f>IF(E8364="Domain",COUNTIF($E$2:E8364,"Domain"),"")</f>
        <v/>
      </c>
    </row>
    <row r="8365">
      <c r="A8365" s="2" t="n"/>
      <c r="B8365">
        <f>LOWER(TRIM(A8365))</f>
        <v/>
      </c>
      <c r="C8365">
        <f>IF(B8365="","",IFERROR(INDEX('Bad Patterns'!$A$2:$A$120,MATCH(1,INDEX(--ISNUMBER(SEARCH('Bad Patterns'!$A$2:$A$120,B8365)),0),0)),""))</f>
        <v/>
      </c>
      <c r="D8365">
        <f>IF(B8365="","",IF(C8365&lt;&gt;"","REMOVE","KEEP"))</f>
        <v/>
      </c>
      <c r="E8365">
        <f>IF(D8365&lt;&gt;"KEEP","",IF(RIGHT(B8365,10)="@gmail.com","Gmail",IF(OR(RIGHT(B8365,12)="@outlook.com",RIGHT(B8365,12)="@hotmail.com",RIGHT(B8365,9)="@live.com"),"Outlook","Domain")))</f>
        <v/>
      </c>
      <c r="F8365">
        <f>IF(B8365="","",IFERROR(RIGHT(B8365,LEN(B8365)-FIND("@",B8365)),""))</f>
        <v/>
      </c>
      <c r="G8365">
        <f>IF(D8365="KEEP",COUNTIF($D$2:D8365,"KEEP"),"")</f>
        <v/>
      </c>
      <c r="H8365">
        <f>IF(D8365="REMOVE",COUNTIF($D$2:D8365,"REMOVE"),"")</f>
        <v/>
      </c>
      <c r="I8365">
        <f>IF(E8365="Gmail",COUNTIF($E$2:E8365,"Gmail"),"")</f>
        <v/>
      </c>
      <c r="J8365">
        <f>IF(E8365="Outlook",COUNTIF($E$2:E8365,"Outlook"),"")</f>
        <v/>
      </c>
      <c r="K8365">
        <f>IF(E8365="Domain",COUNTIF($E$2:E8365,"Domain"),"")</f>
        <v/>
      </c>
    </row>
    <row r="8366">
      <c r="A8366" s="2" t="n"/>
      <c r="B8366">
        <f>LOWER(TRIM(A8366))</f>
        <v/>
      </c>
      <c r="C8366">
        <f>IF(B8366="","",IFERROR(INDEX('Bad Patterns'!$A$2:$A$120,MATCH(1,INDEX(--ISNUMBER(SEARCH('Bad Patterns'!$A$2:$A$120,B8366)),0),0)),""))</f>
        <v/>
      </c>
      <c r="D8366">
        <f>IF(B8366="","",IF(C8366&lt;&gt;"","REMOVE","KEEP"))</f>
        <v/>
      </c>
      <c r="E8366">
        <f>IF(D8366&lt;&gt;"KEEP","",IF(RIGHT(B8366,10)="@gmail.com","Gmail",IF(OR(RIGHT(B8366,12)="@outlook.com",RIGHT(B8366,12)="@hotmail.com",RIGHT(B8366,9)="@live.com"),"Outlook","Domain")))</f>
        <v/>
      </c>
      <c r="F8366">
        <f>IF(B8366="","",IFERROR(RIGHT(B8366,LEN(B8366)-FIND("@",B8366)),""))</f>
        <v/>
      </c>
      <c r="G8366">
        <f>IF(D8366="KEEP",COUNTIF($D$2:D8366,"KEEP"),"")</f>
        <v/>
      </c>
      <c r="H8366">
        <f>IF(D8366="REMOVE",COUNTIF($D$2:D8366,"REMOVE"),"")</f>
        <v/>
      </c>
      <c r="I8366">
        <f>IF(E8366="Gmail",COUNTIF($E$2:E8366,"Gmail"),"")</f>
        <v/>
      </c>
      <c r="J8366">
        <f>IF(E8366="Outlook",COUNTIF($E$2:E8366,"Outlook"),"")</f>
        <v/>
      </c>
      <c r="K8366">
        <f>IF(E8366="Domain",COUNTIF($E$2:E8366,"Domain"),"")</f>
        <v/>
      </c>
    </row>
    <row r="8367">
      <c r="A8367" s="2" t="n"/>
      <c r="B8367">
        <f>LOWER(TRIM(A8367))</f>
        <v/>
      </c>
      <c r="C8367">
        <f>IF(B8367="","",IFERROR(INDEX('Bad Patterns'!$A$2:$A$120,MATCH(1,INDEX(--ISNUMBER(SEARCH('Bad Patterns'!$A$2:$A$120,B8367)),0),0)),""))</f>
        <v/>
      </c>
      <c r="D8367">
        <f>IF(B8367="","",IF(C8367&lt;&gt;"","REMOVE","KEEP"))</f>
        <v/>
      </c>
      <c r="E8367">
        <f>IF(D8367&lt;&gt;"KEEP","",IF(RIGHT(B8367,10)="@gmail.com","Gmail",IF(OR(RIGHT(B8367,12)="@outlook.com",RIGHT(B8367,12)="@hotmail.com",RIGHT(B8367,9)="@live.com"),"Outlook","Domain")))</f>
        <v/>
      </c>
      <c r="F8367">
        <f>IF(B8367="","",IFERROR(RIGHT(B8367,LEN(B8367)-FIND("@",B8367)),""))</f>
        <v/>
      </c>
      <c r="G8367">
        <f>IF(D8367="KEEP",COUNTIF($D$2:D8367,"KEEP"),"")</f>
        <v/>
      </c>
      <c r="H8367">
        <f>IF(D8367="REMOVE",COUNTIF($D$2:D8367,"REMOVE"),"")</f>
        <v/>
      </c>
      <c r="I8367">
        <f>IF(E8367="Gmail",COUNTIF($E$2:E8367,"Gmail"),"")</f>
        <v/>
      </c>
      <c r="J8367">
        <f>IF(E8367="Outlook",COUNTIF($E$2:E8367,"Outlook"),"")</f>
        <v/>
      </c>
      <c r="K8367">
        <f>IF(E8367="Domain",COUNTIF($E$2:E8367,"Domain"),"")</f>
        <v/>
      </c>
    </row>
    <row r="8368">
      <c r="A8368" s="2" t="n"/>
      <c r="B8368">
        <f>LOWER(TRIM(A8368))</f>
        <v/>
      </c>
      <c r="C8368">
        <f>IF(B8368="","",IFERROR(INDEX('Bad Patterns'!$A$2:$A$120,MATCH(1,INDEX(--ISNUMBER(SEARCH('Bad Patterns'!$A$2:$A$120,B8368)),0),0)),""))</f>
        <v/>
      </c>
      <c r="D8368">
        <f>IF(B8368="","",IF(C8368&lt;&gt;"","REMOVE","KEEP"))</f>
        <v/>
      </c>
      <c r="E8368">
        <f>IF(D8368&lt;&gt;"KEEP","",IF(RIGHT(B8368,10)="@gmail.com","Gmail",IF(OR(RIGHT(B8368,12)="@outlook.com",RIGHT(B8368,12)="@hotmail.com",RIGHT(B8368,9)="@live.com"),"Outlook","Domain")))</f>
        <v/>
      </c>
      <c r="F8368">
        <f>IF(B8368="","",IFERROR(RIGHT(B8368,LEN(B8368)-FIND("@",B8368)),""))</f>
        <v/>
      </c>
      <c r="G8368">
        <f>IF(D8368="KEEP",COUNTIF($D$2:D8368,"KEEP"),"")</f>
        <v/>
      </c>
      <c r="H8368">
        <f>IF(D8368="REMOVE",COUNTIF($D$2:D8368,"REMOVE"),"")</f>
        <v/>
      </c>
      <c r="I8368">
        <f>IF(E8368="Gmail",COUNTIF($E$2:E8368,"Gmail"),"")</f>
        <v/>
      </c>
      <c r="J8368">
        <f>IF(E8368="Outlook",COUNTIF($E$2:E8368,"Outlook"),"")</f>
        <v/>
      </c>
      <c r="K8368">
        <f>IF(E8368="Domain",COUNTIF($E$2:E8368,"Domain"),"")</f>
        <v/>
      </c>
    </row>
    <row r="8369">
      <c r="A8369" s="2" t="n"/>
      <c r="B8369">
        <f>LOWER(TRIM(A8369))</f>
        <v/>
      </c>
      <c r="C8369">
        <f>IF(B8369="","",IFERROR(INDEX('Bad Patterns'!$A$2:$A$120,MATCH(1,INDEX(--ISNUMBER(SEARCH('Bad Patterns'!$A$2:$A$120,B8369)),0),0)),""))</f>
        <v/>
      </c>
      <c r="D8369">
        <f>IF(B8369="","",IF(C8369&lt;&gt;"","REMOVE","KEEP"))</f>
        <v/>
      </c>
      <c r="E8369">
        <f>IF(D8369&lt;&gt;"KEEP","",IF(RIGHT(B8369,10)="@gmail.com","Gmail",IF(OR(RIGHT(B8369,12)="@outlook.com",RIGHT(B8369,12)="@hotmail.com",RIGHT(B8369,9)="@live.com"),"Outlook","Domain")))</f>
        <v/>
      </c>
      <c r="F8369">
        <f>IF(B8369="","",IFERROR(RIGHT(B8369,LEN(B8369)-FIND("@",B8369)),""))</f>
        <v/>
      </c>
      <c r="G8369">
        <f>IF(D8369="KEEP",COUNTIF($D$2:D8369,"KEEP"),"")</f>
        <v/>
      </c>
      <c r="H8369">
        <f>IF(D8369="REMOVE",COUNTIF($D$2:D8369,"REMOVE"),"")</f>
        <v/>
      </c>
      <c r="I8369">
        <f>IF(E8369="Gmail",COUNTIF($E$2:E8369,"Gmail"),"")</f>
        <v/>
      </c>
      <c r="J8369">
        <f>IF(E8369="Outlook",COUNTIF($E$2:E8369,"Outlook"),"")</f>
        <v/>
      </c>
      <c r="K8369">
        <f>IF(E8369="Domain",COUNTIF($E$2:E8369,"Domain"),"")</f>
        <v/>
      </c>
    </row>
    <row r="8370">
      <c r="A8370" s="2" t="n"/>
      <c r="B8370">
        <f>LOWER(TRIM(A8370))</f>
        <v/>
      </c>
      <c r="C8370">
        <f>IF(B8370="","",IFERROR(INDEX('Bad Patterns'!$A$2:$A$120,MATCH(1,INDEX(--ISNUMBER(SEARCH('Bad Patterns'!$A$2:$A$120,B8370)),0),0)),""))</f>
        <v/>
      </c>
      <c r="D8370">
        <f>IF(B8370="","",IF(C8370&lt;&gt;"","REMOVE","KEEP"))</f>
        <v/>
      </c>
      <c r="E8370">
        <f>IF(D8370&lt;&gt;"KEEP","",IF(RIGHT(B8370,10)="@gmail.com","Gmail",IF(OR(RIGHT(B8370,12)="@outlook.com",RIGHT(B8370,12)="@hotmail.com",RIGHT(B8370,9)="@live.com"),"Outlook","Domain")))</f>
        <v/>
      </c>
      <c r="F8370">
        <f>IF(B8370="","",IFERROR(RIGHT(B8370,LEN(B8370)-FIND("@",B8370)),""))</f>
        <v/>
      </c>
      <c r="G8370">
        <f>IF(D8370="KEEP",COUNTIF($D$2:D8370,"KEEP"),"")</f>
        <v/>
      </c>
      <c r="H8370">
        <f>IF(D8370="REMOVE",COUNTIF($D$2:D8370,"REMOVE"),"")</f>
        <v/>
      </c>
      <c r="I8370">
        <f>IF(E8370="Gmail",COUNTIF($E$2:E8370,"Gmail"),"")</f>
        <v/>
      </c>
      <c r="J8370">
        <f>IF(E8370="Outlook",COUNTIF($E$2:E8370,"Outlook"),"")</f>
        <v/>
      </c>
      <c r="K8370">
        <f>IF(E8370="Domain",COUNTIF($E$2:E8370,"Domain"),"")</f>
        <v/>
      </c>
    </row>
    <row r="8371">
      <c r="A8371" s="2" t="n"/>
      <c r="B8371">
        <f>LOWER(TRIM(A8371))</f>
        <v/>
      </c>
      <c r="C8371">
        <f>IF(B8371="","",IFERROR(INDEX('Bad Patterns'!$A$2:$A$120,MATCH(1,INDEX(--ISNUMBER(SEARCH('Bad Patterns'!$A$2:$A$120,B8371)),0),0)),""))</f>
        <v/>
      </c>
      <c r="D8371">
        <f>IF(B8371="","",IF(C8371&lt;&gt;"","REMOVE","KEEP"))</f>
        <v/>
      </c>
      <c r="E8371">
        <f>IF(D8371&lt;&gt;"KEEP","",IF(RIGHT(B8371,10)="@gmail.com","Gmail",IF(OR(RIGHT(B8371,12)="@outlook.com",RIGHT(B8371,12)="@hotmail.com",RIGHT(B8371,9)="@live.com"),"Outlook","Domain")))</f>
        <v/>
      </c>
      <c r="F8371">
        <f>IF(B8371="","",IFERROR(RIGHT(B8371,LEN(B8371)-FIND("@",B8371)),""))</f>
        <v/>
      </c>
      <c r="G8371">
        <f>IF(D8371="KEEP",COUNTIF($D$2:D8371,"KEEP"),"")</f>
        <v/>
      </c>
      <c r="H8371">
        <f>IF(D8371="REMOVE",COUNTIF($D$2:D8371,"REMOVE"),"")</f>
        <v/>
      </c>
      <c r="I8371">
        <f>IF(E8371="Gmail",COUNTIF($E$2:E8371,"Gmail"),"")</f>
        <v/>
      </c>
      <c r="J8371">
        <f>IF(E8371="Outlook",COUNTIF($E$2:E8371,"Outlook"),"")</f>
        <v/>
      </c>
      <c r="K8371">
        <f>IF(E8371="Domain",COUNTIF($E$2:E8371,"Domain"),"")</f>
        <v/>
      </c>
    </row>
    <row r="8372">
      <c r="A8372" s="2" t="n"/>
      <c r="B8372">
        <f>LOWER(TRIM(A8372))</f>
        <v/>
      </c>
      <c r="C8372">
        <f>IF(B8372="","",IFERROR(INDEX('Bad Patterns'!$A$2:$A$120,MATCH(1,INDEX(--ISNUMBER(SEARCH('Bad Patterns'!$A$2:$A$120,B8372)),0),0)),""))</f>
        <v/>
      </c>
      <c r="D8372">
        <f>IF(B8372="","",IF(C8372&lt;&gt;"","REMOVE","KEEP"))</f>
        <v/>
      </c>
      <c r="E8372">
        <f>IF(D8372&lt;&gt;"KEEP","",IF(RIGHT(B8372,10)="@gmail.com","Gmail",IF(OR(RIGHT(B8372,12)="@outlook.com",RIGHT(B8372,12)="@hotmail.com",RIGHT(B8372,9)="@live.com"),"Outlook","Domain")))</f>
        <v/>
      </c>
      <c r="F8372">
        <f>IF(B8372="","",IFERROR(RIGHT(B8372,LEN(B8372)-FIND("@",B8372)),""))</f>
        <v/>
      </c>
      <c r="G8372">
        <f>IF(D8372="KEEP",COUNTIF($D$2:D8372,"KEEP"),"")</f>
        <v/>
      </c>
      <c r="H8372">
        <f>IF(D8372="REMOVE",COUNTIF($D$2:D8372,"REMOVE"),"")</f>
        <v/>
      </c>
      <c r="I8372">
        <f>IF(E8372="Gmail",COUNTIF($E$2:E8372,"Gmail"),"")</f>
        <v/>
      </c>
      <c r="J8372">
        <f>IF(E8372="Outlook",COUNTIF($E$2:E8372,"Outlook"),"")</f>
        <v/>
      </c>
      <c r="K8372">
        <f>IF(E8372="Domain",COUNTIF($E$2:E8372,"Domain"),"")</f>
        <v/>
      </c>
    </row>
    <row r="8373">
      <c r="A8373" s="2" t="n"/>
      <c r="B8373">
        <f>LOWER(TRIM(A8373))</f>
        <v/>
      </c>
      <c r="C8373">
        <f>IF(B8373="","",IFERROR(INDEX('Bad Patterns'!$A$2:$A$120,MATCH(1,INDEX(--ISNUMBER(SEARCH('Bad Patterns'!$A$2:$A$120,B8373)),0),0)),""))</f>
        <v/>
      </c>
      <c r="D8373">
        <f>IF(B8373="","",IF(C8373&lt;&gt;"","REMOVE","KEEP"))</f>
        <v/>
      </c>
      <c r="E8373">
        <f>IF(D8373&lt;&gt;"KEEP","",IF(RIGHT(B8373,10)="@gmail.com","Gmail",IF(OR(RIGHT(B8373,12)="@outlook.com",RIGHT(B8373,12)="@hotmail.com",RIGHT(B8373,9)="@live.com"),"Outlook","Domain")))</f>
        <v/>
      </c>
      <c r="F8373">
        <f>IF(B8373="","",IFERROR(RIGHT(B8373,LEN(B8373)-FIND("@",B8373)),""))</f>
        <v/>
      </c>
      <c r="G8373">
        <f>IF(D8373="KEEP",COUNTIF($D$2:D8373,"KEEP"),"")</f>
        <v/>
      </c>
      <c r="H8373">
        <f>IF(D8373="REMOVE",COUNTIF($D$2:D8373,"REMOVE"),"")</f>
        <v/>
      </c>
      <c r="I8373">
        <f>IF(E8373="Gmail",COUNTIF($E$2:E8373,"Gmail"),"")</f>
        <v/>
      </c>
      <c r="J8373">
        <f>IF(E8373="Outlook",COUNTIF($E$2:E8373,"Outlook"),"")</f>
        <v/>
      </c>
      <c r="K8373">
        <f>IF(E8373="Domain",COUNTIF($E$2:E8373,"Domain"),"")</f>
        <v/>
      </c>
    </row>
    <row r="8374">
      <c r="A8374" s="2" t="n"/>
      <c r="B8374">
        <f>LOWER(TRIM(A8374))</f>
        <v/>
      </c>
      <c r="C8374">
        <f>IF(B8374="","",IFERROR(INDEX('Bad Patterns'!$A$2:$A$120,MATCH(1,INDEX(--ISNUMBER(SEARCH('Bad Patterns'!$A$2:$A$120,B8374)),0),0)),""))</f>
        <v/>
      </c>
      <c r="D8374">
        <f>IF(B8374="","",IF(C8374&lt;&gt;"","REMOVE","KEEP"))</f>
        <v/>
      </c>
      <c r="E8374">
        <f>IF(D8374&lt;&gt;"KEEP","",IF(RIGHT(B8374,10)="@gmail.com","Gmail",IF(OR(RIGHT(B8374,12)="@outlook.com",RIGHT(B8374,12)="@hotmail.com",RIGHT(B8374,9)="@live.com"),"Outlook","Domain")))</f>
        <v/>
      </c>
      <c r="F8374">
        <f>IF(B8374="","",IFERROR(RIGHT(B8374,LEN(B8374)-FIND("@",B8374)),""))</f>
        <v/>
      </c>
      <c r="G8374">
        <f>IF(D8374="KEEP",COUNTIF($D$2:D8374,"KEEP"),"")</f>
        <v/>
      </c>
      <c r="H8374">
        <f>IF(D8374="REMOVE",COUNTIF($D$2:D8374,"REMOVE"),"")</f>
        <v/>
      </c>
      <c r="I8374">
        <f>IF(E8374="Gmail",COUNTIF($E$2:E8374,"Gmail"),"")</f>
        <v/>
      </c>
      <c r="J8374">
        <f>IF(E8374="Outlook",COUNTIF($E$2:E8374,"Outlook"),"")</f>
        <v/>
      </c>
      <c r="K8374">
        <f>IF(E8374="Domain",COUNTIF($E$2:E8374,"Domain"),"")</f>
        <v/>
      </c>
    </row>
    <row r="8375">
      <c r="A8375" s="2" t="n"/>
      <c r="B8375">
        <f>LOWER(TRIM(A8375))</f>
        <v/>
      </c>
      <c r="C8375">
        <f>IF(B8375="","",IFERROR(INDEX('Bad Patterns'!$A$2:$A$120,MATCH(1,INDEX(--ISNUMBER(SEARCH('Bad Patterns'!$A$2:$A$120,B8375)),0),0)),""))</f>
        <v/>
      </c>
      <c r="D8375">
        <f>IF(B8375="","",IF(C8375&lt;&gt;"","REMOVE","KEEP"))</f>
        <v/>
      </c>
      <c r="E8375">
        <f>IF(D8375&lt;&gt;"KEEP","",IF(RIGHT(B8375,10)="@gmail.com","Gmail",IF(OR(RIGHT(B8375,12)="@outlook.com",RIGHT(B8375,12)="@hotmail.com",RIGHT(B8375,9)="@live.com"),"Outlook","Domain")))</f>
        <v/>
      </c>
      <c r="F8375">
        <f>IF(B8375="","",IFERROR(RIGHT(B8375,LEN(B8375)-FIND("@",B8375)),""))</f>
        <v/>
      </c>
      <c r="G8375">
        <f>IF(D8375="KEEP",COUNTIF($D$2:D8375,"KEEP"),"")</f>
        <v/>
      </c>
      <c r="H8375">
        <f>IF(D8375="REMOVE",COUNTIF($D$2:D8375,"REMOVE"),"")</f>
        <v/>
      </c>
      <c r="I8375">
        <f>IF(E8375="Gmail",COUNTIF($E$2:E8375,"Gmail"),"")</f>
        <v/>
      </c>
      <c r="J8375">
        <f>IF(E8375="Outlook",COUNTIF($E$2:E8375,"Outlook"),"")</f>
        <v/>
      </c>
      <c r="K8375">
        <f>IF(E8375="Domain",COUNTIF($E$2:E8375,"Domain"),"")</f>
        <v/>
      </c>
    </row>
    <row r="8376">
      <c r="A8376" s="2" t="n"/>
      <c r="B8376">
        <f>LOWER(TRIM(A8376))</f>
        <v/>
      </c>
      <c r="C8376">
        <f>IF(B8376="","",IFERROR(INDEX('Bad Patterns'!$A$2:$A$120,MATCH(1,INDEX(--ISNUMBER(SEARCH('Bad Patterns'!$A$2:$A$120,B8376)),0),0)),""))</f>
        <v/>
      </c>
      <c r="D8376">
        <f>IF(B8376="","",IF(C8376&lt;&gt;"","REMOVE","KEEP"))</f>
        <v/>
      </c>
      <c r="E8376">
        <f>IF(D8376&lt;&gt;"KEEP","",IF(RIGHT(B8376,10)="@gmail.com","Gmail",IF(OR(RIGHT(B8376,12)="@outlook.com",RIGHT(B8376,12)="@hotmail.com",RIGHT(B8376,9)="@live.com"),"Outlook","Domain")))</f>
        <v/>
      </c>
      <c r="F8376">
        <f>IF(B8376="","",IFERROR(RIGHT(B8376,LEN(B8376)-FIND("@",B8376)),""))</f>
        <v/>
      </c>
      <c r="G8376">
        <f>IF(D8376="KEEP",COUNTIF($D$2:D8376,"KEEP"),"")</f>
        <v/>
      </c>
      <c r="H8376">
        <f>IF(D8376="REMOVE",COUNTIF($D$2:D8376,"REMOVE"),"")</f>
        <v/>
      </c>
      <c r="I8376">
        <f>IF(E8376="Gmail",COUNTIF($E$2:E8376,"Gmail"),"")</f>
        <v/>
      </c>
      <c r="J8376">
        <f>IF(E8376="Outlook",COUNTIF($E$2:E8376,"Outlook"),"")</f>
        <v/>
      </c>
      <c r="K8376">
        <f>IF(E8376="Domain",COUNTIF($E$2:E8376,"Domain"),"")</f>
        <v/>
      </c>
    </row>
    <row r="8377">
      <c r="A8377" s="2" t="n"/>
      <c r="B8377">
        <f>LOWER(TRIM(A8377))</f>
        <v/>
      </c>
      <c r="C8377">
        <f>IF(B8377="","",IFERROR(INDEX('Bad Patterns'!$A$2:$A$120,MATCH(1,INDEX(--ISNUMBER(SEARCH('Bad Patterns'!$A$2:$A$120,B8377)),0),0)),""))</f>
        <v/>
      </c>
      <c r="D8377">
        <f>IF(B8377="","",IF(C8377&lt;&gt;"","REMOVE","KEEP"))</f>
        <v/>
      </c>
      <c r="E8377">
        <f>IF(D8377&lt;&gt;"KEEP","",IF(RIGHT(B8377,10)="@gmail.com","Gmail",IF(OR(RIGHT(B8377,12)="@outlook.com",RIGHT(B8377,12)="@hotmail.com",RIGHT(B8377,9)="@live.com"),"Outlook","Domain")))</f>
        <v/>
      </c>
      <c r="F8377">
        <f>IF(B8377="","",IFERROR(RIGHT(B8377,LEN(B8377)-FIND("@",B8377)),""))</f>
        <v/>
      </c>
      <c r="G8377">
        <f>IF(D8377="KEEP",COUNTIF($D$2:D8377,"KEEP"),"")</f>
        <v/>
      </c>
      <c r="H8377">
        <f>IF(D8377="REMOVE",COUNTIF($D$2:D8377,"REMOVE"),"")</f>
        <v/>
      </c>
      <c r="I8377">
        <f>IF(E8377="Gmail",COUNTIF($E$2:E8377,"Gmail"),"")</f>
        <v/>
      </c>
      <c r="J8377">
        <f>IF(E8377="Outlook",COUNTIF($E$2:E8377,"Outlook"),"")</f>
        <v/>
      </c>
      <c r="K8377">
        <f>IF(E8377="Domain",COUNTIF($E$2:E8377,"Domain"),"")</f>
        <v/>
      </c>
    </row>
    <row r="8378">
      <c r="A8378" s="2" t="n"/>
      <c r="B8378">
        <f>LOWER(TRIM(A8378))</f>
        <v/>
      </c>
      <c r="C8378">
        <f>IF(B8378="","",IFERROR(INDEX('Bad Patterns'!$A$2:$A$120,MATCH(1,INDEX(--ISNUMBER(SEARCH('Bad Patterns'!$A$2:$A$120,B8378)),0),0)),""))</f>
        <v/>
      </c>
      <c r="D8378">
        <f>IF(B8378="","",IF(C8378&lt;&gt;"","REMOVE","KEEP"))</f>
        <v/>
      </c>
      <c r="E8378">
        <f>IF(D8378&lt;&gt;"KEEP","",IF(RIGHT(B8378,10)="@gmail.com","Gmail",IF(OR(RIGHT(B8378,12)="@outlook.com",RIGHT(B8378,12)="@hotmail.com",RIGHT(B8378,9)="@live.com"),"Outlook","Domain")))</f>
        <v/>
      </c>
      <c r="F8378">
        <f>IF(B8378="","",IFERROR(RIGHT(B8378,LEN(B8378)-FIND("@",B8378)),""))</f>
        <v/>
      </c>
      <c r="G8378">
        <f>IF(D8378="KEEP",COUNTIF($D$2:D8378,"KEEP"),"")</f>
        <v/>
      </c>
      <c r="H8378">
        <f>IF(D8378="REMOVE",COUNTIF($D$2:D8378,"REMOVE"),"")</f>
        <v/>
      </c>
      <c r="I8378">
        <f>IF(E8378="Gmail",COUNTIF($E$2:E8378,"Gmail"),"")</f>
        <v/>
      </c>
      <c r="J8378">
        <f>IF(E8378="Outlook",COUNTIF($E$2:E8378,"Outlook"),"")</f>
        <v/>
      </c>
      <c r="K8378">
        <f>IF(E8378="Domain",COUNTIF($E$2:E8378,"Domain"),"")</f>
        <v/>
      </c>
    </row>
    <row r="8379">
      <c r="A8379" s="2" t="n"/>
      <c r="B8379">
        <f>LOWER(TRIM(A8379))</f>
        <v/>
      </c>
      <c r="C8379">
        <f>IF(B8379="","",IFERROR(INDEX('Bad Patterns'!$A$2:$A$120,MATCH(1,INDEX(--ISNUMBER(SEARCH('Bad Patterns'!$A$2:$A$120,B8379)),0),0)),""))</f>
        <v/>
      </c>
      <c r="D8379">
        <f>IF(B8379="","",IF(C8379&lt;&gt;"","REMOVE","KEEP"))</f>
        <v/>
      </c>
      <c r="E8379">
        <f>IF(D8379&lt;&gt;"KEEP","",IF(RIGHT(B8379,10)="@gmail.com","Gmail",IF(OR(RIGHT(B8379,12)="@outlook.com",RIGHT(B8379,12)="@hotmail.com",RIGHT(B8379,9)="@live.com"),"Outlook","Domain")))</f>
        <v/>
      </c>
      <c r="F8379">
        <f>IF(B8379="","",IFERROR(RIGHT(B8379,LEN(B8379)-FIND("@",B8379)),""))</f>
        <v/>
      </c>
      <c r="G8379">
        <f>IF(D8379="KEEP",COUNTIF($D$2:D8379,"KEEP"),"")</f>
        <v/>
      </c>
      <c r="H8379">
        <f>IF(D8379="REMOVE",COUNTIF($D$2:D8379,"REMOVE"),"")</f>
        <v/>
      </c>
      <c r="I8379">
        <f>IF(E8379="Gmail",COUNTIF($E$2:E8379,"Gmail"),"")</f>
        <v/>
      </c>
      <c r="J8379">
        <f>IF(E8379="Outlook",COUNTIF($E$2:E8379,"Outlook"),"")</f>
        <v/>
      </c>
      <c r="K8379">
        <f>IF(E8379="Domain",COUNTIF($E$2:E8379,"Domain"),"")</f>
        <v/>
      </c>
    </row>
    <row r="8380">
      <c r="A8380" s="2" t="n"/>
      <c r="B8380">
        <f>LOWER(TRIM(A8380))</f>
        <v/>
      </c>
      <c r="C8380">
        <f>IF(B8380="","",IFERROR(INDEX('Bad Patterns'!$A$2:$A$120,MATCH(1,INDEX(--ISNUMBER(SEARCH('Bad Patterns'!$A$2:$A$120,B8380)),0),0)),""))</f>
        <v/>
      </c>
      <c r="D8380">
        <f>IF(B8380="","",IF(C8380&lt;&gt;"","REMOVE","KEEP"))</f>
        <v/>
      </c>
      <c r="E8380">
        <f>IF(D8380&lt;&gt;"KEEP","",IF(RIGHT(B8380,10)="@gmail.com","Gmail",IF(OR(RIGHT(B8380,12)="@outlook.com",RIGHT(B8380,12)="@hotmail.com",RIGHT(B8380,9)="@live.com"),"Outlook","Domain")))</f>
        <v/>
      </c>
      <c r="F8380">
        <f>IF(B8380="","",IFERROR(RIGHT(B8380,LEN(B8380)-FIND("@",B8380)),""))</f>
        <v/>
      </c>
      <c r="G8380">
        <f>IF(D8380="KEEP",COUNTIF($D$2:D8380,"KEEP"),"")</f>
        <v/>
      </c>
      <c r="H8380">
        <f>IF(D8380="REMOVE",COUNTIF($D$2:D8380,"REMOVE"),"")</f>
        <v/>
      </c>
      <c r="I8380">
        <f>IF(E8380="Gmail",COUNTIF($E$2:E8380,"Gmail"),"")</f>
        <v/>
      </c>
      <c r="J8380">
        <f>IF(E8380="Outlook",COUNTIF($E$2:E8380,"Outlook"),"")</f>
        <v/>
      </c>
      <c r="K8380">
        <f>IF(E8380="Domain",COUNTIF($E$2:E8380,"Domain"),"")</f>
        <v/>
      </c>
    </row>
    <row r="8381">
      <c r="A8381" s="2" t="n"/>
      <c r="B8381">
        <f>LOWER(TRIM(A8381))</f>
        <v/>
      </c>
      <c r="C8381">
        <f>IF(B8381="","",IFERROR(INDEX('Bad Patterns'!$A$2:$A$120,MATCH(1,INDEX(--ISNUMBER(SEARCH('Bad Patterns'!$A$2:$A$120,B8381)),0),0)),""))</f>
        <v/>
      </c>
      <c r="D8381">
        <f>IF(B8381="","",IF(C8381&lt;&gt;"","REMOVE","KEEP"))</f>
        <v/>
      </c>
      <c r="E8381">
        <f>IF(D8381&lt;&gt;"KEEP","",IF(RIGHT(B8381,10)="@gmail.com","Gmail",IF(OR(RIGHT(B8381,12)="@outlook.com",RIGHT(B8381,12)="@hotmail.com",RIGHT(B8381,9)="@live.com"),"Outlook","Domain")))</f>
        <v/>
      </c>
      <c r="F8381">
        <f>IF(B8381="","",IFERROR(RIGHT(B8381,LEN(B8381)-FIND("@",B8381)),""))</f>
        <v/>
      </c>
      <c r="G8381">
        <f>IF(D8381="KEEP",COUNTIF($D$2:D8381,"KEEP"),"")</f>
        <v/>
      </c>
      <c r="H8381">
        <f>IF(D8381="REMOVE",COUNTIF($D$2:D8381,"REMOVE"),"")</f>
        <v/>
      </c>
      <c r="I8381">
        <f>IF(E8381="Gmail",COUNTIF($E$2:E8381,"Gmail"),"")</f>
        <v/>
      </c>
      <c r="J8381">
        <f>IF(E8381="Outlook",COUNTIF($E$2:E8381,"Outlook"),"")</f>
        <v/>
      </c>
      <c r="K8381">
        <f>IF(E8381="Domain",COUNTIF($E$2:E8381,"Domain"),"")</f>
        <v/>
      </c>
    </row>
    <row r="8382">
      <c r="A8382" s="2" t="n"/>
      <c r="B8382">
        <f>LOWER(TRIM(A8382))</f>
        <v/>
      </c>
      <c r="C8382">
        <f>IF(B8382="","",IFERROR(INDEX('Bad Patterns'!$A$2:$A$120,MATCH(1,INDEX(--ISNUMBER(SEARCH('Bad Patterns'!$A$2:$A$120,B8382)),0),0)),""))</f>
        <v/>
      </c>
      <c r="D8382">
        <f>IF(B8382="","",IF(C8382&lt;&gt;"","REMOVE","KEEP"))</f>
        <v/>
      </c>
      <c r="E8382">
        <f>IF(D8382&lt;&gt;"KEEP","",IF(RIGHT(B8382,10)="@gmail.com","Gmail",IF(OR(RIGHT(B8382,12)="@outlook.com",RIGHT(B8382,12)="@hotmail.com",RIGHT(B8382,9)="@live.com"),"Outlook","Domain")))</f>
        <v/>
      </c>
      <c r="F8382">
        <f>IF(B8382="","",IFERROR(RIGHT(B8382,LEN(B8382)-FIND("@",B8382)),""))</f>
        <v/>
      </c>
      <c r="G8382">
        <f>IF(D8382="KEEP",COUNTIF($D$2:D8382,"KEEP"),"")</f>
        <v/>
      </c>
      <c r="H8382">
        <f>IF(D8382="REMOVE",COUNTIF($D$2:D8382,"REMOVE"),"")</f>
        <v/>
      </c>
      <c r="I8382">
        <f>IF(E8382="Gmail",COUNTIF($E$2:E8382,"Gmail"),"")</f>
        <v/>
      </c>
      <c r="J8382">
        <f>IF(E8382="Outlook",COUNTIF($E$2:E8382,"Outlook"),"")</f>
        <v/>
      </c>
      <c r="K8382">
        <f>IF(E8382="Domain",COUNTIF($E$2:E8382,"Domain"),"")</f>
        <v/>
      </c>
    </row>
    <row r="8383">
      <c r="A8383" s="2" t="n"/>
      <c r="B8383">
        <f>LOWER(TRIM(A8383))</f>
        <v/>
      </c>
      <c r="C8383">
        <f>IF(B8383="","",IFERROR(INDEX('Bad Patterns'!$A$2:$A$120,MATCH(1,INDEX(--ISNUMBER(SEARCH('Bad Patterns'!$A$2:$A$120,B8383)),0),0)),""))</f>
        <v/>
      </c>
      <c r="D8383">
        <f>IF(B8383="","",IF(C8383&lt;&gt;"","REMOVE","KEEP"))</f>
        <v/>
      </c>
      <c r="E8383">
        <f>IF(D8383&lt;&gt;"KEEP","",IF(RIGHT(B8383,10)="@gmail.com","Gmail",IF(OR(RIGHT(B8383,12)="@outlook.com",RIGHT(B8383,12)="@hotmail.com",RIGHT(B8383,9)="@live.com"),"Outlook","Domain")))</f>
        <v/>
      </c>
      <c r="F8383">
        <f>IF(B8383="","",IFERROR(RIGHT(B8383,LEN(B8383)-FIND("@",B8383)),""))</f>
        <v/>
      </c>
      <c r="G8383">
        <f>IF(D8383="KEEP",COUNTIF($D$2:D8383,"KEEP"),"")</f>
        <v/>
      </c>
      <c r="H8383">
        <f>IF(D8383="REMOVE",COUNTIF($D$2:D8383,"REMOVE"),"")</f>
        <v/>
      </c>
      <c r="I8383">
        <f>IF(E8383="Gmail",COUNTIF($E$2:E8383,"Gmail"),"")</f>
        <v/>
      </c>
      <c r="J8383">
        <f>IF(E8383="Outlook",COUNTIF($E$2:E8383,"Outlook"),"")</f>
        <v/>
      </c>
      <c r="K8383">
        <f>IF(E8383="Domain",COUNTIF($E$2:E8383,"Domain"),"")</f>
        <v/>
      </c>
    </row>
    <row r="8384">
      <c r="A8384" s="2" t="n"/>
      <c r="B8384">
        <f>LOWER(TRIM(A8384))</f>
        <v/>
      </c>
      <c r="C8384">
        <f>IF(B8384="","",IFERROR(INDEX('Bad Patterns'!$A$2:$A$120,MATCH(1,INDEX(--ISNUMBER(SEARCH('Bad Patterns'!$A$2:$A$120,B8384)),0),0)),""))</f>
        <v/>
      </c>
      <c r="D8384">
        <f>IF(B8384="","",IF(C8384&lt;&gt;"","REMOVE","KEEP"))</f>
        <v/>
      </c>
      <c r="E8384">
        <f>IF(D8384&lt;&gt;"KEEP","",IF(RIGHT(B8384,10)="@gmail.com","Gmail",IF(OR(RIGHT(B8384,12)="@outlook.com",RIGHT(B8384,12)="@hotmail.com",RIGHT(B8384,9)="@live.com"),"Outlook","Domain")))</f>
        <v/>
      </c>
      <c r="F8384">
        <f>IF(B8384="","",IFERROR(RIGHT(B8384,LEN(B8384)-FIND("@",B8384)),""))</f>
        <v/>
      </c>
      <c r="G8384">
        <f>IF(D8384="KEEP",COUNTIF($D$2:D8384,"KEEP"),"")</f>
        <v/>
      </c>
      <c r="H8384">
        <f>IF(D8384="REMOVE",COUNTIF($D$2:D8384,"REMOVE"),"")</f>
        <v/>
      </c>
      <c r="I8384">
        <f>IF(E8384="Gmail",COUNTIF($E$2:E8384,"Gmail"),"")</f>
        <v/>
      </c>
      <c r="J8384">
        <f>IF(E8384="Outlook",COUNTIF($E$2:E8384,"Outlook"),"")</f>
        <v/>
      </c>
      <c r="K8384">
        <f>IF(E8384="Domain",COUNTIF($E$2:E8384,"Domain"),"")</f>
        <v/>
      </c>
    </row>
    <row r="8385">
      <c r="A8385" s="2" t="n"/>
      <c r="B8385">
        <f>LOWER(TRIM(A8385))</f>
        <v/>
      </c>
      <c r="C8385">
        <f>IF(B8385="","",IFERROR(INDEX('Bad Patterns'!$A$2:$A$120,MATCH(1,INDEX(--ISNUMBER(SEARCH('Bad Patterns'!$A$2:$A$120,B8385)),0),0)),""))</f>
        <v/>
      </c>
      <c r="D8385">
        <f>IF(B8385="","",IF(C8385&lt;&gt;"","REMOVE","KEEP"))</f>
        <v/>
      </c>
      <c r="E8385">
        <f>IF(D8385&lt;&gt;"KEEP","",IF(RIGHT(B8385,10)="@gmail.com","Gmail",IF(OR(RIGHT(B8385,12)="@outlook.com",RIGHT(B8385,12)="@hotmail.com",RIGHT(B8385,9)="@live.com"),"Outlook","Domain")))</f>
        <v/>
      </c>
      <c r="F8385">
        <f>IF(B8385="","",IFERROR(RIGHT(B8385,LEN(B8385)-FIND("@",B8385)),""))</f>
        <v/>
      </c>
      <c r="G8385">
        <f>IF(D8385="KEEP",COUNTIF($D$2:D8385,"KEEP"),"")</f>
        <v/>
      </c>
      <c r="H8385">
        <f>IF(D8385="REMOVE",COUNTIF($D$2:D8385,"REMOVE"),"")</f>
        <v/>
      </c>
      <c r="I8385">
        <f>IF(E8385="Gmail",COUNTIF($E$2:E8385,"Gmail"),"")</f>
        <v/>
      </c>
      <c r="J8385">
        <f>IF(E8385="Outlook",COUNTIF($E$2:E8385,"Outlook"),"")</f>
        <v/>
      </c>
      <c r="K8385">
        <f>IF(E8385="Domain",COUNTIF($E$2:E8385,"Domain"),"")</f>
        <v/>
      </c>
    </row>
    <row r="8386">
      <c r="A8386" s="2" t="n"/>
      <c r="B8386">
        <f>LOWER(TRIM(A8386))</f>
        <v/>
      </c>
      <c r="C8386">
        <f>IF(B8386="","",IFERROR(INDEX('Bad Patterns'!$A$2:$A$120,MATCH(1,INDEX(--ISNUMBER(SEARCH('Bad Patterns'!$A$2:$A$120,B8386)),0),0)),""))</f>
        <v/>
      </c>
      <c r="D8386">
        <f>IF(B8386="","",IF(C8386&lt;&gt;"","REMOVE","KEEP"))</f>
        <v/>
      </c>
      <c r="E8386">
        <f>IF(D8386&lt;&gt;"KEEP","",IF(RIGHT(B8386,10)="@gmail.com","Gmail",IF(OR(RIGHT(B8386,12)="@outlook.com",RIGHT(B8386,12)="@hotmail.com",RIGHT(B8386,9)="@live.com"),"Outlook","Domain")))</f>
        <v/>
      </c>
      <c r="F8386">
        <f>IF(B8386="","",IFERROR(RIGHT(B8386,LEN(B8386)-FIND("@",B8386)),""))</f>
        <v/>
      </c>
      <c r="G8386">
        <f>IF(D8386="KEEP",COUNTIF($D$2:D8386,"KEEP"),"")</f>
        <v/>
      </c>
      <c r="H8386">
        <f>IF(D8386="REMOVE",COUNTIF($D$2:D8386,"REMOVE"),"")</f>
        <v/>
      </c>
      <c r="I8386">
        <f>IF(E8386="Gmail",COUNTIF($E$2:E8386,"Gmail"),"")</f>
        <v/>
      </c>
      <c r="J8386">
        <f>IF(E8386="Outlook",COUNTIF($E$2:E8386,"Outlook"),"")</f>
        <v/>
      </c>
      <c r="K8386">
        <f>IF(E8386="Domain",COUNTIF($E$2:E8386,"Domain"),"")</f>
        <v/>
      </c>
    </row>
    <row r="8387">
      <c r="A8387" s="2" t="n"/>
      <c r="B8387">
        <f>LOWER(TRIM(A8387))</f>
        <v/>
      </c>
      <c r="C8387">
        <f>IF(B8387="","",IFERROR(INDEX('Bad Patterns'!$A$2:$A$120,MATCH(1,INDEX(--ISNUMBER(SEARCH('Bad Patterns'!$A$2:$A$120,B8387)),0),0)),""))</f>
        <v/>
      </c>
      <c r="D8387">
        <f>IF(B8387="","",IF(C8387&lt;&gt;"","REMOVE","KEEP"))</f>
        <v/>
      </c>
      <c r="E8387">
        <f>IF(D8387&lt;&gt;"KEEP","",IF(RIGHT(B8387,10)="@gmail.com","Gmail",IF(OR(RIGHT(B8387,12)="@outlook.com",RIGHT(B8387,12)="@hotmail.com",RIGHT(B8387,9)="@live.com"),"Outlook","Domain")))</f>
        <v/>
      </c>
      <c r="F8387">
        <f>IF(B8387="","",IFERROR(RIGHT(B8387,LEN(B8387)-FIND("@",B8387)),""))</f>
        <v/>
      </c>
      <c r="G8387">
        <f>IF(D8387="KEEP",COUNTIF($D$2:D8387,"KEEP"),"")</f>
        <v/>
      </c>
      <c r="H8387">
        <f>IF(D8387="REMOVE",COUNTIF($D$2:D8387,"REMOVE"),"")</f>
        <v/>
      </c>
      <c r="I8387">
        <f>IF(E8387="Gmail",COUNTIF($E$2:E8387,"Gmail"),"")</f>
        <v/>
      </c>
      <c r="J8387">
        <f>IF(E8387="Outlook",COUNTIF($E$2:E8387,"Outlook"),"")</f>
        <v/>
      </c>
      <c r="K8387">
        <f>IF(E8387="Domain",COUNTIF($E$2:E8387,"Domain"),"")</f>
        <v/>
      </c>
    </row>
    <row r="8388">
      <c r="A8388" s="2" t="n"/>
      <c r="B8388">
        <f>LOWER(TRIM(A8388))</f>
        <v/>
      </c>
      <c r="C8388">
        <f>IF(B8388="","",IFERROR(INDEX('Bad Patterns'!$A$2:$A$120,MATCH(1,INDEX(--ISNUMBER(SEARCH('Bad Patterns'!$A$2:$A$120,B8388)),0),0)),""))</f>
        <v/>
      </c>
      <c r="D8388">
        <f>IF(B8388="","",IF(C8388&lt;&gt;"","REMOVE","KEEP"))</f>
        <v/>
      </c>
      <c r="E8388">
        <f>IF(D8388&lt;&gt;"KEEP","",IF(RIGHT(B8388,10)="@gmail.com","Gmail",IF(OR(RIGHT(B8388,12)="@outlook.com",RIGHT(B8388,12)="@hotmail.com",RIGHT(B8388,9)="@live.com"),"Outlook","Domain")))</f>
        <v/>
      </c>
      <c r="F8388">
        <f>IF(B8388="","",IFERROR(RIGHT(B8388,LEN(B8388)-FIND("@",B8388)),""))</f>
        <v/>
      </c>
      <c r="G8388">
        <f>IF(D8388="KEEP",COUNTIF($D$2:D8388,"KEEP"),"")</f>
        <v/>
      </c>
      <c r="H8388">
        <f>IF(D8388="REMOVE",COUNTIF($D$2:D8388,"REMOVE"),"")</f>
        <v/>
      </c>
      <c r="I8388">
        <f>IF(E8388="Gmail",COUNTIF($E$2:E8388,"Gmail"),"")</f>
        <v/>
      </c>
      <c r="J8388">
        <f>IF(E8388="Outlook",COUNTIF($E$2:E8388,"Outlook"),"")</f>
        <v/>
      </c>
      <c r="K8388">
        <f>IF(E8388="Domain",COUNTIF($E$2:E8388,"Domain"),"")</f>
        <v/>
      </c>
    </row>
    <row r="8389">
      <c r="A8389" s="2" t="n"/>
      <c r="B8389">
        <f>LOWER(TRIM(A8389))</f>
        <v/>
      </c>
      <c r="C8389">
        <f>IF(B8389="","",IFERROR(INDEX('Bad Patterns'!$A$2:$A$120,MATCH(1,INDEX(--ISNUMBER(SEARCH('Bad Patterns'!$A$2:$A$120,B8389)),0),0)),""))</f>
        <v/>
      </c>
      <c r="D8389">
        <f>IF(B8389="","",IF(C8389&lt;&gt;"","REMOVE","KEEP"))</f>
        <v/>
      </c>
      <c r="E8389">
        <f>IF(D8389&lt;&gt;"KEEP","",IF(RIGHT(B8389,10)="@gmail.com","Gmail",IF(OR(RIGHT(B8389,12)="@outlook.com",RIGHT(B8389,12)="@hotmail.com",RIGHT(B8389,9)="@live.com"),"Outlook","Domain")))</f>
        <v/>
      </c>
      <c r="F8389">
        <f>IF(B8389="","",IFERROR(RIGHT(B8389,LEN(B8389)-FIND("@",B8389)),""))</f>
        <v/>
      </c>
      <c r="G8389">
        <f>IF(D8389="KEEP",COUNTIF($D$2:D8389,"KEEP"),"")</f>
        <v/>
      </c>
      <c r="H8389">
        <f>IF(D8389="REMOVE",COUNTIF($D$2:D8389,"REMOVE"),"")</f>
        <v/>
      </c>
      <c r="I8389">
        <f>IF(E8389="Gmail",COUNTIF($E$2:E8389,"Gmail"),"")</f>
        <v/>
      </c>
      <c r="J8389">
        <f>IF(E8389="Outlook",COUNTIF($E$2:E8389,"Outlook"),"")</f>
        <v/>
      </c>
      <c r="K8389">
        <f>IF(E8389="Domain",COUNTIF($E$2:E8389,"Domain"),"")</f>
        <v/>
      </c>
    </row>
    <row r="8390">
      <c r="A8390" s="2" t="n"/>
      <c r="B8390">
        <f>LOWER(TRIM(A8390))</f>
        <v/>
      </c>
      <c r="C8390">
        <f>IF(B8390="","",IFERROR(INDEX('Bad Patterns'!$A$2:$A$120,MATCH(1,INDEX(--ISNUMBER(SEARCH('Bad Patterns'!$A$2:$A$120,B8390)),0),0)),""))</f>
        <v/>
      </c>
      <c r="D8390">
        <f>IF(B8390="","",IF(C8390&lt;&gt;"","REMOVE","KEEP"))</f>
        <v/>
      </c>
      <c r="E8390">
        <f>IF(D8390&lt;&gt;"KEEP","",IF(RIGHT(B8390,10)="@gmail.com","Gmail",IF(OR(RIGHT(B8390,12)="@outlook.com",RIGHT(B8390,12)="@hotmail.com",RIGHT(B8390,9)="@live.com"),"Outlook","Domain")))</f>
        <v/>
      </c>
      <c r="F8390">
        <f>IF(B8390="","",IFERROR(RIGHT(B8390,LEN(B8390)-FIND("@",B8390)),""))</f>
        <v/>
      </c>
      <c r="G8390">
        <f>IF(D8390="KEEP",COUNTIF($D$2:D8390,"KEEP"),"")</f>
        <v/>
      </c>
      <c r="H8390">
        <f>IF(D8390="REMOVE",COUNTIF($D$2:D8390,"REMOVE"),"")</f>
        <v/>
      </c>
      <c r="I8390">
        <f>IF(E8390="Gmail",COUNTIF($E$2:E8390,"Gmail"),"")</f>
        <v/>
      </c>
      <c r="J8390">
        <f>IF(E8390="Outlook",COUNTIF($E$2:E8390,"Outlook"),"")</f>
        <v/>
      </c>
      <c r="K8390">
        <f>IF(E8390="Domain",COUNTIF($E$2:E8390,"Domain"),"")</f>
        <v/>
      </c>
    </row>
    <row r="8391">
      <c r="A8391" s="2" t="n"/>
      <c r="B8391">
        <f>LOWER(TRIM(A8391))</f>
        <v/>
      </c>
      <c r="C8391">
        <f>IF(B8391="","",IFERROR(INDEX('Bad Patterns'!$A$2:$A$120,MATCH(1,INDEX(--ISNUMBER(SEARCH('Bad Patterns'!$A$2:$A$120,B8391)),0),0)),""))</f>
        <v/>
      </c>
      <c r="D8391">
        <f>IF(B8391="","",IF(C8391&lt;&gt;"","REMOVE","KEEP"))</f>
        <v/>
      </c>
      <c r="E8391">
        <f>IF(D8391&lt;&gt;"KEEP","",IF(RIGHT(B8391,10)="@gmail.com","Gmail",IF(OR(RIGHT(B8391,12)="@outlook.com",RIGHT(B8391,12)="@hotmail.com",RIGHT(B8391,9)="@live.com"),"Outlook","Domain")))</f>
        <v/>
      </c>
      <c r="F8391">
        <f>IF(B8391="","",IFERROR(RIGHT(B8391,LEN(B8391)-FIND("@",B8391)),""))</f>
        <v/>
      </c>
      <c r="G8391">
        <f>IF(D8391="KEEP",COUNTIF($D$2:D8391,"KEEP"),"")</f>
        <v/>
      </c>
      <c r="H8391">
        <f>IF(D8391="REMOVE",COUNTIF($D$2:D8391,"REMOVE"),"")</f>
        <v/>
      </c>
      <c r="I8391">
        <f>IF(E8391="Gmail",COUNTIF($E$2:E8391,"Gmail"),"")</f>
        <v/>
      </c>
      <c r="J8391">
        <f>IF(E8391="Outlook",COUNTIF($E$2:E8391,"Outlook"),"")</f>
        <v/>
      </c>
      <c r="K8391">
        <f>IF(E8391="Domain",COUNTIF($E$2:E8391,"Domain"),"")</f>
        <v/>
      </c>
    </row>
    <row r="8392">
      <c r="A8392" s="2" t="n"/>
      <c r="B8392">
        <f>LOWER(TRIM(A8392))</f>
        <v/>
      </c>
      <c r="C8392">
        <f>IF(B8392="","",IFERROR(INDEX('Bad Patterns'!$A$2:$A$120,MATCH(1,INDEX(--ISNUMBER(SEARCH('Bad Patterns'!$A$2:$A$120,B8392)),0),0)),""))</f>
        <v/>
      </c>
      <c r="D8392">
        <f>IF(B8392="","",IF(C8392&lt;&gt;"","REMOVE","KEEP"))</f>
        <v/>
      </c>
      <c r="E8392">
        <f>IF(D8392&lt;&gt;"KEEP","",IF(RIGHT(B8392,10)="@gmail.com","Gmail",IF(OR(RIGHT(B8392,12)="@outlook.com",RIGHT(B8392,12)="@hotmail.com",RIGHT(B8392,9)="@live.com"),"Outlook","Domain")))</f>
        <v/>
      </c>
      <c r="F8392">
        <f>IF(B8392="","",IFERROR(RIGHT(B8392,LEN(B8392)-FIND("@",B8392)),""))</f>
        <v/>
      </c>
      <c r="G8392">
        <f>IF(D8392="KEEP",COUNTIF($D$2:D8392,"KEEP"),"")</f>
        <v/>
      </c>
      <c r="H8392">
        <f>IF(D8392="REMOVE",COUNTIF($D$2:D8392,"REMOVE"),"")</f>
        <v/>
      </c>
      <c r="I8392">
        <f>IF(E8392="Gmail",COUNTIF($E$2:E8392,"Gmail"),"")</f>
        <v/>
      </c>
      <c r="J8392">
        <f>IF(E8392="Outlook",COUNTIF($E$2:E8392,"Outlook"),"")</f>
        <v/>
      </c>
      <c r="K8392">
        <f>IF(E8392="Domain",COUNTIF($E$2:E8392,"Domain"),"")</f>
        <v/>
      </c>
    </row>
    <row r="8393">
      <c r="A8393" s="2" t="n"/>
      <c r="B8393">
        <f>LOWER(TRIM(A8393))</f>
        <v/>
      </c>
      <c r="C8393">
        <f>IF(B8393="","",IFERROR(INDEX('Bad Patterns'!$A$2:$A$120,MATCH(1,INDEX(--ISNUMBER(SEARCH('Bad Patterns'!$A$2:$A$120,B8393)),0),0)),""))</f>
        <v/>
      </c>
      <c r="D8393">
        <f>IF(B8393="","",IF(C8393&lt;&gt;"","REMOVE","KEEP"))</f>
        <v/>
      </c>
      <c r="E8393">
        <f>IF(D8393&lt;&gt;"KEEP","",IF(RIGHT(B8393,10)="@gmail.com","Gmail",IF(OR(RIGHT(B8393,12)="@outlook.com",RIGHT(B8393,12)="@hotmail.com",RIGHT(B8393,9)="@live.com"),"Outlook","Domain")))</f>
        <v/>
      </c>
      <c r="F8393">
        <f>IF(B8393="","",IFERROR(RIGHT(B8393,LEN(B8393)-FIND("@",B8393)),""))</f>
        <v/>
      </c>
      <c r="G8393">
        <f>IF(D8393="KEEP",COUNTIF($D$2:D8393,"KEEP"),"")</f>
        <v/>
      </c>
      <c r="H8393">
        <f>IF(D8393="REMOVE",COUNTIF($D$2:D8393,"REMOVE"),"")</f>
        <v/>
      </c>
      <c r="I8393">
        <f>IF(E8393="Gmail",COUNTIF($E$2:E8393,"Gmail"),"")</f>
        <v/>
      </c>
      <c r="J8393">
        <f>IF(E8393="Outlook",COUNTIF($E$2:E8393,"Outlook"),"")</f>
        <v/>
      </c>
      <c r="K8393">
        <f>IF(E8393="Domain",COUNTIF($E$2:E8393,"Domain"),"")</f>
        <v/>
      </c>
    </row>
    <row r="8394">
      <c r="A8394" s="2" t="n"/>
      <c r="B8394">
        <f>LOWER(TRIM(A8394))</f>
        <v/>
      </c>
      <c r="C8394">
        <f>IF(B8394="","",IFERROR(INDEX('Bad Patterns'!$A$2:$A$120,MATCH(1,INDEX(--ISNUMBER(SEARCH('Bad Patterns'!$A$2:$A$120,B8394)),0),0)),""))</f>
        <v/>
      </c>
      <c r="D8394">
        <f>IF(B8394="","",IF(C8394&lt;&gt;"","REMOVE","KEEP"))</f>
        <v/>
      </c>
      <c r="E8394">
        <f>IF(D8394&lt;&gt;"KEEP","",IF(RIGHT(B8394,10)="@gmail.com","Gmail",IF(OR(RIGHT(B8394,12)="@outlook.com",RIGHT(B8394,12)="@hotmail.com",RIGHT(B8394,9)="@live.com"),"Outlook","Domain")))</f>
        <v/>
      </c>
      <c r="F8394">
        <f>IF(B8394="","",IFERROR(RIGHT(B8394,LEN(B8394)-FIND("@",B8394)),""))</f>
        <v/>
      </c>
      <c r="G8394">
        <f>IF(D8394="KEEP",COUNTIF($D$2:D8394,"KEEP"),"")</f>
        <v/>
      </c>
      <c r="H8394">
        <f>IF(D8394="REMOVE",COUNTIF($D$2:D8394,"REMOVE"),"")</f>
        <v/>
      </c>
      <c r="I8394">
        <f>IF(E8394="Gmail",COUNTIF($E$2:E8394,"Gmail"),"")</f>
        <v/>
      </c>
      <c r="J8394">
        <f>IF(E8394="Outlook",COUNTIF($E$2:E8394,"Outlook"),"")</f>
        <v/>
      </c>
      <c r="K8394">
        <f>IF(E8394="Domain",COUNTIF($E$2:E8394,"Domain"),"")</f>
        <v/>
      </c>
    </row>
    <row r="8395">
      <c r="A8395" s="2" t="n"/>
      <c r="B8395">
        <f>LOWER(TRIM(A8395))</f>
        <v/>
      </c>
      <c r="C8395">
        <f>IF(B8395="","",IFERROR(INDEX('Bad Patterns'!$A$2:$A$120,MATCH(1,INDEX(--ISNUMBER(SEARCH('Bad Patterns'!$A$2:$A$120,B8395)),0),0)),""))</f>
        <v/>
      </c>
      <c r="D8395">
        <f>IF(B8395="","",IF(C8395&lt;&gt;"","REMOVE","KEEP"))</f>
        <v/>
      </c>
      <c r="E8395">
        <f>IF(D8395&lt;&gt;"KEEP","",IF(RIGHT(B8395,10)="@gmail.com","Gmail",IF(OR(RIGHT(B8395,12)="@outlook.com",RIGHT(B8395,12)="@hotmail.com",RIGHT(B8395,9)="@live.com"),"Outlook","Domain")))</f>
        <v/>
      </c>
      <c r="F8395">
        <f>IF(B8395="","",IFERROR(RIGHT(B8395,LEN(B8395)-FIND("@",B8395)),""))</f>
        <v/>
      </c>
      <c r="G8395">
        <f>IF(D8395="KEEP",COUNTIF($D$2:D8395,"KEEP"),"")</f>
        <v/>
      </c>
      <c r="H8395">
        <f>IF(D8395="REMOVE",COUNTIF($D$2:D8395,"REMOVE"),"")</f>
        <v/>
      </c>
      <c r="I8395">
        <f>IF(E8395="Gmail",COUNTIF($E$2:E8395,"Gmail"),"")</f>
        <v/>
      </c>
      <c r="J8395">
        <f>IF(E8395="Outlook",COUNTIF($E$2:E8395,"Outlook"),"")</f>
        <v/>
      </c>
      <c r="K8395">
        <f>IF(E8395="Domain",COUNTIF($E$2:E8395,"Domain"),"")</f>
        <v/>
      </c>
    </row>
    <row r="8396">
      <c r="A8396" s="2" t="n"/>
      <c r="B8396">
        <f>LOWER(TRIM(A8396))</f>
        <v/>
      </c>
      <c r="C8396">
        <f>IF(B8396="","",IFERROR(INDEX('Bad Patterns'!$A$2:$A$120,MATCH(1,INDEX(--ISNUMBER(SEARCH('Bad Patterns'!$A$2:$A$120,B8396)),0),0)),""))</f>
        <v/>
      </c>
      <c r="D8396">
        <f>IF(B8396="","",IF(C8396&lt;&gt;"","REMOVE","KEEP"))</f>
        <v/>
      </c>
      <c r="E8396">
        <f>IF(D8396&lt;&gt;"KEEP","",IF(RIGHT(B8396,10)="@gmail.com","Gmail",IF(OR(RIGHT(B8396,12)="@outlook.com",RIGHT(B8396,12)="@hotmail.com",RIGHT(B8396,9)="@live.com"),"Outlook","Domain")))</f>
        <v/>
      </c>
      <c r="F8396">
        <f>IF(B8396="","",IFERROR(RIGHT(B8396,LEN(B8396)-FIND("@",B8396)),""))</f>
        <v/>
      </c>
      <c r="G8396">
        <f>IF(D8396="KEEP",COUNTIF($D$2:D8396,"KEEP"),"")</f>
        <v/>
      </c>
      <c r="H8396">
        <f>IF(D8396="REMOVE",COUNTIF($D$2:D8396,"REMOVE"),"")</f>
        <v/>
      </c>
      <c r="I8396">
        <f>IF(E8396="Gmail",COUNTIF($E$2:E8396,"Gmail"),"")</f>
        <v/>
      </c>
      <c r="J8396">
        <f>IF(E8396="Outlook",COUNTIF($E$2:E8396,"Outlook"),"")</f>
        <v/>
      </c>
      <c r="K8396">
        <f>IF(E8396="Domain",COUNTIF($E$2:E8396,"Domain"),"")</f>
        <v/>
      </c>
    </row>
    <row r="8397">
      <c r="A8397" s="2" t="n"/>
      <c r="B8397">
        <f>LOWER(TRIM(A8397))</f>
        <v/>
      </c>
      <c r="C8397">
        <f>IF(B8397="","",IFERROR(INDEX('Bad Patterns'!$A$2:$A$120,MATCH(1,INDEX(--ISNUMBER(SEARCH('Bad Patterns'!$A$2:$A$120,B8397)),0),0)),""))</f>
        <v/>
      </c>
      <c r="D8397">
        <f>IF(B8397="","",IF(C8397&lt;&gt;"","REMOVE","KEEP"))</f>
        <v/>
      </c>
      <c r="E8397">
        <f>IF(D8397&lt;&gt;"KEEP","",IF(RIGHT(B8397,10)="@gmail.com","Gmail",IF(OR(RIGHT(B8397,12)="@outlook.com",RIGHT(B8397,12)="@hotmail.com",RIGHT(B8397,9)="@live.com"),"Outlook","Domain")))</f>
        <v/>
      </c>
      <c r="F8397">
        <f>IF(B8397="","",IFERROR(RIGHT(B8397,LEN(B8397)-FIND("@",B8397)),""))</f>
        <v/>
      </c>
      <c r="G8397">
        <f>IF(D8397="KEEP",COUNTIF($D$2:D8397,"KEEP"),"")</f>
        <v/>
      </c>
      <c r="H8397">
        <f>IF(D8397="REMOVE",COUNTIF($D$2:D8397,"REMOVE"),"")</f>
        <v/>
      </c>
      <c r="I8397">
        <f>IF(E8397="Gmail",COUNTIF($E$2:E8397,"Gmail"),"")</f>
        <v/>
      </c>
      <c r="J8397">
        <f>IF(E8397="Outlook",COUNTIF($E$2:E8397,"Outlook"),"")</f>
        <v/>
      </c>
      <c r="K8397">
        <f>IF(E8397="Domain",COUNTIF($E$2:E8397,"Domain"),"")</f>
        <v/>
      </c>
    </row>
    <row r="8398">
      <c r="A8398" s="2" t="n"/>
      <c r="B8398">
        <f>LOWER(TRIM(A8398))</f>
        <v/>
      </c>
      <c r="C8398">
        <f>IF(B8398="","",IFERROR(INDEX('Bad Patterns'!$A$2:$A$120,MATCH(1,INDEX(--ISNUMBER(SEARCH('Bad Patterns'!$A$2:$A$120,B8398)),0),0)),""))</f>
        <v/>
      </c>
      <c r="D8398">
        <f>IF(B8398="","",IF(C8398&lt;&gt;"","REMOVE","KEEP"))</f>
        <v/>
      </c>
      <c r="E8398">
        <f>IF(D8398&lt;&gt;"KEEP","",IF(RIGHT(B8398,10)="@gmail.com","Gmail",IF(OR(RIGHT(B8398,12)="@outlook.com",RIGHT(B8398,12)="@hotmail.com",RIGHT(B8398,9)="@live.com"),"Outlook","Domain")))</f>
        <v/>
      </c>
      <c r="F8398">
        <f>IF(B8398="","",IFERROR(RIGHT(B8398,LEN(B8398)-FIND("@",B8398)),""))</f>
        <v/>
      </c>
      <c r="G8398">
        <f>IF(D8398="KEEP",COUNTIF($D$2:D8398,"KEEP"),"")</f>
        <v/>
      </c>
      <c r="H8398">
        <f>IF(D8398="REMOVE",COUNTIF($D$2:D8398,"REMOVE"),"")</f>
        <v/>
      </c>
      <c r="I8398">
        <f>IF(E8398="Gmail",COUNTIF($E$2:E8398,"Gmail"),"")</f>
        <v/>
      </c>
      <c r="J8398">
        <f>IF(E8398="Outlook",COUNTIF($E$2:E8398,"Outlook"),"")</f>
        <v/>
      </c>
      <c r="K8398">
        <f>IF(E8398="Domain",COUNTIF($E$2:E8398,"Domain"),"")</f>
        <v/>
      </c>
    </row>
    <row r="8399">
      <c r="A8399" s="2" t="n"/>
      <c r="B8399">
        <f>LOWER(TRIM(A8399))</f>
        <v/>
      </c>
      <c r="C8399">
        <f>IF(B8399="","",IFERROR(INDEX('Bad Patterns'!$A$2:$A$120,MATCH(1,INDEX(--ISNUMBER(SEARCH('Bad Patterns'!$A$2:$A$120,B8399)),0),0)),""))</f>
        <v/>
      </c>
      <c r="D8399">
        <f>IF(B8399="","",IF(C8399&lt;&gt;"","REMOVE","KEEP"))</f>
        <v/>
      </c>
      <c r="E8399">
        <f>IF(D8399&lt;&gt;"KEEP","",IF(RIGHT(B8399,10)="@gmail.com","Gmail",IF(OR(RIGHT(B8399,12)="@outlook.com",RIGHT(B8399,12)="@hotmail.com",RIGHT(B8399,9)="@live.com"),"Outlook","Domain")))</f>
        <v/>
      </c>
      <c r="F8399">
        <f>IF(B8399="","",IFERROR(RIGHT(B8399,LEN(B8399)-FIND("@",B8399)),""))</f>
        <v/>
      </c>
      <c r="G8399">
        <f>IF(D8399="KEEP",COUNTIF($D$2:D8399,"KEEP"),"")</f>
        <v/>
      </c>
      <c r="H8399">
        <f>IF(D8399="REMOVE",COUNTIF($D$2:D8399,"REMOVE"),"")</f>
        <v/>
      </c>
      <c r="I8399">
        <f>IF(E8399="Gmail",COUNTIF($E$2:E8399,"Gmail"),"")</f>
        <v/>
      </c>
      <c r="J8399">
        <f>IF(E8399="Outlook",COUNTIF($E$2:E8399,"Outlook"),"")</f>
        <v/>
      </c>
      <c r="K8399">
        <f>IF(E8399="Domain",COUNTIF($E$2:E8399,"Domain"),"")</f>
        <v/>
      </c>
    </row>
    <row r="8400">
      <c r="A8400" s="2" t="n"/>
      <c r="B8400">
        <f>LOWER(TRIM(A8400))</f>
        <v/>
      </c>
      <c r="C8400">
        <f>IF(B8400="","",IFERROR(INDEX('Bad Patterns'!$A$2:$A$120,MATCH(1,INDEX(--ISNUMBER(SEARCH('Bad Patterns'!$A$2:$A$120,B8400)),0),0)),""))</f>
        <v/>
      </c>
      <c r="D8400">
        <f>IF(B8400="","",IF(C8400&lt;&gt;"","REMOVE","KEEP"))</f>
        <v/>
      </c>
      <c r="E8400">
        <f>IF(D8400&lt;&gt;"KEEP","",IF(RIGHT(B8400,10)="@gmail.com","Gmail",IF(OR(RIGHT(B8400,12)="@outlook.com",RIGHT(B8400,12)="@hotmail.com",RIGHT(B8400,9)="@live.com"),"Outlook","Domain")))</f>
        <v/>
      </c>
      <c r="F8400">
        <f>IF(B8400="","",IFERROR(RIGHT(B8400,LEN(B8400)-FIND("@",B8400)),""))</f>
        <v/>
      </c>
      <c r="G8400">
        <f>IF(D8400="KEEP",COUNTIF($D$2:D8400,"KEEP"),"")</f>
        <v/>
      </c>
      <c r="H8400">
        <f>IF(D8400="REMOVE",COUNTIF($D$2:D8400,"REMOVE"),"")</f>
        <v/>
      </c>
      <c r="I8400">
        <f>IF(E8400="Gmail",COUNTIF($E$2:E8400,"Gmail"),"")</f>
        <v/>
      </c>
      <c r="J8400">
        <f>IF(E8400="Outlook",COUNTIF($E$2:E8400,"Outlook"),"")</f>
        <v/>
      </c>
      <c r="K8400">
        <f>IF(E8400="Domain",COUNTIF($E$2:E8400,"Domain"),"")</f>
        <v/>
      </c>
    </row>
    <row r="8401">
      <c r="A8401" s="2" t="n"/>
      <c r="B8401">
        <f>LOWER(TRIM(A8401))</f>
        <v/>
      </c>
      <c r="C8401">
        <f>IF(B8401="","",IFERROR(INDEX('Bad Patterns'!$A$2:$A$120,MATCH(1,INDEX(--ISNUMBER(SEARCH('Bad Patterns'!$A$2:$A$120,B8401)),0),0)),""))</f>
        <v/>
      </c>
      <c r="D8401">
        <f>IF(B8401="","",IF(C8401&lt;&gt;"","REMOVE","KEEP"))</f>
        <v/>
      </c>
      <c r="E8401">
        <f>IF(D8401&lt;&gt;"KEEP","",IF(RIGHT(B8401,10)="@gmail.com","Gmail",IF(OR(RIGHT(B8401,12)="@outlook.com",RIGHT(B8401,12)="@hotmail.com",RIGHT(B8401,9)="@live.com"),"Outlook","Domain")))</f>
        <v/>
      </c>
      <c r="F8401">
        <f>IF(B8401="","",IFERROR(RIGHT(B8401,LEN(B8401)-FIND("@",B8401)),""))</f>
        <v/>
      </c>
      <c r="G8401">
        <f>IF(D8401="KEEP",COUNTIF($D$2:D8401,"KEEP"),"")</f>
        <v/>
      </c>
      <c r="H8401">
        <f>IF(D8401="REMOVE",COUNTIF($D$2:D8401,"REMOVE"),"")</f>
        <v/>
      </c>
      <c r="I8401">
        <f>IF(E8401="Gmail",COUNTIF($E$2:E8401,"Gmail"),"")</f>
        <v/>
      </c>
      <c r="J8401">
        <f>IF(E8401="Outlook",COUNTIF($E$2:E8401,"Outlook"),"")</f>
        <v/>
      </c>
      <c r="K8401">
        <f>IF(E8401="Domain",COUNTIF($E$2:E8401,"Domain"),"")</f>
        <v/>
      </c>
    </row>
    <row r="8402">
      <c r="A8402" s="2" t="n"/>
      <c r="B8402">
        <f>LOWER(TRIM(A8402))</f>
        <v/>
      </c>
      <c r="C8402">
        <f>IF(B8402="","",IFERROR(INDEX('Bad Patterns'!$A$2:$A$120,MATCH(1,INDEX(--ISNUMBER(SEARCH('Bad Patterns'!$A$2:$A$120,B8402)),0),0)),""))</f>
        <v/>
      </c>
      <c r="D8402">
        <f>IF(B8402="","",IF(C8402&lt;&gt;"","REMOVE","KEEP"))</f>
        <v/>
      </c>
      <c r="E8402">
        <f>IF(D8402&lt;&gt;"KEEP","",IF(RIGHT(B8402,10)="@gmail.com","Gmail",IF(OR(RIGHT(B8402,12)="@outlook.com",RIGHT(B8402,12)="@hotmail.com",RIGHT(B8402,9)="@live.com"),"Outlook","Domain")))</f>
        <v/>
      </c>
      <c r="F8402">
        <f>IF(B8402="","",IFERROR(RIGHT(B8402,LEN(B8402)-FIND("@",B8402)),""))</f>
        <v/>
      </c>
      <c r="G8402">
        <f>IF(D8402="KEEP",COUNTIF($D$2:D8402,"KEEP"),"")</f>
        <v/>
      </c>
      <c r="H8402">
        <f>IF(D8402="REMOVE",COUNTIF($D$2:D8402,"REMOVE"),"")</f>
        <v/>
      </c>
      <c r="I8402">
        <f>IF(E8402="Gmail",COUNTIF($E$2:E8402,"Gmail"),"")</f>
        <v/>
      </c>
      <c r="J8402">
        <f>IF(E8402="Outlook",COUNTIF($E$2:E8402,"Outlook"),"")</f>
        <v/>
      </c>
      <c r="K8402">
        <f>IF(E8402="Domain",COUNTIF($E$2:E8402,"Domain"),"")</f>
        <v/>
      </c>
    </row>
    <row r="8403">
      <c r="A8403" s="2" t="n"/>
      <c r="B8403">
        <f>LOWER(TRIM(A8403))</f>
        <v/>
      </c>
      <c r="C8403">
        <f>IF(B8403="","",IFERROR(INDEX('Bad Patterns'!$A$2:$A$120,MATCH(1,INDEX(--ISNUMBER(SEARCH('Bad Patterns'!$A$2:$A$120,B8403)),0),0)),""))</f>
        <v/>
      </c>
      <c r="D8403">
        <f>IF(B8403="","",IF(C8403&lt;&gt;"","REMOVE","KEEP"))</f>
        <v/>
      </c>
      <c r="E8403">
        <f>IF(D8403&lt;&gt;"KEEP","",IF(RIGHT(B8403,10)="@gmail.com","Gmail",IF(OR(RIGHT(B8403,12)="@outlook.com",RIGHT(B8403,12)="@hotmail.com",RIGHT(B8403,9)="@live.com"),"Outlook","Domain")))</f>
        <v/>
      </c>
      <c r="F8403">
        <f>IF(B8403="","",IFERROR(RIGHT(B8403,LEN(B8403)-FIND("@",B8403)),""))</f>
        <v/>
      </c>
      <c r="G8403">
        <f>IF(D8403="KEEP",COUNTIF($D$2:D8403,"KEEP"),"")</f>
        <v/>
      </c>
      <c r="H8403">
        <f>IF(D8403="REMOVE",COUNTIF($D$2:D8403,"REMOVE"),"")</f>
        <v/>
      </c>
      <c r="I8403">
        <f>IF(E8403="Gmail",COUNTIF($E$2:E8403,"Gmail"),"")</f>
        <v/>
      </c>
      <c r="J8403">
        <f>IF(E8403="Outlook",COUNTIF($E$2:E8403,"Outlook"),"")</f>
        <v/>
      </c>
      <c r="K8403">
        <f>IF(E8403="Domain",COUNTIF($E$2:E8403,"Domain"),"")</f>
        <v/>
      </c>
    </row>
    <row r="8404">
      <c r="A8404" s="2" t="n"/>
      <c r="B8404">
        <f>LOWER(TRIM(A8404))</f>
        <v/>
      </c>
      <c r="C8404">
        <f>IF(B8404="","",IFERROR(INDEX('Bad Patterns'!$A$2:$A$120,MATCH(1,INDEX(--ISNUMBER(SEARCH('Bad Patterns'!$A$2:$A$120,B8404)),0),0)),""))</f>
        <v/>
      </c>
      <c r="D8404">
        <f>IF(B8404="","",IF(C8404&lt;&gt;"","REMOVE","KEEP"))</f>
        <v/>
      </c>
      <c r="E8404">
        <f>IF(D8404&lt;&gt;"KEEP","",IF(RIGHT(B8404,10)="@gmail.com","Gmail",IF(OR(RIGHT(B8404,12)="@outlook.com",RIGHT(B8404,12)="@hotmail.com",RIGHT(B8404,9)="@live.com"),"Outlook","Domain")))</f>
        <v/>
      </c>
      <c r="F8404">
        <f>IF(B8404="","",IFERROR(RIGHT(B8404,LEN(B8404)-FIND("@",B8404)),""))</f>
        <v/>
      </c>
      <c r="G8404">
        <f>IF(D8404="KEEP",COUNTIF($D$2:D8404,"KEEP"),"")</f>
        <v/>
      </c>
      <c r="H8404">
        <f>IF(D8404="REMOVE",COUNTIF($D$2:D8404,"REMOVE"),"")</f>
        <v/>
      </c>
      <c r="I8404">
        <f>IF(E8404="Gmail",COUNTIF($E$2:E8404,"Gmail"),"")</f>
        <v/>
      </c>
      <c r="J8404">
        <f>IF(E8404="Outlook",COUNTIF($E$2:E8404,"Outlook"),"")</f>
        <v/>
      </c>
      <c r="K8404">
        <f>IF(E8404="Domain",COUNTIF($E$2:E8404,"Domain"),"")</f>
        <v/>
      </c>
    </row>
    <row r="8405">
      <c r="A8405" s="2" t="n"/>
      <c r="B8405">
        <f>LOWER(TRIM(A8405))</f>
        <v/>
      </c>
      <c r="C8405">
        <f>IF(B8405="","",IFERROR(INDEX('Bad Patterns'!$A$2:$A$120,MATCH(1,INDEX(--ISNUMBER(SEARCH('Bad Patterns'!$A$2:$A$120,B8405)),0),0)),""))</f>
        <v/>
      </c>
      <c r="D8405">
        <f>IF(B8405="","",IF(C8405&lt;&gt;"","REMOVE","KEEP"))</f>
        <v/>
      </c>
      <c r="E8405">
        <f>IF(D8405&lt;&gt;"KEEP","",IF(RIGHT(B8405,10)="@gmail.com","Gmail",IF(OR(RIGHT(B8405,12)="@outlook.com",RIGHT(B8405,12)="@hotmail.com",RIGHT(B8405,9)="@live.com"),"Outlook","Domain")))</f>
        <v/>
      </c>
      <c r="F8405">
        <f>IF(B8405="","",IFERROR(RIGHT(B8405,LEN(B8405)-FIND("@",B8405)),""))</f>
        <v/>
      </c>
      <c r="G8405">
        <f>IF(D8405="KEEP",COUNTIF($D$2:D8405,"KEEP"),"")</f>
        <v/>
      </c>
      <c r="H8405">
        <f>IF(D8405="REMOVE",COUNTIF($D$2:D8405,"REMOVE"),"")</f>
        <v/>
      </c>
      <c r="I8405">
        <f>IF(E8405="Gmail",COUNTIF($E$2:E8405,"Gmail"),"")</f>
        <v/>
      </c>
      <c r="J8405">
        <f>IF(E8405="Outlook",COUNTIF($E$2:E8405,"Outlook"),"")</f>
        <v/>
      </c>
      <c r="K8405">
        <f>IF(E8405="Domain",COUNTIF($E$2:E8405,"Domain"),"")</f>
        <v/>
      </c>
    </row>
    <row r="8406">
      <c r="A8406" s="2" t="n"/>
      <c r="B8406">
        <f>LOWER(TRIM(A8406))</f>
        <v/>
      </c>
      <c r="C8406">
        <f>IF(B8406="","",IFERROR(INDEX('Bad Patterns'!$A$2:$A$120,MATCH(1,INDEX(--ISNUMBER(SEARCH('Bad Patterns'!$A$2:$A$120,B8406)),0),0)),""))</f>
        <v/>
      </c>
      <c r="D8406">
        <f>IF(B8406="","",IF(C8406&lt;&gt;"","REMOVE","KEEP"))</f>
        <v/>
      </c>
      <c r="E8406">
        <f>IF(D8406&lt;&gt;"KEEP","",IF(RIGHT(B8406,10)="@gmail.com","Gmail",IF(OR(RIGHT(B8406,12)="@outlook.com",RIGHT(B8406,12)="@hotmail.com",RIGHT(B8406,9)="@live.com"),"Outlook","Domain")))</f>
        <v/>
      </c>
      <c r="F8406">
        <f>IF(B8406="","",IFERROR(RIGHT(B8406,LEN(B8406)-FIND("@",B8406)),""))</f>
        <v/>
      </c>
      <c r="G8406">
        <f>IF(D8406="KEEP",COUNTIF($D$2:D8406,"KEEP"),"")</f>
        <v/>
      </c>
      <c r="H8406">
        <f>IF(D8406="REMOVE",COUNTIF($D$2:D8406,"REMOVE"),"")</f>
        <v/>
      </c>
      <c r="I8406">
        <f>IF(E8406="Gmail",COUNTIF($E$2:E8406,"Gmail"),"")</f>
        <v/>
      </c>
      <c r="J8406">
        <f>IF(E8406="Outlook",COUNTIF($E$2:E8406,"Outlook"),"")</f>
        <v/>
      </c>
      <c r="K8406">
        <f>IF(E8406="Domain",COUNTIF($E$2:E8406,"Domain"),"")</f>
        <v/>
      </c>
    </row>
    <row r="8407">
      <c r="A8407" s="2" t="n"/>
      <c r="B8407">
        <f>LOWER(TRIM(A8407))</f>
        <v/>
      </c>
      <c r="C8407">
        <f>IF(B8407="","",IFERROR(INDEX('Bad Patterns'!$A$2:$A$120,MATCH(1,INDEX(--ISNUMBER(SEARCH('Bad Patterns'!$A$2:$A$120,B8407)),0),0)),""))</f>
        <v/>
      </c>
      <c r="D8407">
        <f>IF(B8407="","",IF(C8407&lt;&gt;"","REMOVE","KEEP"))</f>
        <v/>
      </c>
      <c r="E8407">
        <f>IF(D8407&lt;&gt;"KEEP","",IF(RIGHT(B8407,10)="@gmail.com","Gmail",IF(OR(RIGHT(B8407,12)="@outlook.com",RIGHT(B8407,12)="@hotmail.com",RIGHT(B8407,9)="@live.com"),"Outlook","Domain")))</f>
        <v/>
      </c>
      <c r="F8407">
        <f>IF(B8407="","",IFERROR(RIGHT(B8407,LEN(B8407)-FIND("@",B8407)),""))</f>
        <v/>
      </c>
      <c r="G8407">
        <f>IF(D8407="KEEP",COUNTIF($D$2:D8407,"KEEP"),"")</f>
        <v/>
      </c>
      <c r="H8407">
        <f>IF(D8407="REMOVE",COUNTIF($D$2:D8407,"REMOVE"),"")</f>
        <v/>
      </c>
      <c r="I8407">
        <f>IF(E8407="Gmail",COUNTIF($E$2:E8407,"Gmail"),"")</f>
        <v/>
      </c>
      <c r="J8407">
        <f>IF(E8407="Outlook",COUNTIF($E$2:E8407,"Outlook"),"")</f>
        <v/>
      </c>
      <c r="K8407">
        <f>IF(E8407="Domain",COUNTIF($E$2:E8407,"Domain"),"")</f>
        <v/>
      </c>
    </row>
    <row r="8408">
      <c r="A8408" s="2" t="n"/>
      <c r="B8408">
        <f>LOWER(TRIM(A8408))</f>
        <v/>
      </c>
      <c r="C8408">
        <f>IF(B8408="","",IFERROR(INDEX('Bad Patterns'!$A$2:$A$120,MATCH(1,INDEX(--ISNUMBER(SEARCH('Bad Patterns'!$A$2:$A$120,B8408)),0),0)),""))</f>
        <v/>
      </c>
      <c r="D8408">
        <f>IF(B8408="","",IF(C8408&lt;&gt;"","REMOVE","KEEP"))</f>
        <v/>
      </c>
      <c r="E8408">
        <f>IF(D8408&lt;&gt;"KEEP","",IF(RIGHT(B8408,10)="@gmail.com","Gmail",IF(OR(RIGHT(B8408,12)="@outlook.com",RIGHT(B8408,12)="@hotmail.com",RIGHT(B8408,9)="@live.com"),"Outlook","Domain")))</f>
        <v/>
      </c>
      <c r="F8408">
        <f>IF(B8408="","",IFERROR(RIGHT(B8408,LEN(B8408)-FIND("@",B8408)),""))</f>
        <v/>
      </c>
      <c r="G8408">
        <f>IF(D8408="KEEP",COUNTIF($D$2:D8408,"KEEP"),"")</f>
        <v/>
      </c>
      <c r="H8408">
        <f>IF(D8408="REMOVE",COUNTIF($D$2:D8408,"REMOVE"),"")</f>
        <v/>
      </c>
      <c r="I8408">
        <f>IF(E8408="Gmail",COUNTIF($E$2:E8408,"Gmail"),"")</f>
        <v/>
      </c>
      <c r="J8408">
        <f>IF(E8408="Outlook",COUNTIF($E$2:E8408,"Outlook"),"")</f>
        <v/>
      </c>
      <c r="K8408">
        <f>IF(E8408="Domain",COUNTIF($E$2:E8408,"Domain"),"")</f>
        <v/>
      </c>
    </row>
    <row r="8409">
      <c r="A8409" s="2" t="n"/>
      <c r="B8409">
        <f>LOWER(TRIM(A8409))</f>
        <v/>
      </c>
      <c r="C8409">
        <f>IF(B8409="","",IFERROR(INDEX('Bad Patterns'!$A$2:$A$120,MATCH(1,INDEX(--ISNUMBER(SEARCH('Bad Patterns'!$A$2:$A$120,B8409)),0),0)),""))</f>
        <v/>
      </c>
      <c r="D8409">
        <f>IF(B8409="","",IF(C8409&lt;&gt;"","REMOVE","KEEP"))</f>
        <v/>
      </c>
      <c r="E8409">
        <f>IF(D8409&lt;&gt;"KEEP","",IF(RIGHT(B8409,10)="@gmail.com","Gmail",IF(OR(RIGHT(B8409,12)="@outlook.com",RIGHT(B8409,12)="@hotmail.com",RIGHT(B8409,9)="@live.com"),"Outlook","Domain")))</f>
        <v/>
      </c>
      <c r="F8409">
        <f>IF(B8409="","",IFERROR(RIGHT(B8409,LEN(B8409)-FIND("@",B8409)),""))</f>
        <v/>
      </c>
      <c r="G8409">
        <f>IF(D8409="KEEP",COUNTIF($D$2:D8409,"KEEP"),"")</f>
        <v/>
      </c>
      <c r="H8409">
        <f>IF(D8409="REMOVE",COUNTIF($D$2:D8409,"REMOVE"),"")</f>
        <v/>
      </c>
      <c r="I8409">
        <f>IF(E8409="Gmail",COUNTIF($E$2:E8409,"Gmail"),"")</f>
        <v/>
      </c>
      <c r="J8409">
        <f>IF(E8409="Outlook",COUNTIF($E$2:E8409,"Outlook"),"")</f>
        <v/>
      </c>
      <c r="K8409">
        <f>IF(E8409="Domain",COUNTIF($E$2:E8409,"Domain"),"")</f>
        <v/>
      </c>
    </row>
    <row r="8410">
      <c r="A8410" s="2" t="n"/>
      <c r="B8410">
        <f>LOWER(TRIM(A8410))</f>
        <v/>
      </c>
      <c r="C8410">
        <f>IF(B8410="","",IFERROR(INDEX('Bad Patterns'!$A$2:$A$120,MATCH(1,INDEX(--ISNUMBER(SEARCH('Bad Patterns'!$A$2:$A$120,B8410)),0),0)),""))</f>
        <v/>
      </c>
      <c r="D8410">
        <f>IF(B8410="","",IF(C8410&lt;&gt;"","REMOVE","KEEP"))</f>
        <v/>
      </c>
      <c r="E8410">
        <f>IF(D8410&lt;&gt;"KEEP","",IF(RIGHT(B8410,10)="@gmail.com","Gmail",IF(OR(RIGHT(B8410,12)="@outlook.com",RIGHT(B8410,12)="@hotmail.com",RIGHT(B8410,9)="@live.com"),"Outlook","Domain")))</f>
        <v/>
      </c>
      <c r="F8410">
        <f>IF(B8410="","",IFERROR(RIGHT(B8410,LEN(B8410)-FIND("@",B8410)),""))</f>
        <v/>
      </c>
      <c r="G8410">
        <f>IF(D8410="KEEP",COUNTIF($D$2:D8410,"KEEP"),"")</f>
        <v/>
      </c>
      <c r="H8410">
        <f>IF(D8410="REMOVE",COUNTIF($D$2:D8410,"REMOVE"),"")</f>
        <v/>
      </c>
      <c r="I8410">
        <f>IF(E8410="Gmail",COUNTIF($E$2:E8410,"Gmail"),"")</f>
        <v/>
      </c>
      <c r="J8410">
        <f>IF(E8410="Outlook",COUNTIF($E$2:E8410,"Outlook"),"")</f>
        <v/>
      </c>
      <c r="K8410">
        <f>IF(E8410="Domain",COUNTIF($E$2:E8410,"Domain"),"")</f>
        <v/>
      </c>
    </row>
    <row r="8411">
      <c r="A8411" s="2" t="n"/>
      <c r="B8411">
        <f>LOWER(TRIM(A8411))</f>
        <v/>
      </c>
      <c r="C8411">
        <f>IF(B8411="","",IFERROR(INDEX('Bad Patterns'!$A$2:$A$120,MATCH(1,INDEX(--ISNUMBER(SEARCH('Bad Patterns'!$A$2:$A$120,B8411)),0),0)),""))</f>
        <v/>
      </c>
      <c r="D8411">
        <f>IF(B8411="","",IF(C8411&lt;&gt;"","REMOVE","KEEP"))</f>
        <v/>
      </c>
      <c r="E8411">
        <f>IF(D8411&lt;&gt;"KEEP","",IF(RIGHT(B8411,10)="@gmail.com","Gmail",IF(OR(RIGHT(B8411,12)="@outlook.com",RIGHT(B8411,12)="@hotmail.com",RIGHT(B8411,9)="@live.com"),"Outlook","Domain")))</f>
        <v/>
      </c>
      <c r="F8411">
        <f>IF(B8411="","",IFERROR(RIGHT(B8411,LEN(B8411)-FIND("@",B8411)),""))</f>
        <v/>
      </c>
      <c r="G8411">
        <f>IF(D8411="KEEP",COUNTIF($D$2:D8411,"KEEP"),"")</f>
        <v/>
      </c>
      <c r="H8411">
        <f>IF(D8411="REMOVE",COUNTIF($D$2:D8411,"REMOVE"),"")</f>
        <v/>
      </c>
      <c r="I8411">
        <f>IF(E8411="Gmail",COUNTIF($E$2:E8411,"Gmail"),"")</f>
        <v/>
      </c>
      <c r="J8411">
        <f>IF(E8411="Outlook",COUNTIF($E$2:E8411,"Outlook"),"")</f>
        <v/>
      </c>
      <c r="K8411">
        <f>IF(E8411="Domain",COUNTIF($E$2:E8411,"Domain"),"")</f>
        <v/>
      </c>
    </row>
    <row r="8412">
      <c r="A8412" s="2" t="n"/>
      <c r="B8412">
        <f>LOWER(TRIM(A8412))</f>
        <v/>
      </c>
      <c r="C8412">
        <f>IF(B8412="","",IFERROR(INDEX('Bad Patterns'!$A$2:$A$120,MATCH(1,INDEX(--ISNUMBER(SEARCH('Bad Patterns'!$A$2:$A$120,B8412)),0),0)),""))</f>
        <v/>
      </c>
      <c r="D8412">
        <f>IF(B8412="","",IF(C8412&lt;&gt;"","REMOVE","KEEP"))</f>
        <v/>
      </c>
      <c r="E8412">
        <f>IF(D8412&lt;&gt;"KEEP","",IF(RIGHT(B8412,10)="@gmail.com","Gmail",IF(OR(RIGHT(B8412,12)="@outlook.com",RIGHT(B8412,12)="@hotmail.com",RIGHT(B8412,9)="@live.com"),"Outlook","Domain")))</f>
        <v/>
      </c>
      <c r="F8412">
        <f>IF(B8412="","",IFERROR(RIGHT(B8412,LEN(B8412)-FIND("@",B8412)),""))</f>
        <v/>
      </c>
      <c r="G8412">
        <f>IF(D8412="KEEP",COUNTIF($D$2:D8412,"KEEP"),"")</f>
        <v/>
      </c>
      <c r="H8412">
        <f>IF(D8412="REMOVE",COUNTIF($D$2:D8412,"REMOVE"),"")</f>
        <v/>
      </c>
      <c r="I8412">
        <f>IF(E8412="Gmail",COUNTIF($E$2:E8412,"Gmail"),"")</f>
        <v/>
      </c>
      <c r="J8412">
        <f>IF(E8412="Outlook",COUNTIF($E$2:E8412,"Outlook"),"")</f>
        <v/>
      </c>
      <c r="K8412">
        <f>IF(E8412="Domain",COUNTIF($E$2:E8412,"Domain"),"")</f>
        <v/>
      </c>
    </row>
    <row r="8413">
      <c r="A8413" s="2" t="n"/>
      <c r="B8413">
        <f>LOWER(TRIM(A8413))</f>
        <v/>
      </c>
      <c r="C8413">
        <f>IF(B8413="","",IFERROR(INDEX('Bad Patterns'!$A$2:$A$120,MATCH(1,INDEX(--ISNUMBER(SEARCH('Bad Patterns'!$A$2:$A$120,B8413)),0),0)),""))</f>
        <v/>
      </c>
      <c r="D8413">
        <f>IF(B8413="","",IF(C8413&lt;&gt;"","REMOVE","KEEP"))</f>
        <v/>
      </c>
      <c r="E8413">
        <f>IF(D8413&lt;&gt;"KEEP","",IF(RIGHT(B8413,10)="@gmail.com","Gmail",IF(OR(RIGHT(B8413,12)="@outlook.com",RIGHT(B8413,12)="@hotmail.com",RIGHT(B8413,9)="@live.com"),"Outlook","Domain")))</f>
        <v/>
      </c>
      <c r="F8413">
        <f>IF(B8413="","",IFERROR(RIGHT(B8413,LEN(B8413)-FIND("@",B8413)),""))</f>
        <v/>
      </c>
      <c r="G8413">
        <f>IF(D8413="KEEP",COUNTIF($D$2:D8413,"KEEP"),"")</f>
        <v/>
      </c>
      <c r="H8413">
        <f>IF(D8413="REMOVE",COUNTIF($D$2:D8413,"REMOVE"),"")</f>
        <v/>
      </c>
      <c r="I8413">
        <f>IF(E8413="Gmail",COUNTIF($E$2:E8413,"Gmail"),"")</f>
        <v/>
      </c>
      <c r="J8413">
        <f>IF(E8413="Outlook",COUNTIF($E$2:E8413,"Outlook"),"")</f>
        <v/>
      </c>
      <c r="K8413">
        <f>IF(E8413="Domain",COUNTIF($E$2:E8413,"Domain"),"")</f>
        <v/>
      </c>
    </row>
    <row r="8414">
      <c r="A8414" s="2" t="n"/>
      <c r="B8414">
        <f>LOWER(TRIM(A8414))</f>
        <v/>
      </c>
      <c r="C8414">
        <f>IF(B8414="","",IFERROR(INDEX('Bad Patterns'!$A$2:$A$120,MATCH(1,INDEX(--ISNUMBER(SEARCH('Bad Patterns'!$A$2:$A$120,B8414)),0),0)),""))</f>
        <v/>
      </c>
      <c r="D8414">
        <f>IF(B8414="","",IF(C8414&lt;&gt;"","REMOVE","KEEP"))</f>
        <v/>
      </c>
      <c r="E8414">
        <f>IF(D8414&lt;&gt;"KEEP","",IF(RIGHT(B8414,10)="@gmail.com","Gmail",IF(OR(RIGHT(B8414,12)="@outlook.com",RIGHT(B8414,12)="@hotmail.com",RIGHT(B8414,9)="@live.com"),"Outlook","Domain")))</f>
        <v/>
      </c>
      <c r="F8414">
        <f>IF(B8414="","",IFERROR(RIGHT(B8414,LEN(B8414)-FIND("@",B8414)),""))</f>
        <v/>
      </c>
      <c r="G8414">
        <f>IF(D8414="KEEP",COUNTIF($D$2:D8414,"KEEP"),"")</f>
        <v/>
      </c>
      <c r="H8414">
        <f>IF(D8414="REMOVE",COUNTIF($D$2:D8414,"REMOVE"),"")</f>
        <v/>
      </c>
      <c r="I8414">
        <f>IF(E8414="Gmail",COUNTIF($E$2:E8414,"Gmail"),"")</f>
        <v/>
      </c>
      <c r="J8414">
        <f>IF(E8414="Outlook",COUNTIF($E$2:E8414,"Outlook"),"")</f>
        <v/>
      </c>
      <c r="K8414">
        <f>IF(E8414="Domain",COUNTIF($E$2:E8414,"Domain"),"")</f>
        <v/>
      </c>
    </row>
    <row r="8415">
      <c r="A8415" s="2" t="n"/>
      <c r="B8415">
        <f>LOWER(TRIM(A8415))</f>
        <v/>
      </c>
      <c r="C8415">
        <f>IF(B8415="","",IFERROR(INDEX('Bad Patterns'!$A$2:$A$120,MATCH(1,INDEX(--ISNUMBER(SEARCH('Bad Patterns'!$A$2:$A$120,B8415)),0),0)),""))</f>
        <v/>
      </c>
      <c r="D8415">
        <f>IF(B8415="","",IF(C8415&lt;&gt;"","REMOVE","KEEP"))</f>
        <v/>
      </c>
      <c r="E8415">
        <f>IF(D8415&lt;&gt;"KEEP","",IF(RIGHT(B8415,10)="@gmail.com","Gmail",IF(OR(RIGHT(B8415,12)="@outlook.com",RIGHT(B8415,12)="@hotmail.com",RIGHT(B8415,9)="@live.com"),"Outlook","Domain")))</f>
        <v/>
      </c>
      <c r="F8415">
        <f>IF(B8415="","",IFERROR(RIGHT(B8415,LEN(B8415)-FIND("@",B8415)),""))</f>
        <v/>
      </c>
      <c r="G8415">
        <f>IF(D8415="KEEP",COUNTIF($D$2:D8415,"KEEP"),"")</f>
        <v/>
      </c>
      <c r="H8415">
        <f>IF(D8415="REMOVE",COUNTIF($D$2:D8415,"REMOVE"),"")</f>
        <v/>
      </c>
      <c r="I8415">
        <f>IF(E8415="Gmail",COUNTIF($E$2:E8415,"Gmail"),"")</f>
        <v/>
      </c>
      <c r="J8415">
        <f>IF(E8415="Outlook",COUNTIF($E$2:E8415,"Outlook"),"")</f>
        <v/>
      </c>
      <c r="K8415">
        <f>IF(E8415="Domain",COUNTIF($E$2:E8415,"Domain"),"")</f>
        <v/>
      </c>
    </row>
    <row r="8416">
      <c r="A8416" s="2" t="n"/>
      <c r="B8416">
        <f>LOWER(TRIM(A8416))</f>
        <v/>
      </c>
      <c r="C8416">
        <f>IF(B8416="","",IFERROR(INDEX('Bad Patterns'!$A$2:$A$120,MATCH(1,INDEX(--ISNUMBER(SEARCH('Bad Patterns'!$A$2:$A$120,B8416)),0),0)),""))</f>
        <v/>
      </c>
      <c r="D8416">
        <f>IF(B8416="","",IF(C8416&lt;&gt;"","REMOVE","KEEP"))</f>
        <v/>
      </c>
      <c r="E8416">
        <f>IF(D8416&lt;&gt;"KEEP","",IF(RIGHT(B8416,10)="@gmail.com","Gmail",IF(OR(RIGHT(B8416,12)="@outlook.com",RIGHT(B8416,12)="@hotmail.com",RIGHT(B8416,9)="@live.com"),"Outlook","Domain")))</f>
        <v/>
      </c>
      <c r="F8416">
        <f>IF(B8416="","",IFERROR(RIGHT(B8416,LEN(B8416)-FIND("@",B8416)),""))</f>
        <v/>
      </c>
      <c r="G8416">
        <f>IF(D8416="KEEP",COUNTIF($D$2:D8416,"KEEP"),"")</f>
        <v/>
      </c>
      <c r="H8416">
        <f>IF(D8416="REMOVE",COUNTIF($D$2:D8416,"REMOVE"),"")</f>
        <v/>
      </c>
      <c r="I8416">
        <f>IF(E8416="Gmail",COUNTIF($E$2:E8416,"Gmail"),"")</f>
        <v/>
      </c>
      <c r="J8416">
        <f>IF(E8416="Outlook",COUNTIF($E$2:E8416,"Outlook"),"")</f>
        <v/>
      </c>
      <c r="K8416">
        <f>IF(E8416="Domain",COUNTIF($E$2:E8416,"Domain"),"")</f>
        <v/>
      </c>
    </row>
    <row r="8417">
      <c r="A8417" s="2" t="n"/>
      <c r="B8417">
        <f>LOWER(TRIM(A8417))</f>
        <v/>
      </c>
      <c r="C8417">
        <f>IF(B8417="","",IFERROR(INDEX('Bad Patterns'!$A$2:$A$120,MATCH(1,INDEX(--ISNUMBER(SEARCH('Bad Patterns'!$A$2:$A$120,B8417)),0),0)),""))</f>
        <v/>
      </c>
      <c r="D8417">
        <f>IF(B8417="","",IF(C8417&lt;&gt;"","REMOVE","KEEP"))</f>
        <v/>
      </c>
      <c r="E8417">
        <f>IF(D8417&lt;&gt;"KEEP","",IF(RIGHT(B8417,10)="@gmail.com","Gmail",IF(OR(RIGHT(B8417,12)="@outlook.com",RIGHT(B8417,12)="@hotmail.com",RIGHT(B8417,9)="@live.com"),"Outlook","Domain")))</f>
        <v/>
      </c>
      <c r="F8417">
        <f>IF(B8417="","",IFERROR(RIGHT(B8417,LEN(B8417)-FIND("@",B8417)),""))</f>
        <v/>
      </c>
      <c r="G8417">
        <f>IF(D8417="KEEP",COUNTIF($D$2:D8417,"KEEP"),"")</f>
        <v/>
      </c>
      <c r="H8417">
        <f>IF(D8417="REMOVE",COUNTIF($D$2:D8417,"REMOVE"),"")</f>
        <v/>
      </c>
      <c r="I8417">
        <f>IF(E8417="Gmail",COUNTIF($E$2:E8417,"Gmail"),"")</f>
        <v/>
      </c>
      <c r="J8417">
        <f>IF(E8417="Outlook",COUNTIF($E$2:E8417,"Outlook"),"")</f>
        <v/>
      </c>
      <c r="K8417">
        <f>IF(E8417="Domain",COUNTIF($E$2:E8417,"Domain"),"")</f>
        <v/>
      </c>
    </row>
    <row r="8418">
      <c r="A8418" s="2" t="n"/>
      <c r="B8418">
        <f>LOWER(TRIM(A8418))</f>
        <v/>
      </c>
      <c r="C8418">
        <f>IF(B8418="","",IFERROR(INDEX('Bad Patterns'!$A$2:$A$120,MATCH(1,INDEX(--ISNUMBER(SEARCH('Bad Patterns'!$A$2:$A$120,B8418)),0),0)),""))</f>
        <v/>
      </c>
      <c r="D8418">
        <f>IF(B8418="","",IF(C8418&lt;&gt;"","REMOVE","KEEP"))</f>
        <v/>
      </c>
      <c r="E8418">
        <f>IF(D8418&lt;&gt;"KEEP","",IF(RIGHT(B8418,10)="@gmail.com","Gmail",IF(OR(RIGHT(B8418,12)="@outlook.com",RIGHT(B8418,12)="@hotmail.com",RIGHT(B8418,9)="@live.com"),"Outlook","Domain")))</f>
        <v/>
      </c>
      <c r="F8418">
        <f>IF(B8418="","",IFERROR(RIGHT(B8418,LEN(B8418)-FIND("@",B8418)),""))</f>
        <v/>
      </c>
      <c r="G8418">
        <f>IF(D8418="KEEP",COUNTIF($D$2:D8418,"KEEP"),"")</f>
        <v/>
      </c>
      <c r="H8418">
        <f>IF(D8418="REMOVE",COUNTIF($D$2:D8418,"REMOVE"),"")</f>
        <v/>
      </c>
      <c r="I8418">
        <f>IF(E8418="Gmail",COUNTIF($E$2:E8418,"Gmail"),"")</f>
        <v/>
      </c>
      <c r="J8418">
        <f>IF(E8418="Outlook",COUNTIF($E$2:E8418,"Outlook"),"")</f>
        <v/>
      </c>
      <c r="K8418">
        <f>IF(E8418="Domain",COUNTIF($E$2:E8418,"Domain"),"")</f>
        <v/>
      </c>
    </row>
    <row r="8419">
      <c r="A8419" s="2" t="n"/>
      <c r="B8419">
        <f>LOWER(TRIM(A8419))</f>
        <v/>
      </c>
      <c r="C8419">
        <f>IF(B8419="","",IFERROR(INDEX('Bad Patterns'!$A$2:$A$120,MATCH(1,INDEX(--ISNUMBER(SEARCH('Bad Patterns'!$A$2:$A$120,B8419)),0),0)),""))</f>
        <v/>
      </c>
      <c r="D8419">
        <f>IF(B8419="","",IF(C8419&lt;&gt;"","REMOVE","KEEP"))</f>
        <v/>
      </c>
      <c r="E8419">
        <f>IF(D8419&lt;&gt;"KEEP","",IF(RIGHT(B8419,10)="@gmail.com","Gmail",IF(OR(RIGHT(B8419,12)="@outlook.com",RIGHT(B8419,12)="@hotmail.com",RIGHT(B8419,9)="@live.com"),"Outlook","Domain")))</f>
        <v/>
      </c>
      <c r="F8419">
        <f>IF(B8419="","",IFERROR(RIGHT(B8419,LEN(B8419)-FIND("@",B8419)),""))</f>
        <v/>
      </c>
      <c r="G8419">
        <f>IF(D8419="KEEP",COUNTIF($D$2:D8419,"KEEP"),"")</f>
        <v/>
      </c>
      <c r="H8419">
        <f>IF(D8419="REMOVE",COUNTIF($D$2:D8419,"REMOVE"),"")</f>
        <v/>
      </c>
      <c r="I8419">
        <f>IF(E8419="Gmail",COUNTIF($E$2:E8419,"Gmail"),"")</f>
        <v/>
      </c>
      <c r="J8419">
        <f>IF(E8419="Outlook",COUNTIF($E$2:E8419,"Outlook"),"")</f>
        <v/>
      </c>
      <c r="K8419">
        <f>IF(E8419="Domain",COUNTIF($E$2:E8419,"Domain"),"")</f>
        <v/>
      </c>
    </row>
    <row r="8420">
      <c r="A8420" s="2" t="n"/>
      <c r="B8420">
        <f>LOWER(TRIM(A8420))</f>
        <v/>
      </c>
      <c r="C8420">
        <f>IF(B8420="","",IFERROR(INDEX('Bad Patterns'!$A$2:$A$120,MATCH(1,INDEX(--ISNUMBER(SEARCH('Bad Patterns'!$A$2:$A$120,B8420)),0),0)),""))</f>
        <v/>
      </c>
      <c r="D8420">
        <f>IF(B8420="","",IF(C8420&lt;&gt;"","REMOVE","KEEP"))</f>
        <v/>
      </c>
      <c r="E8420">
        <f>IF(D8420&lt;&gt;"KEEP","",IF(RIGHT(B8420,10)="@gmail.com","Gmail",IF(OR(RIGHT(B8420,12)="@outlook.com",RIGHT(B8420,12)="@hotmail.com",RIGHT(B8420,9)="@live.com"),"Outlook","Domain")))</f>
        <v/>
      </c>
      <c r="F8420">
        <f>IF(B8420="","",IFERROR(RIGHT(B8420,LEN(B8420)-FIND("@",B8420)),""))</f>
        <v/>
      </c>
      <c r="G8420">
        <f>IF(D8420="KEEP",COUNTIF($D$2:D8420,"KEEP"),"")</f>
        <v/>
      </c>
      <c r="H8420">
        <f>IF(D8420="REMOVE",COUNTIF($D$2:D8420,"REMOVE"),"")</f>
        <v/>
      </c>
      <c r="I8420">
        <f>IF(E8420="Gmail",COUNTIF($E$2:E8420,"Gmail"),"")</f>
        <v/>
      </c>
      <c r="J8420">
        <f>IF(E8420="Outlook",COUNTIF($E$2:E8420,"Outlook"),"")</f>
        <v/>
      </c>
      <c r="K8420">
        <f>IF(E8420="Domain",COUNTIF($E$2:E8420,"Domain"),"")</f>
        <v/>
      </c>
    </row>
    <row r="8421">
      <c r="A8421" s="2" t="n"/>
      <c r="B8421">
        <f>LOWER(TRIM(A8421))</f>
        <v/>
      </c>
      <c r="C8421">
        <f>IF(B8421="","",IFERROR(INDEX('Bad Patterns'!$A$2:$A$120,MATCH(1,INDEX(--ISNUMBER(SEARCH('Bad Patterns'!$A$2:$A$120,B8421)),0),0)),""))</f>
        <v/>
      </c>
      <c r="D8421">
        <f>IF(B8421="","",IF(C8421&lt;&gt;"","REMOVE","KEEP"))</f>
        <v/>
      </c>
      <c r="E8421">
        <f>IF(D8421&lt;&gt;"KEEP","",IF(RIGHT(B8421,10)="@gmail.com","Gmail",IF(OR(RIGHT(B8421,12)="@outlook.com",RIGHT(B8421,12)="@hotmail.com",RIGHT(B8421,9)="@live.com"),"Outlook","Domain")))</f>
        <v/>
      </c>
      <c r="F8421">
        <f>IF(B8421="","",IFERROR(RIGHT(B8421,LEN(B8421)-FIND("@",B8421)),""))</f>
        <v/>
      </c>
      <c r="G8421">
        <f>IF(D8421="KEEP",COUNTIF($D$2:D8421,"KEEP"),"")</f>
        <v/>
      </c>
      <c r="H8421">
        <f>IF(D8421="REMOVE",COUNTIF($D$2:D8421,"REMOVE"),"")</f>
        <v/>
      </c>
      <c r="I8421">
        <f>IF(E8421="Gmail",COUNTIF($E$2:E8421,"Gmail"),"")</f>
        <v/>
      </c>
      <c r="J8421">
        <f>IF(E8421="Outlook",COUNTIF($E$2:E8421,"Outlook"),"")</f>
        <v/>
      </c>
      <c r="K8421">
        <f>IF(E8421="Domain",COUNTIF($E$2:E8421,"Domain"),"")</f>
        <v/>
      </c>
    </row>
    <row r="8422">
      <c r="A8422" s="2" t="n"/>
      <c r="B8422">
        <f>LOWER(TRIM(A8422))</f>
        <v/>
      </c>
      <c r="C8422">
        <f>IF(B8422="","",IFERROR(INDEX('Bad Patterns'!$A$2:$A$120,MATCH(1,INDEX(--ISNUMBER(SEARCH('Bad Patterns'!$A$2:$A$120,B8422)),0),0)),""))</f>
        <v/>
      </c>
      <c r="D8422">
        <f>IF(B8422="","",IF(C8422&lt;&gt;"","REMOVE","KEEP"))</f>
        <v/>
      </c>
      <c r="E8422">
        <f>IF(D8422&lt;&gt;"KEEP","",IF(RIGHT(B8422,10)="@gmail.com","Gmail",IF(OR(RIGHT(B8422,12)="@outlook.com",RIGHT(B8422,12)="@hotmail.com",RIGHT(B8422,9)="@live.com"),"Outlook","Domain")))</f>
        <v/>
      </c>
      <c r="F8422">
        <f>IF(B8422="","",IFERROR(RIGHT(B8422,LEN(B8422)-FIND("@",B8422)),""))</f>
        <v/>
      </c>
      <c r="G8422">
        <f>IF(D8422="KEEP",COUNTIF($D$2:D8422,"KEEP"),"")</f>
        <v/>
      </c>
      <c r="H8422">
        <f>IF(D8422="REMOVE",COUNTIF($D$2:D8422,"REMOVE"),"")</f>
        <v/>
      </c>
      <c r="I8422">
        <f>IF(E8422="Gmail",COUNTIF($E$2:E8422,"Gmail"),"")</f>
        <v/>
      </c>
      <c r="J8422">
        <f>IF(E8422="Outlook",COUNTIF($E$2:E8422,"Outlook"),"")</f>
        <v/>
      </c>
      <c r="K8422">
        <f>IF(E8422="Domain",COUNTIF($E$2:E8422,"Domain"),"")</f>
        <v/>
      </c>
    </row>
    <row r="8423">
      <c r="A8423" s="2" t="n"/>
      <c r="B8423">
        <f>LOWER(TRIM(A8423))</f>
        <v/>
      </c>
      <c r="C8423">
        <f>IF(B8423="","",IFERROR(INDEX('Bad Patterns'!$A$2:$A$120,MATCH(1,INDEX(--ISNUMBER(SEARCH('Bad Patterns'!$A$2:$A$120,B8423)),0),0)),""))</f>
        <v/>
      </c>
      <c r="D8423">
        <f>IF(B8423="","",IF(C8423&lt;&gt;"","REMOVE","KEEP"))</f>
        <v/>
      </c>
      <c r="E8423">
        <f>IF(D8423&lt;&gt;"KEEP","",IF(RIGHT(B8423,10)="@gmail.com","Gmail",IF(OR(RIGHT(B8423,12)="@outlook.com",RIGHT(B8423,12)="@hotmail.com",RIGHT(B8423,9)="@live.com"),"Outlook","Domain")))</f>
        <v/>
      </c>
      <c r="F8423">
        <f>IF(B8423="","",IFERROR(RIGHT(B8423,LEN(B8423)-FIND("@",B8423)),""))</f>
        <v/>
      </c>
      <c r="G8423">
        <f>IF(D8423="KEEP",COUNTIF($D$2:D8423,"KEEP"),"")</f>
        <v/>
      </c>
      <c r="H8423">
        <f>IF(D8423="REMOVE",COUNTIF($D$2:D8423,"REMOVE"),"")</f>
        <v/>
      </c>
      <c r="I8423">
        <f>IF(E8423="Gmail",COUNTIF($E$2:E8423,"Gmail"),"")</f>
        <v/>
      </c>
      <c r="J8423">
        <f>IF(E8423="Outlook",COUNTIF($E$2:E8423,"Outlook"),"")</f>
        <v/>
      </c>
      <c r="K8423">
        <f>IF(E8423="Domain",COUNTIF($E$2:E8423,"Domain"),"")</f>
        <v/>
      </c>
    </row>
    <row r="8424">
      <c r="A8424" s="2" t="n"/>
      <c r="B8424">
        <f>LOWER(TRIM(A8424))</f>
        <v/>
      </c>
      <c r="C8424">
        <f>IF(B8424="","",IFERROR(INDEX('Bad Patterns'!$A$2:$A$120,MATCH(1,INDEX(--ISNUMBER(SEARCH('Bad Patterns'!$A$2:$A$120,B8424)),0),0)),""))</f>
        <v/>
      </c>
      <c r="D8424">
        <f>IF(B8424="","",IF(C8424&lt;&gt;"","REMOVE","KEEP"))</f>
        <v/>
      </c>
      <c r="E8424">
        <f>IF(D8424&lt;&gt;"KEEP","",IF(RIGHT(B8424,10)="@gmail.com","Gmail",IF(OR(RIGHT(B8424,12)="@outlook.com",RIGHT(B8424,12)="@hotmail.com",RIGHT(B8424,9)="@live.com"),"Outlook","Domain")))</f>
        <v/>
      </c>
      <c r="F8424">
        <f>IF(B8424="","",IFERROR(RIGHT(B8424,LEN(B8424)-FIND("@",B8424)),""))</f>
        <v/>
      </c>
      <c r="G8424">
        <f>IF(D8424="KEEP",COUNTIF($D$2:D8424,"KEEP"),"")</f>
        <v/>
      </c>
      <c r="H8424">
        <f>IF(D8424="REMOVE",COUNTIF($D$2:D8424,"REMOVE"),"")</f>
        <v/>
      </c>
      <c r="I8424">
        <f>IF(E8424="Gmail",COUNTIF($E$2:E8424,"Gmail"),"")</f>
        <v/>
      </c>
      <c r="J8424">
        <f>IF(E8424="Outlook",COUNTIF($E$2:E8424,"Outlook"),"")</f>
        <v/>
      </c>
      <c r="K8424">
        <f>IF(E8424="Domain",COUNTIF($E$2:E8424,"Domain"),"")</f>
        <v/>
      </c>
    </row>
    <row r="8425">
      <c r="A8425" s="2" t="n"/>
      <c r="B8425">
        <f>LOWER(TRIM(A8425))</f>
        <v/>
      </c>
      <c r="C8425">
        <f>IF(B8425="","",IFERROR(INDEX('Bad Patterns'!$A$2:$A$120,MATCH(1,INDEX(--ISNUMBER(SEARCH('Bad Patterns'!$A$2:$A$120,B8425)),0),0)),""))</f>
        <v/>
      </c>
      <c r="D8425">
        <f>IF(B8425="","",IF(C8425&lt;&gt;"","REMOVE","KEEP"))</f>
        <v/>
      </c>
      <c r="E8425">
        <f>IF(D8425&lt;&gt;"KEEP","",IF(RIGHT(B8425,10)="@gmail.com","Gmail",IF(OR(RIGHT(B8425,12)="@outlook.com",RIGHT(B8425,12)="@hotmail.com",RIGHT(B8425,9)="@live.com"),"Outlook","Domain")))</f>
        <v/>
      </c>
      <c r="F8425">
        <f>IF(B8425="","",IFERROR(RIGHT(B8425,LEN(B8425)-FIND("@",B8425)),""))</f>
        <v/>
      </c>
      <c r="G8425">
        <f>IF(D8425="KEEP",COUNTIF($D$2:D8425,"KEEP"),"")</f>
        <v/>
      </c>
      <c r="H8425">
        <f>IF(D8425="REMOVE",COUNTIF($D$2:D8425,"REMOVE"),"")</f>
        <v/>
      </c>
      <c r="I8425">
        <f>IF(E8425="Gmail",COUNTIF($E$2:E8425,"Gmail"),"")</f>
        <v/>
      </c>
      <c r="J8425">
        <f>IF(E8425="Outlook",COUNTIF($E$2:E8425,"Outlook"),"")</f>
        <v/>
      </c>
      <c r="K8425">
        <f>IF(E8425="Domain",COUNTIF($E$2:E8425,"Domain"),"")</f>
        <v/>
      </c>
    </row>
    <row r="8426">
      <c r="A8426" s="2" t="n"/>
      <c r="B8426">
        <f>LOWER(TRIM(A8426))</f>
        <v/>
      </c>
      <c r="C8426">
        <f>IF(B8426="","",IFERROR(INDEX('Bad Patterns'!$A$2:$A$120,MATCH(1,INDEX(--ISNUMBER(SEARCH('Bad Patterns'!$A$2:$A$120,B8426)),0),0)),""))</f>
        <v/>
      </c>
      <c r="D8426">
        <f>IF(B8426="","",IF(C8426&lt;&gt;"","REMOVE","KEEP"))</f>
        <v/>
      </c>
      <c r="E8426">
        <f>IF(D8426&lt;&gt;"KEEP","",IF(RIGHT(B8426,10)="@gmail.com","Gmail",IF(OR(RIGHT(B8426,12)="@outlook.com",RIGHT(B8426,12)="@hotmail.com",RIGHT(B8426,9)="@live.com"),"Outlook","Domain")))</f>
        <v/>
      </c>
      <c r="F8426">
        <f>IF(B8426="","",IFERROR(RIGHT(B8426,LEN(B8426)-FIND("@",B8426)),""))</f>
        <v/>
      </c>
      <c r="G8426">
        <f>IF(D8426="KEEP",COUNTIF($D$2:D8426,"KEEP"),"")</f>
        <v/>
      </c>
      <c r="H8426">
        <f>IF(D8426="REMOVE",COUNTIF($D$2:D8426,"REMOVE"),"")</f>
        <v/>
      </c>
      <c r="I8426">
        <f>IF(E8426="Gmail",COUNTIF($E$2:E8426,"Gmail"),"")</f>
        <v/>
      </c>
      <c r="J8426">
        <f>IF(E8426="Outlook",COUNTIF($E$2:E8426,"Outlook"),"")</f>
        <v/>
      </c>
      <c r="K8426">
        <f>IF(E8426="Domain",COUNTIF($E$2:E8426,"Domain"),"")</f>
        <v/>
      </c>
    </row>
    <row r="8427">
      <c r="A8427" s="2" t="n"/>
      <c r="B8427">
        <f>LOWER(TRIM(A8427))</f>
        <v/>
      </c>
      <c r="C8427">
        <f>IF(B8427="","",IFERROR(INDEX('Bad Patterns'!$A$2:$A$120,MATCH(1,INDEX(--ISNUMBER(SEARCH('Bad Patterns'!$A$2:$A$120,B8427)),0),0)),""))</f>
        <v/>
      </c>
      <c r="D8427">
        <f>IF(B8427="","",IF(C8427&lt;&gt;"","REMOVE","KEEP"))</f>
        <v/>
      </c>
      <c r="E8427">
        <f>IF(D8427&lt;&gt;"KEEP","",IF(RIGHT(B8427,10)="@gmail.com","Gmail",IF(OR(RIGHT(B8427,12)="@outlook.com",RIGHT(B8427,12)="@hotmail.com",RIGHT(B8427,9)="@live.com"),"Outlook","Domain")))</f>
        <v/>
      </c>
      <c r="F8427">
        <f>IF(B8427="","",IFERROR(RIGHT(B8427,LEN(B8427)-FIND("@",B8427)),""))</f>
        <v/>
      </c>
      <c r="G8427">
        <f>IF(D8427="KEEP",COUNTIF($D$2:D8427,"KEEP"),"")</f>
        <v/>
      </c>
      <c r="H8427">
        <f>IF(D8427="REMOVE",COUNTIF($D$2:D8427,"REMOVE"),"")</f>
        <v/>
      </c>
      <c r="I8427">
        <f>IF(E8427="Gmail",COUNTIF($E$2:E8427,"Gmail"),"")</f>
        <v/>
      </c>
      <c r="J8427">
        <f>IF(E8427="Outlook",COUNTIF($E$2:E8427,"Outlook"),"")</f>
        <v/>
      </c>
      <c r="K8427">
        <f>IF(E8427="Domain",COUNTIF($E$2:E8427,"Domain"),"")</f>
        <v/>
      </c>
    </row>
    <row r="8428">
      <c r="A8428" s="2" t="n"/>
      <c r="B8428">
        <f>LOWER(TRIM(A8428))</f>
        <v/>
      </c>
      <c r="C8428">
        <f>IF(B8428="","",IFERROR(INDEX('Bad Patterns'!$A$2:$A$120,MATCH(1,INDEX(--ISNUMBER(SEARCH('Bad Patterns'!$A$2:$A$120,B8428)),0),0)),""))</f>
        <v/>
      </c>
      <c r="D8428">
        <f>IF(B8428="","",IF(C8428&lt;&gt;"","REMOVE","KEEP"))</f>
        <v/>
      </c>
      <c r="E8428">
        <f>IF(D8428&lt;&gt;"KEEP","",IF(RIGHT(B8428,10)="@gmail.com","Gmail",IF(OR(RIGHT(B8428,12)="@outlook.com",RIGHT(B8428,12)="@hotmail.com",RIGHT(B8428,9)="@live.com"),"Outlook","Domain")))</f>
        <v/>
      </c>
      <c r="F8428">
        <f>IF(B8428="","",IFERROR(RIGHT(B8428,LEN(B8428)-FIND("@",B8428)),""))</f>
        <v/>
      </c>
      <c r="G8428">
        <f>IF(D8428="KEEP",COUNTIF($D$2:D8428,"KEEP"),"")</f>
        <v/>
      </c>
      <c r="H8428">
        <f>IF(D8428="REMOVE",COUNTIF($D$2:D8428,"REMOVE"),"")</f>
        <v/>
      </c>
      <c r="I8428">
        <f>IF(E8428="Gmail",COUNTIF($E$2:E8428,"Gmail"),"")</f>
        <v/>
      </c>
      <c r="J8428">
        <f>IF(E8428="Outlook",COUNTIF($E$2:E8428,"Outlook"),"")</f>
        <v/>
      </c>
      <c r="K8428">
        <f>IF(E8428="Domain",COUNTIF($E$2:E8428,"Domain"),"")</f>
        <v/>
      </c>
    </row>
    <row r="8429">
      <c r="A8429" s="2" t="n"/>
      <c r="B8429">
        <f>LOWER(TRIM(A8429))</f>
        <v/>
      </c>
      <c r="C8429">
        <f>IF(B8429="","",IFERROR(INDEX('Bad Patterns'!$A$2:$A$120,MATCH(1,INDEX(--ISNUMBER(SEARCH('Bad Patterns'!$A$2:$A$120,B8429)),0),0)),""))</f>
        <v/>
      </c>
      <c r="D8429">
        <f>IF(B8429="","",IF(C8429&lt;&gt;"","REMOVE","KEEP"))</f>
        <v/>
      </c>
      <c r="E8429">
        <f>IF(D8429&lt;&gt;"KEEP","",IF(RIGHT(B8429,10)="@gmail.com","Gmail",IF(OR(RIGHT(B8429,12)="@outlook.com",RIGHT(B8429,12)="@hotmail.com",RIGHT(B8429,9)="@live.com"),"Outlook","Domain")))</f>
        <v/>
      </c>
      <c r="F8429">
        <f>IF(B8429="","",IFERROR(RIGHT(B8429,LEN(B8429)-FIND("@",B8429)),""))</f>
        <v/>
      </c>
      <c r="G8429">
        <f>IF(D8429="KEEP",COUNTIF($D$2:D8429,"KEEP"),"")</f>
        <v/>
      </c>
      <c r="H8429">
        <f>IF(D8429="REMOVE",COUNTIF($D$2:D8429,"REMOVE"),"")</f>
        <v/>
      </c>
      <c r="I8429">
        <f>IF(E8429="Gmail",COUNTIF($E$2:E8429,"Gmail"),"")</f>
        <v/>
      </c>
      <c r="J8429">
        <f>IF(E8429="Outlook",COUNTIF($E$2:E8429,"Outlook"),"")</f>
        <v/>
      </c>
      <c r="K8429">
        <f>IF(E8429="Domain",COUNTIF($E$2:E8429,"Domain"),"")</f>
        <v/>
      </c>
    </row>
    <row r="8430">
      <c r="A8430" s="2" t="n"/>
      <c r="B8430">
        <f>LOWER(TRIM(A8430))</f>
        <v/>
      </c>
      <c r="C8430">
        <f>IF(B8430="","",IFERROR(INDEX('Bad Patterns'!$A$2:$A$120,MATCH(1,INDEX(--ISNUMBER(SEARCH('Bad Patterns'!$A$2:$A$120,B8430)),0),0)),""))</f>
        <v/>
      </c>
      <c r="D8430">
        <f>IF(B8430="","",IF(C8430&lt;&gt;"","REMOVE","KEEP"))</f>
        <v/>
      </c>
      <c r="E8430">
        <f>IF(D8430&lt;&gt;"KEEP","",IF(RIGHT(B8430,10)="@gmail.com","Gmail",IF(OR(RIGHT(B8430,12)="@outlook.com",RIGHT(B8430,12)="@hotmail.com",RIGHT(B8430,9)="@live.com"),"Outlook","Domain")))</f>
        <v/>
      </c>
      <c r="F8430">
        <f>IF(B8430="","",IFERROR(RIGHT(B8430,LEN(B8430)-FIND("@",B8430)),""))</f>
        <v/>
      </c>
      <c r="G8430">
        <f>IF(D8430="KEEP",COUNTIF($D$2:D8430,"KEEP"),"")</f>
        <v/>
      </c>
      <c r="H8430">
        <f>IF(D8430="REMOVE",COUNTIF($D$2:D8430,"REMOVE"),"")</f>
        <v/>
      </c>
      <c r="I8430">
        <f>IF(E8430="Gmail",COUNTIF($E$2:E8430,"Gmail"),"")</f>
        <v/>
      </c>
      <c r="J8430">
        <f>IF(E8430="Outlook",COUNTIF($E$2:E8430,"Outlook"),"")</f>
        <v/>
      </c>
      <c r="K8430">
        <f>IF(E8430="Domain",COUNTIF($E$2:E8430,"Domain"),"")</f>
        <v/>
      </c>
    </row>
    <row r="8431">
      <c r="A8431" s="2" t="n"/>
      <c r="B8431">
        <f>LOWER(TRIM(A8431))</f>
        <v/>
      </c>
      <c r="C8431">
        <f>IF(B8431="","",IFERROR(INDEX('Bad Patterns'!$A$2:$A$120,MATCH(1,INDEX(--ISNUMBER(SEARCH('Bad Patterns'!$A$2:$A$120,B8431)),0),0)),""))</f>
        <v/>
      </c>
      <c r="D8431">
        <f>IF(B8431="","",IF(C8431&lt;&gt;"","REMOVE","KEEP"))</f>
        <v/>
      </c>
      <c r="E8431">
        <f>IF(D8431&lt;&gt;"KEEP","",IF(RIGHT(B8431,10)="@gmail.com","Gmail",IF(OR(RIGHT(B8431,12)="@outlook.com",RIGHT(B8431,12)="@hotmail.com",RIGHT(B8431,9)="@live.com"),"Outlook","Domain")))</f>
        <v/>
      </c>
      <c r="F8431">
        <f>IF(B8431="","",IFERROR(RIGHT(B8431,LEN(B8431)-FIND("@",B8431)),""))</f>
        <v/>
      </c>
      <c r="G8431">
        <f>IF(D8431="KEEP",COUNTIF($D$2:D8431,"KEEP"),"")</f>
        <v/>
      </c>
      <c r="H8431">
        <f>IF(D8431="REMOVE",COUNTIF($D$2:D8431,"REMOVE"),"")</f>
        <v/>
      </c>
      <c r="I8431">
        <f>IF(E8431="Gmail",COUNTIF($E$2:E8431,"Gmail"),"")</f>
        <v/>
      </c>
      <c r="J8431">
        <f>IF(E8431="Outlook",COUNTIF($E$2:E8431,"Outlook"),"")</f>
        <v/>
      </c>
      <c r="K8431">
        <f>IF(E8431="Domain",COUNTIF($E$2:E8431,"Domain"),"")</f>
        <v/>
      </c>
    </row>
    <row r="8432">
      <c r="A8432" s="2" t="n"/>
      <c r="B8432">
        <f>LOWER(TRIM(A8432))</f>
        <v/>
      </c>
      <c r="C8432">
        <f>IF(B8432="","",IFERROR(INDEX('Bad Patterns'!$A$2:$A$120,MATCH(1,INDEX(--ISNUMBER(SEARCH('Bad Patterns'!$A$2:$A$120,B8432)),0),0)),""))</f>
        <v/>
      </c>
      <c r="D8432">
        <f>IF(B8432="","",IF(C8432&lt;&gt;"","REMOVE","KEEP"))</f>
        <v/>
      </c>
      <c r="E8432">
        <f>IF(D8432&lt;&gt;"KEEP","",IF(RIGHT(B8432,10)="@gmail.com","Gmail",IF(OR(RIGHT(B8432,12)="@outlook.com",RIGHT(B8432,12)="@hotmail.com",RIGHT(B8432,9)="@live.com"),"Outlook","Domain")))</f>
        <v/>
      </c>
      <c r="F8432">
        <f>IF(B8432="","",IFERROR(RIGHT(B8432,LEN(B8432)-FIND("@",B8432)),""))</f>
        <v/>
      </c>
      <c r="G8432">
        <f>IF(D8432="KEEP",COUNTIF($D$2:D8432,"KEEP"),"")</f>
        <v/>
      </c>
      <c r="H8432">
        <f>IF(D8432="REMOVE",COUNTIF($D$2:D8432,"REMOVE"),"")</f>
        <v/>
      </c>
      <c r="I8432">
        <f>IF(E8432="Gmail",COUNTIF($E$2:E8432,"Gmail"),"")</f>
        <v/>
      </c>
      <c r="J8432">
        <f>IF(E8432="Outlook",COUNTIF($E$2:E8432,"Outlook"),"")</f>
        <v/>
      </c>
      <c r="K8432">
        <f>IF(E8432="Domain",COUNTIF($E$2:E8432,"Domain"),"")</f>
        <v/>
      </c>
    </row>
    <row r="8433">
      <c r="A8433" s="2" t="n"/>
      <c r="B8433">
        <f>LOWER(TRIM(A8433))</f>
        <v/>
      </c>
      <c r="C8433">
        <f>IF(B8433="","",IFERROR(INDEX('Bad Patterns'!$A$2:$A$120,MATCH(1,INDEX(--ISNUMBER(SEARCH('Bad Patterns'!$A$2:$A$120,B8433)),0),0)),""))</f>
        <v/>
      </c>
      <c r="D8433">
        <f>IF(B8433="","",IF(C8433&lt;&gt;"","REMOVE","KEEP"))</f>
        <v/>
      </c>
      <c r="E8433">
        <f>IF(D8433&lt;&gt;"KEEP","",IF(RIGHT(B8433,10)="@gmail.com","Gmail",IF(OR(RIGHT(B8433,12)="@outlook.com",RIGHT(B8433,12)="@hotmail.com",RIGHT(B8433,9)="@live.com"),"Outlook","Domain")))</f>
        <v/>
      </c>
      <c r="F8433">
        <f>IF(B8433="","",IFERROR(RIGHT(B8433,LEN(B8433)-FIND("@",B8433)),""))</f>
        <v/>
      </c>
      <c r="G8433">
        <f>IF(D8433="KEEP",COUNTIF($D$2:D8433,"KEEP"),"")</f>
        <v/>
      </c>
      <c r="H8433">
        <f>IF(D8433="REMOVE",COUNTIF($D$2:D8433,"REMOVE"),"")</f>
        <v/>
      </c>
      <c r="I8433">
        <f>IF(E8433="Gmail",COUNTIF($E$2:E8433,"Gmail"),"")</f>
        <v/>
      </c>
      <c r="J8433">
        <f>IF(E8433="Outlook",COUNTIF($E$2:E8433,"Outlook"),"")</f>
        <v/>
      </c>
      <c r="K8433">
        <f>IF(E8433="Domain",COUNTIF($E$2:E8433,"Domain"),"")</f>
        <v/>
      </c>
    </row>
    <row r="8434">
      <c r="A8434" s="2" t="n"/>
      <c r="B8434">
        <f>LOWER(TRIM(A8434))</f>
        <v/>
      </c>
      <c r="C8434">
        <f>IF(B8434="","",IFERROR(INDEX('Bad Patterns'!$A$2:$A$120,MATCH(1,INDEX(--ISNUMBER(SEARCH('Bad Patterns'!$A$2:$A$120,B8434)),0),0)),""))</f>
        <v/>
      </c>
      <c r="D8434">
        <f>IF(B8434="","",IF(C8434&lt;&gt;"","REMOVE","KEEP"))</f>
        <v/>
      </c>
      <c r="E8434">
        <f>IF(D8434&lt;&gt;"KEEP","",IF(RIGHT(B8434,10)="@gmail.com","Gmail",IF(OR(RIGHT(B8434,12)="@outlook.com",RIGHT(B8434,12)="@hotmail.com",RIGHT(B8434,9)="@live.com"),"Outlook","Domain")))</f>
        <v/>
      </c>
      <c r="F8434">
        <f>IF(B8434="","",IFERROR(RIGHT(B8434,LEN(B8434)-FIND("@",B8434)),""))</f>
        <v/>
      </c>
      <c r="G8434">
        <f>IF(D8434="KEEP",COUNTIF($D$2:D8434,"KEEP"),"")</f>
        <v/>
      </c>
      <c r="H8434">
        <f>IF(D8434="REMOVE",COUNTIF($D$2:D8434,"REMOVE"),"")</f>
        <v/>
      </c>
      <c r="I8434">
        <f>IF(E8434="Gmail",COUNTIF($E$2:E8434,"Gmail"),"")</f>
        <v/>
      </c>
      <c r="J8434">
        <f>IF(E8434="Outlook",COUNTIF($E$2:E8434,"Outlook"),"")</f>
        <v/>
      </c>
      <c r="K8434">
        <f>IF(E8434="Domain",COUNTIF($E$2:E8434,"Domain"),"")</f>
        <v/>
      </c>
    </row>
    <row r="8435">
      <c r="A8435" s="2" t="n"/>
      <c r="B8435">
        <f>LOWER(TRIM(A8435))</f>
        <v/>
      </c>
      <c r="C8435">
        <f>IF(B8435="","",IFERROR(INDEX('Bad Patterns'!$A$2:$A$120,MATCH(1,INDEX(--ISNUMBER(SEARCH('Bad Patterns'!$A$2:$A$120,B8435)),0),0)),""))</f>
        <v/>
      </c>
      <c r="D8435">
        <f>IF(B8435="","",IF(C8435&lt;&gt;"","REMOVE","KEEP"))</f>
        <v/>
      </c>
      <c r="E8435">
        <f>IF(D8435&lt;&gt;"KEEP","",IF(RIGHT(B8435,10)="@gmail.com","Gmail",IF(OR(RIGHT(B8435,12)="@outlook.com",RIGHT(B8435,12)="@hotmail.com",RIGHT(B8435,9)="@live.com"),"Outlook","Domain")))</f>
        <v/>
      </c>
      <c r="F8435">
        <f>IF(B8435="","",IFERROR(RIGHT(B8435,LEN(B8435)-FIND("@",B8435)),""))</f>
        <v/>
      </c>
      <c r="G8435">
        <f>IF(D8435="KEEP",COUNTIF($D$2:D8435,"KEEP"),"")</f>
        <v/>
      </c>
      <c r="H8435">
        <f>IF(D8435="REMOVE",COUNTIF($D$2:D8435,"REMOVE"),"")</f>
        <v/>
      </c>
      <c r="I8435">
        <f>IF(E8435="Gmail",COUNTIF($E$2:E8435,"Gmail"),"")</f>
        <v/>
      </c>
      <c r="J8435">
        <f>IF(E8435="Outlook",COUNTIF($E$2:E8435,"Outlook"),"")</f>
        <v/>
      </c>
      <c r="K8435">
        <f>IF(E8435="Domain",COUNTIF($E$2:E8435,"Domain"),"")</f>
        <v/>
      </c>
    </row>
    <row r="8436">
      <c r="A8436" s="2" t="n"/>
      <c r="B8436">
        <f>LOWER(TRIM(A8436))</f>
        <v/>
      </c>
      <c r="C8436">
        <f>IF(B8436="","",IFERROR(INDEX('Bad Patterns'!$A$2:$A$120,MATCH(1,INDEX(--ISNUMBER(SEARCH('Bad Patterns'!$A$2:$A$120,B8436)),0),0)),""))</f>
        <v/>
      </c>
      <c r="D8436">
        <f>IF(B8436="","",IF(C8436&lt;&gt;"","REMOVE","KEEP"))</f>
        <v/>
      </c>
      <c r="E8436">
        <f>IF(D8436&lt;&gt;"KEEP","",IF(RIGHT(B8436,10)="@gmail.com","Gmail",IF(OR(RIGHT(B8436,12)="@outlook.com",RIGHT(B8436,12)="@hotmail.com",RIGHT(B8436,9)="@live.com"),"Outlook","Domain")))</f>
        <v/>
      </c>
      <c r="F8436">
        <f>IF(B8436="","",IFERROR(RIGHT(B8436,LEN(B8436)-FIND("@",B8436)),""))</f>
        <v/>
      </c>
      <c r="G8436">
        <f>IF(D8436="KEEP",COUNTIF($D$2:D8436,"KEEP"),"")</f>
        <v/>
      </c>
      <c r="H8436">
        <f>IF(D8436="REMOVE",COUNTIF($D$2:D8436,"REMOVE"),"")</f>
        <v/>
      </c>
      <c r="I8436">
        <f>IF(E8436="Gmail",COUNTIF($E$2:E8436,"Gmail"),"")</f>
        <v/>
      </c>
      <c r="J8436">
        <f>IF(E8436="Outlook",COUNTIF($E$2:E8436,"Outlook"),"")</f>
        <v/>
      </c>
      <c r="K8436">
        <f>IF(E8436="Domain",COUNTIF($E$2:E8436,"Domain"),"")</f>
        <v/>
      </c>
    </row>
    <row r="8437">
      <c r="A8437" s="2" t="n"/>
      <c r="B8437">
        <f>LOWER(TRIM(A8437))</f>
        <v/>
      </c>
      <c r="C8437">
        <f>IF(B8437="","",IFERROR(INDEX('Bad Patterns'!$A$2:$A$120,MATCH(1,INDEX(--ISNUMBER(SEARCH('Bad Patterns'!$A$2:$A$120,B8437)),0),0)),""))</f>
        <v/>
      </c>
      <c r="D8437">
        <f>IF(B8437="","",IF(C8437&lt;&gt;"","REMOVE","KEEP"))</f>
        <v/>
      </c>
      <c r="E8437">
        <f>IF(D8437&lt;&gt;"KEEP","",IF(RIGHT(B8437,10)="@gmail.com","Gmail",IF(OR(RIGHT(B8437,12)="@outlook.com",RIGHT(B8437,12)="@hotmail.com",RIGHT(B8437,9)="@live.com"),"Outlook","Domain")))</f>
        <v/>
      </c>
      <c r="F8437">
        <f>IF(B8437="","",IFERROR(RIGHT(B8437,LEN(B8437)-FIND("@",B8437)),""))</f>
        <v/>
      </c>
      <c r="G8437">
        <f>IF(D8437="KEEP",COUNTIF($D$2:D8437,"KEEP"),"")</f>
        <v/>
      </c>
      <c r="H8437">
        <f>IF(D8437="REMOVE",COUNTIF($D$2:D8437,"REMOVE"),"")</f>
        <v/>
      </c>
      <c r="I8437">
        <f>IF(E8437="Gmail",COUNTIF($E$2:E8437,"Gmail"),"")</f>
        <v/>
      </c>
      <c r="J8437">
        <f>IF(E8437="Outlook",COUNTIF($E$2:E8437,"Outlook"),"")</f>
        <v/>
      </c>
      <c r="K8437">
        <f>IF(E8437="Domain",COUNTIF($E$2:E8437,"Domain"),"")</f>
        <v/>
      </c>
    </row>
    <row r="8438">
      <c r="A8438" s="2" t="n"/>
      <c r="B8438">
        <f>LOWER(TRIM(A8438))</f>
        <v/>
      </c>
      <c r="C8438">
        <f>IF(B8438="","",IFERROR(INDEX('Bad Patterns'!$A$2:$A$120,MATCH(1,INDEX(--ISNUMBER(SEARCH('Bad Patterns'!$A$2:$A$120,B8438)),0),0)),""))</f>
        <v/>
      </c>
      <c r="D8438">
        <f>IF(B8438="","",IF(C8438&lt;&gt;"","REMOVE","KEEP"))</f>
        <v/>
      </c>
      <c r="E8438">
        <f>IF(D8438&lt;&gt;"KEEP","",IF(RIGHT(B8438,10)="@gmail.com","Gmail",IF(OR(RIGHT(B8438,12)="@outlook.com",RIGHT(B8438,12)="@hotmail.com",RIGHT(B8438,9)="@live.com"),"Outlook","Domain")))</f>
        <v/>
      </c>
      <c r="F8438">
        <f>IF(B8438="","",IFERROR(RIGHT(B8438,LEN(B8438)-FIND("@",B8438)),""))</f>
        <v/>
      </c>
      <c r="G8438">
        <f>IF(D8438="KEEP",COUNTIF($D$2:D8438,"KEEP"),"")</f>
        <v/>
      </c>
      <c r="H8438">
        <f>IF(D8438="REMOVE",COUNTIF($D$2:D8438,"REMOVE"),"")</f>
        <v/>
      </c>
      <c r="I8438">
        <f>IF(E8438="Gmail",COUNTIF($E$2:E8438,"Gmail"),"")</f>
        <v/>
      </c>
      <c r="J8438">
        <f>IF(E8438="Outlook",COUNTIF($E$2:E8438,"Outlook"),"")</f>
        <v/>
      </c>
      <c r="K8438">
        <f>IF(E8438="Domain",COUNTIF($E$2:E8438,"Domain"),"")</f>
        <v/>
      </c>
    </row>
    <row r="8439">
      <c r="A8439" s="2" t="n"/>
      <c r="B8439">
        <f>LOWER(TRIM(A8439))</f>
        <v/>
      </c>
      <c r="C8439">
        <f>IF(B8439="","",IFERROR(INDEX('Bad Patterns'!$A$2:$A$120,MATCH(1,INDEX(--ISNUMBER(SEARCH('Bad Patterns'!$A$2:$A$120,B8439)),0),0)),""))</f>
        <v/>
      </c>
      <c r="D8439">
        <f>IF(B8439="","",IF(C8439&lt;&gt;"","REMOVE","KEEP"))</f>
        <v/>
      </c>
      <c r="E8439">
        <f>IF(D8439&lt;&gt;"KEEP","",IF(RIGHT(B8439,10)="@gmail.com","Gmail",IF(OR(RIGHT(B8439,12)="@outlook.com",RIGHT(B8439,12)="@hotmail.com",RIGHT(B8439,9)="@live.com"),"Outlook","Domain")))</f>
        <v/>
      </c>
      <c r="F8439">
        <f>IF(B8439="","",IFERROR(RIGHT(B8439,LEN(B8439)-FIND("@",B8439)),""))</f>
        <v/>
      </c>
      <c r="G8439">
        <f>IF(D8439="KEEP",COUNTIF($D$2:D8439,"KEEP"),"")</f>
        <v/>
      </c>
      <c r="H8439">
        <f>IF(D8439="REMOVE",COUNTIF($D$2:D8439,"REMOVE"),"")</f>
        <v/>
      </c>
      <c r="I8439">
        <f>IF(E8439="Gmail",COUNTIF($E$2:E8439,"Gmail"),"")</f>
        <v/>
      </c>
      <c r="J8439">
        <f>IF(E8439="Outlook",COUNTIF($E$2:E8439,"Outlook"),"")</f>
        <v/>
      </c>
      <c r="K8439">
        <f>IF(E8439="Domain",COUNTIF($E$2:E8439,"Domain"),"")</f>
        <v/>
      </c>
    </row>
    <row r="8440">
      <c r="A8440" s="2" t="n"/>
      <c r="B8440">
        <f>LOWER(TRIM(A8440))</f>
        <v/>
      </c>
      <c r="C8440">
        <f>IF(B8440="","",IFERROR(INDEX('Bad Patterns'!$A$2:$A$120,MATCH(1,INDEX(--ISNUMBER(SEARCH('Bad Patterns'!$A$2:$A$120,B8440)),0),0)),""))</f>
        <v/>
      </c>
      <c r="D8440">
        <f>IF(B8440="","",IF(C8440&lt;&gt;"","REMOVE","KEEP"))</f>
        <v/>
      </c>
      <c r="E8440">
        <f>IF(D8440&lt;&gt;"KEEP","",IF(RIGHT(B8440,10)="@gmail.com","Gmail",IF(OR(RIGHT(B8440,12)="@outlook.com",RIGHT(B8440,12)="@hotmail.com",RIGHT(B8440,9)="@live.com"),"Outlook","Domain")))</f>
        <v/>
      </c>
      <c r="F8440">
        <f>IF(B8440="","",IFERROR(RIGHT(B8440,LEN(B8440)-FIND("@",B8440)),""))</f>
        <v/>
      </c>
      <c r="G8440">
        <f>IF(D8440="KEEP",COUNTIF($D$2:D8440,"KEEP"),"")</f>
        <v/>
      </c>
      <c r="H8440">
        <f>IF(D8440="REMOVE",COUNTIF($D$2:D8440,"REMOVE"),"")</f>
        <v/>
      </c>
      <c r="I8440">
        <f>IF(E8440="Gmail",COUNTIF($E$2:E8440,"Gmail"),"")</f>
        <v/>
      </c>
      <c r="J8440">
        <f>IF(E8440="Outlook",COUNTIF($E$2:E8440,"Outlook"),"")</f>
        <v/>
      </c>
      <c r="K8440">
        <f>IF(E8440="Domain",COUNTIF($E$2:E8440,"Domain"),"")</f>
        <v/>
      </c>
    </row>
    <row r="8441">
      <c r="A8441" s="2" t="n"/>
      <c r="B8441">
        <f>LOWER(TRIM(A8441))</f>
        <v/>
      </c>
      <c r="C8441">
        <f>IF(B8441="","",IFERROR(INDEX('Bad Patterns'!$A$2:$A$120,MATCH(1,INDEX(--ISNUMBER(SEARCH('Bad Patterns'!$A$2:$A$120,B8441)),0),0)),""))</f>
        <v/>
      </c>
      <c r="D8441">
        <f>IF(B8441="","",IF(C8441&lt;&gt;"","REMOVE","KEEP"))</f>
        <v/>
      </c>
      <c r="E8441">
        <f>IF(D8441&lt;&gt;"KEEP","",IF(RIGHT(B8441,10)="@gmail.com","Gmail",IF(OR(RIGHT(B8441,12)="@outlook.com",RIGHT(B8441,12)="@hotmail.com",RIGHT(B8441,9)="@live.com"),"Outlook","Domain")))</f>
        <v/>
      </c>
      <c r="F8441">
        <f>IF(B8441="","",IFERROR(RIGHT(B8441,LEN(B8441)-FIND("@",B8441)),""))</f>
        <v/>
      </c>
      <c r="G8441">
        <f>IF(D8441="KEEP",COUNTIF($D$2:D8441,"KEEP"),"")</f>
        <v/>
      </c>
      <c r="H8441">
        <f>IF(D8441="REMOVE",COUNTIF($D$2:D8441,"REMOVE"),"")</f>
        <v/>
      </c>
      <c r="I8441">
        <f>IF(E8441="Gmail",COUNTIF($E$2:E8441,"Gmail"),"")</f>
        <v/>
      </c>
      <c r="J8441">
        <f>IF(E8441="Outlook",COUNTIF($E$2:E8441,"Outlook"),"")</f>
        <v/>
      </c>
      <c r="K8441">
        <f>IF(E8441="Domain",COUNTIF($E$2:E8441,"Domain"),"")</f>
        <v/>
      </c>
    </row>
    <row r="8442">
      <c r="A8442" s="2" t="n"/>
      <c r="B8442">
        <f>LOWER(TRIM(A8442))</f>
        <v/>
      </c>
      <c r="C8442">
        <f>IF(B8442="","",IFERROR(INDEX('Bad Patterns'!$A$2:$A$120,MATCH(1,INDEX(--ISNUMBER(SEARCH('Bad Patterns'!$A$2:$A$120,B8442)),0),0)),""))</f>
        <v/>
      </c>
      <c r="D8442">
        <f>IF(B8442="","",IF(C8442&lt;&gt;"","REMOVE","KEEP"))</f>
        <v/>
      </c>
      <c r="E8442">
        <f>IF(D8442&lt;&gt;"KEEP","",IF(RIGHT(B8442,10)="@gmail.com","Gmail",IF(OR(RIGHT(B8442,12)="@outlook.com",RIGHT(B8442,12)="@hotmail.com",RIGHT(B8442,9)="@live.com"),"Outlook","Domain")))</f>
        <v/>
      </c>
      <c r="F8442">
        <f>IF(B8442="","",IFERROR(RIGHT(B8442,LEN(B8442)-FIND("@",B8442)),""))</f>
        <v/>
      </c>
      <c r="G8442">
        <f>IF(D8442="KEEP",COUNTIF($D$2:D8442,"KEEP"),"")</f>
        <v/>
      </c>
      <c r="H8442">
        <f>IF(D8442="REMOVE",COUNTIF($D$2:D8442,"REMOVE"),"")</f>
        <v/>
      </c>
      <c r="I8442">
        <f>IF(E8442="Gmail",COUNTIF($E$2:E8442,"Gmail"),"")</f>
        <v/>
      </c>
      <c r="J8442">
        <f>IF(E8442="Outlook",COUNTIF($E$2:E8442,"Outlook"),"")</f>
        <v/>
      </c>
      <c r="K8442">
        <f>IF(E8442="Domain",COUNTIF($E$2:E8442,"Domain"),"")</f>
        <v/>
      </c>
    </row>
    <row r="8443">
      <c r="A8443" s="2" t="n"/>
      <c r="B8443">
        <f>LOWER(TRIM(A8443))</f>
        <v/>
      </c>
      <c r="C8443">
        <f>IF(B8443="","",IFERROR(INDEX('Bad Patterns'!$A$2:$A$120,MATCH(1,INDEX(--ISNUMBER(SEARCH('Bad Patterns'!$A$2:$A$120,B8443)),0),0)),""))</f>
        <v/>
      </c>
      <c r="D8443">
        <f>IF(B8443="","",IF(C8443&lt;&gt;"","REMOVE","KEEP"))</f>
        <v/>
      </c>
      <c r="E8443">
        <f>IF(D8443&lt;&gt;"KEEP","",IF(RIGHT(B8443,10)="@gmail.com","Gmail",IF(OR(RIGHT(B8443,12)="@outlook.com",RIGHT(B8443,12)="@hotmail.com",RIGHT(B8443,9)="@live.com"),"Outlook","Domain")))</f>
        <v/>
      </c>
      <c r="F8443">
        <f>IF(B8443="","",IFERROR(RIGHT(B8443,LEN(B8443)-FIND("@",B8443)),""))</f>
        <v/>
      </c>
      <c r="G8443">
        <f>IF(D8443="KEEP",COUNTIF($D$2:D8443,"KEEP"),"")</f>
        <v/>
      </c>
      <c r="H8443">
        <f>IF(D8443="REMOVE",COUNTIF($D$2:D8443,"REMOVE"),"")</f>
        <v/>
      </c>
      <c r="I8443">
        <f>IF(E8443="Gmail",COUNTIF($E$2:E8443,"Gmail"),"")</f>
        <v/>
      </c>
      <c r="J8443">
        <f>IF(E8443="Outlook",COUNTIF($E$2:E8443,"Outlook"),"")</f>
        <v/>
      </c>
      <c r="K8443">
        <f>IF(E8443="Domain",COUNTIF($E$2:E8443,"Domain"),"")</f>
        <v/>
      </c>
    </row>
    <row r="8444">
      <c r="A8444" s="2" t="n"/>
      <c r="B8444">
        <f>LOWER(TRIM(A8444))</f>
        <v/>
      </c>
      <c r="C8444">
        <f>IF(B8444="","",IFERROR(INDEX('Bad Patterns'!$A$2:$A$120,MATCH(1,INDEX(--ISNUMBER(SEARCH('Bad Patterns'!$A$2:$A$120,B8444)),0),0)),""))</f>
        <v/>
      </c>
      <c r="D8444">
        <f>IF(B8444="","",IF(C8444&lt;&gt;"","REMOVE","KEEP"))</f>
        <v/>
      </c>
      <c r="E8444">
        <f>IF(D8444&lt;&gt;"KEEP","",IF(RIGHT(B8444,10)="@gmail.com","Gmail",IF(OR(RIGHT(B8444,12)="@outlook.com",RIGHT(B8444,12)="@hotmail.com",RIGHT(B8444,9)="@live.com"),"Outlook","Domain")))</f>
        <v/>
      </c>
      <c r="F8444">
        <f>IF(B8444="","",IFERROR(RIGHT(B8444,LEN(B8444)-FIND("@",B8444)),""))</f>
        <v/>
      </c>
      <c r="G8444">
        <f>IF(D8444="KEEP",COUNTIF($D$2:D8444,"KEEP"),"")</f>
        <v/>
      </c>
      <c r="H8444">
        <f>IF(D8444="REMOVE",COUNTIF($D$2:D8444,"REMOVE"),"")</f>
        <v/>
      </c>
      <c r="I8444">
        <f>IF(E8444="Gmail",COUNTIF($E$2:E8444,"Gmail"),"")</f>
        <v/>
      </c>
      <c r="J8444">
        <f>IF(E8444="Outlook",COUNTIF($E$2:E8444,"Outlook"),"")</f>
        <v/>
      </c>
      <c r="K8444">
        <f>IF(E8444="Domain",COUNTIF($E$2:E8444,"Domain"),"")</f>
        <v/>
      </c>
    </row>
    <row r="8445">
      <c r="A8445" s="2" t="n"/>
      <c r="B8445">
        <f>LOWER(TRIM(A8445))</f>
        <v/>
      </c>
      <c r="C8445">
        <f>IF(B8445="","",IFERROR(INDEX('Bad Patterns'!$A$2:$A$120,MATCH(1,INDEX(--ISNUMBER(SEARCH('Bad Patterns'!$A$2:$A$120,B8445)),0),0)),""))</f>
        <v/>
      </c>
      <c r="D8445">
        <f>IF(B8445="","",IF(C8445&lt;&gt;"","REMOVE","KEEP"))</f>
        <v/>
      </c>
      <c r="E8445">
        <f>IF(D8445&lt;&gt;"KEEP","",IF(RIGHT(B8445,10)="@gmail.com","Gmail",IF(OR(RIGHT(B8445,12)="@outlook.com",RIGHT(B8445,12)="@hotmail.com",RIGHT(B8445,9)="@live.com"),"Outlook","Domain")))</f>
        <v/>
      </c>
      <c r="F8445">
        <f>IF(B8445="","",IFERROR(RIGHT(B8445,LEN(B8445)-FIND("@",B8445)),""))</f>
        <v/>
      </c>
      <c r="G8445">
        <f>IF(D8445="KEEP",COUNTIF($D$2:D8445,"KEEP"),"")</f>
        <v/>
      </c>
      <c r="H8445">
        <f>IF(D8445="REMOVE",COUNTIF($D$2:D8445,"REMOVE"),"")</f>
        <v/>
      </c>
      <c r="I8445">
        <f>IF(E8445="Gmail",COUNTIF($E$2:E8445,"Gmail"),"")</f>
        <v/>
      </c>
      <c r="J8445">
        <f>IF(E8445="Outlook",COUNTIF($E$2:E8445,"Outlook"),"")</f>
        <v/>
      </c>
      <c r="K8445">
        <f>IF(E8445="Domain",COUNTIF($E$2:E8445,"Domain"),"")</f>
        <v/>
      </c>
    </row>
    <row r="8446">
      <c r="A8446" s="2" t="n"/>
      <c r="B8446">
        <f>LOWER(TRIM(A8446))</f>
        <v/>
      </c>
      <c r="C8446">
        <f>IF(B8446="","",IFERROR(INDEX('Bad Patterns'!$A$2:$A$120,MATCH(1,INDEX(--ISNUMBER(SEARCH('Bad Patterns'!$A$2:$A$120,B8446)),0),0)),""))</f>
        <v/>
      </c>
      <c r="D8446">
        <f>IF(B8446="","",IF(C8446&lt;&gt;"","REMOVE","KEEP"))</f>
        <v/>
      </c>
      <c r="E8446">
        <f>IF(D8446&lt;&gt;"KEEP","",IF(RIGHT(B8446,10)="@gmail.com","Gmail",IF(OR(RIGHT(B8446,12)="@outlook.com",RIGHT(B8446,12)="@hotmail.com",RIGHT(B8446,9)="@live.com"),"Outlook","Domain")))</f>
        <v/>
      </c>
      <c r="F8446">
        <f>IF(B8446="","",IFERROR(RIGHT(B8446,LEN(B8446)-FIND("@",B8446)),""))</f>
        <v/>
      </c>
      <c r="G8446">
        <f>IF(D8446="KEEP",COUNTIF($D$2:D8446,"KEEP"),"")</f>
        <v/>
      </c>
      <c r="H8446">
        <f>IF(D8446="REMOVE",COUNTIF($D$2:D8446,"REMOVE"),"")</f>
        <v/>
      </c>
      <c r="I8446">
        <f>IF(E8446="Gmail",COUNTIF($E$2:E8446,"Gmail"),"")</f>
        <v/>
      </c>
      <c r="J8446">
        <f>IF(E8446="Outlook",COUNTIF($E$2:E8446,"Outlook"),"")</f>
        <v/>
      </c>
      <c r="K8446">
        <f>IF(E8446="Domain",COUNTIF($E$2:E8446,"Domain"),"")</f>
        <v/>
      </c>
    </row>
    <row r="8447">
      <c r="A8447" s="2" t="n"/>
      <c r="B8447">
        <f>LOWER(TRIM(A8447))</f>
        <v/>
      </c>
      <c r="C8447">
        <f>IF(B8447="","",IFERROR(INDEX('Bad Patterns'!$A$2:$A$120,MATCH(1,INDEX(--ISNUMBER(SEARCH('Bad Patterns'!$A$2:$A$120,B8447)),0),0)),""))</f>
        <v/>
      </c>
      <c r="D8447">
        <f>IF(B8447="","",IF(C8447&lt;&gt;"","REMOVE","KEEP"))</f>
        <v/>
      </c>
      <c r="E8447">
        <f>IF(D8447&lt;&gt;"KEEP","",IF(RIGHT(B8447,10)="@gmail.com","Gmail",IF(OR(RIGHT(B8447,12)="@outlook.com",RIGHT(B8447,12)="@hotmail.com",RIGHT(B8447,9)="@live.com"),"Outlook","Domain")))</f>
        <v/>
      </c>
      <c r="F8447">
        <f>IF(B8447="","",IFERROR(RIGHT(B8447,LEN(B8447)-FIND("@",B8447)),""))</f>
        <v/>
      </c>
      <c r="G8447">
        <f>IF(D8447="KEEP",COUNTIF($D$2:D8447,"KEEP"),"")</f>
        <v/>
      </c>
      <c r="H8447">
        <f>IF(D8447="REMOVE",COUNTIF($D$2:D8447,"REMOVE"),"")</f>
        <v/>
      </c>
      <c r="I8447">
        <f>IF(E8447="Gmail",COUNTIF($E$2:E8447,"Gmail"),"")</f>
        <v/>
      </c>
      <c r="J8447">
        <f>IF(E8447="Outlook",COUNTIF($E$2:E8447,"Outlook"),"")</f>
        <v/>
      </c>
      <c r="K8447">
        <f>IF(E8447="Domain",COUNTIF($E$2:E8447,"Domain"),"")</f>
        <v/>
      </c>
    </row>
    <row r="8448">
      <c r="A8448" s="2" t="n"/>
      <c r="B8448">
        <f>LOWER(TRIM(A8448))</f>
        <v/>
      </c>
      <c r="C8448">
        <f>IF(B8448="","",IFERROR(INDEX('Bad Patterns'!$A$2:$A$120,MATCH(1,INDEX(--ISNUMBER(SEARCH('Bad Patterns'!$A$2:$A$120,B8448)),0),0)),""))</f>
        <v/>
      </c>
      <c r="D8448">
        <f>IF(B8448="","",IF(C8448&lt;&gt;"","REMOVE","KEEP"))</f>
        <v/>
      </c>
      <c r="E8448">
        <f>IF(D8448&lt;&gt;"KEEP","",IF(RIGHT(B8448,10)="@gmail.com","Gmail",IF(OR(RIGHT(B8448,12)="@outlook.com",RIGHT(B8448,12)="@hotmail.com",RIGHT(B8448,9)="@live.com"),"Outlook","Domain")))</f>
        <v/>
      </c>
      <c r="F8448">
        <f>IF(B8448="","",IFERROR(RIGHT(B8448,LEN(B8448)-FIND("@",B8448)),""))</f>
        <v/>
      </c>
      <c r="G8448">
        <f>IF(D8448="KEEP",COUNTIF($D$2:D8448,"KEEP"),"")</f>
        <v/>
      </c>
      <c r="H8448">
        <f>IF(D8448="REMOVE",COUNTIF($D$2:D8448,"REMOVE"),"")</f>
        <v/>
      </c>
      <c r="I8448">
        <f>IF(E8448="Gmail",COUNTIF($E$2:E8448,"Gmail"),"")</f>
        <v/>
      </c>
      <c r="J8448">
        <f>IF(E8448="Outlook",COUNTIF($E$2:E8448,"Outlook"),"")</f>
        <v/>
      </c>
      <c r="K8448">
        <f>IF(E8448="Domain",COUNTIF($E$2:E8448,"Domain"),"")</f>
        <v/>
      </c>
    </row>
    <row r="8449">
      <c r="A8449" s="2" t="n"/>
      <c r="B8449">
        <f>LOWER(TRIM(A8449))</f>
        <v/>
      </c>
      <c r="C8449">
        <f>IF(B8449="","",IFERROR(INDEX('Bad Patterns'!$A$2:$A$120,MATCH(1,INDEX(--ISNUMBER(SEARCH('Bad Patterns'!$A$2:$A$120,B8449)),0),0)),""))</f>
        <v/>
      </c>
      <c r="D8449">
        <f>IF(B8449="","",IF(C8449&lt;&gt;"","REMOVE","KEEP"))</f>
        <v/>
      </c>
      <c r="E8449">
        <f>IF(D8449&lt;&gt;"KEEP","",IF(RIGHT(B8449,10)="@gmail.com","Gmail",IF(OR(RIGHT(B8449,12)="@outlook.com",RIGHT(B8449,12)="@hotmail.com",RIGHT(B8449,9)="@live.com"),"Outlook","Domain")))</f>
        <v/>
      </c>
      <c r="F8449">
        <f>IF(B8449="","",IFERROR(RIGHT(B8449,LEN(B8449)-FIND("@",B8449)),""))</f>
        <v/>
      </c>
      <c r="G8449">
        <f>IF(D8449="KEEP",COUNTIF($D$2:D8449,"KEEP"),"")</f>
        <v/>
      </c>
      <c r="H8449">
        <f>IF(D8449="REMOVE",COUNTIF($D$2:D8449,"REMOVE"),"")</f>
        <v/>
      </c>
      <c r="I8449">
        <f>IF(E8449="Gmail",COUNTIF($E$2:E8449,"Gmail"),"")</f>
        <v/>
      </c>
      <c r="J8449">
        <f>IF(E8449="Outlook",COUNTIF($E$2:E8449,"Outlook"),"")</f>
        <v/>
      </c>
      <c r="K8449">
        <f>IF(E8449="Domain",COUNTIF($E$2:E8449,"Domain"),"")</f>
        <v/>
      </c>
    </row>
    <row r="8450">
      <c r="A8450" s="2" t="n"/>
      <c r="B8450">
        <f>LOWER(TRIM(A8450))</f>
        <v/>
      </c>
      <c r="C8450">
        <f>IF(B8450="","",IFERROR(INDEX('Bad Patterns'!$A$2:$A$120,MATCH(1,INDEX(--ISNUMBER(SEARCH('Bad Patterns'!$A$2:$A$120,B8450)),0),0)),""))</f>
        <v/>
      </c>
      <c r="D8450">
        <f>IF(B8450="","",IF(C8450&lt;&gt;"","REMOVE","KEEP"))</f>
        <v/>
      </c>
      <c r="E8450">
        <f>IF(D8450&lt;&gt;"KEEP","",IF(RIGHT(B8450,10)="@gmail.com","Gmail",IF(OR(RIGHT(B8450,12)="@outlook.com",RIGHT(B8450,12)="@hotmail.com",RIGHT(B8450,9)="@live.com"),"Outlook","Domain")))</f>
        <v/>
      </c>
      <c r="F8450">
        <f>IF(B8450="","",IFERROR(RIGHT(B8450,LEN(B8450)-FIND("@",B8450)),""))</f>
        <v/>
      </c>
      <c r="G8450">
        <f>IF(D8450="KEEP",COUNTIF($D$2:D8450,"KEEP"),"")</f>
        <v/>
      </c>
      <c r="H8450">
        <f>IF(D8450="REMOVE",COUNTIF($D$2:D8450,"REMOVE"),"")</f>
        <v/>
      </c>
      <c r="I8450">
        <f>IF(E8450="Gmail",COUNTIF($E$2:E8450,"Gmail"),"")</f>
        <v/>
      </c>
      <c r="J8450">
        <f>IF(E8450="Outlook",COUNTIF($E$2:E8450,"Outlook"),"")</f>
        <v/>
      </c>
      <c r="K8450">
        <f>IF(E8450="Domain",COUNTIF($E$2:E8450,"Domain"),"")</f>
        <v/>
      </c>
    </row>
    <row r="8451">
      <c r="A8451" s="2" t="n"/>
      <c r="B8451">
        <f>LOWER(TRIM(A8451))</f>
        <v/>
      </c>
      <c r="C8451">
        <f>IF(B8451="","",IFERROR(INDEX('Bad Patterns'!$A$2:$A$120,MATCH(1,INDEX(--ISNUMBER(SEARCH('Bad Patterns'!$A$2:$A$120,B8451)),0),0)),""))</f>
        <v/>
      </c>
      <c r="D8451">
        <f>IF(B8451="","",IF(C8451&lt;&gt;"","REMOVE","KEEP"))</f>
        <v/>
      </c>
      <c r="E8451">
        <f>IF(D8451&lt;&gt;"KEEP","",IF(RIGHT(B8451,10)="@gmail.com","Gmail",IF(OR(RIGHT(B8451,12)="@outlook.com",RIGHT(B8451,12)="@hotmail.com",RIGHT(B8451,9)="@live.com"),"Outlook","Domain")))</f>
        <v/>
      </c>
      <c r="F8451">
        <f>IF(B8451="","",IFERROR(RIGHT(B8451,LEN(B8451)-FIND("@",B8451)),""))</f>
        <v/>
      </c>
      <c r="G8451">
        <f>IF(D8451="KEEP",COUNTIF($D$2:D8451,"KEEP"),"")</f>
        <v/>
      </c>
      <c r="H8451">
        <f>IF(D8451="REMOVE",COUNTIF($D$2:D8451,"REMOVE"),"")</f>
        <v/>
      </c>
      <c r="I8451">
        <f>IF(E8451="Gmail",COUNTIF($E$2:E8451,"Gmail"),"")</f>
        <v/>
      </c>
      <c r="J8451">
        <f>IF(E8451="Outlook",COUNTIF($E$2:E8451,"Outlook"),"")</f>
        <v/>
      </c>
      <c r="K8451">
        <f>IF(E8451="Domain",COUNTIF($E$2:E8451,"Domain"),"")</f>
        <v/>
      </c>
    </row>
    <row r="8452">
      <c r="A8452" s="2" t="n"/>
      <c r="B8452">
        <f>LOWER(TRIM(A8452))</f>
        <v/>
      </c>
      <c r="C8452">
        <f>IF(B8452="","",IFERROR(INDEX('Bad Patterns'!$A$2:$A$120,MATCH(1,INDEX(--ISNUMBER(SEARCH('Bad Patterns'!$A$2:$A$120,B8452)),0),0)),""))</f>
        <v/>
      </c>
      <c r="D8452">
        <f>IF(B8452="","",IF(C8452&lt;&gt;"","REMOVE","KEEP"))</f>
        <v/>
      </c>
      <c r="E8452">
        <f>IF(D8452&lt;&gt;"KEEP","",IF(RIGHT(B8452,10)="@gmail.com","Gmail",IF(OR(RIGHT(B8452,12)="@outlook.com",RIGHT(B8452,12)="@hotmail.com",RIGHT(B8452,9)="@live.com"),"Outlook","Domain")))</f>
        <v/>
      </c>
      <c r="F8452">
        <f>IF(B8452="","",IFERROR(RIGHT(B8452,LEN(B8452)-FIND("@",B8452)),""))</f>
        <v/>
      </c>
      <c r="G8452">
        <f>IF(D8452="KEEP",COUNTIF($D$2:D8452,"KEEP"),"")</f>
        <v/>
      </c>
      <c r="H8452">
        <f>IF(D8452="REMOVE",COUNTIF($D$2:D8452,"REMOVE"),"")</f>
        <v/>
      </c>
      <c r="I8452">
        <f>IF(E8452="Gmail",COUNTIF($E$2:E8452,"Gmail"),"")</f>
        <v/>
      </c>
      <c r="J8452">
        <f>IF(E8452="Outlook",COUNTIF($E$2:E8452,"Outlook"),"")</f>
        <v/>
      </c>
      <c r="K8452">
        <f>IF(E8452="Domain",COUNTIF($E$2:E8452,"Domain"),"")</f>
        <v/>
      </c>
    </row>
    <row r="8453">
      <c r="A8453" s="2" t="n"/>
      <c r="B8453">
        <f>LOWER(TRIM(A8453))</f>
        <v/>
      </c>
      <c r="C8453">
        <f>IF(B8453="","",IFERROR(INDEX('Bad Patterns'!$A$2:$A$120,MATCH(1,INDEX(--ISNUMBER(SEARCH('Bad Patterns'!$A$2:$A$120,B8453)),0),0)),""))</f>
        <v/>
      </c>
      <c r="D8453">
        <f>IF(B8453="","",IF(C8453&lt;&gt;"","REMOVE","KEEP"))</f>
        <v/>
      </c>
      <c r="E8453">
        <f>IF(D8453&lt;&gt;"KEEP","",IF(RIGHT(B8453,10)="@gmail.com","Gmail",IF(OR(RIGHT(B8453,12)="@outlook.com",RIGHT(B8453,12)="@hotmail.com",RIGHT(B8453,9)="@live.com"),"Outlook","Domain")))</f>
        <v/>
      </c>
      <c r="F8453">
        <f>IF(B8453="","",IFERROR(RIGHT(B8453,LEN(B8453)-FIND("@",B8453)),""))</f>
        <v/>
      </c>
      <c r="G8453">
        <f>IF(D8453="KEEP",COUNTIF($D$2:D8453,"KEEP"),"")</f>
        <v/>
      </c>
      <c r="H8453">
        <f>IF(D8453="REMOVE",COUNTIF($D$2:D8453,"REMOVE"),"")</f>
        <v/>
      </c>
      <c r="I8453">
        <f>IF(E8453="Gmail",COUNTIF($E$2:E8453,"Gmail"),"")</f>
        <v/>
      </c>
      <c r="J8453">
        <f>IF(E8453="Outlook",COUNTIF($E$2:E8453,"Outlook"),"")</f>
        <v/>
      </c>
      <c r="K8453">
        <f>IF(E8453="Domain",COUNTIF($E$2:E8453,"Domain"),"")</f>
        <v/>
      </c>
    </row>
    <row r="8454">
      <c r="A8454" s="2" t="n"/>
      <c r="B8454">
        <f>LOWER(TRIM(A8454))</f>
        <v/>
      </c>
      <c r="C8454">
        <f>IF(B8454="","",IFERROR(INDEX('Bad Patterns'!$A$2:$A$120,MATCH(1,INDEX(--ISNUMBER(SEARCH('Bad Patterns'!$A$2:$A$120,B8454)),0),0)),""))</f>
        <v/>
      </c>
      <c r="D8454">
        <f>IF(B8454="","",IF(C8454&lt;&gt;"","REMOVE","KEEP"))</f>
        <v/>
      </c>
      <c r="E8454">
        <f>IF(D8454&lt;&gt;"KEEP","",IF(RIGHT(B8454,10)="@gmail.com","Gmail",IF(OR(RIGHT(B8454,12)="@outlook.com",RIGHT(B8454,12)="@hotmail.com",RIGHT(B8454,9)="@live.com"),"Outlook","Domain")))</f>
        <v/>
      </c>
      <c r="F8454">
        <f>IF(B8454="","",IFERROR(RIGHT(B8454,LEN(B8454)-FIND("@",B8454)),""))</f>
        <v/>
      </c>
      <c r="G8454">
        <f>IF(D8454="KEEP",COUNTIF($D$2:D8454,"KEEP"),"")</f>
        <v/>
      </c>
      <c r="H8454">
        <f>IF(D8454="REMOVE",COUNTIF($D$2:D8454,"REMOVE"),"")</f>
        <v/>
      </c>
      <c r="I8454">
        <f>IF(E8454="Gmail",COUNTIF($E$2:E8454,"Gmail"),"")</f>
        <v/>
      </c>
      <c r="J8454">
        <f>IF(E8454="Outlook",COUNTIF($E$2:E8454,"Outlook"),"")</f>
        <v/>
      </c>
      <c r="K8454">
        <f>IF(E8454="Domain",COUNTIF($E$2:E8454,"Domain"),"")</f>
        <v/>
      </c>
    </row>
    <row r="8455">
      <c r="A8455" s="2" t="n"/>
      <c r="B8455">
        <f>LOWER(TRIM(A8455))</f>
        <v/>
      </c>
      <c r="C8455">
        <f>IF(B8455="","",IFERROR(INDEX('Bad Patterns'!$A$2:$A$120,MATCH(1,INDEX(--ISNUMBER(SEARCH('Bad Patterns'!$A$2:$A$120,B8455)),0),0)),""))</f>
        <v/>
      </c>
      <c r="D8455">
        <f>IF(B8455="","",IF(C8455&lt;&gt;"","REMOVE","KEEP"))</f>
        <v/>
      </c>
      <c r="E8455">
        <f>IF(D8455&lt;&gt;"KEEP","",IF(RIGHT(B8455,10)="@gmail.com","Gmail",IF(OR(RIGHT(B8455,12)="@outlook.com",RIGHT(B8455,12)="@hotmail.com",RIGHT(B8455,9)="@live.com"),"Outlook","Domain")))</f>
        <v/>
      </c>
      <c r="F8455">
        <f>IF(B8455="","",IFERROR(RIGHT(B8455,LEN(B8455)-FIND("@",B8455)),""))</f>
        <v/>
      </c>
      <c r="G8455">
        <f>IF(D8455="KEEP",COUNTIF($D$2:D8455,"KEEP"),"")</f>
        <v/>
      </c>
      <c r="H8455">
        <f>IF(D8455="REMOVE",COUNTIF($D$2:D8455,"REMOVE"),"")</f>
        <v/>
      </c>
      <c r="I8455">
        <f>IF(E8455="Gmail",COUNTIF($E$2:E8455,"Gmail"),"")</f>
        <v/>
      </c>
      <c r="J8455">
        <f>IF(E8455="Outlook",COUNTIF($E$2:E8455,"Outlook"),"")</f>
        <v/>
      </c>
      <c r="K8455">
        <f>IF(E8455="Domain",COUNTIF($E$2:E8455,"Domain"),"")</f>
        <v/>
      </c>
    </row>
    <row r="8456">
      <c r="A8456" s="2" t="n"/>
      <c r="B8456">
        <f>LOWER(TRIM(A8456))</f>
        <v/>
      </c>
      <c r="C8456">
        <f>IF(B8456="","",IFERROR(INDEX('Bad Patterns'!$A$2:$A$120,MATCH(1,INDEX(--ISNUMBER(SEARCH('Bad Patterns'!$A$2:$A$120,B8456)),0),0)),""))</f>
        <v/>
      </c>
      <c r="D8456">
        <f>IF(B8456="","",IF(C8456&lt;&gt;"","REMOVE","KEEP"))</f>
        <v/>
      </c>
      <c r="E8456">
        <f>IF(D8456&lt;&gt;"KEEP","",IF(RIGHT(B8456,10)="@gmail.com","Gmail",IF(OR(RIGHT(B8456,12)="@outlook.com",RIGHT(B8456,12)="@hotmail.com",RIGHT(B8456,9)="@live.com"),"Outlook","Domain")))</f>
        <v/>
      </c>
      <c r="F8456">
        <f>IF(B8456="","",IFERROR(RIGHT(B8456,LEN(B8456)-FIND("@",B8456)),""))</f>
        <v/>
      </c>
      <c r="G8456">
        <f>IF(D8456="KEEP",COUNTIF($D$2:D8456,"KEEP"),"")</f>
        <v/>
      </c>
      <c r="H8456">
        <f>IF(D8456="REMOVE",COUNTIF($D$2:D8456,"REMOVE"),"")</f>
        <v/>
      </c>
      <c r="I8456">
        <f>IF(E8456="Gmail",COUNTIF($E$2:E8456,"Gmail"),"")</f>
        <v/>
      </c>
      <c r="J8456">
        <f>IF(E8456="Outlook",COUNTIF($E$2:E8456,"Outlook"),"")</f>
        <v/>
      </c>
      <c r="K8456">
        <f>IF(E8456="Domain",COUNTIF($E$2:E8456,"Domain"),"")</f>
        <v/>
      </c>
    </row>
    <row r="8457">
      <c r="A8457" s="2" t="n"/>
      <c r="B8457">
        <f>LOWER(TRIM(A8457))</f>
        <v/>
      </c>
      <c r="C8457">
        <f>IF(B8457="","",IFERROR(INDEX('Bad Patterns'!$A$2:$A$120,MATCH(1,INDEX(--ISNUMBER(SEARCH('Bad Patterns'!$A$2:$A$120,B8457)),0),0)),""))</f>
        <v/>
      </c>
      <c r="D8457">
        <f>IF(B8457="","",IF(C8457&lt;&gt;"","REMOVE","KEEP"))</f>
        <v/>
      </c>
      <c r="E8457">
        <f>IF(D8457&lt;&gt;"KEEP","",IF(RIGHT(B8457,10)="@gmail.com","Gmail",IF(OR(RIGHT(B8457,12)="@outlook.com",RIGHT(B8457,12)="@hotmail.com",RIGHT(B8457,9)="@live.com"),"Outlook","Domain")))</f>
        <v/>
      </c>
      <c r="F8457">
        <f>IF(B8457="","",IFERROR(RIGHT(B8457,LEN(B8457)-FIND("@",B8457)),""))</f>
        <v/>
      </c>
      <c r="G8457">
        <f>IF(D8457="KEEP",COUNTIF($D$2:D8457,"KEEP"),"")</f>
        <v/>
      </c>
      <c r="H8457">
        <f>IF(D8457="REMOVE",COUNTIF($D$2:D8457,"REMOVE"),"")</f>
        <v/>
      </c>
      <c r="I8457">
        <f>IF(E8457="Gmail",COUNTIF($E$2:E8457,"Gmail"),"")</f>
        <v/>
      </c>
      <c r="J8457">
        <f>IF(E8457="Outlook",COUNTIF($E$2:E8457,"Outlook"),"")</f>
        <v/>
      </c>
      <c r="K8457">
        <f>IF(E8457="Domain",COUNTIF($E$2:E8457,"Domain"),"")</f>
        <v/>
      </c>
    </row>
    <row r="8458">
      <c r="A8458" s="2" t="n"/>
      <c r="B8458">
        <f>LOWER(TRIM(A8458))</f>
        <v/>
      </c>
      <c r="C8458">
        <f>IF(B8458="","",IFERROR(INDEX('Bad Patterns'!$A$2:$A$120,MATCH(1,INDEX(--ISNUMBER(SEARCH('Bad Patterns'!$A$2:$A$120,B8458)),0),0)),""))</f>
        <v/>
      </c>
      <c r="D8458">
        <f>IF(B8458="","",IF(C8458&lt;&gt;"","REMOVE","KEEP"))</f>
        <v/>
      </c>
      <c r="E8458">
        <f>IF(D8458&lt;&gt;"KEEP","",IF(RIGHT(B8458,10)="@gmail.com","Gmail",IF(OR(RIGHT(B8458,12)="@outlook.com",RIGHT(B8458,12)="@hotmail.com",RIGHT(B8458,9)="@live.com"),"Outlook","Domain")))</f>
        <v/>
      </c>
      <c r="F8458">
        <f>IF(B8458="","",IFERROR(RIGHT(B8458,LEN(B8458)-FIND("@",B8458)),""))</f>
        <v/>
      </c>
      <c r="G8458">
        <f>IF(D8458="KEEP",COUNTIF($D$2:D8458,"KEEP"),"")</f>
        <v/>
      </c>
      <c r="H8458">
        <f>IF(D8458="REMOVE",COUNTIF($D$2:D8458,"REMOVE"),"")</f>
        <v/>
      </c>
      <c r="I8458">
        <f>IF(E8458="Gmail",COUNTIF($E$2:E8458,"Gmail"),"")</f>
        <v/>
      </c>
      <c r="J8458">
        <f>IF(E8458="Outlook",COUNTIF($E$2:E8458,"Outlook"),"")</f>
        <v/>
      </c>
      <c r="K8458">
        <f>IF(E8458="Domain",COUNTIF($E$2:E8458,"Domain"),"")</f>
        <v/>
      </c>
    </row>
    <row r="8459">
      <c r="A8459" s="2" t="n"/>
      <c r="B8459">
        <f>LOWER(TRIM(A8459))</f>
        <v/>
      </c>
      <c r="C8459">
        <f>IF(B8459="","",IFERROR(INDEX('Bad Patterns'!$A$2:$A$120,MATCH(1,INDEX(--ISNUMBER(SEARCH('Bad Patterns'!$A$2:$A$120,B8459)),0),0)),""))</f>
        <v/>
      </c>
      <c r="D8459">
        <f>IF(B8459="","",IF(C8459&lt;&gt;"","REMOVE","KEEP"))</f>
        <v/>
      </c>
      <c r="E8459">
        <f>IF(D8459&lt;&gt;"KEEP","",IF(RIGHT(B8459,10)="@gmail.com","Gmail",IF(OR(RIGHT(B8459,12)="@outlook.com",RIGHT(B8459,12)="@hotmail.com",RIGHT(B8459,9)="@live.com"),"Outlook","Domain")))</f>
        <v/>
      </c>
      <c r="F8459">
        <f>IF(B8459="","",IFERROR(RIGHT(B8459,LEN(B8459)-FIND("@",B8459)),""))</f>
        <v/>
      </c>
      <c r="G8459">
        <f>IF(D8459="KEEP",COUNTIF($D$2:D8459,"KEEP"),"")</f>
        <v/>
      </c>
      <c r="H8459">
        <f>IF(D8459="REMOVE",COUNTIF($D$2:D8459,"REMOVE"),"")</f>
        <v/>
      </c>
      <c r="I8459">
        <f>IF(E8459="Gmail",COUNTIF($E$2:E8459,"Gmail"),"")</f>
        <v/>
      </c>
      <c r="J8459">
        <f>IF(E8459="Outlook",COUNTIF($E$2:E8459,"Outlook"),"")</f>
        <v/>
      </c>
      <c r="K8459">
        <f>IF(E8459="Domain",COUNTIF($E$2:E8459,"Domain"),"")</f>
        <v/>
      </c>
    </row>
    <row r="8460">
      <c r="A8460" s="2" t="n"/>
      <c r="B8460">
        <f>LOWER(TRIM(A8460))</f>
        <v/>
      </c>
      <c r="C8460">
        <f>IF(B8460="","",IFERROR(INDEX('Bad Patterns'!$A$2:$A$120,MATCH(1,INDEX(--ISNUMBER(SEARCH('Bad Patterns'!$A$2:$A$120,B8460)),0),0)),""))</f>
        <v/>
      </c>
      <c r="D8460">
        <f>IF(B8460="","",IF(C8460&lt;&gt;"","REMOVE","KEEP"))</f>
        <v/>
      </c>
      <c r="E8460">
        <f>IF(D8460&lt;&gt;"KEEP","",IF(RIGHT(B8460,10)="@gmail.com","Gmail",IF(OR(RIGHT(B8460,12)="@outlook.com",RIGHT(B8460,12)="@hotmail.com",RIGHT(B8460,9)="@live.com"),"Outlook","Domain")))</f>
        <v/>
      </c>
      <c r="F8460">
        <f>IF(B8460="","",IFERROR(RIGHT(B8460,LEN(B8460)-FIND("@",B8460)),""))</f>
        <v/>
      </c>
      <c r="G8460">
        <f>IF(D8460="KEEP",COUNTIF($D$2:D8460,"KEEP"),"")</f>
        <v/>
      </c>
      <c r="H8460">
        <f>IF(D8460="REMOVE",COUNTIF($D$2:D8460,"REMOVE"),"")</f>
        <v/>
      </c>
      <c r="I8460">
        <f>IF(E8460="Gmail",COUNTIF($E$2:E8460,"Gmail"),"")</f>
        <v/>
      </c>
      <c r="J8460">
        <f>IF(E8460="Outlook",COUNTIF($E$2:E8460,"Outlook"),"")</f>
        <v/>
      </c>
      <c r="K8460">
        <f>IF(E8460="Domain",COUNTIF($E$2:E8460,"Domain"),"")</f>
        <v/>
      </c>
    </row>
    <row r="8461">
      <c r="A8461" s="2" t="n"/>
      <c r="B8461">
        <f>LOWER(TRIM(A8461))</f>
        <v/>
      </c>
      <c r="C8461">
        <f>IF(B8461="","",IFERROR(INDEX('Bad Patterns'!$A$2:$A$120,MATCH(1,INDEX(--ISNUMBER(SEARCH('Bad Patterns'!$A$2:$A$120,B8461)),0),0)),""))</f>
        <v/>
      </c>
      <c r="D8461">
        <f>IF(B8461="","",IF(C8461&lt;&gt;"","REMOVE","KEEP"))</f>
        <v/>
      </c>
      <c r="E8461">
        <f>IF(D8461&lt;&gt;"KEEP","",IF(RIGHT(B8461,10)="@gmail.com","Gmail",IF(OR(RIGHT(B8461,12)="@outlook.com",RIGHT(B8461,12)="@hotmail.com",RIGHT(B8461,9)="@live.com"),"Outlook","Domain")))</f>
        <v/>
      </c>
      <c r="F8461">
        <f>IF(B8461="","",IFERROR(RIGHT(B8461,LEN(B8461)-FIND("@",B8461)),""))</f>
        <v/>
      </c>
      <c r="G8461">
        <f>IF(D8461="KEEP",COUNTIF($D$2:D8461,"KEEP"),"")</f>
        <v/>
      </c>
      <c r="H8461">
        <f>IF(D8461="REMOVE",COUNTIF($D$2:D8461,"REMOVE"),"")</f>
        <v/>
      </c>
      <c r="I8461">
        <f>IF(E8461="Gmail",COUNTIF($E$2:E8461,"Gmail"),"")</f>
        <v/>
      </c>
      <c r="J8461">
        <f>IF(E8461="Outlook",COUNTIF($E$2:E8461,"Outlook"),"")</f>
        <v/>
      </c>
      <c r="K8461">
        <f>IF(E8461="Domain",COUNTIF($E$2:E8461,"Domain"),"")</f>
        <v/>
      </c>
    </row>
    <row r="8462">
      <c r="A8462" s="2" t="n"/>
      <c r="B8462">
        <f>LOWER(TRIM(A8462))</f>
        <v/>
      </c>
      <c r="C8462">
        <f>IF(B8462="","",IFERROR(INDEX('Bad Patterns'!$A$2:$A$120,MATCH(1,INDEX(--ISNUMBER(SEARCH('Bad Patterns'!$A$2:$A$120,B8462)),0),0)),""))</f>
        <v/>
      </c>
      <c r="D8462">
        <f>IF(B8462="","",IF(C8462&lt;&gt;"","REMOVE","KEEP"))</f>
        <v/>
      </c>
      <c r="E8462">
        <f>IF(D8462&lt;&gt;"KEEP","",IF(RIGHT(B8462,10)="@gmail.com","Gmail",IF(OR(RIGHT(B8462,12)="@outlook.com",RIGHT(B8462,12)="@hotmail.com",RIGHT(B8462,9)="@live.com"),"Outlook","Domain")))</f>
        <v/>
      </c>
      <c r="F8462">
        <f>IF(B8462="","",IFERROR(RIGHT(B8462,LEN(B8462)-FIND("@",B8462)),""))</f>
        <v/>
      </c>
      <c r="G8462">
        <f>IF(D8462="KEEP",COUNTIF($D$2:D8462,"KEEP"),"")</f>
        <v/>
      </c>
      <c r="H8462">
        <f>IF(D8462="REMOVE",COUNTIF($D$2:D8462,"REMOVE"),"")</f>
        <v/>
      </c>
      <c r="I8462">
        <f>IF(E8462="Gmail",COUNTIF($E$2:E8462,"Gmail"),"")</f>
        <v/>
      </c>
      <c r="J8462">
        <f>IF(E8462="Outlook",COUNTIF($E$2:E8462,"Outlook"),"")</f>
        <v/>
      </c>
      <c r="K8462">
        <f>IF(E8462="Domain",COUNTIF($E$2:E8462,"Domain"),"")</f>
        <v/>
      </c>
    </row>
    <row r="8463">
      <c r="A8463" s="2" t="n"/>
      <c r="B8463">
        <f>LOWER(TRIM(A8463))</f>
        <v/>
      </c>
      <c r="C8463">
        <f>IF(B8463="","",IFERROR(INDEX('Bad Patterns'!$A$2:$A$120,MATCH(1,INDEX(--ISNUMBER(SEARCH('Bad Patterns'!$A$2:$A$120,B8463)),0),0)),""))</f>
        <v/>
      </c>
      <c r="D8463">
        <f>IF(B8463="","",IF(C8463&lt;&gt;"","REMOVE","KEEP"))</f>
        <v/>
      </c>
      <c r="E8463">
        <f>IF(D8463&lt;&gt;"KEEP","",IF(RIGHT(B8463,10)="@gmail.com","Gmail",IF(OR(RIGHT(B8463,12)="@outlook.com",RIGHT(B8463,12)="@hotmail.com",RIGHT(B8463,9)="@live.com"),"Outlook","Domain")))</f>
        <v/>
      </c>
      <c r="F8463">
        <f>IF(B8463="","",IFERROR(RIGHT(B8463,LEN(B8463)-FIND("@",B8463)),""))</f>
        <v/>
      </c>
      <c r="G8463">
        <f>IF(D8463="KEEP",COUNTIF($D$2:D8463,"KEEP"),"")</f>
        <v/>
      </c>
      <c r="H8463">
        <f>IF(D8463="REMOVE",COUNTIF($D$2:D8463,"REMOVE"),"")</f>
        <v/>
      </c>
      <c r="I8463">
        <f>IF(E8463="Gmail",COUNTIF($E$2:E8463,"Gmail"),"")</f>
        <v/>
      </c>
      <c r="J8463">
        <f>IF(E8463="Outlook",COUNTIF($E$2:E8463,"Outlook"),"")</f>
        <v/>
      </c>
      <c r="K8463">
        <f>IF(E8463="Domain",COUNTIF($E$2:E8463,"Domain"),"")</f>
        <v/>
      </c>
    </row>
    <row r="8464">
      <c r="A8464" s="2" t="n"/>
      <c r="B8464">
        <f>LOWER(TRIM(A8464))</f>
        <v/>
      </c>
      <c r="C8464">
        <f>IF(B8464="","",IFERROR(INDEX('Bad Patterns'!$A$2:$A$120,MATCH(1,INDEX(--ISNUMBER(SEARCH('Bad Patterns'!$A$2:$A$120,B8464)),0),0)),""))</f>
        <v/>
      </c>
      <c r="D8464">
        <f>IF(B8464="","",IF(C8464&lt;&gt;"","REMOVE","KEEP"))</f>
        <v/>
      </c>
      <c r="E8464">
        <f>IF(D8464&lt;&gt;"KEEP","",IF(RIGHT(B8464,10)="@gmail.com","Gmail",IF(OR(RIGHT(B8464,12)="@outlook.com",RIGHT(B8464,12)="@hotmail.com",RIGHT(B8464,9)="@live.com"),"Outlook","Domain")))</f>
        <v/>
      </c>
      <c r="F8464">
        <f>IF(B8464="","",IFERROR(RIGHT(B8464,LEN(B8464)-FIND("@",B8464)),""))</f>
        <v/>
      </c>
      <c r="G8464">
        <f>IF(D8464="KEEP",COUNTIF($D$2:D8464,"KEEP"),"")</f>
        <v/>
      </c>
      <c r="H8464">
        <f>IF(D8464="REMOVE",COUNTIF($D$2:D8464,"REMOVE"),"")</f>
        <v/>
      </c>
      <c r="I8464">
        <f>IF(E8464="Gmail",COUNTIF($E$2:E8464,"Gmail"),"")</f>
        <v/>
      </c>
      <c r="J8464">
        <f>IF(E8464="Outlook",COUNTIF($E$2:E8464,"Outlook"),"")</f>
        <v/>
      </c>
      <c r="K8464">
        <f>IF(E8464="Domain",COUNTIF($E$2:E8464,"Domain"),"")</f>
        <v/>
      </c>
    </row>
    <row r="8465">
      <c r="A8465" s="2" t="n"/>
      <c r="B8465">
        <f>LOWER(TRIM(A8465))</f>
        <v/>
      </c>
      <c r="C8465">
        <f>IF(B8465="","",IFERROR(INDEX('Bad Patterns'!$A$2:$A$120,MATCH(1,INDEX(--ISNUMBER(SEARCH('Bad Patterns'!$A$2:$A$120,B8465)),0),0)),""))</f>
        <v/>
      </c>
      <c r="D8465">
        <f>IF(B8465="","",IF(C8465&lt;&gt;"","REMOVE","KEEP"))</f>
        <v/>
      </c>
      <c r="E8465">
        <f>IF(D8465&lt;&gt;"KEEP","",IF(RIGHT(B8465,10)="@gmail.com","Gmail",IF(OR(RIGHT(B8465,12)="@outlook.com",RIGHT(B8465,12)="@hotmail.com",RIGHT(B8465,9)="@live.com"),"Outlook","Domain")))</f>
        <v/>
      </c>
      <c r="F8465">
        <f>IF(B8465="","",IFERROR(RIGHT(B8465,LEN(B8465)-FIND("@",B8465)),""))</f>
        <v/>
      </c>
      <c r="G8465">
        <f>IF(D8465="KEEP",COUNTIF($D$2:D8465,"KEEP"),"")</f>
        <v/>
      </c>
      <c r="H8465">
        <f>IF(D8465="REMOVE",COUNTIF($D$2:D8465,"REMOVE"),"")</f>
        <v/>
      </c>
      <c r="I8465">
        <f>IF(E8465="Gmail",COUNTIF($E$2:E8465,"Gmail"),"")</f>
        <v/>
      </c>
      <c r="J8465">
        <f>IF(E8465="Outlook",COUNTIF($E$2:E8465,"Outlook"),"")</f>
        <v/>
      </c>
      <c r="K8465">
        <f>IF(E8465="Domain",COUNTIF($E$2:E8465,"Domain"),"")</f>
        <v/>
      </c>
    </row>
    <row r="8466">
      <c r="A8466" s="2" t="n"/>
      <c r="B8466">
        <f>LOWER(TRIM(A8466))</f>
        <v/>
      </c>
      <c r="C8466">
        <f>IF(B8466="","",IFERROR(INDEX('Bad Patterns'!$A$2:$A$120,MATCH(1,INDEX(--ISNUMBER(SEARCH('Bad Patterns'!$A$2:$A$120,B8466)),0),0)),""))</f>
        <v/>
      </c>
      <c r="D8466">
        <f>IF(B8466="","",IF(C8466&lt;&gt;"","REMOVE","KEEP"))</f>
        <v/>
      </c>
      <c r="E8466">
        <f>IF(D8466&lt;&gt;"KEEP","",IF(RIGHT(B8466,10)="@gmail.com","Gmail",IF(OR(RIGHT(B8466,12)="@outlook.com",RIGHT(B8466,12)="@hotmail.com",RIGHT(B8466,9)="@live.com"),"Outlook","Domain")))</f>
        <v/>
      </c>
      <c r="F8466">
        <f>IF(B8466="","",IFERROR(RIGHT(B8466,LEN(B8466)-FIND("@",B8466)),""))</f>
        <v/>
      </c>
      <c r="G8466">
        <f>IF(D8466="KEEP",COUNTIF($D$2:D8466,"KEEP"),"")</f>
        <v/>
      </c>
      <c r="H8466">
        <f>IF(D8466="REMOVE",COUNTIF($D$2:D8466,"REMOVE"),"")</f>
        <v/>
      </c>
      <c r="I8466">
        <f>IF(E8466="Gmail",COUNTIF($E$2:E8466,"Gmail"),"")</f>
        <v/>
      </c>
      <c r="J8466">
        <f>IF(E8466="Outlook",COUNTIF($E$2:E8466,"Outlook"),"")</f>
        <v/>
      </c>
      <c r="K8466">
        <f>IF(E8466="Domain",COUNTIF($E$2:E8466,"Domain"),"")</f>
        <v/>
      </c>
    </row>
    <row r="8467">
      <c r="A8467" s="2" t="n"/>
      <c r="B8467">
        <f>LOWER(TRIM(A8467))</f>
        <v/>
      </c>
      <c r="C8467">
        <f>IF(B8467="","",IFERROR(INDEX('Bad Patterns'!$A$2:$A$120,MATCH(1,INDEX(--ISNUMBER(SEARCH('Bad Patterns'!$A$2:$A$120,B8467)),0),0)),""))</f>
        <v/>
      </c>
      <c r="D8467">
        <f>IF(B8467="","",IF(C8467&lt;&gt;"","REMOVE","KEEP"))</f>
        <v/>
      </c>
      <c r="E8467">
        <f>IF(D8467&lt;&gt;"KEEP","",IF(RIGHT(B8467,10)="@gmail.com","Gmail",IF(OR(RIGHT(B8467,12)="@outlook.com",RIGHT(B8467,12)="@hotmail.com",RIGHT(B8467,9)="@live.com"),"Outlook","Domain")))</f>
        <v/>
      </c>
      <c r="F8467">
        <f>IF(B8467="","",IFERROR(RIGHT(B8467,LEN(B8467)-FIND("@",B8467)),""))</f>
        <v/>
      </c>
      <c r="G8467">
        <f>IF(D8467="KEEP",COUNTIF($D$2:D8467,"KEEP"),"")</f>
        <v/>
      </c>
      <c r="H8467">
        <f>IF(D8467="REMOVE",COUNTIF($D$2:D8467,"REMOVE"),"")</f>
        <v/>
      </c>
      <c r="I8467">
        <f>IF(E8467="Gmail",COUNTIF($E$2:E8467,"Gmail"),"")</f>
        <v/>
      </c>
      <c r="J8467">
        <f>IF(E8467="Outlook",COUNTIF($E$2:E8467,"Outlook"),"")</f>
        <v/>
      </c>
      <c r="K8467">
        <f>IF(E8467="Domain",COUNTIF($E$2:E8467,"Domain"),"")</f>
        <v/>
      </c>
    </row>
    <row r="8468">
      <c r="A8468" s="2" t="n"/>
      <c r="B8468">
        <f>LOWER(TRIM(A8468))</f>
        <v/>
      </c>
      <c r="C8468">
        <f>IF(B8468="","",IFERROR(INDEX('Bad Patterns'!$A$2:$A$120,MATCH(1,INDEX(--ISNUMBER(SEARCH('Bad Patterns'!$A$2:$A$120,B8468)),0),0)),""))</f>
        <v/>
      </c>
      <c r="D8468">
        <f>IF(B8468="","",IF(C8468&lt;&gt;"","REMOVE","KEEP"))</f>
        <v/>
      </c>
      <c r="E8468">
        <f>IF(D8468&lt;&gt;"KEEP","",IF(RIGHT(B8468,10)="@gmail.com","Gmail",IF(OR(RIGHT(B8468,12)="@outlook.com",RIGHT(B8468,12)="@hotmail.com",RIGHT(B8468,9)="@live.com"),"Outlook","Domain")))</f>
        <v/>
      </c>
      <c r="F8468">
        <f>IF(B8468="","",IFERROR(RIGHT(B8468,LEN(B8468)-FIND("@",B8468)),""))</f>
        <v/>
      </c>
      <c r="G8468">
        <f>IF(D8468="KEEP",COUNTIF($D$2:D8468,"KEEP"),"")</f>
        <v/>
      </c>
      <c r="H8468">
        <f>IF(D8468="REMOVE",COUNTIF($D$2:D8468,"REMOVE"),"")</f>
        <v/>
      </c>
      <c r="I8468">
        <f>IF(E8468="Gmail",COUNTIF($E$2:E8468,"Gmail"),"")</f>
        <v/>
      </c>
      <c r="J8468">
        <f>IF(E8468="Outlook",COUNTIF($E$2:E8468,"Outlook"),"")</f>
        <v/>
      </c>
      <c r="K8468">
        <f>IF(E8468="Domain",COUNTIF($E$2:E8468,"Domain"),"")</f>
        <v/>
      </c>
    </row>
    <row r="8469">
      <c r="A8469" s="2" t="n"/>
      <c r="B8469">
        <f>LOWER(TRIM(A8469))</f>
        <v/>
      </c>
      <c r="C8469">
        <f>IF(B8469="","",IFERROR(INDEX('Bad Patterns'!$A$2:$A$120,MATCH(1,INDEX(--ISNUMBER(SEARCH('Bad Patterns'!$A$2:$A$120,B8469)),0),0)),""))</f>
        <v/>
      </c>
      <c r="D8469">
        <f>IF(B8469="","",IF(C8469&lt;&gt;"","REMOVE","KEEP"))</f>
        <v/>
      </c>
      <c r="E8469">
        <f>IF(D8469&lt;&gt;"KEEP","",IF(RIGHT(B8469,10)="@gmail.com","Gmail",IF(OR(RIGHT(B8469,12)="@outlook.com",RIGHT(B8469,12)="@hotmail.com",RIGHT(B8469,9)="@live.com"),"Outlook","Domain")))</f>
        <v/>
      </c>
      <c r="F8469">
        <f>IF(B8469="","",IFERROR(RIGHT(B8469,LEN(B8469)-FIND("@",B8469)),""))</f>
        <v/>
      </c>
      <c r="G8469">
        <f>IF(D8469="KEEP",COUNTIF($D$2:D8469,"KEEP"),"")</f>
        <v/>
      </c>
      <c r="H8469">
        <f>IF(D8469="REMOVE",COUNTIF($D$2:D8469,"REMOVE"),"")</f>
        <v/>
      </c>
      <c r="I8469">
        <f>IF(E8469="Gmail",COUNTIF($E$2:E8469,"Gmail"),"")</f>
        <v/>
      </c>
      <c r="J8469">
        <f>IF(E8469="Outlook",COUNTIF($E$2:E8469,"Outlook"),"")</f>
        <v/>
      </c>
      <c r="K8469">
        <f>IF(E8469="Domain",COUNTIF($E$2:E8469,"Domain"),"")</f>
        <v/>
      </c>
    </row>
    <row r="8470">
      <c r="A8470" s="2" t="n"/>
      <c r="B8470">
        <f>LOWER(TRIM(A8470))</f>
        <v/>
      </c>
      <c r="C8470">
        <f>IF(B8470="","",IFERROR(INDEX('Bad Patterns'!$A$2:$A$120,MATCH(1,INDEX(--ISNUMBER(SEARCH('Bad Patterns'!$A$2:$A$120,B8470)),0),0)),""))</f>
        <v/>
      </c>
      <c r="D8470">
        <f>IF(B8470="","",IF(C8470&lt;&gt;"","REMOVE","KEEP"))</f>
        <v/>
      </c>
      <c r="E8470">
        <f>IF(D8470&lt;&gt;"KEEP","",IF(RIGHT(B8470,10)="@gmail.com","Gmail",IF(OR(RIGHT(B8470,12)="@outlook.com",RIGHT(B8470,12)="@hotmail.com",RIGHT(B8470,9)="@live.com"),"Outlook","Domain")))</f>
        <v/>
      </c>
      <c r="F8470">
        <f>IF(B8470="","",IFERROR(RIGHT(B8470,LEN(B8470)-FIND("@",B8470)),""))</f>
        <v/>
      </c>
      <c r="G8470">
        <f>IF(D8470="KEEP",COUNTIF($D$2:D8470,"KEEP"),"")</f>
        <v/>
      </c>
      <c r="H8470">
        <f>IF(D8470="REMOVE",COUNTIF($D$2:D8470,"REMOVE"),"")</f>
        <v/>
      </c>
      <c r="I8470">
        <f>IF(E8470="Gmail",COUNTIF($E$2:E8470,"Gmail"),"")</f>
        <v/>
      </c>
      <c r="J8470">
        <f>IF(E8470="Outlook",COUNTIF($E$2:E8470,"Outlook"),"")</f>
        <v/>
      </c>
      <c r="K8470">
        <f>IF(E8470="Domain",COUNTIF($E$2:E8470,"Domain"),"")</f>
        <v/>
      </c>
    </row>
    <row r="8471">
      <c r="A8471" s="2" t="n"/>
      <c r="B8471">
        <f>LOWER(TRIM(A8471))</f>
        <v/>
      </c>
      <c r="C8471">
        <f>IF(B8471="","",IFERROR(INDEX('Bad Patterns'!$A$2:$A$120,MATCH(1,INDEX(--ISNUMBER(SEARCH('Bad Patterns'!$A$2:$A$120,B8471)),0),0)),""))</f>
        <v/>
      </c>
      <c r="D8471">
        <f>IF(B8471="","",IF(C8471&lt;&gt;"","REMOVE","KEEP"))</f>
        <v/>
      </c>
      <c r="E8471">
        <f>IF(D8471&lt;&gt;"KEEP","",IF(RIGHT(B8471,10)="@gmail.com","Gmail",IF(OR(RIGHT(B8471,12)="@outlook.com",RIGHT(B8471,12)="@hotmail.com",RIGHT(B8471,9)="@live.com"),"Outlook","Domain")))</f>
        <v/>
      </c>
      <c r="F8471">
        <f>IF(B8471="","",IFERROR(RIGHT(B8471,LEN(B8471)-FIND("@",B8471)),""))</f>
        <v/>
      </c>
      <c r="G8471">
        <f>IF(D8471="KEEP",COUNTIF($D$2:D8471,"KEEP"),"")</f>
        <v/>
      </c>
      <c r="H8471">
        <f>IF(D8471="REMOVE",COUNTIF($D$2:D8471,"REMOVE"),"")</f>
        <v/>
      </c>
      <c r="I8471">
        <f>IF(E8471="Gmail",COUNTIF($E$2:E8471,"Gmail"),"")</f>
        <v/>
      </c>
      <c r="J8471">
        <f>IF(E8471="Outlook",COUNTIF($E$2:E8471,"Outlook"),"")</f>
        <v/>
      </c>
      <c r="K8471">
        <f>IF(E8471="Domain",COUNTIF($E$2:E8471,"Domain"),"")</f>
        <v/>
      </c>
    </row>
    <row r="8472">
      <c r="A8472" s="2" t="n"/>
      <c r="B8472">
        <f>LOWER(TRIM(A8472))</f>
        <v/>
      </c>
      <c r="C8472">
        <f>IF(B8472="","",IFERROR(INDEX('Bad Patterns'!$A$2:$A$120,MATCH(1,INDEX(--ISNUMBER(SEARCH('Bad Patterns'!$A$2:$A$120,B8472)),0),0)),""))</f>
        <v/>
      </c>
      <c r="D8472">
        <f>IF(B8472="","",IF(C8472&lt;&gt;"","REMOVE","KEEP"))</f>
        <v/>
      </c>
      <c r="E8472">
        <f>IF(D8472&lt;&gt;"KEEP","",IF(RIGHT(B8472,10)="@gmail.com","Gmail",IF(OR(RIGHT(B8472,12)="@outlook.com",RIGHT(B8472,12)="@hotmail.com",RIGHT(B8472,9)="@live.com"),"Outlook","Domain")))</f>
        <v/>
      </c>
      <c r="F8472">
        <f>IF(B8472="","",IFERROR(RIGHT(B8472,LEN(B8472)-FIND("@",B8472)),""))</f>
        <v/>
      </c>
      <c r="G8472">
        <f>IF(D8472="KEEP",COUNTIF($D$2:D8472,"KEEP"),"")</f>
        <v/>
      </c>
      <c r="H8472">
        <f>IF(D8472="REMOVE",COUNTIF($D$2:D8472,"REMOVE"),"")</f>
        <v/>
      </c>
      <c r="I8472">
        <f>IF(E8472="Gmail",COUNTIF($E$2:E8472,"Gmail"),"")</f>
        <v/>
      </c>
      <c r="J8472">
        <f>IF(E8472="Outlook",COUNTIF($E$2:E8472,"Outlook"),"")</f>
        <v/>
      </c>
      <c r="K8472">
        <f>IF(E8472="Domain",COUNTIF($E$2:E8472,"Domain"),"")</f>
        <v/>
      </c>
    </row>
    <row r="8473">
      <c r="A8473" s="2" t="n"/>
      <c r="B8473">
        <f>LOWER(TRIM(A8473))</f>
        <v/>
      </c>
      <c r="C8473">
        <f>IF(B8473="","",IFERROR(INDEX('Bad Patterns'!$A$2:$A$120,MATCH(1,INDEX(--ISNUMBER(SEARCH('Bad Patterns'!$A$2:$A$120,B8473)),0),0)),""))</f>
        <v/>
      </c>
      <c r="D8473">
        <f>IF(B8473="","",IF(C8473&lt;&gt;"","REMOVE","KEEP"))</f>
        <v/>
      </c>
      <c r="E8473">
        <f>IF(D8473&lt;&gt;"KEEP","",IF(RIGHT(B8473,10)="@gmail.com","Gmail",IF(OR(RIGHT(B8473,12)="@outlook.com",RIGHT(B8473,12)="@hotmail.com",RIGHT(B8473,9)="@live.com"),"Outlook","Domain")))</f>
        <v/>
      </c>
      <c r="F8473">
        <f>IF(B8473="","",IFERROR(RIGHT(B8473,LEN(B8473)-FIND("@",B8473)),""))</f>
        <v/>
      </c>
      <c r="G8473">
        <f>IF(D8473="KEEP",COUNTIF($D$2:D8473,"KEEP"),"")</f>
        <v/>
      </c>
      <c r="H8473">
        <f>IF(D8473="REMOVE",COUNTIF($D$2:D8473,"REMOVE"),"")</f>
        <v/>
      </c>
      <c r="I8473">
        <f>IF(E8473="Gmail",COUNTIF($E$2:E8473,"Gmail"),"")</f>
        <v/>
      </c>
      <c r="J8473">
        <f>IF(E8473="Outlook",COUNTIF($E$2:E8473,"Outlook"),"")</f>
        <v/>
      </c>
      <c r="K8473">
        <f>IF(E8473="Domain",COUNTIF($E$2:E8473,"Domain"),"")</f>
        <v/>
      </c>
    </row>
    <row r="8474">
      <c r="A8474" s="2" t="n"/>
      <c r="B8474">
        <f>LOWER(TRIM(A8474))</f>
        <v/>
      </c>
      <c r="C8474">
        <f>IF(B8474="","",IFERROR(INDEX('Bad Patterns'!$A$2:$A$120,MATCH(1,INDEX(--ISNUMBER(SEARCH('Bad Patterns'!$A$2:$A$120,B8474)),0),0)),""))</f>
        <v/>
      </c>
      <c r="D8474">
        <f>IF(B8474="","",IF(C8474&lt;&gt;"","REMOVE","KEEP"))</f>
        <v/>
      </c>
      <c r="E8474">
        <f>IF(D8474&lt;&gt;"KEEP","",IF(RIGHT(B8474,10)="@gmail.com","Gmail",IF(OR(RIGHT(B8474,12)="@outlook.com",RIGHT(B8474,12)="@hotmail.com",RIGHT(B8474,9)="@live.com"),"Outlook","Domain")))</f>
        <v/>
      </c>
      <c r="F8474">
        <f>IF(B8474="","",IFERROR(RIGHT(B8474,LEN(B8474)-FIND("@",B8474)),""))</f>
        <v/>
      </c>
      <c r="G8474">
        <f>IF(D8474="KEEP",COUNTIF($D$2:D8474,"KEEP"),"")</f>
        <v/>
      </c>
      <c r="H8474">
        <f>IF(D8474="REMOVE",COUNTIF($D$2:D8474,"REMOVE"),"")</f>
        <v/>
      </c>
      <c r="I8474">
        <f>IF(E8474="Gmail",COUNTIF($E$2:E8474,"Gmail"),"")</f>
        <v/>
      </c>
      <c r="J8474">
        <f>IF(E8474="Outlook",COUNTIF($E$2:E8474,"Outlook"),"")</f>
        <v/>
      </c>
      <c r="K8474">
        <f>IF(E8474="Domain",COUNTIF($E$2:E8474,"Domain"),"")</f>
        <v/>
      </c>
    </row>
    <row r="8475">
      <c r="A8475" s="2" t="n"/>
      <c r="B8475">
        <f>LOWER(TRIM(A8475))</f>
        <v/>
      </c>
      <c r="C8475">
        <f>IF(B8475="","",IFERROR(INDEX('Bad Patterns'!$A$2:$A$120,MATCH(1,INDEX(--ISNUMBER(SEARCH('Bad Patterns'!$A$2:$A$120,B8475)),0),0)),""))</f>
        <v/>
      </c>
      <c r="D8475">
        <f>IF(B8475="","",IF(C8475&lt;&gt;"","REMOVE","KEEP"))</f>
        <v/>
      </c>
      <c r="E8475">
        <f>IF(D8475&lt;&gt;"KEEP","",IF(RIGHT(B8475,10)="@gmail.com","Gmail",IF(OR(RIGHT(B8475,12)="@outlook.com",RIGHT(B8475,12)="@hotmail.com",RIGHT(B8475,9)="@live.com"),"Outlook","Domain")))</f>
        <v/>
      </c>
      <c r="F8475">
        <f>IF(B8475="","",IFERROR(RIGHT(B8475,LEN(B8475)-FIND("@",B8475)),""))</f>
        <v/>
      </c>
      <c r="G8475">
        <f>IF(D8475="KEEP",COUNTIF($D$2:D8475,"KEEP"),"")</f>
        <v/>
      </c>
      <c r="H8475">
        <f>IF(D8475="REMOVE",COUNTIF($D$2:D8475,"REMOVE"),"")</f>
        <v/>
      </c>
      <c r="I8475">
        <f>IF(E8475="Gmail",COUNTIF($E$2:E8475,"Gmail"),"")</f>
        <v/>
      </c>
      <c r="J8475">
        <f>IF(E8475="Outlook",COUNTIF($E$2:E8475,"Outlook"),"")</f>
        <v/>
      </c>
      <c r="K8475">
        <f>IF(E8475="Domain",COUNTIF($E$2:E8475,"Domain"),"")</f>
        <v/>
      </c>
    </row>
    <row r="8476">
      <c r="A8476" s="2" t="n"/>
      <c r="B8476">
        <f>LOWER(TRIM(A8476))</f>
        <v/>
      </c>
      <c r="C8476">
        <f>IF(B8476="","",IFERROR(INDEX('Bad Patterns'!$A$2:$A$120,MATCH(1,INDEX(--ISNUMBER(SEARCH('Bad Patterns'!$A$2:$A$120,B8476)),0),0)),""))</f>
        <v/>
      </c>
      <c r="D8476">
        <f>IF(B8476="","",IF(C8476&lt;&gt;"","REMOVE","KEEP"))</f>
        <v/>
      </c>
      <c r="E8476">
        <f>IF(D8476&lt;&gt;"KEEP","",IF(RIGHT(B8476,10)="@gmail.com","Gmail",IF(OR(RIGHT(B8476,12)="@outlook.com",RIGHT(B8476,12)="@hotmail.com",RIGHT(B8476,9)="@live.com"),"Outlook","Domain")))</f>
        <v/>
      </c>
      <c r="F8476">
        <f>IF(B8476="","",IFERROR(RIGHT(B8476,LEN(B8476)-FIND("@",B8476)),""))</f>
        <v/>
      </c>
      <c r="G8476">
        <f>IF(D8476="KEEP",COUNTIF($D$2:D8476,"KEEP"),"")</f>
        <v/>
      </c>
      <c r="H8476">
        <f>IF(D8476="REMOVE",COUNTIF($D$2:D8476,"REMOVE"),"")</f>
        <v/>
      </c>
      <c r="I8476">
        <f>IF(E8476="Gmail",COUNTIF($E$2:E8476,"Gmail"),"")</f>
        <v/>
      </c>
      <c r="J8476">
        <f>IF(E8476="Outlook",COUNTIF($E$2:E8476,"Outlook"),"")</f>
        <v/>
      </c>
      <c r="K8476">
        <f>IF(E8476="Domain",COUNTIF($E$2:E8476,"Domain"),"")</f>
        <v/>
      </c>
    </row>
    <row r="8477">
      <c r="A8477" s="2" t="n"/>
      <c r="B8477">
        <f>LOWER(TRIM(A8477))</f>
        <v/>
      </c>
      <c r="C8477">
        <f>IF(B8477="","",IFERROR(INDEX('Bad Patterns'!$A$2:$A$120,MATCH(1,INDEX(--ISNUMBER(SEARCH('Bad Patterns'!$A$2:$A$120,B8477)),0),0)),""))</f>
        <v/>
      </c>
      <c r="D8477">
        <f>IF(B8477="","",IF(C8477&lt;&gt;"","REMOVE","KEEP"))</f>
        <v/>
      </c>
      <c r="E8477">
        <f>IF(D8477&lt;&gt;"KEEP","",IF(RIGHT(B8477,10)="@gmail.com","Gmail",IF(OR(RIGHT(B8477,12)="@outlook.com",RIGHT(B8477,12)="@hotmail.com",RIGHT(B8477,9)="@live.com"),"Outlook","Domain")))</f>
        <v/>
      </c>
      <c r="F8477">
        <f>IF(B8477="","",IFERROR(RIGHT(B8477,LEN(B8477)-FIND("@",B8477)),""))</f>
        <v/>
      </c>
      <c r="G8477">
        <f>IF(D8477="KEEP",COUNTIF($D$2:D8477,"KEEP"),"")</f>
        <v/>
      </c>
      <c r="H8477">
        <f>IF(D8477="REMOVE",COUNTIF($D$2:D8477,"REMOVE"),"")</f>
        <v/>
      </c>
      <c r="I8477">
        <f>IF(E8477="Gmail",COUNTIF($E$2:E8477,"Gmail"),"")</f>
        <v/>
      </c>
      <c r="J8477">
        <f>IF(E8477="Outlook",COUNTIF($E$2:E8477,"Outlook"),"")</f>
        <v/>
      </c>
      <c r="K8477">
        <f>IF(E8477="Domain",COUNTIF($E$2:E8477,"Domain"),"")</f>
        <v/>
      </c>
    </row>
    <row r="8478">
      <c r="A8478" s="2" t="n"/>
      <c r="B8478">
        <f>LOWER(TRIM(A8478))</f>
        <v/>
      </c>
      <c r="C8478">
        <f>IF(B8478="","",IFERROR(INDEX('Bad Patterns'!$A$2:$A$120,MATCH(1,INDEX(--ISNUMBER(SEARCH('Bad Patterns'!$A$2:$A$120,B8478)),0),0)),""))</f>
        <v/>
      </c>
      <c r="D8478">
        <f>IF(B8478="","",IF(C8478&lt;&gt;"","REMOVE","KEEP"))</f>
        <v/>
      </c>
      <c r="E8478">
        <f>IF(D8478&lt;&gt;"KEEP","",IF(RIGHT(B8478,10)="@gmail.com","Gmail",IF(OR(RIGHT(B8478,12)="@outlook.com",RIGHT(B8478,12)="@hotmail.com",RIGHT(B8478,9)="@live.com"),"Outlook","Domain")))</f>
        <v/>
      </c>
      <c r="F8478">
        <f>IF(B8478="","",IFERROR(RIGHT(B8478,LEN(B8478)-FIND("@",B8478)),""))</f>
        <v/>
      </c>
      <c r="G8478">
        <f>IF(D8478="KEEP",COUNTIF($D$2:D8478,"KEEP"),"")</f>
        <v/>
      </c>
      <c r="H8478">
        <f>IF(D8478="REMOVE",COUNTIF($D$2:D8478,"REMOVE"),"")</f>
        <v/>
      </c>
      <c r="I8478">
        <f>IF(E8478="Gmail",COUNTIF($E$2:E8478,"Gmail"),"")</f>
        <v/>
      </c>
      <c r="J8478">
        <f>IF(E8478="Outlook",COUNTIF($E$2:E8478,"Outlook"),"")</f>
        <v/>
      </c>
      <c r="K8478">
        <f>IF(E8478="Domain",COUNTIF($E$2:E8478,"Domain"),"")</f>
        <v/>
      </c>
    </row>
    <row r="8479">
      <c r="A8479" s="2" t="n"/>
      <c r="B8479">
        <f>LOWER(TRIM(A8479))</f>
        <v/>
      </c>
      <c r="C8479">
        <f>IF(B8479="","",IFERROR(INDEX('Bad Patterns'!$A$2:$A$120,MATCH(1,INDEX(--ISNUMBER(SEARCH('Bad Patterns'!$A$2:$A$120,B8479)),0),0)),""))</f>
        <v/>
      </c>
      <c r="D8479">
        <f>IF(B8479="","",IF(C8479&lt;&gt;"","REMOVE","KEEP"))</f>
        <v/>
      </c>
      <c r="E8479">
        <f>IF(D8479&lt;&gt;"KEEP","",IF(RIGHT(B8479,10)="@gmail.com","Gmail",IF(OR(RIGHT(B8479,12)="@outlook.com",RIGHT(B8479,12)="@hotmail.com",RIGHT(B8479,9)="@live.com"),"Outlook","Domain")))</f>
        <v/>
      </c>
      <c r="F8479">
        <f>IF(B8479="","",IFERROR(RIGHT(B8479,LEN(B8479)-FIND("@",B8479)),""))</f>
        <v/>
      </c>
      <c r="G8479">
        <f>IF(D8479="KEEP",COUNTIF($D$2:D8479,"KEEP"),"")</f>
        <v/>
      </c>
      <c r="H8479">
        <f>IF(D8479="REMOVE",COUNTIF($D$2:D8479,"REMOVE"),"")</f>
        <v/>
      </c>
      <c r="I8479">
        <f>IF(E8479="Gmail",COUNTIF($E$2:E8479,"Gmail"),"")</f>
        <v/>
      </c>
      <c r="J8479">
        <f>IF(E8479="Outlook",COUNTIF($E$2:E8479,"Outlook"),"")</f>
        <v/>
      </c>
      <c r="K8479">
        <f>IF(E8479="Domain",COUNTIF($E$2:E8479,"Domain"),"")</f>
        <v/>
      </c>
    </row>
    <row r="8480">
      <c r="A8480" s="2" t="n"/>
      <c r="B8480">
        <f>LOWER(TRIM(A8480))</f>
        <v/>
      </c>
      <c r="C8480">
        <f>IF(B8480="","",IFERROR(INDEX('Bad Patterns'!$A$2:$A$120,MATCH(1,INDEX(--ISNUMBER(SEARCH('Bad Patterns'!$A$2:$A$120,B8480)),0),0)),""))</f>
        <v/>
      </c>
      <c r="D8480">
        <f>IF(B8480="","",IF(C8480&lt;&gt;"","REMOVE","KEEP"))</f>
        <v/>
      </c>
      <c r="E8480">
        <f>IF(D8480&lt;&gt;"KEEP","",IF(RIGHT(B8480,10)="@gmail.com","Gmail",IF(OR(RIGHT(B8480,12)="@outlook.com",RIGHT(B8480,12)="@hotmail.com",RIGHT(B8480,9)="@live.com"),"Outlook","Domain")))</f>
        <v/>
      </c>
      <c r="F8480">
        <f>IF(B8480="","",IFERROR(RIGHT(B8480,LEN(B8480)-FIND("@",B8480)),""))</f>
        <v/>
      </c>
      <c r="G8480">
        <f>IF(D8480="KEEP",COUNTIF($D$2:D8480,"KEEP"),"")</f>
        <v/>
      </c>
      <c r="H8480">
        <f>IF(D8480="REMOVE",COUNTIF($D$2:D8480,"REMOVE"),"")</f>
        <v/>
      </c>
      <c r="I8480">
        <f>IF(E8480="Gmail",COUNTIF($E$2:E8480,"Gmail"),"")</f>
        <v/>
      </c>
      <c r="J8480">
        <f>IF(E8480="Outlook",COUNTIF($E$2:E8480,"Outlook"),"")</f>
        <v/>
      </c>
      <c r="K8480">
        <f>IF(E8480="Domain",COUNTIF($E$2:E8480,"Domain"),"")</f>
        <v/>
      </c>
    </row>
    <row r="8481">
      <c r="A8481" s="2" t="n"/>
      <c r="B8481">
        <f>LOWER(TRIM(A8481))</f>
        <v/>
      </c>
      <c r="C8481">
        <f>IF(B8481="","",IFERROR(INDEX('Bad Patterns'!$A$2:$A$120,MATCH(1,INDEX(--ISNUMBER(SEARCH('Bad Patterns'!$A$2:$A$120,B8481)),0),0)),""))</f>
        <v/>
      </c>
      <c r="D8481">
        <f>IF(B8481="","",IF(C8481&lt;&gt;"","REMOVE","KEEP"))</f>
        <v/>
      </c>
      <c r="E8481">
        <f>IF(D8481&lt;&gt;"KEEP","",IF(RIGHT(B8481,10)="@gmail.com","Gmail",IF(OR(RIGHT(B8481,12)="@outlook.com",RIGHT(B8481,12)="@hotmail.com",RIGHT(B8481,9)="@live.com"),"Outlook","Domain")))</f>
        <v/>
      </c>
      <c r="F8481">
        <f>IF(B8481="","",IFERROR(RIGHT(B8481,LEN(B8481)-FIND("@",B8481)),""))</f>
        <v/>
      </c>
      <c r="G8481">
        <f>IF(D8481="KEEP",COUNTIF($D$2:D8481,"KEEP"),"")</f>
        <v/>
      </c>
      <c r="H8481">
        <f>IF(D8481="REMOVE",COUNTIF($D$2:D8481,"REMOVE"),"")</f>
        <v/>
      </c>
      <c r="I8481">
        <f>IF(E8481="Gmail",COUNTIF($E$2:E8481,"Gmail"),"")</f>
        <v/>
      </c>
      <c r="J8481">
        <f>IF(E8481="Outlook",COUNTIF($E$2:E8481,"Outlook"),"")</f>
        <v/>
      </c>
      <c r="K8481">
        <f>IF(E8481="Domain",COUNTIF($E$2:E8481,"Domain"),"")</f>
        <v/>
      </c>
    </row>
    <row r="8482">
      <c r="A8482" s="2" t="n"/>
      <c r="B8482">
        <f>LOWER(TRIM(A8482))</f>
        <v/>
      </c>
      <c r="C8482">
        <f>IF(B8482="","",IFERROR(INDEX('Bad Patterns'!$A$2:$A$120,MATCH(1,INDEX(--ISNUMBER(SEARCH('Bad Patterns'!$A$2:$A$120,B8482)),0),0)),""))</f>
        <v/>
      </c>
      <c r="D8482">
        <f>IF(B8482="","",IF(C8482&lt;&gt;"","REMOVE","KEEP"))</f>
        <v/>
      </c>
      <c r="E8482">
        <f>IF(D8482&lt;&gt;"KEEP","",IF(RIGHT(B8482,10)="@gmail.com","Gmail",IF(OR(RIGHT(B8482,12)="@outlook.com",RIGHT(B8482,12)="@hotmail.com",RIGHT(B8482,9)="@live.com"),"Outlook","Domain")))</f>
        <v/>
      </c>
      <c r="F8482">
        <f>IF(B8482="","",IFERROR(RIGHT(B8482,LEN(B8482)-FIND("@",B8482)),""))</f>
        <v/>
      </c>
      <c r="G8482">
        <f>IF(D8482="KEEP",COUNTIF($D$2:D8482,"KEEP"),"")</f>
        <v/>
      </c>
      <c r="H8482">
        <f>IF(D8482="REMOVE",COUNTIF($D$2:D8482,"REMOVE"),"")</f>
        <v/>
      </c>
      <c r="I8482">
        <f>IF(E8482="Gmail",COUNTIF($E$2:E8482,"Gmail"),"")</f>
        <v/>
      </c>
      <c r="J8482">
        <f>IF(E8482="Outlook",COUNTIF($E$2:E8482,"Outlook"),"")</f>
        <v/>
      </c>
      <c r="K8482">
        <f>IF(E8482="Domain",COUNTIF($E$2:E8482,"Domain"),"")</f>
        <v/>
      </c>
    </row>
    <row r="8483">
      <c r="A8483" s="2" t="n"/>
      <c r="B8483">
        <f>LOWER(TRIM(A8483))</f>
        <v/>
      </c>
      <c r="C8483">
        <f>IF(B8483="","",IFERROR(INDEX('Bad Patterns'!$A$2:$A$120,MATCH(1,INDEX(--ISNUMBER(SEARCH('Bad Patterns'!$A$2:$A$120,B8483)),0),0)),""))</f>
        <v/>
      </c>
      <c r="D8483">
        <f>IF(B8483="","",IF(C8483&lt;&gt;"","REMOVE","KEEP"))</f>
        <v/>
      </c>
      <c r="E8483">
        <f>IF(D8483&lt;&gt;"KEEP","",IF(RIGHT(B8483,10)="@gmail.com","Gmail",IF(OR(RIGHT(B8483,12)="@outlook.com",RIGHT(B8483,12)="@hotmail.com",RIGHT(B8483,9)="@live.com"),"Outlook","Domain")))</f>
        <v/>
      </c>
      <c r="F8483">
        <f>IF(B8483="","",IFERROR(RIGHT(B8483,LEN(B8483)-FIND("@",B8483)),""))</f>
        <v/>
      </c>
      <c r="G8483">
        <f>IF(D8483="KEEP",COUNTIF($D$2:D8483,"KEEP"),"")</f>
        <v/>
      </c>
      <c r="H8483">
        <f>IF(D8483="REMOVE",COUNTIF($D$2:D8483,"REMOVE"),"")</f>
        <v/>
      </c>
      <c r="I8483">
        <f>IF(E8483="Gmail",COUNTIF($E$2:E8483,"Gmail"),"")</f>
        <v/>
      </c>
      <c r="J8483">
        <f>IF(E8483="Outlook",COUNTIF($E$2:E8483,"Outlook"),"")</f>
        <v/>
      </c>
      <c r="K8483">
        <f>IF(E8483="Domain",COUNTIF($E$2:E8483,"Domain"),"")</f>
        <v/>
      </c>
    </row>
    <row r="8484">
      <c r="A8484" s="2" t="n"/>
      <c r="B8484">
        <f>LOWER(TRIM(A8484))</f>
        <v/>
      </c>
      <c r="C8484">
        <f>IF(B8484="","",IFERROR(INDEX('Bad Patterns'!$A$2:$A$120,MATCH(1,INDEX(--ISNUMBER(SEARCH('Bad Patterns'!$A$2:$A$120,B8484)),0),0)),""))</f>
        <v/>
      </c>
      <c r="D8484">
        <f>IF(B8484="","",IF(C8484&lt;&gt;"","REMOVE","KEEP"))</f>
        <v/>
      </c>
      <c r="E8484">
        <f>IF(D8484&lt;&gt;"KEEP","",IF(RIGHT(B8484,10)="@gmail.com","Gmail",IF(OR(RIGHT(B8484,12)="@outlook.com",RIGHT(B8484,12)="@hotmail.com",RIGHT(B8484,9)="@live.com"),"Outlook","Domain")))</f>
        <v/>
      </c>
      <c r="F8484">
        <f>IF(B8484="","",IFERROR(RIGHT(B8484,LEN(B8484)-FIND("@",B8484)),""))</f>
        <v/>
      </c>
      <c r="G8484">
        <f>IF(D8484="KEEP",COUNTIF($D$2:D8484,"KEEP"),"")</f>
        <v/>
      </c>
      <c r="H8484">
        <f>IF(D8484="REMOVE",COUNTIF($D$2:D8484,"REMOVE"),"")</f>
        <v/>
      </c>
      <c r="I8484">
        <f>IF(E8484="Gmail",COUNTIF($E$2:E8484,"Gmail"),"")</f>
        <v/>
      </c>
      <c r="J8484">
        <f>IF(E8484="Outlook",COUNTIF($E$2:E8484,"Outlook"),"")</f>
        <v/>
      </c>
      <c r="K8484">
        <f>IF(E8484="Domain",COUNTIF($E$2:E8484,"Domain"),"")</f>
        <v/>
      </c>
    </row>
    <row r="8485">
      <c r="A8485" s="2" t="n"/>
      <c r="B8485">
        <f>LOWER(TRIM(A8485))</f>
        <v/>
      </c>
      <c r="C8485">
        <f>IF(B8485="","",IFERROR(INDEX('Bad Patterns'!$A$2:$A$120,MATCH(1,INDEX(--ISNUMBER(SEARCH('Bad Patterns'!$A$2:$A$120,B8485)),0),0)),""))</f>
        <v/>
      </c>
      <c r="D8485">
        <f>IF(B8485="","",IF(C8485&lt;&gt;"","REMOVE","KEEP"))</f>
        <v/>
      </c>
      <c r="E8485">
        <f>IF(D8485&lt;&gt;"KEEP","",IF(RIGHT(B8485,10)="@gmail.com","Gmail",IF(OR(RIGHT(B8485,12)="@outlook.com",RIGHT(B8485,12)="@hotmail.com",RIGHT(B8485,9)="@live.com"),"Outlook","Domain")))</f>
        <v/>
      </c>
      <c r="F8485">
        <f>IF(B8485="","",IFERROR(RIGHT(B8485,LEN(B8485)-FIND("@",B8485)),""))</f>
        <v/>
      </c>
      <c r="G8485">
        <f>IF(D8485="KEEP",COUNTIF($D$2:D8485,"KEEP"),"")</f>
        <v/>
      </c>
      <c r="H8485">
        <f>IF(D8485="REMOVE",COUNTIF($D$2:D8485,"REMOVE"),"")</f>
        <v/>
      </c>
      <c r="I8485">
        <f>IF(E8485="Gmail",COUNTIF($E$2:E8485,"Gmail"),"")</f>
        <v/>
      </c>
      <c r="J8485">
        <f>IF(E8485="Outlook",COUNTIF($E$2:E8485,"Outlook"),"")</f>
        <v/>
      </c>
      <c r="K8485">
        <f>IF(E8485="Domain",COUNTIF($E$2:E8485,"Domain"),"")</f>
        <v/>
      </c>
    </row>
    <row r="8486">
      <c r="A8486" s="2" t="n"/>
      <c r="B8486">
        <f>LOWER(TRIM(A8486))</f>
        <v/>
      </c>
      <c r="C8486">
        <f>IF(B8486="","",IFERROR(INDEX('Bad Patterns'!$A$2:$A$120,MATCH(1,INDEX(--ISNUMBER(SEARCH('Bad Patterns'!$A$2:$A$120,B8486)),0),0)),""))</f>
        <v/>
      </c>
      <c r="D8486">
        <f>IF(B8486="","",IF(C8486&lt;&gt;"","REMOVE","KEEP"))</f>
        <v/>
      </c>
      <c r="E8486">
        <f>IF(D8486&lt;&gt;"KEEP","",IF(RIGHT(B8486,10)="@gmail.com","Gmail",IF(OR(RIGHT(B8486,12)="@outlook.com",RIGHT(B8486,12)="@hotmail.com",RIGHT(B8486,9)="@live.com"),"Outlook","Domain")))</f>
        <v/>
      </c>
      <c r="F8486">
        <f>IF(B8486="","",IFERROR(RIGHT(B8486,LEN(B8486)-FIND("@",B8486)),""))</f>
        <v/>
      </c>
      <c r="G8486">
        <f>IF(D8486="KEEP",COUNTIF($D$2:D8486,"KEEP"),"")</f>
        <v/>
      </c>
      <c r="H8486">
        <f>IF(D8486="REMOVE",COUNTIF($D$2:D8486,"REMOVE"),"")</f>
        <v/>
      </c>
      <c r="I8486">
        <f>IF(E8486="Gmail",COUNTIF($E$2:E8486,"Gmail"),"")</f>
        <v/>
      </c>
      <c r="J8486">
        <f>IF(E8486="Outlook",COUNTIF($E$2:E8486,"Outlook"),"")</f>
        <v/>
      </c>
      <c r="K8486">
        <f>IF(E8486="Domain",COUNTIF($E$2:E8486,"Domain"),"")</f>
        <v/>
      </c>
    </row>
    <row r="8487">
      <c r="A8487" s="2" t="n"/>
      <c r="B8487">
        <f>LOWER(TRIM(A8487))</f>
        <v/>
      </c>
      <c r="C8487">
        <f>IF(B8487="","",IFERROR(INDEX('Bad Patterns'!$A$2:$A$120,MATCH(1,INDEX(--ISNUMBER(SEARCH('Bad Patterns'!$A$2:$A$120,B8487)),0),0)),""))</f>
        <v/>
      </c>
      <c r="D8487">
        <f>IF(B8487="","",IF(C8487&lt;&gt;"","REMOVE","KEEP"))</f>
        <v/>
      </c>
      <c r="E8487">
        <f>IF(D8487&lt;&gt;"KEEP","",IF(RIGHT(B8487,10)="@gmail.com","Gmail",IF(OR(RIGHT(B8487,12)="@outlook.com",RIGHT(B8487,12)="@hotmail.com",RIGHT(B8487,9)="@live.com"),"Outlook","Domain")))</f>
        <v/>
      </c>
      <c r="F8487">
        <f>IF(B8487="","",IFERROR(RIGHT(B8487,LEN(B8487)-FIND("@",B8487)),""))</f>
        <v/>
      </c>
      <c r="G8487">
        <f>IF(D8487="KEEP",COUNTIF($D$2:D8487,"KEEP"),"")</f>
        <v/>
      </c>
      <c r="H8487">
        <f>IF(D8487="REMOVE",COUNTIF($D$2:D8487,"REMOVE"),"")</f>
        <v/>
      </c>
      <c r="I8487">
        <f>IF(E8487="Gmail",COUNTIF($E$2:E8487,"Gmail"),"")</f>
        <v/>
      </c>
      <c r="J8487">
        <f>IF(E8487="Outlook",COUNTIF($E$2:E8487,"Outlook"),"")</f>
        <v/>
      </c>
      <c r="K8487">
        <f>IF(E8487="Domain",COUNTIF($E$2:E8487,"Domain"),"")</f>
        <v/>
      </c>
    </row>
    <row r="8488">
      <c r="A8488" s="2" t="n"/>
      <c r="B8488">
        <f>LOWER(TRIM(A8488))</f>
        <v/>
      </c>
      <c r="C8488">
        <f>IF(B8488="","",IFERROR(INDEX('Bad Patterns'!$A$2:$A$120,MATCH(1,INDEX(--ISNUMBER(SEARCH('Bad Patterns'!$A$2:$A$120,B8488)),0),0)),""))</f>
        <v/>
      </c>
      <c r="D8488">
        <f>IF(B8488="","",IF(C8488&lt;&gt;"","REMOVE","KEEP"))</f>
        <v/>
      </c>
      <c r="E8488">
        <f>IF(D8488&lt;&gt;"KEEP","",IF(RIGHT(B8488,10)="@gmail.com","Gmail",IF(OR(RIGHT(B8488,12)="@outlook.com",RIGHT(B8488,12)="@hotmail.com",RIGHT(B8488,9)="@live.com"),"Outlook","Domain")))</f>
        <v/>
      </c>
      <c r="F8488">
        <f>IF(B8488="","",IFERROR(RIGHT(B8488,LEN(B8488)-FIND("@",B8488)),""))</f>
        <v/>
      </c>
      <c r="G8488">
        <f>IF(D8488="KEEP",COUNTIF($D$2:D8488,"KEEP"),"")</f>
        <v/>
      </c>
      <c r="H8488">
        <f>IF(D8488="REMOVE",COUNTIF($D$2:D8488,"REMOVE"),"")</f>
        <v/>
      </c>
      <c r="I8488">
        <f>IF(E8488="Gmail",COUNTIF($E$2:E8488,"Gmail"),"")</f>
        <v/>
      </c>
      <c r="J8488">
        <f>IF(E8488="Outlook",COUNTIF($E$2:E8488,"Outlook"),"")</f>
        <v/>
      </c>
      <c r="K8488">
        <f>IF(E8488="Domain",COUNTIF($E$2:E8488,"Domain"),"")</f>
        <v/>
      </c>
    </row>
    <row r="8489">
      <c r="A8489" s="2" t="n"/>
      <c r="B8489">
        <f>LOWER(TRIM(A8489))</f>
        <v/>
      </c>
      <c r="C8489">
        <f>IF(B8489="","",IFERROR(INDEX('Bad Patterns'!$A$2:$A$120,MATCH(1,INDEX(--ISNUMBER(SEARCH('Bad Patterns'!$A$2:$A$120,B8489)),0),0)),""))</f>
        <v/>
      </c>
      <c r="D8489">
        <f>IF(B8489="","",IF(C8489&lt;&gt;"","REMOVE","KEEP"))</f>
        <v/>
      </c>
      <c r="E8489">
        <f>IF(D8489&lt;&gt;"KEEP","",IF(RIGHT(B8489,10)="@gmail.com","Gmail",IF(OR(RIGHT(B8489,12)="@outlook.com",RIGHT(B8489,12)="@hotmail.com",RIGHT(B8489,9)="@live.com"),"Outlook","Domain")))</f>
        <v/>
      </c>
      <c r="F8489">
        <f>IF(B8489="","",IFERROR(RIGHT(B8489,LEN(B8489)-FIND("@",B8489)),""))</f>
        <v/>
      </c>
      <c r="G8489">
        <f>IF(D8489="KEEP",COUNTIF($D$2:D8489,"KEEP"),"")</f>
        <v/>
      </c>
      <c r="H8489">
        <f>IF(D8489="REMOVE",COUNTIF($D$2:D8489,"REMOVE"),"")</f>
        <v/>
      </c>
      <c r="I8489">
        <f>IF(E8489="Gmail",COUNTIF($E$2:E8489,"Gmail"),"")</f>
        <v/>
      </c>
      <c r="J8489">
        <f>IF(E8489="Outlook",COUNTIF($E$2:E8489,"Outlook"),"")</f>
        <v/>
      </c>
      <c r="K8489">
        <f>IF(E8489="Domain",COUNTIF($E$2:E8489,"Domain"),"")</f>
        <v/>
      </c>
    </row>
    <row r="8490">
      <c r="A8490" s="2" t="n"/>
      <c r="B8490">
        <f>LOWER(TRIM(A8490))</f>
        <v/>
      </c>
      <c r="C8490">
        <f>IF(B8490="","",IFERROR(INDEX('Bad Patterns'!$A$2:$A$120,MATCH(1,INDEX(--ISNUMBER(SEARCH('Bad Patterns'!$A$2:$A$120,B8490)),0),0)),""))</f>
        <v/>
      </c>
      <c r="D8490">
        <f>IF(B8490="","",IF(C8490&lt;&gt;"","REMOVE","KEEP"))</f>
        <v/>
      </c>
      <c r="E8490">
        <f>IF(D8490&lt;&gt;"KEEP","",IF(RIGHT(B8490,10)="@gmail.com","Gmail",IF(OR(RIGHT(B8490,12)="@outlook.com",RIGHT(B8490,12)="@hotmail.com",RIGHT(B8490,9)="@live.com"),"Outlook","Domain")))</f>
        <v/>
      </c>
      <c r="F8490">
        <f>IF(B8490="","",IFERROR(RIGHT(B8490,LEN(B8490)-FIND("@",B8490)),""))</f>
        <v/>
      </c>
      <c r="G8490">
        <f>IF(D8490="KEEP",COUNTIF($D$2:D8490,"KEEP"),"")</f>
        <v/>
      </c>
      <c r="H8490">
        <f>IF(D8490="REMOVE",COUNTIF($D$2:D8490,"REMOVE"),"")</f>
        <v/>
      </c>
      <c r="I8490">
        <f>IF(E8490="Gmail",COUNTIF($E$2:E8490,"Gmail"),"")</f>
        <v/>
      </c>
      <c r="J8490">
        <f>IF(E8490="Outlook",COUNTIF($E$2:E8490,"Outlook"),"")</f>
        <v/>
      </c>
      <c r="K8490">
        <f>IF(E8490="Domain",COUNTIF($E$2:E8490,"Domain"),"")</f>
        <v/>
      </c>
    </row>
    <row r="8491">
      <c r="A8491" s="2" t="n"/>
      <c r="B8491">
        <f>LOWER(TRIM(A8491))</f>
        <v/>
      </c>
      <c r="C8491">
        <f>IF(B8491="","",IFERROR(INDEX('Bad Patterns'!$A$2:$A$120,MATCH(1,INDEX(--ISNUMBER(SEARCH('Bad Patterns'!$A$2:$A$120,B8491)),0),0)),""))</f>
        <v/>
      </c>
      <c r="D8491">
        <f>IF(B8491="","",IF(C8491&lt;&gt;"","REMOVE","KEEP"))</f>
        <v/>
      </c>
      <c r="E8491">
        <f>IF(D8491&lt;&gt;"KEEP","",IF(RIGHT(B8491,10)="@gmail.com","Gmail",IF(OR(RIGHT(B8491,12)="@outlook.com",RIGHT(B8491,12)="@hotmail.com",RIGHT(B8491,9)="@live.com"),"Outlook","Domain")))</f>
        <v/>
      </c>
      <c r="F8491">
        <f>IF(B8491="","",IFERROR(RIGHT(B8491,LEN(B8491)-FIND("@",B8491)),""))</f>
        <v/>
      </c>
      <c r="G8491">
        <f>IF(D8491="KEEP",COUNTIF($D$2:D8491,"KEEP"),"")</f>
        <v/>
      </c>
      <c r="H8491">
        <f>IF(D8491="REMOVE",COUNTIF($D$2:D8491,"REMOVE"),"")</f>
        <v/>
      </c>
      <c r="I8491">
        <f>IF(E8491="Gmail",COUNTIF($E$2:E8491,"Gmail"),"")</f>
        <v/>
      </c>
      <c r="J8491">
        <f>IF(E8491="Outlook",COUNTIF($E$2:E8491,"Outlook"),"")</f>
        <v/>
      </c>
      <c r="K8491">
        <f>IF(E8491="Domain",COUNTIF($E$2:E8491,"Domain"),"")</f>
        <v/>
      </c>
    </row>
    <row r="8492">
      <c r="A8492" s="2" t="n"/>
      <c r="B8492">
        <f>LOWER(TRIM(A8492))</f>
        <v/>
      </c>
      <c r="C8492">
        <f>IF(B8492="","",IFERROR(INDEX('Bad Patterns'!$A$2:$A$120,MATCH(1,INDEX(--ISNUMBER(SEARCH('Bad Patterns'!$A$2:$A$120,B8492)),0),0)),""))</f>
        <v/>
      </c>
      <c r="D8492">
        <f>IF(B8492="","",IF(C8492&lt;&gt;"","REMOVE","KEEP"))</f>
        <v/>
      </c>
      <c r="E8492">
        <f>IF(D8492&lt;&gt;"KEEP","",IF(RIGHT(B8492,10)="@gmail.com","Gmail",IF(OR(RIGHT(B8492,12)="@outlook.com",RIGHT(B8492,12)="@hotmail.com",RIGHT(B8492,9)="@live.com"),"Outlook","Domain")))</f>
        <v/>
      </c>
      <c r="F8492">
        <f>IF(B8492="","",IFERROR(RIGHT(B8492,LEN(B8492)-FIND("@",B8492)),""))</f>
        <v/>
      </c>
      <c r="G8492">
        <f>IF(D8492="KEEP",COUNTIF($D$2:D8492,"KEEP"),"")</f>
        <v/>
      </c>
      <c r="H8492">
        <f>IF(D8492="REMOVE",COUNTIF($D$2:D8492,"REMOVE"),"")</f>
        <v/>
      </c>
      <c r="I8492">
        <f>IF(E8492="Gmail",COUNTIF($E$2:E8492,"Gmail"),"")</f>
        <v/>
      </c>
      <c r="J8492">
        <f>IF(E8492="Outlook",COUNTIF($E$2:E8492,"Outlook"),"")</f>
        <v/>
      </c>
      <c r="K8492">
        <f>IF(E8492="Domain",COUNTIF($E$2:E8492,"Domain"),"")</f>
        <v/>
      </c>
    </row>
    <row r="8493">
      <c r="A8493" s="2" t="n"/>
      <c r="B8493">
        <f>LOWER(TRIM(A8493))</f>
        <v/>
      </c>
      <c r="C8493">
        <f>IF(B8493="","",IFERROR(INDEX('Bad Patterns'!$A$2:$A$120,MATCH(1,INDEX(--ISNUMBER(SEARCH('Bad Patterns'!$A$2:$A$120,B8493)),0),0)),""))</f>
        <v/>
      </c>
      <c r="D8493">
        <f>IF(B8493="","",IF(C8493&lt;&gt;"","REMOVE","KEEP"))</f>
        <v/>
      </c>
      <c r="E8493">
        <f>IF(D8493&lt;&gt;"KEEP","",IF(RIGHT(B8493,10)="@gmail.com","Gmail",IF(OR(RIGHT(B8493,12)="@outlook.com",RIGHT(B8493,12)="@hotmail.com",RIGHT(B8493,9)="@live.com"),"Outlook","Domain")))</f>
        <v/>
      </c>
      <c r="F8493">
        <f>IF(B8493="","",IFERROR(RIGHT(B8493,LEN(B8493)-FIND("@",B8493)),""))</f>
        <v/>
      </c>
      <c r="G8493">
        <f>IF(D8493="KEEP",COUNTIF($D$2:D8493,"KEEP"),"")</f>
        <v/>
      </c>
      <c r="H8493">
        <f>IF(D8493="REMOVE",COUNTIF($D$2:D8493,"REMOVE"),"")</f>
        <v/>
      </c>
      <c r="I8493">
        <f>IF(E8493="Gmail",COUNTIF($E$2:E8493,"Gmail"),"")</f>
        <v/>
      </c>
      <c r="J8493">
        <f>IF(E8493="Outlook",COUNTIF($E$2:E8493,"Outlook"),"")</f>
        <v/>
      </c>
      <c r="K8493">
        <f>IF(E8493="Domain",COUNTIF($E$2:E8493,"Domain"),"")</f>
        <v/>
      </c>
    </row>
    <row r="8494">
      <c r="A8494" s="2" t="n"/>
      <c r="B8494">
        <f>LOWER(TRIM(A8494))</f>
        <v/>
      </c>
      <c r="C8494">
        <f>IF(B8494="","",IFERROR(INDEX('Bad Patterns'!$A$2:$A$120,MATCH(1,INDEX(--ISNUMBER(SEARCH('Bad Patterns'!$A$2:$A$120,B8494)),0),0)),""))</f>
        <v/>
      </c>
      <c r="D8494">
        <f>IF(B8494="","",IF(C8494&lt;&gt;"","REMOVE","KEEP"))</f>
        <v/>
      </c>
      <c r="E8494">
        <f>IF(D8494&lt;&gt;"KEEP","",IF(RIGHT(B8494,10)="@gmail.com","Gmail",IF(OR(RIGHT(B8494,12)="@outlook.com",RIGHT(B8494,12)="@hotmail.com",RIGHT(B8494,9)="@live.com"),"Outlook","Domain")))</f>
        <v/>
      </c>
      <c r="F8494">
        <f>IF(B8494="","",IFERROR(RIGHT(B8494,LEN(B8494)-FIND("@",B8494)),""))</f>
        <v/>
      </c>
      <c r="G8494">
        <f>IF(D8494="KEEP",COUNTIF($D$2:D8494,"KEEP"),"")</f>
        <v/>
      </c>
      <c r="H8494">
        <f>IF(D8494="REMOVE",COUNTIF($D$2:D8494,"REMOVE"),"")</f>
        <v/>
      </c>
      <c r="I8494">
        <f>IF(E8494="Gmail",COUNTIF($E$2:E8494,"Gmail"),"")</f>
        <v/>
      </c>
      <c r="J8494">
        <f>IF(E8494="Outlook",COUNTIF($E$2:E8494,"Outlook"),"")</f>
        <v/>
      </c>
      <c r="K8494">
        <f>IF(E8494="Domain",COUNTIF($E$2:E8494,"Domain"),"")</f>
        <v/>
      </c>
    </row>
    <row r="8495">
      <c r="A8495" s="2" t="n"/>
      <c r="B8495">
        <f>LOWER(TRIM(A8495))</f>
        <v/>
      </c>
      <c r="C8495">
        <f>IF(B8495="","",IFERROR(INDEX('Bad Patterns'!$A$2:$A$120,MATCH(1,INDEX(--ISNUMBER(SEARCH('Bad Patterns'!$A$2:$A$120,B8495)),0),0)),""))</f>
        <v/>
      </c>
      <c r="D8495">
        <f>IF(B8495="","",IF(C8495&lt;&gt;"","REMOVE","KEEP"))</f>
        <v/>
      </c>
      <c r="E8495">
        <f>IF(D8495&lt;&gt;"KEEP","",IF(RIGHT(B8495,10)="@gmail.com","Gmail",IF(OR(RIGHT(B8495,12)="@outlook.com",RIGHT(B8495,12)="@hotmail.com",RIGHT(B8495,9)="@live.com"),"Outlook","Domain")))</f>
        <v/>
      </c>
      <c r="F8495">
        <f>IF(B8495="","",IFERROR(RIGHT(B8495,LEN(B8495)-FIND("@",B8495)),""))</f>
        <v/>
      </c>
      <c r="G8495">
        <f>IF(D8495="KEEP",COUNTIF($D$2:D8495,"KEEP"),"")</f>
        <v/>
      </c>
      <c r="H8495">
        <f>IF(D8495="REMOVE",COUNTIF($D$2:D8495,"REMOVE"),"")</f>
        <v/>
      </c>
      <c r="I8495">
        <f>IF(E8495="Gmail",COUNTIF($E$2:E8495,"Gmail"),"")</f>
        <v/>
      </c>
      <c r="J8495">
        <f>IF(E8495="Outlook",COUNTIF($E$2:E8495,"Outlook"),"")</f>
        <v/>
      </c>
      <c r="K8495">
        <f>IF(E8495="Domain",COUNTIF($E$2:E8495,"Domain"),"")</f>
        <v/>
      </c>
    </row>
    <row r="8496">
      <c r="A8496" s="2" t="n"/>
      <c r="B8496">
        <f>LOWER(TRIM(A8496))</f>
        <v/>
      </c>
      <c r="C8496">
        <f>IF(B8496="","",IFERROR(INDEX('Bad Patterns'!$A$2:$A$120,MATCH(1,INDEX(--ISNUMBER(SEARCH('Bad Patterns'!$A$2:$A$120,B8496)),0),0)),""))</f>
        <v/>
      </c>
      <c r="D8496">
        <f>IF(B8496="","",IF(C8496&lt;&gt;"","REMOVE","KEEP"))</f>
        <v/>
      </c>
      <c r="E8496">
        <f>IF(D8496&lt;&gt;"KEEP","",IF(RIGHT(B8496,10)="@gmail.com","Gmail",IF(OR(RIGHT(B8496,12)="@outlook.com",RIGHT(B8496,12)="@hotmail.com",RIGHT(B8496,9)="@live.com"),"Outlook","Domain")))</f>
        <v/>
      </c>
      <c r="F8496">
        <f>IF(B8496="","",IFERROR(RIGHT(B8496,LEN(B8496)-FIND("@",B8496)),""))</f>
        <v/>
      </c>
      <c r="G8496">
        <f>IF(D8496="KEEP",COUNTIF($D$2:D8496,"KEEP"),"")</f>
        <v/>
      </c>
      <c r="H8496">
        <f>IF(D8496="REMOVE",COUNTIF($D$2:D8496,"REMOVE"),"")</f>
        <v/>
      </c>
      <c r="I8496">
        <f>IF(E8496="Gmail",COUNTIF($E$2:E8496,"Gmail"),"")</f>
        <v/>
      </c>
      <c r="J8496">
        <f>IF(E8496="Outlook",COUNTIF($E$2:E8496,"Outlook"),"")</f>
        <v/>
      </c>
      <c r="K8496">
        <f>IF(E8496="Domain",COUNTIF($E$2:E8496,"Domain"),"")</f>
        <v/>
      </c>
    </row>
    <row r="8497">
      <c r="A8497" s="2" t="n"/>
      <c r="B8497">
        <f>LOWER(TRIM(A8497))</f>
        <v/>
      </c>
      <c r="C8497">
        <f>IF(B8497="","",IFERROR(INDEX('Bad Patterns'!$A$2:$A$120,MATCH(1,INDEX(--ISNUMBER(SEARCH('Bad Patterns'!$A$2:$A$120,B8497)),0),0)),""))</f>
        <v/>
      </c>
      <c r="D8497">
        <f>IF(B8497="","",IF(C8497&lt;&gt;"","REMOVE","KEEP"))</f>
        <v/>
      </c>
      <c r="E8497">
        <f>IF(D8497&lt;&gt;"KEEP","",IF(RIGHT(B8497,10)="@gmail.com","Gmail",IF(OR(RIGHT(B8497,12)="@outlook.com",RIGHT(B8497,12)="@hotmail.com",RIGHT(B8497,9)="@live.com"),"Outlook","Domain")))</f>
        <v/>
      </c>
      <c r="F8497">
        <f>IF(B8497="","",IFERROR(RIGHT(B8497,LEN(B8497)-FIND("@",B8497)),""))</f>
        <v/>
      </c>
      <c r="G8497">
        <f>IF(D8497="KEEP",COUNTIF($D$2:D8497,"KEEP"),"")</f>
        <v/>
      </c>
      <c r="H8497">
        <f>IF(D8497="REMOVE",COUNTIF($D$2:D8497,"REMOVE"),"")</f>
        <v/>
      </c>
      <c r="I8497">
        <f>IF(E8497="Gmail",COUNTIF($E$2:E8497,"Gmail"),"")</f>
        <v/>
      </c>
      <c r="J8497">
        <f>IF(E8497="Outlook",COUNTIF($E$2:E8497,"Outlook"),"")</f>
        <v/>
      </c>
      <c r="K8497">
        <f>IF(E8497="Domain",COUNTIF($E$2:E8497,"Domain"),"")</f>
        <v/>
      </c>
    </row>
    <row r="8498">
      <c r="A8498" s="2" t="n"/>
      <c r="B8498">
        <f>LOWER(TRIM(A8498))</f>
        <v/>
      </c>
      <c r="C8498">
        <f>IF(B8498="","",IFERROR(INDEX('Bad Patterns'!$A$2:$A$120,MATCH(1,INDEX(--ISNUMBER(SEARCH('Bad Patterns'!$A$2:$A$120,B8498)),0),0)),""))</f>
        <v/>
      </c>
      <c r="D8498">
        <f>IF(B8498="","",IF(C8498&lt;&gt;"","REMOVE","KEEP"))</f>
        <v/>
      </c>
      <c r="E8498">
        <f>IF(D8498&lt;&gt;"KEEP","",IF(RIGHT(B8498,10)="@gmail.com","Gmail",IF(OR(RIGHT(B8498,12)="@outlook.com",RIGHT(B8498,12)="@hotmail.com",RIGHT(B8498,9)="@live.com"),"Outlook","Domain")))</f>
        <v/>
      </c>
      <c r="F8498">
        <f>IF(B8498="","",IFERROR(RIGHT(B8498,LEN(B8498)-FIND("@",B8498)),""))</f>
        <v/>
      </c>
      <c r="G8498">
        <f>IF(D8498="KEEP",COUNTIF($D$2:D8498,"KEEP"),"")</f>
        <v/>
      </c>
      <c r="H8498">
        <f>IF(D8498="REMOVE",COUNTIF($D$2:D8498,"REMOVE"),"")</f>
        <v/>
      </c>
      <c r="I8498">
        <f>IF(E8498="Gmail",COUNTIF($E$2:E8498,"Gmail"),"")</f>
        <v/>
      </c>
      <c r="J8498">
        <f>IF(E8498="Outlook",COUNTIF($E$2:E8498,"Outlook"),"")</f>
        <v/>
      </c>
      <c r="K8498">
        <f>IF(E8498="Domain",COUNTIF($E$2:E8498,"Domain"),"")</f>
        <v/>
      </c>
    </row>
    <row r="8499">
      <c r="A8499" s="2" t="n"/>
      <c r="B8499">
        <f>LOWER(TRIM(A8499))</f>
        <v/>
      </c>
      <c r="C8499">
        <f>IF(B8499="","",IFERROR(INDEX('Bad Patterns'!$A$2:$A$120,MATCH(1,INDEX(--ISNUMBER(SEARCH('Bad Patterns'!$A$2:$A$120,B8499)),0),0)),""))</f>
        <v/>
      </c>
      <c r="D8499">
        <f>IF(B8499="","",IF(C8499&lt;&gt;"","REMOVE","KEEP"))</f>
        <v/>
      </c>
      <c r="E8499">
        <f>IF(D8499&lt;&gt;"KEEP","",IF(RIGHT(B8499,10)="@gmail.com","Gmail",IF(OR(RIGHT(B8499,12)="@outlook.com",RIGHT(B8499,12)="@hotmail.com",RIGHT(B8499,9)="@live.com"),"Outlook","Domain")))</f>
        <v/>
      </c>
      <c r="F8499">
        <f>IF(B8499="","",IFERROR(RIGHT(B8499,LEN(B8499)-FIND("@",B8499)),""))</f>
        <v/>
      </c>
      <c r="G8499">
        <f>IF(D8499="KEEP",COUNTIF($D$2:D8499,"KEEP"),"")</f>
        <v/>
      </c>
      <c r="H8499">
        <f>IF(D8499="REMOVE",COUNTIF($D$2:D8499,"REMOVE"),"")</f>
        <v/>
      </c>
      <c r="I8499">
        <f>IF(E8499="Gmail",COUNTIF($E$2:E8499,"Gmail"),"")</f>
        <v/>
      </c>
      <c r="J8499">
        <f>IF(E8499="Outlook",COUNTIF($E$2:E8499,"Outlook"),"")</f>
        <v/>
      </c>
      <c r="K8499">
        <f>IF(E8499="Domain",COUNTIF($E$2:E8499,"Domain"),"")</f>
        <v/>
      </c>
    </row>
    <row r="8500">
      <c r="A8500" s="2" t="n"/>
      <c r="B8500">
        <f>LOWER(TRIM(A8500))</f>
        <v/>
      </c>
      <c r="C8500">
        <f>IF(B8500="","",IFERROR(INDEX('Bad Patterns'!$A$2:$A$120,MATCH(1,INDEX(--ISNUMBER(SEARCH('Bad Patterns'!$A$2:$A$120,B8500)),0),0)),""))</f>
        <v/>
      </c>
      <c r="D8500">
        <f>IF(B8500="","",IF(C8500&lt;&gt;"","REMOVE","KEEP"))</f>
        <v/>
      </c>
      <c r="E8500">
        <f>IF(D8500&lt;&gt;"KEEP","",IF(RIGHT(B8500,10)="@gmail.com","Gmail",IF(OR(RIGHT(B8500,12)="@outlook.com",RIGHT(B8500,12)="@hotmail.com",RIGHT(B8500,9)="@live.com"),"Outlook","Domain")))</f>
        <v/>
      </c>
      <c r="F8500">
        <f>IF(B8500="","",IFERROR(RIGHT(B8500,LEN(B8500)-FIND("@",B8500)),""))</f>
        <v/>
      </c>
      <c r="G8500">
        <f>IF(D8500="KEEP",COUNTIF($D$2:D8500,"KEEP"),"")</f>
        <v/>
      </c>
      <c r="H8500">
        <f>IF(D8500="REMOVE",COUNTIF($D$2:D8500,"REMOVE"),"")</f>
        <v/>
      </c>
      <c r="I8500">
        <f>IF(E8500="Gmail",COUNTIF($E$2:E8500,"Gmail"),"")</f>
        <v/>
      </c>
      <c r="J8500">
        <f>IF(E8500="Outlook",COUNTIF($E$2:E8500,"Outlook"),"")</f>
        <v/>
      </c>
      <c r="K8500">
        <f>IF(E8500="Domain",COUNTIF($E$2:E8500,"Domain"),"")</f>
        <v/>
      </c>
    </row>
    <row r="8501">
      <c r="A8501" s="2" t="n"/>
      <c r="B8501">
        <f>LOWER(TRIM(A8501))</f>
        <v/>
      </c>
      <c r="C8501">
        <f>IF(B8501="","",IFERROR(INDEX('Bad Patterns'!$A$2:$A$120,MATCH(1,INDEX(--ISNUMBER(SEARCH('Bad Patterns'!$A$2:$A$120,B8501)),0),0)),""))</f>
        <v/>
      </c>
      <c r="D8501">
        <f>IF(B8501="","",IF(C8501&lt;&gt;"","REMOVE","KEEP"))</f>
        <v/>
      </c>
      <c r="E8501">
        <f>IF(D8501&lt;&gt;"KEEP","",IF(RIGHT(B8501,10)="@gmail.com","Gmail",IF(OR(RIGHT(B8501,12)="@outlook.com",RIGHT(B8501,12)="@hotmail.com",RIGHT(B8501,9)="@live.com"),"Outlook","Domain")))</f>
        <v/>
      </c>
      <c r="F8501">
        <f>IF(B8501="","",IFERROR(RIGHT(B8501,LEN(B8501)-FIND("@",B8501)),""))</f>
        <v/>
      </c>
      <c r="G8501">
        <f>IF(D8501="KEEP",COUNTIF($D$2:D8501,"KEEP"),"")</f>
        <v/>
      </c>
      <c r="H8501">
        <f>IF(D8501="REMOVE",COUNTIF($D$2:D8501,"REMOVE"),"")</f>
        <v/>
      </c>
      <c r="I8501">
        <f>IF(E8501="Gmail",COUNTIF($E$2:E8501,"Gmail"),"")</f>
        <v/>
      </c>
      <c r="J8501">
        <f>IF(E8501="Outlook",COUNTIF($E$2:E8501,"Outlook"),"")</f>
        <v/>
      </c>
      <c r="K8501">
        <f>IF(E8501="Domain",COUNTIF($E$2:E8501,"Domain"),"")</f>
        <v/>
      </c>
    </row>
    <row r="8502">
      <c r="A8502" s="2" t="n"/>
      <c r="B8502">
        <f>LOWER(TRIM(A8502))</f>
        <v/>
      </c>
      <c r="C8502">
        <f>IF(B8502="","",IFERROR(INDEX('Bad Patterns'!$A$2:$A$120,MATCH(1,INDEX(--ISNUMBER(SEARCH('Bad Patterns'!$A$2:$A$120,B8502)),0),0)),""))</f>
        <v/>
      </c>
      <c r="D8502">
        <f>IF(B8502="","",IF(C8502&lt;&gt;"","REMOVE","KEEP"))</f>
        <v/>
      </c>
      <c r="E8502">
        <f>IF(D8502&lt;&gt;"KEEP","",IF(RIGHT(B8502,10)="@gmail.com","Gmail",IF(OR(RIGHT(B8502,12)="@outlook.com",RIGHT(B8502,12)="@hotmail.com",RIGHT(B8502,9)="@live.com"),"Outlook","Domain")))</f>
        <v/>
      </c>
      <c r="F8502">
        <f>IF(B8502="","",IFERROR(RIGHT(B8502,LEN(B8502)-FIND("@",B8502)),""))</f>
        <v/>
      </c>
      <c r="G8502">
        <f>IF(D8502="KEEP",COUNTIF($D$2:D8502,"KEEP"),"")</f>
        <v/>
      </c>
      <c r="H8502">
        <f>IF(D8502="REMOVE",COUNTIF($D$2:D8502,"REMOVE"),"")</f>
        <v/>
      </c>
      <c r="I8502">
        <f>IF(E8502="Gmail",COUNTIF($E$2:E8502,"Gmail"),"")</f>
        <v/>
      </c>
      <c r="J8502">
        <f>IF(E8502="Outlook",COUNTIF($E$2:E8502,"Outlook"),"")</f>
        <v/>
      </c>
      <c r="K8502">
        <f>IF(E8502="Domain",COUNTIF($E$2:E8502,"Domain"),"")</f>
        <v/>
      </c>
    </row>
    <row r="8503">
      <c r="A8503" s="2" t="n"/>
      <c r="B8503">
        <f>LOWER(TRIM(A8503))</f>
        <v/>
      </c>
      <c r="C8503">
        <f>IF(B8503="","",IFERROR(INDEX('Bad Patterns'!$A$2:$A$120,MATCH(1,INDEX(--ISNUMBER(SEARCH('Bad Patterns'!$A$2:$A$120,B8503)),0),0)),""))</f>
        <v/>
      </c>
      <c r="D8503">
        <f>IF(B8503="","",IF(C8503&lt;&gt;"","REMOVE","KEEP"))</f>
        <v/>
      </c>
      <c r="E8503">
        <f>IF(D8503&lt;&gt;"KEEP","",IF(RIGHT(B8503,10)="@gmail.com","Gmail",IF(OR(RIGHT(B8503,12)="@outlook.com",RIGHT(B8503,12)="@hotmail.com",RIGHT(B8503,9)="@live.com"),"Outlook","Domain")))</f>
        <v/>
      </c>
      <c r="F8503">
        <f>IF(B8503="","",IFERROR(RIGHT(B8503,LEN(B8503)-FIND("@",B8503)),""))</f>
        <v/>
      </c>
      <c r="G8503">
        <f>IF(D8503="KEEP",COUNTIF($D$2:D8503,"KEEP"),"")</f>
        <v/>
      </c>
      <c r="H8503">
        <f>IF(D8503="REMOVE",COUNTIF($D$2:D8503,"REMOVE"),"")</f>
        <v/>
      </c>
      <c r="I8503">
        <f>IF(E8503="Gmail",COUNTIF($E$2:E8503,"Gmail"),"")</f>
        <v/>
      </c>
      <c r="J8503">
        <f>IF(E8503="Outlook",COUNTIF($E$2:E8503,"Outlook"),"")</f>
        <v/>
      </c>
      <c r="K8503">
        <f>IF(E8503="Domain",COUNTIF($E$2:E8503,"Domain"),"")</f>
        <v/>
      </c>
    </row>
    <row r="8504">
      <c r="A8504" s="2" t="n"/>
      <c r="B8504">
        <f>LOWER(TRIM(A8504))</f>
        <v/>
      </c>
      <c r="C8504">
        <f>IF(B8504="","",IFERROR(INDEX('Bad Patterns'!$A$2:$A$120,MATCH(1,INDEX(--ISNUMBER(SEARCH('Bad Patterns'!$A$2:$A$120,B8504)),0),0)),""))</f>
        <v/>
      </c>
      <c r="D8504">
        <f>IF(B8504="","",IF(C8504&lt;&gt;"","REMOVE","KEEP"))</f>
        <v/>
      </c>
      <c r="E8504">
        <f>IF(D8504&lt;&gt;"KEEP","",IF(RIGHT(B8504,10)="@gmail.com","Gmail",IF(OR(RIGHT(B8504,12)="@outlook.com",RIGHT(B8504,12)="@hotmail.com",RIGHT(B8504,9)="@live.com"),"Outlook","Domain")))</f>
        <v/>
      </c>
      <c r="F8504">
        <f>IF(B8504="","",IFERROR(RIGHT(B8504,LEN(B8504)-FIND("@",B8504)),""))</f>
        <v/>
      </c>
      <c r="G8504">
        <f>IF(D8504="KEEP",COUNTIF($D$2:D8504,"KEEP"),"")</f>
        <v/>
      </c>
      <c r="H8504">
        <f>IF(D8504="REMOVE",COUNTIF($D$2:D8504,"REMOVE"),"")</f>
        <v/>
      </c>
      <c r="I8504">
        <f>IF(E8504="Gmail",COUNTIF($E$2:E8504,"Gmail"),"")</f>
        <v/>
      </c>
      <c r="J8504">
        <f>IF(E8504="Outlook",COUNTIF($E$2:E8504,"Outlook"),"")</f>
        <v/>
      </c>
      <c r="K8504">
        <f>IF(E8504="Domain",COUNTIF($E$2:E8504,"Domain"),"")</f>
        <v/>
      </c>
    </row>
    <row r="8505">
      <c r="A8505" s="2" t="n"/>
      <c r="B8505">
        <f>LOWER(TRIM(A8505))</f>
        <v/>
      </c>
      <c r="C8505">
        <f>IF(B8505="","",IFERROR(INDEX('Bad Patterns'!$A$2:$A$120,MATCH(1,INDEX(--ISNUMBER(SEARCH('Bad Patterns'!$A$2:$A$120,B8505)),0),0)),""))</f>
        <v/>
      </c>
      <c r="D8505">
        <f>IF(B8505="","",IF(C8505&lt;&gt;"","REMOVE","KEEP"))</f>
        <v/>
      </c>
      <c r="E8505">
        <f>IF(D8505&lt;&gt;"KEEP","",IF(RIGHT(B8505,10)="@gmail.com","Gmail",IF(OR(RIGHT(B8505,12)="@outlook.com",RIGHT(B8505,12)="@hotmail.com",RIGHT(B8505,9)="@live.com"),"Outlook","Domain")))</f>
        <v/>
      </c>
      <c r="F8505">
        <f>IF(B8505="","",IFERROR(RIGHT(B8505,LEN(B8505)-FIND("@",B8505)),""))</f>
        <v/>
      </c>
      <c r="G8505">
        <f>IF(D8505="KEEP",COUNTIF($D$2:D8505,"KEEP"),"")</f>
        <v/>
      </c>
      <c r="H8505">
        <f>IF(D8505="REMOVE",COUNTIF($D$2:D8505,"REMOVE"),"")</f>
        <v/>
      </c>
      <c r="I8505">
        <f>IF(E8505="Gmail",COUNTIF($E$2:E8505,"Gmail"),"")</f>
        <v/>
      </c>
      <c r="J8505">
        <f>IF(E8505="Outlook",COUNTIF($E$2:E8505,"Outlook"),"")</f>
        <v/>
      </c>
      <c r="K8505">
        <f>IF(E8505="Domain",COUNTIF($E$2:E8505,"Domain"),"")</f>
        <v/>
      </c>
    </row>
    <row r="8506">
      <c r="A8506" s="2" t="n"/>
      <c r="B8506">
        <f>LOWER(TRIM(A8506))</f>
        <v/>
      </c>
      <c r="C8506">
        <f>IF(B8506="","",IFERROR(INDEX('Bad Patterns'!$A$2:$A$120,MATCH(1,INDEX(--ISNUMBER(SEARCH('Bad Patterns'!$A$2:$A$120,B8506)),0),0)),""))</f>
        <v/>
      </c>
      <c r="D8506">
        <f>IF(B8506="","",IF(C8506&lt;&gt;"","REMOVE","KEEP"))</f>
        <v/>
      </c>
      <c r="E8506">
        <f>IF(D8506&lt;&gt;"KEEP","",IF(RIGHT(B8506,10)="@gmail.com","Gmail",IF(OR(RIGHT(B8506,12)="@outlook.com",RIGHT(B8506,12)="@hotmail.com",RIGHT(B8506,9)="@live.com"),"Outlook","Domain")))</f>
        <v/>
      </c>
      <c r="F8506">
        <f>IF(B8506="","",IFERROR(RIGHT(B8506,LEN(B8506)-FIND("@",B8506)),""))</f>
        <v/>
      </c>
      <c r="G8506">
        <f>IF(D8506="KEEP",COUNTIF($D$2:D8506,"KEEP"),"")</f>
        <v/>
      </c>
      <c r="H8506">
        <f>IF(D8506="REMOVE",COUNTIF($D$2:D8506,"REMOVE"),"")</f>
        <v/>
      </c>
      <c r="I8506">
        <f>IF(E8506="Gmail",COUNTIF($E$2:E8506,"Gmail"),"")</f>
        <v/>
      </c>
      <c r="J8506">
        <f>IF(E8506="Outlook",COUNTIF($E$2:E8506,"Outlook"),"")</f>
        <v/>
      </c>
      <c r="K8506">
        <f>IF(E8506="Domain",COUNTIF($E$2:E8506,"Domain"),"")</f>
        <v/>
      </c>
    </row>
    <row r="8507">
      <c r="A8507" s="2" t="n"/>
      <c r="B8507">
        <f>LOWER(TRIM(A8507))</f>
        <v/>
      </c>
      <c r="C8507">
        <f>IF(B8507="","",IFERROR(INDEX('Bad Patterns'!$A$2:$A$120,MATCH(1,INDEX(--ISNUMBER(SEARCH('Bad Patterns'!$A$2:$A$120,B8507)),0),0)),""))</f>
        <v/>
      </c>
      <c r="D8507">
        <f>IF(B8507="","",IF(C8507&lt;&gt;"","REMOVE","KEEP"))</f>
        <v/>
      </c>
      <c r="E8507">
        <f>IF(D8507&lt;&gt;"KEEP","",IF(RIGHT(B8507,10)="@gmail.com","Gmail",IF(OR(RIGHT(B8507,12)="@outlook.com",RIGHT(B8507,12)="@hotmail.com",RIGHT(B8507,9)="@live.com"),"Outlook","Domain")))</f>
        <v/>
      </c>
      <c r="F8507">
        <f>IF(B8507="","",IFERROR(RIGHT(B8507,LEN(B8507)-FIND("@",B8507)),""))</f>
        <v/>
      </c>
      <c r="G8507">
        <f>IF(D8507="KEEP",COUNTIF($D$2:D8507,"KEEP"),"")</f>
        <v/>
      </c>
      <c r="H8507">
        <f>IF(D8507="REMOVE",COUNTIF($D$2:D8507,"REMOVE"),"")</f>
        <v/>
      </c>
      <c r="I8507">
        <f>IF(E8507="Gmail",COUNTIF($E$2:E8507,"Gmail"),"")</f>
        <v/>
      </c>
      <c r="J8507">
        <f>IF(E8507="Outlook",COUNTIF($E$2:E8507,"Outlook"),"")</f>
        <v/>
      </c>
      <c r="K8507">
        <f>IF(E8507="Domain",COUNTIF($E$2:E8507,"Domain"),"")</f>
        <v/>
      </c>
    </row>
    <row r="8508">
      <c r="A8508" s="2" t="n"/>
      <c r="B8508">
        <f>LOWER(TRIM(A8508))</f>
        <v/>
      </c>
      <c r="C8508">
        <f>IF(B8508="","",IFERROR(INDEX('Bad Patterns'!$A$2:$A$120,MATCH(1,INDEX(--ISNUMBER(SEARCH('Bad Patterns'!$A$2:$A$120,B8508)),0),0)),""))</f>
        <v/>
      </c>
      <c r="D8508">
        <f>IF(B8508="","",IF(C8508&lt;&gt;"","REMOVE","KEEP"))</f>
        <v/>
      </c>
      <c r="E8508">
        <f>IF(D8508&lt;&gt;"KEEP","",IF(RIGHT(B8508,10)="@gmail.com","Gmail",IF(OR(RIGHT(B8508,12)="@outlook.com",RIGHT(B8508,12)="@hotmail.com",RIGHT(B8508,9)="@live.com"),"Outlook","Domain")))</f>
        <v/>
      </c>
      <c r="F8508">
        <f>IF(B8508="","",IFERROR(RIGHT(B8508,LEN(B8508)-FIND("@",B8508)),""))</f>
        <v/>
      </c>
      <c r="G8508">
        <f>IF(D8508="KEEP",COUNTIF($D$2:D8508,"KEEP"),"")</f>
        <v/>
      </c>
      <c r="H8508">
        <f>IF(D8508="REMOVE",COUNTIF($D$2:D8508,"REMOVE"),"")</f>
        <v/>
      </c>
      <c r="I8508">
        <f>IF(E8508="Gmail",COUNTIF($E$2:E8508,"Gmail"),"")</f>
        <v/>
      </c>
      <c r="J8508">
        <f>IF(E8508="Outlook",COUNTIF($E$2:E8508,"Outlook"),"")</f>
        <v/>
      </c>
      <c r="K8508">
        <f>IF(E8508="Domain",COUNTIF($E$2:E8508,"Domain"),"")</f>
        <v/>
      </c>
    </row>
    <row r="8509">
      <c r="A8509" s="2" t="n"/>
      <c r="B8509">
        <f>LOWER(TRIM(A8509))</f>
        <v/>
      </c>
      <c r="C8509">
        <f>IF(B8509="","",IFERROR(INDEX('Bad Patterns'!$A$2:$A$120,MATCH(1,INDEX(--ISNUMBER(SEARCH('Bad Patterns'!$A$2:$A$120,B8509)),0),0)),""))</f>
        <v/>
      </c>
      <c r="D8509">
        <f>IF(B8509="","",IF(C8509&lt;&gt;"","REMOVE","KEEP"))</f>
        <v/>
      </c>
      <c r="E8509">
        <f>IF(D8509&lt;&gt;"KEEP","",IF(RIGHT(B8509,10)="@gmail.com","Gmail",IF(OR(RIGHT(B8509,12)="@outlook.com",RIGHT(B8509,12)="@hotmail.com",RIGHT(B8509,9)="@live.com"),"Outlook","Domain")))</f>
        <v/>
      </c>
      <c r="F8509">
        <f>IF(B8509="","",IFERROR(RIGHT(B8509,LEN(B8509)-FIND("@",B8509)),""))</f>
        <v/>
      </c>
      <c r="G8509">
        <f>IF(D8509="KEEP",COUNTIF($D$2:D8509,"KEEP"),"")</f>
        <v/>
      </c>
      <c r="H8509">
        <f>IF(D8509="REMOVE",COUNTIF($D$2:D8509,"REMOVE"),"")</f>
        <v/>
      </c>
      <c r="I8509">
        <f>IF(E8509="Gmail",COUNTIF($E$2:E8509,"Gmail"),"")</f>
        <v/>
      </c>
      <c r="J8509">
        <f>IF(E8509="Outlook",COUNTIF($E$2:E8509,"Outlook"),"")</f>
        <v/>
      </c>
      <c r="K8509">
        <f>IF(E8509="Domain",COUNTIF($E$2:E8509,"Domain"),"")</f>
        <v/>
      </c>
    </row>
    <row r="8510">
      <c r="A8510" s="2" t="n"/>
      <c r="B8510">
        <f>LOWER(TRIM(A8510))</f>
        <v/>
      </c>
      <c r="C8510">
        <f>IF(B8510="","",IFERROR(INDEX('Bad Patterns'!$A$2:$A$120,MATCH(1,INDEX(--ISNUMBER(SEARCH('Bad Patterns'!$A$2:$A$120,B8510)),0),0)),""))</f>
        <v/>
      </c>
      <c r="D8510">
        <f>IF(B8510="","",IF(C8510&lt;&gt;"","REMOVE","KEEP"))</f>
        <v/>
      </c>
      <c r="E8510">
        <f>IF(D8510&lt;&gt;"KEEP","",IF(RIGHT(B8510,10)="@gmail.com","Gmail",IF(OR(RIGHT(B8510,12)="@outlook.com",RIGHT(B8510,12)="@hotmail.com",RIGHT(B8510,9)="@live.com"),"Outlook","Domain")))</f>
        <v/>
      </c>
      <c r="F8510">
        <f>IF(B8510="","",IFERROR(RIGHT(B8510,LEN(B8510)-FIND("@",B8510)),""))</f>
        <v/>
      </c>
      <c r="G8510">
        <f>IF(D8510="KEEP",COUNTIF($D$2:D8510,"KEEP"),"")</f>
        <v/>
      </c>
      <c r="H8510">
        <f>IF(D8510="REMOVE",COUNTIF($D$2:D8510,"REMOVE"),"")</f>
        <v/>
      </c>
      <c r="I8510">
        <f>IF(E8510="Gmail",COUNTIF($E$2:E8510,"Gmail"),"")</f>
        <v/>
      </c>
      <c r="J8510">
        <f>IF(E8510="Outlook",COUNTIF($E$2:E8510,"Outlook"),"")</f>
        <v/>
      </c>
      <c r="K8510">
        <f>IF(E8510="Domain",COUNTIF($E$2:E8510,"Domain"),"")</f>
        <v/>
      </c>
    </row>
    <row r="8511">
      <c r="A8511" s="2" t="n"/>
      <c r="B8511">
        <f>LOWER(TRIM(A8511))</f>
        <v/>
      </c>
      <c r="C8511">
        <f>IF(B8511="","",IFERROR(INDEX('Bad Patterns'!$A$2:$A$120,MATCH(1,INDEX(--ISNUMBER(SEARCH('Bad Patterns'!$A$2:$A$120,B8511)),0),0)),""))</f>
        <v/>
      </c>
      <c r="D8511">
        <f>IF(B8511="","",IF(C8511&lt;&gt;"","REMOVE","KEEP"))</f>
        <v/>
      </c>
      <c r="E8511">
        <f>IF(D8511&lt;&gt;"KEEP","",IF(RIGHT(B8511,10)="@gmail.com","Gmail",IF(OR(RIGHT(B8511,12)="@outlook.com",RIGHT(B8511,12)="@hotmail.com",RIGHT(B8511,9)="@live.com"),"Outlook","Domain")))</f>
        <v/>
      </c>
      <c r="F8511">
        <f>IF(B8511="","",IFERROR(RIGHT(B8511,LEN(B8511)-FIND("@",B8511)),""))</f>
        <v/>
      </c>
      <c r="G8511">
        <f>IF(D8511="KEEP",COUNTIF($D$2:D8511,"KEEP"),"")</f>
        <v/>
      </c>
      <c r="H8511">
        <f>IF(D8511="REMOVE",COUNTIF($D$2:D8511,"REMOVE"),"")</f>
        <v/>
      </c>
      <c r="I8511">
        <f>IF(E8511="Gmail",COUNTIF($E$2:E8511,"Gmail"),"")</f>
        <v/>
      </c>
      <c r="J8511">
        <f>IF(E8511="Outlook",COUNTIF($E$2:E8511,"Outlook"),"")</f>
        <v/>
      </c>
      <c r="K8511">
        <f>IF(E8511="Domain",COUNTIF($E$2:E8511,"Domain"),"")</f>
        <v/>
      </c>
    </row>
    <row r="8512">
      <c r="A8512" s="2" t="n"/>
      <c r="B8512">
        <f>LOWER(TRIM(A8512))</f>
        <v/>
      </c>
      <c r="C8512">
        <f>IF(B8512="","",IFERROR(INDEX('Bad Patterns'!$A$2:$A$120,MATCH(1,INDEX(--ISNUMBER(SEARCH('Bad Patterns'!$A$2:$A$120,B8512)),0),0)),""))</f>
        <v/>
      </c>
      <c r="D8512">
        <f>IF(B8512="","",IF(C8512&lt;&gt;"","REMOVE","KEEP"))</f>
        <v/>
      </c>
      <c r="E8512">
        <f>IF(D8512&lt;&gt;"KEEP","",IF(RIGHT(B8512,10)="@gmail.com","Gmail",IF(OR(RIGHT(B8512,12)="@outlook.com",RIGHT(B8512,12)="@hotmail.com",RIGHT(B8512,9)="@live.com"),"Outlook","Domain")))</f>
        <v/>
      </c>
      <c r="F8512">
        <f>IF(B8512="","",IFERROR(RIGHT(B8512,LEN(B8512)-FIND("@",B8512)),""))</f>
        <v/>
      </c>
      <c r="G8512">
        <f>IF(D8512="KEEP",COUNTIF($D$2:D8512,"KEEP"),"")</f>
        <v/>
      </c>
      <c r="H8512">
        <f>IF(D8512="REMOVE",COUNTIF($D$2:D8512,"REMOVE"),"")</f>
        <v/>
      </c>
      <c r="I8512">
        <f>IF(E8512="Gmail",COUNTIF($E$2:E8512,"Gmail"),"")</f>
        <v/>
      </c>
      <c r="J8512">
        <f>IF(E8512="Outlook",COUNTIF($E$2:E8512,"Outlook"),"")</f>
        <v/>
      </c>
      <c r="K8512">
        <f>IF(E8512="Domain",COUNTIF($E$2:E8512,"Domain"),"")</f>
        <v/>
      </c>
    </row>
    <row r="8513">
      <c r="A8513" s="2" t="n"/>
      <c r="B8513">
        <f>LOWER(TRIM(A8513))</f>
        <v/>
      </c>
      <c r="C8513">
        <f>IF(B8513="","",IFERROR(INDEX('Bad Patterns'!$A$2:$A$120,MATCH(1,INDEX(--ISNUMBER(SEARCH('Bad Patterns'!$A$2:$A$120,B8513)),0),0)),""))</f>
        <v/>
      </c>
      <c r="D8513">
        <f>IF(B8513="","",IF(C8513&lt;&gt;"","REMOVE","KEEP"))</f>
        <v/>
      </c>
      <c r="E8513">
        <f>IF(D8513&lt;&gt;"KEEP","",IF(RIGHT(B8513,10)="@gmail.com","Gmail",IF(OR(RIGHT(B8513,12)="@outlook.com",RIGHT(B8513,12)="@hotmail.com",RIGHT(B8513,9)="@live.com"),"Outlook","Domain")))</f>
        <v/>
      </c>
      <c r="F8513">
        <f>IF(B8513="","",IFERROR(RIGHT(B8513,LEN(B8513)-FIND("@",B8513)),""))</f>
        <v/>
      </c>
      <c r="G8513">
        <f>IF(D8513="KEEP",COUNTIF($D$2:D8513,"KEEP"),"")</f>
        <v/>
      </c>
      <c r="H8513">
        <f>IF(D8513="REMOVE",COUNTIF($D$2:D8513,"REMOVE"),"")</f>
        <v/>
      </c>
      <c r="I8513">
        <f>IF(E8513="Gmail",COUNTIF($E$2:E8513,"Gmail"),"")</f>
        <v/>
      </c>
      <c r="J8513">
        <f>IF(E8513="Outlook",COUNTIF($E$2:E8513,"Outlook"),"")</f>
        <v/>
      </c>
      <c r="K8513">
        <f>IF(E8513="Domain",COUNTIF($E$2:E8513,"Domain"),"")</f>
        <v/>
      </c>
    </row>
    <row r="8514">
      <c r="A8514" s="2" t="n"/>
      <c r="B8514">
        <f>LOWER(TRIM(A8514))</f>
        <v/>
      </c>
      <c r="C8514">
        <f>IF(B8514="","",IFERROR(INDEX('Bad Patterns'!$A$2:$A$120,MATCH(1,INDEX(--ISNUMBER(SEARCH('Bad Patterns'!$A$2:$A$120,B8514)),0),0)),""))</f>
        <v/>
      </c>
      <c r="D8514">
        <f>IF(B8514="","",IF(C8514&lt;&gt;"","REMOVE","KEEP"))</f>
        <v/>
      </c>
      <c r="E8514">
        <f>IF(D8514&lt;&gt;"KEEP","",IF(RIGHT(B8514,10)="@gmail.com","Gmail",IF(OR(RIGHT(B8514,12)="@outlook.com",RIGHT(B8514,12)="@hotmail.com",RIGHT(B8514,9)="@live.com"),"Outlook","Domain")))</f>
        <v/>
      </c>
      <c r="F8514">
        <f>IF(B8514="","",IFERROR(RIGHT(B8514,LEN(B8514)-FIND("@",B8514)),""))</f>
        <v/>
      </c>
      <c r="G8514">
        <f>IF(D8514="KEEP",COUNTIF($D$2:D8514,"KEEP"),"")</f>
        <v/>
      </c>
      <c r="H8514">
        <f>IF(D8514="REMOVE",COUNTIF($D$2:D8514,"REMOVE"),"")</f>
        <v/>
      </c>
      <c r="I8514">
        <f>IF(E8514="Gmail",COUNTIF($E$2:E8514,"Gmail"),"")</f>
        <v/>
      </c>
      <c r="J8514">
        <f>IF(E8514="Outlook",COUNTIF($E$2:E8514,"Outlook"),"")</f>
        <v/>
      </c>
      <c r="K8514">
        <f>IF(E8514="Domain",COUNTIF($E$2:E8514,"Domain"),"")</f>
        <v/>
      </c>
    </row>
    <row r="8515">
      <c r="A8515" s="2" t="n"/>
      <c r="B8515">
        <f>LOWER(TRIM(A8515))</f>
        <v/>
      </c>
      <c r="C8515">
        <f>IF(B8515="","",IFERROR(INDEX('Bad Patterns'!$A$2:$A$120,MATCH(1,INDEX(--ISNUMBER(SEARCH('Bad Patterns'!$A$2:$A$120,B8515)),0),0)),""))</f>
        <v/>
      </c>
      <c r="D8515">
        <f>IF(B8515="","",IF(C8515&lt;&gt;"","REMOVE","KEEP"))</f>
        <v/>
      </c>
      <c r="E8515">
        <f>IF(D8515&lt;&gt;"KEEP","",IF(RIGHT(B8515,10)="@gmail.com","Gmail",IF(OR(RIGHT(B8515,12)="@outlook.com",RIGHT(B8515,12)="@hotmail.com",RIGHT(B8515,9)="@live.com"),"Outlook","Domain")))</f>
        <v/>
      </c>
      <c r="F8515">
        <f>IF(B8515="","",IFERROR(RIGHT(B8515,LEN(B8515)-FIND("@",B8515)),""))</f>
        <v/>
      </c>
      <c r="G8515">
        <f>IF(D8515="KEEP",COUNTIF($D$2:D8515,"KEEP"),"")</f>
        <v/>
      </c>
      <c r="H8515">
        <f>IF(D8515="REMOVE",COUNTIF($D$2:D8515,"REMOVE"),"")</f>
        <v/>
      </c>
      <c r="I8515">
        <f>IF(E8515="Gmail",COUNTIF($E$2:E8515,"Gmail"),"")</f>
        <v/>
      </c>
      <c r="J8515">
        <f>IF(E8515="Outlook",COUNTIF($E$2:E8515,"Outlook"),"")</f>
        <v/>
      </c>
      <c r="K8515">
        <f>IF(E8515="Domain",COUNTIF($E$2:E8515,"Domain"),"")</f>
        <v/>
      </c>
    </row>
    <row r="8516">
      <c r="A8516" s="2" t="n"/>
      <c r="B8516">
        <f>LOWER(TRIM(A8516))</f>
        <v/>
      </c>
      <c r="C8516">
        <f>IF(B8516="","",IFERROR(INDEX('Bad Patterns'!$A$2:$A$120,MATCH(1,INDEX(--ISNUMBER(SEARCH('Bad Patterns'!$A$2:$A$120,B8516)),0),0)),""))</f>
        <v/>
      </c>
      <c r="D8516">
        <f>IF(B8516="","",IF(C8516&lt;&gt;"","REMOVE","KEEP"))</f>
        <v/>
      </c>
      <c r="E8516">
        <f>IF(D8516&lt;&gt;"KEEP","",IF(RIGHT(B8516,10)="@gmail.com","Gmail",IF(OR(RIGHT(B8516,12)="@outlook.com",RIGHT(B8516,12)="@hotmail.com",RIGHT(B8516,9)="@live.com"),"Outlook","Domain")))</f>
        <v/>
      </c>
      <c r="F8516">
        <f>IF(B8516="","",IFERROR(RIGHT(B8516,LEN(B8516)-FIND("@",B8516)),""))</f>
        <v/>
      </c>
      <c r="G8516">
        <f>IF(D8516="KEEP",COUNTIF($D$2:D8516,"KEEP"),"")</f>
        <v/>
      </c>
      <c r="H8516">
        <f>IF(D8516="REMOVE",COUNTIF($D$2:D8516,"REMOVE"),"")</f>
        <v/>
      </c>
      <c r="I8516">
        <f>IF(E8516="Gmail",COUNTIF($E$2:E8516,"Gmail"),"")</f>
        <v/>
      </c>
      <c r="J8516">
        <f>IF(E8516="Outlook",COUNTIF($E$2:E8516,"Outlook"),"")</f>
        <v/>
      </c>
      <c r="K8516">
        <f>IF(E8516="Domain",COUNTIF($E$2:E8516,"Domain"),"")</f>
        <v/>
      </c>
    </row>
    <row r="8517">
      <c r="A8517" s="2" t="n"/>
      <c r="B8517">
        <f>LOWER(TRIM(A8517))</f>
        <v/>
      </c>
      <c r="C8517">
        <f>IF(B8517="","",IFERROR(INDEX('Bad Patterns'!$A$2:$A$120,MATCH(1,INDEX(--ISNUMBER(SEARCH('Bad Patterns'!$A$2:$A$120,B8517)),0),0)),""))</f>
        <v/>
      </c>
      <c r="D8517">
        <f>IF(B8517="","",IF(C8517&lt;&gt;"","REMOVE","KEEP"))</f>
        <v/>
      </c>
      <c r="E8517">
        <f>IF(D8517&lt;&gt;"KEEP","",IF(RIGHT(B8517,10)="@gmail.com","Gmail",IF(OR(RIGHT(B8517,12)="@outlook.com",RIGHT(B8517,12)="@hotmail.com",RIGHT(B8517,9)="@live.com"),"Outlook","Domain")))</f>
        <v/>
      </c>
      <c r="F8517">
        <f>IF(B8517="","",IFERROR(RIGHT(B8517,LEN(B8517)-FIND("@",B8517)),""))</f>
        <v/>
      </c>
      <c r="G8517">
        <f>IF(D8517="KEEP",COUNTIF($D$2:D8517,"KEEP"),"")</f>
        <v/>
      </c>
      <c r="H8517">
        <f>IF(D8517="REMOVE",COUNTIF($D$2:D8517,"REMOVE"),"")</f>
        <v/>
      </c>
      <c r="I8517">
        <f>IF(E8517="Gmail",COUNTIF($E$2:E8517,"Gmail"),"")</f>
        <v/>
      </c>
      <c r="J8517">
        <f>IF(E8517="Outlook",COUNTIF($E$2:E8517,"Outlook"),"")</f>
        <v/>
      </c>
      <c r="K8517">
        <f>IF(E8517="Domain",COUNTIF($E$2:E8517,"Domain"),"")</f>
        <v/>
      </c>
    </row>
    <row r="8518">
      <c r="A8518" s="2" t="n"/>
      <c r="B8518">
        <f>LOWER(TRIM(A8518))</f>
        <v/>
      </c>
      <c r="C8518">
        <f>IF(B8518="","",IFERROR(INDEX('Bad Patterns'!$A$2:$A$120,MATCH(1,INDEX(--ISNUMBER(SEARCH('Bad Patterns'!$A$2:$A$120,B8518)),0),0)),""))</f>
        <v/>
      </c>
      <c r="D8518">
        <f>IF(B8518="","",IF(C8518&lt;&gt;"","REMOVE","KEEP"))</f>
        <v/>
      </c>
      <c r="E8518">
        <f>IF(D8518&lt;&gt;"KEEP","",IF(RIGHT(B8518,10)="@gmail.com","Gmail",IF(OR(RIGHT(B8518,12)="@outlook.com",RIGHT(B8518,12)="@hotmail.com",RIGHT(B8518,9)="@live.com"),"Outlook","Domain")))</f>
        <v/>
      </c>
      <c r="F8518">
        <f>IF(B8518="","",IFERROR(RIGHT(B8518,LEN(B8518)-FIND("@",B8518)),""))</f>
        <v/>
      </c>
      <c r="G8518">
        <f>IF(D8518="KEEP",COUNTIF($D$2:D8518,"KEEP"),"")</f>
        <v/>
      </c>
      <c r="H8518">
        <f>IF(D8518="REMOVE",COUNTIF($D$2:D8518,"REMOVE"),"")</f>
        <v/>
      </c>
      <c r="I8518">
        <f>IF(E8518="Gmail",COUNTIF($E$2:E8518,"Gmail"),"")</f>
        <v/>
      </c>
      <c r="J8518">
        <f>IF(E8518="Outlook",COUNTIF($E$2:E8518,"Outlook"),"")</f>
        <v/>
      </c>
      <c r="K8518">
        <f>IF(E8518="Domain",COUNTIF($E$2:E8518,"Domain"),"")</f>
        <v/>
      </c>
    </row>
    <row r="8519">
      <c r="A8519" s="2" t="n"/>
      <c r="B8519">
        <f>LOWER(TRIM(A8519))</f>
        <v/>
      </c>
      <c r="C8519">
        <f>IF(B8519="","",IFERROR(INDEX('Bad Patterns'!$A$2:$A$120,MATCH(1,INDEX(--ISNUMBER(SEARCH('Bad Patterns'!$A$2:$A$120,B8519)),0),0)),""))</f>
        <v/>
      </c>
      <c r="D8519">
        <f>IF(B8519="","",IF(C8519&lt;&gt;"","REMOVE","KEEP"))</f>
        <v/>
      </c>
      <c r="E8519">
        <f>IF(D8519&lt;&gt;"KEEP","",IF(RIGHT(B8519,10)="@gmail.com","Gmail",IF(OR(RIGHT(B8519,12)="@outlook.com",RIGHT(B8519,12)="@hotmail.com",RIGHT(B8519,9)="@live.com"),"Outlook","Domain")))</f>
        <v/>
      </c>
      <c r="F8519">
        <f>IF(B8519="","",IFERROR(RIGHT(B8519,LEN(B8519)-FIND("@",B8519)),""))</f>
        <v/>
      </c>
      <c r="G8519">
        <f>IF(D8519="KEEP",COUNTIF($D$2:D8519,"KEEP"),"")</f>
        <v/>
      </c>
      <c r="H8519">
        <f>IF(D8519="REMOVE",COUNTIF($D$2:D8519,"REMOVE"),"")</f>
        <v/>
      </c>
      <c r="I8519">
        <f>IF(E8519="Gmail",COUNTIF($E$2:E8519,"Gmail"),"")</f>
        <v/>
      </c>
      <c r="J8519">
        <f>IF(E8519="Outlook",COUNTIF($E$2:E8519,"Outlook"),"")</f>
        <v/>
      </c>
      <c r="K8519">
        <f>IF(E8519="Domain",COUNTIF($E$2:E8519,"Domain"),"")</f>
        <v/>
      </c>
    </row>
    <row r="8520">
      <c r="A8520" s="2" t="n"/>
      <c r="B8520">
        <f>LOWER(TRIM(A8520))</f>
        <v/>
      </c>
      <c r="C8520">
        <f>IF(B8520="","",IFERROR(INDEX('Bad Patterns'!$A$2:$A$120,MATCH(1,INDEX(--ISNUMBER(SEARCH('Bad Patterns'!$A$2:$A$120,B8520)),0),0)),""))</f>
        <v/>
      </c>
      <c r="D8520">
        <f>IF(B8520="","",IF(C8520&lt;&gt;"","REMOVE","KEEP"))</f>
        <v/>
      </c>
      <c r="E8520">
        <f>IF(D8520&lt;&gt;"KEEP","",IF(RIGHT(B8520,10)="@gmail.com","Gmail",IF(OR(RIGHT(B8520,12)="@outlook.com",RIGHT(B8520,12)="@hotmail.com",RIGHT(B8520,9)="@live.com"),"Outlook","Domain")))</f>
        <v/>
      </c>
      <c r="F8520">
        <f>IF(B8520="","",IFERROR(RIGHT(B8520,LEN(B8520)-FIND("@",B8520)),""))</f>
        <v/>
      </c>
      <c r="G8520">
        <f>IF(D8520="KEEP",COUNTIF($D$2:D8520,"KEEP"),"")</f>
        <v/>
      </c>
      <c r="H8520">
        <f>IF(D8520="REMOVE",COUNTIF($D$2:D8520,"REMOVE"),"")</f>
        <v/>
      </c>
      <c r="I8520">
        <f>IF(E8520="Gmail",COUNTIF($E$2:E8520,"Gmail"),"")</f>
        <v/>
      </c>
      <c r="J8520">
        <f>IF(E8520="Outlook",COUNTIF($E$2:E8520,"Outlook"),"")</f>
        <v/>
      </c>
      <c r="K8520">
        <f>IF(E8520="Domain",COUNTIF($E$2:E8520,"Domain"),"")</f>
        <v/>
      </c>
    </row>
    <row r="8521">
      <c r="A8521" s="2" t="n"/>
      <c r="B8521">
        <f>LOWER(TRIM(A8521))</f>
        <v/>
      </c>
      <c r="C8521">
        <f>IF(B8521="","",IFERROR(INDEX('Bad Patterns'!$A$2:$A$120,MATCH(1,INDEX(--ISNUMBER(SEARCH('Bad Patterns'!$A$2:$A$120,B8521)),0),0)),""))</f>
        <v/>
      </c>
      <c r="D8521">
        <f>IF(B8521="","",IF(C8521&lt;&gt;"","REMOVE","KEEP"))</f>
        <v/>
      </c>
      <c r="E8521">
        <f>IF(D8521&lt;&gt;"KEEP","",IF(RIGHT(B8521,10)="@gmail.com","Gmail",IF(OR(RIGHT(B8521,12)="@outlook.com",RIGHT(B8521,12)="@hotmail.com",RIGHT(B8521,9)="@live.com"),"Outlook","Domain")))</f>
        <v/>
      </c>
      <c r="F8521">
        <f>IF(B8521="","",IFERROR(RIGHT(B8521,LEN(B8521)-FIND("@",B8521)),""))</f>
        <v/>
      </c>
      <c r="G8521">
        <f>IF(D8521="KEEP",COUNTIF($D$2:D8521,"KEEP"),"")</f>
        <v/>
      </c>
      <c r="H8521">
        <f>IF(D8521="REMOVE",COUNTIF($D$2:D8521,"REMOVE"),"")</f>
        <v/>
      </c>
      <c r="I8521">
        <f>IF(E8521="Gmail",COUNTIF($E$2:E8521,"Gmail"),"")</f>
        <v/>
      </c>
      <c r="J8521">
        <f>IF(E8521="Outlook",COUNTIF($E$2:E8521,"Outlook"),"")</f>
        <v/>
      </c>
      <c r="K8521">
        <f>IF(E8521="Domain",COUNTIF($E$2:E8521,"Domain"),"")</f>
        <v/>
      </c>
    </row>
    <row r="8522">
      <c r="A8522" s="2" t="n"/>
      <c r="B8522">
        <f>LOWER(TRIM(A8522))</f>
        <v/>
      </c>
      <c r="C8522">
        <f>IF(B8522="","",IFERROR(INDEX('Bad Patterns'!$A$2:$A$120,MATCH(1,INDEX(--ISNUMBER(SEARCH('Bad Patterns'!$A$2:$A$120,B8522)),0),0)),""))</f>
        <v/>
      </c>
      <c r="D8522">
        <f>IF(B8522="","",IF(C8522&lt;&gt;"","REMOVE","KEEP"))</f>
        <v/>
      </c>
      <c r="E8522">
        <f>IF(D8522&lt;&gt;"KEEP","",IF(RIGHT(B8522,10)="@gmail.com","Gmail",IF(OR(RIGHT(B8522,12)="@outlook.com",RIGHT(B8522,12)="@hotmail.com",RIGHT(B8522,9)="@live.com"),"Outlook","Domain")))</f>
        <v/>
      </c>
      <c r="F8522">
        <f>IF(B8522="","",IFERROR(RIGHT(B8522,LEN(B8522)-FIND("@",B8522)),""))</f>
        <v/>
      </c>
      <c r="G8522">
        <f>IF(D8522="KEEP",COUNTIF($D$2:D8522,"KEEP"),"")</f>
        <v/>
      </c>
      <c r="H8522">
        <f>IF(D8522="REMOVE",COUNTIF($D$2:D8522,"REMOVE"),"")</f>
        <v/>
      </c>
      <c r="I8522">
        <f>IF(E8522="Gmail",COUNTIF($E$2:E8522,"Gmail"),"")</f>
        <v/>
      </c>
      <c r="J8522">
        <f>IF(E8522="Outlook",COUNTIF($E$2:E8522,"Outlook"),"")</f>
        <v/>
      </c>
      <c r="K8522">
        <f>IF(E8522="Domain",COUNTIF($E$2:E8522,"Domain"),"")</f>
        <v/>
      </c>
    </row>
    <row r="8523">
      <c r="A8523" s="2" t="n"/>
      <c r="B8523">
        <f>LOWER(TRIM(A8523))</f>
        <v/>
      </c>
      <c r="C8523">
        <f>IF(B8523="","",IFERROR(INDEX('Bad Patterns'!$A$2:$A$120,MATCH(1,INDEX(--ISNUMBER(SEARCH('Bad Patterns'!$A$2:$A$120,B8523)),0),0)),""))</f>
        <v/>
      </c>
      <c r="D8523">
        <f>IF(B8523="","",IF(C8523&lt;&gt;"","REMOVE","KEEP"))</f>
        <v/>
      </c>
      <c r="E8523">
        <f>IF(D8523&lt;&gt;"KEEP","",IF(RIGHT(B8523,10)="@gmail.com","Gmail",IF(OR(RIGHT(B8523,12)="@outlook.com",RIGHT(B8523,12)="@hotmail.com",RIGHT(B8523,9)="@live.com"),"Outlook","Domain")))</f>
        <v/>
      </c>
      <c r="F8523">
        <f>IF(B8523="","",IFERROR(RIGHT(B8523,LEN(B8523)-FIND("@",B8523)),""))</f>
        <v/>
      </c>
      <c r="G8523">
        <f>IF(D8523="KEEP",COUNTIF($D$2:D8523,"KEEP"),"")</f>
        <v/>
      </c>
      <c r="H8523">
        <f>IF(D8523="REMOVE",COUNTIF($D$2:D8523,"REMOVE"),"")</f>
        <v/>
      </c>
      <c r="I8523">
        <f>IF(E8523="Gmail",COUNTIF($E$2:E8523,"Gmail"),"")</f>
        <v/>
      </c>
      <c r="J8523">
        <f>IF(E8523="Outlook",COUNTIF($E$2:E8523,"Outlook"),"")</f>
        <v/>
      </c>
      <c r="K8523">
        <f>IF(E8523="Domain",COUNTIF($E$2:E8523,"Domain"),"")</f>
        <v/>
      </c>
    </row>
    <row r="8524">
      <c r="A8524" s="2" t="n"/>
      <c r="B8524">
        <f>LOWER(TRIM(A8524))</f>
        <v/>
      </c>
      <c r="C8524">
        <f>IF(B8524="","",IFERROR(INDEX('Bad Patterns'!$A$2:$A$120,MATCH(1,INDEX(--ISNUMBER(SEARCH('Bad Patterns'!$A$2:$A$120,B8524)),0),0)),""))</f>
        <v/>
      </c>
      <c r="D8524">
        <f>IF(B8524="","",IF(C8524&lt;&gt;"","REMOVE","KEEP"))</f>
        <v/>
      </c>
      <c r="E8524">
        <f>IF(D8524&lt;&gt;"KEEP","",IF(RIGHT(B8524,10)="@gmail.com","Gmail",IF(OR(RIGHT(B8524,12)="@outlook.com",RIGHT(B8524,12)="@hotmail.com",RIGHT(B8524,9)="@live.com"),"Outlook","Domain")))</f>
        <v/>
      </c>
      <c r="F8524">
        <f>IF(B8524="","",IFERROR(RIGHT(B8524,LEN(B8524)-FIND("@",B8524)),""))</f>
        <v/>
      </c>
      <c r="G8524">
        <f>IF(D8524="KEEP",COUNTIF($D$2:D8524,"KEEP"),"")</f>
        <v/>
      </c>
      <c r="H8524">
        <f>IF(D8524="REMOVE",COUNTIF($D$2:D8524,"REMOVE"),"")</f>
        <v/>
      </c>
      <c r="I8524">
        <f>IF(E8524="Gmail",COUNTIF($E$2:E8524,"Gmail"),"")</f>
        <v/>
      </c>
      <c r="J8524">
        <f>IF(E8524="Outlook",COUNTIF($E$2:E8524,"Outlook"),"")</f>
        <v/>
      </c>
      <c r="K8524">
        <f>IF(E8524="Domain",COUNTIF($E$2:E8524,"Domain"),"")</f>
        <v/>
      </c>
    </row>
    <row r="8525">
      <c r="A8525" s="2" t="n"/>
      <c r="B8525">
        <f>LOWER(TRIM(A8525))</f>
        <v/>
      </c>
      <c r="C8525">
        <f>IF(B8525="","",IFERROR(INDEX('Bad Patterns'!$A$2:$A$120,MATCH(1,INDEX(--ISNUMBER(SEARCH('Bad Patterns'!$A$2:$A$120,B8525)),0),0)),""))</f>
        <v/>
      </c>
      <c r="D8525">
        <f>IF(B8525="","",IF(C8525&lt;&gt;"","REMOVE","KEEP"))</f>
        <v/>
      </c>
      <c r="E8525">
        <f>IF(D8525&lt;&gt;"KEEP","",IF(RIGHT(B8525,10)="@gmail.com","Gmail",IF(OR(RIGHT(B8525,12)="@outlook.com",RIGHT(B8525,12)="@hotmail.com",RIGHT(B8525,9)="@live.com"),"Outlook","Domain")))</f>
        <v/>
      </c>
      <c r="F8525">
        <f>IF(B8525="","",IFERROR(RIGHT(B8525,LEN(B8525)-FIND("@",B8525)),""))</f>
        <v/>
      </c>
      <c r="G8525">
        <f>IF(D8525="KEEP",COUNTIF($D$2:D8525,"KEEP"),"")</f>
        <v/>
      </c>
      <c r="H8525">
        <f>IF(D8525="REMOVE",COUNTIF($D$2:D8525,"REMOVE"),"")</f>
        <v/>
      </c>
      <c r="I8525">
        <f>IF(E8525="Gmail",COUNTIF($E$2:E8525,"Gmail"),"")</f>
        <v/>
      </c>
      <c r="J8525">
        <f>IF(E8525="Outlook",COUNTIF($E$2:E8525,"Outlook"),"")</f>
        <v/>
      </c>
      <c r="K8525">
        <f>IF(E8525="Domain",COUNTIF($E$2:E8525,"Domain"),"")</f>
        <v/>
      </c>
    </row>
    <row r="8526">
      <c r="A8526" s="2" t="n"/>
      <c r="B8526">
        <f>LOWER(TRIM(A8526))</f>
        <v/>
      </c>
      <c r="C8526">
        <f>IF(B8526="","",IFERROR(INDEX('Bad Patterns'!$A$2:$A$120,MATCH(1,INDEX(--ISNUMBER(SEARCH('Bad Patterns'!$A$2:$A$120,B8526)),0),0)),""))</f>
        <v/>
      </c>
      <c r="D8526">
        <f>IF(B8526="","",IF(C8526&lt;&gt;"","REMOVE","KEEP"))</f>
        <v/>
      </c>
      <c r="E8526">
        <f>IF(D8526&lt;&gt;"KEEP","",IF(RIGHT(B8526,10)="@gmail.com","Gmail",IF(OR(RIGHT(B8526,12)="@outlook.com",RIGHT(B8526,12)="@hotmail.com",RIGHT(B8526,9)="@live.com"),"Outlook","Domain")))</f>
        <v/>
      </c>
      <c r="F8526">
        <f>IF(B8526="","",IFERROR(RIGHT(B8526,LEN(B8526)-FIND("@",B8526)),""))</f>
        <v/>
      </c>
      <c r="G8526">
        <f>IF(D8526="KEEP",COUNTIF($D$2:D8526,"KEEP"),"")</f>
        <v/>
      </c>
      <c r="H8526">
        <f>IF(D8526="REMOVE",COUNTIF($D$2:D8526,"REMOVE"),"")</f>
        <v/>
      </c>
      <c r="I8526">
        <f>IF(E8526="Gmail",COUNTIF($E$2:E8526,"Gmail"),"")</f>
        <v/>
      </c>
      <c r="J8526">
        <f>IF(E8526="Outlook",COUNTIF($E$2:E8526,"Outlook"),"")</f>
        <v/>
      </c>
      <c r="K8526">
        <f>IF(E8526="Domain",COUNTIF($E$2:E8526,"Domain"),"")</f>
        <v/>
      </c>
    </row>
    <row r="8527">
      <c r="A8527" s="2" t="n"/>
      <c r="B8527">
        <f>LOWER(TRIM(A8527))</f>
        <v/>
      </c>
      <c r="C8527">
        <f>IF(B8527="","",IFERROR(INDEX('Bad Patterns'!$A$2:$A$120,MATCH(1,INDEX(--ISNUMBER(SEARCH('Bad Patterns'!$A$2:$A$120,B8527)),0),0)),""))</f>
        <v/>
      </c>
      <c r="D8527">
        <f>IF(B8527="","",IF(C8527&lt;&gt;"","REMOVE","KEEP"))</f>
        <v/>
      </c>
      <c r="E8527">
        <f>IF(D8527&lt;&gt;"KEEP","",IF(RIGHT(B8527,10)="@gmail.com","Gmail",IF(OR(RIGHT(B8527,12)="@outlook.com",RIGHT(B8527,12)="@hotmail.com",RIGHT(B8527,9)="@live.com"),"Outlook","Domain")))</f>
        <v/>
      </c>
      <c r="F8527">
        <f>IF(B8527="","",IFERROR(RIGHT(B8527,LEN(B8527)-FIND("@",B8527)),""))</f>
        <v/>
      </c>
      <c r="G8527">
        <f>IF(D8527="KEEP",COUNTIF($D$2:D8527,"KEEP"),"")</f>
        <v/>
      </c>
      <c r="H8527">
        <f>IF(D8527="REMOVE",COUNTIF($D$2:D8527,"REMOVE"),"")</f>
        <v/>
      </c>
      <c r="I8527">
        <f>IF(E8527="Gmail",COUNTIF($E$2:E8527,"Gmail"),"")</f>
        <v/>
      </c>
      <c r="J8527">
        <f>IF(E8527="Outlook",COUNTIF($E$2:E8527,"Outlook"),"")</f>
        <v/>
      </c>
      <c r="K8527">
        <f>IF(E8527="Domain",COUNTIF($E$2:E8527,"Domain"),"")</f>
        <v/>
      </c>
    </row>
    <row r="8528">
      <c r="A8528" s="2" t="n"/>
      <c r="B8528">
        <f>LOWER(TRIM(A8528))</f>
        <v/>
      </c>
      <c r="C8528">
        <f>IF(B8528="","",IFERROR(INDEX('Bad Patterns'!$A$2:$A$120,MATCH(1,INDEX(--ISNUMBER(SEARCH('Bad Patterns'!$A$2:$A$120,B8528)),0),0)),""))</f>
        <v/>
      </c>
      <c r="D8528">
        <f>IF(B8528="","",IF(C8528&lt;&gt;"","REMOVE","KEEP"))</f>
        <v/>
      </c>
      <c r="E8528">
        <f>IF(D8528&lt;&gt;"KEEP","",IF(RIGHT(B8528,10)="@gmail.com","Gmail",IF(OR(RIGHT(B8528,12)="@outlook.com",RIGHT(B8528,12)="@hotmail.com",RIGHT(B8528,9)="@live.com"),"Outlook","Domain")))</f>
        <v/>
      </c>
      <c r="F8528">
        <f>IF(B8528="","",IFERROR(RIGHT(B8528,LEN(B8528)-FIND("@",B8528)),""))</f>
        <v/>
      </c>
      <c r="G8528">
        <f>IF(D8528="KEEP",COUNTIF($D$2:D8528,"KEEP"),"")</f>
        <v/>
      </c>
      <c r="H8528">
        <f>IF(D8528="REMOVE",COUNTIF($D$2:D8528,"REMOVE"),"")</f>
        <v/>
      </c>
      <c r="I8528">
        <f>IF(E8528="Gmail",COUNTIF($E$2:E8528,"Gmail"),"")</f>
        <v/>
      </c>
      <c r="J8528">
        <f>IF(E8528="Outlook",COUNTIF($E$2:E8528,"Outlook"),"")</f>
        <v/>
      </c>
      <c r="K8528">
        <f>IF(E8528="Domain",COUNTIF($E$2:E8528,"Domain"),"")</f>
        <v/>
      </c>
    </row>
    <row r="8529">
      <c r="A8529" s="2" t="n"/>
      <c r="B8529">
        <f>LOWER(TRIM(A8529))</f>
        <v/>
      </c>
      <c r="C8529">
        <f>IF(B8529="","",IFERROR(INDEX('Bad Patterns'!$A$2:$A$120,MATCH(1,INDEX(--ISNUMBER(SEARCH('Bad Patterns'!$A$2:$A$120,B8529)),0),0)),""))</f>
        <v/>
      </c>
      <c r="D8529">
        <f>IF(B8529="","",IF(C8529&lt;&gt;"","REMOVE","KEEP"))</f>
        <v/>
      </c>
      <c r="E8529">
        <f>IF(D8529&lt;&gt;"KEEP","",IF(RIGHT(B8529,10)="@gmail.com","Gmail",IF(OR(RIGHT(B8529,12)="@outlook.com",RIGHT(B8529,12)="@hotmail.com",RIGHT(B8529,9)="@live.com"),"Outlook","Domain")))</f>
        <v/>
      </c>
      <c r="F8529">
        <f>IF(B8529="","",IFERROR(RIGHT(B8529,LEN(B8529)-FIND("@",B8529)),""))</f>
        <v/>
      </c>
      <c r="G8529">
        <f>IF(D8529="KEEP",COUNTIF($D$2:D8529,"KEEP"),"")</f>
        <v/>
      </c>
      <c r="H8529">
        <f>IF(D8529="REMOVE",COUNTIF($D$2:D8529,"REMOVE"),"")</f>
        <v/>
      </c>
      <c r="I8529">
        <f>IF(E8529="Gmail",COUNTIF($E$2:E8529,"Gmail"),"")</f>
        <v/>
      </c>
      <c r="J8529">
        <f>IF(E8529="Outlook",COUNTIF($E$2:E8529,"Outlook"),"")</f>
        <v/>
      </c>
      <c r="K8529">
        <f>IF(E8529="Domain",COUNTIF($E$2:E8529,"Domain"),"")</f>
        <v/>
      </c>
    </row>
    <row r="8530">
      <c r="A8530" s="2" t="n"/>
      <c r="B8530">
        <f>LOWER(TRIM(A8530))</f>
        <v/>
      </c>
      <c r="C8530">
        <f>IF(B8530="","",IFERROR(INDEX('Bad Patterns'!$A$2:$A$120,MATCH(1,INDEX(--ISNUMBER(SEARCH('Bad Patterns'!$A$2:$A$120,B8530)),0),0)),""))</f>
        <v/>
      </c>
      <c r="D8530">
        <f>IF(B8530="","",IF(C8530&lt;&gt;"","REMOVE","KEEP"))</f>
        <v/>
      </c>
      <c r="E8530">
        <f>IF(D8530&lt;&gt;"KEEP","",IF(RIGHT(B8530,10)="@gmail.com","Gmail",IF(OR(RIGHT(B8530,12)="@outlook.com",RIGHT(B8530,12)="@hotmail.com",RIGHT(B8530,9)="@live.com"),"Outlook","Domain")))</f>
        <v/>
      </c>
      <c r="F8530">
        <f>IF(B8530="","",IFERROR(RIGHT(B8530,LEN(B8530)-FIND("@",B8530)),""))</f>
        <v/>
      </c>
      <c r="G8530">
        <f>IF(D8530="KEEP",COUNTIF($D$2:D8530,"KEEP"),"")</f>
        <v/>
      </c>
      <c r="H8530">
        <f>IF(D8530="REMOVE",COUNTIF($D$2:D8530,"REMOVE"),"")</f>
        <v/>
      </c>
      <c r="I8530">
        <f>IF(E8530="Gmail",COUNTIF($E$2:E8530,"Gmail"),"")</f>
        <v/>
      </c>
      <c r="J8530">
        <f>IF(E8530="Outlook",COUNTIF($E$2:E8530,"Outlook"),"")</f>
        <v/>
      </c>
      <c r="K8530">
        <f>IF(E8530="Domain",COUNTIF($E$2:E8530,"Domain"),"")</f>
        <v/>
      </c>
    </row>
    <row r="8531">
      <c r="A8531" s="2" t="n"/>
      <c r="B8531">
        <f>LOWER(TRIM(A8531))</f>
        <v/>
      </c>
      <c r="C8531">
        <f>IF(B8531="","",IFERROR(INDEX('Bad Patterns'!$A$2:$A$120,MATCH(1,INDEX(--ISNUMBER(SEARCH('Bad Patterns'!$A$2:$A$120,B8531)),0),0)),""))</f>
        <v/>
      </c>
      <c r="D8531">
        <f>IF(B8531="","",IF(C8531&lt;&gt;"","REMOVE","KEEP"))</f>
        <v/>
      </c>
      <c r="E8531">
        <f>IF(D8531&lt;&gt;"KEEP","",IF(RIGHT(B8531,10)="@gmail.com","Gmail",IF(OR(RIGHT(B8531,12)="@outlook.com",RIGHT(B8531,12)="@hotmail.com",RIGHT(B8531,9)="@live.com"),"Outlook","Domain")))</f>
        <v/>
      </c>
      <c r="F8531">
        <f>IF(B8531="","",IFERROR(RIGHT(B8531,LEN(B8531)-FIND("@",B8531)),""))</f>
        <v/>
      </c>
      <c r="G8531">
        <f>IF(D8531="KEEP",COUNTIF($D$2:D8531,"KEEP"),"")</f>
        <v/>
      </c>
      <c r="H8531">
        <f>IF(D8531="REMOVE",COUNTIF($D$2:D8531,"REMOVE"),"")</f>
        <v/>
      </c>
      <c r="I8531">
        <f>IF(E8531="Gmail",COUNTIF($E$2:E8531,"Gmail"),"")</f>
        <v/>
      </c>
      <c r="J8531">
        <f>IF(E8531="Outlook",COUNTIF($E$2:E8531,"Outlook"),"")</f>
        <v/>
      </c>
      <c r="K8531">
        <f>IF(E8531="Domain",COUNTIF($E$2:E8531,"Domain"),"")</f>
        <v/>
      </c>
    </row>
    <row r="8532">
      <c r="A8532" s="2" t="n"/>
      <c r="B8532">
        <f>LOWER(TRIM(A8532))</f>
        <v/>
      </c>
      <c r="C8532">
        <f>IF(B8532="","",IFERROR(INDEX('Bad Patterns'!$A$2:$A$120,MATCH(1,INDEX(--ISNUMBER(SEARCH('Bad Patterns'!$A$2:$A$120,B8532)),0),0)),""))</f>
        <v/>
      </c>
      <c r="D8532">
        <f>IF(B8532="","",IF(C8532&lt;&gt;"","REMOVE","KEEP"))</f>
        <v/>
      </c>
      <c r="E8532">
        <f>IF(D8532&lt;&gt;"KEEP","",IF(RIGHT(B8532,10)="@gmail.com","Gmail",IF(OR(RIGHT(B8532,12)="@outlook.com",RIGHT(B8532,12)="@hotmail.com",RIGHT(B8532,9)="@live.com"),"Outlook","Domain")))</f>
        <v/>
      </c>
      <c r="F8532">
        <f>IF(B8532="","",IFERROR(RIGHT(B8532,LEN(B8532)-FIND("@",B8532)),""))</f>
        <v/>
      </c>
      <c r="G8532">
        <f>IF(D8532="KEEP",COUNTIF($D$2:D8532,"KEEP"),"")</f>
        <v/>
      </c>
      <c r="H8532">
        <f>IF(D8532="REMOVE",COUNTIF($D$2:D8532,"REMOVE"),"")</f>
        <v/>
      </c>
      <c r="I8532">
        <f>IF(E8532="Gmail",COUNTIF($E$2:E8532,"Gmail"),"")</f>
        <v/>
      </c>
      <c r="J8532">
        <f>IF(E8532="Outlook",COUNTIF($E$2:E8532,"Outlook"),"")</f>
        <v/>
      </c>
      <c r="K8532">
        <f>IF(E8532="Domain",COUNTIF($E$2:E8532,"Domain"),"")</f>
        <v/>
      </c>
    </row>
    <row r="8533">
      <c r="A8533" s="2" t="n"/>
      <c r="B8533">
        <f>LOWER(TRIM(A8533))</f>
        <v/>
      </c>
      <c r="C8533">
        <f>IF(B8533="","",IFERROR(INDEX('Bad Patterns'!$A$2:$A$120,MATCH(1,INDEX(--ISNUMBER(SEARCH('Bad Patterns'!$A$2:$A$120,B8533)),0),0)),""))</f>
        <v/>
      </c>
      <c r="D8533">
        <f>IF(B8533="","",IF(C8533&lt;&gt;"","REMOVE","KEEP"))</f>
        <v/>
      </c>
      <c r="E8533">
        <f>IF(D8533&lt;&gt;"KEEP","",IF(RIGHT(B8533,10)="@gmail.com","Gmail",IF(OR(RIGHT(B8533,12)="@outlook.com",RIGHT(B8533,12)="@hotmail.com",RIGHT(B8533,9)="@live.com"),"Outlook","Domain")))</f>
        <v/>
      </c>
      <c r="F8533">
        <f>IF(B8533="","",IFERROR(RIGHT(B8533,LEN(B8533)-FIND("@",B8533)),""))</f>
        <v/>
      </c>
      <c r="G8533">
        <f>IF(D8533="KEEP",COUNTIF($D$2:D8533,"KEEP"),"")</f>
        <v/>
      </c>
      <c r="H8533">
        <f>IF(D8533="REMOVE",COUNTIF($D$2:D8533,"REMOVE"),"")</f>
        <v/>
      </c>
      <c r="I8533">
        <f>IF(E8533="Gmail",COUNTIF($E$2:E8533,"Gmail"),"")</f>
        <v/>
      </c>
      <c r="J8533">
        <f>IF(E8533="Outlook",COUNTIF($E$2:E8533,"Outlook"),"")</f>
        <v/>
      </c>
      <c r="K8533">
        <f>IF(E8533="Domain",COUNTIF($E$2:E8533,"Domain"),"")</f>
        <v/>
      </c>
    </row>
    <row r="8534">
      <c r="A8534" s="2" t="n"/>
      <c r="B8534">
        <f>LOWER(TRIM(A8534))</f>
        <v/>
      </c>
      <c r="C8534">
        <f>IF(B8534="","",IFERROR(INDEX('Bad Patterns'!$A$2:$A$120,MATCH(1,INDEX(--ISNUMBER(SEARCH('Bad Patterns'!$A$2:$A$120,B8534)),0),0)),""))</f>
        <v/>
      </c>
      <c r="D8534">
        <f>IF(B8534="","",IF(C8534&lt;&gt;"","REMOVE","KEEP"))</f>
        <v/>
      </c>
      <c r="E8534">
        <f>IF(D8534&lt;&gt;"KEEP","",IF(RIGHT(B8534,10)="@gmail.com","Gmail",IF(OR(RIGHT(B8534,12)="@outlook.com",RIGHT(B8534,12)="@hotmail.com",RIGHT(B8534,9)="@live.com"),"Outlook","Domain")))</f>
        <v/>
      </c>
      <c r="F8534">
        <f>IF(B8534="","",IFERROR(RIGHT(B8534,LEN(B8534)-FIND("@",B8534)),""))</f>
        <v/>
      </c>
      <c r="G8534">
        <f>IF(D8534="KEEP",COUNTIF($D$2:D8534,"KEEP"),"")</f>
        <v/>
      </c>
      <c r="H8534">
        <f>IF(D8534="REMOVE",COUNTIF($D$2:D8534,"REMOVE"),"")</f>
        <v/>
      </c>
      <c r="I8534">
        <f>IF(E8534="Gmail",COUNTIF($E$2:E8534,"Gmail"),"")</f>
        <v/>
      </c>
      <c r="J8534">
        <f>IF(E8534="Outlook",COUNTIF($E$2:E8534,"Outlook"),"")</f>
        <v/>
      </c>
      <c r="K8534">
        <f>IF(E8534="Domain",COUNTIF($E$2:E8534,"Domain"),"")</f>
        <v/>
      </c>
    </row>
    <row r="8535">
      <c r="A8535" s="2" t="n"/>
      <c r="B8535">
        <f>LOWER(TRIM(A8535))</f>
        <v/>
      </c>
      <c r="C8535">
        <f>IF(B8535="","",IFERROR(INDEX('Bad Patterns'!$A$2:$A$120,MATCH(1,INDEX(--ISNUMBER(SEARCH('Bad Patterns'!$A$2:$A$120,B8535)),0),0)),""))</f>
        <v/>
      </c>
      <c r="D8535">
        <f>IF(B8535="","",IF(C8535&lt;&gt;"","REMOVE","KEEP"))</f>
        <v/>
      </c>
      <c r="E8535">
        <f>IF(D8535&lt;&gt;"KEEP","",IF(RIGHT(B8535,10)="@gmail.com","Gmail",IF(OR(RIGHT(B8535,12)="@outlook.com",RIGHT(B8535,12)="@hotmail.com",RIGHT(B8535,9)="@live.com"),"Outlook","Domain")))</f>
        <v/>
      </c>
      <c r="F8535">
        <f>IF(B8535="","",IFERROR(RIGHT(B8535,LEN(B8535)-FIND("@",B8535)),""))</f>
        <v/>
      </c>
      <c r="G8535">
        <f>IF(D8535="KEEP",COUNTIF($D$2:D8535,"KEEP"),"")</f>
        <v/>
      </c>
      <c r="H8535">
        <f>IF(D8535="REMOVE",COUNTIF($D$2:D8535,"REMOVE"),"")</f>
        <v/>
      </c>
      <c r="I8535">
        <f>IF(E8535="Gmail",COUNTIF($E$2:E8535,"Gmail"),"")</f>
        <v/>
      </c>
      <c r="J8535">
        <f>IF(E8535="Outlook",COUNTIF($E$2:E8535,"Outlook"),"")</f>
        <v/>
      </c>
      <c r="K8535">
        <f>IF(E8535="Domain",COUNTIF($E$2:E8535,"Domain"),"")</f>
        <v/>
      </c>
    </row>
    <row r="8536">
      <c r="A8536" s="2" t="n"/>
      <c r="B8536">
        <f>LOWER(TRIM(A8536))</f>
        <v/>
      </c>
      <c r="C8536">
        <f>IF(B8536="","",IFERROR(INDEX('Bad Patterns'!$A$2:$A$120,MATCH(1,INDEX(--ISNUMBER(SEARCH('Bad Patterns'!$A$2:$A$120,B8536)),0),0)),""))</f>
        <v/>
      </c>
      <c r="D8536">
        <f>IF(B8536="","",IF(C8536&lt;&gt;"","REMOVE","KEEP"))</f>
        <v/>
      </c>
      <c r="E8536">
        <f>IF(D8536&lt;&gt;"KEEP","",IF(RIGHT(B8536,10)="@gmail.com","Gmail",IF(OR(RIGHT(B8536,12)="@outlook.com",RIGHT(B8536,12)="@hotmail.com",RIGHT(B8536,9)="@live.com"),"Outlook","Domain")))</f>
        <v/>
      </c>
      <c r="F8536">
        <f>IF(B8536="","",IFERROR(RIGHT(B8536,LEN(B8536)-FIND("@",B8536)),""))</f>
        <v/>
      </c>
      <c r="G8536">
        <f>IF(D8536="KEEP",COUNTIF($D$2:D8536,"KEEP"),"")</f>
        <v/>
      </c>
      <c r="H8536">
        <f>IF(D8536="REMOVE",COUNTIF($D$2:D8536,"REMOVE"),"")</f>
        <v/>
      </c>
      <c r="I8536">
        <f>IF(E8536="Gmail",COUNTIF($E$2:E8536,"Gmail"),"")</f>
        <v/>
      </c>
      <c r="J8536">
        <f>IF(E8536="Outlook",COUNTIF($E$2:E8536,"Outlook"),"")</f>
        <v/>
      </c>
      <c r="K8536">
        <f>IF(E8536="Domain",COUNTIF($E$2:E8536,"Domain"),"")</f>
        <v/>
      </c>
    </row>
    <row r="8537">
      <c r="A8537" s="2" t="n"/>
      <c r="B8537">
        <f>LOWER(TRIM(A8537))</f>
        <v/>
      </c>
      <c r="C8537">
        <f>IF(B8537="","",IFERROR(INDEX('Bad Patterns'!$A$2:$A$120,MATCH(1,INDEX(--ISNUMBER(SEARCH('Bad Patterns'!$A$2:$A$120,B8537)),0),0)),""))</f>
        <v/>
      </c>
      <c r="D8537">
        <f>IF(B8537="","",IF(C8537&lt;&gt;"","REMOVE","KEEP"))</f>
        <v/>
      </c>
      <c r="E8537">
        <f>IF(D8537&lt;&gt;"KEEP","",IF(RIGHT(B8537,10)="@gmail.com","Gmail",IF(OR(RIGHT(B8537,12)="@outlook.com",RIGHT(B8537,12)="@hotmail.com",RIGHT(B8537,9)="@live.com"),"Outlook","Domain")))</f>
        <v/>
      </c>
      <c r="F8537">
        <f>IF(B8537="","",IFERROR(RIGHT(B8537,LEN(B8537)-FIND("@",B8537)),""))</f>
        <v/>
      </c>
      <c r="G8537">
        <f>IF(D8537="KEEP",COUNTIF($D$2:D8537,"KEEP"),"")</f>
        <v/>
      </c>
      <c r="H8537">
        <f>IF(D8537="REMOVE",COUNTIF($D$2:D8537,"REMOVE"),"")</f>
        <v/>
      </c>
      <c r="I8537">
        <f>IF(E8537="Gmail",COUNTIF($E$2:E8537,"Gmail"),"")</f>
        <v/>
      </c>
      <c r="J8537">
        <f>IF(E8537="Outlook",COUNTIF($E$2:E8537,"Outlook"),"")</f>
        <v/>
      </c>
      <c r="K8537">
        <f>IF(E8537="Domain",COUNTIF($E$2:E8537,"Domain"),"")</f>
        <v/>
      </c>
    </row>
    <row r="8538">
      <c r="A8538" s="2" t="n"/>
      <c r="B8538">
        <f>LOWER(TRIM(A8538))</f>
        <v/>
      </c>
      <c r="C8538">
        <f>IF(B8538="","",IFERROR(INDEX('Bad Patterns'!$A$2:$A$120,MATCH(1,INDEX(--ISNUMBER(SEARCH('Bad Patterns'!$A$2:$A$120,B8538)),0),0)),""))</f>
        <v/>
      </c>
      <c r="D8538">
        <f>IF(B8538="","",IF(C8538&lt;&gt;"","REMOVE","KEEP"))</f>
        <v/>
      </c>
      <c r="E8538">
        <f>IF(D8538&lt;&gt;"KEEP","",IF(RIGHT(B8538,10)="@gmail.com","Gmail",IF(OR(RIGHT(B8538,12)="@outlook.com",RIGHT(B8538,12)="@hotmail.com",RIGHT(B8538,9)="@live.com"),"Outlook","Domain")))</f>
        <v/>
      </c>
      <c r="F8538">
        <f>IF(B8538="","",IFERROR(RIGHT(B8538,LEN(B8538)-FIND("@",B8538)),""))</f>
        <v/>
      </c>
      <c r="G8538">
        <f>IF(D8538="KEEP",COUNTIF($D$2:D8538,"KEEP"),"")</f>
        <v/>
      </c>
      <c r="H8538">
        <f>IF(D8538="REMOVE",COUNTIF($D$2:D8538,"REMOVE"),"")</f>
        <v/>
      </c>
      <c r="I8538">
        <f>IF(E8538="Gmail",COUNTIF($E$2:E8538,"Gmail"),"")</f>
        <v/>
      </c>
      <c r="J8538">
        <f>IF(E8538="Outlook",COUNTIF($E$2:E8538,"Outlook"),"")</f>
        <v/>
      </c>
      <c r="K8538">
        <f>IF(E8538="Domain",COUNTIF($E$2:E8538,"Domain"),"")</f>
        <v/>
      </c>
    </row>
    <row r="8539">
      <c r="A8539" s="2" t="n"/>
      <c r="B8539">
        <f>LOWER(TRIM(A8539))</f>
        <v/>
      </c>
      <c r="C8539">
        <f>IF(B8539="","",IFERROR(INDEX('Bad Patterns'!$A$2:$A$120,MATCH(1,INDEX(--ISNUMBER(SEARCH('Bad Patterns'!$A$2:$A$120,B8539)),0),0)),""))</f>
        <v/>
      </c>
      <c r="D8539">
        <f>IF(B8539="","",IF(C8539&lt;&gt;"","REMOVE","KEEP"))</f>
        <v/>
      </c>
      <c r="E8539">
        <f>IF(D8539&lt;&gt;"KEEP","",IF(RIGHT(B8539,10)="@gmail.com","Gmail",IF(OR(RIGHT(B8539,12)="@outlook.com",RIGHT(B8539,12)="@hotmail.com",RIGHT(B8539,9)="@live.com"),"Outlook","Domain")))</f>
        <v/>
      </c>
      <c r="F8539">
        <f>IF(B8539="","",IFERROR(RIGHT(B8539,LEN(B8539)-FIND("@",B8539)),""))</f>
        <v/>
      </c>
      <c r="G8539">
        <f>IF(D8539="KEEP",COUNTIF($D$2:D8539,"KEEP"),"")</f>
        <v/>
      </c>
      <c r="H8539">
        <f>IF(D8539="REMOVE",COUNTIF($D$2:D8539,"REMOVE"),"")</f>
        <v/>
      </c>
      <c r="I8539">
        <f>IF(E8539="Gmail",COUNTIF($E$2:E8539,"Gmail"),"")</f>
        <v/>
      </c>
      <c r="J8539">
        <f>IF(E8539="Outlook",COUNTIF($E$2:E8539,"Outlook"),"")</f>
        <v/>
      </c>
      <c r="K8539">
        <f>IF(E8539="Domain",COUNTIF($E$2:E8539,"Domain"),"")</f>
        <v/>
      </c>
    </row>
    <row r="8540">
      <c r="A8540" s="2" t="n"/>
      <c r="B8540">
        <f>LOWER(TRIM(A8540))</f>
        <v/>
      </c>
      <c r="C8540">
        <f>IF(B8540="","",IFERROR(INDEX('Bad Patterns'!$A$2:$A$120,MATCH(1,INDEX(--ISNUMBER(SEARCH('Bad Patterns'!$A$2:$A$120,B8540)),0),0)),""))</f>
        <v/>
      </c>
      <c r="D8540">
        <f>IF(B8540="","",IF(C8540&lt;&gt;"","REMOVE","KEEP"))</f>
        <v/>
      </c>
      <c r="E8540">
        <f>IF(D8540&lt;&gt;"KEEP","",IF(RIGHT(B8540,10)="@gmail.com","Gmail",IF(OR(RIGHT(B8540,12)="@outlook.com",RIGHT(B8540,12)="@hotmail.com",RIGHT(B8540,9)="@live.com"),"Outlook","Domain")))</f>
        <v/>
      </c>
      <c r="F8540">
        <f>IF(B8540="","",IFERROR(RIGHT(B8540,LEN(B8540)-FIND("@",B8540)),""))</f>
        <v/>
      </c>
      <c r="G8540">
        <f>IF(D8540="KEEP",COUNTIF($D$2:D8540,"KEEP"),"")</f>
        <v/>
      </c>
      <c r="H8540">
        <f>IF(D8540="REMOVE",COUNTIF($D$2:D8540,"REMOVE"),"")</f>
        <v/>
      </c>
      <c r="I8540">
        <f>IF(E8540="Gmail",COUNTIF($E$2:E8540,"Gmail"),"")</f>
        <v/>
      </c>
      <c r="J8540">
        <f>IF(E8540="Outlook",COUNTIF($E$2:E8540,"Outlook"),"")</f>
        <v/>
      </c>
      <c r="K8540">
        <f>IF(E8540="Domain",COUNTIF($E$2:E8540,"Domain"),"")</f>
        <v/>
      </c>
    </row>
    <row r="8541">
      <c r="A8541" s="2" t="n"/>
      <c r="B8541">
        <f>LOWER(TRIM(A8541))</f>
        <v/>
      </c>
      <c r="C8541">
        <f>IF(B8541="","",IFERROR(INDEX('Bad Patterns'!$A$2:$A$120,MATCH(1,INDEX(--ISNUMBER(SEARCH('Bad Patterns'!$A$2:$A$120,B8541)),0),0)),""))</f>
        <v/>
      </c>
      <c r="D8541">
        <f>IF(B8541="","",IF(C8541&lt;&gt;"","REMOVE","KEEP"))</f>
        <v/>
      </c>
      <c r="E8541">
        <f>IF(D8541&lt;&gt;"KEEP","",IF(RIGHT(B8541,10)="@gmail.com","Gmail",IF(OR(RIGHT(B8541,12)="@outlook.com",RIGHT(B8541,12)="@hotmail.com",RIGHT(B8541,9)="@live.com"),"Outlook","Domain")))</f>
        <v/>
      </c>
      <c r="F8541">
        <f>IF(B8541="","",IFERROR(RIGHT(B8541,LEN(B8541)-FIND("@",B8541)),""))</f>
        <v/>
      </c>
      <c r="G8541">
        <f>IF(D8541="KEEP",COUNTIF($D$2:D8541,"KEEP"),"")</f>
        <v/>
      </c>
      <c r="H8541">
        <f>IF(D8541="REMOVE",COUNTIF($D$2:D8541,"REMOVE"),"")</f>
        <v/>
      </c>
      <c r="I8541">
        <f>IF(E8541="Gmail",COUNTIF($E$2:E8541,"Gmail"),"")</f>
        <v/>
      </c>
      <c r="J8541">
        <f>IF(E8541="Outlook",COUNTIF($E$2:E8541,"Outlook"),"")</f>
        <v/>
      </c>
      <c r="K8541">
        <f>IF(E8541="Domain",COUNTIF($E$2:E8541,"Domain"),"")</f>
        <v/>
      </c>
    </row>
    <row r="8542">
      <c r="A8542" s="2" t="n"/>
      <c r="B8542">
        <f>LOWER(TRIM(A8542))</f>
        <v/>
      </c>
      <c r="C8542">
        <f>IF(B8542="","",IFERROR(INDEX('Bad Patterns'!$A$2:$A$120,MATCH(1,INDEX(--ISNUMBER(SEARCH('Bad Patterns'!$A$2:$A$120,B8542)),0),0)),""))</f>
        <v/>
      </c>
      <c r="D8542">
        <f>IF(B8542="","",IF(C8542&lt;&gt;"","REMOVE","KEEP"))</f>
        <v/>
      </c>
      <c r="E8542">
        <f>IF(D8542&lt;&gt;"KEEP","",IF(RIGHT(B8542,10)="@gmail.com","Gmail",IF(OR(RIGHT(B8542,12)="@outlook.com",RIGHT(B8542,12)="@hotmail.com",RIGHT(B8542,9)="@live.com"),"Outlook","Domain")))</f>
        <v/>
      </c>
      <c r="F8542">
        <f>IF(B8542="","",IFERROR(RIGHT(B8542,LEN(B8542)-FIND("@",B8542)),""))</f>
        <v/>
      </c>
      <c r="G8542">
        <f>IF(D8542="KEEP",COUNTIF($D$2:D8542,"KEEP"),"")</f>
        <v/>
      </c>
      <c r="H8542">
        <f>IF(D8542="REMOVE",COUNTIF($D$2:D8542,"REMOVE"),"")</f>
        <v/>
      </c>
      <c r="I8542">
        <f>IF(E8542="Gmail",COUNTIF($E$2:E8542,"Gmail"),"")</f>
        <v/>
      </c>
      <c r="J8542">
        <f>IF(E8542="Outlook",COUNTIF($E$2:E8542,"Outlook"),"")</f>
        <v/>
      </c>
      <c r="K8542">
        <f>IF(E8542="Domain",COUNTIF($E$2:E8542,"Domain"),"")</f>
        <v/>
      </c>
    </row>
    <row r="8543">
      <c r="A8543" s="2" t="n"/>
      <c r="B8543">
        <f>LOWER(TRIM(A8543))</f>
        <v/>
      </c>
      <c r="C8543">
        <f>IF(B8543="","",IFERROR(INDEX('Bad Patterns'!$A$2:$A$120,MATCH(1,INDEX(--ISNUMBER(SEARCH('Bad Patterns'!$A$2:$A$120,B8543)),0),0)),""))</f>
        <v/>
      </c>
      <c r="D8543">
        <f>IF(B8543="","",IF(C8543&lt;&gt;"","REMOVE","KEEP"))</f>
        <v/>
      </c>
      <c r="E8543">
        <f>IF(D8543&lt;&gt;"KEEP","",IF(RIGHT(B8543,10)="@gmail.com","Gmail",IF(OR(RIGHT(B8543,12)="@outlook.com",RIGHT(B8543,12)="@hotmail.com",RIGHT(B8543,9)="@live.com"),"Outlook","Domain")))</f>
        <v/>
      </c>
      <c r="F8543">
        <f>IF(B8543="","",IFERROR(RIGHT(B8543,LEN(B8543)-FIND("@",B8543)),""))</f>
        <v/>
      </c>
      <c r="G8543">
        <f>IF(D8543="KEEP",COUNTIF($D$2:D8543,"KEEP"),"")</f>
        <v/>
      </c>
      <c r="H8543">
        <f>IF(D8543="REMOVE",COUNTIF($D$2:D8543,"REMOVE"),"")</f>
        <v/>
      </c>
      <c r="I8543">
        <f>IF(E8543="Gmail",COUNTIF($E$2:E8543,"Gmail"),"")</f>
        <v/>
      </c>
      <c r="J8543">
        <f>IF(E8543="Outlook",COUNTIF($E$2:E8543,"Outlook"),"")</f>
        <v/>
      </c>
      <c r="K8543">
        <f>IF(E8543="Domain",COUNTIF($E$2:E8543,"Domain"),"")</f>
        <v/>
      </c>
    </row>
    <row r="8544">
      <c r="A8544" s="2" t="n"/>
      <c r="B8544">
        <f>LOWER(TRIM(A8544))</f>
        <v/>
      </c>
      <c r="C8544">
        <f>IF(B8544="","",IFERROR(INDEX('Bad Patterns'!$A$2:$A$120,MATCH(1,INDEX(--ISNUMBER(SEARCH('Bad Patterns'!$A$2:$A$120,B8544)),0),0)),""))</f>
        <v/>
      </c>
      <c r="D8544">
        <f>IF(B8544="","",IF(C8544&lt;&gt;"","REMOVE","KEEP"))</f>
        <v/>
      </c>
      <c r="E8544">
        <f>IF(D8544&lt;&gt;"KEEP","",IF(RIGHT(B8544,10)="@gmail.com","Gmail",IF(OR(RIGHT(B8544,12)="@outlook.com",RIGHT(B8544,12)="@hotmail.com",RIGHT(B8544,9)="@live.com"),"Outlook","Domain")))</f>
        <v/>
      </c>
      <c r="F8544">
        <f>IF(B8544="","",IFERROR(RIGHT(B8544,LEN(B8544)-FIND("@",B8544)),""))</f>
        <v/>
      </c>
      <c r="G8544">
        <f>IF(D8544="KEEP",COUNTIF($D$2:D8544,"KEEP"),"")</f>
        <v/>
      </c>
      <c r="H8544">
        <f>IF(D8544="REMOVE",COUNTIF($D$2:D8544,"REMOVE"),"")</f>
        <v/>
      </c>
      <c r="I8544">
        <f>IF(E8544="Gmail",COUNTIF($E$2:E8544,"Gmail"),"")</f>
        <v/>
      </c>
      <c r="J8544">
        <f>IF(E8544="Outlook",COUNTIF($E$2:E8544,"Outlook"),"")</f>
        <v/>
      </c>
      <c r="K8544">
        <f>IF(E8544="Domain",COUNTIF($E$2:E8544,"Domain"),"")</f>
        <v/>
      </c>
    </row>
    <row r="8545">
      <c r="A8545" s="2" t="n"/>
      <c r="B8545">
        <f>LOWER(TRIM(A8545))</f>
        <v/>
      </c>
      <c r="C8545">
        <f>IF(B8545="","",IFERROR(INDEX('Bad Patterns'!$A$2:$A$120,MATCH(1,INDEX(--ISNUMBER(SEARCH('Bad Patterns'!$A$2:$A$120,B8545)),0),0)),""))</f>
        <v/>
      </c>
      <c r="D8545">
        <f>IF(B8545="","",IF(C8545&lt;&gt;"","REMOVE","KEEP"))</f>
        <v/>
      </c>
      <c r="E8545">
        <f>IF(D8545&lt;&gt;"KEEP","",IF(RIGHT(B8545,10)="@gmail.com","Gmail",IF(OR(RIGHT(B8545,12)="@outlook.com",RIGHT(B8545,12)="@hotmail.com",RIGHT(B8545,9)="@live.com"),"Outlook","Domain")))</f>
        <v/>
      </c>
      <c r="F8545">
        <f>IF(B8545="","",IFERROR(RIGHT(B8545,LEN(B8545)-FIND("@",B8545)),""))</f>
        <v/>
      </c>
      <c r="G8545">
        <f>IF(D8545="KEEP",COUNTIF($D$2:D8545,"KEEP"),"")</f>
        <v/>
      </c>
      <c r="H8545">
        <f>IF(D8545="REMOVE",COUNTIF($D$2:D8545,"REMOVE"),"")</f>
        <v/>
      </c>
      <c r="I8545">
        <f>IF(E8545="Gmail",COUNTIF($E$2:E8545,"Gmail"),"")</f>
        <v/>
      </c>
      <c r="J8545">
        <f>IF(E8545="Outlook",COUNTIF($E$2:E8545,"Outlook"),"")</f>
        <v/>
      </c>
      <c r="K8545">
        <f>IF(E8545="Domain",COUNTIF($E$2:E8545,"Domain"),"")</f>
        <v/>
      </c>
    </row>
    <row r="8546">
      <c r="A8546" s="2" t="n"/>
      <c r="B8546">
        <f>LOWER(TRIM(A8546))</f>
        <v/>
      </c>
      <c r="C8546">
        <f>IF(B8546="","",IFERROR(INDEX('Bad Patterns'!$A$2:$A$120,MATCH(1,INDEX(--ISNUMBER(SEARCH('Bad Patterns'!$A$2:$A$120,B8546)),0),0)),""))</f>
        <v/>
      </c>
      <c r="D8546">
        <f>IF(B8546="","",IF(C8546&lt;&gt;"","REMOVE","KEEP"))</f>
        <v/>
      </c>
      <c r="E8546">
        <f>IF(D8546&lt;&gt;"KEEP","",IF(RIGHT(B8546,10)="@gmail.com","Gmail",IF(OR(RIGHT(B8546,12)="@outlook.com",RIGHT(B8546,12)="@hotmail.com",RIGHT(B8546,9)="@live.com"),"Outlook","Domain")))</f>
        <v/>
      </c>
      <c r="F8546">
        <f>IF(B8546="","",IFERROR(RIGHT(B8546,LEN(B8546)-FIND("@",B8546)),""))</f>
        <v/>
      </c>
      <c r="G8546">
        <f>IF(D8546="KEEP",COUNTIF($D$2:D8546,"KEEP"),"")</f>
        <v/>
      </c>
      <c r="H8546">
        <f>IF(D8546="REMOVE",COUNTIF($D$2:D8546,"REMOVE"),"")</f>
        <v/>
      </c>
      <c r="I8546">
        <f>IF(E8546="Gmail",COUNTIF($E$2:E8546,"Gmail"),"")</f>
        <v/>
      </c>
      <c r="J8546">
        <f>IF(E8546="Outlook",COUNTIF($E$2:E8546,"Outlook"),"")</f>
        <v/>
      </c>
      <c r="K8546">
        <f>IF(E8546="Domain",COUNTIF($E$2:E8546,"Domain"),"")</f>
        <v/>
      </c>
    </row>
    <row r="8547">
      <c r="A8547" s="2" t="n"/>
      <c r="B8547">
        <f>LOWER(TRIM(A8547))</f>
        <v/>
      </c>
      <c r="C8547">
        <f>IF(B8547="","",IFERROR(INDEX('Bad Patterns'!$A$2:$A$120,MATCH(1,INDEX(--ISNUMBER(SEARCH('Bad Patterns'!$A$2:$A$120,B8547)),0),0)),""))</f>
        <v/>
      </c>
      <c r="D8547">
        <f>IF(B8547="","",IF(C8547&lt;&gt;"","REMOVE","KEEP"))</f>
        <v/>
      </c>
      <c r="E8547">
        <f>IF(D8547&lt;&gt;"KEEP","",IF(RIGHT(B8547,10)="@gmail.com","Gmail",IF(OR(RIGHT(B8547,12)="@outlook.com",RIGHT(B8547,12)="@hotmail.com",RIGHT(B8547,9)="@live.com"),"Outlook","Domain")))</f>
        <v/>
      </c>
      <c r="F8547">
        <f>IF(B8547="","",IFERROR(RIGHT(B8547,LEN(B8547)-FIND("@",B8547)),""))</f>
        <v/>
      </c>
      <c r="G8547">
        <f>IF(D8547="KEEP",COUNTIF($D$2:D8547,"KEEP"),"")</f>
        <v/>
      </c>
      <c r="H8547">
        <f>IF(D8547="REMOVE",COUNTIF($D$2:D8547,"REMOVE"),"")</f>
        <v/>
      </c>
      <c r="I8547">
        <f>IF(E8547="Gmail",COUNTIF($E$2:E8547,"Gmail"),"")</f>
        <v/>
      </c>
      <c r="J8547">
        <f>IF(E8547="Outlook",COUNTIF($E$2:E8547,"Outlook"),"")</f>
        <v/>
      </c>
      <c r="K8547">
        <f>IF(E8547="Domain",COUNTIF($E$2:E8547,"Domain"),"")</f>
        <v/>
      </c>
    </row>
    <row r="8548">
      <c r="A8548" s="2" t="n"/>
      <c r="B8548">
        <f>LOWER(TRIM(A8548))</f>
        <v/>
      </c>
      <c r="C8548">
        <f>IF(B8548="","",IFERROR(INDEX('Bad Patterns'!$A$2:$A$120,MATCH(1,INDEX(--ISNUMBER(SEARCH('Bad Patterns'!$A$2:$A$120,B8548)),0),0)),""))</f>
        <v/>
      </c>
      <c r="D8548">
        <f>IF(B8548="","",IF(C8548&lt;&gt;"","REMOVE","KEEP"))</f>
        <v/>
      </c>
      <c r="E8548">
        <f>IF(D8548&lt;&gt;"KEEP","",IF(RIGHT(B8548,10)="@gmail.com","Gmail",IF(OR(RIGHT(B8548,12)="@outlook.com",RIGHT(B8548,12)="@hotmail.com",RIGHT(B8548,9)="@live.com"),"Outlook","Domain")))</f>
        <v/>
      </c>
      <c r="F8548">
        <f>IF(B8548="","",IFERROR(RIGHT(B8548,LEN(B8548)-FIND("@",B8548)),""))</f>
        <v/>
      </c>
      <c r="G8548">
        <f>IF(D8548="KEEP",COUNTIF($D$2:D8548,"KEEP"),"")</f>
        <v/>
      </c>
      <c r="H8548">
        <f>IF(D8548="REMOVE",COUNTIF($D$2:D8548,"REMOVE"),"")</f>
        <v/>
      </c>
      <c r="I8548">
        <f>IF(E8548="Gmail",COUNTIF($E$2:E8548,"Gmail"),"")</f>
        <v/>
      </c>
      <c r="J8548">
        <f>IF(E8548="Outlook",COUNTIF($E$2:E8548,"Outlook"),"")</f>
        <v/>
      </c>
      <c r="K8548">
        <f>IF(E8548="Domain",COUNTIF($E$2:E8548,"Domain"),"")</f>
        <v/>
      </c>
    </row>
    <row r="8549">
      <c r="A8549" s="2" t="n"/>
      <c r="B8549">
        <f>LOWER(TRIM(A8549))</f>
        <v/>
      </c>
      <c r="C8549">
        <f>IF(B8549="","",IFERROR(INDEX('Bad Patterns'!$A$2:$A$120,MATCH(1,INDEX(--ISNUMBER(SEARCH('Bad Patterns'!$A$2:$A$120,B8549)),0),0)),""))</f>
        <v/>
      </c>
      <c r="D8549">
        <f>IF(B8549="","",IF(C8549&lt;&gt;"","REMOVE","KEEP"))</f>
        <v/>
      </c>
      <c r="E8549">
        <f>IF(D8549&lt;&gt;"KEEP","",IF(RIGHT(B8549,10)="@gmail.com","Gmail",IF(OR(RIGHT(B8549,12)="@outlook.com",RIGHT(B8549,12)="@hotmail.com",RIGHT(B8549,9)="@live.com"),"Outlook","Domain")))</f>
        <v/>
      </c>
      <c r="F8549">
        <f>IF(B8549="","",IFERROR(RIGHT(B8549,LEN(B8549)-FIND("@",B8549)),""))</f>
        <v/>
      </c>
      <c r="G8549">
        <f>IF(D8549="KEEP",COUNTIF($D$2:D8549,"KEEP"),"")</f>
        <v/>
      </c>
      <c r="H8549">
        <f>IF(D8549="REMOVE",COUNTIF($D$2:D8549,"REMOVE"),"")</f>
        <v/>
      </c>
      <c r="I8549">
        <f>IF(E8549="Gmail",COUNTIF($E$2:E8549,"Gmail"),"")</f>
        <v/>
      </c>
      <c r="J8549">
        <f>IF(E8549="Outlook",COUNTIF($E$2:E8549,"Outlook"),"")</f>
        <v/>
      </c>
      <c r="K8549">
        <f>IF(E8549="Domain",COUNTIF($E$2:E8549,"Domain"),"")</f>
        <v/>
      </c>
    </row>
    <row r="8550">
      <c r="A8550" s="2" t="n"/>
      <c r="B8550">
        <f>LOWER(TRIM(A8550))</f>
        <v/>
      </c>
      <c r="C8550">
        <f>IF(B8550="","",IFERROR(INDEX('Bad Patterns'!$A$2:$A$120,MATCH(1,INDEX(--ISNUMBER(SEARCH('Bad Patterns'!$A$2:$A$120,B8550)),0),0)),""))</f>
        <v/>
      </c>
      <c r="D8550">
        <f>IF(B8550="","",IF(C8550&lt;&gt;"","REMOVE","KEEP"))</f>
        <v/>
      </c>
      <c r="E8550">
        <f>IF(D8550&lt;&gt;"KEEP","",IF(RIGHT(B8550,10)="@gmail.com","Gmail",IF(OR(RIGHT(B8550,12)="@outlook.com",RIGHT(B8550,12)="@hotmail.com",RIGHT(B8550,9)="@live.com"),"Outlook","Domain")))</f>
        <v/>
      </c>
      <c r="F8550">
        <f>IF(B8550="","",IFERROR(RIGHT(B8550,LEN(B8550)-FIND("@",B8550)),""))</f>
        <v/>
      </c>
      <c r="G8550">
        <f>IF(D8550="KEEP",COUNTIF($D$2:D8550,"KEEP"),"")</f>
        <v/>
      </c>
      <c r="H8550">
        <f>IF(D8550="REMOVE",COUNTIF($D$2:D8550,"REMOVE"),"")</f>
        <v/>
      </c>
      <c r="I8550">
        <f>IF(E8550="Gmail",COUNTIF($E$2:E8550,"Gmail"),"")</f>
        <v/>
      </c>
      <c r="J8550">
        <f>IF(E8550="Outlook",COUNTIF($E$2:E8550,"Outlook"),"")</f>
        <v/>
      </c>
      <c r="K8550">
        <f>IF(E8550="Domain",COUNTIF($E$2:E8550,"Domain"),"")</f>
        <v/>
      </c>
    </row>
    <row r="8551">
      <c r="A8551" s="2" t="n"/>
      <c r="B8551">
        <f>LOWER(TRIM(A8551))</f>
        <v/>
      </c>
      <c r="C8551">
        <f>IF(B8551="","",IFERROR(INDEX('Bad Patterns'!$A$2:$A$120,MATCH(1,INDEX(--ISNUMBER(SEARCH('Bad Patterns'!$A$2:$A$120,B8551)),0),0)),""))</f>
        <v/>
      </c>
      <c r="D8551">
        <f>IF(B8551="","",IF(C8551&lt;&gt;"","REMOVE","KEEP"))</f>
        <v/>
      </c>
      <c r="E8551">
        <f>IF(D8551&lt;&gt;"KEEP","",IF(RIGHT(B8551,10)="@gmail.com","Gmail",IF(OR(RIGHT(B8551,12)="@outlook.com",RIGHT(B8551,12)="@hotmail.com",RIGHT(B8551,9)="@live.com"),"Outlook","Domain")))</f>
        <v/>
      </c>
      <c r="F8551">
        <f>IF(B8551="","",IFERROR(RIGHT(B8551,LEN(B8551)-FIND("@",B8551)),""))</f>
        <v/>
      </c>
      <c r="G8551">
        <f>IF(D8551="KEEP",COUNTIF($D$2:D8551,"KEEP"),"")</f>
        <v/>
      </c>
      <c r="H8551">
        <f>IF(D8551="REMOVE",COUNTIF($D$2:D8551,"REMOVE"),"")</f>
        <v/>
      </c>
      <c r="I8551">
        <f>IF(E8551="Gmail",COUNTIF($E$2:E8551,"Gmail"),"")</f>
        <v/>
      </c>
      <c r="J8551">
        <f>IF(E8551="Outlook",COUNTIF($E$2:E8551,"Outlook"),"")</f>
        <v/>
      </c>
      <c r="K8551">
        <f>IF(E8551="Domain",COUNTIF($E$2:E8551,"Domain"),"")</f>
        <v/>
      </c>
    </row>
    <row r="8552">
      <c r="A8552" s="2" t="n"/>
      <c r="B8552">
        <f>LOWER(TRIM(A8552))</f>
        <v/>
      </c>
      <c r="C8552">
        <f>IF(B8552="","",IFERROR(INDEX('Bad Patterns'!$A$2:$A$120,MATCH(1,INDEX(--ISNUMBER(SEARCH('Bad Patterns'!$A$2:$A$120,B8552)),0),0)),""))</f>
        <v/>
      </c>
      <c r="D8552">
        <f>IF(B8552="","",IF(C8552&lt;&gt;"","REMOVE","KEEP"))</f>
        <v/>
      </c>
      <c r="E8552">
        <f>IF(D8552&lt;&gt;"KEEP","",IF(RIGHT(B8552,10)="@gmail.com","Gmail",IF(OR(RIGHT(B8552,12)="@outlook.com",RIGHT(B8552,12)="@hotmail.com",RIGHT(B8552,9)="@live.com"),"Outlook","Domain")))</f>
        <v/>
      </c>
      <c r="F8552">
        <f>IF(B8552="","",IFERROR(RIGHT(B8552,LEN(B8552)-FIND("@",B8552)),""))</f>
        <v/>
      </c>
      <c r="G8552">
        <f>IF(D8552="KEEP",COUNTIF($D$2:D8552,"KEEP"),"")</f>
        <v/>
      </c>
      <c r="H8552">
        <f>IF(D8552="REMOVE",COUNTIF($D$2:D8552,"REMOVE"),"")</f>
        <v/>
      </c>
      <c r="I8552">
        <f>IF(E8552="Gmail",COUNTIF($E$2:E8552,"Gmail"),"")</f>
        <v/>
      </c>
      <c r="J8552">
        <f>IF(E8552="Outlook",COUNTIF($E$2:E8552,"Outlook"),"")</f>
        <v/>
      </c>
      <c r="K8552">
        <f>IF(E8552="Domain",COUNTIF($E$2:E8552,"Domain"),"")</f>
        <v/>
      </c>
    </row>
    <row r="8553">
      <c r="A8553" s="2" t="n"/>
      <c r="B8553">
        <f>LOWER(TRIM(A8553))</f>
        <v/>
      </c>
      <c r="C8553">
        <f>IF(B8553="","",IFERROR(INDEX('Bad Patterns'!$A$2:$A$120,MATCH(1,INDEX(--ISNUMBER(SEARCH('Bad Patterns'!$A$2:$A$120,B8553)),0),0)),""))</f>
        <v/>
      </c>
      <c r="D8553">
        <f>IF(B8553="","",IF(C8553&lt;&gt;"","REMOVE","KEEP"))</f>
        <v/>
      </c>
      <c r="E8553">
        <f>IF(D8553&lt;&gt;"KEEP","",IF(RIGHT(B8553,10)="@gmail.com","Gmail",IF(OR(RIGHT(B8553,12)="@outlook.com",RIGHT(B8553,12)="@hotmail.com",RIGHT(B8553,9)="@live.com"),"Outlook","Domain")))</f>
        <v/>
      </c>
      <c r="F8553">
        <f>IF(B8553="","",IFERROR(RIGHT(B8553,LEN(B8553)-FIND("@",B8553)),""))</f>
        <v/>
      </c>
      <c r="G8553">
        <f>IF(D8553="KEEP",COUNTIF($D$2:D8553,"KEEP"),"")</f>
        <v/>
      </c>
      <c r="H8553">
        <f>IF(D8553="REMOVE",COUNTIF($D$2:D8553,"REMOVE"),"")</f>
        <v/>
      </c>
      <c r="I8553">
        <f>IF(E8553="Gmail",COUNTIF($E$2:E8553,"Gmail"),"")</f>
        <v/>
      </c>
      <c r="J8553">
        <f>IF(E8553="Outlook",COUNTIF($E$2:E8553,"Outlook"),"")</f>
        <v/>
      </c>
      <c r="K8553">
        <f>IF(E8553="Domain",COUNTIF($E$2:E8553,"Domain"),"")</f>
        <v/>
      </c>
    </row>
    <row r="8554">
      <c r="A8554" s="2" t="n"/>
      <c r="B8554">
        <f>LOWER(TRIM(A8554))</f>
        <v/>
      </c>
      <c r="C8554">
        <f>IF(B8554="","",IFERROR(INDEX('Bad Patterns'!$A$2:$A$120,MATCH(1,INDEX(--ISNUMBER(SEARCH('Bad Patterns'!$A$2:$A$120,B8554)),0),0)),""))</f>
        <v/>
      </c>
      <c r="D8554">
        <f>IF(B8554="","",IF(C8554&lt;&gt;"","REMOVE","KEEP"))</f>
        <v/>
      </c>
      <c r="E8554">
        <f>IF(D8554&lt;&gt;"KEEP","",IF(RIGHT(B8554,10)="@gmail.com","Gmail",IF(OR(RIGHT(B8554,12)="@outlook.com",RIGHT(B8554,12)="@hotmail.com",RIGHT(B8554,9)="@live.com"),"Outlook","Domain")))</f>
        <v/>
      </c>
      <c r="F8554">
        <f>IF(B8554="","",IFERROR(RIGHT(B8554,LEN(B8554)-FIND("@",B8554)),""))</f>
        <v/>
      </c>
      <c r="G8554">
        <f>IF(D8554="KEEP",COUNTIF($D$2:D8554,"KEEP"),"")</f>
        <v/>
      </c>
      <c r="H8554">
        <f>IF(D8554="REMOVE",COUNTIF($D$2:D8554,"REMOVE"),"")</f>
        <v/>
      </c>
      <c r="I8554">
        <f>IF(E8554="Gmail",COUNTIF($E$2:E8554,"Gmail"),"")</f>
        <v/>
      </c>
      <c r="J8554">
        <f>IF(E8554="Outlook",COUNTIF($E$2:E8554,"Outlook"),"")</f>
        <v/>
      </c>
      <c r="K8554">
        <f>IF(E8554="Domain",COUNTIF($E$2:E8554,"Domain"),"")</f>
        <v/>
      </c>
    </row>
    <row r="8555">
      <c r="A8555" s="2" t="n"/>
      <c r="B8555">
        <f>LOWER(TRIM(A8555))</f>
        <v/>
      </c>
      <c r="C8555">
        <f>IF(B8555="","",IFERROR(INDEX('Bad Patterns'!$A$2:$A$120,MATCH(1,INDEX(--ISNUMBER(SEARCH('Bad Patterns'!$A$2:$A$120,B8555)),0),0)),""))</f>
        <v/>
      </c>
      <c r="D8555">
        <f>IF(B8555="","",IF(C8555&lt;&gt;"","REMOVE","KEEP"))</f>
        <v/>
      </c>
      <c r="E8555">
        <f>IF(D8555&lt;&gt;"KEEP","",IF(RIGHT(B8555,10)="@gmail.com","Gmail",IF(OR(RIGHT(B8555,12)="@outlook.com",RIGHT(B8555,12)="@hotmail.com",RIGHT(B8555,9)="@live.com"),"Outlook","Domain")))</f>
        <v/>
      </c>
      <c r="F8555">
        <f>IF(B8555="","",IFERROR(RIGHT(B8555,LEN(B8555)-FIND("@",B8555)),""))</f>
        <v/>
      </c>
      <c r="G8555">
        <f>IF(D8555="KEEP",COUNTIF($D$2:D8555,"KEEP"),"")</f>
        <v/>
      </c>
      <c r="H8555">
        <f>IF(D8555="REMOVE",COUNTIF($D$2:D8555,"REMOVE"),"")</f>
        <v/>
      </c>
      <c r="I8555">
        <f>IF(E8555="Gmail",COUNTIF($E$2:E8555,"Gmail"),"")</f>
        <v/>
      </c>
      <c r="J8555">
        <f>IF(E8555="Outlook",COUNTIF($E$2:E8555,"Outlook"),"")</f>
        <v/>
      </c>
      <c r="K8555">
        <f>IF(E8555="Domain",COUNTIF($E$2:E8555,"Domain"),"")</f>
        <v/>
      </c>
    </row>
    <row r="8556">
      <c r="A8556" s="2" t="n"/>
      <c r="B8556">
        <f>LOWER(TRIM(A8556))</f>
        <v/>
      </c>
      <c r="C8556">
        <f>IF(B8556="","",IFERROR(INDEX('Bad Patterns'!$A$2:$A$120,MATCH(1,INDEX(--ISNUMBER(SEARCH('Bad Patterns'!$A$2:$A$120,B8556)),0),0)),""))</f>
        <v/>
      </c>
      <c r="D8556">
        <f>IF(B8556="","",IF(C8556&lt;&gt;"","REMOVE","KEEP"))</f>
        <v/>
      </c>
      <c r="E8556">
        <f>IF(D8556&lt;&gt;"KEEP","",IF(RIGHT(B8556,10)="@gmail.com","Gmail",IF(OR(RIGHT(B8556,12)="@outlook.com",RIGHT(B8556,12)="@hotmail.com",RIGHT(B8556,9)="@live.com"),"Outlook","Domain")))</f>
        <v/>
      </c>
      <c r="F8556">
        <f>IF(B8556="","",IFERROR(RIGHT(B8556,LEN(B8556)-FIND("@",B8556)),""))</f>
        <v/>
      </c>
      <c r="G8556">
        <f>IF(D8556="KEEP",COUNTIF($D$2:D8556,"KEEP"),"")</f>
        <v/>
      </c>
      <c r="H8556">
        <f>IF(D8556="REMOVE",COUNTIF($D$2:D8556,"REMOVE"),"")</f>
        <v/>
      </c>
      <c r="I8556">
        <f>IF(E8556="Gmail",COUNTIF($E$2:E8556,"Gmail"),"")</f>
        <v/>
      </c>
      <c r="J8556">
        <f>IF(E8556="Outlook",COUNTIF($E$2:E8556,"Outlook"),"")</f>
        <v/>
      </c>
      <c r="K8556">
        <f>IF(E8556="Domain",COUNTIF($E$2:E8556,"Domain"),"")</f>
        <v/>
      </c>
    </row>
    <row r="8557">
      <c r="A8557" s="2" t="n"/>
      <c r="B8557">
        <f>LOWER(TRIM(A8557))</f>
        <v/>
      </c>
      <c r="C8557">
        <f>IF(B8557="","",IFERROR(INDEX('Bad Patterns'!$A$2:$A$120,MATCH(1,INDEX(--ISNUMBER(SEARCH('Bad Patterns'!$A$2:$A$120,B8557)),0),0)),""))</f>
        <v/>
      </c>
      <c r="D8557">
        <f>IF(B8557="","",IF(C8557&lt;&gt;"","REMOVE","KEEP"))</f>
        <v/>
      </c>
      <c r="E8557">
        <f>IF(D8557&lt;&gt;"KEEP","",IF(RIGHT(B8557,10)="@gmail.com","Gmail",IF(OR(RIGHT(B8557,12)="@outlook.com",RIGHT(B8557,12)="@hotmail.com",RIGHT(B8557,9)="@live.com"),"Outlook","Domain")))</f>
        <v/>
      </c>
      <c r="F8557">
        <f>IF(B8557="","",IFERROR(RIGHT(B8557,LEN(B8557)-FIND("@",B8557)),""))</f>
        <v/>
      </c>
      <c r="G8557">
        <f>IF(D8557="KEEP",COUNTIF($D$2:D8557,"KEEP"),"")</f>
        <v/>
      </c>
      <c r="H8557">
        <f>IF(D8557="REMOVE",COUNTIF($D$2:D8557,"REMOVE"),"")</f>
        <v/>
      </c>
      <c r="I8557">
        <f>IF(E8557="Gmail",COUNTIF($E$2:E8557,"Gmail"),"")</f>
        <v/>
      </c>
      <c r="J8557">
        <f>IF(E8557="Outlook",COUNTIF($E$2:E8557,"Outlook"),"")</f>
        <v/>
      </c>
      <c r="K8557">
        <f>IF(E8557="Domain",COUNTIF($E$2:E8557,"Domain"),"")</f>
        <v/>
      </c>
    </row>
    <row r="8558">
      <c r="A8558" s="2" t="n"/>
      <c r="B8558">
        <f>LOWER(TRIM(A8558))</f>
        <v/>
      </c>
      <c r="C8558">
        <f>IF(B8558="","",IFERROR(INDEX('Bad Patterns'!$A$2:$A$120,MATCH(1,INDEX(--ISNUMBER(SEARCH('Bad Patterns'!$A$2:$A$120,B8558)),0),0)),""))</f>
        <v/>
      </c>
      <c r="D8558">
        <f>IF(B8558="","",IF(C8558&lt;&gt;"","REMOVE","KEEP"))</f>
        <v/>
      </c>
      <c r="E8558">
        <f>IF(D8558&lt;&gt;"KEEP","",IF(RIGHT(B8558,10)="@gmail.com","Gmail",IF(OR(RIGHT(B8558,12)="@outlook.com",RIGHT(B8558,12)="@hotmail.com",RIGHT(B8558,9)="@live.com"),"Outlook","Domain")))</f>
        <v/>
      </c>
      <c r="F8558">
        <f>IF(B8558="","",IFERROR(RIGHT(B8558,LEN(B8558)-FIND("@",B8558)),""))</f>
        <v/>
      </c>
      <c r="G8558">
        <f>IF(D8558="KEEP",COUNTIF($D$2:D8558,"KEEP"),"")</f>
        <v/>
      </c>
      <c r="H8558">
        <f>IF(D8558="REMOVE",COUNTIF($D$2:D8558,"REMOVE"),"")</f>
        <v/>
      </c>
      <c r="I8558">
        <f>IF(E8558="Gmail",COUNTIF($E$2:E8558,"Gmail"),"")</f>
        <v/>
      </c>
      <c r="J8558">
        <f>IF(E8558="Outlook",COUNTIF($E$2:E8558,"Outlook"),"")</f>
        <v/>
      </c>
      <c r="K8558">
        <f>IF(E8558="Domain",COUNTIF($E$2:E8558,"Domain"),"")</f>
        <v/>
      </c>
    </row>
    <row r="8559">
      <c r="A8559" s="2" t="n"/>
      <c r="B8559">
        <f>LOWER(TRIM(A8559))</f>
        <v/>
      </c>
      <c r="C8559">
        <f>IF(B8559="","",IFERROR(INDEX('Bad Patterns'!$A$2:$A$120,MATCH(1,INDEX(--ISNUMBER(SEARCH('Bad Patterns'!$A$2:$A$120,B8559)),0),0)),""))</f>
        <v/>
      </c>
      <c r="D8559">
        <f>IF(B8559="","",IF(C8559&lt;&gt;"","REMOVE","KEEP"))</f>
        <v/>
      </c>
      <c r="E8559">
        <f>IF(D8559&lt;&gt;"KEEP","",IF(RIGHT(B8559,10)="@gmail.com","Gmail",IF(OR(RIGHT(B8559,12)="@outlook.com",RIGHT(B8559,12)="@hotmail.com",RIGHT(B8559,9)="@live.com"),"Outlook","Domain")))</f>
        <v/>
      </c>
      <c r="F8559">
        <f>IF(B8559="","",IFERROR(RIGHT(B8559,LEN(B8559)-FIND("@",B8559)),""))</f>
        <v/>
      </c>
      <c r="G8559">
        <f>IF(D8559="KEEP",COUNTIF($D$2:D8559,"KEEP"),"")</f>
        <v/>
      </c>
      <c r="H8559">
        <f>IF(D8559="REMOVE",COUNTIF($D$2:D8559,"REMOVE"),"")</f>
        <v/>
      </c>
      <c r="I8559">
        <f>IF(E8559="Gmail",COUNTIF($E$2:E8559,"Gmail"),"")</f>
        <v/>
      </c>
      <c r="J8559">
        <f>IF(E8559="Outlook",COUNTIF($E$2:E8559,"Outlook"),"")</f>
        <v/>
      </c>
      <c r="K8559">
        <f>IF(E8559="Domain",COUNTIF($E$2:E8559,"Domain"),"")</f>
        <v/>
      </c>
    </row>
    <row r="8560">
      <c r="A8560" s="2" t="n"/>
      <c r="B8560">
        <f>LOWER(TRIM(A8560))</f>
        <v/>
      </c>
      <c r="C8560">
        <f>IF(B8560="","",IFERROR(INDEX('Bad Patterns'!$A$2:$A$120,MATCH(1,INDEX(--ISNUMBER(SEARCH('Bad Patterns'!$A$2:$A$120,B8560)),0),0)),""))</f>
        <v/>
      </c>
      <c r="D8560">
        <f>IF(B8560="","",IF(C8560&lt;&gt;"","REMOVE","KEEP"))</f>
        <v/>
      </c>
      <c r="E8560">
        <f>IF(D8560&lt;&gt;"KEEP","",IF(RIGHT(B8560,10)="@gmail.com","Gmail",IF(OR(RIGHT(B8560,12)="@outlook.com",RIGHT(B8560,12)="@hotmail.com",RIGHT(B8560,9)="@live.com"),"Outlook","Domain")))</f>
        <v/>
      </c>
      <c r="F8560">
        <f>IF(B8560="","",IFERROR(RIGHT(B8560,LEN(B8560)-FIND("@",B8560)),""))</f>
        <v/>
      </c>
      <c r="G8560">
        <f>IF(D8560="KEEP",COUNTIF($D$2:D8560,"KEEP"),"")</f>
        <v/>
      </c>
      <c r="H8560">
        <f>IF(D8560="REMOVE",COUNTIF($D$2:D8560,"REMOVE"),"")</f>
        <v/>
      </c>
      <c r="I8560">
        <f>IF(E8560="Gmail",COUNTIF($E$2:E8560,"Gmail"),"")</f>
        <v/>
      </c>
      <c r="J8560">
        <f>IF(E8560="Outlook",COUNTIF($E$2:E8560,"Outlook"),"")</f>
        <v/>
      </c>
      <c r="K8560">
        <f>IF(E8560="Domain",COUNTIF($E$2:E8560,"Domain"),"")</f>
        <v/>
      </c>
    </row>
    <row r="8561">
      <c r="A8561" s="2" t="n"/>
      <c r="B8561">
        <f>LOWER(TRIM(A8561))</f>
        <v/>
      </c>
      <c r="C8561">
        <f>IF(B8561="","",IFERROR(INDEX('Bad Patterns'!$A$2:$A$120,MATCH(1,INDEX(--ISNUMBER(SEARCH('Bad Patterns'!$A$2:$A$120,B8561)),0),0)),""))</f>
        <v/>
      </c>
      <c r="D8561">
        <f>IF(B8561="","",IF(C8561&lt;&gt;"","REMOVE","KEEP"))</f>
        <v/>
      </c>
      <c r="E8561">
        <f>IF(D8561&lt;&gt;"KEEP","",IF(RIGHT(B8561,10)="@gmail.com","Gmail",IF(OR(RIGHT(B8561,12)="@outlook.com",RIGHT(B8561,12)="@hotmail.com",RIGHT(B8561,9)="@live.com"),"Outlook","Domain")))</f>
        <v/>
      </c>
      <c r="F8561">
        <f>IF(B8561="","",IFERROR(RIGHT(B8561,LEN(B8561)-FIND("@",B8561)),""))</f>
        <v/>
      </c>
      <c r="G8561">
        <f>IF(D8561="KEEP",COUNTIF($D$2:D8561,"KEEP"),"")</f>
        <v/>
      </c>
      <c r="H8561">
        <f>IF(D8561="REMOVE",COUNTIF($D$2:D8561,"REMOVE"),"")</f>
        <v/>
      </c>
      <c r="I8561">
        <f>IF(E8561="Gmail",COUNTIF($E$2:E8561,"Gmail"),"")</f>
        <v/>
      </c>
      <c r="J8561">
        <f>IF(E8561="Outlook",COUNTIF($E$2:E8561,"Outlook"),"")</f>
        <v/>
      </c>
      <c r="K8561">
        <f>IF(E8561="Domain",COUNTIF($E$2:E8561,"Domain"),"")</f>
        <v/>
      </c>
    </row>
    <row r="8562">
      <c r="A8562" s="2" t="n"/>
      <c r="B8562">
        <f>LOWER(TRIM(A8562))</f>
        <v/>
      </c>
      <c r="C8562">
        <f>IF(B8562="","",IFERROR(INDEX('Bad Patterns'!$A$2:$A$120,MATCH(1,INDEX(--ISNUMBER(SEARCH('Bad Patterns'!$A$2:$A$120,B8562)),0),0)),""))</f>
        <v/>
      </c>
      <c r="D8562">
        <f>IF(B8562="","",IF(C8562&lt;&gt;"","REMOVE","KEEP"))</f>
        <v/>
      </c>
      <c r="E8562">
        <f>IF(D8562&lt;&gt;"KEEP","",IF(RIGHT(B8562,10)="@gmail.com","Gmail",IF(OR(RIGHT(B8562,12)="@outlook.com",RIGHT(B8562,12)="@hotmail.com",RIGHT(B8562,9)="@live.com"),"Outlook","Domain")))</f>
        <v/>
      </c>
      <c r="F8562">
        <f>IF(B8562="","",IFERROR(RIGHT(B8562,LEN(B8562)-FIND("@",B8562)),""))</f>
        <v/>
      </c>
      <c r="G8562">
        <f>IF(D8562="KEEP",COUNTIF($D$2:D8562,"KEEP"),"")</f>
        <v/>
      </c>
      <c r="H8562">
        <f>IF(D8562="REMOVE",COUNTIF($D$2:D8562,"REMOVE"),"")</f>
        <v/>
      </c>
      <c r="I8562">
        <f>IF(E8562="Gmail",COUNTIF($E$2:E8562,"Gmail"),"")</f>
        <v/>
      </c>
      <c r="J8562">
        <f>IF(E8562="Outlook",COUNTIF($E$2:E8562,"Outlook"),"")</f>
        <v/>
      </c>
      <c r="K8562">
        <f>IF(E8562="Domain",COUNTIF($E$2:E8562,"Domain"),"")</f>
        <v/>
      </c>
    </row>
    <row r="8563">
      <c r="A8563" s="2" t="n"/>
      <c r="B8563">
        <f>LOWER(TRIM(A8563))</f>
        <v/>
      </c>
      <c r="C8563">
        <f>IF(B8563="","",IFERROR(INDEX('Bad Patterns'!$A$2:$A$120,MATCH(1,INDEX(--ISNUMBER(SEARCH('Bad Patterns'!$A$2:$A$120,B8563)),0),0)),""))</f>
        <v/>
      </c>
      <c r="D8563">
        <f>IF(B8563="","",IF(C8563&lt;&gt;"","REMOVE","KEEP"))</f>
        <v/>
      </c>
      <c r="E8563">
        <f>IF(D8563&lt;&gt;"KEEP","",IF(RIGHT(B8563,10)="@gmail.com","Gmail",IF(OR(RIGHT(B8563,12)="@outlook.com",RIGHT(B8563,12)="@hotmail.com",RIGHT(B8563,9)="@live.com"),"Outlook","Domain")))</f>
        <v/>
      </c>
      <c r="F8563">
        <f>IF(B8563="","",IFERROR(RIGHT(B8563,LEN(B8563)-FIND("@",B8563)),""))</f>
        <v/>
      </c>
      <c r="G8563">
        <f>IF(D8563="KEEP",COUNTIF($D$2:D8563,"KEEP"),"")</f>
        <v/>
      </c>
      <c r="H8563">
        <f>IF(D8563="REMOVE",COUNTIF($D$2:D8563,"REMOVE"),"")</f>
        <v/>
      </c>
      <c r="I8563">
        <f>IF(E8563="Gmail",COUNTIF($E$2:E8563,"Gmail"),"")</f>
        <v/>
      </c>
      <c r="J8563">
        <f>IF(E8563="Outlook",COUNTIF($E$2:E8563,"Outlook"),"")</f>
        <v/>
      </c>
      <c r="K8563">
        <f>IF(E8563="Domain",COUNTIF($E$2:E8563,"Domain"),"")</f>
        <v/>
      </c>
    </row>
    <row r="8564">
      <c r="A8564" s="2" t="n"/>
      <c r="B8564">
        <f>LOWER(TRIM(A8564))</f>
        <v/>
      </c>
      <c r="C8564">
        <f>IF(B8564="","",IFERROR(INDEX('Bad Patterns'!$A$2:$A$120,MATCH(1,INDEX(--ISNUMBER(SEARCH('Bad Patterns'!$A$2:$A$120,B8564)),0),0)),""))</f>
        <v/>
      </c>
      <c r="D8564">
        <f>IF(B8564="","",IF(C8564&lt;&gt;"","REMOVE","KEEP"))</f>
        <v/>
      </c>
      <c r="E8564">
        <f>IF(D8564&lt;&gt;"KEEP","",IF(RIGHT(B8564,10)="@gmail.com","Gmail",IF(OR(RIGHT(B8564,12)="@outlook.com",RIGHT(B8564,12)="@hotmail.com",RIGHT(B8564,9)="@live.com"),"Outlook","Domain")))</f>
        <v/>
      </c>
      <c r="F8564">
        <f>IF(B8564="","",IFERROR(RIGHT(B8564,LEN(B8564)-FIND("@",B8564)),""))</f>
        <v/>
      </c>
      <c r="G8564">
        <f>IF(D8564="KEEP",COUNTIF($D$2:D8564,"KEEP"),"")</f>
        <v/>
      </c>
      <c r="H8564">
        <f>IF(D8564="REMOVE",COUNTIF($D$2:D8564,"REMOVE"),"")</f>
        <v/>
      </c>
      <c r="I8564">
        <f>IF(E8564="Gmail",COUNTIF($E$2:E8564,"Gmail"),"")</f>
        <v/>
      </c>
      <c r="J8564">
        <f>IF(E8564="Outlook",COUNTIF($E$2:E8564,"Outlook"),"")</f>
        <v/>
      </c>
      <c r="K8564">
        <f>IF(E8564="Domain",COUNTIF($E$2:E8564,"Domain"),"")</f>
        <v/>
      </c>
    </row>
    <row r="8565">
      <c r="A8565" s="2" t="n"/>
      <c r="B8565">
        <f>LOWER(TRIM(A8565))</f>
        <v/>
      </c>
      <c r="C8565">
        <f>IF(B8565="","",IFERROR(INDEX('Bad Patterns'!$A$2:$A$120,MATCH(1,INDEX(--ISNUMBER(SEARCH('Bad Patterns'!$A$2:$A$120,B8565)),0),0)),""))</f>
        <v/>
      </c>
      <c r="D8565">
        <f>IF(B8565="","",IF(C8565&lt;&gt;"","REMOVE","KEEP"))</f>
        <v/>
      </c>
      <c r="E8565">
        <f>IF(D8565&lt;&gt;"KEEP","",IF(RIGHT(B8565,10)="@gmail.com","Gmail",IF(OR(RIGHT(B8565,12)="@outlook.com",RIGHT(B8565,12)="@hotmail.com",RIGHT(B8565,9)="@live.com"),"Outlook","Domain")))</f>
        <v/>
      </c>
      <c r="F8565">
        <f>IF(B8565="","",IFERROR(RIGHT(B8565,LEN(B8565)-FIND("@",B8565)),""))</f>
        <v/>
      </c>
      <c r="G8565">
        <f>IF(D8565="KEEP",COUNTIF($D$2:D8565,"KEEP"),"")</f>
        <v/>
      </c>
      <c r="H8565">
        <f>IF(D8565="REMOVE",COUNTIF($D$2:D8565,"REMOVE"),"")</f>
        <v/>
      </c>
      <c r="I8565">
        <f>IF(E8565="Gmail",COUNTIF($E$2:E8565,"Gmail"),"")</f>
        <v/>
      </c>
      <c r="J8565">
        <f>IF(E8565="Outlook",COUNTIF($E$2:E8565,"Outlook"),"")</f>
        <v/>
      </c>
      <c r="K8565">
        <f>IF(E8565="Domain",COUNTIF($E$2:E8565,"Domain"),"")</f>
        <v/>
      </c>
    </row>
    <row r="8566">
      <c r="A8566" s="2" t="n"/>
      <c r="B8566">
        <f>LOWER(TRIM(A8566))</f>
        <v/>
      </c>
      <c r="C8566">
        <f>IF(B8566="","",IFERROR(INDEX('Bad Patterns'!$A$2:$A$120,MATCH(1,INDEX(--ISNUMBER(SEARCH('Bad Patterns'!$A$2:$A$120,B8566)),0),0)),""))</f>
        <v/>
      </c>
      <c r="D8566">
        <f>IF(B8566="","",IF(C8566&lt;&gt;"","REMOVE","KEEP"))</f>
        <v/>
      </c>
      <c r="E8566">
        <f>IF(D8566&lt;&gt;"KEEP","",IF(RIGHT(B8566,10)="@gmail.com","Gmail",IF(OR(RIGHT(B8566,12)="@outlook.com",RIGHT(B8566,12)="@hotmail.com",RIGHT(B8566,9)="@live.com"),"Outlook","Domain")))</f>
        <v/>
      </c>
      <c r="F8566">
        <f>IF(B8566="","",IFERROR(RIGHT(B8566,LEN(B8566)-FIND("@",B8566)),""))</f>
        <v/>
      </c>
      <c r="G8566">
        <f>IF(D8566="KEEP",COUNTIF($D$2:D8566,"KEEP"),"")</f>
        <v/>
      </c>
      <c r="H8566">
        <f>IF(D8566="REMOVE",COUNTIF($D$2:D8566,"REMOVE"),"")</f>
        <v/>
      </c>
      <c r="I8566">
        <f>IF(E8566="Gmail",COUNTIF($E$2:E8566,"Gmail"),"")</f>
        <v/>
      </c>
      <c r="J8566">
        <f>IF(E8566="Outlook",COUNTIF($E$2:E8566,"Outlook"),"")</f>
        <v/>
      </c>
      <c r="K8566">
        <f>IF(E8566="Domain",COUNTIF($E$2:E8566,"Domain"),"")</f>
        <v/>
      </c>
    </row>
    <row r="8567">
      <c r="A8567" s="2" t="n"/>
      <c r="B8567">
        <f>LOWER(TRIM(A8567))</f>
        <v/>
      </c>
      <c r="C8567">
        <f>IF(B8567="","",IFERROR(INDEX('Bad Patterns'!$A$2:$A$120,MATCH(1,INDEX(--ISNUMBER(SEARCH('Bad Patterns'!$A$2:$A$120,B8567)),0),0)),""))</f>
        <v/>
      </c>
      <c r="D8567">
        <f>IF(B8567="","",IF(C8567&lt;&gt;"","REMOVE","KEEP"))</f>
        <v/>
      </c>
      <c r="E8567">
        <f>IF(D8567&lt;&gt;"KEEP","",IF(RIGHT(B8567,10)="@gmail.com","Gmail",IF(OR(RIGHT(B8567,12)="@outlook.com",RIGHT(B8567,12)="@hotmail.com",RIGHT(B8567,9)="@live.com"),"Outlook","Domain")))</f>
        <v/>
      </c>
      <c r="F8567">
        <f>IF(B8567="","",IFERROR(RIGHT(B8567,LEN(B8567)-FIND("@",B8567)),""))</f>
        <v/>
      </c>
      <c r="G8567">
        <f>IF(D8567="KEEP",COUNTIF($D$2:D8567,"KEEP"),"")</f>
        <v/>
      </c>
      <c r="H8567">
        <f>IF(D8567="REMOVE",COUNTIF($D$2:D8567,"REMOVE"),"")</f>
        <v/>
      </c>
      <c r="I8567">
        <f>IF(E8567="Gmail",COUNTIF($E$2:E8567,"Gmail"),"")</f>
        <v/>
      </c>
      <c r="J8567">
        <f>IF(E8567="Outlook",COUNTIF($E$2:E8567,"Outlook"),"")</f>
        <v/>
      </c>
      <c r="K8567">
        <f>IF(E8567="Domain",COUNTIF($E$2:E8567,"Domain"),"")</f>
        <v/>
      </c>
    </row>
    <row r="8568">
      <c r="A8568" s="2" t="n"/>
      <c r="B8568">
        <f>LOWER(TRIM(A8568))</f>
        <v/>
      </c>
      <c r="C8568">
        <f>IF(B8568="","",IFERROR(INDEX('Bad Patterns'!$A$2:$A$120,MATCH(1,INDEX(--ISNUMBER(SEARCH('Bad Patterns'!$A$2:$A$120,B8568)),0),0)),""))</f>
        <v/>
      </c>
      <c r="D8568">
        <f>IF(B8568="","",IF(C8568&lt;&gt;"","REMOVE","KEEP"))</f>
        <v/>
      </c>
      <c r="E8568">
        <f>IF(D8568&lt;&gt;"KEEP","",IF(RIGHT(B8568,10)="@gmail.com","Gmail",IF(OR(RIGHT(B8568,12)="@outlook.com",RIGHT(B8568,12)="@hotmail.com",RIGHT(B8568,9)="@live.com"),"Outlook","Domain")))</f>
        <v/>
      </c>
      <c r="F8568">
        <f>IF(B8568="","",IFERROR(RIGHT(B8568,LEN(B8568)-FIND("@",B8568)),""))</f>
        <v/>
      </c>
      <c r="G8568">
        <f>IF(D8568="KEEP",COUNTIF($D$2:D8568,"KEEP"),"")</f>
        <v/>
      </c>
      <c r="H8568">
        <f>IF(D8568="REMOVE",COUNTIF($D$2:D8568,"REMOVE"),"")</f>
        <v/>
      </c>
      <c r="I8568">
        <f>IF(E8568="Gmail",COUNTIF($E$2:E8568,"Gmail"),"")</f>
        <v/>
      </c>
      <c r="J8568">
        <f>IF(E8568="Outlook",COUNTIF($E$2:E8568,"Outlook"),"")</f>
        <v/>
      </c>
      <c r="K8568">
        <f>IF(E8568="Domain",COUNTIF($E$2:E8568,"Domain"),"")</f>
        <v/>
      </c>
    </row>
    <row r="8569">
      <c r="A8569" s="2" t="n"/>
      <c r="B8569">
        <f>LOWER(TRIM(A8569))</f>
        <v/>
      </c>
      <c r="C8569">
        <f>IF(B8569="","",IFERROR(INDEX('Bad Patterns'!$A$2:$A$120,MATCH(1,INDEX(--ISNUMBER(SEARCH('Bad Patterns'!$A$2:$A$120,B8569)),0),0)),""))</f>
        <v/>
      </c>
      <c r="D8569">
        <f>IF(B8569="","",IF(C8569&lt;&gt;"","REMOVE","KEEP"))</f>
        <v/>
      </c>
      <c r="E8569">
        <f>IF(D8569&lt;&gt;"KEEP","",IF(RIGHT(B8569,10)="@gmail.com","Gmail",IF(OR(RIGHT(B8569,12)="@outlook.com",RIGHT(B8569,12)="@hotmail.com",RIGHT(B8569,9)="@live.com"),"Outlook","Domain")))</f>
        <v/>
      </c>
      <c r="F8569">
        <f>IF(B8569="","",IFERROR(RIGHT(B8569,LEN(B8569)-FIND("@",B8569)),""))</f>
        <v/>
      </c>
      <c r="G8569">
        <f>IF(D8569="KEEP",COUNTIF($D$2:D8569,"KEEP"),"")</f>
        <v/>
      </c>
      <c r="H8569">
        <f>IF(D8569="REMOVE",COUNTIF($D$2:D8569,"REMOVE"),"")</f>
        <v/>
      </c>
      <c r="I8569">
        <f>IF(E8569="Gmail",COUNTIF($E$2:E8569,"Gmail"),"")</f>
        <v/>
      </c>
      <c r="J8569">
        <f>IF(E8569="Outlook",COUNTIF($E$2:E8569,"Outlook"),"")</f>
        <v/>
      </c>
      <c r="K8569">
        <f>IF(E8569="Domain",COUNTIF($E$2:E8569,"Domain"),"")</f>
        <v/>
      </c>
    </row>
    <row r="8570">
      <c r="A8570" s="2" t="n"/>
      <c r="B8570">
        <f>LOWER(TRIM(A8570))</f>
        <v/>
      </c>
      <c r="C8570">
        <f>IF(B8570="","",IFERROR(INDEX('Bad Patterns'!$A$2:$A$120,MATCH(1,INDEX(--ISNUMBER(SEARCH('Bad Patterns'!$A$2:$A$120,B8570)),0),0)),""))</f>
        <v/>
      </c>
      <c r="D8570">
        <f>IF(B8570="","",IF(C8570&lt;&gt;"","REMOVE","KEEP"))</f>
        <v/>
      </c>
      <c r="E8570">
        <f>IF(D8570&lt;&gt;"KEEP","",IF(RIGHT(B8570,10)="@gmail.com","Gmail",IF(OR(RIGHT(B8570,12)="@outlook.com",RIGHT(B8570,12)="@hotmail.com",RIGHT(B8570,9)="@live.com"),"Outlook","Domain")))</f>
        <v/>
      </c>
      <c r="F8570">
        <f>IF(B8570="","",IFERROR(RIGHT(B8570,LEN(B8570)-FIND("@",B8570)),""))</f>
        <v/>
      </c>
      <c r="G8570">
        <f>IF(D8570="KEEP",COUNTIF($D$2:D8570,"KEEP"),"")</f>
        <v/>
      </c>
      <c r="H8570">
        <f>IF(D8570="REMOVE",COUNTIF($D$2:D8570,"REMOVE"),"")</f>
        <v/>
      </c>
      <c r="I8570">
        <f>IF(E8570="Gmail",COUNTIF($E$2:E8570,"Gmail"),"")</f>
        <v/>
      </c>
      <c r="J8570">
        <f>IF(E8570="Outlook",COUNTIF($E$2:E8570,"Outlook"),"")</f>
        <v/>
      </c>
      <c r="K8570">
        <f>IF(E8570="Domain",COUNTIF($E$2:E8570,"Domain"),"")</f>
        <v/>
      </c>
    </row>
    <row r="8571">
      <c r="A8571" s="2" t="n"/>
      <c r="B8571">
        <f>LOWER(TRIM(A8571))</f>
        <v/>
      </c>
      <c r="C8571">
        <f>IF(B8571="","",IFERROR(INDEX('Bad Patterns'!$A$2:$A$120,MATCH(1,INDEX(--ISNUMBER(SEARCH('Bad Patterns'!$A$2:$A$120,B8571)),0),0)),""))</f>
        <v/>
      </c>
      <c r="D8571">
        <f>IF(B8571="","",IF(C8571&lt;&gt;"","REMOVE","KEEP"))</f>
        <v/>
      </c>
      <c r="E8571">
        <f>IF(D8571&lt;&gt;"KEEP","",IF(RIGHT(B8571,10)="@gmail.com","Gmail",IF(OR(RIGHT(B8571,12)="@outlook.com",RIGHT(B8571,12)="@hotmail.com",RIGHT(B8571,9)="@live.com"),"Outlook","Domain")))</f>
        <v/>
      </c>
      <c r="F8571">
        <f>IF(B8571="","",IFERROR(RIGHT(B8571,LEN(B8571)-FIND("@",B8571)),""))</f>
        <v/>
      </c>
      <c r="G8571">
        <f>IF(D8571="KEEP",COUNTIF($D$2:D8571,"KEEP"),"")</f>
        <v/>
      </c>
      <c r="H8571">
        <f>IF(D8571="REMOVE",COUNTIF($D$2:D8571,"REMOVE"),"")</f>
        <v/>
      </c>
      <c r="I8571">
        <f>IF(E8571="Gmail",COUNTIF($E$2:E8571,"Gmail"),"")</f>
        <v/>
      </c>
      <c r="J8571">
        <f>IF(E8571="Outlook",COUNTIF($E$2:E8571,"Outlook"),"")</f>
        <v/>
      </c>
      <c r="K8571">
        <f>IF(E8571="Domain",COUNTIF($E$2:E8571,"Domain"),"")</f>
        <v/>
      </c>
    </row>
    <row r="8572">
      <c r="A8572" s="2" t="n"/>
      <c r="B8572">
        <f>LOWER(TRIM(A8572))</f>
        <v/>
      </c>
      <c r="C8572">
        <f>IF(B8572="","",IFERROR(INDEX('Bad Patterns'!$A$2:$A$120,MATCH(1,INDEX(--ISNUMBER(SEARCH('Bad Patterns'!$A$2:$A$120,B8572)),0),0)),""))</f>
        <v/>
      </c>
      <c r="D8572">
        <f>IF(B8572="","",IF(C8572&lt;&gt;"","REMOVE","KEEP"))</f>
        <v/>
      </c>
      <c r="E8572">
        <f>IF(D8572&lt;&gt;"KEEP","",IF(RIGHT(B8572,10)="@gmail.com","Gmail",IF(OR(RIGHT(B8572,12)="@outlook.com",RIGHT(B8572,12)="@hotmail.com",RIGHT(B8572,9)="@live.com"),"Outlook","Domain")))</f>
        <v/>
      </c>
      <c r="F8572">
        <f>IF(B8572="","",IFERROR(RIGHT(B8572,LEN(B8572)-FIND("@",B8572)),""))</f>
        <v/>
      </c>
      <c r="G8572">
        <f>IF(D8572="KEEP",COUNTIF($D$2:D8572,"KEEP"),"")</f>
        <v/>
      </c>
      <c r="H8572">
        <f>IF(D8572="REMOVE",COUNTIF($D$2:D8572,"REMOVE"),"")</f>
        <v/>
      </c>
      <c r="I8572">
        <f>IF(E8572="Gmail",COUNTIF($E$2:E8572,"Gmail"),"")</f>
        <v/>
      </c>
      <c r="J8572">
        <f>IF(E8572="Outlook",COUNTIF($E$2:E8572,"Outlook"),"")</f>
        <v/>
      </c>
      <c r="K8572">
        <f>IF(E8572="Domain",COUNTIF($E$2:E8572,"Domain"),"")</f>
        <v/>
      </c>
    </row>
    <row r="8573">
      <c r="A8573" s="2" t="n"/>
      <c r="B8573">
        <f>LOWER(TRIM(A8573))</f>
        <v/>
      </c>
      <c r="C8573">
        <f>IF(B8573="","",IFERROR(INDEX('Bad Patterns'!$A$2:$A$120,MATCH(1,INDEX(--ISNUMBER(SEARCH('Bad Patterns'!$A$2:$A$120,B8573)),0),0)),""))</f>
        <v/>
      </c>
      <c r="D8573">
        <f>IF(B8573="","",IF(C8573&lt;&gt;"","REMOVE","KEEP"))</f>
        <v/>
      </c>
      <c r="E8573">
        <f>IF(D8573&lt;&gt;"KEEP","",IF(RIGHT(B8573,10)="@gmail.com","Gmail",IF(OR(RIGHT(B8573,12)="@outlook.com",RIGHT(B8573,12)="@hotmail.com",RIGHT(B8573,9)="@live.com"),"Outlook","Domain")))</f>
        <v/>
      </c>
      <c r="F8573">
        <f>IF(B8573="","",IFERROR(RIGHT(B8573,LEN(B8573)-FIND("@",B8573)),""))</f>
        <v/>
      </c>
      <c r="G8573">
        <f>IF(D8573="KEEP",COUNTIF($D$2:D8573,"KEEP"),"")</f>
        <v/>
      </c>
      <c r="H8573">
        <f>IF(D8573="REMOVE",COUNTIF($D$2:D8573,"REMOVE"),"")</f>
        <v/>
      </c>
      <c r="I8573">
        <f>IF(E8573="Gmail",COUNTIF($E$2:E8573,"Gmail"),"")</f>
        <v/>
      </c>
      <c r="J8573">
        <f>IF(E8573="Outlook",COUNTIF($E$2:E8573,"Outlook"),"")</f>
        <v/>
      </c>
      <c r="K8573">
        <f>IF(E8573="Domain",COUNTIF($E$2:E8573,"Domain"),"")</f>
        <v/>
      </c>
    </row>
    <row r="8574">
      <c r="A8574" s="2" t="n"/>
      <c r="B8574">
        <f>LOWER(TRIM(A8574))</f>
        <v/>
      </c>
      <c r="C8574">
        <f>IF(B8574="","",IFERROR(INDEX('Bad Patterns'!$A$2:$A$120,MATCH(1,INDEX(--ISNUMBER(SEARCH('Bad Patterns'!$A$2:$A$120,B8574)),0),0)),""))</f>
        <v/>
      </c>
      <c r="D8574">
        <f>IF(B8574="","",IF(C8574&lt;&gt;"","REMOVE","KEEP"))</f>
        <v/>
      </c>
      <c r="E8574">
        <f>IF(D8574&lt;&gt;"KEEP","",IF(RIGHT(B8574,10)="@gmail.com","Gmail",IF(OR(RIGHT(B8574,12)="@outlook.com",RIGHT(B8574,12)="@hotmail.com",RIGHT(B8574,9)="@live.com"),"Outlook","Domain")))</f>
        <v/>
      </c>
      <c r="F8574">
        <f>IF(B8574="","",IFERROR(RIGHT(B8574,LEN(B8574)-FIND("@",B8574)),""))</f>
        <v/>
      </c>
      <c r="G8574">
        <f>IF(D8574="KEEP",COUNTIF($D$2:D8574,"KEEP"),"")</f>
        <v/>
      </c>
      <c r="H8574">
        <f>IF(D8574="REMOVE",COUNTIF($D$2:D8574,"REMOVE"),"")</f>
        <v/>
      </c>
      <c r="I8574">
        <f>IF(E8574="Gmail",COUNTIF($E$2:E8574,"Gmail"),"")</f>
        <v/>
      </c>
      <c r="J8574">
        <f>IF(E8574="Outlook",COUNTIF($E$2:E8574,"Outlook"),"")</f>
        <v/>
      </c>
      <c r="K8574">
        <f>IF(E8574="Domain",COUNTIF($E$2:E8574,"Domain"),"")</f>
        <v/>
      </c>
    </row>
    <row r="8575">
      <c r="A8575" s="2" t="n"/>
      <c r="B8575">
        <f>LOWER(TRIM(A8575))</f>
        <v/>
      </c>
      <c r="C8575">
        <f>IF(B8575="","",IFERROR(INDEX('Bad Patterns'!$A$2:$A$120,MATCH(1,INDEX(--ISNUMBER(SEARCH('Bad Patterns'!$A$2:$A$120,B8575)),0),0)),""))</f>
        <v/>
      </c>
      <c r="D8575">
        <f>IF(B8575="","",IF(C8575&lt;&gt;"","REMOVE","KEEP"))</f>
        <v/>
      </c>
      <c r="E8575">
        <f>IF(D8575&lt;&gt;"KEEP","",IF(RIGHT(B8575,10)="@gmail.com","Gmail",IF(OR(RIGHT(B8575,12)="@outlook.com",RIGHT(B8575,12)="@hotmail.com",RIGHT(B8575,9)="@live.com"),"Outlook","Domain")))</f>
        <v/>
      </c>
      <c r="F8575">
        <f>IF(B8575="","",IFERROR(RIGHT(B8575,LEN(B8575)-FIND("@",B8575)),""))</f>
        <v/>
      </c>
      <c r="G8575">
        <f>IF(D8575="KEEP",COUNTIF($D$2:D8575,"KEEP"),"")</f>
        <v/>
      </c>
      <c r="H8575">
        <f>IF(D8575="REMOVE",COUNTIF($D$2:D8575,"REMOVE"),"")</f>
        <v/>
      </c>
      <c r="I8575">
        <f>IF(E8575="Gmail",COUNTIF($E$2:E8575,"Gmail"),"")</f>
        <v/>
      </c>
      <c r="J8575">
        <f>IF(E8575="Outlook",COUNTIF($E$2:E8575,"Outlook"),"")</f>
        <v/>
      </c>
      <c r="K8575">
        <f>IF(E8575="Domain",COUNTIF($E$2:E8575,"Domain"),"")</f>
        <v/>
      </c>
    </row>
    <row r="8576">
      <c r="A8576" s="2" t="n"/>
      <c r="B8576">
        <f>LOWER(TRIM(A8576))</f>
        <v/>
      </c>
      <c r="C8576">
        <f>IF(B8576="","",IFERROR(INDEX('Bad Patterns'!$A$2:$A$120,MATCH(1,INDEX(--ISNUMBER(SEARCH('Bad Patterns'!$A$2:$A$120,B8576)),0),0)),""))</f>
        <v/>
      </c>
      <c r="D8576">
        <f>IF(B8576="","",IF(C8576&lt;&gt;"","REMOVE","KEEP"))</f>
        <v/>
      </c>
      <c r="E8576">
        <f>IF(D8576&lt;&gt;"KEEP","",IF(RIGHT(B8576,10)="@gmail.com","Gmail",IF(OR(RIGHT(B8576,12)="@outlook.com",RIGHT(B8576,12)="@hotmail.com",RIGHT(B8576,9)="@live.com"),"Outlook","Domain")))</f>
        <v/>
      </c>
      <c r="F8576">
        <f>IF(B8576="","",IFERROR(RIGHT(B8576,LEN(B8576)-FIND("@",B8576)),""))</f>
        <v/>
      </c>
      <c r="G8576">
        <f>IF(D8576="KEEP",COUNTIF($D$2:D8576,"KEEP"),"")</f>
        <v/>
      </c>
      <c r="H8576">
        <f>IF(D8576="REMOVE",COUNTIF($D$2:D8576,"REMOVE"),"")</f>
        <v/>
      </c>
      <c r="I8576">
        <f>IF(E8576="Gmail",COUNTIF($E$2:E8576,"Gmail"),"")</f>
        <v/>
      </c>
      <c r="J8576">
        <f>IF(E8576="Outlook",COUNTIF($E$2:E8576,"Outlook"),"")</f>
        <v/>
      </c>
      <c r="K8576">
        <f>IF(E8576="Domain",COUNTIF($E$2:E8576,"Domain"),"")</f>
        <v/>
      </c>
    </row>
    <row r="8577">
      <c r="A8577" s="2" t="n"/>
      <c r="B8577">
        <f>LOWER(TRIM(A8577))</f>
        <v/>
      </c>
      <c r="C8577">
        <f>IF(B8577="","",IFERROR(INDEX('Bad Patterns'!$A$2:$A$120,MATCH(1,INDEX(--ISNUMBER(SEARCH('Bad Patterns'!$A$2:$A$120,B8577)),0),0)),""))</f>
        <v/>
      </c>
      <c r="D8577">
        <f>IF(B8577="","",IF(C8577&lt;&gt;"","REMOVE","KEEP"))</f>
        <v/>
      </c>
      <c r="E8577">
        <f>IF(D8577&lt;&gt;"KEEP","",IF(RIGHT(B8577,10)="@gmail.com","Gmail",IF(OR(RIGHT(B8577,12)="@outlook.com",RIGHT(B8577,12)="@hotmail.com",RIGHT(B8577,9)="@live.com"),"Outlook","Domain")))</f>
        <v/>
      </c>
      <c r="F8577">
        <f>IF(B8577="","",IFERROR(RIGHT(B8577,LEN(B8577)-FIND("@",B8577)),""))</f>
        <v/>
      </c>
      <c r="G8577">
        <f>IF(D8577="KEEP",COUNTIF($D$2:D8577,"KEEP"),"")</f>
        <v/>
      </c>
      <c r="H8577">
        <f>IF(D8577="REMOVE",COUNTIF($D$2:D8577,"REMOVE"),"")</f>
        <v/>
      </c>
      <c r="I8577">
        <f>IF(E8577="Gmail",COUNTIF($E$2:E8577,"Gmail"),"")</f>
        <v/>
      </c>
      <c r="J8577">
        <f>IF(E8577="Outlook",COUNTIF($E$2:E8577,"Outlook"),"")</f>
        <v/>
      </c>
      <c r="K8577">
        <f>IF(E8577="Domain",COUNTIF($E$2:E8577,"Domain"),"")</f>
        <v/>
      </c>
    </row>
    <row r="8578">
      <c r="A8578" s="2" t="n"/>
      <c r="B8578">
        <f>LOWER(TRIM(A8578))</f>
        <v/>
      </c>
      <c r="C8578">
        <f>IF(B8578="","",IFERROR(INDEX('Bad Patterns'!$A$2:$A$120,MATCH(1,INDEX(--ISNUMBER(SEARCH('Bad Patterns'!$A$2:$A$120,B8578)),0),0)),""))</f>
        <v/>
      </c>
      <c r="D8578">
        <f>IF(B8578="","",IF(C8578&lt;&gt;"","REMOVE","KEEP"))</f>
        <v/>
      </c>
      <c r="E8578">
        <f>IF(D8578&lt;&gt;"KEEP","",IF(RIGHT(B8578,10)="@gmail.com","Gmail",IF(OR(RIGHT(B8578,12)="@outlook.com",RIGHT(B8578,12)="@hotmail.com",RIGHT(B8578,9)="@live.com"),"Outlook","Domain")))</f>
        <v/>
      </c>
      <c r="F8578">
        <f>IF(B8578="","",IFERROR(RIGHT(B8578,LEN(B8578)-FIND("@",B8578)),""))</f>
        <v/>
      </c>
      <c r="G8578">
        <f>IF(D8578="KEEP",COUNTIF($D$2:D8578,"KEEP"),"")</f>
        <v/>
      </c>
      <c r="H8578">
        <f>IF(D8578="REMOVE",COUNTIF($D$2:D8578,"REMOVE"),"")</f>
        <v/>
      </c>
      <c r="I8578">
        <f>IF(E8578="Gmail",COUNTIF($E$2:E8578,"Gmail"),"")</f>
        <v/>
      </c>
      <c r="J8578">
        <f>IF(E8578="Outlook",COUNTIF($E$2:E8578,"Outlook"),"")</f>
        <v/>
      </c>
      <c r="K8578">
        <f>IF(E8578="Domain",COUNTIF($E$2:E8578,"Domain"),"")</f>
        <v/>
      </c>
    </row>
    <row r="8579">
      <c r="A8579" s="2" t="n"/>
      <c r="B8579">
        <f>LOWER(TRIM(A8579))</f>
        <v/>
      </c>
      <c r="C8579">
        <f>IF(B8579="","",IFERROR(INDEX('Bad Patterns'!$A$2:$A$120,MATCH(1,INDEX(--ISNUMBER(SEARCH('Bad Patterns'!$A$2:$A$120,B8579)),0),0)),""))</f>
        <v/>
      </c>
      <c r="D8579">
        <f>IF(B8579="","",IF(C8579&lt;&gt;"","REMOVE","KEEP"))</f>
        <v/>
      </c>
      <c r="E8579">
        <f>IF(D8579&lt;&gt;"KEEP","",IF(RIGHT(B8579,10)="@gmail.com","Gmail",IF(OR(RIGHT(B8579,12)="@outlook.com",RIGHT(B8579,12)="@hotmail.com",RIGHT(B8579,9)="@live.com"),"Outlook","Domain")))</f>
        <v/>
      </c>
      <c r="F8579">
        <f>IF(B8579="","",IFERROR(RIGHT(B8579,LEN(B8579)-FIND("@",B8579)),""))</f>
        <v/>
      </c>
      <c r="G8579">
        <f>IF(D8579="KEEP",COUNTIF($D$2:D8579,"KEEP"),"")</f>
        <v/>
      </c>
      <c r="H8579">
        <f>IF(D8579="REMOVE",COUNTIF($D$2:D8579,"REMOVE"),"")</f>
        <v/>
      </c>
      <c r="I8579">
        <f>IF(E8579="Gmail",COUNTIF($E$2:E8579,"Gmail"),"")</f>
        <v/>
      </c>
      <c r="J8579">
        <f>IF(E8579="Outlook",COUNTIF($E$2:E8579,"Outlook"),"")</f>
        <v/>
      </c>
      <c r="K8579">
        <f>IF(E8579="Domain",COUNTIF($E$2:E8579,"Domain"),"")</f>
        <v/>
      </c>
    </row>
    <row r="8580">
      <c r="A8580" s="2" t="n"/>
      <c r="B8580">
        <f>LOWER(TRIM(A8580))</f>
        <v/>
      </c>
      <c r="C8580">
        <f>IF(B8580="","",IFERROR(INDEX('Bad Patterns'!$A$2:$A$120,MATCH(1,INDEX(--ISNUMBER(SEARCH('Bad Patterns'!$A$2:$A$120,B8580)),0),0)),""))</f>
        <v/>
      </c>
      <c r="D8580">
        <f>IF(B8580="","",IF(C8580&lt;&gt;"","REMOVE","KEEP"))</f>
        <v/>
      </c>
      <c r="E8580">
        <f>IF(D8580&lt;&gt;"KEEP","",IF(RIGHT(B8580,10)="@gmail.com","Gmail",IF(OR(RIGHT(B8580,12)="@outlook.com",RIGHT(B8580,12)="@hotmail.com",RIGHT(B8580,9)="@live.com"),"Outlook","Domain")))</f>
        <v/>
      </c>
      <c r="F8580">
        <f>IF(B8580="","",IFERROR(RIGHT(B8580,LEN(B8580)-FIND("@",B8580)),""))</f>
        <v/>
      </c>
      <c r="G8580">
        <f>IF(D8580="KEEP",COUNTIF($D$2:D8580,"KEEP"),"")</f>
        <v/>
      </c>
      <c r="H8580">
        <f>IF(D8580="REMOVE",COUNTIF($D$2:D8580,"REMOVE"),"")</f>
        <v/>
      </c>
      <c r="I8580">
        <f>IF(E8580="Gmail",COUNTIF($E$2:E8580,"Gmail"),"")</f>
        <v/>
      </c>
      <c r="J8580">
        <f>IF(E8580="Outlook",COUNTIF($E$2:E8580,"Outlook"),"")</f>
        <v/>
      </c>
      <c r="K8580">
        <f>IF(E8580="Domain",COUNTIF($E$2:E8580,"Domain"),"")</f>
        <v/>
      </c>
    </row>
    <row r="8581">
      <c r="A8581" s="2" t="n"/>
      <c r="B8581">
        <f>LOWER(TRIM(A8581))</f>
        <v/>
      </c>
      <c r="C8581">
        <f>IF(B8581="","",IFERROR(INDEX('Bad Patterns'!$A$2:$A$120,MATCH(1,INDEX(--ISNUMBER(SEARCH('Bad Patterns'!$A$2:$A$120,B8581)),0),0)),""))</f>
        <v/>
      </c>
      <c r="D8581">
        <f>IF(B8581="","",IF(C8581&lt;&gt;"","REMOVE","KEEP"))</f>
        <v/>
      </c>
      <c r="E8581">
        <f>IF(D8581&lt;&gt;"KEEP","",IF(RIGHT(B8581,10)="@gmail.com","Gmail",IF(OR(RIGHT(B8581,12)="@outlook.com",RIGHT(B8581,12)="@hotmail.com",RIGHT(B8581,9)="@live.com"),"Outlook","Domain")))</f>
        <v/>
      </c>
      <c r="F8581">
        <f>IF(B8581="","",IFERROR(RIGHT(B8581,LEN(B8581)-FIND("@",B8581)),""))</f>
        <v/>
      </c>
      <c r="G8581">
        <f>IF(D8581="KEEP",COUNTIF($D$2:D8581,"KEEP"),"")</f>
        <v/>
      </c>
      <c r="H8581">
        <f>IF(D8581="REMOVE",COUNTIF($D$2:D8581,"REMOVE"),"")</f>
        <v/>
      </c>
      <c r="I8581">
        <f>IF(E8581="Gmail",COUNTIF($E$2:E8581,"Gmail"),"")</f>
        <v/>
      </c>
      <c r="J8581">
        <f>IF(E8581="Outlook",COUNTIF($E$2:E8581,"Outlook"),"")</f>
        <v/>
      </c>
      <c r="K8581">
        <f>IF(E8581="Domain",COUNTIF($E$2:E8581,"Domain"),"")</f>
        <v/>
      </c>
    </row>
    <row r="8582">
      <c r="A8582" s="2" t="n"/>
      <c r="B8582">
        <f>LOWER(TRIM(A8582))</f>
        <v/>
      </c>
      <c r="C8582">
        <f>IF(B8582="","",IFERROR(INDEX('Bad Patterns'!$A$2:$A$120,MATCH(1,INDEX(--ISNUMBER(SEARCH('Bad Patterns'!$A$2:$A$120,B8582)),0),0)),""))</f>
        <v/>
      </c>
      <c r="D8582">
        <f>IF(B8582="","",IF(C8582&lt;&gt;"","REMOVE","KEEP"))</f>
        <v/>
      </c>
      <c r="E8582">
        <f>IF(D8582&lt;&gt;"KEEP","",IF(RIGHT(B8582,10)="@gmail.com","Gmail",IF(OR(RIGHT(B8582,12)="@outlook.com",RIGHT(B8582,12)="@hotmail.com",RIGHT(B8582,9)="@live.com"),"Outlook","Domain")))</f>
        <v/>
      </c>
      <c r="F8582">
        <f>IF(B8582="","",IFERROR(RIGHT(B8582,LEN(B8582)-FIND("@",B8582)),""))</f>
        <v/>
      </c>
      <c r="G8582">
        <f>IF(D8582="KEEP",COUNTIF($D$2:D8582,"KEEP"),"")</f>
        <v/>
      </c>
      <c r="H8582">
        <f>IF(D8582="REMOVE",COUNTIF($D$2:D8582,"REMOVE"),"")</f>
        <v/>
      </c>
      <c r="I8582">
        <f>IF(E8582="Gmail",COUNTIF($E$2:E8582,"Gmail"),"")</f>
        <v/>
      </c>
      <c r="J8582">
        <f>IF(E8582="Outlook",COUNTIF($E$2:E8582,"Outlook"),"")</f>
        <v/>
      </c>
      <c r="K8582">
        <f>IF(E8582="Domain",COUNTIF($E$2:E8582,"Domain"),"")</f>
        <v/>
      </c>
    </row>
    <row r="8583">
      <c r="A8583" s="2" t="n"/>
      <c r="B8583">
        <f>LOWER(TRIM(A8583))</f>
        <v/>
      </c>
      <c r="C8583">
        <f>IF(B8583="","",IFERROR(INDEX('Bad Patterns'!$A$2:$A$120,MATCH(1,INDEX(--ISNUMBER(SEARCH('Bad Patterns'!$A$2:$A$120,B8583)),0),0)),""))</f>
        <v/>
      </c>
      <c r="D8583">
        <f>IF(B8583="","",IF(C8583&lt;&gt;"","REMOVE","KEEP"))</f>
        <v/>
      </c>
      <c r="E8583">
        <f>IF(D8583&lt;&gt;"KEEP","",IF(RIGHT(B8583,10)="@gmail.com","Gmail",IF(OR(RIGHT(B8583,12)="@outlook.com",RIGHT(B8583,12)="@hotmail.com",RIGHT(B8583,9)="@live.com"),"Outlook","Domain")))</f>
        <v/>
      </c>
      <c r="F8583">
        <f>IF(B8583="","",IFERROR(RIGHT(B8583,LEN(B8583)-FIND("@",B8583)),""))</f>
        <v/>
      </c>
      <c r="G8583">
        <f>IF(D8583="KEEP",COUNTIF($D$2:D8583,"KEEP"),"")</f>
        <v/>
      </c>
      <c r="H8583">
        <f>IF(D8583="REMOVE",COUNTIF($D$2:D8583,"REMOVE"),"")</f>
        <v/>
      </c>
      <c r="I8583">
        <f>IF(E8583="Gmail",COUNTIF($E$2:E8583,"Gmail"),"")</f>
        <v/>
      </c>
      <c r="J8583">
        <f>IF(E8583="Outlook",COUNTIF($E$2:E8583,"Outlook"),"")</f>
        <v/>
      </c>
      <c r="K8583">
        <f>IF(E8583="Domain",COUNTIF($E$2:E8583,"Domain"),"")</f>
        <v/>
      </c>
    </row>
    <row r="8584">
      <c r="A8584" s="2" t="n"/>
      <c r="B8584">
        <f>LOWER(TRIM(A8584))</f>
        <v/>
      </c>
      <c r="C8584">
        <f>IF(B8584="","",IFERROR(INDEX('Bad Patterns'!$A$2:$A$120,MATCH(1,INDEX(--ISNUMBER(SEARCH('Bad Patterns'!$A$2:$A$120,B8584)),0),0)),""))</f>
        <v/>
      </c>
      <c r="D8584">
        <f>IF(B8584="","",IF(C8584&lt;&gt;"","REMOVE","KEEP"))</f>
        <v/>
      </c>
      <c r="E8584">
        <f>IF(D8584&lt;&gt;"KEEP","",IF(RIGHT(B8584,10)="@gmail.com","Gmail",IF(OR(RIGHT(B8584,12)="@outlook.com",RIGHT(B8584,12)="@hotmail.com",RIGHT(B8584,9)="@live.com"),"Outlook","Domain")))</f>
        <v/>
      </c>
      <c r="F8584">
        <f>IF(B8584="","",IFERROR(RIGHT(B8584,LEN(B8584)-FIND("@",B8584)),""))</f>
        <v/>
      </c>
      <c r="G8584">
        <f>IF(D8584="KEEP",COUNTIF($D$2:D8584,"KEEP"),"")</f>
        <v/>
      </c>
      <c r="H8584">
        <f>IF(D8584="REMOVE",COUNTIF($D$2:D8584,"REMOVE"),"")</f>
        <v/>
      </c>
      <c r="I8584">
        <f>IF(E8584="Gmail",COUNTIF($E$2:E8584,"Gmail"),"")</f>
        <v/>
      </c>
      <c r="J8584">
        <f>IF(E8584="Outlook",COUNTIF($E$2:E8584,"Outlook"),"")</f>
        <v/>
      </c>
      <c r="K8584">
        <f>IF(E8584="Domain",COUNTIF($E$2:E8584,"Domain"),"")</f>
        <v/>
      </c>
    </row>
    <row r="8585">
      <c r="A8585" s="2" t="n"/>
      <c r="B8585">
        <f>LOWER(TRIM(A8585))</f>
        <v/>
      </c>
      <c r="C8585">
        <f>IF(B8585="","",IFERROR(INDEX('Bad Patterns'!$A$2:$A$120,MATCH(1,INDEX(--ISNUMBER(SEARCH('Bad Patterns'!$A$2:$A$120,B8585)),0),0)),""))</f>
        <v/>
      </c>
      <c r="D8585">
        <f>IF(B8585="","",IF(C8585&lt;&gt;"","REMOVE","KEEP"))</f>
        <v/>
      </c>
      <c r="E8585">
        <f>IF(D8585&lt;&gt;"KEEP","",IF(RIGHT(B8585,10)="@gmail.com","Gmail",IF(OR(RIGHT(B8585,12)="@outlook.com",RIGHT(B8585,12)="@hotmail.com",RIGHT(B8585,9)="@live.com"),"Outlook","Domain")))</f>
        <v/>
      </c>
      <c r="F8585">
        <f>IF(B8585="","",IFERROR(RIGHT(B8585,LEN(B8585)-FIND("@",B8585)),""))</f>
        <v/>
      </c>
      <c r="G8585">
        <f>IF(D8585="KEEP",COUNTIF($D$2:D8585,"KEEP"),"")</f>
        <v/>
      </c>
      <c r="H8585">
        <f>IF(D8585="REMOVE",COUNTIF($D$2:D8585,"REMOVE"),"")</f>
        <v/>
      </c>
      <c r="I8585">
        <f>IF(E8585="Gmail",COUNTIF($E$2:E8585,"Gmail"),"")</f>
        <v/>
      </c>
      <c r="J8585">
        <f>IF(E8585="Outlook",COUNTIF($E$2:E8585,"Outlook"),"")</f>
        <v/>
      </c>
      <c r="K8585">
        <f>IF(E8585="Domain",COUNTIF($E$2:E8585,"Domain"),"")</f>
        <v/>
      </c>
    </row>
    <row r="8586">
      <c r="A8586" s="2" t="n"/>
      <c r="B8586">
        <f>LOWER(TRIM(A8586))</f>
        <v/>
      </c>
      <c r="C8586">
        <f>IF(B8586="","",IFERROR(INDEX('Bad Patterns'!$A$2:$A$120,MATCH(1,INDEX(--ISNUMBER(SEARCH('Bad Patterns'!$A$2:$A$120,B8586)),0),0)),""))</f>
        <v/>
      </c>
      <c r="D8586">
        <f>IF(B8586="","",IF(C8586&lt;&gt;"","REMOVE","KEEP"))</f>
        <v/>
      </c>
      <c r="E8586">
        <f>IF(D8586&lt;&gt;"KEEP","",IF(RIGHT(B8586,10)="@gmail.com","Gmail",IF(OR(RIGHT(B8586,12)="@outlook.com",RIGHT(B8586,12)="@hotmail.com",RIGHT(B8586,9)="@live.com"),"Outlook","Domain")))</f>
        <v/>
      </c>
      <c r="F8586">
        <f>IF(B8586="","",IFERROR(RIGHT(B8586,LEN(B8586)-FIND("@",B8586)),""))</f>
        <v/>
      </c>
      <c r="G8586">
        <f>IF(D8586="KEEP",COUNTIF($D$2:D8586,"KEEP"),"")</f>
        <v/>
      </c>
      <c r="H8586">
        <f>IF(D8586="REMOVE",COUNTIF($D$2:D8586,"REMOVE"),"")</f>
        <v/>
      </c>
      <c r="I8586">
        <f>IF(E8586="Gmail",COUNTIF($E$2:E8586,"Gmail"),"")</f>
        <v/>
      </c>
      <c r="J8586">
        <f>IF(E8586="Outlook",COUNTIF($E$2:E8586,"Outlook"),"")</f>
        <v/>
      </c>
      <c r="K8586">
        <f>IF(E8586="Domain",COUNTIF($E$2:E8586,"Domain"),"")</f>
        <v/>
      </c>
    </row>
    <row r="8587">
      <c r="A8587" s="2" t="n"/>
      <c r="B8587">
        <f>LOWER(TRIM(A8587))</f>
        <v/>
      </c>
      <c r="C8587">
        <f>IF(B8587="","",IFERROR(INDEX('Bad Patterns'!$A$2:$A$120,MATCH(1,INDEX(--ISNUMBER(SEARCH('Bad Patterns'!$A$2:$A$120,B8587)),0),0)),""))</f>
        <v/>
      </c>
      <c r="D8587">
        <f>IF(B8587="","",IF(C8587&lt;&gt;"","REMOVE","KEEP"))</f>
        <v/>
      </c>
      <c r="E8587">
        <f>IF(D8587&lt;&gt;"KEEP","",IF(RIGHT(B8587,10)="@gmail.com","Gmail",IF(OR(RIGHT(B8587,12)="@outlook.com",RIGHT(B8587,12)="@hotmail.com",RIGHT(B8587,9)="@live.com"),"Outlook","Domain")))</f>
        <v/>
      </c>
      <c r="F8587">
        <f>IF(B8587="","",IFERROR(RIGHT(B8587,LEN(B8587)-FIND("@",B8587)),""))</f>
        <v/>
      </c>
      <c r="G8587">
        <f>IF(D8587="KEEP",COUNTIF($D$2:D8587,"KEEP"),"")</f>
        <v/>
      </c>
      <c r="H8587">
        <f>IF(D8587="REMOVE",COUNTIF($D$2:D8587,"REMOVE"),"")</f>
        <v/>
      </c>
      <c r="I8587">
        <f>IF(E8587="Gmail",COUNTIF($E$2:E8587,"Gmail"),"")</f>
        <v/>
      </c>
      <c r="J8587">
        <f>IF(E8587="Outlook",COUNTIF($E$2:E8587,"Outlook"),"")</f>
        <v/>
      </c>
      <c r="K8587">
        <f>IF(E8587="Domain",COUNTIF($E$2:E8587,"Domain"),"")</f>
        <v/>
      </c>
    </row>
    <row r="8588">
      <c r="A8588" s="2" t="n"/>
      <c r="B8588">
        <f>LOWER(TRIM(A8588))</f>
        <v/>
      </c>
      <c r="C8588">
        <f>IF(B8588="","",IFERROR(INDEX('Bad Patterns'!$A$2:$A$120,MATCH(1,INDEX(--ISNUMBER(SEARCH('Bad Patterns'!$A$2:$A$120,B8588)),0),0)),""))</f>
        <v/>
      </c>
      <c r="D8588">
        <f>IF(B8588="","",IF(C8588&lt;&gt;"","REMOVE","KEEP"))</f>
        <v/>
      </c>
      <c r="E8588">
        <f>IF(D8588&lt;&gt;"KEEP","",IF(RIGHT(B8588,10)="@gmail.com","Gmail",IF(OR(RIGHT(B8588,12)="@outlook.com",RIGHT(B8588,12)="@hotmail.com",RIGHT(B8588,9)="@live.com"),"Outlook","Domain")))</f>
        <v/>
      </c>
      <c r="F8588">
        <f>IF(B8588="","",IFERROR(RIGHT(B8588,LEN(B8588)-FIND("@",B8588)),""))</f>
        <v/>
      </c>
      <c r="G8588">
        <f>IF(D8588="KEEP",COUNTIF($D$2:D8588,"KEEP"),"")</f>
        <v/>
      </c>
      <c r="H8588">
        <f>IF(D8588="REMOVE",COUNTIF($D$2:D8588,"REMOVE"),"")</f>
        <v/>
      </c>
      <c r="I8588">
        <f>IF(E8588="Gmail",COUNTIF($E$2:E8588,"Gmail"),"")</f>
        <v/>
      </c>
      <c r="J8588">
        <f>IF(E8588="Outlook",COUNTIF($E$2:E8588,"Outlook"),"")</f>
        <v/>
      </c>
      <c r="K8588">
        <f>IF(E8588="Domain",COUNTIF($E$2:E8588,"Domain"),"")</f>
        <v/>
      </c>
    </row>
    <row r="8589">
      <c r="A8589" s="2" t="n"/>
      <c r="B8589">
        <f>LOWER(TRIM(A8589))</f>
        <v/>
      </c>
      <c r="C8589">
        <f>IF(B8589="","",IFERROR(INDEX('Bad Patterns'!$A$2:$A$120,MATCH(1,INDEX(--ISNUMBER(SEARCH('Bad Patterns'!$A$2:$A$120,B8589)),0),0)),""))</f>
        <v/>
      </c>
      <c r="D8589">
        <f>IF(B8589="","",IF(C8589&lt;&gt;"","REMOVE","KEEP"))</f>
        <v/>
      </c>
      <c r="E8589">
        <f>IF(D8589&lt;&gt;"KEEP","",IF(RIGHT(B8589,10)="@gmail.com","Gmail",IF(OR(RIGHT(B8589,12)="@outlook.com",RIGHT(B8589,12)="@hotmail.com",RIGHT(B8589,9)="@live.com"),"Outlook","Domain")))</f>
        <v/>
      </c>
      <c r="F8589">
        <f>IF(B8589="","",IFERROR(RIGHT(B8589,LEN(B8589)-FIND("@",B8589)),""))</f>
        <v/>
      </c>
      <c r="G8589">
        <f>IF(D8589="KEEP",COUNTIF($D$2:D8589,"KEEP"),"")</f>
        <v/>
      </c>
      <c r="H8589">
        <f>IF(D8589="REMOVE",COUNTIF($D$2:D8589,"REMOVE"),"")</f>
        <v/>
      </c>
      <c r="I8589">
        <f>IF(E8589="Gmail",COUNTIF($E$2:E8589,"Gmail"),"")</f>
        <v/>
      </c>
      <c r="J8589">
        <f>IF(E8589="Outlook",COUNTIF($E$2:E8589,"Outlook"),"")</f>
        <v/>
      </c>
      <c r="K8589">
        <f>IF(E8589="Domain",COUNTIF($E$2:E8589,"Domain"),"")</f>
        <v/>
      </c>
    </row>
    <row r="8590">
      <c r="A8590" s="2" t="n"/>
      <c r="B8590">
        <f>LOWER(TRIM(A8590))</f>
        <v/>
      </c>
      <c r="C8590">
        <f>IF(B8590="","",IFERROR(INDEX('Bad Patterns'!$A$2:$A$120,MATCH(1,INDEX(--ISNUMBER(SEARCH('Bad Patterns'!$A$2:$A$120,B8590)),0),0)),""))</f>
        <v/>
      </c>
      <c r="D8590">
        <f>IF(B8590="","",IF(C8590&lt;&gt;"","REMOVE","KEEP"))</f>
        <v/>
      </c>
      <c r="E8590">
        <f>IF(D8590&lt;&gt;"KEEP","",IF(RIGHT(B8590,10)="@gmail.com","Gmail",IF(OR(RIGHT(B8590,12)="@outlook.com",RIGHT(B8590,12)="@hotmail.com",RIGHT(B8590,9)="@live.com"),"Outlook","Domain")))</f>
        <v/>
      </c>
      <c r="F8590">
        <f>IF(B8590="","",IFERROR(RIGHT(B8590,LEN(B8590)-FIND("@",B8590)),""))</f>
        <v/>
      </c>
      <c r="G8590">
        <f>IF(D8590="KEEP",COUNTIF($D$2:D8590,"KEEP"),"")</f>
        <v/>
      </c>
      <c r="H8590">
        <f>IF(D8590="REMOVE",COUNTIF($D$2:D8590,"REMOVE"),"")</f>
        <v/>
      </c>
      <c r="I8590">
        <f>IF(E8590="Gmail",COUNTIF($E$2:E8590,"Gmail"),"")</f>
        <v/>
      </c>
      <c r="J8590">
        <f>IF(E8590="Outlook",COUNTIF($E$2:E8590,"Outlook"),"")</f>
        <v/>
      </c>
      <c r="K8590">
        <f>IF(E8590="Domain",COUNTIF($E$2:E8590,"Domain"),"")</f>
        <v/>
      </c>
    </row>
    <row r="8591">
      <c r="A8591" s="2" t="n"/>
      <c r="B8591">
        <f>LOWER(TRIM(A8591))</f>
        <v/>
      </c>
      <c r="C8591">
        <f>IF(B8591="","",IFERROR(INDEX('Bad Patterns'!$A$2:$A$120,MATCH(1,INDEX(--ISNUMBER(SEARCH('Bad Patterns'!$A$2:$A$120,B8591)),0),0)),""))</f>
        <v/>
      </c>
      <c r="D8591">
        <f>IF(B8591="","",IF(C8591&lt;&gt;"","REMOVE","KEEP"))</f>
        <v/>
      </c>
      <c r="E8591">
        <f>IF(D8591&lt;&gt;"KEEP","",IF(RIGHT(B8591,10)="@gmail.com","Gmail",IF(OR(RIGHT(B8591,12)="@outlook.com",RIGHT(B8591,12)="@hotmail.com",RIGHT(B8591,9)="@live.com"),"Outlook","Domain")))</f>
        <v/>
      </c>
      <c r="F8591">
        <f>IF(B8591="","",IFERROR(RIGHT(B8591,LEN(B8591)-FIND("@",B8591)),""))</f>
        <v/>
      </c>
      <c r="G8591">
        <f>IF(D8591="KEEP",COUNTIF($D$2:D8591,"KEEP"),"")</f>
        <v/>
      </c>
      <c r="H8591">
        <f>IF(D8591="REMOVE",COUNTIF($D$2:D8591,"REMOVE"),"")</f>
        <v/>
      </c>
      <c r="I8591">
        <f>IF(E8591="Gmail",COUNTIF($E$2:E8591,"Gmail"),"")</f>
        <v/>
      </c>
      <c r="J8591">
        <f>IF(E8591="Outlook",COUNTIF($E$2:E8591,"Outlook"),"")</f>
        <v/>
      </c>
      <c r="K8591">
        <f>IF(E8591="Domain",COUNTIF($E$2:E8591,"Domain"),"")</f>
        <v/>
      </c>
    </row>
    <row r="8592">
      <c r="A8592" s="2" t="n"/>
      <c r="B8592">
        <f>LOWER(TRIM(A8592))</f>
        <v/>
      </c>
      <c r="C8592">
        <f>IF(B8592="","",IFERROR(INDEX('Bad Patterns'!$A$2:$A$120,MATCH(1,INDEX(--ISNUMBER(SEARCH('Bad Patterns'!$A$2:$A$120,B8592)),0),0)),""))</f>
        <v/>
      </c>
      <c r="D8592">
        <f>IF(B8592="","",IF(C8592&lt;&gt;"","REMOVE","KEEP"))</f>
        <v/>
      </c>
      <c r="E8592">
        <f>IF(D8592&lt;&gt;"KEEP","",IF(RIGHT(B8592,10)="@gmail.com","Gmail",IF(OR(RIGHT(B8592,12)="@outlook.com",RIGHT(B8592,12)="@hotmail.com",RIGHT(B8592,9)="@live.com"),"Outlook","Domain")))</f>
        <v/>
      </c>
      <c r="F8592">
        <f>IF(B8592="","",IFERROR(RIGHT(B8592,LEN(B8592)-FIND("@",B8592)),""))</f>
        <v/>
      </c>
      <c r="G8592">
        <f>IF(D8592="KEEP",COUNTIF($D$2:D8592,"KEEP"),"")</f>
        <v/>
      </c>
      <c r="H8592">
        <f>IF(D8592="REMOVE",COUNTIF($D$2:D8592,"REMOVE"),"")</f>
        <v/>
      </c>
      <c r="I8592">
        <f>IF(E8592="Gmail",COUNTIF($E$2:E8592,"Gmail"),"")</f>
        <v/>
      </c>
      <c r="J8592">
        <f>IF(E8592="Outlook",COUNTIF($E$2:E8592,"Outlook"),"")</f>
        <v/>
      </c>
      <c r="K8592">
        <f>IF(E8592="Domain",COUNTIF($E$2:E8592,"Domain"),"")</f>
        <v/>
      </c>
    </row>
    <row r="8593">
      <c r="A8593" s="2" t="n"/>
      <c r="B8593">
        <f>LOWER(TRIM(A8593))</f>
        <v/>
      </c>
      <c r="C8593">
        <f>IF(B8593="","",IFERROR(INDEX('Bad Patterns'!$A$2:$A$120,MATCH(1,INDEX(--ISNUMBER(SEARCH('Bad Patterns'!$A$2:$A$120,B8593)),0),0)),""))</f>
        <v/>
      </c>
      <c r="D8593">
        <f>IF(B8593="","",IF(C8593&lt;&gt;"","REMOVE","KEEP"))</f>
        <v/>
      </c>
      <c r="E8593">
        <f>IF(D8593&lt;&gt;"KEEP","",IF(RIGHT(B8593,10)="@gmail.com","Gmail",IF(OR(RIGHT(B8593,12)="@outlook.com",RIGHT(B8593,12)="@hotmail.com",RIGHT(B8593,9)="@live.com"),"Outlook","Domain")))</f>
        <v/>
      </c>
      <c r="F8593">
        <f>IF(B8593="","",IFERROR(RIGHT(B8593,LEN(B8593)-FIND("@",B8593)),""))</f>
        <v/>
      </c>
      <c r="G8593">
        <f>IF(D8593="KEEP",COUNTIF($D$2:D8593,"KEEP"),"")</f>
        <v/>
      </c>
      <c r="H8593">
        <f>IF(D8593="REMOVE",COUNTIF($D$2:D8593,"REMOVE"),"")</f>
        <v/>
      </c>
      <c r="I8593">
        <f>IF(E8593="Gmail",COUNTIF($E$2:E8593,"Gmail"),"")</f>
        <v/>
      </c>
      <c r="J8593">
        <f>IF(E8593="Outlook",COUNTIF($E$2:E8593,"Outlook"),"")</f>
        <v/>
      </c>
      <c r="K8593">
        <f>IF(E8593="Domain",COUNTIF($E$2:E8593,"Domain"),"")</f>
        <v/>
      </c>
    </row>
    <row r="8594">
      <c r="A8594" s="2" t="n"/>
      <c r="B8594">
        <f>LOWER(TRIM(A8594))</f>
        <v/>
      </c>
      <c r="C8594">
        <f>IF(B8594="","",IFERROR(INDEX('Bad Patterns'!$A$2:$A$120,MATCH(1,INDEX(--ISNUMBER(SEARCH('Bad Patterns'!$A$2:$A$120,B8594)),0),0)),""))</f>
        <v/>
      </c>
      <c r="D8594">
        <f>IF(B8594="","",IF(C8594&lt;&gt;"","REMOVE","KEEP"))</f>
        <v/>
      </c>
      <c r="E8594">
        <f>IF(D8594&lt;&gt;"KEEP","",IF(RIGHT(B8594,10)="@gmail.com","Gmail",IF(OR(RIGHT(B8594,12)="@outlook.com",RIGHT(B8594,12)="@hotmail.com",RIGHT(B8594,9)="@live.com"),"Outlook","Domain")))</f>
        <v/>
      </c>
      <c r="F8594">
        <f>IF(B8594="","",IFERROR(RIGHT(B8594,LEN(B8594)-FIND("@",B8594)),""))</f>
        <v/>
      </c>
      <c r="G8594">
        <f>IF(D8594="KEEP",COUNTIF($D$2:D8594,"KEEP"),"")</f>
        <v/>
      </c>
      <c r="H8594">
        <f>IF(D8594="REMOVE",COUNTIF($D$2:D8594,"REMOVE"),"")</f>
        <v/>
      </c>
      <c r="I8594">
        <f>IF(E8594="Gmail",COUNTIF($E$2:E8594,"Gmail"),"")</f>
        <v/>
      </c>
      <c r="J8594">
        <f>IF(E8594="Outlook",COUNTIF($E$2:E8594,"Outlook"),"")</f>
        <v/>
      </c>
      <c r="K8594">
        <f>IF(E8594="Domain",COUNTIF($E$2:E8594,"Domain"),"")</f>
        <v/>
      </c>
    </row>
    <row r="8595">
      <c r="A8595" s="2" t="n"/>
      <c r="B8595">
        <f>LOWER(TRIM(A8595))</f>
        <v/>
      </c>
      <c r="C8595">
        <f>IF(B8595="","",IFERROR(INDEX('Bad Patterns'!$A$2:$A$120,MATCH(1,INDEX(--ISNUMBER(SEARCH('Bad Patterns'!$A$2:$A$120,B8595)),0),0)),""))</f>
        <v/>
      </c>
      <c r="D8595">
        <f>IF(B8595="","",IF(C8595&lt;&gt;"","REMOVE","KEEP"))</f>
        <v/>
      </c>
      <c r="E8595">
        <f>IF(D8595&lt;&gt;"KEEP","",IF(RIGHT(B8595,10)="@gmail.com","Gmail",IF(OR(RIGHT(B8595,12)="@outlook.com",RIGHT(B8595,12)="@hotmail.com",RIGHT(B8595,9)="@live.com"),"Outlook","Domain")))</f>
        <v/>
      </c>
      <c r="F8595">
        <f>IF(B8595="","",IFERROR(RIGHT(B8595,LEN(B8595)-FIND("@",B8595)),""))</f>
        <v/>
      </c>
      <c r="G8595">
        <f>IF(D8595="KEEP",COUNTIF($D$2:D8595,"KEEP"),"")</f>
        <v/>
      </c>
      <c r="H8595">
        <f>IF(D8595="REMOVE",COUNTIF($D$2:D8595,"REMOVE"),"")</f>
        <v/>
      </c>
      <c r="I8595">
        <f>IF(E8595="Gmail",COUNTIF($E$2:E8595,"Gmail"),"")</f>
        <v/>
      </c>
      <c r="J8595">
        <f>IF(E8595="Outlook",COUNTIF($E$2:E8595,"Outlook"),"")</f>
        <v/>
      </c>
      <c r="K8595">
        <f>IF(E8595="Domain",COUNTIF($E$2:E8595,"Domain"),"")</f>
        <v/>
      </c>
    </row>
    <row r="8596">
      <c r="A8596" s="2" t="n"/>
      <c r="B8596">
        <f>LOWER(TRIM(A8596))</f>
        <v/>
      </c>
      <c r="C8596">
        <f>IF(B8596="","",IFERROR(INDEX('Bad Patterns'!$A$2:$A$120,MATCH(1,INDEX(--ISNUMBER(SEARCH('Bad Patterns'!$A$2:$A$120,B8596)),0),0)),""))</f>
        <v/>
      </c>
      <c r="D8596">
        <f>IF(B8596="","",IF(C8596&lt;&gt;"","REMOVE","KEEP"))</f>
        <v/>
      </c>
      <c r="E8596">
        <f>IF(D8596&lt;&gt;"KEEP","",IF(RIGHT(B8596,10)="@gmail.com","Gmail",IF(OR(RIGHT(B8596,12)="@outlook.com",RIGHT(B8596,12)="@hotmail.com",RIGHT(B8596,9)="@live.com"),"Outlook","Domain")))</f>
        <v/>
      </c>
      <c r="F8596">
        <f>IF(B8596="","",IFERROR(RIGHT(B8596,LEN(B8596)-FIND("@",B8596)),""))</f>
        <v/>
      </c>
      <c r="G8596">
        <f>IF(D8596="KEEP",COUNTIF($D$2:D8596,"KEEP"),"")</f>
        <v/>
      </c>
      <c r="H8596">
        <f>IF(D8596="REMOVE",COUNTIF($D$2:D8596,"REMOVE"),"")</f>
        <v/>
      </c>
      <c r="I8596">
        <f>IF(E8596="Gmail",COUNTIF($E$2:E8596,"Gmail"),"")</f>
        <v/>
      </c>
      <c r="J8596">
        <f>IF(E8596="Outlook",COUNTIF($E$2:E8596,"Outlook"),"")</f>
        <v/>
      </c>
      <c r="K8596">
        <f>IF(E8596="Domain",COUNTIF($E$2:E8596,"Domain"),"")</f>
        <v/>
      </c>
    </row>
    <row r="8597">
      <c r="A8597" s="2" t="n"/>
      <c r="B8597">
        <f>LOWER(TRIM(A8597))</f>
        <v/>
      </c>
      <c r="C8597">
        <f>IF(B8597="","",IFERROR(INDEX('Bad Patterns'!$A$2:$A$120,MATCH(1,INDEX(--ISNUMBER(SEARCH('Bad Patterns'!$A$2:$A$120,B8597)),0),0)),""))</f>
        <v/>
      </c>
      <c r="D8597">
        <f>IF(B8597="","",IF(C8597&lt;&gt;"","REMOVE","KEEP"))</f>
        <v/>
      </c>
      <c r="E8597">
        <f>IF(D8597&lt;&gt;"KEEP","",IF(RIGHT(B8597,10)="@gmail.com","Gmail",IF(OR(RIGHT(B8597,12)="@outlook.com",RIGHT(B8597,12)="@hotmail.com",RIGHT(B8597,9)="@live.com"),"Outlook","Domain")))</f>
        <v/>
      </c>
      <c r="F8597">
        <f>IF(B8597="","",IFERROR(RIGHT(B8597,LEN(B8597)-FIND("@",B8597)),""))</f>
        <v/>
      </c>
      <c r="G8597">
        <f>IF(D8597="KEEP",COUNTIF($D$2:D8597,"KEEP"),"")</f>
        <v/>
      </c>
      <c r="H8597">
        <f>IF(D8597="REMOVE",COUNTIF($D$2:D8597,"REMOVE"),"")</f>
        <v/>
      </c>
      <c r="I8597">
        <f>IF(E8597="Gmail",COUNTIF($E$2:E8597,"Gmail"),"")</f>
        <v/>
      </c>
      <c r="J8597">
        <f>IF(E8597="Outlook",COUNTIF($E$2:E8597,"Outlook"),"")</f>
        <v/>
      </c>
      <c r="K8597">
        <f>IF(E8597="Domain",COUNTIF($E$2:E8597,"Domain"),"")</f>
        <v/>
      </c>
    </row>
    <row r="8598">
      <c r="A8598" s="2" t="n"/>
      <c r="B8598">
        <f>LOWER(TRIM(A8598))</f>
        <v/>
      </c>
      <c r="C8598">
        <f>IF(B8598="","",IFERROR(INDEX('Bad Patterns'!$A$2:$A$120,MATCH(1,INDEX(--ISNUMBER(SEARCH('Bad Patterns'!$A$2:$A$120,B8598)),0),0)),""))</f>
        <v/>
      </c>
      <c r="D8598">
        <f>IF(B8598="","",IF(C8598&lt;&gt;"","REMOVE","KEEP"))</f>
        <v/>
      </c>
      <c r="E8598">
        <f>IF(D8598&lt;&gt;"KEEP","",IF(RIGHT(B8598,10)="@gmail.com","Gmail",IF(OR(RIGHT(B8598,12)="@outlook.com",RIGHT(B8598,12)="@hotmail.com",RIGHT(B8598,9)="@live.com"),"Outlook","Domain")))</f>
        <v/>
      </c>
      <c r="F8598">
        <f>IF(B8598="","",IFERROR(RIGHT(B8598,LEN(B8598)-FIND("@",B8598)),""))</f>
        <v/>
      </c>
      <c r="G8598">
        <f>IF(D8598="KEEP",COUNTIF($D$2:D8598,"KEEP"),"")</f>
        <v/>
      </c>
      <c r="H8598">
        <f>IF(D8598="REMOVE",COUNTIF($D$2:D8598,"REMOVE"),"")</f>
        <v/>
      </c>
      <c r="I8598">
        <f>IF(E8598="Gmail",COUNTIF($E$2:E8598,"Gmail"),"")</f>
        <v/>
      </c>
      <c r="J8598">
        <f>IF(E8598="Outlook",COUNTIF($E$2:E8598,"Outlook"),"")</f>
        <v/>
      </c>
      <c r="K8598">
        <f>IF(E8598="Domain",COUNTIF($E$2:E8598,"Domain"),"")</f>
        <v/>
      </c>
    </row>
    <row r="8599">
      <c r="A8599" s="2" t="n"/>
      <c r="B8599">
        <f>LOWER(TRIM(A8599))</f>
        <v/>
      </c>
      <c r="C8599">
        <f>IF(B8599="","",IFERROR(INDEX('Bad Patterns'!$A$2:$A$120,MATCH(1,INDEX(--ISNUMBER(SEARCH('Bad Patterns'!$A$2:$A$120,B8599)),0),0)),""))</f>
        <v/>
      </c>
      <c r="D8599">
        <f>IF(B8599="","",IF(C8599&lt;&gt;"","REMOVE","KEEP"))</f>
        <v/>
      </c>
      <c r="E8599">
        <f>IF(D8599&lt;&gt;"KEEP","",IF(RIGHT(B8599,10)="@gmail.com","Gmail",IF(OR(RIGHT(B8599,12)="@outlook.com",RIGHT(B8599,12)="@hotmail.com",RIGHT(B8599,9)="@live.com"),"Outlook","Domain")))</f>
        <v/>
      </c>
      <c r="F8599">
        <f>IF(B8599="","",IFERROR(RIGHT(B8599,LEN(B8599)-FIND("@",B8599)),""))</f>
        <v/>
      </c>
      <c r="G8599">
        <f>IF(D8599="KEEP",COUNTIF($D$2:D8599,"KEEP"),"")</f>
        <v/>
      </c>
      <c r="H8599">
        <f>IF(D8599="REMOVE",COUNTIF($D$2:D8599,"REMOVE"),"")</f>
        <v/>
      </c>
      <c r="I8599">
        <f>IF(E8599="Gmail",COUNTIF($E$2:E8599,"Gmail"),"")</f>
        <v/>
      </c>
      <c r="J8599">
        <f>IF(E8599="Outlook",COUNTIF($E$2:E8599,"Outlook"),"")</f>
        <v/>
      </c>
      <c r="K8599">
        <f>IF(E8599="Domain",COUNTIF($E$2:E8599,"Domain"),"")</f>
        <v/>
      </c>
    </row>
    <row r="8600">
      <c r="A8600" s="2" t="n"/>
      <c r="B8600">
        <f>LOWER(TRIM(A8600))</f>
        <v/>
      </c>
      <c r="C8600">
        <f>IF(B8600="","",IFERROR(INDEX('Bad Patterns'!$A$2:$A$120,MATCH(1,INDEX(--ISNUMBER(SEARCH('Bad Patterns'!$A$2:$A$120,B8600)),0),0)),""))</f>
        <v/>
      </c>
      <c r="D8600">
        <f>IF(B8600="","",IF(C8600&lt;&gt;"","REMOVE","KEEP"))</f>
        <v/>
      </c>
      <c r="E8600">
        <f>IF(D8600&lt;&gt;"KEEP","",IF(RIGHT(B8600,10)="@gmail.com","Gmail",IF(OR(RIGHT(B8600,12)="@outlook.com",RIGHT(B8600,12)="@hotmail.com",RIGHT(B8600,9)="@live.com"),"Outlook","Domain")))</f>
        <v/>
      </c>
      <c r="F8600">
        <f>IF(B8600="","",IFERROR(RIGHT(B8600,LEN(B8600)-FIND("@",B8600)),""))</f>
        <v/>
      </c>
      <c r="G8600">
        <f>IF(D8600="KEEP",COUNTIF($D$2:D8600,"KEEP"),"")</f>
        <v/>
      </c>
      <c r="H8600">
        <f>IF(D8600="REMOVE",COUNTIF($D$2:D8600,"REMOVE"),"")</f>
        <v/>
      </c>
      <c r="I8600">
        <f>IF(E8600="Gmail",COUNTIF($E$2:E8600,"Gmail"),"")</f>
        <v/>
      </c>
      <c r="J8600">
        <f>IF(E8600="Outlook",COUNTIF($E$2:E8600,"Outlook"),"")</f>
        <v/>
      </c>
      <c r="K8600">
        <f>IF(E8600="Domain",COUNTIF($E$2:E8600,"Domain"),"")</f>
        <v/>
      </c>
    </row>
    <row r="8601">
      <c r="A8601" s="2" t="n"/>
      <c r="B8601">
        <f>LOWER(TRIM(A8601))</f>
        <v/>
      </c>
      <c r="C8601">
        <f>IF(B8601="","",IFERROR(INDEX('Bad Patterns'!$A$2:$A$120,MATCH(1,INDEX(--ISNUMBER(SEARCH('Bad Patterns'!$A$2:$A$120,B8601)),0),0)),""))</f>
        <v/>
      </c>
      <c r="D8601">
        <f>IF(B8601="","",IF(C8601&lt;&gt;"","REMOVE","KEEP"))</f>
        <v/>
      </c>
      <c r="E8601">
        <f>IF(D8601&lt;&gt;"KEEP","",IF(RIGHT(B8601,10)="@gmail.com","Gmail",IF(OR(RIGHT(B8601,12)="@outlook.com",RIGHT(B8601,12)="@hotmail.com",RIGHT(B8601,9)="@live.com"),"Outlook","Domain")))</f>
        <v/>
      </c>
      <c r="F8601">
        <f>IF(B8601="","",IFERROR(RIGHT(B8601,LEN(B8601)-FIND("@",B8601)),""))</f>
        <v/>
      </c>
      <c r="G8601">
        <f>IF(D8601="KEEP",COUNTIF($D$2:D8601,"KEEP"),"")</f>
        <v/>
      </c>
      <c r="H8601">
        <f>IF(D8601="REMOVE",COUNTIF($D$2:D8601,"REMOVE"),"")</f>
        <v/>
      </c>
      <c r="I8601">
        <f>IF(E8601="Gmail",COUNTIF($E$2:E8601,"Gmail"),"")</f>
        <v/>
      </c>
      <c r="J8601">
        <f>IF(E8601="Outlook",COUNTIF($E$2:E8601,"Outlook"),"")</f>
        <v/>
      </c>
      <c r="K8601">
        <f>IF(E8601="Domain",COUNTIF($E$2:E8601,"Domain"),"")</f>
        <v/>
      </c>
    </row>
    <row r="8602">
      <c r="A8602" s="2" t="n"/>
      <c r="B8602">
        <f>LOWER(TRIM(A8602))</f>
        <v/>
      </c>
      <c r="C8602">
        <f>IF(B8602="","",IFERROR(INDEX('Bad Patterns'!$A$2:$A$120,MATCH(1,INDEX(--ISNUMBER(SEARCH('Bad Patterns'!$A$2:$A$120,B8602)),0),0)),""))</f>
        <v/>
      </c>
      <c r="D8602">
        <f>IF(B8602="","",IF(C8602&lt;&gt;"","REMOVE","KEEP"))</f>
        <v/>
      </c>
      <c r="E8602">
        <f>IF(D8602&lt;&gt;"KEEP","",IF(RIGHT(B8602,10)="@gmail.com","Gmail",IF(OR(RIGHT(B8602,12)="@outlook.com",RIGHT(B8602,12)="@hotmail.com",RIGHT(B8602,9)="@live.com"),"Outlook","Domain")))</f>
        <v/>
      </c>
      <c r="F8602">
        <f>IF(B8602="","",IFERROR(RIGHT(B8602,LEN(B8602)-FIND("@",B8602)),""))</f>
        <v/>
      </c>
      <c r="G8602">
        <f>IF(D8602="KEEP",COUNTIF($D$2:D8602,"KEEP"),"")</f>
        <v/>
      </c>
      <c r="H8602">
        <f>IF(D8602="REMOVE",COUNTIF($D$2:D8602,"REMOVE"),"")</f>
        <v/>
      </c>
      <c r="I8602">
        <f>IF(E8602="Gmail",COUNTIF($E$2:E8602,"Gmail"),"")</f>
        <v/>
      </c>
      <c r="J8602">
        <f>IF(E8602="Outlook",COUNTIF($E$2:E8602,"Outlook"),"")</f>
        <v/>
      </c>
      <c r="K8602">
        <f>IF(E8602="Domain",COUNTIF($E$2:E8602,"Domain"),"")</f>
        <v/>
      </c>
    </row>
    <row r="8603">
      <c r="A8603" s="2" t="n"/>
      <c r="B8603">
        <f>LOWER(TRIM(A8603))</f>
        <v/>
      </c>
      <c r="C8603">
        <f>IF(B8603="","",IFERROR(INDEX('Bad Patterns'!$A$2:$A$120,MATCH(1,INDEX(--ISNUMBER(SEARCH('Bad Patterns'!$A$2:$A$120,B8603)),0),0)),""))</f>
        <v/>
      </c>
      <c r="D8603">
        <f>IF(B8603="","",IF(C8603&lt;&gt;"","REMOVE","KEEP"))</f>
        <v/>
      </c>
      <c r="E8603">
        <f>IF(D8603&lt;&gt;"KEEP","",IF(RIGHT(B8603,10)="@gmail.com","Gmail",IF(OR(RIGHT(B8603,12)="@outlook.com",RIGHT(B8603,12)="@hotmail.com",RIGHT(B8603,9)="@live.com"),"Outlook","Domain")))</f>
        <v/>
      </c>
      <c r="F8603">
        <f>IF(B8603="","",IFERROR(RIGHT(B8603,LEN(B8603)-FIND("@",B8603)),""))</f>
        <v/>
      </c>
      <c r="G8603">
        <f>IF(D8603="KEEP",COUNTIF($D$2:D8603,"KEEP"),"")</f>
        <v/>
      </c>
      <c r="H8603">
        <f>IF(D8603="REMOVE",COUNTIF($D$2:D8603,"REMOVE"),"")</f>
        <v/>
      </c>
      <c r="I8603">
        <f>IF(E8603="Gmail",COUNTIF($E$2:E8603,"Gmail"),"")</f>
        <v/>
      </c>
      <c r="J8603">
        <f>IF(E8603="Outlook",COUNTIF($E$2:E8603,"Outlook"),"")</f>
        <v/>
      </c>
      <c r="K8603">
        <f>IF(E8603="Domain",COUNTIF($E$2:E8603,"Domain"),"")</f>
        <v/>
      </c>
    </row>
    <row r="8604">
      <c r="A8604" s="2" t="n"/>
      <c r="B8604">
        <f>LOWER(TRIM(A8604))</f>
        <v/>
      </c>
      <c r="C8604">
        <f>IF(B8604="","",IFERROR(INDEX('Bad Patterns'!$A$2:$A$120,MATCH(1,INDEX(--ISNUMBER(SEARCH('Bad Patterns'!$A$2:$A$120,B8604)),0),0)),""))</f>
        <v/>
      </c>
      <c r="D8604">
        <f>IF(B8604="","",IF(C8604&lt;&gt;"","REMOVE","KEEP"))</f>
        <v/>
      </c>
      <c r="E8604">
        <f>IF(D8604&lt;&gt;"KEEP","",IF(RIGHT(B8604,10)="@gmail.com","Gmail",IF(OR(RIGHT(B8604,12)="@outlook.com",RIGHT(B8604,12)="@hotmail.com",RIGHT(B8604,9)="@live.com"),"Outlook","Domain")))</f>
        <v/>
      </c>
      <c r="F8604">
        <f>IF(B8604="","",IFERROR(RIGHT(B8604,LEN(B8604)-FIND("@",B8604)),""))</f>
        <v/>
      </c>
      <c r="G8604">
        <f>IF(D8604="KEEP",COUNTIF($D$2:D8604,"KEEP"),"")</f>
        <v/>
      </c>
      <c r="H8604">
        <f>IF(D8604="REMOVE",COUNTIF($D$2:D8604,"REMOVE"),"")</f>
        <v/>
      </c>
      <c r="I8604">
        <f>IF(E8604="Gmail",COUNTIF($E$2:E8604,"Gmail"),"")</f>
        <v/>
      </c>
      <c r="J8604">
        <f>IF(E8604="Outlook",COUNTIF($E$2:E8604,"Outlook"),"")</f>
        <v/>
      </c>
      <c r="K8604">
        <f>IF(E8604="Domain",COUNTIF($E$2:E8604,"Domain"),"")</f>
        <v/>
      </c>
    </row>
    <row r="8605">
      <c r="A8605" s="2" t="n"/>
      <c r="B8605">
        <f>LOWER(TRIM(A8605))</f>
        <v/>
      </c>
      <c r="C8605">
        <f>IF(B8605="","",IFERROR(INDEX('Bad Patterns'!$A$2:$A$120,MATCH(1,INDEX(--ISNUMBER(SEARCH('Bad Patterns'!$A$2:$A$120,B8605)),0),0)),""))</f>
        <v/>
      </c>
      <c r="D8605">
        <f>IF(B8605="","",IF(C8605&lt;&gt;"","REMOVE","KEEP"))</f>
        <v/>
      </c>
      <c r="E8605">
        <f>IF(D8605&lt;&gt;"KEEP","",IF(RIGHT(B8605,10)="@gmail.com","Gmail",IF(OR(RIGHT(B8605,12)="@outlook.com",RIGHT(B8605,12)="@hotmail.com",RIGHT(B8605,9)="@live.com"),"Outlook","Domain")))</f>
        <v/>
      </c>
      <c r="F8605">
        <f>IF(B8605="","",IFERROR(RIGHT(B8605,LEN(B8605)-FIND("@",B8605)),""))</f>
        <v/>
      </c>
      <c r="G8605">
        <f>IF(D8605="KEEP",COUNTIF($D$2:D8605,"KEEP"),"")</f>
        <v/>
      </c>
      <c r="H8605">
        <f>IF(D8605="REMOVE",COUNTIF($D$2:D8605,"REMOVE"),"")</f>
        <v/>
      </c>
      <c r="I8605">
        <f>IF(E8605="Gmail",COUNTIF($E$2:E8605,"Gmail"),"")</f>
        <v/>
      </c>
      <c r="J8605">
        <f>IF(E8605="Outlook",COUNTIF($E$2:E8605,"Outlook"),"")</f>
        <v/>
      </c>
      <c r="K8605">
        <f>IF(E8605="Domain",COUNTIF($E$2:E8605,"Domain"),"")</f>
        <v/>
      </c>
    </row>
    <row r="8606">
      <c r="A8606" s="2" t="n"/>
      <c r="B8606">
        <f>LOWER(TRIM(A8606))</f>
        <v/>
      </c>
      <c r="C8606">
        <f>IF(B8606="","",IFERROR(INDEX('Bad Patterns'!$A$2:$A$120,MATCH(1,INDEX(--ISNUMBER(SEARCH('Bad Patterns'!$A$2:$A$120,B8606)),0),0)),""))</f>
        <v/>
      </c>
      <c r="D8606">
        <f>IF(B8606="","",IF(C8606&lt;&gt;"","REMOVE","KEEP"))</f>
        <v/>
      </c>
      <c r="E8606">
        <f>IF(D8606&lt;&gt;"KEEP","",IF(RIGHT(B8606,10)="@gmail.com","Gmail",IF(OR(RIGHT(B8606,12)="@outlook.com",RIGHT(B8606,12)="@hotmail.com",RIGHT(B8606,9)="@live.com"),"Outlook","Domain")))</f>
        <v/>
      </c>
      <c r="F8606">
        <f>IF(B8606="","",IFERROR(RIGHT(B8606,LEN(B8606)-FIND("@",B8606)),""))</f>
        <v/>
      </c>
      <c r="G8606">
        <f>IF(D8606="KEEP",COUNTIF($D$2:D8606,"KEEP"),"")</f>
        <v/>
      </c>
      <c r="H8606">
        <f>IF(D8606="REMOVE",COUNTIF($D$2:D8606,"REMOVE"),"")</f>
        <v/>
      </c>
      <c r="I8606">
        <f>IF(E8606="Gmail",COUNTIF($E$2:E8606,"Gmail"),"")</f>
        <v/>
      </c>
      <c r="J8606">
        <f>IF(E8606="Outlook",COUNTIF($E$2:E8606,"Outlook"),"")</f>
        <v/>
      </c>
      <c r="K8606">
        <f>IF(E8606="Domain",COUNTIF($E$2:E8606,"Domain"),"")</f>
        <v/>
      </c>
    </row>
    <row r="8607">
      <c r="A8607" s="2" t="n"/>
      <c r="B8607">
        <f>LOWER(TRIM(A8607))</f>
        <v/>
      </c>
      <c r="C8607">
        <f>IF(B8607="","",IFERROR(INDEX('Bad Patterns'!$A$2:$A$120,MATCH(1,INDEX(--ISNUMBER(SEARCH('Bad Patterns'!$A$2:$A$120,B8607)),0),0)),""))</f>
        <v/>
      </c>
      <c r="D8607">
        <f>IF(B8607="","",IF(C8607&lt;&gt;"","REMOVE","KEEP"))</f>
        <v/>
      </c>
      <c r="E8607">
        <f>IF(D8607&lt;&gt;"KEEP","",IF(RIGHT(B8607,10)="@gmail.com","Gmail",IF(OR(RIGHT(B8607,12)="@outlook.com",RIGHT(B8607,12)="@hotmail.com",RIGHT(B8607,9)="@live.com"),"Outlook","Domain")))</f>
        <v/>
      </c>
      <c r="F8607">
        <f>IF(B8607="","",IFERROR(RIGHT(B8607,LEN(B8607)-FIND("@",B8607)),""))</f>
        <v/>
      </c>
      <c r="G8607">
        <f>IF(D8607="KEEP",COUNTIF($D$2:D8607,"KEEP"),"")</f>
        <v/>
      </c>
      <c r="H8607">
        <f>IF(D8607="REMOVE",COUNTIF($D$2:D8607,"REMOVE"),"")</f>
        <v/>
      </c>
      <c r="I8607">
        <f>IF(E8607="Gmail",COUNTIF($E$2:E8607,"Gmail"),"")</f>
        <v/>
      </c>
      <c r="J8607">
        <f>IF(E8607="Outlook",COUNTIF($E$2:E8607,"Outlook"),"")</f>
        <v/>
      </c>
      <c r="K8607">
        <f>IF(E8607="Domain",COUNTIF($E$2:E8607,"Domain"),"")</f>
        <v/>
      </c>
    </row>
    <row r="8608">
      <c r="A8608" s="2" t="n"/>
      <c r="B8608">
        <f>LOWER(TRIM(A8608))</f>
        <v/>
      </c>
      <c r="C8608">
        <f>IF(B8608="","",IFERROR(INDEX('Bad Patterns'!$A$2:$A$120,MATCH(1,INDEX(--ISNUMBER(SEARCH('Bad Patterns'!$A$2:$A$120,B8608)),0),0)),""))</f>
        <v/>
      </c>
      <c r="D8608">
        <f>IF(B8608="","",IF(C8608&lt;&gt;"","REMOVE","KEEP"))</f>
        <v/>
      </c>
      <c r="E8608">
        <f>IF(D8608&lt;&gt;"KEEP","",IF(RIGHT(B8608,10)="@gmail.com","Gmail",IF(OR(RIGHT(B8608,12)="@outlook.com",RIGHT(B8608,12)="@hotmail.com",RIGHT(B8608,9)="@live.com"),"Outlook","Domain")))</f>
        <v/>
      </c>
      <c r="F8608">
        <f>IF(B8608="","",IFERROR(RIGHT(B8608,LEN(B8608)-FIND("@",B8608)),""))</f>
        <v/>
      </c>
      <c r="G8608">
        <f>IF(D8608="KEEP",COUNTIF($D$2:D8608,"KEEP"),"")</f>
        <v/>
      </c>
      <c r="H8608">
        <f>IF(D8608="REMOVE",COUNTIF($D$2:D8608,"REMOVE"),"")</f>
        <v/>
      </c>
      <c r="I8608">
        <f>IF(E8608="Gmail",COUNTIF($E$2:E8608,"Gmail"),"")</f>
        <v/>
      </c>
      <c r="J8608">
        <f>IF(E8608="Outlook",COUNTIF($E$2:E8608,"Outlook"),"")</f>
        <v/>
      </c>
      <c r="K8608">
        <f>IF(E8608="Domain",COUNTIF($E$2:E8608,"Domain"),"")</f>
        <v/>
      </c>
    </row>
    <row r="8609">
      <c r="A8609" s="2" t="n"/>
      <c r="B8609">
        <f>LOWER(TRIM(A8609))</f>
        <v/>
      </c>
      <c r="C8609">
        <f>IF(B8609="","",IFERROR(INDEX('Bad Patterns'!$A$2:$A$120,MATCH(1,INDEX(--ISNUMBER(SEARCH('Bad Patterns'!$A$2:$A$120,B8609)),0),0)),""))</f>
        <v/>
      </c>
      <c r="D8609">
        <f>IF(B8609="","",IF(C8609&lt;&gt;"","REMOVE","KEEP"))</f>
        <v/>
      </c>
      <c r="E8609">
        <f>IF(D8609&lt;&gt;"KEEP","",IF(RIGHT(B8609,10)="@gmail.com","Gmail",IF(OR(RIGHT(B8609,12)="@outlook.com",RIGHT(B8609,12)="@hotmail.com",RIGHT(B8609,9)="@live.com"),"Outlook","Domain")))</f>
        <v/>
      </c>
      <c r="F8609">
        <f>IF(B8609="","",IFERROR(RIGHT(B8609,LEN(B8609)-FIND("@",B8609)),""))</f>
        <v/>
      </c>
      <c r="G8609">
        <f>IF(D8609="KEEP",COUNTIF($D$2:D8609,"KEEP"),"")</f>
        <v/>
      </c>
      <c r="H8609">
        <f>IF(D8609="REMOVE",COUNTIF($D$2:D8609,"REMOVE"),"")</f>
        <v/>
      </c>
      <c r="I8609">
        <f>IF(E8609="Gmail",COUNTIF($E$2:E8609,"Gmail"),"")</f>
        <v/>
      </c>
      <c r="J8609">
        <f>IF(E8609="Outlook",COUNTIF($E$2:E8609,"Outlook"),"")</f>
        <v/>
      </c>
      <c r="K8609">
        <f>IF(E8609="Domain",COUNTIF($E$2:E8609,"Domain"),"")</f>
        <v/>
      </c>
    </row>
    <row r="8610">
      <c r="A8610" s="2" t="n"/>
      <c r="B8610">
        <f>LOWER(TRIM(A8610))</f>
        <v/>
      </c>
      <c r="C8610">
        <f>IF(B8610="","",IFERROR(INDEX('Bad Patterns'!$A$2:$A$120,MATCH(1,INDEX(--ISNUMBER(SEARCH('Bad Patterns'!$A$2:$A$120,B8610)),0),0)),""))</f>
        <v/>
      </c>
      <c r="D8610">
        <f>IF(B8610="","",IF(C8610&lt;&gt;"","REMOVE","KEEP"))</f>
        <v/>
      </c>
      <c r="E8610">
        <f>IF(D8610&lt;&gt;"KEEP","",IF(RIGHT(B8610,10)="@gmail.com","Gmail",IF(OR(RIGHT(B8610,12)="@outlook.com",RIGHT(B8610,12)="@hotmail.com",RIGHT(B8610,9)="@live.com"),"Outlook","Domain")))</f>
        <v/>
      </c>
      <c r="F8610">
        <f>IF(B8610="","",IFERROR(RIGHT(B8610,LEN(B8610)-FIND("@",B8610)),""))</f>
        <v/>
      </c>
      <c r="G8610">
        <f>IF(D8610="KEEP",COUNTIF($D$2:D8610,"KEEP"),"")</f>
        <v/>
      </c>
      <c r="H8610">
        <f>IF(D8610="REMOVE",COUNTIF($D$2:D8610,"REMOVE"),"")</f>
        <v/>
      </c>
      <c r="I8610">
        <f>IF(E8610="Gmail",COUNTIF($E$2:E8610,"Gmail"),"")</f>
        <v/>
      </c>
      <c r="J8610">
        <f>IF(E8610="Outlook",COUNTIF($E$2:E8610,"Outlook"),"")</f>
        <v/>
      </c>
      <c r="K8610">
        <f>IF(E8610="Domain",COUNTIF($E$2:E8610,"Domain"),"")</f>
        <v/>
      </c>
    </row>
    <row r="8611">
      <c r="A8611" s="2" t="n"/>
      <c r="B8611">
        <f>LOWER(TRIM(A8611))</f>
        <v/>
      </c>
      <c r="C8611">
        <f>IF(B8611="","",IFERROR(INDEX('Bad Patterns'!$A$2:$A$120,MATCH(1,INDEX(--ISNUMBER(SEARCH('Bad Patterns'!$A$2:$A$120,B8611)),0),0)),""))</f>
        <v/>
      </c>
      <c r="D8611">
        <f>IF(B8611="","",IF(C8611&lt;&gt;"","REMOVE","KEEP"))</f>
        <v/>
      </c>
      <c r="E8611">
        <f>IF(D8611&lt;&gt;"KEEP","",IF(RIGHT(B8611,10)="@gmail.com","Gmail",IF(OR(RIGHT(B8611,12)="@outlook.com",RIGHT(B8611,12)="@hotmail.com",RIGHT(B8611,9)="@live.com"),"Outlook","Domain")))</f>
        <v/>
      </c>
      <c r="F8611">
        <f>IF(B8611="","",IFERROR(RIGHT(B8611,LEN(B8611)-FIND("@",B8611)),""))</f>
        <v/>
      </c>
      <c r="G8611">
        <f>IF(D8611="KEEP",COUNTIF($D$2:D8611,"KEEP"),"")</f>
        <v/>
      </c>
      <c r="H8611">
        <f>IF(D8611="REMOVE",COUNTIF($D$2:D8611,"REMOVE"),"")</f>
        <v/>
      </c>
      <c r="I8611">
        <f>IF(E8611="Gmail",COUNTIF($E$2:E8611,"Gmail"),"")</f>
        <v/>
      </c>
      <c r="J8611">
        <f>IF(E8611="Outlook",COUNTIF($E$2:E8611,"Outlook"),"")</f>
        <v/>
      </c>
      <c r="K8611">
        <f>IF(E8611="Domain",COUNTIF($E$2:E8611,"Domain"),"")</f>
        <v/>
      </c>
    </row>
    <row r="8612">
      <c r="A8612" s="2" t="n"/>
      <c r="B8612">
        <f>LOWER(TRIM(A8612))</f>
        <v/>
      </c>
      <c r="C8612">
        <f>IF(B8612="","",IFERROR(INDEX('Bad Patterns'!$A$2:$A$120,MATCH(1,INDEX(--ISNUMBER(SEARCH('Bad Patterns'!$A$2:$A$120,B8612)),0),0)),""))</f>
        <v/>
      </c>
      <c r="D8612">
        <f>IF(B8612="","",IF(C8612&lt;&gt;"","REMOVE","KEEP"))</f>
        <v/>
      </c>
      <c r="E8612">
        <f>IF(D8612&lt;&gt;"KEEP","",IF(RIGHT(B8612,10)="@gmail.com","Gmail",IF(OR(RIGHT(B8612,12)="@outlook.com",RIGHT(B8612,12)="@hotmail.com",RIGHT(B8612,9)="@live.com"),"Outlook","Domain")))</f>
        <v/>
      </c>
      <c r="F8612">
        <f>IF(B8612="","",IFERROR(RIGHT(B8612,LEN(B8612)-FIND("@",B8612)),""))</f>
        <v/>
      </c>
      <c r="G8612">
        <f>IF(D8612="KEEP",COUNTIF($D$2:D8612,"KEEP"),"")</f>
        <v/>
      </c>
      <c r="H8612">
        <f>IF(D8612="REMOVE",COUNTIF($D$2:D8612,"REMOVE"),"")</f>
        <v/>
      </c>
      <c r="I8612">
        <f>IF(E8612="Gmail",COUNTIF($E$2:E8612,"Gmail"),"")</f>
        <v/>
      </c>
      <c r="J8612">
        <f>IF(E8612="Outlook",COUNTIF($E$2:E8612,"Outlook"),"")</f>
        <v/>
      </c>
      <c r="K8612">
        <f>IF(E8612="Domain",COUNTIF($E$2:E8612,"Domain"),"")</f>
        <v/>
      </c>
    </row>
    <row r="8613">
      <c r="A8613" s="2" t="n"/>
      <c r="B8613">
        <f>LOWER(TRIM(A8613))</f>
        <v/>
      </c>
      <c r="C8613">
        <f>IF(B8613="","",IFERROR(INDEX('Bad Patterns'!$A$2:$A$120,MATCH(1,INDEX(--ISNUMBER(SEARCH('Bad Patterns'!$A$2:$A$120,B8613)),0),0)),""))</f>
        <v/>
      </c>
      <c r="D8613">
        <f>IF(B8613="","",IF(C8613&lt;&gt;"","REMOVE","KEEP"))</f>
        <v/>
      </c>
      <c r="E8613">
        <f>IF(D8613&lt;&gt;"KEEP","",IF(RIGHT(B8613,10)="@gmail.com","Gmail",IF(OR(RIGHT(B8613,12)="@outlook.com",RIGHT(B8613,12)="@hotmail.com",RIGHT(B8613,9)="@live.com"),"Outlook","Domain")))</f>
        <v/>
      </c>
      <c r="F8613">
        <f>IF(B8613="","",IFERROR(RIGHT(B8613,LEN(B8613)-FIND("@",B8613)),""))</f>
        <v/>
      </c>
      <c r="G8613">
        <f>IF(D8613="KEEP",COUNTIF($D$2:D8613,"KEEP"),"")</f>
        <v/>
      </c>
      <c r="H8613">
        <f>IF(D8613="REMOVE",COUNTIF($D$2:D8613,"REMOVE"),"")</f>
        <v/>
      </c>
      <c r="I8613">
        <f>IF(E8613="Gmail",COUNTIF($E$2:E8613,"Gmail"),"")</f>
        <v/>
      </c>
      <c r="J8613">
        <f>IF(E8613="Outlook",COUNTIF($E$2:E8613,"Outlook"),"")</f>
        <v/>
      </c>
      <c r="K8613">
        <f>IF(E8613="Domain",COUNTIF($E$2:E8613,"Domain"),"")</f>
        <v/>
      </c>
    </row>
    <row r="8614">
      <c r="A8614" s="2" t="n"/>
      <c r="B8614">
        <f>LOWER(TRIM(A8614))</f>
        <v/>
      </c>
      <c r="C8614">
        <f>IF(B8614="","",IFERROR(INDEX('Bad Patterns'!$A$2:$A$120,MATCH(1,INDEX(--ISNUMBER(SEARCH('Bad Patterns'!$A$2:$A$120,B8614)),0),0)),""))</f>
        <v/>
      </c>
      <c r="D8614">
        <f>IF(B8614="","",IF(C8614&lt;&gt;"","REMOVE","KEEP"))</f>
        <v/>
      </c>
      <c r="E8614">
        <f>IF(D8614&lt;&gt;"KEEP","",IF(RIGHT(B8614,10)="@gmail.com","Gmail",IF(OR(RIGHT(B8614,12)="@outlook.com",RIGHT(B8614,12)="@hotmail.com",RIGHT(B8614,9)="@live.com"),"Outlook","Domain")))</f>
        <v/>
      </c>
      <c r="F8614">
        <f>IF(B8614="","",IFERROR(RIGHT(B8614,LEN(B8614)-FIND("@",B8614)),""))</f>
        <v/>
      </c>
      <c r="G8614">
        <f>IF(D8614="KEEP",COUNTIF($D$2:D8614,"KEEP"),"")</f>
        <v/>
      </c>
      <c r="H8614">
        <f>IF(D8614="REMOVE",COUNTIF($D$2:D8614,"REMOVE"),"")</f>
        <v/>
      </c>
      <c r="I8614">
        <f>IF(E8614="Gmail",COUNTIF($E$2:E8614,"Gmail"),"")</f>
        <v/>
      </c>
      <c r="J8614">
        <f>IF(E8614="Outlook",COUNTIF($E$2:E8614,"Outlook"),"")</f>
        <v/>
      </c>
      <c r="K8614">
        <f>IF(E8614="Domain",COUNTIF($E$2:E8614,"Domain"),"")</f>
        <v/>
      </c>
    </row>
    <row r="8615">
      <c r="A8615" s="2" t="n"/>
      <c r="B8615">
        <f>LOWER(TRIM(A8615))</f>
        <v/>
      </c>
      <c r="C8615">
        <f>IF(B8615="","",IFERROR(INDEX('Bad Patterns'!$A$2:$A$120,MATCH(1,INDEX(--ISNUMBER(SEARCH('Bad Patterns'!$A$2:$A$120,B8615)),0),0)),""))</f>
        <v/>
      </c>
      <c r="D8615">
        <f>IF(B8615="","",IF(C8615&lt;&gt;"","REMOVE","KEEP"))</f>
        <v/>
      </c>
      <c r="E8615">
        <f>IF(D8615&lt;&gt;"KEEP","",IF(RIGHT(B8615,10)="@gmail.com","Gmail",IF(OR(RIGHT(B8615,12)="@outlook.com",RIGHT(B8615,12)="@hotmail.com",RIGHT(B8615,9)="@live.com"),"Outlook","Domain")))</f>
        <v/>
      </c>
      <c r="F8615">
        <f>IF(B8615="","",IFERROR(RIGHT(B8615,LEN(B8615)-FIND("@",B8615)),""))</f>
        <v/>
      </c>
      <c r="G8615">
        <f>IF(D8615="KEEP",COUNTIF($D$2:D8615,"KEEP"),"")</f>
        <v/>
      </c>
      <c r="H8615">
        <f>IF(D8615="REMOVE",COUNTIF($D$2:D8615,"REMOVE"),"")</f>
        <v/>
      </c>
      <c r="I8615">
        <f>IF(E8615="Gmail",COUNTIF($E$2:E8615,"Gmail"),"")</f>
        <v/>
      </c>
      <c r="J8615">
        <f>IF(E8615="Outlook",COUNTIF($E$2:E8615,"Outlook"),"")</f>
        <v/>
      </c>
      <c r="K8615">
        <f>IF(E8615="Domain",COUNTIF($E$2:E8615,"Domain"),"")</f>
        <v/>
      </c>
    </row>
    <row r="8616">
      <c r="A8616" s="2" t="n"/>
      <c r="B8616">
        <f>LOWER(TRIM(A8616))</f>
        <v/>
      </c>
      <c r="C8616">
        <f>IF(B8616="","",IFERROR(INDEX('Bad Patterns'!$A$2:$A$120,MATCH(1,INDEX(--ISNUMBER(SEARCH('Bad Patterns'!$A$2:$A$120,B8616)),0),0)),""))</f>
        <v/>
      </c>
      <c r="D8616">
        <f>IF(B8616="","",IF(C8616&lt;&gt;"","REMOVE","KEEP"))</f>
        <v/>
      </c>
      <c r="E8616">
        <f>IF(D8616&lt;&gt;"KEEP","",IF(RIGHT(B8616,10)="@gmail.com","Gmail",IF(OR(RIGHT(B8616,12)="@outlook.com",RIGHT(B8616,12)="@hotmail.com",RIGHT(B8616,9)="@live.com"),"Outlook","Domain")))</f>
        <v/>
      </c>
      <c r="F8616">
        <f>IF(B8616="","",IFERROR(RIGHT(B8616,LEN(B8616)-FIND("@",B8616)),""))</f>
        <v/>
      </c>
      <c r="G8616">
        <f>IF(D8616="KEEP",COUNTIF($D$2:D8616,"KEEP"),"")</f>
        <v/>
      </c>
      <c r="H8616">
        <f>IF(D8616="REMOVE",COUNTIF($D$2:D8616,"REMOVE"),"")</f>
        <v/>
      </c>
      <c r="I8616">
        <f>IF(E8616="Gmail",COUNTIF($E$2:E8616,"Gmail"),"")</f>
        <v/>
      </c>
      <c r="J8616">
        <f>IF(E8616="Outlook",COUNTIF($E$2:E8616,"Outlook"),"")</f>
        <v/>
      </c>
      <c r="K8616">
        <f>IF(E8616="Domain",COUNTIF($E$2:E8616,"Domain"),"")</f>
        <v/>
      </c>
    </row>
    <row r="8617">
      <c r="A8617" s="2" t="n"/>
      <c r="B8617">
        <f>LOWER(TRIM(A8617))</f>
        <v/>
      </c>
      <c r="C8617">
        <f>IF(B8617="","",IFERROR(INDEX('Bad Patterns'!$A$2:$A$120,MATCH(1,INDEX(--ISNUMBER(SEARCH('Bad Patterns'!$A$2:$A$120,B8617)),0),0)),""))</f>
        <v/>
      </c>
      <c r="D8617">
        <f>IF(B8617="","",IF(C8617&lt;&gt;"","REMOVE","KEEP"))</f>
        <v/>
      </c>
      <c r="E8617">
        <f>IF(D8617&lt;&gt;"KEEP","",IF(RIGHT(B8617,10)="@gmail.com","Gmail",IF(OR(RIGHT(B8617,12)="@outlook.com",RIGHT(B8617,12)="@hotmail.com",RIGHT(B8617,9)="@live.com"),"Outlook","Domain")))</f>
        <v/>
      </c>
      <c r="F8617">
        <f>IF(B8617="","",IFERROR(RIGHT(B8617,LEN(B8617)-FIND("@",B8617)),""))</f>
        <v/>
      </c>
      <c r="G8617">
        <f>IF(D8617="KEEP",COUNTIF($D$2:D8617,"KEEP"),"")</f>
        <v/>
      </c>
      <c r="H8617">
        <f>IF(D8617="REMOVE",COUNTIF($D$2:D8617,"REMOVE"),"")</f>
        <v/>
      </c>
      <c r="I8617">
        <f>IF(E8617="Gmail",COUNTIF($E$2:E8617,"Gmail"),"")</f>
        <v/>
      </c>
      <c r="J8617">
        <f>IF(E8617="Outlook",COUNTIF($E$2:E8617,"Outlook"),"")</f>
        <v/>
      </c>
      <c r="K8617">
        <f>IF(E8617="Domain",COUNTIF($E$2:E8617,"Domain"),"")</f>
        <v/>
      </c>
    </row>
    <row r="8618">
      <c r="A8618" s="2" t="n"/>
      <c r="B8618">
        <f>LOWER(TRIM(A8618))</f>
        <v/>
      </c>
      <c r="C8618">
        <f>IF(B8618="","",IFERROR(INDEX('Bad Patterns'!$A$2:$A$120,MATCH(1,INDEX(--ISNUMBER(SEARCH('Bad Patterns'!$A$2:$A$120,B8618)),0),0)),""))</f>
        <v/>
      </c>
      <c r="D8618">
        <f>IF(B8618="","",IF(C8618&lt;&gt;"","REMOVE","KEEP"))</f>
        <v/>
      </c>
      <c r="E8618">
        <f>IF(D8618&lt;&gt;"KEEP","",IF(RIGHT(B8618,10)="@gmail.com","Gmail",IF(OR(RIGHT(B8618,12)="@outlook.com",RIGHT(B8618,12)="@hotmail.com",RIGHT(B8618,9)="@live.com"),"Outlook","Domain")))</f>
        <v/>
      </c>
      <c r="F8618">
        <f>IF(B8618="","",IFERROR(RIGHT(B8618,LEN(B8618)-FIND("@",B8618)),""))</f>
        <v/>
      </c>
      <c r="G8618">
        <f>IF(D8618="KEEP",COUNTIF($D$2:D8618,"KEEP"),"")</f>
        <v/>
      </c>
      <c r="H8618">
        <f>IF(D8618="REMOVE",COUNTIF($D$2:D8618,"REMOVE"),"")</f>
        <v/>
      </c>
      <c r="I8618">
        <f>IF(E8618="Gmail",COUNTIF($E$2:E8618,"Gmail"),"")</f>
        <v/>
      </c>
      <c r="J8618">
        <f>IF(E8618="Outlook",COUNTIF($E$2:E8618,"Outlook"),"")</f>
        <v/>
      </c>
      <c r="K8618">
        <f>IF(E8618="Domain",COUNTIF($E$2:E8618,"Domain"),"")</f>
        <v/>
      </c>
    </row>
    <row r="8619">
      <c r="A8619" s="2" t="n"/>
      <c r="B8619">
        <f>LOWER(TRIM(A8619))</f>
        <v/>
      </c>
      <c r="C8619">
        <f>IF(B8619="","",IFERROR(INDEX('Bad Patterns'!$A$2:$A$120,MATCH(1,INDEX(--ISNUMBER(SEARCH('Bad Patterns'!$A$2:$A$120,B8619)),0),0)),""))</f>
        <v/>
      </c>
      <c r="D8619">
        <f>IF(B8619="","",IF(C8619&lt;&gt;"","REMOVE","KEEP"))</f>
        <v/>
      </c>
      <c r="E8619">
        <f>IF(D8619&lt;&gt;"KEEP","",IF(RIGHT(B8619,10)="@gmail.com","Gmail",IF(OR(RIGHT(B8619,12)="@outlook.com",RIGHT(B8619,12)="@hotmail.com",RIGHT(B8619,9)="@live.com"),"Outlook","Domain")))</f>
        <v/>
      </c>
      <c r="F8619">
        <f>IF(B8619="","",IFERROR(RIGHT(B8619,LEN(B8619)-FIND("@",B8619)),""))</f>
        <v/>
      </c>
      <c r="G8619">
        <f>IF(D8619="KEEP",COUNTIF($D$2:D8619,"KEEP"),"")</f>
        <v/>
      </c>
      <c r="H8619">
        <f>IF(D8619="REMOVE",COUNTIF($D$2:D8619,"REMOVE"),"")</f>
        <v/>
      </c>
      <c r="I8619">
        <f>IF(E8619="Gmail",COUNTIF($E$2:E8619,"Gmail"),"")</f>
        <v/>
      </c>
      <c r="J8619">
        <f>IF(E8619="Outlook",COUNTIF($E$2:E8619,"Outlook"),"")</f>
        <v/>
      </c>
      <c r="K8619">
        <f>IF(E8619="Domain",COUNTIF($E$2:E8619,"Domain"),"")</f>
        <v/>
      </c>
    </row>
    <row r="8620">
      <c r="A8620" s="2" t="n"/>
      <c r="B8620">
        <f>LOWER(TRIM(A8620))</f>
        <v/>
      </c>
      <c r="C8620">
        <f>IF(B8620="","",IFERROR(INDEX('Bad Patterns'!$A$2:$A$120,MATCH(1,INDEX(--ISNUMBER(SEARCH('Bad Patterns'!$A$2:$A$120,B8620)),0),0)),""))</f>
        <v/>
      </c>
      <c r="D8620">
        <f>IF(B8620="","",IF(C8620&lt;&gt;"","REMOVE","KEEP"))</f>
        <v/>
      </c>
      <c r="E8620">
        <f>IF(D8620&lt;&gt;"KEEP","",IF(RIGHT(B8620,10)="@gmail.com","Gmail",IF(OR(RIGHT(B8620,12)="@outlook.com",RIGHT(B8620,12)="@hotmail.com",RIGHT(B8620,9)="@live.com"),"Outlook","Domain")))</f>
        <v/>
      </c>
      <c r="F8620">
        <f>IF(B8620="","",IFERROR(RIGHT(B8620,LEN(B8620)-FIND("@",B8620)),""))</f>
        <v/>
      </c>
      <c r="G8620">
        <f>IF(D8620="KEEP",COUNTIF($D$2:D8620,"KEEP"),"")</f>
        <v/>
      </c>
      <c r="H8620">
        <f>IF(D8620="REMOVE",COUNTIF($D$2:D8620,"REMOVE"),"")</f>
        <v/>
      </c>
      <c r="I8620">
        <f>IF(E8620="Gmail",COUNTIF($E$2:E8620,"Gmail"),"")</f>
        <v/>
      </c>
      <c r="J8620">
        <f>IF(E8620="Outlook",COUNTIF($E$2:E8620,"Outlook"),"")</f>
        <v/>
      </c>
      <c r="K8620">
        <f>IF(E8620="Domain",COUNTIF($E$2:E8620,"Domain"),"")</f>
        <v/>
      </c>
    </row>
    <row r="8621">
      <c r="A8621" s="2" t="n"/>
      <c r="B8621">
        <f>LOWER(TRIM(A8621))</f>
        <v/>
      </c>
      <c r="C8621">
        <f>IF(B8621="","",IFERROR(INDEX('Bad Patterns'!$A$2:$A$120,MATCH(1,INDEX(--ISNUMBER(SEARCH('Bad Patterns'!$A$2:$A$120,B8621)),0),0)),""))</f>
        <v/>
      </c>
      <c r="D8621">
        <f>IF(B8621="","",IF(C8621&lt;&gt;"","REMOVE","KEEP"))</f>
        <v/>
      </c>
      <c r="E8621">
        <f>IF(D8621&lt;&gt;"KEEP","",IF(RIGHT(B8621,10)="@gmail.com","Gmail",IF(OR(RIGHT(B8621,12)="@outlook.com",RIGHT(B8621,12)="@hotmail.com",RIGHT(B8621,9)="@live.com"),"Outlook","Domain")))</f>
        <v/>
      </c>
      <c r="F8621">
        <f>IF(B8621="","",IFERROR(RIGHT(B8621,LEN(B8621)-FIND("@",B8621)),""))</f>
        <v/>
      </c>
      <c r="G8621">
        <f>IF(D8621="KEEP",COUNTIF($D$2:D8621,"KEEP"),"")</f>
        <v/>
      </c>
      <c r="H8621">
        <f>IF(D8621="REMOVE",COUNTIF($D$2:D8621,"REMOVE"),"")</f>
        <v/>
      </c>
      <c r="I8621">
        <f>IF(E8621="Gmail",COUNTIF($E$2:E8621,"Gmail"),"")</f>
        <v/>
      </c>
      <c r="J8621">
        <f>IF(E8621="Outlook",COUNTIF($E$2:E8621,"Outlook"),"")</f>
        <v/>
      </c>
      <c r="K8621">
        <f>IF(E8621="Domain",COUNTIF($E$2:E8621,"Domain"),"")</f>
        <v/>
      </c>
    </row>
    <row r="8622">
      <c r="A8622" s="2" t="n"/>
      <c r="B8622">
        <f>LOWER(TRIM(A8622))</f>
        <v/>
      </c>
      <c r="C8622">
        <f>IF(B8622="","",IFERROR(INDEX('Bad Patterns'!$A$2:$A$120,MATCH(1,INDEX(--ISNUMBER(SEARCH('Bad Patterns'!$A$2:$A$120,B8622)),0),0)),""))</f>
        <v/>
      </c>
      <c r="D8622">
        <f>IF(B8622="","",IF(C8622&lt;&gt;"","REMOVE","KEEP"))</f>
        <v/>
      </c>
      <c r="E8622">
        <f>IF(D8622&lt;&gt;"KEEP","",IF(RIGHT(B8622,10)="@gmail.com","Gmail",IF(OR(RIGHT(B8622,12)="@outlook.com",RIGHT(B8622,12)="@hotmail.com",RIGHT(B8622,9)="@live.com"),"Outlook","Domain")))</f>
        <v/>
      </c>
      <c r="F8622">
        <f>IF(B8622="","",IFERROR(RIGHT(B8622,LEN(B8622)-FIND("@",B8622)),""))</f>
        <v/>
      </c>
      <c r="G8622">
        <f>IF(D8622="KEEP",COUNTIF($D$2:D8622,"KEEP"),"")</f>
        <v/>
      </c>
      <c r="H8622">
        <f>IF(D8622="REMOVE",COUNTIF($D$2:D8622,"REMOVE"),"")</f>
        <v/>
      </c>
      <c r="I8622">
        <f>IF(E8622="Gmail",COUNTIF($E$2:E8622,"Gmail"),"")</f>
        <v/>
      </c>
      <c r="J8622">
        <f>IF(E8622="Outlook",COUNTIF($E$2:E8622,"Outlook"),"")</f>
        <v/>
      </c>
      <c r="K8622">
        <f>IF(E8622="Domain",COUNTIF($E$2:E8622,"Domain"),"")</f>
        <v/>
      </c>
    </row>
    <row r="8623">
      <c r="A8623" s="2" t="n"/>
      <c r="B8623">
        <f>LOWER(TRIM(A8623))</f>
        <v/>
      </c>
      <c r="C8623">
        <f>IF(B8623="","",IFERROR(INDEX('Bad Patterns'!$A$2:$A$120,MATCH(1,INDEX(--ISNUMBER(SEARCH('Bad Patterns'!$A$2:$A$120,B8623)),0),0)),""))</f>
        <v/>
      </c>
      <c r="D8623">
        <f>IF(B8623="","",IF(C8623&lt;&gt;"","REMOVE","KEEP"))</f>
        <v/>
      </c>
      <c r="E8623">
        <f>IF(D8623&lt;&gt;"KEEP","",IF(RIGHT(B8623,10)="@gmail.com","Gmail",IF(OR(RIGHT(B8623,12)="@outlook.com",RIGHT(B8623,12)="@hotmail.com",RIGHT(B8623,9)="@live.com"),"Outlook","Domain")))</f>
        <v/>
      </c>
      <c r="F8623">
        <f>IF(B8623="","",IFERROR(RIGHT(B8623,LEN(B8623)-FIND("@",B8623)),""))</f>
        <v/>
      </c>
      <c r="G8623">
        <f>IF(D8623="KEEP",COUNTIF($D$2:D8623,"KEEP"),"")</f>
        <v/>
      </c>
      <c r="H8623">
        <f>IF(D8623="REMOVE",COUNTIF($D$2:D8623,"REMOVE"),"")</f>
        <v/>
      </c>
      <c r="I8623">
        <f>IF(E8623="Gmail",COUNTIF($E$2:E8623,"Gmail"),"")</f>
        <v/>
      </c>
      <c r="J8623">
        <f>IF(E8623="Outlook",COUNTIF($E$2:E8623,"Outlook"),"")</f>
        <v/>
      </c>
      <c r="K8623">
        <f>IF(E8623="Domain",COUNTIF($E$2:E8623,"Domain"),"")</f>
        <v/>
      </c>
    </row>
    <row r="8624">
      <c r="A8624" s="2" t="n"/>
      <c r="B8624">
        <f>LOWER(TRIM(A8624))</f>
        <v/>
      </c>
      <c r="C8624">
        <f>IF(B8624="","",IFERROR(INDEX('Bad Patterns'!$A$2:$A$120,MATCH(1,INDEX(--ISNUMBER(SEARCH('Bad Patterns'!$A$2:$A$120,B8624)),0),0)),""))</f>
        <v/>
      </c>
      <c r="D8624">
        <f>IF(B8624="","",IF(C8624&lt;&gt;"","REMOVE","KEEP"))</f>
        <v/>
      </c>
      <c r="E8624">
        <f>IF(D8624&lt;&gt;"KEEP","",IF(RIGHT(B8624,10)="@gmail.com","Gmail",IF(OR(RIGHT(B8624,12)="@outlook.com",RIGHT(B8624,12)="@hotmail.com",RIGHT(B8624,9)="@live.com"),"Outlook","Domain")))</f>
        <v/>
      </c>
      <c r="F8624">
        <f>IF(B8624="","",IFERROR(RIGHT(B8624,LEN(B8624)-FIND("@",B8624)),""))</f>
        <v/>
      </c>
      <c r="G8624">
        <f>IF(D8624="KEEP",COUNTIF($D$2:D8624,"KEEP"),"")</f>
        <v/>
      </c>
      <c r="H8624">
        <f>IF(D8624="REMOVE",COUNTIF($D$2:D8624,"REMOVE"),"")</f>
        <v/>
      </c>
      <c r="I8624">
        <f>IF(E8624="Gmail",COUNTIF($E$2:E8624,"Gmail"),"")</f>
        <v/>
      </c>
      <c r="J8624">
        <f>IF(E8624="Outlook",COUNTIF($E$2:E8624,"Outlook"),"")</f>
        <v/>
      </c>
      <c r="K8624">
        <f>IF(E8624="Domain",COUNTIF($E$2:E8624,"Domain"),"")</f>
        <v/>
      </c>
    </row>
    <row r="8625">
      <c r="A8625" s="2" t="n"/>
      <c r="B8625">
        <f>LOWER(TRIM(A8625))</f>
        <v/>
      </c>
      <c r="C8625">
        <f>IF(B8625="","",IFERROR(INDEX('Bad Patterns'!$A$2:$A$120,MATCH(1,INDEX(--ISNUMBER(SEARCH('Bad Patterns'!$A$2:$A$120,B8625)),0),0)),""))</f>
        <v/>
      </c>
      <c r="D8625">
        <f>IF(B8625="","",IF(C8625&lt;&gt;"","REMOVE","KEEP"))</f>
        <v/>
      </c>
      <c r="E8625">
        <f>IF(D8625&lt;&gt;"KEEP","",IF(RIGHT(B8625,10)="@gmail.com","Gmail",IF(OR(RIGHT(B8625,12)="@outlook.com",RIGHT(B8625,12)="@hotmail.com",RIGHT(B8625,9)="@live.com"),"Outlook","Domain")))</f>
        <v/>
      </c>
      <c r="F8625">
        <f>IF(B8625="","",IFERROR(RIGHT(B8625,LEN(B8625)-FIND("@",B8625)),""))</f>
        <v/>
      </c>
      <c r="G8625">
        <f>IF(D8625="KEEP",COUNTIF($D$2:D8625,"KEEP"),"")</f>
        <v/>
      </c>
      <c r="H8625">
        <f>IF(D8625="REMOVE",COUNTIF($D$2:D8625,"REMOVE"),"")</f>
        <v/>
      </c>
      <c r="I8625">
        <f>IF(E8625="Gmail",COUNTIF($E$2:E8625,"Gmail"),"")</f>
        <v/>
      </c>
      <c r="J8625">
        <f>IF(E8625="Outlook",COUNTIF($E$2:E8625,"Outlook"),"")</f>
        <v/>
      </c>
      <c r="K8625">
        <f>IF(E8625="Domain",COUNTIF($E$2:E8625,"Domain"),"")</f>
        <v/>
      </c>
    </row>
    <row r="8626">
      <c r="A8626" s="2" t="n"/>
      <c r="B8626">
        <f>LOWER(TRIM(A8626))</f>
        <v/>
      </c>
      <c r="C8626">
        <f>IF(B8626="","",IFERROR(INDEX('Bad Patterns'!$A$2:$A$120,MATCH(1,INDEX(--ISNUMBER(SEARCH('Bad Patterns'!$A$2:$A$120,B8626)),0),0)),""))</f>
        <v/>
      </c>
      <c r="D8626">
        <f>IF(B8626="","",IF(C8626&lt;&gt;"","REMOVE","KEEP"))</f>
        <v/>
      </c>
      <c r="E8626">
        <f>IF(D8626&lt;&gt;"KEEP","",IF(RIGHT(B8626,10)="@gmail.com","Gmail",IF(OR(RIGHT(B8626,12)="@outlook.com",RIGHT(B8626,12)="@hotmail.com",RIGHT(B8626,9)="@live.com"),"Outlook","Domain")))</f>
        <v/>
      </c>
      <c r="F8626">
        <f>IF(B8626="","",IFERROR(RIGHT(B8626,LEN(B8626)-FIND("@",B8626)),""))</f>
        <v/>
      </c>
      <c r="G8626">
        <f>IF(D8626="KEEP",COUNTIF($D$2:D8626,"KEEP"),"")</f>
        <v/>
      </c>
      <c r="H8626">
        <f>IF(D8626="REMOVE",COUNTIF($D$2:D8626,"REMOVE"),"")</f>
        <v/>
      </c>
      <c r="I8626">
        <f>IF(E8626="Gmail",COUNTIF($E$2:E8626,"Gmail"),"")</f>
        <v/>
      </c>
      <c r="J8626">
        <f>IF(E8626="Outlook",COUNTIF($E$2:E8626,"Outlook"),"")</f>
        <v/>
      </c>
      <c r="K8626">
        <f>IF(E8626="Domain",COUNTIF($E$2:E8626,"Domain"),"")</f>
        <v/>
      </c>
    </row>
    <row r="8627">
      <c r="A8627" s="2" t="n"/>
      <c r="B8627">
        <f>LOWER(TRIM(A8627))</f>
        <v/>
      </c>
      <c r="C8627">
        <f>IF(B8627="","",IFERROR(INDEX('Bad Patterns'!$A$2:$A$120,MATCH(1,INDEX(--ISNUMBER(SEARCH('Bad Patterns'!$A$2:$A$120,B8627)),0),0)),""))</f>
        <v/>
      </c>
      <c r="D8627">
        <f>IF(B8627="","",IF(C8627&lt;&gt;"","REMOVE","KEEP"))</f>
        <v/>
      </c>
      <c r="E8627">
        <f>IF(D8627&lt;&gt;"KEEP","",IF(RIGHT(B8627,10)="@gmail.com","Gmail",IF(OR(RIGHT(B8627,12)="@outlook.com",RIGHT(B8627,12)="@hotmail.com",RIGHT(B8627,9)="@live.com"),"Outlook","Domain")))</f>
        <v/>
      </c>
      <c r="F8627">
        <f>IF(B8627="","",IFERROR(RIGHT(B8627,LEN(B8627)-FIND("@",B8627)),""))</f>
        <v/>
      </c>
      <c r="G8627">
        <f>IF(D8627="KEEP",COUNTIF($D$2:D8627,"KEEP"),"")</f>
        <v/>
      </c>
      <c r="H8627">
        <f>IF(D8627="REMOVE",COUNTIF($D$2:D8627,"REMOVE"),"")</f>
        <v/>
      </c>
      <c r="I8627">
        <f>IF(E8627="Gmail",COUNTIF($E$2:E8627,"Gmail"),"")</f>
        <v/>
      </c>
      <c r="J8627">
        <f>IF(E8627="Outlook",COUNTIF($E$2:E8627,"Outlook"),"")</f>
        <v/>
      </c>
      <c r="K8627">
        <f>IF(E8627="Domain",COUNTIF($E$2:E8627,"Domain"),"")</f>
        <v/>
      </c>
    </row>
    <row r="8628">
      <c r="A8628" s="2" t="n"/>
      <c r="B8628">
        <f>LOWER(TRIM(A8628))</f>
        <v/>
      </c>
      <c r="C8628">
        <f>IF(B8628="","",IFERROR(INDEX('Bad Patterns'!$A$2:$A$120,MATCH(1,INDEX(--ISNUMBER(SEARCH('Bad Patterns'!$A$2:$A$120,B8628)),0),0)),""))</f>
        <v/>
      </c>
      <c r="D8628">
        <f>IF(B8628="","",IF(C8628&lt;&gt;"","REMOVE","KEEP"))</f>
        <v/>
      </c>
      <c r="E8628">
        <f>IF(D8628&lt;&gt;"KEEP","",IF(RIGHT(B8628,10)="@gmail.com","Gmail",IF(OR(RIGHT(B8628,12)="@outlook.com",RIGHT(B8628,12)="@hotmail.com",RIGHT(B8628,9)="@live.com"),"Outlook","Domain")))</f>
        <v/>
      </c>
      <c r="F8628">
        <f>IF(B8628="","",IFERROR(RIGHT(B8628,LEN(B8628)-FIND("@",B8628)),""))</f>
        <v/>
      </c>
      <c r="G8628">
        <f>IF(D8628="KEEP",COUNTIF($D$2:D8628,"KEEP"),"")</f>
        <v/>
      </c>
      <c r="H8628">
        <f>IF(D8628="REMOVE",COUNTIF($D$2:D8628,"REMOVE"),"")</f>
        <v/>
      </c>
      <c r="I8628">
        <f>IF(E8628="Gmail",COUNTIF($E$2:E8628,"Gmail"),"")</f>
        <v/>
      </c>
      <c r="J8628">
        <f>IF(E8628="Outlook",COUNTIF($E$2:E8628,"Outlook"),"")</f>
        <v/>
      </c>
      <c r="K8628">
        <f>IF(E8628="Domain",COUNTIF($E$2:E8628,"Domain"),"")</f>
        <v/>
      </c>
    </row>
    <row r="8629">
      <c r="A8629" s="2" t="n"/>
      <c r="B8629">
        <f>LOWER(TRIM(A8629))</f>
        <v/>
      </c>
      <c r="C8629">
        <f>IF(B8629="","",IFERROR(INDEX('Bad Patterns'!$A$2:$A$120,MATCH(1,INDEX(--ISNUMBER(SEARCH('Bad Patterns'!$A$2:$A$120,B8629)),0),0)),""))</f>
        <v/>
      </c>
      <c r="D8629">
        <f>IF(B8629="","",IF(C8629&lt;&gt;"","REMOVE","KEEP"))</f>
        <v/>
      </c>
      <c r="E8629">
        <f>IF(D8629&lt;&gt;"KEEP","",IF(RIGHT(B8629,10)="@gmail.com","Gmail",IF(OR(RIGHT(B8629,12)="@outlook.com",RIGHT(B8629,12)="@hotmail.com",RIGHT(B8629,9)="@live.com"),"Outlook","Domain")))</f>
        <v/>
      </c>
      <c r="F8629">
        <f>IF(B8629="","",IFERROR(RIGHT(B8629,LEN(B8629)-FIND("@",B8629)),""))</f>
        <v/>
      </c>
      <c r="G8629">
        <f>IF(D8629="KEEP",COUNTIF($D$2:D8629,"KEEP"),"")</f>
        <v/>
      </c>
      <c r="H8629">
        <f>IF(D8629="REMOVE",COUNTIF($D$2:D8629,"REMOVE"),"")</f>
        <v/>
      </c>
      <c r="I8629">
        <f>IF(E8629="Gmail",COUNTIF($E$2:E8629,"Gmail"),"")</f>
        <v/>
      </c>
      <c r="J8629">
        <f>IF(E8629="Outlook",COUNTIF($E$2:E8629,"Outlook"),"")</f>
        <v/>
      </c>
      <c r="K8629">
        <f>IF(E8629="Domain",COUNTIF($E$2:E8629,"Domain"),"")</f>
        <v/>
      </c>
    </row>
    <row r="8630">
      <c r="A8630" s="2" t="n"/>
      <c r="B8630">
        <f>LOWER(TRIM(A8630))</f>
        <v/>
      </c>
      <c r="C8630">
        <f>IF(B8630="","",IFERROR(INDEX('Bad Patterns'!$A$2:$A$120,MATCH(1,INDEX(--ISNUMBER(SEARCH('Bad Patterns'!$A$2:$A$120,B8630)),0),0)),""))</f>
        <v/>
      </c>
      <c r="D8630">
        <f>IF(B8630="","",IF(C8630&lt;&gt;"","REMOVE","KEEP"))</f>
        <v/>
      </c>
      <c r="E8630">
        <f>IF(D8630&lt;&gt;"KEEP","",IF(RIGHT(B8630,10)="@gmail.com","Gmail",IF(OR(RIGHT(B8630,12)="@outlook.com",RIGHT(B8630,12)="@hotmail.com",RIGHT(B8630,9)="@live.com"),"Outlook","Domain")))</f>
        <v/>
      </c>
      <c r="F8630">
        <f>IF(B8630="","",IFERROR(RIGHT(B8630,LEN(B8630)-FIND("@",B8630)),""))</f>
        <v/>
      </c>
      <c r="G8630">
        <f>IF(D8630="KEEP",COUNTIF($D$2:D8630,"KEEP"),"")</f>
        <v/>
      </c>
      <c r="H8630">
        <f>IF(D8630="REMOVE",COUNTIF($D$2:D8630,"REMOVE"),"")</f>
        <v/>
      </c>
      <c r="I8630">
        <f>IF(E8630="Gmail",COUNTIF($E$2:E8630,"Gmail"),"")</f>
        <v/>
      </c>
      <c r="J8630">
        <f>IF(E8630="Outlook",COUNTIF($E$2:E8630,"Outlook"),"")</f>
        <v/>
      </c>
      <c r="K8630">
        <f>IF(E8630="Domain",COUNTIF($E$2:E8630,"Domain"),"")</f>
        <v/>
      </c>
    </row>
    <row r="8631">
      <c r="A8631" s="2" t="n"/>
      <c r="B8631">
        <f>LOWER(TRIM(A8631))</f>
        <v/>
      </c>
      <c r="C8631">
        <f>IF(B8631="","",IFERROR(INDEX('Bad Patterns'!$A$2:$A$120,MATCH(1,INDEX(--ISNUMBER(SEARCH('Bad Patterns'!$A$2:$A$120,B8631)),0),0)),""))</f>
        <v/>
      </c>
      <c r="D8631">
        <f>IF(B8631="","",IF(C8631&lt;&gt;"","REMOVE","KEEP"))</f>
        <v/>
      </c>
      <c r="E8631">
        <f>IF(D8631&lt;&gt;"KEEP","",IF(RIGHT(B8631,10)="@gmail.com","Gmail",IF(OR(RIGHT(B8631,12)="@outlook.com",RIGHT(B8631,12)="@hotmail.com",RIGHT(B8631,9)="@live.com"),"Outlook","Domain")))</f>
        <v/>
      </c>
      <c r="F8631">
        <f>IF(B8631="","",IFERROR(RIGHT(B8631,LEN(B8631)-FIND("@",B8631)),""))</f>
        <v/>
      </c>
      <c r="G8631">
        <f>IF(D8631="KEEP",COUNTIF($D$2:D8631,"KEEP"),"")</f>
        <v/>
      </c>
      <c r="H8631">
        <f>IF(D8631="REMOVE",COUNTIF($D$2:D8631,"REMOVE"),"")</f>
        <v/>
      </c>
      <c r="I8631">
        <f>IF(E8631="Gmail",COUNTIF($E$2:E8631,"Gmail"),"")</f>
        <v/>
      </c>
      <c r="J8631">
        <f>IF(E8631="Outlook",COUNTIF($E$2:E8631,"Outlook"),"")</f>
        <v/>
      </c>
      <c r="K8631">
        <f>IF(E8631="Domain",COUNTIF($E$2:E8631,"Domain"),"")</f>
        <v/>
      </c>
    </row>
    <row r="8632">
      <c r="A8632" s="2" t="n"/>
      <c r="B8632">
        <f>LOWER(TRIM(A8632))</f>
        <v/>
      </c>
      <c r="C8632">
        <f>IF(B8632="","",IFERROR(INDEX('Bad Patterns'!$A$2:$A$120,MATCH(1,INDEX(--ISNUMBER(SEARCH('Bad Patterns'!$A$2:$A$120,B8632)),0),0)),""))</f>
        <v/>
      </c>
      <c r="D8632">
        <f>IF(B8632="","",IF(C8632&lt;&gt;"","REMOVE","KEEP"))</f>
        <v/>
      </c>
      <c r="E8632">
        <f>IF(D8632&lt;&gt;"KEEP","",IF(RIGHT(B8632,10)="@gmail.com","Gmail",IF(OR(RIGHT(B8632,12)="@outlook.com",RIGHT(B8632,12)="@hotmail.com",RIGHT(B8632,9)="@live.com"),"Outlook","Domain")))</f>
        <v/>
      </c>
      <c r="F8632">
        <f>IF(B8632="","",IFERROR(RIGHT(B8632,LEN(B8632)-FIND("@",B8632)),""))</f>
        <v/>
      </c>
      <c r="G8632">
        <f>IF(D8632="KEEP",COUNTIF($D$2:D8632,"KEEP"),"")</f>
        <v/>
      </c>
      <c r="H8632">
        <f>IF(D8632="REMOVE",COUNTIF($D$2:D8632,"REMOVE"),"")</f>
        <v/>
      </c>
      <c r="I8632">
        <f>IF(E8632="Gmail",COUNTIF($E$2:E8632,"Gmail"),"")</f>
        <v/>
      </c>
      <c r="J8632">
        <f>IF(E8632="Outlook",COUNTIF($E$2:E8632,"Outlook"),"")</f>
        <v/>
      </c>
      <c r="K8632">
        <f>IF(E8632="Domain",COUNTIF($E$2:E8632,"Domain"),"")</f>
        <v/>
      </c>
    </row>
    <row r="8633">
      <c r="A8633" s="2" t="n"/>
      <c r="B8633">
        <f>LOWER(TRIM(A8633))</f>
        <v/>
      </c>
      <c r="C8633">
        <f>IF(B8633="","",IFERROR(INDEX('Bad Patterns'!$A$2:$A$120,MATCH(1,INDEX(--ISNUMBER(SEARCH('Bad Patterns'!$A$2:$A$120,B8633)),0),0)),""))</f>
        <v/>
      </c>
      <c r="D8633">
        <f>IF(B8633="","",IF(C8633&lt;&gt;"","REMOVE","KEEP"))</f>
        <v/>
      </c>
      <c r="E8633">
        <f>IF(D8633&lt;&gt;"KEEP","",IF(RIGHT(B8633,10)="@gmail.com","Gmail",IF(OR(RIGHT(B8633,12)="@outlook.com",RIGHT(B8633,12)="@hotmail.com",RIGHT(B8633,9)="@live.com"),"Outlook","Domain")))</f>
        <v/>
      </c>
      <c r="F8633">
        <f>IF(B8633="","",IFERROR(RIGHT(B8633,LEN(B8633)-FIND("@",B8633)),""))</f>
        <v/>
      </c>
      <c r="G8633">
        <f>IF(D8633="KEEP",COUNTIF($D$2:D8633,"KEEP"),"")</f>
        <v/>
      </c>
      <c r="H8633">
        <f>IF(D8633="REMOVE",COUNTIF($D$2:D8633,"REMOVE"),"")</f>
        <v/>
      </c>
      <c r="I8633">
        <f>IF(E8633="Gmail",COUNTIF($E$2:E8633,"Gmail"),"")</f>
        <v/>
      </c>
      <c r="J8633">
        <f>IF(E8633="Outlook",COUNTIF($E$2:E8633,"Outlook"),"")</f>
        <v/>
      </c>
      <c r="K8633">
        <f>IF(E8633="Domain",COUNTIF($E$2:E8633,"Domain"),"")</f>
        <v/>
      </c>
    </row>
    <row r="8634">
      <c r="A8634" s="2" t="n"/>
      <c r="B8634">
        <f>LOWER(TRIM(A8634))</f>
        <v/>
      </c>
      <c r="C8634">
        <f>IF(B8634="","",IFERROR(INDEX('Bad Patterns'!$A$2:$A$120,MATCH(1,INDEX(--ISNUMBER(SEARCH('Bad Patterns'!$A$2:$A$120,B8634)),0),0)),""))</f>
        <v/>
      </c>
      <c r="D8634">
        <f>IF(B8634="","",IF(C8634&lt;&gt;"","REMOVE","KEEP"))</f>
        <v/>
      </c>
      <c r="E8634">
        <f>IF(D8634&lt;&gt;"KEEP","",IF(RIGHT(B8634,10)="@gmail.com","Gmail",IF(OR(RIGHT(B8634,12)="@outlook.com",RIGHT(B8634,12)="@hotmail.com",RIGHT(B8634,9)="@live.com"),"Outlook","Domain")))</f>
        <v/>
      </c>
      <c r="F8634">
        <f>IF(B8634="","",IFERROR(RIGHT(B8634,LEN(B8634)-FIND("@",B8634)),""))</f>
        <v/>
      </c>
      <c r="G8634">
        <f>IF(D8634="KEEP",COUNTIF($D$2:D8634,"KEEP"),"")</f>
        <v/>
      </c>
      <c r="H8634">
        <f>IF(D8634="REMOVE",COUNTIF($D$2:D8634,"REMOVE"),"")</f>
        <v/>
      </c>
      <c r="I8634">
        <f>IF(E8634="Gmail",COUNTIF($E$2:E8634,"Gmail"),"")</f>
        <v/>
      </c>
      <c r="J8634">
        <f>IF(E8634="Outlook",COUNTIF($E$2:E8634,"Outlook"),"")</f>
        <v/>
      </c>
      <c r="K8634">
        <f>IF(E8634="Domain",COUNTIF($E$2:E8634,"Domain"),"")</f>
        <v/>
      </c>
    </row>
    <row r="8635">
      <c r="A8635" s="2" t="n"/>
      <c r="B8635">
        <f>LOWER(TRIM(A8635))</f>
        <v/>
      </c>
      <c r="C8635">
        <f>IF(B8635="","",IFERROR(INDEX('Bad Patterns'!$A$2:$A$120,MATCH(1,INDEX(--ISNUMBER(SEARCH('Bad Patterns'!$A$2:$A$120,B8635)),0),0)),""))</f>
        <v/>
      </c>
      <c r="D8635">
        <f>IF(B8635="","",IF(C8635&lt;&gt;"","REMOVE","KEEP"))</f>
        <v/>
      </c>
      <c r="E8635">
        <f>IF(D8635&lt;&gt;"KEEP","",IF(RIGHT(B8635,10)="@gmail.com","Gmail",IF(OR(RIGHT(B8635,12)="@outlook.com",RIGHT(B8635,12)="@hotmail.com",RIGHT(B8635,9)="@live.com"),"Outlook","Domain")))</f>
        <v/>
      </c>
      <c r="F8635">
        <f>IF(B8635="","",IFERROR(RIGHT(B8635,LEN(B8635)-FIND("@",B8635)),""))</f>
        <v/>
      </c>
      <c r="G8635">
        <f>IF(D8635="KEEP",COUNTIF($D$2:D8635,"KEEP"),"")</f>
        <v/>
      </c>
      <c r="H8635">
        <f>IF(D8635="REMOVE",COUNTIF($D$2:D8635,"REMOVE"),"")</f>
        <v/>
      </c>
      <c r="I8635">
        <f>IF(E8635="Gmail",COUNTIF($E$2:E8635,"Gmail"),"")</f>
        <v/>
      </c>
      <c r="J8635">
        <f>IF(E8635="Outlook",COUNTIF($E$2:E8635,"Outlook"),"")</f>
        <v/>
      </c>
      <c r="K8635">
        <f>IF(E8635="Domain",COUNTIF($E$2:E8635,"Domain"),"")</f>
        <v/>
      </c>
    </row>
    <row r="8636">
      <c r="A8636" s="2" t="n"/>
      <c r="B8636">
        <f>LOWER(TRIM(A8636))</f>
        <v/>
      </c>
      <c r="C8636">
        <f>IF(B8636="","",IFERROR(INDEX('Bad Patterns'!$A$2:$A$120,MATCH(1,INDEX(--ISNUMBER(SEARCH('Bad Patterns'!$A$2:$A$120,B8636)),0),0)),""))</f>
        <v/>
      </c>
      <c r="D8636">
        <f>IF(B8636="","",IF(C8636&lt;&gt;"","REMOVE","KEEP"))</f>
        <v/>
      </c>
      <c r="E8636">
        <f>IF(D8636&lt;&gt;"KEEP","",IF(RIGHT(B8636,10)="@gmail.com","Gmail",IF(OR(RIGHT(B8636,12)="@outlook.com",RIGHT(B8636,12)="@hotmail.com",RIGHT(B8636,9)="@live.com"),"Outlook","Domain")))</f>
        <v/>
      </c>
      <c r="F8636">
        <f>IF(B8636="","",IFERROR(RIGHT(B8636,LEN(B8636)-FIND("@",B8636)),""))</f>
        <v/>
      </c>
      <c r="G8636">
        <f>IF(D8636="KEEP",COUNTIF($D$2:D8636,"KEEP"),"")</f>
        <v/>
      </c>
      <c r="H8636">
        <f>IF(D8636="REMOVE",COUNTIF($D$2:D8636,"REMOVE"),"")</f>
        <v/>
      </c>
      <c r="I8636">
        <f>IF(E8636="Gmail",COUNTIF($E$2:E8636,"Gmail"),"")</f>
        <v/>
      </c>
      <c r="J8636">
        <f>IF(E8636="Outlook",COUNTIF($E$2:E8636,"Outlook"),"")</f>
        <v/>
      </c>
      <c r="K8636">
        <f>IF(E8636="Domain",COUNTIF($E$2:E8636,"Domain"),"")</f>
        <v/>
      </c>
    </row>
    <row r="8637">
      <c r="A8637" s="2" t="n"/>
      <c r="B8637">
        <f>LOWER(TRIM(A8637))</f>
        <v/>
      </c>
      <c r="C8637">
        <f>IF(B8637="","",IFERROR(INDEX('Bad Patterns'!$A$2:$A$120,MATCH(1,INDEX(--ISNUMBER(SEARCH('Bad Patterns'!$A$2:$A$120,B8637)),0),0)),""))</f>
        <v/>
      </c>
      <c r="D8637">
        <f>IF(B8637="","",IF(C8637&lt;&gt;"","REMOVE","KEEP"))</f>
        <v/>
      </c>
      <c r="E8637">
        <f>IF(D8637&lt;&gt;"KEEP","",IF(RIGHT(B8637,10)="@gmail.com","Gmail",IF(OR(RIGHT(B8637,12)="@outlook.com",RIGHT(B8637,12)="@hotmail.com",RIGHT(B8637,9)="@live.com"),"Outlook","Domain")))</f>
        <v/>
      </c>
      <c r="F8637">
        <f>IF(B8637="","",IFERROR(RIGHT(B8637,LEN(B8637)-FIND("@",B8637)),""))</f>
        <v/>
      </c>
      <c r="G8637">
        <f>IF(D8637="KEEP",COUNTIF($D$2:D8637,"KEEP"),"")</f>
        <v/>
      </c>
      <c r="H8637">
        <f>IF(D8637="REMOVE",COUNTIF($D$2:D8637,"REMOVE"),"")</f>
        <v/>
      </c>
      <c r="I8637">
        <f>IF(E8637="Gmail",COUNTIF($E$2:E8637,"Gmail"),"")</f>
        <v/>
      </c>
      <c r="J8637">
        <f>IF(E8637="Outlook",COUNTIF($E$2:E8637,"Outlook"),"")</f>
        <v/>
      </c>
      <c r="K8637">
        <f>IF(E8637="Domain",COUNTIF($E$2:E8637,"Domain"),"")</f>
        <v/>
      </c>
    </row>
    <row r="8638">
      <c r="A8638" s="2" t="n"/>
      <c r="B8638">
        <f>LOWER(TRIM(A8638))</f>
        <v/>
      </c>
      <c r="C8638">
        <f>IF(B8638="","",IFERROR(INDEX('Bad Patterns'!$A$2:$A$120,MATCH(1,INDEX(--ISNUMBER(SEARCH('Bad Patterns'!$A$2:$A$120,B8638)),0),0)),""))</f>
        <v/>
      </c>
      <c r="D8638">
        <f>IF(B8638="","",IF(C8638&lt;&gt;"","REMOVE","KEEP"))</f>
        <v/>
      </c>
      <c r="E8638">
        <f>IF(D8638&lt;&gt;"KEEP","",IF(RIGHT(B8638,10)="@gmail.com","Gmail",IF(OR(RIGHT(B8638,12)="@outlook.com",RIGHT(B8638,12)="@hotmail.com",RIGHT(B8638,9)="@live.com"),"Outlook","Domain")))</f>
        <v/>
      </c>
      <c r="F8638">
        <f>IF(B8638="","",IFERROR(RIGHT(B8638,LEN(B8638)-FIND("@",B8638)),""))</f>
        <v/>
      </c>
      <c r="G8638">
        <f>IF(D8638="KEEP",COUNTIF($D$2:D8638,"KEEP"),"")</f>
        <v/>
      </c>
      <c r="H8638">
        <f>IF(D8638="REMOVE",COUNTIF($D$2:D8638,"REMOVE"),"")</f>
        <v/>
      </c>
      <c r="I8638">
        <f>IF(E8638="Gmail",COUNTIF($E$2:E8638,"Gmail"),"")</f>
        <v/>
      </c>
      <c r="J8638">
        <f>IF(E8638="Outlook",COUNTIF($E$2:E8638,"Outlook"),"")</f>
        <v/>
      </c>
      <c r="K8638">
        <f>IF(E8638="Domain",COUNTIF($E$2:E8638,"Domain"),"")</f>
        <v/>
      </c>
    </row>
    <row r="8639">
      <c r="A8639" s="2" t="n"/>
      <c r="B8639">
        <f>LOWER(TRIM(A8639))</f>
        <v/>
      </c>
      <c r="C8639">
        <f>IF(B8639="","",IFERROR(INDEX('Bad Patterns'!$A$2:$A$120,MATCH(1,INDEX(--ISNUMBER(SEARCH('Bad Patterns'!$A$2:$A$120,B8639)),0),0)),""))</f>
        <v/>
      </c>
      <c r="D8639">
        <f>IF(B8639="","",IF(C8639&lt;&gt;"","REMOVE","KEEP"))</f>
        <v/>
      </c>
      <c r="E8639">
        <f>IF(D8639&lt;&gt;"KEEP","",IF(RIGHT(B8639,10)="@gmail.com","Gmail",IF(OR(RIGHT(B8639,12)="@outlook.com",RIGHT(B8639,12)="@hotmail.com",RIGHT(B8639,9)="@live.com"),"Outlook","Domain")))</f>
        <v/>
      </c>
      <c r="F8639">
        <f>IF(B8639="","",IFERROR(RIGHT(B8639,LEN(B8639)-FIND("@",B8639)),""))</f>
        <v/>
      </c>
      <c r="G8639">
        <f>IF(D8639="KEEP",COUNTIF($D$2:D8639,"KEEP"),"")</f>
        <v/>
      </c>
      <c r="H8639">
        <f>IF(D8639="REMOVE",COUNTIF($D$2:D8639,"REMOVE"),"")</f>
        <v/>
      </c>
      <c r="I8639">
        <f>IF(E8639="Gmail",COUNTIF($E$2:E8639,"Gmail"),"")</f>
        <v/>
      </c>
      <c r="J8639">
        <f>IF(E8639="Outlook",COUNTIF($E$2:E8639,"Outlook"),"")</f>
        <v/>
      </c>
      <c r="K8639">
        <f>IF(E8639="Domain",COUNTIF($E$2:E8639,"Domain"),"")</f>
        <v/>
      </c>
    </row>
    <row r="8640">
      <c r="A8640" s="2" t="n"/>
      <c r="B8640">
        <f>LOWER(TRIM(A8640))</f>
        <v/>
      </c>
      <c r="C8640">
        <f>IF(B8640="","",IFERROR(INDEX('Bad Patterns'!$A$2:$A$120,MATCH(1,INDEX(--ISNUMBER(SEARCH('Bad Patterns'!$A$2:$A$120,B8640)),0),0)),""))</f>
        <v/>
      </c>
      <c r="D8640">
        <f>IF(B8640="","",IF(C8640&lt;&gt;"","REMOVE","KEEP"))</f>
        <v/>
      </c>
      <c r="E8640">
        <f>IF(D8640&lt;&gt;"KEEP","",IF(RIGHT(B8640,10)="@gmail.com","Gmail",IF(OR(RIGHT(B8640,12)="@outlook.com",RIGHT(B8640,12)="@hotmail.com",RIGHT(B8640,9)="@live.com"),"Outlook","Domain")))</f>
        <v/>
      </c>
      <c r="F8640">
        <f>IF(B8640="","",IFERROR(RIGHT(B8640,LEN(B8640)-FIND("@",B8640)),""))</f>
        <v/>
      </c>
      <c r="G8640">
        <f>IF(D8640="KEEP",COUNTIF($D$2:D8640,"KEEP"),"")</f>
        <v/>
      </c>
      <c r="H8640">
        <f>IF(D8640="REMOVE",COUNTIF($D$2:D8640,"REMOVE"),"")</f>
        <v/>
      </c>
      <c r="I8640">
        <f>IF(E8640="Gmail",COUNTIF($E$2:E8640,"Gmail"),"")</f>
        <v/>
      </c>
      <c r="J8640">
        <f>IF(E8640="Outlook",COUNTIF($E$2:E8640,"Outlook"),"")</f>
        <v/>
      </c>
      <c r="K8640">
        <f>IF(E8640="Domain",COUNTIF($E$2:E8640,"Domain"),"")</f>
        <v/>
      </c>
    </row>
    <row r="8641">
      <c r="A8641" s="2" t="n"/>
      <c r="B8641">
        <f>LOWER(TRIM(A8641))</f>
        <v/>
      </c>
      <c r="C8641">
        <f>IF(B8641="","",IFERROR(INDEX('Bad Patterns'!$A$2:$A$120,MATCH(1,INDEX(--ISNUMBER(SEARCH('Bad Patterns'!$A$2:$A$120,B8641)),0),0)),""))</f>
        <v/>
      </c>
      <c r="D8641">
        <f>IF(B8641="","",IF(C8641&lt;&gt;"","REMOVE","KEEP"))</f>
        <v/>
      </c>
      <c r="E8641">
        <f>IF(D8641&lt;&gt;"KEEP","",IF(RIGHT(B8641,10)="@gmail.com","Gmail",IF(OR(RIGHT(B8641,12)="@outlook.com",RIGHT(B8641,12)="@hotmail.com",RIGHT(B8641,9)="@live.com"),"Outlook","Domain")))</f>
        <v/>
      </c>
      <c r="F8641">
        <f>IF(B8641="","",IFERROR(RIGHT(B8641,LEN(B8641)-FIND("@",B8641)),""))</f>
        <v/>
      </c>
      <c r="G8641">
        <f>IF(D8641="KEEP",COUNTIF($D$2:D8641,"KEEP"),"")</f>
        <v/>
      </c>
      <c r="H8641">
        <f>IF(D8641="REMOVE",COUNTIF($D$2:D8641,"REMOVE"),"")</f>
        <v/>
      </c>
      <c r="I8641">
        <f>IF(E8641="Gmail",COUNTIF($E$2:E8641,"Gmail"),"")</f>
        <v/>
      </c>
      <c r="J8641">
        <f>IF(E8641="Outlook",COUNTIF($E$2:E8641,"Outlook"),"")</f>
        <v/>
      </c>
      <c r="K8641">
        <f>IF(E8641="Domain",COUNTIF($E$2:E8641,"Domain"),"")</f>
        <v/>
      </c>
    </row>
    <row r="8642">
      <c r="A8642" s="2" t="n"/>
      <c r="B8642">
        <f>LOWER(TRIM(A8642))</f>
        <v/>
      </c>
      <c r="C8642">
        <f>IF(B8642="","",IFERROR(INDEX('Bad Patterns'!$A$2:$A$120,MATCH(1,INDEX(--ISNUMBER(SEARCH('Bad Patterns'!$A$2:$A$120,B8642)),0),0)),""))</f>
        <v/>
      </c>
      <c r="D8642">
        <f>IF(B8642="","",IF(C8642&lt;&gt;"","REMOVE","KEEP"))</f>
        <v/>
      </c>
      <c r="E8642">
        <f>IF(D8642&lt;&gt;"KEEP","",IF(RIGHT(B8642,10)="@gmail.com","Gmail",IF(OR(RIGHT(B8642,12)="@outlook.com",RIGHT(B8642,12)="@hotmail.com",RIGHT(B8642,9)="@live.com"),"Outlook","Domain")))</f>
        <v/>
      </c>
      <c r="F8642">
        <f>IF(B8642="","",IFERROR(RIGHT(B8642,LEN(B8642)-FIND("@",B8642)),""))</f>
        <v/>
      </c>
      <c r="G8642">
        <f>IF(D8642="KEEP",COUNTIF($D$2:D8642,"KEEP"),"")</f>
        <v/>
      </c>
      <c r="H8642">
        <f>IF(D8642="REMOVE",COUNTIF($D$2:D8642,"REMOVE"),"")</f>
        <v/>
      </c>
      <c r="I8642">
        <f>IF(E8642="Gmail",COUNTIF($E$2:E8642,"Gmail"),"")</f>
        <v/>
      </c>
      <c r="J8642">
        <f>IF(E8642="Outlook",COUNTIF($E$2:E8642,"Outlook"),"")</f>
        <v/>
      </c>
      <c r="K8642">
        <f>IF(E8642="Domain",COUNTIF($E$2:E8642,"Domain"),"")</f>
        <v/>
      </c>
    </row>
    <row r="8643">
      <c r="A8643" s="2" t="n"/>
      <c r="B8643">
        <f>LOWER(TRIM(A8643))</f>
        <v/>
      </c>
      <c r="C8643">
        <f>IF(B8643="","",IFERROR(INDEX('Bad Patterns'!$A$2:$A$120,MATCH(1,INDEX(--ISNUMBER(SEARCH('Bad Patterns'!$A$2:$A$120,B8643)),0),0)),""))</f>
        <v/>
      </c>
      <c r="D8643">
        <f>IF(B8643="","",IF(C8643&lt;&gt;"","REMOVE","KEEP"))</f>
        <v/>
      </c>
      <c r="E8643">
        <f>IF(D8643&lt;&gt;"KEEP","",IF(RIGHT(B8643,10)="@gmail.com","Gmail",IF(OR(RIGHT(B8643,12)="@outlook.com",RIGHT(B8643,12)="@hotmail.com",RIGHT(B8643,9)="@live.com"),"Outlook","Domain")))</f>
        <v/>
      </c>
      <c r="F8643">
        <f>IF(B8643="","",IFERROR(RIGHT(B8643,LEN(B8643)-FIND("@",B8643)),""))</f>
        <v/>
      </c>
      <c r="G8643">
        <f>IF(D8643="KEEP",COUNTIF($D$2:D8643,"KEEP"),"")</f>
        <v/>
      </c>
      <c r="H8643">
        <f>IF(D8643="REMOVE",COUNTIF($D$2:D8643,"REMOVE"),"")</f>
        <v/>
      </c>
      <c r="I8643">
        <f>IF(E8643="Gmail",COUNTIF($E$2:E8643,"Gmail"),"")</f>
        <v/>
      </c>
      <c r="J8643">
        <f>IF(E8643="Outlook",COUNTIF($E$2:E8643,"Outlook"),"")</f>
        <v/>
      </c>
      <c r="K8643">
        <f>IF(E8643="Domain",COUNTIF($E$2:E8643,"Domain"),"")</f>
        <v/>
      </c>
    </row>
    <row r="8644">
      <c r="A8644" s="2" t="n"/>
      <c r="B8644">
        <f>LOWER(TRIM(A8644))</f>
        <v/>
      </c>
      <c r="C8644">
        <f>IF(B8644="","",IFERROR(INDEX('Bad Patterns'!$A$2:$A$120,MATCH(1,INDEX(--ISNUMBER(SEARCH('Bad Patterns'!$A$2:$A$120,B8644)),0),0)),""))</f>
        <v/>
      </c>
      <c r="D8644">
        <f>IF(B8644="","",IF(C8644&lt;&gt;"","REMOVE","KEEP"))</f>
        <v/>
      </c>
      <c r="E8644">
        <f>IF(D8644&lt;&gt;"KEEP","",IF(RIGHT(B8644,10)="@gmail.com","Gmail",IF(OR(RIGHT(B8644,12)="@outlook.com",RIGHT(B8644,12)="@hotmail.com",RIGHT(B8644,9)="@live.com"),"Outlook","Domain")))</f>
        <v/>
      </c>
      <c r="F8644">
        <f>IF(B8644="","",IFERROR(RIGHT(B8644,LEN(B8644)-FIND("@",B8644)),""))</f>
        <v/>
      </c>
      <c r="G8644">
        <f>IF(D8644="KEEP",COUNTIF($D$2:D8644,"KEEP"),"")</f>
        <v/>
      </c>
      <c r="H8644">
        <f>IF(D8644="REMOVE",COUNTIF($D$2:D8644,"REMOVE"),"")</f>
        <v/>
      </c>
      <c r="I8644">
        <f>IF(E8644="Gmail",COUNTIF($E$2:E8644,"Gmail"),"")</f>
        <v/>
      </c>
      <c r="J8644">
        <f>IF(E8644="Outlook",COUNTIF($E$2:E8644,"Outlook"),"")</f>
        <v/>
      </c>
      <c r="K8644">
        <f>IF(E8644="Domain",COUNTIF($E$2:E8644,"Domain"),"")</f>
        <v/>
      </c>
    </row>
    <row r="8645">
      <c r="A8645" s="2" t="n"/>
      <c r="B8645">
        <f>LOWER(TRIM(A8645))</f>
        <v/>
      </c>
      <c r="C8645">
        <f>IF(B8645="","",IFERROR(INDEX('Bad Patterns'!$A$2:$A$120,MATCH(1,INDEX(--ISNUMBER(SEARCH('Bad Patterns'!$A$2:$A$120,B8645)),0),0)),""))</f>
        <v/>
      </c>
      <c r="D8645">
        <f>IF(B8645="","",IF(C8645&lt;&gt;"","REMOVE","KEEP"))</f>
        <v/>
      </c>
      <c r="E8645">
        <f>IF(D8645&lt;&gt;"KEEP","",IF(RIGHT(B8645,10)="@gmail.com","Gmail",IF(OR(RIGHT(B8645,12)="@outlook.com",RIGHT(B8645,12)="@hotmail.com",RIGHT(B8645,9)="@live.com"),"Outlook","Domain")))</f>
        <v/>
      </c>
      <c r="F8645">
        <f>IF(B8645="","",IFERROR(RIGHT(B8645,LEN(B8645)-FIND("@",B8645)),""))</f>
        <v/>
      </c>
      <c r="G8645">
        <f>IF(D8645="KEEP",COUNTIF($D$2:D8645,"KEEP"),"")</f>
        <v/>
      </c>
      <c r="H8645">
        <f>IF(D8645="REMOVE",COUNTIF($D$2:D8645,"REMOVE"),"")</f>
        <v/>
      </c>
      <c r="I8645">
        <f>IF(E8645="Gmail",COUNTIF($E$2:E8645,"Gmail"),"")</f>
        <v/>
      </c>
      <c r="J8645">
        <f>IF(E8645="Outlook",COUNTIF($E$2:E8645,"Outlook"),"")</f>
        <v/>
      </c>
      <c r="K8645">
        <f>IF(E8645="Domain",COUNTIF($E$2:E8645,"Domain"),"")</f>
        <v/>
      </c>
    </row>
    <row r="8646">
      <c r="A8646" s="2" t="n"/>
      <c r="B8646">
        <f>LOWER(TRIM(A8646))</f>
        <v/>
      </c>
      <c r="C8646">
        <f>IF(B8646="","",IFERROR(INDEX('Bad Patterns'!$A$2:$A$120,MATCH(1,INDEX(--ISNUMBER(SEARCH('Bad Patterns'!$A$2:$A$120,B8646)),0),0)),""))</f>
        <v/>
      </c>
      <c r="D8646">
        <f>IF(B8646="","",IF(C8646&lt;&gt;"","REMOVE","KEEP"))</f>
        <v/>
      </c>
      <c r="E8646">
        <f>IF(D8646&lt;&gt;"KEEP","",IF(RIGHT(B8646,10)="@gmail.com","Gmail",IF(OR(RIGHT(B8646,12)="@outlook.com",RIGHT(B8646,12)="@hotmail.com",RIGHT(B8646,9)="@live.com"),"Outlook","Domain")))</f>
        <v/>
      </c>
      <c r="F8646">
        <f>IF(B8646="","",IFERROR(RIGHT(B8646,LEN(B8646)-FIND("@",B8646)),""))</f>
        <v/>
      </c>
      <c r="G8646">
        <f>IF(D8646="KEEP",COUNTIF($D$2:D8646,"KEEP"),"")</f>
        <v/>
      </c>
      <c r="H8646">
        <f>IF(D8646="REMOVE",COUNTIF($D$2:D8646,"REMOVE"),"")</f>
        <v/>
      </c>
      <c r="I8646">
        <f>IF(E8646="Gmail",COUNTIF($E$2:E8646,"Gmail"),"")</f>
        <v/>
      </c>
      <c r="J8646">
        <f>IF(E8646="Outlook",COUNTIF($E$2:E8646,"Outlook"),"")</f>
        <v/>
      </c>
      <c r="K8646">
        <f>IF(E8646="Domain",COUNTIF($E$2:E8646,"Domain"),"")</f>
        <v/>
      </c>
    </row>
    <row r="8647">
      <c r="A8647" s="2" t="n"/>
      <c r="B8647">
        <f>LOWER(TRIM(A8647))</f>
        <v/>
      </c>
      <c r="C8647">
        <f>IF(B8647="","",IFERROR(INDEX('Bad Patterns'!$A$2:$A$120,MATCH(1,INDEX(--ISNUMBER(SEARCH('Bad Patterns'!$A$2:$A$120,B8647)),0),0)),""))</f>
        <v/>
      </c>
      <c r="D8647">
        <f>IF(B8647="","",IF(C8647&lt;&gt;"","REMOVE","KEEP"))</f>
        <v/>
      </c>
      <c r="E8647">
        <f>IF(D8647&lt;&gt;"KEEP","",IF(RIGHT(B8647,10)="@gmail.com","Gmail",IF(OR(RIGHT(B8647,12)="@outlook.com",RIGHT(B8647,12)="@hotmail.com",RIGHT(B8647,9)="@live.com"),"Outlook","Domain")))</f>
        <v/>
      </c>
      <c r="F8647">
        <f>IF(B8647="","",IFERROR(RIGHT(B8647,LEN(B8647)-FIND("@",B8647)),""))</f>
        <v/>
      </c>
      <c r="G8647">
        <f>IF(D8647="KEEP",COUNTIF($D$2:D8647,"KEEP"),"")</f>
        <v/>
      </c>
      <c r="H8647">
        <f>IF(D8647="REMOVE",COUNTIF($D$2:D8647,"REMOVE"),"")</f>
        <v/>
      </c>
      <c r="I8647">
        <f>IF(E8647="Gmail",COUNTIF($E$2:E8647,"Gmail"),"")</f>
        <v/>
      </c>
      <c r="J8647">
        <f>IF(E8647="Outlook",COUNTIF($E$2:E8647,"Outlook"),"")</f>
        <v/>
      </c>
      <c r="K8647">
        <f>IF(E8647="Domain",COUNTIF($E$2:E8647,"Domain"),"")</f>
        <v/>
      </c>
    </row>
    <row r="8648">
      <c r="A8648" s="2" t="n"/>
      <c r="B8648">
        <f>LOWER(TRIM(A8648))</f>
        <v/>
      </c>
      <c r="C8648">
        <f>IF(B8648="","",IFERROR(INDEX('Bad Patterns'!$A$2:$A$120,MATCH(1,INDEX(--ISNUMBER(SEARCH('Bad Patterns'!$A$2:$A$120,B8648)),0),0)),""))</f>
        <v/>
      </c>
      <c r="D8648">
        <f>IF(B8648="","",IF(C8648&lt;&gt;"","REMOVE","KEEP"))</f>
        <v/>
      </c>
      <c r="E8648">
        <f>IF(D8648&lt;&gt;"KEEP","",IF(RIGHT(B8648,10)="@gmail.com","Gmail",IF(OR(RIGHT(B8648,12)="@outlook.com",RIGHT(B8648,12)="@hotmail.com",RIGHT(B8648,9)="@live.com"),"Outlook","Domain")))</f>
        <v/>
      </c>
      <c r="F8648">
        <f>IF(B8648="","",IFERROR(RIGHT(B8648,LEN(B8648)-FIND("@",B8648)),""))</f>
        <v/>
      </c>
      <c r="G8648">
        <f>IF(D8648="KEEP",COUNTIF($D$2:D8648,"KEEP"),"")</f>
        <v/>
      </c>
      <c r="H8648">
        <f>IF(D8648="REMOVE",COUNTIF($D$2:D8648,"REMOVE"),"")</f>
        <v/>
      </c>
      <c r="I8648">
        <f>IF(E8648="Gmail",COUNTIF($E$2:E8648,"Gmail"),"")</f>
        <v/>
      </c>
      <c r="J8648">
        <f>IF(E8648="Outlook",COUNTIF($E$2:E8648,"Outlook"),"")</f>
        <v/>
      </c>
      <c r="K8648">
        <f>IF(E8648="Domain",COUNTIF($E$2:E8648,"Domain"),"")</f>
        <v/>
      </c>
    </row>
    <row r="8649">
      <c r="A8649" s="2" t="n"/>
      <c r="B8649">
        <f>LOWER(TRIM(A8649))</f>
        <v/>
      </c>
      <c r="C8649">
        <f>IF(B8649="","",IFERROR(INDEX('Bad Patterns'!$A$2:$A$120,MATCH(1,INDEX(--ISNUMBER(SEARCH('Bad Patterns'!$A$2:$A$120,B8649)),0),0)),""))</f>
        <v/>
      </c>
      <c r="D8649">
        <f>IF(B8649="","",IF(C8649&lt;&gt;"","REMOVE","KEEP"))</f>
        <v/>
      </c>
      <c r="E8649">
        <f>IF(D8649&lt;&gt;"KEEP","",IF(RIGHT(B8649,10)="@gmail.com","Gmail",IF(OR(RIGHT(B8649,12)="@outlook.com",RIGHT(B8649,12)="@hotmail.com",RIGHT(B8649,9)="@live.com"),"Outlook","Domain")))</f>
        <v/>
      </c>
      <c r="F8649">
        <f>IF(B8649="","",IFERROR(RIGHT(B8649,LEN(B8649)-FIND("@",B8649)),""))</f>
        <v/>
      </c>
      <c r="G8649">
        <f>IF(D8649="KEEP",COUNTIF($D$2:D8649,"KEEP"),"")</f>
        <v/>
      </c>
      <c r="H8649">
        <f>IF(D8649="REMOVE",COUNTIF($D$2:D8649,"REMOVE"),"")</f>
        <v/>
      </c>
      <c r="I8649">
        <f>IF(E8649="Gmail",COUNTIF($E$2:E8649,"Gmail"),"")</f>
        <v/>
      </c>
      <c r="J8649">
        <f>IF(E8649="Outlook",COUNTIF($E$2:E8649,"Outlook"),"")</f>
        <v/>
      </c>
      <c r="K8649">
        <f>IF(E8649="Domain",COUNTIF($E$2:E8649,"Domain"),"")</f>
        <v/>
      </c>
    </row>
    <row r="8650">
      <c r="A8650" s="2" t="n"/>
      <c r="B8650">
        <f>LOWER(TRIM(A8650))</f>
        <v/>
      </c>
      <c r="C8650">
        <f>IF(B8650="","",IFERROR(INDEX('Bad Patterns'!$A$2:$A$120,MATCH(1,INDEX(--ISNUMBER(SEARCH('Bad Patterns'!$A$2:$A$120,B8650)),0),0)),""))</f>
        <v/>
      </c>
      <c r="D8650">
        <f>IF(B8650="","",IF(C8650&lt;&gt;"","REMOVE","KEEP"))</f>
        <v/>
      </c>
      <c r="E8650">
        <f>IF(D8650&lt;&gt;"KEEP","",IF(RIGHT(B8650,10)="@gmail.com","Gmail",IF(OR(RIGHT(B8650,12)="@outlook.com",RIGHT(B8650,12)="@hotmail.com",RIGHT(B8650,9)="@live.com"),"Outlook","Domain")))</f>
        <v/>
      </c>
      <c r="F8650">
        <f>IF(B8650="","",IFERROR(RIGHT(B8650,LEN(B8650)-FIND("@",B8650)),""))</f>
        <v/>
      </c>
      <c r="G8650">
        <f>IF(D8650="KEEP",COUNTIF($D$2:D8650,"KEEP"),"")</f>
        <v/>
      </c>
      <c r="H8650">
        <f>IF(D8650="REMOVE",COUNTIF($D$2:D8650,"REMOVE"),"")</f>
        <v/>
      </c>
      <c r="I8650">
        <f>IF(E8650="Gmail",COUNTIF($E$2:E8650,"Gmail"),"")</f>
        <v/>
      </c>
      <c r="J8650">
        <f>IF(E8650="Outlook",COUNTIF($E$2:E8650,"Outlook"),"")</f>
        <v/>
      </c>
      <c r="K8650">
        <f>IF(E8650="Domain",COUNTIF($E$2:E8650,"Domain"),"")</f>
        <v/>
      </c>
    </row>
    <row r="8651">
      <c r="A8651" s="2" t="n"/>
      <c r="B8651">
        <f>LOWER(TRIM(A8651))</f>
        <v/>
      </c>
      <c r="C8651">
        <f>IF(B8651="","",IFERROR(INDEX('Bad Patterns'!$A$2:$A$120,MATCH(1,INDEX(--ISNUMBER(SEARCH('Bad Patterns'!$A$2:$A$120,B8651)),0),0)),""))</f>
        <v/>
      </c>
      <c r="D8651">
        <f>IF(B8651="","",IF(C8651&lt;&gt;"","REMOVE","KEEP"))</f>
        <v/>
      </c>
      <c r="E8651">
        <f>IF(D8651&lt;&gt;"KEEP","",IF(RIGHT(B8651,10)="@gmail.com","Gmail",IF(OR(RIGHT(B8651,12)="@outlook.com",RIGHT(B8651,12)="@hotmail.com",RIGHT(B8651,9)="@live.com"),"Outlook","Domain")))</f>
        <v/>
      </c>
      <c r="F8651">
        <f>IF(B8651="","",IFERROR(RIGHT(B8651,LEN(B8651)-FIND("@",B8651)),""))</f>
        <v/>
      </c>
      <c r="G8651">
        <f>IF(D8651="KEEP",COUNTIF($D$2:D8651,"KEEP"),"")</f>
        <v/>
      </c>
      <c r="H8651">
        <f>IF(D8651="REMOVE",COUNTIF($D$2:D8651,"REMOVE"),"")</f>
        <v/>
      </c>
      <c r="I8651">
        <f>IF(E8651="Gmail",COUNTIF($E$2:E8651,"Gmail"),"")</f>
        <v/>
      </c>
      <c r="J8651">
        <f>IF(E8651="Outlook",COUNTIF($E$2:E8651,"Outlook"),"")</f>
        <v/>
      </c>
      <c r="K8651">
        <f>IF(E8651="Domain",COUNTIF($E$2:E8651,"Domain"),"")</f>
        <v/>
      </c>
    </row>
    <row r="8652">
      <c r="A8652" s="2" t="n"/>
      <c r="B8652">
        <f>LOWER(TRIM(A8652))</f>
        <v/>
      </c>
      <c r="C8652">
        <f>IF(B8652="","",IFERROR(INDEX('Bad Patterns'!$A$2:$A$120,MATCH(1,INDEX(--ISNUMBER(SEARCH('Bad Patterns'!$A$2:$A$120,B8652)),0),0)),""))</f>
        <v/>
      </c>
      <c r="D8652">
        <f>IF(B8652="","",IF(C8652&lt;&gt;"","REMOVE","KEEP"))</f>
        <v/>
      </c>
      <c r="E8652">
        <f>IF(D8652&lt;&gt;"KEEP","",IF(RIGHT(B8652,10)="@gmail.com","Gmail",IF(OR(RIGHT(B8652,12)="@outlook.com",RIGHT(B8652,12)="@hotmail.com",RIGHT(B8652,9)="@live.com"),"Outlook","Domain")))</f>
        <v/>
      </c>
      <c r="F8652">
        <f>IF(B8652="","",IFERROR(RIGHT(B8652,LEN(B8652)-FIND("@",B8652)),""))</f>
        <v/>
      </c>
      <c r="G8652">
        <f>IF(D8652="KEEP",COUNTIF($D$2:D8652,"KEEP"),"")</f>
        <v/>
      </c>
      <c r="H8652">
        <f>IF(D8652="REMOVE",COUNTIF($D$2:D8652,"REMOVE"),"")</f>
        <v/>
      </c>
      <c r="I8652">
        <f>IF(E8652="Gmail",COUNTIF($E$2:E8652,"Gmail"),"")</f>
        <v/>
      </c>
      <c r="J8652">
        <f>IF(E8652="Outlook",COUNTIF($E$2:E8652,"Outlook"),"")</f>
        <v/>
      </c>
      <c r="K8652">
        <f>IF(E8652="Domain",COUNTIF($E$2:E8652,"Domain"),"")</f>
        <v/>
      </c>
    </row>
    <row r="8653">
      <c r="A8653" s="2" t="n"/>
      <c r="B8653">
        <f>LOWER(TRIM(A8653))</f>
        <v/>
      </c>
      <c r="C8653">
        <f>IF(B8653="","",IFERROR(INDEX('Bad Patterns'!$A$2:$A$120,MATCH(1,INDEX(--ISNUMBER(SEARCH('Bad Patterns'!$A$2:$A$120,B8653)),0),0)),""))</f>
        <v/>
      </c>
      <c r="D8653">
        <f>IF(B8653="","",IF(C8653&lt;&gt;"","REMOVE","KEEP"))</f>
        <v/>
      </c>
      <c r="E8653">
        <f>IF(D8653&lt;&gt;"KEEP","",IF(RIGHT(B8653,10)="@gmail.com","Gmail",IF(OR(RIGHT(B8653,12)="@outlook.com",RIGHT(B8653,12)="@hotmail.com",RIGHT(B8653,9)="@live.com"),"Outlook","Domain")))</f>
        <v/>
      </c>
      <c r="F8653">
        <f>IF(B8653="","",IFERROR(RIGHT(B8653,LEN(B8653)-FIND("@",B8653)),""))</f>
        <v/>
      </c>
      <c r="G8653">
        <f>IF(D8653="KEEP",COUNTIF($D$2:D8653,"KEEP"),"")</f>
        <v/>
      </c>
      <c r="H8653">
        <f>IF(D8653="REMOVE",COUNTIF($D$2:D8653,"REMOVE"),"")</f>
        <v/>
      </c>
      <c r="I8653">
        <f>IF(E8653="Gmail",COUNTIF($E$2:E8653,"Gmail"),"")</f>
        <v/>
      </c>
      <c r="J8653">
        <f>IF(E8653="Outlook",COUNTIF($E$2:E8653,"Outlook"),"")</f>
        <v/>
      </c>
      <c r="K8653">
        <f>IF(E8653="Domain",COUNTIF($E$2:E8653,"Domain"),"")</f>
        <v/>
      </c>
    </row>
    <row r="8654">
      <c r="A8654" s="2" t="n"/>
      <c r="B8654">
        <f>LOWER(TRIM(A8654))</f>
        <v/>
      </c>
      <c r="C8654">
        <f>IF(B8654="","",IFERROR(INDEX('Bad Patterns'!$A$2:$A$120,MATCH(1,INDEX(--ISNUMBER(SEARCH('Bad Patterns'!$A$2:$A$120,B8654)),0),0)),""))</f>
        <v/>
      </c>
      <c r="D8654">
        <f>IF(B8654="","",IF(C8654&lt;&gt;"","REMOVE","KEEP"))</f>
        <v/>
      </c>
      <c r="E8654">
        <f>IF(D8654&lt;&gt;"KEEP","",IF(RIGHT(B8654,10)="@gmail.com","Gmail",IF(OR(RIGHT(B8654,12)="@outlook.com",RIGHT(B8654,12)="@hotmail.com",RIGHT(B8654,9)="@live.com"),"Outlook","Domain")))</f>
        <v/>
      </c>
      <c r="F8654">
        <f>IF(B8654="","",IFERROR(RIGHT(B8654,LEN(B8654)-FIND("@",B8654)),""))</f>
        <v/>
      </c>
      <c r="G8654">
        <f>IF(D8654="KEEP",COUNTIF($D$2:D8654,"KEEP"),"")</f>
        <v/>
      </c>
      <c r="H8654">
        <f>IF(D8654="REMOVE",COUNTIF($D$2:D8654,"REMOVE"),"")</f>
        <v/>
      </c>
      <c r="I8654">
        <f>IF(E8654="Gmail",COUNTIF($E$2:E8654,"Gmail"),"")</f>
        <v/>
      </c>
      <c r="J8654">
        <f>IF(E8654="Outlook",COUNTIF($E$2:E8654,"Outlook"),"")</f>
        <v/>
      </c>
      <c r="K8654">
        <f>IF(E8654="Domain",COUNTIF($E$2:E8654,"Domain"),"")</f>
        <v/>
      </c>
    </row>
    <row r="8655">
      <c r="A8655" s="2" t="n"/>
      <c r="B8655">
        <f>LOWER(TRIM(A8655))</f>
        <v/>
      </c>
      <c r="C8655">
        <f>IF(B8655="","",IFERROR(INDEX('Bad Patterns'!$A$2:$A$120,MATCH(1,INDEX(--ISNUMBER(SEARCH('Bad Patterns'!$A$2:$A$120,B8655)),0),0)),""))</f>
        <v/>
      </c>
      <c r="D8655">
        <f>IF(B8655="","",IF(C8655&lt;&gt;"","REMOVE","KEEP"))</f>
        <v/>
      </c>
      <c r="E8655">
        <f>IF(D8655&lt;&gt;"KEEP","",IF(RIGHT(B8655,10)="@gmail.com","Gmail",IF(OR(RIGHT(B8655,12)="@outlook.com",RIGHT(B8655,12)="@hotmail.com",RIGHT(B8655,9)="@live.com"),"Outlook","Domain")))</f>
        <v/>
      </c>
      <c r="F8655">
        <f>IF(B8655="","",IFERROR(RIGHT(B8655,LEN(B8655)-FIND("@",B8655)),""))</f>
        <v/>
      </c>
      <c r="G8655">
        <f>IF(D8655="KEEP",COUNTIF($D$2:D8655,"KEEP"),"")</f>
        <v/>
      </c>
      <c r="H8655">
        <f>IF(D8655="REMOVE",COUNTIF($D$2:D8655,"REMOVE"),"")</f>
        <v/>
      </c>
      <c r="I8655">
        <f>IF(E8655="Gmail",COUNTIF($E$2:E8655,"Gmail"),"")</f>
        <v/>
      </c>
      <c r="J8655">
        <f>IF(E8655="Outlook",COUNTIF($E$2:E8655,"Outlook"),"")</f>
        <v/>
      </c>
      <c r="K8655">
        <f>IF(E8655="Domain",COUNTIF($E$2:E8655,"Domain"),"")</f>
        <v/>
      </c>
    </row>
    <row r="8656">
      <c r="A8656" s="2" t="n"/>
      <c r="B8656">
        <f>LOWER(TRIM(A8656))</f>
        <v/>
      </c>
      <c r="C8656">
        <f>IF(B8656="","",IFERROR(INDEX('Bad Patterns'!$A$2:$A$120,MATCH(1,INDEX(--ISNUMBER(SEARCH('Bad Patterns'!$A$2:$A$120,B8656)),0),0)),""))</f>
        <v/>
      </c>
      <c r="D8656">
        <f>IF(B8656="","",IF(C8656&lt;&gt;"","REMOVE","KEEP"))</f>
        <v/>
      </c>
      <c r="E8656">
        <f>IF(D8656&lt;&gt;"KEEP","",IF(RIGHT(B8656,10)="@gmail.com","Gmail",IF(OR(RIGHT(B8656,12)="@outlook.com",RIGHT(B8656,12)="@hotmail.com",RIGHT(B8656,9)="@live.com"),"Outlook","Domain")))</f>
        <v/>
      </c>
      <c r="F8656">
        <f>IF(B8656="","",IFERROR(RIGHT(B8656,LEN(B8656)-FIND("@",B8656)),""))</f>
        <v/>
      </c>
      <c r="G8656">
        <f>IF(D8656="KEEP",COUNTIF($D$2:D8656,"KEEP"),"")</f>
        <v/>
      </c>
      <c r="H8656">
        <f>IF(D8656="REMOVE",COUNTIF($D$2:D8656,"REMOVE"),"")</f>
        <v/>
      </c>
      <c r="I8656">
        <f>IF(E8656="Gmail",COUNTIF($E$2:E8656,"Gmail"),"")</f>
        <v/>
      </c>
      <c r="J8656">
        <f>IF(E8656="Outlook",COUNTIF($E$2:E8656,"Outlook"),"")</f>
        <v/>
      </c>
      <c r="K8656">
        <f>IF(E8656="Domain",COUNTIF($E$2:E8656,"Domain"),"")</f>
        <v/>
      </c>
    </row>
    <row r="8657">
      <c r="A8657" s="2" t="n"/>
      <c r="B8657">
        <f>LOWER(TRIM(A8657))</f>
        <v/>
      </c>
      <c r="C8657">
        <f>IF(B8657="","",IFERROR(INDEX('Bad Patterns'!$A$2:$A$120,MATCH(1,INDEX(--ISNUMBER(SEARCH('Bad Patterns'!$A$2:$A$120,B8657)),0),0)),""))</f>
        <v/>
      </c>
      <c r="D8657">
        <f>IF(B8657="","",IF(C8657&lt;&gt;"","REMOVE","KEEP"))</f>
        <v/>
      </c>
      <c r="E8657">
        <f>IF(D8657&lt;&gt;"KEEP","",IF(RIGHT(B8657,10)="@gmail.com","Gmail",IF(OR(RIGHT(B8657,12)="@outlook.com",RIGHT(B8657,12)="@hotmail.com",RIGHT(B8657,9)="@live.com"),"Outlook","Domain")))</f>
        <v/>
      </c>
      <c r="F8657">
        <f>IF(B8657="","",IFERROR(RIGHT(B8657,LEN(B8657)-FIND("@",B8657)),""))</f>
        <v/>
      </c>
      <c r="G8657">
        <f>IF(D8657="KEEP",COUNTIF($D$2:D8657,"KEEP"),"")</f>
        <v/>
      </c>
      <c r="H8657">
        <f>IF(D8657="REMOVE",COUNTIF($D$2:D8657,"REMOVE"),"")</f>
        <v/>
      </c>
      <c r="I8657">
        <f>IF(E8657="Gmail",COUNTIF($E$2:E8657,"Gmail"),"")</f>
        <v/>
      </c>
      <c r="J8657">
        <f>IF(E8657="Outlook",COUNTIF($E$2:E8657,"Outlook"),"")</f>
        <v/>
      </c>
      <c r="K8657">
        <f>IF(E8657="Domain",COUNTIF($E$2:E8657,"Domain"),"")</f>
        <v/>
      </c>
    </row>
    <row r="8658">
      <c r="A8658" s="2" t="n"/>
      <c r="B8658">
        <f>LOWER(TRIM(A8658))</f>
        <v/>
      </c>
      <c r="C8658">
        <f>IF(B8658="","",IFERROR(INDEX('Bad Patterns'!$A$2:$A$120,MATCH(1,INDEX(--ISNUMBER(SEARCH('Bad Patterns'!$A$2:$A$120,B8658)),0),0)),""))</f>
        <v/>
      </c>
      <c r="D8658">
        <f>IF(B8658="","",IF(C8658&lt;&gt;"","REMOVE","KEEP"))</f>
        <v/>
      </c>
      <c r="E8658">
        <f>IF(D8658&lt;&gt;"KEEP","",IF(RIGHT(B8658,10)="@gmail.com","Gmail",IF(OR(RIGHT(B8658,12)="@outlook.com",RIGHT(B8658,12)="@hotmail.com",RIGHT(B8658,9)="@live.com"),"Outlook","Domain")))</f>
        <v/>
      </c>
      <c r="F8658">
        <f>IF(B8658="","",IFERROR(RIGHT(B8658,LEN(B8658)-FIND("@",B8658)),""))</f>
        <v/>
      </c>
      <c r="G8658">
        <f>IF(D8658="KEEP",COUNTIF($D$2:D8658,"KEEP"),"")</f>
        <v/>
      </c>
      <c r="H8658">
        <f>IF(D8658="REMOVE",COUNTIF($D$2:D8658,"REMOVE"),"")</f>
        <v/>
      </c>
      <c r="I8658">
        <f>IF(E8658="Gmail",COUNTIF($E$2:E8658,"Gmail"),"")</f>
        <v/>
      </c>
      <c r="J8658">
        <f>IF(E8658="Outlook",COUNTIF($E$2:E8658,"Outlook"),"")</f>
        <v/>
      </c>
      <c r="K8658">
        <f>IF(E8658="Domain",COUNTIF($E$2:E8658,"Domain"),"")</f>
        <v/>
      </c>
    </row>
    <row r="8659">
      <c r="A8659" s="2" t="n"/>
      <c r="B8659">
        <f>LOWER(TRIM(A8659))</f>
        <v/>
      </c>
      <c r="C8659">
        <f>IF(B8659="","",IFERROR(INDEX('Bad Patterns'!$A$2:$A$120,MATCH(1,INDEX(--ISNUMBER(SEARCH('Bad Patterns'!$A$2:$A$120,B8659)),0),0)),""))</f>
        <v/>
      </c>
      <c r="D8659">
        <f>IF(B8659="","",IF(C8659&lt;&gt;"","REMOVE","KEEP"))</f>
        <v/>
      </c>
      <c r="E8659">
        <f>IF(D8659&lt;&gt;"KEEP","",IF(RIGHT(B8659,10)="@gmail.com","Gmail",IF(OR(RIGHT(B8659,12)="@outlook.com",RIGHT(B8659,12)="@hotmail.com",RIGHT(B8659,9)="@live.com"),"Outlook","Domain")))</f>
        <v/>
      </c>
      <c r="F8659">
        <f>IF(B8659="","",IFERROR(RIGHT(B8659,LEN(B8659)-FIND("@",B8659)),""))</f>
        <v/>
      </c>
      <c r="G8659">
        <f>IF(D8659="KEEP",COUNTIF($D$2:D8659,"KEEP"),"")</f>
        <v/>
      </c>
      <c r="H8659">
        <f>IF(D8659="REMOVE",COUNTIF($D$2:D8659,"REMOVE"),"")</f>
        <v/>
      </c>
      <c r="I8659">
        <f>IF(E8659="Gmail",COUNTIF($E$2:E8659,"Gmail"),"")</f>
        <v/>
      </c>
      <c r="J8659">
        <f>IF(E8659="Outlook",COUNTIF($E$2:E8659,"Outlook"),"")</f>
        <v/>
      </c>
      <c r="K8659">
        <f>IF(E8659="Domain",COUNTIF($E$2:E8659,"Domain"),"")</f>
        <v/>
      </c>
    </row>
    <row r="8660">
      <c r="A8660" s="2" t="n"/>
      <c r="B8660">
        <f>LOWER(TRIM(A8660))</f>
        <v/>
      </c>
      <c r="C8660">
        <f>IF(B8660="","",IFERROR(INDEX('Bad Patterns'!$A$2:$A$120,MATCH(1,INDEX(--ISNUMBER(SEARCH('Bad Patterns'!$A$2:$A$120,B8660)),0),0)),""))</f>
        <v/>
      </c>
      <c r="D8660">
        <f>IF(B8660="","",IF(C8660&lt;&gt;"","REMOVE","KEEP"))</f>
        <v/>
      </c>
      <c r="E8660">
        <f>IF(D8660&lt;&gt;"KEEP","",IF(RIGHT(B8660,10)="@gmail.com","Gmail",IF(OR(RIGHT(B8660,12)="@outlook.com",RIGHT(B8660,12)="@hotmail.com",RIGHT(B8660,9)="@live.com"),"Outlook","Domain")))</f>
        <v/>
      </c>
      <c r="F8660">
        <f>IF(B8660="","",IFERROR(RIGHT(B8660,LEN(B8660)-FIND("@",B8660)),""))</f>
        <v/>
      </c>
      <c r="G8660">
        <f>IF(D8660="KEEP",COUNTIF($D$2:D8660,"KEEP"),"")</f>
        <v/>
      </c>
      <c r="H8660">
        <f>IF(D8660="REMOVE",COUNTIF($D$2:D8660,"REMOVE"),"")</f>
        <v/>
      </c>
      <c r="I8660">
        <f>IF(E8660="Gmail",COUNTIF($E$2:E8660,"Gmail"),"")</f>
        <v/>
      </c>
      <c r="J8660">
        <f>IF(E8660="Outlook",COUNTIF($E$2:E8660,"Outlook"),"")</f>
        <v/>
      </c>
      <c r="K8660">
        <f>IF(E8660="Domain",COUNTIF($E$2:E8660,"Domain"),"")</f>
        <v/>
      </c>
    </row>
    <row r="8661">
      <c r="A8661" s="2" t="n"/>
      <c r="B8661">
        <f>LOWER(TRIM(A8661))</f>
        <v/>
      </c>
      <c r="C8661">
        <f>IF(B8661="","",IFERROR(INDEX('Bad Patterns'!$A$2:$A$120,MATCH(1,INDEX(--ISNUMBER(SEARCH('Bad Patterns'!$A$2:$A$120,B8661)),0),0)),""))</f>
        <v/>
      </c>
      <c r="D8661">
        <f>IF(B8661="","",IF(C8661&lt;&gt;"","REMOVE","KEEP"))</f>
        <v/>
      </c>
      <c r="E8661">
        <f>IF(D8661&lt;&gt;"KEEP","",IF(RIGHT(B8661,10)="@gmail.com","Gmail",IF(OR(RIGHT(B8661,12)="@outlook.com",RIGHT(B8661,12)="@hotmail.com",RIGHT(B8661,9)="@live.com"),"Outlook","Domain")))</f>
        <v/>
      </c>
      <c r="F8661">
        <f>IF(B8661="","",IFERROR(RIGHT(B8661,LEN(B8661)-FIND("@",B8661)),""))</f>
        <v/>
      </c>
      <c r="G8661">
        <f>IF(D8661="KEEP",COUNTIF($D$2:D8661,"KEEP"),"")</f>
        <v/>
      </c>
      <c r="H8661">
        <f>IF(D8661="REMOVE",COUNTIF($D$2:D8661,"REMOVE"),"")</f>
        <v/>
      </c>
      <c r="I8661">
        <f>IF(E8661="Gmail",COUNTIF($E$2:E8661,"Gmail"),"")</f>
        <v/>
      </c>
      <c r="J8661">
        <f>IF(E8661="Outlook",COUNTIF($E$2:E8661,"Outlook"),"")</f>
        <v/>
      </c>
      <c r="K8661">
        <f>IF(E8661="Domain",COUNTIF($E$2:E8661,"Domain"),"")</f>
        <v/>
      </c>
    </row>
    <row r="8662">
      <c r="A8662" s="2" t="n"/>
      <c r="B8662">
        <f>LOWER(TRIM(A8662))</f>
        <v/>
      </c>
      <c r="C8662">
        <f>IF(B8662="","",IFERROR(INDEX('Bad Patterns'!$A$2:$A$120,MATCH(1,INDEX(--ISNUMBER(SEARCH('Bad Patterns'!$A$2:$A$120,B8662)),0),0)),""))</f>
        <v/>
      </c>
      <c r="D8662">
        <f>IF(B8662="","",IF(C8662&lt;&gt;"","REMOVE","KEEP"))</f>
        <v/>
      </c>
      <c r="E8662">
        <f>IF(D8662&lt;&gt;"KEEP","",IF(RIGHT(B8662,10)="@gmail.com","Gmail",IF(OR(RIGHT(B8662,12)="@outlook.com",RIGHT(B8662,12)="@hotmail.com",RIGHT(B8662,9)="@live.com"),"Outlook","Domain")))</f>
        <v/>
      </c>
      <c r="F8662">
        <f>IF(B8662="","",IFERROR(RIGHT(B8662,LEN(B8662)-FIND("@",B8662)),""))</f>
        <v/>
      </c>
      <c r="G8662">
        <f>IF(D8662="KEEP",COUNTIF($D$2:D8662,"KEEP"),"")</f>
        <v/>
      </c>
      <c r="H8662">
        <f>IF(D8662="REMOVE",COUNTIF($D$2:D8662,"REMOVE"),"")</f>
        <v/>
      </c>
      <c r="I8662">
        <f>IF(E8662="Gmail",COUNTIF($E$2:E8662,"Gmail"),"")</f>
        <v/>
      </c>
      <c r="J8662">
        <f>IF(E8662="Outlook",COUNTIF($E$2:E8662,"Outlook"),"")</f>
        <v/>
      </c>
      <c r="K8662">
        <f>IF(E8662="Domain",COUNTIF($E$2:E8662,"Domain"),"")</f>
        <v/>
      </c>
    </row>
    <row r="8663">
      <c r="A8663" s="2" t="n"/>
      <c r="B8663">
        <f>LOWER(TRIM(A8663))</f>
        <v/>
      </c>
      <c r="C8663">
        <f>IF(B8663="","",IFERROR(INDEX('Bad Patterns'!$A$2:$A$120,MATCH(1,INDEX(--ISNUMBER(SEARCH('Bad Patterns'!$A$2:$A$120,B8663)),0),0)),""))</f>
        <v/>
      </c>
      <c r="D8663">
        <f>IF(B8663="","",IF(C8663&lt;&gt;"","REMOVE","KEEP"))</f>
        <v/>
      </c>
      <c r="E8663">
        <f>IF(D8663&lt;&gt;"KEEP","",IF(RIGHT(B8663,10)="@gmail.com","Gmail",IF(OR(RIGHT(B8663,12)="@outlook.com",RIGHT(B8663,12)="@hotmail.com",RIGHT(B8663,9)="@live.com"),"Outlook","Domain")))</f>
        <v/>
      </c>
      <c r="F8663">
        <f>IF(B8663="","",IFERROR(RIGHT(B8663,LEN(B8663)-FIND("@",B8663)),""))</f>
        <v/>
      </c>
      <c r="G8663">
        <f>IF(D8663="KEEP",COUNTIF($D$2:D8663,"KEEP"),"")</f>
        <v/>
      </c>
      <c r="H8663">
        <f>IF(D8663="REMOVE",COUNTIF($D$2:D8663,"REMOVE"),"")</f>
        <v/>
      </c>
      <c r="I8663">
        <f>IF(E8663="Gmail",COUNTIF($E$2:E8663,"Gmail"),"")</f>
        <v/>
      </c>
      <c r="J8663">
        <f>IF(E8663="Outlook",COUNTIF($E$2:E8663,"Outlook"),"")</f>
        <v/>
      </c>
      <c r="K8663">
        <f>IF(E8663="Domain",COUNTIF($E$2:E8663,"Domain"),"")</f>
        <v/>
      </c>
    </row>
    <row r="8664">
      <c r="A8664" s="2" t="n"/>
      <c r="B8664">
        <f>LOWER(TRIM(A8664))</f>
        <v/>
      </c>
      <c r="C8664">
        <f>IF(B8664="","",IFERROR(INDEX('Bad Patterns'!$A$2:$A$120,MATCH(1,INDEX(--ISNUMBER(SEARCH('Bad Patterns'!$A$2:$A$120,B8664)),0),0)),""))</f>
        <v/>
      </c>
      <c r="D8664">
        <f>IF(B8664="","",IF(C8664&lt;&gt;"","REMOVE","KEEP"))</f>
        <v/>
      </c>
      <c r="E8664">
        <f>IF(D8664&lt;&gt;"KEEP","",IF(RIGHT(B8664,10)="@gmail.com","Gmail",IF(OR(RIGHT(B8664,12)="@outlook.com",RIGHT(B8664,12)="@hotmail.com",RIGHT(B8664,9)="@live.com"),"Outlook","Domain")))</f>
        <v/>
      </c>
      <c r="F8664">
        <f>IF(B8664="","",IFERROR(RIGHT(B8664,LEN(B8664)-FIND("@",B8664)),""))</f>
        <v/>
      </c>
      <c r="G8664">
        <f>IF(D8664="KEEP",COUNTIF($D$2:D8664,"KEEP"),"")</f>
        <v/>
      </c>
      <c r="H8664">
        <f>IF(D8664="REMOVE",COUNTIF($D$2:D8664,"REMOVE"),"")</f>
        <v/>
      </c>
      <c r="I8664">
        <f>IF(E8664="Gmail",COUNTIF($E$2:E8664,"Gmail"),"")</f>
        <v/>
      </c>
      <c r="J8664">
        <f>IF(E8664="Outlook",COUNTIF($E$2:E8664,"Outlook"),"")</f>
        <v/>
      </c>
      <c r="K8664">
        <f>IF(E8664="Domain",COUNTIF($E$2:E8664,"Domain"),"")</f>
        <v/>
      </c>
    </row>
    <row r="8665">
      <c r="A8665" s="2" t="n"/>
      <c r="B8665">
        <f>LOWER(TRIM(A8665))</f>
        <v/>
      </c>
      <c r="C8665">
        <f>IF(B8665="","",IFERROR(INDEX('Bad Patterns'!$A$2:$A$120,MATCH(1,INDEX(--ISNUMBER(SEARCH('Bad Patterns'!$A$2:$A$120,B8665)),0),0)),""))</f>
        <v/>
      </c>
      <c r="D8665">
        <f>IF(B8665="","",IF(C8665&lt;&gt;"","REMOVE","KEEP"))</f>
        <v/>
      </c>
      <c r="E8665">
        <f>IF(D8665&lt;&gt;"KEEP","",IF(RIGHT(B8665,10)="@gmail.com","Gmail",IF(OR(RIGHT(B8665,12)="@outlook.com",RIGHT(B8665,12)="@hotmail.com",RIGHT(B8665,9)="@live.com"),"Outlook","Domain")))</f>
        <v/>
      </c>
      <c r="F8665">
        <f>IF(B8665="","",IFERROR(RIGHT(B8665,LEN(B8665)-FIND("@",B8665)),""))</f>
        <v/>
      </c>
      <c r="G8665">
        <f>IF(D8665="KEEP",COUNTIF($D$2:D8665,"KEEP"),"")</f>
        <v/>
      </c>
      <c r="H8665">
        <f>IF(D8665="REMOVE",COUNTIF($D$2:D8665,"REMOVE"),"")</f>
        <v/>
      </c>
      <c r="I8665">
        <f>IF(E8665="Gmail",COUNTIF($E$2:E8665,"Gmail"),"")</f>
        <v/>
      </c>
      <c r="J8665">
        <f>IF(E8665="Outlook",COUNTIF($E$2:E8665,"Outlook"),"")</f>
        <v/>
      </c>
      <c r="K8665">
        <f>IF(E8665="Domain",COUNTIF($E$2:E8665,"Domain"),"")</f>
        <v/>
      </c>
    </row>
    <row r="8666">
      <c r="A8666" s="2" t="n"/>
      <c r="B8666">
        <f>LOWER(TRIM(A8666))</f>
        <v/>
      </c>
      <c r="C8666">
        <f>IF(B8666="","",IFERROR(INDEX('Bad Patterns'!$A$2:$A$120,MATCH(1,INDEX(--ISNUMBER(SEARCH('Bad Patterns'!$A$2:$A$120,B8666)),0),0)),""))</f>
        <v/>
      </c>
      <c r="D8666">
        <f>IF(B8666="","",IF(C8666&lt;&gt;"","REMOVE","KEEP"))</f>
        <v/>
      </c>
      <c r="E8666">
        <f>IF(D8666&lt;&gt;"KEEP","",IF(RIGHT(B8666,10)="@gmail.com","Gmail",IF(OR(RIGHT(B8666,12)="@outlook.com",RIGHT(B8666,12)="@hotmail.com",RIGHT(B8666,9)="@live.com"),"Outlook","Domain")))</f>
        <v/>
      </c>
      <c r="F8666">
        <f>IF(B8666="","",IFERROR(RIGHT(B8666,LEN(B8666)-FIND("@",B8666)),""))</f>
        <v/>
      </c>
      <c r="G8666">
        <f>IF(D8666="KEEP",COUNTIF($D$2:D8666,"KEEP"),"")</f>
        <v/>
      </c>
      <c r="H8666">
        <f>IF(D8666="REMOVE",COUNTIF($D$2:D8666,"REMOVE"),"")</f>
        <v/>
      </c>
      <c r="I8666">
        <f>IF(E8666="Gmail",COUNTIF($E$2:E8666,"Gmail"),"")</f>
        <v/>
      </c>
      <c r="J8666">
        <f>IF(E8666="Outlook",COUNTIF($E$2:E8666,"Outlook"),"")</f>
        <v/>
      </c>
      <c r="K8666">
        <f>IF(E8666="Domain",COUNTIF($E$2:E8666,"Domain"),"")</f>
        <v/>
      </c>
    </row>
    <row r="8667">
      <c r="A8667" s="2" t="n"/>
      <c r="B8667">
        <f>LOWER(TRIM(A8667))</f>
        <v/>
      </c>
      <c r="C8667">
        <f>IF(B8667="","",IFERROR(INDEX('Bad Patterns'!$A$2:$A$120,MATCH(1,INDEX(--ISNUMBER(SEARCH('Bad Patterns'!$A$2:$A$120,B8667)),0),0)),""))</f>
        <v/>
      </c>
      <c r="D8667">
        <f>IF(B8667="","",IF(C8667&lt;&gt;"","REMOVE","KEEP"))</f>
        <v/>
      </c>
      <c r="E8667">
        <f>IF(D8667&lt;&gt;"KEEP","",IF(RIGHT(B8667,10)="@gmail.com","Gmail",IF(OR(RIGHT(B8667,12)="@outlook.com",RIGHT(B8667,12)="@hotmail.com",RIGHT(B8667,9)="@live.com"),"Outlook","Domain")))</f>
        <v/>
      </c>
      <c r="F8667">
        <f>IF(B8667="","",IFERROR(RIGHT(B8667,LEN(B8667)-FIND("@",B8667)),""))</f>
        <v/>
      </c>
      <c r="G8667">
        <f>IF(D8667="KEEP",COUNTIF($D$2:D8667,"KEEP"),"")</f>
        <v/>
      </c>
      <c r="H8667">
        <f>IF(D8667="REMOVE",COUNTIF($D$2:D8667,"REMOVE"),"")</f>
        <v/>
      </c>
      <c r="I8667">
        <f>IF(E8667="Gmail",COUNTIF($E$2:E8667,"Gmail"),"")</f>
        <v/>
      </c>
      <c r="J8667">
        <f>IF(E8667="Outlook",COUNTIF($E$2:E8667,"Outlook"),"")</f>
        <v/>
      </c>
      <c r="K8667">
        <f>IF(E8667="Domain",COUNTIF($E$2:E8667,"Domain"),"")</f>
        <v/>
      </c>
    </row>
    <row r="8668">
      <c r="A8668" s="2" t="n"/>
      <c r="B8668">
        <f>LOWER(TRIM(A8668))</f>
        <v/>
      </c>
      <c r="C8668">
        <f>IF(B8668="","",IFERROR(INDEX('Bad Patterns'!$A$2:$A$120,MATCH(1,INDEX(--ISNUMBER(SEARCH('Bad Patterns'!$A$2:$A$120,B8668)),0),0)),""))</f>
        <v/>
      </c>
      <c r="D8668">
        <f>IF(B8668="","",IF(C8668&lt;&gt;"","REMOVE","KEEP"))</f>
        <v/>
      </c>
      <c r="E8668">
        <f>IF(D8668&lt;&gt;"KEEP","",IF(RIGHT(B8668,10)="@gmail.com","Gmail",IF(OR(RIGHT(B8668,12)="@outlook.com",RIGHT(B8668,12)="@hotmail.com",RIGHT(B8668,9)="@live.com"),"Outlook","Domain")))</f>
        <v/>
      </c>
      <c r="F8668">
        <f>IF(B8668="","",IFERROR(RIGHT(B8668,LEN(B8668)-FIND("@",B8668)),""))</f>
        <v/>
      </c>
      <c r="G8668">
        <f>IF(D8668="KEEP",COUNTIF($D$2:D8668,"KEEP"),"")</f>
        <v/>
      </c>
      <c r="H8668">
        <f>IF(D8668="REMOVE",COUNTIF($D$2:D8668,"REMOVE"),"")</f>
        <v/>
      </c>
      <c r="I8668">
        <f>IF(E8668="Gmail",COUNTIF($E$2:E8668,"Gmail"),"")</f>
        <v/>
      </c>
      <c r="J8668">
        <f>IF(E8668="Outlook",COUNTIF($E$2:E8668,"Outlook"),"")</f>
        <v/>
      </c>
      <c r="K8668">
        <f>IF(E8668="Domain",COUNTIF($E$2:E8668,"Domain"),"")</f>
        <v/>
      </c>
    </row>
    <row r="8669">
      <c r="A8669" s="2" t="n"/>
      <c r="B8669">
        <f>LOWER(TRIM(A8669))</f>
        <v/>
      </c>
      <c r="C8669">
        <f>IF(B8669="","",IFERROR(INDEX('Bad Patterns'!$A$2:$A$120,MATCH(1,INDEX(--ISNUMBER(SEARCH('Bad Patterns'!$A$2:$A$120,B8669)),0),0)),""))</f>
        <v/>
      </c>
      <c r="D8669">
        <f>IF(B8669="","",IF(C8669&lt;&gt;"","REMOVE","KEEP"))</f>
        <v/>
      </c>
      <c r="E8669">
        <f>IF(D8669&lt;&gt;"KEEP","",IF(RIGHT(B8669,10)="@gmail.com","Gmail",IF(OR(RIGHT(B8669,12)="@outlook.com",RIGHT(B8669,12)="@hotmail.com",RIGHT(B8669,9)="@live.com"),"Outlook","Domain")))</f>
        <v/>
      </c>
      <c r="F8669">
        <f>IF(B8669="","",IFERROR(RIGHT(B8669,LEN(B8669)-FIND("@",B8669)),""))</f>
        <v/>
      </c>
      <c r="G8669">
        <f>IF(D8669="KEEP",COUNTIF($D$2:D8669,"KEEP"),"")</f>
        <v/>
      </c>
      <c r="H8669">
        <f>IF(D8669="REMOVE",COUNTIF($D$2:D8669,"REMOVE"),"")</f>
        <v/>
      </c>
      <c r="I8669">
        <f>IF(E8669="Gmail",COUNTIF($E$2:E8669,"Gmail"),"")</f>
        <v/>
      </c>
      <c r="J8669">
        <f>IF(E8669="Outlook",COUNTIF($E$2:E8669,"Outlook"),"")</f>
        <v/>
      </c>
      <c r="K8669">
        <f>IF(E8669="Domain",COUNTIF($E$2:E8669,"Domain"),"")</f>
        <v/>
      </c>
    </row>
    <row r="8670">
      <c r="A8670" s="2" t="n"/>
      <c r="B8670">
        <f>LOWER(TRIM(A8670))</f>
        <v/>
      </c>
      <c r="C8670">
        <f>IF(B8670="","",IFERROR(INDEX('Bad Patterns'!$A$2:$A$120,MATCH(1,INDEX(--ISNUMBER(SEARCH('Bad Patterns'!$A$2:$A$120,B8670)),0),0)),""))</f>
        <v/>
      </c>
      <c r="D8670">
        <f>IF(B8670="","",IF(C8670&lt;&gt;"","REMOVE","KEEP"))</f>
        <v/>
      </c>
      <c r="E8670">
        <f>IF(D8670&lt;&gt;"KEEP","",IF(RIGHT(B8670,10)="@gmail.com","Gmail",IF(OR(RIGHT(B8670,12)="@outlook.com",RIGHT(B8670,12)="@hotmail.com",RIGHT(B8670,9)="@live.com"),"Outlook","Domain")))</f>
        <v/>
      </c>
      <c r="F8670">
        <f>IF(B8670="","",IFERROR(RIGHT(B8670,LEN(B8670)-FIND("@",B8670)),""))</f>
        <v/>
      </c>
      <c r="G8670">
        <f>IF(D8670="KEEP",COUNTIF($D$2:D8670,"KEEP"),"")</f>
        <v/>
      </c>
      <c r="H8670">
        <f>IF(D8670="REMOVE",COUNTIF($D$2:D8670,"REMOVE"),"")</f>
        <v/>
      </c>
      <c r="I8670">
        <f>IF(E8670="Gmail",COUNTIF($E$2:E8670,"Gmail"),"")</f>
        <v/>
      </c>
      <c r="J8670">
        <f>IF(E8670="Outlook",COUNTIF($E$2:E8670,"Outlook"),"")</f>
        <v/>
      </c>
      <c r="K8670">
        <f>IF(E8670="Domain",COUNTIF($E$2:E8670,"Domain"),"")</f>
        <v/>
      </c>
    </row>
    <row r="8671">
      <c r="A8671" s="2" t="n"/>
      <c r="B8671">
        <f>LOWER(TRIM(A8671))</f>
        <v/>
      </c>
      <c r="C8671">
        <f>IF(B8671="","",IFERROR(INDEX('Bad Patterns'!$A$2:$A$120,MATCH(1,INDEX(--ISNUMBER(SEARCH('Bad Patterns'!$A$2:$A$120,B8671)),0),0)),""))</f>
        <v/>
      </c>
      <c r="D8671">
        <f>IF(B8671="","",IF(C8671&lt;&gt;"","REMOVE","KEEP"))</f>
        <v/>
      </c>
      <c r="E8671">
        <f>IF(D8671&lt;&gt;"KEEP","",IF(RIGHT(B8671,10)="@gmail.com","Gmail",IF(OR(RIGHT(B8671,12)="@outlook.com",RIGHT(B8671,12)="@hotmail.com",RIGHT(B8671,9)="@live.com"),"Outlook","Domain")))</f>
        <v/>
      </c>
      <c r="F8671">
        <f>IF(B8671="","",IFERROR(RIGHT(B8671,LEN(B8671)-FIND("@",B8671)),""))</f>
        <v/>
      </c>
      <c r="G8671">
        <f>IF(D8671="KEEP",COUNTIF($D$2:D8671,"KEEP"),"")</f>
        <v/>
      </c>
      <c r="H8671">
        <f>IF(D8671="REMOVE",COUNTIF($D$2:D8671,"REMOVE"),"")</f>
        <v/>
      </c>
      <c r="I8671">
        <f>IF(E8671="Gmail",COUNTIF($E$2:E8671,"Gmail"),"")</f>
        <v/>
      </c>
      <c r="J8671">
        <f>IF(E8671="Outlook",COUNTIF($E$2:E8671,"Outlook"),"")</f>
        <v/>
      </c>
      <c r="K8671">
        <f>IF(E8671="Domain",COUNTIF($E$2:E8671,"Domain"),"")</f>
        <v/>
      </c>
    </row>
    <row r="8672">
      <c r="A8672" s="2" t="n"/>
      <c r="B8672">
        <f>LOWER(TRIM(A8672))</f>
        <v/>
      </c>
      <c r="C8672">
        <f>IF(B8672="","",IFERROR(INDEX('Bad Patterns'!$A$2:$A$120,MATCH(1,INDEX(--ISNUMBER(SEARCH('Bad Patterns'!$A$2:$A$120,B8672)),0),0)),""))</f>
        <v/>
      </c>
      <c r="D8672">
        <f>IF(B8672="","",IF(C8672&lt;&gt;"","REMOVE","KEEP"))</f>
        <v/>
      </c>
      <c r="E8672">
        <f>IF(D8672&lt;&gt;"KEEP","",IF(RIGHT(B8672,10)="@gmail.com","Gmail",IF(OR(RIGHT(B8672,12)="@outlook.com",RIGHT(B8672,12)="@hotmail.com",RIGHT(B8672,9)="@live.com"),"Outlook","Domain")))</f>
        <v/>
      </c>
      <c r="F8672">
        <f>IF(B8672="","",IFERROR(RIGHT(B8672,LEN(B8672)-FIND("@",B8672)),""))</f>
        <v/>
      </c>
      <c r="G8672">
        <f>IF(D8672="KEEP",COUNTIF($D$2:D8672,"KEEP"),"")</f>
        <v/>
      </c>
      <c r="H8672">
        <f>IF(D8672="REMOVE",COUNTIF($D$2:D8672,"REMOVE"),"")</f>
        <v/>
      </c>
      <c r="I8672">
        <f>IF(E8672="Gmail",COUNTIF($E$2:E8672,"Gmail"),"")</f>
        <v/>
      </c>
      <c r="J8672">
        <f>IF(E8672="Outlook",COUNTIF($E$2:E8672,"Outlook"),"")</f>
        <v/>
      </c>
      <c r="K8672">
        <f>IF(E8672="Domain",COUNTIF($E$2:E8672,"Domain"),"")</f>
        <v/>
      </c>
    </row>
    <row r="8673">
      <c r="A8673" s="2" t="n"/>
      <c r="B8673">
        <f>LOWER(TRIM(A8673))</f>
        <v/>
      </c>
      <c r="C8673">
        <f>IF(B8673="","",IFERROR(INDEX('Bad Patterns'!$A$2:$A$120,MATCH(1,INDEX(--ISNUMBER(SEARCH('Bad Patterns'!$A$2:$A$120,B8673)),0),0)),""))</f>
        <v/>
      </c>
      <c r="D8673">
        <f>IF(B8673="","",IF(C8673&lt;&gt;"","REMOVE","KEEP"))</f>
        <v/>
      </c>
      <c r="E8673">
        <f>IF(D8673&lt;&gt;"KEEP","",IF(RIGHT(B8673,10)="@gmail.com","Gmail",IF(OR(RIGHT(B8673,12)="@outlook.com",RIGHT(B8673,12)="@hotmail.com",RIGHT(B8673,9)="@live.com"),"Outlook","Domain")))</f>
        <v/>
      </c>
      <c r="F8673">
        <f>IF(B8673="","",IFERROR(RIGHT(B8673,LEN(B8673)-FIND("@",B8673)),""))</f>
        <v/>
      </c>
      <c r="G8673">
        <f>IF(D8673="KEEP",COUNTIF($D$2:D8673,"KEEP"),"")</f>
        <v/>
      </c>
      <c r="H8673">
        <f>IF(D8673="REMOVE",COUNTIF($D$2:D8673,"REMOVE"),"")</f>
        <v/>
      </c>
      <c r="I8673">
        <f>IF(E8673="Gmail",COUNTIF($E$2:E8673,"Gmail"),"")</f>
        <v/>
      </c>
      <c r="J8673">
        <f>IF(E8673="Outlook",COUNTIF($E$2:E8673,"Outlook"),"")</f>
        <v/>
      </c>
      <c r="K8673">
        <f>IF(E8673="Domain",COUNTIF($E$2:E8673,"Domain"),"")</f>
        <v/>
      </c>
    </row>
    <row r="8674">
      <c r="A8674" s="2" t="n"/>
      <c r="B8674">
        <f>LOWER(TRIM(A8674))</f>
        <v/>
      </c>
      <c r="C8674">
        <f>IF(B8674="","",IFERROR(INDEX('Bad Patterns'!$A$2:$A$120,MATCH(1,INDEX(--ISNUMBER(SEARCH('Bad Patterns'!$A$2:$A$120,B8674)),0),0)),""))</f>
        <v/>
      </c>
      <c r="D8674">
        <f>IF(B8674="","",IF(C8674&lt;&gt;"","REMOVE","KEEP"))</f>
        <v/>
      </c>
      <c r="E8674">
        <f>IF(D8674&lt;&gt;"KEEP","",IF(RIGHT(B8674,10)="@gmail.com","Gmail",IF(OR(RIGHT(B8674,12)="@outlook.com",RIGHT(B8674,12)="@hotmail.com",RIGHT(B8674,9)="@live.com"),"Outlook","Domain")))</f>
        <v/>
      </c>
      <c r="F8674">
        <f>IF(B8674="","",IFERROR(RIGHT(B8674,LEN(B8674)-FIND("@",B8674)),""))</f>
        <v/>
      </c>
      <c r="G8674">
        <f>IF(D8674="KEEP",COUNTIF($D$2:D8674,"KEEP"),"")</f>
        <v/>
      </c>
      <c r="H8674">
        <f>IF(D8674="REMOVE",COUNTIF($D$2:D8674,"REMOVE"),"")</f>
        <v/>
      </c>
      <c r="I8674">
        <f>IF(E8674="Gmail",COUNTIF($E$2:E8674,"Gmail"),"")</f>
        <v/>
      </c>
      <c r="J8674">
        <f>IF(E8674="Outlook",COUNTIF($E$2:E8674,"Outlook"),"")</f>
        <v/>
      </c>
      <c r="K8674">
        <f>IF(E8674="Domain",COUNTIF($E$2:E8674,"Domain"),"")</f>
        <v/>
      </c>
    </row>
    <row r="8675">
      <c r="A8675" s="2" t="n"/>
      <c r="B8675">
        <f>LOWER(TRIM(A8675))</f>
        <v/>
      </c>
      <c r="C8675">
        <f>IF(B8675="","",IFERROR(INDEX('Bad Patterns'!$A$2:$A$120,MATCH(1,INDEX(--ISNUMBER(SEARCH('Bad Patterns'!$A$2:$A$120,B8675)),0),0)),""))</f>
        <v/>
      </c>
      <c r="D8675">
        <f>IF(B8675="","",IF(C8675&lt;&gt;"","REMOVE","KEEP"))</f>
        <v/>
      </c>
      <c r="E8675">
        <f>IF(D8675&lt;&gt;"KEEP","",IF(RIGHT(B8675,10)="@gmail.com","Gmail",IF(OR(RIGHT(B8675,12)="@outlook.com",RIGHT(B8675,12)="@hotmail.com",RIGHT(B8675,9)="@live.com"),"Outlook","Domain")))</f>
        <v/>
      </c>
      <c r="F8675">
        <f>IF(B8675="","",IFERROR(RIGHT(B8675,LEN(B8675)-FIND("@",B8675)),""))</f>
        <v/>
      </c>
      <c r="G8675">
        <f>IF(D8675="KEEP",COUNTIF($D$2:D8675,"KEEP"),"")</f>
        <v/>
      </c>
      <c r="H8675">
        <f>IF(D8675="REMOVE",COUNTIF($D$2:D8675,"REMOVE"),"")</f>
        <v/>
      </c>
      <c r="I8675">
        <f>IF(E8675="Gmail",COUNTIF($E$2:E8675,"Gmail"),"")</f>
        <v/>
      </c>
      <c r="J8675">
        <f>IF(E8675="Outlook",COUNTIF($E$2:E8675,"Outlook"),"")</f>
        <v/>
      </c>
      <c r="K8675">
        <f>IF(E8675="Domain",COUNTIF($E$2:E8675,"Domain"),"")</f>
        <v/>
      </c>
    </row>
    <row r="8676">
      <c r="A8676" s="2" t="n"/>
      <c r="B8676">
        <f>LOWER(TRIM(A8676))</f>
        <v/>
      </c>
      <c r="C8676">
        <f>IF(B8676="","",IFERROR(INDEX('Bad Patterns'!$A$2:$A$120,MATCH(1,INDEX(--ISNUMBER(SEARCH('Bad Patterns'!$A$2:$A$120,B8676)),0),0)),""))</f>
        <v/>
      </c>
      <c r="D8676">
        <f>IF(B8676="","",IF(C8676&lt;&gt;"","REMOVE","KEEP"))</f>
        <v/>
      </c>
      <c r="E8676">
        <f>IF(D8676&lt;&gt;"KEEP","",IF(RIGHT(B8676,10)="@gmail.com","Gmail",IF(OR(RIGHT(B8676,12)="@outlook.com",RIGHT(B8676,12)="@hotmail.com",RIGHT(B8676,9)="@live.com"),"Outlook","Domain")))</f>
        <v/>
      </c>
      <c r="F8676">
        <f>IF(B8676="","",IFERROR(RIGHT(B8676,LEN(B8676)-FIND("@",B8676)),""))</f>
        <v/>
      </c>
      <c r="G8676">
        <f>IF(D8676="KEEP",COUNTIF($D$2:D8676,"KEEP"),"")</f>
        <v/>
      </c>
      <c r="H8676">
        <f>IF(D8676="REMOVE",COUNTIF($D$2:D8676,"REMOVE"),"")</f>
        <v/>
      </c>
      <c r="I8676">
        <f>IF(E8676="Gmail",COUNTIF($E$2:E8676,"Gmail"),"")</f>
        <v/>
      </c>
      <c r="J8676">
        <f>IF(E8676="Outlook",COUNTIF($E$2:E8676,"Outlook"),"")</f>
        <v/>
      </c>
      <c r="K8676">
        <f>IF(E8676="Domain",COUNTIF($E$2:E8676,"Domain"),"")</f>
        <v/>
      </c>
    </row>
    <row r="8677">
      <c r="A8677" s="2" t="n"/>
      <c r="B8677">
        <f>LOWER(TRIM(A8677))</f>
        <v/>
      </c>
      <c r="C8677">
        <f>IF(B8677="","",IFERROR(INDEX('Bad Patterns'!$A$2:$A$120,MATCH(1,INDEX(--ISNUMBER(SEARCH('Bad Patterns'!$A$2:$A$120,B8677)),0),0)),""))</f>
        <v/>
      </c>
      <c r="D8677">
        <f>IF(B8677="","",IF(C8677&lt;&gt;"","REMOVE","KEEP"))</f>
        <v/>
      </c>
      <c r="E8677">
        <f>IF(D8677&lt;&gt;"KEEP","",IF(RIGHT(B8677,10)="@gmail.com","Gmail",IF(OR(RIGHT(B8677,12)="@outlook.com",RIGHT(B8677,12)="@hotmail.com",RIGHT(B8677,9)="@live.com"),"Outlook","Domain")))</f>
        <v/>
      </c>
      <c r="F8677">
        <f>IF(B8677="","",IFERROR(RIGHT(B8677,LEN(B8677)-FIND("@",B8677)),""))</f>
        <v/>
      </c>
      <c r="G8677">
        <f>IF(D8677="KEEP",COUNTIF($D$2:D8677,"KEEP"),"")</f>
        <v/>
      </c>
      <c r="H8677">
        <f>IF(D8677="REMOVE",COUNTIF($D$2:D8677,"REMOVE"),"")</f>
        <v/>
      </c>
      <c r="I8677">
        <f>IF(E8677="Gmail",COUNTIF($E$2:E8677,"Gmail"),"")</f>
        <v/>
      </c>
      <c r="J8677">
        <f>IF(E8677="Outlook",COUNTIF($E$2:E8677,"Outlook"),"")</f>
        <v/>
      </c>
      <c r="K8677">
        <f>IF(E8677="Domain",COUNTIF($E$2:E8677,"Domain"),"")</f>
        <v/>
      </c>
    </row>
    <row r="8678">
      <c r="A8678" s="2" t="n"/>
      <c r="B8678">
        <f>LOWER(TRIM(A8678))</f>
        <v/>
      </c>
      <c r="C8678">
        <f>IF(B8678="","",IFERROR(INDEX('Bad Patterns'!$A$2:$A$120,MATCH(1,INDEX(--ISNUMBER(SEARCH('Bad Patterns'!$A$2:$A$120,B8678)),0),0)),""))</f>
        <v/>
      </c>
      <c r="D8678">
        <f>IF(B8678="","",IF(C8678&lt;&gt;"","REMOVE","KEEP"))</f>
        <v/>
      </c>
      <c r="E8678">
        <f>IF(D8678&lt;&gt;"KEEP","",IF(RIGHT(B8678,10)="@gmail.com","Gmail",IF(OR(RIGHT(B8678,12)="@outlook.com",RIGHT(B8678,12)="@hotmail.com",RIGHT(B8678,9)="@live.com"),"Outlook","Domain")))</f>
        <v/>
      </c>
      <c r="F8678">
        <f>IF(B8678="","",IFERROR(RIGHT(B8678,LEN(B8678)-FIND("@",B8678)),""))</f>
        <v/>
      </c>
      <c r="G8678">
        <f>IF(D8678="KEEP",COUNTIF($D$2:D8678,"KEEP"),"")</f>
        <v/>
      </c>
      <c r="H8678">
        <f>IF(D8678="REMOVE",COUNTIF($D$2:D8678,"REMOVE"),"")</f>
        <v/>
      </c>
      <c r="I8678">
        <f>IF(E8678="Gmail",COUNTIF($E$2:E8678,"Gmail"),"")</f>
        <v/>
      </c>
      <c r="J8678">
        <f>IF(E8678="Outlook",COUNTIF($E$2:E8678,"Outlook"),"")</f>
        <v/>
      </c>
      <c r="K8678">
        <f>IF(E8678="Domain",COUNTIF($E$2:E8678,"Domain"),"")</f>
        <v/>
      </c>
    </row>
    <row r="8679">
      <c r="A8679" s="2" t="n"/>
      <c r="B8679">
        <f>LOWER(TRIM(A8679))</f>
        <v/>
      </c>
      <c r="C8679">
        <f>IF(B8679="","",IFERROR(INDEX('Bad Patterns'!$A$2:$A$120,MATCH(1,INDEX(--ISNUMBER(SEARCH('Bad Patterns'!$A$2:$A$120,B8679)),0),0)),""))</f>
        <v/>
      </c>
      <c r="D8679">
        <f>IF(B8679="","",IF(C8679&lt;&gt;"","REMOVE","KEEP"))</f>
        <v/>
      </c>
      <c r="E8679">
        <f>IF(D8679&lt;&gt;"KEEP","",IF(RIGHT(B8679,10)="@gmail.com","Gmail",IF(OR(RIGHT(B8679,12)="@outlook.com",RIGHT(B8679,12)="@hotmail.com",RIGHT(B8679,9)="@live.com"),"Outlook","Domain")))</f>
        <v/>
      </c>
      <c r="F8679">
        <f>IF(B8679="","",IFERROR(RIGHT(B8679,LEN(B8679)-FIND("@",B8679)),""))</f>
        <v/>
      </c>
      <c r="G8679">
        <f>IF(D8679="KEEP",COUNTIF($D$2:D8679,"KEEP"),"")</f>
        <v/>
      </c>
      <c r="H8679">
        <f>IF(D8679="REMOVE",COUNTIF($D$2:D8679,"REMOVE"),"")</f>
        <v/>
      </c>
      <c r="I8679">
        <f>IF(E8679="Gmail",COUNTIF($E$2:E8679,"Gmail"),"")</f>
        <v/>
      </c>
      <c r="J8679">
        <f>IF(E8679="Outlook",COUNTIF($E$2:E8679,"Outlook"),"")</f>
        <v/>
      </c>
      <c r="K8679">
        <f>IF(E8679="Domain",COUNTIF($E$2:E8679,"Domain"),"")</f>
        <v/>
      </c>
    </row>
    <row r="8680">
      <c r="A8680" s="2" t="n"/>
      <c r="B8680">
        <f>LOWER(TRIM(A8680))</f>
        <v/>
      </c>
      <c r="C8680">
        <f>IF(B8680="","",IFERROR(INDEX('Bad Patterns'!$A$2:$A$120,MATCH(1,INDEX(--ISNUMBER(SEARCH('Bad Patterns'!$A$2:$A$120,B8680)),0),0)),""))</f>
        <v/>
      </c>
      <c r="D8680">
        <f>IF(B8680="","",IF(C8680&lt;&gt;"","REMOVE","KEEP"))</f>
        <v/>
      </c>
      <c r="E8680">
        <f>IF(D8680&lt;&gt;"KEEP","",IF(RIGHT(B8680,10)="@gmail.com","Gmail",IF(OR(RIGHT(B8680,12)="@outlook.com",RIGHT(B8680,12)="@hotmail.com",RIGHT(B8680,9)="@live.com"),"Outlook","Domain")))</f>
        <v/>
      </c>
      <c r="F8680">
        <f>IF(B8680="","",IFERROR(RIGHT(B8680,LEN(B8680)-FIND("@",B8680)),""))</f>
        <v/>
      </c>
      <c r="G8680">
        <f>IF(D8680="KEEP",COUNTIF($D$2:D8680,"KEEP"),"")</f>
        <v/>
      </c>
      <c r="H8680">
        <f>IF(D8680="REMOVE",COUNTIF($D$2:D8680,"REMOVE"),"")</f>
        <v/>
      </c>
      <c r="I8680">
        <f>IF(E8680="Gmail",COUNTIF($E$2:E8680,"Gmail"),"")</f>
        <v/>
      </c>
      <c r="J8680">
        <f>IF(E8680="Outlook",COUNTIF($E$2:E8680,"Outlook"),"")</f>
        <v/>
      </c>
      <c r="K8680">
        <f>IF(E8680="Domain",COUNTIF($E$2:E8680,"Domain"),"")</f>
        <v/>
      </c>
    </row>
    <row r="8681">
      <c r="A8681" s="2" t="n"/>
      <c r="B8681">
        <f>LOWER(TRIM(A8681))</f>
        <v/>
      </c>
      <c r="C8681">
        <f>IF(B8681="","",IFERROR(INDEX('Bad Patterns'!$A$2:$A$120,MATCH(1,INDEX(--ISNUMBER(SEARCH('Bad Patterns'!$A$2:$A$120,B8681)),0),0)),""))</f>
        <v/>
      </c>
      <c r="D8681">
        <f>IF(B8681="","",IF(C8681&lt;&gt;"","REMOVE","KEEP"))</f>
        <v/>
      </c>
      <c r="E8681">
        <f>IF(D8681&lt;&gt;"KEEP","",IF(RIGHT(B8681,10)="@gmail.com","Gmail",IF(OR(RIGHT(B8681,12)="@outlook.com",RIGHT(B8681,12)="@hotmail.com",RIGHT(B8681,9)="@live.com"),"Outlook","Domain")))</f>
        <v/>
      </c>
      <c r="F8681">
        <f>IF(B8681="","",IFERROR(RIGHT(B8681,LEN(B8681)-FIND("@",B8681)),""))</f>
        <v/>
      </c>
      <c r="G8681">
        <f>IF(D8681="KEEP",COUNTIF($D$2:D8681,"KEEP"),"")</f>
        <v/>
      </c>
      <c r="H8681">
        <f>IF(D8681="REMOVE",COUNTIF($D$2:D8681,"REMOVE"),"")</f>
        <v/>
      </c>
      <c r="I8681">
        <f>IF(E8681="Gmail",COUNTIF($E$2:E8681,"Gmail"),"")</f>
        <v/>
      </c>
      <c r="J8681">
        <f>IF(E8681="Outlook",COUNTIF($E$2:E8681,"Outlook"),"")</f>
        <v/>
      </c>
      <c r="K8681">
        <f>IF(E8681="Domain",COUNTIF($E$2:E8681,"Domain"),"")</f>
        <v/>
      </c>
    </row>
    <row r="8682">
      <c r="A8682" s="2" t="n"/>
      <c r="B8682">
        <f>LOWER(TRIM(A8682))</f>
        <v/>
      </c>
      <c r="C8682">
        <f>IF(B8682="","",IFERROR(INDEX('Bad Patterns'!$A$2:$A$120,MATCH(1,INDEX(--ISNUMBER(SEARCH('Bad Patterns'!$A$2:$A$120,B8682)),0),0)),""))</f>
        <v/>
      </c>
      <c r="D8682">
        <f>IF(B8682="","",IF(C8682&lt;&gt;"","REMOVE","KEEP"))</f>
        <v/>
      </c>
      <c r="E8682">
        <f>IF(D8682&lt;&gt;"KEEP","",IF(RIGHT(B8682,10)="@gmail.com","Gmail",IF(OR(RIGHT(B8682,12)="@outlook.com",RIGHT(B8682,12)="@hotmail.com",RIGHT(B8682,9)="@live.com"),"Outlook","Domain")))</f>
        <v/>
      </c>
      <c r="F8682">
        <f>IF(B8682="","",IFERROR(RIGHT(B8682,LEN(B8682)-FIND("@",B8682)),""))</f>
        <v/>
      </c>
      <c r="G8682">
        <f>IF(D8682="KEEP",COUNTIF($D$2:D8682,"KEEP"),"")</f>
        <v/>
      </c>
      <c r="H8682">
        <f>IF(D8682="REMOVE",COUNTIF($D$2:D8682,"REMOVE"),"")</f>
        <v/>
      </c>
      <c r="I8682">
        <f>IF(E8682="Gmail",COUNTIF($E$2:E8682,"Gmail"),"")</f>
        <v/>
      </c>
      <c r="J8682">
        <f>IF(E8682="Outlook",COUNTIF($E$2:E8682,"Outlook"),"")</f>
        <v/>
      </c>
      <c r="K8682">
        <f>IF(E8682="Domain",COUNTIF($E$2:E8682,"Domain"),"")</f>
        <v/>
      </c>
    </row>
    <row r="8683">
      <c r="A8683" s="2" t="n"/>
      <c r="B8683">
        <f>LOWER(TRIM(A8683))</f>
        <v/>
      </c>
      <c r="C8683">
        <f>IF(B8683="","",IFERROR(INDEX('Bad Patterns'!$A$2:$A$120,MATCH(1,INDEX(--ISNUMBER(SEARCH('Bad Patterns'!$A$2:$A$120,B8683)),0),0)),""))</f>
        <v/>
      </c>
      <c r="D8683">
        <f>IF(B8683="","",IF(C8683&lt;&gt;"","REMOVE","KEEP"))</f>
        <v/>
      </c>
      <c r="E8683">
        <f>IF(D8683&lt;&gt;"KEEP","",IF(RIGHT(B8683,10)="@gmail.com","Gmail",IF(OR(RIGHT(B8683,12)="@outlook.com",RIGHT(B8683,12)="@hotmail.com",RIGHT(B8683,9)="@live.com"),"Outlook","Domain")))</f>
        <v/>
      </c>
      <c r="F8683">
        <f>IF(B8683="","",IFERROR(RIGHT(B8683,LEN(B8683)-FIND("@",B8683)),""))</f>
        <v/>
      </c>
      <c r="G8683">
        <f>IF(D8683="KEEP",COUNTIF($D$2:D8683,"KEEP"),"")</f>
        <v/>
      </c>
      <c r="H8683">
        <f>IF(D8683="REMOVE",COUNTIF($D$2:D8683,"REMOVE"),"")</f>
        <v/>
      </c>
      <c r="I8683">
        <f>IF(E8683="Gmail",COUNTIF($E$2:E8683,"Gmail"),"")</f>
        <v/>
      </c>
      <c r="J8683">
        <f>IF(E8683="Outlook",COUNTIF($E$2:E8683,"Outlook"),"")</f>
        <v/>
      </c>
      <c r="K8683">
        <f>IF(E8683="Domain",COUNTIF($E$2:E8683,"Domain"),"")</f>
        <v/>
      </c>
    </row>
    <row r="8684">
      <c r="A8684" s="2" t="n"/>
      <c r="B8684">
        <f>LOWER(TRIM(A8684))</f>
        <v/>
      </c>
      <c r="C8684">
        <f>IF(B8684="","",IFERROR(INDEX('Bad Patterns'!$A$2:$A$120,MATCH(1,INDEX(--ISNUMBER(SEARCH('Bad Patterns'!$A$2:$A$120,B8684)),0),0)),""))</f>
        <v/>
      </c>
      <c r="D8684">
        <f>IF(B8684="","",IF(C8684&lt;&gt;"","REMOVE","KEEP"))</f>
        <v/>
      </c>
      <c r="E8684">
        <f>IF(D8684&lt;&gt;"KEEP","",IF(RIGHT(B8684,10)="@gmail.com","Gmail",IF(OR(RIGHT(B8684,12)="@outlook.com",RIGHT(B8684,12)="@hotmail.com",RIGHT(B8684,9)="@live.com"),"Outlook","Domain")))</f>
        <v/>
      </c>
      <c r="F8684">
        <f>IF(B8684="","",IFERROR(RIGHT(B8684,LEN(B8684)-FIND("@",B8684)),""))</f>
        <v/>
      </c>
      <c r="G8684">
        <f>IF(D8684="KEEP",COUNTIF($D$2:D8684,"KEEP"),"")</f>
        <v/>
      </c>
      <c r="H8684">
        <f>IF(D8684="REMOVE",COUNTIF($D$2:D8684,"REMOVE"),"")</f>
        <v/>
      </c>
      <c r="I8684">
        <f>IF(E8684="Gmail",COUNTIF($E$2:E8684,"Gmail"),"")</f>
        <v/>
      </c>
      <c r="J8684">
        <f>IF(E8684="Outlook",COUNTIF($E$2:E8684,"Outlook"),"")</f>
        <v/>
      </c>
      <c r="K8684">
        <f>IF(E8684="Domain",COUNTIF($E$2:E8684,"Domain"),"")</f>
        <v/>
      </c>
    </row>
    <row r="8685">
      <c r="A8685" s="2" t="n"/>
      <c r="B8685">
        <f>LOWER(TRIM(A8685))</f>
        <v/>
      </c>
      <c r="C8685">
        <f>IF(B8685="","",IFERROR(INDEX('Bad Patterns'!$A$2:$A$120,MATCH(1,INDEX(--ISNUMBER(SEARCH('Bad Patterns'!$A$2:$A$120,B8685)),0),0)),""))</f>
        <v/>
      </c>
      <c r="D8685">
        <f>IF(B8685="","",IF(C8685&lt;&gt;"","REMOVE","KEEP"))</f>
        <v/>
      </c>
      <c r="E8685">
        <f>IF(D8685&lt;&gt;"KEEP","",IF(RIGHT(B8685,10)="@gmail.com","Gmail",IF(OR(RIGHT(B8685,12)="@outlook.com",RIGHT(B8685,12)="@hotmail.com",RIGHT(B8685,9)="@live.com"),"Outlook","Domain")))</f>
        <v/>
      </c>
      <c r="F8685">
        <f>IF(B8685="","",IFERROR(RIGHT(B8685,LEN(B8685)-FIND("@",B8685)),""))</f>
        <v/>
      </c>
      <c r="G8685">
        <f>IF(D8685="KEEP",COUNTIF($D$2:D8685,"KEEP"),"")</f>
        <v/>
      </c>
      <c r="H8685">
        <f>IF(D8685="REMOVE",COUNTIF($D$2:D8685,"REMOVE"),"")</f>
        <v/>
      </c>
      <c r="I8685">
        <f>IF(E8685="Gmail",COUNTIF($E$2:E8685,"Gmail"),"")</f>
        <v/>
      </c>
      <c r="J8685">
        <f>IF(E8685="Outlook",COUNTIF($E$2:E8685,"Outlook"),"")</f>
        <v/>
      </c>
      <c r="K8685">
        <f>IF(E8685="Domain",COUNTIF($E$2:E8685,"Domain"),"")</f>
        <v/>
      </c>
    </row>
    <row r="8686">
      <c r="A8686" s="2" t="n"/>
      <c r="B8686">
        <f>LOWER(TRIM(A8686))</f>
        <v/>
      </c>
      <c r="C8686">
        <f>IF(B8686="","",IFERROR(INDEX('Bad Patterns'!$A$2:$A$120,MATCH(1,INDEX(--ISNUMBER(SEARCH('Bad Patterns'!$A$2:$A$120,B8686)),0),0)),""))</f>
        <v/>
      </c>
      <c r="D8686">
        <f>IF(B8686="","",IF(C8686&lt;&gt;"","REMOVE","KEEP"))</f>
        <v/>
      </c>
      <c r="E8686">
        <f>IF(D8686&lt;&gt;"KEEP","",IF(RIGHT(B8686,10)="@gmail.com","Gmail",IF(OR(RIGHT(B8686,12)="@outlook.com",RIGHT(B8686,12)="@hotmail.com",RIGHT(B8686,9)="@live.com"),"Outlook","Domain")))</f>
        <v/>
      </c>
      <c r="F8686">
        <f>IF(B8686="","",IFERROR(RIGHT(B8686,LEN(B8686)-FIND("@",B8686)),""))</f>
        <v/>
      </c>
      <c r="G8686">
        <f>IF(D8686="KEEP",COUNTIF($D$2:D8686,"KEEP"),"")</f>
        <v/>
      </c>
      <c r="H8686">
        <f>IF(D8686="REMOVE",COUNTIF($D$2:D8686,"REMOVE"),"")</f>
        <v/>
      </c>
      <c r="I8686">
        <f>IF(E8686="Gmail",COUNTIF($E$2:E8686,"Gmail"),"")</f>
        <v/>
      </c>
      <c r="J8686">
        <f>IF(E8686="Outlook",COUNTIF($E$2:E8686,"Outlook"),"")</f>
        <v/>
      </c>
      <c r="K8686">
        <f>IF(E8686="Domain",COUNTIF($E$2:E8686,"Domain"),"")</f>
        <v/>
      </c>
    </row>
    <row r="8687">
      <c r="A8687" s="2" t="n"/>
      <c r="B8687">
        <f>LOWER(TRIM(A8687))</f>
        <v/>
      </c>
      <c r="C8687">
        <f>IF(B8687="","",IFERROR(INDEX('Bad Patterns'!$A$2:$A$120,MATCH(1,INDEX(--ISNUMBER(SEARCH('Bad Patterns'!$A$2:$A$120,B8687)),0),0)),""))</f>
        <v/>
      </c>
      <c r="D8687">
        <f>IF(B8687="","",IF(C8687&lt;&gt;"","REMOVE","KEEP"))</f>
        <v/>
      </c>
      <c r="E8687">
        <f>IF(D8687&lt;&gt;"KEEP","",IF(RIGHT(B8687,10)="@gmail.com","Gmail",IF(OR(RIGHT(B8687,12)="@outlook.com",RIGHT(B8687,12)="@hotmail.com",RIGHT(B8687,9)="@live.com"),"Outlook","Domain")))</f>
        <v/>
      </c>
      <c r="F8687">
        <f>IF(B8687="","",IFERROR(RIGHT(B8687,LEN(B8687)-FIND("@",B8687)),""))</f>
        <v/>
      </c>
      <c r="G8687">
        <f>IF(D8687="KEEP",COUNTIF($D$2:D8687,"KEEP"),"")</f>
        <v/>
      </c>
      <c r="H8687">
        <f>IF(D8687="REMOVE",COUNTIF($D$2:D8687,"REMOVE"),"")</f>
        <v/>
      </c>
      <c r="I8687">
        <f>IF(E8687="Gmail",COUNTIF($E$2:E8687,"Gmail"),"")</f>
        <v/>
      </c>
      <c r="J8687">
        <f>IF(E8687="Outlook",COUNTIF($E$2:E8687,"Outlook"),"")</f>
        <v/>
      </c>
      <c r="K8687">
        <f>IF(E8687="Domain",COUNTIF($E$2:E8687,"Domain"),"")</f>
        <v/>
      </c>
    </row>
    <row r="8688">
      <c r="A8688" s="2" t="n"/>
      <c r="B8688">
        <f>LOWER(TRIM(A8688))</f>
        <v/>
      </c>
      <c r="C8688">
        <f>IF(B8688="","",IFERROR(INDEX('Bad Patterns'!$A$2:$A$120,MATCH(1,INDEX(--ISNUMBER(SEARCH('Bad Patterns'!$A$2:$A$120,B8688)),0),0)),""))</f>
        <v/>
      </c>
      <c r="D8688">
        <f>IF(B8688="","",IF(C8688&lt;&gt;"","REMOVE","KEEP"))</f>
        <v/>
      </c>
      <c r="E8688">
        <f>IF(D8688&lt;&gt;"KEEP","",IF(RIGHT(B8688,10)="@gmail.com","Gmail",IF(OR(RIGHT(B8688,12)="@outlook.com",RIGHT(B8688,12)="@hotmail.com",RIGHT(B8688,9)="@live.com"),"Outlook","Domain")))</f>
        <v/>
      </c>
      <c r="F8688">
        <f>IF(B8688="","",IFERROR(RIGHT(B8688,LEN(B8688)-FIND("@",B8688)),""))</f>
        <v/>
      </c>
      <c r="G8688">
        <f>IF(D8688="KEEP",COUNTIF($D$2:D8688,"KEEP"),"")</f>
        <v/>
      </c>
      <c r="H8688">
        <f>IF(D8688="REMOVE",COUNTIF($D$2:D8688,"REMOVE"),"")</f>
        <v/>
      </c>
      <c r="I8688">
        <f>IF(E8688="Gmail",COUNTIF($E$2:E8688,"Gmail"),"")</f>
        <v/>
      </c>
      <c r="J8688">
        <f>IF(E8688="Outlook",COUNTIF($E$2:E8688,"Outlook"),"")</f>
        <v/>
      </c>
      <c r="K8688">
        <f>IF(E8688="Domain",COUNTIF($E$2:E8688,"Domain"),"")</f>
        <v/>
      </c>
    </row>
    <row r="8689">
      <c r="A8689" s="2" t="n"/>
      <c r="B8689">
        <f>LOWER(TRIM(A8689))</f>
        <v/>
      </c>
      <c r="C8689">
        <f>IF(B8689="","",IFERROR(INDEX('Bad Patterns'!$A$2:$A$120,MATCH(1,INDEX(--ISNUMBER(SEARCH('Bad Patterns'!$A$2:$A$120,B8689)),0),0)),""))</f>
        <v/>
      </c>
      <c r="D8689">
        <f>IF(B8689="","",IF(C8689&lt;&gt;"","REMOVE","KEEP"))</f>
        <v/>
      </c>
      <c r="E8689">
        <f>IF(D8689&lt;&gt;"KEEP","",IF(RIGHT(B8689,10)="@gmail.com","Gmail",IF(OR(RIGHT(B8689,12)="@outlook.com",RIGHT(B8689,12)="@hotmail.com",RIGHT(B8689,9)="@live.com"),"Outlook","Domain")))</f>
        <v/>
      </c>
      <c r="F8689">
        <f>IF(B8689="","",IFERROR(RIGHT(B8689,LEN(B8689)-FIND("@",B8689)),""))</f>
        <v/>
      </c>
      <c r="G8689">
        <f>IF(D8689="KEEP",COUNTIF($D$2:D8689,"KEEP"),"")</f>
        <v/>
      </c>
      <c r="H8689">
        <f>IF(D8689="REMOVE",COUNTIF($D$2:D8689,"REMOVE"),"")</f>
        <v/>
      </c>
      <c r="I8689">
        <f>IF(E8689="Gmail",COUNTIF($E$2:E8689,"Gmail"),"")</f>
        <v/>
      </c>
      <c r="J8689">
        <f>IF(E8689="Outlook",COUNTIF($E$2:E8689,"Outlook"),"")</f>
        <v/>
      </c>
      <c r="K8689">
        <f>IF(E8689="Domain",COUNTIF($E$2:E8689,"Domain"),"")</f>
        <v/>
      </c>
    </row>
    <row r="8690">
      <c r="A8690" s="2" t="n"/>
      <c r="B8690">
        <f>LOWER(TRIM(A8690))</f>
        <v/>
      </c>
      <c r="C8690">
        <f>IF(B8690="","",IFERROR(INDEX('Bad Patterns'!$A$2:$A$120,MATCH(1,INDEX(--ISNUMBER(SEARCH('Bad Patterns'!$A$2:$A$120,B8690)),0),0)),""))</f>
        <v/>
      </c>
      <c r="D8690">
        <f>IF(B8690="","",IF(C8690&lt;&gt;"","REMOVE","KEEP"))</f>
        <v/>
      </c>
      <c r="E8690">
        <f>IF(D8690&lt;&gt;"KEEP","",IF(RIGHT(B8690,10)="@gmail.com","Gmail",IF(OR(RIGHT(B8690,12)="@outlook.com",RIGHT(B8690,12)="@hotmail.com",RIGHT(B8690,9)="@live.com"),"Outlook","Domain")))</f>
        <v/>
      </c>
      <c r="F8690">
        <f>IF(B8690="","",IFERROR(RIGHT(B8690,LEN(B8690)-FIND("@",B8690)),""))</f>
        <v/>
      </c>
      <c r="G8690">
        <f>IF(D8690="KEEP",COUNTIF($D$2:D8690,"KEEP"),"")</f>
        <v/>
      </c>
      <c r="H8690">
        <f>IF(D8690="REMOVE",COUNTIF($D$2:D8690,"REMOVE"),"")</f>
        <v/>
      </c>
      <c r="I8690">
        <f>IF(E8690="Gmail",COUNTIF($E$2:E8690,"Gmail"),"")</f>
        <v/>
      </c>
      <c r="J8690">
        <f>IF(E8690="Outlook",COUNTIF($E$2:E8690,"Outlook"),"")</f>
        <v/>
      </c>
      <c r="K8690">
        <f>IF(E8690="Domain",COUNTIF($E$2:E8690,"Domain"),"")</f>
        <v/>
      </c>
    </row>
    <row r="8691">
      <c r="A8691" s="2" t="n"/>
      <c r="B8691">
        <f>LOWER(TRIM(A8691))</f>
        <v/>
      </c>
      <c r="C8691">
        <f>IF(B8691="","",IFERROR(INDEX('Bad Patterns'!$A$2:$A$120,MATCH(1,INDEX(--ISNUMBER(SEARCH('Bad Patterns'!$A$2:$A$120,B8691)),0),0)),""))</f>
        <v/>
      </c>
      <c r="D8691">
        <f>IF(B8691="","",IF(C8691&lt;&gt;"","REMOVE","KEEP"))</f>
        <v/>
      </c>
      <c r="E8691">
        <f>IF(D8691&lt;&gt;"KEEP","",IF(RIGHT(B8691,10)="@gmail.com","Gmail",IF(OR(RIGHT(B8691,12)="@outlook.com",RIGHT(B8691,12)="@hotmail.com",RIGHT(B8691,9)="@live.com"),"Outlook","Domain")))</f>
        <v/>
      </c>
      <c r="F8691">
        <f>IF(B8691="","",IFERROR(RIGHT(B8691,LEN(B8691)-FIND("@",B8691)),""))</f>
        <v/>
      </c>
      <c r="G8691">
        <f>IF(D8691="KEEP",COUNTIF($D$2:D8691,"KEEP"),"")</f>
        <v/>
      </c>
      <c r="H8691">
        <f>IF(D8691="REMOVE",COUNTIF($D$2:D8691,"REMOVE"),"")</f>
        <v/>
      </c>
      <c r="I8691">
        <f>IF(E8691="Gmail",COUNTIF($E$2:E8691,"Gmail"),"")</f>
        <v/>
      </c>
      <c r="J8691">
        <f>IF(E8691="Outlook",COUNTIF($E$2:E8691,"Outlook"),"")</f>
        <v/>
      </c>
      <c r="K8691">
        <f>IF(E8691="Domain",COUNTIF($E$2:E8691,"Domain"),"")</f>
        <v/>
      </c>
    </row>
    <row r="8692">
      <c r="A8692" s="2" t="n"/>
      <c r="B8692">
        <f>LOWER(TRIM(A8692))</f>
        <v/>
      </c>
      <c r="C8692">
        <f>IF(B8692="","",IFERROR(INDEX('Bad Patterns'!$A$2:$A$120,MATCH(1,INDEX(--ISNUMBER(SEARCH('Bad Patterns'!$A$2:$A$120,B8692)),0),0)),""))</f>
        <v/>
      </c>
      <c r="D8692">
        <f>IF(B8692="","",IF(C8692&lt;&gt;"","REMOVE","KEEP"))</f>
        <v/>
      </c>
      <c r="E8692">
        <f>IF(D8692&lt;&gt;"KEEP","",IF(RIGHT(B8692,10)="@gmail.com","Gmail",IF(OR(RIGHT(B8692,12)="@outlook.com",RIGHT(B8692,12)="@hotmail.com",RIGHT(B8692,9)="@live.com"),"Outlook","Domain")))</f>
        <v/>
      </c>
      <c r="F8692">
        <f>IF(B8692="","",IFERROR(RIGHT(B8692,LEN(B8692)-FIND("@",B8692)),""))</f>
        <v/>
      </c>
      <c r="G8692">
        <f>IF(D8692="KEEP",COUNTIF($D$2:D8692,"KEEP"),"")</f>
        <v/>
      </c>
      <c r="H8692">
        <f>IF(D8692="REMOVE",COUNTIF($D$2:D8692,"REMOVE"),"")</f>
        <v/>
      </c>
      <c r="I8692">
        <f>IF(E8692="Gmail",COUNTIF($E$2:E8692,"Gmail"),"")</f>
        <v/>
      </c>
      <c r="J8692">
        <f>IF(E8692="Outlook",COUNTIF($E$2:E8692,"Outlook"),"")</f>
        <v/>
      </c>
      <c r="K8692">
        <f>IF(E8692="Domain",COUNTIF($E$2:E8692,"Domain"),"")</f>
        <v/>
      </c>
    </row>
    <row r="8693">
      <c r="A8693" s="2" t="n"/>
      <c r="B8693">
        <f>LOWER(TRIM(A8693))</f>
        <v/>
      </c>
      <c r="C8693">
        <f>IF(B8693="","",IFERROR(INDEX('Bad Patterns'!$A$2:$A$120,MATCH(1,INDEX(--ISNUMBER(SEARCH('Bad Patterns'!$A$2:$A$120,B8693)),0),0)),""))</f>
        <v/>
      </c>
      <c r="D8693">
        <f>IF(B8693="","",IF(C8693&lt;&gt;"","REMOVE","KEEP"))</f>
        <v/>
      </c>
      <c r="E8693">
        <f>IF(D8693&lt;&gt;"KEEP","",IF(RIGHT(B8693,10)="@gmail.com","Gmail",IF(OR(RIGHT(B8693,12)="@outlook.com",RIGHT(B8693,12)="@hotmail.com",RIGHT(B8693,9)="@live.com"),"Outlook","Domain")))</f>
        <v/>
      </c>
      <c r="F8693">
        <f>IF(B8693="","",IFERROR(RIGHT(B8693,LEN(B8693)-FIND("@",B8693)),""))</f>
        <v/>
      </c>
      <c r="G8693">
        <f>IF(D8693="KEEP",COUNTIF($D$2:D8693,"KEEP"),"")</f>
        <v/>
      </c>
      <c r="H8693">
        <f>IF(D8693="REMOVE",COUNTIF($D$2:D8693,"REMOVE"),"")</f>
        <v/>
      </c>
      <c r="I8693">
        <f>IF(E8693="Gmail",COUNTIF($E$2:E8693,"Gmail"),"")</f>
        <v/>
      </c>
      <c r="J8693">
        <f>IF(E8693="Outlook",COUNTIF($E$2:E8693,"Outlook"),"")</f>
        <v/>
      </c>
      <c r="K8693">
        <f>IF(E8693="Domain",COUNTIF($E$2:E8693,"Domain"),"")</f>
        <v/>
      </c>
    </row>
    <row r="8694">
      <c r="A8694" s="2" t="n"/>
      <c r="B8694">
        <f>LOWER(TRIM(A8694))</f>
        <v/>
      </c>
      <c r="C8694">
        <f>IF(B8694="","",IFERROR(INDEX('Bad Patterns'!$A$2:$A$120,MATCH(1,INDEX(--ISNUMBER(SEARCH('Bad Patterns'!$A$2:$A$120,B8694)),0),0)),""))</f>
        <v/>
      </c>
      <c r="D8694">
        <f>IF(B8694="","",IF(C8694&lt;&gt;"","REMOVE","KEEP"))</f>
        <v/>
      </c>
      <c r="E8694">
        <f>IF(D8694&lt;&gt;"KEEP","",IF(RIGHT(B8694,10)="@gmail.com","Gmail",IF(OR(RIGHT(B8694,12)="@outlook.com",RIGHT(B8694,12)="@hotmail.com",RIGHT(B8694,9)="@live.com"),"Outlook","Domain")))</f>
        <v/>
      </c>
      <c r="F8694">
        <f>IF(B8694="","",IFERROR(RIGHT(B8694,LEN(B8694)-FIND("@",B8694)),""))</f>
        <v/>
      </c>
      <c r="G8694">
        <f>IF(D8694="KEEP",COUNTIF($D$2:D8694,"KEEP"),"")</f>
        <v/>
      </c>
      <c r="H8694">
        <f>IF(D8694="REMOVE",COUNTIF($D$2:D8694,"REMOVE"),"")</f>
        <v/>
      </c>
      <c r="I8694">
        <f>IF(E8694="Gmail",COUNTIF($E$2:E8694,"Gmail"),"")</f>
        <v/>
      </c>
      <c r="J8694">
        <f>IF(E8694="Outlook",COUNTIF($E$2:E8694,"Outlook"),"")</f>
        <v/>
      </c>
      <c r="K8694">
        <f>IF(E8694="Domain",COUNTIF($E$2:E8694,"Domain"),"")</f>
        <v/>
      </c>
    </row>
    <row r="8695">
      <c r="A8695" s="2" t="n"/>
      <c r="B8695">
        <f>LOWER(TRIM(A8695))</f>
        <v/>
      </c>
      <c r="C8695">
        <f>IF(B8695="","",IFERROR(INDEX('Bad Patterns'!$A$2:$A$120,MATCH(1,INDEX(--ISNUMBER(SEARCH('Bad Patterns'!$A$2:$A$120,B8695)),0),0)),""))</f>
        <v/>
      </c>
      <c r="D8695">
        <f>IF(B8695="","",IF(C8695&lt;&gt;"","REMOVE","KEEP"))</f>
        <v/>
      </c>
      <c r="E8695">
        <f>IF(D8695&lt;&gt;"KEEP","",IF(RIGHT(B8695,10)="@gmail.com","Gmail",IF(OR(RIGHT(B8695,12)="@outlook.com",RIGHT(B8695,12)="@hotmail.com",RIGHT(B8695,9)="@live.com"),"Outlook","Domain")))</f>
        <v/>
      </c>
      <c r="F8695">
        <f>IF(B8695="","",IFERROR(RIGHT(B8695,LEN(B8695)-FIND("@",B8695)),""))</f>
        <v/>
      </c>
      <c r="G8695">
        <f>IF(D8695="KEEP",COUNTIF($D$2:D8695,"KEEP"),"")</f>
        <v/>
      </c>
      <c r="H8695">
        <f>IF(D8695="REMOVE",COUNTIF($D$2:D8695,"REMOVE"),"")</f>
        <v/>
      </c>
      <c r="I8695">
        <f>IF(E8695="Gmail",COUNTIF($E$2:E8695,"Gmail"),"")</f>
        <v/>
      </c>
      <c r="J8695">
        <f>IF(E8695="Outlook",COUNTIF($E$2:E8695,"Outlook"),"")</f>
        <v/>
      </c>
      <c r="K8695">
        <f>IF(E8695="Domain",COUNTIF($E$2:E8695,"Domain"),"")</f>
        <v/>
      </c>
    </row>
    <row r="8696">
      <c r="A8696" s="2" t="n"/>
      <c r="B8696">
        <f>LOWER(TRIM(A8696))</f>
        <v/>
      </c>
      <c r="C8696">
        <f>IF(B8696="","",IFERROR(INDEX('Bad Patterns'!$A$2:$A$120,MATCH(1,INDEX(--ISNUMBER(SEARCH('Bad Patterns'!$A$2:$A$120,B8696)),0),0)),""))</f>
        <v/>
      </c>
      <c r="D8696">
        <f>IF(B8696="","",IF(C8696&lt;&gt;"","REMOVE","KEEP"))</f>
        <v/>
      </c>
      <c r="E8696">
        <f>IF(D8696&lt;&gt;"KEEP","",IF(RIGHT(B8696,10)="@gmail.com","Gmail",IF(OR(RIGHT(B8696,12)="@outlook.com",RIGHT(B8696,12)="@hotmail.com",RIGHT(B8696,9)="@live.com"),"Outlook","Domain")))</f>
        <v/>
      </c>
      <c r="F8696">
        <f>IF(B8696="","",IFERROR(RIGHT(B8696,LEN(B8696)-FIND("@",B8696)),""))</f>
        <v/>
      </c>
      <c r="G8696">
        <f>IF(D8696="KEEP",COUNTIF($D$2:D8696,"KEEP"),"")</f>
        <v/>
      </c>
      <c r="H8696">
        <f>IF(D8696="REMOVE",COUNTIF($D$2:D8696,"REMOVE"),"")</f>
        <v/>
      </c>
      <c r="I8696">
        <f>IF(E8696="Gmail",COUNTIF($E$2:E8696,"Gmail"),"")</f>
        <v/>
      </c>
      <c r="J8696">
        <f>IF(E8696="Outlook",COUNTIF($E$2:E8696,"Outlook"),"")</f>
        <v/>
      </c>
      <c r="K8696">
        <f>IF(E8696="Domain",COUNTIF($E$2:E8696,"Domain"),"")</f>
        <v/>
      </c>
    </row>
    <row r="8697">
      <c r="A8697" s="2" t="n"/>
      <c r="B8697">
        <f>LOWER(TRIM(A8697))</f>
        <v/>
      </c>
      <c r="C8697">
        <f>IF(B8697="","",IFERROR(INDEX('Bad Patterns'!$A$2:$A$120,MATCH(1,INDEX(--ISNUMBER(SEARCH('Bad Patterns'!$A$2:$A$120,B8697)),0),0)),""))</f>
        <v/>
      </c>
      <c r="D8697">
        <f>IF(B8697="","",IF(C8697&lt;&gt;"","REMOVE","KEEP"))</f>
        <v/>
      </c>
      <c r="E8697">
        <f>IF(D8697&lt;&gt;"KEEP","",IF(RIGHT(B8697,10)="@gmail.com","Gmail",IF(OR(RIGHT(B8697,12)="@outlook.com",RIGHT(B8697,12)="@hotmail.com",RIGHT(B8697,9)="@live.com"),"Outlook","Domain")))</f>
        <v/>
      </c>
      <c r="F8697">
        <f>IF(B8697="","",IFERROR(RIGHT(B8697,LEN(B8697)-FIND("@",B8697)),""))</f>
        <v/>
      </c>
      <c r="G8697">
        <f>IF(D8697="KEEP",COUNTIF($D$2:D8697,"KEEP"),"")</f>
        <v/>
      </c>
      <c r="H8697">
        <f>IF(D8697="REMOVE",COUNTIF($D$2:D8697,"REMOVE"),"")</f>
        <v/>
      </c>
      <c r="I8697">
        <f>IF(E8697="Gmail",COUNTIF($E$2:E8697,"Gmail"),"")</f>
        <v/>
      </c>
      <c r="J8697">
        <f>IF(E8697="Outlook",COUNTIF($E$2:E8697,"Outlook"),"")</f>
        <v/>
      </c>
      <c r="K8697">
        <f>IF(E8697="Domain",COUNTIF($E$2:E8697,"Domain"),"")</f>
        <v/>
      </c>
    </row>
    <row r="8698">
      <c r="A8698" s="2" t="n"/>
      <c r="B8698">
        <f>LOWER(TRIM(A8698))</f>
        <v/>
      </c>
      <c r="C8698">
        <f>IF(B8698="","",IFERROR(INDEX('Bad Patterns'!$A$2:$A$120,MATCH(1,INDEX(--ISNUMBER(SEARCH('Bad Patterns'!$A$2:$A$120,B8698)),0),0)),""))</f>
        <v/>
      </c>
      <c r="D8698">
        <f>IF(B8698="","",IF(C8698&lt;&gt;"","REMOVE","KEEP"))</f>
        <v/>
      </c>
      <c r="E8698">
        <f>IF(D8698&lt;&gt;"KEEP","",IF(RIGHT(B8698,10)="@gmail.com","Gmail",IF(OR(RIGHT(B8698,12)="@outlook.com",RIGHT(B8698,12)="@hotmail.com",RIGHT(B8698,9)="@live.com"),"Outlook","Domain")))</f>
        <v/>
      </c>
      <c r="F8698">
        <f>IF(B8698="","",IFERROR(RIGHT(B8698,LEN(B8698)-FIND("@",B8698)),""))</f>
        <v/>
      </c>
      <c r="G8698">
        <f>IF(D8698="KEEP",COUNTIF($D$2:D8698,"KEEP"),"")</f>
        <v/>
      </c>
      <c r="H8698">
        <f>IF(D8698="REMOVE",COUNTIF($D$2:D8698,"REMOVE"),"")</f>
        <v/>
      </c>
      <c r="I8698">
        <f>IF(E8698="Gmail",COUNTIF($E$2:E8698,"Gmail"),"")</f>
        <v/>
      </c>
      <c r="J8698">
        <f>IF(E8698="Outlook",COUNTIF($E$2:E8698,"Outlook"),"")</f>
        <v/>
      </c>
      <c r="K8698">
        <f>IF(E8698="Domain",COUNTIF($E$2:E8698,"Domain"),"")</f>
        <v/>
      </c>
    </row>
    <row r="8699">
      <c r="A8699" s="2" t="n"/>
      <c r="B8699">
        <f>LOWER(TRIM(A8699))</f>
        <v/>
      </c>
      <c r="C8699">
        <f>IF(B8699="","",IFERROR(INDEX('Bad Patterns'!$A$2:$A$120,MATCH(1,INDEX(--ISNUMBER(SEARCH('Bad Patterns'!$A$2:$A$120,B8699)),0),0)),""))</f>
        <v/>
      </c>
      <c r="D8699">
        <f>IF(B8699="","",IF(C8699&lt;&gt;"","REMOVE","KEEP"))</f>
        <v/>
      </c>
      <c r="E8699">
        <f>IF(D8699&lt;&gt;"KEEP","",IF(RIGHT(B8699,10)="@gmail.com","Gmail",IF(OR(RIGHT(B8699,12)="@outlook.com",RIGHT(B8699,12)="@hotmail.com",RIGHT(B8699,9)="@live.com"),"Outlook","Domain")))</f>
        <v/>
      </c>
      <c r="F8699">
        <f>IF(B8699="","",IFERROR(RIGHT(B8699,LEN(B8699)-FIND("@",B8699)),""))</f>
        <v/>
      </c>
      <c r="G8699">
        <f>IF(D8699="KEEP",COUNTIF($D$2:D8699,"KEEP"),"")</f>
        <v/>
      </c>
      <c r="H8699">
        <f>IF(D8699="REMOVE",COUNTIF($D$2:D8699,"REMOVE"),"")</f>
        <v/>
      </c>
      <c r="I8699">
        <f>IF(E8699="Gmail",COUNTIF($E$2:E8699,"Gmail"),"")</f>
        <v/>
      </c>
      <c r="J8699">
        <f>IF(E8699="Outlook",COUNTIF($E$2:E8699,"Outlook"),"")</f>
        <v/>
      </c>
      <c r="K8699">
        <f>IF(E8699="Domain",COUNTIF($E$2:E8699,"Domain"),"")</f>
        <v/>
      </c>
    </row>
    <row r="8700">
      <c r="A8700" s="2" t="n"/>
      <c r="B8700">
        <f>LOWER(TRIM(A8700))</f>
        <v/>
      </c>
      <c r="C8700">
        <f>IF(B8700="","",IFERROR(INDEX('Bad Patterns'!$A$2:$A$120,MATCH(1,INDEX(--ISNUMBER(SEARCH('Bad Patterns'!$A$2:$A$120,B8700)),0),0)),""))</f>
        <v/>
      </c>
      <c r="D8700">
        <f>IF(B8700="","",IF(C8700&lt;&gt;"","REMOVE","KEEP"))</f>
        <v/>
      </c>
      <c r="E8700">
        <f>IF(D8700&lt;&gt;"KEEP","",IF(RIGHT(B8700,10)="@gmail.com","Gmail",IF(OR(RIGHT(B8700,12)="@outlook.com",RIGHT(B8700,12)="@hotmail.com",RIGHT(B8700,9)="@live.com"),"Outlook","Domain")))</f>
        <v/>
      </c>
      <c r="F8700">
        <f>IF(B8700="","",IFERROR(RIGHT(B8700,LEN(B8700)-FIND("@",B8700)),""))</f>
        <v/>
      </c>
      <c r="G8700">
        <f>IF(D8700="KEEP",COUNTIF($D$2:D8700,"KEEP"),"")</f>
        <v/>
      </c>
      <c r="H8700">
        <f>IF(D8700="REMOVE",COUNTIF($D$2:D8700,"REMOVE"),"")</f>
        <v/>
      </c>
      <c r="I8700">
        <f>IF(E8700="Gmail",COUNTIF($E$2:E8700,"Gmail"),"")</f>
        <v/>
      </c>
      <c r="J8700">
        <f>IF(E8700="Outlook",COUNTIF($E$2:E8700,"Outlook"),"")</f>
        <v/>
      </c>
      <c r="K8700">
        <f>IF(E8700="Domain",COUNTIF($E$2:E8700,"Domain"),"")</f>
        <v/>
      </c>
    </row>
    <row r="8701">
      <c r="A8701" s="2" t="n"/>
      <c r="B8701">
        <f>LOWER(TRIM(A8701))</f>
        <v/>
      </c>
      <c r="C8701">
        <f>IF(B8701="","",IFERROR(INDEX('Bad Patterns'!$A$2:$A$120,MATCH(1,INDEX(--ISNUMBER(SEARCH('Bad Patterns'!$A$2:$A$120,B8701)),0),0)),""))</f>
        <v/>
      </c>
      <c r="D8701">
        <f>IF(B8701="","",IF(C8701&lt;&gt;"","REMOVE","KEEP"))</f>
        <v/>
      </c>
      <c r="E8701">
        <f>IF(D8701&lt;&gt;"KEEP","",IF(RIGHT(B8701,10)="@gmail.com","Gmail",IF(OR(RIGHT(B8701,12)="@outlook.com",RIGHT(B8701,12)="@hotmail.com",RIGHT(B8701,9)="@live.com"),"Outlook","Domain")))</f>
        <v/>
      </c>
      <c r="F8701">
        <f>IF(B8701="","",IFERROR(RIGHT(B8701,LEN(B8701)-FIND("@",B8701)),""))</f>
        <v/>
      </c>
      <c r="G8701">
        <f>IF(D8701="KEEP",COUNTIF($D$2:D8701,"KEEP"),"")</f>
        <v/>
      </c>
      <c r="H8701">
        <f>IF(D8701="REMOVE",COUNTIF($D$2:D8701,"REMOVE"),"")</f>
        <v/>
      </c>
      <c r="I8701">
        <f>IF(E8701="Gmail",COUNTIF($E$2:E8701,"Gmail"),"")</f>
        <v/>
      </c>
      <c r="J8701">
        <f>IF(E8701="Outlook",COUNTIF($E$2:E8701,"Outlook"),"")</f>
        <v/>
      </c>
      <c r="K8701">
        <f>IF(E8701="Domain",COUNTIF($E$2:E8701,"Domain"),"")</f>
        <v/>
      </c>
    </row>
    <row r="8702">
      <c r="A8702" s="2" t="n"/>
      <c r="B8702">
        <f>LOWER(TRIM(A8702))</f>
        <v/>
      </c>
      <c r="C8702">
        <f>IF(B8702="","",IFERROR(INDEX('Bad Patterns'!$A$2:$A$120,MATCH(1,INDEX(--ISNUMBER(SEARCH('Bad Patterns'!$A$2:$A$120,B8702)),0),0)),""))</f>
        <v/>
      </c>
      <c r="D8702">
        <f>IF(B8702="","",IF(C8702&lt;&gt;"","REMOVE","KEEP"))</f>
        <v/>
      </c>
      <c r="E8702">
        <f>IF(D8702&lt;&gt;"KEEP","",IF(RIGHT(B8702,10)="@gmail.com","Gmail",IF(OR(RIGHT(B8702,12)="@outlook.com",RIGHT(B8702,12)="@hotmail.com",RIGHT(B8702,9)="@live.com"),"Outlook","Domain")))</f>
        <v/>
      </c>
      <c r="F8702">
        <f>IF(B8702="","",IFERROR(RIGHT(B8702,LEN(B8702)-FIND("@",B8702)),""))</f>
        <v/>
      </c>
      <c r="G8702">
        <f>IF(D8702="KEEP",COUNTIF($D$2:D8702,"KEEP"),"")</f>
        <v/>
      </c>
      <c r="H8702">
        <f>IF(D8702="REMOVE",COUNTIF($D$2:D8702,"REMOVE"),"")</f>
        <v/>
      </c>
      <c r="I8702">
        <f>IF(E8702="Gmail",COUNTIF($E$2:E8702,"Gmail"),"")</f>
        <v/>
      </c>
      <c r="J8702">
        <f>IF(E8702="Outlook",COUNTIF($E$2:E8702,"Outlook"),"")</f>
        <v/>
      </c>
      <c r="K8702">
        <f>IF(E8702="Domain",COUNTIF($E$2:E8702,"Domain"),"")</f>
        <v/>
      </c>
    </row>
    <row r="8703">
      <c r="A8703" s="2" t="n"/>
      <c r="B8703">
        <f>LOWER(TRIM(A8703))</f>
        <v/>
      </c>
      <c r="C8703">
        <f>IF(B8703="","",IFERROR(INDEX('Bad Patterns'!$A$2:$A$120,MATCH(1,INDEX(--ISNUMBER(SEARCH('Bad Patterns'!$A$2:$A$120,B8703)),0),0)),""))</f>
        <v/>
      </c>
      <c r="D8703">
        <f>IF(B8703="","",IF(C8703&lt;&gt;"","REMOVE","KEEP"))</f>
        <v/>
      </c>
      <c r="E8703">
        <f>IF(D8703&lt;&gt;"KEEP","",IF(RIGHT(B8703,10)="@gmail.com","Gmail",IF(OR(RIGHT(B8703,12)="@outlook.com",RIGHT(B8703,12)="@hotmail.com",RIGHT(B8703,9)="@live.com"),"Outlook","Domain")))</f>
        <v/>
      </c>
      <c r="F8703">
        <f>IF(B8703="","",IFERROR(RIGHT(B8703,LEN(B8703)-FIND("@",B8703)),""))</f>
        <v/>
      </c>
      <c r="G8703">
        <f>IF(D8703="KEEP",COUNTIF($D$2:D8703,"KEEP"),"")</f>
        <v/>
      </c>
      <c r="H8703">
        <f>IF(D8703="REMOVE",COUNTIF($D$2:D8703,"REMOVE"),"")</f>
        <v/>
      </c>
      <c r="I8703">
        <f>IF(E8703="Gmail",COUNTIF($E$2:E8703,"Gmail"),"")</f>
        <v/>
      </c>
      <c r="J8703">
        <f>IF(E8703="Outlook",COUNTIF($E$2:E8703,"Outlook"),"")</f>
        <v/>
      </c>
      <c r="K8703">
        <f>IF(E8703="Domain",COUNTIF($E$2:E8703,"Domain"),"")</f>
        <v/>
      </c>
    </row>
    <row r="8704">
      <c r="A8704" s="2" t="n"/>
      <c r="B8704">
        <f>LOWER(TRIM(A8704))</f>
        <v/>
      </c>
      <c r="C8704">
        <f>IF(B8704="","",IFERROR(INDEX('Bad Patterns'!$A$2:$A$120,MATCH(1,INDEX(--ISNUMBER(SEARCH('Bad Patterns'!$A$2:$A$120,B8704)),0),0)),""))</f>
        <v/>
      </c>
      <c r="D8704">
        <f>IF(B8704="","",IF(C8704&lt;&gt;"","REMOVE","KEEP"))</f>
        <v/>
      </c>
      <c r="E8704">
        <f>IF(D8704&lt;&gt;"KEEP","",IF(RIGHT(B8704,10)="@gmail.com","Gmail",IF(OR(RIGHT(B8704,12)="@outlook.com",RIGHT(B8704,12)="@hotmail.com",RIGHT(B8704,9)="@live.com"),"Outlook","Domain")))</f>
        <v/>
      </c>
      <c r="F8704">
        <f>IF(B8704="","",IFERROR(RIGHT(B8704,LEN(B8704)-FIND("@",B8704)),""))</f>
        <v/>
      </c>
      <c r="G8704">
        <f>IF(D8704="KEEP",COUNTIF($D$2:D8704,"KEEP"),"")</f>
        <v/>
      </c>
      <c r="H8704">
        <f>IF(D8704="REMOVE",COUNTIF($D$2:D8704,"REMOVE"),"")</f>
        <v/>
      </c>
      <c r="I8704">
        <f>IF(E8704="Gmail",COUNTIF($E$2:E8704,"Gmail"),"")</f>
        <v/>
      </c>
      <c r="J8704">
        <f>IF(E8704="Outlook",COUNTIF($E$2:E8704,"Outlook"),"")</f>
        <v/>
      </c>
      <c r="K8704">
        <f>IF(E8704="Domain",COUNTIF($E$2:E8704,"Domain"),"")</f>
        <v/>
      </c>
    </row>
    <row r="8705">
      <c r="A8705" s="2" t="n"/>
      <c r="B8705">
        <f>LOWER(TRIM(A8705))</f>
        <v/>
      </c>
      <c r="C8705">
        <f>IF(B8705="","",IFERROR(INDEX('Bad Patterns'!$A$2:$A$120,MATCH(1,INDEX(--ISNUMBER(SEARCH('Bad Patterns'!$A$2:$A$120,B8705)),0),0)),""))</f>
        <v/>
      </c>
      <c r="D8705">
        <f>IF(B8705="","",IF(C8705&lt;&gt;"","REMOVE","KEEP"))</f>
        <v/>
      </c>
      <c r="E8705">
        <f>IF(D8705&lt;&gt;"KEEP","",IF(RIGHT(B8705,10)="@gmail.com","Gmail",IF(OR(RIGHT(B8705,12)="@outlook.com",RIGHT(B8705,12)="@hotmail.com",RIGHT(B8705,9)="@live.com"),"Outlook","Domain")))</f>
        <v/>
      </c>
      <c r="F8705">
        <f>IF(B8705="","",IFERROR(RIGHT(B8705,LEN(B8705)-FIND("@",B8705)),""))</f>
        <v/>
      </c>
      <c r="G8705">
        <f>IF(D8705="KEEP",COUNTIF($D$2:D8705,"KEEP"),"")</f>
        <v/>
      </c>
      <c r="H8705">
        <f>IF(D8705="REMOVE",COUNTIF($D$2:D8705,"REMOVE"),"")</f>
        <v/>
      </c>
      <c r="I8705">
        <f>IF(E8705="Gmail",COUNTIF($E$2:E8705,"Gmail"),"")</f>
        <v/>
      </c>
      <c r="J8705">
        <f>IF(E8705="Outlook",COUNTIF($E$2:E8705,"Outlook"),"")</f>
        <v/>
      </c>
      <c r="K8705">
        <f>IF(E8705="Domain",COUNTIF($E$2:E8705,"Domain"),"")</f>
        <v/>
      </c>
    </row>
    <row r="8706">
      <c r="A8706" s="2" t="n"/>
      <c r="B8706">
        <f>LOWER(TRIM(A8706))</f>
        <v/>
      </c>
      <c r="C8706">
        <f>IF(B8706="","",IFERROR(INDEX('Bad Patterns'!$A$2:$A$120,MATCH(1,INDEX(--ISNUMBER(SEARCH('Bad Patterns'!$A$2:$A$120,B8706)),0),0)),""))</f>
        <v/>
      </c>
      <c r="D8706">
        <f>IF(B8706="","",IF(C8706&lt;&gt;"","REMOVE","KEEP"))</f>
        <v/>
      </c>
      <c r="E8706">
        <f>IF(D8706&lt;&gt;"KEEP","",IF(RIGHT(B8706,10)="@gmail.com","Gmail",IF(OR(RIGHT(B8706,12)="@outlook.com",RIGHT(B8706,12)="@hotmail.com",RIGHT(B8706,9)="@live.com"),"Outlook","Domain")))</f>
        <v/>
      </c>
      <c r="F8706">
        <f>IF(B8706="","",IFERROR(RIGHT(B8706,LEN(B8706)-FIND("@",B8706)),""))</f>
        <v/>
      </c>
      <c r="G8706">
        <f>IF(D8706="KEEP",COUNTIF($D$2:D8706,"KEEP"),"")</f>
        <v/>
      </c>
      <c r="H8706">
        <f>IF(D8706="REMOVE",COUNTIF($D$2:D8706,"REMOVE"),"")</f>
        <v/>
      </c>
      <c r="I8706">
        <f>IF(E8706="Gmail",COUNTIF($E$2:E8706,"Gmail"),"")</f>
        <v/>
      </c>
      <c r="J8706">
        <f>IF(E8706="Outlook",COUNTIF($E$2:E8706,"Outlook"),"")</f>
        <v/>
      </c>
      <c r="K8706">
        <f>IF(E8706="Domain",COUNTIF($E$2:E8706,"Domain"),"")</f>
        <v/>
      </c>
    </row>
    <row r="8707">
      <c r="A8707" s="2" t="n"/>
      <c r="B8707">
        <f>LOWER(TRIM(A8707))</f>
        <v/>
      </c>
      <c r="C8707">
        <f>IF(B8707="","",IFERROR(INDEX('Bad Patterns'!$A$2:$A$120,MATCH(1,INDEX(--ISNUMBER(SEARCH('Bad Patterns'!$A$2:$A$120,B8707)),0),0)),""))</f>
        <v/>
      </c>
      <c r="D8707">
        <f>IF(B8707="","",IF(C8707&lt;&gt;"","REMOVE","KEEP"))</f>
        <v/>
      </c>
      <c r="E8707">
        <f>IF(D8707&lt;&gt;"KEEP","",IF(RIGHT(B8707,10)="@gmail.com","Gmail",IF(OR(RIGHT(B8707,12)="@outlook.com",RIGHT(B8707,12)="@hotmail.com",RIGHT(B8707,9)="@live.com"),"Outlook","Domain")))</f>
        <v/>
      </c>
      <c r="F8707">
        <f>IF(B8707="","",IFERROR(RIGHT(B8707,LEN(B8707)-FIND("@",B8707)),""))</f>
        <v/>
      </c>
      <c r="G8707">
        <f>IF(D8707="KEEP",COUNTIF($D$2:D8707,"KEEP"),"")</f>
        <v/>
      </c>
      <c r="H8707">
        <f>IF(D8707="REMOVE",COUNTIF($D$2:D8707,"REMOVE"),"")</f>
        <v/>
      </c>
      <c r="I8707">
        <f>IF(E8707="Gmail",COUNTIF($E$2:E8707,"Gmail"),"")</f>
        <v/>
      </c>
      <c r="J8707">
        <f>IF(E8707="Outlook",COUNTIF($E$2:E8707,"Outlook"),"")</f>
        <v/>
      </c>
      <c r="K8707">
        <f>IF(E8707="Domain",COUNTIF($E$2:E8707,"Domain"),"")</f>
        <v/>
      </c>
    </row>
    <row r="8708">
      <c r="A8708" s="2" t="n"/>
      <c r="B8708">
        <f>LOWER(TRIM(A8708))</f>
        <v/>
      </c>
      <c r="C8708">
        <f>IF(B8708="","",IFERROR(INDEX('Bad Patterns'!$A$2:$A$120,MATCH(1,INDEX(--ISNUMBER(SEARCH('Bad Patterns'!$A$2:$A$120,B8708)),0),0)),""))</f>
        <v/>
      </c>
      <c r="D8708">
        <f>IF(B8708="","",IF(C8708&lt;&gt;"","REMOVE","KEEP"))</f>
        <v/>
      </c>
      <c r="E8708">
        <f>IF(D8708&lt;&gt;"KEEP","",IF(RIGHT(B8708,10)="@gmail.com","Gmail",IF(OR(RIGHT(B8708,12)="@outlook.com",RIGHT(B8708,12)="@hotmail.com",RIGHT(B8708,9)="@live.com"),"Outlook","Domain")))</f>
        <v/>
      </c>
      <c r="F8708">
        <f>IF(B8708="","",IFERROR(RIGHT(B8708,LEN(B8708)-FIND("@",B8708)),""))</f>
        <v/>
      </c>
      <c r="G8708">
        <f>IF(D8708="KEEP",COUNTIF($D$2:D8708,"KEEP"),"")</f>
        <v/>
      </c>
      <c r="H8708">
        <f>IF(D8708="REMOVE",COUNTIF($D$2:D8708,"REMOVE"),"")</f>
        <v/>
      </c>
      <c r="I8708">
        <f>IF(E8708="Gmail",COUNTIF($E$2:E8708,"Gmail"),"")</f>
        <v/>
      </c>
      <c r="J8708">
        <f>IF(E8708="Outlook",COUNTIF($E$2:E8708,"Outlook"),"")</f>
        <v/>
      </c>
      <c r="K8708">
        <f>IF(E8708="Domain",COUNTIF($E$2:E8708,"Domain"),"")</f>
        <v/>
      </c>
    </row>
    <row r="8709">
      <c r="A8709" s="2" t="n"/>
      <c r="B8709">
        <f>LOWER(TRIM(A8709))</f>
        <v/>
      </c>
      <c r="C8709">
        <f>IF(B8709="","",IFERROR(INDEX('Bad Patterns'!$A$2:$A$120,MATCH(1,INDEX(--ISNUMBER(SEARCH('Bad Patterns'!$A$2:$A$120,B8709)),0),0)),""))</f>
        <v/>
      </c>
      <c r="D8709">
        <f>IF(B8709="","",IF(C8709&lt;&gt;"","REMOVE","KEEP"))</f>
        <v/>
      </c>
      <c r="E8709">
        <f>IF(D8709&lt;&gt;"KEEP","",IF(RIGHT(B8709,10)="@gmail.com","Gmail",IF(OR(RIGHT(B8709,12)="@outlook.com",RIGHT(B8709,12)="@hotmail.com",RIGHT(B8709,9)="@live.com"),"Outlook","Domain")))</f>
        <v/>
      </c>
      <c r="F8709">
        <f>IF(B8709="","",IFERROR(RIGHT(B8709,LEN(B8709)-FIND("@",B8709)),""))</f>
        <v/>
      </c>
      <c r="G8709">
        <f>IF(D8709="KEEP",COUNTIF($D$2:D8709,"KEEP"),"")</f>
        <v/>
      </c>
      <c r="H8709">
        <f>IF(D8709="REMOVE",COUNTIF($D$2:D8709,"REMOVE"),"")</f>
        <v/>
      </c>
      <c r="I8709">
        <f>IF(E8709="Gmail",COUNTIF($E$2:E8709,"Gmail"),"")</f>
        <v/>
      </c>
      <c r="J8709">
        <f>IF(E8709="Outlook",COUNTIF($E$2:E8709,"Outlook"),"")</f>
        <v/>
      </c>
      <c r="K8709">
        <f>IF(E8709="Domain",COUNTIF($E$2:E8709,"Domain"),"")</f>
        <v/>
      </c>
    </row>
    <row r="8710">
      <c r="A8710" s="2" t="n"/>
      <c r="B8710">
        <f>LOWER(TRIM(A8710))</f>
        <v/>
      </c>
      <c r="C8710">
        <f>IF(B8710="","",IFERROR(INDEX('Bad Patterns'!$A$2:$A$120,MATCH(1,INDEX(--ISNUMBER(SEARCH('Bad Patterns'!$A$2:$A$120,B8710)),0),0)),""))</f>
        <v/>
      </c>
      <c r="D8710">
        <f>IF(B8710="","",IF(C8710&lt;&gt;"","REMOVE","KEEP"))</f>
        <v/>
      </c>
      <c r="E8710">
        <f>IF(D8710&lt;&gt;"KEEP","",IF(RIGHT(B8710,10)="@gmail.com","Gmail",IF(OR(RIGHT(B8710,12)="@outlook.com",RIGHT(B8710,12)="@hotmail.com",RIGHT(B8710,9)="@live.com"),"Outlook","Domain")))</f>
        <v/>
      </c>
      <c r="F8710">
        <f>IF(B8710="","",IFERROR(RIGHT(B8710,LEN(B8710)-FIND("@",B8710)),""))</f>
        <v/>
      </c>
      <c r="G8710">
        <f>IF(D8710="KEEP",COUNTIF($D$2:D8710,"KEEP"),"")</f>
        <v/>
      </c>
      <c r="H8710">
        <f>IF(D8710="REMOVE",COUNTIF($D$2:D8710,"REMOVE"),"")</f>
        <v/>
      </c>
      <c r="I8710">
        <f>IF(E8710="Gmail",COUNTIF($E$2:E8710,"Gmail"),"")</f>
        <v/>
      </c>
      <c r="J8710">
        <f>IF(E8710="Outlook",COUNTIF($E$2:E8710,"Outlook"),"")</f>
        <v/>
      </c>
      <c r="K8710">
        <f>IF(E8710="Domain",COUNTIF($E$2:E8710,"Domain"),"")</f>
        <v/>
      </c>
    </row>
    <row r="8711">
      <c r="A8711" s="2" t="n"/>
      <c r="B8711">
        <f>LOWER(TRIM(A8711))</f>
        <v/>
      </c>
      <c r="C8711">
        <f>IF(B8711="","",IFERROR(INDEX('Bad Patterns'!$A$2:$A$120,MATCH(1,INDEX(--ISNUMBER(SEARCH('Bad Patterns'!$A$2:$A$120,B8711)),0),0)),""))</f>
        <v/>
      </c>
      <c r="D8711">
        <f>IF(B8711="","",IF(C8711&lt;&gt;"","REMOVE","KEEP"))</f>
        <v/>
      </c>
      <c r="E8711">
        <f>IF(D8711&lt;&gt;"KEEP","",IF(RIGHT(B8711,10)="@gmail.com","Gmail",IF(OR(RIGHT(B8711,12)="@outlook.com",RIGHT(B8711,12)="@hotmail.com",RIGHT(B8711,9)="@live.com"),"Outlook","Domain")))</f>
        <v/>
      </c>
      <c r="F8711">
        <f>IF(B8711="","",IFERROR(RIGHT(B8711,LEN(B8711)-FIND("@",B8711)),""))</f>
        <v/>
      </c>
      <c r="G8711">
        <f>IF(D8711="KEEP",COUNTIF($D$2:D8711,"KEEP"),"")</f>
        <v/>
      </c>
      <c r="H8711">
        <f>IF(D8711="REMOVE",COUNTIF($D$2:D8711,"REMOVE"),"")</f>
        <v/>
      </c>
      <c r="I8711">
        <f>IF(E8711="Gmail",COUNTIF($E$2:E8711,"Gmail"),"")</f>
        <v/>
      </c>
      <c r="J8711">
        <f>IF(E8711="Outlook",COUNTIF($E$2:E8711,"Outlook"),"")</f>
        <v/>
      </c>
      <c r="K8711">
        <f>IF(E8711="Domain",COUNTIF($E$2:E8711,"Domain"),"")</f>
        <v/>
      </c>
    </row>
    <row r="8712">
      <c r="A8712" s="2" t="n"/>
      <c r="B8712">
        <f>LOWER(TRIM(A8712))</f>
        <v/>
      </c>
      <c r="C8712">
        <f>IF(B8712="","",IFERROR(INDEX('Bad Patterns'!$A$2:$A$120,MATCH(1,INDEX(--ISNUMBER(SEARCH('Bad Patterns'!$A$2:$A$120,B8712)),0),0)),""))</f>
        <v/>
      </c>
      <c r="D8712">
        <f>IF(B8712="","",IF(C8712&lt;&gt;"","REMOVE","KEEP"))</f>
        <v/>
      </c>
      <c r="E8712">
        <f>IF(D8712&lt;&gt;"KEEP","",IF(RIGHT(B8712,10)="@gmail.com","Gmail",IF(OR(RIGHT(B8712,12)="@outlook.com",RIGHT(B8712,12)="@hotmail.com",RIGHT(B8712,9)="@live.com"),"Outlook","Domain")))</f>
        <v/>
      </c>
      <c r="F8712">
        <f>IF(B8712="","",IFERROR(RIGHT(B8712,LEN(B8712)-FIND("@",B8712)),""))</f>
        <v/>
      </c>
      <c r="G8712">
        <f>IF(D8712="KEEP",COUNTIF($D$2:D8712,"KEEP"),"")</f>
        <v/>
      </c>
      <c r="H8712">
        <f>IF(D8712="REMOVE",COUNTIF($D$2:D8712,"REMOVE"),"")</f>
        <v/>
      </c>
      <c r="I8712">
        <f>IF(E8712="Gmail",COUNTIF($E$2:E8712,"Gmail"),"")</f>
        <v/>
      </c>
      <c r="J8712">
        <f>IF(E8712="Outlook",COUNTIF($E$2:E8712,"Outlook"),"")</f>
        <v/>
      </c>
      <c r="K8712">
        <f>IF(E8712="Domain",COUNTIF($E$2:E8712,"Domain"),"")</f>
        <v/>
      </c>
    </row>
    <row r="8713">
      <c r="A8713" s="2" t="n"/>
      <c r="B8713">
        <f>LOWER(TRIM(A8713))</f>
        <v/>
      </c>
      <c r="C8713">
        <f>IF(B8713="","",IFERROR(INDEX('Bad Patterns'!$A$2:$A$120,MATCH(1,INDEX(--ISNUMBER(SEARCH('Bad Patterns'!$A$2:$A$120,B8713)),0),0)),""))</f>
        <v/>
      </c>
      <c r="D8713">
        <f>IF(B8713="","",IF(C8713&lt;&gt;"","REMOVE","KEEP"))</f>
        <v/>
      </c>
      <c r="E8713">
        <f>IF(D8713&lt;&gt;"KEEP","",IF(RIGHT(B8713,10)="@gmail.com","Gmail",IF(OR(RIGHT(B8713,12)="@outlook.com",RIGHT(B8713,12)="@hotmail.com",RIGHT(B8713,9)="@live.com"),"Outlook","Domain")))</f>
        <v/>
      </c>
      <c r="F8713">
        <f>IF(B8713="","",IFERROR(RIGHT(B8713,LEN(B8713)-FIND("@",B8713)),""))</f>
        <v/>
      </c>
      <c r="G8713">
        <f>IF(D8713="KEEP",COUNTIF($D$2:D8713,"KEEP"),"")</f>
        <v/>
      </c>
      <c r="H8713">
        <f>IF(D8713="REMOVE",COUNTIF($D$2:D8713,"REMOVE"),"")</f>
        <v/>
      </c>
      <c r="I8713">
        <f>IF(E8713="Gmail",COUNTIF($E$2:E8713,"Gmail"),"")</f>
        <v/>
      </c>
      <c r="J8713">
        <f>IF(E8713="Outlook",COUNTIF($E$2:E8713,"Outlook"),"")</f>
        <v/>
      </c>
      <c r="K8713">
        <f>IF(E8713="Domain",COUNTIF($E$2:E8713,"Domain"),"")</f>
        <v/>
      </c>
    </row>
    <row r="8714">
      <c r="A8714" s="2" t="n"/>
      <c r="B8714">
        <f>LOWER(TRIM(A8714))</f>
        <v/>
      </c>
      <c r="C8714">
        <f>IF(B8714="","",IFERROR(INDEX('Bad Patterns'!$A$2:$A$120,MATCH(1,INDEX(--ISNUMBER(SEARCH('Bad Patterns'!$A$2:$A$120,B8714)),0),0)),""))</f>
        <v/>
      </c>
      <c r="D8714">
        <f>IF(B8714="","",IF(C8714&lt;&gt;"","REMOVE","KEEP"))</f>
        <v/>
      </c>
      <c r="E8714">
        <f>IF(D8714&lt;&gt;"KEEP","",IF(RIGHT(B8714,10)="@gmail.com","Gmail",IF(OR(RIGHT(B8714,12)="@outlook.com",RIGHT(B8714,12)="@hotmail.com",RIGHT(B8714,9)="@live.com"),"Outlook","Domain")))</f>
        <v/>
      </c>
      <c r="F8714">
        <f>IF(B8714="","",IFERROR(RIGHT(B8714,LEN(B8714)-FIND("@",B8714)),""))</f>
        <v/>
      </c>
      <c r="G8714">
        <f>IF(D8714="KEEP",COUNTIF($D$2:D8714,"KEEP"),"")</f>
        <v/>
      </c>
      <c r="H8714">
        <f>IF(D8714="REMOVE",COUNTIF($D$2:D8714,"REMOVE"),"")</f>
        <v/>
      </c>
      <c r="I8714">
        <f>IF(E8714="Gmail",COUNTIF($E$2:E8714,"Gmail"),"")</f>
        <v/>
      </c>
      <c r="J8714">
        <f>IF(E8714="Outlook",COUNTIF($E$2:E8714,"Outlook"),"")</f>
        <v/>
      </c>
      <c r="K8714">
        <f>IF(E8714="Domain",COUNTIF($E$2:E8714,"Domain"),"")</f>
        <v/>
      </c>
    </row>
    <row r="8715">
      <c r="A8715" s="2" t="n"/>
      <c r="B8715">
        <f>LOWER(TRIM(A8715))</f>
        <v/>
      </c>
      <c r="C8715">
        <f>IF(B8715="","",IFERROR(INDEX('Bad Patterns'!$A$2:$A$120,MATCH(1,INDEX(--ISNUMBER(SEARCH('Bad Patterns'!$A$2:$A$120,B8715)),0),0)),""))</f>
        <v/>
      </c>
      <c r="D8715">
        <f>IF(B8715="","",IF(C8715&lt;&gt;"","REMOVE","KEEP"))</f>
        <v/>
      </c>
      <c r="E8715">
        <f>IF(D8715&lt;&gt;"KEEP","",IF(RIGHT(B8715,10)="@gmail.com","Gmail",IF(OR(RIGHT(B8715,12)="@outlook.com",RIGHT(B8715,12)="@hotmail.com",RIGHT(B8715,9)="@live.com"),"Outlook","Domain")))</f>
        <v/>
      </c>
      <c r="F8715">
        <f>IF(B8715="","",IFERROR(RIGHT(B8715,LEN(B8715)-FIND("@",B8715)),""))</f>
        <v/>
      </c>
      <c r="G8715">
        <f>IF(D8715="KEEP",COUNTIF($D$2:D8715,"KEEP"),"")</f>
        <v/>
      </c>
      <c r="H8715">
        <f>IF(D8715="REMOVE",COUNTIF($D$2:D8715,"REMOVE"),"")</f>
        <v/>
      </c>
      <c r="I8715">
        <f>IF(E8715="Gmail",COUNTIF($E$2:E8715,"Gmail"),"")</f>
        <v/>
      </c>
      <c r="J8715">
        <f>IF(E8715="Outlook",COUNTIF($E$2:E8715,"Outlook"),"")</f>
        <v/>
      </c>
      <c r="K8715">
        <f>IF(E8715="Domain",COUNTIF($E$2:E8715,"Domain"),"")</f>
        <v/>
      </c>
    </row>
    <row r="8716">
      <c r="A8716" s="2" t="n"/>
      <c r="B8716">
        <f>LOWER(TRIM(A8716))</f>
        <v/>
      </c>
      <c r="C8716">
        <f>IF(B8716="","",IFERROR(INDEX('Bad Patterns'!$A$2:$A$120,MATCH(1,INDEX(--ISNUMBER(SEARCH('Bad Patterns'!$A$2:$A$120,B8716)),0),0)),""))</f>
        <v/>
      </c>
      <c r="D8716">
        <f>IF(B8716="","",IF(C8716&lt;&gt;"","REMOVE","KEEP"))</f>
        <v/>
      </c>
      <c r="E8716">
        <f>IF(D8716&lt;&gt;"KEEP","",IF(RIGHT(B8716,10)="@gmail.com","Gmail",IF(OR(RIGHT(B8716,12)="@outlook.com",RIGHT(B8716,12)="@hotmail.com",RIGHT(B8716,9)="@live.com"),"Outlook","Domain")))</f>
        <v/>
      </c>
      <c r="F8716">
        <f>IF(B8716="","",IFERROR(RIGHT(B8716,LEN(B8716)-FIND("@",B8716)),""))</f>
        <v/>
      </c>
      <c r="G8716">
        <f>IF(D8716="KEEP",COUNTIF($D$2:D8716,"KEEP"),"")</f>
        <v/>
      </c>
      <c r="H8716">
        <f>IF(D8716="REMOVE",COUNTIF($D$2:D8716,"REMOVE"),"")</f>
        <v/>
      </c>
      <c r="I8716">
        <f>IF(E8716="Gmail",COUNTIF($E$2:E8716,"Gmail"),"")</f>
        <v/>
      </c>
      <c r="J8716">
        <f>IF(E8716="Outlook",COUNTIF($E$2:E8716,"Outlook"),"")</f>
        <v/>
      </c>
      <c r="K8716">
        <f>IF(E8716="Domain",COUNTIF($E$2:E8716,"Domain"),"")</f>
        <v/>
      </c>
    </row>
    <row r="8717">
      <c r="A8717" s="2" t="n"/>
      <c r="B8717">
        <f>LOWER(TRIM(A8717))</f>
        <v/>
      </c>
      <c r="C8717">
        <f>IF(B8717="","",IFERROR(INDEX('Bad Patterns'!$A$2:$A$120,MATCH(1,INDEX(--ISNUMBER(SEARCH('Bad Patterns'!$A$2:$A$120,B8717)),0),0)),""))</f>
        <v/>
      </c>
      <c r="D8717">
        <f>IF(B8717="","",IF(C8717&lt;&gt;"","REMOVE","KEEP"))</f>
        <v/>
      </c>
      <c r="E8717">
        <f>IF(D8717&lt;&gt;"KEEP","",IF(RIGHT(B8717,10)="@gmail.com","Gmail",IF(OR(RIGHT(B8717,12)="@outlook.com",RIGHT(B8717,12)="@hotmail.com",RIGHT(B8717,9)="@live.com"),"Outlook","Domain")))</f>
        <v/>
      </c>
      <c r="F8717">
        <f>IF(B8717="","",IFERROR(RIGHT(B8717,LEN(B8717)-FIND("@",B8717)),""))</f>
        <v/>
      </c>
      <c r="G8717">
        <f>IF(D8717="KEEP",COUNTIF($D$2:D8717,"KEEP"),"")</f>
        <v/>
      </c>
      <c r="H8717">
        <f>IF(D8717="REMOVE",COUNTIF($D$2:D8717,"REMOVE"),"")</f>
        <v/>
      </c>
      <c r="I8717">
        <f>IF(E8717="Gmail",COUNTIF($E$2:E8717,"Gmail"),"")</f>
        <v/>
      </c>
      <c r="J8717">
        <f>IF(E8717="Outlook",COUNTIF($E$2:E8717,"Outlook"),"")</f>
        <v/>
      </c>
      <c r="K8717">
        <f>IF(E8717="Domain",COUNTIF($E$2:E8717,"Domain"),"")</f>
        <v/>
      </c>
    </row>
    <row r="8718">
      <c r="A8718" s="2" t="n"/>
      <c r="B8718">
        <f>LOWER(TRIM(A8718))</f>
        <v/>
      </c>
      <c r="C8718">
        <f>IF(B8718="","",IFERROR(INDEX('Bad Patterns'!$A$2:$A$120,MATCH(1,INDEX(--ISNUMBER(SEARCH('Bad Patterns'!$A$2:$A$120,B8718)),0),0)),""))</f>
        <v/>
      </c>
      <c r="D8718">
        <f>IF(B8718="","",IF(C8718&lt;&gt;"","REMOVE","KEEP"))</f>
        <v/>
      </c>
      <c r="E8718">
        <f>IF(D8718&lt;&gt;"KEEP","",IF(RIGHT(B8718,10)="@gmail.com","Gmail",IF(OR(RIGHT(B8718,12)="@outlook.com",RIGHT(B8718,12)="@hotmail.com",RIGHT(B8718,9)="@live.com"),"Outlook","Domain")))</f>
        <v/>
      </c>
      <c r="F8718">
        <f>IF(B8718="","",IFERROR(RIGHT(B8718,LEN(B8718)-FIND("@",B8718)),""))</f>
        <v/>
      </c>
      <c r="G8718">
        <f>IF(D8718="KEEP",COUNTIF($D$2:D8718,"KEEP"),"")</f>
        <v/>
      </c>
      <c r="H8718">
        <f>IF(D8718="REMOVE",COUNTIF($D$2:D8718,"REMOVE"),"")</f>
        <v/>
      </c>
      <c r="I8718">
        <f>IF(E8718="Gmail",COUNTIF($E$2:E8718,"Gmail"),"")</f>
        <v/>
      </c>
      <c r="J8718">
        <f>IF(E8718="Outlook",COUNTIF($E$2:E8718,"Outlook"),"")</f>
        <v/>
      </c>
      <c r="K8718">
        <f>IF(E8718="Domain",COUNTIF($E$2:E8718,"Domain"),"")</f>
        <v/>
      </c>
    </row>
    <row r="8719">
      <c r="A8719" s="2" t="n"/>
      <c r="B8719">
        <f>LOWER(TRIM(A8719))</f>
        <v/>
      </c>
      <c r="C8719">
        <f>IF(B8719="","",IFERROR(INDEX('Bad Patterns'!$A$2:$A$120,MATCH(1,INDEX(--ISNUMBER(SEARCH('Bad Patterns'!$A$2:$A$120,B8719)),0),0)),""))</f>
        <v/>
      </c>
      <c r="D8719">
        <f>IF(B8719="","",IF(C8719&lt;&gt;"","REMOVE","KEEP"))</f>
        <v/>
      </c>
      <c r="E8719">
        <f>IF(D8719&lt;&gt;"KEEP","",IF(RIGHT(B8719,10)="@gmail.com","Gmail",IF(OR(RIGHT(B8719,12)="@outlook.com",RIGHT(B8719,12)="@hotmail.com",RIGHT(B8719,9)="@live.com"),"Outlook","Domain")))</f>
        <v/>
      </c>
      <c r="F8719">
        <f>IF(B8719="","",IFERROR(RIGHT(B8719,LEN(B8719)-FIND("@",B8719)),""))</f>
        <v/>
      </c>
      <c r="G8719">
        <f>IF(D8719="KEEP",COUNTIF($D$2:D8719,"KEEP"),"")</f>
        <v/>
      </c>
      <c r="H8719">
        <f>IF(D8719="REMOVE",COUNTIF($D$2:D8719,"REMOVE"),"")</f>
        <v/>
      </c>
      <c r="I8719">
        <f>IF(E8719="Gmail",COUNTIF($E$2:E8719,"Gmail"),"")</f>
        <v/>
      </c>
      <c r="J8719">
        <f>IF(E8719="Outlook",COUNTIF($E$2:E8719,"Outlook"),"")</f>
        <v/>
      </c>
      <c r="K8719">
        <f>IF(E8719="Domain",COUNTIF($E$2:E8719,"Domain"),"")</f>
        <v/>
      </c>
    </row>
    <row r="8720">
      <c r="A8720" s="2" t="n"/>
      <c r="B8720">
        <f>LOWER(TRIM(A8720))</f>
        <v/>
      </c>
      <c r="C8720">
        <f>IF(B8720="","",IFERROR(INDEX('Bad Patterns'!$A$2:$A$120,MATCH(1,INDEX(--ISNUMBER(SEARCH('Bad Patterns'!$A$2:$A$120,B8720)),0),0)),""))</f>
        <v/>
      </c>
      <c r="D8720">
        <f>IF(B8720="","",IF(C8720&lt;&gt;"","REMOVE","KEEP"))</f>
        <v/>
      </c>
      <c r="E8720">
        <f>IF(D8720&lt;&gt;"KEEP","",IF(RIGHT(B8720,10)="@gmail.com","Gmail",IF(OR(RIGHT(B8720,12)="@outlook.com",RIGHT(B8720,12)="@hotmail.com",RIGHT(B8720,9)="@live.com"),"Outlook","Domain")))</f>
        <v/>
      </c>
      <c r="F8720">
        <f>IF(B8720="","",IFERROR(RIGHT(B8720,LEN(B8720)-FIND("@",B8720)),""))</f>
        <v/>
      </c>
      <c r="G8720">
        <f>IF(D8720="KEEP",COUNTIF($D$2:D8720,"KEEP"),"")</f>
        <v/>
      </c>
      <c r="H8720">
        <f>IF(D8720="REMOVE",COUNTIF($D$2:D8720,"REMOVE"),"")</f>
        <v/>
      </c>
      <c r="I8720">
        <f>IF(E8720="Gmail",COUNTIF($E$2:E8720,"Gmail"),"")</f>
        <v/>
      </c>
      <c r="J8720">
        <f>IF(E8720="Outlook",COUNTIF($E$2:E8720,"Outlook"),"")</f>
        <v/>
      </c>
      <c r="K8720">
        <f>IF(E8720="Domain",COUNTIF($E$2:E8720,"Domain"),"")</f>
        <v/>
      </c>
    </row>
    <row r="8721">
      <c r="A8721" s="2" t="n"/>
      <c r="B8721">
        <f>LOWER(TRIM(A8721))</f>
        <v/>
      </c>
      <c r="C8721">
        <f>IF(B8721="","",IFERROR(INDEX('Bad Patterns'!$A$2:$A$120,MATCH(1,INDEX(--ISNUMBER(SEARCH('Bad Patterns'!$A$2:$A$120,B8721)),0),0)),""))</f>
        <v/>
      </c>
      <c r="D8721">
        <f>IF(B8721="","",IF(C8721&lt;&gt;"","REMOVE","KEEP"))</f>
        <v/>
      </c>
      <c r="E8721">
        <f>IF(D8721&lt;&gt;"KEEP","",IF(RIGHT(B8721,10)="@gmail.com","Gmail",IF(OR(RIGHT(B8721,12)="@outlook.com",RIGHT(B8721,12)="@hotmail.com",RIGHT(B8721,9)="@live.com"),"Outlook","Domain")))</f>
        <v/>
      </c>
      <c r="F8721">
        <f>IF(B8721="","",IFERROR(RIGHT(B8721,LEN(B8721)-FIND("@",B8721)),""))</f>
        <v/>
      </c>
      <c r="G8721">
        <f>IF(D8721="KEEP",COUNTIF($D$2:D8721,"KEEP"),"")</f>
        <v/>
      </c>
      <c r="H8721">
        <f>IF(D8721="REMOVE",COUNTIF($D$2:D8721,"REMOVE"),"")</f>
        <v/>
      </c>
      <c r="I8721">
        <f>IF(E8721="Gmail",COUNTIF($E$2:E8721,"Gmail"),"")</f>
        <v/>
      </c>
      <c r="J8721">
        <f>IF(E8721="Outlook",COUNTIF($E$2:E8721,"Outlook"),"")</f>
        <v/>
      </c>
      <c r="K8721">
        <f>IF(E8721="Domain",COUNTIF($E$2:E8721,"Domain"),"")</f>
        <v/>
      </c>
    </row>
    <row r="8722">
      <c r="A8722" s="2" t="n"/>
      <c r="B8722">
        <f>LOWER(TRIM(A8722))</f>
        <v/>
      </c>
      <c r="C8722">
        <f>IF(B8722="","",IFERROR(INDEX('Bad Patterns'!$A$2:$A$120,MATCH(1,INDEX(--ISNUMBER(SEARCH('Bad Patterns'!$A$2:$A$120,B8722)),0),0)),""))</f>
        <v/>
      </c>
      <c r="D8722">
        <f>IF(B8722="","",IF(C8722&lt;&gt;"","REMOVE","KEEP"))</f>
        <v/>
      </c>
      <c r="E8722">
        <f>IF(D8722&lt;&gt;"KEEP","",IF(RIGHT(B8722,10)="@gmail.com","Gmail",IF(OR(RIGHT(B8722,12)="@outlook.com",RIGHT(B8722,12)="@hotmail.com",RIGHT(B8722,9)="@live.com"),"Outlook","Domain")))</f>
        <v/>
      </c>
      <c r="F8722">
        <f>IF(B8722="","",IFERROR(RIGHT(B8722,LEN(B8722)-FIND("@",B8722)),""))</f>
        <v/>
      </c>
      <c r="G8722">
        <f>IF(D8722="KEEP",COUNTIF($D$2:D8722,"KEEP"),"")</f>
        <v/>
      </c>
      <c r="H8722">
        <f>IF(D8722="REMOVE",COUNTIF($D$2:D8722,"REMOVE"),"")</f>
        <v/>
      </c>
      <c r="I8722">
        <f>IF(E8722="Gmail",COUNTIF($E$2:E8722,"Gmail"),"")</f>
        <v/>
      </c>
      <c r="J8722">
        <f>IF(E8722="Outlook",COUNTIF($E$2:E8722,"Outlook"),"")</f>
        <v/>
      </c>
      <c r="K8722">
        <f>IF(E8722="Domain",COUNTIF($E$2:E8722,"Domain"),"")</f>
        <v/>
      </c>
    </row>
    <row r="8723">
      <c r="A8723" s="2" t="n"/>
      <c r="B8723">
        <f>LOWER(TRIM(A8723))</f>
        <v/>
      </c>
      <c r="C8723">
        <f>IF(B8723="","",IFERROR(INDEX('Bad Patterns'!$A$2:$A$120,MATCH(1,INDEX(--ISNUMBER(SEARCH('Bad Patterns'!$A$2:$A$120,B8723)),0),0)),""))</f>
        <v/>
      </c>
      <c r="D8723">
        <f>IF(B8723="","",IF(C8723&lt;&gt;"","REMOVE","KEEP"))</f>
        <v/>
      </c>
      <c r="E8723">
        <f>IF(D8723&lt;&gt;"KEEP","",IF(RIGHT(B8723,10)="@gmail.com","Gmail",IF(OR(RIGHT(B8723,12)="@outlook.com",RIGHT(B8723,12)="@hotmail.com",RIGHT(B8723,9)="@live.com"),"Outlook","Domain")))</f>
        <v/>
      </c>
      <c r="F8723">
        <f>IF(B8723="","",IFERROR(RIGHT(B8723,LEN(B8723)-FIND("@",B8723)),""))</f>
        <v/>
      </c>
      <c r="G8723">
        <f>IF(D8723="KEEP",COUNTIF($D$2:D8723,"KEEP"),"")</f>
        <v/>
      </c>
      <c r="H8723">
        <f>IF(D8723="REMOVE",COUNTIF($D$2:D8723,"REMOVE"),"")</f>
        <v/>
      </c>
      <c r="I8723">
        <f>IF(E8723="Gmail",COUNTIF($E$2:E8723,"Gmail"),"")</f>
        <v/>
      </c>
      <c r="J8723">
        <f>IF(E8723="Outlook",COUNTIF($E$2:E8723,"Outlook"),"")</f>
        <v/>
      </c>
      <c r="K8723">
        <f>IF(E8723="Domain",COUNTIF($E$2:E8723,"Domain"),"")</f>
        <v/>
      </c>
    </row>
    <row r="8724">
      <c r="A8724" s="2" t="n"/>
      <c r="B8724">
        <f>LOWER(TRIM(A8724))</f>
        <v/>
      </c>
      <c r="C8724">
        <f>IF(B8724="","",IFERROR(INDEX('Bad Patterns'!$A$2:$A$120,MATCH(1,INDEX(--ISNUMBER(SEARCH('Bad Patterns'!$A$2:$A$120,B8724)),0),0)),""))</f>
        <v/>
      </c>
      <c r="D8724">
        <f>IF(B8724="","",IF(C8724&lt;&gt;"","REMOVE","KEEP"))</f>
        <v/>
      </c>
      <c r="E8724">
        <f>IF(D8724&lt;&gt;"KEEP","",IF(RIGHT(B8724,10)="@gmail.com","Gmail",IF(OR(RIGHT(B8724,12)="@outlook.com",RIGHT(B8724,12)="@hotmail.com",RIGHT(B8724,9)="@live.com"),"Outlook","Domain")))</f>
        <v/>
      </c>
      <c r="F8724">
        <f>IF(B8724="","",IFERROR(RIGHT(B8724,LEN(B8724)-FIND("@",B8724)),""))</f>
        <v/>
      </c>
      <c r="G8724">
        <f>IF(D8724="KEEP",COUNTIF($D$2:D8724,"KEEP"),"")</f>
        <v/>
      </c>
      <c r="H8724">
        <f>IF(D8724="REMOVE",COUNTIF($D$2:D8724,"REMOVE"),"")</f>
        <v/>
      </c>
      <c r="I8724">
        <f>IF(E8724="Gmail",COUNTIF($E$2:E8724,"Gmail"),"")</f>
        <v/>
      </c>
      <c r="J8724">
        <f>IF(E8724="Outlook",COUNTIF($E$2:E8724,"Outlook"),"")</f>
        <v/>
      </c>
      <c r="K8724">
        <f>IF(E8724="Domain",COUNTIF($E$2:E8724,"Domain"),"")</f>
        <v/>
      </c>
    </row>
    <row r="8725">
      <c r="A8725" s="2" t="n"/>
      <c r="B8725">
        <f>LOWER(TRIM(A8725))</f>
        <v/>
      </c>
      <c r="C8725">
        <f>IF(B8725="","",IFERROR(INDEX('Bad Patterns'!$A$2:$A$120,MATCH(1,INDEX(--ISNUMBER(SEARCH('Bad Patterns'!$A$2:$A$120,B8725)),0),0)),""))</f>
        <v/>
      </c>
      <c r="D8725">
        <f>IF(B8725="","",IF(C8725&lt;&gt;"","REMOVE","KEEP"))</f>
        <v/>
      </c>
      <c r="E8725">
        <f>IF(D8725&lt;&gt;"KEEP","",IF(RIGHT(B8725,10)="@gmail.com","Gmail",IF(OR(RIGHT(B8725,12)="@outlook.com",RIGHT(B8725,12)="@hotmail.com",RIGHT(B8725,9)="@live.com"),"Outlook","Domain")))</f>
        <v/>
      </c>
      <c r="F8725">
        <f>IF(B8725="","",IFERROR(RIGHT(B8725,LEN(B8725)-FIND("@",B8725)),""))</f>
        <v/>
      </c>
      <c r="G8725">
        <f>IF(D8725="KEEP",COUNTIF($D$2:D8725,"KEEP"),"")</f>
        <v/>
      </c>
      <c r="H8725">
        <f>IF(D8725="REMOVE",COUNTIF($D$2:D8725,"REMOVE"),"")</f>
        <v/>
      </c>
      <c r="I8725">
        <f>IF(E8725="Gmail",COUNTIF($E$2:E8725,"Gmail"),"")</f>
        <v/>
      </c>
      <c r="J8725">
        <f>IF(E8725="Outlook",COUNTIF($E$2:E8725,"Outlook"),"")</f>
        <v/>
      </c>
      <c r="K8725">
        <f>IF(E8725="Domain",COUNTIF($E$2:E8725,"Domain"),"")</f>
        <v/>
      </c>
    </row>
    <row r="8726">
      <c r="A8726" s="2" t="n"/>
      <c r="B8726">
        <f>LOWER(TRIM(A8726))</f>
        <v/>
      </c>
      <c r="C8726">
        <f>IF(B8726="","",IFERROR(INDEX('Bad Patterns'!$A$2:$A$120,MATCH(1,INDEX(--ISNUMBER(SEARCH('Bad Patterns'!$A$2:$A$120,B8726)),0),0)),""))</f>
        <v/>
      </c>
      <c r="D8726">
        <f>IF(B8726="","",IF(C8726&lt;&gt;"","REMOVE","KEEP"))</f>
        <v/>
      </c>
      <c r="E8726">
        <f>IF(D8726&lt;&gt;"KEEP","",IF(RIGHT(B8726,10)="@gmail.com","Gmail",IF(OR(RIGHT(B8726,12)="@outlook.com",RIGHT(B8726,12)="@hotmail.com",RIGHT(B8726,9)="@live.com"),"Outlook","Domain")))</f>
        <v/>
      </c>
      <c r="F8726">
        <f>IF(B8726="","",IFERROR(RIGHT(B8726,LEN(B8726)-FIND("@",B8726)),""))</f>
        <v/>
      </c>
      <c r="G8726">
        <f>IF(D8726="KEEP",COUNTIF($D$2:D8726,"KEEP"),"")</f>
        <v/>
      </c>
      <c r="H8726">
        <f>IF(D8726="REMOVE",COUNTIF($D$2:D8726,"REMOVE"),"")</f>
        <v/>
      </c>
      <c r="I8726">
        <f>IF(E8726="Gmail",COUNTIF($E$2:E8726,"Gmail"),"")</f>
        <v/>
      </c>
      <c r="J8726">
        <f>IF(E8726="Outlook",COUNTIF($E$2:E8726,"Outlook"),"")</f>
        <v/>
      </c>
      <c r="K8726">
        <f>IF(E8726="Domain",COUNTIF($E$2:E8726,"Domain"),"")</f>
        <v/>
      </c>
    </row>
    <row r="8727">
      <c r="A8727" s="2" t="n"/>
      <c r="B8727">
        <f>LOWER(TRIM(A8727))</f>
        <v/>
      </c>
      <c r="C8727">
        <f>IF(B8727="","",IFERROR(INDEX('Bad Patterns'!$A$2:$A$120,MATCH(1,INDEX(--ISNUMBER(SEARCH('Bad Patterns'!$A$2:$A$120,B8727)),0),0)),""))</f>
        <v/>
      </c>
      <c r="D8727">
        <f>IF(B8727="","",IF(C8727&lt;&gt;"","REMOVE","KEEP"))</f>
        <v/>
      </c>
      <c r="E8727">
        <f>IF(D8727&lt;&gt;"KEEP","",IF(RIGHT(B8727,10)="@gmail.com","Gmail",IF(OR(RIGHT(B8727,12)="@outlook.com",RIGHT(B8727,12)="@hotmail.com",RIGHT(B8727,9)="@live.com"),"Outlook","Domain")))</f>
        <v/>
      </c>
      <c r="F8727">
        <f>IF(B8727="","",IFERROR(RIGHT(B8727,LEN(B8727)-FIND("@",B8727)),""))</f>
        <v/>
      </c>
      <c r="G8727">
        <f>IF(D8727="KEEP",COUNTIF($D$2:D8727,"KEEP"),"")</f>
        <v/>
      </c>
      <c r="H8727">
        <f>IF(D8727="REMOVE",COUNTIF($D$2:D8727,"REMOVE"),"")</f>
        <v/>
      </c>
      <c r="I8727">
        <f>IF(E8727="Gmail",COUNTIF($E$2:E8727,"Gmail"),"")</f>
        <v/>
      </c>
      <c r="J8727">
        <f>IF(E8727="Outlook",COUNTIF($E$2:E8727,"Outlook"),"")</f>
        <v/>
      </c>
      <c r="K8727">
        <f>IF(E8727="Domain",COUNTIF($E$2:E8727,"Domain"),"")</f>
        <v/>
      </c>
    </row>
    <row r="8728">
      <c r="A8728" s="2" t="n"/>
      <c r="B8728">
        <f>LOWER(TRIM(A8728))</f>
        <v/>
      </c>
      <c r="C8728">
        <f>IF(B8728="","",IFERROR(INDEX('Bad Patterns'!$A$2:$A$120,MATCH(1,INDEX(--ISNUMBER(SEARCH('Bad Patterns'!$A$2:$A$120,B8728)),0),0)),""))</f>
        <v/>
      </c>
      <c r="D8728">
        <f>IF(B8728="","",IF(C8728&lt;&gt;"","REMOVE","KEEP"))</f>
        <v/>
      </c>
      <c r="E8728">
        <f>IF(D8728&lt;&gt;"KEEP","",IF(RIGHT(B8728,10)="@gmail.com","Gmail",IF(OR(RIGHT(B8728,12)="@outlook.com",RIGHT(B8728,12)="@hotmail.com",RIGHT(B8728,9)="@live.com"),"Outlook","Domain")))</f>
        <v/>
      </c>
      <c r="F8728">
        <f>IF(B8728="","",IFERROR(RIGHT(B8728,LEN(B8728)-FIND("@",B8728)),""))</f>
        <v/>
      </c>
      <c r="G8728">
        <f>IF(D8728="KEEP",COUNTIF($D$2:D8728,"KEEP"),"")</f>
        <v/>
      </c>
      <c r="H8728">
        <f>IF(D8728="REMOVE",COUNTIF($D$2:D8728,"REMOVE"),"")</f>
        <v/>
      </c>
      <c r="I8728">
        <f>IF(E8728="Gmail",COUNTIF($E$2:E8728,"Gmail"),"")</f>
        <v/>
      </c>
      <c r="J8728">
        <f>IF(E8728="Outlook",COUNTIF($E$2:E8728,"Outlook"),"")</f>
        <v/>
      </c>
      <c r="K8728">
        <f>IF(E8728="Domain",COUNTIF($E$2:E8728,"Domain"),"")</f>
        <v/>
      </c>
    </row>
    <row r="8729">
      <c r="A8729" s="2" t="n"/>
      <c r="B8729">
        <f>LOWER(TRIM(A8729))</f>
        <v/>
      </c>
      <c r="C8729">
        <f>IF(B8729="","",IFERROR(INDEX('Bad Patterns'!$A$2:$A$120,MATCH(1,INDEX(--ISNUMBER(SEARCH('Bad Patterns'!$A$2:$A$120,B8729)),0),0)),""))</f>
        <v/>
      </c>
      <c r="D8729">
        <f>IF(B8729="","",IF(C8729&lt;&gt;"","REMOVE","KEEP"))</f>
        <v/>
      </c>
      <c r="E8729">
        <f>IF(D8729&lt;&gt;"KEEP","",IF(RIGHT(B8729,10)="@gmail.com","Gmail",IF(OR(RIGHT(B8729,12)="@outlook.com",RIGHT(B8729,12)="@hotmail.com",RIGHT(B8729,9)="@live.com"),"Outlook","Domain")))</f>
        <v/>
      </c>
      <c r="F8729">
        <f>IF(B8729="","",IFERROR(RIGHT(B8729,LEN(B8729)-FIND("@",B8729)),""))</f>
        <v/>
      </c>
      <c r="G8729">
        <f>IF(D8729="KEEP",COUNTIF($D$2:D8729,"KEEP"),"")</f>
        <v/>
      </c>
      <c r="H8729">
        <f>IF(D8729="REMOVE",COUNTIF($D$2:D8729,"REMOVE"),"")</f>
        <v/>
      </c>
      <c r="I8729">
        <f>IF(E8729="Gmail",COUNTIF($E$2:E8729,"Gmail"),"")</f>
        <v/>
      </c>
      <c r="J8729">
        <f>IF(E8729="Outlook",COUNTIF($E$2:E8729,"Outlook"),"")</f>
        <v/>
      </c>
      <c r="K8729">
        <f>IF(E8729="Domain",COUNTIF($E$2:E8729,"Domain"),"")</f>
        <v/>
      </c>
    </row>
    <row r="8730">
      <c r="A8730" s="2" t="n"/>
      <c r="B8730">
        <f>LOWER(TRIM(A8730))</f>
        <v/>
      </c>
      <c r="C8730">
        <f>IF(B8730="","",IFERROR(INDEX('Bad Patterns'!$A$2:$A$120,MATCH(1,INDEX(--ISNUMBER(SEARCH('Bad Patterns'!$A$2:$A$120,B8730)),0),0)),""))</f>
        <v/>
      </c>
      <c r="D8730">
        <f>IF(B8730="","",IF(C8730&lt;&gt;"","REMOVE","KEEP"))</f>
        <v/>
      </c>
      <c r="E8730">
        <f>IF(D8730&lt;&gt;"KEEP","",IF(RIGHT(B8730,10)="@gmail.com","Gmail",IF(OR(RIGHT(B8730,12)="@outlook.com",RIGHT(B8730,12)="@hotmail.com",RIGHT(B8730,9)="@live.com"),"Outlook","Domain")))</f>
        <v/>
      </c>
      <c r="F8730">
        <f>IF(B8730="","",IFERROR(RIGHT(B8730,LEN(B8730)-FIND("@",B8730)),""))</f>
        <v/>
      </c>
      <c r="G8730">
        <f>IF(D8730="KEEP",COUNTIF($D$2:D8730,"KEEP"),"")</f>
        <v/>
      </c>
      <c r="H8730">
        <f>IF(D8730="REMOVE",COUNTIF($D$2:D8730,"REMOVE"),"")</f>
        <v/>
      </c>
      <c r="I8730">
        <f>IF(E8730="Gmail",COUNTIF($E$2:E8730,"Gmail"),"")</f>
        <v/>
      </c>
      <c r="J8730">
        <f>IF(E8730="Outlook",COUNTIF($E$2:E8730,"Outlook"),"")</f>
        <v/>
      </c>
      <c r="K8730">
        <f>IF(E8730="Domain",COUNTIF($E$2:E8730,"Domain"),"")</f>
        <v/>
      </c>
    </row>
    <row r="8731">
      <c r="A8731" s="2" t="n"/>
      <c r="B8731">
        <f>LOWER(TRIM(A8731))</f>
        <v/>
      </c>
      <c r="C8731">
        <f>IF(B8731="","",IFERROR(INDEX('Bad Patterns'!$A$2:$A$120,MATCH(1,INDEX(--ISNUMBER(SEARCH('Bad Patterns'!$A$2:$A$120,B8731)),0),0)),""))</f>
        <v/>
      </c>
      <c r="D8731">
        <f>IF(B8731="","",IF(C8731&lt;&gt;"","REMOVE","KEEP"))</f>
        <v/>
      </c>
      <c r="E8731">
        <f>IF(D8731&lt;&gt;"KEEP","",IF(RIGHT(B8731,10)="@gmail.com","Gmail",IF(OR(RIGHT(B8731,12)="@outlook.com",RIGHT(B8731,12)="@hotmail.com",RIGHT(B8731,9)="@live.com"),"Outlook","Domain")))</f>
        <v/>
      </c>
      <c r="F8731">
        <f>IF(B8731="","",IFERROR(RIGHT(B8731,LEN(B8731)-FIND("@",B8731)),""))</f>
        <v/>
      </c>
      <c r="G8731">
        <f>IF(D8731="KEEP",COUNTIF($D$2:D8731,"KEEP"),"")</f>
        <v/>
      </c>
      <c r="H8731">
        <f>IF(D8731="REMOVE",COUNTIF($D$2:D8731,"REMOVE"),"")</f>
        <v/>
      </c>
      <c r="I8731">
        <f>IF(E8731="Gmail",COUNTIF($E$2:E8731,"Gmail"),"")</f>
        <v/>
      </c>
      <c r="J8731">
        <f>IF(E8731="Outlook",COUNTIF($E$2:E8731,"Outlook"),"")</f>
        <v/>
      </c>
      <c r="K8731">
        <f>IF(E8731="Domain",COUNTIF($E$2:E8731,"Domain"),"")</f>
        <v/>
      </c>
    </row>
    <row r="8732">
      <c r="A8732" s="2" t="n"/>
      <c r="B8732">
        <f>LOWER(TRIM(A8732))</f>
        <v/>
      </c>
      <c r="C8732">
        <f>IF(B8732="","",IFERROR(INDEX('Bad Patterns'!$A$2:$A$120,MATCH(1,INDEX(--ISNUMBER(SEARCH('Bad Patterns'!$A$2:$A$120,B8732)),0),0)),""))</f>
        <v/>
      </c>
      <c r="D8732">
        <f>IF(B8732="","",IF(C8732&lt;&gt;"","REMOVE","KEEP"))</f>
        <v/>
      </c>
      <c r="E8732">
        <f>IF(D8732&lt;&gt;"KEEP","",IF(RIGHT(B8732,10)="@gmail.com","Gmail",IF(OR(RIGHT(B8732,12)="@outlook.com",RIGHT(B8732,12)="@hotmail.com",RIGHT(B8732,9)="@live.com"),"Outlook","Domain")))</f>
        <v/>
      </c>
      <c r="F8732">
        <f>IF(B8732="","",IFERROR(RIGHT(B8732,LEN(B8732)-FIND("@",B8732)),""))</f>
        <v/>
      </c>
      <c r="G8732">
        <f>IF(D8732="KEEP",COUNTIF($D$2:D8732,"KEEP"),"")</f>
        <v/>
      </c>
      <c r="H8732">
        <f>IF(D8732="REMOVE",COUNTIF($D$2:D8732,"REMOVE"),"")</f>
        <v/>
      </c>
      <c r="I8732">
        <f>IF(E8732="Gmail",COUNTIF($E$2:E8732,"Gmail"),"")</f>
        <v/>
      </c>
      <c r="J8732">
        <f>IF(E8732="Outlook",COUNTIF($E$2:E8732,"Outlook"),"")</f>
        <v/>
      </c>
      <c r="K8732">
        <f>IF(E8732="Domain",COUNTIF($E$2:E8732,"Domain"),"")</f>
        <v/>
      </c>
    </row>
    <row r="8733">
      <c r="A8733" s="2" t="n"/>
      <c r="B8733">
        <f>LOWER(TRIM(A8733))</f>
        <v/>
      </c>
      <c r="C8733">
        <f>IF(B8733="","",IFERROR(INDEX('Bad Patterns'!$A$2:$A$120,MATCH(1,INDEX(--ISNUMBER(SEARCH('Bad Patterns'!$A$2:$A$120,B8733)),0),0)),""))</f>
        <v/>
      </c>
      <c r="D8733">
        <f>IF(B8733="","",IF(C8733&lt;&gt;"","REMOVE","KEEP"))</f>
        <v/>
      </c>
      <c r="E8733">
        <f>IF(D8733&lt;&gt;"KEEP","",IF(RIGHT(B8733,10)="@gmail.com","Gmail",IF(OR(RIGHT(B8733,12)="@outlook.com",RIGHT(B8733,12)="@hotmail.com",RIGHT(B8733,9)="@live.com"),"Outlook","Domain")))</f>
        <v/>
      </c>
      <c r="F8733">
        <f>IF(B8733="","",IFERROR(RIGHT(B8733,LEN(B8733)-FIND("@",B8733)),""))</f>
        <v/>
      </c>
      <c r="G8733">
        <f>IF(D8733="KEEP",COUNTIF($D$2:D8733,"KEEP"),"")</f>
        <v/>
      </c>
      <c r="H8733">
        <f>IF(D8733="REMOVE",COUNTIF($D$2:D8733,"REMOVE"),"")</f>
        <v/>
      </c>
      <c r="I8733">
        <f>IF(E8733="Gmail",COUNTIF($E$2:E8733,"Gmail"),"")</f>
        <v/>
      </c>
      <c r="J8733">
        <f>IF(E8733="Outlook",COUNTIF($E$2:E8733,"Outlook"),"")</f>
        <v/>
      </c>
      <c r="K8733">
        <f>IF(E8733="Domain",COUNTIF($E$2:E8733,"Domain"),"")</f>
        <v/>
      </c>
    </row>
    <row r="8734">
      <c r="A8734" s="2" t="n"/>
      <c r="B8734">
        <f>LOWER(TRIM(A8734))</f>
        <v/>
      </c>
      <c r="C8734">
        <f>IF(B8734="","",IFERROR(INDEX('Bad Patterns'!$A$2:$A$120,MATCH(1,INDEX(--ISNUMBER(SEARCH('Bad Patterns'!$A$2:$A$120,B8734)),0),0)),""))</f>
        <v/>
      </c>
      <c r="D8734">
        <f>IF(B8734="","",IF(C8734&lt;&gt;"","REMOVE","KEEP"))</f>
        <v/>
      </c>
      <c r="E8734">
        <f>IF(D8734&lt;&gt;"KEEP","",IF(RIGHT(B8734,10)="@gmail.com","Gmail",IF(OR(RIGHT(B8734,12)="@outlook.com",RIGHT(B8734,12)="@hotmail.com",RIGHT(B8734,9)="@live.com"),"Outlook","Domain")))</f>
        <v/>
      </c>
      <c r="F8734">
        <f>IF(B8734="","",IFERROR(RIGHT(B8734,LEN(B8734)-FIND("@",B8734)),""))</f>
        <v/>
      </c>
      <c r="G8734">
        <f>IF(D8734="KEEP",COUNTIF($D$2:D8734,"KEEP"),"")</f>
        <v/>
      </c>
      <c r="H8734">
        <f>IF(D8734="REMOVE",COUNTIF($D$2:D8734,"REMOVE"),"")</f>
        <v/>
      </c>
      <c r="I8734">
        <f>IF(E8734="Gmail",COUNTIF($E$2:E8734,"Gmail"),"")</f>
        <v/>
      </c>
      <c r="J8734">
        <f>IF(E8734="Outlook",COUNTIF($E$2:E8734,"Outlook"),"")</f>
        <v/>
      </c>
      <c r="K8734">
        <f>IF(E8734="Domain",COUNTIF($E$2:E8734,"Domain"),"")</f>
        <v/>
      </c>
    </row>
    <row r="8735">
      <c r="A8735" s="2" t="n"/>
      <c r="B8735">
        <f>LOWER(TRIM(A8735))</f>
        <v/>
      </c>
      <c r="C8735">
        <f>IF(B8735="","",IFERROR(INDEX('Bad Patterns'!$A$2:$A$120,MATCH(1,INDEX(--ISNUMBER(SEARCH('Bad Patterns'!$A$2:$A$120,B8735)),0),0)),""))</f>
        <v/>
      </c>
      <c r="D8735">
        <f>IF(B8735="","",IF(C8735&lt;&gt;"","REMOVE","KEEP"))</f>
        <v/>
      </c>
      <c r="E8735">
        <f>IF(D8735&lt;&gt;"KEEP","",IF(RIGHT(B8735,10)="@gmail.com","Gmail",IF(OR(RIGHT(B8735,12)="@outlook.com",RIGHT(B8735,12)="@hotmail.com",RIGHT(B8735,9)="@live.com"),"Outlook","Domain")))</f>
        <v/>
      </c>
      <c r="F8735">
        <f>IF(B8735="","",IFERROR(RIGHT(B8735,LEN(B8735)-FIND("@",B8735)),""))</f>
        <v/>
      </c>
      <c r="G8735">
        <f>IF(D8735="KEEP",COUNTIF($D$2:D8735,"KEEP"),"")</f>
        <v/>
      </c>
      <c r="H8735">
        <f>IF(D8735="REMOVE",COUNTIF($D$2:D8735,"REMOVE"),"")</f>
        <v/>
      </c>
      <c r="I8735">
        <f>IF(E8735="Gmail",COUNTIF($E$2:E8735,"Gmail"),"")</f>
        <v/>
      </c>
      <c r="J8735">
        <f>IF(E8735="Outlook",COUNTIF($E$2:E8735,"Outlook"),"")</f>
        <v/>
      </c>
      <c r="K8735">
        <f>IF(E8735="Domain",COUNTIF($E$2:E8735,"Domain"),"")</f>
        <v/>
      </c>
    </row>
    <row r="8736">
      <c r="A8736" s="2" t="n"/>
      <c r="B8736">
        <f>LOWER(TRIM(A8736))</f>
        <v/>
      </c>
      <c r="C8736">
        <f>IF(B8736="","",IFERROR(INDEX('Bad Patterns'!$A$2:$A$120,MATCH(1,INDEX(--ISNUMBER(SEARCH('Bad Patterns'!$A$2:$A$120,B8736)),0),0)),""))</f>
        <v/>
      </c>
      <c r="D8736">
        <f>IF(B8736="","",IF(C8736&lt;&gt;"","REMOVE","KEEP"))</f>
        <v/>
      </c>
      <c r="E8736">
        <f>IF(D8736&lt;&gt;"KEEP","",IF(RIGHT(B8736,10)="@gmail.com","Gmail",IF(OR(RIGHT(B8736,12)="@outlook.com",RIGHT(B8736,12)="@hotmail.com",RIGHT(B8736,9)="@live.com"),"Outlook","Domain")))</f>
        <v/>
      </c>
      <c r="F8736">
        <f>IF(B8736="","",IFERROR(RIGHT(B8736,LEN(B8736)-FIND("@",B8736)),""))</f>
        <v/>
      </c>
      <c r="G8736">
        <f>IF(D8736="KEEP",COUNTIF($D$2:D8736,"KEEP"),"")</f>
        <v/>
      </c>
      <c r="H8736">
        <f>IF(D8736="REMOVE",COUNTIF($D$2:D8736,"REMOVE"),"")</f>
        <v/>
      </c>
      <c r="I8736">
        <f>IF(E8736="Gmail",COUNTIF($E$2:E8736,"Gmail"),"")</f>
        <v/>
      </c>
      <c r="J8736">
        <f>IF(E8736="Outlook",COUNTIF($E$2:E8736,"Outlook"),"")</f>
        <v/>
      </c>
      <c r="K8736">
        <f>IF(E8736="Domain",COUNTIF($E$2:E8736,"Domain"),"")</f>
        <v/>
      </c>
    </row>
    <row r="8737">
      <c r="A8737" s="2" t="n"/>
      <c r="B8737">
        <f>LOWER(TRIM(A8737))</f>
        <v/>
      </c>
      <c r="C8737">
        <f>IF(B8737="","",IFERROR(INDEX('Bad Patterns'!$A$2:$A$120,MATCH(1,INDEX(--ISNUMBER(SEARCH('Bad Patterns'!$A$2:$A$120,B8737)),0),0)),""))</f>
        <v/>
      </c>
      <c r="D8737">
        <f>IF(B8737="","",IF(C8737&lt;&gt;"","REMOVE","KEEP"))</f>
        <v/>
      </c>
      <c r="E8737">
        <f>IF(D8737&lt;&gt;"KEEP","",IF(RIGHT(B8737,10)="@gmail.com","Gmail",IF(OR(RIGHT(B8737,12)="@outlook.com",RIGHT(B8737,12)="@hotmail.com",RIGHT(B8737,9)="@live.com"),"Outlook","Domain")))</f>
        <v/>
      </c>
      <c r="F8737">
        <f>IF(B8737="","",IFERROR(RIGHT(B8737,LEN(B8737)-FIND("@",B8737)),""))</f>
        <v/>
      </c>
      <c r="G8737">
        <f>IF(D8737="KEEP",COUNTIF($D$2:D8737,"KEEP"),"")</f>
        <v/>
      </c>
      <c r="H8737">
        <f>IF(D8737="REMOVE",COUNTIF($D$2:D8737,"REMOVE"),"")</f>
        <v/>
      </c>
      <c r="I8737">
        <f>IF(E8737="Gmail",COUNTIF($E$2:E8737,"Gmail"),"")</f>
        <v/>
      </c>
      <c r="J8737">
        <f>IF(E8737="Outlook",COUNTIF($E$2:E8737,"Outlook"),"")</f>
        <v/>
      </c>
      <c r="K8737">
        <f>IF(E8737="Domain",COUNTIF($E$2:E8737,"Domain"),"")</f>
        <v/>
      </c>
    </row>
    <row r="8738">
      <c r="A8738" s="2" t="n"/>
      <c r="B8738">
        <f>LOWER(TRIM(A8738))</f>
        <v/>
      </c>
      <c r="C8738">
        <f>IF(B8738="","",IFERROR(INDEX('Bad Patterns'!$A$2:$A$120,MATCH(1,INDEX(--ISNUMBER(SEARCH('Bad Patterns'!$A$2:$A$120,B8738)),0),0)),""))</f>
        <v/>
      </c>
      <c r="D8738">
        <f>IF(B8738="","",IF(C8738&lt;&gt;"","REMOVE","KEEP"))</f>
        <v/>
      </c>
      <c r="E8738">
        <f>IF(D8738&lt;&gt;"KEEP","",IF(RIGHT(B8738,10)="@gmail.com","Gmail",IF(OR(RIGHT(B8738,12)="@outlook.com",RIGHT(B8738,12)="@hotmail.com",RIGHT(B8738,9)="@live.com"),"Outlook","Domain")))</f>
        <v/>
      </c>
      <c r="F8738">
        <f>IF(B8738="","",IFERROR(RIGHT(B8738,LEN(B8738)-FIND("@",B8738)),""))</f>
        <v/>
      </c>
      <c r="G8738">
        <f>IF(D8738="KEEP",COUNTIF($D$2:D8738,"KEEP"),"")</f>
        <v/>
      </c>
      <c r="H8738">
        <f>IF(D8738="REMOVE",COUNTIF($D$2:D8738,"REMOVE"),"")</f>
        <v/>
      </c>
      <c r="I8738">
        <f>IF(E8738="Gmail",COUNTIF($E$2:E8738,"Gmail"),"")</f>
        <v/>
      </c>
      <c r="J8738">
        <f>IF(E8738="Outlook",COUNTIF($E$2:E8738,"Outlook"),"")</f>
        <v/>
      </c>
      <c r="K8738">
        <f>IF(E8738="Domain",COUNTIF($E$2:E8738,"Domain"),"")</f>
        <v/>
      </c>
    </row>
    <row r="8739">
      <c r="A8739" s="2" t="n"/>
      <c r="B8739">
        <f>LOWER(TRIM(A8739))</f>
        <v/>
      </c>
      <c r="C8739">
        <f>IF(B8739="","",IFERROR(INDEX('Bad Patterns'!$A$2:$A$120,MATCH(1,INDEX(--ISNUMBER(SEARCH('Bad Patterns'!$A$2:$A$120,B8739)),0),0)),""))</f>
        <v/>
      </c>
      <c r="D8739">
        <f>IF(B8739="","",IF(C8739&lt;&gt;"","REMOVE","KEEP"))</f>
        <v/>
      </c>
      <c r="E8739">
        <f>IF(D8739&lt;&gt;"KEEP","",IF(RIGHT(B8739,10)="@gmail.com","Gmail",IF(OR(RIGHT(B8739,12)="@outlook.com",RIGHT(B8739,12)="@hotmail.com",RIGHT(B8739,9)="@live.com"),"Outlook","Domain")))</f>
        <v/>
      </c>
      <c r="F8739">
        <f>IF(B8739="","",IFERROR(RIGHT(B8739,LEN(B8739)-FIND("@",B8739)),""))</f>
        <v/>
      </c>
      <c r="G8739">
        <f>IF(D8739="KEEP",COUNTIF($D$2:D8739,"KEEP"),"")</f>
        <v/>
      </c>
      <c r="H8739">
        <f>IF(D8739="REMOVE",COUNTIF($D$2:D8739,"REMOVE"),"")</f>
        <v/>
      </c>
      <c r="I8739">
        <f>IF(E8739="Gmail",COUNTIF($E$2:E8739,"Gmail"),"")</f>
        <v/>
      </c>
      <c r="J8739">
        <f>IF(E8739="Outlook",COUNTIF($E$2:E8739,"Outlook"),"")</f>
        <v/>
      </c>
      <c r="K8739">
        <f>IF(E8739="Domain",COUNTIF($E$2:E8739,"Domain"),"")</f>
        <v/>
      </c>
    </row>
    <row r="8740">
      <c r="A8740" s="2" t="n"/>
      <c r="B8740">
        <f>LOWER(TRIM(A8740))</f>
        <v/>
      </c>
      <c r="C8740">
        <f>IF(B8740="","",IFERROR(INDEX('Bad Patterns'!$A$2:$A$120,MATCH(1,INDEX(--ISNUMBER(SEARCH('Bad Patterns'!$A$2:$A$120,B8740)),0),0)),""))</f>
        <v/>
      </c>
      <c r="D8740">
        <f>IF(B8740="","",IF(C8740&lt;&gt;"","REMOVE","KEEP"))</f>
        <v/>
      </c>
      <c r="E8740">
        <f>IF(D8740&lt;&gt;"KEEP","",IF(RIGHT(B8740,10)="@gmail.com","Gmail",IF(OR(RIGHT(B8740,12)="@outlook.com",RIGHT(B8740,12)="@hotmail.com",RIGHT(B8740,9)="@live.com"),"Outlook","Domain")))</f>
        <v/>
      </c>
      <c r="F8740">
        <f>IF(B8740="","",IFERROR(RIGHT(B8740,LEN(B8740)-FIND("@",B8740)),""))</f>
        <v/>
      </c>
      <c r="G8740">
        <f>IF(D8740="KEEP",COUNTIF($D$2:D8740,"KEEP"),"")</f>
        <v/>
      </c>
      <c r="H8740">
        <f>IF(D8740="REMOVE",COUNTIF($D$2:D8740,"REMOVE"),"")</f>
        <v/>
      </c>
      <c r="I8740">
        <f>IF(E8740="Gmail",COUNTIF($E$2:E8740,"Gmail"),"")</f>
        <v/>
      </c>
      <c r="J8740">
        <f>IF(E8740="Outlook",COUNTIF($E$2:E8740,"Outlook"),"")</f>
        <v/>
      </c>
      <c r="K8740">
        <f>IF(E8740="Domain",COUNTIF($E$2:E8740,"Domain"),"")</f>
        <v/>
      </c>
    </row>
    <row r="8741">
      <c r="A8741" s="2" t="n"/>
      <c r="B8741">
        <f>LOWER(TRIM(A8741))</f>
        <v/>
      </c>
      <c r="C8741">
        <f>IF(B8741="","",IFERROR(INDEX('Bad Patterns'!$A$2:$A$120,MATCH(1,INDEX(--ISNUMBER(SEARCH('Bad Patterns'!$A$2:$A$120,B8741)),0),0)),""))</f>
        <v/>
      </c>
      <c r="D8741">
        <f>IF(B8741="","",IF(C8741&lt;&gt;"","REMOVE","KEEP"))</f>
        <v/>
      </c>
      <c r="E8741">
        <f>IF(D8741&lt;&gt;"KEEP","",IF(RIGHT(B8741,10)="@gmail.com","Gmail",IF(OR(RIGHT(B8741,12)="@outlook.com",RIGHT(B8741,12)="@hotmail.com",RIGHT(B8741,9)="@live.com"),"Outlook","Domain")))</f>
        <v/>
      </c>
      <c r="F8741">
        <f>IF(B8741="","",IFERROR(RIGHT(B8741,LEN(B8741)-FIND("@",B8741)),""))</f>
        <v/>
      </c>
      <c r="G8741">
        <f>IF(D8741="KEEP",COUNTIF($D$2:D8741,"KEEP"),"")</f>
        <v/>
      </c>
      <c r="H8741">
        <f>IF(D8741="REMOVE",COUNTIF($D$2:D8741,"REMOVE"),"")</f>
        <v/>
      </c>
      <c r="I8741">
        <f>IF(E8741="Gmail",COUNTIF($E$2:E8741,"Gmail"),"")</f>
        <v/>
      </c>
      <c r="J8741">
        <f>IF(E8741="Outlook",COUNTIF($E$2:E8741,"Outlook"),"")</f>
        <v/>
      </c>
      <c r="K8741">
        <f>IF(E8741="Domain",COUNTIF($E$2:E8741,"Domain"),"")</f>
        <v/>
      </c>
    </row>
    <row r="8742">
      <c r="A8742" s="2" t="n"/>
      <c r="B8742">
        <f>LOWER(TRIM(A8742))</f>
        <v/>
      </c>
      <c r="C8742">
        <f>IF(B8742="","",IFERROR(INDEX('Bad Patterns'!$A$2:$A$120,MATCH(1,INDEX(--ISNUMBER(SEARCH('Bad Patterns'!$A$2:$A$120,B8742)),0),0)),""))</f>
        <v/>
      </c>
      <c r="D8742">
        <f>IF(B8742="","",IF(C8742&lt;&gt;"","REMOVE","KEEP"))</f>
        <v/>
      </c>
      <c r="E8742">
        <f>IF(D8742&lt;&gt;"KEEP","",IF(RIGHT(B8742,10)="@gmail.com","Gmail",IF(OR(RIGHT(B8742,12)="@outlook.com",RIGHT(B8742,12)="@hotmail.com",RIGHT(B8742,9)="@live.com"),"Outlook","Domain")))</f>
        <v/>
      </c>
      <c r="F8742">
        <f>IF(B8742="","",IFERROR(RIGHT(B8742,LEN(B8742)-FIND("@",B8742)),""))</f>
        <v/>
      </c>
      <c r="G8742">
        <f>IF(D8742="KEEP",COUNTIF($D$2:D8742,"KEEP"),"")</f>
        <v/>
      </c>
      <c r="H8742">
        <f>IF(D8742="REMOVE",COUNTIF($D$2:D8742,"REMOVE"),"")</f>
        <v/>
      </c>
      <c r="I8742">
        <f>IF(E8742="Gmail",COUNTIF($E$2:E8742,"Gmail"),"")</f>
        <v/>
      </c>
      <c r="J8742">
        <f>IF(E8742="Outlook",COUNTIF($E$2:E8742,"Outlook"),"")</f>
        <v/>
      </c>
      <c r="K8742">
        <f>IF(E8742="Domain",COUNTIF($E$2:E8742,"Domain"),"")</f>
        <v/>
      </c>
    </row>
    <row r="8743">
      <c r="A8743" s="2" t="n"/>
      <c r="B8743">
        <f>LOWER(TRIM(A8743))</f>
        <v/>
      </c>
      <c r="C8743">
        <f>IF(B8743="","",IFERROR(INDEX('Bad Patterns'!$A$2:$A$120,MATCH(1,INDEX(--ISNUMBER(SEARCH('Bad Patterns'!$A$2:$A$120,B8743)),0),0)),""))</f>
        <v/>
      </c>
      <c r="D8743">
        <f>IF(B8743="","",IF(C8743&lt;&gt;"","REMOVE","KEEP"))</f>
        <v/>
      </c>
      <c r="E8743">
        <f>IF(D8743&lt;&gt;"KEEP","",IF(RIGHT(B8743,10)="@gmail.com","Gmail",IF(OR(RIGHT(B8743,12)="@outlook.com",RIGHT(B8743,12)="@hotmail.com",RIGHT(B8743,9)="@live.com"),"Outlook","Domain")))</f>
        <v/>
      </c>
      <c r="F8743">
        <f>IF(B8743="","",IFERROR(RIGHT(B8743,LEN(B8743)-FIND("@",B8743)),""))</f>
        <v/>
      </c>
      <c r="G8743">
        <f>IF(D8743="KEEP",COUNTIF($D$2:D8743,"KEEP"),"")</f>
        <v/>
      </c>
      <c r="H8743">
        <f>IF(D8743="REMOVE",COUNTIF($D$2:D8743,"REMOVE"),"")</f>
        <v/>
      </c>
      <c r="I8743">
        <f>IF(E8743="Gmail",COUNTIF($E$2:E8743,"Gmail"),"")</f>
        <v/>
      </c>
      <c r="J8743">
        <f>IF(E8743="Outlook",COUNTIF($E$2:E8743,"Outlook"),"")</f>
        <v/>
      </c>
      <c r="K8743">
        <f>IF(E8743="Domain",COUNTIF($E$2:E8743,"Domain"),"")</f>
        <v/>
      </c>
    </row>
    <row r="8744">
      <c r="A8744" s="2" t="n"/>
      <c r="B8744">
        <f>LOWER(TRIM(A8744))</f>
        <v/>
      </c>
      <c r="C8744">
        <f>IF(B8744="","",IFERROR(INDEX('Bad Patterns'!$A$2:$A$120,MATCH(1,INDEX(--ISNUMBER(SEARCH('Bad Patterns'!$A$2:$A$120,B8744)),0),0)),""))</f>
        <v/>
      </c>
      <c r="D8744">
        <f>IF(B8744="","",IF(C8744&lt;&gt;"","REMOVE","KEEP"))</f>
        <v/>
      </c>
      <c r="E8744">
        <f>IF(D8744&lt;&gt;"KEEP","",IF(RIGHT(B8744,10)="@gmail.com","Gmail",IF(OR(RIGHT(B8744,12)="@outlook.com",RIGHT(B8744,12)="@hotmail.com",RIGHT(B8744,9)="@live.com"),"Outlook","Domain")))</f>
        <v/>
      </c>
      <c r="F8744">
        <f>IF(B8744="","",IFERROR(RIGHT(B8744,LEN(B8744)-FIND("@",B8744)),""))</f>
        <v/>
      </c>
      <c r="G8744">
        <f>IF(D8744="KEEP",COUNTIF($D$2:D8744,"KEEP"),"")</f>
        <v/>
      </c>
      <c r="H8744">
        <f>IF(D8744="REMOVE",COUNTIF($D$2:D8744,"REMOVE"),"")</f>
        <v/>
      </c>
      <c r="I8744">
        <f>IF(E8744="Gmail",COUNTIF($E$2:E8744,"Gmail"),"")</f>
        <v/>
      </c>
      <c r="J8744">
        <f>IF(E8744="Outlook",COUNTIF($E$2:E8744,"Outlook"),"")</f>
        <v/>
      </c>
      <c r="K8744">
        <f>IF(E8744="Domain",COUNTIF($E$2:E8744,"Domain"),"")</f>
        <v/>
      </c>
    </row>
    <row r="8745">
      <c r="A8745" s="2" t="n"/>
      <c r="B8745">
        <f>LOWER(TRIM(A8745))</f>
        <v/>
      </c>
      <c r="C8745">
        <f>IF(B8745="","",IFERROR(INDEX('Bad Patterns'!$A$2:$A$120,MATCH(1,INDEX(--ISNUMBER(SEARCH('Bad Patterns'!$A$2:$A$120,B8745)),0),0)),""))</f>
        <v/>
      </c>
      <c r="D8745">
        <f>IF(B8745="","",IF(C8745&lt;&gt;"","REMOVE","KEEP"))</f>
        <v/>
      </c>
      <c r="E8745">
        <f>IF(D8745&lt;&gt;"KEEP","",IF(RIGHT(B8745,10)="@gmail.com","Gmail",IF(OR(RIGHT(B8745,12)="@outlook.com",RIGHT(B8745,12)="@hotmail.com",RIGHT(B8745,9)="@live.com"),"Outlook","Domain")))</f>
        <v/>
      </c>
      <c r="F8745">
        <f>IF(B8745="","",IFERROR(RIGHT(B8745,LEN(B8745)-FIND("@",B8745)),""))</f>
        <v/>
      </c>
      <c r="G8745">
        <f>IF(D8745="KEEP",COUNTIF($D$2:D8745,"KEEP"),"")</f>
        <v/>
      </c>
      <c r="H8745">
        <f>IF(D8745="REMOVE",COUNTIF($D$2:D8745,"REMOVE"),"")</f>
        <v/>
      </c>
      <c r="I8745">
        <f>IF(E8745="Gmail",COUNTIF($E$2:E8745,"Gmail"),"")</f>
        <v/>
      </c>
      <c r="J8745">
        <f>IF(E8745="Outlook",COUNTIF($E$2:E8745,"Outlook"),"")</f>
        <v/>
      </c>
      <c r="K8745">
        <f>IF(E8745="Domain",COUNTIF($E$2:E8745,"Domain"),"")</f>
        <v/>
      </c>
    </row>
    <row r="8746">
      <c r="A8746" s="2" t="n"/>
      <c r="B8746">
        <f>LOWER(TRIM(A8746))</f>
        <v/>
      </c>
      <c r="C8746">
        <f>IF(B8746="","",IFERROR(INDEX('Bad Patterns'!$A$2:$A$120,MATCH(1,INDEX(--ISNUMBER(SEARCH('Bad Patterns'!$A$2:$A$120,B8746)),0),0)),""))</f>
        <v/>
      </c>
      <c r="D8746">
        <f>IF(B8746="","",IF(C8746&lt;&gt;"","REMOVE","KEEP"))</f>
        <v/>
      </c>
      <c r="E8746">
        <f>IF(D8746&lt;&gt;"KEEP","",IF(RIGHT(B8746,10)="@gmail.com","Gmail",IF(OR(RIGHT(B8746,12)="@outlook.com",RIGHT(B8746,12)="@hotmail.com",RIGHT(B8746,9)="@live.com"),"Outlook","Domain")))</f>
        <v/>
      </c>
      <c r="F8746">
        <f>IF(B8746="","",IFERROR(RIGHT(B8746,LEN(B8746)-FIND("@",B8746)),""))</f>
        <v/>
      </c>
      <c r="G8746">
        <f>IF(D8746="KEEP",COUNTIF($D$2:D8746,"KEEP"),"")</f>
        <v/>
      </c>
      <c r="H8746">
        <f>IF(D8746="REMOVE",COUNTIF($D$2:D8746,"REMOVE"),"")</f>
        <v/>
      </c>
      <c r="I8746">
        <f>IF(E8746="Gmail",COUNTIF($E$2:E8746,"Gmail"),"")</f>
        <v/>
      </c>
      <c r="J8746">
        <f>IF(E8746="Outlook",COUNTIF($E$2:E8746,"Outlook"),"")</f>
        <v/>
      </c>
      <c r="K8746">
        <f>IF(E8746="Domain",COUNTIF($E$2:E8746,"Domain"),"")</f>
        <v/>
      </c>
    </row>
    <row r="8747">
      <c r="A8747" s="2" t="n"/>
      <c r="B8747">
        <f>LOWER(TRIM(A8747))</f>
        <v/>
      </c>
      <c r="C8747">
        <f>IF(B8747="","",IFERROR(INDEX('Bad Patterns'!$A$2:$A$120,MATCH(1,INDEX(--ISNUMBER(SEARCH('Bad Patterns'!$A$2:$A$120,B8747)),0),0)),""))</f>
        <v/>
      </c>
      <c r="D8747">
        <f>IF(B8747="","",IF(C8747&lt;&gt;"","REMOVE","KEEP"))</f>
        <v/>
      </c>
      <c r="E8747">
        <f>IF(D8747&lt;&gt;"KEEP","",IF(RIGHT(B8747,10)="@gmail.com","Gmail",IF(OR(RIGHT(B8747,12)="@outlook.com",RIGHT(B8747,12)="@hotmail.com",RIGHT(B8747,9)="@live.com"),"Outlook","Domain")))</f>
        <v/>
      </c>
      <c r="F8747">
        <f>IF(B8747="","",IFERROR(RIGHT(B8747,LEN(B8747)-FIND("@",B8747)),""))</f>
        <v/>
      </c>
      <c r="G8747">
        <f>IF(D8747="KEEP",COUNTIF($D$2:D8747,"KEEP"),"")</f>
        <v/>
      </c>
      <c r="H8747">
        <f>IF(D8747="REMOVE",COUNTIF($D$2:D8747,"REMOVE"),"")</f>
        <v/>
      </c>
      <c r="I8747">
        <f>IF(E8747="Gmail",COUNTIF($E$2:E8747,"Gmail"),"")</f>
        <v/>
      </c>
      <c r="J8747">
        <f>IF(E8747="Outlook",COUNTIF($E$2:E8747,"Outlook"),"")</f>
        <v/>
      </c>
      <c r="K8747">
        <f>IF(E8747="Domain",COUNTIF($E$2:E8747,"Domain"),"")</f>
        <v/>
      </c>
    </row>
    <row r="8748">
      <c r="A8748" s="2" t="n"/>
      <c r="B8748">
        <f>LOWER(TRIM(A8748))</f>
        <v/>
      </c>
      <c r="C8748">
        <f>IF(B8748="","",IFERROR(INDEX('Bad Patterns'!$A$2:$A$120,MATCH(1,INDEX(--ISNUMBER(SEARCH('Bad Patterns'!$A$2:$A$120,B8748)),0),0)),""))</f>
        <v/>
      </c>
      <c r="D8748">
        <f>IF(B8748="","",IF(C8748&lt;&gt;"","REMOVE","KEEP"))</f>
        <v/>
      </c>
      <c r="E8748">
        <f>IF(D8748&lt;&gt;"KEEP","",IF(RIGHT(B8748,10)="@gmail.com","Gmail",IF(OR(RIGHT(B8748,12)="@outlook.com",RIGHT(B8748,12)="@hotmail.com",RIGHT(B8748,9)="@live.com"),"Outlook","Domain")))</f>
        <v/>
      </c>
      <c r="F8748">
        <f>IF(B8748="","",IFERROR(RIGHT(B8748,LEN(B8748)-FIND("@",B8748)),""))</f>
        <v/>
      </c>
      <c r="G8748">
        <f>IF(D8748="KEEP",COUNTIF($D$2:D8748,"KEEP"),"")</f>
        <v/>
      </c>
      <c r="H8748">
        <f>IF(D8748="REMOVE",COUNTIF($D$2:D8748,"REMOVE"),"")</f>
        <v/>
      </c>
      <c r="I8748">
        <f>IF(E8748="Gmail",COUNTIF($E$2:E8748,"Gmail"),"")</f>
        <v/>
      </c>
      <c r="J8748">
        <f>IF(E8748="Outlook",COUNTIF($E$2:E8748,"Outlook"),"")</f>
        <v/>
      </c>
      <c r="K8748">
        <f>IF(E8748="Domain",COUNTIF($E$2:E8748,"Domain"),"")</f>
        <v/>
      </c>
    </row>
    <row r="8749">
      <c r="A8749" s="2" t="n"/>
      <c r="B8749">
        <f>LOWER(TRIM(A8749))</f>
        <v/>
      </c>
      <c r="C8749">
        <f>IF(B8749="","",IFERROR(INDEX('Bad Patterns'!$A$2:$A$120,MATCH(1,INDEX(--ISNUMBER(SEARCH('Bad Patterns'!$A$2:$A$120,B8749)),0),0)),""))</f>
        <v/>
      </c>
      <c r="D8749">
        <f>IF(B8749="","",IF(C8749&lt;&gt;"","REMOVE","KEEP"))</f>
        <v/>
      </c>
      <c r="E8749">
        <f>IF(D8749&lt;&gt;"KEEP","",IF(RIGHT(B8749,10)="@gmail.com","Gmail",IF(OR(RIGHT(B8749,12)="@outlook.com",RIGHT(B8749,12)="@hotmail.com",RIGHT(B8749,9)="@live.com"),"Outlook","Domain")))</f>
        <v/>
      </c>
      <c r="F8749">
        <f>IF(B8749="","",IFERROR(RIGHT(B8749,LEN(B8749)-FIND("@",B8749)),""))</f>
        <v/>
      </c>
      <c r="G8749">
        <f>IF(D8749="KEEP",COUNTIF($D$2:D8749,"KEEP"),"")</f>
        <v/>
      </c>
      <c r="H8749">
        <f>IF(D8749="REMOVE",COUNTIF($D$2:D8749,"REMOVE"),"")</f>
        <v/>
      </c>
      <c r="I8749">
        <f>IF(E8749="Gmail",COUNTIF($E$2:E8749,"Gmail"),"")</f>
        <v/>
      </c>
      <c r="J8749">
        <f>IF(E8749="Outlook",COUNTIF($E$2:E8749,"Outlook"),"")</f>
        <v/>
      </c>
      <c r="K8749">
        <f>IF(E8749="Domain",COUNTIF($E$2:E8749,"Domain"),"")</f>
        <v/>
      </c>
    </row>
    <row r="8750">
      <c r="A8750" s="2" t="n"/>
      <c r="B8750">
        <f>LOWER(TRIM(A8750))</f>
        <v/>
      </c>
      <c r="C8750">
        <f>IF(B8750="","",IFERROR(INDEX('Bad Patterns'!$A$2:$A$120,MATCH(1,INDEX(--ISNUMBER(SEARCH('Bad Patterns'!$A$2:$A$120,B8750)),0),0)),""))</f>
        <v/>
      </c>
      <c r="D8750">
        <f>IF(B8750="","",IF(C8750&lt;&gt;"","REMOVE","KEEP"))</f>
        <v/>
      </c>
      <c r="E8750">
        <f>IF(D8750&lt;&gt;"KEEP","",IF(RIGHT(B8750,10)="@gmail.com","Gmail",IF(OR(RIGHT(B8750,12)="@outlook.com",RIGHT(B8750,12)="@hotmail.com",RIGHT(B8750,9)="@live.com"),"Outlook","Domain")))</f>
        <v/>
      </c>
      <c r="F8750">
        <f>IF(B8750="","",IFERROR(RIGHT(B8750,LEN(B8750)-FIND("@",B8750)),""))</f>
        <v/>
      </c>
      <c r="G8750">
        <f>IF(D8750="KEEP",COUNTIF($D$2:D8750,"KEEP"),"")</f>
        <v/>
      </c>
      <c r="H8750">
        <f>IF(D8750="REMOVE",COUNTIF($D$2:D8750,"REMOVE"),"")</f>
        <v/>
      </c>
      <c r="I8750">
        <f>IF(E8750="Gmail",COUNTIF($E$2:E8750,"Gmail"),"")</f>
        <v/>
      </c>
      <c r="J8750">
        <f>IF(E8750="Outlook",COUNTIF($E$2:E8750,"Outlook"),"")</f>
        <v/>
      </c>
      <c r="K8750">
        <f>IF(E8750="Domain",COUNTIF($E$2:E8750,"Domain"),"")</f>
        <v/>
      </c>
    </row>
    <row r="8751">
      <c r="A8751" s="2" t="n"/>
      <c r="B8751">
        <f>LOWER(TRIM(A8751))</f>
        <v/>
      </c>
      <c r="C8751">
        <f>IF(B8751="","",IFERROR(INDEX('Bad Patterns'!$A$2:$A$120,MATCH(1,INDEX(--ISNUMBER(SEARCH('Bad Patterns'!$A$2:$A$120,B8751)),0),0)),""))</f>
        <v/>
      </c>
      <c r="D8751">
        <f>IF(B8751="","",IF(C8751&lt;&gt;"","REMOVE","KEEP"))</f>
        <v/>
      </c>
      <c r="E8751">
        <f>IF(D8751&lt;&gt;"KEEP","",IF(RIGHT(B8751,10)="@gmail.com","Gmail",IF(OR(RIGHT(B8751,12)="@outlook.com",RIGHT(B8751,12)="@hotmail.com",RIGHT(B8751,9)="@live.com"),"Outlook","Domain")))</f>
        <v/>
      </c>
      <c r="F8751">
        <f>IF(B8751="","",IFERROR(RIGHT(B8751,LEN(B8751)-FIND("@",B8751)),""))</f>
        <v/>
      </c>
      <c r="G8751">
        <f>IF(D8751="KEEP",COUNTIF($D$2:D8751,"KEEP"),"")</f>
        <v/>
      </c>
      <c r="H8751">
        <f>IF(D8751="REMOVE",COUNTIF($D$2:D8751,"REMOVE"),"")</f>
        <v/>
      </c>
      <c r="I8751">
        <f>IF(E8751="Gmail",COUNTIF($E$2:E8751,"Gmail"),"")</f>
        <v/>
      </c>
      <c r="J8751">
        <f>IF(E8751="Outlook",COUNTIF($E$2:E8751,"Outlook"),"")</f>
        <v/>
      </c>
      <c r="K8751">
        <f>IF(E8751="Domain",COUNTIF($E$2:E8751,"Domain"),"")</f>
        <v/>
      </c>
    </row>
    <row r="8752">
      <c r="A8752" s="2" t="n"/>
      <c r="B8752">
        <f>LOWER(TRIM(A8752))</f>
        <v/>
      </c>
      <c r="C8752">
        <f>IF(B8752="","",IFERROR(INDEX('Bad Patterns'!$A$2:$A$120,MATCH(1,INDEX(--ISNUMBER(SEARCH('Bad Patterns'!$A$2:$A$120,B8752)),0),0)),""))</f>
        <v/>
      </c>
      <c r="D8752">
        <f>IF(B8752="","",IF(C8752&lt;&gt;"","REMOVE","KEEP"))</f>
        <v/>
      </c>
      <c r="E8752">
        <f>IF(D8752&lt;&gt;"KEEP","",IF(RIGHT(B8752,10)="@gmail.com","Gmail",IF(OR(RIGHT(B8752,12)="@outlook.com",RIGHT(B8752,12)="@hotmail.com",RIGHT(B8752,9)="@live.com"),"Outlook","Domain")))</f>
        <v/>
      </c>
      <c r="F8752">
        <f>IF(B8752="","",IFERROR(RIGHT(B8752,LEN(B8752)-FIND("@",B8752)),""))</f>
        <v/>
      </c>
      <c r="G8752">
        <f>IF(D8752="KEEP",COUNTIF($D$2:D8752,"KEEP"),"")</f>
        <v/>
      </c>
      <c r="H8752">
        <f>IF(D8752="REMOVE",COUNTIF($D$2:D8752,"REMOVE"),"")</f>
        <v/>
      </c>
      <c r="I8752">
        <f>IF(E8752="Gmail",COUNTIF($E$2:E8752,"Gmail"),"")</f>
        <v/>
      </c>
      <c r="J8752">
        <f>IF(E8752="Outlook",COUNTIF($E$2:E8752,"Outlook"),"")</f>
        <v/>
      </c>
      <c r="K8752">
        <f>IF(E8752="Domain",COUNTIF($E$2:E8752,"Domain"),"")</f>
        <v/>
      </c>
    </row>
    <row r="8753">
      <c r="A8753" s="2" t="n"/>
      <c r="B8753">
        <f>LOWER(TRIM(A8753))</f>
        <v/>
      </c>
      <c r="C8753">
        <f>IF(B8753="","",IFERROR(INDEX('Bad Patterns'!$A$2:$A$120,MATCH(1,INDEX(--ISNUMBER(SEARCH('Bad Patterns'!$A$2:$A$120,B8753)),0),0)),""))</f>
        <v/>
      </c>
      <c r="D8753">
        <f>IF(B8753="","",IF(C8753&lt;&gt;"","REMOVE","KEEP"))</f>
        <v/>
      </c>
      <c r="E8753">
        <f>IF(D8753&lt;&gt;"KEEP","",IF(RIGHT(B8753,10)="@gmail.com","Gmail",IF(OR(RIGHT(B8753,12)="@outlook.com",RIGHT(B8753,12)="@hotmail.com",RIGHT(B8753,9)="@live.com"),"Outlook","Domain")))</f>
        <v/>
      </c>
      <c r="F8753">
        <f>IF(B8753="","",IFERROR(RIGHT(B8753,LEN(B8753)-FIND("@",B8753)),""))</f>
        <v/>
      </c>
      <c r="G8753">
        <f>IF(D8753="KEEP",COUNTIF($D$2:D8753,"KEEP"),"")</f>
        <v/>
      </c>
      <c r="H8753">
        <f>IF(D8753="REMOVE",COUNTIF($D$2:D8753,"REMOVE"),"")</f>
        <v/>
      </c>
      <c r="I8753">
        <f>IF(E8753="Gmail",COUNTIF($E$2:E8753,"Gmail"),"")</f>
        <v/>
      </c>
      <c r="J8753">
        <f>IF(E8753="Outlook",COUNTIF($E$2:E8753,"Outlook"),"")</f>
        <v/>
      </c>
      <c r="K8753">
        <f>IF(E8753="Domain",COUNTIF($E$2:E8753,"Domain"),"")</f>
        <v/>
      </c>
    </row>
    <row r="8754">
      <c r="A8754" s="2" t="n"/>
      <c r="B8754">
        <f>LOWER(TRIM(A8754))</f>
        <v/>
      </c>
      <c r="C8754">
        <f>IF(B8754="","",IFERROR(INDEX('Bad Patterns'!$A$2:$A$120,MATCH(1,INDEX(--ISNUMBER(SEARCH('Bad Patterns'!$A$2:$A$120,B8754)),0),0)),""))</f>
        <v/>
      </c>
      <c r="D8754">
        <f>IF(B8754="","",IF(C8754&lt;&gt;"","REMOVE","KEEP"))</f>
        <v/>
      </c>
      <c r="E8754">
        <f>IF(D8754&lt;&gt;"KEEP","",IF(RIGHT(B8754,10)="@gmail.com","Gmail",IF(OR(RIGHT(B8754,12)="@outlook.com",RIGHT(B8754,12)="@hotmail.com",RIGHT(B8754,9)="@live.com"),"Outlook","Domain")))</f>
        <v/>
      </c>
      <c r="F8754">
        <f>IF(B8754="","",IFERROR(RIGHT(B8754,LEN(B8754)-FIND("@",B8754)),""))</f>
        <v/>
      </c>
      <c r="G8754">
        <f>IF(D8754="KEEP",COUNTIF($D$2:D8754,"KEEP"),"")</f>
        <v/>
      </c>
      <c r="H8754">
        <f>IF(D8754="REMOVE",COUNTIF($D$2:D8754,"REMOVE"),"")</f>
        <v/>
      </c>
      <c r="I8754">
        <f>IF(E8754="Gmail",COUNTIF($E$2:E8754,"Gmail"),"")</f>
        <v/>
      </c>
      <c r="J8754">
        <f>IF(E8754="Outlook",COUNTIF($E$2:E8754,"Outlook"),"")</f>
        <v/>
      </c>
      <c r="K8754">
        <f>IF(E8754="Domain",COUNTIF($E$2:E8754,"Domain"),"")</f>
        <v/>
      </c>
    </row>
    <row r="8755">
      <c r="A8755" s="2" t="n"/>
      <c r="B8755">
        <f>LOWER(TRIM(A8755))</f>
        <v/>
      </c>
      <c r="C8755">
        <f>IF(B8755="","",IFERROR(INDEX('Bad Patterns'!$A$2:$A$120,MATCH(1,INDEX(--ISNUMBER(SEARCH('Bad Patterns'!$A$2:$A$120,B8755)),0),0)),""))</f>
        <v/>
      </c>
      <c r="D8755">
        <f>IF(B8755="","",IF(C8755&lt;&gt;"","REMOVE","KEEP"))</f>
        <v/>
      </c>
      <c r="E8755">
        <f>IF(D8755&lt;&gt;"KEEP","",IF(RIGHT(B8755,10)="@gmail.com","Gmail",IF(OR(RIGHT(B8755,12)="@outlook.com",RIGHT(B8755,12)="@hotmail.com",RIGHT(B8755,9)="@live.com"),"Outlook","Domain")))</f>
        <v/>
      </c>
      <c r="F8755">
        <f>IF(B8755="","",IFERROR(RIGHT(B8755,LEN(B8755)-FIND("@",B8755)),""))</f>
        <v/>
      </c>
      <c r="G8755">
        <f>IF(D8755="KEEP",COUNTIF($D$2:D8755,"KEEP"),"")</f>
        <v/>
      </c>
      <c r="H8755">
        <f>IF(D8755="REMOVE",COUNTIF($D$2:D8755,"REMOVE"),"")</f>
        <v/>
      </c>
      <c r="I8755">
        <f>IF(E8755="Gmail",COUNTIF($E$2:E8755,"Gmail"),"")</f>
        <v/>
      </c>
      <c r="J8755">
        <f>IF(E8755="Outlook",COUNTIF($E$2:E8755,"Outlook"),"")</f>
        <v/>
      </c>
      <c r="K8755">
        <f>IF(E8755="Domain",COUNTIF($E$2:E8755,"Domain"),"")</f>
        <v/>
      </c>
    </row>
    <row r="8756">
      <c r="A8756" s="2" t="n"/>
      <c r="B8756">
        <f>LOWER(TRIM(A8756))</f>
        <v/>
      </c>
      <c r="C8756">
        <f>IF(B8756="","",IFERROR(INDEX('Bad Patterns'!$A$2:$A$120,MATCH(1,INDEX(--ISNUMBER(SEARCH('Bad Patterns'!$A$2:$A$120,B8756)),0),0)),""))</f>
        <v/>
      </c>
      <c r="D8756">
        <f>IF(B8756="","",IF(C8756&lt;&gt;"","REMOVE","KEEP"))</f>
        <v/>
      </c>
      <c r="E8756">
        <f>IF(D8756&lt;&gt;"KEEP","",IF(RIGHT(B8756,10)="@gmail.com","Gmail",IF(OR(RIGHT(B8756,12)="@outlook.com",RIGHT(B8756,12)="@hotmail.com",RIGHT(B8756,9)="@live.com"),"Outlook","Domain")))</f>
        <v/>
      </c>
      <c r="F8756">
        <f>IF(B8756="","",IFERROR(RIGHT(B8756,LEN(B8756)-FIND("@",B8756)),""))</f>
        <v/>
      </c>
      <c r="G8756">
        <f>IF(D8756="KEEP",COUNTIF($D$2:D8756,"KEEP"),"")</f>
        <v/>
      </c>
      <c r="H8756">
        <f>IF(D8756="REMOVE",COUNTIF($D$2:D8756,"REMOVE"),"")</f>
        <v/>
      </c>
      <c r="I8756">
        <f>IF(E8756="Gmail",COUNTIF($E$2:E8756,"Gmail"),"")</f>
        <v/>
      </c>
      <c r="J8756">
        <f>IF(E8756="Outlook",COUNTIF($E$2:E8756,"Outlook"),"")</f>
        <v/>
      </c>
      <c r="K8756">
        <f>IF(E8756="Domain",COUNTIF($E$2:E8756,"Domain"),"")</f>
        <v/>
      </c>
    </row>
    <row r="8757">
      <c r="A8757" s="2" t="n"/>
      <c r="B8757">
        <f>LOWER(TRIM(A8757))</f>
        <v/>
      </c>
      <c r="C8757">
        <f>IF(B8757="","",IFERROR(INDEX('Bad Patterns'!$A$2:$A$120,MATCH(1,INDEX(--ISNUMBER(SEARCH('Bad Patterns'!$A$2:$A$120,B8757)),0),0)),""))</f>
        <v/>
      </c>
      <c r="D8757">
        <f>IF(B8757="","",IF(C8757&lt;&gt;"","REMOVE","KEEP"))</f>
        <v/>
      </c>
      <c r="E8757">
        <f>IF(D8757&lt;&gt;"KEEP","",IF(RIGHT(B8757,10)="@gmail.com","Gmail",IF(OR(RIGHT(B8757,12)="@outlook.com",RIGHT(B8757,12)="@hotmail.com",RIGHT(B8757,9)="@live.com"),"Outlook","Domain")))</f>
        <v/>
      </c>
      <c r="F8757">
        <f>IF(B8757="","",IFERROR(RIGHT(B8757,LEN(B8757)-FIND("@",B8757)),""))</f>
        <v/>
      </c>
      <c r="G8757">
        <f>IF(D8757="KEEP",COUNTIF($D$2:D8757,"KEEP"),"")</f>
        <v/>
      </c>
      <c r="H8757">
        <f>IF(D8757="REMOVE",COUNTIF($D$2:D8757,"REMOVE"),"")</f>
        <v/>
      </c>
      <c r="I8757">
        <f>IF(E8757="Gmail",COUNTIF($E$2:E8757,"Gmail"),"")</f>
        <v/>
      </c>
      <c r="J8757">
        <f>IF(E8757="Outlook",COUNTIF($E$2:E8757,"Outlook"),"")</f>
        <v/>
      </c>
      <c r="K8757">
        <f>IF(E8757="Domain",COUNTIF($E$2:E8757,"Domain"),"")</f>
        <v/>
      </c>
    </row>
    <row r="8758">
      <c r="A8758" s="2" t="n"/>
      <c r="B8758">
        <f>LOWER(TRIM(A8758))</f>
        <v/>
      </c>
      <c r="C8758">
        <f>IF(B8758="","",IFERROR(INDEX('Bad Patterns'!$A$2:$A$120,MATCH(1,INDEX(--ISNUMBER(SEARCH('Bad Patterns'!$A$2:$A$120,B8758)),0),0)),""))</f>
        <v/>
      </c>
      <c r="D8758">
        <f>IF(B8758="","",IF(C8758&lt;&gt;"","REMOVE","KEEP"))</f>
        <v/>
      </c>
      <c r="E8758">
        <f>IF(D8758&lt;&gt;"KEEP","",IF(RIGHT(B8758,10)="@gmail.com","Gmail",IF(OR(RIGHT(B8758,12)="@outlook.com",RIGHT(B8758,12)="@hotmail.com",RIGHT(B8758,9)="@live.com"),"Outlook","Domain")))</f>
        <v/>
      </c>
      <c r="F8758">
        <f>IF(B8758="","",IFERROR(RIGHT(B8758,LEN(B8758)-FIND("@",B8758)),""))</f>
        <v/>
      </c>
      <c r="G8758">
        <f>IF(D8758="KEEP",COUNTIF($D$2:D8758,"KEEP"),"")</f>
        <v/>
      </c>
      <c r="H8758">
        <f>IF(D8758="REMOVE",COUNTIF($D$2:D8758,"REMOVE"),"")</f>
        <v/>
      </c>
      <c r="I8758">
        <f>IF(E8758="Gmail",COUNTIF($E$2:E8758,"Gmail"),"")</f>
        <v/>
      </c>
      <c r="J8758">
        <f>IF(E8758="Outlook",COUNTIF($E$2:E8758,"Outlook"),"")</f>
        <v/>
      </c>
      <c r="K8758">
        <f>IF(E8758="Domain",COUNTIF($E$2:E8758,"Domain"),"")</f>
        <v/>
      </c>
    </row>
    <row r="8759">
      <c r="A8759" s="2" t="n"/>
      <c r="B8759">
        <f>LOWER(TRIM(A8759))</f>
        <v/>
      </c>
      <c r="C8759">
        <f>IF(B8759="","",IFERROR(INDEX('Bad Patterns'!$A$2:$A$120,MATCH(1,INDEX(--ISNUMBER(SEARCH('Bad Patterns'!$A$2:$A$120,B8759)),0),0)),""))</f>
        <v/>
      </c>
      <c r="D8759">
        <f>IF(B8759="","",IF(C8759&lt;&gt;"","REMOVE","KEEP"))</f>
        <v/>
      </c>
      <c r="E8759">
        <f>IF(D8759&lt;&gt;"KEEP","",IF(RIGHT(B8759,10)="@gmail.com","Gmail",IF(OR(RIGHT(B8759,12)="@outlook.com",RIGHT(B8759,12)="@hotmail.com",RIGHT(B8759,9)="@live.com"),"Outlook","Domain")))</f>
        <v/>
      </c>
      <c r="F8759">
        <f>IF(B8759="","",IFERROR(RIGHT(B8759,LEN(B8759)-FIND("@",B8759)),""))</f>
        <v/>
      </c>
      <c r="G8759">
        <f>IF(D8759="KEEP",COUNTIF($D$2:D8759,"KEEP"),"")</f>
        <v/>
      </c>
      <c r="H8759">
        <f>IF(D8759="REMOVE",COUNTIF($D$2:D8759,"REMOVE"),"")</f>
        <v/>
      </c>
      <c r="I8759">
        <f>IF(E8759="Gmail",COUNTIF($E$2:E8759,"Gmail"),"")</f>
        <v/>
      </c>
      <c r="J8759">
        <f>IF(E8759="Outlook",COUNTIF($E$2:E8759,"Outlook"),"")</f>
        <v/>
      </c>
      <c r="K8759">
        <f>IF(E8759="Domain",COUNTIF($E$2:E8759,"Domain"),"")</f>
        <v/>
      </c>
    </row>
    <row r="8760">
      <c r="A8760" s="2" t="n"/>
      <c r="B8760">
        <f>LOWER(TRIM(A8760))</f>
        <v/>
      </c>
      <c r="C8760">
        <f>IF(B8760="","",IFERROR(INDEX('Bad Patterns'!$A$2:$A$120,MATCH(1,INDEX(--ISNUMBER(SEARCH('Bad Patterns'!$A$2:$A$120,B8760)),0),0)),""))</f>
        <v/>
      </c>
      <c r="D8760">
        <f>IF(B8760="","",IF(C8760&lt;&gt;"","REMOVE","KEEP"))</f>
        <v/>
      </c>
      <c r="E8760">
        <f>IF(D8760&lt;&gt;"KEEP","",IF(RIGHT(B8760,10)="@gmail.com","Gmail",IF(OR(RIGHT(B8760,12)="@outlook.com",RIGHT(B8760,12)="@hotmail.com",RIGHT(B8760,9)="@live.com"),"Outlook","Domain")))</f>
        <v/>
      </c>
      <c r="F8760">
        <f>IF(B8760="","",IFERROR(RIGHT(B8760,LEN(B8760)-FIND("@",B8760)),""))</f>
        <v/>
      </c>
      <c r="G8760">
        <f>IF(D8760="KEEP",COUNTIF($D$2:D8760,"KEEP"),"")</f>
        <v/>
      </c>
      <c r="H8760">
        <f>IF(D8760="REMOVE",COUNTIF($D$2:D8760,"REMOVE"),"")</f>
        <v/>
      </c>
      <c r="I8760">
        <f>IF(E8760="Gmail",COUNTIF($E$2:E8760,"Gmail"),"")</f>
        <v/>
      </c>
      <c r="J8760">
        <f>IF(E8760="Outlook",COUNTIF($E$2:E8760,"Outlook"),"")</f>
        <v/>
      </c>
      <c r="K8760">
        <f>IF(E8760="Domain",COUNTIF($E$2:E8760,"Domain"),"")</f>
        <v/>
      </c>
    </row>
    <row r="8761">
      <c r="A8761" s="2" t="n"/>
      <c r="B8761">
        <f>LOWER(TRIM(A8761))</f>
        <v/>
      </c>
      <c r="C8761">
        <f>IF(B8761="","",IFERROR(INDEX('Bad Patterns'!$A$2:$A$120,MATCH(1,INDEX(--ISNUMBER(SEARCH('Bad Patterns'!$A$2:$A$120,B8761)),0),0)),""))</f>
        <v/>
      </c>
      <c r="D8761">
        <f>IF(B8761="","",IF(C8761&lt;&gt;"","REMOVE","KEEP"))</f>
        <v/>
      </c>
      <c r="E8761">
        <f>IF(D8761&lt;&gt;"KEEP","",IF(RIGHT(B8761,10)="@gmail.com","Gmail",IF(OR(RIGHT(B8761,12)="@outlook.com",RIGHT(B8761,12)="@hotmail.com",RIGHT(B8761,9)="@live.com"),"Outlook","Domain")))</f>
        <v/>
      </c>
      <c r="F8761">
        <f>IF(B8761="","",IFERROR(RIGHT(B8761,LEN(B8761)-FIND("@",B8761)),""))</f>
        <v/>
      </c>
      <c r="G8761">
        <f>IF(D8761="KEEP",COUNTIF($D$2:D8761,"KEEP"),"")</f>
        <v/>
      </c>
      <c r="H8761">
        <f>IF(D8761="REMOVE",COUNTIF($D$2:D8761,"REMOVE"),"")</f>
        <v/>
      </c>
      <c r="I8761">
        <f>IF(E8761="Gmail",COUNTIF($E$2:E8761,"Gmail"),"")</f>
        <v/>
      </c>
      <c r="J8761">
        <f>IF(E8761="Outlook",COUNTIF($E$2:E8761,"Outlook"),"")</f>
        <v/>
      </c>
      <c r="K8761">
        <f>IF(E8761="Domain",COUNTIF($E$2:E8761,"Domain"),"")</f>
        <v/>
      </c>
    </row>
    <row r="8762">
      <c r="A8762" s="2" t="n"/>
      <c r="B8762">
        <f>LOWER(TRIM(A8762))</f>
        <v/>
      </c>
      <c r="C8762">
        <f>IF(B8762="","",IFERROR(INDEX('Bad Patterns'!$A$2:$A$120,MATCH(1,INDEX(--ISNUMBER(SEARCH('Bad Patterns'!$A$2:$A$120,B8762)),0),0)),""))</f>
        <v/>
      </c>
      <c r="D8762">
        <f>IF(B8762="","",IF(C8762&lt;&gt;"","REMOVE","KEEP"))</f>
        <v/>
      </c>
      <c r="E8762">
        <f>IF(D8762&lt;&gt;"KEEP","",IF(RIGHT(B8762,10)="@gmail.com","Gmail",IF(OR(RIGHT(B8762,12)="@outlook.com",RIGHT(B8762,12)="@hotmail.com",RIGHT(B8762,9)="@live.com"),"Outlook","Domain")))</f>
        <v/>
      </c>
      <c r="F8762">
        <f>IF(B8762="","",IFERROR(RIGHT(B8762,LEN(B8762)-FIND("@",B8762)),""))</f>
        <v/>
      </c>
      <c r="G8762">
        <f>IF(D8762="KEEP",COUNTIF($D$2:D8762,"KEEP"),"")</f>
        <v/>
      </c>
      <c r="H8762">
        <f>IF(D8762="REMOVE",COUNTIF($D$2:D8762,"REMOVE"),"")</f>
        <v/>
      </c>
      <c r="I8762">
        <f>IF(E8762="Gmail",COUNTIF($E$2:E8762,"Gmail"),"")</f>
        <v/>
      </c>
      <c r="J8762">
        <f>IF(E8762="Outlook",COUNTIF($E$2:E8762,"Outlook"),"")</f>
        <v/>
      </c>
      <c r="K8762">
        <f>IF(E8762="Domain",COUNTIF($E$2:E8762,"Domain"),"")</f>
        <v/>
      </c>
    </row>
    <row r="8763">
      <c r="A8763" s="2" t="n"/>
      <c r="B8763">
        <f>LOWER(TRIM(A8763))</f>
        <v/>
      </c>
      <c r="C8763">
        <f>IF(B8763="","",IFERROR(INDEX('Bad Patterns'!$A$2:$A$120,MATCH(1,INDEX(--ISNUMBER(SEARCH('Bad Patterns'!$A$2:$A$120,B8763)),0),0)),""))</f>
        <v/>
      </c>
      <c r="D8763">
        <f>IF(B8763="","",IF(C8763&lt;&gt;"","REMOVE","KEEP"))</f>
        <v/>
      </c>
      <c r="E8763">
        <f>IF(D8763&lt;&gt;"KEEP","",IF(RIGHT(B8763,10)="@gmail.com","Gmail",IF(OR(RIGHT(B8763,12)="@outlook.com",RIGHT(B8763,12)="@hotmail.com",RIGHT(B8763,9)="@live.com"),"Outlook","Domain")))</f>
        <v/>
      </c>
      <c r="F8763">
        <f>IF(B8763="","",IFERROR(RIGHT(B8763,LEN(B8763)-FIND("@",B8763)),""))</f>
        <v/>
      </c>
      <c r="G8763">
        <f>IF(D8763="KEEP",COUNTIF($D$2:D8763,"KEEP"),"")</f>
        <v/>
      </c>
      <c r="H8763">
        <f>IF(D8763="REMOVE",COUNTIF($D$2:D8763,"REMOVE"),"")</f>
        <v/>
      </c>
      <c r="I8763">
        <f>IF(E8763="Gmail",COUNTIF($E$2:E8763,"Gmail"),"")</f>
        <v/>
      </c>
      <c r="J8763">
        <f>IF(E8763="Outlook",COUNTIF($E$2:E8763,"Outlook"),"")</f>
        <v/>
      </c>
      <c r="K8763">
        <f>IF(E8763="Domain",COUNTIF($E$2:E8763,"Domain"),"")</f>
        <v/>
      </c>
    </row>
    <row r="8764">
      <c r="A8764" s="2" t="n"/>
      <c r="B8764">
        <f>LOWER(TRIM(A8764))</f>
        <v/>
      </c>
      <c r="C8764">
        <f>IF(B8764="","",IFERROR(INDEX('Bad Patterns'!$A$2:$A$120,MATCH(1,INDEX(--ISNUMBER(SEARCH('Bad Patterns'!$A$2:$A$120,B8764)),0),0)),""))</f>
        <v/>
      </c>
      <c r="D8764">
        <f>IF(B8764="","",IF(C8764&lt;&gt;"","REMOVE","KEEP"))</f>
        <v/>
      </c>
      <c r="E8764">
        <f>IF(D8764&lt;&gt;"KEEP","",IF(RIGHT(B8764,10)="@gmail.com","Gmail",IF(OR(RIGHT(B8764,12)="@outlook.com",RIGHT(B8764,12)="@hotmail.com",RIGHT(B8764,9)="@live.com"),"Outlook","Domain")))</f>
        <v/>
      </c>
      <c r="F8764">
        <f>IF(B8764="","",IFERROR(RIGHT(B8764,LEN(B8764)-FIND("@",B8764)),""))</f>
        <v/>
      </c>
      <c r="G8764">
        <f>IF(D8764="KEEP",COUNTIF($D$2:D8764,"KEEP"),"")</f>
        <v/>
      </c>
      <c r="H8764">
        <f>IF(D8764="REMOVE",COUNTIF($D$2:D8764,"REMOVE"),"")</f>
        <v/>
      </c>
      <c r="I8764">
        <f>IF(E8764="Gmail",COUNTIF($E$2:E8764,"Gmail"),"")</f>
        <v/>
      </c>
      <c r="J8764">
        <f>IF(E8764="Outlook",COUNTIF($E$2:E8764,"Outlook"),"")</f>
        <v/>
      </c>
      <c r="K8764">
        <f>IF(E8764="Domain",COUNTIF($E$2:E8764,"Domain"),"")</f>
        <v/>
      </c>
    </row>
    <row r="8765">
      <c r="A8765" s="2" t="n"/>
      <c r="B8765">
        <f>LOWER(TRIM(A8765))</f>
        <v/>
      </c>
      <c r="C8765">
        <f>IF(B8765="","",IFERROR(INDEX('Bad Patterns'!$A$2:$A$120,MATCH(1,INDEX(--ISNUMBER(SEARCH('Bad Patterns'!$A$2:$A$120,B8765)),0),0)),""))</f>
        <v/>
      </c>
      <c r="D8765">
        <f>IF(B8765="","",IF(C8765&lt;&gt;"","REMOVE","KEEP"))</f>
        <v/>
      </c>
      <c r="E8765">
        <f>IF(D8765&lt;&gt;"KEEP","",IF(RIGHT(B8765,10)="@gmail.com","Gmail",IF(OR(RIGHT(B8765,12)="@outlook.com",RIGHT(B8765,12)="@hotmail.com",RIGHT(B8765,9)="@live.com"),"Outlook","Domain")))</f>
        <v/>
      </c>
      <c r="F8765">
        <f>IF(B8765="","",IFERROR(RIGHT(B8765,LEN(B8765)-FIND("@",B8765)),""))</f>
        <v/>
      </c>
      <c r="G8765">
        <f>IF(D8765="KEEP",COUNTIF($D$2:D8765,"KEEP"),"")</f>
        <v/>
      </c>
      <c r="H8765">
        <f>IF(D8765="REMOVE",COUNTIF($D$2:D8765,"REMOVE"),"")</f>
        <v/>
      </c>
      <c r="I8765">
        <f>IF(E8765="Gmail",COUNTIF($E$2:E8765,"Gmail"),"")</f>
        <v/>
      </c>
      <c r="J8765">
        <f>IF(E8765="Outlook",COUNTIF($E$2:E8765,"Outlook"),"")</f>
        <v/>
      </c>
      <c r="K8765">
        <f>IF(E8765="Domain",COUNTIF($E$2:E8765,"Domain"),"")</f>
        <v/>
      </c>
    </row>
    <row r="8766">
      <c r="A8766" s="2" t="n"/>
      <c r="B8766">
        <f>LOWER(TRIM(A8766))</f>
        <v/>
      </c>
      <c r="C8766">
        <f>IF(B8766="","",IFERROR(INDEX('Bad Patterns'!$A$2:$A$120,MATCH(1,INDEX(--ISNUMBER(SEARCH('Bad Patterns'!$A$2:$A$120,B8766)),0),0)),""))</f>
        <v/>
      </c>
      <c r="D8766">
        <f>IF(B8766="","",IF(C8766&lt;&gt;"","REMOVE","KEEP"))</f>
        <v/>
      </c>
      <c r="E8766">
        <f>IF(D8766&lt;&gt;"KEEP","",IF(RIGHT(B8766,10)="@gmail.com","Gmail",IF(OR(RIGHT(B8766,12)="@outlook.com",RIGHT(B8766,12)="@hotmail.com",RIGHT(B8766,9)="@live.com"),"Outlook","Domain")))</f>
        <v/>
      </c>
      <c r="F8766">
        <f>IF(B8766="","",IFERROR(RIGHT(B8766,LEN(B8766)-FIND("@",B8766)),""))</f>
        <v/>
      </c>
      <c r="G8766">
        <f>IF(D8766="KEEP",COUNTIF($D$2:D8766,"KEEP"),"")</f>
        <v/>
      </c>
      <c r="H8766">
        <f>IF(D8766="REMOVE",COUNTIF($D$2:D8766,"REMOVE"),"")</f>
        <v/>
      </c>
      <c r="I8766">
        <f>IF(E8766="Gmail",COUNTIF($E$2:E8766,"Gmail"),"")</f>
        <v/>
      </c>
      <c r="J8766">
        <f>IF(E8766="Outlook",COUNTIF($E$2:E8766,"Outlook"),"")</f>
        <v/>
      </c>
      <c r="K8766">
        <f>IF(E8766="Domain",COUNTIF($E$2:E8766,"Domain"),"")</f>
        <v/>
      </c>
    </row>
    <row r="8767">
      <c r="A8767" s="2" t="n"/>
      <c r="B8767">
        <f>LOWER(TRIM(A8767))</f>
        <v/>
      </c>
      <c r="C8767">
        <f>IF(B8767="","",IFERROR(INDEX('Bad Patterns'!$A$2:$A$120,MATCH(1,INDEX(--ISNUMBER(SEARCH('Bad Patterns'!$A$2:$A$120,B8767)),0),0)),""))</f>
        <v/>
      </c>
      <c r="D8767">
        <f>IF(B8767="","",IF(C8767&lt;&gt;"","REMOVE","KEEP"))</f>
        <v/>
      </c>
      <c r="E8767">
        <f>IF(D8767&lt;&gt;"KEEP","",IF(RIGHT(B8767,10)="@gmail.com","Gmail",IF(OR(RIGHT(B8767,12)="@outlook.com",RIGHT(B8767,12)="@hotmail.com",RIGHT(B8767,9)="@live.com"),"Outlook","Domain")))</f>
        <v/>
      </c>
      <c r="F8767">
        <f>IF(B8767="","",IFERROR(RIGHT(B8767,LEN(B8767)-FIND("@",B8767)),""))</f>
        <v/>
      </c>
      <c r="G8767">
        <f>IF(D8767="KEEP",COUNTIF($D$2:D8767,"KEEP"),"")</f>
        <v/>
      </c>
      <c r="H8767">
        <f>IF(D8767="REMOVE",COUNTIF($D$2:D8767,"REMOVE"),"")</f>
        <v/>
      </c>
      <c r="I8767">
        <f>IF(E8767="Gmail",COUNTIF($E$2:E8767,"Gmail"),"")</f>
        <v/>
      </c>
      <c r="J8767">
        <f>IF(E8767="Outlook",COUNTIF($E$2:E8767,"Outlook"),"")</f>
        <v/>
      </c>
      <c r="K8767">
        <f>IF(E8767="Domain",COUNTIF($E$2:E8767,"Domain"),"")</f>
        <v/>
      </c>
    </row>
    <row r="8768">
      <c r="A8768" s="2" t="n"/>
      <c r="B8768">
        <f>LOWER(TRIM(A8768))</f>
        <v/>
      </c>
      <c r="C8768">
        <f>IF(B8768="","",IFERROR(INDEX('Bad Patterns'!$A$2:$A$120,MATCH(1,INDEX(--ISNUMBER(SEARCH('Bad Patterns'!$A$2:$A$120,B8768)),0),0)),""))</f>
        <v/>
      </c>
      <c r="D8768">
        <f>IF(B8768="","",IF(C8768&lt;&gt;"","REMOVE","KEEP"))</f>
        <v/>
      </c>
      <c r="E8768">
        <f>IF(D8768&lt;&gt;"KEEP","",IF(RIGHT(B8768,10)="@gmail.com","Gmail",IF(OR(RIGHT(B8768,12)="@outlook.com",RIGHT(B8768,12)="@hotmail.com",RIGHT(B8768,9)="@live.com"),"Outlook","Domain")))</f>
        <v/>
      </c>
      <c r="F8768">
        <f>IF(B8768="","",IFERROR(RIGHT(B8768,LEN(B8768)-FIND("@",B8768)),""))</f>
        <v/>
      </c>
      <c r="G8768">
        <f>IF(D8768="KEEP",COUNTIF($D$2:D8768,"KEEP"),"")</f>
        <v/>
      </c>
      <c r="H8768">
        <f>IF(D8768="REMOVE",COUNTIF($D$2:D8768,"REMOVE"),"")</f>
        <v/>
      </c>
      <c r="I8768">
        <f>IF(E8768="Gmail",COUNTIF($E$2:E8768,"Gmail"),"")</f>
        <v/>
      </c>
      <c r="J8768">
        <f>IF(E8768="Outlook",COUNTIF($E$2:E8768,"Outlook"),"")</f>
        <v/>
      </c>
      <c r="K8768">
        <f>IF(E8768="Domain",COUNTIF($E$2:E8768,"Domain"),"")</f>
        <v/>
      </c>
    </row>
    <row r="8769">
      <c r="A8769" s="2" t="n"/>
      <c r="B8769">
        <f>LOWER(TRIM(A8769))</f>
        <v/>
      </c>
      <c r="C8769">
        <f>IF(B8769="","",IFERROR(INDEX('Bad Patterns'!$A$2:$A$120,MATCH(1,INDEX(--ISNUMBER(SEARCH('Bad Patterns'!$A$2:$A$120,B8769)),0),0)),""))</f>
        <v/>
      </c>
      <c r="D8769">
        <f>IF(B8769="","",IF(C8769&lt;&gt;"","REMOVE","KEEP"))</f>
        <v/>
      </c>
      <c r="E8769">
        <f>IF(D8769&lt;&gt;"KEEP","",IF(RIGHT(B8769,10)="@gmail.com","Gmail",IF(OR(RIGHT(B8769,12)="@outlook.com",RIGHT(B8769,12)="@hotmail.com",RIGHT(B8769,9)="@live.com"),"Outlook","Domain")))</f>
        <v/>
      </c>
      <c r="F8769">
        <f>IF(B8769="","",IFERROR(RIGHT(B8769,LEN(B8769)-FIND("@",B8769)),""))</f>
        <v/>
      </c>
      <c r="G8769">
        <f>IF(D8769="KEEP",COUNTIF($D$2:D8769,"KEEP"),"")</f>
        <v/>
      </c>
      <c r="H8769">
        <f>IF(D8769="REMOVE",COUNTIF($D$2:D8769,"REMOVE"),"")</f>
        <v/>
      </c>
      <c r="I8769">
        <f>IF(E8769="Gmail",COUNTIF($E$2:E8769,"Gmail"),"")</f>
        <v/>
      </c>
      <c r="J8769">
        <f>IF(E8769="Outlook",COUNTIF($E$2:E8769,"Outlook"),"")</f>
        <v/>
      </c>
      <c r="K8769">
        <f>IF(E8769="Domain",COUNTIF($E$2:E8769,"Domain"),"")</f>
        <v/>
      </c>
    </row>
    <row r="8770">
      <c r="A8770" s="2" t="n"/>
      <c r="B8770">
        <f>LOWER(TRIM(A8770))</f>
        <v/>
      </c>
      <c r="C8770">
        <f>IF(B8770="","",IFERROR(INDEX('Bad Patterns'!$A$2:$A$120,MATCH(1,INDEX(--ISNUMBER(SEARCH('Bad Patterns'!$A$2:$A$120,B8770)),0),0)),""))</f>
        <v/>
      </c>
      <c r="D8770">
        <f>IF(B8770="","",IF(C8770&lt;&gt;"","REMOVE","KEEP"))</f>
        <v/>
      </c>
      <c r="E8770">
        <f>IF(D8770&lt;&gt;"KEEP","",IF(RIGHT(B8770,10)="@gmail.com","Gmail",IF(OR(RIGHT(B8770,12)="@outlook.com",RIGHT(B8770,12)="@hotmail.com",RIGHT(B8770,9)="@live.com"),"Outlook","Domain")))</f>
        <v/>
      </c>
      <c r="F8770">
        <f>IF(B8770="","",IFERROR(RIGHT(B8770,LEN(B8770)-FIND("@",B8770)),""))</f>
        <v/>
      </c>
      <c r="G8770">
        <f>IF(D8770="KEEP",COUNTIF($D$2:D8770,"KEEP"),"")</f>
        <v/>
      </c>
      <c r="H8770">
        <f>IF(D8770="REMOVE",COUNTIF($D$2:D8770,"REMOVE"),"")</f>
        <v/>
      </c>
      <c r="I8770">
        <f>IF(E8770="Gmail",COUNTIF($E$2:E8770,"Gmail"),"")</f>
        <v/>
      </c>
      <c r="J8770">
        <f>IF(E8770="Outlook",COUNTIF($E$2:E8770,"Outlook"),"")</f>
        <v/>
      </c>
      <c r="K8770">
        <f>IF(E8770="Domain",COUNTIF($E$2:E8770,"Domain"),"")</f>
        <v/>
      </c>
    </row>
    <row r="8771">
      <c r="A8771" s="2" t="n"/>
      <c r="B8771">
        <f>LOWER(TRIM(A8771))</f>
        <v/>
      </c>
      <c r="C8771">
        <f>IF(B8771="","",IFERROR(INDEX('Bad Patterns'!$A$2:$A$120,MATCH(1,INDEX(--ISNUMBER(SEARCH('Bad Patterns'!$A$2:$A$120,B8771)),0),0)),""))</f>
        <v/>
      </c>
      <c r="D8771">
        <f>IF(B8771="","",IF(C8771&lt;&gt;"","REMOVE","KEEP"))</f>
        <v/>
      </c>
      <c r="E8771">
        <f>IF(D8771&lt;&gt;"KEEP","",IF(RIGHT(B8771,10)="@gmail.com","Gmail",IF(OR(RIGHT(B8771,12)="@outlook.com",RIGHT(B8771,12)="@hotmail.com",RIGHT(B8771,9)="@live.com"),"Outlook","Domain")))</f>
        <v/>
      </c>
      <c r="F8771">
        <f>IF(B8771="","",IFERROR(RIGHT(B8771,LEN(B8771)-FIND("@",B8771)),""))</f>
        <v/>
      </c>
      <c r="G8771">
        <f>IF(D8771="KEEP",COUNTIF($D$2:D8771,"KEEP"),"")</f>
        <v/>
      </c>
      <c r="H8771">
        <f>IF(D8771="REMOVE",COUNTIF($D$2:D8771,"REMOVE"),"")</f>
        <v/>
      </c>
      <c r="I8771">
        <f>IF(E8771="Gmail",COUNTIF($E$2:E8771,"Gmail"),"")</f>
        <v/>
      </c>
      <c r="J8771">
        <f>IF(E8771="Outlook",COUNTIF($E$2:E8771,"Outlook"),"")</f>
        <v/>
      </c>
      <c r="K8771">
        <f>IF(E8771="Domain",COUNTIF($E$2:E8771,"Domain"),"")</f>
        <v/>
      </c>
    </row>
    <row r="8772">
      <c r="A8772" s="2" t="n"/>
      <c r="B8772">
        <f>LOWER(TRIM(A8772))</f>
        <v/>
      </c>
      <c r="C8772">
        <f>IF(B8772="","",IFERROR(INDEX('Bad Patterns'!$A$2:$A$120,MATCH(1,INDEX(--ISNUMBER(SEARCH('Bad Patterns'!$A$2:$A$120,B8772)),0),0)),""))</f>
        <v/>
      </c>
      <c r="D8772">
        <f>IF(B8772="","",IF(C8772&lt;&gt;"","REMOVE","KEEP"))</f>
        <v/>
      </c>
      <c r="E8772">
        <f>IF(D8772&lt;&gt;"KEEP","",IF(RIGHT(B8772,10)="@gmail.com","Gmail",IF(OR(RIGHT(B8772,12)="@outlook.com",RIGHT(B8772,12)="@hotmail.com",RIGHT(B8772,9)="@live.com"),"Outlook","Domain")))</f>
        <v/>
      </c>
      <c r="F8772">
        <f>IF(B8772="","",IFERROR(RIGHT(B8772,LEN(B8772)-FIND("@",B8772)),""))</f>
        <v/>
      </c>
      <c r="G8772">
        <f>IF(D8772="KEEP",COUNTIF($D$2:D8772,"KEEP"),"")</f>
        <v/>
      </c>
      <c r="H8772">
        <f>IF(D8772="REMOVE",COUNTIF($D$2:D8772,"REMOVE"),"")</f>
        <v/>
      </c>
      <c r="I8772">
        <f>IF(E8772="Gmail",COUNTIF($E$2:E8772,"Gmail"),"")</f>
        <v/>
      </c>
      <c r="J8772">
        <f>IF(E8772="Outlook",COUNTIF($E$2:E8772,"Outlook"),"")</f>
        <v/>
      </c>
      <c r="K8772">
        <f>IF(E8772="Domain",COUNTIF($E$2:E8772,"Domain"),"")</f>
        <v/>
      </c>
    </row>
    <row r="8773">
      <c r="A8773" s="2" t="n"/>
      <c r="B8773">
        <f>LOWER(TRIM(A8773))</f>
        <v/>
      </c>
      <c r="C8773">
        <f>IF(B8773="","",IFERROR(INDEX('Bad Patterns'!$A$2:$A$120,MATCH(1,INDEX(--ISNUMBER(SEARCH('Bad Patterns'!$A$2:$A$120,B8773)),0),0)),""))</f>
        <v/>
      </c>
      <c r="D8773">
        <f>IF(B8773="","",IF(C8773&lt;&gt;"","REMOVE","KEEP"))</f>
        <v/>
      </c>
      <c r="E8773">
        <f>IF(D8773&lt;&gt;"KEEP","",IF(RIGHT(B8773,10)="@gmail.com","Gmail",IF(OR(RIGHT(B8773,12)="@outlook.com",RIGHT(B8773,12)="@hotmail.com",RIGHT(B8773,9)="@live.com"),"Outlook","Domain")))</f>
        <v/>
      </c>
      <c r="F8773">
        <f>IF(B8773="","",IFERROR(RIGHT(B8773,LEN(B8773)-FIND("@",B8773)),""))</f>
        <v/>
      </c>
      <c r="G8773">
        <f>IF(D8773="KEEP",COUNTIF($D$2:D8773,"KEEP"),"")</f>
        <v/>
      </c>
      <c r="H8773">
        <f>IF(D8773="REMOVE",COUNTIF($D$2:D8773,"REMOVE"),"")</f>
        <v/>
      </c>
      <c r="I8773">
        <f>IF(E8773="Gmail",COUNTIF($E$2:E8773,"Gmail"),"")</f>
        <v/>
      </c>
      <c r="J8773">
        <f>IF(E8773="Outlook",COUNTIF($E$2:E8773,"Outlook"),"")</f>
        <v/>
      </c>
      <c r="K8773">
        <f>IF(E8773="Domain",COUNTIF($E$2:E8773,"Domain"),"")</f>
        <v/>
      </c>
    </row>
    <row r="8774">
      <c r="A8774" s="2" t="n"/>
      <c r="B8774">
        <f>LOWER(TRIM(A8774))</f>
        <v/>
      </c>
      <c r="C8774">
        <f>IF(B8774="","",IFERROR(INDEX('Bad Patterns'!$A$2:$A$120,MATCH(1,INDEX(--ISNUMBER(SEARCH('Bad Patterns'!$A$2:$A$120,B8774)),0),0)),""))</f>
        <v/>
      </c>
      <c r="D8774">
        <f>IF(B8774="","",IF(C8774&lt;&gt;"","REMOVE","KEEP"))</f>
        <v/>
      </c>
      <c r="E8774">
        <f>IF(D8774&lt;&gt;"KEEP","",IF(RIGHT(B8774,10)="@gmail.com","Gmail",IF(OR(RIGHT(B8774,12)="@outlook.com",RIGHT(B8774,12)="@hotmail.com",RIGHT(B8774,9)="@live.com"),"Outlook","Domain")))</f>
        <v/>
      </c>
      <c r="F8774">
        <f>IF(B8774="","",IFERROR(RIGHT(B8774,LEN(B8774)-FIND("@",B8774)),""))</f>
        <v/>
      </c>
      <c r="G8774">
        <f>IF(D8774="KEEP",COUNTIF($D$2:D8774,"KEEP"),"")</f>
        <v/>
      </c>
      <c r="H8774">
        <f>IF(D8774="REMOVE",COUNTIF($D$2:D8774,"REMOVE"),"")</f>
        <v/>
      </c>
      <c r="I8774">
        <f>IF(E8774="Gmail",COUNTIF($E$2:E8774,"Gmail"),"")</f>
        <v/>
      </c>
      <c r="J8774">
        <f>IF(E8774="Outlook",COUNTIF($E$2:E8774,"Outlook"),"")</f>
        <v/>
      </c>
      <c r="K8774">
        <f>IF(E8774="Domain",COUNTIF($E$2:E8774,"Domain"),"")</f>
        <v/>
      </c>
    </row>
    <row r="8775">
      <c r="A8775" s="2" t="n"/>
      <c r="B8775">
        <f>LOWER(TRIM(A8775))</f>
        <v/>
      </c>
      <c r="C8775">
        <f>IF(B8775="","",IFERROR(INDEX('Bad Patterns'!$A$2:$A$120,MATCH(1,INDEX(--ISNUMBER(SEARCH('Bad Patterns'!$A$2:$A$120,B8775)),0),0)),""))</f>
        <v/>
      </c>
      <c r="D8775">
        <f>IF(B8775="","",IF(C8775&lt;&gt;"","REMOVE","KEEP"))</f>
        <v/>
      </c>
      <c r="E8775">
        <f>IF(D8775&lt;&gt;"KEEP","",IF(RIGHT(B8775,10)="@gmail.com","Gmail",IF(OR(RIGHT(B8775,12)="@outlook.com",RIGHT(B8775,12)="@hotmail.com",RIGHT(B8775,9)="@live.com"),"Outlook","Domain")))</f>
        <v/>
      </c>
      <c r="F8775">
        <f>IF(B8775="","",IFERROR(RIGHT(B8775,LEN(B8775)-FIND("@",B8775)),""))</f>
        <v/>
      </c>
      <c r="G8775">
        <f>IF(D8775="KEEP",COUNTIF($D$2:D8775,"KEEP"),"")</f>
        <v/>
      </c>
      <c r="H8775">
        <f>IF(D8775="REMOVE",COUNTIF($D$2:D8775,"REMOVE"),"")</f>
        <v/>
      </c>
      <c r="I8775">
        <f>IF(E8775="Gmail",COUNTIF($E$2:E8775,"Gmail"),"")</f>
        <v/>
      </c>
      <c r="J8775">
        <f>IF(E8775="Outlook",COUNTIF($E$2:E8775,"Outlook"),"")</f>
        <v/>
      </c>
      <c r="K8775">
        <f>IF(E8775="Domain",COUNTIF($E$2:E8775,"Domain"),"")</f>
        <v/>
      </c>
    </row>
    <row r="8776">
      <c r="A8776" s="2" t="n"/>
      <c r="B8776">
        <f>LOWER(TRIM(A8776))</f>
        <v/>
      </c>
      <c r="C8776">
        <f>IF(B8776="","",IFERROR(INDEX('Bad Patterns'!$A$2:$A$120,MATCH(1,INDEX(--ISNUMBER(SEARCH('Bad Patterns'!$A$2:$A$120,B8776)),0),0)),""))</f>
        <v/>
      </c>
      <c r="D8776">
        <f>IF(B8776="","",IF(C8776&lt;&gt;"","REMOVE","KEEP"))</f>
        <v/>
      </c>
      <c r="E8776">
        <f>IF(D8776&lt;&gt;"KEEP","",IF(RIGHT(B8776,10)="@gmail.com","Gmail",IF(OR(RIGHT(B8776,12)="@outlook.com",RIGHT(B8776,12)="@hotmail.com",RIGHT(B8776,9)="@live.com"),"Outlook","Domain")))</f>
        <v/>
      </c>
      <c r="F8776">
        <f>IF(B8776="","",IFERROR(RIGHT(B8776,LEN(B8776)-FIND("@",B8776)),""))</f>
        <v/>
      </c>
      <c r="G8776">
        <f>IF(D8776="KEEP",COUNTIF($D$2:D8776,"KEEP"),"")</f>
        <v/>
      </c>
      <c r="H8776">
        <f>IF(D8776="REMOVE",COUNTIF($D$2:D8776,"REMOVE"),"")</f>
        <v/>
      </c>
      <c r="I8776">
        <f>IF(E8776="Gmail",COUNTIF($E$2:E8776,"Gmail"),"")</f>
        <v/>
      </c>
      <c r="J8776">
        <f>IF(E8776="Outlook",COUNTIF($E$2:E8776,"Outlook"),"")</f>
        <v/>
      </c>
      <c r="K8776">
        <f>IF(E8776="Domain",COUNTIF($E$2:E8776,"Domain"),"")</f>
        <v/>
      </c>
    </row>
    <row r="8777">
      <c r="A8777" s="2" t="n"/>
      <c r="B8777">
        <f>LOWER(TRIM(A8777))</f>
        <v/>
      </c>
      <c r="C8777">
        <f>IF(B8777="","",IFERROR(INDEX('Bad Patterns'!$A$2:$A$120,MATCH(1,INDEX(--ISNUMBER(SEARCH('Bad Patterns'!$A$2:$A$120,B8777)),0),0)),""))</f>
        <v/>
      </c>
      <c r="D8777">
        <f>IF(B8777="","",IF(C8777&lt;&gt;"","REMOVE","KEEP"))</f>
        <v/>
      </c>
      <c r="E8777">
        <f>IF(D8777&lt;&gt;"KEEP","",IF(RIGHT(B8777,10)="@gmail.com","Gmail",IF(OR(RIGHT(B8777,12)="@outlook.com",RIGHT(B8777,12)="@hotmail.com",RIGHT(B8777,9)="@live.com"),"Outlook","Domain")))</f>
        <v/>
      </c>
      <c r="F8777">
        <f>IF(B8777="","",IFERROR(RIGHT(B8777,LEN(B8777)-FIND("@",B8777)),""))</f>
        <v/>
      </c>
      <c r="G8777">
        <f>IF(D8777="KEEP",COUNTIF($D$2:D8777,"KEEP"),"")</f>
        <v/>
      </c>
      <c r="H8777">
        <f>IF(D8777="REMOVE",COUNTIF($D$2:D8777,"REMOVE"),"")</f>
        <v/>
      </c>
      <c r="I8777">
        <f>IF(E8777="Gmail",COUNTIF($E$2:E8777,"Gmail"),"")</f>
        <v/>
      </c>
      <c r="J8777">
        <f>IF(E8777="Outlook",COUNTIF($E$2:E8777,"Outlook"),"")</f>
        <v/>
      </c>
      <c r="K8777">
        <f>IF(E8777="Domain",COUNTIF($E$2:E8777,"Domain"),"")</f>
        <v/>
      </c>
    </row>
    <row r="8778">
      <c r="A8778" s="2" t="n"/>
      <c r="B8778">
        <f>LOWER(TRIM(A8778))</f>
        <v/>
      </c>
      <c r="C8778">
        <f>IF(B8778="","",IFERROR(INDEX('Bad Patterns'!$A$2:$A$120,MATCH(1,INDEX(--ISNUMBER(SEARCH('Bad Patterns'!$A$2:$A$120,B8778)),0),0)),""))</f>
        <v/>
      </c>
      <c r="D8778">
        <f>IF(B8778="","",IF(C8778&lt;&gt;"","REMOVE","KEEP"))</f>
        <v/>
      </c>
      <c r="E8778">
        <f>IF(D8778&lt;&gt;"KEEP","",IF(RIGHT(B8778,10)="@gmail.com","Gmail",IF(OR(RIGHT(B8778,12)="@outlook.com",RIGHT(B8778,12)="@hotmail.com",RIGHT(B8778,9)="@live.com"),"Outlook","Domain")))</f>
        <v/>
      </c>
      <c r="F8778">
        <f>IF(B8778="","",IFERROR(RIGHT(B8778,LEN(B8778)-FIND("@",B8778)),""))</f>
        <v/>
      </c>
      <c r="G8778">
        <f>IF(D8778="KEEP",COUNTIF($D$2:D8778,"KEEP"),"")</f>
        <v/>
      </c>
      <c r="H8778">
        <f>IF(D8778="REMOVE",COUNTIF($D$2:D8778,"REMOVE"),"")</f>
        <v/>
      </c>
      <c r="I8778">
        <f>IF(E8778="Gmail",COUNTIF($E$2:E8778,"Gmail"),"")</f>
        <v/>
      </c>
      <c r="J8778">
        <f>IF(E8778="Outlook",COUNTIF($E$2:E8778,"Outlook"),"")</f>
        <v/>
      </c>
      <c r="K8778">
        <f>IF(E8778="Domain",COUNTIF($E$2:E8778,"Domain"),"")</f>
        <v/>
      </c>
    </row>
    <row r="8779">
      <c r="A8779" s="2" t="n"/>
      <c r="B8779">
        <f>LOWER(TRIM(A8779))</f>
        <v/>
      </c>
      <c r="C8779">
        <f>IF(B8779="","",IFERROR(INDEX('Bad Patterns'!$A$2:$A$120,MATCH(1,INDEX(--ISNUMBER(SEARCH('Bad Patterns'!$A$2:$A$120,B8779)),0),0)),""))</f>
        <v/>
      </c>
      <c r="D8779">
        <f>IF(B8779="","",IF(C8779&lt;&gt;"","REMOVE","KEEP"))</f>
        <v/>
      </c>
      <c r="E8779">
        <f>IF(D8779&lt;&gt;"KEEP","",IF(RIGHT(B8779,10)="@gmail.com","Gmail",IF(OR(RIGHT(B8779,12)="@outlook.com",RIGHT(B8779,12)="@hotmail.com",RIGHT(B8779,9)="@live.com"),"Outlook","Domain")))</f>
        <v/>
      </c>
      <c r="F8779">
        <f>IF(B8779="","",IFERROR(RIGHT(B8779,LEN(B8779)-FIND("@",B8779)),""))</f>
        <v/>
      </c>
      <c r="G8779">
        <f>IF(D8779="KEEP",COUNTIF($D$2:D8779,"KEEP"),"")</f>
        <v/>
      </c>
      <c r="H8779">
        <f>IF(D8779="REMOVE",COUNTIF($D$2:D8779,"REMOVE"),"")</f>
        <v/>
      </c>
      <c r="I8779">
        <f>IF(E8779="Gmail",COUNTIF($E$2:E8779,"Gmail"),"")</f>
        <v/>
      </c>
      <c r="J8779">
        <f>IF(E8779="Outlook",COUNTIF($E$2:E8779,"Outlook"),"")</f>
        <v/>
      </c>
      <c r="K8779">
        <f>IF(E8779="Domain",COUNTIF($E$2:E8779,"Domain"),"")</f>
        <v/>
      </c>
    </row>
    <row r="8780">
      <c r="A8780" s="2" t="n"/>
      <c r="B8780">
        <f>LOWER(TRIM(A8780))</f>
        <v/>
      </c>
      <c r="C8780">
        <f>IF(B8780="","",IFERROR(INDEX('Bad Patterns'!$A$2:$A$120,MATCH(1,INDEX(--ISNUMBER(SEARCH('Bad Patterns'!$A$2:$A$120,B8780)),0),0)),""))</f>
        <v/>
      </c>
      <c r="D8780">
        <f>IF(B8780="","",IF(C8780&lt;&gt;"","REMOVE","KEEP"))</f>
        <v/>
      </c>
      <c r="E8780">
        <f>IF(D8780&lt;&gt;"KEEP","",IF(RIGHT(B8780,10)="@gmail.com","Gmail",IF(OR(RIGHT(B8780,12)="@outlook.com",RIGHT(B8780,12)="@hotmail.com",RIGHT(B8780,9)="@live.com"),"Outlook","Domain")))</f>
        <v/>
      </c>
      <c r="F8780">
        <f>IF(B8780="","",IFERROR(RIGHT(B8780,LEN(B8780)-FIND("@",B8780)),""))</f>
        <v/>
      </c>
      <c r="G8780">
        <f>IF(D8780="KEEP",COUNTIF($D$2:D8780,"KEEP"),"")</f>
        <v/>
      </c>
      <c r="H8780">
        <f>IF(D8780="REMOVE",COUNTIF($D$2:D8780,"REMOVE"),"")</f>
        <v/>
      </c>
      <c r="I8780">
        <f>IF(E8780="Gmail",COUNTIF($E$2:E8780,"Gmail"),"")</f>
        <v/>
      </c>
      <c r="J8780">
        <f>IF(E8780="Outlook",COUNTIF($E$2:E8780,"Outlook"),"")</f>
        <v/>
      </c>
      <c r="K8780">
        <f>IF(E8780="Domain",COUNTIF($E$2:E8780,"Domain"),"")</f>
        <v/>
      </c>
    </row>
    <row r="8781">
      <c r="A8781" s="2" t="n"/>
      <c r="B8781">
        <f>LOWER(TRIM(A8781))</f>
        <v/>
      </c>
      <c r="C8781">
        <f>IF(B8781="","",IFERROR(INDEX('Bad Patterns'!$A$2:$A$120,MATCH(1,INDEX(--ISNUMBER(SEARCH('Bad Patterns'!$A$2:$A$120,B8781)),0),0)),""))</f>
        <v/>
      </c>
      <c r="D8781">
        <f>IF(B8781="","",IF(C8781&lt;&gt;"","REMOVE","KEEP"))</f>
        <v/>
      </c>
      <c r="E8781">
        <f>IF(D8781&lt;&gt;"KEEP","",IF(RIGHT(B8781,10)="@gmail.com","Gmail",IF(OR(RIGHT(B8781,12)="@outlook.com",RIGHT(B8781,12)="@hotmail.com",RIGHT(B8781,9)="@live.com"),"Outlook","Domain")))</f>
        <v/>
      </c>
      <c r="F8781">
        <f>IF(B8781="","",IFERROR(RIGHT(B8781,LEN(B8781)-FIND("@",B8781)),""))</f>
        <v/>
      </c>
      <c r="G8781">
        <f>IF(D8781="KEEP",COUNTIF($D$2:D8781,"KEEP"),"")</f>
        <v/>
      </c>
      <c r="H8781">
        <f>IF(D8781="REMOVE",COUNTIF($D$2:D8781,"REMOVE"),"")</f>
        <v/>
      </c>
      <c r="I8781">
        <f>IF(E8781="Gmail",COUNTIF($E$2:E8781,"Gmail"),"")</f>
        <v/>
      </c>
      <c r="J8781">
        <f>IF(E8781="Outlook",COUNTIF($E$2:E8781,"Outlook"),"")</f>
        <v/>
      </c>
      <c r="K8781">
        <f>IF(E8781="Domain",COUNTIF($E$2:E8781,"Domain"),"")</f>
        <v/>
      </c>
    </row>
    <row r="8782">
      <c r="A8782" s="2" t="n"/>
      <c r="B8782">
        <f>LOWER(TRIM(A8782))</f>
        <v/>
      </c>
      <c r="C8782">
        <f>IF(B8782="","",IFERROR(INDEX('Bad Patterns'!$A$2:$A$120,MATCH(1,INDEX(--ISNUMBER(SEARCH('Bad Patterns'!$A$2:$A$120,B8782)),0),0)),""))</f>
        <v/>
      </c>
      <c r="D8782">
        <f>IF(B8782="","",IF(C8782&lt;&gt;"","REMOVE","KEEP"))</f>
        <v/>
      </c>
      <c r="E8782">
        <f>IF(D8782&lt;&gt;"KEEP","",IF(RIGHT(B8782,10)="@gmail.com","Gmail",IF(OR(RIGHT(B8782,12)="@outlook.com",RIGHT(B8782,12)="@hotmail.com",RIGHT(B8782,9)="@live.com"),"Outlook","Domain")))</f>
        <v/>
      </c>
      <c r="F8782">
        <f>IF(B8782="","",IFERROR(RIGHT(B8782,LEN(B8782)-FIND("@",B8782)),""))</f>
        <v/>
      </c>
      <c r="G8782">
        <f>IF(D8782="KEEP",COUNTIF($D$2:D8782,"KEEP"),"")</f>
        <v/>
      </c>
      <c r="H8782">
        <f>IF(D8782="REMOVE",COUNTIF($D$2:D8782,"REMOVE"),"")</f>
        <v/>
      </c>
      <c r="I8782">
        <f>IF(E8782="Gmail",COUNTIF($E$2:E8782,"Gmail"),"")</f>
        <v/>
      </c>
      <c r="J8782">
        <f>IF(E8782="Outlook",COUNTIF($E$2:E8782,"Outlook"),"")</f>
        <v/>
      </c>
      <c r="K8782">
        <f>IF(E8782="Domain",COUNTIF($E$2:E8782,"Domain"),"")</f>
        <v/>
      </c>
    </row>
    <row r="8783">
      <c r="A8783" s="2" t="n"/>
      <c r="B8783">
        <f>LOWER(TRIM(A8783))</f>
        <v/>
      </c>
      <c r="C8783">
        <f>IF(B8783="","",IFERROR(INDEX('Bad Patterns'!$A$2:$A$120,MATCH(1,INDEX(--ISNUMBER(SEARCH('Bad Patterns'!$A$2:$A$120,B8783)),0),0)),""))</f>
        <v/>
      </c>
      <c r="D8783">
        <f>IF(B8783="","",IF(C8783&lt;&gt;"","REMOVE","KEEP"))</f>
        <v/>
      </c>
      <c r="E8783">
        <f>IF(D8783&lt;&gt;"KEEP","",IF(RIGHT(B8783,10)="@gmail.com","Gmail",IF(OR(RIGHT(B8783,12)="@outlook.com",RIGHT(B8783,12)="@hotmail.com",RIGHT(B8783,9)="@live.com"),"Outlook","Domain")))</f>
        <v/>
      </c>
      <c r="F8783">
        <f>IF(B8783="","",IFERROR(RIGHT(B8783,LEN(B8783)-FIND("@",B8783)),""))</f>
        <v/>
      </c>
      <c r="G8783">
        <f>IF(D8783="KEEP",COUNTIF($D$2:D8783,"KEEP"),"")</f>
        <v/>
      </c>
      <c r="H8783">
        <f>IF(D8783="REMOVE",COUNTIF($D$2:D8783,"REMOVE"),"")</f>
        <v/>
      </c>
      <c r="I8783">
        <f>IF(E8783="Gmail",COUNTIF($E$2:E8783,"Gmail"),"")</f>
        <v/>
      </c>
      <c r="J8783">
        <f>IF(E8783="Outlook",COUNTIF($E$2:E8783,"Outlook"),"")</f>
        <v/>
      </c>
      <c r="K8783">
        <f>IF(E8783="Domain",COUNTIF($E$2:E8783,"Domain"),"")</f>
        <v/>
      </c>
    </row>
    <row r="8784">
      <c r="A8784" s="2" t="n"/>
      <c r="B8784">
        <f>LOWER(TRIM(A8784))</f>
        <v/>
      </c>
      <c r="C8784">
        <f>IF(B8784="","",IFERROR(INDEX('Bad Patterns'!$A$2:$A$120,MATCH(1,INDEX(--ISNUMBER(SEARCH('Bad Patterns'!$A$2:$A$120,B8784)),0),0)),""))</f>
        <v/>
      </c>
      <c r="D8784">
        <f>IF(B8784="","",IF(C8784&lt;&gt;"","REMOVE","KEEP"))</f>
        <v/>
      </c>
      <c r="E8784">
        <f>IF(D8784&lt;&gt;"KEEP","",IF(RIGHT(B8784,10)="@gmail.com","Gmail",IF(OR(RIGHT(B8784,12)="@outlook.com",RIGHT(B8784,12)="@hotmail.com",RIGHT(B8784,9)="@live.com"),"Outlook","Domain")))</f>
        <v/>
      </c>
      <c r="F8784">
        <f>IF(B8784="","",IFERROR(RIGHT(B8784,LEN(B8784)-FIND("@",B8784)),""))</f>
        <v/>
      </c>
      <c r="G8784">
        <f>IF(D8784="KEEP",COUNTIF($D$2:D8784,"KEEP"),"")</f>
        <v/>
      </c>
      <c r="H8784">
        <f>IF(D8784="REMOVE",COUNTIF($D$2:D8784,"REMOVE"),"")</f>
        <v/>
      </c>
      <c r="I8784">
        <f>IF(E8784="Gmail",COUNTIF($E$2:E8784,"Gmail"),"")</f>
        <v/>
      </c>
      <c r="J8784">
        <f>IF(E8784="Outlook",COUNTIF($E$2:E8784,"Outlook"),"")</f>
        <v/>
      </c>
      <c r="K8784">
        <f>IF(E8784="Domain",COUNTIF($E$2:E8784,"Domain"),"")</f>
        <v/>
      </c>
    </row>
    <row r="8785">
      <c r="A8785" s="2" t="n"/>
      <c r="B8785">
        <f>LOWER(TRIM(A8785))</f>
        <v/>
      </c>
      <c r="C8785">
        <f>IF(B8785="","",IFERROR(INDEX('Bad Patterns'!$A$2:$A$120,MATCH(1,INDEX(--ISNUMBER(SEARCH('Bad Patterns'!$A$2:$A$120,B8785)),0),0)),""))</f>
        <v/>
      </c>
      <c r="D8785">
        <f>IF(B8785="","",IF(C8785&lt;&gt;"","REMOVE","KEEP"))</f>
        <v/>
      </c>
      <c r="E8785">
        <f>IF(D8785&lt;&gt;"KEEP","",IF(RIGHT(B8785,10)="@gmail.com","Gmail",IF(OR(RIGHT(B8785,12)="@outlook.com",RIGHT(B8785,12)="@hotmail.com",RIGHT(B8785,9)="@live.com"),"Outlook","Domain")))</f>
        <v/>
      </c>
      <c r="F8785">
        <f>IF(B8785="","",IFERROR(RIGHT(B8785,LEN(B8785)-FIND("@",B8785)),""))</f>
        <v/>
      </c>
      <c r="G8785">
        <f>IF(D8785="KEEP",COUNTIF($D$2:D8785,"KEEP"),"")</f>
        <v/>
      </c>
      <c r="H8785">
        <f>IF(D8785="REMOVE",COUNTIF($D$2:D8785,"REMOVE"),"")</f>
        <v/>
      </c>
      <c r="I8785">
        <f>IF(E8785="Gmail",COUNTIF($E$2:E8785,"Gmail"),"")</f>
        <v/>
      </c>
      <c r="J8785">
        <f>IF(E8785="Outlook",COUNTIF($E$2:E8785,"Outlook"),"")</f>
        <v/>
      </c>
      <c r="K8785">
        <f>IF(E8785="Domain",COUNTIF($E$2:E8785,"Domain"),"")</f>
        <v/>
      </c>
    </row>
    <row r="8786">
      <c r="A8786" s="2" t="n"/>
      <c r="B8786">
        <f>LOWER(TRIM(A8786))</f>
        <v/>
      </c>
      <c r="C8786">
        <f>IF(B8786="","",IFERROR(INDEX('Bad Patterns'!$A$2:$A$120,MATCH(1,INDEX(--ISNUMBER(SEARCH('Bad Patterns'!$A$2:$A$120,B8786)),0),0)),""))</f>
        <v/>
      </c>
      <c r="D8786">
        <f>IF(B8786="","",IF(C8786&lt;&gt;"","REMOVE","KEEP"))</f>
        <v/>
      </c>
      <c r="E8786">
        <f>IF(D8786&lt;&gt;"KEEP","",IF(RIGHT(B8786,10)="@gmail.com","Gmail",IF(OR(RIGHT(B8786,12)="@outlook.com",RIGHT(B8786,12)="@hotmail.com",RIGHT(B8786,9)="@live.com"),"Outlook","Domain")))</f>
        <v/>
      </c>
      <c r="F8786">
        <f>IF(B8786="","",IFERROR(RIGHT(B8786,LEN(B8786)-FIND("@",B8786)),""))</f>
        <v/>
      </c>
      <c r="G8786">
        <f>IF(D8786="KEEP",COUNTIF($D$2:D8786,"KEEP"),"")</f>
        <v/>
      </c>
      <c r="H8786">
        <f>IF(D8786="REMOVE",COUNTIF($D$2:D8786,"REMOVE"),"")</f>
        <v/>
      </c>
      <c r="I8786">
        <f>IF(E8786="Gmail",COUNTIF($E$2:E8786,"Gmail"),"")</f>
        <v/>
      </c>
      <c r="J8786">
        <f>IF(E8786="Outlook",COUNTIF($E$2:E8786,"Outlook"),"")</f>
        <v/>
      </c>
      <c r="K8786">
        <f>IF(E8786="Domain",COUNTIF($E$2:E8786,"Domain"),"")</f>
        <v/>
      </c>
    </row>
    <row r="8787">
      <c r="A8787" s="2" t="n"/>
      <c r="B8787">
        <f>LOWER(TRIM(A8787))</f>
        <v/>
      </c>
      <c r="C8787">
        <f>IF(B8787="","",IFERROR(INDEX('Bad Patterns'!$A$2:$A$120,MATCH(1,INDEX(--ISNUMBER(SEARCH('Bad Patterns'!$A$2:$A$120,B8787)),0),0)),""))</f>
        <v/>
      </c>
      <c r="D8787">
        <f>IF(B8787="","",IF(C8787&lt;&gt;"","REMOVE","KEEP"))</f>
        <v/>
      </c>
      <c r="E8787">
        <f>IF(D8787&lt;&gt;"KEEP","",IF(RIGHT(B8787,10)="@gmail.com","Gmail",IF(OR(RIGHT(B8787,12)="@outlook.com",RIGHT(B8787,12)="@hotmail.com",RIGHT(B8787,9)="@live.com"),"Outlook","Domain")))</f>
        <v/>
      </c>
      <c r="F8787">
        <f>IF(B8787="","",IFERROR(RIGHT(B8787,LEN(B8787)-FIND("@",B8787)),""))</f>
        <v/>
      </c>
      <c r="G8787">
        <f>IF(D8787="KEEP",COUNTIF($D$2:D8787,"KEEP"),"")</f>
        <v/>
      </c>
      <c r="H8787">
        <f>IF(D8787="REMOVE",COUNTIF($D$2:D8787,"REMOVE"),"")</f>
        <v/>
      </c>
      <c r="I8787">
        <f>IF(E8787="Gmail",COUNTIF($E$2:E8787,"Gmail"),"")</f>
        <v/>
      </c>
      <c r="J8787">
        <f>IF(E8787="Outlook",COUNTIF($E$2:E8787,"Outlook"),"")</f>
        <v/>
      </c>
      <c r="K8787">
        <f>IF(E8787="Domain",COUNTIF($E$2:E8787,"Domain"),"")</f>
        <v/>
      </c>
    </row>
    <row r="8788">
      <c r="A8788" s="2" t="n"/>
      <c r="B8788">
        <f>LOWER(TRIM(A8788))</f>
        <v/>
      </c>
      <c r="C8788">
        <f>IF(B8788="","",IFERROR(INDEX('Bad Patterns'!$A$2:$A$120,MATCH(1,INDEX(--ISNUMBER(SEARCH('Bad Patterns'!$A$2:$A$120,B8788)),0),0)),""))</f>
        <v/>
      </c>
      <c r="D8788">
        <f>IF(B8788="","",IF(C8788&lt;&gt;"","REMOVE","KEEP"))</f>
        <v/>
      </c>
      <c r="E8788">
        <f>IF(D8788&lt;&gt;"KEEP","",IF(RIGHT(B8788,10)="@gmail.com","Gmail",IF(OR(RIGHT(B8788,12)="@outlook.com",RIGHT(B8788,12)="@hotmail.com",RIGHT(B8788,9)="@live.com"),"Outlook","Domain")))</f>
        <v/>
      </c>
      <c r="F8788">
        <f>IF(B8788="","",IFERROR(RIGHT(B8788,LEN(B8788)-FIND("@",B8788)),""))</f>
        <v/>
      </c>
      <c r="G8788">
        <f>IF(D8788="KEEP",COUNTIF($D$2:D8788,"KEEP"),"")</f>
        <v/>
      </c>
      <c r="H8788">
        <f>IF(D8788="REMOVE",COUNTIF($D$2:D8788,"REMOVE"),"")</f>
        <v/>
      </c>
      <c r="I8788">
        <f>IF(E8788="Gmail",COUNTIF($E$2:E8788,"Gmail"),"")</f>
        <v/>
      </c>
      <c r="J8788">
        <f>IF(E8788="Outlook",COUNTIF($E$2:E8788,"Outlook"),"")</f>
        <v/>
      </c>
      <c r="K8788">
        <f>IF(E8788="Domain",COUNTIF($E$2:E8788,"Domain"),"")</f>
        <v/>
      </c>
    </row>
    <row r="8789">
      <c r="A8789" s="2" t="n"/>
      <c r="B8789">
        <f>LOWER(TRIM(A8789))</f>
        <v/>
      </c>
      <c r="C8789">
        <f>IF(B8789="","",IFERROR(INDEX('Bad Patterns'!$A$2:$A$120,MATCH(1,INDEX(--ISNUMBER(SEARCH('Bad Patterns'!$A$2:$A$120,B8789)),0),0)),""))</f>
        <v/>
      </c>
      <c r="D8789">
        <f>IF(B8789="","",IF(C8789&lt;&gt;"","REMOVE","KEEP"))</f>
        <v/>
      </c>
      <c r="E8789">
        <f>IF(D8789&lt;&gt;"KEEP","",IF(RIGHT(B8789,10)="@gmail.com","Gmail",IF(OR(RIGHT(B8789,12)="@outlook.com",RIGHT(B8789,12)="@hotmail.com",RIGHT(B8789,9)="@live.com"),"Outlook","Domain")))</f>
        <v/>
      </c>
      <c r="F8789">
        <f>IF(B8789="","",IFERROR(RIGHT(B8789,LEN(B8789)-FIND("@",B8789)),""))</f>
        <v/>
      </c>
      <c r="G8789">
        <f>IF(D8789="KEEP",COUNTIF($D$2:D8789,"KEEP"),"")</f>
        <v/>
      </c>
      <c r="H8789">
        <f>IF(D8789="REMOVE",COUNTIF($D$2:D8789,"REMOVE"),"")</f>
        <v/>
      </c>
      <c r="I8789">
        <f>IF(E8789="Gmail",COUNTIF($E$2:E8789,"Gmail"),"")</f>
        <v/>
      </c>
      <c r="J8789">
        <f>IF(E8789="Outlook",COUNTIF($E$2:E8789,"Outlook"),"")</f>
        <v/>
      </c>
      <c r="K8789">
        <f>IF(E8789="Domain",COUNTIF($E$2:E8789,"Domain"),"")</f>
        <v/>
      </c>
    </row>
    <row r="8790">
      <c r="A8790" s="2" t="n"/>
      <c r="B8790">
        <f>LOWER(TRIM(A8790))</f>
        <v/>
      </c>
      <c r="C8790">
        <f>IF(B8790="","",IFERROR(INDEX('Bad Patterns'!$A$2:$A$120,MATCH(1,INDEX(--ISNUMBER(SEARCH('Bad Patterns'!$A$2:$A$120,B8790)),0),0)),""))</f>
        <v/>
      </c>
      <c r="D8790">
        <f>IF(B8790="","",IF(C8790&lt;&gt;"","REMOVE","KEEP"))</f>
        <v/>
      </c>
      <c r="E8790">
        <f>IF(D8790&lt;&gt;"KEEP","",IF(RIGHT(B8790,10)="@gmail.com","Gmail",IF(OR(RIGHT(B8790,12)="@outlook.com",RIGHT(B8790,12)="@hotmail.com",RIGHT(B8790,9)="@live.com"),"Outlook","Domain")))</f>
        <v/>
      </c>
      <c r="F8790">
        <f>IF(B8790="","",IFERROR(RIGHT(B8790,LEN(B8790)-FIND("@",B8790)),""))</f>
        <v/>
      </c>
      <c r="G8790">
        <f>IF(D8790="KEEP",COUNTIF($D$2:D8790,"KEEP"),"")</f>
        <v/>
      </c>
      <c r="H8790">
        <f>IF(D8790="REMOVE",COUNTIF($D$2:D8790,"REMOVE"),"")</f>
        <v/>
      </c>
      <c r="I8790">
        <f>IF(E8790="Gmail",COUNTIF($E$2:E8790,"Gmail"),"")</f>
        <v/>
      </c>
      <c r="J8790">
        <f>IF(E8790="Outlook",COUNTIF($E$2:E8790,"Outlook"),"")</f>
        <v/>
      </c>
      <c r="K8790">
        <f>IF(E8790="Domain",COUNTIF($E$2:E8790,"Domain"),"")</f>
        <v/>
      </c>
    </row>
    <row r="8791">
      <c r="A8791" s="2" t="n"/>
      <c r="B8791">
        <f>LOWER(TRIM(A8791))</f>
        <v/>
      </c>
      <c r="C8791">
        <f>IF(B8791="","",IFERROR(INDEX('Bad Patterns'!$A$2:$A$120,MATCH(1,INDEX(--ISNUMBER(SEARCH('Bad Patterns'!$A$2:$A$120,B8791)),0),0)),""))</f>
        <v/>
      </c>
      <c r="D8791">
        <f>IF(B8791="","",IF(C8791&lt;&gt;"","REMOVE","KEEP"))</f>
        <v/>
      </c>
      <c r="E8791">
        <f>IF(D8791&lt;&gt;"KEEP","",IF(RIGHT(B8791,10)="@gmail.com","Gmail",IF(OR(RIGHT(B8791,12)="@outlook.com",RIGHT(B8791,12)="@hotmail.com",RIGHT(B8791,9)="@live.com"),"Outlook","Domain")))</f>
        <v/>
      </c>
      <c r="F8791">
        <f>IF(B8791="","",IFERROR(RIGHT(B8791,LEN(B8791)-FIND("@",B8791)),""))</f>
        <v/>
      </c>
      <c r="G8791">
        <f>IF(D8791="KEEP",COUNTIF($D$2:D8791,"KEEP"),"")</f>
        <v/>
      </c>
      <c r="H8791">
        <f>IF(D8791="REMOVE",COUNTIF($D$2:D8791,"REMOVE"),"")</f>
        <v/>
      </c>
      <c r="I8791">
        <f>IF(E8791="Gmail",COUNTIF($E$2:E8791,"Gmail"),"")</f>
        <v/>
      </c>
      <c r="J8791">
        <f>IF(E8791="Outlook",COUNTIF($E$2:E8791,"Outlook"),"")</f>
        <v/>
      </c>
      <c r="K8791">
        <f>IF(E8791="Domain",COUNTIF($E$2:E8791,"Domain"),"")</f>
        <v/>
      </c>
    </row>
    <row r="8792">
      <c r="A8792" s="2" t="n"/>
      <c r="B8792">
        <f>LOWER(TRIM(A8792))</f>
        <v/>
      </c>
      <c r="C8792">
        <f>IF(B8792="","",IFERROR(INDEX('Bad Patterns'!$A$2:$A$120,MATCH(1,INDEX(--ISNUMBER(SEARCH('Bad Patterns'!$A$2:$A$120,B8792)),0),0)),""))</f>
        <v/>
      </c>
      <c r="D8792">
        <f>IF(B8792="","",IF(C8792&lt;&gt;"","REMOVE","KEEP"))</f>
        <v/>
      </c>
      <c r="E8792">
        <f>IF(D8792&lt;&gt;"KEEP","",IF(RIGHT(B8792,10)="@gmail.com","Gmail",IF(OR(RIGHT(B8792,12)="@outlook.com",RIGHT(B8792,12)="@hotmail.com",RIGHT(B8792,9)="@live.com"),"Outlook","Domain")))</f>
        <v/>
      </c>
      <c r="F8792">
        <f>IF(B8792="","",IFERROR(RIGHT(B8792,LEN(B8792)-FIND("@",B8792)),""))</f>
        <v/>
      </c>
      <c r="G8792">
        <f>IF(D8792="KEEP",COUNTIF($D$2:D8792,"KEEP"),"")</f>
        <v/>
      </c>
      <c r="H8792">
        <f>IF(D8792="REMOVE",COUNTIF($D$2:D8792,"REMOVE"),"")</f>
        <v/>
      </c>
      <c r="I8792">
        <f>IF(E8792="Gmail",COUNTIF($E$2:E8792,"Gmail"),"")</f>
        <v/>
      </c>
      <c r="J8792">
        <f>IF(E8792="Outlook",COUNTIF($E$2:E8792,"Outlook"),"")</f>
        <v/>
      </c>
      <c r="K8792">
        <f>IF(E8792="Domain",COUNTIF($E$2:E8792,"Domain"),"")</f>
        <v/>
      </c>
    </row>
    <row r="8793">
      <c r="A8793" s="2" t="n"/>
      <c r="B8793">
        <f>LOWER(TRIM(A8793))</f>
        <v/>
      </c>
      <c r="C8793">
        <f>IF(B8793="","",IFERROR(INDEX('Bad Patterns'!$A$2:$A$120,MATCH(1,INDEX(--ISNUMBER(SEARCH('Bad Patterns'!$A$2:$A$120,B8793)),0),0)),""))</f>
        <v/>
      </c>
      <c r="D8793">
        <f>IF(B8793="","",IF(C8793&lt;&gt;"","REMOVE","KEEP"))</f>
        <v/>
      </c>
      <c r="E8793">
        <f>IF(D8793&lt;&gt;"KEEP","",IF(RIGHT(B8793,10)="@gmail.com","Gmail",IF(OR(RIGHT(B8793,12)="@outlook.com",RIGHT(B8793,12)="@hotmail.com",RIGHT(B8793,9)="@live.com"),"Outlook","Domain")))</f>
        <v/>
      </c>
      <c r="F8793">
        <f>IF(B8793="","",IFERROR(RIGHT(B8793,LEN(B8793)-FIND("@",B8793)),""))</f>
        <v/>
      </c>
      <c r="G8793">
        <f>IF(D8793="KEEP",COUNTIF($D$2:D8793,"KEEP"),"")</f>
        <v/>
      </c>
      <c r="H8793">
        <f>IF(D8793="REMOVE",COUNTIF($D$2:D8793,"REMOVE"),"")</f>
        <v/>
      </c>
      <c r="I8793">
        <f>IF(E8793="Gmail",COUNTIF($E$2:E8793,"Gmail"),"")</f>
        <v/>
      </c>
      <c r="J8793">
        <f>IF(E8793="Outlook",COUNTIF($E$2:E8793,"Outlook"),"")</f>
        <v/>
      </c>
      <c r="K8793">
        <f>IF(E8793="Domain",COUNTIF($E$2:E8793,"Domain"),"")</f>
        <v/>
      </c>
    </row>
    <row r="8794">
      <c r="A8794" s="2" t="n"/>
      <c r="B8794">
        <f>LOWER(TRIM(A8794))</f>
        <v/>
      </c>
      <c r="C8794">
        <f>IF(B8794="","",IFERROR(INDEX('Bad Patterns'!$A$2:$A$120,MATCH(1,INDEX(--ISNUMBER(SEARCH('Bad Patterns'!$A$2:$A$120,B8794)),0),0)),""))</f>
        <v/>
      </c>
      <c r="D8794">
        <f>IF(B8794="","",IF(C8794&lt;&gt;"","REMOVE","KEEP"))</f>
        <v/>
      </c>
      <c r="E8794">
        <f>IF(D8794&lt;&gt;"KEEP","",IF(RIGHT(B8794,10)="@gmail.com","Gmail",IF(OR(RIGHT(B8794,12)="@outlook.com",RIGHT(B8794,12)="@hotmail.com",RIGHT(B8794,9)="@live.com"),"Outlook","Domain")))</f>
        <v/>
      </c>
      <c r="F8794">
        <f>IF(B8794="","",IFERROR(RIGHT(B8794,LEN(B8794)-FIND("@",B8794)),""))</f>
        <v/>
      </c>
      <c r="G8794">
        <f>IF(D8794="KEEP",COUNTIF($D$2:D8794,"KEEP"),"")</f>
        <v/>
      </c>
      <c r="H8794">
        <f>IF(D8794="REMOVE",COUNTIF($D$2:D8794,"REMOVE"),"")</f>
        <v/>
      </c>
      <c r="I8794">
        <f>IF(E8794="Gmail",COUNTIF($E$2:E8794,"Gmail"),"")</f>
        <v/>
      </c>
      <c r="J8794">
        <f>IF(E8794="Outlook",COUNTIF($E$2:E8794,"Outlook"),"")</f>
        <v/>
      </c>
      <c r="K8794">
        <f>IF(E8794="Domain",COUNTIF($E$2:E8794,"Domain"),"")</f>
        <v/>
      </c>
    </row>
    <row r="8795">
      <c r="A8795" s="2" t="n"/>
      <c r="B8795">
        <f>LOWER(TRIM(A8795))</f>
        <v/>
      </c>
      <c r="C8795">
        <f>IF(B8795="","",IFERROR(INDEX('Bad Patterns'!$A$2:$A$120,MATCH(1,INDEX(--ISNUMBER(SEARCH('Bad Patterns'!$A$2:$A$120,B8795)),0),0)),""))</f>
        <v/>
      </c>
      <c r="D8795">
        <f>IF(B8795="","",IF(C8795&lt;&gt;"","REMOVE","KEEP"))</f>
        <v/>
      </c>
      <c r="E8795">
        <f>IF(D8795&lt;&gt;"KEEP","",IF(RIGHT(B8795,10)="@gmail.com","Gmail",IF(OR(RIGHT(B8795,12)="@outlook.com",RIGHT(B8795,12)="@hotmail.com",RIGHT(B8795,9)="@live.com"),"Outlook","Domain")))</f>
        <v/>
      </c>
      <c r="F8795">
        <f>IF(B8795="","",IFERROR(RIGHT(B8795,LEN(B8795)-FIND("@",B8795)),""))</f>
        <v/>
      </c>
      <c r="G8795">
        <f>IF(D8795="KEEP",COUNTIF($D$2:D8795,"KEEP"),"")</f>
        <v/>
      </c>
      <c r="H8795">
        <f>IF(D8795="REMOVE",COUNTIF($D$2:D8795,"REMOVE"),"")</f>
        <v/>
      </c>
      <c r="I8795">
        <f>IF(E8795="Gmail",COUNTIF($E$2:E8795,"Gmail"),"")</f>
        <v/>
      </c>
      <c r="J8795">
        <f>IF(E8795="Outlook",COUNTIF($E$2:E8795,"Outlook"),"")</f>
        <v/>
      </c>
      <c r="K8795">
        <f>IF(E8795="Domain",COUNTIF($E$2:E8795,"Domain"),"")</f>
        <v/>
      </c>
    </row>
    <row r="8796">
      <c r="A8796" s="2" t="n"/>
      <c r="B8796">
        <f>LOWER(TRIM(A8796))</f>
        <v/>
      </c>
      <c r="C8796">
        <f>IF(B8796="","",IFERROR(INDEX('Bad Patterns'!$A$2:$A$120,MATCH(1,INDEX(--ISNUMBER(SEARCH('Bad Patterns'!$A$2:$A$120,B8796)),0),0)),""))</f>
        <v/>
      </c>
      <c r="D8796">
        <f>IF(B8796="","",IF(C8796&lt;&gt;"","REMOVE","KEEP"))</f>
        <v/>
      </c>
      <c r="E8796">
        <f>IF(D8796&lt;&gt;"KEEP","",IF(RIGHT(B8796,10)="@gmail.com","Gmail",IF(OR(RIGHT(B8796,12)="@outlook.com",RIGHT(B8796,12)="@hotmail.com",RIGHT(B8796,9)="@live.com"),"Outlook","Domain")))</f>
        <v/>
      </c>
      <c r="F8796">
        <f>IF(B8796="","",IFERROR(RIGHT(B8796,LEN(B8796)-FIND("@",B8796)),""))</f>
        <v/>
      </c>
      <c r="G8796">
        <f>IF(D8796="KEEP",COUNTIF($D$2:D8796,"KEEP"),"")</f>
        <v/>
      </c>
      <c r="H8796">
        <f>IF(D8796="REMOVE",COUNTIF($D$2:D8796,"REMOVE"),"")</f>
        <v/>
      </c>
      <c r="I8796">
        <f>IF(E8796="Gmail",COUNTIF($E$2:E8796,"Gmail"),"")</f>
        <v/>
      </c>
      <c r="J8796">
        <f>IF(E8796="Outlook",COUNTIF($E$2:E8796,"Outlook"),"")</f>
        <v/>
      </c>
      <c r="K8796">
        <f>IF(E8796="Domain",COUNTIF($E$2:E8796,"Domain"),"")</f>
        <v/>
      </c>
    </row>
    <row r="8797">
      <c r="A8797" s="2" t="n"/>
      <c r="B8797">
        <f>LOWER(TRIM(A8797))</f>
        <v/>
      </c>
      <c r="C8797">
        <f>IF(B8797="","",IFERROR(INDEX('Bad Patterns'!$A$2:$A$120,MATCH(1,INDEX(--ISNUMBER(SEARCH('Bad Patterns'!$A$2:$A$120,B8797)),0),0)),""))</f>
        <v/>
      </c>
      <c r="D8797">
        <f>IF(B8797="","",IF(C8797&lt;&gt;"","REMOVE","KEEP"))</f>
        <v/>
      </c>
      <c r="E8797">
        <f>IF(D8797&lt;&gt;"KEEP","",IF(RIGHT(B8797,10)="@gmail.com","Gmail",IF(OR(RIGHT(B8797,12)="@outlook.com",RIGHT(B8797,12)="@hotmail.com",RIGHT(B8797,9)="@live.com"),"Outlook","Domain")))</f>
        <v/>
      </c>
      <c r="F8797">
        <f>IF(B8797="","",IFERROR(RIGHT(B8797,LEN(B8797)-FIND("@",B8797)),""))</f>
        <v/>
      </c>
      <c r="G8797">
        <f>IF(D8797="KEEP",COUNTIF($D$2:D8797,"KEEP"),"")</f>
        <v/>
      </c>
      <c r="H8797">
        <f>IF(D8797="REMOVE",COUNTIF($D$2:D8797,"REMOVE"),"")</f>
        <v/>
      </c>
      <c r="I8797">
        <f>IF(E8797="Gmail",COUNTIF($E$2:E8797,"Gmail"),"")</f>
        <v/>
      </c>
      <c r="J8797">
        <f>IF(E8797="Outlook",COUNTIF($E$2:E8797,"Outlook"),"")</f>
        <v/>
      </c>
      <c r="K8797">
        <f>IF(E8797="Domain",COUNTIF($E$2:E8797,"Domain"),"")</f>
        <v/>
      </c>
    </row>
    <row r="8798">
      <c r="A8798" s="2" t="n"/>
      <c r="B8798">
        <f>LOWER(TRIM(A8798))</f>
        <v/>
      </c>
      <c r="C8798">
        <f>IF(B8798="","",IFERROR(INDEX('Bad Patterns'!$A$2:$A$120,MATCH(1,INDEX(--ISNUMBER(SEARCH('Bad Patterns'!$A$2:$A$120,B8798)),0),0)),""))</f>
        <v/>
      </c>
      <c r="D8798">
        <f>IF(B8798="","",IF(C8798&lt;&gt;"","REMOVE","KEEP"))</f>
        <v/>
      </c>
      <c r="E8798">
        <f>IF(D8798&lt;&gt;"KEEP","",IF(RIGHT(B8798,10)="@gmail.com","Gmail",IF(OR(RIGHT(B8798,12)="@outlook.com",RIGHT(B8798,12)="@hotmail.com",RIGHT(B8798,9)="@live.com"),"Outlook","Domain")))</f>
        <v/>
      </c>
      <c r="F8798">
        <f>IF(B8798="","",IFERROR(RIGHT(B8798,LEN(B8798)-FIND("@",B8798)),""))</f>
        <v/>
      </c>
      <c r="G8798">
        <f>IF(D8798="KEEP",COUNTIF($D$2:D8798,"KEEP"),"")</f>
        <v/>
      </c>
      <c r="H8798">
        <f>IF(D8798="REMOVE",COUNTIF($D$2:D8798,"REMOVE"),"")</f>
        <v/>
      </c>
      <c r="I8798">
        <f>IF(E8798="Gmail",COUNTIF($E$2:E8798,"Gmail"),"")</f>
        <v/>
      </c>
      <c r="J8798">
        <f>IF(E8798="Outlook",COUNTIF($E$2:E8798,"Outlook"),"")</f>
        <v/>
      </c>
      <c r="K8798">
        <f>IF(E8798="Domain",COUNTIF($E$2:E8798,"Domain"),"")</f>
        <v/>
      </c>
    </row>
    <row r="8799">
      <c r="A8799" s="2" t="n"/>
      <c r="B8799">
        <f>LOWER(TRIM(A8799))</f>
        <v/>
      </c>
      <c r="C8799">
        <f>IF(B8799="","",IFERROR(INDEX('Bad Patterns'!$A$2:$A$120,MATCH(1,INDEX(--ISNUMBER(SEARCH('Bad Patterns'!$A$2:$A$120,B8799)),0),0)),""))</f>
        <v/>
      </c>
      <c r="D8799">
        <f>IF(B8799="","",IF(C8799&lt;&gt;"","REMOVE","KEEP"))</f>
        <v/>
      </c>
      <c r="E8799">
        <f>IF(D8799&lt;&gt;"KEEP","",IF(RIGHT(B8799,10)="@gmail.com","Gmail",IF(OR(RIGHT(B8799,12)="@outlook.com",RIGHT(B8799,12)="@hotmail.com",RIGHT(B8799,9)="@live.com"),"Outlook","Domain")))</f>
        <v/>
      </c>
      <c r="F8799">
        <f>IF(B8799="","",IFERROR(RIGHT(B8799,LEN(B8799)-FIND("@",B8799)),""))</f>
        <v/>
      </c>
      <c r="G8799">
        <f>IF(D8799="KEEP",COUNTIF($D$2:D8799,"KEEP"),"")</f>
        <v/>
      </c>
      <c r="H8799">
        <f>IF(D8799="REMOVE",COUNTIF($D$2:D8799,"REMOVE"),"")</f>
        <v/>
      </c>
      <c r="I8799">
        <f>IF(E8799="Gmail",COUNTIF($E$2:E8799,"Gmail"),"")</f>
        <v/>
      </c>
      <c r="J8799">
        <f>IF(E8799="Outlook",COUNTIF($E$2:E8799,"Outlook"),"")</f>
        <v/>
      </c>
      <c r="K8799">
        <f>IF(E8799="Domain",COUNTIF($E$2:E8799,"Domain"),"")</f>
        <v/>
      </c>
    </row>
    <row r="8800">
      <c r="A8800" s="2" t="n"/>
      <c r="B8800">
        <f>LOWER(TRIM(A8800))</f>
        <v/>
      </c>
      <c r="C8800">
        <f>IF(B8800="","",IFERROR(INDEX('Bad Patterns'!$A$2:$A$120,MATCH(1,INDEX(--ISNUMBER(SEARCH('Bad Patterns'!$A$2:$A$120,B8800)),0),0)),""))</f>
        <v/>
      </c>
      <c r="D8800">
        <f>IF(B8800="","",IF(C8800&lt;&gt;"","REMOVE","KEEP"))</f>
        <v/>
      </c>
      <c r="E8800">
        <f>IF(D8800&lt;&gt;"KEEP","",IF(RIGHT(B8800,10)="@gmail.com","Gmail",IF(OR(RIGHT(B8800,12)="@outlook.com",RIGHT(B8800,12)="@hotmail.com",RIGHT(B8800,9)="@live.com"),"Outlook","Domain")))</f>
        <v/>
      </c>
      <c r="F8800">
        <f>IF(B8800="","",IFERROR(RIGHT(B8800,LEN(B8800)-FIND("@",B8800)),""))</f>
        <v/>
      </c>
      <c r="G8800">
        <f>IF(D8800="KEEP",COUNTIF($D$2:D8800,"KEEP"),"")</f>
        <v/>
      </c>
      <c r="H8800">
        <f>IF(D8800="REMOVE",COUNTIF($D$2:D8800,"REMOVE"),"")</f>
        <v/>
      </c>
      <c r="I8800">
        <f>IF(E8800="Gmail",COUNTIF($E$2:E8800,"Gmail"),"")</f>
        <v/>
      </c>
      <c r="J8800">
        <f>IF(E8800="Outlook",COUNTIF($E$2:E8800,"Outlook"),"")</f>
        <v/>
      </c>
      <c r="K8800">
        <f>IF(E8800="Domain",COUNTIF($E$2:E8800,"Domain"),"")</f>
        <v/>
      </c>
    </row>
    <row r="8801">
      <c r="A8801" s="2" t="n"/>
      <c r="B8801">
        <f>LOWER(TRIM(A8801))</f>
        <v/>
      </c>
      <c r="C8801">
        <f>IF(B8801="","",IFERROR(INDEX('Bad Patterns'!$A$2:$A$120,MATCH(1,INDEX(--ISNUMBER(SEARCH('Bad Patterns'!$A$2:$A$120,B8801)),0),0)),""))</f>
        <v/>
      </c>
      <c r="D8801">
        <f>IF(B8801="","",IF(C8801&lt;&gt;"","REMOVE","KEEP"))</f>
        <v/>
      </c>
      <c r="E8801">
        <f>IF(D8801&lt;&gt;"KEEP","",IF(RIGHT(B8801,10)="@gmail.com","Gmail",IF(OR(RIGHT(B8801,12)="@outlook.com",RIGHT(B8801,12)="@hotmail.com",RIGHT(B8801,9)="@live.com"),"Outlook","Domain")))</f>
        <v/>
      </c>
      <c r="F8801">
        <f>IF(B8801="","",IFERROR(RIGHT(B8801,LEN(B8801)-FIND("@",B8801)),""))</f>
        <v/>
      </c>
      <c r="G8801">
        <f>IF(D8801="KEEP",COUNTIF($D$2:D8801,"KEEP"),"")</f>
        <v/>
      </c>
      <c r="H8801">
        <f>IF(D8801="REMOVE",COUNTIF($D$2:D8801,"REMOVE"),"")</f>
        <v/>
      </c>
      <c r="I8801">
        <f>IF(E8801="Gmail",COUNTIF($E$2:E8801,"Gmail"),"")</f>
        <v/>
      </c>
      <c r="J8801">
        <f>IF(E8801="Outlook",COUNTIF($E$2:E8801,"Outlook"),"")</f>
        <v/>
      </c>
      <c r="K8801">
        <f>IF(E8801="Domain",COUNTIF($E$2:E8801,"Domain"),"")</f>
        <v/>
      </c>
    </row>
    <row r="8802">
      <c r="A8802" s="2" t="n"/>
      <c r="B8802">
        <f>LOWER(TRIM(A8802))</f>
        <v/>
      </c>
      <c r="C8802">
        <f>IF(B8802="","",IFERROR(INDEX('Bad Patterns'!$A$2:$A$120,MATCH(1,INDEX(--ISNUMBER(SEARCH('Bad Patterns'!$A$2:$A$120,B8802)),0),0)),""))</f>
        <v/>
      </c>
      <c r="D8802">
        <f>IF(B8802="","",IF(C8802&lt;&gt;"","REMOVE","KEEP"))</f>
        <v/>
      </c>
      <c r="E8802">
        <f>IF(D8802&lt;&gt;"KEEP","",IF(RIGHT(B8802,10)="@gmail.com","Gmail",IF(OR(RIGHT(B8802,12)="@outlook.com",RIGHT(B8802,12)="@hotmail.com",RIGHT(B8802,9)="@live.com"),"Outlook","Domain")))</f>
        <v/>
      </c>
      <c r="F8802">
        <f>IF(B8802="","",IFERROR(RIGHT(B8802,LEN(B8802)-FIND("@",B8802)),""))</f>
        <v/>
      </c>
      <c r="G8802">
        <f>IF(D8802="KEEP",COUNTIF($D$2:D8802,"KEEP"),"")</f>
        <v/>
      </c>
      <c r="H8802">
        <f>IF(D8802="REMOVE",COUNTIF($D$2:D8802,"REMOVE"),"")</f>
        <v/>
      </c>
      <c r="I8802">
        <f>IF(E8802="Gmail",COUNTIF($E$2:E8802,"Gmail"),"")</f>
        <v/>
      </c>
      <c r="J8802">
        <f>IF(E8802="Outlook",COUNTIF($E$2:E8802,"Outlook"),"")</f>
        <v/>
      </c>
      <c r="K8802">
        <f>IF(E8802="Domain",COUNTIF($E$2:E8802,"Domain"),"")</f>
        <v/>
      </c>
    </row>
    <row r="8803">
      <c r="A8803" s="2" t="n"/>
      <c r="B8803">
        <f>LOWER(TRIM(A8803))</f>
        <v/>
      </c>
      <c r="C8803">
        <f>IF(B8803="","",IFERROR(INDEX('Bad Patterns'!$A$2:$A$120,MATCH(1,INDEX(--ISNUMBER(SEARCH('Bad Patterns'!$A$2:$A$120,B8803)),0),0)),""))</f>
        <v/>
      </c>
      <c r="D8803">
        <f>IF(B8803="","",IF(C8803&lt;&gt;"","REMOVE","KEEP"))</f>
        <v/>
      </c>
      <c r="E8803">
        <f>IF(D8803&lt;&gt;"KEEP","",IF(RIGHT(B8803,10)="@gmail.com","Gmail",IF(OR(RIGHT(B8803,12)="@outlook.com",RIGHT(B8803,12)="@hotmail.com",RIGHT(B8803,9)="@live.com"),"Outlook","Domain")))</f>
        <v/>
      </c>
      <c r="F8803">
        <f>IF(B8803="","",IFERROR(RIGHT(B8803,LEN(B8803)-FIND("@",B8803)),""))</f>
        <v/>
      </c>
      <c r="G8803">
        <f>IF(D8803="KEEP",COUNTIF($D$2:D8803,"KEEP"),"")</f>
        <v/>
      </c>
      <c r="H8803">
        <f>IF(D8803="REMOVE",COUNTIF($D$2:D8803,"REMOVE"),"")</f>
        <v/>
      </c>
      <c r="I8803">
        <f>IF(E8803="Gmail",COUNTIF($E$2:E8803,"Gmail"),"")</f>
        <v/>
      </c>
      <c r="J8803">
        <f>IF(E8803="Outlook",COUNTIF($E$2:E8803,"Outlook"),"")</f>
        <v/>
      </c>
      <c r="K8803">
        <f>IF(E8803="Domain",COUNTIF($E$2:E8803,"Domain"),"")</f>
        <v/>
      </c>
    </row>
    <row r="8804">
      <c r="A8804" s="2" t="n"/>
      <c r="B8804">
        <f>LOWER(TRIM(A8804))</f>
        <v/>
      </c>
      <c r="C8804">
        <f>IF(B8804="","",IFERROR(INDEX('Bad Patterns'!$A$2:$A$120,MATCH(1,INDEX(--ISNUMBER(SEARCH('Bad Patterns'!$A$2:$A$120,B8804)),0),0)),""))</f>
        <v/>
      </c>
      <c r="D8804">
        <f>IF(B8804="","",IF(C8804&lt;&gt;"","REMOVE","KEEP"))</f>
        <v/>
      </c>
      <c r="E8804">
        <f>IF(D8804&lt;&gt;"KEEP","",IF(RIGHT(B8804,10)="@gmail.com","Gmail",IF(OR(RIGHT(B8804,12)="@outlook.com",RIGHT(B8804,12)="@hotmail.com",RIGHT(B8804,9)="@live.com"),"Outlook","Domain")))</f>
        <v/>
      </c>
      <c r="F8804">
        <f>IF(B8804="","",IFERROR(RIGHT(B8804,LEN(B8804)-FIND("@",B8804)),""))</f>
        <v/>
      </c>
      <c r="G8804">
        <f>IF(D8804="KEEP",COUNTIF($D$2:D8804,"KEEP"),"")</f>
        <v/>
      </c>
      <c r="H8804">
        <f>IF(D8804="REMOVE",COUNTIF($D$2:D8804,"REMOVE"),"")</f>
        <v/>
      </c>
      <c r="I8804">
        <f>IF(E8804="Gmail",COUNTIF($E$2:E8804,"Gmail"),"")</f>
        <v/>
      </c>
      <c r="J8804">
        <f>IF(E8804="Outlook",COUNTIF($E$2:E8804,"Outlook"),"")</f>
        <v/>
      </c>
      <c r="K8804">
        <f>IF(E8804="Domain",COUNTIF($E$2:E8804,"Domain"),"")</f>
        <v/>
      </c>
    </row>
    <row r="8805">
      <c r="A8805" s="2" t="n"/>
      <c r="B8805">
        <f>LOWER(TRIM(A8805))</f>
        <v/>
      </c>
      <c r="C8805">
        <f>IF(B8805="","",IFERROR(INDEX('Bad Patterns'!$A$2:$A$120,MATCH(1,INDEX(--ISNUMBER(SEARCH('Bad Patterns'!$A$2:$A$120,B8805)),0),0)),""))</f>
        <v/>
      </c>
      <c r="D8805">
        <f>IF(B8805="","",IF(C8805&lt;&gt;"","REMOVE","KEEP"))</f>
        <v/>
      </c>
      <c r="E8805">
        <f>IF(D8805&lt;&gt;"KEEP","",IF(RIGHT(B8805,10)="@gmail.com","Gmail",IF(OR(RIGHT(B8805,12)="@outlook.com",RIGHT(B8805,12)="@hotmail.com",RIGHT(B8805,9)="@live.com"),"Outlook","Domain")))</f>
        <v/>
      </c>
      <c r="F8805">
        <f>IF(B8805="","",IFERROR(RIGHT(B8805,LEN(B8805)-FIND("@",B8805)),""))</f>
        <v/>
      </c>
      <c r="G8805">
        <f>IF(D8805="KEEP",COUNTIF($D$2:D8805,"KEEP"),"")</f>
        <v/>
      </c>
      <c r="H8805">
        <f>IF(D8805="REMOVE",COUNTIF($D$2:D8805,"REMOVE"),"")</f>
        <v/>
      </c>
      <c r="I8805">
        <f>IF(E8805="Gmail",COUNTIF($E$2:E8805,"Gmail"),"")</f>
        <v/>
      </c>
      <c r="J8805">
        <f>IF(E8805="Outlook",COUNTIF($E$2:E8805,"Outlook"),"")</f>
        <v/>
      </c>
      <c r="K8805">
        <f>IF(E8805="Domain",COUNTIF($E$2:E8805,"Domain"),"")</f>
        <v/>
      </c>
    </row>
    <row r="8806">
      <c r="A8806" s="2" t="n"/>
      <c r="B8806">
        <f>LOWER(TRIM(A8806))</f>
        <v/>
      </c>
      <c r="C8806">
        <f>IF(B8806="","",IFERROR(INDEX('Bad Patterns'!$A$2:$A$120,MATCH(1,INDEX(--ISNUMBER(SEARCH('Bad Patterns'!$A$2:$A$120,B8806)),0),0)),""))</f>
        <v/>
      </c>
      <c r="D8806">
        <f>IF(B8806="","",IF(C8806&lt;&gt;"","REMOVE","KEEP"))</f>
        <v/>
      </c>
      <c r="E8806">
        <f>IF(D8806&lt;&gt;"KEEP","",IF(RIGHT(B8806,10)="@gmail.com","Gmail",IF(OR(RIGHT(B8806,12)="@outlook.com",RIGHT(B8806,12)="@hotmail.com",RIGHT(B8806,9)="@live.com"),"Outlook","Domain")))</f>
        <v/>
      </c>
      <c r="F8806">
        <f>IF(B8806="","",IFERROR(RIGHT(B8806,LEN(B8806)-FIND("@",B8806)),""))</f>
        <v/>
      </c>
      <c r="G8806">
        <f>IF(D8806="KEEP",COUNTIF($D$2:D8806,"KEEP"),"")</f>
        <v/>
      </c>
      <c r="H8806">
        <f>IF(D8806="REMOVE",COUNTIF($D$2:D8806,"REMOVE"),"")</f>
        <v/>
      </c>
      <c r="I8806">
        <f>IF(E8806="Gmail",COUNTIF($E$2:E8806,"Gmail"),"")</f>
        <v/>
      </c>
      <c r="J8806">
        <f>IF(E8806="Outlook",COUNTIF($E$2:E8806,"Outlook"),"")</f>
        <v/>
      </c>
      <c r="K8806">
        <f>IF(E8806="Domain",COUNTIF($E$2:E8806,"Domain"),"")</f>
        <v/>
      </c>
    </row>
    <row r="8807">
      <c r="A8807" s="2" t="n"/>
      <c r="B8807">
        <f>LOWER(TRIM(A8807))</f>
        <v/>
      </c>
      <c r="C8807">
        <f>IF(B8807="","",IFERROR(INDEX('Bad Patterns'!$A$2:$A$120,MATCH(1,INDEX(--ISNUMBER(SEARCH('Bad Patterns'!$A$2:$A$120,B8807)),0),0)),""))</f>
        <v/>
      </c>
      <c r="D8807">
        <f>IF(B8807="","",IF(C8807&lt;&gt;"","REMOVE","KEEP"))</f>
        <v/>
      </c>
      <c r="E8807">
        <f>IF(D8807&lt;&gt;"KEEP","",IF(RIGHT(B8807,10)="@gmail.com","Gmail",IF(OR(RIGHT(B8807,12)="@outlook.com",RIGHT(B8807,12)="@hotmail.com",RIGHT(B8807,9)="@live.com"),"Outlook","Domain")))</f>
        <v/>
      </c>
      <c r="F8807">
        <f>IF(B8807="","",IFERROR(RIGHT(B8807,LEN(B8807)-FIND("@",B8807)),""))</f>
        <v/>
      </c>
      <c r="G8807">
        <f>IF(D8807="KEEP",COUNTIF($D$2:D8807,"KEEP"),"")</f>
        <v/>
      </c>
      <c r="H8807">
        <f>IF(D8807="REMOVE",COUNTIF($D$2:D8807,"REMOVE"),"")</f>
        <v/>
      </c>
      <c r="I8807">
        <f>IF(E8807="Gmail",COUNTIF($E$2:E8807,"Gmail"),"")</f>
        <v/>
      </c>
      <c r="J8807">
        <f>IF(E8807="Outlook",COUNTIF($E$2:E8807,"Outlook"),"")</f>
        <v/>
      </c>
      <c r="K8807">
        <f>IF(E8807="Domain",COUNTIF($E$2:E8807,"Domain"),"")</f>
        <v/>
      </c>
    </row>
    <row r="8808">
      <c r="A8808" s="2" t="n"/>
      <c r="B8808">
        <f>LOWER(TRIM(A8808))</f>
        <v/>
      </c>
      <c r="C8808">
        <f>IF(B8808="","",IFERROR(INDEX('Bad Patterns'!$A$2:$A$120,MATCH(1,INDEX(--ISNUMBER(SEARCH('Bad Patterns'!$A$2:$A$120,B8808)),0),0)),""))</f>
        <v/>
      </c>
      <c r="D8808">
        <f>IF(B8808="","",IF(C8808&lt;&gt;"","REMOVE","KEEP"))</f>
        <v/>
      </c>
      <c r="E8808">
        <f>IF(D8808&lt;&gt;"KEEP","",IF(RIGHT(B8808,10)="@gmail.com","Gmail",IF(OR(RIGHT(B8808,12)="@outlook.com",RIGHT(B8808,12)="@hotmail.com",RIGHT(B8808,9)="@live.com"),"Outlook","Domain")))</f>
        <v/>
      </c>
      <c r="F8808">
        <f>IF(B8808="","",IFERROR(RIGHT(B8808,LEN(B8808)-FIND("@",B8808)),""))</f>
        <v/>
      </c>
      <c r="G8808">
        <f>IF(D8808="KEEP",COUNTIF($D$2:D8808,"KEEP"),"")</f>
        <v/>
      </c>
      <c r="H8808">
        <f>IF(D8808="REMOVE",COUNTIF($D$2:D8808,"REMOVE"),"")</f>
        <v/>
      </c>
      <c r="I8808">
        <f>IF(E8808="Gmail",COUNTIF($E$2:E8808,"Gmail"),"")</f>
        <v/>
      </c>
      <c r="J8808">
        <f>IF(E8808="Outlook",COUNTIF($E$2:E8808,"Outlook"),"")</f>
        <v/>
      </c>
      <c r="K8808">
        <f>IF(E8808="Domain",COUNTIF($E$2:E8808,"Domain"),"")</f>
        <v/>
      </c>
    </row>
    <row r="8809">
      <c r="A8809" s="2" t="n"/>
      <c r="B8809">
        <f>LOWER(TRIM(A8809))</f>
        <v/>
      </c>
      <c r="C8809">
        <f>IF(B8809="","",IFERROR(INDEX('Bad Patterns'!$A$2:$A$120,MATCH(1,INDEX(--ISNUMBER(SEARCH('Bad Patterns'!$A$2:$A$120,B8809)),0),0)),""))</f>
        <v/>
      </c>
      <c r="D8809">
        <f>IF(B8809="","",IF(C8809&lt;&gt;"","REMOVE","KEEP"))</f>
        <v/>
      </c>
      <c r="E8809">
        <f>IF(D8809&lt;&gt;"KEEP","",IF(RIGHT(B8809,10)="@gmail.com","Gmail",IF(OR(RIGHT(B8809,12)="@outlook.com",RIGHT(B8809,12)="@hotmail.com",RIGHT(B8809,9)="@live.com"),"Outlook","Domain")))</f>
        <v/>
      </c>
      <c r="F8809">
        <f>IF(B8809="","",IFERROR(RIGHT(B8809,LEN(B8809)-FIND("@",B8809)),""))</f>
        <v/>
      </c>
      <c r="G8809">
        <f>IF(D8809="KEEP",COUNTIF($D$2:D8809,"KEEP"),"")</f>
        <v/>
      </c>
      <c r="H8809">
        <f>IF(D8809="REMOVE",COUNTIF($D$2:D8809,"REMOVE"),"")</f>
        <v/>
      </c>
      <c r="I8809">
        <f>IF(E8809="Gmail",COUNTIF($E$2:E8809,"Gmail"),"")</f>
        <v/>
      </c>
      <c r="J8809">
        <f>IF(E8809="Outlook",COUNTIF($E$2:E8809,"Outlook"),"")</f>
        <v/>
      </c>
      <c r="K8809">
        <f>IF(E8809="Domain",COUNTIF($E$2:E8809,"Domain"),"")</f>
        <v/>
      </c>
    </row>
    <row r="8810">
      <c r="A8810" s="2" t="n"/>
      <c r="B8810">
        <f>LOWER(TRIM(A8810))</f>
        <v/>
      </c>
      <c r="C8810">
        <f>IF(B8810="","",IFERROR(INDEX('Bad Patterns'!$A$2:$A$120,MATCH(1,INDEX(--ISNUMBER(SEARCH('Bad Patterns'!$A$2:$A$120,B8810)),0),0)),""))</f>
        <v/>
      </c>
      <c r="D8810">
        <f>IF(B8810="","",IF(C8810&lt;&gt;"","REMOVE","KEEP"))</f>
        <v/>
      </c>
      <c r="E8810">
        <f>IF(D8810&lt;&gt;"KEEP","",IF(RIGHT(B8810,10)="@gmail.com","Gmail",IF(OR(RIGHT(B8810,12)="@outlook.com",RIGHT(B8810,12)="@hotmail.com",RIGHT(B8810,9)="@live.com"),"Outlook","Domain")))</f>
        <v/>
      </c>
      <c r="F8810">
        <f>IF(B8810="","",IFERROR(RIGHT(B8810,LEN(B8810)-FIND("@",B8810)),""))</f>
        <v/>
      </c>
      <c r="G8810">
        <f>IF(D8810="KEEP",COUNTIF($D$2:D8810,"KEEP"),"")</f>
        <v/>
      </c>
      <c r="H8810">
        <f>IF(D8810="REMOVE",COUNTIF($D$2:D8810,"REMOVE"),"")</f>
        <v/>
      </c>
      <c r="I8810">
        <f>IF(E8810="Gmail",COUNTIF($E$2:E8810,"Gmail"),"")</f>
        <v/>
      </c>
      <c r="J8810">
        <f>IF(E8810="Outlook",COUNTIF($E$2:E8810,"Outlook"),"")</f>
        <v/>
      </c>
      <c r="K8810">
        <f>IF(E8810="Domain",COUNTIF($E$2:E8810,"Domain"),"")</f>
        <v/>
      </c>
    </row>
    <row r="8811">
      <c r="A8811" s="2" t="n"/>
      <c r="B8811">
        <f>LOWER(TRIM(A8811))</f>
        <v/>
      </c>
      <c r="C8811">
        <f>IF(B8811="","",IFERROR(INDEX('Bad Patterns'!$A$2:$A$120,MATCH(1,INDEX(--ISNUMBER(SEARCH('Bad Patterns'!$A$2:$A$120,B8811)),0),0)),""))</f>
        <v/>
      </c>
      <c r="D8811">
        <f>IF(B8811="","",IF(C8811&lt;&gt;"","REMOVE","KEEP"))</f>
        <v/>
      </c>
      <c r="E8811">
        <f>IF(D8811&lt;&gt;"KEEP","",IF(RIGHT(B8811,10)="@gmail.com","Gmail",IF(OR(RIGHT(B8811,12)="@outlook.com",RIGHT(B8811,12)="@hotmail.com",RIGHT(B8811,9)="@live.com"),"Outlook","Domain")))</f>
        <v/>
      </c>
      <c r="F8811">
        <f>IF(B8811="","",IFERROR(RIGHT(B8811,LEN(B8811)-FIND("@",B8811)),""))</f>
        <v/>
      </c>
      <c r="G8811">
        <f>IF(D8811="KEEP",COUNTIF($D$2:D8811,"KEEP"),"")</f>
        <v/>
      </c>
      <c r="H8811">
        <f>IF(D8811="REMOVE",COUNTIF($D$2:D8811,"REMOVE"),"")</f>
        <v/>
      </c>
      <c r="I8811">
        <f>IF(E8811="Gmail",COUNTIF($E$2:E8811,"Gmail"),"")</f>
        <v/>
      </c>
      <c r="J8811">
        <f>IF(E8811="Outlook",COUNTIF($E$2:E8811,"Outlook"),"")</f>
        <v/>
      </c>
      <c r="K8811">
        <f>IF(E8811="Domain",COUNTIF($E$2:E8811,"Domain"),"")</f>
        <v/>
      </c>
    </row>
    <row r="8812">
      <c r="A8812" s="2" t="n"/>
      <c r="B8812">
        <f>LOWER(TRIM(A8812))</f>
        <v/>
      </c>
      <c r="C8812">
        <f>IF(B8812="","",IFERROR(INDEX('Bad Patterns'!$A$2:$A$120,MATCH(1,INDEX(--ISNUMBER(SEARCH('Bad Patterns'!$A$2:$A$120,B8812)),0),0)),""))</f>
        <v/>
      </c>
      <c r="D8812">
        <f>IF(B8812="","",IF(C8812&lt;&gt;"","REMOVE","KEEP"))</f>
        <v/>
      </c>
      <c r="E8812">
        <f>IF(D8812&lt;&gt;"KEEP","",IF(RIGHT(B8812,10)="@gmail.com","Gmail",IF(OR(RIGHT(B8812,12)="@outlook.com",RIGHT(B8812,12)="@hotmail.com",RIGHT(B8812,9)="@live.com"),"Outlook","Domain")))</f>
        <v/>
      </c>
      <c r="F8812">
        <f>IF(B8812="","",IFERROR(RIGHT(B8812,LEN(B8812)-FIND("@",B8812)),""))</f>
        <v/>
      </c>
      <c r="G8812">
        <f>IF(D8812="KEEP",COUNTIF($D$2:D8812,"KEEP"),"")</f>
        <v/>
      </c>
      <c r="H8812">
        <f>IF(D8812="REMOVE",COUNTIF($D$2:D8812,"REMOVE"),"")</f>
        <v/>
      </c>
      <c r="I8812">
        <f>IF(E8812="Gmail",COUNTIF($E$2:E8812,"Gmail"),"")</f>
        <v/>
      </c>
      <c r="J8812">
        <f>IF(E8812="Outlook",COUNTIF($E$2:E8812,"Outlook"),"")</f>
        <v/>
      </c>
      <c r="K8812">
        <f>IF(E8812="Domain",COUNTIF($E$2:E8812,"Domain"),"")</f>
        <v/>
      </c>
    </row>
    <row r="8813">
      <c r="A8813" s="2" t="n"/>
      <c r="B8813">
        <f>LOWER(TRIM(A8813))</f>
        <v/>
      </c>
      <c r="C8813">
        <f>IF(B8813="","",IFERROR(INDEX('Bad Patterns'!$A$2:$A$120,MATCH(1,INDEX(--ISNUMBER(SEARCH('Bad Patterns'!$A$2:$A$120,B8813)),0),0)),""))</f>
        <v/>
      </c>
      <c r="D8813">
        <f>IF(B8813="","",IF(C8813&lt;&gt;"","REMOVE","KEEP"))</f>
        <v/>
      </c>
      <c r="E8813">
        <f>IF(D8813&lt;&gt;"KEEP","",IF(RIGHT(B8813,10)="@gmail.com","Gmail",IF(OR(RIGHT(B8813,12)="@outlook.com",RIGHT(B8813,12)="@hotmail.com",RIGHT(B8813,9)="@live.com"),"Outlook","Domain")))</f>
        <v/>
      </c>
      <c r="F8813">
        <f>IF(B8813="","",IFERROR(RIGHT(B8813,LEN(B8813)-FIND("@",B8813)),""))</f>
        <v/>
      </c>
      <c r="G8813">
        <f>IF(D8813="KEEP",COUNTIF($D$2:D8813,"KEEP"),"")</f>
        <v/>
      </c>
      <c r="H8813">
        <f>IF(D8813="REMOVE",COUNTIF($D$2:D8813,"REMOVE"),"")</f>
        <v/>
      </c>
      <c r="I8813">
        <f>IF(E8813="Gmail",COUNTIF($E$2:E8813,"Gmail"),"")</f>
        <v/>
      </c>
      <c r="J8813">
        <f>IF(E8813="Outlook",COUNTIF($E$2:E8813,"Outlook"),"")</f>
        <v/>
      </c>
      <c r="K8813">
        <f>IF(E8813="Domain",COUNTIF($E$2:E8813,"Domain"),"")</f>
        <v/>
      </c>
    </row>
    <row r="8814">
      <c r="A8814" s="2" t="n"/>
      <c r="B8814">
        <f>LOWER(TRIM(A8814))</f>
        <v/>
      </c>
      <c r="C8814">
        <f>IF(B8814="","",IFERROR(INDEX('Bad Patterns'!$A$2:$A$120,MATCH(1,INDEX(--ISNUMBER(SEARCH('Bad Patterns'!$A$2:$A$120,B8814)),0),0)),""))</f>
        <v/>
      </c>
      <c r="D8814">
        <f>IF(B8814="","",IF(C8814&lt;&gt;"","REMOVE","KEEP"))</f>
        <v/>
      </c>
      <c r="E8814">
        <f>IF(D8814&lt;&gt;"KEEP","",IF(RIGHT(B8814,10)="@gmail.com","Gmail",IF(OR(RIGHT(B8814,12)="@outlook.com",RIGHT(B8814,12)="@hotmail.com",RIGHT(B8814,9)="@live.com"),"Outlook","Domain")))</f>
        <v/>
      </c>
      <c r="F8814">
        <f>IF(B8814="","",IFERROR(RIGHT(B8814,LEN(B8814)-FIND("@",B8814)),""))</f>
        <v/>
      </c>
      <c r="G8814">
        <f>IF(D8814="KEEP",COUNTIF($D$2:D8814,"KEEP"),"")</f>
        <v/>
      </c>
      <c r="H8814">
        <f>IF(D8814="REMOVE",COUNTIF($D$2:D8814,"REMOVE"),"")</f>
        <v/>
      </c>
      <c r="I8814">
        <f>IF(E8814="Gmail",COUNTIF($E$2:E8814,"Gmail"),"")</f>
        <v/>
      </c>
      <c r="J8814">
        <f>IF(E8814="Outlook",COUNTIF($E$2:E8814,"Outlook"),"")</f>
        <v/>
      </c>
      <c r="K8814">
        <f>IF(E8814="Domain",COUNTIF($E$2:E8814,"Domain"),"")</f>
        <v/>
      </c>
    </row>
    <row r="8815">
      <c r="A8815" s="2" t="n"/>
      <c r="B8815">
        <f>LOWER(TRIM(A8815))</f>
        <v/>
      </c>
      <c r="C8815">
        <f>IF(B8815="","",IFERROR(INDEX('Bad Patterns'!$A$2:$A$120,MATCH(1,INDEX(--ISNUMBER(SEARCH('Bad Patterns'!$A$2:$A$120,B8815)),0),0)),""))</f>
        <v/>
      </c>
      <c r="D8815">
        <f>IF(B8815="","",IF(C8815&lt;&gt;"","REMOVE","KEEP"))</f>
        <v/>
      </c>
      <c r="E8815">
        <f>IF(D8815&lt;&gt;"KEEP","",IF(RIGHT(B8815,10)="@gmail.com","Gmail",IF(OR(RIGHT(B8815,12)="@outlook.com",RIGHT(B8815,12)="@hotmail.com",RIGHT(B8815,9)="@live.com"),"Outlook","Domain")))</f>
        <v/>
      </c>
      <c r="F8815">
        <f>IF(B8815="","",IFERROR(RIGHT(B8815,LEN(B8815)-FIND("@",B8815)),""))</f>
        <v/>
      </c>
      <c r="G8815">
        <f>IF(D8815="KEEP",COUNTIF($D$2:D8815,"KEEP"),"")</f>
        <v/>
      </c>
      <c r="H8815">
        <f>IF(D8815="REMOVE",COUNTIF($D$2:D8815,"REMOVE"),"")</f>
        <v/>
      </c>
      <c r="I8815">
        <f>IF(E8815="Gmail",COUNTIF($E$2:E8815,"Gmail"),"")</f>
        <v/>
      </c>
      <c r="J8815">
        <f>IF(E8815="Outlook",COUNTIF($E$2:E8815,"Outlook"),"")</f>
        <v/>
      </c>
      <c r="K8815">
        <f>IF(E8815="Domain",COUNTIF($E$2:E8815,"Domain"),"")</f>
        <v/>
      </c>
    </row>
    <row r="8816">
      <c r="A8816" s="2" t="n"/>
      <c r="B8816">
        <f>LOWER(TRIM(A8816))</f>
        <v/>
      </c>
      <c r="C8816">
        <f>IF(B8816="","",IFERROR(INDEX('Bad Patterns'!$A$2:$A$120,MATCH(1,INDEX(--ISNUMBER(SEARCH('Bad Patterns'!$A$2:$A$120,B8816)),0),0)),""))</f>
        <v/>
      </c>
      <c r="D8816">
        <f>IF(B8816="","",IF(C8816&lt;&gt;"","REMOVE","KEEP"))</f>
        <v/>
      </c>
      <c r="E8816">
        <f>IF(D8816&lt;&gt;"KEEP","",IF(RIGHT(B8816,10)="@gmail.com","Gmail",IF(OR(RIGHT(B8816,12)="@outlook.com",RIGHT(B8816,12)="@hotmail.com",RIGHT(B8816,9)="@live.com"),"Outlook","Domain")))</f>
        <v/>
      </c>
      <c r="F8816">
        <f>IF(B8816="","",IFERROR(RIGHT(B8816,LEN(B8816)-FIND("@",B8816)),""))</f>
        <v/>
      </c>
      <c r="G8816">
        <f>IF(D8816="KEEP",COUNTIF($D$2:D8816,"KEEP"),"")</f>
        <v/>
      </c>
      <c r="H8816">
        <f>IF(D8816="REMOVE",COUNTIF($D$2:D8816,"REMOVE"),"")</f>
        <v/>
      </c>
      <c r="I8816">
        <f>IF(E8816="Gmail",COUNTIF($E$2:E8816,"Gmail"),"")</f>
        <v/>
      </c>
      <c r="J8816">
        <f>IF(E8816="Outlook",COUNTIF($E$2:E8816,"Outlook"),"")</f>
        <v/>
      </c>
      <c r="K8816">
        <f>IF(E8816="Domain",COUNTIF($E$2:E8816,"Domain"),"")</f>
        <v/>
      </c>
    </row>
    <row r="8817">
      <c r="A8817" s="2" t="n"/>
      <c r="B8817">
        <f>LOWER(TRIM(A8817))</f>
        <v/>
      </c>
      <c r="C8817">
        <f>IF(B8817="","",IFERROR(INDEX('Bad Patterns'!$A$2:$A$120,MATCH(1,INDEX(--ISNUMBER(SEARCH('Bad Patterns'!$A$2:$A$120,B8817)),0),0)),""))</f>
        <v/>
      </c>
      <c r="D8817">
        <f>IF(B8817="","",IF(C8817&lt;&gt;"","REMOVE","KEEP"))</f>
        <v/>
      </c>
      <c r="E8817">
        <f>IF(D8817&lt;&gt;"KEEP","",IF(RIGHT(B8817,10)="@gmail.com","Gmail",IF(OR(RIGHT(B8817,12)="@outlook.com",RIGHT(B8817,12)="@hotmail.com",RIGHT(B8817,9)="@live.com"),"Outlook","Domain")))</f>
        <v/>
      </c>
      <c r="F8817">
        <f>IF(B8817="","",IFERROR(RIGHT(B8817,LEN(B8817)-FIND("@",B8817)),""))</f>
        <v/>
      </c>
      <c r="G8817">
        <f>IF(D8817="KEEP",COUNTIF($D$2:D8817,"KEEP"),"")</f>
        <v/>
      </c>
      <c r="H8817">
        <f>IF(D8817="REMOVE",COUNTIF($D$2:D8817,"REMOVE"),"")</f>
        <v/>
      </c>
      <c r="I8817">
        <f>IF(E8817="Gmail",COUNTIF($E$2:E8817,"Gmail"),"")</f>
        <v/>
      </c>
      <c r="J8817">
        <f>IF(E8817="Outlook",COUNTIF($E$2:E8817,"Outlook"),"")</f>
        <v/>
      </c>
      <c r="K8817">
        <f>IF(E8817="Domain",COUNTIF($E$2:E8817,"Domain"),"")</f>
        <v/>
      </c>
    </row>
    <row r="8818">
      <c r="A8818" s="2" t="n"/>
      <c r="B8818">
        <f>LOWER(TRIM(A8818))</f>
        <v/>
      </c>
      <c r="C8818">
        <f>IF(B8818="","",IFERROR(INDEX('Bad Patterns'!$A$2:$A$120,MATCH(1,INDEX(--ISNUMBER(SEARCH('Bad Patterns'!$A$2:$A$120,B8818)),0),0)),""))</f>
        <v/>
      </c>
      <c r="D8818">
        <f>IF(B8818="","",IF(C8818&lt;&gt;"","REMOVE","KEEP"))</f>
        <v/>
      </c>
      <c r="E8818">
        <f>IF(D8818&lt;&gt;"KEEP","",IF(RIGHT(B8818,10)="@gmail.com","Gmail",IF(OR(RIGHT(B8818,12)="@outlook.com",RIGHT(B8818,12)="@hotmail.com",RIGHT(B8818,9)="@live.com"),"Outlook","Domain")))</f>
        <v/>
      </c>
      <c r="F8818">
        <f>IF(B8818="","",IFERROR(RIGHT(B8818,LEN(B8818)-FIND("@",B8818)),""))</f>
        <v/>
      </c>
      <c r="G8818">
        <f>IF(D8818="KEEP",COUNTIF($D$2:D8818,"KEEP"),"")</f>
        <v/>
      </c>
      <c r="H8818">
        <f>IF(D8818="REMOVE",COUNTIF($D$2:D8818,"REMOVE"),"")</f>
        <v/>
      </c>
      <c r="I8818">
        <f>IF(E8818="Gmail",COUNTIF($E$2:E8818,"Gmail"),"")</f>
        <v/>
      </c>
      <c r="J8818">
        <f>IF(E8818="Outlook",COUNTIF($E$2:E8818,"Outlook"),"")</f>
        <v/>
      </c>
      <c r="K8818">
        <f>IF(E8818="Domain",COUNTIF($E$2:E8818,"Domain"),"")</f>
        <v/>
      </c>
    </row>
    <row r="8819">
      <c r="A8819" s="2" t="n"/>
      <c r="B8819">
        <f>LOWER(TRIM(A8819))</f>
        <v/>
      </c>
      <c r="C8819">
        <f>IF(B8819="","",IFERROR(INDEX('Bad Patterns'!$A$2:$A$120,MATCH(1,INDEX(--ISNUMBER(SEARCH('Bad Patterns'!$A$2:$A$120,B8819)),0),0)),""))</f>
        <v/>
      </c>
      <c r="D8819">
        <f>IF(B8819="","",IF(C8819&lt;&gt;"","REMOVE","KEEP"))</f>
        <v/>
      </c>
      <c r="E8819">
        <f>IF(D8819&lt;&gt;"KEEP","",IF(RIGHT(B8819,10)="@gmail.com","Gmail",IF(OR(RIGHT(B8819,12)="@outlook.com",RIGHT(B8819,12)="@hotmail.com",RIGHT(B8819,9)="@live.com"),"Outlook","Domain")))</f>
        <v/>
      </c>
      <c r="F8819">
        <f>IF(B8819="","",IFERROR(RIGHT(B8819,LEN(B8819)-FIND("@",B8819)),""))</f>
        <v/>
      </c>
      <c r="G8819">
        <f>IF(D8819="KEEP",COUNTIF($D$2:D8819,"KEEP"),"")</f>
        <v/>
      </c>
      <c r="H8819">
        <f>IF(D8819="REMOVE",COUNTIF($D$2:D8819,"REMOVE"),"")</f>
        <v/>
      </c>
      <c r="I8819">
        <f>IF(E8819="Gmail",COUNTIF($E$2:E8819,"Gmail"),"")</f>
        <v/>
      </c>
      <c r="J8819">
        <f>IF(E8819="Outlook",COUNTIF($E$2:E8819,"Outlook"),"")</f>
        <v/>
      </c>
      <c r="K8819">
        <f>IF(E8819="Domain",COUNTIF($E$2:E8819,"Domain"),"")</f>
        <v/>
      </c>
    </row>
    <row r="8820">
      <c r="A8820" s="2" t="n"/>
      <c r="B8820">
        <f>LOWER(TRIM(A8820))</f>
        <v/>
      </c>
      <c r="C8820">
        <f>IF(B8820="","",IFERROR(INDEX('Bad Patterns'!$A$2:$A$120,MATCH(1,INDEX(--ISNUMBER(SEARCH('Bad Patterns'!$A$2:$A$120,B8820)),0),0)),""))</f>
        <v/>
      </c>
      <c r="D8820">
        <f>IF(B8820="","",IF(C8820&lt;&gt;"","REMOVE","KEEP"))</f>
        <v/>
      </c>
      <c r="E8820">
        <f>IF(D8820&lt;&gt;"KEEP","",IF(RIGHT(B8820,10)="@gmail.com","Gmail",IF(OR(RIGHT(B8820,12)="@outlook.com",RIGHT(B8820,12)="@hotmail.com",RIGHT(B8820,9)="@live.com"),"Outlook","Domain")))</f>
        <v/>
      </c>
      <c r="F8820">
        <f>IF(B8820="","",IFERROR(RIGHT(B8820,LEN(B8820)-FIND("@",B8820)),""))</f>
        <v/>
      </c>
      <c r="G8820">
        <f>IF(D8820="KEEP",COUNTIF($D$2:D8820,"KEEP"),"")</f>
        <v/>
      </c>
      <c r="H8820">
        <f>IF(D8820="REMOVE",COUNTIF($D$2:D8820,"REMOVE"),"")</f>
        <v/>
      </c>
      <c r="I8820">
        <f>IF(E8820="Gmail",COUNTIF($E$2:E8820,"Gmail"),"")</f>
        <v/>
      </c>
      <c r="J8820">
        <f>IF(E8820="Outlook",COUNTIF($E$2:E8820,"Outlook"),"")</f>
        <v/>
      </c>
      <c r="K8820">
        <f>IF(E8820="Domain",COUNTIF($E$2:E8820,"Domain"),"")</f>
        <v/>
      </c>
    </row>
    <row r="8821">
      <c r="A8821" s="2" t="n"/>
      <c r="B8821">
        <f>LOWER(TRIM(A8821))</f>
        <v/>
      </c>
      <c r="C8821">
        <f>IF(B8821="","",IFERROR(INDEX('Bad Patterns'!$A$2:$A$120,MATCH(1,INDEX(--ISNUMBER(SEARCH('Bad Patterns'!$A$2:$A$120,B8821)),0),0)),""))</f>
        <v/>
      </c>
      <c r="D8821">
        <f>IF(B8821="","",IF(C8821&lt;&gt;"","REMOVE","KEEP"))</f>
        <v/>
      </c>
      <c r="E8821">
        <f>IF(D8821&lt;&gt;"KEEP","",IF(RIGHT(B8821,10)="@gmail.com","Gmail",IF(OR(RIGHT(B8821,12)="@outlook.com",RIGHT(B8821,12)="@hotmail.com",RIGHT(B8821,9)="@live.com"),"Outlook","Domain")))</f>
        <v/>
      </c>
      <c r="F8821">
        <f>IF(B8821="","",IFERROR(RIGHT(B8821,LEN(B8821)-FIND("@",B8821)),""))</f>
        <v/>
      </c>
      <c r="G8821">
        <f>IF(D8821="KEEP",COUNTIF($D$2:D8821,"KEEP"),"")</f>
        <v/>
      </c>
      <c r="H8821">
        <f>IF(D8821="REMOVE",COUNTIF($D$2:D8821,"REMOVE"),"")</f>
        <v/>
      </c>
      <c r="I8821">
        <f>IF(E8821="Gmail",COUNTIF($E$2:E8821,"Gmail"),"")</f>
        <v/>
      </c>
      <c r="J8821">
        <f>IF(E8821="Outlook",COUNTIF($E$2:E8821,"Outlook"),"")</f>
        <v/>
      </c>
      <c r="K8821">
        <f>IF(E8821="Domain",COUNTIF($E$2:E8821,"Domain"),"")</f>
        <v/>
      </c>
    </row>
    <row r="8822">
      <c r="A8822" s="2" t="n"/>
      <c r="B8822">
        <f>LOWER(TRIM(A8822))</f>
        <v/>
      </c>
      <c r="C8822">
        <f>IF(B8822="","",IFERROR(INDEX('Bad Patterns'!$A$2:$A$120,MATCH(1,INDEX(--ISNUMBER(SEARCH('Bad Patterns'!$A$2:$A$120,B8822)),0),0)),""))</f>
        <v/>
      </c>
      <c r="D8822">
        <f>IF(B8822="","",IF(C8822&lt;&gt;"","REMOVE","KEEP"))</f>
        <v/>
      </c>
      <c r="E8822">
        <f>IF(D8822&lt;&gt;"KEEP","",IF(RIGHT(B8822,10)="@gmail.com","Gmail",IF(OR(RIGHT(B8822,12)="@outlook.com",RIGHT(B8822,12)="@hotmail.com",RIGHT(B8822,9)="@live.com"),"Outlook","Domain")))</f>
        <v/>
      </c>
      <c r="F8822">
        <f>IF(B8822="","",IFERROR(RIGHT(B8822,LEN(B8822)-FIND("@",B8822)),""))</f>
        <v/>
      </c>
      <c r="G8822">
        <f>IF(D8822="KEEP",COUNTIF($D$2:D8822,"KEEP"),"")</f>
        <v/>
      </c>
      <c r="H8822">
        <f>IF(D8822="REMOVE",COUNTIF($D$2:D8822,"REMOVE"),"")</f>
        <v/>
      </c>
      <c r="I8822">
        <f>IF(E8822="Gmail",COUNTIF($E$2:E8822,"Gmail"),"")</f>
        <v/>
      </c>
      <c r="J8822">
        <f>IF(E8822="Outlook",COUNTIF($E$2:E8822,"Outlook"),"")</f>
        <v/>
      </c>
      <c r="K8822">
        <f>IF(E8822="Domain",COUNTIF($E$2:E8822,"Domain"),"")</f>
        <v/>
      </c>
    </row>
    <row r="8823">
      <c r="A8823" s="2" t="n"/>
      <c r="B8823">
        <f>LOWER(TRIM(A8823))</f>
        <v/>
      </c>
      <c r="C8823">
        <f>IF(B8823="","",IFERROR(INDEX('Bad Patterns'!$A$2:$A$120,MATCH(1,INDEX(--ISNUMBER(SEARCH('Bad Patterns'!$A$2:$A$120,B8823)),0),0)),""))</f>
        <v/>
      </c>
      <c r="D8823">
        <f>IF(B8823="","",IF(C8823&lt;&gt;"","REMOVE","KEEP"))</f>
        <v/>
      </c>
      <c r="E8823">
        <f>IF(D8823&lt;&gt;"KEEP","",IF(RIGHT(B8823,10)="@gmail.com","Gmail",IF(OR(RIGHT(B8823,12)="@outlook.com",RIGHT(B8823,12)="@hotmail.com",RIGHT(B8823,9)="@live.com"),"Outlook","Domain")))</f>
        <v/>
      </c>
      <c r="F8823">
        <f>IF(B8823="","",IFERROR(RIGHT(B8823,LEN(B8823)-FIND("@",B8823)),""))</f>
        <v/>
      </c>
      <c r="G8823">
        <f>IF(D8823="KEEP",COUNTIF($D$2:D8823,"KEEP"),"")</f>
        <v/>
      </c>
      <c r="H8823">
        <f>IF(D8823="REMOVE",COUNTIF($D$2:D8823,"REMOVE"),"")</f>
        <v/>
      </c>
      <c r="I8823">
        <f>IF(E8823="Gmail",COUNTIF($E$2:E8823,"Gmail"),"")</f>
        <v/>
      </c>
      <c r="J8823">
        <f>IF(E8823="Outlook",COUNTIF($E$2:E8823,"Outlook"),"")</f>
        <v/>
      </c>
      <c r="K8823">
        <f>IF(E8823="Domain",COUNTIF($E$2:E8823,"Domain"),"")</f>
        <v/>
      </c>
    </row>
    <row r="8824">
      <c r="A8824" s="2" t="n"/>
      <c r="B8824">
        <f>LOWER(TRIM(A8824))</f>
        <v/>
      </c>
      <c r="C8824">
        <f>IF(B8824="","",IFERROR(INDEX('Bad Patterns'!$A$2:$A$120,MATCH(1,INDEX(--ISNUMBER(SEARCH('Bad Patterns'!$A$2:$A$120,B8824)),0),0)),""))</f>
        <v/>
      </c>
      <c r="D8824">
        <f>IF(B8824="","",IF(C8824&lt;&gt;"","REMOVE","KEEP"))</f>
        <v/>
      </c>
      <c r="E8824">
        <f>IF(D8824&lt;&gt;"KEEP","",IF(RIGHT(B8824,10)="@gmail.com","Gmail",IF(OR(RIGHT(B8824,12)="@outlook.com",RIGHT(B8824,12)="@hotmail.com",RIGHT(B8824,9)="@live.com"),"Outlook","Domain")))</f>
        <v/>
      </c>
      <c r="F8824">
        <f>IF(B8824="","",IFERROR(RIGHT(B8824,LEN(B8824)-FIND("@",B8824)),""))</f>
        <v/>
      </c>
      <c r="G8824">
        <f>IF(D8824="KEEP",COUNTIF($D$2:D8824,"KEEP"),"")</f>
        <v/>
      </c>
      <c r="H8824">
        <f>IF(D8824="REMOVE",COUNTIF($D$2:D8824,"REMOVE"),"")</f>
        <v/>
      </c>
      <c r="I8824">
        <f>IF(E8824="Gmail",COUNTIF($E$2:E8824,"Gmail"),"")</f>
        <v/>
      </c>
      <c r="J8824">
        <f>IF(E8824="Outlook",COUNTIF($E$2:E8824,"Outlook"),"")</f>
        <v/>
      </c>
      <c r="K8824">
        <f>IF(E8824="Domain",COUNTIF($E$2:E8824,"Domain"),"")</f>
        <v/>
      </c>
    </row>
    <row r="8825">
      <c r="A8825" s="2" t="n"/>
      <c r="B8825">
        <f>LOWER(TRIM(A8825))</f>
        <v/>
      </c>
      <c r="C8825">
        <f>IF(B8825="","",IFERROR(INDEX('Bad Patterns'!$A$2:$A$120,MATCH(1,INDEX(--ISNUMBER(SEARCH('Bad Patterns'!$A$2:$A$120,B8825)),0),0)),""))</f>
        <v/>
      </c>
      <c r="D8825">
        <f>IF(B8825="","",IF(C8825&lt;&gt;"","REMOVE","KEEP"))</f>
        <v/>
      </c>
      <c r="E8825">
        <f>IF(D8825&lt;&gt;"KEEP","",IF(RIGHT(B8825,10)="@gmail.com","Gmail",IF(OR(RIGHT(B8825,12)="@outlook.com",RIGHT(B8825,12)="@hotmail.com",RIGHT(B8825,9)="@live.com"),"Outlook","Domain")))</f>
        <v/>
      </c>
      <c r="F8825">
        <f>IF(B8825="","",IFERROR(RIGHT(B8825,LEN(B8825)-FIND("@",B8825)),""))</f>
        <v/>
      </c>
      <c r="G8825">
        <f>IF(D8825="KEEP",COUNTIF($D$2:D8825,"KEEP"),"")</f>
        <v/>
      </c>
      <c r="H8825">
        <f>IF(D8825="REMOVE",COUNTIF($D$2:D8825,"REMOVE"),"")</f>
        <v/>
      </c>
      <c r="I8825">
        <f>IF(E8825="Gmail",COUNTIF($E$2:E8825,"Gmail"),"")</f>
        <v/>
      </c>
      <c r="J8825">
        <f>IF(E8825="Outlook",COUNTIF($E$2:E8825,"Outlook"),"")</f>
        <v/>
      </c>
      <c r="K8825">
        <f>IF(E8825="Domain",COUNTIF($E$2:E8825,"Domain"),"")</f>
        <v/>
      </c>
    </row>
    <row r="8826">
      <c r="A8826" s="2" t="n"/>
      <c r="B8826">
        <f>LOWER(TRIM(A8826))</f>
        <v/>
      </c>
      <c r="C8826">
        <f>IF(B8826="","",IFERROR(INDEX('Bad Patterns'!$A$2:$A$120,MATCH(1,INDEX(--ISNUMBER(SEARCH('Bad Patterns'!$A$2:$A$120,B8826)),0),0)),""))</f>
        <v/>
      </c>
      <c r="D8826">
        <f>IF(B8826="","",IF(C8826&lt;&gt;"","REMOVE","KEEP"))</f>
        <v/>
      </c>
      <c r="E8826">
        <f>IF(D8826&lt;&gt;"KEEP","",IF(RIGHT(B8826,10)="@gmail.com","Gmail",IF(OR(RIGHT(B8826,12)="@outlook.com",RIGHT(B8826,12)="@hotmail.com",RIGHT(B8826,9)="@live.com"),"Outlook","Domain")))</f>
        <v/>
      </c>
      <c r="F8826">
        <f>IF(B8826="","",IFERROR(RIGHT(B8826,LEN(B8826)-FIND("@",B8826)),""))</f>
        <v/>
      </c>
      <c r="G8826">
        <f>IF(D8826="KEEP",COUNTIF($D$2:D8826,"KEEP"),"")</f>
        <v/>
      </c>
      <c r="H8826">
        <f>IF(D8826="REMOVE",COUNTIF($D$2:D8826,"REMOVE"),"")</f>
        <v/>
      </c>
      <c r="I8826">
        <f>IF(E8826="Gmail",COUNTIF($E$2:E8826,"Gmail"),"")</f>
        <v/>
      </c>
      <c r="J8826">
        <f>IF(E8826="Outlook",COUNTIF($E$2:E8826,"Outlook"),"")</f>
        <v/>
      </c>
      <c r="K8826">
        <f>IF(E8826="Domain",COUNTIF($E$2:E8826,"Domain"),"")</f>
        <v/>
      </c>
    </row>
    <row r="8827">
      <c r="A8827" s="2" t="n"/>
      <c r="B8827">
        <f>LOWER(TRIM(A8827))</f>
        <v/>
      </c>
      <c r="C8827">
        <f>IF(B8827="","",IFERROR(INDEX('Bad Patterns'!$A$2:$A$120,MATCH(1,INDEX(--ISNUMBER(SEARCH('Bad Patterns'!$A$2:$A$120,B8827)),0),0)),""))</f>
        <v/>
      </c>
      <c r="D8827">
        <f>IF(B8827="","",IF(C8827&lt;&gt;"","REMOVE","KEEP"))</f>
        <v/>
      </c>
      <c r="E8827">
        <f>IF(D8827&lt;&gt;"KEEP","",IF(RIGHT(B8827,10)="@gmail.com","Gmail",IF(OR(RIGHT(B8827,12)="@outlook.com",RIGHT(B8827,12)="@hotmail.com",RIGHT(B8827,9)="@live.com"),"Outlook","Domain")))</f>
        <v/>
      </c>
      <c r="F8827">
        <f>IF(B8827="","",IFERROR(RIGHT(B8827,LEN(B8827)-FIND("@",B8827)),""))</f>
        <v/>
      </c>
      <c r="G8827">
        <f>IF(D8827="KEEP",COUNTIF($D$2:D8827,"KEEP"),"")</f>
        <v/>
      </c>
      <c r="H8827">
        <f>IF(D8827="REMOVE",COUNTIF($D$2:D8827,"REMOVE"),"")</f>
        <v/>
      </c>
      <c r="I8827">
        <f>IF(E8827="Gmail",COUNTIF($E$2:E8827,"Gmail"),"")</f>
        <v/>
      </c>
      <c r="J8827">
        <f>IF(E8827="Outlook",COUNTIF($E$2:E8827,"Outlook"),"")</f>
        <v/>
      </c>
      <c r="K8827">
        <f>IF(E8827="Domain",COUNTIF($E$2:E8827,"Domain"),"")</f>
        <v/>
      </c>
    </row>
    <row r="8828">
      <c r="A8828" s="2" t="n"/>
      <c r="B8828">
        <f>LOWER(TRIM(A8828))</f>
        <v/>
      </c>
      <c r="C8828">
        <f>IF(B8828="","",IFERROR(INDEX('Bad Patterns'!$A$2:$A$120,MATCH(1,INDEX(--ISNUMBER(SEARCH('Bad Patterns'!$A$2:$A$120,B8828)),0),0)),""))</f>
        <v/>
      </c>
      <c r="D8828">
        <f>IF(B8828="","",IF(C8828&lt;&gt;"","REMOVE","KEEP"))</f>
        <v/>
      </c>
      <c r="E8828">
        <f>IF(D8828&lt;&gt;"KEEP","",IF(RIGHT(B8828,10)="@gmail.com","Gmail",IF(OR(RIGHT(B8828,12)="@outlook.com",RIGHT(B8828,12)="@hotmail.com",RIGHT(B8828,9)="@live.com"),"Outlook","Domain")))</f>
        <v/>
      </c>
      <c r="F8828">
        <f>IF(B8828="","",IFERROR(RIGHT(B8828,LEN(B8828)-FIND("@",B8828)),""))</f>
        <v/>
      </c>
      <c r="G8828">
        <f>IF(D8828="KEEP",COUNTIF($D$2:D8828,"KEEP"),"")</f>
        <v/>
      </c>
      <c r="H8828">
        <f>IF(D8828="REMOVE",COUNTIF($D$2:D8828,"REMOVE"),"")</f>
        <v/>
      </c>
      <c r="I8828">
        <f>IF(E8828="Gmail",COUNTIF($E$2:E8828,"Gmail"),"")</f>
        <v/>
      </c>
      <c r="J8828">
        <f>IF(E8828="Outlook",COUNTIF($E$2:E8828,"Outlook"),"")</f>
        <v/>
      </c>
      <c r="K8828">
        <f>IF(E8828="Domain",COUNTIF($E$2:E8828,"Domain"),"")</f>
        <v/>
      </c>
    </row>
    <row r="8829">
      <c r="A8829" s="2" t="n"/>
      <c r="B8829">
        <f>LOWER(TRIM(A8829))</f>
        <v/>
      </c>
      <c r="C8829">
        <f>IF(B8829="","",IFERROR(INDEX('Bad Patterns'!$A$2:$A$120,MATCH(1,INDEX(--ISNUMBER(SEARCH('Bad Patterns'!$A$2:$A$120,B8829)),0),0)),""))</f>
        <v/>
      </c>
      <c r="D8829">
        <f>IF(B8829="","",IF(C8829&lt;&gt;"","REMOVE","KEEP"))</f>
        <v/>
      </c>
      <c r="E8829">
        <f>IF(D8829&lt;&gt;"KEEP","",IF(RIGHT(B8829,10)="@gmail.com","Gmail",IF(OR(RIGHT(B8829,12)="@outlook.com",RIGHT(B8829,12)="@hotmail.com",RIGHT(B8829,9)="@live.com"),"Outlook","Domain")))</f>
        <v/>
      </c>
      <c r="F8829">
        <f>IF(B8829="","",IFERROR(RIGHT(B8829,LEN(B8829)-FIND("@",B8829)),""))</f>
        <v/>
      </c>
      <c r="G8829">
        <f>IF(D8829="KEEP",COUNTIF($D$2:D8829,"KEEP"),"")</f>
        <v/>
      </c>
      <c r="H8829">
        <f>IF(D8829="REMOVE",COUNTIF($D$2:D8829,"REMOVE"),"")</f>
        <v/>
      </c>
      <c r="I8829">
        <f>IF(E8829="Gmail",COUNTIF($E$2:E8829,"Gmail"),"")</f>
        <v/>
      </c>
      <c r="J8829">
        <f>IF(E8829="Outlook",COUNTIF($E$2:E8829,"Outlook"),"")</f>
        <v/>
      </c>
      <c r="K8829">
        <f>IF(E8829="Domain",COUNTIF($E$2:E8829,"Domain"),"")</f>
        <v/>
      </c>
    </row>
    <row r="8830">
      <c r="A8830" s="2" t="n"/>
      <c r="B8830">
        <f>LOWER(TRIM(A8830))</f>
        <v/>
      </c>
      <c r="C8830">
        <f>IF(B8830="","",IFERROR(INDEX('Bad Patterns'!$A$2:$A$120,MATCH(1,INDEX(--ISNUMBER(SEARCH('Bad Patterns'!$A$2:$A$120,B8830)),0),0)),""))</f>
        <v/>
      </c>
      <c r="D8830">
        <f>IF(B8830="","",IF(C8830&lt;&gt;"","REMOVE","KEEP"))</f>
        <v/>
      </c>
      <c r="E8830">
        <f>IF(D8830&lt;&gt;"KEEP","",IF(RIGHT(B8830,10)="@gmail.com","Gmail",IF(OR(RIGHT(B8830,12)="@outlook.com",RIGHT(B8830,12)="@hotmail.com",RIGHT(B8830,9)="@live.com"),"Outlook","Domain")))</f>
        <v/>
      </c>
      <c r="F8830">
        <f>IF(B8830="","",IFERROR(RIGHT(B8830,LEN(B8830)-FIND("@",B8830)),""))</f>
        <v/>
      </c>
      <c r="G8830">
        <f>IF(D8830="KEEP",COUNTIF($D$2:D8830,"KEEP"),"")</f>
        <v/>
      </c>
      <c r="H8830">
        <f>IF(D8830="REMOVE",COUNTIF($D$2:D8830,"REMOVE"),"")</f>
        <v/>
      </c>
      <c r="I8830">
        <f>IF(E8830="Gmail",COUNTIF($E$2:E8830,"Gmail"),"")</f>
        <v/>
      </c>
      <c r="J8830">
        <f>IF(E8830="Outlook",COUNTIF($E$2:E8830,"Outlook"),"")</f>
        <v/>
      </c>
      <c r="K8830">
        <f>IF(E8830="Domain",COUNTIF($E$2:E8830,"Domain"),"")</f>
        <v/>
      </c>
    </row>
    <row r="8831">
      <c r="A8831" s="2" t="n"/>
      <c r="B8831">
        <f>LOWER(TRIM(A8831))</f>
        <v/>
      </c>
      <c r="C8831">
        <f>IF(B8831="","",IFERROR(INDEX('Bad Patterns'!$A$2:$A$120,MATCH(1,INDEX(--ISNUMBER(SEARCH('Bad Patterns'!$A$2:$A$120,B8831)),0),0)),""))</f>
        <v/>
      </c>
      <c r="D8831">
        <f>IF(B8831="","",IF(C8831&lt;&gt;"","REMOVE","KEEP"))</f>
        <v/>
      </c>
      <c r="E8831">
        <f>IF(D8831&lt;&gt;"KEEP","",IF(RIGHT(B8831,10)="@gmail.com","Gmail",IF(OR(RIGHT(B8831,12)="@outlook.com",RIGHT(B8831,12)="@hotmail.com",RIGHT(B8831,9)="@live.com"),"Outlook","Domain")))</f>
        <v/>
      </c>
      <c r="F8831">
        <f>IF(B8831="","",IFERROR(RIGHT(B8831,LEN(B8831)-FIND("@",B8831)),""))</f>
        <v/>
      </c>
      <c r="G8831">
        <f>IF(D8831="KEEP",COUNTIF($D$2:D8831,"KEEP"),"")</f>
        <v/>
      </c>
      <c r="H8831">
        <f>IF(D8831="REMOVE",COUNTIF($D$2:D8831,"REMOVE"),"")</f>
        <v/>
      </c>
      <c r="I8831">
        <f>IF(E8831="Gmail",COUNTIF($E$2:E8831,"Gmail"),"")</f>
        <v/>
      </c>
      <c r="J8831">
        <f>IF(E8831="Outlook",COUNTIF($E$2:E8831,"Outlook"),"")</f>
        <v/>
      </c>
      <c r="K8831">
        <f>IF(E8831="Domain",COUNTIF($E$2:E8831,"Domain"),"")</f>
        <v/>
      </c>
    </row>
    <row r="8832">
      <c r="A8832" s="2" t="n"/>
      <c r="B8832">
        <f>LOWER(TRIM(A8832))</f>
        <v/>
      </c>
      <c r="C8832">
        <f>IF(B8832="","",IFERROR(INDEX('Bad Patterns'!$A$2:$A$120,MATCH(1,INDEX(--ISNUMBER(SEARCH('Bad Patterns'!$A$2:$A$120,B8832)),0),0)),""))</f>
        <v/>
      </c>
      <c r="D8832">
        <f>IF(B8832="","",IF(C8832&lt;&gt;"","REMOVE","KEEP"))</f>
        <v/>
      </c>
      <c r="E8832">
        <f>IF(D8832&lt;&gt;"KEEP","",IF(RIGHT(B8832,10)="@gmail.com","Gmail",IF(OR(RIGHT(B8832,12)="@outlook.com",RIGHT(B8832,12)="@hotmail.com",RIGHT(B8832,9)="@live.com"),"Outlook","Domain")))</f>
        <v/>
      </c>
      <c r="F8832">
        <f>IF(B8832="","",IFERROR(RIGHT(B8832,LEN(B8832)-FIND("@",B8832)),""))</f>
        <v/>
      </c>
      <c r="G8832">
        <f>IF(D8832="KEEP",COUNTIF($D$2:D8832,"KEEP"),"")</f>
        <v/>
      </c>
      <c r="H8832">
        <f>IF(D8832="REMOVE",COUNTIF($D$2:D8832,"REMOVE"),"")</f>
        <v/>
      </c>
      <c r="I8832">
        <f>IF(E8832="Gmail",COUNTIF($E$2:E8832,"Gmail"),"")</f>
        <v/>
      </c>
      <c r="J8832">
        <f>IF(E8832="Outlook",COUNTIF($E$2:E8832,"Outlook"),"")</f>
        <v/>
      </c>
      <c r="K8832">
        <f>IF(E8832="Domain",COUNTIF($E$2:E8832,"Domain"),"")</f>
        <v/>
      </c>
    </row>
    <row r="8833">
      <c r="A8833" s="2" t="n"/>
      <c r="B8833">
        <f>LOWER(TRIM(A8833))</f>
        <v/>
      </c>
      <c r="C8833">
        <f>IF(B8833="","",IFERROR(INDEX('Bad Patterns'!$A$2:$A$120,MATCH(1,INDEX(--ISNUMBER(SEARCH('Bad Patterns'!$A$2:$A$120,B8833)),0),0)),""))</f>
        <v/>
      </c>
      <c r="D8833">
        <f>IF(B8833="","",IF(C8833&lt;&gt;"","REMOVE","KEEP"))</f>
        <v/>
      </c>
      <c r="E8833">
        <f>IF(D8833&lt;&gt;"KEEP","",IF(RIGHT(B8833,10)="@gmail.com","Gmail",IF(OR(RIGHT(B8833,12)="@outlook.com",RIGHT(B8833,12)="@hotmail.com",RIGHT(B8833,9)="@live.com"),"Outlook","Domain")))</f>
        <v/>
      </c>
      <c r="F8833">
        <f>IF(B8833="","",IFERROR(RIGHT(B8833,LEN(B8833)-FIND("@",B8833)),""))</f>
        <v/>
      </c>
      <c r="G8833">
        <f>IF(D8833="KEEP",COUNTIF($D$2:D8833,"KEEP"),"")</f>
        <v/>
      </c>
      <c r="H8833">
        <f>IF(D8833="REMOVE",COUNTIF($D$2:D8833,"REMOVE"),"")</f>
        <v/>
      </c>
      <c r="I8833">
        <f>IF(E8833="Gmail",COUNTIF($E$2:E8833,"Gmail"),"")</f>
        <v/>
      </c>
      <c r="J8833">
        <f>IF(E8833="Outlook",COUNTIF($E$2:E8833,"Outlook"),"")</f>
        <v/>
      </c>
      <c r="K8833">
        <f>IF(E8833="Domain",COUNTIF($E$2:E8833,"Domain"),"")</f>
        <v/>
      </c>
    </row>
    <row r="8834">
      <c r="A8834" s="2" t="n"/>
      <c r="B8834">
        <f>LOWER(TRIM(A8834))</f>
        <v/>
      </c>
      <c r="C8834">
        <f>IF(B8834="","",IFERROR(INDEX('Bad Patterns'!$A$2:$A$120,MATCH(1,INDEX(--ISNUMBER(SEARCH('Bad Patterns'!$A$2:$A$120,B8834)),0),0)),""))</f>
        <v/>
      </c>
      <c r="D8834">
        <f>IF(B8834="","",IF(C8834&lt;&gt;"","REMOVE","KEEP"))</f>
        <v/>
      </c>
      <c r="E8834">
        <f>IF(D8834&lt;&gt;"KEEP","",IF(RIGHT(B8834,10)="@gmail.com","Gmail",IF(OR(RIGHT(B8834,12)="@outlook.com",RIGHT(B8834,12)="@hotmail.com",RIGHT(B8834,9)="@live.com"),"Outlook","Domain")))</f>
        <v/>
      </c>
      <c r="F8834">
        <f>IF(B8834="","",IFERROR(RIGHT(B8834,LEN(B8834)-FIND("@",B8834)),""))</f>
        <v/>
      </c>
      <c r="G8834">
        <f>IF(D8834="KEEP",COUNTIF($D$2:D8834,"KEEP"),"")</f>
        <v/>
      </c>
      <c r="H8834">
        <f>IF(D8834="REMOVE",COUNTIF($D$2:D8834,"REMOVE"),"")</f>
        <v/>
      </c>
      <c r="I8834">
        <f>IF(E8834="Gmail",COUNTIF($E$2:E8834,"Gmail"),"")</f>
        <v/>
      </c>
      <c r="J8834">
        <f>IF(E8834="Outlook",COUNTIF($E$2:E8834,"Outlook"),"")</f>
        <v/>
      </c>
      <c r="K8834">
        <f>IF(E8834="Domain",COUNTIF($E$2:E8834,"Domain"),"")</f>
        <v/>
      </c>
    </row>
    <row r="8835">
      <c r="A8835" s="2" t="n"/>
      <c r="B8835">
        <f>LOWER(TRIM(A8835))</f>
        <v/>
      </c>
      <c r="C8835">
        <f>IF(B8835="","",IFERROR(INDEX('Bad Patterns'!$A$2:$A$120,MATCH(1,INDEX(--ISNUMBER(SEARCH('Bad Patterns'!$A$2:$A$120,B8835)),0),0)),""))</f>
        <v/>
      </c>
      <c r="D8835">
        <f>IF(B8835="","",IF(C8835&lt;&gt;"","REMOVE","KEEP"))</f>
        <v/>
      </c>
      <c r="E8835">
        <f>IF(D8835&lt;&gt;"KEEP","",IF(RIGHT(B8835,10)="@gmail.com","Gmail",IF(OR(RIGHT(B8835,12)="@outlook.com",RIGHT(B8835,12)="@hotmail.com",RIGHT(B8835,9)="@live.com"),"Outlook","Domain")))</f>
        <v/>
      </c>
      <c r="F8835">
        <f>IF(B8835="","",IFERROR(RIGHT(B8835,LEN(B8835)-FIND("@",B8835)),""))</f>
        <v/>
      </c>
      <c r="G8835">
        <f>IF(D8835="KEEP",COUNTIF($D$2:D8835,"KEEP"),"")</f>
        <v/>
      </c>
      <c r="H8835">
        <f>IF(D8835="REMOVE",COUNTIF($D$2:D8835,"REMOVE"),"")</f>
        <v/>
      </c>
      <c r="I8835">
        <f>IF(E8835="Gmail",COUNTIF($E$2:E8835,"Gmail"),"")</f>
        <v/>
      </c>
      <c r="J8835">
        <f>IF(E8835="Outlook",COUNTIF($E$2:E8835,"Outlook"),"")</f>
        <v/>
      </c>
      <c r="K8835">
        <f>IF(E8835="Domain",COUNTIF($E$2:E8835,"Domain"),"")</f>
        <v/>
      </c>
    </row>
    <row r="8836">
      <c r="A8836" s="2" t="n"/>
      <c r="B8836">
        <f>LOWER(TRIM(A8836))</f>
        <v/>
      </c>
      <c r="C8836">
        <f>IF(B8836="","",IFERROR(INDEX('Bad Patterns'!$A$2:$A$120,MATCH(1,INDEX(--ISNUMBER(SEARCH('Bad Patterns'!$A$2:$A$120,B8836)),0),0)),""))</f>
        <v/>
      </c>
      <c r="D8836">
        <f>IF(B8836="","",IF(C8836&lt;&gt;"","REMOVE","KEEP"))</f>
        <v/>
      </c>
      <c r="E8836">
        <f>IF(D8836&lt;&gt;"KEEP","",IF(RIGHT(B8836,10)="@gmail.com","Gmail",IF(OR(RIGHT(B8836,12)="@outlook.com",RIGHT(B8836,12)="@hotmail.com",RIGHT(B8836,9)="@live.com"),"Outlook","Domain")))</f>
        <v/>
      </c>
      <c r="F8836">
        <f>IF(B8836="","",IFERROR(RIGHT(B8836,LEN(B8836)-FIND("@",B8836)),""))</f>
        <v/>
      </c>
      <c r="G8836">
        <f>IF(D8836="KEEP",COUNTIF($D$2:D8836,"KEEP"),"")</f>
        <v/>
      </c>
      <c r="H8836">
        <f>IF(D8836="REMOVE",COUNTIF($D$2:D8836,"REMOVE"),"")</f>
        <v/>
      </c>
      <c r="I8836">
        <f>IF(E8836="Gmail",COUNTIF($E$2:E8836,"Gmail"),"")</f>
        <v/>
      </c>
      <c r="J8836">
        <f>IF(E8836="Outlook",COUNTIF($E$2:E8836,"Outlook"),"")</f>
        <v/>
      </c>
      <c r="K8836">
        <f>IF(E8836="Domain",COUNTIF($E$2:E8836,"Domain"),"")</f>
        <v/>
      </c>
    </row>
    <row r="8837">
      <c r="A8837" s="2" t="n"/>
      <c r="B8837">
        <f>LOWER(TRIM(A8837))</f>
        <v/>
      </c>
      <c r="C8837">
        <f>IF(B8837="","",IFERROR(INDEX('Bad Patterns'!$A$2:$A$120,MATCH(1,INDEX(--ISNUMBER(SEARCH('Bad Patterns'!$A$2:$A$120,B8837)),0),0)),""))</f>
        <v/>
      </c>
      <c r="D8837">
        <f>IF(B8837="","",IF(C8837&lt;&gt;"","REMOVE","KEEP"))</f>
        <v/>
      </c>
      <c r="E8837">
        <f>IF(D8837&lt;&gt;"KEEP","",IF(RIGHT(B8837,10)="@gmail.com","Gmail",IF(OR(RIGHT(B8837,12)="@outlook.com",RIGHT(B8837,12)="@hotmail.com",RIGHT(B8837,9)="@live.com"),"Outlook","Domain")))</f>
        <v/>
      </c>
      <c r="F8837">
        <f>IF(B8837="","",IFERROR(RIGHT(B8837,LEN(B8837)-FIND("@",B8837)),""))</f>
        <v/>
      </c>
      <c r="G8837">
        <f>IF(D8837="KEEP",COUNTIF($D$2:D8837,"KEEP"),"")</f>
        <v/>
      </c>
      <c r="H8837">
        <f>IF(D8837="REMOVE",COUNTIF($D$2:D8837,"REMOVE"),"")</f>
        <v/>
      </c>
      <c r="I8837">
        <f>IF(E8837="Gmail",COUNTIF($E$2:E8837,"Gmail"),"")</f>
        <v/>
      </c>
      <c r="J8837">
        <f>IF(E8837="Outlook",COUNTIF($E$2:E8837,"Outlook"),"")</f>
        <v/>
      </c>
      <c r="K8837">
        <f>IF(E8837="Domain",COUNTIF($E$2:E8837,"Domain"),"")</f>
        <v/>
      </c>
    </row>
    <row r="8838">
      <c r="A8838" s="2" t="n"/>
      <c r="B8838">
        <f>LOWER(TRIM(A8838))</f>
        <v/>
      </c>
      <c r="C8838">
        <f>IF(B8838="","",IFERROR(INDEX('Bad Patterns'!$A$2:$A$120,MATCH(1,INDEX(--ISNUMBER(SEARCH('Bad Patterns'!$A$2:$A$120,B8838)),0),0)),""))</f>
        <v/>
      </c>
      <c r="D8838">
        <f>IF(B8838="","",IF(C8838&lt;&gt;"","REMOVE","KEEP"))</f>
        <v/>
      </c>
      <c r="E8838">
        <f>IF(D8838&lt;&gt;"KEEP","",IF(RIGHT(B8838,10)="@gmail.com","Gmail",IF(OR(RIGHT(B8838,12)="@outlook.com",RIGHT(B8838,12)="@hotmail.com",RIGHT(B8838,9)="@live.com"),"Outlook","Domain")))</f>
        <v/>
      </c>
      <c r="F8838">
        <f>IF(B8838="","",IFERROR(RIGHT(B8838,LEN(B8838)-FIND("@",B8838)),""))</f>
        <v/>
      </c>
      <c r="G8838">
        <f>IF(D8838="KEEP",COUNTIF($D$2:D8838,"KEEP"),"")</f>
        <v/>
      </c>
      <c r="H8838">
        <f>IF(D8838="REMOVE",COUNTIF($D$2:D8838,"REMOVE"),"")</f>
        <v/>
      </c>
      <c r="I8838">
        <f>IF(E8838="Gmail",COUNTIF($E$2:E8838,"Gmail"),"")</f>
        <v/>
      </c>
      <c r="J8838">
        <f>IF(E8838="Outlook",COUNTIF($E$2:E8838,"Outlook"),"")</f>
        <v/>
      </c>
      <c r="K8838">
        <f>IF(E8838="Domain",COUNTIF($E$2:E8838,"Domain"),"")</f>
        <v/>
      </c>
    </row>
    <row r="8839">
      <c r="A8839" s="2" t="n"/>
      <c r="B8839">
        <f>LOWER(TRIM(A8839))</f>
        <v/>
      </c>
      <c r="C8839">
        <f>IF(B8839="","",IFERROR(INDEX('Bad Patterns'!$A$2:$A$120,MATCH(1,INDEX(--ISNUMBER(SEARCH('Bad Patterns'!$A$2:$A$120,B8839)),0),0)),""))</f>
        <v/>
      </c>
      <c r="D8839">
        <f>IF(B8839="","",IF(C8839&lt;&gt;"","REMOVE","KEEP"))</f>
        <v/>
      </c>
      <c r="E8839">
        <f>IF(D8839&lt;&gt;"KEEP","",IF(RIGHT(B8839,10)="@gmail.com","Gmail",IF(OR(RIGHT(B8839,12)="@outlook.com",RIGHT(B8839,12)="@hotmail.com",RIGHT(B8839,9)="@live.com"),"Outlook","Domain")))</f>
        <v/>
      </c>
      <c r="F8839">
        <f>IF(B8839="","",IFERROR(RIGHT(B8839,LEN(B8839)-FIND("@",B8839)),""))</f>
        <v/>
      </c>
      <c r="G8839">
        <f>IF(D8839="KEEP",COUNTIF($D$2:D8839,"KEEP"),"")</f>
        <v/>
      </c>
      <c r="H8839">
        <f>IF(D8839="REMOVE",COUNTIF($D$2:D8839,"REMOVE"),"")</f>
        <v/>
      </c>
      <c r="I8839">
        <f>IF(E8839="Gmail",COUNTIF($E$2:E8839,"Gmail"),"")</f>
        <v/>
      </c>
      <c r="J8839">
        <f>IF(E8839="Outlook",COUNTIF($E$2:E8839,"Outlook"),"")</f>
        <v/>
      </c>
      <c r="K8839">
        <f>IF(E8839="Domain",COUNTIF($E$2:E8839,"Domain"),"")</f>
        <v/>
      </c>
    </row>
    <row r="8840">
      <c r="A8840" s="2" t="n"/>
      <c r="B8840">
        <f>LOWER(TRIM(A8840))</f>
        <v/>
      </c>
      <c r="C8840">
        <f>IF(B8840="","",IFERROR(INDEX('Bad Patterns'!$A$2:$A$120,MATCH(1,INDEX(--ISNUMBER(SEARCH('Bad Patterns'!$A$2:$A$120,B8840)),0),0)),""))</f>
        <v/>
      </c>
      <c r="D8840">
        <f>IF(B8840="","",IF(C8840&lt;&gt;"","REMOVE","KEEP"))</f>
        <v/>
      </c>
      <c r="E8840">
        <f>IF(D8840&lt;&gt;"KEEP","",IF(RIGHT(B8840,10)="@gmail.com","Gmail",IF(OR(RIGHT(B8840,12)="@outlook.com",RIGHT(B8840,12)="@hotmail.com",RIGHT(B8840,9)="@live.com"),"Outlook","Domain")))</f>
        <v/>
      </c>
      <c r="F8840">
        <f>IF(B8840="","",IFERROR(RIGHT(B8840,LEN(B8840)-FIND("@",B8840)),""))</f>
        <v/>
      </c>
      <c r="G8840">
        <f>IF(D8840="KEEP",COUNTIF($D$2:D8840,"KEEP"),"")</f>
        <v/>
      </c>
      <c r="H8840">
        <f>IF(D8840="REMOVE",COUNTIF($D$2:D8840,"REMOVE"),"")</f>
        <v/>
      </c>
      <c r="I8840">
        <f>IF(E8840="Gmail",COUNTIF($E$2:E8840,"Gmail"),"")</f>
        <v/>
      </c>
      <c r="J8840">
        <f>IF(E8840="Outlook",COUNTIF($E$2:E8840,"Outlook"),"")</f>
        <v/>
      </c>
      <c r="K8840">
        <f>IF(E8840="Domain",COUNTIF($E$2:E8840,"Domain"),"")</f>
        <v/>
      </c>
    </row>
    <row r="8841">
      <c r="A8841" s="2" t="n"/>
      <c r="B8841">
        <f>LOWER(TRIM(A8841))</f>
        <v/>
      </c>
      <c r="C8841">
        <f>IF(B8841="","",IFERROR(INDEX('Bad Patterns'!$A$2:$A$120,MATCH(1,INDEX(--ISNUMBER(SEARCH('Bad Patterns'!$A$2:$A$120,B8841)),0),0)),""))</f>
        <v/>
      </c>
      <c r="D8841">
        <f>IF(B8841="","",IF(C8841&lt;&gt;"","REMOVE","KEEP"))</f>
        <v/>
      </c>
      <c r="E8841">
        <f>IF(D8841&lt;&gt;"KEEP","",IF(RIGHT(B8841,10)="@gmail.com","Gmail",IF(OR(RIGHT(B8841,12)="@outlook.com",RIGHT(B8841,12)="@hotmail.com",RIGHT(B8841,9)="@live.com"),"Outlook","Domain")))</f>
        <v/>
      </c>
      <c r="F8841">
        <f>IF(B8841="","",IFERROR(RIGHT(B8841,LEN(B8841)-FIND("@",B8841)),""))</f>
        <v/>
      </c>
      <c r="G8841">
        <f>IF(D8841="KEEP",COUNTIF($D$2:D8841,"KEEP"),"")</f>
        <v/>
      </c>
      <c r="H8841">
        <f>IF(D8841="REMOVE",COUNTIF($D$2:D8841,"REMOVE"),"")</f>
        <v/>
      </c>
      <c r="I8841">
        <f>IF(E8841="Gmail",COUNTIF($E$2:E8841,"Gmail"),"")</f>
        <v/>
      </c>
      <c r="J8841">
        <f>IF(E8841="Outlook",COUNTIF($E$2:E8841,"Outlook"),"")</f>
        <v/>
      </c>
      <c r="K8841">
        <f>IF(E8841="Domain",COUNTIF($E$2:E8841,"Domain"),"")</f>
        <v/>
      </c>
    </row>
    <row r="8842">
      <c r="A8842" s="2" t="n"/>
      <c r="B8842">
        <f>LOWER(TRIM(A8842))</f>
        <v/>
      </c>
      <c r="C8842">
        <f>IF(B8842="","",IFERROR(INDEX('Bad Patterns'!$A$2:$A$120,MATCH(1,INDEX(--ISNUMBER(SEARCH('Bad Patterns'!$A$2:$A$120,B8842)),0),0)),""))</f>
        <v/>
      </c>
      <c r="D8842">
        <f>IF(B8842="","",IF(C8842&lt;&gt;"","REMOVE","KEEP"))</f>
        <v/>
      </c>
      <c r="E8842">
        <f>IF(D8842&lt;&gt;"KEEP","",IF(RIGHT(B8842,10)="@gmail.com","Gmail",IF(OR(RIGHT(B8842,12)="@outlook.com",RIGHT(B8842,12)="@hotmail.com",RIGHT(B8842,9)="@live.com"),"Outlook","Domain")))</f>
        <v/>
      </c>
      <c r="F8842">
        <f>IF(B8842="","",IFERROR(RIGHT(B8842,LEN(B8842)-FIND("@",B8842)),""))</f>
        <v/>
      </c>
      <c r="G8842">
        <f>IF(D8842="KEEP",COUNTIF($D$2:D8842,"KEEP"),"")</f>
        <v/>
      </c>
      <c r="H8842">
        <f>IF(D8842="REMOVE",COUNTIF($D$2:D8842,"REMOVE"),"")</f>
        <v/>
      </c>
      <c r="I8842">
        <f>IF(E8842="Gmail",COUNTIF($E$2:E8842,"Gmail"),"")</f>
        <v/>
      </c>
      <c r="J8842">
        <f>IF(E8842="Outlook",COUNTIF($E$2:E8842,"Outlook"),"")</f>
        <v/>
      </c>
      <c r="K8842">
        <f>IF(E8842="Domain",COUNTIF($E$2:E8842,"Domain"),"")</f>
        <v/>
      </c>
    </row>
    <row r="8843">
      <c r="A8843" s="2" t="n"/>
      <c r="B8843">
        <f>LOWER(TRIM(A8843))</f>
        <v/>
      </c>
      <c r="C8843">
        <f>IF(B8843="","",IFERROR(INDEX('Bad Patterns'!$A$2:$A$120,MATCH(1,INDEX(--ISNUMBER(SEARCH('Bad Patterns'!$A$2:$A$120,B8843)),0),0)),""))</f>
        <v/>
      </c>
      <c r="D8843">
        <f>IF(B8843="","",IF(C8843&lt;&gt;"","REMOVE","KEEP"))</f>
        <v/>
      </c>
      <c r="E8843">
        <f>IF(D8843&lt;&gt;"KEEP","",IF(RIGHT(B8843,10)="@gmail.com","Gmail",IF(OR(RIGHT(B8843,12)="@outlook.com",RIGHT(B8843,12)="@hotmail.com",RIGHT(B8843,9)="@live.com"),"Outlook","Domain")))</f>
        <v/>
      </c>
      <c r="F8843">
        <f>IF(B8843="","",IFERROR(RIGHT(B8843,LEN(B8843)-FIND("@",B8843)),""))</f>
        <v/>
      </c>
      <c r="G8843">
        <f>IF(D8843="KEEP",COUNTIF($D$2:D8843,"KEEP"),"")</f>
        <v/>
      </c>
      <c r="H8843">
        <f>IF(D8843="REMOVE",COUNTIF($D$2:D8843,"REMOVE"),"")</f>
        <v/>
      </c>
      <c r="I8843">
        <f>IF(E8843="Gmail",COUNTIF($E$2:E8843,"Gmail"),"")</f>
        <v/>
      </c>
      <c r="J8843">
        <f>IF(E8843="Outlook",COUNTIF($E$2:E8843,"Outlook"),"")</f>
        <v/>
      </c>
      <c r="K8843">
        <f>IF(E8843="Domain",COUNTIF($E$2:E8843,"Domain"),"")</f>
        <v/>
      </c>
    </row>
    <row r="8844">
      <c r="A8844" s="2" t="n"/>
      <c r="B8844">
        <f>LOWER(TRIM(A8844))</f>
        <v/>
      </c>
      <c r="C8844">
        <f>IF(B8844="","",IFERROR(INDEX('Bad Patterns'!$A$2:$A$120,MATCH(1,INDEX(--ISNUMBER(SEARCH('Bad Patterns'!$A$2:$A$120,B8844)),0),0)),""))</f>
        <v/>
      </c>
      <c r="D8844">
        <f>IF(B8844="","",IF(C8844&lt;&gt;"","REMOVE","KEEP"))</f>
        <v/>
      </c>
      <c r="E8844">
        <f>IF(D8844&lt;&gt;"KEEP","",IF(RIGHT(B8844,10)="@gmail.com","Gmail",IF(OR(RIGHT(B8844,12)="@outlook.com",RIGHT(B8844,12)="@hotmail.com",RIGHT(B8844,9)="@live.com"),"Outlook","Domain")))</f>
        <v/>
      </c>
      <c r="F8844">
        <f>IF(B8844="","",IFERROR(RIGHT(B8844,LEN(B8844)-FIND("@",B8844)),""))</f>
        <v/>
      </c>
      <c r="G8844">
        <f>IF(D8844="KEEP",COUNTIF($D$2:D8844,"KEEP"),"")</f>
        <v/>
      </c>
      <c r="H8844">
        <f>IF(D8844="REMOVE",COUNTIF($D$2:D8844,"REMOVE"),"")</f>
        <v/>
      </c>
      <c r="I8844">
        <f>IF(E8844="Gmail",COUNTIF($E$2:E8844,"Gmail"),"")</f>
        <v/>
      </c>
      <c r="J8844">
        <f>IF(E8844="Outlook",COUNTIF($E$2:E8844,"Outlook"),"")</f>
        <v/>
      </c>
      <c r="K8844">
        <f>IF(E8844="Domain",COUNTIF($E$2:E8844,"Domain"),"")</f>
        <v/>
      </c>
    </row>
    <row r="8845">
      <c r="A8845" s="2" t="n"/>
      <c r="B8845">
        <f>LOWER(TRIM(A8845))</f>
        <v/>
      </c>
      <c r="C8845">
        <f>IF(B8845="","",IFERROR(INDEX('Bad Patterns'!$A$2:$A$120,MATCH(1,INDEX(--ISNUMBER(SEARCH('Bad Patterns'!$A$2:$A$120,B8845)),0),0)),""))</f>
        <v/>
      </c>
      <c r="D8845">
        <f>IF(B8845="","",IF(C8845&lt;&gt;"","REMOVE","KEEP"))</f>
        <v/>
      </c>
      <c r="E8845">
        <f>IF(D8845&lt;&gt;"KEEP","",IF(RIGHT(B8845,10)="@gmail.com","Gmail",IF(OR(RIGHT(B8845,12)="@outlook.com",RIGHT(B8845,12)="@hotmail.com",RIGHT(B8845,9)="@live.com"),"Outlook","Domain")))</f>
        <v/>
      </c>
      <c r="F8845">
        <f>IF(B8845="","",IFERROR(RIGHT(B8845,LEN(B8845)-FIND("@",B8845)),""))</f>
        <v/>
      </c>
      <c r="G8845">
        <f>IF(D8845="KEEP",COUNTIF($D$2:D8845,"KEEP"),"")</f>
        <v/>
      </c>
      <c r="H8845">
        <f>IF(D8845="REMOVE",COUNTIF($D$2:D8845,"REMOVE"),"")</f>
        <v/>
      </c>
      <c r="I8845">
        <f>IF(E8845="Gmail",COUNTIF($E$2:E8845,"Gmail"),"")</f>
        <v/>
      </c>
      <c r="J8845">
        <f>IF(E8845="Outlook",COUNTIF($E$2:E8845,"Outlook"),"")</f>
        <v/>
      </c>
      <c r="K8845">
        <f>IF(E8845="Domain",COUNTIF($E$2:E8845,"Domain"),"")</f>
        <v/>
      </c>
    </row>
    <row r="8846">
      <c r="A8846" s="2" t="n"/>
      <c r="B8846">
        <f>LOWER(TRIM(A8846))</f>
        <v/>
      </c>
      <c r="C8846">
        <f>IF(B8846="","",IFERROR(INDEX('Bad Patterns'!$A$2:$A$120,MATCH(1,INDEX(--ISNUMBER(SEARCH('Bad Patterns'!$A$2:$A$120,B8846)),0),0)),""))</f>
        <v/>
      </c>
      <c r="D8846">
        <f>IF(B8846="","",IF(C8846&lt;&gt;"","REMOVE","KEEP"))</f>
        <v/>
      </c>
      <c r="E8846">
        <f>IF(D8846&lt;&gt;"KEEP","",IF(RIGHT(B8846,10)="@gmail.com","Gmail",IF(OR(RIGHT(B8846,12)="@outlook.com",RIGHT(B8846,12)="@hotmail.com",RIGHT(B8846,9)="@live.com"),"Outlook","Domain")))</f>
        <v/>
      </c>
      <c r="F8846">
        <f>IF(B8846="","",IFERROR(RIGHT(B8846,LEN(B8846)-FIND("@",B8846)),""))</f>
        <v/>
      </c>
      <c r="G8846">
        <f>IF(D8846="KEEP",COUNTIF($D$2:D8846,"KEEP"),"")</f>
        <v/>
      </c>
      <c r="H8846">
        <f>IF(D8846="REMOVE",COUNTIF($D$2:D8846,"REMOVE"),"")</f>
        <v/>
      </c>
      <c r="I8846">
        <f>IF(E8846="Gmail",COUNTIF($E$2:E8846,"Gmail"),"")</f>
        <v/>
      </c>
      <c r="J8846">
        <f>IF(E8846="Outlook",COUNTIF($E$2:E8846,"Outlook"),"")</f>
        <v/>
      </c>
      <c r="K8846">
        <f>IF(E8846="Domain",COUNTIF($E$2:E8846,"Domain"),"")</f>
        <v/>
      </c>
    </row>
    <row r="8847">
      <c r="A8847" s="2" t="n"/>
      <c r="B8847">
        <f>LOWER(TRIM(A8847))</f>
        <v/>
      </c>
      <c r="C8847">
        <f>IF(B8847="","",IFERROR(INDEX('Bad Patterns'!$A$2:$A$120,MATCH(1,INDEX(--ISNUMBER(SEARCH('Bad Patterns'!$A$2:$A$120,B8847)),0),0)),""))</f>
        <v/>
      </c>
      <c r="D8847">
        <f>IF(B8847="","",IF(C8847&lt;&gt;"","REMOVE","KEEP"))</f>
        <v/>
      </c>
      <c r="E8847">
        <f>IF(D8847&lt;&gt;"KEEP","",IF(RIGHT(B8847,10)="@gmail.com","Gmail",IF(OR(RIGHT(B8847,12)="@outlook.com",RIGHT(B8847,12)="@hotmail.com",RIGHT(B8847,9)="@live.com"),"Outlook","Domain")))</f>
        <v/>
      </c>
      <c r="F8847">
        <f>IF(B8847="","",IFERROR(RIGHT(B8847,LEN(B8847)-FIND("@",B8847)),""))</f>
        <v/>
      </c>
      <c r="G8847">
        <f>IF(D8847="KEEP",COUNTIF($D$2:D8847,"KEEP"),"")</f>
        <v/>
      </c>
      <c r="H8847">
        <f>IF(D8847="REMOVE",COUNTIF($D$2:D8847,"REMOVE"),"")</f>
        <v/>
      </c>
      <c r="I8847">
        <f>IF(E8847="Gmail",COUNTIF($E$2:E8847,"Gmail"),"")</f>
        <v/>
      </c>
      <c r="J8847">
        <f>IF(E8847="Outlook",COUNTIF($E$2:E8847,"Outlook"),"")</f>
        <v/>
      </c>
      <c r="K8847">
        <f>IF(E8847="Domain",COUNTIF($E$2:E8847,"Domain"),"")</f>
        <v/>
      </c>
    </row>
    <row r="8848">
      <c r="A8848" s="2" t="n"/>
      <c r="B8848">
        <f>LOWER(TRIM(A8848))</f>
        <v/>
      </c>
      <c r="C8848">
        <f>IF(B8848="","",IFERROR(INDEX('Bad Patterns'!$A$2:$A$120,MATCH(1,INDEX(--ISNUMBER(SEARCH('Bad Patterns'!$A$2:$A$120,B8848)),0),0)),""))</f>
        <v/>
      </c>
      <c r="D8848">
        <f>IF(B8848="","",IF(C8848&lt;&gt;"","REMOVE","KEEP"))</f>
        <v/>
      </c>
      <c r="E8848">
        <f>IF(D8848&lt;&gt;"KEEP","",IF(RIGHT(B8848,10)="@gmail.com","Gmail",IF(OR(RIGHT(B8848,12)="@outlook.com",RIGHT(B8848,12)="@hotmail.com",RIGHT(B8848,9)="@live.com"),"Outlook","Domain")))</f>
        <v/>
      </c>
      <c r="F8848">
        <f>IF(B8848="","",IFERROR(RIGHT(B8848,LEN(B8848)-FIND("@",B8848)),""))</f>
        <v/>
      </c>
      <c r="G8848">
        <f>IF(D8848="KEEP",COUNTIF($D$2:D8848,"KEEP"),"")</f>
        <v/>
      </c>
      <c r="H8848">
        <f>IF(D8848="REMOVE",COUNTIF($D$2:D8848,"REMOVE"),"")</f>
        <v/>
      </c>
      <c r="I8848">
        <f>IF(E8848="Gmail",COUNTIF($E$2:E8848,"Gmail"),"")</f>
        <v/>
      </c>
      <c r="J8848">
        <f>IF(E8848="Outlook",COUNTIF($E$2:E8848,"Outlook"),"")</f>
        <v/>
      </c>
      <c r="K8848">
        <f>IF(E8848="Domain",COUNTIF($E$2:E8848,"Domain"),"")</f>
        <v/>
      </c>
    </row>
    <row r="8849">
      <c r="A8849" s="2" t="n"/>
      <c r="B8849">
        <f>LOWER(TRIM(A8849))</f>
        <v/>
      </c>
      <c r="C8849">
        <f>IF(B8849="","",IFERROR(INDEX('Bad Patterns'!$A$2:$A$120,MATCH(1,INDEX(--ISNUMBER(SEARCH('Bad Patterns'!$A$2:$A$120,B8849)),0),0)),""))</f>
        <v/>
      </c>
      <c r="D8849">
        <f>IF(B8849="","",IF(C8849&lt;&gt;"","REMOVE","KEEP"))</f>
        <v/>
      </c>
      <c r="E8849">
        <f>IF(D8849&lt;&gt;"KEEP","",IF(RIGHT(B8849,10)="@gmail.com","Gmail",IF(OR(RIGHT(B8849,12)="@outlook.com",RIGHT(B8849,12)="@hotmail.com",RIGHT(B8849,9)="@live.com"),"Outlook","Domain")))</f>
        <v/>
      </c>
      <c r="F8849">
        <f>IF(B8849="","",IFERROR(RIGHT(B8849,LEN(B8849)-FIND("@",B8849)),""))</f>
        <v/>
      </c>
      <c r="G8849">
        <f>IF(D8849="KEEP",COUNTIF($D$2:D8849,"KEEP"),"")</f>
        <v/>
      </c>
      <c r="H8849">
        <f>IF(D8849="REMOVE",COUNTIF($D$2:D8849,"REMOVE"),"")</f>
        <v/>
      </c>
      <c r="I8849">
        <f>IF(E8849="Gmail",COUNTIF($E$2:E8849,"Gmail"),"")</f>
        <v/>
      </c>
      <c r="J8849">
        <f>IF(E8849="Outlook",COUNTIF($E$2:E8849,"Outlook"),"")</f>
        <v/>
      </c>
      <c r="K8849">
        <f>IF(E8849="Domain",COUNTIF($E$2:E8849,"Domain"),"")</f>
        <v/>
      </c>
    </row>
    <row r="8850">
      <c r="A8850" s="2" t="n"/>
      <c r="B8850">
        <f>LOWER(TRIM(A8850))</f>
        <v/>
      </c>
      <c r="C8850">
        <f>IF(B8850="","",IFERROR(INDEX('Bad Patterns'!$A$2:$A$120,MATCH(1,INDEX(--ISNUMBER(SEARCH('Bad Patterns'!$A$2:$A$120,B8850)),0),0)),""))</f>
        <v/>
      </c>
      <c r="D8850">
        <f>IF(B8850="","",IF(C8850&lt;&gt;"","REMOVE","KEEP"))</f>
        <v/>
      </c>
      <c r="E8850">
        <f>IF(D8850&lt;&gt;"KEEP","",IF(RIGHT(B8850,10)="@gmail.com","Gmail",IF(OR(RIGHT(B8850,12)="@outlook.com",RIGHT(B8850,12)="@hotmail.com",RIGHT(B8850,9)="@live.com"),"Outlook","Domain")))</f>
        <v/>
      </c>
      <c r="F8850">
        <f>IF(B8850="","",IFERROR(RIGHT(B8850,LEN(B8850)-FIND("@",B8850)),""))</f>
        <v/>
      </c>
      <c r="G8850">
        <f>IF(D8850="KEEP",COUNTIF($D$2:D8850,"KEEP"),"")</f>
        <v/>
      </c>
      <c r="H8850">
        <f>IF(D8850="REMOVE",COUNTIF($D$2:D8850,"REMOVE"),"")</f>
        <v/>
      </c>
      <c r="I8850">
        <f>IF(E8850="Gmail",COUNTIF($E$2:E8850,"Gmail"),"")</f>
        <v/>
      </c>
      <c r="J8850">
        <f>IF(E8850="Outlook",COUNTIF($E$2:E8850,"Outlook"),"")</f>
        <v/>
      </c>
      <c r="K8850">
        <f>IF(E8850="Domain",COUNTIF($E$2:E8850,"Domain"),"")</f>
        <v/>
      </c>
    </row>
    <row r="8851">
      <c r="A8851" s="2" t="n"/>
      <c r="B8851">
        <f>LOWER(TRIM(A8851))</f>
        <v/>
      </c>
      <c r="C8851">
        <f>IF(B8851="","",IFERROR(INDEX('Bad Patterns'!$A$2:$A$120,MATCH(1,INDEX(--ISNUMBER(SEARCH('Bad Patterns'!$A$2:$A$120,B8851)),0),0)),""))</f>
        <v/>
      </c>
      <c r="D8851">
        <f>IF(B8851="","",IF(C8851&lt;&gt;"","REMOVE","KEEP"))</f>
        <v/>
      </c>
      <c r="E8851">
        <f>IF(D8851&lt;&gt;"KEEP","",IF(RIGHT(B8851,10)="@gmail.com","Gmail",IF(OR(RIGHT(B8851,12)="@outlook.com",RIGHT(B8851,12)="@hotmail.com",RIGHT(B8851,9)="@live.com"),"Outlook","Domain")))</f>
        <v/>
      </c>
      <c r="F8851">
        <f>IF(B8851="","",IFERROR(RIGHT(B8851,LEN(B8851)-FIND("@",B8851)),""))</f>
        <v/>
      </c>
      <c r="G8851">
        <f>IF(D8851="KEEP",COUNTIF($D$2:D8851,"KEEP"),"")</f>
        <v/>
      </c>
      <c r="H8851">
        <f>IF(D8851="REMOVE",COUNTIF($D$2:D8851,"REMOVE"),"")</f>
        <v/>
      </c>
      <c r="I8851">
        <f>IF(E8851="Gmail",COUNTIF($E$2:E8851,"Gmail"),"")</f>
        <v/>
      </c>
      <c r="J8851">
        <f>IF(E8851="Outlook",COUNTIF($E$2:E8851,"Outlook"),"")</f>
        <v/>
      </c>
      <c r="K8851">
        <f>IF(E8851="Domain",COUNTIF($E$2:E8851,"Domain"),"")</f>
        <v/>
      </c>
    </row>
    <row r="8852">
      <c r="A8852" s="2" t="n"/>
      <c r="B8852">
        <f>LOWER(TRIM(A8852))</f>
        <v/>
      </c>
      <c r="C8852">
        <f>IF(B8852="","",IFERROR(INDEX('Bad Patterns'!$A$2:$A$120,MATCH(1,INDEX(--ISNUMBER(SEARCH('Bad Patterns'!$A$2:$A$120,B8852)),0),0)),""))</f>
        <v/>
      </c>
      <c r="D8852">
        <f>IF(B8852="","",IF(C8852&lt;&gt;"","REMOVE","KEEP"))</f>
        <v/>
      </c>
      <c r="E8852">
        <f>IF(D8852&lt;&gt;"KEEP","",IF(RIGHT(B8852,10)="@gmail.com","Gmail",IF(OR(RIGHT(B8852,12)="@outlook.com",RIGHT(B8852,12)="@hotmail.com",RIGHT(B8852,9)="@live.com"),"Outlook","Domain")))</f>
        <v/>
      </c>
      <c r="F8852">
        <f>IF(B8852="","",IFERROR(RIGHT(B8852,LEN(B8852)-FIND("@",B8852)),""))</f>
        <v/>
      </c>
      <c r="G8852">
        <f>IF(D8852="KEEP",COUNTIF($D$2:D8852,"KEEP"),"")</f>
        <v/>
      </c>
      <c r="H8852">
        <f>IF(D8852="REMOVE",COUNTIF($D$2:D8852,"REMOVE"),"")</f>
        <v/>
      </c>
      <c r="I8852">
        <f>IF(E8852="Gmail",COUNTIF($E$2:E8852,"Gmail"),"")</f>
        <v/>
      </c>
      <c r="J8852">
        <f>IF(E8852="Outlook",COUNTIF($E$2:E8852,"Outlook"),"")</f>
        <v/>
      </c>
      <c r="K8852">
        <f>IF(E8852="Domain",COUNTIF($E$2:E8852,"Domain"),"")</f>
        <v/>
      </c>
    </row>
    <row r="8853">
      <c r="A8853" s="2" t="n"/>
      <c r="B8853">
        <f>LOWER(TRIM(A8853))</f>
        <v/>
      </c>
      <c r="C8853">
        <f>IF(B8853="","",IFERROR(INDEX('Bad Patterns'!$A$2:$A$120,MATCH(1,INDEX(--ISNUMBER(SEARCH('Bad Patterns'!$A$2:$A$120,B8853)),0),0)),""))</f>
        <v/>
      </c>
      <c r="D8853">
        <f>IF(B8853="","",IF(C8853&lt;&gt;"","REMOVE","KEEP"))</f>
        <v/>
      </c>
      <c r="E8853">
        <f>IF(D8853&lt;&gt;"KEEP","",IF(RIGHT(B8853,10)="@gmail.com","Gmail",IF(OR(RIGHT(B8853,12)="@outlook.com",RIGHT(B8853,12)="@hotmail.com",RIGHT(B8853,9)="@live.com"),"Outlook","Domain")))</f>
        <v/>
      </c>
      <c r="F8853">
        <f>IF(B8853="","",IFERROR(RIGHT(B8853,LEN(B8853)-FIND("@",B8853)),""))</f>
        <v/>
      </c>
      <c r="G8853">
        <f>IF(D8853="KEEP",COUNTIF($D$2:D8853,"KEEP"),"")</f>
        <v/>
      </c>
      <c r="H8853">
        <f>IF(D8853="REMOVE",COUNTIF($D$2:D8853,"REMOVE"),"")</f>
        <v/>
      </c>
      <c r="I8853">
        <f>IF(E8853="Gmail",COUNTIF($E$2:E8853,"Gmail"),"")</f>
        <v/>
      </c>
      <c r="J8853">
        <f>IF(E8853="Outlook",COUNTIF($E$2:E8853,"Outlook"),"")</f>
        <v/>
      </c>
      <c r="K8853">
        <f>IF(E8853="Domain",COUNTIF($E$2:E8853,"Domain"),"")</f>
        <v/>
      </c>
    </row>
    <row r="8854">
      <c r="A8854" s="2" t="n"/>
      <c r="B8854">
        <f>LOWER(TRIM(A8854))</f>
        <v/>
      </c>
      <c r="C8854">
        <f>IF(B8854="","",IFERROR(INDEX('Bad Patterns'!$A$2:$A$120,MATCH(1,INDEX(--ISNUMBER(SEARCH('Bad Patterns'!$A$2:$A$120,B8854)),0),0)),""))</f>
        <v/>
      </c>
      <c r="D8854">
        <f>IF(B8854="","",IF(C8854&lt;&gt;"","REMOVE","KEEP"))</f>
        <v/>
      </c>
      <c r="E8854">
        <f>IF(D8854&lt;&gt;"KEEP","",IF(RIGHT(B8854,10)="@gmail.com","Gmail",IF(OR(RIGHT(B8854,12)="@outlook.com",RIGHT(B8854,12)="@hotmail.com",RIGHT(B8854,9)="@live.com"),"Outlook","Domain")))</f>
        <v/>
      </c>
      <c r="F8854">
        <f>IF(B8854="","",IFERROR(RIGHT(B8854,LEN(B8854)-FIND("@",B8854)),""))</f>
        <v/>
      </c>
      <c r="G8854">
        <f>IF(D8854="KEEP",COUNTIF($D$2:D8854,"KEEP"),"")</f>
        <v/>
      </c>
      <c r="H8854">
        <f>IF(D8854="REMOVE",COUNTIF($D$2:D8854,"REMOVE"),"")</f>
        <v/>
      </c>
      <c r="I8854">
        <f>IF(E8854="Gmail",COUNTIF($E$2:E8854,"Gmail"),"")</f>
        <v/>
      </c>
      <c r="J8854">
        <f>IF(E8854="Outlook",COUNTIF($E$2:E8854,"Outlook"),"")</f>
        <v/>
      </c>
      <c r="K8854">
        <f>IF(E8854="Domain",COUNTIF($E$2:E8854,"Domain"),"")</f>
        <v/>
      </c>
    </row>
    <row r="8855">
      <c r="A8855" s="2" t="n"/>
      <c r="B8855">
        <f>LOWER(TRIM(A8855))</f>
        <v/>
      </c>
      <c r="C8855">
        <f>IF(B8855="","",IFERROR(INDEX('Bad Patterns'!$A$2:$A$120,MATCH(1,INDEX(--ISNUMBER(SEARCH('Bad Patterns'!$A$2:$A$120,B8855)),0),0)),""))</f>
        <v/>
      </c>
      <c r="D8855">
        <f>IF(B8855="","",IF(C8855&lt;&gt;"","REMOVE","KEEP"))</f>
        <v/>
      </c>
      <c r="E8855">
        <f>IF(D8855&lt;&gt;"KEEP","",IF(RIGHT(B8855,10)="@gmail.com","Gmail",IF(OR(RIGHT(B8855,12)="@outlook.com",RIGHT(B8855,12)="@hotmail.com",RIGHT(B8855,9)="@live.com"),"Outlook","Domain")))</f>
        <v/>
      </c>
      <c r="F8855">
        <f>IF(B8855="","",IFERROR(RIGHT(B8855,LEN(B8855)-FIND("@",B8855)),""))</f>
        <v/>
      </c>
      <c r="G8855">
        <f>IF(D8855="KEEP",COUNTIF($D$2:D8855,"KEEP"),"")</f>
        <v/>
      </c>
      <c r="H8855">
        <f>IF(D8855="REMOVE",COUNTIF($D$2:D8855,"REMOVE"),"")</f>
        <v/>
      </c>
      <c r="I8855">
        <f>IF(E8855="Gmail",COUNTIF($E$2:E8855,"Gmail"),"")</f>
        <v/>
      </c>
      <c r="J8855">
        <f>IF(E8855="Outlook",COUNTIF($E$2:E8855,"Outlook"),"")</f>
        <v/>
      </c>
      <c r="K8855">
        <f>IF(E8855="Domain",COUNTIF($E$2:E8855,"Domain"),"")</f>
        <v/>
      </c>
    </row>
    <row r="8856">
      <c r="A8856" s="2" t="n"/>
      <c r="B8856">
        <f>LOWER(TRIM(A8856))</f>
        <v/>
      </c>
      <c r="C8856">
        <f>IF(B8856="","",IFERROR(INDEX('Bad Patterns'!$A$2:$A$120,MATCH(1,INDEX(--ISNUMBER(SEARCH('Bad Patterns'!$A$2:$A$120,B8856)),0),0)),""))</f>
        <v/>
      </c>
      <c r="D8856">
        <f>IF(B8856="","",IF(C8856&lt;&gt;"","REMOVE","KEEP"))</f>
        <v/>
      </c>
      <c r="E8856">
        <f>IF(D8856&lt;&gt;"KEEP","",IF(RIGHT(B8856,10)="@gmail.com","Gmail",IF(OR(RIGHT(B8856,12)="@outlook.com",RIGHT(B8856,12)="@hotmail.com",RIGHT(B8856,9)="@live.com"),"Outlook","Domain")))</f>
        <v/>
      </c>
      <c r="F8856">
        <f>IF(B8856="","",IFERROR(RIGHT(B8856,LEN(B8856)-FIND("@",B8856)),""))</f>
        <v/>
      </c>
      <c r="G8856">
        <f>IF(D8856="KEEP",COUNTIF($D$2:D8856,"KEEP"),"")</f>
        <v/>
      </c>
      <c r="H8856">
        <f>IF(D8856="REMOVE",COUNTIF($D$2:D8856,"REMOVE"),"")</f>
        <v/>
      </c>
      <c r="I8856">
        <f>IF(E8856="Gmail",COUNTIF($E$2:E8856,"Gmail"),"")</f>
        <v/>
      </c>
      <c r="J8856">
        <f>IF(E8856="Outlook",COUNTIF($E$2:E8856,"Outlook"),"")</f>
        <v/>
      </c>
      <c r="K8856">
        <f>IF(E8856="Domain",COUNTIF($E$2:E8856,"Domain"),"")</f>
        <v/>
      </c>
    </row>
    <row r="8857">
      <c r="A8857" s="2" t="n"/>
      <c r="B8857">
        <f>LOWER(TRIM(A8857))</f>
        <v/>
      </c>
      <c r="C8857">
        <f>IF(B8857="","",IFERROR(INDEX('Bad Patterns'!$A$2:$A$120,MATCH(1,INDEX(--ISNUMBER(SEARCH('Bad Patterns'!$A$2:$A$120,B8857)),0),0)),""))</f>
        <v/>
      </c>
      <c r="D8857">
        <f>IF(B8857="","",IF(C8857&lt;&gt;"","REMOVE","KEEP"))</f>
        <v/>
      </c>
      <c r="E8857">
        <f>IF(D8857&lt;&gt;"KEEP","",IF(RIGHT(B8857,10)="@gmail.com","Gmail",IF(OR(RIGHT(B8857,12)="@outlook.com",RIGHT(B8857,12)="@hotmail.com",RIGHT(B8857,9)="@live.com"),"Outlook","Domain")))</f>
        <v/>
      </c>
      <c r="F8857">
        <f>IF(B8857="","",IFERROR(RIGHT(B8857,LEN(B8857)-FIND("@",B8857)),""))</f>
        <v/>
      </c>
      <c r="G8857">
        <f>IF(D8857="KEEP",COUNTIF($D$2:D8857,"KEEP"),"")</f>
        <v/>
      </c>
      <c r="H8857">
        <f>IF(D8857="REMOVE",COUNTIF($D$2:D8857,"REMOVE"),"")</f>
        <v/>
      </c>
      <c r="I8857">
        <f>IF(E8857="Gmail",COUNTIF($E$2:E8857,"Gmail"),"")</f>
        <v/>
      </c>
      <c r="J8857">
        <f>IF(E8857="Outlook",COUNTIF($E$2:E8857,"Outlook"),"")</f>
        <v/>
      </c>
      <c r="K8857">
        <f>IF(E8857="Domain",COUNTIF($E$2:E8857,"Domain"),"")</f>
        <v/>
      </c>
    </row>
    <row r="8858">
      <c r="A8858" s="2" t="n"/>
      <c r="B8858">
        <f>LOWER(TRIM(A8858))</f>
        <v/>
      </c>
      <c r="C8858">
        <f>IF(B8858="","",IFERROR(INDEX('Bad Patterns'!$A$2:$A$120,MATCH(1,INDEX(--ISNUMBER(SEARCH('Bad Patterns'!$A$2:$A$120,B8858)),0),0)),""))</f>
        <v/>
      </c>
      <c r="D8858">
        <f>IF(B8858="","",IF(C8858&lt;&gt;"","REMOVE","KEEP"))</f>
        <v/>
      </c>
      <c r="E8858">
        <f>IF(D8858&lt;&gt;"KEEP","",IF(RIGHT(B8858,10)="@gmail.com","Gmail",IF(OR(RIGHT(B8858,12)="@outlook.com",RIGHT(B8858,12)="@hotmail.com",RIGHT(B8858,9)="@live.com"),"Outlook","Domain")))</f>
        <v/>
      </c>
      <c r="F8858">
        <f>IF(B8858="","",IFERROR(RIGHT(B8858,LEN(B8858)-FIND("@",B8858)),""))</f>
        <v/>
      </c>
      <c r="G8858">
        <f>IF(D8858="KEEP",COUNTIF($D$2:D8858,"KEEP"),"")</f>
        <v/>
      </c>
      <c r="H8858">
        <f>IF(D8858="REMOVE",COUNTIF($D$2:D8858,"REMOVE"),"")</f>
        <v/>
      </c>
      <c r="I8858">
        <f>IF(E8858="Gmail",COUNTIF($E$2:E8858,"Gmail"),"")</f>
        <v/>
      </c>
      <c r="J8858">
        <f>IF(E8858="Outlook",COUNTIF($E$2:E8858,"Outlook"),"")</f>
        <v/>
      </c>
      <c r="K8858">
        <f>IF(E8858="Domain",COUNTIF($E$2:E8858,"Domain"),"")</f>
        <v/>
      </c>
    </row>
    <row r="8859">
      <c r="A8859" s="2" t="n"/>
      <c r="B8859">
        <f>LOWER(TRIM(A8859))</f>
        <v/>
      </c>
      <c r="C8859">
        <f>IF(B8859="","",IFERROR(INDEX('Bad Patterns'!$A$2:$A$120,MATCH(1,INDEX(--ISNUMBER(SEARCH('Bad Patterns'!$A$2:$A$120,B8859)),0),0)),""))</f>
        <v/>
      </c>
      <c r="D8859">
        <f>IF(B8859="","",IF(C8859&lt;&gt;"","REMOVE","KEEP"))</f>
        <v/>
      </c>
      <c r="E8859">
        <f>IF(D8859&lt;&gt;"KEEP","",IF(RIGHT(B8859,10)="@gmail.com","Gmail",IF(OR(RIGHT(B8859,12)="@outlook.com",RIGHT(B8859,12)="@hotmail.com",RIGHT(B8859,9)="@live.com"),"Outlook","Domain")))</f>
        <v/>
      </c>
      <c r="F8859">
        <f>IF(B8859="","",IFERROR(RIGHT(B8859,LEN(B8859)-FIND("@",B8859)),""))</f>
        <v/>
      </c>
      <c r="G8859">
        <f>IF(D8859="KEEP",COUNTIF($D$2:D8859,"KEEP"),"")</f>
        <v/>
      </c>
      <c r="H8859">
        <f>IF(D8859="REMOVE",COUNTIF($D$2:D8859,"REMOVE"),"")</f>
        <v/>
      </c>
      <c r="I8859">
        <f>IF(E8859="Gmail",COUNTIF($E$2:E8859,"Gmail"),"")</f>
        <v/>
      </c>
      <c r="J8859">
        <f>IF(E8859="Outlook",COUNTIF($E$2:E8859,"Outlook"),"")</f>
        <v/>
      </c>
      <c r="K8859">
        <f>IF(E8859="Domain",COUNTIF($E$2:E8859,"Domain"),"")</f>
        <v/>
      </c>
    </row>
    <row r="8860">
      <c r="A8860" s="2" t="n"/>
      <c r="B8860">
        <f>LOWER(TRIM(A8860))</f>
        <v/>
      </c>
      <c r="C8860">
        <f>IF(B8860="","",IFERROR(INDEX('Bad Patterns'!$A$2:$A$120,MATCH(1,INDEX(--ISNUMBER(SEARCH('Bad Patterns'!$A$2:$A$120,B8860)),0),0)),""))</f>
        <v/>
      </c>
      <c r="D8860">
        <f>IF(B8860="","",IF(C8860&lt;&gt;"","REMOVE","KEEP"))</f>
        <v/>
      </c>
      <c r="E8860">
        <f>IF(D8860&lt;&gt;"KEEP","",IF(RIGHT(B8860,10)="@gmail.com","Gmail",IF(OR(RIGHT(B8860,12)="@outlook.com",RIGHT(B8860,12)="@hotmail.com",RIGHT(B8860,9)="@live.com"),"Outlook","Domain")))</f>
        <v/>
      </c>
      <c r="F8860">
        <f>IF(B8860="","",IFERROR(RIGHT(B8860,LEN(B8860)-FIND("@",B8860)),""))</f>
        <v/>
      </c>
      <c r="G8860">
        <f>IF(D8860="KEEP",COUNTIF($D$2:D8860,"KEEP"),"")</f>
        <v/>
      </c>
      <c r="H8860">
        <f>IF(D8860="REMOVE",COUNTIF($D$2:D8860,"REMOVE"),"")</f>
        <v/>
      </c>
      <c r="I8860">
        <f>IF(E8860="Gmail",COUNTIF($E$2:E8860,"Gmail"),"")</f>
        <v/>
      </c>
      <c r="J8860">
        <f>IF(E8860="Outlook",COUNTIF($E$2:E8860,"Outlook"),"")</f>
        <v/>
      </c>
      <c r="K8860">
        <f>IF(E8860="Domain",COUNTIF($E$2:E8860,"Domain"),"")</f>
        <v/>
      </c>
    </row>
    <row r="8861">
      <c r="A8861" s="2" t="n"/>
      <c r="B8861">
        <f>LOWER(TRIM(A8861))</f>
        <v/>
      </c>
      <c r="C8861">
        <f>IF(B8861="","",IFERROR(INDEX('Bad Patterns'!$A$2:$A$120,MATCH(1,INDEX(--ISNUMBER(SEARCH('Bad Patterns'!$A$2:$A$120,B8861)),0),0)),""))</f>
        <v/>
      </c>
      <c r="D8861">
        <f>IF(B8861="","",IF(C8861&lt;&gt;"","REMOVE","KEEP"))</f>
        <v/>
      </c>
      <c r="E8861">
        <f>IF(D8861&lt;&gt;"KEEP","",IF(RIGHT(B8861,10)="@gmail.com","Gmail",IF(OR(RIGHT(B8861,12)="@outlook.com",RIGHT(B8861,12)="@hotmail.com",RIGHT(B8861,9)="@live.com"),"Outlook","Domain")))</f>
        <v/>
      </c>
      <c r="F8861">
        <f>IF(B8861="","",IFERROR(RIGHT(B8861,LEN(B8861)-FIND("@",B8861)),""))</f>
        <v/>
      </c>
      <c r="G8861">
        <f>IF(D8861="KEEP",COUNTIF($D$2:D8861,"KEEP"),"")</f>
        <v/>
      </c>
      <c r="H8861">
        <f>IF(D8861="REMOVE",COUNTIF($D$2:D8861,"REMOVE"),"")</f>
        <v/>
      </c>
      <c r="I8861">
        <f>IF(E8861="Gmail",COUNTIF($E$2:E8861,"Gmail"),"")</f>
        <v/>
      </c>
      <c r="J8861">
        <f>IF(E8861="Outlook",COUNTIF($E$2:E8861,"Outlook"),"")</f>
        <v/>
      </c>
      <c r="K8861">
        <f>IF(E8861="Domain",COUNTIF($E$2:E8861,"Domain"),"")</f>
        <v/>
      </c>
    </row>
    <row r="8862">
      <c r="A8862" s="2" t="n"/>
      <c r="B8862">
        <f>LOWER(TRIM(A8862))</f>
        <v/>
      </c>
      <c r="C8862">
        <f>IF(B8862="","",IFERROR(INDEX('Bad Patterns'!$A$2:$A$120,MATCH(1,INDEX(--ISNUMBER(SEARCH('Bad Patterns'!$A$2:$A$120,B8862)),0),0)),""))</f>
        <v/>
      </c>
      <c r="D8862">
        <f>IF(B8862="","",IF(C8862&lt;&gt;"","REMOVE","KEEP"))</f>
        <v/>
      </c>
      <c r="E8862">
        <f>IF(D8862&lt;&gt;"KEEP","",IF(RIGHT(B8862,10)="@gmail.com","Gmail",IF(OR(RIGHT(B8862,12)="@outlook.com",RIGHT(B8862,12)="@hotmail.com",RIGHT(B8862,9)="@live.com"),"Outlook","Domain")))</f>
        <v/>
      </c>
      <c r="F8862">
        <f>IF(B8862="","",IFERROR(RIGHT(B8862,LEN(B8862)-FIND("@",B8862)),""))</f>
        <v/>
      </c>
      <c r="G8862">
        <f>IF(D8862="KEEP",COUNTIF($D$2:D8862,"KEEP"),"")</f>
        <v/>
      </c>
      <c r="H8862">
        <f>IF(D8862="REMOVE",COUNTIF($D$2:D8862,"REMOVE"),"")</f>
        <v/>
      </c>
      <c r="I8862">
        <f>IF(E8862="Gmail",COUNTIF($E$2:E8862,"Gmail"),"")</f>
        <v/>
      </c>
      <c r="J8862">
        <f>IF(E8862="Outlook",COUNTIF($E$2:E8862,"Outlook"),"")</f>
        <v/>
      </c>
      <c r="K8862">
        <f>IF(E8862="Domain",COUNTIF($E$2:E8862,"Domain"),"")</f>
        <v/>
      </c>
    </row>
    <row r="8863">
      <c r="A8863" s="2" t="n"/>
      <c r="B8863">
        <f>LOWER(TRIM(A8863))</f>
        <v/>
      </c>
      <c r="C8863">
        <f>IF(B8863="","",IFERROR(INDEX('Bad Patterns'!$A$2:$A$120,MATCH(1,INDEX(--ISNUMBER(SEARCH('Bad Patterns'!$A$2:$A$120,B8863)),0),0)),""))</f>
        <v/>
      </c>
      <c r="D8863">
        <f>IF(B8863="","",IF(C8863&lt;&gt;"","REMOVE","KEEP"))</f>
        <v/>
      </c>
      <c r="E8863">
        <f>IF(D8863&lt;&gt;"KEEP","",IF(RIGHT(B8863,10)="@gmail.com","Gmail",IF(OR(RIGHT(B8863,12)="@outlook.com",RIGHT(B8863,12)="@hotmail.com",RIGHT(B8863,9)="@live.com"),"Outlook","Domain")))</f>
        <v/>
      </c>
      <c r="F8863">
        <f>IF(B8863="","",IFERROR(RIGHT(B8863,LEN(B8863)-FIND("@",B8863)),""))</f>
        <v/>
      </c>
      <c r="G8863">
        <f>IF(D8863="KEEP",COUNTIF($D$2:D8863,"KEEP"),"")</f>
        <v/>
      </c>
      <c r="H8863">
        <f>IF(D8863="REMOVE",COUNTIF($D$2:D8863,"REMOVE"),"")</f>
        <v/>
      </c>
      <c r="I8863">
        <f>IF(E8863="Gmail",COUNTIF($E$2:E8863,"Gmail"),"")</f>
        <v/>
      </c>
      <c r="J8863">
        <f>IF(E8863="Outlook",COUNTIF($E$2:E8863,"Outlook"),"")</f>
        <v/>
      </c>
      <c r="K8863">
        <f>IF(E8863="Domain",COUNTIF($E$2:E8863,"Domain"),"")</f>
        <v/>
      </c>
    </row>
    <row r="8864">
      <c r="A8864" s="2" t="n"/>
      <c r="B8864">
        <f>LOWER(TRIM(A8864))</f>
        <v/>
      </c>
      <c r="C8864">
        <f>IF(B8864="","",IFERROR(INDEX('Bad Patterns'!$A$2:$A$120,MATCH(1,INDEX(--ISNUMBER(SEARCH('Bad Patterns'!$A$2:$A$120,B8864)),0),0)),""))</f>
        <v/>
      </c>
      <c r="D8864">
        <f>IF(B8864="","",IF(C8864&lt;&gt;"","REMOVE","KEEP"))</f>
        <v/>
      </c>
      <c r="E8864">
        <f>IF(D8864&lt;&gt;"KEEP","",IF(RIGHT(B8864,10)="@gmail.com","Gmail",IF(OR(RIGHT(B8864,12)="@outlook.com",RIGHT(B8864,12)="@hotmail.com",RIGHT(B8864,9)="@live.com"),"Outlook","Domain")))</f>
        <v/>
      </c>
      <c r="F8864">
        <f>IF(B8864="","",IFERROR(RIGHT(B8864,LEN(B8864)-FIND("@",B8864)),""))</f>
        <v/>
      </c>
      <c r="G8864">
        <f>IF(D8864="KEEP",COUNTIF($D$2:D8864,"KEEP"),"")</f>
        <v/>
      </c>
      <c r="H8864">
        <f>IF(D8864="REMOVE",COUNTIF($D$2:D8864,"REMOVE"),"")</f>
        <v/>
      </c>
      <c r="I8864">
        <f>IF(E8864="Gmail",COUNTIF($E$2:E8864,"Gmail"),"")</f>
        <v/>
      </c>
      <c r="J8864">
        <f>IF(E8864="Outlook",COUNTIF($E$2:E8864,"Outlook"),"")</f>
        <v/>
      </c>
      <c r="K8864">
        <f>IF(E8864="Domain",COUNTIF($E$2:E8864,"Domain"),"")</f>
        <v/>
      </c>
    </row>
    <row r="8865">
      <c r="A8865" s="2" t="n"/>
      <c r="B8865">
        <f>LOWER(TRIM(A8865))</f>
        <v/>
      </c>
      <c r="C8865">
        <f>IF(B8865="","",IFERROR(INDEX('Bad Patterns'!$A$2:$A$120,MATCH(1,INDEX(--ISNUMBER(SEARCH('Bad Patterns'!$A$2:$A$120,B8865)),0),0)),""))</f>
        <v/>
      </c>
      <c r="D8865">
        <f>IF(B8865="","",IF(C8865&lt;&gt;"","REMOVE","KEEP"))</f>
        <v/>
      </c>
      <c r="E8865">
        <f>IF(D8865&lt;&gt;"KEEP","",IF(RIGHT(B8865,10)="@gmail.com","Gmail",IF(OR(RIGHT(B8865,12)="@outlook.com",RIGHT(B8865,12)="@hotmail.com",RIGHT(B8865,9)="@live.com"),"Outlook","Domain")))</f>
        <v/>
      </c>
      <c r="F8865">
        <f>IF(B8865="","",IFERROR(RIGHT(B8865,LEN(B8865)-FIND("@",B8865)),""))</f>
        <v/>
      </c>
      <c r="G8865">
        <f>IF(D8865="KEEP",COUNTIF($D$2:D8865,"KEEP"),"")</f>
        <v/>
      </c>
      <c r="H8865">
        <f>IF(D8865="REMOVE",COUNTIF($D$2:D8865,"REMOVE"),"")</f>
        <v/>
      </c>
      <c r="I8865">
        <f>IF(E8865="Gmail",COUNTIF($E$2:E8865,"Gmail"),"")</f>
        <v/>
      </c>
      <c r="J8865">
        <f>IF(E8865="Outlook",COUNTIF($E$2:E8865,"Outlook"),"")</f>
        <v/>
      </c>
      <c r="K8865">
        <f>IF(E8865="Domain",COUNTIF($E$2:E8865,"Domain"),"")</f>
        <v/>
      </c>
    </row>
    <row r="8866">
      <c r="A8866" s="2" t="n"/>
      <c r="B8866">
        <f>LOWER(TRIM(A8866))</f>
        <v/>
      </c>
      <c r="C8866">
        <f>IF(B8866="","",IFERROR(INDEX('Bad Patterns'!$A$2:$A$120,MATCH(1,INDEX(--ISNUMBER(SEARCH('Bad Patterns'!$A$2:$A$120,B8866)),0),0)),""))</f>
        <v/>
      </c>
      <c r="D8866">
        <f>IF(B8866="","",IF(C8866&lt;&gt;"","REMOVE","KEEP"))</f>
        <v/>
      </c>
      <c r="E8866">
        <f>IF(D8866&lt;&gt;"KEEP","",IF(RIGHT(B8866,10)="@gmail.com","Gmail",IF(OR(RIGHT(B8866,12)="@outlook.com",RIGHT(B8866,12)="@hotmail.com",RIGHT(B8866,9)="@live.com"),"Outlook","Domain")))</f>
        <v/>
      </c>
      <c r="F8866">
        <f>IF(B8866="","",IFERROR(RIGHT(B8866,LEN(B8866)-FIND("@",B8866)),""))</f>
        <v/>
      </c>
      <c r="G8866">
        <f>IF(D8866="KEEP",COUNTIF($D$2:D8866,"KEEP"),"")</f>
        <v/>
      </c>
      <c r="H8866">
        <f>IF(D8866="REMOVE",COUNTIF($D$2:D8866,"REMOVE"),"")</f>
        <v/>
      </c>
      <c r="I8866">
        <f>IF(E8866="Gmail",COUNTIF($E$2:E8866,"Gmail"),"")</f>
        <v/>
      </c>
      <c r="J8866">
        <f>IF(E8866="Outlook",COUNTIF($E$2:E8866,"Outlook"),"")</f>
        <v/>
      </c>
      <c r="K8866">
        <f>IF(E8866="Domain",COUNTIF($E$2:E8866,"Domain"),"")</f>
        <v/>
      </c>
    </row>
    <row r="8867">
      <c r="A8867" s="2" t="n"/>
      <c r="B8867">
        <f>LOWER(TRIM(A8867))</f>
        <v/>
      </c>
      <c r="C8867">
        <f>IF(B8867="","",IFERROR(INDEX('Bad Patterns'!$A$2:$A$120,MATCH(1,INDEX(--ISNUMBER(SEARCH('Bad Patterns'!$A$2:$A$120,B8867)),0),0)),""))</f>
        <v/>
      </c>
      <c r="D8867">
        <f>IF(B8867="","",IF(C8867&lt;&gt;"","REMOVE","KEEP"))</f>
        <v/>
      </c>
      <c r="E8867">
        <f>IF(D8867&lt;&gt;"KEEP","",IF(RIGHT(B8867,10)="@gmail.com","Gmail",IF(OR(RIGHT(B8867,12)="@outlook.com",RIGHT(B8867,12)="@hotmail.com",RIGHT(B8867,9)="@live.com"),"Outlook","Domain")))</f>
        <v/>
      </c>
      <c r="F8867">
        <f>IF(B8867="","",IFERROR(RIGHT(B8867,LEN(B8867)-FIND("@",B8867)),""))</f>
        <v/>
      </c>
      <c r="G8867">
        <f>IF(D8867="KEEP",COUNTIF($D$2:D8867,"KEEP"),"")</f>
        <v/>
      </c>
      <c r="H8867">
        <f>IF(D8867="REMOVE",COUNTIF($D$2:D8867,"REMOVE"),"")</f>
        <v/>
      </c>
      <c r="I8867">
        <f>IF(E8867="Gmail",COUNTIF($E$2:E8867,"Gmail"),"")</f>
        <v/>
      </c>
      <c r="J8867">
        <f>IF(E8867="Outlook",COUNTIF($E$2:E8867,"Outlook"),"")</f>
        <v/>
      </c>
      <c r="K8867">
        <f>IF(E8867="Domain",COUNTIF($E$2:E8867,"Domain"),"")</f>
        <v/>
      </c>
    </row>
    <row r="8868">
      <c r="A8868" s="2" t="n"/>
      <c r="B8868">
        <f>LOWER(TRIM(A8868))</f>
        <v/>
      </c>
      <c r="C8868">
        <f>IF(B8868="","",IFERROR(INDEX('Bad Patterns'!$A$2:$A$120,MATCH(1,INDEX(--ISNUMBER(SEARCH('Bad Patterns'!$A$2:$A$120,B8868)),0),0)),""))</f>
        <v/>
      </c>
      <c r="D8868">
        <f>IF(B8868="","",IF(C8868&lt;&gt;"","REMOVE","KEEP"))</f>
        <v/>
      </c>
      <c r="E8868">
        <f>IF(D8868&lt;&gt;"KEEP","",IF(RIGHT(B8868,10)="@gmail.com","Gmail",IF(OR(RIGHT(B8868,12)="@outlook.com",RIGHT(B8868,12)="@hotmail.com",RIGHT(B8868,9)="@live.com"),"Outlook","Domain")))</f>
        <v/>
      </c>
      <c r="F8868">
        <f>IF(B8868="","",IFERROR(RIGHT(B8868,LEN(B8868)-FIND("@",B8868)),""))</f>
        <v/>
      </c>
      <c r="G8868">
        <f>IF(D8868="KEEP",COUNTIF($D$2:D8868,"KEEP"),"")</f>
        <v/>
      </c>
      <c r="H8868">
        <f>IF(D8868="REMOVE",COUNTIF($D$2:D8868,"REMOVE"),"")</f>
        <v/>
      </c>
      <c r="I8868">
        <f>IF(E8868="Gmail",COUNTIF($E$2:E8868,"Gmail"),"")</f>
        <v/>
      </c>
      <c r="J8868">
        <f>IF(E8868="Outlook",COUNTIF($E$2:E8868,"Outlook"),"")</f>
        <v/>
      </c>
      <c r="K8868">
        <f>IF(E8868="Domain",COUNTIF($E$2:E8868,"Domain"),"")</f>
        <v/>
      </c>
    </row>
    <row r="8869">
      <c r="A8869" s="2" t="n"/>
      <c r="B8869">
        <f>LOWER(TRIM(A8869))</f>
        <v/>
      </c>
      <c r="C8869">
        <f>IF(B8869="","",IFERROR(INDEX('Bad Patterns'!$A$2:$A$120,MATCH(1,INDEX(--ISNUMBER(SEARCH('Bad Patterns'!$A$2:$A$120,B8869)),0),0)),""))</f>
        <v/>
      </c>
      <c r="D8869">
        <f>IF(B8869="","",IF(C8869&lt;&gt;"","REMOVE","KEEP"))</f>
        <v/>
      </c>
      <c r="E8869">
        <f>IF(D8869&lt;&gt;"KEEP","",IF(RIGHT(B8869,10)="@gmail.com","Gmail",IF(OR(RIGHT(B8869,12)="@outlook.com",RIGHT(B8869,12)="@hotmail.com",RIGHT(B8869,9)="@live.com"),"Outlook","Domain")))</f>
        <v/>
      </c>
      <c r="F8869">
        <f>IF(B8869="","",IFERROR(RIGHT(B8869,LEN(B8869)-FIND("@",B8869)),""))</f>
        <v/>
      </c>
      <c r="G8869">
        <f>IF(D8869="KEEP",COUNTIF($D$2:D8869,"KEEP"),"")</f>
        <v/>
      </c>
      <c r="H8869">
        <f>IF(D8869="REMOVE",COUNTIF($D$2:D8869,"REMOVE"),"")</f>
        <v/>
      </c>
      <c r="I8869">
        <f>IF(E8869="Gmail",COUNTIF($E$2:E8869,"Gmail"),"")</f>
        <v/>
      </c>
      <c r="J8869">
        <f>IF(E8869="Outlook",COUNTIF($E$2:E8869,"Outlook"),"")</f>
        <v/>
      </c>
      <c r="K8869">
        <f>IF(E8869="Domain",COUNTIF($E$2:E8869,"Domain"),"")</f>
        <v/>
      </c>
    </row>
    <row r="8870">
      <c r="A8870" s="2" t="n"/>
      <c r="B8870">
        <f>LOWER(TRIM(A8870))</f>
        <v/>
      </c>
      <c r="C8870">
        <f>IF(B8870="","",IFERROR(INDEX('Bad Patterns'!$A$2:$A$120,MATCH(1,INDEX(--ISNUMBER(SEARCH('Bad Patterns'!$A$2:$A$120,B8870)),0),0)),""))</f>
        <v/>
      </c>
      <c r="D8870">
        <f>IF(B8870="","",IF(C8870&lt;&gt;"","REMOVE","KEEP"))</f>
        <v/>
      </c>
      <c r="E8870">
        <f>IF(D8870&lt;&gt;"KEEP","",IF(RIGHT(B8870,10)="@gmail.com","Gmail",IF(OR(RIGHT(B8870,12)="@outlook.com",RIGHT(B8870,12)="@hotmail.com",RIGHT(B8870,9)="@live.com"),"Outlook","Domain")))</f>
        <v/>
      </c>
      <c r="F8870">
        <f>IF(B8870="","",IFERROR(RIGHT(B8870,LEN(B8870)-FIND("@",B8870)),""))</f>
        <v/>
      </c>
      <c r="G8870">
        <f>IF(D8870="KEEP",COUNTIF($D$2:D8870,"KEEP"),"")</f>
        <v/>
      </c>
      <c r="H8870">
        <f>IF(D8870="REMOVE",COUNTIF($D$2:D8870,"REMOVE"),"")</f>
        <v/>
      </c>
      <c r="I8870">
        <f>IF(E8870="Gmail",COUNTIF($E$2:E8870,"Gmail"),"")</f>
        <v/>
      </c>
      <c r="J8870">
        <f>IF(E8870="Outlook",COUNTIF($E$2:E8870,"Outlook"),"")</f>
        <v/>
      </c>
      <c r="K8870">
        <f>IF(E8870="Domain",COUNTIF($E$2:E8870,"Domain"),"")</f>
        <v/>
      </c>
    </row>
    <row r="8871">
      <c r="A8871" s="2" t="n"/>
      <c r="B8871">
        <f>LOWER(TRIM(A8871))</f>
        <v/>
      </c>
      <c r="C8871">
        <f>IF(B8871="","",IFERROR(INDEX('Bad Patterns'!$A$2:$A$120,MATCH(1,INDEX(--ISNUMBER(SEARCH('Bad Patterns'!$A$2:$A$120,B8871)),0),0)),""))</f>
        <v/>
      </c>
      <c r="D8871">
        <f>IF(B8871="","",IF(C8871&lt;&gt;"","REMOVE","KEEP"))</f>
        <v/>
      </c>
      <c r="E8871">
        <f>IF(D8871&lt;&gt;"KEEP","",IF(RIGHT(B8871,10)="@gmail.com","Gmail",IF(OR(RIGHT(B8871,12)="@outlook.com",RIGHT(B8871,12)="@hotmail.com",RIGHT(B8871,9)="@live.com"),"Outlook","Domain")))</f>
        <v/>
      </c>
      <c r="F8871">
        <f>IF(B8871="","",IFERROR(RIGHT(B8871,LEN(B8871)-FIND("@",B8871)),""))</f>
        <v/>
      </c>
      <c r="G8871">
        <f>IF(D8871="KEEP",COUNTIF($D$2:D8871,"KEEP"),"")</f>
        <v/>
      </c>
      <c r="H8871">
        <f>IF(D8871="REMOVE",COUNTIF($D$2:D8871,"REMOVE"),"")</f>
        <v/>
      </c>
      <c r="I8871">
        <f>IF(E8871="Gmail",COUNTIF($E$2:E8871,"Gmail"),"")</f>
        <v/>
      </c>
      <c r="J8871">
        <f>IF(E8871="Outlook",COUNTIF($E$2:E8871,"Outlook"),"")</f>
        <v/>
      </c>
      <c r="K8871">
        <f>IF(E8871="Domain",COUNTIF($E$2:E8871,"Domain"),"")</f>
        <v/>
      </c>
    </row>
    <row r="8872">
      <c r="A8872" s="2" t="n"/>
      <c r="B8872">
        <f>LOWER(TRIM(A8872))</f>
        <v/>
      </c>
      <c r="C8872">
        <f>IF(B8872="","",IFERROR(INDEX('Bad Patterns'!$A$2:$A$120,MATCH(1,INDEX(--ISNUMBER(SEARCH('Bad Patterns'!$A$2:$A$120,B8872)),0),0)),""))</f>
        <v/>
      </c>
      <c r="D8872">
        <f>IF(B8872="","",IF(C8872&lt;&gt;"","REMOVE","KEEP"))</f>
        <v/>
      </c>
      <c r="E8872">
        <f>IF(D8872&lt;&gt;"KEEP","",IF(RIGHT(B8872,10)="@gmail.com","Gmail",IF(OR(RIGHT(B8872,12)="@outlook.com",RIGHT(B8872,12)="@hotmail.com",RIGHT(B8872,9)="@live.com"),"Outlook","Domain")))</f>
        <v/>
      </c>
      <c r="F8872">
        <f>IF(B8872="","",IFERROR(RIGHT(B8872,LEN(B8872)-FIND("@",B8872)),""))</f>
        <v/>
      </c>
      <c r="G8872">
        <f>IF(D8872="KEEP",COUNTIF($D$2:D8872,"KEEP"),"")</f>
        <v/>
      </c>
      <c r="H8872">
        <f>IF(D8872="REMOVE",COUNTIF($D$2:D8872,"REMOVE"),"")</f>
        <v/>
      </c>
      <c r="I8872">
        <f>IF(E8872="Gmail",COUNTIF($E$2:E8872,"Gmail"),"")</f>
        <v/>
      </c>
      <c r="J8872">
        <f>IF(E8872="Outlook",COUNTIF($E$2:E8872,"Outlook"),"")</f>
        <v/>
      </c>
      <c r="K8872">
        <f>IF(E8872="Domain",COUNTIF($E$2:E8872,"Domain"),"")</f>
        <v/>
      </c>
    </row>
    <row r="8873">
      <c r="A8873" s="2" t="n"/>
      <c r="B8873">
        <f>LOWER(TRIM(A8873))</f>
        <v/>
      </c>
      <c r="C8873">
        <f>IF(B8873="","",IFERROR(INDEX('Bad Patterns'!$A$2:$A$120,MATCH(1,INDEX(--ISNUMBER(SEARCH('Bad Patterns'!$A$2:$A$120,B8873)),0),0)),""))</f>
        <v/>
      </c>
      <c r="D8873">
        <f>IF(B8873="","",IF(C8873&lt;&gt;"","REMOVE","KEEP"))</f>
        <v/>
      </c>
      <c r="E8873">
        <f>IF(D8873&lt;&gt;"KEEP","",IF(RIGHT(B8873,10)="@gmail.com","Gmail",IF(OR(RIGHT(B8873,12)="@outlook.com",RIGHT(B8873,12)="@hotmail.com",RIGHT(B8873,9)="@live.com"),"Outlook","Domain")))</f>
        <v/>
      </c>
      <c r="F8873">
        <f>IF(B8873="","",IFERROR(RIGHT(B8873,LEN(B8873)-FIND("@",B8873)),""))</f>
        <v/>
      </c>
      <c r="G8873">
        <f>IF(D8873="KEEP",COUNTIF($D$2:D8873,"KEEP"),"")</f>
        <v/>
      </c>
      <c r="H8873">
        <f>IF(D8873="REMOVE",COUNTIF($D$2:D8873,"REMOVE"),"")</f>
        <v/>
      </c>
      <c r="I8873">
        <f>IF(E8873="Gmail",COUNTIF($E$2:E8873,"Gmail"),"")</f>
        <v/>
      </c>
      <c r="J8873">
        <f>IF(E8873="Outlook",COUNTIF($E$2:E8873,"Outlook"),"")</f>
        <v/>
      </c>
      <c r="K8873">
        <f>IF(E8873="Domain",COUNTIF($E$2:E8873,"Domain"),"")</f>
        <v/>
      </c>
    </row>
    <row r="8874">
      <c r="A8874" s="2" t="n"/>
      <c r="B8874">
        <f>LOWER(TRIM(A8874))</f>
        <v/>
      </c>
      <c r="C8874">
        <f>IF(B8874="","",IFERROR(INDEX('Bad Patterns'!$A$2:$A$120,MATCH(1,INDEX(--ISNUMBER(SEARCH('Bad Patterns'!$A$2:$A$120,B8874)),0),0)),""))</f>
        <v/>
      </c>
      <c r="D8874">
        <f>IF(B8874="","",IF(C8874&lt;&gt;"","REMOVE","KEEP"))</f>
        <v/>
      </c>
      <c r="E8874">
        <f>IF(D8874&lt;&gt;"KEEP","",IF(RIGHT(B8874,10)="@gmail.com","Gmail",IF(OR(RIGHT(B8874,12)="@outlook.com",RIGHT(B8874,12)="@hotmail.com",RIGHT(B8874,9)="@live.com"),"Outlook","Domain")))</f>
        <v/>
      </c>
      <c r="F8874">
        <f>IF(B8874="","",IFERROR(RIGHT(B8874,LEN(B8874)-FIND("@",B8874)),""))</f>
        <v/>
      </c>
      <c r="G8874">
        <f>IF(D8874="KEEP",COUNTIF($D$2:D8874,"KEEP"),"")</f>
        <v/>
      </c>
      <c r="H8874">
        <f>IF(D8874="REMOVE",COUNTIF($D$2:D8874,"REMOVE"),"")</f>
        <v/>
      </c>
      <c r="I8874">
        <f>IF(E8874="Gmail",COUNTIF($E$2:E8874,"Gmail"),"")</f>
        <v/>
      </c>
      <c r="J8874">
        <f>IF(E8874="Outlook",COUNTIF($E$2:E8874,"Outlook"),"")</f>
        <v/>
      </c>
      <c r="K8874">
        <f>IF(E8874="Domain",COUNTIF($E$2:E8874,"Domain"),"")</f>
        <v/>
      </c>
    </row>
    <row r="8875">
      <c r="A8875" s="2" t="n"/>
      <c r="B8875">
        <f>LOWER(TRIM(A8875))</f>
        <v/>
      </c>
      <c r="C8875">
        <f>IF(B8875="","",IFERROR(INDEX('Bad Patterns'!$A$2:$A$120,MATCH(1,INDEX(--ISNUMBER(SEARCH('Bad Patterns'!$A$2:$A$120,B8875)),0),0)),""))</f>
        <v/>
      </c>
      <c r="D8875">
        <f>IF(B8875="","",IF(C8875&lt;&gt;"","REMOVE","KEEP"))</f>
        <v/>
      </c>
      <c r="E8875">
        <f>IF(D8875&lt;&gt;"KEEP","",IF(RIGHT(B8875,10)="@gmail.com","Gmail",IF(OR(RIGHT(B8875,12)="@outlook.com",RIGHT(B8875,12)="@hotmail.com",RIGHT(B8875,9)="@live.com"),"Outlook","Domain")))</f>
        <v/>
      </c>
      <c r="F8875">
        <f>IF(B8875="","",IFERROR(RIGHT(B8875,LEN(B8875)-FIND("@",B8875)),""))</f>
        <v/>
      </c>
      <c r="G8875">
        <f>IF(D8875="KEEP",COUNTIF($D$2:D8875,"KEEP"),"")</f>
        <v/>
      </c>
      <c r="H8875">
        <f>IF(D8875="REMOVE",COUNTIF($D$2:D8875,"REMOVE"),"")</f>
        <v/>
      </c>
      <c r="I8875">
        <f>IF(E8875="Gmail",COUNTIF($E$2:E8875,"Gmail"),"")</f>
        <v/>
      </c>
      <c r="J8875">
        <f>IF(E8875="Outlook",COUNTIF($E$2:E8875,"Outlook"),"")</f>
        <v/>
      </c>
      <c r="K8875">
        <f>IF(E8875="Domain",COUNTIF($E$2:E8875,"Domain"),"")</f>
        <v/>
      </c>
    </row>
    <row r="8876">
      <c r="A8876" s="2" t="n"/>
      <c r="B8876">
        <f>LOWER(TRIM(A8876))</f>
        <v/>
      </c>
      <c r="C8876">
        <f>IF(B8876="","",IFERROR(INDEX('Bad Patterns'!$A$2:$A$120,MATCH(1,INDEX(--ISNUMBER(SEARCH('Bad Patterns'!$A$2:$A$120,B8876)),0),0)),""))</f>
        <v/>
      </c>
      <c r="D8876">
        <f>IF(B8876="","",IF(C8876&lt;&gt;"","REMOVE","KEEP"))</f>
        <v/>
      </c>
      <c r="E8876">
        <f>IF(D8876&lt;&gt;"KEEP","",IF(RIGHT(B8876,10)="@gmail.com","Gmail",IF(OR(RIGHT(B8876,12)="@outlook.com",RIGHT(B8876,12)="@hotmail.com",RIGHT(B8876,9)="@live.com"),"Outlook","Domain")))</f>
        <v/>
      </c>
      <c r="F8876">
        <f>IF(B8876="","",IFERROR(RIGHT(B8876,LEN(B8876)-FIND("@",B8876)),""))</f>
        <v/>
      </c>
      <c r="G8876">
        <f>IF(D8876="KEEP",COUNTIF($D$2:D8876,"KEEP"),"")</f>
        <v/>
      </c>
      <c r="H8876">
        <f>IF(D8876="REMOVE",COUNTIF($D$2:D8876,"REMOVE"),"")</f>
        <v/>
      </c>
      <c r="I8876">
        <f>IF(E8876="Gmail",COUNTIF($E$2:E8876,"Gmail"),"")</f>
        <v/>
      </c>
      <c r="J8876">
        <f>IF(E8876="Outlook",COUNTIF($E$2:E8876,"Outlook"),"")</f>
        <v/>
      </c>
      <c r="K8876">
        <f>IF(E8876="Domain",COUNTIF($E$2:E8876,"Domain"),"")</f>
        <v/>
      </c>
    </row>
    <row r="8877">
      <c r="A8877" s="2" t="n"/>
      <c r="B8877">
        <f>LOWER(TRIM(A8877))</f>
        <v/>
      </c>
      <c r="C8877">
        <f>IF(B8877="","",IFERROR(INDEX('Bad Patterns'!$A$2:$A$120,MATCH(1,INDEX(--ISNUMBER(SEARCH('Bad Patterns'!$A$2:$A$120,B8877)),0),0)),""))</f>
        <v/>
      </c>
      <c r="D8877">
        <f>IF(B8877="","",IF(C8877&lt;&gt;"","REMOVE","KEEP"))</f>
        <v/>
      </c>
      <c r="E8877">
        <f>IF(D8877&lt;&gt;"KEEP","",IF(RIGHT(B8877,10)="@gmail.com","Gmail",IF(OR(RIGHT(B8877,12)="@outlook.com",RIGHT(B8877,12)="@hotmail.com",RIGHT(B8877,9)="@live.com"),"Outlook","Domain")))</f>
        <v/>
      </c>
      <c r="F8877">
        <f>IF(B8877="","",IFERROR(RIGHT(B8877,LEN(B8877)-FIND("@",B8877)),""))</f>
        <v/>
      </c>
      <c r="G8877">
        <f>IF(D8877="KEEP",COUNTIF($D$2:D8877,"KEEP"),"")</f>
        <v/>
      </c>
      <c r="H8877">
        <f>IF(D8877="REMOVE",COUNTIF($D$2:D8877,"REMOVE"),"")</f>
        <v/>
      </c>
      <c r="I8877">
        <f>IF(E8877="Gmail",COUNTIF($E$2:E8877,"Gmail"),"")</f>
        <v/>
      </c>
      <c r="J8877">
        <f>IF(E8877="Outlook",COUNTIF($E$2:E8877,"Outlook"),"")</f>
        <v/>
      </c>
      <c r="K8877">
        <f>IF(E8877="Domain",COUNTIF($E$2:E8877,"Domain"),"")</f>
        <v/>
      </c>
    </row>
    <row r="8878">
      <c r="A8878" s="2" t="n"/>
      <c r="B8878">
        <f>LOWER(TRIM(A8878))</f>
        <v/>
      </c>
      <c r="C8878">
        <f>IF(B8878="","",IFERROR(INDEX('Bad Patterns'!$A$2:$A$120,MATCH(1,INDEX(--ISNUMBER(SEARCH('Bad Patterns'!$A$2:$A$120,B8878)),0),0)),""))</f>
        <v/>
      </c>
      <c r="D8878">
        <f>IF(B8878="","",IF(C8878&lt;&gt;"","REMOVE","KEEP"))</f>
        <v/>
      </c>
      <c r="E8878">
        <f>IF(D8878&lt;&gt;"KEEP","",IF(RIGHT(B8878,10)="@gmail.com","Gmail",IF(OR(RIGHT(B8878,12)="@outlook.com",RIGHT(B8878,12)="@hotmail.com",RIGHT(B8878,9)="@live.com"),"Outlook","Domain")))</f>
        <v/>
      </c>
      <c r="F8878">
        <f>IF(B8878="","",IFERROR(RIGHT(B8878,LEN(B8878)-FIND("@",B8878)),""))</f>
        <v/>
      </c>
      <c r="G8878">
        <f>IF(D8878="KEEP",COUNTIF($D$2:D8878,"KEEP"),"")</f>
        <v/>
      </c>
      <c r="H8878">
        <f>IF(D8878="REMOVE",COUNTIF($D$2:D8878,"REMOVE"),"")</f>
        <v/>
      </c>
      <c r="I8878">
        <f>IF(E8878="Gmail",COUNTIF($E$2:E8878,"Gmail"),"")</f>
        <v/>
      </c>
      <c r="J8878">
        <f>IF(E8878="Outlook",COUNTIF($E$2:E8878,"Outlook"),"")</f>
        <v/>
      </c>
      <c r="K8878">
        <f>IF(E8878="Domain",COUNTIF($E$2:E8878,"Domain"),"")</f>
        <v/>
      </c>
    </row>
    <row r="8879">
      <c r="A8879" s="2" t="n"/>
      <c r="B8879">
        <f>LOWER(TRIM(A8879))</f>
        <v/>
      </c>
      <c r="C8879">
        <f>IF(B8879="","",IFERROR(INDEX('Bad Patterns'!$A$2:$A$120,MATCH(1,INDEX(--ISNUMBER(SEARCH('Bad Patterns'!$A$2:$A$120,B8879)),0),0)),""))</f>
        <v/>
      </c>
      <c r="D8879">
        <f>IF(B8879="","",IF(C8879&lt;&gt;"","REMOVE","KEEP"))</f>
        <v/>
      </c>
      <c r="E8879">
        <f>IF(D8879&lt;&gt;"KEEP","",IF(RIGHT(B8879,10)="@gmail.com","Gmail",IF(OR(RIGHT(B8879,12)="@outlook.com",RIGHT(B8879,12)="@hotmail.com",RIGHT(B8879,9)="@live.com"),"Outlook","Domain")))</f>
        <v/>
      </c>
      <c r="F8879">
        <f>IF(B8879="","",IFERROR(RIGHT(B8879,LEN(B8879)-FIND("@",B8879)),""))</f>
        <v/>
      </c>
      <c r="G8879">
        <f>IF(D8879="KEEP",COUNTIF($D$2:D8879,"KEEP"),"")</f>
        <v/>
      </c>
      <c r="H8879">
        <f>IF(D8879="REMOVE",COUNTIF($D$2:D8879,"REMOVE"),"")</f>
        <v/>
      </c>
      <c r="I8879">
        <f>IF(E8879="Gmail",COUNTIF($E$2:E8879,"Gmail"),"")</f>
        <v/>
      </c>
      <c r="J8879">
        <f>IF(E8879="Outlook",COUNTIF($E$2:E8879,"Outlook"),"")</f>
        <v/>
      </c>
      <c r="K8879">
        <f>IF(E8879="Domain",COUNTIF($E$2:E8879,"Domain"),"")</f>
        <v/>
      </c>
    </row>
    <row r="8880">
      <c r="A8880" s="2" t="n"/>
      <c r="B8880">
        <f>LOWER(TRIM(A8880))</f>
        <v/>
      </c>
      <c r="C8880">
        <f>IF(B8880="","",IFERROR(INDEX('Bad Patterns'!$A$2:$A$120,MATCH(1,INDEX(--ISNUMBER(SEARCH('Bad Patterns'!$A$2:$A$120,B8880)),0),0)),""))</f>
        <v/>
      </c>
      <c r="D8880">
        <f>IF(B8880="","",IF(C8880&lt;&gt;"","REMOVE","KEEP"))</f>
        <v/>
      </c>
      <c r="E8880">
        <f>IF(D8880&lt;&gt;"KEEP","",IF(RIGHT(B8880,10)="@gmail.com","Gmail",IF(OR(RIGHT(B8880,12)="@outlook.com",RIGHT(B8880,12)="@hotmail.com",RIGHT(B8880,9)="@live.com"),"Outlook","Domain")))</f>
        <v/>
      </c>
      <c r="F8880">
        <f>IF(B8880="","",IFERROR(RIGHT(B8880,LEN(B8880)-FIND("@",B8880)),""))</f>
        <v/>
      </c>
      <c r="G8880">
        <f>IF(D8880="KEEP",COUNTIF($D$2:D8880,"KEEP"),"")</f>
        <v/>
      </c>
      <c r="H8880">
        <f>IF(D8880="REMOVE",COUNTIF($D$2:D8880,"REMOVE"),"")</f>
        <v/>
      </c>
      <c r="I8880">
        <f>IF(E8880="Gmail",COUNTIF($E$2:E8880,"Gmail"),"")</f>
        <v/>
      </c>
      <c r="J8880">
        <f>IF(E8880="Outlook",COUNTIF($E$2:E8880,"Outlook"),"")</f>
        <v/>
      </c>
      <c r="K8880">
        <f>IF(E8880="Domain",COUNTIF($E$2:E8880,"Domain"),"")</f>
        <v/>
      </c>
    </row>
    <row r="8881">
      <c r="A8881" s="2" t="n"/>
      <c r="B8881">
        <f>LOWER(TRIM(A8881))</f>
        <v/>
      </c>
      <c r="C8881">
        <f>IF(B8881="","",IFERROR(INDEX('Bad Patterns'!$A$2:$A$120,MATCH(1,INDEX(--ISNUMBER(SEARCH('Bad Patterns'!$A$2:$A$120,B8881)),0),0)),""))</f>
        <v/>
      </c>
      <c r="D8881">
        <f>IF(B8881="","",IF(C8881&lt;&gt;"","REMOVE","KEEP"))</f>
        <v/>
      </c>
      <c r="E8881">
        <f>IF(D8881&lt;&gt;"KEEP","",IF(RIGHT(B8881,10)="@gmail.com","Gmail",IF(OR(RIGHT(B8881,12)="@outlook.com",RIGHT(B8881,12)="@hotmail.com",RIGHT(B8881,9)="@live.com"),"Outlook","Domain")))</f>
        <v/>
      </c>
      <c r="F8881">
        <f>IF(B8881="","",IFERROR(RIGHT(B8881,LEN(B8881)-FIND("@",B8881)),""))</f>
        <v/>
      </c>
      <c r="G8881">
        <f>IF(D8881="KEEP",COUNTIF($D$2:D8881,"KEEP"),"")</f>
        <v/>
      </c>
      <c r="H8881">
        <f>IF(D8881="REMOVE",COUNTIF($D$2:D8881,"REMOVE"),"")</f>
        <v/>
      </c>
      <c r="I8881">
        <f>IF(E8881="Gmail",COUNTIF($E$2:E8881,"Gmail"),"")</f>
        <v/>
      </c>
      <c r="J8881">
        <f>IF(E8881="Outlook",COUNTIF($E$2:E8881,"Outlook"),"")</f>
        <v/>
      </c>
      <c r="K8881">
        <f>IF(E8881="Domain",COUNTIF($E$2:E8881,"Domain"),"")</f>
        <v/>
      </c>
    </row>
    <row r="8882">
      <c r="A8882" s="2" t="n"/>
      <c r="B8882">
        <f>LOWER(TRIM(A8882))</f>
        <v/>
      </c>
      <c r="C8882">
        <f>IF(B8882="","",IFERROR(INDEX('Bad Patterns'!$A$2:$A$120,MATCH(1,INDEX(--ISNUMBER(SEARCH('Bad Patterns'!$A$2:$A$120,B8882)),0),0)),""))</f>
        <v/>
      </c>
      <c r="D8882">
        <f>IF(B8882="","",IF(C8882&lt;&gt;"","REMOVE","KEEP"))</f>
        <v/>
      </c>
      <c r="E8882">
        <f>IF(D8882&lt;&gt;"KEEP","",IF(RIGHT(B8882,10)="@gmail.com","Gmail",IF(OR(RIGHT(B8882,12)="@outlook.com",RIGHT(B8882,12)="@hotmail.com",RIGHT(B8882,9)="@live.com"),"Outlook","Domain")))</f>
        <v/>
      </c>
      <c r="F8882">
        <f>IF(B8882="","",IFERROR(RIGHT(B8882,LEN(B8882)-FIND("@",B8882)),""))</f>
        <v/>
      </c>
      <c r="G8882">
        <f>IF(D8882="KEEP",COUNTIF($D$2:D8882,"KEEP"),"")</f>
        <v/>
      </c>
      <c r="H8882">
        <f>IF(D8882="REMOVE",COUNTIF($D$2:D8882,"REMOVE"),"")</f>
        <v/>
      </c>
      <c r="I8882">
        <f>IF(E8882="Gmail",COUNTIF($E$2:E8882,"Gmail"),"")</f>
        <v/>
      </c>
      <c r="J8882">
        <f>IF(E8882="Outlook",COUNTIF($E$2:E8882,"Outlook"),"")</f>
        <v/>
      </c>
      <c r="K8882">
        <f>IF(E8882="Domain",COUNTIF($E$2:E8882,"Domain"),"")</f>
        <v/>
      </c>
    </row>
    <row r="8883">
      <c r="A8883" s="2" t="n"/>
      <c r="B8883">
        <f>LOWER(TRIM(A8883))</f>
        <v/>
      </c>
      <c r="C8883">
        <f>IF(B8883="","",IFERROR(INDEX('Bad Patterns'!$A$2:$A$120,MATCH(1,INDEX(--ISNUMBER(SEARCH('Bad Patterns'!$A$2:$A$120,B8883)),0),0)),""))</f>
        <v/>
      </c>
      <c r="D8883">
        <f>IF(B8883="","",IF(C8883&lt;&gt;"","REMOVE","KEEP"))</f>
        <v/>
      </c>
      <c r="E8883">
        <f>IF(D8883&lt;&gt;"KEEP","",IF(RIGHT(B8883,10)="@gmail.com","Gmail",IF(OR(RIGHT(B8883,12)="@outlook.com",RIGHT(B8883,12)="@hotmail.com",RIGHT(B8883,9)="@live.com"),"Outlook","Domain")))</f>
        <v/>
      </c>
      <c r="F8883">
        <f>IF(B8883="","",IFERROR(RIGHT(B8883,LEN(B8883)-FIND("@",B8883)),""))</f>
        <v/>
      </c>
      <c r="G8883">
        <f>IF(D8883="KEEP",COUNTIF($D$2:D8883,"KEEP"),"")</f>
        <v/>
      </c>
      <c r="H8883">
        <f>IF(D8883="REMOVE",COUNTIF($D$2:D8883,"REMOVE"),"")</f>
        <v/>
      </c>
      <c r="I8883">
        <f>IF(E8883="Gmail",COUNTIF($E$2:E8883,"Gmail"),"")</f>
        <v/>
      </c>
      <c r="J8883">
        <f>IF(E8883="Outlook",COUNTIF($E$2:E8883,"Outlook"),"")</f>
        <v/>
      </c>
      <c r="K8883">
        <f>IF(E8883="Domain",COUNTIF($E$2:E8883,"Domain"),"")</f>
        <v/>
      </c>
    </row>
    <row r="8884">
      <c r="A8884" s="2" t="n"/>
      <c r="B8884">
        <f>LOWER(TRIM(A8884))</f>
        <v/>
      </c>
      <c r="C8884">
        <f>IF(B8884="","",IFERROR(INDEX('Bad Patterns'!$A$2:$A$120,MATCH(1,INDEX(--ISNUMBER(SEARCH('Bad Patterns'!$A$2:$A$120,B8884)),0),0)),""))</f>
        <v/>
      </c>
      <c r="D8884">
        <f>IF(B8884="","",IF(C8884&lt;&gt;"","REMOVE","KEEP"))</f>
        <v/>
      </c>
      <c r="E8884">
        <f>IF(D8884&lt;&gt;"KEEP","",IF(RIGHT(B8884,10)="@gmail.com","Gmail",IF(OR(RIGHT(B8884,12)="@outlook.com",RIGHT(B8884,12)="@hotmail.com",RIGHT(B8884,9)="@live.com"),"Outlook","Domain")))</f>
        <v/>
      </c>
      <c r="F8884">
        <f>IF(B8884="","",IFERROR(RIGHT(B8884,LEN(B8884)-FIND("@",B8884)),""))</f>
        <v/>
      </c>
      <c r="G8884">
        <f>IF(D8884="KEEP",COUNTIF($D$2:D8884,"KEEP"),"")</f>
        <v/>
      </c>
      <c r="H8884">
        <f>IF(D8884="REMOVE",COUNTIF($D$2:D8884,"REMOVE"),"")</f>
        <v/>
      </c>
      <c r="I8884">
        <f>IF(E8884="Gmail",COUNTIF($E$2:E8884,"Gmail"),"")</f>
        <v/>
      </c>
      <c r="J8884">
        <f>IF(E8884="Outlook",COUNTIF($E$2:E8884,"Outlook"),"")</f>
        <v/>
      </c>
      <c r="K8884">
        <f>IF(E8884="Domain",COUNTIF($E$2:E8884,"Domain"),"")</f>
        <v/>
      </c>
    </row>
    <row r="8885">
      <c r="A8885" s="2" t="n"/>
      <c r="B8885">
        <f>LOWER(TRIM(A8885))</f>
        <v/>
      </c>
      <c r="C8885">
        <f>IF(B8885="","",IFERROR(INDEX('Bad Patterns'!$A$2:$A$120,MATCH(1,INDEX(--ISNUMBER(SEARCH('Bad Patterns'!$A$2:$A$120,B8885)),0),0)),""))</f>
        <v/>
      </c>
      <c r="D8885">
        <f>IF(B8885="","",IF(C8885&lt;&gt;"","REMOVE","KEEP"))</f>
        <v/>
      </c>
      <c r="E8885">
        <f>IF(D8885&lt;&gt;"KEEP","",IF(RIGHT(B8885,10)="@gmail.com","Gmail",IF(OR(RIGHT(B8885,12)="@outlook.com",RIGHT(B8885,12)="@hotmail.com",RIGHT(B8885,9)="@live.com"),"Outlook","Domain")))</f>
        <v/>
      </c>
      <c r="F8885">
        <f>IF(B8885="","",IFERROR(RIGHT(B8885,LEN(B8885)-FIND("@",B8885)),""))</f>
        <v/>
      </c>
      <c r="G8885">
        <f>IF(D8885="KEEP",COUNTIF($D$2:D8885,"KEEP"),"")</f>
        <v/>
      </c>
      <c r="H8885">
        <f>IF(D8885="REMOVE",COUNTIF($D$2:D8885,"REMOVE"),"")</f>
        <v/>
      </c>
      <c r="I8885">
        <f>IF(E8885="Gmail",COUNTIF($E$2:E8885,"Gmail"),"")</f>
        <v/>
      </c>
      <c r="J8885">
        <f>IF(E8885="Outlook",COUNTIF($E$2:E8885,"Outlook"),"")</f>
        <v/>
      </c>
      <c r="K8885">
        <f>IF(E8885="Domain",COUNTIF($E$2:E8885,"Domain"),"")</f>
        <v/>
      </c>
    </row>
    <row r="8886">
      <c r="A8886" s="2" t="n"/>
      <c r="B8886">
        <f>LOWER(TRIM(A8886))</f>
        <v/>
      </c>
      <c r="C8886">
        <f>IF(B8886="","",IFERROR(INDEX('Bad Patterns'!$A$2:$A$120,MATCH(1,INDEX(--ISNUMBER(SEARCH('Bad Patterns'!$A$2:$A$120,B8886)),0),0)),""))</f>
        <v/>
      </c>
      <c r="D8886">
        <f>IF(B8886="","",IF(C8886&lt;&gt;"","REMOVE","KEEP"))</f>
        <v/>
      </c>
      <c r="E8886">
        <f>IF(D8886&lt;&gt;"KEEP","",IF(RIGHT(B8886,10)="@gmail.com","Gmail",IF(OR(RIGHT(B8886,12)="@outlook.com",RIGHT(B8886,12)="@hotmail.com",RIGHT(B8886,9)="@live.com"),"Outlook","Domain")))</f>
        <v/>
      </c>
      <c r="F8886">
        <f>IF(B8886="","",IFERROR(RIGHT(B8886,LEN(B8886)-FIND("@",B8886)),""))</f>
        <v/>
      </c>
      <c r="G8886">
        <f>IF(D8886="KEEP",COUNTIF($D$2:D8886,"KEEP"),"")</f>
        <v/>
      </c>
      <c r="H8886">
        <f>IF(D8886="REMOVE",COUNTIF($D$2:D8886,"REMOVE"),"")</f>
        <v/>
      </c>
      <c r="I8886">
        <f>IF(E8886="Gmail",COUNTIF($E$2:E8886,"Gmail"),"")</f>
        <v/>
      </c>
      <c r="J8886">
        <f>IF(E8886="Outlook",COUNTIF($E$2:E8886,"Outlook"),"")</f>
        <v/>
      </c>
      <c r="K8886">
        <f>IF(E8886="Domain",COUNTIF($E$2:E8886,"Domain"),"")</f>
        <v/>
      </c>
    </row>
    <row r="8887">
      <c r="A8887" s="2" t="n"/>
      <c r="B8887">
        <f>LOWER(TRIM(A8887))</f>
        <v/>
      </c>
      <c r="C8887">
        <f>IF(B8887="","",IFERROR(INDEX('Bad Patterns'!$A$2:$A$120,MATCH(1,INDEX(--ISNUMBER(SEARCH('Bad Patterns'!$A$2:$A$120,B8887)),0),0)),""))</f>
        <v/>
      </c>
      <c r="D8887">
        <f>IF(B8887="","",IF(C8887&lt;&gt;"","REMOVE","KEEP"))</f>
        <v/>
      </c>
      <c r="E8887">
        <f>IF(D8887&lt;&gt;"KEEP","",IF(RIGHT(B8887,10)="@gmail.com","Gmail",IF(OR(RIGHT(B8887,12)="@outlook.com",RIGHT(B8887,12)="@hotmail.com",RIGHT(B8887,9)="@live.com"),"Outlook","Domain")))</f>
        <v/>
      </c>
      <c r="F8887">
        <f>IF(B8887="","",IFERROR(RIGHT(B8887,LEN(B8887)-FIND("@",B8887)),""))</f>
        <v/>
      </c>
      <c r="G8887">
        <f>IF(D8887="KEEP",COUNTIF($D$2:D8887,"KEEP"),"")</f>
        <v/>
      </c>
      <c r="H8887">
        <f>IF(D8887="REMOVE",COUNTIF($D$2:D8887,"REMOVE"),"")</f>
        <v/>
      </c>
      <c r="I8887">
        <f>IF(E8887="Gmail",COUNTIF($E$2:E8887,"Gmail"),"")</f>
        <v/>
      </c>
      <c r="J8887">
        <f>IF(E8887="Outlook",COUNTIF($E$2:E8887,"Outlook"),"")</f>
        <v/>
      </c>
      <c r="K8887">
        <f>IF(E8887="Domain",COUNTIF($E$2:E8887,"Domain"),"")</f>
        <v/>
      </c>
    </row>
    <row r="8888">
      <c r="A8888" s="2" t="n"/>
      <c r="B8888">
        <f>LOWER(TRIM(A8888))</f>
        <v/>
      </c>
      <c r="C8888">
        <f>IF(B8888="","",IFERROR(INDEX('Bad Patterns'!$A$2:$A$120,MATCH(1,INDEX(--ISNUMBER(SEARCH('Bad Patterns'!$A$2:$A$120,B8888)),0),0)),""))</f>
        <v/>
      </c>
      <c r="D8888">
        <f>IF(B8888="","",IF(C8888&lt;&gt;"","REMOVE","KEEP"))</f>
        <v/>
      </c>
      <c r="E8888">
        <f>IF(D8888&lt;&gt;"KEEP","",IF(RIGHT(B8888,10)="@gmail.com","Gmail",IF(OR(RIGHT(B8888,12)="@outlook.com",RIGHT(B8888,12)="@hotmail.com",RIGHT(B8888,9)="@live.com"),"Outlook","Domain")))</f>
        <v/>
      </c>
      <c r="F8888">
        <f>IF(B8888="","",IFERROR(RIGHT(B8888,LEN(B8888)-FIND("@",B8888)),""))</f>
        <v/>
      </c>
      <c r="G8888">
        <f>IF(D8888="KEEP",COUNTIF($D$2:D8888,"KEEP"),"")</f>
        <v/>
      </c>
      <c r="H8888">
        <f>IF(D8888="REMOVE",COUNTIF($D$2:D8888,"REMOVE"),"")</f>
        <v/>
      </c>
      <c r="I8888">
        <f>IF(E8888="Gmail",COUNTIF($E$2:E8888,"Gmail"),"")</f>
        <v/>
      </c>
      <c r="J8888">
        <f>IF(E8888="Outlook",COUNTIF($E$2:E8888,"Outlook"),"")</f>
        <v/>
      </c>
      <c r="K8888">
        <f>IF(E8888="Domain",COUNTIF($E$2:E8888,"Domain"),"")</f>
        <v/>
      </c>
    </row>
    <row r="8889">
      <c r="A8889" s="2" t="n"/>
      <c r="B8889">
        <f>LOWER(TRIM(A8889))</f>
        <v/>
      </c>
      <c r="C8889">
        <f>IF(B8889="","",IFERROR(INDEX('Bad Patterns'!$A$2:$A$120,MATCH(1,INDEX(--ISNUMBER(SEARCH('Bad Patterns'!$A$2:$A$120,B8889)),0),0)),""))</f>
        <v/>
      </c>
      <c r="D8889">
        <f>IF(B8889="","",IF(C8889&lt;&gt;"","REMOVE","KEEP"))</f>
        <v/>
      </c>
      <c r="E8889">
        <f>IF(D8889&lt;&gt;"KEEP","",IF(RIGHT(B8889,10)="@gmail.com","Gmail",IF(OR(RIGHT(B8889,12)="@outlook.com",RIGHT(B8889,12)="@hotmail.com",RIGHT(B8889,9)="@live.com"),"Outlook","Domain")))</f>
        <v/>
      </c>
      <c r="F8889">
        <f>IF(B8889="","",IFERROR(RIGHT(B8889,LEN(B8889)-FIND("@",B8889)),""))</f>
        <v/>
      </c>
      <c r="G8889">
        <f>IF(D8889="KEEP",COUNTIF($D$2:D8889,"KEEP"),"")</f>
        <v/>
      </c>
      <c r="H8889">
        <f>IF(D8889="REMOVE",COUNTIF($D$2:D8889,"REMOVE"),"")</f>
        <v/>
      </c>
      <c r="I8889">
        <f>IF(E8889="Gmail",COUNTIF($E$2:E8889,"Gmail"),"")</f>
        <v/>
      </c>
      <c r="J8889">
        <f>IF(E8889="Outlook",COUNTIF($E$2:E8889,"Outlook"),"")</f>
        <v/>
      </c>
      <c r="K8889">
        <f>IF(E8889="Domain",COUNTIF($E$2:E8889,"Domain"),"")</f>
        <v/>
      </c>
    </row>
    <row r="8890">
      <c r="A8890" s="2" t="n"/>
      <c r="B8890">
        <f>LOWER(TRIM(A8890))</f>
        <v/>
      </c>
      <c r="C8890">
        <f>IF(B8890="","",IFERROR(INDEX('Bad Patterns'!$A$2:$A$120,MATCH(1,INDEX(--ISNUMBER(SEARCH('Bad Patterns'!$A$2:$A$120,B8890)),0),0)),""))</f>
        <v/>
      </c>
      <c r="D8890">
        <f>IF(B8890="","",IF(C8890&lt;&gt;"","REMOVE","KEEP"))</f>
        <v/>
      </c>
      <c r="E8890">
        <f>IF(D8890&lt;&gt;"KEEP","",IF(RIGHT(B8890,10)="@gmail.com","Gmail",IF(OR(RIGHT(B8890,12)="@outlook.com",RIGHT(B8890,12)="@hotmail.com",RIGHT(B8890,9)="@live.com"),"Outlook","Domain")))</f>
        <v/>
      </c>
      <c r="F8890">
        <f>IF(B8890="","",IFERROR(RIGHT(B8890,LEN(B8890)-FIND("@",B8890)),""))</f>
        <v/>
      </c>
      <c r="G8890">
        <f>IF(D8890="KEEP",COUNTIF($D$2:D8890,"KEEP"),"")</f>
        <v/>
      </c>
      <c r="H8890">
        <f>IF(D8890="REMOVE",COUNTIF($D$2:D8890,"REMOVE"),"")</f>
        <v/>
      </c>
      <c r="I8890">
        <f>IF(E8890="Gmail",COUNTIF($E$2:E8890,"Gmail"),"")</f>
        <v/>
      </c>
      <c r="J8890">
        <f>IF(E8890="Outlook",COUNTIF($E$2:E8890,"Outlook"),"")</f>
        <v/>
      </c>
      <c r="K8890">
        <f>IF(E8890="Domain",COUNTIF($E$2:E8890,"Domain"),"")</f>
        <v/>
      </c>
    </row>
    <row r="8891">
      <c r="A8891" s="2" t="n"/>
      <c r="B8891">
        <f>LOWER(TRIM(A8891))</f>
        <v/>
      </c>
      <c r="C8891">
        <f>IF(B8891="","",IFERROR(INDEX('Bad Patterns'!$A$2:$A$120,MATCH(1,INDEX(--ISNUMBER(SEARCH('Bad Patterns'!$A$2:$A$120,B8891)),0),0)),""))</f>
        <v/>
      </c>
      <c r="D8891">
        <f>IF(B8891="","",IF(C8891&lt;&gt;"","REMOVE","KEEP"))</f>
        <v/>
      </c>
      <c r="E8891">
        <f>IF(D8891&lt;&gt;"KEEP","",IF(RIGHT(B8891,10)="@gmail.com","Gmail",IF(OR(RIGHT(B8891,12)="@outlook.com",RIGHT(B8891,12)="@hotmail.com",RIGHT(B8891,9)="@live.com"),"Outlook","Domain")))</f>
        <v/>
      </c>
      <c r="F8891">
        <f>IF(B8891="","",IFERROR(RIGHT(B8891,LEN(B8891)-FIND("@",B8891)),""))</f>
        <v/>
      </c>
      <c r="G8891">
        <f>IF(D8891="KEEP",COUNTIF($D$2:D8891,"KEEP"),"")</f>
        <v/>
      </c>
      <c r="H8891">
        <f>IF(D8891="REMOVE",COUNTIF($D$2:D8891,"REMOVE"),"")</f>
        <v/>
      </c>
      <c r="I8891">
        <f>IF(E8891="Gmail",COUNTIF($E$2:E8891,"Gmail"),"")</f>
        <v/>
      </c>
      <c r="J8891">
        <f>IF(E8891="Outlook",COUNTIF($E$2:E8891,"Outlook"),"")</f>
        <v/>
      </c>
      <c r="K8891">
        <f>IF(E8891="Domain",COUNTIF($E$2:E8891,"Domain"),"")</f>
        <v/>
      </c>
    </row>
    <row r="8892">
      <c r="A8892" s="2" t="n"/>
      <c r="B8892">
        <f>LOWER(TRIM(A8892))</f>
        <v/>
      </c>
      <c r="C8892">
        <f>IF(B8892="","",IFERROR(INDEX('Bad Patterns'!$A$2:$A$120,MATCH(1,INDEX(--ISNUMBER(SEARCH('Bad Patterns'!$A$2:$A$120,B8892)),0),0)),""))</f>
        <v/>
      </c>
      <c r="D8892">
        <f>IF(B8892="","",IF(C8892&lt;&gt;"","REMOVE","KEEP"))</f>
        <v/>
      </c>
      <c r="E8892">
        <f>IF(D8892&lt;&gt;"KEEP","",IF(RIGHT(B8892,10)="@gmail.com","Gmail",IF(OR(RIGHT(B8892,12)="@outlook.com",RIGHT(B8892,12)="@hotmail.com",RIGHT(B8892,9)="@live.com"),"Outlook","Domain")))</f>
        <v/>
      </c>
      <c r="F8892">
        <f>IF(B8892="","",IFERROR(RIGHT(B8892,LEN(B8892)-FIND("@",B8892)),""))</f>
        <v/>
      </c>
      <c r="G8892">
        <f>IF(D8892="KEEP",COUNTIF($D$2:D8892,"KEEP"),"")</f>
        <v/>
      </c>
      <c r="H8892">
        <f>IF(D8892="REMOVE",COUNTIF($D$2:D8892,"REMOVE"),"")</f>
        <v/>
      </c>
      <c r="I8892">
        <f>IF(E8892="Gmail",COUNTIF($E$2:E8892,"Gmail"),"")</f>
        <v/>
      </c>
      <c r="J8892">
        <f>IF(E8892="Outlook",COUNTIF($E$2:E8892,"Outlook"),"")</f>
        <v/>
      </c>
      <c r="K8892">
        <f>IF(E8892="Domain",COUNTIF($E$2:E8892,"Domain"),"")</f>
        <v/>
      </c>
    </row>
    <row r="8893">
      <c r="A8893" s="2" t="n"/>
      <c r="B8893">
        <f>LOWER(TRIM(A8893))</f>
        <v/>
      </c>
      <c r="C8893">
        <f>IF(B8893="","",IFERROR(INDEX('Bad Patterns'!$A$2:$A$120,MATCH(1,INDEX(--ISNUMBER(SEARCH('Bad Patterns'!$A$2:$A$120,B8893)),0),0)),""))</f>
        <v/>
      </c>
      <c r="D8893">
        <f>IF(B8893="","",IF(C8893&lt;&gt;"","REMOVE","KEEP"))</f>
        <v/>
      </c>
      <c r="E8893">
        <f>IF(D8893&lt;&gt;"KEEP","",IF(RIGHT(B8893,10)="@gmail.com","Gmail",IF(OR(RIGHT(B8893,12)="@outlook.com",RIGHT(B8893,12)="@hotmail.com",RIGHT(B8893,9)="@live.com"),"Outlook","Domain")))</f>
        <v/>
      </c>
      <c r="F8893">
        <f>IF(B8893="","",IFERROR(RIGHT(B8893,LEN(B8893)-FIND("@",B8893)),""))</f>
        <v/>
      </c>
      <c r="G8893">
        <f>IF(D8893="KEEP",COUNTIF($D$2:D8893,"KEEP"),"")</f>
        <v/>
      </c>
      <c r="H8893">
        <f>IF(D8893="REMOVE",COUNTIF($D$2:D8893,"REMOVE"),"")</f>
        <v/>
      </c>
      <c r="I8893">
        <f>IF(E8893="Gmail",COUNTIF($E$2:E8893,"Gmail"),"")</f>
        <v/>
      </c>
      <c r="J8893">
        <f>IF(E8893="Outlook",COUNTIF($E$2:E8893,"Outlook"),"")</f>
        <v/>
      </c>
      <c r="K8893">
        <f>IF(E8893="Domain",COUNTIF($E$2:E8893,"Domain"),"")</f>
        <v/>
      </c>
    </row>
    <row r="8894">
      <c r="A8894" s="2" t="n"/>
      <c r="B8894">
        <f>LOWER(TRIM(A8894))</f>
        <v/>
      </c>
      <c r="C8894">
        <f>IF(B8894="","",IFERROR(INDEX('Bad Patterns'!$A$2:$A$120,MATCH(1,INDEX(--ISNUMBER(SEARCH('Bad Patterns'!$A$2:$A$120,B8894)),0),0)),""))</f>
        <v/>
      </c>
      <c r="D8894">
        <f>IF(B8894="","",IF(C8894&lt;&gt;"","REMOVE","KEEP"))</f>
        <v/>
      </c>
      <c r="E8894">
        <f>IF(D8894&lt;&gt;"KEEP","",IF(RIGHT(B8894,10)="@gmail.com","Gmail",IF(OR(RIGHT(B8894,12)="@outlook.com",RIGHT(B8894,12)="@hotmail.com",RIGHT(B8894,9)="@live.com"),"Outlook","Domain")))</f>
        <v/>
      </c>
      <c r="F8894">
        <f>IF(B8894="","",IFERROR(RIGHT(B8894,LEN(B8894)-FIND("@",B8894)),""))</f>
        <v/>
      </c>
      <c r="G8894">
        <f>IF(D8894="KEEP",COUNTIF($D$2:D8894,"KEEP"),"")</f>
        <v/>
      </c>
      <c r="H8894">
        <f>IF(D8894="REMOVE",COUNTIF($D$2:D8894,"REMOVE"),"")</f>
        <v/>
      </c>
      <c r="I8894">
        <f>IF(E8894="Gmail",COUNTIF($E$2:E8894,"Gmail"),"")</f>
        <v/>
      </c>
      <c r="J8894">
        <f>IF(E8894="Outlook",COUNTIF($E$2:E8894,"Outlook"),"")</f>
        <v/>
      </c>
      <c r="K8894">
        <f>IF(E8894="Domain",COUNTIF($E$2:E8894,"Domain"),"")</f>
        <v/>
      </c>
    </row>
    <row r="8895">
      <c r="A8895" s="2" t="n"/>
      <c r="B8895">
        <f>LOWER(TRIM(A8895))</f>
        <v/>
      </c>
      <c r="C8895">
        <f>IF(B8895="","",IFERROR(INDEX('Bad Patterns'!$A$2:$A$120,MATCH(1,INDEX(--ISNUMBER(SEARCH('Bad Patterns'!$A$2:$A$120,B8895)),0),0)),""))</f>
        <v/>
      </c>
      <c r="D8895">
        <f>IF(B8895="","",IF(C8895&lt;&gt;"","REMOVE","KEEP"))</f>
        <v/>
      </c>
      <c r="E8895">
        <f>IF(D8895&lt;&gt;"KEEP","",IF(RIGHT(B8895,10)="@gmail.com","Gmail",IF(OR(RIGHT(B8895,12)="@outlook.com",RIGHT(B8895,12)="@hotmail.com",RIGHT(B8895,9)="@live.com"),"Outlook","Domain")))</f>
        <v/>
      </c>
      <c r="F8895">
        <f>IF(B8895="","",IFERROR(RIGHT(B8895,LEN(B8895)-FIND("@",B8895)),""))</f>
        <v/>
      </c>
      <c r="G8895">
        <f>IF(D8895="KEEP",COUNTIF($D$2:D8895,"KEEP"),"")</f>
        <v/>
      </c>
      <c r="H8895">
        <f>IF(D8895="REMOVE",COUNTIF($D$2:D8895,"REMOVE"),"")</f>
        <v/>
      </c>
      <c r="I8895">
        <f>IF(E8895="Gmail",COUNTIF($E$2:E8895,"Gmail"),"")</f>
        <v/>
      </c>
      <c r="J8895">
        <f>IF(E8895="Outlook",COUNTIF($E$2:E8895,"Outlook"),"")</f>
        <v/>
      </c>
      <c r="K8895">
        <f>IF(E8895="Domain",COUNTIF($E$2:E8895,"Domain"),"")</f>
        <v/>
      </c>
    </row>
    <row r="8896">
      <c r="A8896" s="2" t="n"/>
      <c r="B8896">
        <f>LOWER(TRIM(A8896))</f>
        <v/>
      </c>
      <c r="C8896">
        <f>IF(B8896="","",IFERROR(INDEX('Bad Patterns'!$A$2:$A$120,MATCH(1,INDEX(--ISNUMBER(SEARCH('Bad Patterns'!$A$2:$A$120,B8896)),0),0)),""))</f>
        <v/>
      </c>
      <c r="D8896">
        <f>IF(B8896="","",IF(C8896&lt;&gt;"","REMOVE","KEEP"))</f>
        <v/>
      </c>
      <c r="E8896">
        <f>IF(D8896&lt;&gt;"KEEP","",IF(RIGHT(B8896,10)="@gmail.com","Gmail",IF(OR(RIGHT(B8896,12)="@outlook.com",RIGHT(B8896,12)="@hotmail.com",RIGHT(B8896,9)="@live.com"),"Outlook","Domain")))</f>
        <v/>
      </c>
      <c r="F8896">
        <f>IF(B8896="","",IFERROR(RIGHT(B8896,LEN(B8896)-FIND("@",B8896)),""))</f>
        <v/>
      </c>
      <c r="G8896">
        <f>IF(D8896="KEEP",COUNTIF($D$2:D8896,"KEEP"),"")</f>
        <v/>
      </c>
      <c r="H8896">
        <f>IF(D8896="REMOVE",COUNTIF($D$2:D8896,"REMOVE"),"")</f>
        <v/>
      </c>
      <c r="I8896">
        <f>IF(E8896="Gmail",COUNTIF($E$2:E8896,"Gmail"),"")</f>
        <v/>
      </c>
      <c r="J8896">
        <f>IF(E8896="Outlook",COUNTIF($E$2:E8896,"Outlook"),"")</f>
        <v/>
      </c>
      <c r="K8896">
        <f>IF(E8896="Domain",COUNTIF($E$2:E8896,"Domain"),"")</f>
        <v/>
      </c>
    </row>
    <row r="8897">
      <c r="A8897" s="2" t="n"/>
      <c r="B8897">
        <f>LOWER(TRIM(A8897))</f>
        <v/>
      </c>
      <c r="C8897">
        <f>IF(B8897="","",IFERROR(INDEX('Bad Patterns'!$A$2:$A$120,MATCH(1,INDEX(--ISNUMBER(SEARCH('Bad Patterns'!$A$2:$A$120,B8897)),0),0)),""))</f>
        <v/>
      </c>
      <c r="D8897">
        <f>IF(B8897="","",IF(C8897&lt;&gt;"","REMOVE","KEEP"))</f>
        <v/>
      </c>
      <c r="E8897">
        <f>IF(D8897&lt;&gt;"KEEP","",IF(RIGHT(B8897,10)="@gmail.com","Gmail",IF(OR(RIGHT(B8897,12)="@outlook.com",RIGHT(B8897,12)="@hotmail.com",RIGHT(B8897,9)="@live.com"),"Outlook","Domain")))</f>
        <v/>
      </c>
      <c r="F8897">
        <f>IF(B8897="","",IFERROR(RIGHT(B8897,LEN(B8897)-FIND("@",B8897)),""))</f>
        <v/>
      </c>
      <c r="G8897">
        <f>IF(D8897="KEEP",COUNTIF($D$2:D8897,"KEEP"),"")</f>
        <v/>
      </c>
      <c r="H8897">
        <f>IF(D8897="REMOVE",COUNTIF($D$2:D8897,"REMOVE"),"")</f>
        <v/>
      </c>
      <c r="I8897">
        <f>IF(E8897="Gmail",COUNTIF($E$2:E8897,"Gmail"),"")</f>
        <v/>
      </c>
      <c r="J8897">
        <f>IF(E8897="Outlook",COUNTIF($E$2:E8897,"Outlook"),"")</f>
        <v/>
      </c>
      <c r="K8897">
        <f>IF(E8897="Domain",COUNTIF($E$2:E8897,"Domain"),"")</f>
        <v/>
      </c>
    </row>
    <row r="8898">
      <c r="A8898" s="2" t="n"/>
      <c r="B8898">
        <f>LOWER(TRIM(A8898))</f>
        <v/>
      </c>
      <c r="C8898">
        <f>IF(B8898="","",IFERROR(INDEX('Bad Patterns'!$A$2:$A$120,MATCH(1,INDEX(--ISNUMBER(SEARCH('Bad Patterns'!$A$2:$A$120,B8898)),0),0)),""))</f>
        <v/>
      </c>
      <c r="D8898">
        <f>IF(B8898="","",IF(C8898&lt;&gt;"","REMOVE","KEEP"))</f>
        <v/>
      </c>
      <c r="E8898">
        <f>IF(D8898&lt;&gt;"KEEP","",IF(RIGHT(B8898,10)="@gmail.com","Gmail",IF(OR(RIGHT(B8898,12)="@outlook.com",RIGHT(B8898,12)="@hotmail.com",RIGHT(B8898,9)="@live.com"),"Outlook","Domain")))</f>
        <v/>
      </c>
      <c r="F8898">
        <f>IF(B8898="","",IFERROR(RIGHT(B8898,LEN(B8898)-FIND("@",B8898)),""))</f>
        <v/>
      </c>
      <c r="G8898">
        <f>IF(D8898="KEEP",COUNTIF($D$2:D8898,"KEEP"),"")</f>
        <v/>
      </c>
      <c r="H8898">
        <f>IF(D8898="REMOVE",COUNTIF($D$2:D8898,"REMOVE"),"")</f>
        <v/>
      </c>
      <c r="I8898">
        <f>IF(E8898="Gmail",COUNTIF($E$2:E8898,"Gmail"),"")</f>
        <v/>
      </c>
      <c r="J8898">
        <f>IF(E8898="Outlook",COUNTIF($E$2:E8898,"Outlook"),"")</f>
        <v/>
      </c>
      <c r="K8898">
        <f>IF(E8898="Domain",COUNTIF($E$2:E8898,"Domain"),"")</f>
        <v/>
      </c>
    </row>
    <row r="8899">
      <c r="A8899" s="2" t="n"/>
      <c r="B8899">
        <f>LOWER(TRIM(A8899))</f>
        <v/>
      </c>
      <c r="C8899">
        <f>IF(B8899="","",IFERROR(INDEX('Bad Patterns'!$A$2:$A$120,MATCH(1,INDEX(--ISNUMBER(SEARCH('Bad Patterns'!$A$2:$A$120,B8899)),0),0)),""))</f>
        <v/>
      </c>
      <c r="D8899">
        <f>IF(B8899="","",IF(C8899&lt;&gt;"","REMOVE","KEEP"))</f>
        <v/>
      </c>
      <c r="E8899">
        <f>IF(D8899&lt;&gt;"KEEP","",IF(RIGHT(B8899,10)="@gmail.com","Gmail",IF(OR(RIGHT(B8899,12)="@outlook.com",RIGHT(B8899,12)="@hotmail.com",RIGHT(B8899,9)="@live.com"),"Outlook","Domain")))</f>
        <v/>
      </c>
      <c r="F8899">
        <f>IF(B8899="","",IFERROR(RIGHT(B8899,LEN(B8899)-FIND("@",B8899)),""))</f>
        <v/>
      </c>
      <c r="G8899">
        <f>IF(D8899="KEEP",COUNTIF($D$2:D8899,"KEEP"),"")</f>
        <v/>
      </c>
      <c r="H8899">
        <f>IF(D8899="REMOVE",COUNTIF($D$2:D8899,"REMOVE"),"")</f>
        <v/>
      </c>
      <c r="I8899">
        <f>IF(E8899="Gmail",COUNTIF($E$2:E8899,"Gmail"),"")</f>
        <v/>
      </c>
      <c r="J8899">
        <f>IF(E8899="Outlook",COUNTIF($E$2:E8899,"Outlook"),"")</f>
        <v/>
      </c>
      <c r="K8899">
        <f>IF(E8899="Domain",COUNTIF($E$2:E8899,"Domain"),"")</f>
        <v/>
      </c>
    </row>
    <row r="8900">
      <c r="A8900" s="2" t="n"/>
      <c r="B8900">
        <f>LOWER(TRIM(A8900))</f>
        <v/>
      </c>
      <c r="C8900">
        <f>IF(B8900="","",IFERROR(INDEX('Bad Patterns'!$A$2:$A$120,MATCH(1,INDEX(--ISNUMBER(SEARCH('Bad Patterns'!$A$2:$A$120,B8900)),0),0)),""))</f>
        <v/>
      </c>
      <c r="D8900">
        <f>IF(B8900="","",IF(C8900&lt;&gt;"","REMOVE","KEEP"))</f>
        <v/>
      </c>
      <c r="E8900">
        <f>IF(D8900&lt;&gt;"KEEP","",IF(RIGHT(B8900,10)="@gmail.com","Gmail",IF(OR(RIGHT(B8900,12)="@outlook.com",RIGHT(B8900,12)="@hotmail.com",RIGHT(B8900,9)="@live.com"),"Outlook","Domain")))</f>
        <v/>
      </c>
      <c r="F8900">
        <f>IF(B8900="","",IFERROR(RIGHT(B8900,LEN(B8900)-FIND("@",B8900)),""))</f>
        <v/>
      </c>
      <c r="G8900">
        <f>IF(D8900="KEEP",COUNTIF($D$2:D8900,"KEEP"),"")</f>
        <v/>
      </c>
      <c r="H8900">
        <f>IF(D8900="REMOVE",COUNTIF($D$2:D8900,"REMOVE"),"")</f>
        <v/>
      </c>
      <c r="I8900">
        <f>IF(E8900="Gmail",COUNTIF($E$2:E8900,"Gmail"),"")</f>
        <v/>
      </c>
      <c r="J8900">
        <f>IF(E8900="Outlook",COUNTIF($E$2:E8900,"Outlook"),"")</f>
        <v/>
      </c>
      <c r="K8900">
        <f>IF(E8900="Domain",COUNTIF($E$2:E8900,"Domain"),"")</f>
        <v/>
      </c>
    </row>
    <row r="8901">
      <c r="A8901" s="2" t="n"/>
      <c r="B8901">
        <f>LOWER(TRIM(A8901))</f>
        <v/>
      </c>
      <c r="C8901">
        <f>IF(B8901="","",IFERROR(INDEX('Bad Patterns'!$A$2:$A$120,MATCH(1,INDEX(--ISNUMBER(SEARCH('Bad Patterns'!$A$2:$A$120,B8901)),0),0)),""))</f>
        <v/>
      </c>
      <c r="D8901">
        <f>IF(B8901="","",IF(C8901&lt;&gt;"","REMOVE","KEEP"))</f>
        <v/>
      </c>
      <c r="E8901">
        <f>IF(D8901&lt;&gt;"KEEP","",IF(RIGHT(B8901,10)="@gmail.com","Gmail",IF(OR(RIGHT(B8901,12)="@outlook.com",RIGHT(B8901,12)="@hotmail.com",RIGHT(B8901,9)="@live.com"),"Outlook","Domain")))</f>
        <v/>
      </c>
      <c r="F8901">
        <f>IF(B8901="","",IFERROR(RIGHT(B8901,LEN(B8901)-FIND("@",B8901)),""))</f>
        <v/>
      </c>
      <c r="G8901">
        <f>IF(D8901="KEEP",COUNTIF($D$2:D8901,"KEEP"),"")</f>
        <v/>
      </c>
      <c r="H8901">
        <f>IF(D8901="REMOVE",COUNTIF($D$2:D8901,"REMOVE"),"")</f>
        <v/>
      </c>
      <c r="I8901">
        <f>IF(E8901="Gmail",COUNTIF($E$2:E8901,"Gmail"),"")</f>
        <v/>
      </c>
      <c r="J8901">
        <f>IF(E8901="Outlook",COUNTIF($E$2:E8901,"Outlook"),"")</f>
        <v/>
      </c>
      <c r="K8901">
        <f>IF(E8901="Domain",COUNTIF($E$2:E8901,"Domain"),"")</f>
        <v/>
      </c>
    </row>
    <row r="8902">
      <c r="A8902" s="2" t="n"/>
      <c r="B8902">
        <f>LOWER(TRIM(A8902))</f>
        <v/>
      </c>
      <c r="C8902">
        <f>IF(B8902="","",IFERROR(INDEX('Bad Patterns'!$A$2:$A$120,MATCH(1,INDEX(--ISNUMBER(SEARCH('Bad Patterns'!$A$2:$A$120,B8902)),0),0)),""))</f>
        <v/>
      </c>
      <c r="D8902">
        <f>IF(B8902="","",IF(C8902&lt;&gt;"","REMOVE","KEEP"))</f>
        <v/>
      </c>
      <c r="E8902">
        <f>IF(D8902&lt;&gt;"KEEP","",IF(RIGHT(B8902,10)="@gmail.com","Gmail",IF(OR(RIGHT(B8902,12)="@outlook.com",RIGHT(B8902,12)="@hotmail.com",RIGHT(B8902,9)="@live.com"),"Outlook","Domain")))</f>
        <v/>
      </c>
      <c r="F8902">
        <f>IF(B8902="","",IFERROR(RIGHT(B8902,LEN(B8902)-FIND("@",B8902)),""))</f>
        <v/>
      </c>
      <c r="G8902">
        <f>IF(D8902="KEEP",COUNTIF($D$2:D8902,"KEEP"),"")</f>
        <v/>
      </c>
      <c r="H8902">
        <f>IF(D8902="REMOVE",COUNTIF($D$2:D8902,"REMOVE"),"")</f>
        <v/>
      </c>
      <c r="I8902">
        <f>IF(E8902="Gmail",COUNTIF($E$2:E8902,"Gmail"),"")</f>
        <v/>
      </c>
      <c r="J8902">
        <f>IF(E8902="Outlook",COUNTIF($E$2:E8902,"Outlook"),"")</f>
        <v/>
      </c>
      <c r="K8902">
        <f>IF(E8902="Domain",COUNTIF($E$2:E8902,"Domain"),"")</f>
        <v/>
      </c>
    </row>
    <row r="8903">
      <c r="A8903" s="2" t="n"/>
      <c r="B8903">
        <f>LOWER(TRIM(A8903))</f>
        <v/>
      </c>
      <c r="C8903">
        <f>IF(B8903="","",IFERROR(INDEX('Bad Patterns'!$A$2:$A$120,MATCH(1,INDEX(--ISNUMBER(SEARCH('Bad Patterns'!$A$2:$A$120,B8903)),0),0)),""))</f>
        <v/>
      </c>
      <c r="D8903">
        <f>IF(B8903="","",IF(C8903&lt;&gt;"","REMOVE","KEEP"))</f>
        <v/>
      </c>
      <c r="E8903">
        <f>IF(D8903&lt;&gt;"KEEP","",IF(RIGHT(B8903,10)="@gmail.com","Gmail",IF(OR(RIGHT(B8903,12)="@outlook.com",RIGHT(B8903,12)="@hotmail.com",RIGHT(B8903,9)="@live.com"),"Outlook","Domain")))</f>
        <v/>
      </c>
      <c r="F8903">
        <f>IF(B8903="","",IFERROR(RIGHT(B8903,LEN(B8903)-FIND("@",B8903)),""))</f>
        <v/>
      </c>
      <c r="G8903">
        <f>IF(D8903="KEEP",COUNTIF($D$2:D8903,"KEEP"),"")</f>
        <v/>
      </c>
      <c r="H8903">
        <f>IF(D8903="REMOVE",COUNTIF($D$2:D8903,"REMOVE"),"")</f>
        <v/>
      </c>
      <c r="I8903">
        <f>IF(E8903="Gmail",COUNTIF($E$2:E8903,"Gmail"),"")</f>
        <v/>
      </c>
      <c r="J8903">
        <f>IF(E8903="Outlook",COUNTIF($E$2:E8903,"Outlook"),"")</f>
        <v/>
      </c>
      <c r="K8903">
        <f>IF(E8903="Domain",COUNTIF($E$2:E8903,"Domain"),"")</f>
        <v/>
      </c>
    </row>
    <row r="8904">
      <c r="A8904" s="2" t="n"/>
      <c r="B8904">
        <f>LOWER(TRIM(A8904))</f>
        <v/>
      </c>
      <c r="C8904">
        <f>IF(B8904="","",IFERROR(INDEX('Bad Patterns'!$A$2:$A$120,MATCH(1,INDEX(--ISNUMBER(SEARCH('Bad Patterns'!$A$2:$A$120,B8904)),0),0)),""))</f>
        <v/>
      </c>
      <c r="D8904">
        <f>IF(B8904="","",IF(C8904&lt;&gt;"","REMOVE","KEEP"))</f>
        <v/>
      </c>
      <c r="E8904">
        <f>IF(D8904&lt;&gt;"KEEP","",IF(RIGHT(B8904,10)="@gmail.com","Gmail",IF(OR(RIGHT(B8904,12)="@outlook.com",RIGHT(B8904,12)="@hotmail.com",RIGHT(B8904,9)="@live.com"),"Outlook","Domain")))</f>
        <v/>
      </c>
      <c r="F8904">
        <f>IF(B8904="","",IFERROR(RIGHT(B8904,LEN(B8904)-FIND("@",B8904)),""))</f>
        <v/>
      </c>
      <c r="G8904">
        <f>IF(D8904="KEEP",COUNTIF($D$2:D8904,"KEEP"),"")</f>
        <v/>
      </c>
      <c r="H8904">
        <f>IF(D8904="REMOVE",COUNTIF($D$2:D8904,"REMOVE"),"")</f>
        <v/>
      </c>
      <c r="I8904">
        <f>IF(E8904="Gmail",COUNTIF($E$2:E8904,"Gmail"),"")</f>
        <v/>
      </c>
      <c r="J8904">
        <f>IF(E8904="Outlook",COUNTIF($E$2:E8904,"Outlook"),"")</f>
        <v/>
      </c>
      <c r="K8904">
        <f>IF(E8904="Domain",COUNTIF($E$2:E8904,"Domain"),"")</f>
        <v/>
      </c>
    </row>
    <row r="8905">
      <c r="A8905" s="2" t="n"/>
      <c r="B8905">
        <f>LOWER(TRIM(A8905))</f>
        <v/>
      </c>
      <c r="C8905">
        <f>IF(B8905="","",IFERROR(INDEX('Bad Patterns'!$A$2:$A$120,MATCH(1,INDEX(--ISNUMBER(SEARCH('Bad Patterns'!$A$2:$A$120,B8905)),0),0)),""))</f>
        <v/>
      </c>
      <c r="D8905">
        <f>IF(B8905="","",IF(C8905&lt;&gt;"","REMOVE","KEEP"))</f>
        <v/>
      </c>
      <c r="E8905">
        <f>IF(D8905&lt;&gt;"KEEP","",IF(RIGHT(B8905,10)="@gmail.com","Gmail",IF(OR(RIGHT(B8905,12)="@outlook.com",RIGHT(B8905,12)="@hotmail.com",RIGHT(B8905,9)="@live.com"),"Outlook","Domain")))</f>
        <v/>
      </c>
      <c r="F8905">
        <f>IF(B8905="","",IFERROR(RIGHT(B8905,LEN(B8905)-FIND("@",B8905)),""))</f>
        <v/>
      </c>
      <c r="G8905">
        <f>IF(D8905="KEEP",COUNTIF($D$2:D8905,"KEEP"),"")</f>
        <v/>
      </c>
      <c r="H8905">
        <f>IF(D8905="REMOVE",COUNTIF($D$2:D8905,"REMOVE"),"")</f>
        <v/>
      </c>
      <c r="I8905">
        <f>IF(E8905="Gmail",COUNTIF($E$2:E8905,"Gmail"),"")</f>
        <v/>
      </c>
      <c r="J8905">
        <f>IF(E8905="Outlook",COUNTIF($E$2:E8905,"Outlook"),"")</f>
        <v/>
      </c>
      <c r="K8905">
        <f>IF(E8905="Domain",COUNTIF($E$2:E8905,"Domain"),"")</f>
        <v/>
      </c>
    </row>
    <row r="8906">
      <c r="A8906" s="2" t="n"/>
      <c r="B8906">
        <f>LOWER(TRIM(A8906))</f>
        <v/>
      </c>
      <c r="C8906">
        <f>IF(B8906="","",IFERROR(INDEX('Bad Patterns'!$A$2:$A$120,MATCH(1,INDEX(--ISNUMBER(SEARCH('Bad Patterns'!$A$2:$A$120,B8906)),0),0)),""))</f>
        <v/>
      </c>
      <c r="D8906">
        <f>IF(B8906="","",IF(C8906&lt;&gt;"","REMOVE","KEEP"))</f>
        <v/>
      </c>
      <c r="E8906">
        <f>IF(D8906&lt;&gt;"KEEP","",IF(RIGHT(B8906,10)="@gmail.com","Gmail",IF(OR(RIGHT(B8906,12)="@outlook.com",RIGHT(B8906,12)="@hotmail.com",RIGHT(B8906,9)="@live.com"),"Outlook","Domain")))</f>
        <v/>
      </c>
      <c r="F8906">
        <f>IF(B8906="","",IFERROR(RIGHT(B8906,LEN(B8906)-FIND("@",B8906)),""))</f>
        <v/>
      </c>
      <c r="G8906">
        <f>IF(D8906="KEEP",COUNTIF($D$2:D8906,"KEEP"),"")</f>
        <v/>
      </c>
      <c r="H8906">
        <f>IF(D8906="REMOVE",COUNTIF($D$2:D8906,"REMOVE"),"")</f>
        <v/>
      </c>
      <c r="I8906">
        <f>IF(E8906="Gmail",COUNTIF($E$2:E8906,"Gmail"),"")</f>
        <v/>
      </c>
      <c r="J8906">
        <f>IF(E8906="Outlook",COUNTIF($E$2:E8906,"Outlook"),"")</f>
        <v/>
      </c>
      <c r="K8906">
        <f>IF(E8906="Domain",COUNTIF($E$2:E8906,"Domain"),"")</f>
        <v/>
      </c>
    </row>
    <row r="8907">
      <c r="A8907" s="2" t="n"/>
      <c r="B8907">
        <f>LOWER(TRIM(A8907))</f>
        <v/>
      </c>
      <c r="C8907">
        <f>IF(B8907="","",IFERROR(INDEX('Bad Patterns'!$A$2:$A$120,MATCH(1,INDEX(--ISNUMBER(SEARCH('Bad Patterns'!$A$2:$A$120,B8907)),0),0)),""))</f>
        <v/>
      </c>
      <c r="D8907">
        <f>IF(B8907="","",IF(C8907&lt;&gt;"","REMOVE","KEEP"))</f>
        <v/>
      </c>
      <c r="E8907">
        <f>IF(D8907&lt;&gt;"KEEP","",IF(RIGHT(B8907,10)="@gmail.com","Gmail",IF(OR(RIGHT(B8907,12)="@outlook.com",RIGHT(B8907,12)="@hotmail.com",RIGHT(B8907,9)="@live.com"),"Outlook","Domain")))</f>
        <v/>
      </c>
      <c r="F8907">
        <f>IF(B8907="","",IFERROR(RIGHT(B8907,LEN(B8907)-FIND("@",B8907)),""))</f>
        <v/>
      </c>
      <c r="G8907">
        <f>IF(D8907="KEEP",COUNTIF($D$2:D8907,"KEEP"),"")</f>
        <v/>
      </c>
      <c r="H8907">
        <f>IF(D8907="REMOVE",COUNTIF($D$2:D8907,"REMOVE"),"")</f>
        <v/>
      </c>
      <c r="I8907">
        <f>IF(E8907="Gmail",COUNTIF($E$2:E8907,"Gmail"),"")</f>
        <v/>
      </c>
      <c r="J8907">
        <f>IF(E8907="Outlook",COUNTIF($E$2:E8907,"Outlook"),"")</f>
        <v/>
      </c>
      <c r="K8907">
        <f>IF(E8907="Domain",COUNTIF($E$2:E8907,"Domain"),"")</f>
        <v/>
      </c>
    </row>
    <row r="8908">
      <c r="A8908" s="2" t="n"/>
      <c r="B8908">
        <f>LOWER(TRIM(A8908))</f>
        <v/>
      </c>
      <c r="C8908">
        <f>IF(B8908="","",IFERROR(INDEX('Bad Patterns'!$A$2:$A$120,MATCH(1,INDEX(--ISNUMBER(SEARCH('Bad Patterns'!$A$2:$A$120,B8908)),0),0)),""))</f>
        <v/>
      </c>
      <c r="D8908">
        <f>IF(B8908="","",IF(C8908&lt;&gt;"","REMOVE","KEEP"))</f>
        <v/>
      </c>
      <c r="E8908">
        <f>IF(D8908&lt;&gt;"KEEP","",IF(RIGHT(B8908,10)="@gmail.com","Gmail",IF(OR(RIGHT(B8908,12)="@outlook.com",RIGHT(B8908,12)="@hotmail.com",RIGHT(B8908,9)="@live.com"),"Outlook","Domain")))</f>
        <v/>
      </c>
      <c r="F8908">
        <f>IF(B8908="","",IFERROR(RIGHT(B8908,LEN(B8908)-FIND("@",B8908)),""))</f>
        <v/>
      </c>
      <c r="G8908">
        <f>IF(D8908="KEEP",COUNTIF($D$2:D8908,"KEEP"),"")</f>
        <v/>
      </c>
      <c r="H8908">
        <f>IF(D8908="REMOVE",COUNTIF($D$2:D8908,"REMOVE"),"")</f>
        <v/>
      </c>
      <c r="I8908">
        <f>IF(E8908="Gmail",COUNTIF($E$2:E8908,"Gmail"),"")</f>
        <v/>
      </c>
      <c r="J8908">
        <f>IF(E8908="Outlook",COUNTIF($E$2:E8908,"Outlook"),"")</f>
        <v/>
      </c>
      <c r="K8908">
        <f>IF(E8908="Domain",COUNTIF($E$2:E8908,"Domain"),"")</f>
        <v/>
      </c>
    </row>
    <row r="8909">
      <c r="A8909" s="2" t="n"/>
      <c r="B8909">
        <f>LOWER(TRIM(A8909))</f>
        <v/>
      </c>
      <c r="C8909">
        <f>IF(B8909="","",IFERROR(INDEX('Bad Patterns'!$A$2:$A$120,MATCH(1,INDEX(--ISNUMBER(SEARCH('Bad Patterns'!$A$2:$A$120,B8909)),0),0)),""))</f>
        <v/>
      </c>
      <c r="D8909">
        <f>IF(B8909="","",IF(C8909&lt;&gt;"","REMOVE","KEEP"))</f>
        <v/>
      </c>
      <c r="E8909">
        <f>IF(D8909&lt;&gt;"KEEP","",IF(RIGHT(B8909,10)="@gmail.com","Gmail",IF(OR(RIGHT(B8909,12)="@outlook.com",RIGHT(B8909,12)="@hotmail.com",RIGHT(B8909,9)="@live.com"),"Outlook","Domain")))</f>
        <v/>
      </c>
      <c r="F8909">
        <f>IF(B8909="","",IFERROR(RIGHT(B8909,LEN(B8909)-FIND("@",B8909)),""))</f>
        <v/>
      </c>
      <c r="G8909">
        <f>IF(D8909="KEEP",COUNTIF($D$2:D8909,"KEEP"),"")</f>
        <v/>
      </c>
      <c r="H8909">
        <f>IF(D8909="REMOVE",COUNTIF($D$2:D8909,"REMOVE"),"")</f>
        <v/>
      </c>
      <c r="I8909">
        <f>IF(E8909="Gmail",COUNTIF($E$2:E8909,"Gmail"),"")</f>
        <v/>
      </c>
      <c r="J8909">
        <f>IF(E8909="Outlook",COUNTIF($E$2:E8909,"Outlook"),"")</f>
        <v/>
      </c>
      <c r="K8909">
        <f>IF(E8909="Domain",COUNTIF($E$2:E8909,"Domain"),"")</f>
        <v/>
      </c>
    </row>
    <row r="8910">
      <c r="A8910" s="2" t="n"/>
      <c r="B8910">
        <f>LOWER(TRIM(A8910))</f>
        <v/>
      </c>
      <c r="C8910">
        <f>IF(B8910="","",IFERROR(INDEX('Bad Patterns'!$A$2:$A$120,MATCH(1,INDEX(--ISNUMBER(SEARCH('Bad Patterns'!$A$2:$A$120,B8910)),0),0)),""))</f>
        <v/>
      </c>
      <c r="D8910">
        <f>IF(B8910="","",IF(C8910&lt;&gt;"","REMOVE","KEEP"))</f>
        <v/>
      </c>
      <c r="E8910">
        <f>IF(D8910&lt;&gt;"KEEP","",IF(RIGHT(B8910,10)="@gmail.com","Gmail",IF(OR(RIGHT(B8910,12)="@outlook.com",RIGHT(B8910,12)="@hotmail.com",RIGHT(B8910,9)="@live.com"),"Outlook","Domain")))</f>
        <v/>
      </c>
      <c r="F8910">
        <f>IF(B8910="","",IFERROR(RIGHT(B8910,LEN(B8910)-FIND("@",B8910)),""))</f>
        <v/>
      </c>
      <c r="G8910">
        <f>IF(D8910="KEEP",COUNTIF($D$2:D8910,"KEEP"),"")</f>
        <v/>
      </c>
      <c r="H8910">
        <f>IF(D8910="REMOVE",COUNTIF($D$2:D8910,"REMOVE"),"")</f>
        <v/>
      </c>
      <c r="I8910">
        <f>IF(E8910="Gmail",COUNTIF($E$2:E8910,"Gmail"),"")</f>
        <v/>
      </c>
      <c r="J8910">
        <f>IF(E8910="Outlook",COUNTIF($E$2:E8910,"Outlook"),"")</f>
        <v/>
      </c>
      <c r="K8910">
        <f>IF(E8910="Domain",COUNTIF($E$2:E8910,"Domain"),"")</f>
        <v/>
      </c>
    </row>
    <row r="8911">
      <c r="A8911" s="2" t="n"/>
      <c r="B8911">
        <f>LOWER(TRIM(A8911))</f>
        <v/>
      </c>
      <c r="C8911">
        <f>IF(B8911="","",IFERROR(INDEX('Bad Patterns'!$A$2:$A$120,MATCH(1,INDEX(--ISNUMBER(SEARCH('Bad Patterns'!$A$2:$A$120,B8911)),0),0)),""))</f>
        <v/>
      </c>
      <c r="D8911">
        <f>IF(B8911="","",IF(C8911&lt;&gt;"","REMOVE","KEEP"))</f>
        <v/>
      </c>
      <c r="E8911">
        <f>IF(D8911&lt;&gt;"KEEP","",IF(RIGHT(B8911,10)="@gmail.com","Gmail",IF(OR(RIGHT(B8911,12)="@outlook.com",RIGHT(B8911,12)="@hotmail.com",RIGHT(B8911,9)="@live.com"),"Outlook","Domain")))</f>
        <v/>
      </c>
      <c r="F8911">
        <f>IF(B8911="","",IFERROR(RIGHT(B8911,LEN(B8911)-FIND("@",B8911)),""))</f>
        <v/>
      </c>
      <c r="G8911">
        <f>IF(D8911="KEEP",COUNTIF($D$2:D8911,"KEEP"),"")</f>
        <v/>
      </c>
      <c r="H8911">
        <f>IF(D8911="REMOVE",COUNTIF($D$2:D8911,"REMOVE"),"")</f>
        <v/>
      </c>
      <c r="I8911">
        <f>IF(E8911="Gmail",COUNTIF($E$2:E8911,"Gmail"),"")</f>
        <v/>
      </c>
      <c r="J8911">
        <f>IF(E8911="Outlook",COUNTIF($E$2:E8911,"Outlook"),"")</f>
        <v/>
      </c>
      <c r="K8911">
        <f>IF(E8911="Domain",COUNTIF($E$2:E8911,"Domain"),"")</f>
        <v/>
      </c>
    </row>
    <row r="8912">
      <c r="A8912" s="2" t="n"/>
      <c r="B8912">
        <f>LOWER(TRIM(A8912))</f>
        <v/>
      </c>
      <c r="C8912">
        <f>IF(B8912="","",IFERROR(INDEX('Bad Patterns'!$A$2:$A$120,MATCH(1,INDEX(--ISNUMBER(SEARCH('Bad Patterns'!$A$2:$A$120,B8912)),0),0)),""))</f>
        <v/>
      </c>
      <c r="D8912">
        <f>IF(B8912="","",IF(C8912&lt;&gt;"","REMOVE","KEEP"))</f>
        <v/>
      </c>
      <c r="E8912">
        <f>IF(D8912&lt;&gt;"KEEP","",IF(RIGHT(B8912,10)="@gmail.com","Gmail",IF(OR(RIGHT(B8912,12)="@outlook.com",RIGHT(B8912,12)="@hotmail.com",RIGHT(B8912,9)="@live.com"),"Outlook","Domain")))</f>
        <v/>
      </c>
      <c r="F8912">
        <f>IF(B8912="","",IFERROR(RIGHT(B8912,LEN(B8912)-FIND("@",B8912)),""))</f>
        <v/>
      </c>
      <c r="G8912">
        <f>IF(D8912="KEEP",COUNTIF($D$2:D8912,"KEEP"),"")</f>
        <v/>
      </c>
      <c r="H8912">
        <f>IF(D8912="REMOVE",COUNTIF($D$2:D8912,"REMOVE"),"")</f>
        <v/>
      </c>
      <c r="I8912">
        <f>IF(E8912="Gmail",COUNTIF($E$2:E8912,"Gmail"),"")</f>
        <v/>
      </c>
      <c r="J8912">
        <f>IF(E8912="Outlook",COUNTIF($E$2:E8912,"Outlook"),"")</f>
        <v/>
      </c>
      <c r="K8912">
        <f>IF(E8912="Domain",COUNTIF($E$2:E8912,"Domain"),"")</f>
        <v/>
      </c>
    </row>
    <row r="8913">
      <c r="A8913" s="2" t="n"/>
      <c r="B8913">
        <f>LOWER(TRIM(A8913))</f>
        <v/>
      </c>
      <c r="C8913">
        <f>IF(B8913="","",IFERROR(INDEX('Bad Patterns'!$A$2:$A$120,MATCH(1,INDEX(--ISNUMBER(SEARCH('Bad Patterns'!$A$2:$A$120,B8913)),0),0)),""))</f>
        <v/>
      </c>
      <c r="D8913">
        <f>IF(B8913="","",IF(C8913&lt;&gt;"","REMOVE","KEEP"))</f>
        <v/>
      </c>
      <c r="E8913">
        <f>IF(D8913&lt;&gt;"KEEP","",IF(RIGHT(B8913,10)="@gmail.com","Gmail",IF(OR(RIGHT(B8913,12)="@outlook.com",RIGHT(B8913,12)="@hotmail.com",RIGHT(B8913,9)="@live.com"),"Outlook","Domain")))</f>
        <v/>
      </c>
      <c r="F8913">
        <f>IF(B8913="","",IFERROR(RIGHT(B8913,LEN(B8913)-FIND("@",B8913)),""))</f>
        <v/>
      </c>
      <c r="G8913">
        <f>IF(D8913="KEEP",COUNTIF($D$2:D8913,"KEEP"),"")</f>
        <v/>
      </c>
      <c r="H8913">
        <f>IF(D8913="REMOVE",COUNTIF($D$2:D8913,"REMOVE"),"")</f>
        <v/>
      </c>
      <c r="I8913">
        <f>IF(E8913="Gmail",COUNTIF($E$2:E8913,"Gmail"),"")</f>
        <v/>
      </c>
      <c r="J8913">
        <f>IF(E8913="Outlook",COUNTIF($E$2:E8913,"Outlook"),"")</f>
        <v/>
      </c>
      <c r="K8913">
        <f>IF(E8913="Domain",COUNTIF($E$2:E8913,"Domain"),"")</f>
        <v/>
      </c>
    </row>
    <row r="8914">
      <c r="A8914" s="2" t="n"/>
      <c r="B8914">
        <f>LOWER(TRIM(A8914))</f>
        <v/>
      </c>
      <c r="C8914">
        <f>IF(B8914="","",IFERROR(INDEX('Bad Patterns'!$A$2:$A$120,MATCH(1,INDEX(--ISNUMBER(SEARCH('Bad Patterns'!$A$2:$A$120,B8914)),0),0)),""))</f>
        <v/>
      </c>
      <c r="D8914">
        <f>IF(B8914="","",IF(C8914&lt;&gt;"","REMOVE","KEEP"))</f>
        <v/>
      </c>
      <c r="E8914">
        <f>IF(D8914&lt;&gt;"KEEP","",IF(RIGHT(B8914,10)="@gmail.com","Gmail",IF(OR(RIGHT(B8914,12)="@outlook.com",RIGHT(B8914,12)="@hotmail.com",RIGHT(B8914,9)="@live.com"),"Outlook","Domain")))</f>
        <v/>
      </c>
      <c r="F8914">
        <f>IF(B8914="","",IFERROR(RIGHT(B8914,LEN(B8914)-FIND("@",B8914)),""))</f>
        <v/>
      </c>
      <c r="G8914">
        <f>IF(D8914="KEEP",COUNTIF($D$2:D8914,"KEEP"),"")</f>
        <v/>
      </c>
      <c r="H8914">
        <f>IF(D8914="REMOVE",COUNTIF($D$2:D8914,"REMOVE"),"")</f>
        <v/>
      </c>
      <c r="I8914">
        <f>IF(E8914="Gmail",COUNTIF($E$2:E8914,"Gmail"),"")</f>
        <v/>
      </c>
      <c r="J8914">
        <f>IF(E8914="Outlook",COUNTIF($E$2:E8914,"Outlook"),"")</f>
        <v/>
      </c>
      <c r="K8914">
        <f>IF(E8914="Domain",COUNTIF($E$2:E8914,"Domain"),"")</f>
        <v/>
      </c>
    </row>
    <row r="8915">
      <c r="A8915" s="2" t="n"/>
      <c r="B8915">
        <f>LOWER(TRIM(A8915))</f>
        <v/>
      </c>
      <c r="C8915">
        <f>IF(B8915="","",IFERROR(INDEX('Bad Patterns'!$A$2:$A$120,MATCH(1,INDEX(--ISNUMBER(SEARCH('Bad Patterns'!$A$2:$A$120,B8915)),0),0)),""))</f>
        <v/>
      </c>
      <c r="D8915">
        <f>IF(B8915="","",IF(C8915&lt;&gt;"","REMOVE","KEEP"))</f>
        <v/>
      </c>
      <c r="E8915">
        <f>IF(D8915&lt;&gt;"KEEP","",IF(RIGHT(B8915,10)="@gmail.com","Gmail",IF(OR(RIGHT(B8915,12)="@outlook.com",RIGHT(B8915,12)="@hotmail.com",RIGHT(B8915,9)="@live.com"),"Outlook","Domain")))</f>
        <v/>
      </c>
      <c r="F8915">
        <f>IF(B8915="","",IFERROR(RIGHT(B8915,LEN(B8915)-FIND("@",B8915)),""))</f>
        <v/>
      </c>
      <c r="G8915">
        <f>IF(D8915="KEEP",COUNTIF($D$2:D8915,"KEEP"),"")</f>
        <v/>
      </c>
      <c r="H8915">
        <f>IF(D8915="REMOVE",COUNTIF($D$2:D8915,"REMOVE"),"")</f>
        <v/>
      </c>
      <c r="I8915">
        <f>IF(E8915="Gmail",COUNTIF($E$2:E8915,"Gmail"),"")</f>
        <v/>
      </c>
      <c r="J8915">
        <f>IF(E8915="Outlook",COUNTIF($E$2:E8915,"Outlook"),"")</f>
        <v/>
      </c>
      <c r="K8915">
        <f>IF(E8915="Domain",COUNTIF($E$2:E8915,"Domain"),"")</f>
        <v/>
      </c>
    </row>
    <row r="8916">
      <c r="A8916" s="2" t="n"/>
      <c r="B8916">
        <f>LOWER(TRIM(A8916))</f>
        <v/>
      </c>
      <c r="C8916">
        <f>IF(B8916="","",IFERROR(INDEX('Bad Patterns'!$A$2:$A$120,MATCH(1,INDEX(--ISNUMBER(SEARCH('Bad Patterns'!$A$2:$A$120,B8916)),0),0)),""))</f>
        <v/>
      </c>
      <c r="D8916">
        <f>IF(B8916="","",IF(C8916&lt;&gt;"","REMOVE","KEEP"))</f>
        <v/>
      </c>
      <c r="E8916">
        <f>IF(D8916&lt;&gt;"KEEP","",IF(RIGHT(B8916,10)="@gmail.com","Gmail",IF(OR(RIGHT(B8916,12)="@outlook.com",RIGHT(B8916,12)="@hotmail.com",RIGHT(B8916,9)="@live.com"),"Outlook","Domain")))</f>
        <v/>
      </c>
      <c r="F8916">
        <f>IF(B8916="","",IFERROR(RIGHT(B8916,LEN(B8916)-FIND("@",B8916)),""))</f>
        <v/>
      </c>
      <c r="G8916">
        <f>IF(D8916="KEEP",COUNTIF($D$2:D8916,"KEEP"),"")</f>
        <v/>
      </c>
      <c r="H8916">
        <f>IF(D8916="REMOVE",COUNTIF($D$2:D8916,"REMOVE"),"")</f>
        <v/>
      </c>
      <c r="I8916">
        <f>IF(E8916="Gmail",COUNTIF($E$2:E8916,"Gmail"),"")</f>
        <v/>
      </c>
      <c r="J8916">
        <f>IF(E8916="Outlook",COUNTIF($E$2:E8916,"Outlook"),"")</f>
        <v/>
      </c>
      <c r="K8916">
        <f>IF(E8916="Domain",COUNTIF($E$2:E8916,"Domain"),"")</f>
        <v/>
      </c>
    </row>
    <row r="8917">
      <c r="A8917" s="2" t="n"/>
      <c r="B8917">
        <f>LOWER(TRIM(A8917))</f>
        <v/>
      </c>
      <c r="C8917">
        <f>IF(B8917="","",IFERROR(INDEX('Bad Patterns'!$A$2:$A$120,MATCH(1,INDEX(--ISNUMBER(SEARCH('Bad Patterns'!$A$2:$A$120,B8917)),0),0)),""))</f>
        <v/>
      </c>
      <c r="D8917">
        <f>IF(B8917="","",IF(C8917&lt;&gt;"","REMOVE","KEEP"))</f>
        <v/>
      </c>
      <c r="E8917">
        <f>IF(D8917&lt;&gt;"KEEP","",IF(RIGHT(B8917,10)="@gmail.com","Gmail",IF(OR(RIGHT(B8917,12)="@outlook.com",RIGHT(B8917,12)="@hotmail.com",RIGHT(B8917,9)="@live.com"),"Outlook","Domain")))</f>
        <v/>
      </c>
      <c r="F8917">
        <f>IF(B8917="","",IFERROR(RIGHT(B8917,LEN(B8917)-FIND("@",B8917)),""))</f>
        <v/>
      </c>
      <c r="G8917">
        <f>IF(D8917="KEEP",COUNTIF($D$2:D8917,"KEEP"),"")</f>
        <v/>
      </c>
      <c r="H8917">
        <f>IF(D8917="REMOVE",COUNTIF($D$2:D8917,"REMOVE"),"")</f>
        <v/>
      </c>
      <c r="I8917">
        <f>IF(E8917="Gmail",COUNTIF($E$2:E8917,"Gmail"),"")</f>
        <v/>
      </c>
      <c r="J8917">
        <f>IF(E8917="Outlook",COUNTIF($E$2:E8917,"Outlook"),"")</f>
        <v/>
      </c>
      <c r="K8917">
        <f>IF(E8917="Domain",COUNTIF($E$2:E8917,"Domain"),"")</f>
        <v/>
      </c>
    </row>
    <row r="8918">
      <c r="A8918" s="2" t="n"/>
      <c r="B8918">
        <f>LOWER(TRIM(A8918))</f>
        <v/>
      </c>
      <c r="C8918">
        <f>IF(B8918="","",IFERROR(INDEX('Bad Patterns'!$A$2:$A$120,MATCH(1,INDEX(--ISNUMBER(SEARCH('Bad Patterns'!$A$2:$A$120,B8918)),0),0)),""))</f>
        <v/>
      </c>
      <c r="D8918">
        <f>IF(B8918="","",IF(C8918&lt;&gt;"","REMOVE","KEEP"))</f>
        <v/>
      </c>
      <c r="E8918">
        <f>IF(D8918&lt;&gt;"KEEP","",IF(RIGHT(B8918,10)="@gmail.com","Gmail",IF(OR(RIGHT(B8918,12)="@outlook.com",RIGHT(B8918,12)="@hotmail.com",RIGHT(B8918,9)="@live.com"),"Outlook","Domain")))</f>
        <v/>
      </c>
      <c r="F8918">
        <f>IF(B8918="","",IFERROR(RIGHT(B8918,LEN(B8918)-FIND("@",B8918)),""))</f>
        <v/>
      </c>
      <c r="G8918">
        <f>IF(D8918="KEEP",COUNTIF($D$2:D8918,"KEEP"),"")</f>
        <v/>
      </c>
      <c r="H8918">
        <f>IF(D8918="REMOVE",COUNTIF($D$2:D8918,"REMOVE"),"")</f>
        <v/>
      </c>
      <c r="I8918">
        <f>IF(E8918="Gmail",COUNTIF($E$2:E8918,"Gmail"),"")</f>
        <v/>
      </c>
      <c r="J8918">
        <f>IF(E8918="Outlook",COUNTIF($E$2:E8918,"Outlook"),"")</f>
        <v/>
      </c>
      <c r="K8918">
        <f>IF(E8918="Domain",COUNTIF($E$2:E8918,"Domain"),"")</f>
        <v/>
      </c>
    </row>
    <row r="8919">
      <c r="A8919" s="2" t="n"/>
      <c r="B8919">
        <f>LOWER(TRIM(A8919))</f>
        <v/>
      </c>
      <c r="C8919">
        <f>IF(B8919="","",IFERROR(INDEX('Bad Patterns'!$A$2:$A$120,MATCH(1,INDEX(--ISNUMBER(SEARCH('Bad Patterns'!$A$2:$A$120,B8919)),0),0)),""))</f>
        <v/>
      </c>
      <c r="D8919">
        <f>IF(B8919="","",IF(C8919&lt;&gt;"","REMOVE","KEEP"))</f>
        <v/>
      </c>
      <c r="E8919">
        <f>IF(D8919&lt;&gt;"KEEP","",IF(RIGHT(B8919,10)="@gmail.com","Gmail",IF(OR(RIGHT(B8919,12)="@outlook.com",RIGHT(B8919,12)="@hotmail.com",RIGHT(B8919,9)="@live.com"),"Outlook","Domain")))</f>
        <v/>
      </c>
      <c r="F8919">
        <f>IF(B8919="","",IFERROR(RIGHT(B8919,LEN(B8919)-FIND("@",B8919)),""))</f>
        <v/>
      </c>
      <c r="G8919">
        <f>IF(D8919="KEEP",COUNTIF($D$2:D8919,"KEEP"),"")</f>
        <v/>
      </c>
      <c r="H8919">
        <f>IF(D8919="REMOVE",COUNTIF($D$2:D8919,"REMOVE"),"")</f>
        <v/>
      </c>
      <c r="I8919">
        <f>IF(E8919="Gmail",COUNTIF($E$2:E8919,"Gmail"),"")</f>
        <v/>
      </c>
      <c r="J8919">
        <f>IF(E8919="Outlook",COUNTIF($E$2:E8919,"Outlook"),"")</f>
        <v/>
      </c>
      <c r="K8919">
        <f>IF(E8919="Domain",COUNTIF($E$2:E8919,"Domain"),"")</f>
        <v/>
      </c>
    </row>
    <row r="8920">
      <c r="A8920" s="2" t="n"/>
      <c r="B8920">
        <f>LOWER(TRIM(A8920))</f>
        <v/>
      </c>
      <c r="C8920">
        <f>IF(B8920="","",IFERROR(INDEX('Bad Patterns'!$A$2:$A$120,MATCH(1,INDEX(--ISNUMBER(SEARCH('Bad Patterns'!$A$2:$A$120,B8920)),0),0)),""))</f>
        <v/>
      </c>
      <c r="D8920">
        <f>IF(B8920="","",IF(C8920&lt;&gt;"","REMOVE","KEEP"))</f>
        <v/>
      </c>
      <c r="E8920">
        <f>IF(D8920&lt;&gt;"KEEP","",IF(RIGHT(B8920,10)="@gmail.com","Gmail",IF(OR(RIGHT(B8920,12)="@outlook.com",RIGHT(B8920,12)="@hotmail.com",RIGHT(B8920,9)="@live.com"),"Outlook","Domain")))</f>
        <v/>
      </c>
      <c r="F8920">
        <f>IF(B8920="","",IFERROR(RIGHT(B8920,LEN(B8920)-FIND("@",B8920)),""))</f>
        <v/>
      </c>
      <c r="G8920">
        <f>IF(D8920="KEEP",COUNTIF($D$2:D8920,"KEEP"),"")</f>
        <v/>
      </c>
      <c r="H8920">
        <f>IF(D8920="REMOVE",COUNTIF($D$2:D8920,"REMOVE"),"")</f>
        <v/>
      </c>
      <c r="I8920">
        <f>IF(E8920="Gmail",COUNTIF($E$2:E8920,"Gmail"),"")</f>
        <v/>
      </c>
      <c r="J8920">
        <f>IF(E8920="Outlook",COUNTIF($E$2:E8920,"Outlook"),"")</f>
        <v/>
      </c>
      <c r="K8920">
        <f>IF(E8920="Domain",COUNTIF($E$2:E8920,"Domain"),"")</f>
        <v/>
      </c>
    </row>
    <row r="8921">
      <c r="A8921" s="2" t="n"/>
      <c r="B8921">
        <f>LOWER(TRIM(A8921))</f>
        <v/>
      </c>
      <c r="C8921">
        <f>IF(B8921="","",IFERROR(INDEX('Bad Patterns'!$A$2:$A$120,MATCH(1,INDEX(--ISNUMBER(SEARCH('Bad Patterns'!$A$2:$A$120,B8921)),0),0)),""))</f>
        <v/>
      </c>
      <c r="D8921">
        <f>IF(B8921="","",IF(C8921&lt;&gt;"","REMOVE","KEEP"))</f>
        <v/>
      </c>
      <c r="E8921">
        <f>IF(D8921&lt;&gt;"KEEP","",IF(RIGHT(B8921,10)="@gmail.com","Gmail",IF(OR(RIGHT(B8921,12)="@outlook.com",RIGHT(B8921,12)="@hotmail.com",RIGHT(B8921,9)="@live.com"),"Outlook","Domain")))</f>
        <v/>
      </c>
      <c r="F8921">
        <f>IF(B8921="","",IFERROR(RIGHT(B8921,LEN(B8921)-FIND("@",B8921)),""))</f>
        <v/>
      </c>
      <c r="G8921">
        <f>IF(D8921="KEEP",COUNTIF($D$2:D8921,"KEEP"),"")</f>
        <v/>
      </c>
      <c r="H8921">
        <f>IF(D8921="REMOVE",COUNTIF($D$2:D8921,"REMOVE"),"")</f>
        <v/>
      </c>
      <c r="I8921">
        <f>IF(E8921="Gmail",COUNTIF($E$2:E8921,"Gmail"),"")</f>
        <v/>
      </c>
      <c r="J8921">
        <f>IF(E8921="Outlook",COUNTIF($E$2:E8921,"Outlook"),"")</f>
        <v/>
      </c>
      <c r="K8921">
        <f>IF(E8921="Domain",COUNTIF($E$2:E8921,"Domain"),"")</f>
        <v/>
      </c>
    </row>
    <row r="8922">
      <c r="A8922" s="2" t="n"/>
      <c r="B8922">
        <f>LOWER(TRIM(A8922))</f>
        <v/>
      </c>
      <c r="C8922">
        <f>IF(B8922="","",IFERROR(INDEX('Bad Patterns'!$A$2:$A$120,MATCH(1,INDEX(--ISNUMBER(SEARCH('Bad Patterns'!$A$2:$A$120,B8922)),0),0)),""))</f>
        <v/>
      </c>
      <c r="D8922">
        <f>IF(B8922="","",IF(C8922&lt;&gt;"","REMOVE","KEEP"))</f>
        <v/>
      </c>
      <c r="E8922">
        <f>IF(D8922&lt;&gt;"KEEP","",IF(RIGHT(B8922,10)="@gmail.com","Gmail",IF(OR(RIGHT(B8922,12)="@outlook.com",RIGHT(B8922,12)="@hotmail.com",RIGHT(B8922,9)="@live.com"),"Outlook","Domain")))</f>
        <v/>
      </c>
      <c r="F8922">
        <f>IF(B8922="","",IFERROR(RIGHT(B8922,LEN(B8922)-FIND("@",B8922)),""))</f>
        <v/>
      </c>
      <c r="G8922">
        <f>IF(D8922="KEEP",COUNTIF($D$2:D8922,"KEEP"),"")</f>
        <v/>
      </c>
      <c r="H8922">
        <f>IF(D8922="REMOVE",COUNTIF($D$2:D8922,"REMOVE"),"")</f>
        <v/>
      </c>
      <c r="I8922">
        <f>IF(E8922="Gmail",COUNTIF($E$2:E8922,"Gmail"),"")</f>
        <v/>
      </c>
      <c r="J8922">
        <f>IF(E8922="Outlook",COUNTIF($E$2:E8922,"Outlook"),"")</f>
        <v/>
      </c>
      <c r="K8922">
        <f>IF(E8922="Domain",COUNTIF($E$2:E8922,"Domain"),"")</f>
        <v/>
      </c>
    </row>
    <row r="8923">
      <c r="A8923" s="2" t="n"/>
      <c r="B8923">
        <f>LOWER(TRIM(A8923))</f>
        <v/>
      </c>
      <c r="C8923">
        <f>IF(B8923="","",IFERROR(INDEX('Bad Patterns'!$A$2:$A$120,MATCH(1,INDEX(--ISNUMBER(SEARCH('Bad Patterns'!$A$2:$A$120,B8923)),0),0)),""))</f>
        <v/>
      </c>
      <c r="D8923">
        <f>IF(B8923="","",IF(C8923&lt;&gt;"","REMOVE","KEEP"))</f>
        <v/>
      </c>
      <c r="E8923">
        <f>IF(D8923&lt;&gt;"KEEP","",IF(RIGHT(B8923,10)="@gmail.com","Gmail",IF(OR(RIGHT(B8923,12)="@outlook.com",RIGHT(B8923,12)="@hotmail.com",RIGHT(B8923,9)="@live.com"),"Outlook","Domain")))</f>
        <v/>
      </c>
      <c r="F8923">
        <f>IF(B8923="","",IFERROR(RIGHT(B8923,LEN(B8923)-FIND("@",B8923)),""))</f>
        <v/>
      </c>
      <c r="G8923">
        <f>IF(D8923="KEEP",COUNTIF($D$2:D8923,"KEEP"),"")</f>
        <v/>
      </c>
      <c r="H8923">
        <f>IF(D8923="REMOVE",COUNTIF($D$2:D8923,"REMOVE"),"")</f>
        <v/>
      </c>
      <c r="I8923">
        <f>IF(E8923="Gmail",COUNTIF($E$2:E8923,"Gmail"),"")</f>
        <v/>
      </c>
      <c r="J8923">
        <f>IF(E8923="Outlook",COUNTIF($E$2:E8923,"Outlook"),"")</f>
        <v/>
      </c>
      <c r="K8923">
        <f>IF(E8923="Domain",COUNTIF($E$2:E8923,"Domain"),"")</f>
        <v/>
      </c>
    </row>
    <row r="8924">
      <c r="A8924" s="2" t="n"/>
      <c r="B8924">
        <f>LOWER(TRIM(A8924))</f>
        <v/>
      </c>
      <c r="C8924">
        <f>IF(B8924="","",IFERROR(INDEX('Bad Patterns'!$A$2:$A$120,MATCH(1,INDEX(--ISNUMBER(SEARCH('Bad Patterns'!$A$2:$A$120,B8924)),0),0)),""))</f>
        <v/>
      </c>
      <c r="D8924">
        <f>IF(B8924="","",IF(C8924&lt;&gt;"","REMOVE","KEEP"))</f>
        <v/>
      </c>
      <c r="E8924">
        <f>IF(D8924&lt;&gt;"KEEP","",IF(RIGHT(B8924,10)="@gmail.com","Gmail",IF(OR(RIGHT(B8924,12)="@outlook.com",RIGHT(B8924,12)="@hotmail.com",RIGHT(B8924,9)="@live.com"),"Outlook","Domain")))</f>
        <v/>
      </c>
      <c r="F8924">
        <f>IF(B8924="","",IFERROR(RIGHT(B8924,LEN(B8924)-FIND("@",B8924)),""))</f>
        <v/>
      </c>
      <c r="G8924">
        <f>IF(D8924="KEEP",COUNTIF($D$2:D8924,"KEEP"),"")</f>
        <v/>
      </c>
      <c r="H8924">
        <f>IF(D8924="REMOVE",COUNTIF($D$2:D8924,"REMOVE"),"")</f>
        <v/>
      </c>
      <c r="I8924">
        <f>IF(E8924="Gmail",COUNTIF($E$2:E8924,"Gmail"),"")</f>
        <v/>
      </c>
      <c r="J8924">
        <f>IF(E8924="Outlook",COUNTIF($E$2:E8924,"Outlook"),"")</f>
        <v/>
      </c>
      <c r="K8924">
        <f>IF(E8924="Domain",COUNTIF($E$2:E8924,"Domain"),"")</f>
        <v/>
      </c>
    </row>
    <row r="8925">
      <c r="A8925" s="2" t="n"/>
      <c r="B8925">
        <f>LOWER(TRIM(A8925))</f>
        <v/>
      </c>
      <c r="C8925">
        <f>IF(B8925="","",IFERROR(INDEX('Bad Patterns'!$A$2:$A$120,MATCH(1,INDEX(--ISNUMBER(SEARCH('Bad Patterns'!$A$2:$A$120,B8925)),0),0)),""))</f>
        <v/>
      </c>
      <c r="D8925">
        <f>IF(B8925="","",IF(C8925&lt;&gt;"","REMOVE","KEEP"))</f>
        <v/>
      </c>
      <c r="E8925">
        <f>IF(D8925&lt;&gt;"KEEP","",IF(RIGHT(B8925,10)="@gmail.com","Gmail",IF(OR(RIGHT(B8925,12)="@outlook.com",RIGHT(B8925,12)="@hotmail.com",RIGHT(B8925,9)="@live.com"),"Outlook","Domain")))</f>
        <v/>
      </c>
      <c r="F8925">
        <f>IF(B8925="","",IFERROR(RIGHT(B8925,LEN(B8925)-FIND("@",B8925)),""))</f>
        <v/>
      </c>
      <c r="G8925">
        <f>IF(D8925="KEEP",COUNTIF($D$2:D8925,"KEEP"),"")</f>
        <v/>
      </c>
      <c r="H8925">
        <f>IF(D8925="REMOVE",COUNTIF($D$2:D8925,"REMOVE"),"")</f>
        <v/>
      </c>
      <c r="I8925">
        <f>IF(E8925="Gmail",COUNTIF($E$2:E8925,"Gmail"),"")</f>
        <v/>
      </c>
      <c r="J8925">
        <f>IF(E8925="Outlook",COUNTIF($E$2:E8925,"Outlook"),"")</f>
        <v/>
      </c>
      <c r="K8925">
        <f>IF(E8925="Domain",COUNTIF($E$2:E8925,"Domain"),"")</f>
        <v/>
      </c>
    </row>
    <row r="8926">
      <c r="A8926" s="2" t="n"/>
      <c r="B8926">
        <f>LOWER(TRIM(A8926))</f>
        <v/>
      </c>
      <c r="C8926">
        <f>IF(B8926="","",IFERROR(INDEX('Bad Patterns'!$A$2:$A$120,MATCH(1,INDEX(--ISNUMBER(SEARCH('Bad Patterns'!$A$2:$A$120,B8926)),0),0)),""))</f>
        <v/>
      </c>
      <c r="D8926">
        <f>IF(B8926="","",IF(C8926&lt;&gt;"","REMOVE","KEEP"))</f>
        <v/>
      </c>
      <c r="E8926">
        <f>IF(D8926&lt;&gt;"KEEP","",IF(RIGHT(B8926,10)="@gmail.com","Gmail",IF(OR(RIGHT(B8926,12)="@outlook.com",RIGHT(B8926,12)="@hotmail.com",RIGHT(B8926,9)="@live.com"),"Outlook","Domain")))</f>
        <v/>
      </c>
      <c r="F8926">
        <f>IF(B8926="","",IFERROR(RIGHT(B8926,LEN(B8926)-FIND("@",B8926)),""))</f>
        <v/>
      </c>
      <c r="G8926">
        <f>IF(D8926="KEEP",COUNTIF($D$2:D8926,"KEEP"),"")</f>
        <v/>
      </c>
      <c r="H8926">
        <f>IF(D8926="REMOVE",COUNTIF($D$2:D8926,"REMOVE"),"")</f>
        <v/>
      </c>
      <c r="I8926">
        <f>IF(E8926="Gmail",COUNTIF($E$2:E8926,"Gmail"),"")</f>
        <v/>
      </c>
      <c r="J8926">
        <f>IF(E8926="Outlook",COUNTIF($E$2:E8926,"Outlook"),"")</f>
        <v/>
      </c>
      <c r="K8926">
        <f>IF(E8926="Domain",COUNTIF($E$2:E8926,"Domain"),"")</f>
        <v/>
      </c>
    </row>
    <row r="8927">
      <c r="A8927" s="2" t="n"/>
      <c r="B8927">
        <f>LOWER(TRIM(A8927))</f>
        <v/>
      </c>
      <c r="C8927">
        <f>IF(B8927="","",IFERROR(INDEX('Bad Patterns'!$A$2:$A$120,MATCH(1,INDEX(--ISNUMBER(SEARCH('Bad Patterns'!$A$2:$A$120,B8927)),0),0)),""))</f>
        <v/>
      </c>
      <c r="D8927">
        <f>IF(B8927="","",IF(C8927&lt;&gt;"","REMOVE","KEEP"))</f>
        <v/>
      </c>
      <c r="E8927">
        <f>IF(D8927&lt;&gt;"KEEP","",IF(RIGHT(B8927,10)="@gmail.com","Gmail",IF(OR(RIGHT(B8927,12)="@outlook.com",RIGHT(B8927,12)="@hotmail.com",RIGHT(B8927,9)="@live.com"),"Outlook","Domain")))</f>
        <v/>
      </c>
      <c r="F8927">
        <f>IF(B8927="","",IFERROR(RIGHT(B8927,LEN(B8927)-FIND("@",B8927)),""))</f>
        <v/>
      </c>
      <c r="G8927">
        <f>IF(D8927="KEEP",COUNTIF($D$2:D8927,"KEEP"),"")</f>
        <v/>
      </c>
      <c r="H8927">
        <f>IF(D8927="REMOVE",COUNTIF($D$2:D8927,"REMOVE"),"")</f>
        <v/>
      </c>
      <c r="I8927">
        <f>IF(E8927="Gmail",COUNTIF($E$2:E8927,"Gmail"),"")</f>
        <v/>
      </c>
      <c r="J8927">
        <f>IF(E8927="Outlook",COUNTIF($E$2:E8927,"Outlook"),"")</f>
        <v/>
      </c>
      <c r="K8927">
        <f>IF(E8927="Domain",COUNTIF($E$2:E8927,"Domain"),"")</f>
        <v/>
      </c>
    </row>
    <row r="8928">
      <c r="A8928" s="2" t="n"/>
      <c r="B8928">
        <f>LOWER(TRIM(A8928))</f>
        <v/>
      </c>
      <c r="C8928">
        <f>IF(B8928="","",IFERROR(INDEX('Bad Patterns'!$A$2:$A$120,MATCH(1,INDEX(--ISNUMBER(SEARCH('Bad Patterns'!$A$2:$A$120,B8928)),0),0)),""))</f>
        <v/>
      </c>
      <c r="D8928">
        <f>IF(B8928="","",IF(C8928&lt;&gt;"","REMOVE","KEEP"))</f>
        <v/>
      </c>
      <c r="E8928">
        <f>IF(D8928&lt;&gt;"KEEP","",IF(RIGHT(B8928,10)="@gmail.com","Gmail",IF(OR(RIGHT(B8928,12)="@outlook.com",RIGHT(B8928,12)="@hotmail.com",RIGHT(B8928,9)="@live.com"),"Outlook","Domain")))</f>
        <v/>
      </c>
      <c r="F8928">
        <f>IF(B8928="","",IFERROR(RIGHT(B8928,LEN(B8928)-FIND("@",B8928)),""))</f>
        <v/>
      </c>
      <c r="G8928">
        <f>IF(D8928="KEEP",COUNTIF($D$2:D8928,"KEEP"),"")</f>
        <v/>
      </c>
      <c r="H8928">
        <f>IF(D8928="REMOVE",COUNTIF($D$2:D8928,"REMOVE"),"")</f>
        <v/>
      </c>
      <c r="I8928">
        <f>IF(E8928="Gmail",COUNTIF($E$2:E8928,"Gmail"),"")</f>
        <v/>
      </c>
      <c r="J8928">
        <f>IF(E8928="Outlook",COUNTIF($E$2:E8928,"Outlook"),"")</f>
        <v/>
      </c>
      <c r="K8928">
        <f>IF(E8928="Domain",COUNTIF($E$2:E8928,"Domain"),"")</f>
        <v/>
      </c>
    </row>
    <row r="8929">
      <c r="A8929" s="2" t="n"/>
      <c r="B8929">
        <f>LOWER(TRIM(A8929))</f>
        <v/>
      </c>
      <c r="C8929">
        <f>IF(B8929="","",IFERROR(INDEX('Bad Patterns'!$A$2:$A$120,MATCH(1,INDEX(--ISNUMBER(SEARCH('Bad Patterns'!$A$2:$A$120,B8929)),0),0)),""))</f>
        <v/>
      </c>
      <c r="D8929">
        <f>IF(B8929="","",IF(C8929&lt;&gt;"","REMOVE","KEEP"))</f>
        <v/>
      </c>
      <c r="E8929">
        <f>IF(D8929&lt;&gt;"KEEP","",IF(RIGHT(B8929,10)="@gmail.com","Gmail",IF(OR(RIGHT(B8929,12)="@outlook.com",RIGHT(B8929,12)="@hotmail.com",RIGHT(B8929,9)="@live.com"),"Outlook","Domain")))</f>
        <v/>
      </c>
      <c r="F8929">
        <f>IF(B8929="","",IFERROR(RIGHT(B8929,LEN(B8929)-FIND("@",B8929)),""))</f>
        <v/>
      </c>
      <c r="G8929">
        <f>IF(D8929="KEEP",COUNTIF($D$2:D8929,"KEEP"),"")</f>
        <v/>
      </c>
      <c r="H8929">
        <f>IF(D8929="REMOVE",COUNTIF($D$2:D8929,"REMOVE"),"")</f>
        <v/>
      </c>
      <c r="I8929">
        <f>IF(E8929="Gmail",COUNTIF($E$2:E8929,"Gmail"),"")</f>
        <v/>
      </c>
      <c r="J8929">
        <f>IF(E8929="Outlook",COUNTIF($E$2:E8929,"Outlook"),"")</f>
        <v/>
      </c>
      <c r="K8929">
        <f>IF(E8929="Domain",COUNTIF($E$2:E8929,"Domain"),"")</f>
        <v/>
      </c>
    </row>
    <row r="8930">
      <c r="A8930" s="2" t="n"/>
      <c r="B8930">
        <f>LOWER(TRIM(A8930))</f>
        <v/>
      </c>
      <c r="C8930">
        <f>IF(B8930="","",IFERROR(INDEX('Bad Patterns'!$A$2:$A$120,MATCH(1,INDEX(--ISNUMBER(SEARCH('Bad Patterns'!$A$2:$A$120,B8930)),0),0)),""))</f>
        <v/>
      </c>
      <c r="D8930">
        <f>IF(B8930="","",IF(C8930&lt;&gt;"","REMOVE","KEEP"))</f>
        <v/>
      </c>
      <c r="E8930">
        <f>IF(D8930&lt;&gt;"KEEP","",IF(RIGHT(B8930,10)="@gmail.com","Gmail",IF(OR(RIGHT(B8930,12)="@outlook.com",RIGHT(B8930,12)="@hotmail.com",RIGHT(B8930,9)="@live.com"),"Outlook","Domain")))</f>
        <v/>
      </c>
      <c r="F8930">
        <f>IF(B8930="","",IFERROR(RIGHT(B8930,LEN(B8930)-FIND("@",B8930)),""))</f>
        <v/>
      </c>
      <c r="G8930">
        <f>IF(D8930="KEEP",COUNTIF($D$2:D8930,"KEEP"),"")</f>
        <v/>
      </c>
      <c r="H8930">
        <f>IF(D8930="REMOVE",COUNTIF($D$2:D8930,"REMOVE"),"")</f>
        <v/>
      </c>
      <c r="I8930">
        <f>IF(E8930="Gmail",COUNTIF($E$2:E8930,"Gmail"),"")</f>
        <v/>
      </c>
      <c r="J8930">
        <f>IF(E8930="Outlook",COUNTIF($E$2:E8930,"Outlook"),"")</f>
        <v/>
      </c>
      <c r="K8930">
        <f>IF(E8930="Domain",COUNTIF($E$2:E8930,"Domain"),"")</f>
        <v/>
      </c>
    </row>
    <row r="8931">
      <c r="A8931" s="2" t="n"/>
      <c r="B8931">
        <f>LOWER(TRIM(A8931))</f>
        <v/>
      </c>
      <c r="C8931">
        <f>IF(B8931="","",IFERROR(INDEX('Bad Patterns'!$A$2:$A$120,MATCH(1,INDEX(--ISNUMBER(SEARCH('Bad Patterns'!$A$2:$A$120,B8931)),0),0)),""))</f>
        <v/>
      </c>
      <c r="D8931">
        <f>IF(B8931="","",IF(C8931&lt;&gt;"","REMOVE","KEEP"))</f>
        <v/>
      </c>
      <c r="E8931">
        <f>IF(D8931&lt;&gt;"KEEP","",IF(RIGHT(B8931,10)="@gmail.com","Gmail",IF(OR(RIGHT(B8931,12)="@outlook.com",RIGHT(B8931,12)="@hotmail.com",RIGHT(B8931,9)="@live.com"),"Outlook","Domain")))</f>
        <v/>
      </c>
      <c r="F8931">
        <f>IF(B8931="","",IFERROR(RIGHT(B8931,LEN(B8931)-FIND("@",B8931)),""))</f>
        <v/>
      </c>
      <c r="G8931">
        <f>IF(D8931="KEEP",COUNTIF($D$2:D8931,"KEEP"),"")</f>
        <v/>
      </c>
      <c r="H8931">
        <f>IF(D8931="REMOVE",COUNTIF($D$2:D8931,"REMOVE"),"")</f>
        <v/>
      </c>
      <c r="I8931">
        <f>IF(E8931="Gmail",COUNTIF($E$2:E8931,"Gmail"),"")</f>
        <v/>
      </c>
      <c r="J8931">
        <f>IF(E8931="Outlook",COUNTIF($E$2:E8931,"Outlook"),"")</f>
        <v/>
      </c>
      <c r="K8931">
        <f>IF(E8931="Domain",COUNTIF($E$2:E8931,"Domain"),"")</f>
        <v/>
      </c>
    </row>
    <row r="8932">
      <c r="A8932" s="2" t="n"/>
      <c r="B8932">
        <f>LOWER(TRIM(A8932))</f>
        <v/>
      </c>
      <c r="C8932">
        <f>IF(B8932="","",IFERROR(INDEX('Bad Patterns'!$A$2:$A$120,MATCH(1,INDEX(--ISNUMBER(SEARCH('Bad Patterns'!$A$2:$A$120,B8932)),0),0)),""))</f>
        <v/>
      </c>
      <c r="D8932">
        <f>IF(B8932="","",IF(C8932&lt;&gt;"","REMOVE","KEEP"))</f>
        <v/>
      </c>
      <c r="E8932">
        <f>IF(D8932&lt;&gt;"KEEP","",IF(RIGHT(B8932,10)="@gmail.com","Gmail",IF(OR(RIGHT(B8932,12)="@outlook.com",RIGHT(B8932,12)="@hotmail.com",RIGHT(B8932,9)="@live.com"),"Outlook","Domain")))</f>
        <v/>
      </c>
      <c r="F8932">
        <f>IF(B8932="","",IFERROR(RIGHT(B8932,LEN(B8932)-FIND("@",B8932)),""))</f>
        <v/>
      </c>
      <c r="G8932">
        <f>IF(D8932="KEEP",COUNTIF($D$2:D8932,"KEEP"),"")</f>
        <v/>
      </c>
      <c r="H8932">
        <f>IF(D8932="REMOVE",COUNTIF($D$2:D8932,"REMOVE"),"")</f>
        <v/>
      </c>
      <c r="I8932">
        <f>IF(E8932="Gmail",COUNTIF($E$2:E8932,"Gmail"),"")</f>
        <v/>
      </c>
      <c r="J8932">
        <f>IF(E8932="Outlook",COUNTIF($E$2:E8932,"Outlook"),"")</f>
        <v/>
      </c>
      <c r="K8932">
        <f>IF(E8932="Domain",COUNTIF($E$2:E8932,"Domain"),"")</f>
        <v/>
      </c>
    </row>
    <row r="8933">
      <c r="A8933" s="2" t="n"/>
      <c r="B8933">
        <f>LOWER(TRIM(A8933))</f>
        <v/>
      </c>
      <c r="C8933">
        <f>IF(B8933="","",IFERROR(INDEX('Bad Patterns'!$A$2:$A$120,MATCH(1,INDEX(--ISNUMBER(SEARCH('Bad Patterns'!$A$2:$A$120,B8933)),0),0)),""))</f>
        <v/>
      </c>
      <c r="D8933">
        <f>IF(B8933="","",IF(C8933&lt;&gt;"","REMOVE","KEEP"))</f>
        <v/>
      </c>
      <c r="E8933">
        <f>IF(D8933&lt;&gt;"KEEP","",IF(RIGHT(B8933,10)="@gmail.com","Gmail",IF(OR(RIGHT(B8933,12)="@outlook.com",RIGHT(B8933,12)="@hotmail.com",RIGHT(B8933,9)="@live.com"),"Outlook","Domain")))</f>
        <v/>
      </c>
      <c r="F8933">
        <f>IF(B8933="","",IFERROR(RIGHT(B8933,LEN(B8933)-FIND("@",B8933)),""))</f>
        <v/>
      </c>
      <c r="G8933">
        <f>IF(D8933="KEEP",COUNTIF($D$2:D8933,"KEEP"),"")</f>
        <v/>
      </c>
      <c r="H8933">
        <f>IF(D8933="REMOVE",COUNTIF($D$2:D8933,"REMOVE"),"")</f>
        <v/>
      </c>
      <c r="I8933">
        <f>IF(E8933="Gmail",COUNTIF($E$2:E8933,"Gmail"),"")</f>
        <v/>
      </c>
      <c r="J8933">
        <f>IF(E8933="Outlook",COUNTIF($E$2:E8933,"Outlook"),"")</f>
        <v/>
      </c>
      <c r="K8933">
        <f>IF(E8933="Domain",COUNTIF($E$2:E8933,"Domain"),"")</f>
        <v/>
      </c>
    </row>
    <row r="8934">
      <c r="A8934" s="2" t="n"/>
      <c r="B8934">
        <f>LOWER(TRIM(A8934))</f>
        <v/>
      </c>
      <c r="C8934">
        <f>IF(B8934="","",IFERROR(INDEX('Bad Patterns'!$A$2:$A$120,MATCH(1,INDEX(--ISNUMBER(SEARCH('Bad Patterns'!$A$2:$A$120,B8934)),0),0)),""))</f>
        <v/>
      </c>
      <c r="D8934">
        <f>IF(B8934="","",IF(C8934&lt;&gt;"","REMOVE","KEEP"))</f>
        <v/>
      </c>
      <c r="E8934">
        <f>IF(D8934&lt;&gt;"KEEP","",IF(RIGHT(B8934,10)="@gmail.com","Gmail",IF(OR(RIGHT(B8934,12)="@outlook.com",RIGHT(B8934,12)="@hotmail.com",RIGHT(B8934,9)="@live.com"),"Outlook","Domain")))</f>
        <v/>
      </c>
      <c r="F8934">
        <f>IF(B8934="","",IFERROR(RIGHT(B8934,LEN(B8934)-FIND("@",B8934)),""))</f>
        <v/>
      </c>
      <c r="G8934">
        <f>IF(D8934="KEEP",COUNTIF($D$2:D8934,"KEEP"),"")</f>
        <v/>
      </c>
      <c r="H8934">
        <f>IF(D8934="REMOVE",COUNTIF($D$2:D8934,"REMOVE"),"")</f>
        <v/>
      </c>
      <c r="I8934">
        <f>IF(E8934="Gmail",COUNTIF($E$2:E8934,"Gmail"),"")</f>
        <v/>
      </c>
      <c r="J8934">
        <f>IF(E8934="Outlook",COUNTIF($E$2:E8934,"Outlook"),"")</f>
        <v/>
      </c>
      <c r="K8934">
        <f>IF(E8934="Domain",COUNTIF($E$2:E8934,"Domain"),"")</f>
        <v/>
      </c>
    </row>
    <row r="8935">
      <c r="A8935" s="2" t="n"/>
      <c r="B8935">
        <f>LOWER(TRIM(A8935))</f>
        <v/>
      </c>
      <c r="C8935">
        <f>IF(B8935="","",IFERROR(INDEX('Bad Patterns'!$A$2:$A$120,MATCH(1,INDEX(--ISNUMBER(SEARCH('Bad Patterns'!$A$2:$A$120,B8935)),0),0)),""))</f>
        <v/>
      </c>
      <c r="D8935">
        <f>IF(B8935="","",IF(C8935&lt;&gt;"","REMOVE","KEEP"))</f>
        <v/>
      </c>
      <c r="E8935">
        <f>IF(D8935&lt;&gt;"KEEP","",IF(RIGHT(B8935,10)="@gmail.com","Gmail",IF(OR(RIGHT(B8935,12)="@outlook.com",RIGHT(B8935,12)="@hotmail.com",RIGHT(B8935,9)="@live.com"),"Outlook","Domain")))</f>
        <v/>
      </c>
      <c r="F8935">
        <f>IF(B8935="","",IFERROR(RIGHT(B8935,LEN(B8935)-FIND("@",B8935)),""))</f>
        <v/>
      </c>
      <c r="G8935">
        <f>IF(D8935="KEEP",COUNTIF($D$2:D8935,"KEEP"),"")</f>
        <v/>
      </c>
      <c r="H8935">
        <f>IF(D8935="REMOVE",COUNTIF($D$2:D8935,"REMOVE"),"")</f>
        <v/>
      </c>
      <c r="I8935">
        <f>IF(E8935="Gmail",COUNTIF($E$2:E8935,"Gmail"),"")</f>
        <v/>
      </c>
      <c r="J8935">
        <f>IF(E8935="Outlook",COUNTIF($E$2:E8935,"Outlook"),"")</f>
        <v/>
      </c>
      <c r="K8935">
        <f>IF(E8935="Domain",COUNTIF($E$2:E8935,"Domain"),"")</f>
        <v/>
      </c>
    </row>
    <row r="8936">
      <c r="A8936" s="2" t="n"/>
      <c r="B8936">
        <f>LOWER(TRIM(A8936))</f>
        <v/>
      </c>
      <c r="C8936">
        <f>IF(B8936="","",IFERROR(INDEX('Bad Patterns'!$A$2:$A$120,MATCH(1,INDEX(--ISNUMBER(SEARCH('Bad Patterns'!$A$2:$A$120,B8936)),0),0)),""))</f>
        <v/>
      </c>
      <c r="D8936">
        <f>IF(B8936="","",IF(C8936&lt;&gt;"","REMOVE","KEEP"))</f>
        <v/>
      </c>
      <c r="E8936">
        <f>IF(D8936&lt;&gt;"KEEP","",IF(RIGHT(B8936,10)="@gmail.com","Gmail",IF(OR(RIGHT(B8936,12)="@outlook.com",RIGHT(B8936,12)="@hotmail.com",RIGHT(B8936,9)="@live.com"),"Outlook","Domain")))</f>
        <v/>
      </c>
      <c r="F8936">
        <f>IF(B8936="","",IFERROR(RIGHT(B8936,LEN(B8936)-FIND("@",B8936)),""))</f>
        <v/>
      </c>
      <c r="G8936">
        <f>IF(D8936="KEEP",COUNTIF($D$2:D8936,"KEEP"),"")</f>
        <v/>
      </c>
      <c r="H8936">
        <f>IF(D8936="REMOVE",COUNTIF($D$2:D8936,"REMOVE"),"")</f>
        <v/>
      </c>
      <c r="I8936">
        <f>IF(E8936="Gmail",COUNTIF($E$2:E8936,"Gmail"),"")</f>
        <v/>
      </c>
      <c r="J8936">
        <f>IF(E8936="Outlook",COUNTIF($E$2:E8936,"Outlook"),"")</f>
        <v/>
      </c>
      <c r="K8936">
        <f>IF(E8936="Domain",COUNTIF($E$2:E8936,"Domain"),"")</f>
        <v/>
      </c>
    </row>
    <row r="8937">
      <c r="A8937" s="2" t="n"/>
      <c r="B8937">
        <f>LOWER(TRIM(A8937))</f>
        <v/>
      </c>
      <c r="C8937">
        <f>IF(B8937="","",IFERROR(INDEX('Bad Patterns'!$A$2:$A$120,MATCH(1,INDEX(--ISNUMBER(SEARCH('Bad Patterns'!$A$2:$A$120,B8937)),0),0)),""))</f>
        <v/>
      </c>
      <c r="D8937">
        <f>IF(B8937="","",IF(C8937&lt;&gt;"","REMOVE","KEEP"))</f>
        <v/>
      </c>
      <c r="E8937">
        <f>IF(D8937&lt;&gt;"KEEP","",IF(RIGHT(B8937,10)="@gmail.com","Gmail",IF(OR(RIGHT(B8937,12)="@outlook.com",RIGHT(B8937,12)="@hotmail.com",RIGHT(B8937,9)="@live.com"),"Outlook","Domain")))</f>
        <v/>
      </c>
      <c r="F8937">
        <f>IF(B8937="","",IFERROR(RIGHT(B8937,LEN(B8937)-FIND("@",B8937)),""))</f>
        <v/>
      </c>
      <c r="G8937">
        <f>IF(D8937="KEEP",COUNTIF($D$2:D8937,"KEEP"),"")</f>
        <v/>
      </c>
      <c r="H8937">
        <f>IF(D8937="REMOVE",COUNTIF($D$2:D8937,"REMOVE"),"")</f>
        <v/>
      </c>
      <c r="I8937">
        <f>IF(E8937="Gmail",COUNTIF($E$2:E8937,"Gmail"),"")</f>
        <v/>
      </c>
      <c r="J8937">
        <f>IF(E8937="Outlook",COUNTIF($E$2:E8937,"Outlook"),"")</f>
        <v/>
      </c>
      <c r="K8937">
        <f>IF(E8937="Domain",COUNTIF($E$2:E8937,"Domain"),"")</f>
        <v/>
      </c>
    </row>
    <row r="8938">
      <c r="A8938" s="2" t="n"/>
      <c r="B8938">
        <f>LOWER(TRIM(A8938))</f>
        <v/>
      </c>
      <c r="C8938">
        <f>IF(B8938="","",IFERROR(INDEX('Bad Patterns'!$A$2:$A$120,MATCH(1,INDEX(--ISNUMBER(SEARCH('Bad Patterns'!$A$2:$A$120,B8938)),0),0)),""))</f>
        <v/>
      </c>
      <c r="D8938">
        <f>IF(B8938="","",IF(C8938&lt;&gt;"","REMOVE","KEEP"))</f>
        <v/>
      </c>
      <c r="E8938">
        <f>IF(D8938&lt;&gt;"KEEP","",IF(RIGHT(B8938,10)="@gmail.com","Gmail",IF(OR(RIGHT(B8938,12)="@outlook.com",RIGHT(B8938,12)="@hotmail.com",RIGHT(B8938,9)="@live.com"),"Outlook","Domain")))</f>
        <v/>
      </c>
      <c r="F8938">
        <f>IF(B8938="","",IFERROR(RIGHT(B8938,LEN(B8938)-FIND("@",B8938)),""))</f>
        <v/>
      </c>
      <c r="G8938">
        <f>IF(D8938="KEEP",COUNTIF($D$2:D8938,"KEEP"),"")</f>
        <v/>
      </c>
      <c r="H8938">
        <f>IF(D8938="REMOVE",COUNTIF($D$2:D8938,"REMOVE"),"")</f>
        <v/>
      </c>
      <c r="I8938">
        <f>IF(E8938="Gmail",COUNTIF($E$2:E8938,"Gmail"),"")</f>
        <v/>
      </c>
      <c r="J8938">
        <f>IF(E8938="Outlook",COUNTIF($E$2:E8938,"Outlook"),"")</f>
        <v/>
      </c>
      <c r="K8938">
        <f>IF(E8938="Domain",COUNTIF($E$2:E8938,"Domain"),"")</f>
        <v/>
      </c>
    </row>
    <row r="8939">
      <c r="A8939" s="2" t="n"/>
      <c r="B8939">
        <f>LOWER(TRIM(A8939))</f>
        <v/>
      </c>
      <c r="C8939">
        <f>IF(B8939="","",IFERROR(INDEX('Bad Patterns'!$A$2:$A$120,MATCH(1,INDEX(--ISNUMBER(SEARCH('Bad Patterns'!$A$2:$A$120,B8939)),0),0)),""))</f>
        <v/>
      </c>
      <c r="D8939">
        <f>IF(B8939="","",IF(C8939&lt;&gt;"","REMOVE","KEEP"))</f>
        <v/>
      </c>
      <c r="E8939">
        <f>IF(D8939&lt;&gt;"KEEP","",IF(RIGHT(B8939,10)="@gmail.com","Gmail",IF(OR(RIGHT(B8939,12)="@outlook.com",RIGHT(B8939,12)="@hotmail.com",RIGHT(B8939,9)="@live.com"),"Outlook","Domain")))</f>
        <v/>
      </c>
      <c r="F8939">
        <f>IF(B8939="","",IFERROR(RIGHT(B8939,LEN(B8939)-FIND("@",B8939)),""))</f>
        <v/>
      </c>
      <c r="G8939">
        <f>IF(D8939="KEEP",COUNTIF($D$2:D8939,"KEEP"),"")</f>
        <v/>
      </c>
      <c r="H8939">
        <f>IF(D8939="REMOVE",COUNTIF($D$2:D8939,"REMOVE"),"")</f>
        <v/>
      </c>
      <c r="I8939">
        <f>IF(E8939="Gmail",COUNTIF($E$2:E8939,"Gmail"),"")</f>
        <v/>
      </c>
      <c r="J8939">
        <f>IF(E8939="Outlook",COUNTIF($E$2:E8939,"Outlook"),"")</f>
        <v/>
      </c>
      <c r="K8939">
        <f>IF(E8939="Domain",COUNTIF($E$2:E8939,"Domain"),"")</f>
        <v/>
      </c>
    </row>
    <row r="8940">
      <c r="A8940" s="2" t="n"/>
      <c r="B8940">
        <f>LOWER(TRIM(A8940))</f>
        <v/>
      </c>
      <c r="C8940">
        <f>IF(B8940="","",IFERROR(INDEX('Bad Patterns'!$A$2:$A$120,MATCH(1,INDEX(--ISNUMBER(SEARCH('Bad Patterns'!$A$2:$A$120,B8940)),0),0)),""))</f>
        <v/>
      </c>
      <c r="D8940">
        <f>IF(B8940="","",IF(C8940&lt;&gt;"","REMOVE","KEEP"))</f>
        <v/>
      </c>
      <c r="E8940">
        <f>IF(D8940&lt;&gt;"KEEP","",IF(RIGHT(B8940,10)="@gmail.com","Gmail",IF(OR(RIGHT(B8940,12)="@outlook.com",RIGHT(B8940,12)="@hotmail.com",RIGHT(B8940,9)="@live.com"),"Outlook","Domain")))</f>
        <v/>
      </c>
      <c r="F8940">
        <f>IF(B8940="","",IFERROR(RIGHT(B8940,LEN(B8940)-FIND("@",B8940)),""))</f>
        <v/>
      </c>
      <c r="G8940">
        <f>IF(D8940="KEEP",COUNTIF($D$2:D8940,"KEEP"),"")</f>
        <v/>
      </c>
      <c r="H8940">
        <f>IF(D8940="REMOVE",COUNTIF($D$2:D8940,"REMOVE"),"")</f>
        <v/>
      </c>
      <c r="I8940">
        <f>IF(E8940="Gmail",COUNTIF($E$2:E8940,"Gmail"),"")</f>
        <v/>
      </c>
      <c r="J8940">
        <f>IF(E8940="Outlook",COUNTIF($E$2:E8940,"Outlook"),"")</f>
        <v/>
      </c>
      <c r="K8940">
        <f>IF(E8940="Domain",COUNTIF($E$2:E8940,"Domain"),"")</f>
        <v/>
      </c>
    </row>
    <row r="8941">
      <c r="A8941" s="2" t="n"/>
      <c r="B8941">
        <f>LOWER(TRIM(A8941))</f>
        <v/>
      </c>
      <c r="C8941">
        <f>IF(B8941="","",IFERROR(INDEX('Bad Patterns'!$A$2:$A$120,MATCH(1,INDEX(--ISNUMBER(SEARCH('Bad Patterns'!$A$2:$A$120,B8941)),0),0)),""))</f>
        <v/>
      </c>
      <c r="D8941">
        <f>IF(B8941="","",IF(C8941&lt;&gt;"","REMOVE","KEEP"))</f>
        <v/>
      </c>
      <c r="E8941">
        <f>IF(D8941&lt;&gt;"KEEP","",IF(RIGHT(B8941,10)="@gmail.com","Gmail",IF(OR(RIGHT(B8941,12)="@outlook.com",RIGHT(B8941,12)="@hotmail.com",RIGHT(B8941,9)="@live.com"),"Outlook","Domain")))</f>
        <v/>
      </c>
      <c r="F8941">
        <f>IF(B8941="","",IFERROR(RIGHT(B8941,LEN(B8941)-FIND("@",B8941)),""))</f>
        <v/>
      </c>
      <c r="G8941">
        <f>IF(D8941="KEEP",COUNTIF($D$2:D8941,"KEEP"),"")</f>
        <v/>
      </c>
      <c r="H8941">
        <f>IF(D8941="REMOVE",COUNTIF($D$2:D8941,"REMOVE"),"")</f>
        <v/>
      </c>
      <c r="I8941">
        <f>IF(E8941="Gmail",COUNTIF($E$2:E8941,"Gmail"),"")</f>
        <v/>
      </c>
      <c r="J8941">
        <f>IF(E8941="Outlook",COUNTIF($E$2:E8941,"Outlook"),"")</f>
        <v/>
      </c>
      <c r="K8941">
        <f>IF(E8941="Domain",COUNTIF($E$2:E8941,"Domain"),"")</f>
        <v/>
      </c>
    </row>
    <row r="8942">
      <c r="A8942" s="2" t="n"/>
      <c r="B8942">
        <f>LOWER(TRIM(A8942))</f>
        <v/>
      </c>
      <c r="C8942">
        <f>IF(B8942="","",IFERROR(INDEX('Bad Patterns'!$A$2:$A$120,MATCH(1,INDEX(--ISNUMBER(SEARCH('Bad Patterns'!$A$2:$A$120,B8942)),0),0)),""))</f>
        <v/>
      </c>
      <c r="D8942">
        <f>IF(B8942="","",IF(C8942&lt;&gt;"","REMOVE","KEEP"))</f>
        <v/>
      </c>
      <c r="E8942">
        <f>IF(D8942&lt;&gt;"KEEP","",IF(RIGHT(B8942,10)="@gmail.com","Gmail",IF(OR(RIGHT(B8942,12)="@outlook.com",RIGHT(B8942,12)="@hotmail.com",RIGHT(B8942,9)="@live.com"),"Outlook","Domain")))</f>
        <v/>
      </c>
      <c r="F8942">
        <f>IF(B8942="","",IFERROR(RIGHT(B8942,LEN(B8942)-FIND("@",B8942)),""))</f>
        <v/>
      </c>
      <c r="G8942">
        <f>IF(D8942="KEEP",COUNTIF($D$2:D8942,"KEEP"),"")</f>
        <v/>
      </c>
      <c r="H8942">
        <f>IF(D8942="REMOVE",COUNTIF($D$2:D8942,"REMOVE"),"")</f>
        <v/>
      </c>
      <c r="I8942">
        <f>IF(E8942="Gmail",COUNTIF($E$2:E8942,"Gmail"),"")</f>
        <v/>
      </c>
      <c r="J8942">
        <f>IF(E8942="Outlook",COUNTIF($E$2:E8942,"Outlook"),"")</f>
        <v/>
      </c>
      <c r="K8942">
        <f>IF(E8942="Domain",COUNTIF($E$2:E8942,"Domain"),"")</f>
        <v/>
      </c>
    </row>
    <row r="8943">
      <c r="A8943" s="2" t="n"/>
      <c r="B8943">
        <f>LOWER(TRIM(A8943))</f>
        <v/>
      </c>
      <c r="C8943">
        <f>IF(B8943="","",IFERROR(INDEX('Bad Patterns'!$A$2:$A$120,MATCH(1,INDEX(--ISNUMBER(SEARCH('Bad Patterns'!$A$2:$A$120,B8943)),0),0)),""))</f>
        <v/>
      </c>
      <c r="D8943">
        <f>IF(B8943="","",IF(C8943&lt;&gt;"","REMOVE","KEEP"))</f>
        <v/>
      </c>
      <c r="E8943">
        <f>IF(D8943&lt;&gt;"KEEP","",IF(RIGHT(B8943,10)="@gmail.com","Gmail",IF(OR(RIGHT(B8943,12)="@outlook.com",RIGHT(B8943,12)="@hotmail.com",RIGHT(B8943,9)="@live.com"),"Outlook","Domain")))</f>
        <v/>
      </c>
      <c r="F8943">
        <f>IF(B8943="","",IFERROR(RIGHT(B8943,LEN(B8943)-FIND("@",B8943)),""))</f>
        <v/>
      </c>
      <c r="G8943">
        <f>IF(D8943="KEEP",COUNTIF($D$2:D8943,"KEEP"),"")</f>
        <v/>
      </c>
      <c r="H8943">
        <f>IF(D8943="REMOVE",COUNTIF($D$2:D8943,"REMOVE"),"")</f>
        <v/>
      </c>
      <c r="I8943">
        <f>IF(E8943="Gmail",COUNTIF($E$2:E8943,"Gmail"),"")</f>
        <v/>
      </c>
      <c r="J8943">
        <f>IF(E8943="Outlook",COUNTIF($E$2:E8943,"Outlook"),"")</f>
        <v/>
      </c>
      <c r="K8943">
        <f>IF(E8943="Domain",COUNTIF($E$2:E8943,"Domain"),"")</f>
        <v/>
      </c>
    </row>
    <row r="8944">
      <c r="A8944" s="2" t="n"/>
      <c r="B8944">
        <f>LOWER(TRIM(A8944))</f>
        <v/>
      </c>
      <c r="C8944">
        <f>IF(B8944="","",IFERROR(INDEX('Bad Patterns'!$A$2:$A$120,MATCH(1,INDEX(--ISNUMBER(SEARCH('Bad Patterns'!$A$2:$A$120,B8944)),0),0)),""))</f>
        <v/>
      </c>
      <c r="D8944">
        <f>IF(B8944="","",IF(C8944&lt;&gt;"","REMOVE","KEEP"))</f>
        <v/>
      </c>
      <c r="E8944">
        <f>IF(D8944&lt;&gt;"KEEP","",IF(RIGHT(B8944,10)="@gmail.com","Gmail",IF(OR(RIGHT(B8944,12)="@outlook.com",RIGHT(B8944,12)="@hotmail.com",RIGHT(B8944,9)="@live.com"),"Outlook","Domain")))</f>
        <v/>
      </c>
      <c r="F8944">
        <f>IF(B8944="","",IFERROR(RIGHT(B8944,LEN(B8944)-FIND("@",B8944)),""))</f>
        <v/>
      </c>
      <c r="G8944">
        <f>IF(D8944="KEEP",COUNTIF($D$2:D8944,"KEEP"),"")</f>
        <v/>
      </c>
      <c r="H8944">
        <f>IF(D8944="REMOVE",COUNTIF($D$2:D8944,"REMOVE"),"")</f>
        <v/>
      </c>
      <c r="I8944">
        <f>IF(E8944="Gmail",COUNTIF($E$2:E8944,"Gmail"),"")</f>
        <v/>
      </c>
      <c r="J8944">
        <f>IF(E8944="Outlook",COUNTIF($E$2:E8944,"Outlook"),"")</f>
        <v/>
      </c>
      <c r="K8944">
        <f>IF(E8944="Domain",COUNTIF($E$2:E8944,"Domain"),"")</f>
        <v/>
      </c>
    </row>
    <row r="8945">
      <c r="A8945" s="2" t="n"/>
      <c r="B8945">
        <f>LOWER(TRIM(A8945))</f>
        <v/>
      </c>
      <c r="C8945">
        <f>IF(B8945="","",IFERROR(INDEX('Bad Patterns'!$A$2:$A$120,MATCH(1,INDEX(--ISNUMBER(SEARCH('Bad Patterns'!$A$2:$A$120,B8945)),0),0)),""))</f>
        <v/>
      </c>
      <c r="D8945">
        <f>IF(B8945="","",IF(C8945&lt;&gt;"","REMOVE","KEEP"))</f>
        <v/>
      </c>
      <c r="E8945">
        <f>IF(D8945&lt;&gt;"KEEP","",IF(RIGHT(B8945,10)="@gmail.com","Gmail",IF(OR(RIGHT(B8945,12)="@outlook.com",RIGHT(B8945,12)="@hotmail.com",RIGHT(B8945,9)="@live.com"),"Outlook","Domain")))</f>
        <v/>
      </c>
      <c r="F8945">
        <f>IF(B8945="","",IFERROR(RIGHT(B8945,LEN(B8945)-FIND("@",B8945)),""))</f>
        <v/>
      </c>
      <c r="G8945">
        <f>IF(D8945="KEEP",COUNTIF($D$2:D8945,"KEEP"),"")</f>
        <v/>
      </c>
      <c r="H8945">
        <f>IF(D8945="REMOVE",COUNTIF($D$2:D8945,"REMOVE"),"")</f>
        <v/>
      </c>
      <c r="I8945">
        <f>IF(E8945="Gmail",COUNTIF($E$2:E8945,"Gmail"),"")</f>
        <v/>
      </c>
      <c r="J8945">
        <f>IF(E8945="Outlook",COUNTIF($E$2:E8945,"Outlook"),"")</f>
        <v/>
      </c>
      <c r="K8945">
        <f>IF(E8945="Domain",COUNTIF($E$2:E8945,"Domain"),"")</f>
        <v/>
      </c>
    </row>
    <row r="8946">
      <c r="A8946" s="2" t="n"/>
      <c r="B8946">
        <f>LOWER(TRIM(A8946))</f>
        <v/>
      </c>
      <c r="C8946">
        <f>IF(B8946="","",IFERROR(INDEX('Bad Patterns'!$A$2:$A$120,MATCH(1,INDEX(--ISNUMBER(SEARCH('Bad Patterns'!$A$2:$A$120,B8946)),0),0)),""))</f>
        <v/>
      </c>
      <c r="D8946">
        <f>IF(B8946="","",IF(C8946&lt;&gt;"","REMOVE","KEEP"))</f>
        <v/>
      </c>
      <c r="E8946">
        <f>IF(D8946&lt;&gt;"KEEP","",IF(RIGHT(B8946,10)="@gmail.com","Gmail",IF(OR(RIGHT(B8946,12)="@outlook.com",RIGHT(B8946,12)="@hotmail.com",RIGHT(B8946,9)="@live.com"),"Outlook","Domain")))</f>
        <v/>
      </c>
      <c r="F8946">
        <f>IF(B8946="","",IFERROR(RIGHT(B8946,LEN(B8946)-FIND("@",B8946)),""))</f>
        <v/>
      </c>
      <c r="G8946">
        <f>IF(D8946="KEEP",COUNTIF($D$2:D8946,"KEEP"),"")</f>
        <v/>
      </c>
      <c r="H8946">
        <f>IF(D8946="REMOVE",COUNTIF($D$2:D8946,"REMOVE"),"")</f>
        <v/>
      </c>
      <c r="I8946">
        <f>IF(E8946="Gmail",COUNTIF($E$2:E8946,"Gmail"),"")</f>
        <v/>
      </c>
      <c r="J8946">
        <f>IF(E8946="Outlook",COUNTIF($E$2:E8946,"Outlook"),"")</f>
        <v/>
      </c>
      <c r="K8946">
        <f>IF(E8946="Domain",COUNTIF($E$2:E8946,"Domain"),"")</f>
        <v/>
      </c>
    </row>
    <row r="8947">
      <c r="A8947" s="2" t="n"/>
      <c r="B8947">
        <f>LOWER(TRIM(A8947))</f>
        <v/>
      </c>
      <c r="C8947">
        <f>IF(B8947="","",IFERROR(INDEX('Bad Patterns'!$A$2:$A$120,MATCH(1,INDEX(--ISNUMBER(SEARCH('Bad Patterns'!$A$2:$A$120,B8947)),0),0)),""))</f>
        <v/>
      </c>
      <c r="D8947">
        <f>IF(B8947="","",IF(C8947&lt;&gt;"","REMOVE","KEEP"))</f>
        <v/>
      </c>
      <c r="E8947">
        <f>IF(D8947&lt;&gt;"KEEP","",IF(RIGHT(B8947,10)="@gmail.com","Gmail",IF(OR(RIGHT(B8947,12)="@outlook.com",RIGHT(B8947,12)="@hotmail.com",RIGHT(B8947,9)="@live.com"),"Outlook","Domain")))</f>
        <v/>
      </c>
      <c r="F8947">
        <f>IF(B8947="","",IFERROR(RIGHT(B8947,LEN(B8947)-FIND("@",B8947)),""))</f>
        <v/>
      </c>
      <c r="G8947">
        <f>IF(D8947="KEEP",COUNTIF($D$2:D8947,"KEEP"),"")</f>
        <v/>
      </c>
      <c r="H8947">
        <f>IF(D8947="REMOVE",COUNTIF($D$2:D8947,"REMOVE"),"")</f>
        <v/>
      </c>
      <c r="I8947">
        <f>IF(E8947="Gmail",COUNTIF($E$2:E8947,"Gmail"),"")</f>
        <v/>
      </c>
      <c r="J8947">
        <f>IF(E8947="Outlook",COUNTIF($E$2:E8947,"Outlook"),"")</f>
        <v/>
      </c>
      <c r="K8947">
        <f>IF(E8947="Domain",COUNTIF($E$2:E8947,"Domain"),"")</f>
        <v/>
      </c>
    </row>
    <row r="8948">
      <c r="A8948" s="2" t="n"/>
      <c r="B8948">
        <f>LOWER(TRIM(A8948))</f>
        <v/>
      </c>
      <c r="C8948">
        <f>IF(B8948="","",IFERROR(INDEX('Bad Patterns'!$A$2:$A$120,MATCH(1,INDEX(--ISNUMBER(SEARCH('Bad Patterns'!$A$2:$A$120,B8948)),0),0)),""))</f>
        <v/>
      </c>
      <c r="D8948">
        <f>IF(B8948="","",IF(C8948&lt;&gt;"","REMOVE","KEEP"))</f>
        <v/>
      </c>
      <c r="E8948">
        <f>IF(D8948&lt;&gt;"KEEP","",IF(RIGHT(B8948,10)="@gmail.com","Gmail",IF(OR(RIGHT(B8948,12)="@outlook.com",RIGHT(B8948,12)="@hotmail.com",RIGHT(B8948,9)="@live.com"),"Outlook","Domain")))</f>
        <v/>
      </c>
      <c r="F8948">
        <f>IF(B8948="","",IFERROR(RIGHT(B8948,LEN(B8948)-FIND("@",B8948)),""))</f>
        <v/>
      </c>
      <c r="G8948">
        <f>IF(D8948="KEEP",COUNTIF($D$2:D8948,"KEEP"),"")</f>
        <v/>
      </c>
      <c r="H8948">
        <f>IF(D8948="REMOVE",COUNTIF($D$2:D8948,"REMOVE"),"")</f>
        <v/>
      </c>
      <c r="I8948">
        <f>IF(E8948="Gmail",COUNTIF($E$2:E8948,"Gmail"),"")</f>
        <v/>
      </c>
      <c r="J8948">
        <f>IF(E8948="Outlook",COUNTIF($E$2:E8948,"Outlook"),"")</f>
        <v/>
      </c>
      <c r="K8948">
        <f>IF(E8948="Domain",COUNTIF($E$2:E8948,"Domain"),"")</f>
        <v/>
      </c>
    </row>
    <row r="8949">
      <c r="A8949" s="2" t="n"/>
      <c r="B8949">
        <f>LOWER(TRIM(A8949))</f>
        <v/>
      </c>
      <c r="C8949">
        <f>IF(B8949="","",IFERROR(INDEX('Bad Patterns'!$A$2:$A$120,MATCH(1,INDEX(--ISNUMBER(SEARCH('Bad Patterns'!$A$2:$A$120,B8949)),0),0)),""))</f>
        <v/>
      </c>
      <c r="D8949">
        <f>IF(B8949="","",IF(C8949&lt;&gt;"","REMOVE","KEEP"))</f>
        <v/>
      </c>
      <c r="E8949">
        <f>IF(D8949&lt;&gt;"KEEP","",IF(RIGHT(B8949,10)="@gmail.com","Gmail",IF(OR(RIGHT(B8949,12)="@outlook.com",RIGHT(B8949,12)="@hotmail.com",RIGHT(B8949,9)="@live.com"),"Outlook","Domain")))</f>
        <v/>
      </c>
      <c r="F8949">
        <f>IF(B8949="","",IFERROR(RIGHT(B8949,LEN(B8949)-FIND("@",B8949)),""))</f>
        <v/>
      </c>
      <c r="G8949">
        <f>IF(D8949="KEEP",COUNTIF($D$2:D8949,"KEEP"),"")</f>
        <v/>
      </c>
      <c r="H8949">
        <f>IF(D8949="REMOVE",COUNTIF($D$2:D8949,"REMOVE"),"")</f>
        <v/>
      </c>
      <c r="I8949">
        <f>IF(E8949="Gmail",COUNTIF($E$2:E8949,"Gmail"),"")</f>
        <v/>
      </c>
      <c r="J8949">
        <f>IF(E8949="Outlook",COUNTIF($E$2:E8949,"Outlook"),"")</f>
        <v/>
      </c>
      <c r="K8949">
        <f>IF(E8949="Domain",COUNTIF($E$2:E8949,"Domain"),"")</f>
        <v/>
      </c>
    </row>
    <row r="8950">
      <c r="A8950" s="2" t="n"/>
      <c r="B8950">
        <f>LOWER(TRIM(A8950))</f>
        <v/>
      </c>
      <c r="C8950">
        <f>IF(B8950="","",IFERROR(INDEX('Bad Patterns'!$A$2:$A$120,MATCH(1,INDEX(--ISNUMBER(SEARCH('Bad Patterns'!$A$2:$A$120,B8950)),0),0)),""))</f>
        <v/>
      </c>
      <c r="D8950">
        <f>IF(B8950="","",IF(C8950&lt;&gt;"","REMOVE","KEEP"))</f>
        <v/>
      </c>
      <c r="E8950">
        <f>IF(D8950&lt;&gt;"KEEP","",IF(RIGHT(B8950,10)="@gmail.com","Gmail",IF(OR(RIGHT(B8950,12)="@outlook.com",RIGHT(B8950,12)="@hotmail.com",RIGHT(B8950,9)="@live.com"),"Outlook","Domain")))</f>
        <v/>
      </c>
      <c r="F8950">
        <f>IF(B8950="","",IFERROR(RIGHT(B8950,LEN(B8950)-FIND("@",B8950)),""))</f>
        <v/>
      </c>
      <c r="G8950">
        <f>IF(D8950="KEEP",COUNTIF($D$2:D8950,"KEEP"),"")</f>
        <v/>
      </c>
      <c r="H8950">
        <f>IF(D8950="REMOVE",COUNTIF($D$2:D8950,"REMOVE"),"")</f>
        <v/>
      </c>
      <c r="I8950">
        <f>IF(E8950="Gmail",COUNTIF($E$2:E8950,"Gmail"),"")</f>
        <v/>
      </c>
      <c r="J8950">
        <f>IF(E8950="Outlook",COUNTIF($E$2:E8950,"Outlook"),"")</f>
        <v/>
      </c>
      <c r="K8950">
        <f>IF(E8950="Domain",COUNTIF($E$2:E8950,"Domain"),"")</f>
        <v/>
      </c>
    </row>
    <row r="8951">
      <c r="A8951" s="2" t="n"/>
      <c r="B8951">
        <f>LOWER(TRIM(A8951))</f>
        <v/>
      </c>
      <c r="C8951">
        <f>IF(B8951="","",IFERROR(INDEX('Bad Patterns'!$A$2:$A$120,MATCH(1,INDEX(--ISNUMBER(SEARCH('Bad Patterns'!$A$2:$A$120,B8951)),0),0)),""))</f>
        <v/>
      </c>
      <c r="D8951">
        <f>IF(B8951="","",IF(C8951&lt;&gt;"","REMOVE","KEEP"))</f>
        <v/>
      </c>
      <c r="E8951">
        <f>IF(D8951&lt;&gt;"KEEP","",IF(RIGHT(B8951,10)="@gmail.com","Gmail",IF(OR(RIGHT(B8951,12)="@outlook.com",RIGHT(B8951,12)="@hotmail.com",RIGHT(B8951,9)="@live.com"),"Outlook","Domain")))</f>
        <v/>
      </c>
      <c r="F8951">
        <f>IF(B8951="","",IFERROR(RIGHT(B8951,LEN(B8951)-FIND("@",B8951)),""))</f>
        <v/>
      </c>
      <c r="G8951">
        <f>IF(D8951="KEEP",COUNTIF($D$2:D8951,"KEEP"),"")</f>
        <v/>
      </c>
      <c r="H8951">
        <f>IF(D8951="REMOVE",COUNTIF($D$2:D8951,"REMOVE"),"")</f>
        <v/>
      </c>
      <c r="I8951">
        <f>IF(E8951="Gmail",COUNTIF($E$2:E8951,"Gmail"),"")</f>
        <v/>
      </c>
      <c r="J8951">
        <f>IF(E8951="Outlook",COUNTIF($E$2:E8951,"Outlook"),"")</f>
        <v/>
      </c>
      <c r="K8951">
        <f>IF(E8951="Domain",COUNTIF($E$2:E8951,"Domain"),"")</f>
        <v/>
      </c>
    </row>
    <row r="8952">
      <c r="A8952" s="2" t="n"/>
      <c r="B8952">
        <f>LOWER(TRIM(A8952))</f>
        <v/>
      </c>
      <c r="C8952">
        <f>IF(B8952="","",IFERROR(INDEX('Bad Patterns'!$A$2:$A$120,MATCH(1,INDEX(--ISNUMBER(SEARCH('Bad Patterns'!$A$2:$A$120,B8952)),0),0)),""))</f>
        <v/>
      </c>
      <c r="D8952">
        <f>IF(B8952="","",IF(C8952&lt;&gt;"","REMOVE","KEEP"))</f>
        <v/>
      </c>
      <c r="E8952">
        <f>IF(D8952&lt;&gt;"KEEP","",IF(RIGHT(B8952,10)="@gmail.com","Gmail",IF(OR(RIGHT(B8952,12)="@outlook.com",RIGHT(B8952,12)="@hotmail.com",RIGHT(B8952,9)="@live.com"),"Outlook","Domain")))</f>
        <v/>
      </c>
      <c r="F8952">
        <f>IF(B8952="","",IFERROR(RIGHT(B8952,LEN(B8952)-FIND("@",B8952)),""))</f>
        <v/>
      </c>
      <c r="G8952">
        <f>IF(D8952="KEEP",COUNTIF($D$2:D8952,"KEEP"),"")</f>
        <v/>
      </c>
      <c r="H8952">
        <f>IF(D8952="REMOVE",COUNTIF($D$2:D8952,"REMOVE"),"")</f>
        <v/>
      </c>
      <c r="I8952">
        <f>IF(E8952="Gmail",COUNTIF($E$2:E8952,"Gmail"),"")</f>
        <v/>
      </c>
      <c r="J8952">
        <f>IF(E8952="Outlook",COUNTIF($E$2:E8952,"Outlook"),"")</f>
        <v/>
      </c>
      <c r="K8952">
        <f>IF(E8952="Domain",COUNTIF($E$2:E8952,"Domain"),"")</f>
        <v/>
      </c>
    </row>
    <row r="8953">
      <c r="A8953" s="2" t="n"/>
      <c r="B8953">
        <f>LOWER(TRIM(A8953))</f>
        <v/>
      </c>
      <c r="C8953">
        <f>IF(B8953="","",IFERROR(INDEX('Bad Patterns'!$A$2:$A$120,MATCH(1,INDEX(--ISNUMBER(SEARCH('Bad Patterns'!$A$2:$A$120,B8953)),0),0)),""))</f>
        <v/>
      </c>
      <c r="D8953">
        <f>IF(B8953="","",IF(C8953&lt;&gt;"","REMOVE","KEEP"))</f>
        <v/>
      </c>
      <c r="E8953">
        <f>IF(D8953&lt;&gt;"KEEP","",IF(RIGHT(B8953,10)="@gmail.com","Gmail",IF(OR(RIGHT(B8953,12)="@outlook.com",RIGHT(B8953,12)="@hotmail.com",RIGHT(B8953,9)="@live.com"),"Outlook","Domain")))</f>
        <v/>
      </c>
      <c r="F8953">
        <f>IF(B8953="","",IFERROR(RIGHT(B8953,LEN(B8953)-FIND("@",B8953)),""))</f>
        <v/>
      </c>
      <c r="G8953">
        <f>IF(D8953="KEEP",COUNTIF($D$2:D8953,"KEEP"),"")</f>
        <v/>
      </c>
      <c r="H8953">
        <f>IF(D8953="REMOVE",COUNTIF($D$2:D8953,"REMOVE"),"")</f>
        <v/>
      </c>
      <c r="I8953">
        <f>IF(E8953="Gmail",COUNTIF($E$2:E8953,"Gmail"),"")</f>
        <v/>
      </c>
      <c r="J8953">
        <f>IF(E8953="Outlook",COUNTIF($E$2:E8953,"Outlook"),"")</f>
        <v/>
      </c>
      <c r="K8953">
        <f>IF(E8953="Domain",COUNTIF($E$2:E8953,"Domain"),"")</f>
        <v/>
      </c>
    </row>
    <row r="8954">
      <c r="A8954" s="2" t="n"/>
      <c r="B8954">
        <f>LOWER(TRIM(A8954))</f>
        <v/>
      </c>
      <c r="C8954">
        <f>IF(B8954="","",IFERROR(INDEX('Bad Patterns'!$A$2:$A$120,MATCH(1,INDEX(--ISNUMBER(SEARCH('Bad Patterns'!$A$2:$A$120,B8954)),0),0)),""))</f>
        <v/>
      </c>
      <c r="D8954">
        <f>IF(B8954="","",IF(C8954&lt;&gt;"","REMOVE","KEEP"))</f>
        <v/>
      </c>
      <c r="E8954">
        <f>IF(D8954&lt;&gt;"KEEP","",IF(RIGHT(B8954,10)="@gmail.com","Gmail",IF(OR(RIGHT(B8954,12)="@outlook.com",RIGHT(B8954,12)="@hotmail.com",RIGHT(B8954,9)="@live.com"),"Outlook","Domain")))</f>
        <v/>
      </c>
      <c r="F8954">
        <f>IF(B8954="","",IFERROR(RIGHT(B8954,LEN(B8954)-FIND("@",B8954)),""))</f>
        <v/>
      </c>
      <c r="G8954">
        <f>IF(D8954="KEEP",COUNTIF($D$2:D8954,"KEEP"),"")</f>
        <v/>
      </c>
      <c r="H8954">
        <f>IF(D8954="REMOVE",COUNTIF($D$2:D8954,"REMOVE"),"")</f>
        <v/>
      </c>
      <c r="I8954">
        <f>IF(E8954="Gmail",COUNTIF($E$2:E8954,"Gmail"),"")</f>
        <v/>
      </c>
      <c r="J8954">
        <f>IF(E8954="Outlook",COUNTIF($E$2:E8954,"Outlook"),"")</f>
        <v/>
      </c>
      <c r="K8954">
        <f>IF(E8954="Domain",COUNTIF($E$2:E8954,"Domain"),"")</f>
        <v/>
      </c>
    </row>
    <row r="8955">
      <c r="A8955" s="2" t="n"/>
      <c r="B8955">
        <f>LOWER(TRIM(A8955))</f>
        <v/>
      </c>
      <c r="C8955">
        <f>IF(B8955="","",IFERROR(INDEX('Bad Patterns'!$A$2:$A$120,MATCH(1,INDEX(--ISNUMBER(SEARCH('Bad Patterns'!$A$2:$A$120,B8955)),0),0)),""))</f>
        <v/>
      </c>
      <c r="D8955">
        <f>IF(B8955="","",IF(C8955&lt;&gt;"","REMOVE","KEEP"))</f>
        <v/>
      </c>
      <c r="E8955">
        <f>IF(D8955&lt;&gt;"KEEP","",IF(RIGHT(B8955,10)="@gmail.com","Gmail",IF(OR(RIGHT(B8955,12)="@outlook.com",RIGHT(B8955,12)="@hotmail.com",RIGHT(B8955,9)="@live.com"),"Outlook","Domain")))</f>
        <v/>
      </c>
      <c r="F8955">
        <f>IF(B8955="","",IFERROR(RIGHT(B8955,LEN(B8955)-FIND("@",B8955)),""))</f>
        <v/>
      </c>
      <c r="G8955">
        <f>IF(D8955="KEEP",COUNTIF($D$2:D8955,"KEEP"),"")</f>
        <v/>
      </c>
      <c r="H8955">
        <f>IF(D8955="REMOVE",COUNTIF($D$2:D8955,"REMOVE"),"")</f>
        <v/>
      </c>
      <c r="I8955">
        <f>IF(E8955="Gmail",COUNTIF($E$2:E8955,"Gmail"),"")</f>
        <v/>
      </c>
      <c r="J8955">
        <f>IF(E8955="Outlook",COUNTIF($E$2:E8955,"Outlook"),"")</f>
        <v/>
      </c>
      <c r="K8955">
        <f>IF(E8955="Domain",COUNTIF($E$2:E8955,"Domain"),"")</f>
        <v/>
      </c>
    </row>
    <row r="8956">
      <c r="A8956" s="2" t="n"/>
      <c r="B8956">
        <f>LOWER(TRIM(A8956))</f>
        <v/>
      </c>
      <c r="C8956">
        <f>IF(B8956="","",IFERROR(INDEX('Bad Patterns'!$A$2:$A$120,MATCH(1,INDEX(--ISNUMBER(SEARCH('Bad Patterns'!$A$2:$A$120,B8956)),0),0)),""))</f>
        <v/>
      </c>
      <c r="D8956">
        <f>IF(B8956="","",IF(C8956&lt;&gt;"","REMOVE","KEEP"))</f>
        <v/>
      </c>
      <c r="E8956">
        <f>IF(D8956&lt;&gt;"KEEP","",IF(RIGHT(B8956,10)="@gmail.com","Gmail",IF(OR(RIGHT(B8956,12)="@outlook.com",RIGHT(B8956,12)="@hotmail.com",RIGHT(B8956,9)="@live.com"),"Outlook","Domain")))</f>
        <v/>
      </c>
      <c r="F8956">
        <f>IF(B8956="","",IFERROR(RIGHT(B8956,LEN(B8956)-FIND("@",B8956)),""))</f>
        <v/>
      </c>
      <c r="G8956">
        <f>IF(D8956="KEEP",COUNTIF($D$2:D8956,"KEEP"),"")</f>
        <v/>
      </c>
      <c r="H8956">
        <f>IF(D8956="REMOVE",COUNTIF($D$2:D8956,"REMOVE"),"")</f>
        <v/>
      </c>
      <c r="I8956">
        <f>IF(E8956="Gmail",COUNTIF($E$2:E8956,"Gmail"),"")</f>
        <v/>
      </c>
      <c r="J8956">
        <f>IF(E8956="Outlook",COUNTIF($E$2:E8956,"Outlook"),"")</f>
        <v/>
      </c>
      <c r="K8956">
        <f>IF(E8956="Domain",COUNTIF($E$2:E8956,"Domain"),"")</f>
        <v/>
      </c>
    </row>
    <row r="8957">
      <c r="A8957" s="2" t="n"/>
      <c r="B8957">
        <f>LOWER(TRIM(A8957))</f>
        <v/>
      </c>
      <c r="C8957">
        <f>IF(B8957="","",IFERROR(INDEX('Bad Patterns'!$A$2:$A$120,MATCH(1,INDEX(--ISNUMBER(SEARCH('Bad Patterns'!$A$2:$A$120,B8957)),0),0)),""))</f>
        <v/>
      </c>
      <c r="D8957">
        <f>IF(B8957="","",IF(C8957&lt;&gt;"","REMOVE","KEEP"))</f>
        <v/>
      </c>
      <c r="E8957">
        <f>IF(D8957&lt;&gt;"KEEP","",IF(RIGHT(B8957,10)="@gmail.com","Gmail",IF(OR(RIGHT(B8957,12)="@outlook.com",RIGHT(B8957,12)="@hotmail.com",RIGHT(B8957,9)="@live.com"),"Outlook","Domain")))</f>
        <v/>
      </c>
      <c r="F8957">
        <f>IF(B8957="","",IFERROR(RIGHT(B8957,LEN(B8957)-FIND("@",B8957)),""))</f>
        <v/>
      </c>
      <c r="G8957">
        <f>IF(D8957="KEEP",COUNTIF($D$2:D8957,"KEEP"),"")</f>
        <v/>
      </c>
      <c r="H8957">
        <f>IF(D8957="REMOVE",COUNTIF($D$2:D8957,"REMOVE"),"")</f>
        <v/>
      </c>
      <c r="I8957">
        <f>IF(E8957="Gmail",COUNTIF($E$2:E8957,"Gmail"),"")</f>
        <v/>
      </c>
      <c r="J8957">
        <f>IF(E8957="Outlook",COUNTIF($E$2:E8957,"Outlook"),"")</f>
        <v/>
      </c>
      <c r="K8957">
        <f>IF(E8957="Domain",COUNTIF($E$2:E8957,"Domain"),"")</f>
        <v/>
      </c>
    </row>
    <row r="8958">
      <c r="A8958" s="2" t="n"/>
      <c r="B8958">
        <f>LOWER(TRIM(A8958))</f>
        <v/>
      </c>
      <c r="C8958">
        <f>IF(B8958="","",IFERROR(INDEX('Bad Patterns'!$A$2:$A$120,MATCH(1,INDEX(--ISNUMBER(SEARCH('Bad Patterns'!$A$2:$A$120,B8958)),0),0)),""))</f>
        <v/>
      </c>
      <c r="D8958">
        <f>IF(B8958="","",IF(C8958&lt;&gt;"","REMOVE","KEEP"))</f>
        <v/>
      </c>
      <c r="E8958">
        <f>IF(D8958&lt;&gt;"KEEP","",IF(RIGHT(B8958,10)="@gmail.com","Gmail",IF(OR(RIGHT(B8958,12)="@outlook.com",RIGHT(B8958,12)="@hotmail.com",RIGHT(B8958,9)="@live.com"),"Outlook","Domain")))</f>
        <v/>
      </c>
      <c r="F8958">
        <f>IF(B8958="","",IFERROR(RIGHT(B8958,LEN(B8958)-FIND("@",B8958)),""))</f>
        <v/>
      </c>
      <c r="G8958">
        <f>IF(D8958="KEEP",COUNTIF($D$2:D8958,"KEEP"),"")</f>
        <v/>
      </c>
      <c r="H8958">
        <f>IF(D8958="REMOVE",COUNTIF($D$2:D8958,"REMOVE"),"")</f>
        <v/>
      </c>
      <c r="I8958">
        <f>IF(E8958="Gmail",COUNTIF($E$2:E8958,"Gmail"),"")</f>
        <v/>
      </c>
      <c r="J8958">
        <f>IF(E8958="Outlook",COUNTIF($E$2:E8958,"Outlook"),"")</f>
        <v/>
      </c>
      <c r="K8958">
        <f>IF(E8958="Domain",COUNTIF($E$2:E8958,"Domain"),"")</f>
        <v/>
      </c>
    </row>
    <row r="8959">
      <c r="A8959" s="2" t="n"/>
      <c r="B8959">
        <f>LOWER(TRIM(A8959))</f>
        <v/>
      </c>
      <c r="C8959">
        <f>IF(B8959="","",IFERROR(INDEX('Bad Patterns'!$A$2:$A$120,MATCH(1,INDEX(--ISNUMBER(SEARCH('Bad Patterns'!$A$2:$A$120,B8959)),0),0)),""))</f>
        <v/>
      </c>
      <c r="D8959">
        <f>IF(B8959="","",IF(C8959&lt;&gt;"","REMOVE","KEEP"))</f>
        <v/>
      </c>
      <c r="E8959">
        <f>IF(D8959&lt;&gt;"KEEP","",IF(RIGHT(B8959,10)="@gmail.com","Gmail",IF(OR(RIGHT(B8959,12)="@outlook.com",RIGHT(B8959,12)="@hotmail.com",RIGHT(B8959,9)="@live.com"),"Outlook","Domain")))</f>
        <v/>
      </c>
      <c r="F8959">
        <f>IF(B8959="","",IFERROR(RIGHT(B8959,LEN(B8959)-FIND("@",B8959)),""))</f>
        <v/>
      </c>
      <c r="G8959">
        <f>IF(D8959="KEEP",COUNTIF($D$2:D8959,"KEEP"),"")</f>
        <v/>
      </c>
      <c r="H8959">
        <f>IF(D8959="REMOVE",COUNTIF($D$2:D8959,"REMOVE"),"")</f>
        <v/>
      </c>
      <c r="I8959">
        <f>IF(E8959="Gmail",COUNTIF($E$2:E8959,"Gmail"),"")</f>
        <v/>
      </c>
      <c r="J8959">
        <f>IF(E8959="Outlook",COUNTIF($E$2:E8959,"Outlook"),"")</f>
        <v/>
      </c>
      <c r="K8959">
        <f>IF(E8959="Domain",COUNTIF($E$2:E8959,"Domain"),"")</f>
        <v/>
      </c>
    </row>
    <row r="8960">
      <c r="A8960" s="2" t="n"/>
      <c r="B8960">
        <f>LOWER(TRIM(A8960))</f>
        <v/>
      </c>
      <c r="C8960">
        <f>IF(B8960="","",IFERROR(INDEX('Bad Patterns'!$A$2:$A$120,MATCH(1,INDEX(--ISNUMBER(SEARCH('Bad Patterns'!$A$2:$A$120,B8960)),0),0)),""))</f>
        <v/>
      </c>
      <c r="D8960">
        <f>IF(B8960="","",IF(C8960&lt;&gt;"","REMOVE","KEEP"))</f>
        <v/>
      </c>
      <c r="E8960">
        <f>IF(D8960&lt;&gt;"KEEP","",IF(RIGHT(B8960,10)="@gmail.com","Gmail",IF(OR(RIGHT(B8960,12)="@outlook.com",RIGHT(B8960,12)="@hotmail.com",RIGHT(B8960,9)="@live.com"),"Outlook","Domain")))</f>
        <v/>
      </c>
      <c r="F8960">
        <f>IF(B8960="","",IFERROR(RIGHT(B8960,LEN(B8960)-FIND("@",B8960)),""))</f>
        <v/>
      </c>
      <c r="G8960">
        <f>IF(D8960="KEEP",COUNTIF($D$2:D8960,"KEEP"),"")</f>
        <v/>
      </c>
      <c r="H8960">
        <f>IF(D8960="REMOVE",COUNTIF($D$2:D8960,"REMOVE"),"")</f>
        <v/>
      </c>
      <c r="I8960">
        <f>IF(E8960="Gmail",COUNTIF($E$2:E8960,"Gmail"),"")</f>
        <v/>
      </c>
      <c r="J8960">
        <f>IF(E8960="Outlook",COUNTIF($E$2:E8960,"Outlook"),"")</f>
        <v/>
      </c>
      <c r="K8960">
        <f>IF(E8960="Domain",COUNTIF($E$2:E8960,"Domain"),"")</f>
        <v/>
      </c>
    </row>
    <row r="8961">
      <c r="A8961" s="2" t="n"/>
      <c r="B8961">
        <f>LOWER(TRIM(A8961))</f>
        <v/>
      </c>
      <c r="C8961">
        <f>IF(B8961="","",IFERROR(INDEX('Bad Patterns'!$A$2:$A$120,MATCH(1,INDEX(--ISNUMBER(SEARCH('Bad Patterns'!$A$2:$A$120,B8961)),0),0)),""))</f>
        <v/>
      </c>
      <c r="D8961">
        <f>IF(B8961="","",IF(C8961&lt;&gt;"","REMOVE","KEEP"))</f>
        <v/>
      </c>
      <c r="E8961">
        <f>IF(D8961&lt;&gt;"KEEP","",IF(RIGHT(B8961,10)="@gmail.com","Gmail",IF(OR(RIGHT(B8961,12)="@outlook.com",RIGHT(B8961,12)="@hotmail.com",RIGHT(B8961,9)="@live.com"),"Outlook","Domain")))</f>
        <v/>
      </c>
      <c r="F8961">
        <f>IF(B8961="","",IFERROR(RIGHT(B8961,LEN(B8961)-FIND("@",B8961)),""))</f>
        <v/>
      </c>
      <c r="G8961">
        <f>IF(D8961="KEEP",COUNTIF($D$2:D8961,"KEEP"),"")</f>
        <v/>
      </c>
      <c r="H8961">
        <f>IF(D8961="REMOVE",COUNTIF($D$2:D8961,"REMOVE"),"")</f>
        <v/>
      </c>
      <c r="I8961">
        <f>IF(E8961="Gmail",COUNTIF($E$2:E8961,"Gmail"),"")</f>
        <v/>
      </c>
      <c r="J8961">
        <f>IF(E8961="Outlook",COUNTIF($E$2:E8961,"Outlook"),"")</f>
        <v/>
      </c>
      <c r="K8961">
        <f>IF(E8961="Domain",COUNTIF($E$2:E8961,"Domain"),"")</f>
        <v/>
      </c>
    </row>
    <row r="8962">
      <c r="A8962" s="2" t="n"/>
      <c r="B8962">
        <f>LOWER(TRIM(A8962))</f>
        <v/>
      </c>
      <c r="C8962">
        <f>IF(B8962="","",IFERROR(INDEX('Bad Patterns'!$A$2:$A$120,MATCH(1,INDEX(--ISNUMBER(SEARCH('Bad Patterns'!$A$2:$A$120,B8962)),0),0)),""))</f>
        <v/>
      </c>
      <c r="D8962">
        <f>IF(B8962="","",IF(C8962&lt;&gt;"","REMOVE","KEEP"))</f>
        <v/>
      </c>
      <c r="E8962">
        <f>IF(D8962&lt;&gt;"KEEP","",IF(RIGHT(B8962,10)="@gmail.com","Gmail",IF(OR(RIGHT(B8962,12)="@outlook.com",RIGHT(B8962,12)="@hotmail.com",RIGHT(B8962,9)="@live.com"),"Outlook","Domain")))</f>
        <v/>
      </c>
      <c r="F8962">
        <f>IF(B8962="","",IFERROR(RIGHT(B8962,LEN(B8962)-FIND("@",B8962)),""))</f>
        <v/>
      </c>
      <c r="G8962">
        <f>IF(D8962="KEEP",COUNTIF($D$2:D8962,"KEEP"),"")</f>
        <v/>
      </c>
      <c r="H8962">
        <f>IF(D8962="REMOVE",COUNTIF($D$2:D8962,"REMOVE"),"")</f>
        <v/>
      </c>
      <c r="I8962">
        <f>IF(E8962="Gmail",COUNTIF($E$2:E8962,"Gmail"),"")</f>
        <v/>
      </c>
      <c r="J8962">
        <f>IF(E8962="Outlook",COUNTIF($E$2:E8962,"Outlook"),"")</f>
        <v/>
      </c>
      <c r="K8962">
        <f>IF(E8962="Domain",COUNTIF($E$2:E8962,"Domain"),"")</f>
        <v/>
      </c>
    </row>
    <row r="8963">
      <c r="A8963" s="2" t="n"/>
      <c r="B8963">
        <f>LOWER(TRIM(A8963))</f>
        <v/>
      </c>
      <c r="C8963">
        <f>IF(B8963="","",IFERROR(INDEX('Bad Patterns'!$A$2:$A$120,MATCH(1,INDEX(--ISNUMBER(SEARCH('Bad Patterns'!$A$2:$A$120,B8963)),0),0)),""))</f>
        <v/>
      </c>
      <c r="D8963">
        <f>IF(B8963="","",IF(C8963&lt;&gt;"","REMOVE","KEEP"))</f>
        <v/>
      </c>
      <c r="E8963">
        <f>IF(D8963&lt;&gt;"KEEP","",IF(RIGHT(B8963,10)="@gmail.com","Gmail",IF(OR(RIGHT(B8963,12)="@outlook.com",RIGHT(B8963,12)="@hotmail.com",RIGHT(B8963,9)="@live.com"),"Outlook","Domain")))</f>
        <v/>
      </c>
      <c r="F8963">
        <f>IF(B8963="","",IFERROR(RIGHT(B8963,LEN(B8963)-FIND("@",B8963)),""))</f>
        <v/>
      </c>
      <c r="G8963">
        <f>IF(D8963="KEEP",COUNTIF($D$2:D8963,"KEEP"),"")</f>
        <v/>
      </c>
      <c r="H8963">
        <f>IF(D8963="REMOVE",COUNTIF($D$2:D8963,"REMOVE"),"")</f>
        <v/>
      </c>
      <c r="I8963">
        <f>IF(E8963="Gmail",COUNTIF($E$2:E8963,"Gmail"),"")</f>
        <v/>
      </c>
      <c r="J8963">
        <f>IF(E8963="Outlook",COUNTIF($E$2:E8963,"Outlook"),"")</f>
        <v/>
      </c>
      <c r="K8963">
        <f>IF(E8963="Domain",COUNTIF($E$2:E8963,"Domain"),"")</f>
        <v/>
      </c>
    </row>
    <row r="8964">
      <c r="A8964" s="2" t="n"/>
      <c r="B8964">
        <f>LOWER(TRIM(A8964))</f>
        <v/>
      </c>
      <c r="C8964">
        <f>IF(B8964="","",IFERROR(INDEX('Bad Patterns'!$A$2:$A$120,MATCH(1,INDEX(--ISNUMBER(SEARCH('Bad Patterns'!$A$2:$A$120,B8964)),0),0)),""))</f>
        <v/>
      </c>
      <c r="D8964">
        <f>IF(B8964="","",IF(C8964&lt;&gt;"","REMOVE","KEEP"))</f>
        <v/>
      </c>
      <c r="E8964">
        <f>IF(D8964&lt;&gt;"KEEP","",IF(RIGHT(B8964,10)="@gmail.com","Gmail",IF(OR(RIGHT(B8964,12)="@outlook.com",RIGHT(B8964,12)="@hotmail.com",RIGHT(B8964,9)="@live.com"),"Outlook","Domain")))</f>
        <v/>
      </c>
      <c r="F8964">
        <f>IF(B8964="","",IFERROR(RIGHT(B8964,LEN(B8964)-FIND("@",B8964)),""))</f>
        <v/>
      </c>
      <c r="G8964">
        <f>IF(D8964="KEEP",COUNTIF($D$2:D8964,"KEEP"),"")</f>
        <v/>
      </c>
      <c r="H8964">
        <f>IF(D8964="REMOVE",COUNTIF($D$2:D8964,"REMOVE"),"")</f>
        <v/>
      </c>
      <c r="I8964">
        <f>IF(E8964="Gmail",COUNTIF($E$2:E8964,"Gmail"),"")</f>
        <v/>
      </c>
      <c r="J8964">
        <f>IF(E8964="Outlook",COUNTIF($E$2:E8964,"Outlook"),"")</f>
        <v/>
      </c>
      <c r="K8964">
        <f>IF(E8964="Domain",COUNTIF($E$2:E8964,"Domain"),"")</f>
        <v/>
      </c>
    </row>
    <row r="8965">
      <c r="A8965" s="2" t="n"/>
      <c r="B8965">
        <f>LOWER(TRIM(A8965))</f>
        <v/>
      </c>
      <c r="C8965">
        <f>IF(B8965="","",IFERROR(INDEX('Bad Patterns'!$A$2:$A$120,MATCH(1,INDEX(--ISNUMBER(SEARCH('Bad Patterns'!$A$2:$A$120,B8965)),0),0)),""))</f>
        <v/>
      </c>
      <c r="D8965">
        <f>IF(B8965="","",IF(C8965&lt;&gt;"","REMOVE","KEEP"))</f>
        <v/>
      </c>
      <c r="E8965">
        <f>IF(D8965&lt;&gt;"KEEP","",IF(RIGHT(B8965,10)="@gmail.com","Gmail",IF(OR(RIGHT(B8965,12)="@outlook.com",RIGHT(B8965,12)="@hotmail.com",RIGHT(B8965,9)="@live.com"),"Outlook","Domain")))</f>
        <v/>
      </c>
      <c r="F8965">
        <f>IF(B8965="","",IFERROR(RIGHT(B8965,LEN(B8965)-FIND("@",B8965)),""))</f>
        <v/>
      </c>
      <c r="G8965">
        <f>IF(D8965="KEEP",COUNTIF($D$2:D8965,"KEEP"),"")</f>
        <v/>
      </c>
      <c r="H8965">
        <f>IF(D8965="REMOVE",COUNTIF($D$2:D8965,"REMOVE"),"")</f>
        <v/>
      </c>
      <c r="I8965">
        <f>IF(E8965="Gmail",COUNTIF($E$2:E8965,"Gmail"),"")</f>
        <v/>
      </c>
      <c r="J8965">
        <f>IF(E8965="Outlook",COUNTIF($E$2:E8965,"Outlook"),"")</f>
        <v/>
      </c>
      <c r="K8965">
        <f>IF(E8965="Domain",COUNTIF($E$2:E8965,"Domain"),"")</f>
        <v/>
      </c>
    </row>
    <row r="8966">
      <c r="A8966" s="2" t="n"/>
      <c r="B8966">
        <f>LOWER(TRIM(A8966))</f>
        <v/>
      </c>
      <c r="C8966">
        <f>IF(B8966="","",IFERROR(INDEX('Bad Patterns'!$A$2:$A$120,MATCH(1,INDEX(--ISNUMBER(SEARCH('Bad Patterns'!$A$2:$A$120,B8966)),0),0)),""))</f>
        <v/>
      </c>
      <c r="D8966">
        <f>IF(B8966="","",IF(C8966&lt;&gt;"","REMOVE","KEEP"))</f>
        <v/>
      </c>
      <c r="E8966">
        <f>IF(D8966&lt;&gt;"KEEP","",IF(RIGHT(B8966,10)="@gmail.com","Gmail",IF(OR(RIGHT(B8966,12)="@outlook.com",RIGHT(B8966,12)="@hotmail.com",RIGHT(B8966,9)="@live.com"),"Outlook","Domain")))</f>
        <v/>
      </c>
      <c r="F8966">
        <f>IF(B8966="","",IFERROR(RIGHT(B8966,LEN(B8966)-FIND("@",B8966)),""))</f>
        <v/>
      </c>
      <c r="G8966">
        <f>IF(D8966="KEEP",COUNTIF($D$2:D8966,"KEEP"),"")</f>
        <v/>
      </c>
      <c r="H8966">
        <f>IF(D8966="REMOVE",COUNTIF($D$2:D8966,"REMOVE"),"")</f>
        <v/>
      </c>
      <c r="I8966">
        <f>IF(E8966="Gmail",COUNTIF($E$2:E8966,"Gmail"),"")</f>
        <v/>
      </c>
      <c r="J8966">
        <f>IF(E8966="Outlook",COUNTIF($E$2:E8966,"Outlook"),"")</f>
        <v/>
      </c>
      <c r="K8966">
        <f>IF(E8966="Domain",COUNTIF($E$2:E8966,"Domain"),"")</f>
        <v/>
      </c>
    </row>
    <row r="8967">
      <c r="A8967" s="2" t="n"/>
      <c r="B8967">
        <f>LOWER(TRIM(A8967))</f>
        <v/>
      </c>
      <c r="C8967">
        <f>IF(B8967="","",IFERROR(INDEX('Bad Patterns'!$A$2:$A$120,MATCH(1,INDEX(--ISNUMBER(SEARCH('Bad Patterns'!$A$2:$A$120,B8967)),0),0)),""))</f>
        <v/>
      </c>
      <c r="D8967">
        <f>IF(B8967="","",IF(C8967&lt;&gt;"","REMOVE","KEEP"))</f>
        <v/>
      </c>
      <c r="E8967">
        <f>IF(D8967&lt;&gt;"KEEP","",IF(RIGHT(B8967,10)="@gmail.com","Gmail",IF(OR(RIGHT(B8967,12)="@outlook.com",RIGHT(B8967,12)="@hotmail.com",RIGHT(B8967,9)="@live.com"),"Outlook","Domain")))</f>
        <v/>
      </c>
      <c r="F8967">
        <f>IF(B8967="","",IFERROR(RIGHT(B8967,LEN(B8967)-FIND("@",B8967)),""))</f>
        <v/>
      </c>
      <c r="G8967">
        <f>IF(D8967="KEEP",COUNTIF($D$2:D8967,"KEEP"),"")</f>
        <v/>
      </c>
      <c r="H8967">
        <f>IF(D8967="REMOVE",COUNTIF($D$2:D8967,"REMOVE"),"")</f>
        <v/>
      </c>
      <c r="I8967">
        <f>IF(E8967="Gmail",COUNTIF($E$2:E8967,"Gmail"),"")</f>
        <v/>
      </c>
      <c r="J8967">
        <f>IF(E8967="Outlook",COUNTIF($E$2:E8967,"Outlook"),"")</f>
        <v/>
      </c>
      <c r="K8967">
        <f>IF(E8967="Domain",COUNTIF($E$2:E8967,"Domain"),"")</f>
        <v/>
      </c>
    </row>
    <row r="8968">
      <c r="A8968" s="2" t="n"/>
      <c r="B8968">
        <f>LOWER(TRIM(A8968))</f>
        <v/>
      </c>
      <c r="C8968">
        <f>IF(B8968="","",IFERROR(INDEX('Bad Patterns'!$A$2:$A$120,MATCH(1,INDEX(--ISNUMBER(SEARCH('Bad Patterns'!$A$2:$A$120,B8968)),0),0)),""))</f>
        <v/>
      </c>
      <c r="D8968">
        <f>IF(B8968="","",IF(C8968&lt;&gt;"","REMOVE","KEEP"))</f>
        <v/>
      </c>
      <c r="E8968">
        <f>IF(D8968&lt;&gt;"KEEP","",IF(RIGHT(B8968,10)="@gmail.com","Gmail",IF(OR(RIGHT(B8968,12)="@outlook.com",RIGHT(B8968,12)="@hotmail.com",RIGHT(B8968,9)="@live.com"),"Outlook","Domain")))</f>
        <v/>
      </c>
      <c r="F8968">
        <f>IF(B8968="","",IFERROR(RIGHT(B8968,LEN(B8968)-FIND("@",B8968)),""))</f>
        <v/>
      </c>
      <c r="G8968">
        <f>IF(D8968="KEEP",COUNTIF($D$2:D8968,"KEEP"),"")</f>
        <v/>
      </c>
      <c r="H8968">
        <f>IF(D8968="REMOVE",COUNTIF($D$2:D8968,"REMOVE"),"")</f>
        <v/>
      </c>
      <c r="I8968">
        <f>IF(E8968="Gmail",COUNTIF($E$2:E8968,"Gmail"),"")</f>
        <v/>
      </c>
      <c r="J8968">
        <f>IF(E8968="Outlook",COUNTIF($E$2:E8968,"Outlook"),"")</f>
        <v/>
      </c>
      <c r="K8968">
        <f>IF(E8968="Domain",COUNTIF($E$2:E8968,"Domain"),"")</f>
        <v/>
      </c>
    </row>
    <row r="8969">
      <c r="A8969" s="2" t="n"/>
      <c r="B8969">
        <f>LOWER(TRIM(A8969))</f>
        <v/>
      </c>
      <c r="C8969">
        <f>IF(B8969="","",IFERROR(INDEX('Bad Patterns'!$A$2:$A$120,MATCH(1,INDEX(--ISNUMBER(SEARCH('Bad Patterns'!$A$2:$A$120,B8969)),0),0)),""))</f>
        <v/>
      </c>
      <c r="D8969">
        <f>IF(B8969="","",IF(C8969&lt;&gt;"","REMOVE","KEEP"))</f>
        <v/>
      </c>
      <c r="E8969">
        <f>IF(D8969&lt;&gt;"KEEP","",IF(RIGHT(B8969,10)="@gmail.com","Gmail",IF(OR(RIGHT(B8969,12)="@outlook.com",RIGHT(B8969,12)="@hotmail.com",RIGHT(B8969,9)="@live.com"),"Outlook","Domain")))</f>
        <v/>
      </c>
      <c r="F8969">
        <f>IF(B8969="","",IFERROR(RIGHT(B8969,LEN(B8969)-FIND("@",B8969)),""))</f>
        <v/>
      </c>
      <c r="G8969">
        <f>IF(D8969="KEEP",COUNTIF($D$2:D8969,"KEEP"),"")</f>
        <v/>
      </c>
      <c r="H8969">
        <f>IF(D8969="REMOVE",COUNTIF($D$2:D8969,"REMOVE"),"")</f>
        <v/>
      </c>
      <c r="I8969">
        <f>IF(E8969="Gmail",COUNTIF($E$2:E8969,"Gmail"),"")</f>
        <v/>
      </c>
      <c r="J8969">
        <f>IF(E8969="Outlook",COUNTIF($E$2:E8969,"Outlook"),"")</f>
        <v/>
      </c>
      <c r="K8969">
        <f>IF(E8969="Domain",COUNTIF($E$2:E8969,"Domain"),"")</f>
        <v/>
      </c>
    </row>
    <row r="8970">
      <c r="A8970" s="2" t="n"/>
      <c r="B8970">
        <f>LOWER(TRIM(A8970))</f>
        <v/>
      </c>
      <c r="C8970">
        <f>IF(B8970="","",IFERROR(INDEX('Bad Patterns'!$A$2:$A$120,MATCH(1,INDEX(--ISNUMBER(SEARCH('Bad Patterns'!$A$2:$A$120,B8970)),0),0)),""))</f>
        <v/>
      </c>
      <c r="D8970">
        <f>IF(B8970="","",IF(C8970&lt;&gt;"","REMOVE","KEEP"))</f>
        <v/>
      </c>
      <c r="E8970">
        <f>IF(D8970&lt;&gt;"KEEP","",IF(RIGHT(B8970,10)="@gmail.com","Gmail",IF(OR(RIGHT(B8970,12)="@outlook.com",RIGHT(B8970,12)="@hotmail.com",RIGHT(B8970,9)="@live.com"),"Outlook","Domain")))</f>
        <v/>
      </c>
      <c r="F8970">
        <f>IF(B8970="","",IFERROR(RIGHT(B8970,LEN(B8970)-FIND("@",B8970)),""))</f>
        <v/>
      </c>
      <c r="G8970">
        <f>IF(D8970="KEEP",COUNTIF($D$2:D8970,"KEEP"),"")</f>
        <v/>
      </c>
      <c r="H8970">
        <f>IF(D8970="REMOVE",COUNTIF($D$2:D8970,"REMOVE"),"")</f>
        <v/>
      </c>
      <c r="I8970">
        <f>IF(E8970="Gmail",COUNTIF($E$2:E8970,"Gmail"),"")</f>
        <v/>
      </c>
      <c r="J8970">
        <f>IF(E8970="Outlook",COUNTIF($E$2:E8970,"Outlook"),"")</f>
        <v/>
      </c>
      <c r="K8970">
        <f>IF(E8970="Domain",COUNTIF($E$2:E8970,"Domain"),"")</f>
        <v/>
      </c>
    </row>
    <row r="8971">
      <c r="A8971" s="2" t="n"/>
      <c r="B8971">
        <f>LOWER(TRIM(A8971))</f>
        <v/>
      </c>
      <c r="C8971">
        <f>IF(B8971="","",IFERROR(INDEX('Bad Patterns'!$A$2:$A$120,MATCH(1,INDEX(--ISNUMBER(SEARCH('Bad Patterns'!$A$2:$A$120,B8971)),0),0)),""))</f>
        <v/>
      </c>
      <c r="D8971">
        <f>IF(B8971="","",IF(C8971&lt;&gt;"","REMOVE","KEEP"))</f>
        <v/>
      </c>
      <c r="E8971">
        <f>IF(D8971&lt;&gt;"KEEP","",IF(RIGHT(B8971,10)="@gmail.com","Gmail",IF(OR(RIGHT(B8971,12)="@outlook.com",RIGHT(B8971,12)="@hotmail.com",RIGHT(B8971,9)="@live.com"),"Outlook","Domain")))</f>
        <v/>
      </c>
      <c r="F8971">
        <f>IF(B8971="","",IFERROR(RIGHT(B8971,LEN(B8971)-FIND("@",B8971)),""))</f>
        <v/>
      </c>
      <c r="G8971">
        <f>IF(D8971="KEEP",COUNTIF($D$2:D8971,"KEEP"),"")</f>
        <v/>
      </c>
      <c r="H8971">
        <f>IF(D8971="REMOVE",COUNTIF($D$2:D8971,"REMOVE"),"")</f>
        <v/>
      </c>
      <c r="I8971">
        <f>IF(E8971="Gmail",COUNTIF($E$2:E8971,"Gmail"),"")</f>
        <v/>
      </c>
      <c r="J8971">
        <f>IF(E8971="Outlook",COUNTIF($E$2:E8971,"Outlook"),"")</f>
        <v/>
      </c>
      <c r="K8971">
        <f>IF(E8971="Domain",COUNTIF($E$2:E8971,"Domain"),"")</f>
        <v/>
      </c>
    </row>
    <row r="8972">
      <c r="A8972" s="2" t="n"/>
      <c r="B8972">
        <f>LOWER(TRIM(A8972))</f>
        <v/>
      </c>
      <c r="C8972">
        <f>IF(B8972="","",IFERROR(INDEX('Bad Patterns'!$A$2:$A$120,MATCH(1,INDEX(--ISNUMBER(SEARCH('Bad Patterns'!$A$2:$A$120,B8972)),0),0)),""))</f>
        <v/>
      </c>
      <c r="D8972">
        <f>IF(B8972="","",IF(C8972&lt;&gt;"","REMOVE","KEEP"))</f>
        <v/>
      </c>
      <c r="E8972">
        <f>IF(D8972&lt;&gt;"KEEP","",IF(RIGHT(B8972,10)="@gmail.com","Gmail",IF(OR(RIGHT(B8972,12)="@outlook.com",RIGHT(B8972,12)="@hotmail.com",RIGHT(B8972,9)="@live.com"),"Outlook","Domain")))</f>
        <v/>
      </c>
      <c r="F8972">
        <f>IF(B8972="","",IFERROR(RIGHT(B8972,LEN(B8972)-FIND("@",B8972)),""))</f>
        <v/>
      </c>
      <c r="G8972">
        <f>IF(D8972="KEEP",COUNTIF($D$2:D8972,"KEEP"),"")</f>
        <v/>
      </c>
      <c r="H8972">
        <f>IF(D8972="REMOVE",COUNTIF($D$2:D8972,"REMOVE"),"")</f>
        <v/>
      </c>
      <c r="I8972">
        <f>IF(E8972="Gmail",COUNTIF($E$2:E8972,"Gmail"),"")</f>
        <v/>
      </c>
      <c r="J8972">
        <f>IF(E8972="Outlook",COUNTIF($E$2:E8972,"Outlook"),"")</f>
        <v/>
      </c>
      <c r="K8972">
        <f>IF(E8972="Domain",COUNTIF($E$2:E8972,"Domain"),"")</f>
        <v/>
      </c>
    </row>
    <row r="8973">
      <c r="A8973" s="2" t="n"/>
      <c r="B8973">
        <f>LOWER(TRIM(A8973))</f>
        <v/>
      </c>
      <c r="C8973">
        <f>IF(B8973="","",IFERROR(INDEX('Bad Patterns'!$A$2:$A$120,MATCH(1,INDEX(--ISNUMBER(SEARCH('Bad Patterns'!$A$2:$A$120,B8973)),0),0)),""))</f>
        <v/>
      </c>
      <c r="D8973">
        <f>IF(B8973="","",IF(C8973&lt;&gt;"","REMOVE","KEEP"))</f>
        <v/>
      </c>
      <c r="E8973">
        <f>IF(D8973&lt;&gt;"KEEP","",IF(RIGHT(B8973,10)="@gmail.com","Gmail",IF(OR(RIGHT(B8973,12)="@outlook.com",RIGHT(B8973,12)="@hotmail.com",RIGHT(B8973,9)="@live.com"),"Outlook","Domain")))</f>
        <v/>
      </c>
      <c r="F8973">
        <f>IF(B8973="","",IFERROR(RIGHT(B8973,LEN(B8973)-FIND("@",B8973)),""))</f>
        <v/>
      </c>
      <c r="G8973">
        <f>IF(D8973="KEEP",COUNTIF($D$2:D8973,"KEEP"),"")</f>
        <v/>
      </c>
      <c r="H8973">
        <f>IF(D8973="REMOVE",COUNTIF($D$2:D8973,"REMOVE"),"")</f>
        <v/>
      </c>
      <c r="I8973">
        <f>IF(E8973="Gmail",COUNTIF($E$2:E8973,"Gmail"),"")</f>
        <v/>
      </c>
      <c r="J8973">
        <f>IF(E8973="Outlook",COUNTIF($E$2:E8973,"Outlook"),"")</f>
        <v/>
      </c>
      <c r="K8973">
        <f>IF(E8973="Domain",COUNTIF($E$2:E8973,"Domain"),"")</f>
        <v/>
      </c>
    </row>
    <row r="8974">
      <c r="A8974" s="2" t="n"/>
      <c r="B8974">
        <f>LOWER(TRIM(A8974))</f>
        <v/>
      </c>
      <c r="C8974">
        <f>IF(B8974="","",IFERROR(INDEX('Bad Patterns'!$A$2:$A$120,MATCH(1,INDEX(--ISNUMBER(SEARCH('Bad Patterns'!$A$2:$A$120,B8974)),0),0)),""))</f>
        <v/>
      </c>
      <c r="D8974">
        <f>IF(B8974="","",IF(C8974&lt;&gt;"","REMOVE","KEEP"))</f>
        <v/>
      </c>
      <c r="E8974">
        <f>IF(D8974&lt;&gt;"KEEP","",IF(RIGHT(B8974,10)="@gmail.com","Gmail",IF(OR(RIGHT(B8974,12)="@outlook.com",RIGHT(B8974,12)="@hotmail.com",RIGHT(B8974,9)="@live.com"),"Outlook","Domain")))</f>
        <v/>
      </c>
      <c r="F8974">
        <f>IF(B8974="","",IFERROR(RIGHT(B8974,LEN(B8974)-FIND("@",B8974)),""))</f>
        <v/>
      </c>
      <c r="G8974">
        <f>IF(D8974="KEEP",COUNTIF($D$2:D8974,"KEEP"),"")</f>
        <v/>
      </c>
      <c r="H8974">
        <f>IF(D8974="REMOVE",COUNTIF($D$2:D8974,"REMOVE"),"")</f>
        <v/>
      </c>
      <c r="I8974">
        <f>IF(E8974="Gmail",COUNTIF($E$2:E8974,"Gmail"),"")</f>
        <v/>
      </c>
      <c r="J8974">
        <f>IF(E8974="Outlook",COUNTIF($E$2:E8974,"Outlook"),"")</f>
        <v/>
      </c>
      <c r="K8974">
        <f>IF(E8974="Domain",COUNTIF($E$2:E8974,"Domain"),"")</f>
        <v/>
      </c>
    </row>
    <row r="8975">
      <c r="A8975" s="2" t="n"/>
      <c r="B8975">
        <f>LOWER(TRIM(A8975))</f>
        <v/>
      </c>
      <c r="C8975">
        <f>IF(B8975="","",IFERROR(INDEX('Bad Patterns'!$A$2:$A$120,MATCH(1,INDEX(--ISNUMBER(SEARCH('Bad Patterns'!$A$2:$A$120,B8975)),0),0)),""))</f>
        <v/>
      </c>
      <c r="D8975">
        <f>IF(B8975="","",IF(C8975&lt;&gt;"","REMOVE","KEEP"))</f>
        <v/>
      </c>
      <c r="E8975">
        <f>IF(D8975&lt;&gt;"KEEP","",IF(RIGHT(B8975,10)="@gmail.com","Gmail",IF(OR(RIGHT(B8975,12)="@outlook.com",RIGHT(B8975,12)="@hotmail.com",RIGHT(B8975,9)="@live.com"),"Outlook","Domain")))</f>
        <v/>
      </c>
      <c r="F8975">
        <f>IF(B8975="","",IFERROR(RIGHT(B8975,LEN(B8975)-FIND("@",B8975)),""))</f>
        <v/>
      </c>
      <c r="G8975">
        <f>IF(D8975="KEEP",COUNTIF($D$2:D8975,"KEEP"),"")</f>
        <v/>
      </c>
      <c r="H8975">
        <f>IF(D8975="REMOVE",COUNTIF($D$2:D8975,"REMOVE"),"")</f>
        <v/>
      </c>
      <c r="I8975">
        <f>IF(E8975="Gmail",COUNTIF($E$2:E8975,"Gmail"),"")</f>
        <v/>
      </c>
      <c r="J8975">
        <f>IF(E8975="Outlook",COUNTIF($E$2:E8975,"Outlook"),"")</f>
        <v/>
      </c>
      <c r="K8975">
        <f>IF(E8975="Domain",COUNTIF($E$2:E8975,"Domain"),"")</f>
        <v/>
      </c>
    </row>
    <row r="8976">
      <c r="A8976" s="2" t="n"/>
      <c r="B8976">
        <f>LOWER(TRIM(A8976))</f>
        <v/>
      </c>
      <c r="C8976">
        <f>IF(B8976="","",IFERROR(INDEX('Bad Patterns'!$A$2:$A$120,MATCH(1,INDEX(--ISNUMBER(SEARCH('Bad Patterns'!$A$2:$A$120,B8976)),0),0)),""))</f>
        <v/>
      </c>
      <c r="D8976">
        <f>IF(B8976="","",IF(C8976&lt;&gt;"","REMOVE","KEEP"))</f>
        <v/>
      </c>
      <c r="E8976">
        <f>IF(D8976&lt;&gt;"KEEP","",IF(RIGHT(B8976,10)="@gmail.com","Gmail",IF(OR(RIGHT(B8976,12)="@outlook.com",RIGHT(B8976,12)="@hotmail.com",RIGHT(B8976,9)="@live.com"),"Outlook","Domain")))</f>
        <v/>
      </c>
      <c r="F8976">
        <f>IF(B8976="","",IFERROR(RIGHT(B8976,LEN(B8976)-FIND("@",B8976)),""))</f>
        <v/>
      </c>
      <c r="G8976">
        <f>IF(D8976="KEEP",COUNTIF($D$2:D8976,"KEEP"),"")</f>
        <v/>
      </c>
      <c r="H8976">
        <f>IF(D8976="REMOVE",COUNTIF($D$2:D8976,"REMOVE"),"")</f>
        <v/>
      </c>
      <c r="I8976">
        <f>IF(E8976="Gmail",COUNTIF($E$2:E8976,"Gmail"),"")</f>
        <v/>
      </c>
      <c r="J8976">
        <f>IF(E8976="Outlook",COUNTIF($E$2:E8976,"Outlook"),"")</f>
        <v/>
      </c>
      <c r="K8976">
        <f>IF(E8976="Domain",COUNTIF($E$2:E8976,"Domain"),"")</f>
        <v/>
      </c>
    </row>
    <row r="8977">
      <c r="A8977" s="2" t="n"/>
      <c r="B8977">
        <f>LOWER(TRIM(A8977))</f>
        <v/>
      </c>
      <c r="C8977">
        <f>IF(B8977="","",IFERROR(INDEX('Bad Patterns'!$A$2:$A$120,MATCH(1,INDEX(--ISNUMBER(SEARCH('Bad Patterns'!$A$2:$A$120,B8977)),0),0)),""))</f>
        <v/>
      </c>
      <c r="D8977">
        <f>IF(B8977="","",IF(C8977&lt;&gt;"","REMOVE","KEEP"))</f>
        <v/>
      </c>
      <c r="E8977">
        <f>IF(D8977&lt;&gt;"KEEP","",IF(RIGHT(B8977,10)="@gmail.com","Gmail",IF(OR(RIGHT(B8977,12)="@outlook.com",RIGHT(B8977,12)="@hotmail.com",RIGHT(B8977,9)="@live.com"),"Outlook","Domain")))</f>
        <v/>
      </c>
      <c r="F8977">
        <f>IF(B8977="","",IFERROR(RIGHT(B8977,LEN(B8977)-FIND("@",B8977)),""))</f>
        <v/>
      </c>
      <c r="G8977">
        <f>IF(D8977="KEEP",COUNTIF($D$2:D8977,"KEEP"),"")</f>
        <v/>
      </c>
      <c r="H8977">
        <f>IF(D8977="REMOVE",COUNTIF($D$2:D8977,"REMOVE"),"")</f>
        <v/>
      </c>
      <c r="I8977">
        <f>IF(E8977="Gmail",COUNTIF($E$2:E8977,"Gmail"),"")</f>
        <v/>
      </c>
      <c r="J8977">
        <f>IF(E8977="Outlook",COUNTIF($E$2:E8977,"Outlook"),"")</f>
        <v/>
      </c>
      <c r="K8977">
        <f>IF(E8977="Domain",COUNTIF($E$2:E8977,"Domain"),"")</f>
        <v/>
      </c>
    </row>
    <row r="8978">
      <c r="A8978" s="2" t="n"/>
      <c r="B8978">
        <f>LOWER(TRIM(A8978))</f>
        <v/>
      </c>
      <c r="C8978">
        <f>IF(B8978="","",IFERROR(INDEX('Bad Patterns'!$A$2:$A$120,MATCH(1,INDEX(--ISNUMBER(SEARCH('Bad Patterns'!$A$2:$A$120,B8978)),0),0)),""))</f>
        <v/>
      </c>
      <c r="D8978">
        <f>IF(B8978="","",IF(C8978&lt;&gt;"","REMOVE","KEEP"))</f>
        <v/>
      </c>
      <c r="E8978">
        <f>IF(D8978&lt;&gt;"KEEP","",IF(RIGHT(B8978,10)="@gmail.com","Gmail",IF(OR(RIGHT(B8978,12)="@outlook.com",RIGHT(B8978,12)="@hotmail.com",RIGHT(B8978,9)="@live.com"),"Outlook","Domain")))</f>
        <v/>
      </c>
      <c r="F8978">
        <f>IF(B8978="","",IFERROR(RIGHT(B8978,LEN(B8978)-FIND("@",B8978)),""))</f>
        <v/>
      </c>
      <c r="G8978">
        <f>IF(D8978="KEEP",COUNTIF($D$2:D8978,"KEEP"),"")</f>
        <v/>
      </c>
      <c r="H8978">
        <f>IF(D8978="REMOVE",COUNTIF($D$2:D8978,"REMOVE"),"")</f>
        <v/>
      </c>
      <c r="I8978">
        <f>IF(E8978="Gmail",COUNTIF($E$2:E8978,"Gmail"),"")</f>
        <v/>
      </c>
      <c r="J8978">
        <f>IF(E8978="Outlook",COUNTIF($E$2:E8978,"Outlook"),"")</f>
        <v/>
      </c>
      <c r="K8978">
        <f>IF(E8978="Domain",COUNTIF($E$2:E8978,"Domain"),"")</f>
        <v/>
      </c>
    </row>
    <row r="8979">
      <c r="A8979" s="2" t="n"/>
      <c r="B8979">
        <f>LOWER(TRIM(A8979))</f>
        <v/>
      </c>
      <c r="C8979">
        <f>IF(B8979="","",IFERROR(INDEX('Bad Patterns'!$A$2:$A$120,MATCH(1,INDEX(--ISNUMBER(SEARCH('Bad Patterns'!$A$2:$A$120,B8979)),0),0)),""))</f>
        <v/>
      </c>
      <c r="D8979">
        <f>IF(B8979="","",IF(C8979&lt;&gt;"","REMOVE","KEEP"))</f>
        <v/>
      </c>
      <c r="E8979">
        <f>IF(D8979&lt;&gt;"KEEP","",IF(RIGHT(B8979,10)="@gmail.com","Gmail",IF(OR(RIGHT(B8979,12)="@outlook.com",RIGHT(B8979,12)="@hotmail.com",RIGHT(B8979,9)="@live.com"),"Outlook","Domain")))</f>
        <v/>
      </c>
      <c r="F8979">
        <f>IF(B8979="","",IFERROR(RIGHT(B8979,LEN(B8979)-FIND("@",B8979)),""))</f>
        <v/>
      </c>
      <c r="G8979">
        <f>IF(D8979="KEEP",COUNTIF($D$2:D8979,"KEEP"),"")</f>
        <v/>
      </c>
      <c r="H8979">
        <f>IF(D8979="REMOVE",COUNTIF($D$2:D8979,"REMOVE"),"")</f>
        <v/>
      </c>
      <c r="I8979">
        <f>IF(E8979="Gmail",COUNTIF($E$2:E8979,"Gmail"),"")</f>
        <v/>
      </c>
      <c r="J8979">
        <f>IF(E8979="Outlook",COUNTIF($E$2:E8979,"Outlook"),"")</f>
        <v/>
      </c>
      <c r="K8979">
        <f>IF(E8979="Domain",COUNTIF($E$2:E8979,"Domain"),"")</f>
        <v/>
      </c>
    </row>
    <row r="8980">
      <c r="A8980" s="2" t="n"/>
      <c r="B8980">
        <f>LOWER(TRIM(A8980))</f>
        <v/>
      </c>
      <c r="C8980">
        <f>IF(B8980="","",IFERROR(INDEX('Bad Patterns'!$A$2:$A$120,MATCH(1,INDEX(--ISNUMBER(SEARCH('Bad Patterns'!$A$2:$A$120,B8980)),0),0)),""))</f>
        <v/>
      </c>
      <c r="D8980">
        <f>IF(B8980="","",IF(C8980&lt;&gt;"","REMOVE","KEEP"))</f>
        <v/>
      </c>
      <c r="E8980">
        <f>IF(D8980&lt;&gt;"KEEP","",IF(RIGHT(B8980,10)="@gmail.com","Gmail",IF(OR(RIGHT(B8980,12)="@outlook.com",RIGHT(B8980,12)="@hotmail.com",RIGHT(B8980,9)="@live.com"),"Outlook","Domain")))</f>
        <v/>
      </c>
      <c r="F8980">
        <f>IF(B8980="","",IFERROR(RIGHT(B8980,LEN(B8980)-FIND("@",B8980)),""))</f>
        <v/>
      </c>
      <c r="G8980">
        <f>IF(D8980="KEEP",COUNTIF($D$2:D8980,"KEEP"),"")</f>
        <v/>
      </c>
      <c r="H8980">
        <f>IF(D8980="REMOVE",COUNTIF($D$2:D8980,"REMOVE"),"")</f>
        <v/>
      </c>
      <c r="I8980">
        <f>IF(E8980="Gmail",COUNTIF($E$2:E8980,"Gmail"),"")</f>
        <v/>
      </c>
      <c r="J8980">
        <f>IF(E8980="Outlook",COUNTIF($E$2:E8980,"Outlook"),"")</f>
        <v/>
      </c>
      <c r="K8980">
        <f>IF(E8980="Domain",COUNTIF($E$2:E8980,"Domain"),"")</f>
        <v/>
      </c>
    </row>
    <row r="8981">
      <c r="A8981" s="2" t="n"/>
      <c r="B8981">
        <f>LOWER(TRIM(A8981))</f>
        <v/>
      </c>
      <c r="C8981">
        <f>IF(B8981="","",IFERROR(INDEX('Bad Patterns'!$A$2:$A$120,MATCH(1,INDEX(--ISNUMBER(SEARCH('Bad Patterns'!$A$2:$A$120,B8981)),0),0)),""))</f>
        <v/>
      </c>
      <c r="D8981">
        <f>IF(B8981="","",IF(C8981&lt;&gt;"","REMOVE","KEEP"))</f>
        <v/>
      </c>
      <c r="E8981">
        <f>IF(D8981&lt;&gt;"KEEP","",IF(RIGHT(B8981,10)="@gmail.com","Gmail",IF(OR(RIGHT(B8981,12)="@outlook.com",RIGHT(B8981,12)="@hotmail.com",RIGHT(B8981,9)="@live.com"),"Outlook","Domain")))</f>
        <v/>
      </c>
      <c r="F8981">
        <f>IF(B8981="","",IFERROR(RIGHT(B8981,LEN(B8981)-FIND("@",B8981)),""))</f>
        <v/>
      </c>
      <c r="G8981">
        <f>IF(D8981="KEEP",COUNTIF($D$2:D8981,"KEEP"),"")</f>
        <v/>
      </c>
      <c r="H8981">
        <f>IF(D8981="REMOVE",COUNTIF($D$2:D8981,"REMOVE"),"")</f>
        <v/>
      </c>
      <c r="I8981">
        <f>IF(E8981="Gmail",COUNTIF($E$2:E8981,"Gmail"),"")</f>
        <v/>
      </c>
      <c r="J8981">
        <f>IF(E8981="Outlook",COUNTIF($E$2:E8981,"Outlook"),"")</f>
        <v/>
      </c>
      <c r="K8981">
        <f>IF(E8981="Domain",COUNTIF($E$2:E8981,"Domain"),"")</f>
        <v/>
      </c>
    </row>
    <row r="8982">
      <c r="A8982" s="2" t="n"/>
      <c r="B8982">
        <f>LOWER(TRIM(A8982))</f>
        <v/>
      </c>
      <c r="C8982">
        <f>IF(B8982="","",IFERROR(INDEX('Bad Patterns'!$A$2:$A$120,MATCH(1,INDEX(--ISNUMBER(SEARCH('Bad Patterns'!$A$2:$A$120,B8982)),0),0)),""))</f>
        <v/>
      </c>
      <c r="D8982">
        <f>IF(B8982="","",IF(C8982&lt;&gt;"","REMOVE","KEEP"))</f>
        <v/>
      </c>
      <c r="E8982">
        <f>IF(D8982&lt;&gt;"KEEP","",IF(RIGHT(B8982,10)="@gmail.com","Gmail",IF(OR(RIGHT(B8982,12)="@outlook.com",RIGHT(B8982,12)="@hotmail.com",RIGHT(B8982,9)="@live.com"),"Outlook","Domain")))</f>
        <v/>
      </c>
      <c r="F8982">
        <f>IF(B8982="","",IFERROR(RIGHT(B8982,LEN(B8982)-FIND("@",B8982)),""))</f>
        <v/>
      </c>
      <c r="G8982">
        <f>IF(D8982="KEEP",COUNTIF($D$2:D8982,"KEEP"),"")</f>
        <v/>
      </c>
      <c r="H8982">
        <f>IF(D8982="REMOVE",COUNTIF($D$2:D8982,"REMOVE"),"")</f>
        <v/>
      </c>
      <c r="I8982">
        <f>IF(E8982="Gmail",COUNTIF($E$2:E8982,"Gmail"),"")</f>
        <v/>
      </c>
      <c r="J8982">
        <f>IF(E8982="Outlook",COUNTIF($E$2:E8982,"Outlook"),"")</f>
        <v/>
      </c>
      <c r="K8982">
        <f>IF(E8982="Domain",COUNTIF($E$2:E8982,"Domain"),"")</f>
        <v/>
      </c>
    </row>
    <row r="8983">
      <c r="A8983" s="2" t="n"/>
      <c r="B8983">
        <f>LOWER(TRIM(A8983))</f>
        <v/>
      </c>
      <c r="C8983">
        <f>IF(B8983="","",IFERROR(INDEX('Bad Patterns'!$A$2:$A$120,MATCH(1,INDEX(--ISNUMBER(SEARCH('Bad Patterns'!$A$2:$A$120,B8983)),0),0)),""))</f>
        <v/>
      </c>
      <c r="D8983">
        <f>IF(B8983="","",IF(C8983&lt;&gt;"","REMOVE","KEEP"))</f>
        <v/>
      </c>
      <c r="E8983">
        <f>IF(D8983&lt;&gt;"KEEP","",IF(RIGHT(B8983,10)="@gmail.com","Gmail",IF(OR(RIGHT(B8983,12)="@outlook.com",RIGHT(B8983,12)="@hotmail.com",RIGHT(B8983,9)="@live.com"),"Outlook","Domain")))</f>
        <v/>
      </c>
      <c r="F8983">
        <f>IF(B8983="","",IFERROR(RIGHT(B8983,LEN(B8983)-FIND("@",B8983)),""))</f>
        <v/>
      </c>
      <c r="G8983">
        <f>IF(D8983="KEEP",COUNTIF($D$2:D8983,"KEEP"),"")</f>
        <v/>
      </c>
      <c r="H8983">
        <f>IF(D8983="REMOVE",COUNTIF($D$2:D8983,"REMOVE"),"")</f>
        <v/>
      </c>
      <c r="I8983">
        <f>IF(E8983="Gmail",COUNTIF($E$2:E8983,"Gmail"),"")</f>
        <v/>
      </c>
      <c r="J8983">
        <f>IF(E8983="Outlook",COUNTIF($E$2:E8983,"Outlook"),"")</f>
        <v/>
      </c>
      <c r="K8983">
        <f>IF(E8983="Domain",COUNTIF($E$2:E8983,"Domain"),"")</f>
        <v/>
      </c>
    </row>
    <row r="8984">
      <c r="A8984" s="2" t="n"/>
      <c r="B8984">
        <f>LOWER(TRIM(A8984))</f>
        <v/>
      </c>
      <c r="C8984">
        <f>IF(B8984="","",IFERROR(INDEX('Bad Patterns'!$A$2:$A$120,MATCH(1,INDEX(--ISNUMBER(SEARCH('Bad Patterns'!$A$2:$A$120,B8984)),0),0)),""))</f>
        <v/>
      </c>
      <c r="D8984">
        <f>IF(B8984="","",IF(C8984&lt;&gt;"","REMOVE","KEEP"))</f>
        <v/>
      </c>
      <c r="E8984">
        <f>IF(D8984&lt;&gt;"KEEP","",IF(RIGHT(B8984,10)="@gmail.com","Gmail",IF(OR(RIGHT(B8984,12)="@outlook.com",RIGHT(B8984,12)="@hotmail.com",RIGHT(B8984,9)="@live.com"),"Outlook","Domain")))</f>
        <v/>
      </c>
      <c r="F8984">
        <f>IF(B8984="","",IFERROR(RIGHT(B8984,LEN(B8984)-FIND("@",B8984)),""))</f>
        <v/>
      </c>
      <c r="G8984">
        <f>IF(D8984="KEEP",COUNTIF($D$2:D8984,"KEEP"),"")</f>
        <v/>
      </c>
      <c r="H8984">
        <f>IF(D8984="REMOVE",COUNTIF($D$2:D8984,"REMOVE"),"")</f>
        <v/>
      </c>
      <c r="I8984">
        <f>IF(E8984="Gmail",COUNTIF($E$2:E8984,"Gmail"),"")</f>
        <v/>
      </c>
      <c r="J8984">
        <f>IF(E8984="Outlook",COUNTIF($E$2:E8984,"Outlook"),"")</f>
        <v/>
      </c>
      <c r="K8984">
        <f>IF(E8984="Domain",COUNTIF($E$2:E8984,"Domain"),"")</f>
        <v/>
      </c>
    </row>
    <row r="8985">
      <c r="A8985" s="2" t="n"/>
      <c r="B8985">
        <f>LOWER(TRIM(A8985))</f>
        <v/>
      </c>
      <c r="C8985">
        <f>IF(B8985="","",IFERROR(INDEX('Bad Patterns'!$A$2:$A$120,MATCH(1,INDEX(--ISNUMBER(SEARCH('Bad Patterns'!$A$2:$A$120,B8985)),0),0)),""))</f>
        <v/>
      </c>
      <c r="D8985">
        <f>IF(B8985="","",IF(C8985&lt;&gt;"","REMOVE","KEEP"))</f>
        <v/>
      </c>
      <c r="E8985">
        <f>IF(D8985&lt;&gt;"KEEP","",IF(RIGHT(B8985,10)="@gmail.com","Gmail",IF(OR(RIGHT(B8985,12)="@outlook.com",RIGHT(B8985,12)="@hotmail.com",RIGHT(B8985,9)="@live.com"),"Outlook","Domain")))</f>
        <v/>
      </c>
      <c r="F8985">
        <f>IF(B8985="","",IFERROR(RIGHT(B8985,LEN(B8985)-FIND("@",B8985)),""))</f>
        <v/>
      </c>
      <c r="G8985">
        <f>IF(D8985="KEEP",COUNTIF($D$2:D8985,"KEEP"),"")</f>
        <v/>
      </c>
      <c r="H8985">
        <f>IF(D8985="REMOVE",COUNTIF($D$2:D8985,"REMOVE"),"")</f>
        <v/>
      </c>
      <c r="I8985">
        <f>IF(E8985="Gmail",COUNTIF($E$2:E8985,"Gmail"),"")</f>
        <v/>
      </c>
      <c r="J8985">
        <f>IF(E8985="Outlook",COUNTIF($E$2:E8985,"Outlook"),"")</f>
        <v/>
      </c>
      <c r="K8985">
        <f>IF(E8985="Domain",COUNTIF($E$2:E8985,"Domain"),"")</f>
        <v/>
      </c>
    </row>
    <row r="8986">
      <c r="A8986" s="2" t="n"/>
      <c r="B8986">
        <f>LOWER(TRIM(A8986))</f>
        <v/>
      </c>
      <c r="C8986">
        <f>IF(B8986="","",IFERROR(INDEX('Bad Patterns'!$A$2:$A$120,MATCH(1,INDEX(--ISNUMBER(SEARCH('Bad Patterns'!$A$2:$A$120,B8986)),0),0)),""))</f>
        <v/>
      </c>
      <c r="D8986">
        <f>IF(B8986="","",IF(C8986&lt;&gt;"","REMOVE","KEEP"))</f>
        <v/>
      </c>
      <c r="E8986">
        <f>IF(D8986&lt;&gt;"KEEP","",IF(RIGHT(B8986,10)="@gmail.com","Gmail",IF(OR(RIGHT(B8986,12)="@outlook.com",RIGHT(B8986,12)="@hotmail.com",RIGHT(B8986,9)="@live.com"),"Outlook","Domain")))</f>
        <v/>
      </c>
      <c r="F8986">
        <f>IF(B8986="","",IFERROR(RIGHT(B8986,LEN(B8986)-FIND("@",B8986)),""))</f>
        <v/>
      </c>
      <c r="G8986">
        <f>IF(D8986="KEEP",COUNTIF($D$2:D8986,"KEEP"),"")</f>
        <v/>
      </c>
      <c r="H8986">
        <f>IF(D8986="REMOVE",COUNTIF($D$2:D8986,"REMOVE"),"")</f>
        <v/>
      </c>
      <c r="I8986">
        <f>IF(E8986="Gmail",COUNTIF($E$2:E8986,"Gmail"),"")</f>
        <v/>
      </c>
      <c r="J8986">
        <f>IF(E8986="Outlook",COUNTIF($E$2:E8986,"Outlook"),"")</f>
        <v/>
      </c>
      <c r="K8986">
        <f>IF(E8986="Domain",COUNTIF($E$2:E8986,"Domain"),"")</f>
        <v/>
      </c>
    </row>
    <row r="8987">
      <c r="A8987" s="2" t="n"/>
      <c r="B8987">
        <f>LOWER(TRIM(A8987))</f>
        <v/>
      </c>
      <c r="C8987">
        <f>IF(B8987="","",IFERROR(INDEX('Bad Patterns'!$A$2:$A$120,MATCH(1,INDEX(--ISNUMBER(SEARCH('Bad Patterns'!$A$2:$A$120,B8987)),0),0)),""))</f>
        <v/>
      </c>
      <c r="D8987">
        <f>IF(B8987="","",IF(C8987&lt;&gt;"","REMOVE","KEEP"))</f>
        <v/>
      </c>
      <c r="E8987">
        <f>IF(D8987&lt;&gt;"KEEP","",IF(RIGHT(B8987,10)="@gmail.com","Gmail",IF(OR(RIGHT(B8987,12)="@outlook.com",RIGHT(B8987,12)="@hotmail.com",RIGHT(B8987,9)="@live.com"),"Outlook","Domain")))</f>
        <v/>
      </c>
      <c r="F8987">
        <f>IF(B8987="","",IFERROR(RIGHT(B8987,LEN(B8987)-FIND("@",B8987)),""))</f>
        <v/>
      </c>
      <c r="G8987">
        <f>IF(D8987="KEEP",COUNTIF($D$2:D8987,"KEEP"),"")</f>
        <v/>
      </c>
      <c r="H8987">
        <f>IF(D8987="REMOVE",COUNTIF($D$2:D8987,"REMOVE"),"")</f>
        <v/>
      </c>
      <c r="I8987">
        <f>IF(E8987="Gmail",COUNTIF($E$2:E8987,"Gmail"),"")</f>
        <v/>
      </c>
      <c r="J8987">
        <f>IF(E8987="Outlook",COUNTIF($E$2:E8987,"Outlook"),"")</f>
        <v/>
      </c>
      <c r="K8987">
        <f>IF(E8987="Domain",COUNTIF($E$2:E8987,"Domain"),"")</f>
        <v/>
      </c>
    </row>
    <row r="8988">
      <c r="A8988" s="2" t="n"/>
      <c r="B8988">
        <f>LOWER(TRIM(A8988))</f>
        <v/>
      </c>
      <c r="C8988">
        <f>IF(B8988="","",IFERROR(INDEX('Bad Patterns'!$A$2:$A$120,MATCH(1,INDEX(--ISNUMBER(SEARCH('Bad Patterns'!$A$2:$A$120,B8988)),0),0)),""))</f>
        <v/>
      </c>
      <c r="D8988">
        <f>IF(B8988="","",IF(C8988&lt;&gt;"","REMOVE","KEEP"))</f>
        <v/>
      </c>
      <c r="E8988">
        <f>IF(D8988&lt;&gt;"KEEP","",IF(RIGHT(B8988,10)="@gmail.com","Gmail",IF(OR(RIGHT(B8988,12)="@outlook.com",RIGHT(B8988,12)="@hotmail.com",RIGHT(B8988,9)="@live.com"),"Outlook","Domain")))</f>
        <v/>
      </c>
      <c r="F8988">
        <f>IF(B8988="","",IFERROR(RIGHT(B8988,LEN(B8988)-FIND("@",B8988)),""))</f>
        <v/>
      </c>
      <c r="G8988">
        <f>IF(D8988="KEEP",COUNTIF($D$2:D8988,"KEEP"),"")</f>
        <v/>
      </c>
      <c r="H8988">
        <f>IF(D8988="REMOVE",COUNTIF($D$2:D8988,"REMOVE"),"")</f>
        <v/>
      </c>
      <c r="I8988">
        <f>IF(E8988="Gmail",COUNTIF($E$2:E8988,"Gmail"),"")</f>
        <v/>
      </c>
      <c r="J8988">
        <f>IF(E8988="Outlook",COUNTIF($E$2:E8988,"Outlook"),"")</f>
        <v/>
      </c>
      <c r="K8988">
        <f>IF(E8988="Domain",COUNTIF($E$2:E8988,"Domain"),"")</f>
        <v/>
      </c>
    </row>
    <row r="8989">
      <c r="A8989" s="2" t="n"/>
      <c r="B8989">
        <f>LOWER(TRIM(A8989))</f>
        <v/>
      </c>
      <c r="C8989">
        <f>IF(B8989="","",IFERROR(INDEX('Bad Patterns'!$A$2:$A$120,MATCH(1,INDEX(--ISNUMBER(SEARCH('Bad Patterns'!$A$2:$A$120,B8989)),0),0)),""))</f>
        <v/>
      </c>
      <c r="D8989">
        <f>IF(B8989="","",IF(C8989&lt;&gt;"","REMOVE","KEEP"))</f>
        <v/>
      </c>
      <c r="E8989">
        <f>IF(D8989&lt;&gt;"KEEP","",IF(RIGHT(B8989,10)="@gmail.com","Gmail",IF(OR(RIGHT(B8989,12)="@outlook.com",RIGHT(B8989,12)="@hotmail.com",RIGHT(B8989,9)="@live.com"),"Outlook","Domain")))</f>
        <v/>
      </c>
      <c r="F8989">
        <f>IF(B8989="","",IFERROR(RIGHT(B8989,LEN(B8989)-FIND("@",B8989)),""))</f>
        <v/>
      </c>
      <c r="G8989">
        <f>IF(D8989="KEEP",COUNTIF($D$2:D8989,"KEEP"),"")</f>
        <v/>
      </c>
      <c r="H8989">
        <f>IF(D8989="REMOVE",COUNTIF($D$2:D8989,"REMOVE"),"")</f>
        <v/>
      </c>
      <c r="I8989">
        <f>IF(E8989="Gmail",COUNTIF($E$2:E8989,"Gmail"),"")</f>
        <v/>
      </c>
      <c r="J8989">
        <f>IF(E8989="Outlook",COUNTIF($E$2:E8989,"Outlook"),"")</f>
        <v/>
      </c>
      <c r="K8989">
        <f>IF(E8989="Domain",COUNTIF($E$2:E8989,"Domain"),"")</f>
        <v/>
      </c>
    </row>
    <row r="8990">
      <c r="A8990" s="2" t="n"/>
      <c r="B8990">
        <f>LOWER(TRIM(A8990))</f>
        <v/>
      </c>
      <c r="C8990">
        <f>IF(B8990="","",IFERROR(INDEX('Bad Patterns'!$A$2:$A$120,MATCH(1,INDEX(--ISNUMBER(SEARCH('Bad Patterns'!$A$2:$A$120,B8990)),0),0)),""))</f>
        <v/>
      </c>
      <c r="D8990">
        <f>IF(B8990="","",IF(C8990&lt;&gt;"","REMOVE","KEEP"))</f>
        <v/>
      </c>
      <c r="E8990">
        <f>IF(D8990&lt;&gt;"KEEP","",IF(RIGHT(B8990,10)="@gmail.com","Gmail",IF(OR(RIGHT(B8990,12)="@outlook.com",RIGHT(B8990,12)="@hotmail.com",RIGHT(B8990,9)="@live.com"),"Outlook","Domain")))</f>
        <v/>
      </c>
      <c r="F8990">
        <f>IF(B8990="","",IFERROR(RIGHT(B8990,LEN(B8990)-FIND("@",B8990)),""))</f>
        <v/>
      </c>
      <c r="G8990">
        <f>IF(D8990="KEEP",COUNTIF($D$2:D8990,"KEEP"),"")</f>
        <v/>
      </c>
      <c r="H8990">
        <f>IF(D8990="REMOVE",COUNTIF($D$2:D8990,"REMOVE"),"")</f>
        <v/>
      </c>
      <c r="I8990">
        <f>IF(E8990="Gmail",COUNTIF($E$2:E8990,"Gmail"),"")</f>
        <v/>
      </c>
      <c r="J8990">
        <f>IF(E8990="Outlook",COUNTIF($E$2:E8990,"Outlook"),"")</f>
        <v/>
      </c>
      <c r="K8990">
        <f>IF(E8990="Domain",COUNTIF($E$2:E8990,"Domain"),"")</f>
        <v/>
      </c>
    </row>
    <row r="8991">
      <c r="A8991" s="2" t="n"/>
      <c r="B8991">
        <f>LOWER(TRIM(A8991))</f>
        <v/>
      </c>
      <c r="C8991">
        <f>IF(B8991="","",IFERROR(INDEX('Bad Patterns'!$A$2:$A$120,MATCH(1,INDEX(--ISNUMBER(SEARCH('Bad Patterns'!$A$2:$A$120,B8991)),0),0)),""))</f>
        <v/>
      </c>
      <c r="D8991">
        <f>IF(B8991="","",IF(C8991&lt;&gt;"","REMOVE","KEEP"))</f>
        <v/>
      </c>
      <c r="E8991">
        <f>IF(D8991&lt;&gt;"KEEP","",IF(RIGHT(B8991,10)="@gmail.com","Gmail",IF(OR(RIGHT(B8991,12)="@outlook.com",RIGHT(B8991,12)="@hotmail.com",RIGHT(B8991,9)="@live.com"),"Outlook","Domain")))</f>
        <v/>
      </c>
      <c r="F8991">
        <f>IF(B8991="","",IFERROR(RIGHT(B8991,LEN(B8991)-FIND("@",B8991)),""))</f>
        <v/>
      </c>
      <c r="G8991">
        <f>IF(D8991="KEEP",COUNTIF($D$2:D8991,"KEEP"),"")</f>
        <v/>
      </c>
      <c r="H8991">
        <f>IF(D8991="REMOVE",COUNTIF($D$2:D8991,"REMOVE"),"")</f>
        <v/>
      </c>
      <c r="I8991">
        <f>IF(E8991="Gmail",COUNTIF($E$2:E8991,"Gmail"),"")</f>
        <v/>
      </c>
      <c r="J8991">
        <f>IF(E8991="Outlook",COUNTIF($E$2:E8991,"Outlook"),"")</f>
        <v/>
      </c>
      <c r="K8991">
        <f>IF(E8991="Domain",COUNTIF($E$2:E8991,"Domain"),"")</f>
        <v/>
      </c>
    </row>
    <row r="8992">
      <c r="A8992" s="2" t="n"/>
      <c r="B8992">
        <f>LOWER(TRIM(A8992))</f>
        <v/>
      </c>
      <c r="C8992">
        <f>IF(B8992="","",IFERROR(INDEX('Bad Patterns'!$A$2:$A$120,MATCH(1,INDEX(--ISNUMBER(SEARCH('Bad Patterns'!$A$2:$A$120,B8992)),0),0)),""))</f>
        <v/>
      </c>
      <c r="D8992">
        <f>IF(B8992="","",IF(C8992&lt;&gt;"","REMOVE","KEEP"))</f>
        <v/>
      </c>
      <c r="E8992">
        <f>IF(D8992&lt;&gt;"KEEP","",IF(RIGHT(B8992,10)="@gmail.com","Gmail",IF(OR(RIGHT(B8992,12)="@outlook.com",RIGHT(B8992,12)="@hotmail.com",RIGHT(B8992,9)="@live.com"),"Outlook","Domain")))</f>
        <v/>
      </c>
      <c r="F8992">
        <f>IF(B8992="","",IFERROR(RIGHT(B8992,LEN(B8992)-FIND("@",B8992)),""))</f>
        <v/>
      </c>
      <c r="G8992">
        <f>IF(D8992="KEEP",COUNTIF($D$2:D8992,"KEEP"),"")</f>
        <v/>
      </c>
      <c r="H8992">
        <f>IF(D8992="REMOVE",COUNTIF($D$2:D8992,"REMOVE"),"")</f>
        <v/>
      </c>
      <c r="I8992">
        <f>IF(E8992="Gmail",COUNTIF($E$2:E8992,"Gmail"),"")</f>
        <v/>
      </c>
      <c r="J8992">
        <f>IF(E8992="Outlook",COUNTIF($E$2:E8992,"Outlook"),"")</f>
        <v/>
      </c>
      <c r="K8992">
        <f>IF(E8992="Domain",COUNTIF($E$2:E8992,"Domain"),"")</f>
        <v/>
      </c>
    </row>
    <row r="8993">
      <c r="A8993" s="2" t="n"/>
      <c r="B8993">
        <f>LOWER(TRIM(A8993))</f>
        <v/>
      </c>
      <c r="C8993">
        <f>IF(B8993="","",IFERROR(INDEX('Bad Patterns'!$A$2:$A$120,MATCH(1,INDEX(--ISNUMBER(SEARCH('Bad Patterns'!$A$2:$A$120,B8993)),0),0)),""))</f>
        <v/>
      </c>
      <c r="D8993">
        <f>IF(B8993="","",IF(C8993&lt;&gt;"","REMOVE","KEEP"))</f>
        <v/>
      </c>
      <c r="E8993">
        <f>IF(D8993&lt;&gt;"KEEP","",IF(RIGHT(B8993,10)="@gmail.com","Gmail",IF(OR(RIGHT(B8993,12)="@outlook.com",RIGHT(B8993,12)="@hotmail.com",RIGHT(B8993,9)="@live.com"),"Outlook","Domain")))</f>
        <v/>
      </c>
      <c r="F8993">
        <f>IF(B8993="","",IFERROR(RIGHT(B8993,LEN(B8993)-FIND("@",B8993)),""))</f>
        <v/>
      </c>
      <c r="G8993">
        <f>IF(D8993="KEEP",COUNTIF($D$2:D8993,"KEEP"),"")</f>
        <v/>
      </c>
      <c r="H8993">
        <f>IF(D8993="REMOVE",COUNTIF($D$2:D8993,"REMOVE"),"")</f>
        <v/>
      </c>
      <c r="I8993">
        <f>IF(E8993="Gmail",COUNTIF($E$2:E8993,"Gmail"),"")</f>
        <v/>
      </c>
      <c r="J8993">
        <f>IF(E8993="Outlook",COUNTIF($E$2:E8993,"Outlook"),"")</f>
        <v/>
      </c>
      <c r="K8993">
        <f>IF(E8993="Domain",COUNTIF($E$2:E8993,"Domain"),"")</f>
        <v/>
      </c>
    </row>
    <row r="8994">
      <c r="A8994" s="2" t="n"/>
      <c r="B8994">
        <f>LOWER(TRIM(A8994))</f>
        <v/>
      </c>
      <c r="C8994">
        <f>IF(B8994="","",IFERROR(INDEX('Bad Patterns'!$A$2:$A$120,MATCH(1,INDEX(--ISNUMBER(SEARCH('Bad Patterns'!$A$2:$A$120,B8994)),0),0)),""))</f>
        <v/>
      </c>
      <c r="D8994">
        <f>IF(B8994="","",IF(C8994&lt;&gt;"","REMOVE","KEEP"))</f>
        <v/>
      </c>
      <c r="E8994">
        <f>IF(D8994&lt;&gt;"KEEP","",IF(RIGHT(B8994,10)="@gmail.com","Gmail",IF(OR(RIGHT(B8994,12)="@outlook.com",RIGHT(B8994,12)="@hotmail.com",RIGHT(B8994,9)="@live.com"),"Outlook","Domain")))</f>
        <v/>
      </c>
      <c r="F8994">
        <f>IF(B8994="","",IFERROR(RIGHT(B8994,LEN(B8994)-FIND("@",B8994)),""))</f>
        <v/>
      </c>
      <c r="G8994">
        <f>IF(D8994="KEEP",COUNTIF($D$2:D8994,"KEEP"),"")</f>
        <v/>
      </c>
      <c r="H8994">
        <f>IF(D8994="REMOVE",COUNTIF($D$2:D8994,"REMOVE"),"")</f>
        <v/>
      </c>
      <c r="I8994">
        <f>IF(E8994="Gmail",COUNTIF($E$2:E8994,"Gmail"),"")</f>
        <v/>
      </c>
      <c r="J8994">
        <f>IF(E8994="Outlook",COUNTIF($E$2:E8994,"Outlook"),"")</f>
        <v/>
      </c>
      <c r="K8994">
        <f>IF(E8994="Domain",COUNTIF($E$2:E8994,"Domain"),"")</f>
        <v/>
      </c>
    </row>
    <row r="8995">
      <c r="A8995" s="2" t="n"/>
      <c r="B8995">
        <f>LOWER(TRIM(A8995))</f>
        <v/>
      </c>
      <c r="C8995">
        <f>IF(B8995="","",IFERROR(INDEX('Bad Patterns'!$A$2:$A$120,MATCH(1,INDEX(--ISNUMBER(SEARCH('Bad Patterns'!$A$2:$A$120,B8995)),0),0)),""))</f>
        <v/>
      </c>
      <c r="D8995">
        <f>IF(B8995="","",IF(C8995&lt;&gt;"","REMOVE","KEEP"))</f>
        <v/>
      </c>
      <c r="E8995">
        <f>IF(D8995&lt;&gt;"KEEP","",IF(RIGHT(B8995,10)="@gmail.com","Gmail",IF(OR(RIGHT(B8995,12)="@outlook.com",RIGHT(B8995,12)="@hotmail.com",RIGHT(B8995,9)="@live.com"),"Outlook","Domain")))</f>
        <v/>
      </c>
      <c r="F8995">
        <f>IF(B8995="","",IFERROR(RIGHT(B8995,LEN(B8995)-FIND("@",B8995)),""))</f>
        <v/>
      </c>
      <c r="G8995">
        <f>IF(D8995="KEEP",COUNTIF($D$2:D8995,"KEEP"),"")</f>
        <v/>
      </c>
      <c r="H8995">
        <f>IF(D8995="REMOVE",COUNTIF($D$2:D8995,"REMOVE"),"")</f>
        <v/>
      </c>
      <c r="I8995">
        <f>IF(E8995="Gmail",COUNTIF($E$2:E8995,"Gmail"),"")</f>
        <v/>
      </c>
      <c r="J8995">
        <f>IF(E8995="Outlook",COUNTIF($E$2:E8995,"Outlook"),"")</f>
        <v/>
      </c>
      <c r="K8995">
        <f>IF(E8995="Domain",COUNTIF($E$2:E8995,"Domain"),"")</f>
        <v/>
      </c>
    </row>
    <row r="8996">
      <c r="A8996" s="2" t="n"/>
      <c r="B8996">
        <f>LOWER(TRIM(A8996))</f>
        <v/>
      </c>
      <c r="C8996">
        <f>IF(B8996="","",IFERROR(INDEX('Bad Patterns'!$A$2:$A$120,MATCH(1,INDEX(--ISNUMBER(SEARCH('Bad Patterns'!$A$2:$A$120,B8996)),0),0)),""))</f>
        <v/>
      </c>
      <c r="D8996">
        <f>IF(B8996="","",IF(C8996&lt;&gt;"","REMOVE","KEEP"))</f>
        <v/>
      </c>
      <c r="E8996">
        <f>IF(D8996&lt;&gt;"KEEP","",IF(RIGHT(B8996,10)="@gmail.com","Gmail",IF(OR(RIGHT(B8996,12)="@outlook.com",RIGHT(B8996,12)="@hotmail.com",RIGHT(B8996,9)="@live.com"),"Outlook","Domain")))</f>
        <v/>
      </c>
      <c r="F8996">
        <f>IF(B8996="","",IFERROR(RIGHT(B8996,LEN(B8996)-FIND("@",B8996)),""))</f>
        <v/>
      </c>
      <c r="G8996">
        <f>IF(D8996="KEEP",COUNTIF($D$2:D8996,"KEEP"),"")</f>
        <v/>
      </c>
      <c r="H8996">
        <f>IF(D8996="REMOVE",COUNTIF($D$2:D8996,"REMOVE"),"")</f>
        <v/>
      </c>
      <c r="I8996">
        <f>IF(E8996="Gmail",COUNTIF($E$2:E8996,"Gmail"),"")</f>
        <v/>
      </c>
      <c r="J8996">
        <f>IF(E8996="Outlook",COUNTIF($E$2:E8996,"Outlook"),"")</f>
        <v/>
      </c>
      <c r="K8996">
        <f>IF(E8996="Domain",COUNTIF($E$2:E8996,"Domain"),"")</f>
        <v/>
      </c>
    </row>
    <row r="8997">
      <c r="A8997" s="2" t="n"/>
      <c r="B8997">
        <f>LOWER(TRIM(A8997))</f>
        <v/>
      </c>
      <c r="C8997">
        <f>IF(B8997="","",IFERROR(INDEX('Bad Patterns'!$A$2:$A$120,MATCH(1,INDEX(--ISNUMBER(SEARCH('Bad Patterns'!$A$2:$A$120,B8997)),0),0)),""))</f>
        <v/>
      </c>
      <c r="D8997">
        <f>IF(B8997="","",IF(C8997&lt;&gt;"","REMOVE","KEEP"))</f>
        <v/>
      </c>
      <c r="E8997">
        <f>IF(D8997&lt;&gt;"KEEP","",IF(RIGHT(B8997,10)="@gmail.com","Gmail",IF(OR(RIGHT(B8997,12)="@outlook.com",RIGHT(B8997,12)="@hotmail.com",RIGHT(B8997,9)="@live.com"),"Outlook","Domain")))</f>
        <v/>
      </c>
      <c r="F8997">
        <f>IF(B8997="","",IFERROR(RIGHT(B8997,LEN(B8997)-FIND("@",B8997)),""))</f>
        <v/>
      </c>
      <c r="G8997">
        <f>IF(D8997="KEEP",COUNTIF($D$2:D8997,"KEEP"),"")</f>
        <v/>
      </c>
      <c r="H8997">
        <f>IF(D8997="REMOVE",COUNTIF($D$2:D8997,"REMOVE"),"")</f>
        <v/>
      </c>
      <c r="I8997">
        <f>IF(E8997="Gmail",COUNTIF($E$2:E8997,"Gmail"),"")</f>
        <v/>
      </c>
      <c r="J8997">
        <f>IF(E8997="Outlook",COUNTIF($E$2:E8997,"Outlook"),"")</f>
        <v/>
      </c>
      <c r="K8997">
        <f>IF(E8997="Domain",COUNTIF($E$2:E8997,"Domain"),"")</f>
        <v/>
      </c>
    </row>
    <row r="8998">
      <c r="A8998" s="2" t="n"/>
      <c r="B8998">
        <f>LOWER(TRIM(A8998))</f>
        <v/>
      </c>
      <c r="C8998">
        <f>IF(B8998="","",IFERROR(INDEX('Bad Patterns'!$A$2:$A$120,MATCH(1,INDEX(--ISNUMBER(SEARCH('Bad Patterns'!$A$2:$A$120,B8998)),0),0)),""))</f>
        <v/>
      </c>
      <c r="D8998">
        <f>IF(B8998="","",IF(C8998&lt;&gt;"","REMOVE","KEEP"))</f>
        <v/>
      </c>
      <c r="E8998">
        <f>IF(D8998&lt;&gt;"KEEP","",IF(RIGHT(B8998,10)="@gmail.com","Gmail",IF(OR(RIGHT(B8998,12)="@outlook.com",RIGHT(B8998,12)="@hotmail.com",RIGHT(B8998,9)="@live.com"),"Outlook","Domain")))</f>
        <v/>
      </c>
      <c r="F8998">
        <f>IF(B8998="","",IFERROR(RIGHT(B8998,LEN(B8998)-FIND("@",B8998)),""))</f>
        <v/>
      </c>
      <c r="G8998">
        <f>IF(D8998="KEEP",COUNTIF($D$2:D8998,"KEEP"),"")</f>
        <v/>
      </c>
      <c r="H8998">
        <f>IF(D8998="REMOVE",COUNTIF($D$2:D8998,"REMOVE"),"")</f>
        <v/>
      </c>
      <c r="I8998">
        <f>IF(E8998="Gmail",COUNTIF($E$2:E8998,"Gmail"),"")</f>
        <v/>
      </c>
      <c r="J8998">
        <f>IF(E8998="Outlook",COUNTIF($E$2:E8998,"Outlook"),"")</f>
        <v/>
      </c>
      <c r="K8998">
        <f>IF(E8998="Domain",COUNTIF($E$2:E8998,"Domain"),"")</f>
        <v/>
      </c>
    </row>
    <row r="8999">
      <c r="A8999" s="2" t="n"/>
      <c r="B8999">
        <f>LOWER(TRIM(A8999))</f>
        <v/>
      </c>
      <c r="C8999">
        <f>IF(B8999="","",IFERROR(INDEX('Bad Patterns'!$A$2:$A$120,MATCH(1,INDEX(--ISNUMBER(SEARCH('Bad Patterns'!$A$2:$A$120,B8999)),0),0)),""))</f>
        <v/>
      </c>
      <c r="D8999">
        <f>IF(B8999="","",IF(C8999&lt;&gt;"","REMOVE","KEEP"))</f>
        <v/>
      </c>
      <c r="E8999">
        <f>IF(D8999&lt;&gt;"KEEP","",IF(RIGHT(B8999,10)="@gmail.com","Gmail",IF(OR(RIGHT(B8999,12)="@outlook.com",RIGHT(B8999,12)="@hotmail.com",RIGHT(B8999,9)="@live.com"),"Outlook","Domain")))</f>
        <v/>
      </c>
      <c r="F8999">
        <f>IF(B8999="","",IFERROR(RIGHT(B8999,LEN(B8999)-FIND("@",B8999)),""))</f>
        <v/>
      </c>
      <c r="G8999">
        <f>IF(D8999="KEEP",COUNTIF($D$2:D8999,"KEEP"),"")</f>
        <v/>
      </c>
      <c r="H8999">
        <f>IF(D8999="REMOVE",COUNTIF($D$2:D8999,"REMOVE"),"")</f>
        <v/>
      </c>
      <c r="I8999">
        <f>IF(E8999="Gmail",COUNTIF($E$2:E8999,"Gmail"),"")</f>
        <v/>
      </c>
      <c r="J8999">
        <f>IF(E8999="Outlook",COUNTIF($E$2:E8999,"Outlook"),"")</f>
        <v/>
      </c>
      <c r="K8999">
        <f>IF(E8999="Domain",COUNTIF($E$2:E8999,"Domain"),"")</f>
        <v/>
      </c>
    </row>
    <row r="9000">
      <c r="A9000" s="2" t="n"/>
      <c r="B9000">
        <f>LOWER(TRIM(A9000))</f>
        <v/>
      </c>
      <c r="C9000">
        <f>IF(B9000="","",IFERROR(INDEX('Bad Patterns'!$A$2:$A$120,MATCH(1,INDEX(--ISNUMBER(SEARCH('Bad Patterns'!$A$2:$A$120,B9000)),0),0)),""))</f>
        <v/>
      </c>
      <c r="D9000">
        <f>IF(B9000="","",IF(C9000&lt;&gt;"","REMOVE","KEEP"))</f>
        <v/>
      </c>
      <c r="E9000">
        <f>IF(D9000&lt;&gt;"KEEP","",IF(RIGHT(B9000,10)="@gmail.com","Gmail",IF(OR(RIGHT(B9000,12)="@outlook.com",RIGHT(B9000,12)="@hotmail.com",RIGHT(B9000,9)="@live.com"),"Outlook","Domain")))</f>
        <v/>
      </c>
      <c r="F9000">
        <f>IF(B9000="","",IFERROR(RIGHT(B9000,LEN(B9000)-FIND("@",B9000)),""))</f>
        <v/>
      </c>
      <c r="G9000">
        <f>IF(D9000="KEEP",COUNTIF($D$2:D9000,"KEEP"),"")</f>
        <v/>
      </c>
      <c r="H9000">
        <f>IF(D9000="REMOVE",COUNTIF($D$2:D9000,"REMOVE"),"")</f>
        <v/>
      </c>
      <c r="I9000">
        <f>IF(E9000="Gmail",COUNTIF($E$2:E9000,"Gmail"),"")</f>
        <v/>
      </c>
      <c r="J9000">
        <f>IF(E9000="Outlook",COUNTIF($E$2:E9000,"Outlook"),"")</f>
        <v/>
      </c>
      <c r="K9000">
        <f>IF(E9000="Domain",COUNTIF($E$2:E9000,"Domain"),"")</f>
        <v/>
      </c>
    </row>
    <row r="9001">
      <c r="A9001" s="2" t="n"/>
      <c r="B9001">
        <f>LOWER(TRIM(A9001))</f>
        <v/>
      </c>
      <c r="C9001">
        <f>IF(B9001="","",IFERROR(INDEX('Bad Patterns'!$A$2:$A$120,MATCH(1,INDEX(--ISNUMBER(SEARCH('Bad Patterns'!$A$2:$A$120,B9001)),0),0)),""))</f>
        <v/>
      </c>
      <c r="D9001">
        <f>IF(B9001="","",IF(C9001&lt;&gt;"","REMOVE","KEEP"))</f>
        <v/>
      </c>
      <c r="E9001">
        <f>IF(D9001&lt;&gt;"KEEP","",IF(RIGHT(B9001,10)="@gmail.com","Gmail",IF(OR(RIGHT(B9001,12)="@outlook.com",RIGHT(B9001,12)="@hotmail.com",RIGHT(B9001,9)="@live.com"),"Outlook","Domain")))</f>
        <v/>
      </c>
      <c r="F9001">
        <f>IF(B9001="","",IFERROR(RIGHT(B9001,LEN(B9001)-FIND("@",B9001)),""))</f>
        <v/>
      </c>
      <c r="G9001">
        <f>IF(D9001="KEEP",COUNTIF($D$2:D9001,"KEEP"),"")</f>
        <v/>
      </c>
      <c r="H9001">
        <f>IF(D9001="REMOVE",COUNTIF($D$2:D9001,"REMOVE"),"")</f>
        <v/>
      </c>
      <c r="I9001">
        <f>IF(E9001="Gmail",COUNTIF($E$2:E9001,"Gmail"),"")</f>
        <v/>
      </c>
      <c r="J9001">
        <f>IF(E9001="Outlook",COUNTIF($E$2:E9001,"Outlook"),"")</f>
        <v/>
      </c>
      <c r="K9001">
        <f>IF(E9001="Domain",COUNTIF($E$2:E9001,"Domain"),"")</f>
        <v/>
      </c>
    </row>
    <row r="9002">
      <c r="A9002" s="2" t="n"/>
      <c r="B9002">
        <f>LOWER(TRIM(A9002))</f>
        <v/>
      </c>
      <c r="C9002">
        <f>IF(B9002="","",IFERROR(INDEX('Bad Patterns'!$A$2:$A$120,MATCH(1,INDEX(--ISNUMBER(SEARCH('Bad Patterns'!$A$2:$A$120,B9002)),0),0)),""))</f>
        <v/>
      </c>
      <c r="D9002">
        <f>IF(B9002="","",IF(C9002&lt;&gt;"","REMOVE","KEEP"))</f>
        <v/>
      </c>
      <c r="E9002">
        <f>IF(D9002&lt;&gt;"KEEP","",IF(RIGHT(B9002,10)="@gmail.com","Gmail",IF(OR(RIGHT(B9002,12)="@outlook.com",RIGHT(B9002,12)="@hotmail.com",RIGHT(B9002,9)="@live.com"),"Outlook","Domain")))</f>
        <v/>
      </c>
      <c r="F9002">
        <f>IF(B9002="","",IFERROR(RIGHT(B9002,LEN(B9002)-FIND("@",B9002)),""))</f>
        <v/>
      </c>
      <c r="G9002">
        <f>IF(D9002="KEEP",COUNTIF($D$2:D9002,"KEEP"),"")</f>
        <v/>
      </c>
      <c r="H9002">
        <f>IF(D9002="REMOVE",COUNTIF($D$2:D9002,"REMOVE"),"")</f>
        <v/>
      </c>
      <c r="I9002">
        <f>IF(E9002="Gmail",COUNTIF($E$2:E9002,"Gmail"),"")</f>
        <v/>
      </c>
      <c r="J9002">
        <f>IF(E9002="Outlook",COUNTIF($E$2:E9002,"Outlook"),"")</f>
        <v/>
      </c>
      <c r="K9002">
        <f>IF(E9002="Domain",COUNTIF($E$2:E9002,"Domain"),"")</f>
        <v/>
      </c>
    </row>
    <row r="9003">
      <c r="A9003" s="2" t="n"/>
      <c r="B9003">
        <f>LOWER(TRIM(A9003))</f>
        <v/>
      </c>
      <c r="C9003">
        <f>IF(B9003="","",IFERROR(INDEX('Bad Patterns'!$A$2:$A$120,MATCH(1,INDEX(--ISNUMBER(SEARCH('Bad Patterns'!$A$2:$A$120,B9003)),0),0)),""))</f>
        <v/>
      </c>
      <c r="D9003">
        <f>IF(B9003="","",IF(C9003&lt;&gt;"","REMOVE","KEEP"))</f>
        <v/>
      </c>
      <c r="E9003">
        <f>IF(D9003&lt;&gt;"KEEP","",IF(RIGHT(B9003,10)="@gmail.com","Gmail",IF(OR(RIGHT(B9003,12)="@outlook.com",RIGHT(B9003,12)="@hotmail.com",RIGHT(B9003,9)="@live.com"),"Outlook","Domain")))</f>
        <v/>
      </c>
      <c r="F9003">
        <f>IF(B9003="","",IFERROR(RIGHT(B9003,LEN(B9003)-FIND("@",B9003)),""))</f>
        <v/>
      </c>
      <c r="G9003">
        <f>IF(D9003="KEEP",COUNTIF($D$2:D9003,"KEEP"),"")</f>
        <v/>
      </c>
      <c r="H9003">
        <f>IF(D9003="REMOVE",COUNTIF($D$2:D9003,"REMOVE"),"")</f>
        <v/>
      </c>
      <c r="I9003">
        <f>IF(E9003="Gmail",COUNTIF($E$2:E9003,"Gmail"),"")</f>
        <v/>
      </c>
      <c r="J9003">
        <f>IF(E9003="Outlook",COUNTIF($E$2:E9003,"Outlook"),"")</f>
        <v/>
      </c>
      <c r="K9003">
        <f>IF(E9003="Domain",COUNTIF($E$2:E9003,"Domain"),"")</f>
        <v/>
      </c>
    </row>
    <row r="9004">
      <c r="A9004" s="2" t="n"/>
      <c r="B9004">
        <f>LOWER(TRIM(A9004))</f>
        <v/>
      </c>
      <c r="C9004">
        <f>IF(B9004="","",IFERROR(INDEX('Bad Patterns'!$A$2:$A$120,MATCH(1,INDEX(--ISNUMBER(SEARCH('Bad Patterns'!$A$2:$A$120,B9004)),0),0)),""))</f>
        <v/>
      </c>
      <c r="D9004">
        <f>IF(B9004="","",IF(C9004&lt;&gt;"","REMOVE","KEEP"))</f>
        <v/>
      </c>
      <c r="E9004">
        <f>IF(D9004&lt;&gt;"KEEP","",IF(RIGHT(B9004,10)="@gmail.com","Gmail",IF(OR(RIGHT(B9004,12)="@outlook.com",RIGHT(B9004,12)="@hotmail.com",RIGHT(B9004,9)="@live.com"),"Outlook","Domain")))</f>
        <v/>
      </c>
      <c r="F9004">
        <f>IF(B9004="","",IFERROR(RIGHT(B9004,LEN(B9004)-FIND("@",B9004)),""))</f>
        <v/>
      </c>
      <c r="G9004">
        <f>IF(D9004="KEEP",COUNTIF($D$2:D9004,"KEEP"),"")</f>
        <v/>
      </c>
      <c r="H9004">
        <f>IF(D9004="REMOVE",COUNTIF($D$2:D9004,"REMOVE"),"")</f>
        <v/>
      </c>
      <c r="I9004">
        <f>IF(E9004="Gmail",COUNTIF($E$2:E9004,"Gmail"),"")</f>
        <v/>
      </c>
      <c r="J9004">
        <f>IF(E9004="Outlook",COUNTIF($E$2:E9004,"Outlook"),"")</f>
        <v/>
      </c>
      <c r="K9004">
        <f>IF(E9004="Domain",COUNTIF($E$2:E9004,"Domain"),"")</f>
        <v/>
      </c>
    </row>
    <row r="9005">
      <c r="A9005" s="2" t="n"/>
      <c r="B9005">
        <f>LOWER(TRIM(A9005))</f>
        <v/>
      </c>
      <c r="C9005">
        <f>IF(B9005="","",IFERROR(INDEX('Bad Patterns'!$A$2:$A$120,MATCH(1,INDEX(--ISNUMBER(SEARCH('Bad Patterns'!$A$2:$A$120,B9005)),0),0)),""))</f>
        <v/>
      </c>
      <c r="D9005">
        <f>IF(B9005="","",IF(C9005&lt;&gt;"","REMOVE","KEEP"))</f>
        <v/>
      </c>
      <c r="E9005">
        <f>IF(D9005&lt;&gt;"KEEP","",IF(RIGHT(B9005,10)="@gmail.com","Gmail",IF(OR(RIGHT(B9005,12)="@outlook.com",RIGHT(B9005,12)="@hotmail.com",RIGHT(B9005,9)="@live.com"),"Outlook","Domain")))</f>
        <v/>
      </c>
      <c r="F9005">
        <f>IF(B9005="","",IFERROR(RIGHT(B9005,LEN(B9005)-FIND("@",B9005)),""))</f>
        <v/>
      </c>
      <c r="G9005">
        <f>IF(D9005="KEEP",COUNTIF($D$2:D9005,"KEEP"),"")</f>
        <v/>
      </c>
      <c r="H9005">
        <f>IF(D9005="REMOVE",COUNTIF($D$2:D9005,"REMOVE"),"")</f>
        <v/>
      </c>
      <c r="I9005">
        <f>IF(E9005="Gmail",COUNTIF($E$2:E9005,"Gmail"),"")</f>
        <v/>
      </c>
      <c r="J9005">
        <f>IF(E9005="Outlook",COUNTIF($E$2:E9005,"Outlook"),"")</f>
        <v/>
      </c>
      <c r="K9005">
        <f>IF(E9005="Domain",COUNTIF($E$2:E9005,"Domain"),"")</f>
        <v/>
      </c>
    </row>
    <row r="9006">
      <c r="A9006" s="2" t="n"/>
      <c r="B9006">
        <f>LOWER(TRIM(A9006))</f>
        <v/>
      </c>
      <c r="C9006">
        <f>IF(B9006="","",IFERROR(INDEX('Bad Patterns'!$A$2:$A$120,MATCH(1,INDEX(--ISNUMBER(SEARCH('Bad Patterns'!$A$2:$A$120,B9006)),0),0)),""))</f>
        <v/>
      </c>
      <c r="D9006">
        <f>IF(B9006="","",IF(C9006&lt;&gt;"","REMOVE","KEEP"))</f>
        <v/>
      </c>
      <c r="E9006">
        <f>IF(D9006&lt;&gt;"KEEP","",IF(RIGHT(B9006,10)="@gmail.com","Gmail",IF(OR(RIGHT(B9006,12)="@outlook.com",RIGHT(B9006,12)="@hotmail.com",RIGHT(B9006,9)="@live.com"),"Outlook","Domain")))</f>
        <v/>
      </c>
      <c r="F9006">
        <f>IF(B9006="","",IFERROR(RIGHT(B9006,LEN(B9006)-FIND("@",B9006)),""))</f>
        <v/>
      </c>
      <c r="G9006">
        <f>IF(D9006="KEEP",COUNTIF($D$2:D9006,"KEEP"),"")</f>
        <v/>
      </c>
      <c r="H9006">
        <f>IF(D9006="REMOVE",COUNTIF($D$2:D9006,"REMOVE"),"")</f>
        <v/>
      </c>
      <c r="I9006">
        <f>IF(E9006="Gmail",COUNTIF($E$2:E9006,"Gmail"),"")</f>
        <v/>
      </c>
      <c r="J9006">
        <f>IF(E9006="Outlook",COUNTIF($E$2:E9006,"Outlook"),"")</f>
        <v/>
      </c>
      <c r="K9006">
        <f>IF(E9006="Domain",COUNTIF($E$2:E9006,"Domain"),"")</f>
        <v/>
      </c>
    </row>
    <row r="9007">
      <c r="A9007" s="2" t="n"/>
      <c r="B9007">
        <f>LOWER(TRIM(A9007))</f>
        <v/>
      </c>
      <c r="C9007">
        <f>IF(B9007="","",IFERROR(INDEX('Bad Patterns'!$A$2:$A$120,MATCH(1,INDEX(--ISNUMBER(SEARCH('Bad Patterns'!$A$2:$A$120,B9007)),0),0)),""))</f>
        <v/>
      </c>
      <c r="D9007">
        <f>IF(B9007="","",IF(C9007&lt;&gt;"","REMOVE","KEEP"))</f>
        <v/>
      </c>
      <c r="E9007">
        <f>IF(D9007&lt;&gt;"KEEP","",IF(RIGHT(B9007,10)="@gmail.com","Gmail",IF(OR(RIGHT(B9007,12)="@outlook.com",RIGHT(B9007,12)="@hotmail.com",RIGHT(B9007,9)="@live.com"),"Outlook","Domain")))</f>
        <v/>
      </c>
      <c r="F9007">
        <f>IF(B9007="","",IFERROR(RIGHT(B9007,LEN(B9007)-FIND("@",B9007)),""))</f>
        <v/>
      </c>
      <c r="G9007">
        <f>IF(D9007="KEEP",COUNTIF($D$2:D9007,"KEEP"),"")</f>
        <v/>
      </c>
      <c r="H9007">
        <f>IF(D9007="REMOVE",COUNTIF($D$2:D9007,"REMOVE"),"")</f>
        <v/>
      </c>
      <c r="I9007">
        <f>IF(E9007="Gmail",COUNTIF($E$2:E9007,"Gmail"),"")</f>
        <v/>
      </c>
      <c r="J9007">
        <f>IF(E9007="Outlook",COUNTIF($E$2:E9007,"Outlook"),"")</f>
        <v/>
      </c>
      <c r="K9007">
        <f>IF(E9007="Domain",COUNTIF($E$2:E9007,"Domain"),"")</f>
        <v/>
      </c>
    </row>
    <row r="9008">
      <c r="A9008" s="2" t="n"/>
      <c r="B9008">
        <f>LOWER(TRIM(A9008))</f>
        <v/>
      </c>
      <c r="C9008">
        <f>IF(B9008="","",IFERROR(INDEX('Bad Patterns'!$A$2:$A$120,MATCH(1,INDEX(--ISNUMBER(SEARCH('Bad Patterns'!$A$2:$A$120,B9008)),0),0)),""))</f>
        <v/>
      </c>
      <c r="D9008">
        <f>IF(B9008="","",IF(C9008&lt;&gt;"","REMOVE","KEEP"))</f>
        <v/>
      </c>
      <c r="E9008">
        <f>IF(D9008&lt;&gt;"KEEP","",IF(RIGHT(B9008,10)="@gmail.com","Gmail",IF(OR(RIGHT(B9008,12)="@outlook.com",RIGHT(B9008,12)="@hotmail.com",RIGHT(B9008,9)="@live.com"),"Outlook","Domain")))</f>
        <v/>
      </c>
      <c r="F9008">
        <f>IF(B9008="","",IFERROR(RIGHT(B9008,LEN(B9008)-FIND("@",B9008)),""))</f>
        <v/>
      </c>
      <c r="G9008">
        <f>IF(D9008="KEEP",COUNTIF($D$2:D9008,"KEEP"),"")</f>
        <v/>
      </c>
      <c r="H9008">
        <f>IF(D9008="REMOVE",COUNTIF($D$2:D9008,"REMOVE"),"")</f>
        <v/>
      </c>
      <c r="I9008">
        <f>IF(E9008="Gmail",COUNTIF($E$2:E9008,"Gmail"),"")</f>
        <v/>
      </c>
      <c r="J9008">
        <f>IF(E9008="Outlook",COUNTIF($E$2:E9008,"Outlook"),"")</f>
        <v/>
      </c>
      <c r="K9008">
        <f>IF(E9008="Domain",COUNTIF($E$2:E9008,"Domain"),"")</f>
        <v/>
      </c>
    </row>
    <row r="9009">
      <c r="A9009" s="2" t="n"/>
      <c r="B9009">
        <f>LOWER(TRIM(A9009))</f>
        <v/>
      </c>
      <c r="C9009">
        <f>IF(B9009="","",IFERROR(INDEX('Bad Patterns'!$A$2:$A$120,MATCH(1,INDEX(--ISNUMBER(SEARCH('Bad Patterns'!$A$2:$A$120,B9009)),0),0)),""))</f>
        <v/>
      </c>
      <c r="D9009">
        <f>IF(B9009="","",IF(C9009&lt;&gt;"","REMOVE","KEEP"))</f>
        <v/>
      </c>
      <c r="E9009">
        <f>IF(D9009&lt;&gt;"KEEP","",IF(RIGHT(B9009,10)="@gmail.com","Gmail",IF(OR(RIGHT(B9009,12)="@outlook.com",RIGHT(B9009,12)="@hotmail.com",RIGHT(B9009,9)="@live.com"),"Outlook","Domain")))</f>
        <v/>
      </c>
      <c r="F9009">
        <f>IF(B9009="","",IFERROR(RIGHT(B9009,LEN(B9009)-FIND("@",B9009)),""))</f>
        <v/>
      </c>
      <c r="G9009">
        <f>IF(D9009="KEEP",COUNTIF($D$2:D9009,"KEEP"),"")</f>
        <v/>
      </c>
      <c r="H9009">
        <f>IF(D9009="REMOVE",COUNTIF($D$2:D9009,"REMOVE"),"")</f>
        <v/>
      </c>
      <c r="I9009">
        <f>IF(E9009="Gmail",COUNTIF($E$2:E9009,"Gmail"),"")</f>
        <v/>
      </c>
      <c r="J9009">
        <f>IF(E9009="Outlook",COUNTIF($E$2:E9009,"Outlook"),"")</f>
        <v/>
      </c>
      <c r="K9009">
        <f>IF(E9009="Domain",COUNTIF($E$2:E9009,"Domain"),"")</f>
        <v/>
      </c>
    </row>
    <row r="9010">
      <c r="A9010" s="2" t="n"/>
      <c r="B9010">
        <f>LOWER(TRIM(A9010))</f>
        <v/>
      </c>
      <c r="C9010">
        <f>IF(B9010="","",IFERROR(INDEX('Bad Patterns'!$A$2:$A$120,MATCH(1,INDEX(--ISNUMBER(SEARCH('Bad Patterns'!$A$2:$A$120,B9010)),0),0)),""))</f>
        <v/>
      </c>
      <c r="D9010">
        <f>IF(B9010="","",IF(C9010&lt;&gt;"","REMOVE","KEEP"))</f>
        <v/>
      </c>
      <c r="E9010">
        <f>IF(D9010&lt;&gt;"KEEP","",IF(RIGHT(B9010,10)="@gmail.com","Gmail",IF(OR(RIGHT(B9010,12)="@outlook.com",RIGHT(B9010,12)="@hotmail.com",RIGHT(B9010,9)="@live.com"),"Outlook","Domain")))</f>
        <v/>
      </c>
      <c r="F9010">
        <f>IF(B9010="","",IFERROR(RIGHT(B9010,LEN(B9010)-FIND("@",B9010)),""))</f>
        <v/>
      </c>
      <c r="G9010">
        <f>IF(D9010="KEEP",COUNTIF($D$2:D9010,"KEEP"),"")</f>
        <v/>
      </c>
      <c r="H9010">
        <f>IF(D9010="REMOVE",COUNTIF($D$2:D9010,"REMOVE"),"")</f>
        <v/>
      </c>
      <c r="I9010">
        <f>IF(E9010="Gmail",COUNTIF($E$2:E9010,"Gmail"),"")</f>
        <v/>
      </c>
      <c r="J9010">
        <f>IF(E9010="Outlook",COUNTIF($E$2:E9010,"Outlook"),"")</f>
        <v/>
      </c>
      <c r="K9010">
        <f>IF(E9010="Domain",COUNTIF($E$2:E9010,"Domain"),"")</f>
        <v/>
      </c>
    </row>
    <row r="9011">
      <c r="A9011" s="2" t="n"/>
      <c r="B9011">
        <f>LOWER(TRIM(A9011))</f>
        <v/>
      </c>
      <c r="C9011">
        <f>IF(B9011="","",IFERROR(INDEX('Bad Patterns'!$A$2:$A$120,MATCH(1,INDEX(--ISNUMBER(SEARCH('Bad Patterns'!$A$2:$A$120,B9011)),0),0)),""))</f>
        <v/>
      </c>
      <c r="D9011">
        <f>IF(B9011="","",IF(C9011&lt;&gt;"","REMOVE","KEEP"))</f>
        <v/>
      </c>
      <c r="E9011">
        <f>IF(D9011&lt;&gt;"KEEP","",IF(RIGHT(B9011,10)="@gmail.com","Gmail",IF(OR(RIGHT(B9011,12)="@outlook.com",RIGHT(B9011,12)="@hotmail.com",RIGHT(B9011,9)="@live.com"),"Outlook","Domain")))</f>
        <v/>
      </c>
      <c r="F9011">
        <f>IF(B9011="","",IFERROR(RIGHT(B9011,LEN(B9011)-FIND("@",B9011)),""))</f>
        <v/>
      </c>
      <c r="G9011">
        <f>IF(D9011="KEEP",COUNTIF($D$2:D9011,"KEEP"),"")</f>
        <v/>
      </c>
      <c r="H9011">
        <f>IF(D9011="REMOVE",COUNTIF($D$2:D9011,"REMOVE"),"")</f>
        <v/>
      </c>
      <c r="I9011">
        <f>IF(E9011="Gmail",COUNTIF($E$2:E9011,"Gmail"),"")</f>
        <v/>
      </c>
      <c r="J9011">
        <f>IF(E9011="Outlook",COUNTIF($E$2:E9011,"Outlook"),"")</f>
        <v/>
      </c>
      <c r="K9011">
        <f>IF(E9011="Domain",COUNTIF($E$2:E9011,"Domain"),"")</f>
        <v/>
      </c>
    </row>
    <row r="9012">
      <c r="A9012" s="2" t="n"/>
      <c r="B9012">
        <f>LOWER(TRIM(A9012))</f>
        <v/>
      </c>
      <c r="C9012">
        <f>IF(B9012="","",IFERROR(INDEX('Bad Patterns'!$A$2:$A$120,MATCH(1,INDEX(--ISNUMBER(SEARCH('Bad Patterns'!$A$2:$A$120,B9012)),0),0)),""))</f>
        <v/>
      </c>
      <c r="D9012">
        <f>IF(B9012="","",IF(C9012&lt;&gt;"","REMOVE","KEEP"))</f>
        <v/>
      </c>
      <c r="E9012">
        <f>IF(D9012&lt;&gt;"KEEP","",IF(RIGHT(B9012,10)="@gmail.com","Gmail",IF(OR(RIGHT(B9012,12)="@outlook.com",RIGHT(B9012,12)="@hotmail.com",RIGHT(B9012,9)="@live.com"),"Outlook","Domain")))</f>
        <v/>
      </c>
      <c r="F9012">
        <f>IF(B9012="","",IFERROR(RIGHT(B9012,LEN(B9012)-FIND("@",B9012)),""))</f>
        <v/>
      </c>
      <c r="G9012">
        <f>IF(D9012="KEEP",COUNTIF($D$2:D9012,"KEEP"),"")</f>
        <v/>
      </c>
      <c r="H9012">
        <f>IF(D9012="REMOVE",COUNTIF($D$2:D9012,"REMOVE"),"")</f>
        <v/>
      </c>
      <c r="I9012">
        <f>IF(E9012="Gmail",COUNTIF($E$2:E9012,"Gmail"),"")</f>
        <v/>
      </c>
      <c r="J9012">
        <f>IF(E9012="Outlook",COUNTIF($E$2:E9012,"Outlook"),"")</f>
        <v/>
      </c>
      <c r="K9012">
        <f>IF(E9012="Domain",COUNTIF($E$2:E9012,"Domain"),"")</f>
        <v/>
      </c>
    </row>
    <row r="9013">
      <c r="A9013" s="2" t="n"/>
      <c r="B9013">
        <f>LOWER(TRIM(A9013))</f>
        <v/>
      </c>
      <c r="C9013">
        <f>IF(B9013="","",IFERROR(INDEX('Bad Patterns'!$A$2:$A$120,MATCH(1,INDEX(--ISNUMBER(SEARCH('Bad Patterns'!$A$2:$A$120,B9013)),0),0)),""))</f>
        <v/>
      </c>
      <c r="D9013">
        <f>IF(B9013="","",IF(C9013&lt;&gt;"","REMOVE","KEEP"))</f>
        <v/>
      </c>
      <c r="E9013">
        <f>IF(D9013&lt;&gt;"KEEP","",IF(RIGHT(B9013,10)="@gmail.com","Gmail",IF(OR(RIGHT(B9013,12)="@outlook.com",RIGHT(B9013,12)="@hotmail.com",RIGHT(B9013,9)="@live.com"),"Outlook","Domain")))</f>
        <v/>
      </c>
      <c r="F9013">
        <f>IF(B9013="","",IFERROR(RIGHT(B9013,LEN(B9013)-FIND("@",B9013)),""))</f>
        <v/>
      </c>
      <c r="G9013">
        <f>IF(D9013="KEEP",COUNTIF($D$2:D9013,"KEEP"),"")</f>
        <v/>
      </c>
      <c r="H9013">
        <f>IF(D9013="REMOVE",COUNTIF($D$2:D9013,"REMOVE"),"")</f>
        <v/>
      </c>
      <c r="I9013">
        <f>IF(E9013="Gmail",COUNTIF($E$2:E9013,"Gmail"),"")</f>
        <v/>
      </c>
      <c r="J9013">
        <f>IF(E9013="Outlook",COUNTIF($E$2:E9013,"Outlook"),"")</f>
        <v/>
      </c>
      <c r="K9013">
        <f>IF(E9013="Domain",COUNTIF($E$2:E9013,"Domain"),"")</f>
        <v/>
      </c>
    </row>
    <row r="9014">
      <c r="A9014" s="2" t="n"/>
      <c r="B9014">
        <f>LOWER(TRIM(A9014))</f>
        <v/>
      </c>
      <c r="C9014">
        <f>IF(B9014="","",IFERROR(INDEX('Bad Patterns'!$A$2:$A$120,MATCH(1,INDEX(--ISNUMBER(SEARCH('Bad Patterns'!$A$2:$A$120,B9014)),0),0)),""))</f>
        <v/>
      </c>
      <c r="D9014">
        <f>IF(B9014="","",IF(C9014&lt;&gt;"","REMOVE","KEEP"))</f>
        <v/>
      </c>
      <c r="E9014">
        <f>IF(D9014&lt;&gt;"KEEP","",IF(RIGHT(B9014,10)="@gmail.com","Gmail",IF(OR(RIGHT(B9014,12)="@outlook.com",RIGHT(B9014,12)="@hotmail.com",RIGHT(B9014,9)="@live.com"),"Outlook","Domain")))</f>
        <v/>
      </c>
      <c r="F9014">
        <f>IF(B9014="","",IFERROR(RIGHT(B9014,LEN(B9014)-FIND("@",B9014)),""))</f>
        <v/>
      </c>
      <c r="G9014">
        <f>IF(D9014="KEEP",COUNTIF($D$2:D9014,"KEEP"),"")</f>
        <v/>
      </c>
      <c r="H9014">
        <f>IF(D9014="REMOVE",COUNTIF($D$2:D9014,"REMOVE"),"")</f>
        <v/>
      </c>
      <c r="I9014">
        <f>IF(E9014="Gmail",COUNTIF($E$2:E9014,"Gmail"),"")</f>
        <v/>
      </c>
      <c r="J9014">
        <f>IF(E9014="Outlook",COUNTIF($E$2:E9014,"Outlook"),"")</f>
        <v/>
      </c>
      <c r="K9014">
        <f>IF(E9014="Domain",COUNTIF($E$2:E9014,"Domain"),"")</f>
        <v/>
      </c>
    </row>
    <row r="9015">
      <c r="A9015" s="2" t="n"/>
      <c r="B9015">
        <f>LOWER(TRIM(A9015))</f>
        <v/>
      </c>
      <c r="C9015">
        <f>IF(B9015="","",IFERROR(INDEX('Bad Patterns'!$A$2:$A$120,MATCH(1,INDEX(--ISNUMBER(SEARCH('Bad Patterns'!$A$2:$A$120,B9015)),0),0)),""))</f>
        <v/>
      </c>
      <c r="D9015">
        <f>IF(B9015="","",IF(C9015&lt;&gt;"","REMOVE","KEEP"))</f>
        <v/>
      </c>
      <c r="E9015">
        <f>IF(D9015&lt;&gt;"KEEP","",IF(RIGHT(B9015,10)="@gmail.com","Gmail",IF(OR(RIGHT(B9015,12)="@outlook.com",RIGHT(B9015,12)="@hotmail.com",RIGHT(B9015,9)="@live.com"),"Outlook","Domain")))</f>
        <v/>
      </c>
      <c r="F9015">
        <f>IF(B9015="","",IFERROR(RIGHT(B9015,LEN(B9015)-FIND("@",B9015)),""))</f>
        <v/>
      </c>
      <c r="G9015">
        <f>IF(D9015="KEEP",COUNTIF($D$2:D9015,"KEEP"),"")</f>
        <v/>
      </c>
      <c r="H9015">
        <f>IF(D9015="REMOVE",COUNTIF($D$2:D9015,"REMOVE"),"")</f>
        <v/>
      </c>
      <c r="I9015">
        <f>IF(E9015="Gmail",COUNTIF($E$2:E9015,"Gmail"),"")</f>
        <v/>
      </c>
      <c r="J9015">
        <f>IF(E9015="Outlook",COUNTIF($E$2:E9015,"Outlook"),"")</f>
        <v/>
      </c>
      <c r="K9015">
        <f>IF(E9015="Domain",COUNTIF($E$2:E9015,"Domain"),"")</f>
        <v/>
      </c>
    </row>
    <row r="9016">
      <c r="A9016" s="2" t="n"/>
      <c r="B9016">
        <f>LOWER(TRIM(A9016))</f>
        <v/>
      </c>
      <c r="C9016">
        <f>IF(B9016="","",IFERROR(INDEX('Bad Patterns'!$A$2:$A$120,MATCH(1,INDEX(--ISNUMBER(SEARCH('Bad Patterns'!$A$2:$A$120,B9016)),0),0)),""))</f>
        <v/>
      </c>
      <c r="D9016">
        <f>IF(B9016="","",IF(C9016&lt;&gt;"","REMOVE","KEEP"))</f>
        <v/>
      </c>
      <c r="E9016">
        <f>IF(D9016&lt;&gt;"KEEP","",IF(RIGHT(B9016,10)="@gmail.com","Gmail",IF(OR(RIGHT(B9016,12)="@outlook.com",RIGHT(B9016,12)="@hotmail.com",RIGHT(B9016,9)="@live.com"),"Outlook","Domain")))</f>
        <v/>
      </c>
      <c r="F9016">
        <f>IF(B9016="","",IFERROR(RIGHT(B9016,LEN(B9016)-FIND("@",B9016)),""))</f>
        <v/>
      </c>
      <c r="G9016">
        <f>IF(D9016="KEEP",COUNTIF($D$2:D9016,"KEEP"),"")</f>
        <v/>
      </c>
      <c r="H9016">
        <f>IF(D9016="REMOVE",COUNTIF($D$2:D9016,"REMOVE"),"")</f>
        <v/>
      </c>
      <c r="I9016">
        <f>IF(E9016="Gmail",COUNTIF($E$2:E9016,"Gmail"),"")</f>
        <v/>
      </c>
      <c r="J9016">
        <f>IF(E9016="Outlook",COUNTIF($E$2:E9016,"Outlook"),"")</f>
        <v/>
      </c>
      <c r="K9016">
        <f>IF(E9016="Domain",COUNTIF($E$2:E9016,"Domain"),"")</f>
        <v/>
      </c>
    </row>
    <row r="9017">
      <c r="A9017" s="2" t="n"/>
      <c r="B9017">
        <f>LOWER(TRIM(A9017))</f>
        <v/>
      </c>
      <c r="C9017">
        <f>IF(B9017="","",IFERROR(INDEX('Bad Patterns'!$A$2:$A$120,MATCH(1,INDEX(--ISNUMBER(SEARCH('Bad Patterns'!$A$2:$A$120,B9017)),0),0)),""))</f>
        <v/>
      </c>
      <c r="D9017">
        <f>IF(B9017="","",IF(C9017&lt;&gt;"","REMOVE","KEEP"))</f>
        <v/>
      </c>
      <c r="E9017">
        <f>IF(D9017&lt;&gt;"KEEP","",IF(RIGHT(B9017,10)="@gmail.com","Gmail",IF(OR(RIGHT(B9017,12)="@outlook.com",RIGHT(B9017,12)="@hotmail.com",RIGHT(B9017,9)="@live.com"),"Outlook","Domain")))</f>
        <v/>
      </c>
      <c r="F9017">
        <f>IF(B9017="","",IFERROR(RIGHT(B9017,LEN(B9017)-FIND("@",B9017)),""))</f>
        <v/>
      </c>
      <c r="G9017">
        <f>IF(D9017="KEEP",COUNTIF($D$2:D9017,"KEEP"),"")</f>
        <v/>
      </c>
      <c r="H9017">
        <f>IF(D9017="REMOVE",COUNTIF($D$2:D9017,"REMOVE"),"")</f>
        <v/>
      </c>
      <c r="I9017">
        <f>IF(E9017="Gmail",COUNTIF($E$2:E9017,"Gmail"),"")</f>
        <v/>
      </c>
      <c r="J9017">
        <f>IF(E9017="Outlook",COUNTIF($E$2:E9017,"Outlook"),"")</f>
        <v/>
      </c>
      <c r="K9017">
        <f>IF(E9017="Domain",COUNTIF($E$2:E9017,"Domain"),"")</f>
        <v/>
      </c>
    </row>
    <row r="9018">
      <c r="A9018" s="2" t="n"/>
      <c r="B9018">
        <f>LOWER(TRIM(A9018))</f>
        <v/>
      </c>
      <c r="C9018">
        <f>IF(B9018="","",IFERROR(INDEX('Bad Patterns'!$A$2:$A$120,MATCH(1,INDEX(--ISNUMBER(SEARCH('Bad Patterns'!$A$2:$A$120,B9018)),0),0)),""))</f>
        <v/>
      </c>
      <c r="D9018">
        <f>IF(B9018="","",IF(C9018&lt;&gt;"","REMOVE","KEEP"))</f>
        <v/>
      </c>
      <c r="E9018">
        <f>IF(D9018&lt;&gt;"KEEP","",IF(RIGHT(B9018,10)="@gmail.com","Gmail",IF(OR(RIGHT(B9018,12)="@outlook.com",RIGHT(B9018,12)="@hotmail.com",RIGHT(B9018,9)="@live.com"),"Outlook","Domain")))</f>
        <v/>
      </c>
      <c r="F9018">
        <f>IF(B9018="","",IFERROR(RIGHT(B9018,LEN(B9018)-FIND("@",B9018)),""))</f>
        <v/>
      </c>
      <c r="G9018">
        <f>IF(D9018="KEEP",COUNTIF($D$2:D9018,"KEEP"),"")</f>
        <v/>
      </c>
      <c r="H9018">
        <f>IF(D9018="REMOVE",COUNTIF($D$2:D9018,"REMOVE"),"")</f>
        <v/>
      </c>
      <c r="I9018">
        <f>IF(E9018="Gmail",COUNTIF($E$2:E9018,"Gmail"),"")</f>
        <v/>
      </c>
      <c r="J9018">
        <f>IF(E9018="Outlook",COUNTIF($E$2:E9018,"Outlook"),"")</f>
        <v/>
      </c>
      <c r="K9018">
        <f>IF(E9018="Domain",COUNTIF($E$2:E9018,"Domain"),"")</f>
        <v/>
      </c>
    </row>
    <row r="9019">
      <c r="A9019" s="2" t="n"/>
      <c r="B9019">
        <f>LOWER(TRIM(A9019))</f>
        <v/>
      </c>
      <c r="C9019">
        <f>IF(B9019="","",IFERROR(INDEX('Bad Patterns'!$A$2:$A$120,MATCH(1,INDEX(--ISNUMBER(SEARCH('Bad Patterns'!$A$2:$A$120,B9019)),0),0)),""))</f>
        <v/>
      </c>
      <c r="D9019">
        <f>IF(B9019="","",IF(C9019&lt;&gt;"","REMOVE","KEEP"))</f>
        <v/>
      </c>
      <c r="E9019">
        <f>IF(D9019&lt;&gt;"KEEP","",IF(RIGHT(B9019,10)="@gmail.com","Gmail",IF(OR(RIGHT(B9019,12)="@outlook.com",RIGHT(B9019,12)="@hotmail.com",RIGHT(B9019,9)="@live.com"),"Outlook","Domain")))</f>
        <v/>
      </c>
      <c r="F9019">
        <f>IF(B9019="","",IFERROR(RIGHT(B9019,LEN(B9019)-FIND("@",B9019)),""))</f>
        <v/>
      </c>
      <c r="G9019">
        <f>IF(D9019="KEEP",COUNTIF($D$2:D9019,"KEEP"),"")</f>
        <v/>
      </c>
      <c r="H9019">
        <f>IF(D9019="REMOVE",COUNTIF($D$2:D9019,"REMOVE"),"")</f>
        <v/>
      </c>
      <c r="I9019">
        <f>IF(E9019="Gmail",COUNTIF($E$2:E9019,"Gmail"),"")</f>
        <v/>
      </c>
      <c r="J9019">
        <f>IF(E9019="Outlook",COUNTIF($E$2:E9019,"Outlook"),"")</f>
        <v/>
      </c>
      <c r="K9019">
        <f>IF(E9019="Domain",COUNTIF($E$2:E9019,"Domain"),"")</f>
        <v/>
      </c>
    </row>
    <row r="9020">
      <c r="A9020" s="2" t="n"/>
      <c r="B9020">
        <f>LOWER(TRIM(A9020))</f>
        <v/>
      </c>
      <c r="C9020">
        <f>IF(B9020="","",IFERROR(INDEX('Bad Patterns'!$A$2:$A$120,MATCH(1,INDEX(--ISNUMBER(SEARCH('Bad Patterns'!$A$2:$A$120,B9020)),0),0)),""))</f>
        <v/>
      </c>
      <c r="D9020">
        <f>IF(B9020="","",IF(C9020&lt;&gt;"","REMOVE","KEEP"))</f>
        <v/>
      </c>
      <c r="E9020">
        <f>IF(D9020&lt;&gt;"KEEP","",IF(RIGHT(B9020,10)="@gmail.com","Gmail",IF(OR(RIGHT(B9020,12)="@outlook.com",RIGHT(B9020,12)="@hotmail.com",RIGHT(B9020,9)="@live.com"),"Outlook","Domain")))</f>
        <v/>
      </c>
      <c r="F9020">
        <f>IF(B9020="","",IFERROR(RIGHT(B9020,LEN(B9020)-FIND("@",B9020)),""))</f>
        <v/>
      </c>
      <c r="G9020">
        <f>IF(D9020="KEEP",COUNTIF($D$2:D9020,"KEEP"),"")</f>
        <v/>
      </c>
      <c r="H9020">
        <f>IF(D9020="REMOVE",COUNTIF($D$2:D9020,"REMOVE"),"")</f>
        <v/>
      </c>
      <c r="I9020">
        <f>IF(E9020="Gmail",COUNTIF($E$2:E9020,"Gmail"),"")</f>
        <v/>
      </c>
      <c r="J9020">
        <f>IF(E9020="Outlook",COUNTIF($E$2:E9020,"Outlook"),"")</f>
        <v/>
      </c>
      <c r="K9020">
        <f>IF(E9020="Domain",COUNTIF($E$2:E9020,"Domain"),"")</f>
        <v/>
      </c>
    </row>
    <row r="9021">
      <c r="A9021" s="2" t="n"/>
      <c r="B9021">
        <f>LOWER(TRIM(A9021))</f>
        <v/>
      </c>
      <c r="C9021">
        <f>IF(B9021="","",IFERROR(INDEX('Bad Patterns'!$A$2:$A$120,MATCH(1,INDEX(--ISNUMBER(SEARCH('Bad Patterns'!$A$2:$A$120,B9021)),0),0)),""))</f>
        <v/>
      </c>
      <c r="D9021">
        <f>IF(B9021="","",IF(C9021&lt;&gt;"","REMOVE","KEEP"))</f>
        <v/>
      </c>
      <c r="E9021">
        <f>IF(D9021&lt;&gt;"KEEP","",IF(RIGHT(B9021,10)="@gmail.com","Gmail",IF(OR(RIGHT(B9021,12)="@outlook.com",RIGHT(B9021,12)="@hotmail.com",RIGHT(B9021,9)="@live.com"),"Outlook","Domain")))</f>
        <v/>
      </c>
      <c r="F9021">
        <f>IF(B9021="","",IFERROR(RIGHT(B9021,LEN(B9021)-FIND("@",B9021)),""))</f>
        <v/>
      </c>
      <c r="G9021">
        <f>IF(D9021="KEEP",COUNTIF($D$2:D9021,"KEEP"),"")</f>
        <v/>
      </c>
      <c r="H9021">
        <f>IF(D9021="REMOVE",COUNTIF($D$2:D9021,"REMOVE"),"")</f>
        <v/>
      </c>
      <c r="I9021">
        <f>IF(E9021="Gmail",COUNTIF($E$2:E9021,"Gmail"),"")</f>
        <v/>
      </c>
      <c r="J9021">
        <f>IF(E9021="Outlook",COUNTIF($E$2:E9021,"Outlook"),"")</f>
        <v/>
      </c>
      <c r="K9021">
        <f>IF(E9021="Domain",COUNTIF($E$2:E9021,"Domain"),"")</f>
        <v/>
      </c>
    </row>
    <row r="9022">
      <c r="A9022" s="2" t="n"/>
      <c r="B9022">
        <f>LOWER(TRIM(A9022))</f>
        <v/>
      </c>
      <c r="C9022">
        <f>IF(B9022="","",IFERROR(INDEX('Bad Patterns'!$A$2:$A$120,MATCH(1,INDEX(--ISNUMBER(SEARCH('Bad Patterns'!$A$2:$A$120,B9022)),0),0)),""))</f>
        <v/>
      </c>
      <c r="D9022">
        <f>IF(B9022="","",IF(C9022&lt;&gt;"","REMOVE","KEEP"))</f>
        <v/>
      </c>
      <c r="E9022">
        <f>IF(D9022&lt;&gt;"KEEP","",IF(RIGHT(B9022,10)="@gmail.com","Gmail",IF(OR(RIGHT(B9022,12)="@outlook.com",RIGHT(B9022,12)="@hotmail.com",RIGHT(B9022,9)="@live.com"),"Outlook","Domain")))</f>
        <v/>
      </c>
      <c r="F9022">
        <f>IF(B9022="","",IFERROR(RIGHT(B9022,LEN(B9022)-FIND("@",B9022)),""))</f>
        <v/>
      </c>
      <c r="G9022">
        <f>IF(D9022="KEEP",COUNTIF($D$2:D9022,"KEEP"),"")</f>
        <v/>
      </c>
      <c r="H9022">
        <f>IF(D9022="REMOVE",COUNTIF($D$2:D9022,"REMOVE"),"")</f>
        <v/>
      </c>
      <c r="I9022">
        <f>IF(E9022="Gmail",COUNTIF($E$2:E9022,"Gmail"),"")</f>
        <v/>
      </c>
      <c r="J9022">
        <f>IF(E9022="Outlook",COUNTIF($E$2:E9022,"Outlook"),"")</f>
        <v/>
      </c>
      <c r="K9022">
        <f>IF(E9022="Domain",COUNTIF($E$2:E9022,"Domain"),"")</f>
        <v/>
      </c>
    </row>
    <row r="9023">
      <c r="A9023" s="2" t="n"/>
      <c r="B9023">
        <f>LOWER(TRIM(A9023))</f>
        <v/>
      </c>
      <c r="C9023">
        <f>IF(B9023="","",IFERROR(INDEX('Bad Patterns'!$A$2:$A$120,MATCH(1,INDEX(--ISNUMBER(SEARCH('Bad Patterns'!$A$2:$A$120,B9023)),0),0)),""))</f>
        <v/>
      </c>
      <c r="D9023">
        <f>IF(B9023="","",IF(C9023&lt;&gt;"","REMOVE","KEEP"))</f>
        <v/>
      </c>
      <c r="E9023">
        <f>IF(D9023&lt;&gt;"KEEP","",IF(RIGHT(B9023,10)="@gmail.com","Gmail",IF(OR(RIGHT(B9023,12)="@outlook.com",RIGHT(B9023,12)="@hotmail.com",RIGHT(B9023,9)="@live.com"),"Outlook","Domain")))</f>
        <v/>
      </c>
      <c r="F9023">
        <f>IF(B9023="","",IFERROR(RIGHT(B9023,LEN(B9023)-FIND("@",B9023)),""))</f>
        <v/>
      </c>
      <c r="G9023">
        <f>IF(D9023="KEEP",COUNTIF($D$2:D9023,"KEEP"),"")</f>
        <v/>
      </c>
      <c r="H9023">
        <f>IF(D9023="REMOVE",COUNTIF($D$2:D9023,"REMOVE"),"")</f>
        <v/>
      </c>
      <c r="I9023">
        <f>IF(E9023="Gmail",COUNTIF($E$2:E9023,"Gmail"),"")</f>
        <v/>
      </c>
      <c r="J9023">
        <f>IF(E9023="Outlook",COUNTIF($E$2:E9023,"Outlook"),"")</f>
        <v/>
      </c>
      <c r="K9023">
        <f>IF(E9023="Domain",COUNTIF($E$2:E9023,"Domain"),"")</f>
        <v/>
      </c>
    </row>
    <row r="9024">
      <c r="A9024" s="2" t="n"/>
      <c r="B9024">
        <f>LOWER(TRIM(A9024))</f>
        <v/>
      </c>
      <c r="C9024">
        <f>IF(B9024="","",IFERROR(INDEX('Bad Patterns'!$A$2:$A$120,MATCH(1,INDEX(--ISNUMBER(SEARCH('Bad Patterns'!$A$2:$A$120,B9024)),0),0)),""))</f>
        <v/>
      </c>
      <c r="D9024">
        <f>IF(B9024="","",IF(C9024&lt;&gt;"","REMOVE","KEEP"))</f>
        <v/>
      </c>
      <c r="E9024">
        <f>IF(D9024&lt;&gt;"KEEP","",IF(RIGHT(B9024,10)="@gmail.com","Gmail",IF(OR(RIGHT(B9024,12)="@outlook.com",RIGHT(B9024,12)="@hotmail.com",RIGHT(B9024,9)="@live.com"),"Outlook","Domain")))</f>
        <v/>
      </c>
      <c r="F9024">
        <f>IF(B9024="","",IFERROR(RIGHT(B9024,LEN(B9024)-FIND("@",B9024)),""))</f>
        <v/>
      </c>
      <c r="G9024">
        <f>IF(D9024="KEEP",COUNTIF($D$2:D9024,"KEEP"),"")</f>
        <v/>
      </c>
      <c r="H9024">
        <f>IF(D9024="REMOVE",COUNTIF($D$2:D9024,"REMOVE"),"")</f>
        <v/>
      </c>
      <c r="I9024">
        <f>IF(E9024="Gmail",COUNTIF($E$2:E9024,"Gmail"),"")</f>
        <v/>
      </c>
      <c r="J9024">
        <f>IF(E9024="Outlook",COUNTIF($E$2:E9024,"Outlook"),"")</f>
        <v/>
      </c>
      <c r="K9024">
        <f>IF(E9024="Domain",COUNTIF($E$2:E9024,"Domain"),"")</f>
        <v/>
      </c>
    </row>
    <row r="9025">
      <c r="A9025" s="2" t="n"/>
      <c r="B9025">
        <f>LOWER(TRIM(A9025))</f>
        <v/>
      </c>
      <c r="C9025">
        <f>IF(B9025="","",IFERROR(INDEX('Bad Patterns'!$A$2:$A$120,MATCH(1,INDEX(--ISNUMBER(SEARCH('Bad Patterns'!$A$2:$A$120,B9025)),0),0)),""))</f>
        <v/>
      </c>
      <c r="D9025">
        <f>IF(B9025="","",IF(C9025&lt;&gt;"","REMOVE","KEEP"))</f>
        <v/>
      </c>
      <c r="E9025">
        <f>IF(D9025&lt;&gt;"KEEP","",IF(RIGHT(B9025,10)="@gmail.com","Gmail",IF(OR(RIGHT(B9025,12)="@outlook.com",RIGHT(B9025,12)="@hotmail.com",RIGHT(B9025,9)="@live.com"),"Outlook","Domain")))</f>
        <v/>
      </c>
      <c r="F9025">
        <f>IF(B9025="","",IFERROR(RIGHT(B9025,LEN(B9025)-FIND("@",B9025)),""))</f>
        <v/>
      </c>
      <c r="G9025">
        <f>IF(D9025="KEEP",COUNTIF($D$2:D9025,"KEEP"),"")</f>
        <v/>
      </c>
      <c r="H9025">
        <f>IF(D9025="REMOVE",COUNTIF($D$2:D9025,"REMOVE"),"")</f>
        <v/>
      </c>
      <c r="I9025">
        <f>IF(E9025="Gmail",COUNTIF($E$2:E9025,"Gmail"),"")</f>
        <v/>
      </c>
      <c r="J9025">
        <f>IF(E9025="Outlook",COUNTIF($E$2:E9025,"Outlook"),"")</f>
        <v/>
      </c>
      <c r="K9025">
        <f>IF(E9025="Domain",COUNTIF($E$2:E9025,"Domain"),"")</f>
        <v/>
      </c>
    </row>
    <row r="9026">
      <c r="A9026" s="2" t="n"/>
      <c r="B9026">
        <f>LOWER(TRIM(A9026))</f>
        <v/>
      </c>
      <c r="C9026">
        <f>IF(B9026="","",IFERROR(INDEX('Bad Patterns'!$A$2:$A$120,MATCH(1,INDEX(--ISNUMBER(SEARCH('Bad Patterns'!$A$2:$A$120,B9026)),0),0)),""))</f>
        <v/>
      </c>
      <c r="D9026">
        <f>IF(B9026="","",IF(C9026&lt;&gt;"","REMOVE","KEEP"))</f>
        <v/>
      </c>
      <c r="E9026">
        <f>IF(D9026&lt;&gt;"KEEP","",IF(RIGHT(B9026,10)="@gmail.com","Gmail",IF(OR(RIGHT(B9026,12)="@outlook.com",RIGHT(B9026,12)="@hotmail.com",RIGHT(B9026,9)="@live.com"),"Outlook","Domain")))</f>
        <v/>
      </c>
      <c r="F9026">
        <f>IF(B9026="","",IFERROR(RIGHT(B9026,LEN(B9026)-FIND("@",B9026)),""))</f>
        <v/>
      </c>
      <c r="G9026">
        <f>IF(D9026="KEEP",COUNTIF($D$2:D9026,"KEEP"),"")</f>
        <v/>
      </c>
      <c r="H9026">
        <f>IF(D9026="REMOVE",COUNTIF($D$2:D9026,"REMOVE"),"")</f>
        <v/>
      </c>
      <c r="I9026">
        <f>IF(E9026="Gmail",COUNTIF($E$2:E9026,"Gmail"),"")</f>
        <v/>
      </c>
      <c r="J9026">
        <f>IF(E9026="Outlook",COUNTIF($E$2:E9026,"Outlook"),"")</f>
        <v/>
      </c>
      <c r="K9026">
        <f>IF(E9026="Domain",COUNTIF($E$2:E9026,"Domain"),"")</f>
        <v/>
      </c>
    </row>
    <row r="9027">
      <c r="A9027" s="2" t="n"/>
      <c r="B9027">
        <f>LOWER(TRIM(A9027))</f>
        <v/>
      </c>
      <c r="C9027">
        <f>IF(B9027="","",IFERROR(INDEX('Bad Patterns'!$A$2:$A$120,MATCH(1,INDEX(--ISNUMBER(SEARCH('Bad Patterns'!$A$2:$A$120,B9027)),0),0)),""))</f>
        <v/>
      </c>
      <c r="D9027">
        <f>IF(B9027="","",IF(C9027&lt;&gt;"","REMOVE","KEEP"))</f>
        <v/>
      </c>
      <c r="E9027">
        <f>IF(D9027&lt;&gt;"KEEP","",IF(RIGHT(B9027,10)="@gmail.com","Gmail",IF(OR(RIGHT(B9027,12)="@outlook.com",RIGHT(B9027,12)="@hotmail.com",RIGHT(B9027,9)="@live.com"),"Outlook","Domain")))</f>
        <v/>
      </c>
      <c r="F9027">
        <f>IF(B9027="","",IFERROR(RIGHT(B9027,LEN(B9027)-FIND("@",B9027)),""))</f>
        <v/>
      </c>
      <c r="G9027">
        <f>IF(D9027="KEEP",COUNTIF($D$2:D9027,"KEEP"),"")</f>
        <v/>
      </c>
      <c r="H9027">
        <f>IF(D9027="REMOVE",COUNTIF($D$2:D9027,"REMOVE"),"")</f>
        <v/>
      </c>
      <c r="I9027">
        <f>IF(E9027="Gmail",COUNTIF($E$2:E9027,"Gmail"),"")</f>
        <v/>
      </c>
      <c r="J9027">
        <f>IF(E9027="Outlook",COUNTIF($E$2:E9027,"Outlook"),"")</f>
        <v/>
      </c>
      <c r="K9027">
        <f>IF(E9027="Domain",COUNTIF($E$2:E9027,"Domain"),"")</f>
        <v/>
      </c>
    </row>
    <row r="9028">
      <c r="A9028" s="2" t="n"/>
      <c r="B9028">
        <f>LOWER(TRIM(A9028))</f>
        <v/>
      </c>
      <c r="C9028">
        <f>IF(B9028="","",IFERROR(INDEX('Bad Patterns'!$A$2:$A$120,MATCH(1,INDEX(--ISNUMBER(SEARCH('Bad Patterns'!$A$2:$A$120,B9028)),0),0)),""))</f>
        <v/>
      </c>
      <c r="D9028">
        <f>IF(B9028="","",IF(C9028&lt;&gt;"","REMOVE","KEEP"))</f>
        <v/>
      </c>
      <c r="E9028">
        <f>IF(D9028&lt;&gt;"KEEP","",IF(RIGHT(B9028,10)="@gmail.com","Gmail",IF(OR(RIGHT(B9028,12)="@outlook.com",RIGHT(B9028,12)="@hotmail.com",RIGHT(B9028,9)="@live.com"),"Outlook","Domain")))</f>
        <v/>
      </c>
      <c r="F9028">
        <f>IF(B9028="","",IFERROR(RIGHT(B9028,LEN(B9028)-FIND("@",B9028)),""))</f>
        <v/>
      </c>
      <c r="G9028">
        <f>IF(D9028="KEEP",COUNTIF($D$2:D9028,"KEEP"),"")</f>
        <v/>
      </c>
      <c r="H9028">
        <f>IF(D9028="REMOVE",COUNTIF($D$2:D9028,"REMOVE"),"")</f>
        <v/>
      </c>
      <c r="I9028">
        <f>IF(E9028="Gmail",COUNTIF($E$2:E9028,"Gmail"),"")</f>
        <v/>
      </c>
      <c r="J9028">
        <f>IF(E9028="Outlook",COUNTIF($E$2:E9028,"Outlook"),"")</f>
        <v/>
      </c>
      <c r="K9028">
        <f>IF(E9028="Domain",COUNTIF($E$2:E9028,"Domain"),"")</f>
        <v/>
      </c>
    </row>
    <row r="9029">
      <c r="A9029" s="2" t="n"/>
      <c r="B9029">
        <f>LOWER(TRIM(A9029))</f>
        <v/>
      </c>
      <c r="C9029">
        <f>IF(B9029="","",IFERROR(INDEX('Bad Patterns'!$A$2:$A$120,MATCH(1,INDEX(--ISNUMBER(SEARCH('Bad Patterns'!$A$2:$A$120,B9029)),0),0)),""))</f>
        <v/>
      </c>
      <c r="D9029">
        <f>IF(B9029="","",IF(C9029&lt;&gt;"","REMOVE","KEEP"))</f>
        <v/>
      </c>
      <c r="E9029">
        <f>IF(D9029&lt;&gt;"KEEP","",IF(RIGHT(B9029,10)="@gmail.com","Gmail",IF(OR(RIGHT(B9029,12)="@outlook.com",RIGHT(B9029,12)="@hotmail.com",RIGHT(B9029,9)="@live.com"),"Outlook","Domain")))</f>
        <v/>
      </c>
      <c r="F9029">
        <f>IF(B9029="","",IFERROR(RIGHT(B9029,LEN(B9029)-FIND("@",B9029)),""))</f>
        <v/>
      </c>
      <c r="G9029">
        <f>IF(D9029="KEEP",COUNTIF($D$2:D9029,"KEEP"),"")</f>
        <v/>
      </c>
      <c r="H9029">
        <f>IF(D9029="REMOVE",COUNTIF($D$2:D9029,"REMOVE"),"")</f>
        <v/>
      </c>
      <c r="I9029">
        <f>IF(E9029="Gmail",COUNTIF($E$2:E9029,"Gmail"),"")</f>
        <v/>
      </c>
      <c r="J9029">
        <f>IF(E9029="Outlook",COUNTIF($E$2:E9029,"Outlook"),"")</f>
        <v/>
      </c>
      <c r="K9029">
        <f>IF(E9029="Domain",COUNTIF($E$2:E9029,"Domain"),"")</f>
        <v/>
      </c>
    </row>
    <row r="9030">
      <c r="A9030" s="2" t="n"/>
      <c r="B9030">
        <f>LOWER(TRIM(A9030))</f>
        <v/>
      </c>
      <c r="C9030">
        <f>IF(B9030="","",IFERROR(INDEX('Bad Patterns'!$A$2:$A$120,MATCH(1,INDEX(--ISNUMBER(SEARCH('Bad Patterns'!$A$2:$A$120,B9030)),0),0)),""))</f>
        <v/>
      </c>
      <c r="D9030">
        <f>IF(B9030="","",IF(C9030&lt;&gt;"","REMOVE","KEEP"))</f>
        <v/>
      </c>
      <c r="E9030">
        <f>IF(D9030&lt;&gt;"KEEP","",IF(RIGHT(B9030,10)="@gmail.com","Gmail",IF(OR(RIGHT(B9030,12)="@outlook.com",RIGHT(B9030,12)="@hotmail.com",RIGHT(B9030,9)="@live.com"),"Outlook","Domain")))</f>
        <v/>
      </c>
      <c r="F9030">
        <f>IF(B9030="","",IFERROR(RIGHT(B9030,LEN(B9030)-FIND("@",B9030)),""))</f>
        <v/>
      </c>
      <c r="G9030">
        <f>IF(D9030="KEEP",COUNTIF($D$2:D9030,"KEEP"),"")</f>
        <v/>
      </c>
      <c r="H9030">
        <f>IF(D9030="REMOVE",COUNTIF($D$2:D9030,"REMOVE"),"")</f>
        <v/>
      </c>
      <c r="I9030">
        <f>IF(E9030="Gmail",COUNTIF($E$2:E9030,"Gmail"),"")</f>
        <v/>
      </c>
      <c r="J9030">
        <f>IF(E9030="Outlook",COUNTIF($E$2:E9030,"Outlook"),"")</f>
        <v/>
      </c>
      <c r="K9030">
        <f>IF(E9030="Domain",COUNTIF($E$2:E9030,"Domain"),"")</f>
        <v/>
      </c>
    </row>
    <row r="9031">
      <c r="A9031" s="2" t="n"/>
      <c r="B9031">
        <f>LOWER(TRIM(A9031))</f>
        <v/>
      </c>
      <c r="C9031">
        <f>IF(B9031="","",IFERROR(INDEX('Bad Patterns'!$A$2:$A$120,MATCH(1,INDEX(--ISNUMBER(SEARCH('Bad Patterns'!$A$2:$A$120,B9031)),0),0)),""))</f>
        <v/>
      </c>
      <c r="D9031">
        <f>IF(B9031="","",IF(C9031&lt;&gt;"","REMOVE","KEEP"))</f>
        <v/>
      </c>
      <c r="E9031">
        <f>IF(D9031&lt;&gt;"KEEP","",IF(RIGHT(B9031,10)="@gmail.com","Gmail",IF(OR(RIGHT(B9031,12)="@outlook.com",RIGHT(B9031,12)="@hotmail.com",RIGHT(B9031,9)="@live.com"),"Outlook","Domain")))</f>
        <v/>
      </c>
      <c r="F9031">
        <f>IF(B9031="","",IFERROR(RIGHT(B9031,LEN(B9031)-FIND("@",B9031)),""))</f>
        <v/>
      </c>
      <c r="G9031">
        <f>IF(D9031="KEEP",COUNTIF($D$2:D9031,"KEEP"),"")</f>
        <v/>
      </c>
      <c r="H9031">
        <f>IF(D9031="REMOVE",COUNTIF($D$2:D9031,"REMOVE"),"")</f>
        <v/>
      </c>
      <c r="I9031">
        <f>IF(E9031="Gmail",COUNTIF($E$2:E9031,"Gmail"),"")</f>
        <v/>
      </c>
      <c r="J9031">
        <f>IF(E9031="Outlook",COUNTIF($E$2:E9031,"Outlook"),"")</f>
        <v/>
      </c>
      <c r="K9031">
        <f>IF(E9031="Domain",COUNTIF($E$2:E9031,"Domain"),"")</f>
        <v/>
      </c>
    </row>
    <row r="9032">
      <c r="A9032" s="2" t="n"/>
      <c r="B9032">
        <f>LOWER(TRIM(A9032))</f>
        <v/>
      </c>
      <c r="C9032">
        <f>IF(B9032="","",IFERROR(INDEX('Bad Patterns'!$A$2:$A$120,MATCH(1,INDEX(--ISNUMBER(SEARCH('Bad Patterns'!$A$2:$A$120,B9032)),0),0)),""))</f>
        <v/>
      </c>
      <c r="D9032">
        <f>IF(B9032="","",IF(C9032&lt;&gt;"","REMOVE","KEEP"))</f>
        <v/>
      </c>
      <c r="E9032">
        <f>IF(D9032&lt;&gt;"KEEP","",IF(RIGHT(B9032,10)="@gmail.com","Gmail",IF(OR(RIGHT(B9032,12)="@outlook.com",RIGHT(B9032,12)="@hotmail.com",RIGHT(B9032,9)="@live.com"),"Outlook","Domain")))</f>
        <v/>
      </c>
      <c r="F9032">
        <f>IF(B9032="","",IFERROR(RIGHT(B9032,LEN(B9032)-FIND("@",B9032)),""))</f>
        <v/>
      </c>
      <c r="G9032">
        <f>IF(D9032="KEEP",COUNTIF($D$2:D9032,"KEEP"),"")</f>
        <v/>
      </c>
      <c r="H9032">
        <f>IF(D9032="REMOVE",COUNTIF($D$2:D9032,"REMOVE"),"")</f>
        <v/>
      </c>
      <c r="I9032">
        <f>IF(E9032="Gmail",COUNTIF($E$2:E9032,"Gmail"),"")</f>
        <v/>
      </c>
      <c r="J9032">
        <f>IF(E9032="Outlook",COUNTIF($E$2:E9032,"Outlook"),"")</f>
        <v/>
      </c>
      <c r="K9032">
        <f>IF(E9032="Domain",COUNTIF($E$2:E9032,"Domain"),"")</f>
        <v/>
      </c>
    </row>
    <row r="9033">
      <c r="A9033" s="2" t="n"/>
      <c r="B9033">
        <f>LOWER(TRIM(A9033))</f>
        <v/>
      </c>
      <c r="C9033">
        <f>IF(B9033="","",IFERROR(INDEX('Bad Patterns'!$A$2:$A$120,MATCH(1,INDEX(--ISNUMBER(SEARCH('Bad Patterns'!$A$2:$A$120,B9033)),0),0)),""))</f>
        <v/>
      </c>
      <c r="D9033">
        <f>IF(B9033="","",IF(C9033&lt;&gt;"","REMOVE","KEEP"))</f>
        <v/>
      </c>
      <c r="E9033">
        <f>IF(D9033&lt;&gt;"KEEP","",IF(RIGHT(B9033,10)="@gmail.com","Gmail",IF(OR(RIGHT(B9033,12)="@outlook.com",RIGHT(B9033,12)="@hotmail.com",RIGHT(B9033,9)="@live.com"),"Outlook","Domain")))</f>
        <v/>
      </c>
      <c r="F9033">
        <f>IF(B9033="","",IFERROR(RIGHT(B9033,LEN(B9033)-FIND("@",B9033)),""))</f>
        <v/>
      </c>
      <c r="G9033">
        <f>IF(D9033="KEEP",COUNTIF($D$2:D9033,"KEEP"),"")</f>
        <v/>
      </c>
      <c r="H9033">
        <f>IF(D9033="REMOVE",COUNTIF($D$2:D9033,"REMOVE"),"")</f>
        <v/>
      </c>
      <c r="I9033">
        <f>IF(E9033="Gmail",COUNTIF($E$2:E9033,"Gmail"),"")</f>
        <v/>
      </c>
      <c r="J9033">
        <f>IF(E9033="Outlook",COUNTIF($E$2:E9033,"Outlook"),"")</f>
        <v/>
      </c>
      <c r="K9033">
        <f>IF(E9033="Domain",COUNTIF($E$2:E9033,"Domain"),"")</f>
        <v/>
      </c>
    </row>
    <row r="9034">
      <c r="A9034" s="2" t="n"/>
      <c r="B9034">
        <f>LOWER(TRIM(A9034))</f>
        <v/>
      </c>
      <c r="C9034">
        <f>IF(B9034="","",IFERROR(INDEX('Bad Patterns'!$A$2:$A$120,MATCH(1,INDEX(--ISNUMBER(SEARCH('Bad Patterns'!$A$2:$A$120,B9034)),0),0)),""))</f>
        <v/>
      </c>
      <c r="D9034">
        <f>IF(B9034="","",IF(C9034&lt;&gt;"","REMOVE","KEEP"))</f>
        <v/>
      </c>
      <c r="E9034">
        <f>IF(D9034&lt;&gt;"KEEP","",IF(RIGHT(B9034,10)="@gmail.com","Gmail",IF(OR(RIGHT(B9034,12)="@outlook.com",RIGHT(B9034,12)="@hotmail.com",RIGHT(B9034,9)="@live.com"),"Outlook","Domain")))</f>
        <v/>
      </c>
      <c r="F9034">
        <f>IF(B9034="","",IFERROR(RIGHT(B9034,LEN(B9034)-FIND("@",B9034)),""))</f>
        <v/>
      </c>
      <c r="G9034">
        <f>IF(D9034="KEEP",COUNTIF($D$2:D9034,"KEEP"),"")</f>
        <v/>
      </c>
      <c r="H9034">
        <f>IF(D9034="REMOVE",COUNTIF($D$2:D9034,"REMOVE"),"")</f>
        <v/>
      </c>
      <c r="I9034">
        <f>IF(E9034="Gmail",COUNTIF($E$2:E9034,"Gmail"),"")</f>
        <v/>
      </c>
      <c r="J9034">
        <f>IF(E9034="Outlook",COUNTIF($E$2:E9034,"Outlook"),"")</f>
        <v/>
      </c>
      <c r="K9034">
        <f>IF(E9034="Domain",COUNTIF($E$2:E9034,"Domain"),"")</f>
        <v/>
      </c>
    </row>
    <row r="9035">
      <c r="A9035" s="2" t="n"/>
      <c r="B9035">
        <f>LOWER(TRIM(A9035))</f>
        <v/>
      </c>
      <c r="C9035">
        <f>IF(B9035="","",IFERROR(INDEX('Bad Patterns'!$A$2:$A$120,MATCH(1,INDEX(--ISNUMBER(SEARCH('Bad Patterns'!$A$2:$A$120,B9035)),0),0)),""))</f>
        <v/>
      </c>
      <c r="D9035">
        <f>IF(B9035="","",IF(C9035&lt;&gt;"","REMOVE","KEEP"))</f>
        <v/>
      </c>
      <c r="E9035">
        <f>IF(D9035&lt;&gt;"KEEP","",IF(RIGHT(B9035,10)="@gmail.com","Gmail",IF(OR(RIGHT(B9035,12)="@outlook.com",RIGHT(B9035,12)="@hotmail.com",RIGHT(B9035,9)="@live.com"),"Outlook","Domain")))</f>
        <v/>
      </c>
      <c r="F9035">
        <f>IF(B9035="","",IFERROR(RIGHT(B9035,LEN(B9035)-FIND("@",B9035)),""))</f>
        <v/>
      </c>
      <c r="G9035">
        <f>IF(D9035="KEEP",COUNTIF($D$2:D9035,"KEEP"),"")</f>
        <v/>
      </c>
      <c r="H9035">
        <f>IF(D9035="REMOVE",COUNTIF($D$2:D9035,"REMOVE"),"")</f>
        <v/>
      </c>
      <c r="I9035">
        <f>IF(E9035="Gmail",COUNTIF($E$2:E9035,"Gmail"),"")</f>
        <v/>
      </c>
      <c r="J9035">
        <f>IF(E9035="Outlook",COUNTIF($E$2:E9035,"Outlook"),"")</f>
        <v/>
      </c>
      <c r="K9035">
        <f>IF(E9035="Domain",COUNTIF($E$2:E9035,"Domain"),"")</f>
        <v/>
      </c>
    </row>
    <row r="9036">
      <c r="A9036" s="2" t="n"/>
      <c r="B9036">
        <f>LOWER(TRIM(A9036))</f>
        <v/>
      </c>
      <c r="C9036">
        <f>IF(B9036="","",IFERROR(INDEX('Bad Patterns'!$A$2:$A$120,MATCH(1,INDEX(--ISNUMBER(SEARCH('Bad Patterns'!$A$2:$A$120,B9036)),0),0)),""))</f>
        <v/>
      </c>
      <c r="D9036">
        <f>IF(B9036="","",IF(C9036&lt;&gt;"","REMOVE","KEEP"))</f>
        <v/>
      </c>
      <c r="E9036">
        <f>IF(D9036&lt;&gt;"KEEP","",IF(RIGHT(B9036,10)="@gmail.com","Gmail",IF(OR(RIGHT(B9036,12)="@outlook.com",RIGHT(B9036,12)="@hotmail.com",RIGHT(B9036,9)="@live.com"),"Outlook","Domain")))</f>
        <v/>
      </c>
      <c r="F9036">
        <f>IF(B9036="","",IFERROR(RIGHT(B9036,LEN(B9036)-FIND("@",B9036)),""))</f>
        <v/>
      </c>
      <c r="G9036">
        <f>IF(D9036="KEEP",COUNTIF($D$2:D9036,"KEEP"),"")</f>
        <v/>
      </c>
      <c r="H9036">
        <f>IF(D9036="REMOVE",COUNTIF($D$2:D9036,"REMOVE"),"")</f>
        <v/>
      </c>
      <c r="I9036">
        <f>IF(E9036="Gmail",COUNTIF($E$2:E9036,"Gmail"),"")</f>
        <v/>
      </c>
      <c r="J9036">
        <f>IF(E9036="Outlook",COUNTIF($E$2:E9036,"Outlook"),"")</f>
        <v/>
      </c>
      <c r="K9036">
        <f>IF(E9036="Domain",COUNTIF($E$2:E9036,"Domain"),"")</f>
        <v/>
      </c>
    </row>
    <row r="9037">
      <c r="A9037" s="2" t="n"/>
      <c r="B9037">
        <f>LOWER(TRIM(A9037))</f>
        <v/>
      </c>
      <c r="C9037">
        <f>IF(B9037="","",IFERROR(INDEX('Bad Patterns'!$A$2:$A$120,MATCH(1,INDEX(--ISNUMBER(SEARCH('Bad Patterns'!$A$2:$A$120,B9037)),0),0)),""))</f>
        <v/>
      </c>
      <c r="D9037">
        <f>IF(B9037="","",IF(C9037&lt;&gt;"","REMOVE","KEEP"))</f>
        <v/>
      </c>
      <c r="E9037">
        <f>IF(D9037&lt;&gt;"KEEP","",IF(RIGHT(B9037,10)="@gmail.com","Gmail",IF(OR(RIGHT(B9037,12)="@outlook.com",RIGHT(B9037,12)="@hotmail.com",RIGHT(B9037,9)="@live.com"),"Outlook","Domain")))</f>
        <v/>
      </c>
      <c r="F9037">
        <f>IF(B9037="","",IFERROR(RIGHT(B9037,LEN(B9037)-FIND("@",B9037)),""))</f>
        <v/>
      </c>
      <c r="G9037">
        <f>IF(D9037="KEEP",COUNTIF($D$2:D9037,"KEEP"),"")</f>
        <v/>
      </c>
      <c r="H9037">
        <f>IF(D9037="REMOVE",COUNTIF($D$2:D9037,"REMOVE"),"")</f>
        <v/>
      </c>
      <c r="I9037">
        <f>IF(E9037="Gmail",COUNTIF($E$2:E9037,"Gmail"),"")</f>
        <v/>
      </c>
      <c r="J9037">
        <f>IF(E9037="Outlook",COUNTIF($E$2:E9037,"Outlook"),"")</f>
        <v/>
      </c>
      <c r="K9037">
        <f>IF(E9037="Domain",COUNTIF($E$2:E9037,"Domain"),"")</f>
        <v/>
      </c>
    </row>
    <row r="9038">
      <c r="A9038" s="2" t="n"/>
      <c r="B9038">
        <f>LOWER(TRIM(A9038))</f>
        <v/>
      </c>
      <c r="C9038">
        <f>IF(B9038="","",IFERROR(INDEX('Bad Patterns'!$A$2:$A$120,MATCH(1,INDEX(--ISNUMBER(SEARCH('Bad Patterns'!$A$2:$A$120,B9038)),0),0)),""))</f>
        <v/>
      </c>
      <c r="D9038">
        <f>IF(B9038="","",IF(C9038&lt;&gt;"","REMOVE","KEEP"))</f>
        <v/>
      </c>
      <c r="E9038">
        <f>IF(D9038&lt;&gt;"KEEP","",IF(RIGHT(B9038,10)="@gmail.com","Gmail",IF(OR(RIGHT(B9038,12)="@outlook.com",RIGHT(B9038,12)="@hotmail.com",RIGHT(B9038,9)="@live.com"),"Outlook","Domain")))</f>
        <v/>
      </c>
      <c r="F9038">
        <f>IF(B9038="","",IFERROR(RIGHT(B9038,LEN(B9038)-FIND("@",B9038)),""))</f>
        <v/>
      </c>
      <c r="G9038">
        <f>IF(D9038="KEEP",COUNTIF($D$2:D9038,"KEEP"),"")</f>
        <v/>
      </c>
      <c r="H9038">
        <f>IF(D9038="REMOVE",COUNTIF($D$2:D9038,"REMOVE"),"")</f>
        <v/>
      </c>
      <c r="I9038">
        <f>IF(E9038="Gmail",COUNTIF($E$2:E9038,"Gmail"),"")</f>
        <v/>
      </c>
      <c r="J9038">
        <f>IF(E9038="Outlook",COUNTIF($E$2:E9038,"Outlook"),"")</f>
        <v/>
      </c>
      <c r="K9038">
        <f>IF(E9038="Domain",COUNTIF($E$2:E9038,"Domain"),"")</f>
        <v/>
      </c>
    </row>
    <row r="9039">
      <c r="A9039" s="2" t="n"/>
      <c r="B9039">
        <f>LOWER(TRIM(A9039))</f>
        <v/>
      </c>
      <c r="C9039">
        <f>IF(B9039="","",IFERROR(INDEX('Bad Patterns'!$A$2:$A$120,MATCH(1,INDEX(--ISNUMBER(SEARCH('Bad Patterns'!$A$2:$A$120,B9039)),0),0)),""))</f>
        <v/>
      </c>
      <c r="D9039">
        <f>IF(B9039="","",IF(C9039&lt;&gt;"","REMOVE","KEEP"))</f>
        <v/>
      </c>
      <c r="E9039">
        <f>IF(D9039&lt;&gt;"KEEP","",IF(RIGHT(B9039,10)="@gmail.com","Gmail",IF(OR(RIGHT(B9039,12)="@outlook.com",RIGHT(B9039,12)="@hotmail.com",RIGHT(B9039,9)="@live.com"),"Outlook","Domain")))</f>
        <v/>
      </c>
      <c r="F9039">
        <f>IF(B9039="","",IFERROR(RIGHT(B9039,LEN(B9039)-FIND("@",B9039)),""))</f>
        <v/>
      </c>
      <c r="G9039">
        <f>IF(D9039="KEEP",COUNTIF($D$2:D9039,"KEEP"),"")</f>
        <v/>
      </c>
      <c r="H9039">
        <f>IF(D9039="REMOVE",COUNTIF($D$2:D9039,"REMOVE"),"")</f>
        <v/>
      </c>
      <c r="I9039">
        <f>IF(E9039="Gmail",COUNTIF($E$2:E9039,"Gmail"),"")</f>
        <v/>
      </c>
      <c r="J9039">
        <f>IF(E9039="Outlook",COUNTIF($E$2:E9039,"Outlook"),"")</f>
        <v/>
      </c>
      <c r="K9039">
        <f>IF(E9039="Domain",COUNTIF($E$2:E9039,"Domain"),"")</f>
        <v/>
      </c>
    </row>
    <row r="9040">
      <c r="A9040" s="2" t="n"/>
      <c r="B9040">
        <f>LOWER(TRIM(A9040))</f>
        <v/>
      </c>
      <c r="C9040">
        <f>IF(B9040="","",IFERROR(INDEX('Bad Patterns'!$A$2:$A$120,MATCH(1,INDEX(--ISNUMBER(SEARCH('Bad Patterns'!$A$2:$A$120,B9040)),0),0)),""))</f>
        <v/>
      </c>
      <c r="D9040">
        <f>IF(B9040="","",IF(C9040&lt;&gt;"","REMOVE","KEEP"))</f>
        <v/>
      </c>
      <c r="E9040">
        <f>IF(D9040&lt;&gt;"KEEP","",IF(RIGHT(B9040,10)="@gmail.com","Gmail",IF(OR(RIGHT(B9040,12)="@outlook.com",RIGHT(B9040,12)="@hotmail.com",RIGHT(B9040,9)="@live.com"),"Outlook","Domain")))</f>
        <v/>
      </c>
      <c r="F9040">
        <f>IF(B9040="","",IFERROR(RIGHT(B9040,LEN(B9040)-FIND("@",B9040)),""))</f>
        <v/>
      </c>
      <c r="G9040">
        <f>IF(D9040="KEEP",COUNTIF($D$2:D9040,"KEEP"),"")</f>
        <v/>
      </c>
      <c r="H9040">
        <f>IF(D9040="REMOVE",COUNTIF($D$2:D9040,"REMOVE"),"")</f>
        <v/>
      </c>
      <c r="I9040">
        <f>IF(E9040="Gmail",COUNTIF($E$2:E9040,"Gmail"),"")</f>
        <v/>
      </c>
      <c r="J9040">
        <f>IF(E9040="Outlook",COUNTIF($E$2:E9040,"Outlook"),"")</f>
        <v/>
      </c>
      <c r="K9040">
        <f>IF(E9040="Domain",COUNTIF($E$2:E9040,"Domain"),"")</f>
        <v/>
      </c>
    </row>
    <row r="9041">
      <c r="A9041" s="2" t="n"/>
      <c r="B9041">
        <f>LOWER(TRIM(A9041))</f>
        <v/>
      </c>
      <c r="C9041">
        <f>IF(B9041="","",IFERROR(INDEX('Bad Patterns'!$A$2:$A$120,MATCH(1,INDEX(--ISNUMBER(SEARCH('Bad Patterns'!$A$2:$A$120,B9041)),0),0)),""))</f>
        <v/>
      </c>
      <c r="D9041">
        <f>IF(B9041="","",IF(C9041&lt;&gt;"","REMOVE","KEEP"))</f>
        <v/>
      </c>
      <c r="E9041">
        <f>IF(D9041&lt;&gt;"KEEP","",IF(RIGHT(B9041,10)="@gmail.com","Gmail",IF(OR(RIGHT(B9041,12)="@outlook.com",RIGHT(B9041,12)="@hotmail.com",RIGHT(B9041,9)="@live.com"),"Outlook","Domain")))</f>
        <v/>
      </c>
      <c r="F9041">
        <f>IF(B9041="","",IFERROR(RIGHT(B9041,LEN(B9041)-FIND("@",B9041)),""))</f>
        <v/>
      </c>
      <c r="G9041">
        <f>IF(D9041="KEEP",COUNTIF($D$2:D9041,"KEEP"),"")</f>
        <v/>
      </c>
      <c r="H9041">
        <f>IF(D9041="REMOVE",COUNTIF($D$2:D9041,"REMOVE"),"")</f>
        <v/>
      </c>
      <c r="I9041">
        <f>IF(E9041="Gmail",COUNTIF($E$2:E9041,"Gmail"),"")</f>
        <v/>
      </c>
      <c r="J9041">
        <f>IF(E9041="Outlook",COUNTIF($E$2:E9041,"Outlook"),"")</f>
        <v/>
      </c>
      <c r="K9041">
        <f>IF(E9041="Domain",COUNTIF($E$2:E9041,"Domain"),"")</f>
        <v/>
      </c>
    </row>
    <row r="9042">
      <c r="A9042" s="2" t="n"/>
      <c r="B9042">
        <f>LOWER(TRIM(A9042))</f>
        <v/>
      </c>
      <c r="C9042">
        <f>IF(B9042="","",IFERROR(INDEX('Bad Patterns'!$A$2:$A$120,MATCH(1,INDEX(--ISNUMBER(SEARCH('Bad Patterns'!$A$2:$A$120,B9042)),0),0)),""))</f>
        <v/>
      </c>
      <c r="D9042">
        <f>IF(B9042="","",IF(C9042&lt;&gt;"","REMOVE","KEEP"))</f>
        <v/>
      </c>
      <c r="E9042">
        <f>IF(D9042&lt;&gt;"KEEP","",IF(RIGHT(B9042,10)="@gmail.com","Gmail",IF(OR(RIGHT(B9042,12)="@outlook.com",RIGHT(B9042,12)="@hotmail.com",RIGHT(B9042,9)="@live.com"),"Outlook","Domain")))</f>
        <v/>
      </c>
      <c r="F9042">
        <f>IF(B9042="","",IFERROR(RIGHT(B9042,LEN(B9042)-FIND("@",B9042)),""))</f>
        <v/>
      </c>
      <c r="G9042">
        <f>IF(D9042="KEEP",COUNTIF($D$2:D9042,"KEEP"),"")</f>
        <v/>
      </c>
      <c r="H9042">
        <f>IF(D9042="REMOVE",COUNTIF($D$2:D9042,"REMOVE"),"")</f>
        <v/>
      </c>
      <c r="I9042">
        <f>IF(E9042="Gmail",COUNTIF($E$2:E9042,"Gmail"),"")</f>
        <v/>
      </c>
      <c r="J9042">
        <f>IF(E9042="Outlook",COUNTIF($E$2:E9042,"Outlook"),"")</f>
        <v/>
      </c>
      <c r="K9042">
        <f>IF(E9042="Domain",COUNTIF($E$2:E9042,"Domain"),"")</f>
        <v/>
      </c>
    </row>
    <row r="9043">
      <c r="A9043" s="2" t="n"/>
      <c r="B9043">
        <f>LOWER(TRIM(A9043))</f>
        <v/>
      </c>
      <c r="C9043">
        <f>IF(B9043="","",IFERROR(INDEX('Bad Patterns'!$A$2:$A$120,MATCH(1,INDEX(--ISNUMBER(SEARCH('Bad Patterns'!$A$2:$A$120,B9043)),0),0)),""))</f>
        <v/>
      </c>
      <c r="D9043">
        <f>IF(B9043="","",IF(C9043&lt;&gt;"","REMOVE","KEEP"))</f>
        <v/>
      </c>
      <c r="E9043">
        <f>IF(D9043&lt;&gt;"KEEP","",IF(RIGHT(B9043,10)="@gmail.com","Gmail",IF(OR(RIGHT(B9043,12)="@outlook.com",RIGHT(B9043,12)="@hotmail.com",RIGHT(B9043,9)="@live.com"),"Outlook","Domain")))</f>
        <v/>
      </c>
      <c r="F9043">
        <f>IF(B9043="","",IFERROR(RIGHT(B9043,LEN(B9043)-FIND("@",B9043)),""))</f>
        <v/>
      </c>
      <c r="G9043">
        <f>IF(D9043="KEEP",COUNTIF($D$2:D9043,"KEEP"),"")</f>
        <v/>
      </c>
      <c r="H9043">
        <f>IF(D9043="REMOVE",COUNTIF($D$2:D9043,"REMOVE"),"")</f>
        <v/>
      </c>
      <c r="I9043">
        <f>IF(E9043="Gmail",COUNTIF($E$2:E9043,"Gmail"),"")</f>
        <v/>
      </c>
      <c r="J9043">
        <f>IF(E9043="Outlook",COUNTIF($E$2:E9043,"Outlook"),"")</f>
        <v/>
      </c>
      <c r="K9043">
        <f>IF(E9043="Domain",COUNTIF($E$2:E9043,"Domain"),"")</f>
        <v/>
      </c>
    </row>
    <row r="9044">
      <c r="A9044" s="2" t="n"/>
      <c r="B9044">
        <f>LOWER(TRIM(A9044))</f>
        <v/>
      </c>
      <c r="C9044">
        <f>IF(B9044="","",IFERROR(INDEX('Bad Patterns'!$A$2:$A$120,MATCH(1,INDEX(--ISNUMBER(SEARCH('Bad Patterns'!$A$2:$A$120,B9044)),0),0)),""))</f>
        <v/>
      </c>
      <c r="D9044">
        <f>IF(B9044="","",IF(C9044&lt;&gt;"","REMOVE","KEEP"))</f>
        <v/>
      </c>
      <c r="E9044">
        <f>IF(D9044&lt;&gt;"KEEP","",IF(RIGHT(B9044,10)="@gmail.com","Gmail",IF(OR(RIGHT(B9044,12)="@outlook.com",RIGHT(B9044,12)="@hotmail.com",RIGHT(B9044,9)="@live.com"),"Outlook","Domain")))</f>
        <v/>
      </c>
      <c r="F9044">
        <f>IF(B9044="","",IFERROR(RIGHT(B9044,LEN(B9044)-FIND("@",B9044)),""))</f>
        <v/>
      </c>
      <c r="G9044">
        <f>IF(D9044="KEEP",COUNTIF($D$2:D9044,"KEEP"),"")</f>
        <v/>
      </c>
      <c r="H9044">
        <f>IF(D9044="REMOVE",COUNTIF($D$2:D9044,"REMOVE"),"")</f>
        <v/>
      </c>
      <c r="I9044">
        <f>IF(E9044="Gmail",COUNTIF($E$2:E9044,"Gmail"),"")</f>
        <v/>
      </c>
      <c r="J9044">
        <f>IF(E9044="Outlook",COUNTIF($E$2:E9044,"Outlook"),"")</f>
        <v/>
      </c>
      <c r="K9044">
        <f>IF(E9044="Domain",COUNTIF($E$2:E9044,"Domain"),"")</f>
        <v/>
      </c>
    </row>
    <row r="9045">
      <c r="A9045" s="2" t="n"/>
      <c r="B9045">
        <f>LOWER(TRIM(A9045))</f>
        <v/>
      </c>
      <c r="C9045">
        <f>IF(B9045="","",IFERROR(INDEX('Bad Patterns'!$A$2:$A$120,MATCH(1,INDEX(--ISNUMBER(SEARCH('Bad Patterns'!$A$2:$A$120,B9045)),0),0)),""))</f>
        <v/>
      </c>
      <c r="D9045">
        <f>IF(B9045="","",IF(C9045&lt;&gt;"","REMOVE","KEEP"))</f>
        <v/>
      </c>
      <c r="E9045">
        <f>IF(D9045&lt;&gt;"KEEP","",IF(RIGHT(B9045,10)="@gmail.com","Gmail",IF(OR(RIGHT(B9045,12)="@outlook.com",RIGHT(B9045,12)="@hotmail.com",RIGHT(B9045,9)="@live.com"),"Outlook","Domain")))</f>
        <v/>
      </c>
      <c r="F9045">
        <f>IF(B9045="","",IFERROR(RIGHT(B9045,LEN(B9045)-FIND("@",B9045)),""))</f>
        <v/>
      </c>
      <c r="G9045">
        <f>IF(D9045="KEEP",COUNTIF($D$2:D9045,"KEEP"),"")</f>
        <v/>
      </c>
      <c r="H9045">
        <f>IF(D9045="REMOVE",COUNTIF($D$2:D9045,"REMOVE"),"")</f>
        <v/>
      </c>
      <c r="I9045">
        <f>IF(E9045="Gmail",COUNTIF($E$2:E9045,"Gmail"),"")</f>
        <v/>
      </c>
      <c r="J9045">
        <f>IF(E9045="Outlook",COUNTIF($E$2:E9045,"Outlook"),"")</f>
        <v/>
      </c>
      <c r="K9045">
        <f>IF(E9045="Domain",COUNTIF($E$2:E9045,"Domain"),"")</f>
        <v/>
      </c>
    </row>
    <row r="9046">
      <c r="A9046" s="2" t="n"/>
      <c r="B9046">
        <f>LOWER(TRIM(A9046))</f>
        <v/>
      </c>
      <c r="C9046">
        <f>IF(B9046="","",IFERROR(INDEX('Bad Patterns'!$A$2:$A$120,MATCH(1,INDEX(--ISNUMBER(SEARCH('Bad Patterns'!$A$2:$A$120,B9046)),0),0)),""))</f>
        <v/>
      </c>
      <c r="D9046">
        <f>IF(B9046="","",IF(C9046&lt;&gt;"","REMOVE","KEEP"))</f>
        <v/>
      </c>
      <c r="E9046">
        <f>IF(D9046&lt;&gt;"KEEP","",IF(RIGHT(B9046,10)="@gmail.com","Gmail",IF(OR(RIGHT(B9046,12)="@outlook.com",RIGHT(B9046,12)="@hotmail.com",RIGHT(B9046,9)="@live.com"),"Outlook","Domain")))</f>
        <v/>
      </c>
      <c r="F9046">
        <f>IF(B9046="","",IFERROR(RIGHT(B9046,LEN(B9046)-FIND("@",B9046)),""))</f>
        <v/>
      </c>
      <c r="G9046">
        <f>IF(D9046="KEEP",COUNTIF($D$2:D9046,"KEEP"),"")</f>
        <v/>
      </c>
      <c r="H9046">
        <f>IF(D9046="REMOVE",COUNTIF($D$2:D9046,"REMOVE"),"")</f>
        <v/>
      </c>
      <c r="I9046">
        <f>IF(E9046="Gmail",COUNTIF($E$2:E9046,"Gmail"),"")</f>
        <v/>
      </c>
      <c r="J9046">
        <f>IF(E9046="Outlook",COUNTIF($E$2:E9046,"Outlook"),"")</f>
        <v/>
      </c>
      <c r="K9046">
        <f>IF(E9046="Domain",COUNTIF($E$2:E9046,"Domain"),"")</f>
        <v/>
      </c>
    </row>
    <row r="9047">
      <c r="A9047" s="2" t="n"/>
      <c r="B9047">
        <f>LOWER(TRIM(A9047))</f>
        <v/>
      </c>
      <c r="C9047">
        <f>IF(B9047="","",IFERROR(INDEX('Bad Patterns'!$A$2:$A$120,MATCH(1,INDEX(--ISNUMBER(SEARCH('Bad Patterns'!$A$2:$A$120,B9047)),0),0)),""))</f>
        <v/>
      </c>
      <c r="D9047">
        <f>IF(B9047="","",IF(C9047&lt;&gt;"","REMOVE","KEEP"))</f>
        <v/>
      </c>
      <c r="E9047">
        <f>IF(D9047&lt;&gt;"KEEP","",IF(RIGHT(B9047,10)="@gmail.com","Gmail",IF(OR(RIGHT(B9047,12)="@outlook.com",RIGHT(B9047,12)="@hotmail.com",RIGHT(B9047,9)="@live.com"),"Outlook","Domain")))</f>
        <v/>
      </c>
      <c r="F9047">
        <f>IF(B9047="","",IFERROR(RIGHT(B9047,LEN(B9047)-FIND("@",B9047)),""))</f>
        <v/>
      </c>
      <c r="G9047">
        <f>IF(D9047="KEEP",COUNTIF($D$2:D9047,"KEEP"),"")</f>
        <v/>
      </c>
      <c r="H9047">
        <f>IF(D9047="REMOVE",COUNTIF($D$2:D9047,"REMOVE"),"")</f>
        <v/>
      </c>
      <c r="I9047">
        <f>IF(E9047="Gmail",COUNTIF($E$2:E9047,"Gmail"),"")</f>
        <v/>
      </c>
      <c r="J9047">
        <f>IF(E9047="Outlook",COUNTIF($E$2:E9047,"Outlook"),"")</f>
        <v/>
      </c>
      <c r="K9047">
        <f>IF(E9047="Domain",COUNTIF($E$2:E9047,"Domain"),"")</f>
        <v/>
      </c>
    </row>
    <row r="9048">
      <c r="A9048" s="2" t="n"/>
      <c r="B9048">
        <f>LOWER(TRIM(A9048))</f>
        <v/>
      </c>
      <c r="C9048">
        <f>IF(B9048="","",IFERROR(INDEX('Bad Patterns'!$A$2:$A$120,MATCH(1,INDEX(--ISNUMBER(SEARCH('Bad Patterns'!$A$2:$A$120,B9048)),0),0)),""))</f>
        <v/>
      </c>
      <c r="D9048">
        <f>IF(B9048="","",IF(C9048&lt;&gt;"","REMOVE","KEEP"))</f>
        <v/>
      </c>
      <c r="E9048">
        <f>IF(D9048&lt;&gt;"KEEP","",IF(RIGHT(B9048,10)="@gmail.com","Gmail",IF(OR(RIGHT(B9048,12)="@outlook.com",RIGHT(B9048,12)="@hotmail.com",RIGHT(B9048,9)="@live.com"),"Outlook","Domain")))</f>
        <v/>
      </c>
      <c r="F9048">
        <f>IF(B9048="","",IFERROR(RIGHT(B9048,LEN(B9048)-FIND("@",B9048)),""))</f>
        <v/>
      </c>
      <c r="G9048">
        <f>IF(D9048="KEEP",COUNTIF($D$2:D9048,"KEEP"),"")</f>
        <v/>
      </c>
      <c r="H9048">
        <f>IF(D9048="REMOVE",COUNTIF($D$2:D9048,"REMOVE"),"")</f>
        <v/>
      </c>
      <c r="I9048">
        <f>IF(E9048="Gmail",COUNTIF($E$2:E9048,"Gmail"),"")</f>
        <v/>
      </c>
      <c r="J9048">
        <f>IF(E9048="Outlook",COUNTIF($E$2:E9048,"Outlook"),"")</f>
        <v/>
      </c>
      <c r="K9048">
        <f>IF(E9048="Domain",COUNTIF($E$2:E9048,"Domain"),"")</f>
        <v/>
      </c>
    </row>
    <row r="9049">
      <c r="A9049" s="2" t="n"/>
      <c r="B9049">
        <f>LOWER(TRIM(A9049))</f>
        <v/>
      </c>
      <c r="C9049">
        <f>IF(B9049="","",IFERROR(INDEX('Bad Patterns'!$A$2:$A$120,MATCH(1,INDEX(--ISNUMBER(SEARCH('Bad Patterns'!$A$2:$A$120,B9049)),0),0)),""))</f>
        <v/>
      </c>
      <c r="D9049">
        <f>IF(B9049="","",IF(C9049&lt;&gt;"","REMOVE","KEEP"))</f>
        <v/>
      </c>
      <c r="E9049">
        <f>IF(D9049&lt;&gt;"KEEP","",IF(RIGHT(B9049,10)="@gmail.com","Gmail",IF(OR(RIGHT(B9049,12)="@outlook.com",RIGHT(B9049,12)="@hotmail.com",RIGHT(B9049,9)="@live.com"),"Outlook","Domain")))</f>
        <v/>
      </c>
      <c r="F9049">
        <f>IF(B9049="","",IFERROR(RIGHT(B9049,LEN(B9049)-FIND("@",B9049)),""))</f>
        <v/>
      </c>
      <c r="G9049">
        <f>IF(D9049="KEEP",COUNTIF($D$2:D9049,"KEEP"),"")</f>
        <v/>
      </c>
      <c r="H9049">
        <f>IF(D9049="REMOVE",COUNTIF($D$2:D9049,"REMOVE"),"")</f>
        <v/>
      </c>
      <c r="I9049">
        <f>IF(E9049="Gmail",COUNTIF($E$2:E9049,"Gmail"),"")</f>
        <v/>
      </c>
      <c r="J9049">
        <f>IF(E9049="Outlook",COUNTIF($E$2:E9049,"Outlook"),"")</f>
        <v/>
      </c>
      <c r="K9049">
        <f>IF(E9049="Domain",COUNTIF($E$2:E9049,"Domain"),"")</f>
        <v/>
      </c>
    </row>
    <row r="9050">
      <c r="A9050" s="2" t="n"/>
      <c r="B9050">
        <f>LOWER(TRIM(A9050))</f>
        <v/>
      </c>
      <c r="C9050">
        <f>IF(B9050="","",IFERROR(INDEX('Bad Patterns'!$A$2:$A$120,MATCH(1,INDEX(--ISNUMBER(SEARCH('Bad Patterns'!$A$2:$A$120,B9050)),0),0)),""))</f>
        <v/>
      </c>
      <c r="D9050">
        <f>IF(B9050="","",IF(C9050&lt;&gt;"","REMOVE","KEEP"))</f>
        <v/>
      </c>
      <c r="E9050">
        <f>IF(D9050&lt;&gt;"KEEP","",IF(RIGHT(B9050,10)="@gmail.com","Gmail",IF(OR(RIGHT(B9050,12)="@outlook.com",RIGHT(B9050,12)="@hotmail.com",RIGHT(B9050,9)="@live.com"),"Outlook","Domain")))</f>
        <v/>
      </c>
      <c r="F9050">
        <f>IF(B9050="","",IFERROR(RIGHT(B9050,LEN(B9050)-FIND("@",B9050)),""))</f>
        <v/>
      </c>
      <c r="G9050">
        <f>IF(D9050="KEEP",COUNTIF($D$2:D9050,"KEEP"),"")</f>
        <v/>
      </c>
      <c r="H9050">
        <f>IF(D9050="REMOVE",COUNTIF($D$2:D9050,"REMOVE"),"")</f>
        <v/>
      </c>
      <c r="I9050">
        <f>IF(E9050="Gmail",COUNTIF($E$2:E9050,"Gmail"),"")</f>
        <v/>
      </c>
      <c r="J9050">
        <f>IF(E9050="Outlook",COUNTIF($E$2:E9050,"Outlook"),"")</f>
        <v/>
      </c>
      <c r="K9050">
        <f>IF(E9050="Domain",COUNTIF($E$2:E9050,"Domain"),"")</f>
        <v/>
      </c>
    </row>
    <row r="9051">
      <c r="A9051" s="2" t="n"/>
      <c r="B9051">
        <f>LOWER(TRIM(A9051))</f>
        <v/>
      </c>
      <c r="C9051">
        <f>IF(B9051="","",IFERROR(INDEX('Bad Patterns'!$A$2:$A$120,MATCH(1,INDEX(--ISNUMBER(SEARCH('Bad Patterns'!$A$2:$A$120,B9051)),0),0)),""))</f>
        <v/>
      </c>
      <c r="D9051">
        <f>IF(B9051="","",IF(C9051&lt;&gt;"","REMOVE","KEEP"))</f>
        <v/>
      </c>
      <c r="E9051">
        <f>IF(D9051&lt;&gt;"KEEP","",IF(RIGHT(B9051,10)="@gmail.com","Gmail",IF(OR(RIGHT(B9051,12)="@outlook.com",RIGHT(B9051,12)="@hotmail.com",RIGHT(B9051,9)="@live.com"),"Outlook","Domain")))</f>
        <v/>
      </c>
      <c r="F9051">
        <f>IF(B9051="","",IFERROR(RIGHT(B9051,LEN(B9051)-FIND("@",B9051)),""))</f>
        <v/>
      </c>
      <c r="G9051">
        <f>IF(D9051="KEEP",COUNTIF($D$2:D9051,"KEEP"),"")</f>
        <v/>
      </c>
      <c r="H9051">
        <f>IF(D9051="REMOVE",COUNTIF($D$2:D9051,"REMOVE"),"")</f>
        <v/>
      </c>
      <c r="I9051">
        <f>IF(E9051="Gmail",COUNTIF($E$2:E9051,"Gmail"),"")</f>
        <v/>
      </c>
      <c r="J9051">
        <f>IF(E9051="Outlook",COUNTIF($E$2:E9051,"Outlook"),"")</f>
        <v/>
      </c>
      <c r="K9051">
        <f>IF(E9051="Domain",COUNTIF($E$2:E9051,"Domain"),"")</f>
        <v/>
      </c>
    </row>
    <row r="9052">
      <c r="A9052" s="2" t="n"/>
      <c r="B9052">
        <f>LOWER(TRIM(A9052))</f>
        <v/>
      </c>
      <c r="C9052">
        <f>IF(B9052="","",IFERROR(INDEX('Bad Patterns'!$A$2:$A$120,MATCH(1,INDEX(--ISNUMBER(SEARCH('Bad Patterns'!$A$2:$A$120,B9052)),0),0)),""))</f>
        <v/>
      </c>
      <c r="D9052">
        <f>IF(B9052="","",IF(C9052&lt;&gt;"","REMOVE","KEEP"))</f>
        <v/>
      </c>
      <c r="E9052">
        <f>IF(D9052&lt;&gt;"KEEP","",IF(RIGHT(B9052,10)="@gmail.com","Gmail",IF(OR(RIGHT(B9052,12)="@outlook.com",RIGHT(B9052,12)="@hotmail.com",RIGHT(B9052,9)="@live.com"),"Outlook","Domain")))</f>
        <v/>
      </c>
      <c r="F9052">
        <f>IF(B9052="","",IFERROR(RIGHT(B9052,LEN(B9052)-FIND("@",B9052)),""))</f>
        <v/>
      </c>
      <c r="G9052">
        <f>IF(D9052="KEEP",COUNTIF($D$2:D9052,"KEEP"),"")</f>
        <v/>
      </c>
      <c r="H9052">
        <f>IF(D9052="REMOVE",COUNTIF($D$2:D9052,"REMOVE"),"")</f>
        <v/>
      </c>
      <c r="I9052">
        <f>IF(E9052="Gmail",COUNTIF($E$2:E9052,"Gmail"),"")</f>
        <v/>
      </c>
      <c r="J9052">
        <f>IF(E9052="Outlook",COUNTIF($E$2:E9052,"Outlook"),"")</f>
        <v/>
      </c>
      <c r="K9052">
        <f>IF(E9052="Domain",COUNTIF($E$2:E9052,"Domain"),"")</f>
        <v/>
      </c>
    </row>
    <row r="9053">
      <c r="A9053" s="2" t="n"/>
      <c r="B9053">
        <f>LOWER(TRIM(A9053))</f>
        <v/>
      </c>
      <c r="C9053">
        <f>IF(B9053="","",IFERROR(INDEX('Bad Patterns'!$A$2:$A$120,MATCH(1,INDEX(--ISNUMBER(SEARCH('Bad Patterns'!$A$2:$A$120,B9053)),0),0)),""))</f>
        <v/>
      </c>
      <c r="D9053">
        <f>IF(B9053="","",IF(C9053&lt;&gt;"","REMOVE","KEEP"))</f>
        <v/>
      </c>
      <c r="E9053">
        <f>IF(D9053&lt;&gt;"KEEP","",IF(RIGHT(B9053,10)="@gmail.com","Gmail",IF(OR(RIGHT(B9053,12)="@outlook.com",RIGHT(B9053,12)="@hotmail.com",RIGHT(B9053,9)="@live.com"),"Outlook","Domain")))</f>
        <v/>
      </c>
      <c r="F9053">
        <f>IF(B9053="","",IFERROR(RIGHT(B9053,LEN(B9053)-FIND("@",B9053)),""))</f>
        <v/>
      </c>
      <c r="G9053">
        <f>IF(D9053="KEEP",COUNTIF($D$2:D9053,"KEEP"),"")</f>
        <v/>
      </c>
      <c r="H9053">
        <f>IF(D9053="REMOVE",COUNTIF($D$2:D9053,"REMOVE"),"")</f>
        <v/>
      </c>
      <c r="I9053">
        <f>IF(E9053="Gmail",COUNTIF($E$2:E9053,"Gmail"),"")</f>
        <v/>
      </c>
      <c r="J9053">
        <f>IF(E9053="Outlook",COUNTIF($E$2:E9053,"Outlook"),"")</f>
        <v/>
      </c>
      <c r="K9053">
        <f>IF(E9053="Domain",COUNTIF($E$2:E9053,"Domain"),"")</f>
        <v/>
      </c>
    </row>
    <row r="9054">
      <c r="A9054" s="2" t="n"/>
      <c r="B9054">
        <f>LOWER(TRIM(A9054))</f>
        <v/>
      </c>
      <c r="C9054">
        <f>IF(B9054="","",IFERROR(INDEX('Bad Patterns'!$A$2:$A$120,MATCH(1,INDEX(--ISNUMBER(SEARCH('Bad Patterns'!$A$2:$A$120,B9054)),0),0)),""))</f>
        <v/>
      </c>
      <c r="D9054">
        <f>IF(B9054="","",IF(C9054&lt;&gt;"","REMOVE","KEEP"))</f>
        <v/>
      </c>
      <c r="E9054">
        <f>IF(D9054&lt;&gt;"KEEP","",IF(RIGHT(B9054,10)="@gmail.com","Gmail",IF(OR(RIGHT(B9054,12)="@outlook.com",RIGHT(B9054,12)="@hotmail.com",RIGHT(B9054,9)="@live.com"),"Outlook","Domain")))</f>
        <v/>
      </c>
      <c r="F9054">
        <f>IF(B9054="","",IFERROR(RIGHT(B9054,LEN(B9054)-FIND("@",B9054)),""))</f>
        <v/>
      </c>
      <c r="G9054">
        <f>IF(D9054="KEEP",COUNTIF($D$2:D9054,"KEEP"),"")</f>
        <v/>
      </c>
      <c r="H9054">
        <f>IF(D9054="REMOVE",COUNTIF($D$2:D9054,"REMOVE"),"")</f>
        <v/>
      </c>
      <c r="I9054">
        <f>IF(E9054="Gmail",COUNTIF($E$2:E9054,"Gmail"),"")</f>
        <v/>
      </c>
      <c r="J9054">
        <f>IF(E9054="Outlook",COUNTIF($E$2:E9054,"Outlook"),"")</f>
        <v/>
      </c>
      <c r="K9054">
        <f>IF(E9054="Domain",COUNTIF($E$2:E9054,"Domain"),"")</f>
        <v/>
      </c>
    </row>
    <row r="9055">
      <c r="A9055" s="2" t="n"/>
      <c r="B9055">
        <f>LOWER(TRIM(A9055))</f>
        <v/>
      </c>
      <c r="C9055">
        <f>IF(B9055="","",IFERROR(INDEX('Bad Patterns'!$A$2:$A$120,MATCH(1,INDEX(--ISNUMBER(SEARCH('Bad Patterns'!$A$2:$A$120,B9055)),0),0)),""))</f>
        <v/>
      </c>
      <c r="D9055">
        <f>IF(B9055="","",IF(C9055&lt;&gt;"","REMOVE","KEEP"))</f>
        <v/>
      </c>
      <c r="E9055">
        <f>IF(D9055&lt;&gt;"KEEP","",IF(RIGHT(B9055,10)="@gmail.com","Gmail",IF(OR(RIGHT(B9055,12)="@outlook.com",RIGHT(B9055,12)="@hotmail.com",RIGHT(B9055,9)="@live.com"),"Outlook","Domain")))</f>
        <v/>
      </c>
      <c r="F9055">
        <f>IF(B9055="","",IFERROR(RIGHT(B9055,LEN(B9055)-FIND("@",B9055)),""))</f>
        <v/>
      </c>
      <c r="G9055">
        <f>IF(D9055="KEEP",COUNTIF($D$2:D9055,"KEEP"),"")</f>
        <v/>
      </c>
      <c r="H9055">
        <f>IF(D9055="REMOVE",COUNTIF($D$2:D9055,"REMOVE"),"")</f>
        <v/>
      </c>
      <c r="I9055">
        <f>IF(E9055="Gmail",COUNTIF($E$2:E9055,"Gmail"),"")</f>
        <v/>
      </c>
      <c r="J9055">
        <f>IF(E9055="Outlook",COUNTIF($E$2:E9055,"Outlook"),"")</f>
        <v/>
      </c>
      <c r="K9055">
        <f>IF(E9055="Domain",COUNTIF($E$2:E9055,"Domain"),"")</f>
        <v/>
      </c>
    </row>
    <row r="9056">
      <c r="A9056" s="2" t="n"/>
      <c r="B9056">
        <f>LOWER(TRIM(A9056))</f>
        <v/>
      </c>
      <c r="C9056">
        <f>IF(B9056="","",IFERROR(INDEX('Bad Patterns'!$A$2:$A$120,MATCH(1,INDEX(--ISNUMBER(SEARCH('Bad Patterns'!$A$2:$A$120,B9056)),0),0)),""))</f>
        <v/>
      </c>
      <c r="D9056">
        <f>IF(B9056="","",IF(C9056&lt;&gt;"","REMOVE","KEEP"))</f>
        <v/>
      </c>
      <c r="E9056">
        <f>IF(D9056&lt;&gt;"KEEP","",IF(RIGHT(B9056,10)="@gmail.com","Gmail",IF(OR(RIGHT(B9056,12)="@outlook.com",RIGHT(B9056,12)="@hotmail.com",RIGHT(B9056,9)="@live.com"),"Outlook","Domain")))</f>
        <v/>
      </c>
      <c r="F9056">
        <f>IF(B9056="","",IFERROR(RIGHT(B9056,LEN(B9056)-FIND("@",B9056)),""))</f>
        <v/>
      </c>
      <c r="G9056">
        <f>IF(D9056="KEEP",COUNTIF($D$2:D9056,"KEEP"),"")</f>
        <v/>
      </c>
      <c r="H9056">
        <f>IF(D9056="REMOVE",COUNTIF($D$2:D9056,"REMOVE"),"")</f>
        <v/>
      </c>
      <c r="I9056">
        <f>IF(E9056="Gmail",COUNTIF($E$2:E9056,"Gmail"),"")</f>
        <v/>
      </c>
      <c r="J9056">
        <f>IF(E9056="Outlook",COUNTIF($E$2:E9056,"Outlook"),"")</f>
        <v/>
      </c>
      <c r="K9056">
        <f>IF(E9056="Domain",COUNTIF($E$2:E9056,"Domain"),"")</f>
        <v/>
      </c>
    </row>
    <row r="9057">
      <c r="A9057" s="2" t="n"/>
      <c r="B9057">
        <f>LOWER(TRIM(A9057))</f>
        <v/>
      </c>
      <c r="C9057">
        <f>IF(B9057="","",IFERROR(INDEX('Bad Patterns'!$A$2:$A$120,MATCH(1,INDEX(--ISNUMBER(SEARCH('Bad Patterns'!$A$2:$A$120,B9057)),0),0)),""))</f>
        <v/>
      </c>
      <c r="D9057">
        <f>IF(B9057="","",IF(C9057&lt;&gt;"","REMOVE","KEEP"))</f>
        <v/>
      </c>
      <c r="E9057">
        <f>IF(D9057&lt;&gt;"KEEP","",IF(RIGHT(B9057,10)="@gmail.com","Gmail",IF(OR(RIGHT(B9057,12)="@outlook.com",RIGHT(B9057,12)="@hotmail.com",RIGHT(B9057,9)="@live.com"),"Outlook","Domain")))</f>
        <v/>
      </c>
      <c r="F9057">
        <f>IF(B9057="","",IFERROR(RIGHT(B9057,LEN(B9057)-FIND("@",B9057)),""))</f>
        <v/>
      </c>
      <c r="G9057">
        <f>IF(D9057="KEEP",COUNTIF($D$2:D9057,"KEEP"),"")</f>
        <v/>
      </c>
      <c r="H9057">
        <f>IF(D9057="REMOVE",COUNTIF($D$2:D9057,"REMOVE"),"")</f>
        <v/>
      </c>
      <c r="I9057">
        <f>IF(E9057="Gmail",COUNTIF($E$2:E9057,"Gmail"),"")</f>
        <v/>
      </c>
      <c r="J9057">
        <f>IF(E9057="Outlook",COUNTIF($E$2:E9057,"Outlook"),"")</f>
        <v/>
      </c>
      <c r="K9057">
        <f>IF(E9057="Domain",COUNTIF($E$2:E9057,"Domain"),"")</f>
        <v/>
      </c>
    </row>
    <row r="9058">
      <c r="A9058" s="2" t="n"/>
      <c r="B9058">
        <f>LOWER(TRIM(A9058))</f>
        <v/>
      </c>
      <c r="C9058">
        <f>IF(B9058="","",IFERROR(INDEX('Bad Patterns'!$A$2:$A$120,MATCH(1,INDEX(--ISNUMBER(SEARCH('Bad Patterns'!$A$2:$A$120,B9058)),0),0)),""))</f>
        <v/>
      </c>
      <c r="D9058">
        <f>IF(B9058="","",IF(C9058&lt;&gt;"","REMOVE","KEEP"))</f>
        <v/>
      </c>
      <c r="E9058">
        <f>IF(D9058&lt;&gt;"KEEP","",IF(RIGHT(B9058,10)="@gmail.com","Gmail",IF(OR(RIGHT(B9058,12)="@outlook.com",RIGHT(B9058,12)="@hotmail.com",RIGHT(B9058,9)="@live.com"),"Outlook","Domain")))</f>
        <v/>
      </c>
      <c r="F9058">
        <f>IF(B9058="","",IFERROR(RIGHT(B9058,LEN(B9058)-FIND("@",B9058)),""))</f>
        <v/>
      </c>
      <c r="G9058">
        <f>IF(D9058="KEEP",COUNTIF($D$2:D9058,"KEEP"),"")</f>
        <v/>
      </c>
      <c r="H9058">
        <f>IF(D9058="REMOVE",COUNTIF($D$2:D9058,"REMOVE"),"")</f>
        <v/>
      </c>
      <c r="I9058">
        <f>IF(E9058="Gmail",COUNTIF($E$2:E9058,"Gmail"),"")</f>
        <v/>
      </c>
      <c r="J9058">
        <f>IF(E9058="Outlook",COUNTIF($E$2:E9058,"Outlook"),"")</f>
        <v/>
      </c>
      <c r="K9058">
        <f>IF(E9058="Domain",COUNTIF($E$2:E9058,"Domain"),"")</f>
        <v/>
      </c>
    </row>
    <row r="9059">
      <c r="A9059" s="2" t="n"/>
      <c r="B9059">
        <f>LOWER(TRIM(A9059))</f>
        <v/>
      </c>
      <c r="C9059">
        <f>IF(B9059="","",IFERROR(INDEX('Bad Patterns'!$A$2:$A$120,MATCH(1,INDEX(--ISNUMBER(SEARCH('Bad Patterns'!$A$2:$A$120,B9059)),0),0)),""))</f>
        <v/>
      </c>
      <c r="D9059">
        <f>IF(B9059="","",IF(C9059&lt;&gt;"","REMOVE","KEEP"))</f>
        <v/>
      </c>
      <c r="E9059">
        <f>IF(D9059&lt;&gt;"KEEP","",IF(RIGHT(B9059,10)="@gmail.com","Gmail",IF(OR(RIGHT(B9059,12)="@outlook.com",RIGHT(B9059,12)="@hotmail.com",RIGHT(B9059,9)="@live.com"),"Outlook","Domain")))</f>
        <v/>
      </c>
      <c r="F9059">
        <f>IF(B9059="","",IFERROR(RIGHT(B9059,LEN(B9059)-FIND("@",B9059)),""))</f>
        <v/>
      </c>
      <c r="G9059">
        <f>IF(D9059="KEEP",COUNTIF($D$2:D9059,"KEEP"),"")</f>
        <v/>
      </c>
      <c r="H9059">
        <f>IF(D9059="REMOVE",COUNTIF($D$2:D9059,"REMOVE"),"")</f>
        <v/>
      </c>
      <c r="I9059">
        <f>IF(E9059="Gmail",COUNTIF($E$2:E9059,"Gmail"),"")</f>
        <v/>
      </c>
      <c r="J9059">
        <f>IF(E9059="Outlook",COUNTIF($E$2:E9059,"Outlook"),"")</f>
        <v/>
      </c>
      <c r="K9059">
        <f>IF(E9059="Domain",COUNTIF($E$2:E9059,"Domain"),"")</f>
        <v/>
      </c>
    </row>
    <row r="9060">
      <c r="A9060" s="2" t="n"/>
      <c r="B9060">
        <f>LOWER(TRIM(A9060))</f>
        <v/>
      </c>
      <c r="C9060">
        <f>IF(B9060="","",IFERROR(INDEX('Bad Patterns'!$A$2:$A$120,MATCH(1,INDEX(--ISNUMBER(SEARCH('Bad Patterns'!$A$2:$A$120,B9060)),0),0)),""))</f>
        <v/>
      </c>
      <c r="D9060">
        <f>IF(B9060="","",IF(C9060&lt;&gt;"","REMOVE","KEEP"))</f>
        <v/>
      </c>
      <c r="E9060">
        <f>IF(D9060&lt;&gt;"KEEP","",IF(RIGHT(B9060,10)="@gmail.com","Gmail",IF(OR(RIGHT(B9060,12)="@outlook.com",RIGHT(B9060,12)="@hotmail.com",RIGHT(B9060,9)="@live.com"),"Outlook","Domain")))</f>
        <v/>
      </c>
      <c r="F9060">
        <f>IF(B9060="","",IFERROR(RIGHT(B9060,LEN(B9060)-FIND("@",B9060)),""))</f>
        <v/>
      </c>
      <c r="G9060">
        <f>IF(D9060="KEEP",COUNTIF($D$2:D9060,"KEEP"),"")</f>
        <v/>
      </c>
      <c r="H9060">
        <f>IF(D9060="REMOVE",COUNTIF($D$2:D9060,"REMOVE"),"")</f>
        <v/>
      </c>
      <c r="I9060">
        <f>IF(E9060="Gmail",COUNTIF($E$2:E9060,"Gmail"),"")</f>
        <v/>
      </c>
      <c r="J9060">
        <f>IF(E9060="Outlook",COUNTIF($E$2:E9060,"Outlook"),"")</f>
        <v/>
      </c>
      <c r="K9060">
        <f>IF(E9060="Domain",COUNTIF($E$2:E9060,"Domain"),"")</f>
        <v/>
      </c>
    </row>
    <row r="9061">
      <c r="A9061" s="2" t="n"/>
      <c r="B9061">
        <f>LOWER(TRIM(A9061))</f>
        <v/>
      </c>
      <c r="C9061">
        <f>IF(B9061="","",IFERROR(INDEX('Bad Patterns'!$A$2:$A$120,MATCH(1,INDEX(--ISNUMBER(SEARCH('Bad Patterns'!$A$2:$A$120,B9061)),0),0)),""))</f>
        <v/>
      </c>
      <c r="D9061">
        <f>IF(B9061="","",IF(C9061&lt;&gt;"","REMOVE","KEEP"))</f>
        <v/>
      </c>
      <c r="E9061">
        <f>IF(D9061&lt;&gt;"KEEP","",IF(RIGHT(B9061,10)="@gmail.com","Gmail",IF(OR(RIGHT(B9061,12)="@outlook.com",RIGHT(B9061,12)="@hotmail.com",RIGHT(B9061,9)="@live.com"),"Outlook","Domain")))</f>
        <v/>
      </c>
      <c r="F9061">
        <f>IF(B9061="","",IFERROR(RIGHT(B9061,LEN(B9061)-FIND("@",B9061)),""))</f>
        <v/>
      </c>
      <c r="G9061">
        <f>IF(D9061="KEEP",COUNTIF($D$2:D9061,"KEEP"),"")</f>
        <v/>
      </c>
      <c r="H9061">
        <f>IF(D9061="REMOVE",COUNTIF($D$2:D9061,"REMOVE"),"")</f>
        <v/>
      </c>
      <c r="I9061">
        <f>IF(E9061="Gmail",COUNTIF($E$2:E9061,"Gmail"),"")</f>
        <v/>
      </c>
      <c r="J9061">
        <f>IF(E9061="Outlook",COUNTIF($E$2:E9061,"Outlook"),"")</f>
        <v/>
      </c>
      <c r="K9061">
        <f>IF(E9061="Domain",COUNTIF($E$2:E9061,"Domain"),"")</f>
        <v/>
      </c>
    </row>
    <row r="9062">
      <c r="A9062" s="2" t="n"/>
      <c r="B9062">
        <f>LOWER(TRIM(A9062))</f>
        <v/>
      </c>
      <c r="C9062">
        <f>IF(B9062="","",IFERROR(INDEX('Bad Patterns'!$A$2:$A$120,MATCH(1,INDEX(--ISNUMBER(SEARCH('Bad Patterns'!$A$2:$A$120,B9062)),0),0)),""))</f>
        <v/>
      </c>
      <c r="D9062">
        <f>IF(B9062="","",IF(C9062&lt;&gt;"","REMOVE","KEEP"))</f>
        <v/>
      </c>
      <c r="E9062">
        <f>IF(D9062&lt;&gt;"KEEP","",IF(RIGHT(B9062,10)="@gmail.com","Gmail",IF(OR(RIGHT(B9062,12)="@outlook.com",RIGHT(B9062,12)="@hotmail.com",RIGHT(B9062,9)="@live.com"),"Outlook","Domain")))</f>
        <v/>
      </c>
      <c r="F9062">
        <f>IF(B9062="","",IFERROR(RIGHT(B9062,LEN(B9062)-FIND("@",B9062)),""))</f>
        <v/>
      </c>
      <c r="G9062">
        <f>IF(D9062="KEEP",COUNTIF($D$2:D9062,"KEEP"),"")</f>
        <v/>
      </c>
      <c r="H9062">
        <f>IF(D9062="REMOVE",COUNTIF($D$2:D9062,"REMOVE"),"")</f>
        <v/>
      </c>
      <c r="I9062">
        <f>IF(E9062="Gmail",COUNTIF($E$2:E9062,"Gmail"),"")</f>
        <v/>
      </c>
      <c r="J9062">
        <f>IF(E9062="Outlook",COUNTIF($E$2:E9062,"Outlook"),"")</f>
        <v/>
      </c>
      <c r="K9062">
        <f>IF(E9062="Domain",COUNTIF($E$2:E9062,"Domain"),"")</f>
        <v/>
      </c>
    </row>
    <row r="9063">
      <c r="A9063" s="2" t="n"/>
      <c r="B9063">
        <f>LOWER(TRIM(A9063))</f>
        <v/>
      </c>
      <c r="C9063">
        <f>IF(B9063="","",IFERROR(INDEX('Bad Patterns'!$A$2:$A$120,MATCH(1,INDEX(--ISNUMBER(SEARCH('Bad Patterns'!$A$2:$A$120,B9063)),0),0)),""))</f>
        <v/>
      </c>
      <c r="D9063">
        <f>IF(B9063="","",IF(C9063&lt;&gt;"","REMOVE","KEEP"))</f>
        <v/>
      </c>
      <c r="E9063">
        <f>IF(D9063&lt;&gt;"KEEP","",IF(RIGHT(B9063,10)="@gmail.com","Gmail",IF(OR(RIGHT(B9063,12)="@outlook.com",RIGHT(B9063,12)="@hotmail.com",RIGHT(B9063,9)="@live.com"),"Outlook","Domain")))</f>
        <v/>
      </c>
      <c r="F9063">
        <f>IF(B9063="","",IFERROR(RIGHT(B9063,LEN(B9063)-FIND("@",B9063)),""))</f>
        <v/>
      </c>
      <c r="G9063">
        <f>IF(D9063="KEEP",COUNTIF($D$2:D9063,"KEEP"),"")</f>
        <v/>
      </c>
      <c r="H9063">
        <f>IF(D9063="REMOVE",COUNTIF($D$2:D9063,"REMOVE"),"")</f>
        <v/>
      </c>
      <c r="I9063">
        <f>IF(E9063="Gmail",COUNTIF($E$2:E9063,"Gmail"),"")</f>
        <v/>
      </c>
      <c r="J9063">
        <f>IF(E9063="Outlook",COUNTIF($E$2:E9063,"Outlook"),"")</f>
        <v/>
      </c>
      <c r="K9063">
        <f>IF(E9063="Domain",COUNTIF($E$2:E9063,"Domain"),"")</f>
        <v/>
      </c>
    </row>
    <row r="9064">
      <c r="A9064" s="2" t="n"/>
      <c r="B9064">
        <f>LOWER(TRIM(A9064))</f>
        <v/>
      </c>
      <c r="C9064">
        <f>IF(B9064="","",IFERROR(INDEX('Bad Patterns'!$A$2:$A$120,MATCH(1,INDEX(--ISNUMBER(SEARCH('Bad Patterns'!$A$2:$A$120,B9064)),0),0)),""))</f>
        <v/>
      </c>
      <c r="D9064">
        <f>IF(B9064="","",IF(C9064&lt;&gt;"","REMOVE","KEEP"))</f>
        <v/>
      </c>
      <c r="E9064">
        <f>IF(D9064&lt;&gt;"KEEP","",IF(RIGHT(B9064,10)="@gmail.com","Gmail",IF(OR(RIGHT(B9064,12)="@outlook.com",RIGHT(B9064,12)="@hotmail.com",RIGHT(B9064,9)="@live.com"),"Outlook","Domain")))</f>
        <v/>
      </c>
      <c r="F9064">
        <f>IF(B9064="","",IFERROR(RIGHT(B9064,LEN(B9064)-FIND("@",B9064)),""))</f>
        <v/>
      </c>
      <c r="G9064">
        <f>IF(D9064="KEEP",COUNTIF($D$2:D9064,"KEEP"),"")</f>
        <v/>
      </c>
      <c r="H9064">
        <f>IF(D9064="REMOVE",COUNTIF($D$2:D9064,"REMOVE"),"")</f>
        <v/>
      </c>
      <c r="I9064">
        <f>IF(E9064="Gmail",COUNTIF($E$2:E9064,"Gmail"),"")</f>
        <v/>
      </c>
      <c r="J9064">
        <f>IF(E9064="Outlook",COUNTIF($E$2:E9064,"Outlook"),"")</f>
        <v/>
      </c>
      <c r="K9064">
        <f>IF(E9064="Domain",COUNTIF($E$2:E9064,"Domain"),"")</f>
        <v/>
      </c>
    </row>
    <row r="9065">
      <c r="A9065" s="2" t="n"/>
      <c r="B9065">
        <f>LOWER(TRIM(A9065))</f>
        <v/>
      </c>
      <c r="C9065">
        <f>IF(B9065="","",IFERROR(INDEX('Bad Patterns'!$A$2:$A$120,MATCH(1,INDEX(--ISNUMBER(SEARCH('Bad Patterns'!$A$2:$A$120,B9065)),0),0)),""))</f>
        <v/>
      </c>
      <c r="D9065">
        <f>IF(B9065="","",IF(C9065&lt;&gt;"","REMOVE","KEEP"))</f>
        <v/>
      </c>
      <c r="E9065">
        <f>IF(D9065&lt;&gt;"KEEP","",IF(RIGHT(B9065,10)="@gmail.com","Gmail",IF(OR(RIGHT(B9065,12)="@outlook.com",RIGHT(B9065,12)="@hotmail.com",RIGHT(B9065,9)="@live.com"),"Outlook","Domain")))</f>
        <v/>
      </c>
      <c r="F9065">
        <f>IF(B9065="","",IFERROR(RIGHT(B9065,LEN(B9065)-FIND("@",B9065)),""))</f>
        <v/>
      </c>
      <c r="G9065">
        <f>IF(D9065="KEEP",COUNTIF($D$2:D9065,"KEEP"),"")</f>
        <v/>
      </c>
      <c r="H9065">
        <f>IF(D9065="REMOVE",COUNTIF($D$2:D9065,"REMOVE"),"")</f>
        <v/>
      </c>
      <c r="I9065">
        <f>IF(E9065="Gmail",COUNTIF($E$2:E9065,"Gmail"),"")</f>
        <v/>
      </c>
      <c r="J9065">
        <f>IF(E9065="Outlook",COUNTIF($E$2:E9065,"Outlook"),"")</f>
        <v/>
      </c>
      <c r="K9065">
        <f>IF(E9065="Domain",COUNTIF($E$2:E9065,"Domain"),"")</f>
        <v/>
      </c>
    </row>
    <row r="9066">
      <c r="A9066" s="2" t="n"/>
      <c r="B9066">
        <f>LOWER(TRIM(A9066))</f>
        <v/>
      </c>
      <c r="C9066">
        <f>IF(B9066="","",IFERROR(INDEX('Bad Patterns'!$A$2:$A$120,MATCH(1,INDEX(--ISNUMBER(SEARCH('Bad Patterns'!$A$2:$A$120,B9066)),0),0)),""))</f>
        <v/>
      </c>
      <c r="D9066">
        <f>IF(B9066="","",IF(C9066&lt;&gt;"","REMOVE","KEEP"))</f>
        <v/>
      </c>
      <c r="E9066">
        <f>IF(D9066&lt;&gt;"KEEP","",IF(RIGHT(B9066,10)="@gmail.com","Gmail",IF(OR(RIGHT(B9066,12)="@outlook.com",RIGHT(B9066,12)="@hotmail.com",RIGHT(B9066,9)="@live.com"),"Outlook","Domain")))</f>
        <v/>
      </c>
      <c r="F9066">
        <f>IF(B9066="","",IFERROR(RIGHT(B9066,LEN(B9066)-FIND("@",B9066)),""))</f>
        <v/>
      </c>
      <c r="G9066">
        <f>IF(D9066="KEEP",COUNTIF($D$2:D9066,"KEEP"),"")</f>
        <v/>
      </c>
      <c r="H9066">
        <f>IF(D9066="REMOVE",COUNTIF($D$2:D9066,"REMOVE"),"")</f>
        <v/>
      </c>
      <c r="I9066">
        <f>IF(E9066="Gmail",COUNTIF($E$2:E9066,"Gmail"),"")</f>
        <v/>
      </c>
      <c r="J9066">
        <f>IF(E9066="Outlook",COUNTIF($E$2:E9066,"Outlook"),"")</f>
        <v/>
      </c>
      <c r="K9066">
        <f>IF(E9066="Domain",COUNTIF($E$2:E9066,"Domain"),"")</f>
        <v/>
      </c>
    </row>
    <row r="9067">
      <c r="A9067" s="2" t="n"/>
      <c r="B9067">
        <f>LOWER(TRIM(A9067))</f>
        <v/>
      </c>
      <c r="C9067">
        <f>IF(B9067="","",IFERROR(INDEX('Bad Patterns'!$A$2:$A$120,MATCH(1,INDEX(--ISNUMBER(SEARCH('Bad Patterns'!$A$2:$A$120,B9067)),0),0)),""))</f>
        <v/>
      </c>
      <c r="D9067">
        <f>IF(B9067="","",IF(C9067&lt;&gt;"","REMOVE","KEEP"))</f>
        <v/>
      </c>
      <c r="E9067">
        <f>IF(D9067&lt;&gt;"KEEP","",IF(RIGHT(B9067,10)="@gmail.com","Gmail",IF(OR(RIGHT(B9067,12)="@outlook.com",RIGHT(B9067,12)="@hotmail.com",RIGHT(B9067,9)="@live.com"),"Outlook","Domain")))</f>
        <v/>
      </c>
      <c r="F9067">
        <f>IF(B9067="","",IFERROR(RIGHT(B9067,LEN(B9067)-FIND("@",B9067)),""))</f>
        <v/>
      </c>
      <c r="G9067">
        <f>IF(D9067="KEEP",COUNTIF($D$2:D9067,"KEEP"),"")</f>
        <v/>
      </c>
      <c r="H9067">
        <f>IF(D9067="REMOVE",COUNTIF($D$2:D9067,"REMOVE"),"")</f>
        <v/>
      </c>
      <c r="I9067">
        <f>IF(E9067="Gmail",COUNTIF($E$2:E9067,"Gmail"),"")</f>
        <v/>
      </c>
      <c r="J9067">
        <f>IF(E9067="Outlook",COUNTIF($E$2:E9067,"Outlook"),"")</f>
        <v/>
      </c>
      <c r="K9067">
        <f>IF(E9067="Domain",COUNTIF($E$2:E9067,"Domain"),"")</f>
        <v/>
      </c>
    </row>
    <row r="9068">
      <c r="A9068" s="2" t="n"/>
      <c r="B9068">
        <f>LOWER(TRIM(A9068))</f>
        <v/>
      </c>
      <c r="C9068">
        <f>IF(B9068="","",IFERROR(INDEX('Bad Patterns'!$A$2:$A$120,MATCH(1,INDEX(--ISNUMBER(SEARCH('Bad Patterns'!$A$2:$A$120,B9068)),0),0)),""))</f>
        <v/>
      </c>
      <c r="D9068">
        <f>IF(B9068="","",IF(C9068&lt;&gt;"","REMOVE","KEEP"))</f>
        <v/>
      </c>
      <c r="E9068">
        <f>IF(D9068&lt;&gt;"KEEP","",IF(RIGHT(B9068,10)="@gmail.com","Gmail",IF(OR(RIGHT(B9068,12)="@outlook.com",RIGHT(B9068,12)="@hotmail.com",RIGHT(B9068,9)="@live.com"),"Outlook","Domain")))</f>
        <v/>
      </c>
      <c r="F9068">
        <f>IF(B9068="","",IFERROR(RIGHT(B9068,LEN(B9068)-FIND("@",B9068)),""))</f>
        <v/>
      </c>
      <c r="G9068">
        <f>IF(D9068="KEEP",COUNTIF($D$2:D9068,"KEEP"),"")</f>
        <v/>
      </c>
      <c r="H9068">
        <f>IF(D9068="REMOVE",COUNTIF($D$2:D9068,"REMOVE"),"")</f>
        <v/>
      </c>
      <c r="I9068">
        <f>IF(E9068="Gmail",COUNTIF($E$2:E9068,"Gmail"),"")</f>
        <v/>
      </c>
      <c r="J9068">
        <f>IF(E9068="Outlook",COUNTIF($E$2:E9068,"Outlook"),"")</f>
        <v/>
      </c>
      <c r="K9068">
        <f>IF(E9068="Domain",COUNTIF($E$2:E9068,"Domain"),"")</f>
        <v/>
      </c>
    </row>
    <row r="9069">
      <c r="A9069" s="2" t="n"/>
      <c r="B9069">
        <f>LOWER(TRIM(A9069))</f>
        <v/>
      </c>
      <c r="C9069">
        <f>IF(B9069="","",IFERROR(INDEX('Bad Patterns'!$A$2:$A$120,MATCH(1,INDEX(--ISNUMBER(SEARCH('Bad Patterns'!$A$2:$A$120,B9069)),0),0)),""))</f>
        <v/>
      </c>
      <c r="D9069">
        <f>IF(B9069="","",IF(C9069&lt;&gt;"","REMOVE","KEEP"))</f>
        <v/>
      </c>
      <c r="E9069">
        <f>IF(D9069&lt;&gt;"KEEP","",IF(RIGHT(B9069,10)="@gmail.com","Gmail",IF(OR(RIGHT(B9069,12)="@outlook.com",RIGHT(B9069,12)="@hotmail.com",RIGHT(B9069,9)="@live.com"),"Outlook","Domain")))</f>
        <v/>
      </c>
      <c r="F9069">
        <f>IF(B9069="","",IFERROR(RIGHT(B9069,LEN(B9069)-FIND("@",B9069)),""))</f>
        <v/>
      </c>
      <c r="G9069">
        <f>IF(D9069="KEEP",COUNTIF($D$2:D9069,"KEEP"),"")</f>
        <v/>
      </c>
      <c r="H9069">
        <f>IF(D9069="REMOVE",COUNTIF($D$2:D9069,"REMOVE"),"")</f>
        <v/>
      </c>
      <c r="I9069">
        <f>IF(E9069="Gmail",COUNTIF($E$2:E9069,"Gmail"),"")</f>
        <v/>
      </c>
      <c r="J9069">
        <f>IF(E9069="Outlook",COUNTIF($E$2:E9069,"Outlook"),"")</f>
        <v/>
      </c>
      <c r="K9069">
        <f>IF(E9069="Domain",COUNTIF($E$2:E9069,"Domain"),"")</f>
        <v/>
      </c>
    </row>
    <row r="9070">
      <c r="A9070" s="2" t="n"/>
      <c r="B9070">
        <f>LOWER(TRIM(A9070))</f>
        <v/>
      </c>
      <c r="C9070">
        <f>IF(B9070="","",IFERROR(INDEX('Bad Patterns'!$A$2:$A$120,MATCH(1,INDEX(--ISNUMBER(SEARCH('Bad Patterns'!$A$2:$A$120,B9070)),0),0)),""))</f>
        <v/>
      </c>
      <c r="D9070">
        <f>IF(B9070="","",IF(C9070&lt;&gt;"","REMOVE","KEEP"))</f>
        <v/>
      </c>
      <c r="E9070">
        <f>IF(D9070&lt;&gt;"KEEP","",IF(RIGHT(B9070,10)="@gmail.com","Gmail",IF(OR(RIGHT(B9070,12)="@outlook.com",RIGHT(B9070,12)="@hotmail.com",RIGHT(B9070,9)="@live.com"),"Outlook","Domain")))</f>
        <v/>
      </c>
      <c r="F9070">
        <f>IF(B9070="","",IFERROR(RIGHT(B9070,LEN(B9070)-FIND("@",B9070)),""))</f>
        <v/>
      </c>
      <c r="G9070">
        <f>IF(D9070="KEEP",COUNTIF($D$2:D9070,"KEEP"),"")</f>
        <v/>
      </c>
      <c r="H9070">
        <f>IF(D9070="REMOVE",COUNTIF($D$2:D9070,"REMOVE"),"")</f>
        <v/>
      </c>
      <c r="I9070">
        <f>IF(E9070="Gmail",COUNTIF($E$2:E9070,"Gmail"),"")</f>
        <v/>
      </c>
      <c r="J9070">
        <f>IF(E9070="Outlook",COUNTIF($E$2:E9070,"Outlook"),"")</f>
        <v/>
      </c>
      <c r="K9070">
        <f>IF(E9070="Domain",COUNTIF($E$2:E9070,"Domain"),"")</f>
        <v/>
      </c>
    </row>
    <row r="9071">
      <c r="A9071" s="2" t="n"/>
      <c r="B9071">
        <f>LOWER(TRIM(A9071))</f>
        <v/>
      </c>
      <c r="C9071">
        <f>IF(B9071="","",IFERROR(INDEX('Bad Patterns'!$A$2:$A$120,MATCH(1,INDEX(--ISNUMBER(SEARCH('Bad Patterns'!$A$2:$A$120,B9071)),0),0)),""))</f>
        <v/>
      </c>
      <c r="D9071">
        <f>IF(B9071="","",IF(C9071&lt;&gt;"","REMOVE","KEEP"))</f>
        <v/>
      </c>
      <c r="E9071">
        <f>IF(D9071&lt;&gt;"KEEP","",IF(RIGHT(B9071,10)="@gmail.com","Gmail",IF(OR(RIGHT(B9071,12)="@outlook.com",RIGHT(B9071,12)="@hotmail.com",RIGHT(B9071,9)="@live.com"),"Outlook","Domain")))</f>
        <v/>
      </c>
      <c r="F9071">
        <f>IF(B9071="","",IFERROR(RIGHT(B9071,LEN(B9071)-FIND("@",B9071)),""))</f>
        <v/>
      </c>
      <c r="G9071">
        <f>IF(D9071="KEEP",COUNTIF($D$2:D9071,"KEEP"),"")</f>
        <v/>
      </c>
      <c r="H9071">
        <f>IF(D9071="REMOVE",COUNTIF($D$2:D9071,"REMOVE"),"")</f>
        <v/>
      </c>
      <c r="I9071">
        <f>IF(E9071="Gmail",COUNTIF($E$2:E9071,"Gmail"),"")</f>
        <v/>
      </c>
      <c r="J9071">
        <f>IF(E9071="Outlook",COUNTIF($E$2:E9071,"Outlook"),"")</f>
        <v/>
      </c>
      <c r="K9071">
        <f>IF(E9071="Domain",COUNTIF($E$2:E9071,"Domain"),"")</f>
        <v/>
      </c>
    </row>
    <row r="9072">
      <c r="A9072" s="2" t="n"/>
      <c r="B9072">
        <f>LOWER(TRIM(A9072))</f>
        <v/>
      </c>
      <c r="C9072">
        <f>IF(B9072="","",IFERROR(INDEX('Bad Patterns'!$A$2:$A$120,MATCH(1,INDEX(--ISNUMBER(SEARCH('Bad Patterns'!$A$2:$A$120,B9072)),0),0)),""))</f>
        <v/>
      </c>
      <c r="D9072">
        <f>IF(B9072="","",IF(C9072&lt;&gt;"","REMOVE","KEEP"))</f>
        <v/>
      </c>
      <c r="E9072">
        <f>IF(D9072&lt;&gt;"KEEP","",IF(RIGHT(B9072,10)="@gmail.com","Gmail",IF(OR(RIGHT(B9072,12)="@outlook.com",RIGHT(B9072,12)="@hotmail.com",RIGHT(B9072,9)="@live.com"),"Outlook","Domain")))</f>
        <v/>
      </c>
      <c r="F9072">
        <f>IF(B9072="","",IFERROR(RIGHT(B9072,LEN(B9072)-FIND("@",B9072)),""))</f>
        <v/>
      </c>
      <c r="G9072">
        <f>IF(D9072="KEEP",COUNTIF($D$2:D9072,"KEEP"),"")</f>
        <v/>
      </c>
      <c r="H9072">
        <f>IF(D9072="REMOVE",COUNTIF($D$2:D9072,"REMOVE"),"")</f>
        <v/>
      </c>
      <c r="I9072">
        <f>IF(E9072="Gmail",COUNTIF($E$2:E9072,"Gmail"),"")</f>
        <v/>
      </c>
      <c r="J9072">
        <f>IF(E9072="Outlook",COUNTIF($E$2:E9072,"Outlook"),"")</f>
        <v/>
      </c>
      <c r="K9072">
        <f>IF(E9072="Domain",COUNTIF($E$2:E9072,"Domain"),"")</f>
        <v/>
      </c>
    </row>
    <row r="9073">
      <c r="A9073" s="2" t="n"/>
      <c r="B9073">
        <f>LOWER(TRIM(A9073))</f>
        <v/>
      </c>
      <c r="C9073">
        <f>IF(B9073="","",IFERROR(INDEX('Bad Patterns'!$A$2:$A$120,MATCH(1,INDEX(--ISNUMBER(SEARCH('Bad Patterns'!$A$2:$A$120,B9073)),0),0)),""))</f>
        <v/>
      </c>
      <c r="D9073">
        <f>IF(B9073="","",IF(C9073&lt;&gt;"","REMOVE","KEEP"))</f>
        <v/>
      </c>
      <c r="E9073">
        <f>IF(D9073&lt;&gt;"KEEP","",IF(RIGHT(B9073,10)="@gmail.com","Gmail",IF(OR(RIGHT(B9073,12)="@outlook.com",RIGHT(B9073,12)="@hotmail.com",RIGHT(B9073,9)="@live.com"),"Outlook","Domain")))</f>
        <v/>
      </c>
      <c r="F9073">
        <f>IF(B9073="","",IFERROR(RIGHT(B9073,LEN(B9073)-FIND("@",B9073)),""))</f>
        <v/>
      </c>
      <c r="G9073">
        <f>IF(D9073="KEEP",COUNTIF($D$2:D9073,"KEEP"),"")</f>
        <v/>
      </c>
      <c r="H9073">
        <f>IF(D9073="REMOVE",COUNTIF($D$2:D9073,"REMOVE"),"")</f>
        <v/>
      </c>
      <c r="I9073">
        <f>IF(E9073="Gmail",COUNTIF($E$2:E9073,"Gmail"),"")</f>
        <v/>
      </c>
      <c r="J9073">
        <f>IF(E9073="Outlook",COUNTIF($E$2:E9073,"Outlook"),"")</f>
        <v/>
      </c>
      <c r="K9073">
        <f>IF(E9073="Domain",COUNTIF($E$2:E9073,"Domain"),"")</f>
        <v/>
      </c>
    </row>
    <row r="9074">
      <c r="A9074" s="2" t="n"/>
      <c r="B9074">
        <f>LOWER(TRIM(A9074))</f>
        <v/>
      </c>
      <c r="C9074">
        <f>IF(B9074="","",IFERROR(INDEX('Bad Patterns'!$A$2:$A$120,MATCH(1,INDEX(--ISNUMBER(SEARCH('Bad Patterns'!$A$2:$A$120,B9074)),0),0)),""))</f>
        <v/>
      </c>
      <c r="D9074">
        <f>IF(B9074="","",IF(C9074&lt;&gt;"","REMOVE","KEEP"))</f>
        <v/>
      </c>
      <c r="E9074">
        <f>IF(D9074&lt;&gt;"KEEP","",IF(RIGHT(B9074,10)="@gmail.com","Gmail",IF(OR(RIGHT(B9074,12)="@outlook.com",RIGHT(B9074,12)="@hotmail.com",RIGHT(B9074,9)="@live.com"),"Outlook","Domain")))</f>
        <v/>
      </c>
      <c r="F9074">
        <f>IF(B9074="","",IFERROR(RIGHT(B9074,LEN(B9074)-FIND("@",B9074)),""))</f>
        <v/>
      </c>
      <c r="G9074">
        <f>IF(D9074="KEEP",COUNTIF($D$2:D9074,"KEEP"),"")</f>
        <v/>
      </c>
      <c r="H9074">
        <f>IF(D9074="REMOVE",COUNTIF($D$2:D9074,"REMOVE"),"")</f>
        <v/>
      </c>
      <c r="I9074">
        <f>IF(E9074="Gmail",COUNTIF($E$2:E9074,"Gmail"),"")</f>
        <v/>
      </c>
      <c r="J9074">
        <f>IF(E9074="Outlook",COUNTIF($E$2:E9074,"Outlook"),"")</f>
        <v/>
      </c>
      <c r="K9074">
        <f>IF(E9074="Domain",COUNTIF($E$2:E9074,"Domain"),"")</f>
        <v/>
      </c>
    </row>
    <row r="9075">
      <c r="A9075" s="2" t="n"/>
      <c r="B9075">
        <f>LOWER(TRIM(A9075))</f>
        <v/>
      </c>
      <c r="C9075">
        <f>IF(B9075="","",IFERROR(INDEX('Bad Patterns'!$A$2:$A$120,MATCH(1,INDEX(--ISNUMBER(SEARCH('Bad Patterns'!$A$2:$A$120,B9075)),0),0)),""))</f>
        <v/>
      </c>
      <c r="D9075">
        <f>IF(B9075="","",IF(C9075&lt;&gt;"","REMOVE","KEEP"))</f>
        <v/>
      </c>
      <c r="E9075">
        <f>IF(D9075&lt;&gt;"KEEP","",IF(RIGHT(B9075,10)="@gmail.com","Gmail",IF(OR(RIGHT(B9075,12)="@outlook.com",RIGHT(B9075,12)="@hotmail.com",RIGHT(B9075,9)="@live.com"),"Outlook","Domain")))</f>
        <v/>
      </c>
      <c r="F9075">
        <f>IF(B9075="","",IFERROR(RIGHT(B9075,LEN(B9075)-FIND("@",B9075)),""))</f>
        <v/>
      </c>
      <c r="G9075">
        <f>IF(D9075="KEEP",COUNTIF($D$2:D9075,"KEEP"),"")</f>
        <v/>
      </c>
      <c r="H9075">
        <f>IF(D9075="REMOVE",COUNTIF($D$2:D9075,"REMOVE"),"")</f>
        <v/>
      </c>
      <c r="I9075">
        <f>IF(E9075="Gmail",COUNTIF($E$2:E9075,"Gmail"),"")</f>
        <v/>
      </c>
      <c r="J9075">
        <f>IF(E9075="Outlook",COUNTIF($E$2:E9075,"Outlook"),"")</f>
        <v/>
      </c>
      <c r="K9075">
        <f>IF(E9075="Domain",COUNTIF($E$2:E9075,"Domain"),"")</f>
        <v/>
      </c>
    </row>
    <row r="9076">
      <c r="A9076" s="2" t="n"/>
      <c r="B9076">
        <f>LOWER(TRIM(A9076))</f>
        <v/>
      </c>
      <c r="C9076">
        <f>IF(B9076="","",IFERROR(INDEX('Bad Patterns'!$A$2:$A$120,MATCH(1,INDEX(--ISNUMBER(SEARCH('Bad Patterns'!$A$2:$A$120,B9076)),0),0)),""))</f>
        <v/>
      </c>
      <c r="D9076">
        <f>IF(B9076="","",IF(C9076&lt;&gt;"","REMOVE","KEEP"))</f>
        <v/>
      </c>
      <c r="E9076">
        <f>IF(D9076&lt;&gt;"KEEP","",IF(RIGHT(B9076,10)="@gmail.com","Gmail",IF(OR(RIGHT(B9076,12)="@outlook.com",RIGHT(B9076,12)="@hotmail.com",RIGHT(B9076,9)="@live.com"),"Outlook","Domain")))</f>
        <v/>
      </c>
      <c r="F9076">
        <f>IF(B9076="","",IFERROR(RIGHT(B9076,LEN(B9076)-FIND("@",B9076)),""))</f>
        <v/>
      </c>
      <c r="G9076">
        <f>IF(D9076="KEEP",COUNTIF($D$2:D9076,"KEEP"),"")</f>
        <v/>
      </c>
      <c r="H9076">
        <f>IF(D9076="REMOVE",COUNTIF($D$2:D9076,"REMOVE"),"")</f>
        <v/>
      </c>
      <c r="I9076">
        <f>IF(E9076="Gmail",COUNTIF($E$2:E9076,"Gmail"),"")</f>
        <v/>
      </c>
      <c r="J9076">
        <f>IF(E9076="Outlook",COUNTIF($E$2:E9076,"Outlook"),"")</f>
        <v/>
      </c>
      <c r="K9076">
        <f>IF(E9076="Domain",COUNTIF($E$2:E9076,"Domain"),"")</f>
        <v/>
      </c>
    </row>
    <row r="9077">
      <c r="A9077" s="2" t="n"/>
      <c r="B9077">
        <f>LOWER(TRIM(A9077))</f>
        <v/>
      </c>
      <c r="C9077">
        <f>IF(B9077="","",IFERROR(INDEX('Bad Patterns'!$A$2:$A$120,MATCH(1,INDEX(--ISNUMBER(SEARCH('Bad Patterns'!$A$2:$A$120,B9077)),0),0)),""))</f>
        <v/>
      </c>
      <c r="D9077">
        <f>IF(B9077="","",IF(C9077&lt;&gt;"","REMOVE","KEEP"))</f>
        <v/>
      </c>
      <c r="E9077">
        <f>IF(D9077&lt;&gt;"KEEP","",IF(RIGHT(B9077,10)="@gmail.com","Gmail",IF(OR(RIGHT(B9077,12)="@outlook.com",RIGHT(B9077,12)="@hotmail.com",RIGHT(B9077,9)="@live.com"),"Outlook","Domain")))</f>
        <v/>
      </c>
      <c r="F9077">
        <f>IF(B9077="","",IFERROR(RIGHT(B9077,LEN(B9077)-FIND("@",B9077)),""))</f>
        <v/>
      </c>
      <c r="G9077">
        <f>IF(D9077="KEEP",COUNTIF($D$2:D9077,"KEEP"),"")</f>
        <v/>
      </c>
      <c r="H9077">
        <f>IF(D9077="REMOVE",COUNTIF($D$2:D9077,"REMOVE"),"")</f>
        <v/>
      </c>
      <c r="I9077">
        <f>IF(E9077="Gmail",COUNTIF($E$2:E9077,"Gmail"),"")</f>
        <v/>
      </c>
      <c r="J9077">
        <f>IF(E9077="Outlook",COUNTIF($E$2:E9077,"Outlook"),"")</f>
        <v/>
      </c>
      <c r="K9077">
        <f>IF(E9077="Domain",COUNTIF($E$2:E9077,"Domain"),"")</f>
        <v/>
      </c>
    </row>
    <row r="9078">
      <c r="A9078" s="2" t="n"/>
      <c r="B9078">
        <f>LOWER(TRIM(A9078))</f>
        <v/>
      </c>
      <c r="C9078">
        <f>IF(B9078="","",IFERROR(INDEX('Bad Patterns'!$A$2:$A$120,MATCH(1,INDEX(--ISNUMBER(SEARCH('Bad Patterns'!$A$2:$A$120,B9078)),0),0)),""))</f>
        <v/>
      </c>
      <c r="D9078">
        <f>IF(B9078="","",IF(C9078&lt;&gt;"","REMOVE","KEEP"))</f>
        <v/>
      </c>
      <c r="E9078">
        <f>IF(D9078&lt;&gt;"KEEP","",IF(RIGHT(B9078,10)="@gmail.com","Gmail",IF(OR(RIGHT(B9078,12)="@outlook.com",RIGHT(B9078,12)="@hotmail.com",RIGHT(B9078,9)="@live.com"),"Outlook","Domain")))</f>
        <v/>
      </c>
      <c r="F9078">
        <f>IF(B9078="","",IFERROR(RIGHT(B9078,LEN(B9078)-FIND("@",B9078)),""))</f>
        <v/>
      </c>
      <c r="G9078">
        <f>IF(D9078="KEEP",COUNTIF($D$2:D9078,"KEEP"),"")</f>
        <v/>
      </c>
      <c r="H9078">
        <f>IF(D9078="REMOVE",COUNTIF($D$2:D9078,"REMOVE"),"")</f>
        <v/>
      </c>
      <c r="I9078">
        <f>IF(E9078="Gmail",COUNTIF($E$2:E9078,"Gmail"),"")</f>
        <v/>
      </c>
      <c r="J9078">
        <f>IF(E9078="Outlook",COUNTIF($E$2:E9078,"Outlook"),"")</f>
        <v/>
      </c>
      <c r="K9078">
        <f>IF(E9078="Domain",COUNTIF($E$2:E9078,"Domain"),"")</f>
        <v/>
      </c>
    </row>
    <row r="9079">
      <c r="A9079" s="2" t="n"/>
      <c r="B9079">
        <f>LOWER(TRIM(A9079))</f>
        <v/>
      </c>
      <c r="C9079">
        <f>IF(B9079="","",IFERROR(INDEX('Bad Patterns'!$A$2:$A$120,MATCH(1,INDEX(--ISNUMBER(SEARCH('Bad Patterns'!$A$2:$A$120,B9079)),0),0)),""))</f>
        <v/>
      </c>
      <c r="D9079">
        <f>IF(B9079="","",IF(C9079&lt;&gt;"","REMOVE","KEEP"))</f>
        <v/>
      </c>
      <c r="E9079">
        <f>IF(D9079&lt;&gt;"KEEP","",IF(RIGHT(B9079,10)="@gmail.com","Gmail",IF(OR(RIGHT(B9079,12)="@outlook.com",RIGHT(B9079,12)="@hotmail.com",RIGHT(B9079,9)="@live.com"),"Outlook","Domain")))</f>
        <v/>
      </c>
      <c r="F9079">
        <f>IF(B9079="","",IFERROR(RIGHT(B9079,LEN(B9079)-FIND("@",B9079)),""))</f>
        <v/>
      </c>
      <c r="G9079">
        <f>IF(D9079="KEEP",COUNTIF($D$2:D9079,"KEEP"),"")</f>
        <v/>
      </c>
      <c r="H9079">
        <f>IF(D9079="REMOVE",COUNTIF($D$2:D9079,"REMOVE"),"")</f>
        <v/>
      </c>
      <c r="I9079">
        <f>IF(E9079="Gmail",COUNTIF($E$2:E9079,"Gmail"),"")</f>
        <v/>
      </c>
      <c r="J9079">
        <f>IF(E9079="Outlook",COUNTIF($E$2:E9079,"Outlook"),"")</f>
        <v/>
      </c>
      <c r="K9079">
        <f>IF(E9079="Domain",COUNTIF($E$2:E9079,"Domain"),"")</f>
        <v/>
      </c>
    </row>
    <row r="9080">
      <c r="A9080" s="2" t="n"/>
      <c r="B9080">
        <f>LOWER(TRIM(A9080))</f>
        <v/>
      </c>
      <c r="C9080">
        <f>IF(B9080="","",IFERROR(INDEX('Bad Patterns'!$A$2:$A$120,MATCH(1,INDEX(--ISNUMBER(SEARCH('Bad Patterns'!$A$2:$A$120,B9080)),0),0)),""))</f>
        <v/>
      </c>
      <c r="D9080">
        <f>IF(B9080="","",IF(C9080&lt;&gt;"","REMOVE","KEEP"))</f>
        <v/>
      </c>
      <c r="E9080">
        <f>IF(D9080&lt;&gt;"KEEP","",IF(RIGHT(B9080,10)="@gmail.com","Gmail",IF(OR(RIGHT(B9080,12)="@outlook.com",RIGHT(B9080,12)="@hotmail.com",RIGHT(B9080,9)="@live.com"),"Outlook","Domain")))</f>
        <v/>
      </c>
      <c r="F9080">
        <f>IF(B9080="","",IFERROR(RIGHT(B9080,LEN(B9080)-FIND("@",B9080)),""))</f>
        <v/>
      </c>
      <c r="G9080">
        <f>IF(D9080="KEEP",COUNTIF($D$2:D9080,"KEEP"),"")</f>
        <v/>
      </c>
      <c r="H9080">
        <f>IF(D9080="REMOVE",COUNTIF($D$2:D9080,"REMOVE"),"")</f>
        <v/>
      </c>
      <c r="I9080">
        <f>IF(E9080="Gmail",COUNTIF($E$2:E9080,"Gmail"),"")</f>
        <v/>
      </c>
      <c r="J9080">
        <f>IF(E9080="Outlook",COUNTIF($E$2:E9080,"Outlook"),"")</f>
        <v/>
      </c>
      <c r="K9080">
        <f>IF(E9080="Domain",COUNTIF($E$2:E9080,"Domain"),"")</f>
        <v/>
      </c>
    </row>
    <row r="9081">
      <c r="A9081" s="2" t="n"/>
      <c r="B9081">
        <f>LOWER(TRIM(A9081))</f>
        <v/>
      </c>
      <c r="C9081">
        <f>IF(B9081="","",IFERROR(INDEX('Bad Patterns'!$A$2:$A$120,MATCH(1,INDEX(--ISNUMBER(SEARCH('Bad Patterns'!$A$2:$A$120,B9081)),0),0)),""))</f>
        <v/>
      </c>
      <c r="D9081">
        <f>IF(B9081="","",IF(C9081&lt;&gt;"","REMOVE","KEEP"))</f>
        <v/>
      </c>
      <c r="E9081">
        <f>IF(D9081&lt;&gt;"KEEP","",IF(RIGHT(B9081,10)="@gmail.com","Gmail",IF(OR(RIGHT(B9081,12)="@outlook.com",RIGHT(B9081,12)="@hotmail.com",RIGHT(B9081,9)="@live.com"),"Outlook","Domain")))</f>
        <v/>
      </c>
      <c r="F9081">
        <f>IF(B9081="","",IFERROR(RIGHT(B9081,LEN(B9081)-FIND("@",B9081)),""))</f>
        <v/>
      </c>
      <c r="G9081">
        <f>IF(D9081="KEEP",COUNTIF($D$2:D9081,"KEEP"),"")</f>
        <v/>
      </c>
      <c r="H9081">
        <f>IF(D9081="REMOVE",COUNTIF($D$2:D9081,"REMOVE"),"")</f>
        <v/>
      </c>
      <c r="I9081">
        <f>IF(E9081="Gmail",COUNTIF($E$2:E9081,"Gmail"),"")</f>
        <v/>
      </c>
      <c r="J9081">
        <f>IF(E9081="Outlook",COUNTIF($E$2:E9081,"Outlook"),"")</f>
        <v/>
      </c>
      <c r="K9081">
        <f>IF(E9081="Domain",COUNTIF($E$2:E9081,"Domain"),"")</f>
        <v/>
      </c>
    </row>
    <row r="9082">
      <c r="A9082" s="2" t="n"/>
      <c r="B9082">
        <f>LOWER(TRIM(A9082))</f>
        <v/>
      </c>
      <c r="C9082">
        <f>IF(B9082="","",IFERROR(INDEX('Bad Patterns'!$A$2:$A$120,MATCH(1,INDEX(--ISNUMBER(SEARCH('Bad Patterns'!$A$2:$A$120,B9082)),0),0)),""))</f>
        <v/>
      </c>
      <c r="D9082">
        <f>IF(B9082="","",IF(C9082&lt;&gt;"","REMOVE","KEEP"))</f>
        <v/>
      </c>
      <c r="E9082">
        <f>IF(D9082&lt;&gt;"KEEP","",IF(RIGHT(B9082,10)="@gmail.com","Gmail",IF(OR(RIGHT(B9082,12)="@outlook.com",RIGHT(B9082,12)="@hotmail.com",RIGHT(B9082,9)="@live.com"),"Outlook","Domain")))</f>
        <v/>
      </c>
      <c r="F9082">
        <f>IF(B9082="","",IFERROR(RIGHT(B9082,LEN(B9082)-FIND("@",B9082)),""))</f>
        <v/>
      </c>
      <c r="G9082">
        <f>IF(D9082="KEEP",COUNTIF($D$2:D9082,"KEEP"),"")</f>
        <v/>
      </c>
      <c r="H9082">
        <f>IF(D9082="REMOVE",COUNTIF($D$2:D9082,"REMOVE"),"")</f>
        <v/>
      </c>
      <c r="I9082">
        <f>IF(E9082="Gmail",COUNTIF($E$2:E9082,"Gmail"),"")</f>
        <v/>
      </c>
      <c r="J9082">
        <f>IF(E9082="Outlook",COUNTIF($E$2:E9082,"Outlook"),"")</f>
        <v/>
      </c>
      <c r="K9082">
        <f>IF(E9082="Domain",COUNTIF($E$2:E9082,"Domain"),"")</f>
        <v/>
      </c>
    </row>
    <row r="9083">
      <c r="A9083" s="2" t="n"/>
      <c r="B9083">
        <f>LOWER(TRIM(A9083))</f>
        <v/>
      </c>
      <c r="C9083">
        <f>IF(B9083="","",IFERROR(INDEX('Bad Patterns'!$A$2:$A$120,MATCH(1,INDEX(--ISNUMBER(SEARCH('Bad Patterns'!$A$2:$A$120,B9083)),0),0)),""))</f>
        <v/>
      </c>
      <c r="D9083">
        <f>IF(B9083="","",IF(C9083&lt;&gt;"","REMOVE","KEEP"))</f>
        <v/>
      </c>
      <c r="E9083">
        <f>IF(D9083&lt;&gt;"KEEP","",IF(RIGHT(B9083,10)="@gmail.com","Gmail",IF(OR(RIGHT(B9083,12)="@outlook.com",RIGHT(B9083,12)="@hotmail.com",RIGHT(B9083,9)="@live.com"),"Outlook","Domain")))</f>
        <v/>
      </c>
      <c r="F9083">
        <f>IF(B9083="","",IFERROR(RIGHT(B9083,LEN(B9083)-FIND("@",B9083)),""))</f>
        <v/>
      </c>
      <c r="G9083">
        <f>IF(D9083="KEEP",COUNTIF($D$2:D9083,"KEEP"),"")</f>
        <v/>
      </c>
      <c r="H9083">
        <f>IF(D9083="REMOVE",COUNTIF($D$2:D9083,"REMOVE"),"")</f>
        <v/>
      </c>
      <c r="I9083">
        <f>IF(E9083="Gmail",COUNTIF($E$2:E9083,"Gmail"),"")</f>
        <v/>
      </c>
      <c r="J9083">
        <f>IF(E9083="Outlook",COUNTIF($E$2:E9083,"Outlook"),"")</f>
        <v/>
      </c>
      <c r="K9083">
        <f>IF(E9083="Domain",COUNTIF($E$2:E9083,"Domain"),"")</f>
        <v/>
      </c>
    </row>
    <row r="9084">
      <c r="A9084" s="2" t="n"/>
      <c r="B9084">
        <f>LOWER(TRIM(A9084))</f>
        <v/>
      </c>
      <c r="C9084">
        <f>IF(B9084="","",IFERROR(INDEX('Bad Patterns'!$A$2:$A$120,MATCH(1,INDEX(--ISNUMBER(SEARCH('Bad Patterns'!$A$2:$A$120,B9084)),0),0)),""))</f>
        <v/>
      </c>
      <c r="D9084">
        <f>IF(B9084="","",IF(C9084&lt;&gt;"","REMOVE","KEEP"))</f>
        <v/>
      </c>
      <c r="E9084">
        <f>IF(D9084&lt;&gt;"KEEP","",IF(RIGHT(B9084,10)="@gmail.com","Gmail",IF(OR(RIGHT(B9084,12)="@outlook.com",RIGHT(B9084,12)="@hotmail.com",RIGHT(B9084,9)="@live.com"),"Outlook","Domain")))</f>
        <v/>
      </c>
      <c r="F9084">
        <f>IF(B9084="","",IFERROR(RIGHT(B9084,LEN(B9084)-FIND("@",B9084)),""))</f>
        <v/>
      </c>
      <c r="G9084">
        <f>IF(D9084="KEEP",COUNTIF($D$2:D9084,"KEEP"),"")</f>
        <v/>
      </c>
      <c r="H9084">
        <f>IF(D9084="REMOVE",COUNTIF($D$2:D9084,"REMOVE"),"")</f>
        <v/>
      </c>
      <c r="I9084">
        <f>IF(E9084="Gmail",COUNTIF($E$2:E9084,"Gmail"),"")</f>
        <v/>
      </c>
      <c r="J9084">
        <f>IF(E9084="Outlook",COUNTIF($E$2:E9084,"Outlook"),"")</f>
        <v/>
      </c>
      <c r="K9084">
        <f>IF(E9084="Domain",COUNTIF($E$2:E9084,"Domain"),"")</f>
        <v/>
      </c>
    </row>
    <row r="9085">
      <c r="A9085" s="2" t="n"/>
      <c r="B9085">
        <f>LOWER(TRIM(A9085))</f>
        <v/>
      </c>
      <c r="C9085">
        <f>IF(B9085="","",IFERROR(INDEX('Bad Patterns'!$A$2:$A$120,MATCH(1,INDEX(--ISNUMBER(SEARCH('Bad Patterns'!$A$2:$A$120,B9085)),0),0)),""))</f>
        <v/>
      </c>
      <c r="D9085">
        <f>IF(B9085="","",IF(C9085&lt;&gt;"","REMOVE","KEEP"))</f>
        <v/>
      </c>
      <c r="E9085">
        <f>IF(D9085&lt;&gt;"KEEP","",IF(RIGHT(B9085,10)="@gmail.com","Gmail",IF(OR(RIGHT(B9085,12)="@outlook.com",RIGHT(B9085,12)="@hotmail.com",RIGHT(B9085,9)="@live.com"),"Outlook","Domain")))</f>
        <v/>
      </c>
      <c r="F9085">
        <f>IF(B9085="","",IFERROR(RIGHT(B9085,LEN(B9085)-FIND("@",B9085)),""))</f>
        <v/>
      </c>
      <c r="G9085">
        <f>IF(D9085="KEEP",COUNTIF($D$2:D9085,"KEEP"),"")</f>
        <v/>
      </c>
      <c r="H9085">
        <f>IF(D9085="REMOVE",COUNTIF($D$2:D9085,"REMOVE"),"")</f>
        <v/>
      </c>
      <c r="I9085">
        <f>IF(E9085="Gmail",COUNTIF($E$2:E9085,"Gmail"),"")</f>
        <v/>
      </c>
      <c r="J9085">
        <f>IF(E9085="Outlook",COUNTIF($E$2:E9085,"Outlook"),"")</f>
        <v/>
      </c>
      <c r="K9085">
        <f>IF(E9085="Domain",COUNTIF($E$2:E9085,"Domain"),"")</f>
        <v/>
      </c>
    </row>
    <row r="9086">
      <c r="A9086" s="2" t="n"/>
      <c r="B9086">
        <f>LOWER(TRIM(A9086))</f>
        <v/>
      </c>
      <c r="C9086">
        <f>IF(B9086="","",IFERROR(INDEX('Bad Patterns'!$A$2:$A$120,MATCH(1,INDEX(--ISNUMBER(SEARCH('Bad Patterns'!$A$2:$A$120,B9086)),0),0)),""))</f>
        <v/>
      </c>
      <c r="D9086">
        <f>IF(B9086="","",IF(C9086&lt;&gt;"","REMOVE","KEEP"))</f>
        <v/>
      </c>
      <c r="E9086">
        <f>IF(D9086&lt;&gt;"KEEP","",IF(RIGHT(B9086,10)="@gmail.com","Gmail",IF(OR(RIGHT(B9086,12)="@outlook.com",RIGHT(B9086,12)="@hotmail.com",RIGHT(B9086,9)="@live.com"),"Outlook","Domain")))</f>
        <v/>
      </c>
      <c r="F9086">
        <f>IF(B9086="","",IFERROR(RIGHT(B9086,LEN(B9086)-FIND("@",B9086)),""))</f>
        <v/>
      </c>
      <c r="G9086">
        <f>IF(D9086="KEEP",COUNTIF($D$2:D9086,"KEEP"),"")</f>
        <v/>
      </c>
      <c r="H9086">
        <f>IF(D9086="REMOVE",COUNTIF($D$2:D9086,"REMOVE"),"")</f>
        <v/>
      </c>
      <c r="I9086">
        <f>IF(E9086="Gmail",COUNTIF($E$2:E9086,"Gmail"),"")</f>
        <v/>
      </c>
      <c r="J9086">
        <f>IF(E9086="Outlook",COUNTIF($E$2:E9086,"Outlook"),"")</f>
        <v/>
      </c>
      <c r="K9086">
        <f>IF(E9086="Domain",COUNTIF($E$2:E9086,"Domain"),"")</f>
        <v/>
      </c>
    </row>
    <row r="9087">
      <c r="A9087" s="2" t="n"/>
      <c r="B9087">
        <f>LOWER(TRIM(A9087))</f>
        <v/>
      </c>
      <c r="C9087">
        <f>IF(B9087="","",IFERROR(INDEX('Bad Patterns'!$A$2:$A$120,MATCH(1,INDEX(--ISNUMBER(SEARCH('Bad Patterns'!$A$2:$A$120,B9087)),0),0)),""))</f>
        <v/>
      </c>
      <c r="D9087">
        <f>IF(B9087="","",IF(C9087&lt;&gt;"","REMOVE","KEEP"))</f>
        <v/>
      </c>
      <c r="E9087">
        <f>IF(D9087&lt;&gt;"KEEP","",IF(RIGHT(B9087,10)="@gmail.com","Gmail",IF(OR(RIGHT(B9087,12)="@outlook.com",RIGHT(B9087,12)="@hotmail.com",RIGHT(B9087,9)="@live.com"),"Outlook","Domain")))</f>
        <v/>
      </c>
      <c r="F9087">
        <f>IF(B9087="","",IFERROR(RIGHT(B9087,LEN(B9087)-FIND("@",B9087)),""))</f>
        <v/>
      </c>
      <c r="G9087">
        <f>IF(D9087="KEEP",COUNTIF($D$2:D9087,"KEEP"),"")</f>
        <v/>
      </c>
      <c r="H9087">
        <f>IF(D9087="REMOVE",COUNTIF($D$2:D9087,"REMOVE"),"")</f>
        <v/>
      </c>
      <c r="I9087">
        <f>IF(E9087="Gmail",COUNTIF($E$2:E9087,"Gmail"),"")</f>
        <v/>
      </c>
      <c r="J9087">
        <f>IF(E9087="Outlook",COUNTIF($E$2:E9087,"Outlook"),"")</f>
        <v/>
      </c>
      <c r="K9087">
        <f>IF(E9087="Domain",COUNTIF($E$2:E9087,"Domain"),"")</f>
        <v/>
      </c>
    </row>
    <row r="9088">
      <c r="A9088" s="2" t="n"/>
      <c r="B9088">
        <f>LOWER(TRIM(A9088))</f>
        <v/>
      </c>
      <c r="C9088">
        <f>IF(B9088="","",IFERROR(INDEX('Bad Patterns'!$A$2:$A$120,MATCH(1,INDEX(--ISNUMBER(SEARCH('Bad Patterns'!$A$2:$A$120,B9088)),0),0)),""))</f>
        <v/>
      </c>
      <c r="D9088">
        <f>IF(B9088="","",IF(C9088&lt;&gt;"","REMOVE","KEEP"))</f>
        <v/>
      </c>
      <c r="E9088">
        <f>IF(D9088&lt;&gt;"KEEP","",IF(RIGHT(B9088,10)="@gmail.com","Gmail",IF(OR(RIGHT(B9088,12)="@outlook.com",RIGHT(B9088,12)="@hotmail.com",RIGHT(B9088,9)="@live.com"),"Outlook","Domain")))</f>
        <v/>
      </c>
      <c r="F9088">
        <f>IF(B9088="","",IFERROR(RIGHT(B9088,LEN(B9088)-FIND("@",B9088)),""))</f>
        <v/>
      </c>
      <c r="G9088">
        <f>IF(D9088="KEEP",COUNTIF($D$2:D9088,"KEEP"),"")</f>
        <v/>
      </c>
      <c r="H9088">
        <f>IF(D9088="REMOVE",COUNTIF($D$2:D9088,"REMOVE"),"")</f>
        <v/>
      </c>
      <c r="I9088">
        <f>IF(E9088="Gmail",COUNTIF($E$2:E9088,"Gmail"),"")</f>
        <v/>
      </c>
      <c r="J9088">
        <f>IF(E9088="Outlook",COUNTIF($E$2:E9088,"Outlook"),"")</f>
        <v/>
      </c>
      <c r="K9088">
        <f>IF(E9088="Domain",COUNTIF($E$2:E9088,"Domain"),"")</f>
        <v/>
      </c>
    </row>
    <row r="9089">
      <c r="A9089" s="2" t="n"/>
      <c r="B9089">
        <f>LOWER(TRIM(A9089))</f>
        <v/>
      </c>
      <c r="C9089">
        <f>IF(B9089="","",IFERROR(INDEX('Bad Patterns'!$A$2:$A$120,MATCH(1,INDEX(--ISNUMBER(SEARCH('Bad Patterns'!$A$2:$A$120,B9089)),0),0)),""))</f>
        <v/>
      </c>
      <c r="D9089">
        <f>IF(B9089="","",IF(C9089&lt;&gt;"","REMOVE","KEEP"))</f>
        <v/>
      </c>
      <c r="E9089">
        <f>IF(D9089&lt;&gt;"KEEP","",IF(RIGHT(B9089,10)="@gmail.com","Gmail",IF(OR(RIGHT(B9089,12)="@outlook.com",RIGHT(B9089,12)="@hotmail.com",RIGHT(B9089,9)="@live.com"),"Outlook","Domain")))</f>
        <v/>
      </c>
      <c r="F9089">
        <f>IF(B9089="","",IFERROR(RIGHT(B9089,LEN(B9089)-FIND("@",B9089)),""))</f>
        <v/>
      </c>
      <c r="G9089">
        <f>IF(D9089="KEEP",COUNTIF($D$2:D9089,"KEEP"),"")</f>
        <v/>
      </c>
      <c r="H9089">
        <f>IF(D9089="REMOVE",COUNTIF($D$2:D9089,"REMOVE"),"")</f>
        <v/>
      </c>
      <c r="I9089">
        <f>IF(E9089="Gmail",COUNTIF($E$2:E9089,"Gmail"),"")</f>
        <v/>
      </c>
      <c r="J9089">
        <f>IF(E9089="Outlook",COUNTIF($E$2:E9089,"Outlook"),"")</f>
        <v/>
      </c>
      <c r="K9089">
        <f>IF(E9089="Domain",COUNTIF($E$2:E9089,"Domain"),"")</f>
        <v/>
      </c>
    </row>
    <row r="9090">
      <c r="A9090" s="2" t="n"/>
      <c r="B9090">
        <f>LOWER(TRIM(A9090))</f>
        <v/>
      </c>
      <c r="C9090">
        <f>IF(B9090="","",IFERROR(INDEX('Bad Patterns'!$A$2:$A$120,MATCH(1,INDEX(--ISNUMBER(SEARCH('Bad Patterns'!$A$2:$A$120,B9090)),0),0)),""))</f>
        <v/>
      </c>
      <c r="D9090">
        <f>IF(B9090="","",IF(C9090&lt;&gt;"","REMOVE","KEEP"))</f>
        <v/>
      </c>
      <c r="E9090">
        <f>IF(D9090&lt;&gt;"KEEP","",IF(RIGHT(B9090,10)="@gmail.com","Gmail",IF(OR(RIGHT(B9090,12)="@outlook.com",RIGHT(B9090,12)="@hotmail.com",RIGHT(B9090,9)="@live.com"),"Outlook","Domain")))</f>
        <v/>
      </c>
      <c r="F9090">
        <f>IF(B9090="","",IFERROR(RIGHT(B9090,LEN(B9090)-FIND("@",B9090)),""))</f>
        <v/>
      </c>
      <c r="G9090">
        <f>IF(D9090="KEEP",COUNTIF($D$2:D9090,"KEEP"),"")</f>
        <v/>
      </c>
      <c r="H9090">
        <f>IF(D9090="REMOVE",COUNTIF($D$2:D9090,"REMOVE"),"")</f>
        <v/>
      </c>
      <c r="I9090">
        <f>IF(E9090="Gmail",COUNTIF($E$2:E9090,"Gmail"),"")</f>
        <v/>
      </c>
      <c r="J9090">
        <f>IF(E9090="Outlook",COUNTIF($E$2:E9090,"Outlook"),"")</f>
        <v/>
      </c>
      <c r="K9090">
        <f>IF(E9090="Domain",COUNTIF($E$2:E9090,"Domain"),"")</f>
        <v/>
      </c>
    </row>
    <row r="9091">
      <c r="A9091" s="2" t="n"/>
      <c r="B9091">
        <f>LOWER(TRIM(A9091))</f>
        <v/>
      </c>
      <c r="C9091">
        <f>IF(B9091="","",IFERROR(INDEX('Bad Patterns'!$A$2:$A$120,MATCH(1,INDEX(--ISNUMBER(SEARCH('Bad Patterns'!$A$2:$A$120,B9091)),0),0)),""))</f>
        <v/>
      </c>
      <c r="D9091">
        <f>IF(B9091="","",IF(C9091&lt;&gt;"","REMOVE","KEEP"))</f>
        <v/>
      </c>
      <c r="E9091">
        <f>IF(D9091&lt;&gt;"KEEP","",IF(RIGHT(B9091,10)="@gmail.com","Gmail",IF(OR(RIGHT(B9091,12)="@outlook.com",RIGHT(B9091,12)="@hotmail.com",RIGHT(B9091,9)="@live.com"),"Outlook","Domain")))</f>
        <v/>
      </c>
      <c r="F9091">
        <f>IF(B9091="","",IFERROR(RIGHT(B9091,LEN(B9091)-FIND("@",B9091)),""))</f>
        <v/>
      </c>
      <c r="G9091">
        <f>IF(D9091="KEEP",COUNTIF($D$2:D9091,"KEEP"),"")</f>
        <v/>
      </c>
      <c r="H9091">
        <f>IF(D9091="REMOVE",COUNTIF($D$2:D9091,"REMOVE"),"")</f>
        <v/>
      </c>
      <c r="I9091">
        <f>IF(E9091="Gmail",COUNTIF($E$2:E9091,"Gmail"),"")</f>
        <v/>
      </c>
      <c r="J9091">
        <f>IF(E9091="Outlook",COUNTIF($E$2:E9091,"Outlook"),"")</f>
        <v/>
      </c>
      <c r="K9091">
        <f>IF(E9091="Domain",COUNTIF($E$2:E9091,"Domain"),"")</f>
        <v/>
      </c>
    </row>
    <row r="9092">
      <c r="A9092" s="2" t="n"/>
      <c r="B9092">
        <f>LOWER(TRIM(A9092))</f>
        <v/>
      </c>
      <c r="C9092">
        <f>IF(B9092="","",IFERROR(INDEX('Bad Patterns'!$A$2:$A$120,MATCH(1,INDEX(--ISNUMBER(SEARCH('Bad Patterns'!$A$2:$A$120,B9092)),0),0)),""))</f>
        <v/>
      </c>
      <c r="D9092">
        <f>IF(B9092="","",IF(C9092&lt;&gt;"","REMOVE","KEEP"))</f>
        <v/>
      </c>
      <c r="E9092">
        <f>IF(D9092&lt;&gt;"KEEP","",IF(RIGHT(B9092,10)="@gmail.com","Gmail",IF(OR(RIGHT(B9092,12)="@outlook.com",RIGHT(B9092,12)="@hotmail.com",RIGHT(B9092,9)="@live.com"),"Outlook","Domain")))</f>
        <v/>
      </c>
      <c r="F9092">
        <f>IF(B9092="","",IFERROR(RIGHT(B9092,LEN(B9092)-FIND("@",B9092)),""))</f>
        <v/>
      </c>
      <c r="G9092">
        <f>IF(D9092="KEEP",COUNTIF($D$2:D9092,"KEEP"),"")</f>
        <v/>
      </c>
      <c r="H9092">
        <f>IF(D9092="REMOVE",COUNTIF($D$2:D9092,"REMOVE"),"")</f>
        <v/>
      </c>
      <c r="I9092">
        <f>IF(E9092="Gmail",COUNTIF($E$2:E9092,"Gmail"),"")</f>
        <v/>
      </c>
      <c r="J9092">
        <f>IF(E9092="Outlook",COUNTIF($E$2:E9092,"Outlook"),"")</f>
        <v/>
      </c>
      <c r="K9092">
        <f>IF(E9092="Domain",COUNTIF($E$2:E9092,"Domain"),"")</f>
        <v/>
      </c>
    </row>
    <row r="9093">
      <c r="A9093" s="2" t="n"/>
      <c r="B9093">
        <f>LOWER(TRIM(A9093))</f>
        <v/>
      </c>
      <c r="C9093">
        <f>IF(B9093="","",IFERROR(INDEX('Bad Patterns'!$A$2:$A$120,MATCH(1,INDEX(--ISNUMBER(SEARCH('Bad Patterns'!$A$2:$A$120,B9093)),0),0)),""))</f>
        <v/>
      </c>
      <c r="D9093">
        <f>IF(B9093="","",IF(C9093&lt;&gt;"","REMOVE","KEEP"))</f>
        <v/>
      </c>
      <c r="E9093">
        <f>IF(D9093&lt;&gt;"KEEP","",IF(RIGHT(B9093,10)="@gmail.com","Gmail",IF(OR(RIGHT(B9093,12)="@outlook.com",RIGHT(B9093,12)="@hotmail.com",RIGHT(B9093,9)="@live.com"),"Outlook","Domain")))</f>
        <v/>
      </c>
      <c r="F9093">
        <f>IF(B9093="","",IFERROR(RIGHT(B9093,LEN(B9093)-FIND("@",B9093)),""))</f>
        <v/>
      </c>
      <c r="G9093">
        <f>IF(D9093="KEEP",COUNTIF($D$2:D9093,"KEEP"),"")</f>
        <v/>
      </c>
      <c r="H9093">
        <f>IF(D9093="REMOVE",COUNTIF($D$2:D9093,"REMOVE"),"")</f>
        <v/>
      </c>
      <c r="I9093">
        <f>IF(E9093="Gmail",COUNTIF($E$2:E9093,"Gmail"),"")</f>
        <v/>
      </c>
      <c r="J9093">
        <f>IF(E9093="Outlook",COUNTIF($E$2:E9093,"Outlook"),"")</f>
        <v/>
      </c>
      <c r="K9093">
        <f>IF(E9093="Domain",COUNTIF($E$2:E9093,"Domain"),"")</f>
        <v/>
      </c>
    </row>
    <row r="9094">
      <c r="A9094" s="2" t="n"/>
      <c r="B9094">
        <f>LOWER(TRIM(A9094))</f>
        <v/>
      </c>
      <c r="C9094">
        <f>IF(B9094="","",IFERROR(INDEX('Bad Patterns'!$A$2:$A$120,MATCH(1,INDEX(--ISNUMBER(SEARCH('Bad Patterns'!$A$2:$A$120,B9094)),0),0)),""))</f>
        <v/>
      </c>
      <c r="D9094">
        <f>IF(B9094="","",IF(C9094&lt;&gt;"","REMOVE","KEEP"))</f>
        <v/>
      </c>
      <c r="E9094">
        <f>IF(D9094&lt;&gt;"KEEP","",IF(RIGHT(B9094,10)="@gmail.com","Gmail",IF(OR(RIGHT(B9094,12)="@outlook.com",RIGHT(B9094,12)="@hotmail.com",RIGHT(B9094,9)="@live.com"),"Outlook","Domain")))</f>
        <v/>
      </c>
      <c r="F9094">
        <f>IF(B9094="","",IFERROR(RIGHT(B9094,LEN(B9094)-FIND("@",B9094)),""))</f>
        <v/>
      </c>
      <c r="G9094">
        <f>IF(D9094="KEEP",COUNTIF($D$2:D9094,"KEEP"),"")</f>
        <v/>
      </c>
      <c r="H9094">
        <f>IF(D9094="REMOVE",COUNTIF($D$2:D9094,"REMOVE"),"")</f>
        <v/>
      </c>
      <c r="I9094">
        <f>IF(E9094="Gmail",COUNTIF($E$2:E9094,"Gmail"),"")</f>
        <v/>
      </c>
      <c r="J9094">
        <f>IF(E9094="Outlook",COUNTIF($E$2:E9094,"Outlook"),"")</f>
        <v/>
      </c>
      <c r="K9094">
        <f>IF(E9094="Domain",COUNTIF($E$2:E9094,"Domain"),"")</f>
        <v/>
      </c>
    </row>
    <row r="9095">
      <c r="A9095" s="2" t="n"/>
      <c r="B9095">
        <f>LOWER(TRIM(A9095))</f>
        <v/>
      </c>
      <c r="C9095">
        <f>IF(B9095="","",IFERROR(INDEX('Bad Patterns'!$A$2:$A$120,MATCH(1,INDEX(--ISNUMBER(SEARCH('Bad Patterns'!$A$2:$A$120,B9095)),0),0)),""))</f>
        <v/>
      </c>
      <c r="D9095">
        <f>IF(B9095="","",IF(C9095&lt;&gt;"","REMOVE","KEEP"))</f>
        <v/>
      </c>
      <c r="E9095">
        <f>IF(D9095&lt;&gt;"KEEP","",IF(RIGHT(B9095,10)="@gmail.com","Gmail",IF(OR(RIGHT(B9095,12)="@outlook.com",RIGHT(B9095,12)="@hotmail.com",RIGHT(B9095,9)="@live.com"),"Outlook","Domain")))</f>
        <v/>
      </c>
      <c r="F9095">
        <f>IF(B9095="","",IFERROR(RIGHT(B9095,LEN(B9095)-FIND("@",B9095)),""))</f>
        <v/>
      </c>
      <c r="G9095">
        <f>IF(D9095="KEEP",COUNTIF($D$2:D9095,"KEEP"),"")</f>
        <v/>
      </c>
      <c r="H9095">
        <f>IF(D9095="REMOVE",COUNTIF($D$2:D9095,"REMOVE"),"")</f>
        <v/>
      </c>
      <c r="I9095">
        <f>IF(E9095="Gmail",COUNTIF($E$2:E9095,"Gmail"),"")</f>
        <v/>
      </c>
      <c r="J9095">
        <f>IF(E9095="Outlook",COUNTIF($E$2:E9095,"Outlook"),"")</f>
        <v/>
      </c>
      <c r="K9095">
        <f>IF(E9095="Domain",COUNTIF($E$2:E9095,"Domain"),"")</f>
        <v/>
      </c>
    </row>
    <row r="9096">
      <c r="A9096" s="2" t="n"/>
      <c r="B9096">
        <f>LOWER(TRIM(A9096))</f>
        <v/>
      </c>
      <c r="C9096">
        <f>IF(B9096="","",IFERROR(INDEX('Bad Patterns'!$A$2:$A$120,MATCH(1,INDEX(--ISNUMBER(SEARCH('Bad Patterns'!$A$2:$A$120,B9096)),0),0)),""))</f>
        <v/>
      </c>
      <c r="D9096">
        <f>IF(B9096="","",IF(C9096&lt;&gt;"","REMOVE","KEEP"))</f>
        <v/>
      </c>
      <c r="E9096">
        <f>IF(D9096&lt;&gt;"KEEP","",IF(RIGHT(B9096,10)="@gmail.com","Gmail",IF(OR(RIGHT(B9096,12)="@outlook.com",RIGHT(B9096,12)="@hotmail.com",RIGHT(B9096,9)="@live.com"),"Outlook","Domain")))</f>
        <v/>
      </c>
      <c r="F9096">
        <f>IF(B9096="","",IFERROR(RIGHT(B9096,LEN(B9096)-FIND("@",B9096)),""))</f>
        <v/>
      </c>
      <c r="G9096">
        <f>IF(D9096="KEEP",COUNTIF($D$2:D9096,"KEEP"),"")</f>
        <v/>
      </c>
      <c r="H9096">
        <f>IF(D9096="REMOVE",COUNTIF($D$2:D9096,"REMOVE"),"")</f>
        <v/>
      </c>
      <c r="I9096">
        <f>IF(E9096="Gmail",COUNTIF($E$2:E9096,"Gmail"),"")</f>
        <v/>
      </c>
      <c r="J9096">
        <f>IF(E9096="Outlook",COUNTIF($E$2:E9096,"Outlook"),"")</f>
        <v/>
      </c>
      <c r="K9096">
        <f>IF(E9096="Domain",COUNTIF($E$2:E9096,"Domain"),"")</f>
        <v/>
      </c>
    </row>
    <row r="9097">
      <c r="A9097" s="2" t="n"/>
      <c r="B9097">
        <f>LOWER(TRIM(A9097))</f>
        <v/>
      </c>
      <c r="C9097">
        <f>IF(B9097="","",IFERROR(INDEX('Bad Patterns'!$A$2:$A$120,MATCH(1,INDEX(--ISNUMBER(SEARCH('Bad Patterns'!$A$2:$A$120,B9097)),0),0)),""))</f>
        <v/>
      </c>
      <c r="D9097">
        <f>IF(B9097="","",IF(C9097&lt;&gt;"","REMOVE","KEEP"))</f>
        <v/>
      </c>
      <c r="E9097">
        <f>IF(D9097&lt;&gt;"KEEP","",IF(RIGHT(B9097,10)="@gmail.com","Gmail",IF(OR(RIGHT(B9097,12)="@outlook.com",RIGHT(B9097,12)="@hotmail.com",RIGHT(B9097,9)="@live.com"),"Outlook","Domain")))</f>
        <v/>
      </c>
      <c r="F9097">
        <f>IF(B9097="","",IFERROR(RIGHT(B9097,LEN(B9097)-FIND("@",B9097)),""))</f>
        <v/>
      </c>
      <c r="G9097">
        <f>IF(D9097="KEEP",COUNTIF($D$2:D9097,"KEEP"),"")</f>
        <v/>
      </c>
      <c r="H9097">
        <f>IF(D9097="REMOVE",COUNTIF($D$2:D9097,"REMOVE"),"")</f>
        <v/>
      </c>
      <c r="I9097">
        <f>IF(E9097="Gmail",COUNTIF($E$2:E9097,"Gmail"),"")</f>
        <v/>
      </c>
      <c r="J9097">
        <f>IF(E9097="Outlook",COUNTIF($E$2:E9097,"Outlook"),"")</f>
        <v/>
      </c>
      <c r="K9097">
        <f>IF(E9097="Domain",COUNTIF($E$2:E9097,"Domain"),"")</f>
        <v/>
      </c>
    </row>
    <row r="9098">
      <c r="A9098" s="2" t="n"/>
      <c r="B9098">
        <f>LOWER(TRIM(A9098))</f>
        <v/>
      </c>
      <c r="C9098">
        <f>IF(B9098="","",IFERROR(INDEX('Bad Patterns'!$A$2:$A$120,MATCH(1,INDEX(--ISNUMBER(SEARCH('Bad Patterns'!$A$2:$A$120,B9098)),0),0)),""))</f>
        <v/>
      </c>
      <c r="D9098">
        <f>IF(B9098="","",IF(C9098&lt;&gt;"","REMOVE","KEEP"))</f>
        <v/>
      </c>
      <c r="E9098">
        <f>IF(D9098&lt;&gt;"KEEP","",IF(RIGHT(B9098,10)="@gmail.com","Gmail",IF(OR(RIGHT(B9098,12)="@outlook.com",RIGHT(B9098,12)="@hotmail.com",RIGHT(B9098,9)="@live.com"),"Outlook","Domain")))</f>
        <v/>
      </c>
      <c r="F9098">
        <f>IF(B9098="","",IFERROR(RIGHT(B9098,LEN(B9098)-FIND("@",B9098)),""))</f>
        <v/>
      </c>
      <c r="G9098">
        <f>IF(D9098="KEEP",COUNTIF($D$2:D9098,"KEEP"),"")</f>
        <v/>
      </c>
      <c r="H9098">
        <f>IF(D9098="REMOVE",COUNTIF($D$2:D9098,"REMOVE"),"")</f>
        <v/>
      </c>
      <c r="I9098">
        <f>IF(E9098="Gmail",COUNTIF($E$2:E9098,"Gmail"),"")</f>
        <v/>
      </c>
      <c r="J9098">
        <f>IF(E9098="Outlook",COUNTIF($E$2:E9098,"Outlook"),"")</f>
        <v/>
      </c>
      <c r="K9098">
        <f>IF(E9098="Domain",COUNTIF($E$2:E9098,"Domain"),"")</f>
        <v/>
      </c>
    </row>
    <row r="9099">
      <c r="A9099" s="2" t="n"/>
      <c r="B9099">
        <f>LOWER(TRIM(A9099))</f>
        <v/>
      </c>
      <c r="C9099">
        <f>IF(B9099="","",IFERROR(INDEX('Bad Patterns'!$A$2:$A$120,MATCH(1,INDEX(--ISNUMBER(SEARCH('Bad Patterns'!$A$2:$A$120,B9099)),0),0)),""))</f>
        <v/>
      </c>
      <c r="D9099">
        <f>IF(B9099="","",IF(C9099&lt;&gt;"","REMOVE","KEEP"))</f>
        <v/>
      </c>
      <c r="E9099">
        <f>IF(D9099&lt;&gt;"KEEP","",IF(RIGHT(B9099,10)="@gmail.com","Gmail",IF(OR(RIGHT(B9099,12)="@outlook.com",RIGHT(B9099,12)="@hotmail.com",RIGHT(B9099,9)="@live.com"),"Outlook","Domain")))</f>
        <v/>
      </c>
      <c r="F9099">
        <f>IF(B9099="","",IFERROR(RIGHT(B9099,LEN(B9099)-FIND("@",B9099)),""))</f>
        <v/>
      </c>
      <c r="G9099">
        <f>IF(D9099="KEEP",COUNTIF($D$2:D9099,"KEEP"),"")</f>
        <v/>
      </c>
      <c r="H9099">
        <f>IF(D9099="REMOVE",COUNTIF($D$2:D9099,"REMOVE"),"")</f>
        <v/>
      </c>
      <c r="I9099">
        <f>IF(E9099="Gmail",COUNTIF($E$2:E9099,"Gmail"),"")</f>
        <v/>
      </c>
      <c r="J9099">
        <f>IF(E9099="Outlook",COUNTIF($E$2:E9099,"Outlook"),"")</f>
        <v/>
      </c>
      <c r="K9099">
        <f>IF(E9099="Domain",COUNTIF($E$2:E9099,"Domain"),"")</f>
        <v/>
      </c>
    </row>
    <row r="9100">
      <c r="A9100" s="2" t="n"/>
      <c r="B9100">
        <f>LOWER(TRIM(A9100))</f>
        <v/>
      </c>
      <c r="C9100">
        <f>IF(B9100="","",IFERROR(INDEX('Bad Patterns'!$A$2:$A$120,MATCH(1,INDEX(--ISNUMBER(SEARCH('Bad Patterns'!$A$2:$A$120,B9100)),0),0)),""))</f>
        <v/>
      </c>
      <c r="D9100">
        <f>IF(B9100="","",IF(C9100&lt;&gt;"","REMOVE","KEEP"))</f>
        <v/>
      </c>
      <c r="E9100">
        <f>IF(D9100&lt;&gt;"KEEP","",IF(RIGHT(B9100,10)="@gmail.com","Gmail",IF(OR(RIGHT(B9100,12)="@outlook.com",RIGHT(B9100,12)="@hotmail.com",RIGHT(B9100,9)="@live.com"),"Outlook","Domain")))</f>
        <v/>
      </c>
      <c r="F9100">
        <f>IF(B9100="","",IFERROR(RIGHT(B9100,LEN(B9100)-FIND("@",B9100)),""))</f>
        <v/>
      </c>
      <c r="G9100">
        <f>IF(D9100="KEEP",COUNTIF($D$2:D9100,"KEEP"),"")</f>
        <v/>
      </c>
      <c r="H9100">
        <f>IF(D9100="REMOVE",COUNTIF($D$2:D9100,"REMOVE"),"")</f>
        <v/>
      </c>
      <c r="I9100">
        <f>IF(E9100="Gmail",COUNTIF($E$2:E9100,"Gmail"),"")</f>
        <v/>
      </c>
      <c r="J9100">
        <f>IF(E9100="Outlook",COUNTIF($E$2:E9100,"Outlook"),"")</f>
        <v/>
      </c>
      <c r="K9100">
        <f>IF(E9100="Domain",COUNTIF($E$2:E9100,"Domain"),"")</f>
        <v/>
      </c>
    </row>
    <row r="9101">
      <c r="A9101" s="2" t="n"/>
      <c r="B9101">
        <f>LOWER(TRIM(A9101))</f>
        <v/>
      </c>
      <c r="C9101">
        <f>IF(B9101="","",IFERROR(INDEX('Bad Patterns'!$A$2:$A$120,MATCH(1,INDEX(--ISNUMBER(SEARCH('Bad Patterns'!$A$2:$A$120,B9101)),0),0)),""))</f>
        <v/>
      </c>
      <c r="D9101">
        <f>IF(B9101="","",IF(C9101&lt;&gt;"","REMOVE","KEEP"))</f>
        <v/>
      </c>
      <c r="E9101">
        <f>IF(D9101&lt;&gt;"KEEP","",IF(RIGHT(B9101,10)="@gmail.com","Gmail",IF(OR(RIGHT(B9101,12)="@outlook.com",RIGHT(B9101,12)="@hotmail.com",RIGHT(B9101,9)="@live.com"),"Outlook","Domain")))</f>
        <v/>
      </c>
      <c r="F9101">
        <f>IF(B9101="","",IFERROR(RIGHT(B9101,LEN(B9101)-FIND("@",B9101)),""))</f>
        <v/>
      </c>
      <c r="G9101">
        <f>IF(D9101="KEEP",COUNTIF($D$2:D9101,"KEEP"),"")</f>
        <v/>
      </c>
      <c r="H9101">
        <f>IF(D9101="REMOVE",COUNTIF($D$2:D9101,"REMOVE"),"")</f>
        <v/>
      </c>
      <c r="I9101">
        <f>IF(E9101="Gmail",COUNTIF($E$2:E9101,"Gmail"),"")</f>
        <v/>
      </c>
      <c r="J9101">
        <f>IF(E9101="Outlook",COUNTIF($E$2:E9101,"Outlook"),"")</f>
        <v/>
      </c>
      <c r="K9101">
        <f>IF(E9101="Domain",COUNTIF($E$2:E9101,"Domain"),"")</f>
        <v/>
      </c>
    </row>
    <row r="9102">
      <c r="A9102" s="2" t="n"/>
      <c r="B9102">
        <f>LOWER(TRIM(A9102))</f>
        <v/>
      </c>
      <c r="C9102">
        <f>IF(B9102="","",IFERROR(INDEX('Bad Patterns'!$A$2:$A$120,MATCH(1,INDEX(--ISNUMBER(SEARCH('Bad Patterns'!$A$2:$A$120,B9102)),0),0)),""))</f>
        <v/>
      </c>
      <c r="D9102">
        <f>IF(B9102="","",IF(C9102&lt;&gt;"","REMOVE","KEEP"))</f>
        <v/>
      </c>
      <c r="E9102">
        <f>IF(D9102&lt;&gt;"KEEP","",IF(RIGHT(B9102,10)="@gmail.com","Gmail",IF(OR(RIGHT(B9102,12)="@outlook.com",RIGHT(B9102,12)="@hotmail.com",RIGHT(B9102,9)="@live.com"),"Outlook","Domain")))</f>
        <v/>
      </c>
      <c r="F9102">
        <f>IF(B9102="","",IFERROR(RIGHT(B9102,LEN(B9102)-FIND("@",B9102)),""))</f>
        <v/>
      </c>
      <c r="G9102">
        <f>IF(D9102="KEEP",COUNTIF($D$2:D9102,"KEEP"),"")</f>
        <v/>
      </c>
      <c r="H9102">
        <f>IF(D9102="REMOVE",COUNTIF($D$2:D9102,"REMOVE"),"")</f>
        <v/>
      </c>
      <c r="I9102">
        <f>IF(E9102="Gmail",COUNTIF($E$2:E9102,"Gmail"),"")</f>
        <v/>
      </c>
      <c r="J9102">
        <f>IF(E9102="Outlook",COUNTIF($E$2:E9102,"Outlook"),"")</f>
        <v/>
      </c>
      <c r="K9102">
        <f>IF(E9102="Domain",COUNTIF($E$2:E9102,"Domain"),"")</f>
        <v/>
      </c>
    </row>
    <row r="9103">
      <c r="A9103" s="2" t="n"/>
      <c r="B9103">
        <f>LOWER(TRIM(A9103))</f>
        <v/>
      </c>
      <c r="C9103">
        <f>IF(B9103="","",IFERROR(INDEX('Bad Patterns'!$A$2:$A$120,MATCH(1,INDEX(--ISNUMBER(SEARCH('Bad Patterns'!$A$2:$A$120,B9103)),0),0)),""))</f>
        <v/>
      </c>
      <c r="D9103">
        <f>IF(B9103="","",IF(C9103&lt;&gt;"","REMOVE","KEEP"))</f>
        <v/>
      </c>
      <c r="E9103">
        <f>IF(D9103&lt;&gt;"KEEP","",IF(RIGHT(B9103,10)="@gmail.com","Gmail",IF(OR(RIGHT(B9103,12)="@outlook.com",RIGHT(B9103,12)="@hotmail.com",RIGHT(B9103,9)="@live.com"),"Outlook","Domain")))</f>
        <v/>
      </c>
      <c r="F9103">
        <f>IF(B9103="","",IFERROR(RIGHT(B9103,LEN(B9103)-FIND("@",B9103)),""))</f>
        <v/>
      </c>
      <c r="G9103">
        <f>IF(D9103="KEEP",COUNTIF($D$2:D9103,"KEEP"),"")</f>
        <v/>
      </c>
      <c r="H9103">
        <f>IF(D9103="REMOVE",COUNTIF($D$2:D9103,"REMOVE"),"")</f>
        <v/>
      </c>
      <c r="I9103">
        <f>IF(E9103="Gmail",COUNTIF($E$2:E9103,"Gmail"),"")</f>
        <v/>
      </c>
      <c r="J9103">
        <f>IF(E9103="Outlook",COUNTIF($E$2:E9103,"Outlook"),"")</f>
        <v/>
      </c>
      <c r="K9103">
        <f>IF(E9103="Domain",COUNTIF($E$2:E9103,"Domain"),"")</f>
        <v/>
      </c>
    </row>
    <row r="9104">
      <c r="A9104" s="2" t="n"/>
      <c r="B9104">
        <f>LOWER(TRIM(A9104))</f>
        <v/>
      </c>
      <c r="C9104">
        <f>IF(B9104="","",IFERROR(INDEX('Bad Patterns'!$A$2:$A$120,MATCH(1,INDEX(--ISNUMBER(SEARCH('Bad Patterns'!$A$2:$A$120,B9104)),0),0)),""))</f>
        <v/>
      </c>
      <c r="D9104">
        <f>IF(B9104="","",IF(C9104&lt;&gt;"","REMOVE","KEEP"))</f>
        <v/>
      </c>
      <c r="E9104">
        <f>IF(D9104&lt;&gt;"KEEP","",IF(RIGHT(B9104,10)="@gmail.com","Gmail",IF(OR(RIGHT(B9104,12)="@outlook.com",RIGHT(B9104,12)="@hotmail.com",RIGHT(B9104,9)="@live.com"),"Outlook","Domain")))</f>
        <v/>
      </c>
      <c r="F9104">
        <f>IF(B9104="","",IFERROR(RIGHT(B9104,LEN(B9104)-FIND("@",B9104)),""))</f>
        <v/>
      </c>
      <c r="G9104">
        <f>IF(D9104="KEEP",COUNTIF($D$2:D9104,"KEEP"),"")</f>
        <v/>
      </c>
      <c r="H9104">
        <f>IF(D9104="REMOVE",COUNTIF($D$2:D9104,"REMOVE"),"")</f>
        <v/>
      </c>
      <c r="I9104">
        <f>IF(E9104="Gmail",COUNTIF($E$2:E9104,"Gmail"),"")</f>
        <v/>
      </c>
      <c r="J9104">
        <f>IF(E9104="Outlook",COUNTIF($E$2:E9104,"Outlook"),"")</f>
        <v/>
      </c>
      <c r="K9104">
        <f>IF(E9104="Domain",COUNTIF($E$2:E9104,"Domain"),"")</f>
        <v/>
      </c>
    </row>
    <row r="9105">
      <c r="A9105" s="2" t="n"/>
      <c r="B9105">
        <f>LOWER(TRIM(A9105))</f>
        <v/>
      </c>
      <c r="C9105">
        <f>IF(B9105="","",IFERROR(INDEX('Bad Patterns'!$A$2:$A$120,MATCH(1,INDEX(--ISNUMBER(SEARCH('Bad Patterns'!$A$2:$A$120,B9105)),0),0)),""))</f>
        <v/>
      </c>
      <c r="D9105">
        <f>IF(B9105="","",IF(C9105&lt;&gt;"","REMOVE","KEEP"))</f>
        <v/>
      </c>
      <c r="E9105">
        <f>IF(D9105&lt;&gt;"KEEP","",IF(RIGHT(B9105,10)="@gmail.com","Gmail",IF(OR(RIGHT(B9105,12)="@outlook.com",RIGHT(B9105,12)="@hotmail.com",RIGHT(B9105,9)="@live.com"),"Outlook","Domain")))</f>
        <v/>
      </c>
      <c r="F9105">
        <f>IF(B9105="","",IFERROR(RIGHT(B9105,LEN(B9105)-FIND("@",B9105)),""))</f>
        <v/>
      </c>
      <c r="G9105">
        <f>IF(D9105="KEEP",COUNTIF($D$2:D9105,"KEEP"),"")</f>
        <v/>
      </c>
      <c r="H9105">
        <f>IF(D9105="REMOVE",COUNTIF($D$2:D9105,"REMOVE"),"")</f>
        <v/>
      </c>
      <c r="I9105">
        <f>IF(E9105="Gmail",COUNTIF($E$2:E9105,"Gmail"),"")</f>
        <v/>
      </c>
      <c r="J9105">
        <f>IF(E9105="Outlook",COUNTIF($E$2:E9105,"Outlook"),"")</f>
        <v/>
      </c>
      <c r="K9105">
        <f>IF(E9105="Domain",COUNTIF($E$2:E9105,"Domain"),"")</f>
        <v/>
      </c>
    </row>
    <row r="9106">
      <c r="A9106" s="2" t="n"/>
      <c r="B9106">
        <f>LOWER(TRIM(A9106))</f>
        <v/>
      </c>
      <c r="C9106">
        <f>IF(B9106="","",IFERROR(INDEX('Bad Patterns'!$A$2:$A$120,MATCH(1,INDEX(--ISNUMBER(SEARCH('Bad Patterns'!$A$2:$A$120,B9106)),0),0)),""))</f>
        <v/>
      </c>
      <c r="D9106">
        <f>IF(B9106="","",IF(C9106&lt;&gt;"","REMOVE","KEEP"))</f>
        <v/>
      </c>
      <c r="E9106">
        <f>IF(D9106&lt;&gt;"KEEP","",IF(RIGHT(B9106,10)="@gmail.com","Gmail",IF(OR(RIGHT(B9106,12)="@outlook.com",RIGHT(B9106,12)="@hotmail.com",RIGHT(B9106,9)="@live.com"),"Outlook","Domain")))</f>
        <v/>
      </c>
      <c r="F9106">
        <f>IF(B9106="","",IFERROR(RIGHT(B9106,LEN(B9106)-FIND("@",B9106)),""))</f>
        <v/>
      </c>
      <c r="G9106">
        <f>IF(D9106="KEEP",COUNTIF($D$2:D9106,"KEEP"),"")</f>
        <v/>
      </c>
      <c r="H9106">
        <f>IF(D9106="REMOVE",COUNTIF($D$2:D9106,"REMOVE"),"")</f>
        <v/>
      </c>
      <c r="I9106">
        <f>IF(E9106="Gmail",COUNTIF($E$2:E9106,"Gmail"),"")</f>
        <v/>
      </c>
      <c r="J9106">
        <f>IF(E9106="Outlook",COUNTIF($E$2:E9106,"Outlook"),"")</f>
        <v/>
      </c>
      <c r="K9106">
        <f>IF(E9106="Domain",COUNTIF($E$2:E9106,"Domain"),"")</f>
        <v/>
      </c>
    </row>
    <row r="9107">
      <c r="A9107" s="2" t="n"/>
      <c r="B9107">
        <f>LOWER(TRIM(A9107))</f>
        <v/>
      </c>
      <c r="C9107">
        <f>IF(B9107="","",IFERROR(INDEX('Bad Patterns'!$A$2:$A$120,MATCH(1,INDEX(--ISNUMBER(SEARCH('Bad Patterns'!$A$2:$A$120,B9107)),0),0)),""))</f>
        <v/>
      </c>
      <c r="D9107">
        <f>IF(B9107="","",IF(C9107&lt;&gt;"","REMOVE","KEEP"))</f>
        <v/>
      </c>
      <c r="E9107">
        <f>IF(D9107&lt;&gt;"KEEP","",IF(RIGHT(B9107,10)="@gmail.com","Gmail",IF(OR(RIGHT(B9107,12)="@outlook.com",RIGHT(B9107,12)="@hotmail.com",RIGHT(B9107,9)="@live.com"),"Outlook","Domain")))</f>
        <v/>
      </c>
      <c r="F9107">
        <f>IF(B9107="","",IFERROR(RIGHT(B9107,LEN(B9107)-FIND("@",B9107)),""))</f>
        <v/>
      </c>
      <c r="G9107">
        <f>IF(D9107="KEEP",COUNTIF($D$2:D9107,"KEEP"),"")</f>
        <v/>
      </c>
      <c r="H9107">
        <f>IF(D9107="REMOVE",COUNTIF($D$2:D9107,"REMOVE"),"")</f>
        <v/>
      </c>
      <c r="I9107">
        <f>IF(E9107="Gmail",COUNTIF($E$2:E9107,"Gmail"),"")</f>
        <v/>
      </c>
      <c r="J9107">
        <f>IF(E9107="Outlook",COUNTIF($E$2:E9107,"Outlook"),"")</f>
        <v/>
      </c>
      <c r="K9107">
        <f>IF(E9107="Domain",COUNTIF($E$2:E9107,"Domain"),"")</f>
        <v/>
      </c>
    </row>
    <row r="9108">
      <c r="A9108" s="2" t="n"/>
      <c r="B9108">
        <f>LOWER(TRIM(A9108))</f>
        <v/>
      </c>
      <c r="C9108">
        <f>IF(B9108="","",IFERROR(INDEX('Bad Patterns'!$A$2:$A$120,MATCH(1,INDEX(--ISNUMBER(SEARCH('Bad Patterns'!$A$2:$A$120,B9108)),0),0)),""))</f>
        <v/>
      </c>
      <c r="D9108">
        <f>IF(B9108="","",IF(C9108&lt;&gt;"","REMOVE","KEEP"))</f>
        <v/>
      </c>
      <c r="E9108">
        <f>IF(D9108&lt;&gt;"KEEP","",IF(RIGHT(B9108,10)="@gmail.com","Gmail",IF(OR(RIGHT(B9108,12)="@outlook.com",RIGHT(B9108,12)="@hotmail.com",RIGHT(B9108,9)="@live.com"),"Outlook","Domain")))</f>
        <v/>
      </c>
      <c r="F9108">
        <f>IF(B9108="","",IFERROR(RIGHT(B9108,LEN(B9108)-FIND("@",B9108)),""))</f>
        <v/>
      </c>
      <c r="G9108">
        <f>IF(D9108="KEEP",COUNTIF($D$2:D9108,"KEEP"),"")</f>
        <v/>
      </c>
      <c r="H9108">
        <f>IF(D9108="REMOVE",COUNTIF($D$2:D9108,"REMOVE"),"")</f>
        <v/>
      </c>
      <c r="I9108">
        <f>IF(E9108="Gmail",COUNTIF($E$2:E9108,"Gmail"),"")</f>
        <v/>
      </c>
      <c r="J9108">
        <f>IF(E9108="Outlook",COUNTIF($E$2:E9108,"Outlook"),"")</f>
        <v/>
      </c>
      <c r="K9108">
        <f>IF(E9108="Domain",COUNTIF($E$2:E9108,"Domain"),"")</f>
        <v/>
      </c>
    </row>
    <row r="9109">
      <c r="A9109" s="2" t="n"/>
      <c r="B9109">
        <f>LOWER(TRIM(A9109))</f>
        <v/>
      </c>
      <c r="C9109">
        <f>IF(B9109="","",IFERROR(INDEX('Bad Patterns'!$A$2:$A$120,MATCH(1,INDEX(--ISNUMBER(SEARCH('Bad Patterns'!$A$2:$A$120,B9109)),0),0)),""))</f>
        <v/>
      </c>
      <c r="D9109">
        <f>IF(B9109="","",IF(C9109&lt;&gt;"","REMOVE","KEEP"))</f>
        <v/>
      </c>
      <c r="E9109">
        <f>IF(D9109&lt;&gt;"KEEP","",IF(RIGHT(B9109,10)="@gmail.com","Gmail",IF(OR(RIGHT(B9109,12)="@outlook.com",RIGHT(B9109,12)="@hotmail.com",RIGHT(B9109,9)="@live.com"),"Outlook","Domain")))</f>
        <v/>
      </c>
      <c r="F9109">
        <f>IF(B9109="","",IFERROR(RIGHT(B9109,LEN(B9109)-FIND("@",B9109)),""))</f>
        <v/>
      </c>
      <c r="G9109">
        <f>IF(D9109="KEEP",COUNTIF($D$2:D9109,"KEEP"),"")</f>
        <v/>
      </c>
      <c r="H9109">
        <f>IF(D9109="REMOVE",COUNTIF($D$2:D9109,"REMOVE"),"")</f>
        <v/>
      </c>
      <c r="I9109">
        <f>IF(E9109="Gmail",COUNTIF($E$2:E9109,"Gmail"),"")</f>
        <v/>
      </c>
      <c r="J9109">
        <f>IF(E9109="Outlook",COUNTIF($E$2:E9109,"Outlook"),"")</f>
        <v/>
      </c>
      <c r="K9109">
        <f>IF(E9109="Domain",COUNTIF($E$2:E9109,"Domain"),"")</f>
        <v/>
      </c>
    </row>
    <row r="9110">
      <c r="A9110" s="2" t="n"/>
      <c r="B9110">
        <f>LOWER(TRIM(A9110))</f>
        <v/>
      </c>
      <c r="C9110">
        <f>IF(B9110="","",IFERROR(INDEX('Bad Patterns'!$A$2:$A$120,MATCH(1,INDEX(--ISNUMBER(SEARCH('Bad Patterns'!$A$2:$A$120,B9110)),0),0)),""))</f>
        <v/>
      </c>
      <c r="D9110">
        <f>IF(B9110="","",IF(C9110&lt;&gt;"","REMOVE","KEEP"))</f>
        <v/>
      </c>
      <c r="E9110">
        <f>IF(D9110&lt;&gt;"KEEP","",IF(RIGHT(B9110,10)="@gmail.com","Gmail",IF(OR(RIGHT(B9110,12)="@outlook.com",RIGHT(B9110,12)="@hotmail.com",RIGHT(B9110,9)="@live.com"),"Outlook","Domain")))</f>
        <v/>
      </c>
      <c r="F9110">
        <f>IF(B9110="","",IFERROR(RIGHT(B9110,LEN(B9110)-FIND("@",B9110)),""))</f>
        <v/>
      </c>
      <c r="G9110">
        <f>IF(D9110="KEEP",COUNTIF($D$2:D9110,"KEEP"),"")</f>
        <v/>
      </c>
      <c r="H9110">
        <f>IF(D9110="REMOVE",COUNTIF($D$2:D9110,"REMOVE"),"")</f>
        <v/>
      </c>
      <c r="I9110">
        <f>IF(E9110="Gmail",COUNTIF($E$2:E9110,"Gmail"),"")</f>
        <v/>
      </c>
      <c r="J9110">
        <f>IF(E9110="Outlook",COUNTIF($E$2:E9110,"Outlook"),"")</f>
        <v/>
      </c>
      <c r="K9110">
        <f>IF(E9110="Domain",COUNTIF($E$2:E9110,"Domain"),"")</f>
        <v/>
      </c>
    </row>
    <row r="9111">
      <c r="A9111" s="2" t="n"/>
      <c r="B9111">
        <f>LOWER(TRIM(A9111))</f>
        <v/>
      </c>
      <c r="C9111">
        <f>IF(B9111="","",IFERROR(INDEX('Bad Patterns'!$A$2:$A$120,MATCH(1,INDEX(--ISNUMBER(SEARCH('Bad Patterns'!$A$2:$A$120,B9111)),0),0)),""))</f>
        <v/>
      </c>
      <c r="D9111">
        <f>IF(B9111="","",IF(C9111&lt;&gt;"","REMOVE","KEEP"))</f>
        <v/>
      </c>
      <c r="E9111">
        <f>IF(D9111&lt;&gt;"KEEP","",IF(RIGHT(B9111,10)="@gmail.com","Gmail",IF(OR(RIGHT(B9111,12)="@outlook.com",RIGHT(B9111,12)="@hotmail.com",RIGHT(B9111,9)="@live.com"),"Outlook","Domain")))</f>
        <v/>
      </c>
      <c r="F9111">
        <f>IF(B9111="","",IFERROR(RIGHT(B9111,LEN(B9111)-FIND("@",B9111)),""))</f>
        <v/>
      </c>
      <c r="G9111">
        <f>IF(D9111="KEEP",COUNTIF($D$2:D9111,"KEEP"),"")</f>
        <v/>
      </c>
      <c r="H9111">
        <f>IF(D9111="REMOVE",COUNTIF($D$2:D9111,"REMOVE"),"")</f>
        <v/>
      </c>
      <c r="I9111">
        <f>IF(E9111="Gmail",COUNTIF($E$2:E9111,"Gmail"),"")</f>
        <v/>
      </c>
      <c r="J9111">
        <f>IF(E9111="Outlook",COUNTIF($E$2:E9111,"Outlook"),"")</f>
        <v/>
      </c>
      <c r="K9111">
        <f>IF(E9111="Domain",COUNTIF($E$2:E9111,"Domain"),"")</f>
        <v/>
      </c>
    </row>
    <row r="9112">
      <c r="A9112" s="2" t="n"/>
      <c r="B9112">
        <f>LOWER(TRIM(A9112))</f>
        <v/>
      </c>
      <c r="C9112">
        <f>IF(B9112="","",IFERROR(INDEX('Bad Patterns'!$A$2:$A$120,MATCH(1,INDEX(--ISNUMBER(SEARCH('Bad Patterns'!$A$2:$A$120,B9112)),0),0)),""))</f>
        <v/>
      </c>
      <c r="D9112">
        <f>IF(B9112="","",IF(C9112&lt;&gt;"","REMOVE","KEEP"))</f>
        <v/>
      </c>
      <c r="E9112">
        <f>IF(D9112&lt;&gt;"KEEP","",IF(RIGHT(B9112,10)="@gmail.com","Gmail",IF(OR(RIGHT(B9112,12)="@outlook.com",RIGHT(B9112,12)="@hotmail.com",RIGHT(B9112,9)="@live.com"),"Outlook","Domain")))</f>
        <v/>
      </c>
      <c r="F9112">
        <f>IF(B9112="","",IFERROR(RIGHT(B9112,LEN(B9112)-FIND("@",B9112)),""))</f>
        <v/>
      </c>
      <c r="G9112">
        <f>IF(D9112="KEEP",COUNTIF($D$2:D9112,"KEEP"),"")</f>
        <v/>
      </c>
      <c r="H9112">
        <f>IF(D9112="REMOVE",COUNTIF($D$2:D9112,"REMOVE"),"")</f>
        <v/>
      </c>
      <c r="I9112">
        <f>IF(E9112="Gmail",COUNTIF($E$2:E9112,"Gmail"),"")</f>
        <v/>
      </c>
      <c r="J9112">
        <f>IF(E9112="Outlook",COUNTIF($E$2:E9112,"Outlook"),"")</f>
        <v/>
      </c>
      <c r="K9112">
        <f>IF(E9112="Domain",COUNTIF($E$2:E9112,"Domain"),"")</f>
        <v/>
      </c>
    </row>
    <row r="9113">
      <c r="A9113" s="2" t="n"/>
      <c r="B9113">
        <f>LOWER(TRIM(A9113))</f>
        <v/>
      </c>
      <c r="C9113">
        <f>IF(B9113="","",IFERROR(INDEX('Bad Patterns'!$A$2:$A$120,MATCH(1,INDEX(--ISNUMBER(SEARCH('Bad Patterns'!$A$2:$A$120,B9113)),0),0)),""))</f>
        <v/>
      </c>
      <c r="D9113">
        <f>IF(B9113="","",IF(C9113&lt;&gt;"","REMOVE","KEEP"))</f>
        <v/>
      </c>
      <c r="E9113">
        <f>IF(D9113&lt;&gt;"KEEP","",IF(RIGHT(B9113,10)="@gmail.com","Gmail",IF(OR(RIGHT(B9113,12)="@outlook.com",RIGHT(B9113,12)="@hotmail.com",RIGHT(B9113,9)="@live.com"),"Outlook","Domain")))</f>
        <v/>
      </c>
      <c r="F9113">
        <f>IF(B9113="","",IFERROR(RIGHT(B9113,LEN(B9113)-FIND("@",B9113)),""))</f>
        <v/>
      </c>
      <c r="G9113">
        <f>IF(D9113="KEEP",COUNTIF($D$2:D9113,"KEEP"),"")</f>
        <v/>
      </c>
      <c r="H9113">
        <f>IF(D9113="REMOVE",COUNTIF($D$2:D9113,"REMOVE"),"")</f>
        <v/>
      </c>
      <c r="I9113">
        <f>IF(E9113="Gmail",COUNTIF($E$2:E9113,"Gmail"),"")</f>
        <v/>
      </c>
      <c r="J9113">
        <f>IF(E9113="Outlook",COUNTIF($E$2:E9113,"Outlook"),"")</f>
        <v/>
      </c>
      <c r="K9113">
        <f>IF(E9113="Domain",COUNTIF($E$2:E9113,"Domain"),"")</f>
        <v/>
      </c>
    </row>
    <row r="9114">
      <c r="A9114" s="2" t="n"/>
      <c r="B9114">
        <f>LOWER(TRIM(A9114))</f>
        <v/>
      </c>
      <c r="C9114">
        <f>IF(B9114="","",IFERROR(INDEX('Bad Patterns'!$A$2:$A$120,MATCH(1,INDEX(--ISNUMBER(SEARCH('Bad Patterns'!$A$2:$A$120,B9114)),0),0)),""))</f>
        <v/>
      </c>
      <c r="D9114">
        <f>IF(B9114="","",IF(C9114&lt;&gt;"","REMOVE","KEEP"))</f>
        <v/>
      </c>
      <c r="E9114">
        <f>IF(D9114&lt;&gt;"KEEP","",IF(RIGHT(B9114,10)="@gmail.com","Gmail",IF(OR(RIGHT(B9114,12)="@outlook.com",RIGHT(B9114,12)="@hotmail.com",RIGHT(B9114,9)="@live.com"),"Outlook","Domain")))</f>
        <v/>
      </c>
      <c r="F9114">
        <f>IF(B9114="","",IFERROR(RIGHT(B9114,LEN(B9114)-FIND("@",B9114)),""))</f>
        <v/>
      </c>
      <c r="G9114">
        <f>IF(D9114="KEEP",COUNTIF($D$2:D9114,"KEEP"),"")</f>
        <v/>
      </c>
      <c r="H9114">
        <f>IF(D9114="REMOVE",COUNTIF($D$2:D9114,"REMOVE"),"")</f>
        <v/>
      </c>
      <c r="I9114">
        <f>IF(E9114="Gmail",COUNTIF($E$2:E9114,"Gmail"),"")</f>
        <v/>
      </c>
      <c r="J9114">
        <f>IF(E9114="Outlook",COUNTIF($E$2:E9114,"Outlook"),"")</f>
        <v/>
      </c>
      <c r="K9114">
        <f>IF(E9114="Domain",COUNTIF($E$2:E9114,"Domain"),"")</f>
        <v/>
      </c>
    </row>
    <row r="9115">
      <c r="A9115" s="2" t="n"/>
      <c r="B9115">
        <f>LOWER(TRIM(A9115))</f>
        <v/>
      </c>
      <c r="C9115">
        <f>IF(B9115="","",IFERROR(INDEX('Bad Patterns'!$A$2:$A$120,MATCH(1,INDEX(--ISNUMBER(SEARCH('Bad Patterns'!$A$2:$A$120,B9115)),0),0)),""))</f>
        <v/>
      </c>
      <c r="D9115">
        <f>IF(B9115="","",IF(C9115&lt;&gt;"","REMOVE","KEEP"))</f>
        <v/>
      </c>
      <c r="E9115">
        <f>IF(D9115&lt;&gt;"KEEP","",IF(RIGHT(B9115,10)="@gmail.com","Gmail",IF(OR(RIGHT(B9115,12)="@outlook.com",RIGHT(B9115,12)="@hotmail.com",RIGHT(B9115,9)="@live.com"),"Outlook","Domain")))</f>
        <v/>
      </c>
      <c r="F9115">
        <f>IF(B9115="","",IFERROR(RIGHT(B9115,LEN(B9115)-FIND("@",B9115)),""))</f>
        <v/>
      </c>
      <c r="G9115">
        <f>IF(D9115="KEEP",COUNTIF($D$2:D9115,"KEEP"),"")</f>
        <v/>
      </c>
      <c r="H9115">
        <f>IF(D9115="REMOVE",COUNTIF($D$2:D9115,"REMOVE"),"")</f>
        <v/>
      </c>
      <c r="I9115">
        <f>IF(E9115="Gmail",COUNTIF($E$2:E9115,"Gmail"),"")</f>
        <v/>
      </c>
      <c r="J9115">
        <f>IF(E9115="Outlook",COUNTIF($E$2:E9115,"Outlook"),"")</f>
        <v/>
      </c>
      <c r="K9115">
        <f>IF(E9115="Domain",COUNTIF($E$2:E9115,"Domain"),"")</f>
        <v/>
      </c>
    </row>
    <row r="9116">
      <c r="A9116" s="2" t="n"/>
      <c r="B9116">
        <f>LOWER(TRIM(A9116))</f>
        <v/>
      </c>
      <c r="C9116">
        <f>IF(B9116="","",IFERROR(INDEX('Bad Patterns'!$A$2:$A$120,MATCH(1,INDEX(--ISNUMBER(SEARCH('Bad Patterns'!$A$2:$A$120,B9116)),0),0)),""))</f>
        <v/>
      </c>
      <c r="D9116">
        <f>IF(B9116="","",IF(C9116&lt;&gt;"","REMOVE","KEEP"))</f>
        <v/>
      </c>
      <c r="E9116">
        <f>IF(D9116&lt;&gt;"KEEP","",IF(RIGHT(B9116,10)="@gmail.com","Gmail",IF(OR(RIGHT(B9116,12)="@outlook.com",RIGHT(B9116,12)="@hotmail.com",RIGHT(B9116,9)="@live.com"),"Outlook","Domain")))</f>
        <v/>
      </c>
      <c r="F9116">
        <f>IF(B9116="","",IFERROR(RIGHT(B9116,LEN(B9116)-FIND("@",B9116)),""))</f>
        <v/>
      </c>
      <c r="G9116">
        <f>IF(D9116="KEEP",COUNTIF($D$2:D9116,"KEEP"),"")</f>
        <v/>
      </c>
      <c r="H9116">
        <f>IF(D9116="REMOVE",COUNTIF($D$2:D9116,"REMOVE"),"")</f>
        <v/>
      </c>
      <c r="I9116">
        <f>IF(E9116="Gmail",COUNTIF($E$2:E9116,"Gmail"),"")</f>
        <v/>
      </c>
      <c r="J9116">
        <f>IF(E9116="Outlook",COUNTIF($E$2:E9116,"Outlook"),"")</f>
        <v/>
      </c>
      <c r="K9116">
        <f>IF(E9116="Domain",COUNTIF($E$2:E9116,"Domain"),"")</f>
        <v/>
      </c>
    </row>
    <row r="9117">
      <c r="A9117" s="2" t="n"/>
      <c r="B9117">
        <f>LOWER(TRIM(A9117))</f>
        <v/>
      </c>
      <c r="C9117">
        <f>IF(B9117="","",IFERROR(INDEX('Bad Patterns'!$A$2:$A$120,MATCH(1,INDEX(--ISNUMBER(SEARCH('Bad Patterns'!$A$2:$A$120,B9117)),0),0)),""))</f>
        <v/>
      </c>
      <c r="D9117">
        <f>IF(B9117="","",IF(C9117&lt;&gt;"","REMOVE","KEEP"))</f>
        <v/>
      </c>
      <c r="E9117">
        <f>IF(D9117&lt;&gt;"KEEP","",IF(RIGHT(B9117,10)="@gmail.com","Gmail",IF(OR(RIGHT(B9117,12)="@outlook.com",RIGHT(B9117,12)="@hotmail.com",RIGHT(B9117,9)="@live.com"),"Outlook","Domain")))</f>
        <v/>
      </c>
      <c r="F9117">
        <f>IF(B9117="","",IFERROR(RIGHT(B9117,LEN(B9117)-FIND("@",B9117)),""))</f>
        <v/>
      </c>
      <c r="G9117">
        <f>IF(D9117="KEEP",COUNTIF($D$2:D9117,"KEEP"),"")</f>
        <v/>
      </c>
      <c r="H9117">
        <f>IF(D9117="REMOVE",COUNTIF($D$2:D9117,"REMOVE"),"")</f>
        <v/>
      </c>
      <c r="I9117">
        <f>IF(E9117="Gmail",COUNTIF($E$2:E9117,"Gmail"),"")</f>
        <v/>
      </c>
      <c r="J9117">
        <f>IF(E9117="Outlook",COUNTIF($E$2:E9117,"Outlook"),"")</f>
        <v/>
      </c>
      <c r="K9117">
        <f>IF(E9117="Domain",COUNTIF($E$2:E9117,"Domain"),"")</f>
        <v/>
      </c>
    </row>
    <row r="9118">
      <c r="A9118" s="2" t="n"/>
      <c r="B9118">
        <f>LOWER(TRIM(A9118))</f>
        <v/>
      </c>
      <c r="C9118">
        <f>IF(B9118="","",IFERROR(INDEX('Bad Patterns'!$A$2:$A$120,MATCH(1,INDEX(--ISNUMBER(SEARCH('Bad Patterns'!$A$2:$A$120,B9118)),0),0)),""))</f>
        <v/>
      </c>
      <c r="D9118">
        <f>IF(B9118="","",IF(C9118&lt;&gt;"","REMOVE","KEEP"))</f>
        <v/>
      </c>
      <c r="E9118">
        <f>IF(D9118&lt;&gt;"KEEP","",IF(RIGHT(B9118,10)="@gmail.com","Gmail",IF(OR(RIGHT(B9118,12)="@outlook.com",RIGHT(B9118,12)="@hotmail.com",RIGHT(B9118,9)="@live.com"),"Outlook","Domain")))</f>
        <v/>
      </c>
      <c r="F9118">
        <f>IF(B9118="","",IFERROR(RIGHT(B9118,LEN(B9118)-FIND("@",B9118)),""))</f>
        <v/>
      </c>
      <c r="G9118">
        <f>IF(D9118="KEEP",COUNTIF($D$2:D9118,"KEEP"),"")</f>
        <v/>
      </c>
      <c r="H9118">
        <f>IF(D9118="REMOVE",COUNTIF($D$2:D9118,"REMOVE"),"")</f>
        <v/>
      </c>
      <c r="I9118">
        <f>IF(E9118="Gmail",COUNTIF($E$2:E9118,"Gmail"),"")</f>
        <v/>
      </c>
      <c r="J9118">
        <f>IF(E9118="Outlook",COUNTIF($E$2:E9118,"Outlook"),"")</f>
        <v/>
      </c>
      <c r="K9118">
        <f>IF(E9118="Domain",COUNTIF($E$2:E9118,"Domain"),"")</f>
        <v/>
      </c>
    </row>
    <row r="9119">
      <c r="A9119" s="2" t="n"/>
      <c r="B9119">
        <f>LOWER(TRIM(A9119))</f>
        <v/>
      </c>
      <c r="C9119">
        <f>IF(B9119="","",IFERROR(INDEX('Bad Patterns'!$A$2:$A$120,MATCH(1,INDEX(--ISNUMBER(SEARCH('Bad Patterns'!$A$2:$A$120,B9119)),0),0)),""))</f>
        <v/>
      </c>
      <c r="D9119">
        <f>IF(B9119="","",IF(C9119&lt;&gt;"","REMOVE","KEEP"))</f>
        <v/>
      </c>
      <c r="E9119">
        <f>IF(D9119&lt;&gt;"KEEP","",IF(RIGHT(B9119,10)="@gmail.com","Gmail",IF(OR(RIGHT(B9119,12)="@outlook.com",RIGHT(B9119,12)="@hotmail.com",RIGHT(B9119,9)="@live.com"),"Outlook","Domain")))</f>
        <v/>
      </c>
      <c r="F9119">
        <f>IF(B9119="","",IFERROR(RIGHT(B9119,LEN(B9119)-FIND("@",B9119)),""))</f>
        <v/>
      </c>
      <c r="G9119">
        <f>IF(D9119="KEEP",COUNTIF($D$2:D9119,"KEEP"),"")</f>
        <v/>
      </c>
      <c r="H9119">
        <f>IF(D9119="REMOVE",COUNTIF($D$2:D9119,"REMOVE"),"")</f>
        <v/>
      </c>
      <c r="I9119">
        <f>IF(E9119="Gmail",COUNTIF($E$2:E9119,"Gmail"),"")</f>
        <v/>
      </c>
      <c r="J9119">
        <f>IF(E9119="Outlook",COUNTIF($E$2:E9119,"Outlook"),"")</f>
        <v/>
      </c>
      <c r="K9119">
        <f>IF(E9119="Domain",COUNTIF($E$2:E9119,"Domain"),"")</f>
        <v/>
      </c>
    </row>
    <row r="9120">
      <c r="A9120" s="2" t="n"/>
      <c r="B9120">
        <f>LOWER(TRIM(A9120))</f>
        <v/>
      </c>
      <c r="C9120">
        <f>IF(B9120="","",IFERROR(INDEX('Bad Patterns'!$A$2:$A$120,MATCH(1,INDEX(--ISNUMBER(SEARCH('Bad Patterns'!$A$2:$A$120,B9120)),0),0)),""))</f>
        <v/>
      </c>
      <c r="D9120">
        <f>IF(B9120="","",IF(C9120&lt;&gt;"","REMOVE","KEEP"))</f>
        <v/>
      </c>
      <c r="E9120">
        <f>IF(D9120&lt;&gt;"KEEP","",IF(RIGHT(B9120,10)="@gmail.com","Gmail",IF(OR(RIGHT(B9120,12)="@outlook.com",RIGHT(B9120,12)="@hotmail.com",RIGHT(B9120,9)="@live.com"),"Outlook","Domain")))</f>
        <v/>
      </c>
      <c r="F9120">
        <f>IF(B9120="","",IFERROR(RIGHT(B9120,LEN(B9120)-FIND("@",B9120)),""))</f>
        <v/>
      </c>
      <c r="G9120">
        <f>IF(D9120="KEEP",COUNTIF($D$2:D9120,"KEEP"),"")</f>
        <v/>
      </c>
      <c r="H9120">
        <f>IF(D9120="REMOVE",COUNTIF($D$2:D9120,"REMOVE"),"")</f>
        <v/>
      </c>
      <c r="I9120">
        <f>IF(E9120="Gmail",COUNTIF($E$2:E9120,"Gmail"),"")</f>
        <v/>
      </c>
      <c r="J9120">
        <f>IF(E9120="Outlook",COUNTIF($E$2:E9120,"Outlook"),"")</f>
        <v/>
      </c>
      <c r="K9120">
        <f>IF(E9120="Domain",COUNTIF($E$2:E9120,"Domain"),"")</f>
        <v/>
      </c>
    </row>
    <row r="9121">
      <c r="A9121" s="2" t="n"/>
      <c r="B9121">
        <f>LOWER(TRIM(A9121))</f>
        <v/>
      </c>
      <c r="C9121">
        <f>IF(B9121="","",IFERROR(INDEX('Bad Patterns'!$A$2:$A$120,MATCH(1,INDEX(--ISNUMBER(SEARCH('Bad Patterns'!$A$2:$A$120,B9121)),0),0)),""))</f>
        <v/>
      </c>
      <c r="D9121">
        <f>IF(B9121="","",IF(C9121&lt;&gt;"","REMOVE","KEEP"))</f>
        <v/>
      </c>
      <c r="E9121">
        <f>IF(D9121&lt;&gt;"KEEP","",IF(RIGHT(B9121,10)="@gmail.com","Gmail",IF(OR(RIGHT(B9121,12)="@outlook.com",RIGHT(B9121,12)="@hotmail.com",RIGHT(B9121,9)="@live.com"),"Outlook","Domain")))</f>
        <v/>
      </c>
      <c r="F9121">
        <f>IF(B9121="","",IFERROR(RIGHT(B9121,LEN(B9121)-FIND("@",B9121)),""))</f>
        <v/>
      </c>
      <c r="G9121">
        <f>IF(D9121="KEEP",COUNTIF($D$2:D9121,"KEEP"),"")</f>
        <v/>
      </c>
      <c r="H9121">
        <f>IF(D9121="REMOVE",COUNTIF($D$2:D9121,"REMOVE"),"")</f>
        <v/>
      </c>
      <c r="I9121">
        <f>IF(E9121="Gmail",COUNTIF($E$2:E9121,"Gmail"),"")</f>
        <v/>
      </c>
      <c r="J9121">
        <f>IF(E9121="Outlook",COUNTIF($E$2:E9121,"Outlook"),"")</f>
        <v/>
      </c>
      <c r="K9121">
        <f>IF(E9121="Domain",COUNTIF($E$2:E9121,"Domain"),"")</f>
        <v/>
      </c>
    </row>
    <row r="9122">
      <c r="A9122" s="2" t="n"/>
      <c r="B9122">
        <f>LOWER(TRIM(A9122))</f>
        <v/>
      </c>
      <c r="C9122">
        <f>IF(B9122="","",IFERROR(INDEX('Bad Patterns'!$A$2:$A$120,MATCH(1,INDEX(--ISNUMBER(SEARCH('Bad Patterns'!$A$2:$A$120,B9122)),0),0)),""))</f>
        <v/>
      </c>
      <c r="D9122">
        <f>IF(B9122="","",IF(C9122&lt;&gt;"","REMOVE","KEEP"))</f>
        <v/>
      </c>
      <c r="E9122">
        <f>IF(D9122&lt;&gt;"KEEP","",IF(RIGHT(B9122,10)="@gmail.com","Gmail",IF(OR(RIGHT(B9122,12)="@outlook.com",RIGHT(B9122,12)="@hotmail.com",RIGHT(B9122,9)="@live.com"),"Outlook","Domain")))</f>
        <v/>
      </c>
      <c r="F9122">
        <f>IF(B9122="","",IFERROR(RIGHT(B9122,LEN(B9122)-FIND("@",B9122)),""))</f>
        <v/>
      </c>
      <c r="G9122">
        <f>IF(D9122="KEEP",COUNTIF($D$2:D9122,"KEEP"),"")</f>
        <v/>
      </c>
      <c r="H9122">
        <f>IF(D9122="REMOVE",COUNTIF($D$2:D9122,"REMOVE"),"")</f>
        <v/>
      </c>
      <c r="I9122">
        <f>IF(E9122="Gmail",COUNTIF($E$2:E9122,"Gmail"),"")</f>
        <v/>
      </c>
      <c r="J9122">
        <f>IF(E9122="Outlook",COUNTIF($E$2:E9122,"Outlook"),"")</f>
        <v/>
      </c>
      <c r="K9122">
        <f>IF(E9122="Domain",COUNTIF($E$2:E9122,"Domain"),"")</f>
        <v/>
      </c>
    </row>
    <row r="9123">
      <c r="A9123" s="2" t="n"/>
      <c r="B9123">
        <f>LOWER(TRIM(A9123))</f>
        <v/>
      </c>
      <c r="C9123">
        <f>IF(B9123="","",IFERROR(INDEX('Bad Patterns'!$A$2:$A$120,MATCH(1,INDEX(--ISNUMBER(SEARCH('Bad Patterns'!$A$2:$A$120,B9123)),0),0)),""))</f>
        <v/>
      </c>
      <c r="D9123">
        <f>IF(B9123="","",IF(C9123&lt;&gt;"","REMOVE","KEEP"))</f>
        <v/>
      </c>
      <c r="E9123">
        <f>IF(D9123&lt;&gt;"KEEP","",IF(RIGHT(B9123,10)="@gmail.com","Gmail",IF(OR(RIGHT(B9123,12)="@outlook.com",RIGHT(B9123,12)="@hotmail.com",RIGHT(B9123,9)="@live.com"),"Outlook","Domain")))</f>
        <v/>
      </c>
      <c r="F9123">
        <f>IF(B9123="","",IFERROR(RIGHT(B9123,LEN(B9123)-FIND("@",B9123)),""))</f>
        <v/>
      </c>
      <c r="G9123">
        <f>IF(D9123="KEEP",COUNTIF($D$2:D9123,"KEEP"),"")</f>
        <v/>
      </c>
      <c r="H9123">
        <f>IF(D9123="REMOVE",COUNTIF($D$2:D9123,"REMOVE"),"")</f>
        <v/>
      </c>
      <c r="I9123">
        <f>IF(E9123="Gmail",COUNTIF($E$2:E9123,"Gmail"),"")</f>
        <v/>
      </c>
      <c r="J9123">
        <f>IF(E9123="Outlook",COUNTIF($E$2:E9123,"Outlook"),"")</f>
        <v/>
      </c>
      <c r="K9123">
        <f>IF(E9123="Domain",COUNTIF($E$2:E9123,"Domain"),"")</f>
        <v/>
      </c>
    </row>
    <row r="9124">
      <c r="A9124" s="2" t="n"/>
      <c r="B9124">
        <f>LOWER(TRIM(A9124))</f>
        <v/>
      </c>
      <c r="C9124">
        <f>IF(B9124="","",IFERROR(INDEX('Bad Patterns'!$A$2:$A$120,MATCH(1,INDEX(--ISNUMBER(SEARCH('Bad Patterns'!$A$2:$A$120,B9124)),0),0)),""))</f>
        <v/>
      </c>
      <c r="D9124">
        <f>IF(B9124="","",IF(C9124&lt;&gt;"","REMOVE","KEEP"))</f>
        <v/>
      </c>
      <c r="E9124">
        <f>IF(D9124&lt;&gt;"KEEP","",IF(RIGHT(B9124,10)="@gmail.com","Gmail",IF(OR(RIGHT(B9124,12)="@outlook.com",RIGHT(B9124,12)="@hotmail.com",RIGHT(B9124,9)="@live.com"),"Outlook","Domain")))</f>
        <v/>
      </c>
      <c r="F9124">
        <f>IF(B9124="","",IFERROR(RIGHT(B9124,LEN(B9124)-FIND("@",B9124)),""))</f>
        <v/>
      </c>
      <c r="G9124">
        <f>IF(D9124="KEEP",COUNTIF($D$2:D9124,"KEEP"),"")</f>
        <v/>
      </c>
      <c r="H9124">
        <f>IF(D9124="REMOVE",COUNTIF($D$2:D9124,"REMOVE"),"")</f>
        <v/>
      </c>
      <c r="I9124">
        <f>IF(E9124="Gmail",COUNTIF($E$2:E9124,"Gmail"),"")</f>
        <v/>
      </c>
      <c r="J9124">
        <f>IF(E9124="Outlook",COUNTIF($E$2:E9124,"Outlook"),"")</f>
        <v/>
      </c>
      <c r="K9124">
        <f>IF(E9124="Domain",COUNTIF($E$2:E9124,"Domain"),"")</f>
        <v/>
      </c>
    </row>
    <row r="9125">
      <c r="A9125" s="2" t="n"/>
      <c r="B9125">
        <f>LOWER(TRIM(A9125))</f>
        <v/>
      </c>
      <c r="C9125">
        <f>IF(B9125="","",IFERROR(INDEX('Bad Patterns'!$A$2:$A$120,MATCH(1,INDEX(--ISNUMBER(SEARCH('Bad Patterns'!$A$2:$A$120,B9125)),0),0)),""))</f>
        <v/>
      </c>
      <c r="D9125">
        <f>IF(B9125="","",IF(C9125&lt;&gt;"","REMOVE","KEEP"))</f>
        <v/>
      </c>
      <c r="E9125">
        <f>IF(D9125&lt;&gt;"KEEP","",IF(RIGHT(B9125,10)="@gmail.com","Gmail",IF(OR(RIGHT(B9125,12)="@outlook.com",RIGHT(B9125,12)="@hotmail.com",RIGHT(B9125,9)="@live.com"),"Outlook","Domain")))</f>
        <v/>
      </c>
      <c r="F9125">
        <f>IF(B9125="","",IFERROR(RIGHT(B9125,LEN(B9125)-FIND("@",B9125)),""))</f>
        <v/>
      </c>
      <c r="G9125">
        <f>IF(D9125="KEEP",COUNTIF($D$2:D9125,"KEEP"),"")</f>
        <v/>
      </c>
      <c r="H9125">
        <f>IF(D9125="REMOVE",COUNTIF($D$2:D9125,"REMOVE"),"")</f>
        <v/>
      </c>
      <c r="I9125">
        <f>IF(E9125="Gmail",COUNTIF($E$2:E9125,"Gmail"),"")</f>
        <v/>
      </c>
      <c r="J9125">
        <f>IF(E9125="Outlook",COUNTIF($E$2:E9125,"Outlook"),"")</f>
        <v/>
      </c>
      <c r="K9125">
        <f>IF(E9125="Domain",COUNTIF($E$2:E9125,"Domain"),"")</f>
        <v/>
      </c>
    </row>
    <row r="9126">
      <c r="A9126" s="2" t="n"/>
      <c r="B9126">
        <f>LOWER(TRIM(A9126))</f>
        <v/>
      </c>
      <c r="C9126">
        <f>IF(B9126="","",IFERROR(INDEX('Bad Patterns'!$A$2:$A$120,MATCH(1,INDEX(--ISNUMBER(SEARCH('Bad Patterns'!$A$2:$A$120,B9126)),0),0)),""))</f>
        <v/>
      </c>
      <c r="D9126">
        <f>IF(B9126="","",IF(C9126&lt;&gt;"","REMOVE","KEEP"))</f>
        <v/>
      </c>
      <c r="E9126">
        <f>IF(D9126&lt;&gt;"KEEP","",IF(RIGHT(B9126,10)="@gmail.com","Gmail",IF(OR(RIGHT(B9126,12)="@outlook.com",RIGHT(B9126,12)="@hotmail.com",RIGHT(B9126,9)="@live.com"),"Outlook","Domain")))</f>
        <v/>
      </c>
      <c r="F9126">
        <f>IF(B9126="","",IFERROR(RIGHT(B9126,LEN(B9126)-FIND("@",B9126)),""))</f>
        <v/>
      </c>
      <c r="G9126">
        <f>IF(D9126="KEEP",COUNTIF($D$2:D9126,"KEEP"),"")</f>
        <v/>
      </c>
      <c r="H9126">
        <f>IF(D9126="REMOVE",COUNTIF($D$2:D9126,"REMOVE"),"")</f>
        <v/>
      </c>
      <c r="I9126">
        <f>IF(E9126="Gmail",COUNTIF($E$2:E9126,"Gmail"),"")</f>
        <v/>
      </c>
      <c r="J9126">
        <f>IF(E9126="Outlook",COUNTIF($E$2:E9126,"Outlook"),"")</f>
        <v/>
      </c>
      <c r="K9126">
        <f>IF(E9126="Domain",COUNTIF($E$2:E9126,"Domain"),"")</f>
        <v/>
      </c>
    </row>
    <row r="9127">
      <c r="A9127" s="2" t="n"/>
      <c r="B9127">
        <f>LOWER(TRIM(A9127))</f>
        <v/>
      </c>
      <c r="C9127">
        <f>IF(B9127="","",IFERROR(INDEX('Bad Patterns'!$A$2:$A$120,MATCH(1,INDEX(--ISNUMBER(SEARCH('Bad Patterns'!$A$2:$A$120,B9127)),0),0)),""))</f>
        <v/>
      </c>
      <c r="D9127">
        <f>IF(B9127="","",IF(C9127&lt;&gt;"","REMOVE","KEEP"))</f>
        <v/>
      </c>
      <c r="E9127">
        <f>IF(D9127&lt;&gt;"KEEP","",IF(RIGHT(B9127,10)="@gmail.com","Gmail",IF(OR(RIGHT(B9127,12)="@outlook.com",RIGHT(B9127,12)="@hotmail.com",RIGHT(B9127,9)="@live.com"),"Outlook","Domain")))</f>
        <v/>
      </c>
      <c r="F9127">
        <f>IF(B9127="","",IFERROR(RIGHT(B9127,LEN(B9127)-FIND("@",B9127)),""))</f>
        <v/>
      </c>
      <c r="G9127">
        <f>IF(D9127="KEEP",COUNTIF($D$2:D9127,"KEEP"),"")</f>
        <v/>
      </c>
      <c r="H9127">
        <f>IF(D9127="REMOVE",COUNTIF($D$2:D9127,"REMOVE"),"")</f>
        <v/>
      </c>
      <c r="I9127">
        <f>IF(E9127="Gmail",COUNTIF($E$2:E9127,"Gmail"),"")</f>
        <v/>
      </c>
      <c r="J9127">
        <f>IF(E9127="Outlook",COUNTIF($E$2:E9127,"Outlook"),"")</f>
        <v/>
      </c>
      <c r="K9127">
        <f>IF(E9127="Domain",COUNTIF($E$2:E9127,"Domain"),"")</f>
        <v/>
      </c>
    </row>
    <row r="9128">
      <c r="A9128" s="2" t="n"/>
      <c r="B9128">
        <f>LOWER(TRIM(A9128))</f>
        <v/>
      </c>
      <c r="C9128">
        <f>IF(B9128="","",IFERROR(INDEX('Bad Patterns'!$A$2:$A$120,MATCH(1,INDEX(--ISNUMBER(SEARCH('Bad Patterns'!$A$2:$A$120,B9128)),0),0)),""))</f>
        <v/>
      </c>
      <c r="D9128">
        <f>IF(B9128="","",IF(C9128&lt;&gt;"","REMOVE","KEEP"))</f>
        <v/>
      </c>
      <c r="E9128">
        <f>IF(D9128&lt;&gt;"KEEP","",IF(RIGHT(B9128,10)="@gmail.com","Gmail",IF(OR(RIGHT(B9128,12)="@outlook.com",RIGHT(B9128,12)="@hotmail.com",RIGHT(B9128,9)="@live.com"),"Outlook","Domain")))</f>
        <v/>
      </c>
      <c r="F9128">
        <f>IF(B9128="","",IFERROR(RIGHT(B9128,LEN(B9128)-FIND("@",B9128)),""))</f>
        <v/>
      </c>
      <c r="G9128">
        <f>IF(D9128="KEEP",COUNTIF($D$2:D9128,"KEEP"),"")</f>
        <v/>
      </c>
      <c r="H9128">
        <f>IF(D9128="REMOVE",COUNTIF($D$2:D9128,"REMOVE"),"")</f>
        <v/>
      </c>
      <c r="I9128">
        <f>IF(E9128="Gmail",COUNTIF($E$2:E9128,"Gmail"),"")</f>
        <v/>
      </c>
      <c r="J9128">
        <f>IF(E9128="Outlook",COUNTIF($E$2:E9128,"Outlook"),"")</f>
        <v/>
      </c>
      <c r="K9128">
        <f>IF(E9128="Domain",COUNTIF($E$2:E9128,"Domain"),"")</f>
        <v/>
      </c>
    </row>
    <row r="9129">
      <c r="A9129" s="2" t="n"/>
      <c r="B9129">
        <f>LOWER(TRIM(A9129))</f>
        <v/>
      </c>
      <c r="C9129">
        <f>IF(B9129="","",IFERROR(INDEX('Bad Patterns'!$A$2:$A$120,MATCH(1,INDEX(--ISNUMBER(SEARCH('Bad Patterns'!$A$2:$A$120,B9129)),0),0)),""))</f>
        <v/>
      </c>
      <c r="D9129">
        <f>IF(B9129="","",IF(C9129&lt;&gt;"","REMOVE","KEEP"))</f>
        <v/>
      </c>
      <c r="E9129">
        <f>IF(D9129&lt;&gt;"KEEP","",IF(RIGHT(B9129,10)="@gmail.com","Gmail",IF(OR(RIGHT(B9129,12)="@outlook.com",RIGHT(B9129,12)="@hotmail.com",RIGHT(B9129,9)="@live.com"),"Outlook","Domain")))</f>
        <v/>
      </c>
      <c r="F9129">
        <f>IF(B9129="","",IFERROR(RIGHT(B9129,LEN(B9129)-FIND("@",B9129)),""))</f>
        <v/>
      </c>
      <c r="G9129">
        <f>IF(D9129="KEEP",COUNTIF($D$2:D9129,"KEEP"),"")</f>
        <v/>
      </c>
      <c r="H9129">
        <f>IF(D9129="REMOVE",COUNTIF($D$2:D9129,"REMOVE"),"")</f>
        <v/>
      </c>
      <c r="I9129">
        <f>IF(E9129="Gmail",COUNTIF($E$2:E9129,"Gmail"),"")</f>
        <v/>
      </c>
      <c r="J9129">
        <f>IF(E9129="Outlook",COUNTIF($E$2:E9129,"Outlook"),"")</f>
        <v/>
      </c>
      <c r="K9129">
        <f>IF(E9129="Domain",COUNTIF($E$2:E9129,"Domain"),"")</f>
        <v/>
      </c>
    </row>
    <row r="9130">
      <c r="A9130" s="2" t="n"/>
      <c r="B9130">
        <f>LOWER(TRIM(A9130))</f>
        <v/>
      </c>
      <c r="C9130">
        <f>IF(B9130="","",IFERROR(INDEX('Bad Patterns'!$A$2:$A$120,MATCH(1,INDEX(--ISNUMBER(SEARCH('Bad Patterns'!$A$2:$A$120,B9130)),0),0)),""))</f>
        <v/>
      </c>
      <c r="D9130">
        <f>IF(B9130="","",IF(C9130&lt;&gt;"","REMOVE","KEEP"))</f>
        <v/>
      </c>
      <c r="E9130">
        <f>IF(D9130&lt;&gt;"KEEP","",IF(RIGHT(B9130,10)="@gmail.com","Gmail",IF(OR(RIGHT(B9130,12)="@outlook.com",RIGHT(B9130,12)="@hotmail.com",RIGHT(B9130,9)="@live.com"),"Outlook","Domain")))</f>
        <v/>
      </c>
      <c r="F9130">
        <f>IF(B9130="","",IFERROR(RIGHT(B9130,LEN(B9130)-FIND("@",B9130)),""))</f>
        <v/>
      </c>
      <c r="G9130">
        <f>IF(D9130="KEEP",COUNTIF($D$2:D9130,"KEEP"),"")</f>
        <v/>
      </c>
      <c r="H9130">
        <f>IF(D9130="REMOVE",COUNTIF($D$2:D9130,"REMOVE"),"")</f>
        <v/>
      </c>
      <c r="I9130">
        <f>IF(E9130="Gmail",COUNTIF($E$2:E9130,"Gmail"),"")</f>
        <v/>
      </c>
      <c r="J9130">
        <f>IF(E9130="Outlook",COUNTIF($E$2:E9130,"Outlook"),"")</f>
        <v/>
      </c>
      <c r="K9130">
        <f>IF(E9130="Domain",COUNTIF($E$2:E9130,"Domain"),"")</f>
        <v/>
      </c>
    </row>
    <row r="9131">
      <c r="A9131" s="2" t="n"/>
      <c r="B9131">
        <f>LOWER(TRIM(A9131))</f>
        <v/>
      </c>
      <c r="C9131">
        <f>IF(B9131="","",IFERROR(INDEX('Bad Patterns'!$A$2:$A$120,MATCH(1,INDEX(--ISNUMBER(SEARCH('Bad Patterns'!$A$2:$A$120,B9131)),0),0)),""))</f>
        <v/>
      </c>
      <c r="D9131">
        <f>IF(B9131="","",IF(C9131&lt;&gt;"","REMOVE","KEEP"))</f>
        <v/>
      </c>
      <c r="E9131">
        <f>IF(D9131&lt;&gt;"KEEP","",IF(RIGHT(B9131,10)="@gmail.com","Gmail",IF(OR(RIGHT(B9131,12)="@outlook.com",RIGHT(B9131,12)="@hotmail.com",RIGHT(B9131,9)="@live.com"),"Outlook","Domain")))</f>
        <v/>
      </c>
      <c r="F9131">
        <f>IF(B9131="","",IFERROR(RIGHT(B9131,LEN(B9131)-FIND("@",B9131)),""))</f>
        <v/>
      </c>
      <c r="G9131">
        <f>IF(D9131="KEEP",COUNTIF($D$2:D9131,"KEEP"),"")</f>
        <v/>
      </c>
      <c r="H9131">
        <f>IF(D9131="REMOVE",COUNTIF($D$2:D9131,"REMOVE"),"")</f>
        <v/>
      </c>
      <c r="I9131">
        <f>IF(E9131="Gmail",COUNTIF($E$2:E9131,"Gmail"),"")</f>
        <v/>
      </c>
      <c r="J9131">
        <f>IF(E9131="Outlook",COUNTIF($E$2:E9131,"Outlook"),"")</f>
        <v/>
      </c>
      <c r="K9131">
        <f>IF(E9131="Domain",COUNTIF($E$2:E9131,"Domain"),"")</f>
        <v/>
      </c>
    </row>
    <row r="9132">
      <c r="A9132" s="2" t="n"/>
      <c r="B9132">
        <f>LOWER(TRIM(A9132))</f>
        <v/>
      </c>
      <c r="C9132">
        <f>IF(B9132="","",IFERROR(INDEX('Bad Patterns'!$A$2:$A$120,MATCH(1,INDEX(--ISNUMBER(SEARCH('Bad Patterns'!$A$2:$A$120,B9132)),0),0)),""))</f>
        <v/>
      </c>
      <c r="D9132">
        <f>IF(B9132="","",IF(C9132&lt;&gt;"","REMOVE","KEEP"))</f>
        <v/>
      </c>
      <c r="E9132">
        <f>IF(D9132&lt;&gt;"KEEP","",IF(RIGHT(B9132,10)="@gmail.com","Gmail",IF(OR(RIGHT(B9132,12)="@outlook.com",RIGHT(B9132,12)="@hotmail.com",RIGHT(B9132,9)="@live.com"),"Outlook","Domain")))</f>
        <v/>
      </c>
      <c r="F9132">
        <f>IF(B9132="","",IFERROR(RIGHT(B9132,LEN(B9132)-FIND("@",B9132)),""))</f>
        <v/>
      </c>
      <c r="G9132">
        <f>IF(D9132="KEEP",COUNTIF($D$2:D9132,"KEEP"),"")</f>
        <v/>
      </c>
      <c r="H9132">
        <f>IF(D9132="REMOVE",COUNTIF($D$2:D9132,"REMOVE"),"")</f>
        <v/>
      </c>
      <c r="I9132">
        <f>IF(E9132="Gmail",COUNTIF($E$2:E9132,"Gmail"),"")</f>
        <v/>
      </c>
      <c r="J9132">
        <f>IF(E9132="Outlook",COUNTIF($E$2:E9132,"Outlook"),"")</f>
        <v/>
      </c>
      <c r="K9132">
        <f>IF(E9132="Domain",COUNTIF($E$2:E9132,"Domain"),"")</f>
        <v/>
      </c>
    </row>
    <row r="9133">
      <c r="A9133" s="2" t="n"/>
      <c r="B9133">
        <f>LOWER(TRIM(A9133))</f>
        <v/>
      </c>
      <c r="C9133">
        <f>IF(B9133="","",IFERROR(INDEX('Bad Patterns'!$A$2:$A$120,MATCH(1,INDEX(--ISNUMBER(SEARCH('Bad Patterns'!$A$2:$A$120,B9133)),0),0)),""))</f>
        <v/>
      </c>
      <c r="D9133">
        <f>IF(B9133="","",IF(C9133&lt;&gt;"","REMOVE","KEEP"))</f>
        <v/>
      </c>
      <c r="E9133">
        <f>IF(D9133&lt;&gt;"KEEP","",IF(RIGHT(B9133,10)="@gmail.com","Gmail",IF(OR(RIGHT(B9133,12)="@outlook.com",RIGHT(B9133,12)="@hotmail.com",RIGHT(B9133,9)="@live.com"),"Outlook","Domain")))</f>
        <v/>
      </c>
      <c r="F9133">
        <f>IF(B9133="","",IFERROR(RIGHT(B9133,LEN(B9133)-FIND("@",B9133)),""))</f>
        <v/>
      </c>
      <c r="G9133">
        <f>IF(D9133="KEEP",COUNTIF($D$2:D9133,"KEEP"),"")</f>
        <v/>
      </c>
      <c r="H9133">
        <f>IF(D9133="REMOVE",COUNTIF($D$2:D9133,"REMOVE"),"")</f>
        <v/>
      </c>
      <c r="I9133">
        <f>IF(E9133="Gmail",COUNTIF($E$2:E9133,"Gmail"),"")</f>
        <v/>
      </c>
      <c r="J9133">
        <f>IF(E9133="Outlook",COUNTIF($E$2:E9133,"Outlook"),"")</f>
        <v/>
      </c>
      <c r="K9133">
        <f>IF(E9133="Domain",COUNTIF($E$2:E9133,"Domain"),"")</f>
        <v/>
      </c>
    </row>
    <row r="9134">
      <c r="A9134" s="2" t="n"/>
      <c r="B9134">
        <f>LOWER(TRIM(A9134))</f>
        <v/>
      </c>
      <c r="C9134">
        <f>IF(B9134="","",IFERROR(INDEX('Bad Patterns'!$A$2:$A$120,MATCH(1,INDEX(--ISNUMBER(SEARCH('Bad Patterns'!$A$2:$A$120,B9134)),0),0)),""))</f>
        <v/>
      </c>
      <c r="D9134">
        <f>IF(B9134="","",IF(C9134&lt;&gt;"","REMOVE","KEEP"))</f>
        <v/>
      </c>
      <c r="E9134">
        <f>IF(D9134&lt;&gt;"KEEP","",IF(RIGHT(B9134,10)="@gmail.com","Gmail",IF(OR(RIGHT(B9134,12)="@outlook.com",RIGHT(B9134,12)="@hotmail.com",RIGHT(B9134,9)="@live.com"),"Outlook","Domain")))</f>
        <v/>
      </c>
      <c r="F9134">
        <f>IF(B9134="","",IFERROR(RIGHT(B9134,LEN(B9134)-FIND("@",B9134)),""))</f>
        <v/>
      </c>
      <c r="G9134">
        <f>IF(D9134="KEEP",COUNTIF($D$2:D9134,"KEEP"),"")</f>
        <v/>
      </c>
      <c r="H9134">
        <f>IF(D9134="REMOVE",COUNTIF($D$2:D9134,"REMOVE"),"")</f>
        <v/>
      </c>
      <c r="I9134">
        <f>IF(E9134="Gmail",COUNTIF($E$2:E9134,"Gmail"),"")</f>
        <v/>
      </c>
      <c r="J9134">
        <f>IF(E9134="Outlook",COUNTIF($E$2:E9134,"Outlook"),"")</f>
        <v/>
      </c>
      <c r="K9134">
        <f>IF(E9134="Domain",COUNTIF($E$2:E9134,"Domain"),"")</f>
        <v/>
      </c>
    </row>
    <row r="9135">
      <c r="A9135" s="2" t="n"/>
      <c r="B9135">
        <f>LOWER(TRIM(A9135))</f>
        <v/>
      </c>
      <c r="C9135">
        <f>IF(B9135="","",IFERROR(INDEX('Bad Patterns'!$A$2:$A$120,MATCH(1,INDEX(--ISNUMBER(SEARCH('Bad Patterns'!$A$2:$A$120,B9135)),0),0)),""))</f>
        <v/>
      </c>
      <c r="D9135">
        <f>IF(B9135="","",IF(C9135&lt;&gt;"","REMOVE","KEEP"))</f>
        <v/>
      </c>
      <c r="E9135">
        <f>IF(D9135&lt;&gt;"KEEP","",IF(RIGHT(B9135,10)="@gmail.com","Gmail",IF(OR(RIGHT(B9135,12)="@outlook.com",RIGHT(B9135,12)="@hotmail.com",RIGHT(B9135,9)="@live.com"),"Outlook","Domain")))</f>
        <v/>
      </c>
      <c r="F9135">
        <f>IF(B9135="","",IFERROR(RIGHT(B9135,LEN(B9135)-FIND("@",B9135)),""))</f>
        <v/>
      </c>
      <c r="G9135">
        <f>IF(D9135="KEEP",COUNTIF($D$2:D9135,"KEEP"),"")</f>
        <v/>
      </c>
      <c r="H9135">
        <f>IF(D9135="REMOVE",COUNTIF($D$2:D9135,"REMOVE"),"")</f>
        <v/>
      </c>
      <c r="I9135">
        <f>IF(E9135="Gmail",COUNTIF($E$2:E9135,"Gmail"),"")</f>
        <v/>
      </c>
      <c r="J9135">
        <f>IF(E9135="Outlook",COUNTIF($E$2:E9135,"Outlook"),"")</f>
        <v/>
      </c>
      <c r="K9135">
        <f>IF(E9135="Domain",COUNTIF($E$2:E9135,"Domain"),"")</f>
        <v/>
      </c>
    </row>
    <row r="9136">
      <c r="A9136" s="2" t="n"/>
      <c r="B9136">
        <f>LOWER(TRIM(A9136))</f>
        <v/>
      </c>
      <c r="C9136">
        <f>IF(B9136="","",IFERROR(INDEX('Bad Patterns'!$A$2:$A$120,MATCH(1,INDEX(--ISNUMBER(SEARCH('Bad Patterns'!$A$2:$A$120,B9136)),0),0)),""))</f>
        <v/>
      </c>
      <c r="D9136">
        <f>IF(B9136="","",IF(C9136&lt;&gt;"","REMOVE","KEEP"))</f>
        <v/>
      </c>
      <c r="E9136">
        <f>IF(D9136&lt;&gt;"KEEP","",IF(RIGHT(B9136,10)="@gmail.com","Gmail",IF(OR(RIGHT(B9136,12)="@outlook.com",RIGHT(B9136,12)="@hotmail.com",RIGHT(B9136,9)="@live.com"),"Outlook","Domain")))</f>
        <v/>
      </c>
      <c r="F9136">
        <f>IF(B9136="","",IFERROR(RIGHT(B9136,LEN(B9136)-FIND("@",B9136)),""))</f>
        <v/>
      </c>
      <c r="G9136">
        <f>IF(D9136="KEEP",COUNTIF($D$2:D9136,"KEEP"),"")</f>
        <v/>
      </c>
      <c r="H9136">
        <f>IF(D9136="REMOVE",COUNTIF($D$2:D9136,"REMOVE"),"")</f>
        <v/>
      </c>
      <c r="I9136">
        <f>IF(E9136="Gmail",COUNTIF($E$2:E9136,"Gmail"),"")</f>
        <v/>
      </c>
      <c r="J9136">
        <f>IF(E9136="Outlook",COUNTIF($E$2:E9136,"Outlook"),"")</f>
        <v/>
      </c>
      <c r="K9136">
        <f>IF(E9136="Domain",COUNTIF($E$2:E9136,"Domain"),"")</f>
        <v/>
      </c>
    </row>
    <row r="9137">
      <c r="A9137" s="2" t="n"/>
      <c r="B9137">
        <f>LOWER(TRIM(A9137))</f>
        <v/>
      </c>
      <c r="C9137">
        <f>IF(B9137="","",IFERROR(INDEX('Bad Patterns'!$A$2:$A$120,MATCH(1,INDEX(--ISNUMBER(SEARCH('Bad Patterns'!$A$2:$A$120,B9137)),0),0)),""))</f>
        <v/>
      </c>
      <c r="D9137">
        <f>IF(B9137="","",IF(C9137&lt;&gt;"","REMOVE","KEEP"))</f>
        <v/>
      </c>
      <c r="E9137">
        <f>IF(D9137&lt;&gt;"KEEP","",IF(RIGHT(B9137,10)="@gmail.com","Gmail",IF(OR(RIGHT(B9137,12)="@outlook.com",RIGHT(B9137,12)="@hotmail.com",RIGHT(B9137,9)="@live.com"),"Outlook","Domain")))</f>
        <v/>
      </c>
      <c r="F9137">
        <f>IF(B9137="","",IFERROR(RIGHT(B9137,LEN(B9137)-FIND("@",B9137)),""))</f>
        <v/>
      </c>
      <c r="G9137">
        <f>IF(D9137="KEEP",COUNTIF($D$2:D9137,"KEEP"),"")</f>
        <v/>
      </c>
      <c r="H9137">
        <f>IF(D9137="REMOVE",COUNTIF($D$2:D9137,"REMOVE"),"")</f>
        <v/>
      </c>
      <c r="I9137">
        <f>IF(E9137="Gmail",COUNTIF($E$2:E9137,"Gmail"),"")</f>
        <v/>
      </c>
      <c r="J9137">
        <f>IF(E9137="Outlook",COUNTIF($E$2:E9137,"Outlook"),"")</f>
        <v/>
      </c>
      <c r="K9137">
        <f>IF(E9137="Domain",COUNTIF($E$2:E9137,"Domain"),"")</f>
        <v/>
      </c>
    </row>
    <row r="9138">
      <c r="A9138" s="2" t="n"/>
      <c r="B9138">
        <f>LOWER(TRIM(A9138))</f>
        <v/>
      </c>
      <c r="C9138">
        <f>IF(B9138="","",IFERROR(INDEX('Bad Patterns'!$A$2:$A$120,MATCH(1,INDEX(--ISNUMBER(SEARCH('Bad Patterns'!$A$2:$A$120,B9138)),0),0)),""))</f>
        <v/>
      </c>
      <c r="D9138">
        <f>IF(B9138="","",IF(C9138&lt;&gt;"","REMOVE","KEEP"))</f>
        <v/>
      </c>
      <c r="E9138">
        <f>IF(D9138&lt;&gt;"KEEP","",IF(RIGHT(B9138,10)="@gmail.com","Gmail",IF(OR(RIGHT(B9138,12)="@outlook.com",RIGHT(B9138,12)="@hotmail.com",RIGHT(B9138,9)="@live.com"),"Outlook","Domain")))</f>
        <v/>
      </c>
      <c r="F9138">
        <f>IF(B9138="","",IFERROR(RIGHT(B9138,LEN(B9138)-FIND("@",B9138)),""))</f>
        <v/>
      </c>
      <c r="G9138">
        <f>IF(D9138="KEEP",COUNTIF($D$2:D9138,"KEEP"),"")</f>
        <v/>
      </c>
      <c r="H9138">
        <f>IF(D9138="REMOVE",COUNTIF($D$2:D9138,"REMOVE"),"")</f>
        <v/>
      </c>
      <c r="I9138">
        <f>IF(E9138="Gmail",COUNTIF($E$2:E9138,"Gmail"),"")</f>
        <v/>
      </c>
      <c r="J9138">
        <f>IF(E9138="Outlook",COUNTIF($E$2:E9138,"Outlook"),"")</f>
        <v/>
      </c>
      <c r="K9138">
        <f>IF(E9138="Domain",COUNTIF($E$2:E9138,"Domain"),"")</f>
        <v/>
      </c>
    </row>
    <row r="9139">
      <c r="A9139" s="2" t="n"/>
      <c r="B9139">
        <f>LOWER(TRIM(A9139))</f>
        <v/>
      </c>
      <c r="C9139">
        <f>IF(B9139="","",IFERROR(INDEX('Bad Patterns'!$A$2:$A$120,MATCH(1,INDEX(--ISNUMBER(SEARCH('Bad Patterns'!$A$2:$A$120,B9139)),0),0)),""))</f>
        <v/>
      </c>
      <c r="D9139">
        <f>IF(B9139="","",IF(C9139&lt;&gt;"","REMOVE","KEEP"))</f>
        <v/>
      </c>
      <c r="E9139">
        <f>IF(D9139&lt;&gt;"KEEP","",IF(RIGHT(B9139,10)="@gmail.com","Gmail",IF(OR(RIGHT(B9139,12)="@outlook.com",RIGHT(B9139,12)="@hotmail.com",RIGHT(B9139,9)="@live.com"),"Outlook","Domain")))</f>
        <v/>
      </c>
      <c r="F9139">
        <f>IF(B9139="","",IFERROR(RIGHT(B9139,LEN(B9139)-FIND("@",B9139)),""))</f>
        <v/>
      </c>
      <c r="G9139">
        <f>IF(D9139="KEEP",COUNTIF($D$2:D9139,"KEEP"),"")</f>
        <v/>
      </c>
      <c r="H9139">
        <f>IF(D9139="REMOVE",COUNTIF($D$2:D9139,"REMOVE"),"")</f>
        <v/>
      </c>
      <c r="I9139">
        <f>IF(E9139="Gmail",COUNTIF($E$2:E9139,"Gmail"),"")</f>
        <v/>
      </c>
      <c r="J9139">
        <f>IF(E9139="Outlook",COUNTIF($E$2:E9139,"Outlook"),"")</f>
        <v/>
      </c>
      <c r="K9139">
        <f>IF(E9139="Domain",COUNTIF($E$2:E9139,"Domain"),"")</f>
        <v/>
      </c>
    </row>
    <row r="9140">
      <c r="A9140" s="2" t="n"/>
      <c r="B9140">
        <f>LOWER(TRIM(A9140))</f>
        <v/>
      </c>
      <c r="C9140">
        <f>IF(B9140="","",IFERROR(INDEX('Bad Patterns'!$A$2:$A$120,MATCH(1,INDEX(--ISNUMBER(SEARCH('Bad Patterns'!$A$2:$A$120,B9140)),0),0)),""))</f>
        <v/>
      </c>
      <c r="D9140">
        <f>IF(B9140="","",IF(C9140&lt;&gt;"","REMOVE","KEEP"))</f>
        <v/>
      </c>
      <c r="E9140">
        <f>IF(D9140&lt;&gt;"KEEP","",IF(RIGHT(B9140,10)="@gmail.com","Gmail",IF(OR(RIGHT(B9140,12)="@outlook.com",RIGHT(B9140,12)="@hotmail.com",RIGHT(B9140,9)="@live.com"),"Outlook","Domain")))</f>
        <v/>
      </c>
      <c r="F9140">
        <f>IF(B9140="","",IFERROR(RIGHT(B9140,LEN(B9140)-FIND("@",B9140)),""))</f>
        <v/>
      </c>
      <c r="G9140">
        <f>IF(D9140="KEEP",COUNTIF($D$2:D9140,"KEEP"),"")</f>
        <v/>
      </c>
      <c r="H9140">
        <f>IF(D9140="REMOVE",COUNTIF($D$2:D9140,"REMOVE"),"")</f>
        <v/>
      </c>
      <c r="I9140">
        <f>IF(E9140="Gmail",COUNTIF($E$2:E9140,"Gmail"),"")</f>
        <v/>
      </c>
      <c r="J9140">
        <f>IF(E9140="Outlook",COUNTIF($E$2:E9140,"Outlook"),"")</f>
        <v/>
      </c>
      <c r="K9140">
        <f>IF(E9140="Domain",COUNTIF($E$2:E9140,"Domain"),"")</f>
        <v/>
      </c>
    </row>
    <row r="9141">
      <c r="A9141" s="2" t="n"/>
      <c r="B9141">
        <f>LOWER(TRIM(A9141))</f>
        <v/>
      </c>
      <c r="C9141">
        <f>IF(B9141="","",IFERROR(INDEX('Bad Patterns'!$A$2:$A$120,MATCH(1,INDEX(--ISNUMBER(SEARCH('Bad Patterns'!$A$2:$A$120,B9141)),0),0)),""))</f>
        <v/>
      </c>
      <c r="D9141">
        <f>IF(B9141="","",IF(C9141&lt;&gt;"","REMOVE","KEEP"))</f>
        <v/>
      </c>
      <c r="E9141">
        <f>IF(D9141&lt;&gt;"KEEP","",IF(RIGHT(B9141,10)="@gmail.com","Gmail",IF(OR(RIGHT(B9141,12)="@outlook.com",RIGHT(B9141,12)="@hotmail.com",RIGHT(B9141,9)="@live.com"),"Outlook","Domain")))</f>
        <v/>
      </c>
      <c r="F9141">
        <f>IF(B9141="","",IFERROR(RIGHT(B9141,LEN(B9141)-FIND("@",B9141)),""))</f>
        <v/>
      </c>
      <c r="G9141">
        <f>IF(D9141="KEEP",COUNTIF($D$2:D9141,"KEEP"),"")</f>
        <v/>
      </c>
      <c r="H9141">
        <f>IF(D9141="REMOVE",COUNTIF($D$2:D9141,"REMOVE"),"")</f>
        <v/>
      </c>
      <c r="I9141">
        <f>IF(E9141="Gmail",COUNTIF($E$2:E9141,"Gmail"),"")</f>
        <v/>
      </c>
      <c r="J9141">
        <f>IF(E9141="Outlook",COUNTIF($E$2:E9141,"Outlook"),"")</f>
        <v/>
      </c>
      <c r="K9141">
        <f>IF(E9141="Domain",COUNTIF($E$2:E9141,"Domain"),"")</f>
        <v/>
      </c>
    </row>
    <row r="9142">
      <c r="A9142" s="2" t="n"/>
      <c r="B9142">
        <f>LOWER(TRIM(A9142))</f>
        <v/>
      </c>
      <c r="C9142">
        <f>IF(B9142="","",IFERROR(INDEX('Bad Patterns'!$A$2:$A$120,MATCH(1,INDEX(--ISNUMBER(SEARCH('Bad Patterns'!$A$2:$A$120,B9142)),0),0)),""))</f>
        <v/>
      </c>
      <c r="D9142">
        <f>IF(B9142="","",IF(C9142&lt;&gt;"","REMOVE","KEEP"))</f>
        <v/>
      </c>
      <c r="E9142">
        <f>IF(D9142&lt;&gt;"KEEP","",IF(RIGHT(B9142,10)="@gmail.com","Gmail",IF(OR(RIGHT(B9142,12)="@outlook.com",RIGHT(B9142,12)="@hotmail.com",RIGHT(B9142,9)="@live.com"),"Outlook","Domain")))</f>
        <v/>
      </c>
      <c r="F9142">
        <f>IF(B9142="","",IFERROR(RIGHT(B9142,LEN(B9142)-FIND("@",B9142)),""))</f>
        <v/>
      </c>
      <c r="G9142">
        <f>IF(D9142="KEEP",COUNTIF($D$2:D9142,"KEEP"),"")</f>
        <v/>
      </c>
      <c r="H9142">
        <f>IF(D9142="REMOVE",COUNTIF($D$2:D9142,"REMOVE"),"")</f>
        <v/>
      </c>
      <c r="I9142">
        <f>IF(E9142="Gmail",COUNTIF($E$2:E9142,"Gmail"),"")</f>
        <v/>
      </c>
      <c r="J9142">
        <f>IF(E9142="Outlook",COUNTIF($E$2:E9142,"Outlook"),"")</f>
        <v/>
      </c>
      <c r="K9142">
        <f>IF(E9142="Domain",COUNTIF($E$2:E9142,"Domain"),"")</f>
        <v/>
      </c>
    </row>
    <row r="9143">
      <c r="A9143" s="2" t="n"/>
      <c r="B9143">
        <f>LOWER(TRIM(A9143))</f>
        <v/>
      </c>
      <c r="C9143">
        <f>IF(B9143="","",IFERROR(INDEX('Bad Patterns'!$A$2:$A$120,MATCH(1,INDEX(--ISNUMBER(SEARCH('Bad Patterns'!$A$2:$A$120,B9143)),0),0)),""))</f>
        <v/>
      </c>
      <c r="D9143">
        <f>IF(B9143="","",IF(C9143&lt;&gt;"","REMOVE","KEEP"))</f>
        <v/>
      </c>
      <c r="E9143">
        <f>IF(D9143&lt;&gt;"KEEP","",IF(RIGHT(B9143,10)="@gmail.com","Gmail",IF(OR(RIGHT(B9143,12)="@outlook.com",RIGHT(B9143,12)="@hotmail.com",RIGHT(B9143,9)="@live.com"),"Outlook","Domain")))</f>
        <v/>
      </c>
      <c r="F9143">
        <f>IF(B9143="","",IFERROR(RIGHT(B9143,LEN(B9143)-FIND("@",B9143)),""))</f>
        <v/>
      </c>
      <c r="G9143">
        <f>IF(D9143="KEEP",COUNTIF($D$2:D9143,"KEEP"),"")</f>
        <v/>
      </c>
      <c r="H9143">
        <f>IF(D9143="REMOVE",COUNTIF($D$2:D9143,"REMOVE"),"")</f>
        <v/>
      </c>
      <c r="I9143">
        <f>IF(E9143="Gmail",COUNTIF($E$2:E9143,"Gmail"),"")</f>
        <v/>
      </c>
      <c r="J9143">
        <f>IF(E9143="Outlook",COUNTIF($E$2:E9143,"Outlook"),"")</f>
        <v/>
      </c>
      <c r="K9143">
        <f>IF(E9143="Domain",COUNTIF($E$2:E9143,"Domain"),"")</f>
        <v/>
      </c>
    </row>
    <row r="9144">
      <c r="A9144" s="2" t="n"/>
      <c r="B9144">
        <f>LOWER(TRIM(A9144))</f>
        <v/>
      </c>
      <c r="C9144">
        <f>IF(B9144="","",IFERROR(INDEX('Bad Patterns'!$A$2:$A$120,MATCH(1,INDEX(--ISNUMBER(SEARCH('Bad Patterns'!$A$2:$A$120,B9144)),0),0)),""))</f>
        <v/>
      </c>
      <c r="D9144">
        <f>IF(B9144="","",IF(C9144&lt;&gt;"","REMOVE","KEEP"))</f>
        <v/>
      </c>
      <c r="E9144">
        <f>IF(D9144&lt;&gt;"KEEP","",IF(RIGHT(B9144,10)="@gmail.com","Gmail",IF(OR(RIGHT(B9144,12)="@outlook.com",RIGHT(B9144,12)="@hotmail.com",RIGHT(B9144,9)="@live.com"),"Outlook","Domain")))</f>
        <v/>
      </c>
      <c r="F9144">
        <f>IF(B9144="","",IFERROR(RIGHT(B9144,LEN(B9144)-FIND("@",B9144)),""))</f>
        <v/>
      </c>
      <c r="G9144">
        <f>IF(D9144="KEEP",COUNTIF($D$2:D9144,"KEEP"),"")</f>
        <v/>
      </c>
      <c r="H9144">
        <f>IF(D9144="REMOVE",COUNTIF($D$2:D9144,"REMOVE"),"")</f>
        <v/>
      </c>
      <c r="I9144">
        <f>IF(E9144="Gmail",COUNTIF($E$2:E9144,"Gmail"),"")</f>
        <v/>
      </c>
      <c r="J9144">
        <f>IF(E9144="Outlook",COUNTIF($E$2:E9144,"Outlook"),"")</f>
        <v/>
      </c>
      <c r="K9144">
        <f>IF(E9144="Domain",COUNTIF($E$2:E9144,"Domain"),"")</f>
        <v/>
      </c>
    </row>
    <row r="9145">
      <c r="A9145" s="2" t="n"/>
      <c r="B9145">
        <f>LOWER(TRIM(A9145))</f>
        <v/>
      </c>
      <c r="C9145">
        <f>IF(B9145="","",IFERROR(INDEX('Bad Patterns'!$A$2:$A$120,MATCH(1,INDEX(--ISNUMBER(SEARCH('Bad Patterns'!$A$2:$A$120,B9145)),0),0)),""))</f>
        <v/>
      </c>
      <c r="D9145">
        <f>IF(B9145="","",IF(C9145&lt;&gt;"","REMOVE","KEEP"))</f>
        <v/>
      </c>
      <c r="E9145">
        <f>IF(D9145&lt;&gt;"KEEP","",IF(RIGHT(B9145,10)="@gmail.com","Gmail",IF(OR(RIGHT(B9145,12)="@outlook.com",RIGHT(B9145,12)="@hotmail.com",RIGHT(B9145,9)="@live.com"),"Outlook","Domain")))</f>
        <v/>
      </c>
      <c r="F9145">
        <f>IF(B9145="","",IFERROR(RIGHT(B9145,LEN(B9145)-FIND("@",B9145)),""))</f>
        <v/>
      </c>
      <c r="G9145">
        <f>IF(D9145="KEEP",COUNTIF($D$2:D9145,"KEEP"),"")</f>
        <v/>
      </c>
      <c r="H9145">
        <f>IF(D9145="REMOVE",COUNTIF($D$2:D9145,"REMOVE"),"")</f>
        <v/>
      </c>
      <c r="I9145">
        <f>IF(E9145="Gmail",COUNTIF($E$2:E9145,"Gmail"),"")</f>
        <v/>
      </c>
      <c r="J9145">
        <f>IF(E9145="Outlook",COUNTIF($E$2:E9145,"Outlook"),"")</f>
        <v/>
      </c>
      <c r="K9145">
        <f>IF(E9145="Domain",COUNTIF($E$2:E9145,"Domain"),"")</f>
        <v/>
      </c>
    </row>
    <row r="9146">
      <c r="A9146" s="2" t="n"/>
      <c r="B9146">
        <f>LOWER(TRIM(A9146))</f>
        <v/>
      </c>
      <c r="C9146">
        <f>IF(B9146="","",IFERROR(INDEX('Bad Patterns'!$A$2:$A$120,MATCH(1,INDEX(--ISNUMBER(SEARCH('Bad Patterns'!$A$2:$A$120,B9146)),0),0)),""))</f>
        <v/>
      </c>
      <c r="D9146">
        <f>IF(B9146="","",IF(C9146&lt;&gt;"","REMOVE","KEEP"))</f>
        <v/>
      </c>
      <c r="E9146">
        <f>IF(D9146&lt;&gt;"KEEP","",IF(RIGHT(B9146,10)="@gmail.com","Gmail",IF(OR(RIGHT(B9146,12)="@outlook.com",RIGHT(B9146,12)="@hotmail.com",RIGHT(B9146,9)="@live.com"),"Outlook","Domain")))</f>
        <v/>
      </c>
      <c r="F9146">
        <f>IF(B9146="","",IFERROR(RIGHT(B9146,LEN(B9146)-FIND("@",B9146)),""))</f>
        <v/>
      </c>
      <c r="G9146">
        <f>IF(D9146="KEEP",COUNTIF($D$2:D9146,"KEEP"),"")</f>
        <v/>
      </c>
      <c r="H9146">
        <f>IF(D9146="REMOVE",COUNTIF($D$2:D9146,"REMOVE"),"")</f>
        <v/>
      </c>
      <c r="I9146">
        <f>IF(E9146="Gmail",COUNTIF($E$2:E9146,"Gmail"),"")</f>
        <v/>
      </c>
      <c r="J9146">
        <f>IF(E9146="Outlook",COUNTIF($E$2:E9146,"Outlook"),"")</f>
        <v/>
      </c>
      <c r="K9146">
        <f>IF(E9146="Domain",COUNTIF($E$2:E9146,"Domain"),"")</f>
        <v/>
      </c>
    </row>
    <row r="9147">
      <c r="A9147" s="2" t="n"/>
      <c r="B9147">
        <f>LOWER(TRIM(A9147))</f>
        <v/>
      </c>
      <c r="C9147">
        <f>IF(B9147="","",IFERROR(INDEX('Bad Patterns'!$A$2:$A$120,MATCH(1,INDEX(--ISNUMBER(SEARCH('Bad Patterns'!$A$2:$A$120,B9147)),0),0)),""))</f>
        <v/>
      </c>
      <c r="D9147">
        <f>IF(B9147="","",IF(C9147&lt;&gt;"","REMOVE","KEEP"))</f>
        <v/>
      </c>
      <c r="E9147">
        <f>IF(D9147&lt;&gt;"KEEP","",IF(RIGHT(B9147,10)="@gmail.com","Gmail",IF(OR(RIGHT(B9147,12)="@outlook.com",RIGHT(B9147,12)="@hotmail.com",RIGHT(B9147,9)="@live.com"),"Outlook","Domain")))</f>
        <v/>
      </c>
      <c r="F9147">
        <f>IF(B9147="","",IFERROR(RIGHT(B9147,LEN(B9147)-FIND("@",B9147)),""))</f>
        <v/>
      </c>
      <c r="G9147">
        <f>IF(D9147="KEEP",COUNTIF($D$2:D9147,"KEEP"),"")</f>
        <v/>
      </c>
      <c r="H9147">
        <f>IF(D9147="REMOVE",COUNTIF($D$2:D9147,"REMOVE"),"")</f>
        <v/>
      </c>
      <c r="I9147">
        <f>IF(E9147="Gmail",COUNTIF($E$2:E9147,"Gmail"),"")</f>
        <v/>
      </c>
      <c r="J9147">
        <f>IF(E9147="Outlook",COUNTIF($E$2:E9147,"Outlook"),"")</f>
        <v/>
      </c>
      <c r="K9147">
        <f>IF(E9147="Domain",COUNTIF($E$2:E9147,"Domain"),"")</f>
        <v/>
      </c>
    </row>
    <row r="9148">
      <c r="A9148" s="2" t="n"/>
      <c r="B9148">
        <f>LOWER(TRIM(A9148))</f>
        <v/>
      </c>
      <c r="C9148">
        <f>IF(B9148="","",IFERROR(INDEX('Bad Patterns'!$A$2:$A$120,MATCH(1,INDEX(--ISNUMBER(SEARCH('Bad Patterns'!$A$2:$A$120,B9148)),0),0)),""))</f>
        <v/>
      </c>
      <c r="D9148">
        <f>IF(B9148="","",IF(C9148&lt;&gt;"","REMOVE","KEEP"))</f>
        <v/>
      </c>
      <c r="E9148">
        <f>IF(D9148&lt;&gt;"KEEP","",IF(RIGHT(B9148,10)="@gmail.com","Gmail",IF(OR(RIGHT(B9148,12)="@outlook.com",RIGHT(B9148,12)="@hotmail.com",RIGHT(B9148,9)="@live.com"),"Outlook","Domain")))</f>
        <v/>
      </c>
      <c r="F9148">
        <f>IF(B9148="","",IFERROR(RIGHT(B9148,LEN(B9148)-FIND("@",B9148)),""))</f>
        <v/>
      </c>
      <c r="G9148">
        <f>IF(D9148="KEEP",COUNTIF($D$2:D9148,"KEEP"),"")</f>
        <v/>
      </c>
      <c r="H9148">
        <f>IF(D9148="REMOVE",COUNTIF($D$2:D9148,"REMOVE"),"")</f>
        <v/>
      </c>
      <c r="I9148">
        <f>IF(E9148="Gmail",COUNTIF($E$2:E9148,"Gmail"),"")</f>
        <v/>
      </c>
      <c r="J9148">
        <f>IF(E9148="Outlook",COUNTIF($E$2:E9148,"Outlook"),"")</f>
        <v/>
      </c>
      <c r="K9148">
        <f>IF(E9148="Domain",COUNTIF($E$2:E9148,"Domain"),"")</f>
        <v/>
      </c>
    </row>
    <row r="9149">
      <c r="A9149" s="2" t="n"/>
      <c r="B9149">
        <f>LOWER(TRIM(A9149))</f>
        <v/>
      </c>
      <c r="C9149">
        <f>IF(B9149="","",IFERROR(INDEX('Bad Patterns'!$A$2:$A$120,MATCH(1,INDEX(--ISNUMBER(SEARCH('Bad Patterns'!$A$2:$A$120,B9149)),0),0)),""))</f>
        <v/>
      </c>
      <c r="D9149">
        <f>IF(B9149="","",IF(C9149&lt;&gt;"","REMOVE","KEEP"))</f>
        <v/>
      </c>
      <c r="E9149">
        <f>IF(D9149&lt;&gt;"KEEP","",IF(RIGHT(B9149,10)="@gmail.com","Gmail",IF(OR(RIGHT(B9149,12)="@outlook.com",RIGHT(B9149,12)="@hotmail.com",RIGHT(B9149,9)="@live.com"),"Outlook","Domain")))</f>
        <v/>
      </c>
      <c r="F9149">
        <f>IF(B9149="","",IFERROR(RIGHT(B9149,LEN(B9149)-FIND("@",B9149)),""))</f>
        <v/>
      </c>
      <c r="G9149">
        <f>IF(D9149="KEEP",COUNTIF($D$2:D9149,"KEEP"),"")</f>
        <v/>
      </c>
      <c r="H9149">
        <f>IF(D9149="REMOVE",COUNTIF($D$2:D9149,"REMOVE"),"")</f>
        <v/>
      </c>
      <c r="I9149">
        <f>IF(E9149="Gmail",COUNTIF($E$2:E9149,"Gmail"),"")</f>
        <v/>
      </c>
      <c r="J9149">
        <f>IF(E9149="Outlook",COUNTIF($E$2:E9149,"Outlook"),"")</f>
        <v/>
      </c>
      <c r="K9149">
        <f>IF(E9149="Domain",COUNTIF($E$2:E9149,"Domain"),"")</f>
        <v/>
      </c>
    </row>
    <row r="9150">
      <c r="A9150" s="2" t="n"/>
      <c r="B9150">
        <f>LOWER(TRIM(A9150))</f>
        <v/>
      </c>
      <c r="C9150">
        <f>IF(B9150="","",IFERROR(INDEX('Bad Patterns'!$A$2:$A$120,MATCH(1,INDEX(--ISNUMBER(SEARCH('Bad Patterns'!$A$2:$A$120,B9150)),0),0)),""))</f>
        <v/>
      </c>
      <c r="D9150">
        <f>IF(B9150="","",IF(C9150&lt;&gt;"","REMOVE","KEEP"))</f>
        <v/>
      </c>
      <c r="E9150">
        <f>IF(D9150&lt;&gt;"KEEP","",IF(RIGHT(B9150,10)="@gmail.com","Gmail",IF(OR(RIGHT(B9150,12)="@outlook.com",RIGHT(B9150,12)="@hotmail.com",RIGHT(B9150,9)="@live.com"),"Outlook","Domain")))</f>
        <v/>
      </c>
      <c r="F9150">
        <f>IF(B9150="","",IFERROR(RIGHT(B9150,LEN(B9150)-FIND("@",B9150)),""))</f>
        <v/>
      </c>
      <c r="G9150">
        <f>IF(D9150="KEEP",COUNTIF($D$2:D9150,"KEEP"),"")</f>
        <v/>
      </c>
      <c r="H9150">
        <f>IF(D9150="REMOVE",COUNTIF($D$2:D9150,"REMOVE"),"")</f>
        <v/>
      </c>
      <c r="I9150">
        <f>IF(E9150="Gmail",COUNTIF($E$2:E9150,"Gmail"),"")</f>
        <v/>
      </c>
      <c r="J9150">
        <f>IF(E9150="Outlook",COUNTIF($E$2:E9150,"Outlook"),"")</f>
        <v/>
      </c>
      <c r="K9150">
        <f>IF(E9150="Domain",COUNTIF($E$2:E9150,"Domain"),"")</f>
        <v/>
      </c>
    </row>
    <row r="9151">
      <c r="A9151" s="2" t="n"/>
      <c r="B9151">
        <f>LOWER(TRIM(A9151))</f>
        <v/>
      </c>
      <c r="C9151">
        <f>IF(B9151="","",IFERROR(INDEX('Bad Patterns'!$A$2:$A$120,MATCH(1,INDEX(--ISNUMBER(SEARCH('Bad Patterns'!$A$2:$A$120,B9151)),0),0)),""))</f>
        <v/>
      </c>
      <c r="D9151">
        <f>IF(B9151="","",IF(C9151&lt;&gt;"","REMOVE","KEEP"))</f>
        <v/>
      </c>
      <c r="E9151">
        <f>IF(D9151&lt;&gt;"KEEP","",IF(RIGHT(B9151,10)="@gmail.com","Gmail",IF(OR(RIGHT(B9151,12)="@outlook.com",RIGHT(B9151,12)="@hotmail.com",RIGHT(B9151,9)="@live.com"),"Outlook","Domain")))</f>
        <v/>
      </c>
      <c r="F9151">
        <f>IF(B9151="","",IFERROR(RIGHT(B9151,LEN(B9151)-FIND("@",B9151)),""))</f>
        <v/>
      </c>
      <c r="G9151">
        <f>IF(D9151="KEEP",COUNTIF($D$2:D9151,"KEEP"),"")</f>
        <v/>
      </c>
      <c r="H9151">
        <f>IF(D9151="REMOVE",COUNTIF($D$2:D9151,"REMOVE"),"")</f>
        <v/>
      </c>
      <c r="I9151">
        <f>IF(E9151="Gmail",COUNTIF($E$2:E9151,"Gmail"),"")</f>
        <v/>
      </c>
      <c r="J9151">
        <f>IF(E9151="Outlook",COUNTIF($E$2:E9151,"Outlook"),"")</f>
        <v/>
      </c>
      <c r="K9151">
        <f>IF(E9151="Domain",COUNTIF($E$2:E9151,"Domain"),"")</f>
        <v/>
      </c>
    </row>
    <row r="9152">
      <c r="A9152" s="2" t="n"/>
      <c r="B9152">
        <f>LOWER(TRIM(A9152))</f>
        <v/>
      </c>
      <c r="C9152">
        <f>IF(B9152="","",IFERROR(INDEX('Bad Patterns'!$A$2:$A$120,MATCH(1,INDEX(--ISNUMBER(SEARCH('Bad Patterns'!$A$2:$A$120,B9152)),0),0)),""))</f>
        <v/>
      </c>
      <c r="D9152">
        <f>IF(B9152="","",IF(C9152&lt;&gt;"","REMOVE","KEEP"))</f>
        <v/>
      </c>
      <c r="E9152">
        <f>IF(D9152&lt;&gt;"KEEP","",IF(RIGHT(B9152,10)="@gmail.com","Gmail",IF(OR(RIGHT(B9152,12)="@outlook.com",RIGHT(B9152,12)="@hotmail.com",RIGHT(B9152,9)="@live.com"),"Outlook","Domain")))</f>
        <v/>
      </c>
      <c r="F9152">
        <f>IF(B9152="","",IFERROR(RIGHT(B9152,LEN(B9152)-FIND("@",B9152)),""))</f>
        <v/>
      </c>
      <c r="G9152">
        <f>IF(D9152="KEEP",COUNTIF($D$2:D9152,"KEEP"),"")</f>
        <v/>
      </c>
      <c r="H9152">
        <f>IF(D9152="REMOVE",COUNTIF($D$2:D9152,"REMOVE"),"")</f>
        <v/>
      </c>
      <c r="I9152">
        <f>IF(E9152="Gmail",COUNTIF($E$2:E9152,"Gmail"),"")</f>
        <v/>
      </c>
      <c r="J9152">
        <f>IF(E9152="Outlook",COUNTIF($E$2:E9152,"Outlook"),"")</f>
        <v/>
      </c>
      <c r="K9152">
        <f>IF(E9152="Domain",COUNTIF($E$2:E9152,"Domain"),"")</f>
        <v/>
      </c>
    </row>
    <row r="9153">
      <c r="A9153" s="2" t="n"/>
      <c r="B9153">
        <f>LOWER(TRIM(A9153))</f>
        <v/>
      </c>
      <c r="C9153">
        <f>IF(B9153="","",IFERROR(INDEX('Bad Patterns'!$A$2:$A$120,MATCH(1,INDEX(--ISNUMBER(SEARCH('Bad Patterns'!$A$2:$A$120,B9153)),0),0)),""))</f>
        <v/>
      </c>
      <c r="D9153">
        <f>IF(B9153="","",IF(C9153&lt;&gt;"","REMOVE","KEEP"))</f>
        <v/>
      </c>
      <c r="E9153">
        <f>IF(D9153&lt;&gt;"KEEP","",IF(RIGHT(B9153,10)="@gmail.com","Gmail",IF(OR(RIGHT(B9153,12)="@outlook.com",RIGHT(B9153,12)="@hotmail.com",RIGHT(B9153,9)="@live.com"),"Outlook","Domain")))</f>
        <v/>
      </c>
      <c r="F9153">
        <f>IF(B9153="","",IFERROR(RIGHT(B9153,LEN(B9153)-FIND("@",B9153)),""))</f>
        <v/>
      </c>
      <c r="G9153">
        <f>IF(D9153="KEEP",COUNTIF($D$2:D9153,"KEEP"),"")</f>
        <v/>
      </c>
      <c r="H9153">
        <f>IF(D9153="REMOVE",COUNTIF($D$2:D9153,"REMOVE"),"")</f>
        <v/>
      </c>
      <c r="I9153">
        <f>IF(E9153="Gmail",COUNTIF($E$2:E9153,"Gmail"),"")</f>
        <v/>
      </c>
      <c r="J9153">
        <f>IF(E9153="Outlook",COUNTIF($E$2:E9153,"Outlook"),"")</f>
        <v/>
      </c>
      <c r="K9153">
        <f>IF(E9153="Domain",COUNTIF($E$2:E9153,"Domain"),"")</f>
        <v/>
      </c>
    </row>
    <row r="9154">
      <c r="A9154" s="2" t="n"/>
      <c r="B9154">
        <f>LOWER(TRIM(A9154))</f>
        <v/>
      </c>
      <c r="C9154">
        <f>IF(B9154="","",IFERROR(INDEX('Bad Patterns'!$A$2:$A$120,MATCH(1,INDEX(--ISNUMBER(SEARCH('Bad Patterns'!$A$2:$A$120,B9154)),0),0)),""))</f>
        <v/>
      </c>
      <c r="D9154">
        <f>IF(B9154="","",IF(C9154&lt;&gt;"","REMOVE","KEEP"))</f>
        <v/>
      </c>
      <c r="E9154">
        <f>IF(D9154&lt;&gt;"KEEP","",IF(RIGHT(B9154,10)="@gmail.com","Gmail",IF(OR(RIGHT(B9154,12)="@outlook.com",RIGHT(B9154,12)="@hotmail.com",RIGHT(B9154,9)="@live.com"),"Outlook","Domain")))</f>
        <v/>
      </c>
      <c r="F9154">
        <f>IF(B9154="","",IFERROR(RIGHT(B9154,LEN(B9154)-FIND("@",B9154)),""))</f>
        <v/>
      </c>
      <c r="G9154">
        <f>IF(D9154="KEEP",COUNTIF($D$2:D9154,"KEEP"),"")</f>
        <v/>
      </c>
      <c r="H9154">
        <f>IF(D9154="REMOVE",COUNTIF($D$2:D9154,"REMOVE"),"")</f>
        <v/>
      </c>
      <c r="I9154">
        <f>IF(E9154="Gmail",COUNTIF($E$2:E9154,"Gmail"),"")</f>
        <v/>
      </c>
      <c r="J9154">
        <f>IF(E9154="Outlook",COUNTIF($E$2:E9154,"Outlook"),"")</f>
        <v/>
      </c>
      <c r="K9154">
        <f>IF(E9154="Domain",COUNTIF($E$2:E9154,"Domain"),"")</f>
        <v/>
      </c>
    </row>
    <row r="9155">
      <c r="A9155" s="2" t="n"/>
      <c r="B9155">
        <f>LOWER(TRIM(A9155))</f>
        <v/>
      </c>
      <c r="C9155">
        <f>IF(B9155="","",IFERROR(INDEX('Bad Patterns'!$A$2:$A$120,MATCH(1,INDEX(--ISNUMBER(SEARCH('Bad Patterns'!$A$2:$A$120,B9155)),0),0)),""))</f>
        <v/>
      </c>
      <c r="D9155">
        <f>IF(B9155="","",IF(C9155&lt;&gt;"","REMOVE","KEEP"))</f>
        <v/>
      </c>
      <c r="E9155">
        <f>IF(D9155&lt;&gt;"KEEP","",IF(RIGHT(B9155,10)="@gmail.com","Gmail",IF(OR(RIGHT(B9155,12)="@outlook.com",RIGHT(B9155,12)="@hotmail.com",RIGHT(B9155,9)="@live.com"),"Outlook","Domain")))</f>
        <v/>
      </c>
      <c r="F9155">
        <f>IF(B9155="","",IFERROR(RIGHT(B9155,LEN(B9155)-FIND("@",B9155)),""))</f>
        <v/>
      </c>
      <c r="G9155">
        <f>IF(D9155="KEEP",COUNTIF($D$2:D9155,"KEEP"),"")</f>
        <v/>
      </c>
      <c r="H9155">
        <f>IF(D9155="REMOVE",COUNTIF($D$2:D9155,"REMOVE"),"")</f>
        <v/>
      </c>
      <c r="I9155">
        <f>IF(E9155="Gmail",COUNTIF($E$2:E9155,"Gmail"),"")</f>
        <v/>
      </c>
      <c r="J9155">
        <f>IF(E9155="Outlook",COUNTIF($E$2:E9155,"Outlook"),"")</f>
        <v/>
      </c>
      <c r="K9155">
        <f>IF(E9155="Domain",COUNTIF($E$2:E9155,"Domain"),"")</f>
        <v/>
      </c>
    </row>
    <row r="9156">
      <c r="A9156" s="2" t="n"/>
      <c r="B9156">
        <f>LOWER(TRIM(A9156))</f>
        <v/>
      </c>
      <c r="C9156">
        <f>IF(B9156="","",IFERROR(INDEX('Bad Patterns'!$A$2:$A$120,MATCH(1,INDEX(--ISNUMBER(SEARCH('Bad Patterns'!$A$2:$A$120,B9156)),0),0)),""))</f>
        <v/>
      </c>
      <c r="D9156">
        <f>IF(B9156="","",IF(C9156&lt;&gt;"","REMOVE","KEEP"))</f>
        <v/>
      </c>
      <c r="E9156">
        <f>IF(D9156&lt;&gt;"KEEP","",IF(RIGHT(B9156,10)="@gmail.com","Gmail",IF(OR(RIGHT(B9156,12)="@outlook.com",RIGHT(B9156,12)="@hotmail.com",RIGHT(B9156,9)="@live.com"),"Outlook","Domain")))</f>
        <v/>
      </c>
      <c r="F9156">
        <f>IF(B9156="","",IFERROR(RIGHT(B9156,LEN(B9156)-FIND("@",B9156)),""))</f>
        <v/>
      </c>
      <c r="G9156">
        <f>IF(D9156="KEEP",COUNTIF($D$2:D9156,"KEEP"),"")</f>
        <v/>
      </c>
      <c r="H9156">
        <f>IF(D9156="REMOVE",COUNTIF($D$2:D9156,"REMOVE"),"")</f>
        <v/>
      </c>
      <c r="I9156">
        <f>IF(E9156="Gmail",COUNTIF($E$2:E9156,"Gmail"),"")</f>
        <v/>
      </c>
      <c r="J9156">
        <f>IF(E9156="Outlook",COUNTIF($E$2:E9156,"Outlook"),"")</f>
        <v/>
      </c>
      <c r="K9156">
        <f>IF(E9156="Domain",COUNTIF($E$2:E9156,"Domain"),"")</f>
        <v/>
      </c>
    </row>
    <row r="9157">
      <c r="A9157" s="2" t="n"/>
      <c r="B9157">
        <f>LOWER(TRIM(A9157))</f>
        <v/>
      </c>
      <c r="C9157">
        <f>IF(B9157="","",IFERROR(INDEX('Bad Patterns'!$A$2:$A$120,MATCH(1,INDEX(--ISNUMBER(SEARCH('Bad Patterns'!$A$2:$A$120,B9157)),0),0)),""))</f>
        <v/>
      </c>
      <c r="D9157">
        <f>IF(B9157="","",IF(C9157&lt;&gt;"","REMOVE","KEEP"))</f>
        <v/>
      </c>
      <c r="E9157">
        <f>IF(D9157&lt;&gt;"KEEP","",IF(RIGHT(B9157,10)="@gmail.com","Gmail",IF(OR(RIGHT(B9157,12)="@outlook.com",RIGHT(B9157,12)="@hotmail.com",RIGHT(B9157,9)="@live.com"),"Outlook","Domain")))</f>
        <v/>
      </c>
      <c r="F9157">
        <f>IF(B9157="","",IFERROR(RIGHT(B9157,LEN(B9157)-FIND("@",B9157)),""))</f>
        <v/>
      </c>
      <c r="G9157">
        <f>IF(D9157="KEEP",COUNTIF($D$2:D9157,"KEEP"),"")</f>
        <v/>
      </c>
      <c r="H9157">
        <f>IF(D9157="REMOVE",COUNTIF($D$2:D9157,"REMOVE"),"")</f>
        <v/>
      </c>
      <c r="I9157">
        <f>IF(E9157="Gmail",COUNTIF($E$2:E9157,"Gmail"),"")</f>
        <v/>
      </c>
      <c r="J9157">
        <f>IF(E9157="Outlook",COUNTIF($E$2:E9157,"Outlook"),"")</f>
        <v/>
      </c>
      <c r="K9157">
        <f>IF(E9157="Domain",COUNTIF($E$2:E9157,"Domain"),"")</f>
        <v/>
      </c>
    </row>
    <row r="9158">
      <c r="A9158" s="2" t="n"/>
      <c r="B9158">
        <f>LOWER(TRIM(A9158))</f>
        <v/>
      </c>
      <c r="C9158">
        <f>IF(B9158="","",IFERROR(INDEX('Bad Patterns'!$A$2:$A$120,MATCH(1,INDEX(--ISNUMBER(SEARCH('Bad Patterns'!$A$2:$A$120,B9158)),0),0)),""))</f>
        <v/>
      </c>
      <c r="D9158">
        <f>IF(B9158="","",IF(C9158&lt;&gt;"","REMOVE","KEEP"))</f>
        <v/>
      </c>
      <c r="E9158">
        <f>IF(D9158&lt;&gt;"KEEP","",IF(RIGHT(B9158,10)="@gmail.com","Gmail",IF(OR(RIGHT(B9158,12)="@outlook.com",RIGHT(B9158,12)="@hotmail.com",RIGHT(B9158,9)="@live.com"),"Outlook","Domain")))</f>
        <v/>
      </c>
      <c r="F9158">
        <f>IF(B9158="","",IFERROR(RIGHT(B9158,LEN(B9158)-FIND("@",B9158)),""))</f>
        <v/>
      </c>
      <c r="G9158">
        <f>IF(D9158="KEEP",COUNTIF($D$2:D9158,"KEEP"),"")</f>
        <v/>
      </c>
      <c r="H9158">
        <f>IF(D9158="REMOVE",COUNTIF($D$2:D9158,"REMOVE"),"")</f>
        <v/>
      </c>
      <c r="I9158">
        <f>IF(E9158="Gmail",COUNTIF($E$2:E9158,"Gmail"),"")</f>
        <v/>
      </c>
      <c r="J9158">
        <f>IF(E9158="Outlook",COUNTIF($E$2:E9158,"Outlook"),"")</f>
        <v/>
      </c>
      <c r="K9158">
        <f>IF(E9158="Domain",COUNTIF($E$2:E9158,"Domain"),"")</f>
        <v/>
      </c>
    </row>
    <row r="9159">
      <c r="A9159" s="2" t="n"/>
      <c r="B9159">
        <f>LOWER(TRIM(A9159))</f>
        <v/>
      </c>
      <c r="C9159">
        <f>IF(B9159="","",IFERROR(INDEX('Bad Patterns'!$A$2:$A$120,MATCH(1,INDEX(--ISNUMBER(SEARCH('Bad Patterns'!$A$2:$A$120,B9159)),0),0)),""))</f>
        <v/>
      </c>
      <c r="D9159">
        <f>IF(B9159="","",IF(C9159&lt;&gt;"","REMOVE","KEEP"))</f>
        <v/>
      </c>
      <c r="E9159">
        <f>IF(D9159&lt;&gt;"KEEP","",IF(RIGHT(B9159,10)="@gmail.com","Gmail",IF(OR(RIGHT(B9159,12)="@outlook.com",RIGHT(B9159,12)="@hotmail.com",RIGHT(B9159,9)="@live.com"),"Outlook","Domain")))</f>
        <v/>
      </c>
      <c r="F9159">
        <f>IF(B9159="","",IFERROR(RIGHT(B9159,LEN(B9159)-FIND("@",B9159)),""))</f>
        <v/>
      </c>
      <c r="G9159">
        <f>IF(D9159="KEEP",COUNTIF($D$2:D9159,"KEEP"),"")</f>
        <v/>
      </c>
      <c r="H9159">
        <f>IF(D9159="REMOVE",COUNTIF($D$2:D9159,"REMOVE"),"")</f>
        <v/>
      </c>
      <c r="I9159">
        <f>IF(E9159="Gmail",COUNTIF($E$2:E9159,"Gmail"),"")</f>
        <v/>
      </c>
      <c r="J9159">
        <f>IF(E9159="Outlook",COUNTIF($E$2:E9159,"Outlook"),"")</f>
        <v/>
      </c>
      <c r="K9159">
        <f>IF(E9159="Domain",COUNTIF($E$2:E9159,"Domain"),"")</f>
        <v/>
      </c>
    </row>
    <row r="9160">
      <c r="A9160" s="2" t="n"/>
      <c r="B9160">
        <f>LOWER(TRIM(A9160))</f>
        <v/>
      </c>
      <c r="C9160">
        <f>IF(B9160="","",IFERROR(INDEX('Bad Patterns'!$A$2:$A$120,MATCH(1,INDEX(--ISNUMBER(SEARCH('Bad Patterns'!$A$2:$A$120,B9160)),0),0)),""))</f>
        <v/>
      </c>
      <c r="D9160">
        <f>IF(B9160="","",IF(C9160&lt;&gt;"","REMOVE","KEEP"))</f>
        <v/>
      </c>
      <c r="E9160">
        <f>IF(D9160&lt;&gt;"KEEP","",IF(RIGHT(B9160,10)="@gmail.com","Gmail",IF(OR(RIGHT(B9160,12)="@outlook.com",RIGHT(B9160,12)="@hotmail.com",RIGHT(B9160,9)="@live.com"),"Outlook","Domain")))</f>
        <v/>
      </c>
      <c r="F9160">
        <f>IF(B9160="","",IFERROR(RIGHT(B9160,LEN(B9160)-FIND("@",B9160)),""))</f>
        <v/>
      </c>
      <c r="G9160">
        <f>IF(D9160="KEEP",COUNTIF($D$2:D9160,"KEEP"),"")</f>
        <v/>
      </c>
      <c r="H9160">
        <f>IF(D9160="REMOVE",COUNTIF($D$2:D9160,"REMOVE"),"")</f>
        <v/>
      </c>
      <c r="I9160">
        <f>IF(E9160="Gmail",COUNTIF($E$2:E9160,"Gmail"),"")</f>
        <v/>
      </c>
      <c r="J9160">
        <f>IF(E9160="Outlook",COUNTIF($E$2:E9160,"Outlook"),"")</f>
        <v/>
      </c>
      <c r="K9160">
        <f>IF(E9160="Domain",COUNTIF($E$2:E9160,"Domain"),"")</f>
        <v/>
      </c>
    </row>
    <row r="9161">
      <c r="A9161" s="2" t="n"/>
      <c r="B9161">
        <f>LOWER(TRIM(A9161))</f>
        <v/>
      </c>
      <c r="C9161">
        <f>IF(B9161="","",IFERROR(INDEX('Bad Patterns'!$A$2:$A$120,MATCH(1,INDEX(--ISNUMBER(SEARCH('Bad Patterns'!$A$2:$A$120,B9161)),0),0)),""))</f>
        <v/>
      </c>
      <c r="D9161">
        <f>IF(B9161="","",IF(C9161&lt;&gt;"","REMOVE","KEEP"))</f>
        <v/>
      </c>
      <c r="E9161">
        <f>IF(D9161&lt;&gt;"KEEP","",IF(RIGHT(B9161,10)="@gmail.com","Gmail",IF(OR(RIGHT(B9161,12)="@outlook.com",RIGHT(B9161,12)="@hotmail.com",RIGHT(B9161,9)="@live.com"),"Outlook","Domain")))</f>
        <v/>
      </c>
      <c r="F9161">
        <f>IF(B9161="","",IFERROR(RIGHT(B9161,LEN(B9161)-FIND("@",B9161)),""))</f>
        <v/>
      </c>
      <c r="G9161">
        <f>IF(D9161="KEEP",COUNTIF($D$2:D9161,"KEEP"),"")</f>
        <v/>
      </c>
      <c r="H9161">
        <f>IF(D9161="REMOVE",COUNTIF($D$2:D9161,"REMOVE"),"")</f>
        <v/>
      </c>
      <c r="I9161">
        <f>IF(E9161="Gmail",COUNTIF($E$2:E9161,"Gmail"),"")</f>
        <v/>
      </c>
      <c r="J9161">
        <f>IF(E9161="Outlook",COUNTIF($E$2:E9161,"Outlook"),"")</f>
        <v/>
      </c>
      <c r="K9161">
        <f>IF(E9161="Domain",COUNTIF($E$2:E9161,"Domain"),"")</f>
        <v/>
      </c>
    </row>
    <row r="9162">
      <c r="A9162" s="2" t="n"/>
      <c r="B9162">
        <f>LOWER(TRIM(A9162))</f>
        <v/>
      </c>
      <c r="C9162">
        <f>IF(B9162="","",IFERROR(INDEX('Bad Patterns'!$A$2:$A$120,MATCH(1,INDEX(--ISNUMBER(SEARCH('Bad Patterns'!$A$2:$A$120,B9162)),0),0)),""))</f>
        <v/>
      </c>
      <c r="D9162">
        <f>IF(B9162="","",IF(C9162&lt;&gt;"","REMOVE","KEEP"))</f>
        <v/>
      </c>
      <c r="E9162">
        <f>IF(D9162&lt;&gt;"KEEP","",IF(RIGHT(B9162,10)="@gmail.com","Gmail",IF(OR(RIGHT(B9162,12)="@outlook.com",RIGHT(B9162,12)="@hotmail.com",RIGHT(B9162,9)="@live.com"),"Outlook","Domain")))</f>
        <v/>
      </c>
      <c r="F9162">
        <f>IF(B9162="","",IFERROR(RIGHT(B9162,LEN(B9162)-FIND("@",B9162)),""))</f>
        <v/>
      </c>
      <c r="G9162">
        <f>IF(D9162="KEEP",COUNTIF($D$2:D9162,"KEEP"),"")</f>
        <v/>
      </c>
      <c r="H9162">
        <f>IF(D9162="REMOVE",COUNTIF($D$2:D9162,"REMOVE"),"")</f>
        <v/>
      </c>
      <c r="I9162">
        <f>IF(E9162="Gmail",COUNTIF($E$2:E9162,"Gmail"),"")</f>
        <v/>
      </c>
      <c r="J9162">
        <f>IF(E9162="Outlook",COUNTIF($E$2:E9162,"Outlook"),"")</f>
        <v/>
      </c>
      <c r="K9162">
        <f>IF(E9162="Domain",COUNTIF($E$2:E9162,"Domain"),"")</f>
        <v/>
      </c>
    </row>
    <row r="9163">
      <c r="A9163" s="2" t="n"/>
      <c r="B9163">
        <f>LOWER(TRIM(A9163))</f>
        <v/>
      </c>
      <c r="C9163">
        <f>IF(B9163="","",IFERROR(INDEX('Bad Patterns'!$A$2:$A$120,MATCH(1,INDEX(--ISNUMBER(SEARCH('Bad Patterns'!$A$2:$A$120,B9163)),0),0)),""))</f>
        <v/>
      </c>
      <c r="D9163">
        <f>IF(B9163="","",IF(C9163&lt;&gt;"","REMOVE","KEEP"))</f>
        <v/>
      </c>
      <c r="E9163">
        <f>IF(D9163&lt;&gt;"KEEP","",IF(RIGHT(B9163,10)="@gmail.com","Gmail",IF(OR(RIGHT(B9163,12)="@outlook.com",RIGHT(B9163,12)="@hotmail.com",RIGHT(B9163,9)="@live.com"),"Outlook","Domain")))</f>
        <v/>
      </c>
      <c r="F9163">
        <f>IF(B9163="","",IFERROR(RIGHT(B9163,LEN(B9163)-FIND("@",B9163)),""))</f>
        <v/>
      </c>
      <c r="G9163">
        <f>IF(D9163="KEEP",COUNTIF($D$2:D9163,"KEEP"),"")</f>
        <v/>
      </c>
      <c r="H9163">
        <f>IF(D9163="REMOVE",COUNTIF($D$2:D9163,"REMOVE"),"")</f>
        <v/>
      </c>
      <c r="I9163">
        <f>IF(E9163="Gmail",COUNTIF($E$2:E9163,"Gmail"),"")</f>
        <v/>
      </c>
      <c r="J9163">
        <f>IF(E9163="Outlook",COUNTIF($E$2:E9163,"Outlook"),"")</f>
        <v/>
      </c>
      <c r="K9163">
        <f>IF(E9163="Domain",COUNTIF($E$2:E9163,"Domain"),"")</f>
        <v/>
      </c>
    </row>
    <row r="9164">
      <c r="A9164" s="2" t="n"/>
      <c r="B9164">
        <f>LOWER(TRIM(A9164))</f>
        <v/>
      </c>
      <c r="C9164">
        <f>IF(B9164="","",IFERROR(INDEX('Bad Patterns'!$A$2:$A$120,MATCH(1,INDEX(--ISNUMBER(SEARCH('Bad Patterns'!$A$2:$A$120,B9164)),0),0)),""))</f>
        <v/>
      </c>
      <c r="D9164">
        <f>IF(B9164="","",IF(C9164&lt;&gt;"","REMOVE","KEEP"))</f>
        <v/>
      </c>
      <c r="E9164">
        <f>IF(D9164&lt;&gt;"KEEP","",IF(RIGHT(B9164,10)="@gmail.com","Gmail",IF(OR(RIGHT(B9164,12)="@outlook.com",RIGHT(B9164,12)="@hotmail.com",RIGHT(B9164,9)="@live.com"),"Outlook","Domain")))</f>
        <v/>
      </c>
      <c r="F9164">
        <f>IF(B9164="","",IFERROR(RIGHT(B9164,LEN(B9164)-FIND("@",B9164)),""))</f>
        <v/>
      </c>
      <c r="G9164">
        <f>IF(D9164="KEEP",COUNTIF($D$2:D9164,"KEEP"),"")</f>
        <v/>
      </c>
      <c r="H9164">
        <f>IF(D9164="REMOVE",COUNTIF($D$2:D9164,"REMOVE"),"")</f>
        <v/>
      </c>
      <c r="I9164">
        <f>IF(E9164="Gmail",COUNTIF($E$2:E9164,"Gmail"),"")</f>
        <v/>
      </c>
      <c r="J9164">
        <f>IF(E9164="Outlook",COUNTIF($E$2:E9164,"Outlook"),"")</f>
        <v/>
      </c>
      <c r="K9164">
        <f>IF(E9164="Domain",COUNTIF($E$2:E9164,"Domain"),"")</f>
        <v/>
      </c>
    </row>
    <row r="9165">
      <c r="A9165" s="2" t="n"/>
      <c r="B9165">
        <f>LOWER(TRIM(A9165))</f>
        <v/>
      </c>
      <c r="C9165">
        <f>IF(B9165="","",IFERROR(INDEX('Bad Patterns'!$A$2:$A$120,MATCH(1,INDEX(--ISNUMBER(SEARCH('Bad Patterns'!$A$2:$A$120,B9165)),0),0)),""))</f>
        <v/>
      </c>
      <c r="D9165">
        <f>IF(B9165="","",IF(C9165&lt;&gt;"","REMOVE","KEEP"))</f>
        <v/>
      </c>
      <c r="E9165">
        <f>IF(D9165&lt;&gt;"KEEP","",IF(RIGHT(B9165,10)="@gmail.com","Gmail",IF(OR(RIGHT(B9165,12)="@outlook.com",RIGHT(B9165,12)="@hotmail.com",RIGHT(B9165,9)="@live.com"),"Outlook","Domain")))</f>
        <v/>
      </c>
      <c r="F9165">
        <f>IF(B9165="","",IFERROR(RIGHT(B9165,LEN(B9165)-FIND("@",B9165)),""))</f>
        <v/>
      </c>
      <c r="G9165">
        <f>IF(D9165="KEEP",COUNTIF($D$2:D9165,"KEEP"),"")</f>
        <v/>
      </c>
      <c r="H9165">
        <f>IF(D9165="REMOVE",COUNTIF($D$2:D9165,"REMOVE"),"")</f>
        <v/>
      </c>
      <c r="I9165">
        <f>IF(E9165="Gmail",COUNTIF($E$2:E9165,"Gmail"),"")</f>
        <v/>
      </c>
      <c r="J9165">
        <f>IF(E9165="Outlook",COUNTIF($E$2:E9165,"Outlook"),"")</f>
        <v/>
      </c>
      <c r="K9165">
        <f>IF(E9165="Domain",COUNTIF($E$2:E9165,"Domain"),"")</f>
        <v/>
      </c>
    </row>
    <row r="9166">
      <c r="A9166" s="2" t="n"/>
      <c r="B9166">
        <f>LOWER(TRIM(A9166))</f>
        <v/>
      </c>
      <c r="C9166">
        <f>IF(B9166="","",IFERROR(INDEX('Bad Patterns'!$A$2:$A$120,MATCH(1,INDEX(--ISNUMBER(SEARCH('Bad Patterns'!$A$2:$A$120,B9166)),0),0)),""))</f>
        <v/>
      </c>
      <c r="D9166">
        <f>IF(B9166="","",IF(C9166&lt;&gt;"","REMOVE","KEEP"))</f>
        <v/>
      </c>
      <c r="E9166">
        <f>IF(D9166&lt;&gt;"KEEP","",IF(RIGHT(B9166,10)="@gmail.com","Gmail",IF(OR(RIGHT(B9166,12)="@outlook.com",RIGHT(B9166,12)="@hotmail.com",RIGHT(B9166,9)="@live.com"),"Outlook","Domain")))</f>
        <v/>
      </c>
      <c r="F9166">
        <f>IF(B9166="","",IFERROR(RIGHT(B9166,LEN(B9166)-FIND("@",B9166)),""))</f>
        <v/>
      </c>
      <c r="G9166">
        <f>IF(D9166="KEEP",COUNTIF($D$2:D9166,"KEEP"),"")</f>
        <v/>
      </c>
      <c r="H9166">
        <f>IF(D9166="REMOVE",COUNTIF($D$2:D9166,"REMOVE"),"")</f>
        <v/>
      </c>
      <c r="I9166">
        <f>IF(E9166="Gmail",COUNTIF($E$2:E9166,"Gmail"),"")</f>
        <v/>
      </c>
      <c r="J9166">
        <f>IF(E9166="Outlook",COUNTIF($E$2:E9166,"Outlook"),"")</f>
        <v/>
      </c>
      <c r="K9166">
        <f>IF(E9166="Domain",COUNTIF($E$2:E9166,"Domain"),"")</f>
        <v/>
      </c>
    </row>
    <row r="9167">
      <c r="A9167" s="2" t="n"/>
      <c r="B9167">
        <f>LOWER(TRIM(A9167))</f>
        <v/>
      </c>
      <c r="C9167">
        <f>IF(B9167="","",IFERROR(INDEX('Bad Patterns'!$A$2:$A$120,MATCH(1,INDEX(--ISNUMBER(SEARCH('Bad Patterns'!$A$2:$A$120,B9167)),0),0)),""))</f>
        <v/>
      </c>
      <c r="D9167">
        <f>IF(B9167="","",IF(C9167&lt;&gt;"","REMOVE","KEEP"))</f>
        <v/>
      </c>
      <c r="E9167">
        <f>IF(D9167&lt;&gt;"KEEP","",IF(RIGHT(B9167,10)="@gmail.com","Gmail",IF(OR(RIGHT(B9167,12)="@outlook.com",RIGHT(B9167,12)="@hotmail.com",RIGHT(B9167,9)="@live.com"),"Outlook","Domain")))</f>
        <v/>
      </c>
      <c r="F9167">
        <f>IF(B9167="","",IFERROR(RIGHT(B9167,LEN(B9167)-FIND("@",B9167)),""))</f>
        <v/>
      </c>
      <c r="G9167">
        <f>IF(D9167="KEEP",COUNTIF($D$2:D9167,"KEEP"),"")</f>
        <v/>
      </c>
      <c r="H9167">
        <f>IF(D9167="REMOVE",COUNTIF($D$2:D9167,"REMOVE"),"")</f>
        <v/>
      </c>
      <c r="I9167">
        <f>IF(E9167="Gmail",COUNTIF($E$2:E9167,"Gmail"),"")</f>
        <v/>
      </c>
      <c r="J9167">
        <f>IF(E9167="Outlook",COUNTIF($E$2:E9167,"Outlook"),"")</f>
        <v/>
      </c>
      <c r="K9167">
        <f>IF(E9167="Domain",COUNTIF($E$2:E9167,"Domain"),"")</f>
        <v/>
      </c>
    </row>
    <row r="9168">
      <c r="A9168" s="2" t="n"/>
      <c r="B9168">
        <f>LOWER(TRIM(A9168))</f>
        <v/>
      </c>
      <c r="C9168">
        <f>IF(B9168="","",IFERROR(INDEX('Bad Patterns'!$A$2:$A$120,MATCH(1,INDEX(--ISNUMBER(SEARCH('Bad Patterns'!$A$2:$A$120,B9168)),0),0)),""))</f>
        <v/>
      </c>
      <c r="D9168">
        <f>IF(B9168="","",IF(C9168&lt;&gt;"","REMOVE","KEEP"))</f>
        <v/>
      </c>
      <c r="E9168">
        <f>IF(D9168&lt;&gt;"KEEP","",IF(RIGHT(B9168,10)="@gmail.com","Gmail",IF(OR(RIGHT(B9168,12)="@outlook.com",RIGHT(B9168,12)="@hotmail.com",RIGHT(B9168,9)="@live.com"),"Outlook","Domain")))</f>
        <v/>
      </c>
      <c r="F9168">
        <f>IF(B9168="","",IFERROR(RIGHT(B9168,LEN(B9168)-FIND("@",B9168)),""))</f>
        <v/>
      </c>
      <c r="G9168">
        <f>IF(D9168="KEEP",COUNTIF($D$2:D9168,"KEEP"),"")</f>
        <v/>
      </c>
      <c r="H9168">
        <f>IF(D9168="REMOVE",COUNTIF($D$2:D9168,"REMOVE"),"")</f>
        <v/>
      </c>
      <c r="I9168">
        <f>IF(E9168="Gmail",COUNTIF($E$2:E9168,"Gmail"),"")</f>
        <v/>
      </c>
      <c r="J9168">
        <f>IF(E9168="Outlook",COUNTIF($E$2:E9168,"Outlook"),"")</f>
        <v/>
      </c>
      <c r="K9168">
        <f>IF(E9168="Domain",COUNTIF($E$2:E9168,"Domain"),"")</f>
        <v/>
      </c>
    </row>
    <row r="9169">
      <c r="A9169" s="2" t="n"/>
      <c r="B9169">
        <f>LOWER(TRIM(A9169))</f>
        <v/>
      </c>
      <c r="C9169">
        <f>IF(B9169="","",IFERROR(INDEX('Bad Patterns'!$A$2:$A$120,MATCH(1,INDEX(--ISNUMBER(SEARCH('Bad Patterns'!$A$2:$A$120,B9169)),0),0)),""))</f>
        <v/>
      </c>
      <c r="D9169">
        <f>IF(B9169="","",IF(C9169&lt;&gt;"","REMOVE","KEEP"))</f>
        <v/>
      </c>
      <c r="E9169">
        <f>IF(D9169&lt;&gt;"KEEP","",IF(RIGHT(B9169,10)="@gmail.com","Gmail",IF(OR(RIGHT(B9169,12)="@outlook.com",RIGHT(B9169,12)="@hotmail.com",RIGHT(B9169,9)="@live.com"),"Outlook","Domain")))</f>
        <v/>
      </c>
      <c r="F9169">
        <f>IF(B9169="","",IFERROR(RIGHT(B9169,LEN(B9169)-FIND("@",B9169)),""))</f>
        <v/>
      </c>
      <c r="G9169">
        <f>IF(D9169="KEEP",COUNTIF($D$2:D9169,"KEEP"),"")</f>
        <v/>
      </c>
      <c r="H9169">
        <f>IF(D9169="REMOVE",COUNTIF($D$2:D9169,"REMOVE"),"")</f>
        <v/>
      </c>
      <c r="I9169">
        <f>IF(E9169="Gmail",COUNTIF($E$2:E9169,"Gmail"),"")</f>
        <v/>
      </c>
      <c r="J9169">
        <f>IF(E9169="Outlook",COUNTIF($E$2:E9169,"Outlook"),"")</f>
        <v/>
      </c>
      <c r="K9169">
        <f>IF(E9169="Domain",COUNTIF($E$2:E9169,"Domain"),"")</f>
        <v/>
      </c>
    </row>
    <row r="9170">
      <c r="A9170" s="2" t="n"/>
      <c r="B9170">
        <f>LOWER(TRIM(A9170))</f>
        <v/>
      </c>
      <c r="C9170">
        <f>IF(B9170="","",IFERROR(INDEX('Bad Patterns'!$A$2:$A$120,MATCH(1,INDEX(--ISNUMBER(SEARCH('Bad Patterns'!$A$2:$A$120,B9170)),0),0)),""))</f>
        <v/>
      </c>
      <c r="D9170">
        <f>IF(B9170="","",IF(C9170&lt;&gt;"","REMOVE","KEEP"))</f>
        <v/>
      </c>
      <c r="E9170">
        <f>IF(D9170&lt;&gt;"KEEP","",IF(RIGHT(B9170,10)="@gmail.com","Gmail",IF(OR(RIGHT(B9170,12)="@outlook.com",RIGHT(B9170,12)="@hotmail.com",RIGHT(B9170,9)="@live.com"),"Outlook","Domain")))</f>
        <v/>
      </c>
      <c r="F9170">
        <f>IF(B9170="","",IFERROR(RIGHT(B9170,LEN(B9170)-FIND("@",B9170)),""))</f>
        <v/>
      </c>
      <c r="G9170">
        <f>IF(D9170="KEEP",COUNTIF($D$2:D9170,"KEEP"),"")</f>
        <v/>
      </c>
      <c r="H9170">
        <f>IF(D9170="REMOVE",COUNTIF($D$2:D9170,"REMOVE"),"")</f>
        <v/>
      </c>
      <c r="I9170">
        <f>IF(E9170="Gmail",COUNTIF($E$2:E9170,"Gmail"),"")</f>
        <v/>
      </c>
      <c r="J9170">
        <f>IF(E9170="Outlook",COUNTIF($E$2:E9170,"Outlook"),"")</f>
        <v/>
      </c>
      <c r="K9170">
        <f>IF(E9170="Domain",COUNTIF($E$2:E9170,"Domain"),"")</f>
        <v/>
      </c>
    </row>
    <row r="9171">
      <c r="A9171" s="2" t="n"/>
      <c r="B9171">
        <f>LOWER(TRIM(A9171))</f>
        <v/>
      </c>
      <c r="C9171">
        <f>IF(B9171="","",IFERROR(INDEX('Bad Patterns'!$A$2:$A$120,MATCH(1,INDEX(--ISNUMBER(SEARCH('Bad Patterns'!$A$2:$A$120,B9171)),0),0)),""))</f>
        <v/>
      </c>
      <c r="D9171">
        <f>IF(B9171="","",IF(C9171&lt;&gt;"","REMOVE","KEEP"))</f>
        <v/>
      </c>
      <c r="E9171">
        <f>IF(D9171&lt;&gt;"KEEP","",IF(RIGHT(B9171,10)="@gmail.com","Gmail",IF(OR(RIGHT(B9171,12)="@outlook.com",RIGHT(B9171,12)="@hotmail.com",RIGHT(B9171,9)="@live.com"),"Outlook","Domain")))</f>
        <v/>
      </c>
      <c r="F9171">
        <f>IF(B9171="","",IFERROR(RIGHT(B9171,LEN(B9171)-FIND("@",B9171)),""))</f>
        <v/>
      </c>
      <c r="G9171">
        <f>IF(D9171="KEEP",COUNTIF($D$2:D9171,"KEEP"),"")</f>
        <v/>
      </c>
      <c r="H9171">
        <f>IF(D9171="REMOVE",COUNTIF($D$2:D9171,"REMOVE"),"")</f>
        <v/>
      </c>
      <c r="I9171">
        <f>IF(E9171="Gmail",COUNTIF($E$2:E9171,"Gmail"),"")</f>
        <v/>
      </c>
      <c r="J9171">
        <f>IF(E9171="Outlook",COUNTIF($E$2:E9171,"Outlook"),"")</f>
        <v/>
      </c>
      <c r="K9171">
        <f>IF(E9171="Domain",COUNTIF($E$2:E9171,"Domain"),"")</f>
        <v/>
      </c>
    </row>
    <row r="9172">
      <c r="A9172" s="2" t="n"/>
      <c r="B9172">
        <f>LOWER(TRIM(A9172))</f>
        <v/>
      </c>
      <c r="C9172">
        <f>IF(B9172="","",IFERROR(INDEX('Bad Patterns'!$A$2:$A$120,MATCH(1,INDEX(--ISNUMBER(SEARCH('Bad Patterns'!$A$2:$A$120,B9172)),0),0)),""))</f>
        <v/>
      </c>
      <c r="D9172">
        <f>IF(B9172="","",IF(C9172&lt;&gt;"","REMOVE","KEEP"))</f>
        <v/>
      </c>
      <c r="E9172">
        <f>IF(D9172&lt;&gt;"KEEP","",IF(RIGHT(B9172,10)="@gmail.com","Gmail",IF(OR(RIGHT(B9172,12)="@outlook.com",RIGHT(B9172,12)="@hotmail.com",RIGHT(B9172,9)="@live.com"),"Outlook","Domain")))</f>
        <v/>
      </c>
      <c r="F9172">
        <f>IF(B9172="","",IFERROR(RIGHT(B9172,LEN(B9172)-FIND("@",B9172)),""))</f>
        <v/>
      </c>
      <c r="G9172">
        <f>IF(D9172="KEEP",COUNTIF($D$2:D9172,"KEEP"),"")</f>
        <v/>
      </c>
      <c r="H9172">
        <f>IF(D9172="REMOVE",COUNTIF($D$2:D9172,"REMOVE"),"")</f>
        <v/>
      </c>
      <c r="I9172">
        <f>IF(E9172="Gmail",COUNTIF($E$2:E9172,"Gmail"),"")</f>
        <v/>
      </c>
      <c r="J9172">
        <f>IF(E9172="Outlook",COUNTIF($E$2:E9172,"Outlook"),"")</f>
        <v/>
      </c>
      <c r="K9172">
        <f>IF(E9172="Domain",COUNTIF($E$2:E9172,"Domain"),"")</f>
        <v/>
      </c>
    </row>
    <row r="9173">
      <c r="A9173" s="2" t="n"/>
      <c r="B9173">
        <f>LOWER(TRIM(A9173))</f>
        <v/>
      </c>
      <c r="C9173">
        <f>IF(B9173="","",IFERROR(INDEX('Bad Patterns'!$A$2:$A$120,MATCH(1,INDEX(--ISNUMBER(SEARCH('Bad Patterns'!$A$2:$A$120,B9173)),0),0)),""))</f>
        <v/>
      </c>
      <c r="D9173">
        <f>IF(B9173="","",IF(C9173&lt;&gt;"","REMOVE","KEEP"))</f>
        <v/>
      </c>
      <c r="E9173">
        <f>IF(D9173&lt;&gt;"KEEP","",IF(RIGHT(B9173,10)="@gmail.com","Gmail",IF(OR(RIGHT(B9173,12)="@outlook.com",RIGHT(B9173,12)="@hotmail.com",RIGHT(B9173,9)="@live.com"),"Outlook","Domain")))</f>
        <v/>
      </c>
      <c r="F9173">
        <f>IF(B9173="","",IFERROR(RIGHT(B9173,LEN(B9173)-FIND("@",B9173)),""))</f>
        <v/>
      </c>
      <c r="G9173">
        <f>IF(D9173="KEEP",COUNTIF($D$2:D9173,"KEEP"),"")</f>
        <v/>
      </c>
      <c r="H9173">
        <f>IF(D9173="REMOVE",COUNTIF($D$2:D9173,"REMOVE"),"")</f>
        <v/>
      </c>
      <c r="I9173">
        <f>IF(E9173="Gmail",COUNTIF($E$2:E9173,"Gmail"),"")</f>
        <v/>
      </c>
      <c r="J9173">
        <f>IF(E9173="Outlook",COUNTIF($E$2:E9173,"Outlook"),"")</f>
        <v/>
      </c>
      <c r="K9173">
        <f>IF(E9173="Domain",COUNTIF($E$2:E9173,"Domain"),"")</f>
        <v/>
      </c>
    </row>
    <row r="9174">
      <c r="A9174" s="2" t="n"/>
      <c r="B9174">
        <f>LOWER(TRIM(A9174))</f>
        <v/>
      </c>
      <c r="C9174">
        <f>IF(B9174="","",IFERROR(INDEX('Bad Patterns'!$A$2:$A$120,MATCH(1,INDEX(--ISNUMBER(SEARCH('Bad Patterns'!$A$2:$A$120,B9174)),0),0)),""))</f>
        <v/>
      </c>
      <c r="D9174">
        <f>IF(B9174="","",IF(C9174&lt;&gt;"","REMOVE","KEEP"))</f>
        <v/>
      </c>
      <c r="E9174">
        <f>IF(D9174&lt;&gt;"KEEP","",IF(RIGHT(B9174,10)="@gmail.com","Gmail",IF(OR(RIGHT(B9174,12)="@outlook.com",RIGHT(B9174,12)="@hotmail.com",RIGHT(B9174,9)="@live.com"),"Outlook","Domain")))</f>
        <v/>
      </c>
      <c r="F9174">
        <f>IF(B9174="","",IFERROR(RIGHT(B9174,LEN(B9174)-FIND("@",B9174)),""))</f>
        <v/>
      </c>
      <c r="G9174">
        <f>IF(D9174="KEEP",COUNTIF($D$2:D9174,"KEEP"),"")</f>
        <v/>
      </c>
      <c r="H9174">
        <f>IF(D9174="REMOVE",COUNTIF($D$2:D9174,"REMOVE"),"")</f>
        <v/>
      </c>
      <c r="I9174">
        <f>IF(E9174="Gmail",COUNTIF($E$2:E9174,"Gmail"),"")</f>
        <v/>
      </c>
      <c r="J9174">
        <f>IF(E9174="Outlook",COUNTIF($E$2:E9174,"Outlook"),"")</f>
        <v/>
      </c>
      <c r="K9174">
        <f>IF(E9174="Domain",COUNTIF($E$2:E9174,"Domain"),"")</f>
        <v/>
      </c>
    </row>
    <row r="9175">
      <c r="A9175" s="2" t="n"/>
      <c r="B9175">
        <f>LOWER(TRIM(A9175))</f>
        <v/>
      </c>
      <c r="C9175">
        <f>IF(B9175="","",IFERROR(INDEX('Bad Patterns'!$A$2:$A$120,MATCH(1,INDEX(--ISNUMBER(SEARCH('Bad Patterns'!$A$2:$A$120,B9175)),0),0)),""))</f>
        <v/>
      </c>
      <c r="D9175">
        <f>IF(B9175="","",IF(C9175&lt;&gt;"","REMOVE","KEEP"))</f>
        <v/>
      </c>
      <c r="E9175">
        <f>IF(D9175&lt;&gt;"KEEP","",IF(RIGHT(B9175,10)="@gmail.com","Gmail",IF(OR(RIGHT(B9175,12)="@outlook.com",RIGHT(B9175,12)="@hotmail.com",RIGHT(B9175,9)="@live.com"),"Outlook","Domain")))</f>
        <v/>
      </c>
      <c r="F9175">
        <f>IF(B9175="","",IFERROR(RIGHT(B9175,LEN(B9175)-FIND("@",B9175)),""))</f>
        <v/>
      </c>
      <c r="G9175">
        <f>IF(D9175="KEEP",COUNTIF($D$2:D9175,"KEEP"),"")</f>
        <v/>
      </c>
      <c r="H9175">
        <f>IF(D9175="REMOVE",COUNTIF($D$2:D9175,"REMOVE"),"")</f>
        <v/>
      </c>
      <c r="I9175">
        <f>IF(E9175="Gmail",COUNTIF($E$2:E9175,"Gmail"),"")</f>
        <v/>
      </c>
      <c r="J9175">
        <f>IF(E9175="Outlook",COUNTIF($E$2:E9175,"Outlook"),"")</f>
        <v/>
      </c>
      <c r="K9175">
        <f>IF(E9175="Domain",COUNTIF($E$2:E9175,"Domain"),"")</f>
        <v/>
      </c>
    </row>
    <row r="9176">
      <c r="A9176" s="2" t="n"/>
      <c r="B9176">
        <f>LOWER(TRIM(A9176))</f>
        <v/>
      </c>
      <c r="C9176">
        <f>IF(B9176="","",IFERROR(INDEX('Bad Patterns'!$A$2:$A$120,MATCH(1,INDEX(--ISNUMBER(SEARCH('Bad Patterns'!$A$2:$A$120,B9176)),0),0)),""))</f>
        <v/>
      </c>
      <c r="D9176">
        <f>IF(B9176="","",IF(C9176&lt;&gt;"","REMOVE","KEEP"))</f>
        <v/>
      </c>
      <c r="E9176">
        <f>IF(D9176&lt;&gt;"KEEP","",IF(RIGHT(B9176,10)="@gmail.com","Gmail",IF(OR(RIGHT(B9176,12)="@outlook.com",RIGHT(B9176,12)="@hotmail.com",RIGHT(B9176,9)="@live.com"),"Outlook","Domain")))</f>
        <v/>
      </c>
      <c r="F9176">
        <f>IF(B9176="","",IFERROR(RIGHT(B9176,LEN(B9176)-FIND("@",B9176)),""))</f>
        <v/>
      </c>
      <c r="G9176">
        <f>IF(D9176="KEEP",COUNTIF($D$2:D9176,"KEEP"),"")</f>
        <v/>
      </c>
      <c r="H9176">
        <f>IF(D9176="REMOVE",COUNTIF($D$2:D9176,"REMOVE"),"")</f>
        <v/>
      </c>
      <c r="I9176">
        <f>IF(E9176="Gmail",COUNTIF($E$2:E9176,"Gmail"),"")</f>
        <v/>
      </c>
      <c r="J9176">
        <f>IF(E9176="Outlook",COUNTIF($E$2:E9176,"Outlook"),"")</f>
        <v/>
      </c>
      <c r="K9176">
        <f>IF(E9176="Domain",COUNTIF($E$2:E9176,"Domain"),"")</f>
        <v/>
      </c>
    </row>
    <row r="9177">
      <c r="A9177" s="2" t="n"/>
      <c r="B9177">
        <f>LOWER(TRIM(A9177))</f>
        <v/>
      </c>
      <c r="C9177">
        <f>IF(B9177="","",IFERROR(INDEX('Bad Patterns'!$A$2:$A$120,MATCH(1,INDEX(--ISNUMBER(SEARCH('Bad Patterns'!$A$2:$A$120,B9177)),0),0)),""))</f>
        <v/>
      </c>
      <c r="D9177">
        <f>IF(B9177="","",IF(C9177&lt;&gt;"","REMOVE","KEEP"))</f>
        <v/>
      </c>
      <c r="E9177">
        <f>IF(D9177&lt;&gt;"KEEP","",IF(RIGHT(B9177,10)="@gmail.com","Gmail",IF(OR(RIGHT(B9177,12)="@outlook.com",RIGHT(B9177,12)="@hotmail.com",RIGHT(B9177,9)="@live.com"),"Outlook","Domain")))</f>
        <v/>
      </c>
      <c r="F9177">
        <f>IF(B9177="","",IFERROR(RIGHT(B9177,LEN(B9177)-FIND("@",B9177)),""))</f>
        <v/>
      </c>
      <c r="G9177">
        <f>IF(D9177="KEEP",COUNTIF($D$2:D9177,"KEEP"),"")</f>
        <v/>
      </c>
      <c r="H9177">
        <f>IF(D9177="REMOVE",COUNTIF($D$2:D9177,"REMOVE"),"")</f>
        <v/>
      </c>
      <c r="I9177">
        <f>IF(E9177="Gmail",COUNTIF($E$2:E9177,"Gmail"),"")</f>
        <v/>
      </c>
      <c r="J9177">
        <f>IF(E9177="Outlook",COUNTIF($E$2:E9177,"Outlook"),"")</f>
        <v/>
      </c>
      <c r="K9177">
        <f>IF(E9177="Domain",COUNTIF($E$2:E9177,"Domain"),"")</f>
        <v/>
      </c>
    </row>
    <row r="9178">
      <c r="A9178" s="2" t="n"/>
      <c r="B9178">
        <f>LOWER(TRIM(A9178))</f>
        <v/>
      </c>
      <c r="C9178">
        <f>IF(B9178="","",IFERROR(INDEX('Bad Patterns'!$A$2:$A$120,MATCH(1,INDEX(--ISNUMBER(SEARCH('Bad Patterns'!$A$2:$A$120,B9178)),0),0)),""))</f>
        <v/>
      </c>
      <c r="D9178">
        <f>IF(B9178="","",IF(C9178&lt;&gt;"","REMOVE","KEEP"))</f>
        <v/>
      </c>
      <c r="E9178">
        <f>IF(D9178&lt;&gt;"KEEP","",IF(RIGHT(B9178,10)="@gmail.com","Gmail",IF(OR(RIGHT(B9178,12)="@outlook.com",RIGHT(B9178,12)="@hotmail.com",RIGHT(B9178,9)="@live.com"),"Outlook","Domain")))</f>
        <v/>
      </c>
      <c r="F9178">
        <f>IF(B9178="","",IFERROR(RIGHT(B9178,LEN(B9178)-FIND("@",B9178)),""))</f>
        <v/>
      </c>
      <c r="G9178">
        <f>IF(D9178="KEEP",COUNTIF($D$2:D9178,"KEEP"),"")</f>
        <v/>
      </c>
      <c r="H9178">
        <f>IF(D9178="REMOVE",COUNTIF($D$2:D9178,"REMOVE"),"")</f>
        <v/>
      </c>
      <c r="I9178">
        <f>IF(E9178="Gmail",COUNTIF($E$2:E9178,"Gmail"),"")</f>
        <v/>
      </c>
      <c r="J9178">
        <f>IF(E9178="Outlook",COUNTIF($E$2:E9178,"Outlook"),"")</f>
        <v/>
      </c>
      <c r="K9178">
        <f>IF(E9178="Domain",COUNTIF($E$2:E9178,"Domain"),"")</f>
        <v/>
      </c>
    </row>
    <row r="9179">
      <c r="A9179" s="2" t="n"/>
      <c r="B9179">
        <f>LOWER(TRIM(A9179))</f>
        <v/>
      </c>
      <c r="C9179">
        <f>IF(B9179="","",IFERROR(INDEX('Bad Patterns'!$A$2:$A$120,MATCH(1,INDEX(--ISNUMBER(SEARCH('Bad Patterns'!$A$2:$A$120,B9179)),0),0)),""))</f>
        <v/>
      </c>
      <c r="D9179">
        <f>IF(B9179="","",IF(C9179&lt;&gt;"","REMOVE","KEEP"))</f>
        <v/>
      </c>
      <c r="E9179">
        <f>IF(D9179&lt;&gt;"KEEP","",IF(RIGHT(B9179,10)="@gmail.com","Gmail",IF(OR(RIGHT(B9179,12)="@outlook.com",RIGHT(B9179,12)="@hotmail.com",RIGHT(B9179,9)="@live.com"),"Outlook","Domain")))</f>
        <v/>
      </c>
      <c r="F9179">
        <f>IF(B9179="","",IFERROR(RIGHT(B9179,LEN(B9179)-FIND("@",B9179)),""))</f>
        <v/>
      </c>
      <c r="G9179">
        <f>IF(D9179="KEEP",COUNTIF($D$2:D9179,"KEEP"),"")</f>
        <v/>
      </c>
      <c r="H9179">
        <f>IF(D9179="REMOVE",COUNTIF($D$2:D9179,"REMOVE"),"")</f>
        <v/>
      </c>
      <c r="I9179">
        <f>IF(E9179="Gmail",COUNTIF($E$2:E9179,"Gmail"),"")</f>
        <v/>
      </c>
      <c r="J9179">
        <f>IF(E9179="Outlook",COUNTIF($E$2:E9179,"Outlook"),"")</f>
        <v/>
      </c>
      <c r="K9179">
        <f>IF(E9179="Domain",COUNTIF($E$2:E9179,"Domain"),"")</f>
        <v/>
      </c>
    </row>
    <row r="9180">
      <c r="A9180" s="2" t="n"/>
      <c r="B9180">
        <f>LOWER(TRIM(A9180))</f>
        <v/>
      </c>
      <c r="C9180">
        <f>IF(B9180="","",IFERROR(INDEX('Bad Patterns'!$A$2:$A$120,MATCH(1,INDEX(--ISNUMBER(SEARCH('Bad Patterns'!$A$2:$A$120,B9180)),0),0)),""))</f>
        <v/>
      </c>
      <c r="D9180">
        <f>IF(B9180="","",IF(C9180&lt;&gt;"","REMOVE","KEEP"))</f>
        <v/>
      </c>
      <c r="E9180">
        <f>IF(D9180&lt;&gt;"KEEP","",IF(RIGHT(B9180,10)="@gmail.com","Gmail",IF(OR(RIGHT(B9180,12)="@outlook.com",RIGHT(B9180,12)="@hotmail.com",RIGHT(B9180,9)="@live.com"),"Outlook","Domain")))</f>
        <v/>
      </c>
      <c r="F9180">
        <f>IF(B9180="","",IFERROR(RIGHT(B9180,LEN(B9180)-FIND("@",B9180)),""))</f>
        <v/>
      </c>
      <c r="G9180">
        <f>IF(D9180="KEEP",COUNTIF($D$2:D9180,"KEEP"),"")</f>
        <v/>
      </c>
      <c r="H9180">
        <f>IF(D9180="REMOVE",COUNTIF($D$2:D9180,"REMOVE"),"")</f>
        <v/>
      </c>
      <c r="I9180">
        <f>IF(E9180="Gmail",COUNTIF($E$2:E9180,"Gmail"),"")</f>
        <v/>
      </c>
      <c r="J9180">
        <f>IF(E9180="Outlook",COUNTIF($E$2:E9180,"Outlook"),"")</f>
        <v/>
      </c>
      <c r="K9180">
        <f>IF(E9180="Domain",COUNTIF($E$2:E9180,"Domain"),"")</f>
        <v/>
      </c>
    </row>
    <row r="9181">
      <c r="A9181" s="2" t="n"/>
      <c r="B9181">
        <f>LOWER(TRIM(A9181))</f>
        <v/>
      </c>
      <c r="C9181">
        <f>IF(B9181="","",IFERROR(INDEX('Bad Patterns'!$A$2:$A$120,MATCH(1,INDEX(--ISNUMBER(SEARCH('Bad Patterns'!$A$2:$A$120,B9181)),0),0)),""))</f>
        <v/>
      </c>
      <c r="D9181">
        <f>IF(B9181="","",IF(C9181&lt;&gt;"","REMOVE","KEEP"))</f>
        <v/>
      </c>
      <c r="E9181">
        <f>IF(D9181&lt;&gt;"KEEP","",IF(RIGHT(B9181,10)="@gmail.com","Gmail",IF(OR(RIGHT(B9181,12)="@outlook.com",RIGHT(B9181,12)="@hotmail.com",RIGHT(B9181,9)="@live.com"),"Outlook","Domain")))</f>
        <v/>
      </c>
      <c r="F9181">
        <f>IF(B9181="","",IFERROR(RIGHT(B9181,LEN(B9181)-FIND("@",B9181)),""))</f>
        <v/>
      </c>
      <c r="G9181">
        <f>IF(D9181="KEEP",COUNTIF($D$2:D9181,"KEEP"),"")</f>
        <v/>
      </c>
      <c r="H9181">
        <f>IF(D9181="REMOVE",COUNTIF($D$2:D9181,"REMOVE"),"")</f>
        <v/>
      </c>
      <c r="I9181">
        <f>IF(E9181="Gmail",COUNTIF($E$2:E9181,"Gmail"),"")</f>
        <v/>
      </c>
      <c r="J9181">
        <f>IF(E9181="Outlook",COUNTIF($E$2:E9181,"Outlook"),"")</f>
        <v/>
      </c>
      <c r="K9181">
        <f>IF(E9181="Domain",COUNTIF($E$2:E9181,"Domain"),"")</f>
        <v/>
      </c>
    </row>
    <row r="9182">
      <c r="A9182" s="2" t="n"/>
      <c r="B9182">
        <f>LOWER(TRIM(A9182))</f>
        <v/>
      </c>
      <c r="C9182">
        <f>IF(B9182="","",IFERROR(INDEX('Bad Patterns'!$A$2:$A$120,MATCH(1,INDEX(--ISNUMBER(SEARCH('Bad Patterns'!$A$2:$A$120,B9182)),0),0)),""))</f>
        <v/>
      </c>
      <c r="D9182">
        <f>IF(B9182="","",IF(C9182&lt;&gt;"","REMOVE","KEEP"))</f>
        <v/>
      </c>
      <c r="E9182">
        <f>IF(D9182&lt;&gt;"KEEP","",IF(RIGHT(B9182,10)="@gmail.com","Gmail",IF(OR(RIGHT(B9182,12)="@outlook.com",RIGHT(B9182,12)="@hotmail.com",RIGHT(B9182,9)="@live.com"),"Outlook","Domain")))</f>
        <v/>
      </c>
      <c r="F9182">
        <f>IF(B9182="","",IFERROR(RIGHT(B9182,LEN(B9182)-FIND("@",B9182)),""))</f>
        <v/>
      </c>
      <c r="G9182">
        <f>IF(D9182="KEEP",COUNTIF($D$2:D9182,"KEEP"),"")</f>
        <v/>
      </c>
      <c r="H9182">
        <f>IF(D9182="REMOVE",COUNTIF($D$2:D9182,"REMOVE"),"")</f>
        <v/>
      </c>
      <c r="I9182">
        <f>IF(E9182="Gmail",COUNTIF($E$2:E9182,"Gmail"),"")</f>
        <v/>
      </c>
      <c r="J9182">
        <f>IF(E9182="Outlook",COUNTIF($E$2:E9182,"Outlook"),"")</f>
        <v/>
      </c>
      <c r="K9182">
        <f>IF(E9182="Domain",COUNTIF($E$2:E9182,"Domain"),"")</f>
        <v/>
      </c>
    </row>
    <row r="9183">
      <c r="A9183" s="2" t="n"/>
      <c r="B9183">
        <f>LOWER(TRIM(A9183))</f>
        <v/>
      </c>
      <c r="C9183">
        <f>IF(B9183="","",IFERROR(INDEX('Bad Patterns'!$A$2:$A$120,MATCH(1,INDEX(--ISNUMBER(SEARCH('Bad Patterns'!$A$2:$A$120,B9183)),0),0)),""))</f>
        <v/>
      </c>
      <c r="D9183">
        <f>IF(B9183="","",IF(C9183&lt;&gt;"","REMOVE","KEEP"))</f>
        <v/>
      </c>
      <c r="E9183">
        <f>IF(D9183&lt;&gt;"KEEP","",IF(RIGHT(B9183,10)="@gmail.com","Gmail",IF(OR(RIGHT(B9183,12)="@outlook.com",RIGHT(B9183,12)="@hotmail.com",RIGHT(B9183,9)="@live.com"),"Outlook","Domain")))</f>
        <v/>
      </c>
      <c r="F9183">
        <f>IF(B9183="","",IFERROR(RIGHT(B9183,LEN(B9183)-FIND("@",B9183)),""))</f>
        <v/>
      </c>
      <c r="G9183">
        <f>IF(D9183="KEEP",COUNTIF($D$2:D9183,"KEEP"),"")</f>
        <v/>
      </c>
      <c r="H9183">
        <f>IF(D9183="REMOVE",COUNTIF($D$2:D9183,"REMOVE"),"")</f>
        <v/>
      </c>
      <c r="I9183">
        <f>IF(E9183="Gmail",COUNTIF($E$2:E9183,"Gmail"),"")</f>
        <v/>
      </c>
      <c r="J9183">
        <f>IF(E9183="Outlook",COUNTIF($E$2:E9183,"Outlook"),"")</f>
        <v/>
      </c>
      <c r="K9183">
        <f>IF(E9183="Domain",COUNTIF($E$2:E9183,"Domain"),"")</f>
        <v/>
      </c>
    </row>
    <row r="9184">
      <c r="A9184" s="2" t="n"/>
      <c r="B9184">
        <f>LOWER(TRIM(A9184))</f>
        <v/>
      </c>
      <c r="C9184">
        <f>IF(B9184="","",IFERROR(INDEX('Bad Patterns'!$A$2:$A$120,MATCH(1,INDEX(--ISNUMBER(SEARCH('Bad Patterns'!$A$2:$A$120,B9184)),0),0)),""))</f>
        <v/>
      </c>
      <c r="D9184">
        <f>IF(B9184="","",IF(C9184&lt;&gt;"","REMOVE","KEEP"))</f>
        <v/>
      </c>
      <c r="E9184">
        <f>IF(D9184&lt;&gt;"KEEP","",IF(RIGHT(B9184,10)="@gmail.com","Gmail",IF(OR(RIGHT(B9184,12)="@outlook.com",RIGHT(B9184,12)="@hotmail.com",RIGHT(B9184,9)="@live.com"),"Outlook","Domain")))</f>
        <v/>
      </c>
      <c r="F9184">
        <f>IF(B9184="","",IFERROR(RIGHT(B9184,LEN(B9184)-FIND("@",B9184)),""))</f>
        <v/>
      </c>
      <c r="G9184">
        <f>IF(D9184="KEEP",COUNTIF($D$2:D9184,"KEEP"),"")</f>
        <v/>
      </c>
      <c r="H9184">
        <f>IF(D9184="REMOVE",COUNTIF($D$2:D9184,"REMOVE"),"")</f>
        <v/>
      </c>
      <c r="I9184">
        <f>IF(E9184="Gmail",COUNTIF($E$2:E9184,"Gmail"),"")</f>
        <v/>
      </c>
      <c r="J9184">
        <f>IF(E9184="Outlook",COUNTIF($E$2:E9184,"Outlook"),"")</f>
        <v/>
      </c>
      <c r="K9184">
        <f>IF(E9184="Domain",COUNTIF($E$2:E9184,"Domain"),"")</f>
        <v/>
      </c>
    </row>
    <row r="9185">
      <c r="A9185" s="2" t="n"/>
      <c r="B9185">
        <f>LOWER(TRIM(A9185))</f>
        <v/>
      </c>
      <c r="C9185">
        <f>IF(B9185="","",IFERROR(INDEX('Bad Patterns'!$A$2:$A$120,MATCH(1,INDEX(--ISNUMBER(SEARCH('Bad Patterns'!$A$2:$A$120,B9185)),0),0)),""))</f>
        <v/>
      </c>
      <c r="D9185">
        <f>IF(B9185="","",IF(C9185&lt;&gt;"","REMOVE","KEEP"))</f>
        <v/>
      </c>
      <c r="E9185">
        <f>IF(D9185&lt;&gt;"KEEP","",IF(RIGHT(B9185,10)="@gmail.com","Gmail",IF(OR(RIGHT(B9185,12)="@outlook.com",RIGHT(B9185,12)="@hotmail.com",RIGHT(B9185,9)="@live.com"),"Outlook","Domain")))</f>
        <v/>
      </c>
      <c r="F9185">
        <f>IF(B9185="","",IFERROR(RIGHT(B9185,LEN(B9185)-FIND("@",B9185)),""))</f>
        <v/>
      </c>
      <c r="G9185">
        <f>IF(D9185="KEEP",COUNTIF($D$2:D9185,"KEEP"),"")</f>
        <v/>
      </c>
      <c r="H9185">
        <f>IF(D9185="REMOVE",COUNTIF($D$2:D9185,"REMOVE"),"")</f>
        <v/>
      </c>
      <c r="I9185">
        <f>IF(E9185="Gmail",COUNTIF($E$2:E9185,"Gmail"),"")</f>
        <v/>
      </c>
      <c r="J9185">
        <f>IF(E9185="Outlook",COUNTIF($E$2:E9185,"Outlook"),"")</f>
        <v/>
      </c>
      <c r="K9185">
        <f>IF(E9185="Domain",COUNTIF($E$2:E9185,"Domain"),"")</f>
        <v/>
      </c>
    </row>
    <row r="9186">
      <c r="A9186" s="2" t="n"/>
      <c r="B9186">
        <f>LOWER(TRIM(A9186))</f>
        <v/>
      </c>
      <c r="C9186">
        <f>IF(B9186="","",IFERROR(INDEX('Bad Patterns'!$A$2:$A$120,MATCH(1,INDEX(--ISNUMBER(SEARCH('Bad Patterns'!$A$2:$A$120,B9186)),0),0)),""))</f>
        <v/>
      </c>
      <c r="D9186">
        <f>IF(B9186="","",IF(C9186&lt;&gt;"","REMOVE","KEEP"))</f>
        <v/>
      </c>
      <c r="E9186">
        <f>IF(D9186&lt;&gt;"KEEP","",IF(RIGHT(B9186,10)="@gmail.com","Gmail",IF(OR(RIGHT(B9186,12)="@outlook.com",RIGHT(B9186,12)="@hotmail.com",RIGHT(B9186,9)="@live.com"),"Outlook","Domain")))</f>
        <v/>
      </c>
      <c r="F9186">
        <f>IF(B9186="","",IFERROR(RIGHT(B9186,LEN(B9186)-FIND("@",B9186)),""))</f>
        <v/>
      </c>
      <c r="G9186">
        <f>IF(D9186="KEEP",COUNTIF($D$2:D9186,"KEEP"),"")</f>
        <v/>
      </c>
      <c r="H9186">
        <f>IF(D9186="REMOVE",COUNTIF($D$2:D9186,"REMOVE"),"")</f>
        <v/>
      </c>
      <c r="I9186">
        <f>IF(E9186="Gmail",COUNTIF($E$2:E9186,"Gmail"),"")</f>
        <v/>
      </c>
      <c r="J9186">
        <f>IF(E9186="Outlook",COUNTIF($E$2:E9186,"Outlook"),"")</f>
        <v/>
      </c>
      <c r="K9186">
        <f>IF(E9186="Domain",COUNTIF($E$2:E9186,"Domain"),"")</f>
        <v/>
      </c>
    </row>
    <row r="9187">
      <c r="A9187" s="2" t="n"/>
      <c r="B9187">
        <f>LOWER(TRIM(A9187))</f>
        <v/>
      </c>
      <c r="C9187">
        <f>IF(B9187="","",IFERROR(INDEX('Bad Patterns'!$A$2:$A$120,MATCH(1,INDEX(--ISNUMBER(SEARCH('Bad Patterns'!$A$2:$A$120,B9187)),0),0)),""))</f>
        <v/>
      </c>
      <c r="D9187">
        <f>IF(B9187="","",IF(C9187&lt;&gt;"","REMOVE","KEEP"))</f>
        <v/>
      </c>
      <c r="E9187">
        <f>IF(D9187&lt;&gt;"KEEP","",IF(RIGHT(B9187,10)="@gmail.com","Gmail",IF(OR(RIGHT(B9187,12)="@outlook.com",RIGHT(B9187,12)="@hotmail.com",RIGHT(B9187,9)="@live.com"),"Outlook","Domain")))</f>
        <v/>
      </c>
      <c r="F9187">
        <f>IF(B9187="","",IFERROR(RIGHT(B9187,LEN(B9187)-FIND("@",B9187)),""))</f>
        <v/>
      </c>
      <c r="G9187">
        <f>IF(D9187="KEEP",COUNTIF($D$2:D9187,"KEEP"),"")</f>
        <v/>
      </c>
      <c r="H9187">
        <f>IF(D9187="REMOVE",COUNTIF($D$2:D9187,"REMOVE"),"")</f>
        <v/>
      </c>
      <c r="I9187">
        <f>IF(E9187="Gmail",COUNTIF($E$2:E9187,"Gmail"),"")</f>
        <v/>
      </c>
      <c r="J9187">
        <f>IF(E9187="Outlook",COUNTIF($E$2:E9187,"Outlook"),"")</f>
        <v/>
      </c>
      <c r="K9187">
        <f>IF(E9187="Domain",COUNTIF($E$2:E9187,"Domain"),"")</f>
        <v/>
      </c>
    </row>
    <row r="9188">
      <c r="A9188" s="2" t="n"/>
      <c r="B9188">
        <f>LOWER(TRIM(A9188))</f>
        <v/>
      </c>
      <c r="C9188">
        <f>IF(B9188="","",IFERROR(INDEX('Bad Patterns'!$A$2:$A$120,MATCH(1,INDEX(--ISNUMBER(SEARCH('Bad Patterns'!$A$2:$A$120,B9188)),0),0)),""))</f>
        <v/>
      </c>
      <c r="D9188">
        <f>IF(B9188="","",IF(C9188&lt;&gt;"","REMOVE","KEEP"))</f>
        <v/>
      </c>
      <c r="E9188">
        <f>IF(D9188&lt;&gt;"KEEP","",IF(RIGHT(B9188,10)="@gmail.com","Gmail",IF(OR(RIGHT(B9188,12)="@outlook.com",RIGHT(B9188,12)="@hotmail.com",RIGHT(B9188,9)="@live.com"),"Outlook","Domain")))</f>
        <v/>
      </c>
      <c r="F9188">
        <f>IF(B9188="","",IFERROR(RIGHT(B9188,LEN(B9188)-FIND("@",B9188)),""))</f>
        <v/>
      </c>
      <c r="G9188">
        <f>IF(D9188="KEEP",COUNTIF($D$2:D9188,"KEEP"),"")</f>
        <v/>
      </c>
      <c r="H9188">
        <f>IF(D9188="REMOVE",COUNTIF($D$2:D9188,"REMOVE"),"")</f>
        <v/>
      </c>
      <c r="I9188">
        <f>IF(E9188="Gmail",COUNTIF($E$2:E9188,"Gmail"),"")</f>
        <v/>
      </c>
      <c r="J9188">
        <f>IF(E9188="Outlook",COUNTIF($E$2:E9188,"Outlook"),"")</f>
        <v/>
      </c>
      <c r="K9188">
        <f>IF(E9188="Domain",COUNTIF($E$2:E9188,"Domain"),"")</f>
        <v/>
      </c>
    </row>
    <row r="9189">
      <c r="A9189" s="2" t="n"/>
      <c r="B9189">
        <f>LOWER(TRIM(A9189))</f>
        <v/>
      </c>
      <c r="C9189">
        <f>IF(B9189="","",IFERROR(INDEX('Bad Patterns'!$A$2:$A$120,MATCH(1,INDEX(--ISNUMBER(SEARCH('Bad Patterns'!$A$2:$A$120,B9189)),0),0)),""))</f>
        <v/>
      </c>
      <c r="D9189">
        <f>IF(B9189="","",IF(C9189&lt;&gt;"","REMOVE","KEEP"))</f>
        <v/>
      </c>
      <c r="E9189">
        <f>IF(D9189&lt;&gt;"KEEP","",IF(RIGHT(B9189,10)="@gmail.com","Gmail",IF(OR(RIGHT(B9189,12)="@outlook.com",RIGHT(B9189,12)="@hotmail.com",RIGHT(B9189,9)="@live.com"),"Outlook","Domain")))</f>
        <v/>
      </c>
      <c r="F9189">
        <f>IF(B9189="","",IFERROR(RIGHT(B9189,LEN(B9189)-FIND("@",B9189)),""))</f>
        <v/>
      </c>
      <c r="G9189">
        <f>IF(D9189="KEEP",COUNTIF($D$2:D9189,"KEEP"),"")</f>
        <v/>
      </c>
      <c r="H9189">
        <f>IF(D9189="REMOVE",COUNTIF($D$2:D9189,"REMOVE"),"")</f>
        <v/>
      </c>
      <c r="I9189">
        <f>IF(E9189="Gmail",COUNTIF($E$2:E9189,"Gmail"),"")</f>
        <v/>
      </c>
      <c r="J9189">
        <f>IF(E9189="Outlook",COUNTIF($E$2:E9189,"Outlook"),"")</f>
        <v/>
      </c>
      <c r="K9189">
        <f>IF(E9189="Domain",COUNTIF($E$2:E9189,"Domain"),"")</f>
        <v/>
      </c>
    </row>
    <row r="9190">
      <c r="A9190" s="2" t="n"/>
      <c r="B9190">
        <f>LOWER(TRIM(A9190))</f>
        <v/>
      </c>
      <c r="C9190">
        <f>IF(B9190="","",IFERROR(INDEX('Bad Patterns'!$A$2:$A$120,MATCH(1,INDEX(--ISNUMBER(SEARCH('Bad Patterns'!$A$2:$A$120,B9190)),0),0)),""))</f>
        <v/>
      </c>
      <c r="D9190">
        <f>IF(B9190="","",IF(C9190&lt;&gt;"","REMOVE","KEEP"))</f>
        <v/>
      </c>
      <c r="E9190">
        <f>IF(D9190&lt;&gt;"KEEP","",IF(RIGHT(B9190,10)="@gmail.com","Gmail",IF(OR(RIGHT(B9190,12)="@outlook.com",RIGHT(B9190,12)="@hotmail.com",RIGHT(B9190,9)="@live.com"),"Outlook","Domain")))</f>
        <v/>
      </c>
      <c r="F9190">
        <f>IF(B9190="","",IFERROR(RIGHT(B9190,LEN(B9190)-FIND("@",B9190)),""))</f>
        <v/>
      </c>
      <c r="G9190">
        <f>IF(D9190="KEEP",COUNTIF($D$2:D9190,"KEEP"),"")</f>
        <v/>
      </c>
      <c r="H9190">
        <f>IF(D9190="REMOVE",COUNTIF($D$2:D9190,"REMOVE"),"")</f>
        <v/>
      </c>
      <c r="I9190">
        <f>IF(E9190="Gmail",COUNTIF($E$2:E9190,"Gmail"),"")</f>
        <v/>
      </c>
      <c r="J9190">
        <f>IF(E9190="Outlook",COUNTIF($E$2:E9190,"Outlook"),"")</f>
        <v/>
      </c>
      <c r="K9190">
        <f>IF(E9190="Domain",COUNTIF($E$2:E9190,"Domain"),"")</f>
        <v/>
      </c>
    </row>
    <row r="9191">
      <c r="A9191" s="2" t="n"/>
      <c r="B9191">
        <f>LOWER(TRIM(A9191))</f>
        <v/>
      </c>
      <c r="C9191">
        <f>IF(B9191="","",IFERROR(INDEX('Bad Patterns'!$A$2:$A$120,MATCH(1,INDEX(--ISNUMBER(SEARCH('Bad Patterns'!$A$2:$A$120,B9191)),0),0)),""))</f>
        <v/>
      </c>
      <c r="D9191">
        <f>IF(B9191="","",IF(C9191&lt;&gt;"","REMOVE","KEEP"))</f>
        <v/>
      </c>
      <c r="E9191">
        <f>IF(D9191&lt;&gt;"KEEP","",IF(RIGHT(B9191,10)="@gmail.com","Gmail",IF(OR(RIGHT(B9191,12)="@outlook.com",RIGHT(B9191,12)="@hotmail.com",RIGHT(B9191,9)="@live.com"),"Outlook","Domain")))</f>
        <v/>
      </c>
      <c r="F9191">
        <f>IF(B9191="","",IFERROR(RIGHT(B9191,LEN(B9191)-FIND("@",B9191)),""))</f>
        <v/>
      </c>
      <c r="G9191">
        <f>IF(D9191="KEEP",COUNTIF($D$2:D9191,"KEEP"),"")</f>
        <v/>
      </c>
      <c r="H9191">
        <f>IF(D9191="REMOVE",COUNTIF($D$2:D9191,"REMOVE"),"")</f>
        <v/>
      </c>
      <c r="I9191">
        <f>IF(E9191="Gmail",COUNTIF($E$2:E9191,"Gmail"),"")</f>
        <v/>
      </c>
      <c r="J9191">
        <f>IF(E9191="Outlook",COUNTIF($E$2:E9191,"Outlook"),"")</f>
        <v/>
      </c>
      <c r="K9191">
        <f>IF(E9191="Domain",COUNTIF($E$2:E9191,"Domain"),"")</f>
        <v/>
      </c>
    </row>
    <row r="9192">
      <c r="A9192" s="2" t="n"/>
      <c r="B9192">
        <f>LOWER(TRIM(A9192))</f>
        <v/>
      </c>
      <c r="C9192">
        <f>IF(B9192="","",IFERROR(INDEX('Bad Patterns'!$A$2:$A$120,MATCH(1,INDEX(--ISNUMBER(SEARCH('Bad Patterns'!$A$2:$A$120,B9192)),0),0)),""))</f>
        <v/>
      </c>
      <c r="D9192">
        <f>IF(B9192="","",IF(C9192&lt;&gt;"","REMOVE","KEEP"))</f>
        <v/>
      </c>
      <c r="E9192">
        <f>IF(D9192&lt;&gt;"KEEP","",IF(RIGHT(B9192,10)="@gmail.com","Gmail",IF(OR(RIGHT(B9192,12)="@outlook.com",RIGHT(B9192,12)="@hotmail.com",RIGHT(B9192,9)="@live.com"),"Outlook","Domain")))</f>
        <v/>
      </c>
      <c r="F9192">
        <f>IF(B9192="","",IFERROR(RIGHT(B9192,LEN(B9192)-FIND("@",B9192)),""))</f>
        <v/>
      </c>
      <c r="G9192">
        <f>IF(D9192="KEEP",COUNTIF($D$2:D9192,"KEEP"),"")</f>
        <v/>
      </c>
      <c r="H9192">
        <f>IF(D9192="REMOVE",COUNTIF($D$2:D9192,"REMOVE"),"")</f>
        <v/>
      </c>
      <c r="I9192">
        <f>IF(E9192="Gmail",COUNTIF($E$2:E9192,"Gmail"),"")</f>
        <v/>
      </c>
      <c r="J9192">
        <f>IF(E9192="Outlook",COUNTIF($E$2:E9192,"Outlook"),"")</f>
        <v/>
      </c>
      <c r="K9192">
        <f>IF(E9192="Domain",COUNTIF($E$2:E9192,"Domain"),"")</f>
        <v/>
      </c>
    </row>
    <row r="9193">
      <c r="A9193" s="2" t="n"/>
      <c r="B9193">
        <f>LOWER(TRIM(A9193))</f>
        <v/>
      </c>
      <c r="C9193">
        <f>IF(B9193="","",IFERROR(INDEX('Bad Patterns'!$A$2:$A$120,MATCH(1,INDEX(--ISNUMBER(SEARCH('Bad Patterns'!$A$2:$A$120,B9193)),0),0)),""))</f>
        <v/>
      </c>
      <c r="D9193">
        <f>IF(B9193="","",IF(C9193&lt;&gt;"","REMOVE","KEEP"))</f>
        <v/>
      </c>
      <c r="E9193">
        <f>IF(D9193&lt;&gt;"KEEP","",IF(RIGHT(B9193,10)="@gmail.com","Gmail",IF(OR(RIGHT(B9193,12)="@outlook.com",RIGHT(B9193,12)="@hotmail.com",RIGHT(B9193,9)="@live.com"),"Outlook","Domain")))</f>
        <v/>
      </c>
      <c r="F9193">
        <f>IF(B9193="","",IFERROR(RIGHT(B9193,LEN(B9193)-FIND("@",B9193)),""))</f>
        <v/>
      </c>
      <c r="G9193">
        <f>IF(D9193="KEEP",COUNTIF($D$2:D9193,"KEEP"),"")</f>
        <v/>
      </c>
      <c r="H9193">
        <f>IF(D9193="REMOVE",COUNTIF($D$2:D9193,"REMOVE"),"")</f>
        <v/>
      </c>
      <c r="I9193">
        <f>IF(E9193="Gmail",COUNTIF($E$2:E9193,"Gmail"),"")</f>
        <v/>
      </c>
      <c r="J9193">
        <f>IF(E9193="Outlook",COUNTIF($E$2:E9193,"Outlook"),"")</f>
        <v/>
      </c>
      <c r="K9193">
        <f>IF(E9193="Domain",COUNTIF($E$2:E9193,"Domain"),"")</f>
        <v/>
      </c>
    </row>
    <row r="9194">
      <c r="A9194" s="2" t="n"/>
      <c r="B9194">
        <f>LOWER(TRIM(A9194))</f>
        <v/>
      </c>
      <c r="C9194">
        <f>IF(B9194="","",IFERROR(INDEX('Bad Patterns'!$A$2:$A$120,MATCH(1,INDEX(--ISNUMBER(SEARCH('Bad Patterns'!$A$2:$A$120,B9194)),0),0)),""))</f>
        <v/>
      </c>
      <c r="D9194">
        <f>IF(B9194="","",IF(C9194&lt;&gt;"","REMOVE","KEEP"))</f>
        <v/>
      </c>
      <c r="E9194">
        <f>IF(D9194&lt;&gt;"KEEP","",IF(RIGHT(B9194,10)="@gmail.com","Gmail",IF(OR(RIGHT(B9194,12)="@outlook.com",RIGHT(B9194,12)="@hotmail.com",RIGHT(B9194,9)="@live.com"),"Outlook","Domain")))</f>
        <v/>
      </c>
      <c r="F9194">
        <f>IF(B9194="","",IFERROR(RIGHT(B9194,LEN(B9194)-FIND("@",B9194)),""))</f>
        <v/>
      </c>
      <c r="G9194">
        <f>IF(D9194="KEEP",COUNTIF($D$2:D9194,"KEEP"),"")</f>
        <v/>
      </c>
      <c r="H9194">
        <f>IF(D9194="REMOVE",COUNTIF($D$2:D9194,"REMOVE"),"")</f>
        <v/>
      </c>
      <c r="I9194">
        <f>IF(E9194="Gmail",COUNTIF($E$2:E9194,"Gmail"),"")</f>
        <v/>
      </c>
      <c r="J9194">
        <f>IF(E9194="Outlook",COUNTIF($E$2:E9194,"Outlook"),"")</f>
        <v/>
      </c>
      <c r="K9194">
        <f>IF(E9194="Domain",COUNTIF($E$2:E9194,"Domain"),"")</f>
        <v/>
      </c>
    </row>
    <row r="9195">
      <c r="A9195" s="2" t="n"/>
      <c r="B9195">
        <f>LOWER(TRIM(A9195))</f>
        <v/>
      </c>
      <c r="C9195">
        <f>IF(B9195="","",IFERROR(INDEX('Bad Patterns'!$A$2:$A$120,MATCH(1,INDEX(--ISNUMBER(SEARCH('Bad Patterns'!$A$2:$A$120,B9195)),0),0)),""))</f>
        <v/>
      </c>
      <c r="D9195">
        <f>IF(B9195="","",IF(C9195&lt;&gt;"","REMOVE","KEEP"))</f>
        <v/>
      </c>
      <c r="E9195">
        <f>IF(D9195&lt;&gt;"KEEP","",IF(RIGHT(B9195,10)="@gmail.com","Gmail",IF(OR(RIGHT(B9195,12)="@outlook.com",RIGHT(B9195,12)="@hotmail.com",RIGHT(B9195,9)="@live.com"),"Outlook","Domain")))</f>
        <v/>
      </c>
      <c r="F9195">
        <f>IF(B9195="","",IFERROR(RIGHT(B9195,LEN(B9195)-FIND("@",B9195)),""))</f>
        <v/>
      </c>
      <c r="G9195">
        <f>IF(D9195="KEEP",COUNTIF($D$2:D9195,"KEEP"),"")</f>
        <v/>
      </c>
      <c r="H9195">
        <f>IF(D9195="REMOVE",COUNTIF($D$2:D9195,"REMOVE"),"")</f>
        <v/>
      </c>
      <c r="I9195">
        <f>IF(E9195="Gmail",COUNTIF($E$2:E9195,"Gmail"),"")</f>
        <v/>
      </c>
      <c r="J9195">
        <f>IF(E9195="Outlook",COUNTIF($E$2:E9195,"Outlook"),"")</f>
        <v/>
      </c>
      <c r="K9195">
        <f>IF(E9195="Domain",COUNTIF($E$2:E9195,"Domain"),"")</f>
        <v/>
      </c>
    </row>
    <row r="9196">
      <c r="A9196" s="2" t="n"/>
      <c r="B9196">
        <f>LOWER(TRIM(A9196))</f>
        <v/>
      </c>
      <c r="C9196">
        <f>IF(B9196="","",IFERROR(INDEX('Bad Patterns'!$A$2:$A$120,MATCH(1,INDEX(--ISNUMBER(SEARCH('Bad Patterns'!$A$2:$A$120,B9196)),0),0)),""))</f>
        <v/>
      </c>
      <c r="D9196">
        <f>IF(B9196="","",IF(C9196&lt;&gt;"","REMOVE","KEEP"))</f>
        <v/>
      </c>
      <c r="E9196">
        <f>IF(D9196&lt;&gt;"KEEP","",IF(RIGHT(B9196,10)="@gmail.com","Gmail",IF(OR(RIGHT(B9196,12)="@outlook.com",RIGHT(B9196,12)="@hotmail.com",RIGHT(B9196,9)="@live.com"),"Outlook","Domain")))</f>
        <v/>
      </c>
      <c r="F9196">
        <f>IF(B9196="","",IFERROR(RIGHT(B9196,LEN(B9196)-FIND("@",B9196)),""))</f>
        <v/>
      </c>
      <c r="G9196">
        <f>IF(D9196="KEEP",COUNTIF($D$2:D9196,"KEEP"),"")</f>
        <v/>
      </c>
      <c r="H9196">
        <f>IF(D9196="REMOVE",COUNTIF($D$2:D9196,"REMOVE"),"")</f>
        <v/>
      </c>
      <c r="I9196">
        <f>IF(E9196="Gmail",COUNTIF($E$2:E9196,"Gmail"),"")</f>
        <v/>
      </c>
      <c r="J9196">
        <f>IF(E9196="Outlook",COUNTIF($E$2:E9196,"Outlook"),"")</f>
        <v/>
      </c>
      <c r="K9196">
        <f>IF(E9196="Domain",COUNTIF($E$2:E9196,"Domain"),"")</f>
        <v/>
      </c>
    </row>
    <row r="9197">
      <c r="A9197" s="2" t="n"/>
      <c r="B9197">
        <f>LOWER(TRIM(A9197))</f>
        <v/>
      </c>
      <c r="C9197">
        <f>IF(B9197="","",IFERROR(INDEX('Bad Patterns'!$A$2:$A$120,MATCH(1,INDEX(--ISNUMBER(SEARCH('Bad Patterns'!$A$2:$A$120,B9197)),0),0)),""))</f>
        <v/>
      </c>
      <c r="D9197">
        <f>IF(B9197="","",IF(C9197&lt;&gt;"","REMOVE","KEEP"))</f>
        <v/>
      </c>
      <c r="E9197">
        <f>IF(D9197&lt;&gt;"KEEP","",IF(RIGHT(B9197,10)="@gmail.com","Gmail",IF(OR(RIGHT(B9197,12)="@outlook.com",RIGHT(B9197,12)="@hotmail.com",RIGHT(B9197,9)="@live.com"),"Outlook","Domain")))</f>
        <v/>
      </c>
      <c r="F9197">
        <f>IF(B9197="","",IFERROR(RIGHT(B9197,LEN(B9197)-FIND("@",B9197)),""))</f>
        <v/>
      </c>
      <c r="G9197">
        <f>IF(D9197="KEEP",COUNTIF($D$2:D9197,"KEEP"),"")</f>
        <v/>
      </c>
      <c r="H9197">
        <f>IF(D9197="REMOVE",COUNTIF($D$2:D9197,"REMOVE"),"")</f>
        <v/>
      </c>
      <c r="I9197">
        <f>IF(E9197="Gmail",COUNTIF($E$2:E9197,"Gmail"),"")</f>
        <v/>
      </c>
      <c r="J9197">
        <f>IF(E9197="Outlook",COUNTIF($E$2:E9197,"Outlook"),"")</f>
        <v/>
      </c>
      <c r="K9197">
        <f>IF(E9197="Domain",COUNTIF($E$2:E9197,"Domain"),"")</f>
        <v/>
      </c>
    </row>
    <row r="9198">
      <c r="A9198" s="2" t="n"/>
      <c r="B9198">
        <f>LOWER(TRIM(A9198))</f>
        <v/>
      </c>
      <c r="C9198">
        <f>IF(B9198="","",IFERROR(INDEX('Bad Patterns'!$A$2:$A$120,MATCH(1,INDEX(--ISNUMBER(SEARCH('Bad Patterns'!$A$2:$A$120,B9198)),0),0)),""))</f>
        <v/>
      </c>
      <c r="D9198">
        <f>IF(B9198="","",IF(C9198&lt;&gt;"","REMOVE","KEEP"))</f>
        <v/>
      </c>
      <c r="E9198">
        <f>IF(D9198&lt;&gt;"KEEP","",IF(RIGHT(B9198,10)="@gmail.com","Gmail",IF(OR(RIGHT(B9198,12)="@outlook.com",RIGHT(B9198,12)="@hotmail.com",RIGHT(B9198,9)="@live.com"),"Outlook","Domain")))</f>
        <v/>
      </c>
      <c r="F9198">
        <f>IF(B9198="","",IFERROR(RIGHT(B9198,LEN(B9198)-FIND("@",B9198)),""))</f>
        <v/>
      </c>
      <c r="G9198">
        <f>IF(D9198="KEEP",COUNTIF($D$2:D9198,"KEEP"),"")</f>
        <v/>
      </c>
      <c r="H9198">
        <f>IF(D9198="REMOVE",COUNTIF($D$2:D9198,"REMOVE"),"")</f>
        <v/>
      </c>
      <c r="I9198">
        <f>IF(E9198="Gmail",COUNTIF($E$2:E9198,"Gmail"),"")</f>
        <v/>
      </c>
      <c r="J9198">
        <f>IF(E9198="Outlook",COUNTIF($E$2:E9198,"Outlook"),"")</f>
        <v/>
      </c>
      <c r="K9198">
        <f>IF(E9198="Domain",COUNTIF($E$2:E9198,"Domain"),"")</f>
        <v/>
      </c>
    </row>
    <row r="9199">
      <c r="A9199" s="2" t="n"/>
      <c r="B9199">
        <f>LOWER(TRIM(A9199))</f>
        <v/>
      </c>
      <c r="C9199">
        <f>IF(B9199="","",IFERROR(INDEX('Bad Patterns'!$A$2:$A$120,MATCH(1,INDEX(--ISNUMBER(SEARCH('Bad Patterns'!$A$2:$A$120,B9199)),0),0)),""))</f>
        <v/>
      </c>
      <c r="D9199">
        <f>IF(B9199="","",IF(C9199&lt;&gt;"","REMOVE","KEEP"))</f>
        <v/>
      </c>
      <c r="E9199">
        <f>IF(D9199&lt;&gt;"KEEP","",IF(RIGHT(B9199,10)="@gmail.com","Gmail",IF(OR(RIGHT(B9199,12)="@outlook.com",RIGHT(B9199,12)="@hotmail.com",RIGHT(B9199,9)="@live.com"),"Outlook","Domain")))</f>
        <v/>
      </c>
      <c r="F9199">
        <f>IF(B9199="","",IFERROR(RIGHT(B9199,LEN(B9199)-FIND("@",B9199)),""))</f>
        <v/>
      </c>
      <c r="G9199">
        <f>IF(D9199="KEEP",COUNTIF($D$2:D9199,"KEEP"),"")</f>
        <v/>
      </c>
      <c r="H9199">
        <f>IF(D9199="REMOVE",COUNTIF($D$2:D9199,"REMOVE"),"")</f>
        <v/>
      </c>
      <c r="I9199">
        <f>IF(E9199="Gmail",COUNTIF($E$2:E9199,"Gmail"),"")</f>
        <v/>
      </c>
      <c r="J9199">
        <f>IF(E9199="Outlook",COUNTIF($E$2:E9199,"Outlook"),"")</f>
        <v/>
      </c>
      <c r="K9199">
        <f>IF(E9199="Domain",COUNTIF($E$2:E9199,"Domain"),"")</f>
        <v/>
      </c>
    </row>
    <row r="9200">
      <c r="A9200" s="2" t="n"/>
      <c r="B9200">
        <f>LOWER(TRIM(A9200))</f>
        <v/>
      </c>
      <c r="C9200">
        <f>IF(B9200="","",IFERROR(INDEX('Bad Patterns'!$A$2:$A$120,MATCH(1,INDEX(--ISNUMBER(SEARCH('Bad Patterns'!$A$2:$A$120,B9200)),0),0)),""))</f>
        <v/>
      </c>
      <c r="D9200">
        <f>IF(B9200="","",IF(C9200&lt;&gt;"","REMOVE","KEEP"))</f>
        <v/>
      </c>
      <c r="E9200">
        <f>IF(D9200&lt;&gt;"KEEP","",IF(RIGHT(B9200,10)="@gmail.com","Gmail",IF(OR(RIGHT(B9200,12)="@outlook.com",RIGHT(B9200,12)="@hotmail.com",RIGHT(B9200,9)="@live.com"),"Outlook","Domain")))</f>
        <v/>
      </c>
      <c r="F9200">
        <f>IF(B9200="","",IFERROR(RIGHT(B9200,LEN(B9200)-FIND("@",B9200)),""))</f>
        <v/>
      </c>
      <c r="G9200">
        <f>IF(D9200="KEEP",COUNTIF($D$2:D9200,"KEEP"),"")</f>
        <v/>
      </c>
      <c r="H9200">
        <f>IF(D9200="REMOVE",COUNTIF($D$2:D9200,"REMOVE"),"")</f>
        <v/>
      </c>
      <c r="I9200">
        <f>IF(E9200="Gmail",COUNTIF($E$2:E9200,"Gmail"),"")</f>
        <v/>
      </c>
      <c r="J9200">
        <f>IF(E9200="Outlook",COUNTIF($E$2:E9200,"Outlook"),"")</f>
        <v/>
      </c>
      <c r="K9200">
        <f>IF(E9200="Domain",COUNTIF($E$2:E9200,"Domain"),"")</f>
        <v/>
      </c>
    </row>
    <row r="9201">
      <c r="A9201" s="2" t="n"/>
      <c r="B9201">
        <f>LOWER(TRIM(A9201))</f>
        <v/>
      </c>
      <c r="C9201">
        <f>IF(B9201="","",IFERROR(INDEX('Bad Patterns'!$A$2:$A$120,MATCH(1,INDEX(--ISNUMBER(SEARCH('Bad Patterns'!$A$2:$A$120,B9201)),0),0)),""))</f>
        <v/>
      </c>
      <c r="D9201">
        <f>IF(B9201="","",IF(C9201&lt;&gt;"","REMOVE","KEEP"))</f>
        <v/>
      </c>
      <c r="E9201">
        <f>IF(D9201&lt;&gt;"KEEP","",IF(RIGHT(B9201,10)="@gmail.com","Gmail",IF(OR(RIGHT(B9201,12)="@outlook.com",RIGHT(B9201,12)="@hotmail.com",RIGHT(B9201,9)="@live.com"),"Outlook","Domain")))</f>
        <v/>
      </c>
      <c r="F9201">
        <f>IF(B9201="","",IFERROR(RIGHT(B9201,LEN(B9201)-FIND("@",B9201)),""))</f>
        <v/>
      </c>
      <c r="G9201">
        <f>IF(D9201="KEEP",COUNTIF($D$2:D9201,"KEEP"),"")</f>
        <v/>
      </c>
      <c r="H9201">
        <f>IF(D9201="REMOVE",COUNTIF($D$2:D9201,"REMOVE"),"")</f>
        <v/>
      </c>
      <c r="I9201">
        <f>IF(E9201="Gmail",COUNTIF($E$2:E9201,"Gmail"),"")</f>
        <v/>
      </c>
      <c r="J9201">
        <f>IF(E9201="Outlook",COUNTIF($E$2:E9201,"Outlook"),"")</f>
        <v/>
      </c>
      <c r="K9201">
        <f>IF(E9201="Domain",COUNTIF($E$2:E9201,"Domain"),"")</f>
        <v/>
      </c>
    </row>
    <row r="9202">
      <c r="A9202" s="2" t="n"/>
      <c r="B9202">
        <f>LOWER(TRIM(A9202))</f>
        <v/>
      </c>
      <c r="C9202">
        <f>IF(B9202="","",IFERROR(INDEX('Bad Patterns'!$A$2:$A$120,MATCH(1,INDEX(--ISNUMBER(SEARCH('Bad Patterns'!$A$2:$A$120,B9202)),0),0)),""))</f>
        <v/>
      </c>
      <c r="D9202">
        <f>IF(B9202="","",IF(C9202&lt;&gt;"","REMOVE","KEEP"))</f>
        <v/>
      </c>
      <c r="E9202">
        <f>IF(D9202&lt;&gt;"KEEP","",IF(RIGHT(B9202,10)="@gmail.com","Gmail",IF(OR(RIGHT(B9202,12)="@outlook.com",RIGHT(B9202,12)="@hotmail.com",RIGHT(B9202,9)="@live.com"),"Outlook","Domain")))</f>
        <v/>
      </c>
      <c r="F9202">
        <f>IF(B9202="","",IFERROR(RIGHT(B9202,LEN(B9202)-FIND("@",B9202)),""))</f>
        <v/>
      </c>
      <c r="G9202">
        <f>IF(D9202="KEEP",COUNTIF($D$2:D9202,"KEEP"),"")</f>
        <v/>
      </c>
      <c r="H9202">
        <f>IF(D9202="REMOVE",COUNTIF($D$2:D9202,"REMOVE"),"")</f>
        <v/>
      </c>
      <c r="I9202">
        <f>IF(E9202="Gmail",COUNTIF($E$2:E9202,"Gmail"),"")</f>
        <v/>
      </c>
      <c r="J9202">
        <f>IF(E9202="Outlook",COUNTIF($E$2:E9202,"Outlook"),"")</f>
        <v/>
      </c>
      <c r="K9202">
        <f>IF(E9202="Domain",COUNTIF($E$2:E9202,"Domain"),"")</f>
        <v/>
      </c>
    </row>
    <row r="9203">
      <c r="A9203" s="2" t="n"/>
      <c r="B9203">
        <f>LOWER(TRIM(A9203))</f>
        <v/>
      </c>
      <c r="C9203">
        <f>IF(B9203="","",IFERROR(INDEX('Bad Patterns'!$A$2:$A$120,MATCH(1,INDEX(--ISNUMBER(SEARCH('Bad Patterns'!$A$2:$A$120,B9203)),0),0)),""))</f>
        <v/>
      </c>
      <c r="D9203">
        <f>IF(B9203="","",IF(C9203&lt;&gt;"","REMOVE","KEEP"))</f>
        <v/>
      </c>
      <c r="E9203">
        <f>IF(D9203&lt;&gt;"KEEP","",IF(RIGHT(B9203,10)="@gmail.com","Gmail",IF(OR(RIGHT(B9203,12)="@outlook.com",RIGHT(B9203,12)="@hotmail.com",RIGHT(B9203,9)="@live.com"),"Outlook","Domain")))</f>
        <v/>
      </c>
      <c r="F9203">
        <f>IF(B9203="","",IFERROR(RIGHT(B9203,LEN(B9203)-FIND("@",B9203)),""))</f>
        <v/>
      </c>
      <c r="G9203">
        <f>IF(D9203="KEEP",COUNTIF($D$2:D9203,"KEEP"),"")</f>
        <v/>
      </c>
      <c r="H9203">
        <f>IF(D9203="REMOVE",COUNTIF($D$2:D9203,"REMOVE"),"")</f>
        <v/>
      </c>
      <c r="I9203">
        <f>IF(E9203="Gmail",COUNTIF($E$2:E9203,"Gmail"),"")</f>
        <v/>
      </c>
      <c r="J9203">
        <f>IF(E9203="Outlook",COUNTIF($E$2:E9203,"Outlook"),"")</f>
        <v/>
      </c>
      <c r="K9203">
        <f>IF(E9203="Domain",COUNTIF($E$2:E9203,"Domain"),"")</f>
        <v/>
      </c>
    </row>
    <row r="9204">
      <c r="A9204" s="2" t="n"/>
      <c r="B9204">
        <f>LOWER(TRIM(A9204))</f>
        <v/>
      </c>
      <c r="C9204">
        <f>IF(B9204="","",IFERROR(INDEX('Bad Patterns'!$A$2:$A$120,MATCH(1,INDEX(--ISNUMBER(SEARCH('Bad Patterns'!$A$2:$A$120,B9204)),0),0)),""))</f>
        <v/>
      </c>
      <c r="D9204">
        <f>IF(B9204="","",IF(C9204&lt;&gt;"","REMOVE","KEEP"))</f>
        <v/>
      </c>
      <c r="E9204">
        <f>IF(D9204&lt;&gt;"KEEP","",IF(RIGHT(B9204,10)="@gmail.com","Gmail",IF(OR(RIGHT(B9204,12)="@outlook.com",RIGHT(B9204,12)="@hotmail.com",RIGHT(B9204,9)="@live.com"),"Outlook","Domain")))</f>
        <v/>
      </c>
      <c r="F9204">
        <f>IF(B9204="","",IFERROR(RIGHT(B9204,LEN(B9204)-FIND("@",B9204)),""))</f>
        <v/>
      </c>
      <c r="G9204">
        <f>IF(D9204="KEEP",COUNTIF($D$2:D9204,"KEEP"),"")</f>
        <v/>
      </c>
      <c r="H9204">
        <f>IF(D9204="REMOVE",COUNTIF($D$2:D9204,"REMOVE"),"")</f>
        <v/>
      </c>
      <c r="I9204">
        <f>IF(E9204="Gmail",COUNTIF($E$2:E9204,"Gmail"),"")</f>
        <v/>
      </c>
      <c r="J9204">
        <f>IF(E9204="Outlook",COUNTIF($E$2:E9204,"Outlook"),"")</f>
        <v/>
      </c>
      <c r="K9204">
        <f>IF(E9204="Domain",COUNTIF($E$2:E9204,"Domain"),"")</f>
        <v/>
      </c>
    </row>
    <row r="9205">
      <c r="A9205" s="2" t="n"/>
      <c r="B9205">
        <f>LOWER(TRIM(A9205))</f>
        <v/>
      </c>
      <c r="C9205">
        <f>IF(B9205="","",IFERROR(INDEX('Bad Patterns'!$A$2:$A$120,MATCH(1,INDEX(--ISNUMBER(SEARCH('Bad Patterns'!$A$2:$A$120,B9205)),0),0)),""))</f>
        <v/>
      </c>
      <c r="D9205">
        <f>IF(B9205="","",IF(C9205&lt;&gt;"","REMOVE","KEEP"))</f>
        <v/>
      </c>
      <c r="E9205">
        <f>IF(D9205&lt;&gt;"KEEP","",IF(RIGHT(B9205,10)="@gmail.com","Gmail",IF(OR(RIGHT(B9205,12)="@outlook.com",RIGHT(B9205,12)="@hotmail.com",RIGHT(B9205,9)="@live.com"),"Outlook","Domain")))</f>
        <v/>
      </c>
      <c r="F9205">
        <f>IF(B9205="","",IFERROR(RIGHT(B9205,LEN(B9205)-FIND("@",B9205)),""))</f>
        <v/>
      </c>
      <c r="G9205">
        <f>IF(D9205="KEEP",COUNTIF($D$2:D9205,"KEEP"),"")</f>
        <v/>
      </c>
      <c r="H9205">
        <f>IF(D9205="REMOVE",COUNTIF($D$2:D9205,"REMOVE"),"")</f>
        <v/>
      </c>
      <c r="I9205">
        <f>IF(E9205="Gmail",COUNTIF($E$2:E9205,"Gmail"),"")</f>
        <v/>
      </c>
      <c r="J9205">
        <f>IF(E9205="Outlook",COUNTIF($E$2:E9205,"Outlook"),"")</f>
        <v/>
      </c>
      <c r="K9205">
        <f>IF(E9205="Domain",COUNTIF($E$2:E9205,"Domain"),"")</f>
        <v/>
      </c>
    </row>
    <row r="9206">
      <c r="A9206" s="2" t="n"/>
      <c r="B9206">
        <f>LOWER(TRIM(A9206))</f>
        <v/>
      </c>
      <c r="C9206">
        <f>IF(B9206="","",IFERROR(INDEX('Bad Patterns'!$A$2:$A$120,MATCH(1,INDEX(--ISNUMBER(SEARCH('Bad Patterns'!$A$2:$A$120,B9206)),0),0)),""))</f>
        <v/>
      </c>
      <c r="D9206">
        <f>IF(B9206="","",IF(C9206&lt;&gt;"","REMOVE","KEEP"))</f>
        <v/>
      </c>
      <c r="E9206">
        <f>IF(D9206&lt;&gt;"KEEP","",IF(RIGHT(B9206,10)="@gmail.com","Gmail",IF(OR(RIGHT(B9206,12)="@outlook.com",RIGHT(B9206,12)="@hotmail.com",RIGHT(B9206,9)="@live.com"),"Outlook","Domain")))</f>
        <v/>
      </c>
      <c r="F9206">
        <f>IF(B9206="","",IFERROR(RIGHT(B9206,LEN(B9206)-FIND("@",B9206)),""))</f>
        <v/>
      </c>
      <c r="G9206">
        <f>IF(D9206="KEEP",COUNTIF($D$2:D9206,"KEEP"),"")</f>
        <v/>
      </c>
      <c r="H9206">
        <f>IF(D9206="REMOVE",COUNTIF($D$2:D9206,"REMOVE"),"")</f>
        <v/>
      </c>
      <c r="I9206">
        <f>IF(E9206="Gmail",COUNTIF($E$2:E9206,"Gmail"),"")</f>
        <v/>
      </c>
      <c r="J9206">
        <f>IF(E9206="Outlook",COUNTIF($E$2:E9206,"Outlook"),"")</f>
        <v/>
      </c>
      <c r="K9206">
        <f>IF(E9206="Domain",COUNTIF($E$2:E9206,"Domain"),"")</f>
        <v/>
      </c>
    </row>
    <row r="9207">
      <c r="A9207" s="2" t="n"/>
      <c r="B9207">
        <f>LOWER(TRIM(A9207))</f>
        <v/>
      </c>
      <c r="C9207">
        <f>IF(B9207="","",IFERROR(INDEX('Bad Patterns'!$A$2:$A$120,MATCH(1,INDEX(--ISNUMBER(SEARCH('Bad Patterns'!$A$2:$A$120,B9207)),0),0)),""))</f>
        <v/>
      </c>
      <c r="D9207">
        <f>IF(B9207="","",IF(C9207&lt;&gt;"","REMOVE","KEEP"))</f>
        <v/>
      </c>
      <c r="E9207">
        <f>IF(D9207&lt;&gt;"KEEP","",IF(RIGHT(B9207,10)="@gmail.com","Gmail",IF(OR(RIGHT(B9207,12)="@outlook.com",RIGHT(B9207,12)="@hotmail.com",RIGHT(B9207,9)="@live.com"),"Outlook","Domain")))</f>
        <v/>
      </c>
      <c r="F9207">
        <f>IF(B9207="","",IFERROR(RIGHT(B9207,LEN(B9207)-FIND("@",B9207)),""))</f>
        <v/>
      </c>
      <c r="G9207">
        <f>IF(D9207="KEEP",COUNTIF($D$2:D9207,"KEEP"),"")</f>
        <v/>
      </c>
      <c r="H9207">
        <f>IF(D9207="REMOVE",COUNTIF($D$2:D9207,"REMOVE"),"")</f>
        <v/>
      </c>
      <c r="I9207">
        <f>IF(E9207="Gmail",COUNTIF($E$2:E9207,"Gmail"),"")</f>
        <v/>
      </c>
      <c r="J9207">
        <f>IF(E9207="Outlook",COUNTIF($E$2:E9207,"Outlook"),"")</f>
        <v/>
      </c>
      <c r="K9207">
        <f>IF(E9207="Domain",COUNTIF($E$2:E9207,"Domain"),"")</f>
        <v/>
      </c>
    </row>
    <row r="9208">
      <c r="A9208" s="2" t="n"/>
      <c r="B9208">
        <f>LOWER(TRIM(A9208))</f>
        <v/>
      </c>
      <c r="C9208">
        <f>IF(B9208="","",IFERROR(INDEX('Bad Patterns'!$A$2:$A$120,MATCH(1,INDEX(--ISNUMBER(SEARCH('Bad Patterns'!$A$2:$A$120,B9208)),0),0)),""))</f>
        <v/>
      </c>
      <c r="D9208">
        <f>IF(B9208="","",IF(C9208&lt;&gt;"","REMOVE","KEEP"))</f>
        <v/>
      </c>
      <c r="E9208">
        <f>IF(D9208&lt;&gt;"KEEP","",IF(RIGHT(B9208,10)="@gmail.com","Gmail",IF(OR(RIGHT(B9208,12)="@outlook.com",RIGHT(B9208,12)="@hotmail.com",RIGHT(B9208,9)="@live.com"),"Outlook","Domain")))</f>
        <v/>
      </c>
      <c r="F9208">
        <f>IF(B9208="","",IFERROR(RIGHT(B9208,LEN(B9208)-FIND("@",B9208)),""))</f>
        <v/>
      </c>
      <c r="G9208">
        <f>IF(D9208="KEEP",COUNTIF($D$2:D9208,"KEEP"),"")</f>
        <v/>
      </c>
      <c r="H9208">
        <f>IF(D9208="REMOVE",COUNTIF($D$2:D9208,"REMOVE"),"")</f>
        <v/>
      </c>
      <c r="I9208">
        <f>IF(E9208="Gmail",COUNTIF($E$2:E9208,"Gmail"),"")</f>
        <v/>
      </c>
      <c r="J9208">
        <f>IF(E9208="Outlook",COUNTIF($E$2:E9208,"Outlook"),"")</f>
        <v/>
      </c>
      <c r="K9208">
        <f>IF(E9208="Domain",COUNTIF($E$2:E9208,"Domain"),"")</f>
        <v/>
      </c>
    </row>
    <row r="9209">
      <c r="A9209" s="2" t="n"/>
      <c r="B9209">
        <f>LOWER(TRIM(A9209))</f>
        <v/>
      </c>
      <c r="C9209">
        <f>IF(B9209="","",IFERROR(INDEX('Bad Patterns'!$A$2:$A$120,MATCH(1,INDEX(--ISNUMBER(SEARCH('Bad Patterns'!$A$2:$A$120,B9209)),0),0)),""))</f>
        <v/>
      </c>
      <c r="D9209">
        <f>IF(B9209="","",IF(C9209&lt;&gt;"","REMOVE","KEEP"))</f>
        <v/>
      </c>
      <c r="E9209">
        <f>IF(D9209&lt;&gt;"KEEP","",IF(RIGHT(B9209,10)="@gmail.com","Gmail",IF(OR(RIGHT(B9209,12)="@outlook.com",RIGHT(B9209,12)="@hotmail.com",RIGHT(B9209,9)="@live.com"),"Outlook","Domain")))</f>
        <v/>
      </c>
      <c r="F9209">
        <f>IF(B9209="","",IFERROR(RIGHT(B9209,LEN(B9209)-FIND("@",B9209)),""))</f>
        <v/>
      </c>
      <c r="G9209">
        <f>IF(D9209="KEEP",COUNTIF($D$2:D9209,"KEEP"),"")</f>
        <v/>
      </c>
      <c r="H9209">
        <f>IF(D9209="REMOVE",COUNTIF($D$2:D9209,"REMOVE"),"")</f>
        <v/>
      </c>
      <c r="I9209">
        <f>IF(E9209="Gmail",COUNTIF($E$2:E9209,"Gmail"),"")</f>
        <v/>
      </c>
      <c r="J9209">
        <f>IF(E9209="Outlook",COUNTIF($E$2:E9209,"Outlook"),"")</f>
        <v/>
      </c>
      <c r="K9209">
        <f>IF(E9209="Domain",COUNTIF($E$2:E9209,"Domain"),"")</f>
        <v/>
      </c>
    </row>
    <row r="9210">
      <c r="A9210" s="2" t="n"/>
      <c r="B9210">
        <f>LOWER(TRIM(A9210))</f>
        <v/>
      </c>
      <c r="C9210">
        <f>IF(B9210="","",IFERROR(INDEX('Bad Patterns'!$A$2:$A$120,MATCH(1,INDEX(--ISNUMBER(SEARCH('Bad Patterns'!$A$2:$A$120,B9210)),0),0)),""))</f>
        <v/>
      </c>
      <c r="D9210">
        <f>IF(B9210="","",IF(C9210&lt;&gt;"","REMOVE","KEEP"))</f>
        <v/>
      </c>
      <c r="E9210">
        <f>IF(D9210&lt;&gt;"KEEP","",IF(RIGHT(B9210,10)="@gmail.com","Gmail",IF(OR(RIGHT(B9210,12)="@outlook.com",RIGHT(B9210,12)="@hotmail.com",RIGHT(B9210,9)="@live.com"),"Outlook","Domain")))</f>
        <v/>
      </c>
      <c r="F9210">
        <f>IF(B9210="","",IFERROR(RIGHT(B9210,LEN(B9210)-FIND("@",B9210)),""))</f>
        <v/>
      </c>
      <c r="G9210">
        <f>IF(D9210="KEEP",COUNTIF($D$2:D9210,"KEEP"),"")</f>
        <v/>
      </c>
      <c r="H9210">
        <f>IF(D9210="REMOVE",COUNTIF($D$2:D9210,"REMOVE"),"")</f>
        <v/>
      </c>
      <c r="I9210">
        <f>IF(E9210="Gmail",COUNTIF($E$2:E9210,"Gmail"),"")</f>
        <v/>
      </c>
      <c r="J9210">
        <f>IF(E9210="Outlook",COUNTIF($E$2:E9210,"Outlook"),"")</f>
        <v/>
      </c>
      <c r="K9210">
        <f>IF(E9210="Domain",COUNTIF($E$2:E9210,"Domain"),"")</f>
        <v/>
      </c>
    </row>
    <row r="9211">
      <c r="A9211" s="2" t="n"/>
      <c r="B9211">
        <f>LOWER(TRIM(A9211))</f>
        <v/>
      </c>
      <c r="C9211">
        <f>IF(B9211="","",IFERROR(INDEX('Bad Patterns'!$A$2:$A$120,MATCH(1,INDEX(--ISNUMBER(SEARCH('Bad Patterns'!$A$2:$A$120,B9211)),0),0)),""))</f>
        <v/>
      </c>
      <c r="D9211">
        <f>IF(B9211="","",IF(C9211&lt;&gt;"","REMOVE","KEEP"))</f>
        <v/>
      </c>
      <c r="E9211">
        <f>IF(D9211&lt;&gt;"KEEP","",IF(RIGHT(B9211,10)="@gmail.com","Gmail",IF(OR(RIGHT(B9211,12)="@outlook.com",RIGHT(B9211,12)="@hotmail.com",RIGHT(B9211,9)="@live.com"),"Outlook","Domain")))</f>
        <v/>
      </c>
      <c r="F9211">
        <f>IF(B9211="","",IFERROR(RIGHT(B9211,LEN(B9211)-FIND("@",B9211)),""))</f>
        <v/>
      </c>
      <c r="G9211">
        <f>IF(D9211="KEEP",COUNTIF($D$2:D9211,"KEEP"),"")</f>
        <v/>
      </c>
      <c r="H9211">
        <f>IF(D9211="REMOVE",COUNTIF($D$2:D9211,"REMOVE"),"")</f>
        <v/>
      </c>
      <c r="I9211">
        <f>IF(E9211="Gmail",COUNTIF($E$2:E9211,"Gmail"),"")</f>
        <v/>
      </c>
      <c r="J9211">
        <f>IF(E9211="Outlook",COUNTIF($E$2:E9211,"Outlook"),"")</f>
        <v/>
      </c>
      <c r="K9211">
        <f>IF(E9211="Domain",COUNTIF($E$2:E9211,"Domain"),"")</f>
        <v/>
      </c>
    </row>
    <row r="9212">
      <c r="A9212" s="2" t="n"/>
      <c r="B9212">
        <f>LOWER(TRIM(A9212))</f>
        <v/>
      </c>
      <c r="C9212">
        <f>IF(B9212="","",IFERROR(INDEX('Bad Patterns'!$A$2:$A$120,MATCH(1,INDEX(--ISNUMBER(SEARCH('Bad Patterns'!$A$2:$A$120,B9212)),0),0)),""))</f>
        <v/>
      </c>
      <c r="D9212">
        <f>IF(B9212="","",IF(C9212&lt;&gt;"","REMOVE","KEEP"))</f>
        <v/>
      </c>
      <c r="E9212">
        <f>IF(D9212&lt;&gt;"KEEP","",IF(RIGHT(B9212,10)="@gmail.com","Gmail",IF(OR(RIGHT(B9212,12)="@outlook.com",RIGHT(B9212,12)="@hotmail.com",RIGHT(B9212,9)="@live.com"),"Outlook","Domain")))</f>
        <v/>
      </c>
      <c r="F9212">
        <f>IF(B9212="","",IFERROR(RIGHT(B9212,LEN(B9212)-FIND("@",B9212)),""))</f>
        <v/>
      </c>
      <c r="G9212">
        <f>IF(D9212="KEEP",COUNTIF($D$2:D9212,"KEEP"),"")</f>
        <v/>
      </c>
      <c r="H9212">
        <f>IF(D9212="REMOVE",COUNTIF($D$2:D9212,"REMOVE"),"")</f>
        <v/>
      </c>
      <c r="I9212">
        <f>IF(E9212="Gmail",COUNTIF($E$2:E9212,"Gmail"),"")</f>
        <v/>
      </c>
      <c r="J9212">
        <f>IF(E9212="Outlook",COUNTIF($E$2:E9212,"Outlook"),"")</f>
        <v/>
      </c>
      <c r="K9212">
        <f>IF(E9212="Domain",COUNTIF($E$2:E9212,"Domain"),"")</f>
        <v/>
      </c>
    </row>
    <row r="9213">
      <c r="A9213" s="2" t="n"/>
      <c r="B9213">
        <f>LOWER(TRIM(A9213))</f>
        <v/>
      </c>
      <c r="C9213">
        <f>IF(B9213="","",IFERROR(INDEX('Bad Patterns'!$A$2:$A$120,MATCH(1,INDEX(--ISNUMBER(SEARCH('Bad Patterns'!$A$2:$A$120,B9213)),0),0)),""))</f>
        <v/>
      </c>
      <c r="D9213">
        <f>IF(B9213="","",IF(C9213&lt;&gt;"","REMOVE","KEEP"))</f>
        <v/>
      </c>
      <c r="E9213">
        <f>IF(D9213&lt;&gt;"KEEP","",IF(RIGHT(B9213,10)="@gmail.com","Gmail",IF(OR(RIGHT(B9213,12)="@outlook.com",RIGHT(B9213,12)="@hotmail.com",RIGHT(B9213,9)="@live.com"),"Outlook","Domain")))</f>
        <v/>
      </c>
      <c r="F9213">
        <f>IF(B9213="","",IFERROR(RIGHT(B9213,LEN(B9213)-FIND("@",B9213)),""))</f>
        <v/>
      </c>
      <c r="G9213">
        <f>IF(D9213="KEEP",COUNTIF($D$2:D9213,"KEEP"),"")</f>
        <v/>
      </c>
      <c r="H9213">
        <f>IF(D9213="REMOVE",COUNTIF($D$2:D9213,"REMOVE"),"")</f>
        <v/>
      </c>
      <c r="I9213">
        <f>IF(E9213="Gmail",COUNTIF($E$2:E9213,"Gmail"),"")</f>
        <v/>
      </c>
      <c r="J9213">
        <f>IF(E9213="Outlook",COUNTIF($E$2:E9213,"Outlook"),"")</f>
        <v/>
      </c>
      <c r="K9213">
        <f>IF(E9213="Domain",COUNTIF($E$2:E9213,"Domain"),"")</f>
        <v/>
      </c>
    </row>
    <row r="9214">
      <c r="A9214" s="2" t="n"/>
      <c r="B9214">
        <f>LOWER(TRIM(A9214))</f>
        <v/>
      </c>
      <c r="C9214">
        <f>IF(B9214="","",IFERROR(INDEX('Bad Patterns'!$A$2:$A$120,MATCH(1,INDEX(--ISNUMBER(SEARCH('Bad Patterns'!$A$2:$A$120,B9214)),0),0)),""))</f>
        <v/>
      </c>
      <c r="D9214">
        <f>IF(B9214="","",IF(C9214&lt;&gt;"","REMOVE","KEEP"))</f>
        <v/>
      </c>
      <c r="E9214">
        <f>IF(D9214&lt;&gt;"KEEP","",IF(RIGHT(B9214,10)="@gmail.com","Gmail",IF(OR(RIGHT(B9214,12)="@outlook.com",RIGHT(B9214,12)="@hotmail.com",RIGHT(B9214,9)="@live.com"),"Outlook","Domain")))</f>
        <v/>
      </c>
      <c r="F9214">
        <f>IF(B9214="","",IFERROR(RIGHT(B9214,LEN(B9214)-FIND("@",B9214)),""))</f>
        <v/>
      </c>
      <c r="G9214">
        <f>IF(D9214="KEEP",COUNTIF($D$2:D9214,"KEEP"),"")</f>
        <v/>
      </c>
      <c r="H9214">
        <f>IF(D9214="REMOVE",COUNTIF($D$2:D9214,"REMOVE"),"")</f>
        <v/>
      </c>
      <c r="I9214">
        <f>IF(E9214="Gmail",COUNTIF($E$2:E9214,"Gmail"),"")</f>
        <v/>
      </c>
      <c r="J9214">
        <f>IF(E9214="Outlook",COUNTIF($E$2:E9214,"Outlook"),"")</f>
        <v/>
      </c>
      <c r="K9214">
        <f>IF(E9214="Domain",COUNTIF($E$2:E9214,"Domain"),"")</f>
        <v/>
      </c>
    </row>
    <row r="9215">
      <c r="A9215" s="2" t="n"/>
      <c r="B9215">
        <f>LOWER(TRIM(A9215))</f>
        <v/>
      </c>
      <c r="C9215">
        <f>IF(B9215="","",IFERROR(INDEX('Bad Patterns'!$A$2:$A$120,MATCH(1,INDEX(--ISNUMBER(SEARCH('Bad Patterns'!$A$2:$A$120,B9215)),0),0)),""))</f>
        <v/>
      </c>
      <c r="D9215">
        <f>IF(B9215="","",IF(C9215&lt;&gt;"","REMOVE","KEEP"))</f>
        <v/>
      </c>
      <c r="E9215">
        <f>IF(D9215&lt;&gt;"KEEP","",IF(RIGHT(B9215,10)="@gmail.com","Gmail",IF(OR(RIGHT(B9215,12)="@outlook.com",RIGHT(B9215,12)="@hotmail.com",RIGHT(B9215,9)="@live.com"),"Outlook","Domain")))</f>
        <v/>
      </c>
      <c r="F9215">
        <f>IF(B9215="","",IFERROR(RIGHT(B9215,LEN(B9215)-FIND("@",B9215)),""))</f>
        <v/>
      </c>
      <c r="G9215">
        <f>IF(D9215="KEEP",COUNTIF($D$2:D9215,"KEEP"),"")</f>
        <v/>
      </c>
      <c r="H9215">
        <f>IF(D9215="REMOVE",COUNTIF($D$2:D9215,"REMOVE"),"")</f>
        <v/>
      </c>
      <c r="I9215">
        <f>IF(E9215="Gmail",COUNTIF($E$2:E9215,"Gmail"),"")</f>
        <v/>
      </c>
      <c r="J9215">
        <f>IF(E9215="Outlook",COUNTIF($E$2:E9215,"Outlook"),"")</f>
        <v/>
      </c>
      <c r="K9215">
        <f>IF(E9215="Domain",COUNTIF($E$2:E9215,"Domain"),"")</f>
        <v/>
      </c>
    </row>
    <row r="9216">
      <c r="A9216" s="2" t="n"/>
      <c r="B9216">
        <f>LOWER(TRIM(A9216))</f>
        <v/>
      </c>
      <c r="C9216">
        <f>IF(B9216="","",IFERROR(INDEX('Bad Patterns'!$A$2:$A$120,MATCH(1,INDEX(--ISNUMBER(SEARCH('Bad Patterns'!$A$2:$A$120,B9216)),0),0)),""))</f>
        <v/>
      </c>
      <c r="D9216">
        <f>IF(B9216="","",IF(C9216&lt;&gt;"","REMOVE","KEEP"))</f>
        <v/>
      </c>
      <c r="E9216">
        <f>IF(D9216&lt;&gt;"KEEP","",IF(RIGHT(B9216,10)="@gmail.com","Gmail",IF(OR(RIGHT(B9216,12)="@outlook.com",RIGHT(B9216,12)="@hotmail.com",RIGHT(B9216,9)="@live.com"),"Outlook","Domain")))</f>
        <v/>
      </c>
      <c r="F9216">
        <f>IF(B9216="","",IFERROR(RIGHT(B9216,LEN(B9216)-FIND("@",B9216)),""))</f>
        <v/>
      </c>
      <c r="G9216">
        <f>IF(D9216="KEEP",COUNTIF($D$2:D9216,"KEEP"),"")</f>
        <v/>
      </c>
      <c r="H9216">
        <f>IF(D9216="REMOVE",COUNTIF($D$2:D9216,"REMOVE"),"")</f>
        <v/>
      </c>
      <c r="I9216">
        <f>IF(E9216="Gmail",COUNTIF($E$2:E9216,"Gmail"),"")</f>
        <v/>
      </c>
      <c r="J9216">
        <f>IF(E9216="Outlook",COUNTIF($E$2:E9216,"Outlook"),"")</f>
        <v/>
      </c>
      <c r="K9216">
        <f>IF(E9216="Domain",COUNTIF($E$2:E9216,"Domain"),"")</f>
        <v/>
      </c>
    </row>
    <row r="9217">
      <c r="A9217" s="2" t="n"/>
      <c r="B9217">
        <f>LOWER(TRIM(A9217))</f>
        <v/>
      </c>
      <c r="C9217">
        <f>IF(B9217="","",IFERROR(INDEX('Bad Patterns'!$A$2:$A$120,MATCH(1,INDEX(--ISNUMBER(SEARCH('Bad Patterns'!$A$2:$A$120,B9217)),0),0)),""))</f>
        <v/>
      </c>
      <c r="D9217">
        <f>IF(B9217="","",IF(C9217&lt;&gt;"","REMOVE","KEEP"))</f>
        <v/>
      </c>
      <c r="E9217">
        <f>IF(D9217&lt;&gt;"KEEP","",IF(RIGHT(B9217,10)="@gmail.com","Gmail",IF(OR(RIGHT(B9217,12)="@outlook.com",RIGHT(B9217,12)="@hotmail.com",RIGHT(B9217,9)="@live.com"),"Outlook","Domain")))</f>
        <v/>
      </c>
      <c r="F9217">
        <f>IF(B9217="","",IFERROR(RIGHT(B9217,LEN(B9217)-FIND("@",B9217)),""))</f>
        <v/>
      </c>
      <c r="G9217">
        <f>IF(D9217="KEEP",COUNTIF($D$2:D9217,"KEEP"),"")</f>
        <v/>
      </c>
      <c r="H9217">
        <f>IF(D9217="REMOVE",COUNTIF($D$2:D9217,"REMOVE"),"")</f>
        <v/>
      </c>
      <c r="I9217">
        <f>IF(E9217="Gmail",COUNTIF($E$2:E9217,"Gmail"),"")</f>
        <v/>
      </c>
      <c r="J9217">
        <f>IF(E9217="Outlook",COUNTIF($E$2:E9217,"Outlook"),"")</f>
        <v/>
      </c>
      <c r="K9217">
        <f>IF(E9217="Domain",COUNTIF($E$2:E9217,"Domain"),"")</f>
        <v/>
      </c>
    </row>
    <row r="9218">
      <c r="A9218" s="2" t="n"/>
      <c r="B9218">
        <f>LOWER(TRIM(A9218))</f>
        <v/>
      </c>
      <c r="C9218">
        <f>IF(B9218="","",IFERROR(INDEX('Bad Patterns'!$A$2:$A$120,MATCH(1,INDEX(--ISNUMBER(SEARCH('Bad Patterns'!$A$2:$A$120,B9218)),0),0)),""))</f>
        <v/>
      </c>
      <c r="D9218">
        <f>IF(B9218="","",IF(C9218&lt;&gt;"","REMOVE","KEEP"))</f>
        <v/>
      </c>
      <c r="E9218">
        <f>IF(D9218&lt;&gt;"KEEP","",IF(RIGHT(B9218,10)="@gmail.com","Gmail",IF(OR(RIGHT(B9218,12)="@outlook.com",RIGHT(B9218,12)="@hotmail.com",RIGHT(B9218,9)="@live.com"),"Outlook","Domain")))</f>
        <v/>
      </c>
      <c r="F9218">
        <f>IF(B9218="","",IFERROR(RIGHT(B9218,LEN(B9218)-FIND("@",B9218)),""))</f>
        <v/>
      </c>
      <c r="G9218">
        <f>IF(D9218="KEEP",COUNTIF($D$2:D9218,"KEEP"),"")</f>
        <v/>
      </c>
      <c r="H9218">
        <f>IF(D9218="REMOVE",COUNTIF($D$2:D9218,"REMOVE"),"")</f>
        <v/>
      </c>
      <c r="I9218">
        <f>IF(E9218="Gmail",COUNTIF($E$2:E9218,"Gmail"),"")</f>
        <v/>
      </c>
      <c r="J9218">
        <f>IF(E9218="Outlook",COUNTIF($E$2:E9218,"Outlook"),"")</f>
        <v/>
      </c>
      <c r="K9218">
        <f>IF(E9218="Domain",COUNTIF($E$2:E9218,"Domain"),"")</f>
        <v/>
      </c>
    </row>
    <row r="9219">
      <c r="A9219" s="2" t="n"/>
      <c r="B9219">
        <f>LOWER(TRIM(A9219))</f>
        <v/>
      </c>
      <c r="C9219">
        <f>IF(B9219="","",IFERROR(INDEX('Bad Patterns'!$A$2:$A$120,MATCH(1,INDEX(--ISNUMBER(SEARCH('Bad Patterns'!$A$2:$A$120,B9219)),0),0)),""))</f>
        <v/>
      </c>
      <c r="D9219">
        <f>IF(B9219="","",IF(C9219&lt;&gt;"","REMOVE","KEEP"))</f>
        <v/>
      </c>
      <c r="E9219">
        <f>IF(D9219&lt;&gt;"KEEP","",IF(RIGHT(B9219,10)="@gmail.com","Gmail",IF(OR(RIGHT(B9219,12)="@outlook.com",RIGHT(B9219,12)="@hotmail.com",RIGHT(B9219,9)="@live.com"),"Outlook","Domain")))</f>
        <v/>
      </c>
      <c r="F9219">
        <f>IF(B9219="","",IFERROR(RIGHT(B9219,LEN(B9219)-FIND("@",B9219)),""))</f>
        <v/>
      </c>
      <c r="G9219">
        <f>IF(D9219="KEEP",COUNTIF($D$2:D9219,"KEEP"),"")</f>
        <v/>
      </c>
      <c r="H9219">
        <f>IF(D9219="REMOVE",COUNTIF($D$2:D9219,"REMOVE"),"")</f>
        <v/>
      </c>
      <c r="I9219">
        <f>IF(E9219="Gmail",COUNTIF($E$2:E9219,"Gmail"),"")</f>
        <v/>
      </c>
      <c r="J9219">
        <f>IF(E9219="Outlook",COUNTIF($E$2:E9219,"Outlook"),"")</f>
        <v/>
      </c>
      <c r="K9219">
        <f>IF(E9219="Domain",COUNTIF($E$2:E9219,"Domain"),"")</f>
        <v/>
      </c>
    </row>
    <row r="9220">
      <c r="A9220" s="2" t="n"/>
      <c r="B9220">
        <f>LOWER(TRIM(A9220))</f>
        <v/>
      </c>
      <c r="C9220">
        <f>IF(B9220="","",IFERROR(INDEX('Bad Patterns'!$A$2:$A$120,MATCH(1,INDEX(--ISNUMBER(SEARCH('Bad Patterns'!$A$2:$A$120,B9220)),0),0)),""))</f>
        <v/>
      </c>
      <c r="D9220">
        <f>IF(B9220="","",IF(C9220&lt;&gt;"","REMOVE","KEEP"))</f>
        <v/>
      </c>
      <c r="E9220">
        <f>IF(D9220&lt;&gt;"KEEP","",IF(RIGHT(B9220,10)="@gmail.com","Gmail",IF(OR(RIGHT(B9220,12)="@outlook.com",RIGHT(B9220,12)="@hotmail.com",RIGHT(B9220,9)="@live.com"),"Outlook","Domain")))</f>
        <v/>
      </c>
      <c r="F9220">
        <f>IF(B9220="","",IFERROR(RIGHT(B9220,LEN(B9220)-FIND("@",B9220)),""))</f>
        <v/>
      </c>
      <c r="G9220">
        <f>IF(D9220="KEEP",COUNTIF($D$2:D9220,"KEEP"),"")</f>
        <v/>
      </c>
      <c r="H9220">
        <f>IF(D9220="REMOVE",COUNTIF($D$2:D9220,"REMOVE"),"")</f>
        <v/>
      </c>
      <c r="I9220">
        <f>IF(E9220="Gmail",COUNTIF($E$2:E9220,"Gmail"),"")</f>
        <v/>
      </c>
      <c r="J9220">
        <f>IF(E9220="Outlook",COUNTIF($E$2:E9220,"Outlook"),"")</f>
        <v/>
      </c>
      <c r="K9220">
        <f>IF(E9220="Domain",COUNTIF($E$2:E9220,"Domain"),"")</f>
        <v/>
      </c>
    </row>
    <row r="9221">
      <c r="A9221" s="2" t="n"/>
      <c r="B9221">
        <f>LOWER(TRIM(A9221))</f>
        <v/>
      </c>
      <c r="C9221">
        <f>IF(B9221="","",IFERROR(INDEX('Bad Patterns'!$A$2:$A$120,MATCH(1,INDEX(--ISNUMBER(SEARCH('Bad Patterns'!$A$2:$A$120,B9221)),0),0)),""))</f>
        <v/>
      </c>
      <c r="D9221">
        <f>IF(B9221="","",IF(C9221&lt;&gt;"","REMOVE","KEEP"))</f>
        <v/>
      </c>
      <c r="E9221">
        <f>IF(D9221&lt;&gt;"KEEP","",IF(RIGHT(B9221,10)="@gmail.com","Gmail",IF(OR(RIGHT(B9221,12)="@outlook.com",RIGHT(B9221,12)="@hotmail.com",RIGHT(B9221,9)="@live.com"),"Outlook","Domain")))</f>
        <v/>
      </c>
      <c r="F9221">
        <f>IF(B9221="","",IFERROR(RIGHT(B9221,LEN(B9221)-FIND("@",B9221)),""))</f>
        <v/>
      </c>
      <c r="G9221">
        <f>IF(D9221="KEEP",COUNTIF($D$2:D9221,"KEEP"),"")</f>
        <v/>
      </c>
      <c r="H9221">
        <f>IF(D9221="REMOVE",COUNTIF($D$2:D9221,"REMOVE"),"")</f>
        <v/>
      </c>
      <c r="I9221">
        <f>IF(E9221="Gmail",COUNTIF($E$2:E9221,"Gmail"),"")</f>
        <v/>
      </c>
      <c r="J9221">
        <f>IF(E9221="Outlook",COUNTIF($E$2:E9221,"Outlook"),"")</f>
        <v/>
      </c>
      <c r="K9221">
        <f>IF(E9221="Domain",COUNTIF($E$2:E9221,"Domain"),"")</f>
        <v/>
      </c>
    </row>
    <row r="9222">
      <c r="A9222" s="2" t="n"/>
      <c r="B9222">
        <f>LOWER(TRIM(A9222))</f>
        <v/>
      </c>
      <c r="C9222">
        <f>IF(B9222="","",IFERROR(INDEX('Bad Patterns'!$A$2:$A$120,MATCH(1,INDEX(--ISNUMBER(SEARCH('Bad Patterns'!$A$2:$A$120,B9222)),0),0)),""))</f>
        <v/>
      </c>
      <c r="D9222">
        <f>IF(B9222="","",IF(C9222&lt;&gt;"","REMOVE","KEEP"))</f>
        <v/>
      </c>
      <c r="E9222">
        <f>IF(D9222&lt;&gt;"KEEP","",IF(RIGHT(B9222,10)="@gmail.com","Gmail",IF(OR(RIGHT(B9222,12)="@outlook.com",RIGHT(B9222,12)="@hotmail.com",RIGHT(B9222,9)="@live.com"),"Outlook","Domain")))</f>
        <v/>
      </c>
      <c r="F9222">
        <f>IF(B9222="","",IFERROR(RIGHT(B9222,LEN(B9222)-FIND("@",B9222)),""))</f>
        <v/>
      </c>
      <c r="G9222">
        <f>IF(D9222="KEEP",COUNTIF($D$2:D9222,"KEEP"),"")</f>
        <v/>
      </c>
      <c r="H9222">
        <f>IF(D9222="REMOVE",COUNTIF($D$2:D9222,"REMOVE"),"")</f>
        <v/>
      </c>
      <c r="I9222">
        <f>IF(E9222="Gmail",COUNTIF($E$2:E9222,"Gmail"),"")</f>
        <v/>
      </c>
      <c r="J9222">
        <f>IF(E9222="Outlook",COUNTIF($E$2:E9222,"Outlook"),"")</f>
        <v/>
      </c>
      <c r="K9222">
        <f>IF(E9222="Domain",COUNTIF($E$2:E9222,"Domain"),"")</f>
        <v/>
      </c>
    </row>
    <row r="9223">
      <c r="A9223" s="2" t="n"/>
      <c r="B9223">
        <f>LOWER(TRIM(A9223))</f>
        <v/>
      </c>
      <c r="C9223">
        <f>IF(B9223="","",IFERROR(INDEX('Bad Patterns'!$A$2:$A$120,MATCH(1,INDEX(--ISNUMBER(SEARCH('Bad Patterns'!$A$2:$A$120,B9223)),0),0)),""))</f>
        <v/>
      </c>
      <c r="D9223">
        <f>IF(B9223="","",IF(C9223&lt;&gt;"","REMOVE","KEEP"))</f>
        <v/>
      </c>
      <c r="E9223">
        <f>IF(D9223&lt;&gt;"KEEP","",IF(RIGHT(B9223,10)="@gmail.com","Gmail",IF(OR(RIGHT(B9223,12)="@outlook.com",RIGHT(B9223,12)="@hotmail.com",RIGHT(B9223,9)="@live.com"),"Outlook","Domain")))</f>
        <v/>
      </c>
      <c r="F9223">
        <f>IF(B9223="","",IFERROR(RIGHT(B9223,LEN(B9223)-FIND("@",B9223)),""))</f>
        <v/>
      </c>
      <c r="G9223">
        <f>IF(D9223="KEEP",COUNTIF($D$2:D9223,"KEEP"),"")</f>
        <v/>
      </c>
      <c r="H9223">
        <f>IF(D9223="REMOVE",COUNTIF($D$2:D9223,"REMOVE"),"")</f>
        <v/>
      </c>
      <c r="I9223">
        <f>IF(E9223="Gmail",COUNTIF($E$2:E9223,"Gmail"),"")</f>
        <v/>
      </c>
      <c r="J9223">
        <f>IF(E9223="Outlook",COUNTIF($E$2:E9223,"Outlook"),"")</f>
        <v/>
      </c>
      <c r="K9223">
        <f>IF(E9223="Domain",COUNTIF($E$2:E9223,"Domain"),"")</f>
        <v/>
      </c>
    </row>
    <row r="9224">
      <c r="A9224" s="2" t="n"/>
      <c r="B9224">
        <f>LOWER(TRIM(A9224))</f>
        <v/>
      </c>
      <c r="C9224">
        <f>IF(B9224="","",IFERROR(INDEX('Bad Patterns'!$A$2:$A$120,MATCH(1,INDEX(--ISNUMBER(SEARCH('Bad Patterns'!$A$2:$A$120,B9224)),0),0)),""))</f>
        <v/>
      </c>
      <c r="D9224">
        <f>IF(B9224="","",IF(C9224&lt;&gt;"","REMOVE","KEEP"))</f>
        <v/>
      </c>
      <c r="E9224">
        <f>IF(D9224&lt;&gt;"KEEP","",IF(RIGHT(B9224,10)="@gmail.com","Gmail",IF(OR(RIGHT(B9224,12)="@outlook.com",RIGHT(B9224,12)="@hotmail.com",RIGHT(B9224,9)="@live.com"),"Outlook","Domain")))</f>
        <v/>
      </c>
      <c r="F9224">
        <f>IF(B9224="","",IFERROR(RIGHT(B9224,LEN(B9224)-FIND("@",B9224)),""))</f>
        <v/>
      </c>
      <c r="G9224">
        <f>IF(D9224="KEEP",COUNTIF($D$2:D9224,"KEEP"),"")</f>
        <v/>
      </c>
      <c r="H9224">
        <f>IF(D9224="REMOVE",COUNTIF($D$2:D9224,"REMOVE"),"")</f>
        <v/>
      </c>
      <c r="I9224">
        <f>IF(E9224="Gmail",COUNTIF($E$2:E9224,"Gmail"),"")</f>
        <v/>
      </c>
      <c r="J9224">
        <f>IF(E9224="Outlook",COUNTIF($E$2:E9224,"Outlook"),"")</f>
        <v/>
      </c>
      <c r="K9224">
        <f>IF(E9224="Domain",COUNTIF($E$2:E9224,"Domain"),"")</f>
        <v/>
      </c>
    </row>
    <row r="9225">
      <c r="A9225" s="2" t="n"/>
      <c r="B9225">
        <f>LOWER(TRIM(A9225))</f>
        <v/>
      </c>
      <c r="C9225">
        <f>IF(B9225="","",IFERROR(INDEX('Bad Patterns'!$A$2:$A$120,MATCH(1,INDEX(--ISNUMBER(SEARCH('Bad Patterns'!$A$2:$A$120,B9225)),0),0)),""))</f>
        <v/>
      </c>
      <c r="D9225">
        <f>IF(B9225="","",IF(C9225&lt;&gt;"","REMOVE","KEEP"))</f>
        <v/>
      </c>
      <c r="E9225">
        <f>IF(D9225&lt;&gt;"KEEP","",IF(RIGHT(B9225,10)="@gmail.com","Gmail",IF(OR(RIGHT(B9225,12)="@outlook.com",RIGHT(B9225,12)="@hotmail.com",RIGHT(B9225,9)="@live.com"),"Outlook","Domain")))</f>
        <v/>
      </c>
      <c r="F9225">
        <f>IF(B9225="","",IFERROR(RIGHT(B9225,LEN(B9225)-FIND("@",B9225)),""))</f>
        <v/>
      </c>
      <c r="G9225">
        <f>IF(D9225="KEEP",COUNTIF($D$2:D9225,"KEEP"),"")</f>
        <v/>
      </c>
      <c r="H9225">
        <f>IF(D9225="REMOVE",COUNTIF($D$2:D9225,"REMOVE"),"")</f>
        <v/>
      </c>
      <c r="I9225">
        <f>IF(E9225="Gmail",COUNTIF($E$2:E9225,"Gmail"),"")</f>
        <v/>
      </c>
      <c r="J9225">
        <f>IF(E9225="Outlook",COUNTIF($E$2:E9225,"Outlook"),"")</f>
        <v/>
      </c>
      <c r="K9225">
        <f>IF(E9225="Domain",COUNTIF($E$2:E9225,"Domain"),"")</f>
        <v/>
      </c>
    </row>
    <row r="9226">
      <c r="A9226" s="2" t="n"/>
      <c r="B9226">
        <f>LOWER(TRIM(A9226))</f>
        <v/>
      </c>
      <c r="C9226">
        <f>IF(B9226="","",IFERROR(INDEX('Bad Patterns'!$A$2:$A$120,MATCH(1,INDEX(--ISNUMBER(SEARCH('Bad Patterns'!$A$2:$A$120,B9226)),0),0)),""))</f>
        <v/>
      </c>
      <c r="D9226">
        <f>IF(B9226="","",IF(C9226&lt;&gt;"","REMOVE","KEEP"))</f>
        <v/>
      </c>
      <c r="E9226">
        <f>IF(D9226&lt;&gt;"KEEP","",IF(RIGHT(B9226,10)="@gmail.com","Gmail",IF(OR(RIGHT(B9226,12)="@outlook.com",RIGHT(B9226,12)="@hotmail.com",RIGHT(B9226,9)="@live.com"),"Outlook","Domain")))</f>
        <v/>
      </c>
      <c r="F9226">
        <f>IF(B9226="","",IFERROR(RIGHT(B9226,LEN(B9226)-FIND("@",B9226)),""))</f>
        <v/>
      </c>
      <c r="G9226">
        <f>IF(D9226="KEEP",COUNTIF($D$2:D9226,"KEEP"),"")</f>
        <v/>
      </c>
      <c r="H9226">
        <f>IF(D9226="REMOVE",COUNTIF($D$2:D9226,"REMOVE"),"")</f>
        <v/>
      </c>
      <c r="I9226">
        <f>IF(E9226="Gmail",COUNTIF($E$2:E9226,"Gmail"),"")</f>
        <v/>
      </c>
      <c r="J9226">
        <f>IF(E9226="Outlook",COUNTIF($E$2:E9226,"Outlook"),"")</f>
        <v/>
      </c>
      <c r="K9226">
        <f>IF(E9226="Domain",COUNTIF($E$2:E9226,"Domain"),"")</f>
        <v/>
      </c>
    </row>
    <row r="9227">
      <c r="A9227" s="2" t="n"/>
      <c r="B9227">
        <f>LOWER(TRIM(A9227))</f>
        <v/>
      </c>
      <c r="C9227">
        <f>IF(B9227="","",IFERROR(INDEX('Bad Patterns'!$A$2:$A$120,MATCH(1,INDEX(--ISNUMBER(SEARCH('Bad Patterns'!$A$2:$A$120,B9227)),0),0)),""))</f>
        <v/>
      </c>
      <c r="D9227">
        <f>IF(B9227="","",IF(C9227&lt;&gt;"","REMOVE","KEEP"))</f>
        <v/>
      </c>
      <c r="E9227">
        <f>IF(D9227&lt;&gt;"KEEP","",IF(RIGHT(B9227,10)="@gmail.com","Gmail",IF(OR(RIGHT(B9227,12)="@outlook.com",RIGHT(B9227,12)="@hotmail.com",RIGHT(B9227,9)="@live.com"),"Outlook","Domain")))</f>
        <v/>
      </c>
      <c r="F9227">
        <f>IF(B9227="","",IFERROR(RIGHT(B9227,LEN(B9227)-FIND("@",B9227)),""))</f>
        <v/>
      </c>
      <c r="G9227">
        <f>IF(D9227="KEEP",COUNTIF($D$2:D9227,"KEEP"),"")</f>
        <v/>
      </c>
      <c r="H9227">
        <f>IF(D9227="REMOVE",COUNTIF($D$2:D9227,"REMOVE"),"")</f>
        <v/>
      </c>
      <c r="I9227">
        <f>IF(E9227="Gmail",COUNTIF($E$2:E9227,"Gmail"),"")</f>
        <v/>
      </c>
      <c r="J9227">
        <f>IF(E9227="Outlook",COUNTIF($E$2:E9227,"Outlook"),"")</f>
        <v/>
      </c>
      <c r="K9227">
        <f>IF(E9227="Domain",COUNTIF($E$2:E9227,"Domain"),"")</f>
        <v/>
      </c>
    </row>
    <row r="9228">
      <c r="A9228" s="2" t="n"/>
      <c r="B9228">
        <f>LOWER(TRIM(A9228))</f>
        <v/>
      </c>
      <c r="C9228">
        <f>IF(B9228="","",IFERROR(INDEX('Bad Patterns'!$A$2:$A$120,MATCH(1,INDEX(--ISNUMBER(SEARCH('Bad Patterns'!$A$2:$A$120,B9228)),0),0)),""))</f>
        <v/>
      </c>
      <c r="D9228">
        <f>IF(B9228="","",IF(C9228&lt;&gt;"","REMOVE","KEEP"))</f>
        <v/>
      </c>
      <c r="E9228">
        <f>IF(D9228&lt;&gt;"KEEP","",IF(RIGHT(B9228,10)="@gmail.com","Gmail",IF(OR(RIGHT(B9228,12)="@outlook.com",RIGHT(B9228,12)="@hotmail.com",RIGHT(B9228,9)="@live.com"),"Outlook","Domain")))</f>
        <v/>
      </c>
      <c r="F9228">
        <f>IF(B9228="","",IFERROR(RIGHT(B9228,LEN(B9228)-FIND("@",B9228)),""))</f>
        <v/>
      </c>
      <c r="G9228">
        <f>IF(D9228="KEEP",COUNTIF($D$2:D9228,"KEEP"),"")</f>
        <v/>
      </c>
      <c r="H9228">
        <f>IF(D9228="REMOVE",COUNTIF($D$2:D9228,"REMOVE"),"")</f>
        <v/>
      </c>
      <c r="I9228">
        <f>IF(E9228="Gmail",COUNTIF($E$2:E9228,"Gmail"),"")</f>
        <v/>
      </c>
      <c r="J9228">
        <f>IF(E9228="Outlook",COUNTIF($E$2:E9228,"Outlook"),"")</f>
        <v/>
      </c>
      <c r="K9228">
        <f>IF(E9228="Domain",COUNTIF($E$2:E9228,"Domain"),"")</f>
        <v/>
      </c>
    </row>
    <row r="9229">
      <c r="A9229" s="2" t="n"/>
      <c r="B9229">
        <f>LOWER(TRIM(A9229))</f>
        <v/>
      </c>
      <c r="C9229">
        <f>IF(B9229="","",IFERROR(INDEX('Bad Patterns'!$A$2:$A$120,MATCH(1,INDEX(--ISNUMBER(SEARCH('Bad Patterns'!$A$2:$A$120,B9229)),0),0)),""))</f>
        <v/>
      </c>
      <c r="D9229">
        <f>IF(B9229="","",IF(C9229&lt;&gt;"","REMOVE","KEEP"))</f>
        <v/>
      </c>
      <c r="E9229">
        <f>IF(D9229&lt;&gt;"KEEP","",IF(RIGHT(B9229,10)="@gmail.com","Gmail",IF(OR(RIGHT(B9229,12)="@outlook.com",RIGHT(B9229,12)="@hotmail.com",RIGHT(B9229,9)="@live.com"),"Outlook","Domain")))</f>
        <v/>
      </c>
      <c r="F9229">
        <f>IF(B9229="","",IFERROR(RIGHT(B9229,LEN(B9229)-FIND("@",B9229)),""))</f>
        <v/>
      </c>
      <c r="G9229">
        <f>IF(D9229="KEEP",COUNTIF($D$2:D9229,"KEEP"),"")</f>
        <v/>
      </c>
      <c r="H9229">
        <f>IF(D9229="REMOVE",COUNTIF($D$2:D9229,"REMOVE"),"")</f>
        <v/>
      </c>
      <c r="I9229">
        <f>IF(E9229="Gmail",COUNTIF($E$2:E9229,"Gmail"),"")</f>
        <v/>
      </c>
      <c r="J9229">
        <f>IF(E9229="Outlook",COUNTIF($E$2:E9229,"Outlook"),"")</f>
        <v/>
      </c>
      <c r="K9229">
        <f>IF(E9229="Domain",COUNTIF($E$2:E9229,"Domain"),"")</f>
        <v/>
      </c>
    </row>
    <row r="9230">
      <c r="A9230" s="2" t="n"/>
      <c r="B9230">
        <f>LOWER(TRIM(A9230))</f>
        <v/>
      </c>
      <c r="C9230">
        <f>IF(B9230="","",IFERROR(INDEX('Bad Patterns'!$A$2:$A$120,MATCH(1,INDEX(--ISNUMBER(SEARCH('Bad Patterns'!$A$2:$A$120,B9230)),0),0)),""))</f>
        <v/>
      </c>
      <c r="D9230">
        <f>IF(B9230="","",IF(C9230&lt;&gt;"","REMOVE","KEEP"))</f>
        <v/>
      </c>
      <c r="E9230">
        <f>IF(D9230&lt;&gt;"KEEP","",IF(RIGHT(B9230,10)="@gmail.com","Gmail",IF(OR(RIGHT(B9230,12)="@outlook.com",RIGHT(B9230,12)="@hotmail.com",RIGHT(B9230,9)="@live.com"),"Outlook","Domain")))</f>
        <v/>
      </c>
      <c r="F9230">
        <f>IF(B9230="","",IFERROR(RIGHT(B9230,LEN(B9230)-FIND("@",B9230)),""))</f>
        <v/>
      </c>
      <c r="G9230">
        <f>IF(D9230="KEEP",COUNTIF($D$2:D9230,"KEEP"),"")</f>
        <v/>
      </c>
      <c r="H9230">
        <f>IF(D9230="REMOVE",COUNTIF($D$2:D9230,"REMOVE"),"")</f>
        <v/>
      </c>
      <c r="I9230">
        <f>IF(E9230="Gmail",COUNTIF($E$2:E9230,"Gmail"),"")</f>
        <v/>
      </c>
      <c r="J9230">
        <f>IF(E9230="Outlook",COUNTIF($E$2:E9230,"Outlook"),"")</f>
        <v/>
      </c>
      <c r="K9230">
        <f>IF(E9230="Domain",COUNTIF($E$2:E9230,"Domain"),"")</f>
        <v/>
      </c>
    </row>
    <row r="9231">
      <c r="A9231" s="2" t="n"/>
      <c r="B9231">
        <f>LOWER(TRIM(A9231))</f>
        <v/>
      </c>
      <c r="C9231">
        <f>IF(B9231="","",IFERROR(INDEX('Bad Patterns'!$A$2:$A$120,MATCH(1,INDEX(--ISNUMBER(SEARCH('Bad Patterns'!$A$2:$A$120,B9231)),0),0)),""))</f>
        <v/>
      </c>
      <c r="D9231">
        <f>IF(B9231="","",IF(C9231&lt;&gt;"","REMOVE","KEEP"))</f>
        <v/>
      </c>
      <c r="E9231">
        <f>IF(D9231&lt;&gt;"KEEP","",IF(RIGHT(B9231,10)="@gmail.com","Gmail",IF(OR(RIGHT(B9231,12)="@outlook.com",RIGHT(B9231,12)="@hotmail.com",RIGHT(B9231,9)="@live.com"),"Outlook","Domain")))</f>
        <v/>
      </c>
      <c r="F9231">
        <f>IF(B9231="","",IFERROR(RIGHT(B9231,LEN(B9231)-FIND("@",B9231)),""))</f>
        <v/>
      </c>
      <c r="G9231">
        <f>IF(D9231="KEEP",COUNTIF($D$2:D9231,"KEEP"),"")</f>
        <v/>
      </c>
      <c r="H9231">
        <f>IF(D9231="REMOVE",COUNTIF($D$2:D9231,"REMOVE"),"")</f>
        <v/>
      </c>
      <c r="I9231">
        <f>IF(E9231="Gmail",COUNTIF($E$2:E9231,"Gmail"),"")</f>
        <v/>
      </c>
      <c r="J9231">
        <f>IF(E9231="Outlook",COUNTIF($E$2:E9231,"Outlook"),"")</f>
        <v/>
      </c>
      <c r="K9231">
        <f>IF(E9231="Domain",COUNTIF($E$2:E9231,"Domain"),"")</f>
        <v/>
      </c>
    </row>
    <row r="9232">
      <c r="A9232" s="2" t="n"/>
      <c r="B9232">
        <f>LOWER(TRIM(A9232))</f>
        <v/>
      </c>
      <c r="C9232">
        <f>IF(B9232="","",IFERROR(INDEX('Bad Patterns'!$A$2:$A$120,MATCH(1,INDEX(--ISNUMBER(SEARCH('Bad Patterns'!$A$2:$A$120,B9232)),0),0)),""))</f>
        <v/>
      </c>
      <c r="D9232">
        <f>IF(B9232="","",IF(C9232&lt;&gt;"","REMOVE","KEEP"))</f>
        <v/>
      </c>
      <c r="E9232">
        <f>IF(D9232&lt;&gt;"KEEP","",IF(RIGHT(B9232,10)="@gmail.com","Gmail",IF(OR(RIGHT(B9232,12)="@outlook.com",RIGHT(B9232,12)="@hotmail.com",RIGHT(B9232,9)="@live.com"),"Outlook","Domain")))</f>
        <v/>
      </c>
      <c r="F9232">
        <f>IF(B9232="","",IFERROR(RIGHT(B9232,LEN(B9232)-FIND("@",B9232)),""))</f>
        <v/>
      </c>
      <c r="G9232">
        <f>IF(D9232="KEEP",COUNTIF($D$2:D9232,"KEEP"),"")</f>
        <v/>
      </c>
      <c r="H9232">
        <f>IF(D9232="REMOVE",COUNTIF($D$2:D9232,"REMOVE"),"")</f>
        <v/>
      </c>
      <c r="I9232">
        <f>IF(E9232="Gmail",COUNTIF($E$2:E9232,"Gmail"),"")</f>
        <v/>
      </c>
      <c r="J9232">
        <f>IF(E9232="Outlook",COUNTIF($E$2:E9232,"Outlook"),"")</f>
        <v/>
      </c>
      <c r="K9232">
        <f>IF(E9232="Domain",COUNTIF($E$2:E9232,"Domain"),"")</f>
        <v/>
      </c>
    </row>
    <row r="9233">
      <c r="A9233" s="2" t="n"/>
      <c r="B9233">
        <f>LOWER(TRIM(A9233))</f>
        <v/>
      </c>
      <c r="C9233">
        <f>IF(B9233="","",IFERROR(INDEX('Bad Patterns'!$A$2:$A$120,MATCH(1,INDEX(--ISNUMBER(SEARCH('Bad Patterns'!$A$2:$A$120,B9233)),0),0)),""))</f>
        <v/>
      </c>
      <c r="D9233">
        <f>IF(B9233="","",IF(C9233&lt;&gt;"","REMOVE","KEEP"))</f>
        <v/>
      </c>
      <c r="E9233">
        <f>IF(D9233&lt;&gt;"KEEP","",IF(RIGHT(B9233,10)="@gmail.com","Gmail",IF(OR(RIGHT(B9233,12)="@outlook.com",RIGHT(B9233,12)="@hotmail.com",RIGHT(B9233,9)="@live.com"),"Outlook","Domain")))</f>
        <v/>
      </c>
      <c r="F9233">
        <f>IF(B9233="","",IFERROR(RIGHT(B9233,LEN(B9233)-FIND("@",B9233)),""))</f>
        <v/>
      </c>
      <c r="G9233">
        <f>IF(D9233="KEEP",COUNTIF($D$2:D9233,"KEEP"),"")</f>
        <v/>
      </c>
      <c r="H9233">
        <f>IF(D9233="REMOVE",COUNTIF($D$2:D9233,"REMOVE"),"")</f>
        <v/>
      </c>
      <c r="I9233">
        <f>IF(E9233="Gmail",COUNTIF($E$2:E9233,"Gmail"),"")</f>
        <v/>
      </c>
      <c r="J9233">
        <f>IF(E9233="Outlook",COUNTIF($E$2:E9233,"Outlook"),"")</f>
        <v/>
      </c>
      <c r="K9233">
        <f>IF(E9233="Domain",COUNTIF($E$2:E9233,"Domain"),"")</f>
        <v/>
      </c>
    </row>
    <row r="9234">
      <c r="A9234" s="2" t="n"/>
      <c r="B9234">
        <f>LOWER(TRIM(A9234))</f>
        <v/>
      </c>
      <c r="C9234">
        <f>IF(B9234="","",IFERROR(INDEX('Bad Patterns'!$A$2:$A$120,MATCH(1,INDEX(--ISNUMBER(SEARCH('Bad Patterns'!$A$2:$A$120,B9234)),0),0)),""))</f>
        <v/>
      </c>
      <c r="D9234">
        <f>IF(B9234="","",IF(C9234&lt;&gt;"","REMOVE","KEEP"))</f>
        <v/>
      </c>
      <c r="E9234">
        <f>IF(D9234&lt;&gt;"KEEP","",IF(RIGHT(B9234,10)="@gmail.com","Gmail",IF(OR(RIGHT(B9234,12)="@outlook.com",RIGHT(B9234,12)="@hotmail.com",RIGHT(B9234,9)="@live.com"),"Outlook","Domain")))</f>
        <v/>
      </c>
      <c r="F9234">
        <f>IF(B9234="","",IFERROR(RIGHT(B9234,LEN(B9234)-FIND("@",B9234)),""))</f>
        <v/>
      </c>
      <c r="G9234">
        <f>IF(D9234="KEEP",COUNTIF($D$2:D9234,"KEEP"),"")</f>
        <v/>
      </c>
      <c r="H9234">
        <f>IF(D9234="REMOVE",COUNTIF($D$2:D9234,"REMOVE"),"")</f>
        <v/>
      </c>
      <c r="I9234">
        <f>IF(E9234="Gmail",COUNTIF($E$2:E9234,"Gmail"),"")</f>
        <v/>
      </c>
      <c r="J9234">
        <f>IF(E9234="Outlook",COUNTIF($E$2:E9234,"Outlook"),"")</f>
        <v/>
      </c>
      <c r="K9234">
        <f>IF(E9234="Domain",COUNTIF($E$2:E9234,"Domain"),"")</f>
        <v/>
      </c>
    </row>
    <row r="9235">
      <c r="A9235" s="2" t="n"/>
      <c r="B9235">
        <f>LOWER(TRIM(A9235))</f>
        <v/>
      </c>
      <c r="C9235">
        <f>IF(B9235="","",IFERROR(INDEX('Bad Patterns'!$A$2:$A$120,MATCH(1,INDEX(--ISNUMBER(SEARCH('Bad Patterns'!$A$2:$A$120,B9235)),0),0)),""))</f>
        <v/>
      </c>
      <c r="D9235">
        <f>IF(B9235="","",IF(C9235&lt;&gt;"","REMOVE","KEEP"))</f>
        <v/>
      </c>
      <c r="E9235">
        <f>IF(D9235&lt;&gt;"KEEP","",IF(RIGHT(B9235,10)="@gmail.com","Gmail",IF(OR(RIGHT(B9235,12)="@outlook.com",RIGHT(B9235,12)="@hotmail.com",RIGHT(B9235,9)="@live.com"),"Outlook","Domain")))</f>
        <v/>
      </c>
      <c r="F9235">
        <f>IF(B9235="","",IFERROR(RIGHT(B9235,LEN(B9235)-FIND("@",B9235)),""))</f>
        <v/>
      </c>
      <c r="G9235">
        <f>IF(D9235="KEEP",COUNTIF($D$2:D9235,"KEEP"),"")</f>
        <v/>
      </c>
      <c r="H9235">
        <f>IF(D9235="REMOVE",COUNTIF($D$2:D9235,"REMOVE"),"")</f>
        <v/>
      </c>
      <c r="I9235">
        <f>IF(E9235="Gmail",COUNTIF($E$2:E9235,"Gmail"),"")</f>
        <v/>
      </c>
      <c r="J9235">
        <f>IF(E9235="Outlook",COUNTIF($E$2:E9235,"Outlook"),"")</f>
        <v/>
      </c>
      <c r="K9235">
        <f>IF(E9235="Domain",COUNTIF($E$2:E9235,"Domain"),"")</f>
        <v/>
      </c>
    </row>
    <row r="9236">
      <c r="A9236" s="2" t="n"/>
      <c r="B9236">
        <f>LOWER(TRIM(A9236))</f>
        <v/>
      </c>
      <c r="C9236">
        <f>IF(B9236="","",IFERROR(INDEX('Bad Patterns'!$A$2:$A$120,MATCH(1,INDEX(--ISNUMBER(SEARCH('Bad Patterns'!$A$2:$A$120,B9236)),0),0)),""))</f>
        <v/>
      </c>
      <c r="D9236">
        <f>IF(B9236="","",IF(C9236&lt;&gt;"","REMOVE","KEEP"))</f>
        <v/>
      </c>
      <c r="E9236">
        <f>IF(D9236&lt;&gt;"KEEP","",IF(RIGHT(B9236,10)="@gmail.com","Gmail",IF(OR(RIGHT(B9236,12)="@outlook.com",RIGHT(B9236,12)="@hotmail.com",RIGHT(B9236,9)="@live.com"),"Outlook","Domain")))</f>
        <v/>
      </c>
      <c r="F9236">
        <f>IF(B9236="","",IFERROR(RIGHT(B9236,LEN(B9236)-FIND("@",B9236)),""))</f>
        <v/>
      </c>
      <c r="G9236">
        <f>IF(D9236="KEEP",COUNTIF($D$2:D9236,"KEEP"),"")</f>
        <v/>
      </c>
      <c r="H9236">
        <f>IF(D9236="REMOVE",COUNTIF($D$2:D9236,"REMOVE"),"")</f>
        <v/>
      </c>
      <c r="I9236">
        <f>IF(E9236="Gmail",COUNTIF($E$2:E9236,"Gmail"),"")</f>
        <v/>
      </c>
      <c r="J9236">
        <f>IF(E9236="Outlook",COUNTIF($E$2:E9236,"Outlook"),"")</f>
        <v/>
      </c>
      <c r="K9236">
        <f>IF(E9236="Domain",COUNTIF($E$2:E9236,"Domain"),"")</f>
        <v/>
      </c>
    </row>
    <row r="9237">
      <c r="A9237" s="2" t="n"/>
      <c r="B9237">
        <f>LOWER(TRIM(A9237))</f>
        <v/>
      </c>
      <c r="C9237">
        <f>IF(B9237="","",IFERROR(INDEX('Bad Patterns'!$A$2:$A$120,MATCH(1,INDEX(--ISNUMBER(SEARCH('Bad Patterns'!$A$2:$A$120,B9237)),0),0)),""))</f>
        <v/>
      </c>
      <c r="D9237">
        <f>IF(B9237="","",IF(C9237&lt;&gt;"","REMOVE","KEEP"))</f>
        <v/>
      </c>
      <c r="E9237">
        <f>IF(D9237&lt;&gt;"KEEP","",IF(RIGHT(B9237,10)="@gmail.com","Gmail",IF(OR(RIGHT(B9237,12)="@outlook.com",RIGHT(B9237,12)="@hotmail.com",RIGHT(B9237,9)="@live.com"),"Outlook","Domain")))</f>
        <v/>
      </c>
      <c r="F9237">
        <f>IF(B9237="","",IFERROR(RIGHT(B9237,LEN(B9237)-FIND("@",B9237)),""))</f>
        <v/>
      </c>
      <c r="G9237">
        <f>IF(D9237="KEEP",COUNTIF($D$2:D9237,"KEEP"),"")</f>
        <v/>
      </c>
      <c r="H9237">
        <f>IF(D9237="REMOVE",COUNTIF($D$2:D9237,"REMOVE"),"")</f>
        <v/>
      </c>
      <c r="I9237">
        <f>IF(E9237="Gmail",COUNTIF($E$2:E9237,"Gmail"),"")</f>
        <v/>
      </c>
      <c r="J9237">
        <f>IF(E9237="Outlook",COUNTIF($E$2:E9237,"Outlook"),"")</f>
        <v/>
      </c>
      <c r="K9237">
        <f>IF(E9237="Domain",COUNTIF($E$2:E9237,"Domain"),"")</f>
        <v/>
      </c>
    </row>
    <row r="9238">
      <c r="A9238" s="2" t="n"/>
      <c r="B9238">
        <f>LOWER(TRIM(A9238))</f>
        <v/>
      </c>
      <c r="C9238">
        <f>IF(B9238="","",IFERROR(INDEX('Bad Patterns'!$A$2:$A$120,MATCH(1,INDEX(--ISNUMBER(SEARCH('Bad Patterns'!$A$2:$A$120,B9238)),0),0)),""))</f>
        <v/>
      </c>
      <c r="D9238">
        <f>IF(B9238="","",IF(C9238&lt;&gt;"","REMOVE","KEEP"))</f>
        <v/>
      </c>
      <c r="E9238">
        <f>IF(D9238&lt;&gt;"KEEP","",IF(RIGHT(B9238,10)="@gmail.com","Gmail",IF(OR(RIGHT(B9238,12)="@outlook.com",RIGHT(B9238,12)="@hotmail.com",RIGHT(B9238,9)="@live.com"),"Outlook","Domain")))</f>
        <v/>
      </c>
      <c r="F9238">
        <f>IF(B9238="","",IFERROR(RIGHT(B9238,LEN(B9238)-FIND("@",B9238)),""))</f>
        <v/>
      </c>
      <c r="G9238">
        <f>IF(D9238="KEEP",COUNTIF($D$2:D9238,"KEEP"),"")</f>
        <v/>
      </c>
      <c r="H9238">
        <f>IF(D9238="REMOVE",COUNTIF($D$2:D9238,"REMOVE"),"")</f>
        <v/>
      </c>
      <c r="I9238">
        <f>IF(E9238="Gmail",COUNTIF($E$2:E9238,"Gmail"),"")</f>
        <v/>
      </c>
      <c r="J9238">
        <f>IF(E9238="Outlook",COUNTIF($E$2:E9238,"Outlook"),"")</f>
        <v/>
      </c>
      <c r="K9238">
        <f>IF(E9238="Domain",COUNTIF($E$2:E9238,"Domain"),"")</f>
        <v/>
      </c>
    </row>
    <row r="9239">
      <c r="A9239" s="2" t="n"/>
      <c r="B9239">
        <f>LOWER(TRIM(A9239))</f>
        <v/>
      </c>
      <c r="C9239">
        <f>IF(B9239="","",IFERROR(INDEX('Bad Patterns'!$A$2:$A$120,MATCH(1,INDEX(--ISNUMBER(SEARCH('Bad Patterns'!$A$2:$A$120,B9239)),0),0)),""))</f>
        <v/>
      </c>
      <c r="D9239">
        <f>IF(B9239="","",IF(C9239&lt;&gt;"","REMOVE","KEEP"))</f>
        <v/>
      </c>
      <c r="E9239">
        <f>IF(D9239&lt;&gt;"KEEP","",IF(RIGHT(B9239,10)="@gmail.com","Gmail",IF(OR(RIGHT(B9239,12)="@outlook.com",RIGHT(B9239,12)="@hotmail.com",RIGHT(B9239,9)="@live.com"),"Outlook","Domain")))</f>
        <v/>
      </c>
      <c r="F9239">
        <f>IF(B9239="","",IFERROR(RIGHT(B9239,LEN(B9239)-FIND("@",B9239)),""))</f>
        <v/>
      </c>
      <c r="G9239">
        <f>IF(D9239="KEEP",COUNTIF($D$2:D9239,"KEEP"),"")</f>
        <v/>
      </c>
      <c r="H9239">
        <f>IF(D9239="REMOVE",COUNTIF($D$2:D9239,"REMOVE"),"")</f>
        <v/>
      </c>
      <c r="I9239">
        <f>IF(E9239="Gmail",COUNTIF($E$2:E9239,"Gmail"),"")</f>
        <v/>
      </c>
      <c r="J9239">
        <f>IF(E9239="Outlook",COUNTIF($E$2:E9239,"Outlook"),"")</f>
        <v/>
      </c>
      <c r="K9239">
        <f>IF(E9239="Domain",COUNTIF($E$2:E9239,"Domain"),"")</f>
        <v/>
      </c>
    </row>
    <row r="9240">
      <c r="A9240" s="2" t="n"/>
      <c r="B9240">
        <f>LOWER(TRIM(A9240))</f>
        <v/>
      </c>
      <c r="C9240">
        <f>IF(B9240="","",IFERROR(INDEX('Bad Patterns'!$A$2:$A$120,MATCH(1,INDEX(--ISNUMBER(SEARCH('Bad Patterns'!$A$2:$A$120,B9240)),0),0)),""))</f>
        <v/>
      </c>
      <c r="D9240">
        <f>IF(B9240="","",IF(C9240&lt;&gt;"","REMOVE","KEEP"))</f>
        <v/>
      </c>
      <c r="E9240">
        <f>IF(D9240&lt;&gt;"KEEP","",IF(RIGHT(B9240,10)="@gmail.com","Gmail",IF(OR(RIGHT(B9240,12)="@outlook.com",RIGHT(B9240,12)="@hotmail.com",RIGHT(B9240,9)="@live.com"),"Outlook","Domain")))</f>
        <v/>
      </c>
      <c r="F9240">
        <f>IF(B9240="","",IFERROR(RIGHT(B9240,LEN(B9240)-FIND("@",B9240)),""))</f>
        <v/>
      </c>
      <c r="G9240">
        <f>IF(D9240="KEEP",COUNTIF($D$2:D9240,"KEEP"),"")</f>
        <v/>
      </c>
      <c r="H9240">
        <f>IF(D9240="REMOVE",COUNTIF($D$2:D9240,"REMOVE"),"")</f>
        <v/>
      </c>
      <c r="I9240">
        <f>IF(E9240="Gmail",COUNTIF($E$2:E9240,"Gmail"),"")</f>
        <v/>
      </c>
      <c r="J9240">
        <f>IF(E9240="Outlook",COUNTIF($E$2:E9240,"Outlook"),"")</f>
        <v/>
      </c>
      <c r="K9240">
        <f>IF(E9240="Domain",COUNTIF($E$2:E9240,"Domain"),"")</f>
        <v/>
      </c>
    </row>
    <row r="9241">
      <c r="A9241" s="2" t="n"/>
      <c r="B9241">
        <f>LOWER(TRIM(A9241))</f>
        <v/>
      </c>
      <c r="C9241">
        <f>IF(B9241="","",IFERROR(INDEX('Bad Patterns'!$A$2:$A$120,MATCH(1,INDEX(--ISNUMBER(SEARCH('Bad Patterns'!$A$2:$A$120,B9241)),0),0)),""))</f>
        <v/>
      </c>
      <c r="D9241">
        <f>IF(B9241="","",IF(C9241&lt;&gt;"","REMOVE","KEEP"))</f>
        <v/>
      </c>
      <c r="E9241">
        <f>IF(D9241&lt;&gt;"KEEP","",IF(RIGHT(B9241,10)="@gmail.com","Gmail",IF(OR(RIGHT(B9241,12)="@outlook.com",RIGHT(B9241,12)="@hotmail.com",RIGHT(B9241,9)="@live.com"),"Outlook","Domain")))</f>
        <v/>
      </c>
      <c r="F9241">
        <f>IF(B9241="","",IFERROR(RIGHT(B9241,LEN(B9241)-FIND("@",B9241)),""))</f>
        <v/>
      </c>
      <c r="G9241">
        <f>IF(D9241="KEEP",COUNTIF($D$2:D9241,"KEEP"),"")</f>
        <v/>
      </c>
      <c r="H9241">
        <f>IF(D9241="REMOVE",COUNTIF($D$2:D9241,"REMOVE"),"")</f>
        <v/>
      </c>
      <c r="I9241">
        <f>IF(E9241="Gmail",COUNTIF($E$2:E9241,"Gmail"),"")</f>
        <v/>
      </c>
      <c r="J9241">
        <f>IF(E9241="Outlook",COUNTIF($E$2:E9241,"Outlook"),"")</f>
        <v/>
      </c>
      <c r="K9241">
        <f>IF(E9241="Domain",COUNTIF($E$2:E9241,"Domain"),"")</f>
        <v/>
      </c>
    </row>
    <row r="9242">
      <c r="A9242" s="2" t="n"/>
      <c r="B9242">
        <f>LOWER(TRIM(A9242))</f>
        <v/>
      </c>
      <c r="C9242">
        <f>IF(B9242="","",IFERROR(INDEX('Bad Patterns'!$A$2:$A$120,MATCH(1,INDEX(--ISNUMBER(SEARCH('Bad Patterns'!$A$2:$A$120,B9242)),0),0)),""))</f>
        <v/>
      </c>
      <c r="D9242">
        <f>IF(B9242="","",IF(C9242&lt;&gt;"","REMOVE","KEEP"))</f>
        <v/>
      </c>
      <c r="E9242">
        <f>IF(D9242&lt;&gt;"KEEP","",IF(RIGHT(B9242,10)="@gmail.com","Gmail",IF(OR(RIGHT(B9242,12)="@outlook.com",RIGHT(B9242,12)="@hotmail.com",RIGHT(B9242,9)="@live.com"),"Outlook","Domain")))</f>
        <v/>
      </c>
      <c r="F9242">
        <f>IF(B9242="","",IFERROR(RIGHT(B9242,LEN(B9242)-FIND("@",B9242)),""))</f>
        <v/>
      </c>
      <c r="G9242">
        <f>IF(D9242="KEEP",COUNTIF($D$2:D9242,"KEEP"),"")</f>
        <v/>
      </c>
      <c r="H9242">
        <f>IF(D9242="REMOVE",COUNTIF($D$2:D9242,"REMOVE"),"")</f>
        <v/>
      </c>
      <c r="I9242">
        <f>IF(E9242="Gmail",COUNTIF($E$2:E9242,"Gmail"),"")</f>
        <v/>
      </c>
      <c r="J9242">
        <f>IF(E9242="Outlook",COUNTIF($E$2:E9242,"Outlook"),"")</f>
        <v/>
      </c>
      <c r="K9242">
        <f>IF(E9242="Domain",COUNTIF($E$2:E9242,"Domain"),"")</f>
        <v/>
      </c>
    </row>
    <row r="9243">
      <c r="A9243" s="2" t="n"/>
      <c r="B9243">
        <f>LOWER(TRIM(A9243))</f>
        <v/>
      </c>
      <c r="C9243">
        <f>IF(B9243="","",IFERROR(INDEX('Bad Patterns'!$A$2:$A$120,MATCH(1,INDEX(--ISNUMBER(SEARCH('Bad Patterns'!$A$2:$A$120,B9243)),0),0)),""))</f>
        <v/>
      </c>
      <c r="D9243">
        <f>IF(B9243="","",IF(C9243&lt;&gt;"","REMOVE","KEEP"))</f>
        <v/>
      </c>
      <c r="E9243">
        <f>IF(D9243&lt;&gt;"KEEP","",IF(RIGHT(B9243,10)="@gmail.com","Gmail",IF(OR(RIGHT(B9243,12)="@outlook.com",RIGHT(B9243,12)="@hotmail.com",RIGHT(B9243,9)="@live.com"),"Outlook","Domain")))</f>
        <v/>
      </c>
      <c r="F9243">
        <f>IF(B9243="","",IFERROR(RIGHT(B9243,LEN(B9243)-FIND("@",B9243)),""))</f>
        <v/>
      </c>
      <c r="G9243">
        <f>IF(D9243="KEEP",COUNTIF($D$2:D9243,"KEEP"),"")</f>
        <v/>
      </c>
      <c r="H9243">
        <f>IF(D9243="REMOVE",COUNTIF($D$2:D9243,"REMOVE"),"")</f>
        <v/>
      </c>
      <c r="I9243">
        <f>IF(E9243="Gmail",COUNTIF($E$2:E9243,"Gmail"),"")</f>
        <v/>
      </c>
      <c r="J9243">
        <f>IF(E9243="Outlook",COUNTIF($E$2:E9243,"Outlook"),"")</f>
        <v/>
      </c>
      <c r="K9243">
        <f>IF(E9243="Domain",COUNTIF($E$2:E9243,"Domain"),"")</f>
        <v/>
      </c>
    </row>
    <row r="9244">
      <c r="A9244" s="2" t="n"/>
      <c r="B9244">
        <f>LOWER(TRIM(A9244))</f>
        <v/>
      </c>
      <c r="C9244">
        <f>IF(B9244="","",IFERROR(INDEX('Bad Patterns'!$A$2:$A$120,MATCH(1,INDEX(--ISNUMBER(SEARCH('Bad Patterns'!$A$2:$A$120,B9244)),0),0)),""))</f>
        <v/>
      </c>
      <c r="D9244">
        <f>IF(B9244="","",IF(C9244&lt;&gt;"","REMOVE","KEEP"))</f>
        <v/>
      </c>
      <c r="E9244">
        <f>IF(D9244&lt;&gt;"KEEP","",IF(RIGHT(B9244,10)="@gmail.com","Gmail",IF(OR(RIGHT(B9244,12)="@outlook.com",RIGHT(B9244,12)="@hotmail.com",RIGHT(B9244,9)="@live.com"),"Outlook","Domain")))</f>
        <v/>
      </c>
      <c r="F9244">
        <f>IF(B9244="","",IFERROR(RIGHT(B9244,LEN(B9244)-FIND("@",B9244)),""))</f>
        <v/>
      </c>
      <c r="G9244">
        <f>IF(D9244="KEEP",COUNTIF($D$2:D9244,"KEEP"),"")</f>
        <v/>
      </c>
      <c r="H9244">
        <f>IF(D9244="REMOVE",COUNTIF($D$2:D9244,"REMOVE"),"")</f>
        <v/>
      </c>
      <c r="I9244">
        <f>IF(E9244="Gmail",COUNTIF($E$2:E9244,"Gmail"),"")</f>
        <v/>
      </c>
      <c r="J9244">
        <f>IF(E9244="Outlook",COUNTIF($E$2:E9244,"Outlook"),"")</f>
        <v/>
      </c>
      <c r="K9244">
        <f>IF(E9244="Domain",COUNTIF($E$2:E9244,"Domain"),"")</f>
        <v/>
      </c>
    </row>
    <row r="9245">
      <c r="A9245" s="2" t="n"/>
      <c r="B9245">
        <f>LOWER(TRIM(A9245))</f>
        <v/>
      </c>
      <c r="C9245">
        <f>IF(B9245="","",IFERROR(INDEX('Bad Patterns'!$A$2:$A$120,MATCH(1,INDEX(--ISNUMBER(SEARCH('Bad Patterns'!$A$2:$A$120,B9245)),0),0)),""))</f>
        <v/>
      </c>
      <c r="D9245">
        <f>IF(B9245="","",IF(C9245&lt;&gt;"","REMOVE","KEEP"))</f>
        <v/>
      </c>
      <c r="E9245">
        <f>IF(D9245&lt;&gt;"KEEP","",IF(RIGHT(B9245,10)="@gmail.com","Gmail",IF(OR(RIGHT(B9245,12)="@outlook.com",RIGHT(B9245,12)="@hotmail.com",RIGHT(B9245,9)="@live.com"),"Outlook","Domain")))</f>
        <v/>
      </c>
      <c r="F9245">
        <f>IF(B9245="","",IFERROR(RIGHT(B9245,LEN(B9245)-FIND("@",B9245)),""))</f>
        <v/>
      </c>
      <c r="G9245">
        <f>IF(D9245="KEEP",COUNTIF($D$2:D9245,"KEEP"),"")</f>
        <v/>
      </c>
      <c r="H9245">
        <f>IF(D9245="REMOVE",COUNTIF($D$2:D9245,"REMOVE"),"")</f>
        <v/>
      </c>
      <c r="I9245">
        <f>IF(E9245="Gmail",COUNTIF($E$2:E9245,"Gmail"),"")</f>
        <v/>
      </c>
      <c r="J9245">
        <f>IF(E9245="Outlook",COUNTIF($E$2:E9245,"Outlook"),"")</f>
        <v/>
      </c>
      <c r="K9245">
        <f>IF(E9245="Domain",COUNTIF($E$2:E9245,"Domain"),"")</f>
        <v/>
      </c>
    </row>
    <row r="9246">
      <c r="A9246" s="2" t="n"/>
      <c r="B9246">
        <f>LOWER(TRIM(A9246))</f>
        <v/>
      </c>
      <c r="C9246">
        <f>IF(B9246="","",IFERROR(INDEX('Bad Patterns'!$A$2:$A$120,MATCH(1,INDEX(--ISNUMBER(SEARCH('Bad Patterns'!$A$2:$A$120,B9246)),0),0)),""))</f>
        <v/>
      </c>
      <c r="D9246">
        <f>IF(B9246="","",IF(C9246&lt;&gt;"","REMOVE","KEEP"))</f>
        <v/>
      </c>
      <c r="E9246">
        <f>IF(D9246&lt;&gt;"KEEP","",IF(RIGHT(B9246,10)="@gmail.com","Gmail",IF(OR(RIGHT(B9246,12)="@outlook.com",RIGHT(B9246,12)="@hotmail.com",RIGHT(B9246,9)="@live.com"),"Outlook","Domain")))</f>
        <v/>
      </c>
      <c r="F9246">
        <f>IF(B9246="","",IFERROR(RIGHT(B9246,LEN(B9246)-FIND("@",B9246)),""))</f>
        <v/>
      </c>
      <c r="G9246">
        <f>IF(D9246="KEEP",COUNTIF($D$2:D9246,"KEEP"),"")</f>
        <v/>
      </c>
      <c r="H9246">
        <f>IF(D9246="REMOVE",COUNTIF($D$2:D9246,"REMOVE"),"")</f>
        <v/>
      </c>
      <c r="I9246">
        <f>IF(E9246="Gmail",COUNTIF($E$2:E9246,"Gmail"),"")</f>
        <v/>
      </c>
      <c r="J9246">
        <f>IF(E9246="Outlook",COUNTIF($E$2:E9246,"Outlook"),"")</f>
        <v/>
      </c>
      <c r="K9246">
        <f>IF(E9246="Domain",COUNTIF($E$2:E9246,"Domain"),"")</f>
        <v/>
      </c>
    </row>
    <row r="9247">
      <c r="A9247" s="2" t="n"/>
      <c r="B9247">
        <f>LOWER(TRIM(A9247))</f>
        <v/>
      </c>
      <c r="C9247">
        <f>IF(B9247="","",IFERROR(INDEX('Bad Patterns'!$A$2:$A$120,MATCH(1,INDEX(--ISNUMBER(SEARCH('Bad Patterns'!$A$2:$A$120,B9247)),0),0)),""))</f>
        <v/>
      </c>
      <c r="D9247">
        <f>IF(B9247="","",IF(C9247&lt;&gt;"","REMOVE","KEEP"))</f>
        <v/>
      </c>
      <c r="E9247">
        <f>IF(D9247&lt;&gt;"KEEP","",IF(RIGHT(B9247,10)="@gmail.com","Gmail",IF(OR(RIGHT(B9247,12)="@outlook.com",RIGHT(B9247,12)="@hotmail.com",RIGHT(B9247,9)="@live.com"),"Outlook","Domain")))</f>
        <v/>
      </c>
      <c r="F9247">
        <f>IF(B9247="","",IFERROR(RIGHT(B9247,LEN(B9247)-FIND("@",B9247)),""))</f>
        <v/>
      </c>
      <c r="G9247">
        <f>IF(D9247="KEEP",COUNTIF($D$2:D9247,"KEEP"),"")</f>
        <v/>
      </c>
      <c r="H9247">
        <f>IF(D9247="REMOVE",COUNTIF($D$2:D9247,"REMOVE"),"")</f>
        <v/>
      </c>
      <c r="I9247">
        <f>IF(E9247="Gmail",COUNTIF($E$2:E9247,"Gmail"),"")</f>
        <v/>
      </c>
      <c r="J9247">
        <f>IF(E9247="Outlook",COUNTIF($E$2:E9247,"Outlook"),"")</f>
        <v/>
      </c>
      <c r="K9247">
        <f>IF(E9247="Domain",COUNTIF($E$2:E9247,"Domain"),"")</f>
        <v/>
      </c>
    </row>
    <row r="9248">
      <c r="A9248" s="2" t="n"/>
      <c r="B9248">
        <f>LOWER(TRIM(A9248))</f>
        <v/>
      </c>
      <c r="C9248">
        <f>IF(B9248="","",IFERROR(INDEX('Bad Patterns'!$A$2:$A$120,MATCH(1,INDEX(--ISNUMBER(SEARCH('Bad Patterns'!$A$2:$A$120,B9248)),0),0)),""))</f>
        <v/>
      </c>
      <c r="D9248">
        <f>IF(B9248="","",IF(C9248&lt;&gt;"","REMOVE","KEEP"))</f>
        <v/>
      </c>
      <c r="E9248">
        <f>IF(D9248&lt;&gt;"KEEP","",IF(RIGHT(B9248,10)="@gmail.com","Gmail",IF(OR(RIGHT(B9248,12)="@outlook.com",RIGHT(B9248,12)="@hotmail.com",RIGHT(B9248,9)="@live.com"),"Outlook","Domain")))</f>
        <v/>
      </c>
      <c r="F9248">
        <f>IF(B9248="","",IFERROR(RIGHT(B9248,LEN(B9248)-FIND("@",B9248)),""))</f>
        <v/>
      </c>
      <c r="G9248">
        <f>IF(D9248="KEEP",COUNTIF($D$2:D9248,"KEEP"),"")</f>
        <v/>
      </c>
      <c r="H9248">
        <f>IF(D9248="REMOVE",COUNTIF($D$2:D9248,"REMOVE"),"")</f>
        <v/>
      </c>
      <c r="I9248">
        <f>IF(E9248="Gmail",COUNTIF($E$2:E9248,"Gmail"),"")</f>
        <v/>
      </c>
      <c r="J9248">
        <f>IF(E9248="Outlook",COUNTIF($E$2:E9248,"Outlook"),"")</f>
        <v/>
      </c>
      <c r="K9248">
        <f>IF(E9248="Domain",COUNTIF($E$2:E9248,"Domain"),"")</f>
        <v/>
      </c>
    </row>
    <row r="9249">
      <c r="A9249" s="2" t="n"/>
      <c r="B9249">
        <f>LOWER(TRIM(A9249))</f>
        <v/>
      </c>
      <c r="C9249">
        <f>IF(B9249="","",IFERROR(INDEX('Bad Patterns'!$A$2:$A$120,MATCH(1,INDEX(--ISNUMBER(SEARCH('Bad Patterns'!$A$2:$A$120,B9249)),0),0)),""))</f>
        <v/>
      </c>
      <c r="D9249">
        <f>IF(B9249="","",IF(C9249&lt;&gt;"","REMOVE","KEEP"))</f>
        <v/>
      </c>
      <c r="E9249">
        <f>IF(D9249&lt;&gt;"KEEP","",IF(RIGHT(B9249,10)="@gmail.com","Gmail",IF(OR(RIGHT(B9249,12)="@outlook.com",RIGHT(B9249,12)="@hotmail.com",RIGHT(B9249,9)="@live.com"),"Outlook","Domain")))</f>
        <v/>
      </c>
      <c r="F9249">
        <f>IF(B9249="","",IFERROR(RIGHT(B9249,LEN(B9249)-FIND("@",B9249)),""))</f>
        <v/>
      </c>
      <c r="G9249">
        <f>IF(D9249="KEEP",COUNTIF($D$2:D9249,"KEEP"),"")</f>
        <v/>
      </c>
      <c r="H9249">
        <f>IF(D9249="REMOVE",COUNTIF($D$2:D9249,"REMOVE"),"")</f>
        <v/>
      </c>
      <c r="I9249">
        <f>IF(E9249="Gmail",COUNTIF($E$2:E9249,"Gmail"),"")</f>
        <v/>
      </c>
      <c r="J9249">
        <f>IF(E9249="Outlook",COUNTIF($E$2:E9249,"Outlook"),"")</f>
        <v/>
      </c>
      <c r="K9249">
        <f>IF(E9249="Domain",COUNTIF($E$2:E9249,"Domain"),"")</f>
        <v/>
      </c>
    </row>
    <row r="9250">
      <c r="A9250" s="2" t="n"/>
      <c r="B9250">
        <f>LOWER(TRIM(A9250))</f>
        <v/>
      </c>
      <c r="C9250">
        <f>IF(B9250="","",IFERROR(INDEX('Bad Patterns'!$A$2:$A$120,MATCH(1,INDEX(--ISNUMBER(SEARCH('Bad Patterns'!$A$2:$A$120,B9250)),0),0)),""))</f>
        <v/>
      </c>
      <c r="D9250">
        <f>IF(B9250="","",IF(C9250&lt;&gt;"","REMOVE","KEEP"))</f>
        <v/>
      </c>
      <c r="E9250">
        <f>IF(D9250&lt;&gt;"KEEP","",IF(RIGHT(B9250,10)="@gmail.com","Gmail",IF(OR(RIGHT(B9250,12)="@outlook.com",RIGHT(B9250,12)="@hotmail.com",RIGHT(B9250,9)="@live.com"),"Outlook","Domain")))</f>
        <v/>
      </c>
      <c r="F9250">
        <f>IF(B9250="","",IFERROR(RIGHT(B9250,LEN(B9250)-FIND("@",B9250)),""))</f>
        <v/>
      </c>
      <c r="G9250">
        <f>IF(D9250="KEEP",COUNTIF($D$2:D9250,"KEEP"),"")</f>
        <v/>
      </c>
      <c r="H9250">
        <f>IF(D9250="REMOVE",COUNTIF($D$2:D9250,"REMOVE"),"")</f>
        <v/>
      </c>
      <c r="I9250">
        <f>IF(E9250="Gmail",COUNTIF($E$2:E9250,"Gmail"),"")</f>
        <v/>
      </c>
      <c r="J9250">
        <f>IF(E9250="Outlook",COUNTIF($E$2:E9250,"Outlook"),"")</f>
        <v/>
      </c>
      <c r="K9250">
        <f>IF(E9250="Domain",COUNTIF($E$2:E9250,"Domain"),"")</f>
        <v/>
      </c>
    </row>
    <row r="9251">
      <c r="A9251" s="2" t="n"/>
      <c r="B9251">
        <f>LOWER(TRIM(A9251))</f>
        <v/>
      </c>
      <c r="C9251">
        <f>IF(B9251="","",IFERROR(INDEX('Bad Patterns'!$A$2:$A$120,MATCH(1,INDEX(--ISNUMBER(SEARCH('Bad Patterns'!$A$2:$A$120,B9251)),0),0)),""))</f>
        <v/>
      </c>
      <c r="D9251">
        <f>IF(B9251="","",IF(C9251&lt;&gt;"","REMOVE","KEEP"))</f>
        <v/>
      </c>
      <c r="E9251">
        <f>IF(D9251&lt;&gt;"KEEP","",IF(RIGHT(B9251,10)="@gmail.com","Gmail",IF(OR(RIGHT(B9251,12)="@outlook.com",RIGHT(B9251,12)="@hotmail.com",RIGHT(B9251,9)="@live.com"),"Outlook","Domain")))</f>
        <v/>
      </c>
      <c r="F9251">
        <f>IF(B9251="","",IFERROR(RIGHT(B9251,LEN(B9251)-FIND("@",B9251)),""))</f>
        <v/>
      </c>
      <c r="G9251">
        <f>IF(D9251="KEEP",COUNTIF($D$2:D9251,"KEEP"),"")</f>
        <v/>
      </c>
      <c r="H9251">
        <f>IF(D9251="REMOVE",COUNTIF($D$2:D9251,"REMOVE"),"")</f>
        <v/>
      </c>
      <c r="I9251">
        <f>IF(E9251="Gmail",COUNTIF($E$2:E9251,"Gmail"),"")</f>
        <v/>
      </c>
      <c r="J9251">
        <f>IF(E9251="Outlook",COUNTIF($E$2:E9251,"Outlook"),"")</f>
        <v/>
      </c>
      <c r="K9251">
        <f>IF(E9251="Domain",COUNTIF($E$2:E9251,"Domain"),"")</f>
        <v/>
      </c>
    </row>
    <row r="9252">
      <c r="A9252" s="2" t="n"/>
      <c r="B9252">
        <f>LOWER(TRIM(A9252))</f>
        <v/>
      </c>
      <c r="C9252">
        <f>IF(B9252="","",IFERROR(INDEX('Bad Patterns'!$A$2:$A$120,MATCH(1,INDEX(--ISNUMBER(SEARCH('Bad Patterns'!$A$2:$A$120,B9252)),0),0)),""))</f>
        <v/>
      </c>
      <c r="D9252">
        <f>IF(B9252="","",IF(C9252&lt;&gt;"","REMOVE","KEEP"))</f>
        <v/>
      </c>
      <c r="E9252">
        <f>IF(D9252&lt;&gt;"KEEP","",IF(RIGHT(B9252,10)="@gmail.com","Gmail",IF(OR(RIGHT(B9252,12)="@outlook.com",RIGHT(B9252,12)="@hotmail.com",RIGHT(B9252,9)="@live.com"),"Outlook","Domain")))</f>
        <v/>
      </c>
      <c r="F9252">
        <f>IF(B9252="","",IFERROR(RIGHT(B9252,LEN(B9252)-FIND("@",B9252)),""))</f>
        <v/>
      </c>
      <c r="G9252">
        <f>IF(D9252="KEEP",COUNTIF($D$2:D9252,"KEEP"),"")</f>
        <v/>
      </c>
      <c r="H9252">
        <f>IF(D9252="REMOVE",COUNTIF($D$2:D9252,"REMOVE"),"")</f>
        <v/>
      </c>
      <c r="I9252">
        <f>IF(E9252="Gmail",COUNTIF($E$2:E9252,"Gmail"),"")</f>
        <v/>
      </c>
      <c r="J9252">
        <f>IF(E9252="Outlook",COUNTIF($E$2:E9252,"Outlook"),"")</f>
        <v/>
      </c>
      <c r="K9252">
        <f>IF(E9252="Domain",COUNTIF($E$2:E9252,"Domain"),"")</f>
        <v/>
      </c>
    </row>
    <row r="9253">
      <c r="A9253" s="2" t="n"/>
      <c r="B9253">
        <f>LOWER(TRIM(A9253))</f>
        <v/>
      </c>
      <c r="C9253">
        <f>IF(B9253="","",IFERROR(INDEX('Bad Patterns'!$A$2:$A$120,MATCH(1,INDEX(--ISNUMBER(SEARCH('Bad Patterns'!$A$2:$A$120,B9253)),0),0)),""))</f>
        <v/>
      </c>
      <c r="D9253">
        <f>IF(B9253="","",IF(C9253&lt;&gt;"","REMOVE","KEEP"))</f>
        <v/>
      </c>
      <c r="E9253">
        <f>IF(D9253&lt;&gt;"KEEP","",IF(RIGHT(B9253,10)="@gmail.com","Gmail",IF(OR(RIGHT(B9253,12)="@outlook.com",RIGHT(B9253,12)="@hotmail.com",RIGHT(B9253,9)="@live.com"),"Outlook","Domain")))</f>
        <v/>
      </c>
      <c r="F9253">
        <f>IF(B9253="","",IFERROR(RIGHT(B9253,LEN(B9253)-FIND("@",B9253)),""))</f>
        <v/>
      </c>
      <c r="G9253">
        <f>IF(D9253="KEEP",COUNTIF($D$2:D9253,"KEEP"),"")</f>
        <v/>
      </c>
      <c r="H9253">
        <f>IF(D9253="REMOVE",COUNTIF($D$2:D9253,"REMOVE"),"")</f>
        <v/>
      </c>
      <c r="I9253">
        <f>IF(E9253="Gmail",COUNTIF($E$2:E9253,"Gmail"),"")</f>
        <v/>
      </c>
      <c r="J9253">
        <f>IF(E9253="Outlook",COUNTIF($E$2:E9253,"Outlook"),"")</f>
        <v/>
      </c>
      <c r="K9253">
        <f>IF(E9253="Domain",COUNTIF($E$2:E9253,"Domain"),"")</f>
        <v/>
      </c>
    </row>
    <row r="9254">
      <c r="A9254" s="2" t="n"/>
      <c r="B9254">
        <f>LOWER(TRIM(A9254))</f>
        <v/>
      </c>
      <c r="C9254">
        <f>IF(B9254="","",IFERROR(INDEX('Bad Patterns'!$A$2:$A$120,MATCH(1,INDEX(--ISNUMBER(SEARCH('Bad Patterns'!$A$2:$A$120,B9254)),0),0)),""))</f>
        <v/>
      </c>
      <c r="D9254">
        <f>IF(B9254="","",IF(C9254&lt;&gt;"","REMOVE","KEEP"))</f>
        <v/>
      </c>
      <c r="E9254">
        <f>IF(D9254&lt;&gt;"KEEP","",IF(RIGHT(B9254,10)="@gmail.com","Gmail",IF(OR(RIGHT(B9254,12)="@outlook.com",RIGHT(B9254,12)="@hotmail.com",RIGHT(B9254,9)="@live.com"),"Outlook","Domain")))</f>
        <v/>
      </c>
      <c r="F9254">
        <f>IF(B9254="","",IFERROR(RIGHT(B9254,LEN(B9254)-FIND("@",B9254)),""))</f>
        <v/>
      </c>
      <c r="G9254">
        <f>IF(D9254="KEEP",COUNTIF($D$2:D9254,"KEEP"),"")</f>
        <v/>
      </c>
      <c r="H9254">
        <f>IF(D9254="REMOVE",COUNTIF($D$2:D9254,"REMOVE"),"")</f>
        <v/>
      </c>
      <c r="I9254">
        <f>IF(E9254="Gmail",COUNTIF($E$2:E9254,"Gmail"),"")</f>
        <v/>
      </c>
      <c r="J9254">
        <f>IF(E9254="Outlook",COUNTIF($E$2:E9254,"Outlook"),"")</f>
        <v/>
      </c>
      <c r="K9254">
        <f>IF(E9254="Domain",COUNTIF($E$2:E9254,"Domain"),"")</f>
        <v/>
      </c>
    </row>
    <row r="9255">
      <c r="A9255" s="2" t="n"/>
      <c r="B9255">
        <f>LOWER(TRIM(A9255))</f>
        <v/>
      </c>
      <c r="C9255">
        <f>IF(B9255="","",IFERROR(INDEX('Bad Patterns'!$A$2:$A$120,MATCH(1,INDEX(--ISNUMBER(SEARCH('Bad Patterns'!$A$2:$A$120,B9255)),0),0)),""))</f>
        <v/>
      </c>
      <c r="D9255">
        <f>IF(B9255="","",IF(C9255&lt;&gt;"","REMOVE","KEEP"))</f>
        <v/>
      </c>
      <c r="E9255">
        <f>IF(D9255&lt;&gt;"KEEP","",IF(RIGHT(B9255,10)="@gmail.com","Gmail",IF(OR(RIGHT(B9255,12)="@outlook.com",RIGHT(B9255,12)="@hotmail.com",RIGHT(B9255,9)="@live.com"),"Outlook","Domain")))</f>
        <v/>
      </c>
      <c r="F9255">
        <f>IF(B9255="","",IFERROR(RIGHT(B9255,LEN(B9255)-FIND("@",B9255)),""))</f>
        <v/>
      </c>
      <c r="G9255">
        <f>IF(D9255="KEEP",COUNTIF($D$2:D9255,"KEEP"),"")</f>
        <v/>
      </c>
      <c r="H9255">
        <f>IF(D9255="REMOVE",COUNTIF($D$2:D9255,"REMOVE"),"")</f>
        <v/>
      </c>
      <c r="I9255">
        <f>IF(E9255="Gmail",COUNTIF($E$2:E9255,"Gmail"),"")</f>
        <v/>
      </c>
      <c r="J9255">
        <f>IF(E9255="Outlook",COUNTIF($E$2:E9255,"Outlook"),"")</f>
        <v/>
      </c>
      <c r="K9255">
        <f>IF(E9255="Domain",COUNTIF($E$2:E9255,"Domain"),"")</f>
        <v/>
      </c>
    </row>
    <row r="9256">
      <c r="A9256" s="2" t="n"/>
      <c r="B9256">
        <f>LOWER(TRIM(A9256))</f>
        <v/>
      </c>
      <c r="C9256">
        <f>IF(B9256="","",IFERROR(INDEX('Bad Patterns'!$A$2:$A$120,MATCH(1,INDEX(--ISNUMBER(SEARCH('Bad Patterns'!$A$2:$A$120,B9256)),0),0)),""))</f>
        <v/>
      </c>
      <c r="D9256">
        <f>IF(B9256="","",IF(C9256&lt;&gt;"","REMOVE","KEEP"))</f>
        <v/>
      </c>
      <c r="E9256">
        <f>IF(D9256&lt;&gt;"KEEP","",IF(RIGHT(B9256,10)="@gmail.com","Gmail",IF(OR(RIGHT(B9256,12)="@outlook.com",RIGHT(B9256,12)="@hotmail.com",RIGHT(B9256,9)="@live.com"),"Outlook","Domain")))</f>
        <v/>
      </c>
      <c r="F9256">
        <f>IF(B9256="","",IFERROR(RIGHT(B9256,LEN(B9256)-FIND("@",B9256)),""))</f>
        <v/>
      </c>
      <c r="G9256">
        <f>IF(D9256="KEEP",COUNTIF($D$2:D9256,"KEEP"),"")</f>
        <v/>
      </c>
      <c r="H9256">
        <f>IF(D9256="REMOVE",COUNTIF($D$2:D9256,"REMOVE"),"")</f>
        <v/>
      </c>
      <c r="I9256">
        <f>IF(E9256="Gmail",COUNTIF($E$2:E9256,"Gmail"),"")</f>
        <v/>
      </c>
      <c r="J9256">
        <f>IF(E9256="Outlook",COUNTIF($E$2:E9256,"Outlook"),"")</f>
        <v/>
      </c>
      <c r="K9256">
        <f>IF(E9256="Domain",COUNTIF($E$2:E9256,"Domain"),"")</f>
        <v/>
      </c>
    </row>
    <row r="9257">
      <c r="A9257" s="2" t="n"/>
      <c r="B9257">
        <f>LOWER(TRIM(A9257))</f>
        <v/>
      </c>
      <c r="C9257">
        <f>IF(B9257="","",IFERROR(INDEX('Bad Patterns'!$A$2:$A$120,MATCH(1,INDEX(--ISNUMBER(SEARCH('Bad Patterns'!$A$2:$A$120,B9257)),0),0)),""))</f>
        <v/>
      </c>
      <c r="D9257">
        <f>IF(B9257="","",IF(C9257&lt;&gt;"","REMOVE","KEEP"))</f>
        <v/>
      </c>
      <c r="E9257">
        <f>IF(D9257&lt;&gt;"KEEP","",IF(RIGHT(B9257,10)="@gmail.com","Gmail",IF(OR(RIGHT(B9257,12)="@outlook.com",RIGHT(B9257,12)="@hotmail.com",RIGHT(B9257,9)="@live.com"),"Outlook","Domain")))</f>
        <v/>
      </c>
      <c r="F9257">
        <f>IF(B9257="","",IFERROR(RIGHT(B9257,LEN(B9257)-FIND("@",B9257)),""))</f>
        <v/>
      </c>
      <c r="G9257">
        <f>IF(D9257="KEEP",COUNTIF($D$2:D9257,"KEEP"),"")</f>
        <v/>
      </c>
      <c r="H9257">
        <f>IF(D9257="REMOVE",COUNTIF($D$2:D9257,"REMOVE"),"")</f>
        <v/>
      </c>
      <c r="I9257">
        <f>IF(E9257="Gmail",COUNTIF($E$2:E9257,"Gmail"),"")</f>
        <v/>
      </c>
      <c r="J9257">
        <f>IF(E9257="Outlook",COUNTIF($E$2:E9257,"Outlook"),"")</f>
        <v/>
      </c>
      <c r="K9257">
        <f>IF(E9257="Domain",COUNTIF($E$2:E9257,"Domain"),"")</f>
        <v/>
      </c>
    </row>
    <row r="9258">
      <c r="A9258" s="2" t="n"/>
      <c r="B9258">
        <f>LOWER(TRIM(A9258))</f>
        <v/>
      </c>
      <c r="C9258">
        <f>IF(B9258="","",IFERROR(INDEX('Bad Patterns'!$A$2:$A$120,MATCH(1,INDEX(--ISNUMBER(SEARCH('Bad Patterns'!$A$2:$A$120,B9258)),0),0)),""))</f>
        <v/>
      </c>
      <c r="D9258">
        <f>IF(B9258="","",IF(C9258&lt;&gt;"","REMOVE","KEEP"))</f>
        <v/>
      </c>
      <c r="E9258">
        <f>IF(D9258&lt;&gt;"KEEP","",IF(RIGHT(B9258,10)="@gmail.com","Gmail",IF(OR(RIGHT(B9258,12)="@outlook.com",RIGHT(B9258,12)="@hotmail.com",RIGHT(B9258,9)="@live.com"),"Outlook","Domain")))</f>
        <v/>
      </c>
      <c r="F9258">
        <f>IF(B9258="","",IFERROR(RIGHT(B9258,LEN(B9258)-FIND("@",B9258)),""))</f>
        <v/>
      </c>
      <c r="G9258">
        <f>IF(D9258="KEEP",COUNTIF($D$2:D9258,"KEEP"),"")</f>
        <v/>
      </c>
      <c r="H9258">
        <f>IF(D9258="REMOVE",COUNTIF($D$2:D9258,"REMOVE"),"")</f>
        <v/>
      </c>
      <c r="I9258">
        <f>IF(E9258="Gmail",COUNTIF($E$2:E9258,"Gmail"),"")</f>
        <v/>
      </c>
      <c r="J9258">
        <f>IF(E9258="Outlook",COUNTIF($E$2:E9258,"Outlook"),"")</f>
        <v/>
      </c>
      <c r="K9258">
        <f>IF(E9258="Domain",COUNTIF($E$2:E9258,"Domain"),"")</f>
        <v/>
      </c>
    </row>
    <row r="9259">
      <c r="A9259" s="2" t="n"/>
      <c r="B9259">
        <f>LOWER(TRIM(A9259))</f>
        <v/>
      </c>
      <c r="C9259">
        <f>IF(B9259="","",IFERROR(INDEX('Bad Patterns'!$A$2:$A$120,MATCH(1,INDEX(--ISNUMBER(SEARCH('Bad Patterns'!$A$2:$A$120,B9259)),0),0)),""))</f>
        <v/>
      </c>
      <c r="D9259">
        <f>IF(B9259="","",IF(C9259&lt;&gt;"","REMOVE","KEEP"))</f>
        <v/>
      </c>
      <c r="E9259">
        <f>IF(D9259&lt;&gt;"KEEP","",IF(RIGHT(B9259,10)="@gmail.com","Gmail",IF(OR(RIGHT(B9259,12)="@outlook.com",RIGHT(B9259,12)="@hotmail.com",RIGHT(B9259,9)="@live.com"),"Outlook","Domain")))</f>
        <v/>
      </c>
      <c r="F9259">
        <f>IF(B9259="","",IFERROR(RIGHT(B9259,LEN(B9259)-FIND("@",B9259)),""))</f>
        <v/>
      </c>
      <c r="G9259">
        <f>IF(D9259="KEEP",COUNTIF($D$2:D9259,"KEEP"),"")</f>
        <v/>
      </c>
      <c r="H9259">
        <f>IF(D9259="REMOVE",COUNTIF($D$2:D9259,"REMOVE"),"")</f>
        <v/>
      </c>
      <c r="I9259">
        <f>IF(E9259="Gmail",COUNTIF($E$2:E9259,"Gmail"),"")</f>
        <v/>
      </c>
      <c r="J9259">
        <f>IF(E9259="Outlook",COUNTIF($E$2:E9259,"Outlook"),"")</f>
        <v/>
      </c>
      <c r="K9259">
        <f>IF(E9259="Domain",COUNTIF($E$2:E9259,"Domain"),"")</f>
        <v/>
      </c>
    </row>
    <row r="9260">
      <c r="A9260" s="2" t="n"/>
      <c r="B9260">
        <f>LOWER(TRIM(A9260))</f>
        <v/>
      </c>
      <c r="C9260">
        <f>IF(B9260="","",IFERROR(INDEX('Bad Patterns'!$A$2:$A$120,MATCH(1,INDEX(--ISNUMBER(SEARCH('Bad Patterns'!$A$2:$A$120,B9260)),0),0)),""))</f>
        <v/>
      </c>
      <c r="D9260">
        <f>IF(B9260="","",IF(C9260&lt;&gt;"","REMOVE","KEEP"))</f>
        <v/>
      </c>
      <c r="E9260">
        <f>IF(D9260&lt;&gt;"KEEP","",IF(RIGHT(B9260,10)="@gmail.com","Gmail",IF(OR(RIGHT(B9260,12)="@outlook.com",RIGHT(B9260,12)="@hotmail.com",RIGHT(B9260,9)="@live.com"),"Outlook","Domain")))</f>
        <v/>
      </c>
      <c r="F9260">
        <f>IF(B9260="","",IFERROR(RIGHT(B9260,LEN(B9260)-FIND("@",B9260)),""))</f>
        <v/>
      </c>
      <c r="G9260">
        <f>IF(D9260="KEEP",COUNTIF($D$2:D9260,"KEEP"),"")</f>
        <v/>
      </c>
      <c r="H9260">
        <f>IF(D9260="REMOVE",COUNTIF($D$2:D9260,"REMOVE"),"")</f>
        <v/>
      </c>
      <c r="I9260">
        <f>IF(E9260="Gmail",COUNTIF($E$2:E9260,"Gmail"),"")</f>
        <v/>
      </c>
      <c r="J9260">
        <f>IF(E9260="Outlook",COUNTIF($E$2:E9260,"Outlook"),"")</f>
        <v/>
      </c>
      <c r="K9260">
        <f>IF(E9260="Domain",COUNTIF($E$2:E9260,"Domain"),"")</f>
        <v/>
      </c>
    </row>
    <row r="9261">
      <c r="A9261" s="2" t="n"/>
      <c r="B9261">
        <f>LOWER(TRIM(A9261))</f>
        <v/>
      </c>
      <c r="C9261">
        <f>IF(B9261="","",IFERROR(INDEX('Bad Patterns'!$A$2:$A$120,MATCH(1,INDEX(--ISNUMBER(SEARCH('Bad Patterns'!$A$2:$A$120,B9261)),0),0)),""))</f>
        <v/>
      </c>
      <c r="D9261">
        <f>IF(B9261="","",IF(C9261&lt;&gt;"","REMOVE","KEEP"))</f>
        <v/>
      </c>
      <c r="E9261">
        <f>IF(D9261&lt;&gt;"KEEP","",IF(RIGHT(B9261,10)="@gmail.com","Gmail",IF(OR(RIGHT(B9261,12)="@outlook.com",RIGHT(B9261,12)="@hotmail.com",RIGHT(B9261,9)="@live.com"),"Outlook","Domain")))</f>
        <v/>
      </c>
      <c r="F9261">
        <f>IF(B9261="","",IFERROR(RIGHT(B9261,LEN(B9261)-FIND("@",B9261)),""))</f>
        <v/>
      </c>
      <c r="G9261">
        <f>IF(D9261="KEEP",COUNTIF($D$2:D9261,"KEEP"),"")</f>
        <v/>
      </c>
      <c r="H9261">
        <f>IF(D9261="REMOVE",COUNTIF($D$2:D9261,"REMOVE"),"")</f>
        <v/>
      </c>
      <c r="I9261">
        <f>IF(E9261="Gmail",COUNTIF($E$2:E9261,"Gmail"),"")</f>
        <v/>
      </c>
      <c r="J9261">
        <f>IF(E9261="Outlook",COUNTIF($E$2:E9261,"Outlook"),"")</f>
        <v/>
      </c>
      <c r="K9261">
        <f>IF(E9261="Domain",COUNTIF($E$2:E9261,"Domain"),"")</f>
        <v/>
      </c>
    </row>
    <row r="9262">
      <c r="A9262" s="2" t="n"/>
      <c r="B9262">
        <f>LOWER(TRIM(A9262))</f>
        <v/>
      </c>
      <c r="C9262">
        <f>IF(B9262="","",IFERROR(INDEX('Bad Patterns'!$A$2:$A$120,MATCH(1,INDEX(--ISNUMBER(SEARCH('Bad Patterns'!$A$2:$A$120,B9262)),0),0)),""))</f>
        <v/>
      </c>
      <c r="D9262">
        <f>IF(B9262="","",IF(C9262&lt;&gt;"","REMOVE","KEEP"))</f>
        <v/>
      </c>
      <c r="E9262">
        <f>IF(D9262&lt;&gt;"KEEP","",IF(RIGHT(B9262,10)="@gmail.com","Gmail",IF(OR(RIGHT(B9262,12)="@outlook.com",RIGHT(B9262,12)="@hotmail.com",RIGHT(B9262,9)="@live.com"),"Outlook","Domain")))</f>
        <v/>
      </c>
      <c r="F9262">
        <f>IF(B9262="","",IFERROR(RIGHT(B9262,LEN(B9262)-FIND("@",B9262)),""))</f>
        <v/>
      </c>
      <c r="G9262">
        <f>IF(D9262="KEEP",COUNTIF($D$2:D9262,"KEEP"),"")</f>
        <v/>
      </c>
      <c r="H9262">
        <f>IF(D9262="REMOVE",COUNTIF($D$2:D9262,"REMOVE"),"")</f>
        <v/>
      </c>
      <c r="I9262">
        <f>IF(E9262="Gmail",COUNTIF($E$2:E9262,"Gmail"),"")</f>
        <v/>
      </c>
      <c r="J9262">
        <f>IF(E9262="Outlook",COUNTIF($E$2:E9262,"Outlook"),"")</f>
        <v/>
      </c>
      <c r="K9262">
        <f>IF(E9262="Domain",COUNTIF($E$2:E9262,"Domain"),"")</f>
        <v/>
      </c>
    </row>
    <row r="9263">
      <c r="A9263" s="2" t="n"/>
      <c r="B9263">
        <f>LOWER(TRIM(A9263))</f>
        <v/>
      </c>
      <c r="C9263">
        <f>IF(B9263="","",IFERROR(INDEX('Bad Patterns'!$A$2:$A$120,MATCH(1,INDEX(--ISNUMBER(SEARCH('Bad Patterns'!$A$2:$A$120,B9263)),0),0)),""))</f>
        <v/>
      </c>
      <c r="D9263">
        <f>IF(B9263="","",IF(C9263&lt;&gt;"","REMOVE","KEEP"))</f>
        <v/>
      </c>
      <c r="E9263">
        <f>IF(D9263&lt;&gt;"KEEP","",IF(RIGHT(B9263,10)="@gmail.com","Gmail",IF(OR(RIGHT(B9263,12)="@outlook.com",RIGHT(B9263,12)="@hotmail.com",RIGHT(B9263,9)="@live.com"),"Outlook","Domain")))</f>
        <v/>
      </c>
      <c r="F9263">
        <f>IF(B9263="","",IFERROR(RIGHT(B9263,LEN(B9263)-FIND("@",B9263)),""))</f>
        <v/>
      </c>
      <c r="G9263">
        <f>IF(D9263="KEEP",COUNTIF($D$2:D9263,"KEEP"),"")</f>
        <v/>
      </c>
      <c r="H9263">
        <f>IF(D9263="REMOVE",COUNTIF($D$2:D9263,"REMOVE"),"")</f>
        <v/>
      </c>
      <c r="I9263">
        <f>IF(E9263="Gmail",COUNTIF($E$2:E9263,"Gmail"),"")</f>
        <v/>
      </c>
      <c r="J9263">
        <f>IF(E9263="Outlook",COUNTIF($E$2:E9263,"Outlook"),"")</f>
        <v/>
      </c>
      <c r="K9263">
        <f>IF(E9263="Domain",COUNTIF($E$2:E9263,"Domain"),"")</f>
        <v/>
      </c>
    </row>
    <row r="9264">
      <c r="A9264" s="2" t="n"/>
      <c r="B9264">
        <f>LOWER(TRIM(A9264))</f>
        <v/>
      </c>
      <c r="C9264">
        <f>IF(B9264="","",IFERROR(INDEX('Bad Patterns'!$A$2:$A$120,MATCH(1,INDEX(--ISNUMBER(SEARCH('Bad Patterns'!$A$2:$A$120,B9264)),0),0)),""))</f>
        <v/>
      </c>
      <c r="D9264">
        <f>IF(B9264="","",IF(C9264&lt;&gt;"","REMOVE","KEEP"))</f>
        <v/>
      </c>
      <c r="E9264">
        <f>IF(D9264&lt;&gt;"KEEP","",IF(RIGHT(B9264,10)="@gmail.com","Gmail",IF(OR(RIGHT(B9264,12)="@outlook.com",RIGHT(B9264,12)="@hotmail.com",RIGHT(B9264,9)="@live.com"),"Outlook","Domain")))</f>
        <v/>
      </c>
      <c r="F9264">
        <f>IF(B9264="","",IFERROR(RIGHT(B9264,LEN(B9264)-FIND("@",B9264)),""))</f>
        <v/>
      </c>
      <c r="G9264">
        <f>IF(D9264="KEEP",COUNTIF($D$2:D9264,"KEEP"),"")</f>
        <v/>
      </c>
      <c r="H9264">
        <f>IF(D9264="REMOVE",COUNTIF($D$2:D9264,"REMOVE"),"")</f>
        <v/>
      </c>
      <c r="I9264">
        <f>IF(E9264="Gmail",COUNTIF($E$2:E9264,"Gmail"),"")</f>
        <v/>
      </c>
      <c r="J9264">
        <f>IF(E9264="Outlook",COUNTIF($E$2:E9264,"Outlook"),"")</f>
        <v/>
      </c>
      <c r="K9264">
        <f>IF(E9264="Domain",COUNTIF($E$2:E9264,"Domain"),"")</f>
        <v/>
      </c>
    </row>
    <row r="9265">
      <c r="A9265" s="2" t="n"/>
      <c r="B9265">
        <f>LOWER(TRIM(A9265))</f>
        <v/>
      </c>
      <c r="C9265">
        <f>IF(B9265="","",IFERROR(INDEX('Bad Patterns'!$A$2:$A$120,MATCH(1,INDEX(--ISNUMBER(SEARCH('Bad Patterns'!$A$2:$A$120,B9265)),0),0)),""))</f>
        <v/>
      </c>
      <c r="D9265">
        <f>IF(B9265="","",IF(C9265&lt;&gt;"","REMOVE","KEEP"))</f>
        <v/>
      </c>
      <c r="E9265">
        <f>IF(D9265&lt;&gt;"KEEP","",IF(RIGHT(B9265,10)="@gmail.com","Gmail",IF(OR(RIGHT(B9265,12)="@outlook.com",RIGHT(B9265,12)="@hotmail.com",RIGHT(B9265,9)="@live.com"),"Outlook","Domain")))</f>
        <v/>
      </c>
      <c r="F9265">
        <f>IF(B9265="","",IFERROR(RIGHT(B9265,LEN(B9265)-FIND("@",B9265)),""))</f>
        <v/>
      </c>
      <c r="G9265">
        <f>IF(D9265="KEEP",COUNTIF($D$2:D9265,"KEEP"),"")</f>
        <v/>
      </c>
      <c r="H9265">
        <f>IF(D9265="REMOVE",COUNTIF($D$2:D9265,"REMOVE"),"")</f>
        <v/>
      </c>
      <c r="I9265">
        <f>IF(E9265="Gmail",COUNTIF($E$2:E9265,"Gmail"),"")</f>
        <v/>
      </c>
      <c r="J9265">
        <f>IF(E9265="Outlook",COUNTIF($E$2:E9265,"Outlook"),"")</f>
        <v/>
      </c>
      <c r="K9265">
        <f>IF(E9265="Domain",COUNTIF($E$2:E9265,"Domain"),"")</f>
        <v/>
      </c>
    </row>
    <row r="9266">
      <c r="A9266" s="2" t="n"/>
      <c r="B9266">
        <f>LOWER(TRIM(A9266))</f>
        <v/>
      </c>
      <c r="C9266">
        <f>IF(B9266="","",IFERROR(INDEX('Bad Patterns'!$A$2:$A$120,MATCH(1,INDEX(--ISNUMBER(SEARCH('Bad Patterns'!$A$2:$A$120,B9266)),0),0)),""))</f>
        <v/>
      </c>
      <c r="D9266">
        <f>IF(B9266="","",IF(C9266&lt;&gt;"","REMOVE","KEEP"))</f>
        <v/>
      </c>
      <c r="E9266">
        <f>IF(D9266&lt;&gt;"KEEP","",IF(RIGHT(B9266,10)="@gmail.com","Gmail",IF(OR(RIGHT(B9266,12)="@outlook.com",RIGHT(B9266,12)="@hotmail.com",RIGHT(B9266,9)="@live.com"),"Outlook","Domain")))</f>
        <v/>
      </c>
      <c r="F9266">
        <f>IF(B9266="","",IFERROR(RIGHT(B9266,LEN(B9266)-FIND("@",B9266)),""))</f>
        <v/>
      </c>
      <c r="G9266">
        <f>IF(D9266="KEEP",COUNTIF($D$2:D9266,"KEEP"),"")</f>
        <v/>
      </c>
      <c r="H9266">
        <f>IF(D9266="REMOVE",COUNTIF($D$2:D9266,"REMOVE"),"")</f>
        <v/>
      </c>
      <c r="I9266">
        <f>IF(E9266="Gmail",COUNTIF($E$2:E9266,"Gmail"),"")</f>
        <v/>
      </c>
      <c r="J9266">
        <f>IF(E9266="Outlook",COUNTIF($E$2:E9266,"Outlook"),"")</f>
        <v/>
      </c>
      <c r="K9266">
        <f>IF(E9266="Domain",COUNTIF($E$2:E9266,"Domain"),"")</f>
        <v/>
      </c>
    </row>
    <row r="9267">
      <c r="A9267" s="2" t="n"/>
      <c r="B9267">
        <f>LOWER(TRIM(A9267))</f>
        <v/>
      </c>
      <c r="C9267">
        <f>IF(B9267="","",IFERROR(INDEX('Bad Patterns'!$A$2:$A$120,MATCH(1,INDEX(--ISNUMBER(SEARCH('Bad Patterns'!$A$2:$A$120,B9267)),0),0)),""))</f>
        <v/>
      </c>
      <c r="D9267">
        <f>IF(B9267="","",IF(C9267&lt;&gt;"","REMOVE","KEEP"))</f>
        <v/>
      </c>
      <c r="E9267">
        <f>IF(D9267&lt;&gt;"KEEP","",IF(RIGHT(B9267,10)="@gmail.com","Gmail",IF(OR(RIGHT(B9267,12)="@outlook.com",RIGHT(B9267,12)="@hotmail.com",RIGHT(B9267,9)="@live.com"),"Outlook","Domain")))</f>
        <v/>
      </c>
      <c r="F9267">
        <f>IF(B9267="","",IFERROR(RIGHT(B9267,LEN(B9267)-FIND("@",B9267)),""))</f>
        <v/>
      </c>
      <c r="G9267">
        <f>IF(D9267="KEEP",COUNTIF($D$2:D9267,"KEEP"),"")</f>
        <v/>
      </c>
      <c r="H9267">
        <f>IF(D9267="REMOVE",COUNTIF($D$2:D9267,"REMOVE"),"")</f>
        <v/>
      </c>
      <c r="I9267">
        <f>IF(E9267="Gmail",COUNTIF($E$2:E9267,"Gmail"),"")</f>
        <v/>
      </c>
      <c r="J9267">
        <f>IF(E9267="Outlook",COUNTIF($E$2:E9267,"Outlook"),"")</f>
        <v/>
      </c>
      <c r="K9267">
        <f>IF(E9267="Domain",COUNTIF($E$2:E9267,"Domain"),"")</f>
        <v/>
      </c>
    </row>
    <row r="9268">
      <c r="A9268" s="2" t="n"/>
      <c r="B9268">
        <f>LOWER(TRIM(A9268))</f>
        <v/>
      </c>
      <c r="C9268">
        <f>IF(B9268="","",IFERROR(INDEX('Bad Patterns'!$A$2:$A$120,MATCH(1,INDEX(--ISNUMBER(SEARCH('Bad Patterns'!$A$2:$A$120,B9268)),0),0)),""))</f>
        <v/>
      </c>
      <c r="D9268">
        <f>IF(B9268="","",IF(C9268&lt;&gt;"","REMOVE","KEEP"))</f>
        <v/>
      </c>
      <c r="E9268">
        <f>IF(D9268&lt;&gt;"KEEP","",IF(RIGHT(B9268,10)="@gmail.com","Gmail",IF(OR(RIGHT(B9268,12)="@outlook.com",RIGHT(B9268,12)="@hotmail.com",RIGHT(B9268,9)="@live.com"),"Outlook","Domain")))</f>
        <v/>
      </c>
      <c r="F9268">
        <f>IF(B9268="","",IFERROR(RIGHT(B9268,LEN(B9268)-FIND("@",B9268)),""))</f>
        <v/>
      </c>
      <c r="G9268">
        <f>IF(D9268="KEEP",COUNTIF($D$2:D9268,"KEEP"),"")</f>
        <v/>
      </c>
      <c r="H9268">
        <f>IF(D9268="REMOVE",COUNTIF($D$2:D9268,"REMOVE"),"")</f>
        <v/>
      </c>
      <c r="I9268">
        <f>IF(E9268="Gmail",COUNTIF($E$2:E9268,"Gmail"),"")</f>
        <v/>
      </c>
      <c r="J9268">
        <f>IF(E9268="Outlook",COUNTIF($E$2:E9268,"Outlook"),"")</f>
        <v/>
      </c>
      <c r="K9268">
        <f>IF(E9268="Domain",COUNTIF($E$2:E9268,"Domain"),"")</f>
        <v/>
      </c>
    </row>
    <row r="9269">
      <c r="A9269" s="2" t="n"/>
      <c r="B9269">
        <f>LOWER(TRIM(A9269))</f>
        <v/>
      </c>
      <c r="C9269">
        <f>IF(B9269="","",IFERROR(INDEX('Bad Patterns'!$A$2:$A$120,MATCH(1,INDEX(--ISNUMBER(SEARCH('Bad Patterns'!$A$2:$A$120,B9269)),0),0)),""))</f>
        <v/>
      </c>
      <c r="D9269">
        <f>IF(B9269="","",IF(C9269&lt;&gt;"","REMOVE","KEEP"))</f>
        <v/>
      </c>
      <c r="E9269">
        <f>IF(D9269&lt;&gt;"KEEP","",IF(RIGHT(B9269,10)="@gmail.com","Gmail",IF(OR(RIGHT(B9269,12)="@outlook.com",RIGHT(B9269,12)="@hotmail.com",RIGHT(B9269,9)="@live.com"),"Outlook","Domain")))</f>
        <v/>
      </c>
      <c r="F9269">
        <f>IF(B9269="","",IFERROR(RIGHT(B9269,LEN(B9269)-FIND("@",B9269)),""))</f>
        <v/>
      </c>
      <c r="G9269">
        <f>IF(D9269="KEEP",COUNTIF($D$2:D9269,"KEEP"),"")</f>
        <v/>
      </c>
      <c r="H9269">
        <f>IF(D9269="REMOVE",COUNTIF($D$2:D9269,"REMOVE"),"")</f>
        <v/>
      </c>
      <c r="I9269">
        <f>IF(E9269="Gmail",COUNTIF($E$2:E9269,"Gmail"),"")</f>
        <v/>
      </c>
      <c r="J9269">
        <f>IF(E9269="Outlook",COUNTIF($E$2:E9269,"Outlook"),"")</f>
        <v/>
      </c>
      <c r="K9269">
        <f>IF(E9269="Domain",COUNTIF($E$2:E9269,"Domain"),"")</f>
        <v/>
      </c>
    </row>
    <row r="9270">
      <c r="A9270" s="2" t="n"/>
      <c r="B9270">
        <f>LOWER(TRIM(A9270))</f>
        <v/>
      </c>
      <c r="C9270">
        <f>IF(B9270="","",IFERROR(INDEX('Bad Patterns'!$A$2:$A$120,MATCH(1,INDEX(--ISNUMBER(SEARCH('Bad Patterns'!$A$2:$A$120,B9270)),0),0)),""))</f>
        <v/>
      </c>
      <c r="D9270">
        <f>IF(B9270="","",IF(C9270&lt;&gt;"","REMOVE","KEEP"))</f>
        <v/>
      </c>
      <c r="E9270">
        <f>IF(D9270&lt;&gt;"KEEP","",IF(RIGHT(B9270,10)="@gmail.com","Gmail",IF(OR(RIGHT(B9270,12)="@outlook.com",RIGHT(B9270,12)="@hotmail.com",RIGHT(B9270,9)="@live.com"),"Outlook","Domain")))</f>
        <v/>
      </c>
      <c r="F9270">
        <f>IF(B9270="","",IFERROR(RIGHT(B9270,LEN(B9270)-FIND("@",B9270)),""))</f>
        <v/>
      </c>
      <c r="G9270">
        <f>IF(D9270="KEEP",COUNTIF($D$2:D9270,"KEEP"),"")</f>
        <v/>
      </c>
      <c r="H9270">
        <f>IF(D9270="REMOVE",COUNTIF($D$2:D9270,"REMOVE"),"")</f>
        <v/>
      </c>
      <c r="I9270">
        <f>IF(E9270="Gmail",COUNTIF($E$2:E9270,"Gmail"),"")</f>
        <v/>
      </c>
      <c r="J9270">
        <f>IF(E9270="Outlook",COUNTIF($E$2:E9270,"Outlook"),"")</f>
        <v/>
      </c>
      <c r="K9270">
        <f>IF(E9270="Domain",COUNTIF($E$2:E9270,"Domain"),"")</f>
        <v/>
      </c>
    </row>
    <row r="9271">
      <c r="A9271" s="2" t="n"/>
      <c r="B9271">
        <f>LOWER(TRIM(A9271))</f>
        <v/>
      </c>
      <c r="C9271">
        <f>IF(B9271="","",IFERROR(INDEX('Bad Patterns'!$A$2:$A$120,MATCH(1,INDEX(--ISNUMBER(SEARCH('Bad Patterns'!$A$2:$A$120,B9271)),0),0)),""))</f>
        <v/>
      </c>
      <c r="D9271">
        <f>IF(B9271="","",IF(C9271&lt;&gt;"","REMOVE","KEEP"))</f>
        <v/>
      </c>
      <c r="E9271">
        <f>IF(D9271&lt;&gt;"KEEP","",IF(RIGHT(B9271,10)="@gmail.com","Gmail",IF(OR(RIGHT(B9271,12)="@outlook.com",RIGHT(B9271,12)="@hotmail.com",RIGHT(B9271,9)="@live.com"),"Outlook","Domain")))</f>
        <v/>
      </c>
      <c r="F9271">
        <f>IF(B9271="","",IFERROR(RIGHT(B9271,LEN(B9271)-FIND("@",B9271)),""))</f>
        <v/>
      </c>
      <c r="G9271">
        <f>IF(D9271="KEEP",COUNTIF($D$2:D9271,"KEEP"),"")</f>
        <v/>
      </c>
      <c r="H9271">
        <f>IF(D9271="REMOVE",COUNTIF($D$2:D9271,"REMOVE"),"")</f>
        <v/>
      </c>
      <c r="I9271">
        <f>IF(E9271="Gmail",COUNTIF($E$2:E9271,"Gmail"),"")</f>
        <v/>
      </c>
      <c r="J9271">
        <f>IF(E9271="Outlook",COUNTIF($E$2:E9271,"Outlook"),"")</f>
        <v/>
      </c>
      <c r="K9271">
        <f>IF(E9271="Domain",COUNTIF($E$2:E9271,"Domain"),"")</f>
        <v/>
      </c>
    </row>
    <row r="9272">
      <c r="A9272" s="2" t="n"/>
      <c r="B9272">
        <f>LOWER(TRIM(A9272))</f>
        <v/>
      </c>
      <c r="C9272">
        <f>IF(B9272="","",IFERROR(INDEX('Bad Patterns'!$A$2:$A$120,MATCH(1,INDEX(--ISNUMBER(SEARCH('Bad Patterns'!$A$2:$A$120,B9272)),0),0)),""))</f>
        <v/>
      </c>
      <c r="D9272">
        <f>IF(B9272="","",IF(C9272&lt;&gt;"","REMOVE","KEEP"))</f>
        <v/>
      </c>
      <c r="E9272">
        <f>IF(D9272&lt;&gt;"KEEP","",IF(RIGHT(B9272,10)="@gmail.com","Gmail",IF(OR(RIGHT(B9272,12)="@outlook.com",RIGHT(B9272,12)="@hotmail.com",RIGHT(B9272,9)="@live.com"),"Outlook","Domain")))</f>
        <v/>
      </c>
      <c r="F9272">
        <f>IF(B9272="","",IFERROR(RIGHT(B9272,LEN(B9272)-FIND("@",B9272)),""))</f>
        <v/>
      </c>
      <c r="G9272">
        <f>IF(D9272="KEEP",COUNTIF($D$2:D9272,"KEEP"),"")</f>
        <v/>
      </c>
      <c r="H9272">
        <f>IF(D9272="REMOVE",COUNTIF($D$2:D9272,"REMOVE"),"")</f>
        <v/>
      </c>
      <c r="I9272">
        <f>IF(E9272="Gmail",COUNTIF($E$2:E9272,"Gmail"),"")</f>
        <v/>
      </c>
      <c r="J9272">
        <f>IF(E9272="Outlook",COUNTIF($E$2:E9272,"Outlook"),"")</f>
        <v/>
      </c>
      <c r="K9272">
        <f>IF(E9272="Domain",COUNTIF($E$2:E9272,"Domain"),"")</f>
        <v/>
      </c>
    </row>
    <row r="9273">
      <c r="A9273" s="2" t="n"/>
      <c r="B9273">
        <f>LOWER(TRIM(A9273))</f>
        <v/>
      </c>
      <c r="C9273">
        <f>IF(B9273="","",IFERROR(INDEX('Bad Patterns'!$A$2:$A$120,MATCH(1,INDEX(--ISNUMBER(SEARCH('Bad Patterns'!$A$2:$A$120,B9273)),0),0)),""))</f>
        <v/>
      </c>
      <c r="D9273">
        <f>IF(B9273="","",IF(C9273&lt;&gt;"","REMOVE","KEEP"))</f>
        <v/>
      </c>
      <c r="E9273">
        <f>IF(D9273&lt;&gt;"KEEP","",IF(RIGHT(B9273,10)="@gmail.com","Gmail",IF(OR(RIGHT(B9273,12)="@outlook.com",RIGHT(B9273,12)="@hotmail.com",RIGHT(B9273,9)="@live.com"),"Outlook","Domain")))</f>
        <v/>
      </c>
      <c r="F9273">
        <f>IF(B9273="","",IFERROR(RIGHT(B9273,LEN(B9273)-FIND("@",B9273)),""))</f>
        <v/>
      </c>
      <c r="G9273">
        <f>IF(D9273="KEEP",COUNTIF($D$2:D9273,"KEEP"),"")</f>
        <v/>
      </c>
      <c r="H9273">
        <f>IF(D9273="REMOVE",COUNTIF($D$2:D9273,"REMOVE"),"")</f>
        <v/>
      </c>
      <c r="I9273">
        <f>IF(E9273="Gmail",COUNTIF($E$2:E9273,"Gmail"),"")</f>
        <v/>
      </c>
      <c r="J9273">
        <f>IF(E9273="Outlook",COUNTIF($E$2:E9273,"Outlook"),"")</f>
        <v/>
      </c>
      <c r="K9273">
        <f>IF(E9273="Domain",COUNTIF($E$2:E9273,"Domain"),"")</f>
        <v/>
      </c>
    </row>
    <row r="9274">
      <c r="A9274" s="2" t="n"/>
      <c r="B9274">
        <f>LOWER(TRIM(A9274))</f>
        <v/>
      </c>
      <c r="C9274">
        <f>IF(B9274="","",IFERROR(INDEX('Bad Patterns'!$A$2:$A$120,MATCH(1,INDEX(--ISNUMBER(SEARCH('Bad Patterns'!$A$2:$A$120,B9274)),0),0)),""))</f>
        <v/>
      </c>
      <c r="D9274">
        <f>IF(B9274="","",IF(C9274&lt;&gt;"","REMOVE","KEEP"))</f>
        <v/>
      </c>
      <c r="E9274">
        <f>IF(D9274&lt;&gt;"KEEP","",IF(RIGHT(B9274,10)="@gmail.com","Gmail",IF(OR(RIGHT(B9274,12)="@outlook.com",RIGHT(B9274,12)="@hotmail.com",RIGHT(B9274,9)="@live.com"),"Outlook","Domain")))</f>
        <v/>
      </c>
      <c r="F9274">
        <f>IF(B9274="","",IFERROR(RIGHT(B9274,LEN(B9274)-FIND("@",B9274)),""))</f>
        <v/>
      </c>
      <c r="G9274">
        <f>IF(D9274="KEEP",COUNTIF($D$2:D9274,"KEEP"),"")</f>
        <v/>
      </c>
      <c r="H9274">
        <f>IF(D9274="REMOVE",COUNTIF($D$2:D9274,"REMOVE"),"")</f>
        <v/>
      </c>
      <c r="I9274">
        <f>IF(E9274="Gmail",COUNTIF($E$2:E9274,"Gmail"),"")</f>
        <v/>
      </c>
      <c r="J9274">
        <f>IF(E9274="Outlook",COUNTIF($E$2:E9274,"Outlook"),"")</f>
        <v/>
      </c>
      <c r="K9274">
        <f>IF(E9274="Domain",COUNTIF($E$2:E9274,"Domain"),"")</f>
        <v/>
      </c>
    </row>
    <row r="9275">
      <c r="A9275" s="2" t="n"/>
      <c r="B9275">
        <f>LOWER(TRIM(A9275))</f>
        <v/>
      </c>
      <c r="C9275">
        <f>IF(B9275="","",IFERROR(INDEX('Bad Patterns'!$A$2:$A$120,MATCH(1,INDEX(--ISNUMBER(SEARCH('Bad Patterns'!$A$2:$A$120,B9275)),0),0)),""))</f>
        <v/>
      </c>
      <c r="D9275">
        <f>IF(B9275="","",IF(C9275&lt;&gt;"","REMOVE","KEEP"))</f>
        <v/>
      </c>
      <c r="E9275">
        <f>IF(D9275&lt;&gt;"KEEP","",IF(RIGHT(B9275,10)="@gmail.com","Gmail",IF(OR(RIGHT(B9275,12)="@outlook.com",RIGHT(B9275,12)="@hotmail.com",RIGHT(B9275,9)="@live.com"),"Outlook","Domain")))</f>
        <v/>
      </c>
      <c r="F9275">
        <f>IF(B9275="","",IFERROR(RIGHT(B9275,LEN(B9275)-FIND("@",B9275)),""))</f>
        <v/>
      </c>
      <c r="G9275">
        <f>IF(D9275="KEEP",COUNTIF($D$2:D9275,"KEEP"),"")</f>
        <v/>
      </c>
      <c r="H9275">
        <f>IF(D9275="REMOVE",COUNTIF($D$2:D9275,"REMOVE"),"")</f>
        <v/>
      </c>
      <c r="I9275">
        <f>IF(E9275="Gmail",COUNTIF($E$2:E9275,"Gmail"),"")</f>
        <v/>
      </c>
      <c r="J9275">
        <f>IF(E9275="Outlook",COUNTIF($E$2:E9275,"Outlook"),"")</f>
        <v/>
      </c>
      <c r="K9275">
        <f>IF(E9275="Domain",COUNTIF($E$2:E9275,"Domain"),"")</f>
        <v/>
      </c>
    </row>
    <row r="9276">
      <c r="A9276" s="2" t="n"/>
      <c r="B9276">
        <f>LOWER(TRIM(A9276))</f>
        <v/>
      </c>
      <c r="C9276">
        <f>IF(B9276="","",IFERROR(INDEX('Bad Patterns'!$A$2:$A$120,MATCH(1,INDEX(--ISNUMBER(SEARCH('Bad Patterns'!$A$2:$A$120,B9276)),0),0)),""))</f>
        <v/>
      </c>
      <c r="D9276">
        <f>IF(B9276="","",IF(C9276&lt;&gt;"","REMOVE","KEEP"))</f>
        <v/>
      </c>
      <c r="E9276">
        <f>IF(D9276&lt;&gt;"KEEP","",IF(RIGHT(B9276,10)="@gmail.com","Gmail",IF(OR(RIGHT(B9276,12)="@outlook.com",RIGHT(B9276,12)="@hotmail.com",RIGHT(B9276,9)="@live.com"),"Outlook","Domain")))</f>
        <v/>
      </c>
      <c r="F9276">
        <f>IF(B9276="","",IFERROR(RIGHT(B9276,LEN(B9276)-FIND("@",B9276)),""))</f>
        <v/>
      </c>
      <c r="G9276">
        <f>IF(D9276="KEEP",COUNTIF($D$2:D9276,"KEEP"),"")</f>
        <v/>
      </c>
      <c r="H9276">
        <f>IF(D9276="REMOVE",COUNTIF($D$2:D9276,"REMOVE"),"")</f>
        <v/>
      </c>
      <c r="I9276">
        <f>IF(E9276="Gmail",COUNTIF($E$2:E9276,"Gmail"),"")</f>
        <v/>
      </c>
      <c r="J9276">
        <f>IF(E9276="Outlook",COUNTIF($E$2:E9276,"Outlook"),"")</f>
        <v/>
      </c>
      <c r="K9276">
        <f>IF(E9276="Domain",COUNTIF($E$2:E9276,"Domain"),"")</f>
        <v/>
      </c>
    </row>
    <row r="9277">
      <c r="A9277" s="2" t="n"/>
      <c r="B9277">
        <f>LOWER(TRIM(A9277))</f>
        <v/>
      </c>
      <c r="C9277">
        <f>IF(B9277="","",IFERROR(INDEX('Bad Patterns'!$A$2:$A$120,MATCH(1,INDEX(--ISNUMBER(SEARCH('Bad Patterns'!$A$2:$A$120,B9277)),0),0)),""))</f>
        <v/>
      </c>
      <c r="D9277">
        <f>IF(B9277="","",IF(C9277&lt;&gt;"","REMOVE","KEEP"))</f>
        <v/>
      </c>
      <c r="E9277">
        <f>IF(D9277&lt;&gt;"KEEP","",IF(RIGHT(B9277,10)="@gmail.com","Gmail",IF(OR(RIGHT(B9277,12)="@outlook.com",RIGHT(B9277,12)="@hotmail.com",RIGHT(B9277,9)="@live.com"),"Outlook","Domain")))</f>
        <v/>
      </c>
      <c r="F9277">
        <f>IF(B9277="","",IFERROR(RIGHT(B9277,LEN(B9277)-FIND("@",B9277)),""))</f>
        <v/>
      </c>
      <c r="G9277">
        <f>IF(D9277="KEEP",COUNTIF($D$2:D9277,"KEEP"),"")</f>
        <v/>
      </c>
      <c r="H9277">
        <f>IF(D9277="REMOVE",COUNTIF($D$2:D9277,"REMOVE"),"")</f>
        <v/>
      </c>
      <c r="I9277">
        <f>IF(E9277="Gmail",COUNTIF($E$2:E9277,"Gmail"),"")</f>
        <v/>
      </c>
      <c r="J9277">
        <f>IF(E9277="Outlook",COUNTIF($E$2:E9277,"Outlook"),"")</f>
        <v/>
      </c>
      <c r="K9277">
        <f>IF(E9277="Domain",COUNTIF($E$2:E9277,"Domain"),"")</f>
        <v/>
      </c>
    </row>
    <row r="9278">
      <c r="A9278" s="2" t="n"/>
      <c r="B9278">
        <f>LOWER(TRIM(A9278))</f>
        <v/>
      </c>
      <c r="C9278">
        <f>IF(B9278="","",IFERROR(INDEX('Bad Patterns'!$A$2:$A$120,MATCH(1,INDEX(--ISNUMBER(SEARCH('Bad Patterns'!$A$2:$A$120,B9278)),0),0)),""))</f>
        <v/>
      </c>
      <c r="D9278">
        <f>IF(B9278="","",IF(C9278&lt;&gt;"","REMOVE","KEEP"))</f>
        <v/>
      </c>
      <c r="E9278">
        <f>IF(D9278&lt;&gt;"KEEP","",IF(RIGHT(B9278,10)="@gmail.com","Gmail",IF(OR(RIGHT(B9278,12)="@outlook.com",RIGHT(B9278,12)="@hotmail.com",RIGHT(B9278,9)="@live.com"),"Outlook","Domain")))</f>
        <v/>
      </c>
      <c r="F9278">
        <f>IF(B9278="","",IFERROR(RIGHT(B9278,LEN(B9278)-FIND("@",B9278)),""))</f>
        <v/>
      </c>
      <c r="G9278">
        <f>IF(D9278="KEEP",COUNTIF($D$2:D9278,"KEEP"),"")</f>
        <v/>
      </c>
      <c r="H9278">
        <f>IF(D9278="REMOVE",COUNTIF($D$2:D9278,"REMOVE"),"")</f>
        <v/>
      </c>
      <c r="I9278">
        <f>IF(E9278="Gmail",COUNTIF($E$2:E9278,"Gmail"),"")</f>
        <v/>
      </c>
      <c r="J9278">
        <f>IF(E9278="Outlook",COUNTIF($E$2:E9278,"Outlook"),"")</f>
        <v/>
      </c>
      <c r="K9278">
        <f>IF(E9278="Domain",COUNTIF($E$2:E9278,"Domain"),"")</f>
        <v/>
      </c>
    </row>
    <row r="9279">
      <c r="A9279" s="2" t="n"/>
      <c r="B9279">
        <f>LOWER(TRIM(A9279))</f>
        <v/>
      </c>
      <c r="C9279">
        <f>IF(B9279="","",IFERROR(INDEX('Bad Patterns'!$A$2:$A$120,MATCH(1,INDEX(--ISNUMBER(SEARCH('Bad Patterns'!$A$2:$A$120,B9279)),0),0)),""))</f>
        <v/>
      </c>
      <c r="D9279">
        <f>IF(B9279="","",IF(C9279&lt;&gt;"","REMOVE","KEEP"))</f>
        <v/>
      </c>
      <c r="E9279">
        <f>IF(D9279&lt;&gt;"KEEP","",IF(RIGHT(B9279,10)="@gmail.com","Gmail",IF(OR(RIGHT(B9279,12)="@outlook.com",RIGHT(B9279,12)="@hotmail.com",RIGHT(B9279,9)="@live.com"),"Outlook","Domain")))</f>
        <v/>
      </c>
      <c r="F9279">
        <f>IF(B9279="","",IFERROR(RIGHT(B9279,LEN(B9279)-FIND("@",B9279)),""))</f>
        <v/>
      </c>
      <c r="G9279">
        <f>IF(D9279="KEEP",COUNTIF($D$2:D9279,"KEEP"),"")</f>
        <v/>
      </c>
      <c r="H9279">
        <f>IF(D9279="REMOVE",COUNTIF($D$2:D9279,"REMOVE"),"")</f>
        <v/>
      </c>
      <c r="I9279">
        <f>IF(E9279="Gmail",COUNTIF($E$2:E9279,"Gmail"),"")</f>
        <v/>
      </c>
      <c r="J9279">
        <f>IF(E9279="Outlook",COUNTIF($E$2:E9279,"Outlook"),"")</f>
        <v/>
      </c>
      <c r="K9279">
        <f>IF(E9279="Domain",COUNTIF($E$2:E9279,"Domain"),"")</f>
        <v/>
      </c>
    </row>
    <row r="9280">
      <c r="A9280" s="2" t="n"/>
      <c r="B9280">
        <f>LOWER(TRIM(A9280))</f>
        <v/>
      </c>
      <c r="C9280">
        <f>IF(B9280="","",IFERROR(INDEX('Bad Patterns'!$A$2:$A$120,MATCH(1,INDEX(--ISNUMBER(SEARCH('Bad Patterns'!$A$2:$A$120,B9280)),0),0)),""))</f>
        <v/>
      </c>
      <c r="D9280">
        <f>IF(B9280="","",IF(C9280&lt;&gt;"","REMOVE","KEEP"))</f>
        <v/>
      </c>
      <c r="E9280">
        <f>IF(D9280&lt;&gt;"KEEP","",IF(RIGHT(B9280,10)="@gmail.com","Gmail",IF(OR(RIGHT(B9280,12)="@outlook.com",RIGHT(B9280,12)="@hotmail.com",RIGHT(B9280,9)="@live.com"),"Outlook","Domain")))</f>
        <v/>
      </c>
      <c r="F9280">
        <f>IF(B9280="","",IFERROR(RIGHT(B9280,LEN(B9280)-FIND("@",B9280)),""))</f>
        <v/>
      </c>
      <c r="G9280">
        <f>IF(D9280="KEEP",COUNTIF($D$2:D9280,"KEEP"),"")</f>
        <v/>
      </c>
      <c r="H9280">
        <f>IF(D9280="REMOVE",COUNTIF($D$2:D9280,"REMOVE"),"")</f>
        <v/>
      </c>
      <c r="I9280">
        <f>IF(E9280="Gmail",COUNTIF($E$2:E9280,"Gmail"),"")</f>
        <v/>
      </c>
      <c r="J9280">
        <f>IF(E9280="Outlook",COUNTIF($E$2:E9280,"Outlook"),"")</f>
        <v/>
      </c>
      <c r="K9280">
        <f>IF(E9280="Domain",COUNTIF($E$2:E9280,"Domain"),"")</f>
        <v/>
      </c>
    </row>
    <row r="9281">
      <c r="A9281" s="2" t="n"/>
      <c r="B9281">
        <f>LOWER(TRIM(A9281))</f>
        <v/>
      </c>
      <c r="C9281">
        <f>IF(B9281="","",IFERROR(INDEX('Bad Patterns'!$A$2:$A$120,MATCH(1,INDEX(--ISNUMBER(SEARCH('Bad Patterns'!$A$2:$A$120,B9281)),0),0)),""))</f>
        <v/>
      </c>
      <c r="D9281">
        <f>IF(B9281="","",IF(C9281&lt;&gt;"","REMOVE","KEEP"))</f>
        <v/>
      </c>
      <c r="E9281">
        <f>IF(D9281&lt;&gt;"KEEP","",IF(RIGHT(B9281,10)="@gmail.com","Gmail",IF(OR(RIGHT(B9281,12)="@outlook.com",RIGHT(B9281,12)="@hotmail.com",RIGHT(B9281,9)="@live.com"),"Outlook","Domain")))</f>
        <v/>
      </c>
      <c r="F9281">
        <f>IF(B9281="","",IFERROR(RIGHT(B9281,LEN(B9281)-FIND("@",B9281)),""))</f>
        <v/>
      </c>
      <c r="G9281">
        <f>IF(D9281="KEEP",COUNTIF($D$2:D9281,"KEEP"),"")</f>
        <v/>
      </c>
      <c r="H9281">
        <f>IF(D9281="REMOVE",COUNTIF($D$2:D9281,"REMOVE"),"")</f>
        <v/>
      </c>
      <c r="I9281">
        <f>IF(E9281="Gmail",COUNTIF($E$2:E9281,"Gmail"),"")</f>
        <v/>
      </c>
      <c r="J9281">
        <f>IF(E9281="Outlook",COUNTIF($E$2:E9281,"Outlook"),"")</f>
        <v/>
      </c>
      <c r="K9281">
        <f>IF(E9281="Domain",COUNTIF($E$2:E9281,"Domain"),"")</f>
        <v/>
      </c>
    </row>
    <row r="9282">
      <c r="A9282" s="2" t="n"/>
      <c r="B9282">
        <f>LOWER(TRIM(A9282))</f>
        <v/>
      </c>
      <c r="C9282">
        <f>IF(B9282="","",IFERROR(INDEX('Bad Patterns'!$A$2:$A$120,MATCH(1,INDEX(--ISNUMBER(SEARCH('Bad Patterns'!$A$2:$A$120,B9282)),0),0)),""))</f>
        <v/>
      </c>
      <c r="D9282">
        <f>IF(B9282="","",IF(C9282&lt;&gt;"","REMOVE","KEEP"))</f>
        <v/>
      </c>
      <c r="E9282">
        <f>IF(D9282&lt;&gt;"KEEP","",IF(RIGHT(B9282,10)="@gmail.com","Gmail",IF(OR(RIGHT(B9282,12)="@outlook.com",RIGHT(B9282,12)="@hotmail.com",RIGHT(B9282,9)="@live.com"),"Outlook","Domain")))</f>
        <v/>
      </c>
      <c r="F9282">
        <f>IF(B9282="","",IFERROR(RIGHT(B9282,LEN(B9282)-FIND("@",B9282)),""))</f>
        <v/>
      </c>
      <c r="G9282">
        <f>IF(D9282="KEEP",COUNTIF($D$2:D9282,"KEEP"),"")</f>
        <v/>
      </c>
      <c r="H9282">
        <f>IF(D9282="REMOVE",COUNTIF($D$2:D9282,"REMOVE"),"")</f>
        <v/>
      </c>
      <c r="I9282">
        <f>IF(E9282="Gmail",COUNTIF($E$2:E9282,"Gmail"),"")</f>
        <v/>
      </c>
      <c r="J9282">
        <f>IF(E9282="Outlook",COUNTIF($E$2:E9282,"Outlook"),"")</f>
        <v/>
      </c>
      <c r="K9282">
        <f>IF(E9282="Domain",COUNTIF($E$2:E9282,"Domain"),"")</f>
        <v/>
      </c>
    </row>
    <row r="9283">
      <c r="A9283" s="2" t="n"/>
      <c r="B9283">
        <f>LOWER(TRIM(A9283))</f>
        <v/>
      </c>
      <c r="C9283">
        <f>IF(B9283="","",IFERROR(INDEX('Bad Patterns'!$A$2:$A$120,MATCH(1,INDEX(--ISNUMBER(SEARCH('Bad Patterns'!$A$2:$A$120,B9283)),0),0)),""))</f>
        <v/>
      </c>
      <c r="D9283">
        <f>IF(B9283="","",IF(C9283&lt;&gt;"","REMOVE","KEEP"))</f>
        <v/>
      </c>
      <c r="E9283">
        <f>IF(D9283&lt;&gt;"KEEP","",IF(RIGHT(B9283,10)="@gmail.com","Gmail",IF(OR(RIGHT(B9283,12)="@outlook.com",RIGHT(B9283,12)="@hotmail.com",RIGHT(B9283,9)="@live.com"),"Outlook","Domain")))</f>
        <v/>
      </c>
      <c r="F9283">
        <f>IF(B9283="","",IFERROR(RIGHT(B9283,LEN(B9283)-FIND("@",B9283)),""))</f>
        <v/>
      </c>
      <c r="G9283">
        <f>IF(D9283="KEEP",COUNTIF($D$2:D9283,"KEEP"),"")</f>
        <v/>
      </c>
      <c r="H9283">
        <f>IF(D9283="REMOVE",COUNTIF($D$2:D9283,"REMOVE"),"")</f>
        <v/>
      </c>
      <c r="I9283">
        <f>IF(E9283="Gmail",COUNTIF($E$2:E9283,"Gmail"),"")</f>
        <v/>
      </c>
      <c r="J9283">
        <f>IF(E9283="Outlook",COUNTIF($E$2:E9283,"Outlook"),"")</f>
        <v/>
      </c>
      <c r="K9283">
        <f>IF(E9283="Domain",COUNTIF($E$2:E9283,"Domain"),"")</f>
        <v/>
      </c>
    </row>
    <row r="9284">
      <c r="A9284" s="2" t="n"/>
      <c r="B9284">
        <f>LOWER(TRIM(A9284))</f>
        <v/>
      </c>
      <c r="C9284">
        <f>IF(B9284="","",IFERROR(INDEX('Bad Patterns'!$A$2:$A$120,MATCH(1,INDEX(--ISNUMBER(SEARCH('Bad Patterns'!$A$2:$A$120,B9284)),0),0)),""))</f>
        <v/>
      </c>
      <c r="D9284">
        <f>IF(B9284="","",IF(C9284&lt;&gt;"","REMOVE","KEEP"))</f>
        <v/>
      </c>
      <c r="E9284">
        <f>IF(D9284&lt;&gt;"KEEP","",IF(RIGHT(B9284,10)="@gmail.com","Gmail",IF(OR(RIGHT(B9284,12)="@outlook.com",RIGHT(B9284,12)="@hotmail.com",RIGHT(B9284,9)="@live.com"),"Outlook","Domain")))</f>
        <v/>
      </c>
      <c r="F9284">
        <f>IF(B9284="","",IFERROR(RIGHT(B9284,LEN(B9284)-FIND("@",B9284)),""))</f>
        <v/>
      </c>
      <c r="G9284">
        <f>IF(D9284="KEEP",COUNTIF($D$2:D9284,"KEEP"),"")</f>
        <v/>
      </c>
      <c r="H9284">
        <f>IF(D9284="REMOVE",COUNTIF($D$2:D9284,"REMOVE"),"")</f>
        <v/>
      </c>
      <c r="I9284">
        <f>IF(E9284="Gmail",COUNTIF($E$2:E9284,"Gmail"),"")</f>
        <v/>
      </c>
      <c r="J9284">
        <f>IF(E9284="Outlook",COUNTIF($E$2:E9284,"Outlook"),"")</f>
        <v/>
      </c>
      <c r="K9284">
        <f>IF(E9284="Domain",COUNTIF($E$2:E9284,"Domain"),"")</f>
        <v/>
      </c>
    </row>
    <row r="9285">
      <c r="A9285" s="2" t="n"/>
      <c r="B9285">
        <f>LOWER(TRIM(A9285))</f>
        <v/>
      </c>
      <c r="C9285">
        <f>IF(B9285="","",IFERROR(INDEX('Bad Patterns'!$A$2:$A$120,MATCH(1,INDEX(--ISNUMBER(SEARCH('Bad Patterns'!$A$2:$A$120,B9285)),0),0)),""))</f>
        <v/>
      </c>
      <c r="D9285">
        <f>IF(B9285="","",IF(C9285&lt;&gt;"","REMOVE","KEEP"))</f>
        <v/>
      </c>
      <c r="E9285">
        <f>IF(D9285&lt;&gt;"KEEP","",IF(RIGHT(B9285,10)="@gmail.com","Gmail",IF(OR(RIGHT(B9285,12)="@outlook.com",RIGHT(B9285,12)="@hotmail.com",RIGHT(B9285,9)="@live.com"),"Outlook","Domain")))</f>
        <v/>
      </c>
      <c r="F9285">
        <f>IF(B9285="","",IFERROR(RIGHT(B9285,LEN(B9285)-FIND("@",B9285)),""))</f>
        <v/>
      </c>
      <c r="G9285">
        <f>IF(D9285="KEEP",COUNTIF($D$2:D9285,"KEEP"),"")</f>
        <v/>
      </c>
      <c r="H9285">
        <f>IF(D9285="REMOVE",COUNTIF($D$2:D9285,"REMOVE"),"")</f>
        <v/>
      </c>
      <c r="I9285">
        <f>IF(E9285="Gmail",COUNTIF($E$2:E9285,"Gmail"),"")</f>
        <v/>
      </c>
      <c r="J9285">
        <f>IF(E9285="Outlook",COUNTIF($E$2:E9285,"Outlook"),"")</f>
        <v/>
      </c>
      <c r="K9285">
        <f>IF(E9285="Domain",COUNTIF($E$2:E9285,"Domain"),"")</f>
        <v/>
      </c>
    </row>
    <row r="9286">
      <c r="A9286" s="2" t="n"/>
      <c r="B9286">
        <f>LOWER(TRIM(A9286))</f>
        <v/>
      </c>
      <c r="C9286">
        <f>IF(B9286="","",IFERROR(INDEX('Bad Patterns'!$A$2:$A$120,MATCH(1,INDEX(--ISNUMBER(SEARCH('Bad Patterns'!$A$2:$A$120,B9286)),0),0)),""))</f>
        <v/>
      </c>
      <c r="D9286">
        <f>IF(B9286="","",IF(C9286&lt;&gt;"","REMOVE","KEEP"))</f>
        <v/>
      </c>
      <c r="E9286">
        <f>IF(D9286&lt;&gt;"KEEP","",IF(RIGHT(B9286,10)="@gmail.com","Gmail",IF(OR(RIGHT(B9286,12)="@outlook.com",RIGHT(B9286,12)="@hotmail.com",RIGHT(B9286,9)="@live.com"),"Outlook","Domain")))</f>
        <v/>
      </c>
      <c r="F9286">
        <f>IF(B9286="","",IFERROR(RIGHT(B9286,LEN(B9286)-FIND("@",B9286)),""))</f>
        <v/>
      </c>
      <c r="G9286">
        <f>IF(D9286="KEEP",COUNTIF($D$2:D9286,"KEEP"),"")</f>
        <v/>
      </c>
      <c r="H9286">
        <f>IF(D9286="REMOVE",COUNTIF($D$2:D9286,"REMOVE"),"")</f>
        <v/>
      </c>
      <c r="I9286">
        <f>IF(E9286="Gmail",COUNTIF($E$2:E9286,"Gmail"),"")</f>
        <v/>
      </c>
      <c r="J9286">
        <f>IF(E9286="Outlook",COUNTIF($E$2:E9286,"Outlook"),"")</f>
        <v/>
      </c>
      <c r="K9286">
        <f>IF(E9286="Domain",COUNTIF($E$2:E9286,"Domain"),"")</f>
        <v/>
      </c>
    </row>
    <row r="9287">
      <c r="A9287" s="2" t="n"/>
      <c r="B9287">
        <f>LOWER(TRIM(A9287))</f>
        <v/>
      </c>
      <c r="C9287">
        <f>IF(B9287="","",IFERROR(INDEX('Bad Patterns'!$A$2:$A$120,MATCH(1,INDEX(--ISNUMBER(SEARCH('Bad Patterns'!$A$2:$A$120,B9287)),0),0)),""))</f>
        <v/>
      </c>
      <c r="D9287">
        <f>IF(B9287="","",IF(C9287&lt;&gt;"","REMOVE","KEEP"))</f>
        <v/>
      </c>
      <c r="E9287">
        <f>IF(D9287&lt;&gt;"KEEP","",IF(RIGHT(B9287,10)="@gmail.com","Gmail",IF(OR(RIGHT(B9287,12)="@outlook.com",RIGHT(B9287,12)="@hotmail.com",RIGHT(B9287,9)="@live.com"),"Outlook","Domain")))</f>
        <v/>
      </c>
      <c r="F9287">
        <f>IF(B9287="","",IFERROR(RIGHT(B9287,LEN(B9287)-FIND("@",B9287)),""))</f>
        <v/>
      </c>
      <c r="G9287">
        <f>IF(D9287="KEEP",COUNTIF($D$2:D9287,"KEEP"),"")</f>
        <v/>
      </c>
      <c r="H9287">
        <f>IF(D9287="REMOVE",COUNTIF($D$2:D9287,"REMOVE"),"")</f>
        <v/>
      </c>
      <c r="I9287">
        <f>IF(E9287="Gmail",COUNTIF($E$2:E9287,"Gmail"),"")</f>
        <v/>
      </c>
      <c r="J9287">
        <f>IF(E9287="Outlook",COUNTIF($E$2:E9287,"Outlook"),"")</f>
        <v/>
      </c>
      <c r="K9287">
        <f>IF(E9287="Domain",COUNTIF($E$2:E9287,"Domain"),"")</f>
        <v/>
      </c>
    </row>
    <row r="9288">
      <c r="A9288" s="2" t="n"/>
      <c r="B9288">
        <f>LOWER(TRIM(A9288))</f>
        <v/>
      </c>
      <c r="C9288">
        <f>IF(B9288="","",IFERROR(INDEX('Bad Patterns'!$A$2:$A$120,MATCH(1,INDEX(--ISNUMBER(SEARCH('Bad Patterns'!$A$2:$A$120,B9288)),0),0)),""))</f>
        <v/>
      </c>
      <c r="D9288">
        <f>IF(B9288="","",IF(C9288&lt;&gt;"","REMOVE","KEEP"))</f>
        <v/>
      </c>
      <c r="E9288">
        <f>IF(D9288&lt;&gt;"KEEP","",IF(RIGHT(B9288,10)="@gmail.com","Gmail",IF(OR(RIGHT(B9288,12)="@outlook.com",RIGHT(B9288,12)="@hotmail.com",RIGHT(B9288,9)="@live.com"),"Outlook","Domain")))</f>
        <v/>
      </c>
      <c r="F9288">
        <f>IF(B9288="","",IFERROR(RIGHT(B9288,LEN(B9288)-FIND("@",B9288)),""))</f>
        <v/>
      </c>
      <c r="G9288">
        <f>IF(D9288="KEEP",COUNTIF($D$2:D9288,"KEEP"),"")</f>
        <v/>
      </c>
      <c r="H9288">
        <f>IF(D9288="REMOVE",COUNTIF($D$2:D9288,"REMOVE"),"")</f>
        <v/>
      </c>
      <c r="I9288">
        <f>IF(E9288="Gmail",COUNTIF($E$2:E9288,"Gmail"),"")</f>
        <v/>
      </c>
      <c r="J9288">
        <f>IF(E9288="Outlook",COUNTIF($E$2:E9288,"Outlook"),"")</f>
        <v/>
      </c>
      <c r="K9288">
        <f>IF(E9288="Domain",COUNTIF($E$2:E9288,"Domain"),"")</f>
        <v/>
      </c>
    </row>
    <row r="9289">
      <c r="A9289" s="2" t="n"/>
      <c r="B9289">
        <f>LOWER(TRIM(A9289))</f>
        <v/>
      </c>
      <c r="C9289">
        <f>IF(B9289="","",IFERROR(INDEX('Bad Patterns'!$A$2:$A$120,MATCH(1,INDEX(--ISNUMBER(SEARCH('Bad Patterns'!$A$2:$A$120,B9289)),0),0)),""))</f>
        <v/>
      </c>
      <c r="D9289">
        <f>IF(B9289="","",IF(C9289&lt;&gt;"","REMOVE","KEEP"))</f>
        <v/>
      </c>
      <c r="E9289">
        <f>IF(D9289&lt;&gt;"KEEP","",IF(RIGHT(B9289,10)="@gmail.com","Gmail",IF(OR(RIGHT(B9289,12)="@outlook.com",RIGHT(B9289,12)="@hotmail.com",RIGHT(B9289,9)="@live.com"),"Outlook","Domain")))</f>
        <v/>
      </c>
      <c r="F9289">
        <f>IF(B9289="","",IFERROR(RIGHT(B9289,LEN(B9289)-FIND("@",B9289)),""))</f>
        <v/>
      </c>
      <c r="G9289">
        <f>IF(D9289="KEEP",COUNTIF($D$2:D9289,"KEEP"),"")</f>
        <v/>
      </c>
      <c r="H9289">
        <f>IF(D9289="REMOVE",COUNTIF($D$2:D9289,"REMOVE"),"")</f>
        <v/>
      </c>
      <c r="I9289">
        <f>IF(E9289="Gmail",COUNTIF($E$2:E9289,"Gmail"),"")</f>
        <v/>
      </c>
      <c r="J9289">
        <f>IF(E9289="Outlook",COUNTIF($E$2:E9289,"Outlook"),"")</f>
        <v/>
      </c>
      <c r="K9289">
        <f>IF(E9289="Domain",COUNTIF($E$2:E9289,"Domain"),"")</f>
        <v/>
      </c>
    </row>
    <row r="9290">
      <c r="A9290" s="2" t="n"/>
      <c r="B9290">
        <f>LOWER(TRIM(A9290))</f>
        <v/>
      </c>
      <c r="C9290">
        <f>IF(B9290="","",IFERROR(INDEX('Bad Patterns'!$A$2:$A$120,MATCH(1,INDEX(--ISNUMBER(SEARCH('Bad Patterns'!$A$2:$A$120,B9290)),0),0)),""))</f>
        <v/>
      </c>
      <c r="D9290">
        <f>IF(B9290="","",IF(C9290&lt;&gt;"","REMOVE","KEEP"))</f>
        <v/>
      </c>
      <c r="E9290">
        <f>IF(D9290&lt;&gt;"KEEP","",IF(RIGHT(B9290,10)="@gmail.com","Gmail",IF(OR(RIGHT(B9290,12)="@outlook.com",RIGHT(B9290,12)="@hotmail.com",RIGHT(B9290,9)="@live.com"),"Outlook","Domain")))</f>
        <v/>
      </c>
      <c r="F9290">
        <f>IF(B9290="","",IFERROR(RIGHT(B9290,LEN(B9290)-FIND("@",B9290)),""))</f>
        <v/>
      </c>
      <c r="G9290">
        <f>IF(D9290="KEEP",COUNTIF($D$2:D9290,"KEEP"),"")</f>
        <v/>
      </c>
      <c r="H9290">
        <f>IF(D9290="REMOVE",COUNTIF($D$2:D9290,"REMOVE"),"")</f>
        <v/>
      </c>
      <c r="I9290">
        <f>IF(E9290="Gmail",COUNTIF($E$2:E9290,"Gmail"),"")</f>
        <v/>
      </c>
      <c r="J9290">
        <f>IF(E9290="Outlook",COUNTIF($E$2:E9290,"Outlook"),"")</f>
        <v/>
      </c>
      <c r="K9290">
        <f>IF(E9290="Domain",COUNTIF($E$2:E9290,"Domain"),"")</f>
        <v/>
      </c>
    </row>
    <row r="9291">
      <c r="A9291" s="2" t="n"/>
      <c r="B9291">
        <f>LOWER(TRIM(A9291))</f>
        <v/>
      </c>
      <c r="C9291">
        <f>IF(B9291="","",IFERROR(INDEX('Bad Patterns'!$A$2:$A$120,MATCH(1,INDEX(--ISNUMBER(SEARCH('Bad Patterns'!$A$2:$A$120,B9291)),0),0)),""))</f>
        <v/>
      </c>
      <c r="D9291">
        <f>IF(B9291="","",IF(C9291&lt;&gt;"","REMOVE","KEEP"))</f>
        <v/>
      </c>
      <c r="E9291">
        <f>IF(D9291&lt;&gt;"KEEP","",IF(RIGHT(B9291,10)="@gmail.com","Gmail",IF(OR(RIGHT(B9291,12)="@outlook.com",RIGHT(B9291,12)="@hotmail.com",RIGHT(B9291,9)="@live.com"),"Outlook","Domain")))</f>
        <v/>
      </c>
      <c r="F9291">
        <f>IF(B9291="","",IFERROR(RIGHT(B9291,LEN(B9291)-FIND("@",B9291)),""))</f>
        <v/>
      </c>
      <c r="G9291">
        <f>IF(D9291="KEEP",COUNTIF($D$2:D9291,"KEEP"),"")</f>
        <v/>
      </c>
      <c r="H9291">
        <f>IF(D9291="REMOVE",COUNTIF($D$2:D9291,"REMOVE"),"")</f>
        <v/>
      </c>
      <c r="I9291">
        <f>IF(E9291="Gmail",COUNTIF($E$2:E9291,"Gmail"),"")</f>
        <v/>
      </c>
      <c r="J9291">
        <f>IF(E9291="Outlook",COUNTIF($E$2:E9291,"Outlook"),"")</f>
        <v/>
      </c>
      <c r="K9291">
        <f>IF(E9291="Domain",COUNTIF($E$2:E9291,"Domain"),"")</f>
        <v/>
      </c>
    </row>
    <row r="9292">
      <c r="A9292" s="2" t="n"/>
      <c r="B9292">
        <f>LOWER(TRIM(A9292))</f>
        <v/>
      </c>
      <c r="C9292">
        <f>IF(B9292="","",IFERROR(INDEX('Bad Patterns'!$A$2:$A$120,MATCH(1,INDEX(--ISNUMBER(SEARCH('Bad Patterns'!$A$2:$A$120,B9292)),0),0)),""))</f>
        <v/>
      </c>
      <c r="D9292">
        <f>IF(B9292="","",IF(C9292&lt;&gt;"","REMOVE","KEEP"))</f>
        <v/>
      </c>
      <c r="E9292">
        <f>IF(D9292&lt;&gt;"KEEP","",IF(RIGHT(B9292,10)="@gmail.com","Gmail",IF(OR(RIGHT(B9292,12)="@outlook.com",RIGHT(B9292,12)="@hotmail.com",RIGHT(B9292,9)="@live.com"),"Outlook","Domain")))</f>
        <v/>
      </c>
      <c r="F9292">
        <f>IF(B9292="","",IFERROR(RIGHT(B9292,LEN(B9292)-FIND("@",B9292)),""))</f>
        <v/>
      </c>
      <c r="G9292">
        <f>IF(D9292="KEEP",COUNTIF($D$2:D9292,"KEEP"),"")</f>
        <v/>
      </c>
      <c r="H9292">
        <f>IF(D9292="REMOVE",COUNTIF($D$2:D9292,"REMOVE"),"")</f>
        <v/>
      </c>
      <c r="I9292">
        <f>IF(E9292="Gmail",COUNTIF($E$2:E9292,"Gmail"),"")</f>
        <v/>
      </c>
      <c r="J9292">
        <f>IF(E9292="Outlook",COUNTIF($E$2:E9292,"Outlook"),"")</f>
        <v/>
      </c>
      <c r="K9292">
        <f>IF(E9292="Domain",COUNTIF($E$2:E9292,"Domain"),"")</f>
        <v/>
      </c>
    </row>
    <row r="9293">
      <c r="A9293" s="2" t="n"/>
      <c r="B9293">
        <f>LOWER(TRIM(A9293))</f>
        <v/>
      </c>
      <c r="C9293">
        <f>IF(B9293="","",IFERROR(INDEX('Bad Patterns'!$A$2:$A$120,MATCH(1,INDEX(--ISNUMBER(SEARCH('Bad Patterns'!$A$2:$A$120,B9293)),0),0)),""))</f>
        <v/>
      </c>
      <c r="D9293">
        <f>IF(B9293="","",IF(C9293&lt;&gt;"","REMOVE","KEEP"))</f>
        <v/>
      </c>
      <c r="E9293">
        <f>IF(D9293&lt;&gt;"KEEP","",IF(RIGHT(B9293,10)="@gmail.com","Gmail",IF(OR(RIGHT(B9293,12)="@outlook.com",RIGHT(B9293,12)="@hotmail.com",RIGHT(B9293,9)="@live.com"),"Outlook","Domain")))</f>
        <v/>
      </c>
      <c r="F9293">
        <f>IF(B9293="","",IFERROR(RIGHT(B9293,LEN(B9293)-FIND("@",B9293)),""))</f>
        <v/>
      </c>
      <c r="G9293">
        <f>IF(D9293="KEEP",COUNTIF($D$2:D9293,"KEEP"),"")</f>
        <v/>
      </c>
      <c r="H9293">
        <f>IF(D9293="REMOVE",COUNTIF($D$2:D9293,"REMOVE"),"")</f>
        <v/>
      </c>
      <c r="I9293">
        <f>IF(E9293="Gmail",COUNTIF($E$2:E9293,"Gmail"),"")</f>
        <v/>
      </c>
      <c r="J9293">
        <f>IF(E9293="Outlook",COUNTIF($E$2:E9293,"Outlook"),"")</f>
        <v/>
      </c>
      <c r="K9293">
        <f>IF(E9293="Domain",COUNTIF($E$2:E9293,"Domain"),"")</f>
        <v/>
      </c>
    </row>
    <row r="9294">
      <c r="A9294" s="2" t="n"/>
      <c r="B9294">
        <f>LOWER(TRIM(A9294))</f>
        <v/>
      </c>
      <c r="C9294">
        <f>IF(B9294="","",IFERROR(INDEX('Bad Patterns'!$A$2:$A$120,MATCH(1,INDEX(--ISNUMBER(SEARCH('Bad Patterns'!$A$2:$A$120,B9294)),0),0)),""))</f>
        <v/>
      </c>
      <c r="D9294">
        <f>IF(B9294="","",IF(C9294&lt;&gt;"","REMOVE","KEEP"))</f>
        <v/>
      </c>
      <c r="E9294">
        <f>IF(D9294&lt;&gt;"KEEP","",IF(RIGHT(B9294,10)="@gmail.com","Gmail",IF(OR(RIGHT(B9294,12)="@outlook.com",RIGHT(B9294,12)="@hotmail.com",RIGHT(B9294,9)="@live.com"),"Outlook","Domain")))</f>
        <v/>
      </c>
      <c r="F9294">
        <f>IF(B9294="","",IFERROR(RIGHT(B9294,LEN(B9294)-FIND("@",B9294)),""))</f>
        <v/>
      </c>
      <c r="G9294">
        <f>IF(D9294="KEEP",COUNTIF($D$2:D9294,"KEEP"),"")</f>
        <v/>
      </c>
      <c r="H9294">
        <f>IF(D9294="REMOVE",COUNTIF($D$2:D9294,"REMOVE"),"")</f>
        <v/>
      </c>
      <c r="I9294">
        <f>IF(E9294="Gmail",COUNTIF($E$2:E9294,"Gmail"),"")</f>
        <v/>
      </c>
      <c r="J9294">
        <f>IF(E9294="Outlook",COUNTIF($E$2:E9294,"Outlook"),"")</f>
        <v/>
      </c>
      <c r="K9294">
        <f>IF(E9294="Domain",COUNTIF($E$2:E9294,"Domain"),"")</f>
        <v/>
      </c>
    </row>
    <row r="9295">
      <c r="A9295" s="2" t="n"/>
      <c r="B9295">
        <f>LOWER(TRIM(A9295))</f>
        <v/>
      </c>
      <c r="C9295">
        <f>IF(B9295="","",IFERROR(INDEX('Bad Patterns'!$A$2:$A$120,MATCH(1,INDEX(--ISNUMBER(SEARCH('Bad Patterns'!$A$2:$A$120,B9295)),0),0)),""))</f>
        <v/>
      </c>
      <c r="D9295">
        <f>IF(B9295="","",IF(C9295&lt;&gt;"","REMOVE","KEEP"))</f>
        <v/>
      </c>
      <c r="E9295">
        <f>IF(D9295&lt;&gt;"KEEP","",IF(RIGHT(B9295,10)="@gmail.com","Gmail",IF(OR(RIGHT(B9295,12)="@outlook.com",RIGHT(B9295,12)="@hotmail.com",RIGHT(B9295,9)="@live.com"),"Outlook","Domain")))</f>
        <v/>
      </c>
      <c r="F9295">
        <f>IF(B9295="","",IFERROR(RIGHT(B9295,LEN(B9295)-FIND("@",B9295)),""))</f>
        <v/>
      </c>
      <c r="G9295">
        <f>IF(D9295="KEEP",COUNTIF($D$2:D9295,"KEEP"),"")</f>
        <v/>
      </c>
      <c r="H9295">
        <f>IF(D9295="REMOVE",COUNTIF($D$2:D9295,"REMOVE"),"")</f>
        <v/>
      </c>
      <c r="I9295">
        <f>IF(E9295="Gmail",COUNTIF($E$2:E9295,"Gmail"),"")</f>
        <v/>
      </c>
      <c r="J9295">
        <f>IF(E9295="Outlook",COUNTIF($E$2:E9295,"Outlook"),"")</f>
        <v/>
      </c>
      <c r="K9295">
        <f>IF(E9295="Domain",COUNTIF($E$2:E9295,"Domain"),"")</f>
        <v/>
      </c>
    </row>
    <row r="9296">
      <c r="A9296" s="2" t="n"/>
      <c r="B9296">
        <f>LOWER(TRIM(A9296))</f>
        <v/>
      </c>
      <c r="C9296">
        <f>IF(B9296="","",IFERROR(INDEX('Bad Patterns'!$A$2:$A$120,MATCH(1,INDEX(--ISNUMBER(SEARCH('Bad Patterns'!$A$2:$A$120,B9296)),0),0)),""))</f>
        <v/>
      </c>
      <c r="D9296">
        <f>IF(B9296="","",IF(C9296&lt;&gt;"","REMOVE","KEEP"))</f>
        <v/>
      </c>
      <c r="E9296">
        <f>IF(D9296&lt;&gt;"KEEP","",IF(RIGHT(B9296,10)="@gmail.com","Gmail",IF(OR(RIGHT(B9296,12)="@outlook.com",RIGHT(B9296,12)="@hotmail.com",RIGHT(B9296,9)="@live.com"),"Outlook","Domain")))</f>
        <v/>
      </c>
      <c r="F9296">
        <f>IF(B9296="","",IFERROR(RIGHT(B9296,LEN(B9296)-FIND("@",B9296)),""))</f>
        <v/>
      </c>
      <c r="G9296">
        <f>IF(D9296="KEEP",COUNTIF($D$2:D9296,"KEEP"),"")</f>
        <v/>
      </c>
      <c r="H9296">
        <f>IF(D9296="REMOVE",COUNTIF($D$2:D9296,"REMOVE"),"")</f>
        <v/>
      </c>
      <c r="I9296">
        <f>IF(E9296="Gmail",COUNTIF($E$2:E9296,"Gmail"),"")</f>
        <v/>
      </c>
      <c r="J9296">
        <f>IF(E9296="Outlook",COUNTIF($E$2:E9296,"Outlook"),"")</f>
        <v/>
      </c>
      <c r="K9296">
        <f>IF(E9296="Domain",COUNTIF($E$2:E9296,"Domain"),"")</f>
        <v/>
      </c>
    </row>
    <row r="9297">
      <c r="A9297" s="2" t="n"/>
      <c r="B9297">
        <f>LOWER(TRIM(A9297))</f>
        <v/>
      </c>
      <c r="C9297">
        <f>IF(B9297="","",IFERROR(INDEX('Bad Patterns'!$A$2:$A$120,MATCH(1,INDEX(--ISNUMBER(SEARCH('Bad Patterns'!$A$2:$A$120,B9297)),0),0)),""))</f>
        <v/>
      </c>
      <c r="D9297">
        <f>IF(B9297="","",IF(C9297&lt;&gt;"","REMOVE","KEEP"))</f>
        <v/>
      </c>
      <c r="E9297">
        <f>IF(D9297&lt;&gt;"KEEP","",IF(RIGHT(B9297,10)="@gmail.com","Gmail",IF(OR(RIGHT(B9297,12)="@outlook.com",RIGHT(B9297,12)="@hotmail.com",RIGHT(B9297,9)="@live.com"),"Outlook","Domain")))</f>
        <v/>
      </c>
      <c r="F9297">
        <f>IF(B9297="","",IFERROR(RIGHT(B9297,LEN(B9297)-FIND("@",B9297)),""))</f>
        <v/>
      </c>
      <c r="G9297">
        <f>IF(D9297="KEEP",COUNTIF($D$2:D9297,"KEEP"),"")</f>
        <v/>
      </c>
      <c r="H9297">
        <f>IF(D9297="REMOVE",COUNTIF($D$2:D9297,"REMOVE"),"")</f>
        <v/>
      </c>
      <c r="I9297">
        <f>IF(E9297="Gmail",COUNTIF($E$2:E9297,"Gmail"),"")</f>
        <v/>
      </c>
      <c r="J9297">
        <f>IF(E9297="Outlook",COUNTIF($E$2:E9297,"Outlook"),"")</f>
        <v/>
      </c>
      <c r="K9297">
        <f>IF(E9297="Domain",COUNTIF($E$2:E9297,"Domain"),"")</f>
        <v/>
      </c>
    </row>
    <row r="9298">
      <c r="A9298" s="2" t="n"/>
      <c r="B9298">
        <f>LOWER(TRIM(A9298))</f>
        <v/>
      </c>
      <c r="C9298">
        <f>IF(B9298="","",IFERROR(INDEX('Bad Patterns'!$A$2:$A$120,MATCH(1,INDEX(--ISNUMBER(SEARCH('Bad Patterns'!$A$2:$A$120,B9298)),0),0)),""))</f>
        <v/>
      </c>
      <c r="D9298">
        <f>IF(B9298="","",IF(C9298&lt;&gt;"","REMOVE","KEEP"))</f>
        <v/>
      </c>
      <c r="E9298">
        <f>IF(D9298&lt;&gt;"KEEP","",IF(RIGHT(B9298,10)="@gmail.com","Gmail",IF(OR(RIGHT(B9298,12)="@outlook.com",RIGHT(B9298,12)="@hotmail.com",RIGHT(B9298,9)="@live.com"),"Outlook","Domain")))</f>
        <v/>
      </c>
      <c r="F9298">
        <f>IF(B9298="","",IFERROR(RIGHT(B9298,LEN(B9298)-FIND("@",B9298)),""))</f>
        <v/>
      </c>
      <c r="G9298">
        <f>IF(D9298="KEEP",COUNTIF($D$2:D9298,"KEEP"),"")</f>
        <v/>
      </c>
      <c r="H9298">
        <f>IF(D9298="REMOVE",COUNTIF($D$2:D9298,"REMOVE"),"")</f>
        <v/>
      </c>
      <c r="I9298">
        <f>IF(E9298="Gmail",COUNTIF($E$2:E9298,"Gmail"),"")</f>
        <v/>
      </c>
      <c r="J9298">
        <f>IF(E9298="Outlook",COUNTIF($E$2:E9298,"Outlook"),"")</f>
        <v/>
      </c>
      <c r="K9298">
        <f>IF(E9298="Domain",COUNTIF($E$2:E9298,"Domain"),"")</f>
        <v/>
      </c>
    </row>
    <row r="9299">
      <c r="A9299" s="2" t="n"/>
      <c r="B9299">
        <f>LOWER(TRIM(A9299))</f>
        <v/>
      </c>
      <c r="C9299">
        <f>IF(B9299="","",IFERROR(INDEX('Bad Patterns'!$A$2:$A$120,MATCH(1,INDEX(--ISNUMBER(SEARCH('Bad Patterns'!$A$2:$A$120,B9299)),0),0)),""))</f>
        <v/>
      </c>
      <c r="D9299">
        <f>IF(B9299="","",IF(C9299&lt;&gt;"","REMOVE","KEEP"))</f>
        <v/>
      </c>
      <c r="E9299">
        <f>IF(D9299&lt;&gt;"KEEP","",IF(RIGHT(B9299,10)="@gmail.com","Gmail",IF(OR(RIGHT(B9299,12)="@outlook.com",RIGHT(B9299,12)="@hotmail.com",RIGHT(B9299,9)="@live.com"),"Outlook","Domain")))</f>
        <v/>
      </c>
      <c r="F9299">
        <f>IF(B9299="","",IFERROR(RIGHT(B9299,LEN(B9299)-FIND("@",B9299)),""))</f>
        <v/>
      </c>
      <c r="G9299">
        <f>IF(D9299="KEEP",COUNTIF($D$2:D9299,"KEEP"),"")</f>
        <v/>
      </c>
      <c r="H9299">
        <f>IF(D9299="REMOVE",COUNTIF($D$2:D9299,"REMOVE"),"")</f>
        <v/>
      </c>
      <c r="I9299">
        <f>IF(E9299="Gmail",COUNTIF($E$2:E9299,"Gmail"),"")</f>
        <v/>
      </c>
      <c r="J9299">
        <f>IF(E9299="Outlook",COUNTIF($E$2:E9299,"Outlook"),"")</f>
        <v/>
      </c>
      <c r="K9299">
        <f>IF(E9299="Domain",COUNTIF($E$2:E9299,"Domain"),"")</f>
        <v/>
      </c>
    </row>
    <row r="9300">
      <c r="A9300" s="2" t="n"/>
      <c r="B9300">
        <f>LOWER(TRIM(A9300))</f>
        <v/>
      </c>
      <c r="C9300">
        <f>IF(B9300="","",IFERROR(INDEX('Bad Patterns'!$A$2:$A$120,MATCH(1,INDEX(--ISNUMBER(SEARCH('Bad Patterns'!$A$2:$A$120,B9300)),0),0)),""))</f>
        <v/>
      </c>
      <c r="D9300">
        <f>IF(B9300="","",IF(C9300&lt;&gt;"","REMOVE","KEEP"))</f>
        <v/>
      </c>
      <c r="E9300">
        <f>IF(D9300&lt;&gt;"KEEP","",IF(RIGHT(B9300,10)="@gmail.com","Gmail",IF(OR(RIGHT(B9300,12)="@outlook.com",RIGHT(B9300,12)="@hotmail.com",RIGHT(B9300,9)="@live.com"),"Outlook","Domain")))</f>
        <v/>
      </c>
      <c r="F9300">
        <f>IF(B9300="","",IFERROR(RIGHT(B9300,LEN(B9300)-FIND("@",B9300)),""))</f>
        <v/>
      </c>
      <c r="G9300">
        <f>IF(D9300="KEEP",COUNTIF($D$2:D9300,"KEEP"),"")</f>
        <v/>
      </c>
      <c r="H9300">
        <f>IF(D9300="REMOVE",COUNTIF($D$2:D9300,"REMOVE"),"")</f>
        <v/>
      </c>
      <c r="I9300">
        <f>IF(E9300="Gmail",COUNTIF($E$2:E9300,"Gmail"),"")</f>
        <v/>
      </c>
      <c r="J9300">
        <f>IF(E9300="Outlook",COUNTIF($E$2:E9300,"Outlook"),"")</f>
        <v/>
      </c>
      <c r="K9300">
        <f>IF(E9300="Domain",COUNTIF($E$2:E9300,"Domain"),"")</f>
        <v/>
      </c>
    </row>
    <row r="9301">
      <c r="A9301" s="2" t="n"/>
      <c r="B9301">
        <f>LOWER(TRIM(A9301))</f>
        <v/>
      </c>
      <c r="C9301">
        <f>IF(B9301="","",IFERROR(INDEX('Bad Patterns'!$A$2:$A$120,MATCH(1,INDEX(--ISNUMBER(SEARCH('Bad Patterns'!$A$2:$A$120,B9301)),0),0)),""))</f>
        <v/>
      </c>
      <c r="D9301">
        <f>IF(B9301="","",IF(C9301&lt;&gt;"","REMOVE","KEEP"))</f>
        <v/>
      </c>
      <c r="E9301">
        <f>IF(D9301&lt;&gt;"KEEP","",IF(RIGHT(B9301,10)="@gmail.com","Gmail",IF(OR(RIGHT(B9301,12)="@outlook.com",RIGHT(B9301,12)="@hotmail.com",RIGHT(B9301,9)="@live.com"),"Outlook","Domain")))</f>
        <v/>
      </c>
      <c r="F9301">
        <f>IF(B9301="","",IFERROR(RIGHT(B9301,LEN(B9301)-FIND("@",B9301)),""))</f>
        <v/>
      </c>
      <c r="G9301">
        <f>IF(D9301="KEEP",COUNTIF($D$2:D9301,"KEEP"),"")</f>
        <v/>
      </c>
      <c r="H9301">
        <f>IF(D9301="REMOVE",COUNTIF($D$2:D9301,"REMOVE"),"")</f>
        <v/>
      </c>
      <c r="I9301">
        <f>IF(E9301="Gmail",COUNTIF($E$2:E9301,"Gmail"),"")</f>
        <v/>
      </c>
      <c r="J9301">
        <f>IF(E9301="Outlook",COUNTIF($E$2:E9301,"Outlook"),"")</f>
        <v/>
      </c>
      <c r="K9301">
        <f>IF(E9301="Domain",COUNTIF($E$2:E9301,"Domain"),"")</f>
        <v/>
      </c>
    </row>
    <row r="9302">
      <c r="A9302" s="2" t="n"/>
      <c r="B9302">
        <f>LOWER(TRIM(A9302))</f>
        <v/>
      </c>
      <c r="C9302">
        <f>IF(B9302="","",IFERROR(INDEX('Bad Patterns'!$A$2:$A$120,MATCH(1,INDEX(--ISNUMBER(SEARCH('Bad Patterns'!$A$2:$A$120,B9302)),0),0)),""))</f>
        <v/>
      </c>
      <c r="D9302">
        <f>IF(B9302="","",IF(C9302&lt;&gt;"","REMOVE","KEEP"))</f>
        <v/>
      </c>
      <c r="E9302">
        <f>IF(D9302&lt;&gt;"KEEP","",IF(RIGHT(B9302,10)="@gmail.com","Gmail",IF(OR(RIGHT(B9302,12)="@outlook.com",RIGHT(B9302,12)="@hotmail.com",RIGHT(B9302,9)="@live.com"),"Outlook","Domain")))</f>
        <v/>
      </c>
      <c r="F9302">
        <f>IF(B9302="","",IFERROR(RIGHT(B9302,LEN(B9302)-FIND("@",B9302)),""))</f>
        <v/>
      </c>
      <c r="G9302">
        <f>IF(D9302="KEEP",COUNTIF($D$2:D9302,"KEEP"),"")</f>
        <v/>
      </c>
      <c r="H9302">
        <f>IF(D9302="REMOVE",COUNTIF($D$2:D9302,"REMOVE"),"")</f>
        <v/>
      </c>
      <c r="I9302">
        <f>IF(E9302="Gmail",COUNTIF($E$2:E9302,"Gmail"),"")</f>
        <v/>
      </c>
      <c r="J9302">
        <f>IF(E9302="Outlook",COUNTIF($E$2:E9302,"Outlook"),"")</f>
        <v/>
      </c>
      <c r="K9302">
        <f>IF(E9302="Domain",COUNTIF($E$2:E9302,"Domain"),"")</f>
        <v/>
      </c>
    </row>
    <row r="9303">
      <c r="A9303" s="2" t="n"/>
      <c r="B9303">
        <f>LOWER(TRIM(A9303))</f>
        <v/>
      </c>
      <c r="C9303">
        <f>IF(B9303="","",IFERROR(INDEX('Bad Patterns'!$A$2:$A$120,MATCH(1,INDEX(--ISNUMBER(SEARCH('Bad Patterns'!$A$2:$A$120,B9303)),0),0)),""))</f>
        <v/>
      </c>
      <c r="D9303">
        <f>IF(B9303="","",IF(C9303&lt;&gt;"","REMOVE","KEEP"))</f>
        <v/>
      </c>
      <c r="E9303">
        <f>IF(D9303&lt;&gt;"KEEP","",IF(RIGHT(B9303,10)="@gmail.com","Gmail",IF(OR(RIGHT(B9303,12)="@outlook.com",RIGHT(B9303,12)="@hotmail.com",RIGHT(B9303,9)="@live.com"),"Outlook","Domain")))</f>
        <v/>
      </c>
      <c r="F9303">
        <f>IF(B9303="","",IFERROR(RIGHT(B9303,LEN(B9303)-FIND("@",B9303)),""))</f>
        <v/>
      </c>
      <c r="G9303">
        <f>IF(D9303="KEEP",COUNTIF($D$2:D9303,"KEEP"),"")</f>
        <v/>
      </c>
      <c r="H9303">
        <f>IF(D9303="REMOVE",COUNTIF($D$2:D9303,"REMOVE"),"")</f>
        <v/>
      </c>
      <c r="I9303">
        <f>IF(E9303="Gmail",COUNTIF($E$2:E9303,"Gmail"),"")</f>
        <v/>
      </c>
      <c r="J9303">
        <f>IF(E9303="Outlook",COUNTIF($E$2:E9303,"Outlook"),"")</f>
        <v/>
      </c>
      <c r="K9303">
        <f>IF(E9303="Domain",COUNTIF($E$2:E9303,"Domain"),"")</f>
        <v/>
      </c>
    </row>
    <row r="9304">
      <c r="A9304" s="2" t="n"/>
      <c r="B9304">
        <f>LOWER(TRIM(A9304))</f>
        <v/>
      </c>
      <c r="C9304">
        <f>IF(B9304="","",IFERROR(INDEX('Bad Patterns'!$A$2:$A$120,MATCH(1,INDEX(--ISNUMBER(SEARCH('Bad Patterns'!$A$2:$A$120,B9304)),0),0)),""))</f>
        <v/>
      </c>
      <c r="D9304">
        <f>IF(B9304="","",IF(C9304&lt;&gt;"","REMOVE","KEEP"))</f>
        <v/>
      </c>
      <c r="E9304">
        <f>IF(D9304&lt;&gt;"KEEP","",IF(RIGHT(B9304,10)="@gmail.com","Gmail",IF(OR(RIGHT(B9304,12)="@outlook.com",RIGHT(B9304,12)="@hotmail.com",RIGHT(B9304,9)="@live.com"),"Outlook","Domain")))</f>
        <v/>
      </c>
      <c r="F9304">
        <f>IF(B9304="","",IFERROR(RIGHT(B9304,LEN(B9304)-FIND("@",B9304)),""))</f>
        <v/>
      </c>
      <c r="G9304">
        <f>IF(D9304="KEEP",COUNTIF($D$2:D9304,"KEEP"),"")</f>
        <v/>
      </c>
      <c r="H9304">
        <f>IF(D9304="REMOVE",COUNTIF($D$2:D9304,"REMOVE"),"")</f>
        <v/>
      </c>
      <c r="I9304">
        <f>IF(E9304="Gmail",COUNTIF($E$2:E9304,"Gmail"),"")</f>
        <v/>
      </c>
      <c r="J9304">
        <f>IF(E9304="Outlook",COUNTIF($E$2:E9304,"Outlook"),"")</f>
        <v/>
      </c>
      <c r="K9304">
        <f>IF(E9304="Domain",COUNTIF($E$2:E9304,"Domain"),"")</f>
        <v/>
      </c>
    </row>
    <row r="9305">
      <c r="A9305" s="2" t="n"/>
      <c r="B9305">
        <f>LOWER(TRIM(A9305))</f>
        <v/>
      </c>
      <c r="C9305">
        <f>IF(B9305="","",IFERROR(INDEX('Bad Patterns'!$A$2:$A$120,MATCH(1,INDEX(--ISNUMBER(SEARCH('Bad Patterns'!$A$2:$A$120,B9305)),0),0)),""))</f>
        <v/>
      </c>
      <c r="D9305">
        <f>IF(B9305="","",IF(C9305&lt;&gt;"","REMOVE","KEEP"))</f>
        <v/>
      </c>
      <c r="E9305">
        <f>IF(D9305&lt;&gt;"KEEP","",IF(RIGHT(B9305,10)="@gmail.com","Gmail",IF(OR(RIGHT(B9305,12)="@outlook.com",RIGHT(B9305,12)="@hotmail.com",RIGHT(B9305,9)="@live.com"),"Outlook","Domain")))</f>
        <v/>
      </c>
      <c r="F9305">
        <f>IF(B9305="","",IFERROR(RIGHT(B9305,LEN(B9305)-FIND("@",B9305)),""))</f>
        <v/>
      </c>
      <c r="G9305">
        <f>IF(D9305="KEEP",COUNTIF($D$2:D9305,"KEEP"),"")</f>
        <v/>
      </c>
      <c r="H9305">
        <f>IF(D9305="REMOVE",COUNTIF($D$2:D9305,"REMOVE"),"")</f>
        <v/>
      </c>
      <c r="I9305">
        <f>IF(E9305="Gmail",COUNTIF($E$2:E9305,"Gmail"),"")</f>
        <v/>
      </c>
      <c r="J9305">
        <f>IF(E9305="Outlook",COUNTIF($E$2:E9305,"Outlook"),"")</f>
        <v/>
      </c>
      <c r="K9305">
        <f>IF(E9305="Domain",COUNTIF($E$2:E9305,"Domain"),"")</f>
        <v/>
      </c>
    </row>
    <row r="9306">
      <c r="A9306" s="2" t="n"/>
      <c r="B9306">
        <f>LOWER(TRIM(A9306))</f>
        <v/>
      </c>
      <c r="C9306">
        <f>IF(B9306="","",IFERROR(INDEX('Bad Patterns'!$A$2:$A$120,MATCH(1,INDEX(--ISNUMBER(SEARCH('Bad Patterns'!$A$2:$A$120,B9306)),0),0)),""))</f>
        <v/>
      </c>
      <c r="D9306">
        <f>IF(B9306="","",IF(C9306&lt;&gt;"","REMOVE","KEEP"))</f>
        <v/>
      </c>
      <c r="E9306">
        <f>IF(D9306&lt;&gt;"KEEP","",IF(RIGHT(B9306,10)="@gmail.com","Gmail",IF(OR(RIGHT(B9306,12)="@outlook.com",RIGHT(B9306,12)="@hotmail.com",RIGHT(B9306,9)="@live.com"),"Outlook","Domain")))</f>
        <v/>
      </c>
      <c r="F9306">
        <f>IF(B9306="","",IFERROR(RIGHT(B9306,LEN(B9306)-FIND("@",B9306)),""))</f>
        <v/>
      </c>
      <c r="G9306">
        <f>IF(D9306="KEEP",COUNTIF($D$2:D9306,"KEEP"),"")</f>
        <v/>
      </c>
      <c r="H9306">
        <f>IF(D9306="REMOVE",COUNTIF($D$2:D9306,"REMOVE"),"")</f>
        <v/>
      </c>
      <c r="I9306">
        <f>IF(E9306="Gmail",COUNTIF($E$2:E9306,"Gmail"),"")</f>
        <v/>
      </c>
      <c r="J9306">
        <f>IF(E9306="Outlook",COUNTIF($E$2:E9306,"Outlook"),"")</f>
        <v/>
      </c>
      <c r="K9306">
        <f>IF(E9306="Domain",COUNTIF($E$2:E9306,"Domain"),"")</f>
        <v/>
      </c>
    </row>
    <row r="9307">
      <c r="A9307" s="2" t="n"/>
      <c r="B9307">
        <f>LOWER(TRIM(A9307))</f>
        <v/>
      </c>
      <c r="C9307">
        <f>IF(B9307="","",IFERROR(INDEX('Bad Patterns'!$A$2:$A$120,MATCH(1,INDEX(--ISNUMBER(SEARCH('Bad Patterns'!$A$2:$A$120,B9307)),0),0)),""))</f>
        <v/>
      </c>
      <c r="D9307">
        <f>IF(B9307="","",IF(C9307&lt;&gt;"","REMOVE","KEEP"))</f>
        <v/>
      </c>
      <c r="E9307">
        <f>IF(D9307&lt;&gt;"KEEP","",IF(RIGHT(B9307,10)="@gmail.com","Gmail",IF(OR(RIGHT(B9307,12)="@outlook.com",RIGHT(B9307,12)="@hotmail.com",RIGHT(B9307,9)="@live.com"),"Outlook","Domain")))</f>
        <v/>
      </c>
      <c r="F9307">
        <f>IF(B9307="","",IFERROR(RIGHT(B9307,LEN(B9307)-FIND("@",B9307)),""))</f>
        <v/>
      </c>
      <c r="G9307">
        <f>IF(D9307="KEEP",COUNTIF($D$2:D9307,"KEEP"),"")</f>
        <v/>
      </c>
      <c r="H9307">
        <f>IF(D9307="REMOVE",COUNTIF($D$2:D9307,"REMOVE"),"")</f>
        <v/>
      </c>
      <c r="I9307">
        <f>IF(E9307="Gmail",COUNTIF($E$2:E9307,"Gmail"),"")</f>
        <v/>
      </c>
      <c r="J9307">
        <f>IF(E9307="Outlook",COUNTIF($E$2:E9307,"Outlook"),"")</f>
        <v/>
      </c>
      <c r="K9307">
        <f>IF(E9307="Domain",COUNTIF($E$2:E9307,"Domain"),"")</f>
        <v/>
      </c>
    </row>
    <row r="9308">
      <c r="A9308" s="2" t="n"/>
      <c r="B9308">
        <f>LOWER(TRIM(A9308))</f>
        <v/>
      </c>
      <c r="C9308">
        <f>IF(B9308="","",IFERROR(INDEX('Bad Patterns'!$A$2:$A$120,MATCH(1,INDEX(--ISNUMBER(SEARCH('Bad Patterns'!$A$2:$A$120,B9308)),0),0)),""))</f>
        <v/>
      </c>
      <c r="D9308">
        <f>IF(B9308="","",IF(C9308&lt;&gt;"","REMOVE","KEEP"))</f>
        <v/>
      </c>
      <c r="E9308">
        <f>IF(D9308&lt;&gt;"KEEP","",IF(RIGHT(B9308,10)="@gmail.com","Gmail",IF(OR(RIGHT(B9308,12)="@outlook.com",RIGHT(B9308,12)="@hotmail.com",RIGHT(B9308,9)="@live.com"),"Outlook","Domain")))</f>
        <v/>
      </c>
      <c r="F9308">
        <f>IF(B9308="","",IFERROR(RIGHT(B9308,LEN(B9308)-FIND("@",B9308)),""))</f>
        <v/>
      </c>
      <c r="G9308">
        <f>IF(D9308="KEEP",COUNTIF($D$2:D9308,"KEEP"),"")</f>
        <v/>
      </c>
      <c r="H9308">
        <f>IF(D9308="REMOVE",COUNTIF($D$2:D9308,"REMOVE"),"")</f>
        <v/>
      </c>
      <c r="I9308">
        <f>IF(E9308="Gmail",COUNTIF($E$2:E9308,"Gmail"),"")</f>
        <v/>
      </c>
      <c r="J9308">
        <f>IF(E9308="Outlook",COUNTIF($E$2:E9308,"Outlook"),"")</f>
        <v/>
      </c>
      <c r="K9308">
        <f>IF(E9308="Domain",COUNTIF($E$2:E9308,"Domain"),"")</f>
        <v/>
      </c>
    </row>
    <row r="9309">
      <c r="A9309" s="2" t="n"/>
      <c r="B9309">
        <f>LOWER(TRIM(A9309))</f>
        <v/>
      </c>
      <c r="C9309">
        <f>IF(B9309="","",IFERROR(INDEX('Bad Patterns'!$A$2:$A$120,MATCH(1,INDEX(--ISNUMBER(SEARCH('Bad Patterns'!$A$2:$A$120,B9309)),0),0)),""))</f>
        <v/>
      </c>
      <c r="D9309">
        <f>IF(B9309="","",IF(C9309&lt;&gt;"","REMOVE","KEEP"))</f>
        <v/>
      </c>
      <c r="E9309">
        <f>IF(D9309&lt;&gt;"KEEP","",IF(RIGHT(B9309,10)="@gmail.com","Gmail",IF(OR(RIGHT(B9309,12)="@outlook.com",RIGHT(B9309,12)="@hotmail.com",RIGHT(B9309,9)="@live.com"),"Outlook","Domain")))</f>
        <v/>
      </c>
      <c r="F9309">
        <f>IF(B9309="","",IFERROR(RIGHT(B9309,LEN(B9309)-FIND("@",B9309)),""))</f>
        <v/>
      </c>
      <c r="G9309">
        <f>IF(D9309="KEEP",COUNTIF($D$2:D9309,"KEEP"),"")</f>
        <v/>
      </c>
      <c r="H9309">
        <f>IF(D9309="REMOVE",COUNTIF($D$2:D9309,"REMOVE"),"")</f>
        <v/>
      </c>
      <c r="I9309">
        <f>IF(E9309="Gmail",COUNTIF($E$2:E9309,"Gmail"),"")</f>
        <v/>
      </c>
      <c r="J9309">
        <f>IF(E9309="Outlook",COUNTIF($E$2:E9309,"Outlook"),"")</f>
        <v/>
      </c>
      <c r="K9309">
        <f>IF(E9309="Domain",COUNTIF($E$2:E9309,"Domain"),"")</f>
        <v/>
      </c>
    </row>
    <row r="9310">
      <c r="A9310" s="2" t="n"/>
      <c r="B9310">
        <f>LOWER(TRIM(A9310))</f>
        <v/>
      </c>
      <c r="C9310">
        <f>IF(B9310="","",IFERROR(INDEX('Bad Patterns'!$A$2:$A$120,MATCH(1,INDEX(--ISNUMBER(SEARCH('Bad Patterns'!$A$2:$A$120,B9310)),0),0)),""))</f>
        <v/>
      </c>
      <c r="D9310">
        <f>IF(B9310="","",IF(C9310&lt;&gt;"","REMOVE","KEEP"))</f>
        <v/>
      </c>
      <c r="E9310">
        <f>IF(D9310&lt;&gt;"KEEP","",IF(RIGHT(B9310,10)="@gmail.com","Gmail",IF(OR(RIGHT(B9310,12)="@outlook.com",RIGHT(B9310,12)="@hotmail.com",RIGHT(B9310,9)="@live.com"),"Outlook","Domain")))</f>
        <v/>
      </c>
      <c r="F9310">
        <f>IF(B9310="","",IFERROR(RIGHT(B9310,LEN(B9310)-FIND("@",B9310)),""))</f>
        <v/>
      </c>
      <c r="G9310">
        <f>IF(D9310="KEEP",COUNTIF($D$2:D9310,"KEEP"),"")</f>
        <v/>
      </c>
      <c r="H9310">
        <f>IF(D9310="REMOVE",COUNTIF($D$2:D9310,"REMOVE"),"")</f>
        <v/>
      </c>
      <c r="I9310">
        <f>IF(E9310="Gmail",COUNTIF($E$2:E9310,"Gmail"),"")</f>
        <v/>
      </c>
      <c r="J9310">
        <f>IF(E9310="Outlook",COUNTIF($E$2:E9310,"Outlook"),"")</f>
        <v/>
      </c>
      <c r="K9310">
        <f>IF(E9310="Domain",COUNTIF($E$2:E9310,"Domain"),"")</f>
        <v/>
      </c>
    </row>
    <row r="9311">
      <c r="A9311" s="2" t="n"/>
      <c r="B9311">
        <f>LOWER(TRIM(A9311))</f>
        <v/>
      </c>
      <c r="C9311">
        <f>IF(B9311="","",IFERROR(INDEX('Bad Patterns'!$A$2:$A$120,MATCH(1,INDEX(--ISNUMBER(SEARCH('Bad Patterns'!$A$2:$A$120,B9311)),0),0)),""))</f>
        <v/>
      </c>
      <c r="D9311">
        <f>IF(B9311="","",IF(C9311&lt;&gt;"","REMOVE","KEEP"))</f>
        <v/>
      </c>
      <c r="E9311">
        <f>IF(D9311&lt;&gt;"KEEP","",IF(RIGHT(B9311,10)="@gmail.com","Gmail",IF(OR(RIGHT(B9311,12)="@outlook.com",RIGHT(B9311,12)="@hotmail.com",RIGHT(B9311,9)="@live.com"),"Outlook","Domain")))</f>
        <v/>
      </c>
      <c r="F9311">
        <f>IF(B9311="","",IFERROR(RIGHT(B9311,LEN(B9311)-FIND("@",B9311)),""))</f>
        <v/>
      </c>
      <c r="G9311">
        <f>IF(D9311="KEEP",COUNTIF($D$2:D9311,"KEEP"),"")</f>
        <v/>
      </c>
      <c r="H9311">
        <f>IF(D9311="REMOVE",COUNTIF($D$2:D9311,"REMOVE"),"")</f>
        <v/>
      </c>
      <c r="I9311">
        <f>IF(E9311="Gmail",COUNTIF($E$2:E9311,"Gmail"),"")</f>
        <v/>
      </c>
      <c r="J9311">
        <f>IF(E9311="Outlook",COUNTIF($E$2:E9311,"Outlook"),"")</f>
        <v/>
      </c>
      <c r="K9311">
        <f>IF(E9311="Domain",COUNTIF($E$2:E9311,"Domain"),"")</f>
        <v/>
      </c>
    </row>
    <row r="9312">
      <c r="A9312" s="2" t="n"/>
      <c r="B9312">
        <f>LOWER(TRIM(A9312))</f>
        <v/>
      </c>
      <c r="C9312">
        <f>IF(B9312="","",IFERROR(INDEX('Bad Patterns'!$A$2:$A$120,MATCH(1,INDEX(--ISNUMBER(SEARCH('Bad Patterns'!$A$2:$A$120,B9312)),0),0)),""))</f>
        <v/>
      </c>
      <c r="D9312">
        <f>IF(B9312="","",IF(C9312&lt;&gt;"","REMOVE","KEEP"))</f>
        <v/>
      </c>
      <c r="E9312">
        <f>IF(D9312&lt;&gt;"KEEP","",IF(RIGHT(B9312,10)="@gmail.com","Gmail",IF(OR(RIGHT(B9312,12)="@outlook.com",RIGHT(B9312,12)="@hotmail.com",RIGHT(B9312,9)="@live.com"),"Outlook","Domain")))</f>
        <v/>
      </c>
      <c r="F9312">
        <f>IF(B9312="","",IFERROR(RIGHT(B9312,LEN(B9312)-FIND("@",B9312)),""))</f>
        <v/>
      </c>
      <c r="G9312">
        <f>IF(D9312="KEEP",COUNTIF($D$2:D9312,"KEEP"),"")</f>
        <v/>
      </c>
      <c r="H9312">
        <f>IF(D9312="REMOVE",COUNTIF($D$2:D9312,"REMOVE"),"")</f>
        <v/>
      </c>
      <c r="I9312">
        <f>IF(E9312="Gmail",COUNTIF($E$2:E9312,"Gmail"),"")</f>
        <v/>
      </c>
      <c r="J9312">
        <f>IF(E9312="Outlook",COUNTIF($E$2:E9312,"Outlook"),"")</f>
        <v/>
      </c>
      <c r="K9312">
        <f>IF(E9312="Domain",COUNTIF($E$2:E9312,"Domain"),"")</f>
        <v/>
      </c>
    </row>
    <row r="9313">
      <c r="A9313" s="2" t="n"/>
      <c r="B9313">
        <f>LOWER(TRIM(A9313))</f>
        <v/>
      </c>
      <c r="C9313">
        <f>IF(B9313="","",IFERROR(INDEX('Bad Patterns'!$A$2:$A$120,MATCH(1,INDEX(--ISNUMBER(SEARCH('Bad Patterns'!$A$2:$A$120,B9313)),0),0)),""))</f>
        <v/>
      </c>
      <c r="D9313">
        <f>IF(B9313="","",IF(C9313&lt;&gt;"","REMOVE","KEEP"))</f>
        <v/>
      </c>
      <c r="E9313">
        <f>IF(D9313&lt;&gt;"KEEP","",IF(RIGHT(B9313,10)="@gmail.com","Gmail",IF(OR(RIGHT(B9313,12)="@outlook.com",RIGHT(B9313,12)="@hotmail.com",RIGHT(B9313,9)="@live.com"),"Outlook","Domain")))</f>
        <v/>
      </c>
      <c r="F9313">
        <f>IF(B9313="","",IFERROR(RIGHT(B9313,LEN(B9313)-FIND("@",B9313)),""))</f>
        <v/>
      </c>
      <c r="G9313">
        <f>IF(D9313="KEEP",COUNTIF($D$2:D9313,"KEEP"),"")</f>
        <v/>
      </c>
      <c r="H9313">
        <f>IF(D9313="REMOVE",COUNTIF($D$2:D9313,"REMOVE"),"")</f>
        <v/>
      </c>
      <c r="I9313">
        <f>IF(E9313="Gmail",COUNTIF($E$2:E9313,"Gmail"),"")</f>
        <v/>
      </c>
      <c r="J9313">
        <f>IF(E9313="Outlook",COUNTIF($E$2:E9313,"Outlook"),"")</f>
        <v/>
      </c>
      <c r="K9313">
        <f>IF(E9313="Domain",COUNTIF($E$2:E9313,"Domain"),"")</f>
        <v/>
      </c>
    </row>
    <row r="9314">
      <c r="A9314" s="2" t="n"/>
      <c r="B9314">
        <f>LOWER(TRIM(A9314))</f>
        <v/>
      </c>
      <c r="C9314">
        <f>IF(B9314="","",IFERROR(INDEX('Bad Patterns'!$A$2:$A$120,MATCH(1,INDEX(--ISNUMBER(SEARCH('Bad Patterns'!$A$2:$A$120,B9314)),0),0)),""))</f>
        <v/>
      </c>
      <c r="D9314">
        <f>IF(B9314="","",IF(C9314&lt;&gt;"","REMOVE","KEEP"))</f>
        <v/>
      </c>
      <c r="E9314">
        <f>IF(D9314&lt;&gt;"KEEP","",IF(RIGHT(B9314,10)="@gmail.com","Gmail",IF(OR(RIGHT(B9314,12)="@outlook.com",RIGHT(B9314,12)="@hotmail.com",RIGHT(B9314,9)="@live.com"),"Outlook","Domain")))</f>
        <v/>
      </c>
      <c r="F9314">
        <f>IF(B9314="","",IFERROR(RIGHT(B9314,LEN(B9314)-FIND("@",B9314)),""))</f>
        <v/>
      </c>
      <c r="G9314">
        <f>IF(D9314="KEEP",COUNTIF($D$2:D9314,"KEEP"),"")</f>
        <v/>
      </c>
      <c r="H9314">
        <f>IF(D9314="REMOVE",COUNTIF($D$2:D9314,"REMOVE"),"")</f>
        <v/>
      </c>
      <c r="I9314">
        <f>IF(E9314="Gmail",COUNTIF($E$2:E9314,"Gmail"),"")</f>
        <v/>
      </c>
      <c r="J9314">
        <f>IF(E9314="Outlook",COUNTIF($E$2:E9314,"Outlook"),"")</f>
        <v/>
      </c>
      <c r="K9314">
        <f>IF(E9314="Domain",COUNTIF($E$2:E9314,"Domain"),"")</f>
        <v/>
      </c>
    </row>
    <row r="9315">
      <c r="A9315" s="2" t="n"/>
      <c r="B9315">
        <f>LOWER(TRIM(A9315))</f>
        <v/>
      </c>
      <c r="C9315">
        <f>IF(B9315="","",IFERROR(INDEX('Bad Patterns'!$A$2:$A$120,MATCH(1,INDEX(--ISNUMBER(SEARCH('Bad Patterns'!$A$2:$A$120,B9315)),0),0)),""))</f>
        <v/>
      </c>
      <c r="D9315">
        <f>IF(B9315="","",IF(C9315&lt;&gt;"","REMOVE","KEEP"))</f>
        <v/>
      </c>
      <c r="E9315">
        <f>IF(D9315&lt;&gt;"KEEP","",IF(RIGHT(B9315,10)="@gmail.com","Gmail",IF(OR(RIGHT(B9315,12)="@outlook.com",RIGHT(B9315,12)="@hotmail.com",RIGHT(B9315,9)="@live.com"),"Outlook","Domain")))</f>
        <v/>
      </c>
      <c r="F9315">
        <f>IF(B9315="","",IFERROR(RIGHT(B9315,LEN(B9315)-FIND("@",B9315)),""))</f>
        <v/>
      </c>
      <c r="G9315">
        <f>IF(D9315="KEEP",COUNTIF($D$2:D9315,"KEEP"),"")</f>
        <v/>
      </c>
      <c r="H9315">
        <f>IF(D9315="REMOVE",COUNTIF($D$2:D9315,"REMOVE"),"")</f>
        <v/>
      </c>
      <c r="I9315">
        <f>IF(E9315="Gmail",COUNTIF($E$2:E9315,"Gmail"),"")</f>
        <v/>
      </c>
      <c r="J9315">
        <f>IF(E9315="Outlook",COUNTIF($E$2:E9315,"Outlook"),"")</f>
        <v/>
      </c>
      <c r="K9315">
        <f>IF(E9315="Domain",COUNTIF($E$2:E9315,"Domain"),"")</f>
        <v/>
      </c>
    </row>
    <row r="9316">
      <c r="A9316" s="2" t="n"/>
      <c r="B9316">
        <f>LOWER(TRIM(A9316))</f>
        <v/>
      </c>
      <c r="C9316">
        <f>IF(B9316="","",IFERROR(INDEX('Bad Patterns'!$A$2:$A$120,MATCH(1,INDEX(--ISNUMBER(SEARCH('Bad Patterns'!$A$2:$A$120,B9316)),0),0)),""))</f>
        <v/>
      </c>
      <c r="D9316">
        <f>IF(B9316="","",IF(C9316&lt;&gt;"","REMOVE","KEEP"))</f>
        <v/>
      </c>
      <c r="E9316">
        <f>IF(D9316&lt;&gt;"KEEP","",IF(RIGHT(B9316,10)="@gmail.com","Gmail",IF(OR(RIGHT(B9316,12)="@outlook.com",RIGHT(B9316,12)="@hotmail.com",RIGHT(B9316,9)="@live.com"),"Outlook","Domain")))</f>
        <v/>
      </c>
      <c r="F9316">
        <f>IF(B9316="","",IFERROR(RIGHT(B9316,LEN(B9316)-FIND("@",B9316)),""))</f>
        <v/>
      </c>
      <c r="G9316">
        <f>IF(D9316="KEEP",COUNTIF($D$2:D9316,"KEEP"),"")</f>
        <v/>
      </c>
      <c r="H9316">
        <f>IF(D9316="REMOVE",COUNTIF($D$2:D9316,"REMOVE"),"")</f>
        <v/>
      </c>
      <c r="I9316">
        <f>IF(E9316="Gmail",COUNTIF($E$2:E9316,"Gmail"),"")</f>
        <v/>
      </c>
      <c r="J9316">
        <f>IF(E9316="Outlook",COUNTIF($E$2:E9316,"Outlook"),"")</f>
        <v/>
      </c>
      <c r="K9316">
        <f>IF(E9316="Domain",COUNTIF($E$2:E9316,"Domain"),"")</f>
        <v/>
      </c>
    </row>
    <row r="9317">
      <c r="A9317" s="2" t="n"/>
      <c r="B9317">
        <f>LOWER(TRIM(A9317))</f>
        <v/>
      </c>
      <c r="C9317">
        <f>IF(B9317="","",IFERROR(INDEX('Bad Patterns'!$A$2:$A$120,MATCH(1,INDEX(--ISNUMBER(SEARCH('Bad Patterns'!$A$2:$A$120,B9317)),0),0)),""))</f>
        <v/>
      </c>
      <c r="D9317">
        <f>IF(B9317="","",IF(C9317&lt;&gt;"","REMOVE","KEEP"))</f>
        <v/>
      </c>
      <c r="E9317">
        <f>IF(D9317&lt;&gt;"KEEP","",IF(RIGHT(B9317,10)="@gmail.com","Gmail",IF(OR(RIGHT(B9317,12)="@outlook.com",RIGHT(B9317,12)="@hotmail.com",RIGHT(B9317,9)="@live.com"),"Outlook","Domain")))</f>
        <v/>
      </c>
      <c r="F9317">
        <f>IF(B9317="","",IFERROR(RIGHT(B9317,LEN(B9317)-FIND("@",B9317)),""))</f>
        <v/>
      </c>
      <c r="G9317">
        <f>IF(D9317="KEEP",COUNTIF($D$2:D9317,"KEEP"),"")</f>
        <v/>
      </c>
      <c r="H9317">
        <f>IF(D9317="REMOVE",COUNTIF($D$2:D9317,"REMOVE"),"")</f>
        <v/>
      </c>
      <c r="I9317">
        <f>IF(E9317="Gmail",COUNTIF($E$2:E9317,"Gmail"),"")</f>
        <v/>
      </c>
      <c r="J9317">
        <f>IF(E9317="Outlook",COUNTIF($E$2:E9317,"Outlook"),"")</f>
        <v/>
      </c>
      <c r="K9317">
        <f>IF(E9317="Domain",COUNTIF($E$2:E9317,"Domain"),"")</f>
        <v/>
      </c>
    </row>
    <row r="9318">
      <c r="A9318" s="2" t="n"/>
      <c r="B9318">
        <f>LOWER(TRIM(A9318))</f>
        <v/>
      </c>
      <c r="C9318">
        <f>IF(B9318="","",IFERROR(INDEX('Bad Patterns'!$A$2:$A$120,MATCH(1,INDEX(--ISNUMBER(SEARCH('Bad Patterns'!$A$2:$A$120,B9318)),0),0)),""))</f>
        <v/>
      </c>
      <c r="D9318">
        <f>IF(B9318="","",IF(C9318&lt;&gt;"","REMOVE","KEEP"))</f>
        <v/>
      </c>
      <c r="E9318">
        <f>IF(D9318&lt;&gt;"KEEP","",IF(RIGHT(B9318,10)="@gmail.com","Gmail",IF(OR(RIGHT(B9318,12)="@outlook.com",RIGHT(B9318,12)="@hotmail.com",RIGHT(B9318,9)="@live.com"),"Outlook","Domain")))</f>
        <v/>
      </c>
      <c r="F9318">
        <f>IF(B9318="","",IFERROR(RIGHT(B9318,LEN(B9318)-FIND("@",B9318)),""))</f>
        <v/>
      </c>
      <c r="G9318">
        <f>IF(D9318="KEEP",COUNTIF($D$2:D9318,"KEEP"),"")</f>
        <v/>
      </c>
      <c r="H9318">
        <f>IF(D9318="REMOVE",COUNTIF($D$2:D9318,"REMOVE"),"")</f>
        <v/>
      </c>
      <c r="I9318">
        <f>IF(E9318="Gmail",COUNTIF($E$2:E9318,"Gmail"),"")</f>
        <v/>
      </c>
      <c r="J9318">
        <f>IF(E9318="Outlook",COUNTIF($E$2:E9318,"Outlook"),"")</f>
        <v/>
      </c>
      <c r="K9318">
        <f>IF(E9318="Domain",COUNTIF($E$2:E9318,"Domain"),"")</f>
        <v/>
      </c>
    </row>
    <row r="9319">
      <c r="A9319" s="2" t="n"/>
      <c r="B9319">
        <f>LOWER(TRIM(A9319))</f>
        <v/>
      </c>
      <c r="C9319">
        <f>IF(B9319="","",IFERROR(INDEX('Bad Patterns'!$A$2:$A$120,MATCH(1,INDEX(--ISNUMBER(SEARCH('Bad Patterns'!$A$2:$A$120,B9319)),0),0)),""))</f>
        <v/>
      </c>
      <c r="D9319">
        <f>IF(B9319="","",IF(C9319&lt;&gt;"","REMOVE","KEEP"))</f>
        <v/>
      </c>
      <c r="E9319">
        <f>IF(D9319&lt;&gt;"KEEP","",IF(RIGHT(B9319,10)="@gmail.com","Gmail",IF(OR(RIGHT(B9319,12)="@outlook.com",RIGHT(B9319,12)="@hotmail.com",RIGHT(B9319,9)="@live.com"),"Outlook","Domain")))</f>
        <v/>
      </c>
      <c r="F9319">
        <f>IF(B9319="","",IFERROR(RIGHT(B9319,LEN(B9319)-FIND("@",B9319)),""))</f>
        <v/>
      </c>
      <c r="G9319">
        <f>IF(D9319="KEEP",COUNTIF($D$2:D9319,"KEEP"),"")</f>
        <v/>
      </c>
      <c r="H9319">
        <f>IF(D9319="REMOVE",COUNTIF($D$2:D9319,"REMOVE"),"")</f>
        <v/>
      </c>
      <c r="I9319">
        <f>IF(E9319="Gmail",COUNTIF($E$2:E9319,"Gmail"),"")</f>
        <v/>
      </c>
      <c r="J9319">
        <f>IF(E9319="Outlook",COUNTIF($E$2:E9319,"Outlook"),"")</f>
        <v/>
      </c>
      <c r="K9319">
        <f>IF(E9319="Domain",COUNTIF($E$2:E9319,"Domain"),"")</f>
        <v/>
      </c>
    </row>
    <row r="9320">
      <c r="A9320" s="2" t="n"/>
      <c r="B9320">
        <f>LOWER(TRIM(A9320))</f>
        <v/>
      </c>
      <c r="C9320">
        <f>IF(B9320="","",IFERROR(INDEX('Bad Patterns'!$A$2:$A$120,MATCH(1,INDEX(--ISNUMBER(SEARCH('Bad Patterns'!$A$2:$A$120,B9320)),0),0)),""))</f>
        <v/>
      </c>
      <c r="D9320">
        <f>IF(B9320="","",IF(C9320&lt;&gt;"","REMOVE","KEEP"))</f>
        <v/>
      </c>
      <c r="E9320">
        <f>IF(D9320&lt;&gt;"KEEP","",IF(RIGHT(B9320,10)="@gmail.com","Gmail",IF(OR(RIGHT(B9320,12)="@outlook.com",RIGHT(B9320,12)="@hotmail.com",RIGHT(B9320,9)="@live.com"),"Outlook","Domain")))</f>
        <v/>
      </c>
      <c r="F9320">
        <f>IF(B9320="","",IFERROR(RIGHT(B9320,LEN(B9320)-FIND("@",B9320)),""))</f>
        <v/>
      </c>
      <c r="G9320">
        <f>IF(D9320="KEEP",COUNTIF($D$2:D9320,"KEEP"),"")</f>
        <v/>
      </c>
      <c r="H9320">
        <f>IF(D9320="REMOVE",COUNTIF($D$2:D9320,"REMOVE"),"")</f>
        <v/>
      </c>
      <c r="I9320">
        <f>IF(E9320="Gmail",COUNTIF($E$2:E9320,"Gmail"),"")</f>
        <v/>
      </c>
      <c r="J9320">
        <f>IF(E9320="Outlook",COUNTIF($E$2:E9320,"Outlook"),"")</f>
        <v/>
      </c>
      <c r="K9320">
        <f>IF(E9320="Domain",COUNTIF($E$2:E9320,"Domain"),"")</f>
        <v/>
      </c>
    </row>
    <row r="9321">
      <c r="A9321" s="2" t="n"/>
      <c r="B9321">
        <f>LOWER(TRIM(A9321))</f>
        <v/>
      </c>
      <c r="C9321">
        <f>IF(B9321="","",IFERROR(INDEX('Bad Patterns'!$A$2:$A$120,MATCH(1,INDEX(--ISNUMBER(SEARCH('Bad Patterns'!$A$2:$A$120,B9321)),0),0)),""))</f>
        <v/>
      </c>
      <c r="D9321">
        <f>IF(B9321="","",IF(C9321&lt;&gt;"","REMOVE","KEEP"))</f>
        <v/>
      </c>
      <c r="E9321">
        <f>IF(D9321&lt;&gt;"KEEP","",IF(RIGHT(B9321,10)="@gmail.com","Gmail",IF(OR(RIGHT(B9321,12)="@outlook.com",RIGHT(B9321,12)="@hotmail.com",RIGHT(B9321,9)="@live.com"),"Outlook","Domain")))</f>
        <v/>
      </c>
      <c r="F9321">
        <f>IF(B9321="","",IFERROR(RIGHT(B9321,LEN(B9321)-FIND("@",B9321)),""))</f>
        <v/>
      </c>
      <c r="G9321">
        <f>IF(D9321="KEEP",COUNTIF($D$2:D9321,"KEEP"),"")</f>
        <v/>
      </c>
      <c r="H9321">
        <f>IF(D9321="REMOVE",COUNTIF($D$2:D9321,"REMOVE"),"")</f>
        <v/>
      </c>
      <c r="I9321">
        <f>IF(E9321="Gmail",COUNTIF($E$2:E9321,"Gmail"),"")</f>
        <v/>
      </c>
      <c r="J9321">
        <f>IF(E9321="Outlook",COUNTIF($E$2:E9321,"Outlook"),"")</f>
        <v/>
      </c>
      <c r="K9321">
        <f>IF(E9321="Domain",COUNTIF($E$2:E9321,"Domain"),"")</f>
        <v/>
      </c>
    </row>
    <row r="9322">
      <c r="A9322" s="2" t="n"/>
      <c r="B9322">
        <f>LOWER(TRIM(A9322))</f>
        <v/>
      </c>
      <c r="C9322">
        <f>IF(B9322="","",IFERROR(INDEX('Bad Patterns'!$A$2:$A$120,MATCH(1,INDEX(--ISNUMBER(SEARCH('Bad Patterns'!$A$2:$A$120,B9322)),0),0)),""))</f>
        <v/>
      </c>
      <c r="D9322">
        <f>IF(B9322="","",IF(C9322&lt;&gt;"","REMOVE","KEEP"))</f>
        <v/>
      </c>
      <c r="E9322">
        <f>IF(D9322&lt;&gt;"KEEP","",IF(RIGHT(B9322,10)="@gmail.com","Gmail",IF(OR(RIGHT(B9322,12)="@outlook.com",RIGHT(B9322,12)="@hotmail.com",RIGHT(B9322,9)="@live.com"),"Outlook","Domain")))</f>
        <v/>
      </c>
      <c r="F9322">
        <f>IF(B9322="","",IFERROR(RIGHT(B9322,LEN(B9322)-FIND("@",B9322)),""))</f>
        <v/>
      </c>
      <c r="G9322">
        <f>IF(D9322="KEEP",COUNTIF($D$2:D9322,"KEEP"),"")</f>
        <v/>
      </c>
      <c r="H9322">
        <f>IF(D9322="REMOVE",COUNTIF($D$2:D9322,"REMOVE"),"")</f>
        <v/>
      </c>
      <c r="I9322">
        <f>IF(E9322="Gmail",COUNTIF($E$2:E9322,"Gmail"),"")</f>
        <v/>
      </c>
      <c r="J9322">
        <f>IF(E9322="Outlook",COUNTIF($E$2:E9322,"Outlook"),"")</f>
        <v/>
      </c>
      <c r="K9322">
        <f>IF(E9322="Domain",COUNTIF($E$2:E9322,"Domain"),"")</f>
        <v/>
      </c>
    </row>
    <row r="9323">
      <c r="A9323" s="2" t="n"/>
      <c r="B9323">
        <f>LOWER(TRIM(A9323))</f>
        <v/>
      </c>
      <c r="C9323">
        <f>IF(B9323="","",IFERROR(INDEX('Bad Patterns'!$A$2:$A$120,MATCH(1,INDEX(--ISNUMBER(SEARCH('Bad Patterns'!$A$2:$A$120,B9323)),0),0)),""))</f>
        <v/>
      </c>
      <c r="D9323">
        <f>IF(B9323="","",IF(C9323&lt;&gt;"","REMOVE","KEEP"))</f>
        <v/>
      </c>
      <c r="E9323">
        <f>IF(D9323&lt;&gt;"KEEP","",IF(RIGHT(B9323,10)="@gmail.com","Gmail",IF(OR(RIGHT(B9323,12)="@outlook.com",RIGHT(B9323,12)="@hotmail.com",RIGHT(B9323,9)="@live.com"),"Outlook","Domain")))</f>
        <v/>
      </c>
      <c r="F9323">
        <f>IF(B9323="","",IFERROR(RIGHT(B9323,LEN(B9323)-FIND("@",B9323)),""))</f>
        <v/>
      </c>
      <c r="G9323">
        <f>IF(D9323="KEEP",COUNTIF($D$2:D9323,"KEEP"),"")</f>
        <v/>
      </c>
      <c r="H9323">
        <f>IF(D9323="REMOVE",COUNTIF($D$2:D9323,"REMOVE"),"")</f>
        <v/>
      </c>
      <c r="I9323">
        <f>IF(E9323="Gmail",COUNTIF($E$2:E9323,"Gmail"),"")</f>
        <v/>
      </c>
      <c r="J9323">
        <f>IF(E9323="Outlook",COUNTIF($E$2:E9323,"Outlook"),"")</f>
        <v/>
      </c>
      <c r="K9323">
        <f>IF(E9323="Domain",COUNTIF($E$2:E9323,"Domain"),"")</f>
        <v/>
      </c>
    </row>
    <row r="9324">
      <c r="A9324" s="2" t="n"/>
      <c r="B9324">
        <f>LOWER(TRIM(A9324))</f>
        <v/>
      </c>
      <c r="C9324">
        <f>IF(B9324="","",IFERROR(INDEX('Bad Patterns'!$A$2:$A$120,MATCH(1,INDEX(--ISNUMBER(SEARCH('Bad Patterns'!$A$2:$A$120,B9324)),0),0)),""))</f>
        <v/>
      </c>
      <c r="D9324">
        <f>IF(B9324="","",IF(C9324&lt;&gt;"","REMOVE","KEEP"))</f>
        <v/>
      </c>
      <c r="E9324">
        <f>IF(D9324&lt;&gt;"KEEP","",IF(RIGHT(B9324,10)="@gmail.com","Gmail",IF(OR(RIGHT(B9324,12)="@outlook.com",RIGHT(B9324,12)="@hotmail.com",RIGHT(B9324,9)="@live.com"),"Outlook","Domain")))</f>
        <v/>
      </c>
      <c r="F9324">
        <f>IF(B9324="","",IFERROR(RIGHT(B9324,LEN(B9324)-FIND("@",B9324)),""))</f>
        <v/>
      </c>
      <c r="G9324">
        <f>IF(D9324="KEEP",COUNTIF($D$2:D9324,"KEEP"),"")</f>
        <v/>
      </c>
      <c r="H9324">
        <f>IF(D9324="REMOVE",COUNTIF($D$2:D9324,"REMOVE"),"")</f>
        <v/>
      </c>
      <c r="I9324">
        <f>IF(E9324="Gmail",COUNTIF($E$2:E9324,"Gmail"),"")</f>
        <v/>
      </c>
      <c r="J9324">
        <f>IF(E9324="Outlook",COUNTIF($E$2:E9324,"Outlook"),"")</f>
        <v/>
      </c>
      <c r="K9324">
        <f>IF(E9324="Domain",COUNTIF($E$2:E9324,"Domain"),"")</f>
        <v/>
      </c>
    </row>
    <row r="9325">
      <c r="A9325" s="2" t="n"/>
      <c r="B9325">
        <f>LOWER(TRIM(A9325))</f>
        <v/>
      </c>
      <c r="C9325">
        <f>IF(B9325="","",IFERROR(INDEX('Bad Patterns'!$A$2:$A$120,MATCH(1,INDEX(--ISNUMBER(SEARCH('Bad Patterns'!$A$2:$A$120,B9325)),0),0)),""))</f>
        <v/>
      </c>
      <c r="D9325">
        <f>IF(B9325="","",IF(C9325&lt;&gt;"","REMOVE","KEEP"))</f>
        <v/>
      </c>
      <c r="E9325">
        <f>IF(D9325&lt;&gt;"KEEP","",IF(RIGHT(B9325,10)="@gmail.com","Gmail",IF(OR(RIGHT(B9325,12)="@outlook.com",RIGHT(B9325,12)="@hotmail.com",RIGHT(B9325,9)="@live.com"),"Outlook","Domain")))</f>
        <v/>
      </c>
      <c r="F9325">
        <f>IF(B9325="","",IFERROR(RIGHT(B9325,LEN(B9325)-FIND("@",B9325)),""))</f>
        <v/>
      </c>
      <c r="G9325">
        <f>IF(D9325="KEEP",COUNTIF($D$2:D9325,"KEEP"),"")</f>
        <v/>
      </c>
      <c r="H9325">
        <f>IF(D9325="REMOVE",COUNTIF($D$2:D9325,"REMOVE"),"")</f>
        <v/>
      </c>
      <c r="I9325">
        <f>IF(E9325="Gmail",COUNTIF($E$2:E9325,"Gmail"),"")</f>
        <v/>
      </c>
      <c r="J9325">
        <f>IF(E9325="Outlook",COUNTIF($E$2:E9325,"Outlook"),"")</f>
        <v/>
      </c>
      <c r="K9325">
        <f>IF(E9325="Domain",COUNTIF($E$2:E9325,"Domain"),"")</f>
        <v/>
      </c>
    </row>
    <row r="9326">
      <c r="A9326" s="2" t="n"/>
      <c r="B9326">
        <f>LOWER(TRIM(A9326))</f>
        <v/>
      </c>
      <c r="C9326">
        <f>IF(B9326="","",IFERROR(INDEX('Bad Patterns'!$A$2:$A$120,MATCH(1,INDEX(--ISNUMBER(SEARCH('Bad Patterns'!$A$2:$A$120,B9326)),0),0)),""))</f>
        <v/>
      </c>
      <c r="D9326">
        <f>IF(B9326="","",IF(C9326&lt;&gt;"","REMOVE","KEEP"))</f>
        <v/>
      </c>
      <c r="E9326">
        <f>IF(D9326&lt;&gt;"KEEP","",IF(RIGHT(B9326,10)="@gmail.com","Gmail",IF(OR(RIGHT(B9326,12)="@outlook.com",RIGHT(B9326,12)="@hotmail.com",RIGHT(B9326,9)="@live.com"),"Outlook","Domain")))</f>
        <v/>
      </c>
      <c r="F9326">
        <f>IF(B9326="","",IFERROR(RIGHT(B9326,LEN(B9326)-FIND("@",B9326)),""))</f>
        <v/>
      </c>
      <c r="G9326">
        <f>IF(D9326="KEEP",COUNTIF($D$2:D9326,"KEEP"),"")</f>
        <v/>
      </c>
      <c r="H9326">
        <f>IF(D9326="REMOVE",COUNTIF($D$2:D9326,"REMOVE"),"")</f>
        <v/>
      </c>
      <c r="I9326">
        <f>IF(E9326="Gmail",COUNTIF($E$2:E9326,"Gmail"),"")</f>
        <v/>
      </c>
      <c r="J9326">
        <f>IF(E9326="Outlook",COUNTIF($E$2:E9326,"Outlook"),"")</f>
        <v/>
      </c>
      <c r="K9326">
        <f>IF(E9326="Domain",COUNTIF($E$2:E9326,"Domain"),"")</f>
        <v/>
      </c>
    </row>
    <row r="9327">
      <c r="A9327" s="2" t="n"/>
      <c r="B9327">
        <f>LOWER(TRIM(A9327))</f>
        <v/>
      </c>
      <c r="C9327">
        <f>IF(B9327="","",IFERROR(INDEX('Bad Patterns'!$A$2:$A$120,MATCH(1,INDEX(--ISNUMBER(SEARCH('Bad Patterns'!$A$2:$A$120,B9327)),0),0)),""))</f>
        <v/>
      </c>
      <c r="D9327">
        <f>IF(B9327="","",IF(C9327&lt;&gt;"","REMOVE","KEEP"))</f>
        <v/>
      </c>
      <c r="E9327">
        <f>IF(D9327&lt;&gt;"KEEP","",IF(RIGHT(B9327,10)="@gmail.com","Gmail",IF(OR(RIGHT(B9327,12)="@outlook.com",RIGHT(B9327,12)="@hotmail.com",RIGHT(B9327,9)="@live.com"),"Outlook","Domain")))</f>
        <v/>
      </c>
      <c r="F9327">
        <f>IF(B9327="","",IFERROR(RIGHT(B9327,LEN(B9327)-FIND("@",B9327)),""))</f>
        <v/>
      </c>
      <c r="G9327">
        <f>IF(D9327="KEEP",COUNTIF($D$2:D9327,"KEEP"),"")</f>
        <v/>
      </c>
      <c r="H9327">
        <f>IF(D9327="REMOVE",COUNTIF($D$2:D9327,"REMOVE"),"")</f>
        <v/>
      </c>
      <c r="I9327">
        <f>IF(E9327="Gmail",COUNTIF($E$2:E9327,"Gmail"),"")</f>
        <v/>
      </c>
      <c r="J9327">
        <f>IF(E9327="Outlook",COUNTIF($E$2:E9327,"Outlook"),"")</f>
        <v/>
      </c>
      <c r="K9327">
        <f>IF(E9327="Domain",COUNTIF($E$2:E9327,"Domain"),"")</f>
        <v/>
      </c>
    </row>
    <row r="9328">
      <c r="A9328" s="2" t="n"/>
      <c r="B9328">
        <f>LOWER(TRIM(A9328))</f>
        <v/>
      </c>
      <c r="C9328">
        <f>IF(B9328="","",IFERROR(INDEX('Bad Patterns'!$A$2:$A$120,MATCH(1,INDEX(--ISNUMBER(SEARCH('Bad Patterns'!$A$2:$A$120,B9328)),0),0)),""))</f>
        <v/>
      </c>
      <c r="D9328">
        <f>IF(B9328="","",IF(C9328&lt;&gt;"","REMOVE","KEEP"))</f>
        <v/>
      </c>
      <c r="E9328">
        <f>IF(D9328&lt;&gt;"KEEP","",IF(RIGHT(B9328,10)="@gmail.com","Gmail",IF(OR(RIGHT(B9328,12)="@outlook.com",RIGHT(B9328,12)="@hotmail.com",RIGHT(B9328,9)="@live.com"),"Outlook","Domain")))</f>
        <v/>
      </c>
      <c r="F9328">
        <f>IF(B9328="","",IFERROR(RIGHT(B9328,LEN(B9328)-FIND("@",B9328)),""))</f>
        <v/>
      </c>
      <c r="G9328">
        <f>IF(D9328="KEEP",COUNTIF($D$2:D9328,"KEEP"),"")</f>
        <v/>
      </c>
      <c r="H9328">
        <f>IF(D9328="REMOVE",COUNTIF($D$2:D9328,"REMOVE"),"")</f>
        <v/>
      </c>
      <c r="I9328">
        <f>IF(E9328="Gmail",COUNTIF($E$2:E9328,"Gmail"),"")</f>
        <v/>
      </c>
      <c r="J9328">
        <f>IF(E9328="Outlook",COUNTIF($E$2:E9328,"Outlook"),"")</f>
        <v/>
      </c>
      <c r="K9328">
        <f>IF(E9328="Domain",COUNTIF($E$2:E9328,"Domain"),"")</f>
        <v/>
      </c>
    </row>
    <row r="9329">
      <c r="A9329" s="2" t="n"/>
      <c r="B9329">
        <f>LOWER(TRIM(A9329))</f>
        <v/>
      </c>
      <c r="C9329">
        <f>IF(B9329="","",IFERROR(INDEX('Bad Patterns'!$A$2:$A$120,MATCH(1,INDEX(--ISNUMBER(SEARCH('Bad Patterns'!$A$2:$A$120,B9329)),0),0)),""))</f>
        <v/>
      </c>
      <c r="D9329">
        <f>IF(B9329="","",IF(C9329&lt;&gt;"","REMOVE","KEEP"))</f>
        <v/>
      </c>
      <c r="E9329">
        <f>IF(D9329&lt;&gt;"KEEP","",IF(RIGHT(B9329,10)="@gmail.com","Gmail",IF(OR(RIGHT(B9329,12)="@outlook.com",RIGHT(B9329,12)="@hotmail.com",RIGHT(B9329,9)="@live.com"),"Outlook","Domain")))</f>
        <v/>
      </c>
      <c r="F9329">
        <f>IF(B9329="","",IFERROR(RIGHT(B9329,LEN(B9329)-FIND("@",B9329)),""))</f>
        <v/>
      </c>
      <c r="G9329">
        <f>IF(D9329="KEEP",COUNTIF($D$2:D9329,"KEEP"),"")</f>
        <v/>
      </c>
      <c r="H9329">
        <f>IF(D9329="REMOVE",COUNTIF($D$2:D9329,"REMOVE"),"")</f>
        <v/>
      </c>
      <c r="I9329">
        <f>IF(E9329="Gmail",COUNTIF($E$2:E9329,"Gmail"),"")</f>
        <v/>
      </c>
      <c r="J9329">
        <f>IF(E9329="Outlook",COUNTIF($E$2:E9329,"Outlook"),"")</f>
        <v/>
      </c>
      <c r="K9329">
        <f>IF(E9329="Domain",COUNTIF($E$2:E9329,"Domain"),"")</f>
        <v/>
      </c>
    </row>
    <row r="9330">
      <c r="A9330" s="2" t="n"/>
      <c r="B9330">
        <f>LOWER(TRIM(A9330))</f>
        <v/>
      </c>
      <c r="C9330">
        <f>IF(B9330="","",IFERROR(INDEX('Bad Patterns'!$A$2:$A$120,MATCH(1,INDEX(--ISNUMBER(SEARCH('Bad Patterns'!$A$2:$A$120,B9330)),0),0)),""))</f>
        <v/>
      </c>
      <c r="D9330">
        <f>IF(B9330="","",IF(C9330&lt;&gt;"","REMOVE","KEEP"))</f>
        <v/>
      </c>
      <c r="E9330">
        <f>IF(D9330&lt;&gt;"KEEP","",IF(RIGHT(B9330,10)="@gmail.com","Gmail",IF(OR(RIGHT(B9330,12)="@outlook.com",RIGHT(B9330,12)="@hotmail.com",RIGHT(B9330,9)="@live.com"),"Outlook","Domain")))</f>
        <v/>
      </c>
      <c r="F9330">
        <f>IF(B9330="","",IFERROR(RIGHT(B9330,LEN(B9330)-FIND("@",B9330)),""))</f>
        <v/>
      </c>
      <c r="G9330">
        <f>IF(D9330="KEEP",COUNTIF($D$2:D9330,"KEEP"),"")</f>
        <v/>
      </c>
      <c r="H9330">
        <f>IF(D9330="REMOVE",COUNTIF($D$2:D9330,"REMOVE"),"")</f>
        <v/>
      </c>
      <c r="I9330">
        <f>IF(E9330="Gmail",COUNTIF($E$2:E9330,"Gmail"),"")</f>
        <v/>
      </c>
      <c r="J9330">
        <f>IF(E9330="Outlook",COUNTIF($E$2:E9330,"Outlook"),"")</f>
        <v/>
      </c>
      <c r="K9330">
        <f>IF(E9330="Domain",COUNTIF($E$2:E9330,"Domain"),"")</f>
        <v/>
      </c>
    </row>
    <row r="9331">
      <c r="A9331" s="2" t="n"/>
      <c r="B9331">
        <f>LOWER(TRIM(A9331))</f>
        <v/>
      </c>
      <c r="C9331">
        <f>IF(B9331="","",IFERROR(INDEX('Bad Patterns'!$A$2:$A$120,MATCH(1,INDEX(--ISNUMBER(SEARCH('Bad Patterns'!$A$2:$A$120,B9331)),0),0)),""))</f>
        <v/>
      </c>
      <c r="D9331">
        <f>IF(B9331="","",IF(C9331&lt;&gt;"","REMOVE","KEEP"))</f>
        <v/>
      </c>
      <c r="E9331">
        <f>IF(D9331&lt;&gt;"KEEP","",IF(RIGHT(B9331,10)="@gmail.com","Gmail",IF(OR(RIGHT(B9331,12)="@outlook.com",RIGHT(B9331,12)="@hotmail.com",RIGHT(B9331,9)="@live.com"),"Outlook","Domain")))</f>
        <v/>
      </c>
      <c r="F9331">
        <f>IF(B9331="","",IFERROR(RIGHT(B9331,LEN(B9331)-FIND("@",B9331)),""))</f>
        <v/>
      </c>
      <c r="G9331">
        <f>IF(D9331="KEEP",COUNTIF($D$2:D9331,"KEEP"),"")</f>
        <v/>
      </c>
      <c r="H9331">
        <f>IF(D9331="REMOVE",COUNTIF($D$2:D9331,"REMOVE"),"")</f>
        <v/>
      </c>
      <c r="I9331">
        <f>IF(E9331="Gmail",COUNTIF($E$2:E9331,"Gmail"),"")</f>
        <v/>
      </c>
      <c r="J9331">
        <f>IF(E9331="Outlook",COUNTIF($E$2:E9331,"Outlook"),"")</f>
        <v/>
      </c>
      <c r="K9331">
        <f>IF(E9331="Domain",COUNTIF($E$2:E9331,"Domain"),"")</f>
        <v/>
      </c>
    </row>
    <row r="9332">
      <c r="A9332" s="2" t="n"/>
      <c r="B9332">
        <f>LOWER(TRIM(A9332))</f>
        <v/>
      </c>
      <c r="C9332">
        <f>IF(B9332="","",IFERROR(INDEX('Bad Patterns'!$A$2:$A$120,MATCH(1,INDEX(--ISNUMBER(SEARCH('Bad Patterns'!$A$2:$A$120,B9332)),0),0)),""))</f>
        <v/>
      </c>
      <c r="D9332">
        <f>IF(B9332="","",IF(C9332&lt;&gt;"","REMOVE","KEEP"))</f>
        <v/>
      </c>
      <c r="E9332">
        <f>IF(D9332&lt;&gt;"KEEP","",IF(RIGHT(B9332,10)="@gmail.com","Gmail",IF(OR(RIGHT(B9332,12)="@outlook.com",RIGHT(B9332,12)="@hotmail.com",RIGHT(B9332,9)="@live.com"),"Outlook","Domain")))</f>
        <v/>
      </c>
      <c r="F9332">
        <f>IF(B9332="","",IFERROR(RIGHT(B9332,LEN(B9332)-FIND("@",B9332)),""))</f>
        <v/>
      </c>
      <c r="G9332">
        <f>IF(D9332="KEEP",COUNTIF($D$2:D9332,"KEEP"),"")</f>
        <v/>
      </c>
      <c r="H9332">
        <f>IF(D9332="REMOVE",COUNTIF($D$2:D9332,"REMOVE"),"")</f>
        <v/>
      </c>
      <c r="I9332">
        <f>IF(E9332="Gmail",COUNTIF($E$2:E9332,"Gmail"),"")</f>
        <v/>
      </c>
      <c r="J9332">
        <f>IF(E9332="Outlook",COUNTIF($E$2:E9332,"Outlook"),"")</f>
        <v/>
      </c>
      <c r="K9332">
        <f>IF(E9332="Domain",COUNTIF($E$2:E9332,"Domain"),"")</f>
        <v/>
      </c>
    </row>
    <row r="9333">
      <c r="A9333" s="2" t="n"/>
      <c r="B9333">
        <f>LOWER(TRIM(A9333))</f>
        <v/>
      </c>
      <c r="C9333">
        <f>IF(B9333="","",IFERROR(INDEX('Bad Patterns'!$A$2:$A$120,MATCH(1,INDEX(--ISNUMBER(SEARCH('Bad Patterns'!$A$2:$A$120,B9333)),0),0)),""))</f>
        <v/>
      </c>
      <c r="D9333">
        <f>IF(B9333="","",IF(C9333&lt;&gt;"","REMOVE","KEEP"))</f>
        <v/>
      </c>
      <c r="E9333">
        <f>IF(D9333&lt;&gt;"KEEP","",IF(RIGHT(B9333,10)="@gmail.com","Gmail",IF(OR(RIGHT(B9333,12)="@outlook.com",RIGHT(B9333,12)="@hotmail.com",RIGHT(B9333,9)="@live.com"),"Outlook","Domain")))</f>
        <v/>
      </c>
      <c r="F9333">
        <f>IF(B9333="","",IFERROR(RIGHT(B9333,LEN(B9333)-FIND("@",B9333)),""))</f>
        <v/>
      </c>
      <c r="G9333">
        <f>IF(D9333="KEEP",COUNTIF($D$2:D9333,"KEEP"),"")</f>
        <v/>
      </c>
      <c r="H9333">
        <f>IF(D9333="REMOVE",COUNTIF($D$2:D9333,"REMOVE"),"")</f>
        <v/>
      </c>
      <c r="I9333">
        <f>IF(E9333="Gmail",COUNTIF($E$2:E9333,"Gmail"),"")</f>
        <v/>
      </c>
      <c r="J9333">
        <f>IF(E9333="Outlook",COUNTIF($E$2:E9333,"Outlook"),"")</f>
        <v/>
      </c>
      <c r="K9333">
        <f>IF(E9333="Domain",COUNTIF($E$2:E9333,"Domain"),"")</f>
        <v/>
      </c>
    </row>
    <row r="9334">
      <c r="A9334" s="2" t="n"/>
      <c r="B9334">
        <f>LOWER(TRIM(A9334))</f>
        <v/>
      </c>
      <c r="C9334">
        <f>IF(B9334="","",IFERROR(INDEX('Bad Patterns'!$A$2:$A$120,MATCH(1,INDEX(--ISNUMBER(SEARCH('Bad Patterns'!$A$2:$A$120,B9334)),0),0)),""))</f>
        <v/>
      </c>
      <c r="D9334">
        <f>IF(B9334="","",IF(C9334&lt;&gt;"","REMOVE","KEEP"))</f>
        <v/>
      </c>
      <c r="E9334">
        <f>IF(D9334&lt;&gt;"KEEP","",IF(RIGHT(B9334,10)="@gmail.com","Gmail",IF(OR(RIGHT(B9334,12)="@outlook.com",RIGHT(B9334,12)="@hotmail.com",RIGHT(B9334,9)="@live.com"),"Outlook","Domain")))</f>
        <v/>
      </c>
      <c r="F9334">
        <f>IF(B9334="","",IFERROR(RIGHT(B9334,LEN(B9334)-FIND("@",B9334)),""))</f>
        <v/>
      </c>
      <c r="G9334">
        <f>IF(D9334="KEEP",COUNTIF($D$2:D9334,"KEEP"),"")</f>
        <v/>
      </c>
      <c r="H9334">
        <f>IF(D9334="REMOVE",COUNTIF($D$2:D9334,"REMOVE"),"")</f>
        <v/>
      </c>
      <c r="I9334">
        <f>IF(E9334="Gmail",COUNTIF($E$2:E9334,"Gmail"),"")</f>
        <v/>
      </c>
      <c r="J9334">
        <f>IF(E9334="Outlook",COUNTIF($E$2:E9334,"Outlook"),"")</f>
        <v/>
      </c>
      <c r="K9334">
        <f>IF(E9334="Domain",COUNTIF($E$2:E9334,"Domain"),"")</f>
        <v/>
      </c>
    </row>
    <row r="9335">
      <c r="A9335" s="2" t="n"/>
      <c r="B9335">
        <f>LOWER(TRIM(A9335))</f>
        <v/>
      </c>
      <c r="C9335">
        <f>IF(B9335="","",IFERROR(INDEX('Bad Patterns'!$A$2:$A$120,MATCH(1,INDEX(--ISNUMBER(SEARCH('Bad Patterns'!$A$2:$A$120,B9335)),0),0)),""))</f>
        <v/>
      </c>
      <c r="D9335">
        <f>IF(B9335="","",IF(C9335&lt;&gt;"","REMOVE","KEEP"))</f>
        <v/>
      </c>
      <c r="E9335">
        <f>IF(D9335&lt;&gt;"KEEP","",IF(RIGHT(B9335,10)="@gmail.com","Gmail",IF(OR(RIGHT(B9335,12)="@outlook.com",RIGHT(B9335,12)="@hotmail.com",RIGHT(B9335,9)="@live.com"),"Outlook","Domain")))</f>
        <v/>
      </c>
      <c r="F9335">
        <f>IF(B9335="","",IFERROR(RIGHT(B9335,LEN(B9335)-FIND("@",B9335)),""))</f>
        <v/>
      </c>
      <c r="G9335">
        <f>IF(D9335="KEEP",COUNTIF($D$2:D9335,"KEEP"),"")</f>
        <v/>
      </c>
      <c r="H9335">
        <f>IF(D9335="REMOVE",COUNTIF($D$2:D9335,"REMOVE"),"")</f>
        <v/>
      </c>
      <c r="I9335">
        <f>IF(E9335="Gmail",COUNTIF($E$2:E9335,"Gmail"),"")</f>
        <v/>
      </c>
      <c r="J9335">
        <f>IF(E9335="Outlook",COUNTIF($E$2:E9335,"Outlook"),"")</f>
        <v/>
      </c>
      <c r="K9335">
        <f>IF(E9335="Domain",COUNTIF($E$2:E9335,"Domain"),"")</f>
        <v/>
      </c>
    </row>
    <row r="9336">
      <c r="A9336" s="2" t="n"/>
      <c r="B9336">
        <f>LOWER(TRIM(A9336))</f>
        <v/>
      </c>
      <c r="C9336">
        <f>IF(B9336="","",IFERROR(INDEX('Bad Patterns'!$A$2:$A$120,MATCH(1,INDEX(--ISNUMBER(SEARCH('Bad Patterns'!$A$2:$A$120,B9336)),0),0)),""))</f>
        <v/>
      </c>
      <c r="D9336">
        <f>IF(B9336="","",IF(C9336&lt;&gt;"","REMOVE","KEEP"))</f>
        <v/>
      </c>
      <c r="E9336">
        <f>IF(D9336&lt;&gt;"KEEP","",IF(RIGHT(B9336,10)="@gmail.com","Gmail",IF(OR(RIGHT(B9336,12)="@outlook.com",RIGHT(B9336,12)="@hotmail.com",RIGHT(B9336,9)="@live.com"),"Outlook","Domain")))</f>
        <v/>
      </c>
      <c r="F9336">
        <f>IF(B9336="","",IFERROR(RIGHT(B9336,LEN(B9336)-FIND("@",B9336)),""))</f>
        <v/>
      </c>
      <c r="G9336">
        <f>IF(D9336="KEEP",COUNTIF($D$2:D9336,"KEEP"),"")</f>
        <v/>
      </c>
      <c r="H9336">
        <f>IF(D9336="REMOVE",COUNTIF($D$2:D9336,"REMOVE"),"")</f>
        <v/>
      </c>
      <c r="I9336">
        <f>IF(E9336="Gmail",COUNTIF($E$2:E9336,"Gmail"),"")</f>
        <v/>
      </c>
      <c r="J9336">
        <f>IF(E9336="Outlook",COUNTIF($E$2:E9336,"Outlook"),"")</f>
        <v/>
      </c>
      <c r="K9336">
        <f>IF(E9336="Domain",COUNTIF($E$2:E9336,"Domain"),"")</f>
        <v/>
      </c>
    </row>
    <row r="9337">
      <c r="A9337" s="2" t="n"/>
      <c r="B9337">
        <f>LOWER(TRIM(A9337))</f>
        <v/>
      </c>
      <c r="C9337">
        <f>IF(B9337="","",IFERROR(INDEX('Bad Patterns'!$A$2:$A$120,MATCH(1,INDEX(--ISNUMBER(SEARCH('Bad Patterns'!$A$2:$A$120,B9337)),0),0)),""))</f>
        <v/>
      </c>
      <c r="D9337">
        <f>IF(B9337="","",IF(C9337&lt;&gt;"","REMOVE","KEEP"))</f>
        <v/>
      </c>
      <c r="E9337">
        <f>IF(D9337&lt;&gt;"KEEP","",IF(RIGHT(B9337,10)="@gmail.com","Gmail",IF(OR(RIGHT(B9337,12)="@outlook.com",RIGHT(B9337,12)="@hotmail.com",RIGHT(B9337,9)="@live.com"),"Outlook","Domain")))</f>
        <v/>
      </c>
      <c r="F9337">
        <f>IF(B9337="","",IFERROR(RIGHT(B9337,LEN(B9337)-FIND("@",B9337)),""))</f>
        <v/>
      </c>
      <c r="G9337">
        <f>IF(D9337="KEEP",COUNTIF($D$2:D9337,"KEEP"),"")</f>
        <v/>
      </c>
      <c r="H9337">
        <f>IF(D9337="REMOVE",COUNTIF($D$2:D9337,"REMOVE"),"")</f>
        <v/>
      </c>
      <c r="I9337">
        <f>IF(E9337="Gmail",COUNTIF($E$2:E9337,"Gmail"),"")</f>
        <v/>
      </c>
      <c r="J9337">
        <f>IF(E9337="Outlook",COUNTIF($E$2:E9337,"Outlook"),"")</f>
        <v/>
      </c>
      <c r="K9337">
        <f>IF(E9337="Domain",COUNTIF($E$2:E9337,"Domain"),"")</f>
        <v/>
      </c>
    </row>
    <row r="9338">
      <c r="A9338" s="2" t="n"/>
      <c r="B9338">
        <f>LOWER(TRIM(A9338))</f>
        <v/>
      </c>
      <c r="C9338">
        <f>IF(B9338="","",IFERROR(INDEX('Bad Patterns'!$A$2:$A$120,MATCH(1,INDEX(--ISNUMBER(SEARCH('Bad Patterns'!$A$2:$A$120,B9338)),0),0)),""))</f>
        <v/>
      </c>
      <c r="D9338">
        <f>IF(B9338="","",IF(C9338&lt;&gt;"","REMOVE","KEEP"))</f>
        <v/>
      </c>
      <c r="E9338">
        <f>IF(D9338&lt;&gt;"KEEP","",IF(RIGHT(B9338,10)="@gmail.com","Gmail",IF(OR(RIGHT(B9338,12)="@outlook.com",RIGHT(B9338,12)="@hotmail.com",RIGHT(B9338,9)="@live.com"),"Outlook","Domain")))</f>
        <v/>
      </c>
      <c r="F9338">
        <f>IF(B9338="","",IFERROR(RIGHT(B9338,LEN(B9338)-FIND("@",B9338)),""))</f>
        <v/>
      </c>
      <c r="G9338">
        <f>IF(D9338="KEEP",COUNTIF($D$2:D9338,"KEEP"),"")</f>
        <v/>
      </c>
      <c r="H9338">
        <f>IF(D9338="REMOVE",COUNTIF($D$2:D9338,"REMOVE"),"")</f>
        <v/>
      </c>
      <c r="I9338">
        <f>IF(E9338="Gmail",COUNTIF($E$2:E9338,"Gmail"),"")</f>
        <v/>
      </c>
      <c r="J9338">
        <f>IF(E9338="Outlook",COUNTIF($E$2:E9338,"Outlook"),"")</f>
        <v/>
      </c>
      <c r="K9338">
        <f>IF(E9338="Domain",COUNTIF($E$2:E9338,"Domain"),"")</f>
        <v/>
      </c>
    </row>
    <row r="9339">
      <c r="A9339" s="2" t="n"/>
      <c r="B9339">
        <f>LOWER(TRIM(A9339))</f>
        <v/>
      </c>
      <c r="C9339">
        <f>IF(B9339="","",IFERROR(INDEX('Bad Patterns'!$A$2:$A$120,MATCH(1,INDEX(--ISNUMBER(SEARCH('Bad Patterns'!$A$2:$A$120,B9339)),0),0)),""))</f>
        <v/>
      </c>
      <c r="D9339">
        <f>IF(B9339="","",IF(C9339&lt;&gt;"","REMOVE","KEEP"))</f>
        <v/>
      </c>
      <c r="E9339">
        <f>IF(D9339&lt;&gt;"KEEP","",IF(RIGHT(B9339,10)="@gmail.com","Gmail",IF(OR(RIGHT(B9339,12)="@outlook.com",RIGHT(B9339,12)="@hotmail.com",RIGHT(B9339,9)="@live.com"),"Outlook","Domain")))</f>
        <v/>
      </c>
      <c r="F9339">
        <f>IF(B9339="","",IFERROR(RIGHT(B9339,LEN(B9339)-FIND("@",B9339)),""))</f>
        <v/>
      </c>
      <c r="G9339">
        <f>IF(D9339="KEEP",COUNTIF($D$2:D9339,"KEEP"),"")</f>
        <v/>
      </c>
      <c r="H9339">
        <f>IF(D9339="REMOVE",COUNTIF($D$2:D9339,"REMOVE"),"")</f>
        <v/>
      </c>
      <c r="I9339">
        <f>IF(E9339="Gmail",COUNTIF($E$2:E9339,"Gmail"),"")</f>
        <v/>
      </c>
      <c r="J9339">
        <f>IF(E9339="Outlook",COUNTIF($E$2:E9339,"Outlook"),"")</f>
        <v/>
      </c>
      <c r="K9339">
        <f>IF(E9339="Domain",COUNTIF($E$2:E9339,"Domain"),"")</f>
        <v/>
      </c>
    </row>
    <row r="9340">
      <c r="A9340" s="2" t="n"/>
      <c r="B9340">
        <f>LOWER(TRIM(A9340))</f>
        <v/>
      </c>
      <c r="C9340">
        <f>IF(B9340="","",IFERROR(INDEX('Bad Patterns'!$A$2:$A$120,MATCH(1,INDEX(--ISNUMBER(SEARCH('Bad Patterns'!$A$2:$A$120,B9340)),0),0)),""))</f>
        <v/>
      </c>
      <c r="D9340">
        <f>IF(B9340="","",IF(C9340&lt;&gt;"","REMOVE","KEEP"))</f>
        <v/>
      </c>
      <c r="E9340">
        <f>IF(D9340&lt;&gt;"KEEP","",IF(RIGHT(B9340,10)="@gmail.com","Gmail",IF(OR(RIGHT(B9340,12)="@outlook.com",RIGHT(B9340,12)="@hotmail.com",RIGHT(B9340,9)="@live.com"),"Outlook","Domain")))</f>
        <v/>
      </c>
      <c r="F9340">
        <f>IF(B9340="","",IFERROR(RIGHT(B9340,LEN(B9340)-FIND("@",B9340)),""))</f>
        <v/>
      </c>
      <c r="G9340">
        <f>IF(D9340="KEEP",COUNTIF($D$2:D9340,"KEEP"),"")</f>
        <v/>
      </c>
      <c r="H9340">
        <f>IF(D9340="REMOVE",COUNTIF($D$2:D9340,"REMOVE"),"")</f>
        <v/>
      </c>
      <c r="I9340">
        <f>IF(E9340="Gmail",COUNTIF($E$2:E9340,"Gmail"),"")</f>
        <v/>
      </c>
      <c r="J9340">
        <f>IF(E9340="Outlook",COUNTIF($E$2:E9340,"Outlook"),"")</f>
        <v/>
      </c>
      <c r="K9340">
        <f>IF(E9340="Domain",COUNTIF($E$2:E9340,"Domain"),"")</f>
        <v/>
      </c>
    </row>
    <row r="9341">
      <c r="A9341" s="2" t="n"/>
      <c r="B9341">
        <f>LOWER(TRIM(A9341))</f>
        <v/>
      </c>
      <c r="C9341">
        <f>IF(B9341="","",IFERROR(INDEX('Bad Patterns'!$A$2:$A$120,MATCH(1,INDEX(--ISNUMBER(SEARCH('Bad Patterns'!$A$2:$A$120,B9341)),0),0)),""))</f>
        <v/>
      </c>
      <c r="D9341">
        <f>IF(B9341="","",IF(C9341&lt;&gt;"","REMOVE","KEEP"))</f>
        <v/>
      </c>
      <c r="E9341">
        <f>IF(D9341&lt;&gt;"KEEP","",IF(RIGHT(B9341,10)="@gmail.com","Gmail",IF(OR(RIGHT(B9341,12)="@outlook.com",RIGHT(B9341,12)="@hotmail.com",RIGHT(B9341,9)="@live.com"),"Outlook","Domain")))</f>
        <v/>
      </c>
      <c r="F9341">
        <f>IF(B9341="","",IFERROR(RIGHT(B9341,LEN(B9341)-FIND("@",B9341)),""))</f>
        <v/>
      </c>
      <c r="G9341">
        <f>IF(D9341="KEEP",COUNTIF($D$2:D9341,"KEEP"),"")</f>
        <v/>
      </c>
      <c r="H9341">
        <f>IF(D9341="REMOVE",COUNTIF($D$2:D9341,"REMOVE"),"")</f>
        <v/>
      </c>
      <c r="I9341">
        <f>IF(E9341="Gmail",COUNTIF($E$2:E9341,"Gmail"),"")</f>
        <v/>
      </c>
      <c r="J9341">
        <f>IF(E9341="Outlook",COUNTIF($E$2:E9341,"Outlook"),"")</f>
        <v/>
      </c>
      <c r="K9341">
        <f>IF(E9341="Domain",COUNTIF($E$2:E9341,"Domain"),"")</f>
        <v/>
      </c>
    </row>
    <row r="9342">
      <c r="A9342" s="2" t="n"/>
      <c r="B9342">
        <f>LOWER(TRIM(A9342))</f>
        <v/>
      </c>
      <c r="C9342">
        <f>IF(B9342="","",IFERROR(INDEX('Bad Patterns'!$A$2:$A$120,MATCH(1,INDEX(--ISNUMBER(SEARCH('Bad Patterns'!$A$2:$A$120,B9342)),0),0)),""))</f>
        <v/>
      </c>
      <c r="D9342">
        <f>IF(B9342="","",IF(C9342&lt;&gt;"","REMOVE","KEEP"))</f>
        <v/>
      </c>
      <c r="E9342">
        <f>IF(D9342&lt;&gt;"KEEP","",IF(RIGHT(B9342,10)="@gmail.com","Gmail",IF(OR(RIGHT(B9342,12)="@outlook.com",RIGHT(B9342,12)="@hotmail.com",RIGHT(B9342,9)="@live.com"),"Outlook","Domain")))</f>
        <v/>
      </c>
      <c r="F9342">
        <f>IF(B9342="","",IFERROR(RIGHT(B9342,LEN(B9342)-FIND("@",B9342)),""))</f>
        <v/>
      </c>
      <c r="G9342">
        <f>IF(D9342="KEEP",COUNTIF($D$2:D9342,"KEEP"),"")</f>
        <v/>
      </c>
      <c r="H9342">
        <f>IF(D9342="REMOVE",COUNTIF($D$2:D9342,"REMOVE"),"")</f>
        <v/>
      </c>
      <c r="I9342">
        <f>IF(E9342="Gmail",COUNTIF($E$2:E9342,"Gmail"),"")</f>
        <v/>
      </c>
      <c r="J9342">
        <f>IF(E9342="Outlook",COUNTIF($E$2:E9342,"Outlook"),"")</f>
        <v/>
      </c>
      <c r="K9342">
        <f>IF(E9342="Domain",COUNTIF($E$2:E9342,"Domain"),"")</f>
        <v/>
      </c>
    </row>
    <row r="9343">
      <c r="A9343" s="2" t="n"/>
      <c r="B9343">
        <f>LOWER(TRIM(A9343))</f>
        <v/>
      </c>
      <c r="C9343">
        <f>IF(B9343="","",IFERROR(INDEX('Bad Patterns'!$A$2:$A$120,MATCH(1,INDEX(--ISNUMBER(SEARCH('Bad Patterns'!$A$2:$A$120,B9343)),0),0)),""))</f>
        <v/>
      </c>
      <c r="D9343">
        <f>IF(B9343="","",IF(C9343&lt;&gt;"","REMOVE","KEEP"))</f>
        <v/>
      </c>
      <c r="E9343">
        <f>IF(D9343&lt;&gt;"KEEP","",IF(RIGHT(B9343,10)="@gmail.com","Gmail",IF(OR(RIGHT(B9343,12)="@outlook.com",RIGHT(B9343,12)="@hotmail.com",RIGHT(B9343,9)="@live.com"),"Outlook","Domain")))</f>
        <v/>
      </c>
      <c r="F9343">
        <f>IF(B9343="","",IFERROR(RIGHT(B9343,LEN(B9343)-FIND("@",B9343)),""))</f>
        <v/>
      </c>
      <c r="G9343">
        <f>IF(D9343="KEEP",COUNTIF($D$2:D9343,"KEEP"),"")</f>
        <v/>
      </c>
      <c r="H9343">
        <f>IF(D9343="REMOVE",COUNTIF($D$2:D9343,"REMOVE"),"")</f>
        <v/>
      </c>
      <c r="I9343">
        <f>IF(E9343="Gmail",COUNTIF($E$2:E9343,"Gmail"),"")</f>
        <v/>
      </c>
      <c r="J9343">
        <f>IF(E9343="Outlook",COUNTIF($E$2:E9343,"Outlook"),"")</f>
        <v/>
      </c>
      <c r="K9343">
        <f>IF(E9343="Domain",COUNTIF($E$2:E9343,"Domain"),"")</f>
        <v/>
      </c>
    </row>
    <row r="9344">
      <c r="A9344" s="2" t="n"/>
      <c r="B9344">
        <f>LOWER(TRIM(A9344))</f>
        <v/>
      </c>
      <c r="C9344">
        <f>IF(B9344="","",IFERROR(INDEX('Bad Patterns'!$A$2:$A$120,MATCH(1,INDEX(--ISNUMBER(SEARCH('Bad Patterns'!$A$2:$A$120,B9344)),0),0)),""))</f>
        <v/>
      </c>
      <c r="D9344">
        <f>IF(B9344="","",IF(C9344&lt;&gt;"","REMOVE","KEEP"))</f>
        <v/>
      </c>
      <c r="E9344">
        <f>IF(D9344&lt;&gt;"KEEP","",IF(RIGHT(B9344,10)="@gmail.com","Gmail",IF(OR(RIGHT(B9344,12)="@outlook.com",RIGHT(B9344,12)="@hotmail.com",RIGHT(B9344,9)="@live.com"),"Outlook","Domain")))</f>
        <v/>
      </c>
      <c r="F9344">
        <f>IF(B9344="","",IFERROR(RIGHT(B9344,LEN(B9344)-FIND("@",B9344)),""))</f>
        <v/>
      </c>
      <c r="G9344">
        <f>IF(D9344="KEEP",COUNTIF($D$2:D9344,"KEEP"),"")</f>
        <v/>
      </c>
      <c r="H9344">
        <f>IF(D9344="REMOVE",COUNTIF($D$2:D9344,"REMOVE"),"")</f>
        <v/>
      </c>
      <c r="I9344">
        <f>IF(E9344="Gmail",COUNTIF($E$2:E9344,"Gmail"),"")</f>
        <v/>
      </c>
      <c r="J9344">
        <f>IF(E9344="Outlook",COUNTIF($E$2:E9344,"Outlook"),"")</f>
        <v/>
      </c>
      <c r="K9344">
        <f>IF(E9344="Domain",COUNTIF($E$2:E9344,"Domain"),"")</f>
        <v/>
      </c>
    </row>
    <row r="9345">
      <c r="A9345" s="2" t="n"/>
      <c r="B9345">
        <f>LOWER(TRIM(A9345))</f>
        <v/>
      </c>
      <c r="C9345">
        <f>IF(B9345="","",IFERROR(INDEX('Bad Patterns'!$A$2:$A$120,MATCH(1,INDEX(--ISNUMBER(SEARCH('Bad Patterns'!$A$2:$A$120,B9345)),0),0)),""))</f>
        <v/>
      </c>
      <c r="D9345">
        <f>IF(B9345="","",IF(C9345&lt;&gt;"","REMOVE","KEEP"))</f>
        <v/>
      </c>
      <c r="E9345">
        <f>IF(D9345&lt;&gt;"KEEP","",IF(RIGHT(B9345,10)="@gmail.com","Gmail",IF(OR(RIGHT(B9345,12)="@outlook.com",RIGHT(B9345,12)="@hotmail.com",RIGHT(B9345,9)="@live.com"),"Outlook","Domain")))</f>
        <v/>
      </c>
      <c r="F9345">
        <f>IF(B9345="","",IFERROR(RIGHT(B9345,LEN(B9345)-FIND("@",B9345)),""))</f>
        <v/>
      </c>
      <c r="G9345">
        <f>IF(D9345="KEEP",COUNTIF($D$2:D9345,"KEEP"),"")</f>
        <v/>
      </c>
      <c r="H9345">
        <f>IF(D9345="REMOVE",COUNTIF($D$2:D9345,"REMOVE"),"")</f>
        <v/>
      </c>
      <c r="I9345">
        <f>IF(E9345="Gmail",COUNTIF($E$2:E9345,"Gmail"),"")</f>
        <v/>
      </c>
      <c r="J9345">
        <f>IF(E9345="Outlook",COUNTIF($E$2:E9345,"Outlook"),"")</f>
        <v/>
      </c>
      <c r="K9345">
        <f>IF(E9345="Domain",COUNTIF($E$2:E9345,"Domain"),"")</f>
        <v/>
      </c>
    </row>
    <row r="9346">
      <c r="A9346" s="2" t="n"/>
      <c r="B9346">
        <f>LOWER(TRIM(A9346))</f>
        <v/>
      </c>
      <c r="C9346">
        <f>IF(B9346="","",IFERROR(INDEX('Bad Patterns'!$A$2:$A$120,MATCH(1,INDEX(--ISNUMBER(SEARCH('Bad Patterns'!$A$2:$A$120,B9346)),0),0)),""))</f>
        <v/>
      </c>
      <c r="D9346">
        <f>IF(B9346="","",IF(C9346&lt;&gt;"","REMOVE","KEEP"))</f>
        <v/>
      </c>
      <c r="E9346">
        <f>IF(D9346&lt;&gt;"KEEP","",IF(RIGHT(B9346,10)="@gmail.com","Gmail",IF(OR(RIGHT(B9346,12)="@outlook.com",RIGHT(B9346,12)="@hotmail.com",RIGHT(B9346,9)="@live.com"),"Outlook","Domain")))</f>
        <v/>
      </c>
      <c r="F9346">
        <f>IF(B9346="","",IFERROR(RIGHT(B9346,LEN(B9346)-FIND("@",B9346)),""))</f>
        <v/>
      </c>
      <c r="G9346">
        <f>IF(D9346="KEEP",COUNTIF($D$2:D9346,"KEEP"),"")</f>
        <v/>
      </c>
      <c r="H9346">
        <f>IF(D9346="REMOVE",COUNTIF($D$2:D9346,"REMOVE"),"")</f>
        <v/>
      </c>
      <c r="I9346">
        <f>IF(E9346="Gmail",COUNTIF($E$2:E9346,"Gmail"),"")</f>
        <v/>
      </c>
      <c r="J9346">
        <f>IF(E9346="Outlook",COUNTIF($E$2:E9346,"Outlook"),"")</f>
        <v/>
      </c>
      <c r="K9346">
        <f>IF(E9346="Domain",COUNTIF($E$2:E9346,"Domain"),"")</f>
        <v/>
      </c>
    </row>
    <row r="9347">
      <c r="A9347" s="2" t="n"/>
      <c r="B9347">
        <f>LOWER(TRIM(A9347))</f>
        <v/>
      </c>
      <c r="C9347">
        <f>IF(B9347="","",IFERROR(INDEX('Bad Patterns'!$A$2:$A$120,MATCH(1,INDEX(--ISNUMBER(SEARCH('Bad Patterns'!$A$2:$A$120,B9347)),0),0)),""))</f>
        <v/>
      </c>
      <c r="D9347">
        <f>IF(B9347="","",IF(C9347&lt;&gt;"","REMOVE","KEEP"))</f>
        <v/>
      </c>
      <c r="E9347">
        <f>IF(D9347&lt;&gt;"KEEP","",IF(RIGHT(B9347,10)="@gmail.com","Gmail",IF(OR(RIGHT(B9347,12)="@outlook.com",RIGHT(B9347,12)="@hotmail.com",RIGHT(B9347,9)="@live.com"),"Outlook","Domain")))</f>
        <v/>
      </c>
      <c r="F9347">
        <f>IF(B9347="","",IFERROR(RIGHT(B9347,LEN(B9347)-FIND("@",B9347)),""))</f>
        <v/>
      </c>
      <c r="G9347">
        <f>IF(D9347="KEEP",COUNTIF($D$2:D9347,"KEEP"),"")</f>
        <v/>
      </c>
      <c r="H9347">
        <f>IF(D9347="REMOVE",COUNTIF($D$2:D9347,"REMOVE"),"")</f>
        <v/>
      </c>
      <c r="I9347">
        <f>IF(E9347="Gmail",COUNTIF($E$2:E9347,"Gmail"),"")</f>
        <v/>
      </c>
      <c r="J9347">
        <f>IF(E9347="Outlook",COUNTIF($E$2:E9347,"Outlook"),"")</f>
        <v/>
      </c>
      <c r="K9347">
        <f>IF(E9347="Domain",COUNTIF($E$2:E9347,"Domain"),"")</f>
        <v/>
      </c>
    </row>
    <row r="9348">
      <c r="A9348" s="2" t="n"/>
      <c r="B9348">
        <f>LOWER(TRIM(A9348))</f>
        <v/>
      </c>
      <c r="C9348">
        <f>IF(B9348="","",IFERROR(INDEX('Bad Patterns'!$A$2:$A$120,MATCH(1,INDEX(--ISNUMBER(SEARCH('Bad Patterns'!$A$2:$A$120,B9348)),0),0)),""))</f>
        <v/>
      </c>
      <c r="D9348">
        <f>IF(B9348="","",IF(C9348&lt;&gt;"","REMOVE","KEEP"))</f>
        <v/>
      </c>
      <c r="E9348">
        <f>IF(D9348&lt;&gt;"KEEP","",IF(RIGHT(B9348,10)="@gmail.com","Gmail",IF(OR(RIGHT(B9348,12)="@outlook.com",RIGHT(B9348,12)="@hotmail.com",RIGHT(B9348,9)="@live.com"),"Outlook","Domain")))</f>
        <v/>
      </c>
      <c r="F9348">
        <f>IF(B9348="","",IFERROR(RIGHT(B9348,LEN(B9348)-FIND("@",B9348)),""))</f>
        <v/>
      </c>
      <c r="G9348">
        <f>IF(D9348="KEEP",COUNTIF($D$2:D9348,"KEEP"),"")</f>
        <v/>
      </c>
      <c r="H9348">
        <f>IF(D9348="REMOVE",COUNTIF($D$2:D9348,"REMOVE"),"")</f>
        <v/>
      </c>
      <c r="I9348">
        <f>IF(E9348="Gmail",COUNTIF($E$2:E9348,"Gmail"),"")</f>
        <v/>
      </c>
      <c r="J9348">
        <f>IF(E9348="Outlook",COUNTIF($E$2:E9348,"Outlook"),"")</f>
        <v/>
      </c>
      <c r="K9348">
        <f>IF(E9348="Domain",COUNTIF($E$2:E9348,"Domain"),"")</f>
        <v/>
      </c>
    </row>
    <row r="9349">
      <c r="A9349" s="2" t="n"/>
      <c r="B9349">
        <f>LOWER(TRIM(A9349))</f>
        <v/>
      </c>
      <c r="C9349">
        <f>IF(B9349="","",IFERROR(INDEX('Bad Patterns'!$A$2:$A$120,MATCH(1,INDEX(--ISNUMBER(SEARCH('Bad Patterns'!$A$2:$A$120,B9349)),0),0)),""))</f>
        <v/>
      </c>
      <c r="D9349">
        <f>IF(B9349="","",IF(C9349&lt;&gt;"","REMOVE","KEEP"))</f>
        <v/>
      </c>
      <c r="E9349">
        <f>IF(D9349&lt;&gt;"KEEP","",IF(RIGHT(B9349,10)="@gmail.com","Gmail",IF(OR(RIGHT(B9349,12)="@outlook.com",RIGHT(B9349,12)="@hotmail.com",RIGHT(B9349,9)="@live.com"),"Outlook","Domain")))</f>
        <v/>
      </c>
      <c r="F9349">
        <f>IF(B9349="","",IFERROR(RIGHT(B9349,LEN(B9349)-FIND("@",B9349)),""))</f>
        <v/>
      </c>
      <c r="G9349">
        <f>IF(D9349="KEEP",COUNTIF($D$2:D9349,"KEEP"),"")</f>
        <v/>
      </c>
      <c r="H9349">
        <f>IF(D9349="REMOVE",COUNTIF($D$2:D9349,"REMOVE"),"")</f>
        <v/>
      </c>
      <c r="I9349">
        <f>IF(E9349="Gmail",COUNTIF($E$2:E9349,"Gmail"),"")</f>
        <v/>
      </c>
      <c r="J9349">
        <f>IF(E9349="Outlook",COUNTIF($E$2:E9349,"Outlook"),"")</f>
        <v/>
      </c>
      <c r="K9349">
        <f>IF(E9349="Domain",COUNTIF($E$2:E9349,"Domain"),"")</f>
        <v/>
      </c>
    </row>
    <row r="9350">
      <c r="A9350" s="2" t="n"/>
      <c r="B9350">
        <f>LOWER(TRIM(A9350))</f>
        <v/>
      </c>
      <c r="C9350">
        <f>IF(B9350="","",IFERROR(INDEX('Bad Patterns'!$A$2:$A$120,MATCH(1,INDEX(--ISNUMBER(SEARCH('Bad Patterns'!$A$2:$A$120,B9350)),0),0)),""))</f>
        <v/>
      </c>
      <c r="D9350">
        <f>IF(B9350="","",IF(C9350&lt;&gt;"","REMOVE","KEEP"))</f>
        <v/>
      </c>
      <c r="E9350">
        <f>IF(D9350&lt;&gt;"KEEP","",IF(RIGHT(B9350,10)="@gmail.com","Gmail",IF(OR(RIGHT(B9350,12)="@outlook.com",RIGHT(B9350,12)="@hotmail.com",RIGHT(B9350,9)="@live.com"),"Outlook","Domain")))</f>
        <v/>
      </c>
      <c r="F9350">
        <f>IF(B9350="","",IFERROR(RIGHT(B9350,LEN(B9350)-FIND("@",B9350)),""))</f>
        <v/>
      </c>
      <c r="G9350">
        <f>IF(D9350="KEEP",COUNTIF($D$2:D9350,"KEEP"),"")</f>
        <v/>
      </c>
      <c r="H9350">
        <f>IF(D9350="REMOVE",COUNTIF($D$2:D9350,"REMOVE"),"")</f>
        <v/>
      </c>
      <c r="I9350">
        <f>IF(E9350="Gmail",COUNTIF($E$2:E9350,"Gmail"),"")</f>
        <v/>
      </c>
      <c r="J9350">
        <f>IF(E9350="Outlook",COUNTIF($E$2:E9350,"Outlook"),"")</f>
        <v/>
      </c>
      <c r="K9350">
        <f>IF(E9350="Domain",COUNTIF($E$2:E9350,"Domain"),"")</f>
        <v/>
      </c>
    </row>
    <row r="9351">
      <c r="A9351" s="2" t="n"/>
      <c r="B9351">
        <f>LOWER(TRIM(A9351))</f>
        <v/>
      </c>
      <c r="C9351">
        <f>IF(B9351="","",IFERROR(INDEX('Bad Patterns'!$A$2:$A$120,MATCH(1,INDEX(--ISNUMBER(SEARCH('Bad Patterns'!$A$2:$A$120,B9351)),0),0)),""))</f>
        <v/>
      </c>
      <c r="D9351">
        <f>IF(B9351="","",IF(C9351&lt;&gt;"","REMOVE","KEEP"))</f>
        <v/>
      </c>
      <c r="E9351">
        <f>IF(D9351&lt;&gt;"KEEP","",IF(RIGHT(B9351,10)="@gmail.com","Gmail",IF(OR(RIGHT(B9351,12)="@outlook.com",RIGHT(B9351,12)="@hotmail.com",RIGHT(B9351,9)="@live.com"),"Outlook","Domain")))</f>
        <v/>
      </c>
      <c r="F9351">
        <f>IF(B9351="","",IFERROR(RIGHT(B9351,LEN(B9351)-FIND("@",B9351)),""))</f>
        <v/>
      </c>
      <c r="G9351">
        <f>IF(D9351="KEEP",COUNTIF($D$2:D9351,"KEEP"),"")</f>
        <v/>
      </c>
      <c r="H9351">
        <f>IF(D9351="REMOVE",COUNTIF($D$2:D9351,"REMOVE"),"")</f>
        <v/>
      </c>
      <c r="I9351">
        <f>IF(E9351="Gmail",COUNTIF($E$2:E9351,"Gmail"),"")</f>
        <v/>
      </c>
      <c r="J9351">
        <f>IF(E9351="Outlook",COUNTIF($E$2:E9351,"Outlook"),"")</f>
        <v/>
      </c>
      <c r="K9351">
        <f>IF(E9351="Domain",COUNTIF($E$2:E9351,"Domain"),"")</f>
        <v/>
      </c>
    </row>
    <row r="9352">
      <c r="A9352" s="2" t="n"/>
      <c r="B9352">
        <f>LOWER(TRIM(A9352))</f>
        <v/>
      </c>
      <c r="C9352">
        <f>IF(B9352="","",IFERROR(INDEX('Bad Patterns'!$A$2:$A$120,MATCH(1,INDEX(--ISNUMBER(SEARCH('Bad Patterns'!$A$2:$A$120,B9352)),0),0)),""))</f>
        <v/>
      </c>
      <c r="D9352">
        <f>IF(B9352="","",IF(C9352&lt;&gt;"","REMOVE","KEEP"))</f>
        <v/>
      </c>
      <c r="E9352">
        <f>IF(D9352&lt;&gt;"KEEP","",IF(RIGHT(B9352,10)="@gmail.com","Gmail",IF(OR(RIGHT(B9352,12)="@outlook.com",RIGHT(B9352,12)="@hotmail.com",RIGHT(B9352,9)="@live.com"),"Outlook","Domain")))</f>
        <v/>
      </c>
      <c r="F9352">
        <f>IF(B9352="","",IFERROR(RIGHT(B9352,LEN(B9352)-FIND("@",B9352)),""))</f>
        <v/>
      </c>
      <c r="G9352">
        <f>IF(D9352="KEEP",COUNTIF($D$2:D9352,"KEEP"),"")</f>
        <v/>
      </c>
      <c r="H9352">
        <f>IF(D9352="REMOVE",COUNTIF($D$2:D9352,"REMOVE"),"")</f>
        <v/>
      </c>
      <c r="I9352">
        <f>IF(E9352="Gmail",COUNTIF($E$2:E9352,"Gmail"),"")</f>
        <v/>
      </c>
      <c r="J9352">
        <f>IF(E9352="Outlook",COUNTIF($E$2:E9352,"Outlook"),"")</f>
        <v/>
      </c>
      <c r="K9352">
        <f>IF(E9352="Domain",COUNTIF($E$2:E9352,"Domain"),"")</f>
        <v/>
      </c>
    </row>
    <row r="9353">
      <c r="A9353" s="2" t="n"/>
      <c r="B9353">
        <f>LOWER(TRIM(A9353))</f>
        <v/>
      </c>
      <c r="C9353">
        <f>IF(B9353="","",IFERROR(INDEX('Bad Patterns'!$A$2:$A$120,MATCH(1,INDEX(--ISNUMBER(SEARCH('Bad Patterns'!$A$2:$A$120,B9353)),0),0)),""))</f>
        <v/>
      </c>
      <c r="D9353">
        <f>IF(B9353="","",IF(C9353&lt;&gt;"","REMOVE","KEEP"))</f>
        <v/>
      </c>
      <c r="E9353">
        <f>IF(D9353&lt;&gt;"KEEP","",IF(RIGHT(B9353,10)="@gmail.com","Gmail",IF(OR(RIGHT(B9353,12)="@outlook.com",RIGHT(B9353,12)="@hotmail.com",RIGHT(B9353,9)="@live.com"),"Outlook","Domain")))</f>
        <v/>
      </c>
      <c r="F9353">
        <f>IF(B9353="","",IFERROR(RIGHT(B9353,LEN(B9353)-FIND("@",B9353)),""))</f>
        <v/>
      </c>
      <c r="G9353">
        <f>IF(D9353="KEEP",COUNTIF($D$2:D9353,"KEEP"),"")</f>
        <v/>
      </c>
      <c r="H9353">
        <f>IF(D9353="REMOVE",COUNTIF($D$2:D9353,"REMOVE"),"")</f>
        <v/>
      </c>
      <c r="I9353">
        <f>IF(E9353="Gmail",COUNTIF($E$2:E9353,"Gmail"),"")</f>
        <v/>
      </c>
      <c r="J9353">
        <f>IF(E9353="Outlook",COUNTIF($E$2:E9353,"Outlook"),"")</f>
        <v/>
      </c>
      <c r="K9353">
        <f>IF(E9353="Domain",COUNTIF($E$2:E9353,"Domain"),"")</f>
        <v/>
      </c>
    </row>
    <row r="9354">
      <c r="A9354" s="2" t="n"/>
      <c r="B9354">
        <f>LOWER(TRIM(A9354))</f>
        <v/>
      </c>
      <c r="C9354">
        <f>IF(B9354="","",IFERROR(INDEX('Bad Patterns'!$A$2:$A$120,MATCH(1,INDEX(--ISNUMBER(SEARCH('Bad Patterns'!$A$2:$A$120,B9354)),0),0)),""))</f>
        <v/>
      </c>
      <c r="D9354">
        <f>IF(B9354="","",IF(C9354&lt;&gt;"","REMOVE","KEEP"))</f>
        <v/>
      </c>
      <c r="E9354">
        <f>IF(D9354&lt;&gt;"KEEP","",IF(RIGHT(B9354,10)="@gmail.com","Gmail",IF(OR(RIGHT(B9354,12)="@outlook.com",RIGHT(B9354,12)="@hotmail.com",RIGHT(B9354,9)="@live.com"),"Outlook","Domain")))</f>
        <v/>
      </c>
      <c r="F9354">
        <f>IF(B9354="","",IFERROR(RIGHT(B9354,LEN(B9354)-FIND("@",B9354)),""))</f>
        <v/>
      </c>
      <c r="G9354">
        <f>IF(D9354="KEEP",COUNTIF($D$2:D9354,"KEEP"),"")</f>
        <v/>
      </c>
      <c r="H9354">
        <f>IF(D9354="REMOVE",COUNTIF($D$2:D9354,"REMOVE"),"")</f>
        <v/>
      </c>
      <c r="I9354">
        <f>IF(E9354="Gmail",COUNTIF($E$2:E9354,"Gmail"),"")</f>
        <v/>
      </c>
      <c r="J9354">
        <f>IF(E9354="Outlook",COUNTIF($E$2:E9354,"Outlook"),"")</f>
        <v/>
      </c>
      <c r="K9354">
        <f>IF(E9354="Domain",COUNTIF($E$2:E9354,"Domain"),"")</f>
        <v/>
      </c>
    </row>
    <row r="9355">
      <c r="A9355" s="2" t="n"/>
      <c r="B9355">
        <f>LOWER(TRIM(A9355))</f>
        <v/>
      </c>
      <c r="C9355">
        <f>IF(B9355="","",IFERROR(INDEX('Bad Patterns'!$A$2:$A$120,MATCH(1,INDEX(--ISNUMBER(SEARCH('Bad Patterns'!$A$2:$A$120,B9355)),0),0)),""))</f>
        <v/>
      </c>
      <c r="D9355">
        <f>IF(B9355="","",IF(C9355&lt;&gt;"","REMOVE","KEEP"))</f>
        <v/>
      </c>
      <c r="E9355">
        <f>IF(D9355&lt;&gt;"KEEP","",IF(RIGHT(B9355,10)="@gmail.com","Gmail",IF(OR(RIGHT(B9355,12)="@outlook.com",RIGHT(B9355,12)="@hotmail.com",RIGHT(B9355,9)="@live.com"),"Outlook","Domain")))</f>
        <v/>
      </c>
      <c r="F9355">
        <f>IF(B9355="","",IFERROR(RIGHT(B9355,LEN(B9355)-FIND("@",B9355)),""))</f>
        <v/>
      </c>
      <c r="G9355">
        <f>IF(D9355="KEEP",COUNTIF($D$2:D9355,"KEEP"),"")</f>
        <v/>
      </c>
      <c r="H9355">
        <f>IF(D9355="REMOVE",COUNTIF($D$2:D9355,"REMOVE"),"")</f>
        <v/>
      </c>
      <c r="I9355">
        <f>IF(E9355="Gmail",COUNTIF($E$2:E9355,"Gmail"),"")</f>
        <v/>
      </c>
      <c r="J9355">
        <f>IF(E9355="Outlook",COUNTIF($E$2:E9355,"Outlook"),"")</f>
        <v/>
      </c>
      <c r="K9355">
        <f>IF(E9355="Domain",COUNTIF($E$2:E9355,"Domain"),"")</f>
        <v/>
      </c>
    </row>
    <row r="9356">
      <c r="A9356" s="2" t="n"/>
      <c r="B9356">
        <f>LOWER(TRIM(A9356))</f>
        <v/>
      </c>
      <c r="C9356">
        <f>IF(B9356="","",IFERROR(INDEX('Bad Patterns'!$A$2:$A$120,MATCH(1,INDEX(--ISNUMBER(SEARCH('Bad Patterns'!$A$2:$A$120,B9356)),0),0)),""))</f>
        <v/>
      </c>
      <c r="D9356">
        <f>IF(B9356="","",IF(C9356&lt;&gt;"","REMOVE","KEEP"))</f>
        <v/>
      </c>
      <c r="E9356">
        <f>IF(D9356&lt;&gt;"KEEP","",IF(RIGHT(B9356,10)="@gmail.com","Gmail",IF(OR(RIGHT(B9356,12)="@outlook.com",RIGHT(B9356,12)="@hotmail.com",RIGHT(B9356,9)="@live.com"),"Outlook","Domain")))</f>
        <v/>
      </c>
      <c r="F9356">
        <f>IF(B9356="","",IFERROR(RIGHT(B9356,LEN(B9356)-FIND("@",B9356)),""))</f>
        <v/>
      </c>
      <c r="G9356">
        <f>IF(D9356="KEEP",COUNTIF($D$2:D9356,"KEEP"),"")</f>
        <v/>
      </c>
      <c r="H9356">
        <f>IF(D9356="REMOVE",COUNTIF($D$2:D9356,"REMOVE"),"")</f>
        <v/>
      </c>
      <c r="I9356">
        <f>IF(E9356="Gmail",COUNTIF($E$2:E9356,"Gmail"),"")</f>
        <v/>
      </c>
      <c r="J9356">
        <f>IF(E9356="Outlook",COUNTIF($E$2:E9356,"Outlook"),"")</f>
        <v/>
      </c>
      <c r="K9356">
        <f>IF(E9356="Domain",COUNTIF($E$2:E9356,"Domain"),"")</f>
        <v/>
      </c>
    </row>
    <row r="9357">
      <c r="A9357" s="2" t="n"/>
      <c r="B9357">
        <f>LOWER(TRIM(A9357))</f>
        <v/>
      </c>
      <c r="C9357">
        <f>IF(B9357="","",IFERROR(INDEX('Bad Patterns'!$A$2:$A$120,MATCH(1,INDEX(--ISNUMBER(SEARCH('Bad Patterns'!$A$2:$A$120,B9357)),0),0)),""))</f>
        <v/>
      </c>
      <c r="D9357">
        <f>IF(B9357="","",IF(C9357&lt;&gt;"","REMOVE","KEEP"))</f>
        <v/>
      </c>
      <c r="E9357">
        <f>IF(D9357&lt;&gt;"KEEP","",IF(RIGHT(B9357,10)="@gmail.com","Gmail",IF(OR(RIGHT(B9357,12)="@outlook.com",RIGHT(B9357,12)="@hotmail.com",RIGHT(B9357,9)="@live.com"),"Outlook","Domain")))</f>
        <v/>
      </c>
      <c r="F9357">
        <f>IF(B9357="","",IFERROR(RIGHT(B9357,LEN(B9357)-FIND("@",B9357)),""))</f>
        <v/>
      </c>
      <c r="G9357">
        <f>IF(D9357="KEEP",COUNTIF($D$2:D9357,"KEEP"),"")</f>
        <v/>
      </c>
      <c r="H9357">
        <f>IF(D9357="REMOVE",COUNTIF($D$2:D9357,"REMOVE"),"")</f>
        <v/>
      </c>
      <c r="I9357">
        <f>IF(E9357="Gmail",COUNTIF($E$2:E9357,"Gmail"),"")</f>
        <v/>
      </c>
      <c r="J9357">
        <f>IF(E9357="Outlook",COUNTIF($E$2:E9357,"Outlook"),"")</f>
        <v/>
      </c>
      <c r="K9357">
        <f>IF(E9357="Domain",COUNTIF($E$2:E9357,"Domain"),"")</f>
        <v/>
      </c>
    </row>
    <row r="9358">
      <c r="A9358" s="2" t="n"/>
      <c r="B9358">
        <f>LOWER(TRIM(A9358))</f>
        <v/>
      </c>
      <c r="C9358">
        <f>IF(B9358="","",IFERROR(INDEX('Bad Patterns'!$A$2:$A$120,MATCH(1,INDEX(--ISNUMBER(SEARCH('Bad Patterns'!$A$2:$A$120,B9358)),0),0)),""))</f>
        <v/>
      </c>
      <c r="D9358">
        <f>IF(B9358="","",IF(C9358&lt;&gt;"","REMOVE","KEEP"))</f>
        <v/>
      </c>
      <c r="E9358">
        <f>IF(D9358&lt;&gt;"KEEP","",IF(RIGHT(B9358,10)="@gmail.com","Gmail",IF(OR(RIGHT(B9358,12)="@outlook.com",RIGHT(B9358,12)="@hotmail.com",RIGHT(B9358,9)="@live.com"),"Outlook","Domain")))</f>
        <v/>
      </c>
      <c r="F9358">
        <f>IF(B9358="","",IFERROR(RIGHT(B9358,LEN(B9358)-FIND("@",B9358)),""))</f>
        <v/>
      </c>
      <c r="G9358">
        <f>IF(D9358="KEEP",COUNTIF($D$2:D9358,"KEEP"),"")</f>
        <v/>
      </c>
      <c r="H9358">
        <f>IF(D9358="REMOVE",COUNTIF($D$2:D9358,"REMOVE"),"")</f>
        <v/>
      </c>
      <c r="I9358">
        <f>IF(E9358="Gmail",COUNTIF($E$2:E9358,"Gmail"),"")</f>
        <v/>
      </c>
      <c r="J9358">
        <f>IF(E9358="Outlook",COUNTIF($E$2:E9358,"Outlook"),"")</f>
        <v/>
      </c>
      <c r="K9358">
        <f>IF(E9358="Domain",COUNTIF($E$2:E9358,"Domain"),"")</f>
        <v/>
      </c>
    </row>
    <row r="9359">
      <c r="A9359" s="2" t="n"/>
      <c r="B9359">
        <f>LOWER(TRIM(A9359))</f>
        <v/>
      </c>
      <c r="C9359">
        <f>IF(B9359="","",IFERROR(INDEX('Bad Patterns'!$A$2:$A$120,MATCH(1,INDEX(--ISNUMBER(SEARCH('Bad Patterns'!$A$2:$A$120,B9359)),0),0)),""))</f>
        <v/>
      </c>
      <c r="D9359">
        <f>IF(B9359="","",IF(C9359&lt;&gt;"","REMOVE","KEEP"))</f>
        <v/>
      </c>
      <c r="E9359">
        <f>IF(D9359&lt;&gt;"KEEP","",IF(RIGHT(B9359,10)="@gmail.com","Gmail",IF(OR(RIGHT(B9359,12)="@outlook.com",RIGHT(B9359,12)="@hotmail.com",RIGHT(B9359,9)="@live.com"),"Outlook","Domain")))</f>
        <v/>
      </c>
      <c r="F9359">
        <f>IF(B9359="","",IFERROR(RIGHT(B9359,LEN(B9359)-FIND("@",B9359)),""))</f>
        <v/>
      </c>
      <c r="G9359">
        <f>IF(D9359="KEEP",COUNTIF($D$2:D9359,"KEEP"),"")</f>
        <v/>
      </c>
      <c r="H9359">
        <f>IF(D9359="REMOVE",COUNTIF($D$2:D9359,"REMOVE"),"")</f>
        <v/>
      </c>
      <c r="I9359">
        <f>IF(E9359="Gmail",COUNTIF($E$2:E9359,"Gmail"),"")</f>
        <v/>
      </c>
      <c r="J9359">
        <f>IF(E9359="Outlook",COUNTIF($E$2:E9359,"Outlook"),"")</f>
        <v/>
      </c>
      <c r="K9359">
        <f>IF(E9359="Domain",COUNTIF($E$2:E9359,"Domain"),"")</f>
        <v/>
      </c>
    </row>
    <row r="9360">
      <c r="A9360" s="2" t="n"/>
      <c r="B9360">
        <f>LOWER(TRIM(A9360))</f>
        <v/>
      </c>
      <c r="C9360">
        <f>IF(B9360="","",IFERROR(INDEX('Bad Patterns'!$A$2:$A$120,MATCH(1,INDEX(--ISNUMBER(SEARCH('Bad Patterns'!$A$2:$A$120,B9360)),0),0)),""))</f>
        <v/>
      </c>
      <c r="D9360">
        <f>IF(B9360="","",IF(C9360&lt;&gt;"","REMOVE","KEEP"))</f>
        <v/>
      </c>
      <c r="E9360">
        <f>IF(D9360&lt;&gt;"KEEP","",IF(RIGHT(B9360,10)="@gmail.com","Gmail",IF(OR(RIGHT(B9360,12)="@outlook.com",RIGHT(B9360,12)="@hotmail.com",RIGHT(B9360,9)="@live.com"),"Outlook","Domain")))</f>
        <v/>
      </c>
      <c r="F9360">
        <f>IF(B9360="","",IFERROR(RIGHT(B9360,LEN(B9360)-FIND("@",B9360)),""))</f>
        <v/>
      </c>
      <c r="G9360">
        <f>IF(D9360="KEEP",COUNTIF($D$2:D9360,"KEEP"),"")</f>
        <v/>
      </c>
      <c r="H9360">
        <f>IF(D9360="REMOVE",COUNTIF($D$2:D9360,"REMOVE"),"")</f>
        <v/>
      </c>
      <c r="I9360">
        <f>IF(E9360="Gmail",COUNTIF($E$2:E9360,"Gmail"),"")</f>
        <v/>
      </c>
      <c r="J9360">
        <f>IF(E9360="Outlook",COUNTIF($E$2:E9360,"Outlook"),"")</f>
        <v/>
      </c>
      <c r="K9360">
        <f>IF(E9360="Domain",COUNTIF($E$2:E9360,"Domain"),"")</f>
        <v/>
      </c>
    </row>
    <row r="9361">
      <c r="A9361" s="2" t="n"/>
      <c r="B9361">
        <f>LOWER(TRIM(A9361))</f>
        <v/>
      </c>
      <c r="C9361">
        <f>IF(B9361="","",IFERROR(INDEX('Bad Patterns'!$A$2:$A$120,MATCH(1,INDEX(--ISNUMBER(SEARCH('Bad Patterns'!$A$2:$A$120,B9361)),0),0)),""))</f>
        <v/>
      </c>
      <c r="D9361">
        <f>IF(B9361="","",IF(C9361&lt;&gt;"","REMOVE","KEEP"))</f>
        <v/>
      </c>
      <c r="E9361">
        <f>IF(D9361&lt;&gt;"KEEP","",IF(RIGHT(B9361,10)="@gmail.com","Gmail",IF(OR(RIGHT(B9361,12)="@outlook.com",RIGHT(B9361,12)="@hotmail.com",RIGHT(B9361,9)="@live.com"),"Outlook","Domain")))</f>
        <v/>
      </c>
      <c r="F9361">
        <f>IF(B9361="","",IFERROR(RIGHT(B9361,LEN(B9361)-FIND("@",B9361)),""))</f>
        <v/>
      </c>
      <c r="G9361">
        <f>IF(D9361="KEEP",COUNTIF($D$2:D9361,"KEEP"),"")</f>
        <v/>
      </c>
      <c r="H9361">
        <f>IF(D9361="REMOVE",COUNTIF($D$2:D9361,"REMOVE"),"")</f>
        <v/>
      </c>
      <c r="I9361">
        <f>IF(E9361="Gmail",COUNTIF($E$2:E9361,"Gmail"),"")</f>
        <v/>
      </c>
      <c r="J9361">
        <f>IF(E9361="Outlook",COUNTIF($E$2:E9361,"Outlook"),"")</f>
        <v/>
      </c>
      <c r="K9361">
        <f>IF(E9361="Domain",COUNTIF($E$2:E9361,"Domain"),"")</f>
        <v/>
      </c>
    </row>
    <row r="9362">
      <c r="A9362" s="2" t="n"/>
      <c r="B9362">
        <f>LOWER(TRIM(A9362))</f>
        <v/>
      </c>
      <c r="C9362">
        <f>IF(B9362="","",IFERROR(INDEX('Bad Patterns'!$A$2:$A$120,MATCH(1,INDEX(--ISNUMBER(SEARCH('Bad Patterns'!$A$2:$A$120,B9362)),0),0)),""))</f>
        <v/>
      </c>
      <c r="D9362">
        <f>IF(B9362="","",IF(C9362&lt;&gt;"","REMOVE","KEEP"))</f>
        <v/>
      </c>
      <c r="E9362">
        <f>IF(D9362&lt;&gt;"KEEP","",IF(RIGHT(B9362,10)="@gmail.com","Gmail",IF(OR(RIGHT(B9362,12)="@outlook.com",RIGHT(B9362,12)="@hotmail.com",RIGHT(B9362,9)="@live.com"),"Outlook","Domain")))</f>
        <v/>
      </c>
      <c r="F9362">
        <f>IF(B9362="","",IFERROR(RIGHT(B9362,LEN(B9362)-FIND("@",B9362)),""))</f>
        <v/>
      </c>
      <c r="G9362">
        <f>IF(D9362="KEEP",COUNTIF($D$2:D9362,"KEEP"),"")</f>
        <v/>
      </c>
      <c r="H9362">
        <f>IF(D9362="REMOVE",COUNTIF($D$2:D9362,"REMOVE"),"")</f>
        <v/>
      </c>
      <c r="I9362">
        <f>IF(E9362="Gmail",COUNTIF($E$2:E9362,"Gmail"),"")</f>
        <v/>
      </c>
      <c r="J9362">
        <f>IF(E9362="Outlook",COUNTIF($E$2:E9362,"Outlook"),"")</f>
        <v/>
      </c>
      <c r="K9362">
        <f>IF(E9362="Domain",COUNTIF($E$2:E9362,"Domain"),"")</f>
        <v/>
      </c>
    </row>
    <row r="9363">
      <c r="A9363" s="2" t="n"/>
      <c r="B9363">
        <f>LOWER(TRIM(A9363))</f>
        <v/>
      </c>
      <c r="C9363">
        <f>IF(B9363="","",IFERROR(INDEX('Bad Patterns'!$A$2:$A$120,MATCH(1,INDEX(--ISNUMBER(SEARCH('Bad Patterns'!$A$2:$A$120,B9363)),0),0)),""))</f>
        <v/>
      </c>
      <c r="D9363">
        <f>IF(B9363="","",IF(C9363&lt;&gt;"","REMOVE","KEEP"))</f>
        <v/>
      </c>
      <c r="E9363">
        <f>IF(D9363&lt;&gt;"KEEP","",IF(RIGHT(B9363,10)="@gmail.com","Gmail",IF(OR(RIGHT(B9363,12)="@outlook.com",RIGHT(B9363,12)="@hotmail.com",RIGHT(B9363,9)="@live.com"),"Outlook","Domain")))</f>
        <v/>
      </c>
      <c r="F9363">
        <f>IF(B9363="","",IFERROR(RIGHT(B9363,LEN(B9363)-FIND("@",B9363)),""))</f>
        <v/>
      </c>
      <c r="G9363">
        <f>IF(D9363="KEEP",COUNTIF($D$2:D9363,"KEEP"),"")</f>
        <v/>
      </c>
      <c r="H9363">
        <f>IF(D9363="REMOVE",COUNTIF($D$2:D9363,"REMOVE"),"")</f>
        <v/>
      </c>
      <c r="I9363">
        <f>IF(E9363="Gmail",COUNTIF($E$2:E9363,"Gmail"),"")</f>
        <v/>
      </c>
      <c r="J9363">
        <f>IF(E9363="Outlook",COUNTIF($E$2:E9363,"Outlook"),"")</f>
        <v/>
      </c>
      <c r="K9363">
        <f>IF(E9363="Domain",COUNTIF($E$2:E9363,"Domain"),"")</f>
        <v/>
      </c>
    </row>
    <row r="9364">
      <c r="A9364" s="2" t="n"/>
      <c r="B9364">
        <f>LOWER(TRIM(A9364))</f>
        <v/>
      </c>
      <c r="C9364">
        <f>IF(B9364="","",IFERROR(INDEX('Bad Patterns'!$A$2:$A$120,MATCH(1,INDEX(--ISNUMBER(SEARCH('Bad Patterns'!$A$2:$A$120,B9364)),0),0)),""))</f>
        <v/>
      </c>
      <c r="D9364">
        <f>IF(B9364="","",IF(C9364&lt;&gt;"","REMOVE","KEEP"))</f>
        <v/>
      </c>
      <c r="E9364">
        <f>IF(D9364&lt;&gt;"KEEP","",IF(RIGHT(B9364,10)="@gmail.com","Gmail",IF(OR(RIGHT(B9364,12)="@outlook.com",RIGHT(B9364,12)="@hotmail.com",RIGHT(B9364,9)="@live.com"),"Outlook","Domain")))</f>
        <v/>
      </c>
      <c r="F9364">
        <f>IF(B9364="","",IFERROR(RIGHT(B9364,LEN(B9364)-FIND("@",B9364)),""))</f>
        <v/>
      </c>
      <c r="G9364">
        <f>IF(D9364="KEEP",COUNTIF($D$2:D9364,"KEEP"),"")</f>
        <v/>
      </c>
      <c r="H9364">
        <f>IF(D9364="REMOVE",COUNTIF($D$2:D9364,"REMOVE"),"")</f>
        <v/>
      </c>
      <c r="I9364">
        <f>IF(E9364="Gmail",COUNTIF($E$2:E9364,"Gmail"),"")</f>
        <v/>
      </c>
      <c r="J9364">
        <f>IF(E9364="Outlook",COUNTIF($E$2:E9364,"Outlook"),"")</f>
        <v/>
      </c>
      <c r="K9364">
        <f>IF(E9364="Domain",COUNTIF($E$2:E9364,"Domain"),"")</f>
        <v/>
      </c>
    </row>
    <row r="9365">
      <c r="A9365" s="2" t="n"/>
      <c r="B9365">
        <f>LOWER(TRIM(A9365))</f>
        <v/>
      </c>
      <c r="C9365">
        <f>IF(B9365="","",IFERROR(INDEX('Bad Patterns'!$A$2:$A$120,MATCH(1,INDEX(--ISNUMBER(SEARCH('Bad Patterns'!$A$2:$A$120,B9365)),0),0)),""))</f>
        <v/>
      </c>
      <c r="D9365">
        <f>IF(B9365="","",IF(C9365&lt;&gt;"","REMOVE","KEEP"))</f>
        <v/>
      </c>
      <c r="E9365">
        <f>IF(D9365&lt;&gt;"KEEP","",IF(RIGHT(B9365,10)="@gmail.com","Gmail",IF(OR(RIGHT(B9365,12)="@outlook.com",RIGHT(B9365,12)="@hotmail.com",RIGHT(B9365,9)="@live.com"),"Outlook","Domain")))</f>
        <v/>
      </c>
      <c r="F9365">
        <f>IF(B9365="","",IFERROR(RIGHT(B9365,LEN(B9365)-FIND("@",B9365)),""))</f>
        <v/>
      </c>
      <c r="G9365">
        <f>IF(D9365="KEEP",COUNTIF($D$2:D9365,"KEEP"),"")</f>
        <v/>
      </c>
      <c r="H9365">
        <f>IF(D9365="REMOVE",COUNTIF($D$2:D9365,"REMOVE"),"")</f>
        <v/>
      </c>
      <c r="I9365">
        <f>IF(E9365="Gmail",COUNTIF($E$2:E9365,"Gmail"),"")</f>
        <v/>
      </c>
      <c r="J9365">
        <f>IF(E9365="Outlook",COUNTIF($E$2:E9365,"Outlook"),"")</f>
        <v/>
      </c>
      <c r="K9365">
        <f>IF(E9365="Domain",COUNTIF($E$2:E9365,"Domain"),"")</f>
        <v/>
      </c>
    </row>
    <row r="9366">
      <c r="A9366" s="2" t="n"/>
      <c r="B9366">
        <f>LOWER(TRIM(A9366))</f>
        <v/>
      </c>
      <c r="C9366">
        <f>IF(B9366="","",IFERROR(INDEX('Bad Patterns'!$A$2:$A$120,MATCH(1,INDEX(--ISNUMBER(SEARCH('Bad Patterns'!$A$2:$A$120,B9366)),0),0)),""))</f>
        <v/>
      </c>
      <c r="D9366">
        <f>IF(B9366="","",IF(C9366&lt;&gt;"","REMOVE","KEEP"))</f>
        <v/>
      </c>
      <c r="E9366">
        <f>IF(D9366&lt;&gt;"KEEP","",IF(RIGHT(B9366,10)="@gmail.com","Gmail",IF(OR(RIGHT(B9366,12)="@outlook.com",RIGHT(B9366,12)="@hotmail.com",RIGHT(B9366,9)="@live.com"),"Outlook","Domain")))</f>
        <v/>
      </c>
      <c r="F9366">
        <f>IF(B9366="","",IFERROR(RIGHT(B9366,LEN(B9366)-FIND("@",B9366)),""))</f>
        <v/>
      </c>
      <c r="G9366">
        <f>IF(D9366="KEEP",COUNTIF($D$2:D9366,"KEEP"),"")</f>
        <v/>
      </c>
      <c r="H9366">
        <f>IF(D9366="REMOVE",COUNTIF($D$2:D9366,"REMOVE"),"")</f>
        <v/>
      </c>
      <c r="I9366">
        <f>IF(E9366="Gmail",COUNTIF($E$2:E9366,"Gmail"),"")</f>
        <v/>
      </c>
      <c r="J9366">
        <f>IF(E9366="Outlook",COUNTIF($E$2:E9366,"Outlook"),"")</f>
        <v/>
      </c>
      <c r="K9366">
        <f>IF(E9366="Domain",COUNTIF($E$2:E9366,"Domain"),"")</f>
        <v/>
      </c>
    </row>
    <row r="9367">
      <c r="A9367" s="2" t="n"/>
      <c r="B9367">
        <f>LOWER(TRIM(A9367))</f>
        <v/>
      </c>
      <c r="C9367">
        <f>IF(B9367="","",IFERROR(INDEX('Bad Patterns'!$A$2:$A$120,MATCH(1,INDEX(--ISNUMBER(SEARCH('Bad Patterns'!$A$2:$A$120,B9367)),0),0)),""))</f>
        <v/>
      </c>
      <c r="D9367">
        <f>IF(B9367="","",IF(C9367&lt;&gt;"","REMOVE","KEEP"))</f>
        <v/>
      </c>
      <c r="E9367">
        <f>IF(D9367&lt;&gt;"KEEP","",IF(RIGHT(B9367,10)="@gmail.com","Gmail",IF(OR(RIGHT(B9367,12)="@outlook.com",RIGHT(B9367,12)="@hotmail.com",RIGHT(B9367,9)="@live.com"),"Outlook","Domain")))</f>
        <v/>
      </c>
      <c r="F9367">
        <f>IF(B9367="","",IFERROR(RIGHT(B9367,LEN(B9367)-FIND("@",B9367)),""))</f>
        <v/>
      </c>
      <c r="G9367">
        <f>IF(D9367="KEEP",COUNTIF($D$2:D9367,"KEEP"),"")</f>
        <v/>
      </c>
      <c r="H9367">
        <f>IF(D9367="REMOVE",COUNTIF($D$2:D9367,"REMOVE"),"")</f>
        <v/>
      </c>
      <c r="I9367">
        <f>IF(E9367="Gmail",COUNTIF($E$2:E9367,"Gmail"),"")</f>
        <v/>
      </c>
      <c r="J9367">
        <f>IF(E9367="Outlook",COUNTIF($E$2:E9367,"Outlook"),"")</f>
        <v/>
      </c>
      <c r="K9367">
        <f>IF(E9367="Domain",COUNTIF($E$2:E9367,"Domain"),"")</f>
        <v/>
      </c>
    </row>
    <row r="9368">
      <c r="A9368" s="2" t="n"/>
      <c r="B9368">
        <f>LOWER(TRIM(A9368))</f>
        <v/>
      </c>
      <c r="C9368">
        <f>IF(B9368="","",IFERROR(INDEX('Bad Patterns'!$A$2:$A$120,MATCH(1,INDEX(--ISNUMBER(SEARCH('Bad Patterns'!$A$2:$A$120,B9368)),0),0)),""))</f>
        <v/>
      </c>
      <c r="D9368">
        <f>IF(B9368="","",IF(C9368&lt;&gt;"","REMOVE","KEEP"))</f>
        <v/>
      </c>
      <c r="E9368">
        <f>IF(D9368&lt;&gt;"KEEP","",IF(RIGHT(B9368,10)="@gmail.com","Gmail",IF(OR(RIGHT(B9368,12)="@outlook.com",RIGHT(B9368,12)="@hotmail.com",RIGHT(B9368,9)="@live.com"),"Outlook","Domain")))</f>
        <v/>
      </c>
      <c r="F9368">
        <f>IF(B9368="","",IFERROR(RIGHT(B9368,LEN(B9368)-FIND("@",B9368)),""))</f>
        <v/>
      </c>
      <c r="G9368">
        <f>IF(D9368="KEEP",COUNTIF($D$2:D9368,"KEEP"),"")</f>
        <v/>
      </c>
      <c r="H9368">
        <f>IF(D9368="REMOVE",COUNTIF($D$2:D9368,"REMOVE"),"")</f>
        <v/>
      </c>
      <c r="I9368">
        <f>IF(E9368="Gmail",COUNTIF($E$2:E9368,"Gmail"),"")</f>
        <v/>
      </c>
      <c r="J9368">
        <f>IF(E9368="Outlook",COUNTIF($E$2:E9368,"Outlook"),"")</f>
        <v/>
      </c>
      <c r="K9368">
        <f>IF(E9368="Domain",COUNTIF($E$2:E9368,"Domain"),"")</f>
        <v/>
      </c>
    </row>
    <row r="9369">
      <c r="A9369" s="2" t="n"/>
      <c r="B9369">
        <f>LOWER(TRIM(A9369))</f>
        <v/>
      </c>
      <c r="C9369">
        <f>IF(B9369="","",IFERROR(INDEX('Bad Patterns'!$A$2:$A$120,MATCH(1,INDEX(--ISNUMBER(SEARCH('Bad Patterns'!$A$2:$A$120,B9369)),0),0)),""))</f>
        <v/>
      </c>
      <c r="D9369">
        <f>IF(B9369="","",IF(C9369&lt;&gt;"","REMOVE","KEEP"))</f>
        <v/>
      </c>
      <c r="E9369">
        <f>IF(D9369&lt;&gt;"KEEP","",IF(RIGHT(B9369,10)="@gmail.com","Gmail",IF(OR(RIGHT(B9369,12)="@outlook.com",RIGHT(B9369,12)="@hotmail.com",RIGHT(B9369,9)="@live.com"),"Outlook","Domain")))</f>
        <v/>
      </c>
      <c r="F9369">
        <f>IF(B9369="","",IFERROR(RIGHT(B9369,LEN(B9369)-FIND("@",B9369)),""))</f>
        <v/>
      </c>
      <c r="G9369">
        <f>IF(D9369="KEEP",COUNTIF($D$2:D9369,"KEEP"),"")</f>
        <v/>
      </c>
      <c r="H9369">
        <f>IF(D9369="REMOVE",COUNTIF($D$2:D9369,"REMOVE"),"")</f>
        <v/>
      </c>
      <c r="I9369">
        <f>IF(E9369="Gmail",COUNTIF($E$2:E9369,"Gmail"),"")</f>
        <v/>
      </c>
      <c r="J9369">
        <f>IF(E9369="Outlook",COUNTIF($E$2:E9369,"Outlook"),"")</f>
        <v/>
      </c>
      <c r="K9369">
        <f>IF(E9369="Domain",COUNTIF($E$2:E9369,"Domain"),"")</f>
        <v/>
      </c>
    </row>
    <row r="9370">
      <c r="A9370" s="2" t="n"/>
      <c r="B9370">
        <f>LOWER(TRIM(A9370))</f>
        <v/>
      </c>
      <c r="C9370">
        <f>IF(B9370="","",IFERROR(INDEX('Bad Patterns'!$A$2:$A$120,MATCH(1,INDEX(--ISNUMBER(SEARCH('Bad Patterns'!$A$2:$A$120,B9370)),0),0)),""))</f>
        <v/>
      </c>
      <c r="D9370">
        <f>IF(B9370="","",IF(C9370&lt;&gt;"","REMOVE","KEEP"))</f>
        <v/>
      </c>
      <c r="E9370">
        <f>IF(D9370&lt;&gt;"KEEP","",IF(RIGHT(B9370,10)="@gmail.com","Gmail",IF(OR(RIGHT(B9370,12)="@outlook.com",RIGHT(B9370,12)="@hotmail.com",RIGHT(B9370,9)="@live.com"),"Outlook","Domain")))</f>
        <v/>
      </c>
      <c r="F9370">
        <f>IF(B9370="","",IFERROR(RIGHT(B9370,LEN(B9370)-FIND("@",B9370)),""))</f>
        <v/>
      </c>
      <c r="G9370">
        <f>IF(D9370="KEEP",COUNTIF($D$2:D9370,"KEEP"),"")</f>
        <v/>
      </c>
      <c r="H9370">
        <f>IF(D9370="REMOVE",COUNTIF($D$2:D9370,"REMOVE"),"")</f>
        <v/>
      </c>
      <c r="I9370">
        <f>IF(E9370="Gmail",COUNTIF($E$2:E9370,"Gmail"),"")</f>
        <v/>
      </c>
      <c r="J9370">
        <f>IF(E9370="Outlook",COUNTIF($E$2:E9370,"Outlook"),"")</f>
        <v/>
      </c>
      <c r="K9370">
        <f>IF(E9370="Domain",COUNTIF($E$2:E9370,"Domain"),"")</f>
        <v/>
      </c>
    </row>
    <row r="9371">
      <c r="A9371" s="2" t="n"/>
      <c r="B9371">
        <f>LOWER(TRIM(A9371))</f>
        <v/>
      </c>
      <c r="C9371">
        <f>IF(B9371="","",IFERROR(INDEX('Bad Patterns'!$A$2:$A$120,MATCH(1,INDEX(--ISNUMBER(SEARCH('Bad Patterns'!$A$2:$A$120,B9371)),0),0)),""))</f>
        <v/>
      </c>
      <c r="D9371">
        <f>IF(B9371="","",IF(C9371&lt;&gt;"","REMOVE","KEEP"))</f>
        <v/>
      </c>
      <c r="E9371">
        <f>IF(D9371&lt;&gt;"KEEP","",IF(RIGHT(B9371,10)="@gmail.com","Gmail",IF(OR(RIGHT(B9371,12)="@outlook.com",RIGHT(B9371,12)="@hotmail.com",RIGHT(B9371,9)="@live.com"),"Outlook","Domain")))</f>
        <v/>
      </c>
      <c r="F9371">
        <f>IF(B9371="","",IFERROR(RIGHT(B9371,LEN(B9371)-FIND("@",B9371)),""))</f>
        <v/>
      </c>
      <c r="G9371">
        <f>IF(D9371="KEEP",COUNTIF($D$2:D9371,"KEEP"),"")</f>
        <v/>
      </c>
      <c r="H9371">
        <f>IF(D9371="REMOVE",COUNTIF($D$2:D9371,"REMOVE"),"")</f>
        <v/>
      </c>
      <c r="I9371">
        <f>IF(E9371="Gmail",COUNTIF($E$2:E9371,"Gmail"),"")</f>
        <v/>
      </c>
      <c r="J9371">
        <f>IF(E9371="Outlook",COUNTIF($E$2:E9371,"Outlook"),"")</f>
        <v/>
      </c>
      <c r="K9371">
        <f>IF(E9371="Domain",COUNTIF($E$2:E9371,"Domain"),"")</f>
        <v/>
      </c>
    </row>
    <row r="9372">
      <c r="A9372" s="2" t="n"/>
      <c r="B9372">
        <f>LOWER(TRIM(A9372))</f>
        <v/>
      </c>
      <c r="C9372">
        <f>IF(B9372="","",IFERROR(INDEX('Bad Patterns'!$A$2:$A$120,MATCH(1,INDEX(--ISNUMBER(SEARCH('Bad Patterns'!$A$2:$A$120,B9372)),0),0)),""))</f>
        <v/>
      </c>
      <c r="D9372">
        <f>IF(B9372="","",IF(C9372&lt;&gt;"","REMOVE","KEEP"))</f>
        <v/>
      </c>
      <c r="E9372">
        <f>IF(D9372&lt;&gt;"KEEP","",IF(RIGHT(B9372,10)="@gmail.com","Gmail",IF(OR(RIGHT(B9372,12)="@outlook.com",RIGHT(B9372,12)="@hotmail.com",RIGHT(B9372,9)="@live.com"),"Outlook","Domain")))</f>
        <v/>
      </c>
      <c r="F9372">
        <f>IF(B9372="","",IFERROR(RIGHT(B9372,LEN(B9372)-FIND("@",B9372)),""))</f>
        <v/>
      </c>
      <c r="G9372">
        <f>IF(D9372="KEEP",COUNTIF($D$2:D9372,"KEEP"),"")</f>
        <v/>
      </c>
      <c r="H9372">
        <f>IF(D9372="REMOVE",COUNTIF($D$2:D9372,"REMOVE"),"")</f>
        <v/>
      </c>
      <c r="I9372">
        <f>IF(E9372="Gmail",COUNTIF($E$2:E9372,"Gmail"),"")</f>
        <v/>
      </c>
      <c r="J9372">
        <f>IF(E9372="Outlook",COUNTIF($E$2:E9372,"Outlook"),"")</f>
        <v/>
      </c>
      <c r="K9372">
        <f>IF(E9372="Domain",COUNTIF($E$2:E9372,"Domain"),"")</f>
        <v/>
      </c>
    </row>
    <row r="9373">
      <c r="A9373" s="2" t="n"/>
      <c r="B9373">
        <f>LOWER(TRIM(A9373))</f>
        <v/>
      </c>
      <c r="C9373">
        <f>IF(B9373="","",IFERROR(INDEX('Bad Patterns'!$A$2:$A$120,MATCH(1,INDEX(--ISNUMBER(SEARCH('Bad Patterns'!$A$2:$A$120,B9373)),0),0)),""))</f>
        <v/>
      </c>
      <c r="D9373">
        <f>IF(B9373="","",IF(C9373&lt;&gt;"","REMOVE","KEEP"))</f>
        <v/>
      </c>
      <c r="E9373">
        <f>IF(D9373&lt;&gt;"KEEP","",IF(RIGHT(B9373,10)="@gmail.com","Gmail",IF(OR(RIGHT(B9373,12)="@outlook.com",RIGHT(B9373,12)="@hotmail.com",RIGHT(B9373,9)="@live.com"),"Outlook","Domain")))</f>
        <v/>
      </c>
      <c r="F9373">
        <f>IF(B9373="","",IFERROR(RIGHT(B9373,LEN(B9373)-FIND("@",B9373)),""))</f>
        <v/>
      </c>
      <c r="G9373">
        <f>IF(D9373="KEEP",COUNTIF($D$2:D9373,"KEEP"),"")</f>
        <v/>
      </c>
      <c r="H9373">
        <f>IF(D9373="REMOVE",COUNTIF($D$2:D9373,"REMOVE"),"")</f>
        <v/>
      </c>
      <c r="I9373">
        <f>IF(E9373="Gmail",COUNTIF($E$2:E9373,"Gmail"),"")</f>
        <v/>
      </c>
      <c r="J9373">
        <f>IF(E9373="Outlook",COUNTIF($E$2:E9373,"Outlook"),"")</f>
        <v/>
      </c>
      <c r="K9373">
        <f>IF(E9373="Domain",COUNTIF($E$2:E9373,"Domain"),"")</f>
        <v/>
      </c>
    </row>
    <row r="9374">
      <c r="A9374" s="2" t="n"/>
      <c r="B9374">
        <f>LOWER(TRIM(A9374))</f>
        <v/>
      </c>
      <c r="C9374">
        <f>IF(B9374="","",IFERROR(INDEX('Bad Patterns'!$A$2:$A$120,MATCH(1,INDEX(--ISNUMBER(SEARCH('Bad Patterns'!$A$2:$A$120,B9374)),0),0)),""))</f>
        <v/>
      </c>
      <c r="D9374">
        <f>IF(B9374="","",IF(C9374&lt;&gt;"","REMOVE","KEEP"))</f>
        <v/>
      </c>
      <c r="E9374">
        <f>IF(D9374&lt;&gt;"KEEP","",IF(RIGHT(B9374,10)="@gmail.com","Gmail",IF(OR(RIGHT(B9374,12)="@outlook.com",RIGHT(B9374,12)="@hotmail.com",RIGHT(B9374,9)="@live.com"),"Outlook","Domain")))</f>
        <v/>
      </c>
      <c r="F9374">
        <f>IF(B9374="","",IFERROR(RIGHT(B9374,LEN(B9374)-FIND("@",B9374)),""))</f>
        <v/>
      </c>
      <c r="G9374">
        <f>IF(D9374="KEEP",COUNTIF($D$2:D9374,"KEEP"),"")</f>
        <v/>
      </c>
      <c r="H9374">
        <f>IF(D9374="REMOVE",COUNTIF($D$2:D9374,"REMOVE"),"")</f>
        <v/>
      </c>
      <c r="I9374">
        <f>IF(E9374="Gmail",COUNTIF($E$2:E9374,"Gmail"),"")</f>
        <v/>
      </c>
      <c r="J9374">
        <f>IF(E9374="Outlook",COUNTIF($E$2:E9374,"Outlook"),"")</f>
        <v/>
      </c>
      <c r="K9374">
        <f>IF(E9374="Domain",COUNTIF($E$2:E9374,"Domain"),"")</f>
        <v/>
      </c>
    </row>
    <row r="9375">
      <c r="A9375" s="2" t="n"/>
      <c r="B9375">
        <f>LOWER(TRIM(A9375))</f>
        <v/>
      </c>
      <c r="C9375">
        <f>IF(B9375="","",IFERROR(INDEX('Bad Patterns'!$A$2:$A$120,MATCH(1,INDEX(--ISNUMBER(SEARCH('Bad Patterns'!$A$2:$A$120,B9375)),0),0)),""))</f>
        <v/>
      </c>
      <c r="D9375">
        <f>IF(B9375="","",IF(C9375&lt;&gt;"","REMOVE","KEEP"))</f>
        <v/>
      </c>
      <c r="E9375">
        <f>IF(D9375&lt;&gt;"KEEP","",IF(RIGHT(B9375,10)="@gmail.com","Gmail",IF(OR(RIGHT(B9375,12)="@outlook.com",RIGHT(B9375,12)="@hotmail.com",RIGHT(B9375,9)="@live.com"),"Outlook","Domain")))</f>
        <v/>
      </c>
      <c r="F9375">
        <f>IF(B9375="","",IFERROR(RIGHT(B9375,LEN(B9375)-FIND("@",B9375)),""))</f>
        <v/>
      </c>
      <c r="G9375">
        <f>IF(D9375="KEEP",COUNTIF($D$2:D9375,"KEEP"),"")</f>
        <v/>
      </c>
      <c r="H9375">
        <f>IF(D9375="REMOVE",COUNTIF($D$2:D9375,"REMOVE"),"")</f>
        <v/>
      </c>
      <c r="I9375">
        <f>IF(E9375="Gmail",COUNTIF($E$2:E9375,"Gmail"),"")</f>
        <v/>
      </c>
      <c r="J9375">
        <f>IF(E9375="Outlook",COUNTIF($E$2:E9375,"Outlook"),"")</f>
        <v/>
      </c>
      <c r="K9375">
        <f>IF(E9375="Domain",COUNTIF($E$2:E9375,"Domain"),"")</f>
        <v/>
      </c>
    </row>
    <row r="9376">
      <c r="A9376" s="2" t="n"/>
      <c r="B9376">
        <f>LOWER(TRIM(A9376))</f>
        <v/>
      </c>
      <c r="C9376">
        <f>IF(B9376="","",IFERROR(INDEX('Bad Patterns'!$A$2:$A$120,MATCH(1,INDEX(--ISNUMBER(SEARCH('Bad Patterns'!$A$2:$A$120,B9376)),0),0)),""))</f>
        <v/>
      </c>
      <c r="D9376">
        <f>IF(B9376="","",IF(C9376&lt;&gt;"","REMOVE","KEEP"))</f>
        <v/>
      </c>
      <c r="E9376">
        <f>IF(D9376&lt;&gt;"KEEP","",IF(RIGHT(B9376,10)="@gmail.com","Gmail",IF(OR(RIGHT(B9376,12)="@outlook.com",RIGHT(B9376,12)="@hotmail.com",RIGHT(B9376,9)="@live.com"),"Outlook","Domain")))</f>
        <v/>
      </c>
      <c r="F9376">
        <f>IF(B9376="","",IFERROR(RIGHT(B9376,LEN(B9376)-FIND("@",B9376)),""))</f>
        <v/>
      </c>
      <c r="G9376">
        <f>IF(D9376="KEEP",COUNTIF($D$2:D9376,"KEEP"),"")</f>
        <v/>
      </c>
      <c r="H9376">
        <f>IF(D9376="REMOVE",COUNTIF($D$2:D9376,"REMOVE"),"")</f>
        <v/>
      </c>
      <c r="I9376">
        <f>IF(E9376="Gmail",COUNTIF($E$2:E9376,"Gmail"),"")</f>
        <v/>
      </c>
      <c r="J9376">
        <f>IF(E9376="Outlook",COUNTIF($E$2:E9376,"Outlook"),"")</f>
        <v/>
      </c>
      <c r="K9376">
        <f>IF(E9376="Domain",COUNTIF($E$2:E9376,"Domain"),"")</f>
        <v/>
      </c>
    </row>
    <row r="9377">
      <c r="A9377" s="2" t="n"/>
      <c r="B9377">
        <f>LOWER(TRIM(A9377))</f>
        <v/>
      </c>
      <c r="C9377">
        <f>IF(B9377="","",IFERROR(INDEX('Bad Patterns'!$A$2:$A$120,MATCH(1,INDEX(--ISNUMBER(SEARCH('Bad Patterns'!$A$2:$A$120,B9377)),0),0)),""))</f>
        <v/>
      </c>
      <c r="D9377">
        <f>IF(B9377="","",IF(C9377&lt;&gt;"","REMOVE","KEEP"))</f>
        <v/>
      </c>
      <c r="E9377">
        <f>IF(D9377&lt;&gt;"KEEP","",IF(RIGHT(B9377,10)="@gmail.com","Gmail",IF(OR(RIGHT(B9377,12)="@outlook.com",RIGHT(B9377,12)="@hotmail.com",RIGHT(B9377,9)="@live.com"),"Outlook","Domain")))</f>
        <v/>
      </c>
      <c r="F9377">
        <f>IF(B9377="","",IFERROR(RIGHT(B9377,LEN(B9377)-FIND("@",B9377)),""))</f>
        <v/>
      </c>
      <c r="G9377">
        <f>IF(D9377="KEEP",COUNTIF($D$2:D9377,"KEEP"),"")</f>
        <v/>
      </c>
      <c r="H9377">
        <f>IF(D9377="REMOVE",COUNTIF($D$2:D9377,"REMOVE"),"")</f>
        <v/>
      </c>
      <c r="I9377">
        <f>IF(E9377="Gmail",COUNTIF($E$2:E9377,"Gmail"),"")</f>
        <v/>
      </c>
      <c r="J9377">
        <f>IF(E9377="Outlook",COUNTIF($E$2:E9377,"Outlook"),"")</f>
        <v/>
      </c>
      <c r="K9377">
        <f>IF(E9377="Domain",COUNTIF($E$2:E9377,"Domain"),"")</f>
        <v/>
      </c>
    </row>
    <row r="9378">
      <c r="A9378" s="2" t="n"/>
      <c r="B9378">
        <f>LOWER(TRIM(A9378))</f>
        <v/>
      </c>
      <c r="C9378">
        <f>IF(B9378="","",IFERROR(INDEX('Bad Patterns'!$A$2:$A$120,MATCH(1,INDEX(--ISNUMBER(SEARCH('Bad Patterns'!$A$2:$A$120,B9378)),0),0)),""))</f>
        <v/>
      </c>
      <c r="D9378">
        <f>IF(B9378="","",IF(C9378&lt;&gt;"","REMOVE","KEEP"))</f>
        <v/>
      </c>
      <c r="E9378">
        <f>IF(D9378&lt;&gt;"KEEP","",IF(RIGHT(B9378,10)="@gmail.com","Gmail",IF(OR(RIGHT(B9378,12)="@outlook.com",RIGHT(B9378,12)="@hotmail.com",RIGHT(B9378,9)="@live.com"),"Outlook","Domain")))</f>
        <v/>
      </c>
      <c r="F9378">
        <f>IF(B9378="","",IFERROR(RIGHT(B9378,LEN(B9378)-FIND("@",B9378)),""))</f>
        <v/>
      </c>
      <c r="G9378">
        <f>IF(D9378="KEEP",COUNTIF($D$2:D9378,"KEEP"),"")</f>
        <v/>
      </c>
      <c r="H9378">
        <f>IF(D9378="REMOVE",COUNTIF($D$2:D9378,"REMOVE"),"")</f>
        <v/>
      </c>
      <c r="I9378">
        <f>IF(E9378="Gmail",COUNTIF($E$2:E9378,"Gmail"),"")</f>
        <v/>
      </c>
      <c r="J9378">
        <f>IF(E9378="Outlook",COUNTIF($E$2:E9378,"Outlook"),"")</f>
        <v/>
      </c>
      <c r="K9378">
        <f>IF(E9378="Domain",COUNTIF($E$2:E9378,"Domain"),"")</f>
        <v/>
      </c>
    </row>
    <row r="9379">
      <c r="A9379" s="2" t="n"/>
      <c r="B9379">
        <f>LOWER(TRIM(A9379))</f>
        <v/>
      </c>
      <c r="C9379">
        <f>IF(B9379="","",IFERROR(INDEX('Bad Patterns'!$A$2:$A$120,MATCH(1,INDEX(--ISNUMBER(SEARCH('Bad Patterns'!$A$2:$A$120,B9379)),0),0)),""))</f>
        <v/>
      </c>
      <c r="D9379">
        <f>IF(B9379="","",IF(C9379&lt;&gt;"","REMOVE","KEEP"))</f>
        <v/>
      </c>
      <c r="E9379">
        <f>IF(D9379&lt;&gt;"KEEP","",IF(RIGHT(B9379,10)="@gmail.com","Gmail",IF(OR(RIGHT(B9379,12)="@outlook.com",RIGHT(B9379,12)="@hotmail.com",RIGHT(B9379,9)="@live.com"),"Outlook","Domain")))</f>
        <v/>
      </c>
      <c r="F9379">
        <f>IF(B9379="","",IFERROR(RIGHT(B9379,LEN(B9379)-FIND("@",B9379)),""))</f>
        <v/>
      </c>
      <c r="G9379">
        <f>IF(D9379="KEEP",COUNTIF($D$2:D9379,"KEEP"),"")</f>
        <v/>
      </c>
      <c r="H9379">
        <f>IF(D9379="REMOVE",COUNTIF($D$2:D9379,"REMOVE"),"")</f>
        <v/>
      </c>
      <c r="I9379">
        <f>IF(E9379="Gmail",COUNTIF($E$2:E9379,"Gmail"),"")</f>
        <v/>
      </c>
      <c r="J9379">
        <f>IF(E9379="Outlook",COUNTIF($E$2:E9379,"Outlook"),"")</f>
        <v/>
      </c>
      <c r="K9379">
        <f>IF(E9379="Domain",COUNTIF($E$2:E9379,"Domain"),"")</f>
        <v/>
      </c>
    </row>
    <row r="9380">
      <c r="A9380" s="2" t="n"/>
      <c r="B9380">
        <f>LOWER(TRIM(A9380))</f>
        <v/>
      </c>
      <c r="C9380">
        <f>IF(B9380="","",IFERROR(INDEX('Bad Patterns'!$A$2:$A$120,MATCH(1,INDEX(--ISNUMBER(SEARCH('Bad Patterns'!$A$2:$A$120,B9380)),0),0)),""))</f>
        <v/>
      </c>
      <c r="D9380">
        <f>IF(B9380="","",IF(C9380&lt;&gt;"","REMOVE","KEEP"))</f>
        <v/>
      </c>
      <c r="E9380">
        <f>IF(D9380&lt;&gt;"KEEP","",IF(RIGHT(B9380,10)="@gmail.com","Gmail",IF(OR(RIGHT(B9380,12)="@outlook.com",RIGHT(B9380,12)="@hotmail.com",RIGHT(B9380,9)="@live.com"),"Outlook","Domain")))</f>
        <v/>
      </c>
      <c r="F9380">
        <f>IF(B9380="","",IFERROR(RIGHT(B9380,LEN(B9380)-FIND("@",B9380)),""))</f>
        <v/>
      </c>
      <c r="G9380">
        <f>IF(D9380="KEEP",COUNTIF($D$2:D9380,"KEEP"),"")</f>
        <v/>
      </c>
      <c r="H9380">
        <f>IF(D9380="REMOVE",COUNTIF($D$2:D9380,"REMOVE"),"")</f>
        <v/>
      </c>
      <c r="I9380">
        <f>IF(E9380="Gmail",COUNTIF($E$2:E9380,"Gmail"),"")</f>
        <v/>
      </c>
      <c r="J9380">
        <f>IF(E9380="Outlook",COUNTIF($E$2:E9380,"Outlook"),"")</f>
        <v/>
      </c>
      <c r="K9380">
        <f>IF(E9380="Domain",COUNTIF($E$2:E9380,"Domain"),"")</f>
        <v/>
      </c>
    </row>
    <row r="9381">
      <c r="A9381" s="2" t="n"/>
      <c r="B9381">
        <f>LOWER(TRIM(A9381))</f>
        <v/>
      </c>
      <c r="C9381">
        <f>IF(B9381="","",IFERROR(INDEX('Bad Patterns'!$A$2:$A$120,MATCH(1,INDEX(--ISNUMBER(SEARCH('Bad Patterns'!$A$2:$A$120,B9381)),0),0)),""))</f>
        <v/>
      </c>
      <c r="D9381">
        <f>IF(B9381="","",IF(C9381&lt;&gt;"","REMOVE","KEEP"))</f>
        <v/>
      </c>
      <c r="E9381">
        <f>IF(D9381&lt;&gt;"KEEP","",IF(RIGHT(B9381,10)="@gmail.com","Gmail",IF(OR(RIGHT(B9381,12)="@outlook.com",RIGHT(B9381,12)="@hotmail.com",RIGHT(B9381,9)="@live.com"),"Outlook","Domain")))</f>
        <v/>
      </c>
      <c r="F9381">
        <f>IF(B9381="","",IFERROR(RIGHT(B9381,LEN(B9381)-FIND("@",B9381)),""))</f>
        <v/>
      </c>
      <c r="G9381">
        <f>IF(D9381="KEEP",COUNTIF($D$2:D9381,"KEEP"),"")</f>
        <v/>
      </c>
      <c r="H9381">
        <f>IF(D9381="REMOVE",COUNTIF($D$2:D9381,"REMOVE"),"")</f>
        <v/>
      </c>
      <c r="I9381">
        <f>IF(E9381="Gmail",COUNTIF($E$2:E9381,"Gmail"),"")</f>
        <v/>
      </c>
      <c r="J9381">
        <f>IF(E9381="Outlook",COUNTIF($E$2:E9381,"Outlook"),"")</f>
        <v/>
      </c>
      <c r="K9381">
        <f>IF(E9381="Domain",COUNTIF($E$2:E9381,"Domain"),"")</f>
        <v/>
      </c>
    </row>
    <row r="9382">
      <c r="A9382" s="2" t="n"/>
      <c r="B9382">
        <f>LOWER(TRIM(A9382))</f>
        <v/>
      </c>
      <c r="C9382">
        <f>IF(B9382="","",IFERROR(INDEX('Bad Patterns'!$A$2:$A$120,MATCH(1,INDEX(--ISNUMBER(SEARCH('Bad Patterns'!$A$2:$A$120,B9382)),0),0)),""))</f>
        <v/>
      </c>
      <c r="D9382">
        <f>IF(B9382="","",IF(C9382&lt;&gt;"","REMOVE","KEEP"))</f>
        <v/>
      </c>
      <c r="E9382">
        <f>IF(D9382&lt;&gt;"KEEP","",IF(RIGHT(B9382,10)="@gmail.com","Gmail",IF(OR(RIGHT(B9382,12)="@outlook.com",RIGHT(B9382,12)="@hotmail.com",RIGHT(B9382,9)="@live.com"),"Outlook","Domain")))</f>
        <v/>
      </c>
      <c r="F9382">
        <f>IF(B9382="","",IFERROR(RIGHT(B9382,LEN(B9382)-FIND("@",B9382)),""))</f>
        <v/>
      </c>
      <c r="G9382">
        <f>IF(D9382="KEEP",COUNTIF($D$2:D9382,"KEEP"),"")</f>
        <v/>
      </c>
      <c r="H9382">
        <f>IF(D9382="REMOVE",COUNTIF($D$2:D9382,"REMOVE"),"")</f>
        <v/>
      </c>
      <c r="I9382">
        <f>IF(E9382="Gmail",COUNTIF($E$2:E9382,"Gmail"),"")</f>
        <v/>
      </c>
      <c r="J9382">
        <f>IF(E9382="Outlook",COUNTIF($E$2:E9382,"Outlook"),"")</f>
        <v/>
      </c>
      <c r="K9382">
        <f>IF(E9382="Domain",COUNTIF($E$2:E9382,"Domain"),"")</f>
        <v/>
      </c>
    </row>
    <row r="9383">
      <c r="A9383" s="2" t="n"/>
      <c r="B9383">
        <f>LOWER(TRIM(A9383))</f>
        <v/>
      </c>
      <c r="C9383">
        <f>IF(B9383="","",IFERROR(INDEX('Bad Patterns'!$A$2:$A$120,MATCH(1,INDEX(--ISNUMBER(SEARCH('Bad Patterns'!$A$2:$A$120,B9383)),0),0)),""))</f>
        <v/>
      </c>
      <c r="D9383">
        <f>IF(B9383="","",IF(C9383&lt;&gt;"","REMOVE","KEEP"))</f>
        <v/>
      </c>
      <c r="E9383">
        <f>IF(D9383&lt;&gt;"KEEP","",IF(RIGHT(B9383,10)="@gmail.com","Gmail",IF(OR(RIGHT(B9383,12)="@outlook.com",RIGHT(B9383,12)="@hotmail.com",RIGHT(B9383,9)="@live.com"),"Outlook","Domain")))</f>
        <v/>
      </c>
      <c r="F9383">
        <f>IF(B9383="","",IFERROR(RIGHT(B9383,LEN(B9383)-FIND("@",B9383)),""))</f>
        <v/>
      </c>
      <c r="G9383">
        <f>IF(D9383="KEEP",COUNTIF($D$2:D9383,"KEEP"),"")</f>
        <v/>
      </c>
      <c r="H9383">
        <f>IF(D9383="REMOVE",COUNTIF($D$2:D9383,"REMOVE"),"")</f>
        <v/>
      </c>
      <c r="I9383">
        <f>IF(E9383="Gmail",COUNTIF($E$2:E9383,"Gmail"),"")</f>
        <v/>
      </c>
      <c r="J9383">
        <f>IF(E9383="Outlook",COUNTIF($E$2:E9383,"Outlook"),"")</f>
        <v/>
      </c>
      <c r="K9383">
        <f>IF(E9383="Domain",COUNTIF($E$2:E9383,"Domain"),"")</f>
        <v/>
      </c>
    </row>
    <row r="9384">
      <c r="A9384" s="2" t="n"/>
      <c r="B9384">
        <f>LOWER(TRIM(A9384))</f>
        <v/>
      </c>
      <c r="C9384">
        <f>IF(B9384="","",IFERROR(INDEX('Bad Patterns'!$A$2:$A$120,MATCH(1,INDEX(--ISNUMBER(SEARCH('Bad Patterns'!$A$2:$A$120,B9384)),0),0)),""))</f>
        <v/>
      </c>
      <c r="D9384">
        <f>IF(B9384="","",IF(C9384&lt;&gt;"","REMOVE","KEEP"))</f>
        <v/>
      </c>
      <c r="E9384">
        <f>IF(D9384&lt;&gt;"KEEP","",IF(RIGHT(B9384,10)="@gmail.com","Gmail",IF(OR(RIGHT(B9384,12)="@outlook.com",RIGHT(B9384,12)="@hotmail.com",RIGHT(B9384,9)="@live.com"),"Outlook","Domain")))</f>
        <v/>
      </c>
      <c r="F9384">
        <f>IF(B9384="","",IFERROR(RIGHT(B9384,LEN(B9384)-FIND("@",B9384)),""))</f>
        <v/>
      </c>
      <c r="G9384">
        <f>IF(D9384="KEEP",COUNTIF($D$2:D9384,"KEEP"),"")</f>
        <v/>
      </c>
      <c r="H9384">
        <f>IF(D9384="REMOVE",COUNTIF($D$2:D9384,"REMOVE"),"")</f>
        <v/>
      </c>
      <c r="I9384">
        <f>IF(E9384="Gmail",COUNTIF($E$2:E9384,"Gmail"),"")</f>
        <v/>
      </c>
      <c r="J9384">
        <f>IF(E9384="Outlook",COUNTIF($E$2:E9384,"Outlook"),"")</f>
        <v/>
      </c>
      <c r="K9384">
        <f>IF(E9384="Domain",COUNTIF($E$2:E9384,"Domain"),"")</f>
        <v/>
      </c>
    </row>
    <row r="9385">
      <c r="A9385" s="2" t="n"/>
      <c r="B9385">
        <f>LOWER(TRIM(A9385))</f>
        <v/>
      </c>
      <c r="C9385">
        <f>IF(B9385="","",IFERROR(INDEX('Bad Patterns'!$A$2:$A$120,MATCH(1,INDEX(--ISNUMBER(SEARCH('Bad Patterns'!$A$2:$A$120,B9385)),0),0)),""))</f>
        <v/>
      </c>
      <c r="D9385">
        <f>IF(B9385="","",IF(C9385&lt;&gt;"","REMOVE","KEEP"))</f>
        <v/>
      </c>
      <c r="E9385">
        <f>IF(D9385&lt;&gt;"KEEP","",IF(RIGHT(B9385,10)="@gmail.com","Gmail",IF(OR(RIGHT(B9385,12)="@outlook.com",RIGHT(B9385,12)="@hotmail.com",RIGHT(B9385,9)="@live.com"),"Outlook","Domain")))</f>
        <v/>
      </c>
      <c r="F9385">
        <f>IF(B9385="","",IFERROR(RIGHT(B9385,LEN(B9385)-FIND("@",B9385)),""))</f>
        <v/>
      </c>
      <c r="G9385">
        <f>IF(D9385="KEEP",COUNTIF($D$2:D9385,"KEEP"),"")</f>
        <v/>
      </c>
      <c r="H9385">
        <f>IF(D9385="REMOVE",COUNTIF($D$2:D9385,"REMOVE"),"")</f>
        <v/>
      </c>
      <c r="I9385">
        <f>IF(E9385="Gmail",COUNTIF($E$2:E9385,"Gmail"),"")</f>
        <v/>
      </c>
      <c r="J9385">
        <f>IF(E9385="Outlook",COUNTIF($E$2:E9385,"Outlook"),"")</f>
        <v/>
      </c>
      <c r="K9385">
        <f>IF(E9385="Domain",COUNTIF($E$2:E9385,"Domain"),"")</f>
        <v/>
      </c>
    </row>
    <row r="9386">
      <c r="A9386" s="2" t="n"/>
      <c r="B9386">
        <f>LOWER(TRIM(A9386))</f>
        <v/>
      </c>
      <c r="C9386">
        <f>IF(B9386="","",IFERROR(INDEX('Bad Patterns'!$A$2:$A$120,MATCH(1,INDEX(--ISNUMBER(SEARCH('Bad Patterns'!$A$2:$A$120,B9386)),0),0)),""))</f>
        <v/>
      </c>
      <c r="D9386">
        <f>IF(B9386="","",IF(C9386&lt;&gt;"","REMOVE","KEEP"))</f>
        <v/>
      </c>
      <c r="E9386">
        <f>IF(D9386&lt;&gt;"KEEP","",IF(RIGHT(B9386,10)="@gmail.com","Gmail",IF(OR(RIGHT(B9386,12)="@outlook.com",RIGHT(B9386,12)="@hotmail.com",RIGHT(B9386,9)="@live.com"),"Outlook","Domain")))</f>
        <v/>
      </c>
      <c r="F9386">
        <f>IF(B9386="","",IFERROR(RIGHT(B9386,LEN(B9386)-FIND("@",B9386)),""))</f>
        <v/>
      </c>
      <c r="G9386">
        <f>IF(D9386="KEEP",COUNTIF($D$2:D9386,"KEEP"),"")</f>
        <v/>
      </c>
      <c r="H9386">
        <f>IF(D9386="REMOVE",COUNTIF($D$2:D9386,"REMOVE"),"")</f>
        <v/>
      </c>
      <c r="I9386">
        <f>IF(E9386="Gmail",COUNTIF($E$2:E9386,"Gmail"),"")</f>
        <v/>
      </c>
      <c r="J9386">
        <f>IF(E9386="Outlook",COUNTIF($E$2:E9386,"Outlook"),"")</f>
        <v/>
      </c>
      <c r="K9386">
        <f>IF(E9386="Domain",COUNTIF($E$2:E9386,"Domain"),"")</f>
        <v/>
      </c>
    </row>
    <row r="9387">
      <c r="A9387" s="2" t="n"/>
      <c r="B9387">
        <f>LOWER(TRIM(A9387))</f>
        <v/>
      </c>
      <c r="C9387">
        <f>IF(B9387="","",IFERROR(INDEX('Bad Patterns'!$A$2:$A$120,MATCH(1,INDEX(--ISNUMBER(SEARCH('Bad Patterns'!$A$2:$A$120,B9387)),0),0)),""))</f>
        <v/>
      </c>
      <c r="D9387">
        <f>IF(B9387="","",IF(C9387&lt;&gt;"","REMOVE","KEEP"))</f>
        <v/>
      </c>
      <c r="E9387">
        <f>IF(D9387&lt;&gt;"KEEP","",IF(RIGHT(B9387,10)="@gmail.com","Gmail",IF(OR(RIGHT(B9387,12)="@outlook.com",RIGHT(B9387,12)="@hotmail.com",RIGHT(B9387,9)="@live.com"),"Outlook","Domain")))</f>
        <v/>
      </c>
      <c r="F9387">
        <f>IF(B9387="","",IFERROR(RIGHT(B9387,LEN(B9387)-FIND("@",B9387)),""))</f>
        <v/>
      </c>
      <c r="G9387">
        <f>IF(D9387="KEEP",COUNTIF($D$2:D9387,"KEEP"),"")</f>
        <v/>
      </c>
      <c r="H9387">
        <f>IF(D9387="REMOVE",COUNTIF($D$2:D9387,"REMOVE"),"")</f>
        <v/>
      </c>
      <c r="I9387">
        <f>IF(E9387="Gmail",COUNTIF($E$2:E9387,"Gmail"),"")</f>
        <v/>
      </c>
      <c r="J9387">
        <f>IF(E9387="Outlook",COUNTIF($E$2:E9387,"Outlook"),"")</f>
        <v/>
      </c>
      <c r="K9387">
        <f>IF(E9387="Domain",COUNTIF($E$2:E9387,"Domain"),"")</f>
        <v/>
      </c>
    </row>
    <row r="9388">
      <c r="A9388" s="2" t="n"/>
      <c r="B9388">
        <f>LOWER(TRIM(A9388))</f>
        <v/>
      </c>
      <c r="C9388">
        <f>IF(B9388="","",IFERROR(INDEX('Bad Patterns'!$A$2:$A$120,MATCH(1,INDEX(--ISNUMBER(SEARCH('Bad Patterns'!$A$2:$A$120,B9388)),0),0)),""))</f>
        <v/>
      </c>
      <c r="D9388">
        <f>IF(B9388="","",IF(C9388&lt;&gt;"","REMOVE","KEEP"))</f>
        <v/>
      </c>
      <c r="E9388">
        <f>IF(D9388&lt;&gt;"KEEP","",IF(RIGHT(B9388,10)="@gmail.com","Gmail",IF(OR(RIGHT(B9388,12)="@outlook.com",RIGHT(B9388,12)="@hotmail.com",RIGHT(B9388,9)="@live.com"),"Outlook","Domain")))</f>
        <v/>
      </c>
      <c r="F9388">
        <f>IF(B9388="","",IFERROR(RIGHT(B9388,LEN(B9388)-FIND("@",B9388)),""))</f>
        <v/>
      </c>
      <c r="G9388">
        <f>IF(D9388="KEEP",COUNTIF($D$2:D9388,"KEEP"),"")</f>
        <v/>
      </c>
      <c r="H9388">
        <f>IF(D9388="REMOVE",COUNTIF($D$2:D9388,"REMOVE"),"")</f>
        <v/>
      </c>
      <c r="I9388">
        <f>IF(E9388="Gmail",COUNTIF($E$2:E9388,"Gmail"),"")</f>
        <v/>
      </c>
      <c r="J9388">
        <f>IF(E9388="Outlook",COUNTIF($E$2:E9388,"Outlook"),"")</f>
        <v/>
      </c>
      <c r="K9388">
        <f>IF(E9388="Domain",COUNTIF($E$2:E9388,"Domain"),"")</f>
        <v/>
      </c>
    </row>
    <row r="9389">
      <c r="A9389" s="2" t="n"/>
      <c r="B9389">
        <f>LOWER(TRIM(A9389))</f>
        <v/>
      </c>
      <c r="C9389">
        <f>IF(B9389="","",IFERROR(INDEX('Bad Patterns'!$A$2:$A$120,MATCH(1,INDEX(--ISNUMBER(SEARCH('Bad Patterns'!$A$2:$A$120,B9389)),0),0)),""))</f>
        <v/>
      </c>
      <c r="D9389">
        <f>IF(B9389="","",IF(C9389&lt;&gt;"","REMOVE","KEEP"))</f>
        <v/>
      </c>
      <c r="E9389">
        <f>IF(D9389&lt;&gt;"KEEP","",IF(RIGHT(B9389,10)="@gmail.com","Gmail",IF(OR(RIGHT(B9389,12)="@outlook.com",RIGHT(B9389,12)="@hotmail.com",RIGHT(B9389,9)="@live.com"),"Outlook","Domain")))</f>
        <v/>
      </c>
      <c r="F9389">
        <f>IF(B9389="","",IFERROR(RIGHT(B9389,LEN(B9389)-FIND("@",B9389)),""))</f>
        <v/>
      </c>
      <c r="G9389">
        <f>IF(D9389="KEEP",COUNTIF($D$2:D9389,"KEEP"),"")</f>
        <v/>
      </c>
      <c r="H9389">
        <f>IF(D9389="REMOVE",COUNTIF($D$2:D9389,"REMOVE"),"")</f>
        <v/>
      </c>
      <c r="I9389">
        <f>IF(E9389="Gmail",COUNTIF($E$2:E9389,"Gmail"),"")</f>
        <v/>
      </c>
      <c r="J9389">
        <f>IF(E9389="Outlook",COUNTIF($E$2:E9389,"Outlook"),"")</f>
        <v/>
      </c>
      <c r="K9389">
        <f>IF(E9389="Domain",COUNTIF($E$2:E9389,"Domain"),"")</f>
        <v/>
      </c>
    </row>
    <row r="9390">
      <c r="A9390" s="2" t="n"/>
      <c r="B9390">
        <f>LOWER(TRIM(A9390))</f>
        <v/>
      </c>
      <c r="C9390">
        <f>IF(B9390="","",IFERROR(INDEX('Bad Patterns'!$A$2:$A$120,MATCH(1,INDEX(--ISNUMBER(SEARCH('Bad Patterns'!$A$2:$A$120,B9390)),0),0)),""))</f>
        <v/>
      </c>
      <c r="D9390">
        <f>IF(B9390="","",IF(C9390&lt;&gt;"","REMOVE","KEEP"))</f>
        <v/>
      </c>
      <c r="E9390">
        <f>IF(D9390&lt;&gt;"KEEP","",IF(RIGHT(B9390,10)="@gmail.com","Gmail",IF(OR(RIGHT(B9390,12)="@outlook.com",RIGHT(B9390,12)="@hotmail.com",RIGHT(B9390,9)="@live.com"),"Outlook","Domain")))</f>
        <v/>
      </c>
      <c r="F9390">
        <f>IF(B9390="","",IFERROR(RIGHT(B9390,LEN(B9390)-FIND("@",B9390)),""))</f>
        <v/>
      </c>
      <c r="G9390">
        <f>IF(D9390="KEEP",COUNTIF($D$2:D9390,"KEEP"),"")</f>
        <v/>
      </c>
      <c r="H9390">
        <f>IF(D9390="REMOVE",COUNTIF($D$2:D9390,"REMOVE"),"")</f>
        <v/>
      </c>
      <c r="I9390">
        <f>IF(E9390="Gmail",COUNTIF($E$2:E9390,"Gmail"),"")</f>
        <v/>
      </c>
      <c r="J9390">
        <f>IF(E9390="Outlook",COUNTIF($E$2:E9390,"Outlook"),"")</f>
        <v/>
      </c>
      <c r="K9390">
        <f>IF(E9390="Domain",COUNTIF($E$2:E9390,"Domain"),"")</f>
        <v/>
      </c>
    </row>
    <row r="9391">
      <c r="A9391" s="2" t="n"/>
      <c r="B9391">
        <f>LOWER(TRIM(A9391))</f>
        <v/>
      </c>
      <c r="C9391">
        <f>IF(B9391="","",IFERROR(INDEX('Bad Patterns'!$A$2:$A$120,MATCH(1,INDEX(--ISNUMBER(SEARCH('Bad Patterns'!$A$2:$A$120,B9391)),0),0)),""))</f>
        <v/>
      </c>
      <c r="D9391">
        <f>IF(B9391="","",IF(C9391&lt;&gt;"","REMOVE","KEEP"))</f>
        <v/>
      </c>
      <c r="E9391">
        <f>IF(D9391&lt;&gt;"KEEP","",IF(RIGHT(B9391,10)="@gmail.com","Gmail",IF(OR(RIGHT(B9391,12)="@outlook.com",RIGHT(B9391,12)="@hotmail.com",RIGHT(B9391,9)="@live.com"),"Outlook","Domain")))</f>
        <v/>
      </c>
      <c r="F9391">
        <f>IF(B9391="","",IFERROR(RIGHT(B9391,LEN(B9391)-FIND("@",B9391)),""))</f>
        <v/>
      </c>
      <c r="G9391">
        <f>IF(D9391="KEEP",COUNTIF($D$2:D9391,"KEEP"),"")</f>
        <v/>
      </c>
      <c r="H9391">
        <f>IF(D9391="REMOVE",COUNTIF($D$2:D9391,"REMOVE"),"")</f>
        <v/>
      </c>
      <c r="I9391">
        <f>IF(E9391="Gmail",COUNTIF($E$2:E9391,"Gmail"),"")</f>
        <v/>
      </c>
      <c r="J9391">
        <f>IF(E9391="Outlook",COUNTIF($E$2:E9391,"Outlook"),"")</f>
        <v/>
      </c>
      <c r="K9391">
        <f>IF(E9391="Domain",COUNTIF($E$2:E9391,"Domain"),"")</f>
        <v/>
      </c>
    </row>
    <row r="9392">
      <c r="A9392" s="2" t="n"/>
      <c r="B9392">
        <f>LOWER(TRIM(A9392))</f>
        <v/>
      </c>
      <c r="C9392">
        <f>IF(B9392="","",IFERROR(INDEX('Bad Patterns'!$A$2:$A$120,MATCH(1,INDEX(--ISNUMBER(SEARCH('Bad Patterns'!$A$2:$A$120,B9392)),0),0)),""))</f>
        <v/>
      </c>
      <c r="D9392">
        <f>IF(B9392="","",IF(C9392&lt;&gt;"","REMOVE","KEEP"))</f>
        <v/>
      </c>
      <c r="E9392">
        <f>IF(D9392&lt;&gt;"KEEP","",IF(RIGHT(B9392,10)="@gmail.com","Gmail",IF(OR(RIGHT(B9392,12)="@outlook.com",RIGHT(B9392,12)="@hotmail.com",RIGHT(B9392,9)="@live.com"),"Outlook","Domain")))</f>
        <v/>
      </c>
      <c r="F9392">
        <f>IF(B9392="","",IFERROR(RIGHT(B9392,LEN(B9392)-FIND("@",B9392)),""))</f>
        <v/>
      </c>
      <c r="G9392">
        <f>IF(D9392="KEEP",COUNTIF($D$2:D9392,"KEEP"),"")</f>
        <v/>
      </c>
      <c r="H9392">
        <f>IF(D9392="REMOVE",COUNTIF($D$2:D9392,"REMOVE"),"")</f>
        <v/>
      </c>
      <c r="I9392">
        <f>IF(E9392="Gmail",COUNTIF($E$2:E9392,"Gmail"),"")</f>
        <v/>
      </c>
      <c r="J9392">
        <f>IF(E9392="Outlook",COUNTIF($E$2:E9392,"Outlook"),"")</f>
        <v/>
      </c>
      <c r="K9392">
        <f>IF(E9392="Domain",COUNTIF($E$2:E9392,"Domain"),"")</f>
        <v/>
      </c>
    </row>
    <row r="9393">
      <c r="A9393" s="2" t="n"/>
      <c r="B9393">
        <f>LOWER(TRIM(A9393))</f>
        <v/>
      </c>
      <c r="C9393">
        <f>IF(B9393="","",IFERROR(INDEX('Bad Patterns'!$A$2:$A$120,MATCH(1,INDEX(--ISNUMBER(SEARCH('Bad Patterns'!$A$2:$A$120,B9393)),0),0)),""))</f>
        <v/>
      </c>
      <c r="D9393">
        <f>IF(B9393="","",IF(C9393&lt;&gt;"","REMOVE","KEEP"))</f>
        <v/>
      </c>
      <c r="E9393">
        <f>IF(D9393&lt;&gt;"KEEP","",IF(RIGHT(B9393,10)="@gmail.com","Gmail",IF(OR(RIGHT(B9393,12)="@outlook.com",RIGHT(B9393,12)="@hotmail.com",RIGHT(B9393,9)="@live.com"),"Outlook","Domain")))</f>
        <v/>
      </c>
      <c r="F9393">
        <f>IF(B9393="","",IFERROR(RIGHT(B9393,LEN(B9393)-FIND("@",B9393)),""))</f>
        <v/>
      </c>
      <c r="G9393">
        <f>IF(D9393="KEEP",COUNTIF($D$2:D9393,"KEEP"),"")</f>
        <v/>
      </c>
      <c r="H9393">
        <f>IF(D9393="REMOVE",COUNTIF($D$2:D9393,"REMOVE"),"")</f>
        <v/>
      </c>
      <c r="I9393">
        <f>IF(E9393="Gmail",COUNTIF($E$2:E9393,"Gmail"),"")</f>
        <v/>
      </c>
      <c r="J9393">
        <f>IF(E9393="Outlook",COUNTIF($E$2:E9393,"Outlook"),"")</f>
        <v/>
      </c>
      <c r="K9393">
        <f>IF(E9393="Domain",COUNTIF($E$2:E9393,"Domain"),"")</f>
        <v/>
      </c>
    </row>
    <row r="9394">
      <c r="A9394" s="2" t="n"/>
      <c r="B9394">
        <f>LOWER(TRIM(A9394))</f>
        <v/>
      </c>
      <c r="C9394">
        <f>IF(B9394="","",IFERROR(INDEX('Bad Patterns'!$A$2:$A$120,MATCH(1,INDEX(--ISNUMBER(SEARCH('Bad Patterns'!$A$2:$A$120,B9394)),0),0)),""))</f>
        <v/>
      </c>
      <c r="D9394">
        <f>IF(B9394="","",IF(C9394&lt;&gt;"","REMOVE","KEEP"))</f>
        <v/>
      </c>
      <c r="E9394">
        <f>IF(D9394&lt;&gt;"KEEP","",IF(RIGHT(B9394,10)="@gmail.com","Gmail",IF(OR(RIGHT(B9394,12)="@outlook.com",RIGHT(B9394,12)="@hotmail.com",RIGHT(B9394,9)="@live.com"),"Outlook","Domain")))</f>
        <v/>
      </c>
      <c r="F9394">
        <f>IF(B9394="","",IFERROR(RIGHT(B9394,LEN(B9394)-FIND("@",B9394)),""))</f>
        <v/>
      </c>
      <c r="G9394">
        <f>IF(D9394="KEEP",COUNTIF($D$2:D9394,"KEEP"),"")</f>
        <v/>
      </c>
      <c r="H9394">
        <f>IF(D9394="REMOVE",COUNTIF($D$2:D9394,"REMOVE"),"")</f>
        <v/>
      </c>
      <c r="I9394">
        <f>IF(E9394="Gmail",COUNTIF($E$2:E9394,"Gmail"),"")</f>
        <v/>
      </c>
      <c r="J9394">
        <f>IF(E9394="Outlook",COUNTIF($E$2:E9394,"Outlook"),"")</f>
        <v/>
      </c>
      <c r="K9394">
        <f>IF(E9394="Domain",COUNTIF($E$2:E9394,"Domain"),"")</f>
        <v/>
      </c>
    </row>
    <row r="9395">
      <c r="A9395" s="2" t="n"/>
      <c r="B9395">
        <f>LOWER(TRIM(A9395))</f>
        <v/>
      </c>
      <c r="C9395">
        <f>IF(B9395="","",IFERROR(INDEX('Bad Patterns'!$A$2:$A$120,MATCH(1,INDEX(--ISNUMBER(SEARCH('Bad Patterns'!$A$2:$A$120,B9395)),0),0)),""))</f>
        <v/>
      </c>
      <c r="D9395">
        <f>IF(B9395="","",IF(C9395&lt;&gt;"","REMOVE","KEEP"))</f>
        <v/>
      </c>
      <c r="E9395">
        <f>IF(D9395&lt;&gt;"KEEP","",IF(RIGHT(B9395,10)="@gmail.com","Gmail",IF(OR(RIGHT(B9395,12)="@outlook.com",RIGHT(B9395,12)="@hotmail.com",RIGHT(B9395,9)="@live.com"),"Outlook","Domain")))</f>
        <v/>
      </c>
      <c r="F9395">
        <f>IF(B9395="","",IFERROR(RIGHT(B9395,LEN(B9395)-FIND("@",B9395)),""))</f>
        <v/>
      </c>
      <c r="G9395">
        <f>IF(D9395="KEEP",COUNTIF($D$2:D9395,"KEEP"),"")</f>
        <v/>
      </c>
      <c r="H9395">
        <f>IF(D9395="REMOVE",COUNTIF($D$2:D9395,"REMOVE"),"")</f>
        <v/>
      </c>
      <c r="I9395">
        <f>IF(E9395="Gmail",COUNTIF($E$2:E9395,"Gmail"),"")</f>
        <v/>
      </c>
      <c r="J9395">
        <f>IF(E9395="Outlook",COUNTIF($E$2:E9395,"Outlook"),"")</f>
        <v/>
      </c>
      <c r="K9395">
        <f>IF(E9395="Domain",COUNTIF($E$2:E9395,"Domain"),"")</f>
        <v/>
      </c>
    </row>
    <row r="9396">
      <c r="A9396" s="2" t="n"/>
      <c r="B9396">
        <f>LOWER(TRIM(A9396))</f>
        <v/>
      </c>
      <c r="C9396">
        <f>IF(B9396="","",IFERROR(INDEX('Bad Patterns'!$A$2:$A$120,MATCH(1,INDEX(--ISNUMBER(SEARCH('Bad Patterns'!$A$2:$A$120,B9396)),0),0)),""))</f>
        <v/>
      </c>
      <c r="D9396">
        <f>IF(B9396="","",IF(C9396&lt;&gt;"","REMOVE","KEEP"))</f>
        <v/>
      </c>
      <c r="E9396">
        <f>IF(D9396&lt;&gt;"KEEP","",IF(RIGHT(B9396,10)="@gmail.com","Gmail",IF(OR(RIGHT(B9396,12)="@outlook.com",RIGHT(B9396,12)="@hotmail.com",RIGHT(B9396,9)="@live.com"),"Outlook","Domain")))</f>
        <v/>
      </c>
      <c r="F9396">
        <f>IF(B9396="","",IFERROR(RIGHT(B9396,LEN(B9396)-FIND("@",B9396)),""))</f>
        <v/>
      </c>
      <c r="G9396">
        <f>IF(D9396="KEEP",COUNTIF($D$2:D9396,"KEEP"),"")</f>
        <v/>
      </c>
      <c r="H9396">
        <f>IF(D9396="REMOVE",COUNTIF($D$2:D9396,"REMOVE"),"")</f>
        <v/>
      </c>
      <c r="I9396">
        <f>IF(E9396="Gmail",COUNTIF($E$2:E9396,"Gmail"),"")</f>
        <v/>
      </c>
      <c r="J9396">
        <f>IF(E9396="Outlook",COUNTIF($E$2:E9396,"Outlook"),"")</f>
        <v/>
      </c>
      <c r="K9396">
        <f>IF(E9396="Domain",COUNTIF($E$2:E9396,"Domain"),"")</f>
        <v/>
      </c>
    </row>
    <row r="9397">
      <c r="A9397" s="2" t="n"/>
      <c r="B9397">
        <f>LOWER(TRIM(A9397))</f>
        <v/>
      </c>
      <c r="C9397">
        <f>IF(B9397="","",IFERROR(INDEX('Bad Patterns'!$A$2:$A$120,MATCH(1,INDEX(--ISNUMBER(SEARCH('Bad Patterns'!$A$2:$A$120,B9397)),0),0)),""))</f>
        <v/>
      </c>
      <c r="D9397">
        <f>IF(B9397="","",IF(C9397&lt;&gt;"","REMOVE","KEEP"))</f>
        <v/>
      </c>
      <c r="E9397">
        <f>IF(D9397&lt;&gt;"KEEP","",IF(RIGHT(B9397,10)="@gmail.com","Gmail",IF(OR(RIGHT(B9397,12)="@outlook.com",RIGHT(B9397,12)="@hotmail.com",RIGHT(B9397,9)="@live.com"),"Outlook","Domain")))</f>
        <v/>
      </c>
      <c r="F9397">
        <f>IF(B9397="","",IFERROR(RIGHT(B9397,LEN(B9397)-FIND("@",B9397)),""))</f>
        <v/>
      </c>
      <c r="G9397">
        <f>IF(D9397="KEEP",COUNTIF($D$2:D9397,"KEEP"),"")</f>
        <v/>
      </c>
      <c r="H9397">
        <f>IF(D9397="REMOVE",COUNTIF($D$2:D9397,"REMOVE"),"")</f>
        <v/>
      </c>
      <c r="I9397">
        <f>IF(E9397="Gmail",COUNTIF($E$2:E9397,"Gmail"),"")</f>
        <v/>
      </c>
      <c r="J9397">
        <f>IF(E9397="Outlook",COUNTIF($E$2:E9397,"Outlook"),"")</f>
        <v/>
      </c>
      <c r="K9397">
        <f>IF(E9397="Domain",COUNTIF($E$2:E9397,"Domain"),"")</f>
        <v/>
      </c>
    </row>
    <row r="9398">
      <c r="A9398" s="2" t="n"/>
      <c r="B9398">
        <f>LOWER(TRIM(A9398))</f>
        <v/>
      </c>
      <c r="C9398">
        <f>IF(B9398="","",IFERROR(INDEX('Bad Patterns'!$A$2:$A$120,MATCH(1,INDEX(--ISNUMBER(SEARCH('Bad Patterns'!$A$2:$A$120,B9398)),0),0)),""))</f>
        <v/>
      </c>
      <c r="D9398">
        <f>IF(B9398="","",IF(C9398&lt;&gt;"","REMOVE","KEEP"))</f>
        <v/>
      </c>
      <c r="E9398">
        <f>IF(D9398&lt;&gt;"KEEP","",IF(RIGHT(B9398,10)="@gmail.com","Gmail",IF(OR(RIGHT(B9398,12)="@outlook.com",RIGHT(B9398,12)="@hotmail.com",RIGHT(B9398,9)="@live.com"),"Outlook","Domain")))</f>
        <v/>
      </c>
      <c r="F9398">
        <f>IF(B9398="","",IFERROR(RIGHT(B9398,LEN(B9398)-FIND("@",B9398)),""))</f>
        <v/>
      </c>
      <c r="G9398">
        <f>IF(D9398="KEEP",COUNTIF($D$2:D9398,"KEEP"),"")</f>
        <v/>
      </c>
      <c r="H9398">
        <f>IF(D9398="REMOVE",COUNTIF($D$2:D9398,"REMOVE"),"")</f>
        <v/>
      </c>
      <c r="I9398">
        <f>IF(E9398="Gmail",COUNTIF($E$2:E9398,"Gmail"),"")</f>
        <v/>
      </c>
      <c r="J9398">
        <f>IF(E9398="Outlook",COUNTIF($E$2:E9398,"Outlook"),"")</f>
        <v/>
      </c>
      <c r="K9398">
        <f>IF(E9398="Domain",COUNTIF($E$2:E9398,"Domain"),"")</f>
        <v/>
      </c>
    </row>
    <row r="9399">
      <c r="A9399" s="2" t="n"/>
      <c r="B9399">
        <f>LOWER(TRIM(A9399))</f>
        <v/>
      </c>
      <c r="C9399">
        <f>IF(B9399="","",IFERROR(INDEX('Bad Patterns'!$A$2:$A$120,MATCH(1,INDEX(--ISNUMBER(SEARCH('Bad Patterns'!$A$2:$A$120,B9399)),0),0)),""))</f>
        <v/>
      </c>
      <c r="D9399">
        <f>IF(B9399="","",IF(C9399&lt;&gt;"","REMOVE","KEEP"))</f>
        <v/>
      </c>
      <c r="E9399">
        <f>IF(D9399&lt;&gt;"KEEP","",IF(RIGHT(B9399,10)="@gmail.com","Gmail",IF(OR(RIGHT(B9399,12)="@outlook.com",RIGHT(B9399,12)="@hotmail.com",RIGHT(B9399,9)="@live.com"),"Outlook","Domain")))</f>
        <v/>
      </c>
      <c r="F9399">
        <f>IF(B9399="","",IFERROR(RIGHT(B9399,LEN(B9399)-FIND("@",B9399)),""))</f>
        <v/>
      </c>
      <c r="G9399">
        <f>IF(D9399="KEEP",COUNTIF($D$2:D9399,"KEEP"),"")</f>
        <v/>
      </c>
      <c r="H9399">
        <f>IF(D9399="REMOVE",COUNTIF($D$2:D9399,"REMOVE"),"")</f>
        <v/>
      </c>
      <c r="I9399">
        <f>IF(E9399="Gmail",COUNTIF($E$2:E9399,"Gmail"),"")</f>
        <v/>
      </c>
      <c r="J9399">
        <f>IF(E9399="Outlook",COUNTIF($E$2:E9399,"Outlook"),"")</f>
        <v/>
      </c>
      <c r="K9399">
        <f>IF(E9399="Domain",COUNTIF($E$2:E9399,"Domain"),"")</f>
        <v/>
      </c>
    </row>
    <row r="9400">
      <c r="A9400" s="2" t="n"/>
      <c r="B9400">
        <f>LOWER(TRIM(A9400))</f>
        <v/>
      </c>
      <c r="C9400">
        <f>IF(B9400="","",IFERROR(INDEX('Bad Patterns'!$A$2:$A$120,MATCH(1,INDEX(--ISNUMBER(SEARCH('Bad Patterns'!$A$2:$A$120,B9400)),0),0)),""))</f>
        <v/>
      </c>
      <c r="D9400">
        <f>IF(B9400="","",IF(C9400&lt;&gt;"","REMOVE","KEEP"))</f>
        <v/>
      </c>
      <c r="E9400">
        <f>IF(D9400&lt;&gt;"KEEP","",IF(RIGHT(B9400,10)="@gmail.com","Gmail",IF(OR(RIGHT(B9400,12)="@outlook.com",RIGHT(B9400,12)="@hotmail.com",RIGHT(B9400,9)="@live.com"),"Outlook","Domain")))</f>
        <v/>
      </c>
      <c r="F9400">
        <f>IF(B9400="","",IFERROR(RIGHT(B9400,LEN(B9400)-FIND("@",B9400)),""))</f>
        <v/>
      </c>
      <c r="G9400">
        <f>IF(D9400="KEEP",COUNTIF($D$2:D9400,"KEEP"),"")</f>
        <v/>
      </c>
      <c r="H9400">
        <f>IF(D9400="REMOVE",COUNTIF($D$2:D9400,"REMOVE"),"")</f>
        <v/>
      </c>
      <c r="I9400">
        <f>IF(E9400="Gmail",COUNTIF($E$2:E9400,"Gmail"),"")</f>
        <v/>
      </c>
      <c r="J9400">
        <f>IF(E9400="Outlook",COUNTIF($E$2:E9400,"Outlook"),"")</f>
        <v/>
      </c>
      <c r="K9400">
        <f>IF(E9400="Domain",COUNTIF($E$2:E9400,"Domain"),"")</f>
        <v/>
      </c>
    </row>
    <row r="9401">
      <c r="A9401" s="2" t="n"/>
      <c r="B9401">
        <f>LOWER(TRIM(A9401))</f>
        <v/>
      </c>
      <c r="C9401">
        <f>IF(B9401="","",IFERROR(INDEX('Bad Patterns'!$A$2:$A$120,MATCH(1,INDEX(--ISNUMBER(SEARCH('Bad Patterns'!$A$2:$A$120,B9401)),0),0)),""))</f>
        <v/>
      </c>
      <c r="D9401">
        <f>IF(B9401="","",IF(C9401&lt;&gt;"","REMOVE","KEEP"))</f>
        <v/>
      </c>
      <c r="E9401">
        <f>IF(D9401&lt;&gt;"KEEP","",IF(RIGHT(B9401,10)="@gmail.com","Gmail",IF(OR(RIGHT(B9401,12)="@outlook.com",RIGHT(B9401,12)="@hotmail.com",RIGHT(B9401,9)="@live.com"),"Outlook","Domain")))</f>
        <v/>
      </c>
      <c r="F9401">
        <f>IF(B9401="","",IFERROR(RIGHT(B9401,LEN(B9401)-FIND("@",B9401)),""))</f>
        <v/>
      </c>
      <c r="G9401">
        <f>IF(D9401="KEEP",COUNTIF($D$2:D9401,"KEEP"),"")</f>
        <v/>
      </c>
      <c r="H9401">
        <f>IF(D9401="REMOVE",COUNTIF($D$2:D9401,"REMOVE"),"")</f>
        <v/>
      </c>
      <c r="I9401">
        <f>IF(E9401="Gmail",COUNTIF($E$2:E9401,"Gmail"),"")</f>
        <v/>
      </c>
      <c r="J9401">
        <f>IF(E9401="Outlook",COUNTIF($E$2:E9401,"Outlook"),"")</f>
        <v/>
      </c>
      <c r="K9401">
        <f>IF(E9401="Domain",COUNTIF($E$2:E9401,"Domain"),"")</f>
        <v/>
      </c>
    </row>
    <row r="9402">
      <c r="A9402" s="2" t="n"/>
      <c r="B9402">
        <f>LOWER(TRIM(A9402))</f>
        <v/>
      </c>
      <c r="C9402">
        <f>IF(B9402="","",IFERROR(INDEX('Bad Patterns'!$A$2:$A$120,MATCH(1,INDEX(--ISNUMBER(SEARCH('Bad Patterns'!$A$2:$A$120,B9402)),0),0)),""))</f>
        <v/>
      </c>
      <c r="D9402">
        <f>IF(B9402="","",IF(C9402&lt;&gt;"","REMOVE","KEEP"))</f>
        <v/>
      </c>
      <c r="E9402">
        <f>IF(D9402&lt;&gt;"KEEP","",IF(RIGHT(B9402,10)="@gmail.com","Gmail",IF(OR(RIGHT(B9402,12)="@outlook.com",RIGHT(B9402,12)="@hotmail.com",RIGHT(B9402,9)="@live.com"),"Outlook","Domain")))</f>
        <v/>
      </c>
      <c r="F9402">
        <f>IF(B9402="","",IFERROR(RIGHT(B9402,LEN(B9402)-FIND("@",B9402)),""))</f>
        <v/>
      </c>
      <c r="G9402">
        <f>IF(D9402="KEEP",COUNTIF($D$2:D9402,"KEEP"),"")</f>
        <v/>
      </c>
      <c r="H9402">
        <f>IF(D9402="REMOVE",COUNTIF($D$2:D9402,"REMOVE"),"")</f>
        <v/>
      </c>
      <c r="I9402">
        <f>IF(E9402="Gmail",COUNTIF($E$2:E9402,"Gmail"),"")</f>
        <v/>
      </c>
      <c r="J9402">
        <f>IF(E9402="Outlook",COUNTIF($E$2:E9402,"Outlook"),"")</f>
        <v/>
      </c>
      <c r="K9402">
        <f>IF(E9402="Domain",COUNTIF($E$2:E9402,"Domain"),"")</f>
        <v/>
      </c>
    </row>
    <row r="9403">
      <c r="A9403" s="2" t="n"/>
      <c r="B9403">
        <f>LOWER(TRIM(A9403))</f>
        <v/>
      </c>
      <c r="C9403">
        <f>IF(B9403="","",IFERROR(INDEX('Bad Patterns'!$A$2:$A$120,MATCH(1,INDEX(--ISNUMBER(SEARCH('Bad Patterns'!$A$2:$A$120,B9403)),0),0)),""))</f>
        <v/>
      </c>
      <c r="D9403">
        <f>IF(B9403="","",IF(C9403&lt;&gt;"","REMOVE","KEEP"))</f>
        <v/>
      </c>
      <c r="E9403">
        <f>IF(D9403&lt;&gt;"KEEP","",IF(RIGHT(B9403,10)="@gmail.com","Gmail",IF(OR(RIGHT(B9403,12)="@outlook.com",RIGHT(B9403,12)="@hotmail.com",RIGHT(B9403,9)="@live.com"),"Outlook","Domain")))</f>
        <v/>
      </c>
      <c r="F9403">
        <f>IF(B9403="","",IFERROR(RIGHT(B9403,LEN(B9403)-FIND("@",B9403)),""))</f>
        <v/>
      </c>
      <c r="G9403">
        <f>IF(D9403="KEEP",COUNTIF($D$2:D9403,"KEEP"),"")</f>
        <v/>
      </c>
      <c r="H9403">
        <f>IF(D9403="REMOVE",COUNTIF($D$2:D9403,"REMOVE"),"")</f>
        <v/>
      </c>
      <c r="I9403">
        <f>IF(E9403="Gmail",COUNTIF($E$2:E9403,"Gmail"),"")</f>
        <v/>
      </c>
      <c r="J9403">
        <f>IF(E9403="Outlook",COUNTIF($E$2:E9403,"Outlook"),"")</f>
        <v/>
      </c>
      <c r="K9403">
        <f>IF(E9403="Domain",COUNTIF($E$2:E9403,"Domain"),"")</f>
        <v/>
      </c>
    </row>
    <row r="9404">
      <c r="A9404" s="2" t="n"/>
      <c r="B9404">
        <f>LOWER(TRIM(A9404))</f>
        <v/>
      </c>
      <c r="C9404">
        <f>IF(B9404="","",IFERROR(INDEX('Bad Patterns'!$A$2:$A$120,MATCH(1,INDEX(--ISNUMBER(SEARCH('Bad Patterns'!$A$2:$A$120,B9404)),0),0)),""))</f>
        <v/>
      </c>
      <c r="D9404">
        <f>IF(B9404="","",IF(C9404&lt;&gt;"","REMOVE","KEEP"))</f>
        <v/>
      </c>
      <c r="E9404">
        <f>IF(D9404&lt;&gt;"KEEP","",IF(RIGHT(B9404,10)="@gmail.com","Gmail",IF(OR(RIGHT(B9404,12)="@outlook.com",RIGHT(B9404,12)="@hotmail.com",RIGHT(B9404,9)="@live.com"),"Outlook","Domain")))</f>
        <v/>
      </c>
      <c r="F9404">
        <f>IF(B9404="","",IFERROR(RIGHT(B9404,LEN(B9404)-FIND("@",B9404)),""))</f>
        <v/>
      </c>
      <c r="G9404">
        <f>IF(D9404="KEEP",COUNTIF($D$2:D9404,"KEEP"),"")</f>
        <v/>
      </c>
      <c r="H9404">
        <f>IF(D9404="REMOVE",COUNTIF($D$2:D9404,"REMOVE"),"")</f>
        <v/>
      </c>
      <c r="I9404">
        <f>IF(E9404="Gmail",COUNTIF($E$2:E9404,"Gmail"),"")</f>
        <v/>
      </c>
      <c r="J9404">
        <f>IF(E9404="Outlook",COUNTIF($E$2:E9404,"Outlook"),"")</f>
        <v/>
      </c>
      <c r="K9404">
        <f>IF(E9404="Domain",COUNTIF($E$2:E9404,"Domain"),"")</f>
        <v/>
      </c>
    </row>
    <row r="9405">
      <c r="A9405" s="2" t="n"/>
      <c r="B9405">
        <f>LOWER(TRIM(A9405))</f>
        <v/>
      </c>
      <c r="C9405">
        <f>IF(B9405="","",IFERROR(INDEX('Bad Patterns'!$A$2:$A$120,MATCH(1,INDEX(--ISNUMBER(SEARCH('Bad Patterns'!$A$2:$A$120,B9405)),0),0)),""))</f>
        <v/>
      </c>
      <c r="D9405">
        <f>IF(B9405="","",IF(C9405&lt;&gt;"","REMOVE","KEEP"))</f>
        <v/>
      </c>
      <c r="E9405">
        <f>IF(D9405&lt;&gt;"KEEP","",IF(RIGHT(B9405,10)="@gmail.com","Gmail",IF(OR(RIGHT(B9405,12)="@outlook.com",RIGHT(B9405,12)="@hotmail.com",RIGHT(B9405,9)="@live.com"),"Outlook","Domain")))</f>
        <v/>
      </c>
      <c r="F9405">
        <f>IF(B9405="","",IFERROR(RIGHT(B9405,LEN(B9405)-FIND("@",B9405)),""))</f>
        <v/>
      </c>
      <c r="G9405">
        <f>IF(D9405="KEEP",COUNTIF($D$2:D9405,"KEEP"),"")</f>
        <v/>
      </c>
      <c r="H9405">
        <f>IF(D9405="REMOVE",COUNTIF($D$2:D9405,"REMOVE"),"")</f>
        <v/>
      </c>
      <c r="I9405">
        <f>IF(E9405="Gmail",COUNTIF($E$2:E9405,"Gmail"),"")</f>
        <v/>
      </c>
      <c r="J9405">
        <f>IF(E9405="Outlook",COUNTIF($E$2:E9405,"Outlook"),"")</f>
        <v/>
      </c>
      <c r="K9405">
        <f>IF(E9405="Domain",COUNTIF($E$2:E9405,"Domain"),"")</f>
        <v/>
      </c>
    </row>
    <row r="9406">
      <c r="A9406" s="2" t="n"/>
      <c r="B9406">
        <f>LOWER(TRIM(A9406))</f>
        <v/>
      </c>
      <c r="C9406">
        <f>IF(B9406="","",IFERROR(INDEX('Bad Patterns'!$A$2:$A$120,MATCH(1,INDEX(--ISNUMBER(SEARCH('Bad Patterns'!$A$2:$A$120,B9406)),0),0)),""))</f>
        <v/>
      </c>
      <c r="D9406">
        <f>IF(B9406="","",IF(C9406&lt;&gt;"","REMOVE","KEEP"))</f>
        <v/>
      </c>
      <c r="E9406">
        <f>IF(D9406&lt;&gt;"KEEP","",IF(RIGHT(B9406,10)="@gmail.com","Gmail",IF(OR(RIGHT(B9406,12)="@outlook.com",RIGHT(B9406,12)="@hotmail.com",RIGHT(B9406,9)="@live.com"),"Outlook","Domain")))</f>
        <v/>
      </c>
      <c r="F9406">
        <f>IF(B9406="","",IFERROR(RIGHT(B9406,LEN(B9406)-FIND("@",B9406)),""))</f>
        <v/>
      </c>
      <c r="G9406">
        <f>IF(D9406="KEEP",COUNTIF($D$2:D9406,"KEEP"),"")</f>
        <v/>
      </c>
      <c r="H9406">
        <f>IF(D9406="REMOVE",COUNTIF($D$2:D9406,"REMOVE"),"")</f>
        <v/>
      </c>
      <c r="I9406">
        <f>IF(E9406="Gmail",COUNTIF($E$2:E9406,"Gmail"),"")</f>
        <v/>
      </c>
      <c r="J9406">
        <f>IF(E9406="Outlook",COUNTIF($E$2:E9406,"Outlook"),"")</f>
        <v/>
      </c>
      <c r="K9406">
        <f>IF(E9406="Domain",COUNTIF($E$2:E9406,"Domain"),"")</f>
        <v/>
      </c>
    </row>
    <row r="9407">
      <c r="A9407" s="2" t="n"/>
      <c r="B9407">
        <f>LOWER(TRIM(A9407))</f>
        <v/>
      </c>
      <c r="C9407">
        <f>IF(B9407="","",IFERROR(INDEX('Bad Patterns'!$A$2:$A$120,MATCH(1,INDEX(--ISNUMBER(SEARCH('Bad Patterns'!$A$2:$A$120,B9407)),0),0)),""))</f>
        <v/>
      </c>
      <c r="D9407">
        <f>IF(B9407="","",IF(C9407&lt;&gt;"","REMOVE","KEEP"))</f>
        <v/>
      </c>
      <c r="E9407">
        <f>IF(D9407&lt;&gt;"KEEP","",IF(RIGHT(B9407,10)="@gmail.com","Gmail",IF(OR(RIGHT(B9407,12)="@outlook.com",RIGHT(B9407,12)="@hotmail.com",RIGHT(B9407,9)="@live.com"),"Outlook","Domain")))</f>
        <v/>
      </c>
      <c r="F9407">
        <f>IF(B9407="","",IFERROR(RIGHT(B9407,LEN(B9407)-FIND("@",B9407)),""))</f>
        <v/>
      </c>
      <c r="G9407">
        <f>IF(D9407="KEEP",COUNTIF($D$2:D9407,"KEEP"),"")</f>
        <v/>
      </c>
      <c r="H9407">
        <f>IF(D9407="REMOVE",COUNTIF($D$2:D9407,"REMOVE"),"")</f>
        <v/>
      </c>
      <c r="I9407">
        <f>IF(E9407="Gmail",COUNTIF($E$2:E9407,"Gmail"),"")</f>
        <v/>
      </c>
      <c r="J9407">
        <f>IF(E9407="Outlook",COUNTIF($E$2:E9407,"Outlook"),"")</f>
        <v/>
      </c>
      <c r="K9407">
        <f>IF(E9407="Domain",COUNTIF($E$2:E9407,"Domain"),"")</f>
        <v/>
      </c>
    </row>
    <row r="9408">
      <c r="A9408" s="2" t="n"/>
      <c r="B9408">
        <f>LOWER(TRIM(A9408))</f>
        <v/>
      </c>
      <c r="C9408">
        <f>IF(B9408="","",IFERROR(INDEX('Bad Patterns'!$A$2:$A$120,MATCH(1,INDEX(--ISNUMBER(SEARCH('Bad Patterns'!$A$2:$A$120,B9408)),0),0)),""))</f>
        <v/>
      </c>
      <c r="D9408">
        <f>IF(B9408="","",IF(C9408&lt;&gt;"","REMOVE","KEEP"))</f>
        <v/>
      </c>
      <c r="E9408">
        <f>IF(D9408&lt;&gt;"KEEP","",IF(RIGHT(B9408,10)="@gmail.com","Gmail",IF(OR(RIGHT(B9408,12)="@outlook.com",RIGHT(B9408,12)="@hotmail.com",RIGHT(B9408,9)="@live.com"),"Outlook","Domain")))</f>
        <v/>
      </c>
      <c r="F9408">
        <f>IF(B9408="","",IFERROR(RIGHT(B9408,LEN(B9408)-FIND("@",B9408)),""))</f>
        <v/>
      </c>
      <c r="G9408">
        <f>IF(D9408="KEEP",COUNTIF($D$2:D9408,"KEEP"),"")</f>
        <v/>
      </c>
      <c r="H9408">
        <f>IF(D9408="REMOVE",COUNTIF($D$2:D9408,"REMOVE"),"")</f>
        <v/>
      </c>
      <c r="I9408">
        <f>IF(E9408="Gmail",COUNTIF($E$2:E9408,"Gmail"),"")</f>
        <v/>
      </c>
      <c r="J9408">
        <f>IF(E9408="Outlook",COUNTIF($E$2:E9408,"Outlook"),"")</f>
        <v/>
      </c>
      <c r="K9408">
        <f>IF(E9408="Domain",COUNTIF($E$2:E9408,"Domain"),"")</f>
        <v/>
      </c>
    </row>
    <row r="9409">
      <c r="A9409" s="2" t="n"/>
      <c r="B9409">
        <f>LOWER(TRIM(A9409))</f>
        <v/>
      </c>
      <c r="C9409">
        <f>IF(B9409="","",IFERROR(INDEX('Bad Patterns'!$A$2:$A$120,MATCH(1,INDEX(--ISNUMBER(SEARCH('Bad Patterns'!$A$2:$A$120,B9409)),0),0)),""))</f>
        <v/>
      </c>
      <c r="D9409">
        <f>IF(B9409="","",IF(C9409&lt;&gt;"","REMOVE","KEEP"))</f>
        <v/>
      </c>
      <c r="E9409">
        <f>IF(D9409&lt;&gt;"KEEP","",IF(RIGHT(B9409,10)="@gmail.com","Gmail",IF(OR(RIGHT(B9409,12)="@outlook.com",RIGHT(B9409,12)="@hotmail.com",RIGHT(B9409,9)="@live.com"),"Outlook","Domain")))</f>
        <v/>
      </c>
      <c r="F9409">
        <f>IF(B9409="","",IFERROR(RIGHT(B9409,LEN(B9409)-FIND("@",B9409)),""))</f>
        <v/>
      </c>
      <c r="G9409">
        <f>IF(D9409="KEEP",COUNTIF($D$2:D9409,"KEEP"),"")</f>
        <v/>
      </c>
      <c r="H9409">
        <f>IF(D9409="REMOVE",COUNTIF($D$2:D9409,"REMOVE"),"")</f>
        <v/>
      </c>
      <c r="I9409">
        <f>IF(E9409="Gmail",COUNTIF($E$2:E9409,"Gmail"),"")</f>
        <v/>
      </c>
      <c r="J9409">
        <f>IF(E9409="Outlook",COUNTIF($E$2:E9409,"Outlook"),"")</f>
        <v/>
      </c>
      <c r="K9409">
        <f>IF(E9409="Domain",COUNTIF($E$2:E9409,"Domain"),"")</f>
        <v/>
      </c>
    </row>
    <row r="9410">
      <c r="A9410" s="2" t="n"/>
      <c r="B9410">
        <f>LOWER(TRIM(A9410))</f>
        <v/>
      </c>
      <c r="C9410">
        <f>IF(B9410="","",IFERROR(INDEX('Bad Patterns'!$A$2:$A$120,MATCH(1,INDEX(--ISNUMBER(SEARCH('Bad Patterns'!$A$2:$A$120,B9410)),0),0)),""))</f>
        <v/>
      </c>
      <c r="D9410">
        <f>IF(B9410="","",IF(C9410&lt;&gt;"","REMOVE","KEEP"))</f>
        <v/>
      </c>
      <c r="E9410">
        <f>IF(D9410&lt;&gt;"KEEP","",IF(RIGHT(B9410,10)="@gmail.com","Gmail",IF(OR(RIGHT(B9410,12)="@outlook.com",RIGHT(B9410,12)="@hotmail.com",RIGHT(B9410,9)="@live.com"),"Outlook","Domain")))</f>
        <v/>
      </c>
      <c r="F9410">
        <f>IF(B9410="","",IFERROR(RIGHT(B9410,LEN(B9410)-FIND("@",B9410)),""))</f>
        <v/>
      </c>
      <c r="G9410">
        <f>IF(D9410="KEEP",COUNTIF($D$2:D9410,"KEEP"),"")</f>
        <v/>
      </c>
      <c r="H9410">
        <f>IF(D9410="REMOVE",COUNTIF($D$2:D9410,"REMOVE"),"")</f>
        <v/>
      </c>
      <c r="I9410">
        <f>IF(E9410="Gmail",COUNTIF($E$2:E9410,"Gmail"),"")</f>
        <v/>
      </c>
      <c r="J9410">
        <f>IF(E9410="Outlook",COUNTIF($E$2:E9410,"Outlook"),"")</f>
        <v/>
      </c>
      <c r="K9410">
        <f>IF(E9410="Domain",COUNTIF($E$2:E9410,"Domain"),"")</f>
        <v/>
      </c>
    </row>
    <row r="9411">
      <c r="A9411" s="2" t="n"/>
      <c r="B9411">
        <f>LOWER(TRIM(A9411))</f>
        <v/>
      </c>
      <c r="C9411">
        <f>IF(B9411="","",IFERROR(INDEX('Bad Patterns'!$A$2:$A$120,MATCH(1,INDEX(--ISNUMBER(SEARCH('Bad Patterns'!$A$2:$A$120,B9411)),0),0)),""))</f>
        <v/>
      </c>
      <c r="D9411">
        <f>IF(B9411="","",IF(C9411&lt;&gt;"","REMOVE","KEEP"))</f>
        <v/>
      </c>
      <c r="E9411">
        <f>IF(D9411&lt;&gt;"KEEP","",IF(RIGHT(B9411,10)="@gmail.com","Gmail",IF(OR(RIGHT(B9411,12)="@outlook.com",RIGHT(B9411,12)="@hotmail.com",RIGHT(B9411,9)="@live.com"),"Outlook","Domain")))</f>
        <v/>
      </c>
      <c r="F9411">
        <f>IF(B9411="","",IFERROR(RIGHT(B9411,LEN(B9411)-FIND("@",B9411)),""))</f>
        <v/>
      </c>
      <c r="G9411">
        <f>IF(D9411="KEEP",COUNTIF($D$2:D9411,"KEEP"),"")</f>
        <v/>
      </c>
      <c r="H9411">
        <f>IF(D9411="REMOVE",COUNTIF($D$2:D9411,"REMOVE"),"")</f>
        <v/>
      </c>
      <c r="I9411">
        <f>IF(E9411="Gmail",COUNTIF($E$2:E9411,"Gmail"),"")</f>
        <v/>
      </c>
      <c r="J9411">
        <f>IF(E9411="Outlook",COUNTIF($E$2:E9411,"Outlook"),"")</f>
        <v/>
      </c>
      <c r="K9411">
        <f>IF(E9411="Domain",COUNTIF($E$2:E9411,"Domain"),"")</f>
        <v/>
      </c>
    </row>
    <row r="9412">
      <c r="A9412" s="2" t="n"/>
      <c r="B9412">
        <f>LOWER(TRIM(A9412))</f>
        <v/>
      </c>
      <c r="C9412">
        <f>IF(B9412="","",IFERROR(INDEX('Bad Patterns'!$A$2:$A$120,MATCH(1,INDEX(--ISNUMBER(SEARCH('Bad Patterns'!$A$2:$A$120,B9412)),0),0)),""))</f>
        <v/>
      </c>
      <c r="D9412">
        <f>IF(B9412="","",IF(C9412&lt;&gt;"","REMOVE","KEEP"))</f>
        <v/>
      </c>
      <c r="E9412">
        <f>IF(D9412&lt;&gt;"KEEP","",IF(RIGHT(B9412,10)="@gmail.com","Gmail",IF(OR(RIGHT(B9412,12)="@outlook.com",RIGHT(B9412,12)="@hotmail.com",RIGHT(B9412,9)="@live.com"),"Outlook","Domain")))</f>
        <v/>
      </c>
      <c r="F9412">
        <f>IF(B9412="","",IFERROR(RIGHT(B9412,LEN(B9412)-FIND("@",B9412)),""))</f>
        <v/>
      </c>
      <c r="G9412">
        <f>IF(D9412="KEEP",COUNTIF($D$2:D9412,"KEEP"),"")</f>
        <v/>
      </c>
      <c r="H9412">
        <f>IF(D9412="REMOVE",COUNTIF($D$2:D9412,"REMOVE"),"")</f>
        <v/>
      </c>
      <c r="I9412">
        <f>IF(E9412="Gmail",COUNTIF($E$2:E9412,"Gmail"),"")</f>
        <v/>
      </c>
      <c r="J9412">
        <f>IF(E9412="Outlook",COUNTIF($E$2:E9412,"Outlook"),"")</f>
        <v/>
      </c>
      <c r="K9412">
        <f>IF(E9412="Domain",COUNTIF($E$2:E9412,"Domain"),"")</f>
        <v/>
      </c>
    </row>
    <row r="9413">
      <c r="A9413" s="2" t="n"/>
      <c r="B9413">
        <f>LOWER(TRIM(A9413))</f>
        <v/>
      </c>
      <c r="C9413">
        <f>IF(B9413="","",IFERROR(INDEX('Bad Patterns'!$A$2:$A$120,MATCH(1,INDEX(--ISNUMBER(SEARCH('Bad Patterns'!$A$2:$A$120,B9413)),0),0)),""))</f>
        <v/>
      </c>
      <c r="D9413">
        <f>IF(B9413="","",IF(C9413&lt;&gt;"","REMOVE","KEEP"))</f>
        <v/>
      </c>
      <c r="E9413">
        <f>IF(D9413&lt;&gt;"KEEP","",IF(RIGHT(B9413,10)="@gmail.com","Gmail",IF(OR(RIGHT(B9413,12)="@outlook.com",RIGHT(B9413,12)="@hotmail.com",RIGHT(B9413,9)="@live.com"),"Outlook","Domain")))</f>
        <v/>
      </c>
      <c r="F9413">
        <f>IF(B9413="","",IFERROR(RIGHT(B9413,LEN(B9413)-FIND("@",B9413)),""))</f>
        <v/>
      </c>
      <c r="G9413">
        <f>IF(D9413="KEEP",COUNTIF($D$2:D9413,"KEEP"),"")</f>
        <v/>
      </c>
      <c r="H9413">
        <f>IF(D9413="REMOVE",COUNTIF($D$2:D9413,"REMOVE"),"")</f>
        <v/>
      </c>
      <c r="I9413">
        <f>IF(E9413="Gmail",COUNTIF($E$2:E9413,"Gmail"),"")</f>
        <v/>
      </c>
      <c r="J9413">
        <f>IF(E9413="Outlook",COUNTIF($E$2:E9413,"Outlook"),"")</f>
        <v/>
      </c>
      <c r="K9413">
        <f>IF(E9413="Domain",COUNTIF($E$2:E9413,"Domain"),"")</f>
        <v/>
      </c>
    </row>
    <row r="9414">
      <c r="A9414" s="2" t="n"/>
      <c r="B9414">
        <f>LOWER(TRIM(A9414))</f>
        <v/>
      </c>
      <c r="C9414">
        <f>IF(B9414="","",IFERROR(INDEX('Bad Patterns'!$A$2:$A$120,MATCH(1,INDEX(--ISNUMBER(SEARCH('Bad Patterns'!$A$2:$A$120,B9414)),0),0)),""))</f>
        <v/>
      </c>
      <c r="D9414">
        <f>IF(B9414="","",IF(C9414&lt;&gt;"","REMOVE","KEEP"))</f>
        <v/>
      </c>
      <c r="E9414">
        <f>IF(D9414&lt;&gt;"KEEP","",IF(RIGHT(B9414,10)="@gmail.com","Gmail",IF(OR(RIGHT(B9414,12)="@outlook.com",RIGHT(B9414,12)="@hotmail.com",RIGHT(B9414,9)="@live.com"),"Outlook","Domain")))</f>
        <v/>
      </c>
      <c r="F9414">
        <f>IF(B9414="","",IFERROR(RIGHT(B9414,LEN(B9414)-FIND("@",B9414)),""))</f>
        <v/>
      </c>
      <c r="G9414">
        <f>IF(D9414="KEEP",COUNTIF($D$2:D9414,"KEEP"),"")</f>
        <v/>
      </c>
      <c r="H9414">
        <f>IF(D9414="REMOVE",COUNTIF($D$2:D9414,"REMOVE"),"")</f>
        <v/>
      </c>
      <c r="I9414">
        <f>IF(E9414="Gmail",COUNTIF($E$2:E9414,"Gmail"),"")</f>
        <v/>
      </c>
      <c r="J9414">
        <f>IF(E9414="Outlook",COUNTIF($E$2:E9414,"Outlook"),"")</f>
        <v/>
      </c>
      <c r="K9414">
        <f>IF(E9414="Domain",COUNTIF($E$2:E9414,"Domain"),"")</f>
        <v/>
      </c>
    </row>
    <row r="9415">
      <c r="A9415" s="2" t="n"/>
      <c r="B9415">
        <f>LOWER(TRIM(A9415))</f>
        <v/>
      </c>
      <c r="C9415">
        <f>IF(B9415="","",IFERROR(INDEX('Bad Patterns'!$A$2:$A$120,MATCH(1,INDEX(--ISNUMBER(SEARCH('Bad Patterns'!$A$2:$A$120,B9415)),0),0)),""))</f>
        <v/>
      </c>
      <c r="D9415">
        <f>IF(B9415="","",IF(C9415&lt;&gt;"","REMOVE","KEEP"))</f>
        <v/>
      </c>
      <c r="E9415">
        <f>IF(D9415&lt;&gt;"KEEP","",IF(RIGHT(B9415,10)="@gmail.com","Gmail",IF(OR(RIGHT(B9415,12)="@outlook.com",RIGHT(B9415,12)="@hotmail.com",RIGHT(B9415,9)="@live.com"),"Outlook","Domain")))</f>
        <v/>
      </c>
      <c r="F9415">
        <f>IF(B9415="","",IFERROR(RIGHT(B9415,LEN(B9415)-FIND("@",B9415)),""))</f>
        <v/>
      </c>
      <c r="G9415">
        <f>IF(D9415="KEEP",COUNTIF($D$2:D9415,"KEEP"),"")</f>
        <v/>
      </c>
      <c r="H9415">
        <f>IF(D9415="REMOVE",COUNTIF($D$2:D9415,"REMOVE"),"")</f>
        <v/>
      </c>
      <c r="I9415">
        <f>IF(E9415="Gmail",COUNTIF($E$2:E9415,"Gmail"),"")</f>
        <v/>
      </c>
      <c r="J9415">
        <f>IF(E9415="Outlook",COUNTIF($E$2:E9415,"Outlook"),"")</f>
        <v/>
      </c>
      <c r="K9415">
        <f>IF(E9415="Domain",COUNTIF($E$2:E9415,"Domain"),"")</f>
        <v/>
      </c>
    </row>
    <row r="9416">
      <c r="A9416" s="2" t="n"/>
      <c r="B9416">
        <f>LOWER(TRIM(A9416))</f>
        <v/>
      </c>
      <c r="C9416">
        <f>IF(B9416="","",IFERROR(INDEX('Bad Patterns'!$A$2:$A$120,MATCH(1,INDEX(--ISNUMBER(SEARCH('Bad Patterns'!$A$2:$A$120,B9416)),0),0)),""))</f>
        <v/>
      </c>
      <c r="D9416">
        <f>IF(B9416="","",IF(C9416&lt;&gt;"","REMOVE","KEEP"))</f>
        <v/>
      </c>
      <c r="E9416">
        <f>IF(D9416&lt;&gt;"KEEP","",IF(RIGHT(B9416,10)="@gmail.com","Gmail",IF(OR(RIGHT(B9416,12)="@outlook.com",RIGHT(B9416,12)="@hotmail.com",RIGHT(B9416,9)="@live.com"),"Outlook","Domain")))</f>
        <v/>
      </c>
      <c r="F9416">
        <f>IF(B9416="","",IFERROR(RIGHT(B9416,LEN(B9416)-FIND("@",B9416)),""))</f>
        <v/>
      </c>
      <c r="G9416">
        <f>IF(D9416="KEEP",COUNTIF($D$2:D9416,"KEEP"),"")</f>
        <v/>
      </c>
      <c r="H9416">
        <f>IF(D9416="REMOVE",COUNTIF($D$2:D9416,"REMOVE"),"")</f>
        <v/>
      </c>
      <c r="I9416">
        <f>IF(E9416="Gmail",COUNTIF($E$2:E9416,"Gmail"),"")</f>
        <v/>
      </c>
      <c r="J9416">
        <f>IF(E9416="Outlook",COUNTIF($E$2:E9416,"Outlook"),"")</f>
        <v/>
      </c>
      <c r="K9416">
        <f>IF(E9416="Domain",COUNTIF($E$2:E9416,"Domain"),"")</f>
        <v/>
      </c>
    </row>
    <row r="9417">
      <c r="A9417" s="2" t="n"/>
      <c r="B9417">
        <f>LOWER(TRIM(A9417))</f>
        <v/>
      </c>
      <c r="C9417">
        <f>IF(B9417="","",IFERROR(INDEX('Bad Patterns'!$A$2:$A$120,MATCH(1,INDEX(--ISNUMBER(SEARCH('Bad Patterns'!$A$2:$A$120,B9417)),0),0)),""))</f>
        <v/>
      </c>
      <c r="D9417">
        <f>IF(B9417="","",IF(C9417&lt;&gt;"","REMOVE","KEEP"))</f>
        <v/>
      </c>
      <c r="E9417">
        <f>IF(D9417&lt;&gt;"KEEP","",IF(RIGHT(B9417,10)="@gmail.com","Gmail",IF(OR(RIGHT(B9417,12)="@outlook.com",RIGHT(B9417,12)="@hotmail.com",RIGHT(B9417,9)="@live.com"),"Outlook","Domain")))</f>
        <v/>
      </c>
      <c r="F9417">
        <f>IF(B9417="","",IFERROR(RIGHT(B9417,LEN(B9417)-FIND("@",B9417)),""))</f>
        <v/>
      </c>
      <c r="G9417">
        <f>IF(D9417="KEEP",COUNTIF($D$2:D9417,"KEEP"),"")</f>
        <v/>
      </c>
      <c r="H9417">
        <f>IF(D9417="REMOVE",COUNTIF($D$2:D9417,"REMOVE"),"")</f>
        <v/>
      </c>
      <c r="I9417">
        <f>IF(E9417="Gmail",COUNTIF($E$2:E9417,"Gmail"),"")</f>
        <v/>
      </c>
      <c r="J9417">
        <f>IF(E9417="Outlook",COUNTIF($E$2:E9417,"Outlook"),"")</f>
        <v/>
      </c>
      <c r="K9417">
        <f>IF(E9417="Domain",COUNTIF($E$2:E9417,"Domain"),"")</f>
        <v/>
      </c>
    </row>
    <row r="9418">
      <c r="A9418" s="2" t="n"/>
      <c r="B9418">
        <f>LOWER(TRIM(A9418))</f>
        <v/>
      </c>
      <c r="C9418">
        <f>IF(B9418="","",IFERROR(INDEX('Bad Patterns'!$A$2:$A$120,MATCH(1,INDEX(--ISNUMBER(SEARCH('Bad Patterns'!$A$2:$A$120,B9418)),0),0)),""))</f>
        <v/>
      </c>
      <c r="D9418">
        <f>IF(B9418="","",IF(C9418&lt;&gt;"","REMOVE","KEEP"))</f>
        <v/>
      </c>
      <c r="E9418">
        <f>IF(D9418&lt;&gt;"KEEP","",IF(RIGHT(B9418,10)="@gmail.com","Gmail",IF(OR(RIGHT(B9418,12)="@outlook.com",RIGHT(B9418,12)="@hotmail.com",RIGHT(B9418,9)="@live.com"),"Outlook","Domain")))</f>
        <v/>
      </c>
      <c r="F9418">
        <f>IF(B9418="","",IFERROR(RIGHT(B9418,LEN(B9418)-FIND("@",B9418)),""))</f>
        <v/>
      </c>
      <c r="G9418">
        <f>IF(D9418="KEEP",COUNTIF($D$2:D9418,"KEEP"),"")</f>
        <v/>
      </c>
      <c r="H9418">
        <f>IF(D9418="REMOVE",COUNTIF($D$2:D9418,"REMOVE"),"")</f>
        <v/>
      </c>
      <c r="I9418">
        <f>IF(E9418="Gmail",COUNTIF($E$2:E9418,"Gmail"),"")</f>
        <v/>
      </c>
      <c r="J9418">
        <f>IF(E9418="Outlook",COUNTIF($E$2:E9418,"Outlook"),"")</f>
        <v/>
      </c>
      <c r="K9418">
        <f>IF(E9418="Domain",COUNTIF($E$2:E9418,"Domain"),"")</f>
        <v/>
      </c>
    </row>
    <row r="9419">
      <c r="A9419" s="2" t="n"/>
      <c r="B9419">
        <f>LOWER(TRIM(A9419))</f>
        <v/>
      </c>
      <c r="C9419">
        <f>IF(B9419="","",IFERROR(INDEX('Bad Patterns'!$A$2:$A$120,MATCH(1,INDEX(--ISNUMBER(SEARCH('Bad Patterns'!$A$2:$A$120,B9419)),0),0)),""))</f>
        <v/>
      </c>
      <c r="D9419">
        <f>IF(B9419="","",IF(C9419&lt;&gt;"","REMOVE","KEEP"))</f>
        <v/>
      </c>
      <c r="E9419">
        <f>IF(D9419&lt;&gt;"KEEP","",IF(RIGHT(B9419,10)="@gmail.com","Gmail",IF(OR(RIGHT(B9419,12)="@outlook.com",RIGHT(B9419,12)="@hotmail.com",RIGHT(B9419,9)="@live.com"),"Outlook","Domain")))</f>
        <v/>
      </c>
      <c r="F9419">
        <f>IF(B9419="","",IFERROR(RIGHT(B9419,LEN(B9419)-FIND("@",B9419)),""))</f>
        <v/>
      </c>
      <c r="G9419">
        <f>IF(D9419="KEEP",COUNTIF($D$2:D9419,"KEEP"),"")</f>
        <v/>
      </c>
      <c r="H9419">
        <f>IF(D9419="REMOVE",COUNTIF($D$2:D9419,"REMOVE"),"")</f>
        <v/>
      </c>
      <c r="I9419">
        <f>IF(E9419="Gmail",COUNTIF($E$2:E9419,"Gmail"),"")</f>
        <v/>
      </c>
      <c r="J9419">
        <f>IF(E9419="Outlook",COUNTIF($E$2:E9419,"Outlook"),"")</f>
        <v/>
      </c>
      <c r="K9419">
        <f>IF(E9419="Domain",COUNTIF($E$2:E9419,"Domain"),"")</f>
        <v/>
      </c>
    </row>
    <row r="9420">
      <c r="A9420" s="2" t="n"/>
      <c r="B9420">
        <f>LOWER(TRIM(A9420))</f>
        <v/>
      </c>
      <c r="C9420">
        <f>IF(B9420="","",IFERROR(INDEX('Bad Patterns'!$A$2:$A$120,MATCH(1,INDEX(--ISNUMBER(SEARCH('Bad Patterns'!$A$2:$A$120,B9420)),0),0)),""))</f>
        <v/>
      </c>
      <c r="D9420">
        <f>IF(B9420="","",IF(C9420&lt;&gt;"","REMOVE","KEEP"))</f>
        <v/>
      </c>
      <c r="E9420">
        <f>IF(D9420&lt;&gt;"KEEP","",IF(RIGHT(B9420,10)="@gmail.com","Gmail",IF(OR(RIGHT(B9420,12)="@outlook.com",RIGHT(B9420,12)="@hotmail.com",RIGHT(B9420,9)="@live.com"),"Outlook","Domain")))</f>
        <v/>
      </c>
      <c r="F9420">
        <f>IF(B9420="","",IFERROR(RIGHT(B9420,LEN(B9420)-FIND("@",B9420)),""))</f>
        <v/>
      </c>
      <c r="G9420">
        <f>IF(D9420="KEEP",COUNTIF($D$2:D9420,"KEEP"),"")</f>
        <v/>
      </c>
      <c r="H9420">
        <f>IF(D9420="REMOVE",COUNTIF($D$2:D9420,"REMOVE"),"")</f>
        <v/>
      </c>
      <c r="I9420">
        <f>IF(E9420="Gmail",COUNTIF($E$2:E9420,"Gmail"),"")</f>
        <v/>
      </c>
      <c r="J9420">
        <f>IF(E9420="Outlook",COUNTIF($E$2:E9420,"Outlook"),"")</f>
        <v/>
      </c>
      <c r="K9420">
        <f>IF(E9420="Domain",COUNTIF($E$2:E9420,"Domain"),"")</f>
        <v/>
      </c>
    </row>
    <row r="9421">
      <c r="A9421" s="2" t="n"/>
      <c r="B9421">
        <f>LOWER(TRIM(A9421))</f>
        <v/>
      </c>
      <c r="C9421">
        <f>IF(B9421="","",IFERROR(INDEX('Bad Patterns'!$A$2:$A$120,MATCH(1,INDEX(--ISNUMBER(SEARCH('Bad Patterns'!$A$2:$A$120,B9421)),0),0)),""))</f>
        <v/>
      </c>
      <c r="D9421">
        <f>IF(B9421="","",IF(C9421&lt;&gt;"","REMOVE","KEEP"))</f>
        <v/>
      </c>
      <c r="E9421">
        <f>IF(D9421&lt;&gt;"KEEP","",IF(RIGHT(B9421,10)="@gmail.com","Gmail",IF(OR(RIGHT(B9421,12)="@outlook.com",RIGHT(B9421,12)="@hotmail.com",RIGHT(B9421,9)="@live.com"),"Outlook","Domain")))</f>
        <v/>
      </c>
      <c r="F9421">
        <f>IF(B9421="","",IFERROR(RIGHT(B9421,LEN(B9421)-FIND("@",B9421)),""))</f>
        <v/>
      </c>
      <c r="G9421">
        <f>IF(D9421="KEEP",COUNTIF($D$2:D9421,"KEEP"),"")</f>
        <v/>
      </c>
      <c r="H9421">
        <f>IF(D9421="REMOVE",COUNTIF($D$2:D9421,"REMOVE"),"")</f>
        <v/>
      </c>
      <c r="I9421">
        <f>IF(E9421="Gmail",COUNTIF($E$2:E9421,"Gmail"),"")</f>
        <v/>
      </c>
      <c r="J9421">
        <f>IF(E9421="Outlook",COUNTIF($E$2:E9421,"Outlook"),"")</f>
        <v/>
      </c>
      <c r="K9421">
        <f>IF(E9421="Domain",COUNTIF($E$2:E9421,"Domain"),"")</f>
        <v/>
      </c>
    </row>
    <row r="9422">
      <c r="A9422" s="2" t="n"/>
      <c r="B9422">
        <f>LOWER(TRIM(A9422))</f>
        <v/>
      </c>
      <c r="C9422">
        <f>IF(B9422="","",IFERROR(INDEX('Bad Patterns'!$A$2:$A$120,MATCH(1,INDEX(--ISNUMBER(SEARCH('Bad Patterns'!$A$2:$A$120,B9422)),0),0)),""))</f>
        <v/>
      </c>
      <c r="D9422">
        <f>IF(B9422="","",IF(C9422&lt;&gt;"","REMOVE","KEEP"))</f>
        <v/>
      </c>
      <c r="E9422">
        <f>IF(D9422&lt;&gt;"KEEP","",IF(RIGHT(B9422,10)="@gmail.com","Gmail",IF(OR(RIGHT(B9422,12)="@outlook.com",RIGHT(B9422,12)="@hotmail.com",RIGHT(B9422,9)="@live.com"),"Outlook","Domain")))</f>
        <v/>
      </c>
      <c r="F9422">
        <f>IF(B9422="","",IFERROR(RIGHT(B9422,LEN(B9422)-FIND("@",B9422)),""))</f>
        <v/>
      </c>
      <c r="G9422">
        <f>IF(D9422="KEEP",COUNTIF($D$2:D9422,"KEEP"),"")</f>
        <v/>
      </c>
      <c r="H9422">
        <f>IF(D9422="REMOVE",COUNTIF($D$2:D9422,"REMOVE"),"")</f>
        <v/>
      </c>
      <c r="I9422">
        <f>IF(E9422="Gmail",COUNTIF($E$2:E9422,"Gmail"),"")</f>
        <v/>
      </c>
      <c r="J9422">
        <f>IF(E9422="Outlook",COUNTIF($E$2:E9422,"Outlook"),"")</f>
        <v/>
      </c>
      <c r="K9422">
        <f>IF(E9422="Domain",COUNTIF($E$2:E9422,"Domain"),"")</f>
        <v/>
      </c>
    </row>
    <row r="9423">
      <c r="A9423" s="2" t="n"/>
      <c r="B9423">
        <f>LOWER(TRIM(A9423))</f>
        <v/>
      </c>
      <c r="C9423">
        <f>IF(B9423="","",IFERROR(INDEX('Bad Patterns'!$A$2:$A$120,MATCH(1,INDEX(--ISNUMBER(SEARCH('Bad Patterns'!$A$2:$A$120,B9423)),0),0)),""))</f>
        <v/>
      </c>
      <c r="D9423">
        <f>IF(B9423="","",IF(C9423&lt;&gt;"","REMOVE","KEEP"))</f>
        <v/>
      </c>
      <c r="E9423">
        <f>IF(D9423&lt;&gt;"KEEP","",IF(RIGHT(B9423,10)="@gmail.com","Gmail",IF(OR(RIGHT(B9423,12)="@outlook.com",RIGHT(B9423,12)="@hotmail.com",RIGHT(B9423,9)="@live.com"),"Outlook","Domain")))</f>
        <v/>
      </c>
      <c r="F9423">
        <f>IF(B9423="","",IFERROR(RIGHT(B9423,LEN(B9423)-FIND("@",B9423)),""))</f>
        <v/>
      </c>
      <c r="G9423">
        <f>IF(D9423="KEEP",COUNTIF($D$2:D9423,"KEEP"),"")</f>
        <v/>
      </c>
      <c r="H9423">
        <f>IF(D9423="REMOVE",COUNTIF($D$2:D9423,"REMOVE"),"")</f>
        <v/>
      </c>
      <c r="I9423">
        <f>IF(E9423="Gmail",COUNTIF($E$2:E9423,"Gmail"),"")</f>
        <v/>
      </c>
      <c r="J9423">
        <f>IF(E9423="Outlook",COUNTIF($E$2:E9423,"Outlook"),"")</f>
        <v/>
      </c>
      <c r="K9423">
        <f>IF(E9423="Domain",COUNTIF($E$2:E9423,"Domain"),"")</f>
        <v/>
      </c>
    </row>
    <row r="9424">
      <c r="A9424" s="2" t="n"/>
      <c r="B9424">
        <f>LOWER(TRIM(A9424))</f>
        <v/>
      </c>
      <c r="C9424">
        <f>IF(B9424="","",IFERROR(INDEX('Bad Patterns'!$A$2:$A$120,MATCH(1,INDEX(--ISNUMBER(SEARCH('Bad Patterns'!$A$2:$A$120,B9424)),0),0)),""))</f>
        <v/>
      </c>
      <c r="D9424">
        <f>IF(B9424="","",IF(C9424&lt;&gt;"","REMOVE","KEEP"))</f>
        <v/>
      </c>
      <c r="E9424">
        <f>IF(D9424&lt;&gt;"KEEP","",IF(RIGHT(B9424,10)="@gmail.com","Gmail",IF(OR(RIGHT(B9424,12)="@outlook.com",RIGHT(B9424,12)="@hotmail.com",RIGHT(B9424,9)="@live.com"),"Outlook","Domain")))</f>
        <v/>
      </c>
      <c r="F9424">
        <f>IF(B9424="","",IFERROR(RIGHT(B9424,LEN(B9424)-FIND("@",B9424)),""))</f>
        <v/>
      </c>
      <c r="G9424">
        <f>IF(D9424="KEEP",COUNTIF($D$2:D9424,"KEEP"),"")</f>
        <v/>
      </c>
      <c r="H9424">
        <f>IF(D9424="REMOVE",COUNTIF($D$2:D9424,"REMOVE"),"")</f>
        <v/>
      </c>
      <c r="I9424">
        <f>IF(E9424="Gmail",COUNTIF($E$2:E9424,"Gmail"),"")</f>
        <v/>
      </c>
      <c r="J9424">
        <f>IF(E9424="Outlook",COUNTIF($E$2:E9424,"Outlook"),"")</f>
        <v/>
      </c>
      <c r="K9424">
        <f>IF(E9424="Domain",COUNTIF($E$2:E9424,"Domain"),"")</f>
        <v/>
      </c>
    </row>
    <row r="9425">
      <c r="A9425" s="2" t="n"/>
      <c r="B9425">
        <f>LOWER(TRIM(A9425))</f>
        <v/>
      </c>
      <c r="C9425">
        <f>IF(B9425="","",IFERROR(INDEX('Bad Patterns'!$A$2:$A$120,MATCH(1,INDEX(--ISNUMBER(SEARCH('Bad Patterns'!$A$2:$A$120,B9425)),0),0)),""))</f>
        <v/>
      </c>
      <c r="D9425">
        <f>IF(B9425="","",IF(C9425&lt;&gt;"","REMOVE","KEEP"))</f>
        <v/>
      </c>
      <c r="E9425">
        <f>IF(D9425&lt;&gt;"KEEP","",IF(RIGHT(B9425,10)="@gmail.com","Gmail",IF(OR(RIGHT(B9425,12)="@outlook.com",RIGHT(B9425,12)="@hotmail.com",RIGHT(B9425,9)="@live.com"),"Outlook","Domain")))</f>
        <v/>
      </c>
      <c r="F9425">
        <f>IF(B9425="","",IFERROR(RIGHT(B9425,LEN(B9425)-FIND("@",B9425)),""))</f>
        <v/>
      </c>
      <c r="G9425">
        <f>IF(D9425="KEEP",COUNTIF($D$2:D9425,"KEEP"),"")</f>
        <v/>
      </c>
      <c r="H9425">
        <f>IF(D9425="REMOVE",COUNTIF($D$2:D9425,"REMOVE"),"")</f>
        <v/>
      </c>
      <c r="I9425">
        <f>IF(E9425="Gmail",COUNTIF($E$2:E9425,"Gmail"),"")</f>
        <v/>
      </c>
      <c r="J9425">
        <f>IF(E9425="Outlook",COUNTIF($E$2:E9425,"Outlook"),"")</f>
        <v/>
      </c>
      <c r="K9425">
        <f>IF(E9425="Domain",COUNTIF($E$2:E9425,"Domain"),"")</f>
        <v/>
      </c>
    </row>
    <row r="9426">
      <c r="A9426" s="2" t="n"/>
      <c r="B9426">
        <f>LOWER(TRIM(A9426))</f>
        <v/>
      </c>
      <c r="C9426">
        <f>IF(B9426="","",IFERROR(INDEX('Bad Patterns'!$A$2:$A$120,MATCH(1,INDEX(--ISNUMBER(SEARCH('Bad Patterns'!$A$2:$A$120,B9426)),0),0)),""))</f>
        <v/>
      </c>
      <c r="D9426">
        <f>IF(B9426="","",IF(C9426&lt;&gt;"","REMOVE","KEEP"))</f>
        <v/>
      </c>
      <c r="E9426">
        <f>IF(D9426&lt;&gt;"KEEP","",IF(RIGHT(B9426,10)="@gmail.com","Gmail",IF(OR(RIGHT(B9426,12)="@outlook.com",RIGHT(B9426,12)="@hotmail.com",RIGHT(B9426,9)="@live.com"),"Outlook","Domain")))</f>
        <v/>
      </c>
      <c r="F9426">
        <f>IF(B9426="","",IFERROR(RIGHT(B9426,LEN(B9426)-FIND("@",B9426)),""))</f>
        <v/>
      </c>
      <c r="G9426">
        <f>IF(D9426="KEEP",COUNTIF($D$2:D9426,"KEEP"),"")</f>
        <v/>
      </c>
      <c r="H9426">
        <f>IF(D9426="REMOVE",COUNTIF($D$2:D9426,"REMOVE"),"")</f>
        <v/>
      </c>
      <c r="I9426">
        <f>IF(E9426="Gmail",COUNTIF($E$2:E9426,"Gmail"),"")</f>
        <v/>
      </c>
      <c r="J9426">
        <f>IF(E9426="Outlook",COUNTIF($E$2:E9426,"Outlook"),"")</f>
        <v/>
      </c>
      <c r="K9426">
        <f>IF(E9426="Domain",COUNTIF($E$2:E9426,"Domain"),"")</f>
        <v/>
      </c>
    </row>
    <row r="9427">
      <c r="A9427" s="2" t="n"/>
      <c r="B9427">
        <f>LOWER(TRIM(A9427))</f>
        <v/>
      </c>
      <c r="C9427">
        <f>IF(B9427="","",IFERROR(INDEX('Bad Patterns'!$A$2:$A$120,MATCH(1,INDEX(--ISNUMBER(SEARCH('Bad Patterns'!$A$2:$A$120,B9427)),0),0)),""))</f>
        <v/>
      </c>
      <c r="D9427">
        <f>IF(B9427="","",IF(C9427&lt;&gt;"","REMOVE","KEEP"))</f>
        <v/>
      </c>
      <c r="E9427">
        <f>IF(D9427&lt;&gt;"KEEP","",IF(RIGHT(B9427,10)="@gmail.com","Gmail",IF(OR(RIGHT(B9427,12)="@outlook.com",RIGHT(B9427,12)="@hotmail.com",RIGHT(B9427,9)="@live.com"),"Outlook","Domain")))</f>
        <v/>
      </c>
      <c r="F9427">
        <f>IF(B9427="","",IFERROR(RIGHT(B9427,LEN(B9427)-FIND("@",B9427)),""))</f>
        <v/>
      </c>
      <c r="G9427">
        <f>IF(D9427="KEEP",COUNTIF($D$2:D9427,"KEEP"),"")</f>
        <v/>
      </c>
      <c r="H9427">
        <f>IF(D9427="REMOVE",COUNTIF($D$2:D9427,"REMOVE"),"")</f>
        <v/>
      </c>
      <c r="I9427">
        <f>IF(E9427="Gmail",COUNTIF($E$2:E9427,"Gmail"),"")</f>
        <v/>
      </c>
      <c r="J9427">
        <f>IF(E9427="Outlook",COUNTIF($E$2:E9427,"Outlook"),"")</f>
        <v/>
      </c>
      <c r="K9427">
        <f>IF(E9427="Domain",COUNTIF($E$2:E9427,"Domain"),"")</f>
        <v/>
      </c>
    </row>
    <row r="9428">
      <c r="A9428" s="2" t="n"/>
      <c r="B9428">
        <f>LOWER(TRIM(A9428))</f>
        <v/>
      </c>
      <c r="C9428">
        <f>IF(B9428="","",IFERROR(INDEX('Bad Patterns'!$A$2:$A$120,MATCH(1,INDEX(--ISNUMBER(SEARCH('Bad Patterns'!$A$2:$A$120,B9428)),0),0)),""))</f>
        <v/>
      </c>
      <c r="D9428">
        <f>IF(B9428="","",IF(C9428&lt;&gt;"","REMOVE","KEEP"))</f>
        <v/>
      </c>
      <c r="E9428">
        <f>IF(D9428&lt;&gt;"KEEP","",IF(RIGHT(B9428,10)="@gmail.com","Gmail",IF(OR(RIGHT(B9428,12)="@outlook.com",RIGHT(B9428,12)="@hotmail.com",RIGHT(B9428,9)="@live.com"),"Outlook","Domain")))</f>
        <v/>
      </c>
      <c r="F9428">
        <f>IF(B9428="","",IFERROR(RIGHT(B9428,LEN(B9428)-FIND("@",B9428)),""))</f>
        <v/>
      </c>
      <c r="G9428">
        <f>IF(D9428="KEEP",COUNTIF($D$2:D9428,"KEEP"),"")</f>
        <v/>
      </c>
      <c r="H9428">
        <f>IF(D9428="REMOVE",COUNTIF($D$2:D9428,"REMOVE"),"")</f>
        <v/>
      </c>
      <c r="I9428">
        <f>IF(E9428="Gmail",COUNTIF($E$2:E9428,"Gmail"),"")</f>
        <v/>
      </c>
      <c r="J9428">
        <f>IF(E9428="Outlook",COUNTIF($E$2:E9428,"Outlook"),"")</f>
        <v/>
      </c>
      <c r="K9428">
        <f>IF(E9428="Domain",COUNTIF($E$2:E9428,"Domain"),"")</f>
        <v/>
      </c>
    </row>
    <row r="9429">
      <c r="A9429" s="2" t="n"/>
      <c r="B9429">
        <f>LOWER(TRIM(A9429))</f>
        <v/>
      </c>
      <c r="C9429">
        <f>IF(B9429="","",IFERROR(INDEX('Bad Patterns'!$A$2:$A$120,MATCH(1,INDEX(--ISNUMBER(SEARCH('Bad Patterns'!$A$2:$A$120,B9429)),0),0)),""))</f>
        <v/>
      </c>
      <c r="D9429">
        <f>IF(B9429="","",IF(C9429&lt;&gt;"","REMOVE","KEEP"))</f>
        <v/>
      </c>
      <c r="E9429">
        <f>IF(D9429&lt;&gt;"KEEP","",IF(RIGHT(B9429,10)="@gmail.com","Gmail",IF(OR(RIGHT(B9429,12)="@outlook.com",RIGHT(B9429,12)="@hotmail.com",RIGHT(B9429,9)="@live.com"),"Outlook","Domain")))</f>
        <v/>
      </c>
      <c r="F9429">
        <f>IF(B9429="","",IFERROR(RIGHT(B9429,LEN(B9429)-FIND("@",B9429)),""))</f>
        <v/>
      </c>
      <c r="G9429">
        <f>IF(D9429="KEEP",COUNTIF($D$2:D9429,"KEEP"),"")</f>
        <v/>
      </c>
      <c r="H9429">
        <f>IF(D9429="REMOVE",COUNTIF($D$2:D9429,"REMOVE"),"")</f>
        <v/>
      </c>
      <c r="I9429">
        <f>IF(E9429="Gmail",COUNTIF($E$2:E9429,"Gmail"),"")</f>
        <v/>
      </c>
      <c r="J9429">
        <f>IF(E9429="Outlook",COUNTIF($E$2:E9429,"Outlook"),"")</f>
        <v/>
      </c>
      <c r="K9429">
        <f>IF(E9429="Domain",COUNTIF($E$2:E9429,"Domain"),"")</f>
        <v/>
      </c>
    </row>
    <row r="9430">
      <c r="A9430" s="2" t="n"/>
      <c r="B9430">
        <f>LOWER(TRIM(A9430))</f>
        <v/>
      </c>
      <c r="C9430">
        <f>IF(B9430="","",IFERROR(INDEX('Bad Patterns'!$A$2:$A$120,MATCH(1,INDEX(--ISNUMBER(SEARCH('Bad Patterns'!$A$2:$A$120,B9430)),0),0)),""))</f>
        <v/>
      </c>
      <c r="D9430">
        <f>IF(B9430="","",IF(C9430&lt;&gt;"","REMOVE","KEEP"))</f>
        <v/>
      </c>
      <c r="E9430">
        <f>IF(D9430&lt;&gt;"KEEP","",IF(RIGHT(B9430,10)="@gmail.com","Gmail",IF(OR(RIGHT(B9430,12)="@outlook.com",RIGHT(B9430,12)="@hotmail.com",RIGHT(B9430,9)="@live.com"),"Outlook","Domain")))</f>
        <v/>
      </c>
      <c r="F9430">
        <f>IF(B9430="","",IFERROR(RIGHT(B9430,LEN(B9430)-FIND("@",B9430)),""))</f>
        <v/>
      </c>
      <c r="G9430">
        <f>IF(D9430="KEEP",COUNTIF($D$2:D9430,"KEEP"),"")</f>
        <v/>
      </c>
      <c r="H9430">
        <f>IF(D9430="REMOVE",COUNTIF($D$2:D9430,"REMOVE"),"")</f>
        <v/>
      </c>
      <c r="I9430">
        <f>IF(E9430="Gmail",COUNTIF($E$2:E9430,"Gmail"),"")</f>
        <v/>
      </c>
      <c r="J9430">
        <f>IF(E9430="Outlook",COUNTIF($E$2:E9430,"Outlook"),"")</f>
        <v/>
      </c>
      <c r="K9430">
        <f>IF(E9430="Domain",COUNTIF($E$2:E9430,"Domain"),"")</f>
        <v/>
      </c>
    </row>
    <row r="9431">
      <c r="A9431" s="2" t="n"/>
      <c r="B9431">
        <f>LOWER(TRIM(A9431))</f>
        <v/>
      </c>
      <c r="C9431">
        <f>IF(B9431="","",IFERROR(INDEX('Bad Patterns'!$A$2:$A$120,MATCH(1,INDEX(--ISNUMBER(SEARCH('Bad Patterns'!$A$2:$A$120,B9431)),0),0)),""))</f>
        <v/>
      </c>
      <c r="D9431">
        <f>IF(B9431="","",IF(C9431&lt;&gt;"","REMOVE","KEEP"))</f>
        <v/>
      </c>
      <c r="E9431">
        <f>IF(D9431&lt;&gt;"KEEP","",IF(RIGHT(B9431,10)="@gmail.com","Gmail",IF(OR(RIGHT(B9431,12)="@outlook.com",RIGHT(B9431,12)="@hotmail.com",RIGHT(B9431,9)="@live.com"),"Outlook","Domain")))</f>
        <v/>
      </c>
      <c r="F9431">
        <f>IF(B9431="","",IFERROR(RIGHT(B9431,LEN(B9431)-FIND("@",B9431)),""))</f>
        <v/>
      </c>
      <c r="G9431">
        <f>IF(D9431="KEEP",COUNTIF($D$2:D9431,"KEEP"),"")</f>
        <v/>
      </c>
      <c r="H9431">
        <f>IF(D9431="REMOVE",COUNTIF($D$2:D9431,"REMOVE"),"")</f>
        <v/>
      </c>
      <c r="I9431">
        <f>IF(E9431="Gmail",COUNTIF($E$2:E9431,"Gmail"),"")</f>
        <v/>
      </c>
      <c r="J9431">
        <f>IF(E9431="Outlook",COUNTIF($E$2:E9431,"Outlook"),"")</f>
        <v/>
      </c>
      <c r="K9431">
        <f>IF(E9431="Domain",COUNTIF($E$2:E9431,"Domain"),"")</f>
        <v/>
      </c>
    </row>
    <row r="9432">
      <c r="A9432" s="2" t="n"/>
      <c r="B9432">
        <f>LOWER(TRIM(A9432))</f>
        <v/>
      </c>
      <c r="C9432">
        <f>IF(B9432="","",IFERROR(INDEX('Bad Patterns'!$A$2:$A$120,MATCH(1,INDEX(--ISNUMBER(SEARCH('Bad Patterns'!$A$2:$A$120,B9432)),0),0)),""))</f>
        <v/>
      </c>
      <c r="D9432">
        <f>IF(B9432="","",IF(C9432&lt;&gt;"","REMOVE","KEEP"))</f>
        <v/>
      </c>
      <c r="E9432">
        <f>IF(D9432&lt;&gt;"KEEP","",IF(RIGHT(B9432,10)="@gmail.com","Gmail",IF(OR(RIGHT(B9432,12)="@outlook.com",RIGHT(B9432,12)="@hotmail.com",RIGHT(B9432,9)="@live.com"),"Outlook","Domain")))</f>
        <v/>
      </c>
      <c r="F9432">
        <f>IF(B9432="","",IFERROR(RIGHT(B9432,LEN(B9432)-FIND("@",B9432)),""))</f>
        <v/>
      </c>
      <c r="G9432">
        <f>IF(D9432="KEEP",COUNTIF($D$2:D9432,"KEEP"),"")</f>
        <v/>
      </c>
      <c r="H9432">
        <f>IF(D9432="REMOVE",COUNTIF($D$2:D9432,"REMOVE"),"")</f>
        <v/>
      </c>
      <c r="I9432">
        <f>IF(E9432="Gmail",COUNTIF($E$2:E9432,"Gmail"),"")</f>
        <v/>
      </c>
      <c r="J9432">
        <f>IF(E9432="Outlook",COUNTIF($E$2:E9432,"Outlook"),"")</f>
        <v/>
      </c>
      <c r="K9432">
        <f>IF(E9432="Domain",COUNTIF($E$2:E9432,"Domain"),"")</f>
        <v/>
      </c>
    </row>
    <row r="9433">
      <c r="A9433" s="2" t="n"/>
      <c r="B9433">
        <f>LOWER(TRIM(A9433))</f>
        <v/>
      </c>
      <c r="C9433">
        <f>IF(B9433="","",IFERROR(INDEX('Bad Patterns'!$A$2:$A$120,MATCH(1,INDEX(--ISNUMBER(SEARCH('Bad Patterns'!$A$2:$A$120,B9433)),0),0)),""))</f>
        <v/>
      </c>
      <c r="D9433">
        <f>IF(B9433="","",IF(C9433&lt;&gt;"","REMOVE","KEEP"))</f>
        <v/>
      </c>
      <c r="E9433">
        <f>IF(D9433&lt;&gt;"KEEP","",IF(RIGHT(B9433,10)="@gmail.com","Gmail",IF(OR(RIGHT(B9433,12)="@outlook.com",RIGHT(B9433,12)="@hotmail.com",RIGHT(B9433,9)="@live.com"),"Outlook","Domain")))</f>
        <v/>
      </c>
      <c r="F9433">
        <f>IF(B9433="","",IFERROR(RIGHT(B9433,LEN(B9433)-FIND("@",B9433)),""))</f>
        <v/>
      </c>
      <c r="G9433">
        <f>IF(D9433="KEEP",COUNTIF($D$2:D9433,"KEEP"),"")</f>
        <v/>
      </c>
      <c r="H9433">
        <f>IF(D9433="REMOVE",COUNTIF($D$2:D9433,"REMOVE"),"")</f>
        <v/>
      </c>
      <c r="I9433">
        <f>IF(E9433="Gmail",COUNTIF($E$2:E9433,"Gmail"),"")</f>
        <v/>
      </c>
      <c r="J9433">
        <f>IF(E9433="Outlook",COUNTIF($E$2:E9433,"Outlook"),"")</f>
        <v/>
      </c>
      <c r="K9433">
        <f>IF(E9433="Domain",COUNTIF($E$2:E9433,"Domain"),"")</f>
        <v/>
      </c>
    </row>
    <row r="9434">
      <c r="A9434" s="2" t="n"/>
      <c r="B9434">
        <f>LOWER(TRIM(A9434))</f>
        <v/>
      </c>
      <c r="C9434">
        <f>IF(B9434="","",IFERROR(INDEX('Bad Patterns'!$A$2:$A$120,MATCH(1,INDEX(--ISNUMBER(SEARCH('Bad Patterns'!$A$2:$A$120,B9434)),0),0)),""))</f>
        <v/>
      </c>
      <c r="D9434">
        <f>IF(B9434="","",IF(C9434&lt;&gt;"","REMOVE","KEEP"))</f>
        <v/>
      </c>
      <c r="E9434">
        <f>IF(D9434&lt;&gt;"KEEP","",IF(RIGHT(B9434,10)="@gmail.com","Gmail",IF(OR(RIGHT(B9434,12)="@outlook.com",RIGHT(B9434,12)="@hotmail.com",RIGHT(B9434,9)="@live.com"),"Outlook","Domain")))</f>
        <v/>
      </c>
      <c r="F9434">
        <f>IF(B9434="","",IFERROR(RIGHT(B9434,LEN(B9434)-FIND("@",B9434)),""))</f>
        <v/>
      </c>
      <c r="G9434">
        <f>IF(D9434="KEEP",COUNTIF($D$2:D9434,"KEEP"),"")</f>
        <v/>
      </c>
      <c r="H9434">
        <f>IF(D9434="REMOVE",COUNTIF($D$2:D9434,"REMOVE"),"")</f>
        <v/>
      </c>
      <c r="I9434">
        <f>IF(E9434="Gmail",COUNTIF($E$2:E9434,"Gmail"),"")</f>
        <v/>
      </c>
      <c r="J9434">
        <f>IF(E9434="Outlook",COUNTIF($E$2:E9434,"Outlook"),"")</f>
        <v/>
      </c>
      <c r="K9434">
        <f>IF(E9434="Domain",COUNTIF($E$2:E9434,"Domain"),"")</f>
        <v/>
      </c>
    </row>
    <row r="9435">
      <c r="A9435" s="2" t="n"/>
      <c r="B9435">
        <f>LOWER(TRIM(A9435))</f>
        <v/>
      </c>
      <c r="C9435">
        <f>IF(B9435="","",IFERROR(INDEX('Bad Patterns'!$A$2:$A$120,MATCH(1,INDEX(--ISNUMBER(SEARCH('Bad Patterns'!$A$2:$A$120,B9435)),0),0)),""))</f>
        <v/>
      </c>
      <c r="D9435">
        <f>IF(B9435="","",IF(C9435&lt;&gt;"","REMOVE","KEEP"))</f>
        <v/>
      </c>
      <c r="E9435">
        <f>IF(D9435&lt;&gt;"KEEP","",IF(RIGHT(B9435,10)="@gmail.com","Gmail",IF(OR(RIGHT(B9435,12)="@outlook.com",RIGHT(B9435,12)="@hotmail.com",RIGHT(B9435,9)="@live.com"),"Outlook","Domain")))</f>
        <v/>
      </c>
      <c r="F9435">
        <f>IF(B9435="","",IFERROR(RIGHT(B9435,LEN(B9435)-FIND("@",B9435)),""))</f>
        <v/>
      </c>
      <c r="G9435">
        <f>IF(D9435="KEEP",COUNTIF($D$2:D9435,"KEEP"),"")</f>
        <v/>
      </c>
      <c r="H9435">
        <f>IF(D9435="REMOVE",COUNTIF($D$2:D9435,"REMOVE"),"")</f>
        <v/>
      </c>
      <c r="I9435">
        <f>IF(E9435="Gmail",COUNTIF($E$2:E9435,"Gmail"),"")</f>
        <v/>
      </c>
      <c r="J9435">
        <f>IF(E9435="Outlook",COUNTIF($E$2:E9435,"Outlook"),"")</f>
        <v/>
      </c>
      <c r="K9435">
        <f>IF(E9435="Domain",COUNTIF($E$2:E9435,"Domain"),"")</f>
        <v/>
      </c>
    </row>
    <row r="9436">
      <c r="A9436" s="2" t="n"/>
      <c r="B9436">
        <f>LOWER(TRIM(A9436))</f>
        <v/>
      </c>
      <c r="C9436">
        <f>IF(B9436="","",IFERROR(INDEX('Bad Patterns'!$A$2:$A$120,MATCH(1,INDEX(--ISNUMBER(SEARCH('Bad Patterns'!$A$2:$A$120,B9436)),0),0)),""))</f>
        <v/>
      </c>
      <c r="D9436">
        <f>IF(B9436="","",IF(C9436&lt;&gt;"","REMOVE","KEEP"))</f>
        <v/>
      </c>
      <c r="E9436">
        <f>IF(D9436&lt;&gt;"KEEP","",IF(RIGHT(B9436,10)="@gmail.com","Gmail",IF(OR(RIGHT(B9436,12)="@outlook.com",RIGHT(B9436,12)="@hotmail.com",RIGHT(B9436,9)="@live.com"),"Outlook","Domain")))</f>
        <v/>
      </c>
      <c r="F9436">
        <f>IF(B9436="","",IFERROR(RIGHT(B9436,LEN(B9436)-FIND("@",B9436)),""))</f>
        <v/>
      </c>
      <c r="G9436">
        <f>IF(D9436="KEEP",COUNTIF($D$2:D9436,"KEEP"),"")</f>
        <v/>
      </c>
      <c r="H9436">
        <f>IF(D9436="REMOVE",COUNTIF($D$2:D9436,"REMOVE"),"")</f>
        <v/>
      </c>
      <c r="I9436">
        <f>IF(E9436="Gmail",COUNTIF($E$2:E9436,"Gmail"),"")</f>
        <v/>
      </c>
      <c r="J9436">
        <f>IF(E9436="Outlook",COUNTIF($E$2:E9436,"Outlook"),"")</f>
        <v/>
      </c>
      <c r="K9436">
        <f>IF(E9436="Domain",COUNTIF($E$2:E9436,"Domain"),"")</f>
        <v/>
      </c>
    </row>
    <row r="9437">
      <c r="A9437" s="2" t="n"/>
      <c r="B9437">
        <f>LOWER(TRIM(A9437))</f>
        <v/>
      </c>
      <c r="C9437">
        <f>IF(B9437="","",IFERROR(INDEX('Bad Patterns'!$A$2:$A$120,MATCH(1,INDEX(--ISNUMBER(SEARCH('Bad Patterns'!$A$2:$A$120,B9437)),0),0)),""))</f>
        <v/>
      </c>
      <c r="D9437">
        <f>IF(B9437="","",IF(C9437&lt;&gt;"","REMOVE","KEEP"))</f>
        <v/>
      </c>
      <c r="E9437">
        <f>IF(D9437&lt;&gt;"KEEP","",IF(RIGHT(B9437,10)="@gmail.com","Gmail",IF(OR(RIGHT(B9437,12)="@outlook.com",RIGHT(B9437,12)="@hotmail.com",RIGHT(B9437,9)="@live.com"),"Outlook","Domain")))</f>
        <v/>
      </c>
      <c r="F9437">
        <f>IF(B9437="","",IFERROR(RIGHT(B9437,LEN(B9437)-FIND("@",B9437)),""))</f>
        <v/>
      </c>
      <c r="G9437">
        <f>IF(D9437="KEEP",COUNTIF($D$2:D9437,"KEEP"),"")</f>
        <v/>
      </c>
      <c r="H9437">
        <f>IF(D9437="REMOVE",COUNTIF($D$2:D9437,"REMOVE"),"")</f>
        <v/>
      </c>
      <c r="I9437">
        <f>IF(E9437="Gmail",COUNTIF($E$2:E9437,"Gmail"),"")</f>
        <v/>
      </c>
      <c r="J9437">
        <f>IF(E9437="Outlook",COUNTIF($E$2:E9437,"Outlook"),"")</f>
        <v/>
      </c>
      <c r="K9437">
        <f>IF(E9437="Domain",COUNTIF($E$2:E9437,"Domain"),"")</f>
        <v/>
      </c>
    </row>
    <row r="9438">
      <c r="A9438" s="2" t="n"/>
      <c r="B9438">
        <f>LOWER(TRIM(A9438))</f>
        <v/>
      </c>
      <c r="C9438">
        <f>IF(B9438="","",IFERROR(INDEX('Bad Patterns'!$A$2:$A$120,MATCH(1,INDEX(--ISNUMBER(SEARCH('Bad Patterns'!$A$2:$A$120,B9438)),0),0)),""))</f>
        <v/>
      </c>
      <c r="D9438">
        <f>IF(B9438="","",IF(C9438&lt;&gt;"","REMOVE","KEEP"))</f>
        <v/>
      </c>
      <c r="E9438">
        <f>IF(D9438&lt;&gt;"KEEP","",IF(RIGHT(B9438,10)="@gmail.com","Gmail",IF(OR(RIGHT(B9438,12)="@outlook.com",RIGHT(B9438,12)="@hotmail.com",RIGHT(B9438,9)="@live.com"),"Outlook","Domain")))</f>
        <v/>
      </c>
      <c r="F9438">
        <f>IF(B9438="","",IFERROR(RIGHT(B9438,LEN(B9438)-FIND("@",B9438)),""))</f>
        <v/>
      </c>
      <c r="G9438">
        <f>IF(D9438="KEEP",COUNTIF($D$2:D9438,"KEEP"),"")</f>
        <v/>
      </c>
      <c r="H9438">
        <f>IF(D9438="REMOVE",COUNTIF($D$2:D9438,"REMOVE"),"")</f>
        <v/>
      </c>
      <c r="I9438">
        <f>IF(E9438="Gmail",COUNTIF($E$2:E9438,"Gmail"),"")</f>
        <v/>
      </c>
      <c r="J9438">
        <f>IF(E9438="Outlook",COUNTIF($E$2:E9438,"Outlook"),"")</f>
        <v/>
      </c>
      <c r="K9438">
        <f>IF(E9438="Domain",COUNTIF($E$2:E9438,"Domain"),"")</f>
        <v/>
      </c>
    </row>
    <row r="9439">
      <c r="A9439" s="2" t="n"/>
      <c r="B9439">
        <f>LOWER(TRIM(A9439))</f>
        <v/>
      </c>
      <c r="C9439">
        <f>IF(B9439="","",IFERROR(INDEX('Bad Patterns'!$A$2:$A$120,MATCH(1,INDEX(--ISNUMBER(SEARCH('Bad Patterns'!$A$2:$A$120,B9439)),0),0)),""))</f>
        <v/>
      </c>
      <c r="D9439">
        <f>IF(B9439="","",IF(C9439&lt;&gt;"","REMOVE","KEEP"))</f>
        <v/>
      </c>
      <c r="E9439">
        <f>IF(D9439&lt;&gt;"KEEP","",IF(RIGHT(B9439,10)="@gmail.com","Gmail",IF(OR(RIGHT(B9439,12)="@outlook.com",RIGHT(B9439,12)="@hotmail.com",RIGHT(B9439,9)="@live.com"),"Outlook","Domain")))</f>
        <v/>
      </c>
      <c r="F9439">
        <f>IF(B9439="","",IFERROR(RIGHT(B9439,LEN(B9439)-FIND("@",B9439)),""))</f>
        <v/>
      </c>
      <c r="G9439">
        <f>IF(D9439="KEEP",COUNTIF($D$2:D9439,"KEEP"),"")</f>
        <v/>
      </c>
      <c r="H9439">
        <f>IF(D9439="REMOVE",COUNTIF($D$2:D9439,"REMOVE"),"")</f>
        <v/>
      </c>
      <c r="I9439">
        <f>IF(E9439="Gmail",COUNTIF($E$2:E9439,"Gmail"),"")</f>
        <v/>
      </c>
      <c r="J9439">
        <f>IF(E9439="Outlook",COUNTIF($E$2:E9439,"Outlook"),"")</f>
        <v/>
      </c>
      <c r="K9439">
        <f>IF(E9439="Domain",COUNTIF($E$2:E9439,"Domain"),"")</f>
        <v/>
      </c>
    </row>
    <row r="9440">
      <c r="A9440" s="2" t="n"/>
      <c r="B9440">
        <f>LOWER(TRIM(A9440))</f>
        <v/>
      </c>
      <c r="C9440">
        <f>IF(B9440="","",IFERROR(INDEX('Bad Patterns'!$A$2:$A$120,MATCH(1,INDEX(--ISNUMBER(SEARCH('Bad Patterns'!$A$2:$A$120,B9440)),0),0)),""))</f>
        <v/>
      </c>
      <c r="D9440">
        <f>IF(B9440="","",IF(C9440&lt;&gt;"","REMOVE","KEEP"))</f>
        <v/>
      </c>
      <c r="E9440">
        <f>IF(D9440&lt;&gt;"KEEP","",IF(RIGHT(B9440,10)="@gmail.com","Gmail",IF(OR(RIGHT(B9440,12)="@outlook.com",RIGHT(B9440,12)="@hotmail.com",RIGHT(B9440,9)="@live.com"),"Outlook","Domain")))</f>
        <v/>
      </c>
      <c r="F9440">
        <f>IF(B9440="","",IFERROR(RIGHT(B9440,LEN(B9440)-FIND("@",B9440)),""))</f>
        <v/>
      </c>
      <c r="G9440">
        <f>IF(D9440="KEEP",COUNTIF($D$2:D9440,"KEEP"),"")</f>
        <v/>
      </c>
      <c r="H9440">
        <f>IF(D9440="REMOVE",COUNTIF($D$2:D9440,"REMOVE"),"")</f>
        <v/>
      </c>
      <c r="I9440">
        <f>IF(E9440="Gmail",COUNTIF($E$2:E9440,"Gmail"),"")</f>
        <v/>
      </c>
      <c r="J9440">
        <f>IF(E9440="Outlook",COUNTIF($E$2:E9440,"Outlook"),"")</f>
        <v/>
      </c>
      <c r="K9440">
        <f>IF(E9440="Domain",COUNTIF($E$2:E9440,"Domain"),"")</f>
        <v/>
      </c>
    </row>
    <row r="9441">
      <c r="A9441" s="2" t="n"/>
      <c r="B9441">
        <f>LOWER(TRIM(A9441))</f>
        <v/>
      </c>
      <c r="C9441">
        <f>IF(B9441="","",IFERROR(INDEX('Bad Patterns'!$A$2:$A$120,MATCH(1,INDEX(--ISNUMBER(SEARCH('Bad Patterns'!$A$2:$A$120,B9441)),0),0)),""))</f>
        <v/>
      </c>
      <c r="D9441">
        <f>IF(B9441="","",IF(C9441&lt;&gt;"","REMOVE","KEEP"))</f>
        <v/>
      </c>
      <c r="E9441">
        <f>IF(D9441&lt;&gt;"KEEP","",IF(RIGHT(B9441,10)="@gmail.com","Gmail",IF(OR(RIGHT(B9441,12)="@outlook.com",RIGHT(B9441,12)="@hotmail.com",RIGHT(B9441,9)="@live.com"),"Outlook","Domain")))</f>
        <v/>
      </c>
      <c r="F9441">
        <f>IF(B9441="","",IFERROR(RIGHT(B9441,LEN(B9441)-FIND("@",B9441)),""))</f>
        <v/>
      </c>
      <c r="G9441">
        <f>IF(D9441="KEEP",COUNTIF($D$2:D9441,"KEEP"),"")</f>
        <v/>
      </c>
      <c r="H9441">
        <f>IF(D9441="REMOVE",COUNTIF($D$2:D9441,"REMOVE"),"")</f>
        <v/>
      </c>
      <c r="I9441">
        <f>IF(E9441="Gmail",COUNTIF($E$2:E9441,"Gmail"),"")</f>
        <v/>
      </c>
      <c r="J9441">
        <f>IF(E9441="Outlook",COUNTIF($E$2:E9441,"Outlook"),"")</f>
        <v/>
      </c>
      <c r="K9441">
        <f>IF(E9441="Domain",COUNTIF($E$2:E9441,"Domain"),"")</f>
        <v/>
      </c>
    </row>
    <row r="9442">
      <c r="A9442" s="2" t="n"/>
      <c r="B9442">
        <f>LOWER(TRIM(A9442))</f>
        <v/>
      </c>
      <c r="C9442">
        <f>IF(B9442="","",IFERROR(INDEX('Bad Patterns'!$A$2:$A$120,MATCH(1,INDEX(--ISNUMBER(SEARCH('Bad Patterns'!$A$2:$A$120,B9442)),0),0)),""))</f>
        <v/>
      </c>
      <c r="D9442">
        <f>IF(B9442="","",IF(C9442&lt;&gt;"","REMOVE","KEEP"))</f>
        <v/>
      </c>
      <c r="E9442">
        <f>IF(D9442&lt;&gt;"KEEP","",IF(RIGHT(B9442,10)="@gmail.com","Gmail",IF(OR(RIGHT(B9442,12)="@outlook.com",RIGHT(B9442,12)="@hotmail.com",RIGHT(B9442,9)="@live.com"),"Outlook","Domain")))</f>
        <v/>
      </c>
      <c r="F9442">
        <f>IF(B9442="","",IFERROR(RIGHT(B9442,LEN(B9442)-FIND("@",B9442)),""))</f>
        <v/>
      </c>
      <c r="G9442">
        <f>IF(D9442="KEEP",COUNTIF($D$2:D9442,"KEEP"),"")</f>
        <v/>
      </c>
      <c r="H9442">
        <f>IF(D9442="REMOVE",COUNTIF($D$2:D9442,"REMOVE"),"")</f>
        <v/>
      </c>
      <c r="I9442">
        <f>IF(E9442="Gmail",COUNTIF($E$2:E9442,"Gmail"),"")</f>
        <v/>
      </c>
      <c r="J9442">
        <f>IF(E9442="Outlook",COUNTIF($E$2:E9442,"Outlook"),"")</f>
        <v/>
      </c>
      <c r="K9442">
        <f>IF(E9442="Domain",COUNTIF($E$2:E9442,"Domain"),"")</f>
        <v/>
      </c>
    </row>
    <row r="9443">
      <c r="A9443" s="2" t="n"/>
      <c r="B9443">
        <f>LOWER(TRIM(A9443))</f>
        <v/>
      </c>
      <c r="C9443">
        <f>IF(B9443="","",IFERROR(INDEX('Bad Patterns'!$A$2:$A$120,MATCH(1,INDEX(--ISNUMBER(SEARCH('Bad Patterns'!$A$2:$A$120,B9443)),0),0)),""))</f>
        <v/>
      </c>
      <c r="D9443">
        <f>IF(B9443="","",IF(C9443&lt;&gt;"","REMOVE","KEEP"))</f>
        <v/>
      </c>
      <c r="E9443">
        <f>IF(D9443&lt;&gt;"KEEP","",IF(RIGHT(B9443,10)="@gmail.com","Gmail",IF(OR(RIGHT(B9443,12)="@outlook.com",RIGHT(B9443,12)="@hotmail.com",RIGHT(B9443,9)="@live.com"),"Outlook","Domain")))</f>
        <v/>
      </c>
      <c r="F9443">
        <f>IF(B9443="","",IFERROR(RIGHT(B9443,LEN(B9443)-FIND("@",B9443)),""))</f>
        <v/>
      </c>
      <c r="G9443">
        <f>IF(D9443="KEEP",COUNTIF($D$2:D9443,"KEEP"),"")</f>
        <v/>
      </c>
      <c r="H9443">
        <f>IF(D9443="REMOVE",COUNTIF($D$2:D9443,"REMOVE"),"")</f>
        <v/>
      </c>
      <c r="I9443">
        <f>IF(E9443="Gmail",COUNTIF($E$2:E9443,"Gmail"),"")</f>
        <v/>
      </c>
      <c r="J9443">
        <f>IF(E9443="Outlook",COUNTIF($E$2:E9443,"Outlook"),"")</f>
        <v/>
      </c>
      <c r="K9443">
        <f>IF(E9443="Domain",COUNTIF($E$2:E9443,"Domain"),"")</f>
        <v/>
      </c>
    </row>
    <row r="9444">
      <c r="A9444" s="2" t="n"/>
      <c r="B9444">
        <f>LOWER(TRIM(A9444))</f>
        <v/>
      </c>
      <c r="C9444">
        <f>IF(B9444="","",IFERROR(INDEX('Bad Patterns'!$A$2:$A$120,MATCH(1,INDEX(--ISNUMBER(SEARCH('Bad Patterns'!$A$2:$A$120,B9444)),0),0)),""))</f>
        <v/>
      </c>
      <c r="D9444">
        <f>IF(B9444="","",IF(C9444&lt;&gt;"","REMOVE","KEEP"))</f>
        <v/>
      </c>
      <c r="E9444">
        <f>IF(D9444&lt;&gt;"KEEP","",IF(RIGHT(B9444,10)="@gmail.com","Gmail",IF(OR(RIGHT(B9444,12)="@outlook.com",RIGHT(B9444,12)="@hotmail.com",RIGHT(B9444,9)="@live.com"),"Outlook","Domain")))</f>
        <v/>
      </c>
      <c r="F9444">
        <f>IF(B9444="","",IFERROR(RIGHT(B9444,LEN(B9444)-FIND("@",B9444)),""))</f>
        <v/>
      </c>
      <c r="G9444">
        <f>IF(D9444="KEEP",COUNTIF($D$2:D9444,"KEEP"),"")</f>
        <v/>
      </c>
      <c r="H9444">
        <f>IF(D9444="REMOVE",COUNTIF($D$2:D9444,"REMOVE"),"")</f>
        <v/>
      </c>
      <c r="I9444">
        <f>IF(E9444="Gmail",COUNTIF($E$2:E9444,"Gmail"),"")</f>
        <v/>
      </c>
      <c r="J9444">
        <f>IF(E9444="Outlook",COUNTIF($E$2:E9444,"Outlook"),"")</f>
        <v/>
      </c>
      <c r="K9444">
        <f>IF(E9444="Domain",COUNTIF($E$2:E9444,"Domain"),"")</f>
        <v/>
      </c>
    </row>
    <row r="9445">
      <c r="A9445" s="2" t="n"/>
      <c r="B9445">
        <f>LOWER(TRIM(A9445))</f>
        <v/>
      </c>
      <c r="C9445">
        <f>IF(B9445="","",IFERROR(INDEX('Bad Patterns'!$A$2:$A$120,MATCH(1,INDEX(--ISNUMBER(SEARCH('Bad Patterns'!$A$2:$A$120,B9445)),0),0)),""))</f>
        <v/>
      </c>
      <c r="D9445">
        <f>IF(B9445="","",IF(C9445&lt;&gt;"","REMOVE","KEEP"))</f>
        <v/>
      </c>
      <c r="E9445">
        <f>IF(D9445&lt;&gt;"KEEP","",IF(RIGHT(B9445,10)="@gmail.com","Gmail",IF(OR(RIGHT(B9445,12)="@outlook.com",RIGHT(B9445,12)="@hotmail.com",RIGHT(B9445,9)="@live.com"),"Outlook","Domain")))</f>
        <v/>
      </c>
      <c r="F9445">
        <f>IF(B9445="","",IFERROR(RIGHT(B9445,LEN(B9445)-FIND("@",B9445)),""))</f>
        <v/>
      </c>
      <c r="G9445">
        <f>IF(D9445="KEEP",COUNTIF($D$2:D9445,"KEEP"),"")</f>
        <v/>
      </c>
      <c r="H9445">
        <f>IF(D9445="REMOVE",COUNTIF($D$2:D9445,"REMOVE"),"")</f>
        <v/>
      </c>
      <c r="I9445">
        <f>IF(E9445="Gmail",COUNTIF($E$2:E9445,"Gmail"),"")</f>
        <v/>
      </c>
      <c r="J9445">
        <f>IF(E9445="Outlook",COUNTIF($E$2:E9445,"Outlook"),"")</f>
        <v/>
      </c>
      <c r="K9445">
        <f>IF(E9445="Domain",COUNTIF($E$2:E9445,"Domain"),"")</f>
        <v/>
      </c>
    </row>
    <row r="9446">
      <c r="A9446" s="2" t="n"/>
      <c r="B9446">
        <f>LOWER(TRIM(A9446))</f>
        <v/>
      </c>
      <c r="C9446">
        <f>IF(B9446="","",IFERROR(INDEX('Bad Patterns'!$A$2:$A$120,MATCH(1,INDEX(--ISNUMBER(SEARCH('Bad Patterns'!$A$2:$A$120,B9446)),0),0)),""))</f>
        <v/>
      </c>
      <c r="D9446">
        <f>IF(B9446="","",IF(C9446&lt;&gt;"","REMOVE","KEEP"))</f>
        <v/>
      </c>
      <c r="E9446">
        <f>IF(D9446&lt;&gt;"KEEP","",IF(RIGHT(B9446,10)="@gmail.com","Gmail",IF(OR(RIGHT(B9446,12)="@outlook.com",RIGHT(B9446,12)="@hotmail.com",RIGHT(B9446,9)="@live.com"),"Outlook","Domain")))</f>
        <v/>
      </c>
      <c r="F9446">
        <f>IF(B9446="","",IFERROR(RIGHT(B9446,LEN(B9446)-FIND("@",B9446)),""))</f>
        <v/>
      </c>
      <c r="G9446">
        <f>IF(D9446="KEEP",COUNTIF($D$2:D9446,"KEEP"),"")</f>
        <v/>
      </c>
      <c r="H9446">
        <f>IF(D9446="REMOVE",COUNTIF($D$2:D9446,"REMOVE"),"")</f>
        <v/>
      </c>
      <c r="I9446">
        <f>IF(E9446="Gmail",COUNTIF($E$2:E9446,"Gmail"),"")</f>
        <v/>
      </c>
      <c r="J9446">
        <f>IF(E9446="Outlook",COUNTIF($E$2:E9446,"Outlook"),"")</f>
        <v/>
      </c>
      <c r="K9446">
        <f>IF(E9446="Domain",COUNTIF($E$2:E9446,"Domain"),"")</f>
        <v/>
      </c>
    </row>
    <row r="9447">
      <c r="A9447" s="2" t="n"/>
      <c r="B9447">
        <f>LOWER(TRIM(A9447))</f>
        <v/>
      </c>
      <c r="C9447">
        <f>IF(B9447="","",IFERROR(INDEX('Bad Patterns'!$A$2:$A$120,MATCH(1,INDEX(--ISNUMBER(SEARCH('Bad Patterns'!$A$2:$A$120,B9447)),0),0)),""))</f>
        <v/>
      </c>
      <c r="D9447">
        <f>IF(B9447="","",IF(C9447&lt;&gt;"","REMOVE","KEEP"))</f>
        <v/>
      </c>
      <c r="E9447">
        <f>IF(D9447&lt;&gt;"KEEP","",IF(RIGHT(B9447,10)="@gmail.com","Gmail",IF(OR(RIGHT(B9447,12)="@outlook.com",RIGHT(B9447,12)="@hotmail.com",RIGHT(B9447,9)="@live.com"),"Outlook","Domain")))</f>
        <v/>
      </c>
      <c r="F9447">
        <f>IF(B9447="","",IFERROR(RIGHT(B9447,LEN(B9447)-FIND("@",B9447)),""))</f>
        <v/>
      </c>
      <c r="G9447">
        <f>IF(D9447="KEEP",COUNTIF($D$2:D9447,"KEEP"),"")</f>
        <v/>
      </c>
      <c r="H9447">
        <f>IF(D9447="REMOVE",COUNTIF($D$2:D9447,"REMOVE"),"")</f>
        <v/>
      </c>
      <c r="I9447">
        <f>IF(E9447="Gmail",COUNTIF($E$2:E9447,"Gmail"),"")</f>
        <v/>
      </c>
      <c r="J9447">
        <f>IF(E9447="Outlook",COUNTIF($E$2:E9447,"Outlook"),"")</f>
        <v/>
      </c>
      <c r="K9447">
        <f>IF(E9447="Domain",COUNTIF($E$2:E9447,"Domain"),"")</f>
        <v/>
      </c>
    </row>
    <row r="9448">
      <c r="A9448" s="2" t="n"/>
      <c r="B9448">
        <f>LOWER(TRIM(A9448))</f>
        <v/>
      </c>
      <c r="C9448">
        <f>IF(B9448="","",IFERROR(INDEX('Bad Patterns'!$A$2:$A$120,MATCH(1,INDEX(--ISNUMBER(SEARCH('Bad Patterns'!$A$2:$A$120,B9448)),0),0)),""))</f>
        <v/>
      </c>
      <c r="D9448">
        <f>IF(B9448="","",IF(C9448&lt;&gt;"","REMOVE","KEEP"))</f>
        <v/>
      </c>
      <c r="E9448">
        <f>IF(D9448&lt;&gt;"KEEP","",IF(RIGHT(B9448,10)="@gmail.com","Gmail",IF(OR(RIGHT(B9448,12)="@outlook.com",RIGHT(B9448,12)="@hotmail.com",RIGHT(B9448,9)="@live.com"),"Outlook","Domain")))</f>
        <v/>
      </c>
      <c r="F9448">
        <f>IF(B9448="","",IFERROR(RIGHT(B9448,LEN(B9448)-FIND("@",B9448)),""))</f>
        <v/>
      </c>
      <c r="G9448">
        <f>IF(D9448="KEEP",COUNTIF($D$2:D9448,"KEEP"),"")</f>
        <v/>
      </c>
      <c r="H9448">
        <f>IF(D9448="REMOVE",COUNTIF($D$2:D9448,"REMOVE"),"")</f>
        <v/>
      </c>
      <c r="I9448">
        <f>IF(E9448="Gmail",COUNTIF($E$2:E9448,"Gmail"),"")</f>
        <v/>
      </c>
      <c r="J9448">
        <f>IF(E9448="Outlook",COUNTIF($E$2:E9448,"Outlook"),"")</f>
        <v/>
      </c>
      <c r="K9448">
        <f>IF(E9448="Domain",COUNTIF($E$2:E9448,"Domain"),"")</f>
        <v/>
      </c>
    </row>
    <row r="9449">
      <c r="A9449" s="2" t="n"/>
      <c r="B9449">
        <f>LOWER(TRIM(A9449))</f>
        <v/>
      </c>
      <c r="C9449">
        <f>IF(B9449="","",IFERROR(INDEX('Bad Patterns'!$A$2:$A$120,MATCH(1,INDEX(--ISNUMBER(SEARCH('Bad Patterns'!$A$2:$A$120,B9449)),0),0)),""))</f>
        <v/>
      </c>
      <c r="D9449">
        <f>IF(B9449="","",IF(C9449&lt;&gt;"","REMOVE","KEEP"))</f>
        <v/>
      </c>
      <c r="E9449">
        <f>IF(D9449&lt;&gt;"KEEP","",IF(RIGHT(B9449,10)="@gmail.com","Gmail",IF(OR(RIGHT(B9449,12)="@outlook.com",RIGHT(B9449,12)="@hotmail.com",RIGHT(B9449,9)="@live.com"),"Outlook","Domain")))</f>
        <v/>
      </c>
      <c r="F9449">
        <f>IF(B9449="","",IFERROR(RIGHT(B9449,LEN(B9449)-FIND("@",B9449)),""))</f>
        <v/>
      </c>
      <c r="G9449">
        <f>IF(D9449="KEEP",COUNTIF($D$2:D9449,"KEEP"),"")</f>
        <v/>
      </c>
      <c r="H9449">
        <f>IF(D9449="REMOVE",COUNTIF($D$2:D9449,"REMOVE"),"")</f>
        <v/>
      </c>
      <c r="I9449">
        <f>IF(E9449="Gmail",COUNTIF($E$2:E9449,"Gmail"),"")</f>
        <v/>
      </c>
      <c r="J9449">
        <f>IF(E9449="Outlook",COUNTIF($E$2:E9449,"Outlook"),"")</f>
        <v/>
      </c>
      <c r="K9449">
        <f>IF(E9449="Domain",COUNTIF($E$2:E9449,"Domain"),"")</f>
        <v/>
      </c>
    </row>
    <row r="9450">
      <c r="A9450" s="2" t="n"/>
      <c r="B9450">
        <f>LOWER(TRIM(A9450))</f>
        <v/>
      </c>
      <c r="C9450">
        <f>IF(B9450="","",IFERROR(INDEX('Bad Patterns'!$A$2:$A$120,MATCH(1,INDEX(--ISNUMBER(SEARCH('Bad Patterns'!$A$2:$A$120,B9450)),0),0)),""))</f>
        <v/>
      </c>
      <c r="D9450">
        <f>IF(B9450="","",IF(C9450&lt;&gt;"","REMOVE","KEEP"))</f>
        <v/>
      </c>
      <c r="E9450">
        <f>IF(D9450&lt;&gt;"KEEP","",IF(RIGHT(B9450,10)="@gmail.com","Gmail",IF(OR(RIGHT(B9450,12)="@outlook.com",RIGHT(B9450,12)="@hotmail.com",RIGHT(B9450,9)="@live.com"),"Outlook","Domain")))</f>
        <v/>
      </c>
      <c r="F9450">
        <f>IF(B9450="","",IFERROR(RIGHT(B9450,LEN(B9450)-FIND("@",B9450)),""))</f>
        <v/>
      </c>
      <c r="G9450">
        <f>IF(D9450="KEEP",COUNTIF($D$2:D9450,"KEEP"),"")</f>
        <v/>
      </c>
      <c r="H9450">
        <f>IF(D9450="REMOVE",COUNTIF($D$2:D9450,"REMOVE"),"")</f>
        <v/>
      </c>
      <c r="I9450">
        <f>IF(E9450="Gmail",COUNTIF($E$2:E9450,"Gmail"),"")</f>
        <v/>
      </c>
      <c r="J9450">
        <f>IF(E9450="Outlook",COUNTIF($E$2:E9450,"Outlook"),"")</f>
        <v/>
      </c>
      <c r="K9450">
        <f>IF(E9450="Domain",COUNTIF($E$2:E9450,"Domain"),"")</f>
        <v/>
      </c>
    </row>
    <row r="9451">
      <c r="A9451" s="2" t="n"/>
      <c r="B9451">
        <f>LOWER(TRIM(A9451))</f>
        <v/>
      </c>
      <c r="C9451">
        <f>IF(B9451="","",IFERROR(INDEX('Bad Patterns'!$A$2:$A$120,MATCH(1,INDEX(--ISNUMBER(SEARCH('Bad Patterns'!$A$2:$A$120,B9451)),0),0)),""))</f>
        <v/>
      </c>
      <c r="D9451">
        <f>IF(B9451="","",IF(C9451&lt;&gt;"","REMOVE","KEEP"))</f>
        <v/>
      </c>
      <c r="E9451">
        <f>IF(D9451&lt;&gt;"KEEP","",IF(RIGHT(B9451,10)="@gmail.com","Gmail",IF(OR(RIGHT(B9451,12)="@outlook.com",RIGHT(B9451,12)="@hotmail.com",RIGHT(B9451,9)="@live.com"),"Outlook","Domain")))</f>
        <v/>
      </c>
      <c r="F9451">
        <f>IF(B9451="","",IFERROR(RIGHT(B9451,LEN(B9451)-FIND("@",B9451)),""))</f>
        <v/>
      </c>
      <c r="G9451">
        <f>IF(D9451="KEEP",COUNTIF($D$2:D9451,"KEEP"),"")</f>
        <v/>
      </c>
      <c r="H9451">
        <f>IF(D9451="REMOVE",COUNTIF($D$2:D9451,"REMOVE"),"")</f>
        <v/>
      </c>
      <c r="I9451">
        <f>IF(E9451="Gmail",COUNTIF($E$2:E9451,"Gmail"),"")</f>
        <v/>
      </c>
      <c r="J9451">
        <f>IF(E9451="Outlook",COUNTIF($E$2:E9451,"Outlook"),"")</f>
        <v/>
      </c>
      <c r="K9451">
        <f>IF(E9451="Domain",COUNTIF($E$2:E9451,"Domain"),"")</f>
        <v/>
      </c>
    </row>
    <row r="9452">
      <c r="A9452" s="2" t="n"/>
      <c r="B9452">
        <f>LOWER(TRIM(A9452))</f>
        <v/>
      </c>
      <c r="C9452">
        <f>IF(B9452="","",IFERROR(INDEX('Bad Patterns'!$A$2:$A$120,MATCH(1,INDEX(--ISNUMBER(SEARCH('Bad Patterns'!$A$2:$A$120,B9452)),0),0)),""))</f>
        <v/>
      </c>
      <c r="D9452">
        <f>IF(B9452="","",IF(C9452&lt;&gt;"","REMOVE","KEEP"))</f>
        <v/>
      </c>
      <c r="E9452">
        <f>IF(D9452&lt;&gt;"KEEP","",IF(RIGHT(B9452,10)="@gmail.com","Gmail",IF(OR(RIGHT(B9452,12)="@outlook.com",RIGHT(B9452,12)="@hotmail.com",RIGHT(B9452,9)="@live.com"),"Outlook","Domain")))</f>
        <v/>
      </c>
      <c r="F9452">
        <f>IF(B9452="","",IFERROR(RIGHT(B9452,LEN(B9452)-FIND("@",B9452)),""))</f>
        <v/>
      </c>
      <c r="G9452">
        <f>IF(D9452="KEEP",COUNTIF($D$2:D9452,"KEEP"),"")</f>
        <v/>
      </c>
      <c r="H9452">
        <f>IF(D9452="REMOVE",COUNTIF($D$2:D9452,"REMOVE"),"")</f>
        <v/>
      </c>
      <c r="I9452">
        <f>IF(E9452="Gmail",COUNTIF($E$2:E9452,"Gmail"),"")</f>
        <v/>
      </c>
      <c r="J9452">
        <f>IF(E9452="Outlook",COUNTIF($E$2:E9452,"Outlook"),"")</f>
        <v/>
      </c>
      <c r="K9452">
        <f>IF(E9452="Domain",COUNTIF($E$2:E9452,"Domain"),"")</f>
        <v/>
      </c>
    </row>
    <row r="9453">
      <c r="A9453" s="2" t="n"/>
      <c r="B9453">
        <f>LOWER(TRIM(A9453))</f>
        <v/>
      </c>
      <c r="C9453">
        <f>IF(B9453="","",IFERROR(INDEX('Bad Patterns'!$A$2:$A$120,MATCH(1,INDEX(--ISNUMBER(SEARCH('Bad Patterns'!$A$2:$A$120,B9453)),0),0)),""))</f>
        <v/>
      </c>
      <c r="D9453">
        <f>IF(B9453="","",IF(C9453&lt;&gt;"","REMOVE","KEEP"))</f>
        <v/>
      </c>
      <c r="E9453">
        <f>IF(D9453&lt;&gt;"KEEP","",IF(RIGHT(B9453,10)="@gmail.com","Gmail",IF(OR(RIGHT(B9453,12)="@outlook.com",RIGHT(B9453,12)="@hotmail.com",RIGHT(B9453,9)="@live.com"),"Outlook","Domain")))</f>
        <v/>
      </c>
      <c r="F9453">
        <f>IF(B9453="","",IFERROR(RIGHT(B9453,LEN(B9453)-FIND("@",B9453)),""))</f>
        <v/>
      </c>
      <c r="G9453">
        <f>IF(D9453="KEEP",COUNTIF($D$2:D9453,"KEEP"),"")</f>
        <v/>
      </c>
      <c r="H9453">
        <f>IF(D9453="REMOVE",COUNTIF($D$2:D9453,"REMOVE"),"")</f>
        <v/>
      </c>
      <c r="I9453">
        <f>IF(E9453="Gmail",COUNTIF($E$2:E9453,"Gmail"),"")</f>
        <v/>
      </c>
      <c r="J9453">
        <f>IF(E9453="Outlook",COUNTIF($E$2:E9453,"Outlook"),"")</f>
        <v/>
      </c>
      <c r="K9453">
        <f>IF(E9453="Domain",COUNTIF($E$2:E9453,"Domain"),"")</f>
        <v/>
      </c>
    </row>
    <row r="9454">
      <c r="A9454" s="2" t="n"/>
      <c r="B9454">
        <f>LOWER(TRIM(A9454))</f>
        <v/>
      </c>
      <c r="C9454">
        <f>IF(B9454="","",IFERROR(INDEX('Bad Patterns'!$A$2:$A$120,MATCH(1,INDEX(--ISNUMBER(SEARCH('Bad Patterns'!$A$2:$A$120,B9454)),0),0)),""))</f>
        <v/>
      </c>
      <c r="D9454">
        <f>IF(B9454="","",IF(C9454&lt;&gt;"","REMOVE","KEEP"))</f>
        <v/>
      </c>
      <c r="E9454">
        <f>IF(D9454&lt;&gt;"KEEP","",IF(RIGHT(B9454,10)="@gmail.com","Gmail",IF(OR(RIGHT(B9454,12)="@outlook.com",RIGHT(B9454,12)="@hotmail.com",RIGHT(B9454,9)="@live.com"),"Outlook","Domain")))</f>
        <v/>
      </c>
      <c r="F9454">
        <f>IF(B9454="","",IFERROR(RIGHT(B9454,LEN(B9454)-FIND("@",B9454)),""))</f>
        <v/>
      </c>
      <c r="G9454">
        <f>IF(D9454="KEEP",COUNTIF($D$2:D9454,"KEEP"),"")</f>
        <v/>
      </c>
      <c r="H9454">
        <f>IF(D9454="REMOVE",COUNTIF($D$2:D9454,"REMOVE"),"")</f>
        <v/>
      </c>
      <c r="I9454">
        <f>IF(E9454="Gmail",COUNTIF($E$2:E9454,"Gmail"),"")</f>
        <v/>
      </c>
      <c r="J9454">
        <f>IF(E9454="Outlook",COUNTIF($E$2:E9454,"Outlook"),"")</f>
        <v/>
      </c>
      <c r="K9454">
        <f>IF(E9454="Domain",COUNTIF($E$2:E9454,"Domain"),"")</f>
        <v/>
      </c>
    </row>
    <row r="9455">
      <c r="A9455" s="2" t="n"/>
      <c r="B9455">
        <f>LOWER(TRIM(A9455))</f>
        <v/>
      </c>
      <c r="C9455">
        <f>IF(B9455="","",IFERROR(INDEX('Bad Patterns'!$A$2:$A$120,MATCH(1,INDEX(--ISNUMBER(SEARCH('Bad Patterns'!$A$2:$A$120,B9455)),0),0)),""))</f>
        <v/>
      </c>
      <c r="D9455">
        <f>IF(B9455="","",IF(C9455&lt;&gt;"","REMOVE","KEEP"))</f>
        <v/>
      </c>
      <c r="E9455">
        <f>IF(D9455&lt;&gt;"KEEP","",IF(RIGHT(B9455,10)="@gmail.com","Gmail",IF(OR(RIGHT(B9455,12)="@outlook.com",RIGHT(B9455,12)="@hotmail.com",RIGHT(B9455,9)="@live.com"),"Outlook","Domain")))</f>
        <v/>
      </c>
      <c r="F9455">
        <f>IF(B9455="","",IFERROR(RIGHT(B9455,LEN(B9455)-FIND("@",B9455)),""))</f>
        <v/>
      </c>
      <c r="G9455">
        <f>IF(D9455="KEEP",COUNTIF($D$2:D9455,"KEEP"),"")</f>
        <v/>
      </c>
      <c r="H9455">
        <f>IF(D9455="REMOVE",COUNTIF($D$2:D9455,"REMOVE"),"")</f>
        <v/>
      </c>
      <c r="I9455">
        <f>IF(E9455="Gmail",COUNTIF($E$2:E9455,"Gmail"),"")</f>
        <v/>
      </c>
      <c r="J9455">
        <f>IF(E9455="Outlook",COUNTIF($E$2:E9455,"Outlook"),"")</f>
        <v/>
      </c>
      <c r="K9455">
        <f>IF(E9455="Domain",COUNTIF($E$2:E9455,"Domain"),"")</f>
        <v/>
      </c>
    </row>
    <row r="9456">
      <c r="A9456" s="2" t="n"/>
      <c r="B9456">
        <f>LOWER(TRIM(A9456))</f>
        <v/>
      </c>
      <c r="C9456">
        <f>IF(B9456="","",IFERROR(INDEX('Bad Patterns'!$A$2:$A$120,MATCH(1,INDEX(--ISNUMBER(SEARCH('Bad Patterns'!$A$2:$A$120,B9456)),0),0)),""))</f>
        <v/>
      </c>
      <c r="D9456">
        <f>IF(B9456="","",IF(C9456&lt;&gt;"","REMOVE","KEEP"))</f>
        <v/>
      </c>
      <c r="E9456">
        <f>IF(D9456&lt;&gt;"KEEP","",IF(RIGHT(B9456,10)="@gmail.com","Gmail",IF(OR(RIGHT(B9456,12)="@outlook.com",RIGHT(B9456,12)="@hotmail.com",RIGHT(B9456,9)="@live.com"),"Outlook","Domain")))</f>
        <v/>
      </c>
      <c r="F9456">
        <f>IF(B9456="","",IFERROR(RIGHT(B9456,LEN(B9456)-FIND("@",B9456)),""))</f>
        <v/>
      </c>
      <c r="G9456">
        <f>IF(D9456="KEEP",COUNTIF($D$2:D9456,"KEEP"),"")</f>
        <v/>
      </c>
      <c r="H9456">
        <f>IF(D9456="REMOVE",COUNTIF($D$2:D9456,"REMOVE"),"")</f>
        <v/>
      </c>
      <c r="I9456">
        <f>IF(E9456="Gmail",COUNTIF($E$2:E9456,"Gmail"),"")</f>
        <v/>
      </c>
      <c r="J9456">
        <f>IF(E9456="Outlook",COUNTIF($E$2:E9456,"Outlook"),"")</f>
        <v/>
      </c>
      <c r="K9456">
        <f>IF(E9456="Domain",COUNTIF($E$2:E9456,"Domain"),"")</f>
        <v/>
      </c>
    </row>
    <row r="9457">
      <c r="A9457" s="2" t="n"/>
      <c r="B9457">
        <f>LOWER(TRIM(A9457))</f>
        <v/>
      </c>
      <c r="C9457">
        <f>IF(B9457="","",IFERROR(INDEX('Bad Patterns'!$A$2:$A$120,MATCH(1,INDEX(--ISNUMBER(SEARCH('Bad Patterns'!$A$2:$A$120,B9457)),0),0)),""))</f>
        <v/>
      </c>
      <c r="D9457">
        <f>IF(B9457="","",IF(C9457&lt;&gt;"","REMOVE","KEEP"))</f>
        <v/>
      </c>
      <c r="E9457">
        <f>IF(D9457&lt;&gt;"KEEP","",IF(RIGHT(B9457,10)="@gmail.com","Gmail",IF(OR(RIGHT(B9457,12)="@outlook.com",RIGHT(B9457,12)="@hotmail.com",RIGHT(B9457,9)="@live.com"),"Outlook","Domain")))</f>
        <v/>
      </c>
      <c r="F9457">
        <f>IF(B9457="","",IFERROR(RIGHT(B9457,LEN(B9457)-FIND("@",B9457)),""))</f>
        <v/>
      </c>
      <c r="G9457">
        <f>IF(D9457="KEEP",COUNTIF($D$2:D9457,"KEEP"),"")</f>
        <v/>
      </c>
      <c r="H9457">
        <f>IF(D9457="REMOVE",COUNTIF($D$2:D9457,"REMOVE"),"")</f>
        <v/>
      </c>
      <c r="I9457">
        <f>IF(E9457="Gmail",COUNTIF($E$2:E9457,"Gmail"),"")</f>
        <v/>
      </c>
      <c r="J9457">
        <f>IF(E9457="Outlook",COUNTIF($E$2:E9457,"Outlook"),"")</f>
        <v/>
      </c>
      <c r="K9457">
        <f>IF(E9457="Domain",COUNTIF($E$2:E9457,"Domain"),"")</f>
        <v/>
      </c>
    </row>
    <row r="9458">
      <c r="A9458" s="2" t="n"/>
      <c r="B9458">
        <f>LOWER(TRIM(A9458))</f>
        <v/>
      </c>
      <c r="C9458">
        <f>IF(B9458="","",IFERROR(INDEX('Bad Patterns'!$A$2:$A$120,MATCH(1,INDEX(--ISNUMBER(SEARCH('Bad Patterns'!$A$2:$A$120,B9458)),0),0)),""))</f>
        <v/>
      </c>
      <c r="D9458">
        <f>IF(B9458="","",IF(C9458&lt;&gt;"","REMOVE","KEEP"))</f>
        <v/>
      </c>
      <c r="E9458">
        <f>IF(D9458&lt;&gt;"KEEP","",IF(RIGHT(B9458,10)="@gmail.com","Gmail",IF(OR(RIGHT(B9458,12)="@outlook.com",RIGHT(B9458,12)="@hotmail.com",RIGHT(B9458,9)="@live.com"),"Outlook","Domain")))</f>
        <v/>
      </c>
      <c r="F9458">
        <f>IF(B9458="","",IFERROR(RIGHT(B9458,LEN(B9458)-FIND("@",B9458)),""))</f>
        <v/>
      </c>
      <c r="G9458">
        <f>IF(D9458="KEEP",COUNTIF($D$2:D9458,"KEEP"),"")</f>
        <v/>
      </c>
      <c r="H9458">
        <f>IF(D9458="REMOVE",COUNTIF($D$2:D9458,"REMOVE"),"")</f>
        <v/>
      </c>
      <c r="I9458">
        <f>IF(E9458="Gmail",COUNTIF($E$2:E9458,"Gmail"),"")</f>
        <v/>
      </c>
      <c r="J9458">
        <f>IF(E9458="Outlook",COUNTIF($E$2:E9458,"Outlook"),"")</f>
        <v/>
      </c>
      <c r="K9458">
        <f>IF(E9458="Domain",COUNTIF($E$2:E9458,"Domain"),"")</f>
        <v/>
      </c>
    </row>
    <row r="9459">
      <c r="A9459" s="2" t="n"/>
      <c r="B9459">
        <f>LOWER(TRIM(A9459))</f>
        <v/>
      </c>
      <c r="C9459">
        <f>IF(B9459="","",IFERROR(INDEX('Bad Patterns'!$A$2:$A$120,MATCH(1,INDEX(--ISNUMBER(SEARCH('Bad Patterns'!$A$2:$A$120,B9459)),0),0)),""))</f>
        <v/>
      </c>
      <c r="D9459">
        <f>IF(B9459="","",IF(C9459&lt;&gt;"","REMOVE","KEEP"))</f>
        <v/>
      </c>
      <c r="E9459">
        <f>IF(D9459&lt;&gt;"KEEP","",IF(RIGHT(B9459,10)="@gmail.com","Gmail",IF(OR(RIGHT(B9459,12)="@outlook.com",RIGHT(B9459,12)="@hotmail.com",RIGHT(B9459,9)="@live.com"),"Outlook","Domain")))</f>
        <v/>
      </c>
      <c r="F9459">
        <f>IF(B9459="","",IFERROR(RIGHT(B9459,LEN(B9459)-FIND("@",B9459)),""))</f>
        <v/>
      </c>
      <c r="G9459">
        <f>IF(D9459="KEEP",COUNTIF($D$2:D9459,"KEEP"),"")</f>
        <v/>
      </c>
      <c r="H9459">
        <f>IF(D9459="REMOVE",COUNTIF($D$2:D9459,"REMOVE"),"")</f>
        <v/>
      </c>
      <c r="I9459">
        <f>IF(E9459="Gmail",COUNTIF($E$2:E9459,"Gmail"),"")</f>
        <v/>
      </c>
      <c r="J9459">
        <f>IF(E9459="Outlook",COUNTIF($E$2:E9459,"Outlook"),"")</f>
        <v/>
      </c>
      <c r="K9459">
        <f>IF(E9459="Domain",COUNTIF($E$2:E9459,"Domain"),"")</f>
        <v/>
      </c>
    </row>
    <row r="9460">
      <c r="A9460" s="2" t="n"/>
      <c r="B9460">
        <f>LOWER(TRIM(A9460))</f>
        <v/>
      </c>
      <c r="C9460">
        <f>IF(B9460="","",IFERROR(INDEX('Bad Patterns'!$A$2:$A$120,MATCH(1,INDEX(--ISNUMBER(SEARCH('Bad Patterns'!$A$2:$A$120,B9460)),0),0)),""))</f>
        <v/>
      </c>
      <c r="D9460">
        <f>IF(B9460="","",IF(C9460&lt;&gt;"","REMOVE","KEEP"))</f>
        <v/>
      </c>
      <c r="E9460">
        <f>IF(D9460&lt;&gt;"KEEP","",IF(RIGHT(B9460,10)="@gmail.com","Gmail",IF(OR(RIGHT(B9460,12)="@outlook.com",RIGHT(B9460,12)="@hotmail.com",RIGHT(B9460,9)="@live.com"),"Outlook","Domain")))</f>
        <v/>
      </c>
      <c r="F9460">
        <f>IF(B9460="","",IFERROR(RIGHT(B9460,LEN(B9460)-FIND("@",B9460)),""))</f>
        <v/>
      </c>
      <c r="G9460">
        <f>IF(D9460="KEEP",COUNTIF($D$2:D9460,"KEEP"),"")</f>
        <v/>
      </c>
      <c r="H9460">
        <f>IF(D9460="REMOVE",COUNTIF($D$2:D9460,"REMOVE"),"")</f>
        <v/>
      </c>
      <c r="I9460">
        <f>IF(E9460="Gmail",COUNTIF($E$2:E9460,"Gmail"),"")</f>
        <v/>
      </c>
      <c r="J9460">
        <f>IF(E9460="Outlook",COUNTIF($E$2:E9460,"Outlook"),"")</f>
        <v/>
      </c>
      <c r="K9460">
        <f>IF(E9460="Domain",COUNTIF($E$2:E9460,"Domain"),"")</f>
        <v/>
      </c>
    </row>
    <row r="9461">
      <c r="A9461" s="2" t="n"/>
      <c r="B9461">
        <f>LOWER(TRIM(A9461))</f>
        <v/>
      </c>
      <c r="C9461">
        <f>IF(B9461="","",IFERROR(INDEX('Bad Patterns'!$A$2:$A$120,MATCH(1,INDEX(--ISNUMBER(SEARCH('Bad Patterns'!$A$2:$A$120,B9461)),0),0)),""))</f>
        <v/>
      </c>
      <c r="D9461">
        <f>IF(B9461="","",IF(C9461&lt;&gt;"","REMOVE","KEEP"))</f>
        <v/>
      </c>
      <c r="E9461">
        <f>IF(D9461&lt;&gt;"KEEP","",IF(RIGHT(B9461,10)="@gmail.com","Gmail",IF(OR(RIGHT(B9461,12)="@outlook.com",RIGHT(B9461,12)="@hotmail.com",RIGHT(B9461,9)="@live.com"),"Outlook","Domain")))</f>
        <v/>
      </c>
      <c r="F9461">
        <f>IF(B9461="","",IFERROR(RIGHT(B9461,LEN(B9461)-FIND("@",B9461)),""))</f>
        <v/>
      </c>
      <c r="G9461">
        <f>IF(D9461="KEEP",COUNTIF($D$2:D9461,"KEEP"),"")</f>
        <v/>
      </c>
      <c r="H9461">
        <f>IF(D9461="REMOVE",COUNTIF($D$2:D9461,"REMOVE"),"")</f>
        <v/>
      </c>
      <c r="I9461">
        <f>IF(E9461="Gmail",COUNTIF($E$2:E9461,"Gmail"),"")</f>
        <v/>
      </c>
      <c r="J9461">
        <f>IF(E9461="Outlook",COUNTIF($E$2:E9461,"Outlook"),"")</f>
        <v/>
      </c>
      <c r="K9461">
        <f>IF(E9461="Domain",COUNTIF($E$2:E9461,"Domain"),"")</f>
        <v/>
      </c>
    </row>
    <row r="9462">
      <c r="A9462" s="2" t="n"/>
      <c r="B9462">
        <f>LOWER(TRIM(A9462))</f>
        <v/>
      </c>
      <c r="C9462">
        <f>IF(B9462="","",IFERROR(INDEX('Bad Patterns'!$A$2:$A$120,MATCH(1,INDEX(--ISNUMBER(SEARCH('Bad Patterns'!$A$2:$A$120,B9462)),0),0)),""))</f>
        <v/>
      </c>
      <c r="D9462">
        <f>IF(B9462="","",IF(C9462&lt;&gt;"","REMOVE","KEEP"))</f>
        <v/>
      </c>
      <c r="E9462">
        <f>IF(D9462&lt;&gt;"KEEP","",IF(RIGHT(B9462,10)="@gmail.com","Gmail",IF(OR(RIGHT(B9462,12)="@outlook.com",RIGHT(B9462,12)="@hotmail.com",RIGHT(B9462,9)="@live.com"),"Outlook","Domain")))</f>
        <v/>
      </c>
      <c r="F9462">
        <f>IF(B9462="","",IFERROR(RIGHT(B9462,LEN(B9462)-FIND("@",B9462)),""))</f>
        <v/>
      </c>
      <c r="G9462">
        <f>IF(D9462="KEEP",COUNTIF($D$2:D9462,"KEEP"),"")</f>
        <v/>
      </c>
      <c r="H9462">
        <f>IF(D9462="REMOVE",COUNTIF($D$2:D9462,"REMOVE"),"")</f>
        <v/>
      </c>
      <c r="I9462">
        <f>IF(E9462="Gmail",COUNTIF($E$2:E9462,"Gmail"),"")</f>
        <v/>
      </c>
      <c r="J9462">
        <f>IF(E9462="Outlook",COUNTIF($E$2:E9462,"Outlook"),"")</f>
        <v/>
      </c>
      <c r="K9462">
        <f>IF(E9462="Domain",COUNTIF($E$2:E9462,"Domain"),"")</f>
        <v/>
      </c>
    </row>
    <row r="9463">
      <c r="A9463" s="2" t="n"/>
      <c r="B9463">
        <f>LOWER(TRIM(A9463))</f>
        <v/>
      </c>
      <c r="C9463">
        <f>IF(B9463="","",IFERROR(INDEX('Bad Patterns'!$A$2:$A$120,MATCH(1,INDEX(--ISNUMBER(SEARCH('Bad Patterns'!$A$2:$A$120,B9463)),0),0)),""))</f>
        <v/>
      </c>
      <c r="D9463">
        <f>IF(B9463="","",IF(C9463&lt;&gt;"","REMOVE","KEEP"))</f>
        <v/>
      </c>
      <c r="E9463">
        <f>IF(D9463&lt;&gt;"KEEP","",IF(RIGHT(B9463,10)="@gmail.com","Gmail",IF(OR(RIGHT(B9463,12)="@outlook.com",RIGHT(B9463,12)="@hotmail.com",RIGHT(B9463,9)="@live.com"),"Outlook","Domain")))</f>
        <v/>
      </c>
      <c r="F9463">
        <f>IF(B9463="","",IFERROR(RIGHT(B9463,LEN(B9463)-FIND("@",B9463)),""))</f>
        <v/>
      </c>
      <c r="G9463">
        <f>IF(D9463="KEEP",COUNTIF($D$2:D9463,"KEEP"),"")</f>
        <v/>
      </c>
      <c r="H9463">
        <f>IF(D9463="REMOVE",COUNTIF($D$2:D9463,"REMOVE"),"")</f>
        <v/>
      </c>
      <c r="I9463">
        <f>IF(E9463="Gmail",COUNTIF($E$2:E9463,"Gmail"),"")</f>
        <v/>
      </c>
      <c r="J9463">
        <f>IF(E9463="Outlook",COUNTIF($E$2:E9463,"Outlook"),"")</f>
        <v/>
      </c>
      <c r="K9463">
        <f>IF(E9463="Domain",COUNTIF($E$2:E9463,"Domain"),"")</f>
        <v/>
      </c>
    </row>
    <row r="9464">
      <c r="A9464" s="2" t="n"/>
      <c r="B9464">
        <f>LOWER(TRIM(A9464))</f>
        <v/>
      </c>
      <c r="C9464">
        <f>IF(B9464="","",IFERROR(INDEX('Bad Patterns'!$A$2:$A$120,MATCH(1,INDEX(--ISNUMBER(SEARCH('Bad Patterns'!$A$2:$A$120,B9464)),0),0)),""))</f>
        <v/>
      </c>
      <c r="D9464">
        <f>IF(B9464="","",IF(C9464&lt;&gt;"","REMOVE","KEEP"))</f>
        <v/>
      </c>
      <c r="E9464">
        <f>IF(D9464&lt;&gt;"KEEP","",IF(RIGHT(B9464,10)="@gmail.com","Gmail",IF(OR(RIGHT(B9464,12)="@outlook.com",RIGHT(B9464,12)="@hotmail.com",RIGHT(B9464,9)="@live.com"),"Outlook","Domain")))</f>
        <v/>
      </c>
      <c r="F9464">
        <f>IF(B9464="","",IFERROR(RIGHT(B9464,LEN(B9464)-FIND("@",B9464)),""))</f>
        <v/>
      </c>
      <c r="G9464">
        <f>IF(D9464="KEEP",COUNTIF($D$2:D9464,"KEEP"),"")</f>
        <v/>
      </c>
      <c r="H9464">
        <f>IF(D9464="REMOVE",COUNTIF($D$2:D9464,"REMOVE"),"")</f>
        <v/>
      </c>
      <c r="I9464">
        <f>IF(E9464="Gmail",COUNTIF($E$2:E9464,"Gmail"),"")</f>
        <v/>
      </c>
      <c r="J9464">
        <f>IF(E9464="Outlook",COUNTIF($E$2:E9464,"Outlook"),"")</f>
        <v/>
      </c>
      <c r="K9464">
        <f>IF(E9464="Domain",COUNTIF($E$2:E9464,"Domain"),"")</f>
        <v/>
      </c>
    </row>
    <row r="9465">
      <c r="A9465" s="2" t="n"/>
      <c r="B9465">
        <f>LOWER(TRIM(A9465))</f>
        <v/>
      </c>
      <c r="C9465">
        <f>IF(B9465="","",IFERROR(INDEX('Bad Patterns'!$A$2:$A$120,MATCH(1,INDEX(--ISNUMBER(SEARCH('Bad Patterns'!$A$2:$A$120,B9465)),0),0)),""))</f>
        <v/>
      </c>
      <c r="D9465">
        <f>IF(B9465="","",IF(C9465&lt;&gt;"","REMOVE","KEEP"))</f>
        <v/>
      </c>
      <c r="E9465">
        <f>IF(D9465&lt;&gt;"KEEP","",IF(RIGHT(B9465,10)="@gmail.com","Gmail",IF(OR(RIGHT(B9465,12)="@outlook.com",RIGHT(B9465,12)="@hotmail.com",RIGHT(B9465,9)="@live.com"),"Outlook","Domain")))</f>
        <v/>
      </c>
      <c r="F9465">
        <f>IF(B9465="","",IFERROR(RIGHT(B9465,LEN(B9465)-FIND("@",B9465)),""))</f>
        <v/>
      </c>
      <c r="G9465">
        <f>IF(D9465="KEEP",COUNTIF($D$2:D9465,"KEEP"),"")</f>
        <v/>
      </c>
      <c r="H9465">
        <f>IF(D9465="REMOVE",COUNTIF($D$2:D9465,"REMOVE"),"")</f>
        <v/>
      </c>
      <c r="I9465">
        <f>IF(E9465="Gmail",COUNTIF($E$2:E9465,"Gmail"),"")</f>
        <v/>
      </c>
      <c r="J9465">
        <f>IF(E9465="Outlook",COUNTIF($E$2:E9465,"Outlook"),"")</f>
        <v/>
      </c>
      <c r="K9465">
        <f>IF(E9465="Domain",COUNTIF($E$2:E9465,"Domain"),"")</f>
        <v/>
      </c>
    </row>
    <row r="9466">
      <c r="A9466" s="2" t="n"/>
      <c r="B9466">
        <f>LOWER(TRIM(A9466))</f>
        <v/>
      </c>
      <c r="C9466">
        <f>IF(B9466="","",IFERROR(INDEX('Bad Patterns'!$A$2:$A$120,MATCH(1,INDEX(--ISNUMBER(SEARCH('Bad Patterns'!$A$2:$A$120,B9466)),0),0)),""))</f>
        <v/>
      </c>
      <c r="D9466">
        <f>IF(B9466="","",IF(C9466&lt;&gt;"","REMOVE","KEEP"))</f>
        <v/>
      </c>
      <c r="E9466">
        <f>IF(D9466&lt;&gt;"KEEP","",IF(RIGHT(B9466,10)="@gmail.com","Gmail",IF(OR(RIGHT(B9466,12)="@outlook.com",RIGHT(B9466,12)="@hotmail.com",RIGHT(B9466,9)="@live.com"),"Outlook","Domain")))</f>
        <v/>
      </c>
      <c r="F9466">
        <f>IF(B9466="","",IFERROR(RIGHT(B9466,LEN(B9466)-FIND("@",B9466)),""))</f>
        <v/>
      </c>
      <c r="G9466">
        <f>IF(D9466="KEEP",COUNTIF($D$2:D9466,"KEEP"),"")</f>
        <v/>
      </c>
      <c r="H9466">
        <f>IF(D9466="REMOVE",COUNTIF($D$2:D9466,"REMOVE"),"")</f>
        <v/>
      </c>
      <c r="I9466">
        <f>IF(E9466="Gmail",COUNTIF($E$2:E9466,"Gmail"),"")</f>
        <v/>
      </c>
      <c r="J9466">
        <f>IF(E9466="Outlook",COUNTIF($E$2:E9466,"Outlook"),"")</f>
        <v/>
      </c>
      <c r="K9466">
        <f>IF(E9466="Domain",COUNTIF($E$2:E9466,"Domain"),"")</f>
        <v/>
      </c>
    </row>
    <row r="9467">
      <c r="A9467" s="2" t="n"/>
      <c r="B9467">
        <f>LOWER(TRIM(A9467))</f>
        <v/>
      </c>
      <c r="C9467">
        <f>IF(B9467="","",IFERROR(INDEX('Bad Patterns'!$A$2:$A$120,MATCH(1,INDEX(--ISNUMBER(SEARCH('Bad Patterns'!$A$2:$A$120,B9467)),0),0)),""))</f>
        <v/>
      </c>
      <c r="D9467">
        <f>IF(B9467="","",IF(C9467&lt;&gt;"","REMOVE","KEEP"))</f>
        <v/>
      </c>
      <c r="E9467">
        <f>IF(D9467&lt;&gt;"KEEP","",IF(RIGHT(B9467,10)="@gmail.com","Gmail",IF(OR(RIGHT(B9467,12)="@outlook.com",RIGHT(B9467,12)="@hotmail.com",RIGHT(B9467,9)="@live.com"),"Outlook","Domain")))</f>
        <v/>
      </c>
      <c r="F9467">
        <f>IF(B9467="","",IFERROR(RIGHT(B9467,LEN(B9467)-FIND("@",B9467)),""))</f>
        <v/>
      </c>
      <c r="G9467">
        <f>IF(D9467="KEEP",COUNTIF($D$2:D9467,"KEEP"),"")</f>
        <v/>
      </c>
      <c r="H9467">
        <f>IF(D9467="REMOVE",COUNTIF($D$2:D9467,"REMOVE"),"")</f>
        <v/>
      </c>
      <c r="I9467">
        <f>IF(E9467="Gmail",COUNTIF($E$2:E9467,"Gmail"),"")</f>
        <v/>
      </c>
      <c r="J9467">
        <f>IF(E9467="Outlook",COUNTIF($E$2:E9467,"Outlook"),"")</f>
        <v/>
      </c>
      <c r="K9467">
        <f>IF(E9467="Domain",COUNTIF($E$2:E9467,"Domain"),"")</f>
        <v/>
      </c>
    </row>
    <row r="9468">
      <c r="A9468" s="2" t="n"/>
      <c r="B9468">
        <f>LOWER(TRIM(A9468))</f>
        <v/>
      </c>
      <c r="C9468">
        <f>IF(B9468="","",IFERROR(INDEX('Bad Patterns'!$A$2:$A$120,MATCH(1,INDEX(--ISNUMBER(SEARCH('Bad Patterns'!$A$2:$A$120,B9468)),0),0)),""))</f>
        <v/>
      </c>
      <c r="D9468">
        <f>IF(B9468="","",IF(C9468&lt;&gt;"","REMOVE","KEEP"))</f>
        <v/>
      </c>
      <c r="E9468">
        <f>IF(D9468&lt;&gt;"KEEP","",IF(RIGHT(B9468,10)="@gmail.com","Gmail",IF(OR(RIGHT(B9468,12)="@outlook.com",RIGHT(B9468,12)="@hotmail.com",RIGHT(B9468,9)="@live.com"),"Outlook","Domain")))</f>
        <v/>
      </c>
      <c r="F9468">
        <f>IF(B9468="","",IFERROR(RIGHT(B9468,LEN(B9468)-FIND("@",B9468)),""))</f>
        <v/>
      </c>
      <c r="G9468">
        <f>IF(D9468="KEEP",COUNTIF($D$2:D9468,"KEEP"),"")</f>
        <v/>
      </c>
      <c r="H9468">
        <f>IF(D9468="REMOVE",COUNTIF($D$2:D9468,"REMOVE"),"")</f>
        <v/>
      </c>
      <c r="I9468">
        <f>IF(E9468="Gmail",COUNTIF($E$2:E9468,"Gmail"),"")</f>
        <v/>
      </c>
      <c r="J9468">
        <f>IF(E9468="Outlook",COUNTIF($E$2:E9468,"Outlook"),"")</f>
        <v/>
      </c>
      <c r="K9468">
        <f>IF(E9468="Domain",COUNTIF($E$2:E9468,"Domain"),"")</f>
        <v/>
      </c>
    </row>
    <row r="9469">
      <c r="A9469" s="2" t="n"/>
      <c r="B9469">
        <f>LOWER(TRIM(A9469))</f>
        <v/>
      </c>
      <c r="C9469">
        <f>IF(B9469="","",IFERROR(INDEX('Bad Patterns'!$A$2:$A$120,MATCH(1,INDEX(--ISNUMBER(SEARCH('Bad Patterns'!$A$2:$A$120,B9469)),0),0)),""))</f>
        <v/>
      </c>
      <c r="D9469">
        <f>IF(B9469="","",IF(C9469&lt;&gt;"","REMOVE","KEEP"))</f>
        <v/>
      </c>
      <c r="E9469">
        <f>IF(D9469&lt;&gt;"KEEP","",IF(RIGHT(B9469,10)="@gmail.com","Gmail",IF(OR(RIGHT(B9469,12)="@outlook.com",RIGHT(B9469,12)="@hotmail.com",RIGHT(B9469,9)="@live.com"),"Outlook","Domain")))</f>
        <v/>
      </c>
      <c r="F9469">
        <f>IF(B9469="","",IFERROR(RIGHT(B9469,LEN(B9469)-FIND("@",B9469)),""))</f>
        <v/>
      </c>
      <c r="G9469">
        <f>IF(D9469="KEEP",COUNTIF($D$2:D9469,"KEEP"),"")</f>
        <v/>
      </c>
      <c r="H9469">
        <f>IF(D9469="REMOVE",COUNTIF($D$2:D9469,"REMOVE"),"")</f>
        <v/>
      </c>
      <c r="I9469">
        <f>IF(E9469="Gmail",COUNTIF($E$2:E9469,"Gmail"),"")</f>
        <v/>
      </c>
      <c r="J9469">
        <f>IF(E9469="Outlook",COUNTIF($E$2:E9469,"Outlook"),"")</f>
        <v/>
      </c>
      <c r="K9469">
        <f>IF(E9469="Domain",COUNTIF($E$2:E9469,"Domain"),"")</f>
        <v/>
      </c>
    </row>
    <row r="9470">
      <c r="A9470" s="2" t="n"/>
      <c r="B9470">
        <f>LOWER(TRIM(A9470))</f>
        <v/>
      </c>
      <c r="C9470">
        <f>IF(B9470="","",IFERROR(INDEX('Bad Patterns'!$A$2:$A$120,MATCH(1,INDEX(--ISNUMBER(SEARCH('Bad Patterns'!$A$2:$A$120,B9470)),0),0)),""))</f>
        <v/>
      </c>
      <c r="D9470">
        <f>IF(B9470="","",IF(C9470&lt;&gt;"","REMOVE","KEEP"))</f>
        <v/>
      </c>
      <c r="E9470">
        <f>IF(D9470&lt;&gt;"KEEP","",IF(RIGHT(B9470,10)="@gmail.com","Gmail",IF(OR(RIGHT(B9470,12)="@outlook.com",RIGHT(B9470,12)="@hotmail.com",RIGHT(B9470,9)="@live.com"),"Outlook","Domain")))</f>
        <v/>
      </c>
      <c r="F9470">
        <f>IF(B9470="","",IFERROR(RIGHT(B9470,LEN(B9470)-FIND("@",B9470)),""))</f>
        <v/>
      </c>
      <c r="G9470">
        <f>IF(D9470="KEEP",COUNTIF($D$2:D9470,"KEEP"),"")</f>
        <v/>
      </c>
      <c r="H9470">
        <f>IF(D9470="REMOVE",COUNTIF($D$2:D9470,"REMOVE"),"")</f>
        <v/>
      </c>
      <c r="I9470">
        <f>IF(E9470="Gmail",COUNTIF($E$2:E9470,"Gmail"),"")</f>
        <v/>
      </c>
      <c r="J9470">
        <f>IF(E9470="Outlook",COUNTIF($E$2:E9470,"Outlook"),"")</f>
        <v/>
      </c>
      <c r="K9470">
        <f>IF(E9470="Domain",COUNTIF($E$2:E9470,"Domain"),"")</f>
        <v/>
      </c>
    </row>
    <row r="9471">
      <c r="A9471" s="2" t="n"/>
      <c r="B9471">
        <f>LOWER(TRIM(A9471))</f>
        <v/>
      </c>
      <c r="C9471">
        <f>IF(B9471="","",IFERROR(INDEX('Bad Patterns'!$A$2:$A$120,MATCH(1,INDEX(--ISNUMBER(SEARCH('Bad Patterns'!$A$2:$A$120,B9471)),0),0)),""))</f>
        <v/>
      </c>
      <c r="D9471">
        <f>IF(B9471="","",IF(C9471&lt;&gt;"","REMOVE","KEEP"))</f>
        <v/>
      </c>
      <c r="E9471">
        <f>IF(D9471&lt;&gt;"KEEP","",IF(RIGHT(B9471,10)="@gmail.com","Gmail",IF(OR(RIGHT(B9471,12)="@outlook.com",RIGHT(B9471,12)="@hotmail.com",RIGHT(B9471,9)="@live.com"),"Outlook","Domain")))</f>
        <v/>
      </c>
      <c r="F9471">
        <f>IF(B9471="","",IFERROR(RIGHT(B9471,LEN(B9471)-FIND("@",B9471)),""))</f>
        <v/>
      </c>
      <c r="G9471">
        <f>IF(D9471="KEEP",COUNTIF($D$2:D9471,"KEEP"),"")</f>
        <v/>
      </c>
      <c r="H9471">
        <f>IF(D9471="REMOVE",COUNTIF($D$2:D9471,"REMOVE"),"")</f>
        <v/>
      </c>
      <c r="I9471">
        <f>IF(E9471="Gmail",COUNTIF($E$2:E9471,"Gmail"),"")</f>
        <v/>
      </c>
      <c r="J9471">
        <f>IF(E9471="Outlook",COUNTIF($E$2:E9471,"Outlook"),"")</f>
        <v/>
      </c>
      <c r="K9471">
        <f>IF(E9471="Domain",COUNTIF($E$2:E9471,"Domain"),"")</f>
        <v/>
      </c>
    </row>
    <row r="9472">
      <c r="A9472" s="2" t="n"/>
      <c r="B9472">
        <f>LOWER(TRIM(A9472))</f>
        <v/>
      </c>
      <c r="C9472">
        <f>IF(B9472="","",IFERROR(INDEX('Bad Patterns'!$A$2:$A$120,MATCH(1,INDEX(--ISNUMBER(SEARCH('Bad Patterns'!$A$2:$A$120,B9472)),0),0)),""))</f>
        <v/>
      </c>
      <c r="D9472">
        <f>IF(B9472="","",IF(C9472&lt;&gt;"","REMOVE","KEEP"))</f>
        <v/>
      </c>
      <c r="E9472">
        <f>IF(D9472&lt;&gt;"KEEP","",IF(RIGHT(B9472,10)="@gmail.com","Gmail",IF(OR(RIGHT(B9472,12)="@outlook.com",RIGHT(B9472,12)="@hotmail.com",RIGHT(B9472,9)="@live.com"),"Outlook","Domain")))</f>
        <v/>
      </c>
      <c r="F9472">
        <f>IF(B9472="","",IFERROR(RIGHT(B9472,LEN(B9472)-FIND("@",B9472)),""))</f>
        <v/>
      </c>
      <c r="G9472">
        <f>IF(D9472="KEEP",COUNTIF($D$2:D9472,"KEEP"),"")</f>
        <v/>
      </c>
      <c r="H9472">
        <f>IF(D9472="REMOVE",COUNTIF($D$2:D9472,"REMOVE"),"")</f>
        <v/>
      </c>
      <c r="I9472">
        <f>IF(E9472="Gmail",COUNTIF($E$2:E9472,"Gmail"),"")</f>
        <v/>
      </c>
      <c r="J9472">
        <f>IF(E9472="Outlook",COUNTIF($E$2:E9472,"Outlook"),"")</f>
        <v/>
      </c>
      <c r="K9472">
        <f>IF(E9472="Domain",COUNTIF($E$2:E9472,"Domain"),"")</f>
        <v/>
      </c>
    </row>
    <row r="9473">
      <c r="A9473" s="2" t="n"/>
      <c r="B9473">
        <f>LOWER(TRIM(A9473))</f>
        <v/>
      </c>
      <c r="C9473">
        <f>IF(B9473="","",IFERROR(INDEX('Bad Patterns'!$A$2:$A$120,MATCH(1,INDEX(--ISNUMBER(SEARCH('Bad Patterns'!$A$2:$A$120,B9473)),0),0)),""))</f>
        <v/>
      </c>
      <c r="D9473">
        <f>IF(B9473="","",IF(C9473&lt;&gt;"","REMOVE","KEEP"))</f>
        <v/>
      </c>
      <c r="E9473">
        <f>IF(D9473&lt;&gt;"KEEP","",IF(RIGHT(B9473,10)="@gmail.com","Gmail",IF(OR(RIGHT(B9473,12)="@outlook.com",RIGHT(B9473,12)="@hotmail.com",RIGHT(B9473,9)="@live.com"),"Outlook","Domain")))</f>
        <v/>
      </c>
      <c r="F9473">
        <f>IF(B9473="","",IFERROR(RIGHT(B9473,LEN(B9473)-FIND("@",B9473)),""))</f>
        <v/>
      </c>
      <c r="G9473">
        <f>IF(D9473="KEEP",COUNTIF($D$2:D9473,"KEEP"),"")</f>
        <v/>
      </c>
      <c r="H9473">
        <f>IF(D9473="REMOVE",COUNTIF($D$2:D9473,"REMOVE"),"")</f>
        <v/>
      </c>
      <c r="I9473">
        <f>IF(E9473="Gmail",COUNTIF($E$2:E9473,"Gmail"),"")</f>
        <v/>
      </c>
      <c r="J9473">
        <f>IF(E9473="Outlook",COUNTIF($E$2:E9473,"Outlook"),"")</f>
        <v/>
      </c>
      <c r="K9473">
        <f>IF(E9473="Domain",COUNTIF($E$2:E9473,"Domain"),"")</f>
        <v/>
      </c>
    </row>
    <row r="9474">
      <c r="A9474" s="2" t="n"/>
      <c r="B9474">
        <f>LOWER(TRIM(A9474))</f>
        <v/>
      </c>
      <c r="C9474">
        <f>IF(B9474="","",IFERROR(INDEX('Bad Patterns'!$A$2:$A$120,MATCH(1,INDEX(--ISNUMBER(SEARCH('Bad Patterns'!$A$2:$A$120,B9474)),0),0)),""))</f>
        <v/>
      </c>
      <c r="D9474">
        <f>IF(B9474="","",IF(C9474&lt;&gt;"","REMOVE","KEEP"))</f>
        <v/>
      </c>
      <c r="E9474">
        <f>IF(D9474&lt;&gt;"KEEP","",IF(RIGHT(B9474,10)="@gmail.com","Gmail",IF(OR(RIGHT(B9474,12)="@outlook.com",RIGHT(B9474,12)="@hotmail.com",RIGHT(B9474,9)="@live.com"),"Outlook","Domain")))</f>
        <v/>
      </c>
      <c r="F9474">
        <f>IF(B9474="","",IFERROR(RIGHT(B9474,LEN(B9474)-FIND("@",B9474)),""))</f>
        <v/>
      </c>
      <c r="G9474">
        <f>IF(D9474="KEEP",COUNTIF($D$2:D9474,"KEEP"),"")</f>
        <v/>
      </c>
      <c r="H9474">
        <f>IF(D9474="REMOVE",COUNTIF($D$2:D9474,"REMOVE"),"")</f>
        <v/>
      </c>
      <c r="I9474">
        <f>IF(E9474="Gmail",COUNTIF($E$2:E9474,"Gmail"),"")</f>
        <v/>
      </c>
      <c r="J9474">
        <f>IF(E9474="Outlook",COUNTIF($E$2:E9474,"Outlook"),"")</f>
        <v/>
      </c>
      <c r="K9474">
        <f>IF(E9474="Domain",COUNTIF($E$2:E9474,"Domain"),"")</f>
        <v/>
      </c>
    </row>
    <row r="9475">
      <c r="A9475" s="2" t="n"/>
      <c r="B9475">
        <f>LOWER(TRIM(A9475))</f>
        <v/>
      </c>
      <c r="C9475">
        <f>IF(B9475="","",IFERROR(INDEX('Bad Patterns'!$A$2:$A$120,MATCH(1,INDEX(--ISNUMBER(SEARCH('Bad Patterns'!$A$2:$A$120,B9475)),0),0)),""))</f>
        <v/>
      </c>
      <c r="D9475">
        <f>IF(B9475="","",IF(C9475&lt;&gt;"","REMOVE","KEEP"))</f>
        <v/>
      </c>
      <c r="E9475">
        <f>IF(D9475&lt;&gt;"KEEP","",IF(RIGHT(B9475,10)="@gmail.com","Gmail",IF(OR(RIGHT(B9475,12)="@outlook.com",RIGHT(B9475,12)="@hotmail.com",RIGHT(B9475,9)="@live.com"),"Outlook","Domain")))</f>
        <v/>
      </c>
      <c r="F9475">
        <f>IF(B9475="","",IFERROR(RIGHT(B9475,LEN(B9475)-FIND("@",B9475)),""))</f>
        <v/>
      </c>
      <c r="G9475">
        <f>IF(D9475="KEEP",COUNTIF($D$2:D9475,"KEEP"),"")</f>
        <v/>
      </c>
      <c r="H9475">
        <f>IF(D9475="REMOVE",COUNTIF($D$2:D9475,"REMOVE"),"")</f>
        <v/>
      </c>
      <c r="I9475">
        <f>IF(E9475="Gmail",COUNTIF($E$2:E9475,"Gmail"),"")</f>
        <v/>
      </c>
      <c r="J9475">
        <f>IF(E9475="Outlook",COUNTIF($E$2:E9475,"Outlook"),"")</f>
        <v/>
      </c>
      <c r="K9475">
        <f>IF(E9475="Domain",COUNTIF($E$2:E9475,"Domain"),"")</f>
        <v/>
      </c>
    </row>
    <row r="9476">
      <c r="A9476" s="2" t="n"/>
      <c r="B9476">
        <f>LOWER(TRIM(A9476))</f>
        <v/>
      </c>
      <c r="C9476">
        <f>IF(B9476="","",IFERROR(INDEX('Bad Patterns'!$A$2:$A$120,MATCH(1,INDEX(--ISNUMBER(SEARCH('Bad Patterns'!$A$2:$A$120,B9476)),0),0)),""))</f>
        <v/>
      </c>
      <c r="D9476">
        <f>IF(B9476="","",IF(C9476&lt;&gt;"","REMOVE","KEEP"))</f>
        <v/>
      </c>
      <c r="E9476">
        <f>IF(D9476&lt;&gt;"KEEP","",IF(RIGHT(B9476,10)="@gmail.com","Gmail",IF(OR(RIGHT(B9476,12)="@outlook.com",RIGHT(B9476,12)="@hotmail.com",RIGHT(B9476,9)="@live.com"),"Outlook","Domain")))</f>
        <v/>
      </c>
      <c r="F9476">
        <f>IF(B9476="","",IFERROR(RIGHT(B9476,LEN(B9476)-FIND("@",B9476)),""))</f>
        <v/>
      </c>
      <c r="G9476">
        <f>IF(D9476="KEEP",COUNTIF($D$2:D9476,"KEEP"),"")</f>
        <v/>
      </c>
      <c r="H9476">
        <f>IF(D9476="REMOVE",COUNTIF($D$2:D9476,"REMOVE"),"")</f>
        <v/>
      </c>
      <c r="I9476">
        <f>IF(E9476="Gmail",COUNTIF($E$2:E9476,"Gmail"),"")</f>
        <v/>
      </c>
      <c r="J9476">
        <f>IF(E9476="Outlook",COUNTIF($E$2:E9476,"Outlook"),"")</f>
        <v/>
      </c>
      <c r="K9476">
        <f>IF(E9476="Domain",COUNTIF($E$2:E9476,"Domain"),"")</f>
        <v/>
      </c>
    </row>
    <row r="9477">
      <c r="A9477" s="2" t="n"/>
      <c r="B9477">
        <f>LOWER(TRIM(A9477))</f>
        <v/>
      </c>
      <c r="C9477">
        <f>IF(B9477="","",IFERROR(INDEX('Bad Patterns'!$A$2:$A$120,MATCH(1,INDEX(--ISNUMBER(SEARCH('Bad Patterns'!$A$2:$A$120,B9477)),0),0)),""))</f>
        <v/>
      </c>
      <c r="D9477">
        <f>IF(B9477="","",IF(C9477&lt;&gt;"","REMOVE","KEEP"))</f>
        <v/>
      </c>
      <c r="E9477">
        <f>IF(D9477&lt;&gt;"KEEP","",IF(RIGHT(B9477,10)="@gmail.com","Gmail",IF(OR(RIGHT(B9477,12)="@outlook.com",RIGHT(B9477,12)="@hotmail.com",RIGHT(B9477,9)="@live.com"),"Outlook","Domain")))</f>
        <v/>
      </c>
      <c r="F9477">
        <f>IF(B9477="","",IFERROR(RIGHT(B9477,LEN(B9477)-FIND("@",B9477)),""))</f>
        <v/>
      </c>
      <c r="G9477">
        <f>IF(D9477="KEEP",COUNTIF($D$2:D9477,"KEEP"),"")</f>
        <v/>
      </c>
      <c r="H9477">
        <f>IF(D9477="REMOVE",COUNTIF($D$2:D9477,"REMOVE"),"")</f>
        <v/>
      </c>
      <c r="I9477">
        <f>IF(E9477="Gmail",COUNTIF($E$2:E9477,"Gmail"),"")</f>
        <v/>
      </c>
      <c r="J9477">
        <f>IF(E9477="Outlook",COUNTIF($E$2:E9477,"Outlook"),"")</f>
        <v/>
      </c>
      <c r="K9477">
        <f>IF(E9477="Domain",COUNTIF($E$2:E9477,"Domain"),"")</f>
        <v/>
      </c>
    </row>
    <row r="9478">
      <c r="A9478" s="2" t="n"/>
      <c r="B9478">
        <f>LOWER(TRIM(A9478))</f>
        <v/>
      </c>
      <c r="C9478">
        <f>IF(B9478="","",IFERROR(INDEX('Bad Patterns'!$A$2:$A$120,MATCH(1,INDEX(--ISNUMBER(SEARCH('Bad Patterns'!$A$2:$A$120,B9478)),0),0)),""))</f>
        <v/>
      </c>
      <c r="D9478">
        <f>IF(B9478="","",IF(C9478&lt;&gt;"","REMOVE","KEEP"))</f>
        <v/>
      </c>
      <c r="E9478">
        <f>IF(D9478&lt;&gt;"KEEP","",IF(RIGHT(B9478,10)="@gmail.com","Gmail",IF(OR(RIGHT(B9478,12)="@outlook.com",RIGHT(B9478,12)="@hotmail.com",RIGHT(B9478,9)="@live.com"),"Outlook","Domain")))</f>
        <v/>
      </c>
      <c r="F9478">
        <f>IF(B9478="","",IFERROR(RIGHT(B9478,LEN(B9478)-FIND("@",B9478)),""))</f>
        <v/>
      </c>
      <c r="G9478">
        <f>IF(D9478="KEEP",COUNTIF($D$2:D9478,"KEEP"),"")</f>
        <v/>
      </c>
      <c r="H9478">
        <f>IF(D9478="REMOVE",COUNTIF($D$2:D9478,"REMOVE"),"")</f>
        <v/>
      </c>
      <c r="I9478">
        <f>IF(E9478="Gmail",COUNTIF($E$2:E9478,"Gmail"),"")</f>
        <v/>
      </c>
      <c r="J9478">
        <f>IF(E9478="Outlook",COUNTIF($E$2:E9478,"Outlook"),"")</f>
        <v/>
      </c>
      <c r="K9478">
        <f>IF(E9478="Domain",COUNTIF($E$2:E9478,"Domain"),"")</f>
        <v/>
      </c>
    </row>
    <row r="9479">
      <c r="A9479" s="2" t="n"/>
      <c r="B9479">
        <f>LOWER(TRIM(A9479))</f>
        <v/>
      </c>
      <c r="C9479">
        <f>IF(B9479="","",IFERROR(INDEX('Bad Patterns'!$A$2:$A$120,MATCH(1,INDEX(--ISNUMBER(SEARCH('Bad Patterns'!$A$2:$A$120,B9479)),0),0)),""))</f>
        <v/>
      </c>
      <c r="D9479">
        <f>IF(B9479="","",IF(C9479&lt;&gt;"","REMOVE","KEEP"))</f>
        <v/>
      </c>
      <c r="E9479">
        <f>IF(D9479&lt;&gt;"KEEP","",IF(RIGHT(B9479,10)="@gmail.com","Gmail",IF(OR(RIGHT(B9479,12)="@outlook.com",RIGHT(B9479,12)="@hotmail.com",RIGHT(B9479,9)="@live.com"),"Outlook","Domain")))</f>
        <v/>
      </c>
      <c r="F9479">
        <f>IF(B9479="","",IFERROR(RIGHT(B9479,LEN(B9479)-FIND("@",B9479)),""))</f>
        <v/>
      </c>
      <c r="G9479">
        <f>IF(D9479="KEEP",COUNTIF($D$2:D9479,"KEEP"),"")</f>
        <v/>
      </c>
      <c r="H9479">
        <f>IF(D9479="REMOVE",COUNTIF($D$2:D9479,"REMOVE"),"")</f>
        <v/>
      </c>
      <c r="I9479">
        <f>IF(E9479="Gmail",COUNTIF($E$2:E9479,"Gmail"),"")</f>
        <v/>
      </c>
      <c r="J9479">
        <f>IF(E9479="Outlook",COUNTIF($E$2:E9479,"Outlook"),"")</f>
        <v/>
      </c>
      <c r="K9479">
        <f>IF(E9479="Domain",COUNTIF($E$2:E9479,"Domain"),"")</f>
        <v/>
      </c>
    </row>
    <row r="9480">
      <c r="A9480" s="2" t="n"/>
      <c r="B9480">
        <f>LOWER(TRIM(A9480))</f>
        <v/>
      </c>
      <c r="C9480">
        <f>IF(B9480="","",IFERROR(INDEX('Bad Patterns'!$A$2:$A$120,MATCH(1,INDEX(--ISNUMBER(SEARCH('Bad Patterns'!$A$2:$A$120,B9480)),0),0)),""))</f>
        <v/>
      </c>
      <c r="D9480">
        <f>IF(B9480="","",IF(C9480&lt;&gt;"","REMOVE","KEEP"))</f>
        <v/>
      </c>
      <c r="E9480">
        <f>IF(D9480&lt;&gt;"KEEP","",IF(RIGHT(B9480,10)="@gmail.com","Gmail",IF(OR(RIGHT(B9480,12)="@outlook.com",RIGHT(B9480,12)="@hotmail.com",RIGHT(B9480,9)="@live.com"),"Outlook","Domain")))</f>
        <v/>
      </c>
      <c r="F9480">
        <f>IF(B9480="","",IFERROR(RIGHT(B9480,LEN(B9480)-FIND("@",B9480)),""))</f>
        <v/>
      </c>
      <c r="G9480">
        <f>IF(D9480="KEEP",COUNTIF($D$2:D9480,"KEEP"),"")</f>
        <v/>
      </c>
      <c r="H9480">
        <f>IF(D9480="REMOVE",COUNTIF($D$2:D9480,"REMOVE"),"")</f>
        <v/>
      </c>
      <c r="I9480">
        <f>IF(E9480="Gmail",COUNTIF($E$2:E9480,"Gmail"),"")</f>
        <v/>
      </c>
      <c r="J9480">
        <f>IF(E9480="Outlook",COUNTIF($E$2:E9480,"Outlook"),"")</f>
        <v/>
      </c>
      <c r="K9480">
        <f>IF(E9480="Domain",COUNTIF($E$2:E9480,"Domain"),"")</f>
        <v/>
      </c>
    </row>
    <row r="9481">
      <c r="A9481" s="2" t="n"/>
      <c r="B9481">
        <f>LOWER(TRIM(A9481))</f>
        <v/>
      </c>
      <c r="C9481">
        <f>IF(B9481="","",IFERROR(INDEX('Bad Patterns'!$A$2:$A$120,MATCH(1,INDEX(--ISNUMBER(SEARCH('Bad Patterns'!$A$2:$A$120,B9481)),0),0)),""))</f>
        <v/>
      </c>
      <c r="D9481">
        <f>IF(B9481="","",IF(C9481&lt;&gt;"","REMOVE","KEEP"))</f>
        <v/>
      </c>
      <c r="E9481">
        <f>IF(D9481&lt;&gt;"KEEP","",IF(RIGHT(B9481,10)="@gmail.com","Gmail",IF(OR(RIGHT(B9481,12)="@outlook.com",RIGHT(B9481,12)="@hotmail.com",RIGHT(B9481,9)="@live.com"),"Outlook","Domain")))</f>
        <v/>
      </c>
      <c r="F9481">
        <f>IF(B9481="","",IFERROR(RIGHT(B9481,LEN(B9481)-FIND("@",B9481)),""))</f>
        <v/>
      </c>
      <c r="G9481">
        <f>IF(D9481="KEEP",COUNTIF($D$2:D9481,"KEEP"),"")</f>
        <v/>
      </c>
      <c r="H9481">
        <f>IF(D9481="REMOVE",COUNTIF($D$2:D9481,"REMOVE"),"")</f>
        <v/>
      </c>
      <c r="I9481">
        <f>IF(E9481="Gmail",COUNTIF($E$2:E9481,"Gmail"),"")</f>
        <v/>
      </c>
      <c r="J9481">
        <f>IF(E9481="Outlook",COUNTIF($E$2:E9481,"Outlook"),"")</f>
        <v/>
      </c>
      <c r="K9481">
        <f>IF(E9481="Domain",COUNTIF($E$2:E9481,"Domain"),"")</f>
        <v/>
      </c>
    </row>
    <row r="9482">
      <c r="A9482" s="2" t="n"/>
      <c r="B9482">
        <f>LOWER(TRIM(A9482))</f>
        <v/>
      </c>
      <c r="C9482">
        <f>IF(B9482="","",IFERROR(INDEX('Bad Patterns'!$A$2:$A$120,MATCH(1,INDEX(--ISNUMBER(SEARCH('Bad Patterns'!$A$2:$A$120,B9482)),0),0)),""))</f>
        <v/>
      </c>
      <c r="D9482">
        <f>IF(B9482="","",IF(C9482&lt;&gt;"","REMOVE","KEEP"))</f>
        <v/>
      </c>
      <c r="E9482">
        <f>IF(D9482&lt;&gt;"KEEP","",IF(RIGHT(B9482,10)="@gmail.com","Gmail",IF(OR(RIGHT(B9482,12)="@outlook.com",RIGHT(B9482,12)="@hotmail.com",RIGHT(B9482,9)="@live.com"),"Outlook","Domain")))</f>
        <v/>
      </c>
      <c r="F9482">
        <f>IF(B9482="","",IFERROR(RIGHT(B9482,LEN(B9482)-FIND("@",B9482)),""))</f>
        <v/>
      </c>
      <c r="G9482">
        <f>IF(D9482="KEEP",COUNTIF($D$2:D9482,"KEEP"),"")</f>
        <v/>
      </c>
      <c r="H9482">
        <f>IF(D9482="REMOVE",COUNTIF($D$2:D9482,"REMOVE"),"")</f>
        <v/>
      </c>
      <c r="I9482">
        <f>IF(E9482="Gmail",COUNTIF($E$2:E9482,"Gmail"),"")</f>
        <v/>
      </c>
      <c r="J9482">
        <f>IF(E9482="Outlook",COUNTIF($E$2:E9482,"Outlook"),"")</f>
        <v/>
      </c>
      <c r="K9482">
        <f>IF(E9482="Domain",COUNTIF($E$2:E9482,"Domain"),"")</f>
        <v/>
      </c>
    </row>
    <row r="9483">
      <c r="A9483" s="2" t="n"/>
      <c r="B9483">
        <f>LOWER(TRIM(A9483))</f>
        <v/>
      </c>
      <c r="C9483">
        <f>IF(B9483="","",IFERROR(INDEX('Bad Patterns'!$A$2:$A$120,MATCH(1,INDEX(--ISNUMBER(SEARCH('Bad Patterns'!$A$2:$A$120,B9483)),0),0)),""))</f>
        <v/>
      </c>
      <c r="D9483">
        <f>IF(B9483="","",IF(C9483&lt;&gt;"","REMOVE","KEEP"))</f>
        <v/>
      </c>
      <c r="E9483">
        <f>IF(D9483&lt;&gt;"KEEP","",IF(RIGHT(B9483,10)="@gmail.com","Gmail",IF(OR(RIGHT(B9483,12)="@outlook.com",RIGHT(B9483,12)="@hotmail.com",RIGHT(B9483,9)="@live.com"),"Outlook","Domain")))</f>
        <v/>
      </c>
      <c r="F9483">
        <f>IF(B9483="","",IFERROR(RIGHT(B9483,LEN(B9483)-FIND("@",B9483)),""))</f>
        <v/>
      </c>
      <c r="G9483">
        <f>IF(D9483="KEEP",COUNTIF($D$2:D9483,"KEEP"),"")</f>
        <v/>
      </c>
      <c r="H9483">
        <f>IF(D9483="REMOVE",COUNTIF($D$2:D9483,"REMOVE"),"")</f>
        <v/>
      </c>
      <c r="I9483">
        <f>IF(E9483="Gmail",COUNTIF($E$2:E9483,"Gmail"),"")</f>
        <v/>
      </c>
      <c r="J9483">
        <f>IF(E9483="Outlook",COUNTIF($E$2:E9483,"Outlook"),"")</f>
        <v/>
      </c>
      <c r="K9483">
        <f>IF(E9483="Domain",COUNTIF($E$2:E9483,"Domain"),"")</f>
        <v/>
      </c>
    </row>
    <row r="9484">
      <c r="A9484" s="2" t="n"/>
      <c r="B9484">
        <f>LOWER(TRIM(A9484))</f>
        <v/>
      </c>
      <c r="C9484">
        <f>IF(B9484="","",IFERROR(INDEX('Bad Patterns'!$A$2:$A$120,MATCH(1,INDEX(--ISNUMBER(SEARCH('Bad Patterns'!$A$2:$A$120,B9484)),0),0)),""))</f>
        <v/>
      </c>
      <c r="D9484">
        <f>IF(B9484="","",IF(C9484&lt;&gt;"","REMOVE","KEEP"))</f>
        <v/>
      </c>
      <c r="E9484">
        <f>IF(D9484&lt;&gt;"KEEP","",IF(RIGHT(B9484,10)="@gmail.com","Gmail",IF(OR(RIGHT(B9484,12)="@outlook.com",RIGHT(B9484,12)="@hotmail.com",RIGHT(B9484,9)="@live.com"),"Outlook","Domain")))</f>
        <v/>
      </c>
      <c r="F9484">
        <f>IF(B9484="","",IFERROR(RIGHT(B9484,LEN(B9484)-FIND("@",B9484)),""))</f>
        <v/>
      </c>
      <c r="G9484">
        <f>IF(D9484="KEEP",COUNTIF($D$2:D9484,"KEEP"),"")</f>
        <v/>
      </c>
      <c r="H9484">
        <f>IF(D9484="REMOVE",COUNTIF($D$2:D9484,"REMOVE"),"")</f>
        <v/>
      </c>
      <c r="I9484">
        <f>IF(E9484="Gmail",COUNTIF($E$2:E9484,"Gmail"),"")</f>
        <v/>
      </c>
      <c r="J9484">
        <f>IF(E9484="Outlook",COUNTIF($E$2:E9484,"Outlook"),"")</f>
        <v/>
      </c>
      <c r="K9484">
        <f>IF(E9484="Domain",COUNTIF($E$2:E9484,"Domain"),"")</f>
        <v/>
      </c>
    </row>
    <row r="9485">
      <c r="A9485" s="2" t="n"/>
      <c r="B9485">
        <f>LOWER(TRIM(A9485))</f>
        <v/>
      </c>
      <c r="C9485">
        <f>IF(B9485="","",IFERROR(INDEX('Bad Patterns'!$A$2:$A$120,MATCH(1,INDEX(--ISNUMBER(SEARCH('Bad Patterns'!$A$2:$A$120,B9485)),0),0)),""))</f>
        <v/>
      </c>
      <c r="D9485">
        <f>IF(B9485="","",IF(C9485&lt;&gt;"","REMOVE","KEEP"))</f>
        <v/>
      </c>
      <c r="E9485">
        <f>IF(D9485&lt;&gt;"KEEP","",IF(RIGHT(B9485,10)="@gmail.com","Gmail",IF(OR(RIGHT(B9485,12)="@outlook.com",RIGHT(B9485,12)="@hotmail.com",RIGHT(B9485,9)="@live.com"),"Outlook","Domain")))</f>
        <v/>
      </c>
      <c r="F9485">
        <f>IF(B9485="","",IFERROR(RIGHT(B9485,LEN(B9485)-FIND("@",B9485)),""))</f>
        <v/>
      </c>
      <c r="G9485">
        <f>IF(D9485="KEEP",COUNTIF($D$2:D9485,"KEEP"),"")</f>
        <v/>
      </c>
      <c r="H9485">
        <f>IF(D9485="REMOVE",COUNTIF($D$2:D9485,"REMOVE"),"")</f>
        <v/>
      </c>
      <c r="I9485">
        <f>IF(E9485="Gmail",COUNTIF($E$2:E9485,"Gmail"),"")</f>
        <v/>
      </c>
      <c r="J9485">
        <f>IF(E9485="Outlook",COUNTIF($E$2:E9485,"Outlook"),"")</f>
        <v/>
      </c>
      <c r="K9485">
        <f>IF(E9485="Domain",COUNTIF($E$2:E9485,"Domain"),"")</f>
        <v/>
      </c>
    </row>
    <row r="9486">
      <c r="A9486" s="2" t="n"/>
      <c r="B9486">
        <f>LOWER(TRIM(A9486))</f>
        <v/>
      </c>
      <c r="C9486">
        <f>IF(B9486="","",IFERROR(INDEX('Bad Patterns'!$A$2:$A$120,MATCH(1,INDEX(--ISNUMBER(SEARCH('Bad Patterns'!$A$2:$A$120,B9486)),0),0)),""))</f>
        <v/>
      </c>
      <c r="D9486">
        <f>IF(B9486="","",IF(C9486&lt;&gt;"","REMOVE","KEEP"))</f>
        <v/>
      </c>
      <c r="E9486">
        <f>IF(D9486&lt;&gt;"KEEP","",IF(RIGHT(B9486,10)="@gmail.com","Gmail",IF(OR(RIGHT(B9486,12)="@outlook.com",RIGHT(B9486,12)="@hotmail.com",RIGHT(B9486,9)="@live.com"),"Outlook","Domain")))</f>
        <v/>
      </c>
      <c r="F9486">
        <f>IF(B9486="","",IFERROR(RIGHT(B9486,LEN(B9486)-FIND("@",B9486)),""))</f>
        <v/>
      </c>
      <c r="G9486">
        <f>IF(D9486="KEEP",COUNTIF($D$2:D9486,"KEEP"),"")</f>
        <v/>
      </c>
      <c r="H9486">
        <f>IF(D9486="REMOVE",COUNTIF($D$2:D9486,"REMOVE"),"")</f>
        <v/>
      </c>
      <c r="I9486">
        <f>IF(E9486="Gmail",COUNTIF($E$2:E9486,"Gmail"),"")</f>
        <v/>
      </c>
      <c r="J9486">
        <f>IF(E9486="Outlook",COUNTIF($E$2:E9486,"Outlook"),"")</f>
        <v/>
      </c>
      <c r="K9486">
        <f>IF(E9486="Domain",COUNTIF($E$2:E9486,"Domain"),"")</f>
        <v/>
      </c>
    </row>
    <row r="9487">
      <c r="A9487" s="2" t="n"/>
      <c r="B9487">
        <f>LOWER(TRIM(A9487))</f>
        <v/>
      </c>
      <c r="C9487">
        <f>IF(B9487="","",IFERROR(INDEX('Bad Patterns'!$A$2:$A$120,MATCH(1,INDEX(--ISNUMBER(SEARCH('Bad Patterns'!$A$2:$A$120,B9487)),0),0)),""))</f>
        <v/>
      </c>
      <c r="D9487">
        <f>IF(B9487="","",IF(C9487&lt;&gt;"","REMOVE","KEEP"))</f>
        <v/>
      </c>
      <c r="E9487">
        <f>IF(D9487&lt;&gt;"KEEP","",IF(RIGHT(B9487,10)="@gmail.com","Gmail",IF(OR(RIGHT(B9487,12)="@outlook.com",RIGHT(B9487,12)="@hotmail.com",RIGHT(B9487,9)="@live.com"),"Outlook","Domain")))</f>
        <v/>
      </c>
      <c r="F9487">
        <f>IF(B9487="","",IFERROR(RIGHT(B9487,LEN(B9487)-FIND("@",B9487)),""))</f>
        <v/>
      </c>
      <c r="G9487">
        <f>IF(D9487="KEEP",COUNTIF($D$2:D9487,"KEEP"),"")</f>
        <v/>
      </c>
      <c r="H9487">
        <f>IF(D9487="REMOVE",COUNTIF($D$2:D9487,"REMOVE"),"")</f>
        <v/>
      </c>
      <c r="I9487">
        <f>IF(E9487="Gmail",COUNTIF($E$2:E9487,"Gmail"),"")</f>
        <v/>
      </c>
      <c r="J9487">
        <f>IF(E9487="Outlook",COUNTIF($E$2:E9487,"Outlook"),"")</f>
        <v/>
      </c>
      <c r="K9487">
        <f>IF(E9487="Domain",COUNTIF($E$2:E9487,"Domain"),"")</f>
        <v/>
      </c>
    </row>
    <row r="9488">
      <c r="A9488" s="2" t="n"/>
      <c r="B9488">
        <f>LOWER(TRIM(A9488))</f>
        <v/>
      </c>
      <c r="C9488">
        <f>IF(B9488="","",IFERROR(INDEX('Bad Patterns'!$A$2:$A$120,MATCH(1,INDEX(--ISNUMBER(SEARCH('Bad Patterns'!$A$2:$A$120,B9488)),0),0)),""))</f>
        <v/>
      </c>
      <c r="D9488">
        <f>IF(B9488="","",IF(C9488&lt;&gt;"","REMOVE","KEEP"))</f>
        <v/>
      </c>
      <c r="E9488">
        <f>IF(D9488&lt;&gt;"KEEP","",IF(RIGHT(B9488,10)="@gmail.com","Gmail",IF(OR(RIGHT(B9488,12)="@outlook.com",RIGHT(B9488,12)="@hotmail.com",RIGHT(B9488,9)="@live.com"),"Outlook","Domain")))</f>
        <v/>
      </c>
      <c r="F9488">
        <f>IF(B9488="","",IFERROR(RIGHT(B9488,LEN(B9488)-FIND("@",B9488)),""))</f>
        <v/>
      </c>
      <c r="G9488">
        <f>IF(D9488="KEEP",COUNTIF($D$2:D9488,"KEEP"),"")</f>
        <v/>
      </c>
      <c r="H9488">
        <f>IF(D9488="REMOVE",COUNTIF($D$2:D9488,"REMOVE"),"")</f>
        <v/>
      </c>
      <c r="I9488">
        <f>IF(E9488="Gmail",COUNTIF($E$2:E9488,"Gmail"),"")</f>
        <v/>
      </c>
      <c r="J9488">
        <f>IF(E9488="Outlook",COUNTIF($E$2:E9488,"Outlook"),"")</f>
        <v/>
      </c>
      <c r="K9488">
        <f>IF(E9488="Domain",COUNTIF($E$2:E9488,"Domain"),"")</f>
        <v/>
      </c>
    </row>
    <row r="9489">
      <c r="A9489" s="2" t="n"/>
      <c r="B9489">
        <f>LOWER(TRIM(A9489))</f>
        <v/>
      </c>
      <c r="C9489">
        <f>IF(B9489="","",IFERROR(INDEX('Bad Patterns'!$A$2:$A$120,MATCH(1,INDEX(--ISNUMBER(SEARCH('Bad Patterns'!$A$2:$A$120,B9489)),0),0)),""))</f>
        <v/>
      </c>
      <c r="D9489">
        <f>IF(B9489="","",IF(C9489&lt;&gt;"","REMOVE","KEEP"))</f>
        <v/>
      </c>
      <c r="E9489">
        <f>IF(D9489&lt;&gt;"KEEP","",IF(RIGHT(B9489,10)="@gmail.com","Gmail",IF(OR(RIGHT(B9489,12)="@outlook.com",RIGHT(B9489,12)="@hotmail.com",RIGHT(B9489,9)="@live.com"),"Outlook","Domain")))</f>
        <v/>
      </c>
      <c r="F9489">
        <f>IF(B9489="","",IFERROR(RIGHT(B9489,LEN(B9489)-FIND("@",B9489)),""))</f>
        <v/>
      </c>
      <c r="G9489">
        <f>IF(D9489="KEEP",COUNTIF($D$2:D9489,"KEEP"),"")</f>
        <v/>
      </c>
      <c r="H9489">
        <f>IF(D9489="REMOVE",COUNTIF($D$2:D9489,"REMOVE"),"")</f>
        <v/>
      </c>
      <c r="I9489">
        <f>IF(E9489="Gmail",COUNTIF($E$2:E9489,"Gmail"),"")</f>
        <v/>
      </c>
      <c r="J9489">
        <f>IF(E9489="Outlook",COUNTIF($E$2:E9489,"Outlook"),"")</f>
        <v/>
      </c>
      <c r="K9489">
        <f>IF(E9489="Domain",COUNTIF($E$2:E9489,"Domain"),"")</f>
        <v/>
      </c>
    </row>
    <row r="9490">
      <c r="A9490" s="2" t="n"/>
      <c r="B9490">
        <f>LOWER(TRIM(A9490))</f>
        <v/>
      </c>
      <c r="C9490">
        <f>IF(B9490="","",IFERROR(INDEX('Bad Patterns'!$A$2:$A$120,MATCH(1,INDEX(--ISNUMBER(SEARCH('Bad Patterns'!$A$2:$A$120,B9490)),0),0)),""))</f>
        <v/>
      </c>
      <c r="D9490">
        <f>IF(B9490="","",IF(C9490&lt;&gt;"","REMOVE","KEEP"))</f>
        <v/>
      </c>
      <c r="E9490">
        <f>IF(D9490&lt;&gt;"KEEP","",IF(RIGHT(B9490,10)="@gmail.com","Gmail",IF(OR(RIGHT(B9490,12)="@outlook.com",RIGHT(B9490,12)="@hotmail.com",RIGHT(B9490,9)="@live.com"),"Outlook","Domain")))</f>
        <v/>
      </c>
      <c r="F9490">
        <f>IF(B9490="","",IFERROR(RIGHT(B9490,LEN(B9490)-FIND("@",B9490)),""))</f>
        <v/>
      </c>
      <c r="G9490">
        <f>IF(D9490="KEEP",COUNTIF($D$2:D9490,"KEEP"),"")</f>
        <v/>
      </c>
      <c r="H9490">
        <f>IF(D9490="REMOVE",COUNTIF($D$2:D9490,"REMOVE"),"")</f>
        <v/>
      </c>
      <c r="I9490">
        <f>IF(E9490="Gmail",COUNTIF($E$2:E9490,"Gmail"),"")</f>
        <v/>
      </c>
      <c r="J9490">
        <f>IF(E9490="Outlook",COUNTIF($E$2:E9490,"Outlook"),"")</f>
        <v/>
      </c>
      <c r="K9490">
        <f>IF(E9490="Domain",COUNTIF($E$2:E9490,"Domain"),"")</f>
        <v/>
      </c>
    </row>
    <row r="9491">
      <c r="A9491" s="2" t="n"/>
      <c r="B9491">
        <f>LOWER(TRIM(A9491))</f>
        <v/>
      </c>
      <c r="C9491">
        <f>IF(B9491="","",IFERROR(INDEX('Bad Patterns'!$A$2:$A$120,MATCH(1,INDEX(--ISNUMBER(SEARCH('Bad Patterns'!$A$2:$A$120,B9491)),0),0)),""))</f>
        <v/>
      </c>
      <c r="D9491">
        <f>IF(B9491="","",IF(C9491&lt;&gt;"","REMOVE","KEEP"))</f>
        <v/>
      </c>
      <c r="E9491">
        <f>IF(D9491&lt;&gt;"KEEP","",IF(RIGHT(B9491,10)="@gmail.com","Gmail",IF(OR(RIGHT(B9491,12)="@outlook.com",RIGHT(B9491,12)="@hotmail.com",RIGHT(B9491,9)="@live.com"),"Outlook","Domain")))</f>
        <v/>
      </c>
      <c r="F9491">
        <f>IF(B9491="","",IFERROR(RIGHT(B9491,LEN(B9491)-FIND("@",B9491)),""))</f>
        <v/>
      </c>
      <c r="G9491">
        <f>IF(D9491="KEEP",COUNTIF($D$2:D9491,"KEEP"),"")</f>
        <v/>
      </c>
      <c r="H9491">
        <f>IF(D9491="REMOVE",COUNTIF($D$2:D9491,"REMOVE"),"")</f>
        <v/>
      </c>
      <c r="I9491">
        <f>IF(E9491="Gmail",COUNTIF($E$2:E9491,"Gmail"),"")</f>
        <v/>
      </c>
      <c r="J9491">
        <f>IF(E9491="Outlook",COUNTIF($E$2:E9491,"Outlook"),"")</f>
        <v/>
      </c>
      <c r="K9491">
        <f>IF(E9491="Domain",COUNTIF($E$2:E9491,"Domain"),"")</f>
        <v/>
      </c>
    </row>
    <row r="9492">
      <c r="A9492" s="2" t="n"/>
      <c r="B9492">
        <f>LOWER(TRIM(A9492))</f>
        <v/>
      </c>
      <c r="C9492">
        <f>IF(B9492="","",IFERROR(INDEX('Bad Patterns'!$A$2:$A$120,MATCH(1,INDEX(--ISNUMBER(SEARCH('Bad Patterns'!$A$2:$A$120,B9492)),0),0)),""))</f>
        <v/>
      </c>
      <c r="D9492">
        <f>IF(B9492="","",IF(C9492&lt;&gt;"","REMOVE","KEEP"))</f>
        <v/>
      </c>
      <c r="E9492">
        <f>IF(D9492&lt;&gt;"KEEP","",IF(RIGHT(B9492,10)="@gmail.com","Gmail",IF(OR(RIGHT(B9492,12)="@outlook.com",RIGHT(B9492,12)="@hotmail.com",RIGHT(B9492,9)="@live.com"),"Outlook","Domain")))</f>
        <v/>
      </c>
      <c r="F9492">
        <f>IF(B9492="","",IFERROR(RIGHT(B9492,LEN(B9492)-FIND("@",B9492)),""))</f>
        <v/>
      </c>
      <c r="G9492">
        <f>IF(D9492="KEEP",COUNTIF($D$2:D9492,"KEEP"),"")</f>
        <v/>
      </c>
      <c r="H9492">
        <f>IF(D9492="REMOVE",COUNTIF($D$2:D9492,"REMOVE"),"")</f>
        <v/>
      </c>
      <c r="I9492">
        <f>IF(E9492="Gmail",COUNTIF($E$2:E9492,"Gmail"),"")</f>
        <v/>
      </c>
      <c r="J9492">
        <f>IF(E9492="Outlook",COUNTIF($E$2:E9492,"Outlook"),"")</f>
        <v/>
      </c>
      <c r="K9492">
        <f>IF(E9492="Domain",COUNTIF($E$2:E9492,"Domain"),"")</f>
        <v/>
      </c>
    </row>
    <row r="9493">
      <c r="A9493" s="2" t="n"/>
      <c r="B9493">
        <f>LOWER(TRIM(A9493))</f>
        <v/>
      </c>
      <c r="C9493">
        <f>IF(B9493="","",IFERROR(INDEX('Bad Patterns'!$A$2:$A$120,MATCH(1,INDEX(--ISNUMBER(SEARCH('Bad Patterns'!$A$2:$A$120,B9493)),0),0)),""))</f>
        <v/>
      </c>
      <c r="D9493">
        <f>IF(B9493="","",IF(C9493&lt;&gt;"","REMOVE","KEEP"))</f>
        <v/>
      </c>
      <c r="E9493">
        <f>IF(D9493&lt;&gt;"KEEP","",IF(RIGHT(B9493,10)="@gmail.com","Gmail",IF(OR(RIGHT(B9493,12)="@outlook.com",RIGHT(B9493,12)="@hotmail.com",RIGHT(B9493,9)="@live.com"),"Outlook","Domain")))</f>
        <v/>
      </c>
      <c r="F9493">
        <f>IF(B9493="","",IFERROR(RIGHT(B9493,LEN(B9493)-FIND("@",B9493)),""))</f>
        <v/>
      </c>
      <c r="G9493">
        <f>IF(D9493="KEEP",COUNTIF($D$2:D9493,"KEEP"),"")</f>
        <v/>
      </c>
      <c r="H9493">
        <f>IF(D9493="REMOVE",COUNTIF($D$2:D9493,"REMOVE"),"")</f>
        <v/>
      </c>
      <c r="I9493">
        <f>IF(E9493="Gmail",COUNTIF($E$2:E9493,"Gmail"),"")</f>
        <v/>
      </c>
      <c r="J9493">
        <f>IF(E9493="Outlook",COUNTIF($E$2:E9493,"Outlook"),"")</f>
        <v/>
      </c>
      <c r="K9493">
        <f>IF(E9493="Domain",COUNTIF($E$2:E9493,"Domain"),"")</f>
        <v/>
      </c>
    </row>
    <row r="9494">
      <c r="A9494" s="2" t="n"/>
      <c r="B9494">
        <f>LOWER(TRIM(A9494))</f>
        <v/>
      </c>
      <c r="C9494">
        <f>IF(B9494="","",IFERROR(INDEX('Bad Patterns'!$A$2:$A$120,MATCH(1,INDEX(--ISNUMBER(SEARCH('Bad Patterns'!$A$2:$A$120,B9494)),0),0)),""))</f>
        <v/>
      </c>
      <c r="D9494">
        <f>IF(B9494="","",IF(C9494&lt;&gt;"","REMOVE","KEEP"))</f>
        <v/>
      </c>
      <c r="E9494">
        <f>IF(D9494&lt;&gt;"KEEP","",IF(RIGHT(B9494,10)="@gmail.com","Gmail",IF(OR(RIGHT(B9494,12)="@outlook.com",RIGHT(B9494,12)="@hotmail.com",RIGHT(B9494,9)="@live.com"),"Outlook","Domain")))</f>
        <v/>
      </c>
      <c r="F9494">
        <f>IF(B9494="","",IFERROR(RIGHT(B9494,LEN(B9494)-FIND("@",B9494)),""))</f>
        <v/>
      </c>
      <c r="G9494">
        <f>IF(D9494="KEEP",COUNTIF($D$2:D9494,"KEEP"),"")</f>
        <v/>
      </c>
      <c r="H9494">
        <f>IF(D9494="REMOVE",COUNTIF($D$2:D9494,"REMOVE"),"")</f>
        <v/>
      </c>
      <c r="I9494">
        <f>IF(E9494="Gmail",COUNTIF($E$2:E9494,"Gmail"),"")</f>
        <v/>
      </c>
      <c r="J9494">
        <f>IF(E9494="Outlook",COUNTIF($E$2:E9494,"Outlook"),"")</f>
        <v/>
      </c>
      <c r="K9494">
        <f>IF(E9494="Domain",COUNTIF($E$2:E9494,"Domain"),"")</f>
        <v/>
      </c>
    </row>
    <row r="9495">
      <c r="A9495" s="2" t="n"/>
      <c r="B9495">
        <f>LOWER(TRIM(A9495))</f>
        <v/>
      </c>
      <c r="C9495">
        <f>IF(B9495="","",IFERROR(INDEX('Bad Patterns'!$A$2:$A$120,MATCH(1,INDEX(--ISNUMBER(SEARCH('Bad Patterns'!$A$2:$A$120,B9495)),0),0)),""))</f>
        <v/>
      </c>
      <c r="D9495">
        <f>IF(B9495="","",IF(C9495&lt;&gt;"","REMOVE","KEEP"))</f>
        <v/>
      </c>
      <c r="E9495">
        <f>IF(D9495&lt;&gt;"KEEP","",IF(RIGHT(B9495,10)="@gmail.com","Gmail",IF(OR(RIGHT(B9495,12)="@outlook.com",RIGHT(B9495,12)="@hotmail.com",RIGHT(B9495,9)="@live.com"),"Outlook","Domain")))</f>
        <v/>
      </c>
      <c r="F9495">
        <f>IF(B9495="","",IFERROR(RIGHT(B9495,LEN(B9495)-FIND("@",B9495)),""))</f>
        <v/>
      </c>
      <c r="G9495">
        <f>IF(D9495="KEEP",COUNTIF($D$2:D9495,"KEEP"),"")</f>
        <v/>
      </c>
      <c r="H9495">
        <f>IF(D9495="REMOVE",COUNTIF($D$2:D9495,"REMOVE"),"")</f>
        <v/>
      </c>
      <c r="I9495">
        <f>IF(E9495="Gmail",COUNTIF($E$2:E9495,"Gmail"),"")</f>
        <v/>
      </c>
      <c r="J9495">
        <f>IF(E9495="Outlook",COUNTIF($E$2:E9495,"Outlook"),"")</f>
        <v/>
      </c>
      <c r="K9495">
        <f>IF(E9495="Domain",COUNTIF($E$2:E9495,"Domain"),"")</f>
        <v/>
      </c>
    </row>
    <row r="9496">
      <c r="A9496" s="2" t="n"/>
      <c r="B9496">
        <f>LOWER(TRIM(A9496))</f>
        <v/>
      </c>
      <c r="C9496">
        <f>IF(B9496="","",IFERROR(INDEX('Bad Patterns'!$A$2:$A$120,MATCH(1,INDEX(--ISNUMBER(SEARCH('Bad Patterns'!$A$2:$A$120,B9496)),0),0)),""))</f>
        <v/>
      </c>
      <c r="D9496">
        <f>IF(B9496="","",IF(C9496&lt;&gt;"","REMOVE","KEEP"))</f>
        <v/>
      </c>
      <c r="E9496">
        <f>IF(D9496&lt;&gt;"KEEP","",IF(RIGHT(B9496,10)="@gmail.com","Gmail",IF(OR(RIGHT(B9496,12)="@outlook.com",RIGHT(B9496,12)="@hotmail.com",RIGHT(B9496,9)="@live.com"),"Outlook","Domain")))</f>
        <v/>
      </c>
      <c r="F9496">
        <f>IF(B9496="","",IFERROR(RIGHT(B9496,LEN(B9496)-FIND("@",B9496)),""))</f>
        <v/>
      </c>
      <c r="G9496">
        <f>IF(D9496="KEEP",COUNTIF($D$2:D9496,"KEEP"),"")</f>
        <v/>
      </c>
      <c r="H9496">
        <f>IF(D9496="REMOVE",COUNTIF($D$2:D9496,"REMOVE"),"")</f>
        <v/>
      </c>
      <c r="I9496">
        <f>IF(E9496="Gmail",COUNTIF($E$2:E9496,"Gmail"),"")</f>
        <v/>
      </c>
      <c r="J9496">
        <f>IF(E9496="Outlook",COUNTIF($E$2:E9496,"Outlook"),"")</f>
        <v/>
      </c>
      <c r="K9496">
        <f>IF(E9496="Domain",COUNTIF($E$2:E9496,"Domain"),"")</f>
        <v/>
      </c>
    </row>
    <row r="9497">
      <c r="A9497" s="2" t="n"/>
      <c r="B9497">
        <f>LOWER(TRIM(A9497))</f>
        <v/>
      </c>
      <c r="C9497">
        <f>IF(B9497="","",IFERROR(INDEX('Bad Patterns'!$A$2:$A$120,MATCH(1,INDEX(--ISNUMBER(SEARCH('Bad Patterns'!$A$2:$A$120,B9497)),0),0)),""))</f>
        <v/>
      </c>
      <c r="D9497">
        <f>IF(B9497="","",IF(C9497&lt;&gt;"","REMOVE","KEEP"))</f>
        <v/>
      </c>
      <c r="E9497">
        <f>IF(D9497&lt;&gt;"KEEP","",IF(RIGHT(B9497,10)="@gmail.com","Gmail",IF(OR(RIGHT(B9497,12)="@outlook.com",RIGHT(B9497,12)="@hotmail.com",RIGHT(B9497,9)="@live.com"),"Outlook","Domain")))</f>
        <v/>
      </c>
      <c r="F9497">
        <f>IF(B9497="","",IFERROR(RIGHT(B9497,LEN(B9497)-FIND("@",B9497)),""))</f>
        <v/>
      </c>
      <c r="G9497">
        <f>IF(D9497="KEEP",COUNTIF($D$2:D9497,"KEEP"),"")</f>
        <v/>
      </c>
      <c r="H9497">
        <f>IF(D9497="REMOVE",COUNTIF($D$2:D9497,"REMOVE"),"")</f>
        <v/>
      </c>
      <c r="I9497">
        <f>IF(E9497="Gmail",COUNTIF($E$2:E9497,"Gmail"),"")</f>
        <v/>
      </c>
      <c r="J9497">
        <f>IF(E9497="Outlook",COUNTIF($E$2:E9497,"Outlook"),"")</f>
        <v/>
      </c>
      <c r="K9497">
        <f>IF(E9497="Domain",COUNTIF($E$2:E9497,"Domain"),"")</f>
        <v/>
      </c>
    </row>
    <row r="9498">
      <c r="A9498" s="2" t="n"/>
      <c r="B9498">
        <f>LOWER(TRIM(A9498))</f>
        <v/>
      </c>
      <c r="C9498">
        <f>IF(B9498="","",IFERROR(INDEX('Bad Patterns'!$A$2:$A$120,MATCH(1,INDEX(--ISNUMBER(SEARCH('Bad Patterns'!$A$2:$A$120,B9498)),0),0)),""))</f>
        <v/>
      </c>
      <c r="D9498">
        <f>IF(B9498="","",IF(C9498&lt;&gt;"","REMOVE","KEEP"))</f>
        <v/>
      </c>
      <c r="E9498">
        <f>IF(D9498&lt;&gt;"KEEP","",IF(RIGHT(B9498,10)="@gmail.com","Gmail",IF(OR(RIGHT(B9498,12)="@outlook.com",RIGHT(B9498,12)="@hotmail.com",RIGHT(B9498,9)="@live.com"),"Outlook","Domain")))</f>
        <v/>
      </c>
      <c r="F9498">
        <f>IF(B9498="","",IFERROR(RIGHT(B9498,LEN(B9498)-FIND("@",B9498)),""))</f>
        <v/>
      </c>
      <c r="G9498">
        <f>IF(D9498="KEEP",COUNTIF($D$2:D9498,"KEEP"),"")</f>
        <v/>
      </c>
      <c r="H9498">
        <f>IF(D9498="REMOVE",COUNTIF($D$2:D9498,"REMOVE"),"")</f>
        <v/>
      </c>
      <c r="I9498">
        <f>IF(E9498="Gmail",COUNTIF($E$2:E9498,"Gmail"),"")</f>
        <v/>
      </c>
      <c r="J9498">
        <f>IF(E9498="Outlook",COUNTIF($E$2:E9498,"Outlook"),"")</f>
        <v/>
      </c>
      <c r="K9498">
        <f>IF(E9498="Domain",COUNTIF($E$2:E9498,"Domain"),"")</f>
        <v/>
      </c>
    </row>
    <row r="9499">
      <c r="A9499" s="2" t="n"/>
      <c r="B9499">
        <f>LOWER(TRIM(A9499))</f>
        <v/>
      </c>
      <c r="C9499">
        <f>IF(B9499="","",IFERROR(INDEX('Bad Patterns'!$A$2:$A$120,MATCH(1,INDEX(--ISNUMBER(SEARCH('Bad Patterns'!$A$2:$A$120,B9499)),0),0)),""))</f>
        <v/>
      </c>
      <c r="D9499">
        <f>IF(B9499="","",IF(C9499&lt;&gt;"","REMOVE","KEEP"))</f>
        <v/>
      </c>
      <c r="E9499">
        <f>IF(D9499&lt;&gt;"KEEP","",IF(RIGHT(B9499,10)="@gmail.com","Gmail",IF(OR(RIGHT(B9499,12)="@outlook.com",RIGHT(B9499,12)="@hotmail.com",RIGHT(B9499,9)="@live.com"),"Outlook","Domain")))</f>
        <v/>
      </c>
      <c r="F9499">
        <f>IF(B9499="","",IFERROR(RIGHT(B9499,LEN(B9499)-FIND("@",B9499)),""))</f>
        <v/>
      </c>
      <c r="G9499">
        <f>IF(D9499="KEEP",COUNTIF($D$2:D9499,"KEEP"),"")</f>
        <v/>
      </c>
      <c r="H9499">
        <f>IF(D9499="REMOVE",COUNTIF($D$2:D9499,"REMOVE"),"")</f>
        <v/>
      </c>
      <c r="I9499">
        <f>IF(E9499="Gmail",COUNTIF($E$2:E9499,"Gmail"),"")</f>
        <v/>
      </c>
      <c r="J9499">
        <f>IF(E9499="Outlook",COUNTIF($E$2:E9499,"Outlook"),"")</f>
        <v/>
      </c>
      <c r="K9499">
        <f>IF(E9499="Domain",COUNTIF($E$2:E9499,"Domain"),"")</f>
        <v/>
      </c>
    </row>
    <row r="9500">
      <c r="A9500" s="2" t="n"/>
      <c r="B9500">
        <f>LOWER(TRIM(A9500))</f>
        <v/>
      </c>
      <c r="C9500">
        <f>IF(B9500="","",IFERROR(INDEX('Bad Patterns'!$A$2:$A$120,MATCH(1,INDEX(--ISNUMBER(SEARCH('Bad Patterns'!$A$2:$A$120,B9500)),0),0)),""))</f>
        <v/>
      </c>
      <c r="D9500">
        <f>IF(B9500="","",IF(C9500&lt;&gt;"","REMOVE","KEEP"))</f>
        <v/>
      </c>
      <c r="E9500">
        <f>IF(D9500&lt;&gt;"KEEP","",IF(RIGHT(B9500,10)="@gmail.com","Gmail",IF(OR(RIGHT(B9500,12)="@outlook.com",RIGHT(B9500,12)="@hotmail.com",RIGHT(B9500,9)="@live.com"),"Outlook","Domain")))</f>
        <v/>
      </c>
      <c r="F9500">
        <f>IF(B9500="","",IFERROR(RIGHT(B9500,LEN(B9500)-FIND("@",B9500)),""))</f>
        <v/>
      </c>
      <c r="G9500">
        <f>IF(D9500="KEEP",COUNTIF($D$2:D9500,"KEEP"),"")</f>
        <v/>
      </c>
      <c r="H9500">
        <f>IF(D9500="REMOVE",COUNTIF($D$2:D9500,"REMOVE"),"")</f>
        <v/>
      </c>
      <c r="I9500">
        <f>IF(E9500="Gmail",COUNTIF($E$2:E9500,"Gmail"),"")</f>
        <v/>
      </c>
      <c r="J9500">
        <f>IF(E9500="Outlook",COUNTIF($E$2:E9500,"Outlook"),"")</f>
        <v/>
      </c>
      <c r="K9500">
        <f>IF(E9500="Domain",COUNTIF($E$2:E9500,"Domain"),"")</f>
        <v/>
      </c>
    </row>
    <row r="9501">
      <c r="A9501" s="2" t="n"/>
      <c r="B9501">
        <f>LOWER(TRIM(A9501))</f>
        <v/>
      </c>
      <c r="C9501">
        <f>IF(B9501="","",IFERROR(INDEX('Bad Patterns'!$A$2:$A$120,MATCH(1,INDEX(--ISNUMBER(SEARCH('Bad Patterns'!$A$2:$A$120,B9501)),0),0)),""))</f>
        <v/>
      </c>
      <c r="D9501">
        <f>IF(B9501="","",IF(C9501&lt;&gt;"","REMOVE","KEEP"))</f>
        <v/>
      </c>
      <c r="E9501">
        <f>IF(D9501&lt;&gt;"KEEP","",IF(RIGHT(B9501,10)="@gmail.com","Gmail",IF(OR(RIGHT(B9501,12)="@outlook.com",RIGHT(B9501,12)="@hotmail.com",RIGHT(B9501,9)="@live.com"),"Outlook","Domain")))</f>
        <v/>
      </c>
      <c r="F9501">
        <f>IF(B9501="","",IFERROR(RIGHT(B9501,LEN(B9501)-FIND("@",B9501)),""))</f>
        <v/>
      </c>
      <c r="G9501">
        <f>IF(D9501="KEEP",COUNTIF($D$2:D9501,"KEEP"),"")</f>
        <v/>
      </c>
      <c r="H9501">
        <f>IF(D9501="REMOVE",COUNTIF($D$2:D9501,"REMOVE"),"")</f>
        <v/>
      </c>
      <c r="I9501">
        <f>IF(E9501="Gmail",COUNTIF($E$2:E9501,"Gmail"),"")</f>
        <v/>
      </c>
      <c r="J9501">
        <f>IF(E9501="Outlook",COUNTIF($E$2:E9501,"Outlook"),"")</f>
        <v/>
      </c>
      <c r="K9501">
        <f>IF(E9501="Domain",COUNTIF($E$2:E9501,"Domain"),"")</f>
        <v/>
      </c>
    </row>
    <row r="9502">
      <c r="A9502" s="2" t="n"/>
      <c r="B9502">
        <f>LOWER(TRIM(A9502))</f>
        <v/>
      </c>
      <c r="C9502">
        <f>IF(B9502="","",IFERROR(INDEX('Bad Patterns'!$A$2:$A$120,MATCH(1,INDEX(--ISNUMBER(SEARCH('Bad Patterns'!$A$2:$A$120,B9502)),0),0)),""))</f>
        <v/>
      </c>
      <c r="D9502">
        <f>IF(B9502="","",IF(C9502&lt;&gt;"","REMOVE","KEEP"))</f>
        <v/>
      </c>
      <c r="E9502">
        <f>IF(D9502&lt;&gt;"KEEP","",IF(RIGHT(B9502,10)="@gmail.com","Gmail",IF(OR(RIGHT(B9502,12)="@outlook.com",RIGHT(B9502,12)="@hotmail.com",RIGHT(B9502,9)="@live.com"),"Outlook","Domain")))</f>
        <v/>
      </c>
      <c r="F9502">
        <f>IF(B9502="","",IFERROR(RIGHT(B9502,LEN(B9502)-FIND("@",B9502)),""))</f>
        <v/>
      </c>
      <c r="G9502">
        <f>IF(D9502="KEEP",COUNTIF($D$2:D9502,"KEEP"),"")</f>
        <v/>
      </c>
      <c r="H9502">
        <f>IF(D9502="REMOVE",COUNTIF($D$2:D9502,"REMOVE"),"")</f>
        <v/>
      </c>
      <c r="I9502">
        <f>IF(E9502="Gmail",COUNTIF($E$2:E9502,"Gmail"),"")</f>
        <v/>
      </c>
      <c r="J9502">
        <f>IF(E9502="Outlook",COUNTIF($E$2:E9502,"Outlook"),"")</f>
        <v/>
      </c>
      <c r="K9502">
        <f>IF(E9502="Domain",COUNTIF($E$2:E9502,"Domain"),"")</f>
        <v/>
      </c>
    </row>
    <row r="9503">
      <c r="A9503" s="2" t="n"/>
      <c r="B9503">
        <f>LOWER(TRIM(A9503))</f>
        <v/>
      </c>
      <c r="C9503">
        <f>IF(B9503="","",IFERROR(INDEX('Bad Patterns'!$A$2:$A$120,MATCH(1,INDEX(--ISNUMBER(SEARCH('Bad Patterns'!$A$2:$A$120,B9503)),0),0)),""))</f>
        <v/>
      </c>
      <c r="D9503">
        <f>IF(B9503="","",IF(C9503&lt;&gt;"","REMOVE","KEEP"))</f>
        <v/>
      </c>
      <c r="E9503">
        <f>IF(D9503&lt;&gt;"KEEP","",IF(RIGHT(B9503,10)="@gmail.com","Gmail",IF(OR(RIGHT(B9503,12)="@outlook.com",RIGHT(B9503,12)="@hotmail.com",RIGHT(B9503,9)="@live.com"),"Outlook","Domain")))</f>
        <v/>
      </c>
      <c r="F9503">
        <f>IF(B9503="","",IFERROR(RIGHT(B9503,LEN(B9503)-FIND("@",B9503)),""))</f>
        <v/>
      </c>
      <c r="G9503">
        <f>IF(D9503="KEEP",COUNTIF($D$2:D9503,"KEEP"),"")</f>
        <v/>
      </c>
      <c r="H9503">
        <f>IF(D9503="REMOVE",COUNTIF($D$2:D9503,"REMOVE"),"")</f>
        <v/>
      </c>
      <c r="I9503">
        <f>IF(E9503="Gmail",COUNTIF($E$2:E9503,"Gmail"),"")</f>
        <v/>
      </c>
      <c r="J9503">
        <f>IF(E9503="Outlook",COUNTIF($E$2:E9503,"Outlook"),"")</f>
        <v/>
      </c>
      <c r="K9503">
        <f>IF(E9503="Domain",COUNTIF($E$2:E9503,"Domain"),"")</f>
        <v/>
      </c>
    </row>
    <row r="9504">
      <c r="A9504" s="2" t="n"/>
      <c r="B9504">
        <f>LOWER(TRIM(A9504))</f>
        <v/>
      </c>
      <c r="C9504">
        <f>IF(B9504="","",IFERROR(INDEX('Bad Patterns'!$A$2:$A$120,MATCH(1,INDEX(--ISNUMBER(SEARCH('Bad Patterns'!$A$2:$A$120,B9504)),0),0)),""))</f>
        <v/>
      </c>
      <c r="D9504">
        <f>IF(B9504="","",IF(C9504&lt;&gt;"","REMOVE","KEEP"))</f>
        <v/>
      </c>
      <c r="E9504">
        <f>IF(D9504&lt;&gt;"KEEP","",IF(RIGHT(B9504,10)="@gmail.com","Gmail",IF(OR(RIGHT(B9504,12)="@outlook.com",RIGHT(B9504,12)="@hotmail.com",RIGHT(B9504,9)="@live.com"),"Outlook","Domain")))</f>
        <v/>
      </c>
      <c r="F9504">
        <f>IF(B9504="","",IFERROR(RIGHT(B9504,LEN(B9504)-FIND("@",B9504)),""))</f>
        <v/>
      </c>
      <c r="G9504">
        <f>IF(D9504="KEEP",COUNTIF($D$2:D9504,"KEEP"),"")</f>
        <v/>
      </c>
      <c r="H9504">
        <f>IF(D9504="REMOVE",COUNTIF($D$2:D9504,"REMOVE"),"")</f>
        <v/>
      </c>
      <c r="I9504">
        <f>IF(E9504="Gmail",COUNTIF($E$2:E9504,"Gmail"),"")</f>
        <v/>
      </c>
      <c r="J9504">
        <f>IF(E9504="Outlook",COUNTIF($E$2:E9504,"Outlook"),"")</f>
        <v/>
      </c>
      <c r="K9504">
        <f>IF(E9504="Domain",COUNTIF($E$2:E9504,"Domain"),"")</f>
        <v/>
      </c>
    </row>
    <row r="9505">
      <c r="A9505" s="2" t="n"/>
      <c r="B9505">
        <f>LOWER(TRIM(A9505))</f>
        <v/>
      </c>
      <c r="C9505">
        <f>IF(B9505="","",IFERROR(INDEX('Bad Patterns'!$A$2:$A$120,MATCH(1,INDEX(--ISNUMBER(SEARCH('Bad Patterns'!$A$2:$A$120,B9505)),0),0)),""))</f>
        <v/>
      </c>
      <c r="D9505">
        <f>IF(B9505="","",IF(C9505&lt;&gt;"","REMOVE","KEEP"))</f>
        <v/>
      </c>
      <c r="E9505">
        <f>IF(D9505&lt;&gt;"KEEP","",IF(RIGHT(B9505,10)="@gmail.com","Gmail",IF(OR(RIGHT(B9505,12)="@outlook.com",RIGHT(B9505,12)="@hotmail.com",RIGHT(B9505,9)="@live.com"),"Outlook","Domain")))</f>
        <v/>
      </c>
      <c r="F9505">
        <f>IF(B9505="","",IFERROR(RIGHT(B9505,LEN(B9505)-FIND("@",B9505)),""))</f>
        <v/>
      </c>
      <c r="G9505">
        <f>IF(D9505="KEEP",COUNTIF($D$2:D9505,"KEEP"),"")</f>
        <v/>
      </c>
      <c r="H9505">
        <f>IF(D9505="REMOVE",COUNTIF($D$2:D9505,"REMOVE"),"")</f>
        <v/>
      </c>
      <c r="I9505">
        <f>IF(E9505="Gmail",COUNTIF($E$2:E9505,"Gmail"),"")</f>
        <v/>
      </c>
      <c r="J9505">
        <f>IF(E9505="Outlook",COUNTIF($E$2:E9505,"Outlook"),"")</f>
        <v/>
      </c>
      <c r="K9505">
        <f>IF(E9505="Domain",COUNTIF($E$2:E9505,"Domain"),"")</f>
        <v/>
      </c>
    </row>
    <row r="9506">
      <c r="A9506" s="2" t="n"/>
      <c r="B9506">
        <f>LOWER(TRIM(A9506))</f>
        <v/>
      </c>
      <c r="C9506">
        <f>IF(B9506="","",IFERROR(INDEX('Bad Patterns'!$A$2:$A$120,MATCH(1,INDEX(--ISNUMBER(SEARCH('Bad Patterns'!$A$2:$A$120,B9506)),0),0)),""))</f>
        <v/>
      </c>
      <c r="D9506">
        <f>IF(B9506="","",IF(C9506&lt;&gt;"","REMOVE","KEEP"))</f>
        <v/>
      </c>
      <c r="E9506">
        <f>IF(D9506&lt;&gt;"KEEP","",IF(RIGHT(B9506,10)="@gmail.com","Gmail",IF(OR(RIGHT(B9506,12)="@outlook.com",RIGHT(B9506,12)="@hotmail.com",RIGHT(B9506,9)="@live.com"),"Outlook","Domain")))</f>
        <v/>
      </c>
      <c r="F9506">
        <f>IF(B9506="","",IFERROR(RIGHT(B9506,LEN(B9506)-FIND("@",B9506)),""))</f>
        <v/>
      </c>
      <c r="G9506">
        <f>IF(D9506="KEEP",COUNTIF($D$2:D9506,"KEEP"),"")</f>
        <v/>
      </c>
      <c r="H9506">
        <f>IF(D9506="REMOVE",COUNTIF($D$2:D9506,"REMOVE"),"")</f>
        <v/>
      </c>
      <c r="I9506">
        <f>IF(E9506="Gmail",COUNTIF($E$2:E9506,"Gmail"),"")</f>
        <v/>
      </c>
      <c r="J9506">
        <f>IF(E9506="Outlook",COUNTIF($E$2:E9506,"Outlook"),"")</f>
        <v/>
      </c>
      <c r="K9506">
        <f>IF(E9506="Domain",COUNTIF($E$2:E9506,"Domain"),"")</f>
        <v/>
      </c>
    </row>
    <row r="9507">
      <c r="A9507" s="2" t="n"/>
      <c r="B9507">
        <f>LOWER(TRIM(A9507))</f>
        <v/>
      </c>
      <c r="C9507">
        <f>IF(B9507="","",IFERROR(INDEX('Bad Patterns'!$A$2:$A$120,MATCH(1,INDEX(--ISNUMBER(SEARCH('Bad Patterns'!$A$2:$A$120,B9507)),0),0)),""))</f>
        <v/>
      </c>
      <c r="D9507">
        <f>IF(B9507="","",IF(C9507&lt;&gt;"","REMOVE","KEEP"))</f>
        <v/>
      </c>
      <c r="E9507">
        <f>IF(D9507&lt;&gt;"KEEP","",IF(RIGHT(B9507,10)="@gmail.com","Gmail",IF(OR(RIGHT(B9507,12)="@outlook.com",RIGHT(B9507,12)="@hotmail.com",RIGHT(B9507,9)="@live.com"),"Outlook","Domain")))</f>
        <v/>
      </c>
      <c r="F9507">
        <f>IF(B9507="","",IFERROR(RIGHT(B9507,LEN(B9507)-FIND("@",B9507)),""))</f>
        <v/>
      </c>
      <c r="G9507">
        <f>IF(D9507="KEEP",COUNTIF($D$2:D9507,"KEEP"),"")</f>
        <v/>
      </c>
      <c r="H9507">
        <f>IF(D9507="REMOVE",COUNTIF($D$2:D9507,"REMOVE"),"")</f>
        <v/>
      </c>
      <c r="I9507">
        <f>IF(E9507="Gmail",COUNTIF($E$2:E9507,"Gmail"),"")</f>
        <v/>
      </c>
      <c r="J9507">
        <f>IF(E9507="Outlook",COUNTIF($E$2:E9507,"Outlook"),"")</f>
        <v/>
      </c>
      <c r="K9507">
        <f>IF(E9507="Domain",COUNTIF($E$2:E9507,"Domain"),"")</f>
        <v/>
      </c>
    </row>
    <row r="9508">
      <c r="A9508" s="2" t="n"/>
      <c r="B9508">
        <f>LOWER(TRIM(A9508))</f>
        <v/>
      </c>
      <c r="C9508">
        <f>IF(B9508="","",IFERROR(INDEX('Bad Patterns'!$A$2:$A$120,MATCH(1,INDEX(--ISNUMBER(SEARCH('Bad Patterns'!$A$2:$A$120,B9508)),0),0)),""))</f>
        <v/>
      </c>
      <c r="D9508">
        <f>IF(B9508="","",IF(C9508&lt;&gt;"","REMOVE","KEEP"))</f>
        <v/>
      </c>
      <c r="E9508">
        <f>IF(D9508&lt;&gt;"KEEP","",IF(RIGHT(B9508,10)="@gmail.com","Gmail",IF(OR(RIGHT(B9508,12)="@outlook.com",RIGHT(B9508,12)="@hotmail.com",RIGHT(B9508,9)="@live.com"),"Outlook","Domain")))</f>
        <v/>
      </c>
      <c r="F9508">
        <f>IF(B9508="","",IFERROR(RIGHT(B9508,LEN(B9508)-FIND("@",B9508)),""))</f>
        <v/>
      </c>
      <c r="G9508">
        <f>IF(D9508="KEEP",COUNTIF($D$2:D9508,"KEEP"),"")</f>
        <v/>
      </c>
      <c r="H9508">
        <f>IF(D9508="REMOVE",COUNTIF($D$2:D9508,"REMOVE"),"")</f>
        <v/>
      </c>
      <c r="I9508">
        <f>IF(E9508="Gmail",COUNTIF($E$2:E9508,"Gmail"),"")</f>
        <v/>
      </c>
      <c r="J9508">
        <f>IF(E9508="Outlook",COUNTIF($E$2:E9508,"Outlook"),"")</f>
        <v/>
      </c>
      <c r="K9508">
        <f>IF(E9508="Domain",COUNTIF($E$2:E9508,"Domain"),"")</f>
        <v/>
      </c>
    </row>
    <row r="9509">
      <c r="A9509" s="2" t="n"/>
      <c r="B9509">
        <f>LOWER(TRIM(A9509))</f>
        <v/>
      </c>
      <c r="C9509">
        <f>IF(B9509="","",IFERROR(INDEX('Bad Patterns'!$A$2:$A$120,MATCH(1,INDEX(--ISNUMBER(SEARCH('Bad Patterns'!$A$2:$A$120,B9509)),0),0)),""))</f>
        <v/>
      </c>
      <c r="D9509">
        <f>IF(B9509="","",IF(C9509&lt;&gt;"","REMOVE","KEEP"))</f>
        <v/>
      </c>
      <c r="E9509">
        <f>IF(D9509&lt;&gt;"KEEP","",IF(RIGHT(B9509,10)="@gmail.com","Gmail",IF(OR(RIGHT(B9509,12)="@outlook.com",RIGHT(B9509,12)="@hotmail.com",RIGHT(B9509,9)="@live.com"),"Outlook","Domain")))</f>
        <v/>
      </c>
      <c r="F9509">
        <f>IF(B9509="","",IFERROR(RIGHT(B9509,LEN(B9509)-FIND("@",B9509)),""))</f>
        <v/>
      </c>
      <c r="G9509">
        <f>IF(D9509="KEEP",COUNTIF($D$2:D9509,"KEEP"),"")</f>
        <v/>
      </c>
      <c r="H9509">
        <f>IF(D9509="REMOVE",COUNTIF($D$2:D9509,"REMOVE"),"")</f>
        <v/>
      </c>
      <c r="I9509">
        <f>IF(E9509="Gmail",COUNTIF($E$2:E9509,"Gmail"),"")</f>
        <v/>
      </c>
      <c r="J9509">
        <f>IF(E9509="Outlook",COUNTIF($E$2:E9509,"Outlook"),"")</f>
        <v/>
      </c>
      <c r="K9509">
        <f>IF(E9509="Domain",COUNTIF($E$2:E9509,"Domain"),"")</f>
        <v/>
      </c>
    </row>
    <row r="9510">
      <c r="A9510" s="2" t="n"/>
      <c r="B9510">
        <f>LOWER(TRIM(A9510))</f>
        <v/>
      </c>
      <c r="C9510">
        <f>IF(B9510="","",IFERROR(INDEX('Bad Patterns'!$A$2:$A$120,MATCH(1,INDEX(--ISNUMBER(SEARCH('Bad Patterns'!$A$2:$A$120,B9510)),0),0)),""))</f>
        <v/>
      </c>
      <c r="D9510">
        <f>IF(B9510="","",IF(C9510&lt;&gt;"","REMOVE","KEEP"))</f>
        <v/>
      </c>
      <c r="E9510">
        <f>IF(D9510&lt;&gt;"KEEP","",IF(RIGHT(B9510,10)="@gmail.com","Gmail",IF(OR(RIGHT(B9510,12)="@outlook.com",RIGHT(B9510,12)="@hotmail.com",RIGHT(B9510,9)="@live.com"),"Outlook","Domain")))</f>
        <v/>
      </c>
      <c r="F9510">
        <f>IF(B9510="","",IFERROR(RIGHT(B9510,LEN(B9510)-FIND("@",B9510)),""))</f>
        <v/>
      </c>
      <c r="G9510">
        <f>IF(D9510="KEEP",COUNTIF($D$2:D9510,"KEEP"),"")</f>
        <v/>
      </c>
      <c r="H9510">
        <f>IF(D9510="REMOVE",COUNTIF($D$2:D9510,"REMOVE"),"")</f>
        <v/>
      </c>
      <c r="I9510">
        <f>IF(E9510="Gmail",COUNTIF($E$2:E9510,"Gmail"),"")</f>
        <v/>
      </c>
      <c r="J9510">
        <f>IF(E9510="Outlook",COUNTIF($E$2:E9510,"Outlook"),"")</f>
        <v/>
      </c>
      <c r="K9510">
        <f>IF(E9510="Domain",COUNTIF($E$2:E9510,"Domain"),"")</f>
        <v/>
      </c>
    </row>
    <row r="9511">
      <c r="A9511" s="2" t="n"/>
      <c r="B9511">
        <f>LOWER(TRIM(A9511))</f>
        <v/>
      </c>
      <c r="C9511">
        <f>IF(B9511="","",IFERROR(INDEX('Bad Patterns'!$A$2:$A$120,MATCH(1,INDEX(--ISNUMBER(SEARCH('Bad Patterns'!$A$2:$A$120,B9511)),0),0)),""))</f>
        <v/>
      </c>
      <c r="D9511">
        <f>IF(B9511="","",IF(C9511&lt;&gt;"","REMOVE","KEEP"))</f>
        <v/>
      </c>
      <c r="E9511">
        <f>IF(D9511&lt;&gt;"KEEP","",IF(RIGHT(B9511,10)="@gmail.com","Gmail",IF(OR(RIGHT(B9511,12)="@outlook.com",RIGHT(B9511,12)="@hotmail.com",RIGHT(B9511,9)="@live.com"),"Outlook","Domain")))</f>
        <v/>
      </c>
      <c r="F9511">
        <f>IF(B9511="","",IFERROR(RIGHT(B9511,LEN(B9511)-FIND("@",B9511)),""))</f>
        <v/>
      </c>
      <c r="G9511">
        <f>IF(D9511="KEEP",COUNTIF($D$2:D9511,"KEEP"),"")</f>
        <v/>
      </c>
      <c r="H9511">
        <f>IF(D9511="REMOVE",COUNTIF($D$2:D9511,"REMOVE"),"")</f>
        <v/>
      </c>
      <c r="I9511">
        <f>IF(E9511="Gmail",COUNTIF($E$2:E9511,"Gmail"),"")</f>
        <v/>
      </c>
      <c r="J9511">
        <f>IF(E9511="Outlook",COUNTIF($E$2:E9511,"Outlook"),"")</f>
        <v/>
      </c>
      <c r="K9511">
        <f>IF(E9511="Domain",COUNTIF($E$2:E9511,"Domain"),"")</f>
        <v/>
      </c>
    </row>
    <row r="9512">
      <c r="A9512" s="2" t="n"/>
      <c r="B9512">
        <f>LOWER(TRIM(A9512))</f>
        <v/>
      </c>
      <c r="C9512">
        <f>IF(B9512="","",IFERROR(INDEX('Bad Patterns'!$A$2:$A$120,MATCH(1,INDEX(--ISNUMBER(SEARCH('Bad Patterns'!$A$2:$A$120,B9512)),0),0)),""))</f>
        <v/>
      </c>
      <c r="D9512">
        <f>IF(B9512="","",IF(C9512&lt;&gt;"","REMOVE","KEEP"))</f>
        <v/>
      </c>
      <c r="E9512">
        <f>IF(D9512&lt;&gt;"KEEP","",IF(RIGHT(B9512,10)="@gmail.com","Gmail",IF(OR(RIGHT(B9512,12)="@outlook.com",RIGHT(B9512,12)="@hotmail.com",RIGHT(B9512,9)="@live.com"),"Outlook","Domain")))</f>
        <v/>
      </c>
      <c r="F9512">
        <f>IF(B9512="","",IFERROR(RIGHT(B9512,LEN(B9512)-FIND("@",B9512)),""))</f>
        <v/>
      </c>
      <c r="G9512">
        <f>IF(D9512="KEEP",COUNTIF($D$2:D9512,"KEEP"),"")</f>
        <v/>
      </c>
      <c r="H9512">
        <f>IF(D9512="REMOVE",COUNTIF($D$2:D9512,"REMOVE"),"")</f>
        <v/>
      </c>
      <c r="I9512">
        <f>IF(E9512="Gmail",COUNTIF($E$2:E9512,"Gmail"),"")</f>
        <v/>
      </c>
      <c r="J9512">
        <f>IF(E9512="Outlook",COUNTIF($E$2:E9512,"Outlook"),"")</f>
        <v/>
      </c>
      <c r="K9512">
        <f>IF(E9512="Domain",COUNTIF($E$2:E9512,"Domain"),"")</f>
        <v/>
      </c>
    </row>
    <row r="9513">
      <c r="A9513" s="2" t="n"/>
      <c r="B9513">
        <f>LOWER(TRIM(A9513))</f>
        <v/>
      </c>
      <c r="C9513">
        <f>IF(B9513="","",IFERROR(INDEX('Bad Patterns'!$A$2:$A$120,MATCH(1,INDEX(--ISNUMBER(SEARCH('Bad Patterns'!$A$2:$A$120,B9513)),0),0)),""))</f>
        <v/>
      </c>
      <c r="D9513">
        <f>IF(B9513="","",IF(C9513&lt;&gt;"","REMOVE","KEEP"))</f>
        <v/>
      </c>
      <c r="E9513">
        <f>IF(D9513&lt;&gt;"KEEP","",IF(RIGHT(B9513,10)="@gmail.com","Gmail",IF(OR(RIGHT(B9513,12)="@outlook.com",RIGHT(B9513,12)="@hotmail.com",RIGHT(B9513,9)="@live.com"),"Outlook","Domain")))</f>
        <v/>
      </c>
      <c r="F9513">
        <f>IF(B9513="","",IFERROR(RIGHT(B9513,LEN(B9513)-FIND("@",B9513)),""))</f>
        <v/>
      </c>
      <c r="G9513">
        <f>IF(D9513="KEEP",COUNTIF($D$2:D9513,"KEEP"),"")</f>
        <v/>
      </c>
      <c r="H9513">
        <f>IF(D9513="REMOVE",COUNTIF($D$2:D9513,"REMOVE"),"")</f>
        <v/>
      </c>
      <c r="I9513">
        <f>IF(E9513="Gmail",COUNTIF($E$2:E9513,"Gmail"),"")</f>
        <v/>
      </c>
      <c r="J9513">
        <f>IF(E9513="Outlook",COUNTIF($E$2:E9513,"Outlook"),"")</f>
        <v/>
      </c>
      <c r="K9513">
        <f>IF(E9513="Domain",COUNTIF($E$2:E9513,"Domain"),"")</f>
        <v/>
      </c>
    </row>
    <row r="9514">
      <c r="A9514" s="2" t="n"/>
      <c r="B9514">
        <f>LOWER(TRIM(A9514))</f>
        <v/>
      </c>
      <c r="C9514">
        <f>IF(B9514="","",IFERROR(INDEX('Bad Patterns'!$A$2:$A$120,MATCH(1,INDEX(--ISNUMBER(SEARCH('Bad Patterns'!$A$2:$A$120,B9514)),0),0)),""))</f>
        <v/>
      </c>
      <c r="D9514">
        <f>IF(B9514="","",IF(C9514&lt;&gt;"","REMOVE","KEEP"))</f>
        <v/>
      </c>
      <c r="E9514">
        <f>IF(D9514&lt;&gt;"KEEP","",IF(RIGHT(B9514,10)="@gmail.com","Gmail",IF(OR(RIGHT(B9514,12)="@outlook.com",RIGHT(B9514,12)="@hotmail.com",RIGHT(B9514,9)="@live.com"),"Outlook","Domain")))</f>
        <v/>
      </c>
      <c r="F9514">
        <f>IF(B9514="","",IFERROR(RIGHT(B9514,LEN(B9514)-FIND("@",B9514)),""))</f>
        <v/>
      </c>
      <c r="G9514">
        <f>IF(D9514="KEEP",COUNTIF($D$2:D9514,"KEEP"),"")</f>
        <v/>
      </c>
      <c r="H9514">
        <f>IF(D9514="REMOVE",COUNTIF($D$2:D9514,"REMOVE"),"")</f>
        <v/>
      </c>
      <c r="I9514">
        <f>IF(E9514="Gmail",COUNTIF($E$2:E9514,"Gmail"),"")</f>
        <v/>
      </c>
      <c r="J9514">
        <f>IF(E9514="Outlook",COUNTIF($E$2:E9514,"Outlook"),"")</f>
        <v/>
      </c>
      <c r="K9514">
        <f>IF(E9514="Domain",COUNTIF($E$2:E9514,"Domain"),"")</f>
        <v/>
      </c>
    </row>
    <row r="9515">
      <c r="A9515" s="2" t="n"/>
      <c r="B9515">
        <f>LOWER(TRIM(A9515))</f>
        <v/>
      </c>
      <c r="C9515">
        <f>IF(B9515="","",IFERROR(INDEX('Bad Patterns'!$A$2:$A$120,MATCH(1,INDEX(--ISNUMBER(SEARCH('Bad Patterns'!$A$2:$A$120,B9515)),0),0)),""))</f>
        <v/>
      </c>
      <c r="D9515">
        <f>IF(B9515="","",IF(C9515&lt;&gt;"","REMOVE","KEEP"))</f>
        <v/>
      </c>
      <c r="E9515">
        <f>IF(D9515&lt;&gt;"KEEP","",IF(RIGHT(B9515,10)="@gmail.com","Gmail",IF(OR(RIGHT(B9515,12)="@outlook.com",RIGHT(B9515,12)="@hotmail.com",RIGHT(B9515,9)="@live.com"),"Outlook","Domain")))</f>
        <v/>
      </c>
      <c r="F9515">
        <f>IF(B9515="","",IFERROR(RIGHT(B9515,LEN(B9515)-FIND("@",B9515)),""))</f>
        <v/>
      </c>
      <c r="G9515">
        <f>IF(D9515="KEEP",COUNTIF($D$2:D9515,"KEEP"),"")</f>
        <v/>
      </c>
      <c r="H9515">
        <f>IF(D9515="REMOVE",COUNTIF($D$2:D9515,"REMOVE"),"")</f>
        <v/>
      </c>
      <c r="I9515">
        <f>IF(E9515="Gmail",COUNTIF($E$2:E9515,"Gmail"),"")</f>
        <v/>
      </c>
      <c r="J9515">
        <f>IF(E9515="Outlook",COUNTIF($E$2:E9515,"Outlook"),"")</f>
        <v/>
      </c>
      <c r="K9515">
        <f>IF(E9515="Domain",COUNTIF($E$2:E9515,"Domain"),"")</f>
        <v/>
      </c>
    </row>
    <row r="9516">
      <c r="A9516" s="2" t="n"/>
      <c r="B9516">
        <f>LOWER(TRIM(A9516))</f>
        <v/>
      </c>
      <c r="C9516">
        <f>IF(B9516="","",IFERROR(INDEX('Bad Patterns'!$A$2:$A$120,MATCH(1,INDEX(--ISNUMBER(SEARCH('Bad Patterns'!$A$2:$A$120,B9516)),0),0)),""))</f>
        <v/>
      </c>
      <c r="D9516">
        <f>IF(B9516="","",IF(C9516&lt;&gt;"","REMOVE","KEEP"))</f>
        <v/>
      </c>
      <c r="E9516">
        <f>IF(D9516&lt;&gt;"KEEP","",IF(RIGHT(B9516,10)="@gmail.com","Gmail",IF(OR(RIGHT(B9516,12)="@outlook.com",RIGHT(B9516,12)="@hotmail.com",RIGHT(B9516,9)="@live.com"),"Outlook","Domain")))</f>
        <v/>
      </c>
      <c r="F9516">
        <f>IF(B9516="","",IFERROR(RIGHT(B9516,LEN(B9516)-FIND("@",B9516)),""))</f>
        <v/>
      </c>
      <c r="G9516">
        <f>IF(D9516="KEEP",COUNTIF($D$2:D9516,"KEEP"),"")</f>
        <v/>
      </c>
      <c r="H9516">
        <f>IF(D9516="REMOVE",COUNTIF($D$2:D9516,"REMOVE"),"")</f>
        <v/>
      </c>
      <c r="I9516">
        <f>IF(E9516="Gmail",COUNTIF($E$2:E9516,"Gmail"),"")</f>
        <v/>
      </c>
      <c r="J9516">
        <f>IF(E9516="Outlook",COUNTIF($E$2:E9516,"Outlook"),"")</f>
        <v/>
      </c>
      <c r="K9516">
        <f>IF(E9516="Domain",COUNTIF($E$2:E9516,"Domain"),"")</f>
        <v/>
      </c>
    </row>
    <row r="9517">
      <c r="A9517" s="2" t="n"/>
      <c r="B9517">
        <f>LOWER(TRIM(A9517))</f>
        <v/>
      </c>
      <c r="C9517">
        <f>IF(B9517="","",IFERROR(INDEX('Bad Patterns'!$A$2:$A$120,MATCH(1,INDEX(--ISNUMBER(SEARCH('Bad Patterns'!$A$2:$A$120,B9517)),0),0)),""))</f>
        <v/>
      </c>
      <c r="D9517">
        <f>IF(B9517="","",IF(C9517&lt;&gt;"","REMOVE","KEEP"))</f>
        <v/>
      </c>
      <c r="E9517">
        <f>IF(D9517&lt;&gt;"KEEP","",IF(RIGHT(B9517,10)="@gmail.com","Gmail",IF(OR(RIGHT(B9517,12)="@outlook.com",RIGHT(B9517,12)="@hotmail.com",RIGHT(B9517,9)="@live.com"),"Outlook","Domain")))</f>
        <v/>
      </c>
      <c r="F9517">
        <f>IF(B9517="","",IFERROR(RIGHT(B9517,LEN(B9517)-FIND("@",B9517)),""))</f>
        <v/>
      </c>
      <c r="G9517">
        <f>IF(D9517="KEEP",COUNTIF($D$2:D9517,"KEEP"),"")</f>
        <v/>
      </c>
      <c r="H9517">
        <f>IF(D9517="REMOVE",COUNTIF($D$2:D9517,"REMOVE"),"")</f>
        <v/>
      </c>
      <c r="I9517">
        <f>IF(E9517="Gmail",COUNTIF($E$2:E9517,"Gmail"),"")</f>
        <v/>
      </c>
      <c r="J9517">
        <f>IF(E9517="Outlook",COUNTIF($E$2:E9517,"Outlook"),"")</f>
        <v/>
      </c>
      <c r="K9517">
        <f>IF(E9517="Domain",COUNTIF($E$2:E9517,"Domain"),"")</f>
        <v/>
      </c>
    </row>
    <row r="9518">
      <c r="A9518" s="2" t="n"/>
      <c r="B9518">
        <f>LOWER(TRIM(A9518))</f>
        <v/>
      </c>
      <c r="C9518">
        <f>IF(B9518="","",IFERROR(INDEX('Bad Patterns'!$A$2:$A$120,MATCH(1,INDEX(--ISNUMBER(SEARCH('Bad Patterns'!$A$2:$A$120,B9518)),0),0)),""))</f>
        <v/>
      </c>
      <c r="D9518">
        <f>IF(B9518="","",IF(C9518&lt;&gt;"","REMOVE","KEEP"))</f>
        <v/>
      </c>
      <c r="E9518">
        <f>IF(D9518&lt;&gt;"KEEP","",IF(RIGHT(B9518,10)="@gmail.com","Gmail",IF(OR(RIGHT(B9518,12)="@outlook.com",RIGHT(B9518,12)="@hotmail.com",RIGHT(B9518,9)="@live.com"),"Outlook","Domain")))</f>
        <v/>
      </c>
      <c r="F9518">
        <f>IF(B9518="","",IFERROR(RIGHT(B9518,LEN(B9518)-FIND("@",B9518)),""))</f>
        <v/>
      </c>
      <c r="G9518">
        <f>IF(D9518="KEEP",COUNTIF($D$2:D9518,"KEEP"),"")</f>
        <v/>
      </c>
      <c r="H9518">
        <f>IF(D9518="REMOVE",COUNTIF($D$2:D9518,"REMOVE"),"")</f>
        <v/>
      </c>
      <c r="I9518">
        <f>IF(E9518="Gmail",COUNTIF($E$2:E9518,"Gmail"),"")</f>
        <v/>
      </c>
      <c r="J9518">
        <f>IF(E9518="Outlook",COUNTIF($E$2:E9518,"Outlook"),"")</f>
        <v/>
      </c>
      <c r="K9518">
        <f>IF(E9518="Domain",COUNTIF($E$2:E9518,"Domain"),"")</f>
        <v/>
      </c>
    </row>
    <row r="9519">
      <c r="A9519" s="2" t="n"/>
      <c r="B9519">
        <f>LOWER(TRIM(A9519))</f>
        <v/>
      </c>
      <c r="C9519">
        <f>IF(B9519="","",IFERROR(INDEX('Bad Patterns'!$A$2:$A$120,MATCH(1,INDEX(--ISNUMBER(SEARCH('Bad Patterns'!$A$2:$A$120,B9519)),0),0)),""))</f>
        <v/>
      </c>
      <c r="D9519">
        <f>IF(B9519="","",IF(C9519&lt;&gt;"","REMOVE","KEEP"))</f>
        <v/>
      </c>
      <c r="E9519">
        <f>IF(D9519&lt;&gt;"KEEP","",IF(RIGHT(B9519,10)="@gmail.com","Gmail",IF(OR(RIGHT(B9519,12)="@outlook.com",RIGHT(B9519,12)="@hotmail.com",RIGHT(B9519,9)="@live.com"),"Outlook","Domain")))</f>
        <v/>
      </c>
      <c r="F9519">
        <f>IF(B9519="","",IFERROR(RIGHT(B9519,LEN(B9519)-FIND("@",B9519)),""))</f>
        <v/>
      </c>
      <c r="G9519">
        <f>IF(D9519="KEEP",COUNTIF($D$2:D9519,"KEEP"),"")</f>
        <v/>
      </c>
      <c r="H9519">
        <f>IF(D9519="REMOVE",COUNTIF($D$2:D9519,"REMOVE"),"")</f>
        <v/>
      </c>
      <c r="I9519">
        <f>IF(E9519="Gmail",COUNTIF($E$2:E9519,"Gmail"),"")</f>
        <v/>
      </c>
      <c r="J9519">
        <f>IF(E9519="Outlook",COUNTIF($E$2:E9519,"Outlook"),"")</f>
        <v/>
      </c>
      <c r="K9519">
        <f>IF(E9519="Domain",COUNTIF($E$2:E9519,"Domain"),"")</f>
        <v/>
      </c>
    </row>
    <row r="9520">
      <c r="A9520" s="2" t="n"/>
      <c r="B9520">
        <f>LOWER(TRIM(A9520))</f>
        <v/>
      </c>
      <c r="C9520">
        <f>IF(B9520="","",IFERROR(INDEX('Bad Patterns'!$A$2:$A$120,MATCH(1,INDEX(--ISNUMBER(SEARCH('Bad Patterns'!$A$2:$A$120,B9520)),0),0)),""))</f>
        <v/>
      </c>
      <c r="D9520">
        <f>IF(B9520="","",IF(C9520&lt;&gt;"","REMOVE","KEEP"))</f>
        <v/>
      </c>
      <c r="E9520">
        <f>IF(D9520&lt;&gt;"KEEP","",IF(RIGHT(B9520,10)="@gmail.com","Gmail",IF(OR(RIGHT(B9520,12)="@outlook.com",RIGHT(B9520,12)="@hotmail.com",RIGHT(B9520,9)="@live.com"),"Outlook","Domain")))</f>
        <v/>
      </c>
      <c r="F9520">
        <f>IF(B9520="","",IFERROR(RIGHT(B9520,LEN(B9520)-FIND("@",B9520)),""))</f>
        <v/>
      </c>
      <c r="G9520">
        <f>IF(D9520="KEEP",COUNTIF($D$2:D9520,"KEEP"),"")</f>
        <v/>
      </c>
      <c r="H9520">
        <f>IF(D9520="REMOVE",COUNTIF($D$2:D9520,"REMOVE"),"")</f>
        <v/>
      </c>
      <c r="I9520">
        <f>IF(E9520="Gmail",COUNTIF($E$2:E9520,"Gmail"),"")</f>
        <v/>
      </c>
      <c r="J9520">
        <f>IF(E9520="Outlook",COUNTIF($E$2:E9520,"Outlook"),"")</f>
        <v/>
      </c>
      <c r="K9520">
        <f>IF(E9520="Domain",COUNTIF($E$2:E9520,"Domain"),"")</f>
        <v/>
      </c>
    </row>
    <row r="9521">
      <c r="A9521" s="2" t="n"/>
      <c r="B9521">
        <f>LOWER(TRIM(A9521))</f>
        <v/>
      </c>
      <c r="C9521">
        <f>IF(B9521="","",IFERROR(INDEX('Bad Patterns'!$A$2:$A$120,MATCH(1,INDEX(--ISNUMBER(SEARCH('Bad Patterns'!$A$2:$A$120,B9521)),0),0)),""))</f>
        <v/>
      </c>
      <c r="D9521">
        <f>IF(B9521="","",IF(C9521&lt;&gt;"","REMOVE","KEEP"))</f>
        <v/>
      </c>
      <c r="E9521">
        <f>IF(D9521&lt;&gt;"KEEP","",IF(RIGHT(B9521,10)="@gmail.com","Gmail",IF(OR(RIGHT(B9521,12)="@outlook.com",RIGHT(B9521,12)="@hotmail.com",RIGHT(B9521,9)="@live.com"),"Outlook","Domain")))</f>
        <v/>
      </c>
      <c r="F9521">
        <f>IF(B9521="","",IFERROR(RIGHT(B9521,LEN(B9521)-FIND("@",B9521)),""))</f>
        <v/>
      </c>
      <c r="G9521">
        <f>IF(D9521="KEEP",COUNTIF($D$2:D9521,"KEEP"),"")</f>
        <v/>
      </c>
      <c r="H9521">
        <f>IF(D9521="REMOVE",COUNTIF($D$2:D9521,"REMOVE"),"")</f>
        <v/>
      </c>
      <c r="I9521">
        <f>IF(E9521="Gmail",COUNTIF($E$2:E9521,"Gmail"),"")</f>
        <v/>
      </c>
      <c r="J9521">
        <f>IF(E9521="Outlook",COUNTIF($E$2:E9521,"Outlook"),"")</f>
        <v/>
      </c>
      <c r="K9521">
        <f>IF(E9521="Domain",COUNTIF($E$2:E9521,"Domain"),"")</f>
        <v/>
      </c>
    </row>
    <row r="9522">
      <c r="A9522" s="2" t="n"/>
      <c r="B9522">
        <f>LOWER(TRIM(A9522))</f>
        <v/>
      </c>
      <c r="C9522">
        <f>IF(B9522="","",IFERROR(INDEX('Bad Patterns'!$A$2:$A$120,MATCH(1,INDEX(--ISNUMBER(SEARCH('Bad Patterns'!$A$2:$A$120,B9522)),0),0)),""))</f>
        <v/>
      </c>
      <c r="D9522">
        <f>IF(B9522="","",IF(C9522&lt;&gt;"","REMOVE","KEEP"))</f>
        <v/>
      </c>
      <c r="E9522">
        <f>IF(D9522&lt;&gt;"KEEP","",IF(RIGHT(B9522,10)="@gmail.com","Gmail",IF(OR(RIGHT(B9522,12)="@outlook.com",RIGHT(B9522,12)="@hotmail.com",RIGHT(B9522,9)="@live.com"),"Outlook","Domain")))</f>
        <v/>
      </c>
      <c r="F9522">
        <f>IF(B9522="","",IFERROR(RIGHT(B9522,LEN(B9522)-FIND("@",B9522)),""))</f>
        <v/>
      </c>
      <c r="G9522">
        <f>IF(D9522="KEEP",COUNTIF($D$2:D9522,"KEEP"),"")</f>
        <v/>
      </c>
      <c r="H9522">
        <f>IF(D9522="REMOVE",COUNTIF($D$2:D9522,"REMOVE"),"")</f>
        <v/>
      </c>
      <c r="I9522">
        <f>IF(E9522="Gmail",COUNTIF($E$2:E9522,"Gmail"),"")</f>
        <v/>
      </c>
      <c r="J9522">
        <f>IF(E9522="Outlook",COUNTIF($E$2:E9522,"Outlook"),"")</f>
        <v/>
      </c>
      <c r="K9522">
        <f>IF(E9522="Domain",COUNTIF($E$2:E9522,"Domain"),"")</f>
        <v/>
      </c>
    </row>
    <row r="9523">
      <c r="A9523" s="2" t="n"/>
      <c r="B9523">
        <f>LOWER(TRIM(A9523))</f>
        <v/>
      </c>
      <c r="C9523">
        <f>IF(B9523="","",IFERROR(INDEX('Bad Patterns'!$A$2:$A$120,MATCH(1,INDEX(--ISNUMBER(SEARCH('Bad Patterns'!$A$2:$A$120,B9523)),0),0)),""))</f>
        <v/>
      </c>
      <c r="D9523">
        <f>IF(B9523="","",IF(C9523&lt;&gt;"","REMOVE","KEEP"))</f>
        <v/>
      </c>
      <c r="E9523">
        <f>IF(D9523&lt;&gt;"KEEP","",IF(RIGHT(B9523,10)="@gmail.com","Gmail",IF(OR(RIGHT(B9523,12)="@outlook.com",RIGHT(B9523,12)="@hotmail.com",RIGHT(B9523,9)="@live.com"),"Outlook","Domain")))</f>
        <v/>
      </c>
      <c r="F9523">
        <f>IF(B9523="","",IFERROR(RIGHT(B9523,LEN(B9523)-FIND("@",B9523)),""))</f>
        <v/>
      </c>
      <c r="G9523">
        <f>IF(D9523="KEEP",COUNTIF($D$2:D9523,"KEEP"),"")</f>
        <v/>
      </c>
      <c r="H9523">
        <f>IF(D9523="REMOVE",COUNTIF($D$2:D9523,"REMOVE"),"")</f>
        <v/>
      </c>
      <c r="I9523">
        <f>IF(E9523="Gmail",COUNTIF($E$2:E9523,"Gmail"),"")</f>
        <v/>
      </c>
      <c r="J9523">
        <f>IF(E9523="Outlook",COUNTIF($E$2:E9523,"Outlook"),"")</f>
        <v/>
      </c>
      <c r="K9523">
        <f>IF(E9523="Domain",COUNTIF($E$2:E9523,"Domain"),"")</f>
        <v/>
      </c>
    </row>
    <row r="9524">
      <c r="A9524" s="2" t="n"/>
      <c r="B9524">
        <f>LOWER(TRIM(A9524))</f>
        <v/>
      </c>
      <c r="C9524">
        <f>IF(B9524="","",IFERROR(INDEX('Bad Patterns'!$A$2:$A$120,MATCH(1,INDEX(--ISNUMBER(SEARCH('Bad Patterns'!$A$2:$A$120,B9524)),0),0)),""))</f>
        <v/>
      </c>
      <c r="D9524">
        <f>IF(B9524="","",IF(C9524&lt;&gt;"","REMOVE","KEEP"))</f>
        <v/>
      </c>
      <c r="E9524">
        <f>IF(D9524&lt;&gt;"KEEP","",IF(RIGHT(B9524,10)="@gmail.com","Gmail",IF(OR(RIGHT(B9524,12)="@outlook.com",RIGHT(B9524,12)="@hotmail.com",RIGHT(B9524,9)="@live.com"),"Outlook","Domain")))</f>
        <v/>
      </c>
      <c r="F9524">
        <f>IF(B9524="","",IFERROR(RIGHT(B9524,LEN(B9524)-FIND("@",B9524)),""))</f>
        <v/>
      </c>
      <c r="G9524">
        <f>IF(D9524="KEEP",COUNTIF($D$2:D9524,"KEEP"),"")</f>
        <v/>
      </c>
      <c r="H9524">
        <f>IF(D9524="REMOVE",COUNTIF($D$2:D9524,"REMOVE"),"")</f>
        <v/>
      </c>
      <c r="I9524">
        <f>IF(E9524="Gmail",COUNTIF($E$2:E9524,"Gmail"),"")</f>
        <v/>
      </c>
      <c r="J9524">
        <f>IF(E9524="Outlook",COUNTIF($E$2:E9524,"Outlook"),"")</f>
        <v/>
      </c>
      <c r="K9524">
        <f>IF(E9524="Domain",COUNTIF($E$2:E9524,"Domain"),"")</f>
        <v/>
      </c>
    </row>
    <row r="9525">
      <c r="A9525" s="2" t="n"/>
      <c r="B9525">
        <f>LOWER(TRIM(A9525))</f>
        <v/>
      </c>
      <c r="C9525">
        <f>IF(B9525="","",IFERROR(INDEX('Bad Patterns'!$A$2:$A$120,MATCH(1,INDEX(--ISNUMBER(SEARCH('Bad Patterns'!$A$2:$A$120,B9525)),0),0)),""))</f>
        <v/>
      </c>
      <c r="D9525">
        <f>IF(B9525="","",IF(C9525&lt;&gt;"","REMOVE","KEEP"))</f>
        <v/>
      </c>
      <c r="E9525">
        <f>IF(D9525&lt;&gt;"KEEP","",IF(RIGHT(B9525,10)="@gmail.com","Gmail",IF(OR(RIGHT(B9525,12)="@outlook.com",RIGHT(B9525,12)="@hotmail.com",RIGHT(B9525,9)="@live.com"),"Outlook","Domain")))</f>
        <v/>
      </c>
      <c r="F9525">
        <f>IF(B9525="","",IFERROR(RIGHT(B9525,LEN(B9525)-FIND("@",B9525)),""))</f>
        <v/>
      </c>
      <c r="G9525">
        <f>IF(D9525="KEEP",COUNTIF($D$2:D9525,"KEEP"),"")</f>
        <v/>
      </c>
      <c r="H9525">
        <f>IF(D9525="REMOVE",COUNTIF($D$2:D9525,"REMOVE"),"")</f>
        <v/>
      </c>
      <c r="I9525">
        <f>IF(E9525="Gmail",COUNTIF($E$2:E9525,"Gmail"),"")</f>
        <v/>
      </c>
      <c r="J9525">
        <f>IF(E9525="Outlook",COUNTIF($E$2:E9525,"Outlook"),"")</f>
        <v/>
      </c>
      <c r="K9525">
        <f>IF(E9525="Domain",COUNTIF($E$2:E9525,"Domain"),"")</f>
        <v/>
      </c>
    </row>
    <row r="9526">
      <c r="A9526" s="2" t="n"/>
      <c r="B9526">
        <f>LOWER(TRIM(A9526))</f>
        <v/>
      </c>
      <c r="C9526">
        <f>IF(B9526="","",IFERROR(INDEX('Bad Patterns'!$A$2:$A$120,MATCH(1,INDEX(--ISNUMBER(SEARCH('Bad Patterns'!$A$2:$A$120,B9526)),0),0)),""))</f>
        <v/>
      </c>
      <c r="D9526">
        <f>IF(B9526="","",IF(C9526&lt;&gt;"","REMOVE","KEEP"))</f>
        <v/>
      </c>
      <c r="E9526">
        <f>IF(D9526&lt;&gt;"KEEP","",IF(RIGHT(B9526,10)="@gmail.com","Gmail",IF(OR(RIGHT(B9526,12)="@outlook.com",RIGHT(B9526,12)="@hotmail.com",RIGHT(B9526,9)="@live.com"),"Outlook","Domain")))</f>
        <v/>
      </c>
      <c r="F9526">
        <f>IF(B9526="","",IFERROR(RIGHT(B9526,LEN(B9526)-FIND("@",B9526)),""))</f>
        <v/>
      </c>
      <c r="G9526">
        <f>IF(D9526="KEEP",COUNTIF($D$2:D9526,"KEEP"),"")</f>
        <v/>
      </c>
      <c r="H9526">
        <f>IF(D9526="REMOVE",COUNTIF($D$2:D9526,"REMOVE"),"")</f>
        <v/>
      </c>
      <c r="I9526">
        <f>IF(E9526="Gmail",COUNTIF($E$2:E9526,"Gmail"),"")</f>
        <v/>
      </c>
      <c r="J9526">
        <f>IF(E9526="Outlook",COUNTIF($E$2:E9526,"Outlook"),"")</f>
        <v/>
      </c>
      <c r="K9526">
        <f>IF(E9526="Domain",COUNTIF($E$2:E9526,"Domain"),"")</f>
        <v/>
      </c>
    </row>
    <row r="9527">
      <c r="A9527" s="2" t="n"/>
      <c r="B9527">
        <f>LOWER(TRIM(A9527))</f>
        <v/>
      </c>
      <c r="C9527">
        <f>IF(B9527="","",IFERROR(INDEX('Bad Patterns'!$A$2:$A$120,MATCH(1,INDEX(--ISNUMBER(SEARCH('Bad Patterns'!$A$2:$A$120,B9527)),0),0)),""))</f>
        <v/>
      </c>
      <c r="D9527">
        <f>IF(B9527="","",IF(C9527&lt;&gt;"","REMOVE","KEEP"))</f>
        <v/>
      </c>
      <c r="E9527">
        <f>IF(D9527&lt;&gt;"KEEP","",IF(RIGHT(B9527,10)="@gmail.com","Gmail",IF(OR(RIGHT(B9527,12)="@outlook.com",RIGHT(B9527,12)="@hotmail.com",RIGHT(B9527,9)="@live.com"),"Outlook","Domain")))</f>
        <v/>
      </c>
      <c r="F9527">
        <f>IF(B9527="","",IFERROR(RIGHT(B9527,LEN(B9527)-FIND("@",B9527)),""))</f>
        <v/>
      </c>
      <c r="G9527">
        <f>IF(D9527="KEEP",COUNTIF($D$2:D9527,"KEEP"),"")</f>
        <v/>
      </c>
      <c r="H9527">
        <f>IF(D9527="REMOVE",COUNTIF($D$2:D9527,"REMOVE"),"")</f>
        <v/>
      </c>
      <c r="I9527">
        <f>IF(E9527="Gmail",COUNTIF($E$2:E9527,"Gmail"),"")</f>
        <v/>
      </c>
      <c r="J9527">
        <f>IF(E9527="Outlook",COUNTIF($E$2:E9527,"Outlook"),"")</f>
        <v/>
      </c>
      <c r="K9527">
        <f>IF(E9527="Domain",COUNTIF($E$2:E9527,"Domain"),"")</f>
        <v/>
      </c>
    </row>
    <row r="9528">
      <c r="A9528" s="2" t="n"/>
      <c r="B9528">
        <f>LOWER(TRIM(A9528))</f>
        <v/>
      </c>
      <c r="C9528">
        <f>IF(B9528="","",IFERROR(INDEX('Bad Patterns'!$A$2:$A$120,MATCH(1,INDEX(--ISNUMBER(SEARCH('Bad Patterns'!$A$2:$A$120,B9528)),0),0)),""))</f>
        <v/>
      </c>
      <c r="D9528">
        <f>IF(B9528="","",IF(C9528&lt;&gt;"","REMOVE","KEEP"))</f>
        <v/>
      </c>
      <c r="E9528">
        <f>IF(D9528&lt;&gt;"KEEP","",IF(RIGHT(B9528,10)="@gmail.com","Gmail",IF(OR(RIGHT(B9528,12)="@outlook.com",RIGHT(B9528,12)="@hotmail.com",RIGHT(B9528,9)="@live.com"),"Outlook","Domain")))</f>
        <v/>
      </c>
      <c r="F9528">
        <f>IF(B9528="","",IFERROR(RIGHT(B9528,LEN(B9528)-FIND("@",B9528)),""))</f>
        <v/>
      </c>
      <c r="G9528">
        <f>IF(D9528="KEEP",COUNTIF($D$2:D9528,"KEEP"),"")</f>
        <v/>
      </c>
      <c r="H9528">
        <f>IF(D9528="REMOVE",COUNTIF($D$2:D9528,"REMOVE"),"")</f>
        <v/>
      </c>
      <c r="I9528">
        <f>IF(E9528="Gmail",COUNTIF($E$2:E9528,"Gmail"),"")</f>
        <v/>
      </c>
      <c r="J9528">
        <f>IF(E9528="Outlook",COUNTIF($E$2:E9528,"Outlook"),"")</f>
        <v/>
      </c>
      <c r="K9528">
        <f>IF(E9528="Domain",COUNTIF($E$2:E9528,"Domain"),"")</f>
        <v/>
      </c>
    </row>
    <row r="9529">
      <c r="A9529" s="2" t="n"/>
      <c r="B9529">
        <f>LOWER(TRIM(A9529))</f>
        <v/>
      </c>
      <c r="C9529">
        <f>IF(B9529="","",IFERROR(INDEX('Bad Patterns'!$A$2:$A$120,MATCH(1,INDEX(--ISNUMBER(SEARCH('Bad Patterns'!$A$2:$A$120,B9529)),0),0)),""))</f>
        <v/>
      </c>
      <c r="D9529">
        <f>IF(B9529="","",IF(C9529&lt;&gt;"","REMOVE","KEEP"))</f>
        <v/>
      </c>
      <c r="E9529">
        <f>IF(D9529&lt;&gt;"KEEP","",IF(RIGHT(B9529,10)="@gmail.com","Gmail",IF(OR(RIGHT(B9529,12)="@outlook.com",RIGHT(B9529,12)="@hotmail.com",RIGHT(B9529,9)="@live.com"),"Outlook","Domain")))</f>
        <v/>
      </c>
      <c r="F9529">
        <f>IF(B9529="","",IFERROR(RIGHT(B9529,LEN(B9529)-FIND("@",B9529)),""))</f>
        <v/>
      </c>
      <c r="G9529">
        <f>IF(D9529="KEEP",COUNTIF($D$2:D9529,"KEEP"),"")</f>
        <v/>
      </c>
      <c r="H9529">
        <f>IF(D9529="REMOVE",COUNTIF($D$2:D9529,"REMOVE"),"")</f>
        <v/>
      </c>
      <c r="I9529">
        <f>IF(E9529="Gmail",COUNTIF($E$2:E9529,"Gmail"),"")</f>
        <v/>
      </c>
      <c r="J9529">
        <f>IF(E9529="Outlook",COUNTIF($E$2:E9529,"Outlook"),"")</f>
        <v/>
      </c>
      <c r="K9529">
        <f>IF(E9529="Domain",COUNTIF($E$2:E9529,"Domain"),"")</f>
        <v/>
      </c>
    </row>
    <row r="9530">
      <c r="A9530" s="2" t="n"/>
      <c r="B9530">
        <f>LOWER(TRIM(A9530))</f>
        <v/>
      </c>
      <c r="C9530">
        <f>IF(B9530="","",IFERROR(INDEX('Bad Patterns'!$A$2:$A$120,MATCH(1,INDEX(--ISNUMBER(SEARCH('Bad Patterns'!$A$2:$A$120,B9530)),0),0)),""))</f>
        <v/>
      </c>
      <c r="D9530">
        <f>IF(B9530="","",IF(C9530&lt;&gt;"","REMOVE","KEEP"))</f>
        <v/>
      </c>
      <c r="E9530">
        <f>IF(D9530&lt;&gt;"KEEP","",IF(RIGHT(B9530,10)="@gmail.com","Gmail",IF(OR(RIGHT(B9530,12)="@outlook.com",RIGHT(B9530,12)="@hotmail.com",RIGHT(B9530,9)="@live.com"),"Outlook","Domain")))</f>
        <v/>
      </c>
      <c r="F9530">
        <f>IF(B9530="","",IFERROR(RIGHT(B9530,LEN(B9530)-FIND("@",B9530)),""))</f>
        <v/>
      </c>
      <c r="G9530">
        <f>IF(D9530="KEEP",COUNTIF($D$2:D9530,"KEEP"),"")</f>
        <v/>
      </c>
      <c r="H9530">
        <f>IF(D9530="REMOVE",COUNTIF($D$2:D9530,"REMOVE"),"")</f>
        <v/>
      </c>
      <c r="I9530">
        <f>IF(E9530="Gmail",COUNTIF($E$2:E9530,"Gmail"),"")</f>
        <v/>
      </c>
      <c r="J9530">
        <f>IF(E9530="Outlook",COUNTIF($E$2:E9530,"Outlook"),"")</f>
        <v/>
      </c>
      <c r="K9530">
        <f>IF(E9530="Domain",COUNTIF($E$2:E9530,"Domain"),"")</f>
        <v/>
      </c>
    </row>
    <row r="9531">
      <c r="A9531" s="2" t="n"/>
      <c r="B9531">
        <f>LOWER(TRIM(A9531))</f>
        <v/>
      </c>
      <c r="C9531">
        <f>IF(B9531="","",IFERROR(INDEX('Bad Patterns'!$A$2:$A$120,MATCH(1,INDEX(--ISNUMBER(SEARCH('Bad Patterns'!$A$2:$A$120,B9531)),0),0)),""))</f>
        <v/>
      </c>
      <c r="D9531">
        <f>IF(B9531="","",IF(C9531&lt;&gt;"","REMOVE","KEEP"))</f>
        <v/>
      </c>
      <c r="E9531">
        <f>IF(D9531&lt;&gt;"KEEP","",IF(RIGHT(B9531,10)="@gmail.com","Gmail",IF(OR(RIGHT(B9531,12)="@outlook.com",RIGHT(B9531,12)="@hotmail.com",RIGHT(B9531,9)="@live.com"),"Outlook","Domain")))</f>
        <v/>
      </c>
      <c r="F9531">
        <f>IF(B9531="","",IFERROR(RIGHT(B9531,LEN(B9531)-FIND("@",B9531)),""))</f>
        <v/>
      </c>
      <c r="G9531">
        <f>IF(D9531="KEEP",COUNTIF($D$2:D9531,"KEEP"),"")</f>
        <v/>
      </c>
      <c r="H9531">
        <f>IF(D9531="REMOVE",COUNTIF($D$2:D9531,"REMOVE"),"")</f>
        <v/>
      </c>
      <c r="I9531">
        <f>IF(E9531="Gmail",COUNTIF($E$2:E9531,"Gmail"),"")</f>
        <v/>
      </c>
      <c r="J9531">
        <f>IF(E9531="Outlook",COUNTIF($E$2:E9531,"Outlook"),"")</f>
        <v/>
      </c>
      <c r="K9531">
        <f>IF(E9531="Domain",COUNTIF($E$2:E9531,"Domain"),"")</f>
        <v/>
      </c>
    </row>
    <row r="9532">
      <c r="A9532" s="2" t="n"/>
      <c r="B9532">
        <f>LOWER(TRIM(A9532))</f>
        <v/>
      </c>
      <c r="C9532">
        <f>IF(B9532="","",IFERROR(INDEX('Bad Patterns'!$A$2:$A$120,MATCH(1,INDEX(--ISNUMBER(SEARCH('Bad Patterns'!$A$2:$A$120,B9532)),0),0)),""))</f>
        <v/>
      </c>
      <c r="D9532">
        <f>IF(B9532="","",IF(C9532&lt;&gt;"","REMOVE","KEEP"))</f>
        <v/>
      </c>
      <c r="E9532">
        <f>IF(D9532&lt;&gt;"KEEP","",IF(RIGHT(B9532,10)="@gmail.com","Gmail",IF(OR(RIGHT(B9532,12)="@outlook.com",RIGHT(B9532,12)="@hotmail.com",RIGHT(B9532,9)="@live.com"),"Outlook","Domain")))</f>
        <v/>
      </c>
      <c r="F9532">
        <f>IF(B9532="","",IFERROR(RIGHT(B9532,LEN(B9532)-FIND("@",B9532)),""))</f>
        <v/>
      </c>
      <c r="G9532">
        <f>IF(D9532="KEEP",COUNTIF($D$2:D9532,"KEEP"),"")</f>
        <v/>
      </c>
      <c r="H9532">
        <f>IF(D9532="REMOVE",COUNTIF($D$2:D9532,"REMOVE"),"")</f>
        <v/>
      </c>
      <c r="I9532">
        <f>IF(E9532="Gmail",COUNTIF($E$2:E9532,"Gmail"),"")</f>
        <v/>
      </c>
      <c r="J9532">
        <f>IF(E9532="Outlook",COUNTIF($E$2:E9532,"Outlook"),"")</f>
        <v/>
      </c>
      <c r="K9532">
        <f>IF(E9532="Domain",COUNTIF($E$2:E9532,"Domain"),"")</f>
        <v/>
      </c>
    </row>
    <row r="9533">
      <c r="A9533" s="2" t="n"/>
      <c r="B9533">
        <f>LOWER(TRIM(A9533))</f>
        <v/>
      </c>
      <c r="C9533">
        <f>IF(B9533="","",IFERROR(INDEX('Bad Patterns'!$A$2:$A$120,MATCH(1,INDEX(--ISNUMBER(SEARCH('Bad Patterns'!$A$2:$A$120,B9533)),0),0)),""))</f>
        <v/>
      </c>
      <c r="D9533">
        <f>IF(B9533="","",IF(C9533&lt;&gt;"","REMOVE","KEEP"))</f>
        <v/>
      </c>
      <c r="E9533">
        <f>IF(D9533&lt;&gt;"KEEP","",IF(RIGHT(B9533,10)="@gmail.com","Gmail",IF(OR(RIGHT(B9533,12)="@outlook.com",RIGHT(B9533,12)="@hotmail.com",RIGHT(B9533,9)="@live.com"),"Outlook","Domain")))</f>
        <v/>
      </c>
      <c r="F9533">
        <f>IF(B9533="","",IFERROR(RIGHT(B9533,LEN(B9533)-FIND("@",B9533)),""))</f>
        <v/>
      </c>
      <c r="G9533">
        <f>IF(D9533="KEEP",COUNTIF($D$2:D9533,"KEEP"),"")</f>
        <v/>
      </c>
      <c r="H9533">
        <f>IF(D9533="REMOVE",COUNTIF($D$2:D9533,"REMOVE"),"")</f>
        <v/>
      </c>
      <c r="I9533">
        <f>IF(E9533="Gmail",COUNTIF($E$2:E9533,"Gmail"),"")</f>
        <v/>
      </c>
      <c r="J9533">
        <f>IF(E9533="Outlook",COUNTIF($E$2:E9533,"Outlook"),"")</f>
        <v/>
      </c>
      <c r="K9533">
        <f>IF(E9533="Domain",COUNTIF($E$2:E9533,"Domain"),"")</f>
        <v/>
      </c>
    </row>
    <row r="9534">
      <c r="A9534" s="2" t="n"/>
      <c r="B9534">
        <f>LOWER(TRIM(A9534))</f>
        <v/>
      </c>
      <c r="C9534">
        <f>IF(B9534="","",IFERROR(INDEX('Bad Patterns'!$A$2:$A$120,MATCH(1,INDEX(--ISNUMBER(SEARCH('Bad Patterns'!$A$2:$A$120,B9534)),0),0)),""))</f>
        <v/>
      </c>
      <c r="D9534">
        <f>IF(B9534="","",IF(C9534&lt;&gt;"","REMOVE","KEEP"))</f>
        <v/>
      </c>
      <c r="E9534">
        <f>IF(D9534&lt;&gt;"KEEP","",IF(RIGHT(B9534,10)="@gmail.com","Gmail",IF(OR(RIGHT(B9534,12)="@outlook.com",RIGHT(B9534,12)="@hotmail.com",RIGHT(B9534,9)="@live.com"),"Outlook","Domain")))</f>
        <v/>
      </c>
      <c r="F9534">
        <f>IF(B9534="","",IFERROR(RIGHT(B9534,LEN(B9534)-FIND("@",B9534)),""))</f>
        <v/>
      </c>
      <c r="G9534">
        <f>IF(D9534="KEEP",COUNTIF($D$2:D9534,"KEEP"),"")</f>
        <v/>
      </c>
      <c r="H9534">
        <f>IF(D9534="REMOVE",COUNTIF($D$2:D9534,"REMOVE"),"")</f>
        <v/>
      </c>
      <c r="I9534">
        <f>IF(E9534="Gmail",COUNTIF($E$2:E9534,"Gmail"),"")</f>
        <v/>
      </c>
      <c r="J9534">
        <f>IF(E9534="Outlook",COUNTIF($E$2:E9534,"Outlook"),"")</f>
        <v/>
      </c>
      <c r="K9534">
        <f>IF(E9534="Domain",COUNTIF($E$2:E9534,"Domain"),"")</f>
        <v/>
      </c>
    </row>
    <row r="9535">
      <c r="A9535" s="2" t="n"/>
      <c r="B9535">
        <f>LOWER(TRIM(A9535))</f>
        <v/>
      </c>
      <c r="C9535">
        <f>IF(B9535="","",IFERROR(INDEX('Bad Patterns'!$A$2:$A$120,MATCH(1,INDEX(--ISNUMBER(SEARCH('Bad Patterns'!$A$2:$A$120,B9535)),0),0)),""))</f>
        <v/>
      </c>
      <c r="D9535">
        <f>IF(B9535="","",IF(C9535&lt;&gt;"","REMOVE","KEEP"))</f>
        <v/>
      </c>
      <c r="E9535">
        <f>IF(D9535&lt;&gt;"KEEP","",IF(RIGHT(B9535,10)="@gmail.com","Gmail",IF(OR(RIGHT(B9535,12)="@outlook.com",RIGHT(B9535,12)="@hotmail.com",RIGHT(B9535,9)="@live.com"),"Outlook","Domain")))</f>
        <v/>
      </c>
      <c r="F9535">
        <f>IF(B9535="","",IFERROR(RIGHT(B9535,LEN(B9535)-FIND("@",B9535)),""))</f>
        <v/>
      </c>
      <c r="G9535">
        <f>IF(D9535="KEEP",COUNTIF($D$2:D9535,"KEEP"),"")</f>
        <v/>
      </c>
      <c r="H9535">
        <f>IF(D9535="REMOVE",COUNTIF($D$2:D9535,"REMOVE"),"")</f>
        <v/>
      </c>
      <c r="I9535">
        <f>IF(E9535="Gmail",COUNTIF($E$2:E9535,"Gmail"),"")</f>
        <v/>
      </c>
      <c r="J9535">
        <f>IF(E9535="Outlook",COUNTIF($E$2:E9535,"Outlook"),"")</f>
        <v/>
      </c>
      <c r="K9535">
        <f>IF(E9535="Domain",COUNTIF($E$2:E9535,"Domain"),"")</f>
        <v/>
      </c>
    </row>
    <row r="9536">
      <c r="A9536" s="2" t="n"/>
      <c r="B9536">
        <f>LOWER(TRIM(A9536))</f>
        <v/>
      </c>
      <c r="C9536">
        <f>IF(B9536="","",IFERROR(INDEX('Bad Patterns'!$A$2:$A$120,MATCH(1,INDEX(--ISNUMBER(SEARCH('Bad Patterns'!$A$2:$A$120,B9536)),0),0)),""))</f>
        <v/>
      </c>
      <c r="D9536">
        <f>IF(B9536="","",IF(C9536&lt;&gt;"","REMOVE","KEEP"))</f>
        <v/>
      </c>
      <c r="E9536">
        <f>IF(D9536&lt;&gt;"KEEP","",IF(RIGHT(B9536,10)="@gmail.com","Gmail",IF(OR(RIGHT(B9536,12)="@outlook.com",RIGHT(B9536,12)="@hotmail.com",RIGHT(B9536,9)="@live.com"),"Outlook","Domain")))</f>
        <v/>
      </c>
      <c r="F9536">
        <f>IF(B9536="","",IFERROR(RIGHT(B9536,LEN(B9536)-FIND("@",B9536)),""))</f>
        <v/>
      </c>
      <c r="G9536">
        <f>IF(D9536="KEEP",COUNTIF($D$2:D9536,"KEEP"),"")</f>
        <v/>
      </c>
      <c r="H9536">
        <f>IF(D9536="REMOVE",COUNTIF($D$2:D9536,"REMOVE"),"")</f>
        <v/>
      </c>
      <c r="I9536">
        <f>IF(E9536="Gmail",COUNTIF($E$2:E9536,"Gmail"),"")</f>
        <v/>
      </c>
      <c r="J9536">
        <f>IF(E9536="Outlook",COUNTIF($E$2:E9536,"Outlook"),"")</f>
        <v/>
      </c>
      <c r="K9536">
        <f>IF(E9536="Domain",COUNTIF($E$2:E9536,"Domain"),"")</f>
        <v/>
      </c>
    </row>
    <row r="9537">
      <c r="A9537" s="2" t="n"/>
      <c r="B9537">
        <f>LOWER(TRIM(A9537))</f>
        <v/>
      </c>
      <c r="C9537">
        <f>IF(B9537="","",IFERROR(INDEX('Bad Patterns'!$A$2:$A$120,MATCH(1,INDEX(--ISNUMBER(SEARCH('Bad Patterns'!$A$2:$A$120,B9537)),0),0)),""))</f>
        <v/>
      </c>
      <c r="D9537">
        <f>IF(B9537="","",IF(C9537&lt;&gt;"","REMOVE","KEEP"))</f>
        <v/>
      </c>
      <c r="E9537">
        <f>IF(D9537&lt;&gt;"KEEP","",IF(RIGHT(B9537,10)="@gmail.com","Gmail",IF(OR(RIGHT(B9537,12)="@outlook.com",RIGHT(B9537,12)="@hotmail.com",RIGHT(B9537,9)="@live.com"),"Outlook","Domain")))</f>
        <v/>
      </c>
      <c r="F9537">
        <f>IF(B9537="","",IFERROR(RIGHT(B9537,LEN(B9537)-FIND("@",B9537)),""))</f>
        <v/>
      </c>
      <c r="G9537">
        <f>IF(D9537="KEEP",COUNTIF($D$2:D9537,"KEEP"),"")</f>
        <v/>
      </c>
      <c r="H9537">
        <f>IF(D9537="REMOVE",COUNTIF($D$2:D9537,"REMOVE"),"")</f>
        <v/>
      </c>
      <c r="I9537">
        <f>IF(E9537="Gmail",COUNTIF($E$2:E9537,"Gmail"),"")</f>
        <v/>
      </c>
      <c r="J9537">
        <f>IF(E9537="Outlook",COUNTIF($E$2:E9537,"Outlook"),"")</f>
        <v/>
      </c>
      <c r="K9537">
        <f>IF(E9537="Domain",COUNTIF($E$2:E9537,"Domain"),"")</f>
        <v/>
      </c>
    </row>
    <row r="9538">
      <c r="A9538" s="2" t="n"/>
      <c r="B9538">
        <f>LOWER(TRIM(A9538))</f>
        <v/>
      </c>
      <c r="C9538">
        <f>IF(B9538="","",IFERROR(INDEX('Bad Patterns'!$A$2:$A$120,MATCH(1,INDEX(--ISNUMBER(SEARCH('Bad Patterns'!$A$2:$A$120,B9538)),0),0)),""))</f>
        <v/>
      </c>
      <c r="D9538">
        <f>IF(B9538="","",IF(C9538&lt;&gt;"","REMOVE","KEEP"))</f>
        <v/>
      </c>
      <c r="E9538">
        <f>IF(D9538&lt;&gt;"KEEP","",IF(RIGHT(B9538,10)="@gmail.com","Gmail",IF(OR(RIGHT(B9538,12)="@outlook.com",RIGHT(B9538,12)="@hotmail.com",RIGHT(B9538,9)="@live.com"),"Outlook","Domain")))</f>
        <v/>
      </c>
      <c r="F9538">
        <f>IF(B9538="","",IFERROR(RIGHT(B9538,LEN(B9538)-FIND("@",B9538)),""))</f>
        <v/>
      </c>
      <c r="G9538">
        <f>IF(D9538="KEEP",COUNTIF($D$2:D9538,"KEEP"),"")</f>
        <v/>
      </c>
      <c r="H9538">
        <f>IF(D9538="REMOVE",COUNTIF($D$2:D9538,"REMOVE"),"")</f>
        <v/>
      </c>
      <c r="I9538">
        <f>IF(E9538="Gmail",COUNTIF($E$2:E9538,"Gmail"),"")</f>
        <v/>
      </c>
      <c r="J9538">
        <f>IF(E9538="Outlook",COUNTIF($E$2:E9538,"Outlook"),"")</f>
        <v/>
      </c>
      <c r="K9538">
        <f>IF(E9538="Domain",COUNTIF($E$2:E9538,"Domain"),"")</f>
        <v/>
      </c>
    </row>
    <row r="9539">
      <c r="A9539" s="2" t="n"/>
      <c r="B9539">
        <f>LOWER(TRIM(A9539))</f>
        <v/>
      </c>
      <c r="C9539">
        <f>IF(B9539="","",IFERROR(INDEX('Bad Patterns'!$A$2:$A$120,MATCH(1,INDEX(--ISNUMBER(SEARCH('Bad Patterns'!$A$2:$A$120,B9539)),0),0)),""))</f>
        <v/>
      </c>
      <c r="D9539">
        <f>IF(B9539="","",IF(C9539&lt;&gt;"","REMOVE","KEEP"))</f>
        <v/>
      </c>
      <c r="E9539">
        <f>IF(D9539&lt;&gt;"KEEP","",IF(RIGHT(B9539,10)="@gmail.com","Gmail",IF(OR(RIGHT(B9539,12)="@outlook.com",RIGHT(B9539,12)="@hotmail.com",RIGHT(B9539,9)="@live.com"),"Outlook","Domain")))</f>
        <v/>
      </c>
      <c r="F9539">
        <f>IF(B9539="","",IFERROR(RIGHT(B9539,LEN(B9539)-FIND("@",B9539)),""))</f>
        <v/>
      </c>
      <c r="G9539">
        <f>IF(D9539="KEEP",COUNTIF($D$2:D9539,"KEEP"),"")</f>
        <v/>
      </c>
      <c r="H9539">
        <f>IF(D9539="REMOVE",COUNTIF($D$2:D9539,"REMOVE"),"")</f>
        <v/>
      </c>
      <c r="I9539">
        <f>IF(E9539="Gmail",COUNTIF($E$2:E9539,"Gmail"),"")</f>
        <v/>
      </c>
      <c r="J9539">
        <f>IF(E9539="Outlook",COUNTIF($E$2:E9539,"Outlook"),"")</f>
        <v/>
      </c>
      <c r="K9539">
        <f>IF(E9539="Domain",COUNTIF($E$2:E9539,"Domain"),"")</f>
        <v/>
      </c>
    </row>
    <row r="9540">
      <c r="A9540" s="2" t="n"/>
      <c r="B9540">
        <f>LOWER(TRIM(A9540))</f>
        <v/>
      </c>
      <c r="C9540">
        <f>IF(B9540="","",IFERROR(INDEX('Bad Patterns'!$A$2:$A$120,MATCH(1,INDEX(--ISNUMBER(SEARCH('Bad Patterns'!$A$2:$A$120,B9540)),0),0)),""))</f>
        <v/>
      </c>
      <c r="D9540">
        <f>IF(B9540="","",IF(C9540&lt;&gt;"","REMOVE","KEEP"))</f>
        <v/>
      </c>
      <c r="E9540">
        <f>IF(D9540&lt;&gt;"KEEP","",IF(RIGHT(B9540,10)="@gmail.com","Gmail",IF(OR(RIGHT(B9540,12)="@outlook.com",RIGHT(B9540,12)="@hotmail.com",RIGHT(B9540,9)="@live.com"),"Outlook","Domain")))</f>
        <v/>
      </c>
      <c r="F9540">
        <f>IF(B9540="","",IFERROR(RIGHT(B9540,LEN(B9540)-FIND("@",B9540)),""))</f>
        <v/>
      </c>
      <c r="G9540">
        <f>IF(D9540="KEEP",COUNTIF($D$2:D9540,"KEEP"),"")</f>
        <v/>
      </c>
      <c r="H9540">
        <f>IF(D9540="REMOVE",COUNTIF($D$2:D9540,"REMOVE"),"")</f>
        <v/>
      </c>
      <c r="I9540">
        <f>IF(E9540="Gmail",COUNTIF($E$2:E9540,"Gmail"),"")</f>
        <v/>
      </c>
      <c r="J9540">
        <f>IF(E9540="Outlook",COUNTIF($E$2:E9540,"Outlook"),"")</f>
        <v/>
      </c>
      <c r="K9540">
        <f>IF(E9540="Domain",COUNTIF($E$2:E9540,"Domain"),"")</f>
        <v/>
      </c>
    </row>
    <row r="9541">
      <c r="A9541" s="2" t="n"/>
      <c r="B9541">
        <f>LOWER(TRIM(A9541))</f>
        <v/>
      </c>
      <c r="C9541">
        <f>IF(B9541="","",IFERROR(INDEX('Bad Patterns'!$A$2:$A$120,MATCH(1,INDEX(--ISNUMBER(SEARCH('Bad Patterns'!$A$2:$A$120,B9541)),0),0)),""))</f>
        <v/>
      </c>
      <c r="D9541">
        <f>IF(B9541="","",IF(C9541&lt;&gt;"","REMOVE","KEEP"))</f>
        <v/>
      </c>
      <c r="E9541">
        <f>IF(D9541&lt;&gt;"KEEP","",IF(RIGHT(B9541,10)="@gmail.com","Gmail",IF(OR(RIGHT(B9541,12)="@outlook.com",RIGHT(B9541,12)="@hotmail.com",RIGHT(B9541,9)="@live.com"),"Outlook","Domain")))</f>
        <v/>
      </c>
      <c r="F9541">
        <f>IF(B9541="","",IFERROR(RIGHT(B9541,LEN(B9541)-FIND("@",B9541)),""))</f>
        <v/>
      </c>
      <c r="G9541">
        <f>IF(D9541="KEEP",COUNTIF($D$2:D9541,"KEEP"),"")</f>
        <v/>
      </c>
      <c r="H9541">
        <f>IF(D9541="REMOVE",COUNTIF($D$2:D9541,"REMOVE"),"")</f>
        <v/>
      </c>
      <c r="I9541">
        <f>IF(E9541="Gmail",COUNTIF($E$2:E9541,"Gmail"),"")</f>
        <v/>
      </c>
      <c r="J9541">
        <f>IF(E9541="Outlook",COUNTIF($E$2:E9541,"Outlook"),"")</f>
        <v/>
      </c>
      <c r="K9541">
        <f>IF(E9541="Domain",COUNTIF($E$2:E9541,"Domain"),"")</f>
        <v/>
      </c>
    </row>
    <row r="9542">
      <c r="A9542" s="2" t="n"/>
      <c r="B9542">
        <f>LOWER(TRIM(A9542))</f>
        <v/>
      </c>
      <c r="C9542">
        <f>IF(B9542="","",IFERROR(INDEX('Bad Patterns'!$A$2:$A$120,MATCH(1,INDEX(--ISNUMBER(SEARCH('Bad Patterns'!$A$2:$A$120,B9542)),0),0)),""))</f>
        <v/>
      </c>
      <c r="D9542">
        <f>IF(B9542="","",IF(C9542&lt;&gt;"","REMOVE","KEEP"))</f>
        <v/>
      </c>
      <c r="E9542">
        <f>IF(D9542&lt;&gt;"KEEP","",IF(RIGHT(B9542,10)="@gmail.com","Gmail",IF(OR(RIGHT(B9542,12)="@outlook.com",RIGHT(B9542,12)="@hotmail.com",RIGHT(B9542,9)="@live.com"),"Outlook","Domain")))</f>
        <v/>
      </c>
      <c r="F9542">
        <f>IF(B9542="","",IFERROR(RIGHT(B9542,LEN(B9542)-FIND("@",B9542)),""))</f>
        <v/>
      </c>
      <c r="G9542">
        <f>IF(D9542="KEEP",COUNTIF($D$2:D9542,"KEEP"),"")</f>
        <v/>
      </c>
      <c r="H9542">
        <f>IF(D9542="REMOVE",COUNTIF($D$2:D9542,"REMOVE"),"")</f>
        <v/>
      </c>
      <c r="I9542">
        <f>IF(E9542="Gmail",COUNTIF($E$2:E9542,"Gmail"),"")</f>
        <v/>
      </c>
      <c r="J9542">
        <f>IF(E9542="Outlook",COUNTIF($E$2:E9542,"Outlook"),"")</f>
        <v/>
      </c>
      <c r="K9542">
        <f>IF(E9542="Domain",COUNTIF($E$2:E9542,"Domain"),"")</f>
        <v/>
      </c>
    </row>
    <row r="9543">
      <c r="A9543" s="2" t="n"/>
      <c r="B9543">
        <f>LOWER(TRIM(A9543))</f>
        <v/>
      </c>
      <c r="C9543">
        <f>IF(B9543="","",IFERROR(INDEX('Bad Patterns'!$A$2:$A$120,MATCH(1,INDEX(--ISNUMBER(SEARCH('Bad Patterns'!$A$2:$A$120,B9543)),0),0)),""))</f>
        <v/>
      </c>
      <c r="D9543">
        <f>IF(B9543="","",IF(C9543&lt;&gt;"","REMOVE","KEEP"))</f>
        <v/>
      </c>
      <c r="E9543">
        <f>IF(D9543&lt;&gt;"KEEP","",IF(RIGHT(B9543,10)="@gmail.com","Gmail",IF(OR(RIGHT(B9543,12)="@outlook.com",RIGHT(B9543,12)="@hotmail.com",RIGHT(B9543,9)="@live.com"),"Outlook","Domain")))</f>
        <v/>
      </c>
      <c r="F9543">
        <f>IF(B9543="","",IFERROR(RIGHT(B9543,LEN(B9543)-FIND("@",B9543)),""))</f>
        <v/>
      </c>
      <c r="G9543">
        <f>IF(D9543="KEEP",COUNTIF($D$2:D9543,"KEEP"),"")</f>
        <v/>
      </c>
      <c r="H9543">
        <f>IF(D9543="REMOVE",COUNTIF($D$2:D9543,"REMOVE"),"")</f>
        <v/>
      </c>
      <c r="I9543">
        <f>IF(E9543="Gmail",COUNTIF($E$2:E9543,"Gmail"),"")</f>
        <v/>
      </c>
      <c r="J9543">
        <f>IF(E9543="Outlook",COUNTIF($E$2:E9543,"Outlook"),"")</f>
        <v/>
      </c>
      <c r="K9543">
        <f>IF(E9543="Domain",COUNTIF($E$2:E9543,"Domain"),"")</f>
        <v/>
      </c>
    </row>
    <row r="9544">
      <c r="A9544" s="2" t="n"/>
      <c r="B9544">
        <f>LOWER(TRIM(A9544))</f>
        <v/>
      </c>
      <c r="C9544">
        <f>IF(B9544="","",IFERROR(INDEX('Bad Patterns'!$A$2:$A$120,MATCH(1,INDEX(--ISNUMBER(SEARCH('Bad Patterns'!$A$2:$A$120,B9544)),0),0)),""))</f>
        <v/>
      </c>
      <c r="D9544">
        <f>IF(B9544="","",IF(C9544&lt;&gt;"","REMOVE","KEEP"))</f>
        <v/>
      </c>
      <c r="E9544">
        <f>IF(D9544&lt;&gt;"KEEP","",IF(RIGHT(B9544,10)="@gmail.com","Gmail",IF(OR(RIGHT(B9544,12)="@outlook.com",RIGHT(B9544,12)="@hotmail.com",RIGHT(B9544,9)="@live.com"),"Outlook","Domain")))</f>
        <v/>
      </c>
      <c r="F9544">
        <f>IF(B9544="","",IFERROR(RIGHT(B9544,LEN(B9544)-FIND("@",B9544)),""))</f>
        <v/>
      </c>
      <c r="G9544">
        <f>IF(D9544="KEEP",COUNTIF($D$2:D9544,"KEEP"),"")</f>
        <v/>
      </c>
      <c r="H9544">
        <f>IF(D9544="REMOVE",COUNTIF($D$2:D9544,"REMOVE"),"")</f>
        <v/>
      </c>
      <c r="I9544">
        <f>IF(E9544="Gmail",COUNTIF($E$2:E9544,"Gmail"),"")</f>
        <v/>
      </c>
      <c r="J9544">
        <f>IF(E9544="Outlook",COUNTIF($E$2:E9544,"Outlook"),"")</f>
        <v/>
      </c>
      <c r="K9544">
        <f>IF(E9544="Domain",COUNTIF($E$2:E9544,"Domain"),"")</f>
        <v/>
      </c>
    </row>
    <row r="9545">
      <c r="A9545" s="2" t="n"/>
      <c r="B9545">
        <f>LOWER(TRIM(A9545))</f>
        <v/>
      </c>
      <c r="C9545">
        <f>IF(B9545="","",IFERROR(INDEX('Bad Patterns'!$A$2:$A$120,MATCH(1,INDEX(--ISNUMBER(SEARCH('Bad Patterns'!$A$2:$A$120,B9545)),0),0)),""))</f>
        <v/>
      </c>
      <c r="D9545">
        <f>IF(B9545="","",IF(C9545&lt;&gt;"","REMOVE","KEEP"))</f>
        <v/>
      </c>
      <c r="E9545">
        <f>IF(D9545&lt;&gt;"KEEP","",IF(RIGHT(B9545,10)="@gmail.com","Gmail",IF(OR(RIGHT(B9545,12)="@outlook.com",RIGHT(B9545,12)="@hotmail.com",RIGHT(B9545,9)="@live.com"),"Outlook","Domain")))</f>
        <v/>
      </c>
      <c r="F9545">
        <f>IF(B9545="","",IFERROR(RIGHT(B9545,LEN(B9545)-FIND("@",B9545)),""))</f>
        <v/>
      </c>
      <c r="G9545">
        <f>IF(D9545="KEEP",COUNTIF($D$2:D9545,"KEEP"),"")</f>
        <v/>
      </c>
      <c r="H9545">
        <f>IF(D9545="REMOVE",COUNTIF($D$2:D9545,"REMOVE"),"")</f>
        <v/>
      </c>
      <c r="I9545">
        <f>IF(E9545="Gmail",COUNTIF($E$2:E9545,"Gmail"),"")</f>
        <v/>
      </c>
      <c r="J9545">
        <f>IF(E9545="Outlook",COUNTIF($E$2:E9545,"Outlook"),"")</f>
        <v/>
      </c>
      <c r="K9545">
        <f>IF(E9545="Domain",COUNTIF($E$2:E9545,"Domain"),"")</f>
        <v/>
      </c>
    </row>
    <row r="9546">
      <c r="A9546" s="2" t="n"/>
      <c r="B9546">
        <f>LOWER(TRIM(A9546))</f>
        <v/>
      </c>
      <c r="C9546">
        <f>IF(B9546="","",IFERROR(INDEX('Bad Patterns'!$A$2:$A$120,MATCH(1,INDEX(--ISNUMBER(SEARCH('Bad Patterns'!$A$2:$A$120,B9546)),0),0)),""))</f>
        <v/>
      </c>
      <c r="D9546">
        <f>IF(B9546="","",IF(C9546&lt;&gt;"","REMOVE","KEEP"))</f>
        <v/>
      </c>
      <c r="E9546">
        <f>IF(D9546&lt;&gt;"KEEP","",IF(RIGHT(B9546,10)="@gmail.com","Gmail",IF(OR(RIGHT(B9546,12)="@outlook.com",RIGHT(B9546,12)="@hotmail.com",RIGHT(B9546,9)="@live.com"),"Outlook","Domain")))</f>
        <v/>
      </c>
      <c r="F9546">
        <f>IF(B9546="","",IFERROR(RIGHT(B9546,LEN(B9546)-FIND("@",B9546)),""))</f>
        <v/>
      </c>
      <c r="G9546">
        <f>IF(D9546="KEEP",COUNTIF($D$2:D9546,"KEEP"),"")</f>
        <v/>
      </c>
      <c r="H9546">
        <f>IF(D9546="REMOVE",COUNTIF($D$2:D9546,"REMOVE"),"")</f>
        <v/>
      </c>
      <c r="I9546">
        <f>IF(E9546="Gmail",COUNTIF($E$2:E9546,"Gmail"),"")</f>
        <v/>
      </c>
      <c r="J9546">
        <f>IF(E9546="Outlook",COUNTIF($E$2:E9546,"Outlook"),"")</f>
        <v/>
      </c>
      <c r="K9546">
        <f>IF(E9546="Domain",COUNTIF($E$2:E9546,"Domain"),"")</f>
        <v/>
      </c>
    </row>
    <row r="9547">
      <c r="A9547" s="2" t="n"/>
      <c r="B9547">
        <f>LOWER(TRIM(A9547))</f>
        <v/>
      </c>
      <c r="C9547">
        <f>IF(B9547="","",IFERROR(INDEX('Bad Patterns'!$A$2:$A$120,MATCH(1,INDEX(--ISNUMBER(SEARCH('Bad Patterns'!$A$2:$A$120,B9547)),0),0)),""))</f>
        <v/>
      </c>
      <c r="D9547">
        <f>IF(B9547="","",IF(C9547&lt;&gt;"","REMOVE","KEEP"))</f>
        <v/>
      </c>
      <c r="E9547">
        <f>IF(D9547&lt;&gt;"KEEP","",IF(RIGHT(B9547,10)="@gmail.com","Gmail",IF(OR(RIGHT(B9547,12)="@outlook.com",RIGHT(B9547,12)="@hotmail.com",RIGHT(B9547,9)="@live.com"),"Outlook","Domain")))</f>
        <v/>
      </c>
      <c r="F9547">
        <f>IF(B9547="","",IFERROR(RIGHT(B9547,LEN(B9547)-FIND("@",B9547)),""))</f>
        <v/>
      </c>
      <c r="G9547">
        <f>IF(D9547="KEEP",COUNTIF($D$2:D9547,"KEEP"),"")</f>
        <v/>
      </c>
      <c r="H9547">
        <f>IF(D9547="REMOVE",COUNTIF($D$2:D9547,"REMOVE"),"")</f>
        <v/>
      </c>
      <c r="I9547">
        <f>IF(E9547="Gmail",COUNTIF($E$2:E9547,"Gmail"),"")</f>
        <v/>
      </c>
      <c r="J9547">
        <f>IF(E9547="Outlook",COUNTIF($E$2:E9547,"Outlook"),"")</f>
        <v/>
      </c>
      <c r="K9547">
        <f>IF(E9547="Domain",COUNTIF($E$2:E9547,"Domain"),"")</f>
        <v/>
      </c>
    </row>
    <row r="9548">
      <c r="A9548" s="2" t="n"/>
      <c r="B9548">
        <f>LOWER(TRIM(A9548))</f>
        <v/>
      </c>
      <c r="C9548">
        <f>IF(B9548="","",IFERROR(INDEX('Bad Patterns'!$A$2:$A$120,MATCH(1,INDEX(--ISNUMBER(SEARCH('Bad Patterns'!$A$2:$A$120,B9548)),0),0)),""))</f>
        <v/>
      </c>
      <c r="D9548">
        <f>IF(B9548="","",IF(C9548&lt;&gt;"","REMOVE","KEEP"))</f>
        <v/>
      </c>
      <c r="E9548">
        <f>IF(D9548&lt;&gt;"KEEP","",IF(RIGHT(B9548,10)="@gmail.com","Gmail",IF(OR(RIGHT(B9548,12)="@outlook.com",RIGHT(B9548,12)="@hotmail.com",RIGHT(B9548,9)="@live.com"),"Outlook","Domain")))</f>
        <v/>
      </c>
      <c r="F9548">
        <f>IF(B9548="","",IFERROR(RIGHT(B9548,LEN(B9548)-FIND("@",B9548)),""))</f>
        <v/>
      </c>
      <c r="G9548">
        <f>IF(D9548="KEEP",COUNTIF($D$2:D9548,"KEEP"),"")</f>
        <v/>
      </c>
      <c r="H9548">
        <f>IF(D9548="REMOVE",COUNTIF($D$2:D9548,"REMOVE"),"")</f>
        <v/>
      </c>
      <c r="I9548">
        <f>IF(E9548="Gmail",COUNTIF($E$2:E9548,"Gmail"),"")</f>
        <v/>
      </c>
      <c r="J9548">
        <f>IF(E9548="Outlook",COUNTIF($E$2:E9548,"Outlook"),"")</f>
        <v/>
      </c>
      <c r="K9548">
        <f>IF(E9548="Domain",COUNTIF($E$2:E9548,"Domain"),"")</f>
        <v/>
      </c>
    </row>
    <row r="9549">
      <c r="A9549" s="2" t="n"/>
      <c r="B9549">
        <f>LOWER(TRIM(A9549))</f>
        <v/>
      </c>
      <c r="C9549">
        <f>IF(B9549="","",IFERROR(INDEX('Bad Patterns'!$A$2:$A$120,MATCH(1,INDEX(--ISNUMBER(SEARCH('Bad Patterns'!$A$2:$A$120,B9549)),0),0)),""))</f>
        <v/>
      </c>
      <c r="D9549">
        <f>IF(B9549="","",IF(C9549&lt;&gt;"","REMOVE","KEEP"))</f>
        <v/>
      </c>
      <c r="E9549">
        <f>IF(D9549&lt;&gt;"KEEP","",IF(RIGHT(B9549,10)="@gmail.com","Gmail",IF(OR(RIGHT(B9549,12)="@outlook.com",RIGHT(B9549,12)="@hotmail.com",RIGHT(B9549,9)="@live.com"),"Outlook","Domain")))</f>
        <v/>
      </c>
      <c r="F9549">
        <f>IF(B9549="","",IFERROR(RIGHT(B9549,LEN(B9549)-FIND("@",B9549)),""))</f>
        <v/>
      </c>
      <c r="G9549">
        <f>IF(D9549="KEEP",COUNTIF($D$2:D9549,"KEEP"),"")</f>
        <v/>
      </c>
      <c r="H9549">
        <f>IF(D9549="REMOVE",COUNTIF($D$2:D9549,"REMOVE"),"")</f>
        <v/>
      </c>
      <c r="I9549">
        <f>IF(E9549="Gmail",COUNTIF($E$2:E9549,"Gmail"),"")</f>
        <v/>
      </c>
      <c r="J9549">
        <f>IF(E9549="Outlook",COUNTIF($E$2:E9549,"Outlook"),"")</f>
        <v/>
      </c>
      <c r="K9549">
        <f>IF(E9549="Domain",COUNTIF($E$2:E9549,"Domain"),"")</f>
        <v/>
      </c>
    </row>
    <row r="9550">
      <c r="A9550" s="2" t="n"/>
      <c r="B9550">
        <f>LOWER(TRIM(A9550))</f>
        <v/>
      </c>
      <c r="C9550">
        <f>IF(B9550="","",IFERROR(INDEX('Bad Patterns'!$A$2:$A$120,MATCH(1,INDEX(--ISNUMBER(SEARCH('Bad Patterns'!$A$2:$A$120,B9550)),0),0)),""))</f>
        <v/>
      </c>
      <c r="D9550">
        <f>IF(B9550="","",IF(C9550&lt;&gt;"","REMOVE","KEEP"))</f>
        <v/>
      </c>
      <c r="E9550">
        <f>IF(D9550&lt;&gt;"KEEP","",IF(RIGHT(B9550,10)="@gmail.com","Gmail",IF(OR(RIGHT(B9550,12)="@outlook.com",RIGHT(B9550,12)="@hotmail.com",RIGHT(B9550,9)="@live.com"),"Outlook","Domain")))</f>
        <v/>
      </c>
      <c r="F9550">
        <f>IF(B9550="","",IFERROR(RIGHT(B9550,LEN(B9550)-FIND("@",B9550)),""))</f>
        <v/>
      </c>
      <c r="G9550">
        <f>IF(D9550="KEEP",COUNTIF($D$2:D9550,"KEEP"),"")</f>
        <v/>
      </c>
      <c r="H9550">
        <f>IF(D9550="REMOVE",COUNTIF($D$2:D9550,"REMOVE"),"")</f>
        <v/>
      </c>
      <c r="I9550">
        <f>IF(E9550="Gmail",COUNTIF($E$2:E9550,"Gmail"),"")</f>
        <v/>
      </c>
      <c r="J9550">
        <f>IF(E9550="Outlook",COUNTIF($E$2:E9550,"Outlook"),"")</f>
        <v/>
      </c>
      <c r="K9550">
        <f>IF(E9550="Domain",COUNTIF($E$2:E9550,"Domain"),"")</f>
        <v/>
      </c>
    </row>
    <row r="9551">
      <c r="A9551" s="2" t="n"/>
      <c r="B9551">
        <f>LOWER(TRIM(A9551))</f>
        <v/>
      </c>
      <c r="C9551">
        <f>IF(B9551="","",IFERROR(INDEX('Bad Patterns'!$A$2:$A$120,MATCH(1,INDEX(--ISNUMBER(SEARCH('Bad Patterns'!$A$2:$A$120,B9551)),0),0)),""))</f>
        <v/>
      </c>
      <c r="D9551">
        <f>IF(B9551="","",IF(C9551&lt;&gt;"","REMOVE","KEEP"))</f>
        <v/>
      </c>
      <c r="E9551">
        <f>IF(D9551&lt;&gt;"KEEP","",IF(RIGHT(B9551,10)="@gmail.com","Gmail",IF(OR(RIGHT(B9551,12)="@outlook.com",RIGHT(B9551,12)="@hotmail.com",RIGHT(B9551,9)="@live.com"),"Outlook","Domain")))</f>
        <v/>
      </c>
      <c r="F9551">
        <f>IF(B9551="","",IFERROR(RIGHT(B9551,LEN(B9551)-FIND("@",B9551)),""))</f>
        <v/>
      </c>
      <c r="G9551">
        <f>IF(D9551="KEEP",COUNTIF($D$2:D9551,"KEEP"),"")</f>
        <v/>
      </c>
      <c r="H9551">
        <f>IF(D9551="REMOVE",COUNTIF($D$2:D9551,"REMOVE"),"")</f>
        <v/>
      </c>
      <c r="I9551">
        <f>IF(E9551="Gmail",COUNTIF($E$2:E9551,"Gmail"),"")</f>
        <v/>
      </c>
      <c r="J9551">
        <f>IF(E9551="Outlook",COUNTIF($E$2:E9551,"Outlook"),"")</f>
        <v/>
      </c>
      <c r="K9551">
        <f>IF(E9551="Domain",COUNTIF($E$2:E9551,"Domain"),"")</f>
        <v/>
      </c>
    </row>
    <row r="9552">
      <c r="A9552" s="2" t="n"/>
      <c r="B9552">
        <f>LOWER(TRIM(A9552))</f>
        <v/>
      </c>
      <c r="C9552">
        <f>IF(B9552="","",IFERROR(INDEX('Bad Patterns'!$A$2:$A$120,MATCH(1,INDEX(--ISNUMBER(SEARCH('Bad Patterns'!$A$2:$A$120,B9552)),0),0)),""))</f>
        <v/>
      </c>
      <c r="D9552">
        <f>IF(B9552="","",IF(C9552&lt;&gt;"","REMOVE","KEEP"))</f>
        <v/>
      </c>
      <c r="E9552">
        <f>IF(D9552&lt;&gt;"KEEP","",IF(RIGHT(B9552,10)="@gmail.com","Gmail",IF(OR(RIGHT(B9552,12)="@outlook.com",RIGHT(B9552,12)="@hotmail.com",RIGHT(B9552,9)="@live.com"),"Outlook","Domain")))</f>
        <v/>
      </c>
      <c r="F9552">
        <f>IF(B9552="","",IFERROR(RIGHT(B9552,LEN(B9552)-FIND("@",B9552)),""))</f>
        <v/>
      </c>
      <c r="G9552">
        <f>IF(D9552="KEEP",COUNTIF($D$2:D9552,"KEEP"),"")</f>
        <v/>
      </c>
      <c r="H9552">
        <f>IF(D9552="REMOVE",COUNTIF($D$2:D9552,"REMOVE"),"")</f>
        <v/>
      </c>
      <c r="I9552">
        <f>IF(E9552="Gmail",COUNTIF($E$2:E9552,"Gmail"),"")</f>
        <v/>
      </c>
      <c r="J9552">
        <f>IF(E9552="Outlook",COUNTIF($E$2:E9552,"Outlook"),"")</f>
        <v/>
      </c>
      <c r="K9552">
        <f>IF(E9552="Domain",COUNTIF($E$2:E9552,"Domain"),"")</f>
        <v/>
      </c>
    </row>
    <row r="9553">
      <c r="A9553" s="2" t="n"/>
      <c r="B9553">
        <f>LOWER(TRIM(A9553))</f>
        <v/>
      </c>
      <c r="C9553">
        <f>IF(B9553="","",IFERROR(INDEX('Bad Patterns'!$A$2:$A$120,MATCH(1,INDEX(--ISNUMBER(SEARCH('Bad Patterns'!$A$2:$A$120,B9553)),0),0)),""))</f>
        <v/>
      </c>
      <c r="D9553">
        <f>IF(B9553="","",IF(C9553&lt;&gt;"","REMOVE","KEEP"))</f>
        <v/>
      </c>
      <c r="E9553">
        <f>IF(D9553&lt;&gt;"KEEP","",IF(RIGHT(B9553,10)="@gmail.com","Gmail",IF(OR(RIGHT(B9553,12)="@outlook.com",RIGHT(B9553,12)="@hotmail.com",RIGHT(B9553,9)="@live.com"),"Outlook","Domain")))</f>
        <v/>
      </c>
      <c r="F9553">
        <f>IF(B9553="","",IFERROR(RIGHT(B9553,LEN(B9553)-FIND("@",B9553)),""))</f>
        <v/>
      </c>
      <c r="G9553">
        <f>IF(D9553="KEEP",COUNTIF($D$2:D9553,"KEEP"),"")</f>
        <v/>
      </c>
      <c r="H9553">
        <f>IF(D9553="REMOVE",COUNTIF($D$2:D9553,"REMOVE"),"")</f>
        <v/>
      </c>
      <c r="I9553">
        <f>IF(E9553="Gmail",COUNTIF($E$2:E9553,"Gmail"),"")</f>
        <v/>
      </c>
      <c r="J9553">
        <f>IF(E9553="Outlook",COUNTIF($E$2:E9553,"Outlook"),"")</f>
        <v/>
      </c>
      <c r="K9553">
        <f>IF(E9553="Domain",COUNTIF($E$2:E9553,"Domain"),"")</f>
        <v/>
      </c>
    </row>
    <row r="9554">
      <c r="A9554" s="2" t="n"/>
      <c r="B9554">
        <f>LOWER(TRIM(A9554))</f>
        <v/>
      </c>
      <c r="C9554">
        <f>IF(B9554="","",IFERROR(INDEX('Bad Patterns'!$A$2:$A$120,MATCH(1,INDEX(--ISNUMBER(SEARCH('Bad Patterns'!$A$2:$A$120,B9554)),0),0)),""))</f>
        <v/>
      </c>
      <c r="D9554">
        <f>IF(B9554="","",IF(C9554&lt;&gt;"","REMOVE","KEEP"))</f>
        <v/>
      </c>
      <c r="E9554">
        <f>IF(D9554&lt;&gt;"KEEP","",IF(RIGHT(B9554,10)="@gmail.com","Gmail",IF(OR(RIGHT(B9554,12)="@outlook.com",RIGHT(B9554,12)="@hotmail.com",RIGHT(B9554,9)="@live.com"),"Outlook","Domain")))</f>
        <v/>
      </c>
      <c r="F9554">
        <f>IF(B9554="","",IFERROR(RIGHT(B9554,LEN(B9554)-FIND("@",B9554)),""))</f>
        <v/>
      </c>
      <c r="G9554">
        <f>IF(D9554="KEEP",COUNTIF($D$2:D9554,"KEEP"),"")</f>
        <v/>
      </c>
      <c r="H9554">
        <f>IF(D9554="REMOVE",COUNTIF($D$2:D9554,"REMOVE"),"")</f>
        <v/>
      </c>
      <c r="I9554">
        <f>IF(E9554="Gmail",COUNTIF($E$2:E9554,"Gmail"),"")</f>
        <v/>
      </c>
      <c r="J9554">
        <f>IF(E9554="Outlook",COUNTIF($E$2:E9554,"Outlook"),"")</f>
        <v/>
      </c>
      <c r="K9554">
        <f>IF(E9554="Domain",COUNTIF($E$2:E9554,"Domain"),"")</f>
        <v/>
      </c>
    </row>
    <row r="9555">
      <c r="A9555" s="2" t="n"/>
      <c r="B9555">
        <f>LOWER(TRIM(A9555))</f>
        <v/>
      </c>
      <c r="C9555">
        <f>IF(B9555="","",IFERROR(INDEX('Bad Patterns'!$A$2:$A$120,MATCH(1,INDEX(--ISNUMBER(SEARCH('Bad Patterns'!$A$2:$A$120,B9555)),0),0)),""))</f>
        <v/>
      </c>
      <c r="D9555">
        <f>IF(B9555="","",IF(C9555&lt;&gt;"","REMOVE","KEEP"))</f>
        <v/>
      </c>
      <c r="E9555">
        <f>IF(D9555&lt;&gt;"KEEP","",IF(RIGHT(B9555,10)="@gmail.com","Gmail",IF(OR(RIGHT(B9555,12)="@outlook.com",RIGHT(B9555,12)="@hotmail.com",RIGHT(B9555,9)="@live.com"),"Outlook","Domain")))</f>
        <v/>
      </c>
      <c r="F9555">
        <f>IF(B9555="","",IFERROR(RIGHT(B9555,LEN(B9555)-FIND("@",B9555)),""))</f>
        <v/>
      </c>
      <c r="G9555">
        <f>IF(D9555="KEEP",COUNTIF($D$2:D9555,"KEEP"),"")</f>
        <v/>
      </c>
      <c r="H9555">
        <f>IF(D9555="REMOVE",COUNTIF($D$2:D9555,"REMOVE"),"")</f>
        <v/>
      </c>
      <c r="I9555">
        <f>IF(E9555="Gmail",COUNTIF($E$2:E9555,"Gmail"),"")</f>
        <v/>
      </c>
      <c r="J9555">
        <f>IF(E9555="Outlook",COUNTIF($E$2:E9555,"Outlook"),"")</f>
        <v/>
      </c>
      <c r="K9555">
        <f>IF(E9555="Domain",COUNTIF($E$2:E9555,"Domain"),"")</f>
        <v/>
      </c>
    </row>
    <row r="9556">
      <c r="A9556" s="2" t="n"/>
      <c r="B9556">
        <f>LOWER(TRIM(A9556))</f>
        <v/>
      </c>
      <c r="C9556">
        <f>IF(B9556="","",IFERROR(INDEX('Bad Patterns'!$A$2:$A$120,MATCH(1,INDEX(--ISNUMBER(SEARCH('Bad Patterns'!$A$2:$A$120,B9556)),0),0)),""))</f>
        <v/>
      </c>
      <c r="D9556">
        <f>IF(B9556="","",IF(C9556&lt;&gt;"","REMOVE","KEEP"))</f>
        <v/>
      </c>
      <c r="E9556">
        <f>IF(D9556&lt;&gt;"KEEP","",IF(RIGHT(B9556,10)="@gmail.com","Gmail",IF(OR(RIGHT(B9556,12)="@outlook.com",RIGHT(B9556,12)="@hotmail.com",RIGHT(B9556,9)="@live.com"),"Outlook","Domain")))</f>
        <v/>
      </c>
      <c r="F9556">
        <f>IF(B9556="","",IFERROR(RIGHT(B9556,LEN(B9556)-FIND("@",B9556)),""))</f>
        <v/>
      </c>
      <c r="G9556">
        <f>IF(D9556="KEEP",COUNTIF($D$2:D9556,"KEEP"),"")</f>
        <v/>
      </c>
      <c r="H9556">
        <f>IF(D9556="REMOVE",COUNTIF($D$2:D9556,"REMOVE"),"")</f>
        <v/>
      </c>
      <c r="I9556">
        <f>IF(E9556="Gmail",COUNTIF($E$2:E9556,"Gmail"),"")</f>
        <v/>
      </c>
      <c r="J9556">
        <f>IF(E9556="Outlook",COUNTIF($E$2:E9556,"Outlook"),"")</f>
        <v/>
      </c>
      <c r="K9556">
        <f>IF(E9556="Domain",COUNTIF($E$2:E9556,"Domain"),"")</f>
        <v/>
      </c>
    </row>
    <row r="9557">
      <c r="A9557" s="2" t="n"/>
      <c r="B9557">
        <f>LOWER(TRIM(A9557))</f>
        <v/>
      </c>
      <c r="C9557">
        <f>IF(B9557="","",IFERROR(INDEX('Bad Patterns'!$A$2:$A$120,MATCH(1,INDEX(--ISNUMBER(SEARCH('Bad Patterns'!$A$2:$A$120,B9557)),0),0)),""))</f>
        <v/>
      </c>
      <c r="D9557">
        <f>IF(B9557="","",IF(C9557&lt;&gt;"","REMOVE","KEEP"))</f>
        <v/>
      </c>
      <c r="E9557">
        <f>IF(D9557&lt;&gt;"KEEP","",IF(RIGHT(B9557,10)="@gmail.com","Gmail",IF(OR(RIGHT(B9557,12)="@outlook.com",RIGHT(B9557,12)="@hotmail.com",RIGHT(B9557,9)="@live.com"),"Outlook","Domain")))</f>
        <v/>
      </c>
      <c r="F9557">
        <f>IF(B9557="","",IFERROR(RIGHT(B9557,LEN(B9557)-FIND("@",B9557)),""))</f>
        <v/>
      </c>
      <c r="G9557">
        <f>IF(D9557="KEEP",COUNTIF($D$2:D9557,"KEEP"),"")</f>
        <v/>
      </c>
      <c r="H9557">
        <f>IF(D9557="REMOVE",COUNTIF($D$2:D9557,"REMOVE"),"")</f>
        <v/>
      </c>
      <c r="I9557">
        <f>IF(E9557="Gmail",COUNTIF($E$2:E9557,"Gmail"),"")</f>
        <v/>
      </c>
      <c r="J9557">
        <f>IF(E9557="Outlook",COUNTIF($E$2:E9557,"Outlook"),"")</f>
        <v/>
      </c>
      <c r="K9557">
        <f>IF(E9557="Domain",COUNTIF($E$2:E9557,"Domain"),"")</f>
        <v/>
      </c>
    </row>
    <row r="9558">
      <c r="A9558" s="2" t="n"/>
      <c r="B9558">
        <f>LOWER(TRIM(A9558))</f>
        <v/>
      </c>
      <c r="C9558">
        <f>IF(B9558="","",IFERROR(INDEX('Bad Patterns'!$A$2:$A$120,MATCH(1,INDEX(--ISNUMBER(SEARCH('Bad Patterns'!$A$2:$A$120,B9558)),0),0)),""))</f>
        <v/>
      </c>
      <c r="D9558">
        <f>IF(B9558="","",IF(C9558&lt;&gt;"","REMOVE","KEEP"))</f>
        <v/>
      </c>
      <c r="E9558">
        <f>IF(D9558&lt;&gt;"KEEP","",IF(RIGHT(B9558,10)="@gmail.com","Gmail",IF(OR(RIGHT(B9558,12)="@outlook.com",RIGHT(B9558,12)="@hotmail.com",RIGHT(B9558,9)="@live.com"),"Outlook","Domain")))</f>
        <v/>
      </c>
      <c r="F9558">
        <f>IF(B9558="","",IFERROR(RIGHT(B9558,LEN(B9558)-FIND("@",B9558)),""))</f>
        <v/>
      </c>
      <c r="G9558">
        <f>IF(D9558="KEEP",COUNTIF($D$2:D9558,"KEEP"),"")</f>
        <v/>
      </c>
      <c r="H9558">
        <f>IF(D9558="REMOVE",COUNTIF($D$2:D9558,"REMOVE"),"")</f>
        <v/>
      </c>
      <c r="I9558">
        <f>IF(E9558="Gmail",COUNTIF($E$2:E9558,"Gmail"),"")</f>
        <v/>
      </c>
      <c r="J9558">
        <f>IF(E9558="Outlook",COUNTIF($E$2:E9558,"Outlook"),"")</f>
        <v/>
      </c>
      <c r="K9558">
        <f>IF(E9558="Domain",COUNTIF($E$2:E9558,"Domain"),"")</f>
        <v/>
      </c>
    </row>
    <row r="9559">
      <c r="A9559" s="2" t="n"/>
      <c r="B9559">
        <f>LOWER(TRIM(A9559))</f>
        <v/>
      </c>
      <c r="C9559">
        <f>IF(B9559="","",IFERROR(INDEX('Bad Patterns'!$A$2:$A$120,MATCH(1,INDEX(--ISNUMBER(SEARCH('Bad Patterns'!$A$2:$A$120,B9559)),0),0)),""))</f>
        <v/>
      </c>
      <c r="D9559">
        <f>IF(B9559="","",IF(C9559&lt;&gt;"","REMOVE","KEEP"))</f>
        <v/>
      </c>
      <c r="E9559">
        <f>IF(D9559&lt;&gt;"KEEP","",IF(RIGHT(B9559,10)="@gmail.com","Gmail",IF(OR(RIGHT(B9559,12)="@outlook.com",RIGHT(B9559,12)="@hotmail.com",RIGHT(B9559,9)="@live.com"),"Outlook","Domain")))</f>
        <v/>
      </c>
      <c r="F9559">
        <f>IF(B9559="","",IFERROR(RIGHT(B9559,LEN(B9559)-FIND("@",B9559)),""))</f>
        <v/>
      </c>
      <c r="G9559">
        <f>IF(D9559="KEEP",COUNTIF($D$2:D9559,"KEEP"),"")</f>
        <v/>
      </c>
      <c r="H9559">
        <f>IF(D9559="REMOVE",COUNTIF($D$2:D9559,"REMOVE"),"")</f>
        <v/>
      </c>
      <c r="I9559">
        <f>IF(E9559="Gmail",COUNTIF($E$2:E9559,"Gmail"),"")</f>
        <v/>
      </c>
      <c r="J9559">
        <f>IF(E9559="Outlook",COUNTIF($E$2:E9559,"Outlook"),"")</f>
        <v/>
      </c>
      <c r="K9559">
        <f>IF(E9559="Domain",COUNTIF($E$2:E9559,"Domain"),"")</f>
        <v/>
      </c>
    </row>
    <row r="9560">
      <c r="A9560" s="2" t="n"/>
      <c r="B9560">
        <f>LOWER(TRIM(A9560))</f>
        <v/>
      </c>
      <c r="C9560">
        <f>IF(B9560="","",IFERROR(INDEX('Bad Patterns'!$A$2:$A$120,MATCH(1,INDEX(--ISNUMBER(SEARCH('Bad Patterns'!$A$2:$A$120,B9560)),0),0)),""))</f>
        <v/>
      </c>
      <c r="D9560">
        <f>IF(B9560="","",IF(C9560&lt;&gt;"","REMOVE","KEEP"))</f>
        <v/>
      </c>
      <c r="E9560">
        <f>IF(D9560&lt;&gt;"KEEP","",IF(RIGHT(B9560,10)="@gmail.com","Gmail",IF(OR(RIGHT(B9560,12)="@outlook.com",RIGHT(B9560,12)="@hotmail.com",RIGHT(B9560,9)="@live.com"),"Outlook","Domain")))</f>
        <v/>
      </c>
      <c r="F9560">
        <f>IF(B9560="","",IFERROR(RIGHT(B9560,LEN(B9560)-FIND("@",B9560)),""))</f>
        <v/>
      </c>
      <c r="G9560">
        <f>IF(D9560="KEEP",COUNTIF($D$2:D9560,"KEEP"),"")</f>
        <v/>
      </c>
      <c r="H9560">
        <f>IF(D9560="REMOVE",COUNTIF($D$2:D9560,"REMOVE"),"")</f>
        <v/>
      </c>
      <c r="I9560">
        <f>IF(E9560="Gmail",COUNTIF($E$2:E9560,"Gmail"),"")</f>
        <v/>
      </c>
      <c r="J9560">
        <f>IF(E9560="Outlook",COUNTIF($E$2:E9560,"Outlook"),"")</f>
        <v/>
      </c>
      <c r="K9560">
        <f>IF(E9560="Domain",COUNTIF($E$2:E9560,"Domain"),"")</f>
        <v/>
      </c>
    </row>
    <row r="9561">
      <c r="A9561" s="2" t="n"/>
      <c r="B9561">
        <f>LOWER(TRIM(A9561))</f>
        <v/>
      </c>
      <c r="C9561">
        <f>IF(B9561="","",IFERROR(INDEX('Bad Patterns'!$A$2:$A$120,MATCH(1,INDEX(--ISNUMBER(SEARCH('Bad Patterns'!$A$2:$A$120,B9561)),0),0)),""))</f>
        <v/>
      </c>
      <c r="D9561">
        <f>IF(B9561="","",IF(C9561&lt;&gt;"","REMOVE","KEEP"))</f>
        <v/>
      </c>
      <c r="E9561">
        <f>IF(D9561&lt;&gt;"KEEP","",IF(RIGHT(B9561,10)="@gmail.com","Gmail",IF(OR(RIGHT(B9561,12)="@outlook.com",RIGHT(B9561,12)="@hotmail.com",RIGHT(B9561,9)="@live.com"),"Outlook","Domain")))</f>
        <v/>
      </c>
      <c r="F9561">
        <f>IF(B9561="","",IFERROR(RIGHT(B9561,LEN(B9561)-FIND("@",B9561)),""))</f>
        <v/>
      </c>
      <c r="G9561">
        <f>IF(D9561="KEEP",COUNTIF($D$2:D9561,"KEEP"),"")</f>
        <v/>
      </c>
      <c r="H9561">
        <f>IF(D9561="REMOVE",COUNTIF($D$2:D9561,"REMOVE"),"")</f>
        <v/>
      </c>
      <c r="I9561">
        <f>IF(E9561="Gmail",COUNTIF($E$2:E9561,"Gmail"),"")</f>
        <v/>
      </c>
      <c r="J9561">
        <f>IF(E9561="Outlook",COUNTIF($E$2:E9561,"Outlook"),"")</f>
        <v/>
      </c>
      <c r="K9561">
        <f>IF(E9561="Domain",COUNTIF($E$2:E9561,"Domain"),"")</f>
        <v/>
      </c>
    </row>
    <row r="9562">
      <c r="A9562" s="2" t="n"/>
      <c r="B9562">
        <f>LOWER(TRIM(A9562))</f>
        <v/>
      </c>
      <c r="C9562">
        <f>IF(B9562="","",IFERROR(INDEX('Bad Patterns'!$A$2:$A$120,MATCH(1,INDEX(--ISNUMBER(SEARCH('Bad Patterns'!$A$2:$A$120,B9562)),0),0)),""))</f>
        <v/>
      </c>
      <c r="D9562">
        <f>IF(B9562="","",IF(C9562&lt;&gt;"","REMOVE","KEEP"))</f>
        <v/>
      </c>
      <c r="E9562">
        <f>IF(D9562&lt;&gt;"KEEP","",IF(RIGHT(B9562,10)="@gmail.com","Gmail",IF(OR(RIGHT(B9562,12)="@outlook.com",RIGHT(B9562,12)="@hotmail.com",RIGHT(B9562,9)="@live.com"),"Outlook","Domain")))</f>
        <v/>
      </c>
      <c r="F9562">
        <f>IF(B9562="","",IFERROR(RIGHT(B9562,LEN(B9562)-FIND("@",B9562)),""))</f>
        <v/>
      </c>
      <c r="G9562">
        <f>IF(D9562="KEEP",COUNTIF($D$2:D9562,"KEEP"),"")</f>
        <v/>
      </c>
      <c r="H9562">
        <f>IF(D9562="REMOVE",COUNTIF($D$2:D9562,"REMOVE"),"")</f>
        <v/>
      </c>
      <c r="I9562">
        <f>IF(E9562="Gmail",COUNTIF($E$2:E9562,"Gmail"),"")</f>
        <v/>
      </c>
      <c r="J9562">
        <f>IF(E9562="Outlook",COUNTIF($E$2:E9562,"Outlook"),"")</f>
        <v/>
      </c>
      <c r="K9562">
        <f>IF(E9562="Domain",COUNTIF($E$2:E9562,"Domain"),"")</f>
        <v/>
      </c>
    </row>
    <row r="9563">
      <c r="A9563" s="2" t="n"/>
      <c r="B9563">
        <f>LOWER(TRIM(A9563))</f>
        <v/>
      </c>
      <c r="C9563">
        <f>IF(B9563="","",IFERROR(INDEX('Bad Patterns'!$A$2:$A$120,MATCH(1,INDEX(--ISNUMBER(SEARCH('Bad Patterns'!$A$2:$A$120,B9563)),0),0)),""))</f>
        <v/>
      </c>
      <c r="D9563">
        <f>IF(B9563="","",IF(C9563&lt;&gt;"","REMOVE","KEEP"))</f>
        <v/>
      </c>
      <c r="E9563">
        <f>IF(D9563&lt;&gt;"KEEP","",IF(RIGHT(B9563,10)="@gmail.com","Gmail",IF(OR(RIGHT(B9563,12)="@outlook.com",RIGHT(B9563,12)="@hotmail.com",RIGHT(B9563,9)="@live.com"),"Outlook","Domain")))</f>
        <v/>
      </c>
      <c r="F9563">
        <f>IF(B9563="","",IFERROR(RIGHT(B9563,LEN(B9563)-FIND("@",B9563)),""))</f>
        <v/>
      </c>
      <c r="G9563">
        <f>IF(D9563="KEEP",COUNTIF($D$2:D9563,"KEEP"),"")</f>
        <v/>
      </c>
      <c r="H9563">
        <f>IF(D9563="REMOVE",COUNTIF($D$2:D9563,"REMOVE"),"")</f>
        <v/>
      </c>
      <c r="I9563">
        <f>IF(E9563="Gmail",COUNTIF($E$2:E9563,"Gmail"),"")</f>
        <v/>
      </c>
      <c r="J9563">
        <f>IF(E9563="Outlook",COUNTIF($E$2:E9563,"Outlook"),"")</f>
        <v/>
      </c>
      <c r="K9563">
        <f>IF(E9563="Domain",COUNTIF($E$2:E9563,"Domain"),"")</f>
        <v/>
      </c>
    </row>
    <row r="9564">
      <c r="A9564" s="2" t="n"/>
      <c r="B9564">
        <f>LOWER(TRIM(A9564))</f>
        <v/>
      </c>
      <c r="C9564">
        <f>IF(B9564="","",IFERROR(INDEX('Bad Patterns'!$A$2:$A$120,MATCH(1,INDEX(--ISNUMBER(SEARCH('Bad Patterns'!$A$2:$A$120,B9564)),0),0)),""))</f>
        <v/>
      </c>
      <c r="D9564">
        <f>IF(B9564="","",IF(C9564&lt;&gt;"","REMOVE","KEEP"))</f>
        <v/>
      </c>
      <c r="E9564">
        <f>IF(D9564&lt;&gt;"KEEP","",IF(RIGHT(B9564,10)="@gmail.com","Gmail",IF(OR(RIGHT(B9564,12)="@outlook.com",RIGHT(B9564,12)="@hotmail.com",RIGHT(B9564,9)="@live.com"),"Outlook","Domain")))</f>
        <v/>
      </c>
      <c r="F9564">
        <f>IF(B9564="","",IFERROR(RIGHT(B9564,LEN(B9564)-FIND("@",B9564)),""))</f>
        <v/>
      </c>
      <c r="G9564">
        <f>IF(D9564="KEEP",COUNTIF($D$2:D9564,"KEEP"),"")</f>
        <v/>
      </c>
      <c r="H9564">
        <f>IF(D9564="REMOVE",COUNTIF($D$2:D9564,"REMOVE"),"")</f>
        <v/>
      </c>
      <c r="I9564">
        <f>IF(E9564="Gmail",COUNTIF($E$2:E9564,"Gmail"),"")</f>
        <v/>
      </c>
      <c r="J9564">
        <f>IF(E9564="Outlook",COUNTIF($E$2:E9564,"Outlook"),"")</f>
        <v/>
      </c>
      <c r="K9564">
        <f>IF(E9564="Domain",COUNTIF($E$2:E9564,"Domain"),"")</f>
        <v/>
      </c>
    </row>
    <row r="9565">
      <c r="A9565" s="2" t="n"/>
      <c r="B9565">
        <f>LOWER(TRIM(A9565))</f>
        <v/>
      </c>
      <c r="C9565">
        <f>IF(B9565="","",IFERROR(INDEX('Bad Patterns'!$A$2:$A$120,MATCH(1,INDEX(--ISNUMBER(SEARCH('Bad Patterns'!$A$2:$A$120,B9565)),0),0)),""))</f>
        <v/>
      </c>
      <c r="D9565">
        <f>IF(B9565="","",IF(C9565&lt;&gt;"","REMOVE","KEEP"))</f>
        <v/>
      </c>
      <c r="E9565">
        <f>IF(D9565&lt;&gt;"KEEP","",IF(RIGHT(B9565,10)="@gmail.com","Gmail",IF(OR(RIGHT(B9565,12)="@outlook.com",RIGHT(B9565,12)="@hotmail.com",RIGHT(B9565,9)="@live.com"),"Outlook","Domain")))</f>
        <v/>
      </c>
      <c r="F9565">
        <f>IF(B9565="","",IFERROR(RIGHT(B9565,LEN(B9565)-FIND("@",B9565)),""))</f>
        <v/>
      </c>
      <c r="G9565">
        <f>IF(D9565="KEEP",COUNTIF($D$2:D9565,"KEEP"),"")</f>
        <v/>
      </c>
      <c r="H9565">
        <f>IF(D9565="REMOVE",COUNTIF($D$2:D9565,"REMOVE"),"")</f>
        <v/>
      </c>
      <c r="I9565">
        <f>IF(E9565="Gmail",COUNTIF($E$2:E9565,"Gmail"),"")</f>
        <v/>
      </c>
      <c r="J9565">
        <f>IF(E9565="Outlook",COUNTIF($E$2:E9565,"Outlook"),"")</f>
        <v/>
      </c>
      <c r="K9565">
        <f>IF(E9565="Domain",COUNTIF($E$2:E9565,"Domain"),"")</f>
        <v/>
      </c>
    </row>
    <row r="9566">
      <c r="A9566" s="2" t="n"/>
      <c r="B9566">
        <f>LOWER(TRIM(A9566))</f>
        <v/>
      </c>
      <c r="C9566">
        <f>IF(B9566="","",IFERROR(INDEX('Bad Patterns'!$A$2:$A$120,MATCH(1,INDEX(--ISNUMBER(SEARCH('Bad Patterns'!$A$2:$A$120,B9566)),0),0)),""))</f>
        <v/>
      </c>
      <c r="D9566">
        <f>IF(B9566="","",IF(C9566&lt;&gt;"","REMOVE","KEEP"))</f>
        <v/>
      </c>
      <c r="E9566">
        <f>IF(D9566&lt;&gt;"KEEP","",IF(RIGHT(B9566,10)="@gmail.com","Gmail",IF(OR(RIGHT(B9566,12)="@outlook.com",RIGHT(B9566,12)="@hotmail.com",RIGHT(B9566,9)="@live.com"),"Outlook","Domain")))</f>
        <v/>
      </c>
      <c r="F9566">
        <f>IF(B9566="","",IFERROR(RIGHT(B9566,LEN(B9566)-FIND("@",B9566)),""))</f>
        <v/>
      </c>
      <c r="G9566">
        <f>IF(D9566="KEEP",COUNTIF($D$2:D9566,"KEEP"),"")</f>
        <v/>
      </c>
      <c r="H9566">
        <f>IF(D9566="REMOVE",COUNTIF($D$2:D9566,"REMOVE"),"")</f>
        <v/>
      </c>
      <c r="I9566">
        <f>IF(E9566="Gmail",COUNTIF($E$2:E9566,"Gmail"),"")</f>
        <v/>
      </c>
      <c r="J9566">
        <f>IF(E9566="Outlook",COUNTIF($E$2:E9566,"Outlook"),"")</f>
        <v/>
      </c>
      <c r="K9566">
        <f>IF(E9566="Domain",COUNTIF($E$2:E9566,"Domain"),"")</f>
        <v/>
      </c>
    </row>
    <row r="9567">
      <c r="A9567" s="2" t="n"/>
      <c r="B9567">
        <f>LOWER(TRIM(A9567))</f>
        <v/>
      </c>
      <c r="C9567">
        <f>IF(B9567="","",IFERROR(INDEX('Bad Patterns'!$A$2:$A$120,MATCH(1,INDEX(--ISNUMBER(SEARCH('Bad Patterns'!$A$2:$A$120,B9567)),0),0)),""))</f>
        <v/>
      </c>
      <c r="D9567">
        <f>IF(B9567="","",IF(C9567&lt;&gt;"","REMOVE","KEEP"))</f>
        <v/>
      </c>
      <c r="E9567">
        <f>IF(D9567&lt;&gt;"KEEP","",IF(RIGHT(B9567,10)="@gmail.com","Gmail",IF(OR(RIGHT(B9567,12)="@outlook.com",RIGHT(B9567,12)="@hotmail.com",RIGHT(B9567,9)="@live.com"),"Outlook","Domain")))</f>
        <v/>
      </c>
      <c r="F9567">
        <f>IF(B9567="","",IFERROR(RIGHT(B9567,LEN(B9567)-FIND("@",B9567)),""))</f>
        <v/>
      </c>
      <c r="G9567">
        <f>IF(D9567="KEEP",COUNTIF($D$2:D9567,"KEEP"),"")</f>
        <v/>
      </c>
      <c r="H9567">
        <f>IF(D9567="REMOVE",COUNTIF($D$2:D9567,"REMOVE"),"")</f>
        <v/>
      </c>
      <c r="I9567">
        <f>IF(E9567="Gmail",COUNTIF($E$2:E9567,"Gmail"),"")</f>
        <v/>
      </c>
      <c r="J9567">
        <f>IF(E9567="Outlook",COUNTIF($E$2:E9567,"Outlook"),"")</f>
        <v/>
      </c>
      <c r="K9567">
        <f>IF(E9567="Domain",COUNTIF($E$2:E9567,"Domain"),"")</f>
        <v/>
      </c>
    </row>
    <row r="9568">
      <c r="A9568" s="2" t="n"/>
      <c r="B9568">
        <f>LOWER(TRIM(A9568))</f>
        <v/>
      </c>
      <c r="C9568">
        <f>IF(B9568="","",IFERROR(INDEX('Bad Patterns'!$A$2:$A$120,MATCH(1,INDEX(--ISNUMBER(SEARCH('Bad Patterns'!$A$2:$A$120,B9568)),0),0)),""))</f>
        <v/>
      </c>
      <c r="D9568">
        <f>IF(B9568="","",IF(C9568&lt;&gt;"","REMOVE","KEEP"))</f>
        <v/>
      </c>
      <c r="E9568">
        <f>IF(D9568&lt;&gt;"KEEP","",IF(RIGHT(B9568,10)="@gmail.com","Gmail",IF(OR(RIGHT(B9568,12)="@outlook.com",RIGHT(B9568,12)="@hotmail.com",RIGHT(B9568,9)="@live.com"),"Outlook","Domain")))</f>
        <v/>
      </c>
      <c r="F9568">
        <f>IF(B9568="","",IFERROR(RIGHT(B9568,LEN(B9568)-FIND("@",B9568)),""))</f>
        <v/>
      </c>
      <c r="G9568">
        <f>IF(D9568="KEEP",COUNTIF($D$2:D9568,"KEEP"),"")</f>
        <v/>
      </c>
      <c r="H9568">
        <f>IF(D9568="REMOVE",COUNTIF($D$2:D9568,"REMOVE"),"")</f>
        <v/>
      </c>
      <c r="I9568">
        <f>IF(E9568="Gmail",COUNTIF($E$2:E9568,"Gmail"),"")</f>
        <v/>
      </c>
      <c r="J9568">
        <f>IF(E9568="Outlook",COUNTIF($E$2:E9568,"Outlook"),"")</f>
        <v/>
      </c>
      <c r="K9568">
        <f>IF(E9568="Domain",COUNTIF($E$2:E9568,"Domain"),"")</f>
        <v/>
      </c>
    </row>
    <row r="9569">
      <c r="A9569" s="2" t="n"/>
      <c r="B9569">
        <f>LOWER(TRIM(A9569))</f>
        <v/>
      </c>
      <c r="C9569">
        <f>IF(B9569="","",IFERROR(INDEX('Bad Patterns'!$A$2:$A$120,MATCH(1,INDEX(--ISNUMBER(SEARCH('Bad Patterns'!$A$2:$A$120,B9569)),0),0)),""))</f>
        <v/>
      </c>
      <c r="D9569">
        <f>IF(B9569="","",IF(C9569&lt;&gt;"","REMOVE","KEEP"))</f>
        <v/>
      </c>
      <c r="E9569">
        <f>IF(D9569&lt;&gt;"KEEP","",IF(RIGHT(B9569,10)="@gmail.com","Gmail",IF(OR(RIGHT(B9569,12)="@outlook.com",RIGHT(B9569,12)="@hotmail.com",RIGHT(B9569,9)="@live.com"),"Outlook","Domain")))</f>
        <v/>
      </c>
      <c r="F9569">
        <f>IF(B9569="","",IFERROR(RIGHT(B9569,LEN(B9569)-FIND("@",B9569)),""))</f>
        <v/>
      </c>
      <c r="G9569">
        <f>IF(D9569="KEEP",COUNTIF($D$2:D9569,"KEEP"),"")</f>
        <v/>
      </c>
      <c r="H9569">
        <f>IF(D9569="REMOVE",COUNTIF($D$2:D9569,"REMOVE"),"")</f>
        <v/>
      </c>
      <c r="I9569">
        <f>IF(E9569="Gmail",COUNTIF($E$2:E9569,"Gmail"),"")</f>
        <v/>
      </c>
      <c r="J9569">
        <f>IF(E9569="Outlook",COUNTIF($E$2:E9569,"Outlook"),"")</f>
        <v/>
      </c>
      <c r="K9569">
        <f>IF(E9569="Domain",COUNTIF($E$2:E9569,"Domain"),"")</f>
        <v/>
      </c>
    </row>
    <row r="9570">
      <c r="A9570" s="2" t="n"/>
      <c r="B9570">
        <f>LOWER(TRIM(A9570))</f>
        <v/>
      </c>
      <c r="C9570">
        <f>IF(B9570="","",IFERROR(INDEX('Bad Patterns'!$A$2:$A$120,MATCH(1,INDEX(--ISNUMBER(SEARCH('Bad Patterns'!$A$2:$A$120,B9570)),0),0)),""))</f>
        <v/>
      </c>
      <c r="D9570">
        <f>IF(B9570="","",IF(C9570&lt;&gt;"","REMOVE","KEEP"))</f>
        <v/>
      </c>
      <c r="E9570">
        <f>IF(D9570&lt;&gt;"KEEP","",IF(RIGHT(B9570,10)="@gmail.com","Gmail",IF(OR(RIGHT(B9570,12)="@outlook.com",RIGHT(B9570,12)="@hotmail.com",RIGHT(B9570,9)="@live.com"),"Outlook","Domain")))</f>
        <v/>
      </c>
      <c r="F9570">
        <f>IF(B9570="","",IFERROR(RIGHT(B9570,LEN(B9570)-FIND("@",B9570)),""))</f>
        <v/>
      </c>
      <c r="G9570">
        <f>IF(D9570="KEEP",COUNTIF($D$2:D9570,"KEEP"),"")</f>
        <v/>
      </c>
      <c r="H9570">
        <f>IF(D9570="REMOVE",COUNTIF($D$2:D9570,"REMOVE"),"")</f>
        <v/>
      </c>
      <c r="I9570">
        <f>IF(E9570="Gmail",COUNTIF($E$2:E9570,"Gmail"),"")</f>
        <v/>
      </c>
      <c r="J9570">
        <f>IF(E9570="Outlook",COUNTIF($E$2:E9570,"Outlook"),"")</f>
        <v/>
      </c>
      <c r="K9570">
        <f>IF(E9570="Domain",COUNTIF($E$2:E9570,"Domain"),"")</f>
        <v/>
      </c>
    </row>
    <row r="9571">
      <c r="A9571" s="2" t="n"/>
      <c r="B9571">
        <f>LOWER(TRIM(A9571))</f>
        <v/>
      </c>
      <c r="C9571">
        <f>IF(B9571="","",IFERROR(INDEX('Bad Patterns'!$A$2:$A$120,MATCH(1,INDEX(--ISNUMBER(SEARCH('Bad Patterns'!$A$2:$A$120,B9571)),0),0)),""))</f>
        <v/>
      </c>
      <c r="D9571">
        <f>IF(B9571="","",IF(C9571&lt;&gt;"","REMOVE","KEEP"))</f>
        <v/>
      </c>
      <c r="E9571">
        <f>IF(D9571&lt;&gt;"KEEP","",IF(RIGHT(B9571,10)="@gmail.com","Gmail",IF(OR(RIGHT(B9571,12)="@outlook.com",RIGHT(B9571,12)="@hotmail.com",RIGHT(B9571,9)="@live.com"),"Outlook","Domain")))</f>
        <v/>
      </c>
      <c r="F9571">
        <f>IF(B9571="","",IFERROR(RIGHT(B9571,LEN(B9571)-FIND("@",B9571)),""))</f>
        <v/>
      </c>
      <c r="G9571">
        <f>IF(D9571="KEEP",COUNTIF($D$2:D9571,"KEEP"),"")</f>
        <v/>
      </c>
      <c r="H9571">
        <f>IF(D9571="REMOVE",COUNTIF($D$2:D9571,"REMOVE"),"")</f>
        <v/>
      </c>
      <c r="I9571">
        <f>IF(E9571="Gmail",COUNTIF($E$2:E9571,"Gmail"),"")</f>
        <v/>
      </c>
      <c r="J9571">
        <f>IF(E9571="Outlook",COUNTIF($E$2:E9571,"Outlook"),"")</f>
        <v/>
      </c>
      <c r="K9571">
        <f>IF(E9571="Domain",COUNTIF($E$2:E9571,"Domain"),"")</f>
        <v/>
      </c>
    </row>
    <row r="9572">
      <c r="A9572" s="2" t="n"/>
      <c r="B9572">
        <f>LOWER(TRIM(A9572))</f>
        <v/>
      </c>
      <c r="C9572">
        <f>IF(B9572="","",IFERROR(INDEX('Bad Patterns'!$A$2:$A$120,MATCH(1,INDEX(--ISNUMBER(SEARCH('Bad Patterns'!$A$2:$A$120,B9572)),0),0)),""))</f>
        <v/>
      </c>
      <c r="D9572">
        <f>IF(B9572="","",IF(C9572&lt;&gt;"","REMOVE","KEEP"))</f>
        <v/>
      </c>
      <c r="E9572">
        <f>IF(D9572&lt;&gt;"KEEP","",IF(RIGHT(B9572,10)="@gmail.com","Gmail",IF(OR(RIGHT(B9572,12)="@outlook.com",RIGHT(B9572,12)="@hotmail.com",RIGHT(B9572,9)="@live.com"),"Outlook","Domain")))</f>
        <v/>
      </c>
      <c r="F9572">
        <f>IF(B9572="","",IFERROR(RIGHT(B9572,LEN(B9572)-FIND("@",B9572)),""))</f>
        <v/>
      </c>
      <c r="G9572">
        <f>IF(D9572="KEEP",COUNTIF($D$2:D9572,"KEEP"),"")</f>
        <v/>
      </c>
      <c r="H9572">
        <f>IF(D9572="REMOVE",COUNTIF($D$2:D9572,"REMOVE"),"")</f>
        <v/>
      </c>
      <c r="I9572">
        <f>IF(E9572="Gmail",COUNTIF($E$2:E9572,"Gmail"),"")</f>
        <v/>
      </c>
      <c r="J9572">
        <f>IF(E9572="Outlook",COUNTIF($E$2:E9572,"Outlook"),"")</f>
        <v/>
      </c>
      <c r="K9572">
        <f>IF(E9572="Domain",COUNTIF($E$2:E9572,"Domain"),"")</f>
        <v/>
      </c>
    </row>
    <row r="9573">
      <c r="A9573" s="2" t="n"/>
      <c r="B9573">
        <f>LOWER(TRIM(A9573))</f>
        <v/>
      </c>
      <c r="C9573">
        <f>IF(B9573="","",IFERROR(INDEX('Bad Patterns'!$A$2:$A$120,MATCH(1,INDEX(--ISNUMBER(SEARCH('Bad Patterns'!$A$2:$A$120,B9573)),0),0)),""))</f>
        <v/>
      </c>
      <c r="D9573">
        <f>IF(B9573="","",IF(C9573&lt;&gt;"","REMOVE","KEEP"))</f>
        <v/>
      </c>
      <c r="E9573">
        <f>IF(D9573&lt;&gt;"KEEP","",IF(RIGHT(B9573,10)="@gmail.com","Gmail",IF(OR(RIGHT(B9573,12)="@outlook.com",RIGHT(B9573,12)="@hotmail.com",RIGHT(B9573,9)="@live.com"),"Outlook","Domain")))</f>
        <v/>
      </c>
      <c r="F9573">
        <f>IF(B9573="","",IFERROR(RIGHT(B9573,LEN(B9573)-FIND("@",B9573)),""))</f>
        <v/>
      </c>
      <c r="G9573">
        <f>IF(D9573="KEEP",COUNTIF($D$2:D9573,"KEEP"),"")</f>
        <v/>
      </c>
      <c r="H9573">
        <f>IF(D9573="REMOVE",COUNTIF($D$2:D9573,"REMOVE"),"")</f>
        <v/>
      </c>
      <c r="I9573">
        <f>IF(E9573="Gmail",COUNTIF($E$2:E9573,"Gmail"),"")</f>
        <v/>
      </c>
      <c r="J9573">
        <f>IF(E9573="Outlook",COUNTIF($E$2:E9573,"Outlook"),"")</f>
        <v/>
      </c>
      <c r="K9573">
        <f>IF(E9573="Domain",COUNTIF($E$2:E9573,"Domain"),"")</f>
        <v/>
      </c>
    </row>
    <row r="9574">
      <c r="A9574" s="2" t="n"/>
      <c r="B9574">
        <f>LOWER(TRIM(A9574))</f>
        <v/>
      </c>
      <c r="C9574">
        <f>IF(B9574="","",IFERROR(INDEX('Bad Patterns'!$A$2:$A$120,MATCH(1,INDEX(--ISNUMBER(SEARCH('Bad Patterns'!$A$2:$A$120,B9574)),0),0)),""))</f>
        <v/>
      </c>
      <c r="D9574">
        <f>IF(B9574="","",IF(C9574&lt;&gt;"","REMOVE","KEEP"))</f>
        <v/>
      </c>
      <c r="E9574">
        <f>IF(D9574&lt;&gt;"KEEP","",IF(RIGHT(B9574,10)="@gmail.com","Gmail",IF(OR(RIGHT(B9574,12)="@outlook.com",RIGHT(B9574,12)="@hotmail.com",RIGHT(B9574,9)="@live.com"),"Outlook","Domain")))</f>
        <v/>
      </c>
      <c r="F9574">
        <f>IF(B9574="","",IFERROR(RIGHT(B9574,LEN(B9574)-FIND("@",B9574)),""))</f>
        <v/>
      </c>
      <c r="G9574">
        <f>IF(D9574="KEEP",COUNTIF($D$2:D9574,"KEEP"),"")</f>
        <v/>
      </c>
      <c r="H9574">
        <f>IF(D9574="REMOVE",COUNTIF($D$2:D9574,"REMOVE"),"")</f>
        <v/>
      </c>
      <c r="I9574">
        <f>IF(E9574="Gmail",COUNTIF($E$2:E9574,"Gmail"),"")</f>
        <v/>
      </c>
      <c r="J9574">
        <f>IF(E9574="Outlook",COUNTIF($E$2:E9574,"Outlook"),"")</f>
        <v/>
      </c>
      <c r="K9574">
        <f>IF(E9574="Domain",COUNTIF($E$2:E9574,"Domain"),"")</f>
        <v/>
      </c>
    </row>
    <row r="9575">
      <c r="A9575" s="2" t="n"/>
      <c r="B9575">
        <f>LOWER(TRIM(A9575))</f>
        <v/>
      </c>
      <c r="C9575">
        <f>IF(B9575="","",IFERROR(INDEX('Bad Patterns'!$A$2:$A$120,MATCH(1,INDEX(--ISNUMBER(SEARCH('Bad Patterns'!$A$2:$A$120,B9575)),0),0)),""))</f>
        <v/>
      </c>
      <c r="D9575">
        <f>IF(B9575="","",IF(C9575&lt;&gt;"","REMOVE","KEEP"))</f>
        <v/>
      </c>
      <c r="E9575">
        <f>IF(D9575&lt;&gt;"KEEP","",IF(RIGHT(B9575,10)="@gmail.com","Gmail",IF(OR(RIGHT(B9575,12)="@outlook.com",RIGHT(B9575,12)="@hotmail.com",RIGHT(B9575,9)="@live.com"),"Outlook","Domain")))</f>
        <v/>
      </c>
      <c r="F9575">
        <f>IF(B9575="","",IFERROR(RIGHT(B9575,LEN(B9575)-FIND("@",B9575)),""))</f>
        <v/>
      </c>
      <c r="G9575">
        <f>IF(D9575="KEEP",COUNTIF($D$2:D9575,"KEEP"),"")</f>
        <v/>
      </c>
      <c r="H9575">
        <f>IF(D9575="REMOVE",COUNTIF($D$2:D9575,"REMOVE"),"")</f>
        <v/>
      </c>
      <c r="I9575">
        <f>IF(E9575="Gmail",COUNTIF($E$2:E9575,"Gmail"),"")</f>
        <v/>
      </c>
      <c r="J9575">
        <f>IF(E9575="Outlook",COUNTIF($E$2:E9575,"Outlook"),"")</f>
        <v/>
      </c>
      <c r="K9575">
        <f>IF(E9575="Domain",COUNTIF($E$2:E9575,"Domain"),"")</f>
        <v/>
      </c>
    </row>
    <row r="9576">
      <c r="A9576" s="2" t="n"/>
      <c r="B9576">
        <f>LOWER(TRIM(A9576))</f>
        <v/>
      </c>
      <c r="C9576">
        <f>IF(B9576="","",IFERROR(INDEX('Bad Patterns'!$A$2:$A$120,MATCH(1,INDEX(--ISNUMBER(SEARCH('Bad Patterns'!$A$2:$A$120,B9576)),0),0)),""))</f>
        <v/>
      </c>
      <c r="D9576">
        <f>IF(B9576="","",IF(C9576&lt;&gt;"","REMOVE","KEEP"))</f>
        <v/>
      </c>
      <c r="E9576">
        <f>IF(D9576&lt;&gt;"KEEP","",IF(RIGHT(B9576,10)="@gmail.com","Gmail",IF(OR(RIGHT(B9576,12)="@outlook.com",RIGHT(B9576,12)="@hotmail.com",RIGHT(B9576,9)="@live.com"),"Outlook","Domain")))</f>
        <v/>
      </c>
      <c r="F9576">
        <f>IF(B9576="","",IFERROR(RIGHT(B9576,LEN(B9576)-FIND("@",B9576)),""))</f>
        <v/>
      </c>
      <c r="G9576">
        <f>IF(D9576="KEEP",COUNTIF($D$2:D9576,"KEEP"),"")</f>
        <v/>
      </c>
      <c r="H9576">
        <f>IF(D9576="REMOVE",COUNTIF($D$2:D9576,"REMOVE"),"")</f>
        <v/>
      </c>
      <c r="I9576">
        <f>IF(E9576="Gmail",COUNTIF($E$2:E9576,"Gmail"),"")</f>
        <v/>
      </c>
      <c r="J9576">
        <f>IF(E9576="Outlook",COUNTIF($E$2:E9576,"Outlook"),"")</f>
        <v/>
      </c>
      <c r="K9576">
        <f>IF(E9576="Domain",COUNTIF($E$2:E9576,"Domain"),"")</f>
        <v/>
      </c>
    </row>
    <row r="9577">
      <c r="A9577" s="2" t="n"/>
      <c r="B9577">
        <f>LOWER(TRIM(A9577))</f>
        <v/>
      </c>
      <c r="C9577">
        <f>IF(B9577="","",IFERROR(INDEX('Bad Patterns'!$A$2:$A$120,MATCH(1,INDEX(--ISNUMBER(SEARCH('Bad Patterns'!$A$2:$A$120,B9577)),0),0)),""))</f>
        <v/>
      </c>
      <c r="D9577">
        <f>IF(B9577="","",IF(C9577&lt;&gt;"","REMOVE","KEEP"))</f>
        <v/>
      </c>
      <c r="E9577">
        <f>IF(D9577&lt;&gt;"KEEP","",IF(RIGHT(B9577,10)="@gmail.com","Gmail",IF(OR(RIGHT(B9577,12)="@outlook.com",RIGHT(B9577,12)="@hotmail.com",RIGHT(B9577,9)="@live.com"),"Outlook","Domain")))</f>
        <v/>
      </c>
      <c r="F9577">
        <f>IF(B9577="","",IFERROR(RIGHT(B9577,LEN(B9577)-FIND("@",B9577)),""))</f>
        <v/>
      </c>
      <c r="G9577">
        <f>IF(D9577="KEEP",COUNTIF($D$2:D9577,"KEEP"),"")</f>
        <v/>
      </c>
      <c r="H9577">
        <f>IF(D9577="REMOVE",COUNTIF($D$2:D9577,"REMOVE"),"")</f>
        <v/>
      </c>
      <c r="I9577">
        <f>IF(E9577="Gmail",COUNTIF($E$2:E9577,"Gmail"),"")</f>
        <v/>
      </c>
      <c r="J9577">
        <f>IF(E9577="Outlook",COUNTIF($E$2:E9577,"Outlook"),"")</f>
        <v/>
      </c>
      <c r="K9577">
        <f>IF(E9577="Domain",COUNTIF($E$2:E9577,"Domain"),"")</f>
        <v/>
      </c>
    </row>
    <row r="9578">
      <c r="A9578" s="2" t="n"/>
      <c r="B9578">
        <f>LOWER(TRIM(A9578))</f>
        <v/>
      </c>
      <c r="C9578">
        <f>IF(B9578="","",IFERROR(INDEX('Bad Patterns'!$A$2:$A$120,MATCH(1,INDEX(--ISNUMBER(SEARCH('Bad Patterns'!$A$2:$A$120,B9578)),0),0)),""))</f>
        <v/>
      </c>
      <c r="D9578">
        <f>IF(B9578="","",IF(C9578&lt;&gt;"","REMOVE","KEEP"))</f>
        <v/>
      </c>
      <c r="E9578">
        <f>IF(D9578&lt;&gt;"KEEP","",IF(RIGHT(B9578,10)="@gmail.com","Gmail",IF(OR(RIGHT(B9578,12)="@outlook.com",RIGHT(B9578,12)="@hotmail.com",RIGHT(B9578,9)="@live.com"),"Outlook","Domain")))</f>
        <v/>
      </c>
      <c r="F9578">
        <f>IF(B9578="","",IFERROR(RIGHT(B9578,LEN(B9578)-FIND("@",B9578)),""))</f>
        <v/>
      </c>
      <c r="G9578">
        <f>IF(D9578="KEEP",COUNTIF($D$2:D9578,"KEEP"),"")</f>
        <v/>
      </c>
      <c r="H9578">
        <f>IF(D9578="REMOVE",COUNTIF($D$2:D9578,"REMOVE"),"")</f>
        <v/>
      </c>
      <c r="I9578">
        <f>IF(E9578="Gmail",COUNTIF($E$2:E9578,"Gmail"),"")</f>
        <v/>
      </c>
      <c r="J9578">
        <f>IF(E9578="Outlook",COUNTIF($E$2:E9578,"Outlook"),"")</f>
        <v/>
      </c>
      <c r="K9578">
        <f>IF(E9578="Domain",COUNTIF($E$2:E9578,"Domain"),"")</f>
        <v/>
      </c>
    </row>
    <row r="9579">
      <c r="A9579" s="2" t="n"/>
      <c r="B9579">
        <f>LOWER(TRIM(A9579))</f>
        <v/>
      </c>
      <c r="C9579">
        <f>IF(B9579="","",IFERROR(INDEX('Bad Patterns'!$A$2:$A$120,MATCH(1,INDEX(--ISNUMBER(SEARCH('Bad Patterns'!$A$2:$A$120,B9579)),0),0)),""))</f>
        <v/>
      </c>
      <c r="D9579">
        <f>IF(B9579="","",IF(C9579&lt;&gt;"","REMOVE","KEEP"))</f>
        <v/>
      </c>
      <c r="E9579">
        <f>IF(D9579&lt;&gt;"KEEP","",IF(RIGHT(B9579,10)="@gmail.com","Gmail",IF(OR(RIGHT(B9579,12)="@outlook.com",RIGHT(B9579,12)="@hotmail.com",RIGHT(B9579,9)="@live.com"),"Outlook","Domain")))</f>
        <v/>
      </c>
      <c r="F9579">
        <f>IF(B9579="","",IFERROR(RIGHT(B9579,LEN(B9579)-FIND("@",B9579)),""))</f>
        <v/>
      </c>
      <c r="G9579">
        <f>IF(D9579="KEEP",COUNTIF($D$2:D9579,"KEEP"),"")</f>
        <v/>
      </c>
      <c r="H9579">
        <f>IF(D9579="REMOVE",COUNTIF($D$2:D9579,"REMOVE"),"")</f>
        <v/>
      </c>
      <c r="I9579">
        <f>IF(E9579="Gmail",COUNTIF($E$2:E9579,"Gmail"),"")</f>
        <v/>
      </c>
      <c r="J9579">
        <f>IF(E9579="Outlook",COUNTIF($E$2:E9579,"Outlook"),"")</f>
        <v/>
      </c>
      <c r="K9579">
        <f>IF(E9579="Domain",COUNTIF($E$2:E9579,"Domain"),"")</f>
        <v/>
      </c>
    </row>
    <row r="9580">
      <c r="A9580" s="2" t="n"/>
      <c r="B9580">
        <f>LOWER(TRIM(A9580))</f>
        <v/>
      </c>
      <c r="C9580">
        <f>IF(B9580="","",IFERROR(INDEX('Bad Patterns'!$A$2:$A$120,MATCH(1,INDEX(--ISNUMBER(SEARCH('Bad Patterns'!$A$2:$A$120,B9580)),0),0)),""))</f>
        <v/>
      </c>
      <c r="D9580">
        <f>IF(B9580="","",IF(C9580&lt;&gt;"","REMOVE","KEEP"))</f>
        <v/>
      </c>
      <c r="E9580">
        <f>IF(D9580&lt;&gt;"KEEP","",IF(RIGHT(B9580,10)="@gmail.com","Gmail",IF(OR(RIGHT(B9580,12)="@outlook.com",RIGHT(B9580,12)="@hotmail.com",RIGHT(B9580,9)="@live.com"),"Outlook","Domain")))</f>
        <v/>
      </c>
      <c r="F9580">
        <f>IF(B9580="","",IFERROR(RIGHT(B9580,LEN(B9580)-FIND("@",B9580)),""))</f>
        <v/>
      </c>
      <c r="G9580">
        <f>IF(D9580="KEEP",COUNTIF($D$2:D9580,"KEEP"),"")</f>
        <v/>
      </c>
      <c r="H9580">
        <f>IF(D9580="REMOVE",COUNTIF($D$2:D9580,"REMOVE"),"")</f>
        <v/>
      </c>
      <c r="I9580">
        <f>IF(E9580="Gmail",COUNTIF($E$2:E9580,"Gmail"),"")</f>
        <v/>
      </c>
      <c r="J9580">
        <f>IF(E9580="Outlook",COUNTIF($E$2:E9580,"Outlook"),"")</f>
        <v/>
      </c>
      <c r="K9580">
        <f>IF(E9580="Domain",COUNTIF($E$2:E9580,"Domain"),"")</f>
        <v/>
      </c>
    </row>
    <row r="9581">
      <c r="A9581" s="2" t="n"/>
      <c r="B9581">
        <f>LOWER(TRIM(A9581))</f>
        <v/>
      </c>
      <c r="C9581">
        <f>IF(B9581="","",IFERROR(INDEX('Bad Patterns'!$A$2:$A$120,MATCH(1,INDEX(--ISNUMBER(SEARCH('Bad Patterns'!$A$2:$A$120,B9581)),0),0)),""))</f>
        <v/>
      </c>
      <c r="D9581">
        <f>IF(B9581="","",IF(C9581&lt;&gt;"","REMOVE","KEEP"))</f>
        <v/>
      </c>
      <c r="E9581">
        <f>IF(D9581&lt;&gt;"KEEP","",IF(RIGHT(B9581,10)="@gmail.com","Gmail",IF(OR(RIGHT(B9581,12)="@outlook.com",RIGHT(B9581,12)="@hotmail.com",RIGHT(B9581,9)="@live.com"),"Outlook","Domain")))</f>
        <v/>
      </c>
      <c r="F9581">
        <f>IF(B9581="","",IFERROR(RIGHT(B9581,LEN(B9581)-FIND("@",B9581)),""))</f>
        <v/>
      </c>
      <c r="G9581">
        <f>IF(D9581="KEEP",COUNTIF($D$2:D9581,"KEEP"),"")</f>
        <v/>
      </c>
      <c r="H9581">
        <f>IF(D9581="REMOVE",COUNTIF($D$2:D9581,"REMOVE"),"")</f>
        <v/>
      </c>
      <c r="I9581">
        <f>IF(E9581="Gmail",COUNTIF($E$2:E9581,"Gmail"),"")</f>
        <v/>
      </c>
      <c r="J9581">
        <f>IF(E9581="Outlook",COUNTIF($E$2:E9581,"Outlook"),"")</f>
        <v/>
      </c>
      <c r="K9581">
        <f>IF(E9581="Domain",COUNTIF($E$2:E9581,"Domain"),"")</f>
        <v/>
      </c>
    </row>
    <row r="9582">
      <c r="A9582" s="2" t="n"/>
      <c r="B9582">
        <f>LOWER(TRIM(A9582))</f>
        <v/>
      </c>
      <c r="C9582">
        <f>IF(B9582="","",IFERROR(INDEX('Bad Patterns'!$A$2:$A$120,MATCH(1,INDEX(--ISNUMBER(SEARCH('Bad Patterns'!$A$2:$A$120,B9582)),0),0)),""))</f>
        <v/>
      </c>
      <c r="D9582">
        <f>IF(B9582="","",IF(C9582&lt;&gt;"","REMOVE","KEEP"))</f>
        <v/>
      </c>
      <c r="E9582">
        <f>IF(D9582&lt;&gt;"KEEP","",IF(RIGHT(B9582,10)="@gmail.com","Gmail",IF(OR(RIGHT(B9582,12)="@outlook.com",RIGHT(B9582,12)="@hotmail.com",RIGHT(B9582,9)="@live.com"),"Outlook","Domain")))</f>
        <v/>
      </c>
      <c r="F9582">
        <f>IF(B9582="","",IFERROR(RIGHT(B9582,LEN(B9582)-FIND("@",B9582)),""))</f>
        <v/>
      </c>
      <c r="G9582">
        <f>IF(D9582="KEEP",COUNTIF($D$2:D9582,"KEEP"),"")</f>
        <v/>
      </c>
      <c r="H9582">
        <f>IF(D9582="REMOVE",COUNTIF($D$2:D9582,"REMOVE"),"")</f>
        <v/>
      </c>
      <c r="I9582">
        <f>IF(E9582="Gmail",COUNTIF($E$2:E9582,"Gmail"),"")</f>
        <v/>
      </c>
      <c r="J9582">
        <f>IF(E9582="Outlook",COUNTIF($E$2:E9582,"Outlook"),"")</f>
        <v/>
      </c>
      <c r="K9582">
        <f>IF(E9582="Domain",COUNTIF($E$2:E9582,"Domain"),"")</f>
        <v/>
      </c>
    </row>
    <row r="9583">
      <c r="A9583" s="2" t="n"/>
      <c r="B9583">
        <f>LOWER(TRIM(A9583))</f>
        <v/>
      </c>
      <c r="C9583">
        <f>IF(B9583="","",IFERROR(INDEX('Bad Patterns'!$A$2:$A$120,MATCH(1,INDEX(--ISNUMBER(SEARCH('Bad Patterns'!$A$2:$A$120,B9583)),0),0)),""))</f>
        <v/>
      </c>
      <c r="D9583">
        <f>IF(B9583="","",IF(C9583&lt;&gt;"","REMOVE","KEEP"))</f>
        <v/>
      </c>
      <c r="E9583">
        <f>IF(D9583&lt;&gt;"KEEP","",IF(RIGHT(B9583,10)="@gmail.com","Gmail",IF(OR(RIGHT(B9583,12)="@outlook.com",RIGHT(B9583,12)="@hotmail.com",RIGHT(B9583,9)="@live.com"),"Outlook","Domain")))</f>
        <v/>
      </c>
      <c r="F9583">
        <f>IF(B9583="","",IFERROR(RIGHT(B9583,LEN(B9583)-FIND("@",B9583)),""))</f>
        <v/>
      </c>
      <c r="G9583">
        <f>IF(D9583="KEEP",COUNTIF($D$2:D9583,"KEEP"),"")</f>
        <v/>
      </c>
      <c r="H9583">
        <f>IF(D9583="REMOVE",COUNTIF($D$2:D9583,"REMOVE"),"")</f>
        <v/>
      </c>
      <c r="I9583">
        <f>IF(E9583="Gmail",COUNTIF($E$2:E9583,"Gmail"),"")</f>
        <v/>
      </c>
      <c r="J9583">
        <f>IF(E9583="Outlook",COUNTIF($E$2:E9583,"Outlook"),"")</f>
        <v/>
      </c>
      <c r="K9583">
        <f>IF(E9583="Domain",COUNTIF($E$2:E9583,"Domain"),"")</f>
        <v/>
      </c>
    </row>
    <row r="9584">
      <c r="A9584" s="2" t="n"/>
      <c r="B9584">
        <f>LOWER(TRIM(A9584))</f>
        <v/>
      </c>
      <c r="C9584">
        <f>IF(B9584="","",IFERROR(INDEX('Bad Patterns'!$A$2:$A$120,MATCH(1,INDEX(--ISNUMBER(SEARCH('Bad Patterns'!$A$2:$A$120,B9584)),0),0)),""))</f>
        <v/>
      </c>
      <c r="D9584">
        <f>IF(B9584="","",IF(C9584&lt;&gt;"","REMOVE","KEEP"))</f>
        <v/>
      </c>
      <c r="E9584">
        <f>IF(D9584&lt;&gt;"KEEP","",IF(RIGHT(B9584,10)="@gmail.com","Gmail",IF(OR(RIGHT(B9584,12)="@outlook.com",RIGHT(B9584,12)="@hotmail.com",RIGHT(B9584,9)="@live.com"),"Outlook","Domain")))</f>
        <v/>
      </c>
      <c r="F9584">
        <f>IF(B9584="","",IFERROR(RIGHT(B9584,LEN(B9584)-FIND("@",B9584)),""))</f>
        <v/>
      </c>
      <c r="G9584">
        <f>IF(D9584="KEEP",COUNTIF($D$2:D9584,"KEEP"),"")</f>
        <v/>
      </c>
      <c r="H9584">
        <f>IF(D9584="REMOVE",COUNTIF($D$2:D9584,"REMOVE"),"")</f>
        <v/>
      </c>
      <c r="I9584">
        <f>IF(E9584="Gmail",COUNTIF($E$2:E9584,"Gmail"),"")</f>
        <v/>
      </c>
      <c r="J9584">
        <f>IF(E9584="Outlook",COUNTIF($E$2:E9584,"Outlook"),"")</f>
        <v/>
      </c>
      <c r="K9584">
        <f>IF(E9584="Domain",COUNTIF($E$2:E9584,"Domain"),"")</f>
        <v/>
      </c>
    </row>
    <row r="9585">
      <c r="A9585" s="2" t="n"/>
      <c r="B9585">
        <f>LOWER(TRIM(A9585))</f>
        <v/>
      </c>
      <c r="C9585">
        <f>IF(B9585="","",IFERROR(INDEX('Bad Patterns'!$A$2:$A$120,MATCH(1,INDEX(--ISNUMBER(SEARCH('Bad Patterns'!$A$2:$A$120,B9585)),0),0)),""))</f>
        <v/>
      </c>
      <c r="D9585">
        <f>IF(B9585="","",IF(C9585&lt;&gt;"","REMOVE","KEEP"))</f>
        <v/>
      </c>
      <c r="E9585">
        <f>IF(D9585&lt;&gt;"KEEP","",IF(RIGHT(B9585,10)="@gmail.com","Gmail",IF(OR(RIGHT(B9585,12)="@outlook.com",RIGHT(B9585,12)="@hotmail.com",RIGHT(B9585,9)="@live.com"),"Outlook","Domain")))</f>
        <v/>
      </c>
      <c r="F9585">
        <f>IF(B9585="","",IFERROR(RIGHT(B9585,LEN(B9585)-FIND("@",B9585)),""))</f>
        <v/>
      </c>
      <c r="G9585">
        <f>IF(D9585="KEEP",COUNTIF($D$2:D9585,"KEEP"),"")</f>
        <v/>
      </c>
      <c r="H9585">
        <f>IF(D9585="REMOVE",COUNTIF($D$2:D9585,"REMOVE"),"")</f>
        <v/>
      </c>
      <c r="I9585">
        <f>IF(E9585="Gmail",COUNTIF($E$2:E9585,"Gmail"),"")</f>
        <v/>
      </c>
      <c r="J9585">
        <f>IF(E9585="Outlook",COUNTIF($E$2:E9585,"Outlook"),"")</f>
        <v/>
      </c>
      <c r="K9585">
        <f>IF(E9585="Domain",COUNTIF($E$2:E9585,"Domain"),"")</f>
        <v/>
      </c>
    </row>
    <row r="9586">
      <c r="A9586" s="2" t="n"/>
      <c r="B9586">
        <f>LOWER(TRIM(A9586))</f>
        <v/>
      </c>
      <c r="C9586">
        <f>IF(B9586="","",IFERROR(INDEX('Bad Patterns'!$A$2:$A$120,MATCH(1,INDEX(--ISNUMBER(SEARCH('Bad Patterns'!$A$2:$A$120,B9586)),0),0)),""))</f>
        <v/>
      </c>
      <c r="D9586">
        <f>IF(B9586="","",IF(C9586&lt;&gt;"","REMOVE","KEEP"))</f>
        <v/>
      </c>
      <c r="E9586">
        <f>IF(D9586&lt;&gt;"KEEP","",IF(RIGHT(B9586,10)="@gmail.com","Gmail",IF(OR(RIGHT(B9586,12)="@outlook.com",RIGHT(B9586,12)="@hotmail.com",RIGHT(B9586,9)="@live.com"),"Outlook","Domain")))</f>
        <v/>
      </c>
      <c r="F9586">
        <f>IF(B9586="","",IFERROR(RIGHT(B9586,LEN(B9586)-FIND("@",B9586)),""))</f>
        <v/>
      </c>
      <c r="G9586">
        <f>IF(D9586="KEEP",COUNTIF($D$2:D9586,"KEEP"),"")</f>
        <v/>
      </c>
      <c r="H9586">
        <f>IF(D9586="REMOVE",COUNTIF($D$2:D9586,"REMOVE"),"")</f>
        <v/>
      </c>
      <c r="I9586">
        <f>IF(E9586="Gmail",COUNTIF($E$2:E9586,"Gmail"),"")</f>
        <v/>
      </c>
      <c r="J9586">
        <f>IF(E9586="Outlook",COUNTIF($E$2:E9586,"Outlook"),"")</f>
        <v/>
      </c>
      <c r="K9586">
        <f>IF(E9586="Domain",COUNTIF($E$2:E9586,"Domain"),"")</f>
        <v/>
      </c>
    </row>
    <row r="9587">
      <c r="A9587" s="2" t="n"/>
      <c r="B9587">
        <f>LOWER(TRIM(A9587))</f>
        <v/>
      </c>
      <c r="C9587">
        <f>IF(B9587="","",IFERROR(INDEX('Bad Patterns'!$A$2:$A$120,MATCH(1,INDEX(--ISNUMBER(SEARCH('Bad Patterns'!$A$2:$A$120,B9587)),0),0)),""))</f>
        <v/>
      </c>
      <c r="D9587">
        <f>IF(B9587="","",IF(C9587&lt;&gt;"","REMOVE","KEEP"))</f>
        <v/>
      </c>
      <c r="E9587">
        <f>IF(D9587&lt;&gt;"KEEP","",IF(RIGHT(B9587,10)="@gmail.com","Gmail",IF(OR(RIGHT(B9587,12)="@outlook.com",RIGHT(B9587,12)="@hotmail.com",RIGHT(B9587,9)="@live.com"),"Outlook","Domain")))</f>
        <v/>
      </c>
      <c r="F9587">
        <f>IF(B9587="","",IFERROR(RIGHT(B9587,LEN(B9587)-FIND("@",B9587)),""))</f>
        <v/>
      </c>
      <c r="G9587">
        <f>IF(D9587="KEEP",COUNTIF($D$2:D9587,"KEEP"),"")</f>
        <v/>
      </c>
      <c r="H9587">
        <f>IF(D9587="REMOVE",COUNTIF($D$2:D9587,"REMOVE"),"")</f>
        <v/>
      </c>
      <c r="I9587">
        <f>IF(E9587="Gmail",COUNTIF($E$2:E9587,"Gmail"),"")</f>
        <v/>
      </c>
      <c r="J9587">
        <f>IF(E9587="Outlook",COUNTIF($E$2:E9587,"Outlook"),"")</f>
        <v/>
      </c>
      <c r="K9587">
        <f>IF(E9587="Domain",COUNTIF($E$2:E9587,"Domain"),"")</f>
        <v/>
      </c>
    </row>
    <row r="9588">
      <c r="A9588" s="2" t="n"/>
      <c r="B9588">
        <f>LOWER(TRIM(A9588))</f>
        <v/>
      </c>
      <c r="C9588">
        <f>IF(B9588="","",IFERROR(INDEX('Bad Patterns'!$A$2:$A$120,MATCH(1,INDEX(--ISNUMBER(SEARCH('Bad Patterns'!$A$2:$A$120,B9588)),0),0)),""))</f>
        <v/>
      </c>
      <c r="D9588">
        <f>IF(B9588="","",IF(C9588&lt;&gt;"","REMOVE","KEEP"))</f>
        <v/>
      </c>
      <c r="E9588">
        <f>IF(D9588&lt;&gt;"KEEP","",IF(RIGHT(B9588,10)="@gmail.com","Gmail",IF(OR(RIGHT(B9588,12)="@outlook.com",RIGHT(B9588,12)="@hotmail.com",RIGHT(B9588,9)="@live.com"),"Outlook","Domain")))</f>
        <v/>
      </c>
      <c r="F9588">
        <f>IF(B9588="","",IFERROR(RIGHT(B9588,LEN(B9588)-FIND("@",B9588)),""))</f>
        <v/>
      </c>
      <c r="G9588">
        <f>IF(D9588="KEEP",COUNTIF($D$2:D9588,"KEEP"),"")</f>
        <v/>
      </c>
      <c r="H9588">
        <f>IF(D9588="REMOVE",COUNTIF($D$2:D9588,"REMOVE"),"")</f>
        <v/>
      </c>
      <c r="I9588">
        <f>IF(E9588="Gmail",COUNTIF($E$2:E9588,"Gmail"),"")</f>
        <v/>
      </c>
      <c r="J9588">
        <f>IF(E9588="Outlook",COUNTIF($E$2:E9588,"Outlook"),"")</f>
        <v/>
      </c>
      <c r="K9588">
        <f>IF(E9588="Domain",COUNTIF($E$2:E9588,"Domain"),"")</f>
        <v/>
      </c>
    </row>
    <row r="9589">
      <c r="A9589" s="2" t="n"/>
      <c r="B9589">
        <f>LOWER(TRIM(A9589))</f>
        <v/>
      </c>
      <c r="C9589">
        <f>IF(B9589="","",IFERROR(INDEX('Bad Patterns'!$A$2:$A$120,MATCH(1,INDEX(--ISNUMBER(SEARCH('Bad Patterns'!$A$2:$A$120,B9589)),0),0)),""))</f>
        <v/>
      </c>
      <c r="D9589">
        <f>IF(B9589="","",IF(C9589&lt;&gt;"","REMOVE","KEEP"))</f>
        <v/>
      </c>
      <c r="E9589">
        <f>IF(D9589&lt;&gt;"KEEP","",IF(RIGHT(B9589,10)="@gmail.com","Gmail",IF(OR(RIGHT(B9589,12)="@outlook.com",RIGHT(B9589,12)="@hotmail.com",RIGHT(B9589,9)="@live.com"),"Outlook","Domain")))</f>
        <v/>
      </c>
      <c r="F9589">
        <f>IF(B9589="","",IFERROR(RIGHT(B9589,LEN(B9589)-FIND("@",B9589)),""))</f>
        <v/>
      </c>
      <c r="G9589">
        <f>IF(D9589="KEEP",COUNTIF($D$2:D9589,"KEEP"),"")</f>
        <v/>
      </c>
      <c r="H9589">
        <f>IF(D9589="REMOVE",COUNTIF($D$2:D9589,"REMOVE"),"")</f>
        <v/>
      </c>
      <c r="I9589">
        <f>IF(E9589="Gmail",COUNTIF($E$2:E9589,"Gmail"),"")</f>
        <v/>
      </c>
      <c r="J9589">
        <f>IF(E9589="Outlook",COUNTIF($E$2:E9589,"Outlook"),"")</f>
        <v/>
      </c>
      <c r="K9589">
        <f>IF(E9589="Domain",COUNTIF($E$2:E9589,"Domain"),"")</f>
        <v/>
      </c>
    </row>
    <row r="9590">
      <c r="A9590" s="2" t="n"/>
      <c r="B9590">
        <f>LOWER(TRIM(A9590))</f>
        <v/>
      </c>
      <c r="C9590">
        <f>IF(B9590="","",IFERROR(INDEX('Bad Patterns'!$A$2:$A$120,MATCH(1,INDEX(--ISNUMBER(SEARCH('Bad Patterns'!$A$2:$A$120,B9590)),0),0)),""))</f>
        <v/>
      </c>
      <c r="D9590">
        <f>IF(B9590="","",IF(C9590&lt;&gt;"","REMOVE","KEEP"))</f>
        <v/>
      </c>
      <c r="E9590">
        <f>IF(D9590&lt;&gt;"KEEP","",IF(RIGHT(B9590,10)="@gmail.com","Gmail",IF(OR(RIGHT(B9590,12)="@outlook.com",RIGHT(B9590,12)="@hotmail.com",RIGHT(B9590,9)="@live.com"),"Outlook","Domain")))</f>
        <v/>
      </c>
      <c r="F9590">
        <f>IF(B9590="","",IFERROR(RIGHT(B9590,LEN(B9590)-FIND("@",B9590)),""))</f>
        <v/>
      </c>
      <c r="G9590">
        <f>IF(D9590="KEEP",COUNTIF($D$2:D9590,"KEEP"),"")</f>
        <v/>
      </c>
      <c r="H9590">
        <f>IF(D9590="REMOVE",COUNTIF($D$2:D9590,"REMOVE"),"")</f>
        <v/>
      </c>
      <c r="I9590">
        <f>IF(E9590="Gmail",COUNTIF($E$2:E9590,"Gmail"),"")</f>
        <v/>
      </c>
      <c r="J9590">
        <f>IF(E9590="Outlook",COUNTIF($E$2:E9590,"Outlook"),"")</f>
        <v/>
      </c>
      <c r="K9590">
        <f>IF(E9590="Domain",COUNTIF($E$2:E9590,"Domain"),"")</f>
        <v/>
      </c>
    </row>
    <row r="9591">
      <c r="A9591" s="2" t="n"/>
      <c r="B9591">
        <f>LOWER(TRIM(A9591))</f>
        <v/>
      </c>
      <c r="C9591">
        <f>IF(B9591="","",IFERROR(INDEX('Bad Patterns'!$A$2:$A$120,MATCH(1,INDEX(--ISNUMBER(SEARCH('Bad Patterns'!$A$2:$A$120,B9591)),0),0)),""))</f>
        <v/>
      </c>
      <c r="D9591">
        <f>IF(B9591="","",IF(C9591&lt;&gt;"","REMOVE","KEEP"))</f>
        <v/>
      </c>
      <c r="E9591">
        <f>IF(D9591&lt;&gt;"KEEP","",IF(RIGHT(B9591,10)="@gmail.com","Gmail",IF(OR(RIGHT(B9591,12)="@outlook.com",RIGHT(B9591,12)="@hotmail.com",RIGHT(B9591,9)="@live.com"),"Outlook","Domain")))</f>
        <v/>
      </c>
      <c r="F9591">
        <f>IF(B9591="","",IFERROR(RIGHT(B9591,LEN(B9591)-FIND("@",B9591)),""))</f>
        <v/>
      </c>
      <c r="G9591">
        <f>IF(D9591="KEEP",COUNTIF($D$2:D9591,"KEEP"),"")</f>
        <v/>
      </c>
      <c r="H9591">
        <f>IF(D9591="REMOVE",COUNTIF($D$2:D9591,"REMOVE"),"")</f>
        <v/>
      </c>
      <c r="I9591">
        <f>IF(E9591="Gmail",COUNTIF($E$2:E9591,"Gmail"),"")</f>
        <v/>
      </c>
      <c r="J9591">
        <f>IF(E9591="Outlook",COUNTIF($E$2:E9591,"Outlook"),"")</f>
        <v/>
      </c>
      <c r="K9591">
        <f>IF(E9591="Domain",COUNTIF($E$2:E9591,"Domain"),"")</f>
        <v/>
      </c>
    </row>
    <row r="9592">
      <c r="A9592" s="2" t="n"/>
      <c r="B9592">
        <f>LOWER(TRIM(A9592))</f>
        <v/>
      </c>
      <c r="C9592">
        <f>IF(B9592="","",IFERROR(INDEX('Bad Patterns'!$A$2:$A$120,MATCH(1,INDEX(--ISNUMBER(SEARCH('Bad Patterns'!$A$2:$A$120,B9592)),0),0)),""))</f>
        <v/>
      </c>
      <c r="D9592">
        <f>IF(B9592="","",IF(C9592&lt;&gt;"","REMOVE","KEEP"))</f>
        <v/>
      </c>
      <c r="E9592">
        <f>IF(D9592&lt;&gt;"KEEP","",IF(RIGHT(B9592,10)="@gmail.com","Gmail",IF(OR(RIGHT(B9592,12)="@outlook.com",RIGHT(B9592,12)="@hotmail.com",RIGHT(B9592,9)="@live.com"),"Outlook","Domain")))</f>
        <v/>
      </c>
      <c r="F9592">
        <f>IF(B9592="","",IFERROR(RIGHT(B9592,LEN(B9592)-FIND("@",B9592)),""))</f>
        <v/>
      </c>
      <c r="G9592">
        <f>IF(D9592="KEEP",COUNTIF($D$2:D9592,"KEEP"),"")</f>
        <v/>
      </c>
      <c r="H9592">
        <f>IF(D9592="REMOVE",COUNTIF($D$2:D9592,"REMOVE"),"")</f>
        <v/>
      </c>
      <c r="I9592">
        <f>IF(E9592="Gmail",COUNTIF($E$2:E9592,"Gmail"),"")</f>
        <v/>
      </c>
      <c r="J9592">
        <f>IF(E9592="Outlook",COUNTIF($E$2:E9592,"Outlook"),"")</f>
        <v/>
      </c>
      <c r="K9592">
        <f>IF(E9592="Domain",COUNTIF($E$2:E9592,"Domain"),"")</f>
        <v/>
      </c>
    </row>
    <row r="9593">
      <c r="A9593" s="2" t="n"/>
      <c r="B9593">
        <f>LOWER(TRIM(A9593))</f>
        <v/>
      </c>
      <c r="C9593">
        <f>IF(B9593="","",IFERROR(INDEX('Bad Patterns'!$A$2:$A$120,MATCH(1,INDEX(--ISNUMBER(SEARCH('Bad Patterns'!$A$2:$A$120,B9593)),0),0)),""))</f>
        <v/>
      </c>
      <c r="D9593">
        <f>IF(B9593="","",IF(C9593&lt;&gt;"","REMOVE","KEEP"))</f>
        <v/>
      </c>
      <c r="E9593">
        <f>IF(D9593&lt;&gt;"KEEP","",IF(RIGHT(B9593,10)="@gmail.com","Gmail",IF(OR(RIGHT(B9593,12)="@outlook.com",RIGHT(B9593,12)="@hotmail.com",RIGHT(B9593,9)="@live.com"),"Outlook","Domain")))</f>
        <v/>
      </c>
      <c r="F9593">
        <f>IF(B9593="","",IFERROR(RIGHT(B9593,LEN(B9593)-FIND("@",B9593)),""))</f>
        <v/>
      </c>
      <c r="G9593">
        <f>IF(D9593="KEEP",COUNTIF($D$2:D9593,"KEEP"),"")</f>
        <v/>
      </c>
      <c r="H9593">
        <f>IF(D9593="REMOVE",COUNTIF($D$2:D9593,"REMOVE"),"")</f>
        <v/>
      </c>
      <c r="I9593">
        <f>IF(E9593="Gmail",COUNTIF($E$2:E9593,"Gmail"),"")</f>
        <v/>
      </c>
      <c r="J9593">
        <f>IF(E9593="Outlook",COUNTIF($E$2:E9593,"Outlook"),"")</f>
        <v/>
      </c>
      <c r="K9593">
        <f>IF(E9593="Domain",COUNTIF($E$2:E9593,"Domain"),"")</f>
        <v/>
      </c>
    </row>
    <row r="9594">
      <c r="A9594" s="2" t="n"/>
      <c r="B9594">
        <f>LOWER(TRIM(A9594))</f>
        <v/>
      </c>
      <c r="C9594">
        <f>IF(B9594="","",IFERROR(INDEX('Bad Patterns'!$A$2:$A$120,MATCH(1,INDEX(--ISNUMBER(SEARCH('Bad Patterns'!$A$2:$A$120,B9594)),0),0)),""))</f>
        <v/>
      </c>
      <c r="D9594">
        <f>IF(B9594="","",IF(C9594&lt;&gt;"","REMOVE","KEEP"))</f>
        <v/>
      </c>
      <c r="E9594">
        <f>IF(D9594&lt;&gt;"KEEP","",IF(RIGHT(B9594,10)="@gmail.com","Gmail",IF(OR(RIGHT(B9594,12)="@outlook.com",RIGHT(B9594,12)="@hotmail.com",RIGHT(B9594,9)="@live.com"),"Outlook","Domain")))</f>
        <v/>
      </c>
      <c r="F9594">
        <f>IF(B9594="","",IFERROR(RIGHT(B9594,LEN(B9594)-FIND("@",B9594)),""))</f>
        <v/>
      </c>
      <c r="G9594">
        <f>IF(D9594="KEEP",COUNTIF($D$2:D9594,"KEEP"),"")</f>
        <v/>
      </c>
      <c r="H9594">
        <f>IF(D9594="REMOVE",COUNTIF($D$2:D9594,"REMOVE"),"")</f>
        <v/>
      </c>
      <c r="I9594">
        <f>IF(E9594="Gmail",COUNTIF($E$2:E9594,"Gmail"),"")</f>
        <v/>
      </c>
      <c r="J9594">
        <f>IF(E9594="Outlook",COUNTIF($E$2:E9594,"Outlook"),"")</f>
        <v/>
      </c>
      <c r="K9594">
        <f>IF(E9594="Domain",COUNTIF($E$2:E9594,"Domain"),"")</f>
        <v/>
      </c>
    </row>
    <row r="9595">
      <c r="A9595" s="2" t="n"/>
      <c r="B9595">
        <f>LOWER(TRIM(A9595))</f>
        <v/>
      </c>
      <c r="C9595">
        <f>IF(B9595="","",IFERROR(INDEX('Bad Patterns'!$A$2:$A$120,MATCH(1,INDEX(--ISNUMBER(SEARCH('Bad Patterns'!$A$2:$A$120,B9595)),0),0)),""))</f>
        <v/>
      </c>
      <c r="D9595">
        <f>IF(B9595="","",IF(C9595&lt;&gt;"","REMOVE","KEEP"))</f>
        <v/>
      </c>
      <c r="E9595">
        <f>IF(D9595&lt;&gt;"KEEP","",IF(RIGHT(B9595,10)="@gmail.com","Gmail",IF(OR(RIGHT(B9595,12)="@outlook.com",RIGHT(B9595,12)="@hotmail.com",RIGHT(B9595,9)="@live.com"),"Outlook","Domain")))</f>
        <v/>
      </c>
      <c r="F9595">
        <f>IF(B9595="","",IFERROR(RIGHT(B9595,LEN(B9595)-FIND("@",B9595)),""))</f>
        <v/>
      </c>
      <c r="G9595">
        <f>IF(D9595="KEEP",COUNTIF($D$2:D9595,"KEEP"),"")</f>
        <v/>
      </c>
      <c r="H9595">
        <f>IF(D9595="REMOVE",COUNTIF($D$2:D9595,"REMOVE"),"")</f>
        <v/>
      </c>
      <c r="I9595">
        <f>IF(E9595="Gmail",COUNTIF($E$2:E9595,"Gmail"),"")</f>
        <v/>
      </c>
      <c r="J9595">
        <f>IF(E9595="Outlook",COUNTIF($E$2:E9595,"Outlook"),"")</f>
        <v/>
      </c>
      <c r="K9595">
        <f>IF(E9595="Domain",COUNTIF($E$2:E9595,"Domain"),"")</f>
        <v/>
      </c>
    </row>
    <row r="9596">
      <c r="A9596" s="2" t="n"/>
      <c r="B9596">
        <f>LOWER(TRIM(A9596))</f>
        <v/>
      </c>
      <c r="C9596">
        <f>IF(B9596="","",IFERROR(INDEX('Bad Patterns'!$A$2:$A$120,MATCH(1,INDEX(--ISNUMBER(SEARCH('Bad Patterns'!$A$2:$A$120,B9596)),0),0)),""))</f>
        <v/>
      </c>
      <c r="D9596">
        <f>IF(B9596="","",IF(C9596&lt;&gt;"","REMOVE","KEEP"))</f>
        <v/>
      </c>
      <c r="E9596">
        <f>IF(D9596&lt;&gt;"KEEP","",IF(RIGHT(B9596,10)="@gmail.com","Gmail",IF(OR(RIGHT(B9596,12)="@outlook.com",RIGHT(B9596,12)="@hotmail.com",RIGHT(B9596,9)="@live.com"),"Outlook","Domain")))</f>
        <v/>
      </c>
      <c r="F9596">
        <f>IF(B9596="","",IFERROR(RIGHT(B9596,LEN(B9596)-FIND("@",B9596)),""))</f>
        <v/>
      </c>
      <c r="G9596">
        <f>IF(D9596="KEEP",COUNTIF($D$2:D9596,"KEEP"),"")</f>
        <v/>
      </c>
      <c r="H9596">
        <f>IF(D9596="REMOVE",COUNTIF($D$2:D9596,"REMOVE"),"")</f>
        <v/>
      </c>
      <c r="I9596">
        <f>IF(E9596="Gmail",COUNTIF($E$2:E9596,"Gmail"),"")</f>
        <v/>
      </c>
      <c r="J9596">
        <f>IF(E9596="Outlook",COUNTIF($E$2:E9596,"Outlook"),"")</f>
        <v/>
      </c>
      <c r="K9596">
        <f>IF(E9596="Domain",COUNTIF($E$2:E9596,"Domain"),"")</f>
        <v/>
      </c>
    </row>
    <row r="9597">
      <c r="A9597" s="2" t="n"/>
      <c r="B9597">
        <f>LOWER(TRIM(A9597))</f>
        <v/>
      </c>
      <c r="C9597">
        <f>IF(B9597="","",IFERROR(INDEX('Bad Patterns'!$A$2:$A$120,MATCH(1,INDEX(--ISNUMBER(SEARCH('Bad Patterns'!$A$2:$A$120,B9597)),0),0)),""))</f>
        <v/>
      </c>
      <c r="D9597">
        <f>IF(B9597="","",IF(C9597&lt;&gt;"","REMOVE","KEEP"))</f>
        <v/>
      </c>
      <c r="E9597">
        <f>IF(D9597&lt;&gt;"KEEP","",IF(RIGHT(B9597,10)="@gmail.com","Gmail",IF(OR(RIGHT(B9597,12)="@outlook.com",RIGHT(B9597,12)="@hotmail.com",RIGHT(B9597,9)="@live.com"),"Outlook","Domain")))</f>
        <v/>
      </c>
      <c r="F9597">
        <f>IF(B9597="","",IFERROR(RIGHT(B9597,LEN(B9597)-FIND("@",B9597)),""))</f>
        <v/>
      </c>
      <c r="G9597">
        <f>IF(D9597="KEEP",COUNTIF($D$2:D9597,"KEEP"),"")</f>
        <v/>
      </c>
      <c r="H9597">
        <f>IF(D9597="REMOVE",COUNTIF($D$2:D9597,"REMOVE"),"")</f>
        <v/>
      </c>
      <c r="I9597">
        <f>IF(E9597="Gmail",COUNTIF($E$2:E9597,"Gmail"),"")</f>
        <v/>
      </c>
      <c r="J9597">
        <f>IF(E9597="Outlook",COUNTIF($E$2:E9597,"Outlook"),"")</f>
        <v/>
      </c>
      <c r="K9597">
        <f>IF(E9597="Domain",COUNTIF($E$2:E9597,"Domain"),"")</f>
        <v/>
      </c>
    </row>
    <row r="9598">
      <c r="A9598" s="2" t="n"/>
      <c r="B9598">
        <f>LOWER(TRIM(A9598))</f>
        <v/>
      </c>
      <c r="C9598">
        <f>IF(B9598="","",IFERROR(INDEX('Bad Patterns'!$A$2:$A$120,MATCH(1,INDEX(--ISNUMBER(SEARCH('Bad Patterns'!$A$2:$A$120,B9598)),0),0)),""))</f>
        <v/>
      </c>
      <c r="D9598">
        <f>IF(B9598="","",IF(C9598&lt;&gt;"","REMOVE","KEEP"))</f>
        <v/>
      </c>
      <c r="E9598">
        <f>IF(D9598&lt;&gt;"KEEP","",IF(RIGHT(B9598,10)="@gmail.com","Gmail",IF(OR(RIGHT(B9598,12)="@outlook.com",RIGHT(B9598,12)="@hotmail.com",RIGHT(B9598,9)="@live.com"),"Outlook","Domain")))</f>
        <v/>
      </c>
      <c r="F9598">
        <f>IF(B9598="","",IFERROR(RIGHT(B9598,LEN(B9598)-FIND("@",B9598)),""))</f>
        <v/>
      </c>
      <c r="G9598">
        <f>IF(D9598="KEEP",COUNTIF($D$2:D9598,"KEEP"),"")</f>
        <v/>
      </c>
      <c r="H9598">
        <f>IF(D9598="REMOVE",COUNTIF($D$2:D9598,"REMOVE"),"")</f>
        <v/>
      </c>
      <c r="I9598">
        <f>IF(E9598="Gmail",COUNTIF($E$2:E9598,"Gmail"),"")</f>
        <v/>
      </c>
      <c r="J9598">
        <f>IF(E9598="Outlook",COUNTIF($E$2:E9598,"Outlook"),"")</f>
        <v/>
      </c>
      <c r="K9598">
        <f>IF(E9598="Domain",COUNTIF($E$2:E9598,"Domain"),"")</f>
        <v/>
      </c>
    </row>
    <row r="9599">
      <c r="A9599" s="2" t="n"/>
      <c r="B9599">
        <f>LOWER(TRIM(A9599))</f>
        <v/>
      </c>
      <c r="C9599">
        <f>IF(B9599="","",IFERROR(INDEX('Bad Patterns'!$A$2:$A$120,MATCH(1,INDEX(--ISNUMBER(SEARCH('Bad Patterns'!$A$2:$A$120,B9599)),0),0)),""))</f>
        <v/>
      </c>
      <c r="D9599">
        <f>IF(B9599="","",IF(C9599&lt;&gt;"","REMOVE","KEEP"))</f>
        <v/>
      </c>
      <c r="E9599">
        <f>IF(D9599&lt;&gt;"KEEP","",IF(RIGHT(B9599,10)="@gmail.com","Gmail",IF(OR(RIGHT(B9599,12)="@outlook.com",RIGHT(B9599,12)="@hotmail.com",RIGHT(B9599,9)="@live.com"),"Outlook","Domain")))</f>
        <v/>
      </c>
      <c r="F9599">
        <f>IF(B9599="","",IFERROR(RIGHT(B9599,LEN(B9599)-FIND("@",B9599)),""))</f>
        <v/>
      </c>
      <c r="G9599">
        <f>IF(D9599="KEEP",COUNTIF($D$2:D9599,"KEEP"),"")</f>
        <v/>
      </c>
      <c r="H9599">
        <f>IF(D9599="REMOVE",COUNTIF($D$2:D9599,"REMOVE"),"")</f>
        <v/>
      </c>
      <c r="I9599">
        <f>IF(E9599="Gmail",COUNTIF($E$2:E9599,"Gmail"),"")</f>
        <v/>
      </c>
      <c r="J9599">
        <f>IF(E9599="Outlook",COUNTIF($E$2:E9599,"Outlook"),"")</f>
        <v/>
      </c>
      <c r="K9599">
        <f>IF(E9599="Domain",COUNTIF($E$2:E9599,"Domain"),"")</f>
        <v/>
      </c>
    </row>
    <row r="9600">
      <c r="A9600" s="2" t="n"/>
      <c r="B9600">
        <f>LOWER(TRIM(A9600))</f>
        <v/>
      </c>
      <c r="C9600">
        <f>IF(B9600="","",IFERROR(INDEX('Bad Patterns'!$A$2:$A$120,MATCH(1,INDEX(--ISNUMBER(SEARCH('Bad Patterns'!$A$2:$A$120,B9600)),0),0)),""))</f>
        <v/>
      </c>
      <c r="D9600">
        <f>IF(B9600="","",IF(C9600&lt;&gt;"","REMOVE","KEEP"))</f>
        <v/>
      </c>
      <c r="E9600">
        <f>IF(D9600&lt;&gt;"KEEP","",IF(RIGHT(B9600,10)="@gmail.com","Gmail",IF(OR(RIGHT(B9600,12)="@outlook.com",RIGHT(B9600,12)="@hotmail.com",RIGHT(B9600,9)="@live.com"),"Outlook","Domain")))</f>
        <v/>
      </c>
      <c r="F9600">
        <f>IF(B9600="","",IFERROR(RIGHT(B9600,LEN(B9600)-FIND("@",B9600)),""))</f>
        <v/>
      </c>
      <c r="G9600">
        <f>IF(D9600="KEEP",COUNTIF($D$2:D9600,"KEEP"),"")</f>
        <v/>
      </c>
      <c r="H9600">
        <f>IF(D9600="REMOVE",COUNTIF($D$2:D9600,"REMOVE"),"")</f>
        <v/>
      </c>
      <c r="I9600">
        <f>IF(E9600="Gmail",COUNTIF($E$2:E9600,"Gmail"),"")</f>
        <v/>
      </c>
      <c r="J9600">
        <f>IF(E9600="Outlook",COUNTIF($E$2:E9600,"Outlook"),"")</f>
        <v/>
      </c>
      <c r="K9600">
        <f>IF(E9600="Domain",COUNTIF($E$2:E9600,"Domain"),"")</f>
        <v/>
      </c>
    </row>
    <row r="9601">
      <c r="A9601" s="2" t="n"/>
      <c r="B9601">
        <f>LOWER(TRIM(A9601))</f>
        <v/>
      </c>
      <c r="C9601">
        <f>IF(B9601="","",IFERROR(INDEX('Bad Patterns'!$A$2:$A$120,MATCH(1,INDEX(--ISNUMBER(SEARCH('Bad Patterns'!$A$2:$A$120,B9601)),0),0)),""))</f>
        <v/>
      </c>
      <c r="D9601">
        <f>IF(B9601="","",IF(C9601&lt;&gt;"","REMOVE","KEEP"))</f>
        <v/>
      </c>
      <c r="E9601">
        <f>IF(D9601&lt;&gt;"KEEP","",IF(RIGHT(B9601,10)="@gmail.com","Gmail",IF(OR(RIGHT(B9601,12)="@outlook.com",RIGHT(B9601,12)="@hotmail.com",RIGHT(B9601,9)="@live.com"),"Outlook","Domain")))</f>
        <v/>
      </c>
      <c r="F9601">
        <f>IF(B9601="","",IFERROR(RIGHT(B9601,LEN(B9601)-FIND("@",B9601)),""))</f>
        <v/>
      </c>
      <c r="G9601">
        <f>IF(D9601="KEEP",COUNTIF($D$2:D9601,"KEEP"),"")</f>
        <v/>
      </c>
      <c r="H9601">
        <f>IF(D9601="REMOVE",COUNTIF($D$2:D9601,"REMOVE"),"")</f>
        <v/>
      </c>
      <c r="I9601">
        <f>IF(E9601="Gmail",COUNTIF($E$2:E9601,"Gmail"),"")</f>
        <v/>
      </c>
      <c r="J9601">
        <f>IF(E9601="Outlook",COUNTIF($E$2:E9601,"Outlook"),"")</f>
        <v/>
      </c>
      <c r="K9601">
        <f>IF(E9601="Domain",COUNTIF($E$2:E9601,"Domain"),"")</f>
        <v/>
      </c>
    </row>
    <row r="9602">
      <c r="A9602" s="2" t="n"/>
      <c r="B9602">
        <f>LOWER(TRIM(A9602))</f>
        <v/>
      </c>
      <c r="C9602">
        <f>IF(B9602="","",IFERROR(INDEX('Bad Patterns'!$A$2:$A$120,MATCH(1,INDEX(--ISNUMBER(SEARCH('Bad Patterns'!$A$2:$A$120,B9602)),0),0)),""))</f>
        <v/>
      </c>
      <c r="D9602">
        <f>IF(B9602="","",IF(C9602&lt;&gt;"","REMOVE","KEEP"))</f>
        <v/>
      </c>
      <c r="E9602">
        <f>IF(D9602&lt;&gt;"KEEP","",IF(RIGHT(B9602,10)="@gmail.com","Gmail",IF(OR(RIGHT(B9602,12)="@outlook.com",RIGHT(B9602,12)="@hotmail.com",RIGHT(B9602,9)="@live.com"),"Outlook","Domain")))</f>
        <v/>
      </c>
      <c r="F9602">
        <f>IF(B9602="","",IFERROR(RIGHT(B9602,LEN(B9602)-FIND("@",B9602)),""))</f>
        <v/>
      </c>
      <c r="G9602">
        <f>IF(D9602="KEEP",COUNTIF($D$2:D9602,"KEEP"),"")</f>
        <v/>
      </c>
      <c r="H9602">
        <f>IF(D9602="REMOVE",COUNTIF($D$2:D9602,"REMOVE"),"")</f>
        <v/>
      </c>
      <c r="I9602">
        <f>IF(E9602="Gmail",COUNTIF($E$2:E9602,"Gmail"),"")</f>
        <v/>
      </c>
      <c r="J9602">
        <f>IF(E9602="Outlook",COUNTIF($E$2:E9602,"Outlook"),"")</f>
        <v/>
      </c>
      <c r="K9602">
        <f>IF(E9602="Domain",COUNTIF($E$2:E9602,"Domain"),"")</f>
        <v/>
      </c>
    </row>
    <row r="9603">
      <c r="A9603" s="2" t="n"/>
      <c r="B9603">
        <f>LOWER(TRIM(A9603))</f>
        <v/>
      </c>
      <c r="C9603">
        <f>IF(B9603="","",IFERROR(INDEX('Bad Patterns'!$A$2:$A$120,MATCH(1,INDEX(--ISNUMBER(SEARCH('Bad Patterns'!$A$2:$A$120,B9603)),0),0)),""))</f>
        <v/>
      </c>
      <c r="D9603">
        <f>IF(B9603="","",IF(C9603&lt;&gt;"","REMOVE","KEEP"))</f>
        <v/>
      </c>
      <c r="E9603">
        <f>IF(D9603&lt;&gt;"KEEP","",IF(RIGHT(B9603,10)="@gmail.com","Gmail",IF(OR(RIGHT(B9603,12)="@outlook.com",RIGHT(B9603,12)="@hotmail.com",RIGHT(B9603,9)="@live.com"),"Outlook","Domain")))</f>
        <v/>
      </c>
      <c r="F9603">
        <f>IF(B9603="","",IFERROR(RIGHT(B9603,LEN(B9603)-FIND("@",B9603)),""))</f>
        <v/>
      </c>
      <c r="G9603">
        <f>IF(D9603="KEEP",COUNTIF($D$2:D9603,"KEEP"),"")</f>
        <v/>
      </c>
      <c r="H9603">
        <f>IF(D9603="REMOVE",COUNTIF($D$2:D9603,"REMOVE"),"")</f>
        <v/>
      </c>
      <c r="I9603">
        <f>IF(E9603="Gmail",COUNTIF($E$2:E9603,"Gmail"),"")</f>
        <v/>
      </c>
      <c r="J9603">
        <f>IF(E9603="Outlook",COUNTIF($E$2:E9603,"Outlook"),"")</f>
        <v/>
      </c>
      <c r="K9603">
        <f>IF(E9603="Domain",COUNTIF($E$2:E9603,"Domain"),"")</f>
        <v/>
      </c>
    </row>
    <row r="9604">
      <c r="A9604" s="2" t="n"/>
      <c r="B9604">
        <f>LOWER(TRIM(A9604))</f>
        <v/>
      </c>
      <c r="C9604">
        <f>IF(B9604="","",IFERROR(INDEX('Bad Patterns'!$A$2:$A$120,MATCH(1,INDEX(--ISNUMBER(SEARCH('Bad Patterns'!$A$2:$A$120,B9604)),0),0)),""))</f>
        <v/>
      </c>
      <c r="D9604">
        <f>IF(B9604="","",IF(C9604&lt;&gt;"","REMOVE","KEEP"))</f>
        <v/>
      </c>
      <c r="E9604">
        <f>IF(D9604&lt;&gt;"KEEP","",IF(RIGHT(B9604,10)="@gmail.com","Gmail",IF(OR(RIGHT(B9604,12)="@outlook.com",RIGHT(B9604,12)="@hotmail.com",RIGHT(B9604,9)="@live.com"),"Outlook","Domain")))</f>
        <v/>
      </c>
      <c r="F9604">
        <f>IF(B9604="","",IFERROR(RIGHT(B9604,LEN(B9604)-FIND("@",B9604)),""))</f>
        <v/>
      </c>
      <c r="G9604">
        <f>IF(D9604="KEEP",COUNTIF($D$2:D9604,"KEEP"),"")</f>
        <v/>
      </c>
      <c r="H9604">
        <f>IF(D9604="REMOVE",COUNTIF($D$2:D9604,"REMOVE"),"")</f>
        <v/>
      </c>
      <c r="I9604">
        <f>IF(E9604="Gmail",COUNTIF($E$2:E9604,"Gmail"),"")</f>
        <v/>
      </c>
      <c r="J9604">
        <f>IF(E9604="Outlook",COUNTIF($E$2:E9604,"Outlook"),"")</f>
        <v/>
      </c>
      <c r="K9604">
        <f>IF(E9604="Domain",COUNTIF($E$2:E9604,"Domain"),"")</f>
        <v/>
      </c>
    </row>
    <row r="9605">
      <c r="A9605" s="2" t="n"/>
      <c r="B9605">
        <f>LOWER(TRIM(A9605))</f>
        <v/>
      </c>
      <c r="C9605">
        <f>IF(B9605="","",IFERROR(INDEX('Bad Patterns'!$A$2:$A$120,MATCH(1,INDEX(--ISNUMBER(SEARCH('Bad Patterns'!$A$2:$A$120,B9605)),0),0)),""))</f>
        <v/>
      </c>
      <c r="D9605">
        <f>IF(B9605="","",IF(C9605&lt;&gt;"","REMOVE","KEEP"))</f>
        <v/>
      </c>
      <c r="E9605">
        <f>IF(D9605&lt;&gt;"KEEP","",IF(RIGHT(B9605,10)="@gmail.com","Gmail",IF(OR(RIGHT(B9605,12)="@outlook.com",RIGHT(B9605,12)="@hotmail.com",RIGHT(B9605,9)="@live.com"),"Outlook","Domain")))</f>
        <v/>
      </c>
      <c r="F9605">
        <f>IF(B9605="","",IFERROR(RIGHT(B9605,LEN(B9605)-FIND("@",B9605)),""))</f>
        <v/>
      </c>
      <c r="G9605">
        <f>IF(D9605="KEEP",COUNTIF($D$2:D9605,"KEEP"),"")</f>
        <v/>
      </c>
      <c r="H9605">
        <f>IF(D9605="REMOVE",COUNTIF($D$2:D9605,"REMOVE"),"")</f>
        <v/>
      </c>
      <c r="I9605">
        <f>IF(E9605="Gmail",COUNTIF($E$2:E9605,"Gmail"),"")</f>
        <v/>
      </c>
      <c r="J9605">
        <f>IF(E9605="Outlook",COUNTIF($E$2:E9605,"Outlook"),"")</f>
        <v/>
      </c>
      <c r="K9605">
        <f>IF(E9605="Domain",COUNTIF($E$2:E9605,"Domain"),"")</f>
        <v/>
      </c>
    </row>
    <row r="9606">
      <c r="A9606" s="2" t="n"/>
      <c r="B9606">
        <f>LOWER(TRIM(A9606))</f>
        <v/>
      </c>
      <c r="C9606">
        <f>IF(B9606="","",IFERROR(INDEX('Bad Patterns'!$A$2:$A$120,MATCH(1,INDEX(--ISNUMBER(SEARCH('Bad Patterns'!$A$2:$A$120,B9606)),0),0)),""))</f>
        <v/>
      </c>
      <c r="D9606">
        <f>IF(B9606="","",IF(C9606&lt;&gt;"","REMOVE","KEEP"))</f>
        <v/>
      </c>
      <c r="E9606">
        <f>IF(D9606&lt;&gt;"KEEP","",IF(RIGHT(B9606,10)="@gmail.com","Gmail",IF(OR(RIGHT(B9606,12)="@outlook.com",RIGHT(B9606,12)="@hotmail.com",RIGHT(B9606,9)="@live.com"),"Outlook","Domain")))</f>
        <v/>
      </c>
      <c r="F9606">
        <f>IF(B9606="","",IFERROR(RIGHT(B9606,LEN(B9606)-FIND("@",B9606)),""))</f>
        <v/>
      </c>
      <c r="G9606">
        <f>IF(D9606="KEEP",COUNTIF($D$2:D9606,"KEEP"),"")</f>
        <v/>
      </c>
      <c r="H9606">
        <f>IF(D9606="REMOVE",COUNTIF($D$2:D9606,"REMOVE"),"")</f>
        <v/>
      </c>
      <c r="I9606">
        <f>IF(E9606="Gmail",COUNTIF($E$2:E9606,"Gmail"),"")</f>
        <v/>
      </c>
      <c r="J9606">
        <f>IF(E9606="Outlook",COUNTIF($E$2:E9606,"Outlook"),"")</f>
        <v/>
      </c>
      <c r="K9606">
        <f>IF(E9606="Domain",COUNTIF($E$2:E9606,"Domain"),"")</f>
        <v/>
      </c>
    </row>
    <row r="9607">
      <c r="A9607" s="2" t="n"/>
      <c r="B9607">
        <f>LOWER(TRIM(A9607))</f>
        <v/>
      </c>
      <c r="C9607">
        <f>IF(B9607="","",IFERROR(INDEX('Bad Patterns'!$A$2:$A$120,MATCH(1,INDEX(--ISNUMBER(SEARCH('Bad Patterns'!$A$2:$A$120,B9607)),0),0)),""))</f>
        <v/>
      </c>
      <c r="D9607">
        <f>IF(B9607="","",IF(C9607&lt;&gt;"","REMOVE","KEEP"))</f>
        <v/>
      </c>
      <c r="E9607">
        <f>IF(D9607&lt;&gt;"KEEP","",IF(RIGHT(B9607,10)="@gmail.com","Gmail",IF(OR(RIGHT(B9607,12)="@outlook.com",RIGHT(B9607,12)="@hotmail.com",RIGHT(B9607,9)="@live.com"),"Outlook","Domain")))</f>
        <v/>
      </c>
      <c r="F9607">
        <f>IF(B9607="","",IFERROR(RIGHT(B9607,LEN(B9607)-FIND("@",B9607)),""))</f>
        <v/>
      </c>
      <c r="G9607">
        <f>IF(D9607="KEEP",COUNTIF($D$2:D9607,"KEEP"),"")</f>
        <v/>
      </c>
      <c r="H9607">
        <f>IF(D9607="REMOVE",COUNTIF($D$2:D9607,"REMOVE"),"")</f>
        <v/>
      </c>
      <c r="I9607">
        <f>IF(E9607="Gmail",COUNTIF($E$2:E9607,"Gmail"),"")</f>
        <v/>
      </c>
      <c r="J9607">
        <f>IF(E9607="Outlook",COUNTIF($E$2:E9607,"Outlook"),"")</f>
        <v/>
      </c>
      <c r="K9607">
        <f>IF(E9607="Domain",COUNTIF($E$2:E9607,"Domain"),"")</f>
        <v/>
      </c>
    </row>
    <row r="9608">
      <c r="A9608" s="2" t="n"/>
      <c r="B9608">
        <f>LOWER(TRIM(A9608))</f>
        <v/>
      </c>
      <c r="C9608">
        <f>IF(B9608="","",IFERROR(INDEX('Bad Patterns'!$A$2:$A$120,MATCH(1,INDEX(--ISNUMBER(SEARCH('Bad Patterns'!$A$2:$A$120,B9608)),0),0)),""))</f>
        <v/>
      </c>
      <c r="D9608">
        <f>IF(B9608="","",IF(C9608&lt;&gt;"","REMOVE","KEEP"))</f>
        <v/>
      </c>
      <c r="E9608">
        <f>IF(D9608&lt;&gt;"KEEP","",IF(RIGHT(B9608,10)="@gmail.com","Gmail",IF(OR(RIGHT(B9608,12)="@outlook.com",RIGHT(B9608,12)="@hotmail.com",RIGHT(B9608,9)="@live.com"),"Outlook","Domain")))</f>
        <v/>
      </c>
      <c r="F9608">
        <f>IF(B9608="","",IFERROR(RIGHT(B9608,LEN(B9608)-FIND("@",B9608)),""))</f>
        <v/>
      </c>
      <c r="G9608">
        <f>IF(D9608="KEEP",COUNTIF($D$2:D9608,"KEEP"),"")</f>
        <v/>
      </c>
      <c r="H9608">
        <f>IF(D9608="REMOVE",COUNTIF($D$2:D9608,"REMOVE"),"")</f>
        <v/>
      </c>
      <c r="I9608">
        <f>IF(E9608="Gmail",COUNTIF($E$2:E9608,"Gmail"),"")</f>
        <v/>
      </c>
      <c r="J9608">
        <f>IF(E9608="Outlook",COUNTIF($E$2:E9608,"Outlook"),"")</f>
        <v/>
      </c>
      <c r="K9608">
        <f>IF(E9608="Domain",COUNTIF($E$2:E9608,"Domain"),"")</f>
        <v/>
      </c>
    </row>
    <row r="9609">
      <c r="A9609" s="2" t="n"/>
      <c r="B9609">
        <f>LOWER(TRIM(A9609))</f>
        <v/>
      </c>
      <c r="C9609">
        <f>IF(B9609="","",IFERROR(INDEX('Bad Patterns'!$A$2:$A$120,MATCH(1,INDEX(--ISNUMBER(SEARCH('Bad Patterns'!$A$2:$A$120,B9609)),0),0)),""))</f>
        <v/>
      </c>
      <c r="D9609">
        <f>IF(B9609="","",IF(C9609&lt;&gt;"","REMOVE","KEEP"))</f>
        <v/>
      </c>
      <c r="E9609">
        <f>IF(D9609&lt;&gt;"KEEP","",IF(RIGHT(B9609,10)="@gmail.com","Gmail",IF(OR(RIGHT(B9609,12)="@outlook.com",RIGHT(B9609,12)="@hotmail.com",RIGHT(B9609,9)="@live.com"),"Outlook","Domain")))</f>
        <v/>
      </c>
      <c r="F9609">
        <f>IF(B9609="","",IFERROR(RIGHT(B9609,LEN(B9609)-FIND("@",B9609)),""))</f>
        <v/>
      </c>
      <c r="G9609">
        <f>IF(D9609="KEEP",COUNTIF($D$2:D9609,"KEEP"),"")</f>
        <v/>
      </c>
      <c r="H9609">
        <f>IF(D9609="REMOVE",COUNTIF($D$2:D9609,"REMOVE"),"")</f>
        <v/>
      </c>
      <c r="I9609">
        <f>IF(E9609="Gmail",COUNTIF($E$2:E9609,"Gmail"),"")</f>
        <v/>
      </c>
      <c r="J9609">
        <f>IF(E9609="Outlook",COUNTIF($E$2:E9609,"Outlook"),"")</f>
        <v/>
      </c>
      <c r="K9609">
        <f>IF(E9609="Domain",COUNTIF($E$2:E9609,"Domain"),"")</f>
        <v/>
      </c>
    </row>
    <row r="9610">
      <c r="A9610" s="2" t="n"/>
      <c r="B9610">
        <f>LOWER(TRIM(A9610))</f>
        <v/>
      </c>
      <c r="C9610">
        <f>IF(B9610="","",IFERROR(INDEX('Bad Patterns'!$A$2:$A$120,MATCH(1,INDEX(--ISNUMBER(SEARCH('Bad Patterns'!$A$2:$A$120,B9610)),0),0)),""))</f>
        <v/>
      </c>
      <c r="D9610">
        <f>IF(B9610="","",IF(C9610&lt;&gt;"","REMOVE","KEEP"))</f>
        <v/>
      </c>
      <c r="E9610">
        <f>IF(D9610&lt;&gt;"KEEP","",IF(RIGHT(B9610,10)="@gmail.com","Gmail",IF(OR(RIGHT(B9610,12)="@outlook.com",RIGHT(B9610,12)="@hotmail.com",RIGHT(B9610,9)="@live.com"),"Outlook","Domain")))</f>
        <v/>
      </c>
      <c r="F9610">
        <f>IF(B9610="","",IFERROR(RIGHT(B9610,LEN(B9610)-FIND("@",B9610)),""))</f>
        <v/>
      </c>
      <c r="G9610">
        <f>IF(D9610="KEEP",COUNTIF($D$2:D9610,"KEEP"),"")</f>
        <v/>
      </c>
      <c r="H9610">
        <f>IF(D9610="REMOVE",COUNTIF($D$2:D9610,"REMOVE"),"")</f>
        <v/>
      </c>
      <c r="I9610">
        <f>IF(E9610="Gmail",COUNTIF($E$2:E9610,"Gmail"),"")</f>
        <v/>
      </c>
      <c r="J9610">
        <f>IF(E9610="Outlook",COUNTIF($E$2:E9610,"Outlook"),"")</f>
        <v/>
      </c>
      <c r="K9610">
        <f>IF(E9610="Domain",COUNTIF($E$2:E9610,"Domain"),"")</f>
        <v/>
      </c>
    </row>
    <row r="9611">
      <c r="A9611" s="2" t="n"/>
      <c r="B9611">
        <f>LOWER(TRIM(A9611))</f>
        <v/>
      </c>
      <c r="C9611">
        <f>IF(B9611="","",IFERROR(INDEX('Bad Patterns'!$A$2:$A$120,MATCH(1,INDEX(--ISNUMBER(SEARCH('Bad Patterns'!$A$2:$A$120,B9611)),0),0)),""))</f>
        <v/>
      </c>
      <c r="D9611">
        <f>IF(B9611="","",IF(C9611&lt;&gt;"","REMOVE","KEEP"))</f>
        <v/>
      </c>
      <c r="E9611">
        <f>IF(D9611&lt;&gt;"KEEP","",IF(RIGHT(B9611,10)="@gmail.com","Gmail",IF(OR(RIGHT(B9611,12)="@outlook.com",RIGHT(B9611,12)="@hotmail.com",RIGHT(B9611,9)="@live.com"),"Outlook","Domain")))</f>
        <v/>
      </c>
      <c r="F9611">
        <f>IF(B9611="","",IFERROR(RIGHT(B9611,LEN(B9611)-FIND("@",B9611)),""))</f>
        <v/>
      </c>
      <c r="G9611">
        <f>IF(D9611="KEEP",COUNTIF($D$2:D9611,"KEEP"),"")</f>
        <v/>
      </c>
      <c r="H9611">
        <f>IF(D9611="REMOVE",COUNTIF($D$2:D9611,"REMOVE"),"")</f>
        <v/>
      </c>
      <c r="I9611">
        <f>IF(E9611="Gmail",COUNTIF($E$2:E9611,"Gmail"),"")</f>
        <v/>
      </c>
      <c r="J9611">
        <f>IF(E9611="Outlook",COUNTIF($E$2:E9611,"Outlook"),"")</f>
        <v/>
      </c>
      <c r="K9611">
        <f>IF(E9611="Domain",COUNTIF($E$2:E9611,"Domain"),"")</f>
        <v/>
      </c>
    </row>
    <row r="9612">
      <c r="A9612" s="2" t="n"/>
      <c r="B9612">
        <f>LOWER(TRIM(A9612))</f>
        <v/>
      </c>
      <c r="C9612">
        <f>IF(B9612="","",IFERROR(INDEX('Bad Patterns'!$A$2:$A$120,MATCH(1,INDEX(--ISNUMBER(SEARCH('Bad Patterns'!$A$2:$A$120,B9612)),0),0)),""))</f>
        <v/>
      </c>
      <c r="D9612">
        <f>IF(B9612="","",IF(C9612&lt;&gt;"","REMOVE","KEEP"))</f>
        <v/>
      </c>
      <c r="E9612">
        <f>IF(D9612&lt;&gt;"KEEP","",IF(RIGHT(B9612,10)="@gmail.com","Gmail",IF(OR(RIGHT(B9612,12)="@outlook.com",RIGHT(B9612,12)="@hotmail.com",RIGHT(B9612,9)="@live.com"),"Outlook","Domain")))</f>
        <v/>
      </c>
      <c r="F9612">
        <f>IF(B9612="","",IFERROR(RIGHT(B9612,LEN(B9612)-FIND("@",B9612)),""))</f>
        <v/>
      </c>
      <c r="G9612">
        <f>IF(D9612="KEEP",COUNTIF($D$2:D9612,"KEEP"),"")</f>
        <v/>
      </c>
      <c r="H9612">
        <f>IF(D9612="REMOVE",COUNTIF($D$2:D9612,"REMOVE"),"")</f>
        <v/>
      </c>
      <c r="I9612">
        <f>IF(E9612="Gmail",COUNTIF($E$2:E9612,"Gmail"),"")</f>
        <v/>
      </c>
      <c r="J9612">
        <f>IF(E9612="Outlook",COUNTIF($E$2:E9612,"Outlook"),"")</f>
        <v/>
      </c>
      <c r="K9612">
        <f>IF(E9612="Domain",COUNTIF($E$2:E9612,"Domain"),"")</f>
        <v/>
      </c>
    </row>
    <row r="9613">
      <c r="A9613" s="2" t="n"/>
      <c r="B9613">
        <f>LOWER(TRIM(A9613))</f>
        <v/>
      </c>
      <c r="C9613">
        <f>IF(B9613="","",IFERROR(INDEX('Bad Patterns'!$A$2:$A$120,MATCH(1,INDEX(--ISNUMBER(SEARCH('Bad Patterns'!$A$2:$A$120,B9613)),0),0)),""))</f>
        <v/>
      </c>
      <c r="D9613">
        <f>IF(B9613="","",IF(C9613&lt;&gt;"","REMOVE","KEEP"))</f>
        <v/>
      </c>
      <c r="E9613">
        <f>IF(D9613&lt;&gt;"KEEP","",IF(RIGHT(B9613,10)="@gmail.com","Gmail",IF(OR(RIGHT(B9613,12)="@outlook.com",RIGHT(B9613,12)="@hotmail.com",RIGHT(B9613,9)="@live.com"),"Outlook","Domain")))</f>
        <v/>
      </c>
      <c r="F9613">
        <f>IF(B9613="","",IFERROR(RIGHT(B9613,LEN(B9613)-FIND("@",B9613)),""))</f>
        <v/>
      </c>
      <c r="G9613">
        <f>IF(D9613="KEEP",COUNTIF($D$2:D9613,"KEEP"),"")</f>
        <v/>
      </c>
      <c r="H9613">
        <f>IF(D9613="REMOVE",COUNTIF($D$2:D9613,"REMOVE"),"")</f>
        <v/>
      </c>
      <c r="I9613">
        <f>IF(E9613="Gmail",COUNTIF($E$2:E9613,"Gmail"),"")</f>
        <v/>
      </c>
      <c r="J9613">
        <f>IF(E9613="Outlook",COUNTIF($E$2:E9613,"Outlook"),"")</f>
        <v/>
      </c>
      <c r="K9613">
        <f>IF(E9613="Domain",COUNTIF($E$2:E9613,"Domain"),"")</f>
        <v/>
      </c>
    </row>
    <row r="9614">
      <c r="A9614" s="2" t="n"/>
      <c r="B9614">
        <f>LOWER(TRIM(A9614))</f>
        <v/>
      </c>
      <c r="C9614">
        <f>IF(B9614="","",IFERROR(INDEX('Bad Patterns'!$A$2:$A$120,MATCH(1,INDEX(--ISNUMBER(SEARCH('Bad Patterns'!$A$2:$A$120,B9614)),0),0)),""))</f>
        <v/>
      </c>
      <c r="D9614">
        <f>IF(B9614="","",IF(C9614&lt;&gt;"","REMOVE","KEEP"))</f>
        <v/>
      </c>
      <c r="E9614">
        <f>IF(D9614&lt;&gt;"KEEP","",IF(RIGHT(B9614,10)="@gmail.com","Gmail",IF(OR(RIGHT(B9614,12)="@outlook.com",RIGHT(B9614,12)="@hotmail.com",RIGHT(B9614,9)="@live.com"),"Outlook","Domain")))</f>
        <v/>
      </c>
      <c r="F9614">
        <f>IF(B9614="","",IFERROR(RIGHT(B9614,LEN(B9614)-FIND("@",B9614)),""))</f>
        <v/>
      </c>
      <c r="G9614">
        <f>IF(D9614="KEEP",COUNTIF($D$2:D9614,"KEEP"),"")</f>
        <v/>
      </c>
      <c r="H9614">
        <f>IF(D9614="REMOVE",COUNTIF($D$2:D9614,"REMOVE"),"")</f>
        <v/>
      </c>
      <c r="I9614">
        <f>IF(E9614="Gmail",COUNTIF($E$2:E9614,"Gmail"),"")</f>
        <v/>
      </c>
      <c r="J9614">
        <f>IF(E9614="Outlook",COUNTIF($E$2:E9614,"Outlook"),"")</f>
        <v/>
      </c>
      <c r="K9614">
        <f>IF(E9614="Domain",COUNTIF($E$2:E9614,"Domain"),"")</f>
        <v/>
      </c>
    </row>
    <row r="9615">
      <c r="A9615" s="2" t="n"/>
      <c r="B9615">
        <f>LOWER(TRIM(A9615))</f>
        <v/>
      </c>
      <c r="C9615">
        <f>IF(B9615="","",IFERROR(INDEX('Bad Patterns'!$A$2:$A$120,MATCH(1,INDEX(--ISNUMBER(SEARCH('Bad Patterns'!$A$2:$A$120,B9615)),0),0)),""))</f>
        <v/>
      </c>
      <c r="D9615">
        <f>IF(B9615="","",IF(C9615&lt;&gt;"","REMOVE","KEEP"))</f>
        <v/>
      </c>
      <c r="E9615">
        <f>IF(D9615&lt;&gt;"KEEP","",IF(RIGHT(B9615,10)="@gmail.com","Gmail",IF(OR(RIGHT(B9615,12)="@outlook.com",RIGHT(B9615,12)="@hotmail.com",RIGHT(B9615,9)="@live.com"),"Outlook","Domain")))</f>
        <v/>
      </c>
      <c r="F9615">
        <f>IF(B9615="","",IFERROR(RIGHT(B9615,LEN(B9615)-FIND("@",B9615)),""))</f>
        <v/>
      </c>
      <c r="G9615">
        <f>IF(D9615="KEEP",COUNTIF($D$2:D9615,"KEEP"),"")</f>
        <v/>
      </c>
      <c r="H9615">
        <f>IF(D9615="REMOVE",COUNTIF($D$2:D9615,"REMOVE"),"")</f>
        <v/>
      </c>
      <c r="I9615">
        <f>IF(E9615="Gmail",COUNTIF($E$2:E9615,"Gmail"),"")</f>
        <v/>
      </c>
      <c r="J9615">
        <f>IF(E9615="Outlook",COUNTIF($E$2:E9615,"Outlook"),"")</f>
        <v/>
      </c>
      <c r="K9615">
        <f>IF(E9615="Domain",COUNTIF($E$2:E9615,"Domain"),"")</f>
        <v/>
      </c>
    </row>
    <row r="9616">
      <c r="A9616" s="2" t="n"/>
      <c r="B9616">
        <f>LOWER(TRIM(A9616))</f>
        <v/>
      </c>
      <c r="C9616">
        <f>IF(B9616="","",IFERROR(INDEX('Bad Patterns'!$A$2:$A$120,MATCH(1,INDEX(--ISNUMBER(SEARCH('Bad Patterns'!$A$2:$A$120,B9616)),0),0)),""))</f>
        <v/>
      </c>
      <c r="D9616">
        <f>IF(B9616="","",IF(C9616&lt;&gt;"","REMOVE","KEEP"))</f>
        <v/>
      </c>
      <c r="E9616">
        <f>IF(D9616&lt;&gt;"KEEP","",IF(RIGHT(B9616,10)="@gmail.com","Gmail",IF(OR(RIGHT(B9616,12)="@outlook.com",RIGHT(B9616,12)="@hotmail.com",RIGHT(B9616,9)="@live.com"),"Outlook","Domain")))</f>
        <v/>
      </c>
      <c r="F9616">
        <f>IF(B9616="","",IFERROR(RIGHT(B9616,LEN(B9616)-FIND("@",B9616)),""))</f>
        <v/>
      </c>
      <c r="G9616">
        <f>IF(D9616="KEEP",COUNTIF($D$2:D9616,"KEEP"),"")</f>
        <v/>
      </c>
      <c r="H9616">
        <f>IF(D9616="REMOVE",COUNTIF($D$2:D9616,"REMOVE"),"")</f>
        <v/>
      </c>
      <c r="I9616">
        <f>IF(E9616="Gmail",COUNTIF($E$2:E9616,"Gmail"),"")</f>
        <v/>
      </c>
      <c r="J9616">
        <f>IF(E9616="Outlook",COUNTIF($E$2:E9616,"Outlook"),"")</f>
        <v/>
      </c>
      <c r="K9616">
        <f>IF(E9616="Domain",COUNTIF($E$2:E9616,"Domain"),"")</f>
        <v/>
      </c>
    </row>
    <row r="9617">
      <c r="A9617" s="2" t="n"/>
      <c r="B9617">
        <f>LOWER(TRIM(A9617))</f>
        <v/>
      </c>
      <c r="C9617">
        <f>IF(B9617="","",IFERROR(INDEX('Bad Patterns'!$A$2:$A$120,MATCH(1,INDEX(--ISNUMBER(SEARCH('Bad Patterns'!$A$2:$A$120,B9617)),0),0)),""))</f>
        <v/>
      </c>
      <c r="D9617">
        <f>IF(B9617="","",IF(C9617&lt;&gt;"","REMOVE","KEEP"))</f>
        <v/>
      </c>
      <c r="E9617">
        <f>IF(D9617&lt;&gt;"KEEP","",IF(RIGHT(B9617,10)="@gmail.com","Gmail",IF(OR(RIGHT(B9617,12)="@outlook.com",RIGHT(B9617,12)="@hotmail.com",RIGHT(B9617,9)="@live.com"),"Outlook","Domain")))</f>
        <v/>
      </c>
      <c r="F9617">
        <f>IF(B9617="","",IFERROR(RIGHT(B9617,LEN(B9617)-FIND("@",B9617)),""))</f>
        <v/>
      </c>
      <c r="G9617">
        <f>IF(D9617="KEEP",COUNTIF($D$2:D9617,"KEEP"),"")</f>
        <v/>
      </c>
      <c r="H9617">
        <f>IF(D9617="REMOVE",COUNTIF($D$2:D9617,"REMOVE"),"")</f>
        <v/>
      </c>
      <c r="I9617">
        <f>IF(E9617="Gmail",COUNTIF($E$2:E9617,"Gmail"),"")</f>
        <v/>
      </c>
      <c r="J9617">
        <f>IF(E9617="Outlook",COUNTIF($E$2:E9617,"Outlook"),"")</f>
        <v/>
      </c>
      <c r="K9617">
        <f>IF(E9617="Domain",COUNTIF($E$2:E9617,"Domain"),"")</f>
        <v/>
      </c>
    </row>
    <row r="9618">
      <c r="A9618" s="2" t="n"/>
      <c r="B9618">
        <f>LOWER(TRIM(A9618))</f>
        <v/>
      </c>
      <c r="C9618">
        <f>IF(B9618="","",IFERROR(INDEX('Bad Patterns'!$A$2:$A$120,MATCH(1,INDEX(--ISNUMBER(SEARCH('Bad Patterns'!$A$2:$A$120,B9618)),0),0)),""))</f>
        <v/>
      </c>
      <c r="D9618">
        <f>IF(B9618="","",IF(C9618&lt;&gt;"","REMOVE","KEEP"))</f>
        <v/>
      </c>
      <c r="E9618">
        <f>IF(D9618&lt;&gt;"KEEP","",IF(RIGHT(B9618,10)="@gmail.com","Gmail",IF(OR(RIGHT(B9618,12)="@outlook.com",RIGHT(B9618,12)="@hotmail.com",RIGHT(B9618,9)="@live.com"),"Outlook","Domain")))</f>
        <v/>
      </c>
      <c r="F9618">
        <f>IF(B9618="","",IFERROR(RIGHT(B9618,LEN(B9618)-FIND("@",B9618)),""))</f>
        <v/>
      </c>
      <c r="G9618">
        <f>IF(D9618="KEEP",COUNTIF($D$2:D9618,"KEEP"),"")</f>
        <v/>
      </c>
      <c r="H9618">
        <f>IF(D9618="REMOVE",COUNTIF($D$2:D9618,"REMOVE"),"")</f>
        <v/>
      </c>
      <c r="I9618">
        <f>IF(E9618="Gmail",COUNTIF($E$2:E9618,"Gmail"),"")</f>
        <v/>
      </c>
      <c r="J9618">
        <f>IF(E9618="Outlook",COUNTIF($E$2:E9618,"Outlook"),"")</f>
        <v/>
      </c>
      <c r="K9618">
        <f>IF(E9618="Domain",COUNTIF($E$2:E9618,"Domain"),"")</f>
        <v/>
      </c>
    </row>
    <row r="9619">
      <c r="A9619" s="2" t="n"/>
      <c r="B9619">
        <f>LOWER(TRIM(A9619))</f>
        <v/>
      </c>
      <c r="C9619">
        <f>IF(B9619="","",IFERROR(INDEX('Bad Patterns'!$A$2:$A$120,MATCH(1,INDEX(--ISNUMBER(SEARCH('Bad Patterns'!$A$2:$A$120,B9619)),0),0)),""))</f>
        <v/>
      </c>
      <c r="D9619">
        <f>IF(B9619="","",IF(C9619&lt;&gt;"","REMOVE","KEEP"))</f>
        <v/>
      </c>
      <c r="E9619">
        <f>IF(D9619&lt;&gt;"KEEP","",IF(RIGHT(B9619,10)="@gmail.com","Gmail",IF(OR(RIGHT(B9619,12)="@outlook.com",RIGHT(B9619,12)="@hotmail.com",RIGHT(B9619,9)="@live.com"),"Outlook","Domain")))</f>
        <v/>
      </c>
      <c r="F9619">
        <f>IF(B9619="","",IFERROR(RIGHT(B9619,LEN(B9619)-FIND("@",B9619)),""))</f>
        <v/>
      </c>
      <c r="G9619">
        <f>IF(D9619="KEEP",COUNTIF($D$2:D9619,"KEEP"),"")</f>
        <v/>
      </c>
      <c r="H9619">
        <f>IF(D9619="REMOVE",COUNTIF($D$2:D9619,"REMOVE"),"")</f>
        <v/>
      </c>
      <c r="I9619">
        <f>IF(E9619="Gmail",COUNTIF($E$2:E9619,"Gmail"),"")</f>
        <v/>
      </c>
      <c r="J9619">
        <f>IF(E9619="Outlook",COUNTIF($E$2:E9619,"Outlook"),"")</f>
        <v/>
      </c>
      <c r="K9619">
        <f>IF(E9619="Domain",COUNTIF($E$2:E9619,"Domain"),"")</f>
        <v/>
      </c>
    </row>
    <row r="9620">
      <c r="A9620" s="2" t="n"/>
      <c r="B9620">
        <f>LOWER(TRIM(A9620))</f>
        <v/>
      </c>
      <c r="C9620">
        <f>IF(B9620="","",IFERROR(INDEX('Bad Patterns'!$A$2:$A$120,MATCH(1,INDEX(--ISNUMBER(SEARCH('Bad Patterns'!$A$2:$A$120,B9620)),0),0)),""))</f>
        <v/>
      </c>
      <c r="D9620">
        <f>IF(B9620="","",IF(C9620&lt;&gt;"","REMOVE","KEEP"))</f>
        <v/>
      </c>
      <c r="E9620">
        <f>IF(D9620&lt;&gt;"KEEP","",IF(RIGHT(B9620,10)="@gmail.com","Gmail",IF(OR(RIGHT(B9620,12)="@outlook.com",RIGHT(B9620,12)="@hotmail.com",RIGHT(B9620,9)="@live.com"),"Outlook","Domain")))</f>
        <v/>
      </c>
      <c r="F9620">
        <f>IF(B9620="","",IFERROR(RIGHT(B9620,LEN(B9620)-FIND("@",B9620)),""))</f>
        <v/>
      </c>
      <c r="G9620">
        <f>IF(D9620="KEEP",COUNTIF($D$2:D9620,"KEEP"),"")</f>
        <v/>
      </c>
      <c r="H9620">
        <f>IF(D9620="REMOVE",COUNTIF($D$2:D9620,"REMOVE"),"")</f>
        <v/>
      </c>
      <c r="I9620">
        <f>IF(E9620="Gmail",COUNTIF($E$2:E9620,"Gmail"),"")</f>
        <v/>
      </c>
      <c r="J9620">
        <f>IF(E9620="Outlook",COUNTIF($E$2:E9620,"Outlook"),"")</f>
        <v/>
      </c>
      <c r="K9620">
        <f>IF(E9620="Domain",COUNTIF($E$2:E9620,"Domain"),"")</f>
        <v/>
      </c>
    </row>
    <row r="9621">
      <c r="A9621" s="2" t="n"/>
      <c r="B9621">
        <f>LOWER(TRIM(A9621))</f>
        <v/>
      </c>
      <c r="C9621">
        <f>IF(B9621="","",IFERROR(INDEX('Bad Patterns'!$A$2:$A$120,MATCH(1,INDEX(--ISNUMBER(SEARCH('Bad Patterns'!$A$2:$A$120,B9621)),0),0)),""))</f>
        <v/>
      </c>
      <c r="D9621">
        <f>IF(B9621="","",IF(C9621&lt;&gt;"","REMOVE","KEEP"))</f>
        <v/>
      </c>
      <c r="E9621">
        <f>IF(D9621&lt;&gt;"KEEP","",IF(RIGHT(B9621,10)="@gmail.com","Gmail",IF(OR(RIGHT(B9621,12)="@outlook.com",RIGHT(B9621,12)="@hotmail.com",RIGHT(B9621,9)="@live.com"),"Outlook","Domain")))</f>
        <v/>
      </c>
      <c r="F9621">
        <f>IF(B9621="","",IFERROR(RIGHT(B9621,LEN(B9621)-FIND("@",B9621)),""))</f>
        <v/>
      </c>
      <c r="G9621">
        <f>IF(D9621="KEEP",COUNTIF($D$2:D9621,"KEEP"),"")</f>
        <v/>
      </c>
      <c r="H9621">
        <f>IF(D9621="REMOVE",COUNTIF($D$2:D9621,"REMOVE"),"")</f>
        <v/>
      </c>
      <c r="I9621">
        <f>IF(E9621="Gmail",COUNTIF($E$2:E9621,"Gmail"),"")</f>
        <v/>
      </c>
      <c r="J9621">
        <f>IF(E9621="Outlook",COUNTIF($E$2:E9621,"Outlook"),"")</f>
        <v/>
      </c>
      <c r="K9621">
        <f>IF(E9621="Domain",COUNTIF($E$2:E9621,"Domain"),"")</f>
        <v/>
      </c>
    </row>
    <row r="9622">
      <c r="A9622" s="2" t="n"/>
      <c r="B9622">
        <f>LOWER(TRIM(A9622))</f>
        <v/>
      </c>
      <c r="C9622">
        <f>IF(B9622="","",IFERROR(INDEX('Bad Patterns'!$A$2:$A$120,MATCH(1,INDEX(--ISNUMBER(SEARCH('Bad Patterns'!$A$2:$A$120,B9622)),0),0)),""))</f>
        <v/>
      </c>
      <c r="D9622">
        <f>IF(B9622="","",IF(C9622&lt;&gt;"","REMOVE","KEEP"))</f>
        <v/>
      </c>
      <c r="E9622">
        <f>IF(D9622&lt;&gt;"KEEP","",IF(RIGHT(B9622,10)="@gmail.com","Gmail",IF(OR(RIGHT(B9622,12)="@outlook.com",RIGHT(B9622,12)="@hotmail.com",RIGHT(B9622,9)="@live.com"),"Outlook","Domain")))</f>
        <v/>
      </c>
      <c r="F9622">
        <f>IF(B9622="","",IFERROR(RIGHT(B9622,LEN(B9622)-FIND("@",B9622)),""))</f>
        <v/>
      </c>
      <c r="G9622">
        <f>IF(D9622="KEEP",COUNTIF($D$2:D9622,"KEEP"),"")</f>
        <v/>
      </c>
      <c r="H9622">
        <f>IF(D9622="REMOVE",COUNTIF($D$2:D9622,"REMOVE"),"")</f>
        <v/>
      </c>
      <c r="I9622">
        <f>IF(E9622="Gmail",COUNTIF($E$2:E9622,"Gmail"),"")</f>
        <v/>
      </c>
      <c r="J9622">
        <f>IF(E9622="Outlook",COUNTIF($E$2:E9622,"Outlook"),"")</f>
        <v/>
      </c>
      <c r="K9622">
        <f>IF(E9622="Domain",COUNTIF($E$2:E9622,"Domain"),"")</f>
        <v/>
      </c>
    </row>
    <row r="9623">
      <c r="A9623" s="2" t="n"/>
      <c r="B9623">
        <f>LOWER(TRIM(A9623))</f>
        <v/>
      </c>
      <c r="C9623">
        <f>IF(B9623="","",IFERROR(INDEX('Bad Patterns'!$A$2:$A$120,MATCH(1,INDEX(--ISNUMBER(SEARCH('Bad Patterns'!$A$2:$A$120,B9623)),0),0)),""))</f>
        <v/>
      </c>
      <c r="D9623">
        <f>IF(B9623="","",IF(C9623&lt;&gt;"","REMOVE","KEEP"))</f>
        <v/>
      </c>
      <c r="E9623">
        <f>IF(D9623&lt;&gt;"KEEP","",IF(RIGHT(B9623,10)="@gmail.com","Gmail",IF(OR(RIGHT(B9623,12)="@outlook.com",RIGHT(B9623,12)="@hotmail.com",RIGHT(B9623,9)="@live.com"),"Outlook","Domain")))</f>
        <v/>
      </c>
      <c r="F9623">
        <f>IF(B9623="","",IFERROR(RIGHT(B9623,LEN(B9623)-FIND("@",B9623)),""))</f>
        <v/>
      </c>
      <c r="G9623">
        <f>IF(D9623="KEEP",COUNTIF($D$2:D9623,"KEEP"),"")</f>
        <v/>
      </c>
      <c r="H9623">
        <f>IF(D9623="REMOVE",COUNTIF($D$2:D9623,"REMOVE"),"")</f>
        <v/>
      </c>
      <c r="I9623">
        <f>IF(E9623="Gmail",COUNTIF($E$2:E9623,"Gmail"),"")</f>
        <v/>
      </c>
      <c r="J9623">
        <f>IF(E9623="Outlook",COUNTIF($E$2:E9623,"Outlook"),"")</f>
        <v/>
      </c>
      <c r="K9623">
        <f>IF(E9623="Domain",COUNTIF($E$2:E9623,"Domain"),"")</f>
        <v/>
      </c>
    </row>
    <row r="9624">
      <c r="A9624" s="2" t="n"/>
      <c r="B9624">
        <f>LOWER(TRIM(A9624))</f>
        <v/>
      </c>
      <c r="C9624">
        <f>IF(B9624="","",IFERROR(INDEX('Bad Patterns'!$A$2:$A$120,MATCH(1,INDEX(--ISNUMBER(SEARCH('Bad Patterns'!$A$2:$A$120,B9624)),0),0)),""))</f>
        <v/>
      </c>
      <c r="D9624">
        <f>IF(B9624="","",IF(C9624&lt;&gt;"","REMOVE","KEEP"))</f>
        <v/>
      </c>
      <c r="E9624">
        <f>IF(D9624&lt;&gt;"KEEP","",IF(RIGHT(B9624,10)="@gmail.com","Gmail",IF(OR(RIGHT(B9624,12)="@outlook.com",RIGHT(B9624,12)="@hotmail.com",RIGHT(B9624,9)="@live.com"),"Outlook","Domain")))</f>
        <v/>
      </c>
      <c r="F9624">
        <f>IF(B9624="","",IFERROR(RIGHT(B9624,LEN(B9624)-FIND("@",B9624)),""))</f>
        <v/>
      </c>
      <c r="G9624">
        <f>IF(D9624="KEEP",COUNTIF($D$2:D9624,"KEEP"),"")</f>
        <v/>
      </c>
      <c r="H9624">
        <f>IF(D9624="REMOVE",COUNTIF($D$2:D9624,"REMOVE"),"")</f>
        <v/>
      </c>
      <c r="I9624">
        <f>IF(E9624="Gmail",COUNTIF($E$2:E9624,"Gmail"),"")</f>
        <v/>
      </c>
      <c r="J9624">
        <f>IF(E9624="Outlook",COUNTIF($E$2:E9624,"Outlook"),"")</f>
        <v/>
      </c>
      <c r="K9624">
        <f>IF(E9624="Domain",COUNTIF($E$2:E9624,"Domain"),"")</f>
        <v/>
      </c>
    </row>
    <row r="9625">
      <c r="A9625" s="2" t="n"/>
      <c r="B9625">
        <f>LOWER(TRIM(A9625))</f>
        <v/>
      </c>
      <c r="C9625">
        <f>IF(B9625="","",IFERROR(INDEX('Bad Patterns'!$A$2:$A$120,MATCH(1,INDEX(--ISNUMBER(SEARCH('Bad Patterns'!$A$2:$A$120,B9625)),0),0)),""))</f>
        <v/>
      </c>
      <c r="D9625">
        <f>IF(B9625="","",IF(C9625&lt;&gt;"","REMOVE","KEEP"))</f>
        <v/>
      </c>
      <c r="E9625">
        <f>IF(D9625&lt;&gt;"KEEP","",IF(RIGHT(B9625,10)="@gmail.com","Gmail",IF(OR(RIGHT(B9625,12)="@outlook.com",RIGHT(B9625,12)="@hotmail.com",RIGHT(B9625,9)="@live.com"),"Outlook","Domain")))</f>
        <v/>
      </c>
      <c r="F9625">
        <f>IF(B9625="","",IFERROR(RIGHT(B9625,LEN(B9625)-FIND("@",B9625)),""))</f>
        <v/>
      </c>
      <c r="G9625">
        <f>IF(D9625="KEEP",COUNTIF($D$2:D9625,"KEEP"),"")</f>
        <v/>
      </c>
      <c r="H9625">
        <f>IF(D9625="REMOVE",COUNTIF($D$2:D9625,"REMOVE"),"")</f>
        <v/>
      </c>
      <c r="I9625">
        <f>IF(E9625="Gmail",COUNTIF($E$2:E9625,"Gmail"),"")</f>
        <v/>
      </c>
      <c r="J9625">
        <f>IF(E9625="Outlook",COUNTIF($E$2:E9625,"Outlook"),"")</f>
        <v/>
      </c>
      <c r="K9625">
        <f>IF(E9625="Domain",COUNTIF($E$2:E9625,"Domain"),"")</f>
        <v/>
      </c>
    </row>
    <row r="9626">
      <c r="A9626" s="2" t="n"/>
      <c r="B9626">
        <f>LOWER(TRIM(A9626))</f>
        <v/>
      </c>
      <c r="C9626">
        <f>IF(B9626="","",IFERROR(INDEX('Bad Patterns'!$A$2:$A$120,MATCH(1,INDEX(--ISNUMBER(SEARCH('Bad Patterns'!$A$2:$A$120,B9626)),0),0)),""))</f>
        <v/>
      </c>
      <c r="D9626">
        <f>IF(B9626="","",IF(C9626&lt;&gt;"","REMOVE","KEEP"))</f>
        <v/>
      </c>
      <c r="E9626">
        <f>IF(D9626&lt;&gt;"KEEP","",IF(RIGHT(B9626,10)="@gmail.com","Gmail",IF(OR(RIGHT(B9626,12)="@outlook.com",RIGHT(B9626,12)="@hotmail.com",RIGHT(B9626,9)="@live.com"),"Outlook","Domain")))</f>
        <v/>
      </c>
      <c r="F9626">
        <f>IF(B9626="","",IFERROR(RIGHT(B9626,LEN(B9626)-FIND("@",B9626)),""))</f>
        <v/>
      </c>
      <c r="G9626">
        <f>IF(D9626="KEEP",COUNTIF($D$2:D9626,"KEEP"),"")</f>
        <v/>
      </c>
      <c r="H9626">
        <f>IF(D9626="REMOVE",COUNTIF($D$2:D9626,"REMOVE"),"")</f>
        <v/>
      </c>
      <c r="I9626">
        <f>IF(E9626="Gmail",COUNTIF($E$2:E9626,"Gmail"),"")</f>
        <v/>
      </c>
      <c r="J9626">
        <f>IF(E9626="Outlook",COUNTIF($E$2:E9626,"Outlook"),"")</f>
        <v/>
      </c>
      <c r="K9626">
        <f>IF(E9626="Domain",COUNTIF($E$2:E9626,"Domain"),"")</f>
        <v/>
      </c>
    </row>
    <row r="9627">
      <c r="A9627" s="2" t="n"/>
      <c r="B9627">
        <f>LOWER(TRIM(A9627))</f>
        <v/>
      </c>
      <c r="C9627">
        <f>IF(B9627="","",IFERROR(INDEX('Bad Patterns'!$A$2:$A$120,MATCH(1,INDEX(--ISNUMBER(SEARCH('Bad Patterns'!$A$2:$A$120,B9627)),0),0)),""))</f>
        <v/>
      </c>
      <c r="D9627">
        <f>IF(B9627="","",IF(C9627&lt;&gt;"","REMOVE","KEEP"))</f>
        <v/>
      </c>
      <c r="E9627">
        <f>IF(D9627&lt;&gt;"KEEP","",IF(RIGHT(B9627,10)="@gmail.com","Gmail",IF(OR(RIGHT(B9627,12)="@outlook.com",RIGHT(B9627,12)="@hotmail.com",RIGHT(B9627,9)="@live.com"),"Outlook","Domain")))</f>
        <v/>
      </c>
      <c r="F9627">
        <f>IF(B9627="","",IFERROR(RIGHT(B9627,LEN(B9627)-FIND("@",B9627)),""))</f>
        <v/>
      </c>
      <c r="G9627">
        <f>IF(D9627="KEEP",COUNTIF($D$2:D9627,"KEEP"),"")</f>
        <v/>
      </c>
      <c r="H9627">
        <f>IF(D9627="REMOVE",COUNTIF($D$2:D9627,"REMOVE"),"")</f>
        <v/>
      </c>
      <c r="I9627">
        <f>IF(E9627="Gmail",COUNTIF($E$2:E9627,"Gmail"),"")</f>
        <v/>
      </c>
      <c r="J9627">
        <f>IF(E9627="Outlook",COUNTIF($E$2:E9627,"Outlook"),"")</f>
        <v/>
      </c>
      <c r="K9627">
        <f>IF(E9627="Domain",COUNTIF($E$2:E9627,"Domain"),"")</f>
        <v/>
      </c>
    </row>
    <row r="9628">
      <c r="A9628" s="2" t="n"/>
      <c r="B9628">
        <f>LOWER(TRIM(A9628))</f>
        <v/>
      </c>
      <c r="C9628">
        <f>IF(B9628="","",IFERROR(INDEX('Bad Patterns'!$A$2:$A$120,MATCH(1,INDEX(--ISNUMBER(SEARCH('Bad Patterns'!$A$2:$A$120,B9628)),0),0)),""))</f>
        <v/>
      </c>
      <c r="D9628">
        <f>IF(B9628="","",IF(C9628&lt;&gt;"","REMOVE","KEEP"))</f>
        <v/>
      </c>
      <c r="E9628">
        <f>IF(D9628&lt;&gt;"KEEP","",IF(RIGHT(B9628,10)="@gmail.com","Gmail",IF(OR(RIGHT(B9628,12)="@outlook.com",RIGHT(B9628,12)="@hotmail.com",RIGHT(B9628,9)="@live.com"),"Outlook","Domain")))</f>
        <v/>
      </c>
      <c r="F9628">
        <f>IF(B9628="","",IFERROR(RIGHT(B9628,LEN(B9628)-FIND("@",B9628)),""))</f>
        <v/>
      </c>
      <c r="G9628">
        <f>IF(D9628="KEEP",COUNTIF($D$2:D9628,"KEEP"),"")</f>
        <v/>
      </c>
      <c r="H9628">
        <f>IF(D9628="REMOVE",COUNTIF($D$2:D9628,"REMOVE"),"")</f>
        <v/>
      </c>
      <c r="I9628">
        <f>IF(E9628="Gmail",COUNTIF($E$2:E9628,"Gmail"),"")</f>
        <v/>
      </c>
      <c r="J9628">
        <f>IF(E9628="Outlook",COUNTIF($E$2:E9628,"Outlook"),"")</f>
        <v/>
      </c>
      <c r="K9628">
        <f>IF(E9628="Domain",COUNTIF($E$2:E9628,"Domain"),"")</f>
        <v/>
      </c>
    </row>
    <row r="9629">
      <c r="A9629" s="2" t="n"/>
      <c r="B9629">
        <f>LOWER(TRIM(A9629))</f>
        <v/>
      </c>
      <c r="C9629">
        <f>IF(B9629="","",IFERROR(INDEX('Bad Patterns'!$A$2:$A$120,MATCH(1,INDEX(--ISNUMBER(SEARCH('Bad Patterns'!$A$2:$A$120,B9629)),0),0)),""))</f>
        <v/>
      </c>
      <c r="D9629">
        <f>IF(B9629="","",IF(C9629&lt;&gt;"","REMOVE","KEEP"))</f>
        <v/>
      </c>
      <c r="E9629">
        <f>IF(D9629&lt;&gt;"KEEP","",IF(RIGHT(B9629,10)="@gmail.com","Gmail",IF(OR(RIGHT(B9629,12)="@outlook.com",RIGHT(B9629,12)="@hotmail.com",RIGHT(B9629,9)="@live.com"),"Outlook","Domain")))</f>
        <v/>
      </c>
      <c r="F9629">
        <f>IF(B9629="","",IFERROR(RIGHT(B9629,LEN(B9629)-FIND("@",B9629)),""))</f>
        <v/>
      </c>
      <c r="G9629">
        <f>IF(D9629="KEEP",COUNTIF($D$2:D9629,"KEEP"),"")</f>
        <v/>
      </c>
      <c r="H9629">
        <f>IF(D9629="REMOVE",COUNTIF($D$2:D9629,"REMOVE"),"")</f>
        <v/>
      </c>
      <c r="I9629">
        <f>IF(E9629="Gmail",COUNTIF($E$2:E9629,"Gmail"),"")</f>
        <v/>
      </c>
      <c r="J9629">
        <f>IF(E9629="Outlook",COUNTIF($E$2:E9629,"Outlook"),"")</f>
        <v/>
      </c>
      <c r="K9629">
        <f>IF(E9629="Domain",COUNTIF($E$2:E9629,"Domain"),"")</f>
        <v/>
      </c>
    </row>
    <row r="9630">
      <c r="A9630" s="2" t="n"/>
      <c r="B9630">
        <f>LOWER(TRIM(A9630))</f>
        <v/>
      </c>
      <c r="C9630">
        <f>IF(B9630="","",IFERROR(INDEX('Bad Patterns'!$A$2:$A$120,MATCH(1,INDEX(--ISNUMBER(SEARCH('Bad Patterns'!$A$2:$A$120,B9630)),0),0)),""))</f>
        <v/>
      </c>
      <c r="D9630">
        <f>IF(B9630="","",IF(C9630&lt;&gt;"","REMOVE","KEEP"))</f>
        <v/>
      </c>
      <c r="E9630">
        <f>IF(D9630&lt;&gt;"KEEP","",IF(RIGHT(B9630,10)="@gmail.com","Gmail",IF(OR(RIGHT(B9630,12)="@outlook.com",RIGHT(B9630,12)="@hotmail.com",RIGHT(B9630,9)="@live.com"),"Outlook","Domain")))</f>
        <v/>
      </c>
      <c r="F9630">
        <f>IF(B9630="","",IFERROR(RIGHT(B9630,LEN(B9630)-FIND("@",B9630)),""))</f>
        <v/>
      </c>
      <c r="G9630">
        <f>IF(D9630="KEEP",COUNTIF($D$2:D9630,"KEEP"),"")</f>
        <v/>
      </c>
      <c r="H9630">
        <f>IF(D9630="REMOVE",COUNTIF($D$2:D9630,"REMOVE"),"")</f>
        <v/>
      </c>
      <c r="I9630">
        <f>IF(E9630="Gmail",COUNTIF($E$2:E9630,"Gmail"),"")</f>
        <v/>
      </c>
      <c r="J9630">
        <f>IF(E9630="Outlook",COUNTIF($E$2:E9630,"Outlook"),"")</f>
        <v/>
      </c>
      <c r="K9630">
        <f>IF(E9630="Domain",COUNTIF($E$2:E9630,"Domain"),"")</f>
        <v/>
      </c>
    </row>
    <row r="9631">
      <c r="A9631" s="2" t="n"/>
      <c r="B9631">
        <f>LOWER(TRIM(A9631))</f>
        <v/>
      </c>
      <c r="C9631">
        <f>IF(B9631="","",IFERROR(INDEX('Bad Patterns'!$A$2:$A$120,MATCH(1,INDEX(--ISNUMBER(SEARCH('Bad Patterns'!$A$2:$A$120,B9631)),0),0)),""))</f>
        <v/>
      </c>
      <c r="D9631">
        <f>IF(B9631="","",IF(C9631&lt;&gt;"","REMOVE","KEEP"))</f>
        <v/>
      </c>
      <c r="E9631">
        <f>IF(D9631&lt;&gt;"KEEP","",IF(RIGHT(B9631,10)="@gmail.com","Gmail",IF(OR(RIGHT(B9631,12)="@outlook.com",RIGHT(B9631,12)="@hotmail.com",RIGHT(B9631,9)="@live.com"),"Outlook","Domain")))</f>
        <v/>
      </c>
      <c r="F9631">
        <f>IF(B9631="","",IFERROR(RIGHT(B9631,LEN(B9631)-FIND("@",B9631)),""))</f>
        <v/>
      </c>
      <c r="G9631">
        <f>IF(D9631="KEEP",COUNTIF($D$2:D9631,"KEEP"),"")</f>
        <v/>
      </c>
      <c r="H9631">
        <f>IF(D9631="REMOVE",COUNTIF($D$2:D9631,"REMOVE"),"")</f>
        <v/>
      </c>
      <c r="I9631">
        <f>IF(E9631="Gmail",COUNTIF($E$2:E9631,"Gmail"),"")</f>
        <v/>
      </c>
      <c r="J9631">
        <f>IF(E9631="Outlook",COUNTIF($E$2:E9631,"Outlook"),"")</f>
        <v/>
      </c>
      <c r="K9631">
        <f>IF(E9631="Domain",COUNTIF($E$2:E9631,"Domain"),"")</f>
        <v/>
      </c>
    </row>
    <row r="9632">
      <c r="A9632" s="2" t="n"/>
      <c r="B9632">
        <f>LOWER(TRIM(A9632))</f>
        <v/>
      </c>
      <c r="C9632">
        <f>IF(B9632="","",IFERROR(INDEX('Bad Patterns'!$A$2:$A$120,MATCH(1,INDEX(--ISNUMBER(SEARCH('Bad Patterns'!$A$2:$A$120,B9632)),0),0)),""))</f>
        <v/>
      </c>
      <c r="D9632">
        <f>IF(B9632="","",IF(C9632&lt;&gt;"","REMOVE","KEEP"))</f>
        <v/>
      </c>
      <c r="E9632">
        <f>IF(D9632&lt;&gt;"KEEP","",IF(RIGHT(B9632,10)="@gmail.com","Gmail",IF(OR(RIGHT(B9632,12)="@outlook.com",RIGHT(B9632,12)="@hotmail.com",RIGHT(B9632,9)="@live.com"),"Outlook","Domain")))</f>
        <v/>
      </c>
      <c r="F9632">
        <f>IF(B9632="","",IFERROR(RIGHT(B9632,LEN(B9632)-FIND("@",B9632)),""))</f>
        <v/>
      </c>
      <c r="G9632">
        <f>IF(D9632="KEEP",COUNTIF($D$2:D9632,"KEEP"),"")</f>
        <v/>
      </c>
      <c r="H9632">
        <f>IF(D9632="REMOVE",COUNTIF($D$2:D9632,"REMOVE"),"")</f>
        <v/>
      </c>
      <c r="I9632">
        <f>IF(E9632="Gmail",COUNTIF($E$2:E9632,"Gmail"),"")</f>
        <v/>
      </c>
      <c r="J9632">
        <f>IF(E9632="Outlook",COUNTIF($E$2:E9632,"Outlook"),"")</f>
        <v/>
      </c>
      <c r="K9632">
        <f>IF(E9632="Domain",COUNTIF($E$2:E9632,"Domain"),"")</f>
        <v/>
      </c>
    </row>
    <row r="9633">
      <c r="A9633" s="2" t="n"/>
      <c r="B9633">
        <f>LOWER(TRIM(A9633))</f>
        <v/>
      </c>
      <c r="C9633">
        <f>IF(B9633="","",IFERROR(INDEX('Bad Patterns'!$A$2:$A$120,MATCH(1,INDEX(--ISNUMBER(SEARCH('Bad Patterns'!$A$2:$A$120,B9633)),0),0)),""))</f>
        <v/>
      </c>
      <c r="D9633">
        <f>IF(B9633="","",IF(C9633&lt;&gt;"","REMOVE","KEEP"))</f>
        <v/>
      </c>
      <c r="E9633">
        <f>IF(D9633&lt;&gt;"KEEP","",IF(RIGHT(B9633,10)="@gmail.com","Gmail",IF(OR(RIGHT(B9633,12)="@outlook.com",RIGHT(B9633,12)="@hotmail.com",RIGHT(B9633,9)="@live.com"),"Outlook","Domain")))</f>
        <v/>
      </c>
      <c r="F9633">
        <f>IF(B9633="","",IFERROR(RIGHT(B9633,LEN(B9633)-FIND("@",B9633)),""))</f>
        <v/>
      </c>
      <c r="G9633">
        <f>IF(D9633="KEEP",COUNTIF($D$2:D9633,"KEEP"),"")</f>
        <v/>
      </c>
      <c r="H9633">
        <f>IF(D9633="REMOVE",COUNTIF($D$2:D9633,"REMOVE"),"")</f>
        <v/>
      </c>
      <c r="I9633">
        <f>IF(E9633="Gmail",COUNTIF($E$2:E9633,"Gmail"),"")</f>
        <v/>
      </c>
      <c r="J9633">
        <f>IF(E9633="Outlook",COUNTIF($E$2:E9633,"Outlook"),"")</f>
        <v/>
      </c>
      <c r="K9633">
        <f>IF(E9633="Domain",COUNTIF($E$2:E9633,"Domain"),"")</f>
        <v/>
      </c>
    </row>
    <row r="9634">
      <c r="A9634" s="2" t="n"/>
      <c r="B9634">
        <f>LOWER(TRIM(A9634))</f>
        <v/>
      </c>
      <c r="C9634">
        <f>IF(B9634="","",IFERROR(INDEX('Bad Patterns'!$A$2:$A$120,MATCH(1,INDEX(--ISNUMBER(SEARCH('Bad Patterns'!$A$2:$A$120,B9634)),0),0)),""))</f>
        <v/>
      </c>
      <c r="D9634">
        <f>IF(B9634="","",IF(C9634&lt;&gt;"","REMOVE","KEEP"))</f>
        <v/>
      </c>
      <c r="E9634">
        <f>IF(D9634&lt;&gt;"KEEP","",IF(RIGHT(B9634,10)="@gmail.com","Gmail",IF(OR(RIGHT(B9634,12)="@outlook.com",RIGHT(B9634,12)="@hotmail.com",RIGHT(B9634,9)="@live.com"),"Outlook","Domain")))</f>
        <v/>
      </c>
      <c r="F9634">
        <f>IF(B9634="","",IFERROR(RIGHT(B9634,LEN(B9634)-FIND("@",B9634)),""))</f>
        <v/>
      </c>
      <c r="G9634">
        <f>IF(D9634="KEEP",COUNTIF($D$2:D9634,"KEEP"),"")</f>
        <v/>
      </c>
      <c r="H9634">
        <f>IF(D9634="REMOVE",COUNTIF($D$2:D9634,"REMOVE"),"")</f>
        <v/>
      </c>
      <c r="I9634">
        <f>IF(E9634="Gmail",COUNTIF($E$2:E9634,"Gmail"),"")</f>
        <v/>
      </c>
      <c r="J9634">
        <f>IF(E9634="Outlook",COUNTIF($E$2:E9634,"Outlook"),"")</f>
        <v/>
      </c>
      <c r="K9634">
        <f>IF(E9634="Domain",COUNTIF($E$2:E9634,"Domain"),"")</f>
        <v/>
      </c>
    </row>
    <row r="9635">
      <c r="A9635" s="2" t="n"/>
      <c r="B9635">
        <f>LOWER(TRIM(A9635))</f>
        <v/>
      </c>
      <c r="C9635">
        <f>IF(B9635="","",IFERROR(INDEX('Bad Patterns'!$A$2:$A$120,MATCH(1,INDEX(--ISNUMBER(SEARCH('Bad Patterns'!$A$2:$A$120,B9635)),0),0)),""))</f>
        <v/>
      </c>
      <c r="D9635">
        <f>IF(B9635="","",IF(C9635&lt;&gt;"","REMOVE","KEEP"))</f>
        <v/>
      </c>
      <c r="E9635">
        <f>IF(D9635&lt;&gt;"KEEP","",IF(RIGHT(B9635,10)="@gmail.com","Gmail",IF(OR(RIGHT(B9635,12)="@outlook.com",RIGHT(B9635,12)="@hotmail.com",RIGHT(B9635,9)="@live.com"),"Outlook","Domain")))</f>
        <v/>
      </c>
      <c r="F9635">
        <f>IF(B9635="","",IFERROR(RIGHT(B9635,LEN(B9635)-FIND("@",B9635)),""))</f>
        <v/>
      </c>
      <c r="G9635">
        <f>IF(D9635="KEEP",COUNTIF($D$2:D9635,"KEEP"),"")</f>
        <v/>
      </c>
      <c r="H9635">
        <f>IF(D9635="REMOVE",COUNTIF($D$2:D9635,"REMOVE"),"")</f>
        <v/>
      </c>
      <c r="I9635">
        <f>IF(E9635="Gmail",COUNTIF($E$2:E9635,"Gmail"),"")</f>
        <v/>
      </c>
      <c r="J9635">
        <f>IF(E9635="Outlook",COUNTIF($E$2:E9635,"Outlook"),"")</f>
        <v/>
      </c>
      <c r="K9635">
        <f>IF(E9635="Domain",COUNTIF($E$2:E9635,"Domain"),"")</f>
        <v/>
      </c>
    </row>
    <row r="9636">
      <c r="A9636" s="2" t="n"/>
      <c r="B9636">
        <f>LOWER(TRIM(A9636))</f>
        <v/>
      </c>
      <c r="C9636">
        <f>IF(B9636="","",IFERROR(INDEX('Bad Patterns'!$A$2:$A$120,MATCH(1,INDEX(--ISNUMBER(SEARCH('Bad Patterns'!$A$2:$A$120,B9636)),0),0)),""))</f>
        <v/>
      </c>
      <c r="D9636">
        <f>IF(B9636="","",IF(C9636&lt;&gt;"","REMOVE","KEEP"))</f>
        <v/>
      </c>
      <c r="E9636">
        <f>IF(D9636&lt;&gt;"KEEP","",IF(RIGHT(B9636,10)="@gmail.com","Gmail",IF(OR(RIGHT(B9636,12)="@outlook.com",RIGHT(B9636,12)="@hotmail.com",RIGHT(B9636,9)="@live.com"),"Outlook","Domain")))</f>
        <v/>
      </c>
      <c r="F9636">
        <f>IF(B9636="","",IFERROR(RIGHT(B9636,LEN(B9636)-FIND("@",B9636)),""))</f>
        <v/>
      </c>
      <c r="G9636">
        <f>IF(D9636="KEEP",COUNTIF($D$2:D9636,"KEEP"),"")</f>
        <v/>
      </c>
      <c r="H9636">
        <f>IF(D9636="REMOVE",COUNTIF($D$2:D9636,"REMOVE"),"")</f>
        <v/>
      </c>
      <c r="I9636">
        <f>IF(E9636="Gmail",COUNTIF($E$2:E9636,"Gmail"),"")</f>
        <v/>
      </c>
      <c r="J9636">
        <f>IF(E9636="Outlook",COUNTIF($E$2:E9636,"Outlook"),"")</f>
        <v/>
      </c>
      <c r="K9636">
        <f>IF(E9636="Domain",COUNTIF($E$2:E9636,"Domain"),"")</f>
        <v/>
      </c>
    </row>
    <row r="9637">
      <c r="A9637" s="2" t="n"/>
      <c r="B9637">
        <f>LOWER(TRIM(A9637))</f>
        <v/>
      </c>
      <c r="C9637">
        <f>IF(B9637="","",IFERROR(INDEX('Bad Patterns'!$A$2:$A$120,MATCH(1,INDEX(--ISNUMBER(SEARCH('Bad Patterns'!$A$2:$A$120,B9637)),0),0)),""))</f>
        <v/>
      </c>
      <c r="D9637">
        <f>IF(B9637="","",IF(C9637&lt;&gt;"","REMOVE","KEEP"))</f>
        <v/>
      </c>
      <c r="E9637">
        <f>IF(D9637&lt;&gt;"KEEP","",IF(RIGHT(B9637,10)="@gmail.com","Gmail",IF(OR(RIGHT(B9637,12)="@outlook.com",RIGHT(B9637,12)="@hotmail.com",RIGHT(B9637,9)="@live.com"),"Outlook","Domain")))</f>
        <v/>
      </c>
      <c r="F9637">
        <f>IF(B9637="","",IFERROR(RIGHT(B9637,LEN(B9637)-FIND("@",B9637)),""))</f>
        <v/>
      </c>
      <c r="G9637">
        <f>IF(D9637="KEEP",COUNTIF($D$2:D9637,"KEEP"),"")</f>
        <v/>
      </c>
      <c r="H9637">
        <f>IF(D9637="REMOVE",COUNTIF($D$2:D9637,"REMOVE"),"")</f>
        <v/>
      </c>
      <c r="I9637">
        <f>IF(E9637="Gmail",COUNTIF($E$2:E9637,"Gmail"),"")</f>
        <v/>
      </c>
      <c r="J9637">
        <f>IF(E9637="Outlook",COUNTIF($E$2:E9637,"Outlook"),"")</f>
        <v/>
      </c>
      <c r="K9637">
        <f>IF(E9637="Domain",COUNTIF($E$2:E9637,"Domain"),"")</f>
        <v/>
      </c>
    </row>
    <row r="9638">
      <c r="A9638" s="2" t="n"/>
      <c r="B9638">
        <f>LOWER(TRIM(A9638))</f>
        <v/>
      </c>
      <c r="C9638">
        <f>IF(B9638="","",IFERROR(INDEX('Bad Patterns'!$A$2:$A$120,MATCH(1,INDEX(--ISNUMBER(SEARCH('Bad Patterns'!$A$2:$A$120,B9638)),0),0)),""))</f>
        <v/>
      </c>
      <c r="D9638">
        <f>IF(B9638="","",IF(C9638&lt;&gt;"","REMOVE","KEEP"))</f>
        <v/>
      </c>
      <c r="E9638">
        <f>IF(D9638&lt;&gt;"KEEP","",IF(RIGHT(B9638,10)="@gmail.com","Gmail",IF(OR(RIGHT(B9638,12)="@outlook.com",RIGHT(B9638,12)="@hotmail.com",RIGHT(B9638,9)="@live.com"),"Outlook","Domain")))</f>
        <v/>
      </c>
      <c r="F9638">
        <f>IF(B9638="","",IFERROR(RIGHT(B9638,LEN(B9638)-FIND("@",B9638)),""))</f>
        <v/>
      </c>
      <c r="G9638">
        <f>IF(D9638="KEEP",COUNTIF($D$2:D9638,"KEEP"),"")</f>
        <v/>
      </c>
      <c r="H9638">
        <f>IF(D9638="REMOVE",COUNTIF($D$2:D9638,"REMOVE"),"")</f>
        <v/>
      </c>
      <c r="I9638">
        <f>IF(E9638="Gmail",COUNTIF($E$2:E9638,"Gmail"),"")</f>
        <v/>
      </c>
      <c r="J9638">
        <f>IF(E9638="Outlook",COUNTIF($E$2:E9638,"Outlook"),"")</f>
        <v/>
      </c>
      <c r="K9638">
        <f>IF(E9638="Domain",COUNTIF($E$2:E9638,"Domain"),"")</f>
        <v/>
      </c>
    </row>
    <row r="9639">
      <c r="A9639" s="2" t="n"/>
      <c r="B9639">
        <f>LOWER(TRIM(A9639))</f>
        <v/>
      </c>
      <c r="C9639">
        <f>IF(B9639="","",IFERROR(INDEX('Bad Patterns'!$A$2:$A$120,MATCH(1,INDEX(--ISNUMBER(SEARCH('Bad Patterns'!$A$2:$A$120,B9639)),0),0)),""))</f>
        <v/>
      </c>
      <c r="D9639">
        <f>IF(B9639="","",IF(C9639&lt;&gt;"","REMOVE","KEEP"))</f>
        <v/>
      </c>
      <c r="E9639">
        <f>IF(D9639&lt;&gt;"KEEP","",IF(RIGHT(B9639,10)="@gmail.com","Gmail",IF(OR(RIGHT(B9639,12)="@outlook.com",RIGHT(B9639,12)="@hotmail.com",RIGHT(B9639,9)="@live.com"),"Outlook","Domain")))</f>
        <v/>
      </c>
      <c r="F9639">
        <f>IF(B9639="","",IFERROR(RIGHT(B9639,LEN(B9639)-FIND("@",B9639)),""))</f>
        <v/>
      </c>
      <c r="G9639">
        <f>IF(D9639="KEEP",COUNTIF($D$2:D9639,"KEEP"),"")</f>
        <v/>
      </c>
      <c r="H9639">
        <f>IF(D9639="REMOVE",COUNTIF($D$2:D9639,"REMOVE"),"")</f>
        <v/>
      </c>
      <c r="I9639">
        <f>IF(E9639="Gmail",COUNTIF($E$2:E9639,"Gmail"),"")</f>
        <v/>
      </c>
      <c r="J9639">
        <f>IF(E9639="Outlook",COUNTIF($E$2:E9639,"Outlook"),"")</f>
        <v/>
      </c>
      <c r="K9639">
        <f>IF(E9639="Domain",COUNTIF($E$2:E9639,"Domain"),"")</f>
        <v/>
      </c>
    </row>
    <row r="9640">
      <c r="A9640" s="2" t="n"/>
      <c r="B9640">
        <f>LOWER(TRIM(A9640))</f>
        <v/>
      </c>
      <c r="C9640">
        <f>IF(B9640="","",IFERROR(INDEX('Bad Patterns'!$A$2:$A$120,MATCH(1,INDEX(--ISNUMBER(SEARCH('Bad Patterns'!$A$2:$A$120,B9640)),0),0)),""))</f>
        <v/>
      </c>
      <c r="D9640">
        <f>IF(B9640="","",IF(C9640&lt;&gt;"","REMOVE","KEEP"))</f>
        <v/>
      </c>
      <c r="E9640">
        <f>IF(D9640&lt;&gt;"KEEP","",IF(RIGHT(B9640,10)="@gmail.com","Gmail",IF(OR(RIGHT(B9640,12)="@outlook.com",RIGHT(B9640,12)="@hotmail.com",RIGHT(B9640,9)="@live.com"),"Outlook","Domain")))</f>
        <v/>
      </c>
      <c r="F9640">
        <f>IF(B9640="","",IFERROR(RIGHT(B9640,LEN(B9640)-FIND("@",B9640)),""))</f>
        <v/>
      </c>
      <c r="G9640">
        <f>IF(D9640="KEEP",COUNTIF($D$2:D9640,"KEEP"),"")</f>
        <v/>
      </c>
      <c r="H9640">
        <f>IF(D9640="REMOVE",COUNTIF($D$2:D9640,"REMOVE"),"")</f>
        <v/>
      </c>
      <c r="I9640">
        <f>IF(E9640="Gmail",COUNTIF($E$2:E9640,"Gmail"),"")</f>
        <v/>
      </c>
      <c r="J9640">
        <f>IF(E9640="Outlook",COUNTIF($E$2:E9640,"Outlook"),"")</f>
        <v/>
      </c>
      <c r="K9640">
        <f>IF(E9640="Domain",COUNTIF($E$2:E9640,"Domain"),"")</f>
        <v/>
      </c>
    </row>
    <row r="9641">
      <c r="A9641" s="2" t="n"/>
      <c r="B9641">
        <f>LOWER(TRIM(A9641))</f>
        <v/>
      </c>
      <c r="C9641">
        <f>IF(B9641="","",IFERROR(INDEX('Bad Patterns'!$A$2:$A$120,MATCH(1,INDEX(--ISNUMBER(SEARCH('Bad Patterns'!$A$2:$A$120,B9641)),0),0)),""))</f>
        <v/>
      </c>
      <c r="D9641">
        <f>IF(B9641="","",IF(C9641&lt;&gt;"","REMOVE","KEEP"))</f>
        <v/>
      </c>
      <c r="E9641">
        <f>IF(D9641&lt;&gt;"KEEP","",IF(RIGHT(B9641,10)="@gmail.com","Gmail",IF(OR(RIGHT(B9641,12)="@outlook.com",RIGHT(B9641,12)="@hotmail.com",RIGHT(B9641,9)="@live.com"),"Outlook","Domain")))</f>
        <v/>
      </c>
      <c r="F9641">
        <f>IF(B9641="","",IFERROR(RIGHT(B9641,LEN(B9641)-FIND("@",B9641)),""))</f>
        <v/>
      </c>
      <c r="G9641">
        <f>IF(D9641="KEEP",COUNTIF($D$2:D9641,"KEEP"),"")</f>
        <v/>
      </c>
      <c r="H9641">
        <f>IF(D9641="REMOVE",COUNTIF($D$2:D9641,"REMOVE"),"")</f>
        <v/>
      </c>
      <c r="I9641">
        <f>IF(E9641="Gmail",COUNTIF($E$2:E9641,"Gmail"),"")</f>
        <v/>
      </c>
      <c r="J9641">
        <f>IF(E9641="Outlook",COUNTIF($E$2:E9641,"Outlook"),"")</f>
        <v/>
      </c>
      <c r="K9641">
        <f>IF(E9641="Domain",COUNTIF($E$2:E9641,"Domain"),"")</f>
        <v/>
      </c>
    </row>
    <row r="9642">
      <c r="A9642" s="2" t="n"/>
      <c r="B9642">
        <f>LOWER(TRIM(A9642))</f>
        <v/>
      </c>
      <c r="C9642">
        <f>IF(B9642="","",IFERROR(INDEX('Bad Patterns'!$A$2:$A$120,MATCH(1,INDEX(--ISNUMBER(SEARCH('Bad Patterns'!$A$2:$A$120,B9642)),0),0)),""))</f>
        <v/>
      </c>
      <c r="D9642">
        <f>IF(B9642="","",IF(C9642&lt;&gt;"","REMOVE","KEEP"))</f>
        <v/>
      </c>
      <c r="E9642">
        <f>IF(D9642&lt;&gt;"KEEP","",IF(RIGHT(B9642,10)="@gmail.com","Gmail",IF(OR(RIGHT(B9642,12)="@outlook.com",RIGHT(B9642,12)="@hotmail.com",RIGHT(B9642,9)="@live.com"),"Outlook","Domain")))</f>
        <v/>
      </c>
      <c r="F9642">
        <f>IF(B9642="","",IFERROR(RIGHT(B9642,LEN(B9642)-FIND("@",B9642)),""))</f>
        <v/>
      </c>
      <c r="G9642">
        <f>IF(D9642="KEEP",COUNTIF($D$2:D9642,"KEEP"),"")</f>
        <v/>
      </c>
      <c r="H9642">
        <f>IF(D9642="REMOVE",COUNTIF($D$2:D9642,"REMOVE"),"")</f>
        <v/>
      </c>
      <c r="I9642">
        <f>IF(E9642="Gmail",COUNTIF($E$2:E9642,"Gmail"),"")</f>
        <v/>
      </c>
      <c r="J9642">
        <f>IF(E9642="Outlook",COUNTIF($E$2:E9642,"Outlook"),"")</f>
        <v/>
      </c>
      <c r="K9642">
        <f>IF(E9642="Domain",COUNTIF($E$2:E9642,"Domain"),"")</f>
        <v/>
      </c>
    </row>
    <row r="9643">
      <c r="A9643" s="2" t="n"/>
      <c r="B9643">
        <f>LOWER(TRIM(A9643))</f>
        <v/>
      </c>
      <c r="C9643">
        <f>IF(B9643="","",IFERROR(INDEX('Bad Patterns'!$A$2:$A$120,MATCH(1,INDEX(--ISNUMBER(SEARCH('Bad Patterns'!$A$2:$A$120,B9643)),0),0)),""))</f>
        <v/>
      </c>
      <c r="D9643">
        <f>IF(B9643="","",IF(C9643&lt;&gt;"","REMOVE","KEEP"))</f>
        <v/>
      </c>
      <c r="E9643">
        <f>IF(D9643&lt;&gt;"KEEP","",IF(RIGHT(B9643,10)="@gmail.com","Gmail",IF(OR(RIGHT(B9643,12)="@outlook.com",RIGHT(B9643,12)="@hotmail.com",RIGHT(B9643,9)="@live.com"),"Outlook","Domain")))</f>
        <v/>
      </c>
      <c r="F9643">
        <f>IF(B9643="","",IFERROR(RIGHT(B9643,LEN(B9643)-FIND("@",B9643)),""))</f>
        <v/>
      </c>
      <c r="G9643">
        <f>IF(D9643="KEEP",COUNTIF($D$2:D9643,"KEEP"),"")</f>
        <v/>
      </c>
      <c r="H9643">
        <f>IF(D9643="REMOVE",COUNTIF($D$2:D9643,"REMOVE"),"")</f>
        <v/>
      </c>
      <c r="I9643">
        <f>IF(E9643="Gmail",COUNTIF($E$2:E9643,"Gmail"),"")</f>
        <v/>
      </c>
      <c r="J9643">
        <f>IF(E9643="Outlook",COUNTIF($E$2:E9643,"Outlook"),"")</f>
        <v/>
      </c>
      <c r="K9643">
        <f>IF(E9643="Domain",COUNTIF($E$2:E9643,"Domain"),"")</f>
        <v/>
      </c>
    </row>
    <row r="9644">
      <c r="A9644" s="2" t="n"/>
      <c r="B9644">
        <f>LOWER(TRIM(A9644))</f>
        <v/>
      </c>
      <c r="C9644">
        <f>IF(B9644="","",IFERROR(INDEX('Bad Patterns'!$A$2:$A$120,MATCH(1,INDEX(--ISNUMBER(SEARCH('Bad Patterns'!$A$2:$A$120,B9644)),0),0)),""))</f>
        <v/>
      </c>
      <c r="D9644">
        <f>IF(B9644="","",IF(C9644&lt;&gt;"","REMOVE","KEEP"))</f>
        <v/>
      </c>
      <c r="E9644">
        <f>IF(D9644&lt;&gt;"KEEP","",IF(RIGHT(B9644,10)="@gmail.com","Gmail",IF(OR(RIGHT(B9644,12)="@outlook.com",RIGHT(B9644,12)="@hotmail.com",RIGHT(B9644,9)="@live.com"),"Outlook","Domain")))</f>
        <v/>
      </c>
      <c r="F9644">
        <f>IF(B9644="","",IFERROR(RIGHT(B9644,LEN(B9644)-FIND("@",B9644)),""))</f>
        <v/>
      </c>
      <c r="G9644">
        <f>IF(D9644="KEEP",COUNTIF($D$2:D9644,"KEEP"),"")</f>
        <v/>
      </c>
      <c r="H9644">
        <f>IF(D9644="REMOVE",COUNTIF($D$2:D9644,"REMOVE"),"")</f>
        <v/>
      </c>
      <c r="I9644">
        <f>IF(E9644="Gmail",COUNTIF($E$2:E9644,"Gmail"),"")</f>
        <v/>
      </c>
      <c r="J9644">
        <f>IF(E9644="Outlook",COUNTIF($E$2:E9644,"Outlook"),"")</f>
        <v/>
      </c>
      <c r="K9644">
        <f>IF(E9644="Domain",COUNTIF($E$2:E9644,"Domain"),"")</f>
        <v/>
      </c>
    </row>
    <row r="9645">
      <c r="A9645" s="2" t="n"/>
      <c r="B9645">
        <f>LOWER(TRIM(A9645))</f>
        <v/>
      </c>
      <c r="C9645">
        <f>IF(B9645="","",IFERROR(INDEX('Bad Patterns'!$A$2:$A$120,MATCH(1,INDEX(--ISNUMBER(SEARCH('Bad Patterns'!$A$2:$A$120,B9645)),0),0)),""))</f>
        <v/>
      </c>
      <c r="D9645">
        <f>IF(B9645="","",IF(C9645&lt;&gt;"","REMOVE","KEEP"))</f>
        <v/>
      </c>
      <c r="E9645">
        <f>IF(D9645&lt;&gt;"KEEP","",IF(RIGHT(B9645,10)="@gmail.com","Gmail",IF(OR(RIGHT(B9645,12)="@outlook.com",RIGHT(B9645,12)="@hotmail.com",RIGHT(B9645,9)="@live.com"),"Outlook","Domain")))</f>
        <v/>
      </c>
      <c r="F9645">
        <f>IF(B9645="","",IFERROR(RIGHT(B9645,LEN(B9645)-FIND("@",B9645)),""))</f>
        <v/>
      </c>
      <c r="G9645">
        <f>IF(D9645="KEEP",COUNTIF($D$2:D9645,"KEEP"),"")</f>
        <v/>
      </c>
      <c r="H9645">
        <f>IF(D9645="REMOVE",COUNTIF($D$2:D9645,"REMOVE"),"")</f>
        <v/>
      </c>
      <c r="I9645">
        <f>IF(E9645="Gmail",COUNTIF($E$2:E9645,"Gmail"),"")</f>
        <v/>
      </c>
      <c r="J9645">
        <f>IF(E9645="Outlook",COUNTIF($E$2:E9645,"Outlook"),"")</f>
        <v/>
      </c>
      <c r="K9645">
        <f>IF(E9645="Domain",COUNTIF($E$2:E9645,"Domain"),"")</f>
        <v/>
      </c>
    </row>
    <row r="9646">
      <c r="A9646" s="2" t="n"/>
      <c r="B9646">
        <f>LOWER(TRIM(A9646))</f>
        <v/>
      </c>
      <c r="C9646">
        <f>IF(B9646="","",IFERROR(INDEX('Bad Patterns'!$A$2:$A$120,MATCH(1,INDEX(--ISNUMBER(SEARCH('Bad Patterns'!$A$2:$A$120,B9646)),0),0)),""))</f>
        <v/>
      </c>
      <c r="D9646">
        <f>IF(B9646="","",IF(C9646&lt;&gt;"","REMOVE","KEEP"))</f>
        <v/>
      </c>
      <c r="E9646">
        <f>IF(D9646&lt;&gt;"KEEP","",IF(RIGHT(B9646,10)="@gmail.com","Gmail",IF(OR(RIGHT(B9646,12)="@outlook.com",RIGHT(B9646,12)="@hotmail.com",RIGHT(B9646,9)="@live.com"),"Outlook","Domain")))</f>
        <v/>
      </c>
      <c r="F9646">
        <f>IF(B9646="","",IFERROR(RIGHT(B9646,LEN(B9646)-FIND("@",B9646)),""))</f>
        <v/>
      </c>
      <c r="G9646">
        <f>IF(D9646="KEEP",COUNTIF($D$2:D9646,"KEEP"),"")</f>
        <v/>
      </c>
      <c r="H9646">
        <f>IF(D9646="REMOVE",COUNTIF($D$2:D9646,"REMOVE"),"")</f>
        <v/>
      </c>
      <c r="I9646">
        <f>IF(E9646="Gmail",COUNTIF($E$2:E9646,"Gmail"),"")</f>
        <v/>
      </c>
      <c r="J9646">
        <f>IF(E9646="Outlook",COUNTIF($E$2:E9646,"Outlook"),"")</f>
        <v/>
      </c>
      <c r="K9646">
        <f>IF(E9646="Domain",COUNTIF($E$2:E9646,"Domain"),"")</f>
        <v/>
      </c>
    </row>
    <row r="9647">
      <c r="A9647" s="2" t="n"/>
      <c r="B9647">
        <f>LOWER(TRIM(A9647))</f>
        <v/>
      </c>
      <c r="C9647">
        <f>IF(B9647="","",IFERROR(INDEX('Bad Patterns'!$A$2:$A$120,MATCH(1,INDEX(--ISNUMBER(SEARCH('Bad Patterns'!$A$2:$A$120,B9647)),0),0)),""))</f>
        <v/>
      </c>
      <c r="D9647">
        <f>IF(B9647="","",IF(C9647&lt;&gt;"","REMOVE","KEEP"))</f>
        <v/>
      </c>
      <c r="E9647">
        <f>IF(D9647&lt;&gt;"KEEP","",IF(RIGHT(B9647,10)="@gmail.com","Gmail",IF(OR(RIGHT(B9647,12)="@outlook.com",RIGHT(B9647,12)="@hotmail.com",RIGHT(B9647,9)="@live.com"),"Outlook","Domain")))</f>
        <v/>
      </c>
      <c r="F9647">
        <f>IF(B9647="","",IFERROR(RIGHT(B9647,LEN(B9647)-FIND("@",B9647)),""))</f>
        <v/>
      </c>
      <c r="G9647">
        <f>IF(D9647="KEEP",COUNTIF($D$2:D9647,"KEEP"),"")</f>
        <v/>
      </c>
      <c r="H9647">
        <f>IF(D9647="REMOVE",COUNTIF($D$2:D9647,"REMOVE"),"")</f>
        <v/>
      </c>
      <c r="I9647">
        <f>IF(E9647="Gmail",COUNTIF($E$2:E9647,"Gmail"),"")</f>
        <v/>
      </c>
      <c r="J9647">
        <f>IF(E9647="Outlook",COUNTIF($E$2:E9647,"Outlook"),"")</f>
        <v/>
      </c>
      <c r="K9647">
        <f>IF(E9647="Domain",COUNTIF($E$2:E9647,"Domain"),"")</f>
        <v/>
      </c>
    </row>
    <row r="9648">
      <c r="A9648" s="2" t="n"/>
      <c r="B9648">
        <f>LOWER(TRIM(A9648))</f>
        <v/>
      </c>
      <c r="C9648">
        <f>IF(B9648="","",IFERROR(INDEX('Bad Patterns'!$A$2:$A$120,MATCH(1,INDEX(--ISNUMBER(SEARCH('Bad Patterns'!$A$2:$A$120,B9648)),0),0)),""))</f>
        <v/>
      </c>
      <c r="D9648">
        <f>IF(B9648="","",IF(C9648&lt;&gt;"","REMOVE","KEEP"))</f>
        <v/>
      </c>
      <c r="E9648">
        <f>IF(D9648&lt;&gt;"KEEP","",IF(RIGHT(B9648,10)="@gmail.com","Gmail",IF(OR(RIGHT(B9648,12)="@outlook.com",RIGHT(B9648,12)="@hotmail.com",RIGHT(B9648,9)="@live.com"),"Outlook","Domain")))</f>
        <v/>
      </c>
      <c r="F9648">
        <f>IF(B9648="","",IFERROR(RIGHT(B9648,LEN(B9648)-FIND("@",B9648)),""))</f>
        <v/>
      </c>
      <c r="G9648">
        <f>IF(D9648="KEEP",COUNTIF($D$2:D9648,"KEEP"),"")</f>
        <v/>
      </c>
      <c r="H9648">
        <f>IF(D9648="REMOVE",COUNTIF($D$2:D9648,"REMOVE"),"")</f>
        <v/>
      </c>
      <c r="I9648">
        <f>IF(E9648="Gmail",COUNTIF($E$2:E9648,"Gmail"),"")</f>
        <v/>
      </c>
      <c r="J9648">
        <f>IF(E9648="Outlook",COUNTIF($E$2:E9648,"Outlook"),"")</f>
        <v/>
      </c>
      <c r="K9648">
        <f>IF(E9648="Domain",COUNTIF($E$2:E9648,"Domain"),"")</f>
        <v/>
      </c>
    </row>
    <row r="9649">
      <c r="A9649" s="2" t="n"/>
      <c r="B9649">
        <f>LOWER(TRIM(A9649))</f>
        <v/>
      </c>
      <c r="C9649">
        <f>IF(B9649="","",IFERROR(INDEX('Bad Patterns'!$A$2:$A$120,MATCH(1,INDEX(--ISNUMBER(SEARCH('Bad Patterns'!$A$2:$A$120,B9649)),0),0)),""))</f>
        <v/>
      </c>
      <c r="D9649">
        <f>IF(B9649="","",IF(C9649&lt;&gt;"","REMOVE","KEEP"))</f>
        <v/>
      </c>
      <c r="E9649">
        <f>IF(D9649&lt;&gt;"KEEP","",IF(RIGHT(B9649,10)="@gmail.com","Gmail",IF(OR(RIGHT(B9649,12)="@outlook.com",RIGHT(B9649,12)="@hotmail.com",RIGHT(B9649,9)="@live.com"),"Outlook","Domain")))</f>
        <v/>
      </c>
      <c r="F9649">
        <f>IF(B9649="","",IFERROR(RIGHT(B9649,LEN(B9649)-FIND("@",B9649)),""))</f>
        <v/>
      </c>
      <c r="G9649">
        <f>IF(D9649="KEEP",COUNTIF($D$2:D9649,"KEEP"),"")</f>
        <v/>
      </c>
      <c r="H9649">
        <f>IF(D9649="REMOVE",COUNTIF($D$2:D9649,"REMOVE"),"")</f>
        <v/>
      </c>
      <c r="I9649">
        <f>IF(E9649="Gmail",COUNTIF($E$2:E9649,"Gmail"),"")</f>
        <v/>
      </c>
      <c r="J9649">
        <f>IF(E9649="Outlook",COUNTIF($E$2:E9649,"Outlook"),"")</f>
        <v/>
      </c>
      <c r="K9649">
        <f>IF(E9649="Domain",COUNTIF($E$2:E9649,"Domain"),"")</f>
        <v/>
      </c>
    </row>
    <row r="9650">
      <c r="A9650" s="2" t="n"/>
      <c r="B9650">
        <f>LOWER(TRIM(A9650))</f>
        <v/>
      </c>
      <c r="C9650">
        <f>IF(B9650="","",IFERROR(INDEX('Bad Patterns'!$A$2:$A$120,MATCH(1,INDEX(--ISNUMBER(SEARCH('Bad Patterns'!$A$2:$A$120,B9650)),0),0)),""))</f>
        <v/>
      </c>
      <c r="D9650">
        <f>IF(B9650="","",IF(C9650&lt;&gt;"","REMOVE","KEEP"))</f>
        <v/>
      </c>
      <c r="E9650">
        <f>IF(D9650&lt;&gt;"KEEP","",IF(RIGHT(B9650,10)="@gmail.com","Gmail",IF(OR(RIGHT(B9650,12)="@outlook.com",RIGHT(B9650,12)="@hotmail.com",RIGHT(B9650,9)="@live.com"),"Outlook","Domain")))</f>
        <v/>
      </c>
      <c r="F9650">
        <f>IF(B9650="","",IFERROR(RIGHT(B9650,LEN(B9650)-FIND("@",B9650)),""))</f>
        <v/>
      </c>
      <c r="G9650">
        <f>IF(D9650="KEEP",COUNTIF($D$2:D9650,"KEEP"),"")</f>
        <v/>
      </c>
      <c r="H9650">
        <f>IF(D9650="REMOVE",COUNTIF($D$2:D9650,"REMOVE"),"")</f>
        <v/>
      </c>
      <c r="I9650">
        <f>IF(E9650="Gmail",COUNTIF($E$2:E9650,"Gmail"),"")</f>
        <v/>
      </c>
      <c r="J9650">
        <f>IF(E9650="Outlook",COUNTIF($E$2:E9650,"Outlook"),"")</f>
        <v/>
      </c>
      <c r="K9650">
        <f>IF(E9650="Domain",COUNTIF($E$2:E9650,"Domain"),"")</f>
        <v/>
      </c>
    </row>
    <row r="9651">
      <c r="A9651" s="2" t="n"/>
      <c r="B9651">
        <f>LOWER(TRIM(A9651))</f>
        <v/>
      </c>
      <c r="C9651">
        <f>IF(B9651="","",IFERROR(INDEX('Bad Patterns'!$A$2:$A$120,MATCH(1,INDEX(--ISNUMBER(SEARCH('Bad Patterns'!$A$2:$A$120,B9651)),0),0)),""))</f>
        <v/>
      </c>
      <c r="D9651">
        <f>IF(B9651="","",IF(C9651&lt;&gt;"","REMOVE","KEEP"))</f>
        <v/>
      </c>
      <c r="E9651">
        <f>IF(D9651&lt;&gt;"KEEP","",IF(RIGHT(B9651,10)="@gmail.com","Gmail",IF(OR(RIGHT(B9651,12)="@outlook.com",RIGHT(B9651,12)="@hotmail.com",RIGHT(B9651,9)="@live.com"),"Outlook","Domain")))</f>
        <v/>
      </c>
      <c r="F9651">
        <f>IF(B9651="","",IFERROR(RIGHT(B9651,LEN(B9651)-FIND("@",B9651)),""))</f>
        <v/>
      </c>
      <c r="G9651">
        <f>IF(D9651="KEEP",COUNTIF($D$2:D9651,"KEEP"),"")</f>
        <v/>
      </c>
      <c r="H9651">
        <f>IF(D9651="REMOVE",COUNTIF($D$2:D9651,"REMOVE"),"")</f>
        <v/>
      </c>
      <c r="I9651">
        <f>IF(E9651="Gmail",COUNTIF($E$2:E9651,"Gmail"),"")</f>
        <v/>
      </c>
      <c r="J9651">
        <f>IF(E9651="Outlook",COUNTIF($E$2:E9651,"Outlook"),"")</f>
        <v/>
      </c>
      <c r="K9651">
        <f>IF(E9651="Domain",COUNTIF($E$2:E9651,"Domain"),"")</f>
        <v/>
      </c>
    </row>
    <row r="9652">
      <c r="A9652" s="2" t="n"/>
      <c r="B9652">
        <f>LOWER(TRIM(A9652))</f>
        <v/>
      </c>
      <c r="C9652">
        <f>IF(B9652="","",IFERROR(INDEX('Bad Patterns'!$A$2:$A$120,MATCH(1,INDEX(--ISNUMBER(SEARCH('Bad Patterns'!$A$2:$A$120,B9652)),0),0)),""))</f>
        <v/>
      </c>
      <c r="D9652">
        <f>IF(B9652="","",IF(C9652&lt;&gt;"","REMOVE","KEEP"))</f>
        <v/>
      </c>
      <c r="E9652">
        <f>IF(D9652&lt;&gt;"KEEP","",IF(RIGHT(B9652,10)="@gmail.com","Gmail",IF(OR(RIGHT(B9652,12)="@outlook.com",RIGHT(B9652,12)="@hotmail.com",RIGHT(B9652,9)="@live.com"),"Outlook","Domain")))</f>
        <v/>
      </c>
      <c r="F9652">
        <f>IF(B9652="","",IFERROR(RIGHT(B9652,LEN(B9652)-FIND("@",B9652)),""))</f>
        <v/>
      </c>
      <c r="G9652">
        <f>IF(D9652="KEEP",COUNTIF($D$2:D9652,"KEEP"),"")</f>
        <v/>
      </c>
      <c r="H9652">
        <f>IF(D9652="REMOVE",COUNTIF($D$2:D9652,"REMOVE"),"")</f>
        <v/>
      </c>
      <c r="I9652">
        <f>IF(E9652="Gmail",COUNTIF($E$2:E9652,"Gmail"),"")</f>
        <v/>
      </c>
      <c r="J9652">
        <f>IF(E9652="Outlook",COUNTIF($E$2:E9652,"Outlook"),"")</f>
        <v/>
      </c>
      <c r="K9652">
        <f>IF(E9652="Domain",COUNTIF($E$2:E9652,"Domain"),"")</f>
        <v/>
      </c>
    </row>
    <row r="9653">
      <c r="A9653" s="2" t="n"/>
      <c r="B9653">
        <f>LOWER(TRIM(A9653))</f>
        <v/>
      </c>
      <c r="C9653">
        <f>IF(B9653="","",IFERROR(INDEX('Bad Patterns'!$A$2:$A$120,MATCH(1,INDEX(--ISNUMBER(SEARCH('Bad Patterns'!$A$2:$A$120,B9653)),0),0)),""))</f>
        <v/>
      </c>
      <c r="D9653">
        <f>IF(B9653="","",IF(C9653&lt;&gt;"","REMOVE","KEEP"))</f>
        <v/>
      </c>
      <c r="E9653">
        <f>IF(D9653&lt;&gt;"KEEP","",IF(RIGHT(B9653,10)="@gmail.com","Gmail",IF(OR(RIGHT(B9653,12)="@outlook.com",RIGHT(B9653,12)="@hotmail.com",RIGHT(B9653,9)="@live.com"),"Outlook","Domain")))</f>
        <v/>
      </c>
      <c r="F9653">
        <f>IF(B9653="","",IFERROR(RIGHT(B9653,LEN(B9653)-FIND("@",B9653)),""))</f>
        <v/>
      </c>
      <c r="G9653">
        <f>IF(D9653="KEEP",COUNTIF($D$2:D9653,"KEEP"),"")</f>
        <v/>
      </c>
      <c r="H9653">
        <f>IF(D9653="REMOVE",COUNTIF($D$2:D9653,"REMOVE"),"")</f>
        <v/>
      </c>
      <c r="I9653">
        <f>IF(E9653="Gmail",COUNTIF($E$2:E9653,"Gmail"),"")</f>
        <v/>
      </c>
      <c r="J9653">
        <f>IF(E9653="Outlook",COUNTIF($E$2:E9653,"Outlook"),"")</f>
        <v/>
      </c>
      <c r="K9653">
        <f>IF(E9653="Domain",COUNTIF($E$2:E9653,"Domain"),"")</f>
        <v/>
      </c>
    </row>
    <row r="9654">
      <c r="A9654" s="2" t="n"/>
      <c r="B9654">
        <f>LOWER(TRIM(A9654))</f>
        <v/>
      </c>
      <c r="C9654">
        <f>IF(B9654="","",IFERROR(INDEX('Bad Patterns'!$A$2:$A$120,MATCH(1,INDEX(--ISNUMBER(SEARCH('Bad Patterns'!$A$2:$A$120,B9654)),0),0)),""))</f>
        <v/>
      </c>
      <c r="D9654">
        <f>IF(B9654="","",IF(C9654&lt;&gt;"","REMOVE","KEEP"))</f>
        <v/>
      </c>
      <c r="E9654">
        <f>IF(D9654&lt;&gt;"KEEP","",IF(RIGHT(B9654,10)="@gmail.com","Gmail",IF(OR(RIGHT(B9654,12)="@outlook.com",RIGHT(B9654,12)="@hotmail.com",RIGHT(B9654,9)="@live.com"),"Outlook","Domain")))</f>
        <v/>
      </c>
      <c r="F9654">
        <f>IF(B9654="","",IFERROR(RIGHT(B9654,LEN(B9654)-FIND("@",B9654)),""))</f>
        <v/>
      </c>
      <c r="G9654">
        <f>IF(D9654="KEEP",COUNTIF($D$2:D9654,"KEEP"),"")</f>
        <v/>
      </c>
      <c r="H9654">
        <f>IF(D9654="REMOVE",COUNTIF($D$2:D9654,"REMOVE"),"")</f>
        <v/>
      </c>
      <c r="I9654">
        <f>IF(E9654="Gmail",COUNTIF($E$2:E9654,"Gmail"),"")</f>
        <v/>
      </c>
      <c r="J9654">
        <f>IF(E9654="Outlook",COUNTIF($E$2:E9654,"Outlook"),"")</f>
        <v/>
      </c>
      <c r="K9654">
        <f>IF(E9654="Domain",COUNTIF($E$2:E9654,"Domain"),"")</f>
        <v/>
      </c>
    </row>
    <row r="9655">
      <c r="A9655" s="2" t="n"/>
      <c r="B9655">
        <f>LOWER(TRIM(A9655))</f>
        <v/>
      </c>
      <c r="C9655">
        <f>IF(B9655="","",IFERROR(INDEX('Bad Patterns'!$A$2:$A$120,MATCH(1,INDEX(--ISNUMBER(SEARCH('Bad Patterns'!$A$2:$A$120,B9655)),0),0)),""))</f>
        <v/>
      </c>
      <c r="D9655">
        <f>IF(B9655="","",IF(C9655&lt;&gt;"","REMOVE","KEEP"))</f>
        <v/>
      </c>
      <c r="E9655">
        <f>IF(D9655&lt;&gt;"KEEP","",IF(RIGHT(B9655,10)="@gmail.com","Gmail",IF(OR(RIGHT(B9655,12)="@outlook.com",RIGHT(B9655,12)="@hotmail.com",RIGHT(B9655,9)="@live.com"),"Outlook","Domain")))</f>
        <v/>
      </c>
      <c r="F9655">
        <f>IF(B9655="","",IFERROR(RIGHT(B9655,LEN(B9655)-FIND("@",B9655)),""))</f>
        <v/>
      </c>
      <c r="G9655">
        <f>IF(D9655="KEEP",COUNTIF($D$2:D9655,"KEEP"),"")</f>
        <v/>
      </c>
      <c r="H9655">
        <f>IF(D9655="REMOVE",COUNTIF($D$2:D9655,"REMOVE"),"")</f>
        <v/>
      </c>
      <c r="I9655">
        <f>IF(E9655="Gmail",COUNTIF($E$2:E9655,"Gmail"),"")</f>
        <v/>
      </c>
      <c r="J9655">
        <f>IF(E9655="Outlook",COUNTIF($E$2:E9655,"Outlook"),"")</f>
        <v/>
      </c>
      <c r="K9655">
        <f>IF(E9655="Domain",COUNTIF($E$2:E9655,"Domain"),"")</f>
        <v/>
      </c>
    </row>
    <row r="9656">
      <c r="A9656" s="2" t="n"/>
      <c r="B9656">
        <f>LOWER(TRIM(A9656))</f>
        <v/>
      </c>
      <c r="C9656">
        <f>IF(B9656="","",IFERROR(INDEX('Bad Patterns'!$A$2:$A$120,MATCH(1,INDEX(--ISNUMBER(SEARCH('Bad Patterns'!$A$2:$A$120,B9656)),0),0)),""))</f>
        <v/>
      </c>
      <c r="D9656">
        <f>IF(B9656="","",IF(C9656&lt;&gt;"","REMOVE","KEEP"))</f>
        <v/>
      </c>
      <c r="E9656">
        <f>IF(D9656&lt;&gt;"KEEP","",IF(RIGHT(B9656,10)="@gmail.com","Gmail",IF(OR(RIGHT(B9656,12)="@outlook.com",RIGHT(B9656,12)="@hotmail.com",RIGHT(B9656,9)="@live.com"),"Outlook","Domain")))</f>
        <v/>
      </c>
      <c r="F9656">
        <f>IF(B9656="","",IFERROR(RIGHT(B9656,LEN(B9656)-FIND("@",B9656)),""))</f>
        <v/>
      </c>
      <c r="G9656">
        <f>IF(D9656="KEEP",COUNTIF($D$2:D9656,"KEEP"),"")</f>
        <v/>
      </c>
      <c r="H9656">
        <f>IF(D9656="REMOVE",COUNTIF($D$2:D9656,"REMOVE"),"")</f>
        <v/>
      </c>
      <c r="I9656">
        <f>IF(E9656="Gmail",COUNTIF($E$2:E9656,"Gmail"),"")</f>
        <v/>
      </c>
      <c r="J9656">
        <f>IF(E9656="Outlook",COUNTIF($E$2:E9656,"Outlook"),"")</f>
        <v/>
      </c>
      <c r="K9656">
        <f>IF(E9656="Domain",COUNTIF($E$2:E9656,"Domain"),"")</f>
        <v/>
      </c>
    </row>
    <row r="9657">
      <c r="A9657" s="2" t="n"/>
      <c r="B9657">
        <f>LOWER(TRIM(A9657))</f>
        <v/>
      </c>
      <c r="C9657">
        <f>IF(B9657="","",IFERROR(INDEX('Bad Patterns'!$A$2:$A$120,MATCH(1,INDEX(--ISNUMBER(SEARCH('Bad Patterns'!$A$2:$A$120,B9657)),0),0)),""))</f>
        <v/>
      </c>
      <c r="D9657">
        <f>IF(B9657="","",IF(C9657&lt;&gt;"","REMOVE","KEEP"))</f>
        <v/>
      </c>
      <c r="E9657">
        <f>IF(D9657&lt;&gt;"KEEP","",IF(RIGHT(B9657,10)="@gmail.com","Gmail",IF(OR(RIGHT(B9657,12)="@outlook.com",RIGHT(B9657,12)="@hotmail.com",RIGHT(B9657,9)="@live.com"),"Outlook","Domain")))</f>
        <v/>
      </c>
      <c r="F9657">
        <f>IF(B9657="","",IFERROR(RIGHT(B9657,LEN(B9657)-FIND("@",B9657)),""))</f>
        <v/>
      </c>
      <c r="G9657">
        <f>IF(D9657="KEEP",COUNTIF($D$2:D9657,"KEEP"),"")</f>
        <v/>
      </c>
      <c r="H9657">
        <f>IF(D9657="REMOVE",COUNTIF($D$2:D9657,"REMOVE"),"")</f>
        <v/>
      </c>
      <c r="I9657">
        <f>IF(E9657="Gmail",COUNTIF($E$2:E9657,"Gmail"),"")</f>
        <v/>
      </c>
      <c r="J9657">
        <f>IF(E9657="Outlook",COUNTIF($E$2:E9657,"Outlook"),"")</f>
        <v/>
      </c>
      <c r="K9657">
        <f>IF(E9657="Domain",COUNTIF($E$2:E9657,"Domain"),"")</f>
        <v/>
      </c>
    </row>
    <row r="9658">
      <c r="A9658" s="2" t="n"/>
      <c r="B9658">
        <f>LOWER(TRIM(A9658))</f>
        <v/>
      </c>
      <c r="C9658">
        <f>IF(B9658="","",IFERROR(INDEX('Bad Patterns'!$A$2:$A$120,MATCH(1,INDEX(--ISNUMBER(SEARCH('Bad Patterns'!$A$2:$A$120,B9658)),0),0)),""))</f>
        <v/>
      </c>
      <c r="D9658">
        <f>IF(B9658="","",IF(C9658&lt;&gt;"","REMOVE","KEEP"))</f>
        <v/>
      </c>
      <c r="E9658">
        <f>IF(D9658&lt;&gt;"KEEP","",IF(RIGHT(B9658,10)="@gmail.com","Gmail",IF(OR(RIGHT(B9658,12)="@outlook.com",RIGHT(B9658,12)="@hotmail.com",RIGHT(B9658,9)="@live.com"),"Outlook","Domain")))</f>
        <v/>
      </c>
      <c r="F9658">
        <f>IF(B9658="","",IFERROR(RIGHT(B9658,LEN(B9658)-FIND("@",B9658)),""))</f>
        <v/>
      </c>
      <c r="G9658">
        <f>IF(D9658="KEEP",COUNTIF($D$2:D9658,"KEEP"),"")</f>
        <v/>
      </c>
      <c r="H9658">
        <f>IF(D9658="REMOVE",COUNTIF($D$2:D9658,"REMOVE"),"")</f>
        <v/>
      </c>
      <c r="I9658">
        <f>IF(E9658="Gmail",COUNTIF($E$2:E9658,"Gmail"),"")</f>
        <v/>
      </c>
      <c r="J9658">
        <f>IF(E9658="Outlook",COUNTIF($E$2:E9658,"Outlook"),"")</f>
        <v/>
      </c>
      <c r="K9658">
        <f>IF(E9658="Domain",COUNTIF($E$2:E9658,"Domain"),"")</f>
        <v/>
      </c>
    </row>
    <row r="9659">
      <c r="A9659" s="2" t="n"/>
      <c r="B9659">
        <f>LOWER(TRIM(A9659))</f>
        <v/>
      </c>
      <c r="C9659">
        <f>IF(B9659="","",IFERROR(INDEX('Bad Patterns'!$A$2:$A$120,MATCH(1,INDEX(--ISNUMBER(SEARCH('Bad Patterns'!$A$2:$A$120,B9659)),0),0)),""))</f>
        <v/>
      </c>
      <c r="D9659">
        <f>IF(B9659="","",IF(C9659&lt;&gt;"","REMOVE","KEEP"))</f>
        <v/>
      </c>
      <c r="E9659">
        <f>IF(D9659&lt;&gt;"KEEP","",IF(RIGHT(B9659,10)="@gmail.com","Gmail",IF(OR(RIGHT(B9659,12)="@outlook.com",RIGHT(B9659,12)="@hotmail.com",RIGHT(B9659,9)="@live.com"),"Outlook","Domain")))</f>
        <v/>
      </c>
      <c r="F9659">
        <f>IF(B9659="","",IFERROR(RIGHT(B9659,LEN(B9659)-FIND("@",B9659)),""))</f>
        <v/>
      </c>
      <c r="G9659">
        <f>IF(D9659="KEEP",COUNTIF($D$2:D9659,"KEEP"),"")</f>
        <v/>
      </c>
      <c r="H9659">
        <f>IF(D9659="REMOVE",COUNTIF($D$2:D9659,"REMOVE"),"")</f>
        <v/>
      </c>
      <c r="I9659">
        <f>IF(E9659="Gmail",COUNTIF($E$2:E9659,"Gmail"),"")</f>
        <v/>
      </c>
      <c r="J9659">
        <f>IF(E9659="Outlook",COUNTIF($E$2:E9659,"Outlook"),"")</f>
        <v/>
      </c>
      <c r="K9659">
        <f>IF(E9659="Domain",COUNTIF($E$2:E9659,"Domain"),"")</f>
        <v/>
      </c>
    </row>
    <row r="9660">
      <c r="A9660" s="2" t="n"/>
      <c r="B9660">
        <f>LOWER(TRIM(A9660))</f>
        <v/>
      </c>
      <c r="C9660">
        <f>IF(B9660="","",IFERROR(INDEX('Bad Patterns'!$A$2:$A$120,MATCH(1,INDEX(--ISNUMBER(SEARCH('Bad Patterns'!$A$2:$A$120,B9660)),0),0)),""))</f>
        <v/>
      </c>
      <c r="D9660">
        <f>IF(B9660="","",IF(C9660&lt;&gt;"","REMOVE","KEEP"))</f>
        <v/>
      </c>
      <c r="E9660">
        <f>IF(D9660&lt;&gt;"KEEP","",IF(RIGHT(B9660,10)="@gmail.com","Gmail",IF(OR(RIGHT(B9660,12)="@outlook.com",RIGHT(B9660,12)="@hotmail.com",RIGHT(B9660,9)="@live.com"),"Outlook","Domain")))</f>
        <v/>
      </c>
      <c r="F9660">
        <f>IF(B9660="","",IFERROR(RIGHT(B9660,LEN(B9660)-FIND("@",B9660)),""))</f>
        <v/>
      </c>
      <c r="G9660">
        <f>IF(D9660="KEEP",COUNTIF($D$2:D9660,"KEEP"),"")</f>
        <v/>
      </c>
      <c r="H9660">
        <f>IF(D9660="REMOVE",COUNTIF($D$2:D9660,"REMOVE"),"")</f>
        <v/>
      </c>
      <c r="I9660">
        <f>IF(E9660="Gmail",COUNTIF($E$2:E9660,"Gmail"),"")</f>
        <v/>
      </c>
      <c r="J9660">
        <f>IF(E9660="Outlook",COUNTIF($E$2:E9660,"Outlook"),"")</f>
        <v/>
      </c>
      <c r="K9660">
        <f>IF(E9660="Domain",COUNTIF($E$2:E9660,"Domain"),"")</f>
        <v/>
      </c>
    </row>
    <row r="9661">
      <c r="A9661" s="2" t="n"/>
      <c r="B9661">
        <f>LOWER(TRIM(A9661))</f>
        <v/>
      </c>
      <c r="C9661">
        <f>IF(B9661="","",IFERROR(INDEX('Bad Patterns'!$A$2:$A$120,MATCH(1,INDEX(--ISNUMBER(SEARCH('Bad Patterns'!$A$2:$A$120,B9661)),0),0)),""))</f>
        <v/>
      </c>
      <c r="D9661">
        <f>IF(B9661="","",IF(C9661&lt;&gt;"","REMOVE","KEEP"))</f>
        <v/>
      </c>
      <c r="E9661">
        <f>IF(D9661&lt;&gt;"KEEP","",IF(RIGHT(B9661,10)="@gmail.com","Gmail",IF(OR(RIGHT(B9661,12)="@outlook.com",RIGHT(B9661,12)="@hotmail.com",RIGHT(B9661,9)="@live.com"),"Outlook","Domain")))</f>
        <v/>
      </c>
      <c r="F9661">
        <f>IF(B9661="","",IFERROR(RIGHT(B9661,LEN(B9661)-FIND("@",B9661)),""))</f>
        <v/>
      </c>
      <c r="G9661">
        <f>IF(D9661="KEEP",COUNTIF($D$2:D9661,"KEEP"),"")</f>
        <v/>
      </c>
      <c r="H9661">
        <f>IF(D9661="REMOVE",COUNTIF($D$2:D9661,"REMOVE"),"")</f>
        <v/>
      </c>
      <c r="I9661">
        <f>IF(E9661="Gmail",COUNTIF($E$2:E9661,"Gmail"),"")</f>
        <v/>
      </c>
      <c r="J9661">
        <f>IF(E9661="Outlook",COUNTIF($E$2:E9661,"Outlook"),"")</f>
        <v/>
      </c>
      <c r="K9661">
        <f>IF(E9661="Domain",COUNTIF($E$2:E9661,"Domain"),"")</f>
        <v/>
      </c>
    </row>
    <row r="9662">
      <c r="A9662" s="2" t="n"/>
      <c r="B9662">
        <f>LOWER(TRIM(A9662))</f>
        <v/>
      </c>
      <c r="C9662">
        <f>IF(B9662="","",IFERROR(INDEX('Bad Patterns'!$A$2:$A$120,MATCH(1,INDEX(--ISNUMBER(SEARCH('Bad Patterns'!$A$2:$A$120,B9662)),0),0)),""))</f>
        <v/>
      </c>
      <c r="D9662">
        <f>IF(B9662="","",IF(C9662&lt;&gt;"","REMOVE","KEEP"))</f>
        <v/>
      </c>
      <c r="E9662">
        <f>IF(D9662&lt;&gt;"KEEP","",IF(RIGHT(B9662,10)="@gmail.com","Gmail",IF(OR(RIGHT(B9662,12)="@outlook.com",RIGHT(B9662,12)="@hotmail.com",RIGHT(B9662,9)="@live.com"),"Outlook","Domain")))</f>
        <v/>
      </c>
      <c r="F9662">
        <f>IF(B9662="","",IFERROR(RIGHT(B9662,LEN(B9662)-FIND("@",B9662)),""))</f>
        <v/>
      </c>
      <c r="G9662">
        <f>IF(D9662="KEEP",COUNTIF($D$2:D9662,"KEEP"),"")</f>
        <v/>
      </c>
      <c r="H9662">
        <f>IF(D9662="REMOVE",COUNTIF($D$2:D9662,"REMOVE"),"")</f>
        <v/>
      </c>
      <c r="I9662">
        <f>IF(E9662="Gmail",COUNTIF($E$2:E9662,"Gmail"),"")</f>
        <v/>
      </c>
      <c r="J9662">
        <f>IF(E9662="Outlook",COUNTIF($E$2:E9662,"Outlook"),"")</f>
        <v/>
      </c>
      <c r="K9662">
        <f>IF(E9662="Domain",COUNTIF($E$2:E9662,"Domain"),"")</f>
        <v/>
      </c>
    </row>
    <row r="9663">
      <c r="A9663" s="2" t="n"/>
      <c r="B9663">
        <f>LOWER(TRIM(A9663))</f>
        <v/>
      </c>
      <c r="C9663">
        <f>IF(B9663="","",IFERROR(INDEX('Bad Patterns'!$A$2:$A$120,MATCH(1,INDEX(--ISNUMBER(SEARCH('Bad Patterns'!$A$2:$A$120,B9663)),0),0)),""))</f>
        <v/>
      </c>
      <c r="D9663">
        <f>IF(B9663="","",IF(C9663&lt;&gt;"","REMOVE","KEEP"))</f>
        <v/>
      </c>
      <c r="E9663">
        <f>IF(D9663&lt;&gt;"KEEP","",IF(RIGHT(B9663,10)="@gmail.com","Gmail",IF(OR(RIGHT(B9663,12)="@outlook.com",RIGHT(B9663,12)="@hotmail.com",RIGHT(B9663,9)="@live.com"),"Outlook","Domain")))</f>
        <v/>
      </c>
      <c r="F9663">
        <f>IF(B9663="","",IFERROR(RIGHT(B9663,LEN(B9663)-FIND("@",B9663)),""))</f>
        <v/>
      </c>
      <c r="G9663">
        <f>IF(D9663="KEEP",COUNTIF($D$2:D9663,"KEEP"),"")</f>
        <v/>
      </c>
      <c r="H9663">
        <f>IF(D9663="REMOVE",COUNTIF($D$2:D9663,"REMOVE"),"")</f>
        <v/>
      </c>
      <c r="I9663">
        <f>IF(E9663="Gmail",COUNTIF($E$2:E9663,"Gmail"),"")</f>
        <v/>
      </c>
      <c r="J9663">
        <f>IF(E9663="Outlook",COUNTIF($E$2:E9663,"Outlook"),"")</f>
        <v/>
      </c>
      <c r="K9663">
        <f>IF(E9663="Domain",COUNTIF($E$2:E9663,"Domain"),"")</f>
        <v/>
      </c>
    </row>
    <row r="9664">
      <c r="A9664" s="2" t="n"/>
      <c r="B9664">
        <f>LOWER(TRIM(A9664))</f>
        <v/>
      </c>
      <c r="C9664">
        <f>IF(B9664="","",IFERROR(INDEX('Bad Patterns'!$A$2:$A$120,MATCH(1,INDEX(--ISNUMBER(SEARCH('Bad Patterns'!$A$2:$A$120,B9664)),0),0)),""))</f>
        <v/>
      </c>
      <c r="D9664">
        <f>IF(B9664="","",IF(C9664&lt;&gt;"","REMOVE","KEEP"))</f>
        <v/>
      </c>
      <c r="E9664">
        <f>IF(D9664&lt;&gt;"KEEP","",IF(RIGHT(B9664,10)="@gmail.com","Gmail",IF(OR(RIGHT(B9664,12)="@outlook.com",RIGHT(B9664,12)="@hotmail.com",RIGHT(B9664,9)="@live.com"),"Outlook","Domain")))</f>
        <v/>
      </c>
      <c r="F9664">
        <f>IF(B9664="","",IFERROR(RIGHT(B9664,LEN(B9664)-FIND("@",B9664)),""))</f>
        <v/>
      </c>
      <c r="G9664">
        <f>IF(D9664="KEEP",COUNTIF($D$2:D9664,"KEEP"),"")</f>
        <v/>
      </c>
      <c r="H9664">
        <f>IF(D9664="REMOVE",COUNTIF($D$2:D9664,"REMOVE"),"")</f>
        <v/>
      </c>
      <c r="I9664">
        <f>IF(E9664="Gmail",COUNTIF($E$2:E9664,"Gmail"),"")</f>
        <v/>
      </c>
      <c r="J9664">
        <f>IF(E9664="Outlook",COUNTIF($E$2:E9664,"Outlook"),"")</f>
        <v/>
      </c>
      <c r="K9664">
        <f>IF(E9664="Domain",COUNTIF($E$2:E9664,"Domain"),"")</f>
        <v/>
      </c>
    </row>
    <row r="9665">
      <c r="A9665" s="2" t="n"/>
      <c r="B9665">
        <f>LOWER(TRIM(A9665))</f>
        <v/>
      </c>
      <c r="C9665">
        <f>IF(B9665="","",IFERROR(INDEX('Bad Patterns'!$A$2:$A$120,MATCH(1,INDEX(--ISNUMBER(SEARCH('Bad Patterns'!$A$2:$A$120,B9665)),0),0)),""))</f>
        <v/>
      </c>
      <c r="D9665">
        <f>IF(B9665="","",IF(C9665&lt;&gt;"","REMOVE","KEEP"))</f>
        <v/>
      </c>
      <c r="E9665">
        <f>IF(D9665&lt;&gt;"KEEP","",IF(RIGHT(B9665,10)="@gmail.com","Gmail",IF(OR(RIGHT(B9665,12)="@outlook.com",RIGHT(B9665,12)="@hotmail.com",RIGHT(B9665,9)="@live.com"),"Outlook","Domain")))</f>
        <v/>
      </c>
      <c r="F9665">
        <f>IF(B9665="","",IFERROR(RIGHT(B9665,LEN(B9665)-FIND("@",B9665)),""))</f>
        <v/>
      </c>
      <c r="G9665">
        <f>IF(D9665="KEEP",COUNTIF($D$2:D9665,"KEEP"),"")</f>
        <v/>
      </c>
      <c r="H9665">
        <f>IF(D9665="REMOVE",COUNTIF($D$2:D9665,"REMOVE"),"")</f>
        <v/>
      </c>
      <c r="I9665">
        <f>IF(E9665="Gmail",COUNTIF($E$2:E9665,"Gmail"),"")</f>
        <v/>
      </c>
      <c r="J9665">
        <f>IF(E9665="Outlook",COUNTIF($E$2:E9665,"Outlook"),"")</f>
        <v/>
      </c>
      <c r="K9665">
        <f>IF(E9665="Domain",COUNTIF($E$2:E9665,"Domain"),"")</f>
        <v/>
      </c>
    </row>
    <row r="9666">
      <c r="A9666" s="2" t="n"/>
      <c r="B9666">
        <f>LOWER(TRIM(A9666))</f>
        <v/>
      </c>
      <c r="C9666">
        <f>IF(B9666="","",IFERROR(INDEX('Bad Patterns'!$A$2:$A$120,MATCH(1,INDEX(--ISNUMBER(SEARCH('Bad Patterns'!$A$2:$A$120,B9666)),0),0)),""))</f>
        <v/>
      </c>
      <c r="D9666">
        <f>IF(B9666="","",IF(C9666&lt;&gt;"","REMOVE","KEEP"))</f>
        <v/>
      </c>
      <c r="E9666">
        <f>IF(D9666&lt;&gt;"KEEP","",IF(RIGHT(B9666,10)="@gmail.com","Gmail",IF(OR(RIGHT(B9666,12)="@outlook.com",RIGHT(B9666,12)="@hotmail.com",RIGHT(B9666,9)="@live.com"),"Outlook","Domain")))</f>
        <v/>
      </c>
      <c r="F9666">
        <f>IF(B9666="","",IFERROR(RIGHT(B9666,LEN(B9666)-FIND("@",B9666)),""))</f>
        <v/>
      </c>
      <c r="G9666">
        <f>IF(D9666="KEEP",COUNTIF($D$2:D9666,"KEEP"),"")</f>
        <v/>
      </c>
      <c r="H9666">
        <f>IF(D9666="REMOVE",COUNTIF($D$2:D9666,"REMOVE"),"")</f>
        <v/>
      </c>
      <c r="I9666">
        <f>IF(E9666="Gmail",COUNTIF($E$2:E9666,"Gmail"),"")</f>
        <v/>
      </c>
      <c r="J9666">
        <f>IF(E9666="Outlook",COUNTIF($E$2:E9666,"Outlook"),"")</f>
        <v/>
      </c>
      <c r="K9666">
        <f>IF(E9666="Domain",COUNTIF($E$2:E9666,"Domain"),"")</f>
        <v/>
      </c>
    </row>
    <row r="9667">
      <c r="A9667" s="2" t="n"/>
      <c r="B9667">
        <f>LOWER(TRIM(A9667))</f>
        <v/>
      </c>
      <c r="C9667">
        <f>IF(B9667="","",IFERROR(INDEX('Bad Patterns'!$A$2:$A$120,MATCH(1,INDEX(--ISNUMBER(SEARCH('Bad Patterns'!$A$2:$A$120,B9667)),0),0)),""))</f>
        <v/>
      </c>
      <c r="D9667">
        <f>IF(B9667="","",IF(C9667&lt;&gt;"","REMOVE","KEEP"))</f>
        <v/>
      </c>
      <c r="E9667">
        <f>IF(D9667&lt;&gt;"KEEP","",IF(RIGHT(B9667,10)="@gmail.com","Gmail",IF(OR(RIGHT(B9667,12)="@outlook.com",RIGHT(B9667,12)="@hotmail.com",RIGHT(B9667,9)="@live.com"),"Outlook","Domain")))</f>
        <v/>
      </c>
      <c r="F9667">
        <f>IF(B9667="","",IFERROR(RIGHT(B9667,LEN(B9667)-FIND("@",B9667)),""))</f>
        <v/>
      </c>
      <c r="G9667">
        <f>IF(D9667="KEEP",COUNTIF($D$2:D9667,"KEEP"),"")</f>
        <v/>
      </c>
      <c r="H9667">
        <f>IF(D9667="REMOVE",COUNTIF($D$2:D9667,"REMOVE"),"")</f>
        <v/>
      </c>
      <c r="I9667">
        <f>IF(E9667="Gmail",COUNTIF($E$2:E9667,"Gmail"),"")</f>
        <v/>
      </c>
      <c r="J9667">
        <f>IF(E9667="Outlook",COUNTIF($E$2:E9667,"Outlook"),"")</f>
        <v/>
      </c>
      <c r="K9667">
        <f>IF(E9667="Domain",COUNTIF($E$2:E9667,"Domain"),"")</f>
        <v/>
      </c>
    </row>
    <row r="9668">
      <c r="A9668" s="2" t="n"/>
      <c r="B9668">
        <f>LOWER(TRIM(A9668))</f>
        <v/>
      </c>
      <c r="C9668">
        <f>IF(B9668="","",IFERROR(INDEX('Bad Patterns'!$A$2:$A$120,MATCH(1,INDEX(--ISNUMBER(SEARCH('Bad Patterns'!$A$2:$A$120,B9668)),0),0)),""))</f>
        <v/>
      </c>
      <c r="D9668">
        <f>IF(B9668="","",IF(C9668&lt;&gt;"","REMOVE","KEEP"))</f>
        <v/>
      </c>
      <c r="E9668">
        <f>IF(D9668&lt;&gt;"KEEP","",IF(RIGHT(B9668,10)="@gmail.com","Gmail",IF(OR(RIGHT(B9668,12)="@outlook.com",RIGHT(B9668,12)="@hotmail.com",RIGHT(B9668,9)="@live.com"),"Outlook","Domain")))</f>
        <v/>
      </c>
      <c r="F9668">
        <f>IF(B9668="","",IFERROR(RIGHT(B9668,LEN(B9668)-FIND("@",B9668)),""))</f>
        <v/>
      </c>
      <c r="G9668">
        <f>IF(D9668="KEEP",COUNTIF($D$2:D9668,"KEEP"),"")</f>
        <v/>
      </c>
      <c r="H9668">
        <f>IF(D9668="REMOVE",COUNTIF($D$2:D9668,"REMOVE"),"")</f>
        <v/>
      </c>
      <c r="I9668">
        <f>IF(E9668="Gmail",COUNTIF($E$2:E9668,"Gmail"),"")</f>
        <v/>
      </c>
      <c r="J9668">
        <f>IF(E9668="Outlook",COUNTIF($E$2:E9668,"Outlook"),"")</f>
        <v/>
      </c>
      <c r="K9668">
        <f>IF(E9668="Domain",COUNTIF($E$2:E9668,"Domain"),"")</f>
        <v/>
      </c>
    </row>
    <row r="9669">
      <c r="A9669" s="2" t="n"/>
      <c r="B9669">
        <f>LOWER(TRIM(A9669))</f>
        <v/>
      </c>
      <c r="C9669">
        <f>IF(B9669="","",IFERROR(INDEX('Bad Patterns'!$A$2:$A$120,MATCH(1,INDEX(--ISNUMBER(SEARCH('Bad Patterns'!$A$2:$A$120,B9669)),0),0)),""))</f>
        <v/>
      </c>
      <c r="D9669">
        <f>IF(B9669="","",IF(C9669&lt;&gt;"","REMOVE","KEEP"))</f>
        <v/>
      </c>
      <c r="E9669">
        <f>IF(D9669&lt;&gt;"KEEP","",IF(RIGHT(B9669,10)="@gmail.com","Gmail",IF(OR(RIGHT(B9669,12)="@outlook.com",RIGHT(B9669,12)="@hotmail.com",RIGHT(B9669,9)="@live.com"),"Outlook","Domain")))</f>
        <v/>
      </c>
      <c r="F9669">
        <f>IF(B9669="","",IFERROR(RIGHT(B9669,LEN(B9669)-FIND("@",B9669)),""))</f>
        <v/>
      </c>
      <c r="G9669">
        <f>IF(D9669="KEEP",COUNTIF($D$2:D9669,"KEEP"),"")</f>
        <v/>
      </c>
      <c r="H9669">
        <f>IF(D9669="REMOVE",COUNTIF($D$2:D9669,"REMOVE"),"")</f>
        <v/>
      </c>
      <c r="I9669">
        <f>IF(E9669="Gmail",COUNTIF($E$2:E9669,"Gmail"),"")</f>
        <v/>
      </c>
      <c r="J9669">
        <f>IF(E9669="Outlook",COUNTIF($E$2:E9669,"Outlook"),"")</f>
        <v/>
      </c>
      <c r="K9669">
        <f>IF(E9669="Domain",COUNTIF($E$2:E9669,"Domain"),"")</f>
        <v/>
      </c>
    </row>
    <row r="9670">
      <c r="A9670" s="2" t="n"/>
      <c r="B9670">
        <f>LOWER(TRIM(A9670))</f>
        <v/>
      </c>
      <c r="C9670">
        <f>IF(B9670="","",IFERROR(INDEX('Bad Patterns'!$A$2:$A$120,MATCH(1,INDEX(--ISNUMBER(SEARCH('Bad Patterns'!$A$2:$A$120,B9670)),0),0)),""))</f>
        <v/>
      </c>
      <c r="D9670">
        <f>IF(B9670="","",IF(C9670&lt;&gt;"","REMOVE","KEEP"))</f>
        <v/>
      </c>
      <c r="E9670">
        <f>IF(D9670&lt;&gt;"KEEP","",IF(RIGHT(B9670,10)="@gmail.com","Gmail",IF(OR(RIGHT(B9670,12)="@outlook.com",RIGHT(B9670,12)="@hotmail.com",RIGHT(B9670,9)="@live.com"),"Outlook","Domain")))</f>
        <v/>
      </c>
      <c r="F9670">
        <f>IF(B9670="","",IFERROR(RIGHT(B9670,LEN(B9670)-FIND("@",B9670)),""))</f>
        <v/>
      </c>
      <c r="G9670">
        <f>IF(D9670="KEEP",COUNTIF($D$2:D9670,"KEEP"),"")</f>
        <v/>
      </c>
      <c r="H9670">
        <f>IF(D9670="REMOVE",COUNTIF($D$2:D9670,"REMOVE"),"")</f>
        <v/>
      </c>
      <c r="I9670">
        <f>IF(E9670="Gmail",COUNTIF($E$2:E9670,"Gmail"),"")</f>
        <v/>
      </c>
      <c r="J9670">
        <f>IF(E9670="Outlook",COUNTIF($E$2:E9670,"Outlook"),"")</f>
        <v/>
      </c>
      <c r="K9670">
        <f>IF(E9670="Domain",COUNTIF($E$2:E9670,"Domain"),"")</f>
        <v/>
      </c>
    </row>
    <row r="9671">
      <c r="A9671" s="2" t="n"/>
      <c r="B9671">
        <f>LOWER(TRIM(A9671))</f>
        <v/>
      </c>
      <c r="C9671">
        <f>IF(B9671="","",IFERROR(INDEX('Bad Patterns'!$A$2:$A$120,MATCH(1,INDEX(--ISNUMBER(SEARCH('Bad Patterns'!$A$2:$A$120,B9671)),0),0)),""))</f>
        <v/>
      </c>
      <c r="D9671">
        <f>IF(B9671="","",IF(C9671&lt;&gt;"","REMOVE","KEEP"))</f>
        <v/>
      </c>
      <c r="E9671">
        <f>IF(D9671&lt;&gt;"KEEP","",IF(RIGHT(B9671,10)="@gmail.com","Gmail",IF(OR(RIGHT(B9671,12)="@outlook.com",RIGHT(B9671,12)="@hotmail.com",RIGHT(B9671,9)="@live.com"),"Outlook","Domain")))</f>
        <v/>
      </c>
      <c r="F9671">
        <f>IF(B9671="","",IFERROR(RIGHT(B9671,LEN(B9671)-FIND("@",B9671)),""))</f>
        <v/>
      </c>
      <c r="G9671">
        <f>IF(D9671="KEEP",COUNTIF($D$2:D9671,"KEEP"),"")</f>
        <v/>
      </c>
      <c r="H9671">
        <f>IF(D9671="REMOVE",COUNTIF($D$2:D9671,"REMOVE"),"")</f>
        <v/>
      </c>
      <c r="I9671">
        <f>IF(E9671="Gmail",COUNTIF($E$2:E9671,"Gmail"),"")</f>
        <v/>
      </c>
      <c r="J9671">
        <f>IF(E9671="Outlook",COUNTIF($E$2:E9671,"Outlook"),"")</f>
        <v/>
      </c>
      <c r="K9671">
        <f>IF(E9671="Domain",COUNTIF($E$2:E9671,"Domain"),"")</f>
        <v/>
      </c>
    </row>
    <row r="9672">
      <c r="A9672" s="2" t="n"/>
      <c r="B9672">
        <f>LOWER(TRIM(A9672))</f>
        <v/>
      </c>
      <c r="C9672">
        <f>IF(B9672="","",IFERROR(INDEX('Bad Patterns'!$A$2:$A$120,MATCH(1,INDEX(--ISNUMBER(SEARCH('Bad Patterns'!$A$2:$A$120,B9672)),0),0)),""))</f>
        <v/>
      </c>
      <c r="D9672">
        <f>IF(B9672="","",IF(C9672&lt;&gt;"","REMOVE","KEEP"))</f>
        <v/>
      </c>
      <c r="E9672">
        <f>IF(D9672&lt;&gt;"KEEP","",IF(RIGHT(B9672,10)="@gmail.com","Gmail",IF(OR(RIGHT(B9672,12)="@outlook.com",RIGHT(B9672,12)="@hotmail.com",RIGHT(B9672,9)="@live.com"),"Outlook","Domain")))</f>
        <v/>
      </c>
      <c r="F9672">
        <f>IF(B9672="","",IFERROR(RIGHT(B9672,LEN(B9672)-FIND("@",B9672)),""))</f>
        <v/>
      </c>
      <c r="G9672">
        <f>IF(D9672="KEEP",COUNTIF($D$2:D9672,"KEEP"),"")</f>
        <v/>
      </c>
      <c r="H9672">
        <f>IF(D9672="REMOVE",COUNTIF($D$2:D9672,"REMOVE"),"")</f>
        <v/>
      </c>
      <c r="I9672">
        <f>IF(E9672="Gmail",COUNTIF($E$2:E9672,"Gmail"),"")</f>
        <v/>
      </c>
      <c r="J9672">
        <f>IF(E9672="Outlook",COUNTIF($E$2:E9672,"Outlook"),"")</f>
        <v/>
      </c>
      <c r="K9672">
        <f>IF(E9672="Domain",COUNTIF($E$2:E9672,"Domain"),"")</f>
        <v/>
      </c>
    </row>
    <row r="9673">
      <c r="A9673" s="2" t="n"/>
      <c r="B9673">
        <f>LOWER(TRIM(A9673))</f>
        <v/>
      </c>
      <c r="C9673">
        <f>IF(B9673="","",IFERROR(INDEX('Bad Patterns'!$A$2:$A$120,MATCH(1,INDEX(--ISNUMBER(SEARCH('Bad Patterns'!$A$2:$A$120,B9673)),0),0)),""))</f>
        <v/>
      </c>
      <c r="D9673">
        <f>IF(B9673="","",IF(C9673&lt;&gt;"","REMOVE","KEEP"))</f>
        <v/>
      </c>
      <c r="E9673">
        <f>IF(D9673&lt;&gt;"KEEP","",IF(RIGHT(B9673,10)="@gmail.com","Gmail",IF(OR(RIGHT(B9673,12)="@outlook.com",RIGHT(B9673,12)="@hotmail.com",RIGHT(B9673,9)="@live.com"),"Outlook","Domain")))</f>
        <v/>
      </c>
      <c r="F9673">
        <f>IF(B9673="","",IFERROR(RIGHT(B9673,LEN(B9673)-FIND("@",B9673)),""))</f>
        <v/>
      </c>
      <c r="G9673">
        <f>IF(D9673="KEEP",COUNTIF($D$2:D9673,"KEEP"),"")</f>
        <v/>
      </c>
      <c r="H9673">
        <f>IF(D9673="REMOVE",COUNTIF($D$2:D9673,"REMOVE"),"")</f>
        <v/>
      </c>
      <c r="I9673">
        <f>IF(E9673="Gmail",COUNTIF($E$2:E9673,"Gmail"),"")</f>
        <v/>
      </c>
      <c r="J9673">
        <f>IF(E9673="Outlook",COUNTIF($E$2:E9673,"Outlook"),"")</f>
        <v/>
      </c>
      <c r="K9673">
        <f>IF(E9673="Domain",COUNTIF($E$2:E9673,"Domain"),"")</f>
        <v/>
      </c>
    </row>
    <row r="9674">
      <c r="A9674" s="2" t="n"/>
      <c r="B9674">
        <f>LOWER(TRIM(A9674))</f>
        <v/>
      </c>
      <c r="C9674">
        <f>IF(B9674="","",IFERROR(INDEX('Bad Patterns'!$A$2:$A$120,MATCH(1,INDEX(--ISNUMBER(SEARCH('Bad Patterns'!$A$2:$A$120,B9674)),0),0)),""))</f>
        <v/>
      </c>
      <c r="D9674">
        <f>IF(B9674="","",IF(C9674&lt;&gt;"","REMOVE","KEEP"))</f>
        <v/>
      </c>
      <c r="E9674">
        <f>IF(D9674&lt;&gt;"KEEP","",IF(RIGHT(B9674,10)="@gmail.com","Gmail",IF(OR(RIGHT(B9674,12)="@outlook.com",RIGHT(B9674,12)="@hotmail.com",RIGHT(B9674,9)="@live.com"),"Outlook","Domain")))</f>
        <v/>
      </c>
      <c r="F9674">
        <f>IF(B9674="","",IFERROR(RIGHT(B9674,LEN(B9674)-FIND("@",B9674)),""))</f>
        <v/>
      </c>
      <c r="G9674">
        <f>IF(D9674="KEEP",COUNTIF($D$2:D9674,"KEEP"),"")</f>
        <v/>
      </c>
      <c r="H9674">
        <f>IF(D9674="REMOVE",COUNTIF($D$2:D9674,"REMOVE"),"")</f>
        <v/>
      </c>
      <c r="I9674">
        <f>IF(E9674="Gmail",COUNTIF($E$2:E9674,"Gmail"),"")</f>
        <v/>
      </c>
      <c r="J9674">
        <f>IF(E9674="Outlook",COUNTIF($E$2:E9674,"Outlook"),"")</f>
        <v/>
      </c>
      <c r="K9674">
        <f>IF(E9674="Domain",COUNTIF($E$2:E9674,"Domain"),"")</f>
        <v/>
      </c>
    </row>
    <row r="9675">
      <c r="A9675" s="2" t="n"/>
      <c r="B9675">
        <f>LOWER(TRIM(A9675))</f>
        <v/>
      </c>
      <c r="C9675">
        <f>IF(B9675="","",IFERROR(INDEX('Bad Patterns'!$A$2:$A$120,MATCH(1,INDEX(--ISNUMBER(SEARCH('Bad Patterns'!$A$2:$A$120,B9675)),0),0)),""))</f>
        <v/>
      </c>
      <c r="D9675">
        <f>IF(B9675="","",IF(C9675&lt;&gt;"","REMOVE","KEEP"))</f>
        <v/>
      </c>
      <c r="E9675">
        <f>IF(D9675&lt;&gt;"KEEP","",IF(RIGHT(B9675,10)="@gmail.com","Gmail",IF(OR(RIGHT(B9675,12)="@outlook.com",RIGHT(B9675,12)="@hotmail.com",RIGHT(B9675,9)="@live.com"),"Outlook","Domain")))</f>
        <v/>
      </c>
      <c r="F9675">
        <f>IF(B9675="","",IFERROR(RIGHT(B9675,LEN(B9675)-FIND("@",B9675)),""))</f>
        <v/>
      </c>
      <c r="G9675">
        <f>IF(D9675="KEEP",COUNTIF($D$2:D9675,"KEEP"),"")</f>
        <v/>
      </c>
      <c r="H9675">
        <f>IF(D9675="REMOVE",COUNTIF($D$2:D9675,"REMOVE"),"")</f>
        <v/>
      </c>
      <c r="I9675">
        <f>IF(E9675="Gmail",COUNTIF($E$2:E9675,"Gmail"),"")</f>
        <v/>
      </c>
      <c r="J9675">
        <f>IF(E9675="Outlook",COUNTIF($E$2:E9675,"Outlook"),"")</f>
        <v/>
      </c>
      <c r="K9675">
        <f>IF(E9675="Domain",COUNTIF($E$2:E9675,"Domain"),"")</f>
        <v/>
      </c>
    </row>
    <row r="9676">
      <c r="A9676" s="2" t="n"/>
      <c r="B9676">
        <f>LOWER(TRIM(A9676))</f>
        <v/>
      </c>
      <c r="C9676">
        <f>IF(B9676="","",IFERROR(INDEX('Bad Patterns'!$A$2:$A$120,MATCH(1,INDEX(--ISNUMBER(SEARCH('Bad Patterns'!$A$2:$A$120,B9676)),0),0)),""))</f>
        <v/>
      </c>
      <c r="D9676">
        <f>IF(B9676="","",IF(C9676&lt;&gt;"","REMOVE","KEEP"))</f>
        <v/>
      </c>
      <c r="E9676">
        <f>IF(D9676&lt;&gt;"KEEP","",IF(RIGHT(B9676,10)="@gmail.com","Gmail",IF(OR(RIGHT(B9676,12)="@outlook.com",RIGHT(B9676,12)="@hotmail.com",RIGHT(B9676,9)="@live.com"),"Outlook","Domain")))</f>
        <v/>
      </c>
      <c r="F9676">
        <f>IF(B9676="","",IFERROR(RIGHT(B9676,LEN(B9676)-FIND("@",B9676)),""))</f>
        <v/>
      </c>
      <c r="G9676">
        <f>IF(D9676="KEEP",COUNTIF($D$2:D9676,"KEEP"),"")</f>
        <v/>
      </c>
      <c r="H9676">
        <f>IF(D9676="REMOVE",COUNTIF($D$2:D9676,"REMOVE"),"")</f>
        <v/>
      </c>
      <c r="I9676">
        <f>IF(E9676="Gmail",COUNTIF($E$2:E9676,"Gmail"),"")</f>
        <v/>
      </c>
      <c r="J9676">
        <f>IF(E9676="Outlook",COUNTIF($E$2:E9676,"Outlook"),"")</f>
        <v/>
      </c>
      <c r="K9676">
        <f>IF(E9676="Domain",COUNTIF($E$2:E9676,"Domain"),"")</f>
        <v/>
      </c>
    </row>
    <row r="9677">
      <c r="A9677" s="2" t="n"/>
      <c r="B9677">
        <f>LOWER(TRIM(A9677))</f>
        <v/>
      </c>
      <c r="C9677">
        <f>IF(B9677="","",IFERROR(INDEX('Bad Patterns'!$A$2:$A$120,MATCH(1,INDEX(--ISNUMBER(SEARCH('Bad Patterns'!$A$2:$A$120,B9677)),0),0)),""))</f>
        <v/>
      </c>
      <c r="D9677">
        <f>IF(B9677="","",IF(C9677&lt;&gt;"","REMOVE","KEEP"))</f>
        <v/>
      </c>
      <c r="E9677">
        <f>IF(D9677&lt;&gt;"KEEP","",IF(RIGHT(B9677,10)="@gmail.com","Gmail",IF(OR(RIGHT(B9677,12)="@outlook.com",RIGHT(B9677,12)="@hotmail.com",RIGHT(B9677,9)="@live.com"),"Outlook","Domain")))</f>
        <v/>
      </c>
      <c r="F9677">
        <f>IF(B9677="","",IFERROR(RIGHT(B9677,LEN(B9677)-FIND("@",B9677)),""))</f>
        <v/>
      </c>
      <c r="G9677">
        <f>IF(D9677="KEEP",COUNTIF($D$2:D9677,"KEEP"),"")</f>
        <v/>
      </c>
      <c r="H9677">
        <f>IF(D9677="REMOVE",COUNTIF($D$2:D9677,"REMOVE"),"")</f>
        <v/>
      </c>
      <c r="I9677">
        <f>IF(E9677="Gmail",COUNTIF($E$2:E9677,"Gmail"),"")</f>
        <v/>
      </c>
      <c r="J9677">
        <f>IF(E9677="Outlook",COUNTIF($E$2:E9677,"Outlook"),"")</f>
        <v/>
      </c>
      <c r="K9677">
        <f>IF(E9677="Domain",COUNTIF($E$2:E9677,"Domain"),"")</f>
        <v/>
      </c>
    </row>
    <row r="9678">
      <c r="A9678" s="2" t="n"/>
      <c r="B9678">
        <f>LOWER(TRIM(A9678))</f>
        <v/>
      </c>
      <c r="C9678">
        <f>IF(B9678="","",IFERROR(INDEX('Bad Patterns'!$A$2:$A$120,MATCH(1,INDEX(--ISNUMBER(SEARCH('Bad Patterns'!$A$2:$A$120,B9678)),0),0)),""))</f>
        <v/>
      </c>
      <c r="D9678">
        <f>IF(B9678="","",IF(C9678&lt;&gt;"","REMOVE","KEEP"))</f>
        <v/>
      </c>
      <c r="E9678">
        <f>IF(D9678&lt;&gt;"KEEP","",IF(RIGHT(B9678,10)="@gmail.com","Gmail",IF(OR(RIGHT(B9678,12)="@outlook.com",RIGHT(B9678,12)="@hotmail.com",RIGHT(B9678,9)="@live.com"),"Outlook","Domain")))</f>
        <v/>
      </c>
      <c r="F9678">
        <f>IF(B9678="","",IFERROR(RIGHT(B9678,LEN(B9678)-FIND("@",B9678)),""))</f>
        <v/>
      </c>
      <c r="G9678">
        <f>IF(D9678="KEEP",COUNTIF($D$2:D9678,"KEEP"),"")</f>
        <v/>
      </c>
      <c r="H9678">
        <f>IF(D9678="REMOVE",COUNTIF($D$2:D9678,"REMOVE"),"")</f>
        <v/>
      </c>
      <c r="I9678">
        <f>IF(E9678="Gmail",COUNTIF($E$2:E9678,"Gmail"),"")</f>
        <v/>
      </c>
      <c r="J9678">
        <f>IF(E9678="Outlook",COUNTIF($E$2:E9678,"Outlook"),"")</f>
        <v/>
      </c>
      <c r="K9678">
        <f>IF(E9678="Domain",COUNTIF($E$2:E9678,"Domain"),"")</f>
        <v/>
      </c>
    </row>
    <row r="9679">
      <c r="A9679" s="2" t="n"/>
      <c r="B9679">
        <f>LOWER(TRIM(A9679))</f>
        <v/>
      </c>
      <c r="C9679">
        <f>IF(B9679="","",IFERROR(INDEX('Bad Patterns'!$A$2:$A$120,MATCH(1,INDEX(--ISNUMBER(SEARCH('Bad Patterns'!$A$2:$A$120,B9679)),0),0)),""))</f>
        <v/>
      </c>
      <c r="D9679">
        <f>IF(B9679="","",IF(C9679&lt;&gt;"","REMOVE","KEEP"))</f>
        <v/>
      </c>
      <c r="E9679">
        <f>IF(D9679&lt;&gt;"KEEP","",IF(RIGHT(B9679,10)="@gmail.com","Gmail",IF(OR(RIGHT(B9679,12)="@outlook.com",RIGHT(B9679,12)="@hotmail.com",RIGHT(B9679,9)="@live.com"),"Outlook","Domain")))</f>
        <v/>
      </c>
      <c r="F9679">
        <f>IF(B9679="","",IFERROR(RIGHT(B9679,LEN(B9679)-FIND("@",B9679)),""))</f>
        <v/>
      </c>
      <c r="G9679">
        <f>IF(D9679="KEEP",COUNTIF($D$2:D9679,"KEEP"),"")</f>
        <v/>
      </c>
      <c r="H9679">
        <f>IF(D9679="REMOVE",COUNTIF($D$2:D9679,"REMOVE"),"")</f>
        <v/>
      </c>
      <c r="I9679">
        <f>IF(E9679="Gmail",COUNTIF($E$2:E9679,"Gmail"),"")</f>
        <v/>
      </c>
      <c r="J9679">
        <f>IF(E9679="Outlook",COUNTIF($E$2:E9679,"Outlook"),"")</f>
        <v/>
      </c>
      <c r="K9679">
        <f>IF(E9679="Domain",COUNTIF($E$2:E9679,"Domain"),"")</f>
        <v/>
      </c>
    </row>
    <row r="9680">
      <c r="A9680" s="2" t="n"/>
      <c r="B9680">
        <f>LOWER(TRIM(A9680))</f>
        <v/>
      </c>
      <c r="C9680">
        <f>IF(B9680="","",IFERROR(INDEX('Bad Patterns'!$A$2:$A$120,MATCH(1,INDEX(--ISNUMBER(SEARCH('Bad Patterns'!$A$2:$A$120,B9680)),0),0)),""))</f>
        <v/>
      </c>
      <c r="D9680">
        <f>IF(B9680="","",IF(C9680&lt;&gt;"","REMOVE","KEEP"))</f>
        <v/>
      </c>
      <c r="E9680">
        <f>IF(D9680&lt;&gt;"KEEP","",IF(RIGHT(B9680,10)="@gmail.com","Gmail",IF(OR(RIGHT(B9680,12)="@outlook.com",RIGHT(B9680,12)="@hotmail.com",RIGHT(B9680,9)="@live.com"),"Outlook","Domain")))</f>
        <v/>
      </c>
      <c r="F9680">
        <f>IF(B9680="","",IFERROR(RIGHT(B9680,LEN(B9680)-FIND("@",B9680)),""))</f>
        <v/>
      </c>
      <c r="G9680">
        <f>IF(D9680="KEEP",COUNTIF($D$2:D9680,"KEEP"),"")</f>
        <v/>
      </c>
      <c r="H9680">
        <f>IF(D9680="REMOVE",COUNTIF($D$2:D9680,"REMOVE"),"")</f>
        <v/>
      </c>
      <c r="I9680">
        <f>IF(E9680="Gmail",COUNTIF($E$2:E9680,"Gmail"),"")</f>
        <v/>
      </c>
      <c r="J9680">
        <f>IF(E9680="Outlook",COUNTIF($E$2:E9680,"Outlook"),"")</f>
        <v/>
      </c>
      <c r="K9680">
        <f>IF(E9680="Domain",COUNTIF($E$2:E9680,"Domain"),"")</f>
        <v/>
      </c>
    </row>
    <row r="9681">
      <c r="A9681" s="2" t="n"/>
      <c r="B9681">
        <f>LOWER(TRIM(A9681))</f>
        <v/>
      </c>
      <c r="C9681">
        <f>IF(B9681="","",IFERROR(INDEX('Bad Patterns'!$A$2:$A$120,MATCH(1,INDEX(--ISNUMBER(SEARCH('Bad Patterns'!$A$2:$A$120,B9681)),0),0)),""))</f>
        <v/>
      </c>
      <c r="D9681">
        <f>IF(B9681="","",IF(C9681&lt;&gt;"","REMOVE","KEEP"))</f>
        <v/>
      </c>
      <c r="E9681">
        <f>IF(D9681&lt;&gt;"KEEP","",IF(RIGHT(B9681,10)="@gmail.com","Gmail",IF(OR(RIGHT(B9681,12)="@outlook.com",RIGHT(B9681,12)="@hotmail.com",RIGHT(B9681,9)="@live.com"),"Outlook","Domain")))</f>
        <v/>
      </c>
      <c r="F9681">
        <f>IF(B9681="","",IFERROR(RIGHT(B9681,LEN(B9681)-FIND("@",B9681)),""))</f>
        <v/>
      </c>
      <c r="G9681">
        <f>IF(D9681="KEEP",COUNTIF($D$2:D9681,"KEEP"),"")</f>
        <v/>
      </c>
      <c r="H9681">
        <f>IF(D9681="REMOVE",COUNTIF($D$2:D9681,"REMOVE"),"")</f>
        <v/>
      </c>
      <c r="I9681">
        <f>IF(E9681="Gmail",COUNTIF($E$2:E9681,"Gmail"),"")</f>
        <v/>
      </c>
      <c r="J9681">
        <f>IF(E9681="Outlook",COUNTIF($E$2:E9681,"Outlook"),"")</f>
        <v/>
      </c>
      <c r="K9681">
        <f>IF(E9681="Domain",COUNTIF($E$2:E9681,"Domain"),"")</f>
        <v/>
      </c>
    </row>
    <row r="9682">
      <c r="A9682" s="2" t="n"/>
      <c r="B9682">
        <f>LOWER(TRIM(A9682))</f>
        <v/>
      </c>
      <c r="C9682">
        <f>IF(B9682="","",IFERROR(INDEX('Bad Patterns'!$A$2:$A$120,MATCH(1,INDEX(--ISNUMBER(SEARCH('Bad Patterns'!$A$2:$A$120,B9682)),0),0)),""))</f>
        <v/>
      </c>
      <c r="D9682">
        <f>IF(B9682="","",IF(C9682&lt;&gt;"","REMOVE","KEEP"))</f>
        <v/>
      </c>
      <c r="E9682">
        <f>IF(D9682&lt;&gt;"KEEP","",IF(RIGHT(B9682,10)="@gmail.com","Gmail",IF(OR(RIGHT(B9682,12)="@outlook.com",RIGHT(B9682,12)="@hotmail.com",RIGHT(B9682,9)="@live.com"),"Outlook","Domain")))</f>
        <v/>
      </c>
      <c r="F9682">
        <f>IF(B9682="","",IFERROR(RIGHT(B9682,LEN(B9682)-FIND("@",B9682)),""))</f>
        <v/>
      </c>
      <c r="G9682">
        <f>IF(D9682="KEEP",COUNTIF($D$2:D9682,"KEEP"),"")</f>
        <v/>
      </c>
      <c r="H9682">
        <f>IF(D9682="REMOVE",COUNTIF($D$2:D9682,"REMOVE"),"")</f>
        <v/>
      </c>
      <c r="I9682">
        <f>IF(E9682="Gmail",COUNTIF($E$2:E9682,"Gmail"),"")</f>
        <v/>
      </c>
      <c r="J9682">
        <f>IF(E9682="Outlook",COUNTIF($E$2:E9682,"Outlook"),"")</f>
        <v/>
      </c>
      <c r="K9682">
        <f>IF(E9682="Domain",COUNTIF($E$2:E9682,"Domain"),"")</f>
        <v/>
      </c>
    </row>
    <row r="9683">
      <c r="A9683" s="2" t="n"/>
      <c r="B9683">
        <f>LOWER(TRIM(A9683))</f>
        <v/>
      </c>
      <c r="C9683">
        <f>IF(B9683="","",IFERROR(INDEX('Bad Patterns'!$A$2:$A$120,MATCH(1,INDEX(--ISNUMBER(SEARCH('Bad Patterns'!$A$2:$A$120,B9683)),0),0)),""))</f>
        <v/>
      </c>
      <c r="D9683">
        <f>IF(B9683="","",IF(C9683&lt;&gt;"","REMOVE","KEEP"))</f>
        <v/>
      </c>
      <c r="E9683">
        <f>IF(D9683&lt;&gt;"KEEP","",IF(RIGHT(B9683,10)="@gmail.com","Gmail",IF(OR(RIGHT(B9683,12)="@outlook.com",RIGHT(B9683,12)="@hotmail.com",RIGHT(B9683,9)="@live.com"),"Outlook","Domain")))</f>
        <v/>
      </c>
      <c r="F9683">
        <f>IF(B9683="","",IFERROR(RIGHT(B9683,LEN(B9683)-FIND("@",B9683)),""))</f>
        <v/>
      </c>
      <c r="G9683">
        <f>IF(D9683="KEEP",COUNTIF($D$2:D9683,"KEEP"),"")</f>
        <v/>
      </c>
      <c r="H9683">
        <f>IF(D9683="REMOVE",COUNTIF($D$2:D9683,"REMOVE"),"")</f>
        <v/>
      </c>
      <c r="I9683">
        <f>IF(E9683="Gmail",COUNTIF($E$2:E9683,"Gmail"),"")</f>
        <v/>
      </c>
      <c r="J9683">
        <f>IF(E9683="Outlook",COUNTIF($E$2:E9683,"Outlook"),"")</f>
        <v/>
      </c>
      <c r="K9683">
        <f>IF(E9683="Domain",COUNTIF($E$2:E9683,"Domain"),"")</f>
        <v/>
      </c>
    </row>
    <row r="9684">
      <c r="A9684" s="2" t="n"/>
      <c r="B9684">
        <f>LOWER(TRIM(A9684))</f>
        <v/>
      </c>
      <c r="C9684">
        <f>IF(B9684="","",IFERROR(INDEX('Bad Patterns'!$A$2:$A$120,MATCH(1,INDEX(--ISNUMBER(SEARCH('Bad Patterns'!$A$2:$A$120,B9684)),0),0)),""))</f>
        <v/>
      </c>
      <c r="D9684">
        <f>IF(B9684="","",IF(C9684&lt;&gt;"","REMOVE","KEEP"))</f>
        <v/>
      </c>
      <c r="E9684">
        <f>IF(D9684&lt;&gt;"KEEP","",IF(RIGHT(B9684,10)="@gmail.com","Gmail",IF(OR(RIGHT(B9684,12)="@outlook.com",RIGHT(B9684,12)="@hotmail.com",RIGHT(B9684,9)="@live.com"),"Outlook","Domain")))</f>
        <v/>
      </c>
      <c r="F9684">
        <f>IF(B9684="","",IFERROR(RIGHT(B9684,LEN(B9684)-FIND("@",B9684)),""))</f>
        <v/>
      </c>
      <c r="G9684">
        <f>IF(D9684="KEEP",COUNTIF($D$2:D9684,"KEEP"),"")</f>
        <v/>
      </c>
      <c r="H9684">
        <f>IF(D9684="REMOVE",COUNTIF($D$2:D9684,"REMOVE"),"")</f>
        <v/>
      </c>
      <c r="I9684">
        <f>IF(E9684="Gmail",COUNTIF($E$2:E9684,"Gmail"),"")</f>
        <v/>
      </c>
      <c r="J9684">
        <f>IF(E9684="Outlook",COUNTIF($E$2:E9684,"Outlook"),"")</f>
        <v/>
      </c>
      <c r="K9684">
        <f>IF(E9684="Domain",COUNTIF($E$2:E9684,"Domain"),"")</f>
        <v/>
      </c>
    </row>
    <row r="9685">
      <c r="A9685" s="2" t="n"/>
      <c r="B9685">
        <f>LOWER(TRIM(A9685))</f>
        <v/>
      </c>
      <c r="C9685">
        <f>IF(B9685="","",IFERROR(INDEX('Bad Patterns'!$A$2:$A$120,MATCH(1,INDEX(--ISNUMBER(SEARCH('Bad Patterns'!$A$2:$A$120,B9685)),0),0)),""))</f>
        <v/>
      </c>
      <c r="D9685">
        <f>IF(B9685="","",IF(C9685&lt;&gt;"","REMOVE","KEEP"))</f>
        <v/>
      </c>
      <c r="E9685">
        <f>IF(D9685&lt;&gt;"KEEP","",IF(RIGHT(B9685,10)="@gmail.com","Gmail",IF(OR(RIGHT(B9685,12)="@outlook.com",RIGHT(B9685,12)="@hotmail.com",RIGHT(B9685,9)="@live.com"),"Outlook","Domain")))</f>
        <v/>
      </c>
      <c r="F9685">
        <f>IF(B9685="","",IFERROR(RIGHT(B9685,LEN(B9685)-FIND("@",B9685)),""))</f>
        <v/>
      </c>
      <c r="G9685">
        <f>IF(D9685="KEEP",COUNTIF($D$2:D9685,"KEEP"),"")</f>
        <v/>
      </c>
      <c r="H9685">
        <f>IF(D9685="REMOVE",COUNTIF($D$2:D9685,"REMOVE"),"")</f>
        <v/>
      </c>
      <c r="I9685">
        <f>IF(E9685="Gmail",COUNTIF($E$2:E9685,"Gmail"),"")</f>
        <v/>
      </c>
      <c r="J9685">
        <f>IF(E9685="Outlook",COUNTIF($E$2:E9685,"Outlook"),"")</f>
        <v/>
      </c>
      <c r="K9685">
        <f>IF(E9685="Domain",COUNTIF($E$2:E9685,"Domain"),"")</f>
        <v/>
      </c>
    </row>
    <row r="9686">
      <c r="A9686" s="2" t="n"/>
      <c r="B9686">
        <f>LOWER(TRIM(A9686))</f>
        <v/>
      </c>
      <c r="C9686">
        <f>IF(B9686="","",IFERROR(INDEX('Bad Patterns'!$A$2:$A$120,MATCH(1,INDEX(--ISNUMBER(SEARCH('Bad Patterns'!$A$2:$A$120,B9686)),0),0)),""))</f>
        <v/>
      </c>
      <c r="D9686">
        <f>IF(B9686="","",IF(C9686&lt;&gt;"","REMOVE","KEEP"))</f>
        <v/>
      </c>
      <c r="E9686">
        <f>IF(D9686&lt;&gt;"KEEP","",IF(RIGHT(B9686,10)="@gmail.com","Gmail",IF(OR(RIGHT(B9686,12)="@outlook.com",RIGHT(B9686,12)="@hotmail.com",RIGHT(B9686,9)="@live.com"),"Outlook","Domain")))</f>
        <v/>
      </c>
      <c r="F9686">
        <f>IF(B9686="","",IFERROR(RIGHT(B9686,LEN(B9686)-FIND("@",B9686)),""))</f>
        <v/>
      </c>
      <c r="G9686">
        <f>IF(D9686="KEEP",COUNTIF($D$2:D9686,"KEEP"),"")</f>
        <v/>
      </c>
      <c r="H9686">
        <f>IF(D9686="REMOVE",COUNTIF($D$2:D9686,"REMOVE"),"")</f>
        <v/>
      </c>
      <c r="I9686">
        <f>IF(E9686="Gmail",COUNTIF($E$2:E9686,"Gmail"),"")</f>
        <v/>
      </c>
      <c r="J9686">
        <f>IF(E9686="Outlook",COUNTIF($E$2:E9686,"Outlook"),"")</f>
        <v/>
      </c>
      <c r="K9686">
        <f>IF(E9686="Domain",COUNTIF($E$2:E9686,"Domain"),"")</f>
        <v/>
      </c>
    </row>
    <row r="9687">
      <c r="A9687" s="2" t="n"/>
      <c r="B9687">
        <f>LOWER(TRIM(A9687))</f>
        <v/>
      </c>
      <c r="C9687">
        <f>IF(B9687="","",IFERROR(INDEX('Bad Patterns'!$A$2:$A$120,MATCH(1,INDEX(--ISNUMBER(SEARCH('Bad Patterns'!$A$2:$A$120,B9687)),0),0)),""))</f>
        <v/>
      </c>
      <c r="D9687">
        <f>IF(B9687="","",IF(C9687&lt;&gt;"","REMOVE","KEEP"))</f>
        <v/>
      </c>
      <c r="E9687">
        <f>IF(D9687&lt;&gt;"KEEP","",IF(RIGHT(B9687,10)="@gmail.com","Gmail",IF(OR(RIGHT(B9687,12)="@outlook.com",RIGHT(B9687,12)="@hotmail.com",RIGHT(B9687,9)="@live.com"),"Outlook","Domain")))</f>
        <v/>
      </c>
      <c r="F9687">
        <f>IF(B9687="","",IFERROR(RIGHT(B9687,LEN(B9687)-FIND("@",B9687)),""))</f>
        <v/>
      </c>
      <c r="G9687">
        <f>IF(D9687="KEEP",COUNTIF($D$2:D9687,"KEEP"),"")</f>
        <v/>
      </c>
      <c r="H9687">
        <f>IF(D9687="REMOVE",COUNTIF($D$2:D9687,"REMOVE"),"")</f>
        <v/>
      </c>
      <c r="I9687">
        <f>IF(E9687="Gmail",COUNTIF($E$2:E9687,"Gmail"),"")</f>
        <v/>
      </c>
      <c r="J9687">
        <f>IF(E9687="Outlook",COUNTIF($E$2:E9687,"Outlook"),"")</f>
        <v/>
      </c>
      <c r="K9687">
        <f>IF(E9687="Domain",COUNTIF($E$2:E9687,"Domain"),"")</f>
        <v/>
      </c>
    </row>
    <row r="9688">
      <c r="A9688" s="2" t="n"/>
      <c r="B9688">
        <f>LOWER(TRIM(A9688))</f>
        <v/>
      </c>
      <c r="C9688">
        <f>IF(B9688="","",IFERROR(INDEX('Bad Patterns'!$A$2:$A$120,MATCH(1,INDEX(--ISNUMBER(SEARCH('Bad Patterns'!$A$2:$A$120,B9688)),0),0)),""))</f>
        <v/>
      </c>
      <c r="D9688">
        <f>IF(B9688="","",IF(C9688&lt;&gt;"","REMOVE","KEEP"))</f>
        <v/>
      </c>
      <c r="E9688">
        <f>IF(D9688&lt;&gt;"KEEP","",IF(RIGHT(B9688,10)="@gmail.com","Gmail",IF(OR(RIGHT(B9688,12)="@outlook.com",RIGHT(B9688,12)="@hotmail.com",RIGHT(B9688,9)="@live.com"),"Outlook","Domain")))</f>
        <v/>
      </c>
      <c r="F9688">
        <f>IF(B9688="","",IFERROR(RIGHT(B9688,LEN(B9688)-FIND("@",B9688)),""))</f>
        <v/>
      </c>
      <c r="G9688">
        <f>IF(D9688="KEEP",COUNTIF($D$2:D9688,"KEEP"),"")</f>
        <v/>
      </c>
      <c r="H9688">
        <f>IF(D9688="REMOVE",COUNTIF($D$2:D9688,"REMOVE"),"")</f>
        <v/>
      </c>
      <c r="I9688">
        <f>IF(E9688="Gmail",COUNTIF($E$2:E9688,"Gmail"),"")</f>
        <v/>
      </c>
      <c r="J9688">
        <f>IF(E9688="Outlook",COUNTIF($E$2:E9688,"Outlook"),"")</f>
        <v/>
      </c>
      <c r="K9688">
        <f>IF(E9688="Domain",COUNTIF($E$2:E9688,"Domain"),"")</f>
        <v/>
      </c>
    </row>
    <row r="9689">
      <c r="A9689" s="2" t="n"/>
      <c r="B9689">
        <f>LOWER(TRIM(A9689))</f>
        <v/>
      </c>
      <c r="C9689">
        <f>IF(B9689="","",IFERROR(INDEX('Bad Patterns'!$A$2:$A$120,MATCH(1,INDEX(--ISNUMBER(SEARCH('Bad Patterns'!$A$2:$A$120,B9689)),0),0)),""))</f>
        <v/>
      </c>
      <c r="D9689">
        <f>IF(B9689="","",IF(C9689&lt;&gt;"","REMOVE","KEEP"))</f>
        <v/>
      </c>
      <c r="E9689">
        <f>IF(D9689&lt;&gt;"KEEP","",IF(RIGHT(B9689,10)="@gmail.com","Gmail",IF(OR(RIGHT(B9689,12)="@outlook.com",RIGHT(B9689,12)="@hotmail.com",RIGHT(B9689,9)="@live.com"),"Outlook","Domain")))</f>
        <v/>
      </c>
      <c r="F9689">
        <f>IF(B9689="","",IFERROR(RIGHT(B9689,LEN(B9689)-FIND("@",B9689)),""))</f>
        <v/>
      </c>
      <c r="G9689">
        <f>IF(D9689="KEEP",COUNTIF($D$2:D9689,"KEEP"),"")</f>
        <v/>
      </c>
      <c r="H9689">
        <f>IF(D9689="REMOVE",COUNTIF($D$2:D9689,"REMOVE"),"")</f>
        <v/>
      </c>
      <c r="I9689">
        <f>IF(E9689="Gmail",COUNTIF($E$2:E9689,"Gmail"),"")</f>
        <v/>
      </c>
      <c r="J9689">
        <f>IF(E9689="Outlook",COUNTIF($E$2:E9689,"Outlook"),"")</f>
        <v/>
      </c>
      <c r="K9689">
        <f>IF(E9689="Domain",COUNTIF($E$2:E9689,"Domain"),"")</f>
        <v/>
      </c>
    </row>
    <row r="9690">
      <c r="A9690" s="2" t="n"/>
      <c r="B9690">
        <f>LOWER(TRIM(A9690))</f>
        <v/>
      </c>
      <c r="C9690">
        <f>IF(B9690="","",IFERROR(INDEX('Bad Patterns'!$A$2:$A$120,MATCH(1,INDEX(--ISNUMBER(SEARCH('Bad Patterns'!$A$2:$A$120,B9690)),0),0)),""))</f>
        <v/>
      </c>
      <c r="D9690">
        <f>IF(B9690="","",IF(C9690&lt;&gt;"","REMOVE","KEEP"))</f>
        <v/>
      </c>
      <c r="E9690">
        <f>IF(D9690&lt;&gt;"KEEP","",IF(RIGHT(B9690,10)="@gmail.com","Gmail",IF(OR(RIGHT(B9690,12)="@outlook.com",RIGHT(B9690,12)="@hotmail.com",RIGHT(B9690,9)="@live.com"),"Outlook","Domain")))</f>
        <v/>
      </c>
      <c r="F9690">
        <f>IF(B9690="","",IFERROR(RIGHT(B9690,LEN(B9690)-FIND("@",B9690)),""))</f>
        <v/>
      </c>
      <c r="G9690">
        <f>IF(D9690="KEEP",COUNTIF($D$2:D9690,"KEEP"),"")</f>
        <v/>
      </c>
      <c r="H9690">
        <f>IF(D9690="REMOVE",COUNTIF($D$2:D9690,"REMOVE"),"")</f>
        <v/>
      </c>
      <c r="I9690">
        <f>IF(E9690="Gmail",COUNTIF($E$2:E9690,"Gmail"),"")</f>
        <v/>
      </c>
      <c r="J9690">
        <f>IF(E9690="Outlook",COUNTIF($E$2:E9690,"Outlook"),"")</f>
        <v/>
      </c>
      <c r="K9690">
        <f>IF(E9690="Domain",COUNTIF($E$2:E9690,"Domain"),"")</f>
        <v/>
      </c>
    </row>
    <row r="9691">
      <c r="A9691" s="2" t="n"/>
      <c r="B9691">
        <f>LOWER(TRIM(A9691))</f>
        <v/>
      </c>
      <c r="C9691">
        <f>IF(B9691="","",IFERROR(INDEX('Bad Patterns'!$A$2:$A$120,MATCH(1,INDEX(--ISNUMBER(SEARCH('Bad Patterns'!$A$2:$A$120,B9691)),0),0)),""))</f>
        <v/>
      </c>
      <c r="D9691">
        <f>IF(B9691="","",IF(C9691&lt;&gt;"","REMOVE","KEEP"))</f>
        <v/>
      </c>
      <c r="E9691">
        <f>IF(D9691&lt;&gt;"KEEP","",IF(RIGHT(B9691,10)="@gmail.com","Gmail",IF(OR(RIGHT(B9691,12)="@outlook.com",RIGHT(B9691,12)="@hotmail.com",RIGHT(B9691,9)="@live.com"),"Outlook","Domain")))</f>
        <v/>
      </c>
      <c r="F9691">
        <f>IF(B9691="","",IFERROR(RIGHT(B9691,LEN(B9691)-FIND("@",B9691)),""))</f>
        <v/>
      </c>
      <c r="G9691">
        <f>IF(D9691="KEEP",COUNTIF($D$2:D9691,"KEEP"),"")</f>
        <v/>
      </c>
      <c r="H9691">
        <f>IF(D9691="REMOVE",COUNTIF($D$2:D9691,"REMOVE"),"")</f>
        <v/>
      </c>
      <c r="I9691">
        <f>IF(E9691="Gmail",COUNTIF($E$2:E9691,"Gmail"),"")</f>
        <v/>
      </c>
      <c r="J9691">
        <f>IF(E9691="Outlook",COUNTIF($E$2:E9691,"Outlook"),"")</f>
        <v/>
      </c>
      <c r="K9691">
        <f>IF(E9691="Domain",COUNTIF($E$2:E9691,"Domain"),"")</f>
        <v/>
      </c>
    </row>
    <row r="9692">
      <c r="A9692" s="2" t="n"/>
      <c r="B9692">
        <f>LOWER(TRIM(A9692))</f>
        <v/>
      </c>
      <c r="C9692">
        <f>IF(B9692="","",IFERROR(INDEX('Bad Patterns'!$A$2:$A$120,MATCH(1,INDEX(--ISNUMBER(SEARCH('Bad Patterns'!$A$2:$A$120,B9692)),0),0)),""))</f>
        <v/>
      </c>
      <c r="D9692">
        <f>IF(B9692="","",IF(C9692&lt;&gt;"","REMOVE","KEEP"))</f>
        <v/>
      </c>
      <c r="E9692">
        <f>IF(D9692&lt;&gt;"KEEP","",IF(RIGHT(B9692,10)="@gmail.com","Gmail",IF(OR(RIGHT(B9692,12)="@outlook.com",RIGHT(B9692,12)="@hotmail.com",RIGHT(B9692,9)="@live.com"),"Outlook","Domain")))</f>
        <v/>
      </c>
      <c r="F9692">
        <f>IF(B9692="","",IFERROR(RIGHT(B9692,LEN(B9692)-FIND("@",B9692)),""))</f>
        <v/>
      </c>
      <c r="G9692">
        <f>IF(D9692="KEEP",COUNTIF($D$2:D9692,"KEEP"),"")</f>
        <v/>
      </c>
      <c r="H9692">
        <f>IF(D9692="REMOVE",COUNTIF($D$2:D9692,"REMOVE"),"")</f>
        <v/>
      </c>
      <c r="I9692">
        <f>IF(E9692="Gmail",COUNTIF($E$2:E9692,"Gmail"),"")</f>
        <v/>
      </c>
      <c r="J9692">
        <f>IF(E9692="Outlook",COUNTIF($E$2:E9692,"Outlook"),"")</f>
        <v/>
      </c>
      <c r="K9692">
        <f>IF(E9692="Domain",COUNTIF($E$2:E9692,"Domain"),"")</f>
        <v/>
      </c>
    </row>
    <row r="9693">
      <c r="A9693" s="2" t="n"/>
      <c r="B9693">
        <f>LOWER(TRIM(A9693))</f>
        <v/>
      </c>
      <c r="C9693">
        <f>IF(B9693="","",IFERROR(INDEX('Bad Patterns'!$A$2:$A$120,MATCH(1,INDEX(--ISNUMBER(SEARCH('Bad Patterns'!$A$2:$A$120,B9693)),0),0)),""))</f>
        <v/>
      </c>
      <c r="D9693">
        <f>IF(B9693="","",IF(C9693&lt;&gt;"","REMOVE","KEEP"))</f>
        <v/>
      </c>
      <c r="E9693">
        <f>IF(D9693&lt;&gt;"KEEP","",IF(RIGHT(B9693,10)="@gmail.com","Gmail",IF(OR(RIGHT(B9693,12)="@outlook.com",RIGHT(B9693,12)="@hotmail.com",RIGHT(B9693,9)="@live.com"),"Outlook","Domain")))</f>
        <v/>
      </c>
      <c r="F9693">
        <f>IF(B9693="","",IFERROR(RIGHT(B9693,LEN(B9693)-FIND("@",B9693)),""))</f>
        <v/>
      </c>
      <c r="G9693">
        <f>IF(D9693="KEEP",COUNTIF($D$2:D9693,"KEEP"),"")</f>
        <v/>
      </c>
      <c r="H9693">
        <f>IF(D9693="REMOVE",COUNTIF($D$2:D9693,"REMOVE"),"")</f>
        <v/>
      </c>
      <c r="I9693">
        <f>IF(E9693="Gmail",COUNTIF($E$2:E9693,"Gmail"),"")</f>
        <v/>
      </c>
      <c r="J9693">
        <f>IF(E9693="Outlook",COUNTIF($E$2:E9693,"Outlook"),"")</f>
        <v/>
      </c>
      <c r="K9693">
        <f>IF(E9693="Domain",COUNTIF($E$2:E9693,"Domain"),"")</f>
        <v/>
      </c>
    </row>
    <row r="9694">
      <c r="A9694" s="2" t="n"/>
      <c r="B9694">
        <f>LOWER(TRIM(A9694))</f>
        <v/>
      </c>
      <c r="C9694">
        <f>IF(B9694="","",IFERROR(INDEX('Bad Patterns'!$A$2:$A$120,MATCH(1,INDEX(--ISNUMBER(SEARCH('Bad Patterns'!$A$2:$A$120,B9694)),0),0)),""))</f>
        <v/>
      </c>
      <c r="D9694">
        <f>IF(B9694="","",IF(C9694&lt;&gt;"","REMOVE","KEEP"))</f>
        <v/>
      </c>
      <c r="E9694">
        <f>IF(D9694&lt;&gt;"KEEP","",IF(RIGHT(B9694,10)="@gmail.com","Gmail",IF(OR(RIGHT(B9694,12)="@outlook.com",RIGHT(B9694,12)="@hotmail.com",RIGHT(B9694,9)="@live.com"),"Outlook","Domain")))</f>
        <v/>
      </c>
      <c r="F9694">
        <f>IF(B9694="","",IFERROR(RIGHT(B9694,LEN(B9694)-FIND("@",B9694)),""))</f>
        <v/>
      </c>
      <c r="G9694">
        <f>IF(D9694="KEEP",COUNTIF($D$2:D9694,"KEEP"),"")</f>
        <v/>
      </c>
      <c r="H9694">
        <f>IF(D9694="REMOVE",COUNTIF($D$2:D9694,"REMOVE"),"")</f>
        <v/>
      </c>
      <c r="I9694">
        <f>IF(E9694="Gmail",COUNTIF($E$2:E9694,"Gmail"),"")</f>
        <v/>
      </c>
      <c r="J9694">
        <f>IF(E9694="Outlook",COUNTIF($E$2:E9694,"Outlook"),"")</f>
        <v/>
      </c>
      <c r="K9694">
        <f>IF(E9694="Domain",COUNTIF($E$2:E9694,"Domain"),"")</f>
        <v/>
      </c>
    </row>
    <row r="9695">
      <c r="A9695" s="2" t="n"/>
      <c r="B9695">
        <f>LOWER(TRIM(A9695))</f>
        <v/>
      </c>
      <c r="C9695">
        <f>IF(B9695="","",IFERROR(INDEX('Bad Patterns'!$A$2:$A$120,MATCH(1,INDEX(--ISNUMBER(SEARCH('Bad Patterns'!$A$2:$A$120,B9695)),0),0)),""))</f>
        <v/>
      </c>
      <c r="D9695">
        <f>IF(B9695="","",IF(C9695&lt;&gt;"","REMOVE","KEEP"))</f>
        <v/>
      </c>
      <c r="E9695">
        <f>IF(D9695&lt;&gt;"KEEP","",IF(RIGHT(B9695,10)="@gmail.com","Gmail",IF(OR(RIGHT(B9695,12)="@outlook.com",RIGHT(B9695,12)="@hotmail.com",RIGHT(B9695,9)="@live.com"),"Outlook","Domain")))</f>
        <v/>
      </c>
      <c r="F9695">
        <f>IF(B9695="","",IFERROR(RIGHT(B9695,LEN(B9695)-FIND("@",B9695)),""))</f>
        <v/>
      </c>
      <c r="G9695">
        <f>IF(D9695="KEEP",COUNTIF($D$2:D9695,"KEEP"),"")</f>
        <v/>
      </c>
      <c r="H9695">
        <f>IF(D9695="REMOVE",COUNTIF($D$2:D9695,"REMOVE"),"")</f>
        <v/>
      </c>
      <c r="I9695">
        <f>IF(E9695="Gmail",COUNTIF($E$2:E9695,"Gmail"),"")</f>
        <v/>
      </c>
      <c r="J9695">
        <f>IF(E9695="Outlook",COUNTIF($E$2:E9695,"Outlook"),"")</f>
        <v/>
      </c>
      <c r="K9695">
        <f>IF(E9695="Domain",COUNTIF($E$2:E9695,"Domain"),"")</f>
        <v/>
      </c>
    </row>
    <row r="9696">
      <c r="A9696" s="2" t="n"/>
      <c r="B9696">
        <f>LOWER(TRIM(A9696))</f>
        <v/>
      </c>
      <c r="C9696">
        <f>IF(B9696="","",IFERROR(INDEX('Bad Patterns'!$A$2:$A$120,MATCH(1,INDEX(--ISNUMBER(SEARCH('Bad Patterns'!$A$2:$A$120,B9696)),0),0)),""))</f>
        <v/>
      </c>
      <c r="D9696">
        <f>IF(B9696="","",IF(C9696&lt;&gt;"","REMOVE","KEEP"))</f>
        <v/>
      </c>
      <c r="E9696">
        <f>IF(D9696&lt;&gt;"KEEP","",IF(RIGHT(B9696,10)="@gmail.com","Gmail",IF(OR(RIGHT(B9696,12)="@outlook.com",RIGHT(B9696,12)="@hotmail.com",RIGHT(B9696,9)="@live.com"),"Outlook","Domain")))</f>
        <v/>
      </c>
      <c r="F9696">
        <f>IF(B9696="","",IFERROR(RIGHT(B9696,LEN(B9696)-FIND("@",B9696)),""))</f>
        <v/>
      </c>
      <c r="G9696">
        <f>IF(D9696="KEEP",COUNTIF($D$2:D9696,"KEEP"),"")</f>
        <v/>
      </c>
      <c r="H9696">
        <f>IF(D9696="REMOVE",COUNTIF($D$2:D9696,"REMOVE"),"")</f>
        <v/>
      </c>
      <c r="I9696">
        <f>IF(E9696="Gmail",COUNTIF($E$2:E9696,"Gmail"),"")</f>
        <v/>
      </c>
      <c r="J9696">
        <f>IF(E9696="Outlook",COUNTIF($E$2:E9696,"Outlook"),"")</f>
        <v/>
      </c>
      <c r="K9696">
        <f>IF(E9696="Domain",COUNTIF($E$2:E9696,"Domain"),"")</f>
        <v/>
      </c>
    </row>
    <row r="9697">
      <c r="A9697" s="2" t="n"/>
      <c r="B9697">
        <f>LOWER(TRIM(A9697))</f>
        <v/>
      </c>
      <c r="C9697">
        <f>IF(B9697="","",IFERROR(INDEX('Bad Patterns'!$A$2:$A$120,MATCH(1,INDEX(--ISNUMBER(SEARCH('Bad Patterns'!$A$2:$A$120,B9697)),0),0)),""))</f>
        <v/>
      </c>
      <c r="D9697">
        <f>IF(B9697="","",IF(C9697&lt;&gt;"","REMOVE","KEEP"))</f>
        <v/>
      </c>
      <c r="E9697">
        <f>IF(D9697&lt;&gt;"KEEP","",IF(RIGHT(B9697,10)="@gmail.com","Gmail",IF(OR(RIGHT(B9697,12)="@outlook.com",RIGHT(B9697,12)="@hotmail.com",RIGHT(B9697,9)="@live.com"),"Outlook","Domain")))</f>
        <v/>
      </c>
      <c r="F9697">
        <f>IF(B9697="","",IFERROR(RIGHT(B9697,LEN(B9697)-FIND("@",B9697)),""))</f>
        <v/>
      </c>
      <c r="G9697">
        <f>IF(D9697="KEEP",COUNTIF($D$2:D9697,"KEEP"),"")</f>
        <v/>
      </c>
      <c r="H9697">
        <f>IF(D9697="REMOVE",COUNTIF($D$2:D9697,"REMOVE"),"")</f>
        <v/>
      </c>
      <c r="I9697">
        <f>IF(E9697="Gmail",COUNTIF($E$2:E9697,"Gmail"),"")</f>
        <v/>
      </c>
      <c r="J9697">
        <f>IF(E9697="Outlook",COUNTIF($E$2:E9697,"Outlook"),"")</f>
        <v/>
      </c>
      <c r="K9697">
        <f>IF(E9697="Domain",COUNTIF($E$2:E9697,"Domain"),"")</f>
        <v/>
      </c>
    </row>
    <row r="9698">
      <c r="A9698" s="2" t="n"/>
      <c r="B9698">
        <f>LOWER(TRIM(A9698))</f>
        <v/>
      </c>
      <c r="C9698">
        <f>IF(B9698="","",IFERROR(INDEX('Bad Patterns'!$A$2:$A$120,MATCH(1,INDEX(--ISNUMBER(SEARCH('Bad Patterns'!$A$2:$A$120,B9698)),0),0)),""))</f>
        <v/>
      </c>
      <c r="D9698">
        <f>IF(B9698="","",IF(C9698&lt;&gt;"","REMOVE","KEEP"))</f>
        <v/>
      </c>
      <c r="E9698">
        <f>IF(D9698&lt;&gt;"KEEP","",IF(RIGHT(B9698,10)="@gmail.com","Gmail",IF(OR(RIGHT(B9698,12)="@outlook.com",RIGHT(B9698,12)="@hotmail.com",RIGHT(B9698,9)="@live.com"),"Outlook","Domain")))</f>
        <v/>
      </c>
      <c r="F9698">
        <f>IF(B9698="","",IFERROR(RIGHT(B9698,LEN(B9698)-FIND("@",B9698)),""))</f>
        <v/>
      </c>
      <c r="G9698">
        <f>IF(D9698="KEEP",COUNTIF($D$2:D9698,"KEEP"),"")</f>
        <v/>
      </c>
      <c r="H9698">
        <f>IF(D9698="REMOVE",COUNTIF($D$2:D9698,"REMOVE"),"")</f>
        <v/>
      </c>
      <c r="I9698">
        <f>IF(E9698="Gmail",COUNTIF($E$2:E9698,"Gmail"),"")</f>
        <v/>
      </c>
      <c r="J9698">
        <f>IF(E9698="Outlook",COUNTIF($E$2:E9698,"Outlook"),"")</f>
        <v/>
      </c>
      <c r="K9698">
        <f>IF(E9698="Domain",COUNTIF($E$2:E9698,"Domain"),"")</f>
        <v/>
      </c>
    </row>
    <row r="9699">
      <c r="A9699" s="2" t="n"/>
      <c r="B9699">
        <f>LOWER(TRIM(A9699))</f>
        <v/>
      </c>
      <c r="C9699">
        <f>IF(B9699="","",IFERROR(INDEX('Bad Patterns'!$A$2:$A$120,MATCH(1,INDEX(--ISNUMBER(SEARCH('Bad Patterns'!$A$2:$A$120,B9699)),0),0)),""))</f>
        <v/>
      </c>
      <c r="D9699">
        <f>IF(B9699="","",IF(C9699&lt;&gt;"","REMOVE","KEEP"))</f>
        <v/>
      </c>
      <c r="E9699">
        <f>IF(D9699&lt;&gt;"KEEP","",IF(RIGHT(B9699,10)="@gmail.com","Gmail",IF(OR(RIGHT(B9699,12)="@outlook.com",RIGHT(B9699,12)="@hotmail.com",RIGHT(B9699,9)="@live.com"),"Outlook","Domain")))</f>
        <v/>
      </c>
      <c r="F9699">
        <f>IF(B9699="","",IFERROR(RIGHT(B9699,LEN(B9699)-FIND("@",B9699)),""))</f>
        <v/>
      </c>
      <c r="G9699">
        <f>IF(D9699="KEEP",COUNTIF($D$2:D9699,"KEEP"),"")</f>
        <v/>
      </c>
      <c r="H9699">
        <f>IF(D9699="REMOVE",COUNTIF($D$2:D9699,"REMOVE"),"")</f>
        <v/>
      </c>
      <c r="I9699">
        <f>IF(E9699="Gmail",COUNTIF($E$2:E9699,"Gmail"),"")</f>
        <v/>
      </c>
      <c r="J9699">
        <f>IF(E9699="Outlook",COUNTIF($E$2:E9699,"Outlook"),"")</f>
        <v/>
      </c>
      <c r="K9699">
        <f>IF(E9699="Domain",COUNTIF($E$2:E9699,"Domain"),"")</f>
        <v/>
      </c>
    </row>
    <row r="9700">
      <c r="A9700" s="2" t="n"/>
      <c r="B9700">
        <f>LOWER(TRIM(A9700))</f>
        <v/>
      </c>
      <c r="C9700">
        <f>IF(B9700="","",IFERROR(INDEX('Bad Patterns'!$A$2:$A$120,MATCH(1,INDEX(--ISNUMBER(SEARCH('Bad Patterns'!$A$2:$A$120,B9700)),0),0)),""))</f>
        <v/>
      </c>
      <c r="D9700">
        <f>IF(B9700="","",IF(C9700&lt;&gt;"","REMOVE","KEEP"))</f>
        <v/>
      </c>
      <c r="E9700">
        <f>IF(D9700&lt;&gt;"KEEP","",IF(RIGHT(B9700,10)="@gmail.com","Gmail",IF(OR(RIGHT(B9700,12)="@outlook.com",RIGHT(B9700,12)="@hotmail.com",RIGHT(B9700,9)="@live.com"),"Outlook","Domain")))</f>
        <v/>
      </c>
      <c r="F9700">
        <f>IF(B9700="","",IFERROR(RIGHT(B9700,LEN(B9700)-FIND("@",B9700)),""))</f>
        <v/>
      </c>
      <c r="G9700">
        <f>IF(D9700="KEEP",COUNTIF($D$2:D9700,"KEEP"),"")</f>
        <v/>
      </c>
      <c r="H9700">
        <f>IF(D9700="REMOVE",COUNTIF($D$2:D9700,"REMOVE"),"")</f>
        <v/>
      </c>
      <c r="I9700">
        <f>IF(E9700="Gmail",COUNTIF($E$2:E9700,"Gmail"),"")</f>
        <v/>
      </c>
      <c r="J9700">
        <f>IF(E9700="Outlook",COUNTIF($E$2:E9700,"Outlook"),"")</f>
        <v/>
      </c>
      <c r="K9700">
        <f>IF(E9700="Domain",COUNTIF($E$2:E9700,"Domain"),"")</f>
        <v/>
      </c>
    </row>
    <row r="9701">
      <c r="A9701" s="2" t="n"/>
      <c r="B9701">
        <f>LOWER(TRIM(A9701))</f>
        <v/>
      </c>
      <c r="C9701">
        <f>IF(B9701="","",IFERROR(INDEX('Bad Patterns'!$A$2:$A$120,MATCH(1,INDEX(--ISNUMBER(SEARCH('Bad Patterns'!$A$2:$A$120,B9701)),0),0)),""))</f>
        <v/>
      </c>
      <c r="D9701">
        <f>IF(B9701="","",IF(C9701&lt;&gt;"","REMOVE","KEEP"))</f>
        <v/>
      </c>
      <c r="E9701">
        <f>IF(D9701&lt;&gt;"KEEP","",IF(RIGHT(B9701,10)="@gmail.com","Gmail",IF(OR(RIGHT(B9701,12)="@outlook.com",RIGHT(B9701,12)="@hotmail.com",RIGHT(B9701,9)="@live.com"),"Outlook","Domain")))</f>
        <v/>
      </c>
      <c r="F9701">
        <f>IF(B9701="","",IFERROR(RIGHT(B9701,LEN(B9701)-FIND("@",B9701)),""))</f>
        <v/>
      </c>
      <c r="G9701">
        <f>IF(D9701="KEEP",COUNTIF($D$2:D9701,"KEEP"),"")</f>
        <v/>
      </c>
      <c r="H9701">
        <f>IF(D9701="REMOVE",COUNTIF($D$2:D9701,"REMOVE"),"")</f>
        <v/>
      </c>
      <c r="I9701">
        <f>IF(E9701="Gmail",COUNTIF($E$2:E9701,"Gmail"),"")</f>
        <v/>
      </c>
      <c r="J9701">
        <f>IF(E9701="Outlook",COUNTIF($E$2:E9701,"Outlook"),"")</f>
        <v/>
      </c>
      <c r="K9701">
        <f>IF(E9701="Domain",COUNTIF($E$2:E9701,"Domain"),"")</f>
        <v/>
      </c>
    </row>
    <row r="9702">
      <c r="A9702" s="2" t="n"/>
      <c r="B9702">
        <f>LOWER(TRIM(A9702))</f>
        <v/>
      </c>
      <c r="C9702">
        <f>IF(B9702="","",IFERROR(INDEX('Bad Patterns'!$A$2:$A$120,MATCH(1,INDEX(--ISNUMBER(SEARCH('Bad Patterns'!$A$2:$A$120,B9702)),0),0)),""))</f>
        <v/>
      </c>
      <c r="D9702">
        <f>IF(B9702="","",IF(C9702&lt;&gt;"","REMOVE","KEEP"))</f>
        <v/>
      </c>
      <c r="E9702">
        <f>IF(D9702&lt;&gt;"KEEP","",IF(RIGHT(B9702,10)="@gmail.com","Gmail",IF(OR(RIGHT(B9702,12)="@outlook.com",RIGHT(B9702,12)="@hotmail.com",RIGHT(B9702,9)="@live.com"),"Outlook","Domain")))</f>
        <v/>
      </c>
      <c r="F9702">
        <f>IF(B9702="","",IFERROR(RIGHT(B9702,LEN(B9702)-FIND("@",B9702)),""))</f>
        <v/>
      </c>
      <c r="G9702">
        <f>IF(D9702="KEEP",COUNTIF($D$2:D9702,"KEEP"),"")</f>
        <v/>
      </c>
      <c r="H9702">
        <f>IF(D9702="REMOVE",COUNTIF($D$2:D9702,"REMOVE"),"")</f>
        <v/>
      </c>
      <c r="I9702">
        <f>IF(E9702="Gmail",COUNTIF($E$2:E9702,"Gmail"),"")</f>
        <v/>
      </c>
      <c r="J9702">
        <f>IF(E9702="Outlook",COUNTIF($E$2:E9702,"Outlook"),"")</f>
        <v/>
      </c>
      <c r="K9702">
        <f>IF(E9702="Domain",COUNTIF($E$2:E9702,"Domain"),"")</f>
        <v/>
      </c>
    </row>
    <row r="9703">
      <c r="A9703" s="2" t="n"/>
      <c r="B9703">
        <f>LOWER(TRIM(A9703))</f>
        <v/>
      </c>
      <c r="C9703">
        <f>IF(B9703="","",IFERROR(INDEX('Bad Patterns'!$A$2:$A$120,MATCH(1,INDEX(--ISNUMBER(SEARCH('Bad Patterns'!$A$2:$A$120,B9703)),0),0)),""))</f>
        <v/>
      </c>
      <c r="D9703">
        <f>IF(B9703="","",IF(C9703&lt;&gt;"","REMOVE","KEEP"))</f>
        <v/>
      </c>
      <c r="E9703">
        <f>IF(D9703&lt;&gt;"KEEP","",IF(RIGHT(B9703,10)="@gmail.com","Gmail",IF(OR(RIGHT(B9703,12)="@outlook.com",RIGHT(B9703,12)="@hotmail.com",RIGHT(B9703,9)="@live.com"),"Outlook","Domain")))</f>
        <v/>
      </c>
      <c r="F9703">
        <f>IF(B9703="","",IFERROR(RIGHT(B9703,LEN(B9703)-FIND("@",B9703)),""))</f>
        <v/>
      </c>
      <c r="G9703">
        <f>IF(D9703="KEEP",COUNTIF($D$2:D9703,"KEEP"),"")</f>
        <v/>
      </c>
      <c r="H9703">
        <f>IF(D9703="REMOVE",COUNTIF($D$2:D9703,"REMOVE"),"")</f>
        <v/>
      </c>
      <c r="I9703">
        <f>IF(E9703="Gmail",COUNTIF($E$2:E9703,"Gmail"),"")</f>
        <v/>
      </c>
      <c r="J9703">
        <f>IF(E9703="Outlook",COUNTIF($E$2:E9703,"Outlook"),"")</f>
        <v/>
      </c>
      <c r="K9703">
        <f>IF(E9703="Domain",COUNTIF($E$2:E9703,"Domain"),"")</f>
        <v/>
      </c>
    </row>
    <row r="9704">
      <c r="A9704" s="2" t="n"/>
      <c r="B9704">
        <f>LOWER(TRIM(A9704))</f>
        <v/>
      </c>
      <c r="C9704">
        <f>IF(B9704="","",IFERROR(INDEX('Bad Patterns'!$A$2:$A$120,MATCH(1,INDEX(--ISNUMBER(SEARCH('Bad Patterns'!$A$2:$A$120,B9704)),0),0)),""))</f>
        <v/>
      </c>
      <c r="D9704">
        <f>IF(B9704="","",IF(C9704&lt;&gt;"","REMOVE","KEEP"))</f>
        <v/>
      </c>
      <c r="E9704">
        <f>IF(D9704&lt;&gt;"KEEP","",IF(RIGHT(B9704,10)="@gmail.com","Gmail",IF(OR(RIGHT(B9704,12)="@outlook.com",RIGHT(B9704,12)="@hotmail.com",RIGHT(B9704,9)="@live.com"),"Outlook","Domain")))</f>
        <v/>
      </c>
      <c r="F9704">
        <f>IF(B9704="","",IFERROR(RIGHT(B9704,LEN(B9704)-FIND("@",B9704)),""))</f>
        <v/>
      </c>
      <c r="G9704">
        <f>IF(D9704="KEEP",COUNTIF($D$2:D9704,"KEEP"),"")</f>
        <v/>
      </c>
      <c r="H9704">
        <f>IF(D9704="REMOVE",COUNTIF($D$2:D9704,"REMOVE"),"")</f>
        <v/>
      </c>
      <c r="I9704">
        <f>IF(E9704="Gmail",COUNTIF($E$2:E9704,"Gmail"),"")</f>
        <v/>
      </c>
      <c r="J9704">
        <f>IF(E9704="Outlook",COUNTIF($E$2:E9704,"Outlook"),"")</f>
        <v/>
      </c>
      <c r="K9704">
        <f>IF(E9704="Domain",COUNTIF($E$2:E9704,"Domain"),"")</f>
        <v/>
      </c>
    </row>
    <row r="9705">
      <c r="A9705" s="2" t="n"/>
      <c r="B9705">
        <f>LOWER(TRIM(A9705))</f>
        <v/>
      </c>
      <c r="C9705">
        <f>IF(B9705="","",IFERROR(INDEX('Bad Patterns'!$A$2:$A$120,MATCH(1,INDEX(--ISNUMBER(SEARCH('Bad Patterns'!$A$2:$A$120,B9705)),0),0)),""))</f>
        <v/>
      </c>
      <c r="D9705">
        <f>IF(B9705="","",IF(C9705&lt;&gt;"","REMOVE","KEEP"))</f>
        <v/>
      </c>
      <c r="E9705">
        <f>IF(D9705&lt;&gt;"KEEP","",IF(RIGHT(B9705,10)="@gmail.com","Gmail",IF(OR(RIGHT(B9705,12)="@outlook.com",RIGHT(B9705,12)="@hotmail.com",RIGHT(B9705,9)="@live.com"),"Outlook","Domain")))</f>
        <v/>
      </c>
      <c r="F9705">
        <f>IF(B9705="","",IFERROR(RIGHT(B9705,LEN(B9705)-FIND("@",B9705)),""))</f>
        <v/>
      </c>
      <c r="G9705">
        <f>IF(D9705="KEEP",COUNTIF($D$2:D9705,"KEEP"),"")</f>
        <v/>
      </c>
      <c r="H9705">
        <f>IF(D9705="REMOVE",COUNTIF($D$2:D9705,"REMOVE"),"")</f>
        <v/>
      </c>
      <c r="I9705">
        <f>IF(E9705="Gmail",COUNTIF($E$2:E9705,"Gmail"),"")</f>
        <v/>
      </c>
      <c r="J9705">
        <f>IF(E9705="Outlook",COUNTIF($E$2:E9705,"Outlook"),"")</f>
        <v/>
      </c>
      <c r="K9705">
        <f>IF(E9705="Domain",COUNTIF($E$2:E9705,"Domain"),"")</f>
        <v/>
      </c>
    </row>
    <row r="9706">
      <c r="A9706" s="2" t="n"/>
      <c r="B9706">
        <f>LOWER(TRIM(A9706))</f>
        <v/>
      </c>
      <c r="C9706">
        <f>IF(B9706="","",IFERROR(INDEX('Bad Patterns'!$A$2:$A$120,MATCH(1,INDEX(--ISNUMBER(SEARCH('Bad Patterns'!$A$2:$A$120,B9706)),0),0)),""))</f>
        <v/>
      </c>
      <c r="D9706">
        <f>IF(B9706="","",IF(C9706&lt;&gt;"","REMOVE","KEEP"))</f>
        <v/>
      </c>
      <c r="E9706">
        <f>IF(D9706&lt;&gt;"KEEP","",IF(RIGHT(B9706,10)="@gmail.com","Gmail",IF(OR(RIGHT(B9706,12)="@outlook.com",RIGHT(B9706,12)="@hotmail.com",RIGHT(B9706,9)="@live.com"),"Outlook","Domain")))</f>
        <v/>
      </c>
      <c r="F9706">
        <f>IF(B9706="","",IFERROR(RIGHT(B9706,LEN(B9706)-FIND("@",B9706)),""))</f>
        <v/>
      </c>
      <c r="G9706">
        <f>IF(D9706="KEEP",COUNTIF($D$2:D9706,"KEEP"),"")</f>
        <v/>
      </c>
      <c r="H9706">
        <f>IF(D9706="REMOVE",COUNTIF($D$2:D9706,"REMOVE"),"")</f>
        <v/>
      </c>
      <c r="I9706">
        <f>IF(E9706="Gmail",COUNTIF($E$2:E9706,"Gmail"),"")</f>
        <v/>
      </c>
      <c r="J9706">
        <f>IF(E9706="Outlook",COUNTIF($E$2:E9706,"Outlook"),"")</f>
        <v/>
      </c>
      <c r="K9706">
        <f>IF(E9706="Domain",COUNTIF($E$2:E9706,"Domain"),"")</f>
        <v/>
      </c>
    </row>
    <row r="9707">
      <c r="A9707" s="2" t="n"/>
      <c r="B9707">
        <f>LOWER(TRIM(A9707))</f>
        <v/>
      </c>
      <c r="C9707">
        <f>IF(B9707="","",IFERROR(INDEX('Bad Patterns'!$A$2:$A$120,MATCH(1,INDEX(--ISNUMBER(SEARCH('Bad Patterns'!$A$2:$A$120,B9707)),0),0)),""))</f>
        <v/>
      </c>
      <c r="D9707">
        <f>IF(B9707="","",IF(C9707&lt;&gt;"","REMOVE","KEEP"))</f>
        <v/>
      </c>
      <c r="E9707">
        <f>IF(D9707&lt;&gt;"KEEP","",IF(RIGHT(B9707,10)="@gmail.com","Gmail",IF(OR(RIGHT(B9707,12)="@outlook.com",RIGHT(B9707,12)="@hotmail.com",RIGHT(B9707,9)="@live.com"),"Outlook","Domain")))</f>
        <v/>
      </c>
      <c r="F9707">
        <f>IF(B9707="","",IFERROR(RIGHT(B9707,LEN(B9707)-FIND("@",B9707)),""))</f>
        <v/>
      </c>
      <c r="G9707">
        <f>IF(D9707="KEEP",COUNTIF($D$2:D9707,"KEEP"),"")</f>
        <v/>
      </c>
      <c r="H9707">
        <f>IF(D9707="REMOVE",COUNTIF($D$2:D9707,"REMOVE"),"")</f>
        <v/>
      </c>
      <c r="I9707">
        <f>IF(E9707="Gmail",COUNTIF($E$2:E9707,"Gmail"),"")</f>
        <v/>
      </c>
      <c r="J9707">
        <f>IF(E9707="Outlook",COUNTIF($E$2:E9707,"Outlook"),"")</f>
        <v/>
      </c>
      <c r="K9707">
        <f>IF(E9707="Domain",COUNTIF($E$2:E9707,"Domain"),"")</f>
        <v/>
      </c>
    </row>
    <row r="9708">
      <c r="A9708" s="2" t="n"/>
      <c r="B9708">
        <f>LOWER(TRIM(A9708))</f>
        <v/>
      </c>
      <c r="C9708">
        <f>IF(B9708="","",IFERROR(INDEX('Bad Patterns'!$A$2:$A$120,MATCH(1,INDEX(--ISNUMBER(SEARCH('Bad Patterns'!$A$2:$A$120,B9708)),0),0)),""))</f>
        <v/>
      </c>
      <c r="D9708">
        <f>IF(B9708="","",IF(C9708&lt;&gt;"","REMOVE","KEEP"))</f>
        <v/>
      </c>
      <c r="E9708">
        <f>IF(D9708&lt;&gt;"KEEP","",IF(RIGHT(B9708,10)="@gmail.com","Gmail",IF(OR(RIGHT(B9708,12)="@outlook.com",RIGHT(B9708,12)="@hotmail.com",RIGHT(B9708,9)="@live.com"),"Outlook","Domain")))</f>
        <v/>
      </c>
      <c r="F9708">
        <f>IF(B9708="","",IFERROR(RIGHT(B9708,LEN(B9708)-FIND("@",B9708)),""))</f>
        <v/>
      </c>
      <c r="G9708">
        <f>IF(D9708="KEEP",COUNTIF($D$2:D9708,"KEEP"),"")</f>
        <v/>
      </c>
      <c r="H9708">
        <f>IF(D9708="REMOVE",COUNTIF($D$2:D9708,"REMOVE"),"")</f>
        <v/>
      </c>
      <c r="I9708">
        <f>IF(E9708="Gmail",COUNTIF($E$2:E9708,"Gmail"),"")</f>
        <v/>
      </c>
      <c r="J9708">
        <f>IF(E9708="Outlook",COUNTIF($E$2:E9708,"Outlook"),"")</f>
        <v/>
      </c>
      <c r="K9708">
        <f>IF(E9708="Domain",COUNTIF($E$2:E9708,"Domain"),"")</f>
        <v/>
      </c>
    </row>
    <row r="9709">
      <c r="A9709" s="2" t="n"/>
      <c r="B9709">
        <f>LOWER(TRIM(A9709))</f>
        <v/>
      </c>
      <c r="C9709">
        <f>IF(B9709="","",IFERROR(INDEX('Bad Patterns'!$A$2:$A$120,MATCH(1,INDEX(--ISNUMBER(SEARCH('Bad Patterns'!$A$2:$A$120,B9709)),0),0)),""))</f>
        <v/>
      </c>
      <c r="D9709">
        <f>IF(B9709="","",IF(C9709&lt;&gt;"","REMOVE","KEEP"))</f>
        <v/>
      </c>
      <c r="E9709">
        <f>IF(D9709&lt;&gt;"KEEP","",IF(RIGHT(B9709,10)="@gmail.com","Gmail",IF(OR(RIGHT(B9709,12)="@outlook.com",RIGHT(B9709,12)="@hotmail.com",RIGHT(B9709,9)="@live.com"),"Outlook","Domain")))</f>
        <v/>
      </c>
      <c r="F9709">
        <f>IF(B9709="","",IFERROR(RIGHT(B9709,LEN(B9709)-FIND("@",B9709)),""))</f>
        <v/>
      </c>
      <c r="G9709">
        <f>IF(D9709="KEEP",COUNTIF($D$2:D9709,"KEEP"),"")</f>
        <v/>
      </c>
      <c r="H9709">
        <f>IF(D9709="REMOVE",COUNTIF($D$2:D9709,"REMOVE"),"")</f>
        <v/>
      </c>
      <c r="I9709">
        <f>IF(E9709="Gmail",COUNTIF($E$2:E9709,"Gmail"),"")</f>
        <v/>
      </c>
      <c r="J9709">
        <f>IF(E9709="Outlook",COUNTIF($E$2:E9709,"Outlook"),"")</f>
        <v/>
      </c>
      <c r="K9709">
        <f>IF(E9709="Domain",COUNTIF($E$2:E9709,"Domain"),"")</f>
        <v/>
      </c>
    </row>
    <row r="9710">
      <c r="A9710" s="2" t="n"/>
      <c r="B9710">
        <f>LOWER(TRIM(A9710))</f>
        <v/>
      </c>
      <c r="C9710">
        <f>IF(B9710="","",IFERROR(INDEX('Bad Patterns'!$A$2:$A$120,MATCH(1,INDEX(--ISNUMBER(SEARCH('Bad Patterns'!$A$2:$A$120,B9710)),0),0)),""))</f>
        <v/>
      </c>
      <c r="D9710">
        <f>IF(B9710="","",IF(C9710&lt;&gt;"","REMOVE","KEEP"))</f>
        <v/>
      </c>
      <c r="E9710">
        <f>IF(D9710&lt;&gt;"KEEP","",IF(RIGHT(B9710,10)="@gmail.com","Gmail",IF(OR(RIGHT(B9710,12)="@outlook.com",RIGHT(B9710,12)="@hotmail.com",RIGHT(B9710,9)="@live.com"),"Outlook","Domain")))</f>
        <v/>
      </c>
      <c r="F9710">
        <f>IF(B9710="","",IFERROR(RIGHT(B9710,LEN(B9710)-FIND("@",B9710)),""))</f>
        <v/>
      </c>
      <c r="G9710">
        <f>IF(D9710="KEEP",COUNTIF($D$2:D9710,"KEEP"),"")</f>
        <v/>
      </c>
      <c r="H9710">
        <f>IF(D9710="REMOVE",COUNTIF($D$2:D9710,"REMOVE"),"")</f>
        <v/>
      </c>
      <c r="I9710">
        <f>IF(E9710="Gmail",COUNTIF($E$2:E9710,"Gmail"),"")</f>
        <v/>
      </c>
      <c r="J9710">
        <f>IF(E9710="Outlook",COUNTIF($E$2:E9710,"Outlook"),"")</f>
        <v/>
      </c>
      <c r="K9710">
        <f>IF(E9710="Domain",COUNTIF($E$2:E9710,"Domain"),"")</f>
        <v/>
      </c>
    </row>
    <row r="9711">
      <c r="A9711" s="2" t="n"/>
      <c r="B9711">
        <f>LOWER(TRIM(A9711))</f>
        <v/>
      </c>
      <c r="C9711">
        <f>IF(B9711="","",IFERROR(INDEX('Bad Patterns'!$A$2:$A$120,MATCH(1,INDEX(--ISNUMBER(SEARCH('Bad Patterns'!$A$2:$A$120,B9711)),0),0)),""))</f>
        <v/>
      </c>
      <c r="D9711">
        <f>IF(B9711="","",IF(C9711&lt;&gt;"","REMOVE","KEEP"))</f>
        <v/>
      </c>
      <c r="E9711">
        <f>IF(D9711&lt;&gt;"KEEP","",IF(RIGHT(B9711,10)="@gmail.com","Gmail",IF(OR(RIGHT(B9711,12)="@outlook.com",RIGHT(B9711,12)="@hotmail.com",RIGHT(B9711,9)="@live.com"),"Outlook","Domain")))</f>
        <v/>
      </c>
      <c r="F9711">
        <f>IF(B9711="","",IFERROR(RIGHT(B9711,LEN(B9711)-FIND("@",B9711)),""))</f>
        <v/>
      </c>
      <c r="G9711">
        <f>IF(D9711="KEEP",COUNTIF($D$2:D9711,"KEEP"),"")</f>
        <v/>
      </c>
      <c r="H9711">
        <f>IF(D9711="REMOVE",COUNTIF($D$2:D9711,"REMOVE"),"")</f>
        <v/>
      </c>
      <c r="I9711">
        <f>IF(E9711="Gmail",COUNTIF($E$2:E9711,"Gmail"),"")</f>
        <v/>
      </c>
      <c r="J9711">
        <f>IF(E9711="Outlook",COUNTIF($E$2:E9711,"Outlook"),"")</f>
        <v/>
      </c>
      <c r="K9711">
        <f>IF(E9711="Domain",COUNTIF($E$2:E9711,"Domain"),"")</f>
        <v/>
      </c>
    </row>
    <row r="9712">
      <c r="A9712" s="2" t="n"/>
      <c r="B9712">
        <f>LOWER(TRIM(A9712))</f>
        <v/>
      </c>
      <c r="C9712">
        <f>IF(B9712="","",IFERROR(INDEX('Bad Patterns'!$A$2:$A$120,MATCH(1,INDEX(--ISNUMBER(SEARCH('Bad Patterns'!$A$2:$A$120,B9712)),0),0)),""))</f>
        <v/>
      </c>
      <c r="D9712">
        <f>IF(B9712="","",IF(C9712&lt;&gt;"","REMOVE","KEEP"))</f>
        <v/>
      </c>
      <c r="E9712">
        <f>IF(D9712&lt;&gt;"KEEP","",IF(RIGHT(B9712,10)="@gmail.com","Gmail",IF(OR(RIGHT(B9712,12)="@outlook.com",RIGHT(B9712,12)="@hotmail.com",RIGHT(B9712,9)="@live.com"),"Outlook","Domain")))</f>
        <v/>
      </c>
      <c r="F9712">
        <f>IF(B9712="","",IFERROR(RIGHT(B9712,LEN(B9712)-FIND("@",B9712)),""))</f>
        <v/>
      </c>
      <c r="G9712">
        <f>IF(D9712="KEEP",COUNTIF($D$2:D9712,"KEEP"),"")</f>
        <v/>
      </c>
      <c r="H9712">
        <f>IF(D9712="REMOVE",COUNTIF($D$2:D9712,"REMOVE"),"")</f>
        <v/>
      </c>
      <c r="I9712">
        <f>IF(E9712="Gmail",COUNTIF($E$2:E9712,"Gmail"),"")</f>
        <v/>
      </c>
      <c r="J9712">
        <f>IF(E9712="Outlook",COUNTIF($E$2:E9712,"Outlook"),"")</f>
        <v/>
      </c>
      <c r="K9712">
        <f>IF(E9712="Domain",COUNTIF($E$2:E9712,"Domain"),"")</f>
        <v/>
      </c>
    </row>
    <row r="9713">
      <c r="A9713" s="2" t="n"/>
      <c r="B9713">
        <f>LOWER(TRIM(A9713))</f>
        <v/>
      </c>
      <c r="C9713">
        <f>IF(B9713="","",IFERROR(INDEX('Bad Patterns'!$A$2:$A$120,MATCH(1,INDEX(--ISNUMBER(SEARCH('Bad Patterns'!$A$2:$A$120,B9713)),0),0)),""))</f>
        <v/>
      </c>
      <c r="D9713">
        <f>IF(B9713="","",IF(C9713&lt;&gt;"","REMOVE","KEEP"))</f>
        <v/>
      </c>
      <c r="E9713">
        <f>IF(D9713&lt;&gt;"KEEP","",IF(RIGHT(B9713,10)="@gmail.com","Gmail",IF(OR(RIGHT(B9713,12)="@outlook.com",RIGHT(B9713,12)="@hotmail.com",RIGHT(B9713,9)="@live.com"),"Outlook","Domain")))</f>
        <v/>
      </c>
      <c r="F9713">
        <f>IF(B9713="","",IFERROR(RIGHT(B9713,LEN(B9713)-FIND("@",B9713)),""))</f>
        <v/>
      </c>
      <c r="G9713">
        <f>IF(D9713="KEEP",COUNTIF($D$2:D9713,"KEEP"),"")</f>
        <v/>
      </c>
      <c r="H9713">
        <f>IF(D9713="REMOVE",COUNTIF($D$2:D9713,"REMOVE"),"")</f>
        <v/>
      </c>
      <c r="I9713">
        <f>IF(E9713="Gmail",COUNTIF($E$2:E9713,"Gmail"),"")</f>
        <v/>
      </c>
      <c r="J9713">
        <f>IF(E9713="Outlook",COUNTIF($E$2:E9713,"Outlook"),"")</f>
        <v/>
      </c>
      <c r="K9713">
        <f>IF(E9713="Domain",COUNTIF($E$2:E9713,"Domain"),"")</f>
        <v/>
      </c>
    </row>
    <row r="9714">
      <c r="A9714" s="2" t="n"/>
      <c r="B9714">
        <f>LOWER(TRIM(A9714))</f>
        <v/>
      </c>
      <c r="C9714">
        <f>IF(B9714="","",IFERROR(INDEX('Bad Patterns'!$A$2:$A$120,MATCH(1,INDEX(--ISNUMBER(SEARCH('Bad Patterns'!$A$2:$A$120,B9714)),0),0)),""))</f>
        <v/>
      </c>
      <c r="D9714">
        <f>IF(B9714="","",IF(C9714&lt;&gt;"","REMOVE","KEEP"))</f>
        <v/>
      </c>
      <c r="E9714">
        <f>IF(D9714&lt;&gt;"KEEP","",IF(RIGHT(B9714,10)="@gmail.com","Gmail",IF(OR(RIGHT(B9714,12)="@outlook.com",RIGHT(B9714,12)="@hotmail.com",RIGHT(B9714,9)="@live.com"),"Outlook","Domain")))</f>
        <v/>
      </c>
      <c r="F9714">
        <f>IF(B9714="","",IFERROR(RIGHT(B9714,LEN(B9714)-FIND("@",B9714)),""))</f>
        <v/>
      </c>
      <c r="G9714">
        <f>IF(D9714="KEEP",COUNTIF($D$2:D9714,"KEEP"),"")</f>
        <v/>
      </c>
      <c r="H9714">
        <f>IF(D9714="REMOVE",COUNTIF($D$2:D9714,"REMOVE"),"")</f>
        <v/>
      </c>
      <c r="I9714">
        <f>IF(E9714="Gmail",COUNTIF($E$2:E9714,"Gmail"),"")</f>
        <v/>
      </c>
      <c r="J9714">
        <f>IF(E9714="Outlook",COUNTIF($E$2:E9714,"Outlook"),"")</f>
        <v/>
      </c>
      <c r="K9714">
        <f>IF(E9714="Domain",COUNTIF($E$2:E9714,"Domain"),"")</f>
        <v/>
      </c>
    </row>
    <row r="9715">
      <c r="A9715" s="2" t="n"/>
      <c r="B9715">
        <f>LOWER(TRIM(A9715))</f>
        <v/>
      </c>
      <c r="C9715">
        <f>IF(B9715="","",IFERROR(INDEX('Bad Patterns'!$A$2:$A$120,MATCH(1,INDEX(--ISNUMBER(SEARCH('Bad Patterns'!$A$2:$A$120,B9715)),0),0)),""))</f>
        <v/>
      </c>
      <c r="D9715">
        <f>IF(B9715="","",IF(C9715&lt;&gt;"","REMOVE","KEEP"))</f>
        <v/>
      </c>
      <c r="E9715">
        <f>IF(D9715&lt;&gt;"KEEP","",IF(RIGHT(B9715,10)="@gmail.com","Gmail",IF(OR(RIGHT(B9715,12)="@outlook.com",RIGHT(B9715,12)="@hotmail.com",RIGHT(B9715,9)="@live.com"),"Outlook","Domain")))</f>
        <v/>
      </c>
      <c r="F9715">
        <f>IF(B9715="","",IFERROR(RIGHT(B9715,LEN(B9715)-FIND("@",B9715)),""))</f>
        <v/>
      </c>
      <c r="G9715">
        <f>IF(D9715="KEEP",COUNTIF($D$2:D9715,"KEEP"),"")</f>
        <v/>
      </c>
      <c r="H9715">
        <f>IF(D9715="REMOVE",COUNTIF($D$2:D9715,"REMOVE"),"")</f>
        <v/>
      </c>
      <c r="I9715">
        <f>IF(E9715="Gmail",COUNTIF($E$2:E9715,"Gmail"),"")</f>
        <v/>
      </c>
      <c r="J9715">
        <f>IF(E9715="Outlook",COUNTIF($E$2:E9715,"Outlook"),"")</f>
        <v/>
      </c>
      <c r="K9715">
        <f>IF(E9715="Domain",COUNTIF($E$2:E9715,"Domain"),"")</f>
        <v/>
      </c>
    </row>
    <row r="9716">
      <c r="A9716" s="2" t="n"/>
      <c r="B9716">
        <f>LOWER(TRIM(A9716))</f>
        <v/>
      </c>
      <c r="C9716">
        <f>IF(B9716="","",IFERROR(INDEX('Bad Patterns'!$A$2:$A$120,MATCH(1,INDEX(--ISNUMBER(SEARCH('Bad Patterns'!$A$2:$A$120,B9716)),0),0)),""))</f>
        <v/>
      </c>
      <c r="D9716">
        <f>IF(B9716="","",IF(C9716&lt;&gt;"","REMOVE","KEEP"))</f>
        <v/>
      </c>
      <c r="E9716">
        <f>IF(D9716&lt;&gt;"KEEP","",IF(RIGHT(B9716,10)="@gmail.com","Gmail",IF(OR(RIGHT(B9716,12)="@outlook.com",RIGHT(B9716,12)="@hotmail.com",RIGHT(B9716,9)="@live.com"),"Outlook","Domain")))</f>
        <v/>
      </c>
      <c r="F9716">
        <f>IF(B9716="","",IFERROR(RIGHT(B9716,LEN(B9716)-FIND("@",B9716)),""))</f>
        <v/>
      </c>
      <c r="G9716">
        <f>IF(D9716="KEEP",COUNTIF($D$2:D9716,"KEEP"),"")</f>
        <v/>
      </c>
      <c r="H9716">
        <f>IF(D9716="REMOVE",COUNTIF($D$2:D9716,"REMOVE"),"")</f>
        <v/>
      </c>
      <c r="I9716">
        <f>IF(E9716="Gmail",COUNTIF($E$2:E9716,"Gmail"),"")</f>
        <v/>
      </c>
      <c r="J9716">
        <f>IF(E9716="Outlook",COUNTIF($E$2:E9716,"Outlook"),"")</f>
        <v/>
      </c>
      <c r="K9716">
        <f>IF(E9716="Domain",COUNTIF($E$2:E9716,"Domain"),"")</f>
        <v/>
      </c>
    </row>
    <row r="9717">
      <c r="A9717" s="2" t="n"/>
      <c r="B9717">
        <f>LOWER(TRIM(A9717))</f>
        <v/>
      </c>
      <c r="C9717">
        <f>IF(B9717="","",IFERROR(INDEX('Bad Patterns'!$A$2:$A$120,MATCH(1,INDEX(--ISNUMBER(SEARCH('Bad Patterns'!$A$2:$A$120,B9717)),0),0)),""))</f>
        <v/>
      </c>
      <c r="D9717">
        <f>IF(B9717="","",IF(C9717&lt;&gt;"","REMOVE","KEEP"))</f>
        <v/>
      </c>
      <c r="E9717">
        <f>IF(D9717&lt;&gt;"KEEP","",IF(RIGHT(B9717,10)="@gmail.com","Gmail",IF(OR(RIGHT(B9717,12)="@outlook.com",RIGHT(B9717,12)="@hotmail.com",RIGHT(B9717,9)="@live.com"),"Outlook","Domain")))</f>
        <v/>
      </c>
      <c r="F9717">
        <f>IF(B9717="","",IFERROR(RIGHT(B9717,LEN(B9717)-FIND("@",B9717)),""))</f>
        <v/>
      </c>
      <c r="G9717">
        <f>IF(D9717="KEEP",COUNTIF($D$2:D9717,"KEEP"),"")</f>
        <v/>
      </c>
      <c r="H9717">
        <f>IF(D9717="REMOVE",COUNTIF($D$2:D9717,"REMOVE"),"")</f>
        <v/>
      </c>
      <c r="I9717">
        <f>IF(E9717="Gmail",COUNTIF($E$2:E9717,"Gmail"),"")</f>
        <v/>
      </c>
      <c r="J9717">
        <f>IF(E9717="Outlook",COUNTIF($E$2:E9717,"Outlook"),"")</f>
        <v/>
      </c>
      <c r="K9717">
        <f>IF(E9717="Domain",COUNTIF($E$2:E9717,"Domain"),"")</f>
        <v/>
      </c>
    </row>
    <row r="9718">
      <c r="A9718" s="2" t="n"/>
      <c r="B9718">
        <f>LOWER(TRIM(A9718))</f>
        <v/>
      </c>
      <c r="C9718">
        <f>IF(B9718="","",IFERROR(INDEX('Bad Patterns'!$A$2:$A$120,MATCH(1,INDEX(--ISNUMBER(SEARCH('Bad Patterns'!$A$2:$A$120,B9718)),0),0)),""))</f>
        <v/>
      </c>
      <c r="D9718">
        <f>IF(B9718="","",IF(C9718&lt;&gt;"","REMOVE","KEEP"))</f>
        <v/>
      </c>
      <c r="E9718">
        <f>IF(D9718&lt;&gt;"KEEP","",IF(RIGHT(B9718,10)="@gmail.com","Gmail",IF(OR(RIGHT(B9718,12)="@outlook.com",RIGHT(B9718,12)="@hotmail.com",RIGHT(B9718,9)="@live.com"),"Outlook","Domain")))</f>
        <v/>
      </c>
      <c r="F9718">
        <f>IF(B9718="","",IFERROR(RIGHT(B9718,LEN(B9718)-FIND("@",B9718)),""))</f>
        <v/>
      </c>
      <c r="G9718">
        <f>IF(D9718="KEEP",COUNTIF($D$2:D9718,"KEEP"),"")</f>
        <v/>
      </c>
      <c r="H9718">
        <f>IF(D9718="REMOVE",COUNTIF($D$2:D9718,"REMOVE"),"")</f>
        <v/>
      </c>
      <c r="I9718">
        <f>IF(E9718="Gmail",COUNTIF($E$2:E9718,"Gmail"),"")</f>
        <v/>
      </c>
      <c r="J9718">
        <f>IF(E9718="Outlook",COUNTIF($E$2:E9718,"Outlook"),"")</f>
        <v/>
      </c>
      <c r="K9718">
        <f>IF(E9718="Domain",COUNTIF($E$2:E9718,"Domain"),"")</f>
        <v/>
      </c>
    </row>
    <row r="9719">
      <c r="A9719" s="2" t="n"/>
      <c r="B9719">
        <f>LOWER(TRIM(A9719))</f>
        <v/>
      </c>
      <c r="C9719">
        <f>IF(B9719="","",IFERROR(INDEX('Bad Patterns'!$A$2:$A$120,MATCH(1,INDEX(--ISNUMBER(SEARCH('Bad Patterns'!$A$2:$A$120,B9719)),0),0)),""))</f>
        <v/>
      </c>
      <c r="D9719">
        <f>IF(B9719="","",IF(C9719&lt;&gt;"","REMOVE","KEEP"))</f>
        <v/>
      </c>
      <c r="E9719">
        <f>IF(D9719&lt;&gt;"KEEP","",IF(RIGHT(B9719,10)="@gmail.com","Gmail",IF(OR(RIGHT(B9719,12)="@outlook.com",RIGHT(B9719,12)="@hotmail.com",RIGHT(B9719,9)="@live.com"),"Outlook","Domain")))</f>
        <v/>
      </c>
      <c r="F9719">
        <f>IF(B9719="","",IFERROR(RIGHT(B9719,LEN(B9719)-FIND("@",B9719)),""))</f>
        <v/>
      </c>
      <c r="G9719">
        <f>IF(D9719="KEEP",COUNTIF($D$2:D9719,"KEEP"),"")</f>
        <v/>
      </c>
      <c r="H9719">
        <f>IF(D9719="REMOVE",COUNTIF($D$2:D9719,"REMOVE"),"")</f>
        <v/>
      </c>
      <c r="I9719">
        <f>IF(E9719="Gmail",COUNTIF($E$2:E9719,"Gmail"),"")</f>
        <v/>
      </c>
      <c r="J9719">
        <f>IF(E9719="Outlook",COUNTIF($E$2:E9719,"Outlook"),"")</f>
        <v/>
      </c>
      <c r="K9719">
        <f>IF(E9719="Domain",COUNTIF($E$2:E9719,"Domain"),"")</f>
        <v/>
      </c>
    </row>
    <row r="9720">
      <c r="A9720" s="2" t="n"/>
      <c r="B9720">
        <f>LOWER(TRIM(A9720))</f>
        <v/>
      </c>
      <c r="C9720">
        <f>IF(B9720="","",IFERROR(INDEX('Bad Patterns'!$A$2:$A$120,MATCH(1,INDEX(--ISNUMBER(SEARCH('Bad Patterns'!$A$2:$A$120,B9720)),0),0)),""))</f>
        <v/>
      </c>
      <c r="D9720">
        <f>IF(B9720="","",IF(C9720&lt;&gt;"","REMOVE","KEEP"))</f>
        <v/>
      </c>
      <c r="E9720">
        <f>IF(D9720&lt;&gt;"KEEP","",IF(RIGHT(B9720,10)="@gmail.com","Gmail",IF(OR(RIGHT(B9720,12)="@outlook.com",RIGHT(B9720,12)="@hotmail.com",RIGHT(B9720,9)="@live.com"),"Outlook","Domain")))</f>
        <v/>
      </c>
      <c r="F9720">
        <f>IF(B9720="","",IFERROR(RIGHT(B9720,LEN(B9720)-FIND("@",B9720)),""))</f>
        <v/>
      </c>
      <c r="G9720">
        <f>IF(D9720="KEEP",COUNTIF($D$2:D9720,"KEEP"),"")</f>
        <v/>
      </c>
      <c r="H9720">
        <f>IF(D9720="REMOVE",COUNTIF($D$2:D9720,"REMOVE"),"")</f>
        <v/>
      </c>
      <c r="I9720">
        <f>IF(E9720="Gmail",COUNTIF($E$2:E9720,"Gmail"),"")</f>
        <v/>
      </c>
      <c r="J9720">
        <f>IF(E9720="Outlook",COUNTIF($E$2:E9720,"Outlook"),"")</f>
        <v/>
      </c>
      <c r="K9720">
        <f>IF(E9720="Domain",COUNTIF($E$2:E9720,"Domain"),"")</f>
        <v/>
      </c>
    </row>
    <row r="9721">
      <c r="A9721" s="2" t="n"/>
      <c r="B9721">
        <f>LOWER(TRIM(A9721))</f>
        <v/>
      </c>
      <c r="C9721">
        <f>IF(B9721="","",IFERROR(INDEX('Bad Patterns'!$A$2:$A$120,MATCH(1,INDEX(--ISNUMBER(SEARCH('Bad Patterns'!$A$2:$A$120,B9721)),0),0)),""))</f>
        <v/>
      </c>
      <c r="D9721">
        <f>IF(B9721="","",IF(C9721&lt;&gt;"","REMOVE","KEEP"))</f>
        <v/>
      </c>
      <c r="E9721">
        <f>IF(D9721&lt;&gt;"KEEP","",IF(RIGHT(B9721,10)="@gmail.com","Gmail",IF(OR(RIGHT(B9721,12)="@outlook.com",RIGHT(B9721,12)="@hotmail.com",RIGHT(B9721,9)="@live.com"),"Outlook","Domain")))</f>
        <v/>
      </c>
      <c r="F9721">
        <f>IF(B9721="","",IFERROR(RIGHT(B9721,LEN(B9721)-FIND("@",B9721)),""))</f>
        <v/>
      </c>
      <c r="G9721">
        <f>IF(D9721="KEEP",COUNTIF($D$2:D9721,"KEEP"),"")</f>
        <v/>
      </c>
      <c r="H9721">
        <f>IF(D9721="REMOVE",COUNTIF($D$2:D9721,"REMOVE"),"")</f>
        <v/>
      </c>
      <c r="I9721">
        <f>IF(E9721="Gmail",COUNTIF($E$2:E9721,"Gmail"),"")</f>
        <v/>
      </c>
      <c r="J9721">
        <f>IF(E9721="Outlook",COUNTIF($E$2:E9721,"Outlook"),"")</f>
        <v/>
      </c>
      <c r="K9721">
        <f>IF(E9721="Domain",COUNTIF($E$2:E9721,"Domain"),"")</f>
        <v/>
      </c>
    </row>
    <row r="9722">
      <c r="A9722" s="2" t="n"/>
      <c r="B9722">
        <f>LOWER(TRIM(A9722))</f>
        <v/>
      </c>
      <c r="C9722">
        <f>IF(B9722="","",IFERROR(INDEX('Bad Patterns'!$A$2:$A$120,MATCH(1,INDEX(--ISNUMBER(SEARCH('Bad Patterns'!$A$2:$A$120,B9722)),0),0)),""))</f>
        <v/>
      </c>
      <c r="D9722">
        <f>IF(B9722="","",IF(C9722&lt;&gt;"","REMOVE","KEEP"))</f>
        <v/>
      </c>
      <c r="E9722">
        <f>IF(D9722&lt;&gt;"KEEP","",IF(RIGHT(B9722,10)="@gmail.com","Gmail",IF(OR(RIGHT(B9722,12)="@outlook.com",RIGHT(B9722,12)="@hotmail.com",RIGHT(B9722,9)="@live.com"),"Outlook","Domain")))</f>
        <v/>
      </c>
      <c r="F9722">
        <f>IF(B9722="","",IFERROR(RIGHT(B9722,LEN(B9722)-FIND("@",B9722)),""))</f>
        <v/>
      </c>
      <c r="G9722">
        <f>IF(D9722="KEEP",COUNTIF($D$2:D9722,"KEEP"),"")</f>
        <v/>
      </c>
      <c r="H9722">
        <f>IF(D9722="REMOVE",COUNTIF($D$2:D9722,"REMOVE"),"")</f>
        <v/>
      </c>
      <c r="I9722">
        <f>IF(E9722="Gmail",COUNTIF($E$2:E9722,"Gmail"),"")</f>
        <v/>
      </c>
      <c r="J9722">
        <f>IF(E9722="Outlook",COUNTIF($E$2:E9722,"Outlook"),"")</f>
        <v/>
      </c>
      <c r="K9722">
        <f>IF(E9722="Domain",COUNTIF($E$2:E9722,"Domain"),"")</f>
        <v/>
      </c>
    </row>
    <row r="9723">
      <c r="A9723" s="2" t="n"/>
      <c r="B9723">
        <f>LOWER(TRIM(A9723))</f>
        <v/>
      </c>
      <c r="C9723">
        <f>IF(B9723="","",IFERROR(INDEX('Bad Patterns'!$A$2:$A$120,MATCH(1,INDEX(--ISNUMBER(SEARCH('Bad Patterns'!$A$2:$A$120,B9723)),0),0)),""))</f>
        <v/>
      </c>
      <c r="D9723">
        <f>IF(B9723="","",IF(C9723&lt;&gt;"","REMOVE","KEEP"))</f>
        <v/>
      </c>
      <c r="E9723">
        <f>IF(D9723&lt;&gt;"KEEP","",IF(RIGHT(B9723,10)="@gmail.com","Gmail",IF(OR(RIGHT(B9723,12)="@outlook.com",RIGHT(B9723,12)="@hotmail.com",RIGHT(B9723,9)="@live.com"),"Outlook","Domain")))</f>
        <v/>
      </c>
      <c r="F9723">
        <f>IF(B9723="","",IFERROR(RIGHT(B9723,LEN(B9723)-FIND("@",B9723)),""))</f>
        <v/>
      </c>
      <c r="G9723">
        <f>IF(D9723="KEEP",COUNTIF($D$2:D9723,"KEEP"),"")</f>
        <v/>
      </c>
      <c r="H9723">
        <f>IF(D9723="REMOVE",COUNTIF($D$2:D9723,"REMOVE"),"")</f>
        <v/>
      </c>
      <c r="I9723">
        <f>IF(E9723="Gmail",COUNTIF($E$2:E9723,"Gmail"),"")</f>
        <v/>
      </c>
      <c r="J9723">
        <f>IF(E9723="Outlook",COUNTIF($E$2:E9723,"Outlook"),"")</f>
        <v/>
      </c>
      <c r="K9723">
        <f>IF(E9723="Domain",COUNTIF($E$2:E9723,"Domain"),"")</f>
        <v/>
      </c>
    </row>
    <row r="9724">
      <c r="A9724" s="2" t="n"/>
      <c r="B9724">
        <f>LOWER(TRIM(A9724))</f>
        <v/>
      </c>
      <c r="C9724">
        <f>IF(B9724="","",IFERROR(INDEX('Bad Patterns'!$A$2:$A$120,MATCH(1,INDEX(--ISNUMBER(SEARCH('Bad Patterns'!$A$2:$A$120,B9724)),0),0)),""))</f>
        <v/>
      </c>
      <c r="D9724">
        <f>IF(B9724="","",IF(C9724&lt;&gt;"","REMOVE","KEEP"))</f>
        <v/>
      </c>
      <c r="E9724">
        <f>IF(D9724&lt;&gt;"KEEP","",IF(RIGHT(B9724,10)="@gmail.com","Gmail",IF(OR(RIGHT(B9724,12)="@outlook.com",RIGHT(B9724,12)="@hotmail.com",RIGHT(B9724,9)="@live.com"),"Outlook","Domain")))</f>
        <v/>
      </c>
      <c r="F9724">
        <f>IF(B9724="","",IFERROR(RIGHT(B9724,LEN(B9724)-FIND("@",B9724)),""))</f>
        <v/>
      </c>
      <c r="G9724">
        <f>IF(D9724="KEEP",COUNTIF($D$2:D9724,"KEEP"),"")</f>
        <v/>
      </c>
      <c r="H9724">
        <f>IF(D9724="REMOVE",COUNTIF($D$2:D9724,"REMOVE"),"")</f>
        <v/>
      </c>
      <c r="I9724">
        <f>IF(E9724="Gmail",COUNTIF($E$2:E9724,"Gmail"),"")</f>
        <v/>
      </c>
      <c r="J9724">
        <f>IF(E9724="Outlook",COUNTIF($E$2:E9724,"Outlook"),"")</f>
        <v/>
      </c>
      <c r="K9724">
        <f>IF(E9724="Domain",COUNTIF($E$2:E9724,"Domain"),"")</f>
        <v/>
      </c>
    </row>
    <row r="9725">
      <c r="A9725" s="2" t="n"/>
      <c r="B9725">
        <f>LOWER(TRIM(A9725))</f>
        <v/>
      </c>
      <c r="C9725">
        <f>IF(B9725="","",IFERROR(INDEX('Bad Patterns'!$A$2:$A$120,MATCH(1,INDEX(--ISNUMBER(SEARCH('Bad Patterns'!$A$2:$A$120,B9725)),0),0)),""))</f>
        <v/>
      </c>
      <c r="D9725">
        <f>IF(B9725="","",IF(C9725&lt;&gt;"","REMOVE","KEEP"))</f>
        <v/>
      </c>
      <c r="E9725">
        <f>IF(D9725&lt;&gt;"KEEP","",IF(RIGHT(B9725,10)="@gmail.com","Gmail",IF(OR(RIGHT(B9725,12)="@outlook.com",RIGHT(B9725,12)="@hotmail.com",RIGHT(B9725,9)="@live.com"),"Outlook","Domain")))</f>
        <v/>
      </c>
      <c r="F9725">
        <f>IF(B9725="","",IFERROR(RIGHT(B9725,LEN(B9725)-FIND("@",B9725)),""))</f>
        <v/>
      </c>
      <c r="G9725">
        <f>IF(D9725="KEEP",COUNTIF($D$2:D9725,"KEEP"),"")</f>
        <v/>
      </c>
      <c r="H9725">
        <f>IF(D9725="REMOVE",COUNTIF($D$2:D9725,"REMOVE"),"")</f>
        <v/>
      </c>
      <c r="I9725">
        <f>IF(E9725="Gmail",COUNTIF($E$2:E9725,"Gmail"),"")</f>
        <v/>
      </c>
      <c r="J9725">
        <f>IF(E9725="Outlook",COUNTIF($E$2:E9725,"Outlook"),"")</f>
        <v/>
      </c>
      <c r="K9725">
        <f>IF(E9725="Domain",COUNTIF($E$2:E9725,"Domain"),"")</f>
        <v/>
      </c>
    </row>
    <row r="9726">
      <c r="A9726" s="2" t="n"/>
      <c r="B9726">
        <f>LOWER(TRIM(A9726))</f>
        <v/>
      </c>
      <c r="C9726">
        <f>IF(B9726="","",IFERROR(INDEX('Bad Patterns'!$A$2:$A$120,MATCH(1,INDEX(--ISNUMBER(SEARCH('Bad Patterns'!$A$2:$A$120,B9726)),0),0)),""))</f>
        <v/>
      </c>
      <c r="D9726">
        <f>IF(B9726="","",IF(C9726&lt;&gt;"","REMOVE","KEEP"))</f>
        <v/>
      </c>
      <c r="E9726">
        <f>IF(D9726&lt;&gt;"KEEP","",IF(RIGHT(B9726,10)="@gmail.com","Gmail",IF(OR(RIGHT(B9726,12)="@outlook.com",RIGHT(B9726,12)="@hotmail.com",RIGHT(B9726,9)="@live.com"),"Outlook","Domain")))</f>
        <v/>
      </c>
      <c r="F9726">
        <f>IF(B9726="","",IFERROR(RIGHT(B9726,LEN(B9726)-FIND("@",B9726)),""))</f>
        <v/>
      </c>
      <c r="G9726">
        <f>IF(D9726="KEEP",COUNTIF($D$2:D9726,"KEEP"),"")</f>
        <v/>
      </c>
      <c r="H9726">
        <f>IF(D9726="REMOVE",COUNTIF($D$2:D9726,"REMOVE"),"")</f>
        <v/>
      </c>
      <c r="I9726">
        <f>IF(E9726="Gmail",COUNTIF($E$2:E9726,"Gmail"),"")</f>
        <v/>
      </c>
      <c r="J9726">
        <f>IF(E9726="Outlook",COUNTIF($E$2:E9726,"Outlook"),"")</f>
        <v/>
      </c>
      <c r="K9726">
        <f>IF(E9726="Domain",COUNTIF($E$2:E9726,"Domain"),"")</f>
        <v/>
      </c>
    </row>
    <row r="9727">
      <c r="A9727" s="2" t="n"/>
      <c r="B9727">
        <f>LOWER(TRIM(A9727))</f>
        <v/>
      </c>
      <c r="C9727">
        <f>IF(B9727="","",IFERROR(INDEX('Bad Patterns'!$A$2:$A$120,MATCH(1,INDEX(--ISNUMBER(SEARCH('Bad Patterns'!$A$2:$A$120,B9727)),0),0)),""))</f>
        <v/>
      </c>
      <c r="D9727">
        <f>IF(B9727="","",IF(C9727&lt;&gt;"","REMOVE","KEEP"))</f>
        <v/>
      </c>
      <c r="E9727">
        <f>IF(D9727&lt;&gt;"KEEP","",IF(RIGHT(B9727,10)="@gmail.com","Gmail",IF(OR(RIGHT(B9727,12)="@outlook.com",RIGHT(B9727,12)="@hotmail.com",RIGHT(B9727,9)="@live.com"),"Outlook","Domain")))</f>
        <v/>
      </c>
      <c r="F9727">
        <f>IF(B9727="","",IFERROR(RIGHT(B9727,LEN(B9727)-FIND("@",B9727)),""))</f>
        <v/>
      </c>
      <c r="G9727">
        <f>IF(D9727="KEEP",COUNTIF($D$2:D9727,"KEEP"),"")</f>
        <v/>
      </c>
      <c r="H9727">
        <f>IF(D9727="REMOVE",COUNTIF($D$2:D9727,"REMOVE"),"")</f>
        <v/>
      </c>
      <c r="I9727">
        <f>IF(E9727="Gmail",COUNTIF($E$2:E9727,"Gmail"),"")</f>
        <v/>
      </c>
      <c r="J9727">
        <f>IF(E9727="Outlook",COUNTIF($E$2:E9727,"Outlook"),"")</f>
        <v/>
      </c>
      <c r="K9727">
        <f>IF(E9727="Domain",COUNTIF($E$2:E9727,"Domain"),"")</f>
        <v/>
      </c>
    </row>
    <row r="9728">
      <c r="A9728" s="2" t="n"/>
      <c r="B9728">
        <f>LOWER(TRIM(A9728))</f>
        <v/>
      </c>
      <c r="C9728">
        <f>IF(B9728="","",IFERROR(INDEX('Bad Patterns'!$A$2:$A$120,MATCH(1,INDEX(--ISNUMBER(SEARCH('Bad Patterns'!$A$2:$A$120,B9728)),0),0)),""))</f>
        <v/>
      </c>
      <c r="D9728">
        <f>IF(B9728="","",IF(C9728&lt;&gt;"","REMOVE","KEEP"))</f>
        <v/>
      </c>
      <c r="E9728">
        <f>IF(D9728&lt;&gt;"KEEP","",IF(RIGHT(B9728,10)="@gmail.com","Gmail",IF(OR(RIGHT(B9728,12)="@outlook.com",RIGHT(B9728,12)="@hotmail.com",RIGHT(B9728,9)="@live.com"),"Outlook","Domain")))</f>
        <v/>
      </c>
      <c r="F9728">
        <f>IF(B9728="","",IFERROR(RIGHT(B9728,LEN(B9728)-FIND("@",B9728)),""))</f>
        <v/>
      </c>
      <c r="G9728">
        <f>IF(D9728="KEEP",COUNTIF($D$2:D9728,"KEEP"),"")</f>
        <v/>
      </c>
      <c r="H9728">
        <f>IF(D9728="REMOVE",COUNTIF($D$2:D9728,"REMOVE"),"")</f>
        <v/>
      </c>
      <c r="I9728">
        <f>IF(E9728="Gmail",COUNTIF($E$2:E9728,"Gmail"),"")</f>
        <v/>
      </c>
      <c r="J9728">
        <f>IF(E9728="Outlook",COUNTIF($E$2:E9728,"Outlook"),"")</f>
        <v/>
      </c>
      <c r="K9728">
        <f>IF(E9728="Domain",COUNTIF($E$2:E9728,"Domain"),"")</f>
        <v/>
      </c>
    </row>
    <row r="9729">
      <c r="A9729" s="2" t="n"/>
      <c r="B9729">
        <f>LOWER(TRIM(A9729))</f>
        <v/>
      </c>
      <c r="C9729">
        <f>IF(B9729="","",IFERROR(INDEX('Bad Patterns'!$A$2:$A$120,MATCH(1,INDEX(--ISNUMBER(SEARCH('Bad Patterns'!$A$2:$A$120,B9729)),0),0)),""))</f>
        <v/>
      </c>
      <c r="D9729">
        <f>IF(B9729="","",IF(C9729&lt;&gt;"","REMOVE","KEEP"))</f>
        <v/>
      </c>
      <c r="E9729">
        <f>IF(D9729&lt;&gt;"KEEP","",IF(RIGHT(B9729,10)="@gmail.com","Gmail",IF(OR(RIGHT(B9729,12)="@outlook.com",RIGHT(B9729,12)="@hotmail.com",RIGHT(B9729,9)="@live.com"),"Outlook","Domain")))</f>
        <v/>
      </c>
      <c r="F9729">
        <f>IF(B9729="","",IFERROR(RIGHT(B9729,LEN(B9729)-FIND("@",B9729)),""))</f>
        <v/>
      </c>
      <c r="G9729">
        <f>IF(D9729="KEEP",COUNTIF($D$2:D9729,"KEEP"),"")</f>
        <v/>
      </c>
      <c r="H9729">
        <f>IF(D9729="REMOVE",COUNTIF($D$2:D9729,"REMOVE"),"")</f>
        <v/>
      </c>
      <c r="I9729">
        <f>IF(E9729="Gmail",COUNTIF($E$2:E9729,"Gmail"),"")</f>
        <v/>
      </c>
      <c r="J9729">
        <f>IF(E9729="Outlook",COUNTIF($E$2:E9729,"Outlook"),"")</f>
        <v/>
      </c>
      <c r="K9729">
        <f>IF(E9729="Domain",COUNTIF($E$2:E9729,"Domain"),"")</f>
        <v/>
      </c>
    </row>
    <row r="9730">
      <c r="A9730" s="2" t="n"/>
      <c r="B9730">
        <f>LOWER(TRIM(A9730))</f>
        <v/>
      </c>
      <c r="C9730">
        <f>IF(B9730="","",IFERROR(INDEX('Bad Patterns'!$A$2:$A$120,MATCH(1,INDEX(--ISNUMBER(SEARCH('Bad Patterns'!$A$2:$A$120,B9730)),0),0)),""))</f>
        <v/>
      </c>
      <c r="D9730">
        <f>IF(B9730="","",IF(C9730&lt;&gt;"","REMOVE","KEEP"))</f>
        <v/>
      </c>
      <c r="E9730">
        <f>IF(D9730&lt;&gt;"KEEP","",IF(RIGHT(B9730,10)="@gmail.com","Gmail",IF(OR(RIGHT(B9730,12)="@outlook.com",RIGHT(B9730,12)="@hotmail.com",RIGHT(B9730,9)="@live.com"),"Outlook","Domain")))</f>
        <v/>
      </c>
      <c r="F9730">
        <f>IF(B9730="","",IFERROR(RIGHT(B9730,LEN(B9730)-FIND("@",B9730)),""))</f>
        <v/>
      </c>
      <c r="G9730">
        <f>IF(D9730="KEEP",COUNTIF($D$2:D9730,"KEEP"),"")</f>
        <v/>
      </c>
      <c r="H9730">
        <f>IF(D9730="REMOVE",COUNTIF($D$2:D9730,"REMOVE"),"")</f>
        <v/>
      </c>
      <c r="I9730">
        <f>IF(E9730="Gmail",COUNTIF($E$2:E9730,"Gmail"),"")</f>
        <v/>
      </c>
      <c r="J9730">
        <f>IF(E9730="Outlook",COUNTIF($E$2:E9730,"Outlook"),"")</f>
        <v/>
      </c>
      <c r="K9730">
        <f>IF(E9730="Domain",COUNTIF($E$2:E9730,"Domain"),"")</f>
        <v/>
      </c>
    </row>
    <row r="9731">
      <c r="A9731" s="2" t="n"/>
      <c r="B9731">
        <f>LOWER(TRIM(A9731))</f>
        <v/>
      </c>
      <c r="C9731">
        <f>IF(B9731="","",IFERROR(INDEX('Bad Patterns'!$A$2:$A$120,MATCH(1,INDEX(--ISNUMBER(SEARCH('Bad Patterns'!$A$2:$A$120,B9731)),0),0)),""))</f>
        <v/>
      </c>
      <c r="D9731">
        <f>IF(B9731="","",IF(C9731&lt;&gt;"","REMOVE","KEEP"))</f>
        <v/>
      </c>
      <c r="E9731">
        <f>IF(D9731&lt;&gt;"KEEP","",IF(RIGHT(B9731,10)="@gmail.com","Gmail",IF(OR(RIGHT(B9731,12)="@outlook.com",RIGHT(B9731,12)="@hotmail.com",RIGHT(B9731,9)="@live.com"),"Outlook","Domain")))</f>
        <v/>
      </c>
      <c r="F9731">
        <f>IF(B9731="","",IFERROR(RIGHT(B9731,LEN(B9731)-FIND("@",B9731)),""))</f>
        <v/>
      </c>
      <c r="G9731">
        <f>IF(D9731="KEEP",COUNTIF($D$2:D9731,"KEEP"),"")</f>
        <v/>
      </c>
      <c r="H9731">
        <f>IF(D9731="REMOVE",COUNTIF($D$2:D9731,"REMOVE"),"")</f>
        <v/>
      </c>
      <c r="I9731">
        <f>IF(E9731="Gmail",COUNTIF($E$2:E9731,"Gmail"),"")</f>
        <v/>
      </c>
      <c r="J9731">
        <f>IF(E9731="Outlook",COUNTIF($E$2:E9731,"Outlook"),"")</f>
        <v/>
      </c>
      <c r="K9731">
        <f>IF(E9731="Domain",COUNTIF($E$2:E9731,"Domain"),"")</f>
        <v/>
      </c>
    </row>
    <row r="9732">
      <c r="A9732" s="2" t="n"/>
      <c r="B9732">
        <f>LOWER(TRIM(A9732))</f>
        <v/>
      </c>
      <c r="C9732">
        <f>IF(B9732="","",IFERROR(INDEX('Bad Patterns'!$A$2:$A$120,MATCH(1,INDEX(--ISNUMBER(SEARCH('Bad Patterns'!$A$2:$A$120,B9732)),0),0)),""))</f>
        <v/>
      </c>
      <c r="D9732">
        <f>IF(B9732="","",IF(C9732&lt;&gt;"","REMOVE","KEEP"))</f>
        <v/>
      </c>
      <c r="E9732">
        <f>IF(D9732&lt;&gt;"KEEP","",IF(RIGHT(B9732,10)="@gmail.com","Gmail",IF(OR(RIGHT(B9732,12)="@outlook.com",RIGHT(B9732,12)="@hotmail.com",RIGHT(B9732,9)="@live.com"),"Outlook","Domain")))</f>
        <v/>
      </c>
      <c r="F9732">
        <f>IF(B9732="","",IFERROR(RIGHT(B9732,LEN(B9732)-FIND("@",B9732)),""))</f>
        <v/>
      </c>
      <c r="G9732">
        <f>IF(D9732="KEEP",COUNTIF($D$2:D9732,"KEEP"),"")</f>
        <v/>
      </c>
      <c r="H9732">
        <f>IF(D9732="REMOVE",COUNTIF($D$2:D9732,"REMOVE"),"")</f>
        <v/>
      </c>
      <c r="I9732">
        <f>IF(E9732="Gmail",COUNTIF($E$2:E9732,"Gmail"),"")</f>
        <v/>
      </c>
      <c r="J9732">
        <f>IF(E9732="Outlook",COUNTIF($E$2:E9732,"Outlook"),"")</f>
        <v/>
      </c>
      <c r="K9732">
        <f>IF(E9732="Domain",COUNTIF($E$2:E9732,"Domain"),"")</f>
        <v/>
      </c>
    </row>
    <row r="9733">
      <c r="A9733" s="2" t="n"/>
      <c r="B9733">
        <f>LOWER(TRIM(A9733))</f>
        <v/>
      </c>
      <c r="C9733">
        <f>IF(B9733="","",IFERROR(INDEX('Bad Patterns'!$A$2:$A$120,MATCH(1,INDEX(--ISNUMBER(SEARCH('Bad Patterns'!$A$2:$A$120,B9733)),0),0)),""))</f>
        <v/>
      </c>
      <c r="D9733">
        <f>IF(B9733="","",IF(C9733&lt;&gt;"","REMOVE","KEEP"))</f>
        <v/>
      </c>
      <c r="E9733">
        <f>IF(D9733&lt;&gt;"KEEP","",IF(RIGHT(B9733,10)="@gmail.com","Gmail",IF(OR(RIGHT(B9733,12)="@outlook.com",RIGHT(B9733,12)="@hotmail.com",RIGHT(B9733,9)="@live.com"),"Outlook","Domain")))</f>
        <v/>
      </c>
      <c r="F9733">
        <f>IF(B9733="","",IFERROR(RIGHT(B9733,LEN(B9733)-FIND("@",B9733)),""))</f>
        <v/>
      </c>
      <c r="G9733">
        <f>IF(D9733="KEEP",COUNTIF($D$2:D9733,"KEEP"),"")</f>
        <v/>
      </c>
      <c r="H9733">
        <f>IF(D9733="REMOVE",COUNTIF($D$2:D9733,"REMOVE"),"")</f>
        <v/>
      </c>
      <c r="I9733">
        <f>IF(E9733="Gmail",COUNTIF($E$2:E9733,"Gmail"),"")</f>
        <v/>
      </c>
      <c r="J9733">
        <f>IF(E9733="Outlook",COUNTIF($E$2:E9733,"Outlook"),"")</f>
        <v/>
      </c>
      <c r="K9733">
        <f>IF(E9733="Domain",COUNTIF($E$2:E9733,"Domain"),"")</f>
        <v/>
      </c>
    </row>
    <row r="9734">
      <c r="A9734" s="2" t="n"/>
      <c r="B9734">
        <f>LOWER(TRIM(A9734))</f>
        <v/>
      </c>
      <c r="C9734">
        <f>IF(B9734="","",IFERROR(INDEX('Bad Patterns'!$A$2:$A$120,MATCH(1,INDEX(--ISNUMBER(SEARCH('Bad Patterns'!$A$2:$A$120,B9734)),0),0)),""))</f>
        <v/>
      </c>
      <c r="D9734">
        <f>IF(B9734="","",IF(C9734&lt;&gt;"","REMOVE","KEEP"))</f>
        <v/>
      </c>
      <c r="E9734">
        <f>IF(D9734&lt;&gt;"KEEP","",IF(RIGHT(B9734,10)="@gmail.com","Gmail",IF(OR(RIGHT(B9734,12)="@outlook.com",RIGHT(B9734,12)="@hotmail.com",RIGHT(B9734,9)="@live.com"),"Outlook","Domain")))</f>
        <v/>
      </c>
      <c r="F9734">
        <f>IF(B9734="","",IFERROR(RIGHT(B9734,LEN(B9734)-FIND("@",B9734)),""))</f>
        <v/>
      </c>
      <c r="G9734">
        <f>IF(D9734="KEEP",COUNTIF($D$2:D9734,"KEEP"),"")</f>
        <v/>
      </c>
      <c r="H9734">
        <f>IF(D9734="REMOVE",COUNTIF($D$2:D9734,"REMOVE"),"")</f>
        <v/>
      </c>
      <c r="I9734">
        <f>IF(E9734="Gmail",COUNTIF($E$2:E9734,"Gmail"),"")</f>
        <v/>
      </c>
      <c r="J9734">
        <f>IF(E9734="Outlook",COUNTIF($E$2:E9734,"Outlook"),"")</f>
        <v/>
      </c>
      <c r="K9734">
        <f>IF(E9734="Domain",COUNTIF($E$2:E9734,"Domain"),"")</f>
        <v/>
      </c>
    </row>
    <row r="9735">
      <c r="A9735" s="2" t="n"/>
      <c r="B9735">
        <f>LOWER(TRIM(A9735))</f>
        <v/>
      </c>
      <c r="C9735">
        <f>IF(B9735="","",IFERROR(INDEX('Bad Patterns'!$A$2:$A$120,MATCH(1,INDEX(--ISNUMBER(SEARCH('Bad Patterns'!$A$2:$A$120,B9735)),0),0)),""))</f>
        <v/>
      </c>
      <c r="D9735">
        <f>IF(B9735="","",IF(C9735&lt;&gt;"","REMOVE","KEEP"))</f>
        <v/>
      </c>
      <c r="E9735">
        <f>IF(D9735&lt;&gt;"KEEP","",IF(RIGHT(B9735,10)="@gmail.com","Gmail",IF(OR(RIGHT(B9735,12)="@outlook.com",RIGHT(B9735,12)="@hotmail.com",RIGHT(B9735,9)="@live.com"),"Outlook","Domain")))</f>
        <v/>
      </c>
      <c r="F9735">
        <f>IF(B9735="","",IFERROR(RIGHT(B9735,LEN(B9735)-FIND("@",B9735)),""))</f>
        <v/>
      </c>
      <c r="G9735">
        <f>IF(D9735="KEEP",COUNTIF($D$2:D9735,"KEEP"),"")</f>
        <v/>
      </c>
      <c r="H9735">
        <f>IF(D9735="REMOVE",COUNTIF($D$2:D9735,"REMOVE"),"")</f>
        <v/>
      </c>
      <c r="I9735">
        <f>IF(E9735="Gmail",COUNTIF($E$2:E9735,"Gmail"),"")</f>
        <v/>
      </c>
      <c r="J9735">
        <f>IF(E9735="Outlook",COUNTIF($E$2:E9735,"Outlook"),"")</f>
        <v/>
      </c>
      <c r="K9735">
        <f>IF(E9735="Domain",COUNTIF($E$2:E9735,"Domain"),"")</f>
        <v/>
      </c>
    </row>
    <row r="9736">
      <c r="A9736" s="2" t="n"/>
      <c r="B9736">
        <f>LOWER(TRIM(A9736))</f>
        <v/>
      </c>
      <c r="C9736">
        <f>IF(B9736="","",IFERROR(INDEX('Bad Patterns'!$A$2:$A$120,MATCH(1,INDEX(--ISNUMBER(SEARCH('Bad Patterns'!$A$2:$A$120,B9736)),0),0)),""))</f>
        <v/>
      </c>
      <c r="D9736">
        <f>IF(B9736="","",IF(C9736&lt;&gt;"","REMOVE","KEEP"))</f>
        <v/>
      </c>
      <c r="E9736">
        <f>IF(D9736&lt;&gt;"KEEP","",IF(RIGHT(B9736,10)="@gmail.com","Gmail",IF(OR(RIGHT(B9736,12)="@outlook.com",RIGHT(B9736,12)="@hotmail.com",RIGHT(B9736,9)="@live.com"),"Outlook","Domain")))</f>
        <v/>
      </c>
      <c r="F9736">
        <f>IF(B9736="","",IFERROR(RIGHT(B9736,LEN(B9736)-FIND("@",B9736)),""))</f>
        <v/>
      </c>
      <c r="G9736">
        <f>IF(D9736="KEEP",COUNTIF($D$2:D9736,"KEEP"),"")</f>
        <v/>
      </c>
      <c r="H9736">
        <f>IF(D9736="REMOVE",COUNTIF($D$2:D9736,"REMOVE"),"")</f>
        <v/>
      </c>
      <c r="I9736">
        <f>IF(E9736="Gmail",COUNTIF($E$2:E9736,"Gmail"),"")</f>
        <v/>
      </c>
      <c r="J9736">
        <f>IF(E9736="Outlook",COUNTIF($E$2:E9736,"Outlook"),"")</f>
        <v/>
      </c>
      <c r="K9736">
        <f>IF(E9736="Domain",COUNTIF($E$2:E9736,"Domain"),"")</f>
        <v/>
      </c>
    </row>
    <row r="9737">
      <c r="A9737" s="2" t="n"/>
      <c r="B9737">
        <f>LOWER(TRIM(A9737))</f>
        <v/>
      </c>
      <c r="C9737">
        <f>IF(B9737="","",IFERROR(INDEX('Bad Patterns'!$A$2:$A$120,MATCH(1,INDEX(--ISNUMBER(SEARCH('Bad Patterns'!$A$2:$A$120,B9737)),0),0)),""))</f>
        <v/>
      </c>
      <c r="D9737">
        <f>IF(B9737="","",IF(C9737&lt;&gt;"","REMOVE","KEEP"))</f>
        <v/>
      </c>
      <c r="E9737">
        <f>IF(D9737&lt;&gt;"KEEP","",IF(RIGHT(B9737,10)="@gmail.com","Gmail",IF(OR(RIGHT(B9737,12)="@outlook.com",RIGHT(B9737,12)="@hotmail.com",RIGHT(B9737,9)="@live.com"),"Outlook","Domain")))</f>
        <v/>
      </c>
      <c r="F9737">
        <f>IF(B9737="","",IFERROR(RIGHT(B9737,LEN(B9737)-FIND("@",B9737)),""))</f>
        <v/>
      </c>
      <c r="G9737">
        <f>IF(D9737="KEEP",COUNTIF($D$2:D9737,"KEEP"),"")</f>
        <v/>
      </c>
      <c r="H9737">
        <f>IF(D9737="REMOVE",COUNTIF($D$2:D9737,"REMOVE"),"")</f>
        <v/>
      </c>
      <c r="I9737">
        <f>IF(E9737="Gmail",COUNTIF($E$2:E9737,"Gmail"),"")</f>
        <v/>
      </c>
      <c r="J9737">
        <f>IF(E9737="Outlook",COUNTIF($E$2:E9737,"Outlook"),"")</f>
        <v/>
      </c>
      <c r="K9737">
        <f>IF(E9737="Domain",COUNTIF($E$2:E9737,"Domain"),"")</f>
        <v/>
      </c>
    </row>
    <row r="9738">
      <c r="A9738" s="2" t="n"/>
      <c r="B9738">
        <f>LOWER(TRIM(A9738))</f>
        <v/>
      </c>
      <c r="C9738">
        <f>IF(B9738="","",IFERROR(INDEX('Bad Patterns'!$A$2:$A$120,MATCH(1,INDEX(--ISNUMBER(SEARCH('Bad Patterns'!$A$2:$A$120,B9738)),0),0)),""))</f>
        <v/>
      </c>
      <c r="D9738">
        <f>IF(B9738="","",IF(C9738&lt;&gt;"","REMOVE","KEEP"))</f>
        <v/>
      </c>
      <c r="E9738">
        <f>IF(D9738&lt;&gt;"KEEP","",IF(RIGHT(B9738,10)="@gmail.com","Gmail",IF(OR(RIGHT(B9738,12)="@outlook.com",RIGHT(B9738,12)="@hotmail.com",RIGHT(B9738,9)="@live.com"),"Outlook","Domain")))</f>
        <v/>
      </c>
      <c r="F9738">
        <f>IF(B9738="","",IFERROR(RIGHT(B9738,LEN(B9738)-FIND("@",B9738)),""))</f>
        <v/>
      </c>
      <c r="G9738">
        <f>IF(D9738="KEEP",COUNTIF($D$2:D9738,"KEEP"),"")</f>
        <v/>
      </c>
      <c r="H9738">
        <f>IF(D9738="REMOVE",COUNTIF($D$2:D9738,"REMOVE"),"")</f>
        <v/>
      </c>
      <c r="I9738">
        <f>IF(E9738="Gmail",COUNTIF($E$2:E9738,"Gmail"),"")</f>
        <v/>
      </c>
      <c r="J9738">
        <f>IF(E9738="Outlook",COUNTIF($E$2:E9738,"Outlook"),"")</f>
        <v/>
      </c>
      <c r="K9738">
        <f>IF(E9738="Domain",COUNTIF($E$2:E9738,"Domain"),"")</f>
        <v/>
      </c>
    </row>
    <row r="9739">
      <c r="A9739" s="2" t="n"/>
      <c r="B9739">
        <f>LOWER(TRIM(A9739))</f>
        <v/>
      </c>
      <c r="C9739">
        <f>IF(B9739="","",IFERROR(INDEX('Bad Patterns'!$A$2:$A$120,MATCH(1,INDEX(--ISNUMBER(SEARCH('Bad Patterns'!$A$2:$A$120,B9739)),0),0)),""))</f>
        <v/>
      </c>
      <c r="D9739">
        <f>IF(B9739="","",IF(C9739&lt;&gt;"","REMOVE","KEEP"))</f>
        <v/>
      </c>
      <c r="E9739">
        <f>IF(D9739&lt;&gt;"KEEP","",IF(RIGHT(B9739,10)="@gmail.com","Gmail",IF(OR(RIGHT(B9739,12)="@outlook.com",RIGHT(B9739,12)="@hotmail.com",RIGHT(B9739,9)="@live.com"),"Outlook","Domain")))</f>
        <v/>
      </c>
      <c r="F9739">
        <f>IF(B9739="","",IFERROR(RIGHT(B9739,LEN(B9739)-FIND("@",B9739)),""))</f>
        <v/>
      </c>
      <c r="G9739">
        <f>IF(D9739="KEEP",COUNTIF($D$2:D9739,"KEEP"),"")</f>
        <v/>
      </c>
      <c r="H9739">
        <f>IF(D9739="REMOVE",COUNTIF($D$2:D9739,"REMOVE"),"")</f>
        <v/>
      </c>
      <c r="I9739">
        <f>IF(E9739="Gmail",COUNTIF($E$2:E9739,"Gmail"),"")</f>
        <v/>
      </c>
      <c r="J9739">
        <f>IF(E9739="Outlook",COUNTIF($E$2:E9739,"Outlook"),"")</f>
        <v/>
      </c>
      <c r="K9739">
        <f>IF(E9739="Domain",COUNTIF($E$2:E9739,"Domain"),"")</f>
        <v/>
      </c>
    </row>
    <row r="9740">
      <c r="A9740" s="2" t="n"/>
      <c r="B9740">
        <f>LOWER(TRIM(A9740))</f>
        <v/>
      </c>
      <c r="C9740">
        <f>IF(B9740="","",IFERROR(INDEX('Bad Patterns'!$A$2:$A$120,MATCH(1,INDEX(--ISNUMBER(SEARCH('Bad Patterns'!$A$2:$A$120,B9740)),0),0)),""))</f>
        <v/>
      </c>
      <c r="D9740">
        <f>IF(B9740="","",IF(C9740&lt;&gt;"","REMOVE","KEEP"))</f>
        <v/>
      </c>
      <c r="E9740">
        <f>IF(D9740&lt;&gt;"KEEP","",IF(RIGHT(B9740,10)="@gmail.com","Gmail",IF(OR(RIGHT(B9740,12)="@outlook.com",RIGHT(B9740,12)="@hotmail.com",RIGHT(B9740,9)="@live.com"),"Outlook","Domain")))</f>
        <v/>
      </c>
      <c r="F9740">
        <f>IF(B9740="","",IFERROR(RIGHT(B9740,LEN(B9740)-FIND("@",B9740)),""))</f>
        <v/>
      </c>
      <c r="G9740">
        <f>IF(D9740="KEEP",COUNTIF($D$2:D9740,"KEEP"),"")</f>
        <v/>
      </c>
      <c r="H9740">
        <f>IF(D9740="REMOVE",COUNTIF($D$2:D9740,"REMOVE"),"")</f>
        <v/>
      </c>
      <c r="I9740">
        <f>IF(E9740="Gmail",COUNTIF($E$2:E9740,"Gmail"),"")</f>
        <v/>
      </c>
      <c r="J9740">
        <f>IF(E9740="Outlook",COUNTIF($E$2:E9740,"Outlook"),"")</f>
        <v/>
      </c>
      <c r="K9740">
        <f>IF(E9740="Domain",COUNTIF($E$2:E9740,"Domain"),"")</f>
        <v/>
      </c>
    </row>
    <row r="9741">
      <c r="A9741" s="2" t="n"/>
      <c r="B9741">
        <f>LOWER(TRIM(A9741))</f>
        <v/>
      </c>
      <c r="C9741">
        <f>IF(B9741="","",IFERROR(INDEX('Bad Patterns'!$A$2:$A$120,MATCH(1,INDEX(--ISNUMBER(SEARCH('Bad Patterns'!$A$2:$A$120,B9741)),0),0)),""))</f>
        <v/>
      </c>
      <c r="D9741">
        <f>IF(B9741="","",IF(C9741&lt;&gt;"","REMOVE","KEEP"))</f>
        <v/>
      </c>
      <c r="E9741">
        <f>IF(D9741&lt;&gt;"KEEP","",IF(RIGHT(B9741,10)="@gmail.com","Gmail",IF(OR(RIGHT(B9741,12)="@outlook.com",RIGHT(B9741,12)="@hotmail.com",RIGHT(B9741,9)="@live.com"),"Outlook","Domain")))</f>
        <v/>
      </c>
      <c r="F9741">
        <f>IF(B9741="","",IFERROR(RIGHT(B9741,LEN(B9741)-FIND("@",B9741)),""))</f>
        <v/>
      </c>
      <c r="G9741">
        <f>IF(D9741="KEEP",COUNTIF($D$2:D9741,"KEEP"),"")</f>
        <v/>
      </c>
      <c r="H9741">
        <f>IF(D9741="REMOVE",COUNTIF($D$2:D9741,"REMOVE"),"")</f>
        <v/>
      </c>
      <c r="I9741">
        <f>IF(E9741="Gmail",COUNTIF($E$2:E9741,"Gmail"),"")</f>
        <v/>
      </c>
      <c r="J9741">
        <f>IF(E9741="Outlook",COUNTIF($E$2:E9741,"Outlook"),"")</f>
        <v/>
      </c>
      <c r="K9741">
        <f>IF(E9741="Domain",COUNTIF($E$2:E9741,"Domain"),"")</f>
        <v/>
      </c>
    </row>
    <row r="9742">
      <c r="A9742" s="2" t="n"/>
      <c r="B9742">
        <f>LOWER(TRIM(A9742))</f>
        <v/>
      </c>
      <c r="C9742">
        <f>IF(B9742="","",IFERROR(INDEX('Bad Patterns'!$A$2:$A$120,MATCH(1,INDEX(--ISNUMBER(SEARCH('Bad Patterns'!$A$2:$A$120,B9742)),0),0)),""))</f>
        <v/>
      </c>
      <c r="D9742">
        <f>IF(B9742="","",IF(C9742&lt;&gt;"","REMOVE","KEEP"))</f>
        <v/>
      </c>
      <c r="E9742">
        <f>IF(D9742&lt;&gt;"KEEP","",IF(RIGHT(B9742,10)="@gmail.com","Gmail",IF(OR(RIGHT(B9742,12)="@outlook.com",RIGHT(B9742,12)="@hotmail.com",RIGHT(B9742,9)="@live.com"),"Outlook","Domain")))</f>
        <v/>
      </c>
      <c r="F9742">
        <f>IF(B9742="","",IFERROR(RIGHT(B9742,LEN(B9742)-FIND("@",B9742)),""))</f>
        <v/>
      </c>
      <c r="G9742">
        <f>IF(D9742="KEEP",COUNTIF($D$2:D9742,"KEEP"),"")</f>
        <v/>
      </c>
      <c r="H9742">
        <f>IF(D9742="REMOVE",COUNTIF($D$2:D9742,"REMOVE"),"")</f>
        <v/>
      </c>
      <c r="I9742">
        <f>IF(E9742="Gmail",COUNTIF($E$2:E9742,"Gmail"),"")</f>
        <v/>
      </c>
      <c r="J9742">
        <f>IF(E9742="Outlook",COUNTIF($E$2:E9742,"Outlook"),"")</f>
        <v/>
      </c>
      <c r="K9742">
        <f>IF(E9742="Domain",COUNTIF($E$2:E9742,"Domain"),"")</f>
        <v/>
      </c>
    </row>
    <row r="9743">
      <c r="A9743" s="2" t="n"/>
      <c r="B9743">
        <f>LOWER(TRIM(A9743))</f>
        <v/>
      </c>
      <c r="C9743">
        <f>IF(B9743="","",IFERROR(INDEX('Bad Patterns'!$A$2:$A$120,MATCH(1,INDEX(--ISNUMBER(SEARCH('Bad Patterns'!$A$2:$A$120,B9743)),0),0)),""))</f>
        <v/>
      </c>
      <c r="D9743">
        <f>IF(B9743="","",IF(C9743&lt;&gt;"","REMOVE","KEEP"))</f>
        <v/>
      </c>
      <c r="E9743">
        <f>IF(D9743&lt;&gt;"KEEP","",IF(RIGHT(B9743,10)="@gmail.com","Gmail",IF(OR(RIGHT(B9743,12)="@outlook.com",RIGHT(B9743,12)="@hotmail.com",RIGHT(B9743,9)="@live.com"),"Outlook","Domain")))</f>
        <v/>
      </c>
      <c r="F9743">
        <f>IF(B9743="","",IFERROR(RIGHT(B9743,LEN(B9743)-FIND("@",B9743)),""))</f>
        <v/>
      </c>
      <c r="G9743">
        <f>IF(D9743="KEEP",COUNTIF($D$2:D9743,"KEEP"),"")</f>
        <v/>
      </c>
      <c r="H9743">
        <f>IF(D9743="REMOVE",COUNTIF($D$2:D9743,"REMOVE"),"")</f>
        <v/>
      </c>
      <c r="I9743">
        <f>IF(E9743="Gmail",COUNTIF($E$2:E9743,"Gmail"),"")</f>
        <v/>
      </c>
      <c r="J9743">
        <f>IF(E9743="Outlook",COUNTIF($E$2:E9743,"Outlook"),"")</f>
        <v/>
      </c>
      <c r="K9743">
        <f>IF(E9743="Domain",COUNTIF($E$2:E9743,"Domain"),"")</f>
        <v/>
      </c>
    </row>
    <row r="9744">
      <c r="A9744" s="2" t="n"/>
      <c r="B9744">
        <f>LOWER(TRIM(A9744))</f>
        <v/>
      </c>
      <c r="C9744">
        <f>IF(B9744="","",IFERROR(INDEX('Bad Patterns'!$A$2:$A$120,MATCH(1,INDEX(--ISNUMBER(SEARCH('Bad Patterns'!$A$2:$A$120,B9744)),0),0)),""))</f>
        <v/>
      </c>
      <c r="D9744">
        <f>IF(B9744="","",IF(C9744&lt;&gt;"","REMOVE","KEEP"))</f>
        <v/>
      </c>
      <c r="E9744">
        <f>IF(D9744&lt;&gt;"KEEP","",IF(RIGHT(B9744,10)="@gmail.com","Gmail",IF(OR(RIGHT(B9744,12)="@outlook.com",RIGHT(B9744,12)="@hotmail.com",RIGHT(B9744,9)="@live.com"),"Outlook","Domain")))</f>
        <v/>
      </c>
      <c r="F9744">
        <f>IF(B9744="","",IFERROR(RIGHT(B9744,LEN(B9744)-FIND("@",B9744)),""))</f>
        <v/>
      </c>
      <c r="G9744">
        <f>IF(D9744="KEEP",COUNTIF($D$2:D9744,"KEEP"),"")</f>
        <v/>
      </c>
      <c r="H9744">
        <f>IF(D9744="REMOVE",COUNTIF($D$2:D9744,"REMOVE"),"")</f>
        <v/>
      </c>
      <c r="I9744">
        <f>IF(E9744="Gmail",COUNTIF($E$2:E9744,"Gmail"),"")</f>
        <v/>
      </c>
      <c r="J9744">
        <f>IF(E9744="Outlook",COUNTIF($E$2:E9744,"Outlook"),"")</f>
        <v/>
      </c>
      <c r="K9744">
        <f>IF(E9744="Domain",COUNTIF($E$2:E9744,"Domain"),"")</f>
        <v/>
      </c>
    </row>
    <row r="9745">
      <c r="A9745" s="2" t="n"/>
      <c r="B9745">
        <f>LOWER(TRIM(A9745))</f>
        <v/>
      </c>
      <c r="C9745">
        <f>IF(B9745="","",IFERROR(INDEX('Bad Patterns'!$A$2:$A$120,MATCH(1,INDEX(--ISNUMBER(SEARCH('Bad Patterns'!$A$2:$A$120,B9745)),0),0)),""))</f>
        <v/>
      </c>
      <c r="D9745">
        <f>IF(B9745="","",IF(C9745&lt;&gt;"","REMOVE","KEEP"))</f>
        <v/>
      </c>
      <c r="E9745">
        <f>IF(D9745&lt;&gt;"KEEP","",IF(RIGHT(B9745,10)="@gmail.com","Gmail",IF(OR(RIGHT(B9745,12)="@outlook.com",RIGHT(B9745,12)="@hotmail.com",RIGHT(B9745,9)="@live.com"),"Outlook","Domain")))</f>
        <v/>
      </c>
      <c r="F9745">
        <f>IF(B9745="","",IFERROR(RIGHT(B9745,LEN(B9745)-FIND("@",B9745)),""))</f>
        <v/>
      </c>
      <c r="G9745">
        <f>IF(D9745="KEEP",COUNTIF($D$2:D9745,"KEEP"),"")</f>
        <v/>
      </c>
      <c r="H9745">
        <f>IF(D9745="REMOVE",COUNTIF($D$2:D9745,"REMOVE"),"")</f>
        <v/>
      </c>
      <c r="I9745">
        <f>IF(E9745="Gmail",COUNTIF($E$2:E9745,"Gmail"),"")</f>
        <v/>
      </c>
      <c r="J9745">
        <f>IF(E9745="Outlook",COUNTIF($E$2:E9745,"Outlook"),"")</f>
        <v/>
      </c>
      <c r="K9745">
        <f>IF(E9745="Domain",COUNTIF($E$2:E9745,"Domain"),"")</f>
        <v/>
      </c>
    </row>
    <row r="9746">
      <c r="A9746" s="2" t="n"/>
      <c r="B9746">
        <f>LOWER(TRIM(A9746))</f>
        <v/>
      </c>
      <c r="C9746">
        <f>IF(B9746="","",IFERROR(INDEX('Bad Patterns'!$A$2:$A$120,MATCH(1,INDEX(--ISNUMBER(SEARCH('Bad Patterns'!$A$2:$A$120,B9746)),0),0)),""))</f>
        <v/>
      </c>
      <c r="D9746">
        <f>IF(B9746="","",IF(C9746&lt;&gt;"","REMOVE","KEEP"))</f>
        <v/>
      </c>
      <c r="E9746">
        <f>IF(D9746&lt;&gt;"KEEP","",IF(RIGHT(B9746,10)="@gmail.com","Gmail",IF(OR(RIGHT(B9746,12)="@outlook.com",RIGHT(B9746,12)="@hotmail.com",RIGHT(B9746,9)="@live.com"),"Outlook","Domain")))</f>
        <v/>
      </c>
      <c r="F9746">
        <f>IF(B9746="","",IFERROR(RIGHT(B9746,LEN(B9746)-FIND("@",B9746)),""))</f>
        <v/>
      </c>
      <c r="G9746">
        <f>IF(D9746="KEEP",COUNTIF($D$2:D9746,"KEEP"),"")</f>
        <v/>
      </c>
      <c r="H9746">
        <f>IF(D9746="REMOVE",COUNTIF($D$2:D9746,"REMOVE"),"")</f>
        <v/>
      </c>
      <c r="I9746">
        <f>IF(E9746="Gmail",COUNTIF($E$2:E9746,"Gmail"),"")</f>
        <v/>
      </c>
      <c r="J9746">
        <f>IF(E9746="Outlook",COUNTIF($E$2:E9746,"Outlook"),"")</f>
        <v/>
      </c>
      <c r="K9746">
        <f>IF(E9746="Domain",COUNTIF($E$2:E9746,"Domain"),"")</f>
        <v/>
      </c>
    </row>
    <row r="9747">
      <c r="A9747" s="2" t="n"/>
      <c r="B9747">
        <f>LOWER(TRIM(A9747))</f>
        <v/>
      </c>
      <c r="C9747">
        <f>IF(B9747="","",IFERROR(INDEX('Bad Patterns'!$A$2:$A$120,MATCH(1,INDEX(--ISNUMBER(SEARCH('Bad Patterns'!$A$2:$A$120,B9747)),0),0)),""))</f>
        <v/>
      </c>
      <c r="D9747">
        <f>IF(B9747="","",IF(C9747&lt;&gt;"","REMOVE","KEEP"))</f>
        <v/>
      </c>
      <c r="E9747">
        <f>IF(D9747&lt;&gt;"KEEP","",IF(RIGHT(B9747,10)="@gmail.com","Gmail",IF(OR(RIGHT(B9747,12)="@outlook.com",RIGHT(B9747,12)="@hotmail.com",RIGHT(B9747,9)="@live.com"),"Outlook","Domain")))</f>
        <v/>
      </c>
      <c r="F9747">
        <f>IF(B9747="","",IFERROR(RIGHT(B9747,LEN(B9747)-FIND("@",B9747)),""))</f>
        <v/>
      </c>
      <c r="G9747">
        <f>IF(D9747="KEEP",COUNTIF($D$2:D9747,"KEEP"),"")</f>
        <v/>
      </c>
      <c r="H9747">
        <f>IF(D9747="REMOVE",COUNTIF($D$2:D9747,"REMOVE"),"")</f>
        <v/>
      </c>
      <c r="I9747">
        <f>IF(E9747="Gmail",COUNTIF($E$2:E9747,"Gmail"),"")</f>
        <v/>
      </c>
      <c r="J9747">
        <f>IF(E9747="Outlook",COUNTIF($E$2:E9747,"Outlook"),"")</f>
        <v/>
      </c>
      <c r="K9747">
        <f>IF(E9747="Domain",COUNTIF($E$2:E9747,"Domain"),"")</f>
        <v/>
      </c>
    </row>
    <row r="9748">
      <c r="A9748" s="2" t="n"/>
      <c r="B9748">
        <f>LOWER(TRIM(A9748))</f>
        <v/>
      </c>
      <c r="C9748">
        <f>IF(B9748="","",IFERROR(INDEX('Bad Patterns'!$A$2:$A$120,MATCH(1,INDEX(--ISNUMBER(SEARCH('Bad Patterns'!$A$2:$A$120,B9748)),0),0)),""))</f>
        <v/>
      </c>
      <c r="D9748">
        <f>IF(B9748="","",IF(C9748&lt;&gt;"","REMOVE","KEEP"))</f>
        <v/>
      </c>
      <c r="E9748">
        <f>IF(D9748&lt;&gt;"KEEP","",IF(RIGHT(B9748,10)="@gmail.com","Gmail",IF(OR(RIGHT(B9748,12)="@outlook.com",RIGHT(B9748,12)="@hotmail.com",RIGHT(B9748,9)="@live.com"),"Outlook","Domain")))</f>
        <v/>
      </c>
      <c r="F9748">
        <f>IF(B9748="","",IFERROR(RIGHT(B9748,LEN(B9748)-FIND("@",B9748)),""))</f>
        <v/>
      </c>
      <c r="G9748">
        <f>IF(D9748="KEEP",COUNTIF($D$2:D9748,"KEEP"),"")</f>
        <v/>
      </c>
      <c r="H9748">
        <f>IF(D9748="REMOVE",COUNTIF($D$2:D9748,"REMOVE"),"")</f>
        <v/>
      </c>
      <c r="I9748">
        <f>IF(E9748="Gmail",COUNTIF($E$2:E9748,"Gmail"),"")</f>
        <v/>
      </c>
      <c r="J9748">
        <f>IF(E9748="Outlook",COUNTIF($E$2:E9748,"Outlook"),"")</f>
        <v/>
      </c>
      <c r="K9748">
        <f>IF(E9748="Domain",COUNTIF($E$2:E9748,"Domain"),"")</f>
        <v/>
      </c>
    </row>
    <row r="9749">
      <c r="A9749" s="2" t="n"/>
      <c r="B9749">
        <f>LOWER(TRIM(A9749))</f>
        <v/>
      </c>
      <c r="C9749">
        <f>IF(B9749="","",IFERROR(INDEX('Bad Patterns'!$A$2:$A$120,MATCH(1,INDEX(--ISNUMBER(SEARCH('Bad Patterns'!$A$2:$A$120,B9749)),0),0)),""))</f>
        <v/>
      </c>
      <c r="D9749">
        <f>IF(B9749="","",IF(C9749&lt;&gt;"","REMOVE","KEEP"))</f>
        <v/>
      </c>
      <c r="E9749">
        <f>IF(D9749&lt;&gt;"KEEP","",IF(RIGHT(B9749,10)="@gmail.com","Gmail",IF(OR(RIGHT(B9749,12)="@outlook.com",RIGHT(B9749,12)="@hotmail.com",RIGHT(B9749,9)="@live.com"),"Outlook","Domain")))</f>
        <v/>
      </c>
      <c r="F9749">
        <f>IF(B9749="","",IFERROR(RIGHT(B9749,LEN(B9749)-FIND("@",B9749)),""))</f>
        <v/>
      </c>
      <c r="G9749">
        <f>IF(D9749="KEEP",COUNTIF($D$2:D9749,"KEEP"),"")</f>
        <v/>
      </c>
      <c r="H9749">
        <f>IF(D9749="REMOVE",COUNTIF($D$2:D9749,"REMOVE"),"")</f>
        <v/>
      </c>
      <c r="I9749">
        <f>IF(E9749="Gmail",COUNTIF($E$2:E9749,"Gmail"),"")</f>
        <v/>
      </c>
      <c r="J9749">
        <f>IF(E9749="Outlook",COUNTIF($E$2:E9749,"Outlook"),"")</f>
        <v/>
      </c>
      <c r="K9749">
        <f>IF(E9749="Domain",COUNTIF($E$2:E9749,"Domain"),"")</f>
        <v/>
      </c>
    </row>
    <row r="9750">
      <c r="A9750" s="2" t="n"/>
      <c r="B9750">
        <f>LOWER(TRIM(A9750))</f>
        <v/>
      </c>
      <c r="C9750">
        <f>IF(B9750="","",IFERROR(INDEX('Bad Patterns'!$A$2:$A$120,MATCH(1,INDEX(--ISNUMBER(SEARCH('Bad Patterns'!$A$2:$A$120,B9750)),0),0)),""))</f>
        <v/>
      </c>
      <c r="D9750">
        <f>IF(B9750="","",IF(C9750&lt;&gt;"","REMOVE","KEEP"))</f>
        <v/>
      </c>
      <c r="E9750">
        <f>IF(D9750&lt;&gt;"KEEP","",IF(RIGHT(B9750,10)="@gmail.com","Gmail",IF(OR(RIGHT(B9750,12)="@outlook.com",RIGHT(B9750,12)="@hotmail.com",RIGHT(B9750,9)="@live.com"),"Outlook","Domain")))</f>
        <v/>
      </c>
      <c r="F9750">
        <f>IF(B9750="","",IFERROR(RIGHT(B9750,LEN(B9750)-FIND("@",B9750)),""))</f>
        <v/>
      </c>
      <c r="G9750">
        <f>IF(D9750="KEEP",COUNTIF($D$2:D9750,"KEEP"),"")</f>
        <v/>
      </c>
      <c r="H9750">
        <f>IF(D9750="REMOVE",COUNTIF($D$2:D9750,"REMOVE"),"")</f>
        <v/>
      </c>
      <c r="I9750">
        <f>IF(E9750="Gmail",COUNTIF($E$2:E9750,"Gmail"),"")</f>
        <v/>
      </c>
      <c r="J9750">
        <f>IF(E9750="Outlook",COUNTIF($E$2:E9750,"Outlook"),"")</f>
        <v/>
      </c>
      <c r="K9750">
        <f>IF(E9750="Domain",COUNTIF($E$2:E9750,"Domain"),"")</f>
        <v/>
      </c>
    </row>
    <row r="9751">
      <c r="A9751" s="2" t="n"/>
      <c r="B9751">
        <f>LOWER(TRIM(A9751))</f>
        <v/>
      </c>
      <c r="C9751">
        <f>IF(B9751="","",IFERROR(INDEX('Bad Patterns'!$A$2:$A$120,MATCH(1,INDEX(--ISNUMBER(SEARCH('Bad Patterns'!$A$2:$A$120,B9751)),0),0)),""))</f>
        <v/>
      </c>
      <c r="D9751">
        <f>IF(B9751="","",IF(C9751&lt;&gt;"","REMOVE","KEEP"))</f>
        <v/>
      </c>
      <c r="E9751">
        <f>IF(D9751&lt;&gt;"KEEP","",IF(RIGHT(B9751,10)="@gmail.com","Gmail",IF(OR(RIGHT(B9751,12)="@outlook.com",RIGHT(B9751,12)="@hotmail.com",RIGHT(B9751,9)="@live.com"),"Outlook","Domain")))</f>
        <v/>
      </c>
      <c r="F9751">
        <f>IF(B9751="","",IFERROR(RIGHT(B9751,LEN(B9751)-FIND("@",B9751)),""))</f>
        <v/>
      </c>
      <c r="G9751">
        <f>IF(D9751="KEEP",COUNTIF($D$2:D9751,"KEEP"),"")</f>
        <v/>
      </c>
      <c r="H9751">
        <f>IF(D9751="REMOVE",COUNTIF($D$2:D9751,"REMOVE"),"")</f>
        <v/>
      </c>
      <c r="I9751">
        <f>IF(E9751="Gmail",COUNTIF($E$2:E9751,"Gmail"),"")</f>
        <v/>
      </c>
      <c r="J9751">
        <f>IF(E9751="Outlook",COUNTIF($E$2:E9751,"Outlook"),"")</f>
        <v/>
      </c>
      <c r="K9751">
        <f>IF(E9751="Domain",COUNTIF($E$2:E9751,"Domain"),"")</f>
        <v/>
      </c>
    </row>
    <row r="9752">
      <c r="A9752" s="2" t="n"/>
      <c r="B9752">
        <f>LOWER(TRIM(A9752))</f>
        <v/>
      </c>
      <c r="C9752">
        <f>IF(B9752="","",IFERROR(INDEX('Bad Patterns'!$A$2:$A$120,MATCH(1,INDEX(--ISNUMBER(SEARCH('Bad Patterns'!$A$2:$A$120,B9752)),0),0)),""))</f>
        <v/>
      </c>
      <c r="D9752">
        <f>IF(B9752="","",IF(C9752&lt;&gt;"","REMOVE","KEEP"))</f>
        <v/>
      </c>
      <c r="E9752">
        <f>IF(D9752&lt;&gt;"KEEP","",IF(RIGHT(B9752,10)="@gmail.com","Gmail",IF(OR(RIGHT(B9752,12)="@outlook.com",RIGHT(B9752,12)="@hotmail.com",RIGHT(B9752,9)="@live.com"),"Outlook","Domain")))</f>
        <v/>
      </c>
      <c r="F9752">
        <f>IF(B9752="","",IFERROR(RIGHT(B9752,LEN(B9752)-FIND("@",B9752)),""))</f>
        <v/>
      </c>
      <c r="G9752">
        <f>IF(D9752="KEEP",COUNTIF($D$2:D9752,"KEEP"),"")</f>
        <v/>
      </c>
      <c r="H9752">
        <f>IF(D9752="REMOVE",COUNTIF($D$2:D9752,"REMOVE"),"")</f>
        <v/>
      </c>
      <c r="I9752">
        <f>IF(E9752="Gmail",COUNTIF($E$2:E9752,"Gmail"),"")</f>
        <v/>
      </c>
      <c r="J9752">
        <f>IF(E9752="Outlook",COUNTIF($E$2:E9752,"Outlook"),"")</f>
        <v/>
      </c>
      <c r="K9752">
        <f>IF(E9752="Domain",COUNTIF($E$2:E9752,"Domain"),"")</f>
        <v/>
      </c>
    </row>
    <row r="9753">
      <c r="A9753" s="2" t="n"/>
      <c r="B9753">
        <f>LOWER(TRIM(A9753))</f>
        <v/>
      </c>
      <c r="C9753">
        <f>IF(B9753="","",IFERROR(INDEX('Bad Patterns'!$A$2:$A$120,MATCH(1,INDEX(--ISNUMBER(SEARCH('Bad Patterns'!$A$2:$A$120,B9753)),0),0)),""))</f>
        <v/>
      </c>
      <c r="D9753">
        <f>IF(B9753="","",IF(C9753&lt;&gt;"","REMOVE","KEEP"))</f>
        <v/>
      </c>
      <c r="E9753">
        <f>IF(D9753&lt;&gt;"KEEP","",IF(RIGHT(B9753,10)="@gmail.com","Gmail",IF(OR(RIGHT(B9753,12)="@outlook.com",RIGHT(B9753,12)="@hotmail.com",RIGHT(B9753,9)="@live.com"),"Outlook","Domain")))</f>
        <v/>
      </c>
      <c r="F9753">
        <f>IF(B9753="","",IFERROR(RIGHT(B9753,LEN(B9753)-FIND("@",B9753)),""))</f>
        <v/>
      </c>
      <c r="G9753">
        <f>IF(D9753="KEEP",COUNTIF($D$2:D9753,"KEEP"),"")</f>
        <v/>
      </c>
      <c r="H9753">
        <f>IF(D9753="REMOVE",COUNTIF($D$2:D9753,"REMOVE"),"")</f>
        <v/>
      </c>
      <c r="I9753">
        <f>IF(E9753="Gmail",COUNTIF($E$2:E9753,"Gmail"),"")</f>
        <v/>
      </c>
      <c r="J9753">
        <f>IF(E9753="Outlook",COUNTIF($E$2:E9753,"Outlook"),"")</f>
        <v/>
      </c>
      <c r="K9753">
        <f>IF(E9753="Domain",COUNTIF($E$2:E9753,"Domain"),"")</f>
        <v/>
      </c>
    </row>
    <row r="9754">
      <c r="A9754" s="2" t="n"/>
      <c r="B9754">
        <f>LOWER(TRIM(A9754))</f>
        <v/>
      </c>
      <c r="C9754">
        <f>IF(B9754="","",IFERROR(INDEX('Bad Patterns'!$A$2:$A$120,MATCH(1,INDEX(--ISNUMBER(SEARCH('Bad Patterns'!$A$2:$A$120,B9754)),0),0)),""))</f>
        <v/>
      </c>
      <c r="D9754">
        <f>IF(B9754="","",IF(C9754&lt;&gt;"","REMOVE","KEEP"))</f>
        <v/>
      </c>
      <c r="E9754">
        <f>IF(D9754&lt;&gt;"KEEP","",IF(RIGHT(B9754,10)="@gmail.com","Gmail",IF(OR(RIGHT(B9754,12)="@outlook.com",RIGHT(B9754,12)="@hotmail.com",RIGHT(B9754,9)="@live.com"),"Outlook","Domain")))</f>
        <v/>
      </c>
      <c r="F9754">
        <f>IF(B9754="","",IFERROR(RIGHT(B9754,LEN(B9754)-FIND("@",B9754)),""))</f>
        <v/>
      </c>
      <c r="G9754">
        <f>IF(D9754="KEEP",COUNTIF($D$2:D9754,"KEEP"),"")</f>
        <v/>
      </c>
      <c r="H9754">
        <f>IF(D9754="REMOVE",COUNTIF($D$2:D9754,"REMOVE"),"")</f>
        <v/>
      </c>
      <c r="I9754">
        <f>IF(E9754="Gmail",COUNTIF($E$2:E9754,"Gmail"),"")</f>
        <v/>
      </c>
      <c r="J9754">
        <f>IF(E9754="Outlook",COUNTIF($E$2:E9754,"Outlook"),"")</f>
        <v/>
      </c>
      <c r="K9754">
        <f>IF(E9754="Domain",COUNTIF($E$2:E9754,"Domain"),"")</f>
        <v/>
      </c>
    </row>
    <row r="9755">
      <c r="A9755" s="2" t="n"/>
      <c r="B9755">
        <f>LOWER(TRIM(A9755))</f>
        <v/>
      </c>
      <c r="C9755">
        <f>IF(B9755="","",IFERROR(INDEX('Bad Patterns'!$A$2:$A$120,MATCH(1,INDEX(--ISNUMBER(SEARCH('Bad Patterns'!$A$2:$A$120,B9755)),0),0)),""))</f>
        <v/>
      </c>
      <c r="D9755">
        <f>IF(B9755="","",IF(C9755&lt;&gt;"","REMOVE","KEEP"))</f>
        <v/>
      </c>
      <c r="E9755">
        <f>IF(D9755&lt;&gt;"KEEP","",IF(RIGHT(B9755,10)="@gmail.com","Gmail",IF(OR(RIGHT(B9755,12)="@outlook.com",RIGHT(B9755,12)="@hotmail.com",RIGHT(B9755,9)="@live.com"),"Outlook","Domain")))</f>
        <v/>
      </c>
      <c r="F9755">
        <f>IF(B9755="","",IFERROR(RIGHT(B9755,LEN(B9755)-FIND("@",B9755)),""))</f>
        <v/>
      </c>
      <c r="G9755">
        <f>IF(D9755="KEEP",COUNTIF($D$2:D9755,"KEEP"),"")</f>
        <v/>
      </c>
      <c r="H9755">
        <f>IF(D9755="REMOVE",COUNTIF($D$2:D9755,"REMOVE"),"")</f>
        <v/>
      </c>
      <c r="I9755">
        <f>IF(E9755="Gmail",COUNTIF($E$2:E9755,"Gmail"),"")</f>
        <v/>
      </c>
      <c r="J9755">
        <f>IF(E9755="Outlook",COUNTIF($E$2:E9755,"Outlook"),"")</f>
        <v/>
      </c>
      <c r="K9755">
        <f>IF(E9755="Domain",COUNTIF($E$2:E9755,"Domain"),"")</f>
        <v/>
      </c>
    </row>
    <row r="9756">
      <c r="A9756" s="2" t="n"/>
      <c r="B9756">
        <f>LOWER(TRIM(A9756))</f>
        <v/>
      </c>
      <c r="C9756">
        <f>IF(B9756="","",IFERROR(INDEX('Bad Patterns'!$A$2:$A$120,MATCH(1,INDEX(--ISNUMBER(SEARCH('Bad Patterns'!$A$2:$A$120,B9756)),0),0)),""))</f>
        <v/>
      </c>
      <c r="D9756">
        <f>IF(B9756="","",IF(C9756&lt;&gt;"","REMOVE","KEEP"))</f>
        <v/>
      </c>
      <c r="E9756">
        <f>IF(D9756&lt;&gt;"KEEP","",IF(RIGHT(B9756,10)="@gmail.com","Gmail",IF(OR(RIGHT(B9756,12)="@outlook.com",RIGHT(B9756,12)="@hotmail.com",RIGHT(B9756,9)="@live.com"),"Outlook","Domain")))</f>
        <v/>
      </c>
      <c r="F9756">
        <f>IF(B9756="","",IFERROR(RIGHT(B9756,LEN(B9756)-FIND("@",B9756)),""))</f>
        <v/>
      </c>
      <c r="G9756">
        <f>IF(D9756="KEEP",COUNTIF($D$2:D9756,"KEEP"),"")</f>
        <v/>
      </c>
      <c r="H9756">
        <f>IF(D9756="REMOVE",COUNTIF($D$2:D9756,"REMOVE"),"")</f>
        <v/>
      </c>
      <c r="I9756">
        <f>IF(E9756="Gmail",COUNTIF($E$2:E9756,"Gmail"),"")</f>
        <v/>
      </c>
      <c r="J9756">
        <f>IF(E9756="Outlook",COUNTIF($E$2:E9756,"Outlook"),"")</f>
        <v/>
      </c>
      <c r="K9756">
        <f>IF(E9756="Domain",COUNTIF($E$2:E9756,"Domain"),"")</f>
        <v/>
      </c>
    </row>
    <row r="9757">
      <c r="A9757" s="2" t="n"/>
      <c r="B9757">
        <f>LOWER(TRIM(A9757))</f>
        <v/>
      </c>
      <c r="C9757">
        <f>IF(B9757="","",IFERROR(INDEX('Bad Patterns'!$A$2:$A$120,MATCH(1,INDEX(--ISNUMBER(SEARCH('Bad Patterns'!$A$2:$A$120,B9757)),0),0)),""))</f>
        <v/>
      </c>
      <c r="D9757">
        <f>IF(B9757="","",IF(C9757&lt;&gt;"","REMOVE","KEEP"))</f>
        <v/>
      </c>
      <c r="E9757">
        <f>IF(D9757&lt;&gt;"KEEP","",IF(RIGHT(B9757,10)="@gmail.com","Gmail",IF(OR(RIGHT(B9757,12)="@outlook.com",RIGHT(B9757,12)="@hotmail.com",RIGHT(B9757,9)="@live.com"),"Outlook","Domain")))</f>
        <v/>
      </c>
      <c r="F9757">
        <f>IF(B9757="","",IFERROR(RIGHT(B9757,LEN(B9757)-FIND("@",B9757)),""))</f>
        <v/>
      </c>
      <c r="G9757">
        <f>IF(D9757="KEEP",COUNTIF($D$2:D9757,"KEEP"),"")</f>
        <v/>
      </c>
      <c r="H9757">
        <f>IF(D9757="REMOVE",COUNTIF($D$2:D9757,"REMOVE"),"")</f>
        <v/>
      </c>
      <c r="I9757">
        <f>IF(E9757="Gmail",COUNTIF($E$2:E9757,"Gmail"),"")</f>
        <v/>
      </c>
      <c r="J9757">
        <f>IF(E9757="Outlook",COUNTIF($E$2:E9757,"Outlook"),"")</f>
        <v/>
      </c>
      <c r="K9757">
        <f>IF(E9757="Domain",COUNTIF($E$2:E9757,"Domain"),"")</f>
        <v/>
      </c>
    </row>
    <row r="9758">
      <c r="A9758" s="2" t="n"/>
      <c r="B9758">
        <f>LOWER(TRIM(A9758))</f>
        <v/>
      </c>
      <c r="C9758">
        <f>IF(B9758="","",IFERROR(INDEX('Bad Patterns'!$A$2:$A$120,MATCH(1,INDEX(--ISNUMBER(SEARCH('Bad Patterns'!$A$2:$A$120,B9758)),0),0)),""))</f>
        <v/>
      </c>
      <c r="D9758">
        <f>IF(B9758="","",IF(C9758&lt;&gt;"","REMOVE","KEEP"))</f>
        <v/>
      </c>
      <c r="E9758">
        <f>IF(D9758&lt;&gt;"KEEP","",IF(RIGHT(B9758,10)="@gmail.com","Gmail",IF(OR(RIGHT(B9758,12)="@outlook.com",RIGHT(B9758,12)="@hotmail.com",RIGHT(B9758,9)="@live.com"),"Outlook","Domain")))</f>
        <v/>
      </c>
      <c r="F9758">
        <f>IF(B9758="","",IFERROR(RIGHT(B9758,LEN(B9758)-FIND("@",B9758)),""))</f>
        <v/>
      </c>
      <c r="G9758">
        <f>IF(D9758="KEEP",COUNTIF($D$2:D9758,"KEEP"),"")</f>
        <v/>
      </c>
      <c r="H9758">
        <f>IF(D9758="REMOVE",COUNTIF($D$2:D9758,"REMOVE"),"")</f>
        <v/>
      </c>
      <c r="I9758">
        <f>IF(E9758="Gmail",COUNTIF($E$2:E9758,"Gmail"),"")</f>
        <v/>
      </c>
      <c r="J9758">
        <f>IF(E9758="Outlook",COUNTIF($E$2:E9758,"Outlook"),"")</f>
        <v/>
      </c>
      <c r="K9758">
        <f>IF(E9758="Domain",COUNTIF($E$2:E9758,"Domain"),"")</f>
        <v/>
      </c>
    </row>
    <row r="9759">
      <c r="A9759" s="2" t="n"/>
      <c r="B9759">
        <f>LOWER(TRIM(A9759))</f>
        <v/>
      </c>
      <c r="C9759">
        <f>IF(B9759="","",IFERROR(INDEX('Bad Patterns'!$A$2:$A$120,MATCH(1,INDEX(--ISNUMBER(SEARCH('Bad Patterns'!$A$2:$A$120,B9759)),0),0)),""))</f>
        <v/>
      </c>
      <c r="D9759">
        <f>IF(B9759="","",IF(C9759&lt;&gt;"","REMOVE","KEEP"))</f>
        <v/>
      </c>
      <c r="E9759">
        <f>IF(D9759&lt;&gt;"KEEP","",IF(RIGHT(B9759,10)="@gmail.com","Gmail",IF(OR(RIGHT(B9759,12)="@outlook.com",RIGHT(B9759,12)="@hotmail.com",RIGHT(B9759,9)="@live.com"),"Outlook","Domain")))</f>
        <v/>
      </c>
      <c r="F9759">
        <f>IF(B9759="","",IFERROR(RIGHT(B9759,LEN(B9759)-FIND("@",B9759)),""))</f>
        <v/>
      </c>
      <c r="G9759">
        <f>IF(D9759="KEEP",COUNTIF($D$2:D9759,"KEEP"),"")</f>
        <v/>
      </c>
      <c r="H9759">
        <f>IF(D9759="REMOVE",COUNTIF($D$2:D9759,"REMOVE"),"")</f>
        <v/>
      </c>
      <c r="I9759">
        <f>IF(E9759="Gmail",COUNTIF($E$2:E9759,"Gmail"),"")</f>
        <v/>
      </c>
      <c r="J9759">
        <f>IF(E9759="Outlook",COUNTIF($E$2:E9759,"Outlook"),"")</f>
        <v/>
      </c>
      <c r="K9759">
        <f>IF(E9759="Domain",COUNTIF($E$2:E9759,"Domain"),"")</f>
        <v/>
      </c>
    </row>
    <row r="9760">
      <c r="A9760" s="2" t="n"/>
      <c r="B9760">
        <f>LOWER(TRIM(A9760))</f>
        <v/>
      </c>
      <c r="C9760">
        <f>IF(B9760="","",IFERROR(INDEX('Bad Patterns'!$A$2:$A$120,MATCH(1,INDEX(--ISNUMBER(SEARCH('Bad Patterns'!$A$2:$A$120,B9760)),0),0)),""))</f>
        <v/>
      </c>
      <c r="D9760">
        <f>IF(B9760="","",IF(C9760&lt;&gt;"","REMOVE","KEEP"))</f>
        <v/>
      </c>
      <c r="E9760">
        <f>IF(D9760&lt;&gt;"KEEP","",IF(RIGHT(B9760,10)="@gmail.com","Gmail",IF(OR(RIGHT(B9760,12)="@outlook.com",RIGHT(B9760,12)="@hotmail.com",RIGHT(B9760,9)="@live.com"),"Outlook","Domain")))</f>
        <v/>
      </c>
      <c r="F9760">
        <f>IF(B9760="","",IFERROR(RIGHT(B9760,LEN(B9760)-FIND("@",B9760)),""))</f>
        <v/>
      </c>
      <c r="G9760">
        <f>IF(D9760="KEEP",COUNTIF($D$2:D9760,"KEEP"),"")</f>
        <v/>
      </c>
      <c r="H9760">
        <f>IF(D9760="REMOVE",COUNTIF($D$2:D9760,"REMOVE"),"")</f>
        <v/>
      </c>
      <c r="I9760">
        <f>IF(E9760="Gmail",COUNTIF($E$2:E9760,"Gmail"),"")</f>
        <v/>
      </c>
      <c r="J9760">
        <f>IF(E9760="Outlook",COUNTIF($E$2:E9760,"Outlook"),"")</f>
        <v/>
      </c>
      <c r="K9760">
        <f>IF(E9760="Domain",COUNTIF($E$2:E9760,"Domain"),"")</f>
        <v/>
      </c>
    </row>
    <row r="9761">
      <c r="A9761" s="2" t="n"/>
      <c r="B9761">
        <f>LOWER(TRIM(A9761))</f>
        <v/>
      </c>
      <c r="C9761">
        <f>IF(B9761="","",IFERROR(INDEX('Bad Patterns'!$A$2:$A$120,MATCH(1,INDEX(--ISNUMBER(SEARCH('Bad Patterns'!$A$2:$A$120,B9761)),0),0)),""))</f>
        <v/>
      </c>
      <c r="D9761">
        <f>IF(B9761="","",IF(C9761&lt;&gt;"","REMOVE","KEEP"))</f>
        <v/>
      </c>
      <c r="E9761">
        <f>IF(D9761&lt;&gt;"KEEP","",IF(RIGHT(B9761,10)="@gmail.com","Gmail",IF(OR(RIGHT(B9761,12)="@outlook.com",RIGHT(B9761,12)="@hotmail.com",RIGHT(B9761,9)="@live.com"),"Outlook","Domain")))</f>
        <v/>
      </c>
      <c r="F9761">
        <f>IF(B9761="","",IFERROR(RIGHT(B9761,LEN(B9761)-FIND("@",B9761)),""))</f>
        <v/>
      </c>
      <c r="G9761">
        <f>IF(D9761="KEEP",COUNTIF($D$2:D9761,"KEEP"),"")</f>
        <v/>
      </c>
      <c r="H9761">
        <f>IF(D9761="REMOVE",COUNTIF($D$2:D9761,"REMOVE"),"")</f>
        <v/>
      </c>
      <c r="I9761">
        <f>IF(E9761="Gmail",COUNTIF($E$2:E9761,"Gmail"),"")</f>
        <v/>
      </c>
      <c r="J9761">
        <f>IF(E9761="Outlook",COUNTIF($E$2:E9761,"Outlook"),"")</f>
        <v/>
      </c>
      <c r="K9761">
        <f>IF(E9761="Domain",COUNTIF($E$2:E9761,"Domain"),"")</f>
        <v/>
      </c>
    </row>
    <row r="9762">
      <c r="A9762" s="2" t="n"/>
      <c r="B9762">
        <f>LOWER(TRIM(A9762))</f>
        <v/>
      </c>
      <c r="C9762">
        <f>IF(B9762="","",IFERROR(INDEX('Bad Patterns'!$A$2:$A$120,MATCH(1,INDEX(--ISNUMBER(SEARCH('Bad Patterns'!$A$2:$A$120,B9762)),0),0)),""))</f>
        <v/>
      </c>
      <c r="D9762">
        <f>IF(B9762="","",IF(C9762&lt;&gt;"","REMOVE","KEEP"))</f>
        <v/>
      </c>
      <c r="E9762">
        <f>IF(D9762&lt;&gt;"KEEP","",IF(RIGHT(B9762,10)="@gmail.com","Gmail",IF(OR(RIGHT(B9762,12)="@outlook.com",RIGHT(B9762,12)="@hotmail.com",RIGHT(B9762,9)="@live.com"),"Outlook","Domain")))</f>
        <v/>
      </c>
      <c r="F9762">
        <f>IF(B9762="","",IFERROR(RIGHT(B9762,LEN(B9762)-FIND("@",B9762)),""))</f>
        <v/>
      </c>
      <c r="G9762">
        <f>IF(D9762="KEEP",COUNTIF($D$2:D9762,"KEEP"),"")</f>
        <v/>
      </c>
      <c r="H9762">
        <f>IF(D9762="REMOVE",COUNTIF($D$2:D9762,"REMOVE"),"")</f>
        <v/>
      </c>
      <c r="I9762">
        <f>IF(E9762="Gmail",COUNTIF($E$2:E9762,"Gmail"),"")</f>
        <v/>
      </c>
      <c r="J9762">
        <f>IF(E9762="Outlook",COUNTIF($E$2:E9762,"Outlook"),"")</f>
        <v/>
      </c>
      <c r="K9762">
        <f>IF(E9762="Domain",COUNTIF($E$2:E9762,"Domain"),"")</f>
        <v/>
      </c>
    </row>
    <row r="9763">
      <c r="A9763" s="2" t="n"/>
      <c r="B9763">
        <f>LOWER(TRIM(A9763))</f>
        <v/>
      </c>
      <c r="C9763">
        <f>IF(B9763="","",IFERROR(INDEX('Bad Patterns'!$A$2:$A$120,MATCH(1,INDEX(--ISNUMBER(SEARCH('Bad Patterns'!$A$2:$A$120,B9763)),0),0)),""))</f>
        <v/>
      </c>
      <c r="D9763">
        <f>IF(B9763="","",IF(C9763&lt;&gt;"","REMOVE","KEEP"))</f>
        <v/>
      </c>
      <c r="E9763">
        <f>IF(D9763&lt;&gt;"KEEP","",IF(RIGHT(B9763,10)="@gmail.com","Gmail",IF(OR(RIGHT(B9763,12)="@outlook.com",RIGHT(B9763,12)="@hotmail.com",RIGHT(B9763,9)="@live.com"),"Outlook","Domain")))</f>
        <v/>
      </c>
      <c r="F9763">
        <f>IF(B9763="","",IFERROR(RIGHT(B9763,LEN(B9763)-FIND("@",B9763)),""))</f>
        <v/>
      </c>
      <c r="G9763">
        <f>IF(D9763="KEEP",COUNTIF($D$2:D9763,"KEEP"),"")</f>
        <v/>
      </c>
      <c r="H9763">
        <f>IF(D9763="REMOVE",COUNTIF($D$2:D9763,"REMOVE"),"")</f>
        <v/>
      </c>
      <c r="I9763">
        <f>IF(E9763="Gmail",COUNTIF($E$2:E9763,"Gmail"),"")</f>
        <v/>
      </c>
      <c r="J9763">
        <f>IF(E9763="Outlook",COUNTIF($E$2:E9763,"Outlook"),"")</f>
        <v/>
      </c>
      <c r="K9763">
        <f>IF(E9763="Domain",COUNTIF($E$2:E9763,"Domain"),"")</f>
        <v/>
      </c>
    </row>
    <row r="9764">
      <c r="A9764" s="2" t="n"/>
      <c r="B9764">
        <f>LOWER(TRIM(A9764))</f>
        <v/>
      </c>
      <c r="C9764">
        <f>IF(B9764="","",IFERROR(INDEX('Bad Patterns'!$A$2:$A$120,MATCH(1,INDEX(--ISNUMBER(SEARCH('Bad Patterns'!$A$2:$A$120,B9764)),0),0)),""))</f>
        <v/>
      </c>
      <c r="D9764">
        <f>IF(B9764="","",IF(C9764&lt;&gt;"","REMOVE","KEEP"))</f>
        <v/>
      </c>
      <c r="E9764">
        <f>IF(D9764&lt;&gt;"KEEP","",IF(RIGHT(B9764,10)="@gmail.com","Gmail",IF(OR(RIGHT(B9764,12)="@outlook.com",RIGHT(B9764,12)="@hotmail.com",RIGHT(B9764,9)="@live.com"),"Outlook","Domain")))</f>
        <v/>
      </c>
      <c r="F9764">
        <f>IF(B9764="","",IFERROR(RIGHT(B9764,LEN(B9764)-FIND("@",B9764)),""))</f>
        <v/>
      </c>
      <c r="G9764">
        <f>IF(D9764="KEEP",COUNTIF($D$2:D9764,"KEEP"),"")</f>
        <v/>
      </c>
      <c r="H9764">
        <f>IF(D9764="REMOVE",COUNTIF($D$2:D9764,"REMOVE"),"")</f>
        <v/>
      </c>
      <c r="I9764">
        <f>IF(E9764="Gmail",COUNTIF($E$2:E9764,"Gmail"),"")</f>
        <v/>
      </c>
      <c r="J9764">
        <f>IF(E9764="Outlook",COUNTIF($E$2:E9764,"Outlook"),"")</f>
        <v/>
      </c>
      <c r="K9764">
        <f>IF(E9764="Domain",COUNTIF($E$2:E9764,"Domain"),"")</f>
        <v/>
      </c>
    </row>
    <row r="9765">
      <c r="A9765" s="2" t="n"/>
      <c r="B9765">
        <f>LOWER(TRIM(A9765))</f>
        <v/>
      </c>
      <c r="C9765">
        <f>IF(B9765="","",IFERROR(INDEX('Bad Patterns'!$A$2:$A$120,MATCH(1,INDEX(--ISNUMBER(SEARCH('Bad Patterns'!$A$2:$A$120,B9765)),0),0)),""))</f>
        <v/>
      </c>
      <c r="D9765">
        <f>IF(B9765="","",IF(C9765&lt;&gt;"","REMOVE","KEEP"))</f>
        <v/>
      </c>
      <c r="E9765">
        <f>IF(D9765&lt;&gt;"KEEP","",IF(RIGHT(B9765,10)="@gmail.com","Gmail",IF(OR(RIGHT(B9765,12)="@outlook.com",RIGHT(B9765,12)="@hotmail.com",RIGHT(B9765,9)="@live.com"),"Outlook","Domain")))</f>
        <v/>
      </c>
      <c r="F9765">
        <f>IF(B9765="","",IFERROR(RIGHT(B9765,LEN(B9765)-FIND("@",B9765)),""))</f>
        <v/>
      </c>
      <c r="G9765">
        <f>IF(D9765="KEEP",COUNTIF($D$2:D9765,"KEEP"),"")</f>
        <v/>
      </c>
      <c r="H9765">
        <f>IF(D9765="REMOVE",COUNTIF($D$2:D9765,"REMOVE"),"")</f>
        <v/>
      </c>
      <c r="I9765">
        <f>IF(E9765="Gmail",COUNTIF($E$2:E9765,"Gmail"),"")</f>
        <v/>
      </c>
      <c r="J9765">
        <f>IF(E9765="Outlook",COUNTIF($E$2:E9765,"Outlook"),"")</f>
        <v/>
      </c>
      <c r="K9765">
        <f>IF(E9765="Domain",COUNTIF($E$2:E9765,"Domain"),"")</f>
        <v/>
      </c>
    </row>
    <row r="9766">
      <c r="A9766" s="2" t="n"/>
      <c r="B9766">
        <f>LOWER(TRIM(A9766))</f>
        <v/>
      </c>
      <c r="C9766">
        <f>IF(B9766="","",IFERROR(INDEX('Bad Patterns'!$A$2:$A$120,MATCH(1,INDEX(--ISNUMBER(SEARCH('Bad Patterns'!$A$2:$A$120,B9766)),0),0)),""))</f>
        <v/>
      </c>
      <c r="D9766">
        <f>IF(B9766="","",IF(C9766&lt;&gt;"","REMOVE","KEEP"))</f>
        <v/>
      </c>
      <c r="E9766">
        <f>IF(D9766&lt;&gt;"KEEP","",IF(RIGHT(B9766,10)="@gmail.com","Gmail",IF(OR(RIGHT(B9766,12)="@outlook.com",RIGHT(B9766,12)="@hotmail.com",RIGHT(B9766,9)="@live.com"),"Outlook","Domain")))</f>
        <v/>
      </c>
      <c r="F9766">
        <f>IF(B9766="","",IFERROR(RIGHT(B9766,LEN(B9766)-FIND("@",B9766)),""))</f>
        <v/>
      </c>
      <c r="G9766">
        <f>IF(D9766="KEEP",COUNTIF($D$2:D9766,"KEEP"),"")</f>
        <v/>
      </c>
      <c r="H9766">
        <f>IF(D9766="REMOVE",COUNTIF($D$2:D9766,"REMOVE"),"")</f>
        <v/>
      </c>
      <c r="I9766">
        <f>IF(E9766="Gmail",COUNTIF($E$2:E9766,"Gmail"),"")</f>
        <v/>
      </c>
      <c r="J9766">
        <f>IF(E9766="Outlook",COUNTIF($E$2:E9766,"Outlook"),"")</f>
        <v/>
      </c>
      <c r="K9766">
        <f>IF(E9766="Domain",COUNTIF($E$2:E9766,"Domain"),"")</f>
        <v/>
      </c>
    </row>
    <row r="9767">
      <c r="A9767" s="2" t="n"/>
      <c r="B9767">
        <f>LOWER(TRIM(A9767))</f>
        <v/>
      </c>
      <c r="C9767">
        <f>IF(B9767="","",IFERROR(INDEX('Bad Patterns'!$A$2:$A$120,MATCH(1,INDEX(--ISNUMBER(SEARCH('Bad Patterns'!$A$2:$A$120,B9767)),0),0)),""))</f>
        <v/>
      </c>
      <c r="D9767">
        <f>IF(B9767="","",IF(C9767&lt;&gt;"","REMOVE","KEEP"))</f>
        <v/>
      </c>
      <c r="E9767">
        <f>IF(D9767&lt;&gt;"KEEP","",IF(RIGHT(B9767,10)="@gmail.com","Gmail",IF(OR(RIGHT(B9767,12)="@outlook.com",RIGHT(B9767,12)="@hotmail.com",RIGHT(B9767,9)="@live.com"),"Outlook","Domain")))</f>
        <v/>
      </c>
      <c r="F9767">
        <f>IF(B9767="","",IFERROR(RIGHT(B9767,LEN(B9767)-FIND("@",B9767)),""))</f>
        <v/>
      </c>
      <c r="G9767">
        <f>IF(D9767="KEEP",COUNTIF($D$2:D9767,"KEEP"),"")</f>
        <v/>
      </c>
      <c r="H9767">
        <f>IF(D9767="REMOVE",COUNTIF($D$2:D9767,"REMOVE"),"")</f>
        <v/>
      </c>
      <c r="I9767">
        <f>IF(E9767="Gmail",COUNTIF($E$2:E9767,"Gmail"),"")</f>
        <v/>
      </c>
      <c r="J9767">
        <f>IF(E9767="Outlook",COUNTIF($E$2:E9767,"Outlook"),"")</f>
        <v/>
      </c>
      <c r="K9767">
        <f>IF(E9767="Domain",COUNTIF($E$2:E9767,"Domain"),"")</f>
        <v/>
      </c>
    </row>
    <row r="9768">
      <c r="A9768" s="2" t="n"/>
      <c r="B9768">
        <f>LOWER(TRIM(A9768))</f>
        <v/>
      </c>
      <c r="C9768">
        <f>IF(B9768="","",IFERROR(INDEX('Bad Patterns'!$A$2:$A$120,MATCH(1,INDEX(--ISNUMBER(SEARCH('Bad Patterns'!$A$2:$A$120,B9768)),0),0)),""))</f>
        <v/>
      </c>
      <c r="D9768">
        <f>IF(B9768="","",IF(C9768&lt;&gt;"","REMOVE","KEEP"))</f>
        <v/>
      </c>
      <c r="E9768">
        <f>IF(D9768&lt;&gt;"KEEP","",IF(RIGHT(B9768,10)="@gmail.com","Gmail",IF(OR(RIGHT(B9768,12)="@outlook.com",RIGHT(B9768,12)="@hotmail.com",RIGHT(B9768,9)="@live.com"),"Outlook","Domain")))</f>
        <v/>
      </c>
      <c r="F9768">
        <f>IF(B9768="","",IFERROR(RIGHT(B9768,LEN(B9768)-FIND("@",B9768)),""))</f>
        <v/>
      </c>
      <c r="G9768">
        <f>IF(D9768="KEEP",COUNTIF($D$2:D9768,"KEEP"),"")</f>
        <v/>
      </c>
      <c r="H9768">
        <f>IF(D9768="REMOVE",COUNTIF($D$2:D9768,"REMOVE"),"")</f>
        <v/>
      </c>
      <c r="I9768">
        <f>IF(E9768="Gmail",COUNTIF($E$2:E9768,"Gmail"),"")</f>
        <v/>
      </c>
      <c r="J9768">
        <f>IF(E9768="Outlook",COUNTIF($E$2:E9768,"Outlook"),"")</f>
        <v/>
      </c>
      <c r="K9768">
        <f>IF(E9768="Domain",COUNTIF($E$2:E9768,"Domain"),"")</f>
        <v/>
      </c>
    </row>
    <row r="9769">
      <c r="A9769" s="2" t="n"/>
      <c r="B9769">
        <f>LOWER(TRIM(A9769))</f>
        <v/>
      </c>
      <c r="C9769">
        <f>IF(B9769="","",IFERROR(INDEX('Bad Patterns'!$A$2:$A$120,MATCH(1,INDEX(--ISNUMBER(SEARCH('Bad Patterns'!$A$2:$A$120,B9769)),0),0)),""))</f>
        <v/>
      </c>
      <c r="D9769">
        <f>IF(B9769="","",IF(C9769&lt;&gt;"","REMOVE","KEEP"))</f>
        <v/>
      </c>
      <c r="E9769">
        <f>IF(D9769&lt;&gt;"KEEP","",IF(RIGHT(B9769,10)="@gmail.com","Gmail",IF(OR(RIGHT(B9769,12)="@outlook.com",RIGHT(B9769,12)="@hotmail.com",RIGHT(B9769,9)="@live.com"),"Outlook","Domain")))</f>
        <v/>
      </c>
      <c r="F9769">
        <f>IF(B9769="","",IFERROR(RIGHT(B9769,LEN(B9769)-FIND("@",B9769)),""))</f>
        <v/>
      </c>
      <c r="G9769">
        <f>IF(D9769="KEEP",COUNTIF($D$2:D9769,"KEEP"),"")</f>
        <v/>
      </c>
      <c r="H9769">
        <f>IF(D9769="REMOVE",COUNTIF($D$2:D9769,"REMOVE"),"")</f>
        <v/>
      </c>
      <c r="I9769">
        <f>IF(E9769="Gmail",COUNTIF($E$2:E9769,"Gmail"),"")</f>
        <v/>
      </c>
      <c r="J9769">
        <f>IF(E9769="Outlook",COUNTIF($E$2:E9769,"Outlook"),"")</f>
        <v/>
      </c>
      <c r="K9769">
        <f>IF(E9769="Domain",COUNTIF($E$2:E9769,"Domain"),"")</f>
        <v/>
      </c>
    </row>
    <row r="9770">
      <c r="A9770" s="2" t="n"/>
      <c r="B9770">
        <f>LOWER(TRIM(A9770))</f>
        <v/>
      </c>
      <c r="C9770">
        <f>IF(B9770="","",IFERROR(INDEX('Bad Patterns'!$A$2:$A$120,MATCH(1,INDEX(--ISNUMBER(SEARCH('Bad Patterns'!$A$2:$A$120,B9770)),0),0)),""))</f>
        <v/>
      </c>
      <c r="D9770">
        <f>IF(B9770="","",IF(C9770&lt;&gt;"","REMOVE","KEEP"))</f>
        <v/>
      </c>
      <c r="E9770">
        <f>IF(D9770&lt;&gt;"KEEP","",IF(RIGHT(B9770,10)="@gmail.com","Gmail",IF(OR(RIGHT(B9770,12)="@outlook.com",RIGHT(B9770,12)="@hotmail.com",RIGHT(B9770,9)="@live.com"),"Outlook","Domain")))</f>
        <v/>
      </c>
      <c r="F9770">
        <f>IF(B9770="","",IFERROR(RIGHT(B9770,LEN(B9770)-FIND("@",B9770)),""))</f>
        <v/>
      </c>
      <c r="G9770">
        <f>IF(D9770="KEEP",COUNTIF($D$2:D9770,"KEEP"),"")</f>
        <v/>
      </c>
      <c r="H9770">
        <f>IF(D9770="REMOVE",COUNTIF($D$2:D9770,"REMOVE"),"")</f>
        <v/>
      </c>
      <c r="I9770">
        <f>IF(E9770="Gmail",COUNTIF($E$2:E9770,"Gmail"),"")</f>
        <v/>
      </c>
      <c r="J9770">
        <f>IF(E9770="Outlook",COUNTIF($E$2:E9770,"Outlook"),"")</f>
        <v/>
      </c>
      <c r="K9770">
        <f>IF(E9770="Domain",COUNTIF($E$2:E9770,"Domain"),"")</f>
        <v/>
      </c>
    </row>
    <row r="9771">
      <c r="A9771" s="2" t="n"/>
      <c r="B9771">
        <f>LOWER(TRIM(A9771))</f>
        <v/>
      </c>
      <c r="C9771">
        <f>IF(B9771="","",IFERROR(INDEX('Bad Patterns'!$A$2:$A$120,MATCH(1,INDEX(--ISNUMBER(SEARCH('Bad Patterns'!$A$2:$A$120,B9771)),0),0)),""))</f>
        <v/>
      </c>
      <c r="D9771">
        <f>IF(B9771="","",IF(C9771&lt;&gt;"","REMOVE","KEEP"))</f>
        <v/>
      </c>
      <c r="E9771">
        <f>IF(D9771&lt;&gt;"KEEP","",IF(RIGHT(B9771,10)="@gmail.com","Gmail",IF(OR(RIGHT(B9771,12)="@outlook.com",RIGHT(B9771,12)="@hotmail.com",RIGHT(B9771,9)="@live.com"),"Outlook","Domain")))</f>
        <v/>
      </c>
      <c r="F9771">
        <f>IF(B9771="","",IFERROR(RIGHT(B9771,LEN(B9771)-FIND("@",B9771)),""))</f>
        <v/>
      </c>
      <c r="G9771">
        <f>IF(D9771="KEEP",COUNTIF($D$2:D9771,"KEEP"),"")</f>
        <v/>
      </c>
      <c r="H9771">
        <f>IF(D9771="REMOVE",COUNTIF($D$2:D9771,"REMOVE"),"")</f>
        <v/>
      </c>
      <c r="I9771">
        <f>IF(E9771="Gmail",COUNTIF($E$2:E9771,"Gmail"),"")</f>
        <v/>
      </c>
      <c r="J9771">
        <f>IF(E9771="Outlook",COUNTIF($E$2:E9771,"Outlook"),"")</f>
        <v/>
      </c>
      <c r="K9771">
        <f>IF(E9771="Domain",COUNTIF($E$2:E9771,"Domain"),"")</f>
        <v/>
      </c>
    </row>
    <row r="9772">
      <c r="A9772" s="2" t="n"/>
      <c r="B9772">
        <f>LOWER(TRIM(A9772))</f>
        <v/>
      </c>
      <c r="C9772">
        <f>IF(B9772="","",IFERROR(INDEX('Bad Patterns'!$A$2:$A$120,MATCH(1,INDEX(--ISNUMBER(SEARCH('Bad Patterns'!$A$2:$A$120,B9772)),0),0)),""))</f>
        <v/>
      </c>
      <c r="D9772">
        <f>IF(B9772="","",IF(C9772&lt;&gt;"","REMOVE","KEEP"))</f>
        <v/>
      </c>
      <c r="E9772">
        <f>IF(D9772&lt;&gt;"KEEP","",IF(RIGHT(B9772,10)="@gmail.com","Gmail",IF(OR(RIGHT(B9772,12)="@outlook.com",RIGHT(B9772,12)="@hotmail.com",RIGHT(B9772,9)="@live.com"),"Outlook","Domain")))</f>
        <v/>
      </c>
      <c r="F9772">
        <f>IF(B9772="","",IFERROR(RIGHT(B9772,LEN(B9772)-FIND("@",B9772)),""))</f>
        <v/>
      </c>
      <c r="G9772">
        <f>IF(D9772="KEEP",COUNTIF($D$2:D9772,"KEEP"),"")</f>
        <v/>
      </c>
      <c r="H9772">
        <f>IF(D9772="REMOVE",COUNTIF($D$2:D9772,"REMOVE"),"")</f>
        <v/>
      </c>
      <c r="I9772">
        <f>IF(E9772="Gmail",COUNTIF($E$2:E9772,"Gmail"),"")</f>
        <v/>
      </c>
      <c r="J9772">
        <f>IF(E9772="Outlook",COUNTIF($E$2:E9772,"Outlook"),"")</f>
        <v/>
      </c>
      <c r="K9772">
        <f>IF(E9772="Domain",COUNTIF($E$2:E9772,"Domain"),"")</f>
        <v/>
      </c>
    </row>
    <row r="9773">
      <c r="A9773" s="2" t="n"/>
      <c r="B9773">
        <f>LOWER(TRIM(A9773))</f>
        <v/>
      </c>
      <c r="C9773">
        <f>IF(B9773="","",IFERROR(INDEX('Bad Patterns'!$A$2:$A$120,MATCH(1,INDEX(--ISNUMBER(SEARCH('Bad Patterns'!$A$2:$A$120,B9773)),0),0)),""))</f>
        <v/>
      </c>
      <c r="D9773">
        <f>IF(B9773="","",IF(C9773&lt;&gt;"","REMOVE","KEEP"))</f>
        <v/>
      </c>
      <c r="E9773">
        <f>IF(D9773&lt;&gt;"KEEP","",IF(RIGHT(B9773,10)="@gmail.com","Gmail",IF(OR(RIGHT(B9773,12)="@outlook.com",RIGHT(B9773,12)="@hotmail.com",RIGHT(B9773,9)="@live.com"),"Outlook","Domain")))</f>
        <v/>
      </c>
      <c r="F9773">
        <f>IF(B9773="","",IFERROR(RIGHT(B9773,LEN(B9773)-FIND("@",B9773)),""))</f>
        <v/>
      </c>
      <c r="G9773">
        <f>IF(D9773="KEEP",COUNTIF($D$2:D9773,"KEEP"),"")</f>
        <v/>
      </c>
      <c r="H9773">
        <f>IF(D9773="REMOVE",COUNTIF($D$2:D9773,"REMOVE"),"")</f>
        <v/>
      </c>
      <c r="I9773">
        <f>IF(E9773="Gmail",COUNTIF($E$2:E9773,"Gmail"),"")</f>
        <v/>
      </c>
      <c r="J9773">
        <f>IF(E9773="Outlook",COUNTIF($E$2:E9773,"Outlook"),"")</f>
        <v/>
      </c>
      <c r="K9773">
        <f>IF(E9773="Domain",COUNTIF($E$2:E9773,"Domain"),"")</f>
        <v/>
      </c>
    </row>
    <row r="9774">
      <c r="A9774" s="2" t="n"/>
      <c r="B9774">
        <f>LOWER(TRIM(A9774))</f>
        <v/>
      </c>
      <c r="C9774">
        <f>IF(B9774="","",IFERROR(INDEX('Bad Patterns'!$A$2:$A$120,MATCH(1,INDEX(--ISNUMBER(SEARCH('Bad Patterns'!$A$2:$A$120,B9774)),0),0)),""))</f>
        <v/>
      </c>
      <c r="D9774">
        <f>IF(B9774="","",IF(C9774&lt;&gt;"","REMOVE","KEEP"))</f>
        <v/>
      </c>
      <c r="E9774">
        <f>IF(D9774&lt;&gt;"KEEP","",IF(RIGHT(B9774,10)="@gmail.com","Gmail",IF(OR(RIGHT(B9774,12)="@outlook.com",RIGHT(B9774,12)="@hotmail.com",RIGHT(B9774,9)="@live.com"),"Outlook","Domain")))</f>
        <v/>
      </c>
      <c r="F9774">
        <f>IF(B9774="","",IFERROR(RIGHT(B9774,LEN(B9774)-FIND("@",B9774)),""))</f>
        <v/>
      </c>
      <c r="G9774">
        <f>IF(D9774="KEEP",COUNTIF($D$2:D9774,"KEEP"),"")</f>
        <v/>
      </c>
      <c r="H9774">
        <f>IF(D9774="REMOVE",COUNTIF($D$2:D9774,"REMOVE"),"")</f>
        <v/>
      </c>
      <c r="I9774">
        <f>IF(E9774="Gmail",COUNTIF($E$2:E9774,"Gmail"),"")</f>
        <v/>
      </c>
      <c r="J9774">
        <f>IF(E9774="Outlook",COUNTIF($E$2:E9774,"Outlook"),"")</f>
        <v/>
      </c>
      <c r="K9774">
        <f>IF(E9774="Domain",COUNTIF($E$2:E9774,"Domain"),"")</f>
        <v/>
      </c>
    </row>
    <row r="9775">
      <c r="A9775" s="2" t="n"/>
      <c r="B9775">
        <f>LOWER(TRIM(A9775))</f>
        <v/>
      </c>
      <c r="C9775">
        <f>IF(B9775="","",IFERROR(INDEX('Bad Patterns'!$A$2:$A$120,MATCH(1,INDEX(--ISNUMBER(SEARCH('Bad Patterns'!$A$2:$A$120,B9775)),0),0)),""))</f>
        <v/>
      </c>
      <c r="D9775">
        <f>IF(B9775="","",IF(C9775&lt;&gt;"","REMOVE","KEEP"))</f>
        <v/>
      </c>
      <c r="E9775">
        <f>IF(D9775&lt;&gt;"KEEP","",IF(RIGHT(B9775,10)="@gmail.com","Gmail",IF(OR(RIGHT(B9775,12)="@outlook.com",RIGHT(B9775,12)="@hotmail.com",RIGHT(B9775,9)="@live.com"),"Outlook","Domain")))</f>
        <v/>
      </c>
      <c r="F9775">
        <f>IF(B9775="","",IFERROR(RIGHT(B9775,LEN(B9775)-FIND("@",B9775)),""))</f>
        <v/>
      </c>
      <c r="G9775">
        <f>IF(D9775="KEEP",COUNTIF($D$2:D9775,"KEEP"),"")</f>
        <v/>
      </c>
      <c r="H9775">
        <f>IF(D9775="REMOVE",COUNTIF($D$2:D9775,"REMOVE"),"")</f>
        <v/>
      </c>
      <c r="I9775">
        <f>IF(E9775="Gmail",COUNTIF($E$2:E9775,"Gmail"),"")</f>
        <v/>
      </c>
      <c r="J9775">
        <f>IF(E9775="Outlook",COUNTIF($E$2:E9775,"Outlook"),"")</f>
        <v/>
      </c>
      <c r="K9775">
        <f>IF(E9775="Domain",COUNTIF($E$2:E9775,"Domain"),"")</f>
        <v/>
      </c>
    </row>
    <row r="9776">
      <c r="A9776" s="2" t="n"/>
      <c r="B9776">
        <f>LOWER(TRIM(A9776))</f>
        <v/>
      </c>
      <c r="C9776">
        <f>IF(B9776="","",IFERROR(INDEX('Bad Patterns'!$A$2:$A$120,MATCH(1,INDEX(--ISNUMBER(SEARCH('Bad Patterns'!$A$2:$A$120,B9776)),0),0)),""))</f>
        <v/>
      </c>
      <c r="D9776">
        <f>IF(B9776="","",IF(C9776&lt;&gt;"","REMOVE","KEEP"))</f>
        <v/>
      </c>
      <c r="E9776">
        <f>IF(D9776&lt;&gt;"KEEP","",IF(RIGHT(B9776,10)="@gmail.com","Gmail",IF(OR(RIGHT(B9776,12)="@outlook.com",RIGHT(B9776,12)="@hotmail.com",RIGHT(B9776,9)="@live.com"),"Outlook","Domain")))</f>
        <v/>
      </c>
      <c r="F9776">
        <f>IF(B9776="","",IFERROR(RIGHT(B9776,LEN(B9776)-FIND("@",B9776)),""))</f>
        <v/>
      </c>
      <c r="G9776">
        <f>IF(D9776="KEEP",COUNTIF($D$2:D9776,"KEEP"),"")</f>
        <v/>
      </c>
      <c r="H9776">
        <f>IF(D9776="REMOVE",COUNTIF($D$2:D9776,"REMOVE"),"")</f>
        <v/>
      </c>
      <c r="I9776">
        <f>IF(E9776="Gmail",COUNTIF($E$2:E9776,"Gmail"),"")</f>
        <v/>
      </c>
      <c r="J9776">
        <f>IF(E9776="Outlook",COUNTIF($E$2:E9776,"Outlook"),"")</f>
        <v/>
      </c>
      <c r="K9776">
        <f>IF(E9776="Domain",COUNTIF($E$2:E9776,"Domain"),"")</f>
        <v/>
      </c>
    </row>
    <row r="9777">
      <c r="A9777" s="2" t="n"/>
      <c r="B9777">
        <f>LOWER(TRIM(A9777))</f>
        <v/>
      </c>
      <c r="C9777">
        <f>IF(B9777="","",IFERROR(INDEX('Bad Patterns'!$A$2:$A$120,MATCH(1,INDEX(--ISNUMBER(SEARCH('Bad Patterns'!$A$2:$A$120,B9777)),0),0)),""))</f>
        <v/>
      </c>
      <c r="D9777">
        <f>IF(B9777="","",IF(C9777&lt;&gt;"","REMOVE","KEEP"))</f>
        <v/>
      </c>
      <c r="E9777">
        <f>IF(D9777&lt;&gt;"KEEP","",IF(RIGHT(B9777,10)="@gmail.com","Gmail",IF(OR(RIGHT(B9777,12)="@outlook.com",RIGHT(B9777,12)="@hotmail.com",RIGHT(B9777,9)="@live.com"),"Outlook","Domain")))</f>
        <v/>
      </c>
      <c r="F9777">
        <f>IF(B9777="","",IFERROR(RIGHT(B9777,LEN(B9777)-FIND("@",B9777)),""))</f>
        <v/>
      </c>
      <c r="G9777">
        <f>IF(D9777="KEEP",COUNTIF($D$2:D9777,"KEEP"),"")</f>
        <v/>
      </c>
      <c r="H9777">
        <f>IF(D9777="REMOVE",COUNTIF($D$2:D9777,"REMOVE"),"")</f>
        <v/>
      </c>
      <c r="I9777">
        <f>IF(E9777="Gmail",COUNTIF($E$2:E9777,"Gmail"),"")</f>
        <v/>
      </c>
      <c r="J9777">
        <f>IF(E9777="Outlook",COUNTIF($E$2:E9777,"Outlook"),"")</f>
        <v/>
      </c>
      <c r="K9777">
        <f>IF(E9777="Domain",COUNTIF($E$2:E9777,"Domain"),"")</f>
        <v/>
      </c>
    </row>
    <row r="9778">
      <c r="A9778" s="2" t="n"/>
      <c r="B9778">
        <f>LOWER(TRIM(A9778))</f>
        <v/>
      </c>
      <c r="C9778">
        <f>IF(B9778="","",IFERROR(INDEX('Bad Patterns'!$A$2:$A$120,MATCH(1,INDEX(--ISNUMBER(SEARCH('Bad Patterns'!$A$2:$A$120,B9778)),0),0)),""))</f>
        <v/>
      </c>
      <c r="D9778">
        <f>IF(B9778="","",IF(C9778&lt;&gt;"","REMOVE","KEEP"))</f>
        <v/>
      </c>
      <c r="E9778">
        <f>IF(D9778&lt;&gt;"KEEP","",IF(RIGHT(B9778,10)="@gmail.com","Gmail",IF(OR(RIGHT(B9778,12)="@outlook.com",RIGHT(B9778,12)="@hotmail.com",RIGHT(B9778,9)="@live.com"),"Outlook","Domain")))</f>
        <v/>
      </c>
      <c r="F9778">
        <f>IF(B9778="","",IFERROR(RIGHT(B9778,LEN(B9778)-FIND("@",B9778)),""))</f>
        <v/>
      </c>
      <c r="G9778">
        <f>IF(D9778="KEEP",COUNTIF($D$2:D9778,"KEEP"),"")</f>
        <v/>
      </c>
      <c r="H9778">
        <f>IF(D9778="REMOVE",COUNTIF($D$2:D9778,"REMOVE"),"")</f>
        <v/>
      </c>
      <c r="I9778">
        <f>IF(E9778="Gmail",COUNTIF($E$2:E9778,"Gmail"),"")</f>
        <v/>
      </c>
      <c r="J9778">
        <f>IF(E9778="Outlook",COUNTIF($E$2:E9778,"Outlook"),"")</f>
        <v/>
      </c>
      <c r="K9778">
        <f>IF(E9778="Domain",COUNTIF($E$2:E9778,"Domain"),"")</f>
        <v/>
      </c>
    </row>
    <row r="9779">
      <c r="A9779" s="2" t="n"/>
      <c r="B9779">
        <f>LOWER(TRIM(A9779))</f>
        <v/>
      </c>
      <c r="C9779">
        <f>IF(B9779="","",IFERROR(INDEX('Bad Patterns'!$A$2:$A$120,MATCH(1,INDEX(--ISNUMBER(SEARCH('Bad Patterns'!$A$2:$A$120,B9779)),0),0)),""))</f>
        <v/>
      </c>
      <c r="D9779">
        <f>IF(B9779="","",IF(C9779&lt;&gt;"","REMOVE","KEEP"))</f>
        <v/>
      </c>
      <c r="E9779">
        <f>IF(D9779&lt;&gt;"KEEP","",IF(RIGHT(B9779,10)="@gmail.com","Gmail",IF(OR(RIGHT(B9779,12)="@outlook.com",RIGHT(B9779,12)="@hotmail.com",RIGHT(B9779,9)="@live.com"),"Outlook","Domain")))</f>
        <v/>
      </c>
      <c r="F9779">
        <f>IF(B9779="","",IFERROR(RIGHT(B9779,LEN(B9779)-FIND("@",B9779)),""))</f>
        <v/>
      </c>
      <c r="G9779">
        <f>IF(D9779="KEEP",COUNTIF($D$2:D9779,"KEEP"),"")</f>
        <v/>
      </c>
      <c r="H9779">
        <f>IF(D9779="REMOVE",COUNTIF($D$2:D9779,"REMOVE"),"")</f>
        <v/>
      </c>
      <c r="I9779">
        <f>IF(E9779="Gmail",COUNTIF($E$2:E9779,"Gmail"),"")</f>
        <v/>
      </c>
      <c r="J9779">
        <f>IF(E9779="Outlook",COUNTIF($E$2:E9779,"Outlook"),"")</f>
        <v/>
      </c>
      <c r="K9779">
        <f>IF(E9779="Domain",COUNTIF($E$2:E9779,"Domain"),"")</f>
        <v/>
      </c>
    </row>
    <row r="9780">
      <c r="A9780" s="2" t="n"/>
      <c r="B9780">
        <f>LOWER(TRIM(A9780))</f>
        <v/>
      </c>
      <c r="C9780">
        <f>IF(B9780="","",IFERROR(INDEX('Bad Patterns'!$A$2:$A$120,MATCH(1,INDEX(--ISNUMBER(SEARCH('Bad Patterns'!$A$2:$A$120,B9780)),0),0)),""))</f>
        <v/>
      </c>
      <c r="D9780">
        <f>IF(B9780="","",IF(C9780&lt;&gt;"","REMOVE","KEEP"))</f>
        <v/>
      </c>
      <c r="E9780">
        <f>IF(D9780&lt;&gt;"KEEP","",IF(RIGHT(B9780,10)="@gmail.com","Gmail",IF(OR(RIGHT(B9780,12)="@outlook.com",RIGHT(B9780,12)="@hotmail.com",RIGHT(B9780,9)="@live.com"),"Outlook","Domain")))</f>
        <v/>
      </c>
      <c r="F9780">
        <f>IF(B9780="","",IFERROR(RIGHT(B9780,LEN(B9780)-FIND("@",B9780)),""))</f>
        <v/>
      </c>
      <c r="G9780">
        <f>IF(D9780="KEEP",COUNTIF($D$2:D9780,"KEEP"),"")</f>
        <v/>
      </c>
      <c r="H9780">
        <f>IF(D9780="REMOVE",COUNTIF($D$2:D9780,"REMOVE"),"")</f>
        <v/>
      </c>
      <c r="I9780">
        <f>IF(E9780="Gmail",COUNTIF($E$2:E9780,"Gmail"),"")</f>
        <v/>
      </c>
      <c r="J9780">
        <f>IF(E9780="Outlook",COUNTIF($E$2:E9780,"Outlook"),"")</f>
        <v/>
      </c>
      <c r="K9780">
        <f>IF(E9780="Domain",COUNTIF($E$2:E9780,"Domain"),"")</f>
        <v/>
      </c>
    </row>
    <row r="9781">
      <c r="A9781" s="2" t="n"/>
      <c r="B9781">
        <f>LOWER(TRIM(A9781))</f>
        <v/>
      </c>
      <c r="C9781">
        <f>IF(B9781="","",IFERROR(INDEX('Bad Patterns'!$A$2:$A$120,MATCH(1,INDEX(--ISNUMBER(SEARCH('Bad Patterns'!$A$2:$A$120,B9781)),0),0)),""))</f>
        <v/>
      </c>
      <c r="D9781">
        <f>IF(B9781="","",IF(C9781&lt;&gt;"","REMOVE","KEEP"))</f>
        <v/>
      </c>
      <c r="E9781">
        <f>IF(D9781&lt;&gt;"KEEP","",IF(RIGHT(B9781,10)="@gmail.com","Gmail",IF(OR(RIGHT(B9781,12)="@outlook.com",RIGHT(B9781,12)="@hotmail.com",RIGHT(B9781,9)="@live.com"),"Outlook","Domain")))</f>
        <v/>
      </c>
      <c r="F9781">
        <f>IF(B9781="","",IFERROR(RIGHT(B9781,LEN(B9781)-FIND("@",B9781)),""))</f>
        <v/>
      </c>
      <c r="G9781">
        <f>IF(D9781="KEEP",COUNTIF($D$2:D9781,"KEEP"),"")</f>
        <v/>
      </c>
      <c r="H9781">
        <f>IF(D9781="REMOVE",COUNTIF($D$2:D9781,"REMOVE"),"")</f>
        <v/>
      </c>
      <c r="I9781">
        <f>IF(E9781="Gmail",COUNTIF($E$2:E9781,"Gmail"),"")</f>
        <v/>
      </c>
      <c r="J9781">
        <f>IF(E9781="Outlook",COUNTIF($E$2:E9781,"Outlook"),"")</f>
        <v/>
      </c>
      <c r="K9781">
        <f>IF(E9781="Domain",COUNTIF($E$2:E9781,"Domain"),"")</f>
        <v/>
      </c>
    </row>
    <row r="9782">
      <c r="A9782" s="2" t="n"/>
      <c r="B9782">
        <f>LOWER(TRIM(A9782))</f>
        <v/>
      </c>
      <c r="C9782">
        <f>IF(B9782="","",IFERROR(INDEX('Bad Patterns'!$A$2:$A$120,MATCH(1,INDEX(--ISNUMBER(SEARCH('Bad Patterns'!$A$2:$A$120,B9782)),0),0)),""))</f>
        <v/>
      </c>
      <c r="D9782">
        <f>IF(B9782="","",IF(C9782&lt;&gt;"","REMOVE","KEEP"))</f>
        <v/>
      </c>
      <c r="E9782">
        <f>IF(D9782&lt;&gt;"KEEP","",IF(RIGHT(B9782,10)="@gmail.com","Gmail",IF(OR(RIGHT(B9782,12)="@outlook.com",RIGHT(B9782,12)="@hotmail.com",RIGHT(B9782,9)="@live.com"),"Outlook","Domain")))</f>
        <v/>
      </c>
      <c r="F9782">
        <f>IF(B9782="","",IFERROR(RIGHT(B9782,LEN(B9782)-FIND("@",B9782)),""))</f>
        <v/>
      </c>
      <c r="G9782">
        <f>IF(D9782="KEEP",COUNTIF($D$2:D9782,"KEEP"),"")</f>
        <v/>
      </c>
      <c r="H9782">
        <f>IF(D9782="REMOVE",COUNTIF($D$2:D9782,"REMOVE"),"")</f>
        <v/>
      </c>
      <c r="I9782">
        <f>IF(E9782="Gmail",COUNTIF($E$2:E9782,"Gmail"),"")</f>
        <v/>
      </c>
      <c r="J9782">
        <f>IF(E9782="Outlook",COUNTIF($E$2:E9782,"Outlook"),"")</f>
        <v/>
      </c>
      <c r="K9782">
        <f>IF(E9782="Domain",COUNTIF($E$2:E9782,"Domain"),"")</f>
        <v/>
      </c>
    </row>
    <row r="9783">
      <c r="A9783" s="2" t="n"/>
      <c r="B9783">
        <f>LOWER(TRIM(A9783))</f>
        <v/>
      </c>
      <c r="C9783">
        <f>IF(B9783="","",IFERROR(INDEX('Bad Patterns'!$A$2:$A$120,MATCH(1,INDEX(--ISNUMBER(SEARCH('Bad Patterns'!$A$2:$A$120,B9783)),0),0)),""))</f>
        <v/>
      </c>
      <c r="D9783">
        <f>IF(B9783="","",IF(C9783&lt;&gt;"","REMOVE","KEEP"))</f>
        <v/>
      </c>
      <c r="E9783">
        <f>IF(D9783&lt;&gt;"KEEP","",IF(RIGHT(B9783,10)="@gmail.com","Gmail",IF(OR(RIGHT(B9783,12)="@outlook.com",RIGHT(B9783,12)="@hotmail.com",RIGHT(B9783,9)="@live.com"),"Outlook","Domain")))</f>
        <v/>
      </c>
      <c r="F9783">
        <f>IF(B9783="","",IFERROR(RIGHT(B9783,LEN(B9783)-FIND("@",B9783)),""))</f>
        <v/>
      </c>
      <c r="G9783">
        <f>IF(D9783="KEEP",COUNTIF($D$2:D9783,"KEEP"),"")</f>
        <v/>
      </c>
      <c r="H9783">
        <f>IF(D9783="REMOVE",COUNTIF($D$2:D9783,"REMOVE"),"")</f>
        <v/>
      </c>
      <c r="I9783">
        <f>IF(E9783="Gmail",COUNTIF($E$2:E9783,"Gmail"),"")</f>
        <v/>
      </c>
      <c r="J9783">
        <f>IF(E9783="Outlook",COUNTIF($E$2:E9783,"Outlook"),"")</f>
        <v/>
      </c>
      <c r="K9783">
        <f>IF(E9783="Domain",COUNTIF($E$2:E9783,"Domain"),"")</f>
        <v/>
      </c>
    </row>
    <row r="9784">
      <c r="A9784" s="2" t="n"/>
      <c r="B9784">
        <f>LOWER(TRIM(A9784))</f>
        <v/>
      </c>
      <c r="C9784">
        <f>IF(B9784="","",IFERROR(INDEX('Bad Patterns'!$A$2:$A$120,MATCH(1,INDEX(--ISNUMBER(SEARCH('Bad Patterns'!$A$2:$A$120,B9784)),0),0)),""))</f>
        <v/>
      </c>
      <c r="D9784">
        <f>IF(B9784="","",IF(C9784&lt;&gt;"","REMOVE","KEEP"))</f>
        <v/>
      </c>
      <c r="E9784">
        <f>IF(D9784&lt;&gt;"KEEP","",IF(RIGHT(B9784,10)="@gmail.com","Gmail",IF(OR(RIGHT(B9784,12)="@outlook.com",RIGHT(B9784,12)="@hotmail.com",RIGHT(B9784,9)="@live.com"),"Outlook","Domain")))</f>
        <v/>
      </c>
      <c r="F9784">
        <f>IF(B9784="","",IFERROR(RIGHT(B9784,LEN(B9784)-FIND("@",B9784)),""))</f>
        <v/>
      </c>
      <c r="G9784">
        <f>IF(D9784="KEEP",COUNTIF($D$2:D9784,"KEEP"),"")</f>
        <v/>
      </c>
      <c r="H9784">
        <f>IF(D9784="REMOVE",COUNTIF($D$2:D9784,"REMOVE"),"")</f>
        <v/>
      </c>
      <c r="I9784">
        <f>IF(E9784="Gmail",COUNTIF($E$2:E9784,"Gmail"),"")</f>
        <v/>
      </c>
      <c r="J9784">
        <f>IF(E9784="Outlook",COUNTIF($E$2:E9784,"Outlook"),"")</f>
        <v/>
      </c>
      <c r="K9784">
        <f>IF(E9784="Domain",COUNTIF($E$2:E9784,"Domain"),"")</f>
        <v/>
      </c>
    </row>
    <row r="9785">
      <c r="A9785" s="2" t="n"/>
      <c r="B9785">
        <f>LOWER(TRIM(A9785))</f>
        <v/>
      </c>
      <c r="C9785">
        <f>IF(B9785="","",IFERROR(INDEX('Bad Patterns'!$A$2:$A$120,MATCH(1,INDEX(--ISNUMBER(SEARCH('Bad Patterns'!$A$2:$A$120,B9785)),0),0)),""))</f>
        <v/>
      </c>
      <c r="D9785">
        <f>IF(B9785="","",IF(C9785&lt;&gt;"","REMOVE","KEEP"))</f>
        <v/>
      </c>
      <c r="E9785">
        <f>IF(D9785&lt;&gt;"KEEP","",IF(RIGHT(B9785,10)="@gmail.com","Gmail",IF(OR(RIGHT(B9785,12)="@outlook.com",RIGHT(B9785,12)="@hotmail.com",RIGHT(B9785,9)="@live.com"),"Outlook","Domain")))</f>
        <v/>
      </c>
      <c r="F9785">
        <f>IF(B9785="","",IFERROR(RIGHT(B9785,LEN(B9785)-FIND("@",B9785)),""))</f>
        <v/>
      </c>
      <c r="G9785">
        <f>IF(D9785="KEEP",COUNTIF($D$2:D9785,"KEEP"),"")</f>
        <v/>
      </c>
      <c r="H9785">
        <f>IF(D9785="REMOVE",COUNTIF($D$2:D9785,"REMOVE"),"")</f>
        <v/>
      </c>
      <c r="I9785">
        <f>IF(E9785="Gmail",COUNTIF($E$2:E9785,"Gmail"),"")</f>
        <v/>
      </c>
      <c r="J9785">
        <f>IF(E9785="Outlook",COUNTIF($E$2:E9785,"Outlook"),"")</f>
        <v/>
      </c>
      <c r="K9785">
        <f>IF(E9785="Domain",COUNTIF($E$2:E9785,"Domain"),"")</f>
        <v/>
      </c>
    </row>
    <row r="9786">
      <c r="A9786" s="2" t="n"/>
      <c r="B9786">
        <f>LOWER(TRIM(A9786))</f>
        <v/>
      </c>
      <c r="C9786">
        <f>IF(B9786="","",IFERROR(INDEX('Bad Patterns'!$A$2:$A$120,MATCH(1,INDEX(--ISNUMBER(SEARCH('Bad Patterns'!$A$2:$A$120,B9786)),0),0)),""))</f>
        <v/>
      </c>
      <c r="D9786">
        <f>IF(B9786="","",IF(C9786&lt;&gt;"","REMOVE","KEEP"))</f>
        <v/>
      </c>
      <c r="E9786">
        <f>IF(D9786&lt;&gt;"KEEP","",IF(RIGHT(B9786,10)="@gmail.com","Gmail",IF(OR(RIGHT(B9786,12)="@outlook.com",RIGHT(B9786,12)="@hotmail.com",RIGHT(B9786,9)="@live.com"),"Outlook","Domain")))</f>
        <v/>
      </c>
      <c r="F9786">
        <f>IF(B9786="","",IFERROR(RIGHT(B9786,LEN(B9786)-FIND("@",B9786)),""))</f>
        <v/>
      </c>
      <c r="G9786">
        <f>IF(D9786="KEEP",COUNTIF($D$2:D9786,"KEEP"),"")</f>
        <v/>
      </c>
      <c r="H9786">
        <f>IF(D9786="REMOVE",COUNTIF($D$2:D9786,"REMOVE"),"")</f>
        <v/>
      </c>
      <c r="I9786">
        <f>IF(E9786="Gmail",COUNTIF($E$2:E9786,"Gmail"),"")</f>
        <v/>
      </c>
      <c r="J9786">
        <f>IF(E9786="Outlook",COUNTIF($E$2:E9786,"Outlook"),"")</f>
        <v/>
      </c>
      <c r="K9786">
        <f>IF(E9786="Domain",COUNTIF($E$2:E9786,"Domain"),"")</f>
        <v/>
      </c>
    </row>
    <row r="9787">
      <c r="A9787" s="2" t="n"/>
      <c r="B9787">
        <f>LOWER(TRIM(A9787))</f>
        <v/>
      </c>
      <c r="C9787">
        <f>IF(B9787="","",IFERROR(INDEX('Bad Patterns'!$A$2:$A$120,MATCH(1,INDEX(--ISNUMBER(SEARCH('Bad Patterns'!$A$2:$A$120,B9787)),0),0)),""))</f>
        <v/>
      </c>
      <c r="D9787">
        <f>IF(B9787="","",IF(C9787&lt;&gt;"","REMOVE","KEEP"))</f>
        <v/>
      </c>
      <c r="E9787">
        <f>IF(D9787&lt;&gt;"KEEP","",IF(RIGHT(B9787,10)="@gmail.com","Gmail",IF(OR(RIGHT(B9787,12)="@outlook.com",RIGHT(B9787,12)="@hotmail.com",RIGHT(B9787,9)="@live.com"),"Outlook","Domain")))</f>
        <v/>
      </c>
      <c r="F9787">
        <f>IF(B9787="","",IFERROR(RIGHT(B9787,LEN(B9787)-FIND("@",B9787)),""))</f>
        <v/>
      </c>
      <c r="G9787">
        <f>IF(D9787="KEEP",COUNTIF($D$2:D9787,"KEEP"),"")</f>
        <v/>
      </c>
      <c r="H9787">
        <f>IF(D9787="REMOVE",COUNTIF($D$2:D9787,"REMOVE"),"")</f>
        <v/>
      </c>
      <c r="I9787">
        <f>IF(E9787="Gmail",COUNTIF($E$2:E9787,"Gmail"),"")</f>
        <v/>
      </c>
      <c r="J9787">
        <f>IF(E9787="Outlook",COUNTIF($E$2:E9787,"Outlook"),"")</f>
        <v/>
      </c>
      <c r="K9787">
        <f>IF(E9787="Domain",COUNTIF($E$2:E9787,"Domain"),"")</f>
        <v/>
      </c>
    </row>
    <row r="9788">
      <c r="A9788" s="2" t="n"/>
      <c r="B9788">
        <f>LOWER(TRIM(A9788))</f>
        <v/>
      </c>
      <c r="C9788">
        <f>IF(B9788="","",IFERROR(INDEX('Bad Patterns'!$A$2:$A$120,MATCH(1,INDEX(--ISNUMBER(SEARCH('Bad Patterns'!$A$2:$A$120,B9788)),0),0)),""))</f>
        <v/>
      </c>
      <c r="D9788">
        <f>IF(B9788="","",IF(C9788&lt;&gt;"","REMOVE","KEEP"))</f>
        <v/>
      </c>
      <c r="E9788">
        <f>IF(D9788&lt;&gt;"KEEP","",IF(RIGHT(B9788,10)="@gmail.com","Gmail",IF(OR(RIGHT(B9788,12)="@outlook.com",RIGHT(B9788,12)="@hotmail.com",RIGHT(B9788,9)="@live.com"),"Outlook","Domain")))</f>
        <v/>
      </c>
      <c r="F9788">
        <f>IF(B9788="","",IFERROR(RIGHT(B9788,LEN(B9788)-FIND("@",B9788)),""))</f>
        <v/>
      </c>
      <c r="G9788">
        <f>IF(D9788="KEEP",COUNTIF($D$2:D9788,"KEEP"),"")</f>
        <v/>
      </c>
      <c r="H9788">
        <f>IF(D9788="REMOVE",COUNTIF($D$2:D9788,"REMOVE"),"")</f>
        <v/>
      </c>
      <c r="I9788">
        <f>IF(E9788="Gmail",COUNTIF($E$2:E9788,"Gmail"),"")</f>
        <v/>
      </c>
      <c r="J9788">
        <f>IF(E9788="Outlook",COUNTIF($E$2:E9788,"Outlook"),"")</f>
        <v/>
      </c>
      <c r="K9788">
        <f>IF(E9788="Domain",COUNTIF($E$2:E9788,"Domain"),"")</f>
        <v/>
      </c>
    </row>
    <row r="9789">
      <c r="A9789" s="2" t="n"/>
      <c r="B9789">
        <f>LOWER(TRIM(A9789))</f>
        <v/>
      </c>
      <c r="C9789">
        <f>IF(B9789="","",IFERROR(INDEX('Bad Patterns'!$A$2:$A$120,MATCH(1,INDEX(--ISNUMBER(SEARCH('Bad Patterns'!$A$2:$A$120,B9789)),0),0)),""))</f>
        <v/>
      </c>
      <c r="D9789">
        <f>IF(B9789="","",IF(C9789&lt;&gt;"","REMOVE","KEEP"))</f>
        <v/>
      </c>
      <c r="E9789">
        <f>IF(D9789&lt;&gt;"KEEP","",IF(RIGHT(B9789,10)="@gmail.com","Gmail",IF(OR(RIGHT(B9789,12)="@outlook.com",RIGHT(B9789,12)="@hotmail.com",RIGHT(B9789,9)="@live.com"),"Outlook","Domain")))</f>
        <v/>
      </c>
      <c r="F9789">
        <f>IF(B9789="","",IFERROR(RIGHT(B9789,LEN(B9789)-FIND("@",B9789)),""))</f>
        <v/>
      </c>
      <c r="G9789">
        <f>IF(D9789="KEEP",COUNTIF($D$2:D9789,"KEEP"),"")</f>
        <v/>
      </c>
      <c r="H9789">
        <f>IF(D9789="REMOVE",COUNTIF($D$2:D9789,"REMOVE"),"")</f>
        <v/>
      </c>
      <c r="I9789">
        <f>IF(E9789="Gmail",COUNTIF($E$2:E9789,"Gmail"),"")</f>
        <v/>
      </c>
      <c r="J9789">
        <f>IF(E9789="Outlook",COUNTIF($E$2:E9789,"Outlook"),"")</f>
        <v/>
      </c>
      <c r="K9789">
        <f>IF(E9789="Domain",COUNTIF($E$2:E9789,"Domain"),"")</f>
        <v/>
      </c>
    </row>
    <row r="9790">
      <c r="A9790" s="2" t="n"/>
      <c r="B9790">
        <f>LOWER(TRIM(A9790))</f>
        <v/>
      </c>
      <c r="C9790">
        <f>IF(B9790="","",IFERROR(INDEX('Bad Patterns'!$A$2:$A$120,MATCH(1,INDEX(--ISNUMBER(SEARCH('Bad Patterns'!$A$2:$A$120,B9790)),0),0)),""))</f>
        <v/>
      </c>
      <c r="D9790">
        <f>IF(B9790="","",IF(C9790&lt;&gt;"","REMOVE","KEEP"))</f>
        <v/>
      </c>
      <c r="E9790">
        <f>IF(D9790&lt;&gt;"KEEP","",IF(RIGHT(B9790,10)="@gmail.com","Gmail",IF(OR(RIGHT(B9790,12)="@outlook.com",RIGHT(B9790,12)="@hotmail.com",RIGHT(B9790,9)="@live.com"),"Outlook","Domain")))</f>
        <v/>
      </c>
      <c r="F9790">
        <f>IF(B9790="","",IFERROR(RIGHT(B9790,LEN(B9790)-FIND("@",B9790)),""))</f>
        <v/>
      </c>
      <c r="G9790">
        <f>IF(D9790="KEEP",COUNTIF($D$2:D9790,"KEEP"),"")</f>
        <v/>
      </c>
      <c r="H9790">
        <f>IF(D9790="REMOVE",COUNTIF($D$2:D9790,"REMOVE"),"")</f>
        <v/>
      </c>
      <c r="I9790">
        <f>IF(E9790="Gmail",COUNTIF($E$2:E9790,"Gmail"),"")</f>
        <v/>
      </c>
      <c r="J9790">
        <f>IF(E9790="Outlook",COUNTIF($E$2:E9790,"Outlook"),"")</f>
        <v/>
      </c>
      <c r="K9790">
        <f>IF(E9790="Domain",COUNTIF($E$2:E9790,"Domain"),"")</f>
        <v/>
      </c>
    </row>
    <row r="9791">
      <c r="A9791" s="2" t="n"/>
      <c r="B9791">
        <f>LOWER(TRIM(A9791))</f>
        <v/>
      </c>
      <c r="C9791">
        <f>IF(B9791="","",IFERROR(INDEX('Bad Patterns'!$A$2:$A$120,MATCH(1,INDEX(--ISNUMBER(SEARCH('Bad Patterns'!$A$2:$A$120,B9791)),0),0)),""))</f>
        <v/>
      </c>
      <c r="D9791">
        <f>IF(B9791="","",IF(C9791&lt;&gt;"","REMOVE","KEEP"))</f>
        <v/>
      </c>
      <c r="E9791">
        <f>IF(D9791&lt;&gt;"KEEP","",IF(RIGHT(B9791,10)="@gmail.com","Gmail",IF(OR(RIGHT(B9791,12)="@outlook.com",RIGHT(B9791,12)="@hotmail.com",RIGHT(B9791,9)="@live.com"),"Outlook","Domain")))</f>
        <v/>
      </c>
      <c r="F9791">
        <f>IF(B9791="","",IFERROR(RIGHT(B9791,LEN(B9791)-FIND("@",B9791)),""))</f>
        <v/>
      </c>
      <c r="G9791">
        <f>IF(D9791="KEEP",COUNTIF($D$2:D9791,"KEEP"),"")</f>
        <v/>
      </c>
      <c r="H9791">
        <f>IF(D9791="REMOVE",COUNTIF($D$2:D9791,"REMOVE"),"")</f>
        <v/>
      </c>
      <c r="I9791">
        <f>IF(E9791="Gmail",COUNTIF($E$2:E9791,"Gmail"),"")</f>
        <v/>
      </c>
      <c r="J9791">
        <f>IF(E9791="Outlook",COUNTIF($E$2:E9791,"Outlook"),"")</f>
        <v/>
      </c>
      <c r="K9791">
        <f>IF(E9791="Domain",COUNTIF($E$2:E9791,"Domain"),"")</f>
        <v/>
      </c>
    </row>
    <row r="9792">
      <c r="A9792" s="2" t="n"/>
      <c r="B9792">
        <f>LOWER(TRIM(A9792))</f>
        <v/>
      </c>
      <c r="C9792">
        <f>IF(B9792="","",IFERROR(INDEX('Bad Patterns'!$A$2:$A$120,MATCH(1,INDEX(--ISNUMBER(SEARCH('Bad Patterns'!$A$2:$A$120,B9792)),0),0)),""))</f>
        <v/>
      </c>
      <c r="D9792">
        <f>IF(B9792="","",IF(C9792&lt;&gt;"","REMOVE","KEEP"))</f>
        <v/>
      </c>
      <c r="E9792">
        <f>IF(D9792&lt;&gt;"KEEP","",IF(RIGHT(B9792,10)="@gmail.com","Gmail",IF(OR(RIGHT(B9792,12)="@outlook.com",RIGHT(B9792,12)="@hotmail.com",RIGHT(B9792,9)="@live.com"),"Outlook","Domain")))</f>
        <v/>
      </c>
      <c r="F9792">
        <f>IF(B9792="","",IFERROR(RIGHT(B9792,LEN(B9792)-FIND("@",B9792)),""))</f>
        <v/>
      </c>
      <c r="G9792">
        <f>IF(D9792="KEEP",COUNTIF($D$2:D9792,"KEEP"),"")</f>
        <v/>
      </c>
      <c r="H9792">
        <f>IF(D9792="REMOVE",COUNTIF($D$2:D9792,"REMOVE"),"")</f>
        <v/>
      </c>
      <c r="I9792">
        <f>IF(E9792="Gmail",COUNTIF($E$2:E9792,"Gmail"),"")</f>
        <v/>
      </c>
      <c r="J9792">
        <f>IF(E9792="Outlook",COUNTIF($E$2:E9792,"Outlook"),"")</f>
        <v/>
      </c>
      <c r="K9792">
        <f>IF(E9792="Domain",COUNTIF($E$2:E9792,"Domain"),"")</f>
        <v/>
      </c>
    </row>
    <row r="9793">
      <c r="A9793" s="2" t="n"/>
      <c r="B9793">
        <f>LOWER(TRIM(A9793))</f>
        <v/>
      </c>
      <c r="C9793">
        <f>IF(B9793="","",IFERROR(INDEX('Bad Patterns'!$A$2:$A$120,MATCH(1,INDEX(--ISNUMBER(SEARCH('Bad Patterns'!$A$2:$A$120,B9793)),0),0)),""))</f>
        <v/>
      </c>
      <c r="D9793">
        <f>IF(B9793="","",IF(C9793&lt;&gt;"","REMOVE","KEEP"))</f>
        <v/>
      </c>
      <c r="E9793">
        <f>IF(D9793&lt;&gt;"KEEP","",IF(RIGHT(B9793,10)="@gmail.com","Gmail",IF(OR(RIGHT(B9793,12)="@outlook.com",RIGHT(B9793,12)="@hotmail.com",RIGHT(B9793,9)="@live.com"),"Outlook","Domain")))</f>
        <v/>
      </c>
      <c r="F9793">
        <f>IF(B9793="","",IFERROR(RIGHT(B9793,LEN(B9793)-FIND("@",B9793)),""))</f>
        <v/>
      </c>
      <c r="G9793">
        <f>IF(D9793="KEEP",COUNTIF($D$2:D9793,"KEEP"),"")</f>
        <v/>
      </c>
      <c r="H9793">
        <f>IF(D9793="REMOVE",COUNTIF($D$2:D9793,"REMOVE"),"")</f>
        <v/>
      </c>
      <c r="I9793">
        <f>IF(E9793="Gmail",COUNTIF($E$2:E9793,"Gmail"),"")</f>
        <v/>
      </c>
      <c r="J9793">
        <f>IF(E9793="Outlook",COUNTIF($E$2:E9793,"Outlook"),"")</f>
        <v/>
      </c>
      <c r="K9793">
        <f>IF(E9793="Domain",COUNTIF($E$2:E9793,"Domain"),"")</f>
        <v/>
      </c>
    </row>
    <row r="9794">
      <c r="A9794" s="2" t="n"/>
      <c r="B9794">
        <f>LOWER(TRIM(A9794))</f>
        <v/>
      </c>
      <c r="C9794">
        <f>IF(B9794="","",IFERROR(INDEX('Bad Patterns'!$A$2:$A$120,MATCH(1,INDEX(--ISNUMBER(SEARCH('Bad Patterns'!$A$2:$A$120,B9794)),0),0)),""))</f>
        <v/>
      </c>
      <c r="D9794">
        <f>IF(B9794="","",IF(C9794&lt;&gt;"","REMOVE","KEEP"))</f>
        <v/>
      </c>
      <c r="E9794">
        <f>IF(D9794&lt;&gt;"KEEP","",IF(RIGHT(B9794,10)="@gmail.com","Gmail",IF(OR(RIGHT(B9794,12)="@outlook.com",RIGHT(B9794,12)="@hotmail.com",RIGHT(B9794,9)="@live.com"),"Outlook","Domain")))</f>
        <v/>
      </c>
      <c r="F9794">
        <f>IF(B9794="","",IFERROR(RIGHT(B9794,LEN(B9794)-FIND("@",B9794)),""))</f>
        <v/>
      </c>
      <c r="G9794">
        <f>IF(D9794="KEEP",COUNTIF($D$2:D9794,"KEEP"),"")</f>
        <v/>
      </c>
      <c r="H9794">
        <f>IF(D9794="REMOVE",COUNTIF($D$2:D9794,"REMOVE"),"")</f>
        <v/>
      </c>
      <c r="I9794">
        <f>IF(E9794="Gmail",COUNTIF($E$2:E9794,"Gmail"),"")</f>
        <v/>
      </c>
      <c r="J9794">
        <f>IF(E9794="Outlook",COUNTIF($E$2:E9794,"Outlook"),"")</f>
        <v/>
      </c>
      <c r="K9794">
        <f>IF(E9794="Domain",COUNTIF($E$2:E9794,"Domain"),"")</f>
        <v/>
      </c>
    </row>
    <row r="9795">
      <c r="A9795" s="2" t="n"/>
      <c r="B9795">
        <f>LOWER(TRIM(A9795))</f>
        <v/>
      </c>
      <c r="C9795">
        <f>IF(B9795="","",IFERROR(INDEX('Bad Patterns'!$A$2:$A$120,MATCH(1,INDEX(--ISNUMBER(SEARCH('Bad Patterns'!$A$2:$A$120,B9795)),0),0)),""))</f>
        <v/>
      </c>
      <c r="D9795">
        <f>IF(B9795="","",IF(C9795&lt;&gt;"","REMOVE","KEEP"))</f>
        <v/>
      </c>
      <c r="E9795">
        <f>IF(D9795&lt;&gt;"KEEP","",IF(RIGHT(B9795,10)="@gmail.com","Gmail",IF(OR(RIGHT(B9795,12)="@outlook.com",RIGHT(B9795,12)="@hotmail.com",RIGHT(B9795,9)="@live.com"),"Outlook","Domain")))</f>
        <v/>
      </c>
      <c r="F9795">
        <f>IF(B9795="","",IFERROR(RIGHT(B9795,LEN(B9795)-FIND("@",B9795)),""))</f>
        <v/>
      </c>
      <c r="G9795">
        <f>IF(D9795="KEEP",COUNTIF($D$2:D9795,"KEEP"),"")</f>
        <v/>
      </c>
      <c r="H9795">
        <f>IF(D9795="REMOVE",COUNTIF($D$2:D9795,"REMOVE"),"")</f>
        <v/>
      </c>
      <c r="I9795">
        <f>IF(E9795="Gmail",COUNTIF($E$2:E9795,"Gmail"),"")</f>
        <v/>
      </c>
      <c r="J9795">
        <f>IF(E9795="Outlook",COUNTIF($E$2:E9795,"Outlook"),"")</f>
        <v/>
      </c>
      <c r="K9795">
        <f>IF(E9795="Domain",COUNTIF($E$2:E9795,"Domain"),"")</f>
        <v/>
      </c>
    </row>
    <row r="9796">
      <c r="A9796" s="2" t="n"/>
      <c r="B9796">
        <f>LOWER(TRIM(A9796))</f>
        <v/>
      </c>
      <c r="C9796">
        <f>IF(B9796="","",IFERROR(INDEX('Bad Patterns'!$A$2:$A$120,MATCH(1,INDEX(--ISNUMBER(SEARCH('Bad Patterns'!$A$2:$A$120,B9796)),0),0)),""))</f>
        <v/>
      </c>
      <c r="D9796">
        <f>IF(B9796="","",IF(C9796&lt;&gt;"","REMOVE","KEEP"))</f>
        <v/>
      </c>
      <c r="E9796">
        <f>IF(D9796&lt;&gt;"KEEP","",IF(RIGHT(B9796,10)="@gmail.com","Gmail",IF(OR(RIGHT(B9796,12)="@outlook.com",RIGHT(B9796,12)="@hotmail.com",RIGHT(B9796,9)="@live.com"),"Outlook","Domain")))</f>
        <v/>
      </c>
      <c r="F9796">
        <f>IF(B9796="","",IFERROR(RIGHT(B9796,LEN(B9796)-FIND("@",B9796)),""))</f>
        <v/>
      </c>
      <c r="G9796">
        <f>IF(D9796="KEEP",COUNTIF($D$2:D9796,"KEEP"),"")</f>
        <v/>
      </c>
      <c r="H9796">
        <f>IF(D9796="REMOVE",COUNTIF($D$2:D9796,"REMOVE"),"")</f>
        <v/>
      </c>
      <c r="I9796">
        <f>IF(E9796="Gmail",COUNTIF($E$2:E9796,"Gmail"),"")</f>
        <v/>
      </c>
      <c r="J9796">
        <f>IF(E9796="Outlook",COUNTIF($E$2:E9796,"Outlook"),"")</f>
        <v/>
      </c>
      <c r="K9796">
        <f>IF(E9796="Domain",COUNTIF($E$2:E9796,"Domain"),"")</f>
        <v/>
      </c>
    </row>
    <row r="9797">
      <c r="A9797" s="2" t="n"/>
      <c r="B9797">
        <f>LOWER(TRIM(A9797))</f>
        <v/>
      </c>
      <c r="C9797">
        <f>IF(B9797="","",IFERROR(INDEX('Bad Patterns'!$A$2:$A$120,MATCH(1,INDEX(--ISNUMBER(SEARCH('Bad Patterns'!$A$2:$A$120,B9797)),0),0)),""))</f>
        <v/>
      </c>
      <c r="D9797">
        <f>IF(B9797="","",IF(C9797&lt;&gt;"","REMOVE","KEEP"))</f>
        <v/>
      </c>
      <c r="E9797">
        <f>IF(D9797&lt;&gt;"KEEP","",IF(RIGHT(B9797,10)="@gmail.com","Gmail",IF(OR(RIGHT(B9797,12)="@outlook.com",RIGHT(B9797,12)="@hotmail.com",RIGHT(B9797,9)="@live.com"),"Outlook","Domain")))</f>
        <v/>
      </c>
      <c r="F9797">
        <f>IF(B9797="","",IFERROR(RIGHT(B9797,LEN(B9797)-FIND("@",B9797)),""))</f>
        <v/>
      </c>
      <c r="G9797">
        <f>IF(D9797="KEEP",COUNTIF($D$2:D9797,"KEEP"),"")</f>
        <v/>
      </c>
      <c r="H9797">
        <f>IF(D9797="REMOVE",COUNTIF($D$2:D9797,"REMOVE"),"")</f>
        <v/>
      </c>
      <c r="I9797">
        <f>IF(E9797="Gmail",COUNTIF($E$2:E9797,"Gmail"),"")</f>
        <v/>
      </c>
      <c r="J9797">
        <f>IF(E9797="Outlook",COUNTIF($E$2:E9797,"Outlook"),"")</f>
        <v/>
      </c>
      <c r="K9797">
        <f>IF(E9797="Domain",COUNTIF($E$2:E9797,"Domain"),"")</f>
        <v/>
      </c>
    </row>
    <row r="9798">
      <c r="A9798" s="2" t="n"/>
      <c r="B9798">
        <f>LOWER(TRIM(A9798))</f>
        <v/>
      </c>
      <c r="C9798">
        <f>IF(B9798="","",IFERROR(INDEX('Bad Patterns'!$A$2:$A$120,MATCH(1,INDEX(--ISNUMBER(SEARCH('Bad Patterns'!$A$2:$A$120,B9798)),0),0)),""))</f>
        <v/>
      </c>
      <c r="D9798">
        <f>IF(B9798="","",IF(C9798&lt;&gt;"","REMOVE","KEEP"))</f>
        <v/>
      </c>
      <c r="E9798">
        <f>IF(D9798&lt;&gt;"KEEP","",IF(RIGHT(B9798,10)="@gmail.com","Gmail",IF(OR(RIGHT(B9798,12)="@outlook.com",RIGHT(B9798,12)="@hotmail.com",RIGHT(B9798,9)="@live.com"),"Outlook","Domain")))</f>
        <v/>
      </c>
      <c r="F9798">
        <f>IF(B9798="","",IFERROR(RIGHT(B9798,LEN(B9798)-FIND("@",B9798)),""))</f>
        <v/>
      </c>
      <c r="G9798">
        <f>IF(D9798="KEEP",COUNTIF($D$2:D9798,"KEEP"),"")</f>
        <v/>
      </c>
      <c r="H9798">
        <f>IF(D9798="REMOVE",COUNTIF($D$2:D9798,"REMOVE"),"")</f>
        <v/>
      </c>
      <c r="I9798">
        <f>IF(E9798="Gmail",COUNTIF($E$2:E9798,"Gmail"),"")</f>
        <v/>
      </c>
      <c r="J9798">
        <f>IF(E9798="Outlook",COUNTIF($E$2:E9798,"Outlook"),"")</f>
        <v/>
      </c>
      <c r="K9798">
        <f>IF(E9798="Domain",COUNTIF($E$2:E9798,"Domain"),"")</f>
        <v/>
      </c>
    </row>
    <row r="9799">
      <c r="A9799" s="2" t="n"/>
      <c r="B9799">
        <f>LOWER(TRIM(A9799))</f>
        <v/>
      </c>
      <c r="C9799">
        <f>IF(B9799="","",IFERROR(INDEX('Bad Patterns'!$A$2:$A$120,MATCH(1,INDEX(--ISNUMBER(SEARCH('Bad Patterns'!$A$2:$A$120,B9799)),0),0)),""))</f>
        <v/>
      </c>
      <c r="D9799">
        <f>IF(B9799="","",IF(C9799&lt;&gt;"","REMOVE","KEEP"))</f>
        <v/>
      </c>
      <c r="E9799">
        <f>IF(D9799&lt;&gt;"KEEP","",IF(RIGHT(B9799,10)="@gmail.com","Gmail",IF(OR(RIGHT(B9799,12)="@outlook.com",RIGHT(B9799,12)="@hotmail.com",RIGHT(B9799,9)="@live.com"),"Outlook","Domain")))</f>
        <v/>
      </c>
      <c r="F9799">
        <f>IF(B9799="","",IFERROR(RIGHT(B9799,LEN(B9799)-FIND("@",B9799)),""))</f>
        <v/>
      </c>
      <c r="G9799">
        <f>IF(D9799="KEEP",COUNTIF($D$2:D9799,"KEEP"),"")</f>
        <v/>
      </c>
      <c r="H9799">
        <f>IF(D9799="REMOVE",COUNTIF($D$2:D9799,"REMOVE"),"")</f>
        <v/>
      </c>
      <c r="I9799">
        <f>IF(E9799="Gmail",COUNTIF($E$2:E9799,"Gmail"),"")</f>
        <v/>
      </c>
      <c r="J9799">
        <f>IF(E9799="Outlook",COUNTIF($E$2:E9799,"Outlook"),"")</f>
        <v/>
      </c>
      <c r="K9799">
        <f>IF(E9799="Domain",COUNTIF($E$2:E9799,"Domain"),"")</f>
        <v/>
      </c>
    </row>
    <row r="9800">
      <c r="A9800" s="2" t="n"/>
      <c r="B9800">
        <f>LOWER(TRIM(A9800))</f>
        <v/>
      </c>
      <c r="C9800">
        <f>IF(B9800="","",IFERROR(INDEX('Bad Patterns'!$A$2:$A$120,MATCH(1,INDEX(--ISNUMBER(SEARCH('Bad Patterns'!$A$2:$A$120,B9800)),0),0)),""))</f>
        <v/>
      </c>
      <c r="D9800">
        <f>IF(B9800="","",IF(C9800&lt;&gt;"","REMOVE","KEEP"))</f>
        <v/>
      </c>
      <c r="E9800">
        <f>IF(D9800&lt;&gt;"KEEP","",IF(RIGHT(B9800,10)="@gmail.com","Gmail",IF(OR(RIGHT(B9800,12)="@outlook.com",RIGHT(B9800,12)="@hotmail.com",RIGHT(B9800,9)="@live.com"),"Outlook","Domain")))</f>
        <v/>
      </c>
      <c r="F9800">
        <f>IF(B9800="","",IFERROR(RIGHT(B9800,LEN(B9800)-FIND("@",B9800)),""))</f>
        <v/>
      </c>
      <c r="G9800">
        <f>IF(D9800="KEEP",COUNTIF($D$2:D9800,"KEEP"),"")</f>
        <v/>
      </c>
      <c r="H9800">
        <f>IF(D9800="REMOVE",COUNTIF($D$2:D9800,"REMOVE"),"")</f>
        <v/>
      </c>
      <c r="I9800">
        <f>IF(E9800="Gmail",COUNTIF($E$2:E9800,"Gmail"),"")</f>
        <v/>
      </c>
      <c r="J9800">
        <f>IF(E9800="Outlook",COUNTIF($E$2:E9800,"Outlook"),"")</f>
        <v/>
      </c>
      <c r="K9800">
        <f>IF(E9800="Domain",COUNTIF($E$2:E9800,"Domain"),"")</f>
        <v/>
      </c>
    </row>
    <row r="9801">
      <c r="A9801" s="2" t="n"/>
      <c r="B9801">
        <f>LOWER(TRIM(A9801))</f>
        <v/>
      </c>
      <c r="C9801">
        <f>IF(B9801="","",IFERROR(INDEX('Bad Patterns'!$A$2:$A$120,MATCH(1,INDEX(--ISNUMBER(SEARCH('Bad Patterns'!$A$2:$A$120,B9801)),0),0)),""))</f>
        <v/>
      </c>
      <c r="D9801">
        <f>IF(B9801="","",IF(C9801&lt;&gt;"","REMOVE","KEEP"))</f>
        <v/>
      </c>
      <c r="E9801">
        <f>IF(D9801&lt;&gt;"KEEP","",IF(RIGHT(B9801,10)="@gmail.com","Gmail",IF(OR(RIGHT(B9801,12)="@outlook.com",RIGHT(B9801,12)="@hotmail.com",RIGHT(B9801,9)="@live.com"),"Outlook","Domain")))</f>
        <v/>
      </c>
      <c r="F9801">
        <f>IF(B9801="","",IFERROR(RIGHT(B9801,LEN(B9801)-FIND("@",B9801)),""))</f>
        <v/>
      </c>
      <c r="G9801">
        <f>IF(D9801="KEEP",COUNTIF($D$2:D9801,"KEEP"),"")</f>
        <v/>
      </c>
      <c r="H9801">
        <f>IF(D9801="REMOVE",COUNTIF($D$2:D9801,"REMOVE"),"")</f>
        <v/>
      </c>
      <c r="I9801">
        <f>IF(E9801="Gmail",COUNTIF($E$2:E9801,"Gmail"),"")</f>
        <v/>
      </c>
      <c r="J9801">
        <f>IF(E9801="Outlook",COUNTIF($E$2:E9801,"Outlook"),"")</f>
        <v/>
      </c>
      <c r="K9801">
        <f>IF(E9801="Domain",COUNTIF($E$2:E9801,"Domain"),"")</f>
        <v/>
      </c>
    </row>
    <row r="9802">
      <c r="A9802" s="2" t="n"/>
      <c r="B9802">
        <f>LOWER(TRIM(A9802))</f>
        <v/>
      </c>
      <c r="C9802">
        <f>IF(B9802="","",IFERROR(INDEX('Bad Patterns'!$A$2:$A$120,MATCH(1,INDEX(--ISNUMBER(SEARCH('Bad Patterns'!$A$2:$A$120,B9802)),0),0)),""))</f>
        <v/>
      </c>
      <c r="D9802">
        <f>IF(B9802="","",IF(C9802&lt;&gt;"","REMOVE","KEEP"))</f>
        <v/>
      </c>
      <c r="E9802">
        <f>IF(D9802&lt;&gt;"KEEP","",IF(RIGHT(B9802,10)="@gmail.com","Gmail",IF(OR(RIGHT(B9802,12)="@outlook.com",RIGHT(B9802,12)="@hotmail.com",RIGHT(B9802,9)="@live.com"),"Outlook","Domain")))</f>
        <v/>
      </c>
      <c r="F9802">
        <f>IF(B9802="","",IFERROR(RIGHT(B9802,LEN(B9802)-FIND("@",B9802)),""))</f>
        <v/>
      </c>
      <c r="G9802">
        <f>IF(D9802="KEEP",COUNTIF($D$2:D9802,"KEEP"),"")</f>
        <v/>
      </c>
      <c r="H9802">
        <f>IF(D9802="REMOVE",COUNTIF($D$2:D9802,"REMOVE"),"")</f>
        <v/>
      </c>
      <c r="I9802">
        <f>IF(E9802="Gmail",COUNTIF($E$2:E9802,"Gmail"),"")</f>
        <v/>
      </c>
      <c r="J9802">
        <f>IF(E9802="Outlook",COUNTIF($E$2:E9802,"Outlook"),"")</f>
        <v/>
      </c>
      <c r="K9802">
        <f>IF(E9802="Domain",COUNTIF($E$2:E9802,"Domain"),"")</f>
        <v/>
      </c>
    </row>
    <row r="9803">
      <c r="A9803" s="2" t="n"/>
      <c r="B9803">
        <f>LOWER(TRIM(A9803))</f>
        <v/>
      </c>
      <c r="C9803">
        <f>IF(B9803="","",IFERROR(INDEX('Bad Patterns'!$A$2:$A$120,MATCH(1,INDEX(--ISNUMBER(SEARCH('Bad Patterns'!$A$2:$A$120,B9803)),0),0)),""))</f>
        <v/>
      </c>
      <c r="D9803">
        <f>IF(B9803="","",IF(C9803&lt;&gt;"","REMOVE","KEEP"))</f>
        <v/>
      </c>
      <c r="E9803">
        <f>IF(D9803&lt;&gt;"KEEP","",IF(RIGHT(B9803,10)="@gmail.com","Gmail",IF(OR(RIGHT(B9803,12)="@outlook.com",RIGHT(B9803,12)="@hotmail.com",RIGHT(B9803,9)="@live.com"),"Outlook","Domain")))</f>
        <v/>
      </c>
      <c r="F9803">
        <f>IF(B9803="","",IFERROR(RIGHT(B9803,LEN(B9803)-FIND("@",B9803)),""))</f>
        <v/>
      </c>
      <c r="G9803">
        <f>IF(D9803="KEEP",COUNTIF($D$2:D9803,"KEEP"),"")</f>
        <v/>
      </c>
      <c r="H9803">
        <f>IF(D9803="REMOVE",COUNTIF($D$2:D9803,"REMOVE"),"")</f>
        <v/>
      </c>
      <c r="I9803">
        <f>IF(E9803="Gmail",COUNTIF($E$2:E9803,"Gmail"),"")</f>
        <v/>
      </c>
      <c r="J9803">
        <f>IF(E9803="Outlook",COUNTIF($E$2:E9803,"Outlook"),"")</f>
        <v/>
      </c>
      <c r="K9803">
        <f>IF(E9803="Domain",COUNTIF($E$2:E9803,"Domain"),"")</f>
        <v/>
      </c>
    </row>
    <row r="9804">
      <c r="A9804" s="2" t="n"/>
      <c r="B9804">
        <f>LOWER(TRIM(A9804))</f>
        <v/>
      </c>
      <c r="C9804">
        <f>IF(B9804="","",IFERROR(INDEX('Bad Patterns'!$A$2:$A$120,MATCH(1,INDEX(--ISNUMBER(SEARCH('Bad Patterns'!$A$2:$A$120,B9804)),0),0)),""))</f>
        <v/>
      </c>
      <c r="D9804">
        <f>IF(B9804="","",IF(C9804&lt;&gt;"","REMOVE","KEEP"))</f>
        <v/>
      </c>
      <c r="E9804">
        <f>IF(D9804&lt;&gt;"KEEP","",IF(RIGHT(B9804,10)="@gmail.com","Gmail",IF(OR(RIGHT(B9804,12)="@outlook.com",RIGHT(B9804,12)="@hotmail.com",RIGHT(B9804,9)="@live.com"),"Outlook","Domain")))</f>
        <v/>
      </c>
      <c r="F9804">
        <f>IF(B9804="","",IFERROR(RIGHT(B9804,LEN(B9804)-FIND("@",B9804)),""))</f>
        <v/>
      </c>
      <c r="G9804">
        <f>IF(D9804="KEEP",COUNTIF($D$2:D9804,"KEEP"),"")</f>
        <v/>
      </c>
      <c r="H9804">
        <f>IF(D9804="REMOVE",COUNTIF($D$2:D9804,"REMOVE"),"")</f>
        <v/>
      </c>
      <c r="I9804">
        <f>IF(E9804="Gmail",COUNTIF($E$2:E9804,"Gmail"),"")</f>
        <v/>
      </c>
      <c r="J9804">
        <f>IF(E9804="Outlook",COUNTIF($E$2:E9804,"Outlook"),"")</f>
        <v/>
      </c>
      <c r="K9804">
        <f>IF(E9804="Domain",COUNTIF($E$2:E9804,"Domain"),"")</f>
        <v/>
      </c>
    </row>
    <row r="9805">
      <c r="A9805" s="2" t="n"/>
      <c r="B9805">
        <f>LOWER(TRIM(A9805))</f>
        <v/>
      </c>
      <c r="C9805">
        <f>IF(B9805="","",IFERROR(INDEX('Bad Patterns'!$A$2:$A$120,MATCH(1,INDEX(--ISNUMBER(SEARCH('Bad Patterns'!$A$2:$A$120,B9805)),0),0)),""))</f>
        <v/>
      </c>
      <c r="D9805">
        <f>IF(B9805="","",IF(C9805&lt;&gt;"","REMOVE","KEEP"))</f>
        <v/>
      </c>
      <c r="E9805">
        <f>IF(D9805&lt;&gt;"KEEP","",IF(RIGHT(B9805,10)="@gmail.com","Gmail",IF(OR(RIGHT(B9805,12)="@outlook.com",RIGHT(B9805,12)="@hotmail.com",RIGHT(B9805,9)="@live.com"),"Outlook","Domain")))</f>
        <v/>
      </c>
      <c r="F9805">
        <f>IF(B9805="","",IFERROR(RIGHT(B9805,LEN(B9805)-FIND("@",B9805)),""))</f>
        <v/>
      </c>
      <c r="G9805">
        <f>IF(D9805="KEEP",COUNTIF($D$2:D9805,"KEEP"),"")</f>
        <v/>
      </c>
      <c r="H9805">
        <f>IF(D9805="REMOVE",COUNTIF($D$2:D9805,"REMOVE"),"")</f>
        <v/>
      </c>
      <c r="I9805">
        <f>IF(E9805="Gmail",COUNTIF($E$2:E9805,"Gmail"),"")</f>
        <v/>
      </c>
      <c r="J9805">
        <f>IF(E9805="Outlook",COUNTIF($E$2:E9805,"Outlook"),"")</f>
        <v/>
      </c>
      <c r="K9805">
        <f>IF(E9805="Domain",COUNTIF($E$2:E9805,"Domain"),"")</f>
        <v/>
      </c>
    </row>
    <row r="9806">
      <c r="A9806" s="2" t="n"/>
      <c r="B9806">
        <f>LOWER(TRIM(A9806))</f>
        <v/>
      </c>
      <c r="C9806">
        <f>IF(B9806="","",IFERROR(INDEX('Bad Patterns'!$A$2:$A$120,MATCH(1,INDEX(--ISNUMBER(SEARCH('Bad Patterns'!$A$2:$A$120,B9806)),0),0)),""))</f>
        <v/>
      </c>
      <c r="D9806">
        <f>IF(B9806="","",IF(C9806&lt;&gt;"","REMOVE","KEEP"))</f>
        <v/>
      </c>
      <c r="E9806">
        <f>IF(D9806&lt;&gt;"KEEP","",IF(RIGHT(B9806,10)="@gmail.com","Gmail",IF(OR(RIGHT(B9806,12)="@outlook.com",RIGHT(B9806,12)="@hotmail.com",RIGHT(B9806,9)="@live.com"),"Outlook","Domain")))</f>
        <v/>
      </c>
      <c r="F9806">
        <f>IF(B9806="","",IFERROR(RIGHT(B9806,LEN(B9806)-FIND("@",B9806)),""))</f>
        <v/>
      </c>
      <c r="G9806">
        <f>IF(D9806="KEEP",COUNTIF($D$2:D9806,"KEEP"),"")</f>
        <v/>
      </c>
      <c r="H9806">
        <f>IF(D9806="REMOVE",COUNTIF($D$2:D9806,"REMOVE"),"")</f>
        <v/>
      </c>
      <c r="I9806">
        <f>IF(E9806="Gmail",COUNTIF($E$2:E9806,"Gmail"),"")</f>
        <v/>
      </c>
      <c r="J9806">
        <f>IF(E9806="Outlook",COUNTIF($E$2:E9806,"Outlook"),"")</f>
        <v/>
      </c>
      <c r="K9806">
        <f>IF(E9806="Domain",COUNTIF($E$2:E9806,"Domain"),"")</f>
        <v/>
      </c>
    </row>
    <row r="9807">
      <c r="A9807" s="2" t="n"/>
      <c r="B9807">
        <f>LOWER(TRIM(A9807))</f>
        <v/>
      </c>
      <c r="C9807">
        <f>IF(B9807="","",IFERROR(INDEX('Bad Patterns'!$A$2:$A$120,MATCH(1,INDEX(--ISNUMBER(SEARCH('Bad Patterns'!$A$2:$A$120,B9807)),0),0)),""))</f>
        <v/>
      </c>
      <c r="D9807">
        <f>IF(B9807="","",IF(C9807&lt;&gt;"","REMOVE","KEEP"))</f>
        <v/>
      </c>
      <c r="E9807">
        <f>IF(D9807&lt;&gt;"KEEP","",IF(RIGHT(B9807,10)="@gmail.com","Gmail",IF(OR(RIGHT(B9807,12)="@outlook.com",RIGHT(B9807,12)="@hotmail.com",RIGHT(B9807,9)="@live.com"),"Outlook","Domain")))</f>
        <v/>
      </c>
      <c r="F9807">
        <f>IF(B9807="","",IFERROR(RIGHT(B9807,LEN(B9807)-FIND("@",B9807)),""))</f>
        <v/>
      </c>
      <c r="G9807">
        <f>IF(D9807="KEEP",COUNTIF($D$2:D9807,"KEEP"),"")</f>
        <v/>
      </c>
      <c r="H9807">
        <f>IF(D9807="REMOVE",COUNTIF($D$2:D9807,"REMOVE"),"")</f>
        <v/>
      </c>
      <c r="I9807">
        <f>IF(E9807="Gmail",COUNTIF($E$2:E9807,"Gmail"),"")</f>
        <v/>
      </c>
      <c r="J9807">
        <f>IF(E9807="Outlook",COUNTIF($E$2:E9807,"Outlook"),"")</f>
        <v/>
      </c>
      <c r="K9807">
        <f>IF(E9807="Domain",COUNTIF($E$2:E9807,"Domain"),"")</f>
        <v/>
      </c>
    </row>
    <row r="9808">
      <c r="A9808" s="2" t="n"/>
      <c r="B9808">
        <f>LOWER(TRIM(A9808))</f>
        <v/>
      </c>
      <c r="C9808">
        <f>IF(B9808="","",IFERROR(INDEX('Bad Patterns'!$A$2:$A$120,MATCH(1,INDEX(--ISNUMBER(SEARCH('Bad Patterns'!$A$2:$A$120,B9808)),0),0)),""))</f>
        <v/>
      </c>
      <c r="D9808">
        <f>IF(B9808="","",IF(C9808&lt;&gt;"","REMOVE","KEEP"))</f>
        <v/>
      </c>
      <c r="E9808">
        <f>IF(D9808&lt;&gt;"KEEP","",IF(RIGHT(B9808,10)="@gmail.com","Gmail",IF(OR(RIGHT(B9808,12)="@outlook.com",RIGHT(B9808,12)="@hotmail.com",RIGHT(B9808,9)="@live.com"),"Outlook","Domain")))</f>
        <v/>
      </c>
      <c r="F9808">
        <f>IF(B9808="","",IFERROR(RIGHT(B9808,LEN(B9808)-FIND("@",B9808)),""))</f>
        <v/>
      </c>
      <c r="G9808">
        <f>IF(D9808="KEEP",COUNTIF($D$2:D9808,"KEEP"),"")</f>
        <v/>
      </c>
      <c r="H9808">
        <f>IF(D9808="REMOVE",COUNTIF($D$2:D9808,"REMOVE"),"")</f>
        <v/>
      </c>
      <c r="I9808">
        <f>IF(E9808="Gmail",COUNTIF($E$2:E9808,"Gmail"),"")</f>
        <v/>
      </c>
      <c r="J9808">
        <f>IF(E9808="Outlook",COUNTIF($E$2:E9808,"Outlook"),"")</f>
        <v/>
      </c>
      <c r="K9808">
        <f>IF(E9808="Domain",COUNTIF($E$2:E9808,"Domain"),"")</f>
        <v/>
      </c>
    </row>
    <row r="9809">
      <c r="A9809" s="2" t="n"/>
      <c r="B9809">
        <f>LOWER(TRIM(A9809))</f>
        <v/>
      </c>
      <c r="C9809">
        <f>IF(B9809="","",IFERROR(INDEX('Bad Patterns'!$A$2:$A$120,MATCH(1,INDEX(--ISNUMBER(SEARCH('Bad Patterns'!$A$2:$A$120,B9809)),0),0)),""))</f>
        <v/>
      </c>
      <c r="D9809">
        <f>IF(B9809="","",IF(C9809&lt;&gt;"","REMOVE","KEEP"))</f>
        <v/>
      </c>
      <c r="E9809">
        <f>IF(D9809&lt;&gt;"KEEP","",IF(RIGHT(B9809,10)="@gmail.com","Gmail",IF(OR(RIGHT(B9809,12)="@outlook.com",RIGHT(B9809,12)="@hotmail.com",RIGHT(B9809,9)="@live.com"),"Outlook","Domain")))</f>
        <v/>
      </c>
      <c r="F9809">
        <f>IF(B9809="","",IFERROR(RIGHT(B9809,LEN(B9809)-FIND("@",B9809)),""))</f>
        <v/>
      </c>
      <c r="G9809">
        <f>IF(D9809="KEEP",COUNTIF($D$2:D9809,"KEEP"),"")</f>
        <v/>
      </c>
      <c r="H9809">
        <f>IF(D9809="REMOVE",COUNTIF($D$2:D9809,"REMOVE"),"")</f>
        <v/>
      </c>
      <c r="I9809">
        <f>IF(E9809="Gmail",COUNTIF($E$2:E9809,"Gmail"),"")</f>
        <v/>
      </c>
      <c r="J9809">
        <f>IF(E9809="Outlook",COUNTIF($E$2:E9809,"Outlook"),"")</f>
        <v/>
      </c>
      <c r="K9809">
        <f>IF(E9809="Domain",COUNTIF($E$2:E9809,"Domain"),"")</f>
        <v/>
      </c>
    </row>
    <row r="9810">
      <c r="A9810" s="2" t="n"/>
      <c r="B9810">
        <f>LOWER(TRIM(A9810))</f>
        <v/>
      </c>
      <c r="C9810">
        <f>IF(B9810="","",IFERROR(INDEX('Bad Patterns'!$A$2:$A$120,MATCH(1,INDEX(--ISNUMBER(SEARCH('Bad Patterns'!$A$2:$A$120,B9810)),0),0)),""))</f>
        <v/>
      </c>
      <c r="D9810">
        <f>IF(B9810="","",IF(C9810&lt;&gt;"","REMOVE","KEEP"))</f>
        <v/>
      </c>
      <c r="E9810">
        <f>IF(D9810&lt;&gt;"KEEP","",IF(RIGHT(B9810,10)="@gmail.com","Gmail",IF(OR(RIGHT(B9810,12)="@outlook.com",RIGHT(B9810,12)="@hotmail.com",RIGHT(B9810,9)="@live.com"),"Outlook","Domain")))</f>
        <v/>
      </c>
      <c r="F9810">
        <f>IF(B9810="","",IFERROR(RIGHT(B9810,LEN(B9810)-FIND("@",B9810)),""))</f>
        <v/>
      </c>
      <c r="G9810">
        <f>IF(D9810="KEEP",COUNTIF($D$2:D9810,"KEEP"),"")</f>
        <v/>
      </c>
      <c r="H9810">
        <f>IF(D9810="REMOVE",COUNTIF($D$2:D9810,"REMOVE"),"")</f>
        <v/>
      </c>
      <c r="I9810">
        <f>IF(E9810="Gmail",COUNTIF($E$2:E9810,"Gmail"),"")</f>
        <v/>
      </c>
      <c r="J9810">
        <f>IF(E9810="Outlook",COUNTIF($E$2:E9810,"Outlook"),"")</f>
        <v/>
      </c>
      <c r="K9810">
        <f>IF(E9810="Domain",COUNTIF($E$2:E9810,"Domain"),"")</f>
        <v/>
      </c>
    </row>
    <row r="9811">
      <c r="A9811" s="2" t="n"/>
      <c r="B9811">
        <f>LOWER(TRIM(A9811))</f>
        <v/>
      </c>
      <c r="C9811">
        <f>IF(B9811="","",IFERROR(INDEX('Bad Patterns'!$A$2:$A$120,MATCH(1,INDEX(--ISNUMBER(SEARCH('Bad Patterns'!$A$2:$A$120,B9811)),0),0)),""))</f>
        <v/>
      </c>
      <c r="D9811">
        <f>IF(B9811="","",IF(C9811&lt;&gt;"","REMOVE","KEEP"))</f>
        <v/>
      </c>
      <c r="E9811">
        <f>IF(D9811&lt;&gt;"KEEP","",IF(RIGHT(B9811,10)="@gmail.com","Gmail",IF(OR(RIGHT(B9811,12)="@outlook.com",RIGHT(B9811,12)="@hotmail.com",RIGHT(B9811,9)="@live.com"),"Outlook","Domain")))</f>
        <v/>
      </c>
      <c r="F9811">
        <f>IF(B9811="","",IFERROR(RIGHT(B9811,LEN(B9811)-FIND("@",B9811)),""))</f>
        <v/>
      </c>
      <c r="G9811">
        <f>IF(D9811="KEEP",COUNTIF($D$2:D9811,"KEEP"),"")</f>
        <v/>
      </c>
      <c r="H9811">
        <f>IF(D9811="REMOVE",COUNTIF($D$2:D9811,"REMOVE"),"")</f>
        <v/>
      </c>
      <c r="I9811">
        <f>IF(E9811="Gmail",COUNTIF($E$2:E9811,"Gmail"),"")</f>
        <v/>
      </c>
      <c r="J9811">
        <f>IF(E9811="Outlook",COUNTIF($E$2:E9811,"Outlook"),"")</f>
        <v/>
      </c>
      <c r="K9811">
        <f>IF(E9811="Domain",COUNTIF($E$2:E9811,"Domain"),"")</f>
        <v/>
      </c>
    </row>
    <row r="9812">
      <c r="A9812" s="2" t="n"/>
      <c r="B9812">
        <f>LOWER(TRIM(A9812))</f>
        <v/>
      </c>
      <c r="C9812">
        <f>IF(B9812="","",IFERROR(INDEX('Bad Patterns'!$A$2:$A$120,MATCH(1,INDEX(--ISNUMBER(SEARCH('Bad Patterns'!$A$2:$A$120,B9812)),0),0)),""))</f>
        <v/>
      </c>
      <c r="D9812">
        <f>IF(B9812="","",IF(C9812&lt;&gt;"","REMOVE","KEEP"))</f>
        <v/>
      </c>
      <c r="E9812">
        <f>IF(D9812&lt;&gt;"KEEP","",IF(RIGHT(B9812,10)="@gmail.com","Gmail",IF(OR(RIGHT(B9812,12)="@outlook.com",RIGHT(B9812,12)="@hotmail.com",RIGHT(B9812,9)="@live.com"),"Outlook","Domain")))</f>
        <v/>
      </c>
      <c r="F9812">
        <f>IF(B9812="","",IFERROR(RIGHT(B9812,LEN(B9812)-FIND("@",B9812)),""))</f>
        <v/>
      </c>
      <c r="G9812">
        <f>IF(D9812="KEEP",COUNTIF($D$2:D9812,"KEEP"),"")</f>
        <v/>
      </c>
      <c r="H9812">
        <f>IF(D9812="REMOVE",COUNTIF($D$2:D9812,"REMOVE"),"")</f>
        <v/>
      </c>
      <c r="I9812">
        <f>IF(E9812="Gmail",COUNTIF($E$2:E9812,"Gmail"),"")</f>
        <v/>
      </c>
      <c r="J9812">
        <f>IF(E9812="Outlook",COUNTIF($E$2:E9812,"Outlook"),"")</f>
        <v/>
      </c>
      <c r="K9812">
        <f>IF(E9812="Domain",COUNTIF($E$2:E9812,"Domain"),"")</f>
        <v/>
      </c>
    </row>
    <row r="9813">
      <c r="A9813" s="2" t="n"/>
      <c r="B9813">
        <f>LOWER(TRIM(A9813))</f>
        <v/>
      </c>
      <c r="C9813">
        <f>IF(B9813="","",IFERROR(INDEX('Bad Patterns'!$A$2:$A$120,MATCH(1,INDEX(--ISNUMBER(SEARCH('Bad Patterns'!$A$2:$A$120,B9813)),0),0)),""))</f>
        <v/>
      </c>
      <c r="D9813">
        <f>IF(B9813="","",IF(C9813&lt;&gt;"","REMOVE","KEEP"))</f>
        <v/>
      </c>
      <c r="E9813">
        <f>IF(D9813&lt;&gt;"KEEP","",IF(RIGHT(B9813,10)="@gmail.com","Gmail",IF(OR(RIGHT(B9813,12)="@outlook.com",RIGHT(B9813,12)="@hotmail.com",RIGHT(B9813,9)="@live.com"),"Outlook","Domain")))</f>
        <v/>
      </c>
      <c r="F9813">
        <f>IF(B9813="","",IFERROR(RIGHT(B9813,LEN(B9813)-FIND("@",B9813)),""))</f>
        <v/>
      </c>
      <c r="G9813">
        <f>IF(D9813="KEEP",COUNTIF($D$2:D9813,"KEEP"),"")</f>
        <v/>
      </c>
      <c r="H9813">
        <f>IF(D9813="REMOVE",COUNTIF($D$2:D9813,"REMOVE"),"")</f>
        <v/>
      </c>
      <c r="I9813">
        <f>IF(E9813="Gmail",COUNTIF($E$2:E9813,"Gmail"),"")</f>
        <v/>
      </c>
      <c r="J9813">
        <f>IF(E9813="Outlook",COUNTIF($E$2:E9813,"Outlook"),"")</f>
        <v/>
      </c>
      <c r="K9813">
        <f>IF(E9813="Domain",COUNTIF($E$2:E9813,"Domain"),"")</f>
        <v/>
      </c>
    </row>
    <row r="9814">
      <c r="A9814" s="2" t="n"/>
      <c r="B9814">
        <f>LOWER(TRIM(A9814))</f>
        <v/>
      </c>
      <c r="C9814">
        <f>IF(B9814="","",IFERROR(INDEX('Bad Patterns'!$A$2:$A$120,MATCH(1,INDEX(--ISNUMBER(SEARCH('Bad Patterns'!$A$2:$A$120,B9814)),0),0)),""))</f>
        <v/>
      </c>
      <c r="D9814">
        <f>IF(B9814="","",IF(C9814&lt;&gt;"","REMOVE","KEEP"))</f>
        <v/>
      </c>
      <c r="E9814">
        <f>IF(D9814&lt;&gt;"KEEP","",IF(RIGHT(B9814,10)="@gmail.com","Gmail",IF(OR(RIGHT(B9814,12)="@outlook.com",RIGHT(B9814,12)="@hotmail.com",RIGHT(B9814,9)="@live.com"),"Outlook","Domain")))</f>
        <v/>
      </c>
      <c r="F9814">
        <f>IF(B9814="","",IFERROR(RIGHT(B9814,LEN(B9814)-FIND("@",B9814)),""))</f>
        <v/>
      </c>
      <c r="G9814">
        <f>IF(D9814="KEEP",COUNTIF($D$2:D9814,"KEEP"),"")</f>
        <v/>
      </c>
      <c r="H9814">
        <f>IF(D9814="REMOVE",COUNTIF($D$2:D9814,"REMOVE"),"")</f>
        <v/>
      </c>
      <c r="I9814">
        <f>IF(E9814="Gmail",COUNTIF($E$2:E9814,"Gmail"),"")</f>
        <v/>
      </c>
      <c r="J9814">
        <f>IF(E9814="Outlook",COUNTIF($E$2:E9814,"Outlook"),"")</f>
        <v/>
      </c>
      <c r="K9814">
        <f>IF(E9814="Domain",COUNTIF($E$2:E9814,"Domain"),"")</f>
        <v/>
      </c>
    </row>
    <row r="9815">
      <c r="A9815" s="2" t="n"/>
      <c r="B9815">
        <f>LOWER(TRIM(A9815))</f>
        <v/>
      </c>
      <c r="C9815">
        <f>IF(B9815="","",IFERROR(INDEX('Bad Patterns'!$A$2:$A$120,MATCH(1,INDEX(--ISNUMBER(SEARCH('Bad Patterns'!$A$2:$A$120,B9815)),0),0)),""))</f>
        <v/>
      </c>
      <c r="D9815">
        <f>IF(B9815="","",IF(C9815&lt;&gt;"","REMOVE","KEEP"))</f>
        <v/>
      </c>
      <c r="E9815">
        <f>IF(D9815&lt;&gt;"KEEP","",IF(RIGHT(B9815,10)="@gmail.com","Gmail",IF(OR(RIGHT(B9815,12)="@outlook.com",RIGHT(B9815,12)="@hotmail.com",RIGHT(B9815,9)="@live.com"),"Outlook","Domain")))</f>
        <v/>
      </c>
      <c r="F9815">
        <f>IF(B9815="","",IFERROR(RIGHT(B9815,LEN(B9815)-FIND("@",B9815)),""))</f>
        <v/>
      </c>
      <c r="G9815">
        <f>IF(D9815="KEEP",COUNTIF($D$2:D9815,"KEEP"),"")</f>
        <v/>
      </c>
      <c r="H9815">
        <f>IF(D9815="REMOVE",COUNTIF($D$2:D9815,"REMOVE"),"")</f>
        <v/>
      </c>
      <c r="I9815">
        <f>IF(E9815="Gmail",COUNTIF($E$2:E9815,"Gmail"),"")</f>
        <v/>
      </c>
      <c r="J9815">
        <f>IF(E9815="Outlook",COUNTIF($E$2:E9815,"Outlook"),"")</f>
        <v/>
      </c>
      <c r="K9815">
        <f>IF(E9815="Domain",COUNTIF($E$2:E9815,"Domain"),"")</f>
        <v/>
      </c>
    </row>
    <row r="9816">
      <c r="A9816" s="2" t="n"/>
      <c r="B9816">
        <f>LOWER(TRIM(A9816))</f>
        <v/>
      </c>
      <c r="C9816">
        <f>IF(B9816="","",IFERROR(INDEX('Bad Patterns'!$A$2:$A$120,MATCH(1,INDEX(--ISNUMBER(SEARCH('Bad Patterns'!$A$2:$A$120,B9816)),0),0)),""))</f>
        <v/>
      </c>
      <c r="D9816">
        <f>IF(B9816="","",IF(C9816&lt;&gt;"","REMOVE","KEEP"))</f>
        <v/>
      </c>
      <c r="E9816">
        <f>IF(D9816&lt;&gt;"KEEP","",IF(RIGHT(B9816,10)="@gmail.com","Gmail",IF(OR(RIGHT(B9816,12)="@outlook.com",RIGHT(B9816,12)="@hotmail.com",RIGHT(B9816,9)="@live.com"),"Outlook","Domain")))</f>
        <v/>
      </c>
      <c r="F9816">
        <f>IF(B9816="","",IFERROR(RIGHT(B9816,LEN(B9816)-FIND("@",B9816)),""))</f>
        <v/>
      </c>
      <c r="G9816">
        <f>IF(D9816="KEEP",COUNTIF($D$2:D9816,"KEEP"),"")</f>
        <v/>
      </c>
      <c r="H9816">
        <f>IF(D9816="REMOVE",COUNTIF($D$2:D9816,"REMOVE"),"")</f>
        <v/>
      </c>
      <c r="I9816">
        <f>IF(E9816="Gmail",COUNTIF($E$2:E9816,"Gmail"),"")</f>
        <v/>
      </c>
      <c r="J9816">
        <f>IF(E9816="Outlook",COUNTIF($E$2:E9816,"Outlook"),"")</f>
        <v/>
      </c>
      <c r="K9816">
        <f>IF(E9816="Domain",COUNTIF($E$2:E9816,"Domain"),"")</f>
        <v/>
      </c>
    </row>
    <row r="9817">
      <c r="A9817" s="2" t="n"/>
      <c r="B9817">
        <f>LOWER(TRIM(A9817))</f>
        <v/>
      </c>
      <c r="C9817">
        <f>IF(B9817="","",IFERROR(INDEX('Bad Patterns'!$A$2:$A$120,MATCH(1,INDEX(--ISNUMBER(SEARCH('Bad Patterns'!$A$2:$A$120,B9817)),0),0)),""))</f>
        <v/>
      </c>
      <c r="D9817">
        <f>IF(B9817="","",IF(C9817&lt;&gt;"","REMOVE","KEEP"))</f>
        <v/>
      </c>
      <c r="E9817">
        <f>IF(D9817&lt;&gt;"KEEP","",IF(RIGHT(B9817,10)="@gmail.com","Gmail",IF(OR(RIGHT(B9817,12)="@outlook.com",RIGHT(B9817,12)="@hotmail.com",RIGHT(B9817,9)="@live.com"),"Outlook","Domain")))</f>
        <v/>
      </c>
      <c r="F9817">
        <f>IF(B9817="","",IFERROR(RIGHT(B9817,LEN(B9817)-FIND("@",B9817)),""))</f>
        <v/>
      </c>
      <c r="G9817">
        <f>IF(D9817="KEEP",COUNTIF($D$2:D9817,"KEEP"),"")</f>
        <v/>
      </c>
      <c r="H9817">
        <f>IF(D9817="REMOVE",COUNTIF($D$2:D9817,"REMOVE"),"")</f>
        <v/>
      </c>
      <c r="I9817">
        <f>IF(E9817="Gmail",COUNTIF($E$2:E9817,"Gmail"),"")</f>
        <v/>
      </c>
      <c r="J9817">
        <f>IF(E9817="Outlook",COUNTIF($E$2:E9817,"Outlook"),"")</f>
        <v/>
      </c>
      <c r="K9817">
        <f>IF(E9817="Domain",COUNTIF($E$2:E9817,"Domain"),"")</f>
        <v/>
      </c>
    </row>
    <row r="9818">
      <c r="A9818" s="2" t="n"/>
      <c r="B9818">
        <f>LOWER(TRIM(A9818))</f>
        <v/>
      </c>
      <c r="C9818">
        <f>IF(B9818="","",IFERROR(INDEX('Bad Patterns'!$A$2:$A$120,MATCH(1,INDEX(--ISNUMBER(SEARCH('Bad Patterns'!$A$2:$A$120,B9818)),0),0)),""))</f>
        <v/>
      </c>
      <c r="D9818">
        <f>IF(B9818="","",IF(C9818&lt;&gt;"","REMOVE","KEEP"))</f>
        <v/>
      </c>
      <c r="E9818">
        <f>IF(D9818&lt;&gt;"KEEP","",IF(RIGHT(B9818,10)="@gmail.com","Gmail",IF(OR(RIGHT(B9818,12)="@outlook.com",RIGHT(B9818,12)="@hotmail.com",RIGHT(B9818,9)="@live.com"),"Outlook","Domain")))</f>
        <v/>
      </c>
      <c r="F9818">
        <f>IF(B9818="","",IFERROR(RIGHT(B9818,LEN(B9818)-FIND("@",B9818)),""))</f>
        <v/>
      </c>
      <c r="G9818">
        <f>IF(D9818="KEEP",COUNTIF($D$2:D9818,"KEEP"),"")</f>
        <v/>
      </c>
      <c r="H9818">
        <f>IF(D9818="REMOVE",COUNTIF($D$2:D9818,"REMOVE"),"")</f>
        <v/>
      </c>
      <c r="I9818">
        <f>IF(E9818="Gmail",COUNTIF($E$2:E9818,"Gmail"),"")</f>
        <v/>
      </c>
      <c r="J9818">
        <f>IF(E9818="Outlook",COUNTIF($E$2:E9818,"Outlook"),"")</f>
        <v/>
      </c>
      <c r="K9818">
        <f>IF(E9818="Domain",COUNTIF($E$2:E9818,"Domain"),"")</f>
        <v/>
      </c>
    </row>
    <row r="9819">
      <c r="A9819" s="2" t="n"/>
      <c r="B9819">
        <f>LOWER(TRIM(A9819))</f>
        <v/>
      </c>
      <c r="C9819">
        <f>IF(B9819="","",IFERROR(INDEX('Bad Patterns'!$A$2:$A$120,MATCH(1,INDEX(--ISNUMBER(SEARCH('Bad Patterns'!$A$2:$A$120,B9819)),0),0)),""))</f>
        <v/>
      </c>
      <c r="D9819">
        <f>IF(B9819="","",IF(C9819&lt;&gt;"","REMOVE","KEEP"))</f>
        <v/>
      </c>
      <c r="E9819">
        <f>IF(D9819&lt;&gt;"KEEP","",IF(RIGHT(B9819,10)="@gmail.com","Gmail",IF(OR(RIGHT(B9819,12)="@outlook.com",RIGHT(B9819,12)="@hotmail.com",RIGHT(B9819,9)="@live.com"),"Outlook","Domain")))</f>
        <v/>
      </c>
      <c r="F9819">
        <f>IF(B9819="","",IFERROR(RIGHT(B9819,LEN(B9819)-FIND("@",B9819)),""))</f>
        <v/>
      </c>
      <c r="G9819">
        <f>IF(D9819="KEEP",COUNTIF($D$2:D9819,"KEEP"),"")</f>
        <v/>
      </c>
      <c r="H9819">
        <f>IF(D9819="REMOVE",COUNTIF($D$2:D9819,"REMOVE"),"")</f>
        <v/>
      </c>
      <c r="I9819">
        <f>IF(E9819="Gmail",COUNTIF($E$2:E9819,"Gmail"),"")</f>
        <v/>
      </c>
      <c r="J9819">
        <f>IF(E9819="Outlook",COUNTIF($E$2:E9819,"Outlook"),"")</f>
        <v/>
      </c>
      <c r="K9819">
        <f>IF(E9819="Domain",COUNTIF($E$2:E9819,"Domain"),"")</f>
        <v/>
      </c>
    </row>
    <row r="9820">
      <c r="A9820" s="2" t="n"/>
      <c r="B9820">
        <f>LOWER(TRIM(A9820))</f>
        <v/>
      </c>
      <c r="C9820">
        <f>IF(B9820="","",IFERROR(INDEX('Bad Patterns'!$A$2:$A$120,MATCH(1,INDEX(--ISNUMBER(SEARCH('Bad Patterns'!$A$2:$A$120,B9820)),0),0)),""))</f>
        <v/>
      </c>
      <c r="D9820">
        <f>IF(B9820="","",IF(C9820&lt;&gt;"","REMOVE","KEEP"))</f>
        <v/>
      </c>
      <c r="E9820">
        <f>IF(D9820&lt;&gt;"KEEP","",IF(RIGHT(B9820,10)="@gmail.com","Gmail",IF(OR(RIGHT(B9820,12)="@outlook.com",RIGHT(B9820,12)="@hotmail.com",RIGHT(B9820,9)="@live.com"),"Outlook","Domain")))</f>
        <v/>
      </c>
      <c r="F9820">
        <f>IF(B9820="","",IFERROR(RIGHT(B9820,LEN(B9820)-FIND("@",B9820)),""))</f>
        <v/>
      </c>
      <c r="G9820">
        <f>IF(D9820="KEEP",COUNTIF($D$2:D9820,"KEEP"),"")</f>
        <v/>
      </c>
      <c r="H9820">
        <f>IF(D9820="REMOVE",COUNTIF($D$2:D9820,"REMOVE"),"")</f>
        <v/>
      </c>
      <c r="I9820">
        <f>IF(E9820="Gmail",COUNTIF($E$2:E9820,"Gmail"),"")</f>
        <v/>
      </c>
      <c r="J9820">
        <f>IF(E9820="Outlook",COUNTIF($E$2:E9820,"Outlook"),"")</f>
        <v/>
      </c>
      <c r="K9820">
        <f>IF(E9820="Domain",COUNTIF($E$2:E9820,"Domain"),"")</f>
        <v/>
      </c>
    </row>
    <row r="9821">
      <c r="A9821" s="2" t="n"/>
      <c r="B9821">
        <f>LOWER(TRIM(A9821))</f>
        <v/>
      </c>
      <c r="C9821">
        <f>IF(B9821="","",IFERROR(INDEX('Bad Patterns'!$A$2:$A$120,MATCH(1,INDEX(--ISNUMBER(SEARCH('Bad Patterns'!$A$2:$A$120,B9821)),0),0)),""))</f>
        <v/>
      </c>
      <c r="D9821">
        <f>IF(B9821="","",IF(C9821&lt;&gt;"","REMOVE","KEEP"))</f>
        <v/>
      </c>
      <c r="E9821">
        <f>IF(D9821&lt;&gt;"KEEP","",IF(RIGHT(B9821,10)="@gmail.com","Gmail",IF(OR(RIGHT(B9821,12)="@outlook.com",RIGHT(B9821,12)="@hotmail.com",RIGHT(B9821,9)="@live.com"),"Outlook","Domain")))</f>
        <v/>
      </c>
      <c r="F9821">
        <f>IF(B9821="","",IFERROR(RIGHT(B9821,LEN(B9821)-FIND("@",B9821)),""))</f>
        <v/>
      </c>
      <c r="G9821">
        <f>IF(D9821="KEEP",COUNTIF($D$2:D9821,"KEEP"),"")</f>
        <v/>
      </c>
      <c r="H9821">
        <f>IF(D9821="REMOVE",COUNTIF($D$2:D9821,"REMOVE"),"")</f>
        <v/>
      </c>
      <c r="I9821">
        <f>IF(E9821="Gmail",COUNTIF($E$2:E9821,"Gmail"),"")</f>
        <v/>
      </c>
      <c r="J9821">
        <f>IF(E9821="Outlook",COUNTIF($E$2:E9821,"Outlook"),"")</f>
        <v/>
      </c>
      <c r="K9821">
        <f>IF(E9821="Domain",COUNTIF($E$2:E9821,"Domain"),"")</f>
        <v/>
      </c>
    </row>
    <row r="9822">
      <c r="A9822" s="2" t="n"/>
      <c r="B9822">
        <f>LOWER(TRIM(A9822))</f>
        <v/>
      </c>
      <c r="C9822">
        <f>IF(B9822="","",IFERROR(INDEX('Bad Patterns'!$A$2:$A$120,MATCH(1,INDEX(--ISNUMBER(SEARCH('Bad Patterns'!$A$2:$A$120,B9822)),0),0)),""))</f>
        <v/>
      </c>
      <c r="D9822">
        <f>IF(B9822="","",IF(C9822&lt;&gt;"","REMOVE","KEEP"))</f>
        <v/>
      </c>
      <c r="E9822">
        <f>IF(D9822&lt;&gt;"KEEP","",IF(RIGHT(B9822,10)="@gmail.com","Gmail",IF(OR(RIGHT(B9822,12)="@outlook.com",RIGHT(B9822,12)="@hotmail.com",RIGHT(B9822,9)="@live.com"),"Outlook","Domain")))</f>
        <v/>
      </c>
      <c r="F9822">
        <f>IF(B9822="","",IFERROR(RIGHT(B9822,LEN(B9822)-FIND("@",B9822)),""))</f>
        <v/>
      </c>
      <c r="G9822">
        <f>IF(D9822="KEEP",COUNTIF($D$2:D9822,"KEEP"),"")</f>
        <v/>
      </c>
      <c r="H9822">
        <f>IF(D9822="REMOVE",COUNTIF($D$2:D9822,"REMOVE"),"")</f>
        <v/>
      </c>
      <c r="I9822">
        <f>IF(E9822="Gmail",COUNTIF($E$2:E9822,"Gmail"),"")</f>
        <v/>
      </c>
      <c r="J9822">
        <f>IF(E9822="Outlook",COUNTIF($E$2:E9822,"Outlook"),"")</f>
        <v/>
      </c>
      <c r="K9822">
        <f>IF(E9822="Domain",COUNTIF($E$2:E9822,"Domain"),"")</f>
        <v/>
      </c>
    </row>
    <row r="9823">
      <c r="A9823" s="2" t="n"/>
      <c r="B9823">
        <f>LOWER(TRIM(A9823))</f>
        <v/>
      </c>
      <c r="C9823">
        <f>IF(B9823="","",IFERROR(INDEX('Bad Patterns'!$A$2:$A$120,MATCH(1,INDEX(--ISNUMBER(SEARCH('Bad Patterns'!$A$2:$A$120,B9823)),0),0)),""))</f>
        <v/>
      </c>
      <c r="D9823">
        <f>IF(B9823="","",IF(C9823&lt;&gt;"","REMOVE","KEEP"))</f>
        <v/>
      </c>
      <c r="E9823">
        <f>IF(D9823&lt;&gt;"KEEP","",IF(RIGHT(B9823,10)="@gmail.com","Gmail",IF(OR(RIGHT(B9823,12)="@outlook.com",RIGHT(B9823,12)="@hotmail.com",RIGHT(B9823,9)="@live.com"),"Outlook","Domain")))</f>
        <v/>
      </c>
      <c r="F9823">
        <f>IF(B9823="","",IFERROR(RIGHT(B9823,LEN(B9823)-FIND("@",B9823)),""))</f>
        <v/>
      </c>
      <c r="G9823">
        <f>IF(D9823="KEEP",COUNTIF($D$2:D9823,"KEEP"),"")</f>
        <v/>
      </c>
      <c r="H9823">
        <f>IF(D9823="REMOVE",COUNTIF($D$2:D9823,"REMOVE"),"")</f>
        <v/>
      </c>
      <c r="I9823">
        <f>IF(E9823="Gmail",COUNTIF($E$2:E9823,"Gmail"),"")</f>
        <v/>
      </c>
      <c r="J9823">
        <f>IF(E9823="Outlook",COUNTIF($E$2:E9823,"Outlook"),"")</f>
        <v/>
      </c>
      <c r="K9823">
        <f>IF(E9823="Domain",COUNTIF($E$2:E9823,"Domain"),"")</f>
        <v/>
      </c>
    </row>
    <row r="9824">
      <c r="A9824" s="2" t="n"/>
      <c r="B9824">
        <f>LOWER(TRIM(A9824))</f>
        <v/>
      </c>
      <c r="C9824">
        <f>IF(B9824="","",IFERROR(INDEX('Bad Patterns'!$A$2:$A$120,MATCH(1,INDEX(--ISNUMBER(SEARCH('Bad Patterns'!$A$2:$A$120,B9824)),0),0)),""))</f>
        <v/>
      </c>
      <c r="D9824">
        <f>IF(B9824="","",IF(C9824&lt;&gt;"","REMOVE","KEEP"))</f>
        <v/>
      </c>
      <c r="E9824">
        <f>IF(D9824&lt;&gt;"KEEP","",IF(RIGHT(B9824,10)="@gmail.com","Gmail",IF(OR(RIGHT(B9824,12)="@outlook.com",RIGHT(B9824,12)="@hotmail.com",RIGHT(B9824,9)="@live.com"),"Outlook","Domain")))</f>
        <v/>
      </c>
      <c r="F9824">
        <f>IF(B9824="","",IFERROR(RIGHT(B9824,LEN(B9824)-FIND("@",B9824)),""))</f>
        <v/>
      </c>
      <c r="G9824">
        <f>IF(D9824="KEEP",COUNTIF($D$2:D9824,"KEEP"),"")</f>
        <v/>
      </c>
      <c r="H9824">
        <f>IF(D9824="REMOVE",COUNTIF($D$2:D9824,"REMOVE"),"")</f>
        <v/>
      </c>
      <c r="I9824">
        <f>IF(E9824="Gmail",COUNTIF($E$2:E9824,"Gmail"),"")</f>
        <v/>
      </c>
      <c r="J9824">
        <f>IF(E9824="Outlook",COUNTIF($E$2:E9824,"Outlook"),"")</f>
        <v/>
      </c>
      <c r="K9824">
        <f>IF(E9824="Domain",COUNTIF($E$2:E9824,"Domain"),"")</f>
        <v/>
      </c>
    </row>
    <row r="9825">
      <c r="A9825" s="2" t="n"/>
      <c r="B9825">
        <f>LOWER(TRIM(A9825))</f>
        <v/>
      </c>
      <c r="C9825">
        <f>IF(B9825="","",IFERROR(INDEX('Bad Patterns'!$A$2:$A$120,MATCH(1,INDEX(--ISNUMBER(SEARCH('Bad Patterns'!$A$2:$A$120,B9825)),0),0)),""))</f>
        <v/>
      </c>
      <c r="D9825">
        <f>IF(B9825="","",IF(C9825&lt;&gt;"","REMOVE","KEEP"))</f>
        <v/>
      </c>
      <c r="E9825">
        <f>IF(D9825&lt;&gt;"KEEP","",IF(RIGHT(B9825,10)="@gmail.com","Gmail",IF(OR(RIGHT(B9825,12)="@outlook.com",RIGHT(B9825,12)="@hotmail.com",RIGHT(B9825,9)="@live.com"),"Outlook","Domain")))</f>
        <v/>
      </c>
      <c r="F9825">
        <f>IF(B9825="","",IFERROR(RIGHT(B9825,LEN(B9825)-FIND("@",B9825)),""))</f>
        <v/>
      </c>
      <c r="G9825">
        <f>IF(D9825="KEEP",COUNTIF($D$2:D9825,"KEEP"),"")</f>
        <v/>
      </c>
      <c r="H9825">
        <f>IF(D9825="REMOVE",COUNTIF($D$2:D9825,"REMOVE"),"")</f>
        <v/>
      </c>
      <c r="I9825">
        <f>IF(E9825="Gmail",COUNTIF($E$2:E9825,"Gmail"),"")</f>
        <v/>
      </c>
      <c r="J9825">
        <f>IF(E9825="Outlook",COUNTIF($E$2:E9825,"Outlook"),"")</f>
        <v/>
      </c>
      <c r="K9825">
        <f>IF(E9825="Domain",COUNTIF($E$2:E9825,"Domain"),"")</f>
        <v/>
      </c>
    </row>
    <row r="9826">
      <c r="A9826" s="2" t="n"/>
      <c r="B9826">
        <f>LOWER(TRIM(A9826))</f>
        <v/>
      </c>
      <c r="C9826">
        <f>IF(B9826="","",IFERROR(INDEX('Bad Patterns'!$A$2:$A$120,MATCH(1,INDEX(--ISNUMBER(SEARCH('Bad Patterns'!$A$2:$A$120,B9826)),0),0)),""))</f>
        <v/>
      </c>
      <c r="D9826">
        <f>IF(B9826="","",IF(C9826&lt;&gt;"","REMOVE","KEEP"))</f>
        <v/>
      </c>
      <c r="E9826">
        <f>IF(D9826&lt;&gt;"KEEP","",IF(RIGHT(B9826,10)="@gmail.com","Gmail",IF(OR(RIGHT(B9826,12)="@outlook.com",RIGHT(B9826,12)="@hotmail.com",RIGHT(B9826,9)="@live.com"),"Outlook","Domain")))</f>
        <v/>
      </c>
      <c r="F9826">
        <f>IF(B9826="","",IFERROR(RIGHT(B9826,LEN(B9826)-FIND("@",B9826)),""))</f>
        <v/>
      </c>
      <c r="G9826">
        <f>IF(D9826="KEEP",COUNTIF($D$2:D9826,"KEEP"),"")</f>
        <v/>
      </c>
      <c r="H9826">
        <f>IF(D9826="REMOVE",COUNTIF($D$2:D9826,"REMOVE"),"")</f>
        <v/>
      </c>
      <c r="I9826">
        <f>IF(E9826="Gmail",COUNTIF($E$2:E9826,"Gmail"),"")</f>
        <v/>
      </c>
      <c r="J9826">
        <f>IF(E9826="Outlook",COUNTIF($E$2:E9826,"Outlook"),"")</f>
        <v/>
      </c>
      <c r="K9826">
        <f>IF(E9826="Domain",COUNTIF($E$2:E9826,"Domain"),"")</f>
        <v/>
      </c>
    </row>
    <row r="9827">
      <c r="A9827" s="2" t="n"/>
      <c r="B9827">
        <f>LOWER(TRIM(A9827))</f>
        <v/>
      </c>
      <c r="C9827">
        <f>IF(B9827="","",IFERROR(INDEX('Bad Patterns'!$A$2:$A$120,MATCH(1,INDEX(--ISNUMBER(SEARCH('Bad Patterns'!$A$2:$A$120,B9827)),0),0)),""))</f>
        <v/>
      </c>
      <c r="D9827">
        <f>IF(B9827="","",IF(C9827&lt;&gt;"","REMOVE","KEEP"))</f>
        <v/>
      </c>
      <c r="E9827">
        <f>IF(D9827&lt;&gt;"KEEP","",IF(RIGHT(B9827,10)="@gmail.com","Gmail",IF(OR(RIGHT(B9827,12)="@outlook.com",RIGHT(B9827,12)="@hotmail.com",RIGHT(B9827,9)="@live.com"),"Outlook","Domain")))</f>
        <v/>
      </c>
      <c r="F9827">
        <f>IF(B9827="","",IFERROR(RIGHT(B9827,LEN(B9827)-FIND("@",B9827)),""))</f>
        <v/>
      </c>
      <c r="G9827">
        <f>IF(D9827="KEEP",COUNTIF($D$2:D9827,"KEEP"),"")</f>
        <v/>
      </c>
      <c r="H9827">
        <f>IF(D9827="REMOVE",COUNTIF($D$2:D9827,"REMOVE"),"")</f>
        <v/>
      </c>
      <c r="I9827">
        <f>IF(E9827="Gmail",COUNTIF($E$2:E9827,"Gmail"),"")</f>
        <v/>
      </c>
      <c r="J9827">
        <f>IF(E9827="Outlook",COUNTIF($E$2:E9827,"Outlook"),"")</f>
        <v/>
      </c>
      <c r="K9827">
        <f>IF(E9827="Domain",COUNTIF($E$2:E9827,"Domain"),"")</f>
        <v/>
      </c>
    </row>
    <row r="9828">
      <c r="A9828" s="2" t="n"/>
      <c r="B9828">
        <f>LOWER(TRIM(A9828))</f>
        <v/>
      </c>
      <c r="C9828">
        <f>IF(B9828="","",IFERROR(INDEX('Bad Patterns'!$A$2:$A$120,MATCH(1,INDEX(--ISNUMBER(SEARCH('Bad Patterns'!$A$2:$A$120,B9828)),0),0)),""))</f>
        <v/>
      </c>
      <c r="D9828">
        <f>IF(B9828="","",IF(C9828&lt;&gt;"","REMOVE","KEEP"))</f>
        <v/>
      </c>
      <c r="E9828">
        <f>IF(D9828&lt;&gt;"KEEP","",IF(RIGHT(B9828,10)="@gmail.com","Gmail",IF(OR(RIGHT(B9828,12)="@outlook.com",RIGHT(B9828,12)="@hotmail.com",RIGHT(B9828,9)="@live.com"),"Outlook","Domain")))</f>
        <v/>
      </c>
      <c r="F9828">
        <f>IF(B9828="","",IFERROR(RIGHT(B9828,LEN(B9828)-FIND("@",B9828)),""))</f>
        <v/>
      </c>
      <c r="G9828">
        <f>IF(D9828="KEEP",COUNTIF($D$2:D9828,"KEEP"),"")</f>
        <v/>
      </c>
      <c r="H9828">
        <f>IF(D9828="REMOVE",COUNTIF($D$2:D9828,"REMOVE"),"")</f>
        <v/>
      </c>
      <c r="I9828">
        <f>IF(E9828="Gmail",COUNTIF($E$2:E9828,"Gmail"),"")</f>
        <v/>
      </c>
      <c r="J9828">
        <f>IF(E9828="Outlook",COUNTIF($E$2:E9828,"Outlook"),"")</f>
        <v/>
      </c>
      <c r="K9828">
        <f>IF(E9828="Domain",COUNTIF($E$2:E9828,"Domain"),"")</f>
        <v/>
      </c>
    </row>
    <row r="9829">
      <c r="A9829" s="2" t="n"/>
      <c r="B9829">
        <f>LOWER(TRIM(A9829))</f>
        <v/>
      </c>
      <c r="C9829">
        <f>IF(B9829="","",IFERROR(INDEX('Bad Patterns'!$A$2:$A$120,MATCH(1,INDEX(--ISNUMBER(SEARCH('Bad Patterns'!$A$2:$A$120,B9829)),0),0)),""))</f>
        <v/>
      </c>
      <c r="D9829">
        <f>IF(B9829="","",IF(C9829&lt;&gt;"","REMOVE","KEEP"))</f>
        <v/>
      </c>
      <c r="E9829">
        <f>IF(D9829&lt;&gt;"KEEP","",IF(RIGHT(B9829,10)="@gmail.com","Gmail",IF(OR(RIGHT(B9829,12)="@outlook.com",RIGHT(B9829,12)="@hotmail.com",RIGHT(B9829,9)="@live.com"),"Outlook","Domain")))</f>
        <v/>
      </c>
      <c r="F9829">
        <f>IF(B9829="","",IFERROR(RIGHT(B9829,LEN(B9829)-FIND("@",B9829)),""))</f>
        <v/>
      </c>
      <c r="G9829">
        <f>IF(D9829="KEEP",COUNTIF($D$2:D9829,"KEEP"),"")</f>
        <v/>
      </c>
      <c r="H9829">
        <f>IF(D9829="REMOVE",COUNTIF($D$2:D9829,"REMOVE"),"")</f>
        <v/>
      </c>
      <c r="I9829">
        <f>IF(E9829="Gmail",COUNTIF($E$2:E9829,"Gmail"),"")</f>
        <v/>
      </c>
      <c r="J9829">
        <f>IF(E9829="Outlook",COUNTIF($E$2:E9829,"Outlook"),"")</f>
        <v/>
      </c>
      <c r="K9829">
        <f>IF(E9829="Domain",COUNTIF($E$2:E9829,"Domain"),"")</f>
        <v/>
      </c>
    </row>
    <row r="9830">
      <c r="A9830" s="2" t="n"/>
      <c r="B9830">
        <f>LOWER(TRIM(A9830))</f>
        <v/>
      </c>
      <c r="C9830">
        <f>IF(B9830="","",IFERROR(INDEX('Bad Patterns'!$A$2:$A$120,MATCH(1,INDEX(--ISNUMBER(SEARCH('Bad Patterns'!$A$2:$A$120,B9830)),0),0)),""))</f>
        <v/>
      </c>
      <c r="D9830">
        <f>IF(B9830="","",IF(C9830&lt;&gt;"","REMOVE","KEEP"))</f>
        <v/>
      </c>
      <c r="E9830">
        <f>IF(D9830&lt;&gt;"KEEP","",IF(RIGHT(B9830,10)="@gmail.com","Gmail",IF(OR(RIGHT(B9830,12)="@outlook.com",RIGHT(B9830,12)="@hotmail.com",RIGHT(B9830,9)="@live.com"),"Outlook","Domain")))</f>
        <v/>
      </c>
      <c r="F9830">
        <f>IF(B9830="","",IFERROR(RIGHT(B9830,LEN(B9830)-FIND("@",B9830)),""))</f>
        <v/>
      </c>
      <c r="G9830">
        <f>IF(D9830="KEEP",COUNTIF($D$2:D9830,"KEEP"),"")</f>
        <v/>
      </c>
      <c r="H9830">
        <f>IF(D9830="REMOVE",COUNTIF($D$2:D9830,"REMOVE"),"")</f>
        <v/>
      </c>
      <c r="I9830">
        <f>IF(E9830="Gmail",COUNTIF($E$2:E9830,"Gmail"),"")</f>
        <v/>
      </c>
      <c r="J9830">
        <f>IF(E9830="Outlook",COUNTIF($E$2:E9830,"Outlook"),"")</f>
        <v/>
      </c>
      <c r="K9830">
        <f>IF(E9830="Domain",COUNTIF($E$2:E9830,"Domain"),"")</f>
        <v/>
      </c>
    </row>
    <row r="9831">
      <c r="A9831" s="2" t="n"/>
      <c r="B9831">
        <f>LOWER(TRIM(A9831))</f>
        <v/>
      </c>
      <c r="C9831">
        <f>IF(B9831="","",IFERROR(INDEX('Bad Patterns'!$A$2:$A$120,MATCH(1,INDEX(--ISNUMBER(SEARCH('Bad Patterns'!$A$2:$A$120,B9831)),0),0)),""))</f>
        <v/>
      </c>
      <c r="D9831">
        <f>IF(B9831="","",IF(C9831&lt;&gt;"","REMOVE","KEEP"))</f>
        <v/>
      </c>
      <c r="E9831">
        <f>IF(D9831&lt;&gt;"KEEP","",IF(RIGHT(B9831,10)="@gmail.com","Gmail",IF(OR(RIGHT(B9831,12)="@outlook.com",RIGHT(B9831,12)="@hotmail.com",RIGHT(B9831,9)="@live.com"),"Outlook","Domain")))</f>
        <v/>
      </c>
      <c r="F9831">
        <f>IF(B9831="","",IFERROR(RIGHT(B9831,LEN(B9831)-FIND("@",B9831)),""))</f>
        <v/>
      </c>
      <c r="G9831">
        <f>IF(D9831="KEEP",COUNTIF($D$2:D9831,"KEEP"),"")</f>
        <v/>
      </c>
      <c r="H9831">
        <f>IF(D9831="REMOVE",COUNTIF($D$2:D9831,"REMOVE"),"")</f>
        <v/>
      </c>
      <c r="I9831">
        <f>IF(E9831="Gmail",COUNTIF($E$2:E9831,"Gmail"),"")</f>
        <v/>
      </c>
      <c r="J9831">
        <f>IF(E9831="Outlook",COUNTIF($E$2:E9831,"Outlook"),"")</f>
        <v/>
      </c>
      <c r="K9831">
        <f>IF(E9831="Domain",COUNTIF($E$2:E9831,"Domain"),"")</f>
        <v/>
      </c>
    </row>
    <row r="9832">
      <c r="A9832" s="2" t="n"/>
      <c r="B9832">
        <f>LOWER(TRIM(A9832))</f>
        <v/>
      </c>
      <c r="C9832">
        <f>IF(B9832="","",IFERROR(INDEX('Bad Patterns'!$A$2:$A$120,MATCH(1,INDEX(--ISNUMBER(SEARCH('Bad Patterns'!$A$2:$A$120,B9832)),0),0)),""))</f>
        <v/>
      </c>
      <c r="D9832">
        <f>IF(B9832="","",IF(C9832&lt;&gt;"","REMOVE","KEEP"))</f>
        <v/>
      </c>
      <c r="E9832">
        <f>IF(D9832&lt;&gt;"KEEP","",IF(RIGHT(B9832,10)="@gmail.com","Gmail",IF(OR(RIGHT(B9832,12)="@outlook.com",RIGHT(B9832,12)="@hotmail.com",RIGHT(B9832,9)="@live.com"),"Outlook","Domain")))</f>
        <v/>
      </c>
      <c r="F9832">
        <f>IF(B9832="","",IFERROR(RIGHT(B9832,LEN(B9832)-FIND("@",B9832)),""))</f>
        <v/>
      </c>
      <c r="G9832">
        <f>IF(D9832="KEEP",COUNTIF($D$2:D9832,"KEEP"),"")</f>
        <v/>
      </c>
      <c r="H9832">
        <f>IF(D9832="REMOVE",COUNTIF($D$2:D9832,"REMOVE"),"")</f>
        <v/>
      </c>
      <c r="I9832">
        <f>IF(E9832="Gmail",COUNTIF($E$2:E9832,"Gmail"),"")</f>
        <v/>
      </c>
      <c r="J9832">
        <f>IF(E9832="Outlook",COUNTIF($E$2:E9832,"Outlook"),"")</f>
        <v/>
      </c>
      <c r="K9832">
        <f>IF(E9832="Domain",COUNTIF($E$2:E9832,"Domain"),"")</f>
        <v/>
      </c>
    </row>
    <row r="9833">
      <c r="A9833" s="2" t="n"/>
      <c r="B9833">
        <f>LOWER(TRIM(A9833))</f>
        <v/>
      </c>
      <c r="C9833">
        <f>IF(B9833="","",IFERROR(INDEX('Bad Patterns'!$A$2:$A$120,MATCH(1,INDEX(--ISNUMBER(SEARCH('Bad Patterns'!$A$2:$A$120,B9833)),0),0)),""))</f>
        <v/>
      </c>
      <c r="D9833">
        <f>IF(B9833="","",IF(C9833&lt;&gt;"","REMOVE","KEEP"))</f>
        <v/>
      </c>
      <c r="E9833">
        <f>IF(D9833&lt;&gt;"KEEP","",IF(RIGHT(B9833,10)="@gmail.com","Gmail",IF(OR(RIGHT(B9833,12)="@outlook.com",RIGHT(B9833,12)="@hotmail.com",RIGHT(B9833,9)="@live.com"),"Outlook","Domain")))</f>
        <v/>
      </c>
      <c r="F9833">
        <f>IF(B9833="","",IFERROR(RIGHT(B9833,LEN(B9833)-FIND("@",B9833)),""))</f>
        <v/>
      </c>
      <c r="G9833">
        <f>IF(D9833="KEEP",COUNTIF($D$2:D9833,"KEEP"),"")</f>
        <v/>
      </c>
      <c r="H9833">
        <f>IF(D9833="REMOVE",COUNTIF($D$2:D9833,"REMOVE"),"")</f>
        <v/>
      </c>
      <c r="I9833">
        <f>IF(E9833="Gmail",COUNTIF($E$2:E9833,"Gmail"),"")</f>
        <v/>
      </c>
      <c r="J9833">
        <f>IF(E9833="Outlook",COUNTIF($E$2:E9833,"Outlook"),"")</f>
        <v/>
      </c>
      <c r="K9833">
        <f>IF(E9833="Domain",COUNTIF($E$2:E9833,"Domain"),"")</f>
        <v/>
      </c>
    </row>
    <row r="9834">
      <c r="A9834" s="2" t="n"/>
      <c r="B9834">
        <f>LOWER(TRIM(A9834))</f>
        <v/>
      </c>
      <c r="C9834">
        <f>IF(B9834="","",IFERROR(INDEX('Bad Patterns'!$A$2:$A$120,MATCH(1,INDEX(--ISNUMBER(SEARCH('Bad Patterns'!$A$2:$A$120,B9834)),0),0)),""))</f>
        <v/>
      </c>
      <c r="D9834">
        <f>IF(B9834="","",IF(C9834&lt;&gt;"","REMOVE","KEEP"))</f>
        <v/>
      </c>
      <c r="E9834">
        <f>IF(D9834&lt;&gt;"KEEP","",IF(RIGHT(B9834,10)="@gmail.com","Gmail",IF(OR(RIGHT(B9834,12)="@outlook.com",RIGHT(B9834,12)="@hotmail.com",RIGHT(B9834,9)="@live.com"),"Outlook","Domain")))</f>
        <v/>
      </c>
      <c r="F9834">
        <f>IF(B9834="","",IFERROR(RIGHT(B9834,LEN(B9834)-FIND("@",B9834)),""))</f>
        <v/>
      </c>
      <c r="G9834">
        <f>IF(D9834="KEEP",COUNTIF($D$2:D9834,"KEEP"),"")</f>
        <v/>
      </c>
      <c r="H9834">
        <f>IF(D9834="REMOVE",COUNTIF($D$2:D9834,"REMOVE"),"")</f>
        <v/>
      </c>
      <c r="I9834">
        <f>IF(E9834="Gmail",COUNTIF($E$2:E9834,"Gmail"),"")</f>
        <v/>
      </c>
      <c r="J9834">
        <f>IF(E9834="Outlook",COUNTIF($E$2:E9834,"Outlook"),"")</f>
        <v/>
      </c>
      <c r="K9834">
        <f>IF(E9834="Domain",COUNTIF($E$2:E9834,"Domain"),"")</f>
        <v/>
      </c>
    </row>
    <row r="9835">
      <c r="A9835" s="2" t="n"/>
      <c r="B9835">
        <f>LOWER(TRIM(A9835))</f>
        <v/>
      </c>
      <c r="C9835">
        <f>IF(B9835="","",IFERROR(INDEX('Bad Patterns'!$A$2:$A$120,MATCH(1,INDEX(--ISNUMBER(SEARCH('Bad Patterns'!$A$2:$A$120,B9835)),0),0)),""))</f>
        <v/>
      </c>
      <c r="D9835">
        <f>IF(B9835="","",IF(C9835&lt;&gt;"","REMOVE","KEEP"))</f>
        <v/>
      </c>
      <c r="E9835">
        <f>IF(D9835&lt;&gt;"KEEP","",IF(RIGHT(B9835,10)="@gmail.com","Gmail",IF(OR(RIGHT(B9835,12)="@outlook.com",RIGHT(B9835,12)="@hotmail.com",RIGHT(B9835,9)="@live.com"),"Outlook","Domain")))</f>
        <v/>
      </c>
      <c r="F9835">
        <f>IF(B9835="","",IFERROR(RIGHT(B9835,LEN(B9835)-FIND("@",B9835)),""))</f>
        <v/>
      </c>
      <c r="G9835">
        <f>IF(D9835="KEEP",COUNTIF($D$2:D9835,"KEEP"),"")</f>
        <v/>
      </c>
      <c r="H9835">
        <f>IF(D9835="REMOVE",COUNTIF($D$2:D9835,"REMOVE"),"")</f>
        <v/>
      </c>
      <c r="I9835">
        <f>IF(E9835="Gmail",COUNTIF($E$2:E9835,"Gmail"),"")</f>
        <v/>
      </c>
      <c r="J9835">
        <f>IF(E9835="Outlook",COUNTIF($E$2:E9835,"Outlook"),"")</f>
        <v/>
      </c>
      <c r="K9835">
        <f>IF(E9835="Domain",COUNTIF($E$2:E9835,"Domain"),"")</f>
        <v/>
      </c>
    </row>
    <row r="9836">
      <c r="A9836" s="2" t="n"/>
      <c r="B9836">
        <f>LOWER(TRIM(A9836))</f>
        <v/>
      </c>
      <c r="C9836">
        <f>IF(B9836="","",IFERROR(INDEX('Bad Patterns'!$A$2:$A$120,MATCH(1,INDEX(--ISNUMBER(SEARCH('Bad Patterns'!$A$2:$A$120,B9836)),0),0)),""))</f>
        <v/>
      </c>
      <c r="D9836">
        <f>IF(B9836="","",IF(C9836&lt;&gt;"","REMOVE","KEEP"))</f>
        <v/>
      </c>
      <c r="E9836">
        <f>IF(D9836&lt;&gt;"KEEP","",IF(RIGHT(B9836,10)="@gmail.com","Gmail",IF(OR(RIGHT(B9836,12)="@outlook.com",RIGHT(B9836,12)="@hotmail.com",RIGHT(B9836,9)="@live.com"),"Outlook","Domain")))</f>
        <v/>
      </c>
      <c r="F9836">
        <f>IF(B9836="","",IFERROR(RIGHT(B9836,LEN(B9836)-FIND("@",B9836)),""))</f>
        <v/>
      </c>
      <c r="G9836">
        <f>IF(D9836="KEEP",COUNTIF($D$2:D9836,"KEEP"),"")</f>
        <v/>
      </c>
      <c r="H9836">
        <f>IF(D9836="REMOVE",COUNTIF($D$2:D9836,"REMOVE"),"")</f>
        <v/>
      </c>
      <c r="I9836">
        <f>IF(E9836="Gmail",COUNTIF($E$2:E9836,"Gmail"),"")</f>
        <v/>
      </c>
      <c r="J9836">
        <f>IF(E9836="Outlook",COUNTIF($E$2:E9836,"Outlook"),"")</f>
        <v/>
      </c>
      <c r="K9836">
        <f>IF(E9836="Domain",COUNTIF($E$2:E9836,"Domain"),"")</f>
        <v/>
      </c>
    </row>
    <row r="9837">
      <c r="A9837" s="2" t="n"/>
      <c r="B9837">
        <f>LOWER(TRIM(A9837))</f>
        <v/>
      </c>
      <c r="C9837">
        <f>IF(B9837="","",IFERROR(INDEX('Bad Patterns'!$A$2:$A$120,MATCH(1,INDEX(--ISNUMBER(SEARCH('Bad Patterns'!$A$2:$A$120,B9837)),0),0)),""))</f>
        <v/>
      </c>
      <c r="D9837">
        <f>IF(B9837="","",IF(C9837&lt;&gt;"","REMOVE","KEEP"))</f>
        <v/>
      </c>
      <c r="E9837">
        <f>IF(D9837&lt;&gt;"KEEP","",IF(RIGHT(B9837,10)="@gmail.com","Gmail",IF(OR(RIGHT(B9837,12)="@outlook.com",RIGHT(B9837,12)="@hotmail.com",RIGHT(B9837,9)="@live.com"),"Outlook","Domain")))</f>
        <v/>
      </c>
      <c r="F9837">
        <f>IF(B9837="","",IFERROR(RIGHT(B9837,LEN(B9837)-FIND("@",B9837)),""))</f>
        <v/>
      </c>
      <c r="G9837">
        <f>IF(D9837="KEEP",COUNTIF($D$2:D9837,"KEEP"),"")</f>
        <v/>
      </c>
      <c r="H9837">
        <f>IF(D9837="REMOVE",COUNTIF($D$2:D9837,"REMOVE"),"")</f>
        <v/>
      </c>
      <c r="I9837">
        <f>IF(E9837="Gmail",COUNTIF($E$2:E9837,"Gmail"),"")</f>
        <v/>
      </c>
      <c r="J9837">
        <f>IF(E9837="Outlook",COUNTIF($E$2:E9837,"Outlook"),"")</f>
        <v/>
      </c>
      <c r="K9837">
        <f>IF(E9837="Domain",COUNTIF($E$2:E9837,"Domain"),"")</f>
        <v/>
      </c>
    </row>
    <row r="9838">
      <c r="A9838" s="2" t="n"/>
      <c r="B9838">
        <f>LOWER(TRIM(A9838))</f>
        <v/>
      </c>
      <c r="C9838">
        <f>IF(B9838="","",IFERROR(INDEX('Bad Patterns'!$A$2:$A$120,MATCH(1,INDEX(--ISNUMBER(SEARCH('Bad Patterns'!$A$2:$A$120,B9838)),0),0)),""))</f>
        <v/>
      </c>
      <c r="D9838">
        <f>IF(B9838="","",IF(C9838&lt;&gt;"","REMOVE","KEEP"))</f>
        <v/>
      </c>
      <c r="E9838">
        <f>IF(D9838&lt;&gt;"KEEP","",IF(RIGHT(B9838,10)="@gmail.com","Gmail",IF(OR(RIGHT(B9838,12)="@outlook.com",RIGHT(B9838,12)="@hotmail.com",RIGHT(B9838,9)="@live.com"),"Outlook","Domain")))</f>
        <v/>
      </c>
      <c r="F9838">
        <f>IF(B9838="","",IFERROR(RIGHT(B9838,LEN(B9838)-FIND("@",B9838)),""))</f>
        <v/>
      </c>
      <c r="G9838">
        <f>IF(D9838="KEEP",COUNTIF($D$2:D9838,"KEEP"),"")</f>
        <v/>
      </c>
      <c r="H9838">
        <f>IF(D9838="REMOVE",COUNTIF($D$2:D9838,"REMOVE"),"")</f>
        <v/>
      </c>
      <c r="I9838">
        <f>IF(E9838="Gmail",COUNTIF($E$2:E9838,"Gmail"),"")</f>
        <v/>
      </c>
      <c r="J9838">
        <f>IF(E9838="Outlook",COUNTIF($E$2:E9838,"Outlook"),"")</f>
        <v/>
      </c>
      <c r="K9838">
        <f>IF(E9838="Domain",COUNTIF($E$2:E9838,"Domain"),"")</f>
        <v/>
      </c>
    </row>
    <row r="9839">
      <c r="A9839" s="2" t="n"/>
      <c r="B9839">
        <f>LOWER(TRIM(A9839))</f>
        <v/>
      </c>
      <c r="C9839">
        <f>IF(B9839="","",IFERROR(INDEX('Bad Patterns'!$A$2:$A$120,MATCH(1,INDEX(--ISNUMBER(SEARCH('Bad Patterns'!$A$2:$A$120,B9839)),0),0)),""))</f>
        <v/>
      </c>
      <c r="D9839">
        <f>IF(B9839="","",IF(C9839&lt;&gt;"","REMOVE","KEEP"))</f>
        <v/>
      </c>
      <c r="E9839">
        <f>IF(D9839&lt;&gt;"KEEP","",IF(RIGHT(B9839,10)="@gmail.com","Gmail",IF(OR(RIGHT(B9839,12)="@outlook.com",RIGHT(B9839,12)="@hotmail.com",RIGHT(B9839,9)="@live.com"),"Outlook","Domain")))</f>
        <v/>
      </c>
      <c r="F9839">
        <f>IF(B9839="","",IFERROR(RIGHT(B9839,LEN(B9839)-FIND("@",B9839)),""))</f>
        <v/>
      </c>
      <c r="G9839">
        <f>IF(D9839="KEEP",COUNTIF($D$2:D9839,"KEEP"),"")</f>
        <v/>
      </c>
      <c r="H9839">
        <f>IF(D9839="REMOVE",COUNTIF($D$2:D9839,"REMOVE"),"")</f>
        <v/>
      </c>
      <c r="I9839">
        <f>IF(E9839="Gmail",COUNTIF($E$2:E9839,"Gmail"),"")</f>
        <v/>
      </c>
      <c r="J9839">
        <f>IF(E9839="Outlook",COUNTIF($E$2:E9839,"Outlook"),"")</f>
        <v/>
      </c>
      <c r="K9839">
        <f>IF(E9839="Domain",COUNTIF($E$2:E9839,"Domain"),"")</f>
        <v/>
      </c>
    </row>
    <row r="9840">
      <c r="A9840" s="2" t="n"/>
      <c r="B9840">
        <f>LOWER(TRIM(A9840))</f>
        <v/>
      </c>
      <c r="C9840">
        <f>IF(B9840="","",IFERROR(INDEX('Bad Patterns'!$A$2:$A$120,MATCH(1,INDEX(--ISNUMBER(SEARCH('Bad Patterns'!$A$2:$A$120,B9840)),0),0)),""))</f>
        <v/>
      </c>
      <c r="D9840">
        <f>IF(B9840="","",IF(C9840&lt;&gt;"","REMOVE","KEEP"))</f>
        <v/>
      </c>
      <c r="E9840">
        <f>IF(D9840&lt;&gt;"KEEP","",IF(RIGHT(B9840,10)="@gmail.com","Gmail",IF(OR(RIGHT(B9840,12)="@outlook.com",RIGHT(B9840,12)="@hotmail.com",RIGHT(B9840,9)="@live.com"),"Outlook","Domain")))</f>
        <v/>
      </c>
      <c r="F9840">
        <f>IF(B9840="","",IFERROR(RIGHT(B9840,LEN(B9840)-FIND("@",B9840)),""))</f>
        <v/>
      </c>
      <c r="G9840">
        <f>IF(D9840="KEEP",COUNTIF($D$2:D9840,"KEEP"),"")</f>
        <v/>
      </c>
      <c r="H9840">
        <f>IF(D9840="REMOVE",COUNTIF($D$2:D9840,"REMOVE"),"")</f>
        <v/>
      </c>
      <c r="I9840">
        <f>IF(E9840="Gmail",COUNTIF($E$2:E9840,"Gmail"),"")</f>
        <v/>
      </c>
      <c r="J9840">
        <f>IF(E9840="Outlook",COUNTIF($E$2:E9840,"Outlook"),"")</f>
        <v/>
      </c>
      <c r="K9840">
        <f>IF(E9840="Domain",COUNTIF($E$2:E9840,"Domain"),"")</f>
        <v/>
      </c>
    </row>
    <row r="9841">
      <c r="A9841" s="2" t="n"/>
      <c r="B9841">
        <f>LOWER(TRIM(A9841))</f>
        <v/>
      </c>
      <c r="C9841">
        <f>IF(B9841="","",IFERROR(INDEX('Bad Patterns'!$A$2:$A$120,MATCH(1,INDEX(--ISNUMBER(SEARCH('Bad Patterns'!$A$2:$A$120,B9841)),0),0)),""))</f>
        <v/>
      </c>
      <c r="D9841">
        <f>IF(B9841="","",IF(C9841&lt;&gt;"","REMOVE","KEEP"))</f>
        <v/>
      </c>
      <c r="E9841">
        <f>IF(D9841&lt;&gt;"KEEP","",IF(RIGHT(B9841,10)="@gmail.com","Gmail",IF(OR(RIGHT(B9841,12)="@outlook.com",RIGHT(B9841,12)="@hotmail.com",RIGHT(B9841,9)="@live.com"),"Outlook","Domain")))</f>
        <v/>
      </c>
      <c r="F9841">
        <f>IF(B9841="","",IFERROR(RIGHT(B9841,LEN(B9841)-FIND("@",B9841)),""))</f>
        <v/>
      </c>
      <c r="G9841">
        <f>IF(D9841="KEEP",COUNTIF($D$2:D9841,"KEEP"),"")</f>
        <v/>
      </c>
      <c r="H9841">
        <f>IF(D9841="REMOVE",COUNTIF($D$2:D9841,"REMOVE"),"")</f>
        <v/>
      </c>
      <c r="I9841">
        <f>IF(E9841="Gmail",COUNTIF($E$2:E9841,"Gmail"),"")</f>
        <v/>
      </c>
      <c r="J9841">
        <f>IF(E9841="Outlook",COUNTIF($E$2:E9841,"Outlook"),"")</f>
        <v/>
      </c>
      <c r="K9841">
        <f>IF(E9841="Domain",COUNTIF($E$2:E9841,"Domain"),"")</f>
        <v/>
      </c>
    </row>
    <row r="9842">
      <c r="A9842" s="2" t="n"/>
      <c r="B9842">
        <f>LOWER(TRIM(A9842))</f>
        <v/>
      </c>
      <c r="C9842">
        <f>IF(B9842="","",IFERROR(INDEX('Bad Patterns'!$A$2:$A$120,MATCH(1,INDEX(--ISNUMBER(SEARCH('Bad Patterns'!$A$2:$A$120,B9842)),0),0)),""))</f>
        <v/>
      </c>
      <c r="D9842">
        <f>IF(B9842="","",IF(C9842&lt;&gt;"","REMOVE","KEEP"))</f>
        <v/>
      </c>
      <c r="E9842">
        <f>IF(D9842&lt;&gt;"KEEP","",IF(RIGHT(B9842,10)="@gmail.com","Gmail",IF(OR(RIGHT(B9842,12)="@outlook.com",RIGHT(B9842,12)="@hotmail.com",RIGHT(B9842,9)="@live.com"),"Outlook","Domain")))</f>
        <v/>
      </c>
      <c r="F9842">
        <f>IF(B9842="","",IFERROR(RIGHT(B9842,LEN(B9842)-FIND("@",B9842)),""))</f>
        <v/>
      </c>
      <c r="G9842">
        <f>IF(D9842="KEEP",COUNTIF($D$2:D9842,"KEEP"),"")</f>
        <v/>
      </c>
      <c r="H9842">
        <f>IF(D9842="REMOVE",COUNTIF($D$2:D9842,"REMOVE"),"")</f>
        <v/>
      </c>
      <c r="I9842">
        <f>IF(E9842="Gmail",COUNTIF($E$2:E9842,"Gmail"),"")</f>
        <v/>
      </c>
      <c r="J9842">
        <f>IF(E9842="Outlook",COUNTIF($E$2:E9842,"Outlook"),"")</f>
        <v/>
      </c>
      <c r="K9842">
        <f>IF(E9842="Domain",COUNTIF($E$2:E9842,"Domain"),"")</f>
        <v/>
      </c>
    </row>
    <row r="9843">
      <c r="A9843" s="2" t="n"/>
      <c r="B9843">
        <f>LOWER(TRIM(A9843))</f>
        <v/>
      </c>
      <c r="C9843">
        <f>IF(B9843="","",IFERROR(INDEX('Bad Patterns'!$A$2:$A$120,MATCH(1,INDEX(--ISNUMBER(SEARCH('Bad Patterns'!$A$2:$A$120,B9843)),0),0)),""))</f>
        <v/>
      </c>
      <c r="D9843">
        <f>IF(B9843="","",IF(C9843&lt;&gt;"","REMOVE","KEEP"))</f>
        <v/>
      </c>
      <c r="E9843">
        <f>IF(D9843&lt;&gt;"KEEP","",IF(RIGHT(B9843,10)="@gmail.com","Gmail",IF(OR(RIGHT(B9843,12)="@outlook.com",RIGHT(B9843,12)="@hotmail.com",RIGHT(B9843,9)="@live.com"),"Outlook","Domain")))</f>
        <v/>
      </c>
      <c r="F9843">
        <f>IF(B9843="","",IFERROR(RIGHT(B9843,LEN(B9843)-FIND("@",B9843)),""))</f>
        <v/>
      </c>
      <c r="G9843">
        <f>IF(D9843="KEEP",COUNTIF($D$2:D9843,"KEEP"),"")</f>
        <v/>
      </c>
      <c r="H9843">
        <f>IF(D9843="REMOVE",COUNTIF($D$2:D9843,"REMOVE"),"")</f>
        <v/>
      </c>
      <c r="I9843">
        <f>IF(E9843="Gmail",COUNTIF($E$2:E9843,"Gmail"),"")</f>
        <v/>
      </c>
      <c r="J9843">
        <f>IF(E9843="Outlook",COUNTIF($E$2:E9843,"Outlook"),"")</f>
        <v/>
      </c>
      <c r="K9843">
        <f>IF(E9843="Domain",COUNTIF($E$2:E9843,"Domain"),"")</f>
        <v/>
      </c>
    </row>
    <row r="9844">
      <c r="A9844" s="2" t="n"/>
      <c r="B9844">
        <f>LOWER(TRIM(A9844))</f>
        <v/>
      </c>
      <c r="C9844">
        <f>IF(B9844="","",IFERROR(INDEX('Bad Patterns'!$A$2:$A$120,MATCH(1,INDEX(--ISNUMBER(SEARCH('Bad Patterns'!$A$2:$A$120,B9844)),0),0)),""))</f>
        <v/>
      </c>
      <c r="D9844">
        <f>IF(B9844="","",IF(C9844&lt;&gt;"","REMOVE","KEEP"))</f>
        <v/>
      </c>
      <c r="E9844">
        <f>IF(D9844&lt;&gt;"KEEP","",IF(RIGHT(B9844,10)="@gmail.com","Gmail",IF(OR(RIGHT(B9844,12)="@outlook.com",RIGHT(B9844,12)="@hotmail.com",RIGHT(B9844,9)="@live.com"),"Outlook","Domain")))</f>
        <v/>
      </c>
      <c r="F9844">
        <f>IF(B9844="","",IFERROR(RIGHT(B9844,LEN(B9844)-FIND("@",B9844)),""))</f>
        <v/>
      </c>
      <c r="G9844">
        <f>IF(D9844="KEEP",COUNTIF($D$2:D9844,"KEEP"),"")</f>
        <v/>
      </c>
      <c r="H9844">
        <f>IF(D9844="REMOVE",COUNTIF($D$2:D9844,"REMOVE"),"")</f>
        <v/>
      </c>
      <c r="I9844">
        <f>IF(E9844="Gmail",COUNTIF($E$2:E9844,"Gmail"),"")</f>
        <v/>
      </c>
      <c r="J9844">
        <f>IF(E9844="Outlook",COUNTIF($E$2:E9844,"Outlook"),"")</f>
        <v/>
      </c>
      <c r="K9844">
        <f>IF(E9844="Domain",COUNTIF($E$2:E9844,"Domain"),"")</f>
        <v/>
      </c>
    </row>
    <row r="9845">
      <c r="A9845" s="2" t="n"/>
      <c r="B9845">
        <f>LOWER(TRIM(A9845))</f>
        <v/>
      </c>
      <c r="C9845">
        <f>IF(B9845="","",IFERROR(INDEX('Bad Patterns'!$A$2:$A$120,MATCH(1,INDEX(--ISNUMBER(SEARCH('Bad Patterns'!$A$2:$A$120,B9845)),0),0)),""))</f>
        <v/>
      </c>
      <c r="D9845">
        <f>IF(B9845="","",IF(C9845&lt;&gt;"","REMOVE","KEEP"))</f>
        <v/>
      </c>
      <c r="E9845">
        <f>IF(D9845&lt;&gt;"KEEP","",IF(RIGHT(B9845,10)="@gmail.com","Gmail",IF(OR(RIGHT(B9845,12)="@outlook.com",RIGHT(B9845,12)="@hotmail.com",RIGHT(B9845,9)="@live.com"),"Outlook","Domain")))</f>
        <v/>
      </c>
      <c r="F9845">
        <f>IF(B9845="","",IFERROR(RIGHT(B9845,LEN(B9845)-FIND("@",B9845)),""))</f>
        <v/>
      </c>
      <c r="G9845">
        <f>IF(D9845="KEEP",COUNTIF($D$2:D9845,"KEEP"),"")</f>
        <v/>
      </c>
      <c r="H9845">
        <f>IF(D9845="REMOVE",COUNTIF($D$2:D9845,"REMOVE"),"")</f>
        <v/>
      </c>
      <c r="I9845">
        <f>IF(E9845="Gmail",COUNTIF($E$2:E9845,"Gmail"),"")</f>
        <v/>
      </c>
      <c r="J9845">
        <f>IF(E9845="Outlook",COUNTIF($E$2:E9845,"Outlook"),"")</f>
        <v/>
      </c>
      <c r="K9845">
        <f>IF(E9845="Domain",COUNTIF($E$2:E9845,"Domain"),"")</f>
        <v/>
      </c>
    </row>
    <row r="9846">
      <c r="A9846" s="2" t="n"/>
      <c r="B9846">
        <f>LOWER(TRIM(A9846))</f>
        <v/>
      </c>
      <c r="C9846">
        <f>IF(B9846="","",IFERROR(INDEX('Bad Patterns'!$A$2:$A$120,MATCH(1,INDEX(--ISNUMBER(SEARCH('Bad Patterns'!$A$2:$A$120,B9846)),0),0)),""))</f>
        <v/>
      </c>
      <c r="D9846">
        <f>IF(B9846="","",IF(C9846&lt;&gt;"","REMOVE","KEEP"))</f>
        <v/>
      </c>
      <c r="E9846">
        <f>IF(D9846&lt;&gt;"KEEP","",IF(RIGHT(B9846,10)="@gmail.com","Gmail",IF(OR(RIGHT(B9846,12)="@outlook.com",RIGHT(B9846,12)="@hotmail.com",RIGHT(B9846,9)="@live.com"),"Outlook","Domain")))</f>
        <v/>
      </c>
      <c r="F9846">
        <f>IF(B9846="","",IFERROR(RIGHT(B9846,LEN(B9846)-FIND("@",B9846)),""))</f>
        <v/>
      </c>
      <c r="G9846">
        <f>IF(D9846="KEEP",COUNTIF($D$2:D9846,"KEEP"),"")</f>
        <v/>
      </c>
      <c r="H9846">
        <f>IF(D9846="REMOVE",COUNTIF($D$2:D9846,"REMOVE"),"")</f>
        <v/>
      </c>
      <c r="I9846">
        <f>IF(E9846="Gmail",COUNTIF($E$2:E9846,"Gmail"),"")</f>
        <v/>
      </c>
      <c r="J9846">
        <f>IF(E9846="Outlook",COUNTIF($E$2:E9846,"Outlook"),"")</f>
        <v/>
      </c>
      <c r="K9846">
        <f>IF(E9846="Domain",COUNTIF($E$2:E9846,"Domain"),"")</f>
        <v/>
      </c>
    </row>
    <row r="9847">
      <c r="A9847" s="2" t="n"/>
      <c r="B9847">
        <f>LOWER(TRIM(A9847))</f>
        <v/>
      </c>
      <c r="C9847">
        <f>IF(B9847="","",IFERROR(INDEX('Bad Patterns'!$A$2:$A$120,MATCH(1,INDEX(--ISNUMBER(SEARCH('Bad Patterns'!$A$2:$A$120,B9847)),0),0)),""))</f>
        <v/>
      </c>
      <c r="D9847">
        <f>IF(B9847="","",IF(C9847&lt;&gt;"","REMOVE","KEEP"))</f>
        <v/>
      </c>
      <c r="E9847">
        <f>IF(D9847&lt;&gt;"KEEP","",IF(RIGHT(B9847,10)="@gmail.com","Gmail",IF(OR(RIGHT(B9847,12)="@outlook.com",RIGHT(B9847,12)="@hotmail.com",RIGHT(B9847,9)="@live.com"),"Outlook","Domain")))</f>
        <v/>
      </c>
      <c r="F9847">
        <f>IF(B9847="","",IFERROR(RIGHT(B9847,LEN(B9847)-FIND("@",B9847)),""))</f>
        <v/>
      </c>
      <c r="G9847">
        <f>IF(D9847="KEEP",COUNTIF($D$2:D9847,"KEEP"),"")</f>
        <v/>
      </c>
      <c r="H9847">
        <f>IF(D9847="REMOVE",COUNTIF($D$2:D9847,"REMOVE"),"")</f>
        <v/>
      </c>
      <c r="I9847">
        <f>IF(E9847="Gmail",COUNTIF($E$2:E9847,"Gmail"),"")</f>
        <v/>
      </c>
      <c r="J9847">
        <f>IF(E9847="Outlook",COUNTIF($E$2:E9847,"Outlook"),"")</f>
        <v/>
      </c>
      <c r="K9847">
        <f>IF(E9847="Domain",COUNTIF($E$2:E9847,"Domain"),"")</f>
        <v/>
      </c>
    </row>
    <row r="9848">
      <c r="A9848" s="2" t="n"/>
      <c r="B9848">
        <f>LOWER(TRIM(A9848))</f>
        <v/>
      </c>
      <c r="C9848">
        <f>IF(B9848="","",IFERROR(INDEX('Bad Patterns'!$A$2:$A$120,MATCH(1,INDEX(--ISNUMBER(SEARCH('Bad Patterns'!$A$2:$A$120,B9848)),0),0)),""))</f>
        <v/>
      </c>
      <c r="D9848">
        <f>IF(B9848="","",IF(C9848&lt;&gt;"","REMOVE","KEEP"))</f>
        <v/>
      </c>
      <c r="E9848">
        <f>IF(D9848&lt;&gt;"KEEP","",IF(RIGHT(B9848,10)="@gmail.com","Gmail",IF(OR(RIGHT(B9848,12)="@outlook.com",RIGHT(B9848,12)="@hotmail.com",RIGHT(B9848,9)="@live.com"),"Outlook","Domain")))</f>
        <v/>
      </c>
      <c r="F9848">
        <f>IF(B9848="","",IFERROR(RIGHT(B9848,LEN(B9848)-FIND("@",B9848)),""))</f>
        <v/>
      </c>
      <c r="G9848">
        <f>IF(D9848="KEEP",COUNTIF($D$2:D9848,"KEEP"),"")</f>
        <v/>
      </c>
      <c r="H9848">
        <f>IF(D9848="REMOVE",COUNTIF($D$2:D9848,"REMOVE"),"")</f>
        <v/>
      </c>
      <c r="I9848">
        <f>IF(E9848="Gmail",COUNTIF($E$2:E9848,"Gmail"),"")</f>
        <v/>
      </c>
      <c r="J9848">
        <f>IF(E9848="Outlook",COUNTIF($E$2:E9848,"Outlook"),"")</f>
        <v/>
      </c>
      <c r="K9848">
        <f>IF(E9848="Domain",COUNTIF($E$2:E9848,"Domain"),"")</f>
        <v/>
      </c>
    </row>
    <row r="9849">
      <c r="A9849" s="2" t="n"/>
      <c r="B9849">
        <f>LOWER(TRIM(A9849))</f>
        <v/>
      </c>
      <c r="C9849">
        <f>IF(B9849="","",IFERROR(INDEX('Bad Patterns'!$A$2:$A$120,MATCH(1,INDEX(--ISNUMBER(SEARCH('Bad Patterns'!$A$2:$A$120,B9849)),0),0)),""))</f>
        <v/>
      </c>
      <c r="D9849">
        <f>IF(B9849="","",IF(C9849&lt;&gt;"","REMOVE","KEEP"))</f>
        <v/>
      </c>
      <c r="E9849">
        <f>IF(D9849&lt;&gt;"KEEP","",IF(RIGHT(B9849,10)="@gmail.com","Gmail",IF(OR(RIGHT(B9849,12)="@outlook.com",RIGHT(B9849,12)="@hotmail.com",RIGHT(B9849,9)="@live.com"),"Outlook","Domain")))</f>
        <v/>
      </c>
      <c r="F9849">
        <f>IF(B9849="","",IFERROR(RIGHT(B9849,LEN(B9849)-FIND("@",B9849)),""))</f>
        <v/>
      </c>
      <c r="G9849">
        <f>IF(D9849="KEEP",COUNTIF($D$2:D9849,"KEEP"),"")</f>
        <v/>
      </c>
      <c r="H9849">
        <f>IF(D9849="REMOVE",COUNTIF($D$2:D9849,"REMOVE"),"")</f>
        <v/>
      </c>
      <c r="I9849">
        <f>IF(E9849="Gmail",COUNTIF($E$2:E9849,"Gmail"),"")</f>
        <v/>
      </c>
      <c r="J9849">
        <f>IF(E9849="Outlook",COUNTIF($E$2:E9849,"Outlook"),"")</f>
        <v/>
      </c>
      <c r="K9849">
        <f>IF(E9849="Domain",COUNTIF($E$2:E9849,"Domain"),"")</f>
        <v/>
      </c>
    </row>
    <row r="9850">
      <c r="A9850" s="2" t="n"/>
      <c r="B9850">
        <f>LOWER(TRIM(A9850))</f>
        <v/>
      </c>
      <c r="C9850">
        <f>IF(B9850="","",IFERROR(INDEX('Bad Patterns'!$A$2:$A$120,MATCH(1,INDEX(--ISNUMBER(SEARCH('Bad Patterns'!$A$2:$A$120,B9850)),0),0)),""))</f>
        <v/>
      </c>
      <c r="D9850">
        <f>IF(B9850="","",IF(C9850&lt;&gt;"","REMOVE","KEEP"))</f>
        <v/>
      </c>
      <c r="E9850">
        <f>IF(D9850&lt;&gt;"KEEP","",IF(RIGHT(B9850,10)="@gmail.com","Gmail",IF(OR(RIGHT(B9850,12)="@outlook.com",RIGHT(B9850,12)="@hotmail.com",RIGHT(B9850,9)="@live.com"),"Outlook","Domain")))</f>
        <v/>
      </c>
      <c r="F9850">
        <f>IF(B9850="","",IFERROR(RIGHT(B9850,LEN(B9850)-FIND("@",B9850)),""))</f>
        <v/>
      </c>
      <c r="G9850">
        <f>IF(D9850="KEEP",COUNTIF($D$2:D9850,"KEEP"),"")</f>
        <v/>
      </c>
      <c r="H9850">
        <f>IF(D9850="REMOVE",COUNTIF($D$2:D9850,"REMOVE"),"")</f>
        <v/>
      </c>
      <c r="I9850">
        <f>IF(E9850="Gmail",COUNTIF($E$2:E9850,"Gmail"),"")</f>
        <v/>
      </c>
      <c r="J9850">
        <f>IF(E9850="Outlook",COUNTIF($E$2:E9850,"Outlook"),"")</f>
        <v/>
      </c>
      <c r="K9850">
        <f>IF(E9850="Domain",COUNTIF($E$2:E9850,"Domain"),"")</f>
        <v/>
      </c>
    </row>
    <row r="9851">
      <c r="A9851" s="2" t="n"/>
      <c r="B9851">
        <f>LOWER(TRIM(A9851))</f>
        <v/>
      </c>
      <c r="C9851">
        <f>IF(B9851="","",IFERROR(INDEX('Bad Patterns'!$A$2:$A$120,MATCH(1,INDEX(--ISNUMBER(SEARCH('Bad Patterns'!$A$2:$A$120,B9851)),0),0)),""))</f>
        <v/>
      </c>
      <c r="D9851">
        <f>IF(B9851="","",IF(C9851&lt;&gt;"","REMOVE","KEEP"))</f>
        <v/>
      </c>
      <c r="E9851">
        <f>IF(D9851&lt;&gt;"KEEP","",IF(RIGHT(B9851,10)="@gmail.com","Gmail",IF(OR(RIGHT(B9851,12)="@outlook.com",RIGHT(B9851,12)="@hotmail.com",RIGHT(B9851,9)="@live.com"),"Outlook","Domain")))</f>
        <v/>
      </c>
      <c r="F9851">
        <f>IF(B9851="","",IFERROR(RIGHT(B9851,LEN(B9851)-FIND("@",B9851)),""))</f>
        <v/>
      </c>
      <c r="G9851">
        <f>IF(D9851="KEEP",COUNTIF($D$2:D9851,"KEEP"),"")</f>
        <v/>
      </c>
      <c r="H9851">
        <f>IF(D9851="REMOVE",COUNTIF($D$2:D9851,"REMOVE"),"")</f>
        <v/>
      </c>
      <c r="I9851">
        <f>IF(E9851="Gmail",COUNTIF($E$2:E9851,"Gmail"),"")</f>
        <v/>
      </c>
      <c r="J9851">
        <f>IF(E9851="Outlook",COUNTIF($E$2:E9851,"Outlook"),"")</f>
        <v/>
      </c>
      <c r="K9851">
        <f>IF(E9851="Domain",COUNTIF($E$2:E9851,"Domain"),"")</f>
        <v/>
      </c>
    </row>
    <row r="9852">
      <c r="A9852" s="2" t="n"/>
      <c r="B9852">
        <f>LOWER(TRIM(A9852))</f>
        <v/>
      </c>
      <c r="C9852">
        <f>IF(B9852="","",IFERROR(INDEX('Bad Patterns'!$A$2:$A$120,MATCH(1,INDEX(--ISNUMBER(SEARCH('Bad Patterns'!$A$2:$A$120,B9852)),0),0)),""))</f>
        <v/>
      </c>
      <c r="D9852">
        <f>IF(B9852="","",IF(C9852&lt;&gt;"","REMOVE","KEEP"))</f>
        <v/>
      </c>
      <c r="E9852">
        <f>IF(D9852&lt;&gt;"KEEP","",IF(RIGHT(B9852,10)="@gmail.com","Gmail",IF(OR(RIGHT(B9852,12)="@outlook.com",RIGHT(B9852,12)="@hotmail.com",RIGHT(B9852,9)="@live.com"),"Outlook","Domain")))</f>
        <v/>
      </c>
      <c r="F9852">
        <f>IF(B9852="","",IFERROR(RIGHT(B9852,LEN(B9852)-FIND("@",B9852)),""))</f>
        <v/>
      </c>
      <c r="G9852">
        <f>IF(D9852="KEEP",COUNTIF($D$2:D9852,"KEEP"),"")</f>
        <v/>
      </c>
      <c r="H9852">
        <f>IF(D9852="REMOVE",COUNTIF($D$2:D9852,"REMOVE"),"")</f>
        <v/>
      </c>
      <c r="I9852">
        <f>IF(E9852="Gmail",COUNTIF($E$2:E9852,"Gmail"),"")</f>
        <v/>
      </c>
      <c r="J9852">
        <f>IF(E9852="Outlook",COUNTIF($E$2:E9852,"Outlook"),"")</f>
        <v/>
      </c>
      <c r="K9852">
        <f>IF(E9852="Domain",COUNTIF($E$2:E9852,"Domain"),"")</f>
        <v/>
      </c>
    </row>
    <row r="9853">
      <c r="A9853" s="2" t="n"/>
      <c r="B9853">
        <f>LOWER(TRIM(A9853))</f>
        <v/>
      </c>
      <c r="C9853">
        <f>IF(B9853="","",IFERROR(INDEX('Bad Patterns'!$A$2:$A$120,MATCH(1,INDEX(--ISNUMBER(SEARCH('Bad Patterns'!$A$2:$A$120,B9853)),0),0)),""))</f>
        <v/>
      </c>
      <c r="D9853">
        <f>IF(B9853="","",IF(C9853&lt;&gt;"","REMOVE","KEEP"))</f>
        <v/>
      </c>
      <c r="E9853">
        <f>IF(D9853&lt;&gt;"KEEP","",IF(RIGHT(B9853,10)="@gmail.com","Gmail",IF(OR(RIGHT(B9853,12)="@outlook.com",RIGHT(B9853,12)="@hotmail.com",RIGHT(B9853,9)="@live.com"),"Outlook","Domain")))</f>
        <v/>
      </c>
      <c r="F9853">
        <f>IF(B9853="","",IFERROR(RIGHT(B9853,LEN(B9853)-FIND("@",B9853)),""))</f>
        <v/>
      </c>
      <c r="G9853">
        <f>IF(D9853="KEEP",COUNTIF($D$2:D9853,"KEEP"),"")</f>
        <v/>
      </c>
      <c r="H9853">
        <f>IF(D9853="REMOVE",COUNTIF($D$2:D9853,"REMOVE"),"")</f>
        <v/>
      </c>
      <c r="I9853">
        <f>IF(E9853="Gmail",COUNTIF($E$2:E9853,"Gmail"),"")</f>
        <v/>
      </c>
      <c r="J9853">
        <f>IF(E9853="Outlook",COUNTIF($E$2:E9853,"Outlook"),"")</f>
        <v/>
      </c>
      <c r="K9853">
        <f>IF(E9853="Domain",COUNTIF($E$2:E9853,"Domain"),"")</f>
        <v/>
      </c>
    </row>
    <row r="9854">
      <c r="A9854" s="2" t="n"/>
      <c r="B9854">
        <f>LOWER(TRIM(A9854))</f>
        <v/>
      </c>
      <c r="C9854">
        <f>IF(B9854="","",IFERROR(INDEX('Bad Patterns'!$A$2:$A$120,MATCH(1,INDEX(--ISNUMBER(SEARCH('Bad Patterns'!$A$2:$A$120,B9854)),0),0)),""))</f>
        <v/>
      </c>
      <c r="D9854">
        <f>IF(B9854="","",IF(C9854&lt;&gt;"","REMOVE","KEEP"))</f>
        <v/>
      </c>
      <c r="E9854">
        <f>IF(D9854&lt;&gt;"KEEP","",IF(RIGHT(B9854,10)="@gmail.com","Gmail",IF(OR(RIGHT(B9854,12)="@outlook.com",RIGHT(B9854,12)="@hotmail.com",RIGHT(B9854,9)="@live.com"),"Outlook","Domain")))</f>
        <v/>
      </c>
      <c r="F9854">
        <f>IF(B9854="","",IFERROR(RIGHT(B9854,LEN(B9854)-FIND("@",B9854)),""))</f>
        <v/>
      </c>
      <c r="G9854">
        <f>IF(D9854="KEEP",COUNTIF($D$2:D9854,"KEEP"),"")</f>
        <v/>
      </c>
      <c r="H9854">
        <f>IF(D9854="REMOVE",COUNTIF($D$2:D9854,"REMOVE"),"")</f>
        <v/>
      </c>
      <c r="I9854">
        <f>IF(E9854="Gmail",COUNTIF($E$2:E9854,"Gmail"),"")</f>
        <v/>
      </c>
      <c r="J9854">
        <f>IF(E9854="Outlook",COUNTIF($E$2:E9854,"Outlook"),"")</f>
        <v/>
      </c>
      <c r="K9854">
        <f>IF(E9854="Domain",COUNTIF($E$2:E9854,"Domain"),"")</f>
        <v/>
      </c>
    </row>
    <row r="9855">
      <c r="A9855" s="2" t="n"/>
      <c r="B9855">
        <f>LOWER(TRIM(A9855))</f>
        <v/>
      </c>
      <c r="C9855">
        <f>IF(B9855="","",IFERROR(INDEX('Bad Patterns'!$A$2:$A$120,MATCH(1,INDEX(--ISNUMBER(SEARCH('Bad Patterns'!$A$2:$A$120,B9855)),0),0)),""))</f>
        <v/>
      </c>
      <c r="D9855">
        <f>IF(B9855="","",IF(C9855&lt;&gt;"","REMOVE","KEEP"))</f>
        <v/>
      </c>
      <c r="E9855">
        <f>IF(D9855&lt;&gt;"KEEP","",IF(RIGHT(B9855,10)="@gmail.com","Gmail",IF(OR(RIGHT(B9855,12)="@outlook.com",RIGHT(B9855,12)="@hotmail.com",RIGHT(B9855,9)="@live.com"),"Outlook","Domain")))</f>
        <v/>
      </c>
      <c r="F9855">
        <f>IF(B9855="","",IFERROR(RIGHT(B9855,LEN(B9855)-FIND("@",B9855)),""))</f>
        <v/>
      </c>
      <c r="G9855">
        <f>IF(D9855="KEEP",COUNTIF($D$2:D9855,"KEEP"),"")</f>
        <v/>
      </c>
      <c r="H9855">
        <f>IF(D9855="REMOVE",COUNTIF($D$2:D9855,"REMOVE"),"")</f>
        <v/>
      </c>
      <c r="I9855">
        <f>IF(E9855="Gmail",COUNTIF($E$2:E9855,"Gmail"),"")</f>
        <v/>
      </c>
      <c r="J9855">
        <f>IF(E9855="Outlook",COUNTIF($E$2:E9855,"Outlook"),"")</f>
        <v/>
      </c>
      <c r="K9855">
        <f>IF(E9855="Domain",COUNTIF($E$2:E9855,"Domain"),"")</f>
        <v/>
      </c>
    </row>
    <row r="9856">
      <c r="A9856" s="2" t="n"/>
      <c r="B9856">
        <f>LOWER(TRIM(A9856))</f>
        <v/>
      </c>
      <c r="C9856">
        <f>IF(B9856="","",IFERROR(INDEX('Bad Patterns'!$A$2:$A$120,MATCH(1,INDEX(--ISNUMBER(SEARCH('Bad Patterns'!$A$2:$A$120,B9856)),0),0)),""))</f>
        <v/>
      </c>
      <c r="D9856">
        <f>IF(B9856="","",IF(C9856&lt;&gt;"","REMOVE","KEEP"))</f>
        <v/>
      </c>
      <c r="E9856">
        <f>IF(D9856&lt;&gt;"KEEP","",IF(RIGHT(B9856,10)="@gmail.com","Gmail",IF(OR(RIGHT(B9856,12)="@outlook.com",RIGHT(B9856,12)="@hotmail.com",RIGHT(B9856,9)="@live.com"),"Outlook","Domain")))</f>
        <v/>
      </c>
      <c r="F9856">
        <f>IF(B9856="","",IFERROR(RIGHT(B9856,LEN(B9856)-FIND("@",B9856)),""))</f>
        <v/>
      </c>
      <c r="G9856">
        <f>IF(D9856="KEEP",COUNTIF($D$2:D9856,"KEEP"),"")</f>
        <v/>
      </c>
      <c r="H9856">
        <f>IF(D9856="REMOVE",COUNTIF($D$2:D9856,"REMOVE"),"")</f>
        <v/>
      </c>
      <c r="I9856">
        <f>IF(E9856="Gmail",COUNTIF($E$2:E9856,"Gmail"),"")</f>
        <v/>
      </c>
      <c r="J9856">
        <f>IF(E9856="Outlook",COUNTIF($E$2:E9856,"Outlook"),"")</f>
        <v/>
      </c>
      <c r="K9856">
        <f>IF(E9856="Domain",COUNTIF($E$2:E9856,"Domain"),"")</f>
        <v/>
      </c>
    </row>
    <row r="9857">
      <c r="A9857" s="2" t="n"/>
      <c r="B9857">
        <f>LOWER(TRIM(A9857))</f>
        <v/>
      </c>
      <c r="C9857">
        <f>IF(B9857="","",IFERROR(INDEX('Bad Patterns'!$A$2:$A$120,MATCH(1,INDEX(--ISNUMBER(SEARCH('Bad Patterns'!$A$2:$A$120,B9857)),0),0)),""))</f>
        <v/>
      </c>
      <c r="D9857">
        <f>IF(B9857="","",IF(C9857&lt;&gt;"","REMOVE","KEEP"))</f>
        <v/>
      </c>
      <c r="E9857">
        <f>IF(D9857&lt;&gt;"KEEP","",IF(RIGHT(B9857,10)="@gmail.com","Gmail",IF(OR(RIGHT(B9857,12)="@outlook.com",RIGHT(B9857,12)="@hotmail.com",RIGHT(B9857,9)="@live.com"),"Outlook","Domain")))</f>
        <v/>
      </c>
      <c r="F9857">
        <f>IF(B9857="","",IFERROR(RIGHT(B9857,LEN(B9857)-FIND("@",B9857)),""))</f>
        <v/>
      </c>
      <c r="G9857">
        <f>IF(D9857="KEEP",COUNTIF($D$2:D9857,"KEEP"),"")</f>
        <v/>
      </c>
      <c r="H9857">
        <f>IF(D9857="REMOVE",COUNTIF($D$2:D9857,"REMOVE"),"")</f>
        <v/>
      </c>
      <c r="I9857">
        <f>IF(E9857="Gmail",COUNTIF($E$2:E9857,"Gmail"),"")</f>
        <v/>
      </c>
      <c r="J9857">
        <f>IF(E9857="Outlook",COUNTIF($E$2:E9857,"Outlook"),"")</f>
        <v/>
      </c>
      <c r="K9857">
        <f>IF(E9857="Domain",COUNTIF($E$2:E9857,"Domain"),"")</f>
        <v/>
      </c>
    </row>
    <row r="9858">
      <c r="A9858" s="2" t="n"/>
      <c r="B9858">
        <f>LOWER(TRIM(A9858))</f>
        <v/>
      </c>
      <c r="C9858">
        <f>IF(B9858="","",IFERROR(INDEX('Bad Patterns'!$A$2:$A$120,MATCH(1,INDEX(--ISNUMBER(SEARCH('Bad Patterns'!$A$2:$A$120,B9858)),0),0)),""))</f>
        <v/>
      </c>
      <c r="D9858">
        <f>IF(B9858="","",IF(C9858&lt;&gt;"","REMOVE","KEEP"))</f>
        <v/>
      </c>
      <c r="E9858">
        <f>IF(D9858&lt;&gt;"KEEP","",IF(RIGHT(B9858,10)="@gmail.com","Gmail",IF(OR(RIGHT(B9858,12)="@outlook.com",RIGHT(B9858,12)="@hotmail.com",RIGHT(B9858,9)="@live.com"),"Outlook","Domain")))</f>
        <v/>
      </c>
      <c r="F9858">
        <f>IF(B9858="","",IFERROR(RIGHT(B9858,LEN(B9858)-FIND("@",B9858)),""))</f>
        <v/>
      </c>
      <c r="G9858">
        <f>IF(D9858="KEEP",COUNTIF($D$2:D9858,"KEEP"),"")</f>
        <v/>
      </c>
      <c r="H9858">
        <f>IF(D9858="REMOVE",COUNTIF($D$2:D9858,"REMOVE"),"")</f>
        <v/>
      </c>
      <c r="I9858">
        <f>IF(E9858="Gmail",COUNTIF($E$2:E9858,"Gmail"),"")</f>
        <v/>
      </c>
      <c r="J9858">
        <f>IF(E9858="Outlook",COUNTIF($E$2:E9858,"Outlook"),"")</f>
        <v/>
      </c>
      <c r="K9858">
        <f>IF(E9858="Domain",COUNTIF($E$2:E9858,"Domain"),"")</f>
        <v/>
      </c>
    </row>
    <row r="9859">
      <c r="A9859" s="2" t="n"/>
      <c r="B9859">
        <f>LOWER(TRIM(A9859))</f>
        <v/>
      </c>
      <c r="C9859">
        <f>IF(B9859="","",IFERROR(INDEX('Bad Patterns'!$A$2:$A$120,MATCH(1,INDEX(--ISNUMBER(SEARCH('Bad Patterns'!$A$2:$A$120,B9859)),0),0)),""))</f>
        <v/>
      </c>
      <c r="D9859">
        <f>IF(B9859="","",IF(C9859&lt;&gt;"","REMOVE","KEEP"))</f>
        <v/>
      </c>
      <c r="E9859">
        <f>IF(D9859&lt;&gt;"KEEP","",IF(RIGHT(B9859,10)="@gmail.com","Gmail",IF(OR(RIGHT(B9859,12)="@outlook.com",RIGHT(B9859,12)="@hotmail.com",RIGHT(B9859,9)="@live.com"),"Outlook","Domain")))</f>
        <v/>
      </c>
      <c r="F9859">
        <f>IF(B9859="","",IFERROR(RIGHT(B9859,LEN(B9859)-FIND("@",B9859)),""))</f>
        <v/>
      </c>
      <c r="G9859">
        <f>IF(D9859="KEEP",COUNTIF($D$2:D9859,"KEEP"),"")</f>
        <v/>
      </c>
      <c r="H9859">
        <f>IF(D9859="REMOVE",COUNTIF($D$2:D9859,"REMOVE"),"")</f>
        <v/>
      </c>
      <c r="I9859">
        <f>IF(E9859="Gmail",COUNTIF($E$2:E9859,"Gmail"),"")</f>
        <v/>
      </c>
      <c r="J9859">
        <f>IF(E9859="Outlook",COUNTIF($E$2:E9859,"Outlook"),"")</f>
        <v/>
      </c>
      <c r="K9859">
        <f>IF(E9859="Domain",COUNTIF($E$2:E9859,"Domain"),"")</f>
        <v/>
      </c>
    </row>
    <row r="9860">
      <c r="A9860" s="2" t="n"/>
      <c r="B9860">
        <f>LOWER(TRIM(A9860))</f>
        <v/>
      </c>
      <c r="C9860">
        <f>IF(B9860="","",IFERROR(INDEX('Bad Patterns'!$A$2:$A$120,MATCH(1,INDEX(--ISNUMBER(SEARCH('Bad Patterns'!$A$2:$A$120,B9860)),0),0)),""))</f>
        <v/>
      </c>
      <c r="D9860">
        <f>IF(B9860="","",IF(C9860&lt;&gt;"","REMOVE","KEEP"))</f>
        <v/>
      </c>
      <c r="E9860">
        <f>IF(D9860&lt;&gt;"KEEP","",IF(RIGHT(B9860,10)="@gmail.com","Gmail",IF(OR(RIGHT(B9860,12)="@outlook.com",RIGHT(B9860,12)="@hotmail.com",RIGHT(B9860,9)="@live.com"),"Outlook","Domain")))</f>
        <v/>
      </c>
      <c r="F9860">
        <f>IF(B9860="","",IFERROR(RIGHT(B9860,LEN(B9860)-FIND("@",B9860)),""))</f>
        <v/>
      </c>
      <c r="G9860">
        <f>IF(D9860="KEEP",COUNTIF($D$2:D9860,"KEEP"),"")</f>
        <v/>
      </c>
      <c r="H9860">
        <f>IF(D9860="REMOVE",COUNTIF($D$2:D9860,"REMOVE"),"")</f>
        <v/>
      </c>
      <c r="I9860">
        <f>IF(E9860="Gmail",COUNTIF($E$2:E9860,"Gmail"),"")</f>
        <v/>
      </c>
      <c r="J9860">
        <f>IF(E9860="Outlook",COUNTIF($E$2:E9860,"Outlook"),"")</f>
        <v/>
      </c>
      <c r="K9860">
        <f>IF(E9860="Domain",COUNTIF($E$2:E9860,"Domain"),"")</f>
        <v/>
      </c>
    </row>
    <row r="9861">
      <c r="A9861" s="2" t="n"/>
      <c r="B9861">
        <f>LOWER(TRIM(A9861))</f>
        <v/>
      </c>
      <c r="C9861">
        <f>IF(B9861="","",IFERROR(INDEX('Bad Patterns'!$A$2:$A$120,MATCH(1,INDEX(--ISNUMBER(SEARCH('Bad Patterns'!$A$2:$A$120,B9861)),0),0)),""))</f>
        <v/>
      </c>
      <c r="D9861">
        <f>IF(B9861="","",IF(C9861&lt;&gt;"","REMOVE","KEEP"))</f>
        <v/>
      </c>
      <c r="E9861">
        <f>IF(D9861&lt;&gt;"KEEP","",IF(RIGHT(B9861,10)="@gmail.com","Gmail",IF(OR(RIGHT(B9861,12)="@outlook.com",RIGHT(B9861,12)="@hotmail.com",RIGHT(B9861,9)="@live.com"),"Outlook","Domain")))</f>
        <v/>
      </c>
      <c r="F9861">
        <f>IF(B9861="","",IFERROR(RIGHT(B9861,LEN(B9861)-FIND("@",B9861)),""))</f>
        <v/>
      </c>
      <c r="G9861">
        <f>IF(D9861="KEEP",COUNTIF($D$2:D9861,"KEEP"),"")</f>
        <v/>
      </c>
      <c r="H9861">
        <f>IF(D9861="REMOVE",COUNTIF($D$2:D9861,"REMOVE"),"")</f>
        <v/>
      </c>
      <c r="I9861">
        <f>IF(E9861="Gmail",COUNTIF($E$2:E9861,"Gmail"),"")</f>
        <v/>
      </c>
      <c r="J9861">
        <f>IF(E9861="Outlook",COUNTIF($E$2:E9861,"Outlook"),"")</f>
        <v/>
      </c>
      <c r="K9861">
        <f>IF(E9861="Domain",COUNTIF($E$2:E9861,"Domain"),"")</f>
        <v/>
      </c>
    </row>
    <row r="9862">
      <c r="A9862" s="2" t="n"/>
      <c r="B9862">
        <f>LOWER(TRIM(A9862))</f>
        <v/>
      </c>
      <c r="C9862">
        <f>IF(B9862="","",IFERROR(INDEX('Bad Patterns'!$A$2:$A$120,MATCH(1,INDEX(--ISNUMBER(SEARCH('Bad Patterns'!$A$2:$A$120,B9862)),0),0)),""))</f>
        <v/>
      </c>
      <c r="D9862">
        <f>IF(B9862="","",IF(C9862&lt;&gt;"","REMOVE","KEEP"))</f>
        <v/>
      </c>
      <c r="E9862">
        <f>IF(D9862&lt;&gt;"KEEP","",IF(RIGHT(B9862,10)="@gmail.com","Gmail",IF(OR(RIGHT(B9862,12)="@outlook.com",RIGHT(B9862,12)="@hotmail.com",RIGHT(B9862,9)="@live.com"),"Outlook","Domain")))</f>
        <v/>
      </c>
      <c r="F9862">
        <f>IF(B9862="","",IFERROR(RIGHT(B9862,LEN(B9862)-FIND("@",B9862)),""))</f>
        <v/>
      </c>
      <c r="G9862">
        <f>IF(D9862="KEEP",COUNTIF($D$2:D9862,"KEEP"),"")</f>
        <v/>
      </c>
      <c r="H9862">
        <f>IF(D9862="REMOVE",COUNTIF($D$2:D9862,"REMOVE"),"")</f>
        <v/>
      </c>
      <c r="I9862">
        <f>IF(E9862="Gmail",COUNTIF($E$2:E9862,"Gmail"),"")</f>
        <v/>
      </c>
      <c r="J9862">
        <f>IF(E9862="Outlook",COUNTIF($E$2:E9862,"Outlook"),"")</f>
        <v/>
      </c>
      <c r="K9862">
        <f>IF(E9862="Domain",COUNTIF($E$2:E9862,"Domain"),"")</f>
        <v/>
      </c>
    </row>
    <row r="9863">
      <c r="A9863" s="2" t="n"/>
      <c r="B9863">
        <f>LOWER(TRIM(A9863))</f>
        <v/>
      </c>
      <c r="C9863">
        <f>IF(B9863="","",IFERROR(INDEX('Bad Patterns'!$A$2:$A$120,MATCH(1,INDEX(--ISNUMBER(SEARCH('Bad Patterns'!$A$2:$A$120,B9863)),0),0)),""))</f>
        <v/>
      </c>
      <c r="D9863">
        <f>IF(B9863="","",IF(C9863&lt;&gt;"","REMOVE","KEEP"))</f>
        <v/>
      </c>
      <c r="E9863">
        <f>IF(D9863&lt;&gt;"KEEP","",IF(RIGHT(B9863,10)="@gmail.com","Gmail",IF(OR(RIGHT(B9863,12)="@outlook.com",RIGHT(B9863,12)="@hotmail.com",RIGHT(B9863,9)="@live.com"),"Outlook","Domain")))</f>
        <v/>
      </c>
      <c r="F9863">
        <f>IF(B9863="","",IFERROR(RIGHT(B9863,LEN(B9863)-FIND("@",B9863)),""))</f>
        <v/>
      </c>
      <c r="G9863">
        <f>IF(D9863="KEEP",COUNTIF($D$2:D9863,"KEEP"),"")</f>
        <v/>
      </c>
      <c r="H9863">
        <f>IF(D9863="REMOVE",COUNTIF($D$2:D9863,"REMOVE"),"")</f>
        <v/>
      </c>
      <c r="I9863">
        <f>IF(E9863="Gmail",COUNTIF($E$2:E9863,"Gmail"),"")</f>
        <v/>
      </c>
      <c r="J9863">
        <f>IF(E9863="Outlook",COUNTIF($E$2:E9863,"Outlook"),"")</f>
        <v/>
      </c>
      <c r="K9863">
        <f>IF(E9863="Domain",COUNTIF($E$2:E9863,"Domain"),"")</f>
        <v/>
      </c>
    </row>
    <row r="9864">
      <c r="A9864" s="2" t="n"/>
      <c r="B9864">
        <f>LOWER(TRIM(A9864))</f>
        <v/>
      </c>
      <c r="C9864">
        <f>IF(B9864="","",IFERROR(INDEX('Bad Patterns'!$A$2:$A$120,MATCH(1,INDEX(--ISNUMBER(SEARCH('Bad Patterns'!$A$2:$A$120,B9864)),0),0)),""))</f>
        <v/>
      </c>
      <c r="D9864">
        <f>IF(B9864="","",IF(C9864&lt;&gt;"","REMOVE","KEEP"))</f>
        <v/>
      </c>
      <c r="E9864">
        <f>IF(D9864&lt;&gt;"KEEP","",IF(RIGHT(B9864,10)="@gmail.com","Gmail",IF(OR(RIGHT(B9864,12)="@outlook.com",RIGHT(B9864,12)="@hotmail.com",RIGHT(B9864,9)="@live.com"),"Outlook","Domain")))</f>
        <v/>
      </c>
      <c r="F9864">
        <f>IF(B9864="","",IFERROR(RIGHT(B9864,LEN(B9864)-FIND("@",B9864)),""))</f>
        <v/>
      </c>
      <c r="G9864">
        <f>IF(D9864="KEEP",COUNTIF($D$2:D9864,"KEEP"),"")</f>
        <v/>
      </c>
      <c r="H9864">
        <f>IF(D9864="REMOVE",COUNTIF($D$2:D9864,"REMOVE"),"")</f>
        <v/>
      </c>
      <c r="I9864">
        <f>IF(E9864="Gmail",COUNTIF($E$2:E9864,"Gmail"),"")</f>
        <v/>
      </c>
      <c r="J9864">
        <f>IF(E9864="Outlook",COUNTIF($E$2:E9864,"Outlook"),"")</f>
        <v/>
      </c>
      <c r="K9864">
        <f>IF(E9864="Domain",COUNTIF($E$2:E9864,"Domain"),"")</f>
        <v/>
      </c>
    </row>
    <row r="9865">
      <c r="A9865" s="2" t="n"/>
      <c r="B9865">
        <f>LOWER(TRIM(A9865))</f>
        <v/>
      </c>
      <c r="C9865">
        <f>IF(B9865="","",IFERROR(INDEX('Bad Patterns'!$A$2:$A$120,MATCH(1,INDEX(--ISNUMBER(SEARCH('Bad Patterns'!$A$2:$A$120,B9865)),0),0)),""))</f>
        <v/>
      </c>
      <c r="D9865">
        <f>IF(B9865="","",IF(C9865&lt;&gt;"","REMOVE","KEEP"))</f>
        <v/>
      </c>
      <c r="E9865">
        <f>IF(D9865&lt;&gt;"KEEP","",IF(RIGHT(B9865,10)="@gmail.com","Gmail",IF(OR(RIGHT(B9865,12)="@outlook.com",RIGHT(B9865,12)="@hotmail.com",RIGHT(B9865,9)="@live.com"),"Outlook","Domain")))</f>
        <v/>
      </c>
      <c r="F9865">
        <f>IF(B9865="","",IFERROR(RIGHT(B9865,LEN(B9865)-FIND("@",B9865)),""))</f>
        <v/>
      </c>
      <c r="G9865">
        <f>IF(D9865="KEEP",COUNTIF($D$2:D9865,"KEEP"),"")</f>
        <v/>
      </c>
      <c r="H9865">
        <f>IF(D9865="REMOVE",COUNTIF($D$2:D9865,"REMOVE"),"")</f>
        <v/>
      </c>
      <c r="I9865">
        <f>IF(E9865="Gmail",COUNTIF($E$2:E9865,"Gmail"),"")</f>
        <v/>
      </c>
      <c r="J9865">
        <f>IF(E9865="Outlook",COUNTIF($E$2:E9865,"Outlook"),"")</f>
        <v/>
      </c>
      <c r="K9865">
        <f>IF(E9865="Domain",COUNTIF($E$2:E9865,"Domain"),"")</f>
        <v/>
      </c>
    </row>
    <row r="9866">
      <c r="A9866" s="2" t="n"/>
      <c r="B9866">
        <f>LOWER(TRIM(A9866))</f>
        <v/>
      </c>
      <c r="C9866">
        <f>IF(B9866="","",IFERROR(INDEX('Bad Patterns'!$A$2:$A$120,MATCH(1,INDEX(--ISNUMBER(SEARCH('Bad Patterns'!$A$2:$A$120,B9866)),0),0)),""))</f>
        <v/>
      </c>
      <c r="D9866">
        <f>IF(B9866="","",IF(C9866&lt;&gt;"","REMOVE","KEEP"))</f>
        <v/>
      </c>
      <c r="E9866">
        <f>IF(D9866&lt;&gt;"KEEP","",IF(RIGHT(B9866,10)="@gmail.com","Gmail",IF(OR(RIGHT(B9866,12)="@outlook.com",RIGHT(B9866,12)="@hotmail.com",RIGHT(B9866,9)="@live.com"),"Outlook","Domain")))</f>
        <v/>
      </c>
      <c r="F9866">
        <f>IF(B9866="","",IFERROR(RIGHT(B9866,LEN(B9866)-FIND("@",B9866)),""))</f>
        <v/>
      </c>
      <c r="G9866">
        <f>IF(D9866="KEEP",COUNTIF($D$2:D9866,"KEEP"),"")</f>
        <v/>
      </c>
      <c r="H9866">
        <f>IF(D9866="REMOVE",COUNTIF($D$2:D9866,"REMOVE"),"")</f>
        <v/>
      </c>
      <c r="I9866">
        <f>IF(E9866="Gmail",COUNTIF($E$2:E9866,"Gmail"),"")</f>
        <v/>
      </c>
      <c r="J9866">
        <f>IF(E9866="Outlook",COUNTIF($E$2:E9866,"Outlook"),"")</f>
        <v/>
      </c>
      <c r="K9866">
        <f>IF(E9866="Domain",COUNTIF($E$2:E9866,"Domain"),"")</f>
        <v/>
      </c>
    </row>
    <row r="9867">
      <c r="A9867" s="2" t="n"/>
      <c r="B9867">
        <f>LOWER(TRIM(A9867))</f>
        <v/>
      </c>
      <c r="C9867">
        <f>IF(B9867="","",IFERROR(INDEX('Bad Patterns'!$A$2:$A$120,MATCH(1,INDEX(--ISNUMBER(SEARCH('Bad Patterns'!$A$2:$A$120,B9867)),0),0)),""))</f>
        <v/>
      </c>
      <c r="D9867">
        <f>IF(B9867="","",IF(C9867&lt;&gt;"","REMOVE","KEEP"))</f>
        <v/>
      </c>
      <c r="E9867">
        <f>IF(D9867&lt;&gt;"KEEP","",IF(RIGHT(B9867,10)="@gmail.com","Gmail",IF(OR(RIGHT(B9867,12)="@outlook.com",RIGHT(B9867,12)="@hotmail.com",RIGHT(B9867,9)="@live.com"),"Outlook","Domain")))</f>
        <v/>
      </c>
      <c r="F9867">
        <f>IF(B9867="","",IFERROR(RIGHT(B9867,LEN(B9867)-FIND("@",B9867)),""))</f>
        <v/>
      </c>
      <c r="G9867">
        <f>IF(D9867="KEEP",COUNTIF($D$2:D9867,"KEEP"),"")</f>
        <v/>
      </c>
      <c r="H9867">
        <f>IF(D9867="REMOVE",COUNTIF($D$2:D9867,"REMOVE"),"")</f>
        <v/>
      </c>
      <c r="I9867">
        <f>IF(E9867="Gmail",COUNTIF($E$2:E9867,"Gmail"),"")</f>
        <v/>
      </c>
      <c r="J9867">
        <f>IF(E9867="Outlook",COUNTIF($E$2:E9867,"Outlook"),"")</f>
        <v/>
      </c>
      <c r="K9867">
        <f>IF(E9867="Domain",COUNTIF($E$2:E9867,"Domain"),"")</f>
        <v/>
      </c>
    </row>
    <row r="9868">
      <c r="A9868" s="2" t="n"/>
      <c r="B9868">
        <f>LOWER(TRIM(A9868))</f>
        <v/>
      </c>
      <c r="C9868">
        <f>IF(B9868="","",IFERROR(INDEX('Bad Patterns'!$A$2:$A$120,MATCH(1,INDEX(--ISNUMBER(SEARCH('Bad Patterns'!$A$2:$A$120,B9868)),0),0)),""))</f>
        <v/>
      </c>
      <c r="D9868">
        <f>IF(B9868="","",IF(C9868&lt;&gt;"","REMOVE","KEEP"))</f>
        <v/>
      </c>
      <c r="E9868">
        <f>IF(D9868&lt;&gt;"KEEP","",IF(RIGHT(B9868,10)="@gmail.com","Gmail",IF(OR(RIGHT(B9868,12)="@outlook.com",RIGHT(B9868,12)="@hotmail.com",RIGHT(B9868,9)="@live.com"),"Outlook","Domain")))</f>
        <v/>
      </c>
      <c r="F9868">
        <f>IF(B9868="","",IFERROR(RIGHT(B9868,LEN(B9868)-FIND("@",B9868)),""))</f>
        <v/>
      </c>
      <c r="G9868">
        <f>IF(D9868="KEEP",COUNTIF($D$2:D9868,"KEEP"),"")</f>
        <v/>
      </c>
      <c r="H9868">
        <f>IF(D9868="REMOVE",COUNTIF($D$2:D9868,"REMOVE"),"")</f>
        <v/>
      </c>
      <c r="I9868">
        <f>IF(E9868="Gmail",COUNTIF($E$2:E9868,"Gmail"),"")</f>
        <v/>
      </c>
      <c r="J9868">
        <f>IF(E9868="Outlook",COUNTIF($E$2:E9868,"Outlook"),"")</f>
        <v/>
      </c>
      <c r="K9868">
        <f>IF(E9868="Domain",COUNTIF($E$2:E9868,"Domain"),"")</f>
        <v/>
      </c>
    </row>
    <row r="9869">
      <c r="A9869" s="2" t="n"/>
      <c r="B9869">
        <f>LOWER(TRIM(A9869))</f>
        <v/>
      </c>
      <c r="C9869">
        <f>IF(B9869="","",IFERROR(INDEX('Bad Patterns'!$A$2:$A$120,MATCH(1,INDEX(--ISNUMBER(SEARCH('Bad Patterns'!$A$2:$A$120,B9869)),0),0)),""))</f>
        <v/>
      </c>
      <c r="D9869">
        <f>IF(B9869="","",IF(C9869&lt;&gt;"","REMOVE","KEEP"))</f>
        <v/>
      </c>
      <c r="E9869">
        <f>IF(D9869&lt;&gt;"KEEP","",IF(RIGHT(B9869,10)="@gmail.com","Gmail",IF(OR(RIGHT(B9869,12)="@outlook.com",RIGHT(B9869,12)="@hotmail.com",RIGHT(B9869,9)="@live.com"),"Outlook","Domain")))</f>
        <v/>
      </c>
      <c r="F9869">
        <f>IF(B9869="","",IFERROR(RIGHT(B9869,LEN(B9869)-FIND("@",B9869)),""))</f>
        <v/>
      </c>
      <c r="G9869">
        <f>IF(D9869="KEEP",COUNTIF($D$2:D9869,"KEEP"),"")</f>
        <v/>
      </c>
      <c r="H9869">
        <f>IF(D9869="REMOVE",COUNTIF($D$2:D9869,"REMOVE"),"")</f>
        <v/>
      </c>
      <c r="I9869">
        <f>IF(E9869="Gmail",COUNTIF($E$2:E9869,"Gmail"),"")</f>
        <v/>
      </c>
      <c r="J9869">
        <f>IF(E9869="Outlook",COUNTIF($E$2:E9869,"Outlook"),"")</f>
        <v/>
      </c>
      <c r="K9869">
        <f>IF(E9869="Domain",COUNTIF($E$2:E9869,"Domain"),"")</f>
        <v/>
      </c>
    </row>
    <row r="9870">
      <c r="A9870" s="2" t="n"/>
      <c r="B9870">
        <f>LOWER(TRIM(A9870))</f>
        <v/>
      </c>
      <c r="C9870">
        <f>IF(B9870="","",IFERROR(INDEX('Bad Patterns'!$A$2:$A$120,MATCH(1,INDEX(--ISNUMBER(SEARCH('Bad Patterns'!$A$2:$A$120,B9870)),0),0)),""))</f>
        <v/>
      </c>
      <c r="D9870">
        <f>IF(B9870="","",IF(C9870&lt;&gt;"","REMOVE","KEEP"))</f>
        <v/>
      </c>
      <c r="E9870">
        <f>IF(D9870&lt;&gt;"KEEP","",IF(RIGHT(B9870,10)="@gmail.com","Gmail",IF(OR(RIGHT(B9870,12)="@outlook.com",RIGHT(B9870,12)="@hotmail.com",RIGHT(B9870,9)="@live.com"),"Outlook","Domain")))</f>
        <v/>
      </c>
      <c r="F9870">
        <f>IF(B9870="","",IFERROR(RIGHT(B9870,LEN(B9870)-FIND("@",B9870)),""))</f>
        <v/>
      </c>
      <c r="G9870">
        <f>IF(D9870="KEEP",COUNTIF($D$2:D9870,"KEEP"),"")</f>
        <v/>
      </c>
      <c r="H9870">
        <f>IF(D9870="REMOVE",COUNTIF($D$2:D9870,"REMOVE"),"")</f>
        <v/>
      </c>
      <c r="I9870">
        <f>IF(E9870="Gmail",COUNTIF($E$2:E9870,"Gmail"),"")</f>
        <v/>
      </c>
      <c r="J9870">
        <f>IF(E9870="Outlook",COUNTIF($E$2:E9870,"Outlook"),"")</f>
        <v/>
      </c>
      <c r="K9870">
        <f>IF(E9870="Domain",COUNTIF($E$2:E9870,"Domain"),"")</f>
        <v/>
      </c>
    </row>
    <row r="9871">
      <c r="A9871" s="2" t="n"/>
      <c r="B9871">
        <f>LOWER(TRIM(A9871))</f>
        <v/>
      </c>
      <c r="C9871">
        <f>IF(B9871="","",IFERROR(INDEX('Bad Patterns'!$A$2:$A$120,MATCH(1,INDEX(--ISNUMBER(SEARCH('Bad Patterns'!$A$2:$A$120,B9871)),0),0)),""))</f>
        <v/>
      </c>
      <c r="D9871">
        <f>IF(B9871="","",IF(C9871&lt;&gt;"","REMOVE","KEEP"))</f>
        <v/>
      </c>
      <c r="E9871">
        <f>IF(D9871&lt;&gt;"KEEP","",IF(RIGHT(B9871,10)="@gmail.com","Gmail",IF(OR(RIGHT(B9871,12)="@outlook.com",RIGHT(B9871,12)="@hotmail.com",RIGHT(B9871,9)="@live.com"),"Outlook","Domain")))</f>
        <v/>
      </c>
      <c r="F9871">
        <f>IF(B9871="","",IFERROR(RIGHT(B9871,LEN(B9871)-FIND("@",B9871)),""))</f>
        <v/>
      </c>
      <c r="G9871">
        <f>IF(D9871="KEEP",COUNTIF($D$2:D9871,"KEEP"),"")</f>
        <v/>
      </c>
      <c r="H9871">
        <f>IF(D9871="REMOVE",COUNTIF($D$2:D9871,"REMOVE"),"")</f>
        <v/>
      </c>
      <c r="I9871">
        <f>IF(E9871="Gmail",COUNTIF($E$2:E9871,"Gmail"),"")</f>
        <v/>
      </c>
      <c r="J9871">
        <f>IF(E9871="Outlook",COUNTIF($E$2:E9871,"Outlook"),"")</f>
        <v/>
      </c>
      <c r="K9871">
        <f>IF(E9871="Domain",COUNTIF($E$2:E9871,"Domain"),"")</f>
        <v/>
      </c>
    </row>
    <row r="9872">
      <c r="A9872" s="2" t="n"/>
      <c r="B9872">
        <f>LOWER(TRIM(A9872))</f>
        <v/>
      </c>
      <c r="C9872">
        <f>IF(B9872="","",IFERROR(INDEX('Bad Patterns'!$A$2:$A$120,MATCH(1,INDEX(--ISNUMBER(SEARCH('Bad Patterns'!$A$2:$A$120,B9872)),0),0)),""))</f>
        <v/>
      </c>
      <c r="D9872">
        <f>IF(B9872="","",IF(C9872&lt;&gt;"","REMOVE","KEEP"))</f>
        <v/>
      </c>
      <c r="E9872">
        <f>IF(D9872&lt;&gt;"KEEP","",IF(RIGHT(B9872,10)="@gmail.com","Gmail",IF(OR(RIGHT(B9872,12)="@outlook.com",RIGHT(B9872,12)="@hotmail.com",RIGHT(B9872,9)="@live.com"),"Outlook","Domain")))</f>
        <v/>
      </c>
      <c r="F9872">
        <f>IF(B9872="","",IFERROR(RIGHT(B9872,LEN(B9872)-FIND("@",B9872)),""))</f>
        <v/>
      </c>
      <c r="G9872">
        <f>IF(D9872="KEEP",COUNTIF($D$2:D9872,"KEEP"),"")</f>
        <v/>
      </c>
      <c r="H9872">
        <f>IF(D9872="REMOVE",COUNTIF($D$2:D9872,"REMOVE"),"")</f>
        <v/>
      </c>
      <c r="I9872">
        <f>IF(E9872="Gmail",COUNTIF($E$2:E9872,"Gmail"),"")</f>
        <v/>
      </c>
      <c r="J9872">
        <f>IF(E9872="Outlook",COUNTIF($E$2:E9872,"Outlook"),"")</f>
        <v/>
      </c>
      <c r="K9872">
        <f>IF(E9872="Domain",COUNTIF($E$2:E9872,"Domain"),"")</f>
        <v/>
      </c>
    </row>
    <row r="9873">
      <c r="A9873" s="2" t="n"/>
      <c r="B9873">
        <f>LOWER(TRIM(A9873))</f>
        <v/>
      </c>
      <c r="C9873">
        <f>IF(B9873="","",IFERROR(INDEX('Bad Patterns'!$A$2:$A$120,MATCH(1,INDEX(--ISNUMBER(SEARCH('Bad Patterns'!$A$2:$A$120,B9873)),0),0)),""))</f>
        <v/>
      </c>
      <c r="D9873">
        <f>IF(B9873="","",IF(C9873&lt;&gt;"","REMOVE","KEEP"))</f>
        <v/>
      </c>
      <c r="E9873">
        <f>IF(D9873&lt;&gt;"KEEP","",IF(RIGHT(B9873,10)="@gmail.com","Gmail",IF(OR(RIGHT(B9873,12)="@outlook.com",RIGHT(B9873,12)="@hotmail.com",RIGHT(B9873,9)="@live.com"),"Outlook","Domain")))</f>
        <v/>
      </c>
      <c r="F9873">
        <f>IF(B9873="","",IFERROR(RIGHT(B9873,LEN(B9873)-FIND("@",B9873)),""))</f>
        <v/>
      </c>
      <c r="G9873">
        <f>IF(D9873="KEEP",COUNTIF($D$2:D9873,"KEEP"),"")</f>
        <v/>
      </c>
      <c r="H9873">
        <f>IF(D9873="REMOVE",COUNTIF($D$2:D9873,"REMOVE"),"")</f>
        <v/>
      </c>
      <c r="I9873">
        <f>IF(E9873="Gmail",COUNTIF($E$2:E9873,"Gmail"),"")</f>
        <v/>
      </c>
      <c r="J9873">
        <f>IF(E9873="Outlook",COUNTIF($E$2:E9873,"Outlook"),"")</f>
        <v/>
      </c>
      <c r="K9873">
        <f>IF(E9873="Domain",COUNTIF($E$2:E9873,"Domain"),"")</f>
        <v/>
      </c>
    </row>
    <row r="9874">
      <c r="A9874" s="2" t="n"/>
      <c r="B9874">
        <f>LOWER(TRIM(A9874))</f>
        <v/>
      </c>
      <c r="C9874">
        <f>IF(B9874="","",IFERROR(INDEX('Bad Patterns'!$A$2:$A$120,MATCH(1,INDEX(--ISNUMBER(SEARCH('Bad Patterns'!$A$2:$A$120,B9874)),0),0)),""))</f>
        <v/>
      </c>
      <c r="D9874">
        <f>IF(B9874="","",IF(C9874&lt;&gt;"","REMOVE","KEEP"))</f>
        <v/>
      </c>
      <c r="E9874">
        <f>IF(D9874&lt;&gt;"KEEP","",IF(RIGHT(B9874,10)="@gmail.com","Gmail",IF(OR(RIGHT(B9874,12)="@outlook.com",RIGHT(B9874,12)="@hotmail.com",RIGHT(B9874,9)="@live.com"),"Outlook","Domain")))</f>
        <v/>
      </c>
      <c r="F9874">
        <f>IF(B9874="","",IFERROR(RIGHT(B9874,LEN(B9874)-FIND("@",B9874)),""))</f>
        <v/>
      </c>
      <c r="G9874">
        <f>IF(D9874="KEEP",COUNTIF($D$2:D9874,"KEEP"),"")</f>
        <v/>
      </c>
      <c r="H9874">
        <f>IF(D9874="REMOVE",COUNTIF($D$2:D9874,"REMOVE"),"")</f>
        <v/>
      </c>
      <c r="I9874">
        <f>IF(E9874="Gmail",COUNTIF($E$2:E9874,"Gmail"),"")</f>
        <v/>
      </c>
      <c r="J9874">
        <f>IF(E9874="Outlook",COUNTIF($E$2:E9874,"Outlook"),"")</f>
        <v/>
      </c>
      <c r="K9874">
        <f>IF(E9874="Domain",COUNTIF($E$2:E9874,"Domain"),"")</f>
        <v/>
      </c>
    </row>
    <row r="9875">
      <c r="A9875" s="2" t="n"/>
      <c r="B9875">
        <f>LOWER(TRIM(A9875))</f>
        <v/>
      </c>
      <c r="C9875">
        <f>IF(B9875="","",IFERROR(INDEX('Bad Patterns'!$A$2:$A$120,MATCH(1,INDEX(--ISNUMBER(SEARCH('Bad Patterns'!$A$2:$A$120,B9875)),0),0)),""))</f>
        <v/>
      </c>
      <c r="D9875">
        <f>IF(B9875="","",IF(C9875&lt;&gt;"","REMOVE","KEEP"))</f>
        <v/>
      </c>
      <c r="E9875">
        <f>IF(D9875&lt;&gt;"KEEP","",IF(RIGHT(B9875,10)="@gmail.com","Gmail",IF(OR(RIGHT(B9875,12)="@outlook.com",RIGHT(B9875,12)="@hotmail.com",RIGHT(B9875,9)="@live.com"),"Outlook","Domain")))</f>
        <v/>
      </c>
      <c r="F9875">
        <f>IF(B9875="","",IFERROR(RIGHT(B9875,LEN(B9875)-FIND("@",B9875)),""))</f>
        <v/>
      </c>
      <c r="G9875">
        <f>IF(D9875="KEEP",COUNTIF($D$2:D9875,"KEEP"),"")</f>
        <v/>
      </c>
      <c r="H9875">
        <f>IF(D9875="REMOVE",COUNTIF($D$2:D9875,"REMOVE"),"")</f>
        <v/>
      </c>
      <c r="I9875">
        <f>IF(E9875="Gmail",COUNTIF($E$2:E9875,"Gmail"),"")</f>
        <v/>
      </c>
      <c r="J9875">
        <f>IF(E9875="Outlook",COUNTIF($E$2:E9875,"Outlook"),"")</f>
        <v/>
      </c>
      <c r="K9875">
        <f>IF(E9875="Domain",COUNTIF($E$2:E9875,"Domain"),"")</f>
        <v/>
      </c>
    </row>
    <row r="9876">
      <c r="A9876" s="2" t="n"/>
      <c r="B9876">
        <f>LOWER(TRIM(A9876))</f>
        <v/>
      </c>
      <c r="C9876">
        <f>IF(B9876="","",IFERROR(INDEX('Bad Patterns'!$A$2:$A$120,MATCH(1,INDEX(--ISNUMBER(SEARCH('Bad Patterns'!$A$2:$A$120,B9876)),0),0)),""))</f>
        <v/>
      </c>
      <c r="D9876">
        <f>IF(B9876="","",IF(C9876&lt;&gt;"","REMOVE","KEEP"))</f>
        <v/>
      </c>
      <c r="E9876">
        <f>IF(D9876&lt;&gt;"KEEP","",IF(RIGHT(B9876,10)="@gmail.com","Gmail",IF(OR(RIGHT(B9876,12)="@outlook.com",RIGHT(B9876,12)="@hotmail.com",RIGHT(B9876,9)="@live.com"),"Outlook","Domain")))</f>
        <v/>
      </c>
      <c r="F9876">
        <f>IF(B9876="","",IFERROR(RIGHT(B9876,LEN(B9876)-FIND("@",B9876)),""))</f>
        <v/>
      </c>
      <c r="G9876">
        <f>IF(D9876="KEEP",COUNTIF($D$2:D9876,"KEEP"),"")</f>
        <v/>
      </c>
      <c r="H9876">
        <f>IF(D9876="REMOVE",COUNTIF($D$2:D9876,"REMOVE"),"")</f>
        <v/>
      </c>
      <c r="I9876">
        <f>IF(E9876="Gmail",COUNTIF($E$2:E9876,"Gmail"),"")</f>
        <v/>
      </c>
      <c r="J9876">
        <f>IF(E9876="Outlook",COUNTIF($E$2:E9876,"Outlook"),"")</f>
        <v/>
      </c>
      <c r="K9876">
        <f>IF(E9876="Domain",COUNTIF($E$2:E9876,"Domain"),"")</f>
        <v/>
      </c>
    </row>
    <row r="9877">
      <c r="A9877" s="2" t="n"/>
      <c r="B9877">
        <f>LOWER(TRIM(A9877))</f>
        <v/>
      </c>
      <c r="C9877">
        <f>IF(B9877="","",IFERROR(INDEX('Bad Patterns'!$A$2:$A$120,MATCH(1,INDEX(--ISNUMBER(SEARCH('Bad Patterns'!$A$2:$A$120,B9877)),0),0)),""))</f>
        <v/>
      </c>
      <c r="D9877">
        <f>IF(B9877="","",IF(C9877&lt;&gt;"","REMOVE","KEEP"))</f>
        <v/>
      </c>
      <c r="E9877">
        <f>IF(D9877&lt;&gt;"KEEP","",IF(RIGHT(B9877,10)="@gmail.com","Gmail",IF(OR(RIGHT(B9877,12)="@outlook.com",RIGHT(B9877,12)="@hotmail.com",RIGHT(B9877,9)="@live.com"),"Outlook","Domain")))</f>
        <v/>
      </c>
      <c r="F9877">
        <f>IF(B9877="","",IFERROR(RIGHT(B9877,LEN(B9877)-FIND("@",B9877)),""))</f>
        <v/>
      </c>
      <c r="G9877">
        <f>IF(D9877="KEEP",COUNTIF($D$2:D9877,"KEEP"),"")</f>
        <v/>
      </c>
      <c r="H9877">
        <f>IF(D9877="REMOVE",COUNTIF($D$2:D9877,"REMOVE"),"")</f>
        <v/>
      </c>
      <c r="I9877">
        <f>IF(E9877="Gmail",COUNTIF($E$2:E9877,"Gmail"),"")</f>
        <v/>
      </c>
      <c r="J9877">
        <f>IF(E9877="Outlook",COUNTIF($E$2:E9877,"Outlook"),"")</f>
        <v/>
      </c>
      <c r="K9877">
        <f>IF(E9877="Domain",COUNTIF($E$2:E9877,"Domain"),"")</f>
        <v/>
      </c>
    </row>
    <row r="9878">
      <c r="A9878" s="2" t="n"/>
      <c r="B9878">
        <f>LOWER(TRIM(A9878))</f>
        <v/>
      </c>
      <c r="C9878">
        <f>IF(B9878="","",IFERROR(INDEX('Bad Patterns'!$A$2:$A$120,MATCH(1,INDEX(--ISNUMBER(SEARCH('Bad Patterns'!$A$2:$A$120,B9878)),0),0)),""))</f>
        <v/>
      </c>
      <c r="D9878">
        <f>IF(B9878="","",IF(C9878&lt;&gt;"","REMOVE","KEEP"))</f>
        <v/>
      </c>
      <c r="E9878">
        <f>IF(D9878&lt;&gt;"KEEP","",IF(RIGHT(B9878,10)="@gmail.com","Gmail",IF(OR(RIGHT(B9878,12)="@outlook.com",RIGHT(B9878,12)="@hotmail.com",RIGHT(B9878,9)="@live.com"),"Outlook","Domain")))</f>
        <v/>
      </c>
      <c r="F9878">
        <f>IF(B9878="","",IFERROR(RIGHT(B9878,LEN(B9878)-FIND("@",B9878)),""))</f>
        <v/>
      </c>
      <c r="G9878">
        <f>IF(D9878="KEEP",COUNTIF($D$2:D9878,"KEEP"),"")</f>
        <v/>
      </c>
      <c r="H9878">
        <f>IF(D9878="REMOVE",COUNTIF($D$2:D9878,"REMOVE"),"")</f>
        <v/>
      </c>
      <c r="I9878">
        <f>IF(E9878="Gmail",COUNTIF($E$2:E9878,"Gmail"),"")</f>
        <v/>
      </c>
      <c r="J9878">
        <f>IF(E9878="Outlook",COUNTIF($E$2:E9878,"Outlook"),"")</f>
        <v/>
      </c>
      <c r="K9878">
        <f>IF(E9878="Domain",COUNTIF($E$2:E9878,"Domain"),"")</f>
        <v/>
      </c>
    </row>
    <row r="9879">
      <c r="A9879" s="2" t="n"/>
      <c r="B9879">
        <f>LOWER(TRIM(A9879))</f>
        <v/>
      </c>
      <c r="C9879">
        <f>IF(B9879="","",IFERROR(INDEX('Bad Patterns'!$A$2:$A$120,MATCH(1,INDEX(--ISNUMBER(SEARCH('Bad Patterns'!$A$2:$A$120,B9879)),0),0)),""))</f>
        <v/>
      </c>
      <c r="D9879">
        <f>IF(B9879="","",IF(C9879&lt;&gt;"","REMOVE","KEEP"))</f>
        <v/>
      </c>
      <c r="E9879">
        <f>IF(D9879&lt;&gt;"KEEP","",IF(RIGHT(B9879,10)="@gmail.com","Gmail",IF(OR(RIGHT(B9879,12)="@outlook.com",RIGHT(B9879,12)="@hotmail.com",RIGHT(B9879,9)="@live.com"),"Outlook","Domain")))</f>
        <v/>
      </c>
      <c r="F9879">
        <f>IF(B9879="","",IFERROR(RIGHT(B9879,LEN(B9879)-FIND("@",B9879)),""))</f>
        <v/>
      </c>
      <c r="G9879">
        <f>IF(D9879="KEEP",COUNTIF($D$2:D9879,"KEEP"),"")</f>
        <v/>
      </c>
      <c r="H9879">
        <f>IF(D9879="REMOVE",COUNTIF($D$2:D9879,"REMOVE"),"")</f>
        <v/>
      </c>
      <c r="I9879">
        <f>IF(E9879="Gmail",COUNTIF($E$2:E9879,"Gmail"),"")</f>
        <v/>
      </c>
      <c r="J9879">
        <f>IF(E9879="Outlook",COUNTIF($E$2:E9879,"Outlook"),"")</f>
        <v/>
      </c>
      <c r="K9879">
        <f>IF(E9879="Domain",COUNTIF($E$2:E9879,"Domain"),"")</f>
        <v/>
      </c>
    </row>
    <row r="9880">
      <c r="A9880" s="2" t="n"/>
      <c r="B9880">
        <f>LOWER(TRIM(A9880))</f>
        <v/>
      </c>
      <c r="C9880">
        <f>IF(B9880="","",IFERROR(INDEX('Bad Patterns'!$A$2:$A$120,MATCH(1,INDEX(--ISNUMBER(SEARCH('Bad Patterns'!$A$2:$A$120,B9880)),0),0)),""))</f>
        <v/>
      </c>
      <c r="D9880">
        <f>IF(B9880="","",IF(C9880&lt;&gt;"","REMOVE","KEEP"))</f>
        <v/>
      </c>
      <c r="E9880">
        <f>IF(D9880&lt;&gt;"KEEP","",IF(RIGHT(B9880,10)="@gmail.com","Gmail",IF(OR(RIGHT(B9880,12)="@outlook.com",RIGHT(B9880,12)="@hotmail.com",RIGHT(B9880,9)="@live.com"),"Outlook","Domain")))</f>
        <v/>
      </c>
      <c r="F9880">
        <f>IF(B9880="","",IFERROR(RIGHT(B9880,LEN(B9880)-FIND("@",B9880)),""))</f>
        <v/>
      </c>
      <c r="G9880">
        <f>IF(D9880="KEEP",COUNTIF($D$2:D9880,"KEEP"),"")</f>
        <v/>
      </c>
      <c r="H9880">
        <f>IF(D9880="REMOVE",COUNTIF($D$2:D9880,"REMOVE"),"")</f>
        <v/>
      </c>
      <c r="I9880">
        <f>IF(E9880="Gmail",COUNTIF($E$2:E9880,"Gmail"),"")</f>
        <v/>
      </c>
      <c r="J9880">
        <f>IF(E9880="Outlook",COUNTIF($E$2:E9880,"Outlook"),"")</f>
        <v/>
      </c>
      <c r="K9880">
        <f>IF(E9880="Domain",COUNTIF($E$2:E9880,"Domain"),"")</f>
        <v/>
      </c>
    </row>
    <row r="9881">
      <c r="A9881" s="2" t="n"/>
      <c r="B9881">
        <f>LOWER(TRIM(A9881))</f>
        <v/>
      </c>
      <c r="C9881">
        <f>IF(B9881="","",IFERROR(INDEX('Bad Patterns'!$A$2:$A$120,MATCH(1,INDEX(--ISNUMBER(SEARCH('Bad Patterns'!$A$2:$A$120,B9881)),0),0)),""))</f>
        <v/>
      </c>
      <c r="D9881">
        <f>IF(B9881="","",IF(C9881&lt;&gt;"","REMOVE","KEEP"))</f>
        <v/>
      </c>
      <c r="E9881">
        <f>IF(D9881&lt;&gt;"KEEP","",IF(RIGHT(B9881,10)="@gmail.com","Gmail",IF(OR(RIGHT(B9881,12)="@outlook.com",RIGHT(B9881,12)="@hotmail.com",RIGHT(B9881,9)="@live.com"),"Outlook","Domain")))</f>
        <v/>
      </c>
      <c r="F9881">
        <f>IF(B9881="","",IFERROR(RIGHT(B9881,LEN(B9881)-FIND("@",B9881)),""))</f>
        <v/>
      </c>
      <c r="G9881">
        <f>IF(D9881="KEEP",COUNTIF($D$2:D9881,"KEEP"),"")</f>
        <v/>
      </c>
      <c r="H9881">
        <f>IF(D9881="REMOVE",COUNTIF($D$2:D9881,"REMOVE"),"")</f>
        <v/>
      </c>
      <c r="I9881">
        <f>IF(E9881="Gmail",COUNTIF($E$2:E9881,"Gmail"),"")</f>
        <v/>
      </c>
      <c r="J9881">
        <f>IF(E9881="Outlook",COUNTIF($E$2:E9881,"Outlook"),"")</f>
        <v/>
      </c>
      <c r="K9881">
        <f>IF(E9881="Domain",COUNTIF($E$2:E9881,"Domain"),"")</f>
        <v/>
      </c>
    </row>
    <row r="9882">
      <c r="A9882" s="2" t="n"/>
      <c r="B9882">
        <f>LOWER(TRIM(A9882))</f>
        <v/>
      </c>
      <c r="C9882">
        <f>IF(B9882="","",IFERROR(INDEX('Bad Patterns'!$A$2:$A$120,MATCH(1,INDEX(--ISNUMBER(SEARCH('Bad Patterns'!$A$2:$A$120,B9882)),0),0)),""))</f>
        <v/>
      </c>
      <c r="D9882">
        <f>IF(B9882="","",IF(C9882&lt;&gt;"","REMOVE","KEEP"))</f>
        <v/>
      </c>
      <c r="E9882">
        <f>IF(D9882&lt;&gt;"KEEP","",IF(RIGHT(B9882,10)="@gmail.com","Gmail",IF(OR(RIGHT(B9882,12)="@outlook.com",RIGHT(B9882,12)="@hotmail.com",RIGHT(B9882,9)="@live.com"),"Outlook","Domain")))</f>
        <v/>
      </c>
      <c r="F9882">
        <f>IF(B9882="","",IFERROR(RIGHT(B9882,LEN(B9882)-FIND("@",B9882)),""))</f>
        <v/>
      </c>
      <c r="G9882">
        <f>IF(D9882="KEEP",COUNTIF($D$2:D9882,"KEEP"),"")</f>
        <v/>
      </c>
      <c r="H9882">
        <f>IF(D9882="REMOVE",COUNTIF($D$2:D9882,"REMOVE"),"")</f>
        <v/>
      </c>
      <c r="I9882">
        <f>IF(E9882="Gmail",COUNTIF($E$2:E9882,"Gmail"),"")</f>
        <v/>
      </c>
      <c r="J9882">
        <f>IF(E9882="Outlook",COUNTIF($E$2:E9882,"Outlook"),"")</f>
        <v/>
      </c>
      <c r="K9882">
        <f>IF(E9882="Domain",COUNTIF($E$2:E9882,"Domain"),"")</f>
        <v/>
      </c>
    </row>
    <row r="9883">
      <c r="A9883" s="2" t="n"/>
      <c r="B9883">
        <f>LOWER(TRIM(A9883))</f>
        <v/>
      </c>
      <c r="C9883">
        <f>IF(B9883="","",IFERROR(INDEX('Bad Patterns'!$A$2:$A$120,MATCH(1,INDEX(--ISNUMBER(SEARCH('Bad Patterns'!$A$2:$A$120,B9883)),0),0)),""))</f>
        <v/>
      </c>
      <c r="D9883">
        <f>IF(B9883="","",IF(C9883&lt;&gt;"","REMOVE","KEEP"))</f>
        <v/>
      </c>
      <c r="E9883">
        <f>IF(D9883&lt;&gt;"KEEP","",IF(RIGHT(B9883,10)="@gmail.com","Gmail",IF(OR(RIGHT(B9883,12)="@outlook.com",RIGHT(B9883,12)="@hotmail.com",RIGHT(B9883,9)="@live.com"),"Outlook","Domain")))</f>
        <v/>
      </c>
      <c r="F9883">
        <f>IF(B9883="","",IFERROR(RIGHT(B9883,LEN(B9883)-FIND("@",B9883)),""))</f>
        <v/>
      </c>
      <c r="G9883">
        <f>IF(D9883="KEEP",COUNTIF($D$2:D9883,"KEEP"),"")</f>
        <v/>
      </c>
      <c r="H9883">
        <f>IF(D9883="REMOVE",COUNTIF($D$2:D9883,"REMOVE"),"")</f>
        <v/>
      </c>
      <c r="I9883">
        <f>IF(E9883="Gmail",COUNTIF($E$2:E9883,"Gmail"),"")</f>
        <v/>
      </c>
      <c r="J9883">
        <f>IF(E9883="Outlook",COUNTIF($E$2:E9883,"Outlook"),"")</f>
        <v/>
      </c>
      <c r="K9883">
        <f>IF(E9883="Domain",COUNTIF($E$2:E9883,"Domain"),"")</f>
        <v/>
      </c>
    </row>
    <row r="9884">
      <c r="A9884" s="2" t="n"/>
      <c r="B9884">
        <f>LOWER(TRIM(A9884))</f>
        <v/>
      </c>
      <c r="C9884">
        <f>IF(B9884="","",IFERROR(INDEX('Bad Patterns'!$A$2:$A$120,MATCH(1,INDEX(--ISNUMBER(SEARCH('Bad Patterns'!$A$2:$A$120,B9884)),0),0)),""))</f>
        <v/>
      </c>
      <c r="D9884">
        <f>IF(B9884="","",IF(C9884&lt;&gt;"","REMOVE","KEEP"))</f>
        <v/>
      </c>
      <c r="E9884">
        <f>IF(D9884&lt;&gt;"KEEP","",IF(RIGHT(B9884,10)="@gmail.com","Gmail",IF(OR(RIGHT(B9884,12)="@outlook.com",RIGHT(B9884,12)="@hotmail.com",RIGHT(B9884,9)="@live.com"),"Outlook","Domain")))</f>
        <v/>
      </c>
      <c r="F9884">
        <f>IF(B9884="","",IFERROR(RIGHT(B9884,LEN(B9884)-FIND("@",B9884)),""))</f>
        <v/>
      </c>
      <c r="G9884">
        <f>IF(D9884="KEEP",COUNTIF($D$2:D9884,"KEEP"),"")</f>
        <v/>
      </c>
      <c r="H9884">
        <f>IF(D9884="REMOVE",COUNTIF($D$2:D9884,"REMOVE"),"")</f>
        <v/>
      </c>
      <c r="I9884">
        <f>IF(E9884="Gmail",COUNTIF($E$2:E9884,"Gmail"),"")</f>
        <v/>
      </c>
      <c r="J9884">
        <f>IF(E9884="Outlook",COUNTIF($E$2:E9884,"Outlook"),"")</f>
        <v/>
      </c>
      <c r="K9884">
        <f>IF(E9884="Domain",COUNTIF($E$2:E9884,"Domain"),"")</f>
        <v/>
      </c>
    </row>
    <row r="9885">
      <c r="A9885" s="2" t="n"/>
      <c r="B9885">
        <f>LOWER(TRIM(A9885))</f>
        <v/>
      </c>
      <c r="C9885">
        <f>IF(B9885="","",IFERROR(INDEX('Bad Patterns'!$A$2:$A$120,MATCH(1,INDEX(--ISNUMBER(SEARCH('Bad Patterns'!$A$2:$A$120,B9885)),0),0)),""))</f>
        <v/>
      </c>
      <c r="D9885">
        <f>IF(B9885="","",IF(C9885&lt;&gt;"","REMOVE","KEEP"))</f>
        <v/>
      </c>
      <c r="E9885">
        <f>IF(D9885&lt;&gt;"KEEP","",IF(RIGHT(B9885,10)="@gmail.com","Gmail",IF(OR(RIGHT(B9885,12)="@outlook.com",RIGHT(B9885,12)="@hotmail.com",RIGHT(B9885,9)="@live.com"),"Outlook","Domain")))</f>
        <v/>
      </c>
      <c r="F9885">
        <f>IF(B9885="","",IFERROR(RIGHT(B9885,LEN(B9885)-FIND("@",B9885)),""))</f>
        <v/>
      </c>
      <c r="G9885">
        <f>IF(D9885="KEEP",COUNTIF($D$2:D9885,"KEEP"),"")</f>
        <v/>
      </c>
      <c r="H9885">
        <f>IF(D9885="REMOVE",COUNTIF($D$2:D9885,"REMOVE"),"")</f>
        <v/>
      </c>
      <c r="I9885">
        <f>IF(E9885="Gmail",COUNTIF($E$2:E9885,"Gmail"),"")</f>
        <v/>
      </c>
      <c r="J9885">
        <f>IF(E9885="Outlook",COUNTIF($E$2:E9885,"Outlook"),"")</f>
        <v/>
      </c>
      <c r="K9885">
        <f>IF(E9885="Domain",COUNTIF($E$2:E9885,"Domain"),"")</f>
        <v/>
      </c>
    </row>
    <row r="9886">
      <c r="A9886" s="2" t="n"/>
      <c r="B9886">
        <f>LOWER(TRIM(A9886))</f>
        <v/>
      </c>
      <c r="C9886">
        <f>IF(B9886="","",IFERROR(INDEX('Bad Patterns'!$A$2:$A$120,MATCH(1,INDEX(--ISNUMBER(SEARCH('Bad Patterns'!$A$2:$A$120,B9886)),0),0)),""))</f>
        <v/>
      </c>
      <c r="D9886">
        <f>IF(B9886="","",IF(C9886&lt;&gt;"","REMOVE","KEEP"))</f>
        <v/>
      </c>
      <c r="E9886">
        <f>IF(D9886&lt;&gt;"KEEP","",IF(RIGHT(B9886,10)="@gmail.com","Gmail",IF(OR(RIGHT(B9886,12)="@outlook.com",RIGHT(B9886,12)="@hotmail.com",RIGHT(B9886,9)="@live.com"),"Outlook","Domain")))</f>
        <v/>
      </c>
      <c r="F9886">
        <f>IF(B9886="","",IFERROR(RIGHT(B9886,LEN(B9886)-FIND("@",B9886)),""))</f>
        <v/>
      </c>
      <c r="G9886">
        <f>IF(D9886="KEEP",COUNTIF($D$2:D9886,"KEEP"),"")</f>
        <v/>
      </c>
      <c r="H9886">
        <f>IF(D9886="REMOVE",COUNTIF($D$2:D9886,"REMOVE"),"")</f>
        <v/>
      </c>
      <c r="I9886">
        <f>IF(E9886="Gmail",COUNTIF($E$2:E9886,"Gmail"),"")</f>
        <v/>
      </c>
      <c r="J9886">
        <f>IF(E9886="Outlook",COUNTIF($E$2:E9886,"Outlook"),"")</f>
        <v/>
      </c>
      <c r="K9886">
        <f>IF(E9886="Domain",COUNTIF($E$2:E9886,"Domain"),"")</f>
        <v/>
      </c>
    </row>
    <row r="9887">
      <c r="A9887" s="2" t="n"/>
      <c r="B9887">
        <f>LOWER(TRIM(A9887))</f>
        <v/>
      </c>
      <c r="C9887">
        <f>IF(B9887="","",IFERROR(INDEX('Bad Patterns'!$A$2:$A$120,MATCH(1,INDEX(--ISNUMBER(SEARCH('Bad Patterns'!$A$2:$A$120,B9887)),0),0)),""))</f>
        <v/>
      </c>
      <c r="D9887">
        <f>IF(B9887="","",IF(C9887&lt;&gt;"","REMOVE","KEEP"))</f>
        <v/>
      </c>
      <c r="E9887">
        <f>IF(D9887&lt;&gt;"KEEP","",IF(RIGHT(B9887,10)="@gmail.com","Gmail",IF(OR(RIGHT(B9887,12)="@outlook.com",RIGHT(B9887,12)="@hotmail.com",RIGHT(B9887,9)="@live.com"),"Outlook","Domain")))</f>
        <v/>
      </c>
      <c r="F9887">
        <f>IF(B9887="","",IFERROR(RIGHT(B9887,LEN(B9887)-FIND("@",B9887)),""))</f>
        <v/>
      </c>
      <c r="G9887">
        <f>IF(D9887="KEEP",COUNTIF($D$2:D9887,"KEEP"),"")</f>
        <v/>
      </c>
      <c r="H9887">
        <f>IF(D9887="REMOVE",COUNTIF($D$2:D9887,"REMOVE"),"")</f>
        <v/>
      </c>
      <c r="I9887">
        <f>IF(E9887="Gmail",COUNTIF($E$2:E9887,"Gmail"),"")</f>
        <v/>
      </c>
      <c r="J9887">
        <f>IF(E9887="Outlook",COUNTIF($E$2:E9887,"Outlook"),"")</f>
        <v/>
      </c>
      <c r="K9887">
        <f>IF(E9887="Domain",COUNTIF($E$2:E9887,"Domain"),"")</f>
        <v/>
      </c>
    </row>
    <row r="9888">
      <c r="A9888" s="2" t="n"/>
      <c r="B9888">
        <f>LOWER(TRIM(A9888))</f>
        <v/>
      </c>
      <c r="C9888">
        <f>IF(B9888="","",IFERROR(INDEX('Bad Patterns'!$A$2:$A$120,MATCH(1,INDEX(--ISNUMBER(SEARCH('Bad Patterns'!$A$2:$A$120,B9888)),0),0)),""))</f>
        <v/>
      </c>
      <c r="D9888">
        <f>IF(B9888="","",IF(C9888&lt;&gt;"","REMOVE","KEEP"))</f>
        <v/>
      </c>
      <c r="E9888">
        <f>IF(D9888&lt;&gt;"KEEP","",IF(RIGHT(B9888,10)="@gmail.com","Gmail",IF(OR(RIGHT(B9888,12)="@outlook.com",RIGHT(B9888,12)="@hotmail.com",RIGHT(B9888,9)="@live.com"),"Outlook","Domain")))</f>
        <v/>
      </c>
      <c r="F9888">
        <f>IF(B9888="","",IFERROR(RIGHT(B9888,LEN(B9888)-FIND("@",B9888)),""))</f>
        <v/>
      </c>
      <c r="G9888">
        <f>IF(D9888="KEEP",COUNTIF($D$2:D9888,"KEEP"),"")</f>
        <v/>
      </c>
      <c r="H9888">
        <f>IF(D9888="REMOVE",COUNTIF($D$2:D9888,"REMOVE"),"")</f>
        <v/>
      </c>
      <c r="I9888">
        <f>IF(E9888="Gmail",COUNTIF($E$2:E9888,"Gmail"),"")</f>
        <v/>
      </c>
      <c r="J9888">
        <f>IF(E9888="Outlook",COUNTIF($E$2:E9888,"Outlook"),"")</f>
        <v/>
      </c>
      <c r="K9888">
        <f>IF(E9888="Domain",COUNTIF($E$2:E9888,"Domain"),"")</f>
        <v/>
      </c>
    </row>
    <row r="9889">
      <c r="A9889" s="2" t="n"/>
      <c r="B9889">
        <f>LOWER(TRIM(A9889))</f>
        <v/>
      </c>
      <c r="C9889">
        <f>IF(B9889="","",IFERROR(INDEX('Bad Patterns'!$A$2:$A$120,MATCH(1,INDEX(--ISNUMBER(SEARCH('Bad Patterns'!$A$2:$A$120,B9889)),0),0)),""))</f>
        <v/>
      </c>
      <c r="D9889">
        <f>IF(B9889="","",IF(C9889&lt;&gt;"","REMOVE","KEEP"))</f>
        <v/>
      </c>
      <c r="E9889">
        <f>IF(D9889&lt;&gt;"KEEP","",IF(RIGHT(B9889,10)="@gmail.com","Gmail",IF(OR(RIGHT(B9889,12)="@outlook.com",RIGHT(B9889,12)="@hotmail.com",RIGHT(B9889,9)="@live.com"),"Outlook","Domain")))</f>
        <v/>
      </c>
      <c r="F9889">
        <f>IF(B9889="","",IFERROR(RIGHT(B9889,LEN(B9889)-FIND("@",B9889)),""))</f>
        <v/>
      </c>
      <c r="G9889">
        <f>IF(D9889="KEEP",COUNTIF($D$2:D9889,"KEEP"),"")</f>
        <v/>
      </c>
      <c r="H9889">
        <f>IF(D9889="REMOVE",COUNTIF($D$2:D9889,"REMOVE"),"")</f>
        <v/>
      </c>
      <c r="I9889">
        <f>IF(E9889="Gmail",COUNTIF($E$2:E9889,"Gmail"),"")</f>
        <v/>
      </c>
      <c r="J9889">
        <f>IF(E9889="Outlook",COUNTIF($E$2:E9889,"Outlook"),"")</f>
        <v/>
      </c>
      <c r="K9889">
        <f>IF(E9889="Domain",COUNTIF($E$2:E9889,"Domain"),"")</f>
        <v/>
      </c>
    </row>
    <row r="9890">
      <c r="A9890" s="2" t="n"/>
      <c r="B9890">
        <f>LOWER(TRIM(A9890))</f>
        <v/>
      </c>
      <c r="C9890">
        <f>IF(B9890="","",IFERROR(INDEX('Bad Patterns'!$A$2:$A$120,MATCH(1,INDEX(--ISNUMBER(SEARCH('Bad Patterns'!$A$2:$A$120,B9890)),0),0)),""))</f>
        <v/>
      </c>
      <c r="D9890">
        <f>IF(B9890="","",IF(C9890&lt;&gt;"","REMOVE","KEEP"))</f>
        <v/>
      </c>
      <c r="E9890">
        <f>IF(D9890&lt;&gt;"KEEP","",IF(RIGHT(B9890,10)="@gmail.com","Gmail",IF(OR(RIGHT(B9890,12)="@outlook.com",RIGHT(B9890,12)="@hotmail.com",RIGHT(B9890,9)="@live.com"),"Outlook","Domain")))</f>
        <v/>
      </c>
      <c r="F9890">
        <f>IF(B9890="","",IFERROR(RIGHT(B9890,LEN(B9890)-FIND("@",B9890)),""))</f>
        <v/>
      </c>
      <c r="G9890">
        <f>IF(D9890="KEEP",COUNTIF($D$2:D9890,"KEEP"),"")</f>
        <v/>
      </c>
      <c r="H9890">
        <f>IF(D9890="REMOVE",COUNTIF($D$2:D9890,"REMOVE"),"")</f>
        <v/>
      </c>
      <c r="I9890">
        <f>IF(E9890="Gmail",COUNTIF($E$2:E9890,"Gmail"),"")</f>
        <v/>
      </c>
      <c r="J9890">
        <f>IF(E9890="Outlook",COUNTIF($E$2:E9890,"Outlook"),"")</f>
        <v/>
      </c>
      <c r="K9890">
        <f>IF(E9890="Domain",COUNTIF($E$2:E9890,"Domain"),"")</f>
        <v/>
      </c>
    </row>
    <row r="9891">
      <c r="A9891" s="2" t="n"/>
      <c r="B9891">
        <f>LOWER(TRIM(A9891))</f>
        <v/>
      </c>
      <c r="C9891">
        <f>IF(B9891="","",IFERROR(INDEX('Bad Patterns'!$A$2:$A$120,MATCH(1,INDEX(--ISNUMBER(SEARCH('Bad Patterns'!$A$2:$A$120,B9891)),0),0)),""))</f>
        <v/>
      </c>
      <c r="D9891">
        <f>IF(B9891="","",IF(C9891&lt;&gt;"","REMOVE","KEEP"))</f>
        <v/>
      </c>
      <c r="E9891">
        <f>IF(D9891&lt;&gt;"KEEP","",IF(RIGHT(B9891,10)="@gmail.com","Gmail",IF(OR(RIGHT(B9891,12)="@outlook.com",RIGHT(B9891,12)="@hotmail.com",RIGHT(B9891,9)="@live.com"),"Outlook","Domain")))</f>
        <v/>
      </c>
      <c r="F9891">
        <f>IF(B9891="","",IFERROR(RIGHT(B9891,LEN(B9891)-FIND("@",B9891)),""))</f>
        <v/>
      </c>
      <c r="G9891">
        <f>IF(D9891="KEEP",COUNTIF($D$2:D9891,"KEEP"),"")</f>
        <v/>
      </c>
      <c r="H9891">
        <f>IF(D9891="REMOVE",COUNTIF($D$2:D9891,"REMOVE"),"")</f>
        <v/>
      </c>
      <c r="I9891">
        <f>IF(E9891="Gmail",COUNTIF($E$2:E9891,"Gmail"),"")</f>
        <v/>
      </c>
      <c r="J9891">
        <f>IF(E9891="Outlook",COUNTIF($E$2:E9891,"Outlook"),"")</f>
        <v/>
      </c>
      <c r="K9891">
        <f>IF(E9891="Domain",COUNTIF($E$2:E9891,"Domain"),"")</f>
        <v/>
      </c>
    </row>
    <row r="9892">
      <c r="A9892" s="2" t="n"/>
      <c r="B9892">
        <f>LOWER(TRIM(A9892))</f>
        <v/>
      </c>
      <c r="C9892">
        <f>IF(B9892="","",IFERROR(INDEX('Bad Patterns'!$A$2:$A$120,MATCH(1,INDEX(--ISNUMBER(SEARCH('Bad Patterns'!$A$2:$A$120,B9892)),0),0)),""))</f>
        <v/>
      </c>
      <c r="D9892">
        <f>IF(B9892="","",IF(C9892&lt;&gt;"","REMOVE","KEEP"))</f>
        <v/>
      </c>
      <c r="E9892">
        <f>IF(D9892&lt;&gt;"KEEP","",IF(RIGHT(B9892,10)="@gmail.com","Gmail",IF(OR(RIGHT(B9892,12)="@outlook.com",RIGHT(B9892,12)="@hotmail.com",RIGHT(B9892,9)="@live.com"),"Outlook","Domain")))</f>
        <v/>
      </c>
      <c r="F9892">
        <f>IF(B9892="","",IFERROR(RIGHT(B9892,LEN(B9892)-FIND("@",B9892)),""))</f>
        <v/>
      </c>
      <c r="G9892">
        <f>IF(D9892="KEEP",COUNTIF($D$2:D9892,"KEEP"),"")</f>
        <v/>
      </c>
      <c r="H9892">
        <f>IF(D9892="REMOVE",COUNTIF($D$2:D9892,"REMOVE"),"")</f>
        <v/>
      </c>
      <c r="I9892">
        <f>IF(E9892="Gmail",COUNTIF($E$2:E9892,"Gmail"),"")</f>
        <v/>
      </c>
      <c r="J9892">
        <f>IF(E9892="Outlook",COUNTIF($E$2:E9892,"Outlook"),"")</f>
        <v/>
      </c>
      <c r="K9892">
        <f>IF(E9892="Domain",COUNTIF($E$2:E9892,"Domain"),"")</f>
        <v/>
      </c>
    </row>
    <row r="9893">
      <c r="A9893" s="2" t="n"/>
      <c r="B9893">
        <f>LOWER(TRIM(A9893))</f>
        <v/>
      </c>
      <c r="C9893">
        <f>IF(B9893="","",IFERROR(INDEX('Bad Patterns'!$A$2:$A$120,MATCH(1,INDEX(--ISNUMBER(SEARCH('Bad Patterns'!$A$2:$A$120,B9893)),0),0)),""))</f>
        <v/>
      </c>
      <c r="D9893">
        <f>IF(B9893="","",IF(C9893&lt;&gt;"","REMOVE","KEEP"))</f>
        <v/>
      </c>
      <c r="E9893">
        <f>IF(D9893&lt;&gt;"KEEP","",IF(RIGHT(B9893,10)="@gmail.com","Gmail",IF(OR(RIGHT(B9893,12)="@outlook.com",RIGHT(B9893,12)="@hotmail.com",RIGHT(B9893,9)="@live.com"),"Outlook","Domain")))</f>
        <v/>
      </c>
      <c r="F9893">
        <f>IF(B9893="","",IFERROR(RIGHT(B9893,LEN(B9893)-FIND("@",B9893)),""))</f>
        <v/>
      </c>
      <c r="G9893">
        <f>IF(D9893="KEEP",COUNTIF($D$2:D9893,"KEEP"),"")</f>
        <v/>
      </c>
      <c r="H9893">
        <f>IF(D9893="REMOVE",COUNTIF($D$2:D9893,"REMOVE"),"")</f>
        <v/>
      </c>
      <c r="I9893">
        <f>IF(E9893="Gmail",COUNTIF($E$2:E9893,"Gmail"),"")</f>
        <v/>
      </c>
      <c r="J9893">
        <f>IF(E9893="Outlook",COUNTIF($E$2:E9893,"Outlook"),"")</f>
        <v/>
      </c>
      <c r="K9893">
        <f>IF(E9893="Domain",COUNTIF($E$2:E9893,"Domain"),"")</f>
        <v/>
      </c>
    </row>
    <row r="9894">
      <c r="A9894" s="2" t="n"/>
      <c r="B9894">
        <f>LOWER(TRIM(A9894))</f>
        <v/>
      </c>
      <c r="C9894">
        <f>IF(B9894="","",IFERROR(INDEX('Bad Patterns'!$A$2:$A$120,MATCH(1,INDEX(--ISNUMBER(SEARCH('Bad Patterns'!$A$2:$A$120,B9894)),0),0)),""))</f>
        <v/>
      </c>
      <c r="D9894">
        <f>IF(B9894="","",IF(C9894&lt;&gt;"","REMOVE","KEEP"))</f>
        <v/>
      </c>
      <c r="E9894">
        <f>IF(D9894&lt;&gt;"KEEP","",IF(RIGHT(B9894,10)="@gmail.com","Gmail",IF(OR(RIGHT(B9894,12)="@outlook.com",RIGHT(B9894,12)="@hotmail.com",RIGHT(B9894,9)="@live.com"),"Outlook","Domain")))</f>
        <v/>
      </c>
      <c r="F9894">
        <f>IF(B9894="","",IFERROR(RIGHT(B9894,LEN(B9894)-FIND("@",B9894)),""))</f>
        <v/>
      </c>
      <c r="G9894">
        <f>IF(D9894="KEEP",COUNTIF($D$2:D9894,"KEEP"),"")</f>
        <v/>
      </c>
      <c r="H9894">
        <f>IF(D9894="REMOVE",COUNTIF($D$2:D9894,"REMOVE"),"")</f>
        <v/>
      </c>
      <c r="I9894">
        <f>IF(E9894="Gmail",COUNTIF($E$2:E9894,"Gmail"),"")</f>
        <v/>
      </c>
      <c r="J9894">
        <f>IF(E9894="Outlook",COUNTIF($E$2:E9894,"Outlook"),"")</f>
        <v/>
      </c>
      <c r="K9894">
        <f>IF(E9894="Domain",COUNTIF($E$2:E9894,"Domain"),"")</f>
        <v/>
      </c>
    </row>
    <row r="9895">
      <c r="A9895" s="2" t="n"/>
      <c r="B9895">
        <f>LOWER(TRIM(A9895))</f>
        <v/>
      </c>
      <c r="C9895">
        <f>IF(B9895="","",IFERROR(INDEX('Bad Patterns'!$A$2:$A$120,MATCH(1,INDEX(--ISNUMBER(SEARCH('Bad Patterns'!$A$2:$A$120,B9895)),0),0)),""))</f>
        <v/>
      </c>
      <c r="D9895">
        <f>IF(B9895="","",IF(C9895&lt;&gt;"","REMOVE","KEEP"))</f>
        <v/>
      </c>
      <c r="E9895">
        <f>IF(D9895&lt;&gt;"KEEP","",IF(RIGHT(B9895,10)="@gmail.com","Gmail",IF(OR(RIGHT(B9895,12)="@outlook.com",RIGHT(B9895,12)="@hotmail.com",RIGHT(B9895,9)="@live.com"),"Outlook","Domain")))</f>
        <v/>
      </c>
      <c r="F9895">
        <f>IF(B9895="","",IFERROR(RIGHT(B9895,LEN(B9895)-FIND("@",B9895)),""))</f>
        <v/>
      </c>
      <c r="G9895">
        <f>IF(D9895="KEEP",COUNTIF($D$2:D9895,"KEEP"),"")</f>
        <v/>
      </c>
      <c r="H9895">
        <f>IF(D9895="REMOVE",COUNTIF($D$2:D9895,"REMOVE"),"")</f>
        <v/>
      </c>
      <c r="I9895">
        <f>IF(E9895="Gmail",COUNTIF($E$2:E9895,"Gmail"),"")</f>
        <v/>
      </c>
      <c r="J9895">
        <f>IF(E9895="Outlook",COUNTIF($E$2:E9895,"Outlook"),"")</f>
        <v/>
      </c>
      <c r="K9895">
        <f>IF(E9895="Domain",COUNTIF($E$2:E9895,"Domain"),"")</f>
        <v/>
      </c>
    </row>
    <row r="9896">
      <c r="A9896" s="2" t="n"/>
      <c r="B9896">
        <f>LOWER(TRIM(A9896))</f>
        <v/>
      </c>
      <c r="C9896">
        <f>IF(B9896="","",IFERROR(INDEX('Bad Patterns'!$A$2:$A$120,MATCH(1,INDEX(--ISNUMBER(SEARCH('Bad Patterns'!$A$2:$A$120,B9896)),0),0)),""))</f>
        <v/>
      </c>
      <c r="D9896">
        <f>IF(B9896="","",IF(C9896&lt;&gt;"","REMOVE","KEEP"))</f>
        <v/>
      </c>
      <c r="E9896">
        <f>IF(D9896&lt;&gt;"KEEP","",IF(RIGHT(B9896,10)="@gmail.com","Gmail",IF(OR(RIGHT(B9896,12)="@outlook.com",RIGHT(B9896,12)="@hotmail.com",RIGHT(B9896,9)="@live.com"),"Outlook","Domain")))</f>
        <v/>
      </c>
      <c r="F9896">
        <f>IF(B9896="","",IFERROR(RIGHT(B9896,LEN(B9896)-FIND("@",B9896)),""))</f>
        <v/>
      </c>
      <c r="G9896">
        <f>IF(D9896="KEEP",COUNTIF($D$2:D9896,"KEEP"),"")</f>
        <v/>
      </c>
      <c r="H9896">
        <f>IF(D9896="REMOVE",COUNTIF($D$2:D9896,"REMOVE"),"")</f>
        <v/>
      </c>
      <c r="I9896">
        <f>IF(E9896="Gmail",COUNTIF($E$2:E9896,"Gmail"),"")</f>
        <v/>
      </c>
      <c r="J9896">
        <f>IF(E9896="Outlook",COUNTIF($E$2:E9896,"Outlook"),"")</f>
        <v/>
      </c>
      <c r="K9896">
        <f>IF(E9896="Domain",COUNTIF($E$2:E9896,"Domain"),"")</f>
        <v/>
      </c>
    </row>
    <row r="9897">
      <c r="A9897" s="2" t="n"/>
      <c r="B9897">
        <f>LOWER(TRIM(A9897))</f>
        <v/>
      </c>
      <c r="C9897">
        <f>IF(B9897="","",IFERROR(INDEX('Bad Patterns'!$A$2:$A$120,MATCH(1,INDEX(--ISNUMBER(SEARCH('Bad Patterns'!$A$2:$A$120,B9897)),0),0)),""))</f>
        <v/>
      </c>
      <c r="D9897">
        <f>IF(B9897="","",IF(C9897&lt;&gt;"","REMOVE","KEEP"))</f>
        <v/>
      </c>
      <c r="E9897">
        <f>IF(D9897&lt;&gt;"KEEP","",IF(RIGHT(B9897,10)="@gmail.com","Gmail",IF(OR(RIGHT(B9897,12)="@outlook.com",RIGHT(B9897,12)="@hotmail.com",RIGHT(B9897,9)="@live.com"),"Outlook","Domain")))</f>
        <v/>
      </c>
      <c r="F9897">
        <f>IF(B9897="","",IFERROR(RIGHT(B9897,LEN(B9897)-FIND("@",B9897)),""))</f>
        <v/>
      </c>
      <c r="G9897">
        <f>IF(D9897="KEEP",COUNTIF($D$2:D9897,"KEEP"),"")</f>
        <v/>
      </c>
      <c r="H9897">
        <f>IF(D9897="REMOVE",COUNTIF($D$2:D9897,"REMOVE"),"")</f>
        <v/>
      </c>
      <c r="I9897">
        <f>IF(E9897="Gmail",COUNTIF($E$2:E9897,"Gmail"),"")</f>
        <v/>
      </c>
      <c r="J9897">
        <f>IF(E9897="Outlook",COUNTIF($E$2:E9897,"Outlook"),"")</f>
        <v/>
      </c>
      <c r="K9897">
        <f>IF(E9897="Domain",COUNTIF($E$2:E9897,"Domain"),"")</f>
        <v/>
      </c>
    </row>
    <row r="9898">
      <c r="A9898" s="2" t="n"/>
      <c r="B9898">
        <f>LOWER(TRIM(A9898))</f>
        <v/>
      </c>
      <c r="C9898">
        <f>IF(B9898="","",IFERROR(INDEX('Bad Patterns'!$A$2:$A$120,MATCH(1,INDEX(--ISNUMBER(SEARCH('Bad Patterns'!$A$2:$A$120,B9898)),0),0)),""))</f>
        <v/>
      </c>
      <c r="D9898">
        <f>IF(B9898="","",IF(C9898&lt;&gt;"","REMOVE","KEEP"))</f>
        <v/>
      </c>
      <c r="E9898">
        <f>IF(D9898&lt;&gt;"KEEP","",IF(RIGHT(B9898,10)="@gmail.com","Gmail",IF(OR(RIGHT(B9898,12)="@outlook.com",RIGHT(B9898,12)="@hotmail.com",RIGHT(B9898,9)="@live.com"),"Outlook","Domain")))</f>
        <v/>
      </c>
      <c r="F9898">
        <f>IF(B9898="","",IFERROR(RIGHT(B9898,LEN(B9898)-FIND("@",B9898)),""))</f>
        <v/>
      </c>
      <c r="G9898">
        <f>IF(D9898="KEEP",COUNTIF($D$2:D9898,"KEEP"),"")</f>
        <v/>
      </c>
      <c r="H9898">
        <f>IF(D9898="REMOVE",COUNTIF($D$2:D9898,"REMOVE"),"")</f>
        <v/>
      </c>
      <c r="I9898">
        <f>IF(E9898="Gmail",COUNTIF($E$2:E9898,"Gmail"),"")</f>
        <v/>
      </c>
      <c r="J9898">
        <f>IF(E9898="Outlook",COUNTIF($E$2:E9898,"Outlook"),"")</f>
        <v/>
      </c>
      <c r="K9898">
        <f>IF(E9898="Domain",COUNTIF($E$2:E9898,"Domain"),"")</f>
        <v/>
      </c>
    </row>
    <row r="9899">
      <c r="A9899" s="2" t="n"/>
      <c r="B9899">
        <f>LOWER(TRIM(A9899))</f>
        <v/>
      </c>
      <c r="C9899">
        <f>IF(B9899="","",IFERROR(INDEX('Bad Patterns'!$A$2:$A$120,MATCH(1,INDEX(--ISNUMBER(SEARCH('Bad Patterns'!$A$2:$A$120,B9899)),0),0)),""))</f>
        <v/>
      </c>
      <c r="D9899">
        <f>IF(B9899="","",IF(C9899&lt;&gt;"","REMOVE","KEEP"))</f>
        <v/>
      </c>
      <c r="E9899">
        <f>IF(D9899&lt;&gt;"KEEP","",IF(RIGHT(B9899,10)="@gmail.com","Gmail",IF(OR(RIGHT(B9899,12)="@outlook.com",RIGHT(B9899,12)="@hotmail.com",RIGHT(B9899,9)="@live.com"),"Outlook","Domain")))</f>
        <v/>
      </c>
      <c r="F9899">
        <f>IF(B9899="","",IFERROR(RIGHT(B9899,LEN(B9899)-FIND("@",B9899)),""))</f>
        <v/>
      </c>
      <c r="G9899">
        <f>IF(D9899="KEEP",COUNTIF($D$2:D9899,"KEEP"),"")</f>
        <v/>
      </c>
      <c r="H9899">
        <f>IF(D9899="REMOVE",COUNTIF($D$2:D9899,"REMOVE"),"")</f>
        <v/>
      </c>
      <c r="I9899">
        <f>IF(E9899="Gmail",COUNTIF($E$2:E9899,"Gmail"),"")</f>
        <v/>
      </c>
      <c r="J9899">
        <f>IF(E9899="Outlook",COUNTIF($E$2:E9899,"Outlook"),"")</f>
        <v/>
      </c>
      <c r="K9899">
        <f>IF(E9899="Domain",COUNTIF($E$2:E9899,"Domain"),"")</f>
        <v/>
      </c>
    </row>
    <row r="9900">
      <c r="A9900" s="2" t="n"/>
      <c r="B9900">
        <f>LOWER(TRIM(A9900))</f>
        <v/>
      </c>
      <c r="C9900">
        <f>IF(B9900="","",IFERROR(INDEX('Bad Patterns'!$A$2:$A$120,MATCH(1,INDEX(--ISNUMBER(SEARCH('Bad Patterns'!$A$2:$A$120,B9900)),0),0)),""))</f>
        <v/>
      </c>
      <c r="D9900">
        <f>IF(B9900="","",IF(C9900&lt;&gt;"","REMOVE","KEEP"))</f>
        <v/>
      </c>
      <c r="E9900">
        <f>IF(D9900&lt;&gt;"KEEP","",IF(RIGHT(B9900,10)="@gmail.com","Gmail",IF(OR(RIGHT(B9900,12)="@outlook.com",RIGHT(B9900,12)="@hotmail.com",RIGHT(B9900,9)="@live.com"),"Outlook","Domain")))</f>
        <v/>
      </c>
      <c r="F9900">
        <f>IF(B9900="","",IFERROR(RIGHT(B9900,LEN(B9900)-FIND("@",B9900)),""))</f>
        <v/>
      </c>
      <c r="G9900">
        <f>IF(D9900="KEEP",COUNTIF($D$2:D9900,"KEEP"),"")</f>
        <v/>
      </c>
      <c r="H9900">
        <f>IF(D9900="REMOVE",COUNTIF($D$2:D9900,"REMOVE"),"")</f>
        <v/>
      </c>
      <c r="I9900">
        <f>IF(E9900="Gmail",COUNTIF($E$2:E9900,"Gmail"),"")</f>
        <v/>
      </c>
      <c r="J9900">
        <f>IF(E9900="Outlook",COUNTIF($E$2:E9900,"Outlook"),"")</f>
        <v/>
      </c>
      <c r="K9900">
        <f>IF(E9900="Domain",COUNTIF($E$2:E9900,"Domain"),"")</f>
        <v/>
      </c>
    </row>
    <row r="9901">
      <c r="A9901" s="2" t="n"/>
      <c r="B9901">
        <f>LOWER(TRIM(A9901))</f>
        <v/>
      </c>
      <c r="C9901">
        <f>IF(B9901="","",IFERROR(INDEX('Bad Patterns'!$A$2:$A$120,MATCH(1,INDEX(--ISNUMBER(SEARCH('Bad Patterns'!$A$2:$A$120,B9901)),0),0)),""))</f>
        <v/>
      </c>
      <c r="D9901">
        <f>IF(B9901="","",IF(C9901&lt;&gt;"","REMOVE","KEEP"))</f>
        <v/>
      </c>
      <c r="E9901">
        <f>IF(D9901&lt;&gt;"KEEP","",IF(RIGHT(B9901,10)="@gmail.com","Gmail",IF(OR(RIGHT(B9901,12)="@outlook.com",RIGHT(B9901,12)="@hotmail.com",RIGHT(B9901,9)="@live.com"),"Outlook","Domain")))</f>
        <v/>
      </c>
      <c r="F9901">
        <f>IF(B9901="","",IFERROR(RIGHT(B9901,LEN(B9901)-FIND("@",B9901)),""))</f>
        <v/>
      </c>
      <c r="G9901">
        <f>IF(D9901="KEEP",COUNTIF($D$2:D9901,"KEEP"),"")</f>
        <v/>
      </c>
      <c r="H9901">
        <f>IF(D9901="REMOVE",COUNTIF($D$2:D9901,"REMOVE"),"")</f>
        <v/>
      </c>
      <c r="I9901">
        <f>IF(E9901="Gmail",COUNTIF($E$2:E9901,"Gmail"),"")</f>
        <v/>
      </c>
      <c r="J9901">
        <f>IF(E9901="Outlook",COUNTIF($E$2:E9901,"Outlook"),"")</f>
        <v/>
      </c>
      <c r="K9901">
        <f>IF(E9901="Domain",COUNTIF($E$2:E9901,"Domain"),"")</f>
        <v/>
      </c>
    </row>
    <row r="9902">
      <c r="A9902" s="2" t="n"/>
      <c r="B9902">
        <f>LOWER(TRIM(A9902))</f>
        <v/>
      </c>
      <c r="C9902">
        <f>IF(B9902="","",IFERROR(INDEX('Bad Patterns'!$A$2:$A$120,MATCH(1,INDEX(--ISNUMBER(SEARCH('Bad Patterns'!$A$2:$A$120,B9902)),0),0)),""))</f>
        <v/>
      </c>
      <c r="D9902">
        <f>IF(B9902="","",IF(C9902&lt;&gt;"","REMOVE","KEEP"))</f>
        <v/>
      </c>
      <c r="E9902">
        <f>IF(D9902&lt;&gt;"KEEP","",IF(RIGHT(B9902,10)="@gmail.com","Gmail",IF(OR(RIGHT(B9902,12)="@outlook.com",RIGHT(B9902,12)="@hotmail.com",RIGHT(B9902,9)="@live.com"),"Outlook","Domain")))</f>
        <v/>
      </c>
      <c r="F9902">
        <f>IF(B9902="","",IFERROR(RIGHT(B9902,LEN(B9902)-FIND("@",B9902)),""))</f>
        <v/>
      </c>
      <c r="G9902">
        <f>IF(D9902="KEEP",COUNTIF($D$2:D9902,"KEEP"),"")</f>
        <v/>
      </c>
      <c r="H9902">
        <f>IF(D9902="REMOVE",COUNTIF($D$2:D9902,"REMOVE"),"")</f>
        <v/>
      </c>
      <c r="I9902">
        <f>IF(E9902="Gmail",COUNTIF($E$2:E9902,"Gmail"),"")</f>
        <v/>
      </c>
      <c r="J9902">
        <f>IF(E9902="Outlook",COUNTIF($E$2:E9902,"Outlook"),"")</f>
        <v/>
      </c>
      <c r="K9902">
        <f>IF(E9902="Domain",COUNTIF($E$2:E9902,"Domain"),"")</f>
        <v/>
      </c>
    </row>
    <row r="9903">
      <c r="A9903" s="2" t="n"/>
      <c r="B9903">
        <f>LOWER(TRIM(A9903))</f>
        <v/>
      </c>
      <c r="C9903">
        <f>IF(B9903="","",IFERROR(INDEX('Bad Patterns'!$A$2:$A$120,MATCH(1,INDEX(--ISNUMBER(SEARCH('Bad Patterns'!$A$2:$A$120,B9903)),0),0)),""))</f>
        <v/>
      </c>
      <c r="D9903">
        <f>IF(B9903="","",IF(C9903&lt;&gt;"","REMOVE","KEEP"))</f>
        <v/>
      </c>
      <c r="E9903">
        <f>IF(D9903&lt;&gt;"KEEP","",IF(RIGHT(B9903,10)="@gmail.com","Gmail",IF(OR(RIGHT(B9903,12)="@outlook.com",RIGHT(B9903,12)="@hotmail.com",RIGHT(B9903,9)="@live.com"),"Outlook","Domain")))</f>
        <v/>
      </c>
      <c r="F9903">
        <f>IF(B9903="","",IFERROR(RIGHT(B9903,LEN(B9903)-FIND("@",B9903)),""))</f>
        <v/>
      </c>
      <c r="G9903">
        <f>IF(D9903="KEEP",COUNTIF($D$2:D9903,"KEEP"),"")</f>
        <v/>
      </c>
      <c r="H9903">
        <f>IF(D9903="REMOVE",COUNTIF($D$2:D9903,"REMOVE"),"")</f>
        <v/>
      </c>
      <c r="I9903">
        <f>IF(E9903="Gmail",COUNTIF($E$2:E9903,"Gmail"),"")</f>
        <v/>
      </c>
      <c r="J9903">
        <f>IF(E9903="Outlook",COUNTIF($E$2:E9903,"Outlook"),"")</f>
        <v/>
      </c>
      <c r="K9903">
        <f>IF(E9903="Domain",COUNTIF($E$2:E9903,"Domain"),"")</f>
        <v/>
      </c>
    </row>
    <row r="9904">
      <c r="A9904" s="2" t="n"/>
      <c r="B9904">
        <f>LOWER(TRIM(A9904))</f>
        <v/>
      </c>
      <c r="C9904">
        <f>IF(B9904="","",IFERROR(INDEX('Bad Patterns'!$A$2:$A$120,MATCH(1,INDEX(--ISNUMBER(SEARCH('Bad Patterns'!$A$2:$A$120,B9904)),0),0)),""))</f>
        <v/>
      </c>
      <c r="D9904">
        <f>IF(B9904="","",IF(C9904&lt;&gt;"","REMOVE","KEEP"))</f>
        <v/>
      </c>
      <c r="E9904">
        <f>IF(D9904&lt;&gt;"KEEP","",IF(RIGHT(B9904,10)="@gmail.com","Gmail",IF(OR(RIGHT(B9904,12)="@outlook.com",RIGHT(B9904,12)="@hotmail.com",RIGHT(B9904,9)="@live.com"),"Outlook","Domain")))</f>
        <v/>
      </c>
      <c r="F9904">
        <f>IF(B9904="","",IFERROR(RIGHT(B9904,LEN(B9904)-FIND("@",B9904)),""))</f>
        <v/>
      </c>
      <c r="G9904">
        <f>IF(D9904="KEEP",COUNTIF($D$2:D9904,"KEEP"),"")</f>
        <v/>
      </c>
      <c r="H9904">
        <f>IF(D9904="REMOVE",COUNTIF($D$2:D9904,"REMOVE"),"")</f>
        <v/>
      </c>
      <c r="I9904">
        <f>IF(E9904="Gmail",COUNTIF($E$2:E9904,"Gmail"),"")</f>
        <v/>
      </c>
      <c r="J9904">
        <f>IF(E9904="Outlook",COUNTIF($E$2:E9904,"Outlook"),"")</f>
        <v/>
      </c>
      <c r="K9904">
        <f>IF(E9904="Domain",COUNTIF($E$2:E9904,"Domain"),"")</f>
        <v/>
      </c>
    </row>
    <row r="9905">
      <c r="A9905" s="2" t="n"/>
      <c r="B9905">
        <f>LOWER(TRIM(A9905))</f>
        <v/>
      </c>
      <c r="C9905">
        <f>IF(B9905="","",IFERROR(INDEX('Bad Patterns'!$A$2:$A$120,MATCH(1,INDEX(--ISNUMBER(SEARCH('Bad Patterns'!$A$2:$A$120,B9905)),0),0)),""))</f>
        <v/>
      </c>
      <c r="D9905">
        <f>IF(B9905="","",IF(C9905&lt;&gt;"","REMOVE","KEEP"))</f>
        <v/>
      </c>
      <c r="E9905">
        <f>IF(D9905&lt;&gt;"KEEP","",IF(RIGHT(B9905,10)="@gmail.com","Gmail",IF(OR(RIGHT(B9905,12)="@outlook.com",RIGHT(B9905,12)="@hotmail.com",RIGHT(B9905,9)="@live.com"),"Outlook","Domain")))</f>
        <v/>
      </c>
      <c r="F9905">
        <f>IF(B9905="","",IFERROR(RIGHT(B9905,LEN(B9905)-FIND("@",B9905)),""))</f>
        <v/>
      </c>
      <c r="G9905">
        <f>IF(D9905="KEEP",COUNTIF($D$2:D9905,"KEEP"),"")</f>
        <v/>
      </c>
      <c r="H9905">
        <f>IF(D9905="REMOVE",COUNTIF($D$2:D9905,"REMOVE"),"")</f>
        <v/>
      </c>
      <c r="I9905">
        <f>IF(E9905="Gmail",COUNTIF($E$2:E9905,"Gmail"),"")</f>
        <v/>
      </c>
      <c r="J9905">
        <f>IF(E9905="Outlook",COUNTIF($E$2:E9905,"Outlook"),"")</f>
        <v/>
      </c>
      <c r="K9905">
        <f>IF(E9905="Domain",COUNTIF($E$2:E9905,"Domain"),"")</f>
        <v/>
      </c>
    </row>
    <row r="9906">
      <c r="A9906" s="2" t="n"/>
      <c r="B9906">
        <f>LOWER(TRIM(A9906))</f>
        <v/>
      </c>
      <c r="C9906">
        <f>IF(B9906="","",IFERROR(INDEX('Bad Patterns'!$A$2:$A$120,MATCH(1,INDEX(--ISNUMBER(SEARCH('Bad Patterns'!$A$2:$A$120,B9906)),0),0)),""))</f>
        <v/>
      </c>
      <c r="D9906">
        <f>IF(B9906="","",IF(C9906&lt;&gt;"","REMOVE","KEEP"))</f>
        <v/>
      </c>
      <c r="E9906">
        <f>IF(D9906&lt;&gt;"KEEP","",IF(RIGHT(B9906,10)="@gmail.com","Gmail",IF(OR(RIGHT(B9906,12)="@outlook.com",RIGHT(B9906,12)="@hotmail.com",RIGHT(B9906,9)="@live.com"),"Outlook","Domain")))</f>
        <v/>
      </c>
      <c r="F9906">
        <f>IF(B9906="","",IFERROR(RIGHT(B9906,LEN(B9906)-FIND("@",B9906)),""))</f>
        <v/>
      </c>
      <c r="G9906">
        <f>IF(D9906="KEEP",COUNTIF($D$2:D9906,"KEEP"),"")</f>
        <v/>
      </c>
      <c r="H9906">
        <f>IF(D9906="REMOVE",COUNTIF($D$2:D9906,"REMOVE"),"")</f>
        <v/>
      </c>
      <c r="I9906">
        <f>IF(E9906="Gmail",COUNTIF($E$2:E9906,"Gmail"),"")</f>
        <v/>
      </c>
      <c r="J9906">
        <f>IF(E9906="Outlook",COUNTIF($E$2:E9906,"Outlook"),"")</f>
        <v/>
      </c>
      <c r="K9906">
        <f>IF(E9906="Domain",COUNTIF($E$2:E9906,"Domain"),"")</f>
        <v/>
      </c>
    </row>
    <row r="9907">
      <c r="A9907" s="2" t="n"/>
      <c r="B9907">
        <f>LOWER(TRIM(A9907))</f>
        <v/>
      </c>
      <c r="C9907">
        <f>IF(B9907="","",IFERROR(INDEX('Bad Patterns'!$A$2:$A$120,MATCH(1,INDEX(--ISNUMBER(SEARCH('Bad Patterns'!$A$2:$A$120,B9907)),0),0)),""))</f>
        <v/>
      </c>
      <c r="D9907">
        <f>IF(B9907="","",IF(C9907&lt;&gt;"","REMOVE","KEEP"))</f>
        <v/>
      </c>
      <c r="E9907">
        <f>IF(D9907&lt;&gt;"KEEP","",IF(RIGHT(B9907,10)="@gmail.com","Gmail",IF(OR(RIGHT(B9907,12)="@outlook.com",RIGHT(B9907,12)="@hotmail.com",RIGHT(B9907,9)="@live.com"),"Outlook","Domain")))</f>
        <v/>
      </c>
      <c r="F9907">
        <f>IF(B9907="","",IFERROR(RIGHT(B9907,LEN(B9907)-FIND("@",B9907)),""))</f>
        <v/>
      </c>
      <c r="G9907">
        <f>IF(D9907="KEEP",COUNTIF($D$2:D9907,"KEEP"),"")</f>
        <v/>
      </c>
      <c r="H9907">
        <f>IF(D9907="REMOVE",COUNTIF($D$2:D9907,"REMOVE"),"")</f>
        <v/>
      </c>
      <c r="I9907">
        <f>IF(E9907="Gmail",COUNTIF($E$2:E9907,"Gmail"),"")</f>
        <v/>
      </c>
      <c r="J9907">
        <f>IF(E9907="Outlook",COUNTIF($E$2:E9907,"Outlook"),"")</f>
        <v/>
      </c>
      <c r="K9907">
        <f>IF(E9907="Domain",COUNTIF($E$2:E9907,"Domain"),"")</f>
        <v/>
      </c>
    </row>
    <row r="9908">
      <c r="A9908" s="2" t="n"/>
      <c r="B9908">
        <f>LOWER(TRIM(A9908))</f>
        <v/>
      </c>
      <c r="C9908">
        <f>IF(B9908="","",IFERROR(INDEX('Bad Patterns'!$A$2:$A$120,MATCH(1,INDEX(--ISNUMBER(SEARCH('Bad Patterns'!$A$2:$A$120,B9908)),0),0)),""))</f>
        <v/>
      </c>
      <c r="D9908">
        <f>IF(B9908="","",IF(C9908&lt;&gt;"","REMOVE","KEEP"))</f>
        <v/>
      </c>
      <c r="E9908">
        <f>IF(D9908&lt;&gt;"KEEP","",IF(RIGHT(B9908,10)="@gmail.com","Gmail",IF(OR(RIGHT(B9908,12)="@outlook.com",RIGHT(B9908,12)="@hotmail.com",RIGHT(B9908,9)="@live.com"),"Outlook","Domain")))</f>
        <v/>
      </c>
      <c r="F9908">
        <f>IF(B9908="","",IFERROR(RIGHT(B9908,LEN(B9908)-FIND("@",B9908)),""))</f>
        <v/>
      </c>
      <c r="G9908">
        <f>IF(D9908="KEEP",COUNTIF($D$2:D9908,"KEEP"),"")</f>
        <v/>
      </c>
      <c r="H9908">
        <f>IF(D9908="REMOVE",COUNTIF($D$2:D9908,"REMOVE"),"")</f>
        <v/>
      </c>
      <c r="I9908">
        <f>IF(E9908="Gmail",COUNTIF($E$2:E9908,"Gmail"),"")</f>
        <v/>
      </c>
      <c r="J9908">
        <f>IF(E9908="Outlook",COUNTIF($E$2:E9908,"Outlook"),"")</f>
        <v/>
      </c>
      <c r="K9908">
        <f>IF(E9908="Domain",COUNTIF($E$2:E9908,"Domain"),"")</f>
        <v/>
      </c>
    </row>
    <row r="9909">
      <c r="A9909" s="2" t="n"/>
      <c r="B9909">
        <f>LOWER(TRIM(A9909))</f>
        <v/>
      </c>
      <c r="C9909">
        <f>IF(B9909="","",IFERROR(INDEX('Bad Patterns'!$A$2:$A$120,MATCH(1,INDEX(--ISNUMBER(SEARCH('Bad Patterns'!$A$2:$A$120,B9909)),0),0)),""))</f>
        <v/>
      </c>
      <c r="D9909">
        <f>IF(B9909="","",IF(C9909&lt;&gt;"","REMOVE","KEEP"))</f>
        <v/>
      </c>
      <c r="E9909">
        <f>IF(D9909&lt;&gt;"KEEP","",IF(RIGHT(B9909,10)="@gmail.com","Gmail",IF(OR(RIGHT(B9909,12)="@outlook.com",RIGHT(B9909,12)="@hotmail.com",RIGHT(B9909,9)="@live.com"),"Outlook","Domain")))</f>
        <v/>
      </c>
      <c r="F9909">
        <f>IF(B9909="","",IFERROR(RIGHT(B9909,LEN(B9909)-FIND("@",B9909)),""))</f>
        <v/>
      </c>
      <c r="G9909">
        <f>IF(D9909="KEEP",COUNTIF($D$2:D9909,"KEEP"),"")</f>
        <v/>
      </c>
      <c r="H9909">
        <f>IF(D9909="REMOVE",COUNTIF($D$2:D9909,"REMOVE"),"")</f>
        <v/>
      </c>
      <c r="I9909">
        <f>IF(E9909="Gmail",COUNTIF($E$2:E9909,"Gmail"),"")</f>
        <v/>
      </c>
      <c r="J9909">
        <f>IF(E9909="Outlook",COUNTIF($E$2:E9909,"Outlook"),"")</f>
        <v/>
      </c>
      <c r="K9909">
        <f>IF(E9909="Domain",COUNTIF($E$2:E9909,"Domain"),"")</f>
        <v/>
      </c>
    </row>
    <row r="9910">
      <c r="A9910" s="2" t="n"/>
      <c r="B9910">
        <f>LOWER(TRIM(A9910))</f>
        <v/>
      </c>
      <c r="C9910">
        <f>IF(B9910="","",IFERROR(INDEX('Bad Patterns'!$A$2:$A$120,MATCH(1,INDEX(--ISNUMBER(SEARCH('Bad Patterns'!$A$2:$A$120,B9910)),0),0)),""))</f>
        <v/>
      </c>
      <c r="D9910">
        <f>IF(B9910="","",IF(C9910&lt;&gt;"","REMOVE","KEEP"))</f>
        <v/>
      </c>
      <c r="E9910">
        <f>IF(D9910&lt;&gt;"KEEP","",IF(RIGHT(B9910,10)="@gmail.com","Gmail",IF(OR(RIGHT(B9910,12)="@outlook.com",RIGHT(B9910,12)="@hotmail.com",RIGHT(B9910,9)="@live.com"),"Outlook","Domain")))</f>
        <v/>
      </c>
      <c r="F9910">
        <f>IF(B9910="","",IFERROR(RIGHT(B9910,LEN(B9910)-FIND("@",B9910)),""))</f>
        <v/>
      </c>
      <c r="G9910">
        <f>IF(D9910="KEEP",COUNTIF($D$2:D9910,"KEEP"),"")</f>
        <v/>
      </c>
      <c r="H9910">
        <f>IF(D9910="REMOVE",COUNTIF($D$2:D9910,"REMOVE"),"")</f>
        <v/>
      </c>
      <c r="I9910">
        <f>IF(E9910="Gmail",COUNTIF($E$2:E9910,"Gmail"),"")</f>
        <v/>
      </c>
      <c r="J9910">
        <f>IF(E9910="Outlook",COUNTIF($E$2:E9910,"Outlook"),"")</f>
        <v/>
      </c>
      <c r="K9910">
        <f>IF(E9910="Domain",COUNTIF($E$2:E9910,"Domain"),"")</f>
        <v/>
      </c>
    </row>
    <row r="9911">
      <c r="A9911" s="2" t="n"/>
      <c r="B9911">
        <f>LOWER(TRIM(A9911))</f>
        <v/>
      </c>
      <c r="C9911">
        <f>IF(B9911="","",IFERROR(INDEX('Bad Patterns'!$A$2:$A$120,MATCH(1,INDEX(--ISNUMBER(SEARCH('Bad Patterns'!$A$2:$A$120,B9911)),0),0)),""))</f>
        <v/>
      </c>
      <c r="D9911">
        <f>IF(B9911="","",IF(C9911&lt;&gt;"","REMOVE","KEEP"))</f>
        <v/>
      </c>
      <c r="E9911">
        <f>IF(D9911&lt;&gt;"KEEP","",IF(RIGHT(B9911,10)="@gmail.com","Gmail",IF(OR(RIGHT(B9911,12)="@outlook.com",RIGHT(B9911,12)="@hotmail.com",RIGHT(B9911,9)="@live.com"),"Outlook","Domain")))</f>
        <v/>
      </c>
      <c r="F9911">
        <f>IF(B9911="","",IFERROR(RIGHT(B9911,LEN(B9911)-FIND("@",B9911)),""))</f>
        <v/>
      </c>
      <c r="G9911">
        <f>IF(D9911="KEEP",COUNTIF($D$2:D9911,"KEEP"),"")</f>
        <v/>
      </c>
      <c r="H9911">
        <f>IF(D9911="REMOVE",COUNTIF($D$2:D9911,"REMOVE"),"")</f>
        <v/>
      </c>
      <c r="I9911">
        <f>IF(E9911="Gmail",COUNTIF($E$2:E9911,"Gmail"),"")</f>
        <v/>
      </c>
      <c r="J9911">
        <f>IF(E9911="Outlook",COUNTIF($E$2:E9911,"Outlook"),"")</f>
        <v/>
      </c>
      <c r="K9911">
        <f>IF(E9911="Domain",COUNTIF($E$2:E9911,"Domain"),"")</f>
        <v/>
      </c>
    </row>
    <row r="9912">
      <c r="A9912" s="2" t="n"/>
      <c r="B9912">
        <f>LOWER(TRIM(A9912))</f>
        <v/>
      </c>
      <c r="C9912">
        <f>IF(B9912="","",IFERROR(INDEX('Bad Patterns'!$A$2:$A$120,MATCH(1,INDEX(--ISNUMBER(SEARCH('Bad Patterns'!$A$2:$A$120,B9912)),0),0)),""))</f>
        <v/>
      </c>
      <c r="D9912">
        <f>IF(B9912="","",IF(C9912&lt;&gt;"","REMOVE","KEEP"))</f>
        <v/>
      </c>
      <c r="E9912">
        <f>IF(D9912&lt;&gt;"KEEP","",IF(RIGHT(B9912,10)="@gmail.com","Gmail",IF(OR(RIGHT(B9912,12)="@outlook.com",RIGHT(B9912,12)="@hotmail.com",RIGHT(B9912,9)="@live.com"),"Outlook","Domain")))</f>
        <v/>
      </c>
      <c r="F9912">
        <f>IF(B9912="","",IFERROR(RIGHT(B9912,LEN(B9912)-FIND("@",B9912)),""))</f>
        <v/>
      </c>
      <c r="G9912">
        <f>IF(D9912="KEEP",COUNTIF($D$2:D9912,"KEEP"),"")</f>
        <v/>
      </c>
      <c r="H9912">
        <f>IF(D9912="REMOVE",COUNTIF($D$2:D9912,"REMOVE"),"")</f>
        <v/>
      </c>
      <c r="I9912">
        <f>IF(E9912="Gmail",COUNTIF($E$2:E9912,"Gmail"),"")</f>
        <v/>
      </c>
      <c r="J9912">
        <f>IF(E9912="Outlook",COUNTIF($E$2:E9912,"Outlook"),"")</f>
        <v/>
      </c>
      <c r="K9912">
        <f>IF(E9912="Domain",COUNTIF($E$2:E9912,"Domain"),"")</f>
        <v/>
      </c>
    </row>
    <row r="9913">
      <c r="A9913" s="2" t="n"/>
      <c r="B9913">
        <f>LOWER(TRIM(A9913))</f>
        <v/>
      </c>
      <c r="C9913">
        <f>IF(B9913="","",IFERROR(INDEX('Bad Patterns'!$A$2:$A$120,MATCH(1,INDEX(--ISNUMBER(SEARCH('Bad Patterns'!$A$2:$A$120,B9913)),0),0)),""))</f>
        <v/>
      </c>
      <c r="D9913">
        <f>IF(B9913="","",IF(C9913&lt;&gt;"","REMOVE","KEEP"))</f>
        <v/>
      </c>
      <c r="E9913">
        <f>IF(D9913&lt;&gt;"KEEP","",IF(RIGHT(B9913,10)="@gmail.com","Gmail",IF(OR(RIGHT(B9913,12)="@outlook.com",RIGHT(B9913,12)="@hotmail.com",RIGHT(B9913,9)="@live.com"),"Outlook","Domain")))</f>
        <v/>
      </c>
      <c r="F9913">
        <f>IF(B9913="","",IFERROR(RIGHT(B9913,LEN(B9913)-FIND("@",B9913)),""))</f>
        <v/>
      </c>
      <c r="G9913">
        <f>IF(D9913="KEEP",COUNTIF($D$2:D9913,"KEEP"),"")</f>
        <v/>
      </c>
      <c r="H9913">
        <f>IF(D9913="REMOVE",COUNTIF($D$2:D9913,"REMOVE"),"")</f>
        <v/>
      </c>
      <c r="I9913">
        <f>IF(E9913="Gmail",COUNTIF($E$2:E9913,"Gmail"),"")</f>
        <v/>
      </c>
      <c r="J9913">
        <f>IF(E9913="Outlook",COUNTIF($E$2:E9913,"Outlook"),"")</f>
        <v/>
      </c>
      <c r="K9913">
        <f>IF(E9913="Domain",COUNTIF($E$2:E9913,"Domain"),"")</f>
        <v/>
      </c>
    </row>
    <row r="9914">
      <c r="A9914" s="2" t="n"/>
      <c r="B9914">
        <f>LOWER(TRIM(A9914))</f>
        <v/>
      </c>
      <c r="C9914">
        <f>IF(B9914="","",IFERROR(INDEX('Bad Patterns'!$A$2:$A$120,MATCH(1,INDEX(--ISNUMBER(SEARCH('Bad Patterns'!$A$2:$A$120,B9914)),0),0)),""))</f>
        <v/>
      </c>
      <c r="D9914">
        <f>IF(B9914="","",IF(C9914&lt;&gt;"","REMOVE","KEEP"))</f>
        <v/>
      </c>
      <c r="E9914">
        <f>IF(D9914&lt;&gt;"KEEP","",IF(RIGHT(B9914,10)="@gmail.com","Gmail",IF(OR(RIGHT(B9914,12)="@outlook.com",RIGHT(B9914,12)="@hotmail.com",RIGHT(B9914,9)="@live.com"),"Outlook","Domain")))</f>
        <v/>
      </c>
      <c r="F9914">
        <f>IF(B9914="","",IFERROR(RIGHT(B9914,LEN(B9914)-FIND("@",B9914)),""))</f>
        <v/>
      </c>
      <c r="G9914">
        <f>IF(D9914="KEEP",COUNTIF($D$2:D9914,"KEEP"),"")</f>
        <v/>
      </c>
      <c r="H9914">
        <f>IF(D9914="REMOVE",COUNTIF($D$2:D9914,"REMOVE"),"")</f>
        <v/>
      </c>
      <c r="I9914">
        <f>IF(E9914="Gmail",COUNTIF($E$2:E9914,"Gmail"),"")</f>
        <v/>
      </c>
      <c r="J9914">
        <f>IF(E9914="Outlook",COUNTIF($E$2:E9914,"Outlook"),"")</f>
        <v/>
      </c>
      <c r="K9914">
        <f>IF(E9914="Domain",COUNTIF($E$2:E9914,"Domain"),"")</f>
        <v/>
      </c>
    </row>
    <row r="9915">
      <c r="A9915" s="2" t="n"/>
      <c r="B9915">
        <f>LOWER(TRIM(A9915))</f>
        <v/>
      </c>
      <c r="C9915">
        <f>IF(B9915="","",IFERROR(INDEX('Bad Patterns'!$A$2:$A$120,MATCH(1,INDEX(--ISNUMBER(SEARCH('Bad Patterns'!$A$2:$A$120,B9915)),0),0)),""))</f>
        <v/>
      </c>
      <c r="D9915">
        <f>IF(B9915="","",IF(C9915&lt;&gt;"","REMOVE","KEEP"))</f>
        <v/>
      </c>
      <c r="E9915">
        <f>IF(D9915&lt;&gt;"KEEP","",IF(RIGHT(B9915,10)="@gmail.com","Gmail",IF(OR(RIGHT(B9915,12)="@outlook.com",RIGHT(B9915,12)="@hotmail.com",RIGHT(B9915,9)="@live.com"),"Outlook","Domain")))</f>
        <v/>
      </c>
      <c r="F9915">
        <f>IF(B9915="","",IFERROR(RIGHT(B9915,LEN(B9915)-FIND("@",B9915)),""))</f>
        <v/>
      </c>
      <c r="G9915">
        <f>IF(D9915="KEEP",COUNTIF($D$2:D9915,"KEEP"),"")</f>
        <v/>
      </c>
      <c r="H9915">
        <f>IF(D9915="REMOVE",COUNTIF($D$2:D9915,"REMOVE"),"")</f>
        <v/>
      </c>
      <c r="I9915">
        <f>IF(E9915="Gmail",COUNTIF($E$2:E9915,"Gmail"),"")</f>
        <v/>
      </c>
      <c r="J9915">
        <f>IF(E9915="Outlook",COUNTIF($E$2:E9915,"Outlook"),"")</f>
        <v/>
      </c>
      <c r="K9915">
        <f>IF(E9915="Domain",COUNTIF($E$2:E9915,"Domain"),"")</f>
        <v/>
      </c>
    </row>
    <row r="9916">
      <c r="A9916" s="2" t="n"/>
      <c r="B9916">
        <f>LOWER(TRIM(A9916))</f>
        <v/>
      </c>
      <c r="C9916">
        <f>IF(B9916="","",IFERROR(INDEX('Bad Patterns'!$A$2:$A$120,MATCH(1,INDEX(--ISNUMBER(SEARCH('Bad Patterns'!$A$2:$A$120,B9916)),0),0)),""))</f>
        <v/>
      </c>
      <c r="D9916">
        <f>IF(B9916="","",IF(C9916&lt;&gt;"","REMOVE","KEEP"))</f>
        <v/>
      </c>
      <c r="E9916">
        <f>IF(D9916&lt;&gt;"KEEP","",IF(RIGHT(B9916,10)="@gmail.com","Gmail",IF(OR(RIGHT(B9916,12)="@outlook.com",RIGHT(B9916,12)="@hotmail.com",RIGHT(B9916,9)="@live.com"),"Outlook","Domain")))</f>
        <v/>
      </c>
      <c r="F9916">
        <f>IF(B9916="","",IFERROR(RIGHT(B9916,LEN(B9916)-FIND("@",B9916)),""))</f>
        <v/>
      </c>
      <c r="G9916">
        <f>IF(D9916="KEEP",COUNTIF($D$2:D9916,"KEEP"),"")</f>
        <v/>
      </c>
      <c r="H9916">
        <f>IF(D9916="REMOVE",COUNTIF($D$2:D9916,"REMOVE"),"")</f>
        <v/>
      </c>
      <c r="I9916">
        <f>IF(E9916="Gmail",COUNTIF($E$2:E9916,"Gmail"),"")</f>
        <v/>
      </c>
      <c r="J9916">
        <f>IF(E9916="Outlook",COUNTIF($E$2:E9916,"Outlook"),"")</f>
        <v/>
      </c>
      <c r="K9916">
        <f>IF(E9916="Domain",COUNTIF($E$2:E9916,"Domain"),"")</f>
        <v/>
      </c>
    </row>
    <row r="9917">
      <c r="A9917" s="2" t="n"/>
      <c r="B9917">
        <f>LOWER(TRIM(A9917))</f>
        <v/>
      </c>
      <c r="C9917">
        <f>IF(B9917="","",IFERROR(INDEX('Bad Patterns'!$A$2:$A$120,MATCH(1,INDEX(--ISNUMBER(SEARCH('Bad Patterns'!$A$2:$A$120,B9917)),0),0)),""))</f>
        <v/>
      </c>
      <c r="D9917">
        <f>IF(B9917="","",IF(C9917&lt;&gt;"","REMOVE","KEEP"))</f>
        <v/>
      </c>
      <c r="E9917">
        <f>IF(D9917&lt;&gt;"KEEP","",IF(RIGHT(B9917,10)="@gmail.com","Gmail",IF(OR(RIGHT(B9917,12)="@outlook.com",RIGHT(B9917,12)="@hotmail.com",RIGHT(B9917,9)="@live.com"),"Outlook","Domain")))</f>
        <v/>
      </c>
      <c r="F9917">
        <f>IF(B9917="","",IFERROR(RIGHT(B9917,LEN(B9917)-FIND("@",B9917)),""))</f>
        <v/>
      </c>
      <c r="G9917">
        <f>IF(D9917="KEEP",COUNTIF($D$2:D9917,"KEEP"),"")</f>
        <v/>
      </c>
      <c r="H9917">
        <f>IF(D9917="REMOVE",COUNTIF($D$2:D9917,"REMOVE"),"")</f>
        <v/>
      </c>
      <c r="I9917">
        <f>IF(E9917="Gmail",COUNTIF($E$2:E9917,"Gmail"),"")</f>
        <v/>
      </c>
      <c r="J9917">
        <f>IF(E9917="Outlook",COUNTIF($E$2:E9917,"Outlook"),"")</f>
        <v/>
      </c>
      <c r="K9917">
        <f>IF(E9917="Domain",COUNTIF($E$2:E9917,"Domain"),"")</f>
        <v/>
      </c>
    </row>
    <row r="9918">
      <c r="A9918" s="2" t="n"/>
      <c r="B9918">
        <f>LOWER(TRIM(A9918))</f>
        <v/>
      </c>
      <c r="C9918">
        <f>IF(B9918="","",IFERROR(INDEX('Bad Patterns'!$A$2:$A$120,MATCH(1,INDEX(--ISNUMBER(SEARCH('Bad Patterns'!$A$2:$A$120,B9918)),0),0)),""))</f>
        <v/>
      </c>
      <c r="D9918">
        <f>IF(B9918="","",IF(C9918&lt;&gt;"","REMOVE","KEEP"))</f>
        <v/>
      </c>
      <c r="E9918">
        <f>IF(D9918&lt;&gt;"KEEP","",IF(RIGHT(B9918,10)="@gmail.com","Gmail",IF(OR(RIGHT(B9918,12)="@outlook.com",RIGHT(B9918,12)="@hotmail.com",RIGHT(B9918,9)="@live.com"),"Outlook","Domain")))</f>
        <v/>
      </c>
      <c r="F9918">
        <f>IF(B9918="","",IFERROR(RIGHT(B9918,LEN(B9918)-FIND("@",B9918)),""))</f>
        <v/>
      </c>
      <c r="G9918">
        <f>IF(D9918="KEEP",COUNTIF($D$2:D9918,"KEEP"),"")</f>
        <v/>
      </c>
      <c r="H9918">
        <f>IF(D9918="REMOVE",COUNTIF($D$2:D9918,"REMOVE"),"")</f>
        <v/>
      </c>
      <c r="I9918">
        <f>IF(E9918="Gmail",COUNTIF($E$2:E9918,"Gmail"),"")</f>
        <v/>
      </c>
      <c r="J9918">
        <f>IF(E9918="Outlook",COUNTIF($E$2:E9918,"Outlook"),"")</f>
        <v/>
      </c>
      <c r="K9918">
        <f>IF(E9918="Domain",COUNTIF($E$2:E9918,"Domain"),"")</f>
        <v/>
      </c>
    </row>
    <row r="9919">
      <c r="A9919" s="2" t="n"/>
      <c r="B9919">
        <f>LOWER(TRIM(A9919))</f>
        <v/>
      </c>
      <c r="C9919">
        <f>IF(B9919="","",IFERROR(INDEX('Bad Patterns'!$A$2:$A$120,MATCH(1,INDEX(--ISNUMBER(SEARCH('Bad Patterns'!$A$2:$A$120,B9919)),0),0)),""))</f>
        <v/>
      </c>
      <c r="D9919">
        <f>IF(B9919="","",IF(C9919&lt;&gt;"","REMOVE","KEEP"))</f>
        <v/>
      </c>
      <c r="E9919">
        <f>IF(D9919&lt;&gt;"KEEP","",IF(RIGHT(B9919,10)="@gmail.com","Gmail",IF(OR(RIGHT(B9919,12)="@outlook.com",RIGHT(B9919,12)="@hotmail.com",RIGHT(B9919,9)="@live.com"),"Outlook","Domain")))</f>
        <v/>
      </c>
      <c r="F9919">
        <f>IF(B9919="","",IFERROR(RIGHT(B9919,LEN(B9919)-FIND("@",B9919)),""))</f>
        <v/>
      </c>
      <c r="G9919">
        <f>IF(D9919="KEEP",COUNTIF($D$2:D9919,"KEEP"),"")</f>
        <v/>
      </c>
      <c r="H9919">
        <f>IF(D9919="REMOVE",COUNTIF($D$2:D9919,"REMOVE"),"")</f>
        <v/>
      </c>
      <c r="I9919">
        <f>IF(E9919="Gmail",COUNTIF($E$2:E9919,"Gmail"),"")</f>
        <v/>
      </c>
      <c r="J9919">
        <f>IF(E9919="Outlook",COUNTIF($E$2:E9919,"Outlook"),"")</f>
        <v/>
      </c>
      <c r="K9919">
        <f>IF(E9919="Domain",COUNTIF($E$2:E9919,"Domain"),"")</f>
        <v/>
      </c>
    </row>
    <row r="9920">
      <c r="A9920" s="2" t="n"/>
      <c r="B9920">
        <f>LOWER(TRIM(A9920))</f>
        <v/>
      </c>
      <c r="C9920">
        <f>IF(B9920="","",IFERROR(INDEX('Bad Patterns'!$A$2:$A$120,MATCH(1,INDEX(--ISNUMBER(SEARCH('Bad Patterns'!$A$2:$A$120,B9920)),0),0)),""))</f>
        <v/>
      </c>
      <c r="D9920">
        <f>IF(B9920="","",IF(C9920&lt;&gt;"","REMOVE","KEEP"))</f>
        <v/>
      </c>
      <c r="E9920">
        <f>IF(D9920&lt;&gt;"KEEP","",IF(RIGHT(B9920,10)="@gmail.com","Gmail",IF(OR(RIGHT(B9920,12)="@outlook.com",RIGHT(B9920,12)="@hotmail.com",RIGHT(B9920,9)="@live.com"),"Outlook","Domain")))</f>
        <v/>
      </c>
      <c r="F9920">
        <f>IF(B9920="","",IFERROR(RIGHT(B9920,LEN(B9920)-FIND("@",B9920)),""))</f>
        <v/>
      </c>
      <c r="G9920">
        <f>IF(D9920="KEEP",COUNTIF($D$2:D9920,"KEEP"),"")</f>
        <v/>
      </c>
      <c r="H9920">
        <f>IF(D9920="REMOVE",COUNTIF($D$2:D9920,"REMOVE"),"")</f>
        <v/>
      </c>
      <c r="I9920">
        <f>IF(E9920="Gmail",COUNTIF($E$2:E9920,"Gmail"),"")</f>
        <v/>
      </c>
      <c r="J9920">
        <f>IF(E9920="Outlook",COUNTIF($E$2:E9920,"Outlook"),"")</f>
        <v/>
      </c>
      <c r="K9920">
        <f>IF(E9920="Domain",COUNTIF($E$2:E9920,"Domain"),"")</f>
        <v/>
      </c>
    </row>
    <row r="9921">
      <c r="A9921" s="2" t="n"/>
      <c r="B9921">
        <f>LOWER(TRIM(A9921))</f>
        <v/>
      </c>
      <c r="C9921">
        <f>IF(B9921="","",IFERROR(INDEX('Bad Patterns'!$A$2:$A$120,MATCH(1,INDEX(--ISNUMBER(SEARCH('Bad Patterns'!$A$2:$A$120,B9921)),0),0)),""))</f>
        <v/>
      </c>
      <c r="D9921">
        <f>IF(B9921="","",IF(C9921&lt;&gt;"","REMOVE","KEEP"))</f>
        <v/>
      </c>
      <c r="E9921">
        <f>IF(D9921&lt;&gt;"KEEP","",IF(RIGHT(B9921,10)="@gmail.com","Gmail",IF(OR(RIGHT(B9921,12)="@outlook.com",RIGHT(B9921,12)="@hotmail.com",RIGHT(B9921,9)="@live.com"),"Outlook","Domain")))</f>
        <v/>
      </c>
      <c r="F9921">
        <f>IF(B9921="","",IFERROR(RIGHT(B9921,LEN(B9921)-FIND("@",B9921)),""))</f>
        <v/>
      </c>
      <c r="G9921">
        <f>IF(D9921="KEEP",COUNTIF($D$2:D9921,"KEEP"),"")</f>
        <v/>
      </c>
      <c r="H9921">
        <f>IF(D9921="REMOVE",COUNTIF($D$2:D9921,"REMOVE"),"")</f>
        <v/>
      </c>
      <c r="I9921">
        <f>IF(E9921="Gmail",COUNTIF($E$2:E9921,"Gmail"),"")</f>
        <v/>
      </c>
      <c r="J9921">
        <f>IF(E9921="Outlook",COUNTIF($E$2:E9921,"Outlook"),"")</f>
        <v/>
      </c>
      <c r="K9921">
        <f>IF(E9921="Domain",COUNTIF($E$2:E9921,"Domain"),"")</f>
        <v/>
      </c>
    </row>
    <row r="9922">
      <c r="A9922" s="2" t="n"/>
      <c r="B9922">
        <f>LOWER(TRIM(A9922))</f>
        <v/>
      </c>
      <c r="C9922">
        <f>IF(B9922="","",IFERROR(INDEX('Bad Patterns'!$A$2:$A$120,MATCH(1,INDEX(--ISNUMBER(SEARCH('Bad Patterns'!$A$2:$A$120,B9922)),0),0)),""))</f>
        <v/>
      </c>
      <c r="D9922">
        <f>IF(B9922="","",IF(C9922&lt;&gt;"","REMOVE","KEEP"))</f>
        <v/>
      </c>
      <c r="E9922">
        <f>IF(D9922&lt;&gt;"KEEP","",IF(RIGHT(B9922,10)="@gmail.com","Gmail",IF(OR(RIGHT(B9922,12)="@outlook.com",RIGHT(B9922,12)="@hotmail.com",RIGHT(B9922,9)="@live.com"),"Outlook","Domain")))</f>
        <v/>
      </c>
      <c r="F9922">
        <f>IF(B9922="","",IFERROR(RIGHT(B9922,LEN(B9922)-FIND("@",B9922)),""))</f>
        <v/>
      </c>
      <c r="G9922">
        <f>IF(D9922="KEEP",COUNTIF($D$2:D9922,"KEEP"),"")</f>
        <v/>
      </c>
      <c r="H9922">
        <f>IF(D9922="REMOVE",COUNTIF($D$2:D9922,"REMOVE"),"")</f>
        <v/>
      </c>
      <c r="I9922">
        <f>IF(E9922="Gmail",COUNTIF($E$2:E9922,"Gmail"),"")</f>
        <v/>
      </c>
      <c r="J9922">
        <f>IF(E9922="Outlook",COUNTIF($E$2:E9922,"Outlook"),"")</f>
        <v/>
      </c>
      <c r="K9922">
        <f>IF(E9922="Domain",COUNTIF($E$2:E9922,"Domain"),"")</f>
        <v/>
      </c>
    </row>
    <row r="9923">
      <c r="A9923" s="2" t="n"/>
      <c r="B9923">
        <f>LOWER(TRIM(A9923))</f>
        <v/>
      </c>
      <c r="C9923">
        <f>IF(B9923="","",IFERROR(INDEX('Bad Patterns'!$A$2:$A$120,MATCH(1,INDEX(--ISNUMBER(SEARCH('Bad Patterns'!$A$2:$A$120,B9923)),0),0)),""))</f>
        <v/>
      </c>
      <c r="D9923">
        <f>IF(B9923="","",IF(C9923&lt;&gt;"","REMOVE","KEEP"))</f>
        <v/>
      </c>
      <c r="E9923">
        <f>IF(D9923&lt;&gt;"KEEP","",IF(RIGHT(B9923,10)="@gmail.com","Gmail",IF(OR(RIGHT(B9923,12)="@outlook.com",RIGHT(B9923,12)="@hotmail.com",RIGHT(B9923,9)="@live.com"),"Outlook","Domain")))</f>
        <v/>
      </c>
      <c r="F9923">
        <f>IF(B9923="","",IFERROR(RIGHT(B9923,LEN(B9923)-FIND("@",B9923)),""))</f>
        <v/>
      </c>
      <c r="G9923">
        <f>IF(D9923="KEEP",COUNTIF($D$2:D9923,"KEEP"),"")</f>
        <v/>
      </c>
      <c r="H9923">
        <f>IF(D9923="REMOVE",COUNTIF($D$2:D9923,"REMOVE"),"")</f>
        <v/>
      </c>
      <c r="I9923">
        <f>IF(E9923="Gmail",COUNTIF($E$2:E9923,"Gmail"),"")</f>
        <v/>
      </c>
      <c r="J9923">
        <f>IF(E9923="Outlook",COUNTIF($E$2:E9923,"Outlook"),"")</f>
        <v/>
      </c>
      <c r="K9923">
        <f>IF(E9923="Domain",COUNTIF($E$2:E9923,"Domain"),"")</f>
        <v/>
      </c>
    </row>
    <row r="9924">
      <c r="A9924" s="2" t="n"/>
      <c r="B9924">
        <f>LOWER(TRIM(A9924))</f>
        <v/>
      </c>
      <c r="C9924">
        <f>IF(B9924="","",IFERROR(INDEX('Bad Patterns'!$A$2:$A$120,MATCH(1,INDEX(--ISNUMBER(SEARCH('Bad Patterns'!$A$2:$A$120,B9924)),0),0)),""))</f>
        <v/>
      </c>
      <c r="D9924">
        <f>IF(B9924="","",IF(C9924&lt;&gt;"","REMOVE","KEEP"))</f>
        <v/>
      </c>
      <c r="E9924">
        <f>IF(D9924&lt;&gt;"KEEP","",IF(RIGHT(B9924,10)="@gmail.com","Gmail",IF(OR(RIGHT(B9924,12)="@outlook.com",RIGHT(B9924,12)="@hotmail.com",RIGHT(B9924,9)="@live.com"),"Outlook","Domain")))</f>
        <v/>
      </c>
      <c r="F9924">
        <f>IF(B9924="","",IFERROR(RIGHT(B9924,LEN(B9924)-FIND("@",B9924)),""))</f>
        <v/>
      </c>
      <c r="G9924">
        <f>IF(D9924="KEEP",COUNTIF($D$2:D9924,"KEEP"),"")</f>
        <v/>
      </c>
      <c r="H9924">
        <f>IF(D9924="REMOVE",COUNTIF($D$2:D9924,"REMOVE"),"")</f>
        <v/>
      </c>
      <c r="I9924">
        <f>IF(E9924="Gmail",COUNTIF($E$2:E9924,"Gmail"),"")</f>
        <v/>
      </c>
      <c r="J9924">
        <f>IF(E9924="Outlook",COUNTIF($E$2:E9924,"Outlook"),"")</f>
        <v/>
      </c>
      <c r="K9924">
        <f>IF(E9924="Domain",COUNTIF($E$2:E9924,"Domain"),"")</f>
        <v/>
      </c>
    </row>
    <row r="9925">
      <c r="A9925" s="2" t="n"/>
      <c r="B9925">
        <f>LOWER(TRIM(A9925))</f>
        <v/>
      </c>
      <c r="C9925">
        <f>IF(B9925="","",IFERROR(INDEX('Bad Patterns'!$A$2:$A$120,MATCH(1,INDEX(--ISNUMBER(SEARCH('Bad Patterns'!$A$2:$A$120,B9925)),0),0)),""))</f>
        <v/>
      </c>
      <c r="D9925">
        <f>IF(B9925="","",IF(C9925&lt;&gt;"","REMOVE","KEEP"))</f>
        <v/>
      </c>
      <c r="E9925">
        <f>IF(D9925&lt;&gt;"KEEP","",IF(RIGHT(B9925,10)="@gmail.com","Gmail",IF(OR(RIGHT(B9925,12)="@outlook.com",RIGHT(B9925,12)="@hotmail.com",RIGHT(B9925,9)="@live.com"),"Outlook","Domain")))</f>
        <v/>
      </c>
      <c r="F9925">
        <f>IF(B9925="","",IFERROR(RIGHT(B9925,LEN(B9925)-FIND("@",B9925)),""))</f>
        <v/>
      </c>
      <c r="G9925">
        <f>IF(D9925="KEEP",COUNTIF($D$2:D9925,"KEEP"),"")</f>
        <v/>
      </c>
      <c r="H9925">
        <f>IF(D9925="REMOVE",COUNTIF($D$2:D9925,"REMOVE"),"")</f>
        <v/>
      </c>
      <c r="I9925">
        <f>IF(E9925="Gmail",COUNTIF($E$2:E9925,"Gmail"),"")</f>
        <v/>
      </c>
      <c r="J9925">
        <f>IF(E9925="Outlook",COUNTIF($E$2:E9925,"Outlook"),"")</f>
        <v/>
      </c>
      <c r="K9925">
        <f>IF(E9925="Domain",COUNTIF($E$2:E9925,"Domain"),"")</f>
        <v/>
      </c>
    </row>
    <row r="9926">
      <c r="A9926" s="2" t="n"/>
      <c r="B9926">
        <f>LOWER(TRIM(A9926))</f>
        <v/>
      </c>
      <c r="C9926">
        <f>IF(B9926="","",IFERROR(INDEX('Bad Patterns'!$A$2:$A$120,MATCH(1,INDEX(--ISNUMBER(SEARCH('Bad Patterns'!$A$2:$A$120,B9926)),0),0)),""))</f>
        <v/>
      </c>
      <c r="D9926">
        <f>IF(B9926="","",IF(C9926&lt;&gt;"","REMOVE","KEEP"))</f>
        <v/>
      </c>
      <c r="E9926">
        <f>IF(D9926&lt;&gt;"KEEP","",IF(RIGHT(B9926,10)="@gmail.com","Gmail",IF(OR(RIGHT(B9926,12)="@outlook.com",RIGHT(B9926,12)="@hotmail.com",RIGHT(B9926,9)="@live.com"),"Outlook","Domain")))</f>
        <v/>
      </c>
      <c r="F9926">
        <f>IF(B9926="","",IFERROR(RIGHT(B9926,LEN(B9926)-FIND("@",B9926)),""))</f>
        <v/>
      </c>
      <c r="G9926">
        <f>IF(D9926="KEEP",COUNTIF($D$2:D9926,"KEEP"),"")</f>
        <v/>
      </c>
      <c r="H9926">
        <f>IF(D9926="REMOVE",COUNTIF($D$2:D9926,"REMOVE"),"")</f>
        <v/>
      </c>
      <c r="I9926">
        <f>IF(E9926="Gmail",COUNTIF($E$2:E9926,"Gmail"),"")</f>
        <v/>
      </c>
      <c r="J9926">
        <f>IF(E9926="Outlook",COUNTIF($E$2:E9926,"Outlook"),"")</f>
        <v/>
      </c>
      <c r="K9926">
        <f>IF(E9926="Domain",COUNTIF($E$2:E9926,"Domain"),"")</f>
        <v/>
      </c>
    </row>
    <row r="9927">
      <c r="A9927" s="2" t="n"/>
      <c r="B9927">
        <f>LOWER(TRIM(A9927))</f>
        <v/>
      </c>
      <c r="C9927">
        <f>IF(B9927="","",IFERROR(INDEX('Bad Patterns'!$A$2:$A$120,MATCH(1,INDEX(--ISNUMBER(SEARCH('Bad Patterns'!$A$2:$A$120,B9927)),0),0)),""))</f>
        <v/>
      </c>
      <c r="D9927">
        <f>IF(B9927="","",IF(C9927&lt;&gt;"","REMOVE","KEEP"))</f>
        <v/>
      </c>
      <c r="E9927">
        <f>IF(D9927&lt;&gt;"KEEP","",IF(RIGHT(B9927,10)="@gmail.com","Gmail",IF(OR(RIGHT(B9927,12)="@outlook.com",RIGHT(B9927,12)="@hotmail.com",RIGHT(B9927,9)="@live.com"),"Outlook","Domain")))</f>
        <v/>
      </c>
      <c r="F9927">
        <f>IF(B9927="","",IFERROR(RIGHT(B9927,LEN(B9927)-FIND("@",B9927)),""))</f>
        <v/>
      </c>
      <c r="G9927">
        <f>IF(D9927="KEEP",COUNTIF($D$2:D9927,"KEEP"),"")</f>
        <v/>
      </c>
      <c r="H9927">
        <f>IF(D9927="REMOVE",COUNTIF($D$2:D9927,"REMOVE"),"")</f>
        <v/>
      </c>
      <c r="I9927">
        <f>IF(E9927="Gmail",COUNTIF($E$2:E9927,"Gmail"),"")</f>
        <v/>
      </c>
      <c r="J9927">
        <f>IF(E9927="Outlook",COUNTIF($E$2:E9927,"Outlook"),"")</f>
        <v/>
      </c>
      <c r="K9927">
        <f>IF(E9927="Domain",COUNTIF($E$2:E9927,"Domain"),"")</f>
        <v/>
      </c>
    </row>
    <row r="9928">
      <c r="A9928" s="2" t="n"/>
      <c r="B9928">
        <f>LOWER(TRIM(A9928))</f>
        <v/>
      </c>
      <c r="C9928">
        <f>IF(B9928="","",IFERROR(INDEX('Bad Patterns'!$A$2:$A$120,MATCH(1,INDEX(--ISNUMBER(SEARCH('Bad Patterns'!$A$2:$A$120,B9928)),0),0)),""))</f>
        <v/>
      </c>
      <c r="D9928">
        <f>IF(B9928="","",IF(C9928&lt;&gt;"","REMOVE","KEEP"))</f>
        <v/>
      </c>
      <c r="E9928">
        <f>IF(D9928&lt;&gt;"KEEP","",IF(RIGHT(B9928,10)="@gmail.com","Gmail",IF(OR(RIGHT(B9928,12)="@outlook.com",RIGHT(B9928,12)="@hotmail.com",RIGHT(B9928,9)="@live.com"),"Outlook","Domain")))</f>
        <v/>
      </c>
      <c r="F9928">
        <f>IF(B9928="","",IFERROR(RIGHT(B9928,LEN(B9928)-FIND("@",B9928)),""))</f>
        <v/>
      </c>
      <c r="G9928">
        <f>IF(D9928="KEEP",COUNTIF($D$2:D9928,"KEEP"),"")</f>
        <v/>
      </c>
      <c r="H9928">
        <f>IF(D9928="REMOVE",COUNTIF($D$2:D9928,"REMOVE"),"")</f>
        <v/>
      </c>
      <c r="I9928">
        <f>IF(E9928="Gmail",COUNTIF($E$2:E9928,"Gmail"),"")</f>
        <v/>
      </c>
      <c r="J9928">
        <f>IF(E9928="Outlook",COUNTIF($E$2:E9928,"Outlook"),"")</f>
        <v/>
      </c>
      <c r="K9928">
        <f>IF(E9928="Domain",COUNTIF($E$2:E9928,"Domain"),"")</f>
        <v/>
      </c>
    </row>
    <row r="9929">
      <c r="A9929" s="2" t="n"/>
      <c r="B9929">
        <f>LOWER(TRIM(A9929))</f>
        <v/>
      </c>
      <c r="C9929">
        <f>IF(B9929="","",IFERROR(INDEX('Bad Patterns'!$A$2:$A$120,MATCH(1,INDEX(--ISNUMBER(SEARCH('Bad Patterns'!$A$2:$A$120,B9929)),0),0)),""))</f>
        <v/>
      </c>
      <c r="D9929">
        <f>IF(B9929="","",IF(C9929&lt;&gt;"","REMOVE","KEEP"))</f>
        <v/>
      </c>
      <c r="E9929">
        <f>IF(D9929&lt;&gt;"KEEP","",IF(RIGHT(B9929,10)="@gmail.com","Gmail",IF(OR(RIGHT(B9929,12)="@outlook.com",RIGHT(B9929,12)="@hotmail.com",RIGHT(B9929,9)="@live.com"),"Outlook","Domain")))</f>
        <v/>
      </c>
      <c r="F9929">
        <f>IF(B9929="","",IFERROR(RIGHT(B9929,LEN(B9929)-FIND("@",B9929)),""))</f>
        <v/>
      </c>
      <c r="G9929">
        <f>IF(D9929="KEEP",COUNTIF($D$2:D9929,"KEEP"),"")</f>
        <v/>
      </c>
      <c r="H9929">
        <f>IF(D9929="REMOVE",COUNTIF($D$2:D9929,"REMOVE"),"")</f>
        <v/>
      </c>
      <c r="I9929">
        <f>IF(E9929="Gmail",COUNTIF($E$2:E9929,"Gmail"),"")</f>
        <v/>
      </c>
      <c r="J9929">
        <f>IF(E9929="Outlook",COUNTIF($E$2:E9929,"Outlook"),"")</f>
        <v/>
      </c>
      <c r="K9929">
        <f>IF(E9929="Domain",COUNTIF($E$2:E9929,"Domain"),"")</f>
        <v/>
      </c>
    </row>
    <row r="9930">
      <c r="A9930" s="2" t="n"/>
      <c r="B9930">
        <f>LOWER(TRIM(A9930))</f>
        <v/>
      </c>
      <c r="C9930">
        <f>IF(B9930="","",IFERROR(INDEX('Bad Patterns'!$A$2:$A$120,MATCH(1,INDEX(--ISNUMBER(SEARCH('Bad Patterns'!$A$2:$A$120,B9930)),0),0)),""))</f>
        <v/>
      </c>
      <c r="D9930">
        <f>IF(B9930="","",IF(C9930&lt;&gt;"","REMOVE","KEEP"))</f>
        <v/>
      </c>
      <c r="E9930">
        <f>IF(D9930&lt;&gt;"KEEP","",IF(RIGHT(B9930,10)="@gmail.com","Gmail",IF(OR(RIGHT(B9930,12)="@outlook.com",RIGHT(B9930,12)="@hotmail.com",RIGHT(B9930,9)="@live.com"),"Outlook","Domain")))</f>
        <v/>
      </c>
      <c r="F9930">
        <f>IF(B9930="","",IFERROR(RIGHT(B9930,LEN(B9930)-FIND("@",B9930)),""))</f>
        <v/>
      </c>
      <c r="G9930">
        <f>IF(D9930="KEEP",COUNTIF($D$2:D9930,"KEEP"),"")</f>
        <v/>
      </c>
      <c r="H9930">
        <f>IF(D9930="REMOVE",COUNTIF($D$2:D9930,"REMOVE"),"")</f>
        <v/>
      </c>
      <c r="I9930">
        <f>IF(E9930="Gmail",COUNTIF($E$2:E9930,"Gmail"),"")</f>
        <v/>
      </c>
      <c r="J9930">
        <f>IF(E9930="Outlook",COUNTIF($E$2:E9930,"Outlook"),"")</f>
        <v/>
      </c>
      <c r="K9930">
        <f>IF(E9930="Domain",COUNTIF($E$2:E9930,"Domain"),"")</f>
        <v/>
      </c>
    </row>
    <row r="9931">
      <c r="A9931" s="2" t="n"/>
      <c r="B9931">
        <f>LOWER(TRIM(A9931))</f>
        <v/>
      </c>
      <c r="C9931">
        <f>IF(B9931="","",IFERROR(INDEX('Bad Patterns'!$A$2:$A$120,MATCH(1,INDEX(--ISNUMBER(SEARCH('Bad Patterns'!$A$2:$A$120,B9931)),0),0)),""))</f>
        <v/>
      </c>
      <c r="D9931">
        <f>IF(B9931="","",IF(C9931&lt;&gt;"","REMOVE","KEEP"))</f>
        <v/>
      </c>
      <c r="E9931">
        <f>IF(D9931&lt;&gt;"KEEP","",IF(RIGHT(B9931,10)="@gmail.com","Gmail",IF(OR(RIGHT(B9931,12)="@outlook.com",RIGHT(B9931,12)="@hotmail.com",RIGHT(B9931,9)="@live.com"),"Outlook","Domain")))</f>
        <v/>
      </c>
      <c r="F9931">
        <f>IF(B9931="","",IFERROR(RIGHT(B9931,LEN(B9931)-FIND("@",B9931)),""))</f>
        <v/>
      </c>
      <c r="G9931">
        <f>IF(D9931="KEEP",COUNTIF($D$2:D9931,"KEEP"),"")</f>
        <v/>
      </c>
      <c r="H9931">
        <f>IF(D9931="REMOVE",COUNTIF($D$2:D9931,"REMOVE"),"")</f>
        <v/>
      </c>
      <c r="I9931">
        <f>IF(E9931="Gmail",COUNTIF($E$2:E9931,"Gmail"),"")</f>
        <v/>
      </c>
      <c r="J9931">
        <f>IF(E9931="Outlook",COUNTIF($E$2:E9931,"Outlook"),"")</f>
        <v/>
      </c>
      <c r="K9931">
        <f>IF(E9931="Domain",COUNTIF($E$2:E9931,"Domain"),"")</f>
        <v/>
      </c>
    </row>
    <row r="9932">
      <c r="A9932" s="2" t="n"/>
      <c r="B9932">
        <f>LOWER(TRIM(A9932))</f>
        <v/>
      </c>
      <c r="C9932">
        <f>IF(B9932="","",IFERROR(INDEX('Bad Patterns'!$A$2:$A$120,MATCH(1,INDEX(--ISNUMBER(SEARCH('Bad Patterns'!$A$2:$A$120,B9932)),0),0)),""))</f>
        <v/>
      </c>
      <c r="D9932">
        <f>IF(B9932="","",IF(C9932&lt;&gt;"","REMOVE","KEEP"))</f>
        <v/>
      </c>
      <c r="E9932">
        <f>IF(D9932&lt;&gt;"KEEP","",IF(RIGHT(B9932,10)="@gmail.com","Gmail",IF(OR(RIGHT(B9932,12)="@outlook.com",RIGHT(B9932,12)="@hotmail.com",RIGHT(B9932,9)="@live.com"),"Outlook","Domain")))</f>
        <v/>
      </c>
      <c r="F9932">
        <f>IF(B9932="","",IFERROR(RIGHT(B9932,LEN(B9932)-FIND("@",B9932)),""))</f>
        <v/>
      </c>
      <c r="G9932">
        <f>IF(D9932="KEEP",COUNTIF($D$2:D9932,"KEEP"),"")</f>
        <v/>
      </c>
      <c r="H9932">
        <f>IF(D9932="REMOVE",COUNTIF($D$2:D9932,"REMOVE"),"")</f>
        <v/>
      </c>
      <c r="I9932">
        <f>IF(E9932="Gmail",COUNTIF($E$2:E9932,"Gmail"),"")</f>
        <v/>
      </c>
      <c r="J9932">
        <f>IF(E9932="Outlook",COUNTIF($E$2:E9932,"Outlook"),"")</f>
        <v/>
      </c>
      <c r="K9932">
        <f>IF(E9932="Domain",COUNTIF($E$2:E9932,"Domain"),"")</f>
        <v/>
      </c>
    </row>
    <row r="9933">
      <c r="A9933" s="2" t="n"/>
      <c r="B9933">
        <f>LOWER(TRIM(A9933))</f>
        <v/>
      </c>
      <c r="C9933">
        <f>IF(B9933="","",IFERROR(INDEX('Bad Patterns'!$A$2:$A$120,MATCH(1,INDEX(--ISNUMBER(SEARCH('Bad Patterns'!$A$2:$A$120,B9933)),0),0)),""))</f>
        <v/>
      </c>
      <c r="D9933">
        <f>IF(B9933="","",IF(C9933&lt;&gt;"","REMOVE","KEEP"))</f>
        <v/>
      </c>
      <c r="E9933">
        <f>IF(D9933&lt;&gt;"KEEP","",IF(RIGHT(B9933,10)="@gmail.com","Gmail",IF(OR(RIGHT(B9933,12)="@outlook.com",RIGHT(B9933,12)="@hotmail.com",RIGHT(B9933,9)="@live.com"),"Outlook","Domain")))</f>
        <v/>
      </c>
      <c r="F9933">
        <f>IF(B9933="","",IFERROR(RIGHT(B9933,LEN(B9933)-FIND("@",B9933)),""))</f>
        <v/>
      </c>
      <c r="G9933">
        <f>IF(D9933="KEEP",COUNTIF($D$2:D9933,"KEEP"),"")</f>
        <v/>
      </c>
      <c r="H9933">
        <f>IF(D9933="REMOVE",COUNTIF($D$2:D9933,"REMOVE"),"")</f>
        <v/>
      </c>
      <c r="I9933">
        <f>IF(E9933="Gmail",COUNTIF($E$2:E9933,"Gmail"),"")</f>
        <v/>
      </c>
      <c r="J9933">
        <f>IF(E9933="Outlook",COUNTIF($E$2:E9933,"Outlook"),"")</f>
        <v/>
      </c>
      <c r="K9933">
        <f>IF(E9933="Domain",COUNTIF($E$2:E9933,"Domain"),"")</f>
        <v/>
      </c>
    </row>
    <row r="9934">
      <c r="A9934" s="2" t="n"/>
      <c r="B9934">
        <f>LOWER(TRIM(A9934))</f>
        <v/>
      </c>
      <c r="C9934">
        <f>IF(B9934="","",IFERROR(INDEX('Bad Patterns'!$A$2:$A$120,MATCH(1,INDEX(--ISNUMBER(SEARCH('Bad Patterns'!$A$2:$A$120,B9934)),0),0)),""))</f>
        <v/>
      </c>
      <c r="D9934">
        <f>IF(B9934="","",IF(C9934&lt;&gt;"","REMOVE","KEEP"))</f>
        <v/>
      </c>
      <c r="E9934">
        <f>IF(D9934&lt;&gt;"KEEP","",IF(RIGHT(B9934,10)="@gmail.com","Gmail",IF(OR(RIGHT(B9934,12)="@outlook.com",RIGHT(B9934,12)="@hotmail.com",RIGHT(B9934,9)="@live.com"),"Outlook","Domain")))</f>
        <v/>
      </c>
      <c r="F9934">
        <f>IF(B9934="","",IFERROR(RIGHT(B9934,LEN(B9934)-FIND("@",B9934)),""))</f>
        <v/>
      </c>
      <c r="G9934">
        <f>IF(D9934="KEEP",COUNTIF($D$2:D9934,"KEEP"),"")</f>
        <v/>
      </c>
      <c r="H9934">
        <f>IF(D9934="REMOVE",COUNTIF($D$2:D9934,"REMOVE"),"")</f>
        <v/>
      </c>
      <c r="I9934">
        <f>IF(E9934="Gmail",COUNTIF($E$2:E9934,"Gmail"),"")</f>
        <v/>
      </c>
      <c r="J9934">
        <f>IF(E9934="Outlook",COUNTIF($E$2:E9934,"Outlook"),"")</f>
        <v/>
      </c>
      <c r="K9934">
        <f>IF(E9934="Domain",COUNTIF($E$2:E9934,"Domain"),"")</f>
        <v/>
      </c>
    </row>
    <row r="9935">
      <c r="A9935" s="2" t="n"/>
      <c r="B9935">
        <f>LOWER(TRIM(A9935))</f>
        <v/>
      </c>
      <c r="C9935">
        <f>IF(B9935="","",IFERROR(INDEX('Bad Patterns'!$A$2:$A$120,MATCH(1,INDEX(--ISNUMBER(SEARCH('Bad Patterns'!$A$2:$A$120,B9935)),0),0)),""))</f>
        <v/>
      </c>
      <c r="D9935">
        <f>IF(B9935="","",IF(C9935&lt;&gt;"","REMOVE","KEEP"))</f>
        <v/>
      </c>
      <c r="E9935">
        <f>IF(D9935&lt;&gt;"KEEP","",IF(RIGHT(B9935,10)="@gmail.com","Gmail",IF(OR(RIGHT(B9935,12)="@outlook.com",RIGHT(B9935,12)="@hotmail.com",RIGHT(B9935,9)="@live.com"),"Outlook","Domain")))</f>
        <v/>
      </c>
      <c r="F9935">
        <f>IF(B9935="","",IFERROR(RIGHT(B9935,LEN(B9935)-FIND("@",B9935)),""))</f>
        <v/>
      </c>
      <c r="G9935">
        <f>IF(D9935="KEEP",COUNTIF($D$2:D9935,"KEEP"),"")</f>
        <v/>
      </c>
      <c r="H9935">
        <f>IF(D9935="REMOVE",COUNTIF($D$2:D9935,"REMOVE"),"")</f>
        <v/>
      </c>
      <c r="I9935">
        <f>IF(E9935="Gmail",COUNTIF($E$2:E9935,"Gmail"),"")</f>
        <v/>
      </c>
      <c r="J9935">
        <f>IF(E9935="Outlook",COUNTIF($E$2:E9935,"Outlook"),"")</f>
        <v/>
      </c>
      <c r="K9935">
        <f>IF(E9935="Domain",COUNTIF($E$2:E9935,"Domain"),"")</f>
        <v/>
      </c>
    </row>
    <row r="9936">
      <c r="A9936" s="2" t="n"/>
      <c r="B9936">
        <f>LOWER(TRIM(A9936))</f>
        <v/>
      </c>
      <c r="C9936">
        <f>IF(B9936="","",IFERROR(INDEX('Bad Patterns'!$A$2:$A$120,MATCH(1,INDEX(--ISNUMBER(SEARCH('Bad Patterns'!$A$2:$A$120,B9936)),0),0)),""))</f>
        <v/>
      </c>
      <c r="D9936">
        <f>IF(B9936="","",IF(C9936&lt;&gt;"","REMOVE","KEEP"))</f>
        <v/>
      </c>
      <c r="E9936">
        <f>IF(D9936&lt;&gt;"KEEP","",IF(RIGHT(B9936,10)="@gmail.com","Gmail",IF(OR(RIGHT(B9936,12)="@outlook.com",RIGHT(B9936,12)="@hotmail.com",RIGHT(B9936,9)="@live.com"),"Outlook","Domain")))</f>
        <v/>
      </c>
      <c r="F9936">
        <f>IF(B9936="","",IFERROR(RIGHT(B9936,LEN(B9936)-FIND("@",B9936)),""))</f>
        <v/>
      </c>
      <c r="G9936">
        <f>IF(D9936="KEEP",COUNTIF($D$2:D9936,"KEEP"),"")</f>
        <v/>
      </c>
      <c r="H9936">
        <f>IF(D9936="REMOVE",COUNTIF($D$2:D9936,"REMOVE"),"")</f>
        <v/>
      </c>
      <c r="I9936">
        <f>IF(E9936="Gmail",COUNTIF($E$2:E9936,"Gmail"),"")</f>
        <v/>
      </c>
      <c r="J9936">
        <f>IF(E9936="Outlook",COUNTIF($E$2:E9936,"Outlook"),"")</f>
        <v/>
      </c>
      <c r="K9936">
        <f>IF(E9936="Domain",COUNTIF($E$2:E9936,"Domain"),"")</f>
        <v/>
      </c>
    </row>
    <row r="9937">
      <c r="A9937" s="2" t="n"/>
      <c r="B9937">
        <f>LOWER(TRIM(A9937))</f>
        <v/>
      </c>
      <c r="C9937">
        <f>IF(B9937="","",IFERROR(INDEX('Bad Patterns'!$A$2:$A$120,MATCH(1,INDEX(--ISNUMBER(SEARCH('Bad Patterns'!$A$2:$A$120,B9937)),0),0)),""))</f>
        <v/>
      </c>
      <c r="D9937">
        <f>IF(B9937="","",IF(C9937&lt;&gt;"","REMOVE","KEEP"))</f>
        <v/>
      </c>
      <c r="E9937">
        <f>IF(D9937&lt;&gt;"KEEP","",IF(RIGHT(B9937,10)="@gmail.com","Gmail",IF(OR(RIGHT(B9937,12)="@outlook.com",RIGHT(B9937,12)="@hotmail.com",RIGHT(B9937,9)="@live.com"),"Outlook","Domain")))</f>
        <v/>
      </c>
      <c r="F9937">
        <f>IF(B9937="","",IFERROR(RIGHT(B9937,LEN(B9937)-FIND("@",B9937)),""))</f>
        <v/>
      </c>
      <c r="G9937">
        <f>IF(D9937="KEEP",COUNTIF($D$2:D9937,"KEEP"),"")</f>
        <v/>
      </c>
      <c r="H9937">
        <f>IF(D9937="REMOVE",COUNTIF($D$2:D9937,"REMOVE"),"")</f>
        <v/>
      </c>
      <c r="I9937">
        <f>IF(E9937="Gmail",COUNTIF($E$2:E9937,"Gmail"),"")</f>
        <v/>
      </c>
      <c r="J9937">
        <f>IF(E9937="Outlook",COUNTIF($E$2:E9937,"Outlook"),"")</f>
        <v/>
      </c>
      <c r="K9937">
        <f>IF(E9937="Domain",COUNTIF($E$2:E9937,"Domain"),"")</f>
        <v/>
      </c>
    </row>
    <row r="9938">
      <c r="A9938" s="2" t="n"/>
      <c r="B9938">
        <f>LOWER(TRIM(A9938))</f>
        <v/>
      </c>
      <c r="C9938">
        <f>IF(B9938="","",IFERROR(INDEX('Bad Patterns'!$A$2:$A$120,MATCH(1,INDEX(--ISNUMBER(SEARCH('Bad Patterns'!$A$2:$A$120,B9938)),0),0)),""))</f>
        <v/>
      </c>
      <c r="D9938">
        <f>IF(B9938="","",IF(C9938&lt;&gt;"","REMOVE","KEEP"))</f>
        <v/>
      </c>
      <c r="E9938">
        <f>IF(D9938&lt;&gt;"KEEP","",IF(RIGHT(B9938,10)="@gmail.com","Gmail",IF(OR(RIGHT(B9938,12)="@outlook.com",RIGHT(B9938,12)="@hotmail.com",RIGHT(B9938,9)="@live.com"),"Outlook","Domain")))</f>
        <v/>
      </c>
      <c r="F9938">
        <f>IF(B9938="","",IFERROR(RIGHT(B9938,LEN(B9938)-FIND("@",B9938)),""))</f>
        <v/>
      </c>
      <c r="G9938">
        <f>IF(D9938="KEEP",COUNTIF($D$2:D9938,"KEEP"),"")</f>
        <v/>
      </c>
      <c r="H9938">
        <f>IF(D9938="REMOVE",COUNTIF($D$2:D9938,"REMOVE"),"")</f>
        <v/>
      </c>
      <c r="I9938">
        <f>IF(E9938="Gmail",COUNTIF($E$2:E9938,"Gmail"),"")</f>
        <v/>
      </c>
      <c r="J9938">
        <f>IF(E9938="Outlook",COUNTIF($E$2:E9938,"Outlook"),"")</f>
        <v/>
      </c>
      <c r="K9938">
        <f>IF(E9938="Domain",COUNTIF($E$2:E9938,"Domain"),"")</f>
        <v/>
      </c>
    </row>
    <row r="9939">
      <c r="A9939" s="2" t="n"/>
      <c r="B9939">
        <f>LOWER(TRIM(A9939))</f>
        <v/>
      </c>
      <c r="C9939">
        <f>IF(B9939="","",IFERROR(INDEX('Bad Patterns'!$A$2:$A$120,MATCH(1,INDEX(--ISNUMBER(SEARCH('Bad Patterns'!$A$2:$A$120,B9939)),0),0)),""))</f>
        <v/>
      </c>
      <c r="D9939">
        <f>IF(B9939="","",IF(C9939&lt;&gt;"","REMOVE","KEEP"))</f>
        <v/>
      </c>
      <c r="E9939">
        <f>IF(D9939&lt;&gt;"KEEP","",IF(RIGHT(B9939,10)="@gmail.com","Gmail",IF(OR(RIGHT(B9939,12)="@outlook.com",RIGHT(B9939,12)="@hotmail.com",RIGHT(B9939,9)="@live.com"),"Outlook","Domain")))</f>
        <v/>
      </c>
      <c r="F9939">
        <f>IF(B9939="","",IFERROR(RIGHT(B9939,LEN(B9939)-FIND("@",B9939)),""))</f>
        <v/>
      </c>
      <c r="G9939">
        <f>IF(D9939="KEEP",COUNTIF($D$2:D9939,"KEEP"),"")</f>
        <v/>
      </c>
      <c r="H9939">
        <f>IF(D9939="REMOVE",COUNTIF($D$2:D9939,"REMOVE"),"")</f>
        <v/>
      </c>
      <c r="I9939">
        <f>IF(E9939="Gmail",COUNTIF($E$2:E9939,"Gmail"),"")</f>
        <v/>
      </c>
      <c r="J9939">
        <f>IF(E9939="Outlook",COUNTIF($E$2:E9939,"Outlook"),"")</f>
        <v/>
      </c>
      <c r="K9939">
        <f>IF(E9939="Domain",COUNTIF($E$2:E9939,"Domain"),"")</f>
        <v/>
      </c>
    </row>
    <row r="9940">
      <c r="A9940" s="2" t="n"/>
      <c r="B9940">
        <f>LOWER(TRIM(A9940))</f>
        <v/>
      </c>
      <c r="C9940">
        <f>IF(B9940="","",IFERROR(INDEX('Bad Patterns'!$A$2:$A$120,MATCH(1,INDEX(--ISNUMBER(SEARCH('Bad Patterns'!$A$2:$A$120,B9940)),0),0)),""))</f>
        <v/>
      </c>
      <c r="D9940">
        <f>IF(B9940="","",IF(C9940&lt;&gt;"","REMOVE","KEEP"))</f>
        <v/>
      </c>
      <c r="E9940">
        <f>IF(D9940&lt;&gt;"KEEP","",IF(RIGHT(B9940,10)="@gmail.com","Gmail",IF(OR(RIGHT(B9940,12)="@outlook.com",RIGHT(B9940,12)="@hotmail.com",RIGHT(B9940,9)="@live.com"),"Outlook","Domain")))</f>
        <v/>
      </c>
      <c r="F9940">
        <f>IF(B9940="","",IFERROR(RIGHT(B9940,LEN(B9940)-FIND("@",B9940)),""))</f>
        <v/>
      </c>
      <c r="G9940">
        <f>IF(D9940="KEEP",COUNTIF($D$2:D9940,"KEEP"),"")</f>
        <v/>
      </c>
      <c r="H9940">
        <f>IF(D9940="REMOVE",COUNTIF($D$2:D9940,"REMOVE"),"")</f>
        <v/>
      </c>
      <c r="I9940">
        <f>IF(E9940="Gmail",COUNTIF($E$2:E9940,"Gmail"),"")</f>
        <v/>
      </c>
      <c r="J9940">
        <f>IF(E9940="Outlook",COUNTIF($E$2:E9940,"Outlook"),"")</f>
        <v/>
      </c>
      <c r="K9940">
        <f>IF(E9940="Domain",COUNTIF($E$2:E9940,"Domain"),"")</f>
        <v/>
      </c>
    </row>
    <row r="9941">
      <c r="A9941" s="2" t="n"/>
      <c r="B9941">
        <f>LOWER(TRIM(A9941))</f>
        <v/>
      </c>
      <c r="C9941">
        <f>IF(B9941="","",IFERROR(INDEX('Bad Patterns'!$A$2:$A$120,MATCH(1,INDEX(--ISNUMBER(SEARCH('Bad Patterns'!$A$2:$A$120,B9941)),0),0)),""))</f>
        <v/>
      </c>
      <c r="D9941">
        <f>IF(B9941="","",IF(C9941&lt;&gt;"","REMOVE","KEEP"))</f>
        <v/>
      </c>
      <c r="E9941">
        <f>IF(D9941&lt;&gt;"KEEP","",IF(RIGHT(B9941,10)="@gmail.com","Gmail",IF(OR(RIGHT(B9941,12)="@outlook.com",RIGHT(B9941,12)="@hotmail.com",RIGHT(B9941,9)="@live.com"),"Outlook","Domain")))</f>
        <v/>
      </c>
      <c r="F9941">
        <f>IF(B9941="","",IFERROR(RIGHT(B9941,LEN(B9941)-FIND("@",B9941)),""))</f>
        <v/>
      </c>
      <c r="G9941">
        <f>IF(D9941="KEEP",COUNTIF($D$2:D9941,"KEEP"),"")</f>
        <v/>
      </c>
      <c r="H9941">
        <f>IF(D9941="REMOVE",COUNTIF($D$2:D9941,"REMOVE"),"")</f>
        <v/>
      </c>
      <c r="I9941">
        <f>IF(E9941="Gmail",COUNTIF($E$2:E9941,"Gmail"),"")</f>
        <v/>
      </c>
      <c r="J9941">
        <f>IF(E9941="Outlook",COUNTIF($E$2:E9941,"Outlook"),"")</f>
        <v/>
      </c>
      <c r="K9941">
        <f>IF(E9941="Domain",COUNTIF($E$2:E9941,"Domain"),"")</f>
        <v/>
      </c>
    </row>
    <row r="9942">
      <c r="A9942" s="2" t="n"/>
      <c r="B9942">
        <f>LOWER(TRIM(A9942))</f>
        <v/>
      </c>
      <c r="C9942">
        <f>IF(B9942="","",IFERROR(INDEX('Bad Patterns'!$A$2:$A$120,MATCH(1,INDEX(--ISNUMBER(SEARCH('Bad Patterns'!$A$2:$A$120,B9942)),0),0)),""))</f>
        <v/>
      </c>
      <c r="D9942">
        <f>IF(B9942="","",IF(C9942&lt;&gt;"","REMOVE","KEEP"))</f>
        <v/>
      </c>
      <c r="E9942">
        <f>IF(D9942&lt;&gt;"KEEP","",IF(RIGHT(B9942,10)="@gmail.com","Gmail",IF(OR(RIGHT(B9942,12)="@outlook.com",RIGHT(B9942,12)="@hotmail.com",RIGHT(B9942,9)="@live.com"),"Outlook","Domain")))</f>
        <v/>
      </c>
      <c r="F9942">
        <f>IF(B9942="","",IFERROR(RIGHT(B9942,LEN(B9942)-FIND("@",B9942)),""))</f>
        <v/>
      </c>
      <c r="G9942">
        <f>IF(D9942="KEEP",COUNTIF($D$2:D9942,"KEEP"),"")</f>
        <v/>
      </c>
      <c r="H9942">
        <f>IF(D9942="REMOVE",COUNTIF($D$2:D9942,"REMOVE"),"")</f>
        <v/>
      </c>
      <c r="I9942">
        <f>IF(E9942="Gmail",COUNTIF($E$2:E9942,"Gmail"),"")</f>
        <v/>
      </c>
      <c r="J9942">
        <f>IF(E9942="Outlook",COUNTIF($E$2:E9942,"Outlook"),"")</f>
        <v/>
      </c>
      <c r="K9942">
        <f>IF(E9942="Domain",COUNTIF($E$2:E9942,"Domain"),"")</f>
        <v/>
      </c>
    </row>
    <row r="9943">
      <c r="A9943" s="2" t="n"/>
      <c r="B9943">
        <f>LOWER(TRIM(A9943))</f>
        <v/>
      </c>
      <c r="C9943">
        <f>IF(B9943="","",IFERROR(INDEX('Bad Patterns'!$A$2:$A$120,MATCH(1,INDEX(--ISNUMBER(SEARCH('Bad Patterns'!$A$2:$A$120,B9943)),0),0)),""))</f>
        <v/>
      </c>
      <c r="D9943">
        <f>IF(B9943="","",IF(C9943&lt;&gt;"","REMOVE","KEEP"))</f>
        <v/>
      </c>
      <c r="E9943">
        <f>IF(D9943&lt;&gt;"KEEP","",IF(RIGHT(B9943,10)="@gmail.com","Gmail",IF(OR(RIGHT(B9943,12)="@outlook.com",RIGHT(B9943,12)="@hotmail.com",RIGHT(B9943,9)="@live.com"),"Outlook","Domain")))</f>
        <v/>
      </c>
      <c r="F9943">
        <f>IF(B9943="","",IFERROR(RIGHT(B9943,LEN(B9943)-FIND("@",B9943)),""))</f>
        <v/>
      </c>
      <c r="G9943">
        <f>IF(D9943="KEEP",COUNTIF($D$2:D9943,"KEEP"),"")</f>
        <v/>
      </c>
      <c r="H9943">
        <f>IF(D9943="REMOVE",COUNTIF($D$2:D9943,"REMOVE"),"")</f>
        <v/>
      </c>
      <c r="I9943">
        <f>IF(E9943="Gmail",COUNTIF($E$2:E9943,"Gmail"),"")</f>
        <v/>
      </c>
      <c r="J9943">
        <f>IF(E9943="Outlook",COUNTIF($E$2:E9943,"Outlook"),"")</f>
        <v/>
      </c>
      <c r="K9943">
        <f>IF(E9943="Domain",COUNTIF($E$2:E9943,"Domain"),"")</f>
        <v/>
      </c>
    </row>
    <row r="9944">
      <c r="A9944" s="2" t="n"/>
      <c r="B9944">
        <f>LOWER(TRIM(A9944))</f>
        <v/>
      </c>
      <c r="C9944">
        <f>IF(B9944="","",IFERROR(INDEX('Bad Patterns'!$A$2:$A$120,MATCH(1,INDEX(--ISNUMBER(SEARCH('Bad Patterns'!$A$2:$A$120,B9944)),0),0)),""))</f>
        <v/>
      </c>
      <c r="D9944">
        <f>IF(B9944="","",IF(C9944&lt;&gt;"","REMOVE","KEEP"))</f>
        <v/>
      </c>
      <c r="E9944">
        <f>IF(D9944&lt;&gt;"KEEP","",IF(RIGHT(B9944,10)="@gmail.com","Gmail",IF(OR(RIGHT(B9944,12)="@outlook.com",RIGHT(B9944,12)="@hotmail.com",RIGHT(B9944,9)="@live.com"),"Outlook","Domain")))</f>
        <v/>
      </c>
      <c r="F9944">
        <f>IF(B9944="","",IFERROR(RIGHT(B9944,LEN(B9944)-FIND("@",B9944)),""))</f>
        <v/>
      </c>
      <c r="G9944">
        <f>IF(D9944="KEEP",COUNTIF($D$2:D9944,"KEEP"),"")</f>
        <v/>
      </c>
      <c r="H9944">
        <f>IF(D9944="REMOVE",COUNTIF($D$2:D9944,"REMOVE"),"")</f>
        <v/>
      </c>
      <c r="I9944">
        <f>IF(E9944="Gmail",COUNTIF($E$2:E9944,"Gmail"),"")</f>
        <v/>
      </c>
      <c r="J9944">
        <f>IF(E9944="Outlook",COUNTIF($E$2:E9944,"Outlook"),"")</f>
        <v/>
      </c>
      <c r="K9944">
        <f>IF(E9944="Domain",COUNTIF($E$2:E9944,"Domain"),"")</f>
        <v/>
      </c>
    </row>
    <row r="9945">
      <c r="A9945" s="2" t="n"/>
      <c r="B9945">
        <f>LOWER(TRIM(A9945))</f>
        <v/>
      </c>
      <c r="C9945">
        <f>IF(B9945="","",IFERROR(INDEX('Bad Patterns'!$A$2:$A$120,MATCH(1,INDEX(--ISNUMBER(SEARCH('Bad Patterns'!$A$2:$A$120,B9945)),0),0)),""))</f>
        <v/>
      </c>
      <c r="D9945">
        <f>IF(B9945="","",IF(C9945&lt;&gt;"","REMOVE","KEEP"))</f>
        <v/>
      </c>
      <c r="E9945">
        <f>IF(D9945&lt;&gt;"KEEP","",IF(RIGHT(B9945,10)="@gmail.com","Gmail",IF(OR(RIGHT(B9945,12)="@outlook.com",RIGHT(B9945,12)="@hotmail.com",RIGHT(B9945,9)="@live.com"),"Outlook","Domain")))</f>
        <v/>
      </c>
      <c r="F9945">
        <f>IF(B9945="","",IFERROR(RIGHT(B9945,LEN(B9945)-FIND("@",B9945)),""))</f>
        <v/>
      </c>
      <c r="G9945">
        <f>IF(D9945="KEEP",COUNTIF($D$2:D9945,"KEEP"),"")</f>
        <v/>
      </c>
      <c r="H9945">
        <f>IF(D9945="REMOVE",COUNTIF($D$2:D9945,"REMOVE"),"")</f>
        <v/>
      </c>
      <c r="I9945">
        <f>IF(E9945="Gmail",COUNTIF($E$2:E9945,"Gmail"),"")</f>
        <v/>
      </c>
      <c r="J9945">
        <f>IF(E9945="Outlook",COUNTIF($E$2:E9945,"Outlook"),"")</f>
        <v/>
      </c>
      <c r="K9945">
        <f>IF(E9945="Domain",COUNTIF($E$2:E9945,"Domain"),"")</f>
        <v/>
      </c>
    </row>
    <row r="9946">
      <c r="A9946" s="2" t="n"/>
      <c r="B9946">
        <f>LOWER(TRIM(A9946))</f>
        <v/>
      </c>
      <c r="C9946">
        <f>IF(B9946="","",IFERROR(INDEX('Bad Patterns'!$A$2:$A$120,MATCH(1,INDEX(--ISNUMBER(SEARCH('Bad Patterns'!$A$2:$A$120,B9946)),0),0)),""))</f>
        <v/>
      </c>
      <c r="D9946">
        <f>IF(B9946="","",IF(C9946&lt;&gt;"","REMOVE","KEEP"))</f>
        <v/>
      </c>
      <c r="E9946">
        <f>IF(D9946&lt;&gt;"KEEP","",IF(RIGHT(B9946,10)="@gmail.com","Gmail",IF(OR(RIGHT(B9946,12)="@outlook.com",RIGHT(B9946,12)="@hotmail.com",RIGHT(B9946,9)="@live.com"),"Outlook","Domain")))</f>
        <v/>
      </c>
      <c r="F9946">
        <f>IF(B9946="","",IFERROR(RIGHT(B9946,LEN(B9946)-FIND("@",B9946)),""))</f>
        <v/>
      </c>
      <c r="G9946">
        <f>IF(D9946="KEEP",COUNTIF($D$2:D9946,"KEEP"),"")</f>
        <v/>
      </c>
      <c r="H9946">
        <f>IF(D9946="REMOVE",COUNTIF($D$2:D9946,"REMOVE"),"")</f>
        <v/>
      </c>
      <c r="I9946">
        <f>IF(E9946="Gmail",COUNTIF($E$2:E9946,"Gmail"),"")</f>
        <v/>
      </c>
      <c r="J9946">
        <f>IF(E9946="Outlook",COUNTIF($E$2:E9946,"Outlook"),"")</f>
        <v/>
      </c>
      <c r="K9946">
        <f>IF(E9946="Domain",COUNTIF($E$2:E9946,"Domain"),"")</f>
        <v/>
      </c>
    </row>
    <row r="9947">
      <c r="A9947" s="2" t="n"/>
      <c r="B9947">
        <f>LOWER(TRIM(A9947))</f>
        <v/>
      </c>
      <c r="C9947">
        <f>IF(B9947="","",IFERROR(INDEX('Bad Patterns'!$A$2:$A$120,MATCH(1,INDEX(--ISNUMBER(SEARCH('Bad Patterns'!$A$2:$A$120,B9947)),0),0)),""))</f>
        <v/>
      </c>
      <c r="D9947">
        <f>IF(B9947="","",IF(C9947&lt;&gt;"","REMOVE","KEEP"))</f>
        <v/>
      </c>
      <c r="E9947">
        <f>IF(D9947&lt;&gt;"KEEP","",IF(RIGHT(B9947,10)="@gmail.com","Gmail",IF(OR(RIGHT(B9947,12)="@outlook.com",RIGHT(B9947,12)="@hotmail.com",RIGHT(B9947,9)="@live.com"),"Outlook","Domain")))</f>
        <v/>
      </c>
      <c r="F9947">
        <f>IF(B9947="","",IFERROR(RIGHT(B9947,LEN(B9947)-FIND("@",B9947)),""))</f>
        <v/>
      </c>
      <c r="G9947">
        <f>IF(D9947="KEEP",COUNTIF($D$2:D9947,"KEEP"),"")</f>
        <v/>
      </c>
      <c r="H9947">
        <f>IF(D9947="REMOVE",COUNTIF($D$2:D9947,"REMOVE"),"")</f>
        <v/>
      </c>
      <c r="I9947">
        <f>IF(E9947="Gmail",COUNTIF($E$2:E9947,"Gmail"),"")</f>
        <v/>
      </c>
      <c r="J9947">
        <f>IF(E9947="Outlook",COUNTIF($E$2:E9947,"Outlook"),"")</f>
        <v/>
      </c>
      <c r="K9947">
        <f>IF(E9947="Domain",COUNTIF($E$2:E9947,"Domain"),"")</f>
        <v/>
      </c>
    </row>
    <row r="9948">
      <c r="A9948" s="2" t="n"/>
      <c r="B9948">
        <f>LOWER(TRIM(A9948))</f>
        <v/>
      </c>
      <c r="C9948">
        <f>IF(B9948="","",IFERROR(INDEX('Bad Patterns'!$A$2:$A$120,MATCH(1,INDEX(--ISNUMBER(SEARCH('Bad Patterns'!$A$2:$A$120,B9948)),0),0)),""))</f>
        <v/>
      </c>
      <c r="D9948">
        <f>IF(B9948="","",IF(C9948&lt;&gt;"","REMOVE","KEEP"))</f>
        <v/>
      </c>
      <c r="E9948">
        <f>IF(D9948&lt;&gt;"KEEP","",IF(RIGHT(B9948,10)="@gmail.com","Gmail",IF(OR(RIGHT(B9948,12)="@outlook.com",RIGHT(B9948,12)="@hotmail.com",RIGHT(B9948,9)="@live.com"),"Outlook","Domain")))</f>
        <v/>
      </c>
      <c r="F9948">
        <f>IF(B9948="","",IFERROR(RIGHT(B9948,LEN(B9948)-FIND("@",B9948)),""))</f>
        <v/>
      </c>
      <c r="G9948">
        <f>IF(D9948="KEEP",COUNTIF($D$2:D9948,"KEEP"),"")</f>
        <v/>
      </c>
      <c r="H9948">
        <f>IF(D9948="REMOVE",COUNTIF($D$2:D9948,"REMOVE"),"")</f>
        <v/>
      </c>
      <c r="I9948">
        <f>IF(E9948="Gmail",COUNTIF($E$2:E9948,"Gmail"),"")</f>
        <v/>
      </c>
      <c r="J9948">
        <f>IF(E9948="Outlook",COUNTIF($E$2:E9948,"Outlook"),"")</f>
        <v/>
      </c>
      <c r="K9948">
        <f>IF(E9948="Domain",COUNTIF($E$2:E9948,"Domain"),"")</f>
        <v/>
      </c>
    </row>
    <row r="9949">
      <c r="A9949" s="2" t="n"/>
      <c r="B9949">
        <f>LOWER(TRIM(A9949))</f>
        <v/>
      </c>
      <c r="C9949">
        <f>IF(B9949="","",IFERROR(INDEX('Bad Patterns'!$A$2:$A$120,MATCH(1,INDEX(--ISNUMBER(SEARCH('Bad Patterns'!$A$2:$A$120,B9949)),0),0)),""))</f>
        <v/>
      </c>
      <c r="D9949">
        <f>IF(B9949="","",IF(C9949&lt;&gt;"","REMOVE","KEEP"))</f>
        <v/>
      </c>
      <c r="E9949">
        <f>IF(D9949&lt;&gt;"KEEP","",IF(RIGHT(B9949,10)="@gmail.com","Gmail",IF(OR(RIGHT(B9949,12)="@outlook.com",RIGHT(B9949,12)="@hotmail.com",RIGHT(B9949,9)="@live.com"),"Outlook","Domain")))</f>
        <v/>
      </c>
      <c r="F9949">
        <f>IF(B9949="","",IFERROR(RIGHT(B9949,LEN(B9949)-FIND("@",B9949)),""))</f>
        <v/>
      </c>
      <c r="G9949">
        <f>IF(D9949="KEEP",COUNTIF($D$2:D9949,"KEEP"),"")</f>
        <v/>
      </c>
      <c r="H9949">
        <f>IF(D9949="REMOVE",COUNTIF($D$2:D9949,"REMOVE"),"")</f>
        <v/>
      </c>
      <c r="I9949">
        <f>IF(E9949="Gmail",COUNTIF($E$2:E9949,"Gmail"),"")</f>
        <v/>
      </c>
      <c r="J9949">
        <f>IF(E9949="Outlook",COUNTIF($E$2:E9949,"Outlook"),"")</f>
        <v/>
      </c>
      <c r="K9949">
        <f>IF(E9949="Domain",COUNTIF($E$2:E9949,"Domain"),"")</f>
        <v/>
      </c>
    </row>
    <row r="9950">
      <c r="A9950" s="2" t="n"/>
      <c r="B9950">
        <f>LOWER(TRIM(A9950))</f>
        <v/>
      </c>
      <c r="C9950">
        <f>IF(B9950="","",IFERROR(INDEX('Bad Patterns'!$A$2:$A$120,MATCH(1,INDEX(--ISNUMBER(SEARCH('Bad Patterns'!$A$2:$A$120,B9950)),0),0)),""))</f>
        <v/>
      </c>
      <c r="D9950">
        <f>IF(B9950="","",IF(C9950&lt;&gt;"","REMOVE","KEEP"))</f>
        <v/>
      </c>
      <c r="E9950">
        <f>IF(D9950&lt;&gt;"KEEP","",IF(RIGHT(B9950,10)="@gmail.com","Gmail",IF(OR(RIGHT(B9950,12)="@outlook.com",RIGHT(B9950,12)="@hotmail.com",RIGHT(B9950,9)="@live.com"),"Outlook","Domain")))</f>
        <v/>
      </c>
      <c r="F9950">
        <f>IF(B9950="","",IFERROR(RIGHT(B9950,LEN(B9950)-FIND("@",B9950)),""))</f>
        <v/>
      </c>
      <c r="G9950">
        <f>IF(D9950="KEEP",COUNTIF($D$2:D9950,"KEEP"),"")</f>
        <v/>
      </c>
      <c r="H9950">
        <f>IF(D9950="REMOVE",COUNTIF($D$2:D9950,"REMOVE"),"")</f>
        <v/>
      </c>
      <c r="I9950">
        <f>IF(E9950="Gmail",COUNTIF($E$2:E9950,"Gmail"),"")</f>
        <v/>
      </c>
      <c r="J9950">
        <f>IF(E9950="Outlook",COUNTIF($E$2:E9950,"Outlook"),"")</f>
        <v/>
      </c>
      <c r="K9950">
        <f>IF(E9950="Domain",COUNTIF($E$2:E9950,"Domain"),"")</f>
        <v/>
      </c>
    </row>
    <row r="9951">
      <c r="A9951" s="2" t="n"/>
      <c r="B9951">
        <f>LOWER(TRIM(A9951))</f>
        <v/>
      </c>
      <c r="C9951">
        <f>IF(B9951="","",IFERROR(INDEX('Bad Patterns'!$A$2:$A$120,MATCH(1,INDEX(--ISNUMBER(SEARCH('Bad Patterns'!$A$2:$A$120,B9951)),0),0)),""))</f>
        <v/>
      </c>
      <c r="D9951">
        <f>IF(B9951="","",IF(C9951&lt;&gt;"","REMOVE","KEEP"))</f>
        <v/>
      </c>
      <c r="E9951">
        <f>IF(D9951&lt;&gt;"KEEP","",IF(RIGHT(B9951,10)="@gmail.com","Gmail",IF(OR(RIGHT(B9951,12)="@outlook.com",RIGHT(B9951,12)="@hotmail.com",RIGHT(B9951,9)="@live.com"),"Outlook","Domain")))</f>
        <v/>
      </c>
      <c r="F9951">
        <f>IF(B9951="","",IFERROR(RIGHT(B9951,LEN(B9951)-FIND("@",B9951)),""))</f>
        <v/>
      </c>
      <c r="G9951">
        <f>IF(D9951="KEEP",COUNTIF($D$2:D9951,"KEEP"),"")</f>
        <v/>
      </c>
      <c r="H9951">
        <f>IF(D9951="REMOVE",COUNTIF($D$2:D9951,"REMOVE"),"")</f>
        <v/>
      </c>
      <c r="I9951">
        <f>IF(E9951="Gmail",COUNTIF($E$2:E9951,"Gmail"),"")</f>
        <v/>
      </c>
      <c r="J9951">
        <f>IF(E9951="Outlook",COUNTIF($E$2:E9951,"Outlook"),"")</f>
        <v/>
      </c>
      <c r="K9951">
        <f>IF(E9951="Domain",COUNTIF($E$2:E9951,"Domain"),"")</f>
        <v/>
      </c>
    </row>
    <row r="9952">
      <c r="A9952" s="2" t="n"/>
      <c r="B9952">
        <f>LOWER(TRIM(A9952))</f>
        <v/>
      </c>
      <c r="C9952">
        <f>IF(B9952="","",IFERROR(INDEX('Bad Patterns'!$A$2:$A$120,MATCH(1,INDEX(--ISNUMBER(SEARCH('Bad Patterns'!$A$2:$A$120,B9952)),0),0)),""))</f>
        <v/>
      </c>
      <c r="D9952">
        <f>IF(B9952="","",IF(C9952&lt;&gt;"","REMOVE","KEEP"))</f>
        <v/>
      </c>
      <c r="E9952">
        <f>IF(D9952&lt;&gt;"KEEP","",IF(RIGHT(B9952,10)="@gmail.com","Gmail",IF(OR(RIGHT(B9952,12)="@outlook.com",RIGHT(B9952,12)="@hotmail.com",RIGHT(B9952,9)="@live.com"),"Outlook","Domain")))</f>
        <v/>
      </c>
      <c r="F9952">
        <f>IF(B9952="","",IFERROR(RIGHT(B9952,LEN(B9952)-FIND("@",B9952)),""))</f>
        <v/>
      </c>
      <c r="G9952">
        <f>IF(D9952="KEEP",COUNTIF($D$2:D9952,"KEEP"),"")</f>
        <v/>
      </c>
      <c r="H9952">
        <f>IF(D9952="REMOVE",COUNTIF($D$2:D9952,"REMOVE"),"")</f>
        <v/>
      </c>
      <c r="I9952">
        <f>IF(E9952="Gmail",COUNTIF($E$2:E9952,"Gmail"),"")</f>
        <v/>
      </c>
      <c r="J9952">
        <f>IF(E9952="Outlook",COUNTIF($E$2:E9952,"Outlook"),"")</f>
        <v/>
      </c>
      <c r="K9952">
        <f>IF(E9952="Domain",COUNTIF($E$2:E9952,"Domain"),"")</f>
        <v/>
      </c>
    </row>
    <row r="9953">
      <c r="A9953" s="2" t="n"/>
      <c r="B9953">
        <f>LOWER(TRIM(A9953))</f>
        <v/>
      </c>
      <c r="C9953">
        <f>IF(B9953="","",IFERROR(INDEX('Bad Patterns'!$A$2:$A$120,MATCH(1,INDEX(--ISNUMBER(SEARCH('Bad Patterns'!$A$2:$A$120,B9953)),0),0)),""))</f>
        <v/>
      </c>
      <c r="D9953">
        <f>IF(B9953="","",IF(C9953&lt;&gt;"","REMOVE","KEEP"))</f>
        <v/>
      </c>
      <c r="E9953">
        <f>IF(D9953&lt;&gt;"KEEP","",IF(RIGHT(B9953,10)="@gmail.com","Gmail",IF(OR(RIGHT(B9953,12)="@outlook.com",RIGHT(B9953,12)="@hotmail.com",RIGHT(B9953,9)="@live.com"),"Outlook","Domain")))</f>
        <v/>
      </c>
      <c r="F9953">
        <f>IF(B9953="","",IFERROR(RIGHT(B9953,LEN(B9953)-FIND("@",B9953)),""))</f>
        <v/>
      </c>
      <c r="G9953">
        <f>IF(D9953="KEEP",COUNTIF($D$2:D9953,"KEEP"),"")</f>
        <v/>
      </c>
      <c r="H9953">
        <f>IF(D9953="REMOVE",COUNTIF($D$2:D9953,"REMOVE"),"")</f>
        <v/>
      </c>
      <c r="I9953">
        <f>IF(E9953="Gmail",COUNTIF($E$2:E9953,"Gmail"),"")</f>
        <v/>
      </c>
      <c r="J9953">
        <f>IF(E9953="Outlook",COUNTIF($E$2:E9953,"Outlook"),"")</f>
        <v/>
      </c>
      <c r="K9953">
        <f>IF(E9953="Domain",COUNTIF($E$2:E9953,"Domain"),"")</f>
        <v/>
      </c>
    </row>
    <row r="9954">
      <c r="A9954" s="2" t="n"/>
      <c r="B9954">
        <f>LOWER(TRIM(A9954))</f>
        <v/>
      </c>
      <c r="C9954">
        <f>IF(B9954="","",IFERROR(INDEX('Bad Patterns'!$A$2:$A$120,MATCH(1,INDEX(--ISNUMBER(SEARCH('Bad Patterns'!$A$2:$A$120,B9954)),0),0)),""))</f>
        <v/>
      </c>
      <c r="D9954">
        <f>IF(B9954="","",IF(C9954&lt;&gt;"","REMOVE","KEEP"))</f>
        <v/>
      </c>
      <c r="E9954">
        <f>IF(D9954&lt;&gt;"KEEP","",IF(RIGHT(B9954,10)="@gmail.com","Gmail",IF(OR(RIGHT(B9954,12)="@outlook.com",RIGHT(B9954,12)="@hotmail.com",RIGHT(B9954,9)="@live.com"),"Outlook","Domain")))</f>
        <v/>
      </c>
      <c r="F9954">
        <f>IF(B9954="","",IFERROR(RIGHT(B9954,LEN(B9954)-FIND("@",B9954)),""))</f>
        <v/>
      </c>
      <c r="G9954">
        <f>IF(D9954="KEEP",COUNTIF($D$2:D9954,"KEEP"),"")</f>
        <v/>
      </c>
      <c r="H9954">
        <f>IF(D9954="REMOVE",COUNTIF($D$2:D9954,"REMOVE"),"")</f>
        <v/>
      </c>
      <c r="I9954">
        <f>IF(E9954="Gmail",COUNTIF($E$2:E9954,"Gmail"),"")</f>
        <v/>
      </c>
      <c r="J9954">
        <f>IF(E9954="Outlook",COUNTIF($E$2:E9954,"Outlook"),"")</f>
        <v/>
      </c>
      <c r="K9954">
        <f>IF(E9954="Domain",COUNTIF($E$2:E9954,"Domain"),"")</f>
        <v/>
      </c>
    </row>
    <row r="9955">
      <c r="A9955" s="2" t="n"/>
      <c r="B9955">
        <f>LOWER(TRIM(A9955))</f>
        <v/>
      </c>
      <c r="C9955">
        <f>IF(B9955="","",IFERROR(INDEX('Bad Patterns'!$A$2:$A$120,MATCH(1,INDEX(--ISNUMBER(SEARCH('Bad Patterns'!$A$2:$A$120,B9955)),0),0)),""))</f>
        <v/>
      </c>
      <c r="D9955">
        <f>IF(B9955="","",IF(C9955&lt;&gt;"","REMOVE","KEEP"))</f>
        <v/>
      </c>
      <c r="E9955">
        <f>IF(D9955&lt;&gt;"KEEP","",IF(RIGHT(B9955,10)="@gmail.com","Gmail",IF(OR(RIGHT(B9955,12)="@outlook.com",RIGHT(B9955,12)="@hotmail.com",RIGHT(B9955,9)="@live.com"),"Outlook","Domain")))</f>
        <v/>
      </c>
      <c r="F9955">
        <f>IF(B9955="","",IFERROR(RIGHT(B9955,LEN(B9955)-FIND("@",B9955)),""))</f>
        <v/>
      </c>
      <c r="G9955">
        <f>IF(D9955="KEEP",COUNTIF($D$2:D9955,"KEEP"),"")</f>
        <v/>
      </c>
      <c r="H9955">
        <f>IF(D9955="REMOVE",COUNTIF($D$2:D9955,"REMOVE"),"")</f>
        <v/>
      </c>
      <c r="I9955">
        <f>IF(E9955="Gmail",COUNTIF($E$2:E9955,"Gmail"),"")</f>
        <v/>
      </c>
      <c r="J9955">
        <f>IF(E9955="Outlook",COUNTIF($E$2:E9955,"Outlook"),"")</f>
        <v/>
      </c>
      <c r="K9955">
        <f>IF(E9955="Domain",COUNTIF($E$2:E9955,"Domain"),"")</f>
        <v/>
      </c>
    </row>
    <row r="9956">
      <c r="A9956" s="2" t="n"/>
      <c r="B9956">
        <f>LOWER(TRIM(A9956))</f>
        <v/>
      </c>
      <c r="C9956">
        <f>IF(B9956="","",IFERROR(INDEX('Bad Patterns'!$A$2:$A$120,MATCH(1,INDEX(--ISNUMBER(SEARCH('Bad Patterns'!$A$2:$A$120,B9956)),0),0)),""))</f>
        <v/>
      </c>
      <c r="D9956">
        <f>IF(B9956="","",IF(C9956&lt;&gt;"","REMOVE","KEEP"))</f>
        <v/>
      </c>
      <c r="E9956">
        <f>IF(D9956&lt;&gt;"KEEP","",IF(RIGHT(B9956,10)="@gmail.com","Gmail",IF(OR(RIGHT(B9956,12)="@outlook.com",RIGHT(B9956,12)="@hotmail.com",RIGHT(B9956,9)="@live.com"),"Outlook","Domain")))</f>
        <v/>
      </c>
      <c r="F9956">
        <f>IF(B9956="","",IFERROR(RIGHT(B9956,LEN(B9956)-FIND("@",B9956)),""))</f>
        <v/>
      </c>
      <c r="G9956">
        <f>IF(D9956="KEEP",COUNTIF($D$2:D9956,"KEEP"),"")</f>
        <v/>
      </c>
      <c r="H9956">
        <f>IF(D9956="REMOVE",COUNTIF($D$2:D9956,"REMOVE"),"")</f>
        <v/>
      </c>
      <c r="I9956">
        <f>IF(E9956="Gmail",COUNTIF($E$2:E9956,"Gmail"),"")</f>
        <v/>
      </c>
      <c r="J9956">
        <f>IF(E9956="Outlook",COUNTIF($E$2:E9956,"Outlook"),"")</f>
        <v/>
      </c>
      <c r="K9956">
        <f>IF(E9956="Domain",COUNTIF($E$2:E9956,"Domain"),"")</f>
        <v/>
      </c>
    </row>
    <row r="9957">
      <c r="A9957" s="2" t="n"/>
      <c r="B9957">
        <f>LOWER(TRIM(A9957))</f>
        <v/>
      </c>
      <c r="C9957">
        <f>IF(B9957="","",IFERROR(INDEX('Bad Patterns'!$A$2:$A$120,MATCH(1,INDEX(--ISNUMBER(SEARCH('Bad Patterns'!$A$2:$A$120,B9957)),0),0)),""))</f>
        <v/>
      </c>
      <c r="D9957">
        <f>IF(B9957="","",IF(C9957&lt;&gt;"","REMOVE","KEEP"))</f>
        <v/>
      </c>
      <c r="E9957">
        <f>IF(D9957&lt;&gt;"KEEP","",IF(RIGHT(B9957,10)="@gmail.com","Gmail",IF(OR(RIGHT(B9957,12)="@outlook.com",RIGHT(B9957,12)="@hotmail.com",RIGHT(B9957,9)="@live.com"),"Outlook","Domain")))</f>
        <v/>
      </c>
      <c r="F9957">
        <f>IF(B9957="","",IFERROR(RIGHT(B9957,LEN(B9957)-FIND("@",B9957)),""))</f>
        <v/>
      </c>
      <c r="G9957">
        <f>IF(D9957="KEEP",COUNTIF($D$2:D9957,"KEEP"),"")</f>
        <v/>
      </c>
      <c r="H9957">
        <f>IF(D9957="REMOVE",COUNTIF($D$2:D9957,"REMOVE"),"")</f>
        <v/>
      </c>
      <c r="I9957">
        <f>IF(E9957="Gmail",COUNTIF($E$2:E9957,"Gmail"),"")</f>
        <v/>
      </c>
      <c r="J9957">
        <f>IF(E9957="Outlook",COUNTIF($E$2:E9957,"Outlook"),"")</f>
        <v/>
      </c>
      <c r="K9957">
        <f>IF(E9957="Domain",COUNTIF($E$2:E9957,"Domain"),"")</f>
        <v/>
      </c>
    </row>
    <row r="9958">
      <c r="A9958" s="2" t="n"/>
      <c r="B9958">
        <f>LOWER(TRIM(A9958))</f>
        <v/>
      </c>
      <c r="C9958">
        <f>IF(B9958="","",IFERROR(INDEX('Bad Patterns'!$A$2:$A$120,MATCH(1,INDEX(--ISNUMBER(SEARCH('Bad Patterns'!$A$2:$A$120,B9958)),0),0)),""))</f>
        <v/>
      </c>
      <c r="D9958">
        <f>IF(B9958="","",IF(C9958&lt;&gt;"","REMOVE","KEEP"))</f>
        <v/>
      </c>
      <c r="E9958">
        <f>IF(D9958&lt;&gt;"KEEP","",IF(RIGHT(B9958,10)="@gmail.com","Gmail",IF(OR(RIGHT(B9958,12)="@outlook.com",RIGHT(B9958,12)="@hotmail.com",RIGHT(B9958,9)="@live.com"),"Outlook","Domain")))</f>
        <v/>
      </c>
      <c r="F9958">
        <f>IF(B9958="","",IFERROR(RIGHT(B9958,LEN(B9958)-FIND("@",B9958)),""))</f>
        <v/>
      </c>
      <c r="G9958">
        <f>IF(D9958="KEEP",COUNTIF($D$2:D9958,"KEEP"),"")</f>
        <v/>
      </c>
      <c r="H9958">
        <f>IF(D9958="REMOVE",COUNTIF($D$2:D9958,"REMOVE"),"")</f>
        <v/>
      </c>
      <c r="I9958">
        <f>IF(E9958="Gmail",COUNTIF($E$2:E9958,"Gmail"),"")</f>
        <v/>
      </c>
      <c r="J9958">
        <f>IF(E9958="Outlook",COUNTIF($E$2:E9958,"Outlook"),"")</f>
        <v/>
      </c>
      <c r="K9958">
        <f>IF(E9958="Domain",COUNTIF($E$2:E9958,"Domain"),"")</f>
        <v/>
      </c>
    </row>
    <row r="9959">
      <c r="A9959" s="2" t="n"/>
      <c r="B9959">
        <f>LOWER(TRIM(A9959))</f>
        <v/>
      </c>
      <c r="C9959">
        <f>IF(B9959="","",IFERROR(INDEX('Bad Patterns'!$A$2:$A$120,MATCH(1,INDEX(--ISNUMBER(SEARCH('Bad Patterns'!$A$2:$A$120,B9959)),0),0)),""))</f>
        <v/>
      </c>
      <c r="D9959">
        <f>IF(B9959="","",IF(C9959&lt;&gt;"","REMOVE","KEEP"))</f>
        <v/>
      </c>
      <c r="E9959">
        <f>IF(D9959&lt;&gt;"KEEP","",IF(RIGHT(B9959,10)="@gmail.com","Gmail",IF(OR(RIGHT(B9959,12)="@outlook.com",RIGHT(B9959,12)="@hotmail.com",RIGHT(B9959,9)="@live.com"),"Outlook","Domain")))</f>
        <v/>
      </c>
      <c r="F9959">
        <f>IF(B9959="","",IFERROR(RIGHT(B9959,LEN(B9959)-FIND("@",B9959)),""))</f>
        <v/>
      </c>
      <c r="G9959">
        <f>IF(D9959="KEEP",COUNTIF($D$2:D9959,"KEEP"),"")</f>
        <v/>
      </c>
      <c r="H9959">
        <f>IF(D9959="REMOVE",COUNTIF($D$2:D9959,"REMOVE"),"")</f>
        <v/>
      </c>
      <c r="I9959">
        <f>IF(E9959="Gmail",COUNTIF($E$2:E9959,"Gmail"),"")</f>
        <v/>
      </c>
      <c r="J9959">
        <f>IF(E9959="Outlook",COUNTIF($E$2:E9959,"Outlook"),"")</f>
        <v/>
      </c>
      <c r="K9959">
        <f>IF(E9959="Domain",COUNTIF($E$2:E9959,"Domain"),"")</f>
        <v/>
      </c>
    </row>
    <row r="9960">
      <c r="A9960" s="2" t="n"/>
      <c r="B9960">
        <f>LOWER(TRIM(A9960))</f>
        <v/>
      </c>
      <c r="C9960">
        <f>IF(B9960="","",IFERROR(INDEX('Bad Patterns'!$A$2:$A$120,MATCH(1,INDEX(--ISNUMBER(SEARCH('Bad Patterns'!$A$2:$A$120,B9960)),0),0)),""))</f>
        <v/>
      </c>
      <c r="D9960">
        <f>IF(B9960="","",IF(C9960&lt;&gt;"","REMOVE","KEEP"))</f>
        <v/>
      </c>
      <c r="E9960">
        <f>IF(D9960&lt;&gt;"KEEP","",IF(RIGHT(B9960,10)="@gmail.com","Gmail",IF(OR(RIGHT(B9960,12)="@outlook.com",RIGHT(B9960,12)="@hotmail.com",RIGHT(B9960,9)="@live.com"),"Outlook","Domain")))</f>
        <v/>
      </c>
      <c r="F9960">
        <f>IF(B9960="","",IFERROR(RIGHT(B9960,LEN(B9960)-FIND("@",B9960)),""))</f>
        <v/>
      </c>
      <c r="G9960">
        <f>IF(D9960="KEEP",COUNTIF($D$2:D9960,"KEEP"),"")</f>
        <v/>
      </c>
      <c r="H9960">
        <f>IF(D9960="REMOVE",COUNTIF($D$2:D9960,"REMOVE"),"")</f>
        <v/>
      </c>
      <c r="I9960">
        <f>IF(E9960="Gmail",COUNTIF($E$2:E9960,"Gmail"),"")</f>
        <v/>
      </c>
      <c r="J9960">
        <f>IF(E9960="Outlook",COUNTIF($E$2:E9960,"Outlook"),"")</f>
        <v/>
      </c>
      <c r="K9960">
        <f>IF(E9960="Domain",COUNTIF($E$2:E9960,"Domain"),"")</f>
        <v/>
      </c>
    </row>
    <row r="9961">
      <c r="A9961" s="2" t="n"/>
      <c r="B9961">
        <f>LOWER(TRIM(A9961))</f>
        <v/>
      </c>
      <c r="C9961">
        <f>IF(B9961="","",IFERROR(INDEX('Bad Patterns'!$A$2:$A$120,MATCH(1,INDEX(--ISNUMBER(SEARCH('Bad Patterns'!$A$2:$A$120,B9961)),0),0)),""))</f>
        <v/>
      </c>
      <c r="D9961">
        <f>IF(B9961="","",IF(C9961&lt;&gt;"","REMOVE","KEEP"))</f>
        <v/>
      </c>
      <c r="E9961">
        <f>IF(D9961&lt;&gt;"KEEP","",IF(RIGHT(B9961,10)="@gmail.com","Gmail",IF(OR(RIGHT(B9961,12)="@outlook.com",RIGHT(B9961,12)="@hotmail.com",RIGHT(B9961,9)="@live.com"),"Outlook","Domain")))</f>
        <v/>
      </c>
      <c r="F9961">
        <f>IF(B9961="","",IFERROR(RIGHT(B9961,LEN(B9961)-FIND("@",B9961)),""))</f>
        <v/>
      </c>
      <c r="G9961">
        <f>IF(D9961="KEEP",COUNTIF($D$2:D9961,"KEEP"),"")</f>
        <v/>
      </c>
      <c r="H9961">
        <f>IF(D9961="REMOVE",COUNTIF($D$2:D9961,"REMOVE"),"")</f>
        <v/>
      </c>
      <c r="I9961">
        <f>IF(E9961="Gmail",COUNTIF($E$2:E9961,"Gmail"),"")</f>
        <v/>
      </c>
      <c r="J9961">
        <f>IF(E9961="Outlook",COUNTIF($E$2:E9961,"Outlook"),"")</f>
        <v/>
      </c>
      <c r="K9961">
        <f>IF(E9961="Domain",COUNTIF($E$2:E9961,"Domain"),"")</f>
        <v/>
      </c>
    </row>
    <row r="9962">
      <c r="A9962" s="2" t="n"/>
      <c r="B9962">
        <f>LOWER(TRIM(A9962))</f>
        <v/>
      </c>
      <c r="C9962">
        <f>IF(B9962="","",IFERROR(INDEX('Bad Patterns'!$A$2:$A$120,MATCH(1,INDEX(--ISNUMBER(SEARCH('Bad Patterns'!$A$2:$A$120,B9962)),0),0)),""))</f>
        <v/>
      </c>
      <c r="D9962">
        <f>IF(B9962="","",IF(C9962&lt;&gt;"","REMOVE","KEEP"))</f>
        <v/>
      </c>
      <c r="E9962">
        <f>IF(D9962&lt;&gt;"KEEP","",IF(RIGHT(B9962,10)="@gmail.com","Gmail",IF(OR(RIGHT(B9962,12)="@outlook.com",RIGHT(B9962,12)="@hotmail.com",RIGHT(B9962,9)="@live.com"),"Outlook","Domain")))</f>
        <v/>
      </c>
      <c r="F9962">
        <f>IF(B9962="","",IFERROR(RIGHT(B9962,LEN(B9962)-FIND("@",B9962)),""))</f>
        <v/>
      </c>
      <c r="G9962">
        <f>IF(D9962="KEEP",COUNTIF($D$2:D9962,"KEEP"),"")</f>
        <v/>
      </c>
      <c r="H9962">
        <f>IF(D9962="REMOVE",COUNTIF($D$2:D9962,"REMOVE"),"")</f>
        <v/>
      </c>
      <c r="I9962">
        <f>IF(E9962="Gmail",COUNTIF($E$2:E9962,"Gmail"),"")</f>
        <v/>
      </c>
      <c r="J9962">
        <f>IF(E9962="Outlook",COUNTIF($E$2:E9962,"Outlook"),"")</f>
        <v/>
      </c>
      <c r="K9962">
        <f>IF(E9962="Domain",COUNTIF($E$2:E9962,"Domain"),"")</f>
        <v/>
      </c>
    </row>
    <row r="9963">
      <c r="A9963" s="2" t="n"/>
      <c r="B9963">
        <f>LOWER(TRIM(A9963))</f>
        <v/>
      </c>
      <c r="C9963">
        <f>IF(B9963="","",IFERROR(INDEX('Bad Patterns'!$A$2:$A$120,MATCH(1,INDEX(--ISNUMBER(SEARCH('Bad Patterns'!$A$2:$A$120,B9963)),0),0)),""))</f>
        <v/>
      </c>
      <c r="D9963">
        <f>IF(B9963="","",IF(C9963&lt;&gt;"","REMOVE","KEEP"))</f>
        <v/>
      </c>
      <c r="E9963">
        <f>IF(D9963&lt;&gt;"KEEP","",IF(RIGHT(B9963,10)="@gmail.com","Gmail",IF(OR(RIGHT(B9963,12)="@outlook.com",RIGHT(B9963,12)="@hotmail.com",RIGHT(B9963,9)="@live.com"),"Outlook","Domain")))</f>
        <v/>
      </c>
      <c r="F9963">
        <f>IF(B9963="","",IFERROR(RIGHT(B9963,LEN(B9963)-FIND("@",B9963)),""))</f>
        <v/>
      </c>
      <c r="G9963">
        <f>IF(D9963="KEEP",COUNTIF($D$2:D9963,"KEEP"),"")</f>
        <v/>
      </c>
      <c r="H9963">
        <f>IF(D9963="REMOVE",COUNTIF($D$2:D9963,"REMOVE"),"")</f>
        <v/>
      </c>
      <c r="I9963">
        <f>IF(E9963="Gmail",COUNTIF($E$2:E9963,"Gmail"),"")</f>
        <v/>
      </c>
      <c r="J9963">
        <f>IF(E9963="Outlook",COUNTIF($E$2:E9963,"Outlook"),"")</f>
        <v/>
      </c>
      <c r="K9963">
        <f>IF(E9963="Domain",COUNTIF($E$2:E9963,"Domain"),"")</f>
        <v/>
      </c>
    </row>
    <row r="9964">
      <c r="A9964" s="2" t="n"/>
      <c r="B9964">
        <f>LOWER(TRIM(A9964))</f>
        <v/>
      </c>
      <c r="C9964">
        <f>IF(B9964="","",IFERROR(INDEX('Bad Patterns'!$A$2:$A$120,MATCH(1,INDEX(--ISNUMBER(SEARCH('Bad Patterns'!$A$2:$A$120,B9964)),0),0)),""))</f>
        <v/>
      </c>
      <c r="D9964">
        <f>IF(B9964="","",IF(C9964&lt;&gt;"","REMOVE","KEEP"))</f>
        <v/>
      </c>
      <c r="E9964">
        <f>IF(D9964&lt;&gt;"KEEP","",IF(RIGHT(B9964,10)="@gmail.com","Gmail",IF(OR(RIGHT(B9964,12)="@outlook.com",RIGHT(B9964,12)="@hotmail.com",RIGHT(B9964,9)="@live.com"),"Outlook","Domain")))</f>
        <v/>
      </c>
      <c r="F9964">
        <f>IF(B9964="","",IFERROR(RIGHT(B9964,LEN(B9964)-FIND("@",B9964)),""))</f>
        <v/>
      </c>
      <c r="G9964">
        <f>IF(D9964="KEEP",COUNTIF($D$2:D9964,"KEEP"),"")</f>
        <v/>
      </c>
      <c r="H9964">
        <f>IF(D9964="REMOVE",COUNTIF($D$2:D9964,"REMOVE"),"")</f>
        <v/>
      </c>
      <c r="I9964">
        <f>IF(E9964="Gmail",COUNTIF($E$2:E9964,"Gmail"),"")</f>
        <v/>
      </c>
      <c r="J9964">
        <f>IF(E9964="Outlook",COUNTIF($E$2:E9964,"Outlook"),"")</f>
        <v/>
      </c>
      <c r="K9964">
        <f>IF(E9964="Domain",COUNTIF($E$2:E9964,"Domain"),"")</f>
        <v/>
      </c>
    </row>
    <row r="9965">
      <c r="A9965" s="2" t="n"/>
      <c r="B9965">
        <f>LOWER(TRIM(A9965))</f>
        <v/>
      </c>
      <c r="C9965">
        <f>IF(B9965="","",IFERROR(INDEX('Bad Patterns'!$A$2:$A$120,MATCH(1,INDEX(--ISNUMBER(SEARCH('Bad Patterns'!$A$2:$A$120,B9965)),0),0)),""))</f>
        <v/>
      </c>
      <c r="D9965">
        <f>IF(B9965="","",IF(C9965&lt;&gt;"","REMOVE","KEEP"))</f>
        <v/>
      </c>
      <c r="E9965">
        <f>IF(D9965&lt;&gt;"KEEP","",IF(RIGHT(B9965,10)="@gmail.com","Gmail",IF(OR(RIGHT(B9965,12)="@outlook.com",RIGHT(B9965,12)="@hotmail.com",RIGHT(B9965,9)="@live.com"),"Outlook","Domain")))</f>
        <v/>
      </c>
      <c r="F9965">
        <f>IF(B9965="","",IFERROR(RIGHT(B9965,LEN(B9965)-FIND("@",B9965)),""))</f>
        <v/>
      </c>
      <c r="G9965">
        <f>IF(D9965="KEEP",COUNTIF($D$2:D9965,"KEEP"),"")</f>
        <v/>
      </c>
      <c r="H9965">
        <f>IF(D9965="REMOVE",COUNTIF($D$2:D9965,"REMOVE"),"")</f>
        <v/>
      </c>
      <c r="I9965">
        <f>IF(E9965="Gmail",COUNTIF($E$2:E9965,"Gmail"),"")</f>
        <v/>
      </c>
      <c r="J9965">
        <f>IF(E9965="Outlook",COUNTIF($E$2:E9965,"Outlook"),"")</f>
        <v/>
      </c>
      <c r="K9965">
        <f>IF(E9965="Domain",COUNTIF($E$2:E9965,"Domain"),"")</f>
        <v/>
      </c>
    </row>
    <row r="9966">
      <c r="A9966" s="2" t="n"/>
      <c r="B9966">
        <f>LOWER(TRIM(A9966))</f>
        <v/>
      </c>
      <c r="C9966">
        <f>IF(B9966="","",IFERROR(INDEX('Bad Patterns'!$A$2:$A$120,MATCH(1,INDEX(--ISNUMBER(SEARCH('Bad Patterns'!$A$2:$A$120,B9966)),0),0)),""))</f>
        <v/>
      </c>
      <c r="D9966">
        <f>IF(B9966="","",IF(C9966&lt;&gt;"","REMOVE","KEEP"))</f>
        <v/>
      </c>
      <c r="E9966">
        <f>IF(D9966&lt;&gt;"KEEP","",IF(RIGHT(B9966,10)="@gmail.com","Gmail",IF(OR(RIGHT(B9966,12)="@outlook.com",RIGHT(B9966,12)="@hotmail.com",RIGHT(B9966,9)="@live.com"),"Outlook","Domain")))</f>
        <v/>
      </c>
      <c r="F9966">
        <f>IF(B9966="","",IFERROR(RIGHT(B9966,LEN(B9966)-FIND("@",B9966)),""))</f>
        <v/>
      </c>
      <c r="G9966">
        <f>IF(D9966="KEEP",COUNTIF($D$2:D9966,"KEEP"),"")</f>
        <v/>
      </c>
      <c r="H9966">
        <f>IF(D9966="REMOVE",COUNTIF($D$2:D9966,"REMOVE"),"")</f>
        <v/>
      </c>
      <c r="I9966">
        <f>IF(E9966="Gmail",COUNTIF($E$2:E9966,"Gmail"),"")</f>
        <v/>
      </c>
      <c r="J9966">
        <f>IF(E9966="Outlook",COUNTIF($E$2:E9966,"Outlook"),"")</f>
        <v/>
      </c>
      <c r="K9966">
        <f>IF(E9966="Domain",COUNTIF($E$2:E9966,"Domain"),"")</f>
        <v/>
      </c>
    </row>
    <row r="9967">
      <c r="A9967" s="2" t="n"/>
      <c r="B9967">
        <f>LOWER(TRIM(A9967))</f>
        <v/>
      </c>
      <c r="C9967">
        <f>IF(B9967="","",IFERROR(INDEX('Bad Patterns'!$A$2:$A$120,MATCH(1,INDEX(--ISNUMBER(SEARCH('Bad Patterns'!$A$2:$A$120,B9967)),0),0)),""))</f>
        <v/>
      </c>
      <c r="D9967">
        <f>IF(B9967="","",IF(C9967&lt;&gt;"","REMOVE","KEEP"))</f>
        <v/>
      </c>
      <c r="E9967">
        <f>IF(D9967&lt;&gt;"KEEP","",IF(RIGHT(B9967,10)="@gmail.com","Gmail",IF(OR(RIGHT(B9967,12)="@outlook.com",RIGHT(B9967,12)="@hotmail.com",RIGHT(B9967,9)="@live.com"),"Outlook","Domain")))</f>
        <v/>
      </c>
      <c r="F9967">
        <f>IF(B9967="","",IFERROR(RIGHT(B9967,LEN(B9967)-FIND("@",B9967)),""))</f>
        <v/>
      </c>
      <c r="G9967">
        <f>IF(D9967="KEEP",COUNTIF($D$2:D9967,"KEEP"),"")</f>
        <v/>
      </c>
      <c r="H9967">
        <f>IF(D9967="REMOVE",COUNTIF($D$2:D9967,"REMOVE"),"")</f>
        <v/>
      </c>
      <c r="I9967">
        <f>IF(E9967="Gmail",COUNTIF($E$2:E9967,"Gmail"),"")</f>
        <v/>
      </c>
      <c r="J9967">
        <f>IF(E9967="Outlook",COUNTIF($E$2:E9967,"Outlook"),"")</f>
        <v/>
      </c>
      <c r="K9967">
        <f>IF(E9967="Domain",COUNTIF($E$2:E9967,"Domain"),"")</f>
        <v/>
      </c>
    </row>
    <row r="9968">
      <c r="A9968" s="2" t="n"/>
      <c r="B9968">
        <f>LOWER(TRIM(A9968))</f>
        <v/>
      </c>
      <c r="C9968">
        <f>IF(B9968="","",IFERROR(INDEX('Bad Patterns'!$A$2:$A$120,MATCH(1,INDEX(--ISNUMBER(SEARCH('Bad Patterns'!$A$2:$A$120,B9968)),0),0)),""))</f>
        <v/>
      </c>
      <c r="D9968">
        <f>IF(B9968="","",IF(C9968&lt;&gt;"","REMOVE","KEEP"))</f>
        <v/>
      </c>
      <c r="E9968">
        <f>IF(D9968&lt;&gt;"KEEP","",IF(RIGHT(B9968,10)="@gmail.com","Gmail",IF(OR(RIGHT(B9968,12)="@outlook.com",RIGHT(B9968,12)="@hotmail.com",RIGHT(B9968,9)="@live.com"),"Outlook","Domain")))</f>
        <v/>
      </c>
      <c r="F9968">
        <f>IF(B9968="","",IFERROR(RIGHT(B9968,LEN(B9968)-FIND("@",B9968)),""))</f>
        <v/>
      </c>
      <c r="G9968">
        <f>IF(D9968="KEEP",COUNTIF($D$2:D9968,"KEEP"),"")</f>
        <v/>
      </c>
      <c r="H9968">
        <f>IF(D9968="REMOVE",COUNTIF($D$2:D9968,"REMOVE"),"")</f>
        <v/>
      </c>
      <c r="I9968">
        <f>IF(E9968="Gmail",COUNTIF($E$2:E9968,"Gmail"),"")</f>
        <v/>
      </c>
      <c r="J9968">
        <f>IF(E9968="Outlook",COUNTIF($E$2:E9968,"Outlook"),"")</f>
        <v/>
      </c>
      <c r="K9968">
        <f>IF(E9968="Domain",COUNTIF($E$2:E9968,"Domain"),"")</f>
        <v/>
      </c>
    </row>
    <row r="9969">
      <c r="A9969" s="2" t="n"/>
      <c r="B9969">
        <f>LOWER(TRIM(A9969))</f>
        <v/>
      </c>
      <c r="C9969">
        <f>IF(B9969="","",IFERROR(INDEX('Bad Patterns'!$A$2:$A$120,MATCH(1,INDEX(--ISNUMBER(SEARCH('Bad Patterns'!$A$2:$A$120,B9969)),0),0)),""))</f>
        <v/>
      </c>
      <c r="D9969">
        <f>IF(B9969="","",IF(C9969&lt;&gt;"","REMOVE","KEEP"))</f>
        <v/>
      </c>
      <c r="E9969">
        <f>IF(D9969&lt;&gt;"KEEP","",IF(RIGHT(B9969,10)="@gmail.com","Gmail",IF(OR(RIGHT(B9969,12)="@outlook.com",RIGHT(B9969,12)="@hotmail.com",RIGHT(B9969,9)="@live.com"),"Outlook","Domain")))</f>
        <v/>
      </c>
      <c r="F9969">
        <f>IF(B9969="","",IFERROR(RIGHT(B9969,LEN(B9969)-FIND("@",B9969)),""))</f>
        <v/>
      </c>
      <c r="G9969">
        <f>IF(D9969="KEEP",COUNTIF($D$2:D9969,"KEEP"),"")</f>
        <v/>
      </c>
      <c r="H9969">
        <f>IF(D9969="REMOVE",COUNTIF($D$2:D9969,"REMOVE"),"")</f>
        <v/>
      </c>
      <c r="I9969">
        <f>IF(E9969="Gmail",COUNTIF($E$2:E9969,"Gmail"),"")</f>
        <v/>
      </c>
      <c r="J9969">
        <f>IF(E9969="Outlook",COUNTIF($E$2:E9969,"Outlook"),"")</f>
        <v/>
      </c>
      <c r="K9969">
        <f>IF(E9969="Domain",COUNTIF($E$2:E9969,"Domain"),"")</f>
        <v/>
      </c>
    </row>
    <row r="9970">
      <c r="A9970" s="2" t="n"/>
      <c r="B9970">
        <f>LOWER(TRIM(A9970))</f>
        <v/>
      </c>
      <c r="C9970">
        <f>IF(B9970="","",IFERROR(INDEX('Bad Patterns'!$A$2:$A$120,MATCH(1,INDEX(--ISNUMBER(SEARCH('Bad Patterns'!$A$2:$A$120,B9970)),0),0)),""))</f>
        <v/>
      </c>
      <c r="D9970">
        <f>IF(B9970="","",IF(C9970&lt;&gt;"","REMOVE","KEEP"))</f>
        <v/>
      </c>
      <c r="E9970">
        <f>IF(D9970&lt;&gt;"KEEP","",IF(RIGHT(B9970,10)="@gmail.com","Gmail",IF(OR(RIGHT(B9970,12)="@outlook.com",RIGHT(B9970,12)="@hotmail.com",RIGHT(B9970,9)="@live.com"),"Outlook","Domain")))</f>
        <v/>
      </c>
      <c r="F9970">
        <f>IF(B9970="","",IFERROR(RIGHT(B9970,LEN(B9970)-FIND("@",B9970)),""))</f>
        <v/>
      </c>
      <c r="G9970">
        <f>IF(D9970="KEEP",COUNTIF($D$2:D9970,"KEEP"),"")</f>
        <v/>
      </c>
      <c r="H9970">
        <f>IF(D9970="REMOVE",COUNTIF($D$2:D9970,"REMOVE"),"")</f>
        <v/>
      </c>
      <c r="I9970">
        <f>IF(E9970="Gmail",COUNTIF($E$2:E9970,"Gmail"),"")</f>
        <v/>
      </c>
      <c r="J9970">
        <f>IF(E9970="Outlook",COUNTIF($E$2:E9970,"Outlook"),"")</f>
        <v/>
      </c>
      <c r="K9970">
        <f>IF(E9970="Domain",COUNTIF($E$2:E9970,"Domain"),"")</f>
        <v/>
      </c>
    </row>
    <row r="9971">
      <c r="A9971" s="2" t="n"/>
      <c r="B9971">
        <f>LOWER(TRIM(A9971))</f>
        <v/>
      </c>
      <c r="C9971">
        <f>IF(B9971="","",IFERROR(INDEX('Bad Patterns'!$A$2:$A$120,MATCH(1,INDEX(--ISNUMBER(SEARCH('Bad Patterns'!$A$2:$A$120,B9971)),0),0)),""))</f>
        <v/>
      </c>
      <c r="D9971">
        <f>IF(B9971="","",IF(C9971&lt;&gt;"","REMOVE","KEEP"))</f>
        <v/>
      </c>
      <c r="E9971">
        <f>IF(D9971&lt;&gt;"KEEP","",IF(RIGHT(B9971,10)="@gmail.com","Gmail",IF(OR(RIGHT(B9971,12)="@outlook.com",RIGHT(B9971,12)="@hotmail.com",RIGHT(B9971,9)="@live.com"),"Outlook","Domain")))</f>
        <v/>
      </c>
      <c r="F9971">
        <f>IF(B9971="","",IFERROR(RIGHT(B9971,LEN(B9971)-FIND("@",B9971)),""))</f>
        <v/>
      </c>
      <c r="G9971">
        <f>IF(D9971="KEEP",COUNTIF($D$2:D9971,"KEEP"),"")</f>
        <v/>
      </c>
      <c r="H9971">
        <f>IF(D9971="REMOVE",COUNTIF($D$2:D9971,"REMOVE"),"")</f>
        <v/>
      </c>
      <c r="I9971">
        <f>IF(E9971="Gmail",COUNTIF($E$2:E9971,"Gmail"),"")</f>
        <v/>
      </c>
      <c r="J9971">
        <f>IF(E9971="Outlook",COUNTIF($E$2:E9971,"Outlook"),"")</f>
        <v/>
      </c>
      <c r="K9971">
        <f>IF(E9971="Domain",COUNTIF($E$2:E9971,"Domain"),"")</f>
        <v/>
      </c>
    </row>
    <row r="9972">
      <c r="A9972" s="2" t="n"/>
      <c r="B9972">
        <f>LOWER(TRIM(A9972))</f>
        <v/>
      </c>
      <c r="C9972">
        <f>IF(B9972="","",IFERROR(INDEX('Bad Patterns'!$A$2:$A$120,MATCH(1,INDEX(--ISNUMBER(SEARCH('Bad Patterns'!$A$2:$A$120,B9972)),0),0)),""))</f>
        <v/>
      </c>
      <c r="D9972">
        <f>IF(B9972="","",IF(C9972&lt;&gt;"","REMOVE","KEEP"))</f>
        <v/>
      </c>
      <c r="E9972">
        <f>IF(D9972&lt;&gt;"KEEP","",IF(RIGHT(B9972,10)="@gmail.com","Gmail",IF(OR(RIGHT(B9972,12)="@outlook.com",RIGHT(B9972,12)="@hotmail.com",RIGHT(B9972,9)="@live.com"),"Outlook","Domain")))</f>
        <v/>
      </c>
      <c r="F9972">
        <f>IF(B9972="","",IFERROR(RIGHT(B9972,LEN(B9972)-FIND("@",B9972)),""))</f>
        <v/>
      </c>
      <c r="G9972">
        <f>IF(D9972="KEEP",COUNTIF($D$2:D9972,"KEEP"),"")</f>
        <v/>
      </c>
      <c r="H9972">
        <f>IF(D9972="REMOVE",COUNTIF($D$2:D9972,"REMOVE"),"")</f>
        <v/>
      </c>
      <c r="I9972">
        <f>IF(E9972="Gmail",COUNTIF($E$2:E9972,"Gmail"),"")</f>
        <v/>
      </c>
      <c r="J9972">
        <f>IF(E9972="Outlook",COUNTIF($E$2:E9972,"Outlook"),"")</f>
        <v/>
      </c>
      <c r="K9972">
        <f>IF(E9972="Domain",COUNTIF($E$2:E9972,"Domain"),"")</f>
        <v/>
      </c>
    </row>
    <row r="9973">
      <c r="A9973" s="2" t="n"/>
      <c r="B9973">
        <f>LOWER(TRIM(A9973))</f>
        <v/>
      </c>
      <c r="C9973">
        <f>IF(B9973="","",IFERROR(INDEX('Bad Patterns'!$A$2:$A$120,MATCH(1,INDEX(--ISNUMBER(SEARCH('Bad Patterns'!$A$2:$A$120,B9973)),0),0)),""))</f>
        <v/>
      </c>
      <c r="D9973">
        <f>IF(B9973="","",IF(C9973&lt;&gt;"","REMOVE","KEEP"))</f>
        <v/>
      </c>
      <c r="E9973">
        <f>IF(D9973&lt;&gt;"KEEP","",IF(RIGHT(B9973,10)="@gmail.com","Gmail",IF(OR(RIGHT(B9973,12)="@outlook.com",RIGHT(B9973,12)="@hotmail.com",RIGHT(B9973,9)="@live.com"),"Outlook","Domain")))</f>
        <v/>
      </c>
      <c r="F9973">
        <f>IF(B9973="","",IFERROR(RIGHT(B9973,LEN(B9973)-FIND("@",B9973)),""))</f>
        <v/>
      </c>
      <c r="G9973">
        <f>IF(D9973="KEEP",COUNTIF($D$2:D9973,"KEEP"),"")</f>
        <v/>
      </c>
      <c r="H9973">
        <f>IF(D9973="REMOVE",COUNTIF($D$2:D9973,"REMOVE"),"")</f>
        <v/>
      </c>
      <c r="I9973">
        <f>IF(E9973="Gmail",COUNTIF($E$2:E9973,"Gmail"),"")</f>
        <v/>
      </c>
      <c r="J9973">
        <f>IF(E9973="Outlook",COUNTIF($E$2:E9973,"Outlook"),"")</f>
        <v/>
      </c>
      <c r="K9973">
        <f>IF(E9973="Domain",COUNTIF($E$2:E9973,"Domain"),"")</f>
        <v/>
      </c>
    </row>
    <row r="9974">
      <c r="A9974" s="2" t="n"/>
      <c r="B9974">
        <f>LOWER(TRIM(A9974))</f>
        <v/>
      </c>
      <c r="C9974">
        <f>IF(B9974="","",IFERROR(INDEX('Bad Patterns'!$A$2:$A$120,MATCH(1,INDEX(--ISNUMBER(SEARCH('Bad Patterns'!$A$2:$A$120,B9974)),0),0)),""))</f>
        <v/>
      </c>
      <c r="D9974">
        <f>IF(B9974="","",IF(C9974&lt;&gt;"","REMOVE","KEEP"))</f>
        <v/>
      </c>
      <c r="E9974">
        <f>IF(D9974&lt;&gt;"KEEP","",IF(RIGHT(B9974,10)="@gmail.com","Gmail",IF(OR(RIGHT(B9974,12)="@outlook.com",RIGHT(B9974,12)="@hotmail.com",RIGHT(B9974,9)="@live.com"),"Outlook","Domain")))</f>
        <v/>
      </c>
      <c r="F9974">
        <f>IF(B9974="","",IFERROR(RIGHT(B9974,LEN(B9974)-FIND("@",B9974)),""))</f>
        <v/>
      </c>
      <c r="G9974">
        <f>IF(D9974="KEEP",COUNTIF($D$2:D9974,"KEEP"),"")</f>
        <v/>
      </c>
      <c r="H9974">
        <f>IF(D9974="REMOVE",COUNTIF($D$2:D9974,"REMOVE"),"")</f>
        <v/>
      </c>
      <c r="I9974">
        <f>IF(E9974="Gmail",COUNTIF($E$2:E9974,"Gmail"),"")</f>
        <v/>
      </c>
      <c r="J9974">
        <f>IF(E9974="Outlook",COUNTIF($E$2:E9974,"Outlook"),"")</f>
        <v/>
      </c>
      <c r="K9974">
        <f>IF(E9974="Domain",COUNTIF($E$2:E9974,"Domain"),"")</f>
        <v/>
      </c>
    </row>
    <row r="9975">
      <c r="A9975" s="2" t="n"/>
      <c r="B9975">
        <f>LOWER(TRIM(A9975))</f>
        <v/>
      </c>
      <c r="C9975">
        <f>IF(B9975="","",IFERROR(INDEX('Bad Patterns'!$A$2:$A$120,MATCH(1,INDEX(--ISNUMBER(SEARCH('Bad Patterns'!$A$2:$A$120,B9975)),0),0)),""))</f>
        <v/>
      </c>
      <c r="D9975">
        <f>IF(B9975="","",IF(C9975&lt;&gt;"","REMOVE","KEEP"))</f>
        <v/>
      </c>
      <c r="E9975">
        <f>IF(D9975&lt;&gt;"KEEP","",IF(RIGHT(B9975,10)="@gmail.com","Gmail",IF(OR(RIGHT(B9975,12)="@outlook.com",RIGHT(B9975,12)="@hotmail.com",RIGHT(B9975,9)="@live.com"),"Outlook","Domain")))</f>
        <v/>
      </c>
      <c r="F9975">
        <f>IF(B9975="","",IFERROR(RIGHT(B9975,LEN(B9975)-FIND("@",B9975)),""))</f>
        <v/>
      </c>
      <c r="G9975">
        <f>IF(D9975="KEEP",COUNTIF($D$2:D9975,"KEEP"),"")</f>
        <v/>
      </c>
      <c r="H9975">
        <f>IF(D9975="REMOVE",COUNTIF($D$2:D9975,"REMOVE"),"")</f>
        <v/>
      </c>
      <c r="I9975">
        <f>IF(E9975="Gmail",COUNTIF($E$2:E9975,"Gmail"),"")</f>
        <v/>
      </c>
      <c r="J9975">
        <f>IF(E9975="Outlook",COUNTIF($E$2:E9975,"Outlook"),"")</f>
        <v/>
      </c>
      <c r="K9975">
        <f>IF(E9975="Domain",COUNTIF($E$2:E9975,"Domain"),"")</f>
        <v/>
      </c>
    </row>
    <row r="9976">
      <c r="A9976" s="2" t="n"/>
      <c r="B9976">
        <f>LOWER(TRIM(A9976))</f>
        <v/>
      </c>
      <c r="C9976">
        <f>IF(B9976="","",IFERROR(INDEX('Bad Patterns'!$A$2:$A$120,MATCH(1,INDEX(--ISNUMBER(SEARCH('Bad Patterns'!$A$2:$A$120,B9976)),0),0)),""))</f>
        <v/>
      </c>
      <c r="D9976">
        <f>IF(B9976="","",IF(C9976&lt;&gt;"","REMOVE","KEEP"))</f>
        <v/>
      </c>
      <c r="E9976">
        <f>IF(D9976&lt;&gt;"KEEP","",IF(RIGHT(B9976,10)="@gmail.com","Gmail",IF(OR(RIGHT(B9976,12)="@outlook.com",RIGHT(B9976,12)="@hotmail.com",RIGHT(B9976,9)="@live.com"),"Outlook","Domain")))</f>
        <v/>
      </c>
      <c r="F9976">
        <f>IF(B9976="","",IFERROR(RIGHT(B9976,LEN(B9976)-FIND("@",B9976)),""))</f>
        <v/>
      </c>
      <c r="G9976">
        <f>IF(D9976="KEEP",COUNTIF($D$2:D9976,"KEEP"),"")</f>
        <v/>
      </c>
      <c r="H9976">
        <f>IF(D9976="REMOVE",COUNTIF($D$2:D9976,"REMOVE"),"")</f>
        <v/>
      </c>
      <c r="I9976">
        <f>IF(E9976="Gmail",COUNTIF($E$2:E9976,"Gmail"),"")</f>
        <v/>
      </c>
      <c r="J9976">
        <f>IF(E9976="Outlook",COUNTIF($E$2:E9976,"Outlook"),"")</f>
        <v/>
      </c>
      <c r="K9976">
        <f>IF(E9976="Domain",COUNTIF($E$2:E9976,"Domain"),"")</f>
        <v/>
      </c>
    </row>
    <row r="9977">
      <c r="A9977" s="2" t="n"/>
      <c r="B9977">
        <f>LOWER(TRIM(A9977))</f>
        <v/>
      </c>
      <c r="C9977">
        <f>IF(B9977="","",IFERROR(INDEX('Bad Patterns'!$A$2:$A$120,MATCH(1,INDEX(--ISNUMBER(SEARCH('Bad Patterns'!$A$2:$A$120,B9977)),0),0)),""))</f>
        <v/>
      </c>
      <c r="D9977">
        <f>IF(B9977="","",IF(C9977&lt;&gt;"","REMOVE","KEEP"))</f>
        <v/>
      </c>
      <c r="E9977">
        <f>IF(D9977&lt;&gt;"KEEP","",IF(RIGHT(B9977,10)="@gmail.com","Gmail",IF(OR(RIGHT(B9977,12)="@outlook.com",RIGHT(B9977,12)="@hotmail.com",RIGHT(B9977,9)="@live.com"),"Outlook","Domain")))</f>
        <v/>
      </c>
      <c r="F9977">
        <f>IF(B9977="","",IFERROR(RIGHT(B9977,LEN(B9977)-FIND("@",B9977)),""))</f>
        <v/>
      </c>
      <c r="G9977">
        <f>IF(D9977="KEEP",COUNTIF($D$2:D9977,"KEEP"),"")</f>
        <v/>
      </c>
      <c r="H9977">
        <f>IF(D9977="REMOVE",COUNTIF($D$2:D9977,"REMOVE"),"")</f>
        <v/>
      </c>
      <c r="I9977">
        <f>IF(E9977="Gmail",COUNTIF($E$2:E9977,"Gmail"),"")</f>
        <v/>
      </c>
      <c r="J9977">
        <f>IF(E9977="Outlook",COUNTIF($E$2:E9977,"Outlook"),"")</f>
        <v/>
      </c>
      <c r="K9977">
        <f>IF(E9977="Domain",COUNTIF($E$2:E9977,"Domain"),"")</f>
        <v/>
      </c>
    </row>
    <row r="9978">
      <c r="A9978" s="2" t="n"/>
      <c r="B9978">
        <f>LOWER(TRIM(A9978))</f>
        <v/>
      </c>
      <c r="C9978">
        <f>IF(B9978="","",IFERROR(INDEX('Bad Patterns'!$A$2:$A$120,MATCH(1,INDEX(--ISNUMBER(SEARCH('Bad Patterns'!$A$2:$A$120,B9978)),0),0)),""))</f>
        <v/>
      </c>
      <c r="D9978">
        <f>IF(B9978="","",IF(C9978&lt;&gt;"","REMOVE","KEEP"))</f>
        <v/>
      </c>
      <c r="E9978">
        <f>IF(D9978&lt;&gt;"KEEP","",IF(RIGHT(B9978,10)="@gmail.com","Gmail",IF(OR(RIGHT(B9978,12)="@outlook.com",RIGHT(B9978,12)="@hotmail.com",RIGHT(B9978,9)="@live.com"),"Outlook","Domain")))</f>
        <v/>
      </c>
      <c r="F9978">
        <f>IF(B9978="","",IFERROR(RIGHT(B9978,LEN(B9978)-FIND("@",B9978)),""))</f>
        <v/>
      </c>
      <c r="G9978">
        <f>IF(D9978="KEEP",COUNTIF($D$2:D9978,"KEEP"),"")</f>
        <v/>
      </c>
      <c r="H9978">
        <f>IF(D9978="REMOVE",COUNTIF($D$2:D9978,"REMOVE"),"")</f>
        <v/>
      </c>
      <c r="I9978">
        <f>IF(E9978="Gmail",COUNTIF($E$2:E9978,"Gmail"),"")</f>
        <v/>
      </c>
      <c r="J9978">
        <f>IF(E9978="Outlook",COUNTIF($E$2:E9978,"Outlook"),"")</f>
        <v/>
      </c>
      <c r="K9978">
        <f>IF(E9978="Domain",COUNTIF($E$2:E9978,"Domain"),"")</f>
        <v/>
      </c>
    </row>
    <row r="9979">
      <c r="A9979" s="2" t="n"/>
      <c r="B9979">
        <f>LOWER(TRIM(A9979))</f>
        <v/>
      </c>
      <c r="C9979">
        <f>IF(B9979="","",IFERROR(INDEX('Bad Patterns'!$A$2:$A$120,MATCH(1,INDEX(--ISNUMBER(SEARCH('Bad Patterns'!$A$2:$A$120,B9979)),0),0)),""))</f>
        <v/>
      </c>
      <c r="D9979">
        <f>IF(B9979="","",IF(C9979&lt;&gt;"","REMOVE","KEEP"))</f>
        <v/>
      </c>
      <c r="E9979">
        <f>IF(D9979&lt;&gt;"KEEP","",IF(RIGHT(B9979,10)="@gmail.com","Gmail",IF(OR(RIGHT(B9979,12)="@outlook.com",RIGHT(B9979,12)="@hotmail.com",RIGHT(B9979,9)="@live.com"),"Outlook","Domain")))</f>
        <v/>
      </c>
      <c r="F9979">
        <f>IF(B9979="","",IFERROR(RIGHT(B9979,LEN(B9979)-FIND("@",B9979)),""))</f>
        <v/>
      </c>
      <c r="G9979">
        <f>IF(D9979="KEEP",COUNTIF($D$2:D9979,"KEEP"),"")</f>
        <v/>
      </c>
      <c r="H9979">
        <f>IF(D9979="REMOVE",COUNTIF($D$2:D9979,"REMOVE"),"")</f>
        <v/>
      </c>
      <c r="I9979">
        <f>IF(E9979="Gmail",COUNTIF($E$2:E9979,"Gmail"),"")</f>
        <v/>
      </c>
      <c r="J9979">
        <f>IF(E9979="Outlook",COUNTIF($E$2:E9979,"Outlook"),"")</f>
        <v/>
      </c>
      <c r="K9979">
        <f>IF(E9979="Domain",COUNTIF($E$2:E9979,"Domain"),"")</f>
        <v/>
      </c>
    </row>
    <row r="9980">
      <c r="A9980" s="2" t="n"/>
      <c r="B9980">
        <f>LOWER(TRIM(A9980))</f>
        <v/>
      </c>
      <c r="C9980">
        <f>IF(B9980="","",IFERROR(INDEX('Bad Patterns'!$A$2:$A$120,MATCH(1,INDEX(--ISNUMBER(SEARCH('Bad Patterns'!$A$2:$A$120,B9980)),0),0)),""))</f>
        <v/>
      </c>
      <c r="D9980">
        <f>IF(B9980="","",IF(C9980&lt;&gt;"","REMOVE","KEEP"))</f>
        <v/>
      </c>
      <c r="E9980">
        <f>IF(D9980&lt;&gt;"KEEP","",IF(RIGHT(B9980,10)="@gmail.com","Gmail",IF(OR(RIGHT(B9980,12)="@outlook.com",RIGHT(B9980,12)="@hotmail.com",RIGHT(B9980,9)="@live.com"),"Outlook","Domain")))</f>
        <v/>
      </c>
      <c r="F9980">
        <f>IF(B9980="","",IFERROR(RIGHT(B9980,LEN(B9980)-FIND("@",B9980)),""))</f>
        <v/>
      </c>
      <c r="G9980">
        <f>IF(D9980="KEEP",COUNTIF($D$2:D9980,"KEEP"),"")</f>
        <v/>
      </c>
      <c r="H9980">
        <f>IF(D9980="REMOVE",COUNTIF($D$2:D9980,"REMOVE"),"")</f>
        <v/>
      </c>
      <c r="I9980">
        <f>IF(E9980="Gmail",COUNTIF($E$2:E9980,"Gmail"),"")</f>
        <v/>
      </c>
      <c r="J9980">
        <f>IF(E9980="Outlook",COUNTIF($E$2:E9980,"Outlook"),"")</f>
        <v/>
      </c>
      <c r="K9980">
        <f>IF(E9980="Domain",COUNTIF($E$2:E9980,"Domain"),"")</f>
        <v/>
      </c>
    </row>
    <row r="9981">
      <c r="A9981" s="2" t="n"/>
      <c r="B9981">
        <f>LOWER(TRIM(A9981))</f>
        <v/>
      </c>
      <c r="C9981">
        <f>IF(B9981="","",IFERROR(INDEX('Bad Patterns'!$A$2:$A$120,MATCH(1,INDEX(--ISNUMBER(SEARCH('Bad Patterns'!$A$2:$A$120,B9981)),0),0)),""))</f>
        <v/>
      </c>
      <c r="D9981">
        <f>IF(B9981="","",IF(C9981&lt;&gt;"","REMOVE","KEEP"))</f>
        <v/>
      </c>
      <c r="E9981">
        <f>IF(D9981&lt;&gt;"KEEP","",IF(RIGHT(B9981,10)="@gmail.com","Gmail",IF(OR(RIGHT(B9981,12)="@outlook.com",RIGHT(B9981,12)="@hotmail.com",RIGHT(B9981,9)="@live.com"),"Outlook","Domain")))</f>
        <v/>
      </c>
      <c r="F9981">
        <f>IF(B9981="","",IFERROR(RIGHT(B9981,LEN(B9981)-FIND("@",B9981)),""))</f>
        <v/>
      </c>
      <c r="G9981">
        <f>IF(D9981="KEEP",COUNTIF($D$2:D9981,"KEEP"),"")</f>
        <v/>
      </c>
      <c r="H9981">
        <f>IF(D9981="REMOVE",COUNTIF($D$2:D9981,"REMOVE"),"")</f>
        <v/>
      </c>
      <c r="I9981">
        <f>IF(E9981="Gmail",COUNTIF($E$2:E9981,"Gmail"),"")</f>
        <v/>
      </c>
      <c r="J9981">
        <f>IF(E9981="Outlook",COUNTIF($E$2:E9981,"Outlook"),"")</f>
        <v/>
      </c>
      <c r="K9981">
        <f>IF(E9981="Domain",COUNTIF($E$2:E9981,"Domain"),"")</f>
        <v/>
      </c>
    </row>
    <row r="9982">
      <c r="A9982" s="2" t="n"/>
      <c r="B9982">
        <f>LOWER(TRIM(A9982))</f>
        <v/>
      </c>
      <c r="C9982">
        <f>IF(B9982="","",IFERROR(INDEX('Bad Patterns'!$A$2:$A$120,MATCH(1,INDEX(--ISNUMBER(SEARCH('Bad Patterns'!$A$2:$A$120,B9982)),0),0)),""))</f>
        <v/>
      </c>
      <c r="D9982">
        <f>IF(B9982="","",IF(C9982&lt;&gt;"","REMOVE","KEEP"))</f>
        <v/>
      </c>
      <c r="E9982">
        <f>IF(D9982&lt;&gt;"KEEP","",IF(RIGHT(B9982,10)="@gmail.com","Gmail",IF(OR(RIGHT(B9982,12)="@outlook.com",RIGHT(B9982,12)="@hotmail.com",RIGHT(B9982,9)="@live.com"),"Outlook","Domain")))</f>
        <v/>
      </c>
      <c r="F9982">
        <f>IF(B9982="","",IFERROR(RIGHT(B9982,LEN(B9982)-FIND("@",B9982)),""))</f>
        <v/>
      </c>
      <c r="G9982">
        <f>IF(D9982="KEEP",COUNTIF($D$2:D9982,"KEEP"),"")</f>
        <v/>
      </c>
      <c r="H9982">
        <f>IF(D9982="REMOVE",COUNTIF($D$2:D9982,"REMOVE"),"")</f>
        <v/>
      </c>
      <c r="I9982">
        <f>IF(E9982="Gmail",COUNTIF($E$2:E9982,"Gmail"),"")</f>
        <v/>
      </c>
      <c r="J9982">
        <f>IF(E9982="Outlook",COUNTIF($E$2:E9982,"Outlook"),"")</f>
        <v/>
      </c>
      <c r="K9982">
        <f>IF(E9982="Domain",COUNTIF($E$2:E9982,"Domain"),"")</f>
        <v/>
      </c>
    </row>
    <row r="9983">
      <c r="A9983" s="2" t="n"/>
      <c r="B9983">
        <f>LOWER(TRIM(A9983))</f>
        <v/>
      </c>
      <c r="C9983">
        <f>IF(B9983="","",IFERROR(INDEX('Bad Patterns'!$A$2:$A$120,MATCH(1,INDEX(--ISNUMBER(SEARCH('Bad Patterns'!$A$2:$A$120,B9983)),0),0)),""))</f>
        <v/>
      </c>
      <c r="D9983">
        <f>IF(B9983="","",IF(C9983&lt;&gt;"","REMOVE","KEEP"))</f>
        <v/>
      </c>
      <c r="E9983">
        <f>IF(D9983&lt;&gt;"KEEP","",IF(RIGHT(B9983,10)="@gmail.com","Gmail",IF(OR(RIGHT(B9983,12)="@outlook.com",RIGHT(B9983,12)="@hotmail.com",RIGHT(B9983,9)="@live.com"),"Outlook","Domain")))</f>
        <v/>
      </c>
      <c r="F9983">
        <f>IF(B9983="","",IFERROR(RIGHT(B9983,LEN(B9983)-FIND("@",B9983)),""))</f>
        <v/>
      </c>
      <c r="G9983">
        <f>IF(D9983="KEEP",COUNTIF($D$2:D9983,"KEEP"),"")</f>
        <v/>
      </c>
      <c r="H9983">
        <f>IF(D9983="REMOVE",COUNTIF($D$2:D9983,"REMOVE"),"")</f>
        <v/>
      </c>
      <c r="I9983">
        <f>IF(E9983="Gmail",COUNTIF($E$2:E9983,"Gmail"),"")</f>
        <v/>
      </c>
      <c r="J9983">
        <f>IF(E9983="Outlook",COUNTIF($E$2:E9983,"Outlook"),"")</f>
        <v/>
      </c>
      <c r="K9983">
        <f>IF(E9983="Domain",COUNTIF($E$2:E9983,"Domain"),"")</f>
        <v/>
      </c>
    </row>
    <row r="9984">
      <c r="A9984" s="2" t="n"/>
      <c r="B9984">
        <f>LOWER(TRIM(A9984))</f>
        <v/>
      </c>
      <c r="C9984">
        <f>IF(B9984="","",IFERROR(INDEX('Bad Patterns'!$A$2:$A$120,MATCH(1,INDEX(--ISNUMBER(SEARCH('Bad Patterns'!$A$2:$A$120,B9984)),0),0)),""))</f>
        <v/>
      </c>
      <c r="D9984">
        <f>IF(B9984="","",IF(C9984&lt;&gt;"","REMOVE","KEEP"))</f>
        <v/>
      </c>
      <c r="E9984">
        <f>IF(D9984&lt;&gt;"KEEP","",IF(RIGHT(B9984,10)="@gmail.com","Gmail",IF(OR(RIGHT(B9984,12)="@outlook.com",RIGHT(B9984,12)="@hotmail.com",RIGHT(B9984,9)="@live.com"),"Outlook","Domain")))</f>
        <v/>
      </c>
      <c r="F9984">
        <f>IF(B9984="","",IFERROR(RIGHT(B9984,LEN(B9984)-FIND("@",B9984)),""))</f>
        <v/>
      </c>
      <c r="G9984">
        <f>IF(D9984="KEEP",COUNTIF($D$2:D9984,"KEEP"),"")</f>
        <v/>
      </c>
      <c r="H9984">
        <f>IF(D9984="REMOVE",COUNTIF($D$2:D9984,"REMOVE"),"")</f>
        <v/>
      </c>
      <c r="I9984">
        <f>IF(E9984="Gmail",COUNTIF($E$2:E9984,"Gmail"),"")</f>
        <v/>
      </c>
      <c r="J9984">
        <f>IF(E9984="Outlook",COUNTIF($E$2:E9984,"Outlook"),"")</f>
        <v/>
      </c>
      <c r="K9984">
        <f>IF(E9984="Domain",COUNTIF($E$2:E9984,"Domain"),"")</f>
        <v/>
      </c>
    </row>
    <row r="9985">
      <c r="A9985" s="2" t="n"/>
      <c r="B9985">
        <f>LOWER(TRIM(A9985))</f>
        <v/>
      </c>
      <c r="C9985">
        <f>IF(B9985="","",IFERROR(INDEX('Bad Patterns'!$A$2:$A$120,MATCH(1,INDEX(--ISNUMBER(SEARCH('Bad Patterns'!$A$2:$A$120,B9985)),0),0)),""))</f>
        <v/>
      </c>
      <c r="D9985">
        <f>IF(B9985="","",IF(C9985&lt;&gt;"","REMOVE","KEEP"))</f>
        <v/>
      </c>
      <c r="E9985">
        <f>IF(D9985&lt;&gt;"KEEP","",IF(RIGHT(B9985,10)="@gmail.com","Gmail",IF(OR(RIGHT(B9985,12)="@outlook.com",RIGHT(B9985,12)="@hotmail.com",RIGHT(B9985,9)="@live.com"),"Outlook","Domain")))</f>
        <v/>
      </c>
      <c r="F9985">
        <f>IF(B9985="","",IFERROR(RIGHT(B9985,LEN(B9985)-FIND("@",B9985)),""))</f>
        <v/>
      </c>
      <c r="G9985">
        <f>IF(D9985="KEEP",COUNTIF($D$2:D9985,"KEEP"),"")</f>
        <v/>
      </c>
      <c r="H9985">
        <f>IF(D9985="REMOVE",COUNTIF($D$2:D9985,"REMOVE"),"")</f>
        <v/>
      </c>
      <c r="I9985">
        <f>IF(E9985="Gmail",COUNTIF($E$2:E9985,"Gmail"),"")</f>
        <v/>
      </c>
      <c r="J9985">
        <f>IF(E9985="Outlook",COUNTIF($E$2:E9985,"Outlook"),"")</f>
        <v/>
      </c>
      <c r="K9985">
        <f>IF(E9985="Domain",COUNTIF($E$2:E9985,"Domain"),"")</f>
        <v/>
      </c>
    </row>
    <row r="9986">
      <c r="A9986" s="2" t="n"/>
      <c r="B9986">
        <f>LOWER(TRIM(A9986))</f>
        <v/>
      </c>
      <c r="C9986">
        <f>IF(B9986="","",IFERROR(INDEX('Bad Patterns'!$A$2:$A$120,MATCH(1,INDEX(--ISNUMBER(SEARCH('Bad Patterns'!$A$2:$A$120,B9986)),0),0)),""))</f>
        <v/>
      </c>
      <c r="D9986">
        <f>IF(B9986="","",IF(C9986&lt;&gt;"","REMOVE","KEEP"))</f>
        <v/>
      </c>
      <c r="E9986">
        <f>IF(D9986&lt;&gt;"KEEP","",IF(RIGHT(B9986,10)="@gmail.com","Gmail",IF(OR(RIGHT(B9986,12)="@outlook.com",RIGHT(B9986,12)="@hotmail.com",RIGHT(B9986,9)="@live.com"),"Outlook","Domain")))</f>
        <v/>
      </c>
      <c r="F9986">
        <f>IF(B9986="","",IFERROR(RIGHT(B9986,LEN(B9986)-FIND("@",B9986)),""))</f>
        <v/>
      </c>
      <c r="G9986">
        <f>IF(D9986="KEEP",COUNTIF($D$2:D9986,"KEEP"),"")</f>
        <v/>
      </c>
      <c r="H9986">
        <f>IF(D9986="REMOVE",COUNTIF($D$2:D9986,"REMOVE"),"")</f>
        <v/>
      </c>
      <c r="I9986">
        <f>IF(E9986="Gmail",COUNTIF($E$2:E9986,"Gmail"),"")</f>
        <v/>
      </c>
      <c r="J9986">
        <f>IF(E9986="Outlook",COUNTIF($E$2:E9986,"Outlook"),"")</f>
        <v/>
      </c>
      <c r="K9986">
        <f>IF(E9986="Domain",COUNTIF($E$2:E9986,"Domain"),"")</f>
        <v/>
      </c>
    </row>
    <row r="9987">
      <c r="A9987" s="2" t="n"/>
      <c r="B9987">
        <f>LOWER(TRIM(A9987))</f>
        <v/>
      </c>
      <c r="C9987">
        <f>IF(B9987="","",IFERROR(INDEX('Bad Patterns'!$A$2:$A$120,MATCH(1,INDEX(--ISNUMBER(SEARCH('Bad Patterns'!$A$2:$A$120,B9987)),0),0)),""))</f>
        <v/>
      </c>
      <c r="D9987">
        <f>IF(B9987="","",IF(C9987&lt;&gt;"","REMOVE","KEEP"))</f>
        <v/>
      </c>
      <c r="E9987">
        <f>IF(D9987&lt;&gt;"KEEP","",IF(RIGHT(B9987,10)="@gmail.com","Gmail",IF(OR(RIGHT(B9987,12)="@outlook.com",RIGHT(B9987,12)="@hotmail.com",RIGHT(B9987,9)="@live.com"),"Outlook","Domain")))</f>
        <v/>
      </c>
      <c r="F9987">
        <f>IF(B9987="","",IFERROR(RIGHT(B9987,LEN(B9987)-FIND("@",B9987)),""))</f>
        <v/>
      </c>
      <c r="G9987">
        <f>IF(D9987="KEEP",COUNTIF($D$2:D9987,"KEEP"),"")</f>
        <v/>
      </c>
      <c r="H9987">
        <f>IF(D9987="REMOVE",COUNTIF($D$2:D9987,"REMOVE"),"")</f>
        <v/>
      </c>
      <c r="I9987">
        <f>IF(E9987="Gmail",COUNTIF($E$2:E9987,"Gmail"),"")</f>
        <v/>
      </c>
      <c r="J9987">
        <f>IF(E9987="Outlook",COUNTIF($E$2:E9987,"Outlook"),"")</f>
        <v/>
      </c>
      <c r="K9987">
        <f>IF(E9987="Domain",COUNTIF($E$2:E9987,"Domain"),"")</f>
        <v/>
      </c>
    </row>
    <row r="9988">
      <c r="A9988" s="2" t="n"/>
      <c r="B9988">
        <f>LOWER(TRIM(A9988))</f>
        <v/>
      </c>
      <c r="C9988">
        <f>IF(B9988="","",IFERROR(INDEX('Bad Patterns'!$A$2:$A$120,MATCH(1,INDEX(--ISNUMBER(SEARCH('Bad Patterns'!$A$2:$A$120,B9988)),0),0)),""))</f>
        <v/>
      </c>
      <c r="D9988">
        <f>IF(B9988="","",IF(C9988&lt;&gt;"","REMOVE","KEEP"))</f>
        <v/>
      </c>
      <c r="E9988">
        <f>IF(D9988&lt;&gt;"KEEP","",IF(RIGHT(B9988,10)="@gmail.com","Gmail",IF(OR(RIGHT(B9988,12)="@outlook.com",RIGHT(B9988,12)="@hotmail.com",RIGHT(B9988,9)="@live.com"),"Outlook","Domain")))</f>
        <v/>
      </c>
      <c r="F9988">
        <f>IF(B9988="","",IFERROR(RIGHT(B9988,LEN(B9988)-FIND("@",B9988)),""))</f>
        <v/>
      </c>
      <c r="G9988">
        <f>IF(D9988="KEEP",COUNTIF($D$2:D9988,"KEEP"),"")</f>
        <v/>
      </c>
      <c r="H9988">
        <f>IF(D9988="REMOVE",COUNTIF($D$2:D9988,"REMOVE"),"")</f>
        <v/>
      </c>
      <c r="I9988">
        <f>IF(E9988="Gmail",COUNTIF($E$2:E9988,"Gmail"),"")</f>
        <v/>
      </c>
      <c r="J9988">
        <f>IF(E9988="Outlook",COUNTIF($E$2:E9988,"Outlook"),"")</f>
        <v/>
      </c>
      <c r="K9988">
        <f>IF(E9988="Domain",COUNTIF($E$2:E9988,"Domain"),"")</f>
        <v/>
      </c>
    </row>
    <row r="9989">
      <c r="A9989" s="2" t="n"/>
      <c r="B9989">
        <f>LOWER(TRIM(A9989))</f>
        <v/>
      </c>
      <c r="C9989">
        <f>IF(B9989="","",IFERROR(INDEX('Bad Patterns'!$A$2:$A$120,MATCH(1,INDEX(--ISNUMBER(SEARCH('Bad Patterns'!$A$2:$A$120,B9989)),0),0)),""))</f>
        <v/>
      </c>
      <c r="D9989">
        <f>IF(B9989="","",IF(C9989&lt;&gt;"","REMOVE","KEEP"))</f>
        <v/>
      </c>
      <c r="E9989">
        <f>IF(D9989&lt;&gt;"KEEP","",IF(RIGHT(B9989,10)="@gmail.com","Gmail",IF(OR(RIGHT(B9989,12)="@outlook.com",RIGHT(B9989,12)="@hotmail.com",RIGHT(B9989,9)="@live.com"),"Outlook","Domain")))</f>
        <v/>
      </c>
      <c r="F9989">
        <f>IF(B9989="","",IFERROR(RIGHT(B9989,LEN(B9989)-FIND("@",B9989)),""))</f>
        <v/>
      </c>
      <c r="G9989">
        <f>IF(D9989="KEEP",COUNTIF($D$2:D9989,"KEEP"),"")</f>
        <v/>
      </c>
      <c r="H9989">
        <f>IF(D9989="REMOVE",COUNTIF($D$2:D9989,"REMOVE"),"")</f>
        <v/>
      </c>
      <c r="I9989">
        <f>IF(E9989="Gmail",COUNTIF($E$2:E9989,"Gmail"),"")</f>
        <v/>
      </c>
      <c r="J9989">
        <f>IF(E9989="Outlook",COUNTIF($E$2:E9989,"Outlook"),"")</f>
        <v/>
      </c>
      <c r="K9989">
        <f>IF(E9989="Domain",COUNTIF($E$2:E9989,"Domain"),"")</f>
        <v/>
      </c>
    </row>
    <row r="9990">
      <c r="A9990" s="2" t="n"/>
      <c r="B9990">
        <f>LOWER(TRIM(A9990))</f>
        <v/>
      </c>
      <c r="C9990">
        <f>IF(B9990="","",IFERROR(INDEX('Bad Patterns'!$A$2:$A$120,MATCH(1,INDEX(--ISNUMBER(SEARCH('Bad Patterns'!$A$2:$A$120,B9990)),0),0)),""))</f>
        <v/>
      </c>
      <c r="D9990">
        <f>IF(B9990="","",IF(C9990&lt;&gt;"","REMOVE","KEEP"))</f>
        <v/>
      </c>
      <c r="E9990">
        <f>IF(D9990&lt;&gt;"KEEP","",IF(RIGHT(B9990,10)="@gmail.com","Gmail",IF(OR(RIGHT(B9990,12)="@outlook.com",RIGHT(B9990,12)="@hotmail.com",RIGHT(B9990,9)="@live.com"),"Outlook","Domain")))</f>
        <v/>
      </c>
      <c r="F9990">
        <f>IF(B9990="","",IFERROR(RIGHT(B9990,LEN(B9990)-FIND("@",B9990)),""))</f>
        <v/>
      </c>
      <c r="G9990">
        <f>IF(D9990="KEEP",COUNTIF($D$2:D9990,"KEEP"),"")</f>
        <v/>
      </c>
      <c r="H9990">
        <f>IF(D9990="REMOVE",COUNTIF($D$2:D9990,"REMOVE"),"")</f>
        <v/>
      </c>
      <c r="I9990">
        <f>IF(E9990="Gmail",COUNTIF($E$2:E9990,"Gmail"),"")</f>
        <v/>
      </c>
      <c r="J9990">
        <f>IF(E9990="Outlook",COUNTIF($E$2:E9990,"Outlook"),"")</f>
        <v/>
      </c>
      <c r="K9990">
        <f>IF(E9990="Domain",COUNTIF($E$2:E9990,"Domain"),"")</f>
        <v/>
      </c>
    </row>
    <row r="9991">
      <c r="A9991" s="2" t="n"/>
      <c r="B9991">
        <f>LOWER(TRIM(A9991))</f>
        <v/>
      </c>
      <c r="C9991">
        <f>IF(B9991="","",IFERROR(INDEX('Bad Patterns'!$A$2:$A$120,MATCH(1,INDEX(--ISNUMBER(SEARCH('Bad Patterns'!$A$2:$A$120,B9991)),0),0)),""))</f>
        <v/>
      </c>
      <c r="D9991">
        <f>IF(B9991="","",IF(C9991&lt;&gt;"","REMOVE","KEEP"))</f>
        <v/>
      </c>
      <c r="E9991">
        <f>IF(D9991&lt;&gt;"KEEP","",IF(RIGHT(B9991,10)="@gmail.com","Gmail",IF(OR(RIGHT(B9991,12)="@outlook.com",RIGHT(B9991,12)="@hotmail.com",RIGHT(B9991,9)="@live.com"),"Outlook","Domain")))</f>
        <v/>
      </c>
      <c r="F9991">
        <f>IF(B9991="","",IFERROR(RIGHT(B9991,LEN(B9991)-FIND("@",B9991)),""))</f>
        <v/>
      </c>
      <c r="G9991">
        <f>IF(D9991="KEEP",COUNTIF($D$2:D9991,"KEEP"),"")</f>
        <v/>
      </c>
      <c r="H9991">
        <f>IF(D9991="REMOVE",COUNTIF($D$2:D9991,"REMOVE"),"")</f>
        <v/>
      </c>
      <c r="I9991">
        <f>IF(E9991="Gmail",COUNTIF($E$2:E9991,"Gmail"),"")</f>
        <v/>
      </c>
      <c r="J9991">
        <f>IF(E9991="Outlook",COUNTIF($E$2:E9991,"Outlook"),"")</f>
        <v/>
      </c>
      <c r="K9991">
        <f>IF(E9991="Domain",COUNTIF($E$2:E9991,"Domain"),"")</f>
        <v/>
      </c>
    </row>
    <row r="9992">
      <c r="A9992" s="2" t="n"/>
      <c r="B9992">
        <f>LOWER(TRIM(A9992))</f>
        <v/>
      </c>
      <c r="C9992">
        <f>IF(B9992="","",IFERROR(INDEX('Bad Patterns'!$A$2:$A$120,MATCH(1,INDEX(--ISNUMBER(SEARCH('Bad Patterns'!$A$2:$A$120,B9992)),0),0)),""))</f>
        <v/>
      </c>
      <c r="D9992">
        <f>IF(B9992="","",IF(C9992&lt;&gt;"","REMOVE","KEEP"))</f>
        <v/>
      </c>
      <c r="E9992">
        <f>IF(D9992&lt;&gt;"KEEP","",IF(RIGHT(B9992,10)="@gmail.com","Gmail",IF(OR(RIGHT(B9992,12)="@outlook.com",RIGHT(B9992,12)="@hotmail.com",RIGHT(B9992,9)="@live.com"),"Outlook","Domain")))</f>
        <v/>
      </c>
      <c r="F9992">
        <f>IF(B9992="","",IFERROR(RIGHT(B9992,LEN(B9992)-FIND("@",B9992)),""))</f>
        <v/>
      </c>
      <c r="G9992">
        <f>IF(D9992="KEEP",COUNTIF($D$2:D9992,"KEEP"),"")</f>
        <v/>
      </c>
      <c r="H9992">
        <f>IF(D9992="REMOVE",COUNTIF($D$2:D9992,"REMOVE"),"")</f>
        <v/>
      </c>
      <c r="I9992">
        <f>IF(E9992="Gmail",COUNTIF($E$2:E9992,"Gmail"),"")</f>
        <v/>
      </c>
      <c r="J9992">
        <f>IF(E9992="Outlook",COUNTIF($E$2:E9992,"Outlook"),"")</f>
        <v/>
      </c>
      <c r="K9992">
        <f>IF(E9992="Domain",COUNTIF($E$2:E9992,"Domain"),"")</f>
        <v/>
      </c>
    </row>
    <row r="9993">
      <c r="A9993" s="2" t="n"/>
      <c r="B9993">
        <f>LOWER(TRIM(A9993))</f>
        <v/>
      </c>
      <c r="C9993">
        <f>IF(B9993="","",IFERROR(INDEX('Bad Patterns'!$A$2:$A$120,MATCH(1,INDEX(--ISNUMBER(SEARCH('Bad Patterns'!$A$2:$A$120,B9993)),0),0)),""))</f>
        <v/>
      </c>
      <c r="D9993">
        <f>IF(B9993="","",IF(C9993&lt;&gt;"","REMOVE","KEEP"))</f>
        <v/>
      </c>
      <c r="E9993">
        <f>IF(D9993&lt;&gt;"KEEP","",IF(RIGHT(B9993,10)="@gmail.com","Gmail",IF(OR(RIGHT(B9993,12)="@outlook.com",RIGHT(B9993,12)="@hotmail.com",RIGHT(B9993,9)="@live.com"),"Outlook","Domain")))</f>
        <v/>
      </c>
      <c r="F9993">
        <f>IF(B9993="","",IFERROR(RIGHT(B9993,LEN(B9993)-FIND("@",B9993)),""))</f>
        <v/>
      </c>
      <c r="G9993">
        <f>IF(D9993="KEEP",COUNTIF($D$2:D9993,"KEEP"),"")</f>
        <v/>
      </c>
      <c r="H9993">
        <f>IF(D9993="REMOVE",COUNTIF($D$2:D9993,"REMOVE"),"")</f>
        <v/>
      </c>
      <c r="I9993">
        <f>IF(E9993="Gmail",COUNTIF($E$2:E9993,"Gmail"),"")</f>
        <v/>
      </c>
      <c r="J9993">
        <f>IF(E9993="Outlook",COUNTIF($E$2:E9993,"Outlook"),"")</f>
        <v/>
      </c>
      <c r="K9993">
        <f>IF(E9993="Domain",COUNTIF($E$2:E9993,"Domain"),"")</f>
        <v/>
      </c>
    </row>
    <row r="9994">
      <c r="A9994" s="2" t="n"/>
      <c r="B9994">
        <f>LOWER(TRIM(A9994))</f>
        <v/>
      </c>
      <c r="C9994">
        <f>IF(B9994="","",IFERROR(INDEX('Bad Patterns'!$A$2:$A$120,MATCH(1,INDEX(--ISNUMBER(SEARCH('Bad Patterns'!$A$2:$A$120,B9994)),0),0)),""))</f>
        <v/>
      </c>
      <c r="D9994">
        <f>IF(B9994="","",IF(C9994&lt;&gt;"","REMOVE","KEEP"))</f>
        <v/>
      </c>
      <c r="E9994">
        <f>IF(D9994&lt;&gt;"KEEP","",IF(RIGHT(B9994,10)="@gmail.com","Gmail",IF(OR(RIGHT(B9994,12)="@outlook.com",RIGHT(B9994,12)="@hotmail.com",RIGHT(B9994,9)="@live.com"),"Outlook","Domain")))</f>
        <v/>
      </c>
      <c r="F9994">
        <f>IF(B9994="","",IFERROR(RIGHT(B9994,LEN(B9994)-FIND("@",B9994)),""))</f>
        <v/>
      </c>
      <c r="G9994">
        <f>IF(D9994="KEEP",COUNTIF($D$2:D9994,"KEEP"),"")</f>
        <v/>
      </c>
      <c r="H9994">
        <f>IF(D9994="REMOVE",COUNTIF($D$2:D9994,"REMOVE"),"")</f>
        <v/>
      </c>
      <c r="I9994">
        <f>IF(E9994="Gmail",COUNTIF($E$2:E9994,"Gmail"),"")</f>
        <v/>
      </c>
      <c r="J9994">
        <f>IF(E9994="Outlook",COUNTIF($E$2:E9994,"Outlook"),"")</f>
        <v/>
      </c>
      <c r="K9994">
        <f>IF(E9994="Domain",COUNTIF($E$2:E9994,"Domain"),"")</f>
        <v/>
      </c>
    </row>
    <row r="9995">
      <c r="A9995" s="2" t="n"/>
      <c r="B9995">
        <f>LOWER(TRIM(A9995))</f>
        <v/>
      </c>
      <c r="C9995">
        <f>IF(B9995="","",IFERROR(INDEX('Bad Patterns'!$A$2:$A$120,MATCH(1,INDEX(--ISNUMBER(SEARCH('Bad Patterns'!$A$2:$A$120,B9995)),0),0)),""))</f>
        <v/>
      </c>
      <c r="D9995">
        <f>IF(B9995="","",IF(C9995&lt;&gt;"","REMOVE","KEEP"))</f>
        <v/>
      </c>
      <c r="E9995">
        <f>IF(D9995&lt;&gt;"KEEP","",IF(RIGHT(B9995,10)="@gmail.com","Gmail",IF(OR(RIGHT(B9995,12)="@outlook.com",RIGHT(B9995,12)="@hotmail.com",RIGHT(B9995,9)="@live.com"),"Outlook","Domain")))</f>
        <v/>
      </c>
      <c r="F9995">
        <f>IF(B9995="","",IFERROR(RIGHT(B9995,LEN(B9995)-FIND("@",B9995)),""))</f>
        <v/>
      </c>
      <c r="G9995">
        <f>IF(D9995="KEEP",COUNTIF($D$2:D9995,"KEEP"),"")</f>
        <v/>
      </c>
      <c r="H9995">
        <f>IF(D9995="REMOVE",COUNTIF($D$2:D9995,"REMOVE"),"")</f>
        <v/>
      </c>
      <c r="I9995">
        <f>IF(E9995="Gmail",COUNTIF($E$2:E9995,"Gmail"),"")</f>
        <v/>
      </c>
      <c r="J9995">
        <f>IF(E9995="Outlook",COUNTIF($E$2:E9995,"Outlook"),"")</f>
        <v/>
      </c>
      <c r="K9995">
        <f>IF(E9995="Domain",COUNTIF($E$2:E9995,"Domain"),"")</f>
        <v/>
      </c>
    </row>
    <row r="9996">
      <c r="A9996" s="2" t="n"/>
      <c r="B9996">
        <f>LOWER(TRIM(A9996))</f>
        <v/>
      </c>
      <c r="C9996">
        <f>IF(B9996="","",IFERROR(INDEX('Bad Patterns'!$A$2:$A$120,MATCH(1,INDEX(--ISNUMBER(SEARCH('Bad Patterns'!$A$2:$A$120,B9996)),0),0)),""))</f>
        <v/>
      </c>
      <c r="D9996">
        <f>IF(B9996="","",IF(C9996&lt;&gt;"","REMOVE","KEEP"))</f>
        <v/>
      </c>
      <c r="E9996">
        <f>IF(D9996&lt;&gt;"KEEP","",IF(RIGHT(B9996,10)="@gmail.com","Gmail",IF(OR(RIGHT(B9996,12)="@outlook.com",RIGHT(B9996,12)="@hotmail.com",RIGHT(B9996,9)="@live.com"),"Outlook","Domain")))</f>
        <v/>
      </c>
      <c r="F9996">
        <f>IF(B9996="","",IFERROR(RIGHT(B9996,LEN(B9996)-FIND("@",B9996)),""))</f>
        <v/>
      </c>
      <c r="G9996">
        <f>IF(D9996="KEEP",COUNTIF($D$2:D9996,"KEEP"),"")</f>
        <v/>
      </c>
      <c r="H9996">
        <f>IF(D9996="REMOVE",COUNTIF($D$2:D9996,"REMOVE"),"")</f>
        <v/>
      </c>
      <c r="I9996">
        <f>IF(E9996="Gmail",COUNTIF($E$2:E9996,"Gmail"),"")</f>
        <v/>
      </c>
      <c r="J9996">
        <f>IF(E9996="Outlook",COUNTIF($E$2:E9996,"Outlook"),"")</f>
        <v/>
      </c>
      <c r="K9996">
        <f>IF(E9996="Domain",COUNTIF($E$2:E9996,"Domain"),"")</f>
        <v/>
      </c>
    </row>
    <row r="9997">
      <c r="A9997" s="2" t="n"/>
      <c r="B9997">
        <f>LOWER(TRIM(A9997))</f>
        <v/>
      </c>
      <c r="C9997">
        <f>IF(B9997="","",IFERROR(INDEX('Bad Patterns'!$A$2:$A$120,MATCH(1,INDEX(--ISNUMBER(SEARCH('Bad Patterns'!$A$2:$A$120,B9997)),0),0)),""))</f>
        <v/>
      </c>
      <c r="D9997">
        <f>IF(B9997="","",IF(C9997&lt;&gt;"","REMOVE","KEEP"))</f>
        <v/>
      </c>
      <c r="E9997">
        <f>IF(D9997&lt;&gt;"KEEP","",IF(RIGHT(B9997,10)="@gmail.com","Gmail",IF(OR(RIGHT(B9997,12)="@outlook.com",RIGHT(B9997,12)="@hotmail.com",RIGHT(B9997,9)="@live.com"),"Outlook","Domain")))</f>
        <v/>
      </c>
      <c r="F9997">
        <f>IF(B9997="","",IFERROR(RIGHT(B9997,LEN(B9997)-FIND("@",B9997)),""))</f>
        <v/>
      </c>
      <c r="G9997">
        <f>IF(D9997="KEEP",COUNTIF($D$2:D9997,"KEEP"),"")</f>
        <v/>
      </c>
      <c r="H9997">
        <f>IF(D9997="REMOVE",COUNTIF($D$2:D9997,"REMOVE"),"")</f>
        <v/>
      </c>
      <c r="I9997">
        <f>IF(E9997="Gmail",COUNTIF($E$2:E9997,"Gmail"),"")</f>
        <v/>
      </c>
      <c r="J9997">
        <f>IF(E9997="Outlook",COUNTIF($E$2:E9997,"Outlook"),"")</f>
        <v/>
      </c>
      <c r="K9997">
        <f>IF(E9997="Domain",COUNTIF($E$2:E9997,"Domain"),"")</f>
        <v/>
      </c>
    </row>
    <row r="9998">
      <c r="A9998" s="2" t="n"/>
      <c r="B9998">
        <f>LOWER(TRIM(A9998))</f>
        <v/>
      </c>
      <c r="C9998">
        <f>IF(B9998="","",IFERROR(INDEX('Bad Patterns'!$A$2:$A$120,MATCH(1,INDEX(--ISNUMBER(SEARCH('Bad Patterns'!$A$2:$A$120,B9998)),0),0)),""))</f>
        <v/>
      </c>
      <c r="D9998">
        <f>IF(B9998="","",IF(C9998&lt;&gt;"","REMOVE","KEEP"))</f>
        <v/>
      </c>
      <c r="E9998">
        <f>IF(D9998&lt;&gt;"KEEP","",IF(RIGHT(B9998,10)="@gmail.com","Gmail",IF(OR(RIGHT(B9998,12)="@outlook.com",RIGHT(B9998,12)="@hotmail.com",RIGHT(B9998,9)="@live.com"),"Outlook","Domain")))</f>
        <v/>
      </c>
      <c r="F9998">
        <f>IF(B9998="","",IFERROR(RIGHT(B9998,LEN(B9998)-FIND("@",B9998)),""))</f>
        <v/>
      </c>
      <c r="G9998">
        <f>IF(D9998="KEEP",COUNTIF($D$2:D9998,"KEEP"),"")</f>
        <v/>
      </c>
      <c r="H9998">
        <f>IF(D9998="REMOVE",COUNTIF($D$2:D9998,"REMOVE"),"")</f>
        <v/>
      </c>
      <c r="I9998">
        <f>IF(E9998="Gmail",COUNTIF($E$2:E9998,"Gmail"),"")</f>
        <v/>
      </c>
      <c r="J9998">
        <f>IF(E9998="Outlook",COUNTIF($E$2:E9998,"Outlook"),"")</f>
        <v/>
      </c>
      <c r="K9998">
        <f>IF(E9998="Domain",COUNTIF($E$2:E9998,"Domain"),"")</f>
        <v/>
      </c>
    </row>
    <row r="9999">
      <c r="A9999" s="2" t="n"/>
      <c r="B9999">
        <f>LOWER(TRIM(A9999))</f>
        <v/>
      </c>
      <c r="C9999">
        <f>IF(B9999="","",IFERROR(INDEX('Bad Patterns'!$A$2:$A$120,MATCH(1,INDEX(--ISNUMBER(SEARCH('Bad Patterns'!$A$2:$A$120,B9999)),0),0)),""))</f>
        <v/>
      </c>
      <c r="D9999">
        <f>IF(B9999="","",IF(C9999&lt;&gt;"","REMOVE","KEEP"))</f>
        <v/>
      </c>
      <c r="E9999">
        <f>IF(D9999&lt;&gt;"KEEP","",IF(RIGHT(B9999,10)="@gmail.com","Gmail",IF(OR(RIGHT(B9999,12)="@outlook.com",RIGHT(B9999,12)="@hotmail.com",RIGHT(B9999,9)="@live.com"),"Outlook","Domain")))</f>
        <v/>
      </c>
      <c r="F9999">
        <f>IF(B9999="","",IFERROR(RIGHT(B9999,LEN(B9999)-FIND("@",B9999)),""))</f>
        <v/>
      </c>
      <c r="G9999">
        <f>IF(D9999="KEEP",COUNTIF($D$2:D9999,"KEEP"),"")</f>
        <v/>
      </c>
      <c r="H9999">
        <f>IF(D9999="REMOVE",COUNTIF($D$2:D9999,"REMOVE"),"")</f>
        <v/>
      </c>
      <c r="I9999">
        <f>IF(E9999="Gmail",COUNTIF($E$2:E9999,"Gmail"),"")</f>
        <v/>
      </c>
      <c r="J9999">
        <f>IF(E9999="Outlook",COUNTIF($E$2:E9999,"Outlook"),"")</f>
        <v/>
      </c>
      <c r="K9999">
        <f>IF(E9999="Domain",COUNTIF($E$2:E9999,"Domain"),"")</f>
        <v/>
      </c>
    </row>
    <row r="10000">
      <c r="A10000" s="2" t="n"/>
      <c r="B10000">
        <f>LOWER(TRIM(A10000))</f>
        <v/>
      </c>
      <c r="C10000">
        <f>IF(B10000="","",IFERROR(INDEX('Bad Patterns'!$A$2:$A$120,MATCH(1,INDEX(--ISNUMBER(SEARCH('Bad Patterns'!$A$2:$A$120,B10000)),0),0)),""))</f>
        <v/>
      </c>
      <c r="D10000">
        <f>IF(B10000="","",IF(C10000&lt;&gt;"","REMOVE","KEEP"))</f>
        <v/>
      </c>
      <c r="E10000">
        <f>IF(D10000&lt;&gt;"KEEP","",IF(RIGHT(B10000,10)="@gmail.com","Gmail",IF(OR(RIGHT(B10000,12)="@outlook.com",RIGHT(B10000,12)="@hotmail.com",RIGHT(B10000,9)="@live.com"),"Outlook","Domain")))</f>
        <v/>
      </c>
      <c r="F10000">
        <f>IF(B10000="","",IFERROR(RIGHT(B10000,LEN(B10000)-FIND("@",B10000)),""))</f>
        <v/>
      </c>
      <c r="G10000">
        <f>IF(D10000="KEEP",COUNTIF($D$2:D10000,"KEEP"),"")</f>
        <v/>
      </c>
      <c r="H10000">
        <f>IF(D10000="REMOVE",COUNTIF($D$2:D10000,"REMOVE"),"")</f>
        <v/>
      </c>
      <c r="I10000">
        <f>IF(E10000="Gmail",COUNTIF($E$2:E10000,"Gmail"),"")</f>
        <v/>
      </c>
      <c r="J10000">
        <f>IF(E10000="Outlook",COUNTIF($E$2:E10000,"Outlook"),"")</f>
        <v/>
      </c>
      <c r="K10000">
        <f>IF(E10000="Domain",COUNTIF($E$2:E10000,"Domain"),"")</f>
        <v/>
      </c>
    </row>
    <row r="10001">
      <c r="A10001" s="2" t="n"/>
      <c r="B10001">
        <f>LOWER(TRIM(A10001))</f>
        <v/>
      </c>
      <c r="C10001">
        <f>IF(B10001="","",IFERROR(INDEX('Bad Patterns'!$A$2:$A$120,MATCH(1,INDEX(--ISNUMBER(SEARCH('Bad Patterns'!$A$2:$A$120,B10001)),0),0)),""))</f>
        <v/>
      </c>
      <c r="D10001">
        <f>IF(B10001="","",IF(C10001&lt;&gt;"","REMOVE","KEEP"))</f>
        <v/>
      </c>
      <c r="E10001">
        <f>IF(D10001&lt;&gt;"KEEP","",IF(RIGHT(B10001,10)="@gmail.com","Gmail",IF(OR(RIGHT(B10001,12)="@outlook.com",RIGHT(B10001,12)="@hotmail.com",RIGHT(B10001,9)="@live.com"),"Outlook","Domain")))</f>
        <v/>
      </c>
      <c r="F10001">
        <f>IF(B10001="","",IFERROR(RIGHT(B10001,LEN(B10001)-FIND("@",B10001)),""))</f>
        <v/>
      </c>
      <c r="G10001">
        <f>IF(D10001="KEEP",COUNTIF($D$2:D10001,"KEEP"),"")</f>
        <v/>
      </c>
      <c r="H10001">
        <f>IF(D10001="REMOVE",COUNTIF($D$2:D10001,"REMOVE"),"")</f>
        <v/>
      </c>
      <c r="I10001">
        <f>IF(E10001="Gmail",COUNTIF($E$2:E10001,"Gmail"),"")</f>
        <v/>
      </c>
      <c r="J10001">
        <f>IF(E10001="Outlook",COUNTIF($E$2:E10001,"Outlook"),"")</f>
        <v/>
      </c>
      <c r="K10001">
        <f>IF(E10001="Domain",COUNTIF($E$2:E10001,"Domain"),"")</f>
        <v/>
      </c>
    </row>
  </sheetData>
  <autoFilter ref="A1:K10001"/>
  <conditionalFormatting sqref="D2:D10001">
    <cfRule type="expression" priority="1" dxfId="0">
      <formula>D2="KEEP"</formula>
    </cfRule>
    <cfRule type="expression" priority="2" dxfId="1">
      <formula>D2="REMOVE"</formula>
    </cfRule>
  </conditionalFormatting>
  <conditionalFormatting sqref="C2:C10001">
    <cfRule type="expression" priority="3" dxfId="2">
      <formula>C2&lt;&gt;""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Bad Pattern / Contains Text</t>
        </is>
      </c>
    </row>
    <row r="2">
      <c r="A2" t="inlineStr">
        <is>
          <t>you@domain.com</t>
        </is>
      </c>
    </row>
    <row r="3">
      <c r="A3" t="inlineStr">
        <is>
          <t>example@domain.com</t>
        </is>
      </c>
    </row>
    <row r="4">
      <c r="A4" t="inlineStr">
        <is>
          <t>example@mysite.com</t>
        </is>
      </c>
    </row>
    <row r="5">
      <c r="A5" t="inlineStr">
        <is>
          <t>wordpress@example.com</t>
        </is>
      </c>
    </row>
    <row r="6">
      <c r="A6" t="inlineStr">
        <is>
          <t>your@email.com</t>
        </is>
      </c>
    </row>
    <row r="7">
      <c r="A7" t="inlineStr">
        <is>
          <t>yourname@email.com</t>
        </is>
      </c>
    </row>
    <row r="8">
      <c r="A8" t="inlineStr">
        <is>
          <t>john@company.com</t>
        </is>
      </c>
    </row>
    <row r="9">
      <c r="A9" t="inlineStr">
        <is>
          <t>user@domain.com</t>
        </is>
      </c>
    </row>
    <row r="10">
      <c r="A10" t="inlineStr">
        <is>
          <t>flags@2x.webp</t>
        </is>
      </c>
    </row>
    <row r="11">
      <c r="A11" t="inlineStr">
        <is>
          <t>john@example.com</t>
        </is>
      </c>
    </row>
    <row r="12">
      <c r="A12" t="inlineStr">
        <is>
          <t>john@email.com</t>
        </is>
      </c>
    </row>
    <row r="13">
      <c r="A13" t="inlineStr">
        <is>
          <t>your@comanyname.com</t>
        </is>
      </c>
    </row>
    <row r="14">
      <c r="A14" t="inlineStr">
        <is>
          <t>googlers@google.com</t>
        </is>
      </c>
    </row>
    <row r="15">
      <c r="A15" t="inlineStr">
        <is>
          <t>yourname@netamumail.com</t>
        </is>
      </c>
    </row>
    <row r="16">
      <c r="A16" t="inlineStr">
        <is>
          <t>website@business411.com</t>
        </is>
      </c>
    </row>
    <row r="17">
      <c r="A17" t="inlineStr">
        <is>
          <t>hello@hardwarenow.com</t>
        </is>
      </c>
    </row>
    <row r="18">
      <c r="A18" t="inlineStr">
        <is>
          <t>@wordpress-223783-1162165.cloudwaysapps.com</t>
        </is>
      </c>
    </row>
    <row r="19">
      <c r="A19" t="inlineStr">
        <is>
          <t>myname@email.com</t>
        </is>
      </c>
    </row>
    <row r="20">
      <c r="A20" t="inlineStr">
        <is>
          <t>example@url.com</t>
        </is>
      </c>
    </row>
    <row r="21">
      <c r="A21" t="inlineStr">
        <is>
          <t>csample@ur.com</t>
        </is>
      </c>
    </row>
    <row r="22">
      <c r="A22" t="inlineStr">
        <is>
          <t>john@gmail.com</t>
        </is>
      </c>
    </row>
    <row r="23">
      <c r="A23" t="inlineStr">
        <is>
          <t>ceo@techcorp.com</t>
        </is>
      </c>
    </row>
    <row r="24">
      <c r="A24" t="inlineStr">
        <is>
          <t>randomuser123@gmail.com</t>
        </is>
      </c>
    </row>
    <row r="25">
      <c r="A25" t="inlineStr">
        <is>
          <t>yourname@yourdomain.com</t>
        </is>
      </c>
    </row>
    <row r="26">
      <c r="A26" t="inlineStr">
        <is>
          <t>info@your-domain.com</t>
        </is>
      </c>
    </row>
    <row r="27">
      <c r="A27" t="inlineStr">
        <is>
          <t>some@gmail.com</t>
        </is>
      </c>
    </row>
    <row r="28">
      <c r="A28" t="inlineStr">
        <is>
          <t>contact@mysite.com</t>
        </is>
      </c>
    </row>
    <row r="29">
      <c r="A29" t="inlineStr">
        <is>
          <t>info@yourdomain.com</t>
        </is>
      </c>
    </row>
    <row r="30">
      <c r="A30" t="inlineStr">
        <is>
          <t>example@yourdomain.com</t>
        </is>
      </c>
    </row>
    <row r="31">
      <c r="A31" t="inlineStr">
        <is>
          <t>contact@example.com</t>
        </is>
      </c>
    </row>
    <row r="32">
      <c r="A32" t="inlineStr">
        <is>
          <t>globe@2x.webp</t>
        </is>
      </c>
    </row>
    <row r="33">
      <c r="A33" t="inlineStr">
        <is>
          <t>myemail@gmail.com</t>
        </is>
      </c>
    </row>
    <row r="34">
      <c r="A34" t="inlineStr">
        <is>
          <t>me@email.com</t>
        </is>
      </c>
    </row>
    <row r="35">
      <c r="A35" t="inlineStr">
        <is>
          <t>info@company.com</t>
        </is>
      </c>
    </row>
    <row r="36">
      <c r="A36" t="inlineStr">
        <is>
          <t>emaildemo@hostopia.com</t>
        </is>
      </c>
    </row>
    <row r="37">
      <c r="A37" t="inlineStr">
        <is>
          <t>john@doe.com</t>
        </is>
      </c>
    </row>
    <row r="38">
      <c r="A38" t="inlineStr">
        <is>
          <t>user@example.com</t>
        </is>
      </c>
    </row>
    <row r="39">
      <c r="A39" t="inlineStr">
        <is>
          <t>sample@mail.com</t>
        </is>
      </c>
    </row>
    <row r="40">
      <c r="A40" t="inlineStr">
        <is>
          <t>contact@company.com</t>
        </is>
      </c>
    </row>
    <row r="41">
      <c r="A41" t="inlineStr">
        <is>
          <t>info@domain.com</t>
        </is>
      </c>
    </row>
    <row r="42">
      <c r="A42" t="inlineStr">
        <is>
          <t>you@example.com</t>
        </is>
      </c>
    </row>
    <row r="43">
      <c r="A43" t="inlineStr">
        <is>
          <t>@box2542.temp.domains</t>
        </is>
      </c>
    </row>
    <row r="44">
      <c r="A44" t="inlineStr">
        <is>
          <t>@example.com</t>
        </is>
      </c>
    </row>
    <row r="45">
      <c r="A45" t="inlineStr">
        <is>
          <t>john@smith.com</t>
        </is>
      </c>
    </row>
    <row r="46">
      <c r="A46" t="inlineStr">
        <is>
          <t>youremail@domain.com</t>
        </is>
      </c>
    </row>
    <row r="47">
      <c r="A47" t="inlineStr">
        <is>
          <t>reply@domain.com</t>
        </is>
      </c>
    </row>
    <row r="48">
      <c r="A48" t="inlineStr">
        <is>
          <t>@2x.avif</t>
        </is>
      </c>
    </row>
    <row r="49">
      <c r="A49" t="inlineStr">
        <is>
          <t>info-building@example.com</t>
        </is>
      </c>
    </row>
    <row r="50">
      <c r="A50" t="inlineStr">
        <is>
          <t>john.doe@example.com</t>
        </is>
      </c>
    </row>
    <row r="51">
      <c r="A51" t="inlineStr">
        <is>
          <t>brece00@gmail.com</t>
        </is>
      </c>
    </row>
    <row r="52">
      <c r="A52" t="inlineStr">
        <is>
          <t>filler@godaddy.com</t>
        </is>
      </c>
    </row>
    <row r="53">
      <c r="A53" t="inlineStr">
        <is>
          <t>address@example.com</t>
        </is>
      </c>
    </row>
    <row r="54">
      <c r="A54" t="inlineStr">
        <is>
          <t>yourname@example.org</t>
        </is>
      </c>
    </row>
    <row r="55">
      <c r="A55" t="inlineStr">
        <is>
          <t>eben@eyebytes.com</t>
        </is>
      </c>
    </row>
    <row r="56">
      <c r="A56" t="inlineStr">
        <is>
          <t>someone@example.com</t>
        </is>
      </c>
    </row>
    <row r="57">
      <c r="A57" t="inlineStr">
        <is>
          <t>usa@hotset.com</t>
        </is>
      </c>
    </row>
    <row r="58">
      <c r="A58" t="inlineStr">
        <is>
          <t>j.smith@email.com</t>
        </is>
      </c>
    </row>
    <row r="59">
      <c r="A59" t="inlineStr">
        <is>
          <t>example@example.com</t>
        </is>
      </c>
    </row>
    <row r="60">
      <c r="A60" t="inlineStr">
        <is>
          <t>sample@gmail.com</t>
        </is>
      </c>
    </row>
    <row r="61">
      <c r="A61" t="inlineStr">
        <is>
          <t>user@email.com</t>
        </is>
      </c>
    </row>
    <row r="62">
      <c r="A62" t="inlineStr">
        <is>
          <t>jack@cae.com</t>
        </is>
      </c>
    </row>
    <row r="63">
      <c r="A63" t="inlineStr">
        <is>
          <t>yourname@business.com</t>
        </is>
      </c>
    </row>
    <row r="64">
      <c r="A64" t="inlineStr">
        <is>
          <t>example@email.com</t>
        </is>
      </c>
    </row>
    <row r="65">
      <c r="A65" t="inlineStr">
        <is>
          <t>you@email.com</t>
        </is>
      </c>
    </row>
    <row r="66">
      <c r="A66" t="inlineStr">
        <is>
          <t>info@site.com</t>
        </is>
      </c>
    </row>
    <row r="67">
      <c r="A67" t="inlineStr">
        <is>
          <t>your.email@example.com</t>
        </is>
      </c>
    </row>
    <row r="68">
      <c r="A68" t="inlineStr">
        <is>
          <t>@2x.svg</t>
        </is>
      </c>
    </row>
    <row r="69">
      <c r="A69" t="inlineStr">
        <is>
          <t>@2x-300x71.png.webp</t>
        </is>
      </c>
    </row>
    <row r="70">
      <c r="A70" t="inlineStr">
        <is>
          <t>@2x-1.png.webp</t>
        </is>
      </c>
    </row>
    <row r="71">
      <c r="A71" t="inlineStr">
        <is>
          <t>@2x-1-300x71.png.webp</t>
        </is>
      </c>
    </row>
    <row r="72">
      <c r="A72" t="inlineStr">
        <is>
          <t>mail@example.com</t>
        </is>
      </c>
    </row>
    <row r="73">
      <c r="A73" t="inlineStr">
        <is>
          <t>@a-pec.com</t>
        </is>
      </c>
    </row>
    <row r="74">
      <c r="A74" t="inlineStr">
        <is>
          <t>@2x.png.webp</t>
        </is>
      </c>
    </row>
    <row r="75">
      <c r="A75" t="inlineStr">
        <is>
          <t>@3x.png.webp</t>
        </is>
      </c>
    </row>
    <row r="76">
      <c r="A76" t="inlineStr">
        <is>
          <t>@3x.jpg.webp</t>
        </is>
      </c>
    </row>
    <row r="77">
      <c r="A77" t="inlineStr">
        <is>
          <t>@2x.webp</t>
        </is>
      </c>
    </row>
    <row r="78">
      <c r="A78" t="inlineStr">
        <is>
          <t>@3x.webp</t>
        </is>
      </c>
    </row>
    <row r="79">
      <c r="A79" t="inlineStr">
        <is>
          <t>@2x.png-244x138.webp</t>
        </is>
      </c>
    </row>
    <row r="80">
      <c r="A80" t="inlineStr">
        <is>
          <t>@2x.png-122x69.webp</t>
        </is>
      </c>
    </row>
    <row r="81">
      <c r="A81" t="inlineStr">
        <is>
          <t>john.smith@company.com</t>
        </is>
      </c>
    </row>
    <row r="82">
      <c r="A82" t="inlineStr">
        <is>
          <t>example@gmail.com</t>
        </is>
      </c>
    </row>
    <row r="83">
      <c r="A83" t="inlineStr">
        <is>
          <t>info@example.com</t>
        </is>
      </c>
    </row>
    <row r="84">
      <c r="A84" t="inlineStr">
        <is>
          <t>johnsmith@example.com</t>
        </is>
      </c>
    </row>
    <row r="85">
      <c r="A85" t="inlineStr">
        <is>
          <t>info@my-domain.com</t>
        </is>
      </c>
    </row>
    <row r="86">
      <c r="A86" t="inlineStr">
        <is>
          <t>smith@example.com</t>
        </is>
      </c>
    </row>
    <row r="87">
      <c r="A87" t="inlineStr">
        <is>
          <t>you@someplace.com</t>
        </is>
      </c>
    </row>
    <row r="88">
      <c r="A88" t="inlineStr">
        <is>
          <t>hello@example.com</t>
        </is>
      </c>
    </row>
    <row r="89">
      <c r="A89" t="inlineStr">
        <is>
          <t>example@mail.com</t>
        </is>
      </c>
    </row>
    <row r="90">
      <c r="A90" t="inlineStr">
        <is>
          <t>info@mysite.com</t>
        </is>
      </c>
    </row>
    <row r="91">
      <c r="A91" t="inlineStr">
        <is>
          <t>@2x.jpeg</t>
        </is>
      </c>
    </row>
    <row r="92">
      <c r="A92" t="inlineStr">
        <is>
          <t>@2x-5.webp</t>
        </is>
      </c>
    </row>
    <row r="93">
      <c r="A93" t="inlineStr">
        <is>
          <t>@2x-150x108.webp</t>
        </is>
      </c>
    </row>
    <row r="94">
      <c r="A94" t="inlineStr">
        <is>
          <t>@o102828.ingest.sentry.io</t>
        </is>
      </c>
    </row>
    <row r="95">
      <c r="A95" t="inlineStr">
        <is>
          <t>@2x-1.webp</t>
        </is>
      </c>
    </row>
    <row r="96">
      <c r="A96" t="inlineStr">
        <is>
          <t>@2x.jpg.webp</t>
        </is>
      </c>
    </row>
    <row r="97">
      <c r="A97" t="inlineStr">
        <is>
          <t>sales@</t>
        </is>
      </c>
    </row>
    <row r="98">
      <c r="A98" t="inlineStr">
        <is>
          <t>support@</t>
        </is>
      </c>
    </row>
    <row r="99">
      <c r="A99" t="inlineStr">
        <is>
          <t>@ej1899.com</t>
        </is>
      </c>
    </row>
    <row r="100">
      <c r="A100" t="inlineStr">
        <is>
          <t>contacts@company.com</t>
        </is>
      </c>
    </row>
    <row r="101">
      <c r="A101" t="inlineStr">
        <is>
          <t>southern-electricom-company-inc__logo@2x-150x108.webp</t>
        </is>
      </c>
    </row>
    <row r="102">
      <c r="A102" t="inlineStr">
        <is>
          <t>southern-electricom-company-inc__logo@2x.webp</t>
        </is>
      </c>
    </row>
    <row r="103">
      <c r="A103" t="inlineStr">
        <is>
          <t>contact-mkp_7714-final-1-459x230@2x.jpeg</t>
        </is>
      </c>
    </row>
    <row r="104">
      <c r="A104" t="inlineStr">
        <is>
          <t>contact-mkp_7714-final-1-919x460@2x.jpeg</t>
        </is>
      </c>
    </row>
    <row r="105">
      <c r="A105" t="inlineStr">
        <is>
          <t>contact-mkp_7714-final-1-799x400@2x.jpeg</t>
        </is>
      </c>
    </row>
    <row r="106">
      <c r="A106" t="inlineStr">
        <is>
          <t>contact-mkp_7714-final-1-1599x800@2x.jpeg</t>
        </is>
      </c>
    </row>
    <row r="107">
      <c r="A107" t="inlineStr">
        <is>
          <t>custumerservice@</t>
        </is>
      </c>
    </row>
    <row r="108">
      <c r="A108" t="inlineStr">
        <is>
          <t>@2x-858x0-1.webp</t>
        </is>
      </c>
    </row>
    <row r="109">
      <c r="A109" t="inlineStr">
        <is>
          <t>@2x-858x0-1-300x163.webp</t>
        </is>
      </c>
    </row>
    <row r="110">
      <c r="A110" t="inlineStr">
        <is>
          <t>@2x-300x197.webp</t>
        </is>
      </c>
    </row>
    <row r="111">
      <c r="A111" t="inlineStr">
        <is>
          <t>@2x-149x.webp</t>
        </is>
      </c>
    </row>
    <row r="112">
      <c r="A112" t="inlineStr">
        <is>
          <t>@2x-858x0-1-768x416.webp</t>
        </is>
      </c>
    </row>
    <row r="113">
      <c r="A113" t="inlineStr">
        <is>
          <t>@2x-858x0-1-450x.webp</t>
        </is>
      </c>
    </row>
    <row r="114">
      <c r="A114" t="inlineStr">
        <is>
          <t>@2x-251x.webp</t>
        </is>
      </c>
    </row>
    <row r="115">
      <c r="A115" t="inlineStr">
        <is>
          <t>@2x.ck7nhwq8.webp</t>
        </is>
      </c>
    </row>
    <row r="116">
      <c r="A116" t="inlineStr">
        <is>
          <t>contoso@example.com</t>
        </is>
      </c>
    </row>
    <row r="117">
      <c r="A117" t="inlineStr">
        <is>
          <t>mzjobwork2024@gmail.com</t>
        </is>
      </c>
    </row>
    <row r="118">
      <c r="A118" t="inlineStr">
        <is>
          <t>info@mydomain.com</t>
        </is>
      </c>
    </row>
    <row r="119">
      <c r="A119" t="inlineStr">
        <is>
          <t>@lab6.com</t>
        </is>
      </c>
    </row>
    <row r="120">
      <c r="A120" t="inlineStr">
        <is>
          <t>mymail@mailservice.com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Copy Clean Emails From Here</t>
        </is>
      </c>
    </row>
    <row r="2">
      <c r="A2">
        <f>IFERROR(INDEX('Email Cleaner'!$B$2:$B$10001,MATCH(1,'Email Cleaner'!$G$2:$G$10001,0)),"")</f>
        <v/>
      </c>
    </row>
    <row r="3">
      <c r="A3">
        <f>IFERROR(INDEX('Email Cleaner'!$B$2:$B$10001,MATCH(2,'Email Cleaner'!$G$2:$G$10001,0)),"")</f>
        <v/>
      </c>
    </row>
    <row r="4">
      <c r="A4">
        <f>IFERROR(INDEX('Email Cleaner'!$B$2:$B$10001,MATCH(3,'Email Cleaner'!$G$2:$G$10001,0)),"")</f>
        <v/>
      </c>
    </row>
    <row r="5">
      <c r="A5">
        <f>IFERROR(INDEX('Email Cleaner'!$B$2:$B$10001,MATCH(4,'Email Cleaner'!$G$2:$G$10001,0)),"")</f>
        <v/>
      </c>
    </row>
    <row r="6">
      <c r="A6">
        <f>IFERROR(INDEX('Email Cleaner'!$B$2:$B$10001,MATCH(5,'Email Cleaner'!$G$2:$G$10001,0)),"")</f>
        <v/>
      </c>
    </row>
    <row r="7">
      <c r="A7">
        <f>IFERROR(INDEX('Email Cleaner'!$B$2:$B$10001,MATCH(6,'Email Cleaner'!$G$2:$G$10001,0)),"")</f>
        <v/>
      </c>
    </row>
    <row r="8">
      <c r="A8">
        <f>IFERROR(INDEX('Email Cleaner'!$B$2:$B$10001,MATCH(7,'Email Cleaner'!$G$2:$G$10001,0)),"")</f>
        <v/>
      </c>
    </row>
    <row r="9">
      <c r="A9">
        <f>IFERROR(INDEX('Email Cleaner'!$B$2:$B$10001,MATCH(8,'Email Cleaner'!$G$2:$G$10001,0)),"")</f>
        <v/>
      </c>
    </row>
    <row r="10">
      <c r="A10">
        <f>IFERROR(INDEX('Email Cleaner'!$B$2:$B$10001,MATCH(9,'Email Cleaner'!$G$2:$G$10001,0)),"")</f>
        <v/>
      </c>
    </row>
    <row r="11">
      <c r="A11">
        <f>IFERROR(INDEX('Email Cleaner'!$B$2:$B$10001,MATCH(10,'Email Cleaner'!$G$2:$G$10001,0)),"")</f>
        <v/>
      </c>
    </row>
    <row r="12">
      <c r="A12">
        <f>IFERROR(INDEX('Email Cleaner'!$B$2:$B$10001,MATCH(11,'Email Cleaner'!$G$2:$G$10001,0)),"")</f>
        <v/>
      </c>
    </row>
    <row r="13">
      <c r="A13">
        <f>IFERROR(INDEX('Email Cleaner'!$B$2:$B$10001,MATCH(12,'Email Cleaner'!$G$2:$G$10001,0)),"")</f>
        <v/>
      </c>
    </row>
    <row r="14">
      <c r="A14">
        <f>IFERROR(INDEX('Email Cleaner'!$B$2:$B$10001,MATCH(13,'Email Cleaner'!$G$2:$G$10001,0)),"")</f>
        <v/>
      </c>
    </row>
    <row r="15">
      <c r="A15">
        <f>IFERROR(INDEX('Email Cleaner'!$B$2:$B$10001,MATCH(14,'Email Cleaner'!$G$2:$G$10001,0)),"")</f>
        <v/>
      </c>
    </row>
    <row r="16">
      <c r="A16">
        <f>IFERROR(INDEX('Email Cleaner'!$B$2:$B$10001,MATCH(15,'Email Cleaner'!$G$2:$G$10001,0)),"")</f>
        <v/>
      </c>
    </row>
    <row r="17">
      <c r="A17">
        <f>IFERROR(INDEX('Email Cleaner'!$B$2:$B$10001,MATCH(16,'Email Cleaner'!$G$2:$G$10001,0)),"")</f>
        <v/>
      </c>
    </row>
    <row r="18">
      <c r="A18">
        <f>IFERROR(INDEX('Email Cleaner'!$B$2:$B$10001,MATCH(17,'Email Cleaner'!$G$2:$G$10001,0)),"")</f>
        <v/>
      </c>
    </row>
    <row r="19">
      <c r="A19">
        <f>IFERROR(INDEX('Email Cleaner'!$B$2:$B$10001,MATCH(18,'Email Cleaner'!$G$2:$G$10001,0)),"")</f>
        <v/>
      </c>
    </row>
    <row r="20">
      <c r="A20">
        <f>IFERROR(INDEX('Email Cleaner'!$B$2:$B$10001,MATCH(19,'Email Cleaner'!$G$2:$G$10001,0)),"")</f>
        <v/>
      </c>
    </row>
    <row r="21">
      <c r="A21">
        <f>IFERROR(INDEX('Email Cleaner'!$B$2:$B$10001,MATCH(20,'Email Cleaner'!$G$2:$G$10001,0)),"")</f>
        <v/>
      </c>
    </row>
    <row r="22">
      <c r="A22">
        <f>IFERROR(INDEX('Email Cleaner'!$B$2:$B$10001,MATCH(21,'Email Cleaner'!$G$2:$G$10001,0)),"")</f>
        <v/>
      </c>
    </row>
    <row r="23">
      <c r="A23">
        <f>IFERROR(INDEX('Email Cleaner'!$B$2:$B$10001,MATCH(22,'Email Cleaner'!$G$2:$G$10001,0)),"")</f>
        <v/>
      </c>
    </row>
    <row r="24">
      <c r="A24">
        <f>IFERROR(INDEX('Email Cleaner'!$B$2:$B$10001,MATCH(23,'Email Cleaner'!$G$2:$G$10001,0)),"")</f>
        <v/>
      </c>
    </row>
    <row r="25">
      <c r="A25">
        <f>IFERROR(INDEX('Email Cleaner'!$B$2:$B$10001,MATCH(24,'Email Cleaner'!$G$2:$G$10001,0)),"")</f>
        <v/>
      </c>
    </row>
    <row r="26">
      <c r="A26">
        <f>IFERROR(INDEX('Email Cleaner'!$B$2:$B$10001,MATCH(25,'Email Cleaner'!$G$2:$G$10001,0)),"")</f>
        <v/>
      </c>
    </row>
    <row r="27">
      <c r="A27">
        <f>IFERROR(INDEX('Email Cleaner'!$B$2:$B$10001,MATCH(26,'Email Cleaner'!$G$2:$G$10001,0)),"")</f>
        <v/>
      </c>
    </row>
    <row r="28">
      <c r="A28">
        <f>IFERROR(INDEX('Email Cleaner'!$B$2:$B$10001,MATCH(27,'Email Cleaner'!$G$2:$G$10001,0)),"")</f>
        <v/>
      </c>
    </row>
    <row r="29">
      <c r="A29">
        <f>IFERROR(INDEX('Email Cleaner'!$B$2:$B$10001,MATCH(28,'Email Cleaner'!$G$2:$G$10001,0)),"")</f>
        <v/>
      </c>
    </row>
    <row r="30">
      <c r="A30">
        <f>IFERROR(INDEX('Email Cleaner'!$B$2:$B$10001,MATCH(29,'Email Cleaner'!$G$2:$G$10001,0)),"")</f>
        <v/>
      </c>
    </row>
    <row r="31">
      <c r="A31">
        <f>IFERROR(INDEX('Email Cleaner'!$B$2:$B$10001,MATCH(30,'Email Cleaner'!$G$2:$G$10001,0)),"")</f>
        <v/>
      </c>
    </row>
    <row r="32">
      <c r="A32">
        <f>IFERROR(INDEX('Email Cleaner'!$B$2:$B$10001,MATCH(31,'Email Cleaner'!$G$2:$G$10001,0)),"")</f>
        <v/>
      </c>
    </row>
    <row r="33">
      <c r="A33">
        <f>IFERROR(INDEX('Email Cleaner'!$B$2:$B$10001,MATCH(32,'Email Cleaner'!$G$2:$G$10001,0)),"")</f>
        <v/>
      </c>
    </row>
    <row r="34">
      <c r="A34">
        <f>IFERROR(INDEX('Email Cleaner'!$B$2:$B$10001,MATCH(33,'Email Cleaner'!$G$2:$G$10001,0)),"")</f>
        <v/>
      </c>
    </row>
    <row r="35">
      <c r="A35">
        <f>IFERROR(INDEX('Email Cleaner'!$B$2:$B$10001,MATCH(34,'Email Cleaner'!$G$2:$G$10001,0)),"")</f>
        <v/>
      </c>
    </row>
    <row r="36">
      <c r="A36">
        <f>IFERROR(INDEX('Email Cleaner'!$B$2:$B$10001,MATCH(35,'Email Cleaner'!$G$2:$G$10001,0)),"")</f>
        <v/>
      </c>
    </row>
    <row r="37">
      <c r="A37">
        <f>IFERROR(INDEX('Email Cleaner'!$B$2:$B$10001,MATCH(36,'Email Cleaner'!$G$2:$G$10001,0)),"")</f>
        <v/>
      </c>
    </row>
    <row r="38">
      <c r="A38">
        <f>IFERROR(INDEX('Email Cleaner'!$B$2:$B$10001,MATCH(37,'Email Cleaner'!$G$2:$G$10001,0)),"")</f>
        <v/>
      </c>
    </row>
    <row r="39">
      <c r="A39">
        <f>IFERROR(INDEX('Email Cleaner'!$B$2:$B$10001,MATCH(38,'Email Cleaner'!$G$2:$G$10001,0)),"")</f>
        <v/>
      </c>
    </row>
    <row r="40">
      <c r="A40">
        <f>IFERROR(INDEX('Email Cleaner'!$B$2:$B$10001,MATCH(39,'Email Cleaner'!$G$2:$G$10001,0)),"")</f>
        <v/>
      </c>
    </row>
    <row r="41">
      <c r="A41">
        <f>IFERROR(INDEX('Email Cleaner'!$B$2:$B$10001,MATCH(40,'Email Cleaner'!$G$2:$G$10001,0)),"")</f>
        <v/>
      </c>
    </row>
    <row r="42">
      <c r="A42">
        <f>IFERROR(INDEX('Email Cleaner'!$B$2:$B$10001,MATCH(41,'Email Cleaner'!$G$2:$G$10001,0)),"")</f>
        <v/>
      </c>
    </row>
    <row r="43">
      <c r="A43">
        <f>IFERROR(INDEX('Email Cleaner'!$B$2:$B$10001,MATCH(42,'Email Cleaner'!$G$2:$G$10001,0)),"")</f>
        <v/>
      </c>
    </row>
    <row r="44">
      <c r="A44">
        <f>IFERROR(INDEX('Email Cleaner'!$B$2:$B$10001,MATCH(43,'Email Cleaner'!$G$2:$G$10001,0)),"")</f>
        <v/>
      </c>
    </row>
    <row r="45">
      <c r="A45">
        <f>IFERROR(INDEX('Email Cleaner'!$B$2:$B$10001,MATCH(44,'Email Cleaner'!$G$2:$G$10001,0)),"")</f>
        <v/>
      </c>
    </row>
    <row r="46">
      <c r="A46">
        <f>IFERROR(INDEX('Email Cleaner'!$B$2:$B$10001,MATCH(45,'Email Cleaner'!$G$2:$G$10001,0)),"")</f>
        <v/>
      </c>
    </row>
    <row r="47">
      <c r="A47">
        <f>IFERROR(INDEX('Email Cleaner'!$B$2:$B$10001,MATCH(46,'Email Cleaner'!$G$2:$G$10001,0)),"")</f>
        <v/>
      </c>
    </row>
    <row r="48">
      <c r="A48">
        <f>IFERROR(INDEX('Email Cleaner'!$B$2:$B$10001,MATCH(47,'Email Cleaner'!$G$2:$G$10001,0)),"")</f>
        <v/>
      </c>
    </row>
    <row r="49">
      <c r="A49">
        <f>IFERROR(INDEX('Email Cleaner'!$B$2:$B$10001,MATCH(48,'Email Cleaner'!$G$2:$G$10001,0)),"")</f>
        <v/>
      </c>
    </row>
    <row r="50">
      <c r="A50">
        <f>IFERROR(INDEX('Email Cleaner'!$B$2:$B$10001,MATCH(49,'Email Cleaner'!$G$2:$G$10001,0)),"")</f>
        <v/>
      </c>
    </row>
    <row r="51">
      <c r="A51">
        <f>IFERROR(INDEX('Email Cleaner'!$B$2:$B$10001,MATCH(50,'Email Cleaner'!$G$2:$G$10001,0)),"")</f>
        <v/>
      </c>
    </row>
    <row r="52">
      <c r="A52">
        <f>IFERROR(INDEX('Email Cleaner'!$B$2:$B$10001,MATCH(51,'Email Cleaner'!$G$2:$G$10001,0)),"")</f>
        <v/>
      </c>
    </row>
    <row r="53">
      <c r="A53">
        <f>IFERROR(INDEX('Email Cleaner'!$B$2:$B$10001,MATCH(52,'Email Cleaner'!$G$2:$G$10001,0)),"")</f>
        <v/>
      </c>
    </row>
    <row r="54">
      <c r="A54">
        <f>IFERROR(INDEX('Email Cleaner'!$B$2:$B$10001,MATCH(53,'Email Cleaner'!$G$2:$G$10001,0)),"")</f>
        <v/>
      </c>
    </row>
    <row r="55">
      <c r="A55">
        <f>IFERROR(INDEX('Email Cleaner'!$B$2:$B$10001,MATCH(54,'Email Cleaner'!$G$2:$G$10001,0)),"")</f>
        <v/>
      </c>
    </row>
    <row r="56">
      <c r="A56">
        <f>IFERROR(INDEX('Email Cleaner'!$B$2:$B$10001,MATCH(55,'Email Cleaner'!$G$2:$G$10001,0)),"")</f>
        <v/>
      </c>
    </row>
    <row r="57">
      <c r="A57">
        <f>IFERROR(INDEX('Email Cleaner'!$B$2:$B$10001,MATCH(56,'Email Cleaner'!$G$2:$G$10001,0)),"")</f>
        <v/>
      </c>
    </row>
    <row r="58">
      <c r="A58">
        <f>IFERROR(INDEX('Email Cleaner'!$B$2:$B$10001,MATCH(57,'Email Cleaner'!$G$2:$G$10001,0)),"")</f>
        <v/>
      </c>
    </row>
    <row r="59">
      <c r="A59">
        <f>IFERROR(INDEX('Email Cleaner'!$B$2:$B$10001,MATCH(58,'Email Cleaner'!$G$2:$G$10001,0)),"")</f>
        <v/>
      </c>
    </row>
    <row r="60">
      <c r="A60">
        <f>IFERROR(INDEX('Email Cleaner'!$B$2:$B$10001,MATCH(59,'Email Cleaner'!$G$2:$G$10001,0)),"")</f>
        <v/>
      </c>
    </row>
    <row r="61">
      <c r="A61">
        <f>IFERROR(INDEX('Email Cleaner'!$B$2:$B$10001,MATCH(60,'Email Cleaner'!$G$2:$G$10001,0)),"")</f>
        <v/>
      </c>
    </row>
    <row r="62">
      <c r="A62">
        <f>IFERROR(INDEX('Email Cleaner'!$B$2:$B$10001,MATCH(61,'Email Cleaner'!$G$2:$G$10001,0)),"")</f>
        <v/>
      </c>
    </row>
    <row r="63">
      <c r="A63">
        <f>IFERROR(INDEX('Email Cleaner'!$B$2:$B$10001,MATCH(62,'Email Cleaner'!$G$2:$G$10001,0)),"")</f>
        <v/>
      </c>
    </row>
    <row r="64">
      <c r="A64">
        <f>IFERROR(INDEX('Email Cleaner'!$B$2:$B$10001,MATCH(63,'Email Cleaner'!$G$2:$G$10001,0)),"")</f>
        <v/>
      </c>
    </row>
    <row r="65">
      <c r="A65">
        <f>IFERROR(INDEX('Email Cleaner'!$B$2:$B$10001,MATCH(64,'Email Cleaner'!$G$2:$G$10001,0)),"")</f>
        <v/>
      </c>
    </row>
    <row r="66">
      <c r="A66">
        <f>IFERROR(INDEX('Email Cleaner'!$B$2:$B$10001,MATCH(65,'Email Cleaner'!$G$2:$G$10001,0)),"")</f>
        <v/>
      </c>
    </row>
    <row r="67">
      <c r="A67">
        <f>IFERROR(INDEX('Email Cleaner'!$B$2:$B$10001,MATCH(66,'Email Cleaner'!$G$2:$G$10001,0)),"")</f>
        <v/>
      </c>
    </row>
    <row r="68">
      <c r="A68">
        <f>IFERROR(INDEX('Email Cleaner'!$B$2:$B$10001,MATCH(67,'Email Cleaner'!$G$2:$G$10001,0)),"")</f>
        <v/>
      </c>
    </row>
    <row r="69">
      <c r="A69">
        <f>IFERROR(INDEX('Email Cleaner'!$B$2:$B$10001,MATCH(68,'Email Cleaner'!$G$2:$G$10001,0)),"")</f>
        <v/>
      </c>
    </row>
    <row r="70">
      <c r="A70">
        <f>IFERROR(INDEX('Email Cleaner'!$B$2:$B$10001,MATCH(69,'Email Cleaner'!$G$2:$G$10001,0)),"")</f>
        <v/>
      </c>
    </row>
    <row r="71">
      <c r="A71">
        <f>IFERROR(INDEX('Email Cleaner'!$B$2:$B$10001,MATCH(70,'Email Cleaner'!$G$2:$G$10001,0)),"")</f>
        <v/>
      </c>
    </row>
    <row r="72">
      <c r="A72">
        <f>IFERROR(INDEX('Email Cleaner'!$B$2:$B$10001,MATCH(71,'Email Cleaner'!$G$2:$G$10001,0)),"")</f>
        <v/>
      </c>
    </row>
    <row r="73">
      <c r="A73">
        <f>IFERROR(INDEX('Email Cleaner'!$B$2:$B$10001,MATCH(72,'Email Cleaner'!$G$2:$G$10001,0)),"")</f>
        <v/>
      </c>
    </row>
    <row r="74">
      <c r="A74">
        <f>IFERROR(INDEX('Email Cleaner'!$B$2:$B$10001,MATCH(73,'Email Cleaner'!$G$2:$G$10001,0)),"")</f>
        <v/>
      </c>
    </row>
    <row r="75">
      <c r="A75">
        <f>IFERROR(INDEX('Email Cleaner'!$B$2:$B$10001,MATCH(74,'Email Cleaner'!$G$2:$G$10001,0)),"")</f>
        <v/>
      </c>
    </row>
    <row r="76">
      <c r="A76">
        <f>IFERROR(INDEX('Email Cleaner'!$B$2:$B$10001,MATCH(75,'Email Cleaner'!$G$2:$G$10001,0)),"")</f>
        <v/>
      </c>
    </row>
    <row r="77">
      <c r="A77">
        <f>IFERROR(INDEX('Email Cleaner'!$B$2:$B$10001,MATCH(76,'Email Cleaner'!$G$2:$G$10001,0)),"")</f>
        <v/>
      </c>
    </row>
    <row r="78">
      <c r="A78">
        <f>IFERROR(INDEX('Email Cleaner'!$B$2:$B$10001,MATCH(77,'Email Cleaner'!$G$2:$G$10001,0)),"")</f>
        <v/>
      </c>
    </row>
    <row r="79">
      <c r="A79">
        <f>IFERROR(INDEX('Email Cleaner'!$B$2:$B$10001,MATCH(78,'Email Cleaner'!$G$2:$G$10001,0)),"")</f>
        <v/>
      </c>
    </row>
    <row r="80">
      <c r="A80">
        <f>IFERROR(INDEX('Email Cleaner'!$B$2:$B$10001,MATCH(79,'Email Cleaner'!$G$2:$G$10001,0)),"")</f>
        <v/>
      </c>
    </row>
    <row r="81">
      <c r="A81">
        <f>IFERROR(INDEX('Email Cleaner'!$B$2:$B$10001,MATCH(80,'Email Cleaner'!$G$2:$G$10001,0)),"")</f>
        <v/>
      </c>
    </row>
    <row r="82">
      <c r="A82">
        <f>IFERROR(INDEX('Email Cleaner'!$B$2:$B$10001,MATCH(81,'Email Cleaner'!$G$2:$G$10001,0)),"")</f>
        <v/>
      </c>
    </row>
    <row r="83">
      <c r="A83">
        <f>IFERROR(INDEX('Email Cleaner'!$B$2:$B$10001,MATCH(82,'Email Cleaner'!$G$2:$G$10001,0)),"")</f>
        <v/>
      </c>
    </row>
    <row r="84">
      <c r="A84">
        <f>IFERROR(INDEX('Email Cleaner'!$B$2:$B$10001,MATCH(83,'Email Cleaner'!$G$2:$G$10001,0)),"")</f>
        <v/>
      </c>
    </row>
    <row r="85">
      <c r="A85">
        <f>IFERROR(INDEX('Email Cleaner'!$B$2:$B$10001,MATCH(84,'Email Cleaner'!$G$2:$G$10001,0)),"")</f>
        <v/>
      </c>
    </row>
    <row r="86">
      <c r="A86">
        <f>IFERROR(INDEX('Email Cleaner'!$B$2:$B$10001,MATCH(85,'Email Cleaner'!$G$2:$G$10001,0)),"")</f>
        <v/>
      </c>
    </row>
    <row r="87">
      <c r="A87">
        <f>IFERROR(INDEX('Email Cleaner'!$B$2:$B$10001,MATCH(86,'Email Cleaner'!$G$2:$G$10001,0)),"")</f>
        <v/>
      </c>
    </row>
    <row r="88">
      <c r="A88">
        <f>IFERROR(INDEX('Email Cleaner'!$B$2:$B$10001,MATCH(87,'Email Cleaner'!$G$2:$G$10001,0)),"")</f>
        <v/>
      </c>
    </row>
    <row r="89">
      <c r="A89">
        <f>IFERROR(INDEX('Email Cleaner'!$B$2:$B$10001,MATCH(88,'Email Cleaner'!$G$2:$G$10001,0)),"")</f>
        <v/>
      </c>
    </row>
    <row r="90">
      <c r="A90">
        <f>IFERROR(INDEX('Email Cleaner'!$B$2:$B$10001,MATCH(89,'Email Cleaner'!$G$2:$G$10001,0)),"")</f>
        <v/>
      </c>
    </row>
    <row r="91">
      <c r="A91">
        <f>IFERROR(INDEX('Email Cleaner'!$B$2:$B$10001,MATCH(90,'Email Cleaner'!$G$2:$G$10001,0)),"")</f>
        <v/>
      </c>
    </row>
    <row r="92">
      <c r="A92">
        <f>IFERROR(INDEX('Email Cleaner'!$B$2:$B$10001,MATCH(91,'Email Cleaner'!$G$2:$G$10001,0)),"")</f>
        <v/>
      </c>
    </row>
    <row r="93">
      <c r="A93">
        <f>IFERROR(INDEX('Email Cleaner'!$B$2:$B$10001,MATCH(92,'Email Cleaner'!$G$2:$G$10001,0)),"")</f>
        <v/>
      </c>
    </row>
    <row r="94">
      <c r="A94">
        <f>IFERROR(INDEX('Email Cleaner'!$B$2:$B$10001,MATCH(93,'Email Cleaner'!$G$2:$G$10001,0)),"")</f>
        <v/>
      </c>
    </row>
    <row r="95">
      <c r="A95">
        <f>IFERROR(INDEX('Email Cleaner'!$B$2:$B$10001,MATCH(94,'Email Cleaner'!$G$2:$G$10001,0)),"")</f>
        <v/>
      </c>
    </row>
    <row r="96">
      <c r="A96">
        <f>IFERROR(INDEX('Email Cleaner'!$B$2:$B$10001,MATCH(95,'Email Cleaner'!$G$2:$G$10001,0)),"")</f>
        <v/>
      </c>
    </row>
    <row r="97">
      <c r="A97">
        <f>IFERROR(INDEX('Email Cleaner'!$B$2:$B$10001,MATCH(96,'Email Cleaner'!$G$2:$G$10001,0)),"")</f>
        <v/>
      </c>
    </row>
    <row r="98">
      <c r="A98">
        <f>IFERROR(INDEX('Email Cleaner'!$B$2:$B$10001,MATCH(97,'Email Cleaner'!$G$2:$G$10001,0)),"")</f>
        <v/>
      </c>
    </row>
    <row r="99">
      <c r="A99">
        <f>IFERROR(INDEX('Email Cleaner'!$B$2:$B$10001,MATCH(98,'Email Cleaner'!$G$2:$G$10001,0)),"")</f>
        <v/>
      </c>
    </row>
    <row r="100">
      <c r="A100">
        <f>IFERROR(INDEX('Email Cleaner'!$B$2:$B$10001,MATCH(99,'Email Cleaner'!$G$2:$G$10001,0)),"")</f>
        <v/>
      </c>
    </row>
    <row r="101">
      <c r="A101">
        <f>IFERROR(INDEX('Email Cleaner'!$B$2:$B$10001,MATCH(100,'Email Cleaner'!$G$2:$G$10001,0)),"")</f>
        <v/>
      </c>
    </row>
    <row r="102">
      <c r="A102">
        <f>IFERROR(INDEX('Email Cleaner'!$B$2:$B$10001,MATCH(101,'Email Cleaner'!$G$2:$G$10001,0)),"")</f>
        <v/>
      </c>
    </row>
    <row r="103">
      <c r="A103">
        <f>IFERROR(INDEX('Email Cleaner'!$B$2:$B$10001,MATCH(102,'Email Cleaner'!$G$2:$G$10001,0)),"")</f>
        <v/>
      </c>
    </row>
    <row r="104">
      <c r="A104">
        <f>IFERROR(INDEX('Email Cleaner'!$B$2:$B$10001,MATCH(103,'Email Cleaner'!$G$2:$G$10001,0)),"")</f>
        <v/>
      </c>
    </row>
    <row r="105">
      <c r="A105">
        <f>IFERROR(INDEX('Email Cleaner'!$B$2:$B$10001,MATCH(104,'Email Cleaner'!$G$2:$G$10001,0)),"")</f>
        <v/>
      </c>
    </row>
    <row r="106">
      <c r="A106">
        <f>IFERROR(INDEX('Email Cleaner'!$B$2:$B$10001,MATCH(105,'Email Cleaner'!$G$2:$G$10001,0)),"")</f>
        <v/>
      </c>
    </row>
    <row r="107">
      <c r="A107">
        <f>IFERROR(INDEX('Email Cleaner'!$B$2:$B$10001,MATCH(106,'Email Cleaner'!$G$2:$G$10001,0)),"")</f>
        <v/>
      </c>
    </row>
    <row r="108">
      <c r="A108">
        <f>IFERROR(INDEX('Email Cleaner'!$B$2:$B$10001,MATCH(107,'Email Cleaner'!$G$2:$G$10001,0)),"")</f>
        <v/>
      </c>
    </row>
    <row r="109">
      <c r="A109">
        <f>IFERROR(INDEX('Email Cleaner'!$B$2:$B$10001,MATCH(108,'Email Cleaner'!$G$2:$G$10001,0)),"")</f>
        <v/>
      </c>
    </row>
    <row r="110">
      <c r="A110">
        <f>IFERROR(INDEX('Email Cleaner'!$B$2:$B$10001,MATCH(109,'Email Cleaner'!$G$2:$G$10001,0)),"")</f>
        <v/>
      </c>
    </row>
    <row r="111">
      <c r="A111">
        <f>IFERROR(INDEX('Email Cleaner'!$B$2:$B$10001,MATCH(110,'Email Cleaner'!$G$2:$G$10001,0)),"")</f>
        <v/>
      </c>
    </row>
    <row r="112">
      <c r="A112">
        <f>IFERROR(INDEX('Email Cleaner'!$B$2:$B$10001,MATCH(111,'Email Cleaner'!$G$2:$G$10001,0)),"")</f>
        <v/>
      </c>
    </row>
    <row r="113">
      <c r="A113">
        <f>IFERROR(INDEX('Email Cleaner'!$B$2:$B$10001,MATCH(112,'Email Cleaner'!$G$2:$G$10001,0)),"")</f>
        <v/>
      </c>
    </row>
    <row r="114">
      <c r="A114">
        <f>IFERROR(INDEX('Email Cleaner'!$B$2:$B$10001,MATCH(113,'Email Cleaner'!$G$2:$G$10001,0)),"")</f>
        <v/>
      </c>
    </row>
    <row r="115">
      <c r="A115">
        <f>IFERROR(INDEX('Email Cleaner'!$B$2:$B$10001,MATCH(114,'Email Cleaner'!$G$2:$G$10001,0)),"")</f>
        <v/>
      </c>
    </row>
    <row r="116">
      <c r="A116">
        <f>IFERROR(INDEX('Email Cleaner'!$B$2:$B$10001,MATCH(115,'Email Cleaner'!$G$2:$G$10001,0)),"")</f>
        <v/>
      </c>
    </row>
    <row r="117">
      <c r="A117">
        <f>IFERROR(INDEX('Email Cleaner'!$B$2:$B$10001,MATCH(116,'Email Cleaner'!$G$2:$G$10001,0)),"")</f>
        <v/>
      </c>
    </row>
    <row r="118">
      <c r="A118">
        <f>IFERROR(INDEX('Email Cleaner'!$B$2:$B$10001,MATCH(117,'Email Cleaner'!$G$2:$G$10001,0)),"")</f>
        <v/>
      </c>
    </row>
    <row r="119">
      <c r="A119">
        <f>IFERROR(INDEX('Email Cleaner'!$B$2:$B$10001,MATCH(118,'Email Cleaner'!$G$2:$G$10001,0)),"")</f>
        <v/>
      </c>
    </row>
    <row r="120">
      <c r="A120">
        <f>IFERROR(INDEX('Email Cleaner'!$B$2:$B$10001,MATCH(119,'Email Cleaner'!$G$2:$G$10001,0)),"")</f>
        <v/>
      </c>
    </row>
    <row r="121">
      <c r="A121">
        <f>IFERROR(INDEX('Email Cleaner'!$B$2:$B$10001,MATCH(120,'Email Cleaner'!$G$2:$G$10001,0)),"")</f>
        <v/>
      </c>
    </row>
    <row r="122">
      <c r="A122">
        <f>IFERROR(INDEX('Email Cleaner'!$B$2:$B$10001,MATCH(121,'Email Cleaner'!$G$2:$G$10001,0)),"")</f>
        <v/>
      </c>
    </row>
    <row r="123">
      <c r="A123">
        <f>IFERROR(INDEX('Email Cleaner'!$B$2:$B$10001,MATCH(122,'Email Cleaner'!$G$2:$G$10001,0)),"")</f>
        <v/>
      </c>
    </row>
    <row r="124">
      <c r="A124">
        <f>IFERROR(INDEX('Email Cleaner'!$B$2:$B$10001,MATCH(123,'Email Cleaner'!$G$2:$G$10001,0)),"")</f>
        <v/>
      </c>
    </row>
    <row r="125">
      <c r="A125">
        <f>IFERROR(INDEX('Email Cleaner'!$B$2:$B$10001,MATCH(124,'Email Cleaner'!$G$2:$G$10001,0)),"")</f>
        <v/>
      </c>
    </row>
    <row r="126">
      <c r="A126">
        <f>IFERROR(INDEX('Email Cleaner'!$B$2:$B$10001,MATCH(125,'Email Cleaner'!$G$2:$G$10001,0)),"")</f>
        <v/>
      </c>
    </row>
    <row r="127">
      <c r="A127">
        <f>IFERROR(INDEX('Email Cleaner'!$B$2:$B$10001,MATCH(126,'Email Cleaner'!$G$2:$G$10001,0)),"")</f>
        <v/>
      </c>
    </row>
    <row r="128">
      <c r="A128">
        <f>IFERROR(INDEX('Email Cleaner'!$B$2:$B$10001,MATCH(127,'Email Cleaner'!$G$2:$G$10001,0)),"")</f>
        <v/>
      </c>
    </row>
    <row r="129">
      <c r="A129">
        <f>IFERROR(INDEX('Email Cleaner'!$B$2:$B$10001,MATCH(128,'Email Cleaner'!$G$2:$G$10001,0)),"")</f>
        <v/>
      </c>
    </row>
    <row r="130">
      <c r="A130">
        <f>IFERROR(INDEX('Email Cleaner'!$B$2:$B$10001,MATCH(129,'Email Cleaner'!$G$2:$G$10001,0)),"")</f>
        <v/>
      </c>
    </row>
    <row r="131">
      <c r="A131">
        <f>IFERROR(INDEX('Email Cleaner'!$B$2:$B$10001,MATCH(130,'Email Cleaner'!$G$2:$G$10001,0)),"")</f>
        <v/>
      </c>
    </row>
    <row r="132">
      <c r="A132">
        <f>IFERROR(INDEX('Email Cleaner'!$B$2:$B$10001,MATCH(131,'Email Cleaner'!$G$2:$G$10001,0)),"")</f>
        <v/>
      </c>
    </row>
    <row r="133">
      <c r="A133">
        <f>IFERROR(INDEX('Email Cleaner'!$B$2:$B$10001,MATCH(132,'Email Cleaner'!$G$2:$G$10001,0)),"")</f>
        <v/>
      </c>
    </row>
    <row r="134">
      <c r="A134">
        <f>IFERROR(INDEX('Email Cleaner'!$B$2:$B$10001,MATCH(133,'Email Cleaner'!$G$2:$G$10001,0)),"")</f>
        <v/>
      </c>
    </row>
    <row r="135">
      <c r="A135">
        <f>IFERROR(INDEX('Email Cleaner'!$B$2:$B$10001,MATCH(134,'Email Cleaner'!$G$2:$G$10001,0)),"")</f>
        <v/>
      </c>
    </row>
    <row r="136">
      <c r="A136">
        <f>IFERROR(INDEX('Email Cleaner'!$B$2:$B$10001,MATCH(135,'Email Cleaner'!$G$2:$G$10001,0)),"")</f>
        <v/>
      </c>
    </row>
    <row r="137">
      <c r="A137">
        <f>IFERROR(INDEX('Email Cleaner'!$B$2:$B$10001,MATCH(136,'Email Cleaner'!$G$2:$G$10001,0)),"")</f>
        <v/>
      </c>
    </row>
    <row r="138">
      <c r="A138">
        <f>IFERROR(INDEX('Email Cleaner'!$B$2:$B$10001,MATCH(137,'Email Cleaner'!$G$2:$G$10001,0)),"")</f>
        <v/>
      </c>
    </row>
    <row r="139">
      <c r="A139">
        <f>IFERROR(INDEX('Email Cleaner'!$B$2:$B$10001,MATCH(138,'Email Cleaner'!$G$2:$G$10001,0)),"")</f>
        <v/>
      </c>
    </row>
    <row r="140">
      <c r="A140">
        <f>IFERROR(INDEX('Email Cleaner'!$B$2:$B$10001,MATCH(139,'Email Cleaner'!$G$2:$G$10001,0)),"")</f>
        <v/>
      </c>
    </row>
    <row r="141">
      <c r="A141">
        <f>IFERROR(INDEX('Email Cleaner'!$B$2:$B$10001,MATCH(140,'Email Cleaner'!$G$2:$G$10001,0)),"")</f>
        <v/>
      </c>
    </row>
    <row r="142">
      <c r="A142">
        <f>IFERROR(INDEX('Email Cleaner'!$B$2:$B$10001,MATCH(141,'Email Cleaner'!$G$2:$G$10001,0)),"")</f>
        <v/>
      </c>
    </row>
    <row r="143">
      <c r="A143">
        <f>IFERROR(INDEX('Email Cleaner'!$B$2:$B$10001,MATCH(142,'Email Cleaner'!$G$2:$G$10001,0)),"")</f>
        <v/>
      </c>
    </row>
    <row r="144">
      <c r="A144">
        <f>IFERROR(INDEX('Email Cleaner'!$B$2:$B$10001,MATCH(143,'Email Cleaner'!$G$2:$G$10001,0)),"")</f>
        <v/>
      </c>
    </row>
    <row r="145">
      <c r="A145">
        <f>IFERROR(INDEX('Email Cleaner'!$B$2:$B$10001,MATCH(144,'Email Cleaner'!$G$2:$G$10001,0)),"")</f>
        <v/>
      </c>
    </row>
    <row r="146">
      <c r="A146">
        <f>IFERROR(INDEX('Email Cleaner'!$B$2:$B$10001,MATCH(145,'Email Cleaner'!$G$2:$G$10001,0)),"")</f>
        <v/>
      </c>
    </row>
    <row r="147">
      <c r="A147">
        <f>IFERROR(INDEX('Email Cleaner'!$B$2:$B$10001,MATCH(146,'Email Cleaner'!$G$2:$G$10001,0)),"")</f>
        <v/>
      </c>
    </row>
    <row r="148">
      <c r="A148">
        <f>IFERROR(INDEX('Email Cleaner'!$B$2:$B$10001,MATCH(147,'Email Cleaner'!$G$2:$G$10001,0)),"")</f>
        <v/>
      </c>
    </row>
    <row r="149">
      <c r="A149">
        <f>IFERROR(INDEX('Email Cleaner'!$B$2:$B$10001,MATCH(148,'Email Cleaner'!$G$2:$G$10001,0)),"")</f>
        <v/>
      </c>
    </row>
    <row r="150">
      <c r="A150">
        <f>IFERROR(INDEX('Email Cleaner'!$B$2:$B$10001,MATCH(149,'Email Cleaner'!$G$2:$G$10001,0)),"")</f>
        <v/>
      </c>
    </row>
    <row r="151">
      <c r="A151">
        <f>IFERROR(INDEX('Email Cleaner'!$B$2:$B$10001,MATCH(150,'Email Cleaner'!$G$2:$G$10001,0)),"")</f>
        <v/>
      </c>
    </row>
    <row r="152">
      <c r="A152">
        <f>IFERROR(INDEX('Email Cleaner'!$B$2:$B$10001,MATCH(151,'Email Cleaner'!$G$2:$G$10001,0)),"")</f>
        <v/>
      </c>
    </row>
    <row r="153">
      <c r="A153">
        <f>IFERROR(INDEX('Email Cleaner'!$B$2:$B$10001,MATCH(152,'Email Cleaner'!$G$2:$G$10001,0)),"")</f>
        <v/>
      </c>
    </row>
    <row r="154">
      <c r="A154">
        <f>IFERROR(INDEX('Email Cleaner'!$B$2:$B$10001,MATCH(153,'Email Cleaner'!$G$2:$G$10001,0)),"")</f>
        <v/>
      </c>
    </row>
    <row r="155">
      <c r="A155">
        <f>IFERROR(INDEX('Email Cleaner'!$B$2:$B$10001,MATCH(154,'Email Cleaner'!$G$2:$G$10001,0)),"")</f>
        <v/>
      </c>
    </row>
    <row r="156">
      <c r="A156">
        <f>IFERROR(INDEX('Email Cleaner'!$B$2:$B$10001,MATCH(155,'Email Cleaner'!$G$2:$G$10001,0)),"")</f>
        <v/>
      </c>
    </row>
    <row r="157">
      <c r="A157">
        <f>IFERROR(INDEX('Email Cleaner'!$B$2:$B$10001,MATCH(156,'Email Cleaner'!$G$2:$G$10001,0)),"")</f>
        <v/>
      </c>
    </row>
    <row r="158">
      <c r="A158">
        <f>IFERROR(INDEX('Email Cleaner'!$B$2:$B$10001,MATCH(157,'Email Cleaner'!$G$2:$G$10001,0)),"")</f>
        <v/>
      </c>
    </row>
    <row r="159">
      <c r="A159">
        <f>IFERROR(INDEX('Email Cleaner'!$B$2:$B$10001,MATCH(158,'Email Cleaner'!$G$2:$G$10001,0)),"")</f>
        <v/>
      </c>
    </row>
    <row r="160">
      <c r="A160">
        <f>IFERROR(INDEX('Email Cleaner'!$B$2:$B$10001,MATCH(159,'Email Cleaner'!$G$2:$G$10001,0)),"")</f>
        <v/>
      </c>
    </row>
    <row r="161">
      <c r="A161">
        <f>IFERROR(INDEX('Email Cleaner'!$B$2:$B$10001,MATCH(160,'Email Cleaner'!$G$2:$G$10001,0)),"")</f>
        <v/>
      </c>
    </row>
    <row r="162">
      <c r="A162">
        <f>IFERROR(INDEX('Email Cleaner'!$B$2:$B$10001,MATCH(161,'Email Cleaner'!$G$2:$G$10001,0)),"")</f>
        <v/>
      </c>
    </row>
    <row r="163">
      <c r="A163">
        <f>IFERROR(INDEX('Email Cleaner'!$B$2:$B$10001,MATCH(162,'Email Cleaner'!$G$2:$G$10001,0)),"")</f>
        <v/>
      </c>
    </row>
    <row r="164">
      <c r="A164">
        <f>IFERROR(INDEX('Email Cleaner'!$B$2:$B$10001,MATCH(163,'Email Cleaner'!$G$2:$G$10001,0)),"")</f>
        <v/>
      </c>
    </row>
    <row r="165">
      <c r="A165">
        <f>IFERROR(INDEX('Email Cleaner'!$B$2:$B$10001,MATCH(164,'Email Cleaner'!$G$2:$G$10001,0)),"")</f>
        <v/>
      </c>
    </row>
    <row r="166">
      <c r="A166">
        <f>IFERROR(INDEX('Email Cleaner'!$B$2:$B$10001,MATCH(165,'Email Cleaner'!$G$2:$G$10001,0)),"")</f>
        <v/>
      </c>
    </row>
    <row r="167">
      <c r="A167">
        <f>IFERROR(INDEX('Email Cleaner'!$B$2:$B$10001,MATCH(166,'Email Cleaner'!$G$2:$G$10001,0)),"")</f>
        <v/>
      </c>
    </row>
    <row r="168">
      <c r="A168">
        <f>IFERROR(INDEX('Email Cleaner'!$B$2:$B$10001,MATCH(167,'Email Cleaner'!$G$2:$G$10001,0)),"")</f>
        <v/>
      </c>
    </row>
    <row r="169">
      <c r="A169">
        <f>IFERROR(INDEX('Email Cleaner'!$B$2:$B$10001,MATCH(168,'Email Cleaner'!$G$2:$G$10001,0)),"")</f>
        <v/>
      </c>
    </row>
    <row r="170">
      <c r="A170">
        <f>IFERROR(INDEX('Email Cleaner'!$B$2:$B$10001,MATCH(169,'Email Cleaner'!$G$2:$G$10001,0)),"")</f>
        <v/>
      </c>
    </row>
    <row r="171">
      <c r="A171">
        <f>IFERROR(INDEX('Email Cleaner'!$B$2:$B$10001,MATCH(170,'Email Cleaner'!$G$2:$G$10001,0)),"")</f>
        <v/>
      </c>
    </row>
    <row r="172">
      <c r="A172">
        <f>IFERROR(INDEX('Email Cleaner'!$B$2:$B$10001,MATCH(171,'Email Cleaner'!$G$2:$G$10001,0)),"")</f>
        <v/>
      </c>
    </row>
    <row r="173">
      <c r="A173">
        <f>IFERROR(INDEX('Email Cleaner'!$B$2:$B$10001,MATCH(172,'Email Cleaner'!$G$2:$G$10001,0)),"")</f>
        <v/>
      </c>
    </row>
    <row r="174">
      <c r="A174">
        <f>IFERROR(INDEX('Email Cleaner'!$B$2:$B$10001,MATCH(173,'Email Cleaner'!$G$2:$G$10001,0)),"")</f>
        <v/>
      </c>
    </row>
    <row r="175">
      <c r="A175">
        <f>IFERROR(INDEX('Email Cleaner'!$B$2:$B$10001,MATCH(174,'Email Cleaner'!$G$2:$G$10001,0)),"")</f>
        <v/>
      </c>
    </row>
    <row r="176">
      <c r="A176">
        <f>IFERROR(INDEX('Email Cleaner'!$B$2:$B$10001,MATCH(175,'Email Cleaner'!$G$2:$G$10001,0)),"")</f>
        <v/>
      </c>
    </row>
    <row r="177">
      <c r="A177">
        <f>IFERROR(INDEX('Email Cleaner'!$B$2:$B$10001,MATCH(176,'Email Cleaner'!$G$2:$G$10001,0)),"")</f>
        <v/>
      </c>
    </row>
    <row r="178">
      <c r="A178">
        <f>IFERROR(INDEX('Email Cleaner'!$B$2:$B$10001,MATCH(177,'Email Cleaner'!$G$2:$G$10001,0)),"")</f>
        <v/>
      </c>
    </row>
    <row r="179">
      <c r="A179">
        <f>IFERROR(INDEX('Email Cleaner'!$B$2:$B$10001,MATCH(178,'Email Cleaner'!$G$2:$G$10001,0)),"")</f>
        <v/>
      </c>
    </row>
    <row r="180">
      <c r="A180">
        <f>IFERROR(INDEX('Email Cleaner'!$B$2:$B$10001,MATCH(179,'Email Cleaner'!$G$2:$G$10001,0)),"")</f>
        <v/>
      </c>
    </row>
    <row r="181">
      <c r="A181">
        <f>IFERROR(INDEX('Email Cleaner'!$B$2:$B$10001,MATCH(180,'Email Cleaner'!$G$2:$G$10001,0)),"")</f>
        <v/>
      </c>
    </row>
    <row r="182">
      <c r="A182">
        <f>IFERROR(INDEX('Email Cleaner'!$B$2:$B$10001,MATCH(181,'Email Cleaner'!$G$2:$G$10001,0)),"")</f>
        <v/>
      </c>
    </row>
    <row r="183">
      <c r="A183">
        <f>IFERROR(INDEX('Email Cleaner'!$B$2:$B$10001,MATCH(182,'Email Cleaner'!$G$2:$G$10001,0)),"")</f>
        <v/>
      </c>
    </row>
    <row r="184">
      <c r="A184">
        <f>IFERROR(INDEX('Email Cleaner'!$B$2:$B$10001,MATCH(183,'Email Cleaner'!$G$2:$G$10001,0)),"")</f>
        <v/>
      </c>
    </row>
    <row r="185">
      <c r="A185">
        <f>IFERROR(INDEX('Email Cleaner'!$B$2:$B$10001,MATCH(184,'Email Cleaner'!$G$2:$G$10001,0)),"")</f>
        <v/>
      </c>
    </row>
    <row r="186">
      <c r="A186">
        <f>IFERROR(INDEX('Email Cleaner'!$B$2:$B$10001,MATCH(185,'Email Cleaner'!$G$2:$G$10001,0)),"")</f>
        <v/>
      </c>
    </row>
    <row r="187">
      <c r="A187">
        <f>IFERROR(INDEX('Email Cleaner'!$B$2:$B$10001,MATCH(186,'Email Cleaner'!$G$2:$G$10001,0)),"")</f>
        <v/>
      </c>
    </row>
    <row r="188">
      <c r="A188">
        <f>IFERROR(INDEX('Email Cleaner'!$B$2:$B$10001,MATCH(187,'Email Cleaner'!$G$2:$G$10001,0)),"")</f>
        <v/>
      </c>
    </row>
    <row r="189">
      <c r="A189">
        <f>IFERROR(INDEX('Email Cleaner'!$B$2:$B$10001,MATCH(188,'Email Cleaner'!$G$2:$G$10001,0)),"")</f>
        <v/>
      </c>
    </row>
    <row r="190">
      <c r="A190">
        <f>IFERROR(INDEX('Email Cleaner'!$B$2:$B$10001,MATCH(189,'Email Cleaner'!$G$2:$G$10001,0)),"")</f>
        <v/>
      </c>
    </row>
    <row r="191">
      <c r="A191">
        <f>IFERROR(INDEX('Email Cleaner'!$B$2:$B$10001,MATCH(190,'Email Cleaner'!$G$2:$G$10001,0)),"")</f>
        <v/>
      </c>
    </row>
    <row r="192">
      <c r="A192">
        <f>IFERROR(INDEX('Email Cleaner'!$B$2:$B$10001,MATCH(191,'Email Cleaner'!$G$2:$G$10001,0)),"")</f>
        <v/>
      </c>
    </row>
    <row r="193">
      <c r="A193">
        <f>IFERROR(INDEX('Email Cleaner'!$B$2:$B$10001,MATCH(192,'Email Cleaner'!$G$2:$G$10001,0)),"")</f>
        <v/>
      </c>
    </row>
    <row r="194">
      <c r="A194">
        <f>IFERROR(INDEX('Email Cleaner'!$B$2:$B$10001,MATCH(193,'Email Cleaner'!$G$2:$G$10001,0)),"")</f>
        <v/>
      </c>
    </row>
    <row r="195">
      <c r="A195">
        <f>IFERROR(INDEX('Email Cleaner'!$B$2:$B$10001,MATCH(194,'Email Cleaner'!$G$2:$G$10001,0)),"")</f>
        <v/>
      </c>
    </row>
    <row r="196">
      <c r="A196">
        <f>IFERROR(INDEX('Email Cleaner'!$B$2:$B$10001,MATCH(195,'Email Cleaner'!$G$2:$G$10001,0)),"")</f>
        <v/>
      </c>
    </row>
    <row r="197">
      <c r="A197">
        <f>IFERROR(INDEX('Email Cleaner'!$B$2:$B$10001,MATCH(196,'Email Cleaner'!$G$2:$G$10001,0)),"")</f>
        <v/>
      </c>
    </row>
    <row r="198">
      <c r="A198">
        <f>IFERROR(INDEX('Email Cleaner'!$B$2:$B$10001,MATCH(197,'Email Cleaner'!$G$2:$G$10001,0)),"")</f>
        <v/>
      </c>
    </row>
    <row r="199">
      <c r="A199">
        <f>IFERROR(INDEX('Email Cleaner'!$B$2:$B$10001,MATCH(198,'Email Cleaner'!$G$2:$G$10001,0)),"")</f>
        <v/>
      </c>
    </row>
    <row r="200">
      <c r="A200">
        <f>IFERROR(INDEX('Email Cleaner'!$B$2:$B$10001,MATCH(199,'Email Cleaner'!$G$2:$G$10001,0)),"")</f>
        <v/>
      </c>
    </row>
    <row r="201">
      <c r="A201">
        <f>IFERROR(INDEX('Email Cleaner'!$B$2:$B$10001,MATCH(200,'Email Cleaner'!$G$2:$G$10001,0)),"")</f>
        <v/>
      </c>
    </row>
    <row r="202">
      <c r="A202">
        <f>IFERROR(INDEX('Email Cleaner'!$B$2:$B$10001,MATCH(201,'Email Cleaner'!$G$2:$G$10001,0)),"")</f>
        <v/>
      </c>
    </row>
    <row r="203">
      <c r="A203">
        <f>IFERROR(INDEX('Email Cleaner'!$B$2:$B$10001,MATCH(202,'Email Cleaner'!$G$2:$G$10001,0)),"")</f>
        <v/>
      </c>
    </row>
    <row r="204">
      <c r="A204">
        <f>IFERROR(INDEX('Email Cleaner'!$B$2:$B$10001,MATCH(203,'Email Cleaner'!$G$2:$G$10001,0)),"")</f>
        <v/>
      </c>
    </row>
    <row r="205">
      <c r="A205">
        <f>IFERROR(INDEX('Email Cleaner'!$B$2:$B$10001,MATCH(204,'Email Cleaner'!$G$2:$G$10001,0)),"")</f>
        <v/>
      </c>
    </row>
    <row r="206">
      <c r="A206">
        <f>IFERROR(INDEX('Email Cleaner'!$B$2:$B$10001,MATCH(205,'Email Cleaner'!$G$2:$G$10001,0)),"")</f>
        <v/>
      </c>
    </row>
    <row r="207">
      <c r="A207">
        <f>IFERROR(INDEX('Email Cleaner'!$B$2:$B$10001,MATCH(206,'Email Cleaner'!$G$2:$G$10001,0)),"")</f>
        <v/>
      </c>
    </row>
    <row r="208">
      <c r="A208">
        <f>IFERROR(INDEX('Email Cleaner'!$B$2:$B$10001,MATCH(207,'Email Cleaner'!$G$2:$G$10001,0)),"")</f>
        <v/>
      </c>
    </row>
    <row r="209">
      <c r="A209">
        <f>IFERROR(INDEX('Email Cleaner'!$B$2:$B$10001,MATCH(208,'Email Cleaner'!$G$2:$G$10001,0)),"")</f>
        <v/>
      </c>
    </row>
    <row r="210">
      <c r="A210">
        <f>IFERROR(INDEX('Email Cleaner'!$B$2:$B$10001,MATCH(209,'Email Cleaner'!$G$2:$G$10001,0)),"")</f>
        <v/>
      </c>
    </row>
    <row r="211">
      <c r="A211">
        <f>IFERROR(INDEX('Email Cleaner'!$B$2:$B$10001,MATCH(210,'Email Cleaner'!$G$2:$G$10001,0)),"")</f>
        <v/>
      </c>
    </row>
    <row r="212">
      <c r="A212">
        <f>IFERROR(INDEX('Email Cleaner'!$B$2:$B$10001,MATCH(211,'Email Cleaner'!$G$2:$G$10001,0)),"")</f>
        <v/>
      </c>
    </row>
    <row r="213">
      <c r="A213">
        <f>IFERROR(INDEX('Email Cleaner'!$B$2:$B$10001,MATCH(212,'Email Cleaner'!$G$2:$G$10001,0)),"")</f>
        <v/>
      </c>
    </row>
    <row r="214">
      <c r="A214">
        <f>IFERROR(INDEX('Email Cleaner'!$B$2:$B$10001,MATCH(213,'Email Cleaner'!$G$2:$G$10001,0)),"")</f>
        <v/>
      </c>
    </row>
    <row r="215">
      <c r="A215">
        <f>IFERROR(INDEX('Email Cleaner'!$B$2:$B$10001,MATCH(214,'Email Cleaner'!$G$2:$G$10001,0)),"")</f>
        <v/>
      </c>
    </row>
    <row r="216">
      <c r="A216">
        <f>IFERROR(INDEX('Email Cleaner'!$B$2:$B$10001,MATCH(215,'Email Cleaner'!$G$2:$G$10001,0)),"")</f>
        <v/>
      </c>
    </row>
    <row r="217">
      <c r="A217">
        <f>IFERROR(INDEX('Email Cleaner'!$B$2:$B$10001,MATCH(216,'Email Cleaner'!$G$2:$G$10001,0)),"")</f>
        <v/>
      </c>
    </row>
    <row r="218">
      <c r="A218">
        <f>IFERROR(INDEX('Email Cleaner'!$B$2:$B$10001,MATCH(217,'Email Cleaner'!$G$2:$G$10001,0)),"")</f>
        <v/>
      </c>
    </row>
    <row r="219">
      <c r="A219">
        <f>IFERROR(INDEX('Email Cleaner'!$B$2:$B$10001,MATCH(218,'Email Cleaner'!$G$2:$G$10001,0)),"")</f>
        <v/>
      </c>
    </row>
    <row r="220">
      <c r="A220">
        <f>IFERROR(INDEX('Email Cleaner'!$B$2:$B$10001,MATCH(219,'Email Cleaner'!$G$2:$G$10001,0)),"")</f>
        <v/>
      </c>
    </row>
    <row r="221">
      <c r="A221">
        <f>IFERROR(INDEX('Email Cleaner'!$B$2:$B$10001,MATCH(220,'Email Cleaner'!$G$2:$G$10001,0)),"")</f>
        <v/>
      </c>
    </row>
    <row r="222">
      <c r="A222">
        <f>IFERROR(INDEX('Email Cleaner'!$B$2:$B$10001,MATCH(221,'Email Cleaner'!$G$2:$G$10001,0)),"")</f>
        <v/>
      </c>
    </row>
    <row r="223">
      <c r="A223">
        <f>IFERROR(INDEX('Email Cleaner'!$B$2:$B$10001,MATCH(222,'Email Cleaner'!$G$2:$G$10001,0)),"")</f>
        <v/>
      </c>
    </row>
    <row r="224">
      <c r="A224">
        <f>IFERROR(INDEX('Email Cleaner'!$B$2:$B$10001,MATCH(223,'Email Cleaner'!$G$2:$G$10001,0)),"")</f>
        <v/>
      </c>
    </row>
    <row r="225">
      <c r="A225">
        <f>IFERROR(INDEX('Email Cleaner'!$B$2:$B$10001,MATCH(224,'Email Cleaner'!$G$2:$G$10001,0)),"")</f>
        <v/>
      </c>
    </row>
    <row r="226">
      <c r="A226">
        <f>IFERROR(INDEX('Email Cleaner'!$B$2:$B$10001,MATCH(225,'Email Cleaner'!$G$2:$G$10001,0)),"")</f>
        <v/>
      </c>
    </row>
    <row r="227">
      <c r="A227">
        <f>IFERROR(INDEX('Email Cleaner'!$B$2:$B$10001,MATCH(226,'Email Cleaner'!$G$2:$G$10001,0)),"")</f>
        <v/>
      </c>
    </row>
    <row r="228">
      <c r="A228">
        <f>IFERROR(INDEX('Email Cleaner'!$B$2:$B$10001,MATCH(227,'Email Cleaner'!$G$2:$G$10001,0)),"")</f>
        <v/>
      </c>
    </row>
    <row r="229">
      <c r="A229">
        <f>IFERROR(INDEX('Email Cleaner'!$B$2:$B$10001,MATCH(228,'Email Cleaner'!$G$2:$G$10001,0)),"")</f>
        <v/>
      </c>
    </row>
    <row r="230">
      <c r="A230">
        <f>IFERROR(INDEX('Email Cleaner'!$B$2:$B$10001,MATCH(229,'Email Cleaner'!$G$2:$G$10001,0)),"")</f>
        <v/>
      </c>
    </row>
    <row r="231">
      <c r="A231">
        <f>IFERROR(INDEX('Email Cleaner'!$B$2:$B$10001,MATCH(230,'Email Cleaner'!$G$2:$G$10001,0)),"")</f>
        <v/>
      </c>
    </row>
    <row r="232">
      <c r="A232">
        <f>IFERROR(INDEX('Email Cleaner'!$B$2:$B$10001,MATCH(231,'Email Cleaner'!$G$2:$G$10001,0)),"")</f>
        <v/>
      </c>
    </row>
    <row r="233">
      <c r="A233">
        <f>IFERROR(INDEX('Email Cleaner'!$B$2:$B$10001,MATCH(232,'Email Cleaner'!$G$2:$G$10001,0)),"")</f>
        <v/>
      </c>
    </row>
    <row r="234">
      <c r="A234">
        <f>IFERROR(INDEX('Email Cleaner'!$B$2:$B$10001,MATCH(233,'Email Cleaner'!$G$2:$G$10001,0)),"")</f>
        <v/>
      </c>
    </row>
    <row r="235">
      <c r="A235">
        <f>IFERROR(INDEX('Email Cleaner'!$B$2:$B$10001,MATCH(234,'Email Cleaner'!$G$2:$G$10001,0)),"")</f>
        <v/>
      </c>
    </row>
    <row r="236">
      <c r="A236">
        <f>IFERROR(INDEX('Email Cleaner'!$B$2:$B$10001,MATCH(235,'Email Cleaner'!$G$2:$G$10001,0)),"")</f>
        <v/>
      </c>
    </row>
    <row r="237">
      <c r="A237">
        <f>IFERROR(INDEX('Email Cleaner'!$B$2:$B$10001,MATCH(236,'Email Cleaner'!$G$2:$G$10001,0)),"")</f>
        <v/>
      </c>
    </row>
    <row r="238">
      <c r="A238">
        <f>IFERROR(INDEX('Email Cleaner'!$B$2:$B$10001,MATCH(237,'Email Cleaner'!$G$2:$G$10001,0)),"")</f>
        <v/>
      </c>
    </row>
    <row r="239">
      <c r="A239">
        <f>IFERROR(INDEX('Email Cleaner'!$B$2:$B$10001,MATCH(238,'Email Cleaner'!$G$2:$G$10001,0)),"")</f>
        <v/>
      </c>
    </row>
    <row r="240">
      <c r="A240">
        <f>IFERROR(INDEX('Email Cleaner'!$B$2:$B$10001,MATCH(239,'Email Cleaner'!$G$2:$G$10001,0)),"")</f>
        <v/>
      </c>
    </row>
    <row r="241">
      <c r="A241">
        <f>IFERROR(INDEX('Email Cleaner'!$B$2:$B$10001,MATCH(240,'Email Cleaner'!$G$2:$G$10001,0)),"")</f>
        <v/>
      </c>
    </row>
    <row r="242">
      <c r="A242">
        <f>IFERROR(INDEX('Email Cleaner'!$B$2:$B$10001,MATCH(241,'Email Cleaner'!$G$2:$G$10001,0)),"")</f>
        <v/>
      </c>
    </row>
    <row r="243">
      <c r="A243">
        <f>IFERROR(INDEX('Email Cleaner'!$B$2:$B$10001,MATCH(242,'Email Cleaner'!$G$2:$G$10001,0)),"")</f>
        <v/>
      </c>
    </row>
    <row r="244">
      <c r="A244">
        <f>IFERROR(INDEX('Email Cleaner'!$B$2:$B$10001,MATCH(243,'Email Cleaner'!$G$2:$G$10001,0)),"")</f>
        <v/>
      </c>
    </row>
    <row r="245">
      <c r="A245">
        <f>IFERROR(INDEX('Email Cleaner'!$B$2:$B$10001,MATCH(244,'Email Cleaner'!$G$2:$G$10001,0)),"")</f>
        <v/>
      </c>
    </row>
    <row r="246">
      <c r="A246">
        <f>IFERROR(INDEX('Email Cleaner'!$B$2:$B$10001,MATCH(245,'Email Cleaner'!$G$2:$G$10001,0)),"")</f>
        <v/>
      </c>
    </row>
    <row r="247">
      <c r="A247">
        <f>IFERROR(INDEX('Email Cleaner'!$B$2:$B$10001,MATCH(246,'Email Cleaner'!$G$2:$G$10001,0)),"")</f>
        <v/>
      </c>
    </row>
    <row r="248">
      <c r="A248">
        <f>IFERROR(INDEX('Email Cleaner'!$B$2:$B$10001,MATCH(247,'Email Cleaner'!$G$2:$G$10001,0)),"")</f>
        <v/>
      </c>
    </row>
    <row r="249">
      <c r="A249">
        <f>IFERROR(INDEX('Email Cleaner'!$B$2:$B$10001,MATCH(248,'Email Cleaner'!$G$2:$G$10001,0)),"")</f>
        <v/>
      </c>
    </row>
    <row r="250">
      <c r="A250">
        <f>IFERROR(INDEX('Email Cleaner'!$B$2:$B$10001,MATCH(249,'Email Cleaner'!$G$2:$G$10001,0)),"")</f>
        <v/>
      </c>
    </row>
    <row r="251">
      <c r="A251">
        <f>IFERROR(INDEX('Email Cleaner'!$B$2:$B$10001,MATCH(250,'Email Cleaner'!$G$2:$G$10001,0)),"")</f>
        <v/>
      </c>
    </row>
    <row r="252">
      <c r="A252">
        <f>IFERROR(INDEX('Email Cleaner'!$B$2:$B$10001,MATCH(251,'Email Cleaner'!$G$2:$G$10001,0)),"")</f>
        <v/>
      </c>
    </row>
    <row r="253">
      <c r="A253">
        <f>IFERROR(INDEX('Email Cleaner'!$B$2:$B$10001,MATCH(252,'Email Cleaner'!$G$2:$G$10001,0)),"")</f>
        <v/>
      </c>
    </row>
    <row r="254">
      <c r="A254">
        <f>IFERROR(INDEX('Email Cleaner'!$B$2:$B$10001,MATCH(253,'Email Cleaner'!$G$2:$G$10001,0)),"")</f>
        <v/>
      </c>
    </row>
    <row r="255">
      <c r="A255">
        <f>IFERROR(INDEX('Email Cleaner'!$B$2:$B$10001,MATCH(254,'Email Cleaner'!$G$2:$G$10001,0)),"")</f>
        <v/>
      </c>
    </row>
    <row r="256">
      <c r="A256">
        <f>IFERROR(INDEX('Email Cleaner'!$B$2:$B$10001,MATCH(255,'Email Cleaner'!$G$2:$G$10001,0)),"")</f>
        <v/>
      </c>
    </row>
    <row r="257">
      <c r="A257">
        <f>IFERROR(INDEX('Email Cleaner'!$B$2:$B$10001,MATCH(256,'Email Cleaner'!$G$2:$G$10001,0)),"")</f>
        <v/>
      </c>
    </row>
    <row r="258">
      <c r="A258">
        <f>IFERROR(INDEX('Email Cleaner'!$B$2:$B$10001,MATCH(257,'Email Cleaner'!$G$2:$G$10001,0)),"")</f>
        <v/>
      </c>
    </row>
    <row r="259">
      <c r="A259">
        <f>IFERROR(INDEX('Email Cleaner'!$B$2:$B$10001,MATCH(258,'Email Cleaner'!$G$2:$G$10001,0)),"")</f>
        <v/>
      </c>
    </row>
    <row r="260">
      <c r="A260">
        <f>IFERROR(INDEX('Email Cleaner'!$B$2:$B$10001,MATCH(259,'Email Cleaner'!$G$2:$G$10001,0)),"")</f>
        <v/>
      </c>
    </row>
    <row r="261">
      <c r="A261">
        <f>IFERROR(INDEX('Email Cleaner'!$B$2:$B$10001,MATCH(260,'Email Cleaner'!$G$2:$G$10001,0)),"")</f>
        <v/>
      </c>
    </row>
    <row r="262">
      <c r="A262">
        <f>IFERROR(INDEX('Email Cleaner'!$B$2:$B$10001,MATCH(261,'Email Cleaner'!$G$2:$G$10001,0)),"")</f>
        <v/>
      </c>
    </row>
    <row r="263">
      <c r="A263">
        <f>IFERROR(INDEX('Email Cleaner'!$B$2:$B$10001,MATCH(262,'Email Cleaner'!$G$2:$G$10001,0)),"")</f>
        <v/>
      </c>
    </row>
    <row r="264">
      <c r="A264">
        <f>IFERROR(INDEX('Email Cleaner'!$B$2:$B$10001,MATCH(263,'Email Cleaner'!$G$2:$G$10001,0)),"")</f>
        <v/>
      </c>
    </row>
    <row r="265">
      <c r="A265">
        <f>IFERROR(INDEX('Email Cleaner'!$B$2:$B$10001,MATCH(264,'Email Cleaner'!$G$2:$G$10001,0)),"")</f>
        <v/>
      </c>
    </row>
    <row r="266">
      <c r="A266">
        <f>IFERROR(INDEX('Email Cleaner'!$B$2:$B$10001,MATCH(265,'Email Cleaner'!$G$2:$G$10001,0)),"")</f>
        <v/>
      </c>
    </row>
    <row r="267">
      <c r="A267">
        <f>IFERROR(INDEX('Email Cleaner'!$B$2:$B$10001,MATCH(266,'Email Cleaner'!$G$2:$G$10001,0)),"")</f>
        <v/>
      </c>
    </row>
    <row r="268">
      <c r="A268">
        <f>IFERROR(INDEX('Email Cleaner'!$B$2:$B$10001,MATCH(267,'Email Cleaner'!$G$2:$G$10001,0)),"")</f>
        <v/>
      </c>
    </row>
    <row r="269">
      <c r="A269">
        <f>IFERROR(INDEX('Email Cleaner'!$B$2:$B$10001,MATCH(268,'Email Cleaner'!$G$2:$G$10001,0)),"")</f>
        <v/>
      </c>
    </row>
    <row r="270">
      <c r="A270">
        <f>IFERROR(INDEX('Email Cleaner'!$B$2:$B$10001,MATCH(269,'Email Cleaner'!$G$2:$G$10001,0)),"")</f>
        <v/>
      </c>
    </row>
    <row r="271">
      <c r="A271">
        <f>IFERROR(INDEX('Email Cleaner'!$B$2:$B$10001,MATCH(270,'Email Cleaner'!$G$2:$G$10001,0)),"")</f>
        <v/>
      </c>
    </row>
    <row r="272">
      <c r="A272">
        <f>IFERROR(INDEX('Email Cleaner'!$B$2:$B$10001,MATCH(271,'Email Cleaner'!$G$2:$G$10001,0)),"")</f>
        <v/>
      </c>
    </row>
    <row r="273">
      <c r="A273">
        <f>IFERROR(INDEX('Email Cleaner'!$B$2:$B$10001,MATCH(272,'Email Cleaner'!$G$2:$G$10001,0)),"")</f>
        <v/>
      </c>
    </row>
    <row r="274">
      <c r="A274">
        <f>IFERROR(INDEX('Email Cleaner'!$B$2:$B$10001,MATCH(273,'Email Cleaner'!$G$2:$G$10001,0)),"")</f>
        <v/>
      </c>
    </row>
    <row r="275">
      <c r="A275">
        <f>IFERROR(INDEX('Email Cleaner'!$B$2:$B$10001,MATCH(274,'Email Cleaner'!$G$2:$G$10001,0)),"")</f>
        <v/>
      </c>
    </row>
    <row r="276">
      <c r="A276">
        <f>IFERROR(INDEX('Email Cleaner'!$B$2:$B$10001,MATCH(275,'Email Cleaner'!$G$2:$G$10001,0)),"")</f>
        <v/>
      </c>
    </row>
    <row r="277">
      <c r="A277">
        <f>IFERROR(INDEX('Email Cleaner'!$B$2:$B$10001,MATCH(276,'Email Cleaner'!$G$2:$G$10001,0)),"")</f>
        <v/>
      </c>
    </row>
    <row r="278">
      <c r="A278">
        <f>IFERROR(INDEX('Email Cleaner'!$B$2:$B$10001,MATCH(277,'Email Cleaner'!$G$2:$G$10001,0)),"")</f>
        <v/>
      </c>
    </row>
    <row r="279">
      <c r="A279">
        <f>IFERROR(INDEX('Email Cleaner'!$B$2:$B$10001,MATCH(278,'Email Cleaner'!$G$2:$G$10001,0)),"")</f>
        <v/>
      </c>
    </row>
    <row r="280">
      <c r="A280">
        <f>IFERROR(INDEX('Email Cleaner'!$B$2:$B$10001,MATCH(279,'Email Cleaner'!$G$2:$G$10001,0)),"")</f>
        <v/>
      </c>
    </row>
    <row r="281">
      <c r="A281">
        <f>IFERROR(INDEX('Email Cleaner'!$B$2:$B$10001,MATCH(280,'Email Cleaner'!$G$2:$G$10001,0)),"")</f>
        <v/>
      </c>
    </row>
    <row r="282">
      <c r="A282">
        <f>IFERROR(INDEX('Email Cleaner'!$B$2:$B$10001,MATCH(281,'Email Cleaner'!$G$2:$G$10001,0)),"")</f>
        <v/>
      </c>
    </row>
    <row r="283">
      <c r="A283">
        <f>IFERROR(INDEX('Email Cleaner'!$B$2:$B$10001,MATCH(282,'Email Cleaner'!$G$2:$G$10001,0)),"")</f>
        <v/>
      </c>
    </row>
    <row r="284">
      <c r="A284">
        <f>IFERROR(INDEX('Email Cleaner'!$B$2:$B$10001,MATCH(283,'Email Cleaner'!$G$2:$G$10001,0)),"")</f>
        <v/>
      </c>
    </row>
    <row r="285">
      <c r="A285">
        <f>IFERROR(INDEX('Email Cleaner'!$B$2:$B$10001,MATCH(284,'Email Cleaner'!$G$2:$G$10001,0)),"")</f>
        <v/>
      </c>
    </row>
    <row r="286">
      <c r="A286">
        <f>IFERROR(INDEX('Email Cleaner'!$B$2:$B$10001,MATCH(285,'Email Cleaner'!$G$2:$G$10001,0)),"")</f>
        <v/>
      </c>
    </row>
    <row r="287">
      <c r="A287">
        <f>IFERROR(INDEX('Email Cleaner'!$B$2:$B$10001,MATCH(286,'Email Cleaner'!$G$2:$G$10001,0)),"")</f>
        <v/>
      </c>
    </row>
    <row r="288">
      <c r="A288">
        <f>IFERROR(INDEX('Email Cleaner'!$B$2:$B$10001,MATCH(287,'Email Cleaner'!$G$2:$G$10001,0)),"")</f>
        <v/>
      </c>
    </row>
    <row r="289">
      <c r="A289">
        <f>IFERROR(INDEX('Email Cleaner'!$B$2:$B$10001,MATCH(288,'Email Cleaner'!$G$2:$G$10001,0)),"")</f>
        <v/>
      </c>
    </row>
    <row r="290">
      <c r="A290">
        <f>IFERROR(INDEX('Email Cleaner'!$B$2:$B$10001,MATCH(289,'Email Cleaner'!$G$2:$G$10001,0)),"")</f>
        <v/>
      </c>
    </row>
    <row r="291">
      <c r="A291">
        <f>IFERROR(INDEX('Email Cleaner'!$B$2:$B$10001,MATCH(290,'Email Cleaner'!$G$2:$G$10001,0)),"")</f>
        <v/>
      </c>
    </row>
    <row r="292">
      <c r="A292">
        <f>IFERROR(INDEX('Email Cleaner'!$B$2:$B$10001,MATCH(291,'Email Cleaner'!$G$2:$G$10001,0)),"")</f>
        <v/>
      </c>
    </row>
    <row r="293">
      <c r="A293">
        <f>IFERROR(INDEX('Email Cleaner'!$B$2:$B$10001,MATCH(292,'Email Cleaner'!$G$2:$G$10001,0)),"")</f>
        <v/>
      </c>
    </row>
    <row r="294">
      <c r="A294">
        <f>IFERROR(INDEX('Email Cleaner'!$B$2:$B$10001,MATCH(293,'Email Cleaner'!$G$2:$G$10001,0)),"")</f>
        <v/>
      </c>
    </row>
    <row r="295">
      <c r="A295">
        <f>IFERROR(INDEX('Email Cleaner'!$B$2:$B$10001,MATCH(294,'Email Cleaner'!$G$2:$G$10001,0)),"")</f>
        <v/>
      </c>
    </row>
    <row r="296">
      <c r="A296">
        <f>IFERROR(INDEX('Email Cleaner'!$B$2:$B$10001,MATCH(295,'Email Cleaner'!$G$2:$G$10001,0)),"")</f>
        <v/>
      </c>
    </row>
    <row r="297">
      <c r="A297">
        <f>IFERROR(INDEX('Email Cleaner'!$B$2:$B$10001,MATCH(296,'Email Cleaner'!$G$2:$G$10001,0)),"")</f>
        <v/>
      </c>
    </row>
    <row r="298">
      <c r="A298">
        <f>IFERROR(INDEX('Email Cleaner'!$B$2:$B$10001,MATCH(297,'Email Cleaner'!$G$2:$G$10001,0)),"")</f>
        <v/>
      </c>
    </row>
    <row r="299">
      <c r="A299">
        <f>IFERROR(INDEX('Email Cleaner'!$B$2:$B$10001,MATCH(298,'Email Cleaner'!$G$2:$G$10001,0)),"")</f>
        <v/>
      </c>
    </row>
    <row r="300">
      <c r="A300">
        <f>IFERROR(INDEX('Email Cleaner'!$B$2:$B$10001,MATCH(299,'Email Cleaner'!$G$2:$G$10001,0)),"")</f>
        <v/>
      </c>
    </row>
    <row r="301">
      <c r="A301">
        <f>IFERROR(INDEX('Email Cleaner'!$B$2:$B$10001,MATCH(300,'Email Cleaner'!$G$2:$G$10001,0)),"")</f>
        <v/>
      </c>
    </row>
    <row r="302">
      <c r="A302">
        <f>IFERROR(INDEX('Email Cleaner'!$B$2:$B$10001,MATCH(301,'Email Cleaner'!$G$2:$G$10001,0)),"")</f>
        <v/>
      </c>
    </row>
    <row r="303">
      <c r="A303">
        <f>IFERROR(INDEX('Email Cleaner'!$B$2:$B$10001,MATCH(302,'Email Cleaner'!$G$2:$G$10001,0)),"")</f>
        <v/>
      </c>
    </row>
    <row r="304">
      <c r="A304">
        <f>IFERROR(INDEX('Email Cleaner'!$B$2:$B$10001,MATCH(303,'Email Cleaner'!$G$2:$G$10001,0)),"")</f>
        <v/>
      </c>
    </row>
    <row r="305">
      <c r="A305">
        <f>IFERROR(INDEX('Email Cleaner'!$B$2:$B$10001,MATCH(304,'Email Cleaner'!$G$2:$G$10001,0)),"")</f>
        <v/>
      </c>
    </row>
    <row r="306">
      <c r="A306">
        <f>IFERROR(INDEX('Email Cleaner'!$B$2:$B$10001,MATCH(305,'Email Cleaner'!$G$2:$G$10001,0)),"")</f>
        <v/>
      </c>
    </row>
    <row r="307">
      <c r="A307">
        <f>IFERROR(INDEX('Email Cleaner'!$B$2:$B$10001,MATCH(306,'Email Cleaner'!$G$2:$G$10001,0)),"")</f>
        <v/>
      </c>
    </row>
    <row r="308">
      <c r="A308">
        <f>IFERROR(INDEX('Email Cleaner'!$B$2:$B$10001,MATCH(307,'Email Cleaner'!$G$2:$G$10001,0)),"")</f>
        <v/>
      </c>
    </row>
    <row r="309">
      <c r="A309">
        <f>IFERROR(INDEX('Email Cleaner'!$B$2:$B$10001,MATCH(308,'Email Cleaner'!$G$2:$G$10001,0)),"")</f>
        <v/>
      </c>
    </row>
    <row r="310">
      <c r="A310">
        <f>IFERROR(INDEX('Email Cleaner'!$B$2:$B$10001,MATCH(309,'Email Cleaner'!$G$2:$G$10001,0)),"")</f>
        <v/>
      </c>
    </row>
    <row r="311">
      <c r="A311">
        <f>IFERROR(INDEX('Email Cleaner'!$B$2:$B$10001,MATCH(310,'Email Cleaner'!$G$2:$G$10001,0)),"")</f>
        <v/>
      </c>
    </row>
    <row r="312">
      <c r="A312">
        <f>IFERROR(INDEX('Email Cleaner'!$B$2:$B$10001,MATCH(311,'Email Cleaner'!$G$2:$G$10001,0)),"")</f>
        <v/>
      </c>
    </row>
    <row r="313">
      <c r="A313">
        <f>IFERROR(INDEX('Email Cleaner'!$B$2:$B$10001,MATCH(312,'Email Cleaner'!$G$2:$G$10001,0)),"")</f>
        <v/>
      </c>
    </row>
    <row r="314">
      <c r="A314">
        <f>IFERROR(INDEX('Email Cleaner'!$B$2:$B$10001,MATCH(313,'Email Cleaner'!$G$2:$G$10001,0)),"")</f>
        <v/>
      </c>
    </row>
    <row r="315">
      <c r="A315">
        <f>IFERROR(INDEX('Email Cleaner'!$B$2:$B$10001,MATCH(314,'Email Cleaner'!$G$2:$G$10001,0)),"")</f>
        <v/>
      </c>
    </row>
    <row r="316">
      <c r="A316">
        <f>IFERROR(INDEX('Email Cleaner'!$B$2:$B$10001,MATCH(315,'Email Cleaner'!$G$2:$G$10001,0)),"")</f>
        <v/>
      </c>
    </row>
    <row r="317">
      <c r="A317">
        <f>IFERROR(INDEX('Email Cleaner'!$B$2:$B$10001,MATCH(316,'Email Cleaner'!$G$2:$G$10001,0)),"")</f>
        <v/>
      </c>
    </row>
    <row r="318">
      <c r="A318">
        <f>IFERROR(INDEX('Email Cleaner'!$B$2:$B$10001,MATCH(317,'Email Cleaner'!$G$2:$G$10001,0)),"")</f>
        <v/>
      </c>
    </row>
    <row r="319">
      <c r="A319">
        <f>IFERROR(INDEX('Email Cleaner'!$B$2:$B$10001,MATCH(318,'Email Cleaner'!$G$2:$G$10001,0)),"")</f>
        <v/>
      </c>
    </row>
    <row r="320">
      <c r="A320">
        <f>IFERROR(INDEX('Email Cleaner'!$B$2:$B$10001,MATCH(319,'Email Cleaner'!$G$2:$G$10001,0)),"")</f>
        <v/>
      </c>
    </row>
    <row r="321">
      <c r="A321">
        <f>IFERROR(INDEX('Email Cleaner'!$B$2:$B$10001,MATCH(320,'Email Cleaner'!$G$2:$G$10001,0)),"")</f>
        <v/>
      </c>
    </row>
    <row r="322">
      <c r="A322">
        <f>IFERROR(INDEX('Email Cleaner'!$B$2:$B$10001,MATCH(321,'Email Cleaner'!$G$2:$G$10001,0)),"")</f>
        <v/>
      </c>
    </row>
    <row r="323">
      <c r="A323">
        <f>IFERROR(INDEX('Email Cleaner'!$B$2:$B$10001,MATCH(322,'Email Cleaner'!$G$2:$G$10001,0)),"")</f>
        <v/>
      </c>
    </row>
    <row r="324">
      <c r="A324">
        <f>IFERROR(INDEX('Email Cleaner'!$B$2:$B$10001,MATCH(323,'Email Cleaner'!$G$2:$G$10001,0)),"")</f>
        <v/>
      </c>
    </row>
    <row r="325">
      <c r="A325">
        <f>IFERROR(INDEX('Email Cleaner'!$B$2:$B$10001,MATCH(324,'Email Cleaner'!$G$2:$G$10001,0)),"")</f>
        <v/>
      </c>
    </row>
    <row r="326">
      <c r="A326">
        <f>IFERROR(INDEX('Email Cleaner'!$B$2:$B$10001,MATCH(325,'Email Cleaner'!$G$2:$G$10001,0)),"")</f>
        <v/>
      </c>
    </row>
    <row r="327">
      <c r="A327">
        <f>IFERROR(INDEX('Email Cleaner'!$B$2:$B$10001,MATCH(326,'Email Cleaner'!$G$2:$G$10001,0)),"")</f>
        <v/>
      </c>
    </row>
    <row r="328">
      <c r="A328">
        <f>IFERROR(INDEX('Email Cleaner'!$B$2:$B$10001,MATCH(327,'Email Cleaner'!$G$2:$G$10001,0)),"")</f>
        <v/>
      </c>
    </row>
    <row r="329">
      <c r="A329">
        <f>IFERROR(INDEX('Email Cleaner'!$B$2:$B$10001,MATCH(328,'Email Cleaner'!$G$2:$G$10001,0)),"")</f>
        <v/>
      </c>
    </row>
    <row r="330">
      <c r="A330">
        <f>IFERROR(INDEX('Email Cleaner'!$B$2:$B$10001,MATCH(329,'Email Cleaner'!$G$2:$G$10001,0)),"")</f>
        <v/>
      </c>
    </row>
    <row r="331">
      <c r="A331">
        <f>IFERROR(INDEX('Email Cleaner'!$B$2:$B$10001,MATCH(330,'Email Cleaner'!$G$2:$G$10001,0)),"")</f>
        <v/>
      </c>
    </row>
    <row r="332">
      <c r="A332">
        <f>IFERROR(INDEX('Email Cleaner'!$B$2:$B$10001,MATCH(331,'Email Cleaner'!$G$2:$G$10001,0)),"")</f>
        <v/>
      </c>
    </row>
    <row r="333">
      <c r="A333">
        <f>IFERROR(INDEX('Email Cleaner'!$B$2:$B$10001,MATCH(332,'Email Cleaner'!$G$2:$G$10001,0)),"")</f>
        <v/>
      </c>
    </row>
    <row r="334">
      <c r="A334">
        <f>IFERROR(INDEX('Email Cleaner'!$B$2:$B$10001,MATCH(333,'Email Cleaner'!$G$2:$G$10001,0)),"")</f>
        <v/>
      </c>
    </row>
    <row r="335">
      <c r="A335">
        <f>IFERROR(INDEX('Email Cleaner'!$B$2:$B$10001,MATCH(334,'Email Cleaner'!$G$2:$G$10001,0)),"")</f>
        <v/>
      </c>
    </row>
    <row r="336">
      <c r="A336">
        <f>IFERROR(INDEX('Email Cleaner'!$B$2:$B$10001,MATCH(335,'Email Cleaner'!$G$2:$G$10001,0)),"")</f>
        <v/>
      </c>
    </row>
    <row r="337">
      <c r="A337">
        <f>IFERROR(INDEX('Email Cleaner'!$B$2:$B$10001,MATCH(336,'Email Cleaner'!$G$2:$G$10001,0)),"")</f>
        <v/>
      </c>
    </row>
    <row r="338">
      <c r="A338">
        <f>IFERROR(INDEX('Email Cleaner'!$B$2:$B$10001,MATCH(337,'Email Cleaner'!$G$2:$G$10001,0)),"")</f>
        <v/>
      </c>
    </row>
    <row r="339">
      <c r="A339">
        <f>IFERROR(INDEX('Email Cleaner'!$B$2:$B$10001,MATCH(338,'Email Cleaner'!$G$2:$G$10001,0)),"")</f>
        <v/>
      </c>
    </row>
    <row r="340">
      <c r="A340">
        <f>IFERROR(INDEX('Email Cleaner'!$B$2:$B$10001,MATCH(339,'Email Cleaner'!$G$2:$G$10001,0)),"")</f>
        <v/>
      </c>
    </row>
    <row r="341">
      <c r="A341">
        <f>IFERROR(INDEX('Email Cleaner'!$B$2:$B$10001,MATCH(340,'Email Cleaner'!$G$2:$G$10001,0)),"")</f>
        <v/>
      </c>
    </row>
    <row r="342">
      <c r="A342">
        <f>IFERROR(INDEX('Email Cleaner'!$B$2:$B$10001,MATCH(341,'Email Cleaner'!$G$2:$G$10001,0)),"")</f>
        <v/>
      </c>
    </row>
    <row r="343">
      <c r="A343">
        <f>IFERROR(INDEX('Email Cleaner'!$B$2:$B$10001,MATCH(342,'Email Cleaner'!$G$2:$G$10001,0)),"")</f>
        <v/>
      </c>
    </row>
    <row r="344">
      <c r="A344">
        <f>IFERROR(INDEX('Email Cleaner'!$B$2:$B$10001,MATCH(343,'Email Cleaner'!$G$2:$G$10001,0)),"")</f>
        <v/>
      </c>
    </row>
    <row r="345">
      <c r="A345">
        <f>IFERROR(INDEX('Email Cleaner'!$B$2:$B$10001,MATCH(344,'Email Cleaner'!$G$2:$G$10001,0)),"")</f>
        <v/>
      </c>
    </row>
    <row r="346">
      <c r="A346">
        <f>IFERROR(INDEX('Email Cleaner'!$B$2:$B$10001,MATCH(345,'Email Cleaner'!$G$2:$G$10001,0)),"")</f>
        <v/>
      </c>
    </row>
    <row r="347">
      <c r="A347">
        <f>IFERROR(INDEX('Email Cleaner'!$B$2:$B$10001,MATCH(346,'Email Cleaner'!$G$2:$G$10001,0)),"")</f>
        <v/>
      </c>
    </row>
    <row r="348">
      <c r="A348">
        <f>IFERROR(INDEX('Email Cleaner'!$B$2:$B$10001,MATCH(347,'Email Cleaner'!$G$2:$G$10001,0)),"")</f>
        <v/>
      </c>
    </row>
    <row r="349">
      <c r="A349">
        <f>IFERROR(INDEX('Email Cleaner'!$B$2:$B$10001,MATCH(348,'Email Cleaner'!$G$2:$G$10001,0)),"")</f>
        <v/>
      </c>
    </row>
    <row r="350">
      <c r="A350">
        <f>IFERROR(INDEX('Email Cleaner'!$B$2:$B$10001,MATCH(349,'Email Cleaner'!$G$2:$G$10001,0)),"")</f>
        <v/>
      </c>
    </row>
    <row r="351">
      <c r="A351">
        <f>IFERROR(INDEX('Email Cleaner'!$B$2:$B$10001,MATCH(350,'Email Cleaner'!$G$2:$G$10001,0)),"")</f>
        <v/>
      </c>
    </row>
    <row r="352">
      <c r="A352">
        <f>IFERROR(INDEX('Email Cleaner'!$B$2:$B$10001,MATCH(351,'Email Cleaner'!$G$2:$G$10001,0)),"")</f>
        <v/>
      </c>
    </row>
    <row r="353">
      <c r="A353">
        <f>IFERROR(INDEX('Email Cleaner'!$B$2:$B$10001,MATCH(352,'Email Cleaner'!$G$2:$G$10001,0)),"")</f>
        <v/>
      </c>
    </row>
    <row r="354">
      <c r="A354">
        <f>IFERROR(INDEX('Email Cleaner'!$B$2:$B$10001,MATCH(353,'Email Cleaner'!$G$2:$G$10001,0)),"")</f>
        <v/>
      </c>
    </row>
    <row r="355">
      <c r="A355">
        <f>IFERROR(INDEX('Email Cleaner'!$B$2:$B$10001,MATCH(354,'Email Cleaner'!$G$2:$G$10001,0)),"")</f>
        <v/>
      </c>
    </row>
    <row r="356">
      <c r="A356">
        <f>IFERROR(INDEX('Email Cleaner'!$B$2:$B$10001,MATCH(355,'Email Cleaner'!$G$2:$G$10001,0)),"")</f>
        <v/>
      </c>
    </row>
    <row r="357">
      <c r="A357">
        <f>IFERROR(INDEX('Email Cleaner'!$B$2:$B$10001,MATCH(356,'Email Cleaner'!$G$2:$G$10001,0)),"")</f>
        <v/>
      </c>
    </row>
    <row r="358">
      <c r="A358">
        <f>IFERROR(INDEX('Email Cleaner'!$B$2:$B$10001,MATCH(357,'Email Cleaner'!$G$2:$G$10001,0)),"")</f>
        <v/>
      </c>
    </row>
    <row r="359">
      <c r="A359">
        <f>IFERROR(INDEX('Email Cleaner'!$B$2:$B$10001,MATCH(358,'Email Cleaner'!$G$2:$G$10001,0)),"")</f>
        <v/>
      </c>
    </row>
    <row r="360">
      <c r="A360">
        <f>IFERROR(INDEX('Email Cleaner'!$B$2:$B$10001,MATCH(359,'Email Cleaner'!$G$2:$G$10001,0)),"")</f>
        <v/>
      </c>
    </row>
    <row r="361">
      <c r="A361">
        <f>IFERROR(INDEX('Email Cleaner'!$B$2:$B$10001,MATCH(360,'Email Cleaner'!$G$2:$G$10001,0)),"")</f>
        <v/>
      </c>
    </row>
    <row r="362">
      <c r="A362">
        <f>IFERROR(INDEX('Email Cleaner'!$B$2:$B$10001,MATCH(361,'Email Cleaner'!$G$2:$G$10001,0)),"")</f>
        <v/>
      </c>
    </row>
    <row r="363">
      <c r="A363">
        <f>IFERROR(INDEX('Email Cleaner'!$B$2:$B$10001,MATCH(362,'Email Cleaner'!$G$2:$G$10001,0)),"")</f>
        <v/>
      </c>
    </row>
    <row r="364">
      <c r="A364">
        <f>IFERROR(INDEX('Email Cleaner'!$B$2:$B$10001,MATCH(363,'Email Cleaner'!$G$2:$G$10001,0)),"")</f>
        <v/>
      </c>
    </row>
    <row r="365">
      <c r="A365">
        <f>IFERROR(INDEX('Email Cleaner'!$B$2:$B$10001,MATCH(364,'Email Cleaner'!$G$2:$G$10001,0)),"")</f>
        <v/>
      </c>
    </row>
    <row r="366">
      <c r="A366">
        <f>IFERROR(INDEX('Email Cleaner'!$B$2:$B$10001,MATCH(365,'Email Cleaner'!$G$2:$G$10001,0)),"")</f>
        <v/>
      </c>
    </row>
    <row r="367">
      <c r="A367">
        <f>IFERROR(INDEX('Email Cleaner'!$B$2:$B$10001,MATCH(366,'Email Cleaner'!$G$2:$G$10001,0)),"")</f>
        <v/>
      </c>
    </row>
    <row r="368">
      <c r="A368">
        <f>IFERROR(INDEX('Email Cleaner'!$B$2:$B$10001,MATCH(367,'Email Cleaner'!$G$2:$G$10001,0)),"")</f>
        <v/>
      </c>
    </row>
    <row r="369">
      <c r="A369">
        <f>IFERROR(INDEX('Email Cleaner'!$B$2:$B$10001,MATCH(368,'Email Cleaner'!$G$2:$G$10001,0)),"")</f>
        <v/>
      </c>
    </row>
    <row r="370">
      <c r="A370">
        <f>IFERROR(INDEX('Email Cleaner'!$B$2:$B$10001,MATCH(369,'Email Cleaner'!$G$2:$G$10001,0)),"")</f>
        <v/>
      </c>
    </row>
    <row r="371">
      <c r="A371">
        <f>IFERROR(INDEX('Email Cleaner'!$B$2:$B$10001,MATCH(370,'Email Cleaner'!$G$2:$G$10001,0)),"")</f>
        <v/>
      </c>
    </row>
    <row r="372">
      <c r="A372">
        <f>IFERROR(INDEX('Email Cleaner'!$B$2:$B$10001,MATCH(371,'Email Cleaner'!$G$2:$G$10001,0)),"")</f>
        <v/>
      </c>
    </row>
    <row r="373">
      <c r="A373">
        <f>IFERROR(INDEX('Email Cleaner'!$B$2:$B$10001,MATCH(372,'Email Cleaner'!$G$2:$G$10001,0)),"")</f>
        <v/>
      </c>
    </row>
    <row r="374">
      <c r="A374">
        <f>IFERROR(INDEX('Email Cleaner'!$B$2:$B$10001,MATCH(373,'Email Cleaner'!$G$2:$G$10001,0)),"")</f>
        <v/>
      </c>
    </row>
    <row r="375">
      <c r="A375">
        <f>IFERROR(INDEX('Email Cleaner'!$B$2:$B$10001,MATCH(374,'Email Cleaner'!$G$2:$G$10001,0)),"")</f>
        <v/>
      </c>
    </row>
    <row r="376">
      <c r="A376">
        <f>IFERROR(INDEX('Email Cleaner'!$B$2:$B$10001,MATCH(375,'Email Cleaner'!$G$2:$G$10001,0)),"")</f>
        <v/>
      </c>
    </row>
    <row r="377">
      <c r="A377">
        <f>IFERROR(INDEX('Email Cleaner'!$B$2:$B$10001,MATCH(376,'Email Cleaner'!$G$2:$G$10001,0)),"")</f>
        <v/>
      </c>
    </row>
    <row r="378">
      <c r="A378">
        <f>IFERROR(INDEX('Email Cleaner'!$B$2:$B$10001,MATCH(377,'Email Cleaner'!$G$2:$G$10001,0)),"")</f>
        <v/>
      </c>
    </row>
    <row r="379">
      <c r="A379">
        <f>IFERROR(INDEX('Email Cleaner'!$B$2:$B$10001,MATCH(378,'Email Cleaner'!$G$2:$G$10001,0)),"")</f>
        <v/>
      </c>
    </row>
    <row r="380">
      <c r="A380">
        <f>IFERROR(INDEX('Email Cleaner'!$B$2:$B$10001,MATCH(379,'Email Cleaner'!$G$2:$G$10001,0)),"")</f>
        <v/>
      </c>
    </row>
    <row r="381">
      <c r="A381">
        <f>IFERROR(INDEX('Email Cleaner'!$B$2:$B$10001,MATCH(380,'Email Cleaner'!$G$2:$G$10001,0)),"")</f>
        <v/>
      </c>
    </row>
    <row r="382">
      <c r="A382">
        <f>IFERROR(INDEX('Email Cleaner'!$B$2:$B$10001,MATCH(381,'Email Cleaner'!$G$2:$G$10001,0)),"")</f>
        <v/>
      </c>
    </row>
    <row r="383">
      <c r="A383">
        <f>IFERROR(INDEX('Email Cleaner'!$B$2:$B$10001,MATCH(382,'Email Cleaner'!$G$2:$G$10001,0)),"")</f>
        <v/>
      </c>
    </row>
    <row r="384">
      <c r="A384">
        <f>IFERROR(INDEX('Email Cleaner'!$B$2:$B$10001,MATCH(383,'Email Cleaner'!$G$2:$G$10001,0)),"")</f>
        <v/>
      </c>
    </row>
    <row r="385">
      <c r="A385">
        <f>IFERROR(INDEX('Email Cleaner'!$B$2:$B$10001,MATCH(384,'Email Cleaner'!$G$2:$G$10001,0)),"")</f>
        <v/>
      </c>
    </row>
    <row r="386">
      <c r="A386">
        <f>IFERROR(INDEX('Email Cleaner'!$B$2:$B$10001,MATCH(385,'Email Cleaner'!$G$2:$G$10001,0)),"")</f>
        <v/>
      </c>
    </row>
    <row r="387">
      <c r="A387">
        <f>IFERROR(INDEX('Email Cleaner'!$B$2:$B$10001,MATCH(386,'Email Cleaner'!$G$2:$G$10001,0)),"")</f>
        <v/>
      </c>
    </row>
    <row r="388">
      <c r="A388">
        <f>IFERROR(INDEX('Email Cleaner'!$B$2:$B$10001,MATCH(387,'Email Cleaner'!$G$2:$G$10001,0)),"")</f>
        <v/>
      </c>
    </row>
    <row r="389">
      <c r="A389">
        <f>IFERROR(INDEX('Email Cleaner'!$B$2:$B$10001,MATCH(388,'Email Cleaner'!$G$2:$G$10001,0)),"")</f>
        <v/>
      </c>
    </row>
    <row r="390">
      <c r="A390">
        <f>IFERROR(INDEX('Email Cleaner'!$B$2:$B$10001,MATCH(389,'Email Cleaner'!$G$2:$G$10001,0)),"")</f>
        <v/>
      </c>
    </row>
    <row r="391">
      <c r="A391">
        <f>IFERROR(INDEX('Email Cleaner'!$B$2:$B$10001,MATCH(390,'Email Cleaner'!$G$2:$G$10001,0)),"")</f>
        <v/>
      </c>
    </row>
    <row r="392">
      <c r="A392">
        <f>IFERROR(INDEX('Email Cleaner'!$B$2:$B$10001,MATCH(391,'Email Cleaner'!$G$2:$G$10001,0)),"")</f>
        <v/>
      </c>
    </row>
    <row r="393">
      <c r="A393">
        <f>IFERROR(INDEX('Email Cleaner'!$B$2:$B$10001,MATCH(392,'Email Cleaner'!$G$2:$G$10001,0)),"")</f>
        <v/>
      </c>
    </row>
    <row r="394">
      <c r="A394">
        <f>IFERROR(INDEX('Email Cleaner'!$B$2:$B$10001,MATCH(393,'Email Cleaner'!$G$2:$G$10001,0)),"")</f>
        <v/>
      </c>
    </row>
    <row r="395">
      <c r="A395">
        <f>IFERROR(INDEX('Email Cleaner'!$B$2:$B$10001,MATCH(394,'Email Cleaner'!$G$2:$G$10001,0)),"")</f>
        <v/>
      </c>
    </row>
    <row r="396">
      <c r="A396">
        <f>IFERROR(INDEX('Email Cleaner'!$B$2:$B$10001,MATCH(395,'Email Cleaner'!$G$2:$G$10001,0)),"")</f>
        <v/>
      </c>
    </row>
    <row r="397">
      <c r="A397">
        <f>IFERROR(INDEX('Email Cleaner'!$B$2:$B$10001,MATCH(396,'Email Cleaner'!$G$2:$G$10001,0)),"")</f>
        <v/>
      </c>
    </row>
    <row r="398">
      <c r="A398">
        <f>IFERROR(INDEX('Email Cleaner'!$B$2:$B$10001,MATCH(397,'Email Cleaner'!$G$2:$G$10001,0)),"")</f>
        <v/>
      </c>
    </row>
    <row r="399">
      <c r="A399">
        <f>IFERROR(INDEX('Email Cleaner'!$B$2:$B$10001,MATCH(398,'Email Cleaner'!$G$2:$G$10001,0)),"")</f>
        <v/>
      </c>
    </row>
    <row r="400">
      <c r="A400">
        <f>IFERROR(INDEX('Email Cleaner'!$B$2:$B$10001,MATCH(399,'Email Cleaner'!$G$2:$G$10001,0)),"")</f>
        <v/>
      </c>
    </row>
    <row r="401">
      <c r="A401">
        <f>IFERROR(INDEX('Email Cleaner'!$B$2:$B$10001,MATCH(400,'Email Cleaner'!$G$2:$G$10001,0)),"")</f>
        <v/>
      </c>
    </row>
    <row r="402">
      <c r="A402">
        <f>IFERROR(INDEX('Email Cleaner'!$B$2:$B$10001,MATCH(401,'Email Cleaner'!$G$2:$G$10001,0)),"")</f>
        <v/>
      </c>
    </row>
    <row r="403">
      <c r="A403">
        <f>IFERROR(INDEX('Email Cleaner'!$B$2:$B$10001,MATCH(402,'Email Cleaner'!$G$2:$G$10001,0)),"")</f>
        <v/>
      </c>
    </row>
    <row r="404">
      <c r="A404">
        <f>IFERROR(INDEX('Email Cleaner'!$B$2:$B$10001,MATCH(403,'Email Cleaner'!$G$2:$G$10001,0)),"")</f>
        <v/>
      </c>
    </row>
    <row r="405">
      <c r="A405">
        <f>IFERROR(INDEX('Email Cleaner'!$B$2:$B$10001,MATCH(404,'Email Cleaner'!$G$2:$G$10001,0)),"")</f>
        <v/>
      </c>
    </row>
    <row r="406">
      <c r="A406">
        <f>IFERROR(INDEX('Email Cleaner'!$B$2:$B$10001,MATCH(405,'Email Cleaner'!$G$2:$G$10001,0)),"")</f>
        <v/>
      </c>
    </row>
    <row r="407">
      <c r="A407">
        <f>IFERROR(INDEX('Email Cleaner'!$B$2:$B$10001,MATCH(406,'Email Cleaner'!$G$2:$G$10001,0)),"")</f>
        <v/>
      </c>
    </row>
    <row r="408">
      <c r="A408">
        <f>IFERROR(INDEX('Email Cleaner'!$B$2:$B$10001,MATCH(407,'Email Cleaner'!$G$2:$G$10001,0)),"")</f>
        <v/>
      </c>
    </row>
    <row r="409">
      <c r="A409">
        <f>IFERROR(INDEX('Email Cleaner'!$B$2:$B$10001,MATCH(408,'Email Cleaner'!$G$2:$G$10001,0)),"")</f>
        <v/>
      </c>
    </row>
    <row r="410">
      <c r="A410">
        <f>IFERROR(INDEX('Email Cleaner'!$B$2:$B$10001,MATCH(409,'Email Cleaner'!$G$2:$G$10001,0)),"")</f>
        <v/>
      </c>
    </row>
    <row r="411">
      <c r="A411">
        <f>IFERROR(INDEX('Email Cleaner'!$B$2:$B$10001,MATCH(410,'Email Cleaner'!$G$2:$G$10001,0)),"")</f>
        <v/>
      </c>
    </row>
    <row r="412">
      <c r="A412">
        <f>IFERROR(INDEX('Email Cleaner'!$B$2:$B$10001,MATCH(411,'Email Cleaner'!$G$2:$G$10001,0)),"")</f>
        <v/>
      </c>
    </row>
    <row r="413">
      <c r="A413">
        <f>IFERROR(INDEX('Email Cleaner'!$B$2:$B$10001,MATCH(412,'Email Cleaner'!$G$2:$G$10001,0)),"")</f>
        <v/>
      </c>
    </row>
    <row r="414">
      <c r="A414">
        <f>IFERROR(INDEX('Email Cleaner'!$B$2:$B$10001,MATCH(413,'Email Cleaner'!$G$2:$G$10001,0)),"")</f>
        <v/>
      </c>
    </row>
    <row r="415">
      <c r="A415">
        <f>IFERROR(INDEX('Email Cleaner'!$B$2:$B$10001,MATCH(414,'Email Cleaner'!$G$2:$G$10001,0)),"")</f>
        <v/>
      </c>
    </row>
    <row r="416">
      <c r="A416">
        <f>IFERROR(INDEX('Email Cleaner'!$B$2:$B$10001,MATCH(415,'Email Cleaner'!$G$2:$G$10001,0)),"")</f>
        <v/>
      </c>
    </row>
    <row r="417">
      <c r="A417">
        <f>IFERROR(INDEX('Email Cleaner'!$B$2:$B$10001,MATCH(416,'Email Cleaner'!$G$2:$G$10001,0)),"")</f>
        <v/>
      </c>
    </row>
    <row r="418">
      <c r="A418">
        <f>IFERROR(INDEX('Email Cleaner'!$B$2:$B$10001,MATCH(417,'Email Cleaner'!$G$2:$G$10001,0)),"")</f>
        <v/>
      </c>
    </row>
    <row r="419">
      <c r="A419">
        <f>IFERROR(INDEX('Email Cleaner'!$B$2:$B$10001,MATCH(418,'Email Cleaner'!$G$2:$G$10001,0)),"")</f>
        <v/>
      </c>
    </row>
    <row r="420">
      <c r="A420">
        <f>IFERROR(INDEX('Email Cleaner'!$B$2:$B$10001,MATCH(419,'Email Cleaner'!$G$2:$G$10001,0)),"")</f>
        <v/>
      </c>
    </row>
    <row r="421">
      <c r="A421">
        <f>IFERROR(INDEX('Email Cleaner'!$B$2:$B$10001,MATCH(420,'Email Cleaner'!$G$2:$G$10001,0)),"")</f>
        <v/>
      </c>
    </row>
    <row r="422">
      <c r="A422">
        <f>IFERROR(INDEX('Email Cleaner'!$B$2:$B$10001,MATCH(421,'Email Cleaner'!$G$2:$G$10001,0)),"")</f>
        <v/>
      </c>
    </row>
    <row r="423">
      <c r="A423">
        <f>IFERROR(INDEX('Email Cleaner'!$B$2:$B$10001,MATCH(422,'Email Cleaner'!$G$2:$G$10001,0)),"")</f>
        <v/>
      </c>
    </row>
    <row r="424">
      <c r="A424">
        <f>IFERROR(INDEX('Email Cleaner'!$B$2:$B$10001,MATCH(423,'Email Cleaner'!$G$2:$G$10001,0)),"")</f>
        <v/>
      </c>
    </row>
    <row r="425">
      <c r="A425">
        <f>IFERROR(INDEX('Email Cleaner'!$B$2:$B$10001,MATCH(424,'Email Cleaner'!$G$2:$G$10001,0)),"")</f>
        <v/>
      </c>
    </row>
    <row r="426">
      <c r="A426">
        <f>IFERROR(INDEX('Email Cleaner'!$B$2:$B$10001,MATCH(425,'Email Cleaner'!$G$2:$G$10001,0)),"")</f>
        <v/>
      </c>
    </row>
    <row r="427">
      <c r="A427">
        <f>IFERROR(INDEX('Email Cleaner'!$B$2:$B$10001,MATCH(426,'Email Cleaner'!$G$2:$G$10001,0)),"")</f>
        <v/>
      </c>
    </row>
    <row r="428">
      <c r="A428">
        <f>IFERROR(INDEX('Email Cleaner'!$B$2:$B$10001,MATCH(427,'Email Cleaner'!$G$2:$G$10001,0)),"")</f>
        <v/>
      </c>
    </row>
    <row r="429">
      <c r="A429">
        <f>IFERROR(INDEX('Email Cleaner'!$B$2:$B$10001,MATCH(428,'Email Cleaner'!$G$2:$G$10001,0)),"")</f>
        <v/>
      </c>
    </row>
    <row r="430">
      <c r="A430">
        <f>IFERROR(INDEX('Email Cleaner'!$B$2:$B$10001,MATCH(429,'Email Cleaner'!$G$2:$G$10001,0)),"")</f>
        <v/>
      </c>
    </row>
    <row r="431">
      <c r="A431">
        <f>IFERROR(INDEX('Email Cleaner'!$B$2:$B$10001,MATCH(430,'Email Cleaner'!$G$2:$G$10001,0)),"")</f>
        <v/>
      </c>
    </row>
    <row r="432">
      <c r="A432">
        <f>IFERROR(INDEX('Email Cleaner'!$B$2:$B$10001,MATCH(431,'Email Cleaner'!$G$2:$G$10001,0)),"")</f>
        <v/>
      </c>
    </row>
    <row r="433">
      <c r="A433">
        <f>IFERROR(INDEX('Email Cleaner'!$B$2:$B$10001,MATCH(432,'Email Cleaner'!$G$2:$G$10001,0)),"")</f>
        <v/>
      </c>
    </row>
    <row r="434">
      <c r="A434">
        <f>IFERROR(INDEX('Email Cleaner'!$B$2:$B$10001,MATCH(433,'Email Cleaner'!$G$2:$G$10001,0)),"")</f>
        <v/>
      </c>
    </row>
    <row r="435">
      <c r="A435">
        <f>IFERROR(INDEX('Email Cleaner'!$B$2:$B$10001,MATCH(434,'Email Cleaner'!$G$2:$G$10001,0)),"")</f>
        <v/>
      </c>
    </row>
    <row r="436">
      <c r="A436">
        <f>IFERROR(INDEX('Email Cleaner'!$B$2:$B$10001,MATCH(435,'Email Cleaner'!$G$2:$G$10001,0)),"")</f>
        <v/>
      </c>
    </row>
    <row r="437">
      <c r="A437">
        <f>IFERROR(INDEX('Email Cleaner'!$B$2:$B$10001,MATCH(436,'Email Cleaner'!$G$2:$G$10001,0)),"")</f>
        <v/>
      </c>
    </row>
    <row r="438">
      <c r="A438">
        <f>IFERROR(INDEX('Email Cleaner'!$B$2:$B$10001,MATCH(437,'Email Cleaner'!$G$2:$G$10001,0)),"")</f>
        <v/>
      </c>
    </row>
    <row r="439">
      <c r="A439">
        <f>IFERROR(INDEX('Email Cleaner'!$B$2:$B$10001,MATCH(438,'Email Cleaner'!$G$2:$G$10001,0)),"")</f>
        <v/>
      </c>
    </row>
    <row r="440">
      <c r="A440">
        <f>IFERROR(INDEX('Email Cleaner'!$B$2:$B$10001,MATCH(439,'Email Cleaner'!$G$2:$G$10001,0)),"")</f>
        <v/>
      </c>
    </row>
    <row r="441">
      <c r="A441">
        <f>IFERROR(INDEX('Email Cleaner'!$B$2:$B$10001,MATCH(440,'Email Cleaner'!$G$2:$G$10001,0)),"")</f>
        <v/>
      </c>
    </row>
    <row r="442">
      <c r="A442">
        <f>IFERROR(INDEX('Email Cleaner'!$B$2:$B$10001,MATCH(441,'Email Cleaner'!$G$2:$G$10001,0)),"")</f>
        <v/>
      </c>
    </row>
    <row r="443">
      <c r="A443">
        <f>IFERROR(INDEX('Email Cleaner'!$B$2:$B$10001,MATCH(442,'Email Cleaner'!$G$2:$G$10001,0)),"")</f>
        <v/>
      </c>
    </row>
    <row r="444">
      <c r="A444">
        <f>IFERROR(INDEX('Email Cleaner'!$B$2:$B$10001,MATCH(443,'Email Cleaner'!$G$2:$G$10001,0)),"")</f>
        <v/>
      </c>
    </row>
    <row r="445">
      <c r="A445">
        <f>IFERROR(INDEX('Email Cleaner'!$B$2:$B$10001,MATCH(444,'Email Cleaner'!$G$2:$G$10001,0)),"")</f>
        <v/>
      </c>
    </row>
    <row r="446">
      <c r="A446">
        <f>IFERROR(INDEX('Email Cleaner'!$B$2:$B$10001,MATCH(445,'Email Cleaner'!$G$2:$G$10001,0)),"")</f>
        <v/>
      </c>
    </row>
    <row r="447">
      <c r="A447">
        <f>IFERROR(INDEX('Email Cleaner'!$B$2:$B$10001,MATCH(446,'Email Cleaner'!$G$2:$G$10001,0)),"")</f>
        <v/>
      </c>
    </row>
    <row r="448">
      <c r="A448">
        <f>IFERROR(INDEX('Email Cleaner'!$B$2:$B$10001,MATCH(447,'Email Cleaner'!$G$2:$G$10001,0)),"")</f>
        <v/>
      </c>
    </row>
    <row r="449">
      <c r="A449">
        <f>IFERROR(INDEX('Email Cleaner'!$B$2:$B$10001,MATCH(448,'Email Cleaner'!$G$2:$G$10001,0)),"")</f>
        <v/>
      </c>
    </row>
    <row r="450">
      <c r="A450">
        <f>IFERROR(INDEX('Email Cleaner'!$B$2:$B$10001,MATCH(449,'Email Cleaner'!$G$2:$G$10001,0)),"")</f>
        <v/>
      </c>
    </row>
    <row r="451">
      <c r="A451">
        <f>IFERROR(INDEX('Email Cleaner'!$B$2:$B$10001,MATCH(450,'Email Cleaner'!$G$2:$G$10001,0)),"")</f>
        <v/>
      </c>
    </row>
    <row r="452">
      <c r="A452">
        <f>IFERROR(INDEX('Email Cleaner'!$B$2:$B$10001,MATCH(451,'Email Cleaner'!$G$2:$G$10001,0)),"")</f>
        <v/>
      </c>
    </row>
    <row r="453">
      <c r="A453">
        <f>IFERROR(INDEX('Email Cleaner'!$B$2:$B$10001,MATCH(452,'Email Cleaner'!$G$2:$G$10001,0)),"")</f>
        <v/>
      </c>
    </row>
    <row r="454">
      <c r="A454">
        <f>IFERROR(INDEX('Email Cleaner'!$B$2:$B$10001,MATCH(453,'Email Cleaner'!$G$2:$G$10001,0)),"")</f>
        <v/>
      </c>
    </row>
    <row r="455">
      <c r="A455">
        <f>IFERROR(INDEX('Email Cleaner'!$B$2:$B$10001,MATCH(454,'Email Cleaner'!$G$2:$G$10001,0)),"")</f>
        <v/>
      </c>
    </row>
    <row r="456">
      <c r="A456">
        <f>IFERROR(INDEX('Email Cleaner'!$B$2:$B$10001,MATCH(455,'Email Cleaner'!$G$2:$G$10001,0)),"")</f>
        <v/>
      </c>
    </row>
    <row r="457">
      <c r="A457">
        <f>IFERROR(INDEX('Email Cleaner'!$B$2:$B$10001,MATCH(456,'Email Cleaner'!$G$2:$G$10001,0)),"")</f>
        <v/>
      </c>
    </row>
    <row r="458">
      <c r="A458">
        <f>IFERROR(INDEX('Email Cleaner'!$B$2:$B$10001,MATCH(457,'Email Cleaner'!$G$2:$G$10001,0)),"")</f>
        <v/>
      </c>
    </row>
    <row r="459">
      <c r="A459">
        <f>IFERROR(INDEX('Email Cleaner'!$B$2:$B$10001,MATCH(458,'Email Cleaner'!$G$2:$G$10001,0)),"")</f>
        <v/>
      </c>
    </row>
    <row r="460">
      <c r="A460">
        <f>IFERROR(INDEX('Email Cleaner'!$B$2:$B$10001,MATCH(459,'Email Cleaner'!$G$2:$G$10001,0)),"")</f>
        <v/>
      </c>
    </row>
    <row r="461">
      <c r="A461">
        <f>IFERROR(INDEX('Email Cleaner'!$B$2:$B$10001,MATCH(460,'Email Cleaner'!$G$2:$G$10001,0)),"")</f>
        <v/>
      </c>
    </row>
    <row r="462">
      <c r="A462">
        <f>IFERROR(INDEX('Email Cleaner'!$B$2:$B$10001,MATCH(461,'Email Cleaner'!$G$2:$G$10001,0)),"")</f>
        <v/>
      </c>
    </row>
    <row r="463">
      <c r="A463">
        <f>IFERROR(INDEX('Email Cleaner'!$B$2:$B$10001,MATCH(462,'Email Cleaner'!$G$2:$G$10001,0)),"")</f>
        <v/>
      </c>
    </row>
    <row r="464">
      <c r="A464">
        <f>IFERROR(INDEX('Email Cleaner'!$B$2:$B$10001,MATCH(463,'Email Cleaner'!$G$2:$G$10001,0)),"")</f>
        <v/>
      </c>
    </row>
    <row r="465">
      <c r="A465">
        <f>IFERROR(INDEX('Email Cleaner'!$B$2:$B$10001,MATCH(464,'Email Cleaner'!$G$2:$G$10001,0)),"")</f>
        <v/>
      </c>
    </row>
    <row r="466">
      <c r="A466">
        <f>IFERROR(INDEX('Email Cleaner'!$B$2:$B$10001,MATCH(465,'Email Cleaner'!$G$2:$G$10001,0)),"")</f>
        <v/>
      </c>
    </row>
    <row r="467">
      <c r="A467">
        <f>IFERROR(INDEX('Email Cleaner'!$B$2:$B$10001,MATCH(466,'Email Cleaner'!$G$2:$G$10001,0)),"")</f>
        <v/>
      </c>
    </row>
    <row r="468">
      <c r="A468">
        <f>IFERROR(INDEX('Email Cleaner'!$B$2:$B$10001,MATCH(467,'Email Cleaner'!$G$2:$G$10001,0)),"")</f>
        <v/>
      </c>
    </row>
    <row r="469">
      <c r="A469">
        <f>IFERROR(INDEX('Email Cleaner'!$B$2:$B$10001,MATCH(468,'Email Cleaner'!$G$2:$G$10001,0)),"")</f>
        <v/>
      </c>
    </row>
    <row r="470">
      <c r="A470">
        <f>IFERROR(INDEX('Email Cleaner'!$B$2:$B$10001,MATCH(469,'Email Cleaner'!$G$2:$G$10001,0)),"")</f>
        <v/>
      </c>
    </row>
    <row r="471">
      <c r="A471">
        <f>IFERROR(INDEX('Email Cleaner'!$B$2:$B$10001,MATCH(470,'Email Cleaner'!$G$2:$G$10001,0)),"")</f>
        <v/>
      </c>
    </row>
    <row r="472">
      <c r="A472">
        <f>IFERROR(INDEX('Email Cleaner'!$B$2:$B$10001,MATCH(471,'Email Cleaner'!$G$2:$G$10001,0)),"")</f>
        <v/>
      </c>
    </row>
    <row r="473">
      <c r="A473">
        <f>IFERROR(INDEX('Email Cleaner'!$B$2:$B$10001,MATCH(472,'Email Cleaner'!$G$2:$G$10001,0)),"")</f>
        <v/>
      </c>
    </row>
    <row r="474">
      <c r="A474">
        <f>IFERROR(INDEX('Email Cleaner'!$B$2:$B$10001,MATCH(473,'Email Cleaner'!$G$2:$G$10001,0)),"")</f>
        <v/>
      </c>
    </row>
    <row r="475">
      <c r="A475">
        <f>IFERROR(INDEX('Email Cleaner'!$B$2:$B$10001,MATCH(474,'Email Cleaner'!$G$2:$G$10001,0)),"")</f>
        <v/>
      </c>
    </row>
    <row r="476">
      <c r="A476">
        <f>IFERROR(INDEX('Email Cleaner'!$B$2:$B$10001,MATCH(475,'Email Cleaner'!$G$2:$G$10001,0)),"")</f>
        <v/>
      </c>
    </row>
    <row r="477">
      <c r="A477">
        <f>IFERROR(INDEX('Email Cleaner'!$B$2:$B$10001,MATCH(476,'Email Cleaner'!$G$2:$G$10001,0)),"")</f>
        <v/>
      </c>
    </row>
    <row r="478">
      <c r="A478">
        <f>IFERROR(INDEX('Email Cleaner'!$B$2:$B$10001,MATCH(477,'Email Cleaner'!$G$2:$G$10001,0)),"")</f>
        <v/>
      </c>
    </row>
    <row r="479">
      <c r="A479">
        <f>IFERROR(INDEX('Email Cleaner'!$B$2:$B$10001,MATCH(478,'Email Cleaner'!$G$2:$G$10001,0)),"")</f>
        <v/>
      </c>
    </row>
    <row r="480">
      <c r="A480">
        <f>IFERROR(INDEX('Email Cleaner'!$B$2:$B$10001,MATCH(479,'Email Cleaner'!$G$2:$G$10001,0)),"")</f>
        <v/>
      </c>
    </row>
    <row r="481">
      <c r="A481">
        <f>IFERROR(INDEX('Email Cleaner'!$B$2:$B$10001,MATCH(480,'Email Cleaner'!$G$2:$G$10001,0)),"")</f>
        <v/>
      </c>
    </row>
    <row r="482">
      <c r="A482">
        <f>IFERROR(INDEX('Email Cleaner'!$B$2:$B$10001,MATCH(481,'Email Cleaner'!$G$2:$G$10001,0)),"")</f>
        <v/>
      </c>
    </row>
    <row r="483">
      <c r="A483">
        <f>IFERROR(INDEX('Email Cleaner'!$B$2:$B$10001,MATCH(482,'Email Cleaner'!$G$2:$G$10001,0)),"")</f>
        <v/>
      </c>
    </row>
    <row r="484">
      <c r="A484">
        <f>IFERROR(INDEX('Email Cleaner'!$B$2:$B$10001,MATCH(483,'Email Cleaner'!$G$2:$G$10001,0)),"")</f>
        <v/>
      </c>
    </row>
    <row r="485">
      <c r="A485">
        <f>IFERROR(INDEX('Email Cleaner'!$B$2:$B$10001,MATCH(484,'Email Cleaner'!$G$2:$G$10001,0)),"")</f>
        <v/>
      </c>
    </row>
    <row r="486">
      <c r="A486">
        <f>IFERROR(INDEX('Email Cleaner'!$B$2:$B$10001,MATCH(485,'Email Cleaner'!$G$2:$G$10001,0)),"")</f>
        <v/>
      </c>
    </row>
    <row r="487">
      <c r="A487">
        <f>IFERROR(INDEX('Email Cleaner'!$B$2:$B$10001,MATCH(486,'Email Cleaner'!$G$2:$G$10001,0)),"")</f>
        <v/>
      </c>
    </row>
    <row r="488">
      <c r="A488">
        <f>IFERROR(INDEX('Email Cleaner'!$B$2:$B$10001,MATCH(487,'Email Cleaner'!$G$2:$G$10001,0)),"")</f>
        <v/>
      </c>
    </row>
    <row r="489">
      <c r="A489">
        <f>IFERROR(INDEX('Email Cleaner'!$B$2:$B$10001,MATCH(488,'Email Cleaner'!$G$2:$G$10001,0)),"")</f>
        <v/>
      </c>
    </row>
    <row r="490">
      <c r="A490">
        <f>IFERROR(INDEX('Email Cleaner'!$B$2:$B$10001,MATCH(489,'Email Cleaner'!$G$2:$G$10001,0)),"")</f>
        <v/>
      </c>
    </row>
    <row r="491">
      <c r="A491">
        <f>IFERROR(INDEX('Email Cleaner'!$B$2:$B$10001,MATCH(490,'Email Cleaner'!$G$2:$G$10001,0)),"")</f>
        <v/>
      </c>
    </row>
    <row r="492">
      <c r="A492">
        <f>IFERROR(INDEX('Email Cleaner'!$B$2:$B$10001,MATCH(491,'Email Cleaner'!$G$2:$G$10001,0)),"")</f>
        <v/>
      </c>
    </row>
    <row r="493">
      <c r="A493">
        <f>IFERROR(INDEX('Email Cleaner'!$B$2:$B$10001,MATCH(492,'Email Cleaner'!$G$2:$G$10001,0)),"")</f>
        <v/>
      </c>
    </row>
    <row r="494">
      <c r="A494">
        <f>IFERROR(INDEX('Email Cleaner'!$B$2:$B$10001,MATCH(493,'Email Cleaner'!$G$2:$G$10001,0)),"")</f>
        <v/>
      </c>
    </row>
    <row r="495">
      <c r="A495">
        <f>IFERROR(INDEX('Email Cleaner'!$B$2:$B$10001,MATCH(494,'Email Cleaner'!$G$2:$G$10001,0)),"")</f>
        <v/>
      </c>
    </row>
    <row r="496">
      <c r="A496">
        <f>IFERROR(INDEX('Email Cleaner'!$B$2:$B$10001,MATCH(495,'Email Cleaner'!$G$2:$G$10001,0)),"")</f>
        <v/>
      </c>
    </row>
    <row r="497">
      <c r="A497">
        <f>IFERROR(INDEX('Email Cleaner'!$B$2:$B$10001,MATCH(496,'Email Cleaner'!$G$2:$G$10001,0)),"")</f>
        <v/>
      </c>
    </row>
    <row r="498">
      <c r="A498">
        <f>IFERROR(INDEX('Email Cleaner'!$B$2:$B$10001,MATCH(497,'Email Cleaner'!$G$2:$G$10001,0)),"")</f>
        <v/>
      </c>
    </row>
    <row r="499">
      <c r="A499">
        <f>IFERROR(INDEX('Email Cleaner'!$B$2:$B$10001,MATCH(498,'Email Cleaner'!$G$2:$G$10001,0)),"")</f>
        <v/>
      </c>
    </row>
    <row r="500">
      <c r="A500">
        <f>IFERROR(INDEX('Email Cleaner'!$B$2:$B$10001,MATCH(499,'Email Cleaner'!$G$2:$G$10001,0)),"")</f>
        <v/>
      </c>
    </row>
    <row r="501">
      <c r="A501">
        <f>IFERROR(INDEX('Email Cleaner'!$B$2:$B$10001,MATCH(500,'Email Cleaner'!$G$2:$G$10001,0)),"")</f>
        <v/>
      </c>
    </row>
    <row r="502">
      <c r="A502">
        <f>IFERROR(INDEX('Email Cleaner'!$B$2:$B$10001,MATCH(501,'Email Cleaner'!$G$2:$G$10001,0)),"")</f>
        <v/>
      </c>
    </row>
    <row r="503">
      <c r="A503">
        <f>IFERROR(INDEX('Email Cleaner'!$B$2:$B$10001,MATCH(502,'Email Cleaner'!$G$2:$G$10001,0)),"")</f>
        <v/>
      </c>
    </row>
    <row r="504">
      <c r="A504">
        <f>IFERROR(INDEX('Email Cleaner'!$B$2:$B$10001,MATCH(503,'Email Cleaner'!$G$2:$G$10001,0)),"")</f>
        <v/>
      </c>
    </row>
    <row r="505">
      <c r="A505">
        <f>IFERROR(INDEX('Email Cleaner'!$B$2:$B$10001,MATCH(504,'Email Cleaner'!$G$2:$G$10001,0)),"")</f>
        <v/>
      </c>
    </row>
    <row r="506">
      <c r="A506">
        <f>IFERROR(INDEX('Email Cleaner'!$B$2:$B$10001,MATCH(505,'Email Cleaner'!$G$2:$G$10001,0)),"")</f>
        <v/>
      </c>
    </row>
    <row r="507">
      <c r="A507">
        <f>IFERROR(INDEX('Email Cleaner'!$B$2:$B$10001,MATCH(506,'Email Cleaner'!$G$2:$G$10001,0)),"")</f>
        <v/>
      </c>
    </row>
    <row r="508">
      <c r="A508">
        <f>IFERROR(INDEX('Email Cleaner'!$B$2:$B$10001,MATCH(507,'Email Cleaner'!$G$2:$G$10001,0)),"")</f>
        <v/>
      </c>
    </row>
    <row r="509">
      <c r="A509">
        <f>IFERROR(INDEX('Email Cleaner'!$B$2:$B$10001,MATCH(508,'Email Cleaner'!$G$2:$G$10001,0)),"")</f>
        <v/>
      </c>
    </row>
    <row r="510">
      <c r="A510">
        <f>IFERROR(INDEX('Email Cleaner'!$B$2:$B$10001,MATCH(509,'Email Cleaner'!$G$2:$G$10001,0)),"")</f>
        <v/>
      </c>
    </row>
    <row r="511">
      <c r="A511">
        <f>IFERROR(INDEX('Email Cleaner'!$B$2:$B$10001,MATCH(510,'Email Cleaner'!$G$2:$G$10001,0)),"")</f>
        <v/>
      </c>
    </row>
    <row r="512">
      <c r="A512">
        <f>IFERROR(INDEX('Email Cleaner'!$B$2:$B$10001,MATCH(511,'Email Cleaner'!$G$2:$G$10001,0)),"")</f>
        <v/>
      </c>
    </row>
    <row r="513">
      <c r="A513">
        <f>IFERROR(INDEX('Email Cleaner'!$B$2:$B$10001,MATCH(512,'Email Cleaner'!$G$2:$G$10001,0)),"")</f>
        <v/>
      </c>
    </row>
    <row r="514">
      <c r="A514">
        <f>IFERROR(INDEX('Email Cleaner'!$B$2:$B$10001,MATCH(513,'Email Cleaner'!$G$2:$G$10001,0)),"")</f>
        <v/>
      </c>
    </row>
    <row r="515">
      <c r="A515">
        <f>IFERROR(INDEX('Email Cleaner'!$B$2:$B$10001,MATCH(514,'Email Cleaner'!$G$2:$G$10001,0)),"")</f>
        <v/>
      </c>
    </row>
    <row r="516">
      <c r="A516">
        <f>IFERROR(INDEX('Email Cleaner'!$B$2:$B$10001,MATCH(515,'Email Cleaner'!$G$2:$G$10001,0)),"")</f>
        <v/>
      </c>
    </row>
    <row r="517">
      <c r="A517">
        <f>IFERROR(INDEX('Email Cleaner'!$B$2:$B$10001,MATCH(516,'Email Cleaner'!$G$2:$G$10001,0)),"")</f>
        <v/>
      </c>
    </row>
    <row r="518">
      <c r="A518">
        <f>IFERROR(INDEX('Email Cleaner'!$B$2:$B$10001,MATCH(517,'Email Cleaner'!$G$2:$G$10001,0)),"")</f>
        <v/>
      </c>
    </row>
    <row r="519">
      <c r="A519">
        <f>IFERROR(INDEX('Email Cleaner'!$B$2:$B$10001,MATCH(518,'Email Cleaner'!$G$2:$G$10001,0)),"")</f>
        <v/>
      </c>
    </row>
    <row r="520">
      <c r="A520">
        <f>IFERROR(INDEX('Email Cleaner'!$B$2:$B$10001,MATCH(519,'Email Cleaner'!$G$2:$G$10001,0)),"")</f>
        <v/>
      </c>
    </row>
    <row r="521">
      <c r="A521">
        <f>IFERROR(INDEX('Email Cleaner'!$B$2:$B$10001,MATCH(520,'Email Cleaner'!$G$2:$G$10001,0)),"")</f>
        <v/>
      </c>
    </row>
    <row r="522">
      <c r="A522">
        <f>IFERROR(INDEX('Email Cleaner'!$B$2:$B$10001,MATCH(521,'Email Cleaner'!$G$2:$G$10001,0)),"")</f>
        <v/>
      </c>
    </row>
    <row r="523">
      <c r="A523">
        <f>IFERROR(INDEX('Email Cleaner'!$B$2:$B$10001,MATCH(522,'Email Cleaner'!$G$2:$G$10001,0)),"")</f>
        <v/>
      </c>
    </row>
    <row r="524">
      <c r="A524">
        <f>IFERROR(INDEX('Email Cleaner'!$B$2:$B$10001,MATCH(523,'Email Cleaner'!$G$2:$G$10001,0)),"")</f>
        <v/>
      </c>
    </row>
    <row r="525">
      <c r="A525">
        <f>IFERROR(INDEX('Email Cleaner'!$B$2:$B$10001,MATCH(524,'Email Cleaner'!$G$2:$G$10001,0)),"")</f>
        <v/>
      </c>
    </row>
    <row r="526">
      <c r="A526">
        <f>IFERROR(INDEX('Email Cleaner'!$B$2:$B$10001,MATCH(525,'Email Cleaner'!$G$2:$G$10001,0)),"")</f>
        <v/>
      </c>
    </row>
    <row r="527">
      <c r="A527">
        <f>IFERROR(INDEX('Email Cleaner'!$B$2:$B$10001,MATCH(526,'Email Cleaner'!$G$2:$G$10001,0)),"")</f>
        <v/>
      </c>
    </row>
    <row r="528">
      <c r="A528">
        <f>IFERROR(INDEX('Email Cleaner'!$B$2:$B$10001,MATCH(527,'Email Cleaner'!$G$2:$G$10001,0)),"")</f>
        <v/>
      </c>
    </row>
    <row r="529">
      <c r="A529">
        <f>IFERROR(INDEX('Email Cleaner'!$B$2:$B$10001,MATCH(528,'Email Cleaner'!$G$2:$G$10001,0)),"")</f>
        <v/>
      </c>
    </row>
    <row r="530">
      <c r="A530">
        <f>IFERROR(INDEX('Email Cleaner'!$B$2:$B$10001,MATCH(529,'Email Cleaner'!$G$2:$G$10001,0)),"")</f>
        <v/>
      </c>
    </row>
    <row r="531">
      <c r="A531">
        <f>IFERROR(INDEX('Email Cleaner'!$B$2:$B$10001,MATCH(530,'Email Cleaner'!$G$2:$G$10001,0)),"")</f>
        <v/>
      </c>
    </row>
    <row r="532">
      <c r="A532">
        <f>IFERROR(INDEX('Email Cleaner'!$B$2:$B$10001,MATCH(531,'Email Cleaner'!$G$2:$G$10001,0)),"")</f>
        <v/>
      </c>
    </row>
    <row r="533">
      <c r="A533">
        <f>IFERROR(INDEX('Email Cleaner'!$B$2:$B$10001,MATCH(532,'Email Cleaner'!$G$2:$G$10001,0)),"")</f>
        <v/>
      </c>
    </row>
    <row r="534">
      <c r="A534">
        <f>IFERROR(INDEX('Email Cleaner'!$B$2:$B$10001,MATCH(533,'Email Cleaner'!$G$2:$G$10001,0)),"")</f>
        <v/>
      </c>
    </row>
    <row r="535">
      <c r="A535">
        <f>IFERROR(INDEX('Email Cleaner'!$B$2:$B$10001,MATCH(534,'Email Cleaner'!$G$2:$G$10001,0)),"")</f>
        <v/>
      </c>
    </row>
    <row r="536">
      <c r="A536">
        <f>IFERROR(INDEX('Email Cleaner'!$B$2:$B$10001,MATCH(535,'Email Cleaner'!$G$2:$G$10001,0)),"")</f>
        <v/>
      </c>
    </row>
    <row r="537">
      <c r="A537">
        <f>IFERROR(INDEX('Email Cleaner'!$B$2:$B$10001,MATCH(536,'Email Cleaner'!$G$2:$G$10001,0)),"")</f>
        <v/>
      </c>
    </row>
    <row r="538">
      <c r="A538">
        <f>IFERROR(INDEX('Email Cleaner'!$B$2:$B$10001,MATCH(537,'Email Cleaner'!$G$2:$G$10001,0)),"")</f>
        <v/>
      </c>
    </row>
    <row r="539">
      <c r="A539">
        <f>IFERROR(INDEX('Email Cleaner'!$B$2:$B$10001,MATCH(538,'Email Cleaner'!$G$2:$G$10001,0)),"")</f>
        <v/>
      </c>
    </row>
    <row r="540">
      <c r="A540">
        <f>IFERROR(INDEX('Email Cleaner'!$B$2:$B$10001,MATCH(539,'Email Cleaner'!$G$2:$G$10001,0)),"")</f>
        <v/>
      </c>
    </row>
    <row r="541">
      <c r="A541">
        <f>IFERROR(INDEX('Email Cleaner'!$B$2:$B$10001,MATCH(540,'Email Cleaner'!$G$2:$G$10001,0)),"")</f>
        <v/>
      </c>
    </row>
    <row r="542">
      <c r="A542">
        <f>IFERROR(INDEX('Email Cleaner'!$B$2:$B$10001,MATCH(541,'Email Cleaner'!$G$2:$G$10001,0)),"")</f>
        <v/>
      </c>
    </row>
    <row r="543">
      <c r="A543">
        <f>IFERROR(INDEX('Email Cleaner'!$B$2:$B$10001,MATCH(542,'Email Cleaner'!$G$2:$G$10001,0)),"")</f>
        <v/>
      </c>
    </row>
    <row r="544">
      <c r="A544">
        <f>IFERROR(INDEX('Email Cleaner'!$B$2:$B$10001,MATCH(543,'Email Cleaner'!$G$2:$G$10001,0)),"")</f>
        <v/>
      </c>
    </row>
    <row r="545">
      <c r="A545">
        <f>IFERROR(INDEX('Email Cleaner'!$B$2:$B$10001,MATCH(544,'Email Cleaner'!$G$2:$G$10001,0)),"")</f>
        <v/>
      </c>
    </row>
    <row r="546">
      <c r="A546">
        <f>IFERROR(INDEX('Email Cleaner'!$B$2:$B$10001,MATCH(545,'Email Cleaner'!$G$2:$G$10001,0)),"")</f>
        <v/>
      </c>
    </row>
    <row r="547">
      <c r="A547">
        <f>IFERROR(INDEX('Email Cleaner'!$B$2:$B$10001,MATCH(546,'Email Cleaner'!$G$2:$G$10001,0)),"")</f>
        <v/>
      </c>
    </row>
    <row r="548">
      <c r="A548">
        <f>IFERROR(INDEX('Email Cleaner'!$B$2:$B$10001,MATCH(547,'Email Cleaner'!$G$2:$G$10001,0)),"")</f>
        <v/>
      </c>
    </row>
    <row r="549">
      <c r="A549">
        <f>IFERROR(INDEX('Email Cleaner'!$B$2:$B$10001,MATCH(548,'Email Cleaner'!$G$2:$G$10001,0)),"")</f>
        <v/>
      </c>
    </row>
    <row r="550">
      <c r="A550">
        <f>IFERROR(INDEX('Email Cleaner'!$B$2:$B$10001,MATCH(549,'Email Cleaner'!$G$2:$G$10001,0)),"")</f>
        <v/>
      </c>
    </row>
    <row r="551">
      <c r="A551">
        <f>IFERROR(INDEX('Email Cleaner'!$B$2:$B$10001,MATCH(550,'Email Cleaner'!$G$2:$G$10001,0)),"")</f>
        <v/>
      </c>
    </row>
    <row r="552">
      <c r="A552">
        <f>IFERROR(INDEX('Email Cleaner'!$B$2:$B$10001,MATCH(551,'Email Cleaner'!$G$2:$G$10001,0)),"")</f>
        <v/>
      </c>
    </row>
    <row r="553">
      <c r="A553">
        <f>IFERROR(INDEX('Email Cleaner'!$B$2:$B$10001,MATCH(552,'Email Cleaner'!$G$2:$G$10001,0)),"")</f>
        <v/>
      </c>
    </row>
    <row r="554">
      <c r="A554">
        <f>IFERROR(INDEX('Email Cleaner'!$B$2:$B$10001,MATCH(553,'Email Cleaner'!$G$2:$G$10001,0)),"")</f>
        <v/>
      </c>
    </row>
    <row r="555">
      <c r="A555">
        <f>IFERROR(INDEX('Email Cleaner'!$B$2:$B$10001,MATCH(554,'Email Cleaner'!$G$2:$G$10001,0)),"")</f>
        <v/>
      </c>
    </row>
    <row r="556">
      <c r="A556">
        <f>IFERROR(INDEX('Email Cleaner'!$B$2:$B$10001,MATCH(555,'Email Cleaner'!$G$2:$G$10001,0)),"")</f>
        <v/>
      </c>
    </row>
    <row r="557">
      <c r="A557">
        <f>IFERROR(INDEX('Email Cleaner'!$B$2:$B$10001,MATCH(556,'Email Cleaner'!$G$2:$G$10001,0)),"")</f>
        <v/>
      </c>
    </row>
    <row r="558">
      <c r="A558">
        <f>IFERROR(INDEX('Email Cleaner'!$B$2:$B$10001,MATCH(557,'Email Cleaner'!$G$2:$G$10001,0)),"")</f>
        <v/>
      </c>
    </row>
    <row r="559">
      <c r="A559">
        <f>IFERROR(INDEX('Email Cleaner'!$B$2:$B$10001,MATCH(558,'Email Cleaner'!$G$2:$G$10001,0)),"")</f>
        <v/>
      </c>
    </row>
    <row r="560">
      <c r="A560">
        <f>IFERROR(INDEX('Email Cleaner'!$B$2:$B$10001,MATCH(559,'Email Cleaner'!$G$2:$G$10001,0)),"")</f>
        <v/>
      </c>
    </row>
    <row r="561">
      <c r="A561">
        <f>IFERROR(INDEX('Email Cleaner'!$B$2:$B$10001,MATCH(560,'Email Cleaner'!$G$2:$G$10001,0)),"")</f>
        <v/>
      </c>
    </row>
    <row r="562">
      <c r="A562">
        <f>IFERROR(INDEX('Email Cleaner'!$B$2:$B$10001,MATCH(561,'Email Cleaner'!$G$2:$G$10001,0)),"")</f>
        <v/>
      </c>
    </row>
    <row r="563">
      <c r="A563">
        <f>IFERROR(INDEX('Email Cleaner'!$B$2:$B$10001,MATCH(562,'Email Cleaner'!$G$2:$G$10001,0)),"")</f>
        <v/>
      </c>
    </row>
    <row r="564">
      <c r="A564">
        <f>IFERROR(INDEX('Email Cleaner'!$B$2:$B$10001,MATCH(563,'Email Cleaner'!$G$2:$G$10001,0)),"")</f>
        <v/>
      </c>
    </row>
    <row r="565">
      <c r="A565">
        <f>IFERROR(INDEX('Email Cleaner'!$B$2:$B$10001,MATCH(564,'Email Cleaner'!$G$2:$G$10001,0)),"")</f>
        <v/>
      </c>
    </row>
    <row r="566">
      <c r="A566">
        <f>IFERROR(INDEX('Email Cleaner'!$B$2:$B$10001,MATCH(565,'Email Cleaner'!$G$2:$G$10001,0)),"")</f>
        <v/>
      </c>
    </row>
    <row r="567">
      <c r="A567">
        <f>IFERROR(INDEX('Email Cleaner'!$B$2:$B$10001,MATCH(566,'Email Cleaner'!$G$2:$G$10001,0)),"")</f>
        <v/>
      </c>
    </row>
    <row r="568">
      <c r="A568">
        <f>IFERROR(INDEX('Email Cleaner'!$B$2:$B$10001,MATCH(567,'Email Cleaner'!$G$2:$G$10001,0)),"")</f>
        <v/>
      </c>
    </row>
    <row r="569">
      <c r="A569">
        <f>IFERROR(INDEX('Email Cleaner'!$B$2:$B$10001,MATCH(568,'Email Cleaner'!$G$2:$G$10001,0)),"")</f>
        <v/>
      </c>
    </row>
    <row r="570">
      <c r="A570">
        <f>IFERROR(INDEX('Email Cleaner'!$B$2:$B$10001,MATCH(569,'Email Cleaner'!$G$2:$G$10001,0)),"")</f>
        <v/>
      </c>
    </row>
    <row r="571">
      <c r="A571">
        <f>IFERROR(INDEX('Email Cleaner'!$B$2:$B$10001,MATCH(570,'Email Cleaner'!$G$2:$G$10001,0)),"")</f>
        <v/>
      </c>
    </row>
    <row r="572">
      <c r="A572">
        <f>IFERROR(INDEX('Email Cleaner'!$B$2:$B$10001,MATCH(571,'Email Cleaner'!$G$2:$G$10001,0)),"")</f>
        <v/>
      </c>
    </row>
    <row r="573">
      <c r="A573">
        <f>IFERROR(INDEX('Email Cleaner'!$B$2:$B$10001,MATCH(572,'Email Cleaner'!$G$2:$G$10001,0)),"")</f>
        <v/>
      </c>
    </row>
    <row r="574">
      <c r="A574">
        <f>IFERROR(INDEX('Email Cleaner'!$B$2:$B$10001,MATCH(573,'Email Cleaner'!$G$2:$G$10001,0)),"")</f>
        <v/>
      </c>
    </row>
    <row r="575">
      <c r="A575">
        <f>IFERROR(INDEX('Email Cleaner'!$B$2:$B$10001,MATCH(574,'Email Cleaner'!$G$2:$G$10001,0)),"")</f>
        <v/>
      </c>
    </row>
    <row r="576">
      <c r="A576">
        <f>IFERROR(INDEX('Email Cleaner'!$B$2:$B$10001,MATCH(575,'Email Cleaner'!$G$2:$G$10001,0)),"")</f>
        <v/>
      </c>
    </row>
    <row r="577">
      <c r="A577">
        <f>IFERROR(INDEX('Email Cleaner'!$B$2:$B$10001,MATCH(576,'Email Cleaner'!$G$2:$G$10001,0)),"")</f>
        <v/>
      </c>
    </row>
    <row r="578">
      <c r="A578">
        <f>IFERROR(INDEX('Email Cleaner'!$B$2:$B$10001,MATCH(577,'Email Cleaner'!$G$2:$G$10001,0)),"")</f>
        <v/>
      </c>
    </row>
    <row r="579">
      <c r="A579">
        <f>IFERROR(INDEX('Email Cleaner'!$B$2:$B$10001,MATCH(578,'Email Cleaner'!$G$2:$G$10001,0)),"")</f>
        <v/>
      </c>
    </row>
    <row r="580">
      <c r="A580">
        <f>IFERROR(INDEX('Email Cleaner'!$B$2:$B$10001,MATCH(579,'Email Cleaner'!$G$2:$G$10001,0)),"")</f>
        <v/>
      </c>
    </row>
    <row r="581">
      <c r="A581">
        <f>IFERROR(INDEX('Email Cleaner'!$B$2:$B$10001,MATCH(580,'Email Cleaner'!$G$2:$G$10001,0)),"")</f>
        <v/>
      </c>
    </row>
    <row r="582">
      <c r="A582">
        <f>IFERROR(INDEX('Email Cleaner'!$B$2:$B$10001,MATCH(581,'Email Cleaner'!$G$2:$G$10001,0)),"")</f>
        <v/>
      </c>
    </row>
    <row r="583">
      <c r="A583">
        <f>IFERROR(INDEX('Email Cleaner'!$B$2:$B$10001,MATCH(582,'Email Cleaner'!$G$2:$G$10001,0)),"")</f>
        <v/>
      </c>
    </row>
    <row r="584">
      <c r="A584">
        <f>IFERROR(INDEX('Email Cleaner'!$B$2:$B$10001,MATCH(583,'Email Cleaner'!$G$2:$G$10001,0)),"")</f>
        <v/>
      </c>
    </row>
    <row r="585">
      <c r="A585">
        <f>IFERROR(INDEX('Email Cleaner'!$B$2:$B$10001,MATCH(584,'Email Cleaner'!$G$2:$G$10001,0)),"")</f>
        <v/>
      </c>
    </row>
    <row r="586">
      <c r="A586">
        <f>IFERROR(INDEX('Email Cleaner'!$B$2:$B$10001,MATCH(585,'Email Cleaner'!$G$2:$G$10001,0)),"")</f>
        <v/>
      </c>
    </row>
    <row r="587">
      <c r="A587">
        <f>IFERROR(INDEX('Email Cleaner'!$B$2:$B$10001,MATCH(586,'Email Cleaner'!$G$2:$G$10001,0)),"")</f>
        <v/>
      </c>
    </row>
    <row r="588">
      <c r="A588">
        <f>IFERROR(INDEX('Email Cleaner'!$B$2:$B$10001,MATCH(587,'Email Cleaner'!$G$2:$G$10001,0)),"")</f>
        <v/>
      </c>
    </row>
    <row r="589">
      <c r="A589">
        <f>IFERROR(INDEX('Email Cleaner'!$B$2:$B$10001,MATCH(588,'Email Cleaner'!$G$2:$G$10001,0)),"")</f>
        <v/>
      </c>
    </row>
    <row r="590">
      <c r="A590">
        <f>IFERROR(INDEX('Email Cleaner'!$B$2:$B$10001,MATCH(589,'Email Cleaner'!$G$2:$G$10001,0)),"")</f>
        <v/>
      </c>
    </row>
    <row r="591">
      <c r="A591">
        <f>IFERROR(INDEX('Email Cleaner'!$B$2:$B$10001,MATCH(590,'Email Cleaner'!$G$2:$G$10001,0)),"")</f>
        <v/>
      </c>
    </row>
    <row r="592">
      <c r="A592">
        <f>IFERROR(INDEX('Email Cleaner'!$B$2:$B$10001,MATCH(591,'Email Cleaner'!$G$2:$G$10001,0)),"")</f>
        <v/>
      </c>
    </row>
    <row r="593">
      <c r="A593">
        <f>IFERROR(INDEX('Email Cleaner'!$B$2:$B$10001,MATCH(592,'Email Cleaner'!$G$2:$G$10001,0)),"")</f>
        <v/>
      </c>
    </row>
    <row r="594">
      <c r="A594">
        <f>IFERROR(INDEX('Email Cleaner'!$B$2:$B$10001,MATCH(593,'Email Cleaner'!$G$2:$G$10001,0)),"")</f>
        <v/>
      </c>
    </row>
    <row r="595">
      <c r="A595">
        <f>IFERROR(INDEX('Email Cleaner'!$B$2:$B$10001,MATCH(594,'Email Cleaner'!$G$2:$G$10001,0)),"")</f>
        <v/>
      </c>
    </row>
    <row r="596">
      <c r="A596">
        <f>IFERROR(INDEX('Email Cleaner'!$B$2:$B$10001,MATCH(595,'Email Cleaner'!$G$2:$G$10001,0)),"")</f>
        <v/>
      </c>
    </row>
    <row r="597">
      <c r="A597">
        <f>IFERROR(INDEX('Email Cleaner'!$B$2:$B$10001,MATCH(596,'Email Cleaner'!$G$2:$G$10001,0)),"")</f>
        <v/>
      </c>
    </row>
    <row r="598">
      <c r="A598">
        <f>IFERROR(INDEX('Email Cleaner'!$B$2:$B$10001,MATCH(597,'Email Cleaner'!$G$2:$G$10001,0)),"")</f>
        <v/>
      </c>
    </row>
    <row r="599">
      <c r="A599">
        <f>IFERROR(INDEX('Email Cleaner'!$B$2:$B$10001,MATCH(598,'Email Cleaner'!$G$2:$G$10001,0)),"")</f>
        <v/>
      </c>
    </row>
    <row r="600">
      <c r="A600">
        <f>IFERROR(INDEX('Email Cleaner'!$B$2:$B$10001,MATCH(599,'Email Cleaner'!$G$2:$G$10001,0)),"")</f>
        <v/>
      </c>
    </row>
    <row r="601">
      <c r="A601">
        <f>IFERROR(INDEX('Email Cleaner'!$B$2:$B$10001,MATCH(600,'Email Cleaner'!$G$2:$G$10001,0)),"")</f>
        <v/>
      </c>
    </row>
    <row r="602">
      <c r="A602">
        <f>IFERROR(INDEX('Email Cleaner'!$B$2:$B$10001,MATCH(601,'Email Cleaner'!$G$2:$G$10001,0)),"")</f>
        <v/>
      </c>
    </row>
    <row r="603">
      <c r="A603">
        <f>IFERROR(INDEX('Email Cleaner'!$B$2:$B$10001,MATCH(602,'Email Cleaner'!$G$2:$G$10001,0)),"")</f>
        <v/>
      </c>
    </row>
    <row r="604">
      <c r="A604">
        <f>IFERROR(INDEX('Email Cleaner'!$B$2:$B$10001,MATCH(603,'Email Cleaner'!$G$2:$G$10001,0)),"")</f>
        <v/>
      </c>
    </row>
    <row r="605">
      <c r="A605">
        <f>IFERROR(INDEX('Email Cleaner'!$B$2:$B$10001,MATCH(604,'Email Cleaner'!$G$2:$G$10001,0)),"")</f>
        <v/>
      </c>
    </row>
    <row r="606">
      <c r="A606">
        <f>IFERROR(INDEX('Email Cleaner'!$B$2:$B$10001,MATCH(605,'Email Cleaner'!$G$2:$G$10001,0)),"")</f>
        <v/>
      </c>
    </row>
    <row r="607">
      <c r="A607">
        <f>IFERROR(INDEX('Email Cleaner'!$B$2:$B$10001,MATCH(606,'Email Cleaner'!$G$2:$G$10001,0)),"")</f>
        <v/>
      </c>
    </row>
    <row r="608">
      <c r="A608">
        <f>IFERROR(INDEX('Email Cleaner'!$B$2:$B$10001,MATCH(607,'Email Cleaner'!$G$2:$G$10001,0)),"")</f>
        <v/>
      </c>
    </row>
    <row r="609">
      <c r="A609">
        <f>IFERROR(INDEX('Email Cleaner'!$B$2:$B$10001,MATCH(608,'Email Cleaner'!$G$2:$G$10001,0)),"")</f>
        <v/>
      </c>
    </row>
    <row r="610">
      <c r="A610">
        <f>IFERROR(INDEX('Email Cleaner'!$B$2:$B$10001,MATCH(609,'Email Cleaner'!$G$2:$G$10001,0)),"")</f>
        <v/>
      </c>
    </row>
    <row r="611">
      <c r="A611">
        <f>IFERROR(INDEX('Email Cleaner'!$B$2:$B$10001,MATCH(610,'Email Cleaner'!$G$2:$G$10001,0)),"")</f>
        <v/>
      </c>
    </row>
    <row r="612">
      <c r="A612">
        <f>IFERROR(INDEX('Email Cleaner'!$B$2:$B$10001,MATCH(611,'Email Cleaner'!$G$2:$G$10001,0)),"")</f>
        <v/>
      </c>
    </row>
    <row r="613">
      <c r="A613">
        <f>IFERROR(INDEX('Email Cleaner'!$B$2:$B$10001,MATCH(612,'Email Cleaner'!$G$2:$G$10001,0)),"")</f>
        <v/>
      </c>
    </row>
    <row r="614">
      <c r="A614">
        <f>IFERROR(INDEX('Email Cleaner'!$B$2:$B$10001,MATCH(613,'Email Cleaner'!$G$2:$G$10001,0)),"")</f>
        <v/>
      </c>
    </row>
    <row r="615">
      <c r="A615">
        <f>IFERROR(INDEX('Email Cleaner'!$B$2:$B$10001,MATCH(614,'Email Cleaner'!$G$2:$G$10001,0)),"")</f>
        <v/>
      </c>
    </row>
    <row r="616">
      <c r="A616">
        <f>IFERROR(INDEX('Email Cleaner'!$B$2:$B$10001,MATCH(615,'Email Cleaner'!$G$2:$G$10001,0)),"")</f>
        <v/>
      </c>
    </row>
    <row r="617">
      <c r="A617">
        <f>IFERROR(INDEX('Email Cleaner'!$B$2:$B$10001,MATCH(616,'Email Cleaner'!$G$2:$G$10001,0)),"")</f>
        <v/>
      </c>
    </row>
    <row r="618">
      <c r="A618">
        <f>IFERROR(INDEX('Email Cleaner'!$B$2:$B$10001,MATCH(617,'Email Cleaner'!$G$2:$G$10001,0)),"")</f>
        <v/>
      </c>
    </row>
    <row r="619">
      <c r="A619">
        <f>IFERROR(INDEX('Email Cleaner'!$B$2:$B$10001,MATCH(618,'Email Cleaner'!$G$2:$G$10001,0)),"")</f>
        <v/>
      </c>
    </row>
    <row r="620">
      <c r="A620">
        <f>IFERROR(INDEX('Email Cleaner'!$B$2:$B$10001,MATCH(619,'Email Cleaner'!$G$2:$G$10001,0)),"")</f>
        <v/>
      </c>
    </row>
    <row r="621">
      <c r="A621">
        <f>IFERROR(INDEX('Email Cleaner'!$B$2:$B$10001,MATCH(620,'Email Cleaner'!$G$2:$G$10001,0)),"")</f>
        <v/>
      </c>
    </row>
    <row r="622">
      <c r="A622">
        <f>IFERROR(INDEX('Email Cleaner'!$B$2:$B$10001,MATCH(621,'Email Cleaner'!$G$2:$G$10001,0)),"")</f>
        <v/>
      </c>
    </row>
    <row r="623">
      <c r="A623">
        <f>IFERROR(INDEX('Email Cleaner'!$B$2:$B$10001,MATCH(622,'Email Cleaner'!$G$2:$G$10001,0)),"")</f>
        <v/>
      </c>
    </row>
    <row r="624">
      <c r="A624">
        <f>IFERROR(INDEX('Email Cleaner'!$B$2:$B$10001,MATCH(623,'Email Cleaner'!$G$2:$G$10001,0)),"")</f>
        <v/>
      </c>
    </row>
    <row r="625">
      <c r="A625">
        <f>IFERROR(INDEX('Email Cleaner'!$B$2:$B$10001,MATCH(624,'Email Cleaner'!$G$2:$G$10001,0)),"")</f>
        <v/>
      </c>
    </row>
    <row r="626">
      <c r="A626">
        <f>IFERROR(INDEX('Email Cleaner'!$B$2:$B$10001,MATCH(625,'Email Cleaner'!$G$2:$G$10001,0)),"")</f>
        <v/>
      </c>
    </row>
    <row r="627">
      <c r="A627">
        <f>IFERROR(INDEX('Email Cleaner'!$B$2:$B$10001,MATCH(626,'Email Cleaner'!$G$2:$G$10001,0)),"")</f>
        <v/>
      </c>
    </row>
    <row r="628">
      <c r="A628">
        <f>IFERROR(INDEX('Email Cleaner'!$B$2:$B$10001,MATCH(627,'Email Cleaner'!$G$2:$G$10001,0)),"")</f>
        <v/>
      </c>
    </row>
    <row r="629">
      <c r="A629">
        <f>IFERROR(INDEX('Email Cleaner'!$B$2:$B$10001,MATCH(628,'Email Cleaner'!$G$2:$G$10001,0)),"")</f>
        <v/>
      </c>
    </row>
    <row r="630">
      <c r="A630">
        <f>IFERROR(INDEX('Email Cleaner'!$B$2:$B$10001,MATCH(629,'Email Cleaner'!$G$2:$G$10001,0)),"")</f>
        <v/>
      </c>
    </row>
    <row r="631">
      <c r="A631">
        <f>IFERROR(INDEX('Email Cleaner'!$B$2:$B$10001,MATCH(630,'Email Cleaner'!$G$2:$G$10001,0)),"")</f>
        <v/>
      </c>
    </row>
    <row r="632">
      <c r="A632">
        <f>IFERROR(INDEX('Email Cleaner'!$B$2:$B$10001,MATCH(631,'Email Cleaner'!$G$2:$G$10001,0)),"")</f>
        <v/>
      </c>
    </row>
    <row r="633">
      <c r="A633">
        <f>IFERROR(INDEX('Email Cleaner'!$B$2:$B$10001,MATCH(632,'Email Cleaner'!$G$2:$G$10001,0)),"")</f>
        <v/>
      </c>
    </row>
    <row r="634">
      <c r="A634">
        <f>IFERROR(INDEX('Email Cleaner'!$B$2:$B$10001,MATCH(633,'Email Cleaner'!$G$2:$G$10001,0)),"")</f>
        <v/>
      </c>
    </row>
    <row r="635">
      <c r="A635">
        <f>IFERROR(INDEX('Email Cleaner'!$B$2:$B$10001,MATCH(634,'Email Cleaner'!$G$2:$G$10001,0)),"")</f>
        <v/>
      </c>
    </row>
    <row r="636">
      <c r="A636">
        <f>IFERROR(INDEX('Email Cleaner'!$B$2:$B$10001,MATCH(635,'Email Cleaner'!$G$2:$G$10001,0)),"")</f>
        <v/>
      </c>
    </row>
    <row r="637">
      <c r="A637">
        <f>IFERROR(INDEX('Email Cleaner'!$B$2:$B$10001,MATCH(636,'Email Cleaner'!$G$2:$G$10001,0)),"")</f>
        <v/>
      </c>
    </row>
    <row r="638">
      <c r="A638">
        <f>IFERROR(INDEX('Email Cleaner'!$B$2:$B$10001,MATCH(637,'Email Cleaner'!$G$2:$G$10001,0)),"")</f>
        <v/>
      </c>
    </row>
    <row r="639">
      <c r="A639">
        <f>IFERROR(INDEX('Email Cleaner'!$B$2:$B$10001,MATCH(638,'Email Cleaner'!$G$2:$G$10001,0)),"")</f>
        <v/>
      </c>
    </row>
    <row r="640">
      <c r="A640">
        <f>IFERROR(INDEX('Email Cleaner'!$B$2:$B$10001,MATCH(639,'Email Cleaner'!$G$2:$G$10001,0)),"")</f>
        <v/>
      </c>
    </row>
    <row r="641">
      <c r="A641">
        <f>IFERROR(INDEX('Email Cleaner'!$B$2:$B$10001,MATCH(640,'Email Cleaner'!$G$2:$G$10001,0)),"")</f>
        <v/>
      </c>
    </row>
    <row r="642">
      <c r="A642">
        <f>IFERROR(INDEX('Email Cleaner'!$B$2:$B$10001,MATCH(641,'Email Cleaner'!$G$2:$G$10001,0)),"")</f>
        <v/>
      </c>
    </row>
    <row r="643">
      <c r="A643">
        <f>IFERROR(INDEX('Email Cleaner'!$B$2:$B$10001,MATCH(642,'Email Cleaner'!$G$2:$G$10001,0)),"")</f>
        <v/>
      </c>
    </row>
    <row r="644">
      <c r="A644">
        <f>IFERROR(INDEX('Email Cleaner'!$B$2:$B$10001,MATCH(643,'Email Cleaner'!$G$2:$G$10001,0)),"")</f>
        <v/>
      </c>
    </row>
    <row r="645">
      <c r="A645">
        <f>IFERROR(INDEX('Email Cleaner'!$B$2:$B$10001,MATCH(644,'Email Cleaner'!$G$2:$G$10001,0)),"")</f>
        <v/>
      </c>
    </row>
    <row r="646">
      <c r="A646">
        <f>IFERROR(INDEX('Email Cleaner'!$B$2:$B$10001,MATCH(645,'Email Cleaner'!$G$2:$G$10001,0)),"")</f>
        <v/>
      </c>
    </row>
    <row r="647">
      <c r="A647">
        <f>IFERROR(INDEX('Email Cleaner'!$B$2:$B$10001,MATCH(646,'Email Cleaner'!$G$2:$G$10001,0)),"")</f>
        <v/>
      </c>
    </row>
    <row r="648">
      <c r="A648">
        <f>IFERROR(INDEX('Email Cleaner'!$B$2:$B$10001,MATCH(647,'Email Cleaner'!$G$2:$G$10001,0)),"")</f>
        <v/>
      </c>
    </row>
    <row r="649">
      <c r="A649">
        <f>IFERROR(INDEX('Email Cleaner'!$B$2:$B$10001,MATCH(648,'Email Cleaner'!$G$2:$G$10001,0)),"")</f>
        <v/>
      </c>
    </row>
    <row r="650">
      <c r="A650">
        <f>IFERROR(INDEX('Email Cleaner'!$B$2:$B$10001,MATCH(649,'Email Cleaner'!$G$2:$G$10001,0)),"")</f>
        <v/>
      </c>
    </row>
    <row r="651">
      <c r="A651">
        <f>IFERROR(INDEX('Email Cleaner'!$B$2:$B$10001,MATCH(650,'Email Cleaner'!$G$2:$G$10001,0)),"")</f>
        <v/>
      </c>
    </row>
    <row r="652">
      <c r="A652">
        <f>IFERROR(INDEX('Email Cleaner'!$B$2:$B$10001,MATCH(651,'Email Cleaner'!$G$2:$G$10001,0)),"")</f>
        <v/>
      </c>
    </row>
    <row r="653">
      <c r="A653">
        <f>IFERROR(INDEX('Email Cleaner'!$B$2:$B$10001,MATCH(652,'Email Cleaner'!$G$2:$G$10001,0)),"")</f>
        <v/>
      </c>
    </row>
    <row r="654">
      <c r="A654">
        <f>IFERROR(INDEX('Email Cleaner'!$B$2:$B$10001,MATCH(653,'Email Cleaner'!$G$2:$G$10001,0)),"")</f>
        <v/>
      </c>
    </row>
    <row r="655">
      <c r="A655">
        <f>IFERROR(INDEX('Email Cleaner'!$B$2:$B$10001,MATCH(654,'Email Cleaner'!$G$2:$G$10001,0)),"")</f>
        <v/>
      </c>
    </row>
    <row r="656">
      <c r="A656">
        <f>IFERROR(INDEX('Email Cleaner'!$B$2:$B$10001,MATCH(655,'Email Cleaner'!$G$2:$G$10001,0)),"")</f>
        <v/>
      </c>
    </row>
    <row r="657">
      <c r="A657">
        <f>IFERROR(INDEX('Email Cleaner'!$B$2:$B$10001,MATCH(656,'Email Cleaner'!$G$2:$G$10001,0)),"")</f>
        <v/>
      </c>
    </row>
    <row r="658">
      <c r="A658">
        <f>IFERROR(INDEX('Email Cleaner'!$B$2:$B$10001,MATCH(657,'Email Cleaner'!$G$2:$G$10001,0)),"")</f>
        <v/>
      </c>
    </row>
    <row r="659">
      <c r="A659">
        <f>IFERROR(INDEX('Email Cleaner'!$B$2:$B$10001,MATCH(658,'Email Cleaner'!$G$2:$G$10001,0)),"")</f>
        <v/>
      </c>
    </row>
    <row r="660">
      <c r="A660">
        <f>IFERROR(INDEX('Email Cleaner'!$B$2:$B$10001,MATCH(659,'Email Cleaner'!$G$2:$G$10001,0)),"")</f>
        <v/>
      </c>
    </row>
    <row r="661">
      <c r="A661">
        <f>IFERROR(INDEX('Email Cleaner'!$B$2:$B$10001,MATCH(660,'Email Cleaner'!$G$2:$G$10001,0)),"")</f>
        <v/>
      </c>
    </row>
    <row r="662">
      <c r="A662">
        <f>IFERROR(INDEX('Email Cleaner'!$B$2:$B$10001,MATCH(661,'Email Cleaner'!$G$2:$G$10001,0)),"")</f>
        <v/>
      </c>
    </row>
    <row r="663">
      <c r="A663">
        <f>IFERROR(INDEX('Email Cleaner'!$B$2:$B$10001,MATCH(662,'Email Cleaner'!$G$2:$G$10001,0)),"")</f>
        <v/>
      </c>
    </row>
    <row r="664">
      <c r="A664">
        <f>IFERROR(INDEX('Email Cleaner'!$B$2:$B$10001,MATCH(663,'Email Cleaner'!$G$2:$G$10001,0)),"")</f>
        <v/>
      </c>
    </row>
    <row r="665">
      <c r="A665">
        <f>IFERROR(INDEX('Email Cleaner'!$B$2:$B$10001,MATCH(664,'Email Cleaner'!$G$2:$G$10001,0)),"")</f>
        <v/>
      </c>
    </row>
    <row r="666">
      <c r="A666">
        <f>IFERROR(INDEX('Email Cleaner'!$B$2:$B$10001,MATCH(665,'Email Cleaner'!$G$2:$G$10001,0)),"")</f>
        <v/>
      </c>
    </row>
    <row r="667">
      <c r="A667">
        <f>IFERROR(INDEX('Email Cleaner'!$B$2:$B$10001,MATCH(666,'Email Cleaner'!$G$2:$G$10001,0)),"")</f>
        <v/>
      </c>
    </row>
    <row r="668">
      <c r="A668">
        <f>IFERROR(INDEX('Email Cleaner'!$B$2:$B$10001,MATCH(667,'Email Cleaner'!$G$2:$G$10001,0)),"")</f>
        <v/>
      </c>
    </row>
    <row r="669">
      <c r="A669">
        <f>IFERROR(INDEX('Email Cleaner'!$B$2:$B$10001,MATCH(668,'Email Cleaner'!$G$2:$G$10001,0)),"")</f>
        <v/>
      </c>
    </row>
    <row r="670">
      <c r="A670">
        <f>IFERROR(INDEX('Email Cleaner'!$B$2:$B$10001,MATCH(669,'Email Cleaner'!$G$2:$G$10001,0)),"")</f>
        <v/>
      </c>
    </row>
    <row r="671">
      <c r="A671">
        <f>IFERROR(INDEX('Email Cleaner'!$B$2:$B$10001,MATCH(670,'Email Cleaner'!$G$2:$G$10001,0)),"")</f>
        <v/>
      </c>
    </row>
    <row r="672">
      <c r="A672">
        <f>IFERROR(INDEX('Email Cleaner'!$B$2:$B$10001,MATCH(671,'Email Cleaner'!$G$2:$G$10001,0)),"")</f>
        <v/>
      </c>
    </row>
    <row r="673">
      <c r="A673">
        <f>IFERROR(INDEX('Email Cleaner'!$B$2:$B$10001,MATCH(672,'Email Cleaner'!$G$2:$G$10001,0)),"")</f>
        <v/>
      </c>
    </row>
    <row r="674">
      <c r="A674">
        <f>IFERROR(INDEX('Email Cleaner'!$B$2:$B$10001,MATCH(673,'Email Cleaner'!$G$2:$G$10001,0)),"")</f>
        <v/>
      </c>
    </row>
    <row r="675">
      <c r="A675">
        <f>IFERROR(INDEX('Email Cleaner'!$B$2:$B$10001,MATCH(674,'Email Cleaner'!$G$2:$G$10001,0)),"")</f>
        <v/>
      </c>
    </row>
    <row r="676">
      <c r="A676">
        <f>IFERROR(INDEX('Email Cleaner'!$B$2:$B$10001,MATCH(675,'Email Cleaner'!$G$2:$G$10001,0)),"")</f>
        <v/>
      </c>
    </row>
    <row r="677">
      <c r="A677">
        <f>IFERROR(INDEX('Email Cleaner'!$B$2:$B$10001,MATCH(676,'Email Cleaner'!$G$2:$G$10001,0)),"")</f>
        <v/>
      </c>
    </row>
    <row r="678">
      <c r="A678">
        <f>IFERROR(INDEX('Email Cleaner'!$B$2:$B$10001,MATCH(677,'Email Cleaner'!$G$2:$G$10001,0)),"")</f>
        <v/>
      </c>
    </row>
    <row r="679">
      <c r="A679">
        <f>IFERROR(INDEX('Email Cleaner'!$B$2:$B$10001,MATCH(678,'Email Cleaner'!$G$2:$G$10001,0)),"")</f>
        <v/>
      </c>
    </row>
    <row r="680">
      <c r="A680">
        <f>IFERROR(INDEX('Email Cleaner'!$B$2:$B$10001,MATCH(679,'Email Cleaner'!$G$2:$G$10001,0)),"")</f>
        <v/>
      </c>
    </row>
    <row r="681">
      <c r="A681">
        <f>IFERROR(INDEX('Email Cleaner'!$B$2:$B$10001,MATCH(680,'Email Cleaner'!$G$2:$G$10001,0)),"")</f>
        <v/>
      </c>
    </row>
    <row r="682">
      <c r="A682">
        <f>IFERROR(INDEX('Email Cleaner'!$B$2:$B$10001,MATCH(681,'Email Cleaner'!$G$2:$G$10001,0)),"")</f>
        <v/>
      </c>
    </row>
    <row r="683">
      <c r="A683">
        <f>IFERROR(INDEX('Email Cleaner'!$B$2:$B$10001,MATCH(682,'Email Cleaner'!$G$2:$G$10001,0)),"")</f>
        <v/>
      </c>
    </row>
    <row r="684">
      <c r="A684">
        <f>IFERROR(INDEX('Email Cleaner'!$B$2:$B$10001,MATCH(683,'Email Cleaner'!$G$2:$G$10001,0)),"")</f>
        <v/>
      </c>
    </row>
    <row r="685">
      <c r="A685">
        <f>IFERROR(INDEX('Email Cleaner'!$B$2:$B$10001,MATCH(684,'Email Cleaner'!$G$2:$G$10001,0)),"")</f>
        <v/>
      </c>
    </row>
    <row r="686">
      <c r="A686">
        <f>IFERROR(INDEX('Email Cleaner'!$B$2:$B$10001,MATCH(685,'Email Cleaner'!$G$2:$G$10001,0)),"")</f>
        <v/>
      </c>
    </row>
    <row r="687">
      <c r="A687">
        <f>IFERROR(INDEX('Email Cleaner'!$B$2:$B$10001,MATCH(686,'Email Cleaner'!$G$2:$G$10001,0)),"")</f>
        <v/>
      </c>
    </row>
    <row r="688">
      <c r="A688">
        <f>IFERROR(INDEX('Email Cleaner'!$B$2:$B$10001,MATCH(687,'Email Cleaner'!$G$2:$G$10001,0)),"")</f>
        <v/>
      </c>
    </row>
    <row r="689">
      <c r="A689">
        <f>IFERROR(INDEX('Email Cleaner'!$B$2:$B$10001,MATCH(688,'Email Cleaner'!$G$2:$G$10001,0)),"")</f>
        <v/>
      </c>
    </row>
    <row r="690">
      <c r="A690">
        <f>IFERROR(INDEX('Email Cleaner'!$B$2:$B$10001,MATCH(689,'Email Cleaner'!$G$2:$G$10001,0)),"")</f>
        <v/>
      </c>
    </row>
    <row r="691">
      <c r="A691">
        <f>IFERROR(INDEX('Email Cleaner'!$B$2:$B$10001,MATCH(690,'Email Cleaner'!$G$2:$G$10001,0)),"")</f>
        <v/>
      </c>
    </row>
    <row r="692">
      <c r="A692">
        <f>IFERROR(INDEX('Email Cleaner'!$B$2:$B$10001,MATCH(691,'Email Cleaner'!$G$2:$G$10001,0)),"")</f>
        <v/>
      </c>
    </row>
    <row r="693">
      <c r="A693">
        <f>IFERROR(INDEX('Email Cleaner'!$B$2:$B$10001,MATCH(692,'Email Cleaner'!$G$2:$G$10001,0)),"")</f>
        <v/>
      </c>
    </row>
    <row r="694">
      <c r="A694">
        <f>IFERROR(INDEX('Email Cleaner'!$B$2:$B$10001,MATCH(693,'Email Cleaner'!$G$2:$G$10001,0)),"")</f>
        <v/>
      </c>
    </row>
    <row r="695">
      <c r="A695">
        <f>IFERROR(INDEX('Email Cleaner'!$B$2:$B$10001,MATCH(694,'Email Cleaner'!$G$2:$G$10001,0)),"")</f>
        <v/>
      </c>
    </row>
    <row r="696">
      <c r="A696">
        <f>IFERROR(INDEX('Email Cleaner'!$B$2:$B$10001,MATCH(695,'Email Cleaner'!$G$2:$G$10001,0)),"")</f>
        <v/>
      </c>
    </row>
    <row r="697">
      <c r="A697">
        <f>IFERROR(INDEX('Email Cleaner'!$B$2:$B$10001,MATCH(696,'Email Cleaner'!$G$2:$G$10001,0)),"")</f>
        <v/>
      </c>
    </row>
    <row r="698">
      <c r="A698">
        <f>IFERROR(INDEX('Email Cleaner'!$B$2:$B$10001,MATCH(697,'Email Cleaner'!$G$2:$G$10001,0)),"")</f>
        <v/>
      </c>
    </row>
    <row r="699">
      <c r="A699">
        <f>IFERROR(INDEX('Email Cleaner'!$B$2:$B$10001,MATCH(698,'Email Cleaner'!$G$2:$G$10001,0)),"")</f>
        <v/>
      </c>
    </row>
    <row r="700">
      <c r="A700">
        <f>IFERROR(INDEX('Email Cleaner'!$B$2:$B$10001,MATCH(699,'Email Cleaner'!$G$2:$G$10001,0)),"")</f>
        <v/>
      </c>
    </row>
    <row r="701">
      <c r="A701">
        <f>IFERROR(INDEX('Email Cleaner'!$B$2:$B$10001,MATCH(700,'Email Cleaner'!$G$2:$G$10001,0)),"")</f>
        <v/>
      </c>
    </row>
    <row r="702">
      <c r="A702">
        <f>IFERROR(INDEX('Email Cleaner'!$B$2:$B$10001,MATCH(701,'Email Cleaner'!$G$2:$G$10001,0)),"")</f>
        <v/>
      </c>
    </row>
    <row r="703">
      <c r="A703">
        <f>IFERROR(INDEX('Email Cleaner'!$B$2:$B$10001,MATCH(702,'Email Cleaner'!$G$2:$G$10001,0)),"")</f>
        <v/>
      </c>
    </row>
    <row r="704">
      <c r="A704">
        <f>IFERROR(INDEX('Email Cleaner'!$B$2:$B$10001,MATCH(703,'Email Cleaner'!$G$2:$G$10001,0)),"")</f>
        <v/>
      </c>
    </row>
    <row r="705">
      <c r="A705">
        <f>IFERROR(INDEX('Email Cleaner'!$B$2:$B$10001,MATCH(704,'Email Cleaner'!$G$2:$G$10001,0)),"")</f>
        <v/>
      </c>
    </row>
    <row r="706">
      <c r="A706">
        <f>IFERROR(INDEX('Email Cleaner'!$B$2:$B$10001,MATCH(705,'Email Cleaner'!$G$2:$G$10001,0)),"")</f>
        <v/>
      </c>
    </row>
    <row r="707">
      <c r="A707">
        <f>IFERROR(INDEX('Email Cleaner'!$B$2:$B$10001,MATCH(706,'Email Cleaner'!$G$2:$G$10001,0)),"")</f>
        <v/>
      </c>
    </row>
    <row r="708">
      <c r="A708">
        <f>IFERROR(INDEX('Email Cleaner'!$B$2:$B$10001,MATCH(707,'Email Cleaner'!$G$2:$G$10001,0)),"")</f>
        <v/>
      </c>
    </row>
    <row r="709">
      <c r="A709">
        <f>IFERROR(INDEX('Email Cleaner'!$B$2:$B$10001,MATCH(708,'Email Cleaner'!$G$2:$G$10001,0)),"")</f>
        <v/>
      </c>
    </row>
    <row r="710">
      <c r="A710">
        <f>IFERROR(INDEX('Email Cleaner'!$B$2:$B$10001,MATCH(709,'Email Cleaner'!$G$2:$G$10001,0)),"")</f>
        <v/>
      </c>
    </row>
    <row r="711">
      <c r="A711">
        <f>IFERROR(INDEX('Email Cleaner'!$B$2:$B$10001,MATCH(710,'Email Cleaner'!$G$2:$G$10001,0)),"")</f>
        <v/>
      </c>
    </row>
    <row r="712">
      <c r="A712">
        <f>IFERROR(INDEX('Email Cleaner'!$B$2:$B$10001,MATCH(711,'Email Cleaner'!$G$2:$G$10001,0)),"")</f>
        <v/>
      </c>
    </row>
    <row r="713">
      <c r="A713">
        <f>IFERROR(INDEX('Email Cleaner'!$B$2:$B$10001,MATCH(712,'Email Cleaner'!$G$2:$G$10001,0)),"")</f>
        <v/>
      </c>
    </row>
    <row r="714">
      <c r="A714">
        <f>IFERROR(INDEX('Email Cleaner'!$B$2:$B$10001,MATCH(713,'Email Cleaner'!$G$2:$G$10001,0)),"")</f>
        <v/>
      </c>
    </row>
    <row r="715">
      <c r="A715">
        <f>IFERROR(INDEX('Email Cleaner'!$B$2:$B$10001,MATCH(714,'Email Cleaner'!$G$2:$G$10001,0)),"")</f>
        <v/>
      </c>
    </row>
    <row r="716">
      <c r="A716">
        <f>IFERROR(INDEX('Email Cleaner'!$B$2:$B$10001,MATCH(715,'Email Cleaner'!$G$2:$G$10001,0)),"")</f>
        <v/>
      </c>
    </row>
    <row r="717">
      <c r="A717">
        <f>IFERROR(INDEX('Email Cleaner'!$B$2:$B$10001,MATCH(716,'Email Cleaner'!$G$2:$G$10001,0)),"")</f>
        <v/>
      </c>
    </row>
    <row r="718">
      <c r="A718">
        <f>IFERROR(INDEX('Email Cleaner'!$B$2:$B$10001,MATCH(717,'Email Cleaner'!$G$2:$G$10001,0)),"")</f>
        <v/>
      </c>
    </row>
    <row r="719">
      <c r="A719">
        <f>IFERROR(INDEX('Email Cleaner'!$B$2:$B$10001,MATCH(718,'Email Cleaner'!$G$2:$G$10001,0)),"")</f>
        <v/>
      </c>
    </row>
    <row r="720">
      <c r="A720">
        <f>IFERROR(INDEX('Email Cleaner'!$B$2:$B$10001,MATCH(719,'Email Cleaner'!$G$2:$G$10001,0)),"")</f>
        <v/>
      </c>
    </row>
    <row r="721">
      <c r="A721">
        <f>IFERROR(INDEX('Email Cleaner'!$B$2:$B$10001,MATCH(720,'Email Cleaner'!$G$2:$G$10001,0)),"")</f>
        <v/>
      </c>
    </row>
    <row r="722">
      <c r="A722">
        <f>IFERROR(INDEX('Email Cleaner'!$B$2:$B$10001,MATCH(721,'Email Cleaner'!$G$2:$G$10001,0)),"")</f>
        <v/>
      </c>
    </row>
    <row r="723">
      <c r="A723">
        <f>IFERROR(INDEX('Email Cleaner'!$B$2:$B$10001,MATCH(722,'Email Cleaner'!$G$2:$G$10001,0)),"")</f>
        <v/>
      </c>
    </row>
    <row r="724">
      <c r="A724">
        <f>IFERROR(INDEX('Email Cleaner'!$B$2:$B$10001,MATCH(723,'Email Cleaner'!$G$2:$G$10001,0)),"")</f>
        <v/>
      </c>
    </row>
    <row r="725">
      <c r="A725">
        <f>IFERROR(INDEX('Email Cleaner'!$B$2:$B$10001,MATCH(724,'Email Cleaner'!$G$2:$G$10001,0)),"")</f>
        <v/>
      </c>
    </row>
    <row r="726">
      <c r="A726">
        <f>IFERROR(INDEX('Email Cleaner'!$B$2:$B$10001,MATCH(725,'Email Cleaner'!$G$2:$G$10001,0)),"")</f>
        <v/>
      </c>
    </row>
    <row r="727">
      <c r="A727">
        <f>IFERROR(INDEX('Email Cleaner'!$B$2:$B$10001,MATCH(726,'Email Cleaner'!$G$2:$G$10001,0)),"")</f>
        <v/>
      </c>
    </row>
    <row r="728">
      <c r="A728">
        <f>IFERROR(INDEX('Email Cleaner'!$B$2:$B$10001,MATCH(727,'Email Cleaner'!$G$2:$G$10001,0)),"")</f>
        <v/>
      </c>
    </row>
    <row r="729">
      <c r="A729">
        <f>IFERROR(INDEX('Email Cleaner'!$B$2:$B$10001,MATCH(728,'Email Cleaner'!$G$2:$G$10001,0)),"")</f>
        <v/>
      </c>
    </row>
    <row r="730">
      <c r="A730">
        <f>IFERROR(INDEX('Email Cleaner'!$B$2:$B$10001,MATCH(729,'Email Cleaner'!$G$2:$G$10001,0)),"")</f>
        <v/>
      </c>
    </row>
    <row r="731">
      <c r="A731">
        <f>IFERROR(INDEX('Email Cleaner'!$B$2:$B$10001,MATCH(730,'Email Cleaner'!$G$2:$G$10001,0)),"")</f>
        <v/>
      </c>
    </row>
    <row r="732">
      <c r="A732">
        <f>IFERROR(INDEX('Email Cleaner'!$B$2:$B$10001,MATCH(731,'Email Cleaner'!$G$2:$G$10001,0)),"")</f>
        <v/>
      </c>
    </row>
    <row r="733">
      <c r="A733">
        <f>IFERROR(INDEX('Email Cleaner'!$B$2:$B$10001,MATCH(732,'Email Cleaner'!$G$2:$G$10001,0)),"")</f>
        <v/>
      </c>
    </row>
    <row r="734">
      <c r="A734">
        <f>IFERROR(INDEX('Email Cleaner'!$B$2:$B$10001,MATCH(733,'Email Cleaner'!$G$2:$G$10001,0)),"")</f>
        <v/>
      </c>
    </row>
    <row r="735">
      <c r="A735">
        <f>IFERROR(INDEX('Email Cleaner'!$B$2:$B$10001,MATCH(734,'Email Cleaner'!$G$2:$G$10001,0)),"")</f>
        <v/>
      </c>
    </row>
    <row r="736">
      <c r="A736">
        <f>IFERROR(INDEX('Email Cleaner'!$B$2:$B$10001,MATCH(735,'Email Cleaner'!$G$2:$G$10001,0)),"")</f>
        <v/>
      </c>
    </row>
    <row r="737">
      <c r="A737">
        <f>IFERROR(INDEX('Email Cleaner'!$B$2:$B$10001,MATCH(736,'Email Cleaner'!$G$2:$G$10001,0)),"")</f>
        <v/>
      </c>
    </row>
    <row r="738">
      <c r="A738">
        <f>IFERROR(INDEX('Email Cleaner'!$B$2:$B$10001,MATCH(737,'Email Cleaner'!$G$2:$G$10001,0)),"")</f>
        <v/>
      </c>
    </row>
    <row r="739">
      <c r="A739">
        <f>IFERROR(INDEX('Email Cleaner'!$B$2:$B$10001,MATCH(738,'Email Cleaner'!$G$2:$G$10001,0)),"")</f>
        <v/>
      </c>
    </row>
    <row r="740">
      <c r="A740">
        <f>IFERROR(INDEX('Email Cleaner'!$B$2:$B$10001,MATCH(739,'Email Cleaner'!$G$2:$G$10001,0)),"")</f>
        <v/>
      </c>
    </row>
    <row r="741">
      <c r="A741">
        <f>IFERROR(INDEX('Email Cleaner'!$B$2:$B$10001,MATCH(740,'Email Cleaner'!$G$2:$G$10001,0)),"")</f>
        <v/>
      </c>
    </row>
    <row r="742">
      <c r="A742">
        <f>IFERROR(INDEX('Email Cleaner'!$B$2:$B$10001,MATCH(741,'Email Cleaner'!$G$2:$G$10001,0)),"")</f>
        <v/>
      </c>
    </row>
    <row r="743">
      <c r="A743">
        <f>IFERROR(INDEX('Email Cleaner'!$B$2:$B$10001,MATCH(742,'Email Cleaner'!$G$2:$G$10001,0)),"")</f>
        <v/>
      </c>
    </row>
    <row r="744">
      <c r="A744">
        <f>IFERROR(INDEX('Email Cleaner'!$B$2:$B$10001,MATCH(743,'Email Cleaner'!$G$2:$G$10001,0)),"")</f>
        <v/>
      </c>
    </row>
    <row r="745">
      <c r="A745">
        <f>IFERROR(INDEX('Email Cleaner'!$B$2:$B$10001,MATCH(744,'Email Cleaner'!$G$2:$G$10001,0)),"")</f>
        <v/>
      </c>
    </row>
    <row r="746">
      <c r="A746">
        <f>IFERROR(INDEX('Email Cleaner'!$B$2:$B$10001,MATCH(745,'Email Cleaner'!$G$2:$G$10001,0)),"")</f>
        <v/>
      </c>
    </row>
    <row r="747">
      <c r="A747">
        <f>IFERROR(INDEX('Email Cleaner'!$B$2:$B$10001,MATCH(746,'Email Cleaner'!$G$2:$G$10001,0)),"")</f>
        <v/>
      </c>
    </row>
    <row r="748">
      <c r="A748">
        <f>IFERROR(INDEX('Email Cleaner'!$B$2:$B$10001,MATCH(747,'Email Cleaner'!$G$2:$G$10001,0)),"")</f>
        <v/>
      </c>
    </row>
    <row r="749">
      <c r="A749">
        <f>IFERROR(INDEX('Email Cleaner'!$B$2:$B$10001,MATCH(748,'Email Cleaner'!$G$2:$G$10001,0)),"")</f>
        <v/>
      </c>
    </row>
    <row r="750">
      <c r="A750">
        <f>IFERROR(INDEX('Email Cleaner'!$B$2:$B$10001,MATCH(749,'Email Cleaner'!$G$2:$G$10001,0)),"")</f>
        <v/>
      </c>
    </row>
    <row r="751">
      <c r="A751">
        <f>IFERROR(INDEX('Email Cleaner'!$B$2:$B$10001,MATCH(750,'Email Cleaner'!$G$2:$G$10001,0)),"")</f>
        <v/>
      </c>
    </row>
    <row r="752">
      <c r="A752">
        <f>IFERROR(INDEX('Email Cleaner'!$B$2:$B$10001,MATCH(751,'Email Cleaner'!$G$2:$G$10001,0)),"")</f>
        <v/>
      </c>
    </row>
    <row r="753">
      <c r="A753">
        <f>IFERROR(INDEX('Email Cleaner'!$B$2:$B$10001,MATCH(752,'Email Cleaner'!$G$2:$G$10001,0)),"")</f>
        <v/>
      </c>
    </row>
    <row r="754">
      <c r="A754">
        <f>IFERROR(INDEX('Email Cleaner'!$B$2:$B$10001,MATCH(753,'Email Cleaner'!$G$2:$G$10001,0)),"")</f>
        <v/>
      </c>
    </row>
    <row r="755">
      <c r="A755">
        <f>IFERROR(INDEX('Email Cleaner'!$B$2:$B$10001,MATCH(754,'Email Cleaner'!$G$2:$G$10001,0)),"")</f>
        <v/>
      </c>
    </row>
    <row r="756">
      <c r="A756">
        <f>IFERROR(INDEX('Email Cleaner'!$B$2:$B$10001,MATCH(755,'Email Cleaner'!$G$2:$G$10001,0)),"")</f>
        <v/>
      </c>
    </row>
    <row r="757">
      <c r="A757">
        <f>IFERROR(INDEX('Email Cleaner'!$B$2:$B$10001,MATCH(756,'Email Cleaner'!$G$2:$G$10001,0)),"")</f>
        <v/>
      </c>
    </row>
    <row r="758">
      <c r="A758">
        <f>IFERROR(INDEX('Email Cleaner'!$B$2:$B$10001,MATCH(757,'Email Cleaner'!$G$2:$G$10001,0)),"")</f>
        <v/>
      </c>
    </row>
    <row r="759">
      <c r="A759">
        <f>IFERROR(INDEX('Email Cleaner'!$B$2:$B$10001,MATCH(758,'Email Cleaner'!$G$2:$G$10001,0)),"")</f>
        <v/>
      </c>
    </row>
    <row r="760">
      <c r="A760">
        <f>IFERROR(INDEX('Email Cleaner'!$B$2:$B$10001,MATCH(759,'Email Cleaner'!$G$2:$G$10001,0)),"")</f>
        <v/>
      </c>
    </row>
    <row r="761">
      <c r="A761">
        <f>IFERROR(INDEX('Email Cleaner'!$B$2:$B$10001,MATCH(760,'Email Cleaner'!$G$2:$G$10001,0)),"")</f>
        <v/>
      </c>
    </row>
    <row r="762">
      <c r="A762">
        <f>IFERROR(INDEX('Email Cleaner'!$B$2:$B$10001,MATCH(761,'Email Cleaner'!$G$2:$G$10001,0)),"")</f>
        <v/>
      </c>
    </row>
    <row r="763">
      <c r="A763">
        <f>IFERROR(INDEX('Email Cleaner'!$B$2:$B$10001,MATCH(762,'Email Cleaner'!$G$2:$G$10001,0)),"")</f>
        <v/>
      </c>
    </row>
    <row r="764">
      <c r="A764">
        <f>IFERROR(INDEX('Email Cleaner'!$B$2:$B$10001,MATCH(763,'Email Cleaner'!$G$2:$G$10001,0)),"")</f>
        <v/>
      </c>
    </row>
    <row r="765">
      <c r="A765">
        <f>IFERROR(INDEX('Email Cleaner'!$B$2:$B$10001,MATCH(764,'Email Cleaner'!$G$2:$G$10001,0)),"")</f>
        <v/>
      </c>
    </row>
    <row r="766">
      <c r="A766">
        <f>IFERROR(INDEX('Email Cleaner'!$B$2:$B$10001,MATCH(765,'Email Cleaner'!$G$2:$G$10001,0)),"")</f>
        <v/>
      </c>
    </row>
    <row r="767">
      <c r="A767">
        <f>IFERROR(INDEX('Email Cleaner'!$B$2:$B$10001,MATCH(766,'Email Cleaner'!$G$2:$G$10001,0)),"")</f>
        <v/>
      </c>
    </row>
    <row r="768">
      <c r="A768">
        <f>IFERROR(INDEX('Email Cleaner'!$B$2:$B$10001,MATCH(767,'Email Cleaner'!$G$2:$G$10001,0)),"")</f>
        <v/>
      </c>
    </row>
    <row r="769">
      <c r="A769">
        <f>IFERROR(INDEX('Email Cleaner'!$B$2:$B$10001,MATCH(768,'Email Cleaner'!$G$2:$G$10001,0)),"")</f>
        <v/>
      </c>
    </row>
    <row r="770">
      <c r="A770">
        <f>IFERROR(INDEX('Email Cleaner'!$B$2:$B$10001,MATCH(769,'Email Cleaner'!$G$2:$G$10001,0)),"")</f>
        <v/>
      </c>
    </row>
    <row r="771">
      <c r="A771">
        <f>IFERROR(INDEX('Email Cleaner'!$B$2:$B$10001,MATCH(770,'Email Cleaner'!$G$2:$G$10001,0)),"")</f>
        <v/>
      </c>
    </row>
    <row r="772">
      <c r="A772">
        <f>IFERROR(INDEX('Email Cleaner'!$B$2:$B$10001,MATCH(771,'Email Cleaner'!$G$2:$G$10001,0)),"")</f>
        <v/>
      </c>
    </row>
    <row r="773">
      <c r="A773">
        <f>IFERROR(INDEX('Email Cleaner'!$B$2:$B$10001,MATCH(772,'Email Cleaner'!$G$2:$G$10001,0)),"")</f>
        <v/>
      </c>
    </row>
    <row r="774">
      <c r="A774">
        <f>IFERROR(INDEX('Email Cleaner'!$B$2:$B$10001,MATCH(773,'Email Cleaner'!$G$2:$G$10001,0)),"")</f>
        <v/>
      </c>
    </row>
    <row r="775">
      <c r="A775">
        <f>IFERROR(INDEX('Email Cleaner'!$B$2:$B$10001,MATCH(774,'Email Cleaner'!$G$2:$G$10001,0)),"")</f>
        <v/>
      </c>
    </row>
    <row r="776">
      <c r="A776">
        <f>IFERROR(INDEX('Email Cleaner'!$B$2:$B$10001,MATCH(775,'Email Cleaner'!$G$2:$G$10001,0)),"")</f>
        <v/>
      </c>
    </row>
    <row r="777">
      <c r="A777">
        <f>IFERROR(INDEX('Email Cleaner'!$B$2:$B$10001,MATCH(776,'Email Cleaner'!$G$2:$G$10001,0)),"")</f>
        <v/>
      </c>
    </row>
    <row r="778">
      <c r="A778">
        <f>IFERROR(INDEX('Email Cleaner'!$B$2:$B$10001,MATCH(777,'Email Cleaner'!$G$2:$G$10001,0)),"")</f>
        <v/>
      </c>
    </row>
    <row r="779">
      <c r="A779">
        <f>IFERROR(INDEX('Email Cleaner'!$B$2:$B$10001,MATCH(778,'Email Cleaner'!$G$2:$G$10001,0)),"")</f>
        <v/>
      </c>
    </row>
    <row r="780">
      <c r="A780">
        <f>IFERROR(INDEX('Email Cleaner'!$B$2:$B$10001,MATCH(779,'Email Cleaner'!$G$2:$G$10001,0)),"")</f>
        <v/>
      </c>
    </row>
    <row r="781">
      <c r="A781">
        <f>IFERROR(INDEX('Email Cleaner'!$B$2:$B$10001,MATCH(780,'Email Cleaner'!$G$2:$G$10001,0)),"")</f>
        <v/>
      </c>
    </row>
    <row r="782">
      <c r="A782">
        <f>IFERROR(INDEX('Email Cleaner'!$B$2:$B$10001,MATCH(781,'Email Cleaner'!$G$2:$G$10001,0)),"")</f>
        <v/>
      </c>
    </row>
    <row r="783">
      <c r="A783">
        <f>IFERROR(INDEX('Email Cleaner'!$B$2:$B$10001,MATCH(782,'Email Cleaner'!$G$2:$G$10001,0)),"")</f>
        <v/>
      </c>
    </row>
    <row r="784">
      <c r="A784">
        <f>IFERROR(INDEX('Email Cleaner'!$B$2:$B$10001,MATCH(783,'Email Cleaner'!$G$2:$G$10001,0)),"")</f>
        <v/>
      </c>
    </row>
    <row r="785">
      <c r="A785">
        <f>IFERROR(INDEX('Email Cleaner'!$B$2:$B$10001,MATCH(784,'Email Cleaner'!$G$2:$G$10001,0)),"")</f>
        <v/>
      </c>
    </row>
    <row r="786">
      <c r="A786">
        <f>IFERROR(INDEX('Email Cleaner'!$B$2:$B$10001,MATCH(785,'Email Cleaner'!$G$2:$G$10001,0)),"")</f>
        <v/>
      </c>
    </row>
    <row r="787">
      <c r="A787">
        <f>IFERROR(INDEX('Email Cleaner'!$B$2:$B$10001,MATCH(786,'Email Cleaner'!$G$2:$G$10001,0)),"")</f>
        <v/>
      </c>
    </row>
    <row r="788">
      <c r="A788">
        <f>IFERROR(INDEX('Email Cleaner'!$B$2:$B$10001,MATCH(787,'Email Cleaner'!$G$2:$G$10001,0)),"")</f>
        <v/>
      </c>
    </row>
    <row r="789">
      <c r="A789">
        <f>IFERROR(INDEX('Email Cleaner'!$B$2:$B$10001,MATCH(788,'Email Cleaner'!$G$2:$G$10001,0)),"")</f>
        <v/>
      </c>
    </row>
    <row r="790">
      <c r="A790">
        <f>IFERROR(INDEX('Email Cleaner'!$B$2:$B$10001,MATCH(789,'Email Cleaner'!$G$2:$G$10001,0)),"")</f>
        <v/>
      </c>
    </row>
    <row r="791">
      <c r="A791">
        <f>IFERROR(INDEX('Email Cleaner'!$B$2:$B$10001,MATCH(790,'Email Cleaner'!$G$2:$G$10001,0)),"")</f>
        <v/>
      </c>
    </row>
    <row r="792">
      <c r="A792">
        <f>IFERROR(INDEX('Email Cleaner'!$B$2:$B$10001,MATCH(791,'Email Cleaner'!$G$2:$G$10001,0)),"")</f>
        <v/>
      </c>
    </row>
    <row r="793">
      <c r="A793">
        <f>IFERROR(INDEX('Email Cleaner'!$B$2:$B$10001,MATCH(792,'Email Cleaner'!$G$2:$G$10001,0)),"")</f>
        <v/>
      </c>
    </row>
    <row r="794">
      <c r="A794">
        <f>IFERROR(INDEX('Email Cleaner'!$B$2:$B$10001,MATCH(793,'Email Cleaner'!$G$2:$G$10001,0)),"")</f>
        <v/>
      </c>
    </row>
    <row r="795">
      <c r="A795">
        <f>IFERROR(INDEX('Email Cleaner'!$B$2:$B$10001,MATCH(794,'Email Cleaner'!$G$2:$G$10001,0)),"")</f>
        <v/>
      </c>
    </row>
    <row r="796">
      <c r="A796">
        <f>IFERROR(INDEX('Email Cleaner'!$B$2:$B$10001,MATCH(795,'Email Cleaner'!$G$2:$G$10001,0)),"")</f>
        <v/>
      </c>
    </row>
    <row r="797">
      <c r="A797">
        <f>IFERROR(INDEX('Email Cleaner'!$B$2:$B$10001,MATCH(796,'Email Cleaner'!$G$2:$G$10001,0)),"")</f>
        <v/>
      </c>
    </row>
    <row r="798">
      <c r="A798">
        <f>IFERROR(INDEX('Email Cleaner'!$B$2:$B$10001,MATCH(797,'Email Cleaner'!$G$2:$G$10001,0)),"")</f>
        <v/>
      </c>
    </row>
    <row r="799">
      <c r="A799">
        <f>IFERROR(INDEX('Email Cleaner'!$B$2:$B$10001,MATCH(798,'Email Cleaner'!$G$2:$G$10001,0)),"")</f>
        <v/>
      </c>
    </row>
    <row r="800">
      <c r="A800">
        <f>IFERROR(INDEX('Email Cleaner'!$B$2:$B$10001,MATCH(799,'Email Cleaner'!$G$2:$G$10001,0)),"")</f>
        <v/>
      </c>
    </row>
    <row r="801">
      <c r="A801">
        <f>IFERROR(INDEX('Email Cleaner'!$B$2:$B$10001,MATCH(800,'Email Cleaner'!$G$2:$G$10001,0)),"")</f>
        <v/>
      </c>
    </row>
    <row r="802">
      <c r="A802">
        <f>IFERROR(INDEX('Email Cleaner'!$B$2:$B$10001,MATCH(801,'Email Cleaner'!$G$2:$G$10001,0)),"")</f>
        <v/>
      </c>
    </row>
    <row r="803">
      <c r="A803">
        <f>IFERROR(INDEX('Email Cleaner'!$B$2:$B$10001,MATCH(802,'Email Cleaner'!$G$2:$G$10001,0)),"")</f>
        <v/>
      </c>
    </row>
    <row r="804">
      <c r="A804">
        <f>IFERROR(INDEX('Email Cleaner'!$B$2:$B$10001,MATCH(803,'Email Cleaner'!$G$2:$G$10001,0)),"")</f>
        <v/>
      </c>
    </row>
    <row r="805">
      <c r="A805">
        <f>IFERROR(INDEX('Email Cleaner'!$B$2:$B$10001,MATCH(804,'Email Cleaner'!$G$2:$G$10001,0)),"")</f>
        <v/>
      </c>
    </row>
    <row r="806">
      <c r="A806">
        <f>IFERROR(INDEX('Email Cleaner'!$B$2:$B$10001,MATCH(805,'Email Cleaner'!$G$2:$G$10001,0)),"")</f>
        <v/>
      </c>
    </row>
    <row r="807">
      <c r="A807">
        <f>IFERROR(INDEX('Email Cleaner'!$B$2:$B$10001,MATCH(806,'Email Cleaner'!$G$2:$G$10001,0)),"")</f>
        <v/>
      </c>
    </row>
    <row r="808">
      <c r="A808">
        <f>IFERROR(INDEX('Email Cleaner'!$B$2:$B$10001,MATCH(807,'Email Cleaner'!$G$2:$G$10001,0)),"")</f>
        <v/>
      </c>
    </row>
    <row r="809">
      <c r="A809">
        <f>IFERROR(INDEX('Email Cleaner'!$B$2:$B$10001,MATCH(808,'Email Cleaner'!$G$2:$G$10001,0)),"")</f>
        <v/>
      </c>
    </row>
    <row r="810">
      <c r="A810">
        <f>IFERROR(INDEX('Email Cleaner'!$B$2:$B$10001,MATCH(809,'Email Cleaner'!$G$2:$G$10001,0)),"")</f>
        <v/>
      </c>
    </row>
    <row r="811">
      <c r="A811">
        <f>IFERROR(INDEX('Email Cleaner'!$B$2:$B$10001,MATCH(810,'Email Cleaner'!$G$2:$G$10001,0)),"")</f>
        <v/>
      </c>
    </row>
    <row r="812">
      <c r="A812">
        <f>IFERROR(INDEX('Email Cleaner'!$B$2:$B$10001,MATCH(811,'Email Cleaner'!$G$2:$G$10001,0)),"")</f>
        <v/>
      </c>
    </row>
    <row r="813">
      <c r="A813">
        <f>IFERROR(INDEX('Email Cleaner'!$B$2:$B$10001,MATCH(812,'Email Cleaner'!$G$2:$G$10001,0)),"")</f>
        <v/>
      </c>
    </row>
    <row r="814">
      <c r="A814">
        <f>IFERROR(INDEX('Email Cleaner'!$B$2:$B$10001,MATCH(813,'Email Cleaner'!$G$2:$G$10001,0)),"")</f>
        <v/>
      </c>
    </row>
    <row r="815">
      <c r="A815">
        <f>IFERROR(INDEX('Email Cleaner'!$B$2:$B$10001,MATCH(814,'Email Cleaner'!$G$2:$G$10001,0)),"")</f>
        <v/>
      </c>
    </row>
    <row r="816">
      <c r="A816">
        <f>IFERROR(INDEX('Email Cleaner'!$B$2:$B$10001,MATCH(815,'Email Cleaner'!$G$2:$G$10001,0)),"")</f>
        <v/>
      </c>
    </row>
    <row r="817">
      <c r="A817">
        <f>IFERROR(INDEX('Email Cleaner'!$B$2:$B$10001,MATCH(816,'Email Cleaner'!$G$2:$G$10001,0)),"")</f>
        <v/>
      </c>
    </row>
    <row r="818">
      <c r="A818">
        <f>IFERROR(INDEX('Email Cleaner'!$B$2:$B$10001,MATCH(817,'Email Cleaner'!$G$2:$G$10001,0)),"")</f>
        <v/>
      </c>
    </row>
    <row r="819">
      <c r="A819">
        <f>IFERROR(INDEX('Email Cleaner'!$B$2:$B$10001,MATCH(818,'Email Cleaner'!$G$2:$G$10001,0)),"")</f>
        <v/>
      </c>
    </row>
    <row r="820">
      <c r="A820">
        <f>IFERROR(INDEX('Email Cleaner'!$B$2:$B$10001,MATCH(819,'Email Cleaner'!$G$2:$G$10001,0)),"")</f>
        <v/>
      </c>
    </row>
    <row r="821">
      <c r="A821">
        <f>IFERROR(INDEX('Email Cleaner'!$B$2:$B$10001,MATCH(820,'Email Cleaner'!$G$2:$G$10001,0)),"")</f>
        <v/>
      </c>
    </row>
    <row r="822">
      <c r="A822">
        <f>IFERROR(INDEX('Email Cleaner'!$B$2:$B$10001,MATCH(821,'Email Cleaner'!$G$2:$G$10001,0)),"")</f>
        <v/>
      </c>
    </row>
    <row r="823">
      <c r="A823">
        <f>IFERROR(INDEX('Email Cleaner'!$B$2:$B$10001,MATCH(822,'Email Cleaner'!$G$2:$G$10001,0)),"")</f>
        <v/>
      </c>
    </row>
    <row r="824">
      <c r="A824">
        <f>IFERROR(INDEX('Email Cleaner'!$B$2:$B$10001,MATCH(823,'Email Cleaner'!$G$2:$G$10001,0)),"")</f>
        <v/>
      </c>
    </row>
    <row r="825">
      <c r="A825">
        <f>IFERROR(INDEX('Email Cleaner'!$B$2:$B$10001,MATCH(824,'Email Cleaner'!$G$2:$G$10001,0)),"")</f>
        <v/>
      </c>
    </row>
    <row r="826">
      <c r="A826">
        <f>IFERROR(INDEX('Email Cleaner'!$B$2:$B$10001,MATCH(825,'Email Cleaner'!$G$2:$G$10001,0)),"")</f>
        <v/>
      </c>
    </row>
    <row r="827">
      <c r="A827">
        <f>IFERROR(INDEX('Email Cleaner'!$B$2:$B$10001,MATCH(826,'Email Cleaner'!$G$2:$G$10001,0)),"")</f>
        <v/>
      </c>
    </row>
    <row r="828">
      <c r="A828">
        <f>IFERROR(INDEX('Email Cleaner'!$B$2:$B$10001,MATCH(827,'Email Cleaner'!$G$2:$G$10001,0)),"")</f>
        <v/>
      </c>
    </row>
    <row r="829">
      <c r="A829">
        <f>IFERROR(INDEX('Email Cleaner'!$B$2:$B$10001,MATCH(828,'Email Cleaner'!$G$2:$G$10001,0)),"")</f>
        <v/>
      </c>
    </row>
    <row r="830">
      <c r="A830">
        <f>IFERROR(INDEX('Email Cleaner'!$B$2:$B$10001,MATCH(829,'Email Cleaner'!$G$2:$G$10001,0)),"")</f>
        <v/>
      </c>
    </row>
    <row r="831">
      <c r="A831">
        <f>IFERROR(INDEX('Email Cleaner'!$B$2:$B$10001,MATCH(830,'Email Cleaner'!$G$2:$G$10001,0)),"")</f>
        <v/>
      </c>
    </row>
    <row r="832">
      <c r="A832">
        <f>IFERROR(INDEX('Email Cleaner'!$B$2:$B$10001,MATCH(831,'Email Cleaner'!$G$2:$G$10001,0)),"")</f>
        <v/>
      </c>
    </row>
    <row r="833">
      <c r="A833">
        <f>IFERROR(INDEX('Email Cleaner'!$B$2:$B$10001,MATCH(832,'Email Cleaner'!$G$2:$G$10001,0)),"")</f>
        <v/>
      </c>
    </row>
    <row r="834">
      <c r="A834">
        <f>IFERROR(INDEX('Email Cleaner'!$B$2:$B$10001,MATCH(833,'Email Cleaner'!$G$2:$G$10001,0)),"")</f>
        <v/>
      </c>
    </row>
    <row r="835">
      <c r="A835">
        <f>IFERROR(INDEX('Email Cleaner'!$B$2:$B$10001,MATCH(834,'Email Cleaner'!$G$2:$G$10001,0)),"")</f>
        <v/>
      </c>
    </row>
    <row r="836">
      <c r="A836">
        <f>IFERROR(INDEX('Email Cleaner'!$B$2:$B$10001,MATCH(835,'Email Cleaner'!$G$2:$G$10001,0)),"")</f>
        <v/>
      </c>
    </row>
    <row r="837">
      <c r="A837">
        <f>IFERROR(INDEX('Email Cleaner'!$B$2:$B$10001,MATCH(836,'Email Cleaner'!$G$2:$G$10001,0)),"")</f>
        <v/>
      </c>
    </row>
    <row r="838">
      <c r="A838">
        <f>IFERROR(INDEX('Email Cleaner'!$B$2:$B$10001,MATCH(837,'Email Cleaner'!$G$2:$G$10001,0)),"")</f>
        <v/>
      </c>
    </row>
    <row r="839">
      <c r="A839">
        <f>IFERROR(INDEX('Email Cleaner'!$B$2:$B$10001,MATCH(838,'Email Cleaner'!$G$2:$G$10001,0)),"")</f>
        <v/>
      </c>
    </row>
    <row r="840">
      <c r="A840">
        <f>IFERROR(INDEX('Email Cleaner'!$B$2:$B$10001,MATCH(839,'Email Cleaner'!$G$2:$G$10001,0)),"")</f>
        <v/>
      </c>
    </row>
    <row r="841">
      <c r="A841">
        <f>IFERROR(INDEX('Email Cleaner'!$B$2:$B$10001,MATCH(840,'Email Cleaner'!$G$2:$G$10001,0)),"")</f>
        <v/>
      </c>
    </row>
    <row r="842">
      <c r="A842">
        <f>IFERROR(INDEX('Email Cleaner'!$B$2:$B$10001,MATCH(841,'Email Cleaner'!$G$2:$G$10001,0)),"")</f>
        <v/>
      </c>
    </row>
    <row r="843">
      <c r="A843">
        <f>IFERROR(INDEX('Email Cleaner'!$B$2:$B$10001,MATCH(842,'Email Cleaner'!$G$2:$G$10001,0)),"")</f>
        <v/>
      </c>
    </row>
    <row r="844">
      <c r="A844">
        <f>IFERROR(INDEX('Email Cleaner'!$B$2:$B$10001,MATCH(843,'Email Cleaner'!$G$2:$G$10001,0)),"")</f>
        <v/>
      </c>
    </row>
    <row r="845">
      <c r="A845">
        <f>IFERROR(INDEX('Email Cleaner'!$B$2:$B$10001,MATCH(844,'Email Cleaner'!$G$2:$G$10001,0)),"")</f>
        <v/>
      </c>
    </row>
    <row r="846">
      <c r="A846">
        <f>IFERROR(INDEX('Email Cleaner'!$B$2:$B$10001,MATCH(845,'Email Cleaner'!$G$2:$G$10001,0)),"")</f>
        <v/>
      </c>
    </row>
    <row r="847">
      <c r="A847">
        <f>IFERROR(INDEX('Email Cleaner'!$B$2:$B$10001,MATCH(846,'Email Cleaner'!$G$2:$G$10001,0)),"")</f>
        <v/>
      </c>
    </row>
    <row r="848">
      <c r="A848">
        <f>IFERROR(INDEX('Email Cleaner'!$B$2:$B$10001,MATCH(847,'Email Cleaner'!$G$2:$G$10001,0)),"")</f>
        <v/>
      </c>
    </row>
    <row r="849">
      <c r="A849">
        <f>IFERROR(INDEX('Email Cleaner'!$B$2:$B$10001,MATCH(848,'Email Cleaner'!$G$2:$G$10001,0)),"")</f>
        <v/>
      </c>
    </row>
    <row r="850">
      <c r="A850">
        <f>IFERROR(INDEX('Email Cleaner'!$B$2:$B$10001,MATCH(849,'Email Cleaner'!$G$2:$G$10001,0)),"")</f>
        <v/>
      </c>
    </row>
    <row r="851">
      <c r="A851">
        <f>IFERROR(INDEX('Email Cleaner'!$B$2:$B$10001,MATCH(850,'Email Cleaner'!$G$2:$G$10001,0)),"")</f>
        <v/>
      </c>
    </row>
    <row r="852">
      <c r="A852">
        <f>IFERROR(INDEX('Email Cleaner'!$B$2:$B$10001,MATCH(851,'Email Cleaner'!$G$2:$G$10001,0)),"")</f>
        <v/>
      </c>
    </row>
    <row r="853">
      <c r="A853">
        <f>IFERROR(INDEX('Email Cleaner'!$B$2:$B$10001,MATCH(852,'Email Cleaner'!$G$2:$G$10001,0)),"")</f>
        <v/>
      </c>
    </row>
    <row r="854">
      <c r="A854">
        <f>IFERROR(INDEX('Email Cleaner'!$B$2:$B$10001,MATCH(853,'Email Cleaner'!$G$2:$G$10001,0)),"")</f>
        <v/>
      </c>
    </row>
    <row r="855">
      <c r="A855">
        <f>IFERROR(INDEX('Email Cleaner'!$B$2:$B$10001,MATCH(854,'Email Cleaner'!$G$2:$G$10001,0)),"")</f>
        <v/>
      </c>
    </row>
    <row r="856">
      <c r="A856">
        <f>IFERROR(INDEX('Email Cleaner'!$B$2:$B$10001,MATCH(855,'Email Cleaner'!$G$2:$G$10001,0)),"")</f>
        <v/>
      </c>
    </row>
    <row r="857">
      <c r="A857">
        <f>IFERROR(INDEX('Email Cleaner'!$B$2:$B$10001,MATCH(856,'Email Cleaner'!$G$2:$G$10001,0)),"")</f>
        <v/>
      </c>
    </row>
    <row r="858">
      <c r="A858">
        <f>IFERROR(INDEX('Email Cleaner'!$B$2:$B$10001,MATCH(857,'Email Cleaner'!$G$2:$G$10001,0)),"")</f>
        <v/>
      </c>
    </row>
    <row r="859">
      <c r="A859">
        <f>IFERROR(INDEX('Email Cleaner'!$B$2:$B$10001,MATCH(858,'Email Cleaner'!$G$2:$G$10001,0)),"")</f>
        <v/>
      </c>
    </row>
    <row r="860">
      <c r="A860">
        <f>IFERROR(INDEX('Email Cleaner'!$B$2:$B$10001,MATCH(859,'Email Cleaner'!$G$2:$G$10001,0)),"")</f>
        <v/>
      </c>
    </row>
    <row r="861">
      <c r="A861">
        <f>IFERROR(INDEX('Email Cleaner'!$B$2:$B$10001,MATCH(860,'Email Cleaner'!$G$2:$G$10001,0)),"")</f>
        <v/>
      </c>
    </row>
    <row r="862">
      <c r="A862">
        <f>IFERROR(INDEX('Email Cleaner'!$B$2:$B$10001,MATCH(861,'Email Cleaner'!$G$2:$G$10001,0)),"")</f>
        <v/>
      </c>
    </row>
    <row r="863">
      <c r="A863">
        <f>IFERROR(INDEX('Email Cleaner'!$B$2:$B$10001,MATCH(862,'Email Cleaner'!$G$2:$G$10001,0)),"")</f>
        <v/>
      </c>
    </row>
    <row r="864">
      <c r="A864">
        <f>IFERROR(INDEX('Email Cleaner'!$B$2:$B$10001,MATCH(863,'Email Cleaner'!$G$2:$G$10001,0)),"")</f>
        <v/>
      </c>
    </row>
    <row r="865">
      <c r="A865">
        <f>IFERROR(INDEX('Email Cleaner'!$B$2:$B$10001,MATCH(864,'Email Cleaner'!$G$2:$G$10001,0)),"")</f>
        <v/>
      </c>
    </row>
    <row r="866">
      <c r="A866">
        <f>IFERROR(INDEX('Email Cleaner'!$B$2:$B$10001,MATCH(865,'Email Cleaner'!$G$2:$G$10001,0)),"")</f>
        <v/>
      </c>
    </row>
    <row r="867">
      <c r="A867">
        <f>IFERROR(INDEX('Email Cleaner'!$B$2:$B$10001,MATCH(866,'Email Cleaner'!$G$2:$G$10001,0)),"")</f>
        <v/>
      </c>
    </row>
    <row r="868">
      <c r="A868">
        <f>IFERROR(INDEX('Email Cleaner'!$B$2:$B$10001,MATCH(867,'Email Cleaner'!$G$2:$G$10001,0)),"")</f>
        <v/>
      </c>
    </row>
    <row r="869">
      <c r="A869">
        <f>IFERROR(INDEX('Email Cleaner'!$B$2:$B$10001,MATCH(868,'Email Cleaner'!$G$2:$G$10001,0)),"")</f>
        <v/>
      </c>
    </row>
    <row r="870">
      <c r="A870">
        <f>IFERROR(INDEX('Email Cleaner'!$B$2:$B$10001,MATCH(869,'Email Cleaner'!$G$2:$G$10001,0)),"")</f>
        <v/>
      </c>
    </row>
    <row r="871">
      <c r="A871">
        <f>IFERROR(INDEX('Email Cleaner'!$B$2:$B$10001,MATCH(870,'Email Cleaner'!$G$2:$G$10001,0)),"")</f>
        <v/>
      </c>
    </row>
    <row r="872">
      <c r="A872">
        <f>IFERROR(INDEX('Email Cleaner'!$B$2:$B$10001,MATCH(871,'Email Cleaner'!$G$2:$G$10001,0)),"")</f>
        <v/>
      </c>
    </row>
    <row r="873">
      <c r="A873">
        <f>IFERROR(INDEX('Email Cleaner'!$B$2:$B$10001,MATCH(872,'Email Cleaner'!$G$2:$G$10001,0)),"")</f>
        <v/>
      </c>
    </row>
    <row r="874">
      <c r="A874">
        <f>IFERROR(INDEX('Email Cleaner'!$B$2:$B$10001,MATCH(873,'Email Cleaner'!$G$2:$G$10001,0)),"")</f>
        <v/>
      </c>
    </row>
    <row r="875">
      <c r="A875">
        <f>IFERROR(INDEX('Email Cleaner'!$B$2:$B$10001,MATCH(874,'Email Cleaner'!$G$2:$G$10001,0)),"")</f>
        <v/>
      </c>
    </row>
    <row r="876">
      <c r="A876">
        <f>IFERROR(INDEX('Email Cleaner'!$B$2:$B$10001,MATCH(875,'Email Cleaner'!$G$2:$G$10001,0)),"")</f>
        <v/>
      </c>
    </row>
    <row r="877">
      <c r="A877">
        <f>IFERROR(INDEX('Email Cleaner'!$B$2:$B$10001,MATCH(876,'Email Cleaner'!$G$2:$G$10001,0)),"")</f>
        <v/>
      </c>
    </row>
    <row r="878">
      <c r="A878">
        <f>IFERROR(INDEX('Email Cleaner'!$B$2:$B$10001,MATCH(877,'Email Cleaner'!$G$2:$G$10001,0)),"")</f>
        <v/>
      </c>
    </row>
    <row r="879">
      <c r="A879">
        <f>IFERROR(INDEX('Email Cleaner'!$B$2:$B$10001,MATCH(878,'Email Cleaner'!$G$2:$G$10001,0)),"")</f>
        <v/>
      </c>
    </row>
    <row r="880">
      <c r="A880">
        <f>IFERROR(INDEX('Email Cleaner'!$B$2:$B$10001,MATCH(879,'Email Cleaner'!$G$2:$G$10001,0)),"")</f>
        <v/>
      </c>
    </row>
    <row r="881">
      <c r="A881">
        <f>IFERROR(INDEX('Email Cleaner'!$B$2:$B$10001,MATCH(880,'Email Cleaner'!$G$2:$G$10001,0)),"")</f>
        <v/>
      </c>
    </row>
    <row r="882">
      <c r="A882">
        <f>IFERROR(INDEX('Email Cleaner'!$B$2:$B$10001,MATCH(881,'Email Cleaner'!$G$2:$G$10001,0)),"")</f>
        <v/>
      </c>
    </row>
    <row r="883">
      <c r="A883">
        <f>IFERROR(INDEX('Email Cleaner'!$B$2:$B$10001,MATCH(882,'Email Cleaner'!$G$2:$G$10001,0)),"")</f>
        <v/>
      </c>
    </row>
    <row r="884">
      <c r="A884">
        <f>IFERROR(INDEX('Email Cleaner'!$B$2:$B$10001,MATCH(883,'Email Cleaner'!$G$2:$G$10001,0)),"")</f>
        <v/>
      </c>
    </row>
    <row r="885">
      <c r="A885">
        <f>IFERROR(INDEX('Email Cleaner'!$B$2:$B$10001,MATCH(884,'Email Cleaner'!$G$2:$G$10001,0)),"")</f>
        <v/>
      </c>
    </row>
    <row r="886">
      <c r="A886">
        <f>IFERROR(INDEX('Email Cleaner'!$B$2:$B$10001,MATCH(885,'Email Cleaner'!$G$2:$G$10001,0)),"")</f>
        <v/>
      </c>
    </row>
    <row r="887">
      <c r="A887">
        <f>IFERROR(INDEX('Email Cleaner'!$B$2:$B$10001,MATCH(886,'Email Cleaner'!$G$2:$G$10001,0)),"")</f>
        <v/>
      </c>
    </row>
    <row r="888">
      <c r="A888">
        <f>IFERROR(INDEX('Email Cleaner'!$B$2:$B$10001,MATCH(887,'Email Cleaner'!$G$2:$G$10001,0)),"")</f>
        <v/>
      </c>
    </row>
    <row r="889">
      <c r="A889">
        <f>IFERROR(INDEX('Email Cleaner'!$B$2:$B$10001,MATCH(888,'Email Cleaner'!$G$2:$G$10001,0)),"")</f>
        <v/>
      </c>
    </row>
    <row r="890">
      <c r="A890">
        <f>IFERROR(INDEX('Email Cleaner'!$B$2:$B$10001,MATCH(889,'Email Cleaner'!$G$2:$G$10001,0)),"")</f>
        <v/>
      </c>
    </row>
    <row r="891">
      <c r="A891">
        <f>IFERROR(INDEX('Email Cleaner'!$B$2:$B$10001,MATCH(890,'Email Cleaner'!$G$2:$G$10001,0)),"")</f>
        <v/>
      </c>
    </row>
    <row r="892">
      <c r="A892">
        <f>IFERROR(INDEX('Email Cleaner'!$B$2:$B$10001,MATCH(891,'Email Cleaner'!$G$2:$G$10001,0)),"")</f>
        <v/>
      </c>
    </row>
    <row r="893">
      <c r="A893">
        <f>IFERROR(INDEX('Email Cleaner'!$B$2:$B$10001,MATCH(892,'Email Cleaner'!$G$2:$G$10001,0)),"")</f>
        <v/>
      </c>
    </row>
    <row r="894">
      <c r="A894">
        <f>IFERROR(INDEX('Email Cleaner'!$B$2:$B$10001,MATCH(893,'Email Cleaner'!$G$2:$G$10001,0)),"")</f>
        <v/>
      </c>
    </row>
    <row r="895">
      <c r="A895">
        <f>IFERROR(INDEX('Email Cleaner'!$B$2:$B$10001,MATCH(894,'Email Cleaner'!$G$2:$G$10001,0)),"")</f>
        <v/>
      </c>
    </row>
    <row r="896">
      <c r="A896">
        <f>IFERROR(INDEX('Email Cleaner'!$B$2:$B$10001,MATCH(895,'Email Cleaner'!$G$2:$G$10001,0)),"")</f>
        <v/>
      </c>
    </row>
    <row r="897">
      <c r="A897">
        <f>IFERROR(INDEX('Email Cleaner'!$B$2:$B$10001,MATCH(896,'Email Cleaner'!$G$2:$G$10001,0)),"")</f>
        <v/>
      </c>
    </row>
    <row r="898">
      <c r="A898">
        <f>IFERROR(INDEX('Email Cleaner'!$B$2:$B$10001,MATCH(897,'Email Cleaner'!$G$2:$G$10001,0)),"")</f>
        <v/>
      </c>
    </row>
    <row r="899">
      <c r="A899">
        <f>IFERROR(INDEX('Email Cleaner'!$B$2:$B$10001,MATCH(898,'Email Cleaner'!$G$2:$G$10001,0)),"")</f>
        <v/>
      </c>
    </row>
    <row r="900">
      <c r="A900">
        <f>IFERROR(INDEX('Email Cleaner'!$B$2:$B$10001,MATCH(899,'Email Cleaner'!$G$2:$G$10001,0)),"")</f>
        <v/>
      </c>
    </row>
    <row r="901">
      <c r="A901">
        <f>IFERROR(INDEX('Email Cleaner'!$B$2:$B$10001,MATCH(900,'Email Cleaner'!$G$2:$G$10001,0)),"")</f>
        <v/>
      </c>
    </row>
    <row r="902">
      <c r="A902">
        <f>IFERROR(INDEX('Email Cleaner'!$B$2:$B$10001,MATCH(901,'Email Cleaner'!$G$2:$G$10001,0)),"")</f>
        <v/>
      </c>
    </row>
    <row r="903">
      <c r="A903">
        <f>IFERROR(INDEX('Email Cleaner'!$B$2:$B$10001,MATCH(902,'Email Cleaner'!$G$2:$G$10001,0)),"")</f>
        <v/>
      </c>
    </row>
    <row r="904">
      <c r="A904">
        <f>IFERROR(INDEX('Email Cleaner'!$B$2:$B$10001,MATCH(903,'Email Cleaner'!$G$2:$G$10001,0)),"")</f>
        <v/>
      </c>
    </row>
    <row r="905">
      <c r="A905">
        <f>IFERROR(INDEX('Email Cleaner'!$B$2:$B$10001,MATCH(904,'Email Cleaner'!$G$2:$G$10001,0)),"")</f>
        <v/>
      </c>
    </row>
    <row r="906">
      <c r="A906">
        <f>IFERROR(INDEX('Email Cleaner'!$B$2:$B$10001,MATCH(905,'Email Cleaner'!$G$2:$G$10001,0)),"")</f>
        <v/>
      </c>
    </row>
    <row r="907">
      <c r="A907">
        <f>IFERROR(INDEX('Email Cleaner'!$B$2:$B$10001,MATCH(906,'Email Cleaner'!$G$2:$G$10001,0)),"")</f>
        <v/>
      </c>
    </row>
    <row r="908">
      <c r="A908">
        <f>IFERROR(INDEX('Email Cleaner'!$B$2:$B$10001,MATCH(907,'Email Cleaner'!$G$2:$G$10001,0)),"")</f>
        <v/>
      </c>
    </row>
    <row r="909">
      <c r="A909">
        <f>IFERROR(INDEX('Email Cleaner'!$B$2:$B$10001,MATCH(908,'Email Cleaner'!$G$2:$G$10001,0)),"")</f>
        <v/>
      </c>
    </row>
    <row r="910">
      <c r="A910">
        <f>IFERROR(INDEX('Email Cleaner'!$B$2:$B$10001,MATCH(909,'Email Cleaner'!$G$2:$G$10001,0)),"")</f>
        <v/>
      </c>
    </row>
    <row r="911">
      <c r="A911">
        <f>IFERROR(INDEX('Email Cleaner'!$B$2:$B$10001,MATCH(910,'Email Cleaner'!$G$2:$G$10001,0)),"")</f>
        <v/>
      </c>
    </row>
    <row r="912">
      <c r="A912">
        <f>IFERROR(INDEX('Email Cleaner'!$B$2:$B$10001,MATCH(911,'Email Cleaner'!$G$2:$G$10001,0)),"")</f>
        <v/>
      </c>
    </row>
    <row r="913">
      <c r="A913">
        <f>IFERROR(INDEX('Email Cleaner'!$B$2:$B$10001,MATCH(912,'Email Cleaner'!$G$2:$G$10001,0)),"")</f>
        <v/>
      </c>
    </row>
    <row r="914">
      <c r="A914">
        <f>IFERROR(INDEX('Email Cleaner'!$B$2:$B$10001,MATCH(913,'Email Cleaner'!$G$2:$G$10001,0)),"")</f>
        <v/>
      </c>
    </row>
    <row r="915">
      <c r="A915">
        <f>IFERROR(INDEX('Email Cleaner'!$B$2:$B$10001,MATCH(914,'Email Cleaner'!$G$2:$G$10001,0)),"")</f>
        <v/>
      </c>
    </row>
    <row r="916">
      <c r="A916">
        <f>IFERROR(INDEX('Email Cleaner'!$B$2:$B$10001,MATCH(915,'Email Cleaner'!$G$2:$G$10001,0)),"")</f>
        <v/>
      </c>
    </row>
    <row r="917">
      <c r="A917">
        <f>IFERROR(INDEX('Email Cleaner'!$B$2:$B$10001,MATCH(916,'Email Cleaner'!$G$2:$G$10001,0)),"")</f>
        <v/>
      </c>
    </row>
    <row r="918">
      <c r="A918">
        <f>IFERROR(INDEX('Email Cleaner'!$B$2:$B$10001,MATCH(917,'Email Cleaner'!$G$2:$G$10001,0)),"")</f>
        <v/>
      </c>
    </row>
    <row r="919">
      <c r="A919">
        <f>IFERROR(INDEX('Email Cleaner'!$B$2:$B$10001,MATCH(918,'Email Cleaner'!$G$2:$G$10001,0)),"")</f>
        <v/>
      </c>
    </row>
    <row r="920">
      <c r="A920">
        <f>IFERROR(INDEX('Email Cleaner'!$B$2:$B$10001,MATCH(919,'Email Cleaner'!$G$2:$G$10001,0)),"")</f>
        <v/>
      </c>
    </row>
    <row r="921">
      <c r="A921">
        <f>IFERROR(INDEX('Email Cleaner'!$B$2:$B$10001,MATCH(920,'Email Cleaner'!$G$2:$G$10001,0)),"")</f>
        <v/>
      </c>
    </row>
    <row r="922">
      <c r="A922">
        <f>IFERROR(INDEX('Email Cleaner'!$B$2:$B$10001,MATCH(921,'Email Cleaner'!$G$2:$G$10001,0)),"")</f>
        <v/>
      </c>
    </row>
    <row r="923">
      <c r="A923">
        <f>IFERROR(INDEX('Email Cleaner'!$B$2:$B$10001,MATCH(922,'Email Cleaner'!$G$2:$G$10001,0)),"")</f>
        <v/>
      </c>
    </row>
    <row r="924">
      <c r="A924">
        <f>IFERROR(INDEX('Email Cleaner'!$B$2:$B$10001,MATCH(923,'Email Cleaner'!$G$2:$G$10001,0)),"")</f>
        <v/>
      </c>
    </row>
    <row r="925">
      <c r="A925">
        <f>IFERROR(INDEX('Email Cleaner'!$B$2:$B$10001,MATCH(924,'Email Cleaner'!$G$2:$G$10001,0)),"")</f>
        <v/>
      </c>
    </row>
    <row r="926">
      <c r="A926">
        <f>IFERROR(INDEX('Email Cleaner'!$B$2:$B$10001,MATCH(925,'Email Cleaner'!$G$2:$G$10001,0)),"")</f>
        <v/>
      </c>
    </row>
    <row r="927">
      <c r="A927">
        <f>IFERROR(INDEX('Email Cleaner'!$B$2:$B$10001,MATCH(926,'Email Cleaner'!$G$2:$G$10001,0)),"")</f>
        <v/>
      </c>
    </row>
    <row r="928">
      <c r="A928">
        <f>IFERROR(INDEX('Email Cleaner'!$B$2:$B$10001,MATCH(927,'Email Cleaner'!$G$2:$G$10001,0)),"")</f>
        <v/>
      </c>
    </row>
    <row r="929">
      <c r="A929">
        <f>IFERROR(INDEX('Email Cleaner'!$B$2:$B$10001,MATCH(928,'Email Cleaner'!$G$2:$G$10001,0)),"")</f>
        <v/>
      </c>
    </row>
    <row r="930">
      <c r="A930">
        <f>IFERROR(INDEX('Email Cleaner'!$B$2:$B$10001,MATCH(929,'Email Cleaner'!$G$2:$G$10001,0)),"")</f>
        <v/>
      </c>
    </row>
    <row r="931">
      <c r="A931">
        <f>IFERROR(INDEX('Email Cleaner'!$B$2:$B$10001,MATCH(930,'Email Cleaner'!$G$2:$G$10001,0)),"")</f>
        <v/>
      </c>
    </row>
    <row r="932">
      <c r="A932">
        <f>IFERROR(INDEX('Email Cleaner'!$B$2:$B$10001,MATCH(931,'Email Cleaner'!$G$2:$G$10001,0)),"")</f>
        <v/>
      </c>
    </row>
    <row r="933">
      <c r="A933">
        <f>IFERROR(INDEX('Email Cleaner'!$B$2:$B$10001,MATCH(932,'Email Cleaner'!$G$2:$G$10001,0)),"")</f>
        <v/>
      </c>
    </row>
    <row r="934">
      <c r="A934">
        <f>IFERROR(INDEX('Email Cleaner'!$B$2:$B$10001,MATCH(933,'Email Cleaner'!$G$2:$G$10001,0)),"")</f>
        <v/>
      </c>
    </row>
    <row r="935">
      <c r="A935">
        <f>IFERROR(INDEX('Email Cleaner'!$B$2:$B$10001,MATCH(934,'Email Cleaner'!$G$2:$G$10001,0)),"")</f>
        <v/>
      </c>
    </row>
    <row r="936">
      <c r="A936">
        <f>IFERROR(INDEX('Email Cleaner'!$B$2:$B$10001,MATCH(935,'Email Cleaner'!$G$2:$G$10001,0)),"")</f>
        <v/>
      </c>
    </row>
    <row r="937">
      <c r="A937">
        <f>IFERROR(INDEX('Email Cleaner'!$B$2:$B$10001,MATCH(936,'Email Cleaner'!$G$2:$G$10001,0)),"")</f>
        <v/>
      </c>
    </row>
    <row r="938">
      <c r="A938">
        <f>IFERROR(INDEX('Email Cleaner'!$B$2:$B$10001,MATCH(937,'Email Cleaner'!$G$2:$G$10001,0)),"")</f>
        <v/>
      </c>
    </row>
    <row r="939">
      <c r="A939">
        <f>IFERROR(INDEX('Email Cleaner'!$B$2:$B$10001,MATCH(938,'Email Cleaner'!$G$2:$G$10001,0)),"")</f>
        <v/>
      </c>
    </row>
    <row r="940">
      <c r="A940">
        <f>IFERROR(INDEX('Email Cleaner'!$B$2:$B$10001,MATCH(939,'Email Cleaner'!$G$2:$G$10001,0)),"")</f>
        <v/>
      </c>
    </row>
    <row r="941">
      <c r="A941">
        <f>IFERROR(INDEX('Email Cleaner'!$B$2:$B$10001,MATCH(940,'Email Cleaner'!$G$2:$G$10001,0)),"")</f>
        <v/>
      </c>
    </row>
    <row r="942">
      <c r="A942">
        <f>IFERROR(INDEX('Email Cleaner'!$B$2:$B$10001,MATCH(941,'Email Cleaner'!$G$2:$G$10001,0)),"")</f>
        <v/>
      </c>
    </row>
    <row r="943">
      <c r="A943">
        <f>IFERROR(INDEX('Email Cleaner'!$B$2:$B$10001,MATCH(942,'Email Cleaner'!$G$2:$G$10001,0)),"")</f>
        <v/>
      </c>
    </row>
    <row r="944">
      <c r="A944">
        <f>IFERROR(INDEX('Email Cleaner'!$B$2:$B$10001,MATCH(943,'Email Cleaner'!$G$2:$G$10001,0)),"")</f>
        <v/>
      </c>
    </row>
    <row r="945">
      <c r="A945">
        <f>IFERROR(INDEX('Email Cleaner'!$B$2:$B$10001,MATCH(944,'Email Cleaner'!$G$2:$G$10001,0)),"")</f>
        <v/>
      </c>
    </row>
    <row r="946">
      <c r="A946">
        <f>IFERROR(INDEX('Email Cleaner'!$B$2:$B$10001,MATCH(945,'Email Cleaner'!$G$2:$G$10001,0)),"")</f>
        <v/>
      </c>
    </row>
    <row r="947">
      <c r="A947">
        <f>IFERROR(INDEX('Email Cleaner'!$B$2:$B$10001,MATCH(946,'Email Cleaner'!$G$2:$G$10001,0)),"")</f>
        <v/>
      </c>
    </row>
    <row r="948">
      <c r="A948">
        <f>IFERROR(INDEX('Email Cleaner'!$B$2:$B$10001,MATCH(947,'Email Cleaner'!$G$2:$G$10001,0)),"")</f>
        <v/>
      </c>
    </row>
    <row r="949">
      <c r="A949">
        <f>IFERROR(INDEX('Email Cleaner'!$B$2:$B$10001,MATCH(948,'Email Cleaner'!$G$2:$G$10001,0)),"")</f>
        <v/>
      </c>
    </row>
    <row r="950">
      <c r="A950">
        <f>IFERROR(INDEX('Email Cleaner'!$B$2:$B$10001,MATCH(949,'Email Cleaner'!$G$2:$G$10001,0)),"")</f>
        <v/>
      </c>
    </row>
    <row r="951">
      <c r="A951">
        <f>IFERROR(INDEX('Email Cleaner'!$B$2:$B$10001,MATCH(950,'Email Cleaner'!$G$2:$G$10001,0)),"")</f>
        <v/>
      </c>
    </row>
    <row r="952">
      <c r="A952">
        <f>IFERROR(INDEX('Email Cleaner'!$B$2:$B$10001,MATCH(951,'Email Cleaner'!$G$2:$G$10001,0)),"")</f>
        <v/>
      </c>
    </row>
    <row r="953">
      <c r="A953">
        <f>IFERROR(INDEX('Email Cleaner'!$B$2:$B$10001,MATCH(952,'Email Cleaner'!$G$2:$G$10001,0)),"")</f>
        <v/>
      </c>
    </row>
    <row r="954">
      <c r="A954">
        <f>IFERROR(INDEX('Email Cleaner'!$B$2:$B$10001,MATCH(953,'Email Cleaner'!$G$2:$G$10001,0)),"")</f>
        <v/>
      </c>
    </row>
    <row r="955">
      <c r="A955">
        <f>IFERROR(INDEX('Email Cleaner'!$B$2:$B$10001,MATCH(954,'Email Cleaner'!$G$2:$G$10001,0)),"")</f>
        <v/>
      </c>
    </row>
    <row r="956">
      <c r="A956">
        <f>IFERROR(INDEX('Email Cleaner'!$B$2:$B$10001,MATCH(955,'Email Cleaner'!$G$2:$G$10001,0)),"")</f>
        <v/>
      </c>
    </row>
    <row r="957">
      <c r="A957">
        <f>IFERROR(INDEX('Email Cleaner'!$B$2:$B$10001,MATCH(956,'Email Cleaner'!$G$2:$G$10001,0)),"")</f>
        <v/>
      </c>
    </row>
    <row r="958">
      <c r="A958">
        <f>IFERROR(INDEX('Email Cleaner'!$B$2:$B$10001,MATCH(957,'Email Cleaner'!$G$2:$G$10001,0)),"")</f>
        <v/>
      </c>
    </row>
    <row r="959">
      <c r="A959">
        <f>IFERROR(INDEX('Email Cleaner'!$B$2:$B$10001,MATCH(958,'Email Cleaner'!$G$2:$G$10001,0)),"")</f>
        <v/>
      </c>
    </row>
    <row r="960">
      <c r="A960">
        <f>IFERROR(INDEX('Email Cleaner'!$B$2:$B$10001,MATCH(959,'Email Cleaner'!$G$2:$G$10001,0)),"")</f>
        <v/>
      </c>
    </row>
    <row r="961">
      <c r="A961">
        <f>IFERROR(INDEX('Email Cleaner'!$B$2:$B$10001,MATCH(960,'Email Cleaner'!$G$2:$G$10001,0)),"")</f>
        <v/>
      </c>
    </row>
    <row r="962">
      <c r="A962">
        <f>IFERROR(INDEX('Email Cleaner'!$B$2:$B$10001,MATCH(961,'Email Cleaner'!$G$2:$G$10001,0)),"")</f>
        <v/>
      </c>
    </row>
    <row r="963">
      <c r="A963">
        <f>IFERROR(INDEX('Email Cleaner'!$B$2:$B$10001,MATCH(962,'Email Cleaner'!$G$2:$G$10001,0)),"")</f>
        <v/>
      </c>
    </row>
    <row r="964">
      <c r="A964">
        <f>IFERROR(INDEX('Email Cleaner'!$B$2:$B$10001,MATCH(963,'Email Cleaner'!$G$2:$G$10001,0)),"")</f>
        <v/>
      </c>
    </row>
    <row r="965">
      <c r="A965">
        <f>IFERROR(INDEX('Email Cleaner'!$B$2:$B$10001,MATCH(964,'Email Cleaner'!$G$2:$G$10001,0)),"")</f>
        <v/>
      </c>
    </row>
    <row r="966">
      <c r="A966">
        <f>IFERROR(INDEX('Email Cleaner'!$B$2:$B$10001,MATCH(965,'Email Cleaner'!$G$2:$G$10001,0)),"")</f>
        <v/>
      </c>
    </row>
    <row r="967">
      <c r="A967">
        <f>IFERROR(INDEX('Email Cleaner'!$B$2:$B$10001,MATCH(966,'Email Cleaner'!$G$2:$G$10001,0)),"")</f>
        <v/>
      </c>
    </row>
    <row r="968">
      <c r="A968">
        <f>IFERROR(INDEX('Email Cleaner'!$B$2:$B$10001,MATCH(967,'Email Cleaner'!$G$2:$G$10001,0)),"")</f>
        <v/>
      </c>
    </row>
    <row r="969">
      <c r="A969">
        <f>IFERROR(INDEX('Email Cleaner'!$B$2:$B$10001,MATCH(968,'Email Cleaner'!$G$2:$G$10001,0)),"")</f>
        <v/>
      </c>
    </row>
    <row r="970">
      <c r="A970">
        <f>IFERROR(INDEX('Email Cleaner'!$B$2:$B$10001,MATCH(969,'Email Cleaner'!$G$2:$G$10001,0)),"")</f>
        <v/>
      </c>
    </row>
    <row r="971">
      <c r="A971">
        <f>IFERROR(INDEX('Email Cleaner'!$B$2:$B$10001,MATCH(970,'Email Cleaner'!$G$2:$G$10001,0)),"")</f>
        <v/>
      </c>
    </row>
    <row r="972">
      <c r="A972">
        <f>IFERROR(INDEX('Email Cleaner'!$B$2:$B$10001,MATCH(971,'Email Cleaner'!$G$2:$G$10001,0)),"")</f>
        <v/>
      </c>
    </row>
    <row r="973">
      <c r="A973">
        <f>IFERROR(INDEX('Email Cleaner'!$B$2:$B$10001,MATCH(972,'Email Cleaner'!$G$2:$G$10001,0)),"")</f>
        <v/>
      </c>
    </row>
    <row r="974">
      <c r="A974">
        <f>IFERROR(INDEX('Email Cleaner'!$B$2:$B$10001,MATCH(973,'Email Cleaner'!$G$2:$G$10001,0)),"")</f>
        <v/>
      </c>
    </row>
    <row r="975">
      <c r="A975">
        <f>IFERROR(INDEX('Email Cleaner'!$B$2:$B$10001,MATCH(974,'Email Cleaner'!$G$2:$G$10001,0)),"")</f>
        <v/>
      </c>
    </row>
    <row r="976">
      <c r="A976">
        <f>IFERROR(INDEX('Email Cleaner'!$B$2:$B$10001,MATCH(975,'Email Cleaner'!$G$2:$G$10001,0)),"")</f>
        <v/>
      </c>
    </row>
    <row r="977">
      <c r="A977">
        <f>IFERROR(INDEX('Email Cleaner'!$B$2:$B$10001,MATCH(976,'Email Cleaner'!$G$2:$G$10001,0)),"")</f>
        <v/>
      </c>
    </row>
    <row r="978">
      <c r="A978">
        <f>IFERROR(INDEX('Email Cleaner'!$B$2:$B$10001,MATCH(977,'Email Cleaner'!$G$2:$G$10001,0)),"")</f>
        <v/>
      </c>
    </row>
    <row r="979">
      <c r="A979">
        <f>IFERROR(INDEX('Email Cleaner'!$B$2:$B$10001,MATCH(978,'Email Cleaner'!$G$2:$G$10001,0)),"")</f>
        <v/>
      </c>
    </row>
    <row r="980">
      <c r="A980">
        <f>IFERROR(INDEX('Email Cleaner'!$B$2:$B$10001,MATCH(979,'Email Cleaner'!$G$2:$G$10001,0)),"")</f>
        <v/>
      </c>
    </row>
    <row r="981">
      <c r="A981">
        <f>IFERROR(INDEX('Email Cleaner'!$B$2:$B$10001,MATCH(980,'Email Cleaner'!$G$2:$G$10001,0)),"")</f>
        <v/>
      </c>
    </row>
    <row r="982">
      <c r="A982">
        <f>IFERROR(INDEX('Email Cleaner'!$B$2:$B$10001,MATCH(981,'Email Cleaner'!$G$2:$G$10001,0)),"")</f>
        <v/>
      </c>
    </row>
    <row r="983">
      <c r="A983">
        <f>IFERROR(INDEX('Email Cleaner'!$B$2:$B$10001,MATCH(982,'Email Cleaner'!$G$2:$G$10001,0)),"")</f>
        <v/>
      </c>
    </row>
    <row r="984">
      <c r="A984">
        <f>IFERROR(INDEX('Email Cleaner'!$B$2:$B$10001,MATCH(983,'Email Cleaner'!$G$2:$G$10001,0)),"")</f>
        <v/>
      </c>
    </row>
    <row r="985">
      <c r="A985">
        <f>IFERROR(INDEX('Email Cleaner'!$B$2:$B$10001,MATCH(984,'Email Cleaner'!$G$2:$G$10001,0)),"")</f>
        <v/>
      </c>
    </row>
    <row r="986">
      <c r="A986">
        <f>IFERROR(INDEX('Email Cleaner'!$B$2:$B$10001,MATCH(985,'Email Cleaner'!$G$2:$G$10001,0)),"")</f>
        <v/>
      </c>
    </row>
    <row r="987">
      <c r="A987">
        <f>IFERROR(INDEX('Email Cleaner'!$B$2:$B$10001,MATCH(986,'Email Cleaner'!$G$2:$G$10001,0)),"")</f>
        <v/>
      </c>
    </row>
    <row r="988">
      <c r="A988">
        <f>IFERROR(INDEX('Email Cleaner'!$B$2:$B$10001,MATCH(987,'Email Cleaner'!$G$2:$G$10001,0)),"")</f>
        <v/>
      </c>
    </row>
    <row r="989">
      <c r="A989">
        <f>IFERROR(INDEX('Email Cleaner'!$B$2:$B$10001,MATCH(988,'Email Cleaner'!$G$2:$G$10001,0)),"")</f>
        <v/>
      </c>
    </row>
    <row r="990">
      <c r="A990">
        <f>IFERROR(INDEX('Email Cleaner'!$B$2:$B$10001,MATCH(989,'Email Cleaner'!$G$2:$G$10001,0)),"")</f>
        <v/>
      </c>
    </row>
    <row r="991">
      <c r="A991">
        <f>IFERROR(INDEX('Email Cleaner'!$B$2:$B$10001,MATCH(990,'Email Cleaner'!$G$2:$G$10001,0)),"")</f>
        <v/>
      </c>
    </row>
    <row r="992">
      <c r="A992">
        <f>IFERROR(INDEX('Email Cleaner'!$B$2:$B$10001,MATCH(991,'Email Cleaner'!$G$2:$G$10001,0)),"")</f>
        <v/>
      </c>
    </row>
    <row r="993">
      <c r="A993">
        <f>IFERROR(INDEX('Email Cleaner'!$B$2:$B$10001,MATCH(992,'Email Cleaner'!$G$2:$G$10001,0)),"")</f>
        <v/>
      </c>
    </row>
    <row r="994">
      <c r="A994">
        <f>IFERROR(INDEX('Email Cleaner'!$B$2:$B$10001,MATCH(993,'Email Cleaner'!$G$2:$G$10001,0)),"")</f>
        <v/>
      </c>
    </row>
    <row r="995">
      <c r="A995">
        <f>IFERROR(INDEX('Email Cleaner'!$B$2:$B$10001,MATCH(994,'Email Cleaner'!$G$2:$G$10001,0)),"")</f>
        <v/>
      </c>
    </row>
    <row r="996">
      <c r="A996">
        <f>IFERROR(INDEX('Email Cleaner'!$B$2:$B$10001,MATCH(995,'Email Cleaner'!$G$2:$G$10001,0)),"")</f>
        <v/>
      </c>
    </row>
    <row r="997">
      <c r="A997">
        <f>IFERROR(INDEX('Email Cleaner'!$B$2:$B$10001,MATCH(996,'Email Cleaner'!$G$2:$G$10001,0)),"")</f>
        <v/>
      </c>
    </row>
    <row r="998">
      <c r="A998">
        <f>IFERROR(INDEX('Email Cleaner'!$B$2:$B$10001,MATCH(997,'Email Cleaner'!$G$2:$G$10001,0)),"")</f>
        <v/>
      </c>
    </row>
    <row r="999">
      <c r="A999">
        <f>IFERROR(INDEX('Email Cleaner'!$B$2:$B$10001,MATCH(998,'Email Cleaner'!$G$2:$G$10001,0)),"")</f>
        <v/>
      </c>
    </row>
    <row r="1000">
      <c r="A1000">
        <f>IFERROR(INDEX('Email Cleaner'!$B$2:$B$10001,MATCH(999,'Email Cleaner'!$G$2:$G$10001,0)),"")</f>
        <v/>
      </c>
    </row>
    <row r="1001">
      <c r="A1001">
        <f>IFERROR(INDEX('Email Cleaner'!$B$2:$B$10001,MATCH(1000,'Email Cleaner'!$G$2:$G$10001,0)),"")</f>
        <v/>
      </c>
    </row>
    <row r="1002">
      <c r="A1002">
        <f>IFERROR(INDEX('Email Cleaner'!$B$2:$B$10001,MATCH(1001,'Email Cleaner'!$G$2:$G$10001,0)),"")</f>
        <v/>
      </c>
    </row>
    <row r="1003">
      <c r="A1003">
        <f>IFERROR(INDEX('Email Cleaner'!$B$2:$B$10001,MATCH(1002,'Email Cleaner'!$G$2:$G$10001,0)),"")</f>
        <v/>
      </c>
    </row>
    <row r="1004">
      <c r="A1004">
        <f>IFERROR(INDEX('Email Cleaner'!$B$2:$B$10001,MATCH(1003,'Email Cleaner'!$G$2:$G$10001,0)),"")</f>
        <v/>
      </c>
    </row>
    <row r="1005">
      <c r="A1005">
        <f>IFERROR(INDEX('Email Cleaner'!$B$2:$B$10001,MATCH(1004,'Email Cleaner'!$G$2:$G$10001,0)),"")</f>
        <v/>
      </c>
    </row>
    <row r="1006">
      <c r="A1006">
        <f>IFERROR(INDEX('Email Cleaner'!$B$2:$B$10001,MATCH(1005,'Email Cleaner'!$G$2:$G$10001,0)),"")</f>
        <v/>
      </c>
    </row>
    <row r="1007">
      <c r="A1007">
        <f>IFERROR(INDEX('Email Cleaner'!$B$2:$B$10001,MATCH(1006,'Email Cleaner'!$G$2:$G$10001,0)),"")</f>
        <v/>
      </c>
    </row>
    <row r="1008">
      <c r="A1008">
        <f>IFERROR(INDEX('Email Cleaner'!$B$2:$B$10001,MATCH(1007,'Email Cleaner'!$G$2:$G$10001,0)),"")</f>
        <v/>
      </c>
    </row>
    <row r="1009">
      <c r="A1009">
        <f>IFERROR(INDEX('Email Cleaner'!$B$2:$B$10001,MATCH(1008,'Email Cleaner'!$G$2:$G$10001,0)),"")</f>
        <v/>
      </c>
    </row>
    <row r="1010">
      <c r="A1010">
        <f>IFERROR(INDEX('Email Cleaner'!$B$2:$B$10001,MATCH(1009,'Email Cleaner'!$G$2:$G$10001,0)),"")</f>
        <v/>
      </c>
    </row>
    <row r="1011">
      <c r="A1011">
        <f>IFERROR(INDEX('Email Cleaner'!$B$2:$B$10001,MATCH(1010,'Email Cleaner'!$G$2:$G$10001,0)),"")</f>
        <v/>
      </c>
    </row>
    <row r="1012">
      <c r="A1012">
        <f>IFERROR(INDEX('Email Cleaner'!$B$2:$B$10001,MATCH(1011,'Email Cleaner'!$G$2:$G$10001,0)),"")</f>
        <v/>
      </c>
    </row>
    <row r="1013">
      <c r="A1013">
        <f>IFERROR(INDEX('Email Cleaner'!$B$2:$B$10001,MATCH(1012,'Email Cleaner'!$G$2:$G$10001,0)),"")</f>
        <v/>
      </c>
    </row>
    <row r="1014">
      <c r="A1014">
        <f>IFERROR(INDEX('Email Cleaner'!$B$2:$B$10001,MATCH(1013,'Email Cleaner'!$G$2:$G$10001,0)),"")</f>
        <v/>
      </c>
    </row>
    <row r="1015">
      <c r="A1015">
        <f>IFERROR(INDEX('Email Cleaner'!$B$2:$B$10001,MATCH(1014,'Email Cleaner'!$G$2:$G$10001,0)),"")</f>
        <v/>
      </c>
    </row>
    <row r="1016">
      <c r="A1016">
        <f>IFERROR(INDEX('Email Cleaner'!$B$2:$B$10001,MATCH(1015,'Email Cleaner'!$G$2:$G$10001,0)),"")</f>
        <v/>
      </c>
    </row>
    <row r="1017">
      <c r="A1017">
        <f>IFERROR(INDEX('Email Cleaner'!$B$2:$B$10001,MATCH(1016,'Email Cleaner'!$G$2:$G$10001,0)),"")</f>
        <v/>
      </c>
    </row>
    <row r="1018">
      <c r="A1018">
        <f>IFERROR(INDEX('Email Cleaner'!$B$2:$B$10001,MATCH(1017,'Email Cleaner'!$G$2:$G$10001,0)),"")</f>
        <v/>
      </c>
    </row>
    <row r="1019">
      <c r="A1019">
        <f>IFERROR(INDEX('Email Cleaner'!$B$2:$B$10001,MATCH(1018,'Email Cleaner'!$G$2:$G$10001,0)),"")</f>
        <v/>
      </c>
    </row>
    <row r="1020">
      <c r="A1020">
        <f>IFERROR(INDEX('Email Cleaner'!$B$2:$B$10001,MATCH(1019,'Email Cleaner'!$G$2:$G$10001,0)),"")</f>
        <v/>
      </c>
    </row>
    <row r="1021">
      <c r="A1021">
        <f>IFERROR(INDEX('Email Cleaner'!$B$2:$B$10001,MATCH(1020,'Email Cleaner'!$G$2:$G$10001,0)),"")</f>
        <v/>
      </c>
    </row>
    <row r="1022">
      <c r="A1022">
        <f>IFERROR(INDEX('Email Cleaner'!$B$2:$B$10001,MATCH(1021,'Email Cleaner'!$G$2:$G$10001,0)),"")</f>
        <v/>
      </c>
    </row>
    <row r="1023">
      <c r="A1023">
        <f>IFERROR(INDEX('Email Cleaner'!$B$2:$B$10001,MATCH(1022,'Email Cleaner'!$G$2:$G$10001,0)),"")</f>
        <v/>
      </c>
    </row>
    <row r="1024">
      <c r="A1024">
        <f>IFERROR(INDEX('Email Cleaner'!$B$2:$B$10001,MATCH(1023,'Email Cleaner'!$G$2:$G$10001,0)),"")</f>
        <v/>
      </c>
    </row>
    <row r="1025">
      <c r="A1025">
        <f>IFERROR(INDEX('Email Cleaner'!$B$2:$B$10001,MATCH(1024,'Email Cleaner'!$G$2:$G$10001,0)),"")</f>
        <v/>
      </c>
    </row>
    <row r="1026">
      <c r="A1026">
        <f>IFERROR(INDEX('Email Cleaner'!$B$2:$B$10001,MATCH(1025,'Email Cleaner'!$G$2:$G$10001,0)),"")</f>
        <v/>
      </c>
    </row>
    <row r="1027">
      <c r="A1027">
        <f>IFERROR(INDEX('Email Cleaner'!$B$2:$B$10001,MATCH(1026,'Email Cleaner'!$G$2:$G$10001,0)),"")</f>
        <v/>
      </c>
    </row>
    <row r="1028">
      <c r="A1028">
        <f>IFERROR(INDEX('Email Cleaner'!$B$2:$B$10001,MATCH(1027,'Email Cleaner'!$G$2:$G$10001,0)),"")</f>
        <v/>
      </c>
    </row>
    <row r="1029">
      <c r="A1029">
        <f>IFERROR(INDEX('Email Cleaner'!$B$2:$B$10001,MATCH(1028,'Email Cleaner'!$G$2:$G$10001,0)),"")</f>
        <v/>
      </c>
    </row>
    <row r="1030">
      <c r="A1030">
        <f>IFERROR(INDEX('Email Cleaner'!$B$2:$B$10001,MATCH(1029,'Email Cleaner'!$G$2:$G$10001,0)),"")</f>
        <v/>
      </c>
    </row>
    <row r="1031">
      <c r="A1031">
        <f>IFERROR(INDEX('Email Cleaner'!$B$2:$B$10001,MATCH(1030,'Email Cleaner'!$G$2:$G$10001,0)),"")</f>
        <v/>
      </c>
    </row>
    <row r="1032">
      <c r="A1032">
        <f>IFERROR(INDEX('Email Cleaner'!$B$2:$B$10001,MATCH(1031,'Email Cleaner'!$G$2:$G$10001,0)),"")</f>
        <v/>
      </c>
    </row>
    <row r="1033">
      <c r="A1033">
        <f>IFERROR(INDEX('Email Cleaner'!$B$2:$B$10001,MATCH(1032,'Email Cleaner'!$G$2:$G$10001,0)),"")</f>
        <v/>
      </c>
    </row>
    <row r="1034">
      <c r="A1034">
        <f>IFERROR(INDEX('Email Cleaner'!$B$2:$B$10001,MATCH(1033,'Email Cleaner'!$G$2:$G$10001,0)),"")</f>
        <v/>
      </c>
    </row>
    <row r="1035">
      <c r="A1035">
        <f>IFERROR(INDEX('Email Cleaner'!$B$2:$B$10001,MATCH(1034,'Email Cleaner'!$G$2:$G$10001,0)),"")</f>
        <v/>
      </c>
    </row>
    <row r="1036">
      <c r="A1036">
        <f>IFERROR(INDEX('Email Cleaner'!$B$2:$B$10001,MATCH(1035,'Email Cleaner'!$G$2:$G$10001,0)),"")</f>
        <v/>
      </c>
    </row>
    <row r="1037">
      <c r="A1037">
        <f>IFERROR(INDEX('Email Cleaner'!$B$2:$B$10001,MATCH(1036,'Email Cleaner'!$G$2:$G$10001,0)),"")</f>
        <v/>
      </c>
    </row>
    <row r="1038">
      <c r="A1038">
        <f>IFERROR(INDEX('Email Cleaner'!$B$2:$B$10001,MATCH(1037,'Email Cleaner'!$G$2:$G$10001,0)),"")</f>
        <v/>
      </c>
    </row>
    <row r="1039">
      <c r="A1039">
        <f>IFERROR(INDEX('Email Cleaner'!$B$2:$B$10001,MATCH(1038,'Email Cleaner'!$G$2:$G$10001,0)),"")</f>
        <v/>
      </c>
    </row>
    <row r="1040">
      <c r="A1040">
        <f>IFERROR(INDEX('Email Cleaner'!$B$2:$B$10001,MATCH(1039,'Email Cleaner'!$G$2:$G$10001,0)),"")</f>
        <v/>
      </c>
    </row>
    <row r="1041">
      <c r="A1041">
        <f>IFERROR(INDEX('Email Cleaner'!$B$2:$B$10001,MATCH(1040,'Email Cleaner'!$G$2:$G$10001,0)),"")</f>
        <v/>
      </c>
    </row>
    <row r="1042">
      <c r="A1042">
        <f>IFERROR(INDEX('Email Cleaner'!$B$2:$B$10001,MATCH(1041,'Email Cleaner'!$G$2:$G$10001,0)),"")</f>
        <v/>
      </c>
    </row>
    <row r="1043">
      <c r="A1043">
        <f>IFERROR(INDEX('Email Cleaner'!$B$2:$B$10001,MATCH(1042,'Email Cleaner'!$G$2:$G$10001,0)),"")</f>
        <v/>
      </c>
    </row>
    <row r="1044">
      <c r="A1044">
        <f>IFERROR(INDEX('Email Cleaner'!$B$2:$B$10001,MATCH(1043,'Email Cleaner'!$G$2:$G$10001,0)),"")</f>
        <v/>
      </c>
    </row>
    <row r="1045">
      <c r="A1045">
        <f>IFERROR(INDEX('Email Cleaner'!$B$2:$B$10001,MATCH(1044,'Email Cleaner'!$G$2:$G$10001,0)),"")</f>
        <v/>
      </c>
    </row>
    <row r="1046">
      <c r="A1046">
        <f>IFERROR(INDEX('Email Cleaner'!$B$2:$B$10001,MATCH(1045,'Email Cleaner'!$G$2:$G$10001,0)),"")</f>
        <v/>
      </c>
    </row>
    <row r="1047">
      <c r="A1047">
        <f>IFERROR(INDEX('Email Cleaner'!$B$2:$B$10001,MATCH(1046,'Email Cleaner'!$G$2:$G$10001,0)),"")</f>
        <v/>
      </c>
    </row>
    <row r="1048">
      <c r="A1048">
        <f>IFERROR(INDEX('Email Cleaner'!$B$2:$B$10001,MATCH(1047,'Email Cleaner'!$G$2:$G$10001,0)),"")</f>
        <v/>
      </c>
    </row>
    <row r="1049">
      <c r="A1049">
        <f>IFERROR(INDEX('Email Cleaner'!$B$2:$B$10001,MATCH(1048,'Email Cleaner'!$G$2:$G$10001,0)),"")</f>
        <v/>
      </c>
    </row>
    <row r="1050">
      <c r="A1050">
        <f>IFERROR(INDEX('Email Cleaner'!$B$2:$B$10001,MATCH(1049,'Email Cleaner'!$G$2:$G$10001,0)),"")</f>
        <v/>
      </c>
    </row>
    <row r="1051">
      <c r="A1051">
        <f>IFERROR(INDEX('Email Cleaner'!$B$2:$B$10001,MATCH(1050,'Email Cleaner'!$G$2:$G$10001,0)),"")</f>
        <v/>
      </c>
    </row>
    <row r="1052">
      <c r="A1052">
        <f>IFERROR(INDEX('Email Cleaner'!$B$2:$B$10001,MATCH(1051,'Email Cleaner'!$G$2:$G$10001,0)),"")</f>
        <v/>
      </c>
    </row>
    <row r="1053">
      <c r="A1053">
        <f>IFERROR(INDEX('Email Cleaner'!$B$2:$B$10001,MATCH(1052,'Email Cleaner'!$G$2:$G$10001,0)),"")</f>
        <v/>
      </c>
    </row>
    <row r="1054">
      <c r="A1054">
        <f>IFERROR(INDEX('Email Cleaner'!$B$2:$B$10001,MATCH(1053,'Email Cleaner'!$G$2:$G$10001,0)),"")</f>
        <v/>
      </c>
    </row>
    <row r="1055">
      <c r="A1055">
        <f>IFERROR(INDEX('Email Cleaner'!$B$2:$B$10001,MATCH(1054,'Email Cleaner'!$G$2:$G$10001,0)),"")</f>
        <v/>
      </c>
    </row>
    <row r="1056">
      <c r="A1056">
        <f>IFERROR(INDEX('Email Cleaner'!$B$2:$B$10001,MATCH(1055,'Email Cleaner'!$G$2:$G$10001,0)),"")</f>
        <v/>
      </c>
    </row>
    <row r="1057">
      <c r="A1057">
        <f>IFERROR(INDEX('Email Cleaner'!$B$2:$B$10001,MATCH(1056,'Email Cleaner'!$G$2:$G$10001,0)),"")</f>
        <v/>
      </c>
    </row>
    <row r="1058">
      <c r="A1058">
        <f>IFERROR(INDEX('Email Cleaner'!$B$2:$B$10001,MATCH(1057,'Email Cleaner'!$G$2:$G$10001,0)),"")</f>
        <v/>
      </c>
    </row>
    <row r="1059">
      <c r="A1059">
        <f>IFERROR(INDEX('Email Cleaner'!$B$2:$B$10001,MATCH(1058,'Email Cleaner'!$G$2:$G$10001,0)),"")</f>
        <v/>
      </c>
    </row>
    <row r="1060">
      <c r="A1060">
        <f>IFERROR(INDEX('Email Cleaner'!$B$2:$B$10001,MATCH(1059,'Email Cleaner'!$G$2:$G$10001,0)),"")</f>
        <v/>
      </c>
    </row>
    <row r="1061">
      <c r="A1061">
        <f>IFERROR(INDEX('Email Cleaner'!$B$2:$B$10001,MATCH(1060,'Email Cleaner'!$G$2:$G$10001,0)),"")</f>
        <v/>
      </c>
    </row>
    <row r="1062">
      <c r="A1062">
        <f>IFERROR(INDEX('Email Cleaner'!$B$2:$B$10001,MATCH(1061,'Email Cleaner'!$G$2:$G$10001,0)),"")</f>
        <v/>
      </c>
    </row>
    <row r="1063">
      <c r="A1063">
        <f>IFERROR(INDEX('Email Cleaner'!$B$2:$B$10001,MATCH(1062,'Email Cleaner'!$G$2:$G$10001,0)),"")</f>
        <v/>
      </c>
    </row>
    <row r="1064">
      <c r="A1064">
        <f>IFERROR(INDEX('Email Cleaner'!$B$2:$B$10001,MATCH(1063,'Email Cleaner'!$G$2:$G$10001,0)),"")</f>
        <v/>
      </c>
    </row>
    <row r="1065">
      <c r="A1065">
        <f>IFERROR(INDEX('Email Cleaner'!$B$2:$B$10001,MATCH(1064,'Email Cleaner'!$G$2:$G$10001,0)),"")</f>
        <v/>
      </c>
    </row>
    <row r="1066">
      <c r="A1066">
        <f>IFERROR(INDEX('Email Cleaner'!$B$2:$B$10001,MATCH(1065,'Email Cleaner'!$G$2:$G$10001,0)),"")</f>
        <v/>
      </c>
    </row>
    <row r="1067">
      <c r="A1067">
        <f>IFERROR(INDEX('Email Cleaner'!$B$2:$B$10001,MATCH(1066,'Email Cleaner'!$G$2:$G$10001,0)),"")</f>
        <v/>
      </c>
    </row>
    <row r="1068">
      <c r="A1068">
        <f>IFERROR(INDEX('Email Cleaner'!$B$2:$B$10001,MATCH(1067,'Email Cleaner'!$G$2:$G$10001,0)),"")</f>
        <v/>
      </c>
    </row>
    <row r="1069">
      <c r="A1069">
        <f>IFERROR(INDEX('Email Cleaner'!$B$2:$B$10001,MATCH(1068,'Email Cleaner'!$G$2:$G$10001,0)),"")</f>
        <v/>
      </c>
    </row>
    <row r="1070">
      <c r="A1070">
        <f>IFERROR(INDEX('Email Cleaner'!$B$2:$B$10001,MATCH(1069,'Email Cleaner'!$G$2:$G$10001,0)),"")</f>
        <v/>
      </c>
    </row>
    <row r="1071">
      <c r="A1071">
        <f>IFERROR(INDEX('Email Cleaner'!$B$2:$B$10001,MATCH(1070,'Email Cleaner'!$G$2:$G$10001,0)),"")</f>
        <v/>
      </c>
    </row>
    <row r="1072">
      <c r="A1072">
        <f>IFERROR(INDEX('Email Cleaner'!$B$2:$B$10001,MATCH(1071,'Email Cleaner'!$G$2:$G$10001,0)),"")</f>
        <v/>
      </c>
    </row>
    <row r="1073">
      <c r="A1073">
        <f>IFERROR(INDEX('Email Cleaner'!$B$2:$B$10001,MATCH(1072,'Email Cleaner'!$G$2:$G$10001,0)),"")</f>
        <v/>
      </c>
    </row>
    <row r="1074">
      <c r="A1074">
        <f>IFERROR(INDEX('Email Cleaner'!$B$2:$B$10001,MATCH(1073,'Email Cleaner'!$G$2:$G$10001,0)),"")</f>
        <v/>
      </c>
    </row>
    <row r="1075">
      <c r="A1075">
        <f>IFERROR(INDEX('Email Cleaner'!$B$2:$B$10001,MATCH(1074,'Email Cleaner'!$G$2:$G$10001,0)),"")</f>
        <v/>
      </c>
    </row>
    <row r="1076">
      <c r="A1076">
        <f>IFERROR(INDEX('Email Cleaner'!$B$2:$B$10001,MATCH(1075,'Email Cleaner'!$G$2:$G$10001,0)),"")</f>
        <v/>
      </c>
    </row>
    <row r="1077">
      <c r="A1077">
        <f>IFERROR(INDEX('Email Cleaner'!$B$2:$B$10001,MATCH(1076,'Email Cleaner'!$G$2:$G$10001,0)),"")</f>
        <v/>
      </c>
    </row>
    <row r="1078">
      <c r="A1078">
        <f>IFERROR(INDEX('Email Cleaner'!$B$2:$B$10001,MATCH(1077,'Email Cleaner'!$G$2:$G$10001,0)),"")</f>
        <v/>
      </c>
    </row>
    <row r="1079">
      <c r="A1079">
        <f>IFERROR(INDEX('Email Cleaner'!$B$2:$B$10001,MATCH(1078,'Email Cleaner'!$G$2:$G$10001,0)),"")</f>
        <v/>
      </c>
    </row>
    <row r="1080">
      <c r="A1080">
        <f>IFERROR(INDEX('Email Cleaner'!$B$2:$B$10001,MATCH(1079,'Email Cleaner'!$G$2:$G$10001,0)),"")</f>
        <v/>
      </c>
    </row>
    <row r="1081">
      <c r="A1081">
        <f>IFERROR(INDEX('Email Cleaner'!$B$2:$B$10001,MATCH(1080,'Email Cleaner'!$G$2:$G$10001,0)),"")</f>
        <v/>
      </c>
    </row>
    <row r="1082">
      <c r="A1082">
        <f>IFERROR(INDEX('Email Cleaner'!$B$2:$B$10001,MATCH(1081,'Email Cleaner'!$G$2:$G$10001,0)),"")</f>
        <v/>
      </c>
    </row>
    <row r="1083">
      <c r="A1083">
        <f>IFERROR(INDEX('Email Cleaner'!$B$2:$B$10001,MATCH(1082,'Email Cleaner'!$G$2:$G$10001,0)),"")</f>
        <v/>
      </c>
    </row>
    <row r="1084">
      <c r="A1084">
        <f>IFERROR(INDEX('Email Cleaner'!$B$2:$B$10001,MATCH(1083,'Email Cleaner'!$G$2:$G$10001,0)),"")</f>
        <v/>
      </c>
    </row>
    <row r="1085">
      <c r="A1085">
        <f>IFERROR(INDEX('Email Cleaner'!$B$2:$B$10001,MATCH(1084,'Email Cleaner'!$G$2:$G$10001,0)),"")</f>
        <v/>
      </c>
    </row>
    <row r="1086">
      <c r="A1086">
        <f>IFERROR(INDEX('Email Cleaner'!$B$2:$B$10001,MATCH(1085,'Email Cleaner'!$G$2:$G$10001,0)),"")</f>
        <v/>
      </c>
    </row>
    <row r="1087">
      <c r="A1087">
        <f>IFERROR(INDEX('Email Cleaner'!$B$2:$B$10001,MATCH(1086,'Email Cleaner'!$G$2:$G$10001,0)),"")</f>
        <v/>
      </c>
    </row>
    <row r="1088">
      <c r="A1088">
        <f>IFERROR(INDEX('Email Cleaner'!$B$2:$B$10001,MATCH(1087,'Email Cleaner'!$G$2:$G$10001,0)),"")</f>
        <v/>
      </c>
    </row>
    <row r="1089">
      <c r="A1089">
        <f>IFERROR(INDEX('Email Cleaner'!$B$2:$B$10001,MATCH(1088,'Email Cleaner'!$G$2:$G$10001,0)),"")</f>
        <v/>
      </c>
    </row>
    <row r="1090">
      <c r="A1090">
        <f>IFERROR(INDEX('Email Cleaner'!$B$2:$B$10001,MATCH(1089,'Email Cleaner'!$G$2:$G$10001,0)),"")</f>
        <v/>
      </c>
    </row>
    <row r="1091">
      <c r="A1091">
        <f>IFERROR(INDEX('Email Cleaner'!$B$2:$B$10001,MATCH(1090,'Email Cleaner'!$G$2:$G$10001,0)),"")</f>
        <v/>
      </c>
    </row>
    <row r="1092">
      <c r="A1092">
        <f>IFERROR(INDEX('Email Cleaner'!$B$2:$B$10001,MATCH(1091,'Email Cleaner'!$G$2:$G$10001,0)),"")</f>
        <v/>
      </c>
    </row>
    <row r="1093">
      <c r="A1093">
        <f>IFERROR(INDEX('Email Cleaner'!$B$2:$B$10001,MATCH(1092,'Email Cleaner'!$G$2:$G$10001,0)),"")</f>
        <v/>
      </c>
    </row>
    <row r="1094">
      <c r="A1094">
        <f>IFERROR(INDEX('Email Cleaner'!$B$2:$B$10001,MATCH(1093,'Email Cleaner'!$G$2:$G$10001,0)),"")</f>
        <v/>
      </c>
    </row>
    <row r="1095">
      <c r="A1095">
        <f>IFERROR(INDEX('Email Cleaner'!$B$2:$B$10001,MATCH(1094,'Email Cleaner'!$G$2:$G$10001,0)),"")</f>
        <v/>
      </c>
    </row>
    <row r="1096">
      <c r="A1096">
        <f>IFERROR(INDEX('Email Cleaner'!$B$2:$B$10001,MATCH(1095,'Email Cleaner'!$G$2:$G$10001,0)),"")</f>
        <v/>
      </c>
    </row>
    <row r="1097">
      <c r="A1097">
        <f>IFERROR(INDEX('Email Cleaner'!$B$2:$B$10001,MATCH(1096,'Email Cleaner'!$G$2:$G$10001,0)),"")</f>
        <v/>
      </c>
    </row>
    <row r="1098">
      <c r="A1098">
        <f>IFERROR(INDEX('Email Cleaner'!$B$2:$B$10001,MATCH(1097,'Email Cleaner'!$G$2:$G$10001,0)),"")</f>
        <v/>
      </c>
    </row>
    <row r="1099">
      <c r="A1099">
        <f>IFERROR(INDEX('Email Cleaner'!$B$2:$B$10001,MATCH(1098,'Email Cleaner'!$G$2:$G$10001,0)),"")</f>
        <v/>
      </c>
    </row>
    <row r="1100">
      <c r="A1100">
        <f>IFERROR(INDEX('Email Cleaner'!$B$2:$B$10001,MATCH(1099,'Email Cleaner'!$G$2:$G$10001,0)),"")</f>
        <v/>
      </c>
    </row>
    <row r="1101">
      <c r="A1101">
        <f>IFERROR(INDEX('Email Cleaner'!$B$2:$B$10001,MATCH(1100,'Email Cleaner'!$G$2:$G$10001,0)),"")</f>
        <v/>
      </c>
    </row>
    <row r="1102">
      <c r="A1102">
        <f>IFERROR(INDEX('Email Cleaner'!$B$2:$B$10001,MATCH(1101,'Email Cleaner'!$G$2:$G$10001,0)),"")</f>
        <v/>
      </c>
    </row>
    <row r="1103">
      <c r="A1103">
        <f>IFERROR(INDEX('Email Cleaner'!$B$2:$B$10001,MATCH(1102,'Email Cleaner'!$G$2:$G$10001,0)),"")</f>
        <v/>
      </c>
    </row>
    <row r="1104">
      <c r="A1104">
        <f>IFERROR(INDEX('Email Cleaner'!$B$2:$B$10001,MATCH(1103,'Email Cleaner'!$G$2:$G$10001,0)),"")</f>
        <v/>
      </c>
    </row>
    <row r="1105">
      <c r="A1105">
        <f>IFERROR(INDEX('Email Cleaner'!$B$2:$B$10001,MATCH(1104,'Email Cleaner'!$G$2:$G$10001,0)),"")</f>
        <v/>
      </c>
    </row>
    <row r="1106">
      <c r="A1106">
        <f>IFERROR(INDEX('Email Cleaner'!$B$2:$B$10001,MATCH(1105,'Email Cleaner'!$G$2:$G$10001,0)),"")</f>
        <v/>
      </c>
    </row>
    <row r="1107">
      <c r="A1107">
        <f>IFERROR(INDEX('Email Cleaner'!$B$2:$B$10001,MATCH(1106,'Email Cleaner'!$G$2:$G$10001,0)),"")</f>
        <v/>
      </c>
    </row>
    <row r="1108">
      <c r="A1108">
        <f>IFERROR(INDEX('Email Cleaner'!$B$2:$B$10001,MATCH(1107,'Email Cleaner'!$G$2:$G$10001,0)),"")</f>
        <v/>
      </c>
    </row>
    <row r="1109">
      <c r="A1109">
        <f>IFERROR(INDEX('Email Cleaner'!$B$2:$B$10001,MATCH(1108,'Email Cleaner'!$G$2:$G$10001,0)),"")</f>
        <v/>
      </c>
    </row>
    <row r="1110">
      <c r="A1110">
        <f>IFERROR(INDEX('Email Cleaner'!$B$2:$B$10001,MATCH(1109,'Email Cleaner'!$G$2:$G$10001,0)),"")</f>
        <v/>
      </c>
    </row>
    <row r="1111">
      <c r="A1111">
        <f>IFERROR(INDEX('Email Cleaner'!$B$2:$B$10001,MATCH(1110,'Email Cleaner'!$G$2:$G$10001,0)),"")</f>
        <v/>
      </c>
    </row>
    <row r="1112">
      <c r="A1112">
        <f>IFERROR(INDEX('Email Cleaner'!$B$2:$B$10001,MATCH(1111,'Email Cleaner'!$G$2:$G$10001,0)),"")</f>
        <v/>
      </c>
    </row>
    <row r="1113">
      <c r="A1113">
        <f>IFERROR(INDEX('Email Cleaner'!$B$2:$B$10001,MATCH(1112,'Email Cleaner'!$G$2:$G$10001,0)),"")</f>
        <v/>
      </c>
    </row>
    <row r="1114">
      <c r="A1114">
        <f>IFERROR(INDEX('Email Cleaner'!$B$2:$B$10001,MATCH(1113,'Email Cleaner'!$G$2:$G$10001,0)),"")</f>
        <v/>
      </c>
    </row>
    <row r="1115">
      <c r="A1115">
        <f>IFERROR(INDEX('Email Cleaner'!$B$2:$B$10001,MATCH(1114,'Email Cleaner'!$G$2:$G$10001,0)),"")</f>
        <v/>
      </c>
    </row>
    <row r="1116">
      <c r="A1116">
        <f>IFERROR(INDEX('Email Cleaner'!$B$2:$B$10001,MATCH(1115,'Email Cleaner'!$G$2:$G$10001,0)),"")</f>
        <v/>
      </c>
    </row>
    <row r="1117">
      <c r="A1117">
        <f>IFERROR(INDEX('Email Cleaner'!$B$2:$B$10001,MATCH(1116,'Email Cleaner'!$G$2:$G$10001,0)),"")</f>
        <v/>
      </c>
    </row>
    <row r="1118">
      <c r="A1118">
        <f>IFERROR(INDEX('Email Cleaner'!$B$2:$B$10001,MATCH(1117,'Email Cleaner'!$G$2:$G$10001,0)),"")</f>
        <v/>
      </c>
    </row>
    <row r="1119">
      <c r="A1119">
        <f>IFERROR(INDEX('Email Cleaner'!$B$2:$B$10001,MATCH(1118,'Email Cleaner'!$G$2:$G$10001,0)),"")</f>
        <v/>
      </c>
    </row>
    <row r="1120">
      <c r="A1120">
        <f>IFERROR(INDEX('Email Cleaner'!$B$2:$B$10001,MATCH(1119,'Email Cleaner'!$G$2:$G$10001,0)),"")</f>
        <v/>
      </c>
    </row>
    <row r="1121">
      <c r="A1121">
        <f>IFERROR(INDEX('Email Cleaner'!$B$2:$B$10001,MATCH(1120,'Email Cleaner'!$G$2:$G$10001,0)),"")</f>
        <v/>
      </c>
    </row>
    <row r="1122">
      <c r="A1122">
        <f>IFERROR(INDEX('Email Cleaner'!$B$2:$B$10001,MATCH(1121,'Email Cleaner'!$G$2:$G$10001,0)),"")</f>
        <v/>
      </c>
    </row>
    <row r="1123">
      <c r="A1123">
        <f>IFERROR(INDEX('Email Cleaner'!$B$2:$B$10001,MATCH(1122,'Email Cleaner'!$G$2:$G$10001,0)),"")</f>
        <v/>
      </c>
    </row>
    <row r="1124">
      <c r="A1124">
        <f>IFERROR(INDEX('Email Cleaner'!$B$2:$B$10001,MATCH(1123,'Email Cleaner'!$G$2:$G$10001,0)),"")</f>
        <v/>
      </c>
    </row>
    <row r="1125">
      <c r="A1125">
        <f>IFERROR(INDEX('Email Cleaner'!$B$2:$B$10001,MATCH(1124,'Email Cleaner'!$G$2:$G$10001,0)),"")</f>
        <v/>
      </c>
    </row>
    <row r="1126">
      <c r="A1126">
        <f>IFERROR(INDEX('Email Cleaner'!$B$2:$B$10001,MATCH(1125,'Email Cleaner'!$G$2:$G$10001,0)),"")</f>
        <v/>
      </c>
    </row>
    <row r="1127">
      <c r="A1127">
        <f>IFERROR(INDEX('Email Cleaner'!$B$2:$B$10001,MATCH(1126,'Email Cleaner'!$G$2:$G$10001,0)),"")</f>
        <v/>
      </c>
    </row>
    <row r="1128">
      <c r="A1128">
        <f>IFERROR(INDEX('Email Cleaner'!$B$2:$B$10001,MATCH(1127,'Email Cleaner'!$G$2:$G$10001,0)),"")</f>
        <v/>
      </c>
    </row>
    <row r="1129">
      <c r="A1129">
        <f>IFERROR(INDEX('Email Cleaner'!$B$2:$B$10001,MATCH(1128,'Email Cleaner'!$G$2:$G$10001,0)),"")</f>
        <v/>
      </c>
    </row>
    <row r="1130">
      <c r="A1130">
        <f>IFERROR(INDEX('Email Cleaner'!$B$2:$B$10001,MATCH(1129,'Email Cleaner'!$G$2:$G$10001,0)),"")</f>
        <v/>
      </c>
    </row>
    <row r="1131">
      <c r="A1131">
        <f>IFERROR(INDEX('Email Cleaner'!$B$2:$B$10001,MATCH(1130,'Email Cleaner'!$G$2:$G$10001,0)),"")</f>
        <v/>
      </c>
    </row>
    <row r="1132">
      <c r="A1132">
        <f>IFERROR(INDEX('Email Cleaner'!$B$2:$B$10001,MATCH(1131,'Email Cleaner'!$G$2:$G$10001,0)),"")</f>
        <v/>
      </c>
    </row>
    <row r="1133">
      <c r="A1133">
        <f>IFERROR(INDEX('Email Cleaner'!$B$2:$B$10001,MATCH(1132,'Email Cleaner'!$G$2:$G$10001,0)),"")</f>
        <v/>
      </c>
    </row>
    <row r="1134">
      <c r="A1134">
        <f>IFERROR(INDEX('Email Cleaner'!$B$2:$B$10001,MATCH(1133,'Email Cleaner'!$G$2:$G$10001,0)),"")</f>
        <v/>
      </c>
    </row>
    <row r="1135">
      <c r="A1135">
        <f>IFERROR(INDEX('Email Cleaner'!$B$2:$B$10001,MATCH(1134,'Email Cleaner'!$G$2:$G$10001,0)),"")</f>
        <v/>
      </c>
    </row>
    <row r="1136">
      <c r="A1136">
        <f>IFERROR(INDEX('Email Cleaner'!$B$2:$B$10001,MATCH(1135,'Email Cleaner'!$G$2:$G$10001,0)),"")</f>
        <v/>
      </c>
    </row>
    <row r="1137">
      <c r="A1137">
        <f>IFERROR(INDEX('Email Cleaner'!$B$2:$B$10001,MATCH(1136,'Email Cleaner'!$G$2:$G$10001,0)),"")</f>
        <v/>
      </c>
    </row>
    <row r="1138">
      <c r="A1138">
        <f>IFERROR(INDEX('Email Cleaner'!$B$2:$B$10001,MATCH(1137,'Email Cleaner'!$G$2:$G$10001,0)),"")</f>
        <v/>
      </c>
    </row>
    <row r="1139">
      <c r="A1139">
        <f>IFERROR(INDEX('Email Cleaner'!$B$2:$B$10001,MATCH(1138,'Email Cleaner'!$G$2:$G$10001,0)),"")</f>
        <v/>
      </c>
    </row>
    <row r="1140">
      <c r="A1140">
        <f>IFERROR(INDEX('Email Cleaner'!$B$2:$B$10001,MATCH(1139,'Email Cleaner'!$G$2:$G$10001,0)),"")</f>
        <v/>
      </c>
    </row>
    <row r="1141">
      <c r="A1141">
        <f>IFERROR(INDEX('Email Cleaner'!$B$2:$B$10001,MATCH(1140,'Email Cleaner'!$G$2:$G$10001,0)),"")</f>
        <v/>
      </c>
    </row>
    <row r="1142">
      <c r="A1142">
        <f>IFERROR(INDEX('Email Cleaner'!$B$2:$B$10001,MATCH(1141,'Email Cleaner'!$G$2:$G$10001,0)),"")</f>
        <v/>
      </c>
    </row>
    <row r="1143">
      <c r="A1143">
        <f>IFERROR(INDEX('Email Cleaner'!$B$2:$B$10001,MATCH(1142,'Email Cleaner'!$G$2:$G$10001,0)),"")</f>
        <v/>
      </c>
    </row>
    <row r="1144">
      <c r="A1144">
        <f>IFERROR(INDEX('Email Cleaner'!$B$2:$B$10001,MATCH(1143,'Email Cleaner'!$G$2:$G$10001,0)),"")</f>
        <v/>
      </c>
    </row>
    <row r="1145">
      <c r="A1145">
        <f>IFERROR(INDEX('Email Cleaner'!$B$2:$B$10001,MATCH(1144,'Email Cleaner'!$G$2:$G$10001,0)),"")</f>
        <v/>
      </c>
    </row>
    <row r="1146">
      <c r="A1146">
        <f>IFERROR(INDEX('Email Cleaner'!$B$2:$B$10001,MATCH(1145,'Email Cleaner'!$G$2:$G$10001,0)),"")</f>
        <v/>
      </c>
    </row>
    <row r="1147">
      <c r="A1147">
        <f>IFERROR(INDEX('Email Cleaner'!$B$2:$B$10001,MATCH(1146,'Email Cleaner'!$G$2:$G$10001,0)),"")</f>
        <v/>
      </c>
    </row>
    <row r="1148">
      <c r="A1148">
        <f>IFERROR(INDEX('Email Cleaner'!$B$2:$B$10001,MATCH(1147,'Email Cleaner'!$G$2:$G$10001,0)),"")</f>
        <v/>
      </c>
    </row>
    <row r="1149">
      <c r="A1149">
        <f>IFERROR(INDEX('Email Cleaner'!$B$2:$B$10001,MATCH(1148,'Email Cleaner'!$G$2:$G$10001,0)),"")</f>
        <v/>
      </c>
    </row>
    <row r="1150">
      <c r="A1150">
        <f>IFERROR(INDEX('Email Cleaner'!$B$2:$B$10001,MATCH(1149,'Email Cleaner'!$G$2:$G$10001,0)),"")</f>
        <v/>
      </c>
    </row>
    <row r="1151">
      <c r="A1151">
        <f>IFERROR(INDEX('Email Cleaner'!$B$2:$B$10001,MATCH(1150,'Email Cleaner'!$G$2:$G$10001,0)),"")</f>
        <v/>
      </c>
    </row>
    <row r="1152">
      <c r="A1152">
        <f>IFERROR(INDEX('Email Cleaner'!$B$2:$B$10001,MATCH(1151,'Email Cleaner'!$G$2:$G$10001,0)),"")</f>
        <v/>
      </c>
    </row>
    <row r="1153">
      <c r="A1153">
        <f>IFERROR(INDEX('Email Cleaner'!$B$2:$B$10001,MATCH(1152,'Email Cleaner'!$G$2:$G$10001,0)),"")</f>
        <v/>
      </c>
    </row>
    <row r="1154">
      <c r="A1154">
        <f>IFERROR(INDEX('Email Cleaner'!$B$2:$B$10001,MATCH(1153,'Email Cleaner'!$G$2:$G$10001,0)),"")</f>
        <v/>
      </c>
    </row>
    <row r="1155">
      <c r="A1155">
        <f>IFERROR(INDEX('Email Cleaner'!$B$2:$B$10001,MATCH(1154,'Email Cleaner'!$G$2:$G$10001,0)),"")</f>
        <v/>
      </c>
    </row>
    <row r="1156">
      <c r="A1156">
        <f>IFERROR(INDEX('Email Cleaner'!$B$2:$B$10001,MATCH(1155,'Email Cleaner'!$G$2:$G$10001,0)),"")</f>
        <v/>
      </c>
    </row>
    <row r="1157">
      <c r="A1157">
        <f>IFERROR(INDEX('Email Cleaner'!$B$2:$B$10001,MATCH(1156,'Email Cleaner'!$G$2:$G$10001,0)),"")</f>
        <v/>
      </c>
    </row>
    <row r="1158">
      <c r="A1158">
        <f>IFERROR(INDEX('Email Cleaner'!$B$2:$B$10001,MATCH(1157,'Email Cleaner'!$G$2:$G$10001,0)),"")</f>
        <v/>
      </c>
    </row>
    <row r="1159">
      <c r="A1159">
        <f>IFERROR(INDEX('Email Cleaner'!$B$2:$B$10001,MATCH(1158,'Email Cleaner'!$G$2:$G$10001,0)),"")</f>
        <v/>
      </c>
    </row>
    <row r="1160">
      <c r="A1160">
        <f>IFERROR(INDEX('Email Cleaner'!$B$2:$B$10001,MATCH(1159,'Email Cleaner'!$G$2:$G$10001,0)),"")</f>
        <v/>
      </c>
    </row>
    <row r="1161">
      <c r="A1161">
        <f>IFERROR(INDEX('Email Cleaner'!$B$2:$B$10001,MATCH(1160,'Email Cleaner'!$G$2:$G$10001,0)),"")</f>
        <v/>
      </c>
    </row>
    <row r="1162">
      <c r="A1162">
        <f>IFERROR(INDEX('Email Cleaner'!$B$2:$B$10001,MATCH(1161,'Email Cleaner'!$G$2:$G$10001,0)),"")</f>
        <v/>
      </c>
    </row>
    <row r="1163">
      <c r="A1163">
        <f>IFERROR(INDEX('Email Cleaner'!$B$2:$B$10001,MATCH(1162,'Email Cleaner'!$G$2:$G$10001,0)),"")</f>
        <v/>
      </c>
    </row>
    <row r="1164">
      <c r="A1164">
        <f>IFERROR(INDEX('Email Cleaner'!$B$2:$B$10001,MATCH(1163,'Email Cleaner'!$G$2:$G$10001,0)),"")</f>
        <v/>
      </c>
    </row>
    <row r="1165">
      <c r="A1165">
        <f>IFERROR(INDEX('Email Cleaner'!$B$2:$B$10001,MATCH(1164,'Email Cleaner'!$G$2:$G$10001,0)),"")</f>
        <v/>
      </c>
    </row>
    <row r="1166">
      <c r="A1166">
        <f>IFERROR(INDEX('Email Cleaner'!$B$2:$B$10001,MATCH(1165,'Email Cleaner'!$G$2:$G$10001,0)),"")</f>
        <v/>
      </c>
    </row>
    <row r="1167">
      <c r="A1167">
        <f>IFERROR(INDEX('Email Cleaner'!$B$2:$B$10001,MATCH(1166,'Email Cleaner'!$G$2:$G$10001,0)),"")</f>
        <v/>
      </c>
    </row>
    <row r="1168">
      <c r="A1168">
        <f>IFERROR(INDEX('Email Cleaner'!$B$2:$B$10001,MATCH(1167,'Email Cleaner'!$G$2:$G$10001,0)),"")</f>
        <v/>
      </c>
    </row>
    <row r="1169">
      <c r="A1169">
        <f>IFERROR(INDEX('Email Cleaner'!$B$2:$B$10001,MATCH(1168,'Email Cleaner'!$G$2:$G$10001,0)),"")</f>
        <v/>
      </c>
    </row>
    <row r="1170">
      <c r="A1170">
        <f>IFERROR(INDEX('Email Cleaner'!$B$2:$B$10001,MATCH(1169,'Email Cleaner'!$G$2:$G$10001,0)),"")</f>
        <v/>
      </c>
    </row>
    <row r="1171">
      <c r="A1171">
        <f>IFERROR(INDEX('Email Cleaner'!$B$2:$B$10001,MATCH(1170,'Email Cleaner'!$G$2:$G$10001,0)),"")</f>
        <v/>
      </c>
    </row>
    <row r="1172">
      <c r="A1172">
        <f>IFERROR(INDEX('Email Cleaner'!$B$2:$B$10001,MATCH(1171,'Email Cleaner'!$G$2:$G$10001,0)),"")</f>
        <v/>
      </c>
    </row>
    <row r="1173">
      <c r="A1173">
        <f>IFERROR(INDEX('Email Cleaner'!$B$2:$B$10001,MATCH(1172,'Email Cleaner'!$G$2:$G$10001,0)),"")</f>
        <v/>
      </c>
    </row>
    <row r="1174">
      <c r="A1174">
        <f>IFERROR(INDEX('Email Cleaner'!$B$2:$B$10001,MATCH(1173,'Email Cleaner'!$G$2:$G$10001,0)),"")</f>
        <v/>
      </c>
    </row>
    <row r="1175">
      <c r="A1175">
        <f>IFERROR(INDEX('Email Cleaner'!$B$2:$B$10001,MATCH(1174,'Email Cleaner'!$G$2:$G$10001,0)),"")</f>
        <v/>
      </c>
    </row>
    <row r="1176">
      <c r="A1176">
        <f>IFERROR(INDEX('Email Cleaner'!$B$2:$B$10001,MATCH(1175,'Email Cleaner'!$G$2:$G$10001,0)),"")</f>
        <v/>
      </c>
    </row>
    <row r="1177">
      <c r="A1177">
        <f>IFERROR(INDEX('Email Cleaner'!$B$2:$B$10001,MATCH(1176,'Email Cleaner'!$G$2:$G$10001,0)),"")</f>
        <v/>
      </c>
    </row>
    <row r="1178">
      <c r="A1178">
        <f>IFERROR(INDEX('Email Cleaner'!$B$2:$B$10001,MATCH(1177,'Email Cleaner'!$G$2:$G$10001,0)),"")</f>
        <v/>
      </c>
    </row>
    <row r="1179">
      <c r="A1179">
        <f>IFERROR(INDEX('Email Cleaner'!$B$2:$B$10001,MATCH(1178,'Email Cleaner'!$G$2:$G$10001,0)),"")</f>
        <v/>
      </c>
    </row>
    <row r="1180">
      <c r="A1180">
        <f>IFERROR(INDEX('Email Cleaner'!$B$2:$B$10001,MATCH(1179,'Email Cleaner'!$G$2:$G$10001,0)),"")</f>
        <v/>
      </c>
    </row>
    <row r="1181">
      <c r="A1181">
        <f>IFERROR(INDEX('Email Cleaner'!$B$2:$B$10001,MATCH(1180,'Email Cleaner'!$G$2:$G$10001,0)),"")</f>
        <v/>
      </c>
    </row>
    <row r="1182">
      <c r="A1182">
        <f>IFERROR(INDEX('Email Cleaner'!$B$2:$B$10001,MATCH(1181,'Email Cleaner'!$G$2:$G$10001,0)),"")</f>
        <v/>
      </c>
    </row>
    <row r="1183">
      <c r="A1183">
        <f>IFERROR(INDEX('Email Cleaner'!$B$2:$B$10001,MATCH(1182,'Email Cleaner'!$G$2:$G$10001,0)),"")</f>
        <v/>
      </c>
    </row>
    <row r="1184">
      <c r="A1184">
        <f>IFERROR(INDEX('Email Cleaner'!$B$2:$B$10001,MATCH(1183,'Email Cleaner'!$G$2:$G$10001,0)),"")</f>
        <v/>
      </c>
    </row>
    <row r="1185">
      <c r="A1185">
        <f>IFERROR(INDEX('Email Cleaner'!$B$2:$B$10001,MATCH(1184,'Email Cleaner'!$G$2:$G$10001,0)),"")</f>
        <v/>
      </c>
    </row>
    <row r="1186">
      <c r="A1186">
        <f>IFERROR(INDEX('Email Cleaner'!$B$2:$B$10001,MATCH(1185,'Email Cleaner'!$G$2:$G$10001,0)),"")</f>
        <v/>
      </c>
    </row>
    <row r="1187">
      <c r="A1187">
        <f>IFERROR(INDEX('Email Cleaner'!$B$2:$B$10001,MATCH(1186,'Email Cleaner'!$G$2:$G$10001,0)),"")</f>
        <v/>
      </c>
    </row>
    <row r="1188">
      <c r="A1188">
        <f>IFERROR(INDEX('Email Cleaner'!$B$2:$B$10001,MATCH(1187,'Email Cleaner'!$G$2:$G$10001,0)),"")</f>
        <v/>
      </c>
    </row>
    <row r="1189">
      <c r="A1189">
        <f>IFERROR(INDEX('Email Cleaner'!$B$2:$B$10001,MATCH(1188,'Email Cleaner'!$G$2:$G$10001,0)),"")</f>
        <v/>
      </c>
    </row>
    <row r="1190">
      <c r="A1190">
        <f>IFERROR(INDEX('Email Cleaner'!$B$2:$B$10001,MATCH(1189,'Email Cleaner'!$G$2:$G$10001,0)),"")</f>
        <v/>
      </c>
    </row>
    <row r="1191">
      <c r="A1191">
        <f>IFERROR(INDEX('Email Cleaner'!$B$2:$B$10001,MATCH(1190,'Email Cleaner'!$G$2:$G$10001,0)),"")</f>
        <v/>
      </c>
    </row>
    <row r="1192">
      <c r="A1192">
        <f>IFERROR(INDEX('Email Cleaner'!$B$2:$B$10001,MATCH(1191,'Email Cleaner'!$G$2:$G$10001,0)),"")</f>
        <v/>
      </c>
    </row>
    <row r="1193">
      <c r="A1193">
        <f>IFERROR(INDEX('Email Cleaner'!$B$2:$B$10001,MATCH(1192,'Email Cleaner'!$G$2:$G$10001,0)),"")</f>
        <v/>
      </c>
    </row>
    <row r="1194">
      <c r="A1194">
        <f>IFERROR(INDEX('Email Cleaner'!$B$2:$B$10001,MATCH(1193,'Email Cleaner'!$G$2:$G$10001,0)),"")</f>
        <v/>
      </c>
    </row>
    <row r="1195">
      <c r="A1195">
        <f>IFERROR(INDEX('Email Cleaner'!$B$2:$B$10001,MATCH(1194,'Email Cleaner'!$G$2:$G$10001,0)),"")</f>
        <v/>
      </c>
    </row>
    <row r="1196">
      <c r="A1196">
        <f>IFERROR(INDEX('Email Cleaner'!$B$2:$B$10001,MATCH(1195,'Email Cleaner'!$G$2:$G$10001,0)),"")</f>
        <v/>
      </c>
    </row>
    <row r="1197">
      <c r="A1197">
        <f>IFERROR(INDEX('Email Cleaner'!$B$2:$B$10001,MATCH(1196,'Email Cleaner'!$G$2:$G$10001,0)),"")</f>
        <v/>
      </c>
    </row>
    <row r="1198">
      <c r="A1198">
        <f>IFERROR(INDEX('Email Cleaner'!$B$2:$B$10001,MATCH(1197,'Email Cleaner'!$G$2:$G$10001,0)),"")</f>
        <v/>
      </c>
    </row>
    <row r="1199">
      <c r="A1199">
        <f>IFERROR(INDEX('Email Cleaner'!$B$2:$B$10001,MATCH(1198,'Email Cleaner'!$G$2:$G$10001,0)),"")</f>
        <v/>
      </c>
    </row>
    <row r="1200">
      <c r="A1200">
        <f>IFERROR(INDEX('Email Cleaner'!$B$2:$B$10001,MATCH(1199,'Email Cleaner'!$G$2:$G$10001,0)),"")</f>
        <v/>
      </c>
    </row>
    <row r="1201">
      <c r="A1201">
        <f>IFERROR(INDEX('Email Cleaner'!$B$2:$B$10001,MATCH(1200,'Email Cleaner'!$G$2:$G$10001,0)),"")</f>
        <v/>
      </c>
    </row>
    <row r="1202">
      <c r="A1202">
        <f>IFERROR(INDEX('Email Cleaner'!$B$2:$B$10001,MATCH(1201,'Email Cleaner'!$G$2:$G$10001,0)),"")</f>
        <v/>
      </c>
    </row>
    <row r="1203">
      <c r="A1203">
        <f>IFERROR(INDEX('Email Cleaner'!$B$2:$B$10001,MATCH(1202,'Email Cleaner'!$G$2:$G$10001,0)),"")</f>
        <v/>
      </c>
    </row>
    <row r="1204">
      <c r="A1204">
        <f>IFERROR(INDEX('Email Cleaner'!$B$2:$B$10001,MATCH(1203,'Email Cleaner'!$G$2:$G$10001,0)),"")</f>
        <v/>
      </c>
    </row>
    <row r="1205">
      <c r="A1205">
        <f>IFERROR(INDEX('Email Cleaner'!$B$2:$B$10001,MATCH(1204,'Email Cleaner'!$G$2:$G$10001,0)),"")</f>
        <v/>
      </c>
    </row>
    <row r="1206">
      <c r="A1206">
        <f>IFERROR(INDEX('Email Cleaner'!$B$2:$B$10001,MATCH(1205,'Email Cleaner'!$G$2:$G$10001,0)),"")</f>
        <v/>
      </c>
    </row>
    <row r="1207">
      <c r="A1207">
        <f>IFERROR(INDEX('Email Cleaner'!$B$2:$B$10001,MATCH(1206,'Email Cleaner'!$G$2:$G$10001,0)),"")</f>
        <v/>
      </c>
    </row>
    <row r="1208">
      <c r="A1208">
        <f>IFERROR(INDEX('Email Cleaner'!$B$2:$B$10001,MATCH(1207,'Email Cleaner'!$G$2:$G$10001,0)),"")</f>
        <v/>
      </c>
    </row>
    <row r="1209">
      <c r="A1209">
        <f>IFERROR(INDEX('Email Cleaner'!$B$2:$B$10001,MATCH(1208,'Email Cleaner'!$G$2:$G$10001,0)),"")</f>
        <v/>
      </c>
    </row>
    <row r="1210">
      <c r="A1210">
        <f>IFERROR(INDEX('Email Cleaner'!$B$2:$B$10001,MATCH(1209,'Email Cleaner'!$G$2:$G$10001,0)),"")</f>
        <v/>
      </c>
    </row>
    <row r="1211">
      <c r="A1211">
        <f>IFERROR(INDEX('Email Cleaner'!$B$2:$B$10001,MATCH(1210,'Email Cleaner'!$G$2:$G$10001,0)),"")</f>
        <v/>
      </c>
    </row>
    <row r="1212">
      <c r="A1212">
        <f>IFERROR(INDEX('Email Cleaner'!$B$2:$B$10001,MATCH(1211,'Email Cleaner'!$G$2:$G$10001,0)),"")</f>
        <v/>
      </c>
    </row>
    <row r="1213">
      <c r="A1213">
        <f>IFERROR(INDEX('Email Cleaner'!$B$2:$B$10001,MATCH(1212,'Email Cleaner'!$G$2:$G$10001,0)),"")</f>
        <v/>
      </c>
    </row>
    <row r="1214">
      <c r="A1214">
        <f>IFERROR(INDEX('Email Cleaner'!$B$2:$B$10001,MATCH(1213,'Email Cleaner'!$G$2:$G$10001,0)),"")</f>
        <v/>
      </c>
    </row>
    <row r="1215">
      <c r="A1215">
        <f>IFERROR(INDEX('Email Cleaner'!$B$2:$B$10001,MATCH(1214,'Email Cleaner'!$G$2:$G$10001,0)),"")</f>
        <v/>
      </c>
    </row>
    <row r="1216">
      <c r="A1216">
        <f>IFERROR(INDEX('Email Cleaner'!$B$2:$B$10001,MATCH(1215,'Email Cleaner'!$G$2:$G$10001,0)),"")</f>
        <v/>
      </c>
    </row>
    <row r="1217">
      <c r="A1217">
        <f>IFERROR(INDEX('Email Cleaner'!$B$2:$B$10001,MATCH(1216,'Email Cleaner'!$G$2:$G$10001,0)),"")</f>
        <v/>
      </c>
    </row>
    <row r="1218">
      <c r="A1218">
        <f>IFERROR(INDEX('Email Cleaner'!$B$2:$B$10001,MATCH(1217,'Email Cleaner'!$G$2:$G$10001,0)),"")</f>
        <v/>
      </c>
    </row>
    <row r="1219">
      <c r="A1219">
        <f>IFERROR(INDEX('Email Cleaner'!$B$2:$B$10001,MATCH(1218,'Email Cleaner'!$G$2:$G$10001,0)),"")</f>
        <v/>
      </c>
    </row>
    <row r="1220">
      <c r="A1220">
        <f>IFERROR(INDEX('Email Cleaner'!$B$2:$B$10001,MATCH(1219,'Email Cleaner'!$G$2:$G$10001,0)),"")</f>
        <v/>
      </c>
    </row>
    <row r="1221">
      <c r="A1221">
        <f>IFERROR(INDEX('Email Cleaner'!$B$2:$B$10001,MATCH(1220,'Email Cleaner'!$G$2:$G$10001,0)),"")</f>
        <v/>
      </c>
    </row>
    <row r="1222">
      <c r="A1222">
        <f>IFERROR(INDEX('Email Cleaner'!$B$2:$B$10001,MATCH(1221,'Email Cleaner'!$G$2:$G$10001,0)),"")</f>
        <v/>
      </c>
    </row>
    <row r="1223">
      <c r="A1223">
        <f>IFERROR(INDEX('Email Cleaner'!$B$2:$B$10001,MATCH(1222,'Email Cleaner'!$G$2:$G$10001,0)),"")</f>
        <v/>
      </c>
    </row>
    <row r="1224">
      <c r="A1224">
        <f>IFERROR(INDEX('Email Cleaner'!$B$2:$B$10001,MATCH(1223,'Email Cleaner'!$G$2:$G$10001,0)),"")</f>
        <v/>
      </c>
    </row>
    <row r="1225">
      <c r="A1225">
        <f>IFERROR(INDEX('Email Cleaner'!$B$2:$B$10001,MATCH(1224,'Email Cleaner'!$G$2:$G$10001,0)),"")</f>
        <v/>
      </c>
    </row>
    <row r="1226">
      <c r="A1226">
        <f>IFERROR(INDEX('Email Cleaner'!$B$2:$B$10001,MATCH(1225,'Email Cleaner'!$G$2:$G$10001,0)),"")</f>
        <v/>
      </c>
    </row>
    <row r="1227">
      <c r="A1227">
        <f>IFERROR(INDEX('Email Cleaner'!$B$2:$B$10001,MATCH(1226,'Email Cleaner'!$G$2:$G$10001,0)),"")</f>
        <v/>
      </c>
    </row>
    <row r="1228">
      <c r="A1228">
        <f>IFERROR(INDEX('Email Cleaner'!$B$2:$B$10001,MATCH(1227,'Email Cleaner'!$G$2:$G$10001,0)),"")</f>
        <v/>
      </c>
    </row>
    <row r="1229">
      <c r="A1229">
        <f>IFERROR(INDEX('Email Cleaner'!$B$2:$B$10001,MATCH(1228,'Email Cleaner'!$G$2:$G$10001,0)),"")</f>
        <v/>
      </c>
    </row>
    <row r="1230">
      <c r="A1230">
        <f>IFERROR(INDEX('Email Cleaner'!$B$2:$B$10001,MATCH(1229,'Email Cleaner'!$G$2:$G$10001,0)),"")</f>
        <v/>
      </c>
    </row>
    <row r="1231">
      <c r="A1231">
        <f>IFERROR(INDEX('Email Cleaner'!$B$2:$B$10001,MATCH(1230,'Email Cleaner'!$G$2:$G$10001,0)),"")</f>
        <v/>
      </c>
    </row>
    <row r="1232">
      <c r="A1232">
        <f>IFERROR(INDEX('Email Cleaner'!$B$2:$B$10001,MATCH(1231,'Email Cleaner'!$G$2:$G$10001,0)),"")</f>
        <v/>
      </c>
    </row>
    <row r="1233">
      <c r="A1233">
        <f>IFERROR(INDEX('Email Cleaner'!$B$2:$B$10001,MATCH(1232,'Email Cleaner'!$G$2:$G$10001,0)),"")</f>
        <v/>
      </c>
    </row>
    <row r="1234">
      <c r="A1234">
        <f>IFERROR(INDEX('Email Cleaner'!$B$2:$B$10001,MATCH(1233,'Email Cleaner'!$G$2:$G$10001,0)),"")</f>
        <v/>
      </c>
    </row>
    <row r="1235">
      <c r="A1235">
        <f>IFERROR(INDEX('Email Cleaner'!$B$2:$B$10001,MATCH(1234,'Email Cleaner'!$G$2:$G$10001,0)),"")</f>
        <v/>
      </c>
    </row>
    <row r="1236">
      <c r="A1236">
        <f>IFERROR(INDEX('Email Cleaner'!$B$2:$B$10001,MATCH(1235,'Email Cleaner'!$G$2:$G$10001,0)),"")</f>
        <v/>
      </c>
    </row>
    <row r="1237">
      <c r="A1237">
        <f>IFERROR(INDEX('Email Cleaner'!$B$2:$B$10001,MATCH(1236,'Email Cleaner'!$G$2:$G$10001,0)),"")</f>
        <v/>
      </c>
    </row>
    <row r="1238">
      <c r="A1238">
        <f>IFERROR(INDEX('Email Cleaner'!$B$2:$B$10001,MATCH(1237,'Email Cleaner'!$G$2:$G$10001,0)),"")</f>
        <v/>
      </c>
    </row>
    <row r="1239">
      <c r="A1239">
        <f>IFERROR(INDEX('Email Cleaner'!$B$2:$B$10001,MATCH(1238,'Email Cleaner'!$G$2:$G$10001,0)),"")</f>
        <v/>
      </c>
    </row>
    <row r="1240">
      <c r="A1240">
        <f>IFERROR(INDEX('Email Cleaner'!$B$2:$B$10001,MATCH(1239,'Email Cleaner'!$G$2:$G$10001,0)),"")</f>
        <v/>
      </c>
    </row>
    <row r="1241">
      <c r="A1241">
        <f>IFERROR(INDEX('Email Cleaner'!$B$2:$B$10001,MATCH(1240,'Email Cleaner'!$G$2:$G$10001,0)),"")</f>
        <v/>
      </c>
    </row>
    <row r="1242">
      <c r="A1242">
        <f>IFERROR(INDEX('Email Cleaner'!$B$2:$B$10001,MATCH(1241,'Email Cleaner'!$G$2:$G$10001,0)),"")</f>
        <v/>
      </c>
    </row>
    <row r="1243">
      <c r="A1243">
        <f>IFERROR(INDEX('Email Cleaner'!$B$2:$B$10001,MATCH(1242,'Email Cleaner'!$G$2:$G$10001,0)),"")</f>
        <v/>
      </c>
    </row>
    <row r="1244">
      <c r="A1244">
        <f>IFERROR(INDEX('Email Cleaner'!$B$2:$B$10001,MATCH(1243,'Email Cleaner'!$G$2:$G$10001,0)),"")</f>
        <v/>
      </c>
    </row>
    <row r="1245">
      <c r="A1245">
        <f>IFERROR(INDEX('Email Cleaner'!$B$2:$B$10001,MATCH(1244,'Email Cleaner'!$G$2:$G$10001,0)),"")</f>
        <v/>
      </c>
    </row>
    <row r="1246">
      <c r="A1246">
        <f>IFERROR(INDEX('Email Cleaner'!$B$2:$B$10001,MATCH(1245,'Email Cleaner'!$G$2:$G$10001,0)),"")</f>
        <v/>
      </c>
    </row>
    <row r="1247">
      <c r="A1247">
        <f>IFERROR(INDEX('Email Cleaner'!$B$2:$B$10001,MATCH(1246,'Email Cleaner'!$G$2:$G$10001,0)),"")</f>
        <v/>
      </c>
    </row>
    <row r="1248">
      <c r="A1248">
        <f>IFERROR(INDEX('Email Cleaner'!$B$2:$B$10001,MATCH(1247,'Email Cleaner'!$G$2:$G$10001,0)),"")</f>
        <v/>
      </c>
    </row>
    <row r="1249">
      <c r="A1249">
        <f>IFERROR(INDEX('Email Cleaner'!$B$2:$B$10001,MATCH(1248,'Email Cleaner'!$G$2:$G$10001,0)),"")</f>
        <v/>
      </c>
    </row>
    <row r="1250">
      <c r="A1250">
        <f>IFERROR(INDEX('Email Cleaner'!$B$2:$B$10001,MATCH(1249,'Email Cleaner'!$G$2:$G$10001,0)),"")</f>
        <v/>
      </c>
    </row>
    <row r="1251">
      <c r="A1251">
        <f>IFERROR(INDEX('Email Cleaner'!$B$2:$B$10001,MATCH(1250,'Email Cleaner'!$G$2:$G$10001,0)),"")</f>
        <v/>
      </c>
    </row>
    <row r="1252">
      <c r="A1252">
        <f>IFERROR(INDEX('Email Cleaner'!$B$2:$B$10001,MATCH(1251,'Email Cleaner'!$G$2:$G$10001,0)),"")</f>
        <v/>
      </c>
    </row>
    <row r="1253">
      <c r="A1253">
        <f>IFERROR(INDEX('Email Cleaner'!$B$2:$B$10001,MATCH(1252,'Email Cleaner'!$G$2:$G$10001,0)),"")</f>
        <v/>
      </c>
    </row>
    <row r="1254">
      <c r="A1254">
        <f>IFERROR(INDEX('Email Cleaner'!$B$2:$B$10001,MATCH(1253,'Email Cleaner'!$G$2:$G$10001,0)),"")</f>
        <v/>
      </c>
    </row>
    <row r="1255">
      <c r="A1255">
        <f>IFERROR(INDEX('Email Cleaner'!$B$2:$B$10001,MATCH(1254,'Email Cleaner'!$G$2:$G$10001,0)),"")</f>
        <v/>
      </c>
    </row>
    <row r="1256">
      <c r="A1256">
        <f>IFERROR(INDEX('Email Cleaner'!$B$2:$B$10001,MATCH(1255,'Email Cleaner'!$G$2:$G$10001,0)),"")</f>
        <v/>
      </c>
    </row>
    <row r="1257">
      <c r="A1257">
        <f>IFERROR(INDEX('Email Cleaner'!$B$2:$B$10001,MATCH(1256,'Email Cleaner'!$G$2:$G$10001,0)),"")</f>
        <v/>
      </c>
    </row>
    <row r="1258">
      <c r="A1258">
        <f>IFERROR(INDEX('Email Cleaner'!$B$2:$B$10001,MATCH(1257,'Email Cleaner'!$G$2:$G$10001,0)),"")</f>
        <v/>
      </c>
    </row>
    <row r="1259">
      <c r="A1259">
        <f>IFERROR(INDEX('Email Cleaner'!$B$2:$B$10001,MATCH(1258,'Email Cleaner'!$G$2:$G$10001,0)),"")</f>
        <v/>
      </c>
    </row>
    <row r="1260">
      <c r="A1260">
        <f>IFERROR(INDEX('Email Cleaner'!$B$2:$B$10001,MATCH(1259,'Email Cleaner'!$G$2:$G$10001,0)),"")</f>
        <v/>
      </c>
    </row>
    <row r="1261">
      <c r="A1261">
        <f>IFERROR(INDEX('Email Cleaner'!$B$2:$B$10001,MATCH(1260,'Email Cleaner'!$G$2:$G$10001,0)),"")</f>
        <v/>
      </c>
    </row>
    <row r="1262">
      <c r="A1262">
        <f>IFERROR(INDEX('Email Cleaner'!$B$2:$B$10001,MATCH(1261,'Email Cleaner'!$G$2:$G$10001,0)),"")</f>
        <v/>
      </c>
    </row>
    <row r="1263">
      <c r="A1263">
        <f>IFERROR(INDEX('Email Cleaner'!$B$2:$B$10001,MATCH(1262,'Email Cleaner'!$G$2:$G$10001,0)),"")</f>
        <v/>
      </c>
    </row>
    <row r="1264">
      <c r="A1264">
        <f>IFERROR(INDEX('Email Cleaner'!$B$2:$B$10001,MATCH(1263,'Email Cleaner'!$G$2:$G$10001,0)),"")</f>
        <v/>
      </c>
    </row>
    <row r="1265">
      <c r="A1265">
        <f>IFERROR(INDEX('Email Cleaner'!$B$2:$B$10001,MATCH(1264,'Email Cleaner'!$G$2:$G$10001,0)),"")</f>
        <v/>
      </c>
    </row>
    <row r="1266">
      <c r="A1266">
        <f>IFERROR(INDEX('Email Cleaner'!$B$2:$B$10001,MATCH(1265,'Email Cleaner'!$G$2:$G$10001,0)),"")</f>
        <v/>
      </c>
    </row>
    <row r="1267">
      <c r="A1267">
        <f>IFERROR(INDEX('Email Cleaner'!$B$2:$B$10001,MATCH(1266,'Email Cleaner'!$G$2:$G$10001,0)),"")</f>
        <v/>
      </c>
    </row>
    <row r="1268">
      <c r="A1268">
        <f>IFERROR(INDEX('Email Cleaner'!$B$2:$B$10001,MATCH(1267,'Email Cleaner'!$G$2:$G$10001,0)),"")</f>
        <v/>
      </c>
    </row>
    <row r="1269">
      <c r="A1269">
        <f>IFERROR(INDEX('Email Cleaner'!$B$2:$B$10001,MATCH(1268,'Email Cleaner'!$G$2:$G$10001,0)),"")</f>
        <v/>
      </c>
    </row>
    <row r="1270">
      <c r="A1270">
        <f>IFERROR(INDEX('Email Cleaner'!$B$2:$B$10001,MATCH(1269,'Email Cleaner'!$G$2:$G$10001,0)),"")</f>
        <v/>
      </c>
    </row>
    <row r="1271">
      <c r="A1271">
        <f>IFERROR(INDEX('Email Cleaner'!$B$2:$B$10001,MATCH(1270,'Email Cleaner'!$G$2:$G$10001,0)),"")</f>
        <v/>
      </c>
    </row>
    <row r="1272">
      <c r="A1272">
        <f>IFERROR(INDEX('Email Cleaner'!$B$2:$B$10001,MATCH(1271,'Email Cleaner'!$G$2:$G$10001,0)),"")</f>
        <v/>
      </c>
    </row>
    <row r="1273">
      <c r="A1273">
        <f>IFERROR(INDEX('Email Cleaner'!$B$2:$B$10001,MATCH(1272,'Email Cleaner'!$G$2:$G$10001,0)),"")</f>
        <v/>
      </c>
    </row>
    <row r="1274">
      <c r="A1274">
        <f>IFERROR(INDEX('Email Cleaner'!$B$2:$B$10001,MATCH(1273,'Email Cleaner'!$G$2:$G$10001,0)),"")</f>
        <v/>
      </c>
    </row>
    <row r="1275">
      <c r="A1275">
        <f>IFERROR(INDEX('Email Cleaner'!$B$2:$B$10001,MATCH(1274,'Email Cleaner'!$G$2:$G$10001,0)),"")</f>
        <v/>
      </c>
    </row>
    <row r="1276">
      <c r="A1276">
        <f>IFERROR(INDEX('Email Cleaner'!$B$2:$B$10001,MATCH(1275,'Email Cleaner'!$G$2:$G$10001,0)),"")</f>
        <v/>
      </c>
    </row>
    <row r="1277">
      <c r="A1277">
        <f>IFERROR(INDEX('Email Cleaner'!$B$2:$B$10001,MATCH(1276,'Email Cleaner'!$G$2:$G$10001,0)),"")</f>
        <v/>
      </c>
    </row>
    <row r="1278">
      <c r="A1278">
        <f>IFERROR(INDEX('Email Cleaner'!$B$2:$B$10001,MATCH(1277,'Email Cleaner'!$G$2:$G$10001,0)),"")</f>
        <v/>
      </c>
    </row>
    <row r="1279">
      <c r="A1279">
        <f>IFERROR(INDEX('Email Cleaner'!$B$2:$B$10001,MATCH(1278,'Email Cleaner'!$G$2:$G$10001,0)),"")</f>
        <v/>
      </c>
    </row>
    <row r="1280">
      <c r="A1280">
        <f>IFERROR(INDEX('Email Cleaner'!$B$2:$B$10001,MATCH(1279,'Email Cleaner'!$G$2:$G$10001,0)),"")</f>
        <v/>
      </c>
    </row>
    <row r="1281">
      <c r="A1281">
        <f>IFERROR(INDEX('Email Cleaner'!$B$2:$B$10001,MATCH(1280,'Email Cleaner'!$G$2:$G$10001,0)),"")</f>
        <v/>
      </c>
    </row>
    <row r="1282">
      <c r="A1282">
        <f>IFERROR(INDEX('Email Cleaner'!$B$2:$B$10001,MATCH(1281,'Email Cleaner'!$G$2:$G$10001,0)),"")</f>
        <v/>
      </c>
    </row>
    <row r="1283">
      <c r="A1283">
        <f>IFERROR(INDEX('Email Cleaner'!$B$2:$B$10001,MATCH(1282,'Email Cleaner'!$G$2:$G$10001,0)),"")</f>
        <v/>
      </c>
    </row>
    <row r="1284">
      <c r="A1284">
        <f>IFERROR(INDEX('Email Cleaner'!$B$2:$B$10001,MATCH(1283,'Email Cleaner'!$G$2:$G$10001,0)),"")</f>
        <v/>
      </c>
    </row>
    <row r="1285">
      <c r="A1285">
        <f>IFERROR(INDEX('Email Cleaner'!$B$2:$B$10001,MATCH(1284,'Email Cleaner'!$G$2:$G$10001,0)),"")</f>
        <v/>
      </c>
    </row>
    <row r="1286">
      <c r="A1286">
        <f>IFERROR(INDEX('Email Cleaner'!$B$2:$B$10001,MATCH(1285,'Email Cleaner'!$G$2:$G$10001,0)),"")</f>
        <v/>
      </c>
    </row>
    <row r="1287">
      <c r="A1287">
        <f>IFERROR(INDEX('Email Cleaner'!$B$2:$B$10001,MATCH(1286,'Email Cleaner'!$G$2:$G$10001,0)),"")</f>
        <v/>
      </c>
    </row>
    <row r="1288">
      <c r="A1288">
        <f>IFERROR(INDEX('Email Cleaner'!$B$2:$B$10001,MATCH(1287,'Email Cleaner'!$G$2:$G$10001,0)),"")</f>
        <v/>
      </c>
    </row>
    <row r="1289">
      <c r="A1289">
        <f>IFERROR(INDEX('Email Cleaner'!$B$2:$B$10001,MATCH(1288,'Email Cleaner'!$G$2:$G$10001,0)),"")</f>
        <v/>
      </c>
    </row>
    <row r="1290">
      <c r="A1290">
        <f>IFERROR(INDEX('Email Cleaner'!$B$2:$B$10001,MATCH(1289,'Email Cleaner'!$G$2:$G$10001,0)),"")</f>
        <v/>
      </c>
    </row>
    <row r="1291">
      <c r="A1291">
        <f>IFERROR(INDEX('Email Cleaner'!$B$2:$B$10001,MATCH(1290,'Email Cleaner'!$G$2:$G$10001,0)),"")</f>
        <v/>
      </c>
    </row>
    <row r="1292">
      <c r="A1292">
        <f>IFERROR(INDEX('Email Cleaner'!$B$2:$B$10001,MATCH(1291,'Email Cleaner'!$G$2:$G$10001,0)),"")</f>
        <v/>
      </c>
    </row>
    <row r="1293">
      <c r="A1293">
        <f>IFERROR(INDEX('Email Cleaner'!$B$2:$B$10001,MATCH(1292,'Email Cleaner'!$G$2:$G$10001,0)),"")</f>
        <v/>
      </c>
    </row>
    <row r="1294">
      <c r="A1294">
        <f>IFERROR(INDEX('Email Cleaner'!$B$2:$B$10001,MATCH(1293,'Email Cleaner'!$G$2:$G$10001,0)),"")</f>
        <v/>
      </c>
    </row>
    <row r="1295">
      <c r="A1295">
        <f>IFERROR(INDEX('Email Cleaner'!$B$2:$B$10001,MATCH(1294,'Email Cleaner'!$G$2:$G$10001,0)),"")</f>
        <v/>
      </c>
    </row>
    <row r="1296">
      <c r="A1296">
        <f>IFERROR(INDEX('Email Cleaner'!$B$2:$B$10001,MATCH(1295,'Email Cleaner'!$G$2:$G$10001,0)),"")</f>
        <v/>
      </c>
    </row>
    <row r="1297">
      <c r="A1297">
        <f>IFERROR(INDEX('Email Cleaner'!$B$2:$B$10001,MATCH(1296,'Email Cleaner'!$G$2:$G$10001,0)),"")</f>
        <v/>
      </c>
    </row>
    <row r="1298">
      <c r="A1298">
        <f>IFERROR(INDEX('Email Cleaner'!$B$2:$B$10001,MATCH(1297,'Email Cleaner'!$G$2:$G$10001,0)),"")</f>
        <v/>
      </c>
    </row>
    <row r="1299">
      <c r="A1299">
        <f>IFERROR(INDEX('Email Cleaner'!$B$2:$B$10001,MATCH(1298,'Email Cleaner'!$G$2:$G$10001,0)),"")</f>
        <v/>
      </c>
    </row>
    <row r="1300">
      <c r="A1300">
        <f>IFERROR(INDEX('Email Cleaner'!$B$2:$B$10001,MATCH(1299,'Email Cleaner'!$G$2:$G$10001,0)),"")</f>
        <v/>
      </c>
    </row>
    <row r="1301">
      <c r="A1301">
        <f>IFERROR(INDEX('Email Cleaner'!$B$2:$B$10001,MATCH(1300,'Email Cleaner'!$G$2:$G$10001,0)),"")</f>
        <v/>
      </c>
    </row>
    <row r="1302">
      <c r="A1302">
        <f>IFERROR(INDEX('Email Cleaner'!$B$2:$B$10001,MATCH(1301,'Email Cleaner'!$G$2:$G$10001,0)),"")</f>
        <v/>
      </c>
    </row>
    <row r="1303">
      <c r="A1303">
        <f>IFERROR(INDEX('Email Cleaner'!$B$2:$B$10001,MATCH(1302,'Email Cleaner'!$G$2:$G$10001,0)),"")</f>
        <v/>
      </c>
    </row>
    <row r="1304">
      <c r="A1304">
        <f>IFERROR(INDEX('Email Cleaner'!$B$2:$B$10001,MATCH(1303,'Email Cleaner'!$G$2:$G$10001,0)),"")</f>
        <v/>
      </c>
    </row>
    <row r="1305">
      <c r="A1305">
        <f>IFERROR(INDEX('Email Cleaner'!$B$2:$B$10001,MATCH(1304,'Email Cleaner'!$G$2:$G$10001,0)),"")</f>
        <v/>
      </c>
    </row>
    <row r="1306">
      <c r="A1306">
        <f>IFERROR(INDEX('Email Cleaner'!$B$2:$B$10001,MATCH(1305,'Email Cleaner'!$G$2:$G$10001,0)),"")</f>
        <v/>
      </c>
    </row>
    <row r="1307">
      <c r="A1307">
        <f>IFERROR(INDEX('Email Cleaner'!$B$2:$B$10001,MATCH(1306,'Email Cleaner'!$G$2:$G$10001,0)),"")</f>
        <v/>
      </c>
    </row>
    <row r="1308">
      <c r="A1308">
        <f>IFERROR(INDEX('Email Cleaner'!$B$2:$B$10001,MATCH(1307,'Email Cleaner'!$G$2:$G$10001,0)),"")</f>
        <v/>
      </c>
    </row>
    <row r="1309">
      <c r="A1309">
        <f>IFERROR(INDEX('Email Cleaner'!$B$2:$B$10001,MATCH(1308,'Email Cleaner'!$G$2:$G$10001,0)),"")</f>
        <v/>
      </c>
    </row>
    <row r="1310">
      <c r="A1310">
        <f>IFERROR(INDEX('Email Cleaner'!$B$2:$B$10001,MATCH(1309,'Email Cleaner'!$G$2:$G$10001,0)),"")</f>
        <v/>
      </c>
    </row>
    <row r="1311">
      <c r="A1311">
        <f>IFERROR(INDEX('Email Cleaner'!$B$2:$B$10001,MATCH(1310,'Email Cleaner'!$G$2:$G$10001,0)),"")</f>
        <v/>
      </c>
    </row>
    <row r="1312">
      <c r="A1312">
        <f>IFERROR(INDEX('Email Cleaner'!$B$2:$B$10001,MATCH(1311,'Email Cleaner'!$G$2:$G$10001,0)),"")</f>
        <v/>
      </c>
    </row>
    <row r="1313">
      <c r="A1313">
        <f>IFERROR(INDEX('Email Cleaner'!$B$2:$B$10001,MATCH(1312,'Email Cleaner'!$G$2:$G$10001,0)),"")</f>
        <v/>
      </c>
    </row>
    <row r="1314">
      <c r="A1314">
        <f>IFERROR(INDEX('Email Cleaner'!$B$2:$B$10001,MATCH(1313,'Email Cleaner'!$G$2:$G$10001,0)),"")</f>
        <v/>
      </c>
    </row>
    <row r="1315">
      <c r="A1315">
        <f>IFERROR(INDEX('Email Cleaner'!$B$2:$B$10001,MATCH(1314,'Email Cleaner'!$G$2:$G$10001,0)),"")</f>
        <v/>
      </c>
    </row>
    <row r="1316">
      <c r="A1316">
        <f>IFERROR(INDEX('Email Cleaner'!$B$2:$B$10001,MATCH(1315,'Email Cleaner'!$G$2:$G$10001,0)),"")</f>
        <v/>
      </c>
    </row>
    <row r="1317">
      <c r="A1317">
        <f>IFERROR(INDEX('Email Cleaner'!$B$2:$B$10001,MATCH(1316,'Email Cleaner'!$G$2:$G$10001,0)),"")</f>
        <v/>
      </c>
    </row>
    <row r="1318">
      <c r="A1318">
        <f>IFERROR(INDEX('Email Cleaner'!$B$2:$B$10001,MATCH(1317,'Email Cleaner'!$G$2:$G$10001,0)),"")</f>
        <v/>
      </c>
    </row>
    <row r="1319">
      <c r="A1319">
        <f>IFERROR(INDEX('Email Cleaner'!$B$2:$B$10001,MATCH(1318,'Email Cleaner'!$G$2:$G$10001,0)),"")</f>
        <v/>
      </c>
    </row>
    <row r="1320">
      <c r="A1320">
        <f>IFERROR(INDEX('Email Cleaner'!$B$2:$B$10001,MATCH(1319,'Email Cleaner'!$G$2:$G$10001,0)),"")</f>
        <v/>
      </c>
    </row>
    <row r="1321">
      <c r="A1321">
        <f>IFERROR(INDEX('Email Cleaner'!$B$2:$B$10001,MATCH(1320,'Email Cleaner'!$G$2:$G$10001,0)),"")</f>
        <v/>
      </c>
    </row>
    <row r="1322">
      <c r="A1322">
        <f>IFERROR(INDEX('Email Cleaner'!$B$2:$B$10001,MATCH(1321,'Email Cleaner'!$G$2:$G$10001,0)),"")</f>
        <v/>
      </c>
    </row>
    <row r="1323">
      <c r="A1323">
        <f>IFERROR(INDEX('Email Cleaner'!$B$2:$B$10001,MATCH(1322,'Email Cleaner'!$G$2:$G$10001,0)),"")</f>
        <v/>
      </c>
    </row>
    <row r="1324">
      <c r="A1324">
        <f>IFERROR(INDEX('Email Cleaner'!$B$2:$B$10001,MATCH(1323,'Email Cleaner'!$G$2:$G$10001,0)),"")</f>
        <v/>
      </c>
    </row>
    <row r="1325">
      <c r="A1325">
        <f>IFERROR(INDEX('Email Cleaner'!$B$2:$B$10001,MATCH(1324,'Email Cleaner'!$G$2:$G$10001,0)),"")</f>
        <v/>
      </c>
    </row>
    <row r="1326">
      <c r="A1326">
        <f>IFERROR(INDEX('Email Cleaner'!$B$2:$B$10001,MATCH(1325,'Email Cleaner'!$G$2:$G$10001,0)),"")</f>
        <v/>
      </c>
    </row>
    <row r="1327">
      <c r="A1327">
        <f>IFERROR(INDEX('Email Cleaner'!$B$2:$B$10001,MATCH(1326,'Email Cleaner'!$G$2:$G$10001,0)),"")</f>
        <v/>
      </c>
    </row>
    <row r="1328">
      <c r="A1328">
        <f>IFERROR(INDEX('Email Cleaner'!$B$2:$B$10001,MATCH(1327,'Email Cleaner'!$G$2:$G$10001,0)),"")</f>
        <v/>
      </c>
    </row>
    <row r="1329">
      <c r="A1329">
        <f>IFERROR(INDEX('Email Cleaner'!$B$2:$B$10001,MATCH(1328,'Email Cleaner'!$G$2:$G$10001,0)),"")</f>
        <v/>
      </c>
    </row>
    <row r="1330">
      <c r="A1330">
        <f>IFERROR(INDEX('Email Cleaner'!$B$2:$B$10001,MATCH(1329,'Email Cleaner'!$G$2:$G$10001,0)),"")</f>
        <v/>
      </c>
    </row>
    <row r="1331">
      <c r="A1331">
        <f>IFERROR(INDEX('Email Cleaner'!$B$2:$B$10001,MATCH(1330,'Email Cleaner'!$G$2:$G$10001,0)),"")</f>
        <v/>
      </c>
    </row>
    <row r="1332">
      <c r="A1332">
        <f>IFERROR(INDEX('Email Cleaner'!$B$2:$B$10001,MATCH(1331,'Email Cleaner'!$G$2:$G$10001,0)),"")</f>
        <v/>
      </c>
    </row>
    <row r="1333">
      <c r="A1333">
        <f>IFERROR(INDEX('Email Cleaner'!$B$2:$B$10001,MATCH(1332,'Email Cleaner'!$G$2:$G$10001,0)),"")</f>
        <v/>
      </c>
    </row>
    <row r="1334">
      <c r="A1334">
        <f>IFERROR(INDEX('Email Cleaner'!$B$2:$B$10001,MATCH(1333,'Email Cleaner'!$G$2:$G$10001,0)),"")</f>
        <v/>
      </c>
    </row>
    <row r="1335">
      <c r="A1335">
        <f>IFERROR(INDEX('Email Cleaner'!$B$2:$B$10001,MATCH(1334,'Email Cleaner'!$G$2:$G$10001,0)),"")</f>
        <v/>
      </c>
    </row>
    <row r="1336">
      <c r="A1336">
        <f>IFERROR(INDEX('Email Cleaner'!$B$2:$B$10001,MATCH(1335,'Email Cleaner'!$G$2:$G$10001,0)),"")</f>
        <v/>
      </c>
    </row>
    <row r="1337">
      <c r="A1337">
        <f>IFERROR(INDEX('Email Cleaner'!$B$2:$B$10001,MATCH(1336,'Email Cleaner'!$G$2:$G$10001,0)),"")</f>
        <v/>
      </c>
    </row>
    <row r="1338">
      <c r="A1338">
        <f>IFERROR(INDEX('Email Cleaner'!$B$2:$B$10001,MATCH(1337,'Email Cleaner'!$G$2:$G$10001,0)),"")</f>
        <v/>
      </c>
    </row>
    <row r="1339">
      <c r="A1339">
        <f>IFERROR(INDEX('Email Cleaner'!$B$2:$B$10001,MATCH(1338,'Email Cleaner'!$G$2:$G$10001,0)),"")</f>
        <v/>
      </c>
    </row>
    <row r="1340">
      <c r="A1340">
        <f>IFERROR(INDEX('Email Cleaner'!$B$2:$B$10001,MATCH(1339,'Email Cleaner'!$G$2:$G$10001,0)),"")</f>
        <v/>
      </c>
    </row>
    <row r="1341">
      <c r="A1341">
        <f>IFERROR(INDEX('Email Cleaner'!$B$2:$B$10001,MATCH(1340,'Email Cleaner'!$G$2:$G$10001,0)),"")</f>
        <v/>
      </c>
    </row>
    <row r="1342">
      <c r="A1342">
        <f>IFERROR(INDEX('Email Cleaner'!$B$2:$B$10001,MATCH(1341,'Email Cleaner'!$G$2:$G$10001,0)),"")</f>
        <v/>
      </c>
    </row>
    <row r="1343">
      <c r="A1343">
        <f>IFERROR(INDEX('Email Cleaner'!$B$2:$B$10001,MATCH(1342,'Email Cleaner'!$G$2:$G$10001,0)),"")</f>
        <v/>
      </c>
    </row>
    <row r="1344">
      <c r="A1344">
        <f>IFERROR(INDEX('Email Cleaner'!$B$2:$B$10001,MATCH(1343,'Email Cleaner'!$G$2:$G$10001,0)),"")</f>
        <v/>
      </c>
    </row>
    <row r="1345">
      <c r="A1345">
        <f>IFERROR(INDEX('Email Cleaner'!$B$2:$B$10001,MATCH(1344,'Email Cleaner'!$G$2:$G$10001,0)),"")</f>
        <v/>
      </c>
    </row>
    <row r="1346">
      <c r="A1346">
        <f>IFERROR(INDEX('Email Cleaner'!$B$2:$B$10001,MATCH(1345,'Email Cleaner'!$G$2:$G$10001,0)),"")</f>
        <v/>
      </c>
    </row>
    <row r="1347">
      <c r="A1347">
        <f>IFERROR(INDEX('Email Cleaner'!$B$2:$B$10001,MATCH(1346,'Email Cleaner'!$G$2:$G$10001,0)),"")</f>
        <v/>
      </c>
    </row>
    <row r="1348">
      <c r="A1348">
        <f>IFERROR(INDEX('Email Cleaner'!$B$2:$B$10001,MATCH(1347,'Email Cleaner'!$G$2:$G$10001,0)),"")</f>
        <v/>
      </c>
    </row>
    <row r="1349">
      <c r="A1349">
        <f>IFERROR(INDEX('Email Cleaner'!$B$2:$B$10001,MATCH(1348,'Email Cleaner'!$G$2:$G$10001,0)),"")</f>
        <v/>
      </c>
    </row>
    <row r="1350">
      <c r="A1350">
        <f>IFERROR(INDEX('Email Cleaner'!$B$2:$B$10001,MATCH(1349,'Email Cleaner'!$G$2:$G$10001,0)),"")</f>
        <v/>
      </c>
    </row>
    <row r="1351">
      <c r="A1351">
        <f>IFERROR(INDEX('Email Cleaner'!$B$2:$B$10001,MATCH(1350,'Email Cleaner'!$G$2:$G$10001,0)),"")</f>
        <v/>
      </c>
    </row>
    <row r="1352">
      <c r="A1352">
        <f>IFERROR(INDEX('Email Cleaner'!$B$2:$B$10001,MATCH(1351,'Email Cleaner'!$G$2:$G$10001,0)),"")</f>
        <v/>
      </c>
    </row>
    <row r="1353">
      <c r="A1353">
        <f>IFERROR(INDEX('Email Cleaner'!$B$2:$B$10001,MATCH(1352,'Email Cleaner'!$G$2:$G$10001,0)),"")</f>
        <v/>
      </c>
    </row>
    <row r="1354">
      <c r="A1354">
        <f>IFERROR(INDEX('Email Cleaner'!$B$2:$B$10001,MATCH(1353,'Email Cleaner'!$G$2:$G$10001,0)),"")</f>
        <v/>
      </c>
    </row>
    <row r="1355">
      <c r="A1355">
        <f>IFERROR(INDEX('Email Cleaner'!$B$2:$B$10001,MATCH(1354,'Email Cleaner'!$G$2:$G$10001,0)),"")</f>
        <v/>
      </c>
    </row>
    <row r="1356">
      <c r="A1356">
        <f>IFERROR(INDEX('Email Cleaner'!$B$2:$B$10001,MATCH(1355,'Email Cleaner'!$G$2:$G$10001,0)),"")</f>
        <v/>
      </c>
    </row>
    <row r="1357">
      <c r="A1357">
        <f>IFERROR(INDEX('Email Cleaner'!$B$2:$B$10001,MATCH(1356,'Email Cleaner'!$G$2:$G$10001,0)),"")</f>
        <v/>
      </c>
    </row>
    <row r="1358">
      <c r="A1358">
        <f>IFERROR(INDEX('Email Cleaner'!$B$2:$B$10001,MATCH(1357,'Email Cleaner'!$G$2:$G$10001,0)),"")</f>
        <v/>
      </c>
    </row>
    <row r="1359">
      <c r="A1359">
        <f>IFERROR(INDEX('Email Cleaner'!$B$2:$B$10001,MATCH(1358,'Email Cleaner'!$G$2:$G$10001,0)),"")</f>
        <v/>
      </c>
    </row>
    <row r="1360">
      <c r="A1360">
        <f>IFERROR(INDEX('Email Cleaner'!$B$2:$B$10001,MATCH(1359,'Email Cleaner'!$G$2:$G$10001,0)),"")</f>
        <v/>
      </c>
    </row>
    <row r="1361">
      <c r="A1361">
        <f>IFERROR(INDEX('Email Cleaner'!$B$2:$B$10001,MATCH(1360,'Email Cleaner'!$G$2:$G$10001,0)),"")</f>
        <v/>
      </c>
    </row>
    <row r="1362">
      <c r="A1362">
        <f>IFERROR(INDEX('Email Cleaner'!$B$2:$B$10001,MATCH(1361,'Email Cleaner'!$G$2:$G$10001,0)),"")</f>
        <v/>
      </c>
    </row>
    <row r="1363">
      <c r="A1363">
        <f>IFERROR(INDEX('Email Cleaner'!$B$2:$B$10001,MATCH(1362,'Email Cleaner'!$G$2:$G$10001,0)),"")</f>
        <v/>
      </c>
    </row>
    <row r="1364">
      <c r="A1364">
        <f>IFERROR(INDEX('Email Cleaner'!$B$2:$B$10001,MATCH(1363,'Email Cleaner'!$G$2:$G$10001,0)),"")</f>
        <v/>
      </c>
    </row>
    <row r="1365">
      <c r="A1365">
        <f>IFERROR(INDEX('Email Cleaner'!$B$2:$B$10001,MATCH(1364,'Email Cleaner'!$G$2:$G$10001,0)),"")</f>
        <v/>
      </c>
    </row>
    <row r="1366">
      <c r="A1366">
        <f>IFERROR(INDEX('Email Cleaner'!$B$2:$B$10001,MATCH(1365,'Email Cleaner'!$G$2:$G$10001,0)),"")</f>
        <v/>
      </c>
    </row>
    <row r="1367">
      <c r="A1367">
        <f>IFERROR(INDEX('Email Cleaner'!$B$2:$B$10001,MATCH(1366,'Email Cleaner'!$G$2:$G$10001,0)),"")</f>
        <v/>
      </c>
    </row>
    <row r="1368">
      <c r="A1368">
        <f>IFERROR(INDEX('Email Cleaner'!$B$2:$B$10001,MATCH(1367,'Email Cleaner'!$G$2:$G$10001,0)),"")</f>
        <v/>
      </c>
    </row>
    <row r="1369">
      <c r="A1369">
        <f>IFERROR(INDEX('Email Cleaner'!$B$2:$B$10001,MATCH(1368,'Email Cleaner'!$G$2:$G$10001,0)),"")</f>
        <v/>
      </c>
    </row>
    <row r="1370">
      <c r="A1370">
        <f>IFERROR(INDEX('Email Cleaner'!$B$2:$B$10001,MATCH(1369,'Email Cleaner'!$G$2:$G$10001,0)),"")</f>
        <v/>
      </c>
    </row>
    <row r="1371">
      <c r="A1371">
        <f>IFERROR(INDEX('Email Cleaner'!$B$2:$B$10001,MATCH(1370,'Email Cleaner'!$G$2:$G$10001,0)),"")</f>
        <v/>
      </c>
    </row>
    <row r="1372">
      <c r="A1372">
        <f>IFERROR(INDEX('Email Cleaner'!$B$2:$B$10001,MATCH(1371,'Email Cleaner'!$G$2:$G$10001,0)),"")</f>
        <v/>
      </c>
    </row>
    <row r="1373">
      <c r="A1373">
        <f>IFERROR(INDEX('Email Cleaner'!$B$2:$B$10001,MATCH(1372,'Email Cleaner'!$G$2:$G$10001,0)),"")</f>
        <v/>
      </c>
    </row>
    <row r="1374">
      <c r="A1374">
        <f>IFERROR(INDEX('Email Cleaner'!$B$2:$B$10001,MATCH(1373,'Email Cleaner'!$G$2:$G$10001,0)),"")</f>
        <v/>
      </c>
    </row>
    <row r="1375">
      <c r="A1375">
        <f>IFERROR(INDEX('Email Cleaner'!$B$2:$B$10001,MATCH(1374,'Email Cleaner'!$G$2:$G$10001,0)),"")</f>
        <v/>
      </c>
    </row>
    <row r="1376">
      <c r="A1376">
        <f>IFERROR(INDEX('Email Cleaner'!$B$2:$B$10001,MATCH(1375,'Email Cleaner'!$G$2:$G$10001,0)),"")</f>
        <v/>
      </c>
    </row>
    <row r="1377">
      <c r="A1377">
        <f>IFERROR(INDEX('Email Cleaner'!$B$2:$B$10001,MATCH(1376,'Email Cleaner'!$G$2:$G$10001,0)),"")</f>
        <v/>
      </c>
    </row>
    <row r="1378">
      <c r="A1378">
        <f>IFERROR(INDEX('Email Cleaner'!$B$2:$B$10001,MATCH(1377,'Email Cleaner'!$G$2:$G$10001,0)),"")</f>
        <v/>
      </c>
    </row>
    <row r="1379">
      <c r="A1379">
        <f>IFERROR(INDEX('Email Cleaner'!$B$2:$B$10001,MATCH(1378,'Email Cleaner'!$G$2:$G$10001,0)),"")</f>
        <v/>
      </c>
    </row>
    <row r="1380">
      <c r="A1380">
        <f>IFERROR(INDEX('Email Cleaner'!$B$2:$B$10001,MATCH(1379,'Email Cleaner'!$G$2:$G$10001,0)),"")</f>
        <v/>
      </c>
    </row>
    <row r="1381">
      <c r="A1381">
        <f>IFERROR(INDEX('Email Cleaner'!$B$2:$B$10001,MATCH(1380,'Email Cleaner'!$G$2:$G$10001,0)),"")</f>
        <v/>
      </c>
    </row>
    <row r="1382">
      <c r="A1382">
        <f>IFERROR(INDEX('Email Cleaner'!$B$2:$B$10001,MATCH(1381,'Email Cleaner'!$G$2:$G$10001,0)),"")</f>
        <v/>
      </c>
    </row>
    <row r="1383">
      <c r="A1383">
        <f>IFERROR(INDEX('Email Cleaner'!$B$2:$B$10001,MATCH(1382,'Email Cleaner'!$G$2:$G$10001,0)),"")</f>
        <v/>
      </c>
    </row>
    <row r="1384">
      <c r="A1384">
        <f>IFERROR(INDEX('Email Cleaner'!$B$2:$B$10001,MATCH(1383,'Email Cleaner'!$G$2:$G$10001,0)),"")</f>
        <v/>
      </c>
    </row>
    <row r="1385">
      <c r="A1385">
        <f>IFERROR(INDEX('Email Cleaner'!$B$2:$B$10001,MATCH(1384,'Email Cleaner'!$G$2:$G$10001,0)),"")</f>
        <v/>
      </c>
    </row>
    <row r="1386">
      <c r="A1386">
        <f>IFERROR(INDEX('Email Cleaner'!$B$2:$B$10001,MATCH(1385,'Email Cleaner'!$G$2:$G$10001,0)),"")</f>
        <v/>
      </c>
    </row>
    <row r="1387">
      <c r="A1387">
        <f>IFERROR(INDEX('Email Cleaner'!$B$2:$B$10001,MATCH(1386,'Email Cleaner'!$G$2:$G$10001,0)),"")</f>
        <v/>
      </c>
    </row>
    <row r="1388">
      <c r="A1388">
        <f>IFERROR(INDEX('Email Cleaner'!$B$2:$B$10001,MATCH(1387,'Email Cleaner'!$G$2:$G$10001,0)),"")</f>
        <v/>
      </c>
    </row>
    <row r="1389">
      <c r="A1389">
        <f>IFERROR(INDEX('Email Cleaner'!$B$2:$B$10001,MATCH(1388,'Email Cleaner'!$G$2:$G$10001,0)),"")</f>
        <v/>
      </c>
    </row>
    <row r="1390">
      <c r="A1390">
        <f>IFERROR(INDEX('Email Cleaner'!$B$2:$B$10001,MATCH(1389,'Email Cleaner'!$G$2:$G$10001,0)),"")</f>
        <v/>
      </c>
    </row>
    <row r="1391">
      <c r="A1391">
        <f>IFERROR(INDEX('Email Cleaner'!$B$2:$B$10001,MATCH(1390,'Email Cleaner'!$G$2:$G$10001,0)),"")</f>
        <v/>
      </c>
    </row>
    <row r="1392">
      <c r="A1392">
        <f>IFERROR(INDEX('Email Cleaner'!$B$2:$B$10001,MATCH(1391,'Email Cleaner'!$G$2:$G$10001,0)),"")</f>
        <v/>
      </c>
    </row>
    <row r="1393">
      <c r="A1393">
        <f>IFERROR(INDEX('Email Cleaner'!$B$2:$B$10001,MATCH(1392,'Email Cleaner'!$G$2:$G$10001,0)),"")</f>
        <v/>
      </c>
    </row>
    <row r="1394">
      <c r="A1394">
        <f>IFERROR(INDEX('Email Cleaner'!$B$2:$B$10001,MATCH(1393,'Email Cleaner'!$G$2:$G$10001,0)),"")</f>
        <v/>
      </c>
    </row>
    <row r="1395">
      <c r="A1395">
        <f>IFERROR(INDEX('Email Cleaner'!$B$2:$B$10001,MATCH(1394,'Email Cleaner'!$G$2:$G$10001,0)),"")</f>
        <v/>
      </c>
    </row>
    <row r="1396">
      <c r="A1396">
        <f>IFERROR(INDEX('Email Cleaner'!$B$2:$B$10001,MATCH(1395,'Email Cleaner'!$G$2:$G$10001,0)),"")</f>
        <v/>
      </c>
    </row>
    <row r="1397">
      <c r="A1397">
        <f>IFERROR(INDEX('Email Cleaner'!$B$2:$B$10001,MATCH(1396,'Email Cleaner'!$G$2:$G$10001,0)),"")</f>
        <v/>
      </c>
    </row>
    <row r="1398">
      <c r="A1398">
        <f>IFERROR(INDEX('Email Cleaner'!$B$2:$B$10001,MATCH(1397,'Email Cleaner'!$G$2:$G$10001,0)),"")</f>
        <v/>
      </c>
    </row>
    <row r="1399">
      <c r="A1399">
        <f>IFERROR(INDEX('Email Cleaner'!$B$2:$B$10001,MATCH(1398,'Email Cleaner'!$G$2:$G$10001,0)),"")</f>
        <v/>
      </c>
    </row>
    <row r="1400">
      <c r="A1400">
        <f>IFERROR(INDEX('Email Cleaner'!$B$2:$B$10001,MATCH(1399,'Email Cleaner'!$G$2:$G$10001,0)),"")</f>
        <v/>
      </c>
    </row>
    <row r="1401">
      <c r="A1401">
        <f>IFERROR(INDEX('Email Cleaner'!$B$2:$B$10001,MATCH(1400,'Email Cleaner'!$G$2:$G$10001,0)),"")</f>
        <v/>
      </c>
    </row>
    <row r="1402">
      <c r="A1402">
        <f>IFERROR(INDEX('Email Cleaner'!$B$2:$B$10001,MATCH(1401,'Email Cleaner'!$G$2:$G$10001,0)),"")</f>
        <v/>
      </c>
    </row>
    <row r="1403">
      <c r="A1403">
        <f>IFERROR(INDEX('Email Cleaner'!$B$2:$B$10001,MATCH(1402,'Email Cleaner'!$G$2:$G$10001,0)),"")</f>
        <v/>
      </c>
    </row>
    <row r="1404">
      <c r="A1404">
        <f>IFERROR(INDEX('Email Cleaner'!$B$2:$B$10001,MATCH(1403,'Email Cleaner'!$G$2:$G$10001,0)),"")</f>
        <v/>
      </c>
    </row>
    <row r="1405">
      <c r="A1405">
        <f>IFERROR(INDEX('Email Cleaner'!$B$2:$B$10001,MATCH(1404,'Email Cleaner'!$G$2:$G$10001,0)),"")</f>
        <v/>
      </c>
    </row>
    <row r="1406">
      <c r="A1406">
        <f>IFERROR(INDEX('Email Cleaner'!$B$2:$B$10001,MATCH(1405,'Email Cleaner'!$G$2:$G$10001,0)),"")</f>
        <v/>
      </c>
    </row>
    <row r="1407">
      <c r="A1407">
        <f>IFERROR(INDEX('Email Cleaner'!$B$2:$B$10001,MATCH(1406,'Email Cleaner'!$G$2:$G$10001,0)),"")</f>
        <v/>
      </c>
    </row>
    <row r="1408">
      <c r="A1408">
        <f>IFERROR(INDEX('Email Cleaner'!$B$2:$B$10001,MATCH(1407,'Email Cleaner'!$G$2:$G$10001,0)),"")</f>
        <v/>
      </c>
    </row>
    <row r="1409">
      <c r="A1409">
        <f>IFERROR(INDEX('Email Cleaner'!$B$2:$B$10001,MATCH(1408,'Email Cleaner'!$G$2:$G$10001,0)),"")</f>
        <v/>
      </c>
    </row>
    <row r="1410">
      <c r="A1410">
        <f>IFERROR(INDEX('Email Cleaner'!$B$2:$B$10001,MATCH(1409,'Email Cleaner'!$G$2:$G$10001,0)),"")</f>
        <v/>
      </c>
    </row>
    <row r="1411">
      <c r="A1411">
        <f>IFERROR(INDEX('Email Cleaner'!$B$2:$B$10001,MATCH(1410,'Email Cleaner'!$G$2:$G$10001,0)),"")</f>
        <v/>
      </c>
    </row>
    <row r="1412">
      <c r="A1412">
        <f>IFERROR(INDEX('Email Cleaner'!$B$2:$B$10001,MATCH(1411,'Email Cleaner'!$G$2:$G$10001,0)),"")</f>
        <v/>
      </c>
    </row>
    <row r="1413">
      <c r="A1413">
        <f>IFERROR(INDEX('Email Cleaner'!$B$2:$B$10001,MATCH(1412,'Email Cleaner'!$G$2:$G$10001,0)),"")</f>
        <v/>
      </c>
    </row>
    <row r="1414">
      <c r="A1414">
        <f>IFERROR(INDEX('Email Cleaner'!$B$2:$B$10001,MATCH(1413,'Email Cleaner'!$G$2:$G$10001,0)),"")</f>
        <v/>
      </c>
    </row>
    <row r="1415">
      <c r="A1415">
        <f>IFERROR(INDEX('Email Cleaner'!$B$2:$B$10001,MATCH(1414,'Email Cleaner'!$G$2:$G$10001,0)),"")</f>
        <v/>
      </c>
    </row>
    <row r="1416">
      <c r="A1416">
        <f>IFERROR(INDEX('Email Cleaner'!$B$2:$B$10001,MATCH(1415,'Email Cleaner'!$G$2:$G$10001,0)),"")</f>
        <v/>
      </c>
    </row>
    <row r="1417">
      <c r="A1417">
        <f>IFERROR(INDEX('Email Cleaner'!$B$2:$B$10001,MATCH(1416,'Email Cleaner'!$G$2:$G$10001,0)),"")</f>
        <v/>
      </c>
    </row>
    <row r="1418">
      <c r="A1418">
        <f>IFERROR(INDEX('Email Cleaner'!$B$2:$B$10001,MATCH(1417,'Email Cleaner'!$G$2:$G$10001,0)),"")</f>
        <v/>
      </c>
    </row>
    <row r="1419">
      <c r="A1419">
        <f>IFERROR(INDEX('Email Cleaner'!$B$2:$B$10001,MATCH(1418,'Email Cleaner'!$G$2:$G$10001,0)),"")</f>
        <v/>
      </c>
    </row>
    <row r="1420">
      <c r="A1420">
        <f>IFERROR(INDEX('Email Cleaner'!$B$2:$B$10001,MATCH(1419,'Email Cleaner'!$G$2:$G$10001,0)),"")</f>
        <v/>
      </c>
    </row>
    <row r="1421">
      <c r="A1421">
        <f>IFERROR(INDEX('Email Cleaner'!$B$2:$B$10001,MATCH(1420,'Email Cleaner'!$G$2:$G$10001,0)),"")</f>
        <v/>
      </c>
    </row>
    <row r="1422">
      <c r="A1422">
        <f>IFERROR(INDEX('Email Cleaner'!$B$2:$B$10001,MATCH(1421,'Email Cleaner'!$G$2:$G$10001,0)),"")</f>
        <v/>
      </c>
    </row>
    <row r="1423">
      <c r="A1423">
        <f>IFERROR(INDEX('Email Cleaner'!$B$2:$B$10001,MATCH(1422,'Email Cleaner'!$G$2:$G$10001,0)),"")</f>
        <v/>
      </c>
    </row>
    <row r="1424">
      <c r="A1424">
        <f>IFERROR(INDEX('Email Cleaner'!$B$2:$B$10001,MATCH(1423,'Email Cleaner'!$G$2:$G$10001,0)),"")</f>
        <v/>
      </c>
    </row>
    <row r="1425">
      <c r="A1425">
        <f>IFERROR(INDEX('Email Cleaner'!$B$2:$B$10001,MATCH(1424,'Email Cleaner'!$G$2:$G$10001,0)),"")</f>
        <v/>
      </c>
    </row>
    <row r="1426">
      <c r="A1426">
        <f>IFERROR(INDEX('Email Cleaner'!$B$2:$B$10001,MATCH(1425,'Email Cleaner'!$G$2:$G$10001,0)),"")</f>
        <v/>
      </c>
    </row>
    <row r="1427">
      <c r="A1427">
        <f>IFERROR(INDEX('Email Cleaner'!$B$2:$B$10001,MATCH(1426,'Email Cleaner'!$G$2:$G$10001,0)),"")</f>
        <v/>
      </c>
    </row>
    <row r="1428">
      <c r="A1428">
        <f>IFERROR(INDEX('Email Cleaner'!$B$2:$B$10001,MATCH(1427,'Email Cleaner'!$G$2:$G$10001,0)),"")</f>
        <v/>
      </c>
    </row>
    <row r="1429">
      <c r="A1429">
        <f>IFERROR(INDEX('Email Cleaner'!$B$2:$B$10001,MATCH(1428,'Email Cleaner'!$G$2:$G$10001,0)),"")</f>
        <v/>
      </c>
    </row>
    <row r="1430">
      <c r="A1430">
        <f>IFERROR(INDEX('Email Cleaner'!$B$2:$B$10001,MATCH(1429,'Email Cleaner'!$G$2:$G$10001,0)),"")</f>
        <v/>
      </c>
    </row>
    <row r="1431">
      <c r="A1431">
        <f>IFERROR(INDEX('Email Cleaner'!$B$2:$B$10001,MATCH(1430,'Email Cleaner'!$G$2:$G$10001,0)),"")</f>
        <v/>
      </c>
    </row>
    <row r="1432">
      <c r="A1432">
        <f>IFERROR(INDEX('Email Cleaner'!$B$2:$B$10001,MATCH(1431,'Email Cleaner'!$G$2:$G$10001,0)),"")</f>
        <v/>
      </c>
    </row>
    <row r="1433">
      <c r="A1433">
        <f>IFERROR(INDEX('Email Cleaner'!$B$2:$B$10001,MATCH(1432,'Email Cleaner'!$G$2:$G$10001,0)),"")</f>
        <v/>
      </c>
    </row>
    <row r="1434">
      <c r="A1434">
        <f>IFERROR(INDEX('Email Cleaner'!$B$2:$B$10001,MATCH(1433,'Email Cleaner'!$G$2:$G$10001,0)),"")</f>
        <v/>
      </c>
    </row>
    <row r="1435">
      <c r="A1435">
        <f>IFERROR(INDEX('Email Cleaner'!$B$2:$B$10001,MATCH(1434,'Email Cleaner'!$G$2:$G$10001,0)),"")</f>
        <v/>
      </c>
    </row>
    <row r="1436">
      <c r="A1436">
        <f>IFERROR(INDEX('Email Cleaner'!$B$2:$B$10001,MATCH(1435,'Email Cleaner'!$G$2:$G$10001,0)),"")</f>
        <v/>
      </c>
    </row>
    <row r="1437">
      <c r="A1437">
        <f>IFERROR(INDEX('Email Cleaner'!$B$2:$B$10001,MATCH(1436,'Email Cleaner'!$G$2:$G$10001,0)),"")</f>
        <v/>
      </c>
    </row>
    <row r="1438">
      <c r="A1438">
        <f>IFERROR(INDEX('Email Cleaner'!$B$2:$B$10001,MATCH(1437,'Email Cleaner'!$G$2:$G$10001,0)),"")</f>
        <v/>
      </c>
    </row>
    <row r="1439">
      <c r="A1439">
        <f>IFERROR(INDEX('Email Cleaner'!$B$2:$B$10001,MATCH(1438,'Email Cleaner'!$G$2:$G$10001,0)),"")</f>
        <v/>
      </c>
    </row>
    <row r="1440">
      <c r="A1440">
        <f>IFERROR(INDEX('Email Cleaner'!$B$2:$B$10001,MATCH(1439,'Email Cleaner'!$G$2:$G$10001,0)),"")</f>
        <v/>
      </c>
    </row>
    <row r="1441">
      <c r="A1441">
        <f>IFERROR(INDEX('Email Cleaner'!$B$2:$B$10001,MATCH(1440,'Email Cleaner'!$G$2:$G$10001,0)),"")</f>
        <v/>
      </c>
    </row>
    <row r="1442">
      <c r="A1442">
        <f>IFERROR(INDEX('Email Cleaner'!$B$2:$B$10001,MATCH(1441,'Email Cleaner'!$G$2:$G$10001,0)),"")</f>
        <v/>
      </c>
    </row>
    <row r="1443">
      <c r="A1443">
        <f>IFERROR(INDEX('Email Cleaner'!$B$2:$B$10001,MATCH(1442,'Email Cleaner'!$G$2:$G$10001,0)),"")</f>
        <v/>
      </c>
    </row>
    <row r="1444">
      <c r="A1444">
        <f>IFERROR(INDEX('Email Cleaner'!$B$2:$B$10001,MATCH(1443,'Email Cleaner'!$G$2:$G$10001,0)),"")</f>
        <v/>
      </c>
    </row>
    <row r="1445">
      <c r="A1445">
        <f>IFERROR(INDEX('Email Cleaner'!$B$2:$B$10001,MATCH(1444,'Email Cleaner'!$G$2:$G$10001,0)),"")</f>
        <v/>
      </c>
    </row>
    <row r="1446">
      <c r="A1446">
        <f>IFERROR(INDEX('Email Cleaner'!$B$2:$B$10001,MATCH(1445,'Email Cleaner'!$G$2:$G$10001,0)),"")</f>
        <v/>
      </c>
    </row>
    <row r="1447">
      <c r="A1447">
        <f>IFERROR(INDEX('Email Cleaner'!$B$2:$B$10001,MATCH(1446,'Email Cleaner'!$G$2:$G$10001,0)),"")</f>
        <v/>
      </c>
    </row>
    <row r="1448">
      <c r="A1448">
        <f>IFERROR(INDEX('Email Cleaner'!$B$2:$B$10001,MATCH(1447,'Email Cleaner'!$G$2:$G$10001,0)),"")</f>
        <v/>
      </c>
    </row>
    <row r="1449">
      <c r="A1449">
        <f>IFERROR(INDEX('Email Cleaner'!$B$2:$B$10001,MATCH(1448,'Email Cleaner'!$G$2:$G$10001,0)),"")</f>
        <v/>
      </c>
    </row>
    <row r="1450">
      <c r="A1450">
        <f>IFERROR(INDEX('Email Cleaner'!$B$2:$B$10001,MATCH(1449,'Email Cleaner'!$G$2:$G$10001,0)),"")</f>
        <v/>
      </c>
    </row>
    <row r="1451">
      <c r="A1451">
        <f>IFERROR(INDEX('Email Cleaner'!$B$2:$B$10001,MATCH(1450,'Email Cleaner'!$G$2:$G$10001,0)),"")</f>
        <v/>
      </c>
    </row>
    <row r="1452">
      <c r="A1452">
        <f>IFERROR(INDEX('Email Cleaner'!$B$2:$B$10001,MATCH(1451,'Email Cleaner'!$G$2:$G$10001,0)),"")</f>
        <v/>
      </c>
    </row>
    <row r="1453">
      <c r="A1453">
        <f>IFERROR(INDEX('Email Cleaner'!$B$2:$B$10001,MATCH(1452,'Email Cleaner'!$G$2:$G$10001,0)),"")</f>
        <v/>
      </c>
    </row>
    <row r="1454">
      <c r="A1454">
        <f>IFERROR(INDEX('Email Cleaner'!$B$2:$B$10001,MATCH(1453,'Email Cleaner'!$G$2:$G$10001,0)),"")</f>
        <v/>
      </c>
    </row>
    <row r="1455">
      <c r="A1455">
        <f>IFERROR(INDEX('Email Cleaner'!$B$2:$B$10001,MATCH(1454,'Email Cleaner'!$G$2:$G$10001,0)),"")</f>
        <v/>
      </c>
    </row>
    <row r="1456">
      <c r="A1456">
        <f>IFERROR(INDEX('Email Cleaner'!$B$2:$B$10001,MATCH(1455,'Email Cleaner'!$G$2:$G$10001,0)),"")</f>
        <v/>
      </c>
    </row>
    <row r="1457">
      <c r="A1457">
        <f>IFERROR(INDEX('Email Cleaner'!$B$2:$B$10001,MATCH(1456,'Email Cleaner'!$G$2:$G$10001,0)),"")</f>
        <v/>
      </c>
    </row>
    <row r="1458">
      <c r="A1458">
        <f>IFERROR(INDEX('Email Cleaner'!$B$2:$B$10001,MATCH(1457,'Email Cleaner'!$G$2:$G$10001,0)),"")</f>
        <v/>
      </c>
    </row>
    <row r="1459">
      <c r="A1459">
        <f>IFERROR(INDEX('Email Cleaner'!$B$2:$B$10001,MATCH(1458,'Email Cleaner'!$G$2:$G$10001,0)),"")</f>
        <v/>
      </c>
    </row>
    <row r="1460">
      <c r="A1460">
        <f>IFERROR(INDEX('Email Cleaner'!$B$2:$B$10001,MATCH(1459,'Email Cleaner'!$G$2:$G$10001,0)),"")</f>
        <v/>
      </c>
    </row>
    <row r="1461">
      <c r="A1461">
        <f>IFERROR(INDEX('Email Cleaner'!$B$2:$B$10001,MATCH(1460,'Email Cleaner'!$G$2:$G$10001,0)),"")</f>
        <v/>
      </c>
    </row>
    <row r="1462">
      <c r="A1462">
        <f>IFERROR(INDEX('Email Cleaner'!$B$2:$B$10001,MATCH(1461,'Email Cleaner'!$G$2:$G$10001,0)),"")</f>
        <v/>
      </c>
    </row>
    <row r="1463">
      <c r="A1463">
        <f>IFERROR(INDEX('Email Cleaner'!$B$2:$B$10001,MATCH(1462,'Email Cleaner'!$G$2:$G$10001,0)),"")</f>
        <v/>
      </c>
    </row>
    <row r="1464">
      <c r="A1464">
        <f>IFERROR(INDEX('Email Cleaner'!$B$2:$B$10001,MATCH(1463,'Email Cleaner'!$G$2:$G$10001,0)),"")</f>
        <v/>
      </c>
    </row>
    <row r="1465">
      <c r="A1465">
        <f>IFERROR(INDEX('Email Cleaner'!$B$2:$B$10001,MATCH(1464,'Email Cleaner'!$G$2:$G$10001,0)),"")</f>
        <v/>
      </c>
    </row>
    <row r="1466">
      <c r="A1466">
        <f>IFERROR(INDEX('Email Cleaner'!$B$2:$B$10001,MATCH(1465,'Email Cleaner'!$G$2:$G$10001,0)),"")</f>
        <v/>
      </c>
    </row>
    <row r="1467">
      <c r="A1467">
        <f>IFERROR(INDEX('Email Cleaner'!$B$2:$B$10001,MATCH(1466,'Email Cleaner'!$G$2:$G$10001,0)),"")</f>
        <v/>
      </c>
    </row>
    <row r="1468">
      <c r="A1468">
        <f>IFERROR(INDEX('Email Cleaner'!$B$2:$B$10001,MATCH(1467,'Email Cleaner'!$G$2:$G$10001,0)),"")</f>
        <v/>
      </c>
    </row>
    <row r="1469">
      <c r="A1469">
        <f>IFERROR(INDEX('Email Cleaner'!$B$2:$B$10001,MATCH(1468,'Email Cleaner'!$G$2:$G$10001,0)),"")</f>
        <v/>
      </c>
    </row>
    <row r="1470">
      <c r="A1470">
        <f>IFERROR(INDEX('Email Cleaner'!$B$2:$B$10001,MATCH(1469,'Email Cleaner'!$G$2:$G$10001,0)),"")</f>
        <v/>
      </c>
    </row>
    <row r="1471">
      <c r="A1471">
        <f>IFERROR(INDEX('Email Cleaner'!$B$2:$B$10001,MATCH(1470,'Email Cleaner'!$G$2:$G$10001,0)),"")</f>
        <v/>
      </c>
    </row>
    <row r="1472">
      <c r="A1472">
        <f>IFERROR(INDEX('Email Cleaner'!$B$2:$B$10001,MATCH(1471,'Email Cleaner'!$G$2:$G$10001,0)),"")</f>
        <v/>
      </c>
    </row>
    <row r="1473">
      <c r="A1473">
        <f>IFERROR(INDEX('Email Cleaner'!$B$2:$B$10001,MATCH(1472,'Email Cleaner'!$G$2:$G$10001,0)),"")</f>
        <v/>
      </c>
    </row>
    <row r="1474">
      <c r="A1474">
        <f>IFERROR(INDEX('Email Cleaner'!$B$2:$B$10001,MATCH(1473,'Email Cleaner'!$G$2:$G$10001,0)),"")</f>
        <v/>
      </c>
    </row>
    <row r="1475">
      <c r="A1475">
        <f>IFERROR(INDEX('Email Cleaner'!$B$2:$B$10001,MATCH(1474,'Email Cleaner'!$G$2:$G$10001,0)),"")</f>
        <v/>
      </c>
    </row>
    <row r="1476">
      <c r="A1476">
        <f>IFERROR(INDEX('Email Cleaner'!$B$2:$B$10001,MATCH(1475,'Email Cleaner'!$G$2:$G$10001,0)),"")</f>
        <v/>
      </c>
    </row>
    <row r="1477">
      <c r="A1477">
        <f>IFERROR(INDEX('Email Cleaner'!$B$2:$B$10001,MATCH(1476,'Email Cleaner'!$G$2:$G$10001,0)),"")</f>
        <v/>
      </c>
    </row>
    <row r="1478">
      <c r="A1478">
        <f>IFERROR(INDEX('Email Cleaner'!$B$2:$B$10001,MATCH(1477,'Email Cleaner'!$G$2:$G$10001,0)),"")</f>
        <v/>
      </c>
    </row>
    <row r="1479">
      <c r="A1479">
        <f>IFERROR(INDEX('Email Cleaner'!$B$2:$B$10001,MATCH(1478,'Email Cleaner'!$G$2:$G$10001,0)),"")</f>
        <v/>
      </c>
    </row>
    <row r="1480">
      <c r="A1480">
        <f>IFERROR(INDEX('Email Cleaner'!$B$2:$B$10001,MATCH(1479,'Email Cleaner'!$G$2:$G$10001,0)),"")</f>
        <v/>
      </c>
    </row>
    <row r="1481">
      <c r="A1481">
        <f>IFERROR(INDEX('Email Cleaner'!$B$2:$B$10001,MATCH(1480,'Email Cleaner'!$G$2:$G$10001,0)),"")</f>
        <v/>
      </c>
    </row>
    <row r="1482">
      <c r="A1482">
        <f>IFERROR(INDEX('Email Cleaner'!$B$2:$B$10001,MATCH(1481,'Email Cleaner'!$G$2:$G$10001,0)),"")</f>
        <v/>
      </c>
    </row>
    <row r="1483">
      <c r="A1483">
        <f>IFERROR(INDEX('Email Cleaner'!$B$2:$B$10001,MATCH(1482,'Email Cleaner'!$G$2:$G$10001,0)),"")</f>
        <v/>
      </c>
    </row>
    <row r="1484">
      <c r="A1484">
        <f>IFERROR(INDEX('Email Cleaner'!$B$2:$B$10001,MATCH(1483,'Email Cleaner'!$G$2:$G$10001,0)),"")</f>
        <v/>
      </c>
    </row>
    <row r="1485">
      <c r="A1485">
        <f>IFERROR(INDEX('Email Cleaner'!$B$2:$B$10001,MATCH(1484,'Email Cleaner'!$G$2:$G$10001,0)),"")</f>
        <v/>
      </c>
    </row>
    <row r="1486">
      <c r="A1486">
        <f>IFERROR(INDEX('Email Cleaner'!$B$2:$B$10001,MATCH(1485,'Email Cleaner'!$G$2:$G$10001,0)),"")</f>
        <v/>
      </c>
    </row>
    <row r="1487">
      <c r="A1487">
        <f>IFERROR(INDEX('Email Cleaner'!$B$2:$B$10001,MATCH(1486,'Email Cleaner'!$G$2:$G$10001,0)),"")</f>
        <v/>
      </c>
    </row>
    <row r="1488">
      <c r="A1488">
        <f>IFERROR(INDEX('Email Cleaner'!$B$2:$B$10001,MATCH(1487,'Email Cleaner'!$G$2:$G$10001,0)),"")</f>
        <v/>
      </c>
    </row>
    <row r="1489">
      <c r="A1489">
        <f>IFERROR(INDEX('Email Cleaner'!$B$2:$B$10001,MATCH(1488,'Email Cleaner'!$G$2:$G$10001,0)),"")</f>
        <v/>
      </c>
    </row>
    <row r="1490">
      <c r="A1490">
        <f>IFERROR(INDEX('Email Cleaner'!$B$2:$B$10001,MATCH(1489,'Email Cleaner'!$G$2:$G$10001,0)),"")</f>
        <v/>
      </c>
    </row>
    <row r="1491">
      <c r="A1491">
        <f>IFERROR(INDEX('Email Cleaner'!$B$2:$B$10001,MATCH(1490,'Email Cleaner'!$G$2:$G$10001,0)),"")</f>
        <v/>
      </c>
    </row>
    <row r="1492">
      <c r="A1492">
        <f>IFERROR(INDEX('Email Cleaner'!$B$2:$B$10001,MATCH(1491,'Email Cleaner'!$G$2:$G$10001,0)),"")</f>
        <v/>
      </c>
    </row>
    <row r="1493">
      <c r="A1493">
        <f>IFERROR(INDEX('Email Cleaner'!$B$2:$B$10001,MATCH(1492,'Email Cleaner'!$G$2:$G$10001,0)),"")</f>
        <v/>
      </c>
    </row>
    <row r="1494">
      <c r="A1494">
        <f>IFERROR(INDEX('Email Cleaner'!$B$2:$B$10001,MATCH(1493,'Email Cleaner'!$G$2:$G$10001,0)),"")</f>
        <v/>
      </c>
    </row>
    <row r="1495">
      <c r="A1495">
        <f>IFERROR(INDEX('Email Cleaner'!$B$2:$B$10001,MATCH(1494,'Email Cleaner'!$G$2:$G$10001,0)),"")</f>
        <v/>
      </c>
    </row>
    <row r="1496">
      <c r="A1496">
        <f>IFERROR(INDEX('Email Cleaner'!$B$2:$B$10001,MATCH(1495,'Email Cleaner'!$G$2:$G$10001,0)),"")</f>
        <v/>
      </c>
    </row>
    <row r="1497">
      <c r="A1497">
        <f>IFERROR(INDEX('Email Cleaner'!$B$2:$B$10001,MATCH(1496,'Email Cleaner'!$G$2:$G$10001,0)),"")</f>
        <v/>
      </c>
    </row>
    <row r="1498">
      <c r="A1498">
        <f>IFERROR(INDEX('Email Cleaner'!$B$2:$B$10001,MATCH(1497,'Email Cleaner'!$G$2:$G$10001,0)),"")</f>
        <v/>
      </c>
    </row>
    <row r="1499">
      <c r="A1499">
        <f>IFERROR(INDEX('Email Cleaner'!$B$2:$B$10001,MATCH(1498,'Email Cleaner'!$G$2:$G$10001,0)),"")</f>
        <v/>
      </c>
    </row>
    <row r="1500">
      <c r="A1500">
        <f>IFERROR(INDEX('Email Cleaner'!$B$2:$B$10001,MATCH(1499,'Email Cleaner'!$G$2:$G$10001,0)),"")</f>
        <v/>
      </c>
    </row>
    <row r="1501">
      <c r="A1501">
        <f>IFERROR(INDEX('Email Cleaner'!$B$2:$B$10001,MATCH(1500,'Email Cleaner'!$G$2:$G$10001,0)),"")</f>
        <v/>
      </c>
    </row>
    <row r="1502">
      <c r="A1502">
        <f>IFERROR(INDEX('Email Cleaner'!$B$2:$B$10001,MATCH(1501,'Email Cleaner'!$G$2:$G$10001,0)),"")</f>
        <v/>
      </c>
    </row>
    <row r="1503">
      <c r="A1503">
        <f>IFERROR(INDEX('Email Cleaner'!$B$2:$B$10001,MATCH(1502,'Email Cleaner'!$G$2:$G$10001,0)),"")</f>
        <v/>
      </c>
    </row>
    <row r="1504">
      <c r="A1504">
        <f>IFERROR(INDEX('Email Cleaner'!$B$2:$B$10001,MATCH(1503,'Email Cleaner'!$G$2:$G$10001,0)),"")</f>
        <v/>
      </c>
    </row>
    <row r="1505">
      <c r="A1505">
        <f>IFERROR(INDEX('Email Cleaner'!$B$2:$B$10001,MATCH(1504,'Email Cleaner'!$G$2:$G$10001,0)),"")</f>
        <v/>
      </c>
    </row>
    <row r="1506">
      <c r="A1506">
        <f>IFERROR(INDEX('Email Cleaner'!$B$2:$B$10001,MATCH(1505,'Email Cleaner'!$G$2:$G$10001,0)),"")</f>
        <v/>
      </c>
    </row>
    <row r="1507">
      <c r="A1507">
        <f>IFERROR(INDEX('Email Cleaner'!$B$2:$B$10001,MATCH(1506,'Email Cleaner'!$G$2:$G$10001,0)),"")</f>
        <v/>
      </c>
    </row>
    <row r="1508">
      <c r="A1508">
        <f>IFERROR(INDEX('Email Cleaner'!$B$2:$B$10001,MATCH(1507,'Email Cleaner'!$G$2:$G$10001,0)),"")</f>
        <v/>
      </c>
    </row>
    <row r="1509">
      <c r="A1509">
        <f>IFERROR(INDEX('Email Cleaner'!$B$2:$B$10001,MATCH(1508,'Email Cleaner'!$G$2:$G$10001,0)),"")</f>
        <v/>
      </c>
    </row>
    <row r="1510">
      <c r="A1510">
        <f>IFERROR(INDEX('Email Cleaner'!$B$2:$B$10001,MATCH(1509,'Email Cleaner'!$G$2:$G$10001,0)),"")</f>
        <v/>
      </c>
    </row>
    <row r="1511">
      <c r="A1511">
        <f>IFERROR(INDEX('Email Cleaner'!$B$2:$B$10001,MATCH(1510,'Email Cleaner'!$G$2:$G$10001,0)),"")</f>
        <v/>
      </c>
    </row>
    <row r="1512">
      <c r="A1512">
        <f>IFERROR(INDEX('Email Cleaner'!$B$2:$B$10001,MATCH(1511,'Email Cleaner'!$G$2:$G$10001,0)),"")</f>
        <v/>
      </c>
    </row>
    <row r="1513">
      <c r="A1513">
        <f>IFERROR(INDEX('Email Cleaner'!$B$2:$B$10001,MATCH(1512,'Email Cleaner'!$G$2:$G$10001,0)),"")</f>
        <v/>
      </c>
    </row>
    <row r="1514">
      <c r="A1514">
        <f>IFERROR(INDEX('Email Cleaner'!$B$2:$B$10001,MATCH(1513,'Email Cleaner'!$G$2:$G$10001,0)),"")</f>
        <v/>
      </c>
    </row>
    <row r="1515">
      <c r="A1515">
        <f>IFERROR(INDEX('Email Cleaner'!$B$2:$B$10001,MATCH(1514,'Email Cleaner'!$G$2:$G$10001,0)),"")</f>
        <v/>
      </c>
    </row>
    <row r="1516">
      <c r="A1516">
        <f>IFERROR(INDEX('Email Cleaner'!$B$2:$B$10001,MATCH(1515,'Email Cleaner'!$G$2:$G$10001,0)),"")</f>
        <v/>
      </c>
    </row>
    <row r="1517">
      <c r="A1517">
        <f>IFERROR(INDEX('Email Cleaner'!$B$2:$B$10001,MATCH(1516,'Email Cleaner'!$G$2:$G$10001,0)),"")</f>
        <v/>
      </c>
    </row>
    <row r="1518">
      <c r="A1518">
        <f>IFERROR(INDEX('Email Cleaner'!$B$2:$B$10001,MATCH(1517,'Email Cleaner'!$G$2:$G$10001,0)),"")</f>
        <v/>
      </c>
    </row>
    <row r="1519">
      <c r="A1519">
        <f>IFERROR(INDEX('Email Cleaner'!$B$2:$B$10001,MATCH(1518,'Email Cleaner'!$G$2:$G$10001,0)),"")</f>
        <v/>
      </c>
    </row>
    <row r="1520">
      <c r="A1520">
        <f>IFERROR(INDEX('Email Cleaner'!$B$2:$B$10001,MATCH(1519,'Email Cleaner'!$G$2:$G$10001,0)),"")</f>
        <v/>
      </c>
    </row>
    <row r="1521">
      <c r="A1521">
        <f>IFERROR(INDEX('Email Cleaner'!$B$2:$B$10001,MATCH(1520,'Email Cleaner'!$G$2:$G$10001,0)),"")</f>
        <v/>
      </c>
    </row>
    <row r="1522">
      <c r="A1522">
        <f>IFERROR(INDEX('Email Cleaner'!$B$2:$B$10001,MATCH(1521,'Email Cleaner'!$G$2:$G$10001,0)),"")</f>
        <v/>
      </c>
    </row>
    <row r="1523">
      <c r="A1523">
        <f>IFERROR(INDEX('Email Cleaner'!$B$2:$B$10001,MATCH(1522,'Email Cleaner'!$G$2:$G$10001,0)),"")</f>
        <v/>
      </c>
    </row>
    <row r="1524">
      <c r="A1524">
        <f>IFERROR(INDEX('Email Cleaner'!$B$2:$B$10001,MATCH(1523,'Email Cleaner'!$G$2:$G$10001,0)),"")</f>
        <v/>
      </c>
    </row>
    <row r="1525">
      <c r="A1525">
        <f>IFERROR(INDEX('Email Cleaner'!$B$2:$B$10001,MATCH(1524,'Email Cleaner'!$G$2:$G$10001,0)),"")</f>
        <v/>
      </c>
    </row>
    <row r="1526">
      <c r="A1526">
        <f>IFERROR(INDEX('Email Cleaner'!$B$2:$B$10001,MATCH(1525,'Email Cleaner'!$G$2:$G$10001,0)),"")</f>
        <v/>
      </c>
    </row>
    <row r="1527">
      <c r="A1527">
        <f>IFERROR(INDEX('Email Cleaner'!$B$2:$B$10001,MATCH(1526,'Email Cleaner'!$G$2:$G$10001,0)),"")</f>
        <v/>
      </c>
    </row>
    <row r="1528">
      <c r="A1528">
        <f>IFERROR(INDEX('Email Cleaner'!$B$2:$B$10001,MATCH(1527,'Email Cleaner'!$G$2:$G$10001,0)),"")</f>
        <v/>
      </c>
    </row>
    <row r="1529">
      <c r="A1529">
        <f>IFERROR(INDEX('Email Cleaner'!$B$2:$B$10001,MATCH(1528,'Email Cleaner'!$G$2:$G$10001,0)),"")</f>
        <v/>
      </c>
    </row>
    <row r="1530">
      <c r="A1530">
        <f>IFERROR(INDEX('Email Cleaner'!$B$2:$B$10001,MATCH(1529,'Email Cleaner'!$G$2:$G$10001,0)),"")</f>
        <v/>
      </c>
    </row>
    <row r="1531">
      <c r="A1531">
        <f>IFERROR(INDEX('Email Cleaner'!$B$2:$B$10001,MATCH(1530,'Email Cleaner'!$G$2:$G$10001,0)),"")</f>
        <v/>
      </c>
    </row>
    <row r="1532">
      <c r="A1532">
        <f>IFERROR(INDEX('Email Cleaner'!$B$2:$B$10001,MATCH(1531,'Email Cleaner'!$G$2:$G$10001,0)),"")</f>
        <v/>
      </c>
    </row>
    <row r="1533">
      <c r="A1533">
        <f>IFERROR(INDEX('Email Cleaner'!$B$2:$B$10001,MATCH(1532,'Email Cleaner'!$G$2:$G$10001,0)),"")</f>
        <v/>
      </c>
    </row>
    <row r="1534">
      <c r="A1534">
        <f>IFERROR(INDEX('Email Cleaner'!$B$2:$B$10001,MATCH(1533,'Email Cleaner'!$G$2:$G$10001,0)),"")</f>
        <v/>
      </c>
    </row>
    <row r="1535">
      <c r="A1535">
        <f>IFERROR(INDEX('Email Cleaner'!$B$2:$B$10001,MATCH(1534,'Email Cleaner'!$G$2:$G$10001,0)),"")</f>
        <v/>
      </c>
    </row>
    <row r="1536">
      <c r="A1536">
        <f>IFERROR(INDEX('Email Cleaner'!$B$2:$B$10001,MATCH(1535,'Email Cleaner'!$G$2:$G$10001,0)),"")</f>
        <v/>
      </c>
    </row>
    <row r="1537">
      <c r="A1537">
        <f>IFERROR(INDEX('Email Cleaner'!$B$2:$B$10001,MATCH(1536,'Email Cleaner'!$G$2:$G$10001,0)),"")</f>
        <v/>
      </c>
    </row>
    <row r="1538">
      <c r="A1538">
        <f>IFERROR(INDEX('Email Cleaner'!$B$2:$B$10001,MATCH(1537,'Email Cleaner'!$G$2:$G$10001,0)),"")</f>
        <v/>
      </c>
    </row>
    <row r="1539">
      <c r="A1539">
        <f>IFERROR(INDEX('Email Cleaner'!$B$2:$B$10001,MATCH(1538,'Email Cleaner'!$G$2:$G$10001,0)),"")</f>
        <v/>
      </c>
    </row>
    <row r="1540">
      <c r="A1540">
        <f>IFERROR(INDEX('Email Cleaner'!$B$2:$B$10001,MATCH(1539,'Email Cleaner'!$G$2:$G$10001,0)),"")</f>
        <v/>
      </c>
    </row>
    <row r="1541">
      <c r="A1541">
        <f>IFERROR(INDEX('Email Cleaner'!$B$2:$B$10001,MATCH(1540,'Email Cleaner'!$G$2:$G$10001,0)),"")</f>
        <v/>
      </c>
    </row>
    <row r="1542">
      <c r="A1542">
        <f>IFERROR(INDEX('Email Cleaner'!$B$2:$B$10001,MATCH(1541,'Email Cleaner'!$G$2:$G$10001,0)),"")</f>
        <v/>
      </c>
    </row>
    <row r="1543">
      <c r="A1543">
        <f>IFERROR(INDEX('Email Cleaner'!$B$2:$B$10001,MATCH(1542,'Email Cleaner'!$G$2:$G$10001,0)),"")</f>
        <v/>
      </c>
    </row>
    <row r="1544">
      <c r="A1544">
        <f>IFERROR(INDEX('Email Cleaner'!$B$2:$B$10001,MATCH(1543,'Email Cleaner'!$G$2:$G$10001,0)),"")</f>
        <v/>
      </c>
    </row>
    <row r="1545">
      <c r="A1545">
        <f>IFERROR(INDEX('Email Cleaner'!$B$2:$B$10001,MATCH(1544,'Email Cleaner'!$G$2:$G$10001,0)),"")</f>
        <v/>
      </c>
    </row>
    <row r="1546">
      <c r="A1546">
        <f>IFERROR(INDEX('Email Cleaner'!$B$2:$B$10001,MATCH(1545,'Email Cleaner'!$G$2:$G$10001,0)),"")</f>
        <v/>
      </c>
    </row>
    <row r="1547">
      <c r="A1547">
        <f>IFERROR(INDEX('Email Cleaner'!$B$2:$B$10001,MATCH(1546,'Email Cleaner'!$G$2:$G$10001,0)),"")</f>
        <v/>
      </c>
    </row>
    <row r="1548">
      <c r="A1548">
        <f>IFERROR(INDEX('Email Cleaner'!$B$2:$B$10001,MATCH(1547,'Email Cleaner'!$G$2:$G$10001,0)),"")</f>
        <v/>
      </c>
    </row>
    <row r="1549">
      <c r="A1549">
        <f>IFERROR(INDEX('Email Cleaner'!$B$2:$B$10001,MATCH(1548,'Email Cleaner'!$G$2:$G$10001,0)),"")</f>
        <v/>
      </c>
    </row>
    <row r="1550">
      <c r="A1550">
        <f>IFERROR(INDEX('Email Cleaner'!$B$2:$B$10001,MATCH(1549,'Email Cleaner'!$G$2:$G$10001,0)),"")</f>
        <v/>
      </c>
    </row>
    <row r="1551">
      <c r="A1551">
        <f>IFERROR(INDEX('Email Cleaner'!$B$2:$B$10001,MATCH(1550,'Email Cleaner'!$G$2:$G$10001,0)),"")</f>
        <v/>
      </c>
    </row>
    <row r="1552">
      <c r="A1552">
        <f>IFERROR(INDEX('Email Cleaner'!$B$2:$B$10001,MATCH(1551,'Email Cleaner'!$G$2:$G$10001,0)),"")</f>
        <v/>
      </c>
    </row>
    <row r="1553">
      <c r="A1553">
        <f>IFERROR(INDEX('Email Cleaner'!$B$2:$B$10001,MATCH(1552,'Email Cleaner'!$G$2:$G$10001,0)),"")</f>
        <v/>
      </c>
    </row>
    <row r="1554">
      <c r="A1554">
        <f>IFERROR(INDEX('Email Cleaner'!$B$2:$B$10001,MATCH(1553,'Email Cleaner'!$G$2:$G$10001,0)),"")</f>
        <v/>
      </c>
    </row>
    <row r="1555">
      <c r="A1555">
        <f>IFERROR(INDEX('Email Cleaner'!$B$2:$B$10001,MATCH(1554,'Email Cleaner'!$G$2:$G$10001,0)),"")</f>
        <v/>
      </c>
    </row>
    <row r="1556">
      <c r="A1556">
        <f>IFERROR(INDEX('Email Cleaner'!$B$2:$B$10001,MATCH(1555,'Email Cleaner'!$G$2:$G$10001,0)),"")</f>
        <v/>
      </c>
    </row>
    <row r="1557">
      <c r="A1557">
        <f>IFERROR(INDEX('Email Cleaner'!$B$2:$B$10001,MATCH(1556,'Email Cleaner'!$G$2:$G$10001,0)),"")</f>
        <v/>
      </c>
    </row>
    <row r="1558">
      <c r="A1558">
        <f>IFERROR(INDEX('Email Cleaner'!$B$2:$B$10001,MATCH(1557,'Email Cleaner'!$G$2:$G$10001,0)),"")</f>
        <v/>
      </c>
    </row>
    <row r="1559">
      <c r="A1559">
        <f>IFERROR(INDEX('Email Cleaner'!$B$2:$B$10001,MATCH(1558,'Email Cleaner'!$G$2:$G$10001,0)),"")</f>
        <v/>
      </c>
    </row>
    <row r="1560">
      <c r="A1560">
        <f>IFERROR(INDEX('Email Cleaner'!$B$2:$B$10001,MATCH(1559,'Email Cleaner'!$G$2:$G$10001,0)),"")</f>
        <v/>
      </c>
    </row>
    <row r="1561">
      <c r="A1561">
        <f>IFERROR(INDEX('Email Cleaner'!$B$2:$B$10001,MATCH(1560,'Email Cleaner'!$G$2:$G$10001,0)),"")</f>
        <v/>
      </c>
    </row>
    <row r="1562">
      <c r="A1562">
        <f>IFERROR(INDEX('Email Cleaner'!$B$2:$B$10001,MATCH(1561,'Email Cleaner'!$G$2:$G$10001,0)),"")</f>
        <v/>
      </c>
    </row>
    <row r="1563">
      <c r="A1563">
        <f>IFERROR(INDEX('Email Cleaner'!$B$2:$B$10001,MATCH(1562,'Email Cleaner'!$G$2:$G$10001,0)),"")</f>
        <v/>
      </c>
    </row>
    <row r="1564">
      <c r="A1564">
        <f>IFERROR(INDEX('Email Cleaner'!$B$2:$B$10001,MATCH(1563,'Email Cleaner'!$G$2:$G$10001,0)),"")</f>
        <v/>
      </c>
    </row>
    <row r="1565">
      <c r="A1565">
        <f>IFERROR(INDEX('Email Cleaner'!$B$2:$B$10001,MATCH(1564,'Email Cleaner'!$G$2:$G$10001,0)),"")</f>
        <v/>
      </c>
    </row>
    <row r="1566">
      <c r="A1566">
        <f>IFERROR(INDEX('Email Cleaner'!$B$2:$B$10001,MATCH(1565,'Email Cleaner'!$G$2:$G$10001,0)),"")</f>
        <v/>
      </c>
    </row>
    <row r="1567">
      <c r="A1567">
        <f>IFERROR(INDEX('Email Cleaner'!$B$2:$B$10001,MATCH(1566,'Email Cleaner'!$G$2:$G$10001,0)),"")</f>
        <v/>
      </c>
    </row>
    <row r="1568">
      <c r="A1568">
        <f>IFERROR(INDEX('Email Cleaner'!$B$2:$B$10001,MATCH(1567,'Email Cleaner'!$G$2:$G$10001,0)),"")</f>
        <v/>
      </c>
    </row>
    <row r="1569">
      <c r="A1569">
        <f>IFERROR(INDEX('Email Cleaner'!$B$2:$B$10001,MATCH(1568,'Email Cleaner'!$G$2:$G$10001,0)),"")</f>
        <v/>
      </c>
    </row>
    <row r="1570">
      <c r="A1570">
        <f>IFERROR(INDEX('Email Cleaner'!$B$2:$B$10001,MATCH(1569,'Email Cleaner'!$G$2:$G$10001,0)),"")</f>
        <v/>
      </c>
    </row>
    <row r="1571">
      <c r="A1571">
        <f>IFERROR(INDEX('Email Cleaner'!$B$2:$B$10001,MATCH(1570,'Email Cleaner'!$G$2:$G$10001,0)),"")</f>
        <v/>
      </c>
    </row>
    <row r="1572">
      <c r="A1572">
        <f>IFERROR(INDEX('Email Cleaner'!$B$2:$B$10001,MATCH(1571,'Email Cleaner'!$G$2:$G$10001,0)),"")</f>
        <v/>
      </c>
    </row>
    <row r="1573">
      <c r="A1573">
        <f>IFERROR(INDEX('Email Cleaner'!$B$2:$B$10001,MATCH(1572,'Email Cleaner'!$G$2:$G$10001,0)),"")</f>
        <v/>
      </c>
    </row>
    <row r="1574">
      <c r="A1574">
        <f>IFERROR(INDEX('Email Cleaner'!$B$2:$B$10001,MATCH(1573,'Email Cleaner'!$G$2:$G$10001,0)),"")</f>
        <v/>
      </c>
    </row>
    <row r="1575">
      <c r="A1575">
        <f>IFERROR(INDEX('Email Cleaner'!$B$2:$B$10001,MATCH(1574,'Email Cleaner'!$G$2:$G$10001,0)),"")</f>
        <v/>
      </c>
    </row>
    <row r="1576">
      <c r="A1576">
        <f>IFERROR(INDEX('Email Cleaner'!$B$2:$B$10001,MATCH(1575,'Email Cleaner'!$G$2:$G$10001,0)),"")</f>
        <v/>
      </c>
    </row>
    <row r="1577">
      <c r="A1577">
        <f>IFERROR(INDEX('Email Cleaner'!$B$2:$B$10001,MATCH(1576,'Email Cleaner'!$G$2:$G$10001,0)),"")</f>
        <v/>
      </c>
    </row>
    <row r="1578">
      <c r="A1578">
        <f>IFERROR(INDEX('Email Cleaner'!$B$2:$B$10001,MATCH(1577,'Email Cleaner'!$G$2:$G$10001,0)),"")</f>
        <v/>
      </c>
    </row>
    <row r="1579">
      <c r="A1579">
        <f>IFERROR(INDEX('Email Cleaner'!$B$2:$B$10001,MATCH(1578,'Email Cleaner'!$G$2:$G$10001,0)),"")</f>
        <v/>
      </c>
    </row>
    <row r="1580">
      <c r="A1580">
        <f>IFERROR(INDEX('Email Cleaner'!$B$2:$B$10001,MATCH(1579,'Email Cleaner'!$G$2:$G$10001,0)),"")</f>
        <v/>
      </c>
    </row>
    <row r="1581">
      <c r="A1581">
        <f>IFERROR(INDEX('Email Cleaner'!$B$2:$B$10001,MATCH(1580,'Email Cleaner'!$G$2:$G$10001,0)),"")</f>
        <v/>
      </c>
    </row>
    <row r="1582">
      <c r="A1582">
        <f>IFERROR(INDEX('Email Cleaner'!$B$2:$B$10001,MATCH(1581,'Email Cleaner'!$G$2:$G$10001,0)),"")</f>
        <v/>
      </c>
    </row>
    <row r="1583">
      <c r="A1583">
        <f>IFERROR(INDEX('Email Cleaner'!$B$2:$B$10001,MATCH(1582,'Email Cleaner'!$G$2:$G$10001,0)),"")</f>
        <v/>
      </c>
    </row>
    <row r="1584">
      <c r="A1584">
        <f>IFERROR(INDEX('Email Cleaner'!$B$2:$B$10001,MATCH(1583,'Email Cleaner'!$G$2:$G$10001,0)),"")</f>
        <v/>
      </c>
    </row>
    <row r="1585">
      <c r="A1585">
        <f>IFERROR(INDEX('Email Cleaner'!$B$2:$B$10001,MATCH(1584,'Email Cleaner'!$G$2:$G$10001,0)),"")</f>
        <v/>
      </c>
    </row>
    <row r="1586">
      <c r="A1586">
        <f>IFERROR(INDEX('Email Cleaner'!$B$2:$B$10001,MATCH(1585,'Email Cleaner'!$G$2:$G$10001,0)),"")</f>
        <v/>
      </c>
    </row>
    <row r="1587">
      <c r="A1587">
        <f>IFERROR(INDEX('Email Cleaner'!$B$2:$B$10001,MATCH(1586,'Email Cleaner'!$G$2:$G$10001,0)),"")</f>
        <v/>
      </c>
    </row>
    <row r="1588">
      <c r="A1588">
        <f>IFERROR(INDEX('Email Cleaner'!$B$2:$B$10001,MATCH(1587,'Email Cleaner'!$G$2:$G$10001,0)),"")</f>
        <v/>
      </c>
    </row>
    <row r="1589">
      <c r="A1589">
        <f>IFERROR(INDEX('Email Cleaner'!$B$2:$B$10001,MATCH(1588,'Email Cleaner'!$G$2:$G$10001,0)),"")</f>
        <v/>
      </c>
    </row>
    <row r="1590">
      <c r="A1590">
        <f>IFERROR(INDEX('Email Cleaner'!$B$2:$B$10001,MATCH(1589,'Email Cleaner'!$G$2:$G$10001,0)),"")</f>
        <v/>
      </c>
    </row>
    <row r="1591">
      <c r="A1591">
        <f>IFERROR(INDEX('Email Cleaner'!$B$2:$B$10001,MATCH(1590,'Email Cleaner'!$G$2:$G$10001,0)),"")</f>
        <v/>
      </c>
    </row>
    <row r="1592">
      <c r="A1592">
        <f>IFERROR(INDEX('Email Cleaner'!$B$2:$B$10001,MATCH(1591,'Email Cleaner'!$G$2:$G$10001,0)),"")</f>
        <v/>
      </c>
    </row>
    <row r="1593">
      <c r="A1593">
        <f>IFERROR(INDEX('Email Cleaner'!$B$2:$B$10001,MATCH(1592,'Email Cleaner'!$G$2:$G$10001,0)),"")</f>
        <v/>
      </c>
    </row>
    <row r="1594">
      <c r="A1594">
        <f>IFERROR(INDEX('Email Cleaner'!$B$2:$B$10001,MATCH(1593,'Email Cleaner'!$G$2:$G$10001,0)),"")</f>
        <v/>
      </c>
    </row>
    <row r="1595">
      <c r="A1595">
        <f>IFERROR(INDEX('Email Cleaner'!$B$2:$B$10001,MATCH(1594,'Email Cleaner'!$G$2:$G$10001,0)),"")</f>
        <v/>
      </c>
    </row>
    <row r="1596">
      <c r="A1596">
        <f>IFERROR(INDEX('Email Cleaner'!$B$2:$B$10001,MATCH(1595,'Email Cleaner'!$G$2:$G$10001,0)),"")</f>
        <v/>
      </c>
    </row>
    <row r="1597">
      <c r="A1597">
        <f>IFERROR(INDEX('Email Cleaner'!$B$2:$B$10001,MATCH(1596,'Email Cleaner'!$G$2:$G$10001,0)),"")</f>
        <v/>
      </c>
    </row>
    <row r="1598">
      <c r="A1598">
        <f>IFERROR(INDEX('Email Cleaner'!$B$2:$B$10001,MATCH(1597,'Email Cleaner'!$G$2:$G$10001,0)),"")</f>
        <v/>
      </c>
    </row>
    <row r="1599">
      <c r="A1599">
        <f>IFERROR(INDEX('Email Cleaner'!$B$2:$B$10001,MATCH(1598,'Email Cleaner'!$G$2:$G$10001,0)),"")</f>
        <v/>
      </c>
    </row>
    <row r="1600">
      <c r="A1600">
        <f>IFERROR(INDEX('Email Cleaner'!$B$2:$B$10001,MATCH(1599,'Email Cleaner'!$G$2:$G$10001,0)),"")</f>
        <v/>
      </c>
    </row>
    <row r="1601">
      <c r="A1601">
        <f>IFERROR(INDEX('Email Cleaner'!$B$2:$B$10001,MATCH(1600,'Email Cleaner'!$G$2:$G$10001,0)),"")</f>
        <v/>
      </c>
    </row>
    <row r="1602">
      <c r="A1602">
        <f>IFERROR(INDEX('Email Cleaner'!$B$2:$B$10001,MATCH(1601,'Email Cleaner'!$G$2:$G$10001,0)),"")</f>
        <v/>
      </c>
    </row>
    <row r="1603">
      <c r="A1603">
        <f>IFERROR(INDEX('Email Cleaner'!$B$2:$B$10001,MATCH(1602,'Email Cleaner'!$G$2:$G$10001,0)),"")</f>
        <v/>
      </c>
    </row>
    <row r="1604">
      <c r="A1604">
        <f>IFERROR(INDEX('Email Cleaner'!$B$2:$B$10001,MATCH(1603,'Email Cleaner'!$G$2:$G$10001,0)),"")</f>
        <v/>
      </c>
    </row>
    <row r="1605">
      <c r="A1605">
        <f>IFERROR(INDEX('Email Cleaner'!$B$2:$B$10001,MATCH(1604,'Email Cleaner'!$G$2:$G$10001,0)),"")</f>
        <v/>
      </c>
    </row>
    <row r="1606">
      <c r="A1606">
        <f>IFERROR(INDEX('Email Cleaner'!$B$2:$B$10001,MATCH(1605,'Email Cleaner'!$G$2:$G$10001,0)),"")</f>
        <v/>
      </c>
    </row>
    <row r="1607">
      <c r="A1607">
        <f>IFERROR(INDEX('Email Cleaner'!$B$2:$B$10001,MATCH(1606,'Email Cleaner'!$G$2:$G$10001,0)),"")</f>
        <v/>
      </c>
    </row>
    <row r="1608">
      <c r="A1608">
        <f>IFERROR(INDEX('Email Cleaner'!$B$2:$B$10001,MATCH(1607,'Email Cleaner'!$G$2:$G$10001,0)),"")</f>
        <v/>
      </c>
    </row>
    <row r="1609">
      <c r="A1609">
        <f>IFERROR(INDEX('Email Cleaner'!$B$2:$B$10001,MATCH(1608,'Email Cleaner'!$G$2:$G$10001,0)),"")</f>
        <v/>
      </c>
    </row>
    <row r="1610">
      <c r="A1610">
        <f>IFERROR(INDEX('Email Cleaner'!$B$2:$B$10001,MATCH(1609,'Email Cleaner'!$G$2:$G$10001,0)),"")</f>
        <v/>
      </c>
    </row>
    <row r="1611">
      <c r="A1611">
        <f>IFERROR(INDEX('Email Cleaner'!$B$2:$B$10001,MATCH(1610,'Email Cleaner'!$G$2:$G$10001,0)),"")</f>
        <v/>
      </c>
    </row>
    <row r="1612">
      <c r="A1612">
        <f>IFERROR(INDEX('Email Cleaner'!$B$2:$B$10001,MATCH(1611,'Email Cleaner'!$G$2:$G$10001,0)),"")</f>
        <v/>
      </c>
    </row>
    <row r="1613">
      <c r="A1613">
        <f>IFERROR(INDEX('Email Cleaner'!$B$2:$B$10001,MATCH(1612,'Email Cleaner'!$G$2:$G$10001,0)),"")</f>
        <v/>
      </c>
    </row>
    <row r="1614">
      <c r="A1614">
        <f>IFERROR(INDEX('Email Cleaner'!$B$2:$B$10001,MATCH(1613,'Email Cleaner'!$G$2:$G$10001,0)),"")</f>
        <v/>
      </c>
    </row>
    <row r="1615">
      <c r="A1615">
        <f>IFERROR(INDEX('Email Cleaner'!$B$2:$B$10001,MATCH(1614,'Email Cleaner'!$G$2:$G$10001,0)),"")</f>
        <v/>
      </c>
    </row>
    <row r="1616">
      <c r="A1616">
        <f>IFERROR(INDEX('Email Cleaner'!$B$2:$B$10001,MATCH(1615,'Email Cleaner'!$G$2:$G$10001,0)),"")</f>
        <v/>
      </c>
    </row>
    <row r="1617">
      <c r="A1617">
        <f>IFERROR(INDEX('Email Cleaner'!$B$2:$B$10001,MATCH(1616,'Email Cleaner'!$G$2:$G$10001,0)),"")</f>
        <v/>
      </c>
    </row>
    <row r="1618">
      <c r="A1618">
        <f>IFERROR(INDEX('Email Cleaner'!$B$2:$B$10001,MATCH(1617,'Email Cleaner'!$G$2:$G$10001,0)),"")</f>
        <v/>
      </c>
    </row>
    <row r="1619">
      <c r="A1619">
        <f>IFERROR(INDEX('Email Cleaner'!$B$2:$B$10001,MATCH(1618,'Email Cleaner'!$G$2:$G$10001,0)),"")</f>
        <v/>
      </c>
    </row>
    <row r="1620">
      <c r="A1620">
        <f>IFERROR(INDEX('Email Cleaner'!$B$2:$B$10001,MATCH(1619,'Email Cleaner'!$G$2:$G$10001,0)),"")</f>
        <v/>
      </c>
    </row>
    <row r="1621">
      <c r="A1621">
        <f>IFERROR(INDEX('Email Cleaner'!$B$2:$B$10001,MATCH(1620,'Email Cleaner'!$G$2:$G$10001,0)),"")</f>
        <v/>
      </c>
    </row>
    <row r="1622">
      <c r="A1622">
        <f>IFERROR(INDEX('Email Cleaner'!$B$2:$B$10001,MATCH(1621,'Email Cleaner'!$G$2:$G$10001,0)),"")</f>
        <v/>
      </c>
    </row>
    <row r="1623">
      <c r="A1623">
        <f>IFERROR(INDEX('Email Cleaner'!$B$2:$B$10001,MATCH(1622,'Email Cleaner'!$G$2:$G$10001,0)),"")</f>
        <v/>
      </c>
    </row>
    <row r="1624">
      <c r="A1624">
        <f>IFERROR(INDEX('Email Cleaner'!$B$2:$B$10001,MATCH(1623,'Email Cleaner'!$G$2:$G$10001,0)),"")</f>
        <v/>
      </c>
    </row>
    <row r="1625">
      <c r="A1625">
        <f>IFERROR(INDEX('Email Cleaner'!$B$2:$B$10001,MATCH(1624,'Email Cleaner'!$G$2:$G$10001,0)),"")</f>
        <v/>
      </c>
    </row>
    <row r="1626">
      <c r="A1626">
        <f>IFERROR(INDEX('Email Cleaner'!$B$2:$B$10001,MATCH(1625,'Email Cleaner'!$G$2:$G$10001,0)),"")</f>
        <v/>
      </c>
    </row>
    <row r="1627">
      <c r="A1627">
        <f>IFERROR(INDEX('Email Cleaner'!$B$2:$B$10001,MATCH(1626,'Email Cleaner'!$G$2:$G$10001,0)),"")</f>
        <v/>
      </c>
    </row>
    <row r="1628">
      <c r="A1628">
        <f>IFERROR(INDEX('Email Cleaner'!$B$2:$B$10001,MATCH(1627,'Email Cleaner'!$G$2:$G$10001,0)),"")</f>
        <v/>
      </c>
    </row>
    <row r="1629">
      <c r="A1629">
        <f>IFERROR(INDEX('Email Cleaner'!$B$2:$B$10001,MATCH(1628,'Email Cleaner'!$G$2:$G$10001,0)),"")</f>
        <v/>
      </c>
    </row>
    <row r="1630">
      <c r="A1630">
        <f>IFERROR(INDEX('Email Cleaner'!$B$2:$B$10001,MATCH(1629,'Email Cleaner'!$G$2:$G$10001,0)),"")</f>
        <v/>
      </c>
    </row>
    <row r="1631">
      <c r="A1631">
        <f>IFERROR(INDEX('Email Cleaner'!$B$2:$B$10001,MATCH(1630,'Email Cleaner'!$G$2:$G$10001,0)),"")</f>
        <v/>
      </c>
    </row>
    <row r="1632">
      <c r="A1632">
        <f>IFERROR(INDEX('Email Cleaner'!$B$2:$B$10001,MATCH(1631,'Email Cleaner'!$G$2:$G$10001,0)),"")</f>
        <v/>
      </c>
    </row>
    <row r="1633">
      <c r="A1633">
        <f>IFERROR(INDEX('Email Cleaner'!$B$2:$B$10001,MATCH(1632,'Email Cleaner'!$G$2:$G$10001,0)),"")</f>
        <v/>
      </c>
    </row>
    <row r="1634">
      <c r="A1634">
        <f>IFERROR(INDEX('Email Cleaner'!$B$2:$B$10001,MATCH(1633,'Email Cleaner'!$G$2:$G$10001,0)),"")</f>
        <v/>
      </c>
    </row>
    <row r="1635">
      <c r="A1635">
        <f>IFERROR(INDEX('Email Cleaner'!$B$2:$B$10001,MATCH(1634,'Email Cleaner'!$G$2:$G$10001,0)),"")</f>
        <v/>
      </c>
    </row>
    <row r="1636">
      <c r="A1636">
        <f>IFERROR(INDEX('Email Cleaner'!$B$2:$B$10001,MATCH(1635,'Email Cleaner'!$G$2:$G$10001,0)),"")</f>
        <v/>
      </c>
    </row>
    <row r="1637">
      <c r="A1637">
        <f>IFERROR(INDEX('Email Cleaner'!$B$2:$B$10001,MATCH(1636,'Email Cleaner'!$G$2:$G$10001,0)),"")</f>
        <v/>
      </c>
    </row>
    <row r="1638">
      <c r="A1638">
        <f>IFERROR(INDEX('Email Cleaner'!$B$2:$B$10001,MATCH(1637,'Email Cleaner'!$G$2:$G$10001,0)),"")</f>
        <v/>
      </c>
    </row>
    <row r="1639">
      <c r="A1639">
        <f>IFERROR(INDEX('Email Cleaner'!$B$2:$B$10001,MATCH(1638,'Email Cleaner'!$G$2:$G$10001,0)),"")</f>
        <v/>
      </c>
    </row>
    <row r="1640">
      <c r="A1640">
        <f>IFERROR(INDEX('Email Cleaner'!$B$2:$B$10001,MATCH(1639,'Email Cleaner'!$G$2:$G$10001,0)),"")</f>
        <v/>
      </c>
    </row>
    <row r="1641">
      <c r="A1641">
        <f>IFERROR(INDEX('Email Cleaner'!$B$2:$B$10001,MATCH(1640,'Email Cleaner'!$G$2:$G$10001,0)),"")</f>
        <v/>
      </c>
    </row>
    <row r="1642">
      <c r="A1642">
        <f>IFERROR(INDEX('Email Cleaner'!$B$2:$B$10001,MATCH(1641,'Email Cleaner'!$G$2:$G$10001,0)),"")</f>
        <v/>
      </c>
    </row>
    <row r="1643">
      <c r="A1643">
        <f>IFERROR(INDEX('Email Cleaner'!$B$2:$B$10001,MATCH(1642,'Email Cleaner'!$G$2:$G$10001,0)),"")</f>
        <v/>
      </c>
    </row>
    <row r="1644">
      <c r="A1644">
        <f>IFERROR(INDEX('Email Cleaner'!$B$2:$B$10001,MATCH(1643,'Email Cleaner'!$G$2:$G$10001,0)),"")</f>
        <v/>
      </c>
    </row>
    <row r="1645">
      <c r="A1645">
        <f>IFERROR(INDEX('Email Cleaner'!$B$2:$B$10001,MATCH(1644,'Email Cleaner'!$G$2:$G$10001,0)),"")</f>
        <v/>
      </c>
    </row>
    <row r="1646">
      <c r="A1646">
        <f>IFERROR(INDEX('Email Cleaner'!$B$2:$B$10001,MATCH(1645,'Email Cleaner'!$G$2:$G$10001,0)),"")</f>
        <v/>
      </c>
    </row>
    <row r="1647">
      <c r="A1647">
        <f>IFERROR(INDEX('Email Cleaner'!$B$2:$B$10001,MATCH(1646,'Email Cleaner'!$G$2:$G$10001,0)),"")</f>
        <v/>
      </c>
    </row>
    <row r="1648">
      <c r="A1648">
        <f>IFERROR(INDEX('Email Cleaner'!$B$2:$B$10001,MATCH(1647,'Email Cleaner'!$G$2:$G$10001,0)),"")</f>
        <v/>
      </c>
    </row>
    <row r="1649">
      <c r="A1649">
        <f>IFERROR(INDEX('Email Cleaner'!$B$2:$B$10001,MATCH(1648,'Email Cleaner'!$G$2:$G$10001,0)),"")</f>
        <v/>
      </c>
    </row>
    <row r="1650">
      <c r="A1650">
        <f>IFERROR(INDEX('Email Cleaner'!$B$2:$B$10001,MATCH(1649,'Email Cleaner'!$G$2:$G$10001,0)),"")</f>
        <v/>
      </c>
    </row>
    <row r="1651">
      <c r="A1651">
        <f>IFERROR(INDEX('Email Cleaner'!$B$2:$B$10001,MATCH(1650,'Email Cleaner'!$G$2:$G$10001,0)),"")</f>
        <v/>
      </c>
    </row>
    <row r="1652">
      <c r="A1652">
        <f>IFERROR(INDEX('Email Cleaner'!$B$2:$B$10001,MATCH(1651,'Email Cleaner'!$G$2:$G$10001,0)),"")</f>
        <v/>
      </c>
    </row>
    <row r="1653">
      <c r="A1653">
        <f>IFERROR(INDEX('Email Cleaner'!$B$2:$B$10001,MATCH(1652,'Email Cleaner'!$G$2:$G$10001,0)),"")</f>
        <v/>
      </c>
    </row>
    <row r="1654">
      <c r="A1654">
        <f>IFERROR(INDEX('Email Cleaner'!$B$2:$B$10001,MATCH(1653,'Email Cleaner'!$G$2:$G$10001,0)),"")</f>
        <v/>
      </c>
    </row>
    <row r="1655">
      <c r="A1655">
        <f>IFERROR(INDEX('Email Cleaner'!$B$2:$B$10001,MATCH(1654,'Email Cleaner'!$G$2:$G$10001,0)),"")</f>
        <v/>
      </c>
    </row>
    <row r="1656">
      <c r="A1656">
        <f>IFERROR(INDEX('Email Cleaner'!$B$2:$B$10001,MATCH(1655,'Email Cleaner'!$G$2:$G$10001,0)),"")</f>
        <v/>
      </c>
    </row>
    <row r="1657">
      <c r="A1657">
        <f>IFERROR(INDEX('Email Cleaner'!$B$2:$B$10001,MATCH(1656,'Email Cleaner'!$G$2:$G$10001,0)),"")</f>
        <v/>
      </c>
    </row>
    <row r="1658">
      <c r="A1658">
        <f>IFERROR(INDEX('Email Cleaner'!$B$2:$B$10001,MATCH(1657,'Email Cleaner'!$G$2:$G$10001,0)),"")</f>
        <v/>
      </c>
    </row>
    <row r="1659">
      <c r="A1659">
        <f>IFERROR(INDEX('Email Cleaner'!$B$2:$B$10001,MATCH(1658,'Email Cleaner'!$G$2:$G$10001,0)),"")</f>
        <v/>
      </c>
    </row>
    <row r="1660">
      <c r="A1660">
        <f>IFERROR(INDEX('Email Cleaner'!$B$2:$B$10001,MATCH(1659,'Email Cleaner'!$G$2:$G$10001,0)),"")</f>
        <v/>
      </c>
    </row>
    <row r="1661">
      <c r="A1661">
        <f>IFERROR(INDEX('Email Cleaner'!$B$2:$B$10001,MATCH(1660,'Email Cleaner'!$G$2:$G$10001,0)),"")</f>
        <v/>
      </c>
    </row>
    <row r="1662">
      <c r="A1662">
        <f>IFERROR(INDEX('Email Cleaner'!$B$2:$B$10001,MATCH(1661,'Email Cleaner'!$G$2:$G$10001,0)),"")</f>
        <v/>
      </c>
    </row>
    <row r="1663">
      <c r="A1663">
        <f>IFERROR(INDEX('Email Cleaner'!$B$2:$B$10001,MATCH(1662,'Email Cleaner'!$G$2:$G$10001,0)),"")</f>
        <v/>
      </c>
    </row>
    <row r="1664">
      <c r="A1664">
        <f>IFERROR(INDEX('Email Cleaner'!$B$2:$B$10001,MATCH(1663,'Email Cleaner'!$G$2:$G$10001,0)),"")</f>
        <v/>
      </c>
    </row>
    <row r="1665">
      <c r="A1665">
        <f>IFERROR(INDEX('Email Cleaner'!$B$2:$B$10001,MATCH(1664,'Email Cleaner'!$G$2:$G$10001,0)),"")</f>
        <v/>
      </c>
    </row>
    <row r="1666">
      <c r="A1666">
        <f>IFERROR(INDEX('Email Cleaner'!$B$2:$B$10001,MATCH(1665,'Email Cleaner'!$G$2:$G$10001,0)),"")</f>
        <v/>
      </c>
    </row>
    <row r="1667">
      <c r="A1667">
        <f>IFERROR(INDEX('Email Cleaner'!$B$2:$B$10001,MATCH(1666,'Email Cleaner'!$G$2:$G$10001,0)),"")</f>
        <v/>
      </c>
    </row>
    <row r="1668">
      <c r="A1668">
        <f>IFERROR(INDEX('Email Cleaner'!$B$2:$B$10001,MATCH(1667,'Email Cleaner'!$G$2:$G$10001,0)),"")</f>
        <v/>
      </c>
    </row>
    <row r="1669">
      <c r="A1669">
        <f>IFERROR(INDEX('Email Cleaner'!$B$2:$B$10001,MATCH(1668,'Email Cleaner'!$G$2:$G$10001,0)),"")</f>
        <v/>
      </c>
    </row>
    <row r="1670">
      <c r="A1670">
        <f>IFERROR(INDEX('Email Cleaner'!$B$2:$B$10001,MATCH(1669,'Email Cleaner'!$G$2:$G$10001,0)),"")</f>
        <v/>
      </c>
    </row>
    <row r="1671">
      <c r="A1671">
        <f>IFERROR(INDEX('Email Cleaner'!$B$2:$B$10001,MATCH(1670,'Email Cleaner'!$G$2:$G$10001,0)),"")</f>
        <v/>
      </c>
    </row>
    <row r="1672">
      <c r="A1672">
        <f>IFERROR(INDEX('Email Cleaner'!$B$2:$B$10001,MATCH(1671,'Email Cleaner'!$G$2:$G$10001,0)),"")</f>
        <v/>
      </c>
    </row>
    <row r="1673">
      <c r="A1673">
        <f>IFERROR(INDEX('Email Cleaner'!$B$2:$B$10001,MATCH(1672,'Email Cleaner'!$G$2:$G$10001,0)),"")</f>
        <v/>
      </c>
    </row>
    <row r="1674">
      <c r="A1674">
        <f>IFERROR(INDEX('Email Cleaner'!$B$2:$B$10001,MATCH(1673,'Email Cleaner'!$G$2:$G$10001,0)),"")</f>
        <v/>
      </c>
    </row>
    <row r="1675">
      <c r="A1675">
        <f>IFERROR(INDEX('Email Cleaner'!$B$2:$B$10001,MATCH(1674,'Email Cleaner'!$G$2:$G$10001,0)),"")</f>
        <v/>
      </c>
    </row>
    <row r="1676">
      <c r="A1676">
        <f>IFERROR(INDEX('Email Cleaner'!$B$2:$B$10001,MATCH(1675,'Email Cleaner'!$G$2:$G$10001,0)),"")</f>
        <v/>
      </c>
    </row>
    <row r="1677">
      <c r="A1677">
        <f>IFERROR(INDEX('Email Cleaner'!$B$2:$B$10001,MATCH(1676,'Email Cleaner'!$G$2:$G$10001,0)),"")</f>
        <v/>
      </c>
    </row>
    <row r="1678">
      <c r="A1678">
        <f>IFERROR(INDEX('Email Cleaner'!$B$2:$B$10001,MATCH(1677,'Email Cleaner'!$G$2:$G$10001,0)),"")</f>
        <v/>
      </c>
    </row>
    <row r="1679">
      <c r="A1679">
        <f>IFERROR(INDEX('Email Cleaner'!$B$2:$B$10001,MATCH(1678,'Email Cleaner'!$G$2:$G$10001,0)),"")</f>
        <v/>
      </c>
    </row>
    <row r="1680">
      <c r="A1680">
        <f>IFERROR(INDEX('Email Cleaner'!$B$2:$B$10001,MATCH(1679,'Email Cleaner'!$G$2:$G$10001,0)),"")</f>
        <v/>
      </c>
    </row>
    <row r="1681">
      <c r="A1681">
        <f>IFERROR(INDEX('Email Cleaner'!$B$2:$B$10001,MATCH(1680,'Email Cleaner'!$G$2:$G$10001,0)),"")</f>
        <v/>
      </c>
    </row>
    <row r="1682">
      <c r="A1682">
        <f>IFERROR(INDEX('Email Cleaner'!$B$2:$B$10001,MATCH(1681,'Email Cleaner'!$G$2:$G$10001,0)),"")</f>
        <v/>
      </c>
    </row>
    <row r="1683">
      <c r="A1683">
        <f>IFERROR(INDEX('Email Cleaner'!$B$2:$B$10001,MATCH(1682,'Email Cleaner'!$G$2:$G$10001,0)),"")</f>
        <v/>
      </c>
    </row>
    <row r="1684">
      <c r="A1684">
        <f>IFERROR(INDEX('Email Cleaner'!$B$2:$B$10001,MATCH(1683,'Email Cleaner'!$G$2:$G$10001,0)),"")</f>
        <v/>
      </c>
    </row>
    <row r="1685">
      <c r="A1685">
        <f>IFERROR(INDEX('Email Cleaner'!$B$2:$B$10001,MATCH(1684,'Email Cleaner'!$G$2:$G$10001,0)),"")</f>
        <v/>
      </c>
    </row>
    <row r="1686">
      <c r="A1686">
        <f>IFERROR(INDEX('Email Cleaner'!$B$2:$B$10001,MATCH(1685,'Email Cleaner'!$G$2:$G$10001,0)),"")</f>
        <v/>
      </c>
    </row>
    <row r="1687">
      <c r="A1687">
        <f>IFERROR(INDEX('Email Cleaner'!$B$2:$B$10001,MATCH(1686,'Email Cleaner'!$G$2:$G$10001,0)),"")</f>
        <v/>
      </c>
    </row>
    <row r="1688">
      <c r="A1688">
        <f>IFERROR(INDEX('Email Cleaner'!$B$2:$B$10001,MATCH(1687,'Email Cleaner'!$G$2:$G$10001,0)),"")</f>
        <v/>
      </c>
    </row>
    <row r="1689">
      <c r="A1689">
        <f>IFERROR(INDEX('Email Cleaner'!$B$2:$B$10001,MATCH(1688,'Email Cleaner'!$G$2:$G$10001,0)),"")</f>
        <v/>
      </c>
    </row>
    <row r="1690">
      <c r="A1690">
        <f>IFERROR(INDEX('Email Cleaner'!$B$2:$B$10001,MATCH(1689,'Email Cleaner'!$G$2:$G$10001,0)),"")</f>
        <v/>
      </c>
    </row>
    <row r="1691">
      <c r="A1691">
        <f>IFERROR(INDEX('Email Cleaner'!$B$2:$B$10001,MATCH(1690,'Email Cleaner'!$G$2:$G$10001,0)),"")</f>
        <v/>
      </c>
    </row>
    <row r="1692">
      <c r="A1692">
        <f>IFERROR(INDEX('Email Cleaner'!$B$2:$B$10001,MATCH(1691,'Email Cleaner'!$G$2:$G$10001,0)),"")</f>
        <v/>
      </c>
    </row>
    <row r="1693">
      <c r="A1693">
        <f>IFERROR(INDEX('Email Cleaner'!$B$2:$B$10001,MATCH(1692,'Email Cleaner'!$G$2:$G$10001,0)),"")</f>
        <v/>
      </c>
    </row>
    <row r="1694">
      <c r="A1694">
        <f>IFERROR(INDEX('Email Cleaner'!$B$2:$B$10001,MATCH(1693,'Email Cleaner'!$G$2:$G$10001,0)),"")</f>
        <v/>
      </c>
    </row>
    <row r="1695">
      <c r="A1695">
        <f>IFERROR(INDEX('Email Cleaner'!$B$2:$B$10001,MATCH(1694,'Email Cleaner'!$G$2:$G$10001,0)),"")</f>
        <v/>
      </c>
    </row>
    <row r="1696">
      <c r="A1696">
        <f>IFERROR(INDEX('Email Cleaner'!$B$2:$B$10001,MATCH(1695,'Email Cleaner'!$G$2:$G$10001,0)),"")</f>
        <v/>
      </c>
    </row>
    <row r="1697">
      <c r="A1697">
        <f>IFERROR(INDEX('Email Cleaner'!$B$2:$B$10001,MATCH(1696,'Email Cleaner'!$G$2:$G$10001,0)),"")</f>
        <v/>
      </c>
    </row>
    <row r="1698">
      <c r="A1698">
        <f>IFERROR(INDEX('Email Cleaner'!$B$2:$B$10001,MATCH(1697,'Email Cleaner'!$G$2:$G$10001,0)),"")</f>
        <v/>
      </c>
    </row>
    <row r="1699">
      <c r="A1699">
        <f>IFERROR(INDEX('Email Cleaner'!$B$2:$B$10001,MATCH(1698,'Email Cleaner'!$G$2:$G$10001,0)),"")</f>
        <v/>
      </c>
    </row>
    <row r="1700">
      <c r="A1700">
        <f>IFERROR(INDEX('Email Cleaner'!$B$2:$B$10001,MATCH(1699,'Email Cleaner'!$G$2:$G$10001,0)),"")</f>
        <v/>
      </c>
    </row>
    <row r="1701">
      <c r="A1701">
        <f>IFERROR(INDEX('Email Cleaner'!$B$2:$B$10001,MATCH(1700,'Email Cleaner'!$G$2:$G$10001,0)),"")</f>
        <v/>
      </c>
    </row>
    <row r="1702">
      <c r="A1702">
        <f>IFERROR(INDEX('Email Cleaner'!$B$2:$B$10001,MATCH(1701,'Email Cleaner'!$G$2:$G$10001,0)),"")</f>
        <v/>
      </c>
    </row>
    <row r="1703">
      <c r="A1703">
        <f>IFERROR(INDEX('Email Cleaner'!$B$2:$B$10001,MATCH(1702,'Email Cleaner'!$G$2:$G$10001,0)),"")</f>
        <v/>
      </c>
    </row>
    <row r="1704">
      <c r="A1704">
        <f>IFERROR(INDEX('Email Cleaner'!$B$2:$B$10001,MATCH(1703,'Email Cleaner'!$G$2:$G$10001,0)),"")</f>
        <v/>
      </c>
    </row>
    <row r="1705">
      <c r="A1705">
        <f>IFERROR(INDEX('Email Cleaner'!$B$2:$B$10001,MATCH(1704,'Email Cleaner'!$G$2:$G$10001,0)),"")</f>
        <v/>
      </c>
    </row>
    <row r="1706">
      <c r="A1706">
        <f>IFERROR(INDEX('Email Cleaner'!$B$2:$B$10001,MATCH(1705,'Email Cleaner'!$G$2:$G$10001,0)),"")</f>
        <v/>
      </c>
    </row>
    <row r="1707">
      <c r="A1707">
        <f>IFERROR(INDEX('Email Cleaner'!$B$2:$B$10001,MATCH(1706,'Email Cleaner'!$G$2:$G$10001,0)),"")</f>
        <v/>
      </c>
    </row>
    <row r="1708">
      <c r="A1708">
        <f>IFERROR(INDEX('Email Cleaner'!$B$2:$B$10001,MATCH(1707,'Email Cleaner'!$G$2:$G$10001,0)),"")</f>
        <v/>
      </c>
    </row>
    <row r="1709">
      <c r="A1709">
        <f>IFERROR(INDEX('Email Cleaner'!$B$2:$B$10001,MATCH(1708,'Email Cleaner'!$G$2:$G$10001,0)),"")</f>
        <v/>
      </c>
    </row>
    <row r="1710">
      <c r="A1710">
        <f>IFERROR(INDEX('Email Cleaner'!$B$2:$B$10001,MATCH(1709,'Email Cleaner'!$G$2:$G$10001,0)),"")</f>
        <v/>
      </c>
    </row>
    <row r="1711">
      <c r="A1711">
        <f>IFERROR(INDEX('Email Cleaner'!$B$2:$B$10001,MATCH(1710,'Email Cleaner'!$G$2:$G$10001,0)),"")</f>
        <v/>
      </c>
    </row>
    <row r="1712">
      <c r="A1712">
        <f>IFERROR(INDEX('Email Cleaner'!$B$2:$B$10001,MATCH(1711,'Email Cleaner'!$G$2:$G$10001,0)),"")</f>
        <v/>
      </c>
    </row>
    <row r="1713">
      <c r="A1713">
        <f>IFERROR(INDEX('Email Cleaner'!$B$2:$B$10001,MATCH(1712,'Email Cleaner'!$G$2:$G$10001,0)),"")</f>
        <v/>
      </c>
    </row>
    <row r="1714">
      <c r="A1714">
        <f>IFERROR(INDEX('Email Cleaner'!$B$2:$B$10001,MATCH(1713,'Email Cleaner'!$G$2:$G$10001,0)),"")</f>
        <v/>
      </c>
    </row>
    <row r="1715">
      <c r="A1715">
        <f>IFERROR(INDEX('Email Cleaner'!$B$2:$B$10001,MATCH(1714,'Email Cleaner'!$G$2:$G$10001,0)),"")</f>
        <v/>
      </c>
    </row>
    <row r="1716">
      <c r="A1716">
        <f>IFERROR(INDEX('Email Cleaner'!$B$2:$B$10001,MATCH(1715,'Email Cleaner'!$G$2:$G$10001,0)),"")</f>
        <v/>
      </c>
    </row>
    <row r="1717">
      <c r="A1717">
        <f>IFERROR(INDEX('Email Cleaner'!$B$2:$B$10001,MATCH(1716,'Email Cleaner'!$G$2:$G$10001,0)),"")</f>
        <v/>
      </c>
    </row>
    <row r="1718">
      <c r="A1718">
        <f>IFERROR(INDEX('Email Cleaner'!$B$2:$B$10001,MATCH(1717,'Email Cleaner'!$G$2:$G$10001,0)),"")</f>
        <v/>
      </c>
    </row>
    <row r="1719">
      <c r="A1719">
        <f>IFERROR(INDEX('Email Cleaner'!$B$2:$B$10001,MATCH(1718,'Email Cleaner'!$G$2:$G$10001,0)),"")</f>
        <v/>
      </c>
    </row>
    <row r="1720">
      <c r="A1720">
        <f>IFERROR(INDEX('Email Cleaner'!$B$2:$B$10001,MATCH(1719,'Email Cleaner'!$G$2:$G$10001,0)),"")</f>
        <v/>
      </c>
    </row>
    <row r="1721">
      <c r="A1721">
        <f>IFERROR(INDEX('Email Cleaner'!$B$2:$B$10001,MATCH(1720,'Email Cleaner'!$G$2:$G$10001,0)),"")</f>
        <v/>
      </c>
    </row>
    <row r="1722">
      <c r="A1722">
        <f>IFERROR(INDEX('Email Cleaner'!$B$2:$B$10001,MATCH(1721,'Email Cleaner'!$G$2:$G$10001,0)),"")</f>
        <v/>
      </c>
    </row>
    <row r="1723">
      <c r="A1723">
        <f>IFERROR(INDEX('Email Cleaner'!$B$2:$B$10001,MATCH(1722,'Email Cleaner'!$G$2:$G$10001,0)),"")</f>
        <v/>
      </c>
    </row>
    <row r="1724">
      <c r="A1724">
        <f>IFERROR(INDEX('Email Cleaner'!$B$2:$B$10001,MATCH(1723,'Email Cleaner'!$G$2:$G$10001,0)),"")</f>
        <v/>
      </c>
    </row>
    <row r="1725">
      <c r="A1725">
        <f>IFERROR(INDEX('Email Cleaner'!$B$2:$B$10001,MATCH(1724,'Email Cleaner'!$G$2:$G$10001,0)),"")</f>
        <v/>
      </c>
    </row>
    <row r="1726">
      <c r="A1726">
        <f>IFERROR(INDEX('Email Cleaner'!$B$2:$B$10001,MATCH(1725,'Email Cleaner'!$G$2:$G$10001,0)),"")</f>
        <v/>
      </c>
    </row>
    <row r="1727">
      <c r="A1727">
        <f>IFERROR(INDEX('Email Cleaner'!$B$2:$B$10001,MATCH(1726,'Email Cleaner'!$G$2:$G$10001,0)),"")</f>
        <v/>
      </c>
    </row>
    <row r="1728">
      <c r="A1728">
        <f>IFERROR(INDEX('Email Cleaner'!$B$2:$B$10001,MATCH(1727,'Email Cleaner'!$G$2:$G$10001,0)),"")</f>
        <v/>
      </c>
    </row>
    <row r="1729">
      <c r="A1729">
        <f>IFERROR(INDEX('Email Cleaner'!$B$2:$B$10001,MATCH(1728,'Email Cleaner'!$G$2:$G$10001,0)),"")</f>
        <v/>
      </c>
    </row>
    <row r="1730">
      <c r="A1730">
        <f>IFERROR(INDEX('Email Cleaner'!$B$2:$B$10001,MATCH(1729,'Email Cleaner'!$G$2:$G$10001,0)),"")</f>
        <v/>
      </c>
    </row>
    <row r="1731">
      <c r="A1731">
        <f>IFERROR(INDEX('Email Cleaner'!$B$2:$B$10001,MATCH(1730,'Email Cleaner'!$G$2:$G$10001,0)),"")</f>
        <v/>
      </c>
    </row>
    <row r="1732">
      <c r="A1732">
        <f>IFERROR(INDEX('Email Cleaner'!$B$2:$B$10001,MATCH(1731,'Email Cleaner'!$G$2:$G$10001,0)),"")</f>
        <v/>
      </c>
    </row>
    <row r="1733">
      <c r="A1733">
        <f>IFERROR(INDEX('Email Cleaner'!$B$2:$B$10001,MATCH(1732,'Email Cleaner'!$G$2:$G$10001,0)),"")</f>
        <v/>
      </c>
    </row>
    <row r="1734">
      <c r="A1734">
        <f>IFERROR(INDEX('Email Cleaner'!$B$2:$B$10001,MATCH(1733,'Email Cleaner'!$G$2:$G$10001,0)),"")</f>
        <v/>
      </c>
    </row>
    <row r="1735">
      <c r="A1735">
        <f>IFERROR(INDEX('Email Cleaner'!$B$2:$B$10001,MATCH(1734,'Email Cleaner'!$G$2:$G$10001,0)),"")</f>
        <v/>
      </c>
    </row>
    <row r="1736">
      <c r="A1736">
        <f>IFERROR(INDEX('Email Cleaner'!$B$2:$B$10001,MATCH(1735,'Email Cleaner'!$G$2:$G$10001,0)),"")</f>
        <v/>
      </c>
    </row>
    <row r="1737">
      <c r="A1737">
        <f>IFERROR(INDEX('Email Cleaner'!$B$2:$B$10001,MATCH(1736,'Email Cleaner'!$G$2:$G$10001,0)),"")</f>
        <v/>
      </c>
    </row>
    <row r="1738">
      <c r="A1738">
        <f>IFERROR(INDEX('Email Cleaner'!$B$2:$B$10001,MATCH(1737,'Email Cleaner'!$G$2:$G$10001,0)),"")</f>
        <v/>
      </c>
    </row>
    <row r="1739">
      <c r="A1739">
        <f>IFERROR(INDEX('Email Cleaner'!$B$2:$B$10001,MATCH(1738,'Email Cleaner'!$G$2:$G$10001,0)),"")</f>
        <v/>
      </c>
    </row>
    <row r="1740">
      <c r="A1740">
        <f>IFERROR(INDEX('Email Cleaner'!$B$2:$B$10001,MATCH(1739,'Email Cleaner'!$G$2:$G$10001,0)),"")</f>
        <v/>
      </c>
    </row>
    <row r="1741">
      <c r="A1741">
        <f>IFERROR(INDEX('Email Cleaner'!$B$2:$B$10001,MATCH(1740,'Email Cleaner'!$G$2:$G$10001,0)),"")</f>
        <v/>
      </c>
    </row>
    <row r="1742">
      <c r="A1742">
        <f>IFERROR(INDEX('Email Cleaner'!$B$2:$B$10001,MATCH(1741,'Email Cleaner'!$G$2:$G$10001,0)),"")</f>
        <v/>
      </c>
    </row>
    <row r="1743">
      <c r="A1743">
        <f>IFERROR(INDEX('Email Cleaner'!$B$2:$B$10001,MATCH(1742,'Email Cleaner'!$G$2:$G$10001,0)),"")</f>
        <v/>
      </c>
    </row>
    <row r="1744">
      <c r="A1744">
        <f>IFERROR(INDEX('Email Cleaner'!$B$2:$B$10001,MATCH(1743,'Email Cleaner'!$G$2:$G$10001,0)),"")</f>
        <v/>
      </c>
    </row>
    <row r="1745">
      <c r="A1745">
        <f>IFERROR(INDEX('Email Cleaner'!$B$2:$B$10001,MATCH(1744,'Email Cleaner'!$G$2:$G$10001,0)),"")</f>
        <v/>
      </c>
    </row>
    <row r="1746">
      <c r="A1746">
        <f>IFERROR(INDEX('Email Cleaner'!$B$2:$B$10001,MATCH(1745,'Email Cleaner'!$G$2:$G$10001,0)),"")</f>
        <v/>
      </c>
    </row>
    <row r="1747">
      <c r="A1747">
        <f>IFERROR(INDEX('Email Cleaner'!$B$2:$B$10001,MATCH(1746,'Email Cleaner'!$G$2:$G$10001,0)),"")</f>
        <v/>
      </c>
    </row>
    <row r="1748">
      <c r="A1748">
        <f>IFERROR(INDEX('Email Cleaner'!$B$2:$B$10001,MATCH(1747,'Email Cleaner'!$G$2:$G$10001,0)),"")</f>
        <v/>
      </c>
    </row>
    <row r="1749">
      <c r="A1749">
        <f>IFERROR(INDEX('Email Cleaner'!$B$2:$B$10001,MATCH(1748,'Email Cleaner'!$G$2:$G$10001,0)),"")</f>
        <v/>
      </c>
    </row>
    <row r="1750">
      <c r="A1750">
        <f>IFERROR(INDEX('Email Cleaner'!$B$2:$B$10001,MATCH(1749,'Email Cleaner'!$G$2:$G$10001,0)),"")</f>
        <v/>
      </c>
    </row>
    <row r="1751">
      <c r="A1751">
        <f>IFERROR(INDEX('Email Cleaner'!$B$2:$B$10001,MATCH(1750,'Email Cleaner'!$G$2:$G$10001,0)),"")</f>
        <v/>
      </c>
    </row>
    <row r="1752">
      <c r="A1752">
        <f>IFERROR(INDEX('Email Cleaner'!$B$2:$B$10001,MATCH(1751,'Email Cleaner'!$G$2:$G$10001,0)),"")</f>
        <v/>
      </c>
    </row>
    <row r="1753">
      <c r="A1753">
        <f>IFERROR(INDEX('Email Cleaner'!$B$2:$B$10001,MATCH(1752,'Email Cleaner'!$G$2:$G$10001,0)),"")</f>
        <v/>
      </c>
    </row>
    <row r="1754">
      <c r="A1754">
        <f>IFERROR(INDEX('Email Cleaner'!$B$2:$B$10001,MATCH(1753,'Email Cleaner'!$G$2:$G$10001,0)),"")</f>
        <v/>
      </c>
    </row>
    <row r="1755">
      <c r="A1755">
        <f>IFERROR(INDEX('Email Cleaner'!$B$2:$B$10001,MATCH(1754,'Email Cleaner'!$G$2:$G$10001,0)),"")</f>
        <v/>
      </c>
    </row>
    <row r="1756">
      <c r="A1756">
        <f>IFERROR(INDEX('Email Cleaner'!$B$2:$B$10001,MATCH(1755,'Email Cleaner'!$G$2:$G$10001,0)),"")</f>
        <v/>
      </c>
    </row>
    <row r="1757">
      <c r="A1757">
        <f>IFERROR(INDEX('Email Cleaner'!$B$2:$B$10001,MATCH(1756,'Email Cleaner'!$G$2:$G$10001,0)),"")</f>
        <v/>
      </c>
    </row>
    <row r="1758">
      <c r="A1758">
        <f>IFERROR(INDEX('Email Cleaner'!$B$2:$B$10001,MATCH(1757,'Email Cleaner'!$G$2:$G$10001,0)),"")</f>
        <v/>
      </c>
    </row>
    <row r="1759">
      <c r="A1759">
        <f>IFERROR(INDEX('Email Cleaner'!$B$2:$B$10001,MATCH(1758,'Email Cleaner'!$G$2:$G$10001,0)),"")</f>
        <v/>
      </c>
    </row>
    <row r="1760">
      <c r="A1760">
        <f>IFERROR(INDEX('Email Cleaner'!$B$2:$B$10001,MATCH(1759,'Email Cleaner'!$G$2:$G$10001,0)),"")</f>
        <v/>
      </c>
    </row>
    <row r="1761">
      <c r="A1761">
        <f>IFERROR(INDEX('Email Cleaner'!$B$2:$B$10001,MATCH(1760,'Email Cleaner'!$G$2:$G$10001,0)),"")</f>
        <v/>
      </c>
    </row>
    <row r="1762">
      <c r="A1762">
        <f>IFERROR(INDEX('Email Cleaner'!$B$2:$B$10001,MATCH(1761,'Email Cleaner'!$G$2:$G$10001,0)),"")</f>
        <v/>
      </c>
    </row>
    <row r="1763">
      <c r="A1763">
        <f>IFERROR(INDEX('Email Cleaner'!$B$2:$B$10001,MATCH(1762,'Email Cleaner'!$G$2:$G$10001,0)),"")</f>
        <v/>
      </c>
    </row>
    <row r="1764">
      <c r="A1764">
        <f>IFERROR(INDEX('Email Cleaner'!$B$2:$B$10001,MATCH(1763,'Email Cleaner'!$G$2:$G$10001,0)),"")</f>
        <v/>
      </c>
    </row>
    <row r="1765">
      <c r="A1765">
        <f>IFERROR(INDEX('Email Cleaner'!$B$2:$B$10001,MATCH(1764,'Email Cleaner'!$G$2:$G$10001,0)),"")</f>
        <v/>
      </c>
    </row>
    <row r="1766">
      <c r="A1766">
        <f>IFERROR(INDEX('Email Cleaner'!$B$2:$B$10001,MATCH(1765,'Email Cleaner'!$G$2:$G$10001,0)),"")</f>
        <v/>
      </c>
    </row>
    <row r="1767">
      <c r="A1767">
        <f>IFERROR(INDEX('Email Cleaner'!$B$2:$B$10001,MATCH(1766,'Email Cleaner'!$G$2:$G$10001,0)),"")</f>
        <v/>
      </c>
    </row>
    <row r="1768">
      <c r="A1768">
        <f>IFERROR(INDEX('Email Cleaner'!$B$2:$B$10001,MATCH(1767,'Email Cleaner'!$G$2:$G$10001,0)),"")</f>
        <v/>
      </c>
    </row>
    <row r="1769">
      <c r="A1769">
        <f>IFERROR(INDEX('Email Cleaner'!$B$2:$B$10001,MATCH(1768,'Email Cleaner'!$G$2:$G$10001,0)),"")</f>
        <v/>
      </c>
    </row>
    <row r="1770">
      <c r="A1770">
        <f>IFERROR(INDEX('Email Cleaner'!$B$2:$B$10001,MATCH(1769,'Email Cleaner'!$G$2:$G$10001,0)),"")</f>
        <v/>
      </c>
    </row>
    <row r="1771">
      <c r="A1771">
        <f>IFERROR(INDEX('Email Cleaner'!$B$2:$B$10001,MATCH(1770,'Email Cleaner'!$G$2:$G$10001,0)),"")</f>
        <v/>
      </c>
    </row>
    <row r="1772">
      <c r="A1772">
        <f>IFERROR(INDEX('Email Cleaner'!$B$2:$B$10001,MATCH(1771,'Email Cleaner'!$G$2:$G$10001,0)),"")</f>
        <v/>
      </c>
    </row>
    <row r="1773">
      <c r="A1773">
        <f>IFERROR(INDEX('Email Cleaner'!$B$2:$B$10001,MATCH(1772,'Email Cleaner'!$G$2:$G$10001,0)),"")</f>
        <v/>
      </c>
    </row>
    <row r="1774">
      <c r="A1774">
        <f>IFERROR(INDEX('Email Cleaner'!$B$2:$B$10001,MATCH(1773,'Email Cleaner'!$G$2:$G$10001,0)),"")</f>
        <v/>
      </c>
    </row>
    <row r="1775">
      <c r="A1775">
        <f>IFERROR(INDEX('Email Cleaner'!$B$2:$B$10001,MATCH(1774,'Email Cleaner'!$G$2:$G$10001,0)),"")</f>
        <v/>
      </c>
    </row>
    <row r="1776">
      <c r="A1776">
        <f>IFERROR(INDEX('Email Cleaner'!$B$2:$B$10001,MATCH(1775,'Email Cleaner'!$G$2:$G$10001,0)),"")</f>
        <v/>
      </c>
    </row>
    <row r="1777">
      <c r="A1777">
        <f>IFERROR(INDEX('Email Cleaner'!$B$2:$B$10001,MATCH(1776,'Email Cleaner'!$G$2:$G$10001,0)),"")</f>
        <v/>
      </c>
    </row>
    <row r="1778">
      <c r="A1778">
        <f>IFERROR(INDEX('Email Cleaner'!$B$2:$B$10001,MATCH(1777,'Email Cleaner'!$G$2:$G$10001,0)),"")</f>
        <v/>
      </c>
    </row>
    <row r="1779">
      <c r="A1779">
        <f>IFERROR(INDEX('Email Cleaner'!$B$2:$B$10001,MATCH(1778,'Email Cleaner'!$G$2:$G$10001,0)),"")</f>
        <v/>
      </c>
    </row>
    <row r="1780">
      <c r="A1780">
        <f>IFERROR(INDEX('Email Cleaner'!$B$2:$B$10001,MATCH(1779,'Email Cleaner'!$G$2:$G$10001,0)),"")</f>
        <v/>
      </c>
    </row>
    <row r="1781">
      <c r="A1781">
        <f>IFERROR(INDEX('Email Cleaner'!$B$2:$B$10001,MATCH(1780,'Email Cleaner'!$G$2:$G$10001,0)),"")</f>
        <v/>
      </c>
    </row>
    <row r="1782">
      <c r="A1782">
        <f>IFERROR(INDEX('Email Cleaner'!$B$2:$B$10001,MATCH(1781,'Email Cleaner'!$G$2:$G$10001,0)),"")</f>
        <v/>
      </c>
    </row>
    <row r="1783">
      <c r="A1783">
        <f>IFERROR(INDEX('Email Cleaner'!$B$2:$B$10001,MATCH(1782,'Email Cleaner'!$G$2:$G$10001,0)),"")</f>
        <v/>
      </c>
    </row>
    <row r="1784">
      <c r="A1784">
        <f>IFERROR(INDEX('Email Cleaner'!$B$2:$B$10001,MATCH(1783,'Email Cleaner'!$G$2:$G$10001,0)),"")</f>
        <v/>
      </c>
    </row>
    <row r="1785">
      <c r="A1785">
        <f>IFERROR(INDEX('Email Cleaner'!$B$2:$B$10001,MATCH(1784,'Email Cleaner'!$G$2:$G$10001,0)),"")</f>
        <v/>
      </c>
    </row>
    <row r="1786">
      <c r="A1786">
        <f>IFERROR(INDEX('Email Cleaner'!$B$2:$B$10001,MATCH(1785,'Email Cleaner'!$G$2:$G$10001,0)),"")</f>
        <v/>
      </c>
    </row>
    <row r="1787">
      <c r="A1787">
        <f>IFERROR(INDEX('Email Cleaner'!$B$2:$B$10001,MATCH(1786,'Email Cleaner'!$G$2:$G$10001,0)),"")</f>
        <v/>
      </c>
    </row>
    <row r="1788">
      <c r="A1788">
        <f>IFERROR(INDEX('Email Cleaner'!$B$2:$B$10001,MATCH(1787,'Email Cleaner'!$G$2:$G$10001,0)),"")</f>
        <v/>
      </c>
    </row>
    <row r="1789">
      <c r="A1789">
        <f>IFERROR(INDEX('Email Cleaner'!$B$2:$B$10001,MATCH(1788,'Email Cleaner'!$G$2:$G$10001,0)),"")</f>
        <v/>
      </c>
    </row>
    <row r="1790">
      <c r="A1790">
        <f>IFERROR(INDEX('Email Cleaner'!$B$2:$B$10001,MATCH(1789,'Email Cleaner'!$G$2:$G$10001,0)),"")</f>
        <v/>
      </c>
    </row>
    <row r="1791">
      <c r="A1791">
        <f>IFERROR(INDEX('Email Cleaner'!$B$2:$B$10001,MATCH(1790,'Email Cleaner'!$G$2:$G$10001,0)),"")</f>
        <v/>
      </c>
    </row>
    <row r="1792">
      <c r="A1792">
        <f>IFERROR(INDEX('Email Cleaner'!$B$2:$B$10001,MATCH(1791,'Email Cleaner'!$G$2:$G$10001,0)),"")</f>
        <v/>
      </c>
    </row>
    <row r="1793">
      <c r="A1793">
        <f>IFERROR(INDEX('Email Cleaner'!$B$2:$B$10001,MATCH(1792,'Email Cleaner'!$G$2:$G$10001,0)),"")</f>
        <v/>
      </c>
    </row>
    <row r="1794">
      <c r="A1794">
        <f>IFERROR(INDEX('Email Cleaner'!$B$2:$B$10001,MATCH(1793,'Email Cleaner'!$G$2:$G$10001,0)),"")</f>
        <v/>
      </c>
    </row>
    <row r="1795">
      <c r="A1795">
        <f>IFERROR(INDEX('Email Cleaner'!$B$2:$B$10001,MATCH(1794,'Email Cleaner'!$G$2:$G$10001,0)),"")</f>
        <v/>
      </c>
    </row>
    <row r="1796">
      <c r="A1796">
        <f>IFERROR(INDEX('Email Cleaner'!$B$2:$B$10001,MATCH(1795,'Email Cleaner'!$G$2:$G$10001,0)),"")</f>
        <v/>
      </c>
    </row>
    <row r="1797">
      <c r="A1797">
        <f>IFERROR(INDEX('Email Cleaner'!$B$2:$B$10001,MATCH(1796,'Email Cleaner'!$G$2:$G$10001,0)),"")</f>
        <v/>
      </c>
    </row>
    <row r="1798">
      <c r="A1798">
        <f>IFERROR(INDEX('Email Cleaner'!$B$2:$B$10001,MATCH(1797,'Email Cleaner'!$G$2:$G$10001,0)),"")</f>
        <v/>
      </c>
    </row>
    <row r="1799">
      <c r="A1799">
        <f>IFERROR(INDEX('Email Cleaner'!$B$2:$B$10001,MATCH(1798,'Email Cleaner'!$G$2:$G$10001,0)),"")</f>
        <v/>
      </c>
    </row>
    <row r="1800">
      <c r="A1800">
        <f>IFERROR(INDEX('Email Cleaner'!$B$2:$B$10001,MATCH(1799,'Email Cleaner'!$G$2:$G$10001,0)),"")</f>
        <v/>
      </c>
    </row>
    <row r="1801">
      <c r="A1801">
        <f>IFERROR(INDEX('Email Cleaner'!$B$2:$B$10001,MATCH(1800,'Email Cleaner'!$G$2:$G$10001,0)),"")</f>
        <v/>
      </c>
    </row>
    <row r="1802">
      <c r="A1802">
        <f>IFERROR(INDEX('Email Cleaner'!$B$2:$B$10001,MATCH(1801,'Email Cleaner'!$G$2:$G$10001,0)),"")</f>
        <v/>
      </c>
    </row>
    <row r="1803">
      <c r="A1803">
        <f>IFERROR(INDEX('Email Cleaner'!$B$2:$B$10001,MATCH(1802,'Email Cleaner'!$G$2:$G$10001,0)),"")</f>
        <v/>
      </c>
    </row>
    <row r="1804">
      <c r="A1804">
        <f>IFERROR(INDEX('Email Cleaner'!$B$2:$B$10001,MATCH(1803,'Email Cleaner'!$G$2:$G$10001,0)),"")</f>
        <v/>
      </c>
    </row>
    <row r="1805">
      <c r="A1805">
        <f>IFERROR(INDEX('Email Cleaner'!$B$2:$B$10001,MATCH(1804,'Email Cleaner'!$G$2:$G$10001,0)),"")</f>
        <v/>
      </c>
    </row>
    <row r="1806">
      <c r="A1806">
        <f>IFERROR(INDEX('Email Cleaner'!$B$2:$B$10001,MATCH(1805,'Email Cleaner'!$G$2:$G$10001,0)),"")</f>
        <v/>
      </c>
    </row>
    <row r="1807">
      <c r="A1807">
        <f>IFERROR(INDEX('Email Cleaner'!$B$2:$B$10001,MATCH(1806,'Email Cleaner'!$G$2:$G$10001,0)),"")</f>
        <v/>
      </c>
    </row>
    <row r="1808">
      <c r="A1808">
        <f>IFERROR(INDEX('Email Cleaner'!$B$2:$B$10001,MATCH(1807,'Email Cleaner'!$G$2:$G$10001,0)),"")</f>
        <v/>
      </c>
    </row>
    <row r="1809">
      <c r="A1809">
        <f>IFERROR(INDEX('Email Cleaner'!$B$2:$B$10001,MATCH(1808,'Email Cleaner'!$G$2:$G$10001,0)),"")</f>
        <v/>
      </c>
    </row>
    <row r="1810">
      <c r="A1810">
        <f>IFERROR(INDEX('Email Cleaner'!$B$2:$B$10001,MATCH(1809,'Email Cleaner'!$G$2:$G$10001,0)),"")</f>
        <v/>
      </c>
    </row>
    <row r="1811">
      <c r="A1811">
        <f>IFERROR(INDEX('Email Cleaner'!$B$2:$B$10001,MATCH(1810,'Email Cleaner'!$G$2:$G$10001,0)),"")</f>
        <v/>
      </c>
    </row>
    <row r="1812">
      <c r="A1812">
        <f>IFERROR(INDEX('Email Cleaner'!$B$2:$B$10001,MATCH(1811,'Email Cleaner'!$G$2:$G$10001,0)),"")</f>
        <v/>
      </c>
    </row>
    <row r="1813">
      <c r="A1813">
        <f>IFERROR(INDEX('Email Cleaner'!$B$2:$B$10001,MATCH(1812,'Email Cleaner'!$G$2:$G$10001,0)),"")</f>
        <v/>
      </c>
    </row>
    <row r="1814">
      <c r="A1814">
        <f>IFERROR(INDEX('Email Cleaner'!$B$2:$B$10001,MATCH(1813,'Email Cleaner'!$G$2:$G$10001,0)),"")</f>
        <v/>
      </c>
    </row>
    <row r="1815">
      <c r="A1815">
        <f>IFERROR(INDEX('Email Cleaner'!$B$2:$B$10001,MATCH(1814,'Email Cleaner'!$G$2:$G$10001,0)),"")</f>
        <v/>
      </c>
    </row>
    <row r="1816">
      <c r="A1816">
        <f>IFERROR(INDEX('Email Cleaner'!$B$2:$B$10001,MATCH(1815,'Email Cleaner'!$G$2:$G$10001,0)),"")</f>
        <v/>
      </c>
    </row>
    <row r="1817">
      <c r="A1817">
        <f>IFERROR(INDEX('Email Cleaner'!$B$2:$B$10001,MATCH(1816,'Email Cleaner'!$G$2:$G$10001,0)),"")</f>
        <v/>
      </c>
    </row>
    <row r="1818">
      <c r="A1818">
        <f>IFERROR(INDEX('Email Cleaner'!$B$2:$B$10001,MATCH(1817,'Email Cleaner'!$G$2:$G$10001,0)),"")</f>
        <v/>
      </c>
    </row>
    <row r="1819">
      <c r="A1819">
        <f>IFERROR(INDEX('Email Cleaner'!$B$2:$B$10001,MATCH(1818,'Email Cleaner'!$G$2:$G$10001,0)),"")</f>
        <v/>
      </c>
    </row>
    <row r="1820">
      <c r="A1820">
        <f>IFERROR(INDEX('Email Cleaner'!$B$2:$B$10001,MATCH(1819,'Email Cleaner'!$G$2:$G$10001,0)),"")</f>
        <v/>
      </c>
    </row>
    <row r="1821">
      <c r="A1821">
        <f>IFERROR(INDEX('Email Cleaner'!$B$2:$B$10001,MATCH(1820,'Email Cleaner'!$G$2:$G$10001,0)),"")</f>
        <v/>
      </c>
    </row>
    <row r="1822">
      <c r="A1822">
        <f>IFERROR(INDEX('Email Cleaner'!$B$2:$B$10001,MATCH(1821,'Email Cleaner'!$G$2:$G$10001,0)),"")</f>
        <v/>
      </c>
    </row>
    <row r="1823">
      <c r="A1823">
        <f>IFERROR(INDEX('Email Cleaner'!$B$2:$B$10001,MATCH(1822,'Email Cleaner'!$G$2:$G$10001,0)),"")</f>
        <v/>
      </c>
    </row>
    <row r="1824">
      <c r="A1824">
        <f>IFERROR(INDEX('Email Cleaner'!$B$2:$B$10001,MATCH(1823,'Email Cleaner'!$G$2:$G$10001,0)),"")</f>
        <v/>
      </c>
    </row>
    <row r="1825">
      <c r="A1825">
        <f>IFERROR(INDEX('Email Cleaner'!$B$2:$B$10001,MATCH(1824,'Email Cleaner'!$G$2:$G$10001,0)),"")</f>
        <v/>
      </c>
    </row>
    <row r="1826">
      <c r="A1826">
        <f>IFERROR(INDEX('Email Cleaner'!$B$2:$B$10001,MATCH(1825,'Email Cleaner'!$G$2:$G$10001,0)),"")</f>
        <v/>
      </c>
    </row>
    <row r="1827">
      <c r="A1827">
        <f>IFERROR(INDEX('Email Cleaner'!$B$2:$B$10001,MATCH(1826,'Email Cleaner'!$G$2:$G$10001,0)),"")</f>
        <v/>
      </c>
    </row>
    <row r="1828">
      <c r="A1828">
        <f>IFERROR(INDEX('Email Cleaner'!$B$2:$B$10001,MATCH(1827,'Email Cleaner'!$G$2:$G$10001,0)),"")</f>
        <v/>
      </c>
    </row>
    <row r="1829">
      <c r="A1829">
        <f>IFERROR(INDEX('Email Cleaner'!$B$2:$B$10001,MATCH(1828,'Email Cleaner'!$G$2:$G$10001,0)),"")</f>
        <v/>
      </c>
    </row>
    <row r="1830">
      <c r="A1830">
        <f>IFERROR(INDEX('Email Cleaner'!$B$2:$B$10001,MATCH(1829,'Email Cleaner'!$G$2:$G$10001,0)),"")</f>
        <v/>
      </c>
    </row>
    <row r="1831">
      <c r="A1831">
        <f>IFERROR(INDEX('Email Cleaner'!$B$2:$B$10001,MATCH(1830,'Email Cleaner'!$G$2:$G$10001,0)),"")</f>
        <v/>
      </c>
    </row>
    <row r="1832">
      <c r="A1832">
        <f>IFERROR(INDEX('Email Cleaner'!$B$2:$B$10001,MATCH(1831,'Email Cleaner'!$G$2:$G$10001,0)),"")</f>
        <v/>
      </c>
    </row>
    <row r="1833">
      <c r="A1833">
        <f>IFERROR(INDEX('Email Cleaner'!$B$2:$B$10001,MATCH(1832,'Email Cleaner'!$G$2:$G$10001,0)),"")</f>
        <v/>
      </c>
    </row>
    <row r="1834">
      <c r="A1834">
        <f>IFERROR(INDEX('Email Cleaner'!$B$2:$B$10001,MATCH(1833,'Email Cleaner'!$G$2:$G$10001,0)),"")</f>
        <v/>
      </c>
    </row>
    <row r="1835">
      <c r="A1835">
        <f>IFERROR(INDEX('Email Cleaner'!$B$2:$B$10001,MATCH(1834,'Email Cleaner'!$G$2:$G$10001,0)),"")</f>
        <v/>
      </c>
    </row>
    <row r="1836">
      <c r="A1836">
        <f>IFERROR(INDEX('Email Cleaner'!$B$2:$B$10001,MATCH(1835,'Email Cleaner'!$G$2:$G$10001,0)),"")</f>
        <v/>
      </c>
    </row>
    <row r="1837">
      <c r="A1837">
        <f>IFERROR(INDEX('Email Cleaner'!$B$2:$B$10001,MATCH(1836,'Email Cleaner'!$G$2:$G$10001,0)),"")</f>
        <v/>
      </c>
    </row>
    <row r="1838">
      <c r="A1838">
        <f>IFERROR(INDEX('Email Cleaner'!$B$2:$B$10001,MATCH(1837,'Email Cleaner'!$G$2:$G$10001,0)),"")</f>
        <v/>
      </c>
    </row>
    <row r="1839">
      <c r="A1839">
        <f>IFERROR(INDEX('Email Cleaner'!$B$2:$B$10001,MATCH(1838,'Email Cleaner'!$G$2:$G$10001,0)),"")</f>
        <v/>
      </c>
    </row>
    <row r="1840">
      <c r="A1840">
        <f>IFERROR(INDEX('Email Cleaner'!$B$2:$B$10001,MATCH(1839,'Email Cleaner'!$G$2:$G$10001,0)),"")</f>
        <v/>
      </c>
    </row>
    <row r="1841">
      <c r="A1841">
        <f>IFERROR(INDEX('Email Cleaner'!$B$2:$B$10001,MATCH(1840,'Email Cleaner'!$G$2:$G$10001,0)),"")</f>
        <v/>
      </c>
    </row>
    <row r="1842">
      <c r="A1842">
        <f>IFERROR(INDEX('Email Cleaner'!$B$2:$B$10001,MATCH(1841,'Email Cleaner'!$G$2:$G$10001,0)),"")</f>
        <v/>
      </c>
    </row>
    <row r="1843">
      <c r="A1843">
        <f>IFERROR(INDEX('Email Cleaner'!$B$2:$B$10001,MATCH(1842,'Email Cleaner'!$G$2:$G$10001,0)),"")</f>
        <v/>
      </c>
    </row>
    <row r="1844">
      <c r="A1844">
        <f>IFERROR(INDEX('Email Cleaner'!$B$2:$B$10001,MATCH(1843,'Email Cleaner'!$G$2:$G$10001,0)),"")</f>
        <v/>
      </c>
    </row>
    <row r="1845">
      <c r="A1845">
        <f>IFERROR(INDEX('Email Cleaner'!$B$2:$B$10001,MATCH(1844,'Email Cleaner'!$G$2:$G$10001,0)),"")</f>
        <v/>
      </c>
    </row>
    <row r="1846">
      <c r="A1846">
        <f>IFERROR(INDEX('Email Cleaner'!$B$2:$B$10001,MATCH(1845,'Email Cleaner'!$G$2:$G$10001,0)),"")</f>
        <v/>
      </c>
    </row>
    <row r="1847">
      <c r="A1847">
        <f>IFERROR(INDEX('Email Cleaner'!$B$2:$B$10001,MATCH(1846,'Email Cleaner'!$G$2:$G$10001,0)),"")</f>
        <v/>
      </c>
    </row>
    <row r="1848">
      <c r="A1848">
        <f>IFERROR(INDEX('Email Cleaner'!$B$2:$B$10001,MATCH(1847,'Email Cleaner'!$G$2:$G$10001,0)),"")</f>
        <v/>
      </c>
    </row>
    <row r="1849">
      <c r="A1849">
        <f>IFERROR(INDEX('Email Cleaner'!$B$2:$B$10001,MATCH(1848,'Email Cleaner'!$G$2:$G$10001,0)),"")</f>
        <v/>
      </c>
    </row>
    <row r="1850">
      <c r="A1850">
        <f>IFERROR(INDEX('Email Cleaner'!$B$2:$B$10001,MATCH(1849,'Email Cleaner'!$G$2:$G$10001,0)),"")</f>
        <v/>
      </c>
    </row>
    <row r="1851">
      <c r="A1851">
        <f>IFERROR(INDEX('Email Cleaner'!$B$2:$B$10001,MATCH(1850,'Email Cleaner'!$G$2:$G$10001,0)),"")</f>
        <v/>
      </c>
    </row>
    <row r="1852">
      <c r="A1852">
        <f>IFERROR(INDEX('Email Cleaner'!$B$2:$B$10001,MATCH(1851,'Email Cleaner'!$G$2:$G$10001,0)),"")</f>
        <v/>
      </c>
    </row>
    <row r="1853">
      <c r="A1853">
        <f>IFERROR(INDEX('Email Cleaner'!$B$2:$B$10001,MATCH(1852,'Email Cleaner'!$G$2:$G$10001,0)),"")</f>
        <v/>
      </c>
    </row>
    <row r="1854">
      <c r="A1854">
        <f>IFERROR(INDEX('Email Cleaner'!$B$2:$B$10001,MATCH(1853,'Email Cleaner'!$G$2:$G$10001,0)),"")</f>
        <v/>
      </c>
    </row>
    <row r="1855">
      <c r="A1855">
        <f>IFERROR(INDEX('Email Cleaner'!$B$2:$B$10001,MATCH(1854,'Email Cleaner'!$G$2:$G$10001,0)),"")</f>
        <v/>
      </c>
    </row>
    <row r="1856">
      <c r="A1856">
        <f>IFERROR(INDEX('Email Cleaner'!$B$2:$B$10001,MATCH(1855,'Email Cleaner'!$G$2:$G$10001,0)),"")</f>
        <v/>
      </c>
    </row>
    <row r="1857">
      <c r="A1857">
        <f>IFERROR(INDEX('Email Cleaner'!$B$2:$B$10001,MATCH(1856,'Email Cleaner'!$G$2:$G$10001,0)),"")</f>
        <v/>
      </c>
    </row>
    <row r="1858">
      <c r="A1858">
        <f>IFERROR(INDEX('Email Cleaner'!$B$2:$B$10001,MATCH(1857,'Email Cleaner'!$G$2:$G$10001,0)),"")</f>
        <v/>
      </c>
    </row>
    <row r="1859">
      <c r="A1859">
        <f>IFERROR(INDEX('Email Cleaner'!$B$2:$B$10001,MATCH(1858,'Email Cleaner'!$G$2:$G$10001,0)),"")</f>
        <v/>
      </c>
    </row>
    <row r="1860">
      <c r="A1860">
        <f>IFERROR(INDEX('Email Cleaner'!$B$2:$B$10001,MATCH(1859,'Email Cleaner'!$G$2:$G$10001,0)),"")</f>
        <v/>
      </c>
    </row>
    <row r="1861">
      <c r="A1861">
        <f>IFERROR(INDEX('Email Cleaner'!$B$2:$B$10001,MATCH(1860,'Email Cleaner'!$G$2:$G$10001,0)),"")</f>
        <v/>
      </c>
    </row>
    <row r="1862">
      <c r="A1862">
        <f>IFERROR(INDEX('Email Cleaner'!$B$2:$B$10001,MATCH(1861,'Email Cleaner'!$G$2:$G$10001,0)),"")</f>
        <v/>
      </c>
    </row>
    <row r="1863">
      <c r="A1863">
        <f>IFERROR(INDEX('Email Cleaner'!$B$2:$B$10001,MATCH(1862,'Email Cleaner'!$G$2:$G$10001,0)),"")</f>
        <v/>
      </c>
    </row>
    <row r="1864">
      <c r="A1864">
        <f>IFERROR(INDEX('Email Cleaner'!$B$2:$B$10001,MATCH(1863,'Email Cleaner'!$G$2:$G$10001,0)),"")</f>
        <v/>
      </c>
    </row>
    <row r="1865">
      <c r="A1865">
        <f>IFERROR(INDEX('Email Cleaner'!$B$2:$B$10001,MATCH(1864,'Email Cleaner'!$G$2:$G$10001,0)),"")</f>
        <v/>
      </c>
    </row>
    <row r="1866">
      <c r="A1866">
        <f>IFERROR(INDEX('Email Cleaner'!$B$2:$B$10001,MATCH(1865,'Email Cleaner'!$G$2:$G$10001,0)),"")</f>
        <v/>
      </c>
    </row>
    <row r="1867">
      <c r="A1867">
        <f>IFERROR(INDEX('Email Cleaner'!$B$2:$B$10001,MATCH(1866,'Email Cleaner'!$G$2:$G$10001,0)),"")</f>
        <v/>
      </c>
    </row>
    <row r="1868">
      <c r="A1868">
        <f>IFERROR(INDEX('Email Cleaner'!$B$2:$B$10001,MATCH(1867,'Email Cleaner'!$G$2:$G$10001,0)),"")</f>
        <v/>
      </c>
    </row>
    <row r="1869">
      <c r="A1869">
        <f>IFERROR(INDEX('Email Cleaner'!$B$2:$B$10001,MATCH(1868,'Email Cleaner'!$G$2:$G$10001,0)),"")</f>
        <v/>
      </c>
    </row>
    <row r="1870">
      <c r="A1870">
        <f>IFERROR(INDEX('Email Cleaner'!$B$2:$B$10001,MATCH(1869,'Email Cleaner'!$G$2:$G$10001,0)),"")</f>
        <v/>
      </c>
    </row>
    <row r="1871">
      <c r="A1871">
        <f>IFERROR(INDEX('Email Cleaner'!$B$2:$B$10001,MATCH(1870,'Email Cleaner'!$G$2:$G$10001,0)),"")</f>
        <v/>
      </c>
    </row>
    <row r="1872">
      <c r="A1872">
        <f>IFERROR(INDEX('Email Cleaner'!$B$2:$B$10001,MATCH(1871,'Email Cleaner'!$G$2:$G$10001,0)),"")</f>
        <v/>
      </c>
    </row>
    <row r="1873">
      <c r="A1873">
        <f>IFERROR(INDEX('Email Cleaner'!$B$2:$B$10001,MATCH(1872,'Email Cleaner'!$G$2:$G$10001,0)),"")</f>
        <v/>
      </c>
    </row>
    <row r="1874">
      <c r="A1874">
        <f>IFERROR(INDEX('Email Cleaner'!$B$2:$B$10001,MATCH(1873,'Email Cleaner'!$G$2:$G$10001,0)),"")</f>
        <v/>
      </c>
    </row>
    <row r="1875">
      <c r="A1875">
        <f>IFERROR(INDEX('Email Cleaner'!$B$2:$B$10001,MATCH(1874,'Email Cleaner'!$G$2:$G$10001,0)),"")</f>
        <v/>
      </c>
    </row>
    <row r="1876">
      <c r="A1876">
        <f>IFERROR(INDEX('Email Cleaner'!$B$2:$B$10001,MATCH(1875,'Email Cleaner'!$G$2:$G$10001,0)),"")</f>
        <v/>
      </c>
    </row>
    <row r="1877">
      <c r="A1877">
        <f>IFERROR(INDEX('Email Cleaner'!$B$2:$B$10001,MATCH(1876,'Email Cleaner'!$G$2:$G$10001,0)),"")</f>
        <v/>
      </c>
    </row>
    <row r="1878">
      <c r="A1878">
        <f>IFERROR(INDEX('Email Cleaner'!$B$2:$B$10001,MATCH(1877,'Email Cleaner'!$G$2:$G$10001,0)),"")</f>
        <v/>
      </c>
    </row>
    <row r="1879">
      <c r="A1879">
        <f>IFERROR(INDEX('Email Cleaner'!$B$2:$B$10001,MATCH(1878,'Email Cleaner'!$G$2:$G$10001,0)),"")</f>
        <v/>
      </c>
    </row>
    <row r="1880">
      <c r="A1880">
        <f>IFERROR(INDEX('Email Cleaner'!$B$2:$B$10001,MATCH(1879,'Email Cleaner'!$G$2:$G$10001,0)),"")</f>
        <v/>
      </c>
    </row>
    <row r="1881">
      <c r="A1881">
        <f>IFERROR(INDEX('Email Cleaner'!$B$2:$B$10001,MATCH(1880,'Email Cleaner'!$G$2:$G$10001,0)),"")</f>
        <v/>
      </c>
    </row>
    <row r="1882">
      <c r="A1882">
        <f>IFERROR(INDEX('Email Cleaner'!$B$2:$B$10001,MATCH(1881,'Email Cleaner'!$G$2:$G$10001,0)),"")</f>
        <v/>
      </c>
    </row>
    <row r="1883">
      <c r="A1883">
        <f>IFERROR(INDEX('Email Cleaner'!$B$2:$B$10001,MATCH(1882,'Email Cleaner'!$G$2:$G$10001,0)),"")</f>
        <v/>
      </c>
    </row>
    <row r="1884">
      <c r="A1884">
        <f>IFERROR(INDEX('Email Cleaner'!$B$2:$B$10001,MATCH(1883,'Email Cleaner'!$G$2:$G$10001,0)),"")</f>
        <v/>
      </c>
    </row>
    <row r="1885">
      <c r="A1885">
        <f>IFERROR(INDEX('Email Cleaner'!$B$2:$B$10001,MATCH(1884,'Email Cleaner'!$G$2:$G$10001,0)),"")</f>
        <v/>
      </c>
    </row>
    <row r="1886">
      <c r="A1886">
        <f>IFERROR(INDEX('Email Cleaner'!$B$2:$B$10001,MATCH(1885,'Email Cleaner'!$G$2:$G$10001,0)),"")</f>
        <v/>
      </c>
    </row>
    <row r="1887">
      <c r="A1887">
        <f>IFERROR(INDEX('Email Cleaner'!$B$2:$B$10001,MATCH(1886,'Email Cleaner'!$G$2:$G$10001,0)),"")</f>
        <v/>
      </c>
    </row>
    <row r="1888">
      <c r="A1888">
        <f>IFERROR(INDEX('Email Cleaner'!$B$2:$B$10001,MATCH(1887,'Email Cleaner'!$G$2:$G$10001,0)),"")</f>
        <v/>
      </c>
    </row>
    <row r="1889">
      <c r="A1889">
        <f>IFERROR(INDEX('Email Cleaner'!$B$2:$B$10001,MATCH(1888,'Email Cleaner'!$G$2:$G$10001,0)),"")</f>
        <v/>
      </c>
    </row>
    <row r="1890">
      <c r="A1890">
        <f>IFERROR(INDEX('Email Cleaner'!$B$2:$B$10001,MATCH(1889,'Email Cleaner'!$G$2:$G$10001,0)),"")</f>
        <v/>
      </c>
    </row>
    <row r="1891">
      <c r="A1891">
        <f>IFERROR(INDEX('Email Cleaner'!$B$2:$B$10001,MATCH(1890,'Email Cleaner'!$G$2:$G$10001,0)),"")</f>
        <v/>
      </c>
    </row>
    <row r="1892">
      <c r="A1892">
        <f>IFERROR(INDEX('Email Cleaner'!$B$2:$B$10001,MATCH(1891,'Email Cleaner'!$G$2:$G$10001,0)),"")</f>
        <v/>
      </c>
    </row>
    <row r="1893">
      <c r="A1893">
        <f>IFERROR(INDEX('Email Cleaner'!$B$2:$B$10001,MATCH(1892,'Email Cleaner'!$G$2:$G$10001,0)),"")</f>
        <v/>
      </c>
    </row>
    <row r="1894">
      <c r="A1894">
        <f>IFERROR(INDEX('Email Cleaner'!$B$2:$B$10001,MATCH(1893,'Email Cleaner'!$G$2:$G$10001,0)),"")</f>
        <v/>
      </c>
    </row>
    <row r="1895">
      <c r="A1895">
        <f>IFERROR(INDEX('Email Cleaner'!$B$2:$B$10001,MATCH(1894,'Email Cleaner'!$G$2:$G$10001,0)),"")</f>
        <v/>
      </c>
    </row>
    <row r="1896">
      <c r="A1896">
        <f>IFERROR(INDEX('Email Cleaner'!$B$2:$B$10001,MATCH(1895,'Email Cleaner'!$G$2:$G$10001,0)),"")</f>
        <v/>
      </c>
    </row>
    <row r="1897">
      <c r="A1897">
        <f>IFERROR(INDEX('Email Cleaner'!$B$2:$B$10001,MATCH(1896,'Email Cleaner'!$G$2:$G$10001,0)),"")</f>
        <v/>
      </c>
    </row>
    <row r="1898">
      <c r="A1898">
        <f>IFERROR(INDEX('Email Cleaner'!$B$2:$B$10001,MATCH(1897,'Email Cleaner'!$G$2:$G$10001,0)),"")</f>
        <v/>
      </c>
    </row>
    <row r="1899">
      <c r="A1899">
        <f>IFERROR(INDEX('Email Cleaner'!$B$2:$B$10001,MATCH(1898,'Email Cleaner'!$G$2:$G$10001,0)),"")</f>
        <v/>
      </c>
    </row>
    <row r="1900">
      <c r="A1900">
        <f>IFERROR(INDEX('Email Cleaner'!$B$2:$B$10001,MATCH(1899,'Email Cleaner'!$G$2:$G$10001,0)),"")</f>
        <v/>
      </c>
    </row>
    <row r="1901">
      <c r="A1901">
        <f>IFERROR(INDEX('Email Cleaner'!$B$2:$B$10001,MATCH(1900,'Email Cleaner'!$G$2:$G$10001,0)),"")</f>
        <v/>
      </c>
    </row>
    <row r="1902">
      <c r="A1902">
        <f>IFERROR(INDEX('Email Cleaner'!$B$2:$B$10001,MATCH(1901,'Email Cleaner'!$G$2:$G$10001,0)),"")</f>
        <v/>
      </c>
    </row>
    <row r="1903">
      <c r="A1903">
        <f>IFERROR(INDEX('Email Cleaner'!$B$2:$B$10001,MATCH(1902,'Email Cleaner'!$G$2:$G$10001,0)),"")</f>
        <v/>
      </c>
    </row>
    <row r="1904">
      <c r="A1904">
        <f>IFERROR(INDEX('Email Cleaner'!$B$2:$B$10001,MATCH(1903,'Email Cleaner'!$G$2:$G$10001,0)),"")</f>
        <v/>
      </c>
    </row>
    <row r="1905">
      <c r="A1905">
        <f>IFERROR(INDEX('Email Cleaner'!$B$2:$B$10001,MATCH(1904,'Email Cleaner'!$G$2:$G$10001,0)),"")</f>
        <v/>
      </c>
    </row>
    <row r="1906">
      <c r="A1906">
        <f>IFERROR(INDEX('Email Cleaner'!$B$2:$B$10001,MATCH(1905,'Email Cleaner'!$G$2:$G$10001,0)),"")</f>
        <v/>
      </c>
    </row>
    <row r="1907">
      <c r="A1907">
        <f>IFERROR(INDEX('Email Cleaner'!$B$2:$B$10001,MATCH(1906,'Email Cleaner'!$G$2:$G$10001,0)),"")</f>
        <v/>
      </c>
    </row>
    <row r="1908">
      <c r="A1908">
        <f>IFERROR(INDEX('Email Cleaner'!$B$2:$B$10001,MATCH(1907,'Email Cleaner'!$G$2:$G$10001,0)),"")</f>
        <v/>
      </c>
    </row>
    <row r="1909">
      <c r="A1909">
        <f>IFERROR(INDEX('Email Cleaner'!$B$2:$B$10001,MATCH(1908,'Email Cleaner'!$G$2:$G$10001,0)),"")</f>
        <v/>
      </c>
    </row>
    <row r="1910">
      <c r="A1910">
        <f>IFERROR(INDEX('Email Cleaner'!$B$2:$B$10001,MATCH(1909,'Email Cleaner'!$G$2:$G$10001,0)),"")</f>
        <v/>
      </c>
    </row>
    <row r="1911">
      <c r="A1911">
        <f>IFERROR(INDEX('Email Cleaner'!$B$2:$B$10001,MATCH(1910,'Email Cleaner'!$G$2:$G$10001,0)),"")</f>
        <v/>
      </c>
    </row>
    <row r="1912">
      <c r="A1912">
        <f>IFERROR(INDEX('Email Cleaner'!$B$2:$B$10001,MATCH(1911,'Email Cleaner'!$G$2:$G$10001,0)),"")</f>
        <v/>
      </c>
    </row>
    <row r="1913">
      <c r="A1913">
        <f>IFERROR(INDEX('Email Cleaner'!$B$2:$B$10001,MATCH(1912,'Email Cleaner'!$G$2:$G$10001,0)),"")</f>
        <v/>
      </c>
    </row>
    <row r="1914">
      <c r="A1914">
        <f>IFERROR(INDEX('Email Cleaner'!$B$2:$B$10001,MATCH(1913,'Email Cleaner'!$G$2:$G$10001,0)),"")</f>
        <v/>
      </c>
    </row>
    <row r="1915">
      <c r="A1915">
        <f>IFERROR(INDEX('Email Cleaner'!$B$2:$B$10001,MATCH(1914,'Email Cleaner'!$G$2:$G$10001,0)),"")</f>
        <v/>
      </c>
    </row>
    <row r="1916">
      <c r="A1916">
        <f>IFERROR(INDEX('Email Cleaner'!$B$2:$B$10001,MATCH(1915,'Email Cleaner'!$G$2:$G$10001,0)),"")</f>
        <v/>
      </c>
    </row>
    <row r="1917">
      <c r="A1917">
        <f>IFERROR(INDEX('Email Cleaner'!$B$2:$B$10001,MATCH(1916,'Email Cleaner'!$G$2:$G$10001,0)),"")</f>
        <v/>
      </c>
    </row>
    <row r="1918">
      <c r="A1918">
        <f>IFERROR(INDEX('Email Cleaner'!$B$2:$B$10001,MATCH(1917,'Email Cleaner'!$G$2:$G$10001,0)),"")</f>
        <v/>
      </c>
    </row>
    <row r="1919">
      <c r="A1919">
        <f>IFERROR(INDEX('Email Cleaner'!$B$2:$B$10001,MATCH(1918,'Email Cleaner'!$G$2:$G$10001,0)),"")</f>
        <v/>
      </c>
    </row>
    <row r="1920">
      <c r="A1920">
        <f>IFERROR(INDEX('Email Cleaner'!$B$2:$B$10001,MATCH(1919,'Email Cleaner'!$G$2:$G$10001,0)),"")</f>
        <v/>
      </c>
    </row>
    <row r="1921">
      <c r="A1921">
        <f>IFERROR(INDEX('Email Cleaner'!$B$2:$B$10001,MATCH(1920,'Email Cleaner'!$G$2:$G$10001,0)),"")</f>
        <v/>
      </c>
    </row>
    <row r="1922">
      <c r="A1922">
        <f>IFERROR(INDEX('Email Cleaner'!$B$2:$B$10001,MATCH(1921,'Email Cleaner'!$G$2:$G$10001,0)),"")</f>
        <v/>
      </c>
    </row>
    <row r="1923">
      <c r="A1923">
        <f>IFERROR(INDEX('Email Cleaner'!$B$2:$B$10001,MATCH(1922,'Email Cleaner'!$G$2:$G$10001,0)),"")</f>
        <v/>
      </c>
    </row>
    <row r="1924">
      <c r="A1924">
        <f>IFERROR(INDEX('Email Cleaner'!$B$2:$B$10001,MATCH(1923,'Email Cleaner'!$G$2:$G$10001,0)),"")</f>
        <v/>
      </c>
    </row>
    <row r="1925">
      <c r="A1925">
        <f>IFERROR(INDEX('Email Cleaner'!$B$2:$B$10001,MATCH(1924,'Email Cleaner'!$G$2:$G$10001,0)),"")</f>
        <v/>
      </c>
    </row>
    <row r="1926">
      <c r="A1926">
        <f>IFERROR(INDEX('Email Cleaner'!$B$2:$B$10001,MATCH(1925,'Email Cleaner'!$G$2:$G$10001,0)),"")</f>
        <v/>
      </c>
    </row>
    <row r="1927">
      <c r="A1927">
        <f>IFERROR(INDEX('Email Cleaner'!$B$2:$B$10001,MATCH(1926,'Email Cleaner'!$G$2:$G$10001,0)),"")</f>
        <v/>
      </c>
    </row>
    <row r="1928">
      <c r="A1928">
        <f>IFERROR(INDEX('Email Cleaner'!$B$2:$B$10001,MATCH(1927,'Email Cleaner'!$G$2:$G$10001,0)),"")</f>
        <v/>
      </c>
    </row>
    <row r="1929">
      <c r="A1929">
        <f>IFERROR(INDEX('Email Cleaner'!$B$2:$B$10001,MATCH(1928,'Email Cleaner'!$G$2:$G$10001,0)),"")</f>
        <v/>
      </c>
    </row>
    <row r="1930">
      <c r="A1930">
        <f>IFERROR(INDEX('Email Cleaner'!$B$2:$B$10001,MATCH(1929,'Email Cleaner'!$G$2:$G$10001,0)),"")</f>
        <v/>
      </c>
    </row>
    <row r="1931">
      <c r="A1931">
        <f>IFERROR(INDEX('Email Cleaner'!$B$2:$B$10001,MATCH(1930,'Email Cleaner'!$G$2:$G$10001,0)),"")</f>
        <v/>
      </c>
    </row>
    <row r="1932">
      <c r="A1932">
        <f>IFERROR(INDEX('Email Cleaner'!$B$2:$B$10001,MATCH(1931,'Email Cleaner'!$G$2:$G$10001,0)),"")</f>
        <v/>
      </c>
    </row>
    <row r="1933">
      <c r="A1933">
        <f>IFERROR(INDEX('Email Cleaner'!$B$2:$B$10001,MATCH(1932,'Email Cleaner'!$G$2:$G$10001,0)),"")</f>
        <v/>
      </c>
    </row>
    <row r="1934">
      <c r="A1934">
        <f>IFERROR(INDEX('Email Cleaner'!$B$2:$B$10001,MATCH(1933,'Email Cleaner'!$G$2:$G$10001,0)),"")</f>
        <v/>
      </c>
    </row>
    <row r="1935">
      <c r="A1935">
        <f>IFERROR(INDEX('Email Cleaner'!$B$2:$B$10001,MATCH(1934,'Email Cleaner'!$G$2:$G$10001,0)),"")</f>
        <v/>
      </c>
    </row>
    <row r="1936">
      <c r="A1936">
        <f>IFERROR(INDEX('Email Cleaner'!$B$2:$B$10001,MATCH(1935,'Email Cleaner'!$G$2:$G$10001,0)),"")</f>
        <v/>
      </c>
    </row>
    <row r="1937">
      <c r="A1937">
        <f>IFERROR(INDEX('Email Cleaner'!$B$2:$B$10001,MATCH(1936,'Email Cleaner'!$G$2:$G$10001,0)),"")</f>
        <v/>
      </c>
    </row>
    <row r="1938">
      <c r="A1938">
        <f>IFERROR(INDEX('Email Cleaner'!$B$2:$B$10001,MATCH(1937,'Email Cleaner'!$G$2:$G$10001,0)),"")</f>
        <v/>
      </c>
    </row>
    <row r="1939">
      <c r="A1939">
        <f>IFERROR(INDEX('Email Cleaner'!$B$2:$B$10001,MATCH(1938,'Email Cleaner'!$G$2:$G$10001,0)),"")</f>
        <v/>
      </c>
    </row>
    <row r="1940">
      <c r="A1940">
        <f>IFERROR(INDEX('Email Cleaner'!$B$2:$B$10001,MATCH(1939,'Email Cleaner'!$G$2:$G$10001,0)),"")</f>
        <v/>
      </c>
    </row>
    <row r="1941">
      <c r="A1941">
        <f>IFERROR(INDEX('Email Cleaner'!$B$2:$B$10001,MATCH(1940,'Email Cleaner'!$G$2:$G$10001,0)),"")</f>
        <v/>
      </c>
    </row>
    <row r="1942">
      <c r="A1942">
        <f>IFERROR(INDEX('Email Cleaner'!$B$2:$B$10001,MATCH(1941,'Email Cleaner'!$G$2:$G$10001,0)),"")</f>
        <v/>
      </c>
    </row>
    <row r="1943">
      <c r="A1943">
        <f>IFERROR(INDEX('Email Cleaner'!$B$2:$B$10001,MATCH(1942,'Email Cleaner'!$G$2:$G$10001,0)),"")</f>
        <v/>
      </c>
    </row>
    <row r="1944">
      <c r="A1944">
        <f>IFERROR(INDEX('Email Cleaner'!$B$2:$B$10001,MATCH(1943,'Email Cleaner'!$G$2:$G$10001,0)),"")</f>
        <v/>
      </c>
    </row>
    <row r="1945">
      <c r="A1945">
        <f>IFERROR(INDEX('Email Cleaner'!$B$2:$B$10001,MATCH(1944,'Email Cleaner'!$G$2:$G$10001,0)),"")</f>
        <v/>
      </c>
    </row>
    <row r="1946">
      <c r="A1946">
        <f>IFERROR(INDEX('Email Cleaner'!$B$2:$B$10001,MATCH(1945,'Email Cleaner'!$G$2:$G$10001,0)),"")</f>
        <v/>
      </c>
    </row>
    <row r="1947">
      <c r="A1947">
        <f>IFERROR(INDEX('Email Cleaner'!$B$2:$B$10001,MATCH(1946,'Email Cleaner'!$G$2:$G$10001,0)),"")</f>
        <v/>
      </c>
    </row>
    <row r="1948">
      <c r="A1948">
        <f>IFERROR(INDEX('Email Cleaner'!$B$2:$B$10001,MATCH(1947,'Email Cleaner'!$G$2:$G$10001,0)),"")</f>
        <v/>
      </c>
    </row>
    <row r="1949">
      <c r="A1949">
        <f>IFERROR(INDEX('Email Cleaner'!$B$2:$B$10001,MATCH(1948,'Email Cleaner'!$G$2:$G$10001,0)),"")</f>
        <v/>
      </c>
    </row>
    <row r="1950">
      <c r="A1950">
        <f>IFERROR(INDEX('Email Cleaner'!$B$2:$B$10001,MATCH(1949,'Email Cleaner'!$G$2:$G$10001,0)),"")</f>
        <v/>
      </c>
    </row>
    <row r="1951">
      <c r="A1951">
        <f>IFERROR(INDEX('Email Cleaner'!$B$2:$B$10001,MATCH(1950,'Email Cleaner'!$G$2:$G$10001,0)),"")</f>
        <v/>
      </c>
    </row>
    <row r="1952">
      <c r="A1952">
        <f>IFERROR(INDEX('Email Cleaner'!$B$2:$B$10001,MATCH(1951,'Email Cleaner'!$G$2:$G$10001,0)),"")</f>
        <v/>
      </c>
    </row>
    <row r="1953">
      <c r="A1953">
        <f>IFERROR(INDEX('Email Cleaner'!$B$2:$B$10001,MATCH(1952,'Email Cleaner'!$G$2:$G$10001,0)),"")</f>
        <v/>
      </c>
    </row>
    <row r="1954">
      <c r="A1954">
        <f>IFERROR(INDEX('Email Cleaner'!$B$2:$B$10001,MATCH(1953,'Email Cleaner'!$G$2:$G$10001,0)),"")</f>
        <v/>
      </c>
    </row>
    <row r="1955">
      <c r="A1955">
        <f>IFERROR(INDEX('Email Cleaner'!$B$2:$B$10001,MATCH(1954,'Email Cleaner'!$G$2:$G$10001,0)),"")</f>
        <v/>
      </c>
    </row>
    <row r="1956">
      <c r="A1956">
        <f>IFERROR(INDEX('Email Cleaner'!$B$2:$B$10001,MATCH(1955,'Email Cleaner'!$G$2:$G$10001,0)),"")</f>
        <v/>
      </c>
    </row>
    <row r="1957">
      <c r="A1957">
        <f>IFERROR(INDEX('Email Cleaner'!$B$2:$B$10001,MATCH(1956,'Email Cleaner'!$G$2:$G$10001,0)),"")</f>
        <v/>
      </c>
    </row>
    <row r="1958">
      <c r="A1958">
        <f>IFERROR(INDEX('Email Cleaner'!$B$2:$B$10001,MATCH(1957,'Email Cleaner'!$G$2:$G$10001,0)),"")</f>
        <v/>
      </c>
    </row>
    <row r="1959">
      <c r="A1959">
        <f>IFERROR(INDEX('Email Cleaner'!$B$2:$B$10001,MATCH(1958,'Email Cleaner'!$G$2:$G$10001,0)),"")</f>
        <v/>
      </c>
    </row>
    <row r="1960">
      <c r="A1960">
        <f>IFERROR(INDEX('Email Cleaner'!$B$2:$B$10001,MATCH(1959,'Email Cleaner'!$G$2:$G$10001,0)),"")</f>
        <v/>
      </c>
    </row>
    <row r="1961">
      <c r="A1961">
        <f>IFERROR(INDEX('Email Cleaner'!$B$2:$B$10001,MATCH(1960,'Email Cleaner'!$G$2:$G$10001,0)),"")</f>
        <v/>
      </c>
    </row>
    <row r="1962">
      <c r="A1962">
        <f>IFERROR(INDEX('Email Cleaner'!$B$2:$B$10001,MATCH(1961,'Email Cleaner'!$G$2:$G$10001,0)),"")</f>
        <v/>
      </c>
    </row>
    <row r="1963">
      <c r="A1963">
        <f>IFERROR(INDEX('Email Cleaner'!$B$2:$B$10001,MATCH(1962,'Email Cleaner'!$G$2:$G$10001,0)),"")</f>
        <v/>
      </c>
    </row>
    <row r="1964">
      <c r="A1964">
        <f>IFERROR(INDEX('Email Cleaner'!$B$2:$B$10001,MATCH(1963,'Email Cleaner'!$G$2:$G$10001,0)),"")</f>
        <v/>
      </c>
    </row>
    <row r="1965">
      <c r="A1965">
        <f>IFERROR(INDEX('Email Cleaner'!$B$2:$B$10001,MATCH(1964,'Email Cleaner'!$G$2:$G$10001,0)),"")</f>
        <v/>
      </c>
    </row>
    <row r="1966">
      <c r="A1966">
        <f>IFERROR(INDEX('Email Cleaner'!$B$2:$B$10001,MATCH(1965,'Email Cleaner'!$G$2:$G$10001,0)),"")</f>
        <v/>
      </c>
    </row>
    <row r="1967">
      <c r="A1967">
        <f>IFERROR(INDEX('Email Cleaner'!$B$2:$B$10001,MATCH(1966,'Email Cleaner'!$G$2:$G$10001,0)),"")</f>
        <v/>
      </c>
    </row>
    <row r="1968">
      <c r="A1968">
        <f>IFERROR(INDEX('Email Cleaner'!$B$2:$B$10001,MATCH(1967,'Email Cleaner'!$G$2:$G$10001,0)),"")</f>
        <v/>
      </c>
    </row>
    <row r="1969">
      <c r="A1969">
        <f>IFERROR(INDEX('Email Cleaner'!$B$2:$B$10001,MATCH(1968,'Email Cleaner'!$G$2:$G$10001,0)),"")</f>
        <v/>
      </c>
    </row>
    <row r="1970">
      <c r="A1970">
        <f>IFERROR(INDEX('Email Cleaner'!$B$2:$B$10001,MATCH(1969,'Email Cleaner'!$G$2:$G$10001,0)),"")</f>
        <v/>
      </c>
    </row>
    <row r="1971">
      <c r="A1971">
        <f>IFERROR(INDEX('Email Cleaner'!$B$2:$B$10001,MATCH(1970,'Email Cleaner'!$G$2:$G$10001,0)),"")</f>
        <v/>
      </c>
    </row>
    <row r="1972">
      <c r="A1972">
        <f>IFERROR(INDEX('Email Cleaner'!$B$2:$B$10001,MATCH(1971,'Email Cleaner'!$G$2:$G$10001,0)),"")</f>
        <v/>
      </c>
    </row>
    <row r="1973">
      <c r="A1973">
        <f>IFERROR(INDEX('Email Cleaner'!$B$2:$B$10001,MATCH(1972,'Email Cleaner'!$G$2:$G$10001,0)),"")</f>
        <v/>
      </c>
    </row>
    <row r="1974">
      <c r="A1974">
        <f>IFERROR(INDEX('Email Cleaner'!$B$2:$B$10001,MATCH(1973,'Email Cleaner'!$G$2:$G$10001,0)),"")</f>
        <v/>
      </c>
    </row>
    <row r="1975">
      <c r="A1975">
        <f>IFERROR(INDEX('Email Cleaner'!$B$2:$B$10001,MATCH(1974,'Email Cleaner'!$G$2:$G$10001,0)),"")</f>
        <v/>
      </c>
    </row>
    <row r="1976">
      <c r="A1976">
        <f>IFERROR(INDEX('Email Cleaner'!$B$2:$B$10001,MATCH(1975,'Email Cleaner'!$G$2:$G$10001,0)),"")</f>
        <v/>
      </c>
    </row>
    <row r="1977">
      <c r="A1977">
        <f>IFERROR(INDEX('Email Cleaner'!$B$2:$B$10001,MATCH(1976,'Email Cleaner'!$G$2:$G$10001,0)),"")</f>
        <v/>
      </c>
    </row>
    <row r="1978">
      <c r="A1978">
        <f>IFERROR(INDEX('Email Cleaner'!$B$2:$B$10001,MATCH(1977,'Email Cleaner'!$G$2:$G$10001,0)),"")</f>
        <v/>
      </c>
    </row>
    <row r="1979">
      <c r="A1979">
        <f>IFERROR(INDEX('Email Cleaner'!$B$2:$B$10001,MATCH(1978,'Email Cleaner'!$G$2:$G$10001,0)),"")</f>
        <v/>
      </c>
    </row>
    <row r="1980">
      <c r="A1980">
        <f>IFERROR(INDEX('Email Cleaner'!$B$2:$B$10001,MATCH(1979,'Email Cleaner'!$G$2:$G$10001,0)),"")</f>
        <v/>
      </c>
    </row>
    <row r="1981">
      <c r="A1981">
        <f>IFERROR(INDEX('Email Cleaner'!$B$2:$B$10001,MATCH(1980,'Email Cleaner'!$G$2:$G$10001,0)),"")</f>
        <v/>
      </c>
    </row>
    <row r="1982">
      <c r="A1982">
        <f>IFERROR(INDEX('Email Cleaner'!$B$2:$B$10001,MATCH(1981,'Email Cleaner'!$G$2:$G$10001,0)),"")</f>
        <v/>
      </c>
    </row>
    <row r="1983">
      <c r="A1983">
        <f>IFERROR(INDEX('Email Cleaner'!$B$2:$B$10001,MATCH(1982,'Email Cleaner'!$G$2:$G$10001,0)),"")</f>
        <v/>
      </c>
    </row>
    <row r="1984">
      <c r="A1984">
        <f>IFERROR(INDEX('Email Cleaner'!$B$2:$B$10001,MATCH(1983,'Email Cleaner'!$G$2:$G$10001,0)),"")</f>
        <v/>
      </c>
    </row>
    <row r="1985">
      <c r="A1985">
        <f>IFERROR(INDEX('Email Cleaner'!$B$2:$B$10001,MATCH(1984,'Email Cleaner'!$G$2:$G$10001,0)),"")</f>
        <v/>
      </c>
    </row>
    <row r="1986">
      <c r="A1986">
        <f>IFERROR(INDEX('Email Cleaner'!$B$2:$B$10001,MATCH(1985,'Email Cleaner'!$G$2:$G$10001,0)),"")</f>
        <v/>
      </c>
    </row>
    <row r="1987">
      <c r="A1987">
        <f>IFERROR(INDEX('Email Cleaner'!$B$2:$B$10001,MATCH(1986,'Email Cleaner'!$G$2:$G$10001,0)),"")</f>
        <v/>
      </c>
    </row>
    <row r="1988">
      <c r="A1988">
        <f>IFERROR(INDEX('Email Cleaner'!$B$2:$B$10001,MATCH(1987,'Email Cleaner'!$G$2:$G$10001,0)),"")</f>
        <v/>
      </c>
    </row>
    <row r="1989">
      <c r="A1989">
        <f>IFERROR(INDEX('Email Cleaner'!$B$2:$B$10001,MATCH(1988,'Email Cleaner'!$G$2:$G$10001,0)),"")</f>
        <v/>
      </c>
    </row>
    <row r="1990">
      <c r="A1990">
        <f>IFERROR(INDEX('Email Cleaner'!$B$2:$B$10001,MATCH(1989,'Email Cleaner'!$G$2:$G$10001,0)),"")</f>
        <v/>
      </c>
    </row>
    <row r="1991">
      <c r="A1991">
        <f>IFERROR(INDEX('Email Cleaner'!$B$2:$B$10001,MATCH(1990,'Email Cleaner'!$G$2:$G$10001,0)),"")</f>
        <v/>
      </c>
    </row>
    <row r="1992">
      <c r="A1992">
        <f>IFERROR(INDEX('Email Cleaner'!$B$2:$B$10001,MATCH(1991,'Email Cleaner'!$G$2:$G$10001,0)),"")</f>
        <v/>
      </c>
    </row>
    <row r="1993">
      <c r="A1993">
        <f>IFERROR(INDEX('Email Cleaner'!$B$2:$B$10001,MATCH(1992,'Email Cleaner'!$G$2:$G$10001,0)),"")</f>
        <v/>
      </c>
    </row>
    <row r="1994">
      <c r="A1994">
        <f>IFERROR(INDEX('Email Cleaner'!$B$2:$B$10001,MATCH(1993,'Email Cleaner'!$G$2:$G$10001,0)),"")</f>
        <v/>
      </c>
    </row>
    <row r="1995">
      <c r="A1995">
        <f>IFERROR(INDEX('Email Cleaner'!$B$2:$B$10001,MATCH(1994,'Email Cleaner'!$G$2:$G$10001,0)),"")</f>
        <v/>
      </c>
    </row>
    <row r="1996">
      <c r="A1996">
        <f>IFERROR(INDEX('Email Cleaner'!$B$2:$B$10001,MATCH(1995,'Email Cleaner'!$G$2:$G$10001,0)),"")</f>
        <v/>
      </c>
    </row>
    <row r="1997">
      <c r="A1997">
        <f>IFERROR(INDEX('Email Cleaner'!$B$2:$B$10001,MATCH(1996,'Email Cleaner'!$G$2:$G$10001,0)),"")</f>
        <v/>
      </c>
    </row>
    <row r="1998">
      <c r="A1998">
        <f>IFERROR(INDEX('Email Cleaner'!$B$2:$B$10001,MATCH(1997,'Email Cleaner'!$G$2:$G$10001,0)),"")</f>
        <v/>
      </c>
    </row>
    <row r="1999">
      <c r="A1999">
        <f>IFERROR(INDEX('Email Cleaner'!$B$2:$B$10001,MATCH(1998,'Email Cleaner'!$G$2:$G$10001,0)),"")</f>
        <v/>
      </c>
    </row>
    <row r="2000">
      <c r="A2000">
        <f>IFERROR(INDEX('Email Cleaner'!$B$2:$B$10001,MATCH(1999,'Email Cleaner'!$G$2:$G$10001,0)),"")</f>
        <v/>
      </c>
    </row>
    <row r="2001">
      <c r="A2001">
        <f>IFERROR(INDEX('Email Cleaner'!$B$2:$B$10001,MATCH(2000,'Email Cleaner'!$G$2:$G$10001,0)),"")</f>
        <v/>
      </c>
    </row>
    <row r="2002">
      <c r="A2002">
        <f>IFERROR(INDEX('Email Cleaner'!$B$2:$B$10001,MATCH(2001,'Email Cleaner'!$G$2:$G$10001,0)),"")</f>
        <v/>
      </c>
    </row>
    <row r="2003">
      <c r="A2003">
        <f>IFERROR(INDEX('Email Cleaner'!$B$2:$B$10001,MATCH(2002,'Email Cleaner'!$G$2:$G$10001,0)),"")</f>
        <v/>
      </c>
    </row>
    <row r="2004">
      <c r="A2004">
        <f>IFERROR(INDEX('Email Cleaner'!$B$2:$B$10001,MATCH(2003,'Email Cleaner'!$G$2:$G$10001,0)),"")</f>
        <v/>
      </c>
    </row>
    <row r="2005">
      <c r="A2005">
        <f>IFERROR(INDEX('Email Cleaner'!$B$2:$B$10001,MATCH(2004,'Email Cleaner'!$G$2:$G$10001,0)),"")</f>
        <v/>
      </c>
    </row>
    <row r="2006">
      <c r="A2006">
        <f>IFERROR(INDEX('Email Cleaner'!$B$2:$B$10001,MATCH(2005,'Email Cleaner'!$G$2:$G$10001,0)),"")</f>
        <v/>
      </c>
    </row>
    <row r="2007">
      <c r="A2007">
        <f>IFERROR(INDEX('Email Cleaner'!$B$2:$B$10001,MATCH(2006,'Email Cleaner'!$G$2:$G$10001,0)),"")</f>
        <v/>
      </c>
    </row>
    <row r="2008">
      <c r="A2008">
        <f>IFERROR(INDEX('Email Cleaner'!$B$2:$B$10001,MATCH(2007,'Email Cleaner'!$G$2:$G$10001,0)),"")</f>
        <v/>
      </c>
    </row>
    <row r="2009">
      <c r="A2009">
        <f>IFERROR(INDEX('Email Cleaner'!$B$2:$B$10001,MATCH(2008,'Email Cleaner'!$G$2:$G$10001,0)),"")</f>
        <v/>
      </c>
    </row>
    <row r="2010">
      <c r="A2010">
        <f>IFERROR(INDEX('Email Cleaner'!$B$2:$B$10001,MATCH(2009,'Email Cleaner'!$G$2:$G$10001,0)),"")</f>
        <v/>
      </c>
    </row>
    <row r="2011">
      <c r="A2011">
        <f>IFERROR(INDEX('Email Cleaner'!$B$2:$B$10001,MATCH(2010,'Email Cleaner'!$G$2:$G$10001,0)),"")</f>
        <v/>
      </c>
    </row>
    <row r="2012">
      <c r="A2012">
        <f>IFERROR(INDEX('Email Cleaner'!$B$2:$B$10001,MATCH(2011,'Email Cleaner'!$G$2:$G$10001,0)),"")</f>
        <v/>
      </c>
    </row>
    <row r="2013">
      <c r="A2013">
        <f>IFERROR(INDEX('Email Cleaner'!$B$2:$B$10001,MATCH(2012,'Email Cleaner'!$G$2:$G$10001,0)),"")</f>
        <v/>
      </c>
    </row>
    <row r="2014">
      <c r="A2014">
        <f>IFERROR(INDEX('Email Cleaner'!$B$2:$B$10001,MATCH(2013,'Email Cleaner'!$G$2:$G$10001,0)),"")</f>
        <v/>
      </c>
    </row>
    <row r="2015">
      <c r="A2015">
        <f>IFERROR(INDEX('Email Cleaner'!$B$2:$B$10001,MATCH(2014,'Email Cleaner'!$G$2:$G$10001,0)),"")</f>
        <v/>
      </c>
    </row>
    <row r="2016">
      <c r="A2016">
        <f>IFERROR(INDEX('Email Cleaner'!$B$2:$B$10001,MATCH(2015,'Email Cleaner'!$G$2:$G$10001,0)),"")</f>
        <v/>
      </c>
    </row>
    <row r="2017">
      <c r="A2017">
        <f>IFERROR(INDEX('Email Cleaner'!$B$2:$B$10001,MATCH(2016,'Email Cleaner'!$G$2:$G$10001,0)),"")</f>
        <v/>
      </c>
    </row>
    <row r="2018">
      <c r="A2018">
        <f>IFERROR(INDEX('Email Cleaner'!$B$2:$B$10001,MATCH(2017,'Email Cleaner'!$G$2:$G$10001,0)),"")</f>
        <v/>
      </c>
    </row>
    <row r="2019">
      <c r="A2019">
        <f>IFERROR(INDEX('Email Cleaner'!$B$2:$B$10001,MATCH(2018,'Email Cleaner'!$G$2:$G$10001,0)),"")</f>
        <v/>
      </c>
    </row>
    <row r="2020">
      <c r="A2020">
        <f>IFERROR(INDEX('Email Cleaner'!$B$2:$B$10001,MATCH(2019,'Email Cleaner'!$G$2:$G$10001,0)),"")</f>
        <v/>
      </c>
    </row>
    <row r="2021">
      <c r="A2021">
        <f>IFERROR(INDEX('Email Cleaner'!$B$2:$B$10001,MATCH(2020,'Email Cleaner'!$G$2:$G$10001,0)),"")</f>
        <v/>
      </c>
    </row>
    <row r="2022">
      <c r="A2022">
        <f>IFERROR(INDEX('Email Cleaner'!$B$2:$B$10001,MATCH(2021,'Email Cleaner'!$G$2:$G$10001,0)),"")</f>
        <v/>
      </c>
    </row>
    <row r="2023">
      <c r="A2023">
        <f>IFERROR(INDEX('Email Cleaner'!$B$2:$B$10001,MATCH(2022,'Email Cleaner'!$G$2:$G$10001,0)),"")</f>
        <v/>
      </c>
    </row>
    <row r="2024">
      <c r="A2024">
        <f>IFERROR(INDEX('Email Cleaner'!$B$2:$B$10001,MATCH(2023,'Email Cleaner'!$G$2:$G$10001,0)),"")</f>
        <v/>
      </c>
    </row>
    <row r="2025">
      <c r="A2025">
        <f>IFERROR(INDEX('Email Cleaner'!$B$2:$B$10001,MATCH(2024,'Email Cleaner'!$G$2:$G$10001,0)),"")</f>
        <v/>
      </c>
    </row>
    <row r="2026">
      <c r="A2026">
        <f>IFERROR(INDEX('Email Cleaner'!$B$2:$B$10001,MATCH(2025,'Email Cleaner'!$G$2:$G$10001,0)),"")</f>
        <v/>
      </c>
    </row>
    <row r="2027">
      <c r="A2027">
        <f>IFERROR(INDEX('Email Cleaner'!$B$2:$B$10001,MATCH(2026,'Email Cleaner'!$G$2:$G$10001,0)),"")</f>
        <v/>
      </c>
    </row>
    <row r="2028">
      <c r="A2028">
        <f>IFERROR(INDEX('Email Cleaner'!$B$2:$B$10001,MATCH(2027,'Email Cleaner'!$G$2:$G$10001,0)),"")</f>
        <v/>
      </c>
    </row>
    <row r="2029">
      <c r="A2029">
        <f>IFERROR(INDEX('Email Cleaner'!$B$2:$B$10001,MATCH(2028,'Email Cleaner'!$G$2:$G$10001,0)),"")</f>
        <v/>
      </c>
    </row>
    <row r="2030">
      <c r="A2030">
        <f>IFERROR(INDEX('Email Cleaner'!$B$2:$B$10001,MATCH(2029,'Email Cleaner'!$G$2:$G$10001,0)),"")</f>
        <v/>
      </c>
    </row>
    <row r="2031">
      <c r="A2031">
        <f>IFERROR(INDEX('Email Cleaner'!$B$2:$B$10001,MATCH(2030,'Email Cleaner'!$G$2:$G$10001,0)),"")</f>
        <v/>
      </c>
    </row>
    <row r="2032">
      <c r="A2032">
        <f>IFERROR(INDEX('Email Cleaner'!$B$2:$B$10001,MATCH(2031,'Email Cleaner'!$G$2:$G$10001,0)),"")</f>
        <v/>
      </c>
    </row>
    <row r="2033">
      <c r="A2033">
        <f>IFERROR(INDEX('Email Cleaner'!$B$2:$B$10001,MATCH(2032,'Email Cleaner'!$G$2:$G$10001,0)),"")</f>
        <v/>
      </c>
    </row>
    <row r="2034">
      <c r="A2034">
        <f>IFERROR(INDEX('Email Cleaner'!$B$2:$B$10001,MATCH(2033,'Email Cleaner'!$G$2:$G$10001,0)),"")</f>
        <v/>
      </c>
    </row>
    <row r="2035">
      <c r="A2035">
        <f>IFERROR(INDEX('Email Cleaner'!$B$2:$B$10001,MATCH(2034,'Email Cleaner'!$G$2:$G$10001,0)),"")</f>
        <v/>
      </c>
    </row>
    <row r="2036">
      <c r="A2036">
        <f>IFERROR(INDEX('Email Cleaner'!$B$2:$B$10001,MATCH(2035,'Email Cleaner'!$G$2:$G$10001,0)),"")</f>
        <v/>
      </c>
    </row>
    <row r="2037">
      <c r="A2037">
        <f>IFERROR(INDEX('Email Cleaner'!$B$2:$B$10001,MATCH(2036,'Email Cleaner'!$G$2:$G$10001,0)),"")</f>
        <v/>
      </c>
    </row>
    <row r="2038">
      <c r="A2038">
        <f>IFERROR(INDEX('Email Cleaner'!$B$2:$B$10001,MATCH(2037,'Email Cleaner'!$G$2:$G$10001,0)),"")</f>
        <v/>
      </c>
    </row>
    <row r="2039">
      <c r="A2039">
        <f>IFERROR(INDEX('Email Cleaner'!$B$2:$B$10001,MATCH(2038,'Email Cleaner'!$G$2:$G$10001,0)),"")</f>
        <v/>
      </c>
    </row>
    <row r="2040">
      <c r="A2040">
        <f>IFERROR(INDEX('Email Cleaner'!$B$2:$B$10001,MATCH(2039,'Email Cleaner'!$G$2:$G$10001,0)),"")</f>
        <v/>
      </c>
    </row>
    <row r="2041">
      <c r="A2041">
        <f>IFERROR(INDEX('Email Cleaner'!$B$2:$B$10001,MATCH(2040,'Email Cleaner'!$G$2:$G$10001,0)),"")</f>
        <v/>
      </c>
    </row>
    <row r="2042">
      <c r="A2042">
        <f>IFERROR(INDEX('Email Cleaner'!$B$2:$B$10001,MATCH(2041,'Email Cleaner'!$G$2:$G$10001,0)),"")</f>
        <v/>
      </c>
    </row>
    <row r="2043">
      <c r="A2043">
        <f>IFERROR(INDEX('Email Cleaner'!$B$2:$B$10001,MATCH(2042,'Email Cleaner'!$G$2:$G$10001,0)),"")</f>
        <v/>
      </c>
    </row>
    <row r="2044">
      <c r="A2044">
        <f>IFERROR(INDEX('Email Cleaner'!$B$2:$B$10001,MATCH(2043,'Email Cleaner'!$G$2:$G$10001,0)),"")</f>
        <v/>
      </c>
    </row>
    <row r="2045">
      <c r="A2045">
        <f>IFERROR(INDEX('Email Cleaner'!$B$2:$B$10001,MATCH(2044,'Email Cleaner'!$G$2:$G$10001,0)),"")</f>
        <v/>
      </c>
    </row>
    <row r="2046">
      <c r="A2046">
        <f>IFERROR(INDEX('Email Cleaner'!$B$2:$B$10001,MATCH(2045,'Email Cleaner'!$G$2:$G$10001,0)),"")</f>
        <v/>
      </c>
    </row>
    <row r="2047">
      <c r="A2047">
        <f>IFERROR(INDEX('Email Cleaner'!$B$2:$B$10001,MATCH(2046,'Email Cleaner'!$G$2:$G$10001,0)),"")</f>
        <v/>
      </c>
    </row>
    <row r="2048">
      <c r="A2048">
        <f>IFERROR(INDEX('Email Cleaner'!$B$2:$B$10001,MATCH(2047,'Email Cleaner'!$G$2:$G$10001,0)),"")</f>
        <v/>
      </c>
    </row>
    <row r="2049">
      <c r="A2049">
        <f>IFERROR(INDEX('Email Cleaner'!$B$2:$B$10001,MATCH(2048,'Email Cleaner'!$G$2:$G$10001,0)),"")</f>
        <v/>
      </c>
    </row>
    <row r="2050">
      <c r="A2050">
        <f>IFERROR(INDEX('Email Cleaner'!$B$2:$B$10001,MATCH(2049,'Email Cleaner'!$G$2:$G$10001,0)),"")</f>
        <v/>
      </c>
    </row>
    <row r="2051">
      <c r="A2051">
        <f>IFERROR(INDEX('Email Cleaner'!$B$2:$B$10001,MATCH(2050,'Email Cleaner'!$G$2:$G$10001,0)),"")</f>
        <v/>
      </c>
    </row>
    <row r="2052">
      <c r="A2052">
        <f>IFERROR(INDEX('Email Cleaner'!$B$2:$B$10001,MATCH(2051,'Email Cleaner'!$G$2:$G$10001,0)),"")</f>
        <v/>
      </c>
    </row>
    <row r="2053">
      <c r="A2053">
        <f>IFERROR(INDEX('Email Cleaner'!$B$2:$B$10001,MATCH(2052,'Email Cleaner'!$G$2:$G$10001,0)),"")</f>
        <v/>
      </c>
    </row>
    <row r="2054">
      <c r="A2054">
        <f>IFERROR(INDEX('Email Cleaner'!$B$2:$B$10001,MATCH(2053,'Email Cleaner'!$G$2:$G$10001,0)),"")</f>
        <v/>
      </c>
    </row>
    <row r="2055">
      <c r="A2055">
        <f>IFERROR(INDEX('Email Cleaner'!$B$2:$B$10001,MATCH(2054,'Email Cleaner'!$G$2:$G$10001,0)),"")</f>
        <v/>
      </c>
    </row>
    <row r="2056">
      <c r="A2056">
        <f>IFERROR(INDEX('Email Cleaner'!$B$2:$B$10001,MATCH(2055,'Email Cleaner'!$G$2:$G$10001,0)),"")</f>
        <v/>
      </c>
    </row>
    <row r="2057">
      <c r="A2057">
        <f>IFERROR(INDEX('Email Cleaner'!$B$2:$B$10001,MATCH(2056,'Email Cleaner'!$G$2:$G$10001,0)),"")</f>
        <v/>
      </c>
    </row>
    <row r="2058">
      <c r="A2058">
        <f>IFERROR(INDEX('Email Cleaner'!$B$2:$B$10001,MATCH(2057,'Email Cleaner'!$G$2:$G$10001,0)),"")</f>
        <v/>
      </c>
    </row>
    <row r="2059">
      <c r="A2059">
        <f>IFERROR(INDEX('Email Cleaner'!$B$2:$B$10001,MATCH(2058,'Email Cleaner'!$G$2:$G$10001,0)),"")</f>
        <v/>
      </c>
    </row>
    <row r="2060">
      <c r="A2060">
        <f>IFERROR(INDEX('Email Cleaner'!$B$2:$B$10001,MATCH(2059,'Email Cleaner'!$G$2:$G$10001,0)),"")</f>
        <v/>
      </c>
    </row>
    <row r="2061">
      <c r="A2061">
        <f>IFERROR(INDEX('Email Cleaner'!$B$2:$B$10001,MATCH(2060,'Email Cleaner'!$G$2:$G$10001,0)),"")</f>
        <v/>
      </c>
    </row>
    <row r="2062">
      <c r="A2062">
        <f>IFERROR(INDEX('Email Cleaner'!$B$2:$B$10001,MATCH(2061,'Email Cleaner'!$G$2:$G$10001,0)),"")</f>
        <v/>
      </c>
    </row>
    <row r="2063">
      <c r="A2063">
        <f>IFERROR(INDEX('Email Cleaner'!$B$2:$B$10001,MATCH(2062,'Email Cleaner'!$G$2:$G$10001,0)),"")</f>
        <v/>
      </c>
    </row>
    <row r="2064">
      <c r="A2064">
        <f>IFERROR(INDEX('Email Cleaner'!$B$2:$B$10001,MATCH(2063,'Email Cleaner'!$G$2:$G$10001,0)),"")</f>
        <v/>
      </c>
    </row>
    <row r="2065">
      <c r="A2065">
        <f>IFERROR(INDEX('Email Cleaner'!$B$2:$B$10001,MATCH(2064,'Email Cleaner'!$G$2:$G$10001,0)),"")</f>
        <v/>
      </c>
    </row>
    <row r="2066">
      <c r="A2066">
        <f>IFERROR(INDEX('Email Cleaner'!$B$2:$B$10001,MATCH(2065,'Email Cleaner'!$G$2:$G$10001,0)),"")</f>
        <v/>
      </c>
    </row>
    <row r="2067">
      <c r="A2067">
        <f>IFERROR(INDEX('Email Cleaner'!$B$2:$B$10001,MATCH(2066,'Email Cleaner'!$G$2:$G$10001,0)),"")</f>
        <v/>
      </c>
    </row>
    <row r="2068">
      <c r="A2068">
        <f>IFERROR(INDEX('Email Cleaner'!$B$2:$B$10001,MATCH(2067,'Email Cleaner'!$G$2:$G$10001,0)),"")</f>
        <v/>
      </c>
    </row>
    <row r="2069">
      <c r="A2069">
        <f>IFERROR(INDEX('Email Cleaner'!$B$2:$B$10001,MATCH(2068,'Email Cleaner'!$G$2:$G$10001,0)),"")</f>
        <v/>
      </c>
    </row>
    <row r="2070">
      <c r="A2070">
        <f>IFERROR(INDEX('Email Cleaner'!$B$2:$B$10001,MATCH(2069,'Email Cleaner'!$G$2:$G$10001,0)),"")</f>
        <v/>
      </c>
    </row>
    <row r="2071">
      <c r="A2071">
        <f>IFERROR(INDEX('Email Cleaner'!$B$2:$B$10001,MATCH(2070,'Email Cleaner'!$G$2:$G$10001,0)),"")</f>
        <v/>
      </c>
    </row>
    <row r="2072">
      <c r="A2072">
        <f>IFERROR(INDEX('Email Cleaner'!$B$2:$B$10001,MATCH(2071,'Email Cleaner'!$G$2:$G$10001,0)),"")</f>
        <v/>
      </c>
    </row>
    <row r="2073">
      <c r="A2073">
        <f>IFERROR(INDEX('Email Cleaner'!$B$2:$B$10001,MATCH(2072,'Email Cleaner'!$G$2:$G$10001,0)),"")</f>
        <v/>
      </c>
    </row>
    <row r="2074">
      <c r="A2074">
        <f>IFERROR(INDEX('Email Cleaner'!$B$2:$B$10001,MATCH(2073,'Email Cleaner'!$G$2:$G$10001,0)),"")</f>
        <v/>
      </c>
    </row>
    <row r="2075">
      <c r="A2075">
        <f>IFERROR(INDEX('Email Cleaner'!$B$2:$B$10001,MATCH(2074,'Email Cleaner'!$G$2:$G$10001,0)),"")</f>
        <v/>
      </c>
    </row>
    <row r="2076">
      <c r="A2076">
        <f>IFERROR(INDEX('Email Cleaner'!$B$2:$B$10001,MATCH(2075,'Email Cleaner'!$G$2:$G$10001,0)),"")</f>
        <v/>
      </c>
    </row>
    <row r="2077">
      <c r="A2077">
        <f>IFERROR(INDEX('Email Cleaner'!$B$2:$B$10001,MATCH(2076,'Email Cleaner'!$G$2:$G$10001,0)),"")</f>
        <v/>
      </c>
    </row>
    <row r="2078">
      <c r="A2078">
        <f>IFERROR(INDEX('Email Cleaner'!$B$2:$B$10001,MATCH(2077,'Email Cleaner'!$G$2:$G$10001,0)),"")</f>
        <v/>
      </c>
    </row>
    <row r="2079">
      <c r="A2079">
        <f>IFERROR(INDEX('Email Cleaner'!$B$2:$B$10001,MATCH(2078,'Email Cleaner'!$G$2:$G$10001,0)),"")</f>
        <v/>
      </c>
    </row>
    <row r="2080">
      <c r="A2080">
        <f>IFERROR(INDEX('Email Cleaner'!$B$2:$B$10001,MATCH(2079,'Email Cleaner'!$G$2:$G$10001,0)),"")</f>
        <v/>
      </c>
    </row>
    <row r="2081">
      <c r="A2081">
        <f>IFERROR(INDEX('Email Cleaner'!$B$2:$B$10001,MATCH(2080,'Email Cleaner'!$G$2:$G$10001,0)),"")</f>
        <v/>
      </c>
    </row>
    <row r="2082">
      <c r="A2082">
        <f>IFERROR(INDEX('Email Cleaner'!$B$2:$B$10001,MATCH(2081,'Email Cleaner'!$G$2:$G$10001,0)),"")</f>
        <v/>
      </c>
    </row>
    <row r="2083">
      <c r="A2083">
        <f>IFERROR(INDEX('Email Cleaner'!$B$2:$B$10001,MATCH(2082,'Email Cleaner'!$G$2:$G$10001,0)),"")</f>
        <v/>
      </c>
    </row>
    <row r="2084">
      <c r="A2084">
        <f>IFERROR(INDEX('Email Cleaner'!$B$2:$B$10001,MATCH(2083,'Email Cleaner'!$G$2:$G$10001,0)),"")</f>
        <v/>
      </c>
    </row>
    <row r="2085">
      <c r="A2085">
        <f>IFERROR(INDEX('Email Cleaner'!$B$2:$B$10001,MATCH(2084,'Email Cleaner'!$G$2:$G$10001,0)),"")</f>
        <v/>
      </c>
    </row>
    <row r="2086">
      <c r="A2086">
        <f>IFERROR(INDEX('Email Cleaner'!$B$2:$B$10001,MATCH(2085,'Email Cleaner'!$G$2:$G$10001,0)),"")</f>
        <v/>
      </c>
    </row>
    <row r="2087">
      <c r="A2087">
        <f>IFERROR(INDEX('Email Cleaner'!$B$2:$B$10001,MATCH(2086,'Email Cleaner'!$G$2:$G$10001,0)),"")</f>
        <v/>
      </c>
    </row>
    <row r="2088">
      <c r="A2088">
        <f>IFERROR(INDEX('Email Cleaner'!$B$2:$B$10001,MATCH(2087,'Email Cleaner'!$G$2:$G$10001,0)),"")</f>
        <v/>
      </c>
    </row>
    <row r="2089">
      <c r="A2089">
        <f>IFERROR(INDEX('Email Cleaner'!$B$2:$B$10001,MATCH(2088,'Email Cleaner'!$G$2:$G$10001,0)),"")</f>
        <v/>
      </c>
    </row>
    <row r="2090">
      <c r="A2090">
        <f>IFERROR(INDEX('Email Cleaner'!$B$2:$B$10001,MATCH(2089,'Email Cleaner'!$G$2:$G$10001,0)),"")</f>
        <v/>
      </c>
    </row>
    <row r="2091">
      <c r="A2091">
        <f>IFERROR(INDEX('Email Cleaner'!$B$2:$B$10001,MATCH(2090,'Email Cleaner'!$G$2:$G$10001,0)),"")</f>
        <v/>
      </c>
    </row>
    <row r="2092">
      <c r="A2092">
        <f>IFERROR(INDEX('Email Cleaner'!$B$2:$B$10001,MATCH(2091,'Email Cleaner'!$G$2:$G$10001,0)),"")</f>
        <v/>
      </c>
    </row>
    <row r="2093">
      <c r="A2093">
        <f>IFERROR(INDEX('Email Cleaner'!$B$2:$B$10001,MATCH(2092,'Email Cleaner'!$G$2:$G$10001,0)),"")</f>
        <v/>
      </c>
    </row>
    <row r="2094">
      <c r="A2094">
        <f>IFERROR(INDEX('Email Cleaner'!$B$2:$B$10001,MATCH(2093,'Email Cleaner'!$G$2:$G$10001,0)),"")</f>
        <v/>
      </c>
    </row>
    <row r="2095">
      <c r="A2095">
        <f>IFERROR(INDEX('Email Cleaner'!$B$2:$B$10001,MATCH(2094,'Email Cleaner'!$G$2:$G$10001,0)),"")</f>
        <v/>
      </c>
    </row>
    <row r="2096">
      <c r="A2096">
        <f>IFERROR(INDEX('Email Cleaner'!$B$2:$B$10001,MATCH(2095,'Email Cleaner'!$G$2:$G$10001,0)),"")</f>
        <v/>
      </c>
    </row>
    <row r="2097">
      <c r="A2097">
        <f>IFERROR(INDEX('Email Cleaner'!$B$2:$B$10001,MATCH(2096,'Email Cleaner'!$G$2:$G$10001,0)),"")</f>
        <v/>
      </c>
    </row>
    <row r="2098">
      <c r="A2098">
        <f>IFERROR(INDEX('Email Cleaner'!$B$2:$B$10001,MATCH(2097,'Email Cleaner'!$G$2:$G$10001,0)),"")</f>
        <v/>
      </c>
    </row>
    <row r="2099">
      <c r="A2099">
        <f>IFERROR(INDEX('Email Cleaner'!$B$2:$B$10001,MATCH(2098,'Email Cleaner'!$G$2:$G$10001,0)),"")</f>
        <v/>
      </c>
    </row>
    <row r="2100">
      <c r="A2100">
        <f>IFERROR(INDEX('Email Cleaner'!$B$2:$B$10001,MATCH(2099,'Email Cleaner'!$G$2:$G$10001,0)),"")</f>
        <v/>
      </c>
    </row>
    <row r="2101">
      <c r="A2101">
        <f>IFERROR(INDEX('Email Cleaner'!$B$2:$B$10001,MATCH(2100,'Email Cleaner'!$G$2:$G$10001,0)),"")</f>
        <v/>
      </c>
    </row>
    <row r="2102">
      <c r="A2102">
        <f>IFERROR(INDEX('Email Cleaner'!$B$2:$B$10001,MATCH(2101,'Email Cleaner'!$G$2:$G$10001,0)),"")</f>
        <v/>
      </c>
    </row>
    <row r="2103">
      <c r="A2103">
        <f>IFERROR(INDEX('Email Cleaner'!$B$2:$B$10001,MATCH(2102,'Email Cleaner'!$G$2:$G$10001,0)),"")</f>
        <v/>
      </c>
    </row>
    <row r="2104">
      <c r="A2104">
        <f>IFERROR(INDEX('Email Cleaner'!$B$2:$B$10001,MATCH(2103,'Email Cleaner'!$G$2:$G$10001,0)),"")</f>
        <v/>
      </c>
    </row>
    <row r="2105">
      <c r="A2105">
        <f>IFERROR(INDEX('Email Cleaner'!$B$2:$B$10001,MATCH(2104,'Email Cleaner'!$G$2:$G$10001,0)),"")</f>
        <v/>
      </c>
    </row>
    <row r="2106">
      <c r="A2106">
        <f>IFERROR(INDEX('Email Cleaner'!$B$2:$B$10001,MATCH(2105,'Email Cleaner'!$G$2:$G$10001,0)),"")</f>
        <v/>
      </c>
    </row>
    <row r="2107">
      <c r="A2107">
        <f>IFERROR(INDEX('Email Cleaner'!$B$2:$B$10001,MATCH(2106,'Email Cleaner'!$G$2:$G$10001,0)),"")</f>
        <v/>
      </c>
    </row>
    <row r="2108">
      <c r="A2108">
        <f>IFERROR(INDEX('Email Cleaner'!$B$2:$B$10001,MATCH(2107,'Email Cleaner'!$G$2:$G$10001,0)),"")</f>
        <v/>
      </c>
    </row>
    <row r="2109">
      <c r="A2109">
        <f>IFERROR(INDEX('Email Cleaner'!$B$2:$B$10001,MATCH(2108,'Email Cleaner'!$G$2:$G$10001,0)),"")</f>
        <v/>
      </c>
    </row>
    <row r="2110">
      <c r="A2110">
        <f>IFERROR(INDEX('Email Cleaner'!$B$2:$B$10001,MATCH(2109,'Email Cleaner'!$G$2:$G$10001,0)),"")</f>
        <v/>
      </c>
    </row>
    <row r="2111">
      <c r="A2111">
        <f>IFERROR(INDEX('Email Cleaner'!$B$2:$B$10001,MATCH(2110,'Email Cleaner'!$G$2:$G$10001,0)),"")</f>
        <v/>
      </c>
    </row>
    <row r="2112">
      <c r="A2112">
        <f>IFERROR(INDEX('Email Cleaner'!$B$2:$B$10001,MATCH(2111,'Email Cleaner'!$G$2:$G$10001,0)),"")</f>
        <v/>
      </c>
    </row>
    <row r="2113">
      <c r="A2113">
        <f>IFERROR(INDEX('Email Cleaner'!$B$2:$B$10001,MATCH(2112,'Email Cleaner'!$G$2:$G$10001,0)),"")</f>
        <v/>
      </c>
    </row>
    <row r="2114">
      <c r="A2114">
        <f>IFERROR(INDEX('Email Cleaner'!$B$2:$B$10001,MATCH(2113,'Email Cleaner'!$G$2:$G$10001,0)),"")</f>
        <v/>
      </c>
    </row>
    <row r="2115">
      <c r="A2115">
        <f>IFERROR(INDEX('Email Cleaner'!$B$2:$B$10001,MATCH(2114,'Email Cleaner'!$G$2:$G$10001,0)),"")</f>
        <v/>
      </c>
    </row>
    <row r="2116">
      <c r="A2116">
        <f>IFERROR(INDEX('Email Cleaner'!$B$2:$B$10001,MATCH(2115,'Email Cleaner'!$G$2:$G$10001,0)),"")</f>
        <v/>
      </c>
    </row>
    <row r="2117">
      <c r="A2117">
        <f>IFERROR(INDEX('Email Cleaner'!$B$2:$B$10001,MATCH(2116,'Email Cleaner'!$G$2:$G$10001,0)),"")</f>
        <v/>
      </c>
    </row>
    <row r="2118">
      <c r="A2118">
        <f>IFERROR(INDEX('Email Cleaner'!$B$2:$B$10001,MATCH(2117,'Email Cleaner'!$G$2:$G$10001,0)),"")</f>
        <v/>
      </c>
    </row>
    <row r="2119">
      <c r="A2119">
        <f>IFERROR(INDEX('Email Cleaner'!$B$2:$B$10001,MATCH(2118,'Email Cleaner'!$G$2:$G$10001,0)),"")</f>
        <v/>
      </c>
    </row>
    <row r="2120">
      <c r="A2120">
        <f>IFERROR(INDEX('Email Cleaner'!$B$2:$B$10001,MATCH(2119,'Email Cleaner'!$G$2:$G$10001,0)),"")</f>
        <v/>
      </c>
    </row>
    <row r="2121">
      <c r="A2121">
        <f>IFERROR(INDEX('Email Cleaner'!$B$2:$B$10001,MATCH(2120,'Email Cleaner'!$G$2:$G$10001,0)),"")</f>
        <v/>
      </c>
    </row>
    <row r="2122">
      <c r="A2122">
        <f>IFERROR(INDEX('Email Cleaner'!$B$2:$B$10001,MATCH(2121,'Email Cleaner'!$G$2:$G$10001,0)),"")</f>
        <v/>
      </c>
    </row>
    <row r="2123">
      <c r="A2123">
        <f>IFERROR(INDEX('Email Cleaner'!$B$2:$B$10001,MATCH(2122,'Email Cleaner'!$G$2:$G$10001,0)),"")</f>
        <v/>
      </c>
    </row>
    <row r="2124">
      <c r="A2124">
        <f>IFERROR(INDEX('Email Cleaner'!$B$2:$B$10001,MATCH(2123,'Email Cleaner'!$G$2:$G$10001,0)),"")</f>
        <v/>
      </c>
    </row>
    <row r="2125">
      <c r="A2125">
        <f>IFERROR(INDEX('Email Cleaner'!$B$2:$B$10001,MATCH(2124,'Email Cleaner'!$G$2:$G$10001,0)),"")</f>
        <v/>
      </c>
    </row>
    <row r="2126">
      <c r="A2126">
        <f>IFERROR(INDEX('Email Cleaner'!$B$2:$B$10001,MATCH(2125,'Email Cleaner'!$G$2:$G$10001,0)),"")</f>
        <v/>
      </c>
    </row>
    <row r="2127">
      <c r="A2127">
        <f>IFERROR(INDEX('Email Cleaner'!$B$2:$B$10001,MATCH(2126,'Email Cleaner'!$G$2:$G$10001,0)),"")</f>
        <v/>
      </c>
    </row>
    <row r="2128">
      <c r="A2128">
        <f>IFERROR(INDEX('Email Cleaner'!$B$2:$B$10001,MATCH(2127,'Email Cleaner'!$G$2:$G$10001,0)),"")</f>
        <v/>
      </c>
    </row>
    <row r="2129">
      <c r="A2129">
        <f>IFERROR(INDEX('Email Cleaner'!$B$2:$B$10001,MATCH(2128,'Email Cleaner'!$G$2:$G$10001,0)),"")</f>
        <v/>
      </c>
    </row>
    <row r="2130">
      <c r="A2130">
        <f>IFERROR(INDEX('Email Cleaner'!$B$2:$B$10001,MATCH(2129,'Email Cleaner'!$G$2:$G$10001,0)),"")</f>
        <v/>
      </c>
    </row>
    <row r="2131">
      <c r="A2131">
        <f>IFERROR(INDEX('Email Cleaner'!$B$2:$B$10001,MATCH(2130,'Email Cleaner'!$G$2:$G$10001,0)),"")</f>
        <v/>
      </c>
    </row>
    <row r="2132">
      <c r="A2132">
        <f>IFERROR(INDEX('Email Cleaner'!$B$2:$B$10001,MATCH(2131,'Email Cleaner'!$G$2:$G$10001,0)),"")</f>
        <v/>
      </c>
    </row>
    <row r="2133">
      <c r="A2133">
        <f>IFERROR(INDEX('Email Cleaner'!$B$2:$B$10001,MATCH(2132,'Email Cleaner'!$G$2:$G$10001,0)),"")</f>
        <v/>
      </c>
    </row>
    <row r="2134">
      <c r="A2134">
        <f>IFERROR(INDEX('Email Cleaner'!$B$2:$B$10001,MATCH(2133,'Email Cleaner'!$G$2:$G$10001,0)),"")</f>
        <v/>
      </c>
    </row>
    <row r="2135">
      <c r="A2135">
        <f>IFERROR(INDEX('Email Cleaner'!$B$2:$B$10001,MATCH(2134,'Email Cleaner'!$G$2:$G$10001,0)),"")</f>
        <v/>
      </c>
    </row>
    <row r="2136">
      <c r="A2136">
        <f>IFERROR(INDEX('Email Cleaner'!$B$2:$B$10001,MATCH(2135,'Email Cleaner'!$G$2:$G$10001,0)),"")</f>
        <v/>
      </c>
    </row>
    <row r="2137">
      <c r="A2137">
        <f>IFERROR(INDEX('Email Cleaner'!$B$2:$B$10001,MATCH(2136,'Email Cleaner'!$G$2:$G$10001,0)),"")</f>
        <v/>
      </c>
    </row>
    <row r="2138">
      <c r="A2138">
        <f>IFERROR(INDEX('Email Cleaner'!$B$2:$B$10001,MATCH(2137,'Email Cleaner'!$G$2:$G$10001,0)),"")</f>
        <v/>
      </c>
    </row>
    <row r="2139">
      <c r="A2139">
        <f>IFERROR(INDEX('Email Cleaner'!$B$2:$B$10001,MATCH(2138,'Email Cleaner'!$G$2:$G$10001,0)),"")</f>
        <v/>
      </c>
    </row>
    <row r="2140">
      <c r="A2140">
        <f>IFERROR(INDEX('Email Cleaner'!$B$2:$B$10001,MATCH(2139,'Email Cleaner'!$G$2:$G$10001,0)),"")</f>
        <v/>
      </c>
    </row>
    <row r="2141">
      <c r="A2141">
        <f>IFERROR(INDEX('Email Cleaner'!$B$2:$B$10001,MATCH(2140,'Email Cleaner'!$G$2:$G$10001,0)),"")</f>
        <v/>
      </c>
    </row>
    <row r="2142">
      <c r="A2142">
        <f>IFERROR(INDEX('Email Cleaner'!$B$2:$B$10001,MATCH(2141,'Email Cleaner'!$G$2:$G$10001,0)),"")</f>
        <v/>
      </c>
    </row>
    <row r="2143">
      <c r="A2143">
        <f>IFERROR(INDEX('Email Cleaner'!$B$2:$B$10001,MATCH(2142,'Email Cleaner'!$G$2:$G$10001,0)),"")</f>
        <v/>
      </c>
    </row>
    <row r="2144">
      <c r="A2144">
        <f>IFERROR(INDEX('Email Cleaner'!$B$2:$B$10001,MATCH(2143,'Email Cleaner'!$G$2:$G$10001,0)),"")</f>
        <v/>
      </c>
    </row>
    <row r="2145">
      <c r="A2145">
        <f>IFERROR(INDEX('Email Cleaner'!$B$2:$B$10001,MATCH(2144,'Email Cleaner'!$G$2:$G$10001,0)),"")</f>
        <v/>
      </c>
    </row>
    <row r="2146">
      <c r="A2146">
        <f>IFERROR(INDEX('Email Cleaner'!$B$2:$B$10001,MATCH(2145,'Email Cleaner'!$G$2:$G$10001,0)),"")</f>
        <v/>
      </c>
    </row>
    <row r="2147">
      <c r="A2147">
        <f>IFERROR(INDEX('Email Cleaner'!$B$2:$B$10001,MATCH(2146,'Email Cleaner'!$G$2:$G$10001,0)),"")</f>
        <v/>
      </c>
    </row>
    <row r="2148">
      <c r="A2148">
        <f>IFERROR(INDEX('Email Cleaner'!$B$2:$B$10001,MATCH(2147,'Email Cleaner'!$G$2:$G$10001,0)),"")</f>
        <v/>
      </c>
    </row>
    <row r="2149">
      <c r="A2149">
        <f>IFERROR(INDEX('Email Cleaner'!$B$2:$B$10001,MATCH(2148,'Email Cleaner'!$G$2:$G$10001,0)),"")</f>
        <v/>
      </c>
    </row>
    <row r="2150">
      <c r="A2150">
        <f>IFERROR(INDEX('Email Cleaner'!$B$2:$B$10001,MATCH(2149,'Email Cleaner'!$G$2:$G$10001,0)),"")</f>
        <v/>
      </c>
    </row>
    <row r="2151">
      <c r="A2151">
        <f>IFERROR(INDEX('Email Cleaner'!$B$2:$B$10001,MATCH(2150,'Email Cleaner'!$G$2:$G$10001,0)),"")</f>
        <v/>
      </c>
    </row>
    <row r="2152">
      <c r="A2152">
        <f>IFERROR(INDEX('Email Cleaner'!$B$2:$B$10001,MATCH(2151,'Email Cleaner'!$G$2:$G$10001,0)),"")</f>
        <v/>
      </c>
    </row>
    <row r="2153">
      <c r="A2153">
        <f>IFERROR(INDEX('Email Cleaner'!$B$2:$B$10001,MATCH(2152,'Email Cleaner'!$G$2:$G$10001,0)),"")</f>
        <v/>
      </c>
    </row>
    <row r="2154">
      <c r="A2154">
        <f>IFERROR(INDEX('Email Cleaner'!$B$2:$B$10001,MATCH(2153,'Email Cleaner'!$G$2:$G$10001,0)),"")</f>
        <v/>
      </c>
    </row>
    <row r="2155">
      <c r="A2155">
        <f>IFERROR(INDEX('Email Cleaner'!$B$2:$B$10001,MATCH(2154,'Email Cleaner'!$G$2:$G$10001,0)),"")</f>
        <v/>
      </c>
    </row>
    <row r="2156">
      <c r="A2156">
        <f>IFERROR(INDEX('Email Cleaner'!$B$2:$B$10001,MATCH(2155,'Email Cleaner'!$G$2:$G$10001,0)),"")</f>
        <v/>
      </c>
    </row>
    <row r="2157">
      <c r="A2157">
        <f>IFERROR(INDEX('Email Cleaner'!$B$2:$B$10001,MATCH(2156,'Email Cleaner'!$G$2:$G$10001,0)),"")</f>
        <v/>
      </c>
    </row>
    <row r="2158">
      <c r="A2158">
        <f>IFERROR(INDEX('Email Cleaner'!$B$2:$B$10001,MATCH(2157,'Email Cleaner'!$G$2:$G$10001,0)),"")</f>
        <v/>
      </c>
    </row>
    <row r="2159">
      <c r="A2159">
        <f>IFERROR(INDEX('Email Cleaner'!$B$2:$B$10001,MATCH(2158,'Email Cleaner'!$G$2:$G$10001,0)),"")</f>
        <v/>
      </c>
    </row>
    <row r="2160">
      <c r="A2160">
        <f>IFERROR(INDEX('Email Cleaner'!$B$2:$B$10001,MATCH(2159,'Email Cleaner'!$G$2:$G$10001,0)),"")</f>
        <v/>
      </c>
    </row>
    <row r="2161">
      <c r="A2161">
        <f>IFERROR(INDEX('Email Cleaner'!$B$2:$B$10001,MATCH(2160,'Email Cleaner'!$G$2:$G$10001,0)),"")</f>
        <v/>
      </c>
    </row>
    <row r="2162">
      <c r="A2162">
        <f>IFERROR(INDEX('Email Cleaner'!$B$2:$B$10001,MATCH(2161,'Email Cleaner'!$G$2:$G$10001,0)),"")</f>
        <v/>
      </c>
    </row>
    <row r="2163">
      <c r="A2163">
        <f>IFERROR(INDEX('Email Cleaner'!$B$2:$B$10001,MATCH(2162,'Email Cleaner'!$G$2:$G$10001,0)),"")</f>
        <v/>
      </c>
    </row>
    <row r="2164">
      <c r="A2164">
        <f>IFERROR(INDEX('Email Cleaner'!$B$2:$B$10001,MATCH(2163,'Email Cleaner'!$G$2:$G$10001,0)),"")</f>
        <v/>
      </c>
    </row>
    <row r="2165">
      <c r="A2165">
        <f>IFERROR(INDEX('Email Cleaner'!$B$2:$B$10001,MATCH(2164,'Email Cleaner'!$G$2:$G$10001,0)),"")</f>
        <v/>
      </c>
    </row>
    <row r="2166">
      <c r="A2166">
        <f>IFERROR(INDEX('Email Cleaner'!$B$2:$B$10001,MATCH(2165,'Email Cleaner'!$G$2:$G$10001,0)),"")</f>
        <v/>
      </c>
    </row>
    <row r="2167">
      <c r="A2167">
        <f>IFERROR(INDEX('Email Cleaner'!$B$2:$B$10001,MATCH(2166,'Email Cleaner'!$G$2:$G$10001,0)),"")</f>
        <v/>
      </c>
    </row>
    <row r="2168">
      <c r="A2168">
        <f>IFERROR(INDEX('Email Cleaner'!$B$2:$B$10001,MATCH(2167,'Email Cleaner'!$G$2:$G$10001,0)),"")</f>
        <v/>
      </c>
    </row>
    <row r="2169">
      <c r="A2169">
        <f>IFERROR(INDEX('Email Cleaner'!$B$2:$B$10001,MATCH(2168,'Email Cleaner'!$G$2:$G$10001,0)),"")</f>
        <v/>
      </c>
    </row>
    <row r="2170">
      <c r="A2170">
        <f>IFERROR(INDEX('Email Cleaner'!$B$2:$B$10001,MATCH(2169,'Email Cleaner'!$G$2:$G$10001,0)),"")</f>
        <v/>
      </c>
    </row>
    <row r="2171">
      <c r="A2171">
        <f>IFERROR(INDEX('Email Cleaner'!$B$2:$B$10001,MATCH(2170,'Email Cleaner'!$G$2:$G$10001,0)),"")</f>
        <v/>
      </c>
    </row>
    <row r="2172">
      <c r="A2172">
        <f>IFERROR(INDEX('Email Cleaner'!$B$2:$B$10001,MATCH(2171,'Email Cleaner'!$G$2:$G$10001,0)),"")</f>
        <v/>
      </c>
    </row>
    <row r="2173">
      <c r="A2173">
        <f>IFERROR(INDEX('Email Cleaner'!$B$2:$B$10001,MATCH(2172,'Email Cleaner'!$G$2:$G$10001,0)),"")</f>
        <v/>
      </c>
    </row>
    <row r="2174">
      <c r="A2174">
        <f>IFERROR(INDEX('Email Cleaner'!$B$2:$B$10001,MATCH(2173,'Email Cleaner'!$G$2:$G$10001,0)),"")</f>
        <v/>
      </c>
    </row>
    <row r="2175">
      <c r="A2175">
        <f>IFERROR(INDEX('Email Cleaner'!$B$2:$B$10001,MATCH(2174,'Email Cleaner'!$G$2:$G$10001,0)),"")</f>
        <v/>
      </c>
    </row>
    <row r="2176">
      <c r="A2176">
        <f>IFERROR(INDEX('Email Cleaner'!$B$2:$B$10001,MATCH(2175,'Email Cleaner'!$G$2:$G$10001,0)),"")</f>
        <v/>
      </c>
    </row>
    <row r="2177">
      <c r="A2177">
        <f>IFERROR(INDEX('Email Cleaner'!$B$2:$B$10001,MATCH(2176,'Email Cleaner'!$G$2:$G$10001,0)),"")</f>
        <v/>
      </c>
    </row>
    <row r="2178">
      <c r="A2178">
        <f>IFERROR(INDEX('Email Cleaner'!$B$2:$B$10001,MATCH(2177,'Email Cleaner'!$G$2:$G$10001,0)),"")</f>
        <v/>
      </c>
    </row>
    <row r="2179">
      <c r="A2179">
        <f>IFERROR(INDEX('Email Cleaner'!$B$2:$B$10001,MATCH(2178,'Email Cleaner'!$G$2:$G$10001,0)),"")</f>
        <v/>
      </c>
    </row>
    <row r="2180">
      <c r="A2180">
        <f>IFERROR(INDEX('Email Cleaner'!$B$2:$B$10001,MATCH(2179,'Email Cleaner'!$G$2:$G$10001,0)),"")</f>
        <v/>
      </c>
    </row>
    <row r="2181">
      <c r="A2181">
        <f>IFERROR(INDEX('Email Cleaner'!$B$2:$B$10001,MATCH(2180,'Email Cleaner'!$G$2:$G$10001,0)),"")</f>
        <v/>
      </c>
    </row>
    <row r="2182">
      <c r="A2182">
        <f>IFERROR(INDEX('Email Cleaner'!$B$2:$B$10001,MATCH(2181,'Email Cleaner'!$G$2:$G$10001,0)),"")</f>
        <v/>
      </c>
    </row>
    <row r="2183">
      <c r="A2183">
        <f>IFERROR(INDEX('Email Cleaner'!$B$2:$B$10001,MATCH(2182,'Email Cleaner'!$G$2:$G$10001,0)),"")</f>
        <v/>
      </c>
    </row>
    <row r="2184">
      <c r="A2184">
        <f>IFERROR(INDEX('Email Cleaner'!$B$2:$B$10001,MATCH(2183,'Email Cleaner'!$G$2:$G$10001,0)),"")</f>
        <v/>
      </c>
    </row>
    <row r="2185">
      <c r="A2185">
        <f>IFERROR(INDEX('Email Cleaner'!$B$2:$B$10001,MATCH(2184,'Email Cleaner'!$G$2:$G$10001,0)),"")</f>
        <v/>
      </c>
    </row>
    <row r="2186">
      <c r="A2186">
        <f>IFERROR(INDEX('Email Cleaner'!$B$2:$B$10001,MATCH(2185,'Email Cleaner'!$G$2:$G$10001,0)),"")</f>
        <v/>
      </c>
    </row>
    <row r="2187">
      <c r="A2187">
        <f>IFERROR(INDEX('Email Cleaner'!$B$2:$B$10001,MATCH(2186,'Email Cleaner'!$G$2:$G$10001,0)),"")</f>
        <v/>
      </c>
    </row>
    <row r="2188">
      <c r="A2188">
        <f>IFERROR(INDEX('Email Cleaner'!$B$2:$B$10001,MATCH(2187,'Email Cleaner'!$G$2:$G$10001,0)),"")</f>
        <v/>
      </c>
    </row>
    <row r="2189">
      <c r="A2189">
        <f>IFERROR(INDEX('Email Cleaner'!$B$2:$B$10001,MATCH(2188,'Email Cleaner'!$G$2:$G$10001,0)),"")</f>
        <v/>
      </c>
    </row>
    <row r="2190">
      <c r="A2190">
        <f>IFERROR(INDEX('Email Cleaner'!$B$2:$B$10001,MATCH(2189,'Email Cleaner'!$G$2:$G$10001,0)),"")</f>
        <v/>
      </c>
    </row>
    <row r="2191">
      <c r="A2191">
        <f>IFERROR(INDEX('Email Cleaner'!$B$2:$B$10001,MATCH(2190,'Email Cleaner'!$G$2:$G$10001,0)),"")</f>
        <v/>
      </c>
    </row>
    <row r="2192">
      <c r="A2192">
        <f>IFERROR(INDEX('Email Cleaner'!$B$2:$B$10001,MATCH(2191,'Email Cleaner'!$G$2:$G$10001,0)),"")</f>
        <v/>
      </c>
    </row>
    <row r="2193">
      <c r="A2193">
        <f>IFERROR(INDEX('Email Cleaner'!$B$2:$B$10001,MATCH(2192,'Email Cleaner'!$G$2:$G$10001,0)),"")</f>
        <v/>
      </c>
    </row>
    <row r="2194">
      <c r="A2194">
        <f>IFERROR(INDEX('Email Cleaner'!$B$2:$B$10001,MATCH(2193,'Email Cleaner'!$G$2:$G$10001,0)),"")</f>
        <v/>
      </c>
    </row>
    <row r="2195">
      <c r="A2195">
        <f>IFERROR(INDEX('Email Cleaner'!$B$2:$B$10001,MATCH(2194,'Email Cleaner'!$G$2:$G$10001,0)),"")</f>
        <v/>
      </c>
    </row>
    <row r="2196">
      <c r="A2196">
        <f>IFERROR(INDEX('Email Cleaner'!$B$2:$B$10001,MATCH(2195,'Email Cleaner'!$G$2:$G$10001,0)),"")</f>
        <v/>
      </c>
    </row>
    <row r="2197">
      <c r="A2197">
        <f>IFERROR(INDEX('Email Cleaner'!$B$2:$B$10001,MATCH(2196,'Email Cleaner'!$G$2:$G$10001,0)),"")</f>
        <v/>
      </c>
    </row>
    <row r="2198">
      <c r="A2198">
        <f>IFERROR(INDEX('Email Cleaner'!$B$2:$B$10001,MATCH(2197,'Email Cleaner'!$G$2:$G$10001,0)),"")</f>
        <v/>
      </c>
    </row>
    <row r="2199">
      <c r="A2199">
        <f>IFERROR(INDEX('Email Cleaner'!$B$2:$B$10001,MATCH(2198,'Email Cleaner'!$G$2:$G$10001,0)),"")</f>
        <v/>
      </c>
    </row>
    <row r="2200">
      <c r="A2200">
        <f>IFERROR(INDEX('Email Cleaner'!$B$2:$B$10001,MATCH(2199,'Email Cleaner'!$G$2:$G$10001,0)),"")</f>
        <v/>
      </c>
    </row>
    <row r="2201">
      <c r="A2201">
        <f>IFERROR(INDEX('Email Cleaner'!$B$2:$B$10001,MATCH(2200,'Email Cleaner'!$G$2:$G$10001,0)),"")</f>
        <v/>
      </c>
    </row>
    <row r="2202">
      <c r="A2202">
        <f>IFERROR(INDEX('Email Cleaner'!$B$2:$B$10001,MATCH(2201,'Email Cleaner'!$G$2:$G$10001,0)),"")</f>
        <v/>
      </c>
    </row>
    <row r="2203">
      <c r="A2203">
        <f>IFERROR(INDEX('Email Cleaner'!$B$2:$B$10001,MATCH(2202,'Email Cleaner'!$G$2:$G$10001,0)),"")</f>
        <v/>
      </c>
    </row>
    <row r="2204">
      <c r="A2204">
        <f>IFERROR(INDEX('Email Cleaner'!$B$2:$B$10001,MATCH(2203,'Email Cleaner'!$G$2:$G$10001,0)),"")</f>
        <v/>
      </c>
    </row>
    <row r="2205">
      <c r="A2205">
        <f>IFERROR(INDEX('Email Cleaner'!$B$2:$B$10001,MATCH(2204,'Email Cleaner'!$G$2:$G$10001,0)),"")</f>
        <v/>
      </c>
    </row>
    <row r="2206">
      <c r="A2206">
        <f>IFERROR(INDEX('Email Cleaner'!$B$2:$B$10001,MATCH(2205,'Email Cleaner'!$G$2:$G$10001,0)),"")</f>
        <v/>
      </c>
    </row>
    <row r="2207">
      <c r="A2207">
        <f>IFERROR(INDEX('Email Cleaner'!$B$2:$B$10001,MATCH(2206,'Email Cleaner'!$G$2:$G$10001,0)),"")</f>
        <v/>
      </c>
    </row>
    <row r="2208">
      <c r="A2208">
        <f>IFERROR(INDEX('Email Cleaner'!$B$2:$B$10001,MATCH(2207,'Email Cleaner'!$G$2:$G$10001,0)),"")</f>
        <v/>
      </c>
    </row>
    <row r="2209">
      <c r="A2209">
        <f>IFERROR(INDEX('Email Cleaner'!$B$2:$B$10001,MATCH(2208,'Email Cleaner'!$G$2:$G$10001,0)),"")</f>
        <v/>
      </c>
    </row>
    <row r="2210">
      <c r="A2210">
        <f>IFERROR(INDEX('Email Cleaner'!$B$2:$B$10001,MATCH(2209,'Email Cleaner'!$G$2:$G$10001,0)),"")</f>
        <v/>
      </c>
    </row>
    <row r="2211">
      <c r="A2211">
        <f>IFERROR(INDEX('Email Cleaner'!$B$2:$B$10001,MATCH(2210,'Email Cleaner'!$G$2:$G$10001,0)),"")</f>
        <v/>
      </c>
    </row>
    <row r="2212">
      <c r="A2212">
        <f>IFERROR(INDEX('Email Cleaner'!$B$2:$B$10001,MATCH(2211,'Email Cleaner'!$G$2:$G$10001,0)),"")</f>
        <v/>
      </c>
    </row>
    <row r="2213">
      <c r="A2213">
        <f>IFERROR(INDEX('Email Cleaner'!$B$2:$B$10001,MATCH(2212,'Email Cleaner'!$G$2:$G$10001,0)),"")</f>
        <v/>
      </c>
    </row>
    <row r="2214">
      <c r="A2214">
        <f>IFERROR(INDEX('Email Cleaner'!$B$2:$B$10001,MATCH(2213,'Email Cleaner'!$G$2:$G$10001,0)),"")</f>
        <v/>
      </c>
    </row>
    <row r="2215">
      <c r="A2215">
        <f>IFERROR(INDEX('Email Cleaner'!$B$2:$B$10001,MATCH(2214,'Email Cleaner'!$G$2:$G$10001,0)),"")</f>
        <v/>
      </c>
    </row>
    <row r="2216">
      <c r="A2216">
        <f>IFERROR(INDEX('Email Cleaner'!$B$2:$B$10001,MATCH(2215,'Email Cleaner'!$G$2:$G$10001,0)),"")</f>
        <v/>
      </c>
    </row>
    <row r="2217">
      <c r="A2217">
        <f>IFERROR(INDEX('Email Cleaner'!$B$2:$B$10001,MATCH(2216,'Email Cleaner'!$G$2:$G$10001,0)),"")</f>
        <v/>
      </c>
    </row>
    <row r="2218">
      <c r="A2218">
        <f>IFERROR(INDEX('Email Cleaner'!$B$2:$B$10001,MATCH(2217,'Email Cleaner'!$G$2:$G$10001,0)),"")</f>
        <v/>
      </c>
    </row>
    <row r="2219">
      <c r="A2219">
        <f>IFERROR(INDEX('Email Cleaner'!$B$2:$B$10001,MATCH(2218,'Email Cleaner'!$G$2:$G$10001,0)),"")</f>
        <v/>
      </c>
    </row>
    <row r="2220">
      <c r="A2220">
        <f>IFERROR(INDEX('Email Cleaner'!$B$2:$B$10001,MATCH(2219,'Email Cleaner'!$G$2:$G$10001,0)),"")</f>
        <v/>
      </c>
    </row>
    <row r="2221">
      <c r="A2221">
        <f>IFERROR(INDEX('Email Cleaner'!$B$2:$B$10001,MATCH(2220,'Email Cleaner'!$G$2:$G$10001,0)),"")</f>
        <v/>
      </c>
    </row>
    <row r="2222">
      <c r="A2222">
        <f>IFERROR(INDEX('Email Cleaner'!$B$2:$B$10001,MATCH(2221,'Email Cleaner'!$G$2:$G$10001,0)),"")</f>
        <v/>
      </c>
    </row>
    <row r="2223">
      <c r="A2223">
        <f>IFERROR(INDEX('Email Cleaner'!$B$2:$B$10001,MATCH(2222,'Email Cleaner'!$G$2:$G$10001,0)),"")</f>
        <v/>
      </c>
    </row>
    <row r="2224">
      <c r="A2224">
        <f>IFERROR(INDEX('Email Cleaner'!$B$2:$B$10001,MATCH(2223,'Email Cleaner'!$G$2:$G$10001,0)),"")</f>
        <v/>
      </c>
    </row>
    <row r="2225">
      <c r="A2225">
        <f>IFERROR(INDEX('Email Cleaner'!$B$2:$B$10001,MATCH(2224,'Email Cleaner'!$G$2:$G$10001,0)),"")</f>
        <v/>
      </c>
    </row>
    <row r="2226">
      <c r="A2226">
        <f>IFERROR(INDEX('Email Cleaner'!$B$2:$B$10001,MATCH(2225,'Email Cleaner'!$G$2:$G$10001,0)),"")</f>
        <v/>
      </c>
    </row>
    <row r="2227">
      <c r="A2227">
        <f>IFERROR(INDEX('Email Cleaner'!$B$2:$B$10001,MATCH(2226,'Email Cleaner'!$G$2:$G$10001,0)),"")</f>
        <v/>
      </c>
    </row>
    <row r="2228">
      <c r="A2228">
        <f>IFERROR(INDEX('Email Cleaner'!$B$2:$B$10001,MATCH(2227,'Email Cleaner'!$G$2:$G$10001,0)),"")</f>
        <v/>
      </c>
    </row>
    <row r="2229">
      <c r="A2229">
        <f>IFERROR(INDEX('Email Cleaner'!$B$2:$B$10001,MATCH(2228,'Email Cleaner'!$G$2:$G$10001,0)),"")</f>
        <v/>
      </c>
    </row>
    <row r="2230">
      <c r="A2230">
        <f>IFERROR(INDEX('Email Cleaner'!$B$2:$B$10001,MATCH(2229,'Email Cleaner'!$G$2:$G$10001,0)),"")</f>
        <v/>
      </c>
    </row>
    <row r="2231">
      <c r="A2231">
        <f>IFERROR(INDEX('Email Cleaner'!$B$2:$B$10001,MATCH(2230,'Email Cleaner'!$G$2:$G$10001,0)),"")</f>
        <v/>
      </c>
    </row>
    <row r="2232">
      <c r="A2232">
        <f>IFERROR(INDEX('Email Cleaner'!$B$2:$B$10001,MATCH(2231,'Email Cleaner'!$G$2:$G$10001,0)),"")</f>
        <v/>
      </c>
    </row>
    <row r="2233">
      <c r="A2233">
        <f>IFERROR(INDEX('Email Cleaner'!$B$2:$B$10001,MATCH(2232,'Email Cleaner'!$G$2:$G$10001,0)),"")</f>
        <v/>
      </c>
    </row>
    <row r="2234">
      <c r="A2234">
        <f>IFERROR(INDEX('Email Cleaner'!$B$2:$B$10001,MATCH(2233,'Email Cleaner'!$G$2:$G$10001,0)),"")</f>
        <v/>
      </c>
    </row>
    <row r="2235">
      <c r="A2235">
        <f>IFERROR(INDEX('Email Cleaner'!$B$2:$B$10001,MATCH(2234,'Email Cleaner'!$G$2:$G$10001,0)),"")</f>
        <v/>
      </c>
    </row>
    <row r="2236">
      <c r="A2236">
        <f>IFERROR(INDEX('Email Cleaner'!$B$2:$B$10001,MATCH(2235,'Email Cleaner'!$G$2:$G$10001,0)),"")</f>
        <v/>
      </c>
    </row>
    <row r="2237">
      <c r="A2237">
        <f>IFERROR(INDEX('Email Cleaner'!$B$2:$B$10001,MATCH(2236,'Email Cleaner'!$G$2:$G$10001,0)),"")</f>
        <v/>
      </c>
    </row>
    <row r="2238">
      <c r="A2238">
        <f>IFERROR(INDEX('Email Cleaner'!$B$2:$B$10001,MATCH(2237,'Email Cleaner'!$G$2:$G$10001,0)),"")</f>
        <v/>
      </c>
    </row>
    <row r="2239">
      <c r="A2239">
        <f>IFERROR(INDEX('Email Cleaner'!$B$2:$B$10001,MATCH(2238,'Email Cleaner'!$G$2:$G$10001,0)),"")</f>
        <v/>
      </c>
    </row>
    <row r="2240">
      <c r="A2240">
        <f>IFERROR(INDEX('Email Cleaner'!$B$2:$B$10001,MATCH(2239,'Email Cleaner'!$G$2:$G$10001,0)),"")</f>
        <v/>
      </c>
    </row>
    <row r="2241">
      <c r="A2241">
        <f>IFERROR(INDEX('Email Cleaner'!$B$2:$B$10001,MATCH(2240,'Email Cleaner'!$G$2:$G$10001,0)),"")</f>
        <v/>
      </c>
    </row>
    <row r="2242">
      <c r="A2242">
        <f>IFERROR(INDEX('Email Cleaner'!$B$2:$B$10001,MATCH(2241,'Email Cleaner'!$G$2:$G$10001,0)),"")</f>
        <v/>
      </c>
    </row>
    <row r="2243">
      <c r="A2243">
        <f>IFERROR(INDEX('Email Cleaner'!$B$2:$B$10001,MATCH(2242,'Email Cleaner'!$G$2:$G$10001,0)),"")</f>
        <v/>
      </c>
    </row>
    <row r="2244">
      <c r="A2244">
        <f>IFERROR(INDEX('Email Cleaner'!$B$2:$B$10001,MATCH(2243,'Email Cleaner'!$G$2:$G$10001,0)),"")</f>
        <v/>
      </c>
    </row>
    <row r="2245">
      <c r="A2245">
        <f>IFERROR(INDEX('Email Cleaner'!$B$2:$B$10001,MATCH(2244,'Email Cleaner'!$G$2:$G$10001,0)),"")</f>
        <v/>
      </c>
    </row>
    <row r="2246">
      <c r="A2246">
        <f>IFERROR(INDEX('Email Cleaner'!$B$2:$B$10001,MATCH(2245,'Email Cleaner'!$G$2:$G$10001,0)),"")</f>
        <v/>
      </c>
    </row>
    <row r="2247">
      <c r="A2247">
        <f>IFERROR(INDEX('Email Cleaner'!$B$2:$B$10001,MATCH(2246,'Email Cleaner'!$G$2:$G$10001,0)),"")</f>
        <v/>
      </c>
    </row>
    <row r="2248">
      <c r="A2248">
        <f>IFERROR(INDEX('Email Cleaner'!$B$2:$B$10001,MATCH(2247,'Email Cleaner'!$G$2:$G$10001,0)),"")</f>
        <v/>
      </c>
    </row>
    <row r="2249">
      <c r="A2249">
        <f>IFERROR(INDEX('Email Cleaner'!$B$2:$B$10001,MATCH(2248,'Email Cleaner'!$G$2:$G$10001,0)),"")</f>
        <v/>
      </c>
    </row>
    <row r="2250">
      <c r="A2250">
        <f>IFERROR(INDEX('Email Cleaner'!$B$2:$B$10001,MATCH(2249,'Email Cleaner'!$G$2:$G$10001,0)),"")</f>
        <v/>
      </c>
    </row>
    <row r="2251">
      <c r="A2251">
        <f>IFERROR(INDEX('Email Cleaner'!$B$2:$B$10001,MATCH(2250,'Email Cleaner'!$G$2:$G$10001,0)),"")</f>
        <v/>
      </c>
    </row>
    <row r="2252">
      <c r="A2252">
        <f>IFERROR(INDEX('Email Cleaner'!$B$2:$B$10001,MATCH(2251,'Email Cleaner'!$G$2:$G$10001,0)),"")</f>
        <v/>
      </c>
    </row>
    <row r="2253">
      <c r="A2253">
        <f>IFERROR(INDEX('Email Cleaner'!$B$2:$B$10001,MATCH(2252,'Email Cleaner'!$G$2:$G$10001,0)),"")</f>
        <v/>
      </c>
    </row>
    <row r="2254">
      <c r="A2254">
        <f>IFERROR(INDEX('Email Cleaner'!$B$2:$B$10001,MATCH(2253,'Email Cleaner'!$G$2:$G$10001,0)),"")</f>
        <v/>
      </c>
    </row>
    <row r="2255">
      <c r="A2255">
        <f>IFERROR(INDEX('Email Cleaner'!$B$2:$B$10001,MATCH(2254,'Email Cleaner'!$G$2:$G$10001,0)),"")</f>
        <v/>
      </c>
    </row>
    <row r="2256">
      <c r="A2256">
        <f>IFERROR(INDEX('Email Cleaner'!$B$2:$B$10001,MATCH(2255,'Email Cleaner'!$G$2:$G$10001,0)),"")</f>
        <v/>
      </c>
    </row>
    <row r="2257">
      <c r="A2257">
        <f>IFERROR(INDEX('Email Cleaner'!$B$2:$B$10001,MATCH(2256,'Email Cleaner'!$G$2:$G$10001,0)),"")</f>
        <v/>
      </c>
    </row>
    <row r="2258">
      <c r="A2258">
        <f>IFERROR(INDEX('Email Cleaner'!$B$2:$B$10001,MATCH(2257,'Email Cleaner'!$G$2:$G$10001,0)),"")</f>
        <v/>
      </c>
    </row>
    <row r="2259">
      <c r="A2259">
        <f>IFERROR(INDEX('Email Cleaner'!$B$2:$B$10001,MATCH(2258,'Email Cleaner'!$G$2:$G$10001,0)),"")</f>
        <v/>
      </c>
    </row>
    <row r="2260">
      <c r="A2260">
        <f>IFERROR(INDEX('Email Cleaner'!$B$2:$B$10001,MATCH(2259,'Email Cleaner'!$G$2:$G$10001,0)),"")</f>
        <v/>
      </c>
    </row>
    <row r="2261">
      <c r="A2261">
        <f>IFERROR(INDEX('Email Cleaner'!$B$2:$B$10001,MATCH(2260,'Email Cleaner'!$G$2:$G$10001,0)),"")</f>
        <v/>
      </c>
    </row>
    <row r="2262">
      <c r="A2262">
        <f>IFERROR(INDEX('Email Cleaner'!$B$2:$B$10001,MATCH(2261,'Email Cleaner'!$G$2:$G$10001,0)),"")</f>
        <v/>
      </c>
    </row>
    <row r="2263">
      <c r="A2263">
        <f>IFERROR(INDEX('Email Cleaner'!$B$2:$B$10001,MATCH(2262,'Email Cleaner'!$G$2:$G$10001,0)),"")</f>
        <v/>
      </c>
    </row>
    <row r="2264">
      <c r="A2264">
        <f>IFERROR(INDEX('Email Cleaner'!$B$2:$B$10001,MATCH(2263,'Email Cleaner'!$G$2:$G$10001,0)),"")</f>
        <v/>
      </c>
    </row>
    <row r="2265">
      <c r="A2265">
        <f>IFERROR(INDEX('Email Cleaner'!$B$2:$B$10001,MATCH(2264,'Email Cleaner'!$G$2:$G$10001,0)),"")</f>
        <v/>
      </c>
    </row>
    <row r="2266">
      <c r="A2266">
        <f>IFERROR(INDEX('Email Cleaner'!$B$2:$B$10001,MATCH(2265,'Email Cleaner'!$G$2:$G$10001,0)),"")</f>
        <v/>
      </c>
    </row>
    <row r="2267">
      <c r="A2267">
        <f>IFERROR(INDEX('Email Cleaner'!$B$2:$B$10001,MATCH(2266,'Email Cleaner'!$G$2:$G$10001,0)),"")</f>
        <v/>
      </c>
    </row>
    <row r="2268">
      <c r="A2268">
        <f>IFERROR(INDEX('Email Cleaner'!$B$2:$B$10001,MATCH(2267,'Email Cleaner'!$G$2:$G$10001,0)),"")</f>
        <v/>
      </c>
    </row>
    <row r="2269">
      <c r="A2269">
        <f>IFERROR(INDEX('Email Cleaner'!$B$2:$B$10001,MATCH(2268,'Email Cleaner'!$G$2:$G$10001,0)),"")</f>
        <v/>
      </c>
    </row>
    <row r="2270">
      <c r="A2270">
        <f>IFERROR(INDEX('Email Cleaner'!$B$2:$B$10001,MATCH(2269,'Email Cleaner'!$G$2:$G$10001,0)),"")</f>
        <v/>
      </c>
    </row>
    <row r="2271">
      <c r="A2271">
        <f>IFERROR(INDEX('Email Cleaner'!$B$2:$B$10001,MATCH(2270,'Email Cleaner'!$G$2:$G$10001,0)),"")</f>
        <v/>
      </c>
    </row>
    <row r="2272">
      <c r="A2272">
        <f>IFERROR(INDEX('Email Cleaner'!$B$2:$B$10001,MATCH(2271,'Email Cleaner'!$G$2:$G$10001,0)),"")</f>
        <v/>
      </c>
    </row>
    <row r="2273">
      <c r="A2273">
        <f>IFERROR(INDEX('Email Cleaner'!$B$2:$B$10001,MATCH(2272,'Email Cleaner'!$G$2:$G$10001,0)),"")</f>
        <v/>
      </c>
    </row>
    <row r="2274">
      <c r="A2274">
        <f>IFERROR(INDEX('Email Cleaner'!$B$2:$B$10001,MATCH(2273,'Email Cleaner'!$G$2:$G$10001,0)),"")</f>
        <v/>
      </c>
    </row>
    <row r="2275">
      <c r="A2275">
        <f>IFERROR(INDEX('Email Cleaner'!$B$2:$B$10001,MATCH(2274,'Email Cleaner'!$G$2:$G$10001,0)),"")</f>
        <v/>
      </c>
    </row>
    <row r="2276">
      <c r="A2276">
        <f>IFERROR(INDEX('Email Cleaner'!$B$2:$B$10001,MATCH(2275,'Email Cleaner'!$G$2:$G$10001,0)),"")</f>
        <v/>
      </c>
    </row>
    <row r="2277">
      <c r="A2277">
        <f>IFERROR(INDEX('Email Cleaner'!$B$2:$B$10001,MATCH(2276,'Email Cleaner'!$G$2:$G$10001,0)),"")</f>
        <v/>
      </c>
    </row>
    <row r="2278">
      <c r="A2278">
        <f>IFERROR(INDEX('Email Cleaner'!$B$2:$B$10001,MATCH(2277,'Email Cleaner'!$G$2:$G$10001,0)),"")</f>
        <v/>
      </c>
    </row>
    <row r="2279">
      <c r="A2279">
        <f>IFERROR(INDEX('Email Cleaner'!$B$2:$B$10001,MATCH(2278,'Email Cleaner'!$G$2:$G$10001,0)),"")</f>
        <v/>
      </c>
    </row>
    <row r="2280">
      <c r="A2280">
        <f>IFERROR(INDEX('Email Cleaner'!$B$2:$B$10001,MATCH(2279,'Email Cleaner'!$G$2:$G$10001,0)),"")</f>
        <v/>
      </c>
    </row>
    <row r="2281">
      <c r="A2281">
        <f>IFERROR(INDEX('Email Cleaner'!$B$2:$B$10001,MATCH(2280,'Email Cleaner'!$G$2:$G$10001,0)),"")</f>
        <v/>
      </c>
    </row>
    <row r="2282">
      <c r="A2282">
        <f>IFERROR(INDEX('Email Cleaner'!$B$2:$B$10001,MATCH(2281,'Email Cleaner'!$G$2:$G$10001,0)),"")</f>
        <v/>
      </c>
    </row>
    <row r="2283">
      <c r="A2283">
        <f>IFERROR(INDEX('Email Cleaner'!$B$2:$B$10001,MATCH(2282,'Email Cleaner'!$G$2:$G$10001,0)),"")</f>
        <v/>
      </c>
    </row>
    <row r="2284">
      <c r="A2284">
        <f>IFERROR(INDEX('Email Cleaner'!$B$2:$B$10001,MATCH(2283,'Email Cleaner'!$G$2:$G$10001,0)),"")</f>
        <v/>
      </c>
    </row>
    <row r="2285">
      <c r="A2285">
        <f>IFERROR(INDEX('Email Cleaner'!$B$2:$B$10001,MATCH(2284,'Email Cleaner'!$G$2:$G$10001,0)),"")</f>
        <v/>
      </c>
    </row>
    <row r="2286">
      <c r="A2286">
        <f>IFERROR(INDEX('Email Cleaner'!$B$2:$B$10001,MATCH(2285,'Email Cleaner'!$G$2:$G$10001,0)),"")</f>
        <v/>
      </c>
    </row>
    <row r="2287">
      <c r="A2287">
        <f>IFERROR(INDEX('Email Cleaner'!$B$2:$B$10001,MATCH(2286,'Email Cleaner'!$G$2:$G$10001,0)),"")</f>
        <v/>
      </c>
    </row>
    <row r="2288">
      <c r="A2288">
        <f>IFERROR(INDEX('Email Cleaner'!$B$2:$B$10001,MATCH(2287,'Email Cleaner'!$G$2:$G$10001,0)),"")</f>
        <v/>
      </c>
    </row>
    <row r="2289">
      <c r="A2289">
        <f>IFERROR(INDEX('Email Cleaner'!$B$2:$B$10001,MATCH(2288,'Email Cleaner'!$G$2:$G$10001,0)),"")</f>
        <v/>
      </c>
    </row>
    <row r="2290">
      <c r="A2290">
        <f>IFERROR(INDEX('Email Cleaner'!$B$2:$B$10001,MATCH(2289,'Email Cleaner'!$G$2:$G$10001,0)),"")</f>
        <v/>
      </c>
    </row>
    <row r="2291">
      <c r="A2291">
        <f>IFERROR(INDEX('Email Cleaner'!$B$2:$B$10001,MATCH(2290,'Email Cleaner'!$G$2:$G$10001,0)),"")</f>
        <v/>
      </c>
    </row>
    <row r="2292">
      <c r="A2292">
        <f>IFERROR(INDEX('Email Cleaner'!$B$2:$B$10001,MATCH(2291,'Email Cleaner'!$G$2:$G$10001,0)),"")</f>
        <v/>
      </c>
    </row>
    <row r="2293">
      <c r="A2293">
        <f>IFERROR(INDEX('Email Cleaner'!$B$2:$B$10001,MATCH(2292,'Email Cleaner'!$G$2:$G$10001,0)),"")</f>
        <v/>
      </c>
    </row>
    <row r="2294">
      <c r="A2294">
        <f>IFERROR(INDEX('Email Cleaner'!$B$2:$B$10001,MATCH(2293,'Email Cleaner'!$G$2:$G$10001,0)),"")</f>
        <v/>
      </c>
    </row>
    <row r="2295">
      <c r="A2295">
        <f>IFERROR(INDEX('Email Cleaner'!$B$2:$B$10001,MATCH(2294,'Email Cleaner'!$G$2:$G$10001,0)),"")</f>
        <v/>
      </c>
    </row>
    <row r="2296">
      <c r="A2296">
        <f>IFERROR(INDEX('Email Cleaner'!$B$2:$B$10001,MATCH(2295,'Email Cleaner'!$G$2:$G$10001,0)),"")</f>
        <v/>
      </c>
    </row>
    <row r="2297">
      <c r="A2297">
        <f>IFERROR(INDEX('Email Cleaner'!$B$2:$B$10001,MATCH(2296,'Email Cleaner'!$G$2:$G$10001,0)),"")</f>
        <v/>
      </c>
    </row>
    <row r="2298">
      <c r="A2298">
        <f>IFERROR(INDEX('Email Cleaner'!$B$2:$B$10001,MATCH(2297,'Email Cleaner'!$G$2:$G$10001,0)),"")</f>
        <v/>
      </c>
    </row>
    <row r="2299">
      <c r="A2299">
        <f>IFERROR(INDEX('Email Cleaner'!$B$2:$B$10001,MATCH(2298,'Email Cleaner'!$G$2:$G$10001,0)),"")</f>
        <v/>
      </c>
    </row>
    <row r="2300">
      <c r="A2300">
        <f>IFERROR(INDEX('Email Cleaner'!$B$2:$B$10001,MATCH(2299,'Email Cleaner'!$G$2:$G$10001,0)),"")</f>
        <v/>
      </c>
    </row>
    <row r="2301">
      <c r="A2301">
        <f>IFERROR(INDEX('Email Cleaner'!$B$2:$B$10001,MATCH(2300,'Email Cleaner'!$G$2:$G$10001,0)),"")</f>
        <v/>
      </c>
    </row>
    <row r="2302">
      <c r="A2302">
        <f>IFERROR(INDEX('Email Cleaner'!$B$2:$B$10001,MATCH(2301,'Email Cleaner'!$G$2:$G$10001,0)),"")</f>
        <v/>
      </c>
    </row>
    <row r="2303">
      <c r="A2303">
        <f>IFERROR(INDEX('Email Cleaner'!$B$2:$B$10001,MATCH(2302,'Email Cleaner'!$G$2:$G$10001,0)),"")</f>
        <v/>
      </c>
    </row>
    <row r="2304">
      <c r="A2304">
        <f>IFERROR(INDEX('Email Cleaner'!$B$2:$B$10001,MATCH(2303,'Email Cleaner'!$G$2:$G$10001,0)),"")</f>
        <v/>
      </c>
    </row>
    <row r="2305">
      <c r="A2305">
        <f>IFERROR(INDEX('Email Cleaner'!$B$2:$B$10001,MATCH(2304,'Email Cleaner'!$G$2:$G$10001,0)),"")</f>
        <v/>
      </c>
    </row>
    <row r="2306">
      <c r="A2306">
        <f>IFERROR(INDEX('Email Cleaner'!$B$2:$B$10001,MATCH(2305,'Email Cleaner'!$G$2:$G$10001,0)),"")</f>
        <v/>
      </c>
    </row>
    <row r="2307">
      <c r="A2307">
        <f>IFERROR(INDEX('Email Cleaner'!$B$2:$B$10001,MATCH(2306,'Email Cleaner'!$G$2:$G$10001,0)),"")</f>
        <v/>
      </c>
    </row>
    <row r="2308">
      <c r="A2308">
        <f>IFERROR(INDEX('Email Cleaner'!$B$2:$B$10001,MATCH(2307,'Email Cleaner'!$G$2:$G$10001,0)),"")</f>
        <v/>
      </c>
    </row>
    <row r="2309">
      <c r="A2309">
        <f>IFERROR(INDEX('Email Cleaner'!$B$2:$B$10001,MATCH(2308,'Email Cleaner'!$G$2:$G$10001,0)),"")</f>
        <v/>
      </c>
    </row>
    <row r="2310">
      <c r="A2310">
        <f>IFERROR(INDEX('Email Cleaner'!$B$2:$B$10001,MATCH(2309,'Email Cleaner'!$G$2:$G$10001,0)),"")</f>
        <v/>
      </c>
    </row>
    <row r="2311">
      <c r="A2311">
        <f>IFERROR(INDEX('Email Cleaner'!$B$2:$B$10001,MATCH(2310,'Email Cleaner'!$G$2:$G$10001,0)),"")</f>
        <v/>
      </c>
    </row>
    <row r="2312">
      <c r="A2312">
        <f>IFERROR(INDEX('Email Cleaner'!$B$2:$B$10001,MATCH(2311,'Email Cleaner'!$G$2:$G$10001,0)),"")</f>
        <v/>
      </c>
    </row>
    <row r="2313">
      <c r="A2313">
        <f>IFERROR(INDEX('Email Cleaner'!$B$2:$B$10001,MATCH(2312,'Email Cleaner'!$G$2:$G$10001,0)),"")</f>
        <v/>
      </c>
    </row>
    <row r="2314">
      <c r="A2314">
        <f>IFERROR(INDEX('Email Cleaner'!$B$2:$B$10001,MATCH(2313,'Email Cleaner'!$G$2:$G$10001,0)),"")</f>
        <v/>
      </c>
    </row>
    <row r="2315">
      <c r="A2315">
        <f>IFERROR(INDEX('Email Cleaner'!$B$2:$B$10001,MATCH(2314,'Email Cleaner'!$G$2:$G$10001,0)),"")</f>
        <v/>
      </c>
    </row>
    <row r="2316">
      <c r="A2316">
        <f>IFERROR(INDEX('Email Cleaner'!$B$2:$B$10001,MATCH(2315,'Email Cleaner'!$G$2:$G$10001,0)),"")</f>
        <v/>
      </c>
    </row>
    <row r="2317">
      <c r="A2317">
        <f>IFERROR(INDEX('Email Cleaner'!$B$2:$B$10001,MATCH(2316,'Email Cleaner'!$G$2:$G$10001,0)),"")</f>
        <v/>
      </c>
    </row>
    <row r="2318">
      <c r="A2318">
        <f>IFERROR(INDEX('Email Cleaner'!$B$2:$B$10001,MATCH(2317,'Email Cleaner'!$G$2:$G$10001,0)),"")</f>
        <v/>
      </c>
    </row>
    <row r="2319">
      <c r="A2319">
        <f>IFERROR(INDEX('Email Cleaner'!$B$2:$B$10001,MATCH(2318,'Email Cleaner'!$G$2:$G$10001,0)),"")</f>
        <v/>
      </c>
    </row>
    <row r="2320">
      <c r="A2320">
        <f>IFERROR(INDEX('Email Cleaner'!$B$2:$B$10001,MATCH(2319,'Email Cleaner'!$G$2:$G$10001,0)),"")</f>
        <v/>
      </c>
    </row>
    <row r="2321">
      <c r="A2321">
        <f>IFERROR(INDEX('Email Cleaner'!$B$2:$B$10001,MATCH(2320,'Email Cleaner'!$G$2:$G$10001,0)),"")</f>
        <v/>
      </c>
    </row>
    <row r="2322">
      <c r="A2322">
        <f>IFERROR(INDEX('Email Cleaner'!$B$2:$B$10001,MATCH(2321,'Email Cleaner'!$G$2:$G$10001,0)),"")</f>
        <v/>
      </c>
    </row>
    <row r="2323">
      <c r="A2323">
        <f>IFERROR(INDEX('Email Cleaner'!$B$2:$B$10001,MATCH(2322,'Email Cleaner'!$G$2:$G$10001,0)),"")</f>
        <v/>
      </c>
    </row>
    <row r="2324">
      <c r="A2324">
        <f>IFERROR(INDEX('Email Cleaner'!$B$2:$B$10001,MATCH(2323,'Email Cleaner'!$G$2:$G$10001,0)),"")</f>
        <v/>
      </c>
    </row>
    <row r="2325">
      <c r="A2325">
        <f>IFERROR(INDEX('Email Cleaner'!$B$2:$B$10001,MATCH(2324,'Email Cleaner'!$G$2:$G$10001,0)),"")</f>
        <v/>
      </c>
    </row>
    <row r="2326">
      <c r="A2326">
        <f>IFERROR(INDEX('Email Cleaner'!$B$2:$B$10001,MATCH(2325,'Email Cleaner'!$G$2:$G$10001,0)),"")</f>
        <v/>
      </c>
    </row>
    <row r="2327">
      <c r="A2327">
        <f>IFERROR(INDEX('Email Cleaner'!$B$2:$B$10001,MATCH(2326,'Email Cleaner'!$G$2:$G$10001,0)),"")</f>
        <v/>
      </c>
    </row>
    <row r="2328">
      <c r="A2328">
        <f>IFERROR(INDEX('Email Cleaner'!$B$2:$B$10001,MATCH(2327,'Email Cleaner'!$G$2:$G$10001,0)),"")</f>
        <v/>
      </c>
    </row>
    <row r="2329">
      <c r="A2329">
        <f>IFERROR(INDEX('Email Cleaner'!$B$2:$B$10001,MATCH(2328,'Email Cleaner'!$G$2:$G$10001,0)),"")</f>
        <v/>
      </c>
    </row>
    <row r="2330">
      <c r="A2330">
        <f>IFERROR(INDEX('Email Cleaner'!$B$2:$B$10001,MATCH(2329,'Email Cleaner'!$G$2:$G$10001,0)),"")</f>
        <v/>
      </c>
    </row>
    <row r="2331">
      <c r="A2331">
        <f>IFERROR(INDEX('Email Cleaner'!$B$2:$B$10001,MATCH(2330,'Email Cleaner'!$G$2:$G$10001,0)),"")</f>
        <v/>
      </c>
    </row>
    <row r="2332">
      <c r="A2332">
        <f>IFERROR(INDEX('Email Cleaner'!$B$2:$B$10001,MATCH(2331,'Email Cleaner'!$G$2:$G$10001,0)),"")</f>
        <v/>
      </c>
    </row>
    <row r="2333">
      <c r="A2333">
        <f>IFERROR(INDEX('Email Cleaner'!$B$2:$B$10001,MATCH(2332,'Email Cleaner'!$G$2:$G$10001,0)),"")</f>
        <v/>
      </c>
    </row>
    <row r="2334">
      <c r="A2334">
        <f>IFERROR(INDEX('Email Cleaner'!$B$2:$B$10001,MATCH(2333,'Email Cleaner'!$G$2:$G$10001,0)),"")</f>
        <v/>
      </c>
    </row>
    <row r="2335">
      <c r="A2335">
        <f>IFERROR(INDEX('Email Cleaner'!$B$2:$B$10001,MATCH(2334,'Email Cleaner'!$G$2:$G$10001,0)),"")</f>
        <v/>
      </c>
    </row>
    <row r="2336">
      <c r="A2336">
        <f>IFERROR(INDEX('Email Cleaner'!$B$2:$B$10001,MATCH(2335,'Email Cleaner'!$G$2:$G$10001,0)),"")</f>
        <v/>
      </c>
    </row>
    <row r="2337">
      <c r="A2337">
        <f>IFERROR(INDEX('Email Cleaner'!$B$2:$B$10001,MATCH(2336,'Email Cleaner'!$G$2:$G$10001,0)),"")</f>
        <v/>
      </c>
    </row>
    <row r="2338">
      <c r="A2338">
        <f>IFERROR(INDEX('Email Cleaner'!$B$2:$B$10001,MATCH(2337,'Email Cleaner'!$G$2:$G$10001,0)),"")</f>
        <v/>
      </c>
    </row>
    <row r="2339">
      <c r="A2339">
        <f>IFERROR(INDEX('Email Cleaner'!$B$2:$B$10001,MATCH(2338,'Email Cleaner'!$G$2:$G$10001,0)),"")</f>
        <v/>
      </c>
    </row>
    <row r="2340">
      <c r="A2340">
        <f>IFERROR(INDEX('Email Cleaner'!$B$2:$B$10001,MATCH(2339,'Email Cleaner'!$G$2:$G$10001,0)),"")</f>
        <v/>
      </c>
    </row>
    <row r="2341">
      <c r="A2341">
        <f>IFERROR(INDEX('Email Cleaner'!$B$2:$B$10001,MATCH(2340,'Email Cleaner'!$G$2:$G$10001,0)),"")</f>
        <v/>
      </c>
    </row>
    <row r="2342">
      <c r="A2342">
        <f>IFERROR(INDEX('Email Cleaner'!$B$2:$B$10001,MATCH(2341,'Email Cleaner'!$G$2:$G$10001,0)),"")</f>
        <v/>
      </c>
    </row>
    <row r="2343">
      <c r="A2343">
        <f>IFERROR(INDEX('Email Cleaner'!$B$2:$B$10001,MATCH(2342,'Email Cleaner'!$G$2:$G$10001,0)),"")</f>
        <v/>
      </c>
    </row>
    <row r="2344">
      <c r="A2344">
        <f>IFERROR(INDEX('Email Cleaner'!$B$2:$B$10001,MATCH(2343,'Email Cleaner'!$G$2:$G$10001,0)),"")</f>
        <v/>
      </c>
    </row>
    <row r="2345">
      <c r="A2345">
        <f>IFERROR(INDEX('Email Cleaner'!$B$2:$B$10001,MATCH(2344,'Email Cleaner'!$G$2:$G$10001,0)),"")</f>
        <v/>
      </c>
    </row>
    <row r="2346">
      <c r="A2346">
        <f>IFERROR(INDEX('Email Cleaner'!$B$2:$B$10001,MATCH(2345,'Email Cleaner'!$G$2:$G$10001,0)),"")</f>
        <v/>
      </c>
    </row>
    <row r="2347">
      <c r="A2347">
        <f>IFERROR(INDEX('Email Cleaner'!$B$2:$B$10001,MATCH(2346,'Email Cleaner'!$G$2:$G$10001,0)),"")</f>
        <v/>
      </c>
    </row>
    <row r="2348">
      <c r="A2348">
        <f>IFERROR(INDEX('Email Cleaner'!$B$2:$B$10001,MATCH(2347,'Email Cleaner'!$G$2:$G$10001,0)),"")</f>
        <v/>
      </c>
    </row>
    <row r="2349">
      <c r="A2349">
        <f>IFERROR(INDEX('Email Cleaner'!$B$2:$B$10001,MATCH(2348,'Email Cleaner'!$G$2:$G$10001,0)),"")</f>
        <v/>
      </c>
    </row>
    <row r="2350">
      <c r="A2350">
        <f>IFERROR(INDEX('Email Cleaner'!$B$2:$B$10001,MATCH(2349,'Email Cleaner'!$G$2:$G$10001,0)),"")</f>
        <v/>
      </c>
    </row>
    <row r="2351">
      <c r="A2351">
        <f>IFERROR(INDEX('Email Cleaner'!$B$2:$B$10001,MATCH(2350,'Email Cleaner'!$G$2:$G$10001,0)),"")</f>
        <v/>
      </c>
    </row>
    <row r="2352">
      <c r="A2352">
        <f>IFERROR(INDEX('Email Cleaner'!$B$2:$B$10001,MATCH(2351,'Email Cleaner'!$G$2:$G$10001,0)),"")</f>
        <v/>
      </c>
    </row>
    <row r="2353">
      <c r="A2353">
        <f>IFERROR(INDEX('Email Cleaner'!$B$2:$B$10001,MATCH(2352,'Email Cleaner'!$G$2:$G$10001,0)),"")</f>
        <v/>
      </c>
    </row>
    <row r="2354">
      <c r="A2354">
        <f>IFERROR(INDEX('Email Cleaner'!$B$2:$B$10001,MATCH(2353,'Email Cleaner'!$G$2:$G$10001,0)),"")</f>
        <v/>
      </c>
    </row>
    <row r="2355">
      <c r="A2355">
        <f>IFERROR(INDEX('Email Cleaner'!$B$2:$B$10001,MATCH(2354,'Email Cleaner'!$G$2:$G$10001,0)),"")</f>
        <v/>
      </c>
    </row>
    <row r="2356">
      <c r="A2356">
        <f>IFERROR(INDEX('Email Cleaner'!$B$2:$B$10001,MATCH(2355,'Email Cleaner'!$G$2:$G$10001,0)),"")</f>
        <v/>
      </c>
    </row>
    <row r="2357">
      <c r="A2357">
        <f>IFERROR(INDEX('Email Cleaner'!$B$2:$B$10001,MATCH(2356,'Email Cleaner'!$G$2:$G$10001,0)),"")</f>
        <v/>
      </c>
    </row>
    <row r="2358">
      <c r="A2358">
        <f>IFERROR(INDEX('Email Cleaner'!$B$2:$B$10001,MATCH(2357,'Email Cleaner'!$G$2:$G$10001,0)),"")</f>
        <v/>
      </c>
    </row>
    <row r="2359">
      <c r="A2359">
        <f>IFERROR(INDEX('Email Cleaner'!$B$2:$B$10001,MATCH(2358,'Email Cleaner'!$G$2:$G$10001,0)),"")</f>
        <v/>
      </c>
    </row>
    <row r="2360">
      <c r="A2360">
        <f>IFERROR(INDEX('Email Cleaner'!$B$2:$B$10001,MATCH(2359,'Email Cleaner'!$G$2:$G$10001,0)),"")</f>
        <v/>
      </c>
    </row>
    <row r="2361">
      <c r="A2361">
        <f>IFERROR(INDEX('Email Cleaner'!$B$2:$B$10001,MATCH(2360,'Email Cleaner'!$G$2:$G$10001,0)),"")</f>
        <v/>
      </c>
    </row>
    <row r="2362">
      <c r="A2362">
        <f>IFERROR(INDEX('Email Cleaner'!$B$2:$B$10001,MATCH(2361,'Email Cleaner'!$G$2:$G$10001,0)),"")</f>
        <v/>
      </c>
    </row>
    <row r="2363">
      <c r="A2363">
        <f>IFERROR(INDEX('Email Cleaner'!$B$2:$B$10001,MATCH(2362,'Email Cleaner'!$G$2:$G$10001,0)),"")</f>
        <v/>
      </c>
    </row>
    <row r="2364">
      <c r="A2364">
        <f>IFERROR(INDEX('Email Cleaner'!$B$2:$B$10001,MATCH(2363,'Email Cleaner'!$G$2:$G$10001,0)),"")</f>
        <v/>
      </c>
    </row>
    <row r="2365">
      <c r="A2365">
        <f>IFERROR(INDEX('Email Cleaner'!$B$2:$B$10001,MATCH(2364,'Email Cleaner'!$G$2:$G$10001,0)),"")</f>
        <v/>
      </c>
    </row>
    <row r="2366">
      <c r="A2366">
        <f>IFERROR(INDEX('Email Cleaner'!$B$2:$B$10001,MATCH(2365,'Email Cleaner'!$G$2:$G$10001,0)),"")</f>
        <v/>
      </c>
    </row>
    <row r="2367">
      <c r="A2367">
        <f>IFERROR(INDEX('Email Cleaner'!$B$2:$B$10001,MATCH(2366,'Email Cleaner'!$G$2:$G$10001,0)),"")</f>
        <v/>
      </c>
    </row>
    <row r="2368">
      <c r="A2368">
        <f>IFERROR(INDEX('Email Cleaner'!$B$2:$B$10001,MATCH(2367,'Email Cleaner'!$G$2:$G$10001,0)),"")</f>
        <v/>
      </c>
    </row>
    <row r="2369">
      <c r="A2369">
        <f>IFERROR(INDEX('Email Cleaner'!$B$2:$B$10001,MATCH(2368,'Email Cleaner'!$G$2:$G$10001,0)),"")</f>
        <v/>
      </c>
    </row>
    <row r="2370">
      <c r="A2370">
        <f>IFERROR(INDEX('Email Cleaner'!$B$2:$B$10001,MATCH(2369,'Email Cleaner'!$G$2:$G$10001,0)),"")</f>
        <v/>
      </c>
    </row>
    <row r="2371">
      <c r="A2371">
        <f>IFERROR(INDEX('Email Cleaner'!$B$2:$B$10001,MATCH(2370,'Email Cleaner'!$G$2:$G$10001,0)),"")</f>
        <v/>
      </c>
    </row>
    <row r="2372">
      <c r="A2372">
        <f>IFERROR(INDEX('Email Cleaner'!$B$2:$B$10001,MATCH(2371,'Email Cleaner'!$G$2:$G$10001,0)),"")</f>
        <v/>
      </c>
    </row>
    <row r="2373">
      <c r="A2373">
        <f>IFERROR(INDEX('Email Cleaner'!$B$2:$B$10001,MATCH(2372,'Email Cleaner'!$G$2:$G$10001,0)),"")</f>
        <v/>
      </c>
    </row>
    <row r="2374">
      <c r="A2374">
        <f>IFERROR(INDEX('Email Cleaner'!$B$2:$B$10001,MATCH(2373,'Email Cleaner'!$G$2:$G$10001,0)),"")</f>
        <v/>
      </c>
    </row>
    <row r="2375">
      <c r="A2375">
        <f>IFERROR(INDEX('Email Cleaner'!$B$2:$B$10001,MATCH(2374,'Email Cleaner'!$G$2:$G$10001,0)),"")</f>
        <v/>
      </c>
    </row>
    <row r="2376">
      <c r="A2376">
        <f>IFERROR(INDEX('Email Cleaner'!$B$2:$B$10001,MATCH(2375,'Email Cleaner'!$G$2:$G$10001,0)),"")</f>
        <v/>
      </c>
    </row>
    <row r="2377">
      <c r="A2377">
        <f>IFERROR(INDEX('Email Cleaner'!$B$2:$B$10001,MATCH(2376,'Email Cleaner'!$G$2:$G$10001,0)),"")</f>
        <v/>
      </c>
    </row>
    <row r="2378">
      <c r="A2378">
        <f>IFERROR(INDEX('Email Cleaner'!$B$2:$B$10001,MATCH(2377,'Email Cleaner'!$G$2:$G$10001,0)),"")</f>
        <v/>
      </c>
    </row>
    <row r="2379">
      <c r="A2379">
        <f>IFERROR(INDEX('Email Cleaner'!$B$2:$B$10001,MATCH(2378,'Email Cleaner'!$G$2:$G$10001,0)),"")</f>
        <v/>
      </c>
    </row>
    <row r="2380">
      <c r="A2380">
        <f>IFERROR(INDEX('Email Cleaner'!$B$2:$B$10001,MATCH(2379,'Email Cleaner'!$G$2:$G$10001,0)),"")</f>
        <v/>
      </c>
    </row>
    <row r="2381">
      <c r="A2381">
        <f>IFERROR(INDEX('Email Cleaner'!$B$2:$B$10001,MATCH(2380,'Email Cleaner'!$G$2:$G$10001,0)),"")</f>
        <v/>
      </c>
    </row>
    <row r="2382">
      <c r="A2382">
        <f>IFERROR(INDEX('Email Cleaner'!$B$2:$B$10001,MATCH(2381,'Email Cleaner'!$G$2:$G$10001,0)),"")</f>
        <v/>
      </c>
    </row>
    <row r="2383">
      <c r="A2383">
        <f>IFERROR(INDEX('Email Cleaner'!$B$2:$B$10001,MATCH(2382,'Email Cleaner'!$G$2:$G$10001,0)),"")</f>
        <v/>
      </c>
    </row>
    <row r="2384">
      <c r="A2384">
        <f>IFERROR(INDEX('Email Cleaner'!$B$2:$B$10001,MATCH(2383,'Email Cleaner'!$G$2:$G$10001,0)),"")</f>
        <v/>
      </c>
    </row>
    <row r="2385">
      <c r="A2385">
        <f>IFERROR(INDEX('Email Cleaner'!$B$2:$B$10001,MATCH(2384,'Email Cleaner'!$G$2:$G$10001,0)),"")</f>
        <v/>
      </c>
    </row>
    <row r="2386">
      <c r="A2386">
        <f>IFERROR(INDEX('Email Cleaner'!$B$2:$B$10001,MATCH(2385,'Email Cleaner'!$G$2:$G$10001,0)),"")</f>
        <v/>
      </c>
    </row>
    <row r="2387">
      <c r="A2387">
        <f>IFERROR(INDEX('Email Cleaner'!$B$2:$B$10001,MATCH(2386,'Email Cleaner'!$G$2:$G$10001,0)),"")</f>
        <v/>
      </c>
    </row>
    <row r="2388">
      <c r="A2388">
        <f>IFERROR(INDEX('Email Cleaner'!$B$2:$B$10001,MATCH(2387,'Email Cleaner'!$G$2:$G$10001,0)),"")</f>
        <v/>
      </c>
    </row>
    <row r="2389">
      <c r="A2389">
        <f>IFERROR(INDEX('Email Cleaner'!$B$2:$B$10001,MATCH(2388,'Email Cleaner'!$G$2:$G$10001,0)),"")</f>
        <v/>
      </c>
    </row>
    <row r="2390">
      <c r="A2390">
        <f>IFERROR(INDEX('Email Cleaner'!$B$2:$B$10001,MATCH(2389,'Email Cleaner'!$G$2:$G$10001,0)),"")</f>
        <v/>
      </c>
    </row>
    <row r="2391">
      <c r="A2391">
        <f>IFERROR(INDEX('Email Cleaner'!$B$2:$B$10001,MATCH(2390,'Email Cleaner'!$G$2:$G$10001,0)),"")</f>
        <v/>
      </c>
    </row>
    <row r="2392">
      <c r="A2392">
        <f>IFERROR(INDEX('Email Cleaner'!$B$2:$B$10001,MATCH(2391,'Email Cleaner'!$G$2:$G$10001,0)),"")</f>
        <v/>
      </c>
    </row>
    <row r="2393">
      <c r="A2393">
        <f>IFERROR(INDEX('Email Cleaner'!$B$2:$B$10001,MATCH(2392,'Email Cleaner'!$G$2:$G$10001,0)),"")</f>
        <v/>
      </c>
    </row>
    <row r="2394">
      <c r="A2394">
        <f>IFERROR(INDEX('Email Cleaner'!$B$2:$B$10001,MATCH(2393,'Email Cleaner'!$G$2:$G$10001,0)),"")</f>
        <v/>
      </c>
    </row>
    <row r="2395">
      <c r="A2395">
        <f>IFERROR(INDEX('Email Cleaner'!$B$2:$B$10001,MATCH(2394,'Email Cleaner'!$G$2:$G$10001,0)),"")</f>
        <v/>
      </c>
    </row>
    <row r="2396">
      <c r="A2396">
        <f>IFERROR(INDEX('Email Cleaner'!$B$2:$B$10001,MATCH(2395,'Email Cleaner'!$G$2:$G$10001,0)),"")</f>
        <v/>
      </c>
    </row>
    <row r="2397">
      <c r="A2397">
        <f>IFERROR(INDEX('Email Cleaner'!$B$2:$B$10001,MATCH(2396,'Email Cleaner'!$G$2:$G$10001,0)),"")</f>
        <v/>
      </c>
    </row>
    <row r="2398">
      <c r="A2398">
        <f>IFERROR(INDEX('Email Cleaner'!$B$2:$B$10001,MATCH(2397,'Email Cleaner'!$G$2:$G$10001,0)),"")</f>
        <v/>
      </c>
    </row>
    <row r="2399">
      <c r="A2399">
        <f>IFERROR(INDEX('Email Cleaner'!$B$2:$B$10001,MATCH(2398,'Email Cleaner'!$G$2:$G$10001,0)),"")</f>
        <v/>
      </c>
    </row>
    <row r="2400">
      <c r="A2400">
        <f>IFERROR(INDEX('Email Cleaner'!$B$2:$B$10001,MATCH(2399,'Email Cleaner'!$G$2:$G$10001,0)),"")</f>
        <v/>
      </c>
    </row>
    <row r="2401">
      <c r="A2401">
        <f>IFERROR(INDEX('Email Cleaner'!$B$2:$B$10001,MATCH(2400,'Email Cleaner'!$G$2:$G$10001,0)),"")</f>
        <v/>
      </c>
    </row>
    <row r="2402">
      <c r="A2402">
        <f>IFERROR(INDEX('Email Cleaner'!$B$2:$B$10001,MATCH(2401,'Email Cleaner'!$G$2:$G$10001,0)),"")</f>
        <v/>
      </c>
    </row>
    <row r="2403">
      <c r="A2403">
        <f>IFERROR(INDEX('Email Cleaner'!$B$2:$B$10001,MATCH(2402,'Email Cleaner'!$G$2:$G$10001,0)),"")</f>
        <v/>
      </c>
    </row>
    <row r="2404">
      <c r="A2404">
        <f>IFERROR(INDEX('Email Cleaner'!$B$2:$B$10001,MATCH(2403,'Email Cleaner'!$G$2:$G$10001,0)),"")</f>
        <v/>
      </c>
    </row>
    <row r="2405">
      <c r="A2405">
        <f>IFERROR(INDEX('Email Cleaner'!$B$2:$B$10001,MATCH(2404,'Email Cleaner'!$G$2:$G$10001,0)),"")</f>
        <v/>
      </c>
    </row>
    <row r="2406">
      <c r="A2406">
        <f>IFERROR(INDEX('Email Cleaner'!$B$2:$B$10001,MATCH(2405,'Email Cleaner'!$G$2:$G$10001,0)),"")</f>
        <v/>
      </c>
    </row>
    <row r="2407">
      <c r="A2407">
        <f>IFERROR(INDEX('Email Cleaner'!$B$2:$B$10001,MATCH(2406,'Email Cleaner'!$G$2:$G$10001,0)),"")</f>
        <v/>
      </c>
    </row>
    <row r="2408">
      <c r="A2408">
        <f>IFERROR(INDEX('Email Cleaner'!$B$2:$B$10001,MATCH(2407,'Email Cleaner'!$G$2:$G$10001,0)),"")</f>
        <v/>
      </c>
    </row>
    <row r="2409">
      <c r="A2409">
        <f>IFERROR(INDEX('Email Cleaner'!$B$2:$B$10001,MATCH(2408,'Email Cleaner'!$G$2:$G$10001,0)),"")</f>
        <v/>
      </c>
    </row>
    <row r="2410">
      <c r="A2410">
        <f>IFERROR(INDEX('Email Cleaner'!$B$2:$B$10001,MATCH(2409,'Email Cleaner'!$G$2:$G$10001,0)),"")</f>
        <v/>
      </c>
    </row>
    <row r="2411">
      <c r="A2411">
        <f>IFERROR(INDEX('Email Cleaner'!$B$2:$B$10001,MATCH(2410,'Email Cleaner'!$G$2:$G$10001,0)),"")</f>
        <v/>
      </c>
    </row>
    <row r="2412">
      <c r="A2412">
        <f>IFERROR(INDEX('Email Cleaner'!$B$2:$B$10001,MATCH(2411,'Email Cleaner'!$G$2:$G$10001,0)),"")</f>
        <v/>
      </c>
    </row>
    <row r="2413">
      <c r="A2413">
        <f>IFERROR(INDEX('Email Cleaner'!$B$2:$B$10001,MATCH(2412,'Email Cleaner'!$G$2:$G$10001,0)),"")</f>
        <v/>
      </c>
    </row>
    <row r="2414">
      <c r="A2414">
        <f>IFERROR(INDEX('Email Cleaner'!$B$2:$B$10001,MATCH(2413,'Email Cleaner'!$G$2:$G$10001,0)),"")</f>
        <v/>
      </c>
    </row>
    <row r="2415">
      <c r="A2415">
        <f>IFERROR(INDEX('Email Cleaner'!$B$2:$B$10001,MATCH(2414,'Email Cleaner'!$G$2:$G$10001,0)),"")</f>
        <v/>
      </c>
    </row>
    <row r="2416">
      <c r="A2416">
        <f>IFERROR(INDEX('Email Cleaner'!$B$2:$B$10001,MATCH(2415,'Email Cleaner'!$G$2:$G$10001,0)),"")</f>
        <v/>
      </c>
    </row>
    <row r="2417">
      <c r="A2417">
        <f>IFERROR(INDEX('Email Cleaner'!$B$2:$B$10001,MATCH(2416,'Email Cleaner'!$G$2:$G$10001,0)),"")</f>
        <v/>
      </c>
    </row>
    <row r="2418">
      <c r="A2418">
        <f>IFERROR(INDEX('Email Cleaner'!$B$2:$B$10001,MATCH(2417,'Email Cleaner'!$G$2:$G$10001,0)),"")</f>
        <v/>
      </c>
    </row>
    <row r="2419">
      <c r="A2419">
        <f>IFERROR(INDEX('Email Cleaner'!$B$2:$B$10001,MATCH(2418,'Email Cleaner'!$G$2:$G$10001,0)),"")</f>
        <v/>
      </c>
    </row>
    <row r="2420">
      <c r="A2420">
        <f>IFERROR(INDEX('Email Cleaner'!$B$2:$B$10001,MATCH(2419,'Email Cleaner'!$G$2:$G$10001,0)),"")</f>
        <v/>
      </c>
    </row>
    <row r="2421">
      <c r="A2421">
        <f>IFERROR(INDEX('Email Cleaner'!$B$2:$B$10001,MATCH(2420,'Email Cleaner'!$G$2:$G$10001,0)),"")</f>
        <v/>
      </c>
    </row>
    <row r="2422">
      <c r="A2422">
        <f>IFERROR(INDEX('Email Cleaner'!$B$2:$B$10001,MATCH(2421,'Email Cleaner'!$G$2:$G$10001,0)),"")</f>
        <v/>
      </c>
    </row>
    <row r="2423">
      <c r="A2423">
        <f>IFERROR(INDEX('Email Cleaner'!$B$2:$B$10001,MATCH(2422,'Email Cleaner'!$G$2:$G$10001,0)),"")</f>
        <v/>
      </c>
    </row>
    <row r="2424">
      <c r="A2424">
        <f>IFERROR(INDEX('Email Cleaner'!$B$2:$B$10001,MATCH(2423,'Email Cleaner'!$G$2:$G$10001,0)),"")</f>
        <v/>
      </c>
    </row>
    <row r="2425">
      <c r="A2425">
        <f>IFERROR(INDEX('Email Cleaner'!$B$2:$B$10001,MATCH(2424,'Email Cleaner'!$G$2:$G$10001,0)),"")</f>
        <v/>
      </c>
    </row>
    <row r="2426">
      <c r="A2426">
        <f>IFERROR(INDEX('Email Cleaner'!$B$2:$B$10001,MATCH(2425,'Email Cleaner'!$G$2:$G$10001,0)),"")</f>
        <v/>
      </c>
    </row>
    <row r="2427">
      <c r="A2427">
        <f>IFERROR(INDEX('Email Cleaner'!$B$2:$B$10001,MATCH(2426,'Email Cleaner'!$G$2:$G$10001,0)),"")</f>
        <v/>
      </c>
    </row>
    <row r="2428">
      <c r="A2428">
        <f>IFERROR(INDEX('Email Cleaner'!$B$2:$B$10001,MATCH(2427,'Email Cleaner'!$G$2:$G$10001,0)),"")</f>
        <v/>
      </c>
    </row>
    <row r="2429">
      <c r="A2429">
        <f>IFERROR(INDEX('Email Cleaner'!$B$2:$B$10001,MATCH(2428,'Email Cleaner'!$G$2:$G$10001,0)),"")</f>
        <v/>
      </c>
    </row>
    <row r="2430">
      <c r="A2430">
        <f>IFERROR(INDEX('Email Cleaner'!$B$2:$B$10001,MATCH(2429,'Email Cleaner'!$G$2:$G$10001,0)),"")</f>
        <v/>
      </c>
    </row>
    <row r="2431">
      <c r="A2431">
        <f>IFERROR(INDEX('Email Cleaner'!$B$2:$B$10001,MATCH(2430,'Email Cleaner'!$G$2:$G$10001,0)),"")</f>
        <v/>
      </c>
    </row>
    <row r="2432">
      <c r="A2432">
        <f>IFERROR(INDEX('Email Cleaner'!$B$2:$B$10001,MATCH(2431,'Email Cleaner'!$G$2:$G$10001,0)),"")</f>
        <v/>
      </c>
    </row>
    <row r="2433">
      <c r="A2433">
        <f>IFERROR(INDEX('Email Cleaner'!$B$2:$B$10001,MATCH(2432,'Email Cleaner'!$G$2:$G$10001,0)),"")</f>
        <v/>
      </c>
    </row>
    <row r="2434">
      <c r="A2434">
        <f>IFERROR(INDEX('Email Cleaner'!$B$2:$B$10001,MATCH(2433,'Email Cleaner'!$G$2:$G$10001,0)),"")</f>
        <v/>
      </c>
    </row>
    <row r="2435">
      <c r="A2435">
        <f>IFERROR(INDEX('Email Cleaner'!$B$2:$B$10001,MATCH(2434,'Email Cleaner'!$G$2:$G$10001,0)),"")</f>
        <v/>
      </c>
    </row>
    <row r="2436">
      <c r="A2436">
        <f>IFERROR(INDEX('Email Cleaner'!$B$2:$B$10001,MATCH(2435,'Email Cleaner'!$G$2:$G$10001,0)),"")</f>
        <v/>
      </c>
    </row>
    <row r="2437">
      <c r="A2437">
        <f>IFERROR(INDEX('Email Cleaner'!$B$2:$B$10001,MATCH(2436,'Email Cleaner'!$G$2:$G$10001,0)),"")</f>
        <v/>
      </c>
    </row>
    <row r="2438">
      <c r="A2438">
        <f>IFERROR(INDEX('Email Cleaner'!$B$2:$B$10001,MATCH(2437,'Email Cleaner'!$G$2:$G$10001,0)),"")</f>
        <v/>
      </c>
    </row>
    <row r="2439">
      <c r="A2439">
        <f>IFERROR(INDEX('Email Cleaner'!$B$2:$B$10001,MATCH(2438,'Email Cleaner'!$G$2:$G$10001,0)),"")</f>
        <v/>
      </c>
    </row>
    <row r="2440">
      <c r="A2440">
        <f>IFERROR(INDEX('Email Cleaner'!$B$2:$B$10001,MATCH(2439,'Email Cleaner'!$G$2:$G$10001,0)),"")</f>
        <v/>
      </c>
    </row>
    <row r="2441">
      <c r="A2441">
        <f>IFERROR(INDEX('Email Cleaner'!$B$2:$B$10001,MATCH(2440,'Email Cleaner'!$G$2:$G$10001,0)),"")</f>
        <v/>
      </c>
    </row>
    <row r="2442">
      <c r="A2442">
        <f>IFERROR(INDEX('Email Cleaner'!$B$2:$B$10001,MATCH(2441,'Email Cleaner'!$G$2:$G$10001,0)),"")</f>
        <v/>
      </c>
    </row>
    <row r="2443">
      <c r="A2443">
        <f>IFERROR(INDEX('Email Cleaner'!$B$2:$B$10001,MATCH(2442,'Email Cleaner'!$G$2:$G$10001,0)),"")</f>
        <v/>
      </c>
    </row>
    <row r="2444">
      <c r="A2444">
        <f>IFERROR(INDEX('Email Cleaner'!$B$2:$B$10001,MATCH(2443,'Email Cleaner'!$G$2:$G$10001,0)),"")</f>
        <v/>
      </c>
    </row>
    <row r="2445">
      <c r="A2445">
        <f>IFERROR(INDEX('Email Cleaner'!$B$2:$B$10001,MATCH(2444,'Email Cleaner'!$G$2:$G$10001,0)),"")</f>
        <v/>
      </c>
    </row>
    <row r="2446">
      <c r="A2446">
        <f>IFERROR(INDEX('Email Cleaner'!$B$2:$B$10001,MATCH(2445,'Email Cleaner'!$G$2:$G$10001,0)),"")</f>
        <v/>
      </c>
    </row>
    <row r="2447">
      <c r="A2447">
        <f>IFERROR(INDEX('Email Cleaner'!$B$2:$B$10001,MATCH(2446,'Email Cleaner'!$G$2:$G$10001,0)),"")</f>
        <v/>
      </c>
    </row>
    <row r="2448">
      <c r="A2448">
        <f>IFERROR(INDEX('Email Cleaner'!$B$2:$B$10001,MATCH(2447,'Email Cleaner'!$G$2:$G$10001,0)),"")</f>
        <v/>
      </c>
    </row>
    <row r="2449">
      <c r="A2449">
        <f>IFERROR(INDEX('Email Cleaner'!$B$2:$B$10001,MATCH(2448,'Email Cleaner'!$G$2:$G$10001,0)),"")</f>
        <v/>
      </c>
    </row>
    <row r="2450">
      <c r="A2450">
        <f>IFERROR(INDEX('Email Cleaner'!$B$2:$B$10001,MATCH(2449,'Email Cleaner'!$G$2:$G$10001,0)),"")</f>
        <v/>
      </c>
    </row>
    <row r="2451">
      <c r="A2451">
        <f>IFERROR(INDEX('Email Cleaner'!$B$2:$B$10001,MATCH(2450,'Email Cleaner'!$G$2:$G$10001,0)),"")</f>
        <v/>
      </c>
    </row>
    <row r="2452">
      <c r="A2452">
        <f>IFERROR(INDEX('Email Cleaner'!$B$2:$B$10001,MATCH(2451,'Email Cleaner'!$G$2:$G$10001,0)),"")</f>
        <v/>
      </c>
    </row>
    <row r="2453">
      <c r="A2453">
        <f>IFERROR(INDEX('Email Cleaner'!$B$2:$B$10001,MATCH(2452,'Email Cleaner'!$G$2:$G$10001,0)),"")</f>
        <v/>
      </c>
    </row>
    <row r="2454">
      <c r="A2454">
        <f>IFERROR(INDEX('Email Cleaner'!$B$2:$B$10001,MATCH(2453,'Email Cleaner'!$G$2:$G$10001,0)),"")</f>
        <v/>
      </c>
    </row>
    <row r="2455">
      <c r="A2455">
        <f>IFERROR(INDEX('Email Cleaner'!$B$2:$B$10001,MATCH(2454,'Email Cleaner'!$G$2:$G$10001,0)),"")</f>
        <v/>
      </c>
    </row>
    <row r="2456">
      <c r="A2456">
        <f>IFERROR(INDEX('Email Cleaner'!$B$2:$B$10001,MATCH(2455,'Email Cleaner'!$G$2:$G$10001,0)),"")</f>
        <v/>
      </c>
    </row>
    <row r="2457">
      <c r="A2457">
        <f>IFERROR(INDEX('Email Cleaner'!$B$2:$B$10001,MATCH(2456,'Email Cleaner'!$G$2:$G$10001,0)),"")</f>
        <v/>
      </c>
    </row>
    <row r="2458">
      <c r="A2458">
        <f>IFERROR(INDEX('Email Cleaner'!$B$2:$B$10001,MATCH(2457,'Email Cleaner'!$G$2:$G$10001,0)),"")</f>
        <v/>
      </c>
    </row>
    <row r="2459">
      <c r="A2459">
        <f>IFERROR(INDEX('Email Cleaner'!$B$2:$B$10001,MATCH(2458,'Email Cleaner'!$G$2:$G$10001,0)),"")</f>
        <v/>
      </c>
    </row>
    <row r="2460">
      <c r="A2460">
        <f>IFERROR(INDEX('Email Cleaner'!$B$2:$B$10001,MATCH(2459,'Email Cleaner'!$G$2:$G$10001,0)),"")</f>
        <v/>
      </c>
    </row>
    <row r="2461">
      <c r="A2461">
        <f>IFERROR(INDEX('Email Cleaner'!$B$2:$B$10001,MATCH(2460,'Email Cleaner'!$G$2:$G$10001,0)),"")</f>
        <v/>
      </c>
    </row>
    <row r="2462">
      <c r="A2462">
        <f>IFERROR(INDEX('Email Cleaner'!$B$2:$B$10001,MATCH(2461,'Email Cleaner'!$G$2:$G$10001,0)),"")</f>
        <v/>
      </c>
    </row>
    <row r="2463">
      <c r="A2463">
        <f>IFERROR(INDEX('Email Cleaner'!$B$2:$B$10001,MATCH(2462,'Email Cleaner'!$G$2:$G$10001,0)),"")</f>
        <v/>
      </c>
    </row>
    <row r="2464">
      <c r="A2464">
        <f>IFERROR(INDEX('Email Cleaner'!$B$2:$B$10001,MATCH(2463,'Email Cleaner'!$G$2:$G$10001,0)),"")</f>
        <v/>
      </c>
    </row>
    <row r="2465">
      <c r="A2465">
        <f>IFERROR(INDEX('Email Cleaner'!$B$2:$B$10001,MATCH(2464,'Email Cleaner'!$G$2:$G$10001,0)),"")</f>
        <v/>
      </c>
    </row>
    <row r="2466">
      <c r="A2466">
        <f>IFERROR(INDEX('Email Cleaner'!$B$2:$B$10001,MATCH(2465,'Email Cleaner'!$G$2:$G$10001,0)),"")</f>
        <v/>
      </c>
    </row>
    <row r="2467">
      <c r="A2467">
        <f>IFERROR(INDEX('Email Cleaner'!$B$2:$B$10001,MATCH(2466,'Email Cleaner'!$G$2:$G$10001,0)),"")</f>
        <v/>
      </c>
    </row>
    <row r="2468">
      <c r="A2468">
        <f>IFERROR(INDEX('Email Cleaner'!$B$2:$B$10001,MATCH(2467,'Email Cleaner'!$G$2:$G$10001,0)),"")</f>
        <v/>
      </c>
    </row>
    <row r="2469">
      <c r="A2469">
        <f>IFERROR(INDEX('Email Cleaner'!$B$2:$B$10001,MATCH(2468,'Email Cleaner'!$G$2:$G$10001,0)),"")</f>
        <v/>
      </c>
    </row>
    <row r="2470">
      <c r="A2470">
        <f>IFERROR(INDEX('Email Cleaner'!$B$2:$B$10001,MATCH(2469,'Email Cleaner'!$G$2:$G$10001,0)),"")</f>
        <v/>
      </c>
    </row>
    <row r="2471">
      <c r="A2471">
        <f>IFERROR(INDEX('Email Cleaner'!$B$2:$B$10001,MATCH(2470,'Email Cleaner'!$G$2:$G$10001,0)),"")</f>
        <v/>
      </c>
    </row>
    <row r="2472">
      <c r="A2472">
        <f>IFERROR(INDEX('Email Cleaner'!$B$2:$B$10001,MATCH(2471,'Email Cleaner'!$G$2:$G$10001,0)),"")</f>
        <v/>
      </c>
    </row>
    <row r="2473">
      <c r="A2473">
        <f>IFERROR(INDEX('Email Cleaner'!$B$2:$B$10001,MATCH(2472,'Email Cleaner'!$G$2:$G$10001,0)),"")</f>
        <v/>
      </c>
    </row>
    <row r="2474">
      <c r="A2474">
        <f>IFERROR(INDEX('Email Cleaner'!$B$2:$B$10001,MATCH(2473,'Email Cleaner'!$G$2:$G$10001,0)),"")</f>
        <v/>
      </c>
    </row>
    <row r="2475">
      <c r="A2475">
        <f>IFERROR(INDEX('Email Cleaner'!$B$2:$B$10001,MATCH(2474,'Email Cleaner'!$G$2:$G$10001,0)),"")</f>
        <v/>
      </c>
    </row>
    <row r="2476">
      <c r="A2476">
        <f>IFERROR(INDEX('Email Cleaner'!$B$2:$B$10001,MATCH(2475,'Email Cleaner'!$G$2:$G$10001,0)),"")</f>
        <v/>
      </c>
    </row>
    <row r="2477">
      <c r="A2477">
        <f>IFERROR(INDEX('Email Cleaner'!$B$2:$B$10001,MATCH(2476,'Email Cleaner'!$G$2:$G$10001,0)),"")</f>
        <v/>
      </c>
    </row>
    <row r="2478">
      <c r="A2478">
        <f>IFERROR(INDEX('Email Cleaner'!$B$2:$B$10001,MATCH(2477,'Email Cleaner'!$G$2:$G$10001,0)),"")</f>
        <v/>
      </c>
    </row>
    <row r="2479">
      <c r="A2479">
        <f>IFERROR(INDEX('Email Cleaner'!$B$2:$B$10001,MATCH(2478,'Email Cleaner'!$G$2:$G$10001,0)),"")</f>
        <v/>
      </c>
    </row>
    <row r="2480">
      <c r="A2480">
        <f>IFERROR(INDEX('Email Cleaner'!$B$2:$B$10001,MATCH(2479,'Email Cleaner'!$G$2:$G$10001,0)),"")</f>
        <v/>
      </c>
    </row>
    <row r="2481">
      <c r="A2481">
        <f>IFERROR(INDEX('Email Cleaner'!$B$2:$B$10001,MATCH(2480,'Email Cleaner'!$G$2:$G$10001,0)),"")</f>
        <v/>
      </c>
    </row>
    <row r="2482">
      <c r="A2482">
        <f>IFERROR(INDEX('Email Cleaner'!$B$2:$B$10001,MATCH(2481,'Email Cleaner'!$G$2:$G$10001,0)),"")</f>
        <v/>
      </c>
    </row>
    <row r="2483">
      <c r="A2483">
        <f>IFERROR(INDEX('Email Cleaner'!$B$2:$B$10001,MATCH(2482,'Email Cleaner'!$G$2:$G$10001,0)),"")</f>
        <v/>
      </c>
    </row>
    <row r="2484">
      <c r="A2484">
        <f>IFERROR(INDEX('Email Cleaner'!$B$2:$B$10001,MATCH(2483,'Email Cleaner'!$G$2:$G$10001,0)),"")</f>
        <v/>
      </c>
    </row>
    <row r="2485">
      <c r="A2485">
        <f>IFERROR(INDEX('Email Cleaner'!$B$2:$B$10001,MATCH(2484,'Email Cleaner'!$G$2:$G$10001,0)),"")</f>
        <v/>
      </c>
    </row>
    <row r="2486">
      <c r="A2486">
        <f>IFERROR(INDEX('Email Cleaner'!$B$2:$B$10001,MATCH(2485,'Email Cleaner'!$G$2:$G$10001,0)),"")</f>
        <v/>
      </c>
    </row>
    <row r="2487">
      <c r="A2487">
        <f>IFERROR(INDEX('Email Cleaner'!$B$2:$B$10001,MATCH(2486,'Email Cleaner'!$G$2:$G$10001,0)),"")</f>
        <v/>
      </c>
    </row>
    <row r="2488">
      <c r="A2488">
        <f>IFERROR(INDEX('Email Cleaner'!$B$2:$B$10001,MATCH(2487,'Email Cleaner'!$G$2:$G$10001,0)),"")</f>
        <v/>
      </c>
    </row>
    <row r="2489">
      <c r="A2489">
        <f>IFERROR(INDEX('Email Cleaner'!$B$2:$B$10001,MATCH(2488,'Email Cleaner'!$G$2:$G$10001,0)),"")</f>
        <v/>
      </c>
    </row>
    <row r="2490">
      <c r="A2490">
        <f>IFERROR(INDEX('Email Cleaner'!$B$2:$B$10001,MATCH(2489,'Email Cleaner'!$G$2:$G$10001,0)),"")</f>
        <v/>
      </c>
    </row>
    <row r="2491">
      <c r="A2491">
        <f>IFERROR(INDEX('Email Cleaner'!$B$2:$B$10001,MATCH(2490,'Email Cleaner'!$G$2:$G$10001,0)),"")</f>
        <v/>
      </c>
    </row>
    <row r="2492">
      <c r="A2492">
        <f>IFERROR(INDEX('Email Cleaner'!$B$2:$B$10001,MATCH(2491,'Email Cleaner'!$G$2:$G$10001,0)),"")</f>
        <v/>
      </c>
    </row>
    <row r="2493">
      <c r="A2493">
        <f>IFERROR(INDEX('Email Cleaner'!$B$2:$B$10001,MATCH(2492,'Email Cleaner'!$G$2:$G$10001,0)),"")</f>
        <v/>
      </c>
    </row>
    <row r="2494">
      <c r="A2494">
        <f>IFERROR(INDEX('Email Cleaner'!$B$2:$B$10001,MATCH(2493,'Email Cleaner'!$G$2:$G$10001,0)),"")</f>
        <v/>
      </c>
    </row>
    <row r="2495">
      <c r="A2495">
        <f>IFERROR(INDEX('Email Cleaner'!$B$2:$B$10001,MATCH(2494,'Email Cleaner'!$G$2:$G$10001,0)),"")</f>
        <v/>
      </c>
    </row>
    <row r="2496">
      <c r="A2496">
        <f>IFERROR(INDEX('Email Cleaner'!$B$2:$B$10001,MATCH(2495,'Email Cleaner'!$G$2:$G$10001,0)),"")</f>
        <v/>
      </c>
    </row>
    <row r="2497">
      <c r="A2497">
        <f>IFERROR(INDEX('Email Cleaner'!$B$2:$B$10001,MATCH(2496,'Email Cleaner'!$G$2:$G$10001,0)),"")</f>
        <v/>
      </c>
    </row>
    <row r="2498">
      <c r="A2498">
        <f>IFERROR(INDEX('Email Cleaner'!$B$2:$B$10001,MATCH(2497,'Email Cleaner'!$G$2:$G$10001,0)),"")</f>
        <v/>
      </c>
    </row>
    <row r="2499">
      <c r="A2499">
        <f>IFERROR(INDEX('Email Cleaner'!$B$2:$B$10001,MATCH(2498,'Email Cleaner'!$G$2:$G$10001,0)),"")</f>
        <v/>
      </c>
    </row>
    <row r="2500">
      <c r="A2500">
        <f>IFERROR(INDEX('Email Cleaner'!$B$2:$B$10001,MATCH(2499,'Email Cleaner'!$G$2:$G$10001,0)),"")</f>
        <v/>
      </c>
    </row>
    <row r="2501">
      <c r="A2501">
        <f>IFERROR(INDEX('Email Cleaner'!$B$2:$B$10001,MATCH(2500,'Email Cleaner'!$G$2:$G$10001,0)),"")</f>
        <v/>
      </c>
    </row>
    <row r="2502">
      <c r="A2502">
        <f>IFERROR(INDEX('Email Cleaner'!$B$2:$B$10001,MATCH(2501,'Email Cleaner'!$G$2:$G$10001,0)),"")</f>
        <v/>
      </c>
    </row>
    <row r="2503">
      <c r="A2503">
        <f>IFERROR(INDEX('Email Cleaner'!$B$2:$B$10001,MATCH(2502,'Email Cleaner'!$G$2:$G$10001,0)),"")</f>
        <v/>
      </c>
    </row>
    <row r="2504">
      <c r="A2504">
        <f>IFERROR(INDEX('Email Cleaner'!$B$2:$B$10001,MATCH(2503,'Email Cleaner'!$G$2:$G$10001,0)),"")</f>
        <v/>
      </c>
    </row>
    <row r="2505">
      <c r="A2505">
        <f>IFERROR(INDEX('Email Cleaner'!$B$2:$B$10001,MATCH(2504,'Email Cleaner'!$G$2:$G$10001,0)),"")</f>
        <v/>
      </c>
    </row>
    <row r="2506">
      <c r="A2506">
        <f>IFERROR(INDEX('Email Cleaner'!$B$2:$B$10001,MATCH(2505,'Email Cleaner'!$G$2:$G$10001,0)),"")</f>
        <v/>
      </c>
    </row>
    <row r="2507">
      <c r="A2507">
        <f>IFERROR(INDEX('Email Cleaner'!$B$2:$B$10001,MATCH(2506,'Email Cleaner'!$G$2:$G$10001,0)),"")</f>
        <v/>
      </c>
    </row>
    <row r="2508">
      <c r="A2508">
        <f>IFERROR(INDEX('Email Cleaner'!$B$2:$B$10001,MATCH(2507,'Email Cleaner'!$G$2:$G$10001,0)),"")</f>
        <v/>
      </c>
    </row>
    <row r="2509">
      <c r="A2509">
        <f>IFERROR(INDEX('Email Cleaner'!$B$2:$B$10001,MATCH(2508,'Email Cleaner'!$G$2:$G$10001,0)),"")</f>
        <v/>
      </c>
    </row>
    <row r="2510">
      <c r="A2510">
        <f>IFERROR(INDEX('Email Cleaner'!$B$2:$B$10001,MATCH(2509,'Email Cleaner'!$G$2:$G$10001,0)),"")</f>
        <v/>
      </c>
    </row>
    <row r="2511">
      <c r="A2511">
        <f>IFERROR(INDEX('Email Cleaner'!$B$2:$B$10001,MATCH(2510,'Email Cleaner'!$G$2:$G$10001,0)),"")</f>
        <v/>
      </c>
    </row>
    <row r="2512">
      <c r="A2512">
        <f>IFERROR(INDEX('Email Cleaner'!$B$2:$B$10001,MATCH(2511,'Email Cleaner'!$G$2:$G$10001,0)),"")</f>
        <v/>
      </c>
    </row>
    <row r="2513">
      <c r="A2513">
        <f>IFERROR(INDEX('Email Cleaner'!$B$2:$B$10001,MATCH(2512,'Email Cleaner'!$G$2:$G$10001,0)),"")</f>
        <v/>
      </c>
    </row>
    <row r="2514">
      <c r="A2514">
        <f>IFERROR(INDEX('Email Cleaner'!$B$2:$B$10001,MATCH(2513,'Email Cleaner'!$G$2:$G$10001,0)),"")</f>
        <v/>
      </c>
    </row>
    <row r="2515">
      <c r="A2515">
        <f>IFERROR(INDEX('Email Cleaner'!$B$2:$B$10001,MATCH(2514,'Email Cleaner'!$G$2:$G$10001,0)),"")</f>
        <v/>
      </c>
    </row>
    <row r="2516">
      <c r="A2516">
        <f>IFERROR(INDEX('Email Cleaner'!$B$2:$B$10001,MATCH(2515,'Email Cleaner'!$G$2:$G$10001,0)),"")</f>
        <v/>
      </c>
    </row>
    <row r="2517">
      <c r="A2517">
        <f>IFERROR(INDEX('Email Cleaner'!$B$2:$B$10001,MATCH(2516,'Email Cleaner'!$G$2:$G$10001,0)),"")</f>
        <v/>
      </c>
    </row>
    <row r="2518">
      <c r="A2518">
        <f>IFERROR(INDEX('Email Cleaner'!$B$2:$B$10001,MATCH(2517,'Email Cleaner'!$G$2:$G$10001,0)),"")</f>
        <v/>
      </c>
    </row>
    <row r="2519">
      <c r="A2519">
        <f>IFERROR(INDEX('Email Cleaner'!$B$2:$B$10001,MATCH(2518,'Email Cleaner'!$G$2:$G$10001,0)),"")</f>
        <v/>
      </c>
    </row>
    <row r="2520">
      <c r="A2520">
        <f>IFERROR(INDEX('Email Cleaner'!$B$2:$B$10001,MATCH(2519,'Email Cleaner'!$G$2:$G$10001,0)),"")</f>
        <v/>
      </c>
    </row>
    <row r="2521">
      <c r="A2521">
        <f>IFERROR(INDEX('Email Cleaner'!$B$2:$B$10001,MATCH(2520,'Email Cleaner'!$G$2:$G$10001,0)),"")</f>
        <v/>
      </c>
    </row>
    <row r="2522">
      <c r="A2522">
        <f>IFERROR(INDEX('Email Cleaner'!$B$2:$B$10001,MATCH(2521,'Email Cleaner'!$G$2:$G$10001,0)),"")</f>
        <v/>
      </c>
    </row>
    <row r="2523">
      <c r="A2523">
        <f>IFERROR(INDEX('Email Cleaner'!$B$2:$B$10001,MATCH(2522,'Email Cleaner'!$G$2:$G$10001,0)),"")</f>
        <v/>
      </c>
    </row>
    <row r="2524">
      <c r="A2524">
        <f>IFERROR(INDEX('Email Cleaner'!$B$2:$B$10001,MATCH(2523,'Email Cleaner'!$G$2:$G$10001,0)),"")</f>
        <v/>
      </c>
    </row>
    <row r="2525">
      <c r="A2525">
        <f>IFERROR(INDEX('Email Cleaner'!$B$2:$B$10001,MATCH(2524,'Email Cleaner'!$G$2:$G$10001,0)),"")</f>
        <v/>
      </c>
    </row>
    <row r="2526">
      <c r="A2526">
        <f>IFERROR(INDEX('Email Cleaner'!$B$2:$B$10001,MATCH(2525,'Email Cleaner'!$G$2:$G$10001,0)),"")</f>
        <v/>
      </c>
    </row>
    <row r="2527">
      <c r="A2527">
        <f>IFERROR(INDEX('Email Cleaner'!$B$2:$B$10001,MATCH(2526,'Email Cleaner'!$G$2:$G$10001,0)),"")</f>
        <v/>
      </c>
    </row>
    <row r="2528">
      <c r="A2528">
        <f>IFERROR(INDEX('Email Cleaner'!$B$2:$B$10001,MATCH(2527,'Email Cleaner'!$G$2:$G$10001,0)),"")</f>
        <v/>
      </c>
    </row>
    <row r="2529">
      <c r="A2529">
        <f>IFERROR(INDEX('Email Cleaner'!$B$2:$B$10001,MATCH(2528,'Email Cleaner'!$G$2:$G$10001,0)),"")</f>
        <v/>
      </c>
    </row>
    <row r="2530">
      <c r="A2530">
        <f>IFERROR(INDEX('Email Cleaner'!$B$2:$B$10001,MATCH(2529,'Email Cleaner'!$G$2:$G$10001,0)),"")</f>
        <v/>
      </c>
    </row>
    <row r="2531">
      <c r="A2531">
        <f>IFERROR(INDEX('Email Cleaner'!$B$2:$B$10001,MATCH(2530,'Email Cleaner'!$G$2:$G$10001,0)),"")</f>
        <v/>
      </c>
    </row>
    <row r="2532">
      <c r="A2532">
        <f>IFERROR(INDEX('Email Cleaner'!$B$2:$B$10001,MATCH(2531,'Email Cleaner'!$G$2:$G$10001,0)),"")</f>
        <v/>
      </c>
    </row>
    <row r="2533">
      <c r="A2533">
        <f>IFERROR(INDEX('Email Cleaner'!$B$2:$B$10001,MATCH(2532,'Email Cleaner'!$G$2:$G$10001,0)),"")</f>
        <v/>
      </c>
    </row>
    <row r="2534">
      <c r="A2534">
        <f>IFERROR(INDEX('Email Cleaner'!$B$2:$B$10001,MATCH(2533,'Email Cleaner'!$G$2:$G$10001,0)),"")</f>
        <v/>
      </c>
    </row>
    <row r="2535">
      <c r="A2535">
        <f>IFERROR(INDEX('Email Cleaner'!$B$2:$B$10001,MATCH(2534,'Email Cleaner'!$G$2:$G$10001,0)),"")</f>
        <v/>
      </c>
    </row>
    <row r="2536">
      <c r="A2536">
        <f>IFERROR(INDEX('Email Cleaner'!$B$2:$B$10001,MATCH(2535,'Email Cleaner'!$G$2:$G$10001,0)),"")</f>
        <v/>
      </c>
    </row>
    <row r="2537">
      <c r="A2537">
        <f>IFERROR(INDEX('Email Cleaner'!$B$2:$B$10001,MATCH(2536,'Email Cleaner'!$G$2:$G$10001,0)),"")</f>
        <v/>
      </c>
    </row>
    <row r="2538">
      <c r="A2538">
        <f>IFERROR(INDEX('Email Cleaner'!$B$2:$B$10001,MATCH(2537,'Email Cleaner'!$G$2:$G$10001,0)),"")</f>
        <v/>
      </c>
    </row>
    <row r="2539">
      <c r="A2539">
        <f>IFERROR(INDEX('Email Cleaner'!$B$2:$B$10001,MATCH(2538,'Email Cleaner'!$G$2:$G$10001,0)),"")</f>
        <v/>
      </c>
    </row>
    <row r="2540">
      <c r="A2540">
        <f>IFERROR(INDEX('Email Cleaner'!$B$2:$B$10001,MATCH(2539,'Email Cleaner'!$G$2:$G$10001,0)),"")</f>
        <v/>
      </c>
    </row>
    <row r="2541">
      <c r="A2541">
        <f>IFERROR(INDEX('Email Cleaner'!$B$2:$B$10001,MATCH(2540,'Email Cleaner'!$G$2:$G$10001,0)),"")</f>
        <v/>
      </c>
    </row>
    <row r="2542">
      <c r="A2542">
        <f>IFERROR(INDEX('Email Cleaner'!$B$2:$B$10001,MATCH(2541,'Email Cleaner'!$G$2:$G$10001,0)),"")</f>
        <v/>
      </c>
    </row>
    <row r="2543">
      <c r="A2543">
        <f>IFERROR(INDEX('Email Cleaner'!$B$2:$B$10001,MATCH(2542,'Email Cleaner'!$G$2:$G$10001,0)),"")</f>
        <v/>
      </c>
    </row>
    <row r="2544">
      <c r="A2544">
        <f>IFERROR(INDEX('Email Cleaner'!$B$2:$B$10001,MATCH(2543,'Email Cleaner'!$G$2:$G$10001,0)),"")</f>
        <v/>
      </c>
    </row>
    <row r="2545">
      <c r="A2545">
        <f>IFERROR(INDEX('Email Cleaner'!$B$2:$B$10001,MATCH(2544,'Email Cleaner'!$G$2:$G$10001,0)),"")</f>
        <v/>
      </c>
    </row>
    <row r="2546">
      <c r="A2546">
        <f>IFERROR(INDEX('Email Cleaner'!$B$2:$B$10001,MATCH(2545,'Email Cleaner'!$G$2:$G$10001,0)),"")</f>
        <v/>
      </c>
    </row>
    <row r="2547">
      <c r="A2547">
        <f>IFERROR(INDEX('Email Cleaner'!$B$2:$B$10001,MATCH(2546,'Email Cleaner'!$G$2:$G$10001,0)),"")</f>
        <v/>
      </c>
    </row>
    <row r="2548">
      <c r="A2548">
        <f>IFERROR(INDEX('Email Cleaner'!$B$2:$B$10001,MATCH(2547,'Email Cleaner'!$G$2:$G$10001,0)),"")</f>
        <v/>
      </c>
    </row>
    <row r="2549">
      <c r="A2549">
        <f>IFERROR(INDEX('Email Cleaner'!$B$2:$B$10001,MATCH(2548,'Email Cleaner'!$G$2:$G$10001,0)),"")</f>
        <v/>
      </c>
    </row>
    <row r="2550">
      <c r="A2550">
        <f>IFERROR(INDEX('Email Cleaner'!$B$2:$B$10001,MATCH(2549,'Email Cleaner'!$G$2:$G$10001,0)),"")</f>
        <v/>
      </c>
    </row>
    <row r="2551">
      <c r="A2551">
        <f>IFERROR(INDEX('Email Cleaner'!$B$2:$B$10001,MATCH(2550,'Email Cleaner'!$G$2:$G$10001,0)),"")</f>
        <v/>
      </c>
    </row>
    <row r="2552">
      <c r="A2552">
        <f>IFERROR(INDEX('Email Cleaner'!$B$2:$B$10001,MATCH(2551,'Email Cleaner'!$G$2:$G$10001,0)),"")</f>
        <v/>
      </c>
    </row>
    <row r="2553">
      <c r="A2553">
        <f>IFERROR(INDEX('Email Cleaner'!$B$2:$B$10001,MATCH(2552,'Email Cleaner'!$G$2:$G$10001,0)),"")</f>
        <v/>
      </c>
    </row>
    <row r="2554">
      <c r="A2554">
        <f>IFERROR(INDEX('Email Cleaner'!$B$2:$B$10001,MATCH(2553,'Email Cleaner'!$G$2:$G$10001,0)),"")</f>
        <v/>
      </c>
    </row>
    <row r="2555">
      <c r="A2555">
        <f>IFERROR(INDEX('Email Cleaner'!$B$2:$B$10001,MATCH(2554,'Email Cleaner'!$G$2:$G$10001,0)),"")</f>
        <v/>
      </c>
    </row>
    <row r="2556">
      <c r="A2556">
        <f>IFERROR(INDEX('Email Cleaner'!$B$2:$B$10001,MATCH(2555,'Email Cleaner'!$G$2:$G$10001,0)),"")</f>
        <v/>
      </c>
    </row>
    <row r="2557">
      <c r="A2557">
        <f>IFERROR(INDEX('Email Cleaner'!$B$2:$B$10001,MATCH(2556,'Email Cleaner'!$G$2:$G$10001,0)),"")</f>
        <v/>
      </c>
    </row>
    <row r="2558">
      <c r="A2558">
        <f>IFERROR(INDEX('Email Cleaner'!$B$2:$B$10001,MATCH(2557,'Email Cleaner'!$G$2:$G$10001,0)),"")</f>
        <v/>
      </c>
    </row>
    <row r="2559">
      <c r="A2559">
        <f>IFERROR(INDEX('Email Cleaner'!$B$2:$B$10001,MATCH(2558,'Email Cleaner'!$G$2:$G$10001,0)),"")</f>
        <v/>
      </c>
    </row>
    <row r="2560">
      <c r="A2560">
        <f>IFERROR(INDEX('Email Cleaner'!$B$2:$B$10001,MATCH(2559,'Email Cleaner'!$G$2:$G$10001,0)),"")</f>
        <v/>
      </c>
    </row>
    <row r="2561">
      <c r="A2561">
        <f>IFERROR(INDEX('Email Cleaner'!$B$2:$B$10001,MATCH(2560,'Email Cleaner'!$G$2:$G$10001,0)),"")</f>
        <v/>
      </c>
    </row>
    <row r="2562">
      <c r="A2562">
        <f>IFERROR(INDEX('Email Cleaner'!$B$2:$B$10001,MATCH(2561,'Email Cleaner'!$G$2:$G$10001,0)),"")</f>
        <v/>
      </c>
    </row>
    <row r="2563">
      <c r="A2563">
        <f>IFERROR(INDEX('Email Cleaner'!$B$2:$B$10001,MATCH(2562,'Email Cleaner'!$G$2:$G$10001,0)),"")</f>
        <v/>
      </c>
    </row>
    <row r="2564">
      <c r="A2564">
        <f>IFERROR(INDEX('Email Cleaner'!$B$2:$B$10001,MATCH(2563,'Email Cleaner'!$G$2:$G$10001,0)),"")</f>
        <v/>
      </c>
    </row>
    <row r="2565">
      <c r="A2565">
        <f>IFERROR(INDEX('Email Cleaner'!$B$2:$B$10001,MATCH(2564,'Email Cleaner'!$G$2:$G$10001,0)),"")</f>
        <v/>
      </c>
    </row>
    <row r="2566">
      <c r="A2566">
        <f>IFERROR(INDEX('Email Cleaner'!$B$2:$B$10001,MATCH(2565,'Email Cleaner'!$G$2:$G$10001,0)),"")</f>
        <v/>
      </c>
    </row>
    <row r="2567">
      <c r="A2567">
        <f>IFERROR(INDEX('Email Cleaner'!$B$2:$B$10001,MATCH(2566,'Email Cleaner'!$G$2:$G$10001,0)),"")</f>
        <v/>
      </c>
    </row>
    <row r="2568">
      <c r="A2568">
        <f>IFERROR(INDEX('Email Cleaner'!$B$2:$B$10001,MATCH(2567,'Email Cleaner'!$G$2:$G$10001,0)),"")</f>
        <v/>
      </c>
    </row>
    <row r="2569">
      <c r="A2569">
        <f>IFERROR(INDEX('Email Cleaner'!$B$2:$B$10001,MATCH(2568,'Email Cleaner'!$G$2:$G$10001,0)),"")</f>
        <v/>
      </c>
    </row>
    <row r="2570">
      <c r="A2570">
        <f>IFERROR(INDEX('Email Cleaner'!$B$2:$B$10001,MATCH(2569,'Email Cleaner'!$G$2:$G$10001,0)),"")</f>
        <v/>
      </c>
    </row>
    <row r="2571">
      <c r="A2571">
        <f>IFERROR(INDEX('Email Cleaner'!$B$2:$B$10001,MATCH(2570,'Email Cleaner'!$G$2:$G$10001,0)),"")</f>
        <v/>
      </c>
    </row>
    <row r="2572">
      <c r="A2572">
        <f>IFERROR(INDEX('Email Cleaner'!$B$2:$B$10001,MATCH(2571,'Email Cleaner'!$G$2:$G$10001,0)),"")</f>
        <v/>
      </c>
    </row>
    <row r="2573">
      <c r="A2573">
        <f>IFERROR(INDEX('Email Cleaner'!$B$2:$B$10001,MATCH(2572,'Email Cleaner'!$G$2:$G$10001,0)),"")</f>
        <v/>
      </c>
    </row>
    <row r="2574">
      <c r="A2574">
        <f>IFERROR(INDEX('Email Cleaner'!$B$2:$B$10001,MATCH(2573,'Email Cleaner'!$G$2:$G$10001,0)),"")</f>
        <v/>
      </c>
    </row>
    <row r="2575">
      <c r="A2575">
        <f>IFERROR(INDEX('Email Cleaner'!$B$2:$B$10001,MATCH(2574,'Email Cleaner'!$G$2:$G$10001,0)),"")</f>
        <v/>
      </c>
    </row>
    <row r="2576">
      <c r="A2576">
        <f>IFERROR(INDEX('Email Cleaner'!$B$2:$B$10001,MATCH(2575,'Email Cleaner'!$G$2:$G$10001,0)),"")</f>
        <v/>
      </c>
    </row>
    <row r="2577">
      <c r="A2577">
        <f>IFERROR(INDEX('Email Cleaner'!$B$2:$B$10001,MATCH(2576,'Email Cleaner'!$G$2:$G$10001,0)),"")</f>
        <v/>
      </c>
    </row>
    <row r="2578">
      <c r="A2578">
        <f>IFERROR(INDEX('Email Cleaner'!$B$2:$B$10001,MATCH(2577,'Email Cleaner'!$G$2:$G$10001,0)),"")</f>
        <v/>
      </c>
    </row>
    <row r="2579">
      <c r="A2579">
        <f>IFERROR(INDEX('Email Cleaner'!$B$2:$B$10001,MATCH(2578,'Email Cleaner'!$G$2:$G$10001,0)),"")</f>
        <v/>
      </c>
    </row>
    <row r="2580">
      <c r="A2580">
        <f>IFERROR(INDEX('Email Cleaner'!$B$2:$B$10001,MATCH(2579,'Email Cleaner'!$G$2:$G$10001,0)),"")</f>
        <v/>
      </c>
    </row>
    <row r="2581">
      <c r="A2581">
        <f>IFERROR(INDEX('Email Cleaner'!$B$2:$B$10001,MATCH(2580,'Email Cleaner'!$G$2:$G$10001,0)),"")</f>
        <v/>
      </c>
    </row>
    <row r="2582">
      <c r="A2582">
        <f>IFERROR(INDEX('Email Cleaner'!$B$2:$B$10001,MATCH(2581,'Email Cleaner'!$G$2:$G$10001,0)),"")</f>
        <v/>
      </c>
    </row>
    <row r="2583">
      <c r="A2583">
        <f>IFERROR(INDEX('Email Cleaner'!$B$2:$B$10001,MATCH(2582,'Email Cleaner'!$G$2:$G$10001,0)),"")</f>
        <v/>
      </c>
    </row>
    <row r="2584">
      <c r="A2584">
        <f>IFERROR(INDEX('Email Cleaner'!$B$2:$B$10001,MATCH(2583,'Email Cleaner'!$G$2:$G$10001,0)),"")</f>
        <v/>
      </c>
    </row>
    <row r="2585">
      <c r="A2585">
        <f>IFERROR(INDEX('Email Cleaner'!$B$2:$B$10001,MATCH(2584,'Email Cleaner'!$G$2:$G$10001,0)),"")</f>
        <v/>
      </c>
    </row>
    <row r="2586">
      <c r="A2586">
        <f>IFERROR(INDEX('Email Cleaner'!$B$2:$B$10001,MATCH(2585,'Email Cleaner'!$G$2:$G$10001,0)),"")</f>
        <v/>
      </c>
    </row>
    <row r="2587">
      <c r="A2587">
        <f>IFERROR(INDEX('Email Cleaner'!$B$2:$B$10001,MATCH(2586,'Email Cleaner'!$G$2:$G$10001,0)),"")</f>
        <v/>
      </c>
    </row>
    <row r="2588">
      <c r="A2588">
        <f>IFERROR(INDEX('Email Cleaner'!$B$2:$B$10001,MATCH(2587,'Email Cleaner'!$G$2:$G$10001,0)),"")</f>
        <v/>
      </c>
    </row>
    <row r="2589">
      <c r="A2589">
        <f>IFERROR(INDEX('Email Cleaner'!$B$2:$B$10001,MATCH(2588,'Email Cleaner'!$G$2:$G$10001,0)),"")</f>
        <v/>
      </c>
    </row>
    <row r="2590">
      <c r="A2590">
        <f>IFERROR(INDEX('Email Cleaner'!$B$2:$B$10001,MATCH(2589,'Email Cleaner'!$G$2:$G$10001,0)),"")</f>
        <v/>
      </c>
    </row>
    <row r="2591">
      <c r="A2591">
        <f>IFERROR(INDEX('Email Cleaner'!$B$2:$B$10001,MATCH(2590,'Email Cleaner'!$G$2:$G$10001,0)),"")</f>
        <v/>
      </c>
    </row>
    <row r="2592">
      <c r="A2592">
        <f>IFERROR(INDEX('Email Cleaner'!$B$2:$B$10001,MATCH(2591,'Email Cleaner'!$G$2:$G$10001,0)),"")</f>
        <v/>
      </c>
    </row>
    <row r="2593">
      <c r="A2593">
        <f>IFERROR(INDEX('Email Cleaner'!$B$2:$B$10001,MATCH(2592,'Email Cleaner'!$G$2:$G$10001,0)),"")</f>
        <v/>
      </c>
    </row>
    <row r="2594">
      <c r="A2594">
        <f>IFERROR(INDEX('Email Cleaner'!$B$2:$B$10001,MATCH(2593,'Email Cleaner'!$G$2:$G$10001,0)),"")</f>
        <v/>
      </c>
    </row>
    <row r="2595">
      <c r="A2595">
        <f>IFERROR(INDEX('Email Cleaner'!$B$2:$B$10001,MATCH(2594,'Email Cleaner'!$G$2:$G$10001,0)),"")</f>
        <v/>
      </c>
    </row>
    <row r="2596">
      <c r="A2596">
        <f>IFERROR(INDEX('Email Cleaner'!$B$2:$B$10001,MATCH(2595,'Email Cleaner'!$G$2:$G$10001,0)),"")</f>
        <v/>
      </c>
    </row>
    <row r="2597">
      <c r="A2597">
        <f>IFERROR(INDEX('Email Cleaner'!$B$2:$B$10001,MATCH(2596,'Email Cleaner'!$G$2:$G$10001,0)),"")</f>
        <v/>
      </c>
    </row>
    <row r="2598">
      <c r="A2598">
        <f>IFERROR(INDEX('Email Cleaner'!$B$2:$B$10001,MATCH(2597,'Email Cleaner'!$G$2:$G$10001,0)),"")</f>
        <v/>
      </c>
    </row>
    <row r="2599">
      <c r="A2599">
        <f>IFERROR(INDEX('Email Cleaner'!$B$2:$B$10001,MATCH(2598,'Email Cleaner'!$G$2:$G$10001,0)),"")</f>
        <v/>
      </c>
    </row>
    <row r="2600">
      <c r="A2600">
        <f>IFERROR(INDEX('Email Cleaner'!$B$2:$B$10001,MATCH(2599,'Email Cleaner'!$G$2:$G$10001,0)),"")</f>
        <v/>
      </c>
    </row>
    <row r="2601">
      <c r="A2601">
        <f>IFERROR(INDEX('Email Cleaner'!$B$2:$B$10001,MATCH(2600,'Email Cleaner'!$G$2:$G$10001,0)),"")</f>
        <v/>
      </c>
    </row>
    <row r="2602">
      <c r="A2602">
        <f>IFERROR(INDEX('Email Cleaner'!$B$2:$B$10001,MATCH(2601,'Email Cleaner'!$G$2:$G$10001,0)),"")</f>
        <v/>
      </c>
    </row>
    <row r="2603">
      <c r="A2603">
        <f>IFERROR(INDEX('Email Cleaner'!$B$2:$B$10001,MATCH(2602,'Email Cleaner'!$G$2:$G$10001,0)),"")</f>
        <v/>
      </c>
    </row>
    <row r="2604">
      <c r="A2604">
        <f>IFERROR(INDEX('Email Cleaner'!$B$2:$B$10001,MATCH(2603,'Email Cleaner'!$G$2:$G$10001,0)),"")</f>
        <v/>
      </c>
    </row>
    <row r="2605">
      <c r="A2605">
        <f>IFERROR(INDEX('Email Cleaner'!$B$2:$B$10001,MATCH(2604,'Email Cleaner'!$G$2:$G$10001,0)),"")</f>
        <v/>
      </c>
    </row>
    <row r="2606">
      <c r="A2606">
        <f>IFERROR(INDEX('Email Cleaner'!$B$2:$B$10001,MATCH(2605,'Email Cleaner'!$G$2:$G$10001,0)),"")</f>
        <v/>
      </c>
    </row>
    <row r="2607">
      <c r="A2607">
        <f>IFERROR(INDEX('Email Cleaner'!$B$2:$B$10001,MATCH(2606,'Email Cleaner'!$G$2:$G$10001,0)),"")</f>
        <v/>
      </c>
    </row>
    <row r="2608">
      <c r="A2608">
        <f>IFERROR(INDEX('Email Cleaner'!$B$2:$B$10001,MATCH(2607,'Email Cleaner'!$G$2:$G$10001,0)),"")</f>
        <v/>
      </c>
    </row>
    <row r="2609">
      <c r="A2609">
        <f>IFERROR(INDEX('Email Cleaner'!$B$2:$B$10001,MATCH(2608,'Email Cleaner'!$G$2:$G$10001,0)),"")</f>
        <v/>
      </c>
    </row>
    <row r="2610">
      <c r="A2610">
        <f>IFERROR(INDEX('Email Cleaner'!$B$2:$B$10001,MATCH(2609,'Email Cleaner'!$G$2:$G$10001,0)),"")</f>
        <v/>
      </c>
    </row>
    <row r="2611">
      <c r="A2611">
        <f>IFERROR(INDEX('Email Cleaner'!$B$2:$B$10001,MATCH(2610,'Email Cleaner'!$G$2:$G$10001,0)),"")</f>
        <v/>
      </c>
    </row>
    <row r="2612">
      <c r="A2612">
        <f>IFERROR(INDEX('Email Cleaner'!$B$2:$B$10001,MATCH(2611,'Email Cleaner'!$G$2:$G$10001,0)),"")</f>
        <v/>
      </c>
    </row>
    <row r="2613">
      <c r="A2613">
        <f>IFERROR(INDEX('Email Cleaner'!$B$2:$B$10001,MATCH(2612,'Email Cleaner'!$G$2:$G$10001,0)),"")</f>
        <v/>
      </c>
    </row>
    <row r="2614">
      <c r="A2614">
        <f>IFERROR(INDEX('Email Cleaner'!$B$2:$B$10001,MATCH(2613,'Email Cleaner'!$G$2:$G$10001,0)),"")</f>
        <v/>
      </c>
    </row>
    <row r="2615">
      <c r="A2615">
        <f>IFERROR(INDEX('Email Cleaner'!$B$2:$B$10001,MATCH(2614,'Email Cleaner'!$G$2:$G$10001,0)),"")</f>
        <v/>
      </c>
    </row>
    <row r="2616">
      <c r="A2616">
        <f>IFERROR(INDEX('Email Cleaner'!$B$2:$B$10001,MATCH(2615,'Email Cleaner'!$G$2:$G$10001,0)),"")</f>
        <v/>
      </c>
    </row>
    <row r="2617">
      <c r="A2617">
        <f>IFERROR(INDEX('Email Cleaner'!$B$2:$B$10001,MATCH(2616,'Email Cleaner'!$G$2:$G$10001,0)),"")</f>
        <v/>
      </c>
    </row>
    <row r="2618">
      <c r="A2618">
        <f>IFERROR(INDEX('Email Cleaner'!$B$2:$B$10001,MATCH(2617,'Email Cleaner'!$G$2:$G$10001,0)),"")</f>
        <v/>
      </c>
    </row>
    <row r="2619">
      <c r="A2619">
        <f>IFERROR(INDEX('Email Cleaner'!$B$2:$B$10001,MATCH(2618,'Email Cleaner'!$G$2:$G$10001,0)),"")</f>
        <v/>
      </c>
    </row>
    <row r="2620">
      <c r="A2620">
        <f>IFERROR(INDEX('Email Cleaner'!$B$2:$B$10001,MATCH(2619,'Email Cleaner'!$G$2:$G$10001,0)),"")</f>
        <v/>
      </c>
    </row>
    <row r="2621">
      <c r="A2621">
        <f>IFERROR(INDEX('Email Cleaner'!$B$2:$B$10001,MATCH(2620,'Email Cleaner'!$G$2:$G$10001,0)),"")</f>
        <v/>
      </c>
    </row>
    <row r="2622">
      <c r="A2622">
        <f>IFERROR(INDEX('Email Cleaner'!$B$2:$B$10001,MATCH(2621,'Email Cleaner'!$G$2:$G$10001,0)),"")</f>
        <v/>
      </c>
    </row>
    <row r="2623">
      <c r="A2623">
        <f>IFERROR(INDEX('Email Cleaner'!$B$2:$B$10001,MATCH(2622,'Email Cleaner'!$G$2:$G$10001,0)),"")</f>
        <v/>
      </c>
    </row>
    <row r="2624">
      <c r="A2624">
        <f>IFERROR(INDEX('Email Cleaner'!$B$2:$B$10001,MATCH(2623,'Email Cleaner'!$G$2:$G$10001,0)),"")</f>
        <v/>
      </c>
    </row>
    <row r="2625">
      <c r="A2625">
        <f>IFERROR(INDEX('Email Cleaner'!$B$2:$B$10001,MATCH(2624,'Email Cleaner'!$G$2:$G$10001,0)),"")</f>
        <v/>
      </c>
    </row>
    <row r="2626">
      <c r="A2626">
        <f>IFERROR(INDEX('Email Cleaner'!$B$2:$B$10001,MATCH(2625,'Email Cleaner'!$G$2:$G$10001,0)),"")</f>
        <v/>
      </c>
    </row>
    <row r="2627">
      <c r="A2627">
        <f>IFERROR(INDEX('Email Cleaner'!$B$2:$B$10001,MATCH(2626,'Email Cleaner'!$G$2:$G$10001,0)),"")</f>
        <v/>
      </c>
    </row>
    <row r="2628">
      <c r="A2628">
        <f>IFERROR(INDEX('Email Cleaner'!$B$2:$B$10001,MATCH(2627,'Email Cleaner'!$G$2:$G$10001,0)),"")</f>
        <v/>
      </c>
    </row>
    <row r="2629">
      <c r="A2629">
        <f>IFERROR(INDEX('Email Cleaner'!$B$2:$B$10001,MATCH(2628,'Email Cleaner'!$G$2:$G$10001,0)),"")</f>
        <v/>
      </c>
    </row>
    <row r="2630">
      <c r="A2630">
        <f>IFERROR(INDEX('Email Cleaner'!$B$2:$B$10001,MATCH(2629,'Email Cleaner'!$G$2:$G$10001,0)),"")</f>
        <v/>
      </c>
    </row>
    <row r="2631">
      <c r="A2631">
        <f>IFERROR(INDEX('Email Cleaner'!$B$2:$B$10001,MATCH(2630,'Email Cleaner'!$G$2:$G$10001,0)),"")</f>
        <v/>
      </c>
    </row>
    <row r="2632">
      <c r="A2632">
        <f>IFERROR(INDEX('Email Cleaner'!$B$2:$B$10001,MATCH(2631,'Email Cleaner'!$G$2:$G$10001,0)),"")</f>
        <v/>
      </c>
    </row>
    <row r="2633">
      <c r="A2633">
        <f>IFERROR(INDEX('Email Cleaner'!$B$2:$B$10001,MATCH(2632,'Email Cleaner'!$G$2:$G$10001,0)),"")</f>
        <v/>
      </c>
    </row>
    <row r="2634">
      <c r="A2634">
        <f>IFERROR(INDEX('Email Cleaner'!$B$2:$B$10001,MATCH(2633,'Email Cleaner'!$G$2:$G$10001,0)),"")</f>
        <v/>
      </c>
    </row>
    <row r="2635">
      <c r="A2635">
        <f>IFERROR(INDEX('Email Cleaner'!$B$2:$B$10001,MATCH(2634,'Email Cleaner'!$G$2:$G$10001,0)),"")</f>
        <v/>
      </c>
    </row>
    <row r="2636">
      <c r="A2636">
        <f>IFERROR(INDEX('Email Cleaner'!$B$2:$B$10001,MATCH(2635,'Email Cleaner'!$G$2:$G$10001,0)),"")</f>
        <v/>
      </c>
    </row>
    <row r="2637">
      <c r="A2637">
        <f>IFERROR(INDEX('Email Cleaner'!$B$2:$B$10001,MATCH(2636,'Email Cleaner'!$G$2:$G$10001,0)),"")</f>
        <v/>
      </c>
    </row>
    <row r="2638">
      <c r="A2638">
        <f>IFERROR(INDEX('Email Cleaner'!$B$2:$B$10001,MATCH(2637,'Email Cleaner'!$G$2:$G$10001,0)),"")</f>
        <v/>
      </c>
    </row>
    <row r="2639">
      <c r="A2639">
        <f>IFERROR(INDEX('Email Cleaner'!$B$2:$B$10001,MATCH(2638,'Email Cleaner'!$G$2:$G$10001,0)),"")</f>
        <v/>
      </c>
    </row>
    <row r="2640">
      <c r="A2640">
        <f>IFERROR(INDEX('Email Cleaner'!$B$2:$B$10001,MATCH(2639,'Email Cleaner'!$G$2:$G$10001,0)),"")</f>
        <v/>
      </c>
    </row>
    <row r="2641">
      <c r="A2641">
        <f>IFERROR(INDEX('Email Cleaner'!$B$2:$B$10001,MATCH(2640,'Email Cleaner'!$G$2:$G$10001,0)),"")</f>
        <v/>
      </c>
    </row>
    <row r="2642">
      <c r="A2642">
        <f>IFERROR(INDEX('Email Cleaner'!$B$2:$B$10001,MATCH(2641,'Email Cleaner'!$G$2:$G$10001,0)),"")</f>
        <v/>
      </c>
    </row>
    <row r="2643">
      <c r="A2643">
        <f>IFERROR(INDEX('Email Cleaner'!$B$2:$B$10001,MATCH(2642,'Email Cleaner'!$G$2:$G$10001,0)),"")</f>
        <v/>
      </c>
    </row>
    <row r="2644">
      <c r="A2644">
        <f>IFERROR(INDEX('Email Cleaner'!$B$2:$B$10001,MATCH(2643,'Email Cleaner'!$G$2:$G$10001,0)),"")</f>
        <v/>
      </c>
    </row>
    <row r="2645">
      <c r="A2645">
        <f>IFERROR(INDEX('Email Cleaner'!$B$2:$B$10001,MATCH(2644,'Email Cleaner'!$G$2:$G$10001,0)),"")</f>
        <v/>
      </c>
    </row>
    <row r="2646">
      <c r="A2646">
        <f>IFERROR(INDEX('Email Cleaner'!$B$2:$B$10001,MATCH(2645,'Email Cleaner'!$G$2:$G$10001,0)),"")</f>
        <v/>
      </c>
    </row>
    <row r="2647">
      <c r="A2647">
        <f>IFERROR(INDEX('Email Cleaner'!$B$2:$B$10001,MATCH(2646,'Email Cleaner'!$G$2:$G$10001,0)),"")</f>
        <v/>
      </c>
    </row>
    <row r="2648">
      <c r="A2648">
        <f>IFERROR(INDEX('Email Cleaner'!$B$2:$B$10001,MATCH(2647,'Email Cleaner'!$G$2:$G$10001,0)),"")</f>
        <v/>
      </c>
    </row>
    <row r="2649">
      <c r="A2649">
        <f>IFERROR(INDEX('Email Cleaner'!$B$2:$B$10001,MATCH(2648,'Email Cleaner'!$G$2:$G$10001,0)),"")</f>
        <v/>
      </c>
    </row>
    <row r="2650">
      <c r="A2650">
        <f>IFERROR(INDEX('Email Cleaner'!$B$2:$B$10001,MATCH(2649,'Email Cleaner'!$G$2:$G$10001,0)),"")</f>
        <v/>
      </c>
    </row>
    <row r="2651">
      <c r="A2651">
        <f>IFERROR(INDEX('Email Cleaner'!$B$2:$B$10001,MATCH(2650,'Email Cleaner'!$G$2:$G$10001,0)),"")</f>
        <v/>
      </c>
    </row>
    <row r="2652">
      <c r="A2652">
        <f>IFERROR(INDEX('Email Cleaner'!$B$2:$B$10001,MATCH(2651,'Email Cleaner'!$G$2:$G$10001,0)),"")</f>
        <v/>
      </c>
    </row>
    <row r="2653">
      <c r="A2653">
        <f>IFERROR(INDEX('Email Cleaner'!$B$2:$B$10001,MATCH(2652,'Email Cleaner'!$G$2:$G$10001,0)),"")</f>
        <v/>
      </c>
    </row>
    <row r="2654">
      <c r="A2654">
        <f>IFERROR(INDEX('Email Cleaner'!$B$2:$B$10001,MATCH(2653,'Email Cleaner'!$G$2:$G$10001,0)),"")</f>
        <v/>
      </c>
    </row>
    <row r="2655">
      <c r="A2655">
        <f>IFERROR(INDEX('Email Cleaner'!$B$2:$B$10001,MATCH(2654,'Email Cleaner'!$G$2:$G$10001,0)),"")</f>
        <v/>
      </c>
    </row>
    <row r="2656">
      <c r="A2656">
        <f>IFERROR(INDEX('Email Cleaner'!$B$2:$B$10001,MATCH(2655,'Email Cleaner'!$G$2:$G$10001,0)),"")</f>
        <v/>
      </c>
    </row>
    <row r="2657">
      <c r="A2657">
        <f>IFERROR(INDEX('Email Cleaner'!$B$2:$B$10001,MATCH(2656,'Email Cleaner'!$G$2:$G$10001,0)),"")</f>
        <v/>
      </c>
    </row>
    <row r="2658">
      <c r="A2658">
        <f>IFERROR(INDEX('Email Cleaner'!$B$2:$B$10001,MATCH(2657,'Email Cleaner'!$G$2:$G$10001,0)),"")</f>
        <v/>
      </c>
    </row>
    <row r="2659">
      <c r="A2659">
        <f>IFERROR(INDEX('Email Cleaner'!$B$2:$B$10001,MATCH(2658,'Email Cleaner'!$G$2:$G$10001,0)),"")</f>
        <v/>
      </c>
    </row>
    <row r="2660">
      <c r="A2660">
        <f>IFERROR(INDEX('Email Cleaner'!$B$2:$B$10001,MATCH(2659,'Email Cleaner'!$G$2:$G$10001,0)),"")</f>
        <v/>
      </c>
    </row>
    <row r="2661">
      <c r="A2661">
        <f>IFERROR(INDEX('Email Cleaner'!$B$2:$B$10001,MATCH(2660,'Email Cleaner'!$G$2:$G$10001,0)),"")</f>
        <v/>
      </c>
    </row>
    <row r="2662">
      <c r="A2662">
        <f>IFERROR(INDEX('Email Cleaner'!$B$2:$B$10001,MATCH(2661,'Email Cleaner'!$G$2:$G$10001,0)),"")</f>
        <v/>
      </c>
    </row>
    <row r="2663">
      <c r="A2663">
        <f>IFERROR(INDEX('Email Cleaner'!$B$2:$B$10001,MATCH(2662,'Email Cleaner'!$G$2:$G$10001,0)),"")</f>
        <v/>
      </c>
    </row>
    <row r="2664">
      <c r="A2664">
        <f>IFERROR(INDEX('Email Cleaner'!$B$2:$B$10001,MATCH(2663,'Email Cleaner'!$G$2:$G$10001,0)),"")</f>
        <v/>
      </c>
    </row>
    <row r="2665">
      <c r="A2665">
        <f>IFERROR(INDEX('Email Cleaner'!$B$2:$B$10001,MATCH(2664,'Email Cleaner'!$G$2:$G$10001,0)),"")</f>
        <v/>
      </c>
    </row>
    <row r="2666">
      <c r="A2666">
        <f>IFERROR(INDEX('Email Cleaner'!$B$2:$B$10001,MATCH(2665,'Email Cleaner'!$G$2:$G$10001,0)),"")</f>
        <v/>
      </c>
    </row>
    <row r="2667">
      <c r="A2667">
        <f>IFERROR(INDEX('Email Cleaner'!$B$2:$B$10001,MATCH(2666,'Email Cleaner'!$G$2:$G$10001,0)),"")</f>
        <v/>
      </c>
    </row>
    <row r="2668">
      <c r="A2668">
        <f>IFERROR(INDEX('Email Cleaner'!$B$2:$B$10001,MATCH(2667,'Email Cleaner'!$G$2:$G$10001,0)),"")</f>
        <v/>
      </c>
    </row>
    <row r="2669">
      <c r="A2669">
        <f>IFERROR(INDEX('Email Cleaner'!$B$2:$B$10001,MATCH(2668,'Email Cleaner'!$G$2:$G$10001,0)),"")</f>
        <v/>
      </c>
    </row>
    <row r="2670">
      <c r="A2670">
        <f>IFERROR(INDEX('Email Cleaner'!$B$2:$B$10001,MATCH(2669,'Email Cleaner'!$G$2:$G$10001,0)),"")</f>
        <v/>
      </c>
    </row>
    <row r="2671">
      <c r="A2671">
        <f>IFERROR(INDEX('Email Cleaner'!$B$2:$B$10001,MATCH(2670,'Email Cleaner'!$G$2:$G$10001,0)),"")</f>
        <v/>
      </c>
    </row>
    <row r="2672">
      <c r="A2672">
        <f>IFERROR(INDEX('Email Cleaner'!$B$2:$B$10001,MATCH(2671,'Email Cleaner'!$G$2:$G$10001,0)),"")</f>
        <v/>
      </c>
    </row>
    <row r="2673">
      <c r="A2673">
        <f>IFERROR(INDEX('Email Cleaner'!$B$2:$B$10001,MATCH(2672,'Email Cleaner'!$G$2:$G$10001,0)),"")</f>
        <v/>
      </c>
    </row>
    <row r="2674">
      <c r="A2674">
        <f>IFERROR(INDEX('Email Cleaner'!$B$2:$B$10001,MATCH(2673,'Email Cleaner'!$G$2:$G$10001,0)),"")</f>
        <v/>
      </c>
    </row>
    <row r="2675">
      <c r="A2675">
        <f>IFERROR(INDEX('Email Cleaner'!$B$2:$B$10001,MATCH(2674,'Email Cleaner'!$G$2:$G$10001,0)),"")</f>
        <v/>
      </c>
    </row>
    <row r="2676">
      <c r="A2676">
        <f>IFERROR(INDEX('Email Cleaner'!$B$2:$B$10001,MATCH(2675,'Email Cleaner'!$G$2:$G$10001,0)),"")</f>
        <v/>
      </c>
    </row>
    <row r="2677">
      <c r="A2677">
        <f>IFERROR(INDEX('Email Cleaner'!$B$2:$B$10001,MATCH(2676,'Email Cleaner'!$G$2:$G$10001,0)),"")</f>
        <v/>
      </c>
    </row>
    <row r="2678">
      <c r="A2678">
        <f>IFERROR(INDEX('Email Cleaner'!$B$2:$B$10001,MATCH(2677,'Email Cleaner'!$G$2:$G$10001,0)),"")</f>
        <v/>
      </c>
    </row>
    <row r="2679">
      <c r="A2679">
        <f>IFERROR(INDEX('Email Cleaner'!$B$2:$B$10001,MATCH(2678,'Email Cleaner'!$G$2:$G$10001,0)),"")</f>
        <v/>
      </c>
    </row>
    <row r="2680">
      <c r="A2680">
        <f>IFERROR(INDEX('Email Cleaner'!$B$2:$B$10001,MATCH(2679,'Email Cleaner'!$G$2:$G$10001,0)),"")</f>
        <v/>
      </c>
    </row>
    <row r="2681">
      <c r="A2681">
        <f>IFERROR(INDEX('Email Cleaner'!$B$2:$B$10001,MATCH(2680,'Email Cleaner'!$G$2:$G$10001,0)),"")</f>
        <v/>
      </c>
    </row>
    <row r="2682">
      <c r="A2682">
        <f>IFERROR(INDEX('Email Cleaner'!$B$2:$B$10001,MATCH(2681,'Email Cleaner'!$G$2:$G$10001,0)),"")</f>
        <v/>
      </c>
    </row>
    <row r="2683">
      <c r="A2683">
        <f>IFERROR(INDEX('Email Cleaner'!$B$2:$B$10001,MATCH(2682,'Email Cleaner'!$G$2:$G$10001,0)),"")</f>
        <v/>
      </c>
    </row>
    <row r="2684">
      <c r="A2684">
        <f>IFERROR(INDEX('Email Cleaner'!$B$2:$B$10001,MATCH(2683,'Email Cleaner'!$G$2:$G$10001,0)),"")</f>
        <v/>
      </c>
    </row>
    <row r="2685">
      <c r="A2685">
        <f>IFERROR(INDEX('Email Cleaner'!$B$2:$B$10001,MATCH(2684,'Email Cleaner'!$G$2:$G$10001,0)),"")</f>
        <v/>
      </c>
    </row>
    <row r="2686">
      <c r="A2686">
        <f>IFERROR(INDEX('Email Cleaner'!$B$2:$B$10001,MATCH(2685,'Email Cleaner'!$G$2:$G$10001,0)),"")</f>
        <v/>
      </c>
    </row>
    <row r="2687">
      <c r="A2687">
        <f>IFERROR(INDEX('Email Cleaner'!$B$2:$B$10001,MATCH(2686,'Email Cleaner'!$G$2:$G$10001,0)),"")</f>
        <v/>
      </c>
    </row>
    <row r="2688">
      <c r="A2688">
        <f>IFERROR(INDEX('Email Cleaner'!$B$2:$B$10001,MATCH(2687,'Email Cleaner'!$G$2:$G$10001,0)),"")</f>
        <v/>
      </c>
    </row>
    <row r="2689">
      <c r="A2689">
        <f>IFERROR(INDEX('Email Cleaner'!$B$2:$B$10001,MATCH(2688,'Email Cleaner'!$G$2:$G$10001,0)),"")</f>
        <v/>
      </c>
    </row>
    <row r="2690">
      <c r="A2690">
        <f>IFERROR(INDEX('Email Cleaner'!$B$2:$B$10001,MATCH(2689,'Email Cleaner'!$G$2:$G$10001,0)),"")</f>
        <v/>
      </c>
    </row>
    <row r="2691">
      <c r="A2691">
        <f>IFERROR(INDEX('Email Cleaner'!$B$2:$B$10001,MATCH(2690,'Email Cleaner'!$G$2:$G$10001,0)),"")</f>
        <v/>
      </c>
    </row>
    <row r="2692">
      <c r="A2692">
        <f>IFERROR(INDEX('Email Cleaner'!$B$2:$B$10001,MATCH(2691,'Email Cleaner'!$G$2:$G$10001,0)),"")</f>
        <v/>
      </c>
    </row>
    <row r="2693">
      <c r="A2693">
        <f>IFERROR(INDEX('Email Cleaner'!$B$2:$B$10001,MATCH(2692,'Email Cleaner'!$G$2:$G$10001,0)),"")</f>
        <v/>
      </c>
    </row>
    <row r="2694">
      <c r="A2694">
        <f>IFERROR(INDEX('Email Cleaner'!$B$2:$B$10001,MATCH(2693,'Email Cleaner'!$G$2:$G$10001,0)),"")</f>
        <v/>
      </c>
    </row>
    <row r="2695">
      <c r="A2695">
        <f>IFERROR(INDEX('Email Cleaner'!$B$2:$B$10001,MATCH(2694,'Email Cleaner'!$G$2:$G$10001,0)),"")</f>
        <v/>
      </c>
    </row>
    <row r="2696">
      <c r="A2696">
        <f>IFERROR(INDEX('Email Cleaner'!$B$2:$B$10001,MATCH(2695,'Email Cleaner'!$G$2:$G$10001,0)),"")</f>
        <v/>
      </c>
    </row>
    <row r="2697">
      <c r="A2697">
        <f>IFERROR(INDEX('Email Cleaner'!$B$2:$B$10001,MATCH(2696,'Email Cleaner'!$G$2:$G$10001,0)),"")</f>
        <v/>
      </c>
    </row>
    <row r="2698">
      <c r="A2698">
        <f>IFERROR(INDEX('Email Cleaner'!$B$2:$B$10001,MATCH(2697,'Email Cleaner'!$G$2:$G$10001,0)),"")</f>
        <v/>
      </c>
    </row>
    <row r="2699">
      <c r="A2699">
        <f>IFERROR(INDEX('Email Cleaner'!$B$2:$B$10001,MATCH(2698,'Email Cleaner'!$G$2:$G$10001,0)),"")</f>
        <v/>
      </c>
    </row>
    <row r="2700">
      <c r="A2700">
        <f>IFERROR(INDEX('Email Cleaner'!$B$2:$B$10001,MATCH(2699,'Email Cleaner'!$G$2:$G$10001,0)),"")</f>
        <v/>
      </c>
    </row>
    <row r="2701">
      <c r="A2701">
        <f>IFERROR(INDEX('Email Cleaner'!$B$2:$B$10001,MATCH(2700,'Email Cleaner'!$G$2:$G$10001,0)),"")</f>
        <v/>
      </c>
    </row>
    <row r="2702">
      <c r="A2702">
        <f>IFERROR(INDEX('Email Cleaner'!$B$2:$B$10001,MATCH(2701,'Email Cleaner'!$G$2:$G$10001,0)),"")</f>
        <v/>
      </c>
    </row>
    <row r="2703">
      <c r="A2703">
        <f>IFERROR(INDEX('Email Cleaner'!$B$2:$B$10001,MATCH(2702,'Email Cleaner'!$G$2:$G$10001,0)),"")</f>
        <v/>
      </c>
    </row>
    <row r="2704">
      <c r="A2704">
        <f>IFERROR(INDEX('Email Cleaner'!$B$2:$B$10001,MATCH(2703,'Email Cleaner'!$G$2:$G$10001,0)),"")</f>
        <v/>
      </c>
    </row>
    <row r="2705">
      <c r="A2705">
        <f>IFERROR(INDEX('Email Cleaner'!$B$2:$B$10001,MATCH(2704,'Email Cleaner'!$G$2:$G$10001,0)),"")</f>
        <v/>
      </c>
    </row>
    <row r="2706">
      <c r="A2706">
        <f>IFERROR(INDEX('Email Cleaner'!$B$2:$B$10001,MATCH(2705,'Email Cleaner'!$G$2:$G$10001,0)),"")</f>
        <v/>
      </c>
    </row>
    <row r="2707">
      <c r="A2707">
        <f>IFERROR(INDEX('Email Cleaner'!$B$2:$B$10001,MATCH(2706,'Email Cleaner'!$G$2:$G$10001,0)),"")</f>
        <v/>
      </c>
    </row>
    <row r="2708">
      <c r="A2708">
        <f>IFERROR(INDEX('Email Cleaner'!$B$2:$B$10001,MATCH(2707,'Email Cleaner'!$G$2:$G$10001,0)),"")</f>
        <v/>
      </c>
    </row>
    <row r="2709">
      <c r="A2709">
        <f>IFERROR(INDEX('Email Cleaner'!$B$2:$B$10001,MATCH(2708,'Email Cleaner'!$G$2:$G$10001,0)),"")</f>
        <v/>
      </c>
    </row>
    <row r="2710">
      <c r="A2710">
        <f>IFERROR(INDEX('Email Cleaner'!$B$2:$B$10001,MATCH(2709,'Email Cleaner'!$G$2:$G$10001,0)),"")</f>
        <v/>
      </c>
    </row>
    <row r="2711">
      <c r="A2711">
        <f>IFERROR(INDEX('Email Cleaner'!$B$2:$B$10001,MATCH(2710,'Email Cleaner'!$G$2:$G$10001,0)),"")</f>
        <v/>
      </c>
    </row>
    <row r="2712">
      <c r="A2712">
        <f>IFERROR(INDEX('Email Cleaner'!$B$2:$B$10001,MATCH(2711,'Email Cleaner'!$G$2:$G$10001,0)),"")</f>
        <v/>
      </c>
    </row>
    <row r="2713">
      <c r="A2713">
        <f>IFERROR(INDEX('Email Cleaner'!$B$2:$B$10001,MATCH(2712,'Email Cleaner'!$G$2:$G$10001,0)),"")</f>
        <v/>
      </c>
    </row>
    <row r="2714">
      <c r="A2714">
        <f>IFERROR(INDEX('Email Cleaner'!$B$2:$B$10001,MATCH(2713,'Email Cleaner'!$G$2:$G$10001,0)),"")</f>
        <v/>
      </c>
    </row>
    <row r="2715">
      <c r="A2715">
        <f>IFERROR(INDEX('Email Cleaner'!$B$2:$B$10001,MATCH(2714,'Email Cleaner'!$G$2:$G$10001,0)),"")</f>
        <v/>
      </c>
    </row>
    <row r="2716">
      <c r="A2716">
        <f>IFERROR(INDEX('Email Cleaner'!$B$2:$B$10001,MATCH(2715,'Email Cleaner'!$G$2:$G$10001,0)),"")</f>
        <v/>
      </c>
    </row>
    <row r="2717">
      <c r="A2717">
        <f>IFERROR(INDEX('Email Cleaner'!$B$2:$B$10001,MATCH(2716,'Email Cleaner'!$G$2:$G$10001,0)),"")</f>
        <v/>
      </c>
    </row>
    <row r="2718">
      <c r="A2718">
        <f>IFERROR(INDEX('Email Cleaner'!$B$2:$B$10001,MATCH(2717,'Email Cleaner'!$G$2:$G$10001,0)),"")</f>
        <v/>
      </c>
    </row>
    <row r="2719">
      <c r="A2719">
        <f>IFERROR(INDEX('Email Cleaner'!$B$2:$B$10001,MATCH(2718,'Email Cleaner'!$G$2:$G$10001,0)),"")</f>
        <v/>
      </c>
    </row>
    <row r="2720">
      <c r="A2720">
        <f>IFERROR(INDEX('Email Cleaner'!$B$2:$B$10001,MATCH(2719,'Email Cleaner'!$G$2:$G$10001,0)),"")</f>
        <v/>
      </c>
    </row>
    <row r="2721">
      <c r="A2721">
        <f>IFERROR(INDEX('Email Cleaner'!$B$2:$B$10001,MATCH(2720,'Email Cleaner'!$G$2:$G$10001,0)),"")</f>
        <v/>
      </c>
    </row>
    <row r="2722">
      <c r="A2722">
        <f>IFERROR(INDEX('Email Cleaner'!$B$2:$B$10001,MATCH(2721,'Email Cleaner'!$G$2:$G$10001,0)),"")</f>
        <v/>
      </c>
    </row>
    <row r="2723">
      <c r="A2723">
        <f>IFERROR(INDEX('Email Cleaner'!$B$2:$B$10001,MATCH(2722,'Email Cleaner'!$G$2:$G$10001,0)),"")</f>
        <v/>
      </c>
    </row>
    <row r="2724">
      <c r="A2724">
        <f>IFERROR(INDEX('Email Cleaner'!$B$2:$B$10001,MATCH(2723,'Email Cleaner'!$G$2:$G$10001,0)),"")</f>
        <v/>
      </c>
    </row>
    <row r="2725">
      <c r="A2725">
        <f>IFERROR(INDEX('Email Cleaner'!$B$2:$B$10001,MATCH(2724,'Email Cleaner'!$G$2:$G$10001,0)),"")</f>
        <v/>
      </c>
    </row>
    <row r="2726">
      <c r="A2726">
        <f>IFERROR(INDEX('Email Cleaner'!$B$2:$B$10001,MATCH(2725,'Email Cleaner'!$G$2:$G$10001,0)),"")</f>
        <v/>
      </c>
    </row>
    <row r="2727">
      <c r="A2727">
        <f>IFERROR(INDEX('Email Cleaner'!$B$2:$B$10001,MATCH(2726,'Email Cleaner'!$G$2:$G$10001,0)),"")</f>
        <v/>
      </c>
    </row>
    <row r="2728">
      <c r="A2728">
        <f>IFERROR(INDEX('Email Cleaner'!$B$2:$B$10001,MATCH(2727,'Email Cleaner'!$G$2:$G$10001,0)),"")</f>
        <v/>
      </c>
    </row>
    <row r="2729">
      <c r="A2729">
        <f>IFERROR(INDEX('Email Cleaner'!$B$2:$B$10001,MATCH(2728,'Email Cleaner'!$G$2:$G$10001,0)),"")</f>
        <v/>
      </c>
    </row>
    <row r="2730">
      <c r="A2730">
        <f>IFERROR(INDEX('Email Cleaner'!$B$2:$B$10001,MATCH(2729,'Email Cleaner'!$G$2:$G$10001,0)),"")</f>
        <v/>
      </c>
    </row>
    <row r="2731">
      <c r="A2731">
        <f>IFERROR(INDEX('Email Cleaner'!$B$2:$B$10001,MATCH(2730,'Email Cleaner'!$G$2:$G$10001,0)),"")</f>
        <v/>
      </c>
    </row>
    <row r="2732">
      <c r="A2732">
        <f>IFERROR(INDEX('Email Cleaner'!$B$2:$B$10001,MATCH(2731,'Email Cleaner'!$G$2:$G$10001,0)),"")</f>
        <v/>
      </c>
    </row>
    <row r="2733">
      <c r="A2733">
        <f>IFERROR(INDEX('Email Cleaner'!$B$2:$B$10001,MATCH(2732,'Email Cleaner'!$G$2:$G$10001,0)),"")</f>
        <v/>
      </c>
    </row>
    <row r="2734">
      <c r="A2734">
        <f>IFERROR(INDEX('Email Cleaner'!$B$2:$B$10001,MATCH(2733,'Email Cleaner'!$G$2:$G$10001,0)),"")</f>
        <v/>
      </c>
    </row>
    <row r="2735">
      <c r="A2735">
        <f>IFERROR(INDEX('Email Cleaner'!$B$2:$B$10001,MATCH(2734,'Email Cleaner'!$G$2:$G$10001,0)),"")</f>
        <v/>
      </c>
    </row>
    <row r="2736">
      <c r="A2736">
        <f>IFERROR(INDEX('Email Cleaner'!$B$2:$B$10001,MATCH(2735,'Email Cleaner'!$G$2:$G$10001,0)),"")</f>
        <v/>
      </c>
    </row>
    <row r="2737">
      <c r="A2737">
        <f>IFERROR(INDEX('Email Cleaner'!$B$2:$B$10001,MATCH(2736,'Email Cleaner'!$G$2:$G$10001,0)),"")</f>
        <v/>
      </c>
    </row>
    <row r="2738">
      <c r="A2738">
        <f>IFERROR(INDEX('Email Cleaner'!$B$2:$B$10001,MATCH(2737,'Email Cleaner'!$G$2:$G$10001,0)),"")</f>
        <v/>
      </c>
    </row>
    <row r="2739">
      <c r="A2739">
        <f>IFERROR(INDEX('Email Cleaner'!$B$2:$B$10001,MATCH(2738,'Email Cleaner'!$G$2:$G$10001,0)),"")</f>
        <v/>
      </c>
    </row>
    <row r="2740">
      <c r="A2740">
        <f>IFERROR(INDEX('Email Cleaner'!$B$2:$B$10001,MATCH(2739,'Email Cleaner'!$G$2:$G$10001,0)),"")</f>
        <v/>
      </c>
    </row>
    <row r="2741">
      <c r="A2741">
        <f>IFERROR(INDEX('Email Cleaner'!$B$2:$B$10001,MATCH(2740,'Email Cleaner'!$G$2:$G$10001,0)),"")</f>
        <v/>
      </c>
    </row>
    <row r="2742">
      <c r="A2742">
        <f>IFERROR(INDEX('Email Cleaner'!$B$2:$B$10001,MATCH(2741,'Email Cleaner'!$G$2:$G$10001,0)),"")</f>
        <v/>
      </c>
    </row>
    <row r="2743">
      <c r="A2743">
        <f>IFERROR(INDEX('Email Cleaner'!$B$2:$B$10001,MATCH(2742,'Email Cleaner'!$G$2:$G$10001,0)),"")</f>
        <v/>
      </c>
    </row>
    <row r="2744">
      <c r="A2744">
        <f>IFERROR(INDEX('Email Cleaner'!$B$2:$B$10001,MATCH(2743,'Email Cleaner'!$G$2:$G$10001,0)),"")</f>
        <v/>
      </c>
    </row>
    <row r="2745">
      <c r="A2745">
        <f>IFERROR(INDEX('Email Cleaner'!$B$2:$B$10001,MATCH(2744,'Email Cleaner'!$G$2:$G$10001,0)),"")</f>
        <v/>
      </c>
    </row>
    <row r="2746">
      <c r="A2746">
        <f>IFERROR(INDEX('Email Cleaner'!$B$2:$B$10001,MATCH(2745,'Email Cleaner'!$G$2:$G$10001,0)),"")</f>
        <v/>
      </c>
    </row>
    <row r="2747">
      <c r="A2747">
        <f>IFERROR(INDEX('Email Cleaner'!$B$2:$B$10001,MATCH(2746,'Email Cleaner'!$G$2:$G$10001,0)),"")</f>
        <v/>
      </c>
    </row>
    <row r="2748">
      <c r="A2748">
        <f>IFERROR(INDEX('Email Cleaner'!$B$2:$B$10001,MATCH(2747,'Email Cleaner'!$G$2:$G$10001,0)),"")</f>
        <v/>
      </c>
    </row>
    <row r="2749">
      <c r="A2749">
        <f>IFERROR(INDEX('Email Cleaner'!$B$2:$B$10001,MATCH(2748,'Email Cleaner'!$G$2:$G$10001,0)),"")</f>
        <v/>
      </c>
    </row>
    <row r="2750">
      <c r="A2750">
        <f>IFERROR(INDEX('Email Cleaner'!$B$2:$B$10001,MATCH(2749,'Email Cleaner'!$G$2:$G$10001,0)),"")</f>
        <v/>
      </c>
    </row>
    <row r="2751">
      <c r="A2751">
        <f>IFERROR(INDEX('Email Cleaner'!$B$2:$B$10001,MATCH(2750,'Email Cleaner'!$G$2:$G$10001,0)),"")</f>
        <v/>
      </c>
    </row>
    <row r="2752">
      <c r="A2752">
        <f>IFERROR(INDEX('Email Cleaner'!$B$2:$B$10001,MATCH(2751,'Email Cleaner'!$G$2:$G$10001,0)),"")</f>
        <v/>
      </c>
    </row>
    <row r="2753">
      <c r="A2753">
        <f>IFERROR(INDEX('Email Cleaner'!$B$2:$B$10001,MATCH(2752,'Email Cleaner'!$G$2:$G$10001,0)),"")</f>
        <v/>
      </c>
    </row>
    <row r="2754">
      <c r="A2754">
        <f>IFERROR(INDEX('Email Cleaner'!$B$2:$B$10001,MATCH(2753,'Email Cleaner'!$G$2:$G$10001,0)),"")</f>
        <v/>
      </c>
    </row>
    <row r="2755">
      <c r="A2755">
        <f>IFERROR(INDEX('Email Cleaner'!$B$2:$B$10001,MATCH(2754,'Email Cleaner'!$G$2:$G$10001,0)),"")</f>
        <v/>
      </c>
    </row>
    <row r="2756">
      <c r="A2756">
        <f>IFERROR(INDEX('Email Cleaner'!$B$2:$B$10001,MATCH(2755,'Email Cleaner'!$G$2:$G$10001,0)),"")</f>
        <v/>
      </c>
    </row>
    <row r="2757">
      <c r="A2757">
        <f>IFERROR(INDEX('Email Cleaner'!$B$2:$B$10001,MATCH(2756,'Email Cleaner'!$G$2:$G$10001,0)),"")</f>
        <v/>
      </c>
    </row>
    <row r="2758">
      <c r="A2758">
        <f>IFERROR(INDEX('Email Cleaner'!$B$2:$B$10001,MATCH(2757,'Email Cleaner'!$G$2:$G$10001,0)),"")</f>
        <v/>
      </c>
    </row>
    <row r="2759">
      <c r="A2759">
        <f>IFERROR(INDEX('Email Cleaner'!$B$2:$B$10001,MATCH(2758,'Email Cleaner'!$G$2:$G$10001,0)),"")</f>
        <v/>
      </c>
    </row>
    <row r="2760">
      <c r="A2760">
        <f>IFERROR(INDEX('Email Cleaner'!$B$2:$B$10001,MATCH(2759,'Email Cleaner'!$G$2:$G$10001,0)),"")</f>
        <v/>
      </c>
    </row>
    <row r="2761">
      <c r="A2761">
        <f>IFERROR(INDEX('Email Cleaner'!$B$2:$B$10001,MATCH(2760,'Email Cleaner'!$G$2:$G$10001,0)),"")</f>
        <v/>
      </c>
    </row>
    <row r="2762">
      <c r="A2762">
        <f>IFERROR(INDEX('Email Cleaner'!$B$2:$B$10001,MATCH(2761,'Email Cleaner'!$G$2:$G$10001,0)),"")</f>
        <v/>
      </c>
    </row>
    <row r="2763">
      <c r="A2763">
        <f>IFERROR(INDEX('Email Cleaner'!$B$2:$B$10001,MATCH(2762,'Email Cleaner'!$G$2:$G$10001,0)),"")</f>
        <v/>
      </c>
    </row>
    <row r="2764">
      <c r="A2764">
        <f>IFERROR(INDEX('Email Cleaner'!$B$2:$B$10001,MATCH(2763,'Email Cleaner'!$G$2:$G$10001,0)),"")</f>
        <v/>
      </c>
    </row>
    <row r="2765">
      <c r="A2765">
        <f>IFERROR(INDEX('Email Cleaner'!$B$2:$B$10001,MATCH(2764,'Email Cleaner'!$G$2:$G$10001,0)),"")</f>
        <v/>
      </c>
    </row>
    <row r="2766">
      <c r="A2766">
        <f>IFERROR(INDEX('Email Cleaner'!$B$2:$B$10001,MATCH(2765,'Email Cleaner'!$G$2:$G$10001,0)),"")</f>
        <v/>
      </c>
    </row>
    <row r="2767">
      <c r="A2767">
        <f>IFERROR(INDEX('Email Cleaner'!$B$2:$B$10001,MATCH(2766,'Email Cleaner'!$G$2:$G$10001,0)),"")</f>
        <v/>
      </c>
    </row>
    <row r="2768">
      <c r="A2768">
        <f>IFERROR(INDEX('Email Cleaner'!$B$2:$B$10001,MATCH(2767,'Email Cleaner'!$G$2:$G$10001,0)),"")</f>
        <v/>
      </c>
    </row>
    <row r="2769">
      <c r="A2769">
        <f>IFERROR(INDEX('Email Cleaner'!$B$2:$B$10001,MATCH(2768,'Email Cleaner'!$G$2:$G$10001,0)),"")</f>
        <v/>
      </c>
    </row>
    <row r="2770">
      <c r="A2770">
        <f>IFERROR(INDEX('Email Cleaner'!$B$2:$B$10001,MATCH(2769,'Email Cleaner'!$G$2:$G$10001,0)),"")</f>
        <v/>
      </c>
    </row>
    <row r="2771">
      <c r="A2771">
        <f>IFERROR(INDEX('Email Cleaner'!$B$2:$B$10001,MATCH(2770,'Email Cleaner'!$G$2:$G$10001,0)),"")</f>
        <v/>
      </c>
    </row>
    <row r="2772">
      <c r="A2772">
        <f>IFERROR(INDEX('Email Cleaner'!$B$2:$B$10001,MATCH(2771,'Email Cleaner'!$G$2:$G$10001,0)),"")</f>
        <v/>
      </c>
    </row>
    <row r="2773">
      <c r="A2773">
        <f>IFERROR(INDEX('Email Cleaner'!$B$2:$B$10001,MATCH(2772,'Email Cleaner'!$G$2:$G$10001,0)),"")</f>
        <v/>
      </c>
    </row>
    <row r="2774">
      <c r="A2774">
        <f>IFERROR(INDEX('Email Cleaner'!$B$2:$B$10001,MATCH(2773,'Email Cleaner'!$G$2:$G$10001,0)),"")</f>
        <v/>
      </c>
    </row>
    <row r="2775">
      <c r="A2775">
        <f>IFERROR(INDEX('Email Cleaner'!$B$2:$B$10001,MATCH(2774,'Email Cleaner'!$G$2:$G$10001,0)),"")</f>
        <v/>
      </c>
    </row>
    <row r="2776">
      <c r="A2776">
        <f>IFERROR(INDEX('Email Cleaner'!$B$2:$B$10001,MATCH(2775,'Email Cleaner'!$G$2:$G$10001,0)),"")</f>
        <v/>
      </c>
    </row>
    <row r="2777">
      <c r="A2777">
        <f>IFERROR(INDEX('Email Cleaner'!$B$2:$B$10001,MATCH(2776,'Email Cleaner'!$G$2:$G$10001,0)),"")</f>
        <v/>
      </c>
    </row>
    <row r="2778">
      <c r="A2778">
        <f>IFERROR(INDEX('Email Cleaner'!$B$2:$B$10001,MATCH(2777,'Email Cleaner'!$G$2:$G$10001,0)),"")</f>
        <v/>
      </c>
    </row>
    <row r="2779">
      <c r="A2779">
        <f>IFERROR(INDEX('Email Cleaner'!$B$2:$B$10001,MATCH(2778,'Email Cleaner'!$G$2:$G$10001,0)),"")</f>
        <v/>
      </c>
    </row>
    <row r="2780">
      <c r="A2780">
        <f>IFERROR(INDEX('Email Cleaner'!$B$2:$B$10001,MATCH(2779,'Email Cleaner'!$G$2:$G$10001,0)),"")</f>
        <v/>
      </c>
    </row>
    <row r="2781">
      <c r="A2781">
        <f>IFERROR(INDEX('Email Cleaner'!$B$2:$B$10001,MATCH(2780,'Email Cleaner'!$G$2:$G$10001,0)),"")</f>
        <v/>
      </c>
    </row>
    <row r="2782">
      <c r="A2782">
        <f>IFERROR(INDEX('Email Cleaner'!$B$2:$B$10001,MATCH(2781,'Email Cleaner'!$G$2:$G$10001,0)),"")</f>
        <v/>
      </c>
    </row>
    <row r="2783">
      <c r="A2783">
        <f>IFERROR(INDEX('Email Cleaner'!$B$2:$B$10001,MATCH(2782,'Email Cleaner'!$G$2:$G$10001,0)),"")</f>
        <v/>
      </c>
    </row>
    <row r="2784">
      <c r="A2784">
        <f>IFERROR(INDEX('Email Cleaner'!$B$2:$B$10001,MATCH(2783,'Email Cleaner'!$G$2:$G$10001,0)),"")</f>
        <v/>
      </c>
    </row>
    <row r="2785">
      <c r="A2785">
        <f>IFERROR(INDEX('Email Cleaner'!$B$2:$B$10001,MATCH(2784,'Email Cleaner'!$G$2:$G$10001,0)),"")</f>
        <v/>
      </c>
    </row>
    <row r="2786">
      <c r="A2786">
        <f>IFERROR(INDEX('Email Cleaner'!$B$2:$B$10001,MATCH(2785,'Email Cleaner'!$G$2:$G$10001,0)),"")</f>
        <v/>
      </c>
    </row>
    <row r="2787">
      <c r="A2787">
        <f>IFERROR(INDEX('Email Cleaner'!$B$2:$B$10001,MATCH(2786,'Email Cleaner'!$G$2:$G$10001,0)),"")</f>
        <v/>
      </c>
    </row>
    <row r="2788">
      <c r="A2788">
        <f>IFERROR(INDEX('Email Cleaner'!$B$2:$B$10001,MATCH(2787,'Email Cleaner'!$G$2:$G$10001,0)),"")</f>
        <v/>
      </c>
    </row>
    <row r="2789">
      <c r="A2789">
        <f>IFERROR(INDEX('Email Cleaner'!$B$2:$B$10001,MATCH(2788,'Email Cleaner'!$G$2:$G$10001,0)),"")</f>
        <v/>
      </c>
    </row>
    <row r="2790">
      <c r="A2790">
        <f>IFERROR(INDEX('Email Cleaner'!$B$2:$B$10001,MATCH(2789,'Email Cleaner'!$G$2:$G$10001,0)),"")</f>
        <v/>
      </c>
    </row>
    <row r="2791">
      <c r="A2791">
        <f>IFERROR(INDEX('Email Cleaner'!$B$2:$B$10001,MATCH(2790,'Email Cleaner'!$G$2:$G$10001,0)),"")</f>
        <v/>
      </c>
    </row>
    <row r="2792">
      <c r="A2792">
        <f>IFERROR(INDEX('Email Cleaner'!$B$2:$B$10001,MATCH(2791,'Email Cleaner'!$G$2:$G$10001,0)),"")</f>
        <v/>
      </c>
    </row>
    <row r="2793">
      <c r="A2793">
        <f>IFERROR(INDEX('Email Cleaner'!$B$2:$B$10001,MATCH(2792,'Email Cleaner'!$G$2:$G$10001,0)),"")</f>
        <v/>
      </c>
    </row>
    <row r="2794">
      <c r="A2794">
        <f>IFERROR(INDEX('Email Cleaner'!$B$2:$B$10001,MATCH(2793,'Email Cleaner'!$G$2:$G$10001,0)),"")</f>
        <v/>
      </c>
    </row>
    <row r="2795">
      <c r="A2795">
        <f>IFERROR(INDEX('Email Cleaner'!$B$2:$B$10001,MATCH(2794,'Email Cleaner'!$G$2:$G$10001,0)),"")</f>
        <v/>
      </c>
    </row>
    <row r="2796">
      <c r="A2796">
        <f>IFERROR(INDEX('Email Cleaner'!$B$2:$B$10001,MATCH(2795,'Email Cleaner'!$G$2:$G$10001,0)),"")</f>
        <v/>
      </c>
    </row>
    <row r="2797">
      <c r="A2797">
        <f>IFERROR(INDEX('Email Cleaner'!$B$2:$B$10001,MATCH(2796,'Email Cleaner'!$G$2:$G$10001,0)),"")</f>
        <v/>
      </c>
    </row>
    <row r="2798">
      <c r="A2798">
        <f>IFERROR(INDEX('Email Cleaner'!$B$2:$B$10001,MATCH(2797,'Email Cleaner'!$G$2:$G$10001,0)),"")</f>
        <v/>
      </c>
    </row>
    <row r="2799">
      <c r="A2799">
        <f>IFERROR(INDEX('Email Cleaner'!$B$2:$B$10001,MATCH(2798,'Email Cleaner'!$G$2:$G$10001,0)),"")</f>
        <v/>
      </c>
    </row>
    <row r="2800">
      <c r="A2800">
        <f>IFERROR(INDEX('Email Cleaner'!$B$2:$B$10001,MATCH(2799,'Email Cleaner'!$G$2:$G$10001,0)),"")</f>
        <v/>
      </c>
    </row>
    <row r="2801">
      <c r="A2801">
        <f>IFERROR(INDEX('Email Cleaner'!$B$2:$B$10001,MATCH(2800,'Email Cleaner'!$G$2:$G$10001,0)),"")</f>
        <v/>
      </c>
    </row>
    <row r="2802">
      <c r="A2802">
        <f>IFERROR(INDEX('Email Cleaner'!$B$2:$B$10001,MATCH(2801,'Email Cleaner'!$G$2:$G$10001,0)),"")</f>
        <v/>
      </c>
    </row>
    <row r="2803">
      <c r="A2803">
        <f>IFERROR(INDEX('Email Cleaner'!$B$2:$B$10001,MATCH(2802,'Email Cleaner'!$G$2:$G$10001,0)),"")</f>
        <v/>
      </c>
    </row>
    <row r="2804">
      <c r="A2804">
        <f>IFERROR(INDEX('Email Cleaner'!$B$2:$B$10001,MATCH(2803,'Email Cleaner'!$G$2:$G$10001,0)),"")</f>
        <v/>
      </c>
    </row>
    <row r="2805">
      <c r="A2805">
        <f>IFERROR(INDEX('Email Cleaner'!$B$2:$B$10001,MATCH(2804,'Email Cleaner'!$G$2:$G$10001,0)),"")</f>
        <v/>
      </c>
    </row>
    <row r="2806">
      <c r="A2806">
        <f>IFERROR(INDEX('Email Cleaner'!$B$2:$B$10001,MATCH(2805,'Email Cleaner'!$G$2:$G$10001,0)),"")</f>
        <v/>
      </c>
    </row>
    <row r="2807">
      <c r="A2807">
        <f>IFERROR(INDEX('Email Cleaner'!$B$2:$B$10001,MATCH(2806,'Email Cleaner'!$G$2:$G$10001,0)),"")</f>
        <v/>
      </c>
    </row>
    <row r="2808">
      <c r="A2808">
        <f>IFERROR(INDEX('Email Cleaner'!$B$2:$B$10001,MATCH(2807,'Email Cleaner'!$G$2:$G$10001,0)),"")</f>
        <v/>
      </c>
    </row>
    <row r="2809">
      <c r="A2809">
        <f>IFERROR(INDEX('Email Cleaner'!$B$2:$B$10001,MATCH(2808,'Email Cleaner'!$G$2:$G$10001,0)),"")</f>
        <v/>
      </c>
    </row>
    <row r="2810">
      <c r="A2810">
        <f>IFERROR(INDEX('Email Cleaner'!$B$2:$B$10001,MATCH(2809,'Email Cleaner'!$G$2:$G$10001,0)),"")</f>
        <v/>
      </c>
    </row>
    <row r="2811">
      <c r="A2811">
        <f>IFERROR(INDEX('Email Cleaner'!$B$2:$B$10001,MATCH(2810,'Email Cleaner'!$G$2:$G$10001,0)),"")</f>
        <v/>
      </c>
    </row>
    <row r="2812">
      <c r="A2812">
        <f>IFERROR(INDEX('Email Cleaner'!$B$2:$B$10001,MATCH(2811,'Email Cleaner'!$G$2:$G$10001,0)),"")</f>
        <v/>
      </c>
    </row>
    <row r="2813">
      <c r="A2813">
        <f>IFERROR(INDEX('Email Cleaner'!$B$2:$B$10001,MATCH(2812,'Email Cleaner'!$G$2:$G$10001,0)),"")</f>
        <v/>
      </c>
    </row>
    <row r="2814">
      <c r="A2814">
        <f>IFERROR(INDEX('Email Cleaner'!$B$2:$B$10001,MATCH(2813,'Email Cleaner'!$G$2:$G$10001,0)),"")</f>
        <v/>
      </c>
    </row>
    <row r="2815">
      <c r="A2815">
        <f>IFERROR(INDEX('Email Cleaner'!$B$2:$B$10001,MATCH(2814,'Email Cleaner'!$G$2:$G$10001,0)),"")</f>
        <v/>
      </c>
    </row>
    <row r="2816">
      <c r="A2816">
        <f>IFERROR(INDEX('Email Cleaner'!$B$2:$B$10001,MATCH(2815,'Email Cleaner'!$G$2:$G$10001,0)),"")</f>
        <v/>
      </c>
    </row>
    <row r="2817">
      <c r="A2817">
        <f>IFERROR(INDEX('Email Cleaner'!$B$2:$B$10001,MATCH(2816,'Email Cleaner'!$G$2:$G$10001,0)),"")</f>
        <v/>
      </c>
    </row>
    <row r="2818">
      <c r="A2818">
        <f>IFERROR(INDEX('Email Cleaner'!$B$2:$B$10001,MATCH(2817,'Email Cleaner'!$G$2:$G$10001,0)),"")</f>
        <v/>
      </c>
    </row>
    <row r="2819">
      <c r="A2819">
        <f>IFERROR(INDEX('Email Cleaner'!$B$2:$B$10001,MATCH(2818,'Email Cleaner'!$G$2:$G$10001,0)),"")</f>
        <v/>
      </c>
    </row>
    <row r="2820">
      <c r="A2820">
        <f>IFERROR(INDEX('Email Cleaner'!$B$2:$B$10001,MATCH(2819,'Email Cleaner'!$G$2:$G$10001,0)),"")</f>
        <v/>
      </c>
    </row>
    <row r="2821">
      <c r="A2821">
        <f>IFERROR(INDEX('Email Cleaner'!$B$2:$B$10001,MATCH(2820,'Email Cleaner'!$G$2:$G$10001,0)),"")</f>
        <v/>
      </c>
    </row>
    <row r="2822">
      <c r="A2822">
        <f>IFERROR(INDEX('Email Cleaner'!$B$2:$B$10001,MATCH(2821,'Email Cleaner'!$G$2:$G$10001,0)),"")</f>
        <v/>
      </c>
    </row>
    <row r="2823">
      <c r="A2823">
        <f>IFERROR(INDEX('Email Cleaner'!$B$2:$B$10001,MATCH(2822,'Email Cleaner'!$G$2:$G$10001,0)),"")</f>
        <v/>
      </c>
    </row>
    <row r="2824">
      <c r="A2824">
        <f>IFERROR(INDEX('Email Cleaner'!$B$2:$B$10001,MATCH(2823,'Email Cleaner'!$G$2:$G$10001,0)),"")</f>
        <v/>
      </c>
    </row>
    <row r="2825">
      <c r="A2825">
        <f>IFERROR(INDEX('Email Cleaner'!$B$2:$B$10001,MATCH(2824,'Email Cleaner'!$G$2:$G$10001,0)),"")</f>
        <v/>
      </c>
    </row>
    <row r="2826">
      <c r="A2826">
        <f>IFERROR(INDEX('Email Cleaner'!$B$2:$B$10001,MATCH(2825,'Email Cleaner'!$G$2:$G$10001,0)),"")</f>
        <v/>
      </c>
    </row>
    <row r="2827">
      <c r="A2827">
        <f>IFERROR(INDEX('Email Cleaner'!$B$2:$B$10001,MATCH(2826,'Email Cleaner'!$G$2:$G$10001,0)),"")</f>
        <v/>
      </c>
    </row>
    <row r="2828">
      <c r="A2828">
        <f>IFERROR(INDEX('Email Cleaner'!$B$2:$B$10001,MATCH(2827,'Email Cleaner'!$G$2:$G$10001,0)),"")</f>
        <v/>
      </c>
    </row>
    <row r="2829">
      <c r="A2829">
        <f>IFERROR(INDEX('Email Cleaner'!$B$2:$B$10001,MATCH(2828,'Email Cleaner'!$G$2:$G$10001,0)),"")</f>
        <v/>
      </c>
    </row>
    <row r="2830">
      <c r="A2830">
        <f>IFERROR(INDEX('Email Cleaner'!$B$2:$B$10001,MATCH(2829,'Email Cleaner'!$G$2:$G$10001,0)),"")</f>
        <v/>
      </c>
    </row>
    <row r="2831">
      <c r="A2831">
        <f>IFERROR(INDEX('Email Cleaner'!$B$2:$B$10001,MATCH(2830,'Email Cleaner'!$G$2:$G$10001,0)),"")</f>
        <v/>
      </c>
    </row>
    <row r="2832">
      <c r="A2832">
        <f>IFERROR(INDEX('Email Cleaner'!$B$2:$B$10001,MATCH(2831,'Email Cleaner'!$G$2:$G$10001,0)),"")</f>
        <v/>
      </c>
    </row>
    <row r="2833">
      <c r="A2833">
        <f>IFERROR(INDEX('Email Cleaner'!$B$2:$B$10001,MATCH(2832,'Email Cleaner'!$G$2:$G$10001,0)),"")</f>
        <v/>
      </c>
    </row>
    <row r="2834">
      <c r="A2834">
        <f>IFERROR(INDEX('Email Cleaner'!$B$2:$B$10001,MATCH(2833,'Email Cleaner'!$G$2:$G$10001,0)),"")</f>
        <v/>
      </c>
    </row>
    <row r="2835">
      <c r="A2835">
        <f>IFERROR(INDEX('Email Cleaner'!$B$2:$B$10001,MATCH(2834,'Email Cleaner'!$G$2:$G$10001,0)),"")</f>
        <v/>
      </c>
    </row>
    <row r="2836">
      <c r="A2836">
        <f>IFERROR(INDEX('Email Cleaner'!$B$2:$B$10001,MATCH(2835,'Email Cleaner'!$G$2:$G$10001,0)),"")</f>
        <v/>
      </c>
    </row>
    <row r="2837">
      <c r="A2837">
        <f>IFERROR(INDEX('Email Cleaner'!$B$2:$B$10001,MATCH(2836,'Email Cleaner'!$G$2:$G$10001,0)),"")</f>
        <v/>
      </c>
    </row>
    <row r="2838">
      <c r="A2838">
        <f>IFERROR(INDEX('Email Cleaner'!$B$2:$B$10001,MATCH(2837,'Email Cleaner'!$G$2:$G$10001,0)),"")</f>
        <v/>
      </c>
    </row>
    <row r="2839">
      <c r="A2839">
        <f>IFERROR(INDEX('Email Cleaner'!$B$2:$B$10001,MATCH(2838,'Email Cleaner'!$G$2:$G$10001,0)),"")</f>
        <v/>
      </c>
    </row>
    <row r="2840">
      <c r="A2840">
        <f>IFERROR(INDEX('Email Cleaner'!$B$2:$B$10001,MATCH(2839,'Email Cleaner'!$G$2:$G$10001,0)),"")</f>
        <v/>
      </c>
    </row>
    <row r="2841">
      <c r="A2841">
        <f>IFERROR(INDEX('Email Cleaner'!$B$2:$B$10001,MATCH(2840,'Email Cleaner'!$G$2:$G$10001,0)),"")</f>
        <v/>
      </c>
    </row>
    <row r="2842">
      <c r="A2842">
        <f>IFERROR(INDEX('Email Cleaner'!$B$2:$B$10001,MATCH(2841,'Email Cleaner'!$G$2:$G$10001,0)),"")</f>
        <v/>
      </c>
    </row>
    <row r="2843">
      <c r="A2843">
        <f>IFERROR(INDEX('Email Cleaner'!$B$2:$B$10001,MATCH(2842,'Email Cleaner'!$G$2:$G$10001,0)),"")</f>
        <v/>
      </c>
    </row>
    <row r="2844">
      <c r="A2844">
        <f>IFERROR(INDEX('Email Cleaner'!$B$2:$B$10001,MATCH(2843,'Email Cleaner'!$G$2:$G$10001,0)),"")</f>
        <v/>
      </c>
    </row>
    <row r="2845">
      <c r="A2845">
        <f>IFERROR(INDEX('Email Cleaner'!$B$2:$B$10001,MATCH(2844,'Email Cleaner'!$G$2:$G$10001,0)),"")</f>
        <v/>
      </c>
    </row>
    <row r="2846">
      <c r="A2846">
        <f>IFERROR(INDEX('Email Cleaner'!$B$2:$B$10001,MATCH(2845,'Email Cleaner'!$G$2:$G$10001,0)),"")</f>
        <v/>
      </c>
    </row>
    <row r="2847">
      <c r="A2847">
        <f>IFERROR(INDEX('Email Cleaner'!$B$2:$B$10001,MATCH(2846,'Email Cleaner'!$G$2:$G$10001,0)),"")</f>
        <v/>
      </c>
    </row>
    <row r="2848">
      <c r="A2848">
        <f>IFERROR(INDEX('Email Cleaner'!$B$2:$B$10001,MATCH(2847,'Email Cleaner'!$G$2:$G$10001,0)),"")</f>
        <v/>
      </c>
    </row>
    <row r="2849">
      <c r="A2849">
        <f>IFERROR(INDEX('Email Cleaner'!$B$2:$B$10001,MATCH(2848,'Email Cleaner'!$G$2:$G$10001,0)),"")</f>
        <v/>
      </c>
    </row>
    <row r="2850">
      <c r="A2850">
        <f>IFERROR(INDEX('Email Cleaner'!$B$2:$B$10001,MATCH(2849,'Email Cleaner'!$G$2:$G$10001,0)),"")</f>
        <v/>
      </c>
    </row>
    <row r="2851">
      <c r="A2851">
        <f>IFERROR(INDEX('Email Cleaner'!$B$2:$B$10001,MATCH(2850,'Email Cleaner'!$G$2:$G$10001,0)),"")</f>
        <v/>
      </c>
    </row>
    <row r="2852">
      <c r="A2852">
        <f>IFERROR(INDEX('Email Cleaner'!$B$2:$B$10001,MATCH(2851,'Email Cleaner'!$G$2:$G$10001,0)),"")</f>
        <v/>
      </c>
    </row>
    <row r="2853">
      <c r="A2853">
        <f>IFERROR(INDEX('Email Cleaner'!$B$2:$B$10001,MATCH(2852,'Email Cleaner'!$G$2:$G$10001,0)),"")</f>
        <v/>
      </c>
    </row>
    <row r="2854">
      <c r="A2854">
        <f>IFERROR(INDEX('Email Cleaner'!$B$2:$B$10001,MATCH(2853,'Email Cleaner'!$G$2:$G$10001,0)),"")</f>
        <v/>
      </c>
    </row>
    <row r="2855">
      <c r="A2855">
        <f>IFERROR(INDEX('Email Cleaner'!$B$2:$B$10001,MATCH(2854,'Email Cleaner'!$G$2:$G$10001,0)),"")</f>
        <v/>
      </c>
    </row>
    <row r="2856">
      <c r="A2856">
        <f>IFERROR(INDEX('Email Cleaner'!$B$2:$B$10001,MATCH(2855,'Email Cleaner'!$G$2:$G$10001,0)),"")</f>
        <v/>
      </c>
    </row>
    <row r="2857">
      <c r="A2857">
        <f>IFERROR(INDEX('Email Cleaner'!$B$2:$B$10001,MATCH(2856,'Email Cleaner'!$G$2:$G$10001,0)),"")</f>
        <v/>
      </c>
    </row>
    <row r="2858">
      <c r="A2858">
        <f>IFERROR(INDEX('Email Cleaner'!$B$2:$B$10001,MATCH(2857,'Email Cleaner'!$G$2:$G$10001,0)),"")</f>
        <v/>
      </c>
    </row>
    <row r="2859">
      <c r="A2859">
        <f>IFERROR(INDEX('Email Cleaner'!$B$2:$B$10001,MATCH(2858,'Email Cleaner'!$G$2:$G$10001,0)),"")</f>
        <v/>
      </c>
    </row>
    <row r="2860">
      <c r="A2860">
        <f>IFERROR(INDEX('Email Cleaner'!$B$2:$B$10001,MATCH(2859,'Email Cleaner'!$G$2:$G$10001,0)),"")</f>
        <v/>
      </c>
    </row>
    <row r="2861">
      <c r="A2861">
        <f>IFERROR(INDEX('Email Cleaner'!$B$2:$B$10001,MATCH(2860,'Email Cleaner'!$G$2:$G$10001,0)),"")</f>
        <v/>
      </c>
    </row>
    <row r="2862">
      <c r="A2862">
        <f>IFERROR(INDEX('Email Cleaner'!$B$2:$B$10001,MATCH(2861,'Email Cleaner'!$G$2:$G$10001,0)),"")</f>
        <v/>
      </c>
    </row>
    <row r="2863">
      <c r="A2863">
        <f>IFERROR(INDEX('Email Cleaner'!$B$2:$B$10001,MATCH(2862,'Email Cleaner'!$G$2:$G$10001,0)),"")</f>
        <v/>
      </c>
    </row>
    <row r="2864">
      <c r="A2864">
        <f>IFERROR(INDEX('Email Cleaner'!$B$2:$B$10001,MATCH(2863,'Email Cleaner'!$G$2:$G$10001,0)),"")</f>
        <v/>
      </c>
    </row>
    <row r="2865">
      <c r="A2865">
        <f>IFERROR(INDEX('Email Cleaner'!$B$2:$B$10001,MATCH(2864,'Email Cleaner'!$G$2:$G$10001,0)),"")</f>
        <v/>
      </c>
    </row>
    <row r="2866">
      <c r="A2866">
        <f>IFERROR(INDEX('Email Cleaner'!$B$2:$B$10001,MATCH(2865,'Email Cleaner'!$G$2:$G$10001,0)),"")</f>
        <v/>
      </c>
    </row>
    <row r="2867">
      <c r="A2867">
        <f>IFERROR(INDEX('Email Cleaner'!$B$2:$B$10001,MATCH(2866,'Email Cleaner'!$G$2:$G$10001,0)),"")</f>
        <v/>
      </c>
    </row>
    <row r="2868">
      <c r="A2868">
        <f>IFERROR(INDEX('Email Cleaner'!$B$2:$B$10001,MATCH(2867,'Email Cleaner'!$G$2:$G$10001,0)),"")</f>
        <v/>
      </c>
    </row>
    <row r="2869">
      <c r="A2869">
        <f>IFERROR(INDEX('Email Cleaner'!$B$2:$B$10001,MATCH(2868,'Email Cleaner'!$G$2:$G$10001,0)),"")</f>
        <v/>
      </c>
    </row>
    <row r="2870">
      <c r="A2870">
        <f>IFERROR(INDEX('Email Cleaner'!$B$2:$B$10001,MATCH(2869,'Email Cleaner'!$G$2:$G$10001,0)),"")</f>
        <v/>
      </c>
    </row>
    <row r="2871">
      <c r="A2871">
        <f>IFERROR(INDEX('Email Cleaner'!$B$2:$B$10001,MATCH(2870,'Email Cleaner'!$G$2:$G$10001,0)),"")</f>
        <v/>
      </c>
    </row>
    <row r="2872">
      <c r="A2872">
        <f>IFERROR(INDEX('Email Cleaner'!$B$2:$B$10001,MATCH(2871,'Email Cleaner'!$G$2:$G$10001,0)),"")</f>
        <v/>
      </c>
    </row>
    <row r="2873">
      <c r="A2873">
        <f>IFERROR(INDEX('Email Cleaner'!$B$2:$B$10001,MATCH(2872,'Email Cleaner'!$G$2:$G$10001,0)),"")</f>
        <v/>
      </c>
    </row>
    <row r="2874">
      <c r="A2874">
        <f>IFERROR(INDEX('Email Cleaner'!$B$2:$B$10001,MATCH(2873,'Email Cleaner'!$G$2:$G$10001,0)),"")</f>
        <v/>
      </c>
    </row>
    <row r="2875">
      <c r="A2875">
        <f>IFERROR(INDEX('Email Cleaner'!$B$2:$B$10001,MATCH(2874,'Email Cleaner'!$G$2:$G$10001,0)),"")</f>
        <v/>
      </c>
    </row>
    <row r="2876">
      <c r="A2876">
        <f>IFERROR(INDEX('Email Cleaner'!$B$2:$B$10001,MATCH(2875,'Email Cleaner'!$G$2:$G$10001,0)),"")</f>
        <v/>
      </c>
    </row>
    <row r="2877">
      <c r="A2877">
        <f>IFERROR(INDEX('Email Cleaner'!$B$2:$B$10001,MATCH(2876,'Email Cleaner'!$G$2:$G$10001,0)),"")</f>
        <v/>
      </c>
    </row>
    <row r="2878">
      <c r="A2878">
        <f>IFERROR(INDEX('Email Cleaner'!$B$2:$B$10001,MATCH(2877,'Email Cleaner'!$G$2:$G$10001,0)),"")</f>
        <v/>
      </c>
    </row>
    <row r="2879">
      <c r="A2879">
        <f>IFERROR(INDEX('Email Cleaner'!$B$2:$B$10001,MATCH(2878,'Email Cleaner'!$G$2:$G$10001,0)),"")</f>
        <v/>
      </c>
    </row>
    <row r="2880">
      <c r="A2880">
        <f>IFERROR(INDEX('Email Cleaner'!$B$2:$B$10001,MATCH(2879,'Email Cleaner'!$G$2:$G$10001,0)),"")</f>
        <v/>
      </c>
    </row>
    <row r="2881">
      <c r="A2881">
        <f>IFERROR(INDEX('Email Cleaner'!$B$2:$B$10001,MATCH(2880,'Email Cleaner'!$G$2:$G$10001,0)),"")</f>
        <v/>
      </c>
    </row>
    <row r="2882">
      <c r="A2882">
        <f>IFERROR(INDEX('Email Cleaner'!$B$2:$B$10001,MATCH(2881,'Email Cleaner'!$G$2:$G$10001,0)),"")</f>
        <v/>
      </c>
    </row>
    <row r="2883">
      <c r="A2883">
        <f>IFERROR(INDEX('Email Cleaner'!$B$2:$B$10001,MATCH(2882,'Email Cleaner'!$G$2:$G$10001,0)),"")</f>
        <v/>
      </c>
    </row>
    <row r="2884">
      <c r="A2884">
        <f>IFERROR(INDEX('Email Cleaner'!$B$2:$B$10001,MATCH(2883,'Email Cleaner'!$G$2:$G$10001,0)),"")</f>
        <v/>
      </c>
    </row>
    <row r="2885">
      <c r="A2885">
        <f>IFERROR(INDEX('Email Cleaner'!$B$2:$B$10001,MATCH(2884,'Email Cleaner'!$G$2:$G$10001,0)),"")</f>
        <v/>
      </c>
    </row>
    <row r="2886">
      <c r="A2886">
        <f>IFERROR(INDEX('Email Cleaner'!$B$2:$B$10001,MATCH(2885,'Email Cleaner'!$G$2:$G$10001,0)),"")</f>
        <v/>
      </c>
    </row>
    <row r="2887">
      <c r="A2887">
        <f>IFERROR(INDEX('Email Cleaner'!$B$2:$B$10001,MATCH(2886,'Email Cleaner'!$G$2:$G$10001,0)),"")</f>
        <v/>
      </c>
    </row>
    <row r="2888">
      <c r="A2888">
        <f>IFERROR(INDEX('Email Cleaner'!$B$2:$B$10001,MATCH(2887,'Email Cleaner'!$G$2:$G$10001,0)),"")</f>
        <v/>
      </c>
    </row>
    <row r="2889">
      <c r="A2889">
        <f>IFERROR(INDEX('Email Cleaner'!$B$2:$B$10001,MATCH(2888,'Email Cleaner'!$G$2:$G$10001,0)),"")</f>
        <v/>
      </c>
    </row>
    <row r="2890">
      <c r="A2890">
        <f>IFERROR(INDEX('Email Cleaner'!$B$2:$B$10001,MATCH(2889,'Email Cleaner'!$G$2:$G$10001,0)),"")</f>
        <v/>
      </c>
    </row>
    <row r="2891">
      <c r="A2891">
        <f>IFERROR(INDEX('Email Cleaner'!$B$2:$B$10001,MATCH(2890,'Email Cleaner'!$G$2:$G$10001,0)),"")</f>
        <v/>
      </c>
    </row>
    <row r="2892">
      <c r="A2892">
        <f>IFERROR(INDEX('Email Cleaner'!$B$2:$B$10001,MATCH(2891,'Email Cleaner'!$G$2:$G$10001,0)),"")</f>
        <v/>
      </c>
    </row>
    <row r="2893">
      <c r="A2893">
        <f>IFERROR(INDEX('Email Cleaner'!$B$2:$B$10001,MATCH(2892,'Email Cleaner'!$G$2:$G$10001,0)),"")</f>
        <v/>
      </c>
    </row>
    <row r="2894">
      <c r="A2894">
        <f>IFERROR(INDEX('Email Cleaner'!$B$2:$B$10001,MATCH(2893,'Email Cleaner'!$G$2:$G$10001,0)),"")</f>
        <v/>
      </c>
    </row>
    <row r="2895">
      <c r="A2895">
        <f>IFERROR(INDEX('Email Cleaner'!$B$2:$B$10001,MATCH(2894,'Email Cleaner'!$G$2:$G$10001,0)),"")</f>
        <v/>
      </c>
    </row>
    <row r="2896">
      <c r="A2896">
        <f>IFERROR(INDEX('Email Cleaner'!$B$2:$B$10001,MATCH(2895,'Email Cleaner'!$G$2:$G$10001,0)),"")</f>
        <v/>
      </c>
    </row>
    <row r="2897">
      <c r="A2897">
        <f>IFERROR(INDEX('Email Cleaner'!$B$2:$B$10001,MATCH(2896,'Email Cleaner'!$G$2:$G$10001,0)),"")</f>
        <v/>
      </c>
    </row>
    <row r="2898">
      <c r="A2898">
        <f>IFERROR(INDEX('Email Cleaner'!$B$2:$B$10001,MATCH(2897,'Email Cleaner'!$G$2:$G$10001,0)),"")</f>
        <v/>
      </c>
    </row>
    <row r="2899">
      <c r="A2899">
        <f>IFERROR(INDEX('Email Cleaner'!$B$2:$B$10001,MATCH(2898,'Email Cleaner'!$G$2:$G$10001,0)),"")</f>
        <v/>
      </c>
    </row>
    <row r="2900">
      <c r="A2900">
        <f>IFERROR(INDEX('Email Cleaner'!$B$2:$B$10001,MATCH(2899,'Email Cleaner'!$G$2:$G$10001,0)),"")</f>
        <v/>
      </c>
    </row>
    <row r="2901">
      <c r="A2901">
        <f>IFERROR(INDEX('Email Cleaner'!$B$2:$B$10001,MATCH(2900,'Email Cleaner'!$G$2:$G$10001,0)),"")</f>
        <v/>
      </c>
    </row>
    <row r="2902">
      <c r="A2902">
        <f>IFERROR(INDEX('Email Cleaner'!$B$2:$B$10001,MATCH(2901,'Email Cleaner'!$G$2:$G$10001,0)),"")</f>
        <v/>
      </c>
    </row>
    <row r="2903">
      <c r="A2903">
        <f>IFERROR(INDEX('Email Cleaner'!$B$2:$B$10001,MATCH(2902,'Email Cleaner'!$G$2:$G$10001,0)),"")</f>
        <v/>
      </c>
    </row>
    <row r="2904">
      <c r="A2904">
        <f>IFERROR(INDEX('Email Cleaner'!$B$2:$B$10001,MATCH(2903,'Email Cleaner'!$G$2:$G$10001,0)),"")</f>
        <v/>
      </c>
    </row>
    <row r="2905">
      <c r="A2905">
        <f>IFERROR(INDEX('Email Cleaner'!$B$2:$B$10001,MATCH(2904,'Email Cleaner'!$G$2:$G$10001,0)),"")</f>
        <v/>
      </c>
    </row>
    <row r="2906">
      <c r="A2906">
        <f>IFERROR(INDEX('Email Cleaner'!$B$2:$B$10001,MATCH(2905,'Email Cleaner'!$G$2:$G$10001,0)),"")</f>
        <v/>
      </c>
    </row>
    <row r="2907">
      <c r="A2907">
        <f>IFERROR(INDEX('Email Cleaner'!$B$2:$B$10001,MATCH(2906,'Email Cleaner'!$G$2:$G$10001,0)),"")</f>
        <v/>
      </c>
    </row>
    <row r="2908">
      <c r="A2908">
        <f>IFERROR(INDEX('Email Cleaner'!$B$2:$B$10001,MATCH(2907,'Email Cleaner'!$G$2:$G$10001,0)),"")</f>
        <v/>
      </c>
    </row>
    <row r="2909">
      <c r="A2909">
        <f>IFERROR(INDEX('Email Cleaner'!$B$2:$B$10001,MATCH(2908,'Email Cleaner'!$G$2:$G$10001,0)),"")</f>
        <v/>
      </c>
    </row>
    <row r="2910">
      <c r="A2910">
        <f>IFERROR(INDEX('Email Cleaner'!$B$2:$B$10001,MATCH(2909,'Email Cleaner'!$G$2:$G$10001,0)),"")</f>
        <v/>
      </c>
    </row>
    <row r="2911">
      <c r="A2911">
        <f>IFERROR(INDEX('Email Cleaner'!$B$2:$B$10001,MATCH(2910,'Email Cleaner'!$G$2:$G$10001,0)),"")</f>
        <v/>
      </c>
    </row>
    <row r="2912">
      <c r="A2912">
        <f>IFERROR(INDEX('Email Cleaner'!$B$2:$B$10001,MATCH(2911,'Email Cleaner'!$G$2:$G$10001,0)),"")</f>
        <v/>
      </c>
    </row>
    <row r="2913">
      <c r="A2913">
        <f>IFERROR(INDEX('Email Cleaner'!$B$2:$B$10001,MATCH(2912,'Email Cleaner'!$G$2:$G$10001,0)),"")</f>
        <v/>
      </c>
    </row>
    <row r="2914">
      <c r="A2914">
        <f>IFERROR(INDEX('Email Cleaner'!$B$2:$B$10001,MATCH(2913,'Email Cleaner'!$G$2:$G$10001,0)),"")</f>
        <v/>
      </c>
    </row>
    <row r="2915">
      <c r="A2915">
        <f>IFERROR(INDEX('Email Cleaner'!$B$2:$B$10001,MATCH(2914,'Email Cleaner'!$G$2:$G$10001,0)),"")</f>
        <v/>
      </c>
    </row>
    <row r="2916">
      <c r="A2916">
        <f>IFERROR(INDEX('Email Cleaner'!$B$2:$B$10001,MATCH(2915,'Email Cleaner'!$G$2:$G$10001,0)),"")</f>
        <v/>
      </c>
    </row>
    <row r="2917">
      <c r="A2917">
        <f>IFERROR(INDEX('Email Cleaner'!$B$2:$B$10001,MATCH(2916,'Email Cleaner'!$G$2:$G$10001,0)),"")</f>
        <v/>
      </c>
    </row>
    <row r="2918">
      <c r="A2918">
        <f>IFERROR(INDEX('Email Cleaner'!$B$2:$B$10001,MATCH(2917,'Email Cleaner'!$G$2:$G$10001,0)),"")</f>
        <v/>
      </c>
    </row>
    <row r="2919">
      <c r="A2919">
        <f>IFERROR(INDEX('Email Cleaner'!$B$2:$B$10001,MATCH(2918,'Email Cleaner'!$G$2:$G$10001,0)),"")</f>
        <v/>
      </c>
    </row>
    <row r="2920">
      <c r="A2920">
        <f>IFERROR(INDEX('Email Cleaner'!$B$2:$B$10001,MATCH(2919,'Email Cleaner'!$G$2:$G$10001,0)),"")</f>
        <v/>
      </c>
    </row>
    <row r="2921">
      <c r="A2921">
        <f>IFERROR(INDEX('Email Cleaner'!$B$2:$B$10001,MATCH(2920,'Email Cleaner'!$G$2:$G$10001,0)),"")</f>
        <v/>
      </c>
    </row>
    <row r="2922">
      <c r="A2922">
        <f>IFERROR(INDEX('Email Cleaner'!$B$2:$B$10001,MATCH(2921,'Email Cleaner'!$G$2:$G$10001,0)),"")</f>
        <v/>
      </c>
    </row>
    <row r="2923">
      <c r="A2923">
        <f>IFERROR(INDEX('Email Cleaner'!$B$2:$B$10001,MATCH(2922,'Email Cleaner'!$G$2:$G$10001,0)),"")</f>
        <v/>
      </c>
    </row>
    <row r="2924">
      <c r="A2924">
        <f>IFERROR(INDEX('Email Cleaner'!$B$2:$B$10001,MATCH(2923,'Email Cleaner'!$G$2:$G$10001,0)),"")</f>
        <v/>
      </c>
    </row>
    <row r="2925">
      <c r="A2925">
        <f>IFERROR(INDEX('Email Cleaner'!$B$2:$B$10001,MATCH(2924,'Email Cleaner'!$G$2:$G$10001,0)),"")</f>
        <v/>
      </c>
    </row>
    <row r="2926">
      <c r="A2926">
        <f>IFERROR(INDEX('Email Cleaner'!$B$2:$B$10001,MATCH(2925,'Email Cleaner'!$G$2:$G$10001,0)),"")</f>
        <v/>
      </c>
    </row>
    <row r="2927">
      <c r="A2927">
        <f>IFERROR(INDEX('Email Cleaner'!$B$2:$B$10001,MATCH(2926,'Email Cleaner'!$G$2:$G$10001,0)),"")</f>
        <v/>
      </c>
    </row>
    <row r="2928">
      <c r="A2928">
        <f>IFERROR(INDEX('Email Cleaner'!$B$2:$B$10001,MATCH(2927,'Email Cleaner'!$G$2:$G$10001,0)),"")</f>
        <v/>
      </c>
    </row>
    <row r="2929">
      <c r="A2929">
        <f>IFERROR(INDEX('Email Cleaner'!$B$2:$B$10001,MATCH(2928,'Email Cleaner'!$G$2:$G$10001,0)),"")</f>
        <v/>
      </c>
    </row>
    <row r="2930">
      <c r="A2930">
        <f>IFERROR(INDEX('Email Cleaner'!$B$2:$B$10001,MATCH(2929,'Email Cleaner'!$G$2:$G$10001,0)),"")</f>
        <v/>
      </c>
    </row>
    <row r="2931">
      <c r="A2931">
        <f>IFERROR(INDEX('Email Cleaner'!$B$2:$B$10001,MATCH(2930,'Email Cleaner'!$G$2:$G$10001,0)),"")</f>
        <v/>
      </c>
    </row>
    <row r="2932">
      <c r="A2932">
        <f>IFERROR(INDEX('Email Cleaner'!$B$2:$B$10001,MATCH(2931,'Email Cleaner'!$G$2:$G$10001,0)),"")</f>
        <v/>
      </c>
    </row>
    <row r="2933">
      <c r="A2933">
        <f>IFERROR(INDEX('Email Cleaner'!$B$2:$B$10001,MATCH(2932,'Email Cleaner'!$G$2:$G$10001,0)),"")</f>
        <v/>
      </c>
    </row>
    <row r="2934">
      <c r="A2934">
        <f>IFERROR(INDEX('Email Cleaner'!$B$2:$B$10001,MATCH(2933,'Email Cleaner'!$G$2:$G$10001,0)),"")</f>
        <v/>
      </c>
    </row>
    <row r="2935">
      <c r="A2935">
        <f>IFERROR(INDEX('Email Cleaner'!$B$2:$B$10001,MATCH(2934,'Email Cleaner'!$G$2:$G$10001,0)),"")</f>
        <v/>
      </c>
    </row>
    <row r="2936">
      <c r="A2936">
        <f>IFERROR(INDEX('Email Cleaner'!$B$2:$B$10001,MATCH(2935,'Email Cleaner'!$G$2:$G$10001,0)),"")</f>
        <v/>
      </c>
    </row>
    <row r="2937">
      <c r="A2937">
        <f>IFERROR(INDEX('Email Cleaner'!$B$2:$B$10001,MATCH(2936,'Email Cleaner'!$G$2:$G$10001,0)),"")</f>
        <v/>
      </c>
    </row>
    <row r="2938">
      <c r="A2938">
        <f>IFERROR(INDEX('Email Cleaner'!$B$2:$B$10001,MATCH(2937,'Email Cleaner'!$G$2:$G$10001,0)),"")</f>
        <v/>
      </c>
    </row>
    <row r="2939">
      <c r="A2939">
        <f>IFERROR(INDEX('Email Cleaner'!$B$2:$B$10001,MATCH(2938,'Email Cleaner'!$G$2:$G$10001,0)),"")</f>
        <v/>
      </c>
    </row>
    <row r="2940">
      <c r="A2940">
        <f>IFERROR(INDEX('Email Cleaner'!$B$2:$B$10001,MATCH(2939,'Email Cleaner'!$G$2:$G$10001,0)),"")</f>
        <v/>
      </c>
    </row>
    <row r="2941">
      <c r="A2941">
        <f>IFERROR(INDEX('Email Cleaner'!$B$2:$B$10001,MATCH(2940,'Email Cleaner'!$G$2:$G$10001,0)),"")</f>
        <v/>
      </c>
    </row>
    <row r="2942">
      <c r="A2942">
        <f>IFERROR(INDEX('Email Cleaner'!$B$2:$B$10001,MATCH(2941,'Email Cleaner'!$G$2:$G$10001,0)),"")</f>
        <v/>
      </c>
    </row>
    <row r="2943">
      <c r="A2943">
        <f>IFERROR(INDEX('Email Cleaner'!$B$2:$B$10001,MATCH(2942,'Email Cleaner'!$G$2:$G$10001,0)),"")</f>
        <v/>
      </c>
    </row>
    <row r="2944">
      <c r="A2944">
        <f>IFERROR(INDEX('Email Cleaner'!$B$2:$B$10001,MATCH(2943,'Email Cleaner'!$G$2:$G$10001,0)),"")</f>
        <v/>
      </c>
    </row>
    <row r="2945">
      <c r="A2945">
        <f>IFERROR(INDEX('Email Cleaner'!$B$2:$B$10001,MATCH(2944,'Email Cleaner'!$G$2:$G$10001,0)),"")</f>
        <v/>
      </c>
    </row>
    <row r="2946">
      <c r="A2946">
        <f>IFERROR(INDEX('Email Cleaner'!$B$2:$B$10001,MATCH(2945,'Email Cleaner'!$G$2:$G$10001,0)),"")</f>
        <v/>
      </c>
    </row>
    <row r="2947">
      <c r="A2947">
        <f>IFERROR(INDEX('Email Cleaner'!$B$2:$B$10001,MATCH(2946,'Email Cleaner'!$G$2:$G$10001,0)),"")</f>
        <v/>
      </c>
    </row>
    <row r="2948">
      <c r="A2948">
        <f>IFERROR(INDEX('Email Cleaner'!$B$2:$B$10001,MATCH(2947,'Email Cleaner'!$G$2:$G$10001,0)),"")</f>
        <v/>
      </c>
    </row>
    <row r="2949">
      <c r="A2949">
        <f>IFERROR(INDEX('Email Cleaner'!$B$2:$B$10001,MATCH(2948,'Email Cleaner'!$G$2:$G$10001,0)),"")</f>
        <v/>
      </c>
    </row>
    <row r="2950">
      <c r="A2950">
        <f>IFERROR(INDEX('Email Cleaner'!$B$2:$B$10001,MATCH(2949,'Email Cleaner'!$G$2:$G$10001,0)),"")</f>
        <v/>
      </c>
    </row>
    <row r="2951">
      <c r="A2951">
        <f>IFERROR(INDEX('Email Cleaner'!$B$2:$B$10001,MATCH(2950,'Email Cleaner'!$G$2:$G$10001,0)),"")</f>
        <v/>
      </c>
    </row>
    <row r="2952">
      <c r="A2952">
        <f>IFERROR(INDEX('Email Cleaner'!$B$2:$B$10001,MATCH(2951,'Email Cleaner'!$G$2:$G$10001,0)),"")</f>
        <v/>
      </c>
    </row>
    <row r="2953">
      <c r="A2953">
        <f>IFERROR(INDEX('Email Cleaner'!$B$2:$B$10001,MATCH(2952,'Email Cleaner'!$G$2:$G$10001,0)),"")</f>
        <v/>
      </c>
    </row>
    <row r="2954">
      <c r="A2954">
        <f>IFERROR(INDEX('Email Cleaner'!$B$2:$B$10001,MATCH(2953,'Email Cleaner'!$G$2:$G$10001,0)),"")</f>
        <v/>
      </c>
    </row>
    <row r="2955">
      <c r="A2955">
        <f>IFERROR(INDEX('Email Cleaner'!$B$2:$B$10001,MATCH(2954,'Email Cleaner'!$G$2:$G$10001,0)),"")</f>
        <v/>
      </c>
    </row>
    <row r="2956">
      <c r="A2956">
        <f>IFERROR(INDEX('Email Cleaner'!$B$2:$B$10001,MATCH(2955,'Email Cleaner'!$G$2:$G$10001,0)),"")</f>
        <v/>
      </c>
    </row>
    <row r="2957">
      <c r="A2957">
        <f>IFERROR(INDEX('Email Cleaner'!$B$2:$B$10001,MATCH(2956,'Email Cleaner'!$G$2:$G$10001,0)),"")</f>
        <v/>
      </c>
    </row>
    <row r="2958">
      <c r="A2958">
        <f>IFERROR(INDEX('Email Cleaner'!$B$2:$B$10001,MATCH(2957,'Email Cleaner'!$G$2:$G$10001,0)),"")</f>
        <v/>
      </c>
    </row>
    <row r="2959">
      <c r="A2959">
        <f>IFERROR(INDEX('Email Cleaner'!$B$2:$B$10001,MATCH(2958,'Email Cleaner'!$G$2:$G$10001,0)),"")</f>
        <v/>
      </c>
    </row>
    <row r="2960">
      <c r="A2960">
        <f>IFERROR(INDEX('Email Cleaner'!$B$2:$B$10001,MATCH(2959,'Email Cleaner'!$G$2:$G$10001,0)),"")</f>
        <v/>
      </c>
    </row>
    <row r="2961">
      <c r="A2961">
        <f>IFERROR(INDEX('Email Cleaner'!$B$2:$B$10001,MATCH(2960,'Email Cleaner'!$G$2:$G$10001,0)),"")</f>
        <v/>
      </c>
    </row>
    <row r="2962">
      <c r="A2962">
        <f>IFERROR(INDEX('Email Cleaner'!$B$2:$B$10001,MATCH(2961,'Email Cleaner'!$G$2:$G$10001,0)),"")</f>
        <v/>
      </c>
    </row>
    <row r="2963">
      <c r="A2963">
        <f>IFERROR(INDEX('Email Cleaner'!$B$2:$B$10001,MATCH(2962,'Email Cleaner'!$G$2:$G$10001,0)),"")</f>
        <v/>
      </c>
    </row>
    <row r="2964">
      <c r="A2964">
        <f>IFERROR(INDEX('Email Cleaner'!$B$2:$B$10001,MATCH(2963,'Email Cleaner'!$G$2:$G$10001,0)),"")</f>
        <v/>
      </c>
    </row>
    <row r="2965">
      <c r="A2965">
        <f>IFERROR(INDEX('Email Cleaner'!$B$2:$B$10001,MATCH(2964,'Email Cleaner'!$G$2:$G$10001,0)),"")</f>
        <v/>
      </c>
    </row>
    <row r="2966">
      <c r="A2966">
        <f>IFERROR(INDEX('Email Cleaner'!$B$2:$B$10001,MATCH(2965,'Email Cleaner'!$G$2:$G$10001,0)),"")</f>
        <v/>
      </c>
    </row>
    <row r="2967">
      <c r="A2967">
        <f>IFERROR(INDEX('Email Cleaner'!$B$2:$B$10001,MATCH(2966,'Email Cleaner'!$G$2:$G$10001,0)),"")</f>
        <v/>
      </c>
    </row>
    <row r="2968">
      <c r="A2968">
        <f>IFERROR(INDEX('Email Cleaner'!$B$2:$B$10001,MATCH(2967,'Email Cleaner'!$G$2:$G$10001,0)),"")</f>
        <v/>
      </c>
    </row>
    <row r="2969">
      <c r="A2969">
        <f>IFERROR(INDEX('Email Cleaner'!$B$2:$B$10001,MATCH(2968,'Email Cleaner'!$G$2:$G$10001,0)),"")</f>
        <v/>
      </c>
    </row>
    <row r="2970">
      <c r="A2970">
        <f>IFERROR(INDEX('Email Cleaner'!$B$2:$B$10001,MATCH(2969,'Email Cleaner'!$G$2:$G$10001,0)),"")</f>
        <v/>
      </c>
    </row>
    <row r="2971">
      <c r="A2971">
        <f>IFERROR(INDEX('Email Cleaner'!$B$2:$B$10001,MATCH(2970,'Email Cleaner'!$G$2:$G$10001,0)),"")</f>
        <v/>
      </c>
    </row>
    <row r="2972">
      <c r="A2972">
        <f>IFERROR(INDEX('Email Cleaner'!$B$2:$B$10001,MATCH(2971,'Email Cleaner'!$G$2:$G$10001,0)),"")</f>
        <v/>
      </c>
    </row>
    <row r="2973">
      <c r="A2973">
        <f>IFERROR(INDEX('Email Cleaner'!$B$2:$B$10001,MATCH(2972,'Email Cleaner'!$G$2:$G$10001,0)),"")</f>
        <v/>
      </c>
    </row>
    <row r="2974">
      <c r="A2974">
        <f>IFERROR(INDEX('Email Cleaner'!$B$2:$B$10001,MATCH(2973,'Email Cleaner'!$G$2:$G$10001,0)),"")</f>
        <v/>
      </c>
    </row>
    <row r="2975">
      <c r="A2975">
        <f>IFERROR(INDEX('Email Cleaner'!$B$2:$B$10001,MATCH(2974,'Email Cleaner'!$G$2:$G$10001,0)),"")</f>
        <v/>
      </c>
    </row>
    <row r="2976">
      <c r="A2976">
        <f>IFERROR(INDEX('Email Cleaner'!$B$2:$B$10001,MATCH(2975,'Email Cleaner'!$G$2:$G$10001,0)),"")</f>
        <v/>
      </c>
    </row>
    <row r="2977">
      <c r="A2977">
        <f>IFERROR(INDEX('Email Cleaner'!$B$2:$B$10001,MATCH(2976,'Email Cleaner'!$G$2:$G$10001,0)),"")</f>
        <v/>
      </c>
    </row>
    <row r="2978">
      <c r="A2978">
        <f>IFERROR(INDEX('Email Cleaner'!$B$2:$B$10001,MATCH(2977,'Email Cleaner'!$G$2:$G$10001,0)),"")</f>
        <v/>
      </c>
    </row>
    <row r="2979">
      <c r="A2979">
        <f>IFERROR(INDEX('Email Cleaner'!$B$2:$B$10001,MATCH(2978,'Email Cleaner'!$G$2:$G$10001,0)),"")</f>
        <v/>
      </c>
    </row>
    <row r="2980">
      <c r="A2980">
        <f>IFERROR(INDEX('Email Cleaner'!$B$2:$B$10001,MATCH(2979,'Email Cleaner'!$G$2:$G$10001,0)),"")</f>
        <v/>
      </c>
    </row>
    <row r="2981">
      <c r="A2981">
        <f>IFERROR(INDEX('Email Cleaner'!$B$2:$B$10001,MATCH(2980,'Email Cleaner'!$G$2:$G$10001,0)),"")</f>
        <v/>
      </c>
    </row>
    <row r="2982">
      <c r="A2982">
        <f>IFERROR(INDEX('Email Cleaner'!$B$2:$B$10001,MATCH(2981,'Email Cleaner'!$G$2:$G$10001,0)),"")</f>
        <v/>
      </c>
    </row>
    <row r="2983">
      <c r="A2983">
        <f>IFERROR(INDEX('Email Cleaner'!$B$2:$B$10001,MATCH(2982,'Email Cleaner'!$G$2:$G$10001,0)),"")</f>
        <v/>
      </c>
    </row>
    <row r="2984">
      <c r="A2984">
        <f>IFERROR(INDEX('Email Cleaner'!$B$2:$B$10001,MATCH(2983,'Email Cleaner'!$G$2:$G$10001,0)),"")</f>
        <v/>
      </c>
    </row>
    <row r="2985">
      <c r="A2985">
        <f>IFERROR(INDEX('Email Cleaner'!$B$2:$B$10001,MATCH(2984,'Email Cleaner'!$G$2:$G$10001,0)),"")</f>
        <v/>
      </c>
    </row>
    <row r="2986">
      <c r="A2986">
        <f>IFERROR(INDEX('Email Cleaner'!$B$2:$B$10001,MATCH(2985,'Email Cleaner'!$G$2:$G$10001,0)),"")</f>
        <v/>
      </c>
    </row>
    <row r="2987">
      <c r="A2987">
        <f>IFERROR(INDEX('Email Cleaner'!$B$2:$B$10001,MATCH(2986,'Email Cleaner'!$G$2:$G$10001,0)),"")</f>
        <v/>
      </c>
    </row>
    <row r="2988">
      <c r="A2988">
        <f>IFERROR(INDEX('Email Cleaner'!$B$2:$B$10001,MATCH(2987,'Email Cleaner'!$G$2:$G$10001,0)),"")</f>
        <v/>
      </c>
    </row>
    <row r="2989">
      <c r="A2989">
        <f>IFERROR(INDEX('Email Cleaner'!$B$2:$B$10001,MATCH(2988,'Email Cleaner'!$G$2:$G$10001,0)),"")</f>
        <v/>
      </c>
    </row>
    <row r="2990">
      <c r="A2990">
        <f>IFERROR(INDEX('Email Cleaner'!$B$2:$B$10001,MATCH(2989,'Email Cleaner'!$G$2:$G$10001,0)),"")</f>
        <v/>
      </c>
    </row>
    <row r="2991">
      <c r="A2991">
        <f>IFERROR(INDEX('Email Cleaner'!$B$2:$B$10001,MATCH(2990,'Email Cleaner'!$G$2:$G$10001,0)),"")</f>
        <v/>
      </c>
    </row>
    <row r="2992">
      <c r="A2992">
        <f>IFERROR(INDEX('Email Cleaner'!$B$2:$B$10001,MATCH(2991,'Email Cleaner'!$G$2:$G$10001,0)),"")</f>
        <v/>
      </c>
    </row>
    <row r="2993">
      <c r="A2993">
        <f>IFERROR(INDEX('Email Cleaner'!$B$2:$B$10001,MATCH(2992,'Email Cleaner'!$G$2:$G$10001,0)),"")</f>
        <v/>
      </c>
    </row>
    <row r="2994">
      <c r="A2994">
        <f>IFERROR(INDEX('Email Cleaner'!$B$2:$B$10001,MATCH(2993,'Email Cleaner'!$G$2:$G$10001,0)),"")</f>
        <v/>
      </c>
    </row>
    <row r="2995">
      <c r="A2995">
        <f>IFERROR(INDEX('Email Cleaner'!$B$2:$B$10001,MATCH(2994,'Email Cleaner'!$G$2:$G$10001,0)),"")</f>
        <v/>
      </c>
    </row>
    <row r="2996">
      <c r="A2996">
        <f>IFERROR(INDEX('Email Cleaner'!$B$2:$B$10001,MATCH(2995,'Email Cleaner'!$G$2:$G$10001,0)),"")</f>
        <v/>
      </c>
    </row>
    <row r="2997">
      <c r="A2997">
        <f>IFERROR(INDEX('Email Cleaner'!$B$2:$B$10001,MATCH(2996,'Email Cleaner'!$G$2:$G$10001,0)),"")</f>
        <v/>
      </c>
    </row>
    <row r="2998">
      <c r="A2998">
        <f>IFERROR(INDEX('Email Cleaner'!$B$2:$B$10001,MATCH(2997,'Email Cleaner'!$G$2:$G$10001,0)),"")</f>
        <v/>
      </c>
    </row>
    <row r="2999">
      <c r="A2999">
        <f>IFERROR(INDEX('Email Cleaner'!$B$2:$B$10001,MATCH(2998,'Email Cleaner'!$G$2:$G$10001,0)),"")</f>
        <v/>
      </c>
    </row>
    <row r="3000">
      <c r="A3000">
        <f>IFERROR(INDEX('Email Cleaner'!$B$2:$B$10001,MATCH(2999,'Email Cleaner'!$G$2:$G$10001,0)),"")</f>
        <v/>
      </c>
    </row>
    <row r="3001">
      <c r="A3001">
        <f>IFERROR(INDEX('Email Cleaner'!$B$2:$B$10001,MATCH(3000,'Email Cleaner'!$G$2:$G$10001,0)),"")</f>
        <v/>
      </c>
    </row>
    <row r="3002">
      <c r="A3002">
        <f>IFERROR(INDEX('Email Cleaner'!$B$2:$B$10001,MATCH(3001,'Email Cleaner'!$G$2:$G$10001,0)),"")</f>
        <v/>
      </c>
    </row>
    <row r="3003">
      <c r="A3003">
        <f>IFERROR(INDEX('Email Cleaner'!$B$2:$B$10001,MATCH(3002,'Email Cleaner'!$G$2:$G$10001,0)),"")</f>
        <v/>
      </c>
    </row>
    <row r="3004">
      <c r="A3004">
        <f>IFERROR(INDEX('Email Cleaner'!$B$2:$B$10001,MATCH(3003,'Email Cleaner'!$G$2:$G$10001,0)),"")</f>
        <v/>
      </c>
    </row>
    <row r="3005">
      <c r="A3005">
        <f>IFERROR(INDEX('Email Cleaner'!$B$2:$B$10001,MATCH(3004,'Email Cleaner'!$G$2:$G$10001,0)),"")</f>
        <v/>
      </c>
    </row>
    <row r="3006">
      <c r="A3006">
        <f>IFERROR(INDEX('Email Cleaner'!$B$2:$B$10001,MATCH(3005,'Email Cleaner'!$G$2:$G$10001,0)),"")</f>
        <v/>
      </c>
    </row>
    <row r="3007">
      <c r="A3007">
        <f>IFERROR(INDEX('Email Cleaner'!$B$2:$B$10001,MATCH(3006,'Email Cleaner'!$G$2:$G$10001,0)),"")</f>
        <v/>
      </c>
    </row>
    <row r="3008">
      <c r="A3008">
        <f>IFERROR(INDEX('Email Cleaner'!$B$2:$B$10001,MATCH(3007,'Email Cleaner'!$G$2:$G$10001,0)),"")</f>
        <v/>
      </c>
    </row>
    <row r="3009">
      <c r="A3009">
        <f>IFERROR(INDEX('Email Cleaner'!$B$2:$B$10001,MATCH(3008,'Email Cleaner'!$G$2:$G$10001,0)),"")</f>
        <v/>
      </c>
    </row>
    <row r="3010">
      <c r="A3010">
        <f>IFERROR(INDEX('Email Cleaner'!$B$2:$B$10001,MATCH(3009,'Email Cleaner'!$G$2:$G$10001,0)),"")</f>
        <v/>
      </c>
    </row>
    <row r="3011">
      <c r="A3011">
        <f>IFERROR(INDEX('Email Cleaner'!$B$2:$B$10001,MATCH(3010,'Email Cleaner'!$G$2:$G$10001,0)),"")</f>
        <v/>
      </c>
    </row>
    <row r="3012">
      <c r="A3012">
        <f>IFERROR(INDEX('Email Cleaner'!$B$2:$B$10001,MATCH(3011,'Email Cleaner'!$G$2:$G$10001,0)),"")</f>
        <v/>
      </c>
    </row>
    <row r="3013">
      <c r="A3013">
        <f>IFERROR(INDEX('Email Cleaner'!$B$2:$B$10001,MATCH(3012,'Email Cleaner'!$G$2:$G$10001,0)),"")</f>
        <v/>
      </c>
    </row>
    <row r="3014">
      <c r="A3014">
        <f>IFERROR(INDEX('Email Cleaner'!$B$2:$B$10001,MATCH(3013,'Email Cleaner'!$G$2:$G$10001,0)),"")</f>
        <v/>
      </c>
    </row>
    <row r="3015">
      <c r="A3015">
        <f>IFERROR(INDEX('Email Cleaner'!$B$2:$B$10001,MATCH(3014,'Email Cleaner'!$G$2:$G$10001,0)),"")</f>
        <v/>
      </c>
    </row>
    <row r="3016">
      <c r="A3016">
        <f>IFERROR(INDEX('Email Cleaner'!$B$2:$B$10001,MATCH(3015,'Email Cleaner'!$G$2:$G$10001,0)),"")</f>
        <v/>
      </c>
    </row>
    <row r="3017">
      <c r="A3017">
        <f>IFERROR(INDEX('Email Cleaner'!$B$2:$B$10001,MATCH(3016,'Email Cleaner'!$G$2:$G$10001,0)),"")</f>
        <v/>
      </c>
    </row>
    <row r="3018">
      <c r="A3018">
        <f>IFERROR(INDEX('Email Cleaner'!$B$2:$B$10001,MATCH(3017,'Email Cleaner'!$G$2:$G$10001,0)),"")</f>
        <v/>
      </c>
    </row>
    <row r="3019">
      <c r="A3019">
        <f>IFERROR(INDEX('Email Cleaner'!$B$2:$B$10001,MATCH(3018,'Email Cleaner'!$G$2:$G$10001,0)),"")</f>
        <v/>
      </c>
    </row>
    <row r="3020">
      <c r="A3020">
        <f>IFERROR(INDEX('Email Cleaner'!$B$2:$B$10001,MATCH(3019,'Email Cleaner'!$G$2:$G$10001,0)),"")</f>
        <v/>
      </c>
    </row>
    <row r="3021">
      <c r="A3021">
        <f>IFERROR(INDEX('Email Cleaner'!$B$2:$B$10001,MATCH(3020,'Email Cleaner'!$G$2:$G$10001,0)),"")</f>
        <v/>
      </c>
    </row>
    <row r="3022">
      <c r="A3022">
        <f>IFERROR(INDEX('Email Cleaner'!$B$2:$B$10001,MATCH(3021,'Email Cleaner'!$G$2:$G$10001,0)),"")</f>
        <v/>
      </c>
    </row>
    <row r="3023">
      <c r="A3023">
        <f>IFERROR(INDEX('Email Cleaner'!$B$2:$B$10001,MATCH(3022,'Email Cleaner'!$G$2:$G$10001,0)),"")</f>
        <v/>
      </c>
    </row>
    <row r="3024">
      <c r="A3024">
        <f>IFERROR(INDEX('Email Cleaner'!$B$2:$B$10001,MATCH(3023,'Email Cleaner'!$G$2:$G$10001,0)),"")</f>
        <v/>
      </c>
    </row>
    <row r="3025">
      <c r="A3025">
        <f>IFERROR(INDEX('Email Cleaner'!$B$2:$B$10001,MATCH(3024,'Email Cleaner'!$G$2:$G$10001,0)),"")</f>
        <v/>
      </c>
    </row>
    <row r="3026">
      <c r="A3026">
        <f>IFERROR(INDEX('Email Cleaner'!$B$2:$B$10001,MATCH(3025,'Email Cleaner'!$G$2:$G$10001,0)),"")</f>
        <v/>
      </c>
    </row>
    <row r="3027">
      <c r="A3027">
        <f>IFERROR(INDEX('Email Cleaner'!$B$2:$B$10001,MATCH(3026,'Email Cleaner'!$G$2:$G$10001,0)),"")</f>
        <v/>
      </c>
    </row>
    <row r="3028">
      <c r="A3028">
        <f>IFERROR(INDEX('Email Cleaner'!$B$2:$B$10001,MATCH(3027,'Email Cleaner'!$G$2:$G$10001,0)),"")</f>
        <v/>
      </c>
    </row>
    <row r="3029">
      <c r="A3029">
        <f>IFERROR(INDEX('Email Cleaner'!$B$2:$B$10001,MATCH(3028,'Email Cleaner'!$G$2:$G$10001,0)),"")</f>
        <v/>
      </c>
    </row>
    <row r="3030">
      <c r="A3030">
        <f>IFERROR(INDEX('Email Cleaner'!$B$2:$B$10001,MATCH(3029,'Email Cleaner'!$G$2:$G$10001,0)),"")</f>
        <v/>
      </c>
    </row>
    <row r="3031">
      <c r="A3031">
        <f>IFERROR(INDEX('Email Cleaner'!$B$2:$B$10001,MATCH(3030,'Email Cleaner'!$G$2:$G$10001,0)),"")</f>
        <v/>
      </c>
    </row>
    <row r="3032">
      <c r="A3032">
        <f>IFERROR(INDEX('Email Cleaner'!$B$2:$B$10001,MATCH(3031,'Email Cleaner'!$G$2:$G$10001,0)),"")</f>
        <v/>
      </c>
    </row>
    <row r="3033">
      <c r="A3033">
        <f>IFERROR(INDEX('Email Cleaner'!$B$2:$B$10001,MATCH(3032,'Email Cleaner'!$G$2:$G$10001,0)),"")</f>
        <v/>
      </c>
    </row>
    <row r="3034">
      <c r="A3034">
        <f>IFERROR(INDEX('Email Cleaner'!$B$2:$B$10001,MATCH(3033,'Email Cleaner'!$G$2:$G$10001,0)),"")</f>
        <v/>
      </c>
    </row>
    <row r="3035">
      <c r="A3035">
        <f>IFERROR(INDEX('Email Cleaner'!$B$2:$B$10001,MATCH(3034,'Email Cleaner'!$G$2:$G$10001,0)),"")</f>
        <v/>
      </c>
    </row>
    <row r="3036">
      <c r="A3036">
        <f>IFERROR(INDEX('Email Cleaner'!$B$2:$B$10001,MATCH(3035,'Email Cleaner'!$G$2:$G$10001,0)),"")</f>
        <v/>
      </c>
    </row>
    <row r="3037">
      <c r="A3037">
        <f>IFERROR(INDEX('Email Cleaner'!$B$2:$B$10001,MATCH(3036,'Email Cleaner'!$G$2:$G$10001,0)),"")</f>
        <v/>
      </c>
    </row>
    <row r="3038">
      <c r="A3038">
        <f>IFERROR(INDEX('Email Cleaner'!$B$2:$B$10001,MATCH(3037,'Email Cleaner'!$G$2:$G$10001,0)),"")</f>
        <v/>
      </c>
    </row>
    <row r="3039">
      <c r="A3039">
        <f>IFERROR(INDEX('Email Cleaner'!$B$2:$B$10001,MATCH(3038,'Email Cleaner'!$G$2:$G$10001,0)),"")</f>
        <v/>
      </c>
    </row>
    <row r="3040">
      <c r="A3040">
        <f>IFERROR(INDEX('Email Cleaner'!$B$2:$B$10001,MATCH(3039,'Email Cleaner'!$G$2:$G$10001,0)),"")</f>
        <v/>
      </c>
    </row>
    <row r="3041">
      <c r="A3041">
        <f>IFERROR(INDEX('Email Cleaner'!$B$2:$B$10001,MATCH(3040,'Email Cleaner'!$G$2:$G$10001,0)),"")</f>
        <v/>
      </c>
    </row>
    <row r="3042">
      <c r="A3042">
        <f>IFERROR(INDEX('Email Cleaner'!$B$2:$B$10001,MATCH(3041,'Email Cleaner'!$G$2:$G$10001,0)),"")</f>
        <v/>
      </c>
    </row>
    <row r="3043">
      <c r="A3043">
        <f>IFERROR(INDEX('Email Cleaner'!$B$2:$B$10001,MATCH(3042,'Email Cleaner'!$G$2:$G$10001,0)),"")</f>
        <v/>
      </c>
    </row>
    <row r="3044">
      <c r="A3044">
        <f>IFERROR(INDEX('Email Cleaner'!$B$2:$B$10001,MATCH(3043,'Email Cleaner'!$G$2:$G$10001,0)),"")</f>
        <v/>
      </c>
    </row>
    <row r="3045">
      <c r="A3045">
        <f>IFERROR(INDEX('Email Cleaner'!$B$2:$B$10001,MATCH(3044,'Email Cleaner'!$G$2:$G$10001,0)),"")</f>
        <v/>
      </c>
    </row>
    <row r="3046">
      <c r="A3046">
        <f>IFERROR(INDEX('Email Cleaner'!$B$2:$B$10001,MATCH(3045,'Email Cleaner'!$G$2:$G$10001,0)),"")</f>
        <v/>
      </c>
    </row>
    <row r="3047">
      <c r="A3047">
        <f>IFERROR(INDEX('Email Cleaner'!$B$2:$B$10001,MATCH(3046,'Email Cleaner'!$G$2:$G$10001,0)),"")</f>
        <v/>
      </c>
    </row>
    <row r="3048">
      <c r="A3048">
        <f>IFERROR(INDEX('Email Cleaner'!$B$2:$B$10001,MATCH(3047,'Email Cleaner'!$G$2:$G$10001,0)),"")</f>
        <v/>
      </c>
    </row>
    <row r="3049">
      <c r="A3049">
        <f>IFERROR(INDEX('Email Cleaner'!$B$2:$B$10001,MATCH(3048,'Email Cleaner'!$G$2:$G$10001,0)),"")</f>
        <v/>
      </c>
    </row>
    <row r="3050">
      <c r="A3050">
        <f>IFERROR(INDEX('Email Cleaner'!$B$2:$B$10001,MATCH(3049,'Email Cleaner'!$G$2:$G$10001,0)),"")</f>
        <v/>
      </c>
    </row>
    <row r="3051">
      <c r="A3051">
        <f>IFERROR(INDEX('Email Cleaner'!$B$2:$B$10001,MATCH(3050,'Email Cleaner'!$G$2:$G$10001,0)),"")</f>
        <v/>
      </c>
    </row>
    <row r="3052">
      <c r="A3052">
        <f>IFERROR(INDEX('Email Cleaner'!$B$2:$B$10001,MATCH(3051,'Email Cleaner'!$G$2:$G$10001,0)),"")</f>
        <v/>
      </c>
    </row>
    <row r="3053">
      <c r="A3053">
        <f>IFERROR(INDEX('Email Cleaner'!$B$2:$B$10001,MATCH(3052,'Email Cleaner'!$G$2:$G$10001,0)),"")</f>
        <v/>
      </c>
    </row>
    <row r="3054">
      <c r="A3054">
        <f>IFERROR(INDEX('Email Cleaner'!$B$2:$B$10001,MATCH(3053,'Email Cleaner'!$G$2:$G$10001,0)),"")</f>
        <v/>
      </c>
    </row>
    <row r="3055">
      <c r="A3055">
        <f>IFERROR(INDEX('Email Cleaner'!$B$2:$B$10001,MATCH(3054,'Email Cleaner'!$G$2:$G$10001,0)),"")</f>
        <v/>
      </c>
    </row>
    <row r="3056">
      <c r="A3056">
        <f>IFERROR(INDEX('Email Cleaner'!$B$2:$B$10001,MATCH(3055,'Email Cleaner'!$G$2:$G$10001,0)),"")</f>
        <v/>
      </c>
    </row>
    <row r="3057">
      <c r="A3057">
        <f>IFERROR(INDEX('Email Cleaner'!$B$2:$B$10001,MATCH(3056,'Email Cleaner'!$G$2:$G$10001,0)),"")</f>
        <v/>
      </c>
    </row>
    <row r="3058">
      <c r="A3058">
        <f>IFERROR(INDEX('Email Cleaner'!$B$2:$B$10001,MATCH(3057,'Email Cleaner'!$G$2:$G$10001,0)),"")</f>
        <v/>
      </c>
    </row>
    <row r="3059">
      <c r="A3059">
        <f>IFERROR(INDEX('Email Cleaner'!$B$2:$B$10001,MATCH(3058,'Email Cleaner'!$G$2:$G$10001,0)),"")</f>
        <v/>
      </c>
    </row>
    <row r="3060">
      <c r="A3060">
        <f>IFERROR(INDEX('Email Cleaner'!$B$2:$B$10001,MATCH(3059,'Email Cleaner'!$G$2:$G$10001,0)),"")</f>
        <v/>
      </c>
    </row>
    <row r="3061">
      <c r="A3061">
        <f>IFERROR(INDEX('Email Cleaner'!$B$2:$B$10001,MATCH(3060,'Email Cleaner'!$G$2:$G$10001,0)),"")</f>
        <v/>
      </c>
    </row>
    <row r="3062">
      <c r="A3062">
        <f>IFERROR(INDEX('Email Cleaner'!$B$2:$B$10001,MATCH(3061,'Email Cleaner'!$G$2:$G$10001,0)),"")</f>
        <v/>
      </c>
    </row>
    <row r="3063">
      <c r="A3063">
        <f>IFERROR(INDEX('Email Cleaner'!$B$2:$B$10001,MATCH(3062,'Email Cleaner'!$G$2:$G$10001,0)),"")</f>
        <v/>
      </c>
    </row>
    <row r="3064">
      <c r="A3064">
        <f>IFERROR(INDEX('Email Cleaner'!$B$2:$B$10001,MATCH(3063,'Email Cleaner'!$G$2:$G$10001,0)),"")</f>
        <v/>
      </c>
    </row>
    <row r="3065">
      <c r="A3065">
        <f>IFERROR(INDEX('Email Cleaner'!$B$2:$B$10001,MATCH(3064,'Email Cleaner'!$G$2:$G$10001,0)),"")</f>
        <v/>
      </c>
    </row>
    <row r="3066">
      <c r="A3066">
        <f>IFERROR(INDEX('Email Cleaner'!$B$2:$B$10001,MATCH(3065,'Email Cleaner'!$G$2:$G$10001,0)),"")</f>
        <v/>
      </c>
    </row>
    <row r="3067">
      <c r="A3067">
        <f>IFERROR(INDEX('Email Cleaner'!$B$2:$B$10001,MATCH(3066,'Email Cleaner'!$G$2:$G$10001,0)),"")</f>
        <v/>
      </c>
    </row>
    <row r="3068">
      <c r="A3068">
        <f>IFERROR(INDEX('Email Cleaner'!$B$2:$B$10001,MATCH(3067,'Email Cleaner'!$G$2:$G$10001,0)),"")</f>
        <v/>
      </c>
    </row>
    <row r="3069">
      <c r="A3069">
        <f>IFERROR(INDEX('Email Cleaner'!$B$2:$B$10001,MATCH(3068,'Email Cleaner'!$G$2:$G$10001,0)),"")</f>
        <v/>
      </c>
    </row>
    <row r="3070">
      <c r="A3070">
        <f>IFERROR(INDEX('Email Cleaner'!$B$2:$B$10001,MATCH(3069,'Email Cleaner'!$G$2:$G$10001,0)),"")</f>
        <v/>
      </c>
    </row>
    <row r="3071">
      <c r="A3071">
        <f>IFERROR(INDEX('Email Cleaner'!$B$2:$B$10001,MATCH(3070,'Email Cleaner'!$G$2:$G$10001,0)),"")</f>
        <v/>
      </c>
    </row>
    <row r="3072">
      <c r="A3072">
        <f>IFERROR(INDEX('Email Cleaner'!$B$2:$B$10001,MATCH(3071,'Email Cleaner'!$G$2:$G$10001,0)),"")</f>
        <v/>
      </c>
    </row>
    <row r="3073">
      <c r="A3073">
        <f>IFERROR(INDEX('Email Cleaner'!$B$2:$B$10001,MATCH(3072,'Email Cleaner'!$G$2:$G$10001,0)),"")</f>
        <v/>
      </c>
    </row>
    <row r="3074">
      <c r="A3074">
        <f>IFERROR(INDEX('Email Cleaner'!$B$2:$B$10001,MATCH(3073,'Email Cleaner'!$G$2:$G$10001,0)),"")</f>
        <v/>
      </c>
    </row>
    <row r="3075">
      <c r="A3075">
        <f>IFERROR(INDEX('Email Cleaner'!$B$2:$B$10001,MATCH(3074,'Email Cleaner'!$G$2:$G$10001,0)),"")</f>
        <v/>
      </c>
    </row>
    <row r="3076">
      <c r="A3076">
        <f>IFERROR(INDEX('Email Cleaner'!$B$2:$B$10001,MATCH(3075,'Email Cleaner'!$G$2:$G$10001,0)),"")</f>
        <v/>
      </c>
    </row>
    <row r="3077">
      <c r="A3077">
        <f>IFERROR(INDEX('Email Cleaner'!$B$2:$B$10001,MATCH(3076,'Email Cleaner'!$G$2:$G$10001,0)),"")</f>
        <v/>
      </c>
    </row>
    <row r="3078">
      <c r="A3078">
        <f>IFERROR(INDEX('Email Cleaner'!$B$2:$B$10001,MATCH(3077,'Email Cleaner'!$G$2:$G$10001,0)),"")</f>
        <v/>
      </c>
    </row>
    <row r="3079">
      <c r="A3079">
        <f>IFERROR(INDEX('Email Cleaner'!$B$2:$B$10001,MATCH(3078,'Email Cleaner'!$G$2:$G$10001,0)),"")</f>
        <v/>
      </c>
    </row>
    <row r="3080">
      <c r="A3080">
        <f>IFERROR(INDEX('Email Cleaner'!$B$2:$B$10001,MATCH(3079,'Email Cleaner'!$G$2:$G$10001,0)),"")</f>
        <v/>
      </c>
    </row>
    <row r="3081">
      <c r="A3081">
        <f>IFERROR(INDEX('Email Cleaner'!$B$2:$B$10001,MATCH(3080,'Email Cleaner'!$G$2:$G$10001,0)),"")</f>
        <v/>
      </c>
    </row>
    <row r="3082">
      <c r="A3082">
        <f>IFERROR(INDEX('Email Cleaner'!$B$2:$B$10001,MATCH(3081,'Email Cleaner'!$G$2:$G$10001,0)),"")</f>
        <v/>
      </c>
    </row>
    <row r="3083">
      <c r="A3083">
        <f>IFERROR(INDEX('Email Cleaner'!$B$2:$B$10001,MATCH(3082,'Email Cleaner'!$G$2:$G$10001,0)),"")</f>
        <v/>
      </c>
    </row>
    <row r="3084">
      <c r="A3084">
        <f>IFERROR(INDEX('Email Cleaner'!$B$2:$B$10001,MATCH(3083,'Email Cleaner'!$G$2:$G$10001,0)),"")</f>
        <v/>
      </c>
    </row>
    <row r="3085">
      <c r="A3085">
        <f>IFERROR(INDEX('Email Cleaner'!$B$2:$B$10001,MATCH(3084,'Email Cleaner'!$G$2:$G$10001,0)),"")</f>
        <v/>
      </c>
    </row>
    <row r="3086">
      <c r="A3086">
        <f>IFERROR(INDEX('Email Cleaner'!$B$2:$B$10001,MATCH(3085,'Email Cleaner'!$G$2:$G$10001,0)),"")</f>
        <v/>
      </c>
    </row>
    <row r="3087">
      <c r="A3087">
        <f>IFERROR(INDEX('Email Cleaner'!$B$2:$B$10001,MATCH(3086,'Email Cleaner'!$G$2:$G$10001,0)),"")</f>
        <v/>
      </c>
    </row>
    <row r="3088">
      <c r="A3088">
        <f>IFERROR(INDEX('Email Cleaner'!$B$2:$B$10001,MATCH(3087,'Email Cleaner'!$G$2:$G$10001,0)),"")</f>
        <v/>
      </c>
    </row>
    <row r="3089">
      <c r="A3089">
        <f>IFERROR(INDEX('Email Cleaner'!$B$2:$B$10001,MATCH(3088,'Email Cleaner'!$G$2:$G$10001,0)),"")</f>
        <v/>
      </c>
    </row>
    <row r="3090">
      <c r="A3090">
        <f>IFERROR(INDEX('Email Cleaner'!$B$2:$B$10001,MATCH(3089,'Email Cleaner'!$G$2:$G$10001,0)),"")</f>
        <v/>
      </c>
    </row>
    <row r="3091">
      <c r="A3091">
        <f>IFERROR(INDEX('Email Cleaner'!$B$2:$B$10001,MATCH(3090,'Email Cleaner'!$G$2:$G$10001,0)),"")</f>
        <v/>
      </c>
    </row>
    <row r="3092">
      <c r="A3092">
        <f>IFERROR(INDEX('Email Cleaner'!$B$2:$B$10001,MATCH(3091,'Email Cleaner'!$G$2:$G$10001,0)),"")</f>
        <v/>
      </c>
    </row>
    <row r="3093">
      <c r="A3093">
        <f>IFERROR(INDEX('Email Cleaner'!$B$2:$B$10001,MATCH(3092,'Email Cleaner'!$G$2:$G$10001,0)),"")</f>
        <v/>
      </c>
    </row>
    <row r="3094">
      <c r="A3094">
        <f>IFERROR(INDEX('Email Cleaner'!$B$2:$B$10001,MATCH(3093,'Email Cleaner'!$G$2:$G$10001,0)),"")</f>
        <v/>
      </c>
    </row>
    <row r="3095">
      <c r="A3095">
        <f>IFERROR(INDEX('Email Cleaner'!$B$2:$B$10001,MATCH(3094,'Email Cleaner'!$G$2:$G$10001,0)),"")</f>
        <v/>
      </c>
    </row>
    <row r="3096">
      <c r="A3096">
        <f>IFERROR(INDEX('Email Cleaner'!$B$2:$B$10001,MATCH(3095,'Email Cleaner'!$G$2:$G$10001,0)),"")</f>
        <v/>
      </c>
    </row>
    <row r="3097">
      <c r="A3097">
        <f>IFERROR(INDEX('Email Cleaner'!$B$2:$B$10001,MATCH(3096,'Email Cleaner'!$G$2:$G$10001,0)),"")</f>
        <v/>
      </c>
    </row>
    <row r="3098">
      <c r="A3098">
        <f>IFERROR(INDEX('Email Cleaner'!$B$2:$B$10001,MATCH(3097,'Email Cleaner'!$G$2:$G$10001,0)),"")</f>
        <v/>
      </c>
    </row>
    <row r="3099">
      <c r="A3099">
        <f>IFERROR(INDEX('Email Cleaner'!$B$2:$B$10001,MATCH(3098,'Email Cleaner'!$G$2:$G$10001,0)),"")</f>
        <v/>
      </c>
    </row>
    <row r="3100">
      <c r="A3100">
        <f>IFERROR(INDEX('Email Cleaner'!$B$2:$B$10001,MATCH(3099,'Email Cleaner'!$G$2:$G$10001,0)),"")</f>
        <v/>
      </c>
    </row>
    <row r="3101">
      <c r="A3101">
        <f>IFERROR(INDEX('Email Cleaner'!$B$2:$B$10001,MATCH(3100,'Email Cleaner'!$G$2:$G$10001,0)),"")</f>
        <v/>
      </c>
    </row>
    <row r="3102">
      <c r="A3102">
        <f>IFERROR(INDEX('Email Cleaner'!$B$2:$B$10001,MATCH(3101,'Email Cleaner'!$G$2:$G$10001,0)),"")</f>
        <v/>
      </c>
    </row>
    <row r="3103">
      <c r="A3103">
        <f>IFERROR(INDEX('Email Cleaner'!$B$2:$B$10001,MATCH(3102,'Email Cleaner'!$G$2:$G$10001,0)),"")</f>
        <v/>
      </c>
    </row>
    <row r="3104">
      <c r="A3104">
        <f>IFERROR(INDEX('Email Cleaner'!$B$2:$B$10001,MATCH(3103,'Email Cleaner'!$G$2:$G$10001,0)),"")</f>
        <v/>
      </c>
    </row>
    <row r="3105">
      <c r="A3105">
        <f>IFERROR(INDEX('Email Cleaner'!$B$2:$B$10001,MATCH(3104,'Email Cleaner'!$G$2:$G$10001,0)),"")</f>
        <v/>
      </c>
    </row>
    <row r="3106">
      <c r="A3106">
        <f>IFERROR(INDEX('Email Cleaner'!$B$2:$B$10001,MATCH(3105,'Email Cleaner'!$G$2:$G$10001,0)),"")</f>
        <v/>
      </c>
    </row>
    <row r="3107">
      <c r="A3107">
        <f>IFERROR(INDEX('Email Cleaner'!$B$2:$B$10001,MATCH(3106,'Email Cleaner'!$G$2:$G$10001,0)),"")</f>
        <v/>
      </c>
    </row>
    <row r="3108">
      <c r="A3108">
        <f>IFERROR(INDEX('Email Cleaner'!$B$2:$B$10001,MATCH(3107,'Email Cleaner'!$G$2:$G$10001,0)),"")</f>
        <v/>
      </c>
    </row>
    <row r="3109">
      <c r="A3109">
        <f>IFERROR(INDEX('Email Cleaner'!$B$2:$B$10001,MATCH(3108,'Email Cleaner'!$G$2:$G$10001,0)),"")</f>
        <v/>
      </c>
    </row>
    <row r="3110">
      <c r="A3110">
        <f>IFERROR(INDEX('Email Cleaner'!$B$2:$B$10001,MATCH(3109,'Email Cleaner'!$G$2:$G$10001,0)),"")</f>
        <v/>
      </c>
    </row>
    <row r="3111">
      <c r="A3111">
        <f>IFERROR(INDEX('Email Cleaner'!$B$2:$B$10001,MATCH(3110,'Email Cleaner'!$G$2:$G$10001,0)),"")</f>
        <v/>
      </c>
    </row>
    <row r="3112">
      <c r="A3112">
        <f>IFERROR(INDEX('Email Cleaner'!$B$2:$B$10001,MATCH(3111,'Email Cleaner'!$G$2:$G$10001,0)),"")</f>
        <v/>
      </c>
    </row>
    <row r="3113">
      <c r="A3113">
        <f>IFERROR(INDEX('Email Cleaner'!$B$2:$B$10001,MATCH(3112,'Email Cleaner'!$G$2:$G$10001,0)),"")</f>
        <v/>
      </c>
    </row>
    <row r="3114">
      <c r="A3114">
        <f>IFERROR(INDEX('Email Cleaner'!$B$2:$B$10001,MATCH(3113,'Email Cleaner'!$G$2:$G$10001,0)),"")</f>
        <v/>
      </c>
    </row>
    <row r="3115">
      <c r="A3115">
        <f>IFERROR(INDEX('Email Cleaner'!$B$2:$B$10001,MATCH(3114,'Email Cleaner'!$G$2:$G$10001,0)),"")</f>
        <v/>
      </c>
    </row>
    <row r="3116">
      <c r="A3116">
        <f>IFERROR(INDEX('Email Cleaner'!$B$2:$B$10001,MATCH(3115,'Email Cleaner'!$G$2:$G$10001,0)),"")</f>
        <v/>
      </c>
    </row>
    <row r="3117">
      <c r="A3117">
        <f>IFERROR(INDEX('Email Cleaner'!$B$2:$B$10001,MATCH(3116,'Email Cleaner'!$G$2:$G$10001,0)),"")</f>
        <v/>
      </c>
    </row>
    <row r="3118">
      <c r="A3118">
        <f>IFERROR(INDEX('Email Cleaner'!$B$2:$B$10001,MATCH(3117,'Email Cleaner'!$G$2:$G$10001,0)),"")</f>
        <v/>
      </c>
    </row>
    <row r="3119">
      <c r="A3119">
        <f>IFERROR(INDEX('Email Cleaner'!$B$2:$B$10001,MATCH(3118,'Email Cleaner'!$G$2:$G$10001,0)),"")</f>
        <v/>
      </c>
    </row>
    <row r="3120">
      <c r="A3120">
        <f>IFERROR(INDEX('Email Cleaner'!$B$2:$B$10001,MATCH(3119,'Email Cleaner'!$G$2:$G$10001,0)),"")</f>
        <v/>
      </c>
    </row>
    <row r="3121">
      <c r="A3121">
        <f>IFERROR(INDEX('Email Cleaner'!$B$2:$B$10001,MATCH(3120,'Email Cleaner'!$G$2:$G$10001,0)),"")</f>
        <v/>
      </c>
    </row>
    <row r="3122">
      <c r="A3122">
        <f>IFERROR(INDEX('Email Cleaner'!$B$2:$B$10001,MATCH(3121,'Email Cleaner'!$G$2:$G$10001,0)),"")</f>
        <v/>
      </c>
    </row>
    <row r="3123">
      <c r="A3123">
        <f>IFERROR(INDEX('Email Cleaner'!$B$2:$B$10001,MATCH(3122,'Email Cleaner'!$G$2:$G$10001,0)),"")</f>
        <v/>
      </c>
    </row>
    <row r="3124">
      <c r="A3124">
        <f>IFERROR(INDEX('Email Cleaner'!$B$2:$B$10001,MATCH(3123,'Email Cleaner'!$G$2:$G$10001,0)),"")</f>
        <v/>
      </c>
    </row>
    <row r="3125">
      <c r="A3125">
        <f>IFERROR(INDEX('Email Cleaner'!$B$2:$B$10001,MATCH(3124,'Email Cleaner'!$G$2:$G$10001,0)),"")</f>
        <v/>
      </c>
    </row>
    <row r="3126">
      <c r="A3126">
        <f>IFERROR(INDEX('Email Cleaner'!$B$2:$B$10001,MATCH(3125,'Email Cleaner'!$G$2:$G$10001,0)),"")</f>
        <v/>
      </c>
    </row>
    <row r="3127">
      <c r="A3127">
        <f>IFERROR(INDEX('Email Cleaner'!$B$2:$B$10001,MATCH(3126,'Email Cleaner'!$G$2:$G$10001,0)),"")</f>
        <v/>
      </c>
    </row>
    <row r="3128">
      <c r="A3128">
        <f>IFERROR(INDEX('Email Cleaner'!$B$2:$B$10001,MATCH(3127,'Email Cleaner'!$G$2:$G$10001,0)),"")</f>
        <v/>
      </c>
    </row>
    <row r="3129">
      <c r="A3129">
        <f>IFERROR(INDEX('Email Cleaner'!$B$2:$B$10001,MATCH(3128,'Email Cleaner'!$G$2:$G$10001,0)),"")</f>
        <v/>
      </c>
    </row>
    <row r="3130">
      <c r="A3130">
        <f>IFERROR(INDEX('Email Cleaner'!$B$2:$B$10001,MATCH(3129,'Email Cleaner'!$G$2:$G$10001,0)),"")</f>
        <v/>
      </c>
    </row>
    <row r="3131">
      <c r="A3131">
        <f>IFERROR(INDEX('Email Cleaner'!$B$2:$B$10001,MATCH(3130,'Email Cleaner'!$G$2:$G$10001,0)),"")</f>
        <v/>
      </c>
    </row>
    <row r="3132">
      <c r="A3132">
        <f>IFERROR(INDEX('Email Cleaner'!$B$2:$B$10001,MATCH(3131,'Email Cleaner'!$G$2:$G$10001,0)),"")</f>
        <v/>
      </c>
    </row>
    <row r="3133">
      <c r="A3133">
        <f>IFERROR(INDEX('Email Cleaner'!$B$2:$B$10001,MATCH(3132,'Email Cleaner'!$G$2:$G$10001,0)),"")</f>
        <v/>
      </c>
    </row>
    <row r="3134">
      <c r="A3134">
        <f>IFERROR(INDEX('Email Cleaner'!$B$2:$B$10001,MATCH(3133,'Email Cleaner'!$G$2:$G$10001,0)),"")</f>
        <v/>
      </c>
    </row>
    <row r="3135">
      <c r="A3135">
        <f>IFERROR(INDEX('Email Cleaner'!$B$2:$B$10001,MATCH(3134,'Email Cleaner'!$G$2:$G$10001,0)),"")</f>
        <v/>
      </c>
    </row>
    <row r="3136">
      <c r="A3136">
        <f>IFERROR(INDEX('Email Cleaner'!$B$2:$B$10001,MATCH(3135,'Email Cleaner'!$G$2:$G$10001,0)),"")</f>
        <v/>
      </c>
    </row>
    <row r="3137">
      <c r="A3137">
        <f>IFERROR(INDEX('Email Cleaner'!$B$2:$B$10001,MATCH(3136,'Email Cleaner'!$G$2:$G$10001,0)),"")</f>
        <v/>
      </c>
    </row>
    <row r="3138">
      <c r="A3138">
        <f>IFERROR(INDEX('Email Cleaner'!$B$2:$B$10001,MATCH(3137,'Email Cleaner'!$G$2:$G$10001,0)),"")</f>
        <v/>
      </c>
    </row>
    <row r="3139">
      <c r="A3139">
        <f>IFERROR(INDEX('Email Cleaner'!$B$2:$B$10001,MATCH(3138,'Email Cleaner'!$G$2:$G$10001,0)),"")</f>
        <v/>
      </c>
    </row>
    <row r="3140">
      <c r="A3140">
        <f>IFERROR(INDEX('Email Cleaner'!$B$2:$B$10001,MATCH(3139,'Email Cleaner'!$G$2:$G$10001,0)),"")</f>
        <v/>
      </c>
    </row>
    <row r="3141">
      <c r="A3141">
        <f>IFERROR(INDEX('Email Cleaner'!$B$2:$B$10001,MATCH(3140,'Email Cleaner'!$G$2:$G$10001,0)),"")</f>
        <v/>
      </c>
    </row>
    <row r="3142">
      <c r="A3142">
        <f>IFERROR(INDEX('Email Cleaner'!$B$2:$B$10001,MATCH(3141,'Email Cleaner'!$G$2:$G$10001,0)),"")</f>
        <v/>
      </c>
    </row>
    <row r="3143">
      <c r="A3143">
        <f>IFERROR(INDEX('Email Cleaner'!$B$2:$B$10001,MATCH(3142,'Email Cleaner'!$G$2:$G$10001,0)),"")</f>
        <v/>
      </c>
    </row>
    <row r="3144">
      <c r="A3144">
        <f>IFERROR(INDEX('Email Cleaner'!$B$2:$B$10001,MATCH(3143,'Email Cleaner'!$G$2:$G$10001,0)),"")</f>
        <v/>
      </c>
    </row>
    <row r="3145">
      <c r="A3145">
        <f>IFERROR(INDEX('Email Cleaner'!$B$2:$B$10001,MATCH(3144,'Email Cleaner'!$G$2:$G$10001,0)),"")</f>
        <v/>
      </c>
    </row>
    <row r="3146">
      <c r="A3146">
        <f>IFERROR(INDEX('Email Cleaner'!$B$2:$B$10001,MATCH(3145,'Email Cleaner'!$G$2:$G$10001,0)),"")</f>
        <v/>
      </c>
    </row>
    <row r="3147">
      <c r="A3147">
        <f>IFERROR(INDEX('Email Cleaner'!$B$2:$B$10001,MATCH(3146,'Email Cleaner'!$G$2:$G$10001,0)),"")</f>
        <v/>
      </c>
    </row>
    <row r="3148">
      <c r="A3148">
        <f>IFERROR(INDEX('Email Cleaner'!$B$2:$B$10001,MATCH(3147,'Email Cleaner'!$G$2:$G$10001,0)),"")</f>
        <v/>
      </c>
    </row>
    <row r="3149">
      <c r="A3149">
        <f>IFERROR(INDEX('Email Cleaner'!$B$2:$B$10001,MATCH(3148,'Email Cleaner'!$G$2:$G$10001,0)),"")</f>
        <v/>
      </c>
    </row>
    <row r="3150">
      <c r="A3150">
        <f>IFERROR(INDEX('Email Cleaner'!$B$2:$B$10001,MATCH(3149,'Email Cleaner'!$G$2:$G$10001,0)),"")</f>
        <v/>
      </c>
    </row>
    <row r="3151">
      <c r="A3151">
        <f>IFERROR(INDEX('Email Cleaner'!$B$2:$B$10001,MATCH(3150,'Email Cleaner'!$G$2:$G$10001,0)),"")</f>
        <v/>
      </c>
    </row>
    <row r="3152">
      <c r="A3152">
        <f>IFERROR(INDEX('Email Cleaner'!$B$2:$B$10001,MATCH(3151,'Email Cleaner'!$G$2:$G$10001,0)),"")</f>
        <v/>
      </c>
    </row>
    <row r="3153">
      <c r="A3153">
        <f>IFERROR(INDEX('Email Cleaner'!$B$2:$B$10001,MATCH(3152,'Email Cleaner'!$G$2:$G$10001,0)),"")</f>
        <v/>
      </c>
    </row>
    <row r="3154">
      <c r="A3154">
        <f>IFERROR(INDEX('Email Cleaner'!$B$2:$B$10001,MATCH(3153,'Email Cleaner'!$G$2:$G$10001,0)),"")</f>
        <v/>
      </c>
    </row>
    <row r="3155">
      <c r="A3155">
        <f>IFERROR(INDEX('Email Cleaner'!$B$2:$B$10001,MATCH(3154,'Email Cleaner'!$G$2:$G$10001,0)),"")</f>
        <v/>
      </c>
    </row>
    <row r="3156">
      <c r="A3156">
        <f>IFERROR(INDEX('Email Cleaner'!$B$2:$B$10001,MATCH(3155,'Email Cleaner'!$G$2:$G$10001,0)),"")</f>
        <v/>
      </c>
    </row>
    <row r="3157">
      <c r="A3157">
        <f>IFERROR(INDEX('Email Cleaner'!$B$2:$B$10001,MATCH(3156,'Email Cleaner'!$G$2:$G$10001,0)),"")</f>
        <v/>
      </c>
    </row>
    <row r="3158">
      <c r="A3158">
        <f>IFERROR(INDEX('Email Cleaner'!$B$2:$B$10001,MATCH(3157,'Email Cleaner'!$G$2:$G$10001,0)),"")</f>
        <v/>
      </c>
    </row>
    <row r="3159">
      <c r="A3159">
        <f>IFERROR(INDEX('Email Cleaner'!$B$2:$B$10001,MATCH(3158,'Email Cleaner'!$G$2:$G$10001,0)),"")</f>
        <v/>
      </c>
    </row>
    <row r="3160">
      <c r="A3160">
        <f>IFERROR(INDEX('Email Cleaner'!$B$2:$B$10001,MATCH(3159,'Email Cleaner'!$G$2:$G$10001,0)),"")</f>
        <v/>
      </c>
    </row>
    <row r="3161">
      <c r="A3161">
        <f>IFERROR(INDEX('Email Cleaner'!$B$2:$B$10001,MATCH(3160,'Email Cleaner'!$G$2:$G$10001,0)),"")</f>
        <v/>
      </c>
    </row>
    <row r="3162">
      <c r="A3162">
        <f>IFERROR(INDEX('Email Cleaner'!$B$2:$B$10001,MATCH(3161,'Email Cleaner'!$G$2:$G$10001,0)),"")</f>
        <v/>
      </c>
    </row>
    <row r="3163">
      <c r="A3163">
        <f>IFERROR(INDEX('Email Cleaner'!$B$2:$B$10001,MATCH(3162,'Email Cleaner'!$G$2:$G$10001,0)),"")</f>
        <v/>
      </c>
    </row>
    <row r="3164">
      <c r="A3164">
        <f>IFERROR(INDEX('Email Cleaner'!$B$2:$B$10001,MATCH(3163,'Email Cleaner'!$G$2:$G$10001,0)),"")</f>
        <v/>
      </c>
    </row>
    <row r="3165">
      <c r="A3165">
        <f>IFERROR(INDEX('Email Cleaner'!$B$2:$B$10001,MATCH(3164,'Email Cleaner'!$G$2:$G$10001,0)),"")</f>
        <v/>
      </c>
    </row>
    <row r="3166">
      <c r="A3166">
        <f>IFERROR(INDEX('Email Cleaner'!$B$2:$B$10001,MATCH(3165,'Email Cleaner'!$G$2:$G$10001,0)),"")</f>
        <v/>
      </c>
    </row>
    <row r="3167">
      <c r="A3167">
        <f>IFERROR(INDEX('Email Cleaner'!$B$2:$B$10001,MATCH(3166,'Email Cleaner'!$G$2:$G$10001,0)),"")</f>
        <v/>
      </c>
    </row>
    <row r="3168">
      <c r="A3168">
        <f>IFERROR(INDEX('Email Cleaner'!$B$2:$B$10001,MATCH(3167,'Email Cleaner'!$G$2:$G$10001,0)),"")</f>
        <v/>
      </c>
    </row>
    <row r="3169">
      <c r="A3169">
        <f>IFERROR(INDEX('Email Cleaner'!$B$2:$B$10001,MATCH(3168,'Email Cleaner'!$G$2:$G$10001,0)),"")</f>
        <v/>
      </c>
    </row>
    <row r="3170">
      <c r="A3170">
        <f>IFERROR(INDEX('Email Cleaner'!$B$2:$B$10001,MATCH(3169,'Email Cleaner'!$G$2:$G$10001,0)),"")</f>
        <v/>
      </c>
    </row>
    <row r="3171">
      <c r="A3171">
        <f>IFERROR(INDEX('Email Cleaner'!$B$2:$B$10001,MATCH(3170,'Email Cleaner'!$G$2:$G$10001,0)),"")</f>
        <v/>
      </c>
    </row>
    <row r="3172">
      <c r="A3172">
        <f>IFERROR(INDEX('Email Cleaner'!$B$2:$B$10001,MATCH(3171,'Email Cleaner'!$G$2:$G$10001,0)),"")</f>
        <v/>
      </c>
    </row>
    <row r="3173">
      <c r="A3173">
        <f>IFERROR(INDEX('Email Cleaner'!$B$2:$B$10001,MATCH(3172,'Email Cleaner'!$G$2:$G$10001,0)),"")</f>
        <v/>
      </c>
    </row>
    <row r="3174">
      <c r="A3174">
        <f>IFERROR(INDEX('Email Cleaner'!$B$2:$B$10001,MATCH(3173,'Email Cleaner'!$G$2:$G$10001,0)),"")</f>
        <v/>
      </c>
    </row>
    <row r="3175">
      <c r="A3175">
        <f>IFERROR(INDEX('Email Cleaner'!$B$2:$B$10001,MATCH(3174,'Email Cleaner'!$G$2:$G$10001,0)),"")</f>
        <v/>
      </c>
    </row>
    <row r="3176">
      <c r="A3176">
        <f>IFERROR(INDEX('Email Cleaner'!$B$2:$B$10001,MATCH(3175,'Email Cleaner'!$G$2:$G$10001,0)),"")</f>
        <v/>
      </c>
    </row>
    <row r="3177">
      <c r="A3177">
        <f>IFERROR(INDEX('Email Cleaner'!$B$2:$B$10001,MATCH(3176,'Email Cleaner'!$G$2:$G$10001,0)),"")</f>
        <v/>
      </c>
    </row>
    <row r="3178">
      <c r="A3178">
        <f>IFERROR(INDEX('Email Cleaner'!$B$2:$B$10001,MATCH(3177,'Email Cleaner'!$G$2:$G$10001,0)),"")</f>
        <v/>
      </c>
    </row>
    <row r="3179">
      <c r="A3179">
        <f>IFERROR(INDEX('Email Cleaner'!$B$2:$B$10001,MATCH(3178,'Email Cleaner'!$G$2:$G$10001,0)),"")</f>
        <v/>
      </c>
    </row>
    <row r="3180">
      <c r="A3180">
        <f>IFERROR(INDEX('Email Cleaner'!$B$2:$B$10001,MATCH(3179,'Email Cleaner'!$G$2:$G$10001,0)),"")</f>
        <v/>
      </c>
    </row>
    <row r="3181">
      <c r="A3181">
        <f>IFERROR(INDEX('Email Cleaner'!$B$2:$B$10001,MATCH(3180,'Email Cleaner'!$G$2:$G$10001,0)),"")</f>
        <v/>
      </c>
    </row>
    <row r="3182">
      <c r="A3182">
        <f>IFERROR(INDEX('Email Cleaner'!$B$2:$B$10001,MATCH(3181,'Email Cleaner'!$G$2:$G$10001,0)),"")</f>
        <v/>
      </c>
    </row>
    <row r="3183">
      <c r="A3183">
        <f>IFERROR(INDEX('Email Cleaner'!$B$2:$B$10001,MATCH(3182,'Email Cleaner'!$G$2:$G$10001,0)),"")</f>
        <v/>
      </c>
    </row>
    <row r="3184">
      <c r="A3184">
        <f>IFERROR(INDEX('Email Cleaner'!$B$2:$B$10001,MATCH(3183,'Email Cleaner'!$G$2:$G$10001,0)),"")</f>
        <v/>
      </c>
    </row>
    <row r="3185">
      <c r="A3185">
        <f>IFERROR(INDEX('Email Cleaner'!$B$2:$B$10001,MATCH(3184,'Email Cleaner'!$G$2:$G$10001,0)),"")</f>
        <v/>
      </c>
    </row>
    <row r="3186">
      <c r="A3186">
        <f>IFERROR(INDEX('Email Cleaner'!$B$2:$B$10001,MATCH(3185,'Email Cleaner'!$G$2:$G$10001,0)),"")</f>
        <v/>
      </c>
    </row>
    <row r="3187">
      <c r="A3187">
        <f>IFERROR(INDEX('Email Cleaner'!$B$2:$B$10001,MATCH(3186,'Email Cleaner'!$G$2:$G$10001,0)),"")</f>
        <v/>
      </c>
    </row>
    <row r="3188">
      <c r="A3188">
        <f>IFERROR(INDEX('Email Cleaner'!$B$2:$B$10001,MATCH(3187,'Email Cleaner'!$G$2:$G$10001,0)),"")</f>
        <v/>
      </c>
    </row>
    <row r="3189">
      <c r="A3189">
        <f>IFERROR(INDEX('Email Cleaner'!$B$2:$B$10001,MATCH(3188,'Email Cleaner'!$G$2:$G$10001,0)),"")</f>
        <v/>
      </c>
    </row>
    <row r="3190">
      <c r="A3190">
        <f>IFERROR(INDEX('Email Cleaner'!$B$2:$B$10001,MATCH(3189,'Email Cleaner'!$G$2:$G$10001,0)),"")</f>
        <v/>
      </c>
    </row>
    <row r="3191">
      <c r="A3191">
        <f>IFERROR(INDEX('Email Cleaner'!$B$2:$B$10001,MATCH(3190,'Email Cleaner'!$G$2:$G$10001,0)),"")</f>
        <v/>
      </c>
    </row>
    <row r="3192">
      <c r="A3192">
        <f>IFERROR(INDEX('Email Cleaner'!$B$2:$B$10001,MATCH(3191,'Email Cleaner'!$G$2:$G$10001,0)),"")</f>
        <v/>
      </c>
    </row>
    <row r="3193">
      <c r="A3193">
        <f>IFERROR(INDEX('Email Cleaner'!$B$2:$B$10001,MATCH(3192,'Email Cleaner'!$G$2:$G$10001,0)),"")</f>
        <v/>
      </c>
    </row>
    <row r="3194">
      <c r="A3194">
        <f>IFERROR(INDEX('Email Cleaner'!$B$2:$B$10001,MATCH(3193,'Email Cleaner'!$G$2:$G$10001,0)),"")</f>
        <v/>
      </c>
    </row>
    <row r="3195">
      <c r="A3195">
        <f>IFERROR(INDEX('Email Cleaner'!$B$2:$B$10001,MATCH(3194,'Email Cleaner'!$G$2:$G$10001,0)),"")</f>
        <v/>
      </c>
    </row>
    <row r="3196">
      <c r="A3196">
        <f>IFERROR(INDEX('Email Cleaner'!$B$2:$B$10001,MATCH(3195,'Email Cleaner'!$G$2:$G$10001,0)),"")</f>
        <v/>
      </c>
    </row>
    <row r="3197">
      <c r="A3197">
        <f>IFERROR(INDEX('Email Cleaner'!$B$2:$B$10001,MATCH(3196,'Email Cleaner'!$G$2:$G$10001,0)),"")</f>
        <v/>
      </c>
    </row>
    <row r="3198">
      <c r="A3198">
        <f>IFERROR(INDEX('Email Cleaner'!$B$2:$B$10001,MATCH(3197,'Email Cleaner'!$G$2:$G$10001,0)),"")</f>
        <v/>
      </c>
    </row>
    <row r="3199">
      <c r="A3199">
        <f>IFERROR(INDEX('Email Cleaner'!$B$2:$B$10001,MATCH(3198,'Email Cleaner'!$G$2:$G$10001,0)),"")</f>
        <v/>
      </c>
    </row>
    <row r="3200">
      <c r="A3200">
        <f>IFERROR(INDEX('Email Cleaner'!$B$2:$B$10001,MATCH(3199,'Email Cleaner'!$G$2:$G$10001,0)),"")</f>
        <v/>
      </c>
    </row>
    <row r="3201">
      <c r="A3201">
        <f>IFERROR(INDEX('Email Cleaner'!$B$2:$B$10001,MATCH(3200,'Email Cleaner'!$G$2:$G$10001,0)),"")</f>
        <v/>
      </c>
    </row>
    <row r="3202">
      <c r="A3202">
        <f>IFERROR(INDEX('Email Cleaner'!$B$2:$B$10001,MATCH(3201,'Email Cleaner'!$G$2:$G$10001,0)),"")</f>
        <v/>
      </c>
    </row>
    <row r="3203">
      <c r="A3203">
        <f>IFERROR(INDEX('Email Cleaner'!$B$2:$B$10001,MATCH(3202,'Email Cleaner'!$G$2:$G$10001,0)),"")</f>
        <v/>
      </c>
    </row>
    <row r="3204">
      <c r="A3204">
        <f>IFERROR(INDEX('Email Cleaner'!$B$2:$B$10001,MATCH(3203,'Email Cleaner'!$G$2:$G$10001,0)),"")</f>
        <v/>
      </c>
    </row>
    <row r="3205">
      <c r="A3205">
        <f>IFERROR(INDEX('Email Cleaner'!$B$2:$B$10001,MATCH(3204,'Email Cleaner'!$G$2:$G$10001,0)),"")</f>
        <v/>
      </c>
    </row>
    <row r="3206">
      <c r="A3206">
        <f>IFERROR(INDEX('Email Cleaner'!$B$2:$B$10001,MATCH(3205,'Email Cleaner'!$G$2:$G$10001,0)),"")</f>
        <v/>
      </c>
    </row>
    <row r="3207">
      <c r="A3207">
        <f>IFERROR(INDEX('Email Cleaner'!$B$2:$B$10001,MATCH(3206,'Email Cleaner'!$G$2:$G$10001,0)),"")</f>
        <v/>
      </c>
    </row>
    <row r="3208">
      <c r="A3208">
        <f>IFERROR(INDEX('Email Cleaner'!$B$2:$B$10001,MATCH(3207,'Email Cleaner'!$G$2:$G$10001,0)),"")</f>
        <v/>
      </c>
    </row>
    <row r="3209">
      <c r="A3209">
        <f>IFERROR(INDEX('Email Cleaner'!$B$2:$B$10001,MATCH(3208,'Email Cleaner'!$G$2:$G$10001,0)),"")</f>
        <v/>
      </c>
    </row>
    <row r="3210">
      <c r="A3210">
        <f>IFERROR(INDEX('Email Cleaner'!$B$2:$B$10001,MATCH(3209,'Email Cleaner'!$G$2:$G$10001,0)),"")</f>
        <v/>
      </c>
    </row>
    <row r="3211">
      <c r="A3211">
        <f>IFERROR(INDEX('Email Cleaner'!$B$2:$B$10001,MATCH(3210,'Email Cleaner'!$G$2:$G$10001,0)),"")</f>
        <v/>
      </c>
    </row>
    <row r="3212">
      <c r="A3212">
        <f>IFERROR(INDEX('Email Cleaner'!$B$2:$B$10001,MATCH(3211,'Email Cleaner'!$G$2:$G$10001,0)),"")</f>
        <v/>
      </c>
    </row>
    <row r="3213">
      <c r="A3213">
        <f>IFERROR(INDEX('Email Cleaner'!$B$2:$B$10001,MATCH(3212,'Email Cleaner'!$G$2:$G$10001,0)),"")</f>
        <v/>
      </c>
    </row>
    <row r="3214">
      <c r="A3214">
        <f>IFERROR(INDEX('Email Cleaner'!$B$2:$B$10001,MATCH(3213,'Email Cleaner'!$G$2:$G$10001,0)),"")</f>
        <v/>
      </c>
    </row>
    <row r="3215">
      <c r="A3215">
        <f>IFERROR(INDEX('Email Cleaner'!$B$2:$B$10001,MATCH(3214,'Email Cleaner'!$G$2:$G$10001,0)),"")</f>
        <v/>
      </c>
    </row>
    <row r="3216">
      <c r="A3216">
        <f>IFERROR(INDEX('Email Cleaner'!$B$2:$B$10001,MATCH(3215,'Email Cleaner'!$G$2:$G$10001,0)),"")</f>
        <v/>
      </c>
    </row>
    <row r="3217">
      <c r="A3217">
        <f>IFERROR(INDEX('Email Cleaner'!$B$2:$B$10001,MATCH(3216,'Email Cleaner'!$G$2:$G$10001,0)),"")</f>
        <v/>
      </c>
    </row>
    <row r="3218">
      <c r="A3218">
        <f>IFERROR(INDEX('Email Cleaner'!$B$2:$B$10001,MATCH(3217,'Email Cleaner'!$G$2:$G$10001,0)),"")</f>
        <v/>
      </c>
    </row>
    <row r="3219">
      <c r="A3219">
        <f>IFERROR(INDEX('Email Cleaner'!$B$2:$B$10001,MATCH(3218,'Email Cleaner'!$G$2:$G$10001,0)),"")</f>
        <v/>
      </c>
    </row>
    <row r="3220">
      <c r="A3220">
        <f>IFERROR(INDEX('Email Cleaner'!$B$2:$B$10001,MATCH(3219,'Email Cleaner'!$G$2:$G$10001,0)),"")</f>
        <v/>
      </c>
    </row>
    <row r="3221">
      <c r="A3221">
        <f>IFERROR(INDEX('Email Cleaner'!$B$2:$B$10001,MATCH(3220,'Email Cleaner'!$G$2:$G$10001,0)),"")</f>
        <v/>
      </c>
    </row>
    <row r="3222">
      <c r="A3222">
        <f>IFERROR(INDEX('Email Cleaner'!$B$2:$B$10001,MATCH(3221,'Email Cleaner'!$G$2:$G$10001,0)),"")</f>
        <v/>
      </c>
    </row>
    <row r="3223">
      <c r="A3223">
        <f>IFERROR(INDEX('Email Cleaner'!$B$2:$B$10001,MATCH(3222,'Email Cleaner'!$G$2:$G$10001,0)),"")</f>
        <v/>
      </c>
    </row>
    <row r="3224">
      <c r="A3224">
        <f>IFERROR(INDEX('Email Cleaner'!$B$2:$B$10001,MATCH(3223,'Email Cleaner'!$G$2:$G$10001,0)),"")</f>
        <v/>
      </c>
    </row>
    <row r="3225">
      <c r="A3225">
        <f>IFERROR(INDEX('Email Cleaner'!$B$2:$B$10001,MATCH(3224,'Email Cleaner'!$G$2:$G$10001,0)),"")</f>
        <v/>
      </c>
    </row>
    <row r="3226">
      <c r="A3226">
        <f>IFERROR(INDEX('Email Cleaner'!$B$2:$B$10001,MATCH(3225,'Email Cleaner'!$G$2:$G$10001,0)),"")</f>
        <v/>
      </c>
    </row>
    <row r="3227">
      <c r="A3227">
        <f>IFERROR(INDEX('Email Cleaner'!$B$2:$B$10001,MATCH(3226,'Email Cleaner'!$G$2:$G$10001,0)),"")</f>
        <v/>
      </c>
    </row>
    <row r="3228">
      <c r="A3228">
        <f>IFERROR(INDEX('Email Cleaner'!$B$2:$B$10001,MATCH(3227,'Email Cleaner'!$G$2:$G$10001,0)),"")</f>
        <v/>
      </c>
    </row>
    <row r="3229">
      <c r="A3229">
        <f>IFERROR(INDEX('Email Cleaner'!$B$2:$B$10001,MATCH(3228,'Email Cleaner'!$G$2:$G$10001,0)),"")</f>
        <v/>
      </c>
    </row>
    <row r="3230">
      <c r="A3230">
        <f>IFERROR(INDEX('Email Cleaner'!$B$2:$B$10001,MATCH(3229,'Email Cleaner'!$G$2:$G$10001,0)),"")</f>
        <v/>
      </c>
    </row>
    <row r="3231">
      <c r="A3231">
        <f>IFERROR(INDEX('Email Cleaner'!$B$2:$B$10001,MATCH(3230,'Email Cleaner'!$G$2:$G$10001,0)),"")</f>
        <v/>
      </c>
    </row>
    <row r="3232">
      <c r="A3232">
        <f>IFERROR(INDEX('Email Cleaner'!$B$2:$B$10001,MATCH(3231,'Email Cleaner'!$G$2:$G$10001,0)),"")</f>
        <v/>
      </c>
    </row>
    <row r="3233">
      <c r="A3233">
        <f>IFERROR(INDEX('Email Cleaner'!$B$2:$B$10001,MATCH(3232,'Email Cleaner'!$G$2:$G$10001,0)),"")</f>
        <v/>
      </c>
    </row>
    <row r="3234">
      <c r="A3234">
        <f>IFERROR(INDEX('Email Cleaner'!$B$2:$B$10001,MATCH(3233,'Email Cleaner'!$G$2:$G$10001,0)),"")</f>
        <v/>
      </c>
    </row>
    <row r="3235">
      <c r="A3235">
        <f>IFERROR(INDEX('Email Cleaner'!$B$2:$B$10001,MATCH(3234,'Email Cleaner'!$G$2:$G$10001,0)),"")</f>
        <v/>
      </c>
    </row>
    <row r="3236">
      <c r="A3236">
        <f>IFERROR(INDEX('Email Cleaner'!$B$2:$B$10001,MATCH(3235,'Email Cleaner'!$G$2:$G$10001,0)),"")</f>
        <v/>
      </c>
    </row>
    <row r="3237">
      <c r="A3237">
        <f>IFERROR(INDEX('Email Cleaner'!$B$2:$B$10001,MATCH(3236,'Email Cleaner'!$G$2:$G$10001,0)),"")</f>
        <v/>
      </c>
    </row>
    <row r="3238">
      <c r="A3238">
        <f>IFERROR(INDEX('Email Cleaner'!$B$2:$B$10001,MATCH(3237,'Email Cleaner'!$G$2:$G$10001,0)),"")</f>
        <v/>
      </c>
    </row>
    <row r="3239">
      <c r="A3239">
        <f>IFERROR(INDEX('Email Cleaner'!$B$2:$B$10001,MATCH(3238,'Email Cleaner'!$G$2:$G$10001,0)),"")</f>
        <v/>
      </c>
    </row>
    <row r="3240">
      <c r="A3240">
        <f>IFERROR(INDEX('Email Cleaner'!$B$2:$B$10001,MATCH(3239,'Email Cleaner'!$G$2:$G$10001,0)),"")</f>
        <v/>
      </c>
    </row>
    <row r="3241">
      <c r="A3241">
        <f>IFERROR(INDEX('Email Cleaner'!$B$2:$B$10001,MATCH(3240,'Email Cleaner'!$G$2:$G$10001,0)),"")</f>
        <v/>
      </c>
    </row>
    <row r="3242">
      <c r="A3242">
        <f>IFERROR(INDEX('Email Cleaner'!$B$2:$B$10001,MATCH(3241,'Email Cleaner'!$G$2:$G$10001,0)),"")</f>
        <v/>
      </c>
    </row>
    <row r="3243">
      <c r="A3243">
        <f>IFERROR(INDEX('Email Cleaner'!$B$2:$B$10001,MATCH(3242,'Email Cleaner'!$G$2:$G$10001,0)),"")</f>
        <v/>
      </c>
    </row>
    <row r="3244">
      <c r="A3244">
        <f>IFERROR(INDEX('Email Cleaner'!$B$2:$B$10001,MATCH(3243,'Email Cleaner'!$G$2:$G$10001,0)),"")</f>
        <v/>
      </c>
    </row>
    <row r="3245">
      <c r="A3245">
        <f>IFERROR(INDEX('Email Cleaner'!$B$2:$B$10001,MATCH(3244,'Email Cleaner'!$G$2:$G$10001,0)),"")</f>
        <v/>
      </c>
    </row>
    <row r="3246">
      <c r="A3246">
        <f>IFERROR(INDEX('Email Cleaner'!$B$2:$B$10001,MATCH(3245,'Email Cleaner'!$G$2:$G$10001,0)),"")</f>
        <v/>
      </c>
    </row>
    <row r="3247">
      <c r="A3247">
        <f>IFERROR(INDEX('Email Cleaner'!$B$2:$B$10001,MATCH(3246,'Email Cleaner'!$G$2:$G$10001,0)),"")</f>
        <v/>
      </c>
    </row>
    <row r="3248">
      <c r="A3248">
        <f>IFERROR(INDEX('Email Cleaner'!$B$2:$B$10001,MATCH(3247,'Email Cleaner'!$G$2:$G$10001,0)),"")</f>
        <v/>
      </c>
    </row>
    <row r="3249">
      <c r="A3249">
        <f>IFERROR(INDEX('Email Cleaner'!$B$2:$B$10001,MATCH(3248,'Email Cleaner'!$G$2:$G$10001,0)),"")</f>
        <v/>
      </c>
    </row>
    <row r="3250">
      <c r="A3250">
        <f>IFERROR(INDEX('Email Cleaner'!$B$2:$B$10001,MATCH(3249,'Email Cleaner'!$G$2:$G$10001,0)),"")</f>
        <v/>
      </c>
    </row>
    <row r="3251">
      <c r="A3251">
        <f>IFERROR(INDEX('Email Cleaner'!$B$2:$B$10001,MATCH(3250,'Email Cleaner'!$G$2:$G$10001,0)),"")</f>
        <v/>
      </c>
    </row>
    <row r="3252">
      <c r="A3252">
        <f>IFERROR(INDEX('Email Cleaner'!$B$2:$B$10001,MATCH(3251,'Email Cleaner'!$G$2:$G$10001,0)),"")</f>
        <v/>
      </c>
    </row>
    <row r="3253">
      <c r="A3253">
        <f>IFERROR(INDEX('Email Cleaner'!$B$2:$B$10001,MATCH(3252,'Email Cleaner'!$G$2:$G$10001,0)),"")</f>
        <v/>
      </c>
    </row>
    <row r="3254">
      <c r="A3254">
        <f>IFERROR(INDEX('Email Cleaner'!$B$2:$B$10001,MATCH(3253,'Email Cleaner'!$G$2:$G$10001,0)),"")</f>
        <v/>
      </c>
    </row>
    <row r="3255">
      <c r="A3255">
        <f>IFERROR(INDEX('Email Cleaner'!$B$2:$B$10001,MATCH(3254,'Email Cleaner'!$G$2:$G$10001,0)),"")</f>
        <v/>
      </c>
    </row>
    <row r="3256">
      <c r="A3256">
        <f>IFERROR(INDEX('Email Cleaner'!$B$2:$B$10001,MATCH(3255,'Email Cleaner'!$G$2:$G$10001,0)),"")</f>
        <v/>
      </c>
    </row>
    <row r="3257">
      <c r="A3257">
        <f>IFERROR(INDEX('Email Cleaner'!$B$2:$B$10001,MATCH(3256,'Email Cleaner'!$G$2:$G$10001,0)),"")</f>
        <v/>
      </c>
    </row>
    <row r="3258">
      <c r="A3258">
        <f>IFERROR(INDEX('Email Cleaner'!$B$2:$B$10001,MATCH(3257,'Email Cleaner'!$G$2:$G$10001,0)),"")</f>
        <v/>
      </c>
    </row>
    <row r="3259">
      <c r="A3259">
        <f>IFERROR(INDEX('Email Cleaner'!$B$2:$B$10001,MATCH(3258,'Email Cleaner'!$G$2:$G$10001,0)),"")</f>
        <v/>
      </c>
    </row>
    <row r="3260">
      <c r="A3260">
        <f>IFERROR(INDEX('Email Cleaner'!$B$2:$B$10001,MATCH(3259,'Email Cleaner'!$G$2:$G$10001,0)),"")</f>
        <v/>
      </c>
    </row>
    <row r="3261">
      <c r="A3261">
        <f>IFERROR(INDEX('Email Cleaner'!$B$2:$B$10001,MATCH(3260,'Email Cleaner'!$G$2:$G$10001,0)),"")</f>
        <v/>
      </c>
    </row>
    <row r="3262">
      <c r="A3262">
        <f>IFERROR(INDEX('Email Cleaner'!$B$2:$B$10001,MATCH(3261,'Email Cleaner'!$G$2:$G$10001,0)),"")</f>
        <v/>
      </c>
    </row>
    <row r="3263">
      <c r="A3263">
        <f>IFERROR(INDEX('Email Cleaner'!$B$2:$B$10001,MATCH(3262,'Email Cleaner'!$G$2:$G$10001,0)),"")</f>
        <v/>
      </c>
    </row>
    <row r="3264">
      <c r="A3264">
        <f>IFERROR(INDEX('Email Cleaner'!$B$2:$B$10001,MATCH(3263,'Email Cleaner'!$G$2:$G$10001,0)),"")</f>
        <v/>
      </c>
    </row>
    <row r="3265">
      <c r="A3265">
        <f>IFERROR(INDEX('Email Cleaner'!$B$2:$B$10001,MATCH(3264,'Email Cleaner'!$G$2:$G$10001,0)),"")</f>
        <v/>
      </c>
    </row>
    <row r="3266">
      <c r="A3266">
        <f>IFERROR(INDEX('Email Cleaner'!$B$2:$B$10001,MATCH(3265,'Email Cleaner'!$G$2:$G$10001,0)),"")</f>
        <v/>
      </c>
    </row>
    <row r="3267">
      <c r="A3267">
        <f>IFERROR(INDEX('Email Cleaner'!$B$2:$B$10001,MATCH(3266,'Email Cleaner'!$G$2:$G$10001,0)),"")</f>
        <v/>
      </c>
    </row>
    <row r="3268">
      <c r="A3268">
        <f>IFERROR(INDEX('Email Cleaner'!$B$2:$B$10001,MATCH(3267,'Email Cleaner'!$G$2:$G$10001,0)),"")</f>
        <v/>
      </c>
    </row>
    <row r="3269">
      <c r="A3269">
        <f>IFERROR(INDEX('Email Cleaner'!$B$2:$B$10001,MATCH(3268,'Email Cleaner'!$G$2:$G$10001,0)),"")</f>
        <v/>
      </c>
    </row>
    <row r="3270">
      <c r="A3270">
        <f>IFERROR(INDEX('Email Cleaner'!$B$2:$B$10001,MATCH(3269,'Email Cleaner'!$G$2:$G$10001,0)),"")</f>
        <v/>
      </c>
    </row>
    <row r="3271">
      <c r="A3271">
        <f>IFERROR(INDEX('Email Cleaner'!$B$2:$B$10001,MATCH(3270,'Email Cleaner'!$G$2:$G$10001,0)),"")</f>
        <v/>
      </c>
    </row>
    <row r="3272">
      <c r="A3272">
        <f>IFERROR(INDEX('Email Cleaner'!$B$2:$B$10001,MATCH(3271,'Email Cleaner'!$G$2:$G$10001,0)),"")</f>
        <v/>
      </c>
    </row>
    <row r="3273">
      <c r="A3273">
        <f>IFERROR(INDEX('Email Cleaner'!$B$2:$B$10001,MATCH(3272,'Email Cleaner'!$G$2:$G$10001,0)),"")</f>
        <v/>
      </c>
    </row>
    <row r="3274">
      <c r="A3274">
        <f>IFERROR(INDEX('Email Cleaner'!$B$2:$B$10001,MATCH(3273,'Email Cleaner'!$G$2:$G$10001,0)),"")</f>
        <v/>
      </c>
    </row>
    <row r="3275">
      <c r="A3275">
        <f>IFERROR(INDEX('Email Cleaner'!$B$2:$B$10001,MATCH(3274,'Email Cleaner'!$G$2:$G$10001,0)),"")</f>
        <v/>
      </c>
    </row>
    <row r="3276">
      <c r="A3276">
        <f>IFERROR(INDEX('Email Cleaner'!$B$2:$B$10001,MATCH(3275,'Email Cleaner'!$G$2:$G$10001,0)),"")</f>
        <v/>
      </c>
    </row>
    <row r="3277">
      <c r="A3277">
        <f>IFERROR(INDEX('Email Cleaner'!$B$2:$B$10001,MATCH(3276,'Email Cleaner'!$G$2:$G$10001,0)),"")</f>
        <v/>
      </c>
    </row>
    <row r="3278">
      <c r="A3278">
        <f>IFERROR(INDEX('Email Cleaner'!$B$2:$B$10001,MATCH(3277,'Email Cleaner'!$G$2:$G$10001,0)),"")</f>
        <v/>
      </c>
    </row>
    <row r="3279">
      <c r="A3279">
        <f>IFERROR(INDEX('Email Cleaner'!$B$2:$B$10001,MATCH(3278,'Email Cleaner'!$G$2:$G$10001,0)),"")</f>
        <v/>
      </c>
    </row>
    <row r="3280">
      <c r="A3280">
        <f>IFERROR(INDEX('Email Cleaner'!$B$2:$B$10001,MATCH(3279,'Email Cleaner'!$G$2:$G$10001,0)),"")</f>
        <v/>
      </c>
    </row>
    <row r="3281">
      <c r="A3281">
        <f>IFERROR(INDEX('Email Cleaner'!$B$2:$B$10001,MATCH(3280,'Email Cleaner'!$G$2:$G$10001,0)),"")</f>
        <v/>
      </c>
    </row>
    <row r="3282">
      <c r="A3282">
        <f>IFERROR(INDEX('Email Cleaner'!$B$2:$B$10001,MATCH(3281,'Email Cleaner'!$G$2:$G$10001,0)),"")</f>
        <v/>
      </c>
    </row>
    <row r="3283">
      <c r="A3283">
        <f>IFERROR(INDEX('Email Cleaner'!$B$2:$B$10001,MATCH(3282,'Email Cleaner'!$G$2:$G$10001,0)),"")</f>
        <v/>
      </c>
    </row>
    <row r="3284">
      <c r="A3284">
        <f>IFERROR(INDEX('Email Cleaner'!$B$2:$B$10001,MATCH(3283,'Email Cleaner'!$G$2:$G$10001,0)),"")</f>
        <v/>
      </c>
    </row>
    <row r="3285">
      <c r="A3285">
        <f>IFERROR(INDEX('Email Cleaner'!$B$2:$B$10001,MATCH(3284,'Email Cleaner'!$G$2:$G$10001,0)),"")</f>
        <v/>
      </c>
    </row>
    <row r="3286">
      <c r="A3286">
        <f>IFERROR(INDEX('Email Cleaner'!$B$2:$B$10001,MATCH(3285,'Email Cleaner'!$G$2:$G$10001,0)),"")</f>
        <v/>
      </c>
    </row>
    <row r="3287">
      <c r="A3287">
        <f>IFERROR(INDEX('Email Cleaner'!$B$2:$B$10001,MATCH(3286,'Email Cleaner'!$G$2:$G$10001,0)),"")</f>
        <v/>
      </c>
    </row>
    <row r="3288">
      <c r="A3288">
        <f>IFERROR(INDEX('Email Cleaner'!$B$2:$B$10001,MATCH(3287,'Email Cleaner'!$G$2:$G$10001,0)),"")</f>
        <v/>
      </c>
    </row>
    <row r="3289">
      <c r="A3289">
        <f>IFERROR(INDEX('Email Cleaner'!$B$2:$B$10001,MATCH(3288,'Email Cleaner'!$G$2:$G$10001,0)),"")</f>
        <v/>
      </c>
    </row>
    <row r="3290">
      <c r="A3290">
        <f>IFERROR(INDEX('Email Cleaner'!$B$2:$B$10001,MATCH(3289,'Email Cleaner'!$G$2:$G$10001,0)),"")</f>
        <v/>
      </c>
    </row>
    <row r="3291">
      <c r="A3291">
        <f>IFERROR(INDEX('Email Cleaner'!$B$2:$B$10001,MATCH(3290,'Email Cleaner'!$G$2:$G$10001,0)),"")</f>
        <v/>
      </c>
    </row>
    <row r="3292">
      <c r="A3292">
        <f>IFERROR(INDEX('Email Cleaner'!$B$2:$B$10001,MATCH(3291,'Email Cleaner'!$G$2:$G$10001,0)),"")</f>
        <v/>
      </c>
    </row>
    <row r="3293">
      <c r="A3293">
        <f>IFERROR(INDEX('Email Cleaner'!$B$2:$B$10001,MATCH(3292,'Email Cleaner'!$G$2:$G$10001,0)),"")</f>
        <v/>
      </c>
    </row>
    <row r="3294">
      <c r="A3294">
        <f>IFERROR(INDEX('Email Cleaner'!$B$2:$B$10001,MATCH(3293,'Email Cleaner'!$G$2:$G$10001,0)),"")</f>
        <v/>
      </c>
    </row>
    <row r="3295">
      <c r="A3295">
        <f>IFERROR(INDEX('Email Cleaner'!$B$2:$B$10001,MATCH(3294,'Email Cleaner'!$G$2:$G$10001,0)),"")</f>
        <v/>
      </c>
    </row>
    <row r="3296">
      <c r="A3296">
        <f>IFERROR(INDEX('Email Cleaner'!$B$2:$B$10001,MATCH(3295,'Email Cleaner'!$G$2:$G$10001,0)),"")</f>
        <v/>
      </c>
    </row>
    <row r="3297">
      <c r="A3297">
        <f>IFERROR(INDEX('Email Cleaner'!$B$2:$B$10001,MATCH(3296,'Email Cleaner'!$G$2:$G$10001,0)),"")</f>
        <v/>
      </c>
    </row>
    <row r="3298">
      <c r="A3298">
        <f>IFERROR(INDEX('Email Cleaner'!$B$2:$B$10001,MATCH(3297,'Email Cleaner'!$G$2:$G$10001,0)),"")</f>
        <v/>
      </c>
    </row>
    <row r="3299">
      <c r="A3299">
        <f>IFERROR(INDEX('Email Cleaner'!$B$2:$B$10001,MATCH(3298,'Email Cleaner'!$G$2:$G$10001,0)),"")</f>
        <v/>
      </c>
    </row>
    <row r="3300">
      <c r="A3300">
        <f>IFERROR(INDEX('Email Cleaner'!$B$2:$B$10001,MATCH(3299,'Email Cleaner'!$G$2:$G$10001,0)),"")</f>
        <v/>
      </c>
    </row>
    <row r="3301">
      <c r="A3301">
        <f>IFERROR(INDEX('Email Cleaner'!$B$2:$B$10001,MATCH(3300,'Email Cleaner'!$G$2:$G$10001,0)),"")</f>
        <v/>
      </c>
    </row>
    <row r="3302">
      <c r="A3302">
        <f>IFERROR(INDEX('Email Cleaner'!$B$2:$B$10001,MATCH(3301,'Email Cleaner'!$G$2:$G$10001,0)),"")</f>
        <v/>
      </c>
    </row>
    <row r="3303">
      <c r="A3303">
        <f>IFERROR(INDEX('Email Cleaner'!$B$2:$B$10001,MATCH(3302,'Email Cleaner'!$G$2:$G$10001,0)),"")</f>
        <v/>
      </c>
    </row>
    <row r="3304">
      <c r="A3304">
        <f>IFERROR(INDEX('Email Cleaner'!$B$2:$B$10001,MATCH(3303,'Email Cleaner'!$G$2:$G$10001,0)),"")</f>
        <v/>
      </c>
    </row>
    <row r="3305">
      <c r="A3305">
        <f>IFERROR(INDEX('Email Cleaner'!$B$2:$B$10001,MATCH(3304,'Email Cleaner'!$G$2:$G$10001,0)),"")</f>
        <v/>
      </c>
    </row>
    <row r="3306">
      <c r="A3306">
        <f>IFERROR(INDEX('Email Cleaner'!$B$2:$B$10001,MATCH(3305,'Email Cleaner'!$G$2:$G$10001,0)),"")</f>
        <v/>
      </c>
    </row>
    <row r="3307">
      <c r="A3307">
        <f>IFERROR(INDEX('Email Cleaner'!$B$2:$B$10001,MATCH(3306,'Email Cleaner'!$G$2:$G$10001,0)),"")</f>
        <v/>
      </c>
    </row>
    <row r="3308">
      <c r="A3308">
        <f>IFERROR(INDEX('Email Cleaner'!$B$2:$B$10001,MATCH(3307,'Email Cleaner'!$G$2:$G$10001,0)),"")</f>
        <v/>
      </c>
    </row>
    <row r="3309">
      <c r="A3309">
        <f>IFERROR(INDEX('Email Cleaner'!$B$2:$B$10001,MATCH(3308,'Email Cleaner'!$G$2:$G$10001,0)),"")</f>
        <v/>
      </c>
    </row>
    <row r="3310">
      <c r="A3310">
        <f>IFERROR(INDEX('Email Cleaner'!$B$2:$B$10001,MATCH(3309,'Email Cleaner'!$G$2:$G$10001,0)),"")</f>
        <v/>
      </c>
    </row>
    <row r="3311">
      <c r="A3311">
        <f>IFERROR(INDEX('Email Cleaner'!$B$2:$B$10001,MATCH(3310,'Email Cleaner'!$G$2:$G$10001,0)),"")</f>
        <v/>
      </c>
    </row>
    <row r="3312">
      <c r="A3312">
        <f>IFERROR(INDEX('Email Cleaner'!$B$2:$B$10001,MATCH(3311,'Email Cleaner'!$G$2:$G$10001,0)),"")</f>
        <v/>
      </c>
    </row>
    <row r="3313">
      <c r="A3313">
        <f>IFERROR(INDEX('Email Cleaner'!$B$2:$B$10001,MATCH(3312,'Email Cleaner'!$G$2:$G$10001,0)),"")</f>
        <v/>
      </c>
    </row>
    <row r="3314">
      <c r="A3314">
        <f>IFERROR(INDEX('Email Cleaner'!$B$2:$B$10001,MATCH(3313,'Email Cleaner'!$G$2:$G$10001,0)),"")</f>
        <v/>
      </c>
    </row>
    <row r="3315">
      <c r="A3315">
        <f>IFERROR(INDEX('Email Cleaner'!$B$2:$B$10001,MATCH(3314,'Email Cleaner'!$G$2:$G$10001,0)),"")</f>
        <v/>
      </c>
    </row>
    <row r="3316">
      <c r="A3316">
        <f>IFERROR(INDEX('Email Cleaner'!$B$2:$B$10001,MATCH(3315,'Email Cleaner'!$G$2:$G$10001,0)),"")</f>
        <v/>
      </c>
    </row>
    <row r="3317">
      <c r="A3317">
        <f>IFERROR(INDEX('Email Cleaner'!$B$2:$B$10001,MATCH(3316,'Email Cleaner'!$G$2:$G$10001,0)),"")</f>
        <v/>
      </c>
    </row>
    <row r="3318">
      <c r="A3318">
        <f>IFERROR(INDEX('Email Cleaner'!$B$2:$B$10001,MATCH(3317,'Email Cleaner'!$G$2:$G$10001,0)),"")</f>
        <v/>
      </c>
    </row>
    <row r="3319">
      <c r="A3319">
        <f>IFERROR(INDEX('Email Cleaner'!$B$2:$B$10001,MATCH(3318,'Email Cleaner'!$G$2:$G$10001,0)),"")</f>
        <v/>
      </c>
    </row>
    <row r="3320">
      <c r="A3320">
        <f>IFERROR(INDEX('Email Cleaner'!$B$2:$B$10001,MATCH(3319,'Email Cleaner'!$G$2:$G$10001,0)),"")</f>
        <v/>
      </c>
    </row>
    <row r="3321">
      <c r="A3321">
        <f>IFERROR(INDEX('Email Cleaner'!$B$2:$B$10001,MATCH(3320,'Email Cleaner'!$G$2:$G$10001,0)),"")</f>
        <v/>
      </c>
    </row>
    <row r="3322">
      <c r="A3322">
        <f>IFERROR(INDEX('Email Cleaner'!$B$2:$B$10001,MATCH(3321,'Email Cleaner'!$G$2:$G$10001,0)),"")</f>
        <v/>
      </c>
    </row>
    <row r="3323">
      <c r="A3323">
        <f>IFERROR(INDEX('Email Cleaner'!$B$2:$B$10001,MATCH(3322,'Email Cleaner'!$G$2:$G$10001,0)),"")</f>
        <v/>
      </c>
    </row>
    <row r="3324">
      <c r="A3324">
        <f>IFERROR(INDEX('Email Cleaner'!$B$2:$B$10001,MATCH(3323,'Email Cleaner'!$G$2:$G$10001,0)),"")</f>
        <v/>
      </c>
    </row>
    <row r="3325">
      <c r="A3325">
        <f>IFERROR(INDEX('Email Cleaner'!$B$2:$B$10001,MATCH(3324,'Email Cleaner'!$G$2:$G$10001,0)),"")</f>
        <v/>
      </c>
    </row>
    <row r="3326">
      <c r="A3326">
        <f>IFERROR(INDEX('Email Cleaner'!$B$2:$B$10001,MATCH(3325,'Email Cleaner'!$G$2:$G$10001,0)),"")</f>
        <v/>
      </c>
    </row>
    <row r="3327">
      <c r="A3327">
        <f>IFERROR(INDEX('Email Cleaner'!$B$2:$B$10001,MATCH(3326,'Email Cleaner'!$G$2:$G$10001,0)),"")</f>
        <v/>
      </c>
    </row>
    <row r="3328">
      <c r="A3328">
        <f>IFERROR(INDEX('Email Cleaner'!$B$2:$B$10001,MATCH(3327,'Email Cleaner'!$G$2:$G$10001,0)),"")</f>
        <v/>
      </c>
    </row>
    <row r="3329">
      <c r="A3329">
        <f>IFERROR(INDEX('Email Cleaner'!$B$2:$B$10001,MATCH(3328,'Email Cleaner'!$G$2:$G$10001,0)),"")</f>
        <v/>
      </c>
    </row>
    <row r="3330">
      <c r="A3330">
        <f>IFERROR(INDEX('Email Cleaner'!$B$2:$B$10001,MATCH(3329,'Email Cleaner'!$G$2:$G$10001,0)),"")</f>
        <v/>
      </c>
    </row>
    <row r="3331">
      <c r="A3331">
        <f>IFERROR(INDEX('Email Cleaner'!$B$2:$B$10001,MATCH(3330,'Email Cleaner'!$G$2:$G$10001,0)),"")</f>
        <v/>
      </c>
    </row>
    <row r="3332">
      <c r="A3332">
        <f>IFERROR(INDEX('Email Cleaner'!$B$2:$B$10001,MATCH(3331,'Email Cleaner'!$G$2:$G$10001,0)),"")</f>
        <v/>
      </c>
    </row>
    <row r="3333">
      <c r="A3333">
        <f>IFERROR(INDEX('Email Cleaner'!$B$2:$B$10001,MATCH(3332,'Email Cleaner'!$G$2:$G$10001,0)),"")</f>
        <v/>
      </c>
    </row>
    <row r="3334">
      <c r="A3334">
        <f>IFERROR(INDEX('Email Cleaner'!$B$2:$B$10001,MATCH(3333,'Email Cleaner'!$G$2:$G$10001,0)),"")</f>
        <v/>
      </c>
    </row>
    <row r="3335">
      <c r="A3335">
        <f>IFERROR(INDEX('Email Cleaner'!$B$2:$B$10001,MATCH(3334,'Email Cleaner'!$G$2:$G$10001,0)),"")</f>
        <v/>
      </c>
    </row>
    <row r="3336">
      <c r="A3336">
        <f>IFERROR(INDEX('Email Cleaner'!$B$2:$B$10001,MATCH(3335,'Email Cleaner'!$G$2:$G$10001,0)),"")</f>
        <v/>
      </c>
    </row>
    <row r="3337">
      <c r="A3337">
        <f>IFERROR(INDEX('Email Cleaner'!$B$2:$B$10001,MATCH(3336,'Email Cleaner'!$G$2:$G$10001,0)),"")</f>
        <v/>
      </c>
    </row>
    <row r="3338">
      <c r="A3338">
        <f>IFERROR(INDEX('Email Cleaner'!$B$2:$B$10001,MATCH(3337,'Email Cleaner'!$G$2:$G$10001,0)),"")</f>
        <v/>
      </c>
    </row>
    <row r="3339">
      <c r="A3339">
        <f>IFERROR(INDEX('Email Cleaner'!$B$2:$B$10001,MATCH(3338,'Email Cleaner'!$G$2:$G$10001,0)),"")</f>
        <v/>
      </c>
    </row>
    <row r="3340">
      <c r="A3340">
        <f>IFERROR(INDEX('Email Cleaner'!$B$2:$B$10001,MATCH(3339,'Email Cleaner'!$G$2:$G$10001,0)),"")</f>
        <v/>
      </c>
    </row>
    <row r="3341">
      <c r="A3341">
        <f>IFERROR(INDEX('Email Cleaner'!$B$2:$B$10001,MATCH(3340,'Email Cleaner'!$G$2:$G$10001,0)),"")</f>
        <v/>
      </c>
    </row>
    <row r="3342">
      <c r="A3342">
        <f>IFERROR(INDEX('Email Cleaner'!$B$2:$B$10001,MATCH(3341,'Email Cleaner'!$G$2:$G$10001,0)),"")</f>
        <v/>
      </c>
    </row>
    <row r="3343">
      <c r="A3343">
        <f>IFERROR(INDEX('Email Cleaner'!$B$2:$B$10001,MATCH(3342,'Email Cleaner'!$G$2:$G$10001,0)),"")</f>
        <v/>
      </c>
    </row>
    <row r="3344">
      <c r="A3344">
        <f>IFERROR(INDEX('Email Cleaner'!$B$2:$B$10001,MATCH(3343,'Email Cleaner'!$G$2:$G$10001,0)),"")</f>
        <v/>
      </c>
    </row>
    <row r="3345">
      <c r="A3345">
        <f>IFERROR(INDEX('Email Cleaner'!$B$2:$B$10001,MATCH(3344,'Email Cleaner'!$G$2:$G$10001,0)),"")</f>
        <v/>
      </c>
    </row>
    <row r="3346">
      <c r="A3346">
        <f>IFERROR(INDEX('Email Cleaner'!$B$2:$B$10001,MATCH(3345,'Email Cleaner'!$G$2:$G$10001,0)),"")</f>
        <v/>
      </c>
    </row>
    <row r="3347">
      <c r="A3347">
        <f>IFERROR(INDEX('Email Cleaner'!$B$2:$B$10001,MATCH(3346,'Email Cleaner'!$G$2:$G$10001,0)),"")</f>
        <v/>
      </c>
    </row>
    <row r="3348">
      <c r="A3348">
        <f>IFERROR(INDEX('Email Cleaner'!$B$2:$B$10001,MATCH(3347,'Email Cleaner'!$G$2:$G$10001,0)),"")</f>
        <v/>
      </c>
    </row>
    <row r="3349">
      <c r="A3349">
        <f>IFERROR(INDEX('Email Cleaner'!$B$2:$B$10001,MATCH(3348,'Email Cleaner'!$G$2:$G$10001,0)),"")</f>
        <v/>
      </c>
    </row>
    <row r="3350">
      <c r="A3350">
        <f>IFERROR(INDEX('Email Cleaner'!$B$2:$B$10001,MATCH(3349,'Email Cleaner'!$G$2:$G$10001,0)),"")</f>
        <v/>
      </c>
    </row>
    <row r="3351">
      <c r="A3351">
        <f>IFERROR(INDEX('Email Cleaner'!$B$2:$B$10001,MATCH(3350,'Email Cleaner'!$G$2:$G$10001,0)),"")</f>
        <v/>
      </c>
    </row>
    <row r="3352">
      <c r="A3352">
        <f>IFERROR(INDEX('Email Cleaner'!$B$2:$B$10001,MATCH(3351,'Email Cleaner'!$G$2:$G$10001,0)),"")</f>
        <v/>
      </c>
    </row>
    <row r="3353">
      <c r="A3353">
        <f>IFERROR(INDEX('Email Cleaner'!$B$2:$B$10001,MATCH(3352,'Email Cleaner'!$G$2:$G$10001,0)),"")</f>
        <v/>
      </c>
    </row>
    <row r="3354">
      <c r="A3354">
        <f>IFERROR(INDEX('Email Cleaner'!$B$2:$B$10001,MATCH(3353,'Email Cleaner'!$G$2:$G$10001,0)),"")</f>
        <v/>
      </c>
    </row>
    <row r="3355">
      <c r="A3355">
        <f>IFERROR(INDEX('Email Cleaner'!$B$2:$B$10001,MATCH(3354,'Email Cleaner'!$G$2:$G$10001,0)),"")</f>
        <v/>
      </c>
    </row>
    <row r="3356">
      <c r="A3356">
        <f>IFERROR(INDEX('Email Cleaner'!$B$2:$B$10001,MATCH(3355,'Email Cleaner'!$G$2:$G$10001,0)),"")</f>
        <v/>
      </c>
    </row>
    <row r="3357">
      <c r="A3357">
        <f>IFERROR(INDEX('Email Cleaner'!$B$2:$B$10001,MATCH(3356,'Email Cleaner'!$G$2:$G$10001,0)),"")</f>
        <v/>
      </c>
    </row>
    <row r="3358">
      <c r="A3358">
        <f>IFERROR(INDEX('Email Cleaner'!$B$2:$B$10001,MATCH(3357,'Email Cleaner'!$G$2:$G$10001,0)),"")</f>
        <v/>
      </c>
    </row>
    <row r="3359">
      <c r="A3359">
        <f>IFERROR(INDEX('Email Cleaner'!$B$2:$B$10001,MATCH(3358,'Email Cleaner'!$G$2:$G$10001,0)),"")</f>
        <v/>
      </c>
    </row>
    <row r="3360">
      <c r="A3360">
        <f>IFERROR(INDEX('Email Cleaner'!$B$2:$B$10001,MATCH(3359,'Email Cleaner'!$G$2:$G$10001,0)),"")</f>
        <v/>
      </c>
    </row>
    <row r="3361">
      <c r="A3361">
        <f>IFERROR(INDEX('Email Cleaner'!$B$2:$B$10001,MATCH(3360,'Email Cleaner'!$G$2:$G$10001,0)),"")</f>
        <v/>
      </c>
    </row>
    <row r="3362">
      <c r="A3362">
        <f>IFERROR(INDEX('Email Cleaner'!$B$2:$B$10001,MATCH(3361,'Email Cleaner'!$G$2:$G$10001,0)),"")</f>
        <v/>
      </c>
    </row>
    <row r="3363">
      <c r="A3363">
        <f>IFERROR(INDEX('Email Cleaner'!$B$2:$B$10001,MATCH(3362,'Email Cleaner'!$G$2:$G$10001,0)),"")</f>
        <v/>
      </c>
    </row>
    <row r="3364">
      <c r="A3364">
        <f>IFERROR(INDEX('Email Cleaner'!$B$2:$B$10001,MATCH(3363,'Email Cleaner'!$G$2:$G$10001,0)),"")</f>
        <v/>
      </c>
    </row>
    <row r="3365">
      <c r="A3365">
        <f>IFERROR(INDEX('Email Cleaner'!$B$2:$B$10001,MATCH(3364,'Email Cleaner'!$G$2:$G$10001,0)),"")</f>
        <v/>
      </c>
    </row>
    <row r="3366">
      <c r="A3366">
        <f>IFERROR(INDEX('Email Cleaner'!$B$2:$B$10001,MATCH(3365,'Email Cleaner'!$G$2:$G$10001,0)),"")</f>
        <v/>
      </c>
    </row>
    <row r="3367">
      <c r="A3367">
        <f>IFERROR(INDEX('Email Cleaner'!$B$2:$B$10001,MATCH(3366,'Email Cleaner'!$G$2:$G$10001,0)),"")</f>
        <v/>
      </c>
    </row>
    <row r="3368">
      <c r="A3368">
        <f>IFERROR(INDEX('Email Cleaner'!$B$2:$B$10001,MATCH(3367,'Email Cleaner'!$G$2:$G$10001,0)),"")</f>
        <v/>
      </c>
    </row>
    <row r="3369">
      <c r="A3369">
        <f>IFERROR(INDEX('Email Cleaner'!$B$2:$B$10001,MATCH(3368,'Email Cleaner'!$G$2:$G$10001,0)),"")</f>
        <v/>
      </c>
    </row>
    <row r="3370">
      <c r="A3370">
        <f>IFERROR(INDEX('Email Cleaner'!$B$2:$B$10001,MATCH(3369,'Email Cleaner'!$G$2:$G$10001,0)),"")</f>
        <v/>
      </c>
    </row>
    <row r="3371">
      <c r="A3371">
        <f>IFERROR(INDEX('Email Cleaner'!$B$2:$B$10001,MATCH(3370,'Email Cleaner'!$G$2:$G$10001,0)),"")</f>
        <v/>
      </c>
    </row>
    <row r="3372">
      <c r="A3372">
        <f>IFERROR(INDEX('Email Cleaner'!$B$2:$B$10001,MATCH(3371,'Email Cleaner'!$G$2:$G$10001,0)),"")</f>
        <v/>
      </c>
    </row>
    <row r="3373">
      <c r="A3373">
        <f>IFERROR(INDEX('Email Cleaner'!$B$2:$B$10001,MATCH(3372,'Email Cleaner'!$G$2:$G$10001,0)),"")</f>
        <v/>
      </c>
    </row>
    <row r="3374">
      <c r="A3374">
        <f>IFERROR(INDEX('Email Cleaner'!$B$2:$B$10001,MATCH(3373,'Email Cleaner'!$G$2:$G$10001,0)),"")</f>
        <v/>
      </c>
    </row>
    <row r="3375">
      <c r="A3375">
        <f>IFERROR(INDEX('Email Cleaner'!$B$2:$B$10001,MATCH(3374,'Email Cleaner'!$G$2:$G$10001,0)),"")</f>
        <v/>
      </c>
    </row>
    <row r="3376">
      <c r="A3376">
        <f>IFERROR(INDEX('Email Cleaner'!$B$2:$B$10001,MATCH(3375,'Email Cleaner'!$G$2:$G$10001,0)),"")</f>
        <v/>
      </c>
    </row>
    <row r="3377">
      <c r="A3377">
        <f>IFERROR(INDEX('Email Cleaner'!$B$2:$B$10001,MATCH(3376,'Email Cleaner'!$G$2:$G$10001,0)),"")</f>
        <v/>
      </c>
    </row>
    <row r="3378">
      <c r="A3378">
        <f>IFERROR(INDEX('Email Cleaner'!$B$2:$B$10001,MATCH(3377,'Email Cleaner'!$G$2:$G$10001,0)),"")</f>
        <v/>
      </c>
    </row>
    <row r="3379">
      <c r="A3379">
        <f>IFERROR(INDEX('Email Cleaner'!$B$2:$B$10001,MATCH(3378,'Email Cleaner'!$G$2:$G$10001,0)),"")</f>
        <v/>
      </c>
    </row>
    <row r="3380">
      <c r="A3380">
        <f>IFERROR(INDEX('Email Cleaner'!$B$2:$B$10001,MATCH(3379,'Email Cleaner'!$G$2:$G$10001,0)),"")</f>
        <v/>
      </c>
    </row>
    <row r="3381">
      <c r="A3381">
        <f>IFERROR(INDEX('Email Cleaner'!$B$2:$B$10001,MATCH(3380,'Email Cleaner'!$G$2:$G$10001,0)),"")</f>
        <v/>
      </c>
    </row>
    <row r="3382">
      <c r="A3382">
        <f>IFERROR(INDEX('Email Cleaner'!$B$2:$B$10001,MATCH(3381,'Email Cleaner'!$G$2:$G$10001,0)),"")</f>
        <v/>
      </c>
    </row>
    <row r="3383">
      <c r="A3383">
        <f>IFERROR(INDEX('Email Cleaner'!$B$2:$B$10001,MATCH(3382,'Email Cleaner'!$G$2:$G$10001,0)),"")</f>
        <v/>
      </c>
    </row>
    <row r="3384">
      <c r="A3384">
        <f>IFERROR(INDEX('Email Cleaner'!$B$2:$B$10001,MATCH(3383,'Email Cleaner'!$G$2:$G$10001,0)),"")</f>
        <v/>
      </c>
    </row>
    <row r="3385">
      <c r="A3385">
        <f>IFERROR(INDEX('Email Cleaner'!$B$2:$B$10001,MATCH(3384,'Email Cleaner'!$G$2:$G$10001,0)),"")</f>
        <v/>
      </c>
    </row>
    <row r="3386">
      <c r="A3386">
        <f>IFERROR(INDEX('Email Cleaner'!$B$2:$B$10001,MATCH(3385,'Email Cleaner'!$G$2:$G$10001,0)),"")</f>
        <v/>
      </c>
    </row>
    <row r="3387">
      <c r="A3387">
        <f>IFERROR(INDEX('Email Cleaner'!$B$2:$B$10001,MATCH(3386,'Email Cleaner'!$G$2:$G$10001,0)),"")</f>
        <v/>
      </c>
    </row>
    <row r="3388">
      <c r="A3388">
        <f>IFERROR(INDEX('Email Cleaner'!$B$2:$B$10001,MATCH(3387,'Email Cleaner'!$G$2:$G$10001,0)),"")</f>
        <v/>
      </c>
    </row>
    <row r="3389">
      <c r="A3389">
        <f>IFERROR(INDEX('Email Cleaner'!$B$2:$B$10001,MATCH(3388,'Email Cleaner'!$G$2:$G$10001,0)),"")</f>
        <v/>
      </c>
    </row>
    <row r="3390">
      <c r="A3390">
        <f>IFERROR(INDEX('Email Cleaner'!$B$2:$B$10001,MATCH(3389,'Email Cleaner'!$G$2:$G$10001,0)),"")</f>
        <v/>
      </c>
    </row>
    <row r="3391">
      <c r="A3391">
        <f>IFERROR(INDEX('Email Cleaner'!$B$2:$B$10001,MATCH(3390,'Email Cleaner'!$G$2:$G$10001,0)),"")</f>
        <v/>
      </c>
    </row>
    <row r="3392">
      <c r="A3392">
        <f>IFERROR(INDEX('Email Cleaner'!$B$2:$B$10001,MATCH(3391,'Email Cleaner'!$G$2:$G$10001,0)),"")</f>
        <v/>
      </c>
    </row>
    <row r="3393">
      <c r="A3393">
        <f>IFERROR(INDEX('Email Cleaner'!$B$2:$B$10001,MATCH(3392,'Email Cleaner'!$G$2:$G$10001,0)),"")</f>
        <v/>
      </c>
    </row>
    <row r="3394">
      <c r="A3394">
        <f>IFERROR(INDEX('Email Cleaner'!$B$2:$B$10001,MATCH(3393,'Email Cleaner'!$G$2:$G$10001,0)),"")</f>
        <v/>
      </c>
    </row>
    <row r="3395">
      <c r="A3395">
        <f>IFERROR(INDEX('Email Cleaner'!$B$2:$B$10001,MATCH(3394,'Email Cleaner'!$G$2:$G$10001,0)),"")</f>
        <v/>
      </c>
    </row>
    <row r="3396">
      <c r="A3396">
        <f>IFERROR(INDEX('Email Cleaner'!$B$2:$B$10001,MATCH(3395,'Email Cleaner'!$G$2:$G$10001,0)),"")</f>
        <v/>
      </c>
    </row>
    <row r="3397">
      <c r="A3397">
        <f>IFERROR(INDEX('Email Cleaner'!$B$2:$B$10001,MATCH(3396,'Email Cleaner'!$G$2:$G$10001,0)),"")</f>
        <v/>
      </c>
    </row>
    <row r="3398">
      <c r="A3398">
        <f>IFERROR(INDEX('Email Cleaner'!$B$2:$B$10001,MATCH(3397,'Email Cleaner'!$G$2:$G$10001,0)),"")</f>
        <v/>
      </c>
    </row>
    <row r="3399">
      <c r="A3399">
        <f>IFERROR(INDEX('Email Cleaner'!$B$2:$B$10001,MATCH(3398,'Email Cleaner'!$G$2:$G$10001,0)),"")</f>
        <v/>
      </c>
    </row>
    <row r="3400">
      <c r="A3400">
        <f>IFERROR(INDEX('Email Cleaner'!$B$2:$B$10001,MATCH(3399,'Email Cleaner'!$G$2:$G$10001,0)),"")</f>
        <v/>
      </c>
    </row>
    <row r="3401">
      <c r="A3401">
        <f>IFERROR(INDEX('Email Cleaner'!$B$2:$B$10001,MATCH(3400,'Email Cleaner'!$G$2:$G$10001,0)),"")</f>
        <v/>
      </c>
    </row>
    <row r="3402">
      <c r="A3402">
        <f>IFERROR(INDEX('Email Cleaner'!$B$2:$B$10001,MATCH(3401,'Email Cleaner'!$G$2:$G$10001,0)),"")</f>
        <v/>
      </c>
    </row>
    <row r="3403">
      <c r="A3403">
        <f>IFERROR(INDEX('Email Cleaner'!$B$2:$B$10001,MATCH(3402,'Email Cleaner'!$G$2:$G$10001,0)),"")</f>
        <v/>
      </c>
    </row>
    <row r="3404">
      <c r="A3404">
        <f>IFERROR(INDEX('Email Cleaner'!$B$2:$B$10001,MATCH(3403,'Email Cleaner'!$G$2:$G$10001,0)),"")</f>
        <v/>
      </c>
    </row>
    <row r="3405">
      <c r="A3405">
        <f>IFERROR(INDEX('Email Cleaner'!$B$2:$B$10001,MATCH(3404,'Email Cleaner'!$G$2:$G$10001,0)),"")</f>
        <v/>
      </c>
    </row>
    <row r="3406">
      <c r="A3406">
        <f>IFERROR(INDEX('Email Cleaner'!$B$2:$B$10001,MATCH(3405,'Email Cleaner'!$G$2:$G$10001,0)),"")</f>
        <v/>
      </c>
    </row>
    <row r="3407">
      <c r="A3407">
        <f>IFERROR(INDEX('Email Cleaner'!$B$2:$B$10001,MATCH(3406,'Email Cleaner'!$G$2:$G$10001,0)),"")</f>
        <v/>
      </c>
    </row>
    <row r="3408">
      <c r="A3408">
        <f>IFERROR(INDEX('Email Cleaner'!$B$2:$B$10001,MATCH(3407,'Email Cleaner'!$G$2:$G$10001,0)),"")</f>
        <v/>
      </c>
    </row>
    <row r="3409">
      <c r="A3409">
        <f>IFERROR(INDEX('Email Cleaner'!$B$2:$B$10001,MATCH(3408,'Email Cleaner'!$G$2:$G$10001,0)),"")</f>
        <v/>
      </c>
    </row>
    <row r="3410">
      <c r="A3410">
        <f>IFERROR(INDEX('Email Cleaner'!$B$2:$B$10001,MATCH(3409,'Email Cleaner'!$G$2:$G$10001,0)),"")</f>
        <v/>
      </c>
    </row>
    <row r="3411">
      <c r="A3411">
        <f>IFERROR(INDEX('Email Cleaner'!$B$2:$B$10001,MATCH(3410,'Email Cleaner'!$G$2:$G$10001,0)),"")</f>
        <v/>
      </c>
    </row>
    <row r="3412">
      <c r="A3412">
        <f>IFERROR(INDEX('Email Cleaner'!$B$2:$B$10001,MATCH(3411,'Email Cleaner'!$G$2:$G$10001,0)),"")</f>
        <v/>
      </c>
    </row>
    <row r="3413">
      <c r="A3413">
        <f>IFERROR(INDEX('Email Cleaner'!$B$2:$B$10001,MATCH(3412,'Email Cleaner'!$G$2:$G$10001,0)),"")</f>
        <v/>
      </c>
    </row>
    <row r="3414">
      <c r="A3414">
        <f>IFERROR(INDEX('Email Cleaner'!$B$2:$B$10001,MATCH(3413,'Email Cleaner'!$G$2:$G$10001,0)),"")</f>
        <v/>
      </c>
    </row>
    <row r="3415">
      <c r="A3415">
        <f>IFERROR(INDEX('Email Cleaner'!$B$2:$B$10001,MATCH(3414,'Email Cleaner'!$G$2:$G$10001,0)),"")</f>
        <v/>
      </c>
    </row>
    <row r="3416">
      <c r="A3416">
        <f>IFERROR(INDEX('Email Cleaner'!$B$2:$B$10001,MATCH(3415,'Email Cleaner'!$G$2:$G$10001,0)),"")</f>
        <v/>
      </c>
    </row>
    <row r="3417">
      <c r="A3417">
        <f>IFERROR(INDEX('Email Cleaner'!$B$2:$B$10001,MATCH(3416,'Email Cleaner'!$G$2:$G$10001,0)),"")</f>
        <v/>
      </c>
    </row>
    <row r="3418">
      <c r="A3418">
        <f>IFERROR(INDEX('Email Cleaner'!$B$2:$B$10001,MATCH(3417,'Email Cleaner'!$G$2:$G$10001,0)),"")</f>
        <v/>
      </c>
    </row>
    <row r="3419">
      <c r="A3419">
        <f>IFERROR(INDEX('Email Cleaner'!$B$2:$B$10001,MATCH(3418,'Email Cleaner'!$G$2:$G$10001,0)),"")</f>
        <v/>
      </c>
    </row>
    <row r="3420">
      <c r="A3420">
        <f>IFERROR(INDEX('Email Cleaner'!$B$2:$B$10001,MATCH(3419,'Email Cleaner'!$G$2:$G$10001,0)),"")</f>
        <v/>
      </c>
    </row>
    <row r="3421">
      <c r="A3421">
        <f>IFERROR(INDEX('Email Cleaner'!$B$2:$B$10001,MATCH(3420,'Email Cleaner'!$G$2:$G$10001,0)),"")</f>
        <v/>
      </c>
    </row>
    <row r="3422">
      <c r="A3422">
        <f>IFERROR(INDEX('Email Cleaner'!$B$2:$B$10001,MATCH(3421,'Email Cleaner'!$G$2:$G$10001,0)),"")</f>
        <v/>
      </c>
    </row>
    <row r="3423">
      <c r="A3423">
        <f>IFERROR(INDEX('Email Cleaner'!$B$2:$B$10001,MATCH(3422,'Email Cleaner'!$G$2:$G$10001,0)),"")</f>
        <v/>
      </c>
    </row>
    <row r="3424">
      <c r="A3424">
        <f>IFERROR(INDEX('Email Cleaner'!$B$2:$B$10001,MATCH(3423,'Email Cleaner'!$G$2:$G$10001,0)),"")</f>
        <v/>
      </c>
    </row>
    <row r="3425">
      <c r="A3425">
        <f>IFERROR(INDEX('Email Cleaner'!$B$2:$B$10001,MATCH(3424,'Email Cleaner'!$G$2:$G$10001,0)),"")</f>
        <v/>
      </c>
    </row>
    <row r="3426">
      <c r="A3426">
        <f>IFERROR(INDEX('Email Cleaner'!$B$2:$B$10001,MATCH(3425,'Email Cleaner'!$G$2:$G$10001,0)),"")</f>
        <v/>
      </c>
    </row>
    <row r="3427">
      <c r="A3427">
        <f>IFERROR(INDEX('Email Cleaner'!$B$2:$B$10001,MATCH(3426,'Email Cleaner'!$G$2:$G$10001,0)),"")</f>
        <v/>
      </c>
    </row>
    <row r="3428">
      <c r="A3428">
        <f>IFERROR(INDEX('Email Cleaner'!$B$2:$B$10001,MATCH(3427,'Email Cleaner'!$G$2:$G$10001,0)),"")</f>
        <v/>
      </c>
    </row>
    <row r="3429">
      <c r="A3429">
        <f>IFERROR(INDEX('Email Cleaner'!$B$2:$B$10001,MATCH(3428,'Email Cleaner'!$G$2:$G$10001,0)),"")</f>
        <v/>
      </c>
    </row>
    <row r="3430">
      <c r="A3430">
        <f>IFERROR(INDEX('Email Cleaner'!$B$2:$B$10001,MATCH(3429,'Email Cleaner'!$G$2:$G$10001,0)),"")</f>
        <v/>
      </c>
    </row>
    <row r="3431">
      <c r="A3431">
        <f>IFERROR(INDEX('Email Cleaner'!$B$2:$B$10001,MATCH(3430,'Email Cleaner'!$G$2:$G$10001,0)),"")</f>
        <v/>
      </c>
    </row>
    <row r="3432">
      <c r="A3432">
        <f>IFERROR(INDEX('Email Cleaner'!$B$2:$B$10001,MATCH(3431,'Email Cleaner'!$G$2:$G$10001,0)),"")</f>
        <v/>
      </c>
    </row>
    <row r="3433">
      <c r="A3433">
        <f>IFERROR(INDEX('Email Cleaner'!$B$2:$B$10001,MATCH(3432,'Email Cleaner'!$G$2:$G$10001,0)),"")</f>
        <v/>
      </c>
    </row>
    <row r="3434">
      <c r="A3434">
        <f>IFERROR(INDEX('Email Cleaner'!$B$2:$B$10001,MATCH(3433,'Email Cleaner'!$G$2:$G$10001,0)),"")</f>
        <v/>
      </c>
    </row>
    <row r="3435">
      <c r="A3435">
        <f>IFERROR(INDEX('Email Cleaner'!$B$2:$B$10001,MATCH(3434,'Email Cleaner'!$G$2:$G$10001,0)),"")</f>
        <v/>
      </c>
    </row>
    <row r="3436">
      <c r="A3436">
        <f>IFERROR(INDEX('Email Cleaner'!$B$2:$B$10001,MATCH(3435,'Email Cleaner'!$G$2:$G$10001,0)),"")</f>
        <v/>
      </c>
    </row>
    <row r="3437">
      <c r="A3437">
        <f>IFERROR(INDEX('Email Cleaner'!$B$2:$B$10001,MATCH(3436,'Email Cleaner'!$G$2:$G$10001,0)),"")</f>
        <v/>
      </c>
    </row>
    <row r="3438">
      <c r="A3438">
        <f>IFERROR(INDEX('Email Cleaner'!$B$2:$B$10001,MATCH(3437,'Email Cleaner'!$G$2:$G$10001,0)),"")</f>
        <v/>
      </c>
    </row>
    <row r="3439">
      <c r="A3439">
        <f>IFERROR(INDEX('Email Cleaner'!$B$2:$B$10001,MATCH(3438,'Email Cleaner'!$G$2:$G$10001,0)),"")</f>
        <v/>
      </c>
    </row>
    <row r="3440">
      <c r="A3440">
        <f>IFERROR(INDEX('Email Cleaner'!$B$2:$B$10001,MATCH(3439,'Email Cleaner'!$G$2:$G$10001,0)),"")</f>
        <v/>
      </c>
    </row>
    <row r="3441">
      <c r="A3441">
        <f>IFERROR(INDEX('Email Cleaner'!$B$2:$B$10001,MATCH(3440,'Email Cleaner'!$G$2:$G$10001,0)),"")</f>
        <v/>
      </c>
    </row>
    <row r="3442">
      <c r="A3442">
        <f>IFERROR(INDEX('Email Cleaner'!$B$2:$B$10001,MATCH(3441,'Email Cleaner'!$G$2:$G$10001,0)),"")</f>
        <v/>
      </c>
    </row>
    <row r="3443">
      <c r="A3443">
        <f>IFERROR(INDEX('Email Cleaner'!$B$2:$B$10001,MATCH(3442,'Email Cleaner'!$G$2:$G$10001,0)),"")</f>
        <v/>
      </c>
    </row>
    <row r="3444">
      <c r="A3444">
        <f>IFERROR(INDEX('Email Cleaner'!$B$2:$B$10001,MATCH(3443,'Email Cleaner'!$G$2:$G$10001,0)),"")</f>
        <v/>
      </c>
    </row>
    <row r="3445">
      <c r="A3445">
        <f>IFERROR(INDEX('Email Cleaner'!$B$2:$B$10001,MATCH(3444,'Email Cleaner'!$G$2:$G$10001,0)),"")</f>
        <v/>
      </c>
    </row>
    <row r="3446">
      <c r="A3446">
        <f>IFERROR(INDEX('Email Cleaner'!$B$2:$B$10001,MATCH(3445,'Email Cleaner'!$G$2:$G$10001,0)),"")</f>
        <v/>
      </c>
    </row>
    <row r="3447">
      <c r="A3447">
        <f>IFERROR(INDEX('Email Cleaner'!$B$2:$B$10001,MATCH(3446,'Email Cleaner'!$G$2:$G$10001,0)),"")</f>
        <v/>
      </c>
    </row>
    <row r="3448">
      <c r="A3448">
        <f>IFERROR(INDEX('Email Cleaner'!$B$2:$B$10001,MATCH(3447,'Email Cleaner'!$G$2:$G$10001,0)),"")</f>
        <v/>
      </c>
    </row>
    <row r="3449">
      <c r="A3449">
        <f>IFERROR(INDEX('Email Cleaner'!$B$2:$B$10001,MATCH(3448,'Email Cleaner'!$G$2:$G$10001,0)),"")</f>
        <v/>
      </c>
    </row>
    <row r="3450">
      <c r="A3450">
        <f>IFERROR(INDEX('Email Cleaner'!$B$2:$B$10001,MATCH(3449,'Email Cleaner'!$G$2:$G$10001,0)),"")</f>
        <v/>
      </c>
    </row>
    <row r="3451">
      <c r="A3451">
        <f>IFERROR(INDEX('Email Cleaner'!$B$2:$B$10001,MATCH(3450,'Email Cleaner'!$G$2:$G$10001,0)),"")</f>
        <v/>
      </c>
    </row>
    <row r="3452">
      <c r="A3452">
        <f>IFERROR(INDEX('Email Cleaner'!$B$2:$B$10001,MATCH(3451,'Email Cleaner'!$G$2:$G$10001,0)),"")</f>
        <v/>
      </c>
    </row>
    <row r="3453">
      <c r="A3453">
        <f>IFERROR(INDEX('Email Cleaner'!$B$2:$B$10001,MATCH(3452,'Email Cleaner'!$G$2:$G$10001,0)),"")</f>
        <v/>
      </c>
    </row>
    <row r="3454">
      <c r="A3454">
        <f>IFERROR(INDEX('Email Cleaner'!$B$2:$B$10001,MATCH(3453,'Email Cleaner'!$G$2:$G$10001,0)),"")</f>
        <v/>
      </c>
    </row>
    <row r="3455">
      <c r="A3455">
        <f>IFERROR(INDEX('Email Cleaner'!$B$2:$B$10001,MATCH(3454,'Email Cleaner'!$G$2:$G$10001,0)),"")</f>
        <v/>
      </c>
    </row>
    <row r="3456">
      <c r="A3456">
        <f>IFERROR(INDEX('Email Cleaner'!$B$2:$B$10001,MATCH(3455,'Email Cleaner'!$G$2:$G$10001,0)),"")</f>
        <v/>
      </c>
    </row>
    <row r="3457">
      <c r="A3457">
        <f>IFERROR(INDEX('Email Cleaner'!$B$2:$B$10001,MATCH(3456,'Email Cleaner'!$G$2:$G$10001,0)),"")</f>
        <v/>
      </c>
    </row>
    <row r="3458">
      <c r="A3458">
        <f>IFERROR(INDEX('Email Cleaner'!$B$2:$B$10001,MATCH(3457,'Email Cleaner'!$G$2:$G$10001,0)),"")</f>
        <v/>
      </c>
    </row>
    <row r="3459">
      <c r="A3459">
        <f>IFERROR(INDEX('Email Cleaner'!$B$2:$B$10001,MATCH(3458,'Email Cleaner'!$G$2:$G$10001,0)),"")</f>
        <v/>
      </c>
    </row>
    <row r="3460">
      <c r="A3460">
        <f>IFERROR(INDEX('Email Cleaner'!$B$2:$B$10001,MATCH(3459,'Email Cleaner'!$G$2:$G$10001,0)),"")</f>
        <v/>
      </c>
    </row>
    <row r="3461">
      <c r="A3461">
        <f>IFERROR(INDEX('Email Cleaner'!$B$2:$B$10001,MATCH(3460,'Email Cleaner'!$G$2:$G$10001,0)),"")</f>
        <v/>
      </c>
    </row>
    <row r="3462">
      <c r="A3462">
        <f>IFERROR(INDEX('Email Cleaner'!$B$2:$B$10001,MATCH(3461,'Email Cleaner'!$G$2:$G$10001,0)),"")</f>
        <v/>
      </c>
    </row>
    <row r="3463">
      <c r="A3463">
        <f>IFERROR(INDEX('Email Cleaner'!$B$2:$B$10001,MATCH(3462,'Email Cleaner'!$G$2:$G$10001,0)),"")</f>
        <v/>
      </c>
    </row>
    <row r="3464">
      <c r="A3464">
        <f>IFERROR(INDEX('Email Cleaner'!$B$2:$B$10001,MATCH(3463,'Email Cleaner'!$G$2:$G$10001,0)),"")</f>
        <v/>
      </c>
    </row>
    <row r="3465">
      <c r="A3465">
        <f>IFERROR(INDEX('Email Cleaner'!$B$2:$B$10001,MATCH(3464,'Email Cleaner'!$G$2:$G$10001,0)),"")</f>
        <v/>
      </c>
    </row>
    <row r="3466">
      <c r="A3466">
        <f>IFERROR(INDEX('Email Cleaner'!$B$2:$B$10001,MATCH(3465,'Email Cleaner'!$G$2:$G$10001,0)),"")</f>
        <v/>
      </c>
    </row>
    <row r="3467">
      <c r="A3467">
        <f>IFERROR(INDEX('Email Cleaner'!$B$2:$B$10001,MATCH(3466,'Email Cleaner'!$G$2:$G$10001,0)),"")</f>
        <v/>
      </c>
    </row>
    <row r="3468">
      <c r="A3468">
        <f>IFERROR(INDEX('Email Cleaner'!$B$2:$B$10001,MATCH(3467,'Email Cleaner'!$G$2:$G$10001,0)),"")</f>
        <v/>
      </c>
    </row>
    <row r="3469">
      <c r="A3469">
        <f>IFERROR(INDEX('Email Cleaner'!$B$2:$B$10001,MATCH(3468,'Email Cleaner'!$G$2:$G$10001,0)),"")</f>
        <v/>
      </c>
    </row>
    <row r="3470">
      <c r="A3470">
        <f>IFERROR(INDEX('Email Cleaner'!$B$2:$B$10001,MATCH(3469,'Email Cleaner'!$G$2:$G$10001,0)),"")</f>
        <v/>
      </c>
    </row>
    <row r="3471">
      <c r="A3471">
        <f>IFERROR(INDEX('Email Cleaner'!$B$2:$B$10001,MATCH(3470,'Email Cleaner'!$G$2:$G$10001,0)),"")</f>
        <v/>
      </c>
    </row>
    <row r="3472">
      <c r="A3472">
        <f>IFERROR(INDEX('Email Cleaner'!$B$2:$B$10001,MATCH(3471,'Email Cleaner'!$G$2:$G$10001,0)),"")</f>
        <v/>
      </c>
    </row>
    <row r="3473">
      <c r="A3473">
        <f>IFERROR(INDEX('Email Cleaner'!$B$2:$B$10001,MATCH(3472,'Email Cleaner'!$G$2:$G$10001,0)),"")</f>
        <v/>
      </c>
    </row>
    <row r="3474">
      <c r="A3474">
        <f>IFERROR(INDEX('Email Cleaner'!$B$2:$B$10001,MATCH(3473,'Email Cleaner'!$G$2:$G$10001,0)),"")</f>
        <v/>
      </c>
    </row>
    <row r="3475">
      <c r="A3475">
        <f>IFERROR(INDEX('Email Cleaner'!$B$2:$B$10001,MATCH(3474,'Email Cleaner'!$G$2:$G$10001,0)),"")</f>
        <v/>
      </c>
    </row>
    <row r="3476">
      <c r="A3476">
        <f>IFERROR(INDEX('Email Cleaner'!$B$2:$B$10001,MATCH(3475,'Email Cleaner'!$G$2:$G$10001,0)),"")</f>
        <v/>
      </c>
    </row>
    <row r="3477">
      <c r="A3477">
        <f>IFERROR(INDEX('Email Cleaner'!$B$2:$B$10001,MATCH(3476,'Email Cleaner'!$G$2:$G$10001,0)),"")</f>
        <v/>
      </c>
    </row>
    <row r="3478">
      <c r="A3478">
        <f>IFERROR(INDEX('Email Cleaner'!$B$2:$B$10001,MATCH(3477,'Email Cleaner'!$G$2:$G$10001,0)),"")</f>
        <v/>
      </c>
    </row>
    <row r="3479">
      <c r="A3479">
        <f>IFERROR(INDEX('Email Cleaner'!$B$2:$B$10001,MATCH(3478,'Email Cleaner'!$G$2:$G$10001,0)),"")</f>
        <v/>
      </c>
    </row>
    <row r="3480">
      <c r="A3480">
        <f>IFERROR(INDEX('Email Cleaner'!$B$2:$B$10001,MATCH(3479,'Email Cleaner'!$G$2:$G$10001,0)),"")</f>
        <v/>
      </c>
    </row>
    <row r="3481">
      <c r="A3481">
        <f>IFERROR(INDEX('Email Cleaner'!$B$2:$B$10001,MATCH(3480,'Email Cleaner'!$G$2:$G$10001,0)),"")</f>
        <v/>
      </c>
    </row>
    <row r="3482">
      <c r="A3482">
        <f>IFERROR(INDEX('Email Cleaner'!$B$2:$B$10001,MATCH(3481,'Email Cleaner'!$G$2:$G$10001,0)),"")</f>
        <v/>
      </c>
    </row>
    <row r="3483">
      <c r="A3483">
        <f>IFERROR(INDEX('Email Cleaner'!$B$2:$B$10001,MATCH(3482,'Email Cleaner'!$G$2:$G$10001,0)),"")</f>
        <v/>
      </c>
    </row>
    <row r="3484">
      <c r="A3484">
        <f>IFERROR(INDEX('Email Cleaner'!$B$2:$B$10001,MATCH(3483,'Email Cleaner'!$G$2:$G$10001,0)),"")</f>
        <v/>
      </c>
    </row>
    <row r="3485">
      <c r="A3485">
        <f>IFERROR(INDEX('Email Cleaner'!$B$2:$B$10001,MATCH(3484,'Email Cleaner'!$G$2:$G$10001,0)),"")</f>
        <v/>
      </c>
    </row>
    <row r="3486">
      <c r="A3486">
        <f>IFERROR(INDEX('Email Cleaner'!$B$2:$B$10001,MATCH(3485,'Email Cleaner'!$G$2:$G$10001,0)),"")</f>
        <v/>
      </c>
    </row>
    <row r="3487">
      <c r="A3487">
        <f>IFERROR(INDEX('Email Cleaner'!$B$2:$B$10001,MATCH(3486,'Email Cleaner'!$G$2:$G$10001,0)),"")</f>
        <v/>
      </c>
    </row>
    <row r="3488">
      <c r="A3488">
        <f>IFERROR(INDEX('Email Cleaner'!$B$2:$B$10001,MATCH(3487,'Email Cleaner'!$G$2:$G$10001,0)),"")</f>
        <v/>
      </c>
    </row>
    <row r="3489">
      <c r="A3489">
        <f>IFERROR(INDEX('Email Cleaner'!$B$2:$B$10001,MATCH(3488,'Email Cleaner'!$G$2:$G$10001,0)),"")</f>
        <v/>
      </c>
    </row>
    <row r="3490">
      <c r="A3490">
        <f>IFERROR(INDEX('Email Cleaner'!$B$2:$B$10001,MATCH(3489,'Email Cleaner'!$G$2:$G$10001,0)),"")</f>
        <v/>
      </c>
    </row>
    <row r="3491">
      <c r="A3491">
        <f>IFERROR(INDEX('Email Cleaner'!$B$2:$B$10001,MATCH(3490,'Email Cleaner'!$G$2:$G$10001,0)),"")</f>
        <v/>
      </c>
    </row>
    <row r="3492">
      <c r="A3492">
        <f>IFERROR(INDEX('Email Cleaner'!$B$2:$B$10001,MATCH(3491,'Email Cleaner'!$G$2:$G$10001,0)),"")</f>
        <v/>
      </c>
    </row>
    <row r="3493">
      <c r="A3493">
        <f>IFERROR(INDEX('Email Cleaner'!$B$2:$B$10001,MATCH(3492,'Email Cleaner'!$G$2:$G$10001,0)),"")</f>
        <v/>
      </c>
    </row>
    <row r="3494">
      <c r="A3494">
        <f>IFERROR(INDEX('Email Cleaner'!$B$2:$B$10001,MATCH(3493,'Email Cleaner'!$G$2:$G$10001,0)),"")</f>
        <v/>
      </c>
    </row>
    <row r="3495">
      <c r="A3495">
        <f>IFERROR(INDEX('Email Cleaner'!$B$2:$B$10001,MATCH(3494,'Email Cleaner'!$G$2:$G$10001,0)),"")</f>
        <v/>
      </c>
    </row>
    <row r="3496">
      <c r="A3496">
        <f>IFERROR(INDEX('Email Cleaner'!$B$2:$B$10001,MATCH(3495,'Email Cleaner'!$G$2:$G$10001,0)),"")</f>
        <v/>
      </c>
    </row>
    <row r="3497">
      <c r="A3497">
        <f>IFERROR(INDEX('Email Cleaner'!$B$2:$B$10001,MATCH(3496,'Email Cleaner'!$G$2:$G$10001,0)),"")</f>
        <v/>
      </c>
    </row>
    <row r="3498">
      <c r="A3498">
        <f>IFERROR(INDEX('Email Cleaner'!$B$2:$B$10001,MATCH(3497,'Email Cleaner'!$G$2:$G$10001,0)),"")</f>
        <v/>
      </c>
    </row>
    <row r="3499">
      <c r="A3499">
        <f>IFERROR(INDEX('Email Cleaner'!$B$2:$B$10001,MATCH(3498,'Email Cleaner'!$G$2:$G$10001,0)),"")</f>
        <v/>
      </c>
    </row>
    <row r="3500">
      <c r="A3500">
        <f>IFERROR(INDEX('Email Cleaner'!$B$2:$B$10001,MATCH(3499,'Email Cleaner'!$G$2:$G$10001,0)),"")</f>
        <v/>
      </c>
    </row>
    <row r="3501">
      <c r="A3501">
        <f>IFERROR(INDEX('Email Cleaner'!$B$2:$B$10001,MATCH(3500,'Email Cleaner'!$G$2:$G$10001,0)),"")</f>
        <v/>
      </c>
    </row>
    <row r="3502">
      <c r="A3502">
        <f>IFERROR(INDEX('Email Cleaner'!$B$2:$B$10001,MATCH(3501,'Email Cleaner'!$G$2:$G$10001,0)),"")</f>
        <v/>
      </c>
    </row>
    <row r="3503">
      <c r="A3503">
        <f>IFERROR(INDEX('Email Cleaner'!$B$2:$B$10001,MATCH(3502,'Email Cleaner'!$G$2:$G$10001,0)),"")</f>
        <v/>
      </c>
    </row>
    <row r="3504">
      <c r="A3504">
        <f>IFERROR(INDEX('Email Cleaner'!$B$2:$B$10001,MATCH(3503,'Email Cleaner'!$G$2:$G$10001,0)),"")</f>
        <v/>
      </c>
    </row>
    <row r="3505">
      <c r="A3505">
        <f>IFERROR(INDEX('Email Cleaner'!$B$2:$B$10001,MATCH(3504,'Email Cleaner'!$G$2:$G$10001,0)),"")</f>
        <v/>
      </c>
    </row>
    <row r="3506">
      <c r="A3506">
        <f>IFERROR(INDEX('Email Cleaner'!$B$2:$B$10001,MATCH(3505,'Email Cleaner'!$G$2:$G$10001,0)),"")</f>
        <v/>
      </c>
    </row>
    <row r="3507">
      <c r="A3507">
        <f>IFERROR(INDEX('Email Cleaner'!$B$2:$B$10001,MATCH(3506,'Email Cleaner'!$G$2:$G$10001,0)),"")</f>
        <v/>
      </c>
    </row>
    <row r="3508">
      <c r="A3508">
        <f>IFERROR(INDEX('Email Cleaner'!$B$2:$B$10001,MATCH(3507,'Email Cleaner'!$G$2:$G$10001,0)),"")</f>
        <v/>
      </c>
    </row>
    <row r="3509">
      <c r="A3509">
        <f>IFERROR(INDEX('Email Cleaner'!$B$2:$B$10001,MATCH(3508,'Email Cleaner'!$G$2:$G$10001,0)),"")</f>
        <v/>
      </c>
    </row>
    <row r="3510">
      <c r="A3510">
        <f>IFERROR(INDEX('Email Cleaner'!$B$2:$B$10001,MATCH(3509,'Email Cleaner'!$G$2:$G$10001,0)),"")</f>
        <v/>
      </c>
    </row>
    <row r="3511">
      <c r="A3511">
        <f>IFERROR(INDEX('Email Cleaner'!$B$2:$B$10001,MATCH(3510,'Email Cleaner'!$G$2:$G$10001,0)),"")</f>
        <v/>
      </c>
    </row>
    <row r="3512">
      <c r="A3512">
        <f>IFERROR(INDEX('Email Cleaner'!$B$2:$B$10001,MATCH(3511,'Email Cleaner'!$G$2:$G$10001,0)),"")</f>
        <v/>
      </c>
    </row>
    <row r="3513">
      <c r="A3513">
        <f>IFERROR(INDEX('Email Cleaner'!$B$2:$B$10001,MATCH(3512,'Email Cleaner'!$G$2:$G$10001,0)),"")</f>
        <v/>
      </c>
    </row>
    <row r="3514">
      <c r="A3514">
        <f>IFERROR(INDEX('Email Cleaner'!$B$2:$B$10001,MATCH(3513,'Email Cleaner'!$G$2:$G$10001,0)),"")</f>
        <v/>
      </c>
    </row>
    <row r="3515">
      <c r="A3515">
        <f>IFERROR(INDEX('Email Cleaner'!$B$2:$B$10001,MATCH(3514,'Email Cleaner'!$G$2:$G$10001,0)),"")</f>
        <v/>
      </c>
    </row>
    <row r="3516">
      <c r="A3516">
        <f>IFERROR(INDEX('Email Cleaner'!$B$2:$B$10001,MATCH(3515,'Email Cleaner'!$G$2:$G$10001,0)),"")</f>
        <v/>
      </c>
    </row>
    <row r="3517">
      <c r="A3517">
        <f>IFERROR(INDEX('Email Cleaner'!$B$2:$B$10001,MATCH(3516,'Email Cleaner'!$G$2:$G$10001,0)),"")</f>
        <v/>
      </c>
    </row>
    <row r="3518">
      <c r="A3518">
        <f>IFERROR(INDEX('Email Cleaner'!$B$2:$B$10001,MATCH(3517,'Email Cleaner'!$G$2:$G$10001,0)),"")</f>
        <v/>
      </c>
    </row>
    <row r="3519">
      <c r="A3519">
        <f>IFERROR(INDEX('Email Cleaner'!$B$2:$B$10001,MATCH(3518,'Email Cleaner'!$G$2:$G$10001,0)),"")</f>
        <v/>
      </c>
    </row>
    <row r="3520">
      <c r="A3520">
        <f>IFERROR(INDEX('Email Cleaner'!$B$2:$B$10001,MATCH(3519,'Email Cleaner'!$G$2:$G$10001,0)),"")</f>
        <v/>
      </c>
    </row>
    <row r="3521">
      <c r="A3521">
        <f>IFERROR(INDEX('Email Cleaner'!$B$2:$B$10001,MATCH(3520,'Email Cleaner'!$G$2:$G$10001,0)),"")</f>
        <v/>
      </c>
    </row>
    <row r="3522">
      <c r="A3522">
        <f>IFERROR(INDEX('Email Cleaner'!$B$2:$B$10001,MATCH(3521,'Email Cleaner'!$G$2:$G$10001,0)),"")</f>
        <v/>
      </c>
    </row>
    <row r="3523">
      <c r="A3523">
        <f>IFERROR(INDEX('Email Cleaner'!$B$2:$B$10001,MATCH(3522,'Email Cleaner'!$G$2:$G$10001,0)),"")</f>
        <v/>
      </c>
    </row>
    <row r="3524">
      <c r="A3524">
        <f>IFERROR(INDEX('Email Cleaner'!$B$2:$B$10001,MATCH(3523,'Email Cleaner'!$G$2:$G$10001,0)),"")</f>
        <v/>
      </c>
    </row>
    <row r="3525">
      <c r="A3525">
        <f>IFERROR(INDEX('Email Cleaner'!$B$2:$B$10001,MATCH(3524,'Email Cleaner'!$G$2:$G$10001,0)),"")</f>
        <v/>
      </c>
    </row>
    <row r="3526">
      <c r="A3526">
        <f>IFERROR(INDEX('Email Cleaner'!$B$2:$B$10001,MATCH(3525,'Email Cleaner'!$G$2:$G$10001,0)),"")</f>
        <v/>
      </c>
    </row>
    <row r="3527">
      <c r="A3527">
        <f>IFERROR(INDEX('Email Cleaner'!$B$2:$B$10001,MATCH(3526,'Email Cleaner'!$G$2:$G$10001,0)),"")</f>
        <v/>
      </c>
    </row>
    <row r="3528">
      <c r="A3528">
        <f>IFERROR(INDEX('Email Cleaner'!$B$2:$B$10001,MATCH(3527,'Email Cleaner'!$G$2:$G$10001,0)),"")</f>
        <v/>
      </c>
    </row>
    <row r="3529">
      <c r="A3529">
        <f>IFERROR(INDEX('Email Cleaner'!$B$2:$B$10001,MATCH(3528,'Email Cleaner'!$G$2:$G$10001,0)),"")</f>
        <v/>
      </c>
    </row>
    <row r="3530">
      <c r="A3530">
        <f>IFERROR(INDEX('Email Cleaner'!$B$2:$B$10001,MATCH(3529,'Email Cleaner'!$G$2:$G$10001,0)),"")</f>
        <v/>
      </c>
    </row>
    <row r="3531">
      <c r="A3531">
        <f>IFERROR(INDEX('Email Cleaner'!$B$2:$B$10001,MATCH(3530,'Email Cleaner'!$G$2:$G$10001,0)),"")</f>
        <v/>
      </c>
    </row>
    <row r="3532">
      <c r="A3532">
        <f>IFERROR(INDEX('Email Cleaner'!$B$2:$B$10001,MATCH(3531,'Email Cleaner'!$G$2:$G$10001,0)),"")</f>
        <v/>
      </c>
    </row>
    <row r="3533">
      <c r="A3533">
        <f>IFERROR(INDEX('Email Cleaner'!$B$2:$B$10001,MATCH(3532,'Email Cleaner'!$G$2:$G$10001,0)),"")</f>
        <v/>
      </c>
    </row>
    <row r="3534">
      <c r="A3534">
        <f>IFERROR(INDEX('Email Cleaner'!$B$2:$B$10001,MATCH(3533,'Email Cleaner'!$G$2:$G$10001,0)),"")</f>
        <v/>
      </c>
    </row>
    <row r="3535">
      <c r="A3535">
        <f>IFERROR(INDEX('Email Cleaner'!$B$2:$B$10001,MATCH(3534,'Email Cleaner'!$G$2:$G$10001,0)),"")</f>
        <v/>
      </c>
    </row>
    <row r="3536">
      <c r="A3536">
        <f>IFERROR(INDEX('Email Cleaner'!$B$2:$B$10001,MATCH(3535,'Email Cleaner'!$G$2:$G$10001,0)),"")</f>
        <v/>
      </c>
    </row>
    <row r="3537">
      <c r="A3537">
        <f>IFERROR(INDEX('Email Cleaner'!$B$2:$B$10001,MATCH(3536,'Email Cleaner'!$G$2:$G$10001,0)),"")</f>
        <v/>
      </c>
    </row>
    <row r="3538">
      <c r="A3538">
        <f>IFERROR(INDEX('Email Cleaner'!$B$2:$B$10001,MATCH(3537,'Email Cleaner'!$G$2:$G$10001,0)),"")</f>
        <v/>
      </c>
    </row>
    <row r="3539">
      <c r="A3539">
        <f>IFERROR(INDEX('Email Cleaner'!$B$2:$B$10001,MATCH(3538,'Email Cleaner'!$G$2:$G$10001,0)),"")</f>
        <v/>
      </c>
    </row>
    <row r="3540">
      <c r="A3540">
        <f>IFERROR(INDEX('Email Cleaner'!$B$2:$B$10001,MATCH(3539,'Email Cleaner'!$G$2:$G$10001,0)),"")</f>
        <v/>
      </c>
    </row>
    <row r="3541">
      <c r="A3541">
        <f>IFERROR(INDEX('Email Cleaner'!$B$2:$B$10001,MATCH(3540,'Email Cleaner'!$G$2:$G$10001,0)),"")</f>
        <v/>
      </c>
    </row>
    <row r="3542">
      <c r="A3542">
        <f>IFERROR(INDEX('Email Cleaner'!$B$2:$B$10001,MATCH(3541,'Email Cleaner'!$G$2:$G$10001,0)),"")</f>
        <v/>
      </c>
    </row>
    <row r="3543">
      <c r="A3543">
        <f>IFERROR(INDEX('Email Cleaner'!$B$2:$B$10001,MATCH(3542,'Email Cleaner'!$G$2:$G$10001,0)),"")</f>
        <v/>
      </c>
    </row>
    <row r="3544">
      <c r="A3544">
        <f>IFERROR(INDEX('Email Cleaner'!$B$2:$B$10001,MATCH(3543,'Email Cleaner'!$G$2:$G$10001,0)),"")</f>
        <v/>
      </c>
    </row>
    <row r="3545">
      <c r="A3545">
        <f>IFERROR(INDEX('Email Cleaner'!$B$2:$B$10001,MATCH(3544,'Email Cleaner'!$G$2:$G$10001,0)),"")</f>
        <v/>
      </c>
    </row>
    <row r="3546">
      <c r="A3546">
        <f>IFERROR(INDEX('Email Cleaner'!$B$2:$B$10001,MATCH(3545,'Email Cleaner'!$G$2:$G$10001,0)),"")</f>
        <v/>
      </c>
    </row>
    <row r="3547">
      <c r="A3547">
        <f>IFERROR(INDEX('Email Cleaner'!$B$2:$B$10001,MATCH(3546,'Email Cleaner'!$G$2:$G$10001,0)),"")</f>
        <v/>
      </c>
    </row>
    <row r="3548">
      <c r="A3548">
        <f>IFERROR(INDEX('Email Cleaner'!$B$2:$B$10001,MATCH(3547,'Email Cleaner'!$G$2:$G$10001,0)),"")</f>
        <v/>
      </c>
    </row>
    <row r="3549">
      <c r="A3549">
        <f>IFERROR(INDEX('Email Cleaner'!$B$2:$B$10001,MATCH(3548,'Email Cleaner'!$G$2:$G$10001,0)),"")</f>
        <v/>
      </c>
    </row>
    <row r="3550">
      <c r="A3550">
        <f>IFERROR(INDEX('Email Cleaner'!$B$2:$B$10001,MATCH(3549,'Email Cleaner'!$G$2:$G$10001,0)),"")</f>
        <v/>
      </c>
    </row>
    <row r="3551">
      <c r="A3551">
        <f>IFERROR(INDEX('Email Cleaner'!$B$2:$B$10001,MATCH(3550,'Email Cleaner'!$G$2:$G$10001,0)),"")</f>
        <v/>
      </c>
    </row>
    <row r="3552">
      <c r="A3552">
        <f>IFERROR(INDEX('Email Cleaner'!$B$2:$B$10001,MATCH(3551,'Email Cleaner'!$G$2:$G$10001,0)),"")</f>
        <v/>
      </c>
    </row>
    <row r="3553">
      <c r="A3553">
        <f>IFERROR(INDEX('Email Cleaner'!$B$2:$B$10001,MATCH(3552,'Email Cleaner'!$G$2:$G$10001,0)),"")</f>
        <v/>
      </c>
    </row>
    <row r="3554">
      <c r="A3554">
        <f>IFERROR(INDEX('Email Cleaner'!$B$2:$B$10001,MATCH(3553,'Email Cleaner'!$G$2:$G$10001,0)),"")</f>
        <v/>
      </c>
    </row>
    <row r="3555">
      <c r="A3555">
        <f>IFERROR(INDEX('Email Cleaner'!$B$2:$B$10001,MATCH(3554,'Email Cleaner'!$G$2:$G$10001,0)),"")</f>
        <v/>
      </c>
    </row>
    <row r="3556">
      <c r="A3556">
        <f>IFERROR(INDEX('Email Cleaner'!$B$2:$B$10001,MATCH(3555,'Email Cleaner'!$G$2:$G$10001,0)),"")</f>
        <v/>
      </c>
    </row>
    <row r="3557">
      <c r="A3557">
        <f>IFERROR(INDEX('Email Cleaner'!$B$2:$B$10001,MATCH(3556,'Email Cleaner'!$G$2:$G$10001,0)),"")</f>
        <v/>
      </c>
    </row>
    <row r="3558">
      <c r="A3558">
        <f>IFERROR(INDEX('Email Cleaner'!$B$2:$B$10001,MATCH(3557,'Email Cleaner'!$G$2:$G$10001,0)),"")</f>
        <v/>
      </c>
    </row>
    <row r="3559">
      <c r="A3559">
        <f>IFERROR(INDEX('Email Cleaner'!$B$2:$B$10001,MATCH(3558,'Email Cleaner'!$G$2:$G$10001,0)),"")</f>
        <v/>
      </c>
    </row>
    <row r="3560">
      <c r="A3560">
        <f>IFERROR(INDEX('Email Cleaner'!$B$2:$B$10001,MATCH(3559,'Email Cleaner'!$G$2:$G$10001,0)),"")</f>
        <v/>
      </c>
    </row>
    <row r="3561">
      <c r="A3561">
        <f>IFERROR(INDEX('Email Cleaner'!$B$2:$B$10001,MATCH(3560,'Email Cleaner'!$G$2:$G$10001,0)),"")</f>
        <v/>
      </c>
    </row>
    <row r="3562">
      <c r="A3562">
        <f>IFERROR(INDEX('Email Cleaner'!$B$2:$B$10001,MATCH(3561,'Email Cleaner'!$G$2:$G$10001,0)),"")</f>
        <v/>
      </c>
    </row>
    <row r="3563">
      <c r="A3563">
        <f>IFERROR(INDEX('Email Cleaner'!$B$2:$B$10001,MATCH(3562,'Email Cleaner'!$G$2:$G$10001,0)),"")</f>
        <v/>
      </c>
    </row>
    <row r="3564">
      <c r="A3564">
        <f>IFERROR(INDEX('Email Cleaner'!$B$2:$B$10001,MATCH(3563,'Email Cleaner'!$G$2:$G$10001,0)),"")</f>
        <v/>
      </c>
    </row>
    <row r="3565">
      <c r="A3565">
        <f>IFERROR(INDEX('Email Cleaner'!$B$2:$B$10001,MATCH(3564,'Email Cleaner'!$G$2:$G$10001,0)),"")</f>
        <v/>
      </c>
    </row>
    <row r="3566">
      <c r="A3566">
        <f>IFERROR(INDEX('Email Cleaner'!$B$2:$B$10001,MATCH(3565,'Email Cleaner'!$G$2:$G$10001,0)),"")</f>
        <v/>
      </c>
    </row>
    <row r="3567">
      <c r="A3567">
        <f>IFERROR(INDEX('Email Cleaner'!$B$2:$B$10001,MATCH(3566,'Email Cleaner'!$G$2:$G$10001,0)),"")</f>
        <v/>
      </c>
    </row>
    <row r="3568">
      <c r="A3568">
        <f>IFERROR(INDEX('Email Cleaner'!$B$2:$B$10001,MATCH(3567,'Email Cleaner'!$G$2:$G$10001,0)),"")</f>
        <v/>
      </c>
    </row>
    <row r="3569">
      <c r="A3569">
        <f>IFERROR(INDEX('Email Cleaner'!$B$2:$B$10001,MATCH(3568,'Email Cleaner'!$G$2:$G$10001,0)),"")</f>
        <v/>
      </c>
    </row>
    <row r="3570">
      <c r="A3570">
        <f>IFERROR(INDEX('Email Cleaner'!$B$2:$B$10001,MATCH(3569,'Email Cleaner'!$G$2:$G$10001,0)),"")</f>
        <v/>
      </c>
    </row>
    <row r="3571">
      <c r="A3571">
        <f>IFERROR(INDEX('Email Cleaner'!$B$2:$B$10001,MATCH(3570,'Email Cleaner'!$G$2:$G$10001,0)),"")</f>
        <v/>
      </c>
    </row>
    <row r="3572">
      <c r="A3572">
        <f>IFERROR(INDEX('Email Cleaner'!$B$2:$B$10001,MATCH(3571,'Email Cleaner'!$G$2:$G$10001,0)),"")</f>
        <v/>
      </c>
    </row>
    <row r="3573">
      <c r="A3573">
        <f>IFERROR(INDEX('Email Cleaner'!$B$2:$B$10001,MATCH(3572,'Email Cleaner'!$G$2:$G$10001,0)),"")</f>
        <v/>
      </c>
    </row>
    <row r="3574">
      <c r="A3574">
        <f>IFERROR(INDEX('Email Cleaner'!$B$2:$B$10001,MATCH(3573,'Email Cleaner'!$G$2:$G$10001,0)),"")</f>
        <v/>
      </c>
    </row>
    <row r="3575">
      <c r="A3575">
        <f>IFERROR(INDEX('Email Cleaner'!$B$2:$B$10001,MATCH(3574,'Email Cleaner'!$G$2:$G$10001,0)),"")</f>
        <v/>
      </c>
    </row>
    <row r="3576">
      <c r="A3576">
        <f>IFERROR(INDEX('Email Cleaner'!$B$2:$B$10001,MATCH(3575,'Email Cleaner'!$G$2:$G$10001,0)),"")</f>
        <v/>
      </c>
    </row>
    <row r="3577">
      <c r="A3577">
        <f>IFERROR(INDEX('Email Cleaner'!$B$2:$B$10001,MATCH(3576,'Email Cleaner'!$G$2:$G$10001,0)),"")</f>
        <v/>
      </c>
    </row>
    <row r="3578">
      <c r="A3578">
        <f>IFERROR(INDEX('Email Cleaner'!$B$2:$B$10001,MATCH(3577,'Email Cleaner'!$G$2:$G$10001,0)),"")</f>
        <v/>
      </c>
    </row>
    <row r="3579">
      <c r="A3579">
        <f>IFERROR(INDEX('Email Cleaner'!$B$2:$B$10001,MATCH(3578,'Email Cleaner'!$G$2:$G$10001,0)),"")</f>
        <v/>
      </c>
    </row>
    <row r="3580">
      <c r="A3580">
        <f>IFERROR(INDEX('Email Cleaner'!$B$2:$B$10001,MATCH(3579,'Email Cleaner'!$G$2:$G$10001,0)),"")</f>
        <v/>
      </c>
    </row>
    <row r="3581">
      <c r="A3581">
        <f>IFERROR(INDEX('Email Cleaner'!$B$2:$B$10001,MATCH(3580,'Email Cleaner'!$G$2:$G$10001,0)),"")</f>
        <v/>
      </c>
    </row>
    <row r="3582">
      <c r="A3582">
        <f>IFERROR(INDEX('Email Cleaner'!$B$2:$B$10001,MATCH(3581,'Email Cleaner'!$G$2:$G$10001,0)),"")</f>
        <v/>
      </c>
    </row>
    <row r="3583">
      <c r="A3583">
        <f>IFERROR(INDEX('Email Cleaner'!$B$2:$B$10001,MATCH(3582,'Email Cleaner'!$G$2:$G$10001,0)),"")</f>
        <v/>
      </c>
    </row>
    <row r="3584">
      <c r="A3584">
        <f>IFERROR(INDEX('Email Cleaner'!$B$2:$B$10001,MATCH(3583,'Email Cleaner'!$G$2:$G$10001,0)),"")</f>
        <v/>
      </c>
    </row>
    <row r="3585">
      <c r="A3585">
        <f>IFERROR(INDEX('Email Cleaner'!$B$2:$B$10001,MATCH(3584,'Email Cleaner'!$G$2:$G$10001,0)),"")</f>
        <v/>
      </c>
    </row>
    <row r="3586">
      <c r="A3586">
        <f>IFERROR(INDEX('Email Cleaner'!$B$2:$B$10001,MATCH(3585,'Email Cleaner'!$G$2:$G$10001,0)),"")</f>
        <v/>
      </c>
    </row>
    <row r="3587">
      <c r="A3587">
        <f>IFERROR(INDEX('Email Cleaner'!$B$2:$B$10001,MATCH(3586,'Email Cleaner'!$G$2:$G$10001,0)),"")</f>
        <v/>
      </c>
    </row>
    <row r="3588">
      <c r="A3588">
        <f>IFERROR(INDEX('Email Cleaner'!$B$2:$B$10001,MATCH(3587,'Email Cleaner'!$G$2:$G$10001,0)),"")</f>
        <v/>
      </c>
    </row>
    <row r="3589">
      <c r="A3589">
        <f>IFERROR(INDEX('Email Cleaner'!$B$2:$B$10001,MATCH(3588,'Email Cleaner'!$G$2:$G$10001,0)),"")</f>
        <v/>
      </c>
    </row>
    <row r="3590">
      <c r="A3590">
        <f>IFERROR(INDEX('Email Cleaner'!$B$2:$B$10001,MATCH(3589,'Email Cleaner'!$G$2:$G$10001,0)),"")</f>
        <v/>
      </c>
    </row>
    <row r="3591">
      <c r="A3591">
        <f>IFERROR(INDEX('Email Cleaner'!$B$2:$B$10001,MATCH(3590,'Email Cleaner'!$G$2:$G$10001,0)),"")</f>
        <v/>
      </c>
    </row>
    <row r="3592">
      <c r="A3592">
        <f>IFERROR(INDEX('Email Cleaner'!$B$2:$B$10001,MATCH(3591,'Email Cleaner'!$G$2:$G$10001,0)),"")</f>
        <v/>
      </c>
    </row>
    <row r="3593">
      <c r="A3593">
        <f>IFERROR(INDEX('Email Cleaner'!$B$2:$B$10001,MATCH(3592,'Email Cleaner'!$G$2:$G$10001,0)),"")</f>
        <v/>
      </c>
    </row>
    <row r="3594">
      <c r="A3594">
        <f>IFERROR(INDEX('Email Cleaner'!$B$2:$B$10001,MATCH(3593,'Email Cleaner'!$G$2:$G$10001,0)),"")</f>
        <v/>
      </c>
    </row>
    <row r="3595">
      <c r="A3595">
        <f>IFERROR(INDEX('Email Cleaner'!$B$2:$B$10001,MATCH(3594,'Email Cleaner'!$G$2:$G$10001,0)),"")</f>
        <v/>
      </c>
    </row>
    <row r="3596">
      <c r="A3596">
        <f>IFERROR(INDEX('Email Cleaner'!$B$2:$B$10001,MATCH(3595,'Email Cleaner'!$G$2:$G$10001,0)),"")</f>
        <v/>
      </c>
    </row>
    <row r="3597">
      <c r="A3597">
        <f>IFERROR(INDEX('Email Cleaner'!$B$2:$B$10001,MATCH(3596,'Email Cleaner'!$G$2:$G$10001,0)),"")</f>
        <v/>
      </c>
    </row>
    <row r="3598">
      <c r="A3598">
        <f>IFERROR(INDEX('Email Cleaner'!$B$2:$B$10001,MATCH(3597,'Email Cleaner'!$G$2:$G$10001,0)),"")</f>
        <v/>
      </c>
    </row>
    <row r="3599">
      <c r="A3599">
        <f>IFERROR(INDEX('Email Cleaner'!$B$2:$B$10001,MATCH(3598,'Email Cleaner'!$G$2:$G$10001,0)),"")</f>
        <v/>
      </c>
    </row>
    <row r="3600">
      <c r="A3600">
        <f>IFERROR(INDEX('Email Cleaner'!$B$2:$B$10001,MATCH(3599,'Email Cleaner'!$G$2:$G$10001,0)),"")</f>
        <v/>
      </c>
    </row>
    <row r="3601">
      <c r="A3601">
        <f>IFERROR(INDEX('Email Cleaner'!$B$2:$B$10001,MATCH(3600,'Email Cleaner'!$G$2:$G$10001,0)),"")</f>
        <v/>
      </c>
    </row>
    <row r="3602">
      <c r="A3602">
        <f>IFERROR(INDEX('Email Cleaner'!$B$2:$B$10001,MATCH(3601,'Email Cleaner'!$G$2:$G$10001,0)),"")</f>
        <v/>
      </c>
    </row>
    <row r="3603">
      <c r="A3603">
        <f>IFERROR(INDEX('Email Cleaner'!$B$2:$B$10001,MATCH(3602,'Email Cleaner'!$G$2:$G$10001,0)),"")</f>
        <v/>
      </c>
    </row>
    <row r="3604">
      <c r="A3604">
        <f>IFERROR(INDEX('Email Cleaner'!$B$2:$B$10001,MATCH(3603,'Email Cleaner'!$G$2:$G$10001,0)),"")</f>
        <v/>
      </c>
    </row>
    <row r="3605">
      <c r="A3605">
        <f>IFERROR(INDEX('Email Cleaner'!$B$2:$B$10001,MATCH(3604,'Email Cleaner'!$G$2:$G$10001,0)),"")</f>
        <v/>
      </c>
    </row>
    <row r="3606">
      <c r="A3606">
        <f>IFERROR(INDEX('Email Cleaner'!$B$2:$B$10001,MATCH(3605,'Email Cleaner'!$G$2:$G$10001,0)),"")</f>
        <v/>
      </c>
    </row>
    <row r="3607">
      <c r="A3607">
        <f>IFERROR(INDEX('Email Cleaner'!$B$2:$B$10001,MATCH(3606,'Email Cleaner'!$G$2:$G$10001,0)),"")</f>
        <v/>
      </c>
    </row>
    <row r="3608">
      <c r="A3608">
        <f>IFERROR(INDEX('Email Cleaner'!$B$2:$B$10001,MATCH(3607,'Email Cleaner'!$G$2:$G$10001,0)),"")</f>
        <v/>
      </c>
    </row>
    <row r="3609">
      <c r="A3609">
        <f>IFERROR(INDEX('Email Cleaner'!$B$2:$B$10001,MATCH(3608,'Email Cleaner'!$G$2:$G$10001,0)),"")</f>
        <v/>
      </c>
    </row>
    <row r="3610">
      <c r="A3610">
        <f>IFERROR(INDEX('Email Cleaner'!$B$2:$B$10001,MATCH(3609,'Email Cleaner'!$G$2:$G$10001,0)),"")</f>
        <v/>
      </c>
    </row>
    <row r="3611">
      <c r="A3611">
        <f>IFERROR(INDEX('Email Cleaner'!$B$2:$B$10001,MATCH(3610,'Email Cleaner'!$G$2:$G$10001,0)),"")</f>
        <v/>
      </c>
    </row>
    <row r="3612">
      <c r="A3612">
        <f>IFERROR(INDEX('Email Cleaner'!$B$2:$B$10001,MATCH(3611,'Email Cleaner'!$G$2:$G$10001,0)),"")</f>
        <v/>
      </c>
    </row>
    <row r="3613">
      <c r="A3613">
        <f>IFERROR(INDEX('Email Cleaner'!$B$2:$B$10001,MATCH(3612,'Email Cleaner'!$G$2:$G$10001,0)),"")</f>
        <v/>
      </c>
    </row>
    <row r="3614">
      <c r="A3614">
        <f>IFERROR(INDEX('Email Cleaner'!$B$2:$B$10001,MATCH(3613,'Email Cleaner'!$G$2:$G$10001,0)),"")</f>
        <v/>
      </c>
    </row>
    <row r="3615">
      <c r="A3615">
        <f>IFERROR(INDEX('Email Cleaner'!$B$2:$B$10001,MATCH(3614,'Email Cleaner'!$G$2:$G$10001,0)),"")</f>
        <v/>
      </c>
    </row>
    <row r="3616">
      <c r="A3616">
        <f>IFERROR(INDEX('Email Cleaner'!$B$2:$B$10001,MATCH(3615,'Email Cleaner'!$G$2:$G$10001,0)),"")</f>
        <v/>
      </c>
    </row>
    <row r="3617">
      <c r="A3617">
        <f>IFERROR(INDEX('Email Cleaner'!$B$2:$B$10001,MATCH(3616,'Email Cleaner'!$G$2:$G$10001,0)),"")</f>
        <v/>
      </c>
    </row>
    <row r="3618">
      <c r="A3618">
        <f>IFERROR(INDEX('Email Cleaner'!$B$2:$B$10001,MATCH(3617,'Email Cleaner'!$G$2:$G$10001,0)),"")</f>
        <v/>
      </c>
    </row>
    <row r="3619">
      <c r="A3619">
        <f>IFERROR(INDEX('Email Cleaner'!$B$2:$B$10001,MATCH(3618,'Email Cleaner'!$G$2:$G$10001,0)),"")</f>
        <v/>
      </c>
    </row>
    <row r="3620">
      <c r="A3620">
        <f>IFERROR(INDEX('Email Cleaner'!$B$2:$B$10001,MATCH(3619,'Email Cleaner'!$G$2:$G$10001,0)),"")</f>
        <v/>
      </c>
    </row>
    <row r="3621">
      <c r="A3621">
        <f>IFERROR(INDEX('Email Cleaner'!$B$2:$B$10001,MATCH(3620,'Email Cleaner'!$G$2:$G$10001,0)),"")</f>
        <v/>
      </c>
    </row>
    <row r="3622">
      <c r="A3622">
        <f>IFERROR(INDEX('Email Cleaner'!$B$2:$B$10001,MATCH(3621,'Email Cleaner'!$G$2:$G$10001,0)),"")</f>
        <v/>
      </c>
    </row>
    <row r="3623">
      <c r="A3623">
        <f>IFERROR(INDEX('Email Cleaner'!$B$2:$B$10001,MATCH(3622,'Email Cleaner'!$G$2:$G$10001,0)),"")</f>
        <v/>
      </c>
    </row>
    <row r="3624">
      <c r="A3624">
        <f>IFERROR(INDEX('Email Cleaner'!$B$2:$B$10001,MATCH(3623,'Email Cleaner'!$G$2:$G$10001,0)),"")</f>
        <v/>
      </c>
    </row>
    <row r="3625">
      <c r="A3625">
        <f>IFERROR(INDEX('Email Cleaner'!$B$2:$B$10001,MATCH(3624,'Email Cleaner'!$G$2:$G$10001,0)),"")</f>
        <v/>
      </c>
    </row>
    <row r="3626">
      <c r="A3626">
        <f>IFERROR(INDEX('Email Cleaner'!$B$2:$B$10001,MATCH(3625,'Email Cleaner'!$G$2:$G$10001,0)),"")</f>
        <v/>
      </c>
    </row>
    <row r="3627">
      <c r="A3627">
        <f>IFERROR(INDEX('Email Cleaner'!$B$2:$B$10001,MATCH(3626,'Email Cleaner'!$G$2:$G$10001,0)),"")</f>
        <v/>
      </c>
    </row>
    <row r="3628">
      <c r="A3628">
        <f>IFERROR(INDEX('Email Cleaner'!$B$2:$B$10001,MATCH(3627,'Email Cleaner'!$G$2:$G$10001,0)),"")</f>
        <v/>
      </c>
    </row>
    <row r="3629">
      <c r="A3629">
        <f>IFERROR(INDEX('Email Cleaner'!$B$2:$B$10001,MATCH(3628,'Email Cleaner'!$G$2:$G$10001,0)),"")</f>
        <v/>
      </c>
    </row>
    <row r="3630">
      <c r="A3630">
        <f>IFERROR(INDEX('Email Cleaner'!$B$2:$B$10001,MATCH(3629,'Email Cleaner'!$G$2:$G$10001,0)),"")</f>
        <v/>
      </c>
    </row>
    <row r="3631">
      <c r="A3631">
        <f>IFERROR(INDEX('Email Cleaner'!$B$2:$B$10001,MATCH(3630,'Email Cleaner'!$G$2:$G$10001,0)),"")</f>
        <v/>
      </c>
    </row>
    <row r="3632">
      <c r="A3632">
        <f>IFERROR(INDEX('Email Cleaner'!$B$2:$B$10001,MATCH(3631,'Email Cleaner'!$G$2:$G$10001,0)),"")</f>
        <v/>
      </c>
    </row>
    <row r="3633">
      <c r="A3633">
        <f>IFERROR(INDEX('Email Cleaner'!$B$2:$B$10001,MATCH(3632,'Email Cleaner'!$G$2:$G$10001,0)),"")</f>
        <v/>
      </c>
    </row>
    <row r="3634">
      <c r="A3634">
        <f>IFERROR(INDEX('Email Cleaner'!$B$2:$B$10001,MATCH(3633,'Email Cleaner'!$G$2:$G$10001,0)),"")</f>
        <v/>
      </c>
    </row>
    <row r="3635">
      <c r="A3635">
        <f>IFERROR(INDEX('Email Cleaner'!$B$2:$B$10001,MATCH(3634,'Email Cleaner'!$G$2:$G$10001,0)),"")</f>
        <v/>
      </c>
    </row>
    <row r="3636">
      <c r="A3636">
        <f>IFERROR(INDEX('Email Cleaner'!$B$2:$B$10001,MATCH(3635,'Email Cleaner'!$G$2:$G$10001,0)),"")</f>
        <v/>
      </c>
    </row>
    <row r="3637">
      <c r="A3637">
        <f>IFERROR(INDEX('Email Cleaner'!$B$2:$B$10001,MATCH(3636,'Email Cleaner'!$G$2:$G$10001,0)),"")</f>
        <v/>
      </c>
    </row>
    <row r="3638">
      <c r="A3638">
        <f>IFERROR(INDEX('Email Cleaner'!$B$2:$B$10001,MATCH(3637,'Email Cleaner'!$G$2:$G$10001,0)),"")</f>
        <v/>
      </c>
    </row>
    <row r="3639">
      <c r="A3639">
        <f>IFERROR(INDEX('Email Cleaner'!$B$2:$B$10001,MATCH(3638,'Email Cleaner'!$G$2:$G$10001,0)),"")</f>
        <v/>
      </c>
    </row>
    <row r="3640">
      <c r="A3640">
        <f>IFERROR(INDEX('Email Cleaner'!$B$2:$B$10001,MATCH(3639,'Email Cleaner'!$G$2:$G$10001,0)),"")</f>
        <v/>
      </c>
    </row>
    <row r="3641">
      <c r="A3641">
        <f>IFERROR(INDEX('Email Cleaner'!$B$2:$B$10001,MATCH(3640,'Email Cleaner'!$G$2:$G$10001,0)),"")</f>
        <v/>
      </c>
    </row>
    <row r="3642">
      <c r="A3642">
        <f>IFERROR(INDEX('Email Cleaner'!$B$2:$B$10001,MATCH(3641,'Email Cleaner'!$G$2:$G$10001,0)),"")</f>
        <v/>
      </c>
    </row>
    <row r="3643">
      <c r="A3643">
        <f>IFERROR(INDEX('Email Cleaner'!$B$2:$B$10001,MATCH(3642,'Email Cleaner'!$G$2:$G$10001,0)),"")</f>
        <v/>
      </c>
    </row>
    <row r="3644">
      <c r="A3644">
        <f>IFERROR(INDEX('Email Cleaner'!$B$2:$B$10001,MATCH(3643,'Email Cleaner'!$G$2:$G$10001,0)),"")</f>
        <v/>
      </c>
    </row>
    <row r="3645">
      <c r="A3645">
        <f>IFERROR(INDEX('Email Cleaner'!$B$2:$B$10001,MATCH(3644,'Email Cleaner'!$G$2:$G$10001,0)),"")</f>
        <v/>
      </c>
    </row>
    <row r="3646">
      <c r="A3646">
        <f>IFERROR(INDEX('Email Cleaner'!$B$2:$B$10001,MATCH(3645,'Email Cleaner'!$G$2:$G$10001,0)),"")</f>
        <v/>
      </c>
    </row>
    <row r="3647">
      <c r="A3647">
        <f>IFERROR(INDEX('Email Cleaner'!$B$2:$B$10001,MATCH(3646,'Email Cleaner'!$G$2:$G$10001,0)),"")</f>
        <v/>
      </c>
    </row>
    <row r="3648">
      <c r="A3648">
        <f>IFERROR(INDEX('Email Cleaner'!$B$2:$B$10001,MATCH(3647,'Email Cleaner'!$G$2:$G$10001,0)),"")</f>
        <v/>
      </c>
    </row>
    <row r="3649">
      <c r="A3649">
        <f>IFERROR(INDEX('Email Cleaner'!$B$2:$B$10001,MATCH(3648,'Email Cleaner'!$G$2:$G$10001,0)),"")</f>
        <v/>
      </c>
    </row>
    <row r="3650">
      <c r="A3650">
        <f>IFERROR(INDEX('Email Cleaner'!$B$2:$B$10001,MATCH(3649,'Email Cleaner'!$G$2:$G$10001,0)),"")</f>
        <v/>
      </c>
    </row>
    <row r="3651">
      <c r="A3651">
        <f>IFERROR(INDEX('Email Cleaner'!$B$2:$B$10001,MATCH(3650,'Email Cleaner'!$G$2:$G$10001,0)),"")</f>
        <v/>
      </c>
    </row>
    <row r="3652">
      <c r="A3652">
        <f>IFERROR(INDEX('Email Cleaner'!$B$2:$B$10001,MATCH(3651,'Email Cleaner'!$G$2:$G$10001,0)),"")</f>
        <v/>
      </c>
    </row>
    <row r="3653">
      <c r="A3653">
        <f>IFERROR(INDEX('Email Cleaner'!$B$2:$B$10001,MATCH(3652,'Email Cleaner'!$G$2:$G$10001,0)),"")</f>
        <v/>
      </c>
    </row>
    <row r="3654">
      <c r="A3654">
        <f>IFERROR(INDEX('Email Cleaner'!$B$2:$B$10001,MATCH(3653,'Email Cleaner'!$G$2:$G$10001,0)),"")</f>
        <v/>
      </c>
    </row>
    <row r="3655">
      <c r="A3655">
        <f>IFERROR(INDEX('Email Cleaner'!$B$2:$B$10001,MATCH(3654,'Email Cleaner'!$G$2:$G$10001,0)),"")</f>
        <v/>
      </c>
    </row>
    <row r="3656">
      <c r="A3656">
        <f>IFERROR(INDEX('Email Cleaner'!$B$2:$B$10001,MATCH(3655,'Email Cleaner'!$G$2:$G$10001,0)),"")</f>
        <v/>
      </c>
    </row>
    <row r="3657">
      <c r="A3657">
        <f>IFERROR(INDEX('Email Cleaner'!$B$2:$B$10001,MATCH(3656,'Email Cleaner'!$G$2:$G$10001,0)),"")</f>
        <v/>
      </c>
    </row>
    <row r="3658">
      <c r="A3658">
        <f>IFERROR(INDEX('Email Cleaner'!$B$2:$B$10001,MATCH(3657,'Email Cleaner'!$G$2:$G$10001,0)),"")</f>
        <v/>
      </c>
    </row>
    <row r="3659">
      <c r="A3659">
        <f>IFERROR(INDEX('Email Cleaner'!$B$2:$B$10001,MATCH(3658,'Email Cleaner'!$G$2:$G$10001,0)),"")</f>
        <v/>
      </c>
    </row>
    <row r="3660">
      <c r="A3660">
        <f>IFERROR(INDEX('Email Cleaner'!$B$2:$B$10001,MATCH(3659,'Email Cleaner'!$G$2:$G$10001,0)),"")</f>
        <v/>
      </c>
    </row>
    <row r="3661">
      <c r="A3661">
        <f>IFERROR(INDEX('Email Cleaner'!$B$2:$B$10001,MATCH(3660,'Email Cleaner'!$G$2:$G$10001,0)),"")</f>
        <v/>
      </c>
    </row>
    <row r="3662">
      <c r="A3662">
        <f>IFERROR(INDEX('Email Cleaner'!$B$2:$B$10001,MATCH(3661,'Email Cleaner'!$G$2:$G$10001,0)),"")</f>
        <v/>
      </c>
    </row>
    <row r="3663">
      <c r="A3663">
        <f>IFERROR(INDEX('Email Cleaner'!$B$2:$B$10001,MATCH(3662,'Email Cleaner'!$G$2:$G$10001,0)),"")</f>
        <v/>
      </c>
    </row>
    <row r="3664">
      <c r="A3664">
        <f>IFERROR(INDEX('Email Cleaner'!$B$2:$B$10001,MATCH(3663,'Email Cleaner'!$G$2:$G$10001,0)),"")</f>
        <v/>
      </c>
    </row>
    <row r="3665">
      <c r="A3665">
        <f>IFERROR(INDEX('Email Cleaner'!$B$2:$B$10001,MATCH(3664,'Email Cleaner'!$G$2:$G$10001,0)),"")</f>
        <v/>
      </c>
    </row>
    <row r="3666">
      <c r="A3666">
        <f>IFERROR(INDEX('Email Cleaner'!$B$2:$B$10001,MATCH(3665,'Email Cleaner'!$G$2:$G$10001,0)),"")</f>
        <v/>
      </c>
    </row>
    <row r="3667">
      <c r="A3667">
        <f>IFERROR(INDEX('Email Cleaner'!$B$2:$B$10001,MATCH(3666,'Email Cleaner'!$G$2:$G$10001,0)),"")</f>
        <v/>
      </c>
    </row>
    <row r="3668">
      <c r="A3668">
        <f>IFERROR(INDEX('Email Cleaner'!$B$2:$B$10001,MATCH(3667,'Email Cleaner'!$G$2:$G$10001,0)),"")</f>
        <v/>
      </c>
    </row>
    <row r="3669">
      <c r="A3669">
        <f>IFERROR(INDEX('Email Cleaner'!$B$2:$B$10001,MATCH(3668,'Email Cleaner'!$G$2:$G$10001,0)),"")</f>
        <v/>
      </c>
    </row>
    <row r="3670">
      <c r="A3670">
        <f>IFERROR(INDEX('Email Cleaner'!$B$2:$B$10001,MATCH(3669,'Email Cleaner'!$G$2:$G$10001,0)),"")</f>
        <v/>
      </c>
    </row>
    <row r="3671">
      <c r="A3671">
        <f>IFERROR(INDEX('Email Cleaner'!$B$2:$B$10001,MATCH(3670,'Email Cleaner'!$G$2:$G$10001,0)),"")</f>
        <v/>
      </c>
    </row>
    <row r="3672">
      <c r="A3672">
        <f>IFERROR(INDEX('Email Cleaner'!$B$2:$B$10001,MATCH(3671,'Email Cleaner'!$G$2:$G$10001,0)),"")</f>
        <v/>
      </c>
    </row>
    <row r="3673">
      <c r="A3673">
        <f>IFERROR(INDEX('Email Cleaner'!$B$2:$B$10001,MATCH(3672,'Email Cleaner'!$G$2:$G$10001,0)),"")</f>
        <v/>
      </c>
    </row>
    <row r="3674">
      <c r="A3674">
        <f>IFERROR(INDEX('Email Cleaner'!$B$2:$B$10001,MATCH(3673,'Email Cleaner'!$G$2:$G$10001,0)),"")</f>
        <v/>
      </c>
    </row>
    <row r="3675">
      <c r="A3675">
        <f>IFERROR(INDEX('Email Cleaner'!$B$2:$B$10001,MATCH(3674,'Email Cleaner'!$G$2:$G$10001,0)),"")</f>
        <v/>
      </c>
    </row>
    <row r="3676">
      <c r="A3676">
        <f>IFERROR(INDEX('Email Cleaner'!$B$2:$B$10001,MATCH(3675,'Email Cleaner'!$G$2:$G$10001,0)),"")</f>
        <v/>
      </c>
    </row>
    <row r="3677">
      <c r="A3677">
        <f>IFERROR(INDEX('Email Cleaner'!$B$2:$B$10001,MATCH(3676,'Email Cleaner'!$G$2:$G$10001,0)),"")</f>
        <v/>
      </c>
    </row>
    <row r="3678">
      <c r="A3678">
        <f>IFERROR(INDEX('Email Cleaner'!$B$2:$B$10001,MATCH(3677,'Email Cleaner'!$G$2:$G$10001,0)),"")</f>
        <v/>
      </c>
    </row>
    <row r="3679">
      <c r="A3679">
        <f>IFERROR(INDEX('Email Cleaner'!$B$2:$B$10001,MATCH(3678,'Email Cleaner'!$G$2:$G$10001,0)),"")</f>
        <v/>
      </c>
    </row>
    <row r="3680">
      <c r="A3680">
        <f>IFERROR(INDEX('Email Cleaner'!$B$2:$B$10001,MATCH(3679,'Email Cleaner'!$G$2:$G$10001,0)),"")</f>
        <v/>
      </c>
    </row>
    <row r="3681">
      <c r="A3681">
        <f>IFERROR(INDEX('Email Cleaner'!$B$2:$B$10001,MATCH(3680,'Email Cleaner'!$G$2:$G$10001,0)),"")</f>
        <v/>
      </c>
    </row>
    <row r="3682">
      <c r="A3682">
        <f>IFERROR(INDEX('Email Cleaner'!$B$2:$B$10001,MATCH(3681,'Email Cleaner'!$G$2:$G$10001,0)),"")</f>
        <v/>
      </c>
    </row>
    <row r="3683">
      <c r="A3683">
        <f>IFERROR(INDEX('Email Cleaner'!$B$2:$B$10001,MATCH(3682,'Email Cleaner'!$G$2:$G$10001,0)),"")</f>
        <v/>
      </c>
    </row>
    <row r="3684">
      <c r="A3684">
        <f>IFERROR(INDEX('Email Cleaner'!$B$2:$B$10001,MATCH(3683,'Email Cleaner'!$G$2:$G$10001,0)),"")</f>
        <v/>
      </c>
    </row>
    <row r="3685">
      <c r="A3685">
        <f>IFERROR(INDEX('Email Cleaner'!$B$2:$B$10001,MATCH(3684,'Email Cleaner'!$G$2:$G$10001,0)),"")</f>
        <v/>
      </c>
    </row>
    <row r="3686">
      <c r="A3686">
        <f>IFERROR(INDEX('Email Cleaner'!$B$2:$B$10001,MATCH(3685,'Email Cleaner'!$G$2:$G$10001,0)),"")</f>
        <v/>
      </c>
    </row>
    <row r="3687">
      <c r="A3687">
        <f>IFERROR(INDEX('Email Cleaner'!$B$2:$B$10001,MATCH(3686,'Email Cleaner'!$G$2:$G$10001,0)),"")</f>
        <v/>
      </c>
    </row>
    <row r="3688">
      <c r="A3688">
        <f>IFERROR(INDEX('Email Cleaner'!$B$2:$B$10001,MATCH(3687,'Email Cleaner'!$G$2:$G$10001,0)),"")</f>
        <v/>
      </c>
    </row>
    <row r="3689">
      <c r="A3689">
        <f>IFERROR(INDEX('Email Cleaner'!$B$2:$B$10001,MATCH(3688,'Email Cleaner'!$G$2:$G$10001,0)),"")</f>
        <v/>
      </c>
    </row>
    <row r="3690">
      <c r="A3690">
        <f>IFERROR(INDEX('Email Cleaner'!$B$2:$B$10001,MATCH(3689,'Email Cleaner'!$G$2:$G$10001,0)),"")</f>
        <v/>
      </c>
    </row>
    <row r="3691">
      <c r="A3691">
        <f>IFERROR(INDEX('Email Cleaner'!$B$2:$B$10001,MATCH(3690,'Email Cleaner'!$G$2:$G$10001,0)),"")</f>
        <v/>
      </c>
    </row>
    <row r="3692">
      <c r="A3692">
        <f>IFERROR(INDEX('Email Cleaner'!$B$2:$B$10001,MATCH(3691,'Email Cleaner'!$G$2:$G$10001,0)),"")</f>
        <v/>
      </c>
    </row>
    <row r="3693">
      <c r="A3693">
        <f>IFERROR(INDEX('Email Cleaner'!$B$2:$B$10001,MATCH(3692,'Email Cleaner'!$G$2:$G$10001,0)),"")</f>
        <v/>
      </c>
    </row>
    <row r="3694">
      <c r="A3694">
        <f>IFERROR(INDEX('Email Cleaner'!$B$2:$B$10001,MATCH(3693,'Email Cleaner'!$G$2:$G$10001,0)),"")</f>
        <v/>
      </c>
    </row>
    <row r="3695">
      <c r="A3695">
        <f>IFERROR(INDEX('Email Cleaner'!$B$2:$B$10001,MATCH(3694,'Email Cleaner'!$G$2:$G$10001,0)),"")</f>
        <v/>
      </c>
    </row>
    <row r="3696">
      <c r="A3696">
        <f>IFERROR(INDEX('Email Cleaner'!$B$2:$B$10001,MATCH(3695,'Email Cleaner'!$G$2:$G$10001,0)),"")</f>
        <v/>
      </c>
    </row>
    <row r="3697">
      <c r="A3697">
        <f>IFERROR(INDEX('Email Cleaner'!$B$2:$B$10001,MATCH(3696,'Email Cleaner'!$G$2:$G$10001,0)),"")</f>
        <v/>
      </c>
    </row>
    <row r="3698">
      <c r="A3698">
        <f>IFERROR(INDEX('Email Cleaner'!$B$2:$B$10001,MATCH(3697,'Email Cleaner'!$G$2:$G$10001,0)),"")</f>
        <v/>
      </c>
    </row>
    <row r="3699">
      <c r="A3699">
        <f>IFERROR(INDEX('Email Cleaner'!$B$2:$B$10001,MATCH(3698,'Email Cleaner'!$G$2:$G$10001,0)),"")</f>
        <v/>
      </c>
    </row>
    <row r="3700">
      <c r="A3700">
        <f>IFERROR(INDEX('Email Cleaner'!$B$2:$B$10001,MATCH(3699,'Email Cleaner'!$G$2:$G$10001,0)),"")</f>
        <v/>
      </c>
    </row>
    <row r="3701">
      <c r="A3701">
        <f>IFERROR(INDEX('Email Cleaner'!$B$2:$B$10001,MATCH(3700,'Email Cleaner'!$G$2:$G$10001,0)),"")</f>
        <v/>
      </c>
    </row>
    <row r="3702">
      <c r="A3702">
        <f>IFERROR(INDEX('Email Cleaner'!$B$2:$B$10001,MATCH(3701,'Email Cleaner'!$G$2:$G$10001,0)),"")</f>
        <v/>
      </c>
    </row>
    <row r="3703">
      <c r="A3703">
        <f>IFERROR(INDEX('Email Cleaner'!$B$2:$B$10001,MATCH(3702,'Email Cleaner'!$G$2:$G$10001,0)),"")</f>
        <v/>
      </c>
    </row>
    <row r="3704">
      <c r="A3704">
        <f>IFERROR(INDEX('Email Cleaner'!$B$2:$B$10001,MATCH(3703,'Email Cleaner'!$G$2:$G$10001,0)),"")</f>
        <v/>
      </c>
    </row>
    <row r="3705">
      <c r="A3705">
        <f>IFERROR(INDEX('Email Cleaner'!$B$2:$B$10001,MATCH(3704,'Email Cleaner'!$G$2:$G$10001,0)),"")</f>
        <v/>
      </c>
    </row>
    <row r="3706">
      <c r="A3706">
        <f>IFERROR(INDEX('Email Cleaner'!$B$2:$B$10001,MATCH(3705,'Email Cleaner'!$G$2:$G$10001,0)),"")</f>
        <v/>
      </c>
    </row>
    <row r="3707">
      <c r="A3707">
        <f>IFERROR(INDEX('Email Cleaner'!$B$2:$B$10001,MATCH(3706,'Email Cleaner'!$G$2:$G$10001,0)),"")</f>
        <v/>
      </c>
    </row>
    <row r="3708">
      <c r="A3708">
        <f>IFERROR(INDEX('Email Cleaner'!$B$2:$B$10001,MATCH(3707,'Email Cleaner'!$G$2:$G$10001,0)),"")</f>
        <v/>
      </c>
    </row>
    <row r="3709">
      <c r="A3709">
        <f>IFERROR(INDEX('Email Cleaner'!$B$2:$B$10001,MATCH(3708,'Email Cleaner'!$G$2:$G$10001,0)),"")</f>
        <v/>
      </c>
    </row>
    <row r="3710">
      <c r="A3710">
        <f>IFERROR(INDEX('Email Cleaner'!$B$2:$B$10001,MATCH(3709,'Email Cleaner'!$G$2:$G$10001,0)),"")</f>
        <v/>
      </c>
    </row>
    <row r="3711">
      <c r="A3711">
        <f>IFERROR(INDEX('Email Cleaner'!$B$2:$B$10001,MATCH(3710,'Email Cleaner'!$G$2:$G$10001,0)),"")</f>
        <v/>
      </c>
    </row>
    <row r="3712">
      <c r="A3712">
        <f>IFERROR(INDEX('Email Cleaner'!$B$2:$B$10001,MATCH(3711,'Email Cleaner'!$G$2:$G$10001,0)),"")</f>
        <v/>
      </c>
    </row>
    <row r="3713">
      <c r="A3713">
        <f>IFERROR(INDEX('Email Cleaner'!$B$2:$B$10001,MATCH(3712,'Email Cleaner'!$G$2:$G$10001,0)),"")</f>
        <v/>
      </c>
    </row>
    <row r="3714">
      <c r="A3714">
        <f>IFERROR(INDEX('Email Cleaner'!$B$2:$B$10001,MATCH(3713,'Email Cleaner'!$G$2:$G$10001,0)),"")</f>
        <v/>
      </c>
    </row>
    <row r="3715">
      <c r="A3715">
        <f>IFERROR(INDEX('Email Cleaner'!$B$2:$B$10001,MATCH(3714,'Email Cleaner'!$G$2:$G$10001,0)),"")</f>
        <v/>
      </c>
    </row>
    <row r="3716">
      <c r="A3716">
        <f>IFERROR(INDEX('Email Cleaner'!$B$2:$B$10001,MATCH(3715,'Email Cleaner'!$G$2:$G$10001,0)),"")</f>
        <v/>
      </c>
    </row>
    <row r="3717">
      <c r="A3717">
        <f>IFERROR(INDEX('Email Cleaner'!$B$2:$B$10001,MATCH(3716,'Email Cleaner'!$G$2:$G$10001,0)),"")</f>
        <v/>
      </c>
    </row>
    <row r="3718">
      <c r="A3718">
        <f>IFERROR(INDEX('Email Cleaner'!$B$2:$B$10001,MATCH(3717,'Email Cleaner'!$G$2:$G$10001,0)),"")</f>
        <v/>
      </c>
    </row>
    <row r="3719">
      <c r="A3719">
        <f>IFERROR(INDEX('Email Cleaner'!$B$2:$B$10001,MATCH(3718,'Email Cleaner'!$G$2:$G$10001,0)),"")</f>
        <v/>
      </c>
    </row>
    <row r="3720">
      <c r="A3720">
        <f>IFERROR(INDEX('Email Cleaner'!$B$2:$B$10001,MATCH(3719,'Email Cleaner'!$G$2:$G$10001,0)),"")</f>
        <v/>
      </c>
    </row>
    <row r="3721">
      <c r="A3721">
        <f>IFERROR(INDEX('Email Cleaner'!$B$2:$B$10001,MATCH(3720,'Email Cleaner'!$G$2:$G$10001,0)),"")</f>
        <v/>
      </c>
    </row>
    <row r="3722">
      <c r="A3722">
        <f>IFERROR(INDEX('Email Cleaner'!$B$2:$B$10001,MATCH(3721,'Email Cleaner'!$G$2:$G$10001,0)),"")</f>
        <v/>
      </c>
    </row>
    <row r="3723">
      <c r="A3723">
        <f>IFERROR(INDEX('Email Cleaner'!$B$2:$B$10001,MATCH(3722,'Email Cleaner'!$G$2:$G$10001,0)),"")</f>
        <v/>
      </c>
    </row>
    <row r="3724">
      <c r="A3724">
        <f>IFERROR(INDEX('Email Cleaner'!$B$2:$B$10001,MATCH(3723,'Email Cleaner'!$G$2:$G$10001,0)),"")</f>
        <v/>
      </c>
    </row>
    <row r="3725">
      <c r="A3725">
        <f>IFERROR(INDEX('Email Cleaner'!$B$2:$B$10001,MATCH(3724,'Email Cleaner'!$G$2:$G$10001,0)),"")</f>
        <v/>
      </c>
    </row>
    <row r="3726">
      <c r="A3726">
        <f>IFERROR(INDEX('Email Cleaner'!$B$2:$B$10001,MATCH(3725,'Email Cleaner'!$G$2:$G$10001,0)),"")</f>
        <v/>
      </c>
    </row>
    <row r="3727">
      <c r="A3727">
        <f>IFERROR(INDEX('Email Cleaner'!$B$2:$B$10001,MATCH(3726,'Email Cleaner'!$G$2:$G$10001,0)),"")</f>
        <v/>
      </c>
    </row>
    <row r="3728">
      <c r="A3728">
        <f>IFERROR(INDEX('Email Cleaner'!$B$2:$B$10001,MATCH(3727,'Email Cleaner'!$G$2:$G$10001,0)),"")</f>
        <v/>
      </c>
    </row>
    <row r="3729">
      <c r="A3729">
        <f>IFERROR(INDEX('Email Cleaner'!$B$2:$B$10001,MATCH(3728,'Email Cleaner'!$G$2:$G$10001,0)),"")</f>
        <v/>
      </c>
    </row>
    <row r="3730">
      <c r="A3730">
        <f>IFERROR(INDEX('Email Cleaner'!$B$2:$B$10001,MATCH(3729,'Email Cleaner'!$G$2:$G$10001,0)),"")</f>
        <v/>
      </c>
    </row>
    <row r="3731">
      <c r="A3731">
        <f>IFERROR(INDEX('Email Cleaner'!$B$2:$B$10001,MATCH(3730,'Email Cleaner'!$G$2:$G$10001,0)),"")</f>
        <v/>
      </c>
    </row>
    <row r="3732">
      <c r="A3732">
        <f>IFERROR(INDEX('Email Cleaner'!$B$2:$B$10001,MATCH(3731,'Email Cleaner'!$G$2:$G$10001,0)),"")</f>
        <v/>
      </c>
    </row>
    <row r="3733">
      <c r="A3733">
        <f>IFERROR(INDEX('Email Cleaner'!$B$2:$B$10001,MATCH(3732,'Email Cleaner'!$G$2:$G$10001,0)),"")</f>
        <v/>
      </c>
    </row>
    <row r="3734">
      <c r="A3734">
        <f>IFERROR(INDEX('Email Cleaner'!$B$2:$B$10001,MATCH(3733,'Email Cleaner'!$G$2:$G$10001,0)),"")</f>
        <v/>
      </c>
    </row>
    <row r="3735">
      <c r="A3735">
        <f>IFERROR(INDEX('Email Cleaner'!$B$2:$B$10001,MATCH(3734,'Email Cleaner'!$G$2:$G$10001,0)),"")</f>
        <v/>
      </c>
    </row>
    <row r="3736">
      <c r="A3736">
        <f>IFERROR(INDEX('Email Cleaner'!$B$2:$B$10001,MATCH(3735,'Email Cleaner'!$G$2:$G$10001,0)),"")</f>
        <v/>
      </c>
    </row>
    <row r="3737">
      <c r="A3737">
        <f>IFERROR(INDEX('Email Cleaner'!$B$2:$B$10001,MATCH(3736,'Email Cleaner'!$G$2:$G$10001,0)),"")</f>
        <v/>
      </c>
    </row>
    <row r="3738">
      <c r="A3738">
        <f>IFERROR(INDEX('Email Cleaner'!$B$2:$B$10001,MATCH(3737,'Email Cleaner'!$G$2:$G$10001,0)),"")</f>
        <v/>
      </c>
    </row>
    <row r="3739">
      <c r="A3739">
        <f>IFERROR(INDEX('Email Cleaner'!$B$2:$B$10001,MATCH(3738,'Email Cleaner'!$G$2:$G$10001,0)),"")</f>
        <v/>
      </c>
    </row>
    <row r="3740">
      <c r="A3740">
        <f>IFERROR(INDEX('Email Cleaner'!$B$2:$B$10001,MATCH(3739,'Email Cleaner'!$G$2:$G$10001,0)),"")</f>
        <v/>
      </c>
    </row>
    <row r="3741">
      <c r="A3741">
        <f>IFERROR(INDEX('Email Cleaner'!$B$2:$B$10001,MATCH(3740,'Email Cleaner'!$G$2:$G$10001,0)),"")</f>
        <v/>
      </c>
    </row>
    <row r="3742">
      <c r="A3742">
        <f>IFERROR(INDEX('Email Cleaner'!$B$2:$B$10001,MATCH(3741,'Email Cleaner'!$G$2:$G$10001,0)),"")</f>
        <v/>
      </c>
    </row>
    <row r="3743">
      <c r="A3743">
        <f>IFERROR(INDEX('Email Cleaner'!$B$2:$B$10001,MATCH(3742,'Email Cleaner'!$G$2:$G$10001,0)),"")</f>
        <v/>
      </c>
    </row>
    <row r="3744">
      <c r="A3744">
        <f>IFERROR(INDEX('Email Cleaner'!$B$2:$B$10001,MATCH(3743,'Email Cleaner'!$G$2:$G$10001,0)),"")</f>
        <v/>
      </c>
    </row>
    <row r="3745">
      <c r="A3745">
        <f>IFERROR(INDEX('Email Cleaner'!$B$2:$B$10001,MATCH(3744,'Email Cleaner'!$G$2:$G$10001,0)),"")</f>
        <v/>
      </c>
    </row>
    <row r="3746">
      <c r="A3746">
        <f>IFERROR(INDEX('Email Cleaner'!$B$2:$B$10001,MATCH(3745,'Email Cleaner'!$G$2:$G$10001,0)),"")</f>
        <v/>
      </c>
    </row>
    <row r="3747">
      <c r="A3747">
        <f>IFERROR(INDEX('Email Cleaner'!$B$2:$B$10001,MATCH(3746,'Email Cleaner'!$G$2:$G$10001,0)),"")</f>
        <v/>
      </c>
    </row>
    <row r="3748">
      <c r="A3748">
        <f>IFERROR(INDEX('Email Cleaner'!$B$2:$B$10001,MATCH(3747,'Email Cleaner'!$G$2:$G$10001,0)),"")</f>
        <v/>
      </c>
    </row>
    <row r="3749">
      <c r="A3749">
        <f>IFERROR(INDEX('Email Cleaner'!$B$2:$B$10001,MATCH(3748,'Email Cleaner'!$G$2:$G$10001,0)),"")</f>
        <v/>
      </c>
    </row>
    <row r="3750">
      <c r="A3750">
        <f>IFERROR(INDEX('Email Cleaner'!$B$2:$B$10001,MATCH(3749,'Email Cleaner'!$G$2:$G$10001,0)),"")</f>
        <v/>
      </c>
    </row>
    <row r="3751">
      <c r="A3751">
        <f>IFERROR(INDEX('Email Cleaner'!$B$2:$B$10001,MATCH(3750,'Email Cleaner'!$G$2:$G$10001,0)),"")</f>
        <v/>
      </c>
    </row>
    <row r="3752">
      <c r="A3752">
        <f>IFERROR(INDEX('Email Cleaner'!$B$2:$B$10001,MATCH(3751,'Email Cleaner'!$G$2:$G$10001,0)),"")</f>
        <v/>
      </c>
    </row>
    <row r="3753">
      <c r="A3753">
        <f>IFERROR(INDEX('Email Cleaner'!$B$2:$B$10001,MATCH(3752,'Email Cleaner'!$G$2:$G$10001,0)),"")</f>
        <v/>
      </c>
    </row>
    <row r="3754">
      <c r="A3754">
        <f>IFERROR(INDEX('Email Cleaner'!$B$2:$B$10001,MATCH(3753,'Email Cleaner'!$G$2:$G$10001,0)),"")</f>
        <v/>
      </c>
    </row>
    <row r="3755">
      <c r="A3755">
        <f>IFERROR(INDEX('Email Cleaner'!$B$2:$B$10001,MATCH(3754,'Email Cleaner'!$G$2:$G$10001,0)),"")</f>
        <v/>
      </c>
    </row>
    <row r="3756">
      <c r="A3756">
        <f>IFERROR(INDEX('Email Cleaner'!$B$2:$B$10001,MATCH(3755,'Email Cleaner'!$G$2:$G$10001,0)),"")</f>
        <v/>
      </c>
    </row>
    <row r="3757">
      <c r="A3757">
        <f>IFERROR(INDEX('Email Cleaner'!$B$2:$B$10001,MATCH(3756,'Email Cleaner'!$G$2:$G$10001,0)),"")</f>
        <v/>
      </c>
    </row>
    <row r="3758">
      <c r="A3758">
        <f>IFERROR(INDEX('Email Cleaner'!$B$2:$B$10001,MATCH(3757,'Email Cleaner'!$G$2:$G$10001,0)),"")</f>
        <v/>
      </c>
    </row>
    <row r="3759">
      <c r="A3759">
        <f>IFERROR(INDEX('Email Cleaner'!$B$2:$B$10001,MATCH(3758,'Email Cleaner'!$G$2:$G$10001,0)),"")</f>
        <v/>
      </c>
    </row>
    <row r="3760">
      <c r="A3760">
        <f>IFERROR(INDEX('Email Cleaner'!$B$2:$B$10001,MATCH(3759,'Email Cleaner'!$G$2:$G$10001,0)),"")</f>
        <v/>
      </c>
    </row>
    <row r="3761">
      <c r="A3761">
        <f>IFERROR(INDEX('Email Cleaner'!$B$2:$B$10001,MATCH(3760,'Email Cleaner'!$G$2:$G$10001,0)),"")</f>
        <v/>
      </c>
    </row>
    <row r="3762">
      <c r="A3762">
        <f>IFERROR(INDEX('Email Cleaner'!$B$2:$B$10001,MATCH(3761,'Email Cleaner'!$G$2:$G$10001,0)),"")</f>
        <v/>
      </c>
    </row>
    <row r="3763">
      <c r="A3763">
        <f>IFERROR(INDEX('Email Cleaner'!$B$2:$B$10001,MATCH(3762,'Email Cleaner'!$G$2:$G$10001,0)),"")</f>
        <v/>
      </c>
    </row>
    <row r="3764">
      <c r="A3764">
        <f>IFERROR(INDEX('Email Cleaner'!$B$2:$B$10001,MATCH(3763,'Email Cleaner'!$G$2:$G$10001,0)),"")</f>
        <v/>
      </c>
    </row>
    <row r="3765">
      <c r="A3765">
        <f>IFERROR(INDEX('Email Cleaner'!$B$2:$B$10001,MATCH(3764,'Email Cleaner'!$G$2:$G$10001,0)),"")</f>
        <v/>
      </c>
    </row>
    <row r="3766">
      <c r="A3766">
        <f>IFERROR(INDEX('Email Cleaner'!$B$2:$B$10001,MATCH(3765,'Email Cleaner'!$G$2:$G$10001,0)),"")</f>
        <v/>
      </c>
    </row>
    <row r="3767">
      <c r="A3767">
        <f>IFERROR(INDEX('Email Cleaner'!$B$2:$B$10001,MATCH(3766,'Email Cleaner'!$G$2:$G$10001,0)),"")</f>
        <v/>
      </c>
    </row>
    <row r="3768">
      <c r="A3768">
        <f>IFERROR(INDEX('Email Cleaner'!$B$2:$B$10001,MATCH(3767,'Email Cleaner'!$G$2:$G$10001,0)),"")</f>
        <v/>
      </c>
    </row>
    <row r="3769">
      <c r="A3769">
        <f>IFERROR(INDEX('Email Cleaner'!$B$2:$B$10001,MATCH(3768,'Email Cleaner'!$G$2:$G$10001,0)),"")</f>
        <v/>
      </c>
    </row>
    <row r="3770">
      <c r="A3770">
        <f>IFERROR(INDEX('Email Cleaner'!$B$2:$B$10001,MATCH(3769,'Email Cleaner'!$G$2:$G$10001,0)),"")</f>
        <v/>
      </c>
    </row>
    <row r="3771">
      <c r="A3771">
        <f>IFERROR(INDEX('Email Cleaner'!$B$2:$B$10001,MATCH(3770,'Email Cleaner'!$G$2:$G$10001,0)),"")</f>
        <v/>
      </c>
    </row>
    <row r="3772">
      <c r="A3772">
        <f>IFERROR(INDEX('Email Cleaner'!$B$2:$B$10001,MATCH(3771,'Email Cleaner'!$G$2:$G$10001,0)),"")</f>
        <v/>
      </c>
    </row>
    <row r="3773">
      <c r="A3773">
        <f>IFERROR(INDEX('Email Cleaner'!$B$2:$B$10001,MATCH(3772,'Email Cleaner'!$G$2:$G$10001,0)),"")</f>
        <v/>
      </c>
    </row>
    <row r="3774">
      <c r="A3774">
        <f>IFERROR(INDEX('Email Cleaner'!$B$2:$B$10001,MATCH(3773,'Email Cleaner'!$G$2:$G$10001,0)),"")</f>
        <v/>
      </c>
    </row>
    <row r="3775">
      <c r="A3775">
        <f>IFERROR(INDEX('Email Cleaner'!$B$2:$B$10001,MATCH(3774,'Email Cleaner'!$G$2:$G$10001,0)),"")</f>
        <v/>
      </c>
    </row>
    <row r="3776">
      <c r="A3776">
        <f>IFERROR(INDEX('Email Cleaner'!$B$2:$B$10001,MATCH(3775,'Email Cleaner'!$G$2:$G$10001,0)),"")</f>
        <v/>
      </c>
    </row>
    <row r="3777">
      <c r="A3777">
        <f>IFERROR(INDEX('Email Cleaner'!$B$2:$B$10001,MATCH(3776,'Email Cleaner'!$G$2:$G$10001,0)),"")</f>
        <v/>
      </c>
    </row>
    <row r="3778">
      <c r="A3778">
        <f>IFERROR(INDEX('Email Cleaner'!$B$2:$B$10001,MATCH(3777,'Email Cleaner'!$G$2:$G$10001,0)),"")</f>
        <v/>
      </c>
    </row>
    <row r="3779">
      <c r="A3779">
        <f>IFERROR(INDEX('Email Cleaner'!$B$2:$B$10001,MATCH(3778,'Email Cleaner'!$G$2:$G$10001,0)),"")</f>
        <v/>
      </c>
    </row>
    <row r="3780">
      <c r="A3780">
        <f>IFERROR(INDEX('Email Cleaner'!$B$2:$B$10001,MATCH(3779,'Email Cleaner'!$G$2:$G$10001,0)),"")</f>
        <v/>
      </c>
    </row>
    <row r="3781">
      <c r="A3781">
        <f>IFERROR(INDEX('Email Cleaner'!$B$2:$B$10001,MATCH(3780,'Email Cleaner'!$G$2:$G$10001,0)),"")</f>
        <v/>
      </c>
    </row>
    <row r="3782">
      <c r="A3782">
        <f>IFERROR(INDEX('Email Cleaner'!$B$2:$B$10001,MATCH(3781,'Email Cleaner'!$G$2:$G$10001,0)),"")</f>
        <v/>
      </c>
    </row>
    <row r="3783">
      <c r="A3783">
        <f>IFERROR(INDEX('Email Cleaner'!$B$2:$B$10001,MATCH(3782,'Email Cleaner'!$G$2:$G$10001,0)),"")</f>
        <v/>
      </c>
    </row>
    <row r="3784">
      <c r="A3784">
        <f>IFERROR(INDEX('Email Cleaner'!$B$2:$B$10001,MATCH(3783,'Email Cleaner'!$G$2:$G$10001,0)),"")</f>
        <v/>
      </c>
    </row>
    <row r="3785">
      <c r="A3785">
        <f>IFERROR(INDEX('Email Cleaner'!$B$2:$B$10001,MATCH(3784,'Email Cleaner'!$G$2:$G$10001,0)),"")</f>
        <v/>
      </c>
    </row>
    <row r="3786">
      <c r="A3786">
        <f>IFERROR(INDEX('Email Cleaner'!$B$2:$B$10001,MATCH(3785,'Email Cleaner'!$G$2:$G$10001,0)),"")</f>
        <v/>
      </c>
    </row>
    <row r="3787">
      <c r="A3787">
        <f>IFERROR(INDEX('Email Cleaner'!$B$2:$B$10001,MATCH(3786,'Email Cleaner'!$G$2:$G$10001,0)),"")</f>
        <v/>
      </c>
    </row>
    <row r="3788">
      <c r="A3788">
        <f>IFERROR(INDEX('Email Cleaner'!$B$2:$B$10001,MATCH(3787,'Email Cleaner'!$G$2:$G$10001,0)),"")</f>
        <v/>
      </c>
    </row>
    <row r="3789">
      <c r="A3789">
        <f>IFERROR(INDEX('Email Cleaner'!$B$2:$B$10001,MATCH(3788,'Email Cleaner'!$G$2:$G$10001,0)),"")</f>
        <v/>
      </c>
    </row>
    <row r="3790">
      <c r="A3790">
        <f>IFERROR(INDEX('Email Cleaner'!$B$2:$B$10001,MATCH(3789,'Email Cleaner'!$G$2:$G$10001,0)),"")</f>
        <v/>
      </c>
    </row>
    <row r="3791">
      <c r="A3791">
        <f>IFERROR(INDEX('Email Cleaner'!$B$2:$B$10001,MATCH(3790,'Email Cleaner'!$G$2:$G$10001,0)),"")</f>
        <v/>
      </c>
    </row>
    <row r="3792">
      <c r="A3792">
        <f>IFERROR(INDEX('Email Cleaner'!$B$2:$B$10001,MATCH(3791,'Email Cleaner'!$G$2:$G$10001,0)),"")</f>
        <v/>
      </c>
    </row>
    <row r="3793">
      <c r="A3793">
        <f>IFERROR(INDEX('Email Cleaner'!$B$2:$B$10001,MATCH(3792,'Email Cleaner'!$G$2:$G$10001,0)),"")</f>
        <v/>
      </c>
    </row>
    <row r="3794">
      <c r="A3794">
        <f>IFERROR(INDEX('Email Cleaner'!$B$2:$B$10001,MATCH(3793,'Email Cleaner'!$G$2:$G$10001,0)),"")</f>
        <v/>
      </c>
    </row>
    <row r="3795">
      <c r="A3795">
        <f>IFERROR(INDEX('Email Cleaner'!$B$2:$B$10001,MATCH(3794,'Email Cleaner'!$G$2:$G$10001,0)),"")</f>
        <v/>
      </c>
    </row>
    <row r="3796">
      <c r="A3796">
        <f>IFERROR(INDEX('Email Cleaner'!$B$2:$B$10001,MATCH(3795,'Email Cleaner'!$G$2:$G$10001,0)),"")</f>
        <v/>
      </c>
    </row>
    <row r="3797">
      <c r="A3797">
        <f>IFERROR(INDEX('Email Cleaner'!$B$2:$B$10001,MATCH(3796,'Email Cleaner'!$G$2:$G$10001,0)),"")</f>
        <v/>
      </c>
    </row>
    <row r="3798">
      <c r="A3798">
        <f>IFERROR(INDEX('Email Cleaner'!$B$2:$B$10001,MATCH(3797,'Email Cleaner'!$G$2:$G$10001,0)),"")</f>
        <v/>
      </c>
    </row>
    <row r="3799">
      <c r="A3799">
        <f>IFERROR(INDEX('Email Cleaner'!$B$2:$B$10001,MATCH(3798,'Email Cleaner'!$G$2:$G$10001,0)),"")</f>
        <v/>
      </c>
    </row>
    <row r="3800">
      <c r="A3800">
        <f>IFERROR(INDEX('Email Cleaner'!$B$2:$B$10001,MATCH(3799,'Email Cleaner'!$G$2:$G$10001,0)),"")</f>
        <v/>
      </c>
    </row>
    <row r="3801">
      <c r="A3801">
        <f>IFERROR(INDEX('Email Cleaner'!$B$2:$B$10001,MATCH(3800,'Email Cleaner'!$G$2:$G$10001,0)),"")</f>
        <v/>
      </c>
    </row>
    <row r="3802">
      <c r="A3802">
        <f>IFERROR(INDEX('Email Cleaner'!$B$2:$B$10001,MATCH(3801,'Email Cleaner'!$G$2:$G$10001,0)),"")</f>
        <v/>
      </c>
    </row>
    <row r="3803">
      <c r="A3803">
        <f>IFERROR(INDEX('Email Cleaner'!$B$2:$B$10001,MATCH(3802,'Email Cleaner'!$G$2:$G$10001,0)),"")</f>
        <v/>
      </c>
    </row>
    <row r="3804">
      <c r="A3804">
        <f>IFERROR(INDEX('Email Cleaner'!$B$2:$B$10001,MATCH(3803,'Email Cleaner'!$G$2:$G$10001,0)),"")</f>
        <v/>
      </c>
    </row>
    <row r="3805">
      <c r="A3805">
        <f>IFERROR(INDEX('Email Cleaner'!$B$2:$B$10001,MATCH(3804,'Email Cleaner'!$G$2:$G$10001,0)),"")</f>
        <v/>
      </c>
    </row>
    <row r="3806">
      <c r="A3806">
        <f>IFERROR(INDEX('Email Cleaner'!$B$2:$B$10001,MATCH(3805,'Email Cleaner'!$G$2:$G$10001,0)),"")</f>
        <v/>
      </c>
    </row>
    <row r="3807">
      <c r="A3807">
        <f>IFERROR(INDEX('Email Cleaner'!$B$2:$B$10001,MATCH(3806,'Email Cleaner'!$G$2:$G$10001,0)),"")</f>
        <v/>
      </c>
    </row>
    <row r="3808">
      <c r="A3808">
        <f>IFERROR(INDEX('Email Cleaner'!$B$2:$B$10001,MATCH(3807,'Email Cleaner'!$G$2:$G$10001,0)),"")</f>
        <v/>
      </c>
    </row>
    <row r="3809">
      <c r="A3809">
        <f>IFERROR(INDEX('Email Cleaner'!$B$2:$B$10001,MATCH(3808,'Email Cleaner'!$G$2:$G$10001,0)),"")</f>
        <v/>
      </c>
    </row>
    <row r="3810">
      <c r="A3810">
        <f>IFERROR(INDEX('Email Cleaner'!$B$2:$B$10001,MATCH(3809,'Email Cleaner'!$G$2:$G$10001,0)),"")</f>
        <v/>
      </c>
    </row>
    <row r="3811">
      <c r="A3811">
        <f>IFERROR(INDEX('Email Cleaner'!$B$2:$B$10001,MATCH(3810,'Email Cleaner'!$G$2:$G$10001,0)),"")</f>
        <v/>
      </c>
    </row>
    <row r="3812">
      <c r="A3812">
        <f>IFERROR(INDEX('Email Cleaner'!$B$2:$B$10001,MATCH(3811,'Email Cleaner'!$G$2:$G$10001,0)),"")</f>
        <v/>
      </c>
    </row>
    <row r="3813">
      <c r="A3813">
        <f>IFERROR(INDEX('Email Cleaner'!$B$2:$B$10001,MATCH(3812,'Email Cleaner'!$G$2:$G$10001,0)),"")</f>
        <v/>
      </c>
    </row>
    <row r="3814">
      <c r="A3814">
        <f>IFERROR(INDEX('Email Cleaner'!$B$2:$B$10001,MATCH(3813,'Email Cleaner'!$G$2:$G$10001,0)),"")</f>
        <v/>
      </c>
    </row>
    <row r="3815">
      <c r="A3815">
        <f>IFERROR(INDEX('Email Cleaner'!$B$2:$B$10001,MATCH(3814,'Email Cleaner'!$G$2:$G$10001,0)),"")</f>
        <v/>
      </c>
    </row>
    <row r="3816">
      <c r="A3816">
        <f>IFERROR(INDEX('Email Cleaner'!$B$2:$B$10001,MATCH(3815,'Email Cleaner'!$G$2:$G$10001,0)),"")</f>
        <v/>
      </c>
    </row>
    <row r="3817">
      <c r="A3817">
        <f>IFERROR(INDEX('Email Cleaner'!$B$2:$B$10001,MATCH(3816,'Email Cleaner'!$G$2:$G$10001,0)),"")</f>
        <v/>
      </c>
    </row>
    <row r="3818">
      <c r="A3818">
        <f>IFERROR(INDEX('Email Cleaner'!$B$2:$B$10001,MATCH(3817,'Email Cleaner'!$G$2:$G$10001,0)),"")</f>
        <v/>
      </c>
    </row>
    <row r="3819">
      <c r="A3819">
        <f>IFERROR(INDEX('Email Cleaner'!$B$2:$B$10001,MATCH(3818,'Email Cleaner'!$G$2:$G$10001,0)),"")</f>
        <v/>
      </c>
    </row>
    <row r="3820">
      <c r="A3820">
        <f>IFERROR(INDEX('Email Cleaner'!$B$2:$B$10001,MATCH(3819,'Email Cleaner'!$G$2:$G$10001,0)),"")</f>
        <v/>
      </c>
    </row>
    <row r="3821">
      <c r="A3821">
        <f>IFERROR(INDEX('Email Cleaner'!$B$2:$B$10001,MATCH(3820,'Email Cleaner'!$G$2:$G$10001,0)),"")</f>
        <v/>
      </c>
    </row>
    <row r="3822">
      <c r="A3822">
        <f>IFERROR(INDEX('Email Cleaner'!$B$2:$B$10001,MATCH(3821,'Email Cleaner'!$G$2:$G$10001,0)),"")</f>
        <v/>
      </c>
    </row>
    <row r="3823">
      <c r="A3823">
        <f>IFERROR(INDEX('Email Cleaner'!$B$2:$B$10001,MATCH(3822,'Email Cleaner'!$G$2:$G$10001,0)),"")</f>
        <v/>
      </c>
    </row>
    <row r="3824">
      <c r="A3824">
        <f>IFERROR(INDEX('Email Cleaner'!$B$2:$B$10001,MATCH(3823,'Email Cleaner'!$G$2:$G$10001,0)),"")</f>
        <v/>
      </c>
    </row>
    <row r="3825">
      <c r="A3825">
        <f>IFERROR(INDEX('Email Cleaner'!$B$2:$B$10001,MATCH(3824,'Email Cleaner'!$G$2:$G$10001,0)),"")</f>
        <v/>
      </c>
    </row>
    <row r="3826">
      <c r="A3826">
        <f>IFERROR(INDEX('Email Cleaner'!$B$2:$B$10001,MATCH(3825,'Email Cleaner'!$G$2:$G$10001,0)),"")</f>
        <v/>
      </c>
    </row>
    <row r="3827">
      <c r="A3827">
        <f>IFERROR(INDEX('Email Cleaner'!$B$2:$B$10001,MATCH(3826,'Email Cleaner'!$G$2:$G$10001,0)),"")</f>
        <v/>
      </c>
    </row>
    <row r="3828">
      <c r="A3828">
        <f>IFERROR(INDEX('Email Cleaner'!$B$2:$B$10001,MATCH(3827,'Email Cleaner'!$G$2:$G$10001,0)),"")</f>
        <v/>
      </c>
    </row>
    <row r="3829">
      <c r="A3829">
        <f>IFERROR(INDEX('Email Cleaner'!$B$2:$B$10001,MATCH(3828,'Email Cleaner'!$G$2:$G$10001,0)),"")</f>
        <v/>
      </c>
    </row>
    <row r="3830">
      <c r="A3830">
        <f>IFERROR(INDEX('Email Cleaner'!$B$2:$B$10001,MATCH(3829,'Email Cleaner'!$G$2:$G$10001,0)),"")</f>
        <v/>
      </c>
    </row>
    <row r="3831">
      <c r="A3831">
        <f>IFERROR(INDEX('Email Cleaner'!$B$2:$B$10001,MATCH(3830,'Email Cleaner'!$G$2:$G$10001,0)),"")</f>
        <v/>
      </c>
    </row>
    <row r="3832">
      <c r="A3832">
        <f>IFERROR(INDEX('Email Cleaner'!$B$2:$B$10001,MATCH(3831,'Email Cleaner'!$G$2:$G$10001,0)),"")</f>
        <v/>
      </c>
    </row>
    <row r="3833">
      <c r="A3833">
        <f>IFERROR(INDEX('Email Cleaner'!$B$2:$B$10001,MATCH(3832,'Email Cleaner'!$G$2:$G$10001,0)),"")</f>
        <v/>
      </c>
    </row>
    <row r="3834">
      <c r="A3834">
        <f>IFERROR(INDEX('Email Cleaner'!$B$2:$B$10001,MATCH(3833,'Email Cleaner'!$G$2:$G$10001,0)),"")</f>
        <v/>
      </c>
    </row>
    <row r="3835">
      <c r="A3835">
        <f>IFERROR(INDEX('Email Cleaner'!$B$2:$B$10001,MATCH(3834,'Email Cleaner'!$G$2:$G$10001,0)),"")</f>
        <v/>
      </c>
    </row>
    <row r="3836">
      <c r="A3836">
        <f>IFERROR(INDEX('Email Cleaner'!$B$2:$B$10001,MATCH(3835,'Email Cleaner'!$G$2:$G$10001,0)),"")</f>
        <v/>
      </c>
    </row>
    <row r="3837">
      <c r="A3837">
        <f>IFERROR(INDEX('Email Cleaner'!$B$2:$B$10001,MATCH(3836,'Email Cleaner'!$G$2:$G$10001,0)),"")</f>
        <v/>
      </c>
    </row>
    <row r="3838">
      <c r="A3838">
        <f>IFERROR(INDEX('Email Cleaner'!$B$2:$B$10001,MATCH(3837,'Email Cleaner'!$G$2:$G$10001,0)),"")</f>
        <v/>
      </c>
    </row>
    <row r="3839">
      <c r="A3839">
        <f>IFERROR(INDEX('Email Cleaner'!$B$2:$B$10001,MATCH(3838,'Email Cleaner'!$G$2:$G$10001,0)),"")</f>
        <v/>
      </c>
    </row>
    <row r="3840">
      <c r="A3840">
        <f>IFERROR(INDEX('Email Cleaner'!$B$2:$B$10001,MATCH(3839,'Email Cleaner'!$G$2:$G$10001,0)),"")</f>
        <v/>
      </c>
    </row>
    <row r="3841">
      <c r="A3841">
        <f>IFERROR(INDEX('Email Cleaner'!$B$2:$B$10001,MATCH(3840,'Email Cleaner'!$G$2:$G$10001,0)),"")</f>
        <v/>
      </c>
    </row>
    <row r="3842">
      <c r="A3842">
        <f>IFERROR(INDEX('Email Cleaner'!$B$2:$B$10001,MATCH(3841,'Email Cleaner'!$G$2:$G$10001,0)),"")</f>
        <v/>
      </c>
    </row>
    <row r="3843">
      <c r="A3843">
        <f>IFERROR(INDEX('Email Cleaner'!$B$2:$B$10001,MATCH(3842,'Email Cleaner'!$G$2:$G$10001,0)),"")</f>
        <v/>
      </c>
    </row>
    <row r="3844">
      <c r="A3844">
        <f>IFERROR(INDEX('Email Cleaner'!$B$2:$B$10001,MATCH(3843,'Email Cleaner'!$G$2:$G$10001,0)),"")</f>
        <v/>
      </c>
    </row>
    <row r="3845">
      <c r="A3845">
        <f>IFERROR(INDEX('Email Cleaner'!$B$2:$B$10001,MATCH(3844,'Email Cleaner'!$G$2:$G$10001,0)),"")</f>
        <v/>
      </c>
    </row>
    <row r="3846">
      <c r="A3846">
        <f>IFERROR(INDEX('Email Cleaner'!$B$2:$B$10001,MATCH(3845,'Email Cleaner'!$G$2:$G$10001,0)),"")</f>
        <v/>
      </c>
    </row>
    <row r="3847">
      <c r="A3847">
        <f>IFERROR(INDEX('Email Cleaner'!$B$2:$B$10001,MATCH(3846,'Email Cleaner'!$G$2:$G$10001,0)),"")</f>
        <v/>
      </c>
    </row>
    <row r="3848">
      <c r="A3848">
        <f>IFERROR(INDEX('Email Cleaner'!$B$2:$B$10001,MATCH(3847,'Email Cleaner'!$G$2:$G$10001,0)),"")</f>
        <v/>
      </c>
    </row>
    <row r="3849">
      <c r="A3849">
        <f>IFERROR(INDEX('Email Cleaner'!$B$2:$B$10001,MATCH(3848,'Email Cleaner'!$G$2:$G$10001,0)),"")</f>
        <v/>
      </c>
    </row>
    <row r="3850">
      <c r="A3850">
        <f>IFERROR(INDEX('Email Cleaner'!$B$2:$B$10001,MATCH(3849,'Email Cleaner'!$G$2:$G$10001,0)),"")</f>
        <v/>
      </c>
    </row>
    <row r="3851">
      <c r="A3851">
        <f>IFERROR(INDEX('Email Cleaner'!$B$2:$B$10001,MATCH(3850,'Email Cleaner'!$G$2:$G$10001,0)),"")</f>
        <v/>
      </c>
    </row>
    <row r="3852">
      <c r="A3852">
        <f>IFERROR(INDEX('Email Cleaner'!$B$2:$B$10001,MATCH(3851,'Email Cleaner'!$G$2:$G$10001,0)),"")</f>
        <v/>
      </c>
    </row>
    <row r="3853">
      <c r="A3853">
        <f>IFERROR(INDEX('Email Cleaner'!$B$2:$B$10001,MATCH(3852,'Email Cleaner'!$G$2:$G$10001,0)),"")</f>
        <v/>
      </c>
    </row>
    <row r="3854">
      <c r="A3854">
        <f>IFERROR(INDEX('Email Cleaner'!$B$2:$B$10001,MATCH(3853,'Email Cleaner'!$G$2:$G$10001,0)),"")</f>
        <v/>
      </c>
    </row>
    <row r="3855">
      <c r="A3855">
        <f>IFERROR(INDEX('Email Cleaner'!$B$2:$B$10001,MATCH(3854,'Email Cleaner'!$G$2:$G$10001,0)),"")</f>
        <v/>
      </c>
    </row>
    <row r="3856">
      <c r="A3856">
        <f>IFERROR(INDEX('Email Cleaner'!$B$2:$B$10001,MATCH(3855,'Email Cleaner'!$G$2:$G$10001,0)),"")</f>
        <v/>
      </c>
    </row>
    <row r="3857">
      <c r="A3857">
        <f>IFERROR(INDEX('Email Cleaner'!$B$2:$B$10001,MATCH(3856,'Email Cleaner'!$G$2:$G$10001,0)),"")</f>
        <v/>
      </c>
    </row>
    <row r="3858">
      <c r="A3858">
        <f>IFERROR(INDEX('Email Cleaner'!$B$2:$B$10001,MATCH(3857,'Email Cleaner'!$G$2:$G$10001,0)),"")</f>
        <v/>
      </c>
    </row>
    <row r="3859">
      <c r="A3859">
        <f>IFERROR(INDEX('Email Cleaner'!$B$2:$B$10001,MATCH(3858,'Email Cleaner'!$G$2:$G$10001,0)),"")</f>
        <v/>
      </c>
    </row>
    <row r="3860">
      <c r="A3860">
        <f>IFERROR(INDEX('Email Cleaner'!$B$2:$B$10001,MATCH(3859,'Email Cleaner'!$G$2:$G$10001,0)),"")</f>
        <v/>
      </c>
    </row>
    <row r="3861">
      <c r="A3861">
        <f>IFERROR(INDEX('Email Cleaner'!$B$2:$B$10001,MATCH(3860,'Email Cleaner'!$G$2:$G$10001,0)),"")</f>
        <v/>
      </c>
    </row>
    <row r="3862">
      <c r="A3862">
        <f>IFERROR(INDEX('Email Cleaner'!$B$2:$B$10001,MATCH(3861,'Email Cleaner'!$G$2:$G$10001,0)),"")</f>
        <v/>
      </c>
    </row>
    <row r="3863">
      <c r="A3863">
        <f>IFERROR(INDEX('Email Cleaner'!$B$2:$B$10001,MATCH(3862,'Email Cleaner'!$G$2:$G$10001,0)),"")</f>
        <v/>
      </c>
    </row>
    <row r="3864">
      <c r="A3864">
        <f>IFERROR(INDEX('Email Cleaner'!$B$2:$B$10001,MATCH(3863,'Email Cleaner'!$G$2:$G$10001,0)),"")</f>
        <v/>
      </c>
    </row>
    <row r="3865">
      <c r="A3865">
        <f>IFERROR(INDEX('Email Cleaner'!$B$2:$B$10001,MATCH(3864,'Email Cleaner'!$G$2:$G$10001,0)),"")</f>
        <v/>
      </c>
    </row>
    <row r="3866">
      <c r="A3866">
        <f>IFERROR(INDEX('Email Cleaner'!$B$2:$B$10001,MATCH(3865,'Email Cleaner'!$G$2:$G$10001,0)),"")</f>
        <v/>
      </c>
    </row>
    <row r="3867">
      <c r="A3867">
        <f>IFERROR(INDEX('Email Cleaner'!$B$2:$B$10001,MATCH(3866,'Email Cleaner'!$G$2:$G$10001,0)),"")</f>
        <v/>
      </c>
    </row>
    <row r="3868">
      <c r="A3868">
        <f>IFERROR(INDEX('Email Cleaner'!$B$2:$B$10001,MATCH(3867,'Email Cleaner'!$G$2:$G$10001,0)),"")</f>
        <v/>
      </c>
    </row>
    <row r="3869">
      <c r="A3869">
        <f>IFERROR(INDEX('Email Cleaner'!$B$2:$B$10001,MATCH(3868,'Email Cleaner'!$G$2:$G$10001,0)),"")</f>
        <v/>
      </c>
    </row>
    <row r="3870">
      <c r="A3870">
        <f>IFERROR(INDEX('Email Cleaner'!$B$2:$B$10001,MATCH(3869,'Email Cleaner'!$G$2:$G$10001,0)),"")</f>
        <v/>
      </c>
    </row>
    <row r="3871">
      <c r="A3871">
        <f>IFERROR(INDEX('Email Cleaner'!$B$2:$B$10001,MATCH(3870,'Email Cleaner'!$G$2:$G$10001,0)),"")</f>
        <v/>
      </c>
    </row>
    <row r="3872">
      <c r="A3872">
        <f>IFERROR(INDEX('Email Cleaner'!$B$2:$B$10001,MATCH(3871,'Email Cleaner'!$G$2:$G$10001,0)),"")</f>
        <v/>
      </c>
    </row>
    <row r="3873">
      <c r="A3873">
        <f>IFERROR(INDEX('Email Cleaner'!$B$2:$B$10001,MATCH(3872,'Email Cleaner'!$G$2:$G$10001,0)),"")</f>
        <v/>
      </c>
    </row>
    <row r="3874">
      <c r="A3874">
        <f>IFERROR(INDEX('Email Cleaner'!$B$2:$B$10001,MATCH(3873,'Email Cleaner'!$G$2:$G$10001,0)),"")</f>
        <v/>
      </c>
    </row>
    <row r="3875">
      <c r="A3875">
        <f>IFERROR(INDEX('Email Cleaner'!$B$2:$B$10001,MATCH(3874,'Email Cleaner'!$G$2:$G$10001,0)),"")</f>
        <v/>
      </c>
    </row>
    <row r="3876">
      <c r="A3876">
        <f>IFERROR(INDEX('Email Cleaner'!$B$2:$B$10001,MATCH(3875,'Email Cleaner'!$G$2:$G$10001,0)),"")</f>
        <v/>
      </c>
    </row>
    <row r="3877">
      <c r="A3877">
        <f>IFERROR(INDEX('Email Cleaner'!$B$2:$B$10001,MATCH(3876,'Email Cleaner'!$G$2:$G$10001,0)),"")</f>
        <v/>
      </c>
    </row>
    <row r="3878">
      <c r="A3878">
        <f>IFERROR(INDEX('Email Cleaner'!$B$2:$B$10001,MATCH(3877,'Email Cleaner'!$G$2:$G$10001,0)),"")</f>
        <v/>
      </c>
    </row>
    <row r="3879">
      <c r="A3879">
        <f>IFERROR(INDEX('Email Cleaner'!$B$2:$B$10001,MATCH(3878,'Email Cleaner'!$G$2:$G$10001,0)),"")</f>
        <v/>
      </c>
    </row>
    <row r="3880">
      <c r="A3880">
        <f>IFERROR(INDEX('Email Cleaner'!$B$2:$B$10001,MATCH(3879,'Email Cleaner'!$G$2:$G$10001,0)),"")</f>
        <v/>
      </c>
    </row>
    <row r="3881">
      <c r="A3881">
        <f>IFERROR(INDEX('Email Cleaner'!$B$2:$B$10001,MATCH(3880,'Email Cleaner'!$G$2:$G$10001,0)),"")</f>
        <v/>
      </c>
    </row>
    <row r="3882">
      <c r="A3882">
        <f>IFERROR(INDEX('Email Cleaner'!$B$2:$B$10001,MATCH(3881,'Email Cleaner'!$G$2:$G$10001,0)),"")</f>
        <v/>
      </c>
    </row>
    <row r="3883">
      <c r="A3883">
        <f>IFERROR(INDEX('Email Cleaner'!$B$2:$B$10001,MATCH(3882,'Email Cleaner'!$G$2:$G$10001,0)),"")</f>
        <v/>
      </c>
    </row>
    <row r="3884">
      <c r="A3884">
        <f>IFERROR(INDEX('Email Cleaner'!$B$2:$B$10001,MATCH(3883,'Email Cleaner'!$G$2:$G$10001,0)),"")</f>
        <v/>
      </c>
    </row>
    <row r="3885">
      <c r="A3885">
        <f>IFERROR(INDEX('Email Cleaner'!$B$2:$B$10001,MATCH(3884,'Email Cleaner'!$G$2:$G$10001,0)),"")</f>
        <v/>
      </c>
    </row>
    <row r="3886">
      <c r="A3886">
        <f>IFERROR(INDEX('Email Cleaner'!$B$2:$B$10001,MATCH(3885,'Email Cleaner'!$G$2:$G$10001,0)),"")</f>
        <v/>
      </c>
    </row>
    <row r="3887">
      <c r="A3887">
        <f>IFERROR(INDEX('Email Cleaner'!$B$2:$B$10001,MATCH(3886,'Email Cleaner'!$G$2:$G$10001,0)),"")</f>
        <v/>
      </c>
    </row>
    <row r="3888">
      <c r="A3888">
        <f>IFERROR(INDEX('Email Cleaner'!$B$2:$B$10001,MATCH(3887,'Email Cleaner'!$G$2:$G$10001,0)),"")</f>
        <v/>
      </c>
    </row>
    <row r="3889">
      <c r="A3889">
        <f>IFERROR(INDEX('Email Cleaner'!$B$2:$B$10001,MATCH(3888,'Email Cleaner'!$G$2:$G$10001,0)),"")</f>
        <v/>
      </c>
    </row>
    <row r="3890">
      <c r="A3890">
        <f>IFERROR(INDEX('Email Cleaner'!$B$2:$B$10001,MATCH(3889,'Email Cleaner'!$G$2:$G$10001,0)),"")</f>
        <v/>
      </c>
    </row>
    <row r="3891">
      <c r="A3891">
        <f>IFERROR(INDEX('Email Cleaner'!$B$2:$B$10001,MATCH(3890,'Email Cleaner'!$G$2:$G$10001,0)),"")</f>
        <v/>
      </c>
    </row>
    <row r="3892">
      <c r="A3892">
        <f>IFERROR(INDEX('Email Cleaner'!$B$2:$B$10001,MATCH(3891,'Email Cleaner'!$G$2:$G$10001,0)),"")</f>
        <v/>
      </c>
    </row>
    <row r="3893">
      <c r="A3893">
        <f>IFERROR(INDEX('Email Cleaner'!$B$2:$B$10001,MATCH(3892,'Email Cleaner'!$G$2:$G$10001,0)),"")</f>
        <v/>
      </c>
    </row>
    <row r="3894">
      <c r="A3894">
        <f>IFERROR(INDEX('Email Cleaner'!$B$2:$B$10001,MATCH(3893,'Email Cleaner'!$G$2:$G$10001,0)),"")</f>
        <v/>
      </c>
    </row>
    <row r="3895">
      <c r="A3895">
        <f>IFERROR(INDEX('Email Cleaner'!$B$2:$B$10001,MATCH(3894,'Email Cleaner'!$G$2:$G$10001,0)),"")</f>
        <v/>
      </c>
    </row>
    <row r="3896">
      <c r="A3896">
        <f>IFERROR(INDEX('Email Cleaner'!$B$2:$B$10001,MATCH(3895,'Email Cleaner'!$G$2:$G$10001,0)),"")</f>
        <v/>
      </c>
    </row>
    <row r="3897">
      <c r="A3897">
        <f>IFERROR(INDEX('Email Cleaner'!$B$2:$B$10001,MATCH(3896,'Email Cleaner'!$G$2:$G$10001,0)),"")</f>
        <v/>
      </c>
    </row>
    <row r="3898">
      <c r="A3898">
        <f>IFERROR(INDEX('Email Cleaner'!$B$2:$B$10001,MATCH(3897,'Email Cleaner'!$G$2:$G$10001,0)),"")</f>
        <v/>
      </c>
    </row>
    <row r="3899">
      <c r="A3899">
        <f>IFERROR(INDEX('Email Cleaner'!$B$2:$B$10001,MATCH(3898,'Email Cleaner'!$G$2:$G$10001,0)),"")</f>
        <v/>
      </c>
    </row>
    <row r="3900">
      <c r="A3900">
        <f>IFERROR(INDEX('Email Cleaner'!$B$2:$B$10001,MATCH(3899,'Email Cleaner'!$G$2:$G$10001,0)),"")</f>
        <v/>
      </c>
    </row>
    <row r="3901">
      <c r="A3901">
        <f>IFERROR(INDEX('Email Cleaner'!$B$2:$B$10001,MATCH(3900,'Email Cleaner'!$G$2:$G$10001,0)),"")</f>
        <v/>
      </c>
    </row>
    <row r="3902">
      <c r="A3902">
        <f>IFERROR(INDEX('Email Cleaner'!$B$2:$B$10001,MATCH(3901,'Email Cleaner'!$G$2:$G$10001,0)),"")</f>
        <v/>
      </c>
    </row>
    <row r="3903">
      <c r="A3903">
        <f>IFERROR(INDEX('Email Cleaner'!$B$2:$B$10001,MATCH(3902,'Email Cleaner'!$G$2:$G$10001,0)),"")</f>
        <v/>
      </c>
    </row>
    <row r="3904">
      <c r="A3904">
        <f>IFERROR(INDEX('Email Cleaner'!$B$2:$B$10001,MATCH(3903,'Email Cleaner'!$G$2:$G$10001,0)),"")</f>
        <v/>
      </c>
    </row>
    <row r="3905">
      <c r="A3905">
        <f>IFERROR(INDEX('Email Cleaner'!$B$2:$B$10001,MATCH(3904,'Email Cleaner'!$G$2:$G$10001,0)),"")</f>
        <v/>
      </c>
    </row>
    <row r="3906">
      <c r="A3906">
        <f>IFERROR(INDEX('Email Cleaner'!$B$2:$B$10001,MATCH(3905,'Email Cleaner'!$G$2:$G$10001,0)),"")</f>
        <v/>
      </c>
    </row>
    <row r="3907">
      <c r="A3907">
        <f>IFERROR(INDEX('Email Cleaner'!$B$2:$B$10001,MATCH(3906,'Email Cleaner'!$G$2:$G$10001,0)),"")</f>
        <v/>
      </c>
    </row>
    <row r="3908">
      <c r="A3908">
        <f>IFERROR(INDEX('Email Cleaner'!$B$2:$B$10001,MATCH(3907,'Email Cleaner'!$G$2:$G$10001,0)),"")</f>
        <v/>
      </c>
    </row>
    <row r="3909">
      <c r="A3909">
        <f>IFERROR(INDEX('Email Cleaner'!$B$2:$B$10001,MATCH(3908,'Email Cleaner'!$G$2:$G$10001,0)),"")</f>
        <v/>
      </c>
    </row>
    <row r="3910">
      <c r="A3910">
        <f>IFERROR(INDEX('Email Cleaner'!$B$2:$B$10001,MATCH(3909,'Email Cleaner'!$G$2:$G$10001,0)),"")</f>
        <v/>
      </c>
    </row>
    <row r="3911">
      <c r="A3911">
        <f>IFERROR(INDEX('Email Cleaner'!$B$2:$B$10001,MATCH(3910,'Email Cleaner'!$G$2:$G$10001,0)),"")</f>
        <v/>
      </c>
    </row>
    <row r="3912">
      <c r="A3912">
        <f>IFERROR(INDEX('Email Cleaner'!$B$2:$B$10001,MATCH(3911,'Email Cleaner'!$G$2:$G$10001,0)),"")</f>
        <v/>
      </c>
    </row>
    <row r="3913">
      <c r="A3913">
        <f>IFERROR(INDEX('Email Cleaner'!$B$2:$B$10001,MATCH(3912,'Email Cleaner'!$G$2:$G$10001,0)),"")</f>
        <v/>
      </c>
    </row>
    <row r="3914">
      <c r="A3914">
        <f>IFERROR(INDEX('Email Cleaner'!$B$2:$B$10001,MATCH(3913,'Email Cleaner'!$G$2:$G$10001,0)),"")</f>
        <v/>
      </c>
    </row>
    <row r="3915">
      <c r="A3915">
        <f>IFERROR(INDEX('Email Cleaner'!$B$2:$B$10001,MATCH(3914,'Email Cleaner'!$G$2:$G$10001,0)),"")</f>
        <v/>
      </c>
    </row>
    <row r="3916">
      <c r="A3916">
        <f>IFERROR(INDEX('Email Cleaner'!$B$2:$B$10001,MATCH(3915,'Email Cleaner'!$G$2:$G$10001,0)),"")</f>
        <v/>
      </c>
    </row>
    <row r="3917">
      <c r="A3917">
        <f>IFERROR(INDEX('Email Cleaner'!$B$2:$B$10001,MATCH(3916,'Email Cleaner'!$G$2:$G$10001,0)),"")</f>
        <v/>
      </c>
    </row>
    <row r="3918">
      <c r="A3918">
        <f>IFERROR(INDEX('Email Cleaner'!$B$2:$B$10001,MATCH(3917,'Email Cleaner'!$G$2:$G$10001,0)),"")</f>
        <v/>
      </c>
    </row>
    <row r="3919">
      <c r="A3919">
        <f>IFERROR(INDEX('Email Cleaner'!$B$2:$B$10001,MATCH(3918,'Email Cleaner'!$G$2:$G$10001,0)),"")</f>
        <v/>
      </c>
    </row>
    <row r="3920">
      <c r="A3920">
        <f>IFERROR(INDEX('Email Cleaner'!$B$2:$B$10001,MATCH(3919,'Email Cleaner'!$G$2:$G$10001,0)),"")</f>
        <v/>
      </c>
    </row>
    <row r="3921">
      <c r="A3921">
        <f>IFERROR(INDEX('Email Cleaner'!$B$2:$B$10001,MATCH(3920,'Email Cleaner'!$G$2:$G$10001,0)),"")</f>
        <v/>
      </c>
    </row>
    <row r="3922">
      <c r="A3922">
        <f>IFERROR(INDEX('Email Cleaner'!$B$2:$B$10001,MATCH(3921,'Email Cleaner'!$G$2:$G$10001,0)),"")</f>
        <v/>
      </c>
    </row>
    <row r="3923">
      <c r="A3923">
        <f>IFERROR(INDEX('Email Cleaner'!$B$2:$B$10001,MATCH(3922,'Email Cleaner'!$G$2:$G$10001,0)),"")</f>
        <v/>
      </c>
    </row>
    <row r="3924">
      <c r="A3924">
        <f>IFERROR(INDEX('Email Cleaner'!$B$2:$B$10001,MATCH(3923,'Email Cleaner'!$G$2:$G$10001,0)),"")</f>
        <v/>
      </c>
    </row>
    <row r="3925">
      <c r="A3925">
        <f>IFERROR(INDEX('Email Cleaner'!$B$2:$B$10001,MATCH(3924,'Email Cleaner'!$G$2:$G$10001,0)),"")</f>
        <v/>
      </c>
    </row>
    <row r="3926">
      <c r="A3926">
        <f>IFERROR(INDEX('Email Cleaner'!$B$2:$B$10001,MATCH(3925,'Email Cleaner'!$G$2:$G$10001,0)),"")</f>
        <v/>
      </c>
    </row>
    <row r="3927">
      <c r="A3927">
        <f>IFERROR(INDEX('Email Cleaner'!$B$2:$B$10001,MATCH(3926,'Email Cleaner'!$G$2:$G$10001,0)),"")</f>
        <v/>
      </c>
    </row>
    <row r="3928">
      <c r="A3928">
        <f>IFERROR(INDEX('Email Cleaner'!$B$2:$B$10001,MATCH(3927,'Email Cleaner'!$G$2:$G$10001,0)),"")</f>
        <v/>
      </c>
    </row>
    <row r="3929">
      <c r="A3929">
        <f>IFERROR(INDEX('Email Cleaner'!$B$2:$B$10001,MATCH(3928,'Email Cleaner'!$G$2:$G$10001,0)),"")</f>
        <v/>
      </c>
    </row>
    <row r="3930">
      <c r="A3930">
        <f>IFERROR(INDEX('Email Cleaner'!$B$2:$B$10001,MATCH(3929,'Email Cleaner'!$G$2:$G$10001,0)),"")</f>
        <v/>
      </c>
    </row>
    <row r="3931">
      <c r="A3931">
        <f>IFERROR(INDEX('Email Cleaner'!$B$2:$B$10001,MATCH(3930,'Email Cleaner'!$G$2:$G$10001,0)),"")</f>
        <v/>
      </c>
    </row>
    <row r="3932">
      <c r="A3932">
        <f>IFERROR(INDEX('Email Cleaner'!$B$2:$B$10001,MATCH(3931,'Email Cleaner'!$G$2:$G$10001,0)),"")</f>
        <v/>
      </c>
    </row>
    <row r="3933">
      <c r="A3933">
        <f>IFERROR(INDEX('Email Cleaner'!$B$2:$B$10001,MATCH(3932,'Email Cleaner'!$G$2:$G$10001,0)),"")</f>
        <v/>
      </c>
    </row>
    <row r="3934">
      <c r="A3934">
        <f>IFERROR(INDEX('Email Cleaner'!$B$2:$B$10001,MATCH(3933,'Email Cleaner'!$G$2:$G$10001,0)),"")</f>
        <v/>
      </c>
    </row>
    <row r="3935">
      <c r="A3935">
        <f>IFERROR(INDEX('Email Cleaner'!$B$2:$B$10001,MATCH(3934,'Email Cleaner'!$G$2:$G$10001,0)),"")</f>
        <v/>
      </c>
    </row>
    <row r="3936">
      <c r="A3936">
        <f>IFERROR(INDEX('Email Cleaner'!$B$2:$B$10001,MATCH(3935,'Email Cleaner'!$G$2:$G$10001,0)),"")</f>
        <v/>
      </c>
    </row>
    <row r="3937">
      <c r="A3937">
        <f>IFERROR(INDEX('Email Cleaner'!$B$2:$B$10001,MATCH(3936,'Email Cleaner'!$G$2:$G$10001,0)),"")</f>
        <v/>
      </c>
    </row>
    <row r="3938">
      <c r="A3938">
        <f>IFERROR(INDEX('Email Cleaner'!$B$2:$B$10001,MATCH(3937,'Email Cleaner'!$G$2:$G$10001,0)),"")</f>
        <v/>
      </c>
    </row>
    <row r="3939">
      <c r="A3939">
        <f>IFERROR(INDEX('Email Cleaner'!$B$2:$B$10001,MATCH(3938,'Email Cleaner'!$G$2:$G$10001,0)),"")</f>
        <v/>
      </c>
    </row>
    <row r="3940">
      <c r="A3940">
        <f>IFERROR(INDEX('Email Cleaner'!$B$2:$B$10001,MATCH(3939,'Email Cleaner'!$G$2:$G$10001,0)),"")</f>
        <v/>
      </c>
    </row>
    <row r="3941">
      <c r="A3941">
        <f>IFERROR(INDEX('Email Cleaner'!$B$2:$B$10001,MATCH(3940,'Email Cleaner'!$G$2:$G$10001,0)),"")</f>
        <v/>
      </c>
    </row>
    <row r="3942">
      <c r="A3942">
        <f>IFERROR(INDEX('Email Cleaner'!$B$2:$B$10001,MATCH(3941,'Email Cleaner'!$G$2:$G$10001,0)),"")</f>
        <v/>
      </c>
    </row>
    <row r="3943">
      <c r="A3943">
        <f>IFERROR(INDEX('Email Cleaner'!$B$2:$B$10001,MATCH(3942,'Email Cleaner'!$G$2:$G$10001,0)),"")</f>
        <v/>
      </c>
    </row>
    <row r="3944">
      <c r="A3944">
        <f>IFERROR(INDEX('Email Cleaner'!$B$2:$B$10001,MATCH(3943,'Email Cleaner'!$G$2:$G$10001,0)),"")</f>
        <v/>
      </c>
    </row>
    <row r="3945">
      <c r="A3945">
        <f>IFERROR(INDEX('Email Cleaner'!$B$2:$B$10001,MATCH(3944,'Email Cleaner'!$G$2:$G$10001,0)),"")</f>
        <v/>
      </c>
    </row>
    <row r="3946">
      <c r="A3946">
        <f>IFERROR(INDEX('Email Cleaner'!$B$2:$B$10001,MATCH(3945,'Email Cleaner'!$G$2:$G$10001,0)),"")</f>
        <v/>
      </c>
    </row>
    <row r="3947">
      <c r="A3947">
        <f>IFERROR(INDEX('Email Cleaner'!$B$2:$B$10001,MATCH(3946,'Email Cleaner'!$G$2:$G$10001,0)),"")</f>
        <v/>
      </c>
    </row>
    <row r="3948">
      <c r="A3948">
        <f>IFERROR(INDEX('Email Cleaner'!$B$2:$B$10001,MATCH(3947,'Email Cleaner'!$G$2:$G$10001,0)),"")</f>
        <v/>
      </c>
    </row>
    <row r="3949">
      <c r="A3949">
        <f>IFERROR(INDEX('Email Cleaner'!$B$2:$B$10001,MATCH(3948,'Email Cleaner'!$G$2:$G$10001,0)),"")</f>
        <v/>
      </c>
    </row>
    <row r="3950">
      <c r="A3950">
        <f>IFERROR(INDEX('Email Cleaner'!$B$2:$B$10001,MATCH(3949,'Email Cleaner'!$G$2:$G$10001,0)),"")</f>
        <v/>
      </c>
    </row>
    <row r="3951">
      <c r="A3951">
        <f>IFERROR(INDEX('Email Cleaner'!$B$2:$B$10001,MATCH(3950,'Email Cleaner'!$G$2:$G$10001,0)),"")</f>
        <v/>
      </c>
    </row>
    <row r="3952">
      <c r="A3952">
        <f>IFERROR(INDEX('Email Cleaner'!$B$2:$B$10001,MATCH(3951,'Email Cleaner'!$G$2:$G$10001,0)),"")</f>
        <v/>
      </c>
    </row>
    <row r="3953">
      <c r="A3953">
        <f>IFERROR(INDEX('Email Cleaner'!$B$2:$B$10001,MATCH(3952,'Email Cleaner'!$G$2:$G$10001,0)),"")</f>
        <v/>
      </c>
    </row>
    <row r="3954">
      <c r="A3954">
        <f>IFERROR(INDEX('Email Cleaner'!$B$2:$B$10001,MATCH(3953,'Email Cleaner'!$G$2:$G$10001,0)),"")</f>
        <v/>
      </c>
    </row>
    <row r="3955">
      <c r="A3955">
        <f>IFERROR(INDEX('Email Cleaner'!$B$2:$B$10001,MATCH(3954,'Email Cleaner'!$G$2:$G$10001,0)),"")</f>
        <v/>
      </c>
    </row>
    <row r="3956">
      <c r="A3956">
        <f>IFERROR(INDEX('Email Cleaner'!$B$2:$B$10001,MATCH(3955,'Email Cleaner'!$G$2:$G$10001,0)),"")</f>
        <v/>
      </c>
    </row>
    <row r="3957">
      <c r="A3957">
        <f>IFERROR(INDEX('Email Cleaner'!$B$2:$B$10001,MATCH(3956,'Email Cleaner'!$G$2:$G$10001,0)),"")</f>
        <v/>
      </c>
    </row>
    <row r="3958">
      <c r="A3958">
        <f>IFERROR(INDEX('Email Cleaner'!$B$2:$B$10001,MATCH(3957,'Email Cleaner'!$G$2:$G$10001,0)),"")</f>
        <v/>
      </c>
    </row>
    <row r="3959">
      <c r="A3959">
        <f>IFERROR(INDEX('Email Cleaner'!$B$2:$B$10001,MATCH(3958,'Email Cleaner'!$G$2:$G$10001,0)),"")</f>
        <v/>
      </c>
    </row>
    <row r="3960">
      <c r="A3960">
        <f>IFERROR(INDEX('Email Cleaner'!$B$2:$B$10001,MATCH(3959,'Email Cleaner'!$G$2:$G$10001,0)),"")</f>
        <v/>
      </c>
    </row>
    <row r="3961">
      <c r="A3961">
        <f>IFERROR(INDEX('Email Cleaner'!$B$2:$B$10001,MATCH(3960,'Email Cleaner'!$G$2:$G$10001,0)),"")</f>
        <v/>
      </c>
    </row>
    <row r="3962">
      <c r="A3962">
        <f>IFERROR(INDEX('Email Cleaner'!$B$2:$B$10001,MATCH(3961,'Email Cleaner'!$G$2:$G$10001,0)),"")</f>
        <v/>
      </c>
    </row>
    <row r="3963">
      <c r="A3963">
        <f>IFERROR(INDEX('Email Cleaner'!$B$2:$B$10001,MATCH(3962,'Email Cleaner'!$G$2:$G$10001,0)),"")</f>
        <v/>
      </c>
    </row>
    <row r="3964">
      <c r="A3964">
        <f>IFERROR(INDEX('Email Cleaner'!$B$2:$B$10001,MATCH(3963,'Email Cleaner'!$G$2:$G$10001,0)),"")</f>
        <v/>
      </c>
    </row>
    <row r="3965">
      <c r="A3965">
        <f>IFERROR(INDEX('Email Cleaner'!$B$2:$B$10001,MATCH(3964,'Email Cleaner'!$G$2:$G$10001,0)),"")</f>
        <v/>
      </c>
    </row>
    <row r="3966">
      <c r="A3966">
        <f>IFERROR(INDEX('Email Cleaner'!$B$2:$B$10001,MATCH(3965,'Email Cleaner'!$G$2:$G$10001,0)),"")</f>
        <v/>
      </c>
    </row>
    <row r="3967">
      <c r="A3967">
        <f>IFERROR(INDEX('Email Cleaner'!$B$2:$B$10001,MATCH(3966,'Email Cleaner'!$G$2:$G$10001,0)),"")</f>
        <v/>
      </c>
    </row>
    <row r="3968">
      <c r="A3968">
        <f>IFERROR(INDEX('Email Cleaner'!$B$2:$B$10001,MATCH(3967,'Email Cleaner'!$G$2:$G$10001,0)),"")</f>
        <v/>
      </c>
    </row>
    <row r="3969">
      <c r="A3969">
        <f>IFERROR(INDEX('Email Cleaner'!$B$2:$B$10001,MATCH(3968,'Email Cleaner'!$G$2:$G$10001,0)),"")</f>
        <v/>
      </c>
    </row>
    <row r="3970">
      <c r="A3970">
        <f>IFERROR(INDEX('Email Cleaner'!$B$2:$B$10001,MATCH(3969,'Email Cleaner'!$G$2:$G$10001,0)),"")</f>
        <v/>
      </c>
    </row>
    <row r="3971">
      <c r="A3971">
        <f>IFERROR(INDEX('Email Cleaner'!$B$2:$B$10001,MATCH(3970,'Email Cleaner'!$G$2:$G$10001,0)),"")</f>
        <v/>
      </c>
    </row>
    <row r="3972">
      <c r="A3972">
        <f>IFERROR(INDEX('Email Cleaner'!$B$2:$B$10001,MATCH(3971,'Email Cleaner'!$G$2:$G$10001,0)),"")</f>
        <v/>
      </c>
    </row>
    <row r="3973">
      <c r="A3973">
        <f>IFERROR(INDEX('Email Cleaner'!$B$2:$B$10001,MATCH(3972,'Email Cleaner'!$G$2:$G$10001,0)),"")</f>
        <v/>
      </c>
    </row>
    <row r="3974">
      <c r="A3974">
        <f>IFERROR(INDEX('Email Cleaner'!$B$2:$B$10001,MATCH(3973,'Email Cleaner'!$G$2:$G$10001,0)),"")</f>
        <v/>
      </c>
    </row>
    <row r="3975">
      <c r="A3975">
        <f>IFERROR(INDEX('Email Cleaner'!$B$2:$B$10001,MATCH(3974,'Email Cleaner'!$G$2:$G$10001,0)),"")</f>
        <v/>
      </c>
    </row>
    <row r="3976">
      <c r="A3976">
        <f>IFERROR(INDEX('Email Cleaner'!$B$2:$B$10001,MATCH(3975,'Email Cleaner'!$G$2:$G$10001,0)),"")</f>
        <v/>
      </c>
    </row>
    <row r="3977">
      <c r="A3977">
        <f>IFERROR(INDEX('Email Cleaner'!$B$2:$B$10001,MATCH(3976,'Email Cleaner'!$G$2:$G$10001,0)),"")</f>
        <v/>
      </c>
    </row>
    <row r="3978">
      <c r="A3978">
        <f>IFERROR(INDEX('Email Cleaner'!$B$2:$B$10001,MATCH(3977,'Email Cleaner'!$G$2:$G$10001,0)),"")</f>
        <v/>
      </c>
    </row>
    <row r="3979">
      <c r="A3979">
        <f>IFERROR(INDEX('Email Cleaner'!$B$2:$B$10001,MATCH(3978,'Email Cleaner'!$G$2:$G$10001,0)),"")</f>
        <v/>
      </c>
    </row>
    <row r="3980">
      <c r="A3980">
        <f>IFERROR(INDEX('Email Cleaner'!$B$2:$B$10001,MATCH(3979,'Email Cleaner'!$G$2:$G$10001,0)),"")</f>
        <v/>
      </c>
    </row>
    <row r="3981">
      <c r="A3981">
        <f>IFERROR(INDEX('Email Cleaner'!$B$2:$B$10001,MATCH(3980,'Email Cleaner'!$G$2:$G$10001,0)),"")</f>
        <v/>
      </c>
    </row>
    <row r="3982">
      <c r="A3982">
        <f>IFERROR(INDEX('Email Cleaner'!$B$2:$B$10001,MATCH(3981,'Email Cleaner'!$G$2:$G$10001,0)),"")</f>
        <v/>
      </c>
    </row>
    <row r="3983">
      <c r="A3983">
        <f>IFERROR(INDEX('Email Cleaner'!$B$2:$B$10001,MATCH(3982,'Email Cleaner'!$G$2:$G$10001,0)),"")</f>
        <v/>
      </c>
    </row>
    <row r="3984">
      <c r="A3984">
        <f>IFERROR(INDEX('Email Cleaner'!$B$2:$B$10001,MATCH(3983,'Email Cleaner'!$G$2:$G$10001,0)),"")</f>
        <v/>
      </c>
    </row>
    <row r="3985">
      <c r="A3985">
        <f>IFERROR(INDEX('Email Cleaner'!$B$2:$B$10001,MATCH(3984,'Email Cleaner'!$G$2:$G$10001,0)),"")</f>
        <v/>
      </c>
    </row>
    <row r="3986">
      <c r="A3986">
        <f>IFERROR(INDEX('Email Cleaner'!$B$2:$B$10001,MATCH(3985,'Email Cleaner'!$G$2:$G$10001,0)),"")</f>
        <v/>
      </c>
    </row>
    <row r="3987">
      <c r="A3987">
        <f>IFERROR(INDEX('Email Cleaner'!$B$2:$B$10001,MATCH(3986,'Email Cleaner'!$G$2:$G$10001,0)),"")</f>
        <v/>
      </c>
    </row>
    <row r="3988">
      <c r="A3988">
        <f>IFERROR(INDEX('Email Cleaner'!$B$2:$B$10001,MATCH(3987,'Email Cleaner'!$G$2:$G$10001,0)),"")</f>
        <v/>
      </c>
    </row>
    <row r="3989">
      <c r="A3989">
        <f>IFERROR(INDEX('Email Cleaner'!$B$2:$B$10001,MATCH(3988,'Email Cleaner'!$G$2:$G$10001,0)),"")</f>
        <v/>
      </c>
    </row>
    <row r="3990">
      <c r="A3990">
        <f>IFERROR(INDEX('Email Cleaner'!$B$2:$B$10001,MATCH(3989,'Email Cleaner'!$G$2:$G$10001,0)),"")</f>
        <v/>
      </c>
    </row>
    <row r="3991">
      <c r="A3991">
        <f>IFERROR(INDEX('Email Cleaner'!$B$2:$B$10001,MATCH(3990,'Email Cleaner'!$G$2:$G$10001,0)),"")</f>
        <v/>
      </c>
    </row>
    <row r="3992">
      <c r="A3992">
        <f>IFERROR(INDEX('Email Cleaner'!$B$2:$B$10001,MATCH(3991,'Email Cleaner'!$G$2:$G$10001,0)),"")</f>
        <v/>
      </c>
    </row>
    <row r="3993">
      <c r="A3993">
        <f>IFERROR(INDEX('Email Cleaner'!$B$2:$B$10001,MATCH(3992,'Email Cleaner'!$G$2:$G$10001,0)),"")</f>
        <v/>
      </c>
    </row>
    <row r="3994">
      <c r="A3994">
        <f>IFERROR(INDEX('Email Cleaner'!$B$2:$B$10001,MATCH(3993,'Email Cleaner'!$G$2:$G$10001,0)),"")</f>
        <v/>
      </c>
    </row>
    <row r="3995">
      <c r="A3995">
        <f>IFERROR(INDEX('Email Cleaner'!$B$2:$B$10001,MATCH(3994,'Email Cleaner'!$G$2:$G$10001,0)),"")</f>
        <v/>
      </c>
    </row>
    <row r="3996">
      <c r="A3996">
        <f>IFERROR(INDEX('Email Cleaner'!$B$2:$B$10001,MATCH(3995,'Email Cleaner'!$G$2:$G$10001,0)),"")</f>
        <v/>
      </c>
    </row>
    <row r="3997">
      <c r="A3997">
        <f>IFERROR(INDEX('Email Cleaner'!$B$2:$B$10001,MATCH(3996,'Email Cleaner'!$G$2:$G$10001,0)),"")</f>
        <v/>
      </c>
    </row>
    <row r="3998">
      <c r="A3998">
        <f>IFERROR(INDEX('Email Cleaner'!$B$2:$B$10001,MATCH(3997,'Email Cleaner'!$G$2:$G$10001,0)),"")</f>
        <v/>
      </c>
    </row>
    <row r="3999">
      <c r="A3999">
        <f>IFERROR(INDEX('Email Cleaner'!$B$2:$B$10001,MATCH(3998,'Email Cleaner'!$G$2:$G$10001,0)),"")</f>
        <v/>
      </c>
    </row>
    <row r="4000">
      <c r="A4000">
        <f>IFERROR(INDEX('Email Cleaner'!$B$2:$B$10001,MATCH(3999,'Email Cleaner'!$G$2:$G$10001,0)),"")</f>
        <v/>
      </c>
    </row>
    <row r="4001">
      <c r="A4001">
        <f>IFERROR(INDEX('Email Cleaner'!$B$2:$B$10001,MATCH(4000,'Email Cleaner'!$G$2:$G$10001,0)),"")</f>
        <v/>
      </c>
    </row>
    <row r="4002">
      <c r="A4002">
        <f>IFERROR(INDEX('Email Cleaner'!$B$2:$B$10001,MATCH(4001,'Email Cleaner'!$G$2:$G$10001,0)),"")</f>
        <v/>
      </c>
    </row>
    <row r="4003">
      <c r="A4003">
        <f>IFERROR(INDEX('Email Cleaner'!$B$2:$B$10001,MATCH(4002,'Email Cleaner'!$G$2:$G$10001,0)),"")</f>
        <v/>
      </c>
    </row>
    <row r="4004">
      <c r="A4004">
        <f>IFERROR(INDEX('Email Cleaner'!$B$2:$B$10001,MATCH(4003,'Email Cleaner'!$G$2:$G$10001,0)),"")</f>
        <v/>
      </c>
    </row>
    <row r="4005">
      <c r="A4005">
        <f>IFERROR(INDEX('Email Cleaner'!$B$2:$B$10001,MATCH(4004,'Email Cleaner'!$G$2:$G$10001,0)),"")</f>
        <v/>
      </c>
    </row>
    <row r="4006">
      <c r="A4006">
        <f>IFERROR(INDEX('Email Cleaner'!$B$2:$B$10001,MATCH(4005,'Email Cleaner'!$G$2:$G$10001,0)),"")</f>
        <v/>
      </c>
    </row>
    <row r="4007">
      <c r="A4007">
        <f>IFERROR(INDEX('Email Cleaner'!$B$2:$B$10001,MATCH(4006,'Email Cleaner'!$G$2:$G$10001,0)),"")</f>
        <v/>
      </c>
    </row>
    <row r="4008">
      <c r="A4008">
        <f>IFERROR(INDEX('Email Cleaner'!$B$2:$B$10001,MATCH(4007,'Email Cleaner'!$G$2:$G$10001,0)),"")</f>
        <v/>
      </c>
    </row>
    <row r="4009">
      <c r="A4009">
        <f>IFERROR(INDEX('Email Cleaner'!$B$2:$B$10001,MATCH(4008,'Email Cleaner'!$G$2:$G$10001,0)),"")</f>
        <v/>
      </c>
    </row>
    <row r="4010">
      <c r="A4010">
        <f>IFERROR(INDEX('Email Cleaner'!$B$2:$B$10001,MATCH(4009,'Email Cleaner'!$G$2:$G$10001,0)),"")</f>
        <v/>
      </c>
    </row>
    <row r="4011">
      <c r="A4011">
        <f>IFERROR(INDEX('Email Cleaner'!$B$2:$B$10001,MATCH(4010,'Email Cleaner'!$G$2:$G$10001,0)),"")</f>
        <v/>
      </c>
    </row>
    <row r="4012">
      <c r="A4012">
        <f>IFERROR(INDEX('Email Cleaner'!$B$2:$B$10001,MATCH(4011,'Email Cleaner'!$G$2:$G$10001,0)),"")</f>
        <v/>
      </c>
    </row>
    <row r="4013">
      <c r="A4013">
        <f>IFERROR(INDEX('Email Cleaner'!$B$2:$B$10001,MATCH(4012,'Email Cleaner'!$G$2:$G$10001,0)),"")</f>
        <v/>
      </c>
    </row>
    <row r="4014">
      <c r="A4014">
        <f>IFERROR(INDEX('Email Cleaner'!$B$2:$B$10001,MATCH(4013,'Email Cleaner'!$G$2:$G$10001,0)),"")</f>
        <v/>
      </c>
    </row>
    <row r="4015">
      <c r="A4015">
        <f>IFERROR(INDEX('Email Cleaner'!$B$2:$B$10001,MATCH(4014,'Email Cleaner'!$G$2:$G$10001,0)),"")</f>
        <v/>
      </c>
    </row>
    <row r="4016">
      <c r="A4016">
        <f>IFERROR(INDEX('Email Cleaner'!$B$2:$B$10001,MATCH(4015,'Email Cleaner'!$G$2:$G$10001,0)),"")</f>
        <v/>
      </c>
    </row>
    <row r="4017">
      <c r="A4017">
        <f>IFERROR(INDEX('Email Cleaner'!$B$2:$B$10001,MATCH(4016,'Email Cleaner'!$G$2:$G$10001,0)),"")</f>
        <v/>
      </c>
    </row>
    <row r="4018">
      <c r="A4018">
        <f>IFERROR(INDEX('Email Cleaner'!$B$2:$B$10001,MATCH(4017,'Email Cleaner'!$G$2:$G$10001,0)),"")</f>
        <v/>
      </c>
    </row>
    <row r="4019">
      <c r="A4019">
        <f>IFERROR(INDEX('Email Cleaner'!$B$2:$B$10001,MATCH(4018,'Email Cleaner'!$G$2:$G$10001,0)),"")</f>
        <v/>
      </c>
    </row>
    <row r="4020">
      <c r="A4020">
        <f>IFERROR(INDEX('Email Cleaner'!$B$2:$B$10001,MATCH(4019,'Email Cleaner'!$G$2:$G$10001,0)),"")</f>
        <v/>
      </c>
    </row>
    <row r="4021">
      <c r="A4021">
        <f>IFERROR(INDEX('Email Cleaner'!$B$2:$B$10001,MATCH(4020,'Email Cleaner'!$G$2:$G$10001,0)),"")</f>
        <v/>
      </c>
    </row>
    <row r="4022">
      <c r="A4022">
        <f>IFERROR(INDEX('Email Cleaner'!$B$2:$B$10001,MATCH(4021,'Email Cleaner'!$G$2:$G$10001,0)),"")</f>
        <v/>
      </c>
    </row>
    <row r="4023">
      <c r="A4023">
        <f>IFERROR(INDEX('Email Cleaner'!$B$2:$B$10001,MATCH(4022,'Email Cleaner'!$G$2:$G$10001,0)),"")</f>
        <v/>
      </c>
    </row>
    <row r="4024">
      <c r="A4024">
        <f>IFERROR(INDEX('Email Cleaner'!$B$2:$B$10001,MATCH(4023,'Email Cleaner'!$G$2:$G$10001,0)),"")</f>
        <v/>
      </c>
    </row>
    <row r="4025">
      <c r="A4025">
        <f>IFERROR(INDEX('Email Cleaner'!$B$2:$B$10001,MATCH(4024,'Email Cleaner'!$G$2:$G$10001,0)),"")</f>
        <v/>
      </c>
    </row>
    <row r="4026">
      <c r="A4026">
        <f>IFERROR(INDEX('Email Cleaner'!$B$2:$B$10001,MATCH(4025,'Email Cleaner'!$G$2:$G$10001,0)),"")</f>
        <v/>
      </c>
    </row>
    <row r="4027">
      <c r="A4027">
        <f>IFERROR(INDEX('Email Cleaner'!$B$2:$B$10001,MATCH(4026,'Email Cleaner'!$G$2:$G$10001,0)),"")</f>
        <v/>
      </c>
    </row>
    <row r="4028">
      <c r="A4028">
        <f>IFERROR(INDEX('Email Cleaner'!$B$2:$B$10001,MATCH(4027,'Email Cleaner'!$G$2:$G$10001,0)),"")</f>
        <v/>
      </c>
    </row>
    <row r="4029">
      <c r="A4029">
        <f>IFERROR(INDEX('Email Cleaner'!$B$2:$B$10001,MATCH(4028,'Email Cleaner'!$G$2:$G$10001,0)),"")</f>
        <v/>
      </c>
    </row>
    <row r="4030">
      <c r="A4030">
        <f>IFERROR(INDEX('Email Cleaner'!$B$2:$B$10001,MATCH(4029,'Email Cleaner'!$G$2:$G$10001,0)),"")</f>
        <v/>
      </c>
    </row>
    <row r="4031">
      <c r="A4031">
        <f>IFERROR(INDEX('Email Cleaner'!$B$2:$B$10001,MATCH(4030,'Email Cleaner'!$G$2:$G$10001,0)),"")</f>
        <v/>
      </c>
    </row>
    <row r="4032">
      <c r="A4032">
        <f>IFERROR(INDEX('Email Cleaner'!$B$2:$B$10001,MATCH(4031,'Email Cleaner'!$G$2:$G$10001,0)),"")</f>
        <v/>
      </c>
    </row>
    <row r="4033">
      <c r="A4033">
        <f>IFERROR(INDEX('Email Cleaner'!$B$2:$B$10001,MATCH(4032,'Email Cleaner'!$G$2:$G$10001,0)),"")</f>
        <v/>
      </c>
    </row>
    <row r="4034">
      <c r="A4034">
        <f>IFERROR(INDEX('Email Cleaner'!$B$2:$B$10001,MATCH(4033,'Email Cleaner'!$G$2:$G$10001,0)),"")</f>
        <v/>
      </c>
    </row>
    <row r="4035">
      <c r="A4035">
        <f>IFERROR(INDEX('Email Cleaner'!$B$2:$B$10001,MATCH(4034,'Email Cleaner'!$G$2:$G$10001,0)),"")</f>
        <v/>
      </c>
    </row>
    <row r="4036">
      <c r="A4036">
        <f>IFERROR(INDEX('Email Cleaner'!$B$2:$B$10001,MATCH(4035,'Email Cleaner'!$G$2:$G$10001,0)),"")</f>
        <v/>
      </c>
    </row>
    <row r="4037">
      <c r="A4037">
        <f>IFERROR(INDEX('Email Cleaner'!$B$2:$B$10001,MATCH(4036,'Email Cleaner'!$G$2:$G$10001,0)),"")</f>
        <v/>
      </c>
    </row>
    <row r="4038">
      <c r="A4038">
        <f>IFERROR(INDEX('Email Cleaner'!$B$2:$B$10001,MATCH(4037,'Email Cleaner'!$G$2:$G$10001,0)),"")</f>
        <v/>
      </c>
    </row>
    <row r="4039">
      <c r="A4039">
        <f>IFERROR(INDEX('Email Cleaner'!$B$2:$B$10001,MATCH(4038,'Email Cleaner'!$G$2:$G$10001,0)),"")</f>
        <v/>
      </c>
    </row>
    <row r="4040">
      <c r="A4040">
        <f>IFERROR(INDEX('Email Cleaner'!$B$2:$B$10001,MATCH(4039,'Email Cleaner'!$G$2:$G$10001,0)),"")</f>
        <v/>
      </c>
    </row>
    <row r="4041">
      <c r="A4041">
        <f>IFERROR(INDEX('Email Cleaner'!$B$2:$B$10001,MATCH(4040,'Email Cleaner'!$G$2:$G$10001,0)),"")</f>
        <v/>
      </c>
    </row>
    <row r="4042">
      <c r="A4042">
        <f>IFERROR(INDEX('Email Cleaner'!$B$2:$B$10001,MATCH(4041,'Email Cleaner'!$G$2:$G$10001,0)),"")</f>
        <v/>
      </c>
    </row>
    <row r="4043">
      <c r="A4043">
        <f>IFERROR(INDEX('Email Cleaner'!$B$2:$B$10001,MATCH(4042,'Email Cleaner'!$G$2:$G$10001,0)),"")</f>
        <v/>
      </c>
    </row>
    <row r="4044">
      <c r="A4044">
        <f>IFERROR(INDEX('Email Cleaner'!$B$2:$B$10001,MATCH(4043,'Email Cleaner'!$G$2:$G$10001,0)),"")</f>
        <v/>
      </c>
    </row>
    <row r="4045">
      <c r="A4045">
        <f>IFERROR(INDEX('Email Cleaner'!$B$2:$B$10001,MATCH(4044,'Email Cleaner'!$G$2:$G$10001,0)),"")</f>
        <v/>
      </c>
    </row>
    <row r="4046">
      <c r="A4046">
        <f>IFERROR(INDEX('Email Cleaner'!$B$2:$B$10001,MATCH(4045,'Email Cleaner'!$G$2:$G$10001,0)),"")</f>
        <v/>
      </c>
    </row>
    <row r="4047">
      <c r="A4047">
        <f>IFERROR(INDEX('Email Cleaner'!$B$2:$B$10001,MATCH(4046,'Email Cleaner'!$G$2:$G$10001,0)),"")</f>
        <v/>
      </c>
    </row>
    <row r="4048">
      <c r="A4048">
        <f>IFERROR(INDEX('Email Cleaner'!$B$2:$B$10001,MATCH(4047,'Email Cleaner'!$G$2:$G$10001,0)),"")</f>
        <v/>
      </c>
    </row>
    <row r="4049">
      <c r="A4049">
        <f>IFERROR(INDEX('Email Cleaner'!$B$2:$B$10001,MATCH(4048,'Email Cleaner'!$G$2:$G$10001,0)),"")</f>
        <v/>
      </c>
    </row>
    <row r="4050">
      <c r="A4050">
        <f>IFERROR(INDEX('Email Cleaner'!$B$2:$B$10001,MATCH(4049,'Email Cleaner'!$G$2:$G$10001,0)),"")</f>
        <v/>
      </c>
    </row>
    <row r="4051">
      <c r="A4051">
        <f>IFERROR(INDEX('Email Cleaner'!$B$2:$B$10001,MATCH(4050,'Email Cleaner'!$G$2:$G$10001,0)),"")</f>
        <v/>
      </c>
    </row>
    <row r="4052">
      <c r="A4052">
        <f>IFERROR(INDEX('Email Cleaner'!$B$2:$B$10001,MATCH(4051,'Email Cleaner'!$G$2:$G$10001,0)),"")</f>
        <v/>
      </c>
    </row>
    <row r="4053">
      <c r="A4053">
        <f>IFERROR(INDEX('Email Cleaner'!$B$2:$B$10001,MATCH(4052,'Email Cleaner'!$G$2:$G$10001,0)),"")</f>
        <v/>
      </c>
    </row>
    <row r="4054">
      <c r="A4054">
        <f>IFERROR(INDEX('Email Cleaner'!$B$2:$B$10001,MATCH(4053,'Email Cleaner'!$G$2:$G$10001,0)),"")</f>
        <v/>
      </c>
    </row>
    <row r="4055">
      <c r="A4055">
        <f>IFERROR(INDEX('Email Cleaner'!$B$2:$B$10001,MATCH(4054,'Email Cleaner'!$G$2:$G$10001,0)),"")</f>
        <v/>
      </c>
    </row>
    <row r="4056">
      <c r="A4056">
        <f>IFERROR(INDEX('Email Cleaner'!$B$2:$B$10001,MATCH(4055,'Email Cleaner'!$G$2:$G$10001,0)),"")</f>
        <v/>
      </c>
    </row>
    <row r="4057">
      <c r="A4057">
        <f>IFERROR(INDEX('Email Cleaner'!$B$2:$B$10001,MATCH(4056,'Email Cleaner'!$G$2:$G$10001,0)),"")</f>
        <v/>
      </c>
    </row>
    <row r="4058">
      <c r="A4058">
        <f>IFERROR(INDEX('Email Cleaner'!$B$2:$B$10001,MATCH(4057,'Email Cleaner'!$G$2:$G$10001,0)),"")</f>
        <v/>
      </c>
    </row>
    <row r="4059">
      <c r="A4059">
        <f>IFERROR(INDEX('Email Cleaner'!$B$2:$B$10001,MATCH(4058,'Email Cleaner'!$G$2:$G$10001,0)),"")</f>
        <v/>
      </c>
    </row>
    <row r="4060">
      <c r="A4060">
        <f>IFERROR(INDEX('Email Cleaner'!$B$2:$B$10001,MATCH(4059,'Email Cleaner'!$G$2:$G$10001,0)),"")</f>
        <v/>
      </c>
    </row>
    <row r="4061">
      <c r="A4061">
        <f>IFERROR(INDEX('Email Cleaner'!$B$2:$B$10001,MATCH(4060,'Email Cleaner'!$G$2:$G$10001,0)),"")</f>
        <v/>
      </c>
    </row>
    <row r="4062">
      <c r="A4062">
        <f>IFERROR(INDEX('Email Cleaner'!$B$2:$B$10001,MATCH(4061,'Email Cleaner'!$G$2:$G$10001,0)),"")</f>
        <v/>
      </c>
    </row>
    <row r="4063">
      <c r="A4063">
        <f>IFERROR(INDEX('Email Cleaner'!$B$2:$B$10001,MATCH(4062,'Email Cleaner'!$G$2:$G$10001,0)),"")</f>
        <v/>
      </c>
    </row>
    <row r="4064">
      <c r="A4064">
        <f>IFERROR(INDEX('Email Cleaner'!$B$2:$B$10001,MATCH(4063,'Email Cleaner'!$G$2:$G$10001,0)),"")</f>
        <v/>
      </c>
    </row>
    <row r="4065">
      <c r="A4065">
        <f>IFERROR(INDEX('Email Cleaner'!$B$2:$B$10001,MATCH(4064,'Email Cleaner'!$G$2:$G$10001,0)),"")</f>
        <v/>
      </c>
    </row>
    <row r="4066">
      <c r="A4066">
        <f>IFERROR(INDEX('Email Cleaner'!$B$2:$B$10001,MATCH(4065,'Email Cleaner'!$G$2:$G$10001,0)),"")</f>
        <v/>
      </c>
    </row>
    <row r="4067">
      <c r="A4067">
        <f>IFERROR(INDEX('Email Cleaner'!$B$2:$B$10001,MATCH(4066,'Email Cleaner'!$G$2:$G$10001,0)),"")</f>
        <v/>
      </c>
    </row>
    <row r="4068">
      <c r="A4068">
        <f>IFERROR(INDEX('Email Cleaner'!$B$2:$B$10001,MATCH(4067,'Email Cleaner'!$G$2:$G$10001,0)),"")</f>
        <v/>
      </c>
    </row>
    <row r="4069">
      <c r="A4069">
        <f>IFERROR(INDEX('Email Cleaner'!$B$2:$B$10001,MATCH(4068,'Email Cleaner'!$G$2:$G$10001,0)),"")</f>
        <v/>
      </c>
    </row>
    <row r="4070">
      <c r="A4070">
        <f>IFERROR(INDEX('Email Cleaner'!$B$2:$B$10001,MATCH(4069,'Email Cleaner'!$G$2:$G$10001,0)),"")</f>
        <v/>
      </c>
    </row>
    <row r="4071">
      <c r="A4071">
        <f>IFERROR(INDEX('Email Cleaner'!$B$2:$B$10001,MATCH(4070,'Email Cleaner'!$G$2:$G$10001,0)),"")</f>
        <v/>
      </c>
    </row>
    <row r="4072">
      <c r="A4072">
        <f>IFERROR(INDEX('Email Cleaner'!$B$2:$B$10001,MATCH(4071,'Email Cleaner'!$G$2:$G$10001,0)),"")</f>
        <v/>
      </c>
    </row>
    <row r="4073">
      <c r="A4073">
        <f>IFERROR(INDEX('Email Cleaner'!$B$2:$B$10001,MATCH(4072,'Email Cleaner'!$G$2:$G$10001,0)),"")</f>
        <v/>
      </c>
    </row>
    <row r="4074">
      <c r="A4074">
        <f>IFERROR(INDEX('Email Cleaner'!$B$2:$B$10001,MATCH(4073,'Email Cleaner'!$G$2:$G$10001,0)),"")</f>
        <v/>
      </c>
    </row>
    <row r="4075">
      <c r="A4075">
        <f>IFERROR(INDEX('Email Cleaner'!$B$2:$B$10001,MATCH(4074,'Email Cleaner'!$G$2:$G$10001,0)),"")</f>
        <v/>
      </c>
    </row>
    <row r="4076">
      <c r="A4076">
        <f>IFERROR(INDEX('Email Cleaner'!$B$2:$B$10001,MATCH(4075,'Email Cleaner'!$G$2:$G$10001,0)),"")</f>
        <v/>
      </c>
    </row>
    <row r="4077">
      <c r="A4077">
        <f>IFERROR(INDEX('Email Cleaner'!$B$2:$B$10001,MATCH(4076,'Email Cleaner'!$G$2:$G$10001,0)),"")</f>
        <v/>
      </c>
    </row>
    <row r="4078">
      <c r="A4078">
        <f>IFERROR(INDEX('Email Cleaner'!$B$2:$B$10001,MATCH(4077,'Email Cleaner'!$G$2:$G$10001,0)),"")</f>
        <v/>
      </c>
    </row>
    <row r="4079">
      <c r="A4079">
        <f>IFERROR(INDEX('Email Cleaner'!$B$2:$B$10001,MATCH(4078,'Email Cleaner'!$G$2:$G$10001,0)),"")</f>
        <v/>
      </c>
    </row>
    <row r="4080">
      <c r="A4080">
        <f>IFERROR(INDEX('Email Cleaner'!$B$2:$B$10001,MATCH(4079,'Email Cleaner'!$G$2:$G$10001,0)),"")</f>
        <v/>
      </c>
    </row>
    <row r="4081">
      <c r="A4081">
        <f>IFERROR(INDEX('Email Cleaner'!$B$2:$B$10001,MATCH(4080,'Email Cleaner'!$G$2:$G$10001,0)),"")</f>
        <v/>
      </c>
    </row>
    <row r="4082">
      <c r="A4082">
        <f>IFERROR(INDEX('Email Cleaner'!$B$2:$B$10001,MATCH(4081,'Email Cleaner'!$G$2:$G$10001,0)),"")</f>
        <v/>
      </c>
    </row>
    <row r="4083">
      <c r="A4083">
        <f>IFERROR(INDEX('Email Cleaner'!$B$2:$B$10001,MATCH(4082,'Email Cleaner'!$G$2:$G$10001,0)),"")</f>
        <v/>
      </c>
    </row>
    <row r="4084">
      <c r="A4084">
        <f>IFERROR(INDEX('Email Cleaner'!$B$2:$B$10001,MATCH(4083,'Email Cleaner'!$G$2:$G$10001,0)),"")</f>
        <v/>
      </c>
    </row>
    <row r="4085">
      <c r="A4085">
        <f>IFERROR(INDEX('Email Cleaner'!$B$2:$B$10001,MATCH(4084,'Email Cleaner'!$G$2:$G$10001,0)),"")</f>
        <v/>
      </c>
    </row>
    <row r="4086">
      <c r="A4086">
        <f>IFERROR(INDEX('Email Cleaner'!$B$2:$B$10001,MATCH(4085,'Email Cleaner'!$G$2:$G$10001,0)),"")</f>
        <v/>
      </c>
    </row>
    <row r="4087">
      <c r="A4087">
        <f>IFERROR(INDEX('Email Cleaner'!$B$2:$B$10001,MATCH(4086,'Email Cleaner'!$G$2:$G$10001,0)),"")</f>
        <v/>
      </c>
    </row>
    <row r="4088">
      <c r="A4088">
        <f>IFERROR(INDEX('Email Cleaner'!$B$2:$B$10001,MATCH(4087,'Email Cleaner'!$G$2:$G$10001,0)),"")</f>
        <v/>
      </c>
    </row>
    <row r="4089">
      <c r="A4089">
        <f>IFERROR(INDEX('Email Cleaner'!$B$2:$B$10001,MATCH(4088,'Email Cleaner'!$G$2:$G$10001,0)),"")</f>
        <v/>
      </c>
    </row>
    <row r="4090">
      <c r="A4090">
        <f>IFERROR(INDEX('Email Cleaner'!$B$2:$B$10001,MATCH(4089,'Email Cleaner'!$G$2:$G$10001,0)),"")</f>
        <v/>
      </c>
    </row>
    <row r="4091">
      <c r="A4091">
        <f>IFERROR(INDEX('Email Cleaner'!$B$2:$B$10001,MATCH(4090,'Email Cleaner'!$G$2:$G$10001,0)),"")</f>
        <v/>
      </c>
    </row>
    <row r="4092">
      <c r="A4092">
        <f>IFERROR(INDEX('Email Cleaner'!$B$2:$B$10001,MATCH(4091,'Email Cleaner'!$G$2:$G$10001,0)),"")</f>
        <v/>
      </c>
    </row>
    <row r="4093">
      <c r="A4093">
        <f>IFERROR(INDEX('Email Cleaner'!$B$2:$B$10001,MATCH(4092,'Email Cleaner'!$G$2:$G$10001,0)),"")</f>
        <v/>
      </c>
    </row>
    <row r="4094">
      <c r="A4094">
        <f>IFERROR(INDEX('Email Cleaner'!$B$2:$B$10001,MATCH(4093,'Email Cleaner'!$G$2:$G$10001,0)),"")</f>
        <v/>
      </c>
    </row>
    <row r="4095">
      <c r="A4095">
        <f>IFERROR(INDEX('Email Cleaner'!$B$2:$B$10001,MATCH(4094,'Email Cleaner'!$G$2:$G$10001,0)),"")</f>
        <v/>
      </c>
    </row>
    <row r="4096">
      <c r="A4096">
        <f>IFERROR(INDEX('Email Cleaner'!$B$2:$B$10001,MATCH(4095,'Email Cleaner'!$G$2:$G$10001,0)),"")</f>
        <v/>
      </c>
    </row>
    <row r="4097">
      <c r="A4097">
        <f>IFERROR(INDEX('Email Cleaner'!$B$2:$B$10001,MATCH(4096,'Email Cleaner'!$G$2:$G$10001,0)),"")</f>
        <v/>
      </c>
    </row>
    <row r="4098">
      <c r="A4098">
        <f>IFERROR(INDEX('Email Cleaner'!$B$2:$B$10001,MATCH(4097,'Email Cleaner'!$G$2:$G$10001,0)),"")</f>
        <v/>
      </c>
    </row>
    <row r="4099">
      <c r="A4099">
        <f>IFERROR(INDEX('Email Cleaner'!$B$2:$B$10001,MATCH(4098,'Email Cleaner'!$G$2:$G$10001,0)),"")</f>
        <v/>
      </c>
    </row>
    <row r="4100">
      <c r="A4100">
        <f>IFERROR(INDEX('Email Cleaner'!$B$2:$B$10001,MATCH(4099,'Email Cleaner'!$G$2:$G$10001,0)),"")</f>
        <v/>
      </c>
    </row>
    <row r="4101">
      <c r="A4101">
        <f>IFERROR(INDEX('Email Cleaner'!$B$2:$B$10001,MATCH(4100,'Email Cleaner'!$G$2:$G$10001,0)),"")</f>
        <v/>
      </c>
    </row>
    <row r="4102">
      <c r="A4102">
        <f>IFERROR(INDEX('Email Cleaner'!$B$2:$B$10001,MATCH(4101,'Email Cleaner'!$G$2:$G$10001,0)),"")</f>
        <v/>
      </c>
    </row>
    <row r="4103">
      <c r="A4103">
        <f>IFERROR(INDEX('Email Cleaner'!$B$2:$B$10001,MATCH(4102,'Email Cleaner'!$G$2:$G$10001,0)),"")</f>
        <v/>
      </c>
    </row>
    <row r="4104">
      <c r="A4104">
        <f>IFERROR(INDEX('Email Cleaner'!$B$2:$B$10001,MATCH(4103,'Email Cleaner'!$G$2:$G$10001,0)),"")</f>
        <v/>
      </c>
    </row>
    <row r="4105">
      <c r="A4105">
        <f>IFERROR(INDEX('Email Cleaner'!$B$2:$B$10001,MATCH(4104,'Email Cleaner'!$G$2:$G$10001,0)),"")</f>
        <v/>
      </c>
    </row>
    <row r="4106">
      <c r="A4106">
        <f>IFERROR(INDEX('Email Cleaner'!$B$2:$B$10001,MATCH(4105,'Email Cleaner'!$G$2:$G$10001,0)),"")</f>
        <v/>
      </c>
    </row>
    <row r="4107">
      <c r="A4107">
        <f>IFERROR(INDEX('Email Cleaner'!$B$2:$B$10001,MATCH(4106,'Email Cleaner'!$G$2:$G$10001,0)),"")</f>
        <v/>
      </c>
    </row>
    <row r="4108">
      <c r="A4108">
        <f>IFERROR(INDEX('Email Cleaner'!$B$2:$B$10001,MATCH(4107,'Email Cleaner'!$G$2:$G$10001,0)),"")</f>
        <v/>
      </c>
    </row>
    <row r="4109">
      <c r="A4109">
        <f>IFERROR(INDEX('Email Cleaner'!$B$2:$B$10001,MATCH(4108,'Email Cleaner'!$G$2:$G$10001,0)),"")</f>
        <v/>
      </c>
    </row>
    <row r="4110">
      <c r="A4110">
        <f>IFERROR(INDEX('Email Cleaner'!$B$2:$B$10001,MATCH(4109,'Email Cleaner'!$G$2:$G$10001,0)),"")</f>
        <v/>
      </c>
    </row>
    <row r="4111">
      <c r="A4111">
        <f>IFERROR(INDEX('Email Cleaner'!$B$2:$B$10001,MATCH(4110,'Email Cleaner'!$G$2:$G$10001,0)),"")</f>
        <v/>
      </c>
    </row>
    <row r="4112">
      <c r="A4112">
        <f>IFERROR(INDEX('Email Cleaner'!$B$2:$B$10001,MATCH(4111,'Email Cleaner'!$G$2:$G$10001,0)),"")</f>
        <v/>
      </c>
    </row>
    <row r="4113">
      <c r="A4113">
        <f>IFERROR(INDEX('Email Cleaner'!$B$2:$B$10001,MATCH(4112,'Email Cleaner'!$G$2:$G$10001,0)),"")</f>
        <v/>
      </c>
    </row>
    <row r="4114">
      <c r="A4114">
        <f>IFERROR(INDEX('Email Cleaner'!$B$2:$B$10001,MATCH(4113,'Email Cleaner'!$G$2:$G$10001,0)),"")</f>
        <v/>
      </c>
    </row>
    <row r="4115">
      <c r="A4115">
        <f>IFERROR(INDEX('Email Cleaner'!$B$2:$B$10001,MATCH(4114,'Email Cleaner'!$G$2:$G$10001,0)),"")</f>
        <v/>
      </c>
    </row>
    <row r="4116">
      <c r="A4116">
        <f>IFERROR(INDEX('Email Cleaner'!$B$2:$B$10001,MATCH(4115,'Email Cleaner'!$G$2:$G$10001,0)),"")</f>
        <v/>
      </c>
    </row>
    <row r="4117">
      <c r="A4117">
        <f>IFERROR(INDEX('Email Cleaner'!$B$2:$B$10001,MATCH(4116,'Email Cleaner'!$G$2:$G$10001,0)),"")</f>
        <v/>
      </c>
    </row>
    <row r="4118">
      <c r="A4118">
        <f>IFERROR(INDEX('Email Cleaner'!$B$2:$B$10001,MATCH(4117,'Email Cleaner'!$G$2:$G$10001,0)),"")</f>
        <v/>
      </c>
    </row>
    <row r="4119">
      <c r="A4119">
        <f>IFERROR(INDEX('Email Cleaner'!$B$2:$B$10001,MATCH(4118,'Email Cleaner'!$G$2:$G$10001,0)),"")</f>
        <v/>
      </c>
    </row>
    <row r="4120">
      <c r="A4120">
        <f>IFERROR(INDEX('Email Cleaner'!$B$2:$B$10001,MATCH(4119,'Email Cleaner'!$G$2:$G$10001,0)),"")</f>
        <v/>
      </c>
    </row>
    <row r="4121">
      <c r="A4121">
        <f>IFERROR(INDEX('Email Cleaner'!$B$2:$B$10001,MATCH(4120,'Email Cleaner'!$G$2:$G$10001,0)),"")</f>
        <v/>
      </c>
    </row>
    <row r="4122">
      <c r="A4122">
        <f>IFERROR(INDEX('Email Cleaner'!$B$2:$B$10001,MATCH(4121,'Email Cleaner'!$G$2:$G$10001,0)),"")</f>
        <v/>
      </c>
    </row>
    <row r="4123">
      <c r="A4123">
        <f>IFERROR(INDEX('Email Cleaner'!$B$2:$B$10001,MATCH(4122,'Email Cleaner'!$G$2:$G$10001,0)),"")</f>
        <v/>
      </c>
    </row>
    <row r="4124">
      <c r="A4124">
        <f>IFERROR(INDEX('Email Cleaner'!$B$2:$B$10001,MATCH(4123,'Email Cleaner'!$G$2:$G$10001,0)),"")</f>
        <v/>
      </c>
    </row>
    <row r="4125">
      <c r="A4125">
        <f>IFERROR(INDEX('Email Cleaner'!$B$2:$B$10001,MATCH(4124,'Email Cleaner'!$G$2:$G$10001,0)),"")</f>
        <v/>
      </c>
    </row>
    <row r="4126">
      <c r="A4126">
        <f>IFERROR(INDEX('Email Cleaner'!$B$2:$B$10001,MATCH(4125,'Email Cleaner'!$G$2:$G$10001,0)),"")</f>
        <v/>
      </c>
    </row>
    <row r="4127">
      <c r="A4127">
        <f>IFERROR(INDEX('Email Cleaner'!$B$2:$B$10001,MATCH(4126,'Email Cleaner'!$G$2:$G$10001,0)),"")</f>
        <v/>
      </c>
    </row>
    <row r="4128">
      <c r="A4128">
        <f>IFERROR(INDEX('Email Cleaner'!$B$2:$B$10001,MATCH(4127,'Email Cleaner'!$G$2:$G$10001,0)),"")</f>
        <v/>
      </c>
    </row>
    <row r="4129">
      <c r="A4129">
        <f>IFERROR(INDEX('Email Cleaner'!$B$2:$B$10001,MATCH(4128,'Email Cleaner'!$G$2:$G$10001,0)),"")</f>
        <v/>
      </c>
    </row>
    <row r="4130">
      <c r="A4130">
        <f>IFERROR(INDEX('Email Cleaner'!$B$2:$B$10001,MATCH(4129,'Email Cleaner'!$G$2:$G$10001,0)),"")</f>
        <v/>
      </c>
    </row>
    <row r="4131">
      <c r="A4131">
        <f>IFERROR(INDEX('Email Cleaner'!$B$2:$B$10001,MATCH(4130,'Email Cleaner'!$G$2:$G$10001,0)),"")</f>
        <v/>
      </c>
    </row>
    <row r="4132">
      <c r="A4132">
        <f>IFERROR(INDEX('Email Cleaner'!$B$2:$B$10001,MATCH(4131,'Email Cleaner'!$G$2:$G$10001,0)),"")</f>
        <v/>
      </c>
    </row>
    <row r="4133">
      <c r="A4133">
        <f>IFERROR(INDEX('Email Cleaner'!$B$2:$B$10001,MATCH(4132,'Email Cleaner'!$G$2:$G$10001,0)),"")</f>
        <v/>
      </c>
    </row>
    <row r="4134">
      <c r="A4134">
        <f>IFERROR(INDEX('Email Cleaner'!$B$2:$B$10001,MATCH(4133,'Email Cleaner'!$G$2:$G$10001,0)),"")</f>
        <v/>
      </c>
    </row>
    <row r="4135">
      <c r="A4135">
        <f>IFERROR(INDEX('Email Cleaner'!$B$2:$B$10001,MATCH(4134,'Email Cleaner'!$G$2:$G$10001,0)),"")</f>
        <v/>
      </c>
    </row>
    <row r="4136">
      <c r="A4136">
        <f>IFERROR(INDEX('Email Cleaner'!$B$2:$B$10001,MATCH(4135,'Email Cleaner'!$G$2:$G$10001,0)),"")</f>
        <v/>
      </c>
    </row>
    <row r="4137">
      <c r="A4137">
        <f>IFERROR(INDEX('Email Cleaner'!$B$2:$B$10001,MATCH(4136,'Email Cleaner'!$G$2:$G$10001,0)),"")</f>
        <v/>
      </c>
    </row>
    <row r="4138">
      <c r="A4138">
        <f>IFERROR(INDEX('Email Cleaner'!$B$2:$B$10001,MATCH(4137,'Email Cleaner'!$G$2:$G$10001,0)),"")</f>
        <v/>
      </c>
    </row>
    <row r="4139">
      <c r="A4139">
        <f>IFERROR(INDEX('Email Cleaner'!$B$2:$B$10001,MATCH(4138,'Email Cleaner'!$G$2:$G$10001,0)),"")</f>
        <v/>
      </c>
    </row>
    <row r="4140">
      <c r="A4140">
        <f>IFERROR(INDEX('Email Cleaner'!$B$2:$B$10001,MATCH(4139,'Email Cleaner'!$G$2:$G$10001,0)),"")</f>
        <v/>
      </c>
    </row>
    <row r="4141">
      <c r="A4141">
        <f>IFERROR(INDEX('Email Cleaner'!$B$2:$B$10001,MATCH(4140,'Email Cleaner'!$G$2:$G$10001,0)),"")</f>
        <v/>
      </c>
    </row>
    <row r="4142">
      <c r="A4142">
        <f>IFERROR(INDEX('Email Cleaner'!$B$2:$B$10001,MATCH(4141,'Email Cleaner'!$G$2:$G$10001,0)),"")</f>
        <v/>
      </c>
    </row>
    <row r="4143">
      <c r="A4143">
        <f>IFERROR(INDEX('Email Cleaner'!$B$2:$B$10001,MATCH(4142,'Email Cleaner'!$G$2:$G$10001,0)),"")</f>
        <v/>
      </c>
    </row>
    <row r="4144">
      <c r="A4144">
        <f>IFERROR(INDEX('Email Cleaner'!$B$2:$B$10001,MATCH(4143,'Email Cleaner'!$G$2:$G$10001,0)),"")</f>
        <v/>
      </c>
    </row>
    <row r="4145">
      <c r="A4145">
        <f>IFERROR(INDEX('Email Cleaner'!$B$2:$B$10001,MATCH(4144,'Email Cleaner'!$G$2:$G$10001,0)),"")</f>
        <v/>
      </c>
    </row>
    <row r="4146">
      <c r="A4146">
        <f>IFERROR(INDEX('Email Cleaner'!$B$2:$B$10001,MATCH(4145,'Email Cleaner'!$G$2:$G$10001,0)),"")</f>
        <v/>
      </c>
    </row>
    <row r="4147">
      <c r="A4147">
        <f>IFERROR(INDEX('Email Cleaner'!$B$2:$B$10001,MATCH(4146,'Email Cleaner'!$G$2:$G$10001,0)),"")</f>
        <v/>
      </c>
    </row>
    <row r="4148">
      <c r="A4148">
        <f>IFERROR(INDEX('Email Cleaner'!$B$2:$B$10001,MATCH(4147,'Email Cleaner'!$G$2:$G$10001,0)),"")</f>
        <v/>
      </c>
    </row>
    <row r="4149">
      <c r="A4149">
        <f>IFERROR(INDEX('Email Cleaner'!$B$2:$B$10001,MATCH(4148,'Email Cleaner'!$G$2:$G$10001,0)),"")</f>
        <v/>
      </c>
    </row>
    <row r="4150">
      <c r="A4150">
        <f>IFERROR(INDEX('Email Cleaner'!$B$2:$B$10001,MATCH(4149,'Email Cleaner'!$G$2:$G$10001,0)),"")</f>
        <v/>
      </c>
    </row>
    <row r="4151">
      <c r="A4151">
        <f>IFERROR(INDEX('Email Cleaner'!$B$2:$B$10001,MATCH(4150,'Email Cleaner'!$G$2:$G$10001,0)),"")</f>
        <v/>
      </c>
    </row>
    <row r="4152">
      <c r="A4152">
        <f>IFERROR(INDEX('Email Cleaner'!$B$2:$B$10001,MATCH(4151,'Email Cleaner'!$G$2:$G$10001,0)),"")</f>
        <v/>
      </c>
    </row>
    <row r="4153">
      <c r="A4153">
        <f>IFERROR(INDEX('Email Cleaner'!$B$2:$B$10001,MATCH(4152,'Email Cleaner'!$G$2:$G$10001,0)),"")</f>
        <v/>
      </c>
    </row>
    <row r="4154">
      <c r="A4154">
        <f>IFERROR(INDEX('Email Cleaner'!$B$2:$B$10001,MATCH(4153,'Email Cleaner'!$G$2:$G$10001,0)),"")</f>
        <v/>
      </c>
    </row>
    <row r="4155">
      <c r="A4155">
        <f>IFERROR(INDEX('Email Cleaner'!$B$2:$B$10001,MATCH(4154,'Email Cleaner'!$G$2:$G$10001,0)),"")</f>
        <v/>
      </c>
    </row>
    <row r="4156">
      <c r="A4156">
        <f>IFERROR(INDEX('Email Cleaner'!$B$2:$B$10001,MATCH(4155,'Email Cleaner'!$G$2:$G$10001,0)),"")</f>
        <v/>
      </c>
    </row>
    <row r="4157">
      <c r="A4157">
        <f>IFERROR(INDEX('Email Cleaner'!$B$2:$B$10001,MATCH(4156,'Email Cleaner'!$G$2:$G$10001,0)),"")</f>
        <v/>
      </c>
    </row>
    <row r="4158">
      <c r="A4158">
        <f>IFERROR(INDEX('Email Cleaner'!$B$2:$B$10001,MATCH(4157,'Email Cleaner'!$G$2:$G$10001,0)),"")</f>
        <v/>
      </c>
    </row>
    <row r="4159">
      <c r="A4159">
        <f>IFERROR(INDEX('Email Cleaner'!$B$2:$B$10001,MATCH(4158,'Email Cleaner'!$G$2:$G$10001,0)),"")</f>
        <v/>
      </c>
    </row>
    <row r="4160">
      <c r="A4160">
        <f>IFERROR(INDEX('Email Cleaner'!$B$2:$B$10001,MATCH(4159,'Email Cleaner'!$G$2:$G$10001,0)),"")</f>
        <v/>
      </c>
    </row>
    <row r="4161">
      <c r="A4161">
        <f>IFERROR(INDEX('Email Cleaner'!$B$2:$B$10001,MATCH(4160,'Email Cleaner'!$G$2:$G$10001,0)),"")</f>
        <v/>
      </c>
    </row>
    <row r="4162">
      <c r="A4162">
        <f>IFERROR(INDEX('Email Cleaner'!$B$2:$B$10001,MATCH(4161,'Email Cleaner'!$G$2:$G$10001,0)),"")</f>
        <v/>
      </c>
    </row>
    <row r="4163">
      <c r="A4163">
        <f>IFERROR(INDEX('Email Cleaner'!$B$2:$B$10001,MATCH(4162,'Email Cleaner'!$G$2:$G$10001,0)),"")</f>
        <v/>
      </c>
    </row>
    <row r="4164">
      <c r="A4164">
        <f>IFERROR(INDEX('Email Cleaner'!$B$2:$B$10001,MATCH(4163,'Email Cleaner'!$G$2:$G$10001,0)),"")</f>
        <v/>
      </c>
    </row>
    <row r="4165">
      <c r="A4165">
        <f>IFERROR(INDEX('Email Cleaner'!$B$2:$B$10001,MATCH(4164,'Email Cleaner'!$G$2:$G$10001,0)),"")</f>
        <v/>
      </c>
    </row>
    <row r="4166">
      <c r="A4166">
        <f>IFERROR(INDEX('Email Cleaner'!$B$2:$B$10001,MATCH(4165,'Email Cleaner'!$G$2:$G$10001,0)),"")</f>
        <v/>
      </c>
    </row>
    <row r="4167">
      <c r="A4167">
        <f>IFERROR(INDEX('Email Cleaner'!$B$2:$B$10001,MATCH(4166,'Email Cleaner'!$G$2:$G$10001,0)),"")</f>
        <v/>
      </c>
    </row>
    <row r="4168">
      <c r="A4168">
        <f>IFERROR(INDEX('Email Cleaner'!$B$2:$B$10001,MATCH(4167,'Email Cleaner'!$G$2:$G$10001,0)),"")</f>
        <v/>
      </c>
    </row>
    <row r="4169">
      <c r="A4169">
        <f>IFERROR(INDEX('Email Cleaner'!$B$2:$B$10001,MATCH(4168,'Email Cleaner'!$G$2:$G$10001,0)),"")</f>
        <v/>
      </c>
    </row>
    <row r="4170">
      <c r="A4170">
        <f>IFERROR(INDEX('Email Cleaner'!$B$2:$B$10001,MATCH(4169,'Email Cleaner'!$G$2:$G$10001,0)),"")</f>
        <v/>
      </c>
    </row>
    <row r="4171">
      <c r="A4171">
        <f>IFERROR(INDEX('Email Cleaner'!$B$2:$B$10001,MATCH(4170,'Email Cleaner'!$G$2:$G$10001,0)),"")</f>
        <v/>
      </c>
    </row>
    <row r="4172">
      <c r="A4172">
        <f>IFERROR(INDEX('Email Cleaner'!$B$2:$B$10001,MATCH(4171,'Email Cleaner'!$G$2:$G$10001,0)),"")</f>
        <v/>
      </c>
    </row>
    <row r="4173">
      <c r="A4173">
        <f>IFERROR(INDEX('Email Cleaner'!$B$2:$B$10001,MATCH(4172,'Email Cleaner'!$G$2:$G$10001,0)),"")</f>
        <v/>
      </c>
    </row>
    <row r="4174">
      <c r="A4174">
        <f>IFERROR(INDEX('Email Cleaner'!$B$2:$B$10001,MATCH(4173,'Email Cleaner'!$G$2:$G$10001,0)),"")</f>
        <v/>
      </c>
    </row>
    <row r="4175">
      <c r="A4175">
        <f>IFERROR(INDEX('Email Cleaner'!$B$2:$B$10001,MATCH(4174,'Email Cleaner'!$G$2:$G$10001,0)),"")</f>
        <v/>
      </c>
    </row>
    <row r="4176">
      <c r="A4176">
        <f>IFERROR(INDEX('Email Cleaner'!$B$2:$B$10001,MATCH(4175,'Email Cleaner'!$G$2:$G$10001,0)),"")</f>
        <v/>
      </c>
    </row>
    <row r="4177">
      <c r="A4177">
        <f>IFERROR(INDEX('Email Cleaner'!$B$2:$B$10001,MATCH(4176,'Email Cleaner'!$G$2:$G$10001,0)),"")</f>
        <v/>
      </c>
    </row>
    <row r="4178">
      <c r="A4178">
        <f>IFERROR(INDEX('Email Cleaner'!$B$2:$B$10001,MATCH(4177,'Email Cleaner'!$G$2:$G$10001,0)),"")</f>
        <v/>
      </c>
    </row>
    <row r="4179">
      <c r="A4179">
        <f>IFERROR(INDEX('Email Cleaner'!$B$2:$B$10001,MATCH(4178,'Email Cleaner'!$G$2:$G$10001,0)),"")</f>
        <v/>
      </c>
    </row>
    <row r="4180">
      <c r="A4180">
        <f>IFERROR(INDEX('Email Cleaner'!$B$2:$B$10001,MATCH(4179,'Email Cleaner'!$G$2:$G$10001,0)),"")</f>
        <v/>
      </c>
    </row>
    <row r="4181">
      <c r="A4181">
        <f>IFERROR(INDEX('Email Cleaner'!$B$2:$B$10001,MATCH(4180,'Email Cleaner'!$G$2:$G$10001,0)),"")</f>
        <v/>
      </c>
    </row>
    <row r="4182">
      <c r="A4182">
        <f>IFERROR(INDEX('Email Cleaner'!$B$2:$B$10001,MATCH(4181,'Email Cleaner'!$G$2:$G$10001,0)),"")</f>
        <v/>
      </c>
    </row>
    <row r="4183">
      <c r="A4183">
        <f>IFERROR(INDEX('Email Cleaner'!$B$2:$B$10001,MATCH(4182,'Email Cleaner'!$G$2:$G$10001,0)),"")</f>
        <v/>
      </c>
    </row>
    <row r="4184">
      <c r="A4184">
        <f>IFERROR(INDEX('Email Cleaner'!$B$2:$B$10001,MATCH(4183,'Email Cleaner'!$G$2:$G$10001,0)),"")</f>
        <v/>
      </c>
    </row>
    <row r="4185">
      <c r="A4185">
        <f>IFERROR(INDEX('Email Cleaner'!$B$2:$B$10001,MATCH(4184,'Email Cleaner'!$G$2:$G$10001,0)),"")</f>
        <v/>
      </c>
    </row>
    <row r="4186">
      <c r="A4186">
        <f>IFERROR(INDEX('Email Cleaner'!$B$2:$B$10001,MATCH(4185,'Email Cleaner'!$G$2:$G$10001,0)),"")</f>
        <v/>
      </c>
    </row>
    <row r="4187">
      <c r="A4187">
        <f>IFERROR(INDEX('Email Cleaner'!$B$2:$B$10001,MATCH(4186,'Email Cleaner'!$G$2:$G$10001,0)),"")</f>
        <v/>
      </c>
    </row>
    <row r="4188">
      <c r="A4188">
        <f>IFERROR(INDEX('Email Cleaner'!$B$2:$B$10001,MATCH(4187,'Email Cleaner'!$G$2:$G$10001,0)),"")</f>
        <v/>
      </c>
    </row>
    <row r="4189">
      <c r="A4189">
        <f>IFERROR(INDEX('Email Cleaner'!$B$2:$B$10001,MATCH(4188,'Email Cleaner'!$G$2:$G$10001,0)),"")</f>
        <v/>
      </c>
    </row>
    <row r="4190">
      <c r="A4190">
        <f>IFERROR(INDEX('Email Cleaner'!$B$2:$B$10001,MATCH(4189,'Email Cleaner'!$G$2:$G$10001,0)),"")</f>
        <v/>
      </c>
    </row>
    <row r="4191">
      <c r="A4191">
        <f>IFERROR(INDEX('Email Cleaner'!$B$2:$B$10001,MATCH(4190,'Email Cleaner'!$G$2:$G$10001,0)),"")</f>
        <v/>
      </c>
    </row>
    <row r="4192">
      <c r="A4192">
        <f>IFERROR(INDEX('Email Cleaner'!$B$2:$B$10001,MATCH(4191,'Email Cleaner'!$G$2:$G$10001,0)),"")</f>
        <v/>
      </c>
    </row>
    <row r="4193">
      <c r="A4193">
        <f>IFERROR(INDEX('Email Cleaner'!$B$2:$B$10001,MATCH(4192,'Email Cleaner'!$G$2:$G$10001,0)),"")</f>
        <v/>
      </c>
    </row>
    <row r="4194">
      <c r="A4194">
        <f>IFERROR(INDEX('Email Cleaner'!$B$2:$B$10001,MATCH(4193,'Email Cleaner'!$G$2:$G$10001,0)),"")</f>
        <v/>
      </c>
    </row>
    <row r="4195">
      <c r="A4195">
        <f>IFERROR(INDEX('Email Cleaner'!$B$2:$B$10001,MATCH(4194,'Email Cleaner'!$G$2:$G$10001,0)),"")</f>
        <v/>
      </c>
    </row>
    <row r="4196">
      <c r="A4196">
        <f>IFERROR(INDEX('Email Cleaner'!$B$2:$B$10001,MATCH(4195,'Email Cleaner'!$G$2:$G$10001,0)),"")</f>
        <v/>
      </c>
    </row>
    <row r="4197">
      <c r="A4197">
        <f>IFERROR(INDEX('Email Cleaner'!$B$2:$B$10001,MATCH(4196,'Email Cleaner'!$G$2:$G$10001,0)),"")</f>
        <v/>
      </c>
    </row>
    <row r="4198">
      <c r="A4198">
        <f>IFERROR(INDEX('Email Cleaner'!$B$2:$B$10001,MATCH(4197,'Email Cleaner'!$G$2:$G$10001,0)),"")</f>
        <v/>
      </c>
    </row>
    <row r="4199">
      <c r="A4199">
        <f>IFERROR(INDEX('Email Cleaner'!$B$2:$B$10001,MATCH(4198,'Email Cleaner'!$G$2:$G$10001,0)),"")</f>
        <v/>
      </c>
    </row>
    <row r="4200">
      <c r="A4200">
        <f>IFERROR(INDEX('Email Cleaner'!$B$2:$B$10001,MATCH(4199,'Email Cleaner'!$G$2:$G$10001,0)),"")</f>
        <v/>
      </c>
    </row>
    <row r="4201">
      <c r="A4201">
        <f>IFERROR(INDEX('Email Cleaner'!$B$2:$B$10001,MATCH(4200,'Email Cleaner'!$G$2:$G$10001,0)),"")</f>
        <v/>
      </c>
    </row>
    <row r="4202">
      <c r="A4202">
        <f>IFERROR(INDEX('Email Cleaner'!$B$2:$B$10001,MATCH(4201,'Email Cleaner'!$G$2:$G$10001,0)),"")</f>
        <v/>
      </c>
    </row>
    <row r="4203">
      <c r="A4203">
        <f>IFERROR(INDEX('Email Cleaner'!$B$2:$B$10001,MATCH(4202,'Email Cleaner'!$G$2:$G$10001,0)),"")</f>
        <v/>
      </c>
    </row>
    <row r="4204">
      <c r="A4204">
        <f>IFERROR(INDEX('Email Cleaner'!$B$2:$B$10001,MATCH(4203,'Email Cleaner'!$G$2:$G$10001,0)),"")</f>
        <v/>
      </c>
    </row>
    <row r="4205">
      <c r="A4205">
        <f>IFERROR(INDEX('Email Cleaner'!$B$2:$B$10001,MATCH(4204,'Email Cleaner'!$G$2:$G$10001,0)),"")</f>
        <v/>
      </c>
    </row>
    <row r="4206">
      <c r="A4206">
        <f>IFERROR(INDEX('Email Cleaner'!$B$2:$B$10001,MATCH(4205,'Email Cleaner'!$G$2:$G$10001,0)),"")</f>
        <v/>
      </c>
    </row>
    <row r="4207">
      <c r="A4207">
        <f>IFERROR(INDEX('Email Cleaner'!$B$2:$B$10001,MATCH(4206,'Email Cleaner'!$G$2:$G$10001,0)),"")</f>
        <v/>
      </c>
    </row>
    <row r="4208">
      <c r="A4208">
        <f>IFERROR(INDEX('Email Cleaner'!$B$2:$B$10001,MATCH(4207,'Email Cleaner'!$G$2:$G$10001,0)),"")</f>
        <v/>
      </c>
    </row>
    <row r="4209">
      <c r="A4209">
        <f>IFERROR(INDEX('Email Cleaner'!$B$2:$B$10001,MATCH(4208,'Email Cleaner'!$G$2:$G$10001,0)),"")</f>
        <v/>
      </c>
    </row>
    <row r="4210">
      <c r="A4210">
        <f>IFERROR(INDEX('Email Cleaner'!$B$2:$B$10001,MATCH(4209,'Email Cleaner'!$G$2:$G$10001,0)),"")</f>
        <v/>
      </c>
    </row>
    <row r="4211">
      <c r="A4211">
        <f>IFERROR(INDEX('Email Cleaner'!$B$2:$B$10001,MATCH(4210,'Email Cleaner'!$G$2:$G$10001,0)),"")</f>
        <v/>
      </c>
    </row>
    <row r="4212">
      <c r="A4212">
        <f>IFERROR(INDEX('Email Cleaner'!$B$2:$B$10001,MATCH(4211,'Email Cleaner'!$G$2:$G$10001,0)),"")</f>
        <v/>
      </c>
    </row>
    <row r="4213">
      <c r="A4213">
        <f>IFERROR(INDEX('Email Cleaner'!$B$2:$B$10001,MATCH(4212,'Email Cleaner'!$G$2:$G$10001,0)),"")</f>
        <v/>
      </c>
    </row>
    <row r="4214">
      <c r="A4214">
        <f>IFERROR(INDEX('Email Cleaner'!$B$2:$B$10001,MATCH(4213,'Email Cleaner'!$G$2:$G$10001,0)),"")</f>
        <v/>
      </c>
    </row>
    <row r="4215">
      <c r="A4215">
        <f>IFERROR(INDEX('Email Cleaner'!$B$2:$B$10001,MATCH(4214,'Email Cleaner'!$G$2:$G$10001,0)),"")</f>
        <v/>
      </c>
    </row>
    <row r="4216">
      <c r="A4216">
        <f>IFERROR(INDEX('Email Cleaner'!$B$2:$B$10001,MATCH(4215,'Email Cleaner'!$G$2:$G$10001,0)),"")</f>
        <v/>
      </c>
    </row>
    <row r="4217">
      <c r="A4217">
        <f>IFERROR(INDEX('Email Cleaner'!$B$2:$B$10001,MATCH(4216,'Email Cleaner'!$G$2:$G$10001,0)),"")</f>
        <v/>
      </c>
    </row>
    <row r="4218">
      <c r="A4218">
        <f>IFERROR(INDEX('Email Cleaner'!$B$2:$B$10001,MATCH(4217,'Email Cleaner'!$G$2:$G$10001,0)),"")</f>
        <v/>
      </c>
    </row>
    <row r="4219">
      <c r="A4219">
        <f>IFERROR(INDEX('Email Cleaner'!$B$2:$B$10001,MATCH(4218,'Email Cleaner'!$G$2:$G$10001,0)),"")</f>
        <v/>
      </c>
    </row>
    <row r="4220">
      <c r="A4220">
        <f>IFERROR(INDEX('Email Cleaner'!$B$2:$B$10001,MATCH(4219,'Email Cleaner'!$G$2:$G$10001,0)),"")</f>
        <v/>
      </c>
    </row>
    <row r="4221">
      <c r="A4221">
        <f>IFERROR(INDEX('Email Cleaner'!$B$2:$B$10001,MATCH(4220,'Email Cleaner'!$G$2:$G$10001,0)),"")</f>
        <v/>
      </c>
    </row>
    <row r="4222">
      <c r="A4222">
        <f>IFERROR(INDEX('Email Cleaner'!$B$2:$B$10001,MATCH(4221,'Email Cleaner'!$G$2:$G$10001,0)),"")</f>
        <v/>
      </c>
    </row>
    <row r="4223">
      <c r="A4223">
        <f>IFERROR(INDEX('Email Cleaner'!$B$2:$B$10001,MATCH(4222,'Email Cleaner'!$G$2:$G$10001,0)),"")</f>
        <v/>
      </c>
    </row>
    <row r="4224">
      <c r="A4224">
        <f>IFERROR(INDEX('Email Cleaner'!$B$2:$B$10001,MATCH(4223,'Email Cleaner'!$G$2:$G$10001,0)),"")</f>
        <v/>
      </c>
    </row>
    <row r="4225">
      <c r="A4225">
        <f>IFERROR(INDEX('Email Cleaner'!$B$2:$B$10001,MATCH(4224,'Email Cleaner'!$G$2:$G$10001,0)),"")</f>
        <v/>
      </c>
    </row>
    <row r="4226">
      <c r="A4226">
        <f>IFERROR(INDEX('Email Cleaner'!$B$2:$B$10001,MATCH(4225,'Email Cleaner'!$G$2:$G$10001,0)),"")</f>
        <v/>
      </c>
    </row>
    <row r="4227">
      <c r="A4227">
        <f>IFERROR(INDEX('Email Cleaner'!$B$2:$B$10001,MATCH(4226,'Email Cleaner'!$G$2:$G$10001,0)),"")</f>
        <v/>
      </c>
    </row>
    <row r="4228">
      <c r="A4228">
        <f>IFERROR(INDEX('Email Cleaner'!$B$2:$B$10001,MATCH(4227,'Email Cleaner'!$G$2:$G$10001,0)),"")</f>
        <v/>
      </c>
    </row>
    <row r="4229">
      <c r="A4229">
        <f>IFERROR(INDEX('Email Cleaner'!$B$2:$B$10001,MATCH(4228,'Email Cleaner'!$G$2:$G$10001,0)),"")</f>
        <v/>
      </c>
    </row>
    <row r="4230">
      <c r="A4230">
        <f>IFERROR(INDEX('Email Cleaner'!$B$2:$B$10001,MATCH(4229,'Email Cleaner'!$G$2:$G$10001,0)),"")</f>
        <v/>
      </c>
    </row>
    <row r="4231">
      <c r="A4231">
        <f>IFERROR(INDEX('Email Cleaner'!$B$2:$B$10001,MATCH(4230,'Email Cleaner'!$G$2:$G$10001,0)),"")</f>
        <v/>
      </c>
    </row>
    <row r="4232">
      <c r="A4232">
        <f>IFERROR(INDEX('Email Cleaner'!$B$2:$B$10001,MATCH(4231,'Email Cleaner'!$G$2:$G$10001,0)),"")</f>
        <v/>
      </c>
    </row>
    <row r="4233">
      <c r="A4233">
        <f>IFERROR(INDEX('Email Cleaner'!$B$2:$B$10001,MATCH(4232,'Email Cleaner'!$G$2:$G$10001,0)),"")</f>
        <v/>
      </c>
    </row>
    <row r="4234">
      <c r="A4234">
        <f>IFERROR(INDEX('Email Cleaner'!$B$2:$B$10001,MATCH(4233,'Email Cleaner'!$G$2:$G$10001,0)),"")</f>
        <v/>
      </c>
    </row>
    <row r="4235">
      <c r="A4235">
        <f>IFERROR(INDEX('Email Cleaner'!$B$2:$B$10001,MATCH(4234,'Email Cleaner'!$G$2:$G$10001,0)),"")</f>
        <v/>
      </c>
    </row>
    <row r="4236">
      <c r="A4236">
        <f>IFERROR(INDEX('Email Cleaner'!$B$2:$B$10001,MATCH(4235,'Email Cleaner'!$G$2:$G$10001,0)),"")</f>
        <v/>
      </c>
    </row>
    <row r="4237">
      <c r="A4237">
        <f>IFERROR(INDEX('Email Cleaner'!$B$2:$B$10001,MATCH(4236,'Email Cleaner'!$G$2:$G$10001,0)),"")</f>
        <v/>
      </c>
    </row>
    <row r="4238">
      <c r="A4238">
        <f>IFERROR(INDEX('Email Cleaner'!$B$2:$B$10001,MATCH(4237,'Email Cleaner'!$G$2:$G$10001,0)),"")</f>
        <v/>
      </c>
    </row>
    <row r="4239">
      <c r="A4239">
        <f>IFERROR(INDEX('Email Cleaner'!$B$2:$B$10001,MATCH(4238,'Email Cleaner'!$G$2:$G$10001,0)),"")</f>
        <v/>
      </c>
    </row>
    <row r="4240">
      <c r="A4240">
        <f>IFERROR(INDEX('Email Cleaner'!$B$2:$B$10001,MATCH(4239,'Email Cleaner'!$G$2:$G$10001,0)),"")</f>
        <v/>
      </c>
    </row>
    <row r="4241">
      <c r="A4241">
        <f>IFERROR(INDEX('Email Cleaner'!$B$2:$B$10001,MATCH(4240,'Email Cleaner'!$G$2:$G$10001,0)),"")</f>
        <v/>
      </c>
    </row>
    <row r="4242">
      <c r="A4242">
        <f>IFERROR(INDEX('Email Cleaner'!$B$2:$B$10001,MATCH(4241,'Email Cleaner'!$G$2:$G$10001,0)),"")</f>
        <v/>
      </c>
    </row>
    <row r="4243">
      <c r="A4243">
        <f>IFERROR(INDEX('Email Cleaner'!$B$2:$B$10001,MATCH(4242,'Email Cleaner'!$G$2:$G$10001,0)),"")</f>
        <v/>
      </c>
    </row>
    <row r="4244">
      <c r="A4244">
        <f>IFERROR(INDEX('Email Cleaner'!$B$2:$B$10001,MATCH(4243,'Email Cleaner'!$G$2:$G$10001,0)),"")</f>
        <v/>
      </c>
    </row>
    <row r="4245">
      <c r="A4245">
        <f>IFERROR(INDEX('Email Cleaner'!$B$2:$B$10001,MATCH(4244,'Email Cleaner'!$G$2:$G$10001,0)),"")</f>
        <v/>
      </c>
    </row>
    <row r="4246">
      <c r="A4246">
        <f>IFERROR(INDEX('Email Cleaner'!$B$2:$B$10001,MATCH(4245,'Email Cleaner'!$G$2:$G$10001,0)),"")</f>
        <v/>
      </c>
    </row>
    <row r="4247">
      <c r="A4247">
        <f>IFERROR(INDEX('Email Cleaner'!$B$2:$B$10001,MATCH(4246,'Email Cleaner'!$G$2:$G$10001,0)),"")</f>
        <v/>
      </c>
    </row>
    <row r="4248">
      <c r="A4248">
        <f>IFERROR(INDEX('Email Cleaner'!$B$2:$B$10001,MATCH(4247,'Email Cleaner'!$G$2:$G$10001,0)),"")</f>
        <v/>
      </c>
    </row>
    <row r="4249">
      <c r="A4249">
        <f>IFERROR(INDEX('Email Cleaner'!$B$2:$B$10001,MATCH(4248,'Email Cleaner'!$G$2:$G$10001,0)),"")</f>
        <v/>
      </c>
    </row>
    <row r="4250">
      <c r="A4250">
        <f>IFERROR(INDEX('Email Cleaner'!$B$2:$B$10001,MATCH(4249,'Email Cleaner'!$G$2:$G$10001,0)),"")</f>
        <v/>
      </c>
    </row>
    <row r="4251">
      <c r="A4251">
        <f>IFERROR(INDEX('Email Cleaner'!$B$2:$B$10001,MATCH(4250,'Email Cleaner'!$G$2:$G$10001,0)),"")</f>
        <v/>
      </c>
    </row>
    <row r="4252">
      <c r="A4252">
        <f>IFERROR(INDEX('Email Cleaner'!$B$2:$B$10001,MATCH(4251,'Email Cleaner'!$G$2:$G$10001,0)),"")</f>
        <v/>
      </c>
    </row>
    <row r="4253">
      <c r="A4253">
        <f>IFERROR(INDEX('Email Cleaner'!$B$2:$B$10001,MATCH(4252,'Email Cleaner'!$G$2:$G$10001,0)),"")</f>
        <v/>
      </c>
    </row>
    <row r="4254">
      <c r="A4254">
        <f>IFERROR(INDEX('Email Cleaner'!$B$2:$B$10001,MATCH(4253,'Email Cleaner'!$G$2:$G$10001,0)),"")</f>
        <v/>
      </c>
    </row>
    <row r="4255">
      <c r="A4255">
        <f>IFERROR(INDEX('Email Cleaner'!$B$2:$B$10001,MATCH(4254,'Email Cleaner'!$G$2:$G$10001,0)),"")</f>
        <v/>
      </c>
    </row>
    <row r="4256">
      <c r="A4256">
        <f>IFERROR(INDEX('Email Cleaner'!$B$2:$B$10001,MATCH(4255,'Email Cleaner'!$G$2:$G$10001,0)),"")</f>
        <v/>
      </c>
    </row>
    <row r="4257">
      <c r="A4257">
        <f>IFERROR(INDEX('Email Cleaner'!$B$2:$B$10001,MATCH(4256,'Email Cleaner'!$G$2:$G$10001,0)),"")</f>
        <v/>
      </c>
    </row>
    <row r="4258">
      <c r="A4258">
        <f>IFERROR(INDEX('Email Cleaner'!$B$2:$B$10001,MATCH(4257,'Email Cleaner'!$G$2:$G$10001,0)),"")</f>
        <v/>
      </c>
    </row>
    <row r="4259">
      <c r="A4259">
        <f>IFERROR(INDEX('Email Cleaner'!$B$2:$B$10001,MATCH(4258,'Email Cleaner'!$G$2:$G$10001,0)),"")</f>
        <v/>
      </c>
    </row>
    <row r="4260">
      <c r="A4260">
        <f>IFERROR(INDEX('Email Cleaner'!$B$2:$B$10001,MATCH(4259,'Email Cleaner'!$G$2:$G$10001,0)),"")</f>
        <v/>
      </c>
    </row>
    <row r="4261">
      <c r="A4261">
        <f>IFERROR(INDEX('Email Cleaner'!$B$2:$B$10001,MATCH(4260,'Email Cleaner'!$G$2:$G$10001,0)),"")</f>
        <v/>
      </c>
    </row>
    <row r="4262">
      <c r="A4262">
        <f>IFERROR(INDEX('Email Cleaner'!$B$2:$B$10001,MATCH(4261,'Email Cleaner'!$G$2:$G$10001,0)),"")</f>
        <v/>
      </c>
    </row>
    <row r="4263">
      <c r="A4263">
        <f>IFERROR(INDEX('Email Cleaner'!$B$2:$B$10001,MATCH(4262,'Email Cleaner'!$G$2:$G$10001,0)),"")</f>
        <v/>
      </c>
    </row>
    <row r="4264">
      <c r="A4264">
        <f>IFERROR(INDEX('Email Cleaner'!$B$2:$B$10001,MATCH(4263,'Email Cleaner'!$G$2:$G$10001,0)),"")</f>
        <v/>
      </c>
    </row>
    <row r="4265">
      <c r="A4265">
        <f>IFERROR(INDEX('Email Cleaner'!$B$2:$B$10001,MATCH(4264,'Email Cleaner'!$G$2:$G$10001,0)),"")</f>
        <v/>
      </c>
    </row>
    <row r="4266">
      <c r="A4266">
        <f>IFERROR(INDEX('Email Cleaner'!$B$2:$B$10001,MATCH(4265,'Email Cleaner'!$G$2:$G$10001,0)),"")</f>
        <v/>
      </c>
    </row>
    <row r="4267">
      <c r="A4267">
        <f>IFERROR(INDEX('Email Cleaner'!$B$2:$B$10001,MATCH(4266,'Email Cleaner'!$G$2:$G$10001,0)),"")</f>
        <v/>
      </c>
    </row>
    <row r="4268">
      <c r="A4268">
        <f>IFERROR(INDEX('Email Cleaner'!$B$2:$B$10001,MATCH(4267,'Email Cleaner'!$G$2:$G$10001,0)),"")</f>
        <v/>
      </c>
    </row>
    <row r="4269">
      <c r="A4269">
        <f>IFERROR(INDEX('Email Cleaner'!$B$2:$B$10001,MATCH(4268,'Email Cleaner'!$G$2:$G$10001,0)),"")</f>
        <v/>
      </c>
    </row>
    <row r="4270">
      <c r="A4270">
        <f>IFERROR(INDEX('Email Cleaner'!$B$2:$B$10001,MATCH(4269,'Email Cleaner'!$G$2:$G$10001,0)),"")</f>
        <v/>
      </c>
    </row>
    <row r="4271">
      <c r="A4271">
        <f>IFERROR(INDEX('Email Cleaner'!$B$2:$B$10001,MATCH(4270,'Email Cleaner'!$G$2:$G$10001,0)),"")</f>
        <v/>
      </c>
    </row>
    <row r="4272">
      <c r="A4272">
        <f>IFERROR(INDEX('Email Cleaner'!$B$2:$B$10001,MATCH(4271,'Email Cleaner'!$G$2:$G$10001,0)),"")</f>
        <v/>
      </c>
    </row>
    <row r="4273">
      <c r="A4273">
        <f>IFERROR(INDEX('Email Cleaner'!$B$2:$B$10001,MATCH(4272,'Email Cleaner'!$G$2:$G$10001,0)),"")</f>
        <v/>
      </c>
    </row>
    <row r="4274">
      <c r="A4274">
        <f>IFERROR(INDEX('Email Cleaner'!$B$2:$B$10001,MATCH(4273,'Email Cleaner'!$G$2:$G$10001,0)),"")</f>
        <v/>
      </c>
    </row>
    <row r="4275">
      <c r="A4275">
        <f>IFERROR(INDEX('Email Cleaner'!$B$2:$B$10001,MATCH(4274,'Email Cleaner'!$G$2:$G$10001,0)),"")</f>
        <v/>
      </c>
    </row>
    <row r="4276">
      <c r="A4276">
        <f>IFERROR(INDEX('Email Cleaner'!$B$2:$B$10001,MATCH(4275,'Email Cleaner'!$G$2:$G$10001,0)),"")</f>
        <v/>
      </c>
    </row>
    <row r="4277">
      <c r="A4277">
        <f>IFERROR(INDEX('Email Cleaner'!$B$2:$B$10001,MATCH(4276,'Email Cleaner'!$G$2:$G$10001,0)),"")</f>
        <v/>
      </c>
    </row>
    <row r="4278">
      <c r="A4278">
        <f>IFERROR(INDEX('Email Cleaner'!$B$2:$B$10001,MATCH(4277,'Email Cleaner'!$G$2:$G$10001,0)),"")</f>
        <v/>
      </c>
    </row>
    <row r="4279">
      <c r="A4279">
        <f>IFERROR(INDEX('Email Cleaner'!$B$2:$B$10001,MATCH(4278,'Email Cleaner'!$G$2:$G$10001,0)),"")</f>
        <v/>
      </c>
    </row>
    <row r="4280">
      <c r="A4280">
        <f>IFERROR(INDEX('Email Cleaner'!$B$2:$B$10001,MATCH(4279,'Email Cleaner'!$G$2:$G$10001,0)),"")</f>
        <v/>
      </c>
    </row>
    <row r="4281">
      <c r="A4281">
        <f>IFERROR(INDEX('Email Cleaner'!$B$2:$B$10001,MATCH(4280,'Email Cleaner'!$G$2:$G$10001,0)),"")</f>
        <v/>
      </c>
    </row>
    <row r="4282">
      <c r="A4282">
        <f>IFERROR(INDEX('Email Cleaner'!$B$2:$B$10001,MATCH(4281,'Email Cleaner'!$G$2:$G$10001,0)),"")</f>
        <v/>
      </c>
    </row>
    <row r="4283">
      <c r="A4283">
        <f>IFERROR(INDEX('Email Cleaner'!$B$2:$B$10001,MATCH(4282,'Email Cleaner'!$G$2:$G$10001,0)),"")</f>
        <v/>
      </c>
    </row>
    <row r="4284">
      <c r="A4284">
        <f>IFERROR(INDEX('Email Cleaner'!$B$2:$B$10001,MATCH(4283,'Email Cleaner'!$G$2:$G$10001,0)),"")</f>
        <v/>
      </c>
    </row>
    <row r="4285">
      <c r="A4285">
        <f>IFERROR(INDEX('Email Cleaner'!$B$2:$B$10001,MATCH(4284,'Email Cleaner'!$G$2:$G$10001,0)),"")</f>
        <v/>
      </c>
    </row>
    <row r="4286">
      <c r="A4286">
        <f>IFERROR(INDEX('Email Cleaner'!$B$2:$B$10001,MATCH(4285,'Email Cleaner'!$G$2:$G$10001,0)),"")</f>
        <v/>
      </c>
    </row>
    <row r="4287">
      <c r="A4287">
        <f>IFERROR(INDEX('Email Cleaner'!$B$2:$B$10001,MATCH(4286,'Email Cleaner'!$G$2:$G$10001,0)),"")</f>
        <v/>
      </c>
    </row>
    <row r="4288">
      <c r="A4288">
        <f>IFERROR(INDEX('Email Cleaner'!$B$2:$B$10001,MATCH(4287,'Email Cleaner'!$G$2:$G$10001,0)),"")</f>
        <v/>
      </c>
    </row>
    <row r="4289">
      <c r="A4289">
        <f>IFERROR(INDEX('Email Cleaner'!$B$2:$B$10001,MATCH(4288,'Email Cleaner'!$G$2:$G$10001,0)),"")</f>
        <v/>
      </c>
    </row>
    <row r="4290">
      <c r="A4290">
        <f>IFERROR(INDEX('Email Cleaner'!$B$2:$B$10001,MATCH(4289,'Email Cleaner'!$G$2:$G$10001,0)),"")</f>
        <v/>
      </c>
    </row>
    <row r="4291">
      <c r="A4291">
        <f>IFERROR(INDEX('Email Cleaner'!$B$2:$B$10001,MATCH(4290,'Email Cleaner'!$G$2:$G$10001,0)),"")</f>
        <v/>
      </c>
    </row>
    <row r="4292">
      <c r="A4292">
        <f>IFERROR(INDEX('Email Cleaner'!$B$2:$B$10001,MATCH(4291,'Email Cleaner'!$G$2:$G$10001,0)),"")</f>
        <v/>
      </c>
    </row>
    <row r="4293">
      <c r="A4293">
        <f>IFERROR(INDEX('Email Cleaner'!$B$2:$B$10001,MATCH(4292,'Email Cleaner'!$G$2:$G$10001,0)),"")</f>
        <v/>
      </c>
    </row>
    <row r="4294">
      <c r="A4294">
        <f>IFERROR(INDEX('Email Cleaner'!$B$2:$B$10001,MATCH(4293,'Email Cleaner'!$G$2:$G$10001,0)),"")</f>
        <v/>
      </c>
    </row>
    <row r="4295">
      <c r="A4295">
        <f>IFERROR(INDEX('Email Cleaner'!$B$2:$B$10001,MATCH(4294,'Email Cleaner'!$G$2:$G$10001,0)),"")</f>
        <v/>
      </c>
    </row>
    <row r="4296">
      <c r="A4296">
        <f>IFERROR(INDEX('Email Cleaner'!$B$2:$B$10001,MATCH(4295,'Email Cleaner'!$G$2:$G$10001,0)),"")</f>
        <v/>
      </c>
    </row>
    <row r="4297">
      <c r="A4297">
        <f>IFERROR(INDEX('Email Cleaner'!$B$2:$B$10001,MATCH(4296,'Email Cleaner'!$G$2:$G$10001,0)),"")</f>
        <v/>
      </c>
    </row>
    <row r="4298">
      <c r="A4298">
        <f>IFERROR(INDEX('Email Cleaner'!$B$2:$B$10001,MATCH(4297,'Email Cleaner'!$G$2:$G$10001,0)),"")</f>
        <v/>
      </c>
    </row>
    <row r="4299">
      <c r="A4299">
        <f>IFERROR(INDEX('Email Cleaner'!$B$2:$B$10001,MATCH(4298,'Email Cleaner'!$G$2:$G$10001,0)),"")</f>
        <v/>
      </c>
    </row>
    <row r="4300">
      <c r="A4300">
        <f>IFERROR(INDEX('Email Cleaner'!$B$2:$B$10001,MATCH(4299,'Email Cleaner'!$G$2:$G$10001,0)),"")</f>
        <v/>
      </c>
    </row>
    <row r="4301">
      <c r="A4301">
        <f>IFERROR(INDEX('Email Cleaner'!$B$2:$B$10001,MATCH(4300,'Email Cleaner'!$G$2:$G$10001,0)),"")</f>
        <v/>
      </c>
    </row>
    <row r="4302">
      <c r="A4302">
        <f>IFERROR(INDEX('Email Cleaner'!$B$2:$B$10001,MATCH(4301,'Email Cleaner'!$G$2:$G$10001,0)),"")</f>
        <v/>
      </c>
    </row>
    <row r="4303">
      <c r="A4303">
        <f>IFERROR(INDEX('Email Cleaner'!$B$2:$B$10001,MATCH(4302,'Email Cleaner'!$G$2:$G$10001,0)),"")</f>
        <v/>
      </c>
    </row>
    <row r="4304">
      <c r="A4304">
        <f>IFERROR(INDEX('Email Cleaner'!$B$2:$B$10001,MATCH(4303,'Email Cleaner'!$G$2:$G$10001,0)),"")</f>
        <v/>
      </c>
    </row>
    <row r="4305">
      <c r="A4305">
        <f>IFERROR(INDEX('Email Cleaner'!$B$2:$B$10001,MATCH(4304,'Email Cleaner'!$G$2:$G$10001,0)),"")</f>
        <v/>
      </c>
    </row>
    <row r="4306">
      <c r="A4306">
        <f>IFERROR(INDEX('Email Cleaner'!$B$2:$B$10001,MATCH(4305,'Email Cleaner'!$G$2:$G$10001,0)),"")</f>
        <v/>
      </c>
    </row>
    <row r="4307">
      <c r="A4307">
        <f>IFERROR(INDEX('Email Cleaner'!$B$2:$B$10001,MATCH(4306,'Email Cleaner'!$G$2:$G$10001,0)),"")</f>
        <v/>
      </c>
    </row>
    <row r="4308">
      <c r="A4308">
        <f>IFERROR(INDEX('Email Cleaner'!$B$2:$B$10001,MATCH(4307,'Email Cleaner'!$G$2:$G$10001,0)),"")</f>
        <v/>
      </c>
    </row>
    <row r="4309">
      <c r="A4309">
        <f>IFERROR(INDEX('Email Cleaner'!$B$2:$B$10001,MATCH(4308,'Email Cleaner'!$G$2:$G$10001,0)),"")</f>
        <v/>
      </c>
    </row>
    <row r="4310">
      <c r="A4310">
        <f>IFERROR(INDEX('Email Cleaner'!$B$2:$B$10001,MATCH(4309,'Email Cleaner'!$G$2:$G$10001,0)),"")</f>
        <v/>
      </c>
    </row>
    <row r="4311">
      <c r="A4311">
        <f>IFERROR(INDEX('Email Cleaner'!$B$2:$B$10001,MATCH(4310,'Email Cleaner'!$G$2:$G$10001,0)),"")</f>
        <v/>
      </c>
    </row>
    <row r="4312">
      <c r="A4312">
        <f>IFERROR(INDEX('Email Cleaner'!$B$2:$B$10001,MATCH(4311,'Email Cleaner'!$G$2:$G$10001,0)),"")</f>
        <v/>
      </c>
    </row>
    <row r="4313">
      <c r="A4313">
        <f>IFERROR(INDEX('Email Cleaner'!$B$2:$B$10001,MATCH(4312,'Email Cleaner'!$G$2:$G$10001,0)),"")</f>
        <v/>
      </c>
    </row>
    <row r="4314">
      <c r="A4314">
        <f>IFERROR(INDEX('Email Cleaner'!$B$2:$B$10001,MATCH(4313,'Email Cleaner'!$G$2:$G$10001,0)),"")</f>
        <v/>
      </c>
    </row>
    <row r="4315">
      <c r="A4315">
        <f>IFERROR(INDEX('Email Cleaner'!$B$2:$B$10001,MATCH(4314,'Email Cleaner'!$G$2:$G$10001,0)),"")</f>
        <v/>
      </c>
    </row>
    <row r="4316">
      <c r="A4316">
        <f>IFERROR(INDEX('Email Cleaner'!$B$2:$B$10001,MATCH(4315,'Email Cleaner'!$G$2:$G$10001,0)),"")</f>
        <v/>
      </c>
    </row>
    <row r="4317">
      <c r="A4317">
        <f>IFERROR(INDEX('Email Cleaner'!$B$2:$B$10001,MATCH(4316,'Email Cleaner'!$G$2:$G$10001,0)),"")</f>
        <v/>
      </c>
    </row>
    <row r="4318">
      <c r="A4318">
        <f>IFERROR(INDEX('Email Cleaner'!$B$2:$B$10001,MATCH(4317,'Email Cleaner'!$G$2:$G$10001,0)),"")</f>
        <v/>
      </c>
    </row>
    <row r="4319">
      <c r="A4319">
        <f>IFERROR(INDEX('Email Cleaner'!$B$2:$B$10001,MATCH(4318,'Email Cleaner'!$G$2:$G$10001,0)),"")</f>
        <v/>
      </c>
    </row>
    <row r="4320">
      <c r="A4320">
        <f>IFERROR(INDEX('Email Cleaner'!$B$2:$B$10001,MATCH(4319,'Email Cleaner'!$G$2:$G$10001,0)),"")</f>
        <v/>
      </c>
    </row>
    <row r="4321">
      <c r="A4321">
        <f>IFERROR(INDEX('Email Cleaner'!$B$2:$B$10001,MATCH(4320,'Email Cleaner'!$G$2:$G$10001,0)),"")</f>
        <v/>
      </c>
    </row>
    <row r="4322">
      <c r="A4322">
        <f>IFERROR(INDEX('Email Cleaner'!$B$2:$B$10001,MATCH(4321,'Email Cleaner'!$G$2:$G$10001,0)),"")</f>
        <v/>
      </c>
    </row>
    <row r="4323">
      <c r="A4323">
        <f>IFERROR(INDEX('Email Cleaner'!$B$2:$B$10001,MATCH(4322,'Email Cleaner'!$G$2:$G$10001,0)),"")</f>
        <v/>
      </c>
    </row>
    <row r="4324">
      <c r="A4324">
        <f>IFERROR(INDEX('Email Cleaner'!$B$2:$B$10001,MATCH(4323,'Email Cleaner'!$G$2:$G$10001,0)),"")</f>
        <v/>
      </c>
    </row>
    <row r="4325">
      <c r="A4325">
        <f>IFERROR(INDEX('Email Cleaner'!$B$2:$B$10001,MATCH(4324,'Email Cleaner'!$G$2:$G$10001,0)),"")</f>
        <v/>
      </c>
    </row>
    <row r="4326">
      <c r="A4326">
        <f>IFERROR(INDEX('Email Cleaner'!$B$2:$B$10001,MATCH(4325,'Email Cleaner'!$G$2:$G$10001,0)),"")</f>
        <v/>
      </c>
    </row>
    <row r="4327">
      <c r="A4327">
        <f>IFERROR(INDEX('Email Cleaner'!$B$2:$B$10001,MATCH(4326,'Email Cleaner'!$G$2:$G$10001,0)),"")</f>
        <v/>
      </c>
    </row>
    <row r="4328">
      <c r="A4328">
        <f>IFERROR(INDEX('Email Cleaner'!$B$2:$B$10001,MATCH(4327,'Email Cleaner'!$G$2:$G$10001,0)),"")</f>
        <v/>
      </c>
    </row>
    <row r="4329">
      <c r="A4329">
        <f>IFERROR(INDEX('Email Cleaner'!$B$2:$B$10001,MATCH(4328,'Email Cleaner'!$G$2:$G$10001,0)),"")</f>
        <v/>
      </c>
    </row>
    <row r="4330">
      <c r="A4330">
        <f>IFERROR(INDEX('Email Cleaner'!$B$2:$B$10001,MATCH(4329,'Email Cleaner'!$G$2:$G$10001,0)),"")</f>
        <v/>
      </c>
    </row>
    <row r="4331">
      <c r="A4331">
        <f>IFERROR(INDEX('Email Cleaner'!$B$2:$B$10001,MATCH(4330,'Email Cleaner'!$G$2:$G$10001,0)),"")</f>
        <v/>
      </c>
    </row>
    <row r="4332">
      <c r="A4332">
        <f>IFERROR(INDEX('Email Cleaner'!$B$2:$B$10001,MATCH(4331,'Email Cleaner'!$G$2:$G$10001,0)),"")</f>
        <v/>
      </c>
    </row>
    <row r="4333">
      <c r="A4333">
        <f>IFERROR(INDEX('Email Cleaner'!$B$2:$B$10001,MATCH(4332,'Email Cleaner'!$G$2:$G$10001,0)),"")</f>
        <v/>
      </c>
    </row>
    <row r="4334">
      <c r="A4334">
        <f>IFERROR(INDEX('Email Cleaner'!$B$2:$B$10001,MATCH(4333,'Email Cleaner'!$G$2:$G$10001,0)),"")</f>
        <v/>
      </c>
    </row>
    <row r="4335">
      <c r="A4335">
        <f>IFERROR(INDEX('Email Cleaner'!$B$2:$B$10001,MATCH(4334,'Email Cleaner'!$G$2:$G$10001,0)),"")</f>
        <v/>
      </c>
    </row>
    <row r="4336">
      <c r="A4336">
        <f>IFERROR(INDEX('Email Cleaner'!$B$2:$B$10001,MATCH(4335,'Email Cleaner'!$G$2:$G$10001,0)),"")</f>
        <v/>
      </c>
    </row>
    <row r="4337">
      <c r="A4337">
        <f>IFERROR(INDEX('Email Cleaner'!$B$2:$B$10001,MATCH(4336,'Email Cleaner'!$G$2:$G$10001,0)),"")</f>
        <v/>
      </c>
    </row>
    <row r="4338">
      <c r="A4338">
        <f>IFERROR(INDEX('Email Cleaner'!$B$2:$B$10001,MATCH(4337,'Email Cleaner'!$G$2:$G$10001,0)),"")</f>
        <v/>
      </c>
    </row>
    <row r="4339">
      <c r="A4339">
        <f>IFERROR(INDEX('Email Cleaner'!$B$2:$B$10001,MATCH(4338,'Email Cleaner'!$G$2:$G$10001,0)),"")</f>
        <v/>
      </c>
    </row>
    <row r="4340">
      <c r="A4340">
        <f>IFERROR(INDEX('Email Cleaner'!$B$2:$B$10001,MATCH(4339,'Email Cleaner'!$G$2:$G$10001,0)),"")</f>
        <v/>
      </c>
    </row>
    <row r="4341">
      <c r="A4341">
        <f>IFERROR(INDEX('Email Cleaner'!$B$2:$B$10001,MATCH(4340,'Email Cleaner'!$G$2:$G$10001,0)),"")</f>
        <v/>
      </c>
    </row>
    <row r="4342">
      <c r="A4342">
        <f>IFERROR(INDEX('Email Cleaner'!$B$2:$B$10001,MATCH(4341,'Email Cleaner'!$G$2:$G$10001,0)),"")</f>
        <v/>
      </c>
    </row>
    <row r="4343">
      <c r="A4343">
        <f>IFERROR(INDEX('Email Cleaner'!$B$2:$B$10001,MATCH(4342,'Email Cleaner'!$G$2:$G$10001,0)),"")</f>
        <v/>
      </c>
    </row>
    <row r="4344">
      <c r="A4344">
        <f>IFERROR(INDEX('Email Cleaner'!$B$2:$B$10001,MATCH(4343,'Email Cleaner'!$G$2:$G$10001,0)),"")</f>
        <v/>
      </c>
    </row>
    <row r="4345">
      <c r="A4345">
        <f>IFERROR(INDEX('Email Cleaner'!$B$2:$B$10001,MATCH(4344,'Email Cleaner'!$G$2:$G$10001,0)),"")</f>
        <v/>
      </c>
    </row>
    <row r="4346">
      <c r="A4346">
        <f>IFERROR(INDEX('Email Cleaner'!$B$2:$B$10001,MATCH(4345,'Email Cleaner'!$G$2:$G$10001,0)),"")</f>
        <v/>
      </c>
    </row>
    <row r="4347">
      <c r="A4347">
        <f>IFERROR(INDEX('Email Cleaner'!$B$2:$B$10001,MATCH(4346,'Email Cleaner'!$G$2:$G$10001,0)),"")</f>
        <v/>
      </c>
    </row>
    <row r="4348">
      <c r="A4348">
        <f>IFERROR(INDEX('Email Cleaner'!$B$2:$B$10001,MATCH(4347,'Email Cleaner'!$G$2:$G$10001,0)),"")</f>
        <v/>
      </c>
    </row>
    <row r="4349">
      <c r="A4349">
        <f>IFERROR(INDEX('Email Cleaner'!$B$2:$B$10001,MATCH(4348,'Email Cleaner'!$G$2:$G$10001,0)),"")</f>
        <v/>
      </c>
    </row>
    <row r="4350">
      <c r="A4350">
        <f>IFERROR(INDEX('Email Cleaner'!$B$2:$B$10001,MATCH(4349,'Email Cleaner'!$G$2:$G$10001,0)),"")</f>
        <v/>
      </c>
    </row>
    <row r="4351">
      <c r="A4351">
        <f>IFERROR(INDEX('Email Cleaner'!$B$2:$B$10001,MATCH(4350,'Email Cleaner'!$G$2:$G$10001,0)),"")</f>
        <v/>
      </c>
    </row>
    <row r="4352">
      <c r="A4352">
        <f>IFERROR(INDEX('Email Cleaner'!$B$2:$B$10001,MATCH(4351,'Email Cleaner'!$G$2:$G$10001,0)),"")</f>
        <v/>
      </c>
    </row>
    <row r="4353">
      <c r="A4353">
        <f>IFERROR(INDEX('Email Cleaner'!$B$2:$B$10001,MATCH(4352,'Email Cleaner'!$G$2:$G$10001,0)),"")</f>
        <v/>
      </c>
    </row>
    <row r="4354">
      <c r="A4354">
        <f>IFERROR(INDEX('Email Cleaner'!$B$2:$B$10001,MATCH(4353,'Email Cleaner'!$G$2:$G$10001,0)),"")</f>
        <v/>
      </c>
    </row>
    <row r="4355">
      <c r="A4355">
        <f>IFERROR(INDEX('Email Cleaner'!$B$2:$B$10001,MATCH(4354,'Email Cleaner'!$G$2:$G$10001,0)),"")</f>
        <v/>
      </c>
    </row>
    <row r="4356">
      <c r="A4356">
        <f>IFERROR(INDEX('Email Cleaner'!$B$2:$B$10001,MATCH(4355,'Email Cleaner'!$G$2:$G$10001,0)),"")</f>
        <v/>
      </c>
    </row>
    <row r="4357">
      <c r="A4357">
        <f>IFERROR(INDEX('Email Cleaner'!$B$2:$B$10001,MATCH(4356,'Email Cleaner'!$G$2:$G$10001,0)),"")</f>
        <v/>
      </c>
    </row>
    <row r="4358">
      <c r="A4358">
        <f>IFERROR(INDEX('Email Cleaner'!$B$2:$B$10001,MATCH(4357,'Email Cleaner'!$G$2:$G$10001,0)),"")</f>
        <v/>
      </c>
    </row>
    <row r="4359">
      <c r="A4359">
        <f>IFERROR(INDEX('Email Cleaner'!$B$2:$B$10001,MATCH(4358,'Email Cleaner'!$G$2:$G$10001,0)),"")</f>
        <v/>
      </c>
    </row>
    <row r="4360">
      <c r="A4360">
        <f>IFERROR(INDEX('Email Cleaner'!$B$2:$B$10001,MATCH(4359,'Email Cleaner'!$G$2:$G$10001,0)),"")</f>
        <v/>
      </c>
    </row>
    <row r="4361">
      <c r="A4361">
        <f>IFERROR(INDEX('Email Cleaner'!$B$2:$B$10001,MATCH(4360,'Email Cleaner'!$G$2:$G$10001,0)),"")</f>
        <v/>
      </c>
    </row>
    <row r="4362">
      <c r="A4362">
        <f>IFERROR(INDEX('Email Cleaner'!$B$2:$B$10001,MATCH(4361,'Email Cleaner'!$G$2:$G$10001,0)),"")</f>
        <v/>
      </c>
    </row>
    <row r="4363">
      <c r="A4363">
        <f>IFERROR(INDEX('Email Cleaner'!$B$2:$B$10001,MATCH(4362,'Email Cleaner'!$G$2:$G$10001,0)),"")</f>
        <v/>
      </c>
    </row>
    <row r="4364">
      <c r="A4364">
        <f>IFERROR(INDEX('Email Cleaner'!$B$2:$B$10001,MATCH(4363,'Email Cleaner'!$G$2:$G$10001,0)),"")</f>
        <v/>
      </c>
    </row>
    <row r="4365">
      <c r="A4365">
        <f>IFERROR(INDEX('Email Cleaner'!$B$2:$B$10001,MATCH(4364,'Email Cleaner'!$G$2:$G$10001,0)),"")</f>
        <v/>
      </c>
    </row>
    <row r="4366">
      <c r="A4366">
        <f>IFERROR(INDEX('Email Cleaner'!$B$2:$B$10001,MATCH(4365,'Email Cleaner'!$G$2:$G$10001,0)),"")</f>
        <v/>
      </c>
    </row>
    <row r="4367">
      <c r="A4367">
        <f>IFERROR(INDEX('Email Cleaner'!$B$2:$B$10001,MATCH(4366,'Email Cleaner'!$G$2:$G$10001,0)),"")</f>
        <v/>
      </c>
    </row>
    <row r="4368">
      <c r="A4368">
        <f>IFERROR(INDEX('Email Cleaner'!$B$2:$B$10001,MATCH(4367,'Email Cleaner'!$G$2:$G$10001,0)),"")</f>
        <v/>
      </c>
    </row>
    <row r="4369">
      <c r="A4369">
        <f>IFERROR(INDEX('Email Cleaner'!$B$2:$B$10001,MATCH(4368,'Email Cleaner'!$G$2:$G$10001,0)),"")</f>
        <v/>
      </c>
    </row>
    <row r="4370">
      <c r="A4370">
        <f>IFERROR(INDEX('Email Cleaner'!$B$2:$B$10001,MATCH(4369,'Email Cleaner'!$G$2:$G$10001,0)),"")</f>
        <v/>
      </c>
    </row>
    <row r="4371">
      <c r="A4371">
        <f>IFERROR(INDEX('Email Cleaner'!$B$2:$B$10001,MATCH(4370,'Email Cleaner'!$G$2:$G$10001,0)),"")</f>
        <v/>
      </c>
    </row>
    <row r="4372">
      <c r="A4372">
        <f>IFERROR(INDEX('Email Cleaner'!$B$2:$B$10001,MATCH(4371,'Email Cleaner'!$G$2:$G$10001,0)),"")</f>
        <v/>
      </c>
    </row>
    <row r="4373">
      <c r="A4373">
        <f>IFERROR(INDEX('Email Cleaner'!$B$2:$B$10001,MATCH(4372,'Email Cleaner'!$G$2:$G$10001,0)),"")</f>
        <v/>
      </c>
    </row>
    <row r="4374">
      <c r="A4374">
        <f>IFERROR(INDEX('Email Cleaner'!$B$2:$B$10001,MATCH(4373,'Email Cleaner'!$G$2:$G$10001,0)),"")</f>
        <v/>
      </c>
    </row>
    <row r="4375">
      <c r="A4375">
        <f>IFERROR(INDEX('Email Cleaner'!$B$2:$B$10001,MATCH(4374,'Email Cleaner'!$G$2:$G$10001,0)),"")</f>
        <v/>
      </c>
    </row>
    <row r="4376">
      <c r="A4376">
        <f>IFERROR(INDEX('Email Cleaner'!$B$2:$B$10001,MATCH(4375,'Email Cleaner'!$G$2:$G$10001,0)),"")</f>
        <v/>
      </c>
    </row>
    <row r="4377">
      <c r="A4377">
        <f>IFERROR(INDEX('Email Cleaner'!$B$2:$B$10001,MATCH(4376,'Email Cleaner'!$G$2:$G$10001,0)),"")</f>
        <v/>
      </c>
    </row>
    <row r="4378">
      <c r="A4378">
        <f>IFERROR(INDEX('Email Cleaner'!$B$2:$B$10001,MATCH(4377,'Email Cleaner'!$G$2:$G$10001,0)),"")</f>
        <v/>
      </c>
    </row>
    <row r="4379">
      <c r="A4379">
        <f>IFERROR(INDEX('Email Cleaner'!$B$2:$B$10001,MATCH(4378,'Email Cleaner'!$G$2:$G$10001,0)),"")</f>
        <v/>
      </c>
    </row>
    <row r="4380">
      <c r="A4380">
        <f>IFERROR(INDEX('Email Cleaner'!$B$2:$B$10001,MATCH(4379,'Email Cleaner'!$G$2:$G$10001,0)),"")</f>
        <v/>
      </c>
    </row>
    <row r="4381">
      <c r="A4381">
        <f>IFERROR(INDEX('Email Cleaner'!$B$2:$B$10001,MATCH(4380,'Email Cleaner'!$G$2:$G$10001,0)),"")</f>
        <v/>
      </c>
    </row>
    <row r="4382">
      <c r="A4382">
        <f>IFERROR(INDEX('Email Cleaner'!$B$2:$B$10001,MATCH(4381,'Email Cleaner'!$G$2:$G$10001,0)),"")</f>
        <v/>
      </c>
    </row>
    <row r="4383">
      <c r="A4383">
        <f>IFERROR(INDEX('Email Cleaner'!$B$2:$B$10001,MATCH(4382,'Email Cleaner'!$G$2:$G$10001,0)),"")</f>
        <v/>
      </c>
    </row>
    <row r="4384">
      <c r="A4384">
        <f>IFERROR(INDEX('Email Cleaner'!$B$2:$B$10001,MATCH(4383,'Email Cleaner'!$G$2:$G$10001,0)),"")</f>
        <v/>
      </c>
    </row>
    <row r="4385">
      <c r="A4385">
        <f>IFERROR(INDEX('Email Cleaner'!$B$2:$B$10001,MATCH(4384,'Email Cleaner'!$G$2:$G$10001,0)),"")</f>
        <v/>
      </c>
    </row>
    <row r="4386">
      <c r="A4386">
        <f>IFERROR(INDEX('Email Cleaner'!$B$2:$B$10001,MATCH(4385,'Email Cleaner'!$G$2:$G$10001,0)),"")</f>
        <v/>
      </c>
    </row>
    <row r="4387">
      <c r="A4387">
        <f>IFERROR(INDEX('Email Cleaner'!$B$2:$B$10001,MATCH(4386,'Email Cleaner'!$G$2:$G$10001,0)),"")</f>
        <v/>
      </c>
    </row>
    <row r="4388">
      <c r="A4388">
        <f>IFERROR(INDEX('Email Cleaner'!$B$2:$B$10001,MATCH(4387,'Email Cleaner'!$G$2:$G$10001,0)),"")</f>
        <v/>
      </c>
    </row>
    <row r="4389">
      <c r="A4389">
        <f>IFERROR(INDEX('Email Cleaner'!$B$2:$B$10001,MATCH(4388,'Email Cleaner'!$G$2:$G$10001,0)),"")</f>
        <v/>
      </c>
    </row>
    <row r="4390">
      <c r="A4390">
        <f>IFERROR(INDEX('Email Cleaner'!$B$2:$B$10001,MATCH(4389,'Email Cleaner'!$G$2:$G$10001,0)),"")</f>
        <v/>
      </c>
    </row>
    <row r="4391">
      <c r="A4391">
        <f>IFERROR(INDEX('Email Cleaner'!$B$2:$B$10001,MATCH(4390,'Email Cleaner'!$G$2:$G$10001,0)),"")</f>
        <v/>
      </c>
    </row>
    <row r="4392">
      <c r="A4392">
        <f>IFERROR(INDEX('Email Cleaner'!$B$2:$B$10001,MATCH(4391,'Email Cleaner'!$G$2:$G$10001,0)),"")</f>
        <v/>
      </c>
    </row>
    <row r="4393">
      <c r="A4393">
        <f>IFERROR(INDEX('Email Cleaner'!$B$2:$B$10001,MATCH(4392,'Email Cleaner'!$G$2:$G$10001,0)),"")</f>
        <v/>
      </c>
    </row>
    <row r="4394">
      <c r="A4394">
        <f>IFERROR(INDEX('Email Cleaner'!$B$2:$B$10001,MATCH(4393,'Email Cleaner'!$G$2:$G$10001,0)),"")</f>
        <v/>
      </c>
    </row>
    <row r="4395">
      <c r="A4395">
        <f>IFERROR(INDEX('Email Cleaner'!$B$2:$B$10001,MATCH(4394,'Email Cleaner'!$G$2:$G$10001,0)),"")</f>
        <v/>
      </c>
    </row>
    <row r="4396">
      <c r="A4396">
        <f>IFERROR(INDEX('Email Cleaner'!$B$2:$B$10001,MATCH(4395,'Email Cleaner'!$G$2:$G$10001,0)),"")</f>
        <v/>
      </c>
    </row>
    <row r="4397">
      <c r="A4397">
        <f>IFERROR(INDEX('Email Cleaner'!$B$2:$B$10001,MATCH(4396,'Email Cleaner'!$G$2:$G$10001,0)),"")</f>
        <v/>
      </c>
    </row>
    <row r="4398">
      <c r="A4398">
        <f>IFERROR(INDEX('Email Cleaner'!$B$2:$B$10001,MATCH(4397,'Email Cleaner'!$G$2:$G$10001,0)),"")</f>
        <v/>
      </c>
    </row>
    <row r="4399">
      <c r="A4399">
        <f>IFERROR(INDEX('Email Cleaner'!$B$2:$B$10001,MATCH(4398,'Email Cleaner'!$G$2:$G$10001,0)),"")</f>
        <v/>
      </c>
    </row>
    <row r="4400">
      <c r="A4400">
        <f>IFERROR(INDEX('Email Cleaner'!$B$2:$B$10001,MATCH(4399,'Email Cleaner'!$G$2:$G$10001,0)),"")</f>
        <v/>
      </c>
    </row>
    <row r="4401">
      <c r="A4401">
        <f>IFERROR(INDEX('Email Cleaner'!$B$2:$B$10001,MATCH(4400,'Email Cleaner'!$G$2:$G$10001,0)),"")</f>
        <v/>
      </c>
    </row>
    <row r="4402">
      <c r="A4402">
        <f>IFERROR(INDEX('Email Cleaner'!$B$2:$B$10001,MATCH(4401,'Email Cleaner'!$G$2:$G$10001,0)),"")</f>
        <v/>
      </c>
    </row>
    <row r="4403">
      <c r="A4403">
        <f>IFERROR(INDEX('Email Cleaner'!$B$2:$B$10001,MATCH(4402,'Email Cleaner'!$G$2:$G$10001,0)),"")</f>
        <v/>
      </c>
    </row>
    <row r="4404">
      <c r="A4404">
        <f>IFERROR(INDEX('Email Cleaner'!$B$2:$B$10001,MATCH(4403,'Email Cleaner'!$G$2:$G$10001,0)),"")</f>
        <v/>
      </c>
    </row>
    <row r="4405">
      <c r="A4405">
        <f>IFERROR(INDEX('Email Cleaner'!$B$2:$B$10001,MATCH(4404,'Email Cleaner'!$G$2:$G$10001,0)),"")</f>
        <v/>
      </c>
    </row>
    <row r="4406">
      <c r="A4406">
        <f>IFERROR(INDEX('Email Cleaner'!$B$2:$B$10001,MATCH(4405,'Email Cleaner'!$G$2:$G$10001,0)),"")</f>
        <v/>
      </c>
    </row>
    <row r="4407">
      <c r="A4407">
        <f>IFERROR(INDEX('Email Cleaner'!$B$2:$B$10001,MATCH(4406,'Email Cleaner'!$G$2:$G$10001,0)),"")</f>
        <v/>
      </c>
    </row>
    <row r="4408">
      <c r="A4408">
        <f>IFERROR(INDEX('Email Cleaner'!$B$2:$B$10001,MATCH(4407,'Email Cleaner'!$G$2:$G$10001,0)),"")</f>
        <v/>
      </c>
    </row>
    <row r="4409">
      <c r="A4409">
        <f>IFERROR(INDEX('Email Cleaner'!$B$2:$B$10001,MATCH(4408,'Email Cleaner'!$G$2:$G$10001,0)),"")</f>
        <v/>
      </c>
    </row>
    <row r="4410">
      <c r="A4410">
        <f>IFERROR(INDEX('Email Cleaner'!$B$2:$B$10001,MATCH(4409,'Email Cleaner'!$G$2:$G$10001,0)),"")</f>
        <v/>
      </c>
    </row>
    <row r="4411">
      <c r="A4411">
        <f>IFERROR(INDEX('Email Cleaner'!$B$2:$B$10001,MATCH(4410,'Email Cleaner'!$G$2:$G$10001,0)),"")</f>
        <v/>
      </c>
    </row>
    <row r="4412">
      <c r="A4412">
        <f>IFERROR(INDEX('Email Cleaner'!$B$2:$B$10001,MATCH(4411,'Email Cleaner'!$G$2:$G$10001,0)),"")</f>
        <v/>
      </c>
    </row>
    <row r="4413">
      <c r="A4413">
        <f>IFERROR(INDEX('Email Cleaner'!$B$2:$B$10001,MATCH(4412,'Email Cleaner'!$G$2:$G$10001,0)),"")</f>
        <v/>
      </c>
    </row>
    <row r="4414">
      <c r="A4414">
        <f>IFERROR(INDEX('Email Cleaner'!$B$2:$B$10001,MATCH(4413,'Email Cleaner'!$G$2:$G$10001,0)),"")</f>
        <v/>
      </c>
    </row>
    <row r="4415">
      <c r="A4415">
        <f>IFERROR(INDEX('Email Cleaner'!$B$2:$B$10001,MATCH(4414,'Email Cleaner'!$G$2:$G$10001,0)),"")</f>
        <v/>
      </c>
    </row>
    <row r="4416">
      <c r="A4416">
        <f>IFERROR(INDEX('Email Cleaner'!$B$2:$B$10001,MATCH(4415,'Email Cleaner'!$G$2:$G$10001,0)),"")</f>
        <v/>
      </c>
    </row>
    <row r="4417">
      <c r="A4417">
        <f>IFERROR(INDEX('Email Cleaner'!$B$2:$B$10001,MATCH(4416,'Email Cleaner'!$G$2:$G$10001,0)),"")</f>
        <v/>
      </c>
    </row>
    <row r="4418">
      <c r="A4418">
        <f>IFERROR(INDEX('Email Cleaner'!$B$2:$B$10001,MATCH(4417,'Email Cleaner'!$G$2:$G$10001,0)),"")</f>
        <v/>
      </c>
    </row>
    <row r="4419">
      <c r="A4419">
        <f>IFERROR(INDEX('Email Cleaner'!$B$2:$B$10001,MATCH(4418,'Email Cleaner'!$G$2:$G$10001,0)),"")</f>
        <v/>
      </c>
    </row>
    <row r="4420">
      <c r="A4420">
        <f>IFERROR(INDEX('Email Cleaner'!$B$2:$B$10001,MATCH(4419,'Email Cleaner'!$G$2:$G$10001,0)),"")</f>
        <v/>
      </c>
    </row>
    <row r="4421">
      <c r="A4421">
        <f>IFERROR(INDEX('Email Cleaner'!$B$2:$B$10001,MATCH(4420,'Email Cleaner'!$G$2:$G$10001,0)),"")</f>
        <v/>
      </c>
    </row>
    <row r="4422">
      <c r="A4422">
        <f>IFERROR(INDEX('Email Cleaner'!$B$2:$B$10001,MATCH(4421,'Email Cleaner'!$G$2:$G$10001,0)),"")</f>
        <v/>
      </c>
    </row>
    <row r="4423">
      <c r="A4423">
        <f>IFERROR(INDEX('Email Cleaner'!$B$2:$B$10001,MATCH(4422,'Email Cleaner'!$G$2:$G$10001,0)),"")</f>
        <v/>
      </c>
    </row>
    <row r="4424">
      <c r="A4424">
        <f>IFERROR(INDEX('Email Cleaner'!$B$2:$B$10001,MATCH(4423,'Email Cleaner'!$G$2:$G$10001,0)),"")</f>
        <v/>
      </c>
    </row>
    <row r="4425">
      <c r="A4425">
        <f>IFERROR(INDEX('Email Cleaner'!$B$2:$B$10001,MATCH(4424,'Email Cleaner'!$G$2:$G$10001,0)),"")</f>
        <v/>
      </c>
    </row>
    <row r="4426">
      <c r="A4426">
        <f>IFERROR(INDEX('Email Cleaner'!$B$2:$B$10001,MATCH(4425,'Email Cleaner'!$G$2:$G$10001,0)),"")</f>
        <v/>
      </c>
    </row>
    <row r="4427">
      <c r="A4427">
        <f>IFERROR(INDEX('Email Cleaner'!$B$2:$B$10001,MATCH(4426,'Email Cleaner'!$G$2:$G$10001,0)),"")</f>
        <v/>
      </c>
    </row>
    <row r="4428">
      <c r="A4428">
        <f>IFERROR(INDEX('Email Cleaner'!$B$2:$B$10001,MATCH(4427,'Email Cleaner'!$G$2:$G$10001,0)),"")</f>
        <v/>
      </c>
    </row>
    <row r="4429">
      <c r="A4429">
        <f>IFERROR(INDEX('Email Cleaner'!$B$2:$B$10001,MATCH(4428,'Email Cleaner'!$G$2:$G$10001,0)),"")</f>
        <v/>
      </c>
    </row>
    <row r="4430">
      <c r="A4430">
        <f>IFERROR(INDEX('Email Cleaner'!$B$2:$B$10001,MATCH(4429,'Email Cleaner'!$G$2:$G$10001,0)),"")</f>
        <v/>
      </c>
    </row>
    <row r="4431">
      <c r="A4431">
        <f>IFERROR(INDEX('Email Cleaner'!$B$2:$B$10001,MATCH(4430,'Email Cleaner'!$G$2:$G$10001,0)),"")</f>
        <v/>
      </c>
    </row>
    <row r="4432">
      <c r="A4432">
        <f>IFERROR(INDEX('Email Cleaner'!$B$2:$B$10001,MATCH(4431,'Email Cleaner'!$G$2:$G$10001,0)),"")</f>
        <v/>
      </c>
    </row>
    <row r="4433">
      <c r="A4433">
        <f>IFERROR(INDEX('Email Cleaner'!$B$2:$B$10001,MATCH(4432,'Email Cleaner'!$G$2:$G$10001,0)),"")</f>
        <v/>
      </c>
    </row>
    <row r="4434">
      <c r="A4434">
        <f>IFERROR(INDEX('Email Cleaner'!$B$2:$B$10001,MATCH(4433,'Email Cleaner'!$G$2:$G$10001,0)),"")</f>
        <v/>
      </c>
    </row>
    <row r="4435">
      <c r="A4435">
        <f>IFERROR(INDEX('Email Cleaner'!$B$2:$B$10001,MATCH(4434,'Email Cleaner'!$G$2:$G$10001,0)),"")</f>
        <v/>
      </c>
    </row>
    <row r="4436">
      <c r="A4436">
        <f>IFERROR(INDEX('Email Cleaner'!$B$2:$B$10001,MATCH(4435,'Email Cleaner'!$G$2:$G$10001,0)),"")</f>
        <v/>
      </c>
    </row>
    <row r="4437">
      <c r="A4437">
        <f>IFERROR(INDEX('Email Cleaner'!$B$2:$B$10001,MATCH(4436,'Email Cleaner'!$G$2:$G$10001,0)),"")</f>
        <v/>
      </c>
    </row>
    <row r="4438">
      <c r="A4438">
        <f>IFERROR(INDEX('Email Cleaner'!$B$2:$B$10001,MATCH(4437,'Email Cleaner'!$G$2:$G$10001,0)),"")</f>
        <v/>
      </c>
    </row>
    <row r="4439">
      <c r="A4439">
        <f>IFERROR(INDEX('Email Cleaner'!$B$2:$B$10001,MATCH(4438,'Email Cleaner'!$G$2:$G$10001,0)),"")</f>
        <v/>
      </c>
    </row>
    <row r="4440">
      <c r="A4440">
        <f>IFERROR(INDEX('Email Cleaner'!$B$2:$B$10001,MATCH(4439,'Email Cleaner'!$G$2:$G$10001,0)),"")</f>
        <v/>
      </c>
    </row>
    <row r="4441">
      <c r="A4441">
        <f>IFERROR(INDEX('Email Cleaner'!$B$2:$B$10001,MATCH(4440,'Email Cleaner'!$G$2:$G$10001,0)),"")</f>
        <v/>
      </c>
    </row>
    <row r="4442">
      <c r="A4442">
        <f>IFERROR(INDEX('Email Cleaner'!$B$2:$B$10001,MATCH(4441,'Email Cleaner'!$G$2:$G$10001,0)),"")</f>
        <v/>
      </c>
    </row>
    <row r="4443">
      <c r="A4443">
        <f>IFERROR(INDEX('Email Cleaner'!$B$2:$B$10001,MATCH(4442,'Email Cleaner'!$G$2:$G$10001,0)),"")</f>
        <v/>
      </c>
    </row>
    <row r="4444">
      <c r="A4444">
        <f>IFERROR(INDEX('Email Cleaner'!$B$2:$B$10001,MATCH(4443,'Email Cleaner'!$G$2:$G$10001,0)),"")</f>
        <v/>
      </c>
    </row>
    <row r="4445">
      <c r="A4445">
        <f>IFERROR(INDEX('Email Cleaner'!$B$2:$B$10001,MATCH(4444,'Email Cleaner'!$G$2:$G$10001,0)),"")</f>
        <v/>
      </c>
    </row>
    <row r="4446">
      <c r="A4446">
        <f>IFERROR(INDEX('Email Cleaner'!$B$2:$B$10001,MATCH(4445,'Email Cleaner'!$G$2:$G$10001,0)),"")</f>
        <v/>
      </c>
    </row>
    <row r="4447">
      <c r="A4447">
        <f>IFERROR(INDEX('Email Cleaner'!$B$2:$B$10001,MATCH(4446,'Email Cleaner'!$G$2:$G$10001,0)),"")</f>
        <v/>
      </c>
    </row>
    <row r="4448">
      <c r="A4448">
        <f>IFERROR(INDEX('Email Cleaner'!$B$2:$B$10001,MATCH(4447,'Email Cleaner'!$G$2:$G$10001,0)),"")</f>
        <v/>
      </c>
    </row>
    <row r="4449">
      <c r="A4449">
        <f>IFERROR(INDEX('Email Cleaner'!$B$2:$B$10001,MATCH(4448,'Email Cleaner'!$G$2:$G$10001,0)),"")</f>
        <v/>
      </c>
    </row>
    <row r="4450">
      <c r="A4450">
        <f>IFERROR(INDEX('Email Cleaner'!$B$2:$B$10001,MATCH(4449,'Email Cleaner'!$G$2:$G$10001,0)),"")</f>
        <v/>
      </c>
    </row>
    <row r="4451">
      <c r="A4451">
        <f>IFERROR(INDEX('Email Cleaner'!$B$2:$B$10001,MATCH(4450,'Email Cleaner'!$G$2:$G$10001,0)),"")</f>
        <v/>
      </c>
    </row>
    <row r="4452">
      <c r="A4452">
        <f>IFERROR(INDEX('Email Cleaner'!$B$2:$B$10001,MATCH(4451,'Email Cleaner'!$G$2:$G$10001,0)),"")</f>
        <v/>
      </c>
    </row>
    <row r="4453">
      <c r="A4453">
        <f>IFERROR(INDEX('Email Cleaner'!$B$2:$B$10001,MATCH(4452,'Email Cleaner'!$G$2:$G$10001,0)),"")</f>
        <v/>
      </c>
    </row>
    <row r="4454">
      <c r="A4454">
        <f>IFERROR(INDEX('Email Cleaner'!$B$2:$B$10001,MATCH(4453,'Email Cleaner'!$G$2:$G$10001,0)),"")</f>
        <v/>
      </c>
    </row>
    <row r="4455">
      <c r="A4455">
        <f>IFERROR(INDEX('Email Cleaner'!$B$2:$B$10001,MATCH(4454,'Email Cleaner'!$G$2:$G$10001,0)),"")</f>
        <v/>
      </c>
    </row>
    <row r="4456">
      <c r="A4456">
        <f>IFERROR(INDEX('Email Cleaner'!$B$2:$B$10001,MATCH(4455,'Email Cleaner'!$G$2:$G$10001,0)),"")</f>
        <v/>
      </c>
    </row>
    <row r="4457">
      <c r="A4457">
        <f>IFERROR(INDEX('Email Cleaner'!$B$2:$B$10001,MATCH(4456,'Email Cleaner'!$G$2:$G$10001,0)),"")</f>
        <v/>
      </c>
    </row>
    <row r="4458">
      <c r="A4458">
        <f>IFERROR(INDEX('Email Cleaner'!$B$2:$B$10001,MATCH(4457,'Email Cleaner'!$G$2:$G$10001,0)),"")</f>
        <v/>
      </c>
    </row>
    <row r="4459">
      <c r="A4459">
        <f>IFERROR(INDEX('Email Cleaner'!$B$2:$B$10001,MATCH(4458,'Email Cleaner'!$G$2:$G$10001,0)),"")</f>
        <v/>
      </c>
    </row>
    <row r="4460">
      <c r="A4460">
        <f>IFERROR(INDEX('Email Cleaner'!$B$2:$B$10001,MATCH(4459,'Email Cleaner'!$G$2:$G$10001,0)),"")</f>
        <v/>
      </c>
    </row>
    <row r="4461">
      <c r="A4461">
        <f>IFERROR(INDEX('Email Cleaner'!$B$2:$B$10001,MATCH(4460,'Email Cleaner'!$G$2:$G$10001,0)),"")</f>
        <v/>
      </c>
    </row>
    <row r="4462">
      <c r="A4462">
        <f>IFERROR(INDEX('Email Cleaner'!$B$2:$B$10001,MATCH(4461,'Email Cleaner'!$G$2:$G$10001,0)),"")</f>
        <v/>
      </c>
    </row>
    <row r="4463">
      <c r="A4463">
        <f>IFERROR(INDEX('Email Cleaner'!$B$2:$B$10001,MATCH(4462,'Email Cleaner'!$G$2:$G$10001,0)),"")</f>
        <v/>
      </c>
    </row>
    <row r="4464">
      <c r="A4464">
        <f>IFERROR(INDEX('Email Cleaner'!$B$2:$B$10001,MATCH(4463,'Email Cleaner'!$G$2:$G$10001,0)),"")</f>
        <v/>
      </c>
    </row>
    <row r="4465">
      <c r="A4465">
        <f>IFERROR(INDEX('Email Cleaner'!$B$2:$B$10001,MATCH(4464,'Email Cleaner'!$G$2:$G$10001,0)),"")</f>
        <v/>
      </c>
    </row>
    <row r="4466">
      <c r="A4466">
        <f>IFERROR(INDEX('Email Cleaner'!$B$2:$B$10001,MATCH(4465,'Email Cleaner'!$G$2:$G$10001,0)),"")</f>
        <v/>
      </c>
    </row>
    <row r="4467">
      <c r="A4467">
        <f>IFERROR(INDEX('Email Cleaner'!$B$2:$B$10001,MATCH(4466,'Email Cleaner'!$G$2:$G$10001,0)),"")</f>
        <v/>
      </c>
    </row>
    <row r="4468">
      <c r="A4468">
        <f>IFERROR(INDEX('Email Cleaner'!$B$2:$B$10001,MATCH(4467,'Email Cleaner'!$G$2:$G$10001,0)),"")</f>
        <v/>
      </c>
    </row>
    <row r="4469">
      <c r="A4469">
        <f>IFERROR(INDEX('Email Cleaner'!$B$2:$B$10001,MATCH(4468,'Email Cleaner'!$G$2:$G$10001,0)),"")</f>
        <v/>
      </c>
    </row>
    <row r="4470">
      <c r="A4470">
        <f>IFERROR(INDEX('Email Cleaner'!$B$2:$B$10001,MATCH(4469,'Email Cleaner'!$G$2:$G$10001,0)),"")</f>
        <v/>
      </c>
    </row>
    <row r="4471">
      <c r="A4471">
        <f>IFERROR(INDEX('Email Cleaner'!$B$2:$B$10001,MATCH(4470,'Email Cleaner'!$G$2:$G$10001,0)),"")</f>
        <v/>
      </c>
    </row>
    <row r="4472">
      <c r="A4472">
        <f>IFERROR(INDEX('Email Cleaner'!$B$2:$B$10001,MATCH(4471,'Email Cleaner'!$G$2:$G$10001,0)),"")</f>
        <v/>
      </c>
    </row>
    <row r="4473">
      <c r="A4473">
        <f>IFERROR(INDEX('Email Cleaner'!$B$2:$B$10001,MATCH(4472,'Email Cleaner'!$G$2:$G$10001,0)),"")</f>
        <v/>
      </c>
    </row>
    <row r="4474">
      <c r="A4474">
        <f>IFERROR(INDEX('Email Cleaner'!$B$2:$B$10001,MATCH(4473,'Email Cleaner'!$G$2:$G$10001,0)),"")</f>
        <v/>
      </c>
    </row>
    <row r="4475">
      <c r="A4475">
        <f>IFERROR(INDEX('Email Cleaner'!$B$2:$B$10001,MATCH(4474,'Email Cleaner'!$G$2:$G$10001,0)),"")</f>
        <v/>
      </c>
    </row>
    <row r="4476">
      <c r="A4476">
        <f>IFERROR(INDEX('Email Cleaner'!$B$2:$B$10001,MATCH(4475,'Email Cleaner'!$G$2:$G$10001,0)),"")</f>
        <v/>
      </c>
    </row>
    <row r="4477">
      <c r="A4477">
        <f>IFERROR(INDEX('Email Cleaner'!$B$2:$B$10001,MATCH(4476,'Email Cleaner'!$G$2:$G$10001,0)),"")</f>
        <v/>
      </c>
    </row>
    <row r="4478">
      <c r="A4478">
        <f>IFERROR(INDEX('Email Cleaner'!$B$2:$B$10001,MATCH(4477,'Email Cleaner'!$G$2:$G$10001,0)),"")</f>
        <v/>
      </c>
    </row>
    <row r="4479">
      <c r="A4479">
        <f>IFERROR(INDEX('Email Cleaner'!$B$2:$B$10001,MATCH(4478,'Email Cleaner'!$G$2:$G$10001,0)),"")</f>
        <v/>
      </c>
    </row>
    <row r="4480">
      <c r="A4480">
        <f>IFERROR(INDEX('Email Cleaner'!$B$2:$B$10001,MATCH(4479,'Email Cleaner'!$G$2:$G$10001,0)),"")</f>
        <v/>
      </c>
    </row>
    <row r="4481">
      <c r="A4481">
        <f>IFERROR(INDEX('Email Cleaner'!$B$2:$B$10001,MATCH(4480,'Email Cleaner'!$G$2:$G$10001,0)),"")</f>
        <v/>
      </c>
    </row>
    <row r="4482">
      <c r="A4482">
        <f>IFERROR(INDEX('Email Cleaner'!$B$2:$B$10001,MATCH(4481,'Email Cleaner'!$G$2:$G$10001,0)),"")</f>
        <v/>
      </c>
    </row>
    <row r="4483">
      <c r="A4483">
        <f>IFERROR(INDEX('Email Cleaner'!$B$2:$B$10001,MATCH(4482,'Email Cleaner'!$G$2:$G$10001,0)),"")</f>
        <v/>
      </c>
    </row>
    <row r="4484">
      <c r="A4484">
        <f>IFERROR(INDEX('Email Cleaner'!$B$2:$B$10001,MATCH(4483,'Email Cleaner'!$G$2:$G$10001,0)),"")</f>
        <v/>
      </c>
    </row>
    <row r="4485">
      <c r="A4485">
        <f>IFERROR(INDEX('Email Cleaner'!$B$2:$B$10001,MATCH(4484,'Email Cleaner'!$G$2:$G$10001,0)),"")</f>
        <v/>
      </c>
    </row>
    <row r="4486">
      <c r="A4486">
        <f>IFERROR(INDEX('Email Cleaner'!$B$2:$B$10001,MATCH(4485,'Email Cleaner'!$G$2:$G$10001,0)),"")</f>
        <v/>
      </c>
    </row>
    <row r="4487">
      <c r="A4487">
        <f>IFERROR(INDEX('Email Cleaner'!$B$2:$B$10001,MATCH(4486,'Email Cleaner'!$G$2:$G$10001,0)),"")</f>
        <v/>
      </c>
    </row>
    <row r="4488">
      <c r="A4488">
        <f>IFERROR(INDEX('Email Cleaner'!$B$2:$B$10001,MATCH(4487,'Email Cleaner'!$G$2:$G$10001,0)),"")</f>
        <v/>
      </c>
    </row>
    <row r="4489">
      <c r="A4489">
        <f>IFERROR(INDEX('Email Cleaner'!$B$2:$B$10001,MATCH(4488,'Email Cleaner'!$G$2:$G$10001,0)),"")</f>
        <v/>
      </c>
    </row>
    <row r="4490">
      <c r="A4490">
        <f>IFERROR(INDEX('Email Cleaner'!$B$2:$B$10001,MATCH(4489,'Email Cleaner'!$G$2:$G$10001,0)),"")</f>
        <v/>
      </c>
    </row>
    <row r="4491">
      <c r="A4491">
        <f>IFERROR(INDEX('Email Cleaner'!$B$2:$B$10001,MATCH(4490,'Email Cleaner'!$G$2:$G$10001,0)),"")</f>
        <v/>
      </c>
    </row>
    <row r="4492">
      <c r="A4492">
        <f>IFERROR(INDEX('Email Cleaner'!$B$2:$B$10001,MATCH(4491,'Email Cleaner'!$G$2:$G$10001,0)),"")</f>
        <v/>
      </c>
    </row>
    <row r="4493">
      <c r="A4493">
        <f>IFERROR(INDEX('Email Cleaner'!$B$2:$B$10001,MATCH(4492,'Email Cleaner'!$G$2:$G$10001,0)),"")</f>
        <v/>
      </c>
    </row>
    <row r="4494">
      <c r="A4494">
        <f>IFERROR(INDEX('Email Cleaner'!$B$2:$B$10001,MATCH(4493,'Email Cleaner'!$G$2:$G$10001,0)),"")</f>
        <v/>
      </c>
    </row>
    <row r="4495">
      <c r="A4495">
        <f>IFERROR(INDEX('Email Cleaner'!$B$2:$B$10001,MATCH(4494,'Email Cleaner'!$G$2:$G$10001,0)),"")</f>
        <v/>
      </c>
    </row>
    <row r="4496">
      <c r="A4496">
        <f>IFERROR(INDEX('Email Cleaner'!$B$2:$B$10001,MATCH(4495,'Email Cleaner'!$G$2:$G$10001,0)),"")</f>
        <v/>
      </c>
    </row>
    <row r="4497">
      <c r="A4497">
        <f>IFERROR(INDEX('Email Cleaner'!$B$2:$B$10001,MATCH(4496,'Email Cleaner'!$G$2:$G$10001,0)),"")</f>
        <v/>
      </c>
    </row>
    <row r="4498">
      <c r="A4498">
        <f>IFERROR(INDEX('Email Cleaner'!$B$2:$B$10001,MATCH(4497,'Email Cleaner'!$G$2:$G$10001,0)),"")</f>
        <v/>
      </c>
    </row>
    <row r="4499">
      <c r="A4499">
        <f>IFERROR(INDEX('Email Cleaner'!$B$2:$B$10001,MATCH(4498,'Email Cleaner'!$G$2:$G$10001,0)),"")</f>
        <v/>
      </c>
    </row>
    <row r="4500">
      <c r="A4500">
        <f>IFERROR(INDEX('Email Cleaner'!$B$2:$B$10001,MATCH(4499,'Email Cleaner'!$G$2:$G$10001,0)),"")</f>
        <v/>
      </c>
    </row>
    <row r="4501">
      <c r="A4501">
        <f>IFERROR(INDEX('Email Cleaner'!$B$2:$B$10001,MATCH(4500,'Email Cleaner'!$G$2:$G$10001,0)),"")</f>
        <v/>
      </c>
    </row>
    <row r="4502">
      <c r="A4502">
        <f>IFERROR(INDEX('Email Cleaner'!$B$2:$B$10001,MATCH(4501,'Email Cleaner'!$G$2:$G$10001,0)),"")</f>
        <v/>
      </c>
    </row>
    <row r="4503">
      <c r="A4503">
        <f>IFERROR(INDEX('Email Cleaner'!$B$2:$B$10001,MATCH(4502,'Email Cleaner'!$G$2:$G$10001,0)),"")</f>
        <v/>
      </c>
    </row>
    <row r="4504">
      <c r="A4504">
        <f>IFERROR(INDEX('Email Cleaner'!$B$2:$B$10001,MATCH(4503,'Email Cleaner'!$G$2:$G$10001,0)),"")</f>
        <v/>
      </c>
    </row>
    <row r="4505">
      <c r="A4505">
        <f>IFERROR(INDEX('Email Cleaner'!$B$2:$B$10001,MATCH(4504,'Email Cleaner'!$G$2:$G$10001,0)),"")</f>
        <v/>
      </c>
    </row>
    <row r="4506">
      <c r="A4506">
        <f>IFERROR(INDEX('Email Cleaner'!$B$2:$B$10001,MATCH(4505,'Email Cleaner'!$G$2:$G$10001,0)),"")</f>
        <v/>
      </c>
    </row>
    <row r="4507">
      <c r="A4507">
        <f>IFERROR(INDEX('Email Cleaner'!$B$2:$B$10001,MATCH(4506,'Email Cleaner'!$G$2:$G$10001,0)),"")</f>
        <v/>
      </c>
    </row>
    <row r="4508">
      <c r="A4508">
        <f>IFERROR(INDEX('Email Cleaner'!$B$2:$B$10001,MATCH(4507,'Email Cleaner'!$G$2:$G$10001,0)),"")</f>
        <v/>
      </c>
    </row>
    <row r="4509">
      <c r="A4509">
        <f>IFERROR(INDEX('Email Cleaner'!$B$2:$B$10001,MATCH(4508,'Email Cleaner'!$G$2:$G$10001,0)),"")</f>
        <v/>
      </c>
    </row>
    <row r="4510">
      <c r="A4510">
        <f>IFERROR(INDEX('Email Cleaner'!$B$2:$B$10001,MATCH(4509,'Email Cleaner'!$G$2:$G$10001,0)),"")</f>
        <v/>
      </c>
    </row>
    <row r="4511">
      <c r="A4511">
        <f>IFERROR(INDEX('Email Cleaner'!$B$2:$B$10001,MATCH(4510,'Email Cleaner'!$G$2:$G$10001,0)),"")</f>
        <v/>
      </c>
    </row>
    <row r="4512">
      <c r="A4512">
        <f>IFERROR(INDEX('Email Cleaner'!$B$2:$B$10001,MATCH(4511,'Email Cleaner'!$G$2:$G$10001,0)),"")</f>
        <v/>
      </c>
    </row>
    <row r="4513">
      <c r="A4513">
        <f>IFERROR(INDEX('Email Cleaner'!$B$2:$B$10001,MATCH(4512,'Email Cleaner'!$G$2:$G$10001,0)),"")</f>
        <v/>
      </c>
    </row>
    <row r="4514">
      <c r="A4514">
        <f>IFERROR(INDEX('Email Cleaner'!$B$2:$B$10001,MATCH(4513,'Email Cleaner'!$G$2:$G$10001,0)),"")</f>
        <v/>
      </c>
    </row>
    <row r="4515">
      <c r="A4515">
        <f>IFERROR(INDEX('Email Cleaner'!$B$2:$B$10001,MATCH(4514,'Email Cleaner'!$G$2:$G$10001,0)),"")</f>
        <v/>
      </c>
    </row>
    <row r="4516">
      <c r="A4516">
        <f>IFERROR(INDEX('Email Cleaner'!$B$2:$B$10001,MATCH(4515,'Email Cleaner'!$G$2:$G$10001,0)),"")</f>
        <v/>
      </c>
    </row>
    <row r="4517">
      <c r="A4517">
        <f>IFERROR(INDEX('Email Cleaner'!$B$2:$B$10001,MATCH(4516,'Email Cleaner'!$G$2:$G$10001,0)),"")</f>
        <v/>
      </c>
    </row>
    <row r="4518">
      <c r="A4518">
        <f>IFERROR(INDEX('Email Cleaner'!$B$2:$B$10001,MATCH(4517,'Email Cleaner'!$G$2:$G$10001,0)),"")</f>
        <v/>
      </c>
    </row>
    <row r="4519">
      <c r="A4519">
        <f>IFERROR(INDEX('Email Cleaner'!$B$2:$B$10001,MATCH(4518,'Email Cleaner'!$G$2:$G$10001,0)),"")</f>
        <v/>
      </c>
    </row>
    <row r="4520">
      <c r="A4520">
        <f>IFERROR(INDEX('Email Cleaner'!$B$2:$B$10001,MATCH(4519,'Email Cleaner'!$G$2:$G$10001,0)),"")</f>
        <v/>
      </c>
    </row>
    <row r="4521">
      <c r="A4521">
        <f>IFERROR(INDEX('Email Cleaner'!$B$2:$B$10001,MATCH(4520,'Email Cleaner'!$G$2:$G$10001,0)),"")</f>
        <v/>
      </c>
    </row>
    <row r="4522">
      <c r="A4522">
        <f>IFERROR(INDEX('Email Cleaner'!$B$2:$B$10001,MATCH(4521,'Email Cleaner'!$G$2:$G$10001,0)),"")</f>
        <v/>
      </c>
    </row>
    <row r="4523">
      <c r="A4523">
        <f>IFERROR(INDEX('Email Cleaner'!$B$2:$B$10001,MATCH(4522,'Email Cleaner'!$G$2:$G$10001,0)),"")</f>
        <v/>
      </c>
    </row>
    <row r="4524">
      <c r="A4524">
        <f>IFERROR(INDEX('Email Cleaner'!$B$2:$B$10001,MATCH(4523,'Email Cleaner'!$G$2:$G$10001,0)),"")</f>
        <v/>
      </c>
    </row>
    <row r="4525">
      <c r="A4525">
        <f>IFERROR(INDEX('Email Cleaner'!$B$2:$B$10001,MATCH(4524,'Email Cleaner'!$G$2:$G$10001,0)),"")</f>
        <v/>
      </c>
    </row>
    <row r="4526">
      <c r="A4526">
        <f>IFERROR(INDEX('Email Cleaner'!$B$2:$B$10001,MATCH(4525,'Email Cleaner'!$G$2:$G$10001,0)),"")</f>
        <v/>
      </c>
    </row>
    <row r="4527">
      <c r="A4527">
        <f>IFERROR(INDEX('Email Cleaner'!$B$2:$B$10001,MATCH(4526,'Email Cleaner'!$G$2:$G$10001,0)),"")</f>
        <v/>
      </c>
    </row>
    <row r="4528">
      <c r="A4528">
        <f>IFERROR(INDEX('Email Cleaner'!$B$2:$B$10001,MATCH(4527,'Email Cleaner'!$G$2:$G$10001,0)),"")</f>
        <v/>
      </c>
    </row>
    <row r="4529">
      <c r="A4529">
        <f>IFERROR(INDEX('Email Cleaner'!$B$2:$B$10001,MATCH(4528,'Email Cleaner'!$G$2:$G$10001,0)),"")</f>
        <v/>
      </c>
    </row>
    <row r="4530">
      <c r="A4530">
        <f>IFERROR(INDEX('Email Cleaner'!$B$2:$B$10001,MATCH(4529,'Email Cleaner'!$G$2:$G$10001,0)),"")</f>
        <v/>
      </c>
    </row>
    <row r="4531">
      <c r="A4531">
        <f>IFERROR(INDEX('Email Cleaner'!$B$2:$B$10001,MATCH(4530,'Email Cleaner'!$G$2:$G$10001,0)),"")</f>
        <v/>
      </c>
    </row>
    <row r="4532">
      <c r="A4532">
        <f>IFERROR(INDEX('Email Cleaner'!$B$2:$B$10001,MATCH(4531,'Email Cleaner'!$G$2:$G$10001,0)),"")</f>
        <v/>
      </c>
    </row>
    <row r="4533">
      <c r="A4533">
        <f>IFERROR(INDEX('Email Cleaner'!$B$2:$B$10001,MATCH(4532,'Email Cleaner'!$G$2:$G$10001,0)),"")</f>
        <v/>
      </c>
    </row>
    <row r="4534">
      <c r="A4534">
        <f>IFERROR(INDEX('Email Cleaner'!$B$2:$B$10001,MATCH(4533,'Email Cleaner'!$G$2:$G$10001,0)),"")</f>
        <v/>
      </c>
    </row>
    <row r="4535">
      <c r="A4535">
        <f>IFERROR(INDEX('Email Cleaner'!$B$2:$B$10001,MATCH(4534,'Email Cleaner'!$G$2:$G$10001,0)),"")</f>
        <v/>
      </c>
    </row>
    <row r="4536">
      <c r="A4536">
        <f>IFERROR(INDEX('Email Cleaner'!$B$2:$B$10001,MATCH(4535,'Email Cleaner'!$G$2:$G$10001,0)),"")</f>
        <v/>
      </c>
    </row>
    <row r="4537">
      <c r="A4537">
        <f>IFERROR(INDEX('Email Cleaner'!$B$2:$B$10001,MATCH(4536,'Email Cleaner'!$G$2:$G$10001,0)),"")</f>
        <v/>
      </c>
    </row>
    <row r="4538">
      <c r="A4538">
        <f>IFERROR(INDEX('Email Cleaner'!$B$2:$B$10001,MATCH(4537,'Email Cleaner'!$G$2:$G$10001,0)),"")</f>
        <v/>
      </c>
    </row>
    <row r="4539">
      <c r="A4539">
        <f>IFERROR(INDEX('Email Cleaner'!$B$2:$B$10001,MATCH(4538,'Email Cleaner'!$G$2:$G$10001,0)),"")</f>
        <v/>
      </c>
    </row>
    <row r="4540">
      <c r="A4540">
        <f>IFERROR(INDEX('Email Cleaner'!$B$2:$B$10001,MATCH(4539,'Email Cleaner'!$G$2:$G$10001,0)),"")</f>
        <v/>
      </c>
    </row>
    <row r="4541">
      <c r="A4541">
        <f>IFERROR(INDEX('Email Cleaner'!$B$2:$B$10001,MATCH(4540,'Email Cleaner'!$G$2:$G$10001,0)),"")</f>
        <v/>
      </c>
    </row>
    <row r="4542">
      <c r="A4542">
        <f>IFERROR(INDEX('Email Cleaner'!$B$2:$B$10001,MATCH(4541,'Email Cleaner'!$G$2:$G$10001,0)),"")</f>
        <v/>
      </c>
    </row>
    <row r="4543">
      <c r="A4543">
        <f>IFERROR(INDEX('Email Cleaner'!$B$2:$B$10001,MATCH(4542,'Email Cleaner'!$G$2:$G$10001,0)),"")</f>
        <v/>
      </c>
    </row>
    <row r="4544">
      <c r="A4544">
        <f>IFERROR(INDEX('Email Cleaner'!$B$2:$B$10001,MATCH(4543,'Email Cleaner'!$G$2:$G$10001,0)),"")</f>
        <v/>
      </c>
    </row>
    <row r="4545">
      <c r="A4545">
        <f>IFERROR(INDEX('Email Cleaner'!$B$2:$B$10001,MATCH(4544,'Email Cleaner'!$G$2:$G$10001,0)),"")</f>
        <v/>
      </c>
    </row>
    <row r="4546">
      <c r="A4546">
        <f>IFERROR(INDEX('Email Cleaner'!$B$2:$B$10001,MATCH(4545,'Email Cleaner'!$G$2:$G$10001,0)),"")</f>
        <v/>
      </c>
    </row>
    <row r="4547">
      <c r="A4547">
        <f>IFERROR(INDEX('Email Cleaner'!$B$2:$B$10001,MATCH(4546,'Email Cleaner'!$G$2:$G$10001,0)),"")</f>
        <v/>
      </c>
    </row>
    <row r="4548">
      <c r="A4548">
        <f>IFERROR(INDEX('Email Cleaner'!$B$2:$B$10001,MATCH(4547,'Email Cleaner'!$G$2:$G$10001,0)),"")</f>
        <v/>
      </c>
    </row>
    <row r="4549">
      <c r="A4549">
        <f>IFERROR(INDEX('Email Cleaner'!$B$2:$B$10001,MATCH(4548,'Email Cleaner'!$G$2:$G$10001,0)),"")</f>
        <v/>
      </c>
    </row>
    <row r="4550">
      <c r="A4550">
        <f>IFERROR(INDEX('Email Cleaner'!$B$2:$B$10001,MATCH(4549,'Email Cleaner'!$G$2:$G$10001,0)),"")</f>
        <v/>
      </c>
    </row>
    <row r="4551">
      <c r="A4551">
        <f>IFERROR(INDEX('Email Cleaner'!$B$2:$B$10001,MATCH(4550,'Email Cleaner'!$G$2:$G$10001,0)),"")</f>
        <v/>
      </c>
    </row>
    <row r="4552">
      <c r="A4552">
        <f>IFERROR(INDEX('Email Cleaner'!$B$2:$B$10001,MATCH(4551,'Email Cleaner'!$G$2:$G$10001,0)),"")</f>
        <v/>
      </c>
    </row>
    <row r="4553">
      <c r="A4553">
        <f>IFERROR(INDEX('Email Cleaner'!$B$2:$B$10001,MATCH(4552,'Email Cleaner'!$G$2:$G$10001,0)),"")</f>
        <v/>
      </c>
    </row>
    <row r="4554">
      <c r="A4554">
        <f>IFERROR(INDEX('Email Cleaner'!$B$2:$B$10001,MATCH(4553,'Email Cleaner'!$G$2:$G$10001,0)),"")</f>
        <v/>
      </c>
    </row>
    <row r="4555">
      <c r="A4555">
        <f>IFERROR(INDEX('Email Cleaner'!$B$2:$B$10001,MATCH(4554,'Email Cleaner'!$G$2:$G$10001,0)),"")</f>
        <v/>
      </c>
    </row>
    <row r="4556">
      <c r="A4556">
        <f>IFERROR(INDEX('Email Cleaner'!$B$2:$B$10001,MATCH(4555,'Email Cleaner'!$G$2:$G$10001,0)),"")</f>
        <v/>
      </c>
    </row>
    <row r="4557">
      <c r="A4557">
        <f>IFERROR(INDEX('Email Cleaner'!$B$2:$B$10001,MATCH(4556,'Email Cleaner'!$G$2:$G$10001,0)),"")</f>
        <v/>
      </c>
    </row>
    <row r="4558">
      <c r="A4558">
        <f>IFERROR(INDEX('Email Cleaner'!$B$2:$B$10001,MATCH(4557,'Email Cleaner'!$G$2:$G$10001,0)),"")</f>
        <v/>
      </c>
    </row>
    <row r="4559">
      <c r="A4559">
        <f>IFERROR(INDEX('Email Cleaner'!$B$2:$B$10001,MATCH(4558,'Email Cleaner'!$G$2:$G$10001,0)),"")</f>
        <v/>
      </c>
    </row>
    <row r="4560">
      <c r="A4560">
        <f>IFERROR(INDEX('Email Cleaner'!$B$2:$B$10001,MATCH(4559,'Email Cleaner'!$G$2:$G$10001,0)),"")</f>
        <v/>
      </c>
    </row>
    <row r="4561">
      <c r="A4561">
        <f>IFERROR(INDEX('Email Cleaner'!$B$2:$B$10001,MATCH(4560,'Email Cleaner'!$G$2:$G$10001,0)),"")</f>
        <v/>
      </c>
    </row>
    <row r="4562">
      <c r="A4562">
        <f>IFERROR(INDEX('Email Cleaner'!$B$2:$B$10001,MATCH(4561,'Email Cleaner'!$G$2:$G$10001,0)),"")</f>
        <v/>
      </c>
    </row>
    <row r="4563">
      <c r="A4563">
        <f>IFERROR(INDEX('Email Cleaner'!$B$2:$B$10001,MATCH(4562,'Email Cleaner'!$G$2:$G$10001,0)),"")</f>
        <v/>
      </c>
    </row>
    <row r="4564">
      <c r="A4564">
        <f>IFERROR(INDEX('Email Cleaner'!$B$2:$B$10001,MATCH(4563,'Email Cleaner'!$G$2:$G$10001,0)),"")</f>
        <v/>
      </c>
    </row>
    <row r="4565">
      <c r="A4565">
        <f>IFERROR(INDEX('Email Cleaner'!$B$2:$B$10001,MATCH(4564,'Email Cleaner'!$G$2:$G$10001,0)),"")</f>
        <v/>
      </c>
    </row>
    <row r="4566">
      <c r="A4566">
        <f>IFERROR(INDEX('Email Cleaner'!$B$2:$B$10001,MATCH(4565,'Email Cleaner'!$G$2:$G$10001,0)),"")</f>
        <v/>
      </c>
    </row>
    <row r="4567">
      <c r="A4567">
        <f>IFERROR(INDEX('Email Cleaner'!$B$2:$B$10001,MATCH(4566,'Email Cleaner'!$G$2:$G$10001,0)),"")</f>
        <v/>
      </c>
    </row>
    <row r="4568">
      <c r="A4568">
        <f>IFERROR(INDEX('Email Cleaner'!$B$2:$B$10001,MATCH(4567,'Email Cleaner'!$G$2:$G$10001,0)),"")</f>
        <v/>
      </c>
    </row>
    <row r="4569">
      <c r="A4569">
        <f>IFERROR(INDEX('Email Cleaner'!$B$2:$B$10001,MATCH(4568,'Email Cleaner'!$G$2:$G$10001,0)),"")</f>
        <v/>
      </c>
    </row>
    <row r="4570">
      <c r="A4570">
        <f>IFERROR(INDEX('Email Cleaner'!$B$2:$B$10001,MATCH(4569,'Email Cleaner'!$G$2:$G$10001,0)),"")</f>
        <v/>
      </c>
    </row>
    <row r="4571">
      <c r="A4571">
        <f>IFERROR(INDEX('Email Cleaner'!$B$2:$B$10001,MATCH(4570,'Email Cleaner'!$G$2:$G$10001,0)),"")</f>
        <v/>
      </c>
    </row>
    <row r="4572">
      <c r="A4572">
        <f>IFERROR(INDEX('Email Cleaner'!$B$2:$B$10001,MATCH(4571,'Email Cleaner'!$G$2:$G$10001,0)),"")</f>
        <v/>
      </c>
    </row>
    <row r="4573">
      <c r="A4573">
        <f>IFERROR(INDEX('Email Cleaner'!$B$2:$B$10001,MATCH(4572,'Email Cleaner'!$G$2:$G$10001,0)),"")</f>
        <v/>
      </c>
    </row>
    <row r="4574">
      <c r="A4574">
        <f>IFERROR(INDEX('Email Cleaner'!$B$2:$B$10001,MATCH(4573,'Email Cleaner'!$G$2:$G$10001,0)),"")</f>
        <v/>
      </c>
    </row>
    <row r="4575">
      <c r="A4575">
        <f>IFERROR(INDEX('Email Cleaner'!$B$2:$B$10001,MATCH(4574,'Email Cleaner'!$G$2:$G$10001,0)),"")</f>
        <v/>
      </c>
    </row>
    <row r="4576">
      <c r="A4576">
        <f>IFERROR(INDEX('Email Cleaner'!$B$2:$B$10001,MATCH(4575,'Email Cleaner'!$G$2:$G$10001,0)),"")</f>
        <v/>
      </c>
    </row>
    <row r="4577">
      <c r="A4577">
        <f>IFERROR(INDEX('Email Cleaner'!$B$2:$B$10001,MATCH(4576,'Email Cleaner'!$G$2:$G$10001,0)),"")</f>
        <v/>
      </c>
    </row>
    <row r="4578">
      <c r="A4578">
        <f>IFERROR(INDEX('Email Cleaner'!$B$2:$B$10001,MATCH(4577,'Email Cleaner'!$G$2:$G$10001,0)),"")</f>
        <v/>
      </c>
    </row>
    <row r="4579">
      <c r="A4579">
        <f>IFERROR(INDEX('Email Cleaner'!$B$2:$B$10001,MATCH(4578,'Email Cleaner'!$G$2:$G$10001,0)),"")</f>
        <v/>
      </c>
    </row>
    <row r="4580">
      <c r="A4580">
        <f>IFERROR(INDEX('Email Cleaner'!$B$2:$B$10001,MATCH(4579,'Email Cleaner'!$G$2:$G$10001,0)),"")</f>
        <v/>
      </c>
    </row>
    <row r="4581">
      <c r="A4581">
        <f>IFERROR(INDEX('Email Cleaner'!$B$2:$B$10001,MATCH(4580,'Email Cleaner'!$G$2:$G$10001,0)),"")</f>
        <v/>
      </c>
    </row>
    <row r="4582">
      <c r="A4582">
        <f>IFERROR(INDEX('Email Cleaner'!$B$2:$B$10001,MATCH(4581,'Email Cleaner'!$G$2:$G$10001,0)),"")</f>
        <v/>
      </c>
    </row>
    <row r="4583">
      <c r="A4583">
        <f>IFERROR(INDEX('Email Cleaner'!$B$2:$B$10001,MATCH(4582,'Email Cleaner'!$G$2:$G$10001,0)),"")</f>
        <v/>
      </c>
    </row>
    <row r="4584">
      <c r="A4584">
        <f>IFERROR(INDEX('Email Cleaner'!$B$2:$B$10001,MATCH(4583,'Email Cleaner'!$G$2:$G$10001,0)),"")</f>
        <v/>
      </c>
    </row>
    <row r="4585">
      <c r="A4585">
        <f>IFERROR(INDEX('Email Cleaner'!$B$2:$B$10001,MATCH(4584,'Email Cleaner'!$G$2:$G$10001,0)),"")</f>
        <v/>
      </c>
    </row>
    <row r="4586">
      <c r="A4586">
        <f>IFERROR(INDEX('Email Cleaner'!$B$2:$B$10001,MATCH(4585,'Email Cleaner'!$G$2:$G$10001,0)),"")</f>
        <v/>
      </c>
    </row>
    <row r="4587">
      <c r="A4587">
        <f>IFERROR(INDEX('Email Cleaner'!$B$2:$B$10001,MATCH(4586,'Email Cleaner'!$G$2:$G$10001,0)),"")</f>
        <v/>
      </c>
    </row>
    <row r="4588">
      <c r="A4588">
        <f>IFERROR(INDEX('Email Cleaner'!$B$2:$B$10001,MATCH(4587,'Email Cleaner'!$G$2:$G$10001,0)),"")</f>
        <v/>
      </c>
    </row>
    <row r="4589">
      <c r="A4589">
        <f>IFERROR(INDEX('Email Cleaner'!$B$2:$B$10001,MATCH(4588,'Email Cleaner'!$G$2:$G$10001,0)),"")</f>
        <v/>
      </c>
    </row>
    <row r="4590">
      <c r="A4590">
        <f>IFERROR(INDEX('Email Cleaner'!$B$2:$B$10001,MATCH(4589,'Email Cleaner'!$G$2:$G$10001,0)),"")</f>
        <v/>
      </c>
    </row>
    <row r="4591">
      <c r="A4591">
        <f>IFERROR(INDEX('Email Cleaner'!$B$2:$B$10001,MATCH(4590,'Email Cleaner'!$G$2:$G$10001,0)),"")</f>
        <v/>
      </c>
    </row>
    <row r="4592">
      <c r="A4592">
        <f>IFERROR(INDEX('Email Cleaner'!$B$2:$B$10001,MATCH(4591,'Email Cleaner'!$G$2:$G$10001,0)),"")</f>
        <v/>
      </c>
    </row>
    <row r="4593">
      <c r="A4593">
        <f>IFERROR(INDEX('Email Cleaner'!$B$2:$B$10001,MATCH(4592,'Email Cleaner'!$G$2:$G$10001,0)),"")</f>
        <v/>
      </c>
    </row>
    <row r="4594">
      <c r="A4594">
        <f>IFERROR(INDEX('Email Cleaner'!$B$2:$B$10001,MATCH(4593,'Email Cleaner'!$G$2:$G$10001,0)),"")</f>
        <v/>
      </c>
    </row>
    <row r="4595">
      <c r="A4595">
        <f>IFERROR(INDEX('Email Cleaner'!$B$2:$B$10001,MATCH(4594,'Email Cleaner'!$G$2:$G$10001,0)),"")</f>
        <v/>
      </c>
    </row>
    <row r="4596">
      <c r="A4596">
        <f>IFERROR(INDEX('Email Cleaner'!$B$2:$B$10001,MATCH(4595,'Email Cleaner'!$G$2:$G$10001,0)),"")</f>
        <v/>
      </c>
    </row>
    <row r="4597">
      <c r="A4597">
        <f>IFERROR(INDEX('Email Cleaner'!$B$2:$B$10001,MATCH(4596,'Email Cleaner'!$G$2:$G$10001,0)),"")</f>
        <v/>
      </c>
    </row>
    <row r="4598">
      <c r="A4598">
        <f>IFERROR(INDEX('Email Cleaner'!$B$2:$B$10001,MATCH(4597,'Email Cleaner'!$G$2:$G$10001,0)),"")</f>
        <v/>
      </c>
    </row>
    <row r="4599">
      <c r="A4599">
        <f>IFERROR(INDEX('Email Cleaner'!$B$2:$B$10001,MATCH(4598,'Email Cleaner'!$G$2:$G$10001,0)),"")</f>
        <v/>
      </c>
    </row>
    <row r="4600">
      <c r="A4600">
        <f>IFERROR(INDEX('Email Cleaner'!$B$2:$B$10001,MATCH(4599,'Email Cleaner'!$G$2:$G$10001,0)),"")</f>
        <v/>
      </c>
    </row>
    <row r="4601">
      <c r="A4601">
        <f>IFERROR(INDEX('Email Cleaner'!$B$2:$B$10001,MATCH(4600,'Email Cleaner'!$G$2:$G$10001,0)),"")</f>
        <v/>
      </c>
    </row>
    <row r="4602">
      <c r="A4602">
        <f>IFERROR(INDEX('Email Cleaner'!$B$2:$B$10001,MATCH(4601,'Email Cleaner'!$G$2:$G$10001,0)),"")</f>
        <v/>
      </c>
    </row>
    <row r="4603">
      <c r="A4603">
        <f>IFERROR(INDEX('Email Cleaner'!$B$2:$B$10001,MATCH(4602,'Email Cleaner'!$G$2:$G$10001,0)),"")</f>
        <v/>
      </c>
    </row>
    <row r="4604">
      <c r="A4604">
        <f>IFERROR(INDEX('Email Cleaner'!$B$2:$B$10001,MATCH(4603,'Email Cleaner'!$G$2:$G$10001,0)),"")</f>
        <v/>
      </c>
    </row>
    <row r="4605">
      <c r="A4605">
        <f>IFERROR(INDEX('Email Cleaner'!$B$2:$B$10001,MATCH(4604,'Email Cleaner'!$G$2:$G$10001,0)),"")</f>
        <v/>
      </c>
    </row>
    <row r="4606">
      <c r="A4606">
        <f>IFERROR(INDEX('Email Cleaner'!$B$2:$B$10001,MATCH(4605,'Email Cleaner'!$G$2:$G$10001,0)),"")</f>
        <v/>
      </c>
    </row>
    <row r="4607">
      <c r="A4607">
        <f>IFERROR(INDEX('Email Cleaner'!$B$2:$B$10001,MATCH(4606,'Email Cleaner'!$G$2:$G$10001,0)),"")</f>
        <v/>
      </c>
    </row>
    <row r="4608">
      <c r="A4608">
        <f>IFERROR(INDEX('Email Cleaner'!$B$2:$B$10001,MATCH(4607,'Email Cleaner'!$G$2:$G$10001,0)),"")</f>
        <v/>
      </c>
    </row>
    <row r="4609">
      <c r="A4609">
        <f>IFERROR(INDEX('Email Cleaner'!$B$2:$B$10001,MATCH(4608,'Email Cleaner'!$G$2:$G$10001,0)),"")</f>
        <v/>
      </c>
    </row>
    <row r="4610">
      <c r="A4610">
        <f>IFERROR(INDEX('Email Cleaner'!$B$2:$B$10001,MATCH(4609,'Email Cleaner'!$G$2:$G$10001,0)),"")</f>
        <v/>
      </c>
    </row>
    <row r="4611">
      <c r="A4611">
        <f>IFERROR(INDEX('Email Cleaner'!$B$2:$B$10001,MATCH(4610,'Email Cleaner'!$G$2:$G$10001,0)),"")</f>
        <v/>
      </c>
    </row>
    <row r="4612">
      <c r="A4612">
        <f>IFERROR(INDEX('Email Cleaner'!$B$2:$B$10001,MATCH(4611,'Email Cleaner'!$G$2:$G$10001,0)),"")</f>
        <v/>
      </c>
    </row>
    <row r="4613">
      <c r="A4613">
        <f>IFERROR(INDEX('Email Cleaner'!$B$2:$B$10001,MATCH(4612,'Email Cleaner'!$G$2:$G$10001,0)),"")</f>
        <v/>
      </c>
    </row>
    <row r="4614">
      <c r="A4614">
        <f>IFERROR(INDEX('Email Cleaner'!$B$2:$B$10001,MATCH(4613,'Email Cleaner'!$G$2:$G$10001,0)),"")</f>
        <v/>
      </c>
    </row>
    <row r="4615">
      <c r="A4615">
        <f>IFERROR(INDEX('Email Cleaner'!$B$2:$B$10001,MATCH(4614,'Email Cleaner'!$G$2:$G$10001,0)),"")</f>
        <v/>
      </c>
    </row>
    <row r="4616">
      <c r="A4616">
        <f>IFERROR(INDEX('Email Cleaner'!$B$2:$B$10001,MATCH(4615,'Email Cleaner'!$G$2:$G$10001,0)),"")</f>
        <v/>
      </c>
    </row>
    <row r="4617">
      <c r="A4617">
        <f>IFERROR(INDEX('Email Cleaner'!$B$2:$B$10001,MATCH(4616,'Email Cleaner'!$G$2:$G$10001,0)),"")</f>
        <v/>
      </c>
    </row>
    <row r="4618">
      <c r="A4618">
        <f>IFERROR(INDEX('Email Cleaner'!$B$2:$B$10001,MATCH(4617,'Email Cleaner'!$G$2:$G$10001,0)),"")</f>
        <v/>
      </c>
    </row>
    <row r="4619">
      <c r="A4619">
        <f>IFERROR(INDEX('Email Cleaner'!$B$2:$B$10001,MATCH(4618,'Email Cleaner'!$G$2:$G$10001,0)),"")</f>
        <v/>
      </c>
    </row>
    <row r="4620">
      <c r="A4620">
        <f>IFERROR(INDEX('Email Cleaner'!$B$2:$B$10001,MATCH(4619,'Email Cleaner'!$G$2:$G$10001,0)),"")</f>
        <v/>
      </c>
    </row>
    <row r="4621">
      <c r="A4621">
        <f>IFERROR(INDEX('Email Cleaner'!$B$2:$B$10001,MATCH(4620,'Email Cleaner'!$G$2:$G$10001,0)),"")</f>
        <v/>
      </c>
    </row>
    <row r="4622">
      <c r="A4622">
        <f>IFERROR(INDEX('Email Cleaner'!$B$2:$B$10001,MATCH(4621,'Email Cleaner'!$G$2:$G$10001,0)),"")</f>
        <v/>
      </c>
    </row>
    <row r="4623">
      <c r="A4623">
        <f>IFERROR(INDEX('Email Cleaner'!$B$2:$B$10001,MATCH(4622,'Email Cleaner'!$G$2:$G$10001,0)),"")</f>
        <v/>
      </c>
    </row>
    <row r="4624">
      <c r="A4624">
        <f>IFERROR(INDEX('Email Cleaner'!$B$2:$B$10001,MATCH(4623,'Email Cleaner'!$G$2:$G$10001,0)),"")</f>
        <v/>
      </c>
    </row>
    <row r="4625">
      <c r="A4625">
        <f>IFERROR(INDEX('Email Cleaner'!$B$2:$B$10001,MATCH(4624,'Email Cleaner'!$G$2:$G$10001,0)),"")</f>
        <v/>
      </c>
    </row>
    <row r="4626">
      <c r="A4626">
        <f>IFERROR(INDEX('Email Cleaner'!$B$2:$B$10001,MATCH(4625,'Email Cleaner'!$G$2:$G$10001,0)),"")</f>
        <v/>
      </c>
    </row>
    <row r="4627">
      <c r="A4627">
        <f>IFERROR(INDEX('Email Cleaner'!$B$2:$B$10001,MATCH(4626,'Email Cleaner'!$G$2:$G$10001,0)),"")</f>
        <v/>
      </c>
    </row>
    <row r="4628">
      <c r="A4628">
        <f>IFERROR(INDEX('Email Cleaner'!$B$2:$B$10001,MATCH(4627,'Email Cleaner'!$G$2:$G$10001,0)),"")</f>
        <v/>
      </c>
    </row>
    <row r="4629">
      <c r="A4629">
        <f>IFERROR(INDEX('Email Cleaner'!$B$2:$B$10001,MATCH(4628,'Email Cleaner'!$G$2:$G$10001,0)),"")</f>
        <v/>
      </c>
    </row>
    <row r="4630">
      <c r="A4630">
        <f>IFERROR(INDEX('Email Cleaner'!$B$2:$B$10001,MATCH(4629,'Email Cleaner'!$G$2:$G$10001,0)),"")</f>
        <v/>
      </c>
    </row>
    <row r="4631">
      <c r="A4631">
        <f>IFERROR(INDEX('Email Cleaner'!$B$2:$B$10001,MATCH(4630,'Email Cleaner'!$G$2:$G$10001,0)),"")</f>
        <v/>
      </c>
    </row>
    <row r="4632">
      <c r="A4632">
        <f>IFERROR(INDEX('Email Cleaner'!$B$2:$B$10001,MATCH(4631,'Email Cleaner'!$G$2:$G$10001,0)),"")</f>
        <v/>
      </c>
    </row>
    <row r="4633">
      <c r="A4633">
        <f>IFERROR(INDEX('Email Cleaner'!$B$2:$B$10001,MATCH(4632,'Email Cleaner'!$G$2:$G$10001,0)),"")</f>
        <v/>
      </c>
    </row>
    <row r="4634">
      <c r="A4634">
        <f>IFERROR(INDEX('Email Cleaner'!$B$2:$B$10001,MATCH(4633,'Email Cleaner'!$G$2:$G$10001,0)),"")</f>
        <v/>
      </c>
    </row>
    <row r="4635">
      <c r="A4635">
        <f>IFERROR(INDEX('Email Cleaner'!$B$2:$B$10001,MATCH(4634,'Email Cleaner'!$G$2:$G$10001,0)),"")</f>
        <v/>
      </c>
    </row>
    <row r="4636">
      <c r="A4636">
        <f>IFERROR(INDEX('Email Cleaner'!$B$2:$B$10001,MATCH(4635,'Email Cleaner'!$G$2:$G$10001,0)),"")</f>
        <v/>
      </c>
    </row>
    <row r="4637">
      <c r="A4637">
        <f>IFERROR(INDEX('Email Cleaner'!$B$2:$B$10001,MATCH(4636,'Email Cleaner'!$G$2:$G$10001,0)),"")</f>
        <v/>
      </c>
    </row>
    <row r="4638">
      <c r="A4638">
        <f>IFERROR(INDEX('Email Cleaner'!$B$2:$B$10001,MATCH(4637,'Email Cleaner'!$G$2:$G$10001,0)),"")</f>
        <v/>
      </c>
    </row>
    <row r="4639">
      <c r="A4639">
        <f>IFERROR(INDEX('Email Cleaner'!$B$2:$B$10001,MATCH(4638,'Email Cleaner'!$G$2:$G$10001,0)),"")</f>
        <v/>
      </c>
    </row>
    <row r="4640">
      <c r="A4640">
        <f>IFERROR(INDEX('Email Cleaner'!$B$2:$B$10001,MATCH(4639,'Email Cleaner'!$G$2:$G$10001,0)),"")</f>
        <v/>
      </c>
    </row>
    <row r="4641">
      <c r="A4641">
        <f>IFERROR(INDEX('Email Cleaner'!$B$2:$B$10001,MATCH(4640,'Email Cleaner'!$G$2:$G$10001,0)),"")</f>
        <v/>
      </c>
    </row>
    <row r="4642">
      <c r="A4642">
        <f>IFERROR(INDEX('Email Cleaner'!$B$2:$B$10001,MATCH(4641,'Email Cleaner'!$G$2:$G$10001,0)),"")</f>
        <v/>
      </c>
    </row>
    <row r="4643">
      <c r="A4643">
        <f>IFERROR(INDEX('Email Cleaner'!$B$2:$B$10001,MATCH(4642,'Email Cleaner'!$G$2:$G$10001,0)),"")</f>
        <v/>
      </c>
    </row>
    <row r="4644">
      <c r="A4644">
        <f>IFERROR(INDEX('Email Cleaner'!$B$2:$B$10001,MATCH(4643,'Email Cleaner'!$G$2:$G$10001,0)),"")</f>
        <v/>
      </c>
    </row>
    <row r="4645">
      <c r="A4645">
        <f>IFERROR(INDEX('Email Cleaner'!$B$2:$B$10001,MATCH(4644,'Email Cleaner'!$G$2:$G$10001,0)),"")</f>
        <v/>
      </c>
    </row>
    <row r="4646">
      <c r="A4646">
        <f>IFERROR(INDEX('Email Cleaner'!$B$2:$B$10001,MATCH(4645,'Email Cleaner'!$G$2:$G$10001,0)),"")</f>
        <v/>
      </c>
    </row>
    <row r="4647">
      <c r="A4647">
        <f>IFERROR(INDEX('Email Cleaner'!$B$2:$B$10001,MATCH(4646,'Email Cleaner'!$G$2:$G$10001,0)),"")</f>
        <v/>
      </c>
    </row>
    <row r="4648">
      <c r="A4648">
        <f>IFERROR(INDEX('Email Cleaner'!$B$2:$B$10001,MATCH(4647,'Email Cleaner'!$G$2:$G$10001,0)),"")</f>
        <v/>
      </c>
    </row>
    <row r="4649">
      <c r="A4649">
        <f>IFERROR(INDEX('Email Cleaner'!$B$2:$B$10001,MATCH(4648,'Email Cleaner'!$G$2:$G$10001,0)),"")</f>
        <v/>
      </c>
    </row>
    <row r="4650">
      <c r="A4650">
        <f>IFERROR(INDEX('Email Cleaner'!$B$2:$B$10001,MATCH(4649,'Email Cleaner'!$G$2:$G$10001,0)),"")</f>
        <v/>
      </c>
    </row>
    <row r="4651">
      <c r="A4651">
        <f>IFERROR(INDEX('Email Cleaner'!$B$2:$B$10001,MATCH(4650,'Email Cleaner'!$G$2:$G$10001,0)),"")</f>
        <v/>
      </c>
    </row>
    <row r="4652">
      <c r="A4652">
        <f>IFERROR(INDEX('Email Cleaner'!$B$2:$B$10001,MATCH(4651,'Email Cleaner'!$G$2:$G$10001,0)),"")</f>
        <v/>
      </c>
    </row>
    <row r="4653">
      <c r="A4653">
        <f>IFERROR(INDEX('Email Cleaner'!$B$2:$B$10001,MATCH(4652,'Email Cleaner'!$G$2:$G$10001,0)),"")</f>
        <v/>
      </c>
    </row>
    <row r="4654">
      <c r="A4654">
        <f>IFERROR(INDEX('Email Cleaner'!$B$2:$B$10001,MATCH(4653,'Email Cleaner'!$G$2:$G$10001,0)),"")</f>
        <v/>
      </c>
    </row>
    <row r="4655">
      <c r="A4655">
        <f>IFERROR(INDEX('Email Cleaner'!$B$2:$B$10001,MATCH(4654,'Email Cleaner'!$G$2:$G$10001,0)),"")</f>
        <v/>
      </c>
    </row>
    <row r="4656">
      <c r="A4656">
        <f>IFERROR(INDEX('Email Cleaner'!$B$2:$B$10001,MATCH(4655,'Email Cleaner'!$G$2:$G$10001,0)),"")</f>
        <v/>
      </c>
    </row>
    <row r="4657">
      <c r="A4657">
        <f>IFERROR(INDEX('Email Cleaner'!$B$2:$B$10001,MATCH(4656,'Email Cleaner'!$G$2:$G$10001,0)),"")</f>
        <v/>
      </c>
    </row>
    <row r="4658">
      <c r="A4658">
        <f>IFERROR(INDEX('Email Cleaner'!$B$2:$B$10001,MATCH(4657,'Email Cleaner'!$G$2:$G$10001,0)),"")</f>
        <v/>
      </c>
    </row>
    <row r="4659">
      <c r="A4659">
        <f>IFERROR(INDEX('Email Cleaner'!$B$2:$B$10001,MATCH(4658,'Email Cleaner'!$G$2:$G$10001,0)),"")</f>
        <v/>
      </c>
    </row>
    <row r="4660">
      <c r="A4660">
        <f>IFERROR(INDEX('Email Cleaner'!$B$2:$B$10001,MATCH(4659,'Email Cleaner'!$G$2:$G$10001,0)),"")</f>
        <v/>
      </c>
    </row>
    <row r="4661">
      <c r="A4661">
        <f>IFERROR(INDEX('Email Cleaner'!$B$2:$B$10001,MATCH(4660,'Email Cleaner'!$G$2:$G$10001,0)),"")</f>
        <v/>
      </c>
    </row>
    <row r="4662">
      <c r="A4662">
        <f>IFERROR(INDEX('Email Cleaner'!$B$2:$B$10001,MATCH(4661,'Email Cleaner'!$G$2:$G$10001,0)),"")</f>
        <v/>
      </c>
    </row>
    <row r="4663">
      <c r="A4663">
        <f>IFERROR(INDEX('Email Cleaner'!$B$2:$B$10001,MATCH(4662,'Email Cleaner'!$G$2:$G$10001,0)),"")</f>
        <v/>
      </c>
    </row>
    <row r="4664">
      <c r="A4664">
        <f>IFERROR(INDEX('Email Cleaner'!$B$2:$B$10001,MATCH(4663,'Email Cleaner'!$G$2:$G$10001,0)),"")</f>
        <v/>
      </c>
    </row>
    <row r="4665">
      <c r="A4665">
        <f>IFERROR(INDEX('Email Cleaner'!$B$2:$B$10001,MATCH(4664,'Email Cleaner'!$G$2:$G$10001,0)),"")</f>
        <v/>
      </c>
    </row>
    <row r="4666">
      <c r="A4666">
        <f>IFERROR(INDEX('Email Cleaner'!$B$2:$B$10001,MATCH(4665,'Email Cleaner'!$G$2:$G$10001,0)),"")</f>
        <v/>
      </c>
    </row>
    <row r="4667">
      <c r="A4667">
        <f>IFERROR(INDEX('Email Cleaner'!$B$2:$B$10001,MATCH(4666,'Email Cleaner'!$G$2:$G$10001,0)),"")</f>
        <v/>
      </c>
    </row>
    <row r="4668">
      <c r="A4668">
        <f>IFERROR(INDEX('Email Cleaner'!$B$2:$B$10001,MATCH(4667,'Email Cleaner'!$G$2:$G$10001,0)),"")</f>
        <v/>
      </c>
    </row>
    <row r="4669">
      <c r="A4669">
        <f>IFERROR(INDEX('Email Cleaner'!$B$2:$B$10001,MATCH(4668,'Email Cleaner'!$G$2:$G$10001,0)),"")</f>
        <v/>
      </c>
    </row>
    <row r="4670">
      <c r="A4670">
        <f>IFERROR(INDEX('Email Cleaner'!$B$2:$B$10001,MATCH(4669,'Email Cleaner'!$G$2:$G$10001,0)),"")</f>
        <v/>
      </c>
    </row>
    <row r="4671">
      <c r="A4671">
        <f>IFERROR(INDEX('Email Cleaner'!$B$2:$B$10001,MATCH(4670,'Email Cleaner'!$G$2:$G$10001,0)),"")</f>
        <v/>
      </c>
    </row>
    <row r="4672">
      <c r="A4672">
        <f>IFERROR(INDEX('Email Cleaner'!$B$2:$B$10001,MATCH(4671,'Email Cleaner'!$G$2:$G$10001,0)),"")</f>
        <v/>
      </c>
    </row>
    <row r="4673">
      <c r="A4673">
        <f>IFERROR(INDEX('Email Cleaner'!$B$2:$B$10001,MATCH(4672,'Email Cleaner'!$G$2:$G$10001,0)),"")</f>
        <v/>
      </c>
    </row>
    <row r="4674">
      <c r="A4674">
        <f>IFERROR(INDEX('Email Cleaner'!$B$2:$B$10001,MATCH(4673,'Email Cleaner'!$G$2:$G$10001,0)),"")</f>
        <v/>
      </c>
    </row>
    <row r="4675">
      <c r="A4675">
        <f>IFERROR(INDEX('Email Cleaner'!$B$2:$B$10001,MATCH(4674,'Email Cleaner'!$G$2:$G$10001,0)),"")</f>
        <v/>
      </c>
    </row>
    <row r="4676">
      <c r="A4676">
        <f>IFERROR(INDEX('Email Cleaner'!$B$2:$B$10001,MATCH(4675,'Email Cleaner'!$G$2:$G$10001,0)),"")</f>
        <v/>
      </c>
    </row>
    <row r="4677">
      <c r="A4677">
        <f>IFERROR(INDEX('Email Cleaner'!$B$2:$B$10001,MATCH(4676,'Email Cleaner'!$G$2:$G$10001,0)),"")</f>
        <v/>
      </c>
    </row>
    <row r="4678">
      <c r="A4678">
        <f>IFERROR(INDEX('Email Cleaner'!$B$2:$B$10001,MATCH(4677,'Email Cleaner'!$G$2:$G$10001,0)),"")</f>
        <v/>
      </c>
    </row>
    <row r="4679">
      <c r="A4679">
        <f>IFERROR(INDEX('Email Cleaner'!$B$2:$B$10001,MATCH(4678,'Email Cleaner'!$G$2:$G$10001,0)),"")</f>
        <v/>
      </c>
    </row>
    <row r="4680">
      <c r="A4680">
        <f>IFERROR(INDEX('Email Cleaner'!$B$2:$B$10001,MATCH(4679,'Email Cleaner'!$G$2:$G$10001,0)),"")</f>
        <v/>
      </c>
    </row>
    <row r="4681">
      <c r="A4681">
        <f>IFERROR(INDEX('Email Cleaner'!$B$2:$B$10001,MATCH(4680,'Email Cleaner'!$G$2:$G$10001,0)),"")</f>
        <v/>
      </c>
    </row>
    <row r="4682">
      <c r="A4682">
        <f>IFERROR(INDEX('Email Cleaner'!$B$2:$B$10001,MATCH(4681,'Email Cleaner'!$G$2:$G$10001,0)),"")</f>
        <v/>
      </c>
    </row>
    <row r="4683">
      <c r="A4683">
        <f>IFERROR(INDEX('Email Cleaner'!$B$2:$B$10001,MATCH(4682,'Email Cleaner'!$G$2:$G$10001,0)),"")</f>
        <v/>
      </c>
    </row>
    <row r="4684">
      <c r="A4684">
        <f>IFERROR(INDEX('Email Cleaner'!$B$2:$B$10001,MATCH(4683,'Email Cleaner'!$G$2:$G$10001,0)),"")</f>
        <v/>
      </c>
    </row>
    <row r="4685">
      <c r="A4685">
        <f>IFERROR(INDEX('Email Cleaner'!$B$2:$B$10001,MATCH(4684,'Email Cleaner'!$G$2:$G$10001,0)),"")</f>
        <v/>
      </c>
    </row>
    <row r="4686">
      <c r="A4686">
        <f>IFERROR(INDEX('Email Cleaner'!$B$2:$B$10001,MATCH(4685,'Email Cleaner'!$G$2:$G$10001,0)),"")</f>
        <v/>
      </c>
    </row>
    <row r="4687">
      <c r="A4687">
        <f>IFERROR(INDEX('Email Cleaner'!$B$2:$B$10001,MATCH(4686,'Email Cleaner'!$G$2:$G$10001,0)),"")</f>
        <v/>
      </c>
    </row>
    <row r="4688">
      <c r="A4688">
        <f>IFERROR(INDEX('Email Cleaner'!$B$2:$B$10001,MATCH(4687,'Email Cleaner'!$G$2:$G$10001,0)),"")</f>
        <v/>
      </c>
    </row>
    <row r="4689">
      <c r="A4689">
        <f>IFERROR(INDEX('Email Cleaner'!$B$2:$B$10001,MATCH(4688,'Email Cleaner'!$G$2:$G$10001,0)),"")</f>
        <v/>
      </c>
    </row>
    <row r="4690">
      <c r="A4690">
        <f>IFERROR(INDEX('Email Cleaner'!$B$2:$B$10001,MATCH(4689,'Email Cleaner'!$G$2:$G$10001,0)),"")</f>
        <v/>
      </c>
    </row>
    <row r="4691">
      <c r="A4691">
        <f>IFERROR(INDEX('Email Cleaner'!$B$2:$B$10001,MATCH(4690,'Email Cleaner'!$G$2:$G$10001,0)),"")</f>
        <v/>
      </c>
    </row>
    <row r="4692">
      <c r="A4692">
        <f>IFERROR(INDEX('Email Cleaner'!$B$2:$B$10001,MATCH(4691,'Email Cleaner'!$G$2:$G$10001,0)),"")</f>
        <v/>
      </c>
    </row>
    <row r="4693">
      <c r="A4693">
        <f>IFERROR(INDEX('Email Cleaner'!$B$2:$B$10001,MATCH(4692,'Email Cleaner'!$G$2:$G$10001,0)),"")</f>
        <v/>
      </c>
    </row>
    <row r="4694">
      <c r="A4694">
        <f>IFERROR(INDEX('Email Cleaner'!$B$2:$B$10001,MATCH(4693,'Email Cleaner'!$G$2:$G$10001,0)),"")</f>
        <v/>
      </c>
    </row>
    <row r="4695">
      <c r="A4695">
        <f>IFERROR(INDEX('Email Cleaner'!$B$2:$B$10001,MATCH(4694,'Email Cleaner'!$G$2:$G$10001,0)),"")</f>
        <v/>
      </c>
    </row>
    <row r="4696">
      <c r="A4696">
        <f>IFERROR(INDEX('Email Cleaner'!$B$2:$B$10001,MATCH(4695,'Email Cleaner'!$G$2:$G$10001,0)),"")</f>
        <v/>
      </c>
    </row>
    <row r="4697">
      <c r="A4697">
        <f>IFERROR(INDEX('Email Cleaner'!$B$2:$B$10001,MATCH(4696,'Email Cleaner'!$G$2:$G$10001,0)),"")</f>
        <v/>
      </c>
    </row>
    <row r="4698">
      <c r="A4698">
        <f>IFERROR(INDEX('Email Cleaner'!$B$2:$B$10001,MATCH(4697,'Email Cleaner'!$G$2:$G$10001,0)),"")</f>
        <v/>
      </c>
    </row>
    <row r="4699">
      <c r="A4699">
        <f>IFERROR(INDEX('Email Cleaner'!$B$2:$B$10001,MATCH(4698,'Email Cleaner'!$G$2:$G$10001,0)),"")</f>
        <v/>
      </c>
    </row>
    <row r="4700">
      <c r="A4700">
        <f>IFERROR(INDEX('Email Cleaner'!$B$2:$B$10001,MATCH(4699,'Email Cleaner'!$G$2:$G$10001,0)),"")</f>
        <v/>
      </c>
    </row>
    <row r="4701">
      <c r="A4701">
        <f>IFERROR(INDEX('Email Cleaner'!$B$2:$B$10001,MATCH(4700,'Email Cleaner'!$G$2:$G$10001,0)),"")</f>
        <v/>
      </c>
    </row>
    <row r="4702">
      <c r="A4702">
        <f>IFERROR(INDEX('Email Cleaner'!$B$2:$B$10001,MATCH(4701,'Email Cleaner'!$G$2:$G$10001,0)),"")</f>
        <v/>
      </c>
    </row>
    <row r="4703">
      <c r="A4703">
        <f>IFERROR(INDEX('Email Cleaner'!$B$2:$B$10001,MATCH(4702,'Email Cleaner'!$G$2:$G$10001,0)),"")</f>
        <v/>
      </c>
    </row>
    <row r="4704">
      <c r="A4704">
        <f>IFERROR(INDEX('Email Cleaner'!$B$2:$B$10001,MATCH(4703,'Email Cleaner'!$G$2:$G$10001,0)),"")</f>
        <v/>
      </c>
    </row>
    <row r="4705">
      <c r="A4705">
        <f>IFERROR(INDEX('Email Cleaner'!$B$2:$B$10001,MATCH(4704,'Email Cleaner'!$G$2:$G$10001,0)),"")</f>
        <v/>
      </c>
    </row>
    <row r="4706">
      <c r="A4706">
        <f>IFERROR(INDEX('Email Cleaner'!$B$2:$B$10001,MATCH(4705,'Email Cleaner'!$G$2:$G$10001,0)),"")</f>
        <v/>
      </c>
    </row>
    <row r="4707">
      <c r="A4707">
        <f>IFERROR(INDEX('Email Cleaner'!$B$2:$B$10001,MATCH(4706,'Email Cleaner'!$G$2:$G$10001,0)),"")</f>
        <v/>
      </c>
    </row>
    <row r="4708">
      <c r="A4708">
        <f>IFERROR(INDEX('Email Cleaner'!$B$2:$B$10001,MATCH(4707,'Email Cleaner'!$G$2:$G$10001,0)),"")</f>
        <v/>
      </c>
    </row>
    <row r="4709">
      <c r="A4709">
        <f>IFERROR(INDEX('Email Cleaner'!$B$2:$B$10001,MATCH(4708,'Email Cleaner'!$G$2:$G$10001,0)),"")</f>
        <v/>
      </c>
    </row>
    <row r="4710">
      <c r="A4710">
        <f>IFERROR(INDEX('Email Cleaner'!$B$2:$B$10001,MATCH(4709,'Email Cleaner'!$G$2:$G$10001,0)),"")</f>
        <v/>
      </c>
    </row>
    <row r="4711">
      <c r="A4711">
        <f>IFERROR(INDEX('Email Cleaner'!$B$2:$B$10001,MATCH(4710,'Email Cleaner'!$G$2:$G$10001,0)),"")</f>
        <v/>
      </c>
    </row>
    <row r="4712">
      <c r="A4712">
        <f>IFERROR(INDEX('Email Cleaner'!$B$2:$B$10001,MATCH(4711,'Email Cleaner'!$G$2:$G$10001,0)),"")</f>
        <v/>
      </c>
    </row>
    <row r="4713">
      <c r="A4713">
        <f>IFERROR(INDEX('Email Cleaner'!$B$2:$B$10001,MATCH(4712,'Email Cleaner'!$G$2:$G$10001,0)),"")</f>
        <v/>
      </c>
    </row>
    <row r="4714">
      <c r="A4714">
        <f>IFERROR(INDEX('Email Cleaner'!$B$2:$B$10001,MATCH(4713,'Email Cleaner'!$G$2:$G$10001,0)),"")</f>
        <v/>
      </c>
    </row>
    <row r="4715">
      <c r="A4715">
        <f>IFERROR(INDEX('Email Cleaner'!$B$2:$B$10001,MATCH(4714,'Email Cleaner'!$G$2:$G$10001,0)),"")</f>
        <v/>
      </c>
    </row>
    <row r="4716">
      <c r="A4716">
        <f>IFERROR(INDEX('Email Cleaner'!$B$2:$B$10001,MATCH(4715,'Email Cleaner'!$G$2:$G$10001,0)),"")</f>
        <v/>
      </c>
    </row>
    <row r="4717">
      <c r="A4717">
        <f>IFERROR(INDEX('Email Cleaner'!$B$2:$B$10001,MATCH(4716,'Email Cleaner'!$G$2:$G$10001,0)),"")</f>
        <v/>
      </c>
    </row>
    <row r="4718">
      <c r="A4718">
        <f>IFERROR(INDEX('Email Cleaner'!$B$2:$B$10001,MATCH(4717,'Email Cleaner'!$G$2:$G$10001,0)),"")</f>
        <v/>
      </c>
    </row>
    <row r="4719">
      <c r="A4719">
        <f>IFERROR(INDEX('Email Cleaner'!$B$2:$B$10001,MATCH(4718,'Email Cleaner'!$G$2:$G$10001,0)),"")</f>
        <v/>
      </c>
    </row>
    <row r="4720">
      <c r="A4720">
        <f>IFERROR(INDEX('Email Cleaner'!$B$2:$B$10001,MATCH(4719,'Email Cleaner'!$G$2:$G$10001,0)),"")</f>
        <v/>
      </c>
    </row>
    <row r="4721">
      <c r="A4721">
        <f>IFERROR(INDEX('Email Cleaner'!$B$2:$B$10001,MATCH(4720,'Email Cleaner'!$G$2:$G$10001,0)),"")</f>
        <v/>
      </c>
    </row>
    <row r="4722">
      <c r="A4722">
        <f>IFERROR(INDEX('Email Cleaner'!$B$2:$B$10001,MATCH(4721,'Email Cleaner'!$G$2:$G$10001,0)),"")</f>
        <v/>
      </c>
    </row>
    <row r="4723">
      <c r="A4723">
        <f>IFERROR(INDEX('Email Cleaner'!$B$2:$B$10001,MATCH(4722,'Email Cleaner'!$G$2:$G$10001,0)),"")</f>
        <v/>
      </c>
    </row>
    <row r="4724">
      <c r="A4724">
        <f>IFERROR(INDEX('Email Cleaner'!$B$2:$B$10001,MATCH(4723,'Email Cleaner'!$G$2:$G$10001,0)),"")</f>
        <v/>
      </c>
    </row>
    <row r="4725">
      <c r="A4725">
        <f>IFERROR(INDEX('Email Cleaner'!$B$2:$B$10001,MATCH(4724,'Email Cleaner'!$G$2:$G$10001,0)),"")</f>
        <v/>
      </c>
    </row>
    <row r="4726">
      <c r="A4726">
        <f>IFERROR(INDEX('Email Cleaner'!$B$2:$B$10001,MATCH(4725,'Email Cleaner'!$G$2:$G$10001,0)),"")</f>
        <v/>
      </c>
    </row>
    <row r="4727">
      <c r="A4727">
        <f>IFERROR(INDEX('Email Cleaner'!$B$2:$B$10001,MATCH(4726,'Email Cleaner'!$G$2:$G$10001,0)),"")</f>
        <v/>
      </c>
    </row>
    <row r="4728">
      <c r="A4728">
        <f>IFERROR(INDEX('Email Cleaner'!$B$2:$B$10001,MATCH(4727,'Email Cleaner'!$G$2:$G$10001,0)),"")</f>
        <v/>
      </c>
    </row>
    <row r="4729">
      <c r="A4729">
        <f>IFERROR(INDEX('Email Cleaner'!$B$2:$B$10001,MATCH(4728,'Email Cleaner'!$G$2:$G$10001,0)),"")</f>
        <v/>
      </c>
    </row>
    <row r="4730">
      <c r="A4730">
        <f>IFERROR(INDEX('Email Cleaner'!$B$2:$B$10001,MATCH(4729,'Email Cleaner'!$G$2:$G$10001,0)),"")</f>
        <v/>
      </c>
    </row>
    <row r="4731">
      <c r="A4731">
        <f>IFERROR(INDEX('Email Cleaner'!$B$2:$B$10001,MATCH(4730,'Email Cleaner'!$G$2:$G$10001,0)),"")</f>
        <v/>
      </c>
    </row>
    <row r="4732">
      <c r="A4732">
        <f>IFERROR(INDEX('Email Cleaner'!$B$2:$B$10001,MATCH(4731,'Email Cleaner'!$G$2:$G$10001,0)),"")</f>
        <v/>
      </c>
    </row>
    <row r="4733">
      <c r="A4733">
        <f>IFERROR(INDEX('Email Cleaner'!$B$2:$B$10001,MATCH(4732,'Email Cleaner'!$G$2:$G$10001,0)),"")</f>
        <v/>
      </c>
    </row>
    <row r="4734">
      <c r="A4734">
        <f>IFERROR(INDEX('Email Cleaner'!$B$2:$B$10001,MATCH(4733,'Email Cleaner'!$G$2:$G$10001,0)),"")</f>
        <v/>
      </c>
    </row>
    <row r="4735">
      <c r="A4735">
        <f>IFERROR(INDEX('Email Cleaner'!$B$2:$B$10001,MATCH(4734,'Email Cleaner'!$G$2:$G$10001,0)),"")</f>
        <v/>
      </c>
    </row>
    <row r="4736">
      <c r="A4736">
        <f>IFERROR(INDEX('Email Cleaner'!$B$2:$B$10001,MATCH(4735,'Email Cleaner'!$G$2:$G$10001,0)),"")</f>
        <v/>
      </c>
    </row>
    <row r="4737">
      <c r="A4737">
        <f>IFERROR(INDEX('Email Cleaner'!$B$2:$B$10001,MATCH(4736,'Email Cleaner'!$G$2:$G$10001,0)),"")</f>
        <v/>
      </c>
    </row>
    <row r="4738">
      <c r="A4738">
        <f>IFERROR(INDEX('Email Cleaner'!$B$2:$B$10001,MATCH(4737,'Email Cleaner'!$G$2:$G$10001,0)),"")</f>
        <v/>
      </c>
    </row>
    <row r="4739">
      <c r="A4739">
        <f>IFERROR(INDEX('Email Cleaner'!$B$2:$B$10001,MATCH(4738,'Email Cleaner'!$G$2:$G$10001,0)),"")</f>
        <v/>
      </c>
    </row>
    <row r="4740">
      <c r="A4740">
        <f>IFERROR(INDEX('Email Cleaner'!$B$2:$B$10001,MATCH(4739,'Email Cleaner'!$G$2:$G$10001,0)),"")</f>
        <v/>
      </c>
    </row>
    <row r="4741">
      <c r="A4741">
        <f>IFERROR(INDEX('Email Cleaner'!$B$2:$B$10001,MATCH(4740,'Email Cleaner'!$G$2:$G$10001,0)),"")</f>
        <v/>
      </c>
    </row>
    <row r="4742">
      <c r="A4742">
        <f>IFERROR(INDEX('Email Cleaner'!$B$2:$B$10001,MATCH(4741,'Email Cleaner'!$G$2:$G$10001,0)),"")</f>
        <v/>
      </c>
    </row>
    <row r="4743">
      <c r="A4743">
        <f>IFERROR(INDEX('Email Cleaner'!$B$2:$B$10001,MATCH(4742,'Email Cleaner'!$G$2:$G$10001,0)),"")</f>
        <v/>
      </c>
    </row>
    <row r="4744">
      <c r="A4744">
        <f>IFERROR(INDEX('Email Cleaner'!$B$2:$B$10001,MATCH(4743,'Email Cleaner'!$G$2:$G$10001,0)),"")</f>
        <v/>
      </c>
    </row>
    <row r="4745">
      <c r="A4745">
        <f>IFERROR(INDEX('Email Cleaner'!$B$2:$B$10001,MATCH(4744,'Email Cleaner'!$G$2:$G$10001,0)),"")</f>
        <v/>
      </c>
    </row>
    <row r="4746">
      <c r="A4746">
        <f>IFERROR(INDEX('Email Cleaner'!$B$2:$B$10001,MATCH(4745,'Email Cleaner'!$G$2:$G$10001,0)),"")</f>
        <v/>
      </c>
    </row>
    <row r="4747">
      <c r="A4747">
        <f>IFERROR(INDEX('Email Cleaner'!$B$2:$B$10001,MATCH(4746,'Email Cleaner'!$G$2:$G$10001,0)),"")</f>
        <v/>
      </c>
    </row>
    <row r="4748">
      <c r="A4748">
        <f>IFERROR(INDEX('Email Cleaner'!$B$2:$B$10001,MATCH(4747,'Email Cleaner'!$G$2:$G$10001,0)),"")</f>
        <v/>
      </c>
    </row>
    <row r="4749">
      <c r="A4749">
        <f>IFERROR(INDEX('Email Cleaner'!$B$2:$B$10001,MATCH(4748,'Email Cleaner'!$G$2:$G$10001,0)),"")</f>
        <v/>
      </c>
    </row>
    <row r="4750">
      <c r="A4750">
        <f>IFERROR(INDEX('Email Cleaner'!$B$2:$B$10001,MATCH(4749,'Email Cleaner'!$G$2:$G$10001,0)),"")</f>
        <v/>
      </c>
    </row>
    <row r="4751">
      <c r="A4751">
        <f>IFERROR(INDEX('Email Cleaner'!$B$2:$B$10001,MATCH(4750,'Email Cleaner'!$G$2:$G$10001,0)),"")</f>
        <v/>
      </c>
    </row>
    <row r="4752">
      <c r="A4752">
        <f>IFERROR(INDEX('Email Cleaner'!$B$2:$B$10001,MATCH(4751,'Email Cleaner'!$G$2:$G$10001,0)),"")</f>
        <v/>
      </c>
    </row>
    <row r="4753">
      <c r="A4753">
        <f>IFERROR(INDEX('Email Cleaner'!$B$2:$B$10001,MATCH(4752,'Email Cleaner'!$G$2:$G$10001,0)),"")</f>
        <v/>
      </c>
    </row>
    <row r="4754">
      <c r="A4754">
        <f>IFERROR(INDEX('Email Cleaner'!$B$2:$B$10001,MATCH(4753,'Email Cleaner'!$G$2:$G$10001,0)),"")</f>
        <v/>
      </c>
    </row>
    <row r="4755">
      <c r="A4755">
        <f>IFERROR(INDEX('Email Cleaner'!$B$2:$B$10001,MATCH(4754,'Email Cleaner'!$G$2:$G$10001,0)),"")</f>
        <v/>
      </c>
    </row>
    <row r="4756">
      <c r="A4756">
        <f>IFERROR(INDEX('Email Cleaner'!$B$2:$B$10001,MATCH(4755,'Email Cleaner'!$G$2:$G$10001,0)),"")</f>
        <v/>
      </c>
    </row>
    <row r="4757">
      <c r="A4757">
        <f>IFERROR(INDEX('Email Cleaner'!$B$2:$B$10001,MATCH(4756,'Email Cleaner'!$G$2:$G$10001,0)),"")</f>
        <v/>
      </c>
    </row>
    <row r="4758">
      <c r="A4758">
        <f>IFERROR(INDEX('Email Cleaner'!$B$2:$B$10001,MATCH(4757,'Email Cleaner'!$G$2:$G$10001,0)),"")</f>
        <v/>
      </c>
    </row>
    <row r="4759">
      <c r="A4759">
        <f>IFERROR(INDEX('Email Cleaner'!$B$2:$B$10001,MATCH(4758,'Email Cleaner'!$G$2:$G$10001,0)),"")</f>
        <v/>
      </c>
    </row>
    <row r="4760">
      <c r="A4760">
        <f>IFERROR(INDEX('Email Cleaner'!$B$2:$B$10001,MATCH(4759,'Email Cleaner'!$G$2:$G$10001,0)),"")</f>
        <v/>
      </c>
    </row>
    <row r="4761">
      <c r="A4761">
        <f>IFERROR(INDEX('Email Cleaner'!$B$2:$B$10001,MATCH(4760,'Email Cleaner'!$G$2:$G$10001,0)),"")</f>
        <v/>
      </c>
    </row>
    <row r="4762">
      <c r="A4762">
        <f>IFERROR(INDEX('Email Cleaner'!$B$2:$B$10001,MATCH(4761,'Email Cleaner'!$G$2:$G$10001,0)),"")</f>
        <v/>
      </c>
    </row>
    <row r="4763">
      <c r="A4763">
        <f>IFERROR(INDEX('Email Cleaner'!$B$2:$B$10001,MATCH(4762,'Email Cleaner'!$G$2:$G$10001,0)),"")</f>
        <v/>
      </c>
    </row>
    <row r="4764">
      <c r="A4764">
        <f>IFERROR(INDEX('Email Cleaner'!$B$2:$B$10001,MATCH(4763,'Email Cleaner'!$G$2:$G$10001,0)),"")</f>
        <v/>
      </c>
    </row>
    <row r="4765">
      <c r="A4765">
        <f>IFERROR(INDEX('Email Cleaner'!$B$2:$B$10001,MATCH(4764,'Email Cleaner'!$G$2:$G$10001,0)),"")</f>
        <v/>
      </c>
    </row>
    <row r="4766">
      <c r="A4766">
        <f>IFERROR(INDEX('Email Cleaner'!$B$2:$B$10001,MATCH(4765,'Email Cleaner'!$G$2:$G$10001,0)),"")</f>
        <v/>
      </c>
    </row>
    <row r="4767">
      <c r="A4767">
        <f>IFERROR(INDEX('Email Cleaner'!$B$2:$B$10001,MATCH(4766,'Email Cleaner'!$G$2:$G$10001,0)),"")</f>
        <v/>
      </c>
    </row>
    <row r="4768">
      <c r="A4768">
        <f>IFERROR(INDEX('Email Cleaner'!$B$2:$B$10001,MATCH(4767,'Email Cleaner'!$G$2:$G$10001,0)),"")</f>
        <v/>
      </c>
    </row>
    <row r="4769">
      <c r="A4769">
        <f>IFERROR(INDEX('Email Cleaner'!$B$2:$B$10001,MATCH(4768,'Email Cleaner'!$G$2:$G$10001,0)),"")</f>
        <v/>
      </c>
    </row>
    <row r="4770">
      <c r="A4770">
        <f>IFERROR(INDEX('Email Cleaner'!$B$2:$B$10001,MATCH(4769,'Email Cleaner'!$G$2:$G$10001,0)),"")</f>
        <v/>
      </c>
    </row>
    <row r="4771">
      <c r="A4771">
        <f>IFERROR(INDEX('Email Cleaner'!$B$2:$B$10001,MATCH(4770,'Email Cleaner'!$G$2:$G$10001,0)),"")</f>
        <v/>
      </c>
    </row>
    <row r="4772">
      <c r="A4772">
        <f>IFERROR(INDEX('Email Cleaner'!$B$2:$B$10001,MATCH(4771,'Email Cleaner'!$G$2:$G$10001,0)),"")</f>
        <v/>
      </c>
    </row>
    <row r="4773">
      <c r="A4773">
        <f>IFERROR(INDEX('Email Cleaner'!$B$2:$B$10001,MATCH(4772,'Email Cleaner'!$G$2:$G$10001,0)),"")</f>
        <v/>
      </c>
    </row>
    <row r="4774">
      <c r="A4774">
        <f>IFERROR(INDEX('Email Cleaner'!$B$2:$B$10001,MATCH(4773,'Email Cleaner'!$G$2:$G$10001,0)),"")</f>
        <v/>
      </c>
    </row>
    <row r="4775">
      <c r="A4775">
        <f>IFERROR(INDEX('Email Cleaner'!$B$2:$B$10001,MATCH(4774,'Email Cleaner'!$G$2:$G$10001,0)),"")</f>
        <v/>
      </c>
    </row>
    <row r="4776">
      <c r="A4776">
        <f>IFERROR(INDEX('Email Cleaner'!$B$2:$B$10001,MATCH(4775,'Email Cleaner'!$G$2:$G$10001,0)),"")</f>
        <v/>
      </c>
    </row>
    <row r="4777">
      <c r="A4777">
        <f>IFERROR(INDEX('Email Cleaner'!$B$2:$B$10001,MATCH(4776,'Email Cleaner'!$G$2:$G$10001,0)),"")</f>
        <v/>
      </c>
    </row>
    <row r="4778">
      <c r="A4778">
        <f>IFERROR(INDEX('Email Cleaner'!$B$2:$B$10001,MATCH(4777,'Email Cleaner'!$G$2:$G$10001,0)),"")</f>
        <v/>
      </c>
    </row>
    <row r="4779">
      <c r="A4779">
        <f>IFERROR(INDEX('Email Cleaner'!$B$2:$B$10001,MATCH(4778,'Email Cleaner'!$G$2:$G$10001,0)),"")</f>
        <v/>
      </c>
    </row>
    <row r="4780">
      <c r="A4780">
        <f>IFERROR(INDEX('Email Cleaner'!$B$2:$B$10001,MATCH(4779,'Email Cleaner'!$G$2:$G$10001,0)),"")</f>
        <v/>
      </c>
    </row>
    <row r="4781">
      <c r="A4781">
        <f>IFERROR(INDEX('Email Cleaner'!$B$2:$B$10001,MATCH(4780,'Email Cleaner'!$G$2:$G$10001,0)),"")</f>
        <v/>
      </c>
    </row>
    <row r="4782">
      <c r="A4782">
        <f>IFERROR(INDEX('Email Cleaner'!$B$2:$B$10001,MATCH(4781,'Email Cleaner'!$G$2:$G$10001,0)),"")</f>
        <v/>
      </c>
    </row>
    <row r="4783">
      <c r="A4783">
        <f>IFERROR(INDEX('Email Cleaner'!$B$2:$B$10001,MATCH(4782,'Email Cleaner'!$G$2:$G$10001,0)),"")</f>
        <v/>
      </c>
    </row>
    <row r="4784">
      <c r="A4784">
        <f>IFERROR(INDEX('Email Cleaner'!$B$2:$B$10001,MATCH(4783,'Email Cleaner'!$G$2:$G$10001,0)),"")</f>
        <v/>
      </c>
    </row>
    <row r="4785">
      <c r="A4785">
        <f>IFERROR(INDEX('Email Cleaner'!$B$2:$B$10001,MATCH(4784,'Email Cleaner'!$G$2:$G$10001,0)),"")</f>
        <v/>
      </c>
    </row>
    <row r="4786">
      <c r="A4786">
        <f>IFERROR(INDEX('Email Cleaner'!$B$2:$B$10001,MATCH(4785,'Email Cleaner'!$G$2:$G$10001,0)),"")</f>
        <v/>
      </c>
    </row>
    <row r="4787">
      <c r="A4787">
        <f>IFERROR(INDEX('Email Cleaner'!$B$2:$B$10001,MATCH(4786,'Email Cleaner'!$G$2:$G$10001,0)),"")</f>
        <v/>
      </c>
    </row>
    <row r="4788">
      <c r="A4788">
        <f>IFERROR(INDEX('Email Cleaner'!$B$2:$B$10001,MATCH(4787,'Email Cleaner'!$G$2:$G$10001,0)),"")</f>
        <v/>
      </c>
    </row>
    <row r="4789">
      <c r="A4789">
        <f>IFERROR(INDEX('Email Cleaner'!$B$2:$B$10001,MATCH(4788,'Email Cleaner'!$G$2:$G$10001,0)),"")</f>
        <v/>
      </c>
    </row>
    <row r="4790">
      <c r="A4790">
        <f>IFERROR(INDEX('Email Cleaner'!$B$2:$B$10001,MATCH(4789,'Email Cleaner'!$G$2:$G$10001,0)),"")</f>
        <v/>
      </c>
    </row>
    <row r="4791">
      <c r="A4791">
        <f>IFERROR(INDEX('Email Cleaner'!$B$2:$B$10001,MATCH(4790,'Email Cleaner'!$G$2:$G$10001,0)),"")</f>
        <v/>
      </c>
    </row>
    <row r="4792">
      <c r="A4792">
        <f>IFERROR(INDEX('Email Cleaner'!$B$2:$B$10001,MATCH(4791,'Email Cleaner'!$G$2:$G$10001,0)),"")</f>
        <v/>
      </c>
    </row>
    <row r="4793">
      <c r="A4793">
        <f>IFERROR(INDEX('Email Cleaner'!$B$2:$B$10001,MATCH(4792,'Email Cleaner'!$G$2:$G$10001,0)),"")</f>
        <v/>
      </c>
    </row>
    <row r="4794">
      <c r="A4794">
        <f>IFERROR(INDEX('Email Cleaner'!$B$2:$B$10001,MATCH(4793,'Email Cleaner'!$G$2:$G$10001,0)),"")</f>
        <v/>
      </c>
    </row>
    <row r="4795">
      <c r="A4795">
        <f>IFERROR(INDEX('Email Cleaner'!$B$2:$B$10001,MATCH(4794,'Email Cleaner'!$G$2:$G$10001,0)),"")</f>
        <v/>
      </c>
    </row>
    <row r="4796">
      <c r="A4796">
        <f>IFERROR(INDEX('Email Cleaner'!$B$2:$B$10001,MATCH(4795,'Email Cleaner'!$G$2:$G$10001,0)),"")</f>
        <v/>
      </c>
    </row>
    <row r="4797">
      <c r="A4797">
        <f>IFERROR(INDEX('Email Cleaner'!$B$2:$B$10001,MATCH(4796,'Email Cleaner'!$G$2:$G$10001,0)),"")</f>
        <v/>
      </c>
    </row>
    <row r="4798">
      <c r="A4798">
        <f>IFERROR(INDEX('Email Cleaner'!$B$2:$B$10001,MATCH(4797,'Email Cleaner'!$G$2:$G$10001,0)),"")</f>
        <v/>
      </c>
    </row>
    <row r="4799">
      <c r="A4799">
        <f>IFERROR(INDEX('Email Cleaner'!$B$2:$B$10001,MATCH(4798,'Email Cleaner'!$G$2:$G$10001,0)),"")</f>
        <v/>
      </c>
    </row>
    <row r="4800">
      <c r="A4800">
        <f>IFERROR(INDEX('Email Cleaner'!$B$2:$B$10001,MATCH(4799,'Email Cleaner'!$G$2:$G$10001,0)),"")</f>
        <v/>
      </c>
    </row>
    <row r="4801">
      <c r="A4801">
        <f>IFERROR(INDEX('Email Cleaner'!$B$2:$B$10001,MATCH(4800,'Email Cleaner'!$G$2:$G$10001,0)),"")</f>
        <v/>
      </c>
    </row>
    <row r="4802">
      <c r="A4802">
        <f>IFERROR(INDEX('Email Cleaner'!$B$2:$B$10001,MATCH(4801,'Email Cleaner'!$G$2:$G$10001,0)),"")</f>
        <v/>
      </c>
    </row>
    <row r="4803">
      <c r="A4803">
        <f>IFERROR(INDEX('Email Cleaner'!$B$2:$B$10001,MATCH(4802,'Email Cleaner'!$G$2:$G$10001,0)),"")</f>
        <v/>
      </c>
    </row>
    <row r="4804">
      <c r="A4804">
        <f>IFERROR(INDEX('Email Cleaner'!$B$2:$B$10001,MATCH(4803,'Email Cleaner'!$G$2:$G$10001,0)),"")</f>
        <v/>
      </c>
    </row>
    <row r="4805">
      <c r="A4805">
        <f>IFERROR(INDEX('Email Cleaner'!$B$2:$B$10001,MATCH(4804,'Email Cleaner'!$G$2:$G$10001,0)),"")</f>
        <v/>
      </c>
    </row>
    <row r="4806">
      <c r="A4806">
        <f>IFERROR(INDEX('Email Cleaner'!$B$2:$B$10001,MATCH(4805,'Email Cleaner'!$G$2:$G$10001,0)),"")</f>
        <v/>
      </c>
    </row>
    <row r="4807">
      <c r="A4807">
        <f>IFERROR(INDEX('Email Cleaner'!$B$2:$B$10001,MATCH(4806,'Email Cleaner'!$G$2:$G$10001,0)),"")</f>
        <v/>
      </c>
    </row>
    <row r="4808">
      <c r="A4808">
        <f>IFERROR(INDEX('Email Cleaner'!$B$2:$B$10001,MATCH(4807,'Email Cleaner'!$G$2:$G$10001,0)),"")</f>
        <v/>
      </c>
    </row>
    <row r="4809">
      <c r="A4809">
        <f>IFERROR(INDEX('Email Cleaner'!$B$2:$B$10001,MATCH(4808,'Email Cleaner'!$G$2:$G$10001,0)),"")</f>
        <v/>
      </c>
    </row>
    <row r="4810">
      <c r="A4810">
        <f>IFERROR(INDEX('Email Cleaner'!$B$2:$B$10001,MATCH(4809,'Email Cleaner'!$G$2:$G$10001,0)),"")</f>
        <v/>
      </c>
    </row>
    <row r="4811">
      <c r="A4811">
        <f>IFERROR(INDEX('Email Cleaner'!$B$2:$B$10001,MATCH(4810,'Email Cleaner'!$G$2:$G$10001,0)),"")</f>
        <v/>
      </c>
    </row>
    <row r="4812">
      <c r="A4812">
        <f>IFERROR(INDEX('Email Cleaner'!$B$2:$B$10001,MATCH(4811,'Email Cleaner'!$G$2:$G$10001,0)),"")</f>
        <v/>
      </c>
    </row>
    <row r="4813">
      <c r="A4813">
        <f>IFERROR(INDEX('Email Cleaner'!$B$2:$B$10001,MATCH(4812,'Email Cleaner'!$G$2:$G$10001,0)),"")</f>
        <v/>
      </c>
    </row>
    <row r="4814">
      <c r="A4814">
        <f>IFERROR(INDEX('Email Cleaner'!$B$2:$B$10001,MATCH(4813,'Email Cleaner'!$G$2:$G$10001,0)),"")</f>
        <v/>
      </c>
    </row>
    <row r="4815">
      <c r="A4815">
        <f>IFERROR(INDEX('Email Cleaner'!$B$2:$B$10001,MATCH(4814,'Email Cleaner'!$G$2:$G$10001,0)),"")</f>
        <v/>
      </c>
    </row>
    <row r="4816">
      <c r="A4816">
        <f>IFERROR(INDEX('Email Cleaner'!$B$2:$B$10001,MATCH(4815,'Email Cleaner'!$G$2:$G$10001,0)),"")</f>
        <v/>
      </c>
    </row>
    <row r="4817">
      <c r="A4817">
        <f>IFERROR(INDEX('Email Cleaner'!$B$2:$B$10001,MATCH(4816,'Email Cleaner'!$G$2:$G$10001,0)),"")</f>
        <v/>
      </c>
    </row>
    <row r="4818">
      <c r="A4818">
        <f>IFERROR(INDEX('Email Cleaner'!$B$2:$B$10001,MATCH(4817,'Email Cleaner'!$G$2:$G$10001,0)),"")</f>
        <v/>
      </c>
    </row>
    <row r="4819">
      <c r="A4819">
        <f>IFERROR(INDEX('Email Cleaner'!$B$2:$B$10001,MATCH(4818,'Email Cleaner'!$G$2:$G$10001,0)),"")</f>
        <v/>
      </c>
    </row>
    <row r="4820">
      <c r="A4820">
        <f>IFERROR(INDEX('Email Cleaner'!$B$2:$B$10001,MATCH(4819,'Email Cleaner'!$G$2:$G$10001,0)),"")</f>
        <v/>
      </c>
    </row>
    <row r="4821">
      <c r="A4821">
        <f>IFERROR(INDEX('Email Cleaner'!$B$2:$B$10001,MATCH(4820,'Email Cleaner'!$G$2:$G$10001,0)),"")</f>
        <v/>
      </c>
    </row>
    <row r="4822">
      <c r="A4822">
        <f>IFERROR(INDEX('Email Cleaner'!$B$2:$B$10001,MATCH(4821,'Email Cleaner'!$G$2:$G$10001,0)),"")</f>
        <v/>
      </c>
    </row>
    <row r="4823">
      <c r="A4823">
        <f>IFERROR(INDEX('Email Cleaner'!$B$2:$B$10001,MATCH(4822,'Email Cleaner'!$G$2:$G$10001,0)),"")</f>
        <v/>
      </c>
    </row>
    <row r="4824">
      <c r="A4824">
        <f>IFERROR(INDEX('Email Cleaner'!$B$2:$B$10001,MATCH(4823,'Email Cleaner'!$G$2:$G$10001,0)),"")</f>
        <v/>
      </c>
    </row>
    <row r="4825">
      <c r="A4825">
        <f>IFERROR(INDEX('Email Cleaner'!$B$2:$B$10001,MATCH(4824,'Email Cleaner'!$G$2:$G$10001,0)),"")</f>
        <v/>
      </c>
    </row>
    <row r="4826">
      <c r="A4826">
        <f>IFERROR(INDEX('Email Cleaner'!$B$2:$B$10001,MATCH(4825,'Email Cleaner'!$G$2:$G$10001,0)),"")</f>
        <v/>
      </c>
    </row>
    <row r="4827">
      <c r="A4827">
        <f>IFERROR(INDEX('Email Cleaner'!$B$2:$B$10001,MATCH(4826,'Email Cleaner'!$G$2:$G$10001,0)),"")</f>
        <v/>
      </c>
    </row>
    <row r="4828">
      <c r="A4828">
        <f>IFERROR(INDEX('Email Cleaner'!$B$2:$B$10001,MATCH(4827,'Email Cleaner'!$G$2:$G$10001,0)),"")</f>
        <v/>
      </c>
    </row>
    <row r="4829">
      <c r="A4829">
        <f>IFERROR(INDEX('Email Cleaner'!$B$2:$B$10001,MATCH(4828,'Email Cleaner'!$G$2:$G$10001,0)),"")</f>
        <v/>
      </c>
    </row>
    <row r="4830">
      <c r="A4830">
        <f>IFERROR(INDEX('Email Cleaner'!$B$2:$B$10001,MATCH(4829,'Email Cleaner'!$G$2:$G$10001,0)),"")</f>
        <v/>
      </c>
    </row>
    <row r="4831">
      <c r="A4831">
        <f>IFERROR(INDEX('Email Cleaner'!$B$2:$B$10001,MATCH(4830,'Email Cleaner'!$G$2:$G$10001,0)),"")</f>
        <v/>
      </c>
    </row>
    <row r="4832">
      <c r="A4832">
        <f>IFERROR(INDEX('Email Cleaner'!$B$2:$B$10001,MATCH(4831,'Email Cleaner'!$G$2:$G$10001,0)),"")</f>
        <v/>
      </c>
    </row>
    <row r="4833">
      <c r="A4833">
        <f>IFERROR(INDEX('Email Cleaner'!$B$2:$B$10001,MATCH(4832,'Email Cleaner'!$G$2:$G$10001,0)),"")</f>
        <v/>
      </c>
    </row>
    <row r="4834">
      <c r="A4834">
        <f>IFERROR(INDEX('Email Cleaner'!$B$2:$B$10001,MATCH(4833,'Email Cleaner'!$G$2:$G$10001,0)),"")</f>
        <v/>
      </c>
    </row>
    <row r="4835">
      <c r="A4835">
        <f>IFERROR(INDEX('Email Cleaner'!$B$2:$B$10001,MATCH(4834,'Email Cleaner'!$G$2:$G$10001,0)),"")</f>
        <v/>
      </c>
    </row>
    <row r="4836">
      <c r="A4836">
        <f>IFERROR(INDEX('Email Cleaner'!$B$2:$B$10001,MATCH(4835,'Email Cleaner'!$G$2:$G$10001,0)),"")</f>
        <v/>
      </c>
    </row>
    <row r="4837">
      <c r="A4837">
        <f>IFERROR(INDEX('Email Cleaner'!$B$2:$B$10001,MATCH(4836,'Email Cleaner'!$G$2:$G$10001,0)),"")</f>
        <v/>
      </c>
    </row>
    <row r="4838">
      <c r="A4838">
        <f>IFERROR(INDEX('Email Cleaner'!$B$2:$B$10001,MATCH(4837,'Email Cleaner'!$G$2:$G$10001,0)),"")</f>
        <v/>
      </c>
    </row>
    <row r="4839">
      <c r="A4839">
        <f>IFERROR(INDEX('Email Cleaner'!$B$2:$B$10001,MATCH(4838,'Email Cleaner'!$G$2:$G$10001,0)),"")</f>
        <v/>
      </c>
    </row>
    <row r="4840">
      <c r="A4840">
        <f>IFERROR(INDEX('Email Cleaner'!$B$2:$B$10001,MATCH(4839,'Email Cleaner'!$G$2:$G$10001,0)),"")</f>
        <v/>
      </c>
    </row>
    <row r="4841">
      <c r="A4841">
        <f>IFERROR(INDEX('Email Cleaner'!$B$2:$B$10001,MATCH(4840,'Email Cleaner'!$G$2:$G$10001,0)),"")</f>
        <v/>
      </c>
    </row>
    <row r="4842">
      <c r="A4842">
        <f>IFERROR(INDEX('Email Cleaner'!$B$2:$B$10001,MATCH(4841,'Email Cleaner'!$G$2:$G$10001,0)),"")</f>
        <v/>
      </c>
    </row>
    <row r="4843">
      <c r="A4843">
        <f>IFERROR(INDEX('Email Cleaner'!$B$2:$B$10001,MATCH(4842,'Email Cleaner'!$G$2:$G$10001,0)),"")</f>
        <v/>
      </c>
    </row>
    <row r="4844">
      <c r="A4844">
        <f>IFERROR(INDEX('Email Cleaner'!$B$2:$B$10001,MATCH(4843,'Email Cleaner'!$G$2:$G$10001,0)),"")</f>
        <v/>
      </c>
    </row>
    <row r="4845">
      <c r="A4845">
        <f>IFERROR(INDEX('Email Cleaner'!$B$2:$B$10001,MATCH(4844,'Email Cleaner'!$G$2:$G$10001,0)),"")</f>
        <v/>
      </c>
    </row>
    <row r="4846">
      <c r="A4846">
        <f>IFERROR(INDEX('Email Cleaner'!$B$2:$B$10001,MATCH(4845,'Email Cleaner'!$G$2:$G$10001,0)),"")</f>
        <v/>
      </c>
    </row>
    <row r="4847">
      <c r="A4847">
        <f>IFERROR(INDEX('Email Cleaner'!$B$2:$B$10001,MATCH(4846,'Email Cleaner'!$G$2:$G$10001,0)),"")</f>
        <v/>
      </c>
    </row>
    <row r="4848">
      <c r="A4848">
        <f>IFERROR(INDEX('Email Cleaner'!$B$2:$B$10001,MATCH(4847,'Email Cleaner'!$G$2:$G$10001,0)),"")</f>
        <v/>
      </c>
    </row>
    <row r="4849">
      <c r="A4849">
        <f>IFERROR(INDEX('Email Cleaner'!$B$2:$B$10001,MATCH(4848,'Email Cleaner'!$G$2:$G$10001,0)),"")</f>
        <v/>
      </c>
    </row>
    <row r="4850">
      <c r="A4850">
        <f>IFERROR(INDEX('Email Cleaner'!$B$2:$B$10001,MATCH(4849,'Email Cleaner'!$G$2:$G$10001,0)),"")</f>
        <v/>
      </c>
    </row>
    <row r="4851">
      <c r="A4851">
        <f>IFERROR(INDEX('Email Cleaner'!$B$2:$B$10001,MATCH(4850,'Email Cleaner'!$G$2:$G$10001,0)),"")</f>
        <v/>
      </c>
    </row>
    <row r="4852">
      <c r="A4852">
        <f>IFERROR(INDEX('Email Cleaner'!$B$2:$B$10001,MATCH(4851,'Email Cleaner'!$G$2:$G$10001,0)),"")</f>
        <v/>
      </c>
    </row>
    <row r="4853">
      <c r="A4853">
        <f>IFERROR(INDEX('Email Cleaner'!$B$2:$B$10001,MATCH(4852,'Email Cleaner'!$G$2:$G$10001,0)),"")</f>
        <v/>
      </c>
    </row>
    <row r="4854">
      <c r="A4854">
        <f>IFERROR(INDEX('Email Cleaner'!$B$2:$B$10001,MATCH(4853,'Email Cleaner'!$G$2:$G$10001,0)),"")</f>
        <v/>
      </c>
    </row>
    <row r="4855">
      <c r="A4855">
        <f>IFERROR(INDEX('Email Cleaner'!$B$2:$B$10001,MATCH(4854,'Email Cleaner'!$G$2:$G$10001,0)),"")</f>
        <v/>
      </c>
    </row>
    <row r="4856">
      <c r="A4856">
        <f>IFERROR(INDEX('Email Cleaner'!$B$2:$B$10001,MATCH(4855,'Email Cleaner'!$G$2:$G$10001,0)),"")</f>
        <v/>
      </c>
    </row>
    <row r="4857">
      <c r="A4857">
        <f>IFERROR(INDEX('Email Cleaner'!$B$2:$B$10001,MATCH(4856,'Email Cleaner'!$G$2:$G$10001,0)),"")</f>
        <v/>
      </c>
    </row>
    <row r="4858">
      <c r="A4858">
        <f>IFERROR(INDEX('Email Cleaner'!$B$2:$B$10001,MATCH(4857,'Email Cleaner'!$G$2:$G$10001,0)),"")</f>
        <v/>
      </c>
    </row>
    <row r="4859">
      <c r="A4859">
        <f>IFERROR(INDEX('Email Cleaner'!$B$2:$B$10001,MATCH(4858,'Email Cleaner'!$G$2:$G$10001,0)),"")</f>
        <v/>
      </c>
    </row>
    <row r="4860">
      <c r="A4860">
        <f>IFERROR(INDEX('Email Cleaner'!$B$2:$B$10001,MATCH(4859,'Email Cleaner'!$G$2:$G$10001,0)),"")</f>
        <v/>
      </c>
    </row>
    <row r="4861">
      <c r="A4861">
        <f>IFERROR(INDEX('Email Cleaner'!$B$2:$B$10001,MATCH(4860,'Email Cleaner'!$G$2:$G$10001,0)),"")</f>
        <v/>
      </c>
    </row>
    <row r="4862">
      <c r="A4862">
        <f>IFERROR(INDEX('Email Cleaner'!$B$2:$B$10001,MATCH(4861,'Email Cleaner'!$G$2:$G$10001,0)),"")</f>
        <v/>
      </c>
    </row>
    <row r="4863">
      <c r="A4863">
        <f>IFERROR(INDEX('Email Cleaner'!$B$2:$B$10001,MATCH(4862,'Email Cleaner'!$G$2:$G$10001,0)),"")</f>
        <v/>
      </c>
    </row>
    <row r="4864">
      <c r="A4864">
        <f>IFERROR(INDEX('Email Cleaner'!$B$2:$B$10001,MATCH(4863,'Email Cleaner'!$G$2:$G$10001,0)),"")</f>
        <v/>
      </c>
    </row>
    <row r="4865">
      <c r="A4865">
        <f>IFERROR(INDEX('Email Cleaner'!$B$2:$B$10001,MATCH(4864,'Email Cleaner'!$G$2:$G$10001,0)),"")</f>
        <v/>
      </c>
    </row>
    <row r="4866">
      <c r="A4866">
        <f>IFERROR(INDEX('Email Cleaner'!$B$2:$B$10001,MATCH(4865,'Email Cleaner'!$G$2:$G$10001,0)),"")</f>
        <v/>
      </c>
    </row>
    <row r="4867">
      <c r="A4867">
        <f>IFERROR(INDEX('Email Cleaner'!$B$2:$B$10001,MATCH(4866,'Email Cleaner'!$G$2:$G$10001,0)),"")</f>
        <v/>
      </c>
    </row>
    <row r="4868">
      <c r="A4868">
        <f>IFERROR(INDEX('Email Cleaner'!$B$2:$B$10001,MATCH(4867,'Email Cleaner'!$G$2:$G$10001,0)),"")</f>
        <v/>
      </c>
    </row>
    <row r="4869">
      <c r="A4869">
        <f>IFERROR(INDEX('Email Cleaner'!$B$2:$B$10001,MATCH(4868,'Email Cleaner'!$G$2:$G$10001,0)),"")</f>
        <v/>
      </c>
    </row>
    <row r="4870">
      <c r="A4870">
        <f>IFERROR(INDEX('Email Cleaner'!$B$2:$B$10001,MATCH(4869,'Email Cleaner'!$G$2:$G$10001,0)),"")</f>
        <v/>
      </c>
    </row>
    <row r="4871">
      <c r="A4871">
        <f>IFERROR(INDEX('Email Cleaner'!$B$2:$B$10001,MATCH(4870,'Email Cleaner'!$G$2:$G$10001,0)),"")</f>
        <v/>
      </c>
    </row>
    <row r="4872">
      <c r="A4872">
        <f>IFERROR(INDEX('Email Cleaner'!$B$2:$B$10001,MATCH(4871,'Email Cleaner'!$G$2:$G$10001,0)),"")</f>
        <v/>
      </c>
    </row>
    <row r="4873">
      <c r="A4873">
        <f>IFERROR(INDEX('Email Cleaner'!$B$2:$B$10001,MATCH(4872,'Email Cleaner'!$G$2:$G$10001,0)),"")</f>
        <v/>
      </c>
    </row>
    <row r="4874">
      <c r="A4874">
        <f>IFERROR(INDEX('Email Cleaner'!$B$2:$B$10001,MATCH(4873,'Email Cleaner'!$G$2:$G$10001,0)),"")</f>
        <v/>
      </c>
    </row>
    <row r="4875">
      <c r="A4875">
        <f>IFERROR(INDEX('Email Cleaner'!$B$2:$B$10001,MATCH(4874,'Email Cleaner'!$G$2:$G$10001,0)),"")</f>
        <v/>
      </c>
    </row>
    <row r="4876">
      <c r="A4876">
        <f>IFERROR(INDEX('Email Cleaner'!$B$2:$B$10001,MATCH(4875,'Email Cleaner'!$G$2:$G$10001,0)),"")</f>
        <v/>
      </c>
    </row>
    <row r="4877">
      <c r="A4877">
        <f>IFERROR(INDEX('Email Cleaner'!$B$2:$B$10001,MATCH(4876,'Email Cleaner'!$G$2:$G$10001,0)),"")</f>
        <v/>
      </c>
    </row>
    <row r="4878">
      <c r="A4878">
        <f>IFERROR(INDEX('Email Cleaner'!$B$2:$B$10001,MATCH(4877,'Email Cleaner'!$G$2:$G$10001,0)),"")</f>
        <v/>
      </c>
    </row>
    <row r="4879">
      <c r="A4879">
        <f>IFERROR(INDEX('Email Cleaner'!$B$2:$B$10001,MATCH(4878,'Email Cleaner'!$G$2:$G$10001,0)),"")</f>
        <v/>
      </c>
    </row>
    <row r="4880">
      <c r="A4880">
        <f>IFERROR(INDEX('Email Cleaner'!$B$2:$B$10001,MATCH(4879,'Email Cleaner'!$G$2:$G$10001,0)),"")</f>
        <v/>
      </c>
    </row>
    <row r="4881">
      <c r="A4881">
        <f>IFERROR(INDEX('Email Cleaner'!$B$2:$B$10001,MATCH(4880,'Email Cleaner'!$G$2:$G$10001,0)),"")</f>
        <v/>
      </c>
    </row>
    <row r="4882">
      <c r="A4882">
        <f>IFERROR(INDEX('Email Cleaner'!$B$2:$B$10001,MATCH(4881,'Email Cleaner'!$G$2:$G$10001,0)),"")</f>
        <v/>
      </c>
    </row>
    <row r="4883">
      <c r="A4883">
        <f>IFERROR(INDEX('Email Cleaner'!$B$2:$B$10001,MATCH(4882,'Email Cleaner'!$G$2:$G$10001,0)),"")</f>
        <v/>
      </c>
    </row>
    <row r="4884">
      <c r="A4884">
        <f>IFERROR(INDEX('Email Cleaner'!$B$2:$B$10001,MATCH(4883,'Email Cleaner'!$G$2:$G$10001,0)),"")</f>
        <v/>
      </c>
    </row>
    <row r="4885">
      <c r="A4885">
        <f>IFERROR(INDEX('Email Cleaner'!$B$2:$B$10001,MATCH(4884,'Email Cleaner'!$G$2:$G$10001,0)),"")</f>
        <v/>
      </c>
    </row>
    <row r="4886">
      <c r="A4886">
        <f>IFERROR(INDEX('Email Cleaner'!$B$2:$B$10001,MATCH(4885,'Email Cleaner'!$G$2:$G$10001,0)),"")</f>
        <v/>
      </c>
    </row>
    <row r="4887">
      <c r="A4887">
        <f>IFERROR(INDEX('Email Cleaner'!$B$2:$B$10001,MATCH(4886,'Email Cleaner'!$G$2:$G$10001,0)),"")</f>
        <v/>
      </c>
    </row>
    <row r="4888">
      <c r="A4888">
        <f>IFERROR(INDEX('Email Cleaner'!$B$2:$B$10001,MATCH(4887,'Email Cleaner'!$G$2:$G$10001,0)),"")</f>
        <v/>
      </c>
    </row>
    <row r="4889">
      <c r="A4889">
        <f>IFERROR(INDEX('Email Cleaner'!$B$2:$B$10001,MATCH(4888,'Email Cleaner'!$G$2:$G$10001,0)),"")</f>
        <v/>
      </c>
    </row>
    <row r="4890">
      <c r="A4890">
        <f>IFERROR(INDEX('Email Cleaner'!$B$2:$B$10001,MATCH(4889,'Email Cleaner'!$G$2:$G$10001,0)),"")</f>
        <v/>
      </c>
    </row>
    <row r="4891">
      <c r="A4891">
        <f>IFERROR(INDEX('Email Cleaner'!$B$2:$B$10001,MATCH(4890,'Email Cleaner'!$G$2:$G$10001,0)),"")</f>
        <v/>
      </c>
    </row>
    <row r="4892">
      <c r="A4892">
        <f>IFERROR(INDEX('Email Cleaner'!$B$2:$B$10001,MATCH(4891,'Email Cleaner'!$G$2:$G$10001,0)),"")</f>
        <v/>
      </c>
    </row>
    <row r="4893">
      <c r="A4893">
        <f>IFERROR(INDEX('Email Cleaner'!$B$2:$B$10001,MATCH(4892,'Email Cleaner'!$G$2:$G$10001,0)),"")</f>
        <v/>
      </c>
    </row>
    <row r="4894">
      <c r="A4894">
        <f>IFERROR(INDEX('Email Cleaner'!$B$2:$B$10001,MATCH(4893,'Email Cleaner'!$G$2:$G$10001,0)),"")</f>
        <v/>
      </c>
    </row>
    <row r="4895">
      <c r="A4895">
        <f>IFERROR(INDEX('Email Cleaner'!$B$2:$B$10001,MATCH(4894,'Email Cleaner'!$G$2:$G$10001,0)),"")</f>
        <v/>
      </c>
    </row>
    <row r="4896">
      <c r="A4896">
        <f>IFERROR(INDEX('Email Cleaner'!$B$2:$B$10001,MATCH(4895,'Email Cleaner'!$G$2:$G$10001,0)),"")</f>
        <v/>
      </c>
    </row>
    <row r="4897">
      <c r="A4897">
        <f>IFERROR(INDEX('Email Cleaner'!$B$2:$B$10001,MATCH(4896,'Email Cleaner'!$G$2:$G$10001,0)),"")</f>
        <v/>
      </c>
    </row>
    <row r="4898">
      <c r="A4898">
        <f>IFERROR(INDEX('Email Cleaner'!$B$2:$B$10001,MATCH(4897,'Email Cleaner'!$G$2:$G$10001,0)),"")</f>
        <v/>
      </c>
    </row>
    <row r="4899">
      <c r="A4899">
        <f>IFERROR(INDEX('Email Cleaner'!$B$2:$B$10001,MATCH(4898,'Email Cleaner'!$G$2:$G$10001,0)),"")</f>
        <v/>
      </c>
    </row>
    <row r="4900">
      <c r="A4900">
        <f>IFERROR(INDEX('Email Cleaner'!$B$2:$B$10001,MATCH(4899,'Email Cleaner'!$G$2:$G$10001,0)),"")</f>
        <v/>
      </c>
    </row>
    <row r="4901">
      <c r="A4901">
        <f>IFERROR(INDEX('Email Cleaner'!$B$2:$B$10001,MATCH(4900,'Email Cleaner'!$G$2:$G$10001,0)),"")</f>
        <v/>
      </c>
    </row>
    <row r="4902">
      <c r="A4902">
        <f>IFERROR(INDEX('Email Cleaner'!$B$2:$B$10001,MATCH(4901,'Email Cleaner'!$G$2:$G$10001,0)),"")</f>
        <v/>
      </c>
    </row>
    <row r="4903">
      <c r="A4903">
        <f>IFERROR(INDEX('Email Cleaner'!$B$2:$B$10001,MATCH(4902,'Email Cleaner'!$G$2:$G$10001,0)),"")</f>
        <v/>
      </c>
    </row>
    <row r="4904">
      <c r="A4904">
        <f>IFERROR(INDEX('Email Cleaner'!$B$2:$B$10001,MATCH(4903,'Email Cleaner'!$G$2:$G$10001,0)),"")</f>
        <v/>
      </c>
    </row>
    <row r="4905">
      <c r="A4905">
        <f>IFERROR(INDEX('Email Cleaner'!$B$2:$B$10001,MATCH(4904,'Email Cleaner'!$G$2:$G$10001,0)),"")</f>
        <v/>
      </c>
    </row>
    <row r="4906">
      <c r="A4906">
        <f>IFERROR(INDEX('Email Cleaner'!$B$2:$B$10001,MATCH(4905,'Email Cleaner'!$G$2:$G$10001,0)),"")</f>
        <v/>
      </c>
    </row>
    <row r="4907">
      <c r="A4907">
        <f>IFERROR(INDEX('Email Cleaner'!$B$2:$B$10001,MATCH(4906,'Email Cleaner'!$G$2:$G$10001,0)),"")</f>
        <v/>
      </c>
    </row>
    <row r="4908">
      <c r="A4908">
        <f>IFERROR(INDEX('Email Cleaner'!$B$2:$B$10001,MATCH(4907,'Email Cleaner'!$G$2:$G$10001,0)),"")</f>
        <v/>
      </c>
    </row>
    <row r="4909">
      <c r="A4909">
        <f>IFERROR(INDEX('Email Cleaner'!$B$2:$B$10001,MATCH(4908,'Email Cleaner'!$G$2:$G$10001,0)),"")</f>
        <v/>
      </c>
    </row>
    <row r="4910">
      <c r="A4910">
        <f>IFERROR(INDEX('Email Cleaner'!$B$2:$B$10001,MATCH(4909,'Email Cleaner'!$G$2:$G$10001,0)),"")</f>
        <v/>
      </c>
    </row>
    <row r="4911">
      <c r="A4911">
        <f>IFERROR(INDEX('Email Cleaner'!$B$2:$B$10001,MATCH(4910,'Email Cleaner'!$G$2:$G$10001,0)),"")</f>
        <v/>
      </c>
    </row>
    <row r="4912">
      <c r="A4912">
        <f>IFERROR(INDEX('Email Cleaner'!$B$2:$B$10001,MATCH(4911,'Email Cleaner'!$G$2:$G$10001,0)),"")</f>
        <v/>
      </c>
    </row>
    <row r="4913">
      <c r="A4913">
        <f>IFERROR(INDEX('Email Cleaner'!$B$2:$B$10001,MATCH(4912,'Email Cleaner'!$G$2:$G$10001,0)),"")</f>
        <v/>
      </c>
    </row>
    <row r="4914">
      <c r="A4914">
        <f>IFERROR(INDEX('Email Cleaner'!$B$2:$B$10001,MATCH(4913,'Email Cleaner'!$G$2:$G$10001,0)),"")</f>
        <v/>
      </c>
    </row>
    <row r="4915">
      <c r="A4915">
        <f>IFERROR(INDEX('Email Cleaner'!$B$2:$B$10001,MATCH(4914,'Email Cleaner'!$G$2:$G$10001,0)),"")</f>
        <v/>
      </c>
    </row>
    <row r="4916">
      <c r="A4916">
        <f>IFERROR(INDEX('Email Cleaner'!$B$2:$B$10001,MATCH(4915,'Email Cleaner'!$G$2:$G$10001,0)),"")</f>
        <v/>
      </c>
    </row>
    <row r="4917">
      <c r="A4917">
        <f>IFERROR(INDEX('Email Cleaner'!$B$2:$B$10001,MATCH(4916,'Email Cleaner'!$G$2:$G$10001,0)),"")</f>
        <v/>
      </c>
    </row>
    <row r="4918">
      <c r="A4918">
        <f>IFERROR(INDEX('Email Cleaner'!$B$2:$B$10001,MATCH(4917,'Email Cleaner'!$G$2:$G$10001,0)),"")</f>
        <v/>
      </c>
    </row>
    <row r="4919">
      <c r="A4919">
        <f>IFERROR(INDEX('Email Cleaner'!$B$2:$B$10001,MATCH(4918,'Email Cleaner'!$G$2:$G$10001,0)),"")</f>
        <v/>
      </c>
    </row>
    <row r="4920">
      <c r="A4920">
        <f>IFERROR(INDEX('Email Cleaner'!$B$2:$B$10001,MATCH(4919,'Email Cleaner'!$G$2:$G$10001,0)),"")</f>
        <v/>
      </c>
    </row>
    <row r="4921">
      <c r="A4921">
        <f>IFERROR(INDEX('Email Cleaner'!$B$2:$B$10001,MATCH(4920,'Email Cleaner'!$G$2:$G$10001,0)),"")</f>
        <v/>
      </c>
    </row>
    <row r="4922">
      <c r="A4922">
        <f>IFERROR(INDEX('Email Cleaner'!$B$2:$B$10001,MATCH(4921,'Email Cleaner'!$G$2:$G$10001,0)),"")</f>
        <v/>
      </c>
    </row>
    <row r="4923">
      <c r="A4923">
        <f>IFERROR(INDEX('Email Cleaner'!$B$2:$B$10001,MATCH(4922,'Email Cleaner'!$G$2:$G$10001,0)),"")</f>
        <v/>
      </c>
    </row>
    <row r="4924">
      <c r="A4924">
        <f>IFERROR(INDEX('Email Cleaner'!$B$2:$B$10001,MATCH(4923,'Email Cleaner'!$G$2:$G$10001,0)),"")</f>
        <v/>
      </c>
    </row>
    <row r="4925">
      <c r="A4925">
        <f>IFERROR(INDEX('Email Cleaner'!$B$2:$B$10001,MATCH(4924,'Email Cleaner'!$G$2:$G$10001,0)),"")</f>
        <v/>
      </c>
    </row>
    <row r="4926">
      <c r="A4926">
        <f>IFERROR(INDEX('Email Cleaner'!$B$2:$B$10001,MATCH(4925,'Email Cleaner'!$G$2:$G$10001,0)),"")</f>
        <v/>
      </c>
    </row>
    <row r="4927">
      <c r="A4927">
        <f>IFERROR(INDEX('Email Cleaner'!$B$2:$B$10001,MATCH(4926,'Email Cleaner'!$G$2:$G$10001,0)),"")</f>
        <v/>
      </c>
    </row>
    <row r="4928">
      <c r="A4928">
        <f>IFERROR(INDEX('Email Cleaner'!$B$2:$B$10001,MATCH(4927,'Email Cleaner'!$G$2:$G$10001,0)),"")</f>
        <v/>
      </c>
    </row>
    <row r="4929">
      <c r="A4929">
        <f>IFERROR(INDEX('Email Cleaner'!$B$2:$B$10001,MATCH(4928,'Email Cleaner'!$G$2:$G$10001,0)),"")</f>
        <v/>
      </c>
    </row>
    <row r="4930">
      <c r="A4930">
        <f>IFERROR(INDEX('Email Cleaner'!$B$2:$B$10001,MATCH(4929,'Email Cleaner'!$G$2:$G$10001,0)),"")</f>
        <v/>
      </c>
    </row>
    <row r="4931">
      <c r="A4931">
        <f>IFERROR(INDEX('Email Cleaner'!$B$2:$B$10001,MATCH(4930,'Email Cleaner'!$G$2:$G$10001,0)),"")</f>
        <v/>
      </c>
    </row>
    <row r="4932">
      <c r="A4932">
        <f>IFERROR(INDEX('Email Cleaner'!$B$2:$B$10001,MATCH(4931,'Email Cleaner'!$G$2:$G$10001,0)),"")</f>
        <v/>
      </c>
    </row>
    <row r="4933">
      <c r="A4933">
        <f>IFERROR(INDEX('Email Cleaner'!$B$2:$B$10001,MATCH(4932,'Email Cleaner'!$G$2:$G$10001,0)),"")</f>
        <v/>
      </c>
    </row>
    <row r="4934">
      <c r="A4934">
        <f>IFERROR(INDEX('Email Cleaner'!$B$2:$B$10001,MATCH(4933,'Email Cleaner'!$G$2:$G$10001,0)),"")</f>
        <v/>
      </c>
    </row>
    <row r="4935">
      <c r="A4935">
        <f>IFERROR(INDEX('Email Cleaner'!$B$2:$B$10001,MATCH(4934,'Email Cleaner'!$G$2:$G$10001,0)),"")</f>
        <v/>
      </c>
    </row>
    <row r="4936">
      <c r="A4936">
        <f>IFERROR(INDEX('Email Cleaner'!$B$2:$B$10001,MATCH(4935,'Email Cleaner'!$G$2:$G$10001,0)),"")</f>
        <v/>
      </c>
    </row>
    <row r="4937">
      <c r="A4937">
        <f>IFERROR(INDEX('Email Cleaner'!$B$2:$B$10001,MATCH(4936,'Email Cleaner'!$G$2:$G$10001,0)),"")</f>
        <v/>
      </c>
    </row>
    <row r="4938">
      <c r="A4938">
        <f>IFERROR(INDEX('Email Cleaner'!$B$2:$B$10001,MATCH(4937,'Email Cleaner'!$G$2:$G$10001,0)),"")</f>
        <v/>
      </c>
    </row>
    <row r="4939">
      <c r="A4939">
        <f>IFERROR(INDEX('Email Cleaner'!$B$2:$B$10001,MATCH(4938,'Email Cleaner'!$G$2:$G$10001,0)),"")</f>
        <v/>
      </c>
    </row>
    <row r="4940">
      <c r="A4940">
        <f>IFERROR(INDEX('Email Cleaner'!$B$2:$B$10001,MATCH(4939,'Email Cleaner'!$G$2:$G$10001,0)),"")</f>
        <v/>
      </c>
    </row>
    <row r="4941">
      <c r="A4941">
        <f>IFERROR(INDEX('Email Cleaner'!$B$2:$B$10001,MATCH(4940,'Email Cleaner'!$G$2:$G$10001,0)),"")</f>
        <v/>
      </c>
    </row>
    <row r="4942">
      <c r="A4942">
        <f>IFERROR(INDEX('Email Cleaner'!$B$2:$B$10001,MATCH(4941,'Email Cleaner'!$G$2:$G$10001,0)),"")</f>
        <v/>
      </c>
    </row>
    <row r="4943">
      <c r="A4943">
        <f>IFERROR(INDEX('Email Cleaner'!$B$2:$B$10001,MATCH(4942,'Email Cleaner'!$G$2:$G$10001,0)),"")</f>
        <v/>
      </c>
    </row>
    <row r="4944">
      <c r="A4944">
        <f>IFERROR(INDEX('Email Cleaner'!$B$2:$B$10001,MATCH(4943,'Email Cleaner'!$G$2:$G$10001,0)),"")</f>
        <v/>
      </c>
    </row>
    <row r="4945">
      <c r="A4945">
        <f>IFERROR(INDEX('Email Cleaner'!$B$2:$B$10001,MATCH(4944,'Email Cleaner'!$G$2:$G$10001,0)),"")</f>
        <v/>
      </c>
    </row>
    <row r="4946">
      <c r="A4946">
        <f>IFERROR(INDEX('Email Cleaner'!$B$2:$B$10001,MATCH(4945,'Email Cleaner'!$G$2:$G$10001,0)),"")</f>
        <v/>
      </c>
    </row>
    <row r="4947">
      <c r="A4947">
        <f>IFERROR(INDEX('Email Cleaner'!$B$2:$B$10001,MATCH(4946,'Email Cleaner'!$G$2:$G$10001,0)),"")</f>
        <v/>
      </c>
    </row>
    <row r="4948">
      <c r="A4948">
        <f>IFERROR(INDEX('Email Cleaner'!$B$2:$B$10001,MATCH(4947,'Email Cleaner'!$G$2:$G$10001,0)),"")</f>
        <v/>
      </c>
    </row>
    <row r="4949">
      <c r="A4949">
        <f>IFERROR(INDEX('Email Cleaner'!$B$2:$B$10001,MATCH(4948,'Email Cleaner'!$G$2:$G$10001,0)),"")</f>
        <v/>
      </c>
    </row>
    <row r="4950">
      <c r="A4950">
        <f>IFERROR(INDEX('Email Cleaner'!$B$2:$B$10001,MATCH(4949,'Email Cleaner'!$G$2:$G$10001,0)),"")</f>
        <v/>
      </c>
    </row>
    <row r="4951">
      <c r="A4951">
        <f>IFERROR(INDEX('Email Cleaner'!$B$2:$B$10001,MATCH(4950,'Email Cleaner'!$G$2:$G$10001,0)),"")</f>
        <v/>
      </c>
    </row>
    <row r="4952">
      <c r="A4952">
        <f>IFERROR(INDEX('Email Cleaner'!$B$2:$B$10001,MATCH(4951,'Email Cleaner'!$G$2:$G$10001,0)),"")</f>
        <v/>
      </c>
    </row>
    <row r="4953">
      <c r="A4953">
        <f>IFERROR(INDEX('Email Cleaner'!$B$2:$B$10001,MATCH(4952,'Email Cleaner'!$G$2:$G$10001,0)),"")</f>
        <v/>
      </c>
    </row>
    <row r="4954">
      <c r="A4954">
        <f>IFERROR(INDEX('Email Cleaner'!$B$2:$B$10001,MATCH(4953,'Email Cleaner'!$G$2:$G$10001,0)),"")</f>
        <v/>
      </c>
    </row>
    <row r="4955">
      <c r="A4955">
        <f>IFERROR(INDEX('Email Cleaner'!$B$2:$B$10001,MATCH(4954,'Email Cleaner'!$G$2:$G$10001,0)),"")</f>
        <v/>
      </c>
    </row>
    <row r="4956">
      <c r="A4956">
        <f>IFERROR(INDEX('Email Cleaner'!$B$2:$B$10001,MATCH(4955,'Email Cleaner'!$G$2:$G$10001,0)),"")</f>
        <v/>
      </c>
    </row>
    <row r="4957">
      <c r="A4957">
        <f>IFERROR(INDEX('Email Cleaner'!$B$2:$B$10001,MATCH(4956,'Email Cleaner'!$G$2:$G$10001,0)),"")</f>
        <v/>
      </c>
    </row>
    <row r="4958">
      <c r="A4958">
        <f>IFERROR(INDEX('Email Cleaner'!$B$2:$B$10001,MATCH(4957,'Email Cleaner'!$G$2:$G$10001,0)),"")</f>
        <v/>
      </c>
    </row>
    <row r="4959">
      <c r="A4959">
        <f>IFERROR(INDEX('Email Cleaner'!$B$2:$B$10001,MATCH(4958,'Email Cleaner'!$G$2:$G$10001,0)),"")</f>
        <v/>
      </c>
    </row>
    <row r="4960">
      <c r="A4960">
        <f>IFERROR(INDEX('Email Cleaner'!$B$2:$B$10001,MATCH(4959,'Email Cleaner'!$G$2:$G$10001,0)),"")</f>
        <v/>
      </c>
    </row>
    <row r="4961">
      <c r="A4961">
        <f>IFERROR(INDEX('Email Cleaner'!$B$2:$B$10001,MATCH(4960,'Email Cleaner'!$G$2:$G$10001,0)),"")</f>
        <v/>
      </c>
    </row>
    <row r="4962">
      <c r="A4962">
        <f>IFERROR(INDEX('Email Cleaner'!$B$2:$B$10001,MATCH(4961,'Email Cleaner'!$G$2:$G$10001,0)),"")</f>
        <v/>
      </c>
    </row>
    <row r="4963">
      <c r="A4963">
        <f>IFERROR(INDEX('Email Cleaner'!$B$2:$B$10001,MATCH(4962,'Email Cleaner'!$G$2:$G$10001,0)),"")</f>
        <v/>
      </c>
    </row>
    <row r="4964">
      <c r="A4964">
        <f>IFERROR(INDEX('Email Cleaner'!$B$2:$B$10001,MATCH(4963,'Email Cleaner'!$G$2:$G$10001,0)),"")</f>
        <v/>
      </c>
    </row>
    <row r="4965">
      <c r="A4965">
        <f>IFERROR(INDEX('Email Cleaner'!$B$2:$B$10001,MATCH(4964,'Email Cleaner'!$G$2:$G$10001,0)),"")</f>
        <v/>
      </c>
    </row>
    <row r="4966">
      <c r="A4966">
        <f>IFERROR(INDEX('Email Cleaner'!$B$2:$B$10001,MATCH(4965,'Email Cleaner'!$G$2:$G$10001,0)),"")</f>
        <v/>
      </c>
    </row>
    <row r="4967">
      <c r="A4967">
        <f>IFERROR(INDEX('Email Cleaner'!$B$2:$B$10001,MATCH(4966,'Email Cleaner'!$G$2:$G$10001,0)),"")</f>
        <v/>
      </c>
    </row>
    <row r="4968">
      <c r="A4968">
        <f>IFERROR(INDEX('Email Cleaner'!$B$2:$B$10001,MATCH(4967,'Email Cleaner'!$G$2:$G$10001,0)),"")</f>
        <v/>
      </c>
    </row>
    <row r="4969">
      <c r="A4969">
        <f>IFERROR(INDEX('Email Cleaner'!$B$2:$B$10001,MATCH(4968,'Email Cleaner'!$G$2:$G$10001,0)),"")</f>
        <v/>
      </c>
    </row>
    <row r="4970">
      <c r="A4970">
        <f>IFERROR(INDEX('Email Cleaner'!$B$2:$B$10001,MATCH(4969,'Email Cleaner'!$G$2:$G$10001,0)),"")</f>
        <v/>
      </c>
    </row>
    <row r="4971">
      <c r="A4971">
        <f>IFERROR(INDEX('Email Cleaner'!$B$2:$B$10001,MATCH(4970,'Email Cleaner'!$G$2:$G$10001,0)),"")</f>
        <v/>
      </c>
    </row>
    <row r="4972">
      <c r="A4972">
        <f>IFERROR(INDEX('Email Cleaner'!$B$2:$B$10001,MATCH(4971,'Email Cleaner'!$G$2:$G$10001,0)),"")</f>
        <v/>
      </c>
    </row>
    <row r="4973">
      <c r="A4973">
        <f>IFERROR(INDEX('Email Cleaner'!$B$2:$B$10001,MATCH(4972,'Email Cleaner'!$G$2:$G$10001,0)),"")</f>
        <v/>
      </c>
    </row>
    <row r="4974">
      <c r="A4974">
        <f>IFERROR(INDEX('Email Cleaner'!$B$2:$B$10001,MATCH(4973,'Email Cleaner'!$G$2:$G$10001,0)),"")</f>
        <v/>
      </c>
    </row>
    <row r="4975">
      <c r="A4975">
        <f>IFERROR(INDEX('Email Cleaner'!$B$2:$B$10001,MATCH(4974,'Email Cleaner'!$G$2:$G$10001,0)),"")</f>
        <v/>
      </c>
    </row>
    <row r="4976">
      <c r="A4976">
        <f>IFERROR(INDEX('Email Cleaner'!$B$2:$B$10001,MATCH(4975,'Email Cleaner'!$G$2:$G$10001,0)),"")</f>
        <v/>
      </c>
    </row>
    <row r="4977">
      <c r="A4977">
        <f>IFERROR(INDEX('Email Cleaner'!$B$2:$B$10001,MATCH(4976,'Email Cleaner'!$G$2:$G$10001,0)),"")</f>
        <v/>
      </c>
    </row>
    <row r="4978">
      <c r="A4978">
        <f>IFERROR(INDEX('Email Cleaner'!$B$2:$B$10001,MATCH(4977,'Email Cleaner'!$G$2:$G$10001,0)),"")</f>
        <v/>
      </c>
    </row>
    <row r="4979">
      <c r="A4979">
        <f>IFERROR(INDEX('Email Cleaner'!$B$2:$B$10001,MATCH(4978,'Email Cleaner'!$G$2:$G$10001,0)),"")</f>
        <v/>
      </c>
    </row>
    <row r="4980">
      <c r="A4980">
        <f>IFERROR(INDEX('Email Cleaner'!$B$2:$B$10001,MATCH(4979,'Email Cleaner'!$G$2:$G$10001,0)),"")</f>
        <v/>
      </c>
    </row>
    <row r="4981">
      <c r="A4981">
        <f>IFERROR(INDEX('Email Cleaner'!$B$2:$B$10001,MATCH(4980,'Email Cleaner'!$G$2:$G$10001,0)),"")</f>
        <v/>
      </c>
    </row>
    <row r="4982">
      <c r="A4982">
        <f>IFERROR(INDEX('Email Cleaner'!$B$2:$B$10001,MATCH(4981,'Email Cleaner'!$G$2:$G$10001,0)),"")</f>
        <v/>
      </c>
    </row>
    <row r="4983">
      <c r="A4983">
        <f>IFERROR(INDEX('Email Cleaner'!$B$2:$B$10001,MATCH(4982,'Email Cleaner'!$G$2:$G$10001,0)),"")</f>
        <v/>
      </c>
    </row>
    <row r="4984">
      <c r="A4984">
        <f>IFERROR(INDEX('Email Cleaner'!$B$2:$B$10001,MATCH(4983,'Email Cleaner'!$G$2:$G$10001,0)),"")</f>
        <v/>
      </c>
    </row>
    <row r="4985">
      <c r="A4985">
        <f>IFERROR(INDEX('Email Cleaner'!$B$2:$B$10001,MATCH(4984,'Email Cleaner'!$G$2:$G$10001,0)),"")</f>
        <v/>
      </c>
    </row>
    <row r="4986">
      <c r="A4986">
        <f>IFERROR(INDEX('Email Cleaner'!$B$2:$B$10001,MATCH(4985,'Email Cleaner'!$G$2:$G$10001,0)),"")</f>
        <v/>
      </c>
    </row>
    <row r="4987">
      <c r="A4987">
        <f>IFERROR(INDEX('Email Cleaner'!$B$2:$B$10001,MATCH(4986,'Email Cleaner'!$G$2:$G$10001,0)),"")</f>
        <v/>
      </c>
    </row>
    <row r="4988">
      <c r="A4988">
        <f>IFERROR(INDEX('Email Cleaner'!$B$2:$B$10001,MATCH(4987,'Email Cleaner'!$G$2:$G$10001,0)),"")</f>
        <v/>
      </c>
    </row>
    <row r="4989">
      <c r="A4989">
        <f>IFERROR(INDEX('Email Cleaner'!$B$2:$B$10001,MATCH(4988,'Email Cleaner'!$G$2:$G$10001,0)),"")</f>
        <v/>
      </c>
    </row>
    <row r="4990">
      <c r="A4990">
        <f>IFERROR(INDEX('Email Cleaner'!$B$2:$B$10001,MATCH(4989,'Email Cleaner'!$G$2:$G$10001,0)),"")</f>
        <v/>
      </c>
    </row>
    <row r="4991">
      <c r="A4991">
        <f>IFERROR(INDEX('Email Cleaner'!$B$2:$B$10001,MATCH(4990,'Email Cleaner'!$G$2:$G$10001,0)),"")</f>
        <v/>
      </c>
    </row>
    <row r="4992">
      <c r="A4992">
        <f>IFERROR(INDEX('Email Cleaner'!$B$2:$B$10001,MATCH(4991,'Email Cleaner'!$G$2:$G$10001,0)),"")</f>
        <v/>
      </c>
    </row>
    <row r="4993">
      <c r="A4993">
        <f>IFERROR(INDEX('Email Cleaner'!$B$2:$B$10001,MATCH(4992,'Email Cleaner'!$G$2:$G$10001,0)),"")</f>
        <v/>
      </c>
    </row>
    <row r="4994">
      <c r="A4994">
        <f>IFERROR(INDEX('Email Cleaner'!$B$2:$B$10001,MATCH(4993,'Email Cleaner'!$G$2:$G$10001,0)),"")</f>
        <v/>
      </c>
    </row>
    <row r="4995">
      <c r="A4995">
        <f>IFERROR(INDEX('Email Cleaner'!$B$2:$B$10001,MATCH(4994,'Email Cleaner'!$G$2:$G$10001,0)),"")</f>
        <v/>
      </c>
    </row>
    <row r="4996">
      <c r="A4996">
        <f>IFERROR(INDEX('Email Cleaner'!$B$2:$B$10001,MATCH(4995,'Email Cleaner'!$G$2:$G$10001,0)),"")</f>
        <v/>
      </c>
    </row>
    <row r="4997">
      <c r="A4997">
        <f>IFERROR(INDEX('Email Cleaner'!$B$2:$B$10001,MATCH(4996,'Email Cleaner'!$G$2:$G$10001,0)),"")</f>
        <v/>
      </c>
    </row>
    <row r="4998">
      <c r="A4998">
        <f>IFERROR(INDEX('Email Cleaner'!$B$2:$B$10001,MATCH(4997,'Email Cleaner'!$G$2:$G$10001,0)),"")</f>
        <v/>
      </c>
    </row>
    <row r="4999">
      <c r="A4999">
        <f>IFERROR(INDEX('Email Cleaner'!$B$2:$B$10001,MATCH(4998,'Email Cleaner'!$G$2:$G$10001,0)),"")</f>
        <v/>
      </c>
    </row>
    <row r="5000">
      <c r="A5000">
        <f>IFERROR(INDEX('Email Cleaner'!$B$2:$B$10001,MATCH(4999,'Email Cleaner'!$G$2:$G$10001,0)),"")</f>
        <v/>
      </c>
    </row>
    <row r="5001">
      <c r="A5001">
        <f>IFERROR(INDEX('Email Cleaner'!$B$2:$B$10001,MATCH(5000,'Email Cleaner'!$G$2:$G$10001,0)),"")</f>
        <v/>
      </c>
    </row>
    <row r="5002">
      <c r="A5002">
        <f>IFERROR(INDEX('Email Cleaner'!$B$2:$B$10001,MATCH(5001,'Email Cleaner'!$G$2:$G$10001,0)),"")</f>
        <v/>
      </c>
    </row>
    <row r="5003">
      <c r="A5003">
        <f>IFERROR(INDEX('Email Cleaner'!$B$2:$B$10001,MATCH(5002,'Email Cleaner'!$G$2:$G$10001,0)),"")</f>
        <v/>
      </c>
    </row>
    <row r="5004">
      <c r="A5004">
        <f>IFERROR(INDEX('Email Cleaner'!$B$2:$B$10001,MATCH(5003,'Email Cleaner'!$G$2:$G$10001,0)),"")</f>
        <v/>
      </c>
    </row>
    <row r="5005">
      <c r="A5005">
        <f>IFERROR(INDEX('Email Cleaner'!$B$2:$B$10001,MATCH(5004,'Email Cleaner'!$G$2:$G$10001,0)),"")</f>
        <v/>
      </c>
    </row>
    <row r="5006">
      <c r="A5006">
        <f>IFERROR(INDEX('Email Cleaner'!$B$2:$B$10001,MATCH(5005,'Email Cleaner'!$G$2:$G$10001,0)),"")</f>
        <v/>
      </c>
    </row>
    <row r="5007">
      <c r="A5007">
        <f>IFERROR(INDEX('Email Cleaner'!$B$2:$B$10001,MATCH(5006,'Email Cleaner'!$G$2:$G$10001,0)),"")</f>
        <v/>
      </c>
    </row>
    <row r="5008">
      <c r="A5008">
        <f>IFERROR(INDEX('Email Cleaner'!$B$2:$B$10001,MATCH(5007,'Email Cleaner'!$G$2:$G$10001,0)),"")</f>
        <v/>
      </c>
    </row>
    <row r="5009">
      <c r="A5009">
        <f>IFERROR(INDEX('Email Cleaner'!$B$2:$B$10001,MATCH(5008,'Email Cleaner'!$G$2:$G$10001,0)),"")</f>
        <v/>
      </c>
    </row>
    <row r="5010">
      <c r="A5010">
        <f>IFERROR(INDEX('Email Cleaner'!$B$2:$B$10001,MATCH(5009,'Email Cleaner'!$G$2:$G$10001,0)),"")</f>
        <v/>
      </c>
    </row>
    <row r="5011">
      <c r="A5011">
        <f>IFERROR(INDEX('Email Cleaner'!$B$2:$B$10001,MATCH(5010,'Email Cleaner'!$G$2:$G$10001,0)),"")</f>
        <v/>
      </c>
    </row>
    <row r="5012">
      <c r="A5012">
        <f>IFERROR(INDEX('Email Cleaner'!$B$2:$B$10001,MATCH(5011,'Email Cleaner'!$G$2:$G$10001,0)),"")</f>
        <v/>
      </c>
    </row>
    <row r="5013">
      <c r="A5013">
        <f>IFERROR(INDEX('Email Cleaner'!$B$2:$B$10001,MATCH(5012,'Email Cleaner'!$G$2:$G$10001,0)),"")</f>
        <v/>
      </c>
    </row>
    <row r="5014">
      <c r="A5014">
        <f>IFERROR(INDEX('Email Cleaner'!$B$2:$B$10001,MATCH(5013,'Email Cleaner'!$G$2:$G$10001,0)),"")</f>
        <v/>
      </c>
    </row>
    <row r="5015">
      <c r="A5015">
        <f>IFERROR(INDEX('Email Cleaner'!$B$2:$B$10001,MATCH(5014,'Email Cleaner'!$G$2:$G$10001,0)),"")</f>
        <v/>
      </c>
    </row>
    <row r="5016">
      <c r="A5016">
        <f>IFERROR(INDEX('Email Cleaner'!$B$2:$B$10001,MATCH(5015,'Email Cleaner'!$G$2:$G$10001,0)),"")</f>
        <v/>
      </c>
    </row>
    <row r="5017">
      <c r="A5017">
        <f>IFERROR(INDEX('Email Cleaner'!$B$2:$B$10001,MATCH(5016,'Email Cleaner'!$G$2:$G$10001,0)),"")</f>
        <v/>
      </c>
    </row>
    <row r="5018">
      <c r="A5018">
        <f>IFERROR(INDEX('Email Cleaner'!$B$2:$B$10001,MATCH(5017,'Email Cleaner'!$G$2:$G$10001,0)),"")</f>
        <v/>
      </c>
    </row>
    <row r="5019">
      <c r="A5019">
        <f>IFERROR(INDEX('Email Cleaner'!$B$2:$B$10001,MATCH(5018,'Email Cleaner'!$G$2:$G$10001,0)),"")</f>
        <v/>
      </c>
    </row>
    <row r="5020">
      <c r="A5020">
        <f>IFERROR(INDEX('Email Cleaner'!$B$2:$B$10001,MATCH(5019,'Email Cleaner'!$G$2:$G$10001,0)),"")</f>
        <v/>
      </c>
    </row>
    <row r="5021">
      <c r="A5021">
        <f>IFERROR(INDEX('Email Cleaner'!$B$2:$B$10001,MATCH(5020,'Email Cleaner'!$G$2:$G$10001,0)),"")</f>
        <v/>
      </c>
    </row>
    <row r="5022">
      <c r="A5022">
        <f>IFERROR(INDEX('Email Cleaner'!$B$2:$B$10001,MATCH(5021,'Email Cleaner'!$G$2:$G$10001,0)),"")</f>
        <v/>
      </c>
    </row>
    <row r="5023">
      <c r="A5023">
        <f>IFERROR(INDEX('Email Cleaner'!$B$2:$B$10001,MATCH(5022,'Email Cleaner'!$G$2:$G$10001,0)),"")</f>
        <v/>
      </c>
    </row>
    <row r="5024">
      <c r="A5024">
        <f>IFERROR(INDEX('Email Cleaner'!$B$2:$B$10001,MATCH(5023,'Email Cleaner'!$G$2:$G$10001,0)),"")</f>
        <v/>
      </c>
    </row>
    <row r="5025">
      <c r="A5025">
        <f>IFERROR(INDEX('Email Cleaner'!$B$2:$B$10001,MATCH(5024,'Email Cleaner'!$G$2:$G$10001,0)),"")</f>
        <v/>
      </c>
    </row>
    <row r="5026">
      <c r="A5026">
        <f>IFERROR(INDEX('Email Cleaner'!$B$2:$B$10001,MATCH(5025,'Email Cleaner'!$G$2:$G$10001,0)),"")</f>
        <v/>
      </c>
    </row>
    <row r="5027">
      <c r="A5027">
        <f>IFERROR(INDEX('Email Cleaner'!$B$2:$B$10001,MATCH(5026,'Email Cleaner'!$G$2:$G$10001,0)),"")</f>
        <v/>
      </c>
    </row>
    <row r="5028">
      <c r="A5028">
        <f>IFERROR(INDEX('Email Cleaner'!$B$2:$B$10001,MATCH(5027,'Email Cleaner'!$G$2:$G$10001,0)),"")</f>
        <v/>
      </c>
    </row>
    <row r="5029">
      <c r="A5029">
        <f>IFERROR(INDEX('Email Cleaner'!$B$2:$B$10001,MATCH(5028,'Email Cleaner'!$G$2:$G$10001,0)),"")</f>
        <v/>
      </c>
    </row>
    <row r="5030">
      <c r="A5030">
        <f>IFERROR(INDEX('Email Cleaner'!$B$2:$B$10001,MATCH(5029,'Email Cleaner'!$G$2:$G$10001,0)),"")</f>
        <v/>
      </c>
    </row>
    <row r="5031">
      <c r="A5031">
        <f>IFERROR(INDEX('Email Cleaner'!$B$2:$B$10001,MATCH(5030,'Email Cleaner'!$G$2:$G$10001,0)),"")</f>
        <v/>
      </c>
    </row>
    <row r="5032">
      <c r="A5032">
        <f>IFERROR(INDEX('Email Cleaner'!$B$2:$B$10001,MATCH(5031,'Email Cleaner'!$G$2:$G$10001,0)),"")</f>
        <v/>
      </c>
    </row>
    <row r="5033">
      <c r="A5033">
        <f>IFERROR(INDEX('Email Cleaner'!$B$2:$B$10001,MATCH(5032,'Email Cleaner'!$G$2:$G$10001,0)),"")</f>
        <v/>
      </c>
    </row>
    <row r="5034">
      <c r="A5034">
        <f>IFERROR(INDEX('Email Cleaner'!$B$2:$B$10001,MATCH(5033,'Email Cleaner'!$G$2:$G$10001,0)),"")</f>
        <v/>
      </c>
    </row>
    <row r="5035">
      <c r="A5035">
        <f>IFERROR(INDEX('Email Cleaner'!$B$2:$B$10001,MATCH(5034,'Email Cleaner'!$G$2:$G$10001,0)),"")</f>
        <v/>
      </c>
    </row>
    <row r="5036">
      <c r="A5036">
        <f>IFERROR(INDEX('Email Cleaner'!$B$2:$B$10001,MATCH(5035,'Email Cleaner'!$G$2:$G$10001,0)),"")</f>
        <v/>
      </c>
    </row>
    <row r="5037">
      <c r="A5037">
        <f>IFERROR(INDEX('Email Cleaner'!$B$2:$B$10001,MATCH(5036,'Email Cleaner'!$G$2:$G$10001,0)),"")</f>
        <v/>
      </c>
    </row>
    <row r="5038">
      <c r="A5038">
        <f>IFERROR(INDEX('Email Cleaner'!$B$2:$B$10001,MATCH(5037,'Email Cleaner'!$G$2:$G$10001,0)),"")</f>
        <v/>
      </c>
    </row>
    <row r="5039">
      <c r="A5039">
        <f>IFERROR(INDEX('Email Cleaner'!$B$2:$B$10001,MATCH(5038,'Email Cleaner'!$G$2:$G$10001,0)),"")</f>
        <v/>
      </c>
    </row>
    <row r="5040">
      <c r="A5040">
        <f>IFERROR(INDEX('Email Cleaner'!$B$2:$B$10001,MATCH(5039,'Email Cleaner'!$G$2:$G$10001,0)),"")</f>
        <v/>
      </c>
    </row>
    <row r="5041">
      <c r="A5041">
        <f>IFERROR(INDEX('Email Cleaner'!$B$2:$B$10001,MATCH(5040,'Email Cleaner'!$G$2:$G$10001,0)),"")</f>
        <v/>
      </c>
    </row>
    <row r="5042">
      <c r="A5042">
        <f>IFERROR(INDEX('Email Cleaner'!$B$2:$B$10001,MATCH(5041,'Email Cleaner'!$G$2:$G$10001,0)),"")</f>
        <v/>
      </c>
    </row>
    <row r="5043">
      <c r="A5043">
        <f>IFERROR(INDEX('Email Cleaner'!$B$2:$B$10001,MATCH(5042,'Email Cleaner'!$G$2:$G$10001,0)),"")</f>
        <v/>
      </c>
    </row>
    <row r="5044">
      <c r="A5044">
        <f>IFERROR(INDEX('Email Cleaner'!$B$2:$B$10001,MATCH(5043,'Email Cleaner'!$G$2:$G$10001,0)),"")</f>
        <v/>
      </c>
    </row>
    <row r="5045">
      <c r="A5045">
        <f>IFERROR(INDEX('Email Cleaner'!$B$2:$B$10001,MATCH(5044,'Email Cleaner'!$G$2:$G$10001,0)),"")</f>
        <v/>
      </c>
    </row>
    <row r="5046">
      <c r="A5046">
        <f>IFERROR(INDEX('Email Cleaner'!$B$2:$B$10001,MATCH(5045,'Email Cleaner'!$G$2:$G$10001,0)),"")</f>
        <v/>
      </c>
    </row>
    <row r="5047">
      <c r="A5047">
        <f>IFERROR(INDEX('Email Cleaner'!$B$2:$B$10001,MATCH(5046,'Email Cleaner'!$G$2:$G$10001,0)),"")</f>
        <v/>
      </c>
    </row>
    <row r="5048">
      <c r="A5048">
        <f>IFERROR(INDEX('Email Cleaner'!$B$2:$B$10001,MATCH(5047,'Email Cleaner'!$G$2:$G$10001,0)),"")</f>
        <v/>
      </c>
    </row>
    <row r="5049">
      <c r="A5049">
        <f>IFERROR(INDEX('Email Cleaner'!$B$2:$B$10001,MATCH(5048,'Email Cleaner'!$G$2:$G$10001,0)),"")</f>
        <v/>
      </c>
    </row>
    <row r="5050">
      <c r="A5050">
        <f>IFERROR(INDEX('Email Cleaner'!$B$2:$B$10001,MATCH(5049,'Email Cleaner'!$G$2:$G$10001,0)),"")</f>
        <v/>
      </c>
    </row>
    <row r="5051">
      <c r="A5051">
        <f>IFERROR(INDEX('Email Cleaner'!$B$2:$B$10001,MATCH(5050,'Email Cleaner'!$G$2:$G$10001,0)),"")</f>
        <v/>
      </c>
    </row>
    <row r="5052">
      <c r="A5052">
        <f>IFERROR(INDEX('Email Cleaner'!$B$2:$B$10001,MATCH(5051,'Email Cleaner'!$G$2:$G$10001,0)),"")</f>
        <v/>
      </c>
    </row>
    <row r="5053">
      <c r="A5053">
        <f>IFERROR(INDEX('Email Cleaner'!$B$2:$B$10001,MATCH(5052,'Email Cleaner'!$G$2:$G$10001,0)),"")</f>
        <v/>
      </c>
    </row>
    <row r="5054">
      <c r="A5054">
        <f>IFERROR(INDEX('Email Cleaner'!$B$2:$B$10001,MATCH(5053,'Email Cleaner'!$G$2:$G$10001,0)),"")</f>
        <v/>
      </c>
    </row>
    <row r="5055">
      <c r="A5055">
        <f>IFERROR(INDEX('Email Cleaner'!$B$2:$B$10001,MATCH(5054,'Email Cleaner'!$G$2:$G$10001,0)),"")</f>
        <v/>
      </c>
    </row>
    <row r="5056">
      <c r="A5056">
        <f>IFERROR(INDEX('Email Cleaner'!$B$2:$B$10001,MATCH(5055,'Email Cleaner'!$G$2:$G$10001,0)),"")</f>
        <v/>
      </c>
    </row>
    <row r="5057">
      <c r="A5057">
        <f>IFERROR(INDEX('Email Cleaner'!$B$2:$B$10001,MATCH(5056,'Email Cleaner'!$G$2:$G$10001,0)),"")</f>
        <v/>
      </c>
    </row>
    <row r="5058">
      <c r="A5058">
        <f>IFERROR(INDEX('Email Cleaner'!$B$2:$B$10001,MATCH(5057,'Email Cleaner'!$G$2:$G$10001,0)),"")</f>
        <v/>
      </c>
    </row>
    <row r="5059">
      <c r="A5059">
        <f>IFERROR(INDEX('Email Cleaner'!$B$2:$B$10001,MATCH(5058,'Email Cleaner'!$G$2:$G$10001,0)),"")</f>
        <v/>
      </c>
    </row>
    <row r="5060">
      <c r="A5060">
        <f>IFERROR(INDEX('Email Cleaner'!$B$2:$B$10001,MATCH(5059,'Email Cleaner'!$G$2:$G$10001,0)),"")</f>
        <v/>
      </c>
    </row>
    <row r="5061">
      <c r="A5061">
        <f>IFERROR(INDEX('Email Cleaner'!$B$2:$B$10001,MATCH(5060,'Email Cleaner'!$G$2:$G$10001,0)),"")</f>
        <v/>
      </c>
    </row>
    <row r="5062">
      <c r="A5062">
        <f>IFERROR(INDEX('Email Cleaner'!$B$2:$B$10001,MATCH(5061,'Email Cleaner'!$G$2:$G$10001,0)),"")</f>
        <v/>
      </c>
    </row>
    <row r="5063">
      <c r="A5063">
        <f>IFERROR(INDEX('Email Cleaner'!$B$2:$B$10001,MATCH(5062,'Email Cleaner'!$G$2:$G$10001,0)),"")</f>
        <v/>
      </c>
    </row>
    <row r="5064">
      <c r="A5064">
        <f>IFERROR(INDEX('Email Cleaner'!$B$2:$B$10001,MATCH(5063,'Email Cleaner'!$G$2:$G$10001,0)),"")</f>
        <v/>
      </c>
    </row>
    <row r="5065">
      <c r="A5065">
        <f>IFERROR(INDEX('Email Cleaner'!$B$2:$B$10001,MATCH(5064,'Email Cleaner'!$G$2:$G$10001,0)),"")</f>
        <v/>
      </c>
    </row>
    <row r="5066">
      <c r="A5066">
        <f>IFERROR(INDEX('Email Cleaner'!$B$2:$B$10001,MATCH(5065,'Email Cleaner'!$G$2:$G$10001,0)),"")</f>
        <v/>
      </c>
    </row>
    <row r="5067">
      <c r="A5067">
        <f>IFERROR(INDEX('Email Cleaner'!$B$2:$B$10001,MATCH(5066,'Email Cleaner'!$G$2:$G$10001,0)),"")</f>
        <v/>
      </c>
    </row>
    <row r="5068">
      <c r="A5068">
        <f>IFERROR(INDEX('Email Cleaner'!$B$2:$B$10001,MATCH(5067,'Email Cleaner'!$G$2:$G$10001,0)),"")</f>
        <v/>
      </c>
    </row>
    <row r="5069">
      <c r="A5069">
        <f>IFERROR(INDEX('Email Cleaner'!$B$2:$B$10001,MATCH(5068,'Email Cleaner'!$G$2:$G$10001,0)),"")</f>
        <v/>
      </c>
    </row>
    <row r="5070">
      <c r="A5070">
        <f>IFERROR(INDEX('Email Cleaner'!$B$2:$B$10001,MATCH(5069,'Email Cleaner'!$G$2:$G$10001,0)),"")</f>
        <v/>
      </c>
    </row>
    <row r="5071">
      <c r="A5071">
        <f>IFERROR(INDEX('Email Cleaner'!$B$2:$B$10001,MATCH(5070,'Email Cleaner'!$G$2:$G$10001,0)),"")</f>
        <v/>
      </c>
    </row>
    <row r="5072">
      <c r="A5072">
        <f>IFERROR(INDEX('Email Cleaner'!$B$2:$B$10001,MATCH(5071,'Email Cleaner'!$G$2:$G$10001,0)),"")</f>
        <v/>
      </c>
    </row>
    <row r="5073">
      <c r="A5073">
        <f>IFERROR(INDEX('Email Cleaner'!$B$2:$B$10001,MATCH(5072,'Email Cleaner'!$G$2:$G$10001,0)),"")</f>
        <v/>
      </c>
    </row>
    <row r="5074">
      <c r="A5074">
        <f>IFERROR(INDEX('Email Cleaner'!$B$2:$B$10001,MATCH(5073,'Email Cleaner'!$G$2:$G$10001,0)),"")</f>
        <v/>
      </c>
    </row>
    <row r="5075">
      <c r="A5075">
        <f>IFERROR(INDEX('Email Cleaner'!$B$2:$B$10001,MATCH(5074,'Email Cleaner'!$G$2:$G$10001,0)),"")</f>
        <v/>
      </c>
    </row>
    <row r="5076">
      <c r="A5076">
        <f>IFERROR(INDEX('Email Cleaner'!$B$2:$B$10001,MATCH(5075,'Email Cleaner'!$G$2:$G$10001,0)),"")</f>
        <v/>
      </c>
    </row>
    <row r="5077">
      <c r="A5077">
        <f>IFERROR(INDEX('Email Cleaner'!$B$2:$B$10001,MATCH(5076,'Email Cleaner'!$G$2:$G$10001,0)),"")</f>
        <v/>
      </c>
    </row>
    <row r="5078">
      <c r="A5078">
        <f>IFERROR(INDEX('Email Cleaner'!$B$2:$B$10001,MATCH(5077,'Email Cleaner'!$G$2:$G$10001,0)),"")</f>
        <v/>
      </c>
    </row>
    <row r="5079">
      <c r="A5079">
        <f>IFERROR(INDEX('Email Cleaner'!$B$2:$B$10001,MATCH(5078,'Email Cleaner'!$G$2:$G$10001,0)),"")</f>
        <v/>
      </c>
    </row>
    <row r="5080">
      <c r="A5080">
        <f>IFERROR(INDEX('Email Cleaner'!$B$2:$B$10001,MATCH(5079,'Email Cleaner'!$G$2:$G$10001,0)),"")</f>
        <v/>
      </c>
    </row>
    <row r="5081">
      <c r="A5081">
        <f>IFERROR(INDEX('Email Cleaner'!$B$2:$B$10001,MATCH(5080,'Email Cleaner'!$G$2:$G$10001,0)),"")</f>
        <v/>
      </c>
    </row>
    <row r="5082">
      <c r="A5082">
        <f>IFERROR(INDEX('Email Cleaner'!$B$2:$B$10001,MATCH(5081,'Email Cleaner'!$G$2:$G$10001,0)),"")</f>
        <v/>
      </c>
    </row>
    <row r="5083">
      <c r="A5083">
        <f>IFERROR(INDEX('Email Cleaner'!$B$2:$B$10001,MATCH(5082,'Email Cleaner'!$G$2:$G$10001,0)),"")</f>
        <v/>
      </c>
    </row>
    <row r="5084">
      <c r="A5084">
        <f>IFERROR(INDEX('Email Cleaner'!$B$2:$B$10001,MATCH(5083,'Email Cleaner'!$G$2:$G$10001,0)),"")</f>
        <v/>
      </c>
    </row>
    <row r="5085">
      <c r="A5085">
        <f>IFERROR(INDEX('Email Cleaner'!$B$2:$B$10001,MATCH(5084,'Email Cleaner'!$G$2:$G$10001,0)),"")</f>
        <v/>
      </c>
    </row>
    <row r="5086">
      <c r="A5086">
        <f>IFERROR(INDEX('Email Cleaner'!$B$2:$B$10001,MATCH(5085,'Email Cleaner'!$G$2:$G$10001,0)),"")</f>
        <v/>
      </c>
    </row>
    <row r="5087">
      <c r="A5087">
        <f>IFERROR(INDEX('Email Cleaner'!$B$2:$B$10001,MATCH(5086,'Email Cleaner'!$G$2:$G$10001,0)),"")</f>
        <v/>
      </c>
    </row>
    <row r="5088">
      <c r="A5088">
        <f>IFERROR(INDEX('Email Cleaner'!$B$2:$B$10001,MATCH(5087,'Email Cleaner'!$G$2:$G$10001,0)),"")</f>
        <v/>
      </c>
    </row>
    <row r="5089">
      <c r="A5089">
        <f>IFERROR(INDEX('Email Cleaner'!$B$2:$B$10001,MATCH(5088,'Email Cleaner'!$G$2:$G$10001,0)),"")</f>
        <v/>
      </c>
    </row>
    <row r="5090">
      <c r="A5090">
        <f>IFERROR(INDEX('Email Cleaner'!$B$2:$B$10001,MATCH(5089,'Email Cleaner'!$G$2:$G$10001,0)),"")</f>
        <v/>
      </c>
    </row>
    <row r="5091">
      <c r="A5091">
        <f>IFERROR(INDEX('Email Cleaner'!$B$2:$B$10001,MATCH(5090,'Email Cleaner'!$G$2:$G$10001,0)),"")</f>
        <v/>
      </c>
    </row>
    <row r="5092">
      <c r="A5092">
        <f>IFERROR(INDEX('Email Cleaner'!$B$2:$B$10001,MATCH(5091,'Email Cleaner'!$G$2:$G$10001,0)),"")</f>
        <v/>
      </c>
    </row>
    <row r="5093">
      <c r="A5093">
        <f>IFERROR(INDEX('Email Cleaner'!$B$2:$B$10001,MATCH(5092,'Email Cleaner'!$G$2:$G$10001,0)),"")</f>
        <v/>
      </c>
    </row>
    <row r="5094">
      <c r="A5094">
        <f>IFERROR(INDEX('Email Cleaner'!$B$2:$B$10001,MATCH(5093,'Email Cleaner'!$G$2:$G$10001,0)),"")</f>
        <v/>
      </c>
    </row>
    <row r="5095">
      <c r="A5095">
        <f>IFERROR(INDEX('Email Cleaner'!$B$2:$B$10001,MATCH(5094,'Email Cleaner'!$G$2:$G$10001,0)),"")</f>
        <v/>
      </c>
    </row>
    <row r="5096">
      <c r="A5096">
        <f>IFERROR(INDEX('Email Cleaner'!$B$2:$B$10001,MATCH(5095,'Email Cleaner'!$G$2:$G$10001,0)),"")</f>
        <v/>
      </c>
    </row>
    <row r="5097">
      <c r="A5097">
        <f>IFERROR(INDEX('Email Cleaner'!$B$2:$B$10001,MATCH(5096,'Email Cleaner'!$G$2:$G$10001,0)),"")</f>
        <v/>
      </c>
    </row>
    <row r="5098">
      <c r="A5098">
        <f>IFERROR(INDEX('Email Cleaner'!$B$2:$B$10001,MATCH(5097,'Email Cleaner'!$G$2:$G$10001,0)),"")</f>
        <v/>
      </c>
    </row>
    <row r="5099">
      <c r="A5099">
        <f>IFERROR(INDEX('Email Cleaner'!$B$2:$B$10001,MATCH(5098,'Email Cleaner'!$G$2:$G$10001,0)),"")</f>
        <v/>
      </c>
    </row>
    <row r="5100">
      <c r="A5100">
        <f>IFERROR(INDEX('Email Cleaner'!$B$2:$B$10001,MATCH(5099,'Email Cleaner'!$G$2:$G$10001,0)),"")</f>
        <v/>
      </c>
    </row>
    <row r="5101">
      <c r="A5101">
        <f>IFERROR(INDEX('Email Cleaner'!$B$2:$B$10001,MATCH(5100,'Email Cleaner'!$G$2:$G$10001,0)),"")</f>
        <v/>
      </c>
    </row>
    <row r="5102">
      <c r="A5102">
        <f>IFERROR(INDEX('Email Cleaner'!$B$2:$B$10001,MATCH(5101,'Email Cleaner'!$G$2:$G$10001,0)),"")</f>
        <v/>
      </c>
    </row>
    <row r="5103">
      <c r="A5103">
        <f>IFERROR(INDEX('Email Cleaner'!$B$2:$B$10001,MATCH(5102,'Email Cleaner'!$G$2:$G$10001,0)),"")</f>
        <v/>
      </c>
    </row>
    <row r="5104">
      <c r="A5104">
        <f>IFERROR(INDEX('Email Cleaner'!$B$2:$B$10001,MATCH(5103,'Email Cleaner'!$G$2:$G$10001,0)),"")</f>
        <v/>
      </c>
    </row>
    <row r="5105">
      <c r="A5105">
        <f>IFERROR(INDEX('Email Cleaner'!$B$2:$B$10001,MATCH(5104,'Email Cleaner'!$G$2:$G$10001,0)),"")</f>
        <v/>
      </c>
    </row>
    <row r="5106">
      <c r="A5106">
        <f>IFERROR(INDEX('Email Cleaner'!$B$2:$B$10001,MATCH(5105,'Email Cleaner'!$G$2:$G$10001,0)),"")</f>
        <v/>
      </c>
    </row>
    <row r="5107">
      <c r="A5107">
        <f>IFERROR(INDEX('Email Cleaner'!$B$2:$B$10001,MATCH(5106,'Email Cleaner'!$G$2:$G$10001,0)),"")</f>
        <v/>
      </c>
    </row>
    <row r="5108">
      <c r="A5108">
        <f>IFERROR(INDEX('Email Cleaner'!$B$2:$B$10001,MATCH(5107,'Email Cleaner'!$G$2:$G$10001,0)),"")</f>
        <v/>
      </c>
    </row>
    <row r="5109">
      <c r="A5109">
        <f>IFERROR(INDEX('Email Cleaner'!$B$2:$B$10001,MATCH(5108,'Email Cleaner'!$G$2:$G$10001,0)),"")</f>
        <v/>
      </c>
    </row>
    <row r="5110">
      <c r="A5110">
        <f>IFERROR(INDEX('Email Cleaner'!$B$2:$B$10001,MATCH(5109,'Email Cleaner'!$G$2:$G$10001,0)),"")</f>
        <v/>
      </c>
    </row>
    <row r="5111">
      <c r="A5111">
        <f>IFERROR(INDEX('Email Cleaner'!$B$2:$B$10001,MATCH(5110,'Email Cleaner'!$G$2:$G$10001,0)),"")</f>
        <v/>
      </c>
    </row>
    <row r="5112">
      <c r="A5112">
        <f>IFERROR(INDEX('Email Cleaner'!$B$2:$B$10001,MATCH(5111,'Email Cleaner'!$G$2:$G$10001,0)),"")</f>
        <v/>
      </c>
    </row>
    <row r="5113">
      <c r="A5113">
        <f>IFERROR(INDEX('Email Cleaner'!$B$2:$B$10001,MATCH(5112,'Email Cleaner'!$G$2:$G$10001,0)),"")</f>
        <v/>
      </c>
    </row>
    <row r="5114">
      <c r="A5114">
        <f>IFERROR(INDEX('Email Cleaner'!$B$2:$B$10001,MATCH(5113,'Email Cleaner'!$G$2:$G$10001,0)),"")</f>
        <v/>
      </c>
    </row>
    <row r="5115">
      <c r="A5115">
        <f>IFERROR(INDEX('Email Cleaner'!$B$2:$B$10001,MATCH(5114,'Email Cleaner'!$G$2:$G$10001,0)),"")</f>
        <v/>
      </c>
    </row>
    <row r="5116">
      <c r="A5116">
        <f>IFERROR(INDEX('Email Cleaner'!$B$2:$B$10001,MATCH(5115,'Email Cleaner'!$G$2:$G$10001,0)),"")</f>
        <v/>
      </c>
    </row>
    <row r="5117">
      <c r="A5117">
        <f>IFERROR(INDEX('Email Cleaner'!$B$2:$B$10001,MATCH(5116,'Email Cleaner'!$G$2:$G$10001,0)),"")</f>
        <v/>
      </c>
    </row>
    <row r="5118">
      <c r="A5118">
        <f>IFERROR(INDEX('Email Cleaner'!$B$2:$B$10001,MATCH(5117,'Email Cleaner'!$G$2:$G$10001,0)),"")</f>
        <v/>
      </c>
    </row>
    <row r="5119">
      <c r="A5119">
        <f>IFERROR(INDEX('Email Cleaner'!$B$2:$B$10001,MATCH(5118,'Email Cleaner'!$G$2:$G$10001,0)),"")</f>
        <v/>
      </c>
    </row>
    <row r="5120">
      <c r="A5120">
        <f>IFERROR(INDEX('Email Cleaner'!$B$2:$B$10001,MATCH(5119,'Email Cleaner'!$G$2:$G$10001,0)),"")</f>
        <v/>
      </c>
    </row>
    <row r="5121">
      <c r="A5121">
        <f>IFERROR(INDEX('Email Cleaner'!$B$2:$B$10001,MATCH(5120,'Email Cleaner'!$G$2:$G$10001,0)),"")</f>
        <v/>
      </c>
    </row>
    <row r="5122">
      <c r="A5122">
        <f>IFERROR(INDEX('Email Cleaner'!$B$2:$B$10001,MATCH(5121,'Email Cleaner'!$G$2:$G$10001,0)),"")</f>
        <v/>
      </c>
    </row>
    <row r="5123">
      <c r="A5123">
        <f>IFERROR(INDEX('Email Cleaner'!$B$2:$B$10001,MATCH(5122,'Email Cleaner'!$G$2:$G$10001,0)),"")</f>
        <v/>
      </c>
    </row>
    <row r="5124">
      <c r="A5124">
        <f>IFERROR(INDEX('Email Cleaner'!$B$2:$B$10001,MATCH(5123,'Email Cleaner'!$G$2:$G$10001,0)),"")</f>
        <v/>
      </c>
    </row>
    <row r="5125">
      <c r="A5125">
        <f>IFERROR(INDEX('Email Cleaner'!$B$2:$B$10001,MATCH(5124,'Email Cleaner'!$G$2:$G$10001,0)),"")</f>
        <v/>
      </c>
    </row>
    <row r="5126">
      <c r="A5126">
        <f>IFERROR(INDEX('Email Cleaner'!$B$2:$B$10001,MATCH(5125,'Email Cleaner'!$G$2:$G$10001,0)),"")</f>
        <v/>
      </c>
    </row>
    <row r="5127">
      <c r="A5127">
        <f>IFERROR(INDEX('Email Cleaner'!$B$2:$B$10001,MATCH(5126,'Email Cleaner'!$G$2:$G$10001,0)),"")</f>
        <v/>
      </c>
    </row>
    <row r="5128">
      <c r="A5128">
        <f>IFERROR(INDEX('Email Cleaner'!$B$2:$B$10001,MATCH(5127,'Email Cleaner'!$G$2:$G$10001,0)),"")</f>
        <v/>
      </c>
    </row>
    <row r="5129">
      <c r="A5129">
        <f>IFERROR(INDEX('Email Cleaner'!$B$2:$B$10001,MATCH(5128,'Email Cleaner'!$G$2:$G$10001,0)),"")</f>
        <v/>
      </c>
    </row>
    <row r="5130">
      <c r="A5130">
        <f>IFERROR(INDEX('Email Cleaner'!$B$2:$B$10001,MATCH(5129,'Email Cleaner'!$G$2:$G$10001,0)),"")</f>
        <v/>
      </c>
    </row>
    <row r="5131">
      <c r="A5131">
        <f>IFERROR(INDEX('Email Cleaner'!$B$2:$B$10001,MATCH(5130,'Email Cleaner'!$G$2:$G$10001,0)),"")</f>
        <v/>
      </c>
    </row>
    <row r="5132">
      <c r="A5132">
        <f>IFERROR(INDEX('Email Cleaner'!$B$2:$B$10001,MATCH(5131,'Email Cleaner'!$G$2:$G$10001,0)),"")</f>
        <v/>
      </c>
    </row>
    <row r="5133">
      <c r="A5133">
        <f>IFERROR(INDEX('Email Cleaner'!$B$2:$B$10001,MATCH(5132,'Email Cleaner'!$G$2:$G$10001,0)),"")</f>
        <v/>
      </c>
    </row>
    <row r="5134">
      <c r="A5134">
        <f>IFERROR(INDEX('Email Cleaner'!$B$2:$B$10001,MATCH(5133,'Email Cleaner'!$G$2:$G$10001,0)),"")</f>
        <v/>
      </c>
    </row>
    <row r="5135">
      <c r="A5135">
        <f>IFERROR(INDEX('Email Cleaner'!$B$2:$B$10001,MATCH(5134,'Email Cleaner'!$G$2:$G$10001,0)),"")</f>
        <v/>
      </c>
    </row>
    <row r="5136">
      <c r="A5136">
        <f>IFERROR(INDEX('Email Cleaner'!$B$2:$B$10001,MATCH(5135,'Email Cleaner'!$G$2:$G$10001,0)),"")</f>
        <v/>
      </c>
    </row>
    <row r="5137">
      <c r="A5137">
        <f>IFERROR(INDEX('Email Cleaner'!$B$2:$B$10001,MATCH(5136,'Email Cleaner'!$G$2:$G$10001,0)),"")</f>
        <v/>
      </c>
    </row>
    <row r="5138">
      <c r="A5138">
        <f>IFERROR(INDEX('Email Cleaner'!$B$2:$B$10001,MATCH(5137,'Email Cleaner'!$G$2:$G$10001,0)),"")</f>
        <v/>
      </c>
    </row>
    <row r="5139">
      <c r="A5139">
        <f>IFERROR(INDEX('Email Cleaner'!$B$2:$B$10001,MATCH(5138,'Email Cleaner'!$G$2:$G$10001,0)),"")</f>
        <v/>
      </c>
    </row>
    <row r="5140">
      <c r="A5140">
        <f>IFERROR(INDEX('Email Cleaner'!$B$2:$B$10001,MATCH(5139,'Email Cleaner'!$G$2:$G$10001,0)),"")</f>
        <v/>
      </c>
    </row>
    <row r="5141">
      <c r="A5141">
        <f>IFERROR(INDEX('Email Cleaner'!$B$2:$B$10001,MATCH(5140,'Email Cleaner'!$G$2:$G$10001,0)),"")</f>
        <v/>
      </c>
    </row>
    <row r="5142">
      <c r="A5142">
        <f>IFERROR(INDEX('Email Cleaner'!$B$2:$B$10001,MATCH(5141,'Email Cleaner'!$G$2:$G$10001,0)),"")</f>
        <v/>
      </c>
    </row>
    <row r="5143">
      <c r="A5143">
        <f>IFERROR(INDEX('Email Cleaner'!$B$2:$B$10001,MATCH(5142,'Email Cleaner'!$G$2:$G$10001,0)),"")</f>
        <v/>
      </c>
    </row>
    <row r="5144">
      <c r="A5144">
        <f>IFERROR(INDEX('Email Cleaner'!$B$2:$B$10001,MATCH(5143,'Email Cleaner'!$G$2:$G$10001,0)),"")</f>
        <v/>
      </c>
    </row>
    <row r="5145">
      <c r="A5145">
        <f>IFERROR(INDEX('Email Cleaner'!$B$2:$B$10001,MATCH(5144,'Email Cleaner'!$G$2:$G$10001,0)),"")</f>
        <v/>
      </c>
    </row>
    <row r="5146">
      <c r="A5146">
        <f>IFERROR(INDEX('Email Cleaner'!$B$2:$B$10001,MATCH(5145,'Email Cleaner'!$G$2:$G$10001,0)),"")</f>
        <v/>
      </c>
    </row>
    <row r="5147">
      <c r="A5147">
        <f>IFERROR(INDEX('Email Cleaner'!$B$2:$B$10001,MATCH(5146,'Email Cleaner'!$G$2:$G$10001,0)),"")</f>
        <v/>
      </c>
    </row>
    <row r="5148">
      <c r="A5148">
        <f>IFERROR(INDEX('Email Cleaner'!$B$2:$B$10001,MATCH(5147,'Email Cleaner'!$G$2:$G$10001,0)),"")</f>
        <v/>
      </c>
    </row>
    <row r="5149">
      <c r="A5149">
        <f>IFERROR(INDEX('Email Cleaner'!$B$2:$B$10001,MATCH(5148,'Email Cleaner'!$G$2:$G$10001,0)),"")</f>
        <v/>
      </c>
    </row>
    <row r="5150">
      <c r="A5150">
        <f>IFERROR(INDEX('Email Cleaner'!$B$2:$B$10001,MATCH(5149,'Email Cleaner'!$G$2:$G$10001,0)),"")</f>
        <v/>
      </c>
    </row>
    <row r="5151">
      <c r="A5151">
        <f>IFERROR(INDEX('Email Cleaner'!$B$2:$B$10001,MATCH(5150,'Email Cleaner'!$G$2:$G$10001,0)),"")</f>
        <v/>
      </c>
    </row>
    <row r="5152">
      <c r="A5152">
        <f>IFERROR(INDEX('Email Cleaner'!$B$2:$B$10001,MATCH(5151,'Email Cleaner'!$G$2:$G$10001,0)),"")</f>
        <v/>
      </c>
    </row>
    <row r="5153">
      <c r="A5153">
        <f>IFERROR(INDEX('Email Cleaner'!$B$2:$B$10001,MATCH(5152,'Email Cleaner'!$G$2:$G$10001,0)),"")</f>
        <v/>
      </c>
    </row>
    <row r="5154">
      <c r="A5154">
        <f>IFERROR(INDEX('Email Cleaner'!$B$2:$B$10001,MATCH(5153,'Email Cleaner'!$G$2:$G$10001,0)),"")</f>
        <v/>
      </c>
    </row>
    <row r="5155">
      <c r="A5155">
        <f>IFERROR(INDEX('Email Cleaner'!$B$2:$B$10001,MATCH(5154,'Email Cleaner'!$G$2:$G$10001,0)),"")</f>
        <v/>
      </c>
    </row>
    <row r="5156">
      <c r="A5156">
        <f>IFERROR(INDEX('Email Cleaner'!$B$2:$B$10001,MATCH(5155,'Email Cleaner'!$G$2:$G$10001,0)),"")</f>
        <v/>
      </c>
    </row>
    <row r="5157">
      <c r="A5157">
        <f>IFERROR(INDEX('Email Cleaner'!$B$2:$B$10001,MATCH(5156,'Email Cleaner'!$G$2:$G$10001,0)),"")</f>
        <v/>
      </c>
    </row>
    <row r="5158">
      <c r="A5158">
        <f>IFERROR(INDEX('Email Cleaner'!$B$2:$B$10001,MATCH(5157,'Email Cleaner'!$G$2:$G$10001,0)),"")</f>
        <v/>
      </c>
    </row>
    <row r="5159">
      <c r="A5159">
        <f>IFERROR(INDEX('Email Cleaner'!$B$2:$B$10001,MATCH(5158,'Email Cleaner'!$G$2:$G$10001,0)),"")</f>
        <v/>
      </c>
    </row>
    <row r="5160">
      <c r="A5160">
        <f>IFERROR(INDEX('Email Cleaner'!$B$2:$B$10001,MATCH(5159,'Email Cleaner'!$G$2:$G$10001,0)),"")</f>
        <v/>
      </c>
    </row>
    <row r="5161">
      <c r="A5161">
        <f>IFERROR(INDEX('Email Cleaner'!$B$2:$B$10001,MATCH(5160,'Email Cleaner'!$G$2:$G$10001,0)),"")</f>
        <v/>
      </c>
    </row>
    <row r="5162">
      <c r="A5162">
        <f>IFERROR(INDEX('Email Cleaner'!$B$2:$B$10001,MATCH(5161,'Email Cleaner'!$G$2:$G$10001,0)),"")</f>
        <v/>
      </c>
    </row>
    <row r="5163">
      <c r="A5163">
        <f>IFERROR(INDEX('Email Cleaner'!$B$2:$B$10001,MATCH(5162,'Email Cleaner'!$G$2:$G$10001,0)),"")</f>
        <v/>
      </c>
    </row>
    <row r="5164">
      <c r="A5164">
        <f>IFERROR(INDEX('Email Cleaner'!$B$2:$B$10001,MATCH(5163,'Email Cleaner'!$G$2:$G$10001,0)),"")</f>
        <v/>
      </c>
    </row>
    <row r="5165">
      <c r="A5165">
        <f>IFERROR(INDEX('Email Cleaner'!$B$2:$B$10001,MATCH(5164,'Email Cleaner'!$G$2:$G$10001,0)),"")</f>
        <v/>
      </c>
    </row>
    <row r="5166">
      <c r="A5166">
        <f>IFERROR(INDEX('Email Cleaner'!$B$2:$B$10001,MATCH(5165,'Email Cleaner'!$G$2:$G$10001,0)),"")</f>
        <v/>
      </c>
    </row>
    <row r="5167">
      <c r="A5167">
        <f>IFERROR(INDEX('Email Cleaner'!$B$2:$B$10001,MATCH(5166,'Email Cleaner'!$G$2:$G$10001,0)),"")</f>
        <v/>
      </c>
    </row>
    <row r="5168">
      <c r="A5168">
        <f>IFERROR(INDEX('Email Cleaner'!$B$2:$B$10001,MATCH(5167,'Email Cleaner'!$G$2:$G$10001,0)),"")</f>
        <v/>
      </c>
    </row>
    <row r="5169">
      <c r="A5169">
        <f>IFERROR(INDEX('Email Cleaner'!$B$2:$B$10001,MATCH(5168,'Email Cleaner'!$G$2:$G$10001,0)),"")</f>
        <v/>
      </c>
    </row>
    <row r="5170">
      <c r="A5170">
        <f>IFERROR(INDEX('Email Cleaner'!$B$2:$B$10001,MATCH(5169,'Email Cleaner'!$G$2:$G$10001,0)),"")</f>
        <v/>
      </c>
    </row>
    <row r="5171">
      <c r="A5171">
        <f>IFERROR(INDEX('Email Cleaner'!$B$2:$B$10001,MATCH(5170,'Email Cleaner'!$G$2:$G$10001,0)),"")</f>
        <v/>
      </c>
    </row>
    <row r="5172">
      <c r="A5172">
        <f>IFERROR(INDEX('Email Cleaner'!$B$2:$B$10001,MATCH(5171,'Email Cleaner'!$G$2:$G$10001,0)),"")</f>
        <v/>
      </c>
    </row>
    <row r="5173">
      <c r="A5173">
        <f>IFERROR(INDEX('Email Cleaner'!$B$2:$B$10001,MATCH(5172,'Email Cleaner'!$G$2:$G$10001,0)),"")</f>
        <v/>
      </c>
    </row>
    <row r="5174">
      <c r="A5174">
        <f>IFERROR(INDEX('Email Cleaner'!$B$2:$B$10001,MATCH(5173,'Email Cleaner'!$G$2:$G$10001,0)),"")</f>
        <v/>
      </c>
    </row>
    <row r="5175">
      <c r="A5175">
        <f>IFERROR(INDEX('Email Cleaner'!$B$2:$B$10001,MATCH(5174,'Email Cleaner'!$G$2:$G$10001,0)),"")</f>
        <v/>
      </c>
    </row>
    <row r="5176">
      <c r="A5176">
        <f>IFERROR(INDEX('Email Cleaner'!$B$2:$B$10001,MATCH(5175,'Email Cleaner'!$G$2:$G$10001,0)),"")</f>
        <v/>
      </c>
    </row>
    <row r="5177">
      <c r="A5177">
        <f>IFERROR(INDEX('Email Cleaner'!$B$2:$B$10001,MATCH(5176,'Email Cleaner'!$G$2:$G$10001,0)),"")</f>
        <v/>
      </c>
    </row>
    <row r="5178">
      <c r="A5178">
        <f>IFERROR(INDEX('Email Cleaner'!$B$2:$B$10001,MATCH(5177,'Email Cleaner'!$G$2:$G$10001,0)),"")</f>
        <v/>
      </c>
    </row>
    <row r="5179">
      <c r="A5179">
        <f>IFERROR(INDEX('Email Cleaner'!$B$2:$B$10001,MATCH(5178,'Email Cleaner'!$G$2:$G$10001,0)),"")</f>
        <v/>
      </c>
    </row>
    <row r="5180">
      <c r="A5180">
        <f>IFERROR(INDEX('Email Cleaner'!$B$2:$B$10001,MATCH(5179,'Email Cleaner'!$G$2:$G$10001,0)),"")</f>
        <v/>
      </c>
    </row>
    <row r="5181">
      <c r="A5181">
        <f>IFERROR(INDEX('Email Cleaner'!$B$2:$B$10001,MATCH(5180,'Email Cleaner'!$G$2:$G$10001,0)),"")</f>
        <v/>
      </c>
    </row>
    <row r="5182">
      <c r="A5182">
        <f>IFERROR(INDEX('Email Cleaner'!$B$2:$B$10001,MATCH(5181,'Email Cleaner'!$G$2:$G$10001,0)),"")</f>
        <v/>
      </c>
    </row>
    <row r="5183">
      <c r="A5183">
        <f>IFERROR(INDEX('Email Cleaner'!$B$2:$B$10001,MATCH(5182,'Email Cleaner'!$G$2:$G$10001,0)),"")</f>
        <v/>
      </c>
    </row>
    <row r="5184">
      <c r="A5184">
        <f>IFERROR(INDEX('Email Cleaner'!$B$2:$B$10001,MATCH(5183,'Email Cleaner'!$G$2:$G$10001,0)),"")</f>
        <v/>
      </c>
    </row>
    <row r="5185">
      <c r="A5185">
        <f>IFERROR(INDEX('Email Cleaner'!$B$2:$B$10001,MATCH(5184,'Email Cleaner'!$G$2:$G$10001,0)),"")</f>
        <v/>
      </c>
    </row>
    <row r="5186">
      <c r="A5186">
        <f>IFERROR(INDEX('Email Cleaner'!$B$2:$B$10001,MATCH(5185,'Email Cleaner'!$G$2:$G$10001,0)),"")</f>
        <v/>
      </c>
    </row>
    <row r="5187">
      <c r="A5187">
        <f>IFERROR(INDEX('Email Cleaner'!$B$2:$B$10001,MATCH(5186,'Email Cleaner'!$G$2:$G$10001,0)),"")</f>
        <v/>
      </c>
    </row>
    <row r="5188">
      <c r="A5188">
        <f>IFERROR(INDEX('Email Cleaner'!$B$2:$B$10001,MATCH(5187,'Email Cleaner'!$G$2:$G$10001,0)),"")</f>
        <v/>
      </c>
    </row>
    <row r="5189">
      <c r="A5189">
        <f>IFERROR(INDEX('Email Cleaner'!$B$2:$B$10001,MATCH(5188,'Email Cleaner'!$G$2:$G$10001,0)),"")</f>
        <v/>
      </c>
    </row>
    <row r="5190">
      <c r="A5190">
        <f>IFERROR(INDEX('Email Cleaner'!$B$2:$B$10001,MATCH(5189,'Email Cleaner'!$G$2:$G$10001,0)),"")</f>
        <v/>
      </c>
    </row>
    <row r="5191">
      <c r="A5191">
        <f>IFERROR(INDEX('Email Cleaner'!$B$2:$B$10001,MATCH(5190,'Email Cleaner'!$G$2:$G$10001,0)),"")</f>
        <v/>
      </c>
    </row>
    <row r="5192">
      <c r="A5192">
        <f>IFERROR(INDEX('Email Cleaner'!$B$2:$B$10001,MATCH(5191,'Email Cleaner'!$G$2:$G$10001,0)),"")</f>
        <v/>
      </c>
    </row>
    <row r="5193">
      <c r="A5193">
        <f>IFERROR(INDEX('Email Cleaner'!$B$2:$B$10001,MATCH(5192,'Email Cleaner'!$G$2:$G$10001,0)),"")</f>
        <v/>
      </c>
    </row>
    <row r="5194">
      <c r="A5194">
        <f>IFERROR(INDEX('Email Cleaner'!$B$2:$B$10001,MATCH(5193,'Email Cleaner'!$G$2:$G$10001,0)),"")</f>
        <v/>
      </c>
    </row>
    <row r="5195">
      <c r="A5195">
        <f>IFERROR(INDEX('Email Cleaner'!$B$2:$B$10001,MATCH(5194,'Email Cleaner'!$G$2:$G$10001,0)),"")</f>
        <v/>
      </c>
    </row>
    <row r="5196">
      <c r="A5196">
        <f>IFERROR(INDEX('Email Cleaner'!$B$2:$B$10001,MATCH(5195,'Email Cleaner'!$G$2:$G$10001,0)),"")</f>
        <v/>
      </c>
    </row>
    <row r="5197">
      <c r="A5197">
        <f>IFERROR(INDEX('Email Cleaner'!$B$2:$B$10001,MATCH(5196,'Email Cleaner'!$G$2:$G$10001,0)),"")</f>
        <v/>
      </c>
    </row>
    <row r="5198">
      <c r="A5198">
        <f>IFERROR(INDEX('Email Cleaner'!$B$2:$B$10001,MATCH(5197,'Email Cleaner'!$G$2:$G$10001,0)),"")</f>
        <v/>
      </c>
    </row>
    <row r="5199">
      <c r="A5199">
        <f>IFERROR(INDEX('Email Cleaner'!$B$2:$B$10001,MATCH(5198,'Email Cleaner'!$G$2:$G$10001,0)),"")</f>
        <v/>
      </c>
    </row>
    <row r="5200">
      <c r="A5200">
        <f>IFERROR(INDEX('Email Cleaner'!$B$2:$B$10001,MATCH(5199,'Email Cleaner'!$G$2:$G$10001,0)),"")</f>
        <v/>
      </c>
    </row>
    <row r="5201">
      <c r="A5201">
        <f>IFERROR(INDEX('Email Cleaner'!$B$2:$B$10001,MATCH(5200,'Email Cleaner'!$G$2:$G$10001,0)),"")</f>
        <v/>
      </c>
    </row>
    <row r="5202">
      <c r="A5202">
        <f>IFERROR(INDEX('Email Cleaner'!$B$2:$B$10001,MATCH(5201,'Email Cleaner'!$G$2:$G$10001,0)),"")</f>
        <v/>
      </c>
    </row>
    <row r="5203">
      <c r="A5203">
        <f>IFERROR(INDEX('Email Cleaner'!$B$2:$B$10001,MATCH(5202,'Email Cleaner'!$G$2:$G$10001,0)),"")</f>
        <v/>
      </c>
    </row>
    <row r="5204">
      <c r="A5204">
        <f>IFERROR(INDEX('Email Cleaner'!$B$2:$B$10001,MATCH(5203,'Email Cleaner'!$G$2:$G$10001,0)),"")</f>
        <v/>
      </c>
    </row>
    <row r="5205">
      <c r="A5205">
        <f>IFERROR(INDEX('Email Cleaner'!$B$2:$B$10001,MATCH(5204,'Email Cleaner'!$G$2:$G$10001,0)),"")</f>
        <v/>
      </c>
    </row>
    <row r="5206">
      <c r="A5206">
        <f>IFERROR(INDEX('Email Cleaner'!$B$2:$B$10001,MATCH(5205,'Email Cleaner'!$G$2:$G$10001,0)),"")</f>
        <v/>
      </c>
    </row>
    <row r="5207">
      <c r="A5207">
        <f>IFERROR(INDEX('Email Cleaner'!$B$2:$B$10001,MATCH(5206,'Email Cleaner'!$G$2:$G$10001,0)),"")</f>
        <v/>
      </c>
    </row>
    <row r="5208">
      <c r="A5208">
        <f>IFERROR(INDEX('Email Cleaner'!$B$2:$B$10001,MATCH(5207,'Email Cleaner'!$G$2:$G$10001,0)),"")</f>
        <v/>
      </c>
    </row>
    <row r="5209">
      <c r="A5209">
        <f>IFERROR(INDEX('Email Cleaner'!$B$2:$B$10001,MATCH(5208,'Email Cleaner'!$G$2:$G$10001,0)),"")</f>
        <v/>
      </c>
    </row>
    <row r="5210">
      <c r="A5210">
        <f>IFERROR(INDEX('Email Cleaner'!$B$2:$B$10001,MATCH(5209,'Email Cleaner'!$G$2:$G$10001,0)),"")</f>
        <v/>
      </c>
    </row>
    <row r="5211">
      <c r="A5211">
        <f>IFERROR(INDEX('Email Cleaner'!$B$2:$B$10001,MATCH(5210,'Email Cleaner'!$G$2:$G$10001,0)),"")</f>
        <v/>
      </c>
    </row>
    <row r="5212">
      <c r="A5212">
        <f>IFERROR(INDEX('Email Cleaner'!$B$2:$B$10001,MATCH(5211,'Email Cleaner'!$G$2:$G$10001,0)),"")</f>
        <v/>
      </c>
    </row>
    <row r="5213">
      <c r="A5213">
        <f>IFERROR(INDEX('Email Cleaner'!$B$2:$B$10001,MATCH(5212,'Email Cleaner'!$G$2:$G$10001,0)),"")</f>
        <v/>
      </c>
    </row>
    <row r="5214">
      <c r="A5214">
        <f>IFERROR(INDEX('Email Cleaner'!$B$2:$B$10001,MATCH(5213,'Email Cleaner'!$G$2:$G$10001,0)),"")</f>
        <v/>
      </c>
    </row>
    <row r="5215">
      <c r="A5215">
        <f>IFERROR(INDEX('Email Cleaner'!$B$2:$B$10001,MATCH(5214,'Email Cleaner'!$G$2:$G$10001,0)),"")</f>
        <v/>
      </c>
    </row>
    <row r="5216">
      <c r="A5216">
        <f>IFERROR(INDEX('Email Cleaner'!$B$2:$B$10001,MATCH(5215,'Email Cleaner'!$G$2:$G$10001,0)),"")</f>
        <v/>
      </c>
    </row>
    <row r="5217">
      <c r="A5217">
        <f>IFERROR(INDEX('Email Cleaner'!$B$2:$B$10001,MATCH(5216,'Email Cleaner'!$G$2:$G$10001,0)),"")</f>
        <v/>
      </c>
    </row>
    <row r="5218">
      <c r="A5218">
        <f>IFERROR(INDEX('Email Cleaner'!$B$2:$B$10001,MATCH(5217,'Email Cleaner'!$G$2:$G$10001,0)),"")</f>
        <v/>
      </c>
    </row>
    <row r="5219">
      <c r="A5219">
        <f>IFERROR(INDEX('Email Cleaner'!$B$2:$B$10001,MATCH(5218,'Email Cleaner'!$G$2:$G$10001,0)),"")</f>
        <v/>
      </c>
    </row>
    <row r="5220">
      <c r="A5220">
        <f>IFERROR(INDEX('Email Cleaner'!$B$2:$B$10001,MATCH(5219,'Email Cleaner'!$G$2:$G$10001,0)),"")</f>
        <v/>
      </c>
    </row>
    <row r="5221">
      <c r="A5221">
        <f>IFERROR(INDEX('Email Cleaner'!$B$2:$B$10001,MATCH(5220,'Email Cleaner'!$G$2:$G$10001,0)),"")</f>
        <v/>
      </c>
    </row>
    <row r="5222">
      <c r="A5222">
        <f>IFERROR(INDEX('Email Cleaner'!$B$2:$B$10001,MATCH(5221,'Email Cleaner'!$G$2:$G$10001,0)),"")</f>
        <v/>
      </c>
    </row>
    <row r="5223">
      <c r="A5223">
        <f>IFERROR(INDEX('Email Cleaner'!$B$2:$B$10001,MATCH(5222,'Email Cleaner'!$G$2:$G$10001,0)),"")</f>
        <v/>
      </c>
    </row>
    <row r="5224">
      <c r="A5224">
        <f>IFERROR(INDEX('Email Cleaner'!$B$2:$B$10001,MATCH(5223,'Email Cleaner'!$G$2:$G$10001,0)),"")</f>
        <v/>
      </c>
    </row>
    <row r="5225">
      <c r="A5225">
        <f>IFERROR(INDEX('Email Cleaner'!$B$2:$B$10001,MATCH(5224,'Email Cleaner'!$G$2:$G$10001,0)),"")</f>
        <v/>
      </c>
    </row>
    <row r="5226">
      <c r="A5226">
        <f>IFERROR(INDEX('Email Cleaner'!$B$2:$B$10001,MATCH(5225,'Email Cleaner'!$G$2:$G$10001,0)),"")</f>
        <v/>
      </c>
    </row>
    <row r="5227">
      <c r="A5227">
        <f>IFERROR(INDEX('Email Cleaner'!$B$2:$B$10001,MATCH(5226,'Email Cleaner'!$G$2:$G$10001,0)),"")</f>
        <v/>
      </c>
    </row>
    <row r="5228">
      <c r="A5228">
        <f>IFERROR(INDEX('Email Cleaner'!$B$2:$B$10001,MATCH(5227,'Email Cleaner'!$G$2:$G$10001,0)),"")</f>
        <v/>
      </c>
    </row>
    <row r="5229">
      <c r="A5229">
        <f>IFERROR(INDEX('Email Cleaner'!$B$2:$B$10001,MATCH(5228,'Email Cleaner'!$G$2:$G$10001,0)),"")</f>
        <v/>
      </c>
    </row>
    <row r="5230">
      <c r="A5230">
        <f>IFERROR(INDEX('Email Cleaner'!$B$2:$B$10001,MATCH(5229,'Email Cleaner'!$G$2:$G$10001,0)),"")</f>
        <v/>
      </c>
    </row>
    <row r="5231">
      <c r="A5231">
        <f>IFERROR(INDEX('Email Cleaner'!$B$2:$B$10001,MATCH(5230,'Email Cleaner'!$G$2:$G$10001,0)),"")</f>
        <v/>
      </c>
    </row>
    <row r="5232">
      <c r="A5232">
        <f>IFERROR(INDEX('Email Cleaner'!$B$2:$B$10001,MATCH(5231,'Email Cleaner'!$G$2:$G$10001,0)),"")</f>
        <v/>
      </c>
    </row>
    <row r="5233">
      <c r="A5233">
        <f>IFERROR(INDEX('Email Cleaner'!$B$2:$B$10001,MATCH(5232,'Email Cleaner'!$G$2:$G$10001,0)),"")</f>
        <v/>
      </c>
    </row>
    <row r="5234">
      <c r="A5234">
        <f>IFERROR(INDEX('Email Cleaner'!$B$2:$B$10001,MATCH(5233,'Email Cleaner'!$G$2:$G$10001,0)),"")</f>
        <v/>
      </c>
    </row>
    <row r="5235">
      <c r="A5235">
        <f>IFERROR(INDEX('Email Cleaner'!$B$2:$B$10001,MATCH(5234,'Email Cleaner'!$G$2:$G$10001,0)),"")</f>
        <v/>
      </c>
    </row>
    <row r="5236">
      <c r="A5236">
        <f>IFERROR(INDEX('Email Cleaner'!$B$2:$B$10001,MATCH(5235,'Email Cleaner'!$G$2:$G$10001,0)),"")</f>
        <v/>
      </c>
    </row>
    <row r="5237">
      <c r="A5237">
        <f>IFERROR(INDEX('Email Cleaner'!$B$2:$B$10001,MATCH(5236,'Email Cleaner'!$G$2:$G$10001,0)),"")</f>
        <v/>
      </c>
    </row>
    <row r="5238">
      <c r="A5238">
        <f>IFERROR(INDEX('Email Cleaner'!$B$2:$B$10001,MATCH(5237,'Email Cleaner'!$G$2:$G$10001,0)),"")</f>
        <v/>
      </c>
    </row>
    <row r="5239">
      <c r="A5239">
        <f>IFERROR(INDEX('Email Cleaner'!$B$2:$B$10001,MATCH(5238,'Email Cleaner'!$G$2:$G$10001,0)),"")</f>
        <v/>
      </c>
    </row>
    <row r="5240">
      <c r="A5240">
        <f>IFERROR(INDEX('Email Cleaner'!$B$2:$B$10001,MATCH(5239,'Email Cleaner'!$G$2:$G$10001,0)),"")</f>
        <v/>
      </c>
    </row>
    <row r="5241">
      <c r="A5241">
        <f>IFERROR(INDEX('Email Cleaner'!$B$2:$B$10001,MATCH(5240,'Email Cleaner'!$G$2:$G$10001,0)),"")</f>
        <v/>
      </c>
    </row>
    <row r="5242">
      <c r="A5242">
        <f>IFERROR(INDEX('Email Cleaner'!$B$2:$B$10001,MATCH(5241,'Email Cleaner'!$G$2:$G$10001,0)),"")</f>
        <v/>
      </c>
    </row>
    <row r="5243">
      <c r="A5243">
        <f>IFERROR(INDEX('Email Cleaner'!$B$2:$B$10001,MATCH(5242,'Email Cleaner'!$G$2:$G$10001,0)),"")</f>
        <v/>
      </c>
    </row>
    <row r="5244">
      <c r="A5244">
        <f>IFERROR(INDEX('Email Cleaner'!$B$2:$B$10001,MATCH(5243,'Email Cleaner'!$G$2:$G$10001,0)),"")</f>
        <v/>
      </c>
    </row>
    <row r="5245">
      <c r="A5245">
        <f>IFERROR(INDEX('Email Cleaner'!$B$2:$B$10001,MATCH(5244,'Email Cleaner'!$G$2:$G$10001,0)),"")</f>
        <v/>
      </c>
    </row>
    <row r="5246">
      <c r="A5246">
        <f>IFERROR(INDEX('Email Cleaner'!$B$2:$B$10001,MATCH(5245,'Email Cleaner'!$G$2:$G$10001,0)),"")</f>
        <v/>
      </c>
    </row>
    <row r="5247">
      <c r="A5247">
        <f>IFERROR(INDEX('Email Cleaner'!$B$2:$B$10001,MATCH(5246,'Email Cleaner'!$G$2:$G$10001,0)),"")</f>
        <v/>
      </c>
    </row>
    <row r="5248">
      <c r="A5248">
        <f>IFERROR(INDEX('Email Cleaner'!$B$2:$B$10001,MATCH(5247,'Email Cleaner'!$G$2:$G$10001,0)),"")</f>
        <v/>
      </c>
    </row>
    <row r="5249">
      <c r="A5249">
        <f>IFERROR(INDEX('Email Cleaner'!$B$2:$B$10001,MATCH(5248,'Email Cleaner'!$G$2:$G$10001,0)),"")</f>
        <v/>
      </c>
    </row>
    <row r="5250">
      <c r="A5250">
        <f>IFERROR(INDEX('Email Cleaner'!$B$2:$B$10001,MATCH(5249,'Email Cleaner'!$G$2:$G$10001,0)),"")</f>
        <v/>
      </c>
    </row>
    <row r="5251">
      <c r="A5251">
        <f>IFERROR(INDEX('Email Cleaner'!$B$2:$B$10001,MATCH(5250,'Email Cleaner'!$G$2:$G$10001,0)),"")</f>
        <v/>
      </c>
    </row>
    <row r="5252">
      <c r="A5252">
        <f>IFERROR(INDEX('Email Cleaner'!$B$2:$B$10001,MATCH(5251,'Email Cleaner'!$G$2:$G$10001,0)),"")</f>
        <v/>
      </c>
    </row>
    <row r="5253">
      <c r="A5253">
        <f>IFERROR(INDEX('Email Cleaner'!$B$2:$B$10001,MATCH(5252,'Email Cleaner'!$G$2:$G$10001,0)),"")</f>
        <v/>
      </c>
    </row>
    <row r="5254">
      <c r="A5254">
        <f>IFERROR(INDEX('Email Cleaner'!$B$2:$B$10001,MATCH(5253,'Email Cleaner'!$G$2:$G$10001,0)),"")</f>
        <v/>
      </c>
    </row>
    <row r="5255">
      <c r="A5255">
        <f>IFERROR(INDEX('Email Cleaner'!$B$2:$B$10001,MATCH(5254,'Email Cleaner'!$G$2:$G$10001,0)),"")</f>
        <v/>
      </c>
    </row>
    <row r="5256">
      <c r="A5256">
        <f>IFERROR(INDEX('Email Cleaner'!$B$2:$B$10001,MATCH(5255,'Email Cleaner'!$G$2:$G$10001,0)),"")</f>
        <v/>
      </c>
    </row>
    <row r="5257">
      <c r="A5257">
        <f>IFERROR(INDEX('Email Cleaner'!$B$2:$B$10001,MATCH(5256,'Email Cleaner'!$G$2:$G$10001,0)),"")</f>
        <v/>
      </c>
    </row>
    <row r="5258">
      <c r="A5258">
        <f>IFERROR(INDEX('Email Cleaner'!$B$2:$B$10001,MATCH(5257,'Email Cleaner'!$G$2:$G$10001,0)),"")</f>
        <v/>
      </c>
    </row>
    <row r="5259">
      <c r="A5259">
        <f>IFERROR(INDEX('Email Cleaner'!$B$2:$B$10001,MATCH(5258,'Email Cleaner'!$G$2:$G$10001,0)),"")</f>
        <v/>
      </c>
    </row>
    <row r="5260">
      <c r="A5260">
        <f>IFERROR(INDEX('Email Cleaner'!$B$2:$B$10001,MATCH(5259,'Email Cleaner'!$G$2:$G$10001,0)),"")</f>
        <v/>
      </c>
    </row>
    <row r="5261">
      <c r="A5261">
        <f>IFERROR(INDEX('Email Cleaner'!$B$2:$B$10001,MATCH(5260,'Email Cleaner'!$G$2:$G$10001,0)),"")</f>
        <v/>
      </c>
    </row>
    <row r="5262">
      <c r="A5262">
        <f>IFERROR(INDEX('Email Cleaner'!$B$2:$B$10001,MATCH(5261,'Email Cleaner'!$G$2:$G$10001,0)),"")</f>
        <v/>
      </c>
    </row>
    <row r="5263">
      <c r="A5263">
        <f>IFERROR(INDEX('Email Cleaner'!$B$2:$B$10001,MATCH(5262,'Email Cleaner'!$G$2:$G$10001,0)),"")</f>
        <v/>
      </c>
    </row>
    <row r="5264">
      <c r="A5264">
        <f>IFERROR(INDEX('Email Cleaner'!$B$2:$B$10001,MATCH(5263,'Email Cleaner'!$G$2:$G$10001,0)),"")</f>
        <v/>
      </c>
    </row>
    <row r="5265">
      <c r="A5265">
        <f>IFERROR(INDEX('Email Cleaner'!$B$2:$B$10001,MATCH(5264,'Email Cleaner'!$G$2:$G$10001,0)),"")</f>
        <v/>
      </c>
    </row>
    <row r="5266">
      <c r="A5266">
        <f>IFERROR(INDEX('Email Cleaner'!$B$2:$B$10001,MATCH(5265,'Email Cleaner'!$G$2:$G$10001,0)),"")</f>
        <v/>
      </c>
    </row>
    <row r="5267">
      <c r="A5267">
        <f>IFERROR(INDEX('Email Cleaner'!$B$2:$B$10001,MATCH(5266,'Email Cleaner'!$G$2:$G$10001,0)),"")</f>
        <v/>
      </c>
    </row>
    <row r="5268">
      <c r="A5268">
        <f>IFERROR(INDEX('Email Cleaner'!$B$2:$B$10001,MATCH(5267,'Email Cleaner'!$G$2:$G$10001,0)),"")</f>
        <v/>
      </c>
    </row>
    <row r="5269">
      <c r="A5269">
        <f>IFERROR(INDEX('Email Cleaner'!$B$2:$B$10001,MATCH(5268,'Email Cleaner'!$G$2:$G$10001,0)),"")</f>
        <v/>
      </c>
    </row>
    <row r="5270">
      <c r="A5270">
        <f>IFERROR(INDEX('Email Cleaner'!$B$2:$B$10001,MATCH(5269,'Email Cleaner'!$G$2:$G$10001,0)),"")</f>
        <v/>
      </c>
    </row>
    <row r="5271">
      <c r="A5271">
        <f>IFERROR(INDEX('Email Cleaner'!$B$2:$B$10001,MATCH(5270,'Email Cleaner'!$G$2:$G$10001,0)),"")</f>
        <v/>
      </c>
    </row>
    <row r="5272">
      <c r="A5272">
        <f>IFERROR(INDEX('Email Cleaner'!$B$2:$B$10001,MATCH(5271,'Email Cleaner'!$G$2:$G$10001,0)),"")</f>
        <v/>
      </c>
    </row>
    <row r="5273">
      <c r="A5273">
        <f>IFERROR(INDEX('Email Cleaner'!$B$2:$B$10001,MATCH(5272,'Email Cleaner'!$G$2:$G$10001,0)),"")</f>
        <v/>
      </c>
    </row>
    <row r="5274">
      <c r="A5274">
        <f>IFERROR(INDEX('Email Cleaner'!$B$2:$B$10001,MATCH(5273,'Email Cleaner'!$G$2:$G$10001,0)),"")</f>
        <v/>
      </c>
    </row>
    <row r="5275">
      <c r="A5275">
        <f>IFERROR(INDEX('Email Cleaner'!$B$2:$B$10001,MATCH(5274,'Email Cleaner'!$G$2:$G$10001,0)),"")</f>
        <v/>
      </c>
    </row>
    <row r="5276">
      <c r="A5276">
        <f>IFERROR(INDEX('Email Cleaner'!$B$2:$B$10001,MATCH(5275,'Email Cleaner'!$G$2:$G$10001,0)),"")</f>
        <v/>
      </c>
    </row>
    <row r="5277">
      <c r="A5277">
        <f>IFERROR(INDEX('Email Cleaner'!$B$2:$B$10001,MATCH(5276,'Email Cleaner'!$G$2:$G$10001,0)),"")</f>
        <v/>
      </c>
    </row>
    <row r="5278">
      <c r="A5278">
        <f>IFERROR(INDEX('Email Cleaner'!$B$2:$B$10001,MATCH(5277,'Email Cleaner'!$G$2:$G$10001,0)),"")</f>
        <v/>
      </c>
    </row>
    <row r="5279">
      <c r="A5279">
        <f>IFERROR(INDEX('Email Cleaner'!$B$2:$B$10001,MATCH(5278,'Email Cleaner'!$G$2:$G$10001,0)),"")</f>
        <v/>
      </c>
    </row>
    <row r="5280">
      <c r="A5280">
        <f>IFERROR(INDEX('Email Cleaner'!$B$2:$B$10001,MATCH(5279,'Email Cleaner'!$G$2:$G$10001,0)),"")</f>
        <v/>
      </c>
    </row>
    <row r="5281">
      <c r="A5281">
        <f>IFERROR(INDEX('Email Cleaner'!$B$2:$B$10001,MATCH(5280,'Email Cleaner'!$G$2:$G$10001,0)),"")</f>
        <v/>
      </c>
    </row>
    <row r="5282">
      <c r="A5282">
        <f>IFERROR(INDEX('Email Cleaner'!$B$2:$B$10001,MATCH(5281,'Email Cleaner'!$G$2:$G$10001,0)),"")</f>
        <v/>
      </c>
    </row>
    <row r="5283">
      <c r="A5283">
        <f>IFERROR(INDEX('Email Cleaner'!$B$2:$B$10001,MATCH(5282,'Email Cleaner'!$G$2:$G$10001,0)),"")</f>
        <v/>
      </c>
    </row>
    <row r="5284">
      <c r="A5284">
        <f>IFERROR(INDEX('Email Cleaner'!$B$2:$B$10001,MATCH(5283,'Email Cleaner'!$G$2:$G$10001,0)),"")</f>
        <v/>
      </c>
    </row>
    <row r="5285">
      <c r="A5285">
        <f>IFERROR(INDEX('Email Cleaner'!$B$2:$B$10001,MATCH(5284,'Email Cleaner'!$G$2:$G$10001,0)),"")</f>
        <v/>
      </c>
    </row>
    <row r="5286">
      <c r="A5286">
        <f>IFERROR(INDEX('Email Cleaner'!$B$2:$B$10001,MATCH(5285,'Email Cleaner'!$G$2:$G$10001,0)),"")</f>
        <v/>
      </c>
    </row>
    <row r="5287">
      <c r="A5287">
        <f>IFERROR(INDEX('Email Cleaner'!$B$2:$B$10001,MATCH(5286,'Email Cleaner'!$G$2:$G$10001,0)),"")</f>
        <v/>
      </c>
    </row>
    <row r="5288">
      <c r="A5288">
        <f>IFERROR(INDEX('Email Cleaner'!$B$2:$B$10001,MATCH(5287,'Email Cleaner'!$G$2:$G$10001,0)),"")</f>
        <v/>
      </c>
    </row>
    <row r="5289">
      <c r="A5289">
        <f>IFERROR(INDEX('Email Cleaner'!$B$2:$B$10001,MATCH(5288,'Email Cleaner'!$G$2:$G$10001,0)),"")</f>
        <v/>
      </c>
    </row>
    <row r="5290">
      <c r="A5290">
        <f>IFERROR(INDEX('Email Cleaner'!$B$2:$B$10001,MATCH(5289,'Email Cleaner'!$G$2:$G$10001,0)),"")</f>
        <v/>
      </c>
    </row>
    <row r="5291">
      <c r="A5291">
        <f>IFERROR(INDEX('Email Cleaner'!$B$2:$B$10001,MATCH(5290,'Email Cleaner'!$G$2:$G$10001,0)),"")</f>
        <v/>
      </c>
    </row>
    <row r="5292">
      <c r="A5292">
        <f>IFERROR(INDEX('Email Cleaner'!$B$2:$B$10001,MATCH(5291,'Email Cleaner'!$G$2:$G$10001,0)),"")</f>
        <v/>
      </c>
    </row>
    <row r="5293">
      <c r="A5293">
        <f>IFERROR(INDEX('Email Cleaner'!$B$2:$B$10001,MATCH(5292,'Email Cleaner'!$G$2:$G$10001,0)),"")</f>
        <v/>
      </c>
    </row>
    <row r="5294">
      <c r="A5294">
        <f>IFERROR(INDEX('Email Cleaner'!$B$2:$B$10001,MATCH(5293,'Email Cleaner'!$G$2:$G$10001,0)),"")</f>
        <v/>
      </c>
    </row>
    <row r="5295">
      <c r="A5295">
        <f>IFERROR(INDEX('Email Cleaner'!$B$2:$B$10001,MATCH(5294,'Email Cleaner'!$G$2:$G$10001,0)),"")</f>
        <v/>
      </c>
    </row>
    <row r="5296">
      <c r="A5296">
        <f>IFERROR(INDEX('Email Cleaner'!$B$2:$B$10001,MATCH(5295,'Email Cleaner'!$G$2:$G$10001,0)),"")</f>
        <v/>
      </c>
    </row>
    <row r="5297">
      <c r="A5297">
        <f>IFERROR(INDEX('Email Cleaner'!$B$2:$B$10001,MATCH(5296,'Email Cleaner'!$G$2:$G$10001,0)),"")</f>
        <v/>
      </c>
    </row>
    <row r="5298">
      <c r="A5298">
        <f>IFERROR(INDEX('Email Cleaner'!$B$2:$B$10001,MATCH(5297,'Email Cleaner'!$G$2:$G$10001,0)),"")</f>
        <v/>
      </c>
    </row>
    <row r="5299">
      <c r="A5299">
        <f>IFERROR(INDEX('Email Cleaner'!$B$2:$B$10001,MATCH(5298,'Email Cleaner'!$G$2:$G$10001,0)),"")</f>
        <v/>
      </c>
    </row>
    <row r="5300">
      <c r="A5300">
        <f>IFERROR(INDEX('Email Cleaner'!$B$2:$B$10001,MATCH(5299,'Email Cleaner'!$G$2:$G$10001,0)),"")</f>
        <v/>
      </c>
    </row>
    <row r="5301">
      <c r="A5301">
        <f>IFERROR(INDEX('Email Cleaner'!$B$2:$B$10001,MATCH(5300,'Email Cleaner'!$G$2:$G$10001,0)),"")</f>
        <v/>
      </c>
    </row>
    <row r="5302">
      <c r="A5302">
        <f>IFERROR(INDEX('Email Cleaner'!$B$2:$B$10001,MATCH(5301,'Email Cleaner'!$G$2:$G$10001,0)),"")</f>
        <v/>
      </c>
    </row>
    <row r="5303">
      <c r="A5303">
        <f>IFERROR(INDEX('Email Cleaner'!$B$2:$B$10001,MATCH(5302,'Email Cleaner'!$G$2:$G$10001,0)),"")</f>
        <v/>
      </c>
    </row>
    <row r="5304">
      <c r="A5304">
        <f>IFERROR(INDEX('Email Cleaner'!$B$2:$B$10001,MATCH(5303,'Email Cleaner'!$G$2:$G$10001,0)),"")</f>
        <v/>
      </c>
    </row>
    <row r="5305">
      <c r="A5305">
        <f>IFERROR(INDEX('Email Cleaner'!$B$2:$B$10001,MATCH(5304,'Email Cleaner'!$G$2:$G$10001,0)),"")</f>
        <v/>
      </c>
    </row>
    <row r="5306">
      <c r="A5306">
        <f>IFERROR(INDEX('Email Cleaner'!$B$2:$B$10001,MATCH(5305,'Email Cleaner'!$G$2:$G$10001,0)),"")</f>
        <v/>
      </c>
    </row>
    <row r="5307">
      <c r="A5307">
        <f>IFERROR(INDEX('Email Cleaner'!$B$2:$B$10001,MATCH(5306,'Email Cleaner'!$G$2:$G$10001,0)),"")</f>
        <v/>
      </c>
    </row>
    <row r="5308">
      <c r="A5308">
        <f>IFERROR(INDEX('Email Cleaner'!$B$2:$B$10001,MATCH(5307,'Email Cleaner'!$G$2:$G$10001,0)),"")</f>
        <v/>
      </c>
    </row>
    <row r="5309">
      <c r="A5309">
        <f>IFERROR(INDEX('Email Cleaner'!$B$2:$B$10001,MATCH(5308,'Email Cleaner'!$G$2:$G$10001,0)),"")</f>
        <v/>
      </c>
    </row>
    <row r="5310">
      <c r="A5310">
        <f>IFERROR(INDEX('Email Cleaner'!$B$2:$B$10001,MATCH(5309,'Email Cleaner'!$G$2:$G$10001,0)),"")</f>
        <v/>
      </c>
    </row>
    <row r="5311">
      <c r="A5311">
        <f>IFERROR(INDEX('Email Cleaner'!$B$2:$B$10001,MATCH(5310,'Email Cleaner'!$G$2:$G$10001,0)),"")</f>
        <v/>
      </c>
    </row>
    <row r="5312">
      <c r="A5312">
        <f>IFERROR(INDEX('Email Cleaner'!$B$2:$B$10001,MATCH(5311,'Email Cleaner'!$G$2:$G$10001,0)),"")</f>
        <v/>
      </c>
    </row>
    <row r="5313">
      <c r="A5313">
        <f>IFERROR(INDEX('Email Cleaner'!$B$2:$B$10001,MATCH(5312,'Email Cleaner'!$G$2:$G$10001,0)),"")</f>
        <v/>
      </c>
    </row>
    <row r="5314">
      <c r="A5314">
        <f>IFERROR(INDEX('Email Cleaner'!$B$2:$B$10001,MATCH(5313,'Email Cleaner'!$G$2:$G$10001,0)),"")</f>
        <v/>
      </c>
    </row>
    <row r="5315">
      <c r="A5315">
        <f>IFERROR(INDEX('Email Cleaner'!$B$2:$B$10001,MATCH(5314,'Email Cleaner'!$G$2:$G$10001,0)),"")</f>
        <v/>
      </c>
    </row>
    <row r="5316">
      <c r="A5316">
        <f>IFERROR(INDEX('Email Cleaner'!$B$2:$B$10001,MATCH(5315,'Email Cleaner'!$G$2:$G$10001,0)),"")</f>
        <v/>
      </c>
    </row>
    <row r="5317">
      <c r="A5317">
        <f>IFERROR(INDEX('Email Cleaner'!$B$2:$B$10001,MATCH(5316,'Email Cleaner'!$G$2:$G$10001,0)),"")</f>
        <v/>
      </c>
    </row>
    <row r="5318">
      <c r="A5318">
        <f>IFERROR(INDEX('Email Cleaner'!$B$2:$B$10001,MATCH(5317,'Email Cleaner'!$G$2:$G$10001,0)),"")</f>
        <v/>
      </c>
    </row>
    <row r="5319">
      <c r="A5319">
        <f>IFERROR(INDEX('Email Cleaner'!$B$2:$B$10001,MATCH(5318,'Email Cleaner'!$G$2:$G$10001,0)),"")</f>
        <v/>
      </c>
    </row>
    <row r="5320">
      <c r="A5320">
        <f>IFERROR(INDEX('Email Cleaner'!$B$2:$B$10001,MATCH(5319,'Email Cleaner'!$G$2:$G$10001,0)),"")</f>
        <v/>
      </c>
    </row>
    <row r="5321">
      <c r="A5321">
        <f>IFERROR(INDEX('Email Cleaner'!$B$2:$B$10001,MATCH(5320,'Email Cleaner'!$G$2:$G$10001,0)),"")</f>
        <v/>
      </c>
    </row>
    <row r="5322">
      <c r="A5322">
        <f>IFERROR(INDEX('Email Cleaner'!$B$2:$B$10001,MATCH(5321,'Email Cleaner'!$G$2:$G$10001,0)),"")</f>
        <v/>
      </c>
    </row>
    <row r="5323">
      <c r="A5323">
        <f>IFERROR(INDEX('Email Cleaner'!$B$2:$B$10001,MATCH(5322,'Email Cleaner'!$G$2:$G$10001,0)),"")</f>
        <v/>
      </c>
    </row>
    <row r="5324">
      <c r="A5324">
        <f>IFERROR(INDEX('Email Cleaner'!$B$2:$B$10001,MATCH(5323,'Email Cleaner'!$G$2:$G$10001,0)),"")</f>
        <v/>
      </c>
    </row>
    <row r="5325">
      <c r="A5325">
        <f>IFERROR(INDEX('Email Cleaner'!$B$2:$B$10001,MATCH(5324,'Email Cleaner'!$G$2:$G$10001,0)),"")</f>
        <v/>
      </c>
    </row>
    <row r="5326">
      <c r="A5326">
        <f>IFERROR(INDEX('Email Cleaner'!$B$2:$B$10001,MATCH(5325,'Email Cleaner'!$G$2:$G$10001,0)),"")</f>
        <v/>
      </c>
    </row>
    <row r="5327">
      <c r="A5327">
        <f>IFERROR(INDEX('Email Cleaner'!$B$2:$B$10001,MATCH(5326,'Email Cleaner'!$G$2:$G$10001,0)),"")</f>
        <v/>
      </c>
    </row>
    <row r="5328">
      <c r="A5328">
        <f>IFERROR(INDEX('Email Cleaner'!$B$2:$B$10001,MATCH(5327,'Email Cleaner'!$G$2:$G$10001,0)),"")</f>
        <v/>
      </c>
    </row>
    <row r="5329">
      <c r="A5329">
        <f>IFERROR(INDEX('Email Cleaner'!$B$2:$B$10001,MATCH(5328,'Email Cleaner'!$G$2:$G$10001,0)),"")</f>
        <v/>
      </c>
    </row>
    <row r="5330">
      <c r="A5330">
        <f>IFERROR(INDEX('Email Cleaner'!$B$2:$B$10001,MATCH(5329,'Email Cleaner'!$G$2:$G$10001,0)),"")</f>
        <v/>
      </c>
    </row>
    <row r="5331">
      <c r="A5331">
        <f>IFERROR(INDEX('Email Cleaner'!$B$2:$B$10001,MATCH(5330,'Email Cleaner'!$G$2:$G$10001,0)),"")</f>
        <v/>
      </c>
    </row>
    <row r="5332">
      <c r="A5332">
        <f>IFERROR(INDEX('Email Cleaner'!$B$2:$B$10001,MATCH(5331,'Email Cleaner'!$G$2:$G$10001,0)),"")</f>
        <v/>
      </c>
    </row>
    <row r="5333">
      <c r="A5333">
        <f>IFERROR(INDEX('Email Cleaner'!$B$2:$B$10001,MATCH(5332,'Email Cleaner'!$G$2:$G$10001,0)),"")</f>
        <v/>
      </c>
    </row>
    <row r="5334">
      <c r="A5334">
        <f>IFERROR(INDEX('Email Cleaner'!$B$2:$B$10001,MATCH(5333,'Email Cleaner'!$G$2:$G$10001,0)),"")</f>
        <v/>
      </c>
    </row>
    <row r="5335">
      <c r="A5335">
        <f>IFERROR(INDEX('Email Cleaner'!$B$2:$B$10001,MATCH(5334,'Email Cleaner'!$G$2:$G$10001,0)),"")</f>
        <v/>
      </c>
    </row>
    <row r="5336">
      <c r="A5336">
        <f>IFERROR(INDEX('Email Cleaner'!$B$2:$B$10001,MATCH(5335,'Email Cleaner'!$G$2:$G$10001,0)),"")</f>
        <v/>
      </c>
    </row>
    <row r="5337">
      <c r="A5337">
        <f>IFERROR(INDEX('Email Cleaner'!$B$2:$B$10001,MATCH(5336,'Email Cleaner'!$G$2:$G$10001,0)),"")</f>
        <v/>
      </c>
    </row>
    <row r="5338">
      <c r="A5338">
        <f>IFERROR(INDEX('Email Cleaner'!$B$2:$B$10001,MATCH(5337,'Email Cleaner'!$G$2:$G$10001,0)),"")</f>
        <v/>
      </c>
    </row>
    <row r="5339">
      <c r="A5339">
        <f>IFERROR(INDEX('Email Cleaner'!$B$2:$B$10001,MATCH(5338,'Email Cleaner'!$G$2:$G$10001,0)),"")</f>
        <v/>
      </c>
    </row>
    <row r="5340">
      <c r="A5340">
        <f>IFERROR(INDEX('Email Cleaner'!$B$2:$B$10001,MATCH(5339,'Email Cleaner'!$G$2:$G$10001,0)),"")</f>
        <v/>
      </c>
    </row>
    <row r="5341">
      <c r="A5341">
        <f>IFERROR(INDEX('Email Cleaner'!$B$2:$B$10001,MATCH(5340,'Email Cleaner'!$G$2:$G$10001,0)),"")</f>
        <v/>
      </c>
    </row>
    <row r="5342">
      <c r="A5342">
        <f>IFERROR(INDEX('Email Cleaner'!$B$2:$B$10001,MATCH(5341,'Email Cleaner'!$G$2:$G$10001,0)),"")</f>
        <v/>
      </c>
    </row>
    <row r="5343">
      <c r="A5343">
        <f>IFERROR(INDEX('Email Cleaner'!$B$2:$B$10001,MATCH(5342,'Email Cleaner'!$G$2:$G$10001,0)),"")</f>
        <v/>
      </c>
    </row>
    <row r="5344">
      <c r="A5344">
        <f>IFERROR(INDEX('Email Cleaner'!$B$2:$B$10001,MATCH(5343,'Email Cleaner'!$G$2:$G$10001,0)),"")</f>
        <v/>
      </c>
    </row>
    <row r="5345">
      <c r="A5345">
        <f>IFERROR(INDEX('Email Cleaner'!$B$2:$B$10001,MATCH(5344,'Email Cleaner'!$G$2:$G$10001,0)),"")</f>
        <v/>
      </c>
    </row>
    <row r="5346">
      <c r="A5346">
        <f>IFERROR(INDEX('Email Cleaner'!$B$2:$B$10001,MATCH(5345,'Email Cleaner'!$G$2:$G$10001,0)),"")</f>
        <v/>
      </c>
    </row>
    <row r="5347">
      <c r="A5347">
        <f>IFERROR(INDEX('Email Cleaner'!$B$2:$B$10001,MATCH(5346,'Email Cleaner'!$G$2:$G$10001,0)),"")</f>
        <v/>
      </c>
    </row>
    <row r="5348">
      <c r="A5348">
        <f>IFERROR(INDEX('Email Cleaner'!$B$2:$B$10001,MATCH(5347,'Email Cleaner'!$G$2:$G$10001,0)),"")</f>
        <v/>
      </c>
    </row>
    <row r="5349">
      <c r="A5349">
        <f>IFERROR(INDEX('Email Cleaner'!$B$2:$B$10001,MATCH(5348,'Email Cleaner'!$G$2:$G$10001,0)),"")</f>
        <v/>
      </c>
    </row>
    <row r="5350">
      <c r="A5350">
        <f>IFERROR(INDEX('Email Cleaner'!$B$2:$B$10001,MATCH(5349,'Email Cleaner'!$G$2:$G$10001,0)),"")</f>
        <v/>
      </c>
    </row>
    <row r="5351">
      <c r="A5351">
        <f>IFERROR(INDEX('Email Cleaner'!$B$2:$B$10001,MATCH(5350,'Email Cleaner'!$G$2:$G$10001,0)),"")</f>
        <v/>
      </c>
    </row>
    <row r="5352">
      <c r="A5352">
        <f>IFERROR(INDEX('Email Cleaner'!$B$2:$B$10001,MATCH(5351,'Email Cleaner'!$G$2:$G$10001,0)),"")</f>
        <v/>
      </c>
    </row>
    <row r="5353">
      <c r="A5353">
        <f>IFERROR(INDEX('Email Cleaner'!$B$2:$B$10001,MATCH(5352,'Email Cleaner'!$G$2:$G$10001,0)),"")</f>
        <v/>
      </c>
    </row>
    <row r="5354">
      <c r="A5354">
        <f>IFERROR(INDEX('Email Cleaner'!$B$2:$B$10001,MATCH(5353,'Email Cleaner'!$G$2:$G$10001,0)),"")</f>
        <v/>
      </c>
    </row>
    <row r="5355">
      <c r="A5355">
        <f>IFERROR(INDEX('Email Cleaner'!$B$2:$B$10001,MATCH(5354,'Email Cleaner'!$G$2:$G$10001,0)),"")</f>
        <v/>
      </c>
    </row>
    <row r="5356">
      <c r="A5356">
        <f>IFERROR(INDEX('Email Cleaner'!$B$2:$B$10001,MATCH(5355,'Email Cleaner'!$G$2:$G$10001,0)),"")</f>
        <v/>
      </c>
    </row>
    <row r="5357">
      <c r="A5357">
        <f>IFERROR(INDEX('Email Cleaner'!$B$2:$B$10001,MATCH(5356,'Email Cleaner'!$G$2:$G$10001,0)),"")</f>
        <v/>
      </c>
    </row>
    <row r="5358">
      <c r="A5358">
        <f>IFERROR(INDEX('Email Cleaner'!$B$2:$B$10001,MATCH(5357,'Email Cleaner'!$G$2:$G$10001,0)),"")</f>
        <v/>
      </c>
    </row>
    <row r="5359">
      <c r="A5359">
        <f>IFERROR(INDEX('Email Cleaner'!$B$2:$B$10001,MATCH(5358,'Email Cleaner'!$G$2:$G$10001,0)),"")</f>
        <v/>
      </c>
    </row>
    <row r="5360">
      <c r="A5360">
        <f>IFERROR(INDEX('Email Cleaner'!$B$2:$B$10001,MATCH(5359,'Email Cleaner'!$G$2:$G$10001,0)),"")</f>
        <v/>
      </c>
    </row>
    <row r="5361">
      <c r="A5361">
        <f>IFERROR(INDEX('Email Cleaner'!$B$2:$B$10001,MATCH(5360,'Email Cleaner'!$G$2:$G$10001,0)),"")</f>
        <v/>
      </c>
    </row>
    <row r="5362">
      <c r="A5362">
        <f>IFERROR(INDEX('Email Cleaner'!$B$2:$B$10001,MATCH(5361,'Email Cleaner'!$G$2:$G$10001,0)),"")</f>
        <v/>
      </c>
    </row>
    <row r="5363">
      <c r="A5363">
        <f>IFERROR(INDEX('Email Cleaner'!$B$2:$B$10001,MATCH(5362,'Email Cleaner'!$G$2:$G$10001,0)),"")</f>
        <v/>
      </c>
    </row>
    <row r="5364">
      <c r="A5364">
        <f>IFERROR(INDEX('Email Cleaner'!$B$2:$B$10001,MATCH(5363,'Email Cleaner'!$G$2:$G$10001,0)),"")</f>
        <v/>
      </c>
    </row>
    <row r="5365">
      <c r="A5365">
        <f>IFERROR(INDEX('Email Cleaner'!$B$2:$B$10001,MATCH(5364,'Email Cleaner'!$G$2:$G$10001,0)),"")</f>
        <v/>
      </c>
    </row>
    <row r="5366">
      <c r="A5366">
        <f>IFERROR(INDEX('Email Cleaner'!$B$2:$B$10001,MATCH(5365,'Email Cleaner'!$G$2:$G$10001,0)),"")</f>
        <v/>
      </c>
    </row>
    <row r="5367">
      <c r="A5367">
        <f>IFERROR(INDEX('Email Cleaner'!$B$2:$B$10001,MATCH(5366,'Email Cleaner'!$G$2:$G$10001,0)),"")</f>
        <v/>
      </c>
    </row>
    <row r="5368">
      <c r="A5368">
        <f>IFERROR(INDEX('Email Cleaner'!$B$2:$B$10001,MATCH(5367,'Email Cleaner'!$G$2:$G$10001,0)),"")</f>
        <v/>
      </c>
    </row>
    <row r="5369">
      <c r="A5369">
        <f>IFERROR(INDEX('Email Cleaner'!$B$2:$B$10001,MATCH(5368,'Email Cleaner'!$G$2:$G$10001,0)),"")</f>
        <v/>
      </c>
    </row>
    <row r="5370">
      <c r="A5370">
        <f>IFERROR(INDEX('Email Cleaner'!$B$2:$B$10001,MATCH(5369,'Email Cleaner'!$G$2:$G$10001,0)),"")</f>
        <v/>
      </c>
    </row>
    <row r="5371">
      <c r="A5371">
        <f>IFERROR(INDEX('Email Cleaner'!$B$2:$B$10001,MATCH(5370,'Email Cleaner'!$G$2:$G$10001,0)),"")</f>
        <v/>
      </c>
    </row>
    <row r="5372">
      <c r="A5372">
        <f>IFERROR(INDEX('Email Cleaner'!$B$2:$B$10001,MATCH(5371,'Email Cleaner'!$G$2:$G$10001,0)),"")</f>
        <v/>
      </c>
    </row>
    <row r="5373">
      <c r="A5373">
        <f>IFERROR(INDEX('Email Cleaner'!$B$2:$B$10001,MATCH(5372,'Email Cleaner'!$G$2:$G$10001,0)),"")</f>
        <v/>
      </c>
    </row>
    <row r="5374">
      <c r="A5374">
        <f>IFERROR(INDEX('Email Cleaner'!$B$2:$B$10001,MATCH(5373,'Email Cleaner'!$G$2:$G$10001,0)),"")</f>
        <v/>
      </c>
    </row>
    <row r="5375">
      <c r="A5375">
        <f>IFERROR(INDEX('Email Cleaner'!$B$2:$B$10001,MATCH(5374,'Email Cleaner'!$G$2:$G$10001,0)),"")</f>
        <v/>
      </c>
    </row>
    <row r="5376">
      <c r="A5376">
        <f>IFERROR(INDEX('Email Cleaner'!$B$2:$B$10001,MATCH(5375,'Email Cleaner'!$G$2:$G$10001,0)),"")</f>
        <v/>
      </c>
    </row>
    <row r="5377">
      <c r="A5377">
        <f>IFERROR(INDEX('Email Cleaner'!$B$2:$B$10001,MATCH(5376,'Email Cleaner'!$G$2:$G$10001,0)),"")</f>
        <v/>
      </c>
    </row>
    <row r="5378">
      <c r="A5378">
        <f>IFERROR(INDEX('Email Cleaner'!$B$2:$B$10001,MATCH(5377,'Email Cleaner'!$G$2:$G$10001,0)),"")</f>
        <v/>
      </c>
    </row>
    <row r="5379">
      <c r="A5379">
        <f>IFERROR(INDEX('Email Cleaner'!$B$2:$B$10001,MATCH(5378,'Email Cleaner'!$G$2:$G$10001,0)),"")</f>
        <v/>
      </c>
    </row>
    <row r="5380">
      <c r="A5380">
        <f>IFERROR(INDEX('Email Cleaner'!$B$2:$B$10001,MATCH(5379,'Email Cleaner'!$G$2:$G$10001,0)),"")</f>
        <v/>
      </c>
    </row>
    <row r="5381">
      <c r="A5381">
        <f>IFERROR(INDEX('Email Cleaner'!$B$2:$B$10001,MATCH(5380,'Email Cleaner'!$G$2:$G$10001,0)),"")</f>
        <v/>
      </c>
    </row>
    <row r="5382">
      <c r="A5382">
        <f>IFERROR(INDEX('Email Cleaner'!$B$2:$B$10001,MATCH(5381,'Email Cleaner'!$G$2:$G$10001,0)),"")</f>
        <v/>
      </c>
    </row>
    <row r="5383">
      <c r="A5383">
        <f>IFERROR(INDEX('Email Cleaner'!$B$2:$B$10001,MATCH(5382,'Email Cleaner'!$G$2:$G$10001,0)),"")</f>
        <v/>
      </c>
    </row>
    <row r="5384">
      <c r="A5384">
        <f>IFERROR(INDEX('Email Cleaner'!$B$2:$B$10001,MATCH(5383,'Email Cleaner'!$G$2:$G$10001,0)),"")</f>
        <v/>
      </c>
    </row>
    <row r="5385">
      <c r="A5385">
        <f>IFERROR(INDEX('Email Cleaner'!$B$2:$B$10001,MATCH(5384,'Email Cleaner'!$G$2:$G$10001,0)),"")</f>
        <v/>
      </c>
    </row>
    <row r="5386">
      <c r="A5386">
        <f>IFERROR(INDEX('Email Cleaner'!$B$2:$B$10001,MATCH(5385,'Email Cleaner'!$G$2:$G$10001,0)),"")</f>
        <v/>
      </c>
    </row>
    <row r="5387">
      <c r="A5387">
        <f>IFERROR(INDEX('Email Cleaner'!$B$2:$B$10001,MATCH(5386,'Email Cleaner'!$G$2:$G$10001,0)),"")</f>
        <v/>
      </c>
    </row>
    <row r="5388">
      <c r="A5388">
        <f>IFERROR(INDEX('Email Cleaner'!$B$2:$B$10001,MATCH(5387,'Email Cleaner'!$G$2:$G$10001,0)),"")</f>
        <v/>
      </c>
    </row>
    <row r="5389">
      <c r="A5389">
        <f>IFERROR(INDEX('Email Cleaner'!$B$2:$B$10001,MATCH(5388,'Email Cleaner'!$G$2:$G$10001,0)),"")</f>
        <v/>
      </c>
    </row>
    <row r="5390">
      <c r="A5390">
        <f>IFERROR(INDEX('Email Cleaner'!$B$2:$B$10001,MATCH(5389,'Email Cleaner'!$G$2:$G$10001,0)),"")</f>
        <v/>
      </c>
    </row>
    <row r="5391">
      <c r="A5391">
        <f>IFERROR(INDEX('Email Cleaner'!$B$2:$B$10001,MATCH(5390,'Email Cleaner'!$G$2:$G$10001,0)),"")</f>
        <v/>
      </c>
    </row>
    <row r="5392">
      <c r="A5392">
        <f>IFERROR(INDEX('Email Cleaner'!$B$2:$B$10001,MATCH(5391,'Email Cleaner'!$G$2:$G$10001,0)),"")</f>
        <v/>
      </c>
    </row>
    <row r="5393">
      <c r="A5393">
        <f>IFERROR(INDEX('Email Cleaner'!$B$2:$B$10001,MATCH(5392,'Email Cleaner'!$G$2:$G$10001,0)),"")</f>
        <v/>
      </c>
    </row>
    <row r="5394">
      <c r="A5394">
        <f>IFERROR(INDEX('Email Cleaner'!$B$2:$B$10001,MATCH(5393,'Email Cleaner'!$G$2:$G$10001,0)),"")</f>
        <v/>
      </c>
    </row>
    <row r="5395">
      <c r="A5395">
        <f>IFERROR(INDEX('Email Cleaner'!$B$2:$B$10001,MATCH(5394,'Email Cleaner'!$G$2:$G$10001,0)),"")</f>
        <v/>
      </c>
    </row>
    <row r="5396">
      <c r="A5396">
        <f>IFERROR(INDEX('Email Cleaner'!$B$2:$B$10001,MATCH(5395,'Email Cleaner'!$G$2:$G$10001,0)),"")</f>
        <v/>
      </c>
    </row>
    <row r="5397">
      <c r="A5397">
        <f>IFERROR(INDEX('Email Cleaner'!$B$2:$B$10001,MATCH(5396,'Email Cleaner'!$G$2:$G$10001,0)),"")</f>
        <v/>
      </c>
    </row>
    <row r="5398">
      <c r="A5398">
        <f>IFERROR(INDEX('Email Cleaner'!$B$2:$B$10001,MATCH(5397,'Email Cleaner'!$G$2:$G$10001,0)),"")</f>
        <v/>
      </c>
    </row>
    <row r="5399">
      <c r="A5399">
        <f>IFERROR(INDEX('Email Cleaner'!$B$2:$B$10001,MATCH(5398,'Email Cleaner'!$G$2:$G$10001,0)),"")</f>
        <v/>
      </c>
    </row>
    <row r="5400">
      <c r="A5400">
        <f>IFERROR(INDEX('Email Cleaner'!$B$2:$B$10001,MATCH(5399,'Email Cleaner'!$G$2:$G$10001,0)),"")</f>
        <v/>
      </c>
    </row>
    <row r="5401">
      <c r="A5401">
        <f>IFERROR(INDEX('Email Cleaner'!$B$2:$B$10001,MATCH(5400,'Email Cleaner'!$G$2:$G$10001,0)),"")</f>
        <v/>
      </c>
    </row>
    <row r="5402">
      <c r="A5402">
        <f>IFERROR(INDEX('Email Cleaner'!$B$2:$B$10001,MATCH(5401,'Email Cleaner'!$G$2:$G$10001,0)),"")</f>
        <v/>
      </c>
    </row>
    <row r="5403">
      <c r="A5403">
        <f>IFERROR(INDEX('Email Cleaner'!$B$2:$B$10001,MATCH(5402,'Email Cleaner'!$G$2:$G$10001,0)),"")</f>
        <v/>
      </c>
    </row>
    <row r="5404">
      <c r="A5404">
        <f>IFERROR(INDEX('Email Cleaner'!$B$2:$B$10001,MATCH(5403,'Email Cleaner'!$G$2:$G$10001,0)),"")</f>
        <v/>
      </c>
    </row>
    <row r="5405">
      <c r="A5405">
        <f>IFERROR(INDEX('Email Cleaner'!$B$2:$B$10001,MATCH(5404,'Email Cleaner'!$G$2:$G$10001,0)),"")</f>
        <v/>
      </c>
    </row>
    <row r="5406">
      <c r="A5406">
        <f>IFERROR(INDEX('Email Cleaner'!$B$2:$B$10001,MATCH(5405,'Email Cleaner'!$G$2:$G$10001,0)),"")</f>
        <v/>
      </c>
    </row>
    <row r="5407">
      <c r="A5407">
        <f>IFERROR(INDEX('Email Cleaner'!$B$2:$B$10001,MATCH(5406,'Email Cleaner'!$G$2:$G$10001,0)),"")</f>
        <v/>
      </c>
    </row>
    <row r="5408">
      <c r="A5408">
        <f>IFERROR(INDEX('Email Cleaner'!$B$2:$B$10001,MATCH(5407,'Email Cleaner'!$G$2:$G$10001,0)),"")</f>
        <v/>
      </c>
    </row>
    <row r="5409">
      <c r="A5409">
        <f>IFERROR(INDEX('Email Cleaner'!$B$2:$B$10001,MATCH(5408,'Email Cleaner'!$G$2:$G$10001,0)),"")</f>
        <v/>
      </c>
    </row>
    <row r="5410">
      <c r="A5410">
        <f>IFERROR(INDEX('Email Cleaner'!$B$2:$B$10001,MATCH(5409,'Email Cleaner'!$G$2:$G$10001,0)),"")</f>
        <v/>
      </c>
    </row>
    <row r="5411">
      <c r="A5411">
        <f>IFERROR(INDEX('Email Cleaner'!$B$2:$B$10001,MATCH(5410,'Email Cleaner'!$G$2:$G$10001,0)),"")</f>
        <v/>
      </c>
    </row>
    <row r="5412">
      <c r="A5412">
        <f>IFERROR(INDEX('Email Cleaner'!$B$2:$B$10001,MATCH(5411,'Email Cleaner'!$G$2:$G$10001,0)),"")</f>
        <v/>
      </c>
    </row>
    <row r="5413">
      <c r="A5413">
        <f>IFERROR(INDEX('Email Cleaner'!$B$2:$B$10001,MATCH(5412,'Email Cleaner'!$G$2:$G$10001,0)),"")</f>
        <v/>
      </c>
    </row>
    <row r="5414">
      <c r="A5414">
        <f>IFERROR(INDEX('Email Cleaner'!$B$2:$B$10001,MATCH(5413,'Email Cleaner'!$G$2:$G$10001,0)),"")</f>
        <v/>
      </c>
    </row>
    <row r="5415">
      <c r="A5415">
        <f>IFERROR(INDEX('Email Cleaner'!$B$2:$B$10001,MATCH(5414,'Email Cleaner'!$G$2:$G$10001,0)),"")</f>
        <v/>
      </c>
    </row>
    <row r="5416">
      <c r="A5416">
        <f>IFERROR(INDEX('Email Cleaner'!$B$2:$B$10001,MATCH(5415,'Email Cleaner'!$G$2:$G$10001,0)),"")</f>
        <v/>
      </c>
    </row>
    <row r="5417">
      <c r="A5417">
        <f>IFERROR(INDEX('Email Cleaner'!$B$2:$B$10001,MATCH(5416,'Email Cleaner'!$G$2:$G$10001,0)),"")</f>
        <v/>
      </c>
    </row>
    <row r="5418">
      <c r="A5418">
        <f>IFERROR(INDEX('Email Cleaner'!$B$2:$B$10001,MATCH(5417,'Email Cleaner'!$G$2:$G$10001,0)),"")</f>
        <v/>
      </c>
    </row>
    <row r="5419">
      <c r="A5419">
        <f>IFERROR(INDEX('Email Cleaner'!$B$2:$B$10001,MATCH(5418,'Email Cleaner'!$G$2:$G$10001,0)),"")</f>
        <v/>
      </c>
    </row>
    <row r="5420">
      <c r="A5420">
        <f>IFERROR(INDEX('Email Cleaner'!$B$2:$B$10001,MATCH(5419,'Email Cleaner'!$G$2:$G$10001,0)),"")</f>
        <v/>
      </c>
    </row>
    <row r="5421">
      <c r="A5421">
        <f>IFERROR(INDEX('Email Cleaner'!$B$2:$B$10001,MATCH(5420,'Email Cleaner'!$G$2:$G$10001,0)),"")</f>
        <v/>
      </c>
    </row>
    <row r="5422">
      <c r="A5422">
        <f>IFERROR(INDEX('Email Cleaner'!$B$2:$B$10001,MATCH(5421,'Email Cleaner'!$G$2:$G$10001,0)),"")</f>
        <v/>
      </c>
    </row>
    <row r="5423">
      <c r="A5423">
        <f>IFERROR(INDEX('Email Cleaner'!$B$2:$B$10001,MATCH(5422,'Email Cleaner'!$G$2:$G$10001,0)),"")</f>
        <v/>
      </c>
    </row>
    <row r="5424">
      <c r="A5424">
        <f>IFERROR(INDEX('Email Cleaner'!$B$2:$B$10001,MATCH(5423,'Email Cleaner'!$G$2:$G$10001,0)),"")</f>
        <v/>
      </c>
    </row>
    <row r="5425">
      <c r="A5425">
        <f>IFERROR(INDEX('Email Cleaner'!$B$2:$B$10001,MATCH(5424,'Email Cleaner'!$G$2:$G$10001,0)),"")</f>
        <v/>
      </c>
    </row>
    <row r="5426">
      <c r="A5426">
        <f>IFERROR(INDEX('Email Cleaner'!$B$2:$B$10001,MATCH(5425,'Email Cleaner'!$G$2:$G$10001,0)),"")</f>
        <v/>
      </c>
    </row>
    <row r="5427">
      <c r="A5427">
        <f>IFERROR(INDEX('Email Cleaner'!$B$2:$B$10001,MATCH(5426,'Email Cleaner'!$G$2:$G$10001,0)),"")</f>
        <v/>
      </c>
    </row>
    <row r="5428">
      <c r="A5428">
        <f>IFERROR(INDEX('Email Cleaner'!$B$2:$B$10001,MATCH(5427,'Email Cleaner'!$G$2:$G$10001,0)),"")</f>
        <v/>
      </c>
    </row>
    <row r="5429">
      <c r="A5429">
        <f>IFERROR(INDEX('Email Cleaner'!$B$2:$B$10001,MATCH(5428,'Email Cleaner'!$G$2:$G$10001,0)),"")</f>
        <v/>
      </c>
    </row>
    <row r="5430">
      <c r="A5430">
        <f>IFERROR(INDEX('Email Cleaner'!$B$2:$B$10001,MATCH(5429,'Email Cleaner'!$G$2:$G$10001,0)),"")</f>
        <v/>
      </c>
    </row>
    <row r="5431">
      <c r="A5431">
        <f>IFERROR(INDEX('Email Cleaner'!$B$2:$B$10001,MATCH(5430,'Email Cleaner'!$G$2:$G$10001,0)),"")</f>
        <v/>
      </c>
    </row>
    <row r="5432">
      <c r="A5432">
        <f>IFERROR(INDEX('Email Cleaner'!$B$2:$B$10001,MATCH(5431,'Email Cleaner'!$G$2:$G$10001,0)),"")</f>
        <v/>
      </c>
    </row>
    <row r="5433">
      <c r="A5433">
        <f>IFERROR(INDEX('Email Cleaner'!$B$2:$B$10001,MATCH(5432,'Email Cleaner'!$G$2:$G$10001,0)),"")</f>
        <v/>
      </c>
    </row>
    <row r="5434">
      <c r="A5434">
        <f>IFERROR(INDEX('Email Cleaner'!$B$2:$B$10001,MATCH(5433,'Email Cleaner'!$G$2:$G$10001,0)),"")</f>
        <v/>
      </c>
    </row>
    <row r="5435">
      <c r="A5435">
        <f>IFERROR(INDEX('Email Cleaner'!$B$2:$B$10001,MATCH(5434,'Email Cleaner'!$G$2:$G$10001,0)),"")</f>
        <v/>
      </c>
    </row>
    <row r="5436">
      <c r="A5436">
        <f>IFERROR(INDEX('Email Cleaner'!$B$2:$B$10001,MATCH(5435,'Email Cleaner'!$G$2:$G$10001,0)),"")</f>
        <v/>
      </c>
    </row>
    <row r="5437">
      <c r="A5437">
        <f>IFERROR(INDEX('Email Cleaner'!$B$2:$B$10001,MATCH(5436,'Email Cleaner'!$G$2:$G$10001,0)),"")</f>
        <v/>
      </c>
    </row>
    <row r="5438">
      <c r="A5438">
        <f>IFERROR(INDEX('Email Cleaner'!$B$2:$B$10001,MATCH(5437,'Email Cleaner'!$G$2:$G$10001,0)),"")</f>
        <v/>
      </c>
    </row>
    <row r="5439">
      <c r="A5439">
        <f>IFERROR(INDEX('Email Cleaner'!$B$2:$B$10001,MATCH(5438,'Email Cleaner'!$G$2:$G$10001,0)),"")</f>
        <v/>
      </c>
    </row>
    <row r="5440">
      <c r="A5440">
        <f>IFERROR(INDEX('Email Cleaner'!$B$2:$B$10001,MATCH(5439,'Email Cleaner'!$G$2:$G$10001,0)),"")</f>
        <v/>
      </c>
    </row>
    <row r="5441">
      <c r="A5441">
        <f>IFERROR(INDEX('Email Cleaner'!$B$2:$B$10001,MATCH(5440,'Email Cleaner'!$G$2:$G$10001,0)),"")</f>
        <v/>
      </c>
    </row>
    <row r="5442">
      <c r="A5442">
        <f>IFERROR(INDEX('Email Cleaner'!$B$2:$B$10001,MATCH(5441,'Email Cleaner'!$G$2:$G$10001,0)),"")</f>
        <v/>
      </c>
    </row>
    <row r="5443">
      <c r="A5443">
        <f>IFERROR(INDEX('Email Cleaner'!$B$2:$B$10001,MATCH(5442,'Email Cleaner'!$G$2:$G$10001,0)),"")</f>
        <v/>
      </c>
    </row>
    <row r="5444">
      <c r="A5444">
        <f>IFERROR(INDEX('Email Cleaner'!$B$2:$B$10001,MATCH(5443,'Email Cleaner'!$G$2:$G$10001,0)),"")</f>
        <v/>
      </c>
    </row>
    <row r="5445">
      <c r="A5445">
        <f>IFERROR(INDEX('Email Cleaner'!$B$2:$B$10001,MATCH(5444,'Email Cleaner'!$G$2:$G$10001,0)),"")</f>
        <v/>
      </c>
    </row>
    <row r="5446">
      <c r="A5446">
        <f>IFERROR(INDEX('Email Cleaner'!$B$2:$B$10001,MATCH(5445,'Email Cleaner'!$G$2:$G$10001,0)),"")</f>
        <v/>
      </c>
    </row>
    <row r="5447">
      <c r="A5447">
        <f>IFERROR(INDEX('Email Cleaner'!$B$2:$B$10001,MATCH(5446,'Email Cleaner'!$G$2:$G$10001,0)),"")</f>
        <v/>
      </c>
    </row>
    <row r="5448">
      <c r="A5448">
        <f>IFERROR(INDEX('Email Cleaner'!$B$2:$B$10001,MATCH(5447,'Email Cleaner'!$G$2:$G$10001,0)),"")</f>
        <v/>
      </c>
    </row>
    <row r="5449">
      <c r="A5449">
        <f>IFERROR(INDEX('Email Cleaner'!$B$2:$B$10001,MATCH(5448,'Email Cleaner'!$G$2:$G$10001,0)),"")</f>
        <v/>
      </c>
    </row>
    <row r="5450">
      <c r="A5450">
        <f>IFERROR(INDEX('Email Cleaner'!$B$2:$B$10001,MATCH(5449,'Email Cleaner'!$G$2:$G$10001,0)),"")</f>
        <v/>
      </c>
    </row>
    <row r="5451">
      <c r="A5451">
        <f>IFERROR(INDEX('Email Cleaner'!$B$2:$B$10001,MATCH(5450,'Email Cleaner'!$G$2:$G$10001,0)),"")</f>
        <v/>
      </c>
    </row>
    <row r="5452">
      <c r="A5452">
        <f>IFERROR(INDEX('Email Cleaner'!$B$2:$B$10001,MATCH(5451,'Email Cleaner'!$G$2:$G$10001,0)),"")</f>
        <v/>
      </c>
    </row>
    <row r="5453">
      <c r="A5453">
        <f>IFERROR(INDEX('Email Cleaner'!$B$2:$B$10001,MATCH(5452,'Email Cleaner'!$G$2:$G$10001,0)),"")</f>
        <v/>
      </c>
    </row>
    <row r="5454">
      <c r="A5454">
        <f>IFERROR(INDEX('Email Cleaner'!$B$2:$B$10001,MATCH(5453,'Email Cleaner'!$G$2:$G$10001,0)),"")</f>
        <v/>
      </c>
    </row>
    <row r="5455">
      <c r="A5455">
        <f>IFERROR(INDEX('Email Cleaner'!$B$2:$B$10001,MATCH(5454,'Email Cleaner'!$G$2:$G$10001,0)),"")</f>
        <v/>
      </c>
    </row>
    <row r="5456">
      <c r="A5456">
        <f>IFERROR(INDEX('Email Cleaner'!$B$2:$B$10001,MATCH(5455,'Email Cleaner'!$G$2:$G$10001,0)),"")</f>
        <v/>
      </c>
    </row>
    <row r="5457">
      <c r="A5457">
        <f>IFERROR(INDEX('Email Cleaner'!$B$2:$B$10001,MATCH(5456,'Email Cleaner'!$G$2:$G$10001,0)),"")</f>
        <v/>
      </c>
    </row>
    <row r="5458">
      <c r="A5458">
        <f>IFERROR(INDEX('Email Cleaner'!$B$2:$B$10001,MATCH(5457,'Email Cleaner'!$G$2:$G$10001,0)),"")</f>
        <v/>
      </c>
    </row>
    <row r="5459">
      <c r="A5459">
        <f>IFERROR(INDEX('Email Cleaner'!$B$2:$B$10001,MATCH(5458,'Email Cleaner'!$G$2:$G$10001,0)),"")</f>
        <v/>
      </c>
    </row>
    <row r="5460">
      <c r="A5460">
        <f>IFERROR(INDEX('Email Cleaner'!$B$2:$B$10001,MATCH(5459,'Email Cleaner'!$G$2:$G$10001,0)),"")</f>
        <v/>
      </c>
    </row>
    <row r="5461">
      <c r="A5461">
        <f>IFERROR(INDEX('Email Cleaner'!$B$2:$B$10001,MATCH(5460,'Email Cleaner'!$G$2:$G$10001,0)),"")</f>
        <v/>
      </c>
    </row>
    <row r="5462">
      <c r="A5462">
        <f>IFERROR(INDEX('Email Cleaner'!$B$2:$B$10001,MATCH(5461,'Email Cleaner'!$G$2:$G$10001,0)),"")</f>
        <v/>
      </c>
    </row>
    <row r="5463">
      <c r="A5463">
        <f>IFERROR(INDEX('Email Cleaner'!$B$2:$B$10001,MATCH(5462,'Email Cleaner'!$G$2:$G$10001,0)),"")</f>
        <v/>
      </c>
    </row>
    <row r="5464">
      <c r="A5464">
        <f>IFERROR(INDEX('Email Cleaner'!$B$2:$B$10001,MATCH(5463,'Email Cleaner'!$G$2:$G$10001,0)),"")</f>
        <v/>
      </c>
    </row>
    <row r="5465">
      <c r="A5465">
        <f>IFERROR(INDEX('Email Cleaner'!$B$2:$B$10001,MATCH(5464,'Email Cleaner'!$G$2:$G$10001,0)),"")</f>
        <v/>
      </c>
    </row>
    <row r="5466">
      <c r="A5466">
        <f>IFERROR(INDEX('Email Cleaner'!$B$2:$B$10001,MATCH(5465,'Email Cleaner'!$G$2:$G$10001,0)),"")</f>
        <v/>
      </c>
    </row>
    <row r="5467">
      <c r="A5467">
        <f>IFERROR(INDEX('Email Cleaner'!$B$2:$B$10001,MATCH(5466,'Email Cleaner'!$G$2:$G$10001,0)),"")</f>
        <v/>
      </c>
    </row>
    <row r="5468">
      <c r="A5468">
        <f>IFERROR(INDEX('Email Cleaner'!$B$2:$B$10001,MATCH(5467,'Email Cleaner'!$G$2:$G$10001,0)),"")</f>
        <v/>
      </c>
    </row>
    <row r="5469">
      <c r="A5469">
        <f>IFERROR(INDEX('Email Cleaner'!$B$2:$B$10001,MATCH(5468,'Email Cleaner'!$G$2:$G$10001,0)),"")</f>
        <v/>
      </c>
    </row>
    <row r="5470">
      <c r="A5470">
        <f>IFERROR(INDEX('Email Cleaner'!$B$2:$B$10001,MATCH(5469,'Email Cleaner'!$G$2:$G$10001,0)),"")</f>
        <v/>
      </c>
    </row>
    <row r="5471">
      <c r="A5471">
        <f>IFERROR(INDEX('Email Cleaner'!$B$2:$B$10001,MATCH(5470,'Email Cleaner'!$G$2:$G$10001,0)),"")</f>
        <v/>
      </c>
    </row>
    <row r="5472">
      <c r="A5472">
        <f>IFERROR(INDEX('Email Cleaner'!$B$2:$B$10001,MATCH(5471,'Email Cleaner'!$G$2:$G$10001,0)),"")</f>
        <v/>
      </c>
    </row>
    <row r="5473">
      <c r="A5473">
        <f>IFERROR(INDEX('Email Cleaner'!$B$2:$B$10001,MATCH(5472,'Email Cleaner'!$G$2:$G$10001,0)),"")</f>
        <v/>
      </c>
    </row>
    <row r="5474">
      <c r="A5474">
        <f>IFERROR(INDEX('Email Cleaner'!$B$2:$B$10001,MATCH(5473,'Email Cleaner'!$G$2:$G$10001,0)),"")</f>
        <v/>
      </c>
    </row>
    <row r="5475">
      <c r="A5475">
        <f>IFERROR(INDEX('Email Cleaner'!$B$2:$B$10001,MATCH(5474,'Email Cleaner'!$G$2:$G$10001,0)),"")</f>
        <v/>
      </c>
    </row>
    <row r="5476">
      <c r="A5476">
        <f>IFERROR(INDEX('Email Cleaner'!$B$2:$B$10001,MATCH(5475,'Email Cleaner'!$G$2:$G$10001,0)),"")</f>
        <v/>
      </c>
    </row>
    <row r="5477">
      <c r="A5477">
        <f>IFERROR(INDEX('Email Cleaner'!$B$2:$B$10001,MATCH(5476,'Email Cleaner'!$G$2:$G$10001,0)),"")</f>
        <v/>
      </c>
    </row>
    <row r="5478">
      <c r="A5478">
        <f>IFERROR(INDEX('Email Cleaner'!$B$2:$B$10001,MATCH(5477,'Email Cleaner'!$G$2:$G$10001,0)),"")</f>
        <v/>
      </c>
    </row>
    <row r="5479">
      <c r="A5479">
        <f>IFERROR(INDEX('Email Cleaner'!$B$2:$B$10001,MATCH(5478,'Email Cleaner'!$G$2:$G$10001,0)),"")</f>
        <v/>
      </c>
    </row>
    <row r="5480">
      <c r="A5480">
        <f>IFERROR(INDEX('Email Cleaner'!$B$2:$B$10001,MATCH(5479,'Email Cleaner'!$G$2:$G$10001,0)),"")</f>
        <v/>
      </c>
    </row>
    <row r="5481">
      <c r="A5481">
        <f>IFERROR(INDEX('Email Cleaner'!$B$2:$B$10001,MATCH(5480,'Email Cleaner'!$G$2:$G$10001,0)),"")</f>
        <v/>
      </c>
    </row>
    <row r="5482">
      <c r="A5482">
        <f>IFERROR(INDEX('Email Cleaner'!$B$2:$B$10001,MATCH(5481,'Email Cleaner'!$G$2:$G$10001,0)),"")</f>
        <v/>
      </c>
    </row>
    <row r="5483">
      <c r="A5483">
        <f>IFERROR(INDEX('Email Cleaner'!$B$2:$B$10001,MATCH(5482,'Email Cleaner'!$G$2:$G$10001,0)),"")</f>
        <v/>
      </c>
    </row>
    <row r="5484">
      <c r="A5484">
        <f>IFERROR(INDEX('Email Cleaner'!$B$2:$B$10001,MATCH(5483,'Email Cleaner'!$G$2:$G$10001,0)),"")</f>
        <v/>
      </c>
    </row>
    <row r="5485">
      <c r="A5485">
        <f>IFERROR(INDEX('Email Cleaner'!$B$2:$B$10001,MATCH(5484,'Email Cleaner'!$G$2:$G$10001,0)),"")</f>
        <v/>
      </c>
    </row>
    <row r="5486">
      <c r="A5486">
        <f>IFERROR(INDEX('Email Cleaner'!$B$2:$B$10001,MATCH(5485,'Email Cleaner'!$G$2:$G$10001,0)),"")</f>
        <v/>
      </c>
    </row>
    <row r="5487">
      <c r="A5487">
        <f>IFERROR(INDEX('Email Cleaner'!$B$2:$B$10001,MATCH(5486,'Email Cleaner'!$G$2:$G$10001,0)),"")</f>
        <v/>
      </c>
    </row>
    <row r="5488">
      <c r="A5488">
        <f>IFERROR(INDEX('Email Cleaner'!$B$2:$B$10001,MATCH(5487,'Email Cleaner'!$G$2:$G$10001,0)),"")</f>
        <v/>
      </c>
    </row>
    <row r="5489">
      <c r="A5489">
        <f>IFERROR(INDEX('Email Cleaner'!$B$2:$B$10001,MATCH(5488,'Email Cleaner'!$G$2:$G$10001,0)),"")</f>
        <v/>
      </c>
    </row>
    <row r="5490">
      <c r="A5490">
        <f>IFERROR(INDEX('Email Cleaner'!$B$2:$B$10001,MATCH(5489,'Email Cleaner'!$G$2:$G$10001,0)),"")</f>
        <v/>
      </c>
    </row>
    <row r="5491">
      <c r="A5491">
        <f>IFERROR(INDEX('Email Cleaner'!$B$2:$B$10001,MATCH(5490,'Email Cleaner'!$G$2:$G$10001,0)),"")</f>
        <v/>
      </c>
    </row>
    <row r="5492">
      <c r="A5492">
        <f>IFERROR(INDEX('Email Cleaner'!$B$2:$B$10001,MATCH(5491,'Email Cleaner'!$G$2:$G$10001,0)),"")</f>
        <v/>
      </c>
    </row>
    <row r="5493">
      <c r="A5493">
        <f>IFERROR(INDEX('Email Cleaner'!$B$2:$B$10001,MATCH(5492,'Email Cleaner'!$G$2:$G$10001,0)),"")</f>
        <v/>
      </c>
    </row>
    <row r="5494">
      <c r="A5494">
        <f>IFERROR(INDEX('Email Cleaner'!$B$2:$B$10001,MATCH(5493,'Email Cleaner'!$G$2:$G$10001,0)),"")</f>
        <v/>
      </c>
    </row>
    <row r="5495">
      <c r="A5495">
        <f>IFERROR(INDEX('Email Cleaner'!$B$2:$B$10001,MATCH(5494,'Email Cleaner'!$G$2:$G$10001,0)),"")</f>
        <v/>
      </c>
    </row>
    <row r="5496">
      <c r="A5496">
        <f>IFERROR(INDEX('Email Cleaner'!$B$2:$B$10001,MATCH(5495,'Email Cleaner'!$G$2:$G$10001,0)),"")</f>
        <v/>
      </c>
    </row>
    <row r="5497">
      <c r="A5497">
        <f>IFERROR(INDEX('Email Cleaner'!$B$2:$B$10001,MATCH(5496,'Email Cleaner'!$G$2:$G$10001,0)),"")</f>
        <v/>
      </c>
    </row>
    <row r="5498">
      <c r="A5498">
        <f>IFERROR(INDEX('Email Cleaner'!$B$2:$B$10001,MATCH(5497,'Email Cleaner'!$G$2:$G$10001,0)),"")</f>
        <v/>
      </c>
    </row>
    <row r="5499">
      <c r="A5499">
        <f>IFERROR(INDEX('Email Cleaner'!$B$2:$B$10001,MATCH(5498,'Email Cleaner'!$G$2:$G$10001,0)),"")</f>
        <v/>
      </c>
    </row>
    <row r="5500">
      <c r="A5500">
        <f>IFERROR(INDEX('Email Cleaner'!$B$2:$B$10001,MATCH(5499,'Email Cleaner'!$G$2:$G$10001,0)),"")</f>
        <v/>
      </c>
    </row>
    <row r="5501">
      <c r="A5501">
        <f>IFERROR(INDEX('Email Cleaner'!$B$2:$B$10001,MATCH(5500,'Email Cleaner'!$G$2:$G$10001,0)),"")</f>
        <v/>
      </c>
    </row>
    <row r="5502">
      <c r="A5502">
        <f>IFERROR(INDEX('Email Cleaner'!$B$2:$B$10001,MATCH(5501,'Email Cleaner'!$G$2:$G$10001,0)),"")</f>
        <v/>
      </c>
    </row>
    <row r="5503">
      <c r="A5503">
        <f>IFERROR(INDEX('Email Cleaner'!$B$2:$B$10001,MATCH(5502,'Email Cleaner'!$G$2:$G$10001,0)),"")</f>
        <v/>
      </c>
    </row>
    <row r="5504">
      <c r="A5504">
        <f>IFERROR(INDEX('Email Cleaner'!$B$2:$B$10001,MATCH(5503,'Email Cleaner'!$G$2:$G$10001,0)),"")</f>
        <v/>
      </c>
    </row>
    <row r="5505">
      <c r="A5505">
        <f>IFERROR(INDEX('Email Cleaner'!$B$2:$B$10001,MATCH(5504,'Email Cleaner'!$G$2:$G$10001,0)),"")</f>
        <v/>
      </c>
    </row>
    <row r="5506">
      <c r="A5506">
        <f>IFERROR(INDEX('Email Cleaner'!$B$2:$B$10001,MATCH(5505,'Email Cleaner'!$G$2:$G$10001,0)),"")</f>
        <v/>
      </c>
    </row>
    <row r="5507">
      <c r="A5507">
        <f>IFERROR(INDEX('Email Cleaner'!$B$2:$B$10001,MATCH(5506,'Email Cleaner'!$G$2:$G$10001,0)),"")</f>
        <v/>
      </c>
    </row>
    <row r="5508">
      <c r="A5508">
        <f>IFERROR(INDEX('Email Cleaner'!$B$2:$B$10001,MATCH(5507,'Email Cleaner'!$G$2:$G$10001,0)),"")</f>
        <v/>
      </c>
    </row>
    <row r="5509">
      <c r="A5509">
        <f>IFERROR(INDEX('Email Cleaner'!$B$2:$B$10001,MATCH(5508,'Email Cleaner'!$G$2:$G$10001,0)),"")</f>
        <v/>
      </c>
    </row>
    <row r="5510">
      <c r="A5510">
        <f>IFERROR(INDEX('Email Cleaner'!$B$2:$B$10001,MATCH(5509,'Email Cleaner'!$G$2:$G$10001,0)),"")</f>
        <v/>
      </c>
    </row>
    <row r="5511">
      <c r="A5511">
        <f>IFERROR(INDEX('Email Cleaner'!$B$2:$B$10001,MATCH(5510,'Email Cleaner'!$G$2:$G$10001,0)),"")</f>
        <v/>
      </c>
    </row>
    <row r="5512">
      <c r="A5512">
        <f>IFERROR(INDEX('Email Cleaner'!$B$2:$B$10001,MATCH(5511,'Email Cleaner'!$G$2:$G$10001,0)),"")</f>
        <v/>
      </c>
    </row>
    <row r="5513">
      <c r="A5513">
        <f>IFERROR(INDEX('Email Cleaner'!$B$2:$B$10001,MATCH(5512,'Email Cleaner'!$G$2:$G$10001,0)),"")</f>
        <v/>
      </c>
    </row>
    <row r="5514">
      <c r="A5514">
        <f>IFERROR(INDEX('Email Cleaner'!$B$2:$B$10001,MATCH(5513,'Email Cleaner'!$G$2:$G$10001,0)),"")</f>
        <v/>
      </c>
    </row>
    <row r="5515">
      <c r="A5515">
        <f>IFERROR(INDEX('Email Cleaner'!$B$2:$B$10001,MATCH(5514,'Email Cleaner'!$G$2:$G$10001,0)),"")</f>
        <v/>
      </c>
    </row>
    <row r="5516">
      <c r="A5516">
        <f>IFERROR(INDEX('Email Cleaner'!$B$2:$B$10001,MATCH(5515,'Email Cleaner'!$G$2:$G$10001,0)),"")</f>
        <v/>
      </c>
    </row>
    <row r="5517">
      <c r="A5517">
        <f>IFERROR(INDEX('Email Cleaner'!$B$2:$B$10001,MATCH(5516,'Email Cleaner'!$G$2:$G$10001,0)),"")</f>
        <v/>
      </c>
    </row>
    <row r="5518">
      <c r="A5518">
        <f>IFERROR(INDEX('Email Cleaner'!$B$2:$B$10001,MATCH(5517,'Email Cleaner'!$G$2:$G$10001,0)),"")</f>
        <v/>
      </c>
    </row>
    <row r="5519">
      <c r="A5519">
        <f>IFERROR(INDEX('Email Cleaner'!$B$2:$B$10001,MATCH(5518,'Email Cleaner'!$G$2:$G$10001,0)),"")</f>
        <v/>
      </c>
    </row>
    <row r="5520">
      <c r="A5520">
        <f>IFERROR(INDEX('Email Cleaner'!$B$2:$B$10001,MATCH(5519,'Email Cleaner'!$G$2:$G$10001,0)),"")</f>
        <v/>
      </c>
    </row>
    <row r="5521">
      <c r="A5521">
        <f>IFERROR(INDEX('Email Cleaner'!$B$2:$B$10001,MATCH(5520,'Email Cleaner'!$G$2:$G$10001,0)),"")</f>
        <v/>
      </c>
    </row>
    <row r="5522">
      <c r="A5522">
        <f>IFERROR(INDEX('Email Cleaner'!$B$2:$B$10001,MATCH(5521,'Email Cleaner'!$G$2:$G$10001,0)),"")</f>
        <v/>
      </c>
    </row>
    <row r="5523">
      <c r="A5523">
        <f>IFERROR(INDEX('Email Cleaner'!$B$2:$B$10001,MATCH(5522,'Email Cleaner'!$G$2:$G$10001,0)),"")</f>
        <v/>
      </c>
    </row>
    <row r="5524">
      <c r="A5524">
        <f>IFERROR(INDEX('Email Cleaner'!$B$2:$B$10001,MATCH(5523,'Email Cleaner'!$G$2:$G$10001,0)),"")</f>
        <v/>
      </c>
    </row>
    <row r="5525">
      <c r="A5525">
        <f>IFERROR(INDEX('Email Cleaner'!$B$2:$B$10001,MATCH(5524,'Email Cleaner'!$G$2:$G$10001,0)),"")</f>
        <v/>
      </c>
    </row>
    <row r="5526">
      <c r="A5526">
        <f>IFERROR(INDEX('Email Cleaner'!$B$2:$B$10001,MATCH(5525,'Email Cleaner'!$G$2:$G$10001,0)),"")</f>
        <v/>
      </c>
    </row>
    <row r="5527">
      <c r="A5527">
        <f>IFERROR(INDEX('Email Cleaner'!$B$2:$B$10001,MATCH(5526,'Email Cleaner'!$G$2:$G$10001,0)),"")</f>
        <v/>
      </c>
    </row>
    <row r="5528">
      <c r="A5528">
        <f>IFERROR(INDEX('Email Cleaner'!$B$2:$B$10001,MATCH(5527,'Email Cleaner'!$G$2:$G$10001,0)),"")</f>
        <v/>
      </c>
    </row>
    <row r="5529">
      <c r="A5529">
        <f>IFERROR(INDEX('Email Cleaner'!$B$2:$B$10001,MATCH(5528,'Email Cleaner'!$G$2:$G$10001,0)),"")</f>
        <v/>
      </c>
    </row>
    <row r="5530">
      <c r="A5530">
        <f>IFERROR(INDEX('Email Cleaner'!$B$2:$B$10001,MATCH(5529,'Email Cleaner'!$G$2:$G$10001,0)),"")</f>
        <v/>
      </c>
    </row>
    <row r="5531">
      <c r="A5531">
        <f>IFERROR(INDEX('Email Cleaner'!$B$2:$B$10001,MATCH(5530,'Email Cleaner'!$G$2:$G$10001,0)),"")</f>
        <v/>
      </c>
    </row>
    <row r="5532">
      <c r="A5532">
        <f>IFERROR(INDEX('Email Cleaner'!$B$2:$B$10001,MATCH(5531,'Email Cleaner'!$G$2:$G$10001,0)),"")</f>
        <v/>
      </c>
    </row>
    <row r="5533">
      <c r="A5533">
        <f>IFERROR(INDEX('Email Cleaner'!$B$2:$B$10001,MATCH(5532,'Email Cleaner'!$G$2:$G$10001,0)),"")</f>
        <v/>
      </c>
    </row>
    <row r="5534">
      <c r="A5534">
        <f>IFERROR(INDEX('Email Cleaner'!$B$2:$B$10001,MATCH(5533,'Email Cleaner'!$G$2:$G$10001,0)),"")</f>
        <v/>
      </c>
    </row>
    <row r="5535">
      <c r="A5535">
        <f>IFERROR(INDEX('Email Cleaner'!$B$2:$B$10001,MATCH(5534,'Email Cleaner'!$G$2:$G$10001,0)),"")</f>
        <v/>
      </c>
    </row>
    <row r="5536">
      <c r="A5536">
        <f>IFERROR(INDEX('Email Cleaner'!$B$2:$B$10001,MATCH(5535,'Email Cleaner'!$G$2:$G$10001,0)),"")</f>
        <v/>
      </c>
    </row>
    <row r="5537">
      <c r="A5537">
        <f>IFERROR(INDEX('Email Cleaner'!$B$2:$B$10001,MATCH(5536,'Email Cleaner'!$G$2:$G$10001,0)),"")</f>
        <v/>
      </c>
    </row>
    <row r="5538">
      <c r="A5538">
        <f>IFERROR(INDEX('Email Cleaner'!$B$2:$B$10001,MATCH(5537,'Email Cleaner'!$G$2:$G$10001,0)),"")</f>
        <v/>
      </c>
    </row>
    <row r="5539">
      <c r="A5539">
        <f>IFERROR(INDEX('Email Cleaner'!$B$2:$B$10001,MATCH(5538,'Email Cleaner'!$G$2:$G$10001,0)),"")</f>
        <v/>
      </c>
    </row>
    <row r="5540">
      <c r="A5540">
        <f>IFERROR(INDEX('Email Cleaner'!$B$2:$B$10001,MATCH(5539,'Email Cleaner'!$G$2:$G$10001,0)),"")</f>
        <v/>
      </c>
    </row>
    <row r="5541">
      <c r="A5541">
        <f>IFERROR(INDEX('Email Cleaner'!$B$2:$B$10001,MATCH(5540,'Email Cleaner'!$G$2:$G$10001,0)),"")</f>
        <v/>
      </c>
    </row>
    <row r="5542">
      <c r="A5542">
        <f>IFERROR(INDEX('Email Cleaner'!$B$2:$B$10001,MATCH(5541,'Email Cleaner'!$G$2:$G$10001,0)),"")</f>
        <v/>
      </c>
    </row>
    <row r="5543">
      <c r="A5543">
        <f>IFERROR(INDEX('Email Cleaner'!$B$2:$B$10001,MATCH(5542,'Email Cleaner'!$G$2:$G$10001,0)),"")</f>
        <v/>
      </c>
    </row>
    <row r="5544">
      <c r="A5544">
        <f>IFERROR(INDEX('Email Cleaner'!$B$2:$B$10001,MATCH(5543,'Email Cleaner'!$G$2:$G$10001,0)),"")</f>
        <v/>
      </c>
    </row>
    <row r="5545">
      <c r="A5545">
        <f>IFERROR(INDEX('Email Cleaner'!$B$2:$B$10001,MATCH(5544,'Email Cleaner'!$G$2:$G$10001,0)),"")</f>
        <v/>
      </c>
    </row>
    <row r="5546">
      <c r="A5546">
        <f>IFERROR(INDEX('Email Cleaner'!$B$2:$B$10001,MATCH(5545,'Email Cleaner'!$G$2:$G$10001,0)),"")</f>
        <v/>
      </c>
    </row>
    <row r="5547">
      <c r="A5547">
        <f>IFERROR(INDEX('Email Cleaner'!$B$2:$B$10001,MATCH(5546,'Email Cleaner'!$G$2:$G$10001,0)),"")</f>
        <v/>
      </c>
    </row>
    <row r="5548">
      <c r="A5548">
        <f>IFERROR(INDEX('Email Cleaner'!$B$2:$B$10001,MATCH(5547,'Email Cleaner'!$G$2:$G$10001,0)),"")</f>
        <v/>
      </c>
    </row>
    <row r="5549">
      <c r="A5549">
        <f>IFERROR(INDEX('Email Cleaner'!$B$2:$B$10001,MATCH(5548,'Email Cleaner'!$G$2:$G$10001,0)),"")</f>
        <v/>
      </c>
    </row>
    <row r="5550">
      <c r="A5550">
        <f>IFERROR(INDEX('Email Cleaner'!$B$2:$B$10001,MATCH(5549,'Email Cleaner'!$G$2:$G$10001,0)),"")</f>
        <v/>
      </c>
    </row>
    <row r="5551">
      <c r="A5551">
        <f>IFERROR(INDEX('Email Cleaner'!$B$2:$B$10001,MATCH(5550,'Email Cleaner'!$G$2:$G$10001,0)),"")</f>
        <v/>
      </c>
    </row>
    <row r="5552">
      <c r="A5552">
        <f>IFERROR(INDEX('Email Cleaner'!$B$2:$B$10001,MATCH(5551,'Email Cleaner'!$G$2:$G$10001,0)),"")</f>
        <v/>
      </c>
    </row>
    <row r="5553">
      <c r="A5553">
        <f>IFERROR(INDEX('Email Cleaner'!$B$2:$B$10001,MATCH(5552,'Email Cleaner'!$G$2:$G$10001,0)),"")</f>
        <v/>
      </c>
    </row>
    <row r="5554">
      <c r="A5554">
        <f>IFERROR(INDEX('Email Cleaner'!$B$2:$B$10001,MATCH(5553,'Email Cleaner'!$G$2:$G$10001,0)),"")</f>
        <v/>
      </c>
    </row>
    <row r="5555">
      <c r="A5555">
        <f>IFERROR(INDEX('Email Cleaner'!$B$2:$B$10001,MATCH(5554,'Email Cleaner'!$G$2:$G$10001,0)),"")</f>
        <v/>
      </c>
    </row>
    <row r="5556">
      <c r="A5556">
        <f>IFERROR(INDEX('Email Cleaner'!$B$2:$B$10001,MATCH(5555,'Email Cleaner'!$G$2:$G$10001,0)),"")</f>
        <v/>
      </c>
    </row>
    <row r="5557">
      <c r="A5557">
        <f>IFERROR(INDEX('Email Cleaner'!$B$2:$B$10001,MATCH(5556,'Email Cleaner'!$G$2:$G$10001,0)),"")</f>
        <v/>
      </c>
    </row>
    <row r="5558">
      <c r="A5558">
        <f>IFERROR(INDEX('Email Cleaner'!$B$2:$B$10001,MATCH(5557,'Email Cleaner'!$G$2:$G$10001,0)),"")</f>
        <v/>
      </c>
    </row>
    <row r="5559">
      <c r="A5559">
        <f>IFERROR(INDEX('Email Cleaner'!$B$2:$B$10001,MATCH(5558,'Email Cleaner'!$G$2:$G$10001,0)),"")</f>
        <v/>
      </c>
    </row>
    <row r="5560">
      <c r="A5560">
        <f>IFERROR(INDEX('Email Cleaner'!$B$2:$B$10001,MATCH(5559,'Email Cleaner'!$G$2:$G$10001,0)),"")</f>
        <v/>
      </c>
    </row>
    <row r="5561">
      <c r="A5561">
        <f>IFERROR(INDEX('Email Cleaner'!$B$2:$B$10001,MATCH(5560,'Email Cleaner'!$G$2:$G$10001,0)),"")</f>
        <v/>
      </c>
    </row>
    <row r="5562">
      <c r="A5562">
        <f>IFERROR(INDEX('Email Cleaner'!$B$2:$B$10001,MATCH(5561,'Email Cleaner'!$G$2:$G$10001,0)),"")</f>
        <v/>
      </c>
    </row>
    <row r="5563">
      <c r="A5563">
        <f>IFERROR(INDEX('Email Cleaner'!$B$2:$B$10001,MATCH(5562,'Email Cleaner'!$G$2:$G$10001,0)),"")</f>
        <v/>
      </c>
    </row>
    <row r="5564">
      <c r="A5564">
        <f>IFERROR(INDEX('Email Cleaner'!$B$2:$B$10001,MATCH(5563,'Email Cleaner'!$G$2:$G$10001,0)),"")</f>
        <v/>
      </c>
    </row>
    <row r="5565">
      <c r="A5565">
        <f>IFERROR(INDEX('Email Cleaner'!$B$2:$B$10001,MATCH(5564,'Email Cleaner'!$G$2:$G$10001,0)),"")</f>
        <v/>
      </c>
    </row>
    <row r="5566">
      <c r="A5566">
        <f>IFERROR(INDEX('Email Cleaner'!$B$2:$B$10001,MATCH(5565,'Email Cleaner'!$G$2:$G$10001,0)),"")</f>
        <v/>
      </c>
    </row>
    <row r="5567">
      <c r="A5567">
        <f>IFERROR(INDEX('Email Cleaner'!$B$2:$B$10001,MATCH(5566,'Email Cleaner'!$G$2:$G$10001,0)),"")</f>
        <v/>
      </c>
    </row>
    <row r="5568">
      <c r="A5568">
        <f>IFERROR(INDEX('Email Cleaner'!$B$2:$B$10001,MATCH(5567,'Email Cleaner'!$G$2:$G$10001,0)),"")</f>
        <v/>
      </c>
    </row>
    <row r="5569">
      <c r="A5569">
        <f>IFERROR(INDEX('Email Cleaner'!$B$2:$B$10001,MATCH(5568,'Email Cleaner'!$G$2:$G$10001,0)),"")</f>
        <v/>
      </c>
    </row>
    <row r="5570">
      <c r="A5570">
        <f>IFERROR(INDEX('Email Cleaner'!$B$2:$B$10001,MATCH(5569,'Email Cleaner'!$G$2:$G$10001,0)),"")</f>
        <v/>
      </c>
    </row>
    <row r="5571">
      <c r="A5571">
        <f>IFERROR(INDEX('Email Cleaner'!$B$2:$B$10001,MATCH(5570,'Email Cleaner'!$G$2:$G$10001,0)),"")</f>
        <v/>
      </c>
    </row>
    <row r="5572">
      <c r="A5572">
        <f>IFERROR(INDEX('Email Cleaner'!$B$2:$B$10001,MATCH(5571,'Email Cleaner'!$G$2:$G$10001,0)),"")</f>
        <v/>
      </c>
    </row>
    <row r="5573">
      <c r="A5573">
        <f>IFERROR(INDEX('Email Cleaner'!$B$2:$B$10001,MATCH(5572,'Email Cleaner'!$G$2:$G$10001,0)),"")</f>
        <v/>
      </c>
    </row>
    <row r="5574">
      <c r="A5574">
        <f>IFERROR(INDEX('Email Cleaner'!$B$2:$B$10001,MATCH(5573,'Email Cleaner'!$G$2:$G$10001,0)),"")</f>
        <v/>
      </c>
    </row>
    <row r="5575">
      <c r="A5575">
        <f>IFERROR(INDEX('Email Cleaner'!$B$2:$B$10001,MATCH(5574,'Email Cleaner'!$G$2:$G$10001,0)),"")</f>
        <v/>
      </c>
    </row>
    <row r="5576">
      <c r="A5576">
        <f>IFERROR(INDEX('Email Cleaner'!$B$2:$B$10001,MATCH(5575,'Email Cleaner'!$G$2:$G$10001,0)),"")</f>
        <v/>
      </c>
    </row>
    <row r="5577">
      <c r="A5577">
        <f>IFERROR(INDEX('Email Cleaner'!$B$2:$B$10001,MATCH(5576,'Email Cleaner'!$G$2:$G$10001,0)),"")</f>
        <v/>
      </c>
    </row>
    <row r="5578">
      <c r="A5578">
        <f>IFERROR(INDEX('Email Cleaner'!$B$2:$B$10001,MATCH(5577,'Email Cleaner'!$G$2:$G$10001,0)),"")</f>
        <v/>
      </c>
    </row>
    <row r="5579">
      <c r="A5579">
        <f>IFERROR(INDEX('Email Cleaner'!$B$2:$B$10001,MATCH(5578,'Email Cleaner'!$G$2:$G$10001,0)),"")</f>
        <v/>
      </c>
    </row>
    <row r="5580">
      <c r="A5580">
        <f>IFERROR(INDEX('Email Cleaner'!$B$2:$B$10001,MATCH(5579,'Email Cleaner'!$G$2:$G$10001,0)),"")</f>
        <v/>
      </c>
    </row>
    <row r="5581">
      <c r="A5581">
        <f>IFERROR(INDEX('Email Cleaner'!$B$2:$B$10001,MATCH(5580,'Email Cleaner'!$G$2:$G$10001,0)),"")</f>
        <v/>
      </c>
    </row>
    <row r="5582">
      <c r="A5582">
        <f>IFERROR(INDEX('Email Cleaner'!$B$2:$B$10001,MATCH(5581,'Email Cleaner'!$G$2:$G$10001,0)),"")</f>
        <v/>
      </c>
    </row>
    <row r="5583">
      <c r="A5583">
        <f>IFERROR(INDEX('Email Cleaner'!$B$2:$B$10001,MATCH(5582,'Email Cleaner'!$G$2:$G$10001,0)),"")</f>
        <v/>
      </c>
    </row>
    <row r="5584">
      <c r="A5584">
        <f>IFERROR(INDEX('Email Cleaner'!$B$2:$B$10001,MATCH(5583,'Email Cleaner'!$G$2:$G$10001,0)),"")</f>
        <v/>
      </c>
    </row>
    <row r="5585">
      <c r="A5585">
        <f>IFERROR(INDEX('Email Cleaner'!$B$2:$B$10001,MATCH(5584,'Email Cleaner'!$G$2:$G$10001,0)),"")</f>
        <v/>
      </c>
    </row>
    <row r="5586">
      <c r="A5586">
        <f>IFERROR(INDEX('Email Cleaner'!$B$2:$B$10001,MATCH(5585,'Email Cleaner'!$G$2:$G$10001,0)),"")</f>
        <v/>
      </c>
    </row>
    <row r="5587">
      <c r="A5587">
        <f>IFERROR(INDEX('Email Cleaner'!$B$2:$B$10001,MATCH(5586,'Email Cleaner'!$G$2:$G$10001,0)),"")</f>
        <v/>
      </c>
    </row>
    <row r="5588">
      <c r="A5588">
        <f>IFERROR(INDEX('Email Cleaner'!$B$2:$B$10001,MATCH(5587,'Email Cleaner'!$G$2:$G$10001,0)),"")</f>
        <v/>
      </c>
    </row>
    <row r="5589">
      <c r="A5589">
        <f>IFERROR(INDEX('Email Cleaner'!$B$2:$B$10001,MATCH(5588,'Email Cleaner'!$G$2:$G$10001,0)),"")</f>
        <v/>
      </c>
    </row>
    <row r="5590">
      <c r="A5590">
        <f>IFERROR(INDEX('Email Cleaner'!$B$2:$B$10001,MATCH(5589,'Email Cleaner'!$G$2:$G$10001,0)),"")</f>
        <v/>
      </c>
    </row>
    <row r="5591">
      <c r="A5591">
        <f>IFERROR(INDEX('Email Cleaner'!$B$2:$B$10001,MATCH(5590,'Email Cleaner'!$G$2:$G$10001,0)),"")</f>
        <v/>
      </c>
    </row>
    <row r="5592">
      <c r="A5592">
        <f>IFERROR(INDEX('Email Cleaner'!$B$2:$B$10001,MATCH(5591,'Email Cleaner'!$G$2:$G$10001,0)),"")</f>
        <v/>
      </c>
    </row>
    <row r="5593">
      <c r="A5593">
        <f>IFERROR(INDEX('Email Cleaner'!$B$2:$B$10001,MATCH(5592,'Email Cleaner'!$G$2:$G$10001,0)),"")</f>
        <v/>
      </c>
    </row>
    <row r="5594">
      <c r="A5594">
        <f>IFERROR(INDEX('Email Cleaner'!$B$2:$B$10001,MATCH(5593,'Email Cleaner'!$G$2:$G$10001,0)),"")</f>
        <v/>
      </c>
    </row>
    <row r="5595">
      <c r="A5595">
        <f>IFERROR(INDEX('Email Cleaner'!$B$2:$B$10001,MATCH(5594,'Email Cleaner'!$G$2:$G$10001,0)),"")</f>
        <v/>
      </c>
    </row>
    <row r="5596">
      <c r="A5596">
        <f>IFERROR(INDEX('Email Cleaner'!$B$2:$B$10001,MATCH(5595,'Email Cleaner'!$G$2:$G$10001,0)),"")</f>
        <v/>
      </c>
    </row>
    <row r="5597">
      <c r="A5597">
        <f>IFERROR(INDEX('Email Cleaner'!$B$2:$B$10001,MATCH(5596,'Email Cleaner'!$G$2:$G$10001,0)),"")</f>
        <v/>
      </c>
    </row>
    <row r="5598">
      <c r="A5598">
        <f>IFERROR(INDEX('Email Cleaner'!$B$2:$B$10001,MATCH(5597,'Email Cleaner'!$G$2:$G$10001,0)),"")</f>
        <v/>
      </c>
    </row>
    <row r="5599">
      <c r="A5599">
        <f>IFERROR(INDEX('Email Cleaner'!$B$2:$B$10001,MATCH(5598,'Email Cleaner'!$G$2:$G$10001,0)),"")</f>
        <v/>
      </c>
    </row>
    <row r="5600">
      <c r="A5600">
        <f>IFERROR(INDEX('Email Cleaner'!$B$2:$B$10001,MATCH(5599,'Email Cleaner'!$G$2:$G$10001,0)),"")</f>
        <v/>
      </c>
    </row>
    <row r="5601">
      <c r="A5601">
        <f>IFERROR(INDEX('Email Cleaner'!$B$2:$B$10001,MATCH(5600,'Email Cleaner'!$G$2:$G$10001,0)),"")</f>
        <v/>
      </c>
    </row>
    <row r="5602">
      <c r="A5602">
        <f>IFERROR(INDEX('Email Cleaner'!$B$2:$B$10001,MATCH(5601,'Email Cleaner'!$G$2:$G$10001,0)),"")</f>
        <v/>
      </c>
    </row>
    <row r="5603">
      <c r="A5603">
        <f>IFERROR(INDEX('Email Cleaner'!$B$2:$B$10001,MATCH(5602,'Email Cleaner'!$G$2:$G$10001,0)),"")</f>
        <v/>
      </c>
    </row>
    <row r="5604">
      <c r="A5604">
        <f>IFERROR(INDEX('Email Cleaner'!$B$2:$B$10001,MATCH(5603,'Email Cleaner'!$G$2:$G$10001,0)),"")</f>
        <v/>
      </c>
    </row>
    <row r="5605">
      <c r="A5605">
        <f>IFERROR(INDEX('Email Cleaner'!$B$2:$B$10001,MATCH(5604,'Email Cleaner'!$G$2:$G$10001,0)),"")</f>
        <v/>
      </c>
    </row>
    <row r="5606">
      <c r="A5606">
        <f>IFERROR(INDEX('Email Cleaner'!$B$2:$B$10001,MATCH(5605,'Email Cleaner'!$G$2:$G$10001,0)),"")</f>
        <v/>
      </c>
    </row>
    <row r="5607">
      <c r="A5607">
        <f>IFERROR(INDEX('Email Cleaner'!$B$2:$B$10001,MATCH(5606,'Email Cleaner'!$G$2:$G$10001,0)),"")</f>
        <v/>
      </c>
    </row>
    <row r="5608">
      <c r="A5608">
        <f>IFERROR(INDEX('Email Cleaner'!$B$2:$B$10001,MATCH(5607,'Email Cleaner'!$G$2:$G$10001,0)),"")</f>
        <v/>
      </c>
    </row>
    <row r="5609">
      <c r="A5609">
        <f>IFERROR(INDEX('Email Cleaner'!$B$2:$B$10001,MATCH(5608,'Email Cleaner'!$G$2:$G$10001,0)),"")</f>
        <v/>
      </c>
    </row>
    <row r="5610">
      <c r="A5610">
        <f>IFERROR(INDEX('Email Cleaner'!$B$2:$B$10001,MATCH(5609,'Email Cleaner'!$G$2:$G$10001,0)),"")</f>
        <v/>
      </c>
    </row>
    <row r="5611">
      <c r="A5611">
        <f>IFERROR(INDEX('Email Cleaner'!$B$2:$B$10001,MATCH(5610,'Email Cleaner'!$G$2:$G$10001,0)),"")</f>
        <v/>
      </c>
    </row>
    <row r="5612">
      <c r="A5612">
        <f>IFERROR(INDEX('Email Cleaner'!$B$2:$B$10001,MATCH(5611,'Email Cleaner'!$G$2:$G$10001,0)),"")</f>
        <v/>
      </c>
    </row>
    <row r="5613">
      <c r="A5613">
        <f>IFERROR(INDEX('Email Cleaner'!$B$2:$B$10001,MATCH(5612,'Email Cleaner'!$G$2:$G$10001,0)),"")</f>
        <v/>
      </c>
    </row>
    <row r="5614">
      <c r="A5614">
        <f>IFERROR(INDEX('Email Cleaner'!$B$2:$B$10001,MATCH(5613,'Email Cleaner'!$G$2:$G$10001,0)),"")</f>
        <v/>
      </c>
    </row>
    <row r="5615">
      <c r="A5615">
        <f>IFERROR(INDEX('Email Cleaner'!$B$2:$B$10001,MATCH(5614,'Email Cleaner'!$G$2:$G$10001,0)),"")</f>
        <v/>
      </c>
    </row>
    <row r="5616">
      <c r="A5616">
        <f>IFERROR(INDEX('Email Cleaner'!$B$2:$B$10001,MATCH(5615,'Email Cleaner'!$G$2:$G$10001,0)),"")</f>
        <v/>
      </c>
    </row>
    <row r="5617">
      <c r="A5617">
        <f>IFERROR(INDEX('Email Cleaner'!$B$2:$B$10001,MATCH(5616,'Email Cleaner'!$G$2:$G$10001,0)),"")</f>
        <v/>
      </c>
    </row>
    <row r="5618">
      <c r="A5618">
        <f>IFERROR(INDEX('Email Cleaner'!$B$2:$B$10001,MATCH(5617,'Email Cleaner'!$G$2:$G$10001,0)),"")</f>
        <v/>
      </c>
    </row>
    <row r="5619">
      <c r="A5619">
        <f>IFERROR(INDEX('Email Cleaner'!$B$2:$B$10001,MATCH(5618,'Email Cleaner'!$G$2:$G$10001,0)),"")</f>
        <v/>
      </c>
    </row>
    <row r="5620">
      <c r="A5620">
        <f>IFERROR(INDEX('Email Cleaner'!$B$2:$B$10001,MATCH(5619,'Email Cleaner'!$G$2:$G$10001,0)),"")</f>
        <v/>
      </c>
    </row>
    <row r="5621">
      <c r="A5621">
        <f>IFERROR(INDEX('Email Cleaner'!$B$2:$B$10001,MATCH(5620,'Email Cleaner'!$G$2:$G$10001,0)),"")</f>
        <v/>
      </c>
    </row>
    <row r="5622">
      <c r="A5622">
        <f>IFERROR(INDEX('Email Cleaner'!$B$2:$B$10001,MATCH(5621,'Email Cleaner'!$G$2:$G$10001,0)),"")</f>
        <v/>
      </c>
    </row>
    <row r="5623">
      <c r="A5623">
        <f>IFERROR(INDEX('Email Cleaner'!$B$2:$B$10001,MATCH(5622,'Email Cleaner'!$G$2:$G$10001,0)),"")</f>
        <v/>
      </c>
    </row>
    <row r="5624">
      <c r="A5624">
        <f>IFERROR(INDEX('Email Cleaner'!$B$2:$B$10001,MATCH(5623,'Email Cleaner'!$G$2:$G$10001,0)),"")</f>
        <v/>
      </c>
    </row>
    <row r="5625">
      <c r="A5625">
        <f>IFERROR(INDEX('Email Cleaner'!$B$2:$B$10001,MATCH(5624,'Email Cleaner'!$G$2:$G$10001,0)),"")</f>
        <v/>
      </c>
    </row>
    <row r="5626">
      <c r="A5626">
        <f>IFERROR(INDEX('Email Cleaner'!$B$2:$B$10001,MATCH(5625,'Email Cleaner'!$G$2:$G$10001,0)),"")</f>
        <v/>
      </c>
    </row>
    <row r="5627">
      <c r="A5627">
        <f>IFERROR(INDEX('Email Cleaner'!$B$2:$B$10001,MATCH(5626,'Email Cleaner'!$G$2:$G$10001,0)),"")</f>
        <v/>
      </c>
    </row>
    <row r="5628">
      <c r="A5628">
        <f>IFERROR(INDEX('Email Cleaner'!$B$2:$B$10001,MATCH(5627,'Email Cleaner'!$G$2:$G$10001,0)),"")</f>
        <v/>
      </c>
    </row>
    <row r="5629">
      <c r="A5629">
        <f>IFERROR(INDEX('Email Cleaner'!$B$2:$B$10001,MATCH(5628,'Email Cleaner'!$G$2:$G$10001,0)),"")</f>
        <v/>
      </c>
    </row>
    <row r="5630">
      <c r="A5630">
        <f>IFERROR(INDEX('Email Cleaner'!$B$2:$B$10001,MATCH(5629,'Email Cleaner'!$G$2:$G$10001,0)),"")</f>
        <v/>
      </c>
    </row>
    <row r="5631">
      <c r="A5631">
        <f>IFERROR(INDEX('Email Cleaner'!$B$2:$B$10001,MATCH(5630,'Email Cleaner'!$G$2:$G$10001,0)),"")</f>
        <v/>
      </c>
    </row>
    <row r="5632">
      <c r="A5632">
        <f>IFERROR(INDEX('Email Cleaner'!$B$2:$B$10001,MATCH(5631,'Email Cleaner'!$G$2:$G$10001,0)),"")</f>
        <v/>
      </c>
    </row>
    <row r="5633">
      <c r="A5633">
        <f>IFERROR(INDEX('Email Cleaner'!$B$2:$B$10001,MATCH(5632,'Email Cleaner'!$G$2:$G$10001,0)),"")</f>
        <v/>
      </c>
    </row>
    <row r="5634">
      <c r="A5634">
        <f>IFERROR(INDEX('Email Cleaner'!$B$2:$B$10001,MATCH(5633,'Email Cleaner'!$G$2:$G$10001,0)),"")</f>
        <v/>
      </c>
    </row>
    <row r="5635">
      <c r="A5635">
        <f>IFERROR(INDEX('Email Cleaner'!$B$2:$B$10001,MATCH(5634,'Email Cleaner'!$G$2:$G$10001,0)),"")</f>
        <v/>
      </c>
    </row>
    <row r="5636">
      <c r="A5636">
        <f>IFERROR(INDEX('Email Cleaner'!$B$2:$B$10001,MATCH(5635,'Email Cleaner'!$G$2:$G$10001,0)),"")</f>
        <v/>
      </c>
    </row>
    <row r="5637">
      <c r="A5637">
        <f>IFERROR(INDEX('Email Cleaner'!$B$2:$B$10001,MATCH(5636,'Email Cleaner'!$G$2:$G$10001,0)),"")</f>
        <v/>
      </c>
    </row>
    <row r="5638">
      <c r="A5638">
        <f>IFERROR(INDEX('Email Cleaner'!$B$2:$B$10001,MATCH(5637,'Email Cleaner'!$G$2:$G$10001,0)),"")</f>
        <v/>
      </c>
    </row>
    <row r="5639">
      <c r="A5639">
        <f>IFERROR(INDEX('Email Cleaner'!$B$2:$B$10001,MATCH(5638,'Email Cleaner'!$G$2:$G$10001,0)),"")</f>
        <v/>
      </c>
    </row>
    <row r="5640">
      <c r="A5640">
        <f>IFERROR(INDEX('Email Cleaner'!$B$2:$B$10001,MATCH(5639,'Email Cleaner'!$G$2:$G$10001,0)),"")</f>
        <v/>
      </c>
    </row>
    <row r="5641">
      <c r="A5641">
        <f>IFERROR(INDEX('Email Cleaner'!$B$2:$B$10001,MATCH(5640,'Email Cleaner'!$G$2:$G$10001,0)),"")</f>
        <v/>
      </c>
    </row>
    <row r="5642">
      <c r="A5642">
        <f>IFERROR(INDEX('Email Cleaner'!$B$2:$B$10001,MATCH(5641,'Email Cleaner'!$G$2:$G$10001,0)),"")</f>
        <v/>
      </c>
    </row>
    <row r="5643">
      <c r="A5643">
        <f>IFERROR(INDEX('Email Cleaner'!$B$2:$B$10001,MATCH(5642,'Email Cleaner'!$G$2:$G$10001,0)),"")</f>
        <v/>
      </c>
    </row>
    <row r="5644">
      <c r="A5644">
        <f>IFERROR(INDEX('Email Cleaner'!$B$2:$B$10001,MATCH(5643,'Email Cleaner'!$G$2:$G$10001,0)),"")</f>
        <v/>
      </c>
    </row>
    <row r="5645">
      <c r="A5645">
        <f>IFERROR(INDEX('Email Cleaner'!$B$2:$B$10001,MATCH(5644,'Email Cleaner'!$G$2:$G$10001,0)),"")</f>
        <v/>
      </c>
    </row>
    <row r="5646">
      <c r="A5646">
        <f>IFERROR(INDEX('Email Cleaner'!$B$2:$B$10001,MATCH(5645,'Email Cleaner'!$G$2:$G$10001,0)),"")</f>
        <v/>
      </c>
    </row>
    <row r="5647">
      <c r="A5647">
        <f>IFERROR(INDEX('Email Cleaner'!$B$2:$B$10001,MATCH(5646,'Email Cleaner'!$G$2:$G$10001,0)),"")</f>
        <v/>
      </c>
    </row>
    <row r="5648">
      <c r="A5648">
        <f>IFERROR(INDEX('Email Cleaner'!$B$2:$B$10001,MATCH(5647,'Email Cleaner'!$G$2:$G$10001,0)),"")</f>
        <v/>
      </c>
    </row>
    <row r="5649">
      <c r="A5649">
        <f>IFERROR(INDEX('Email Cleaner'!$B$2:$B$10001,MATCH(5648,'Email Cleaner'!$G$2:$G$10001,0)),"")</f>
        <v/>
      </c>
    </row>
    <row r="5650">
      <c r="A5650">
        <f>IFERROR(INDEX('Email Cleaner'!$B$2:$B$10001,MATCH(5649,'Email Cleaner'!$G$2:$G$10001,0)),"")</f>
        <v/>
      </c>
    </row>
    <row r="5651">
      <c r="A5651">
        <f>IFERROR(INDEX('Email Cleaner'!$B$2:$B$10001,MATCH(5650,'Email Cleaner'!$G$2:$G$10001,0)),"")</f>
        <v/>
      </c>
    </row>
    <row r="5652">
      <c r="A5652">
        <f>IFERROR(INDEX('Email Cleaner'!$B$2:$B$10001,MATCH(5651,'Email Cleaner'!$G$2:$G$10001,0)),"")</f>
        <v/>
      </c>
    </row>
    <row r="5653">
      <c r="A5653">
        <f>IFERROR(INDEX('Email Cleaner'!$B$2:$B$10001,MATCH(5652,'Email Cleaner'!$G$2:$G$10001,0)),"")</f>
        <v/>
      </c>
    </row>
    <row r="5654">
      <c r="A5654">
        <f>IFERROR(INDEX('Email Cleaner'!$B$2:$B$10001,MATCH(5653,'Email Cleaner'!$G$2:$G$10001,0)),"")</f>
        <v/>
      </c>
    </row>
    <row r="5655">
      <c r="A5655">
        <f>IFERROR(INDEX('Email Cleaner'!$B$2:$B$10001,MATCH(5654,'Email Cleaner'!$G$2:$G$10001,0)),"")</f>
        <v/>
      </c>
    </row>
    <row r="5656">
      <c r="A5656">
        <f>IFERROR(INDEX('Email Cleaner'!$B$2:$B$10001,MATCH(5655,'Email Cleaner'!$G$2:$G$10001,0)),"")</f>
        <v/>
      </c>
    </row>
    <row r="5657">
      <c r="A5657">
        <f>IFERROR(INDEX('Email Cleaner'!$B$2:$B$10001,MATCH(5656,'Email Cleaner'!$G$2:$G$10001,0)),"")</f>
        <v/>
      </c>
    </row>
    <row r="5658">
      <c r="A5658">
        <f>IFERROR(INDEX('Email Cleaner'!$B$2:$B$10001,MATCH(5657,'Email Cleaner'!$G$2:$G$10001,0)),"")</f>
        <v/>
      </c>
    </row>
    <row r="5659">
      <c r="A5659">
        <f>IFERROR(INDEX('Email Cleaner'!$B$2:$B$10001,MATCH(5658,'Email Cleaner'!$G$2:$G$10001,0)),"")</f>
        <v/>
      </c>
    </row>
    <row r="5660">
      <c r="A5660">
        <f>IFERROR(INDEX('Email Cleaner'!$B$2:$B$10001,MATCH(5659,'Email Cleaner'!$G$2:$G$10001,0)),"")</f>
        <v/>
      </c>
    </row>
    <row r="5661">
      <c r="A5661">
        <f>IFERROR(INDEX('Email Cleaner'!$B$2:$B$10001,MATCH(5660,'Email Cleaner'!$G$2:$G$10001,0)),"")</f>
        <v/>
      </c>
    </row>
    <row r="5662">
      <c r="A5662">
        <f>IFERROR(INDEX('Email Cleaner'!$B$2:$B$10001,MATCH(5661,'Email Cleaner'!$G$2:$G$10001,0)),"")</f>
        <v/>
      </c>
    </row>
    <row r="5663">
      <c r="A5663">
        <f>IFERROR(INDEX('Email Cleaner'!$B$2:$B$10001,MATCH(5662,'Email Cleaner'!$G$2:$G$10001,0)),"")</f>
        <v/>
      </c>
    </row>
    <row r="5664">
      <c r="A5664">
        <f>IFERROR(INDEX('Email Cleaner'!$B$2:$B$10001,MATCH(5663,'Email Cleaner'!$G$2:$G$10001,0)),"")</f>
        <v/>
      </c>
    </row>
    <row r="5665">
      <c r="A5665">
        <f>IFERROR(INDEX('Email Cleaner'!$B$2:$B$10001,MATCH(5664,'Email Cleaner'!$G$2:$G$10001,0)),"")</f>
        <v/>
      </c>
    </row>
    <row r="5666">
      <c r="A5666">
        <f>IFERROR(INDEX('Email Cleaner'!$B$2:$B$10001,MATCH(5665,'Email Cleaner'!$G$2:$G$10001,0)),"")</f>
        <v/>
      </c>
    </row>
    <row r="5667">
      <c r="A5667">
        <f>IFERROR(INDEX('Email Cleaner'!$B$2:$B$10001,MATCH(5666,'Email Cleaner'!$G$2:$G$10001,0)),"")</f>
        <v/>
      </c>
    </row>
    <row r="5668">
      <c r="A5668">
        <f>IFERROR(INDEX('Email Cleaner'!$B$2:$B$10001,MATCH(5667,'Email Cleaner'!$G$2:$G$10001,0)),"")</f>
        <v/>
      </c>
    </row>
    <row r="5669">
      <c r="A5669">
        <f>IFERROR(INDEX('Email Cleaner'!$B$2:$B$10001,MATCH(5668,'Email Cleaner'!$G$2:$G$10001,0)),"")</f>
        <v/>
      </c>
    </row>
    <row r="5670">
      <c r="A5670">
        <f>IFERROR(INDEX('Email Cleaner'!$B$2:$B$10001,MATCH(5669,'Email Cleaner'!$G$2:$G$10001,0)),"")</f>
        <v/>
      </c>
    </row>
    <row r="5671">
      <c r="A5671">
        <f>IFERROR(INDEX('Email Cleaner'!$B$2:$B$10001,MATCH(5670,'Email Cleaner'!$G$2:$G$10001,0)),"")</f>
        <v/>
      </c>
    </row>
    <row r="5672">
      <c r="A5672">
        <f>IFERROR(INDEX('Email Cleaner'!$B$2:$B$10001,MATCH(5671,'Email Cleaner'!$G$2:$G$10001,0)),"")</f>
        <v/>
      </c>
    </row>
    <row r="5673">
      <c r="A5673">
        <f>IFERROR(INDEX('Email Cleaner'!$B$2:$B$10001,MATCH(5672,'Email Cleaner'!$G$2:$G$10001,0)),"")</f>
        <v/>
      </c>
    </row>
    <row r="5674">
      <c r="A5674">
        <f>IFERROR(INDEX('Email Cleaner'!$B$2:$B$10001,MATCH(5673,'Email Cleaner'!$G$2:$G$10001,0)),"")</f>
        <v/>
      </c>
    </row>
    <row r="5675">
      <c r="A5675">
        <f>IFERROR(INDEX('Email Cleaner'!$B$2:$B$10001,MATCH(5674,'Email Cleaner'!$G$2:$G$10001,0)),"")</f>
        <v/>
      </c>
    </row>
    <row r="5676">
      <c r="A5676">
        <f>IFERROR(INDEX('Email Cleaner'!$B$2:$B$10001,MATCH(5675,'Email Cleaner'!$G$2:$G$10001,0)),"")</f>
        <v/>
      </c>
    </row>
    <row r="5677">
      <c r="A5677">
        <f>IFERROR(INDEX('Email Cleaner'!$B$2:$B$10001,MATCH(5676,'Email Cleaner'!$G$2:$G$10001,0)),"")</f>
        <v/>
      </c>
    </row>
    <row r="5678">
      <c r="A5678">
        <f>IFERROR(INDEX('Email Cleaner'!$B$2:$B$10001,MATCH(5677,'Email Cleaner'!$G$2:$G$10001,0)),"")</f>
        <v/>
      </c>
    </row>
    <row r="5679">
      <c r="A5679">
        <f>IFERROR(INDEX('Email Cleaner'!$B$2:$B$10001,MATCH(5678,'Email Cleaner'!$G$2:$G$10001,0)),"")</f>
        <v/>
      </c>
    </row>
    <row r="5680">
      <c r="A5680">
        <f>IFERROR(INDEX('Email Cleaner'!$B$2:$B$10001,MATCH(5679,'Email Cleaner'!$G$2:$G$10001,0)),"")</f>
        <v/>
      </c>
    </row>
    <row r="5681">
      <c r="A5681">
        <f>IFERROR(INDEX('Email Cleaner'!$B$2:$B$10001,MATCH(5680,'Email Cleaner'!$G$2:$G$10001,0)),"")</f>
        <v/>
      </c>
    </row>
    <row r="5682">
      <c r="A5682">
        <f>IFERROR(INDEX('Email Cleaner'!$B$2:$B$10001,MATCH(5681,'Email Cleaner'!$G$2:$G$10001,0)),"")</f>
        <v/>
      </c>
    </row>
    <row r="5683">
      <c r="A5683">
        <f>IFERROR(INDEX('Email Cleaner'!$B$2:$B$10001,MATCH(5682,'Email Cleaner'!$G$2:$G$10001,0)),"")</f>
        <v/>
      </c>
    </row>
    <row r="5684">
      <c r="A5684">
        <f>IFERROR(INDEX('Email Cleaner'!$B$2:$B$10001,MATCH(5683,'Email Cleaner'!$G$2:$G$10001,0)),"")</f>
        <v/>
      </c>
    </row>
    <row r="5685">
      <c r="A5685">
        <f>IFERROR(INDEX('Email Cleaner'!$B$2:$B$10001,MATCH(5684,'Email Cleaner'!$G$2:$G$10001,0)),"")</f>
        <v/>
      </c>
    </row>
    <row r="5686">
      <c r="A5686">
        <f>IFERROR(INDEX('Email Cleaner'!$B$2:$B$10001,MATCH(5685,'Email Cleaner'!$G$2:$G$10001,0)),"")</f>
        <v/>
      </c>
    </row>
    <row r="5687">
      <c r="A5687">
        <f>IFERROR(INDEX('Email Cleaner'!$B$2:$B$10001,MATCH(5686,'Email Cleaner'!$G$2:$G$10001,0)),"")</f>
        <v/>
      </c>
    </row>
    <row r="5688">
      <c r="A5688">
        <f>IFERROR(INDEX('Email Cleaner'!$B$2:$B$10001,MATCH(5687,'Email Cleaner'!$G$2:$G$10001,0)),"")</f>
        <v/>
      </c>
    </row>
    <row r="5689">
      <c r="A5689">
        <f>IFERROR(INDEX('Email Cleaner'!$B$2:$B$10001,MATCH(5688,'Email Cleaner'!$G$2:$G$10001,0)),"")</f>
        <v/>
      </c>
    </row>
    <row r="5690">
      <c r="A5690">
        <f>IFERROR(INDEX('Email Cleaner'!$B$2:$B$10001,MATCH(5689,'Email Cleaner'!$G$2:$G$10001,0)),"")</f>
        <v/>
      </c>
    </row>
    <row r="5691">
      <c r="A5691">
        <f>IFERROR(INDEX('Email Cleaner'!$B$2:$B$10001,MATCH(5690,'Email Cleaner'!$G$2:$G$10001,0)),"")</f>
        <v/>
      </c>
    </row>
    <row r="5692">
      <c r="A5692">
        <f>IFERROR(INDEX('Email Cleaner'!$B$2:$B$10001,MATCH(5691,'Email Cleaner'!$G$2:$G$10001,0)),"")</f>
        <v/>
      </c>
    </row>
    <row r="5693">
      <c r="A5693">
        <f>IFERROR(INDEX('Email Cleaner'!$B$2:$B$10001,MATCH(5692,'Email Cleaner'!$G$2:$G$10001,0)),"")</f>
        <v/>
      </c>
    </row>
    <row r="5694">
      <c r="A5694">
        <f>IFERROR(INDEX('Email Cleaner'!$B$2:$B$10001,MATCH(5693,'Email Cleaner'!$G$2:$G$10001,0)),"")</f>
        <v/>
      </c>
    </row>
    <row r="5695">
      <c r="A5695">
        <f>IFERROR(INDEX('Email Cleaner'!$B$2:$B$10001,MATCH(5694,'Email Cleaner'!$G$2:$G$10001,0)),"")</f>
        <v/>
      </c>
    </row>
    <row r="5696">
      <c r="A5696">
        <f>IFERROR(INDEX('Email Cleaner'!$B$2:$B$10001,MATCH(5695,'Email Cleaner'!$G$2:$G$10001,0)),"")</f>
        <v/>
      </c>
    </row>
    <row r="5697">
      <c r="A5697">
        <f>IFERROR(INDEX('Email Cleaner'!$B$2:$B$10001,MATCH(5696,'Email Cleaner'!$G$2:$G$10001,0)),"")</f>
        <v/>
      </c>
    </row>
    <row r="5698">
      <c r="A5698">
        <f>IFERROR(INDEX('Email Cleaner'!$B$2:$B$10001,MATCH(5697,'Email Cleaner'!$G$2:$G$10001,0)),"")</f>
        <v/>
      </c>
    </row>
    <row r="5699">
      <c r="A5699">
        <f>IFERROR(INDEX('Email Cleaner'!$B$2:$B$10001,MATCH(5698,'Email Cleaner'!$G$2:$G$10001,0)),"")</f>
        <v/>
      </c>
    </row>
    <row r="5700">
      <c r="A5700">
        <f>IFERROR(INDEX('Email Cleaner'!$B$2:$B$10001,MATCH(5699,'Email Cleaner'!$G$2:$G$10001,0)),"")</f>
        <v/>
      </c>
    </row>
    <row r="5701">
      <c r="A5701">
        <f>IFERROR(INDEX('Email Cleaner'!$B$2:$B$10001,MATCH(5700,'Email Cleaner'!$G$2:$G$10001,0)),"")</f>
        <v/>
      </c>
    </row>
    <row r="5702">
      <c r="A5702">
        <f>IFERROR(INDEX('Email Cleaner'!$B$2:$B$10001,MATCH(5701,'Email Cleaner'!$G$2:$G$10001,0)),"")</f>
        <v/>
      </c>
    </row>
    <row r="5703">
      <c r="A5703">
        <f>IFERROR(INDEX('Email Cleaner'!$B$2:$B$10001,MATCH(5702,'Email Cleaner'!$G$2:$G$10001,0)),"")</f>
        <v/>
      </c>
    </row>
    <row r="5704">
      <c r="A5704">
        <f>IFERROR(INDEX('Email Cleaner'!$B$2:$B$10001,MATCH(5703,'Email Cleaner'!$G$2:$G$10001,0)),"")</f>
        <v/>
      </c>
    </row>
    <row r="5705">
      <c r="A5705">
        <f>IFERROR(INDEX('Email Cleaner'!$B$2:$B$10001,MATCH(5704,'Email Cleaner'!$G$2:$G$10001,0)),"")</f>
        <v/>
      </c>
    </row>
    <row r="5706">
      <c r="A5706">
        <f>IFERROR(INDEX('Email Cleaner'!$B$2:$B$10001,MATCH(5705,'Email Cleaner'!$G$2:$G$10001,0)),"")</f>
        <v/>
      </c>
    </row>
    <row r="5707">
      <c r="A5707">
        <f>IFERROR(INDEX('Email Cleaner'!$B$2:$B$10001,MATCH(5706,'Email Cleaner'!$G$2:$G$10001,0)),"")</f>
        <v/>
      </c>
    </row>
    <row r="5708">
      <c r="A5708">
        <f>IFERROR(INDEX('Email Cleaner'!$B$2:$B$10001,MATCH(5707,'Email Cleaner'!$G$2:$G$10001,0)),"")</f>
        <v/>
      </c>
    </row>
    <row r="5709">
      <c r="A5709">
        <f>IFERROR(INDEX('Email Cleaner'!$B$2:$B$10001,MATCH(5708,'Email Cleaner'!$G$2:$G$10001,0)),"")</f>
        <v/>
      </c>
    </row>
    <row r="5710">
      <c r="A5710">
        <f>IFERROR(INDEX('Email Cleaner'!$B$2:$B$10001,MATCH(5709,'Email Cleaner'!$G$2:$G$10001,0)),"")</f>
        <v/>
      </c>
    </row>
    <row r="5711">
      <c r="A5711">
        <f>IFERROR(INDEX('Email Cleaner'!$B$2:$B$10001,MATCH(5710,'Email Cleaner'!$G$2:$G$10001,0)),"")</f>
        <v/>
      </c>
    </row>
    <row r="5712">
      <c r="A5712">
        <f>IFERROR(INDEX('Email Cleaner'!$B$2:$B$10001,MATCH(5711,'Email Cleaner'!$G$2:$G$10001,0)),"")</f>
        <v/>
      </c>
    </row>
    <row r="5713">
      <c r="A5713">
        <f>IFERROR(INDEX('Email Cleaner'!$B$2:$B$10001,MATCH(5712,'Email Cleaner'!$G$2:$G$10001,0)),"")</f>
        <v/>
      </c>
    </row>
    <row r="5714">
      <c r="A5714">
        <f>IFERROR(INDEX('Email Cleaner'!$B$2:$B$10001,MATCH(5713,'Email Cleaner'!$G$2:$G$10001,0)),"")</f>
        <v/>
      </c>
    </row>
    <row r="5715">
      <c r="A5715">
        <f>IFERROR(INDEX('Email Cleaner'!$B$2:$B$10001,MATCH(5714,'Email Cleaner'!$G$2:$G$10001,0)),"")</f>
        <v/>
      </c>
    </row>
    <row r="5716">
      <c r="A5716">
        <f>IFERROR(INDEX('Email Cleaner'!$B$2:$B$10001,MATCH(5715,'Email Cleaner'!$G$2:$G$10001,0)),"")</f>
        <v/>
      </c>
    </row>
    <row r="5717">
      <c r="A5717">
        <f>IFERROR(INDEX('Email Cleaner'!$B$2:$B$10001,MATCH(5716,'Email Cleaner'!$G$2:$G$10001,0)),"")</f>
        <v/>
      </c>
    </row>
    <row r="5718">
      <c r="A5718">
        <f>IFERROR(INDEX('Email Cleaner'!$B$2:$B$10001,MATCH(5717,'Email Cleaner'!$G$2:$G$10001,0)),"")</f>
        <v/>
      </c>
    </row>
    <row r="5719">
      <c r="A5719">
        <f>IFERROR(INDEX('Email Cleaner'!$B$2:$B$10001,MATCH(5718,'Email Cleaner'!$G$2:$G$10001,0)),"")</f>
        <v/>
      </c>
    </row>
    <row r="5720">
      <c r="A5720">
        <f>IFERROR(INDEX('Email Cleaner'!$B$2:$B$10001,MATCH(5719,'Email Cleaner'!$G$2:$G$10001,0)),"")</f>
        <v/>
      </c>
    </row>
    <row r="5721">
      <c r="A5721">
        <f>IFERROR(INDEX('Email Cleaner'!$B$2:$B$10001,MATCH(5720,'Email Cleaner'!$G$2:$G$10001,0)),"")</f>
        <v/>
      </c>
    </row>
    <row r="5722">
      <c r="A5722">
        <f>IFERROR(INDEX('Email Cleaner'!$B$2:$B$10001,MATCH(5721,'Email Cleaner'!$G$2:$G$10001,0)),"")</f>
        <v/>
      </c>
    </row>
    <row r="5723">
      <c r="A5723">
        <f>IFERROR(INDEX('Email Cleaner'!$B$2:$B$10001,MATCH(5722,'Email Cleaner'!$G$2:$G$10001,0)),"")</f>
        <v/>
      </c>
    </row>
    <row r="5724">
      <c r="A5724">
        <f>IFERROR(INDEX('Email Cleaner'!$B$2:$B$10001,MATCH(5723,'Email Cleaner'!$G$2:$G$10001,0)),"")</f>
        <v/>
      </c>
    </row>
    <row r="5725">
      <c r="A5725">
        <f>IFERROR(INDEX('Email Cleaner'!$B$2:$B$10001,MATCH(5724,'Email Cleaner'!$G$2:$G$10001,0)),"")</f>
        <v/>
      </c>
    </row>
    <row r="5726">
      <c r="A5726">
        <f>IFERROR(INDEX('Email Cleaner'!$B$2:$B$10001,MATCH(5725,'Email Cleaner'!$G$2:$G$10001,0)),"")</f>
        <v/>
      </c>
    </row>
    <row r="5727">
      <c r="A5727">
        <f>IFERROR(INDEX('Email Cleaner'!$B$2:$B$10001,MATCH(5726,'Email Cleaner'!$G$2:$G$10001,0)),"")</f>
        <v/>
      </c>
    </row>
    <row r="5728">
      <c r="A5728">
        <f>IFERROR(INDEX('Email Cleaner'!$B$2:$B$10001,MATCH(5727,'Email Cleaner'!$G$2:$G$10001,0)),"")</f>
        <v/>
      </c>
    </row>
    <row r="5729">
      <c r="A5729">
        <f>IFERROR(INDEX('Email Cleaner'!$B$2:$B$10001,MATCH(5728,'Email Cleaner'!$G$2:$G$10001,0)),"")</f>
        <v/>
      </c>
    </row>
    <row r="5730">
      <c r="A5730">
        <f>IFERROR(INDEX('Email Cleaner'!$B$2:$B$10001,MATCH(5729,'Email Cleaner'!$G$2:$G$10001,0)),"")</f>
        <v/>
      </c>
    </row>
    <row r="5731">
      <c r="A5731">
        <f>IFERROR(INDEX('Email Cleaner'!$B$2:$B$10001,MATCH(5730,'Email Cleaner'!$G$2:$G$10001,0)),"")</f>
        <v/>
      </c>
    </row>
    <row r="5732">
      <c r="A5732">
        <f>IFERROR(INDEX('Email Cleaner'!$B$2:$B$10001,MATCH(5731,'Email Cleaner'!$G$2:$G$10001,0)),"")</f>
        <v/>
      </c>
    </row>
    <row r="5733">
      <c r="A5733">
        <f>IFERROR(INDEX('Email Cleaner'!$B$2:$B$10001,MATCH(5732,'Email Cleaner'!$G$2:$G$10001,0)),"")</f>
        <v/>
      </c>
    </row>
    <row r="5734">
      <c r="A5734">
        <f>IFERROR(INDEX('Email Cleaner'!$B$2:$B$10001,MATCH(5733,'Email Cleaner'!$G$2:$G$10001,0)),"")</f>
        <v/>
      </c>
    </row>
    <row r="5735">
      <c r="A5735">
        <f>IFERROR(INDEX('Email Cleaner'!$B$2:$B$10001,MATCH(5734,'Email Cleaner'!$G$2:$G$10001,0)),"")</f>
        <v/>
      </c>
    </row>
    <row r="5736">
      <c r="A5736">
        <f>IFERROR(INDEX('Email Cleaner'!$B$2:$B$10001,MATCH(5735,'Email Cleaner'!$G$2:$G$10001,0)),"")</f>
        <v/>
      </c>
    </row>
    <row r="5737">
      <c r="A5737">
        <f>IFERROR(INDEX('Email Cleaner'!$B$2:$B$10001,MATCH(5736,'Email Cleaner'!$G$2:$G$10001,0)),"")</f>
        <v/>
      </c>
    </row>
    <row r="5738">
      <c r="A5738">
        <f>IFERROR(INDEX('Email Cleaner'!$B$2:$B$10001,MATCH(5737,'Email Cleaner'!$G$2:$G$10001,0)),"")</f>
        <v/>
      </c>
    </row>
    <row r="5739">
      <c r="A5739">
        <f>IFERROR(INDEX('Email Cleaner'!$B$2:$B$10001,MATCH(5738,'Email Cleaner'!$G$2:$G$10001,0)),"")</f>
        <v/>
      </c>
    </row>
    <row r="5740">
      <c r="A5740">
        <f>IFERROR(INDEX('Email Cleaner'!$B$2:$B$10001,MATCH(5739,'Email Cleaner'!$G$2:$G$10001,0)),"")</f>
        <v/>
      </c>
    </row>
    <row r="5741">
      <c r="A5741">
        <f>IFERROR(INDEX('Email Cleaner'!$B$2:$B$10001,MATCH(5740,'Email Cleaner'!$G$2:$G$10001,0)),"")</f>
        <v/>
      </c>
    </row>
    <row r="5742">
      <c r="A5742">
        <f>IFERROR(INDEX('Email Cleaner'!$B$2:$B$10001,MATCH(5741,'Email Cleaner'!$G$2:$G$10001,0)),"")</f>
        <v/>
      </c>
    </row>
    <row r="5743">
      <c r="A5743">
        <f>IFERROR(INDEX('Email Cleaner'!$B$2:$B$10001,MATCH(5742,'Email Cleaner'!$G$2:$G$10001,0)),"")</f>
        <v/>
      </c>
    </row>
    <row r="5744">
      <c r="A5744">
        <f>IFERROR(INDEX('Email Cleaner'!$B$2:$B$10001,MATCH(5743,'Email Cleaner'!$G$2:$G$10001,0)),"")</f>
        <v/>
      </c>
    </row>
    <row r="5745">
      <c r="A5745">
        <f>IFERROR(INDEX('Email Cleaner'!$B$2:$B$10001,MATCH(5744,'Email Cleaner'!$G$2:$G$10001,0)),"")</f>
        <v/>
      </c>
    </row>
    <row r="5746">
      <c r="A5746">
        <f>IFERROR(INDEX('Email Cleaner'!$B$2:$B$10001,MATCH(5745,'Email Cleaner'!$G$2:$G$10001,0)),"")</f>
        <v/>
      </c>
    </row>
    <row r="5747">
      <c r="A5747">
        <f>IFERROR(INDEX('Email Cleaner'!$B$2:$B$10001,MATCH(5746,'Email Cleaner'!$G$2:$G$10001,0)),"")</f>
        <v/>
      </c>
    </row>
    <row r="5748">
      <c r="A5748">
        <f>IFERROR(INDEX('Email Cleaner'!$B$2:$B$10001,MATCH(5747,'Email Cleaner'!$G$2:$G$10001,0)),"")</f>
        <v/>
      </c>
    </row>
    <row r="5749">
      <c r="A5749">
        <f>IFERROR(INDEX('Email Cleaner'!$B$2:$B$10001,MATCH(5748,'Email Cleaner'!$G$2:$G$10001,0)),"")</f>
        <v/>
      </c>
    </row>
    <row r="5750">
      <c r="A5750">
        <f>IFERROR(INDEX('Email Cleaner'!$B$2:$B$10001,MATCH(5749,'Email Cleaner'!$G$2:$G$10001,0)),"")</f>
        <v/>
      </c>
    </row>
    <row r="5751">
      <c r="A5751">
        <f>IFERROR(INDEX('Email Cleaner'!$B$2:$B$10001,MATCH(5750,'Email Cleaner'!$G$2:$G$10001,0)),"")</f>
        <v/>
      </c>
    </row>
    <row r="5752">
      <c r="A5752">
        <f>IFERROR(INDEX('Email Cleaner'!$B$2:$B$10001,MATCH(5751,'Email Cleaner'!$G$2:$G$10001,0)),"")</f>
        <v/>
      </c>
    </row>
    <row r="5753">
      <c r="A5753">
        <f>IFERROR(INDEX('Email Cleaner'!$B$2:$B$10001,MATCH(5752,'Email Cleaner'!$G$2:$G$10001,0)),"")</f>
        <v/>
      </c>
    </row>
    <row r="5754">
      <c r="A5754">
        <f>IFERROR(INDEX('Email Cleaner'!$B$2:$B$10001,MATCH(5753,'Email Cleaner'!$G$2:$G$10001,0)),"")</f>
        <v/>
      </c>
    </row>
    <row r="5755">
      <c r="A5755">
        <f>IFERROR(INDEX('Email Cleaner'!$B$2:$B$10001,MATCH(5754,'Email Cleaner'!$G$2:$G$10001,0)),"")</f>
        <v/>
      </c>
    </row>
    <row r="5756">
      <c r="A5756">
        <f>IFERROR(INDEX('Email Cleaner'!$B$2:$B$10001,MATCH(5755,'Email Cleaner'!$G$2:$G$10001,0)),"")</f>
        <v/>
      </c>
    </row>
    <row r="5757">
      <c r="A5757">
        <f>IFERROR(INDEX('Email Cleaner'!$B$2:$B$10001,MATCH(5756,'Email Cleaner'!$G$2:$G$10001,0)),"")</f>
        <v/>
      </c>
    </row>
    <row r="5758">
      <c r="A5758">
        <f>IFERROR(INDEX('Email Cleaner'!$B$2:$B$10001,MATCH(5757,'Email Cleaner'!$G$2:$G$10001,0)),"")</f>
        <v/>
      </c>
    </row>
    <row r="5759">
      <c r="A5759">
        <f>IFERROR(INDEX('Email Cleaner'!$B$2:$B$10001,MATCH(5758,'Email Cleaner'!$G$2:$G$10001,0)),"")</f>
        <v/>
      </c>
    </row>
    <row r="5760">
      <c r="A5760">
        <f>IFERROR(INDEX('Email Cleaner'!$B$2:$B$10001,MATCH(5759,'Email Cleaner'!$G$2:$G$10001,0)),"")</f>
        <v/>
      </c>
    </row>
    <row r="5761">
      <c r="A5761">
        <f>IFERROR(INDEX('Email Cleaner'!$B$2:$B$10001,MATCH(5760,'Email Cleaner'!$G$2:$G$10001,0)),"")</f>
        <v/>
      </c>
    </row>
    <row r="5762">
      <c r="A5762">
        <f>IFERROR(INDEX('Email Cleaner'!$B$2:$B$10001,MATCH(5761,'Email Cleaner'!$G$2:$G$10001,0)),"")</f>
        <v/>
      </c>
    </row>
    <row r="5763">
      <c r="A5763">
        <f>IFERROR(INDEX('Email Cleaner'!$B$2:$B$10001,MATCH(5762,'Email Cleaner'!$G$2:$G$10001,0)),"")</f>
        <v/>
      </c>
    </row>
    <row r="5764">
      <c r="A5764">
        <f>IFERROR(INDEX('Email Cleaner'!$B$2:$B$10001,MATCH(5763,'Email Cleaner'!$G$2:$G$10001,0)),"")</f>
        <v/>
      </c>
    </row>
    <row r="5765">
      <c r="A5765">
        <f>IFERROR(INDEX('Email Cleaner'!$B$2:$B$10001,MATCH(5764,'Email Cleaner'!$G$2:$G$10001,0)),"")</f>
        <v/>
      </c>
    </row>
    <row r="5766">
      <c r="A5766">
        <f>IFERROR(INDEX('Email Cleaner'!$B$2:$B$10001,MATCH(5765,'Email Cleaner'!$G$2:$G$10001,0)),"")</f>
        <v/>
      </c>
    </row>
    <row r="5767">
      <c r="A5767">
        <f>IFERROR(INDEX('Email Cleaner'!$B$2:$B$10001,MATCH(5766,'Email Cleaner'!$G$2:$G$10001,0)),"")</f>
        <v/>
      </c>
    </row>
    <row r="5768">
      <c r="A5768">
        <f>IFERROR(INDEX('Email Cleaner'!$B$2:$B$10001,MATCH(5767,'Email Cleaner'!$G$2:$G$10001,0)),"")</f>
        <v/>
      </c>
    </row>
    <row r="5769">
      <c r="A5769">
        <f>IFERROR(INDEX('Email Cleaner'!$B$2:$B$10001,MATCH(5768,'Email Cleaner'!$G$2:$G$10001,0)),"")</f>
        <v/>
      </c>
    </row>
    <row r="5770">
      <c r="A5770">
        <f>IFERROR(INDEX('Email Cleaner'!$B$2:$B$10001,MATCH(5769,'Email Cleaner'!$G$2:$G$10001,0)),"")</f>
        <v/>
      </c>
    </row>
    <row r="5771">
      <c r="A5771">
        <f>IFERROR(INDEX('Email Cleaner'!$B$2:$B$10001,MATCH(5770,'Email Cleaner'!$G$2:$G$10001,0)),"")</f>
        <v/>
      </c>
    </row>
    <row r="5772">
      <c r="A5772">
        <f>IFERROR(INDEX('Email Cleaner'!$B$2:$B$10001,MATCH(5771,'Email Cleaner'!$G$2:$G$10001,0)),"")</f>
        <v/>
      </c>
    </row>
    <row r="5773">
      <c r="A5773">
        <f>IFERROR(INDEX('Email Cleaner'!$B$2:$B$10001,MATCH(5772,'Email Cleaner'!$G$2:$G$10001,0)),"")</f>
        <v/>
      </c>
    </row>
    <row r="5774">
      <c r="A5774">
        <f>IFERROR(INDEX('Email Cleaner'!$B$2:$B$10001,MATCH(5773,'Email Cleaner'!$G$2:$G$10001,0)),"")</f>
        <v/>
      </c>
    </row>
    <row r="5775">
      <c r="A5775">
        <f>IFERROR(INDEX('Email Cleaner'!$B$2:$B$10001,MATCH(5774,'Email Cleaner'!$G$2:$G$10001,0)),"")</f>
        <v/>
      </c>
    </row>
    <row r="5776">
      <c r="A5776">
        <f>IFERROR(INDEX('Email Cleaner'!$B$2:$B$10001,MATCH(5775,'Email Cleaner'!$G$2:$G$10001,0)),"")</f>
        <v/>
      </c>
    </row>
    <row r="5777">
      <c r="A5777">
        <f>IFERROR(INDEX('Email Cleaner'!$B$2:$B$10001,MATCH(5776,'Email Cleaner'!$G$2:$G$10001,0)),"")</f>
        <v/>
      </c>
    </row>
    <row r="5778">
      <c r="A5778">
        <f>IFERROR(INDEX('Email Cleaner'!$B$2:$B$10001,MATCH(5777,'Email Cleaner'!$G$2:$G$10001,0)),"")</f>
        <v/>
      </c>
    </row>
    <row r="5779">
      <c r="A5779">
        <f>IFERROR(INDEX('Email Cleaner'!$B$2:$B$10001,MATCH(5778,'Email Cleaner'!$G$2:$G$10001,0)),"")</f>
        <v/>
      </c>
    </row>
    <row r="5780">
      <c r="A5780">
        <f>IFERROR(INDEX('Email Cleaner'!$B$2:$B$10001,MATCH(5779,'Email Cleaner'!$G$2:$G$10001,0)),"")</f>
        <v/>
      </c>
    </row>
    <row r="5781">
      <c r="A5781">
        <f>IFERROR(INDEX('Email Cleaner'!$B$2:$B$10001,MATCH(5780,'Email Cleaner'!$G$2:$G$10001,0)),"")</f>
        <v/>
      </c>
    </row>
    <row r="5782">
      <c r="A5782">
        <f>IFERROR(INDEX('Email Cleaner'!$B$2:$B$10001,MATCH(5781,'Email Cleaner'!$G$2:$G$10001,0)),"")</f>
        <v/>
      </c>
    </row>
    <row r="5783">
      <c r="A5783">
        <f>IFERROR(INDEX('Email Cleaner'!$B$2:$B$10001,MATCH(5782,'Email Cleaner'!$G$2:$G$10001,0)),"")</f>
        <v/>
      </c>
    </row>
    <row r="5784">
      <c r="A5784">
        <f>IFERROR(INDEX('Email Cleaner'!$B$2:$B$10001,MATCH(5783,'Email Cleaner'!$G$2:$G$10001,0)),"")</f>
        <v/>
      </c>
    </row>
    <row r="5785">
      <c r="A5785">
        <f>IFERROR(INDEX('Email Cleaner'!$B$2:$B$10001,MATCH(5784,'Email Cleaner'!$G$2:$G$10001,0)),"")</f>
        <v/>
      </c>
    </row>
    <row r="5786">
      <c r="A5786">
        <f>IFERROR(INDEX('Email Cleaner'!$B$2:$B$10001,MATCH(5785,'Email Cleaner'!$G$2:$G$10001,0)),"")</f>
        <v/>
      </c>
    </row>
    <row r="5787">
      <c r="A5787">
        <f>IFERROR(INDEX('Email Cleaner'!$B$2:$B$10001,MATCH(5786,'Email Cleaner'!$G$2:$G$10001,0)),"")</f>
        <v/>
      </c>
    </row>
    <row r="5788">
      <c r="A5788">
        <f>IFERROR(INDEX('Email Cleaner'!$B$2:$B$10001,MATCH(5787,'Email Cleaner'!$G$2:$G$10001,0)),"")</f>
        <v/>
      </c>
    </row>
    <row r="5789">
      <c r="A5789">
        <f>IFERROR(INDEX('Email Cleaner'!$B$2:$B$10001,MATCH(5788,'Email Cleaner'!$G$2:$G$10001,0)),"")</f>
        <v/>
      </c>
    </row>
    <row r="5790">
      <c r="A5790">
        <f>IFERROR(INDEX('Email Cleaner'!$B$2:$B$10001,MATCH(5789,'Email Cleaner'!$G$2:$G$10001,0)),"")</f>
        <v/>
      </c>
    </row>
    <row r="5791">
      <c r="A5791">
        <f>IFERROR(INDEX('Email Cleaner'!$B$2:$B$10001,MATCH(5790,'Email Cleaner'!$G$2:$G$10001,0)),"")</f>
        <v/>
      </c>
    </row>
    <row r="5792">
      <c r="A5792">
        <f>IFERROR(INDEX('Email Cleaner'!$B$2:$B$10001,MATCH(5791,'Email Cleaner'!$G$2:$G$10001,0)),"")</f>
        <v/>
      </c>
    </row>
    <row r="5793">
      <c r="A5793">
        <f>IFERROR(INDEX('Email Cleaner'!$B$2:$B$10001,MATCH(5792,'Email Cleaner'!$G$2:$G$10001,0)),"")</f>
        <v/>
      </c>
    </row>
    <row r="5794">
      <c r="A5794">
        <f>IFERROR(INDEX('Email Cleaner'!$B$2:$B$10001,MATCH(5793,'Email Cleaner'!$G$2:$G$10001,0)),"")</f>
        <v/>
      </c>
    </row>
    <row r="5795">
      <c r="A5795">
        <f>IFERROR(INDEX('Email Cleaner'!$B$2:$B$10001,MATCH(5794,'Email Cleaner'!$G$2:$G$10001,0)),"")</f>
        <v/>
      </c>
    </row>
    <row r="5796">
      <c r="A5796">
        <f>IFERROR(INDEX('Email Cleaner'!$B$2:$B$10001,MATCH(5795,'Email Cleaner'!$G$2:$G$10001,0)),"")</f>
        <v/>
      </c>
    </row>
    <row r="5797">
      <c r="A5797">
        <f>IFERROR(INDEX('Email Cleaner'!$B$2:$B$10001,MATCH(5796,'Email Cleaner'!$G$2:$G$10001,0)),"")</f>
        <v/>
      </c>
    </row>
    <row r="5798">
      <c r="A5798">
        <f>IFERROR(INDEX('Email Cleaner'!$B$2:$B$10001,MATCH(5797,'Email Cleaner'!$G$2:$G$10001,0)),"")</f>
        <v/>
      </c>
    </row>
    <row r="5799">
      <c r="A5799">
        <f>IFERROR(INDEX('Email Cleaner'!$B$2:$B$10001,MATCH(5798,'Email Cleaner'!$G$2:$G$10001,0)),"")</f>
        <v/>
      </c>
    </row>
    <row r="5800">
      <c r="A5800">
        <f>IFERROR(INDEX('Email Cleaner'!$B$2:$B$10001,MATCH(5799,'Email Cleaner'!$G$2:$G$10001,0)),"")</f>
        <v/>
      </c>
    </row>
    <row r="5801">
      <c r="A5801">
        <f>IFERROR(INDEX('Email Cleaner'!$B$2:$B$10001,MATCH(5800,'Email Cleaner'!$G$2:$G$10001,0)),"")</f>
        <v/>
      </c>
    </row>
    <row r="5802">
      <c r="A5802">
        <f>IFERROR(INDEX('Email Cleaner'!$B$2:$B$10001,MATCH(5801,'Email Cleaner'!$G$2:$G$10001,0)),"")</f>
        <v/>
      </c>
    </row>
    <row r="5803">
      <c r="A5803">
        <f>IFERROR(INDEX('Email Cleaner'!$B$2:$B$10001,MATCH(5802,'Email Cleaner'!$G$2:$G$10001,0)),"")</f>
        <v/>
      </c>
    </row>
    <row r="5804">
      <c r="A5804">
        <f>IFERROR(INDEX('Email Cleaner'!$B$2:$B$10001,MATCH(5803,'Email Cleaner'!$G$2:$G$10001,0)),"")</f>
        <v/>
      </c>
    </row>
    <row r="5805">
      <c r="A5805">
        <f>IFERROR(INDEX('Email Cleaner'!$B$2:$B$10001,MATCH(5804,'Email Cleaner'!$G$2:$G$10001,0)),"")</f>
        <v/>
      </c>
    </row>
    <row r="5806">
      <c r="A5806">
        <f>IFERROR(INDEX('Email Cleaner'!$B$2:$B$10001,MATCH(5805,'Email Cleaner'!$G$2:$G$10001,0)),"")</f>
        <v/>
      </c>
    </row>
    <row r="5807">
      <c r="A5807">
        <f>IFERROR(INDEX('Email Cleaner'!$B$2:$B$10001,MATCH(5806,'Email Cleaner'!$G$2:$G$10001,0)),"")</f>
        <v/>
      </c>
    </row>
    <row r="5808">
      <c r="A5808">
        <f>IFERROR(INDEX('Email Cleaner'!$B$2:$B$10001,MATCH(5807,'Email Cleaner'!$G$2:$G$10001,0)),"")</f>
        <v/>
      </c>
    </row>
    <row r="5809">
      <c r="A5809">
        <f>IFERROR(INDEX('Email Cleaner'!$B$2:$B$10001,MATCH(5808,'Email Cleaner'!$G$2:$G$10001,0)),"")</f>
        <v/>
      </c>
    </row>
    <row r="5810">
      <c r="A5810">
        <f>IFERROR(INDEX('Email Cleaner'!$B$2:$B$10001,MATCH(5809,'Email Cleaner'!$G$2:$G$10001,0)),"")</f>
        <v/>
      </c>
    </row>
    <row r="5811">
      <c r="A5811">
        <f>IFERROR(INDEX('Email Cleaner'!$B$2:$B$10001,MATCH(5810,'Email Cleaner'!$G$2:$G$10001,0)),"")</f>
        <v/>
      </c>
    </row>
    <row r="5812">
      <c r="A5812">
        <f>IFERROR(INDEX('Email Cleaner'!$B$2:$B$10001,MATCH(5811,'Email Cleaner'!$G$2:$G$10001,0)),"")</f>
        <v/>
      </c>
    </row>
    <row r="5813">
      <c r="A5813">
        <f>IFERROR(INDEX('Email Cleaner'!$B$2:$B$10001,MATCH(5812,'Email Cleaner'!$G$2:$G$10001,0)),"")</f>
        <v/>
      </c>
    </row>
    <row r="5814">
      <c r="A5814">
        <f>IFERROR(INDEX('Email Cleaner'!$B$2:$B$10001,MATCH(5813,'Email Cleaner'!$G$2:$G$10001,0)),"")</f>
        <v/>
      </c>
    </row>
    <row r="5815">
      <c r="A5815">
        <f>IFERROR(INDEX('Email Cleaner'!$B$2:$B$10001,MATCH(5814,'Email Cleaner'!$G$2:$G$10001,0)),"")</f>
        <v/>
      </c>
    </row>
    <row r="5816">
      <c r="A5816">
        <f>IFERROR(INDEX('Email Cleaner'!$B$2:$B$10001,MATCH(5815,'Email Cleaner'!$G$2:$G$10001,0)),"")</f>
        <v/>
      </c>
    </row>
    <row r="5817">
      <c r="A5817">
        <f>IFERROR(INDEX('Email Cleaner'!$B$2:$B$10001,MATCH(5816,'Email Cleaner'!$G$2:$G$10001,0)),"")</f>
        <v/>
      </c>
    </row>
    <row r="5818">
      <c r="A5818">
        <f>IFERROR(INDEX('Email Cleaner'!$B$2:$B$10001,MATCH(5817,'Email Cleaner'!$G$2:$G$10001,0)),"")</f>
        <v/>
      </c>
    </row>
    <row r="5819">
      <c r="A5819">
        <f>IFERROR(INDEX('Email Cleaner'!$B$2:$B$10001,MATCH(5818,'Email Cleaner'!$G$2:$G$10001,0)),"")</f>
        <v/>
      </c>
    </row>
    <row r="5820">
      <c r="A5820">
        <f>IFERROR(INDEX('Email Cleaner'!$B$2:$B$10001,MATCH(5819,'Email Cleaner'!$G$2:$G$10001,0)),"")</f>
        <v/>
      </c>
    </row>
    <row r="5821">
      <c r="A5821">
        <f>IFERROR(INDEX('Email Cleaner'!$B$2:$B$10001,MATCH(5820,'Email Cleaner'!$G$2:$G$10001,0)),"")</f>
        <v/>
      </c>
    </row>
    <row r="5822">
      <c r="A5822">
        <f>IFERROR(INDEX('Email Cleaner'!$B$2:$B$10001,MATCH(5821,'Email Cleaner'!$G$2:$G$10001,0)),"")</f>
        <v/>
      </c>
    </row>
    <row r="5823">
      <c r="A5823">
        <f>IFERROR(INDEX('Email Cleaner'!$B$2:$B$10001,MATCH(5822,'Email Cleaner'!$G$2:$G$10001,0)),"")</f>
        <v/>
      </c>
    </row>
    <row r="5824">
      <c r="A5824">
        <f>IFERROR(INDEX('Email Cleaner'!$B$2:$B$10001,MATCH(5823,'Email Cleaner'!$G$2:$G$10001,0)),"")</f>
        <v/>
      </c>
    </row>
    <row r="5825">
      <c r="A5825">
        <f>IFERROR(INDEX('Email Cleaner'!$B$2:$B$10001,MATCH(5824,'Email Cleaner'!$G$2:$G$10001,0)),"")</f>
        <v/>
      </c>
    </row>
    <row r="5826">
      <c r="A5826">
        <f>IFERROR(INDEX('Email Cleaner'!$B$2:$B$10001,MATCH(5825,'Email Cleaner'!$G$2:$G$10001,0)),"")</f>
        <v/>
      </c>
    </row>
    <row r="5827">
      <c r="A5827">
        <f>IFERROR(INDEX('Email Cleaner'!$B$2:$B$10001,MATCH(5826,'Email Cleaner'!$G$2:$G$10001,0)),"")</f>
        <v/>
      </c>
    </row>
    <row r="5828">
      <c r="A5828">
        <f>IFERROR(INDEX('Email Cleaner'!$B$2:$B$10001,MATCH(5827,'Email Cleaner'!$G$2:$G$10001,0)),"")</f>
        <v/>
      </c>
    </row>
    <row r="5829">
      <c r="A5829">
        <f>IFERROR(INDEX('Email Cleaner'!$B$2:$B$10001,MATCH(5828,'Email Cleaner'!$G$2:$G$10001,0)),"")</f>
        <v/>
      </c>
    </row>
    <row r="5830">
      <c r="A5830">
        <f>IFERROR(INDEX('Email Cleaner'!$B$2:$B$10001,MATCH(5829,'Email Cleaner'!$G$2:$G$10001,0)),"")</f>
        <v/>
      </c>
    </row>
    <row r="5831">
      <c r="A5831">
        <f>IFERROR(INDEX('Email Cleaner'!$B$2:$B$10001,MATCH(5830,'Email Cleaner'!$G$2:$G$10001,0)),"")</f>
        <v/>
      </c>
    </row>
    <row r="5832">
      <c r="A5832">
        <f>IFERROR(INDEX('Email Cleaner'!$B$2:$B$10001,MATCH(5831,'Email Cleaner'!$G$2:$G$10001,0)),"")</f>
        <v/>
      </c>
    </row>
    <row r="5833">
      <c r="A5833">
        <f>IFERROR(INDEX('Email Cleaner'!$B$2:$B$10001,MATCH(5832,'Email Cleaner'!$G$2:$G$10001,0)),"")</f>
        <v/>
      </c>
    </row>
    <row r="5834">
      <c r="A5834">
        <f>IFERROR(INDEX('Email Cleaner'!$B$2:$B$10001,MATCH(5833,'Email Cleaner'!$G$2:$G$10001,0)),"")</f>
        <v/>
      </c>
    </row>
    <row r="5835">
      <c r="A5835">
        <f>IFERROR(INDEX('Email Cleaner'!$B$2:$B$10001,MATCH(5834,'Email Cleaner'!$G$2:$G$10001,0)),"")</f>
        <v/>
      </c>
    </row>
    <row r="5836">
      <c r="A5836">
        <f>IFERROR(INDEX('Email Cleaner'!$B$2:$B$10001,MATCH(5835,'Email Cleaner'!$G$2:$G$10001,0)),"")</f>
        <v/>
      </c>
    </row>
    <row r="5837">
      <c r="A5837">
        <f>IFERROR(INDEX('Email Cleaner'!$B$2:$B$10001,MATCH(5836,'Email Cleaner'!$G$2:$G$10001,0)),"")</f>
        <v/>
      </c>
    </row>
    <row r="5838">
      <c r="A5838">
        <f>IFERROR(INDEX('Email Cleaner'!$B$2:$B$10001,MATCH(5837,'Email Cleaner'!$G$2:$G$10001,0)),"")</f>
        <v/>
      </c>
    </row>
    <row r="5839">
      <c r="A5839">
        <f>IFERROR(INDEX('Email Cleaner'!$B$2:$B$10001,MATCH(5838,'Email Cleaner'!$G$2:$G$10001,0)),"")</f>
        <v/>
      </c>
    </row>
    <row r="5840">
      <c r="A5840">
        <f>IFERROR(INDEX('Email Cleaner'!$B$2:$B$10001,MATCH(5839,'Email Cleaner'!$G$2:$G$10001,0)),"")</f>
        <v/>
      </c>
    </row>
    <row r="5841">
      <c r="A5841">
        <f>IFERROR(INDEX('Email Cleaner'!$B$2:$B$10001,MATCH(5840,'Email Cleaner'!$G$2:$G$10001,0)),"")</f>
        <v/>
      </c>
    </row>
    <row r="5842">
      <c r="A5842">
        <f>IFERROR(INDEX('Email Cleaner'!$B$2:$B$10001,MATCH(5841,'Email Cleaner'!$G$2:$G$10001,0)),"")</f>
        <v/>
      </c>
    </row>
    <row r="5843">
      <c r="A5843">
        <f>IFERROR(INDEX('Email Cleaner'!$B$2:$B$10001,MATCH(5842,'Email Cleaner'!$G$2:$G$10001,0)),"")</f>
        <v/>
      </c>
    </row>
    <row r="5844">
      <c r="A5844">
        <f>IFERROR(INDEX('Email Cleaner'!$B$2:$B$10001,MATCH(5843,'Email Cleaner'!$G$2:$G$10001,0)),"")</f>
        <v/>
      </c>
    </row>
    <row r="5845">
      <c r="A5845">
        <f>IFERROR(INDEX('Email Cleaner'!$B$2:$B$10001,MATCH(5844,'Email Cleaner'!$G$2:$G$10001,0)),"")</f>
        <v/>
      </c>
    </row>
    <row r="5846">
      <c r="A5846">
        <f>IFERROR(INDEX('Email Cleaner'!$B$2:$B$10001,MATCH(5845,'Email Cleaner'!$G$2:$G$10001,0)),"")</f>
        <v/>
      </c>
    </row>
    <row r="5847">
      <c r="A5847">
        <f>IFERROR(INDEX('Email Cleaner'!$B$2:$B$10001,MATCH(5846,'Email Cleaner'!$G$2:$G$10001,0)),"")</f>
        <v/>
      </c>
    </row>
    <row r="5848">
      <c r="A5848">
        <f>IFERROR(INDEX('Email Cleaner'!$B$2:$B$10001,MATCH(5847,'Email Cleaner'!$G$2:$G$10001,0)),"")</f>
        <v/>
      </c>
    </row>
    <row r="5849">
      <c r="A5849">
        <f>IFERROR(INDEX('Email Cleaner'!$B$2:$B$10001,MATCH(5848,'Email Cleaner'!$G$2:$G$10001,0)),"")</f>
        <v/>
      </c>
    </row>
    <row r="5850">
      <c r="A5850">
        <f>IFERROR(INDEX('Email Cleaner'!$B$2:$B$10001,MATCH(5849,'Email Cleaner'!$G$2:$G$10001,0)),"")</f>
        <v/>
      </c>
    </row>
    <row r="5851">
      <c r="A5851">
        <f>IFERROR(INDEX('Email Cleaner'!$B$2:$B$10001,MATCH(5850,'Email Cleaner'!$G$2:$G$10001,0)),"")</f>
        <v/>
      </c>
    </row>
    <row r="5852">
      <c r="A5852">
        <f>IFERROR(INDEX('Email Cleaner'!$B$2:$B$10001,MATCH(5851,'Email Cleaner'!$G$2:$G$10001,0)),"")</f>
        <v/>
      </c>
    </row>
    <row r="5853">
      <c r="A5853">
        <f>IFERROR(INDEX('Email Cleaner'!$B$2:$B$10001,MATCH(5852,'Email Cleaner'!$G$2:$G$10001,0)),"")</f>
        <v/>
      </c>
    </row>
    <row r="5854">
      <c r="A5854">
        <f>IFERROR(INDEX('Email Cleaner'!$B$2:$B$10001,MATCH(5853,'Email Cleaner'!$G$2:$G$10001,0)),"")</f>
        <v/>
      </c>
    </row>
    <row r="5855">
      <c r="A5855">
        <f>IFERROR(INDEX('Email Cleaner'!$B$2:$B$10001,MATCH(5854,'Email Cleaner'!$G$2:$G$10001,0)),"")</f>
        <v/>
      </c>
    </row>
    <row r="5856">
      <c r="A5856">
        <f>IFERROR(INDEX('Email Cleaner'!$B$2:$B$10001,MATCH(5855,'Email Cleaner'!$G$2:$G$10001,0)),"")</f>
        <v/>
      </c>
    </row>
    <row r="5857">
      <c r="A5857">
        <f>IFERROR(INDEX('Email Cleaner'!$B$2:$B$10001,MATCH(5856,'Email Cleaner'!$G$2:$G$10001,0)),"")</f>
        <v/>
      </c>
    </row>
    <row r="5858">
      <c r="A5858">
        <f>IFERROR(INDEX('Email Cleaner'!$B$2:$B$10001,MATCH(5857,'Email Cleaner'!$G$2:$G$10001,0)),"")</f>
        <v/>
      </c>
    </row>
    <row r="5859">
      <c r="A5859">
        <f>IFERROR(INDEX('Email Cleaner'!$B$2:$B$10001,MATCH(5858,'Email Cleaner'!$G$2:$G$10001,0)),"")</f>
        <v/>
      </c>
    </row>
    <row r="5860">
      <c r="A5860">
        <f>IFERROR(INDEX('Email Cleaner'!$B$2:$B$10001,MATCH(5859,'Email Cleaner'!$G$2:$G$10001,0)),"")</f>
        <v/>
      </c>
    </row>
    <row r="5861">
      <c r="A5861">
        <f>IFERROR(INDEX('Email Cleaner'!$B$2:$B$10001,MATCH(5860,'Email Cleaner'!$G$2:$G$10001,0)),"")</f>
        <v/>
      </c>
    </row>
    <row r="5862">
      <c r="A5862">
        <f>IFERROR(INDEX('Email Cleaner'!$B$2:$B$10001,MATCH(5861,'Email Cleaner'!$G$2:$G$10001,0)),"")</f>
        <v/>
      </c>
    </row>
    <row r="5863">
      <c r="A5863">
        <f>IFERROR(INDEX('Email Cleaner'!$B$2:$B$10001,MATCH(5862,'Email Cleaner'!$G$2:$G$10001,0)),"")</f>
        <v/>
      </c>
    </row>
    <row r="5864">
      <c r="A5864">
        <f>IFERROR(INDEX('Email Cleaner'!$B$2:$B$10001,MATCH(5863,'Email Cleaner'!$G$2:$G$10001,0)),"")</f>
        <v/>
      </c>
    </row>
    <row r="5865">
      <c r="A5865">
        <f>IFERROR(INDEX('Email Cleaner'!$B$2:$B$10001,MATCH(5864,'Email Cleaner'!$G$2:$G$10001,0)),"")</f>
        <v/>
      </c>
    </row>
    <row r="5866">
      <c r="A5866">
        <f>IFERROR(INDEX('Email Cleaner'!$B$2:$B$10001,MATCH(5865,'Email Cleaner'!$G$2:$G$10001,0)),"")</f>
        <v/>
      </c>
    </row>
    <row r="5867">
      <c r="A5867">
        <f>IFERROR(INDEX('Email Cleaner'!$B$2:$B$10001,MATCH(5866,'Email Cleaner'!$G$2:$G$10001,0)),"")</f>
        <v/>
      </c>
    </row>
    <row r="5868">
      <c r="A5868">
        <f>IFERROR(INDEX('Email Cleaner'!$B$2:$B$10001,MATCH(5867,'Email Cleaner'!$G$2:$G$10001,0)),"")</f>
        <v/>
      </c>
    </row>
    <row r="5869">
      <c r="A5869">
        <f>IFERROR(INDEX('Email Cleaner'!$B$2:$B$10001,MATCH(5868,'Email Cleaner'!$G$2:$G$10001,0)),"")</f>
        <v/>
      </c>
    </row>
    <row r="5870">
      <c r="A5870">
        <f>IFERROR(INDEX('Email Cleaner'!$B$2:$B$10001,MATCH(5869,'Email Cleaner'!$G$2:$G$10001,0)),"")</f>
        <v/>
      </c>
    </row>
    <row r="5871">
      <c r="A5871">
        <f>IFERROR(INDEX('Email Cleaner'!$B$2:$B$10001,MATCH(5870,'Email Cleaner'!$G$2:$G$10001,0)),"")</f>
        <v/>
      </c>
    </row>
    <row r="5872">
      <c r="A5872">
        <f>IFERROR(INDEX('Email Cleaner'!$B$2:$B$10001,MATCH(5871,'Email Cleaner'!$G$2:$G$10001,0)),"")</f>
        <v/>
      </c>
    </row>
    <row r="5873">
      <c r="A5873">
        <f>IFERROR(INDEX('Email Cleaner'!$B$2:$B$10001,MATCH(5872,'Email Cleaner'!$G$2:$G$10001,0)),"")</f>
        <v/>
      </c>
    </row>
    <row r="5874">
      <c r="A5874">
        <f>IFERROR(INDEX('Email Cleaner'!$B$2:$B$10001,MATCH(5873,'Email Cleaner'!$G$2:$G$10001,0)),"")</f>
        <v/>
      </c>
    </row>
    <row r="5875">
      <c r="A5875">
        <f>IFERROR(INDEX('Email Cleaner'!$B$2:$B$10001,MATCH(5874,'Email Cleaner'!$G$2:$G$10001,0)),"")</f>
        <v/>
      </c>
    </row>
    <row r="5876">
      <c r="A5876">
        <f>IFERROR(INDEX('Email Cleaner'!$B$2:$B$10001,MATCH(5875,'Email Cleaner'!$G$2:$G$10001,0)),"")</f>
        <v/>
      </c>
    </row>
    <row r="5877">
      <c r="A5877">
        <f>IFERROR(INDEX('Email Cleaner'!$B$2:$B$10001,MATCH(5876,'Email Cleaner'!$G$2:$G$10001,0)),"")</f>
        <v/>
      </c>
    </row>
    <row r="5878">
      <c r="A5878">
        <f>IFERROR(INDEX('Email Cleaner'!$B$2:$B$10001,MATCH(5877,'Email Cleaner'!$G$2:$G$10001,0)),"")</f>
        <v/>
      </c>
    </row>
    <row r="5879">
      <c r="A5879">
        <f>IFERROR(INDEX('Email Cleaner'!$B$2:$B$10001,MATCH(5878,'Email Cleaner'!$G$2:$G$10001,0)),"")</f>
        <v/>
      </c>
    </row>
    <row r="5880">
      <c r="A5880">
        <f>IFERROR(INDEX('Email Cleaner'!$B$2:$B$10001,MATCH(5879,'Email Cleaner'!$G$2:$G$10001,0)),"")</f>
        <v/>
      </c>
    </row>
    <row r="5881">
      <c r="A5881">
        <f>IFERROR(INDEX('Email Cleaner'!$B$2:$B$10001,MATCH(5880,'Email Cleaner'!$G$2:$G$10001,0)),"")</f>
        <v/>
      </c>
    </row>
    <row r="5882">
      <c r="A5882">
        <f>IFERROR(INDEX('Email Cleaner'!$B$2:$B$10001,MATCH(5881,'Email Cleaner'!$G$2:$G$10001,0)),"")</f>
        <v/>
      </c>
    </row>
    <row r="5883">
      <c r="A5883">
        <f>IFERROR(INDEX('Email Cleaner'!$B$2:$B$10001,MATCH(5882,'Email Cleaner'!$G$2:$G$10001,0)),"")</f>
        <v/>
      </c>
    </row>
    <row r="5884">
      <c r="A5884">
        <f>IFERROR(INDEX('Email Cleaner'!$B$2:$B$10001,MATCH(5883,'Email Cleaner'!$G$2:$G$10001,0)),"")</f>
        <v/>
      </c>
    </row>
    <row r="5885">
      <c r="A5885">
        <f>IFERROR(INDEX('Email Cleaner'!$B$2:$B$10001,MATCH(5884,'Email Cleaner'!$G$2:$G$10001,0)),"")</f>
        <v/>
      </c>
    </row>
    <row r="5886">
      <c r="A5886">
        <f>IFERROR(INDEX('Email Cleaner'!$B$2:$B$10001,MATCH(5885,'Email Cleaner'!$G$2:$G$10001,0)),"")</f>
        <v/>
      </c>
    </row>
    <row r="5887">
      <c r="A5887">
        <f>IFERROR(INDEX('Email Cleaner'!$B$2:$B$10001,MATCH(5886,'Email Cleaner'!$G$2:$G$10001,0)),"")</f>
        <v/>
      </c>
    </row>
    <row r="5888">
      <c r="A5888">
        <f>IFERROR(INDEX('Email Cleaner'!$B$2:$B$10001,MATCH(5887,'Email Cleaner'!$G$2:$G$10001,0)),"")</f>
        <v/>
      </c>
    </row>
    <row r="5889">
      <c r="A5889">
        <f>IFERROR(INDEX('Email Cleaner'!$B$2:$B$10001,MATCH(5888,'Email Cleaner'!$G$2:$G$10001,0)),"")</f>
        <v/>
      </c>
    </row>
    <row r="5890">
      <c r="A5890">
        <f>IFERROR(INDEX('Email Cleaner'!$B$2:$B$10001,MATCH(5889,'Email Cleaner'!$G$2:$G$10001,0)),"")</f>
        <v/>
      </c>
    </row>
    <row r="5891">
      <c r="A5891">
        <f>IFERROR(INDEX('Email Cleaner'!$B$2:$B$10001,MATCH(5890,'Email Cleaner'!$G$2:$G$10001,0)),"")</f>
        <v/>
      </c>
    </row>
    <row r="5892">
      <c r="A5892">
        <f>IFERROR(INDEX('Email Cleaner'!$B$2:$B$10001,MATCH(5891,'Email Cleaner'!$G$2:$G$10001,0)),"")</f>
        <v/>
      </c>
    </row>
    <row r="5893">
      <c r="A5893">
        <f>IFERROR(INDEX('Email Cleaner'!$B$2:$B$10001,MATCH(5892,'Email Cleaner'!$G$2:$G$10001,0)),"")</f>
        <v/>
      </c>
    </row>
    <row r="5894">
      <c r="A5894">
        <f>IFERROR(INDEX('Email Cleaner'!$B$2:$B$10001,MATCH(5893,'Email Cleaner'!$G$2:$G$10001,0)),"")</f>
        <v/>
      </c>
    </row>
    <row r="5895">
      <c r="A5895">
        <f>IFERROR(INDEX('Email Cleaner'!$B$2:$B$10001,MATCH(5894,'Email Cleaner'!$G$2:$G$10001,0)),"")</f>
        <v/>
      </c>
    </row>
    <row r="5896">
      <c r="A5896">
        <f>IFERROR(INDEX('Email Cleaner'!$B$2:$B$10001,MATCH(5895,'Email Cleaner'!$G$2:$G$10001,0)),"")</f>
        <v/>
      </c>
    </row>
    <row r="5897">
      <c r="A5897">
        <f>IFERROR(INDEX('Email Cleaner'!$B$2:$B$10001,MATCH(5896,'Email Cleaner'!$G$2:$G$10001,0)),"")</f>
        <v/>
      </c>
    </row>
    <row r="5898">
      <c r="A5898">
        <f>IFERROR(INDEX('Email Cleaner'!$B$2:$B$10001,MATCH(5897,'Email Cleaner'!$G$2:$G$10001,0)),"")</f>
        <v/>
      </c>
    </row>
    <row r="5899">
      <c r="A5899">
        <f>IFERROR(INDEX('Email Cleaner'!$B$2:$B$10001,MATCH(5898,'Email Cleaner'!$G$2:$G$10001,0)),"")</f>
        <v/>
      </c>
    </row>
    <row r="5900">
      <c r="A5900">
        <f>IFERROR(INDEX('Email Cleaner'!$B$2:$B$10001,MATCH(5899,'Email Cleaner'!$G$2:$G$10001,0)),"")</f>
        <v/>
      </c>
    </row>
    <row r="5901">
      <c r="A5901">
        <f>IFERROR(INDEX('Email Cleaner'!$B$2:$B$10001,MATCH(5900,'Email Cleaner'!$G$2:$G$10001,0)),"")</f>
        <v/>
      </c>
    </row>
    <row r="5902">
      <c r="A5902">
        <f>IFERROR(INDEX('Email Cleaner'!$B$2:$B$10001,MATCH(5901,'Email Cleaner'!$G$2:$G$10001,0)),"")</f>
        <v/>
      </c>
    </row>
    <row r="5903">
      <c r="A5903">
        <f>IFERROR(INDEX('Email Cleaner'!$B$2:$B$10001,MATCH(5902,'Email Cleaner'!$G$2:$G$10001,0)),"")</f>
        <v/>
      </c>
    </row>
    <row r="5904">
      <c r="A5904">
        <f>IFERROR(INDEX('Email Cleaner'!$B$2:$B$10001,MATCH(5903,'Email Cleaner'!$G$2:$G$10001,0)),"")</f>
        <v/>
      </c>
    </row>
    <row r="5905">
      <c r="A5905">
        <f>IFERROR(INDEX('Email Cleaner'!$B$2:$B$10001,MATCH(5904,'Email Cleaner'!$G$2:$G$10001,0)),"")</f>
        <v/>
      </c>
    </row>
    <row r="5906">
      <c r="A5906">
        <f>IFERROR(INDEX('Email Cleaner'!$B$2:$B$10001,MATCH(5905,'Email Cleaner'!$G$2:$G$10001,0)),"")</f>
        <v/>
      </c>
    </row>
    <row r="5907">
      <c r="A5907">
        <f>IFERROR(INDEX('Email Cleaner'!$B$2:$B$10001,MATCH(5906,'Email Cleaner'!$G$2:$G$10001,0)),"")</f>
        <v/>
      </c>
    </row>
    <row r="5908">
      <c r="A5908">
        <f>IFERROR(INDEX('Email Cleaner'!$B$2:$B$10001,MATCH(5907,'Email Cleaner'!$G$2:$G$10001,0)),"")</f>
        <v/>
      </c>
    </row>
    <row r="5909">
      <c r="A5909">
        <f>IFERROR(INDEX('Email Cleaner'!$B$2:$B$10001,MATCH(5908,'Email Cleaner'!$G$2:$G$10001,0)),"")</f>
        <v/>
      </c>
    </row>
    <row r="5910">
      <c r="A5910">
        <f>IFERROR(INDEX('Email Cleaner'!$B$2:$B$10001,MATCH(5909,'Email Cleaner'!$G$2:$G$10001,0)),"")</f>
        <v/>
      </c>
    </row>
    <row r="5911">
      <c r="A5911">
        <f>IFERROR(INDEX('Email Cleaner'!$B$2:$B$10001,MATCH(5910,'Email Cleaner'!$G$2:$G$10001,0)),"")</f>
        <v/>
      </c>
    </row>
    <row r="5912">
      <c r="A5912">
        <f>IFERROR(INDEX('Email Cleaner'!$B$2:$B$10001,MATCH(5911,'Email Cleaner'!$G$2:$G$10001,0)),"")</f>
        <v/>
      </c>
    </row>
    <row r="5913">
      <c r="A5913">
        <f>IFERROR(INDEX('Email Cleaner'!$B$2:$B$10001,MATCH(5912,'Email Cleaner'!$G$2:$G$10001,0)),"")</f>
        <v/>
      </c>
    </row>
    <row r="5914">
      <c r="A5914">
        <f>IFERROR(INDEX('Email Cleaner'!$B$2:$B$10001,MATCH(5913,'Email Cleaner'!$G$2:$G$10001,0)),"")</f>
        <v/>
      </c>
    </row>
    <row r="5915">
      <c r="A5915">
        <f>IFERROR(INDEX('Email Cleaner'!$B$2:$B$10001,MATCH(5914,'Email Cleaner'!$G$2:$G$10001,0)),"")</f>
        <v/>
      </c>
    </row>
    <row r="5916">
      <c r="A5916">
        <f>IFERROR(INDEX('Email Cleaner'!$B$2:$B$10001,MATCH(5915,'Email Cleaner'!$G$2:$G$10001,0)),"")</f>
        <v/>
      </c>
    </row>
    <row r="5917">
      <c r="A5917">
        <f>IFERROR(INDEX('Email Cleaner'!$B$2:$B$10001,MATCH(5916,'Email Cleaner'!$G$2:$G$10001,0)),"")</f>
        <v/>
      </c>
    </row>
    <row r="5918">
      <c r="A5918">
        <f>IFERROR(INDEX('Email Cleaner'!$B$2:$B$10001,MATCH(5917,'Email Cleaner'!$G$2:$G$10001,0)),"")</f>
        <v/>
      </c>
    </row>
    <row r="5919">
      <c r="A5919">
        <f>IFERROR(INDEX('Email Cleaner'!$B$2:$B$10001,MATCH(5918,'Email Cleaner'!$G$2:$G$10001,0)),"")</f>
        <v/>
      </c>
    </row>
    <row r="5920">
      <c r="A5920">
        <f>IFERROR(INDEX('Email Cleaner'!$B$2:$B$10001,MATCH(5919,'Email Cleaner'!$G$2:$G$10001,0)),"")</f>
        <v/>
      </c>
    </row>
    <row r="5921">
      <c r="A5921">
        <f>IFERROR(INDEX('Email Cleaner'!$B$2:$B$10001,MATCH(5920,'Email Cleaner'!$G$2:$G$10001,0)),"")</f>
        <v/>
      </c>
    </row>
    <row r="5922">
      <c r="A5922">
        <f>IFERROR(INDEX('Email Cleaner'!$B$2:$B$10001,MATCH(5921,'Email Cleaner'!$G$2:$G$10001,0)),"")</f>
        <v/>
      </c>
    </row>
    <row r="5923">
      <c r="A5923">
        <f>IFERROR(INDEX('Email Cleaner'!$B$2:$B$10001,MATCH(5922,'Email Cleaner'!$G$2:$G$10001,0)),"")</f>
        <v/>
      </c>
    </row>
    <row r="5924">
      <c r="A5924">
        <f>IFERROR(INDEX('Email Cleaner'!$B$2:$B$10001,MATCH(5923,'Email Cleaner'!$G$2:$G$10001,0)),"")</f>
        <v/>
      </c>
    </row>
    <row r="5925">
      <c r="A5925">
        <f>IFERROR(INDEX('Email Cleaner'!$B$2:$B$10001,MATCH(5924,'Email Cleaner'!$G$2:$G$10001,0)),"")</f>
        <v/>
      </c>
    </row>
    <row r="5926">
      <c r="A5926">
        <f>IFERROR(INDEX('Email Cleaner'!$B$2:$B$10001,MATCH(5925,'Email Cleaner'!$G$2:$G$10001,0)),"")</f>
        <v/>
      </c>
    </row>
    <row r="5927">
      <c r="A5927">
        <f>IFERROR(INDEX('Email Cleaner'!$B$2:$B$10001,MATCH(5926,'Email Cleaner'!$G$2:$G$10001,0)),"")</f>
        <v/>
      </c>
    </row>
    <row r="5928">
      <c r="A5928">
        <f>IFERROR(INDEX('Email Cleaner'!$B$2:$B$10001,MATCH(5927,'Email Cleaner'!$G$2:$G$10001,0)),"")</f>
        <v/>
      </c>
    </row>
    <row r="5929">
      <c r="A5929">
        <f>IFERROR(INDEX('Email Cleaner'!$B$2:$B$10001,MATCH(5928,'Email Cleaner'!$G$2:$G$10001,0)),"")</f>
        <v/>
      </c>
    </row>
    <row r="5930">
      <c r="A5930">
        <f>IFERROR(INDEX('Email Cleaner'!$B$2:$B$10001,MATCH(5929,'Email Cleaner'!$G$2:$G$10001,0)),"")</f>
        <v/>
      </c>
    </row>
    <row r="5931">
      <c r="A5931">
        <f>IFERROR(INDEX('Email Cleaner'!$B$2:$B$10001,MATCH(5930,'Email Cleaner'!$G$2:$G$10001,0)),"")</f>
        <v/>
      </c>
    </row>
    <row r="5932">
      <c r="A5932">
        <f>IFERROR(INDEX('Email Cleaner'!$B$2:$B$10001,MATCH(5931,'Email Cleaner'!$G$2:$G$10001,0)),"")</f>
        <v/>
      </c>
    </row>
    <row r="5933">
      <c r="A5933">
        <f>IFERROR(INDEX('Email Cleaner'!$B$2:$B$10001,MATCH(5932,'Email Cleaner'!$G$2:$G$10001,0)),"")</f>
        <v/>
      </c>
    </row>
    <row r="5934">
      <c r="A5934">
        <f>IFERROR(INDEX('Email Cleaner'!$B$2:$B$10001,MATCH(5933,'Email Cleaner'!$G$2:$G$10001,0)),"")</f>
        <v/>
      </c>
    </row>
    <row r="5935">
      <c r="A5935">
        <f>IFERROR(INDEX('Email Cleaner'!$B$2:$B$10001,MATCH(5934,'Email Cleaner'!$G$2:$G$10001,0)),"")</f>
        <v/>
      </c>
    </row>
    <row r="5936">
      <c r="A5936">
        <f>IFERROR(INDEX('Email Cleaner'!$B$2:$B$10001,MATCH(5935,'Email Cleaner'!$G$2:$G$10001,0)),"")</f>
        <v/>
      </c>
    </row>
    <row r="5937">
      <c r="A5937">
        <f>IFERROR(INDEX('Email Cleaner'!$B$2:$B$10001,MATCH(5936,'Email Cleaner'!$G$2:$G$10001,0)),"")</f>
        <v/>
      </c>
    </row>
    <row r="5938">
      <c r="A5938">
        <f>IFERROR(INDEX('Email Cleaner'!$B$2:$B$10001,MATCH(5937,'Email Cleaner'!$G$2:$G$10001,0)),"")</f>
        <v/>
      </c>
    </row>
    <row r="5939">
      <c r="A5939">
        <f>IFERROR(INDEX('Email Cleaner'!$B$2:$B$10001,MATCH(5938,'Email Cleaner'!$G$2:$G$10001,0)),"")</f>
        <v/>
      </c>
    </row>
    <row r="5940">
      <c r="A5940">
        <f>IFERROR(INDEX('Email Cleaner'!$B$2:$B$10001,MATCH(5939,'Email Cleaner'!$G$2:$G$10001,0)),"")</f>
        <v/>
      </c>
    </row>
    <row r="5941">
      <c r="A5941">
        <f>IFERROR(INDEX('Email Cleaner'!$B$2:$B$10001,MATCH(5940,'Email Cleaner'!$G$2:$G$10001,0)),"")</f>
        <v/>
      </c>
    </row>
    <row r="5942">
      <c r="A5942">
        <f>IFERROR(INDEX('Email Cleaner'!$B$2:$B$10001,MATCH(5941,'Email Cleaner'!$G$2:$G$10001,0)),"")</f>
        <v/>
      </c>
    </row>
    <row r="5943">
      <c r="A5943">
        <f>IFERROR(INDEX('Email Cleaner'!$B$2:$B$10001,MATCH(5942,'Email Cleaner'!$G$2:$G$10001,0)),"")</f>
        <v/>
      </c>
    </row>
    <row r="5944">
      <c r="A5944">
        <f>IFERROR(INDEX('Email Cleaner'!$B$2:$B$10001,MATCH(5943,'Email Cleaner'!$G$2:$G$10001,0)),"")</f>
        <v/>
      </c>
    </row>
    <row r="5945">
      <c r="A5945">
        <f>IFERROR(INDEX('Email Cleaner'!$B$2:$B$10001,MATCH(5944,'Email Cleaner'!$G$2:$G$10001,0)),"")</f>
        <v/>
      </c>
    </row>
    <row r="5946">
      <c r="A5946">
        <f>IFERROR(INDEX('Email Cleaner'!$B$2:$B$10001,MATCH(5945,'Email Cleaner'!$G$2:$G$10001,0)),"")</f>
        <v/>
      </c>
    </row>
    <row r="5947">
      <c r="A5947">
        <f>IFERROR(INDEX('Email Cleaner'!$B$2:$B$10001,MATCH(5946,'Email Cleaner'!$G$2:$G$10001,0)),"")</f>
        <v/>
      </c>
    </row>
    <row r="5948">
      <c r="A5948">
        <f>IFERROR(INDEX('Email Cleaner'!$B$2:$B$10001,MATCH(5947,'Email Cleaner'!$G$2:$G$10001,0)),"")</f>
        <v/>
      </c>
    </row>
    <row r="5949">
      <c r="A5949">
        <f>IFERROR(INDEX('Email Cleaner'!$B$2:$B$10001,MATCH(5948,'Email Cleaner'!$G$2:$G$10001,0)),"")</f>
        <v/>
      </c>
    </row>
    <row r="5950">
      <c r="A5950">
        <f>IFERROR(INDEX('Email Cleaner'!$B$2:$B$10001,MATCH(5949,'Email Cleaner'!$G$2:$G$10001,0)),"")</f>
        <v/>
      </c>
    </row>
    <row r="5951">
      <c r="A5951">
        <f>IFERROR(INDEX('Email Cleaner'!$B$2:$B$10001,MATCH(5950,'Email Cleaner'!$G$2:$G$10001,0)),"")</f>
        <v/>
      </c>
    </row>
    <row r="5952">
      <c r="A5952">
        <f>IFERROR(INDEX('Email Cleaner'!$B$2:$B$10001,MATCH(5951,'Email Cleaner'!$G$2:$G$10001,0)),"")</f>
        <v/>
      </c>
    </row>
    <row r="5953">
      <c r="A5953">
        <f>IFERROR(INDEX('Email Cleaner'!$B$2:$B$10001,MATCH(5952,'Email Cleaner'!$G$2:$G$10001,0)),"")</f>
        <v/>
      </c>
    </row>
    <row r="5954">
      <c r="A5954">
        <f>IFERROR(INDEX('Email Cleaner'!$B$2:$B$10001,MATCH(5953,'Email Cleaner'!$G$2:$G$10001,0)),"")</f>
        <v/>
      </c>
    </row>
    <row r="5955">
      <c r="A5955">
        <f>IFERROR(INDEX('Email Cleaner'!$B$2:$B$10001,MATCH(5954,'Email Cleaner'!$G$2:$G$10001,0)),"")</f>
        <v/>
      </c>
    </row>
    <row r="5956">
      <c r="A5956">
        <f>IFERROR(INDEX('Email Cleaner'!$B$2:$B$10001,MATCH(5955,'Email Cleaner'!$G$2:$G$10001,0)),"")</f>
        <v/>
      </c>
    </row>
    <row r="5957">
      <c r="A5957">
        <f>IFERROR(INDEX('Email Cleaner'!$B$2:$B$10001,MATCH(5956,'Email Cleaner'!$G$2:$G$10001,0)),"")</f>
        <v/>
      </c>
    </row>
    <row r="5958">
      <c r="A5958">
        <f>IFERROR(INDEX('Email Cleaner'!$B$2:$B$10001,MATCH(5957,'Email Cleaner'!$G$2:$G$10001,0)),"")</f>
        <v/>
      </c>
    </row>
    <row r="5959">
      <c r="A5959">
        <f>IFERROR(INDEX('Email Cleaner'!$B$2:$B$10001,MATCH(5958,'Email Cleaner'!$G$2:$G$10001,0)),"")</f>
        <v/>
      </c>
    </row>
    <row r="5960">
      <c r="A5960">
        <f>IFERROR(INDEX('Email Cleaner'!$B$2:$B$10001,MATCH(5959,'Email Cleaner'!$G$2:$G$10001,0)),"")</f>
        <v/>
      </c>
    </row>
    <row r="5961">
      <c r="A5961">
        <f>IFERROR(INDEX('Email Cleaner'!$B$2:$B$10001,MATCH(5960,'Email Cleaner'!$G$2:$G$10001,0)),"")</f>
        <v/>
      </c>
    </row>
    <row r="5962">
      <c r="A5962">
        <f>IFERROR(INDEX('Email Cleaner'!$B$2:$B$10001,MATCH(5961,'Email Cleaner'!$G$2:$G$10001,0)),"")</f>
        <v/>
      </c>
    </row>
    <row r="5963">
      <c r="A5963">
        <f>IFERROR(INDEX('Email Cleaner'!$B$2:$B$10001,MATCH(5962,'Email Cleaner'!$G$2:$G$10001,0)),"")</f>
        <v/>
      </c>
    </row>
    <row r="5964">
      <c r="A5964">
        <f>IFERROR(INDEX('Email Cleaner'!$B$2:$B$10001,MATCH(5963,'Email Cleaner'!$G$2:$G$10001,0)),"")</f>
        <v/>
      </c>
    </row>
    <row r="5965">
      <c r="A5965">
        <f>IFERROR(INDEX('Email Cleaner'!$B$2:$B$10001,MATCH(5964,'Email Cleaner'!$G$2:$G$10001,0)),"")</f>
        <v/>
      </c>
    </row>
    <row r="5966">
      <c r="A5966">
        <f>IFERROR(INDEX('Email Cleaner'!$B$2:$B$10001,MATCH(5965,'Email Cleaner'!$G$2:$G$10001,0)),"")</f>
        <v/>
      </c>
    </row>
    <row r="5967">
      <c r="A5967">
        <f>IFERROR(INDEX('Email Cleaner'!$B$2:$B$10001,MATCH(5966,'Email Cleaner'!$G$2:$G$10001,0)),"")</f>
        <v/>
      </c>
    </row>
    <row r="5968">
      <c r="A5968">
        <f>IFERROR(INDEX('Email Cleaner'!$B$2:$B$10001,MATCH(5967,'Email Cleaner'!$G$2:$G$10001,0)),"")</f>
        <v/>
      </c>
    </row>
    <row r="5969">
      <c r="A5969">
        <f>IFERROR(INDEX('Email Cleaner'!$B$2:$B$10001,MATCH(5968,'Email Cleaner'!$G$2:$G$10001,0)),"")</f>
        <v/>
      </c>
    </row>
    <row r="5970">
      <c r="A5970">
        <f>IFERROR(INDEX('Email Cleaner'!$B$2:$B$10001,MATCH(5969,'Email Cleaner'!$G$2:$G$10001,0)),"")</f>
        <v/>
      </c>
    </row>
    <row r="5971">
      <c r="A5971">
        <f>IFERROR(INDEX('Email Cleaner'!$B$2:$B$10001,MATCH(5970,'Email Cleaner'!$G$2:$G$10001,0)),"")</f>
        <v/>
      </c>
    </row>
    <row r="5972">
      <c r="A5972">
        <f>IFERROR(INDEX('Email Cleaner'!$B$2:$B$10001,MATCH(5971,'Email Cleaner'!$G$2:$G$10001,0)),"")</f>
        <v/>
      </c>
    </row>
    <row r="5973">
      <c r="A5973">
        <f>IFERROR(INDEX('Email Cleaner'!$B$2:$B$10001,MATCH(5972,'Email Cleaner'!$G$2:$G$10001,0)),"")</f>
        <v/>
      </c>
    </row>
    <row r="5974">
      <c r="A5974">
        <f>IFERROR(INDEX('Email Cleaner'!$B$2:$B$10001,MATCH(5973,'Email Cleaner'!$G$2:$G$10001,0)),"")</f>
        <v/>
      </c>
    </row>
    <row r="5975">
      <c r="A5975">
        <f>IFERROR(INDEX('Email Cleaner'!$B$2:$B$10001,MATCH(5974,'Email Cleaner'!$G$2:$G$10001,0)),"")</f>
        <v/>
      </c>
    </row>
    <row r="5976">
      <c r="A5976">
        <f>IFERROR(INDEX('Email Cleaner'!$B$2:$B$10001,MATCH(5975,'Email Cleaner'!$G$2:$G$10001,0)),"")</f>
        <v/>
      </c>
    </row>
    <row r="5977">
      <c r="A5977">
        <f>IFERROR(INDEX('Email Cleaner'!$B$2:$B$10001,MATCH(5976,'Email Cleaner'!$G$2:$G$10001,0)),"")</f>
        <v/>
      </c>
    </row>
    <row r="5978">
      <c r="A5978">
        <f>IFERROR(INDEX('Email Cleaner'!$B$2:$B$10001,MATCH(5977,'Email Cleaner'!$G$2:$G$10001,0)),"")</f>
        <v/>
      </c>
    </row>
    <row r="5979">
      <c r="A5979">
        <f>IFERROR(INDEX('Email Cleaner'!$B$2:$B$10001,MATCH(5978,'Email Cleaner'!$G$2:$G$10001,0)),"")</f>
        <v/>
      </c>
    </row>
    <row r="5980">
      <c r="A5980">
        <f>IFERROR(INDEX('Email Cleaner'!$B$2:$B$10001,MATCH(5979,'Email Cleaner'!$G$2:$G$10001,0)),"")</f>
        <v/>
      </c>
    </row>
    <row r="5981">
      <c r="A5981">
        <f>IFERROR(INDEX('Email Cleaner'!$B$2:$B$10001,MATCH(5980,'Email Cleaner'!$G$2:$G$10001,0)),"")</f>
        <v/>
      </c>
    </row>
    <row r="5982">
      <c r="A5982">
        <f>IFERROR(INDEX('Email Cleaner'!$B$2:$B$10001,MATCH(5981,'Email Cleaner'!$G$2:$G$10001,0)),"")</f>
        <v/>
      </c>
    </row>
    <row r="5983">
      <c r="A5983">
        <f>IFERROR(INDEX('Email Cleaner'!$B$2:$B$10001,MATCH(5982,'Email Cleaner'!$G$2:$G$10001,0)),"")</f>
        <v/>
      </c>
    </row>
    <row r="5984">
      <c r="A5984">
        <f>IFERROR(INDEX('Email Cleaner'!$B$2:$B$10001,MATCH(5983,'Email Cleaner'!$G$2:$G$10001,0)),"")</f>
        <v/>
      </c>
    </row>
    <row r="5985">
      <c r="A5985">
        <f>IFERROR(INDEX('Email Cleaner'!$B$2:$B$10001,MATCH(5984,'Email Cleaner'!$G$2:$G$10001,0)),"")</f>
        <v/>
      </c>
    </row>
    <row r="5986">
      <c r="A5986">
        <f>IFERROR(INDEX('Email Cleaner'!$B$2:$B$10001,MATCH(5985,'Email Cleaner'!$G$2:$G$10001,0)),"")</f>
        <v/>
      </c>
    </row>
    <row r="5987">
      <c r="A5987">
        <f>IFERROR(INDEX('Email Cleaner'!$B$2:$B$10001,MATCH(5986,'Email Cleaner'!$G$2:$G$10001,0)),"")</f>
        <v/>
      </c>
    </row>
    <row r="5988">
      <c r="A5988">
        <f>IFERROR(INDEX('Email Cleaner'!$B$2:$B$10001,MATCH(5987,'Email Cleaner'!$G$2:$G$10001,0)),"")</f>
        <v/>
      </c>
    </row>
    <row r="5989">
      <c r="A5989">
        <f>IFERROR(INDEX('Email Cleaner'!$B$2:$B$10001,MATCH(5988,'Email Cleaner'!$G$2:$G$10001,0)),"")</f>
        <v/>
      </c>
    </row>
    <row r="5990">
      <c r="A5990">
        <f>IFERROR(INDEX('Email Cleaner'!$B$2:$B$10001,MATCH(5989,'Email Cleaner'!$G$2:$G$10001,0)),"")</f>
        <v/>
      </c>
    </row>
    <row r="5991">
      <c r="A5991">
        <f>IFERROR(INDEX('Email Cleaner'!$B$2:$B$10001,MATCH(5990,'Email Cleaner'!$G$2:$G$10001,0)),"")</f>
        <v/>
      </c>
    </row>
    <row r="5992">
      <c r="A5992">
        <f>IFERROR(INDEX('Email Cleaner'!$B$2:$B$10001,MATCH(5991,'Email Cleaner'!$G$2:$G$10001,0)),"")</f>
        <v/>
      </c>
    </row>
    <row r="5993">
      <c r="A5993">
        <f>IFERROR(INDEX('Email Cleaner'!$B$2:$B$10001,MATCH(5992,'Email Cleaner'!$G$2:$G$10001,0)),"")</f>
        <v/>
      </c>
    </row>
    <row r="5994">
      <c r="A5994">
        <f>IFERROR(INDEX('Email Cleaner'!$B$2:$B$10001,MATCH(5993,'Email Cleaner'!$G$2:$G$10001,0)),"")</f>
        <v/>
      </c>
    </row>
    <row r="5995">
      <c r="A5995">
        <f>IFERROR(INDEX('Email Cleaner'!$B$2:$B$10001,MATCH(5994,'Email Cleaner'!$G$2:$G$10001,0)),"")</f>
        <v/>
      </c>
    </row>
    <row r="5996">
      <c r="A5996">
        <f>IFERROR(INDEX('Email Cleaner'!$B$2:$B$10001,MATCH(5995,'Email Cleaner'!$G$2:$G$10001,0)),"")</f>
        <v/>
      </c>
    </row>
    <row r="5997">
      <c r="A5997">
        <f>IFERROR(INDEX('Email Cleaner'!$B$2:$B$10001,MATCH(5996,'Email Cleaner'!$G$2:$G$10001,0)),"")</f>
        <v/>
      </c>
    </row>
    <row r="5998">
      <c r="A5998">
        <f>IFERROR(INDEX('Email Cleaner'!$B$2:$B$10001,MATCH(5997,'Email Cleaner'!$G$2:$G$10001,0)),"")</f>
        <v/>
      </c>
    </row>
    <row r="5999">
      <c r="A5999">
        <f>IFERROR(INDEX('Email Cleaner'!$B$2:$B$10001,MATCH(5998,'Email Cleaner'!$G$2:$G$10001,0)),"")</f>
        <v/>
      </c>
    </row>
    <row r="6000">
      <c r="A6000">
        <f>IFERROR(INDEX('Email Cleaner'!$B$2:$B$10001,MATCH(5999,'Email Cleaner'!$G$2:$G$10001,0)),"")</f>
        <v/>
      </c>
    </row>
    <row r="6001">
      <c r="A6001">
        <f>IFERROR(INDEX('Email Cleaner'!$B$2:$B$10001,MATCH(6000,'Email Cleaner'!$G$2:$G$10001,0)),"")</f>
        <v/>
      </c>
    </row>
    <row r="6002">
      <c r="A6002">
        <f>IFERROR(INDEX('Email Cleaner'!$B$2:$B$10001,MATCH(6001,'Email Cleaner'!$G$2:$G$10001,0)),"")</f>
        <v/>
      </c>
    </row>
    <row r="6003">
      <c r="A6003">
        <f>IFERROR(INDEX('Email Cleaner'!$B$2:$B$10001,MATCH(6002,'Email Cleaner'!$G$2:$G$10001,0)),"")</f>
        <v/>
      </c>
    </row>
    <row r="6004">
      <c r="A6004">
        <f>IFERROR(INDEX('Email Cleaner'!$B$2:$B$10001,MATCH(6003,'Email Cleaner'!$G$2:$G$10001,0)),"")</f>
        <v/>
      </c>
    </row>
    <row r="6005">
      <c r="A6005">
        <f>IFERROR(INDEX('Email Cleaner'!$B$2:$B$10001,MATCH(6004,'Email Cleaner'!$G$2:$G$10001,0)),"")</f>
        <v/>
      </c>
    </row>
    <row r="6006">
      <c r="A6006">
        <f>IFERROR(INDEX('Email Cleaner'!$B$2:$B$10001,MATCH(6005,'Email Cleaner'!$G$2:$G$10001,0)),"")</f>
        <v/>
      </c>
    </row>
    <row r="6007">
      <c r="A6007">
        <f>IFERROR(INDEX('Email Cleaner'!$B$2:$B$10001,MATCH(6006,'Email Cleaner'!$G$2:$G$10001,0)),"")</f>
        <v/>
      </c>
    </row>
    <row r="6008">
      <c r="A6008">
        <f>IFERROR(INDEX('Email Cleaner'!$B$2:$B$10001,MATCH(6007,'Email Cleaner'!$G$2:$G$10001,0)),"")</f>
        <v/>
      </c>
    </row>
    <row r="6009">
      <c r="A6009">
        <f>IFERROR(INDEX('Email Cleaner'!$B$2:$B$10001,MATCH(6008,'Email Cleaner'!$G$2:$G$10001,0)),"")</f>
        <v/>
      </c>
    </row>
    <row r="6010">
      <c r="A6010">
        <f>IFERROR(INDEX('Email Cleaner'!$B$2:$B$10001,MATCH(6009,'Email Cleaner'!$G$2:$G$10001,0)),"")</f>
        <v/>
      </c>
    </row>
    <row r="6011">
      <c r="A6011">
        <f>IFERROR(INDEX('Email Cleaner'!$B$2:$B$10001,MATCH(6010,'Email Cleaner'!$G$2:$G$10001,0)),"")</f>
        <v/>
      </c>
    </row>
    <row r="6012">
      <c r="A6012">
        <f>IFERROR(INDEX('Email Cleaner'!$B$2:$B$10001,MATCH(6011,'Email Cleaner'!$G$2:$G$10001,0)),"")</f>
        <v/>
      </c>
    </row>
    <row r="6013">
      <c r="A6013">
        <f>IFERROR(INDEX('Email Cleaner'!$B$2:$B$10001,MATCH(6012,'Email Cleaner'!$G$2:$G$10001,0)),"")</f>
        <v/>
      </c>
    </row>
    <row r="6014">
      <c r="A6014">
        <f>IFERROR(INDEX('Email Cleaner'!$B$2:$B$10001,MATCH(6013,'Email Cleaner'!$G$2:$G$10001,0)),"")</f>
        <v/>
      </c>
    </row>
    <row r="6015">
      <c r="A6015">
        <f>IFERROR(INDEX('Email Cleaner'!$B$2:$B$10001,MATCH(6014,'Email Cleaner'!$G$2:$G$10001,0)),"")</f>
        <v/>
      </c>
    </row>
    <row r="6016">
      <c r="A6016">
        <f>IFERROR(INDEX('Email Cleaner'!$B$2:$B$10001,MATCH(6015,'Email Cleaner'!$G$2:$G$10001,0)),"")</f>
        <v/>
      </c>
    </row>
    <row r="6017">
      <c r="A6017">
        <f>IFERROR(INDEX('Email Cleaner'!$B$2:$B$10001,MATCH(6016,'Email Cleaner'!$G$2:$G$10001,0)),"")</f>
        <v/>
      </c>
    </row>
    <row r="6018">
      <c r="A6018">
        <f>IFERROR(INDEX('Email Cleaner'!$B$2:$B$10001,MATCH(6017,'Email Cleaner'!$G$2:$G$10001,0)),"")</f>
        <v/>
      </c>
    </row>
    <row r="6019">
      <c r="A6019">
        <f>IFERROR(INDEX('Email Cleaner'!$B$2:$B$10001,MATCH(6018,'Email Cleaner'!$G$2:$G$10001,0)),"")</f>
        <v/>
      </c>
    </row>
    <row r="6020">
      <c r="A6020">
        <f>IFERROR(INDEX('Email Cleaner'!$B$2:$B$10001,MATCH(6019,'Email Cleaner'!$G$2:$G$10001,0)),"")</f>
        <v/>
      </c>
    </row>
    <row r="6021">
      <c r="A6021">
        <f>IFERROR(INDEX('Email Cleaner'!$B$2:$B$10001,MATCH(6020,'Email Cleaner'!$G$2:$G$10001,0)),"")</f>
        <v/>
      </c>
    </row>
    <row r="6022">
      <c r="A6022">
        <f>IFERROR(INDEX('Email Cleaner'!$B$2:$B$10001,MATCH(6021,'Email Cleaner'!$G$2:$G$10001,0)),"")</f>
        <v/>
      </c>
    </row>
    <row r="6023">
      <c r="A6023">
        <f>IFERROR(INDEX('Email Cleaner'!$B$2:$B$10001,MATCH(6022,'Email Cleaner'!$G$2:$G$10001,0)),"")</f>
        <v/>
      </c>
    </row>
    <row r="6024">
      <c r="A6024">
        <f>IFERROR(INDEX('Email Cleaner'!$B$2:$B$10001,MATCH(6023,'Email Cleaner'!$G$2:$G$10001,0)),"")</f>
        <v/>
      </c>
    </row>
    <row r="6025">
      <c r="A6025">
        <f>IFERROR(INDEX('Email Cleaner'!$B$2:$B$10001,MATCH(6024,'Email Cleaner'!$G$2:$G$10001,0)),"")</f>
        <v/>
      </c>
    </row>
    <row r="6026">
      <c r="A6026">
        <f>IFERROR(INDEX('Email Cleaner'!$B$2:$B$10001,MATCH(6025,'Email Cleaner'!$G$2:$G$10001,0)),"")</f>
        <v/>
      </c>
    </row>
    <row r="6027">
      <c r="A6027">
        <f>IFERROR(INDEX('Email Cleaner'!$B$2:$B$10001,MATCH(6026,'Email Cleaner'!$G$2:$G$10001,0)),"")</f>
        <v/>
      </c>
    </row>
    <row r="6028">
      <c r="A6028">
        <f>IFERROR(INDEX('Email Cleaner'!$B$2:$B$10001,MATCH(6027,'Email Cleaner'!$G$2:$G$10001,0)),"")</f>
        <v/>
      </c>
    </row>
    <row r="6029">
      <c r="A6029">
        <f>IFERROR(INDEX('Email Cleaner'!$B$2:$B$10001,MATCH(6028,'Email Cleaner'!$G$2:$G$10001,0)),"")</f>
        <v/>
      </c>
    </row>
    <row r="6030">
      <c r="A6030">
        <f>IFERROR(INDEX('Email Cleaner'!$B$2:$B$10001,MATCH(6029,'Email Cleaner'!$G$2:$G$10001,0)),"")</f>
        <v/>
      </c>
    </row>
    <row r="6031">
      <c r="A6031">
        <f>IFERROR(INDEX('Email Cleaner'!$B$2:$B$10001,MATCH(6030,'Email Cleaner'!$G$2:$G$10001,0)),"")</f>
        <v/>
      </c>
    </row>
    <row r="6032">
      <c r="A6032">
        <f>IFERROR(INDEX('Email Cleaner'!$B$2:$B$10001,MATCH(6031,'Email Cleaner'!$G$2:$G$10001,0)),"")</f>
        <v/>
      </c>
    </row>
    <row r="6033">
      <c r="A6033">
        <f>IFERROR(INDEX('Email Cleaner'!$B$2:$B$10001,MATCH(6032,'Email Cleaner'!$G$2:$G$10001,0)),"")</f>
        <v/>
      </c>
    </row>
    <row r="6034">
      <c r="A6034">
        <f>IFERROR(INDEX('Email Cleaner'!$B$2:$B$10001,MATCH(6033,'Email Cleaner'!$G$2:$G$10001,0)),"")</f>
        <v/>
      </c>
    </row>
    <row r="6035">
      <c r="A6035">
        <f>IFERROR(INDEX('Email Cleaner'!$B$2:$B$10001,MATCH(6034,'Email Cleaner'!$G$2:$G$10001,0)),"")</f>
        <v/>
      </c>
    </row>
    <row r="6036">
      <c r="A6036">
        <f>IFERROR(INDEX('Email Cleaner'!$B$2:$B$10001,MATCH(6035,'Email Cleaner'!$G$2:$G$10001,0)),"")</f>
        <v/>
      </c>
    </row>
    <row r="6037">
      <c r="A6037">
        <f>IFERROR(INDEX('Email Cleaner'!$B$2:$B$10001,MATCH(6036,'Email Cleaner'!$G$2:$G$10001,0)),"")</f>
        <v/>
      </c>
    </row>
    <row r="6038">
      <c r="A6038">
        <f>IFERROR(INDEX('Email Cleaner'!$B$2:$B$10001,MATCH(6037,'Email Cleaner'!$G$2:$G$10001,0)),"")</f>
        <v/>
      </c>
    </row>
    <row r="6039">
      <c r="A6039">
        <f>IFERROR(INDEX('Email Cleaner'!$B$2:$B$10001,MATCH(6038,'Email Cleaner'!$G$2:$G$10001,0)),"")</f>
        <v/>
      </c>
    </row>
    <row r="6040">
      <c r="A6040">
        <f>IFERROR(INDEX('Email Cleaner'!$B$2:$B$10001,MATCH(6039,'Email Cleaner'!$G$2:$G$10001,0)),"")</f>
        <v/>
      </c>
    </row>
    <row r="6041">
      <c r="A6041">
        <f>IFERROR(INDEX('Email Cleaner'!$B$2:$B$10001,MATCH(6040,'Email Cleaner'!$G$2:$G$10001,0)),"")</f>
        <v/>
      </c>
    </row>
    <row r="6042">
      <c r="A6042">
        <f>IFERROR(INDEX('Email Cleaner'!$B$2:$B$10001,MATCH(6041,'Email Cleaner'!$G$2:$G$10001,0)),"")</f>
        <v/>
      </c>
    </row>
    <row r="6043">
      <c r="A6043">
        <f>IFERROR(INDEX('Email Cleaner'!$B$2:$B$10001,MATCH(6042,'Email Cleaner'!$G$2:$G$10001,0)),"")</f>
        <v/>
      </c>
    </row>
    <row r="6044">
      <c r="A6044">
        <f>IFERROR(INDEX('Email Cleaner'!$B$2:$B$10001,MATCH(6043,'Email Cleaner'!$G$2:$G$10001,0)),"")</f>
        <v/>
      </c>
    </row>
    <row r="6045">
      <c r="A6045">
        <f>IFERROR(INDEX('Email Cleaner'!$B$2:$B$10001,MATCH(6044,'Email Cleaner'!$G$2:$G$10001,0)),"")</f>
        <v/>
      </c>
    </row>
    <row r="6046">
      <c r="A6046">
        <f>IFERROR(INDEX('Email Cleaner'!$B$2:$B$10001,MATCH(6045,'Email Cleaner'!$G$2:$G$10001,0)),"")</f>
        <v/>
      </c>
    </row>
    <row r="6047">
      <c r="A6047">
        <f>IFERROR(INDEX('Email Cleaner'!$B$2:$B$10001,MATCH(6046,'Email Cleaner'!$G$2:$G$10001,0)),"")</f>
        <v/>
      </c>
    </row>
    <row r="6048">
      <c r="A6048">
        <f>IFERROR(INDEX('Email Cleaner'!$B$2:$B$10001,MATCH(6047,'Email Cleaner'!$G$2:$G$10001,0)),"")</f>
        <v/>
      </c>
    </row>
    <row r="6049">
      <c r="A6049">
        <f>IFERROR(INDEX('Email Cleaner'!$B$2:$B$10001,MATCH(6048,'Email Cleaner'!$G$2:$G$10001,0)),"")</f>
        <v/>
      </c>
    </row>
    <row r="6050">
      <c r="A6050">
        <f>IFERROR(INDEX('Email Cleaner'!$B$2:$B$10001,MATCH(6049,'Email Cleaner'!$G$2:$G$10001,0)),"")</f>
        <v/>
      </c>
    </row>
    <row r="6051">
      <c r="A6051">
        <f>IFERROR(INDEX('Email Cleaner'!$B$2:$B$10001,MATCH(6050,'Email Cleaner'!$G$2:$G$10001,0)),"")</f>
        <v/>
      </c>
    </row>
    <row r="6052">
      <c r="A6052">
        <f>IFERROR(INDEX('Email Cleaner'!$B$2:$B$10001,MATCH(6051,'Email Cleaner'!$G$2:$G$10001,0)),"")</f>
        <v/>
      </c>
    </row>
    <row r="6053">
      <c r="A6053">
        <f>IFERROR(INDEX('Email Cleaner'!$B$2:$B$10001,MATCH(6052,'Email Cleaner'!$G$2:$G$10001,0)),"")</f>
        <v/>
      </c>
    </row>
    <row r="6054">
      <c r="A6054">
        <f>IFERROR(INDEX('Email Cleaner'!$B$2:$B$10001,MATCH(6053,'Email Cleaner'!$G$2:$G$10001,0)),"")</f>
        <v/>
      </c>
    </row>
    <row r="6055">
      <c r="A6055">
        <f>IFERROR(INDEX('Email Cleaner'!$B$2:$B$10001,MATCH(6054,'Email Cleaner'!$G$2:$G$10001,0)),"")</f>
        <v/>
      </c>
    </row>
    <row r="6056">
      <c r="A6056">
        <f>IFERROR(INDEX('Email Cleaner'!$B$2:$B$10001,MATCH(6055,'Email Cleaner'!$G$2:$G$10001,0)),"")</f>
        <v/>
      </c>
    </row>
    <row r="6057">
      <c r="A6057">
        <f>IFERROR(INDEX('Email Cleaner'!$B$2:$B$10001,MATCH(6056,'Email Cleaner'!$G$2:$G$10001,0)),"")</f>
        <v/>
      </c>
    </row>
    <row r="6058">
      <c r="A6058">
        <f>IFERROR(INDEX('Email Cleaner'!$B$2:$B$10001,MATCH(6057,'Email Cleaner'!$G$2:$G$10001,0)),"")</f>
        <v/>
      </c>
    </row>
    <row r="6059">
      <c r="A6059">
        <f>IFERROR(INDEX('Email Cleaner'!$B$2:$B$10001,MATCH(6058,'Email Cleaner'!$G$2:$G$10001,0)),"")</f>
        <v/>
      </c>
    </row>
    <row r="6060">
      <c r="A6060">
        <f>IFERROR(INDEX('Email Cleaner'!$B$2:$B$10001,MATCH(6059,'Email Cleaner'!$G$2:$G$10001,0)),"")</f>
        <v/>
      </c>
    </row>
    <row r="6061">
      <c r="A6061">
        <f>IFERROR(INDEX('Email Cleaner'!$B$2:$B$10001,MATCH(6060,'Email Cleaner'!$G$2:$G$10001,0)),"")</f>
        <v/>
      </c>
    </row>
    <row r="6062">
      <c r="A6062">
        <f>IFERROR(INDEX('Email Cleaner'!$B$2:$B$10001,MATCH(6061,'Email Cleaner'!$G$2:$G$10001,0)),"")</f>
        <v/>
      </c>
    </row>
    <row r="6063">
      <c r="A6063">
        <f>IFERROR(INDEX('Email Cleaner'!$B$2:$B$10001,MATCH(6062,'Email Cleaner'!$G$2:$G$10001,0)),"")</f>
        <v/>
      </c>
    </row>
    <row r="6064">
      <c r="A6064">
        <f>IFERROR(INDEX('Email Cleaner'!$B$2:$B$10001,MATCH(6063,'Email Cleaner'!$G$2:$G$10001,0)),"")</f>
        <v/>
      </c>
    </row>
    <row r="6065">
      <c r="A6065">
        <f>IFERROR(INDEX('Email Cleaner'!$B$2:$B$10001,MATCH(6064,'Email Cleaner'!$G$2:$G$10001,0)),"")</f>
        <v/>
      </c>
    </row>
    <row r="6066">
      <c r="A6066">
        <f>IFERROR(INDEX('Email Cleaner'!$B$2:$B$10001,MATCH(6065,'Email Cleaner'!$G$2:$G$10001,0)),"")</f>
        <v/>
      </c>
    </row>
    <row r="6067">
      <c r="A6067">
        <f>IFERROR(INDEX('Email Cleaner'!$B$2:$B$10001,MATCH(6066,'Email Cleaner'!$G$2:$G$10001,0)),"")</f>
        <v/>
      </c>
    </row>
    <row r="6068">
      <c r="A6068">
        <f>IFERROR(INDEX('Email Cleaner'!$B$2:$B$10001,MATCH(6067,'Email Cleaner'!$G$2:$G$10001,0)),"")</f>
        <v/>
      </c>
    </row>
    <row r="6069">
      <c r="A6069">
        <f>IFERROR(INDEX('Email Cleaner'!$B$2:$B$10001,MATCH(6068,'Email Cleaner'!$G$2:$G$10001,0)),"")</f>
        <v/>
      </c>
    </row>
    <row r="6070">
      <c r="A6070">
        <f>IFERROR(INDEX('Email Cleaner'!$B$2:$B$10001,MATCH(6069,'Email Cleaner'!$G$2:$G$10001,0)),"")</f>
        <v/>
      </c>
    </row>
    <row r="6071">
      <c r="A6071">
        <f>IFERROR(INDEX('Email Cleaner'!$B$2:$B$10001,MATCH(6070,'Email Cleaner'!$G$2:$G$10001,0)),"")</f>
        <v/>
      </c>
    </row>
    <row r="6072">
      <c r="A6072">
        <f>IFERROR(INDEX('Email Cleaner'!$B$2:$B$10001,MATCH(6071,'Email Cleaner'!$G$2:$G$10001,0)),"")</f>
        <v/>
      </c>
    </row>
    <row r="6073">
      <c r="A6073">
        <f>IFERROR(INDEX('Email Cleaner'!$B$2:$B$10001,MATCH(6072,'Email Cleaner'!$G$2:$G$10001,0)),"")</f>
        <v/>
      </c>
    </row>
    <row r="6074">
      <c r="A6074">
        <f>IFERROR(INDEX('Email Cleaner'!$B$2:$B$10001,MATCH(6073,'Email Cleaner'!$G$2:$G$10001,0)),"")</f>
        <v/>
      </c>
    </row>
    <row r="6075">
      <c r="A6075">
        <f>IFERROR(INDEX('Email Cleaner'!$B$2:$B$10001,MATCH(6074,'Email Cleaner'!$G$2:$G$10001,0)),"")</f>
        <v/>
      </c>
    </row>
    <row r="6076">
      <c r="A6076">
        <f>IFERROR(INDEX('Email Cleaner'!$B$2:$B$10001,MATCH(6075,'Email Cleaner'!$G$2:$G$10001,0)),"")</f>
        <v/>
      </c>
    </row>
    <row r="6077">
      <c r="A6077">
        <f>IFERROR(INDEX('Email Cleaner'!$B$2:$B$10001,MATCH(6076,'Email Cleaner'!$G$2:$G$10001,0)),"")</f>
        <v/>
      </c>
    </row>
    <row r="6078">
      <c r="A6078">
        <f>IFERROR(INDEX('Email Cleaner'!$B$2:$B$10001,MATCH(6077,'Email Cleaner'!$G$2:$G$10001,0)),"")</f>
        <v/>
      </c>
    </row>
    <row r="6079">
      <c r="A6079">
        <f>IFERROR(INDEX('Email Cleaner'!$B$2:$B$10001,MATCH(6078,'Email Cleaner'!$G$2:$G$10001,0)),"")</f>
        <v/>
      </c>
    </row>
    <row r="6080">
      <c r="A6080">
        <f>IFERROR(INDEX('Email Cleaner'!$B$2:$B$10001,MATCH(6079,'Email Cleaner'!$G$2:$G$10001,0)),"")</f>
        <v/>
      </c>
    </row>
    <row r="6081">
      <c r="A6081">
        <f>IFERROR(INDEX('Email Cleaner'!$B$2:$B$10001,MATCH(6080,'Email Cleaner'!$G$2:$G$10001,0)),"")</f>
        <v/>
      </c>
    </row>
    <row r="6082">
      <c r="A6082">
        <f>IFERROR(INDEX('Email Cleaner'!$B$2:$B$10001,MATCH(6081,'Email Cleaner'!$G$2:$G$10001,0)),"")</f>
        <v/>
      </c>
    </row>
    <row r="6083">
      <c r="A6083">
        <f>IFERROR(INDEX('Email Cleaner'!$B$2:$B$10001,MATCH(6082,'Email Cleaner'!$G$2:$G$10001,0)),"")</f>
        <v/>
      </c>
    </row>
    <row r="6084">
      <c r="A6084">
        <f>IFERROR(INDEX('Email Cleaner'!$B$2:$B$10001,MATCH(6083,'Email Cleaner'!$G$2:$G$10001,0)),"")</f>
        <v/>
      </c>
    </row>
    <row r="6085">
      <c r="A6085">
        <f>IFERROR(INDEX('Email Cleaner'!$B$2:$B$10001,MATCH(6084,'Email Cleaner'!$G$2:$G$10001,0)),"")</f>
        <v/>
      </c>
    </row>
    <row r="6086">
      <c r="A6086">
        <f>IFERROR(INDEX('Email Cleaner'!$B$2:$B$10001,MATCH(6085,'Email Cleaner'!$G$2:$G$10001,0)),"")</f>
        <v/>
      </c>
    </row>
    <row r="6087">
      <c r="A6087">
        <f>IFERROR(INDEX('Email Cleaner'!$B$2:$B$10001,MATCH(6086,'Email Cleaner'!$G$2:$G$10001,0)),"")</f>
        <v/>
      </c>
    </row>
    <row r="6088">
      <c r="A6088">
        <f>IFERROR(INDEX('Email Cleaner'!$B$2:$B$10001,MATCH(6087,'Email Cleaner'!$G$2:$G$10001,0)),"")</f>
        <v/>
      </c>
    </row>
    <row r="6089">
      <c r="A6089">
        <f>IFERROR(INDEX('Email Cleaner'!$B$2:$B$10001,MATCH(6088,'Email Cleaner'!$G$2:$G$10001,0)),"")</f>
        <v/>
      </c>
    </row>
    <row r="6090">
      <c r="A6090">
        <f>IFERROR(INDEX('Email Cleaner'!$B$2:$B$10001,MATCH(6089,'Email Cleaner'!$G$2:$G$10001,0)),"")</f>
        <v/>
      </c>
    </row>
    <row r="6091">
      <c r="A6091">
        <f>IFERROR(INDEX('Email Cleaner'!$B$2:$B$10001,MATCH(6090,'Email Cleaner'!$G$2:$G$10001,0)),"")</f>
        <v/>
      </c>
    </row>
    <row r="6092">
      <c r="A6092">
        <f>IFERROR(INDEX('Email Cleaner'!$B$2:$B$10001,MATCH(6091,'Email Cleaner'!$G$2:$G$10001,0)),"")</f>
        <v/>
      </c>
    </row>
    <row r="6093">
      <c r="A6093">
        <f>IFERROR(INDEX('Email Cleaner'!$B$2:$B$10001,MATCH(6092,'Email Cleaner'!$G$2:$G$10001,0)),"")</f>
        <v/>
      </c>
    </row>
    <row r="6094">
      <c r="A6094">
        <f>IFERROR(INDEX('Email Cleaner'!$B$2:$B$10001,MATCH(6093,'Email Cleaner'!$G$2:$G$10001,0)),"")</f>
        <v/>
      </c>
    </row>
    <row r="6095">
      <c r="A6095">
        <f>IFERROR(INDEX('Email Cleaner'!$B$2:$B$10001,MATCH(6094,'Email Cleaner'!$G$2:$G$10001,0)),"")</f>
        <v/>
      </c>
    </row>
    <row r="6096">
      <c r="A6096">
        <f>IFERROR(INDEX('Email Cleaner'!$B$2:$B$10001,MATCH(6095,'Email Cleaner'!$G$2:$G$10001,0)),"")</f>
        <v/>
      </c>
    </row>
    <row r="6097">
      <c r="A6097">
        <f>IFERROR(INDEX('Email Cleaner'!$B$2:$B$10001,MATCH(6096,'Email Cleaner'!$G$2:$G$10001,0)),"")</f>
        <v/>
      </c>
    </row>
    <row r="6098">
      <c r="A6098">
        <f>IFERROR(INDEX('Email Cleaner'!$B$2:$B$10001,MATCH(6097,'Email Cleaner'!$G$2:$G$10001,0)),"")</f>
        <v/>
      </c>
    </row>
    <row r="6099">
      <c r="A6099">
        <f>IFERROR(INDEX('Email Cleaner'!$B$2:$B$10001,MATCH(6098,'Email Cleaner'!$G$2:$G$10001,0)),"")</f>
        <v/>
      </c>
    </row>
    <row r="6100">
      <c r="A6100">
        <f>IFERROR(INDEX('Email Cleaner'!$B$2:$B$10001,MATCH(6099,'Email Cleaner'!$G$2:$G$10001,0)),"")</f>
        <v/>
      </c>
    </row>
    <row r="6101">
      <c r="A6101">
        <f>IFERROR(INDEX('Email Cleaner'!$B$2:$B$10001,MATCH(6100,'Email Cleaner'!$G$2:$G$10001,0)),"")</f>
        <v/>
      </c>
    </row>
    <row r="6102">
      <c r="A6102">
        <f>IFERROR(INDEX('Email Cleaner'!$B$2:$B$10001,MATCH(6101,'Email Cleaner'!$G$2:$G$10001,0)),"")</f>
        <v/>
      </c>
    </row>
    <row r="6103">
      <c r="A6103">
        <f>IFERROR(INDEX('Email Cleaner'!$B$2:$B$10001,MATCH(6102,'Email Cleaner'!$G$2:$G$10001,0)),"")</f>
        <v/>
      </c>
    </row>
    <row r="6104">
      <c r="A6104">
        <f>IFERROR(INDEX('Email Cleaner'!$B$2:$B$10001,MATCH(6103,'Email Cleaner'!$G$2:$G$10001,0)),"")</f>
        <v/>
      </c>
    </row>
    <row r="6105">
      <c r="A6105">
        <f>IFERROR(INDEX('Email Cleaner'!$B$2:$B$10001,MATCH(6104,'Email Cleaner'!$G$2:$G$10001,0)),"")</f>
        <v/>
      </c>
    </row>
    <row r="6106">
      <c r="A6106">
        <f>IFERROR(INDEX('Email Cleaner'!$B$2:$B$10001,MATCH(6105,'Email Cleaner'!$G$2:$G$10001,0)),"")</f>
        <v/>
      </c>
    </row>
    <row r="6107">
      <c r="A6107">
        <f>IFERROR(INDEX('Email Cleaner'!$B$2:$B$10001,MATCH(6106,'Email Cleaner'!$G$2:$G$10001,0)),"")</f>
        <v/>
      </c>
    </row>
    <row r="6108">
      <c r="A6108">
        <f>IFERROR(INDEX('Email Cleaner'!$B$2:$B$10001,MATCH(6107,'Email Cleaner'!$G$2:$G$10001,0)),"")</f>
        <v/>
      </c>
    </row>
    <row r="6109">
      <c r="A6109">
        <f>IFERROR(INDEX('Email Cleaner'!$B$2:$B$10001,MATCH(6108,'Email Cleaner'!$G$2:$G$10001,0)),"")</f>
        <v/>
      </c>
    </row>
    <row r="6110">
      <c r="A6110">
        <f>IFERROR(INDEX('Email Cleaner'!$B$2:$B$10001,MATCH(6109,'Email Cleaner'!$G$2:$G$10001,0)),"")</f>
        <v/>
      </c>
    </row>
    <row r="6111">
      <c r="A6111">
        <f>IFERROR(INDEX('Email Cleaner'!$B$2:$B$10001,MATCH(6110,'Email Cleaner'!$G$2:$G$10001,0)),"")</f>
        <v/>
      </c>
    </row>
    <row r="6112">
      <c r="A6112">
        <f>IFERROR(INDEX('Email Cleaner'!$B$2:$B$10001,MATCH(6111,'Email Cleaner'!$G$2:$G$10001,0)),"")</f>
        <v/>
      </c>
    </row>
    <row r="6113">
      <c r="A6113">
        <f>IFERROR(INDEX('Email Cleaner'!$B$2:$B$10001,MATCH(6112,'Email Cleaner'!$G$2:$G$10001,0)),"")</f>
        <v/>
      </c>
    </row>
    <row r="6114">
      <c r="A6114">
        <f>IFERROR(INDEX('Email Cleaner'!$B$2:$B$10001,MATCH(6113,'Email Cleaner'!$G$2:$G$10001,0)),"")</f>
        <v/>
      </c>
    </row>
    <row r="6115">
      <c r="A6115">
        <f>IFERROR(INDEX('Email Cleaner'!$B$2:$B$10001,MATCH(6114,'Email Cleaner'!$G$2:$G$10001,0)),"")</f>
        <v/>
      </c>
    </row>
    <row r="6116">
      <c r="A6116">
        <f>IFERROR(INDEX('Email Cleaner'!$B$2:$B$10001,MATCH(6115,'Email Cleaner'!$G$2:$G$10001,0)),"")</f>
        <v/>
      </c>
    </row>
    <row r="6117">
      <c r="A6117">
        <f>IFERROR(INDEX('Email Cleaner'!$B$2:$B$10001,MATCH(6116,'Email Cleaner'!$G$2:$G$10001,0)),"")</f>
        <v/>
      </c>
    </row>
    <row r="6118">
      <c r="A6118">
        <f>IFERROR(INDEX('Email Cleaner'!$B$2:$B$10001,MATCH(6117,'Email Cleaner'!$G$2:$G$10001,0)),"")</f>
        <v/>
      </c>
    </row>
    <row r="6119">
      <c r="A6119">
        <f>IFERROR(INDEX('Email Cleaner'!$B$2:$B$10001,MATCH(6118,'Email Cleaner'!$G$2:$G$10001,0)),"")</f>
        <v/>
      </c>
    </row>
    <row r="6120">
      <c r="A6120">
        <f>IFERROR(INDEX('Email Cleaner'!$B$2:$B$10001,MATCH(6119,'Email Cleaner'!$G$2:$G$10001,0)),"")</f>
        <v/>
      </c>
    </row>
    <row r="6121">
      <c r="A6121">
        <f>IFERROR(INDEX('Email Cleaner'!$B$2:$B$10001,MATCH(6120,'Email Cleaner'!$G$2:$G$10001,0)),"")</f>
        <v/>
      </c>
    </row>
    <row r="6122">
      <c r="A6122">
        <f>IFERROR(INDEX('Email Cleaner'!$B$2:$B$10001,MATCH(6121,'Email Cleaner'!$G$2:$G$10001,0)),"")</f>
        <v/>
      </c>
    </row>
    <row r="6123">
      <c r="A6123">
        <f>IFERROR(INDEX('Email Cleaner'!$B$2:$B$10001,MATCH(6122,'Email Cleaner'!$G$2:$G$10001,0)),"")</f>
        <v/>
      </c>
    </row>
    <row r="6124">
      <c r="A6124">
        <f>IFERROR(INDEX('Email Cleaner'!$B$2:$B$10001,MATCH(6123,'Email Cleaner'!$G$2:$G$10001,0)),"")</f>
        <v/>
      </c>
    </row>
    <row r="6125">
      <c r="A6125">
        <f>IFERROR(INDEX('Email Cleaner'!$B$2:$B$10001,MATCH(6124,'Email Cleaner'!$G$2:$G$10001,0)),"")</f>
        <v/>
      </c>
    </row>
    <row r="6126">
      <c r="A6126">
        <f>IFERROR(INDEX('Email Cleaner'!$B$2:$B$10001,MATCH(6125,'Email Cleaner'!$G$2:$G$10001,0)),"")</f>
        <v/>
      </c>
    </row>
    <row r="6127">
      <c r="A6127">
        <f>IFERROR(INDEX('Email Cleaner'!$B$2:$B$10001,MATCH(6126,'Email Cleaner'!$G$2:$G$10001,0)),"")</f>
        <v/>
      </c>
    </row>
    <row r="6128">
      <c r="A6128">
        <f>IFERROR(INDEX('Email Cleaner'!$B$2:$B$10001,MATCH(6127,'Email Cleaner'!$G$2:$G$10001,0)),"")</f>
        <v/>
      </c>
    </row>
    <row r="6129">
      <c r="A6129">
        <f>IFERROR(INDEX('Email Cleaner'!$B$2:$B$10001,MATCH(6128,'Email Cleaner'!$G$2:$G$10001,0)),"")</f>
        <v/>
      </c>
    </row>
    <row r="6130">
      <c r="A6130">
        <f>IFERROR(INDEX('Email Cleaner'!$B$2:$B$10001,MATCH(6129,'Email Cleaner'!$G$2:$G$10001,0)),"")</f>
        <v/>
      </c>
    </row>
    <row r="6131">
      <c r="A6131">
        <f>IFERROR(INDEX('Email Cleaner'!$B$2:$B$10001,MATCH(6130,'Email Cleaner'!$G$2:$G$10001,0)),"")</f>
        <v/>
      </c>
    </row>
    <row r="6132">
      <c r="A6132">
        <f>IFERROR(INDEX('Email Cleaner'!$B$2:$B$10001,MATCH(6131,'Email Cleaner'!$G$2:$G$10001,0)),"")</f>
        <v/>
      </c>
    </row>
    <row r="6133">
      <c r="A6133">
        <f>IFERROR(INDEX('Email Cleaner'!$B$2:$B$10001,MATCH(6132,'Email Cleaner'!$G$2:$G$10001,0)),"")</f>
        <v/>
      </c>
    </row>
    <row r="6134">
      <c r="A6134">
        <f>IFERROR(INDEX('Email Cleaner'!$B$2:$B$10001,MATCH(6133,'Email Cleaner'!$G$2:$G$10001,0)),"")</f>
        <v/>
      </c>
    </row>
    <row r="6135">
      <c r="A6135">
        <f>IFERROR(INDEX('Email Cleaner'!$B$2:$B$10001,MATCH(6134,'Email Cleaner'!$G$2:$G$10001,0)),"")</f>
        <v/>
      </c>
    </row>
    <row r="6136">
      <c r="A6136">
        <f>IFERROR(INDEX('Email Cleaner'!$B$2:$B$10001,MATCH(6135,'Email Cleaner'!$G$2:$G$10001,0)),"")</f>
        <v/>
      </c>
    </row>
    <row r="6137">
      <c r="A6137">
        <f>IFERROR(INDEX('Email Cleaner'!$B$2:$B$10001,MATCH(6136,'Email Cleaner'!$G$2:$G$10001,0)),"")</f>
        <v/>
      </c>
    </row>
    <row r="6138">
      <c r="A6138">
        <f>IFERROR(INDEX('Email Cleaner'!$B$2:$B$10001,MATCH(6137,'Email Cleaner'!$G$2:$G$10001,0)),"")</f>
        <v/>
      </c>
    </row>
    <row r="6139">
      <c r="A6139">
        <f>IFERROR(INDEX('Email Cleaner'!$B$2:$B$10001,MATCH(6138,'Email Cleaner'!$G$2:$G$10001,0)),"")</f>
        <v/>
      </c>
    </row>
    <row r="6140">
      <c r="A6140">
        <f>IFERROR(INDEX('Email Cleaner'!$B$2:$B$10001,MATCH(6139,'Email Cleaner'!$G$2:$G$10001,0)),"")</f>
        <v/>
      </c>
    </row>
    <row r="6141">
      <c r="A6141">
        <f>IFERROR(INDEX('Email Cleaner'!$B$2:$B$10001,MATCH(6140,'Email Cleaner'!$G$2:$G$10001,0)),"")</f>
        <v/>
      </c>
    </row>
    <row r="6142">
      <c r="A6142">
        <f>IFERROR(INDEX('Email Cleaner'!$B$2:$B$10001,MATCH(6141,'Email Cleaner'!$G$2:$G$10001,0)),"")</f>
        <v/>
      </c>
    </row>
    <row r="6143">
      <c r="A6143">
        <f>IFERROR(INDEX('Email Cleaner'!$B$2:$B$10001,MATCH(6142,'Email Cleaner'!$G$2:$G$10001,0)),"")</f>
        <v/>
      </c>
    </row>
    <row r="6144">
      <c r="A6144">
        <f>IFERROR(INDEX('Email Cleaner'!$B$2:$B$10001,MATCH(6143,'Email Cleaner'!$G$2:$G$10001,0)),"")</f>
        <v/>
      </c>
    </row>
    <row r="6145">
      <c r="A6145">
        <f>IFERROR(INDEX('Email Cleaner'!$B$2:$B$10001,MATCH(6144,'Email Cleaner'!$G$2:$G$10001,0)),"")</f>
        <v/>
      </c>
    </row>
    <row r="6146">
      <c r="A6146">
        <f>IFERROR(INDEX('Email Cleaner'!$B$2:$B$10001,MATCH(6145,'Email Cleaner'!$G$2:$G$10001,0)),"")</f>
        <v/>
      </c>
    </row>
    <row r="6147">
      <c r="A6147">
        <f>IFERROR(INDEX('Email Cleaner'!$B$2:$B$10001,MATCH(6146,'Email Cleaner'!$G$2:$G$10001,0)),"")</f>
        <v/>
      </c>
    </row>
    <row r="6148">
      <c r="A6148">
        <f>IFERROR(INDEX('Email Cleaner'!$B$2:$B$10001,MATCH(6147,'Email Cleaner'!$G$2:$G$10001,0)),"")</f>
        <v/>
      </c>
    </row>
    <row r="6149">
      <c r="A6149">
        <f>IFERROR(INDEX('Email Cleaner'!$B$2:$B$10001,MATCH(6148,'Email Cleaner'!$G$2:$G$10001,0)),"")</f>
        <v/>
      </c>
    </row>
    <row r="6150">
      <c r="A6150">
        <f>IFERROR(INDEX('Email Cleaner'!$B$2:$B$10001,MATCH(6149,'Email Cleaner'!$G$2:$G$10001,0)),"")</f>
        <v/>
      </c>
    </row>
    <row r="6151">
      <c r="A6151">
        <f>IFERROR(INDEX('Email Cleaner'!$B$2:$B$10001,MATCH(6150,'Email Cleaner'!$G$2:$G$10001,0)),"")</f>
        <v/>
      </c>
    </row>
    <row r="6152">
      <c r="A6152">
        <f>IFERROR(INDEX('Email Cleaner'!$B$2:$B$10001,MATCH(6151,'Email Cleaner'!$G$2:$G$10001,0)),"")</f>
        <v/>
      </c>
    </row>
    <row r="6153">
      <c r="A6153">
        <f>IFERROR(INDEX('Email Cleaner'!$B$2:$B$10001,MATCH(6152,'Email Cleaner'!$G$2:$G$10001,0)),"")</f>
        <v/>
      </c>
    </row>
    <row r="6154">
      <c r="A6154">
        <f>IFERROR(INDEX('Email Cleaner'!$B$2:$B$10001,MATCH(6153,'Email Cleaner'!$G$2:$G$10001,0)),"")</f>
        <v/>
      </c>
    </row>
    <row r="6155">
      <c r="A6155">
        <f>IFERROR(INDEX('Email Cleaner'!$B$2:$B$10001,MATCH(6154,'Email Cleaner'!$G$2:$G$10001,0)),"")</f>
        <v/>
      </c>
    </row>
    <row r="6156">
      <c r="A6156">
        <f>IFERROR(INDEX('Email Cleaner'!$B$2:$B$10001,MATCH(6155,'Email Cleaner'!$G$2:$G$10001,0)),"")</f>
        <v/>
      </c>
    </row>
    <row r="6157">
      <c r="A6157">
        <f>IFERROR(INDEX('Email Cleaner'!$B$2:$B$10001,MATCH(6156,'Email Cleaner'!$G$2:$G$10001,0)),"")</f>
        <v/>
      </c>
    </row>
    <row r="6158">
      <c r="A6158">
        <f>IFERROR(INDEX('Email Cleaner'!$B$2:$B$10001,MATCH(6157,'Email Cleaner'!$G$2:$G$10001,0)),"")</f>
        <v/>
      </c>
    </row>
    <row r="6159">
      <c r="A6159">
        <f>IFERROR(INDEX('Email Cleaner'!$B$2:$B$10001,MATCH(6158,'Email Cleaner'!$G$2:$G$10001,0)),"")</f>
        <v/>
      </c>
    </row>
    <row r="6160">
      <c r="A6160">
        <f>IFERROR(INDEX('Email Cleaner'!$B$2:$B$10001,MATCH(6159,'Email Cleaner'!$G$2:$G$10001,0)),"")</f>
        <v/>
      </c>
    </row>
    <row r="6161">
      <c r="A6161">
        <f>IFERROR(INDEX('Email Cleaner'!$B$2:$B$10001,MATCH(6160,'Email Cleaner'!$G$2:$G$10001,0)),"")</f>
        <v/>
      </c>
    </row>
    <row r="6162">
      <c r="A6162">
        <f>IFERROR(INDEX('Email Cleaner'!$B$2:$B$10001,MATCH(6161,'Email Cleaner'!$G$2:$G$10001,0)),"")</f>
        <v/>
      </c>
    </row>
    <row r="6163">
      <c r="A6163">
        <f>IFERROR(INDEX('Email Cleaner'!$B$2:$B$10001,MATCH(6162,'Email Cleaner'!$G$2:$G$10001,0)),"")</f>
        <v/>
      </c>
    </row>
    <row r="6164">
      <c r="A6164">
        <f>IFERROR(INDEX('Email Cleaner'!$B$2:$B$10001,MATCH(6163,'Email Cleaner'!$G$2:$G$10001,0)),"")</f>
        <v/>
      </c>
    </row>
    <row r="6165">
      <c r="A6165">
        <f>IFERROR(INDEX('Email Cleaner'!$B$2:$B$10001,MATCH(6164,'Email Cleaner'!$G$2:$G$10001,0)),"")</f>
        <v/>
      </c>
    </row>
    <row r="6166">
      <c r="A6166">
        <f>IFERROR(INDEX('Email Cleaner'!$B$2:$B$10001,MATCH(6165,'Email Cleaner'!$G$2:$G$10001,0)),"")</f>
        <v/>
      </c>
    </row>
    <row r="6167">
      <c r="A6167">
        <f>IFERROR(INDEX('Email Cleaner'!$B$2:$B$10001,MATCH(6166,'Email Cleaner'!$G$2:$G$10001,0)),"")</f>
        <v/>
      </c>
    </row>
    <row r="6168">
      <c r="A6168">
        <f>IFERROR(INDEX('Email Cleaner'!$B$2:$B$10001,MATCH(6167,'Email Cleaner'!$G$2:$G$10001,0)),"")</f>
        <v/>
      </c>
    </row>
    <row r="6169">
      <c r="A6169">
        <f>IFERROR(INDEX('Email Cleaner'!$B$2:$B$10001,MATCH(6168,'Email Cleaner'!$G$2:$G$10001,0)),"")</f>
        <v/>
      </c>
    </row>
    <row r="6170">
      <c r="A6170">
        <f>IFERROR(INDEX('Email Cleaner'!$B$2:$B$10001,MATCH(6169,'Email Cleaner'!$G$2:$G$10001,0)),"")</f>
        <v/>
      </c>
    </row>
    <row r="6171">
      <c r="A6171">
        <f>IFERROR(INDEX('Email Cleaner'!$B$2:$B$10001,MATCH(6170,'Email Cleaner'!$G$2:$G$10001,0)),"")</f>
        <v/>
      </c>
    </row>
    <row r="6172">
      <c r="A6172">
        <f>IFERROR(INDEX('Email Cleaner'!$B$2:$B$10001,MATCH(6171,'Email Cleaner'!$G$2:$G$10001,0)),"")</f>
        <v/>
      </c>
    </row>
    <row r="6173">
      <c r="A6173">
        <f>IFERROR(INDEX('Email Cleaner'!$B$2:$B$10001,MATCH(6172,'Email Cleaner'!$G$2:$G$10001,0)),"")</f>
        <v/>
      </c>
    </row>
    <row r="6174">
      <c r="A6174">
        <f>IFERROR(INDEX('Email Cleaner'!$B$2:$B$10001,MATCH(6173,'Email Cleaner'!$G$2:$G$10001,0)),"")</f>
        <v/>
      </c>
    </row>
    <row r="6175">
      <c r="A6175">
        <f>IFERROR(INDEX('Email Cleaner'!$B$2:$B$10001,MATCH(6174,'Email Cleaner'!$G$2:$G$10001,0)),"")</f>
        <v/>
      </c>
    </row>
    <row r="6176">
      <c r="A6176">
        <f>IFERROR(INDEX('Email Cleaner'!$B$2:$B$10001,MATCH(6175,'Email Cleaner'!$G$2:$G$10001,0)),"")</f>
        <v/>
      </c>
    </row>
    <row r="6177">
      <c r="A6177">
        <f>IFERROR(INDEX('Email Cleaner'!$B$2:$B$10001,MATCH(6176,'Email Cleaner'!$G$2:$G$10001,0)),"")</f>
        <v/>
      </c>
    </row>
    <row r="6178">
      <c r="A6178">
        <f>IFERROR(INDEX('Email Cleaner'!$B$2:$B$10001,MATCH(6177,'Email Cleaner'!$G$2:$G$10001,0)),"")</f>
        <v/>
      </c>
    </row>
    <row r="6179">
      <c r="A6179">
        <f>IFERROR(INDEX('Email Cleaner'!$B$2:$B$10001,MATCH(6178,'Email Cleaner'!$G$2:$G$10001,0)),"")</f>
        <v/>
      </c>
    </row>
    <row r="6180">
      <c r="A6180">
        <f>IFERROR(INDEX('Email Cleaner'!$B$2:$B$10001,MATCH(6179,'Email Cleaner'!$G$2:$G$10001,0)),"")</f>
        <v/>
      </c>
    </row>
    <row r="6181">
      <c r="A6181">
        <f>IFERROR(INDEX('Email Cleaner'!$B$2:$B$10001,MATCH(6180,'Email Cleaner'!$G$2:$G$10001,0)),"")</f>
        <v/>
      </c>
    </row>
    <row r="6182">
      <c r="A6182">
        <f>IFERROR(INDEX('Email Cleaner'!$B$2:$B$10001,MATCH(6181,'Email Cleaner'!$G$2:$G$10001,0)),"")</f>
        <v/>
      </c>
    </row>
    <row r="6183">
      <c r="A6183">
        <f>IFERROR(INDEX('Email Cleaner'!$B$2:$B$10001,MATCH(6182,'Email Cleaner'!$G$2:$G$10001,0)),"")</f>
        <v/>
      </c>
    </row>
    <row r="6184">
      <c r="A6184">
        <f>IFERROR(INDEX('Email Cleaner'!$B$2:$B$10001,MATCH(6183,'Email Cleaner'!$G$2:$G$10001,0)),"")</f>
        <v/>
      </c>
    </row>
    <row r="6185">
      <c r="A6185">
        <f>IFERROR(INDEX('Email Cleaner'!$B$2:$B$10001,MATCH(6184,'Email Cleaner'!$G$2:$G$10001,0)),"")</f>
        <v/>
      </c>
    </row>
    <row r="6186">
      <c r="A6186">
        <f>IFERROR(INDEX('Email Cleaner'!$B$2:$B$10001,MATCH(6185,'Email Cleaner'!$G$2:$G$10001,0)),"")</f>
        <v/>
      </c>
    </row>
    <row r="6187">
      <c r="A6187">
        <f>IFERROR(INDEX('Email Cleaner'!$B$2:$B$10001,MATCH(6186,'Email Cleaner'!$G$2:$G$10001,0)),"")</f>
        <v/>
      </c>
    </row>
    <row r="6188">
      <c r="A6188">
        <f>IFERROR(INDEX('Email Cleaner'!$B$2:$B$10001,MATCH(6187,'Email Cleaner'!$G$2:$G$10001,0)),"")</f>
        <v/>
      </c>
    </row>
    <row r="6189">
      <c r="A6189">
        <f>IFERROR(INDEX('Email Cleaner'!$B$2:$B$10001,MATCH(6188,'Email Cleaner'!$G$2:$G$10001,0)),"")</f>
        <v/>
      </c>
    </row>
    <row r="6190">
      <c r="A6190">
        <f>IFERROR(INDEX('Email Cleaner'!$B$2:$B$10001,MATCH(6189,'Email Cleaner'!$G$2:$G$10001,0)),"")</f>
        <v/>
      </c>
    </row>
    <row r="6191">
      <c r="A6191">
        <f>IFERROR(INDEX('Email Cleaner'!$B$2:$B$10001,MATCH(6190,'Email Cleaner'!$G$2:$G$10001,0)),"")</f>
        <v/>
      </c>
    </row>
    <row r="6192">
      <c r="A6192">
        <f>IFERROR(INDEX('Email Cleaner'!$B$2:$B$10001,MATCH(6191,'Email Cleaner'!$G$2:$G$10001,0)),"")</f>
        <v/>
      </c>
    </row>
    <row r="6193">
      <c r="A6193">
        <f>IFERROR(INDEX('Email Cleaner'!$B$2:$B$10001,MATCH(6192,'Email Cleaner'!$G$2:$G$10001,0)),"")</f>
        <v/>
      </c>
    </row>
    <row r="6194">
      <c r="A6194">
        <f>IFERROR(INDEX('Email Cleaner'!$B$2:$B$10001,MATCH(6193,'Email Cleaner'!$G$2:$G$10001,0)),"")</f>
        <v/>
      </c>
    </row>
    <row r="6195">
      <c r="A6195">
        <f>IFERROR(INDEX('Email Cleaner'!$B$2:$B$10001,MATCH(6194,'Email Cleaner'!$G$2:$G$10001,0)),"")</f>
        <v/>
      </c>
    </row>
    <row r="6196">
      <c r="A6196">
        <f>IFERROR(INDEX('Email Cleaner'!$B$2:$B$10001,MATCH(6195,'Email Cleaner'!$G$2:$G$10001,0)),"")</f>
        <v/>
      </c>
    </row>
    <row r="6197">
      <c r="A6197">
        <f>IFERROR(INDEX('Email Cleaner'!$B$2:$B$10001,MATCH(6196,'Email Cleaner'!$G$2:$G$10001,0)),"")</f>
        <v/>
      </c>
    </row>
    <row r="6198">
      <c r="A6198">
        <f>IFERROR(INDEX('Email Cleaner'!$B$2:$B$10001,MATCH(6197,'Email Cleaner'!$G$2:$G$10001,0)),"")</f>
        <v/>
      </c>
    </row>
    <row r="6199">
      <c r="A6199">
        <f>IFERROR(INDEX('Email Cleaner'!$B$2:$B$10001,MATCH(6198,'Email Cleaner'!$G$2:$G$10001,0)),"")</f>
        <v/>
      </c>
    </row>
    <row r="6200">
      <c r="A6200">
        <f>IFERROR(INDEX('Email Cleaner'!$B$2:$B$10001,MATCH(6199,'Email Cleaner'!$G$2:$G$10001,0)),"")</f>
        <v/>
      </c>
    </row>
    <row r="6201">
      <c r="A6201">
        <f>IFERROR(INDEX('Email Cleaner'!$B$2:$B$10001,MATCH(6200,'Email Cleaner'!$G$2:$G$10001,0)),"")</f>
        <v/>
      </c>
    </row>
    <row r="6202">
      <c r="A6202">
        <f>IFERROR(INDEX('Email Cleaner'!$B$2:$B$10001,MATCH(6201,'Email Cleaner'!$G$2:$G$10001,0)),"")</f>
        <v/>
      </c>
    </row>
    <row r="6203">
      <c r="A6203">
        <f>IFERROR(INDEX('Email Cleaner'!$B$2:$B$10001,MATCH(6202,'Email Cleaner'!$G$2:$G$10001,0)),"")</f>
        <v/>
      </c>
    </row>
    <row r="6204">
      <c r="A6204">
        <f>IFERROR(INDEX('Email Cleaner'!$B$2:$B$10001,MATCH(6203,'Email Cleaner'!$G$2:$G$10001,0)),"")</f>
        <v/>
      </c>
    </row>
    <row r="6205">
      <c r="A6205">
        <f>IFERROR(INDEX('Email Cleaner'!$B$2:$B$10001,MATCH(6204,'Email Cleaner'!$G$2:$G$10001,0)),"")</f>
        <v/>
      </c>
    </row>
    <row r="6206">
      <c r="A6206">
        <f>IFERROR(INDEX('Email Cleaner'!$B$2:$B$10001,MATCH(6205,'Email Cleaner'!$G$2:$G$10001,0)),"")</f>
        <v/>
      </c>
    </row>
    <row r="6207">
      <c r="A6207">
        <f>IFERROR(INDEX('Email Cleaner'!$B$2:$B$10001,MATCH(6206,'Email Cleaner'!$G$2:$G$10001,0)),"")</f>
        <v/>
      </c>
    </row>
    <row r="6208">
      <c r="A6208">
        <f>IFERROR(INDEX('Email Cleaner'!$B$2:$B$10001,MATCH(6207,'Email Cleaner'!$G$2:$G$10001,0)),"")</f>
        <v/>
      </c>
    </row>
    <row r="6209">
      <c r="A6209">
        <f>IFERROR(INDEX('Email Cleaner'!$B$2:$B$10001,MATCH(6208,'Email Cleaner'!$G$2:$G$10001,0)),"")</f>
        <v/>
      </c>
    </row>
    <row r="6210">
      <c r="A6210">
        <f>IFERROR(INDEX('Email Cleaner'!$B$2:$B$10001,MATCH(6209,'Email Cleaner'!$G$2:$G$10001,0)),"")</f>
        <v/>
      </c>
    </row>
    <row r="6211">
      <c r="A6211">
        <f>IFERROR(INDEX('Email Cleaner'!$B$2:$B$10001,MATCH(6210,'Email Cleaner'!$G$2:$G$10001,0)),"")</f>
        <v/>
      </c>
    </row>
    <row r="6212">
      <c r="A6212">
        <f>IFERROR(INDEX('Email Cleaner'!$B$2:$B$10001,MATCH(6211,'Email Cleaner'!$G$2:$G$10001,0)),"")</f>
        <v/>
      </c>
    </row>
    <row r="6213">
      <c r="A6213">
        <f>IFERROR(INDEX('Email Cleaner'!$B$2:$B$10001,MATCH(6212,'Email Cleaner'!$G$2:$G$10001,0)),"")</f>
        <v/>
      </c>
    </row>
    <row r="6214">
      <c r="A6214">
        <f>IFERROR(INDEX('Email Cleaner'!$B$2:$B$10001,MATCH(6213,'Email Cleaner'!$G$2:$G$10001,0)),"")</f>
        <v/>
      </c>
    </row>
    <row r="6215">
      <c r="A6215">
        <f>IFERROR(INDEX('Email Cleaner'!$B$2:$B$10001,MATCH(6214,'Email Cleaner'!$G$2:$G$10001,0)),"")</f>
        <v/>
      </c>
    </row>
    <row r="6216">
      <c r="A6216">
        <f>IFERROR(INDEX('Email Cleaner'!$B$2:$B$10001,MATCH(6215,'Email Cleaner'!$G$2:$G$10001,0)),"")</f>
        <v/>
      </c>
    </row>
    <row r="6217">
      <c r="A6217">
        <f>IFERROR(INDEX('Email Cleaner'!$B$2:$B$10001,MATCH(6216,'Email Cleaner'!$G$2:$G$10001,0)),"")</f>
        <v/>
      </c>
    </row>
    <row r="6218">
      <c r="A6218">
        <f>IFERROR(INDEX('Email Cleaner'!$B$2:$B$10001,MATCH(6217,'Email Cleaner'!$G$2:$G$10001,0)),"")</f>
        <v/>
      </c>
    </row>
    <row r="6219">
      <c r="A6219">
        <f>IFERROR(INDEX('Email Cleaner'!$B$2:$B$10001,MATCH(6218,'Email Cleaner'!$G$2:$G$10001,0)),"")</f>
        <v/>
      </c>
    </row>
    <row r="6220">
      <c r="A6220">
        <f>IFERROR(INDEX('Email Cleaner'!$B$2:$B$10001,MATCH(6219,'Email Cleaner'!$G$2:$G$10001,0)),"")</f>
        <v/>
      </c>
    </row>
    <row r="6221">
      <c r="A6221">
        <f>IFERROR(INDEX('Email Cleaner'!$B$2:$B$10001,MATCH(6220,'Email Cleaner'!$G$2:$G$10001,0)),"")</f>
        <v/>
      </c>
    </row>
    <row r="6222">
      <c r="A6222">
        <f>IFERROR(INDEX('Email Cleaner'!$B$2:$B$10001,MATCH(6221,'Email Cleaner'!$G$2:$G$10001,0)),"")</f>
        <v/>
      </c>
    </row>
    <row r="6223">
      <c r="A6223">
        <f>IFERROR(INDEX('Email Cleaner'!$B$2:$B$10001,MATCH(6222,'Email Cleaner'!$G$2:$G$10001,0)),"")</f>
        <v/>
      </c>
    </row>
    <row r="6224">
      <c r="A6224">
        <f>IFERROR(INDEX('Email Cleaner'!$B$2:$B$10001,MATCH(6223,'Email Cleaner'!$G$2:$G$10001,0)),"")</f>
        <v/>
      </c>
    </row>
    <row r="6225">
      <c r="A6225">
        <f>IFERROR(INDEX('Email Cleaner'!$B$2:$B$10001,MATCH(6224,'Email Cleaner'!$G$2:$G$10001,0)),"")</f>
        <v/>
      </c>
    </row>
    <row r="6226">
      <c r="A6226">
        <f>IFERROR(INDEX('Email Cleaner'!$B$2:$B$10001,MATCH(6225,'Email Cleaner'!$G$2:$G$10001,0)),"")</f>
        <v/>
      </c>
    </row>
    <row r="6227">
      <c r="A6227">
        <f>IFERROR(INDEX('Email Cleaner'!$B$2:$B$10001,MATCH(6226,'Email Cleaner'!$G$2:$G$10001,0)),"")</f>
        <v/>
      </c>
    </row>
    <row r="6228">
      <c r="A6228">
        <f>IFERROR(INDEX('Email Cleaner'!$B$2:$B$10001,MATCH(6227,'Email Cleaner'!$G$2:$G$10001,0)),"")</f>
        <v/>
      </c>
    </row>
    <row r="6229">
      <c r="A6229">
        <f>IFERROR(INDEX('Email Cleaner'!$B$2:$B$10001,MATCH(6228,'Email Cleaner'!$G$2:$G$10001,0)),"")</f>
        <v/>
      </c>
    </row>
    <row r="6230">
      <c r="A6230">
        <f>IFERROR(INDEX('Email Cleaner'!$B$2:$B$10001,MATCH(6229,'Email Cleaner'!$G$2:$G$10001,0)),"")</f>
        <v/>
      </c>
    </row>
    <row r="6231">
      <c r="A6231">
        <f>IFERROR(INDEX('Email Cleaner'!$B$2:$B$10001,MATCH(6230,'Email Cleaner'!$G$2:$G$10001,0)),"")</f>
        <v/>
      </c>
    </row>
    <row r="6232">
      <c r="A6232">
        <f>IFERROR(INDEX('Email Cleaner'!$B$2:$B$10001,MATCH(6231,'Email Cleaner'!$G$2:$G$10001,0)),"")</f>
        <v/>
      </c>
    </row>
    <row r="6233">
      <c r="A6233">
        <f>IFERROR(INDEX('Email Cleaner'!$B$2:$B$10001,MATCH(6232,'Email Cleaner'!$G$2:$G$10001,0)),"")</f>
        <v/>
      </c>
    </row>
    <row r="6234">
      <c r="A6234">
        <f>IFERROR(INDEX('Email Cleaner'!$B$2:$B$10001,MATCH(6233,'Email Cleaner'!$G$2:$G$10001,0)),"")</f>
        <v/>
      </c>
    </row>
    <row r="6235">
      <c r="A6235">
        <f>IFERROR(INDEX('Email Cleaner'!$B$2:$B$10001,MATCH(6234,'Email Cleaner'!$G$2:$G$10001,0)),"")</f>
        <v/>
      </c>
    </row>
    <row r="6236">
      <c r="A6236">
        <f>IFERROR(INDEX('Email Cleaner'!$B$2:$B$10001,MATCH(6235,'Email Cleaner'!$G$2:$G$10001,0)),"")</f>
        <v/>
      </c>
    </row>
    <row r="6237">
      <c r="A6237">
        <f>IFERROR(INDEX('Email Cleaner'!$B$2:$B$10001,MATCH(6236,'Email Cleaner'!$G$2:$G$10001,0)),"")</f>
        <v/>
      </c>
    </row>
    <row r="6238">
      <c r="A6238">
        <f>IFERROR(INDEX('Email Cleaner'!$B$2:$B$10001,MATCH(6237,'Email Cleaner'!$G$2:$G$10001,0)),"")</f>
        <v/>
      </c>
    </row>
    <row r="6239">
      <c r="A6239">
        <f>IFERROR(INDEX('Email Cleaner'!$B$2:$B$10001,MATCH(6238,'Email Cleaner'!$G$2:$G$10001,0)),"")</f>
        <v/>
      </c>
    </row>
    <row r="6240">
      <c r="A6240">
        <f>IFERROR(INDEX('Email Cleaner'!$B$2:$B$10001,MATCH(6239,'Email Cleaner'!$G$2:$G$10001,0)),"")</f>
        <v/>
      </c>
    </row>
    <row r="6241">
      <c r="A6241">
        <f>IFERROR(INDEX('Email Cleaner'!$B$2:$B$10001,MATCH(6240,'Email Cleaner'!$G$2:$G$10001,0)),"")</f>
        <v/>
      </c>
    </row>
    <row r="6242">
      <c r="A6242">
        <f>IFERROR(INDEX('Email Cleaner'!$B$2:$B$10001,MATCH(6241,'Email Cleaner'!$G$2:$G$10001,0)),"")</f>
        <v/>
      </c>
    </row>
    <row r="6243">
      <c r="A6243">
        <f>IFERROR(INDEX('Email Cleaner'!$B$2:$B$10001,MATCH(6242,'Email Cleaner'!$G$2:$G$10001,0)),"")</f>
        <v/>
      </c>
    </row>
    <row r="6244">
      <c r="A6244">
        <f>IFERROR(INDEX('Email Cleaner'!$B$2:$B$10001,MATCH(6243,'Email Cleaner'!$G$2:$G$10001,0)),"")</f>
        <v/>
      </c>
    </row>
    <row r="6245">
      <c r="A6245">
        <f>IFERROR(INDEX('Email Cleaner'!$B$2:$B$10001,MATCH(6244,'Email Cleaner'!$G$2:$G$10001,0)),"")</f>
        <v/>
      </c>
    </row>
    <row r="6246">
      <c r="A6246">
        <f>IFERROR(INDEX('Email Cleaner'!$B$2:$B$10001,MATCH(6245,'Email Cleaner'!$G$2:$G$10001,0)),"")</f>
        <v/>
      </c>
    </row>
    <row r="6247">
      <c r="A6247">
        <f>IFERROR(INDEX('Email Cleaner'!$B$2:$B$10001,MATCH(6246,'Email Cleaner'!$G$2:$G$10001,0)),"")</f>
        <v/>
      </c>
    </row>
    <row r="6248">
      <c r="A6248">
        <f>IFERROR(INDEX('Email Cleaner'!$B$2:$B$10001,MATCH(6247,'Email Cleaner'!$G$2:$G$10001,0)),"")</f>
        <v/>
      </c>
    </row>
    <row r="6249">
      <c r="A6249">
        <f>IFERROR(INDEX('Email Cleaner'!$B$2:$B$10001,MATCH(6248,'Email Cleaner'!$G$2:$G$10001,0)),"")</f>
        <v/>
      </c>
    </row>
    <row r="6250">
      <c r="A6250">
        <f>IFERROR(INDEX('Email Cleaner'!$B$2:$B$10001,MATCH(6249,'Email Cleaner'!$G$2:$G$10001,0)),"")</f>
        <v/>
      </c>
    </row>
    <row r="6251">
      <c r="A6251">
        <f>IFERROR(INDEX('Email Cleaner'!$B$2:$B$10001,MATCH(6250,'Email Cleaner'!$G$2:$G$10001,0)),"")</f>
        <v/>
      </c>
    </row>
    <row r="6252">
      <c r="A6252">
        <f>IFERROR(INDEX('Email Cleaner'!$B$2:$B$10001,MATCH(6251,'Email Cleaner'!$G$2:$G$10001,0)),"")</f>
        <v/>
      </c>
    </row>
    <row r="6253">
      <c r="A6253">
        <f>IFERROR(INDEX('Email Cleaner'!$B$2:$B$10001,MATCH(6252,'Email Cleaner'!$G$2:$G$10001,0)),"")</f>
        <v/>
      </c>
    </row>
    <row r="6254">
      <c r="A6254">
        <f>IFERROR(INDEX('Email Cleaner'!$B$2:$B$10001,MATCH(6253,'Email Cleaner'!$G$2:$G$10001,0)),"")</f>
        <v/>
      </c>
    </row>
    <row r="6255">
      <c r="A6255">
        <f>IFERROR(INDEX('Email Cleaner'!$B$2:$B$10001,MATCH(6254,'Email Cleaner'!$G$2:$G$10001,0)),"")</f>
        <v/>
      </c>
    </row>
    <row r="6256">
      <c r="A6256">
        <f>IFERROR(INDEX('Email Cleaner'!$B$2:$B$10001,MATCH(6255,'Email Cleaner'!$G$2:$G$10001,0)),"")</f>
        <v/>
      </c>
    </row>
    <row r="6257">
      <c r="A6257">
        <f>IFERROR(INDEX('Email Cleaner'!$B$2:$B$10001,MATCH(6256,'Email Cleaner'!$G$2:$G$10001,0)),"")</f>
        <v/>
      </c>
    </row>
    <row r="6258">
      <c r="A6258">
        <f>IFERROR(INDEX('Email Cleaner'!$B$2:$B$10001,MATCH(6257,'Email Cleaner'!$G$2:$G$10001,0)),"")</f>
        <v/>
      </c>
    </row>
    <row r="6259">
      <c r="A6259">
        <f>IFERROR(INDEX('Email Cleaner'!$B$2:$B$10001,MATCH(6258,'Email Cleaner'!$G$2:$G$10001,0)),"")</f>
        <v/>
      </c>
    </row>
    <row r="6260">
      <c r="A6260">
        <f>IFERROR(INDEX('Email Cleaner'!$B$2:$B$10001,MATCH(6259,'Email Cleaner'!$G$2:$G$10001,0)),"")</f>
        <v/>
      </c>
    </row>
    <row r="6261">
      <c r="A6261">
        <f>IFERROR(INDEX('Email Cleaner'!$B$2:$B$10001,MATCH(6260,'Email Cleaner'!$G$2:$G$10001,0)),"")</f>
        <v/>
      </c>
    </row>
    <row r="6262">
      <c r="A6262">
        <f>IFERROR(INDEX('Email Cleaner'!$B$2:$B$10001,MATCH(6261,'Email Cleaner'!$G$2:$G$10001,0)),"")</f>
        <v/>
      </c>
    </row>
    <row r="6263">
      <c r="A6263">
        <f>IFERROR(INDEX('Email Cleaner'!$B$2:$B$10001,MATCH(6262,'Email Cleaner'!$G$2:$G$10001,0)),"")</f>
        <v/>
      </c>
    </row>
    <row r="6264">
      <c r="A6264">
        <f>IFERROR(INDEX('Email Cleaner'!$B$2:$B$10001,MATCH(6263,'Email Cleaner'!$G$2:$G$10001,0)),"")</f>
        <v/>
      </c>
    </row>
    <row r="6265">
      <c r="A6265">
        <f>IFERROR(INDEX('Email Cleaner'!$B$2:$B$10001,MATCH(6264,'Email Cleaner'!$G$2:$G$10001,0)),"")</f>
        <v/>
      </c>
    </row>
    <row r="6266">
      <c r="A6266">
        <f>IFERROR(INDEX('Email Cleaner'!$B$2:$B$10001,MATCH(6265,'Email Cleaner'!$G$2:$G$10001,0)),"")</f>
        <v/>
      </c>
    </row>
    <row r="6267">
      <c r="A6267">
        <f>IFERROR(INDEX('Email Cleaner'!$B$2:$B$10001,MATCH(6266,'Email Cleaner'!$G$2:$G$10001,0)),"")</f>
        <v/>
      </c>
    </row>
    <row r="6268">
      <c r="A6268">
        <f>IFERROR(INDEX('Email Cleaner'!$B$2:$B$10001,MATCH(6267,'Email Cleaner'!$G$2:$G$10001,0)),"")</f>
        <v/>
      </c>
    </row>
    <row r="6269">
      <c r="A6269">
        <f>IFERROR(INDEX('Email Cleaner'!$B$2:$B$10001,MATCH(6268,'Email Cleaner'!$G$2:$G$10001,0)),"")</f>
        <v/>
      </c>
    </row>
    <row r="6270">
      <c r="A6270">
        <f>IFERROR(INDEX('Email Cleaner'!$B$2:$B$10001,MATCH(6269,'Email Cleaner'!$G$2:$G$10001,0)),"")</f>
        <v/>
      </c>
    </row>
    <row r="6271">
      <c r="A6271">
        <f>IFERROR(INDEX('Email Cleaner'!$B$2:$B$10001,MATCH(6270,'Email Cleaner'!$G$2:$G$10001,0)),"")</f>
        <v/>
      </c>
    </row>
    <row r="6272">
      <c r="A6272">
        <f>IFERROR(INDEX('Email Cleaner'!$B$2:$B$10001,MATCH(6271,'Email Cleaner'!$G$2:$G$10001,0)),"")</f>
        <v/>
      </c>
    </row>
    <row r="6273">
      <c r="A6273">
        <f>IFERROR(INDEX('Email Cleaner'!$B$2:$B$10001,MATCH(6272,'Email Cleaner'!$G$2:$G$10001,0)),"")</f>
        <v/>
      </c>
    </row>
    <row r="6274">
      <c r="A6274">
        <f>IFERROR(INDEX('Email Cleaner'!$B$2:$B$10001,MATCH(6273,'Email Cleaner'!$G$2:$G$10001,0)),"")</f>
        <v/>
      </c>
    </row>
    <row r="6275">
      <c r="A6275">
        <f>IFERROR(INDEX('Email Cleaner'!$B$2:$B$10001,MATCH(6274,'Email Cleaner'!$G$2:$G$10001,0)),"")</f>
        <v/>
      </c>
    </row>
    <row r="6276">
      <c r="A6276">
        <f>IFERROR(INDEX('Email Cleaner'!$B$2:$B$10001,MATCH(6275,'Email Cleaner'!$G$2:$G$10001,0)),"")</f>
        <v/>
      </c>
    </row>
    <row r="6277">
      <c r="A6277">
        <f>IFERROR(INDEX('Email Cleaner'!$B$2:$B$10001,MATCH(6276,'Email Cleaner'!$G$2:$G$10001,0)),"")</f>
        <v/>
      </c>
    </row>
    <row r="6278">
      <c r="A6278">
        <f>IFERROR(INDEX('Email Cleaner'!$B$2:$B$10001,MATCH(6277,'Email Cleaner'!$G$2:$G$10001,0)),"")</f>
        <v/>
      </c>
    </row>
    <row r="6279">
      <c r="A6279">
        <f>IFERROR(INDEX('Email Cleaner'!$B$2:$B$10001,MATCH(6278,'Email Cleaner'!$G$2:$G$10001,0)),"")</f>
        <v/>
      </c>
    </row>
    <row r="6280">
      <c r="A6280">
        <f>IFERROR(INDEX('Email Cleaner'!$B$2:$B$10001,MATCH(6279,'Email Cleaner'!$G$2:$G$10001,0)),"")</f>
        <v/>
      </c>
    </row>
    <row r="6281">
      <c r="A6281">
        <f>IFERROR(INDEX('Email Cleaner'!$B$2:$B$10001,MATCH(6280,'Email Cleaner'!$G$2:$G$10001,0)),"")</f>
        <v/>
      </c>
    </row>
    <row r="6282">
      <c r="A6282">
        <f>IFERROR(INDEX('Email Cleaner'!$B$2:$B$10001,MATCH(6281,'Email Cleaner'!$G$2:$G$10001,0)),"")</f>
        <v/>
      </c>
    </row>
    <row r="6283">
      <c r="A6283">
        <f>IFERROR(INDEX('Email Cleaner'!$B$2:$B$10001,MATCH(6282,'Email Cleaner'!$G$2:$G$10001,0)),"")</f>
        <v/>
      </c>
    </row>
    <row r="6284">
      <c r="A6284">
        <f>IFERROR(INDEX('Email Cleaner'!$B$2:$B$10001,MATCH(6283,'Email Cleaner'!$G$2:$G$10001,0)),"")</f>
        <v/>
      </c>
    </row>
    <row r="6285">
      <c r="A6285">
        <f>IFERROR(INDEX('Email Cleaner'!$B$2:$B$10001,MATCH(6284,'Email Cleaner'!$G$2:$G$10001,0)),"")</f>
        <v/>
      </c>
    </row>
    <row r="6286">
      <c r="A6286">
        <f>IFERROR(INDEX('Email Cleaner'!$B$2:$B$10001,MATCH(6285,'Email Cleaner'!$G$2:$G$10001,0)),"")</f>
        <v/>
      </c>
    </row>
    <row r="6287">
      <c r="A6287">
        <f>IFERROR(INDEX('Email Cleaner'!$B$2:$B$10001,MATCH(6286,'Email Cleaner'!$G$2:$G$10001,0)),"")</f>
        <v/>
      </c>
    </row>
    <row r="6288">
      <c r="A6288">
        <f>IFERROR(INDEX('Email Cleaner'!$B$2:$B$10001,MATCH(6287,'Email Cleaner'!$G$2:$G$10001,0)),"")</f>
        <v/>
      </c>
    </row>
    <row r="6289">
      <c r="A6289">
        <f>IFERROR(INDEX('Email Cleaner'!$B$2:$B$10001,MATCH(6288,'Email Cleaner'!$G$2:$G$10001,0)),"")</f>
        <v/>
      </c>
    </row>
    <row r="6290">
      <c r="A6290">
        <f>IFERROR(INDEX('Email Cleaner'!$B$2:$B$10001,MATCH(6289,'Email Cleaner'!$G$2:$G$10001,0)),"")</f>
        <v/>
      </c>
    </row>
    <row r="6291">
      <c r="A6291">
        <f>IFERROR(INDEX('Email Cleaner'!$B$2:$B$10001,MATCH(6290,'Email Cleaner'!$G$2:$G$10001,0)),"")</f>
        <v/>
      </c>
    </row>
    <row r="6292">
      <c r="A6292">
        <f>IFERROR(INDEX('Email Cleaner'!$B$2:$B$10001,MATCH(6291,'Email Cleaner'!$G$2:$G$10001,0)),"")</f>
        <v/>
      </c>
    </row>
    <row r="6293">
      <c r="A6293">
        <f>IFERROR(INDEX('Email Cleaner'!$B$2:$B$10001,MATCH(6292,'Email Cleaner'!$G$2:$G$10001,0)),"")</f>
        <v/>
      </c>
    </row>
    <row r="6294">
      <c r="A6294">
        <f>IFERROR(INDEX('Email Cleaner'!$B$2:$B$10001,MATCH(6293,'Email Cleaner'!$G$2:$G$10001,0)),"")</f>
        <v/>
      </c>
    </row>
    <row r="6295">
      <c r="A6295">
        <f>IFERROR(INDEX('Email Cleaner'!$B$2:$B$10001,MATCH(6294,'Email Cleaner'!$G$2:$G$10001,0)),"")</f>
        <v/>
      </c>
    </row>
    <row r="6296">
      <c r="A6296">
        <f>IFERROR(INDEX('Email Cleaner'!$B$2:$B$10001,MATCH(6295,'Email Cleaner'!$G$2:$G$10001,0)),"")</f>
        <v/>
      </c>
    </row>
    <row r="6297">
      <c r="A6297">
        <f>IFERROR(INDEX('Email Cleaner'!$B$2:$B$10001,MATCH(6296,'Email Cleaner'!$G$2:$G$10001,0)),"")</f>
        <v/>
      </c>
    </row>
    <row r="6298">
      <c r="A6298">
        <f>IFERROR(INDEX('Email Cleaner'!$B$2:$B$10001,MATCH(6297,'Email Cleaner'!$G$2:$G$10001,0)),"")</f>
        <v/>
      </c>
    </row>
    <row r="6299">
      <c r="A6299">
        <f>IFERROR(INDEX('Email Cleaner'!$B$2:$B$10001,MATCH(6298,'Email Cleaner'!$G$2:$G$10001,0)),"")</f>
        <v/>
      </c>
    </row>
    <row r="6300">
      <c r="A6300">
        <f>IFERROR(INDEX('Email Cleaner'!$B$2:$B$10001,MATCH(6299,'Email Cleaner'!$G$2:$G$10001,0)),"")</f>
        <v/>
      </c>
    </row>
    <row r="6301">
      <c r="A6301">
        <f>IFERROR(INDEX('Email Cleaner'!$B$2:$B$10001,MATCH(6300,'Email Cleaner'!$G$2:$G$10001,0)),"")</f>
        <v/>
      </c>
    </row>
    <row r="6302">
      <c r="A6302">
        <f>IFERROR(INDEX('Email Cleaner'!$B$2:$B$10001,MATCH(6301,'Email Cleaner'!$G$2:$G$10001,0)),"")</f>
        <v/>
      </c>
    </row>
    <row r="6303">
      <c r="A6303">
        <f>IFERROR(INDEX('Email Cleaner'!$B$2:$B$10001,MATCH(6302,'Email Cleaner'!$G$2:$G$10001,0)),"")</f>
        <v/>
      </c>
    </row>
    <row r="6304">
      <c r="A6304">
        <f>IFERROR(INDEX('Email Cleaner'!$B$2:$B$10001,MATCH(6303,'Email Cleaner'!$G$2:$G$10001,0)),"")</f>
        <v/>
      </c>
    </row>
    <row r="6305">
      <c r="A6305">
        <f>IFERROR(INDEX('Email Cleaner'!$B$2:$B$10001,MATCH(6304,'Email Cleaner'!$G$2:$G$10001,0)),"")</f>
        <v/>
      </c>
    </row>
    <row r="6306">
      <c r="A6306">
        <f>IFERROR(INDEX('Email Cleaner'!$B$2:$B$10001,MATCH(6305,'Email Cleaner'!$G$2:$G$10001,0)),"")</f>
        <v/>
      </c>
    </row>
    <row r="6307">
      <c r="A6307">
        <f>IFERROR(INDEX('Email Cleaner'!$B$2:$B$10001,MATCH(6306,'Email Cleaner'!$G$2:$G$10001,0)),"")</f>
        <v/>
      </c>
    </row>
    <row r="6308">
      <c r="A6308">
        <f>IFERROR(INDEX('Email Cleaner'!$B$2:$B$10001,MATCH(6307,'Email Cleaner'!$G$2:$G$10001,0)),"")</f>
        <v/>
      </c>
    </row>
    <row r="6309">
      <c r="A6309">
        <f>IFERROR(INDEX('Email Cleaner'!$B$2:$B$10001,MATCH(6308,'Email Cleaner'!$G$2:$G$10001,0)),"")</f>
        <v/>
      </c>
    </row>
    <row r="6310">
      <c r="A6310">
        <f>IFERROR(INDEX('Email Cleaner'!$B$2:$B$10001,MATCH(6309,'Email Cleaner'!$G$2:$G$10001,0)),"")</f>
        <v/>
      </c>
    </row>
    <row r="6311">
      <c r="A6311">
        <f>IFERROR(INDEX('Email Cleaner'!$B$2:$B$10001,MATCH(6310,'Email Cleaner'!$G$2:$G$10001,0)),"")</f>
        <v/>
      </c>
    </row>
    <row r="6312">
      <c r="A6312">
        <f>IFERROR(INDEX('Email Cleaner'!$B$2:$B$10001,MATCH(6311,'Email Cleaner'!$G$2:$G$10001,0)),"")</f>
        <v/>
      </c>
    </row>
    <row r="6313">
      <c r="A6313">
        <f>IFERROR(INDEX('Email Cleaner'!$B$2:$B$10001,MATCH(6312,'Email Cleaner'!$G$2:$G$10001,0)),"")</f>
        <v/>
      </c>
    </row>
    <row r="6314">
      <c r="A6314">
        <f>IFERROR(INDEX('Email Cleaner'!$B$2:$B$10001,MATCH(6313,'Email Cleaner'!$G$2:$G$10001,0)),"")</f>
        <v/>
      </c>
    </row>
    <row r="6315">
      <c r="A6315">
        <f>IFERROR(INDEX('Email Cleaner'!$B$2:$B$10001,MATCH(6314,'Email Cleaner'!$G$2:$G$10001,0)),"")</f>
        <v/>
      </c>
    </row>
    <row r="6316">
      <c r="A6316">
        <f>IFERROR(INDEX('Email Cleaner'!$B$2:$B$10001,MATCH(6315,'Email Cleaner'!$G$2:$G$10001,0)),"")</f>
        <v/>
      </c>
    </row>
    <row r="6317">
      <c r="A6317">
        <f>IFERROR(INDEX('Email Cleaner'!$B$2:$B$10001,MATCH(6316,'Email Cleaner'!$G$2:$G$10001,0)),"")</f>
        <v/>
      </c>
    </row>
    <row r="6318">
      <c r="A6318">
        <f>IFERROR(INDEX('Email Cleaner'!$B$2:$B$10001,MATCH(6317,'Email Cleaner'!$G$2:$G$10001,0)),"")</f>
        <v/>
      </c>
    </row>
    <row r="6319">
      <c r="A6319">
        <f>IFERROR(INDEX('Email Cleaner'!$B$2:$B$10001,MATCH(6318,'Email Cleaner'!$G$2:$G$10001,0)),"")</f>
        <v/>
      </c>
    </row>
    <row r="6320">
      <c r="A6320">
        <f>IFERROR(INDEX('Email Cleaner'!$B$2:$B$10001,MATCH(6319,'Email Cleaner'!$G$2:$G$10001,0)),"")</f>
        <v/>
      </c>
    </row>
    <row r="6321">
      <c r="A6321">
        <f>IFERROR(INDEX('Email Cleaner'!$B$2:$B$10001,MATCH(6320,'Email Cleaner'!$G$2:$G$10001,0)),"")</f>
        <v/>
      </c>
    </row>
    <row r="6322">
      <c r="A6322">
        <f>IFERROR(INDEX('Email Cleaner'!$B$2:$B$10001,MATCH(6321,'Email Cleaner'!$G$2:$G$10001,0)),"")</f>
        <v/>
      </c>
    </row>
    <row r="6323">
      <c r="A6323">
        <f>IFERROR(INDEX('Email Cleaner'!$B$2:$B$10001,MATCH(6322,'Email Cleaner'!$G$2:$G$10001,0)),"")</f>
        <v/>
      </c>
    </row>
    <row r="6324">
      <c r="A6324">
        <f>IFERROR(INDEX('Email Cleaner'!$B$2:$B$10001,MATCH(6323,'Email Cleaner'!$G$2:$G$10001,0)),"")</f>
        <v/>
      </c>
    </row>
    <row r="6325">
      <c r="A6325">
        <f>IFERROR(INDEX('Email Cleaner'!$B$2:$B$10001,MATCH(6324,'Email Cleaner'!$G$2:$G$10001,0)),"")</f>
        <v/>
      </c>
    </row>
    <row r="6326">
      <c r="A6326">
        <f>IFERROR(INDEX('Email Cleaner'!$B$2:$B$10001,MATCH(6325,'Email Cleaner'!$G$2:$G$10001,0)),"")</f>
        <v/>
      </c>
    </row>
    <row r="6327">
      <c r="A6327">
        <f>IFERROR(INDEX('Email Cleaner'!$B$2:$B$10001,MATCH(6326,'Email Cleaner'!$G$2:$G$10001,0)),"")</f>
        <v/>
      </c>
    </row>
    <row r="6328">
      <c r="A6328">
        <f>IFERROR(INDEX('Email Cleaner'!$B$2:$B$10001,MATCH(6327,'Email Cleaner'!$G$2:$G$10001,0)),"")</f>
        <v/>
      </c>
    </row>
    <row r="6329">
      <c r="A6329">
        <f>IFERROR(INDEX('Email Cleaner'!$B$2:$B$10001,MATCH(6328,'Email Cleaner'!$G$2:$G$10001,0)),"")</f>
        <v/>
      </c>
    </row>
    <row r="6330">
      <c r="A6330">
        <f>IFERROR(INDEX('Email Cleaner'!$B$2:$B$10001,MATCH(6329,'Email Cleaner'!$G$2:$G$10001,0)),"")</f>
        <v/>
      </c>
    </row>
    <row r="6331">
      <c r="A6331">
        <f>IFERROR(INDEX('Email Cleaner'!$B$2:$B$10001,MATCH(6330,'Email Cleaner'!$G$2:$G$10001,0)),"")</f>
        <v/>
      </c>
    </row>
    <row r="6332">
      <c r="A6332">
        <f>IFERROR(INDEX('Email Cleaner'!$B$2:$B$10001,MATCH(6331,'Email Cleaner'!$G$2:$G$10001,0)),"")</f>
        <v/>
      </c>
    </row>
    <row r="6333">
      <c r="A6333">
        <f>IFERROR(INDEX('Email Cleaner'!$B$2:$B$10001,MATCH(6332,'Email Cleaner'!$G$2:$G$10001,0)),"")</f>
        <v/>
      </c>
    </row>
    <row r="6334">
      <c r="A6334">
        <f>IFERROR(INDEX('Email Cleaner'!$B$2:$B$10001,MATCH(6333,'Email Cleaner'!$G$2:$G$10001,0)),"")</f>
        <v/>
      </c>
    </row>
    <row r="6335">
      <c r="A6335">
        <f>IFERROR(INDEX('Email Cleaner'!$B$2:$B$10001,MATCH(6334,'Email Cleaner'!$G$2:$G$10001,0)),"")</f>
        <v/>
      </c>
    </row>
    <row r="6336">
      <c r="A6336">
        <f>IFERROR(INDEX('Email Cleaner'!$B$2:$B$10001,MATCH(6335,'Email Cleaner'!$G$2:$G$10001,0)),"")</f>
        <v/>
      </c>
    </row>
    <row r="6337">
      <c r="A6337">
        <f>IFERROR(INDEX('Email Cleaner'!$B$2:$B$10001,MATCH(6336,'Email Cleaner'!$G$2:$G$10001,0)),"")</f>
        <v/>
      </c>
    </row>
    <row r="6338">
      <c r="A6338">
        <f>IFERROR(INDEX('Email Cleaner'!$B$2:$B$10001,MATCH(6337,'Email Cleaner'!$G$2:$G$10001,0)),"")</f>
        <v/>
      </c>
    </row>
    <row r="6339">
      <c r="A6339">
        <f>IFERROR(INDEX('Email Cleaner'!$B$2:$B$10001,MATCH(6338,'Email Cleaner'!$G$2:$G$10001,0)),"")</f>
        <v/>
      </c>
    </row>
    <row r="6340">
      <c r="A6340">
        <f>IFERROR(INDEX('Email Cleaner'!$B$2:$B$10001,MATCH(6339,'Email Cleaner'!$G$2:$G$10001,0)),"")</f>
        <v/>
      </c>
    </row>
    <row r="6341">
      <c r="A6341">
        <f>IFERROR(INDEX('Email Cleaner'!$B$2:$B$10001,MATCH(6340,'Email Cleaner'!$G$2:$G$10001,0)),"")</f>
        <v/>
      </c>
    </row>
    <row r="6342">
      <c r="A6342">
        <f>IFERROR(INDEX('Email Cleaner'!$B$2:$B$10001,MATCH(6341,'Email Cleaner'!$G$2:$G$10001,0)),"")</f>
        <v/>
      </c>
    </row>
    <row r="6343">
      <c r="A6343">
        <f>IFERROR(INDEX('Email Cleaner'!$B$2:$B$10001,MATCH(6342,'Email Cleaner'!$G$2:$G$10001,0)),"")</f>
        <v/>
      </c>
    </row>
    <row r="6344">
      <c r="A6344">
        <f>IFERROR(INDEX('Email Cleaner'!$B$2:$B$10001,MATCH(6343,'Email Cleaner'!$G$2:$G$10001,0)),"")</f>
        <v/>
      </c>
    </row>
    <row r="6345">
      <c r="A6345">
        <f>IFERROR(INDEX('Email Cleaner'!$B$2:$B$10001,MATCH(6344,'Email Cleaner'!$G$2:$G$10001,0)),"")</f>
        <v/>
      </c>
    </row>
    <row r="6346">
      <c r="A6346">
        <f>IFERROR(INDEX('Email Cleaner'!$B$2:$B$10001,MATCH(6345,'Email Cleaner'!$G$2:$G$10001,0)),"")</f>
        <v/>
      </c>
    </row>
    <row r="6347">
      <c r="A6347">
        <f>IFERROR(INDEX('Email Cleaner'!$B$2:$B$10001,MATCH(6346,'Email Cleaner'!$G$2:$G$10001,0)),"")</f>
        <v/>
      </c>
    </row>
    <row r="6348">
      <c r="A6348">
        <f>IFERROR(INDEX('Email Cleaner'!$B$2:$B$10001,MATCH(6347,'Email Cleaner'!$G$2:$G$10001,0)),"")</f>
        <v/>
      </c>
    </row>
    <row r="6349">
      <c r="A6349">
        <f>IFERROR(INDEX('Email Cleaner'!$B$2:$B$10001,MATCH(6348,'Email Cleaner'!$G$2:$G$10001,0)),"")</f>
        <v/>
      </c>
    </row>
    <row r="6350">
      <c r="A6350">
        <f>IFERROR(INDEX('Email Cleaner'!$B$2:$B$10001,MATCH(6349,'Email Cleaner'!$G$2:$G$10001,0)),"")</f>
        <v/>
      </c>
    </row>
    <row r="6351">
      <c r="A6351">
        <f>IFERROR(INDEX('Email Cleaner'!$B$2:$B$10001,MATCH(6350,'Email Cleaner'!$G$2:$G$10001,0)),"")</f>
        <v/>
      </c>
    </row>
    <row r="6352">
      <c r="A6352">
        <f>IFERROR(INDEX('Email Cleaner'!$B$2:$B$10001,MATCH(6351,'Email Cleaner'!$G$2:$G$10001,0)),"")</f>
        <v/>
      </c>
    </row>
    <row r="6353">
      <c r="A6353">
        <f>IFERROR(INDEX('Email Cleaner'!$B$2:$B$10001,MATCH(6352,'Email Cleaner'!$G$2:$G$10001,0)),"")</f>
        <v/>
      </c>
    </row>
    <row r="6354">
      <c r="A6354">
        <f>IFERROR(INDEX('Email Cleaner'!$B$2:$B$10001,MATCH(6353,'Email Cleaner'!$G$2:$G$10001,0)),"")</f>
        <v/>
      </c>
    </row>
    <row r="6355">
      <c r="A6355">
        <f>IFERROR(INDEX('Email Cleaner'!$B$2:$B$10001,MATCH(6354,'Email Cleaner'!$G$2:$G$10001,0)),"")</f>
        <v/>
      </c>
    </row>
    <row r="6356">
      <c r="A6356">
        <f>IFERROR(INDEX('Email Cleaner'!$B$2:$B$10001,MATCH(6355,'Email Cleaner'!$G$2:$G$10001,0)),"")</f>
        <v/>
      </c>
    </row>
    <row r="6357">
      <c r="A6357">
        <f>IFERROR(INDEX('Email Cleaner'!$B$2:$B$10001,MATCH(6356,'Email Cleaner'!$G$2:$G$10001,0)),"")</f>
        <v/>
      </c>
    </row>
    <row r="6358">
      <c r="A6358">
        <f>IFERROR(INDEX('Email Cleaner'!$B$2:$B$10001,MATCH(6357,'Email Cleaner'!$G$2:$G$10001,0)),"")</f>
        <v/>
      </c>
    </row>
    <row r="6359">
      <c r="A6359">
        <f>IFERROR(INDEX('Email Cleaner'!$B$2:$B$10001,MATCH(6358,'Email Cleaner'!$G$2:$G$10001,0)),"")</f>
        <v/>
      </c>
    </row>
    <row r="6360">
      <c r="A6360">
        <f>IFERROR(INDEX('Email Cleaner'!$B$2:$B$10001,MATCH(6359,'Email Cleaner'!$G$2:$G$10001,0)),"")</f>
        <v/>
      </c>
    </row>
    <row r="6361">
      <c r="A6361">
        <f>IFERROR(INDEX('Email Cleaner'!$B$2:$B$10001,MATCH(6360,'Email Cleaner'!$G$2:$G$10001,0)),"")</f>
        <v/>
      </c>
    </row>
    <row r="6362">
      <c r="A6362">
        <f>IFERROR(INDEX('Email Cleaner'!$B$2:$B$10001,MATCH(6361,'Email Cleaner'!$G$2:$G$10001,0)),"")</f>
        <v/>
      </c>
    </row>
    <row r="6363">
      <c r="A6363">
        <f>IFERROR(INDEX('Email Cleaner'!$B$2:$B$10001,MATCH(6362,'Email Cleaner'!$G$2:$G$10001,0)),"")</f>
        <v/>
      </c>
    </row>
    <row r="6364">
      <c r="A6364">
        <f>IFERROR(INDEX('Email Cleaner'!$B$2:$B$10001,MATCH(6363,'Email Cleaner'!$G$2:$G$10001,0)),"")</f>
        <v/>
      </c>
    </row>
    <row r="6365">
      <c r="A6365">
        <f>IFERROR(INDEX('Email Cleaner'!$B$2:$B$10001,MATCH(6364,'Email Cleaner'!$G$2:$G$10001,0)),"")</f>
        <v/>
      </c>
    </row>
    <row r="6366">
      <c r="A6366">
        <f>IFERROR(INDEX('Email Cleaner'!$B$2:$B$10001,MATCH(6365,'Email Cleaner'!$G$2:$G$10001,0)),"")</f>
        <v/>
      </c>
    </row>
    <row r="6367">
      <c r="A6367">
        <f>IFERROR(INDEX('Email Cleaner'!$B$2:$B$10001,MATCH(6366,'Email Cleaner'!$G$2:$G$10001,0)),"")</f>
        <v/>
      </c>
    </row>
    <row r="6368">
      <c r="A6368">
        <f>IFERROR(INDEX('Email Cleaner'!$B$2:$B$10001,MATCH(6367,'Email Cleaner'!$G$2:$G$10001,0)),"")</f>
        <v/>
      </c>
    </row>
    <row r="6369">
      <c r="A6369">
        <f>IFERROR(INDEX('Email Cleaner'!$B$2:$B$10001,MATCH(6368,'Email Cleaner'!$G$2:$G$10001,0)),"")</f>
        <v/>
      </c>
    </row>
    <row r="6370">
      <c r="A6370">
        <f>IFERROR(INDEX('Email Cleaner'!$B$2:$B$10001,MATCH(6369,'Email Cleaner'!$G$2:$G$10001,0)),"")</f>
        <v/>
      </c>
    </row>
    <row r="6371">
      <c r="A6371">
        <f>IFERROR(INDEX('Email Cleaner'!$B$2:$B$10001,MATCH(6370,'Email Cleaner'!$G$2:$G$10001,0)),"")</f>
        <v/>
      </c>
    </row>
    <row r="6372">
      <c r="A6372">
        <f>IFERROR(INDEX('Email Cleaner'!$B$2:$B$10001,MATCH(6371,'Email Cleaner'!$G$2:$G$10001,0)),"")</f>
        <v/>
      </c>
    </row>
    <row r="6373">
      <c r="A6373">
        <f>IFERROR(INDEX('Email Cleaner'!$B$2:$B$10001,MATCH(6372,'Email Cleaner'!$G$2:$G$10001,0)),"")</f>
        <v/>
      </c>
    </row>
    <row r="6374">
      <c r="A6374">
        <f>IFERROR(INDEX('Email Cleaner'!$B$2:$B$10001,MATCH(6373,'Email Cleaner'!$G$2:$G$10001,0)),"")</f>
        <v/>
      </c>
    </row>
    <row r="6375">
      <c r="A6375">
        <f>IFERROR(INDEX('Email Cleaner'!$B$2:$B$10001,MATCH(6374,'Email Cleaner'!$G$2:$G$10001,0)),"")</f>
        <v/>
      </c>
    </row>
    <row r="6376">
      <c r="A6376">
        <f>IFERROR(INDEX('Email Cleaner'!$B$2:$B$10001,MATCH(6375,'Email Cleaner'!$G$2:$G$10001,0)),"")</f>
        <v/>
      </c>
    </row>
    <row r="6377">
      <c r="A6377">
        <f>IFERROR(INDEX('Email Cleaner'!$B$2:$B$10001,MATCH(6376,'Email Cleaner'!$G$2:$G$10001,0)),"")</f>
        <v/>
      </c>
    </row>
    <row r="6378">
      <c r="A6378">
        <f>IFERROR(INDEX('Email Cleaner'!$B$2:$B$10001,MATCH(6377,'Email Cleaner'!$G$2:$G$10001,0)),"")</f>
        <v/>
      </c>
    </row>
    <row r="6379">
      <c r="A6379">
        <f>IFERROR(INDEX('Email Cleaner'!$B$2:$B$10001,MATCH(6378,'Email Cleaner'!$G$2:$G$10001,0)),"")</f>
        <v/>
      </c>
    </row>
    <row r="6380">
      <c r="A6380">
        <f>IFERROR(INDEX('Email Cleaner'!$B$2:$B$10001,MATCH(6379,'Email Cleaner'!$G$2:$G$10001,0)),"")</f>
        <v/>
      </c>
    </row>
    <row r="6381">
      <c r="A6381">
        <f>IFERROR(INDEX('Email Cleaner'!$B$2:$B$10001,MATCH(6380,'Email Cleaner'!$G$2:$G$10001,0)),"")</f>
        <v/>
      </c>
    </row>
    <row r="6382">
      <c r="A6382">
        <f>IFERROR(INDEX('Email Cleaner'!$B$2:$B$10001,MATCH(6381,'Email Cleaner'!$G$2:$G$10001,0)),"")</f>
        <v/>
      </c>
    </row>
    <row r="6383">
      <c r="A6383">
        <f>IFERROR(INDEX('Email Cleaner'!$B$2:$B$10001,MATCH(6382,'Email Cleaner'!$G$2:$G$10001,0)),"")</f>
        <v/>
      </c>
    </row>
    <row r="6384">
      <c r="A6384">
        <f>IFERROR(INDEX('Email Cleaner'!$B$2:$B$10001,MATCH(6383,'Email Cleaner'!$G$2:$G$10001,0)),"")</f>
        <v/>
      </c>
    </row>
    <row r="6385">
      <c r="A6385">
        <f>IFERROR(INDEX('Email Cleaner'!$B$2:$B$10001,MATCH(6384,'Email Cleaner'!$G$2:$G$10001,0)),"")</f>
        <v/>
      </c>
    </row>
    <row r="6386">
      <c r="A6386">
        <f>IFERROR(INDEX('Email Cleaner'!$B$2:$B$10001,MATCH(6385,'Email Cleaner'!$G$2:$G$10001,0)),"")</f>
        <v/>
      </c>
    </row>
    <row r="6387">
      <c r="A6387">
        <f>IFERROR(INDEX('Email Cleaner'!$B$2:$B$10001,MATCH(6386,'Email Cleaner'!$G$2:$G$10001,0)),"")</f>
        <v/>
      </c>
    </row>
    <row r="6388">
      <c r="A6388">
        <f>IFERROR(INDEX('Email Cleaner'!$B$2:$B$10001,MATCH(6387,'Email Cleaner'!$G$2:$G$10001,0)),"")</f>
        <v/>
      </c>
    </row>
    <row r="6389">
      <c r="A6389">
        <f>IFERROR(INDEX('Email Cleaner'!$B$2:$B$10001,MATCH(6388,'Email Cleaner'!$G$2:$G$10001,0)),"")</f>
        <v/>
      </c>
    </row>
    <row r="6390">
      <c r="A6390">
        <f>IFERROR(INDEX('Email Cleaner'!$B$2:$B$10001,MATCH(6389,'Email Cleaner'!$G$2:$G$10001,0)),"")</f>
        <v/>
      </c>
    </row>
    <row r="6391">
      <c r="A6391">
        <f>IFERROR(INDEX('Email Cleaner'!$B$2:$B$10001,MATCH(6390,'Email Cleaner'!$G$2:$G$10001,0)),"")</f>
        <v/>
      </c>
    </row>
    <row r="6392">
      <c r="A6392">
        <f>IFERROR(INDEX('Email Cleaner'!$B$2:$B$10001,MATCH(6391,'Email Cleaner'!$G$2:$G$10001,0)),"")</f>
        <v/>
      </c>
    </row>
    <row r="6393">
      <c r="A6393">
        <f>IFERROR(INDEX('Email Cleaner'!$B$2:$B$10001,MATCH(6392,'Email Cleaner'!$G$2:$G$10001,0)),"")</f>
        <v/>
      </c>
    </row>
    <row r="6394">
      <c r="A6394">
        <f>IFERROR(INDEX('Email Cleaner'!$B$2:$B$10001,MATCH(6393,'Email Cleaner'!$G$2:$G$10001,0)),"")</f>
        <v/>
      </c>
    </row>
    <row r="6395">
      <c r="A6395">
        <f>IFERROR(INDEX('Email Cleaner'!$B$2:$B$10001,MATCH(6394,'Email Cleaner'!$G$2:$G$10001,0)),"")</f>
        <v/>
      </c>
    </row>
    <row r="6396">
      <c r="A6396">
        <f>IFERROR(INDEX('Email Cleaner'!$B$2:$B$10001,MATCH(6395,'Email Cleaner'!$G$2:$G$10001,0)),"")</f>
        <v/>
      </c>
    </row>
    <row r="6397">
      <c r="A6397">
        <f>IFERROR(INDEX('Email Cleaner'!$B$2:$B$10001,MATCH(6396,'Email Cleaner'!$G$2:$G$10001,0)),"")</f>
        <v/>
      </c>
    </row>
    <row r="6398">
      <c r="A6398">
        <f>IFERROR(INDEX('Email Cleaner'!$B$2:$B$10001,MATCH(6397,'Email Cleaner'!$G$2:$G$10001,0)),"")</f>
        <v/>
      </c>
    </row>
    <row r="6399">
      <c r="A6399">
        <f>IFERROR(INDEX('Email Cleaner'!$B$2:$B$10001,MATCH(6398,'Email Cleaner'!$G$2:$G$10001,0)),"")</f>
        <v/>
      </c>
    </row>
    <row r="6400">
      <c r="A6400">
        <f>IFERROR(INDEX('Email Cleaner'!$B$2:$B$10001,MATCH(6399,'Email Cleaner'!$G$2:$G$10001,0)),"")</f>
        <v/>
      </c>
    </row>
    <row r="6401">
      <c r="A6401">
        <f>IFERROR(INDEX('Email Cleaner'!$B$2:$B$10001,MATCH(6400,'Email Cleaner'!$G$2:$G$10001,0)),"")</f>
        <v/>
      </c>
    </row>
    <row r="6402">
      <c r="A6402">
        <f>IFERROR(INDEX('Email Cleaner'!$B$2:$B$10001,MATCH(6401,'Email Cleaner'!$G$2:$G$10001,0)),"")</f>
        <v/>
      </c>
    </row>
    <row r="6403">
      <c r="A6403">
        <f>IFERROR(INDEX('Email Cleaner'!$B$2:$B$10001,MATCH(6402,'Email Cleaner'!$G$2:$G$10001,0)),"")</f>
        <v/>
      </c>
    </row>
    <row r="6404">
      <c r="A6404">
        <f>IFERROR(INDEX('Email Cleaner'!$B$2:$B$10001,MATCH(6403,'Email Cleaner'!$G$2:$G$10001,0)),"")</f>
        <v/>
      </c>
    </row>
    <row r="6405">
      <c r="A6405">
        <f>IFERROR(INDEX('Email Cleaner'!$B$2:$B$10001,MATCH(6404,'Email Cleaner'!$G$2:$G$10001,0)),"")</f>
        <v/>
      </c>
    </row>
    <row r="6406">
      <c r="A6406">
        <f>IFERROR(INDEX('Email Cleaner'!$B$2:$B$10001,MATCH(6405,'Email Cleaner'!$G$2:$G$10001,0)),"")</f>
        <v/>
      </c>
    </row>
    <row r="6407">
      <c r="A6407">
        <f>IFERROR(INDEX('Email Cleaner'!$B$2:$B$10001,MATCH(6406,'Email Cleaner'!$G$2:$G$10001,0)),"")</f>
        <v/>
      </c>
    </row>
    <row r="6408">
      <c r="A6408">
        <f>IFERROR(INDEX('Email Cleaner'!$B$2:$B$10001,MATCH(6407,'Email Cleaner'!$G$2:$G$10001,0)),"")</f>
        <v/>
      </c>
    </row>
    <row r="6409">
      <c r="A6409">
        <f>IFERROR(INDEX('Email Cleaner'!$B$2:$B$10001,MATCH(6408,'Email Cleaner'!$G$2:$G$10001,0)),"")</f>
        <v/>
      </c>
    </row>
    <row r="6410">
      <c r="A6410">
        <f>IFERROR(INDEX('Email Cleaner'!$B$2:$B$10001,MATCH(6409,'Email Cleaner'!$G$2:$G$10001,0)),"")</f>
        <v/>
      </c>
    </row>
    <row r="6411">
      <c r="A6411">
        <f>IFERROR(INDEX('Email Cleaner'!$B$2:$B$10001,MATCH(6410,'Email Cleaner'!$G$2:$G$10001,0)),"")</f>
        <v/>
      </c>
    </row>
    <row r="6412">
      <c r="A6412">
        <f>IFERROR(INDEX('Email Cleaner'!$B$2:$B$10001,MATCH(6411,'Email Cleaner'!$G$2:$G$10001,0)),"")</f>
        <v/>
      </c>
    </row>
    <row r="6413">
      <c r="A6413">
        <f>IFERROR(INDEX('Email Cleaner'!$B$2:$B$10001,MATCH(6412,'Email Cleaner'!$G$2:$G$10001,0)),"")</f>
        <v/>
      </c>
    </row>
    <row r="6414">
      <c r="A6414">
        <f>IFERROR(INDEX('Email Cleaner'!$B$2:$B$10001,MATCH(6413,'Email Cleaner'!$G$2:$G$10001,0)),"")</f>
        <v/>
      </c>
    </row>
    <row r="6415">
      <c r="A6415">
        <f>IFERROR(INDEX('Email Cleaner'!$B$2:$B$10001,MATCH(6414,'Email Cleaner'!$G$2:$G$10001,0)),"")</f>
        <v/>
      </c>
    </row>
    <row r="6416">
      <c r="A6416">
        <f>IFERROR(INDEX('Email Cleaner'!$B$2:$B$10001,MATCH(6415,'Email Cleaner'!$G$2:$G$10001,0)),"")</f>
        <v/>
      </c>
    </row>
    <row r="6417">
      <c r="A6417">
        <f>IFERROR(INDEX('Email Cleaner'!$B$2:$B$10001,MATCH(6416,'Email Cleaner'!$G$2:$G$10001,0)),"")</f>
        <v/>
      </c>
    </row>
    <row r="6418">
      <c r="A6418">
        <f>IFERROR(INDEX('Email Cleaner'!$B$2:$B$10001,MATCH(6417,'Email Cleaner'!$G$2:$G$10001,0)),"")</f>
        <v/>
      </c>
    </row>
    <row r="6419">
      <c r="A6419">
        <f>IFERROR(INDEX('Email Cleaner'!$B$2:$B$10001,MATCH(6418,'Email Cleaner'!$G$2:$G$10001,0)),"")</f>
        <v/>
      </c>
    </row>
    <row r="6420">
      <c r="A6420">
        <f>IFERROR(INDEX('Email Cleaner'!$B$2:$B$10001,MATCH(6419,'Email Cleaner'!$G$2:$G$10001,0)),"")</f>
        <v/>
      </c>
    </row>
    <row r="6421">
      <c r="A6421">
        <f>IFERROR(INDEX('Email Cleaner'!$B$2:$B$10001,MATCH(6420,'Email Cleaner'!$G$2:$G$10001,0)),"")</f>
        <v/>
      </c>
    </row>
    <row r="6422">
      <c r="A6422">
        <f>IFERROR(INDEX('Email Cleaner'!$B$2:$B$10001,MATCH(6421,'Email Cleaner'!$G$2:$G$10001,0)),"")</f>
        <v/>
      </c>
    </row>
    <row r="6423">
      <c r="A6423">
        <f>IFERROR(INDEX('Email Cleaner'!$B$2:$B$10001,MATCH(6422,'Email Cleaner'!$G$2:$G$10001,0)),"")</f>
        <v/>
      </c>
    </row>
    <row r="6424">
      <c r="A6424">
        <f>IFERROR(INDEX('Email Cleaner'!$B$2:$B$10001,MATCH(6423,'Email Cleaner'!$G$2:$G$10001,0)),"")</f>
        <v/>
      </c>
    </row>
    <row r="6425">
      <c r="A6425">
        <f>IFERROR(INDEX('Email Cleaner'!$B$2:$B$10001,MATCH(6424,'Email Cleaner'!$G$2:$G$10001,0)),"")</f>
        <v/>
      </c>
    </row>
    <row r="6426">
      <c r="A6426">
        <f>IFERROR(INDEX('Email Cleaner'!$B$2:$B$10001,MATCH(6425,'Email Cleaner'!$G$2:$G$10001,0)),"")</f>
        <v/>
      </c>
    </row>
    <row r="6427">
      <c r="A6427">
        <f>IFERROR(INDEX('Email Cleaner'!$B$2:$B$10001,MATCH(6426,'Email Cleaner'!$G$2:$G$10001,0)),"")</f>
        <v/>
      </c>
    </row>
    <row r="6428">
      <c r="A6428">
        <f>IFERROR(INDEX('Email Cleaner'!$B$2:$B$10001,MATCH(6427,'Email Cleaner'!$G$2:$G$10001,0)),"")</f>
        <v/>
      </c>
    </row>
    <row r="6429">
      <c r="A6429">
        <f>IFERROR(INDEX('Email Cleaner'!$B$2:$B$10001,MATCH(6428,'Email Cleaner'!$G$2:$G$10001,0)),"")</f>
        <v/>
      </c>
    </row>
    <row r="6430">
      <c r="A6430">
        <f>IFERROR(INDEX('Email Cleaner'!$B$2:$B$10001,MATCH(6429,'Email Cleaner'!$G$2:$G$10001,0)),"")</f>
        <v/>
      </c>
    </row>
    <row r="6431">
      <c r="A6431">
        <f>IFERROR(INDEX('Email Cleaner'!$B$2:$B$10001,MATCH(6430,'Email Cleaner'!$G$2:$G$10001,0)),"")</f>
        <v/>
      </c>
    </row>
    <row r="6432">
      <c r="A6432">
        <f>IFERROR(INDEX('Email Cleaner'!$B$2:$B$10001,MATCH(6431,'Email Cleaner'!$G$2:$G$10001,0)),"")</f>
        <v/>
      </c>
    </row>
    <row r="6433">
      <c r="A6433">
        <f>IFERROR(INDEX('Email Cleaner'!$B$2:$B$10001,MATCH(6432,'Email Cleaner'!$G$2:$G$10001,0)),"")</f>
        <v/>
      </c>
    </row>
    <row r="6434">
      <c r="A6434">
        <f>IFERROR(INDEX('Email Cleaner'!$B$2:$B$10001,MATCH(6433,'Email Cleaner'!$G$2:$G$10001,0)),"")</f>
        <v/>
      </c>
    </row>
    <row r="6435">
      <c r="A6435">
        <f>IFERROR(INDEX('Email Cleaner'!$B$2:$B$10001,MATCH(6434,'Email Cleaner'!$G$2:$G$10001,0)),"")</f>
        <v/>
      </c>
    </row>
    <row r="6436">
      <c r="A6436">
        <f>IFERROR(INDEX('Email Cleaner'!$B$2:$B$10001,MATCH(6435,'Email Cleaner'!$G$2:$G$10001,0)),"")</f>
        <v/>
      </c>
    </row>
    <row r="6437">
      <c r="A6437">
        <f>IFERROR(INDEX('Email Cleaner'!$B$2:$B$10001,MATCH(6436,'Email Cleaner'!$G$2:$G$10001,0)),"")</f>
        <v/>
      </c>
    </row>
    <row r="6438">
      <c r="A6438">
        <f>IFERROR(INDEX('Email Cleaner'!$B$2:$B$10001,MATCH(6437,'Email Cleaner'!$G$2:$G$10001,0)),"")</f>
        <v/>
      </c>
    </row>
    <row r="6439">
      <c r="A6439">
        <f>IFERROR(INDEX('Email Cleaner'!$B$2:$B$10001,MATCH(6438,'Email Cleaner'!$G$2:$G$10001,0)),"")</f>
        <v/>
      </c>
    </row>
    <row r="6440">
      <c r="A6440">
        <f>IFERROR(INDEX('Email Cleaner'!$B$2:$B$10001,MATCH(6439,'Email Cleaner'!$G$2:$G$10001,0)),"")</f>
        <v/>
      </c>
    </row>
    <row r="6441">
      <c r="A6441">
        <f>IFERROR(INDEX('Email Cleaner'!$B$2:$B$10001,MATCH(6440,'Email Cleaner'!$G$2:$G$10001,0)),"")</f>
        <v/>
      </c>
    </row>
    <row r="6442">
      <c r="A6442">
        <f>IFERROR(INDEX('Email Cleaner'!$B$2:$B$10001,MATCH(6441,'Email Cleaner'!$G$2:$G$10001,0)),"")</f>
        <v/>
      </c>
    </row>
    <row r="6443">
      <c r="A6443">
        <f>IFERROR(INDEX('Email Cleaner'!$B$2:$B$10001,MATCH(6442,'Email Cleaner'!$G$2:$G$10001,0)),"")</f>
        <v/>
      </c>
    </row>
    <row r="6444">
      <c r="A6444">
        <f>IFERROR(INDEX('Email Cleaner'!$B$2:$B$10001,MATCH(6443,'Email Cleaner'!$G$2:$G$10001,0)),"")</f>
        <v/>
      </c>
    </row>
    <row r="6445">
      <c r="A6445">
        <f>IFERROR(INDEX('Email Cleaner'!$B$2:$B$10001,MATCH(6444,'Email Cleaner'!$G$2:$G$10001,0)),"")</f>
        <v/>
      </c>
    </row>
    <row r="6446">
      <c r="A6446">
        <f>IFERROR(INDEX('Email Cleaner'!$B$2:$B$10001,MATCH(6445,'Email Cleaner'!$G$2:$G$10001,0)),"")</f>
        <v/>
      </c>
    </row>
    <row r="6447">
      <c r="A6447">
        <f>IFERROR(INDEX('Email Cleaner'!$B$2:$B$10001,MATCH(6446,'Email Cleaner'!$G$2:$G$10001,0)),"")</f>
        <v/>
      </c>
    </row>
    <row r="6448">
      <c r="A6448">
        <f>IFERROR(INDEX('Email Cleaner'!$B$2:$B$10001,MATCH(6447,'Email Cleaner'!$G$2:$G$10001,0)),"")</f>
        <v/>
      </c>
    </row>
    <row r="6449">
      <c r="A6449">
        <f>IFERROR(INDEX('Email Cleaner'!$B$2:$B$10001,MATCH(6448,'Email Cleaner'!$G$2:$G$10001,0)),"")</f>
        <v/>
      </c>
    </row>
    <row r="6450">
      <c r="A6450">
        <f>IFERROR(INDEX('Email Cleaner'!$B$2:$B$10001,MATCH(6449,'Email Cleaner'!$G$2:$G$10001,0)),"")</f>
        <v/>
      </c>
    </row>
    <row r="6451">
      <c r="A6451">
        <f>IFERROR(INDEX('Email Cleaner'!$B$2:$B$10001,MATCH(6450,'Email Cleaner'!$G$2:$G$10001,0)),"")</f>
        <v/>
      </c>
    </row>
    <row r="6452">
      <c r="A6452">
        <f>IFERROR(INDEX('Email Cleaner'!$B$2:$B$10001,MATCH(6451,'Email Cleaner'!$G$2:$G$10001,0)),"")</f>
        <v/>
      </c>
    </row>
    <row r="6453">
      <c r="A6453">
        <f>IFERROR(INDEX('Email Cleaner'!$B$2:$B$10001,MATCH(6452,'Email Cleaner'!$G$2:$G$10001,0)),"")</f>
        <v/>
      </c>
    </row>
    <row r="6454">
      <c r="A6454">
        <f>IFERROR(INDEX('Email Cleaner'!$B$2:$B$10001,MATCH(6453,'Email Cleaner'!$G$2:$G$10001,0)),"")</f>
        <v/>
      </c>
    </row>
    <row r="6455">
      <c r="A6455">
        <f>IFERROR(INDEX('Email Cleaner'!$B$2:$B$10001,MATCH(6454,'Email Cleaner'!$G$2:$G$10001,0)),"")</f>
        <v/>
      </c>
    </row>
    <row r="6456">
      <c r="A6456">
        <f>IFERROR(INDEX('Email Cleaner'!$B$2:$B$10001,MATCH(6455,'Email Cleaner'!$G$2:$G$10001,0)),"")</f>
        <v/>
      </c>
    </row>
    <row r="6457">
      <c r="A6457">
        <f>IFERROR(INDEX('Email Cleaner'!$B$2:$B$10001,MATCH(6456,'Email Cleaner'!$G$2:$G$10001,0)),"")</f>
        <v/>
      </c>
    </row>
    <row r="6458">
      <c r="A6458">
        <f>IFERROR(INDEX('Email Cleaner'!$B$2:$B$10001,MATCH(6457,'Email Cleaner'!$G$2:$G$10001,0)),"")</f>
        <v/>
      </c>
    </row>
    <row r="6459">
      <c r="A6459">
        <f>IFERROR(INDEX('Email Cleaner'!$B$2:$B$10001,MATCH(6458,'Email Cleaner'!$G$2:$G$10001,0)),"")</f>
        <v/>
      </c>
    </row>
    <row r="6460">
      <c r="A6460">
        <f>IFERROR(INDEX('Email Cleaner'!$B$2:$B$10001,MATCH(6459,'Email Cleaner'!$G$2:$G$10001,0)),"")</f>
        <v/>
      </c>
    </row>
    <row r="6461">
      <c r="A6461">
        <f>IFERROR(INDEX('Email Cleaner'!$B$2:$B$10001,MATCH(6460,'Email Cleaner'!$G$2:$G$10001,0)),"")</f>
        <v/>
      </c>
    </row>
    <row r="6462">
      <c r="A6462">
        <f>IFERROR(INDEX('Email Cleaner'!$B$2:$B$10001,MATCH(6461,'Email Cleaner'!$G$2:$G$10001,0)),"")</f>
        <v/>
      </c>
    </row>
    <row r="6463">
      <c r="A6463">
        <f>IFERROR(INDEX('Email Cleaner'!$B$2:$B$10001,MATCH(6462,'Email Cleaner'!$G$2:$G$10001,0)),"")</f>
        <v/>
      </c>
    </row>
    <row r="6464">
      <c r="A6464">
        <f>IFERROR(INDEX('Email Cleaner'!$B$2:$B$10001,MATCH(6463,'Email Cleaner'!$G$2:$G$10001,0)),"")</f>
        <v/>
      </c>
    </row>
    <row r="6465">
      <c r="A6465">
        <f>IFERROR(INDEX('Email Cleaner'!$B$2:$B$10001,MATCH(6464,'Email Cleaner'!$G$2:$G$10001,0)),"")</f>
        <v/>
      </c>
    </row>
    <row r="6466">
      <c r="A6466">
        <f>IFERROR(INDEX('Email Cleaner'!$B$2:$B$10001,MATCH(6465,'Email Cleaner'!$G$2:$G$10001,0)),"")</f>
        <v/>
      </c>
    </row>
    <row r="6467">
      <c r="A6467">
        <f>IFERROR(INDEX('Email Cleaner'!$B$2:$B$10001,MATCH(6466,'Email Cleaner'!$G$2:$G$10001,0)),"")</f>
        <v/>
      </c>
    </row>
    <row r="6468">
      <c r="A6468">
        <f>IFERROR(INDEX('Email Cleaner'!$B$2:$B$10001,MATCH(6467,'Email Cleaner'!$G$2:$G$10001,0)),"")</f>
        <v/>
      </c>
    </row>
    <row r="6469">
      <c r="A6469">
        <f>IFERROR(INDEX('Email Cleaner'!$B$2:$B$10001,MATCH(6468,'Email Cleaner'!$G$2:$G$10001,0)),"")</f>
        <v/>
      </c>
    </row>
    <row r="6470">
      <c r="A6470">
        <f>IFERROR(INDEX('Email Cleaner'!$B$2:$B$10001,MATCH(6469,'Email Cleaner'!$G$2:$G$10001,0)),"")</f>
        <v/>
      </c>
    </row>
    <row r="6471">
      <c r="A6471">
        <f>IFERROR(INDEX('Email Cleaner'!$B$2:$B$10001,MATCH(6470,'Email Cleaner'!$G$2:$G$10001,0)),"")</f>
        <v/>
      </c>
    </row>
    <row r="6472">
      <c r="A6472">
        <f>IFERROR(INDEX('Email Cleaner'!$B$2:$B$10001,MATCH(6471,'Email Cleaner'!$G$2:$G$10001,0)),"")</f>
        <v/>
      </c>
    </row>
    <row r="6473">
      <c r="A6473">
        <f>IFERROR(INDEX('Email Cleaner'!$B$2:$B$10001,MATCH(6472,'Email Cleaner'!$G$2:$G$10001,0)),"")</f>
        <v/>
      </c>
    </row>
    <row r="6474">
      <c r="A6474">
        <f>IFERROR(INDEX('Email Cleaner'!$B$2:$B$10001,MATCH(6473,'Email Cleaner'!$G$2:$G$10001,0)),"")</f>
        <v/>
      </c>
    </row>
    <row r="6475">
      <c r="A6475">
        <f>IFERROR(INDEX('Email Cleaner'!$B$2:$B$10001,MATCH(6474,'Email Cleaner'!$G$2:$G$10001,0)),"")</f>
        <v/>
      </c>
    </row>
    <row r="6476">
      <c r="A6476">
        <f>IFERROR(INDEX('Email Cleaner'!$B$2:$B$10001,MATCH(6475,'Email Cleaner'!$G$2:$G$10001,0)),"")</f>
        <v/>
      </c>
    </row>
    <row r="6477">
      <c r="A6477">
        <f>IFERROR(INDEX('Email Cleaner'!$B$2:$B$10001,MATCH(6476,'Email Cleaner'!$G$2:$G$10001,0)),"")</f>
        <v/>
      </c>
    </row>
    <row r="6478">
      <c r="A6478">
        <f>IFERROR(INDEX('Email Cleaner'!$B$2:$B$10001,MATCH(6477,'Email Cleaner'!$G$2:$G$10001,0)),"")</f>
        <v/>
      </c>
    </row>
    <row r="6479">
      <c r="A6479">
        <f>IFERROR(INDEX('Email Cleaner'!$B$2:$B$10001,MATCH(6478,'Email Cleaner'!$G$2:$G$10001,0)),"")</f>
        <v/>
      </c>
    </row>
    <row r="6480">
      <c r="A6480">
        <f>IFERROR(INDEX('Email Cleaner'!$B$2:$B$10001,MATCH(6479,'Email Cleaner'!$G$2:$G$10001,0)),"")</f>
        <v/>
      </c>
    </row>
    <row r="6481">
      <c r="A6481">
        <f>IFERROR(INDEX('Email Cleaner'!$B$2:$B$10001,MATCH(6480,'Email Cleaner'!$G$2:$G$10001,0)),"")</f>
        <v/>
      </c>
    </row>
    <row r="6482">
      <c r="A6482">
        <f>IFERROR(INDEX('Email Cleaner'!$B$2:$B$10001,MATCH(6481,'Email Cleaner'!$G$2:$G$10001,0)),"")</f>
        <v/>
      </c>
    </row>
    <row r="6483">
      <c r="A6483">
        <f>IFERROR(INDEX('Email Cleaner'!$B$2:$B$10001,MATCH(6482,'Email Cleaner'!$G$2:$G$10001,0)),"")</f>
        <v/>
      </c>
    </row>
    <row r="6484">
      <c r="A6484">
        <f>IFERROR(INDEX('Email Cleaner'!$B$2:$B$10001,MATCH(6483,'Email Cleaner'!$G$2:$G$10001,0)),"")</f>
        <v/>
      </c>
    </row>
    <row r="6485">
      <c r="A6485">
        <f>IFERROR(INDEX('Email Cleaner'!$B$2:$B$10001,MATCH(6484,'Email Cleaner'!$G$2:$G$10001,0)),"")</f>
        <v/>
      </c>
    </row>
    <row r="6486">
      <c r="A6486">
        <f>IFERROR(INDEX('Email Cleaner'!$B$2:$B$10001,MATCH(6485,'Email Cleaner'!$G$2:$G$10001,0)),"")</f>
        <v/>
      </c>
    </row>
    <row r="6487">
      <c r="A6487">
        <f>IFERROR(INDEX('Email Cleaner'!$B$2:$B$10001,MATCH(6486,'Email Cleaner'!$G$2:$G$10001,0)),"")</f>
        <v/>
      </c>
    </row>
    <row r="6488">
      <c r="A6488">
        <f>IFERROR(INDEX('Email Cleaner'!$B$2:$B$10001,MATCH(6487,'Email Cleaner'!$G$2:$G$10001,0)),"")</f>
        <v/>
      </c>
    </row>
    <row r="6489">
      <c r="A6489">
        <f>IFERROR(INDEX('Email Cleaner'!$B$2:$B$10001,MATCH(6488,'Email Cleaner'!$G$2:$G$10001,0)),"")</f>
        <v/>
      </c>
    </row>
    <row r="6490">
      <c r="A6490">
        <f>IFERROR(INDEX('Email Cleaner'!$B$2:$B$10001,MATCH(6489,'Email Cleaner'!$G$2:$G$10001,0)),"")</f>
        <v/>
      </c>
    </row>
    <row r="6491">
      <c r="A6491">
        <f>IFERROR(INDEX('Email Cleaner'!$B$2:$B$10001,MATCH(6490,'Email Cleaner'!$G$2:$G$10001,0)),"")</f>
        <v/>
      </c>
    </row>
    <row r="6492">
      <c r="A6492">
        <f>IFERROR(INDEX('Email Cleaner'!$B$2:$B$10001,MATCH(6491,'Email Cleaner'!$G$2:$G$10001,0)),"")</f>
        <v/>
      </c>
    </row>
    <row r="6493">
      <c r="A6493">
        <f>IFERROR(INDEX('Email Cleaner'!$B$2:$B$10001,MATCH(6492,'Email Cleaner'!$G$2:$G$10001,0)),"")</f>
        <v/>
      </c>
    </row>
    <row r="6494">
      <c r="A6494">
        <f>IFERROR(INDEX('Email Cleaner'!$B$2:$B$10001,MATCH(6493,'Email Cleaner'!$G$2:$G$10001,0)),"")</f>
        <v/>
      </c>
    </row>
    <row r="6495">
      <c r="A6495">
        <f>IFERROR(INDEX('Email Cleaner'!$B$2:$B$10001,MATCH(6494,'Email Cleaner'!$G$2:$G$10001,0)),"")</f>
        <v/>
      </c>
    </row>
    <row r="6496">
      <c r="A6496">
        <f>IFERROR(INDEX('Email Cleaner'!$B$2:$B$10001,MATCH(6495,'Email Cleaner'!$G$2:$G$10001,0)),"")</f>
        <v/>
      </c>
    </row>
    <row r="6497">
      <c r="A6497">
        <f>IFERROR(INDEX('Email Cleaner'!$B$2:$B$10001,MATCH(6496,'Email Cleaner'!$G$2:$G$10001,0)),"")</f>
        <v/>
      </c>
    </row>
    <row r="6498">
      <c r="A6498">
        <f>IFERROR(INDEX('Email Cleaner'!$B$2:$B$10001,MATCH(6497,'Email Cleaner'!$G$2:$G$10001,0)),"")</f>
        <v/>
      </c>
    </row>
    <row r="6499">
      <c r="A6499">
        <f>IFERROR(INDEX('Email Cleaner'!$B$2:$B$10001,MATCH(6498,'Email Cleaner'!$G$2:$G$10001,0)),"")</f>
        <v/>
      </c>
    </row>
    <row r="6500">
      <c r="A6500">
        <f>IFERROR(INDEX('Email Cleaner'!$B$2:$B$10001,MATCH(6499,'Email Cleaner'!$G$2:$G$10001,0)),"")</f>
        <v/>
      </c>
    </row>
    <row r="6501">
      <c r="A6501">
        <f>IFERROR(INDEX('Email Cleaner'!$B$2:$B$10001,MATCH(6500,'Email Cleaner'!$G$2:$G$10001,0)),"")</f>
        <v/>
      </c>
    </row>
    <row r="6502">
      <c r="A6502">
        <f>IFERROR(INDEX('Email Cleaner'!$B$2:$B$10001,MATCH(6501,'Email Cleaner'!$G$2:$G$10001,0)),"")</f>
        <v/>
      </c>
    </row>
    <row r="6503">
      <c r="A6503">
        <f>IFERROR(INDEX('Email Cleaner'!$B$2:$B$10001,MATCH(6502,'Email Cleaner'!$G$2:$G$10001,0)),"")</f>
        <v/>
      </c>
    </row>
    <row r="6504">
      <c r="A6504">
        <f>IFERROR(INDEX('Email Cleaner'!$B$2:$B$10001,MATCH(6503,'Email Cleaner'!$G$2:$G$10001,0)),"")</f>
        <v/>
      </c>
    </row>
    <row r="6505">
      <c r="A6505">
        <f>IFERROR(INDEX('Email Cleaner'!$B$2:$B$10001,MATCH(6504,'Email Cleaner'!$G$2:$G$10001,0)),"")</f>
        <v/>
      </c>
    </row>
    <row r="6506">
      <c r="A6506">
        <f>IFERROR(INDEX('Email Cleaner'!$B$2:$B$10001,MATCH(6505,'Email Cleaner'!$G$2:$G$10001,0)),"")</f>
        <v/>
      </c>
    </row>
    <row r="6507">
      <c r="A6507">
        <f>IFERROR(INDEX('Email Cleaner'!$B$2:$B$10001,MATCH(6506,'Email Cleaner'!$G$2:$G$10001,0)),"")</f>
        <v/>
      </c>
    </row>
    <row r="6508">
      <c r="A6508">
        <f>IFERROR(INDEX('Email Cleaner'!$B$2:$B$10001,MATCH(6507,'Email Cleaner'!$G$2:$G$10001,0)),"")</f>
        <v/>
      </c>
    </row>
    <row r="6509">
      <c r="A6509">
        <f>IFERROR(INDEX('Email Cleaner'!$B$2:$B$10001,MATCH(6508,'Email Cleaner'!$G$2:$G$10001,0)),"")</f>
        <v/>
      </c>
    </row>
    <row r="6510">
      <c r="A6510">
        <f>IFERROR(INDEX('Email Cleaner'!$B$2:$B$10001,MATCH(6509,'Email Cleaner'!$G$2:$G$10001,0)),"")</f>
        <v/>
      </c>
    </row>
    <row r="6511">
      <c r="A6511">
        <f>IFERROR(INDEX('Email Cleaner'!$B$2:$B$10001,MATCH(6510,'Email Cleaner'!$G$2:$G$10001,0)),"")</f>
        <v/>
      </c>
    </row>
    <row r="6512">
      <c r="A6512">
        <f>IFERROR(INDEX('Email Cleaner'!$B$2:$B$10001,MATCH(6511,'Email Cleaner'!$G$2:$G$10001,0)),"")</f>
        <v/>
      </c>
    </row>
    <row r="6513">
      <c r="A6513">
        <f>IFERROR(INDEX('Email Cleaner'!$B$2:$B$10001,MATCH(6512,'Email Cleaner'!$G$2:$G$10001,0)),"")</f>
        <v/>
      </c>
    </row>
    <row r="6514">
      <c r="A6514">
        <f>IFERROR(INDEX('Email Cleaner'!$B$2:$B$10001,MATCH(6513,'Email Cleaner'!$G$2:$G$10001,0)),"")</f>
        <v/>
      </c>
    </row>
    <row r="6515">
      <c r="A6515">
        <f>IFERROR(INDEX('Email Cleaner'!$B$2:$B$10001,MATCH(6514,'Email Cleaner'!$G$2:$G$10001,0)),"")</f>
        <v/>
      </c>
    </row>
    <row r="6516">
      <c r="A6516">
        <f>IFERROR(INDEX('Email Cleaner'!$B$2:$B$10001,MATCH(6515,'Email Cleaner'!$G$2:$G$10001,0)),"")</f>
        <v/>
      </c>
    </row>
    <row r="6517">
      <c r="A6517">
        <f>IFERROR(INDEX('Email Cleaner'!$B$2:$B$10001,MATCH(6516,'Email Cleaner'!$G$2:$G$10001,0)),"")</f>
        <v/>
      </c>
    </row>
    <row r="6518">
      <c r="A6518">
        <f>IFERROR(INDEX('Email Cleaner'!$B$2:$B$10001,MATCH(6517,'Email Cleaner'!$G$2:$G$10001,0)),"")</f>
        <v/>
      </c>
    </row>
    <row r="6519">
      <c r="A6519">
        <f>IFERROR(INDEX('Email Cleaner'!$B$2:$B$10001,MATCH(6518,'Email Cleaner'!$G$2:$G$10001,0)),"")</f>
        <v/>
      </c>
    </row>
    <row r="6520">
      <c r="A6520">
        <f>IFERROR(INDEX('Email Cleaner'!$B$2:$B$10001,MATCH(6519,'Email Cleaner'!$G$2:$G$10001,0)),"")</f>
        <v/>
      </c>
    </row>
    <row r="6521">
      <c r="A6521">
        <f>IFERROR(INDEX('Email Cleaner'!$B$2:$B$10001,MATCH(6520,'Email Cleaner'!$G$2:$G$10001,0)),"")</f>
        <v/>
      </c>
    </row>
    <row r="6522">
      <c r="A6522">
        <f>IFERROR(INDEX('Email Cleaner'!$B$2:$B$10001,MATCH(6521,'Email Cleaner'!$G$2:$G$10001,0)),"")</f>
        <v/>
      </c>
    </row>
    <row r="6523">
      <c r="A6523">
        <f>IFERROR(INDEX('Email Cleaner'!$B$2:$B$10001,MATCH(6522,'Email Cleaner'!$G$2:$G$10001,0)),"")</f>
        <v/>
      </c>
    </row>
    <row r="6524">
      <c r="A6524">
        <f>IFERROR(INDEX('Email Cleaner'!$B$2:$B$10001,MATCH(6523,'Email Cleaner'!$G$2:$G$10001,0)),"")</f>
        <v/>
      </c>
    </row>
    <row r="6525">
      <c r="A6525">
        <f>IFERROR(INDEX('Email Cleaner'!$B$2:$B$10001,MATCH(6524,'Email Cleaner'!$G$2:$G$10001,0)),"")</f>
        <v/>
      </c>
    </row>
    <row r="6526">
      <c r="A6526">
        <f>IFERROR(INDEX('Email Cleaner'!$B$2:$B$10001,MATCH(6525,'Email Cleaner'!$G$2:$G$10001,0)),"")</f>
        <v/>
      </c>
    </row>
    <row r="6527">
      <c r="A6527">
        <f>IFERROR(INDEX('Email Cleaner'!$B$2:$B$10001,MATCH(6526,'Email Cleaner'!$G$2:$G$10001,0)),"")</f>
        <v/>
      </c>
    </row>
    <row r="6528">
      <c r="A6528">
        <f>IFERROR(INDEX('Email Cleaner'!$B$2:$B$10001,MATCH(6527,'Email Cleaner'!$G$2:$G$10001,0)),"")</f>
        <v/>
      </c>
    </row>
    <row r="6529">
      <c r="A6529">
        <f>IFERROR(INDEX('Email Cleaner'!$B$2:$B$10001,MATCH(6528,'Email Cleaner'!$G$2:$G$10001,0)),"")</f>
        <v/>
      </c>
    </row>
    <row r="6530">
      <c r="A6530">
        <f>IFERROR(INDEX('Email Cleaner'!$B$2:$B$10001,MATCH(6529,'Email Cleaner'!$G$2:$G$10001,0)),"")</f>
        <v/>
      </c>
    </row>
    <row r="6531">
      <c r="A6531">
        <f>IFERROR(INDEX('Email Cleaner'!$B$2:$B$10001,MATCH(6530,'Email Cleaner'!$G$2:$G$10001,0)),"")</f>
        <v/>
      </c>
    </row>
    <row r="6532">
      <c r="A6532">
        <f>IFERROR(INDEX('Email Cleaner'!$B$2:$B$10001,MATCH(6531,'Email Cleaner'!$G$2:$G$10001,0)),"")</f>
        <v/>
      </c>
    </row>
    <row r="6533">
      <c r="A6533">
        <f>IFERROR(INDEX('Email Cleaner'!$B$2:$B$10001,MATCH(6532,'Email Cleaner'!$G$2:$G$10001,0)),"")</f>
        <v/>
      </c>
    </row>
    <row r="6534">
      <c r="A6534">
        <f>IFERROR(INDEX('Email Cleaner'!$B$2:$B$10001,MATCH(6533,'Email Cleaner'!$G$2:$G$10001,0)),"")</f>
        <v/>
      </c>
    </row>
    <row r="6535">
      <c r="A6535">
        <f>IFERROR(INDEX('Email Cleaner'!$B$2:$B$10001,MATCH(6534,'Email Cleaner'!$G$2:$G$10001,0)),"")</f>
        <v/>
      </c>
    </row>
    <row r="6536">
      <c r="A6536">
        <f>IFERROR(INDEX('Email Cleaner'!$B$2:$B$10001,MATCH(6535,'Email Cleaner'!$G$2:$G$10001,0)),"")</f>
        <v/>
      </c>
    </row>
    <row r="6537">
      <c r="A6537">
        <f>IFERROR(INDEX('Email Cleaner'!$B$2:$B$10001,MATCH(6536,'Email Cleaner'!$G$2:$G$10001,0)),"")</f>
        <v/>
      </c>
    </row>
    <row r="6538">
      <c r="A6538">
        <f>IFERROR(INDEX('Email Cleaner'!$B$2:$B$10001,MATCH(6537,'Email Cleaner'!$G$2:$G$10001,0)),"")</f>
        <v/>
      </c>
    </row>
    <row r="6539">
      <c r="A6539">
        <f>IFERROR(INDEX('Email Cleaner'!$B$2:$B$10001,MATCH(6538,'Email Cleaner'!$G$2:$G$10001,0)),"")</f>
        <v/>
      </c>
    </row>
    <row r="6540">
      <c r="A6540">
        <f>IFERROR(INDEX('Email Cleaner'!$B$2:$B$10001,MATCH(6539,'Email Cleaner'!$G$2:$G$10001,0)),"")</f>
        <v/>
      </c>
    </row>
    <row r="6541">
      <c r="A6541">
        <f>IFERROR(INDEX('Email Cleaner'!$B$2:$B$10001,MATCH(6540,'Email Cleaner'!$G$2:$G$10001,0)),"")</f>
        <v/>
      </c>
    </row>
    <row r="6542">
      <c r="A6542">
        <f>IFERROR(INDEX('Email Cleaner'!$B$2:$B$10001,MATCH(6541,'Email Cleaner'!$G$2:$G$10001,0)),"")</f>
        <v/>
      </c>
    </row>
    <row r="6543">
      <c r="A6543">
        <f>IFERROR(INDEX('Email Cleaner'!$B$2:$B$10001,MATCH(6542,'Email Cleaner'!$G$2:$G$10001,0)),"")</f>
        <v/>
      </c>
    </row>
    <row r="6544">
      <c r="A6544">
        <f>IFERROR(INDEX('Email Cleaner'!$B$2:$B$10001,MATCH(6543,'Email Cleaner'!$G$2:$G$10001,0)),"")</f>
        <v/>
      </c>
    </row>
    <row r="6545">
      <c r="A6545">
        <f>IFERROR(INDEX('Email Cleaner'!$B$2:$B$10001,MATCH(6544,'Email Cleaner'!$G$2:$G$10001,0)),"")</f>
        <v/>
      </c>
    </row>
    <row r="6546">
      <c r="A6546">
        <f>IFERROR(INDEX('Email Cleaner'!$B$2:$B$10001,MATCH(6545,'Email Cleaner'!$G$2:$G$10001,0)),"")</f>
        <v/>
      </c>
    </row>
    <row r="6547">
      <c r="A6547">
        <f>IFERROR(INDEX('Email Cleaner'!$B$2:$B$10001,MATCH(6546,'Email Cleaner'!$G$2:$G$10001,0)),"")</f>
        <v/>
      </c>
    </row>
    <row r="6548">
      <c r="A6548">
        <f>IFERROR(INDEX('Email Cleaner'!$B$2:$B$10001,MATCH(6547,'Email Cleaner'!$G$2:$G$10001,0)),"")</f>
        <v/>
      </c>
    </row>
    <row r="6549">
      <c r="A6549">
        <f>IFERROR(INDEX('Email Cleaner'!$B$2:$B$10001,MATCH(6548,'Email Cleaner'!$G$2:$G$10001,0)),"")</f>
        <v/>
      </c>
    </row>
    <row r="6550">
      <c r="A6550">
        <f>IFERROR(INDEX('Email Cleaner'!$B$2:$B$10001,MATCH(6549,'Email Cleaner'!$G$2:$G$10001,0)),"")</f>
        <v/>
      </c>
    </row>
    <row r="6551">
      <c r="A6551">
        <f>IFERROR(INDEX('Email Cleaner'!$B$2:$B$10001,MATCH(6550,'Email Cleaner'!$G$2:$G$10001,0)),"")</f>
        <v/>
      </c>
    </row>
    <row r="6552">
      <c r="A6552">
        <f>IFERROR(INDEX('Email Cleaner'!$B$2:$B$10001,MATCH(6551,'Email Cleaner'!$G$2:$G$10001,0)),"")</f>
        <v/>
      </c>
    </row>
    <row r="6553">
      <c r="A6553">
        <f>IFERROR(INDEX('Email Cleaner'!$B$2:$B$10001,MATCH(6552,'Email Cleaner'!$G$2:$G$10001,0)),"")</f>
        <v/>
      </c>
    </row>
    <row r="6554">
      <c r="A6554">
        <f>IFERROR(INDEX('Email Cleaner'!$B$2:$B$10001,MATCH(6553,'Email Cleaner'!$G$2:$G$10001,0)),"")</f>
        <v/>
      </c>
    </row>
    <row r="6555">
      <c r="A6555">
        <f>IFERROR(INDEX('Email Cleaner'!$B$2:$B$10001,MATCH(6554,'Email Cleaner'!$G$2:$G$10001,0)),"")</f>
        <v/>
      </c>
    </row>
    <row r="6556">
      <c r="A6556">
        <f>IFERROR(INDEX('Email Cleaner'!$B$2:$B$10001,MATCH(6555,'Email Cleaner'!$G$2:$G$10001,0)),"")</f>
        <v/>
      </c>
    </row>
    <row r="6557">
      <c r="A6557">
        <f>IFERROR(INDEX('Email Cleaner'!$B$2:$B$10001,MATCH(6556,'Email Cleaner'!$G$2:$G$10001,0)),"")</f>
        <v/>
      </c>
    </row>
    <row r="6558">
      <c r="A6558">
        <f>IFERROR(INDEX('Email Cleaner'!$B$2:$B$10001,MATCH(6557,'Email Cleaner'!$G$2:$G$10001,0)),"")</f>
        <v/>
      </c>
    </row>
    <row r="6559">
      <c r="A6559">
        <f>IFERROR(INDEX('Email Cleaner'!$B$2:$B$10001,MATCH(6558,'Email Cleaner'!$G$2:$G$10001,0)),"")</f>
        <v/>
      </c>
    </row>
    <row r="6560">
      <c r="A6560">
        <f>IFERROR(INDEX('Email Cleaner'!$B$2:$B$10001,MATCH(6559,'Email Cleaner'!$G$2:$G$10001,0)),"")</f>
        <v/>
      </c>
    </row>
    <row r="6561">
      <c r="A6561">
        <f>IFERROR(INDEX('Email Cleaner'!$B$2:$B$10001,MATCH(6560,'Email Cleaner'!$G$2:$G$10001,0)),"")</f>
        <v/>
      </c>
    </row>
    <row r="6562">
      <c r="A6562">
        <f>IFERROR(INDEX('Email Cleaner'!$B$2:$B$10001,MATCH(6561,'Email Cleaner'!$G$2:$G$10001,0)),"")</f>
        <v/>
      </c>
    </row>
    <row r="6563">
      <c r="A6563">
        <f>IFERROR(INDEX('Email Cleaner'!$B$2:$B$10001,MATCH(6562,'Email Cleaner'!$G$2:$G$10001,0)),"")</f>
        <v/>
      </c>
    </row>
    <row r="6564">
      <c r="A6564">
        <f>IFERROR(INDEX('Email Cleaner'!$B$2:$B$10001,MATCH(6563,'Email Cleaner'!$G$2:$G$10001,0)),"")</f>
        <v/>
      </c>
    </row>
    <row r="6565">
      <c r="A6565">
        <f>IFERROR(INDEX('Email Cleaner'!$B$2:$B$10001,MATCH(6564,'Email Cleaner'!$G$2:$G$10001,0)),"")</f>
        <v/>
      </c>
    </row>
    <row r="6566">
      <c r="A6566">
        <f>IFERROR(INDEX('Email Cleaner'!$B$2:$B$10001,MATCH(6565,'Email Cleaner'!$G$2:$G$10001,0)),"")</f>
        <v/>
      </c>
    </row>
    <row r="6567">
      <c r="A6567">
        <f>IFERROR(INDEX('Email Cleaner'!$B$2:$B$10001,MATCH(6566,'Email Cleaner'!$G$2:$G$10001,0)),"")</f>
        <v/>
      </c>
    </row>
    <row r="6568">
      <c r="A6568">
        <f>IFERROR(INDEX('Email Cleaner'!$B$2:$B$10001,MATCH(6567,'Email Cleaner'!$G$2:$G$10001,0)),"")</f>
        <v/>
      </c>
    </row>
    <row r="6569">
      <c r="A6569">
        <f>IFERROR(INDEX('Email Cleaner'!$B$2:$B$10001,MATCH(6568,'Email Cleaner'!$G$2:$G$10001,0)),"")</f>
        <v/>
      </c>
    </row>
    <row r="6570">
      <c r="A6570">
        <f>IFERROR(INDEX('Email Cleaner'!$B$2:$B$10001,MATCH(6569,'Email Cleaner'!$G$2:$G$10001,0)),"")</f>
        <v/>
      </c>
    </row>
    <row r="6571">
      <c r="A6571">
        <f>IFERROR(INDEX('Email Cleaner'!$B$2:$B$10001,MATCH(6570,'Email Cleaner'!$G$2:$G$10001,0)),"")</f>
        <v/>
      </c>
    </row>
    <row r="6572">
      <c r="A6572">
        <f>IFERROR(INDEX('Email Cleaner'!$B$2:$B$10001,MATCH(6571,'Email Cleaner'!$G$2:$G$10001,0)),"")</f>
        <v/>
      </c>
    </row>
    <row r="6573">
      <c r="A6573">
        <f>IFERROR(INDEX('Email Cleaner'!$B$2:$B$10001,MATCH(6572,'Email Cleaner'!$G$2:$G$10001,0)),"")</f>
        <v/>
      </c>
    </row>
    <row r="6574">
      <c r="A6574">
        <f>IFERROR(INDEX('Email Cleaner'!$B$2:$B$10001,MATCH(6573,'Email Cleaner'!$G$2:$G$10001,0)),"")</f>
        <v/>
      </c>
    </row>
    <row r="6575">
      <c r="A6575">
        <f>IFERROR(INDEX('Email Cleaner'!$B$2:$B$10001,MATCH(6574,'Email Cleaner'!$G$2:$G$10001,0)),"")</f>
        <v/>
      </c>
    </row>
    <row r="6576">
      <c r="A6576">
        <f>IFERROR(INDEX('Email Cleaner'!$B$2:$B$10001,MATCH(6575,'Email Cleaner'!$G$2:$G$10001,0)),"")</f>
        <v/>
      </c>
    </row>
    <row r="6577">
      <c r="A6577">
        <f>IFERROR(INDEX('Email Cleaner'!$B$2:$B$10001,MATCH(6576,'Email Cleaner'!$G$2:$G$10001,0)),"")</f>
        <v/>
      </c>
    </row>
    <row r="6578">
      <c r="A6578">
        <f>IFERROR(INDEX('Email Cleaner'!$B$2:$B$10001,MATCH(6577,'Email Cleaner'!$G$2:$G$10001,0)),"")</f>
        <v/>
      </c>
    </row>
    <row r="6579">
      <c r="A6579">
        <f>IFERROR(INDEX('Email Cleaner'!$B$2:$B$10001,MATCH(6578,'Email Cleaner'!$G$2:$G$10001,0)),"")</f>
        <v/>
      </c>
    </row>
    <row r="6580">
      <c r="A6580">
        <f>IFERROR(INDEX('Email Cleaner'!$B$2:$B$10001,MATCH(6579,'Email Cleaner'!$G$2:$G$10001,0)),"")</f>
        <v/>
      </c>
    </row>
    <row r="6581">
      <c r="A6581">
        <f>IFERROR(INDEX('Email Cleaner'!$B$2:$B$10001,MATCH(6580,'Email Cleaner'!$G$2:$G$10001,0)),"")</f>
        <v/>
      </c>
    </row>
    <row r="6582">
      <c r="A6582">
        <f>IFERROR(INDEX('Email Cleaner'!$B$2:$B$10001,MATCH(6581,'Email Cleaner'!$G$2:$G$10001,0)),"")</f>
        <v/>
      </c>
    </row>
    <row r="6583">
      <c r="A6583">
        <f>IFERROR(INDEX('Email Cleaner'!$B$2:$B$10001,MATCH(6582,'Email Cleaner'!$G$2:$G$10001,0)),"")</f>
        <v/>
      </c>
    </row>
    <row r="6584">
      <c r="A6584">
        <f>IFERROR(INDEX('Email Cleaner'!$B$2:$B$10001,MATCH(6583,'Email Cleaner'!$G$2:$G$10001,0)),"")</f>
        <v/>
      </c>
    </row>
    <row r="6585">
      <c r="A6585">
        <f>IFERROR(INDEX('Email Cleaner'!$B$2:$B$10001,MATCH(6584,'Email Cleaner'!$G$2:$G$10001,0)),"")</f>
        <v/>
      </c>
    </row>
    <row r="6586">
      <c r="A6586">
        <f>IFERROR(INDEX('Email Cleaner'!$B$2:$B$10001,MATCH(6585,'Email Cleaner'!$G$2:$G$10001,0)),"")</f>
        <v/>
      </c>
    </row>
    <row r="6587">
      <c r="A6587">
        <f>IFERROR(INDEX('Email Cleaner'!$B$2:$B$10001,MATCH(6586,'Email Cleaner'!$G$2:$G$10001,0)),"")</f>
        <v/>
      </c>
    </row>
    <row r="6588">
      <c r="A6588">
        <f>IFERROR(INDEX('Email Cleaner'!$B$2:$B$10001,MATCH(6587,'Email Cleaner'!$G$2:$G$10001,0)),"")</f>
        <v/>
      </c>
    </row>
    <row r="6589">
      <c r="A6589">
        <f>IFERROR(INDEX('Email Cleaner'!$B$2:$B$10001,MATCH(6588,'Email Cleaner'!$G$2:$G$10001,0)),"")</f>
        <v/>
      </c>
    </row>
    <row r="6590">
      <c r="A6590">
        <f>IFERROR(INDEX('Email Cleaner'!$B$2:$B$10001,MATCH(6589,'Email Cleaner'!$G$2:$G$10001,0)),"")</f>
        <v/>
      </c>
    </row>
    <row r="6591">
      <c r="A6591">
        <f>IFERROR(INDEX('Email Cleaner'!$B$2:$B$10001,MATCH(6590,'Email Cleaner'!$G$2:$G$10001,0)),"")</f>
        <v/>
      </c>
    </row>
    <row r="6592">
      <c r="A6592">
        <f>IFERROR(INDEX('Email Cleaner'!$B$2:$B$10001,MATCH(6591,'Email Cleaner'!$G$2:$G$10001,0)),"")</f>
        <v/>
      </c>
    </row>
    <row r="6593">
      <c r="A6593">
        <f>IFERROR(INDEX('Email Cleaner'!$B$2:$B$10001,MATCH(6592,'Email Cleaner'!$G$2:$G$10001,0)),"")</f>
        <v/>
      </c>
    </row>
    <row r="6594">
      <c r="A6594">
        <f>IFERROR(INDEX('Email Cleaner'!$B$2:$B$10001,MATCH(6593,'Email Cleaner'!$G$2:$G$10001,0)),"")</f>
        <v/>
      </c>
    </row>
    <row r="6595">
      <c r="A6595">
        <f>IFERROR(INDEX('Email Cleaner'!$B$2:$B$10001,MATCH(6594,'Email Cleaner'!$G$2:$G$10001,0)),"")</f>
        <v/>
      </c>
    </row>
    <row r="6596">
      <c r="A6596">
        <f>IFERROR(INDEX('Email Cleaner'!$B$2:$B$10001,MATCH(6595,'Email Cleaner'!$G$2:$G$10001,0)),"")</f>
        <v/>
      </c>
    </row>
    <row r="6597">
      <c r="A6597">
        <f>IFERROR(INDEX('Email Cleaner'!$B$2:$B$10001,MATCH(6596,'Email Cleaner'!$G$2:$G$10001,0)),"")</f>
        <v/>
      </c>
    </row>
    <row r="6598">
      <c r="A6598">
        <f>IFERROR(INDEX('Email Cleaner'!$B$2:$B$10001,MATCH(6597,'Email Cleaner'!$G$2:$G$10001,0)),"")</f>
        <v/>
      </c>
    </row>
    <row r="6599">
      <c r="A6599">
        <f>IFERROR(INDEX('Email Cleaner'!$B$2:$B$10001,MATCH(6598,'Email Cleaner'!$G$2:$G$10001,0)),"")</f>
        <v/>
      </c>
    </row>
    <row r="6600">
      <c r="A6600">
        <f>IFERROR(INDEX('Email Cleaner'!$B$2:$B$10001,MATCH(6599,'Email Cleaner'!$G$2:$G$10001,0)),"")</f>
        <v/>
      </c>
    </row>
    <row r="6601">
      <c r="A6601">
        <f>IFERROR(INDEX('Email Cleaner'!$B$2:$B$10001,MATCH(6600,'Email Cleaner'!$G$2:$G$10001,0)),"")</f>
        <v/>
      </c>
    </row>
    <row r="6602">
      <c r="A6602">
        <f>IFERROR(INDEX('Email Cleaner'!$B$2:$B$10001,MATCH(6601,'Email Cleaner'!$G$2:$G$10001,0)),"")</f>
        <v/>
      </c>
    </row>
    <row r="6603">
      <c r="A6603">
        <f>IFERROR(INDEX('Email Cleaner'!$B$2:$B$10001,MATCH(6602,'Email Cleaner'!$G$2:$G$10001,0)),"")</f>
        <v/>
      </c>
    </row>
    <row r="6604">
      <c r="A6604">
        <f>IFERROR(INDEX('Email Cleaner'!$B$2:$B$10001,MATCH(6603,'Email Cleaner'!$G$2:$G$10001,0)),"")</f>
        <v/>
      </c>
    </row>
    <row r="6605">
      <c r="A6605">
        <f>IFERROR(INDEX('Email Cleaner'!$B$2:$B$10001,MATCH(6604,'Email Cleaner'!$G$2:$G$10001,0)),"")</f>
        <v/>
      </c>
    </row>
    <row r="6606">
      <c r="A6606">
        <f>IFERROR(INDEX('Email Cleaner'!$B$2:$B$10001,MATCH(6605,'Email Cleaner'!$G$2:$G$10001,0)),"")</f>
        <v/>
      </c>
    </row>
    <row r="6607">
      <c r="A6607">
        <f>IFERROR(INDEX('Email Cleaner'!$B$2:$B$10001,MATCH(6606,'Email Cleaner'!$G$2:$G$10001,0)),"")</f>
        <v/>
      </c>
    </row>
    <row r="6608">
      <c r="A6608">
        <f>IFERROR(INDEX('Email Cleaner'!$B$2:$B$10001,MATCH(6607,'Email Cleaner'!$G$2:$G$10001,0)),"")</f>
        <v/>
      </c>
    </row>
    <row r="6609">
      <c r="A6609">
        <f>IFERROR(INDEX('Email Cleaner'!$B$2:$B$10001,MATCH(6608,'Email Cleaner'!$G$2:$G$10001,0)),"")</f>
        <v/>
      </c>
    </row>
    <row r="6610">
      <c r="A6610">
        <f>IFERROR(INDEX('Email Cleaner'!$B$2:$B$10001,MATCH(6609,'Email Cleaner'!$G$2:$G$10001,0)),"")</f>
        <v/>
      </c>
    </row>
    <row r="6611">
      <c r="A6611">
        <f>IFERROR(INDEX('Email Cleaner'!$B$2:$B$10001,MATCH(6610,'Email Cleaner'!$G$2:$G$10001,0)),"")</f>
        <v/>
      </c>
    </row>
    <row r="6612">
      <c r="A6612">
        <f>IFERROR(INDEX('Email Cleaner'!$B$2:$B$10001,MATCH(6611,'Email Cleaner'!$G$2:$G$10001,0)),"")</f>
        <v/>
      </c>
    </row>
    <row r="6613">
      <c r="A6613">
        <f>IFERROR(INDEX('Email Cleaner'!$B$2:$B$10001,MATCH(6612,'Email Cleaner'!$G$2:$G$10001,0)),"")</f>
        <v/>
      </c>
    </row>
    <row r="6614">
      <c r="A6614">
        <f>IFERROR(INDEX('Email Cleaner'!$B$2:$B$10001,MATCH(6613,'Email Cleaner'!$G$2:$G$10001,0)),"")</f>
        <v/>
      </c>
    </row>
    <row r="6615">
      <c r="A6615">
        <f>IFERROR(INDEX('Email Cleaner'!$B$2:$B$10001,MATCH(6614,'Email Cleaner'!$G$2:$G$10001,0)),"")</f>
        <v/>
      </c>
    </row>
    <row r="6616">
      <c r="A6616">
        <f>IFERROR(INDEX('Email Cleaner'!$B$2:$B$10001,MATCH(6615,'Email Cleaner'!$G$2:$G$10001,0)),"")</f>
        <v/>
      </c>
    </row>
    <row r="6617">
      <c r="A6617">
        <f>IFERROR(INDEX('Email Cleaner'!$B$2:$B$10001,MATCH(6616,'Email Cleaner'!$G$2:$G$10001,0)),"")</f>
        <v/>
      </c>
    </row>
    <row r="6618">
      <c r="A6618">
        <f>IFERROR(INDEX('Email Cleaner'!$B$2:$B$10001,MATCH(6617,'Email Cleaner'!$G$2:$G$10001,0)),"")</f>
        <v/>
      </c>
    </row>
    <row r="6619">
      <c r="A6619">
        <f>IFERROR(INDEX('Email Cleaner'!$B$2:$B$10001,MATCH(6618,'Email Cleaner'!$G$2:$G$10001,0)),"")</f>
        <v/>
      </c>
    </row>
    <row r="6620">
      <c r="A6620">
        <f>IFERROR(INDEX('Email Cleaner'!$B$2:$B$10001,MATCH(6619,'Email Cleaner'!$G$2:$G$10001,0)),"")</f>
        <v/>
      </c>
    </row>
    <row r="6621">
      <c r="A6621">
        <f>IFERROR(INDEX('Email Cleaner'!$B$2:$B$10001,MATCH(6620,'Email Cleaner'!$G$2:$G$10001,0)),"")</f>
        <v/>
      </c>
    </row>
    <row r="6622">
      <c r="A6622">
        <f>IFERROR(INDEX('Email Cleaner'!$B$2:$B$10001,MATCH(6621,'Email Cleaner'!$G$2:$G$10001,0)),"")</f>
        <v/>
      </c>
    </row>
    <row r="6623">
      <c r="A6623">
        <f>IFERROR(INDEX('Email Cleaner'!$B$2:$B$10001,MATCH(6622,'Email Cleaner'!$G$2:$G$10001,0)),"")</f>
        <v/>
      </c>
    </row>
    <row r="6624">
      <c r="A6624">
        <f>IFERROR(INDEX('Email Cleaner'!$B$2:$B$10001,MATCH(6623,'Email Cleaner'!$G$2:$G$10001,0)),"")</f>
        <v/>
      </c>
    </row>
    <row r="6625">
      <c r="A6625">
        <f>IFERROR(INDEX('Email Cleaner'!$B$2:$B$10001,MATCH(6624,'Email Cleaner'!$G$2:$G$10001,0)),"")</f>
        <v/>
      </c>
    </row>
    <row r="6626">
      <c r="A6626">
        <f>IFERROR(INDEX('Email Cleaner'!$B$2:$B$10001,MATCH(6625,'Email Cleaner'!$G$2:$G$10001,0)),"")</f>
        <v/>
      </c>
    </row>
    <row r="6627">
      <c r="A6627">
        <f>IFERROR(INDEX('Email Cleaner'!$B$2:$B$10001,MATCH(6626,'Email Cleaner'!$G$2:$G$10001,0)),"")</f>
        <v/>
      </c>
    </row>
    <row r="6628">
      <c r="A6628">
        <f>IFERROR(INDEX('Email Cleaner'!$B$2:$B$10001,MATCH(6627,'Email Cleaner'!$G$2:$G$10001,0)),"")</f>
        <v/>
      </c>
    </row>
    <row r="6629">
      <c r="A6629">
        <f>IFERROR(INDEX('Email Cleaner'!$B$2:$B$10001,MATCH(6628,'Email Cleaner'!$G$2:$G$10001,0)),"")</f>
        <v/>
      </c>
    </row>
    <row r="6630">
      <c r="A6630">
        <f>IFERROR(INDEX('Email Cleaner'!$B$2:$B$10001,MATCH(6629,'Email Cleaner'!$G$2:$G$10001,0)),"")</f>
        <v/>
      </c>
    </row>
    <row r="6631">
      <c r="A6631">
        <f>IFERROR(INDEX('Email Cleaner'!$B$2:$B$10001,MATCH(6630,'Email Cleaner'!$G$2:$G$10001,0)),"")</f>
        <v/>
      </c>
    </row>
    <row r="6632">
      <c r="A6632">
        <f>IFERROR(INDEX('Email Cleaner'!$B$2:$B$10001,MATCH(6631,'Email Cleaner'!$G$2:$G$10001,0)),"")</f>
        <v/>
      </c>
    </row>
    <row r="6633">
      <c r="A6633">
        <f>IFERROR(INDEX('Email Cleaner'!$B$2:$B$10001,MATCH(6632,'Email Cleaner'!$G$2:$G$10001,0)),"")</f>
        <v/>
      </c>
    </row>
    <row r="6634">
      <c r="A6634">
        <f>IFERROR(INDEX('Email Cleaner'!$B$2:$B$10001,MATCH(6633,'Email Cleaner'!$G$2:$G$10001,0)),"")</f>
        <v/>
      </c>
    </row>
    <row r="6635">
      <c r="A6635">
        <f>IFERROR(INDEX('Email Cleaner'!$B$2:$B$10001,MATCH(6634,'Email Cleaner'!$G$2:$G$10001,0)),"")</f>
        <v/>
      </c>
    </row>
    <row r="6636">
      <c r="A6636">
        <f>IFERROR(INDEX('Email Cleaner'!$B$2:$B$10001,MATCH(6635,'Email Cleaner'!$G$2:$G$10001,0)),"")</f>
        <v/>
      </c>
    </row>
    <row r="6637">
      <c r="A6637">
        <f>IFERROR(INDEX('Email Cleaner'!$B$2:$B$10001,MATCH(6636,'Email Cleaner'!$G$2:$G$10001,0)),"")</f>
        <v/>
      </c>
    </row>
    <row r="6638">
      <c r="A6638">
        <f>IFERROR(INDEX('Email Cleaner'!$B$2:$B$10001,MATCH(6637,'Email Cleaner'!$G$2:$G$10001,0)),"")</f>
        <v/>
      </c>
    </row>
    <row r="6639">
      <c r="A6639">
        <f>IFERROR(INDEX('Email Cleaner'!$B$2:$B$10001,MATCH(6638,'Email Cleaner'!$G$2:$G$10001,0)),"")</f>
        <v/>
      </c>
    </row>
    <row r="6640">
      <c r="A6640">
        <f>IFERROR(INDEX('Email Cleaner'!$B$2:$B$10001,MATCH(6639,'Email Cleaner'!$G$2:$G$10001,0)),"")</f>
        <v/>
      </c>
    </row>
    <row r="6641">
      <c r="A6641">
        <f>IFERROR(INDEX('Email Cleaner'!$B$2:$B$10001,MATCH(6640,'Email Cleaner'!$G$2:$G$10001,0)),"")</f>
        <v/>
      </c>
    </row>
    <row r="6642">
      <c r="A6642">
        <f>IFERROR(INDEX('Email Cleaner'!$B$2:$B$10001,MATCH(6641,'Email Cleaner'!$G$2:$G$10001,0)),"")</f>
        <v/>
      </c>
    </row>
    <row r="6643">
      <c r="A6643">
        <f>IFERROR(INDEX('Email Cleaner'!$B$2:$B$10001,MATCH(6642,'Email Cleaner'!$G$2:$G$10001,0)),"")</f>
        <v/>
      </c>
    </row>
    <row r="6644">
      <c r="A6644">
        <f>IFERROR(INDEX('Email Cleaner'!$B$2:$B$10001,MATCH(6643,'Email Cleaner'!$G$2:$G$10001,0)),"")</f>
        <v/>
      </c>
    </row>
    <row r="6645">
      <c r="A6645">
        <f>IFERROR(INDEX('Email Cleaner'!$B$2:$B$10001,MATCH(6644,'Email Cleaner'!$G$2:$G$10001,0)),"")</f>
        <v/>
      </c>
    </row>
    <row r="6646">
      <c r="A6646">
        <f>IFERROR(INDEX('Email Cleaner'!$B$2:$B$10001,MATCH(6645,'Email Cleaner'!$G$2:$G$10001,0)),"")</f>
        <v/>
      </c>
    </row>
    <row r="6647">
      <c r="A6647">
        <f>IFERROR(INDEX('Email Cleaner'!$B$2:$B$10001,MATCH(6646,'Email Cleaner'!$G$2:$G$10001,0)),"")</f>
        <v/>
      </c>
    </row>
    <row r="6648">
      <c r="A6648">
        <f>IFERROR(INDEX('Email Cleaner'!$B$2:$B$10001,MATCH(6647,'Email Cleaner'!$G$2:$G$10001,0)),"")</f>
        <v/>
      </c>
    </row>
    <row r="6649">
      <c r="A6649">
        <f>IFERROR(INDEX('Email Cleaner'!$B$2:$B$10001,MATCH(6648,'Email Cleaner'!$G$2:$G$10001,0)),"")</f>
        <v/>
      </c>
    </row>
    <row r="6650">
      <c r="A6650">
        <f>IFERROR(INDEX('Email Cleaner'!$B$2:$B$10001,MATCH(6649,'Email Cleaner'!$G$2:$G$10001,0)),"")</f>
        <v/>
      </c>
    </row>
    <row r="6651">
      <c r="A6651">
        <f>IFERROR(INDEX('Email Cleaner'!$B$2:$B$10001,MATCH(6650,'Email Cleaner'!$G$2:$G$10001,0)),"")</f>
        <v/>
      </c>
    </row>
    <row r="6652">
      <c r="A6652">
        <f>IFERROR(INDEX('Email Cleaner'!$B$2:$B$10001,MATCH(6651,'Email Cleaner'!$G$2:$G$10001,0)),"")</f>
        <v/>
      </c>
    </row>
    <row r="6653">
      <c r="A6653">
        <f>IFERROR(INDEX('Email Cleaner'!$B$2:$B$10001,MATCH(6652,'Email Cleaner'!$G$2:$G$10001,0)),"")</f>
        <v/>
      </c>
    </row>
    <row r="6654">
      <c r="A6654">
        <f>IFERROR(INDEX('Email Cleaner'!$B$2:$B$10001,MATCH(6653,'Email Cleaner'!$G$2:$G$10001,0)),"")</f>
        <v/>
      </c>
    </row>
    <row r="6655">
      <c r="A6655">
        <f>IFERROR(INDEX('Email Cleaner'!$B$2:$B$10001,MATCH(6654,'Email Cleaner'!$G$2:$G$10001,0)),"")</f>
        <v/>
      </c>
    </row>
    <row r="6656">
      <c r="A6656">
        <f>IFERROR(INDEX('Email Cleaner'!$B$2:$B$10001,MATCH(6655,'Email Cleaner'!$G$2:$G$10001,0)),"")</f>
        <v/>
      </c>
    </row>
    <row r="6657">
      <c r="A6657">
        <f>IFERROR(INDEX('Email Cleaner'!$B$2:$B$10001,MATCH(6656,'Email Cleaner'!$G$2:$G$10001,0)),"")</f>
        <v/>
      </c>
    </row>
    <row r="6658">
      <c r="A6658">
        <f>IFERROR(INDEX('Email Cleaner'!$B$2:$B$10001,MATCH(6657,'Email Cleaner'!$G$2:$G$10001,0)),"")</f>
        <v/>
      </c>
    </row>
    <row r="6659">
      <c r="A6659">
        <f>IFERROR(INDEX('Email Cleaner'!$B$2:$B$10001,MATCH(6658,'Email Cleaner'!$G$2:$G$10001,0)),"")</f>
        <v/>
      </c>
    </row>
    <row r="6660">
      <c r="A6660">
        <f>IFERROR(INDEX('Email Cleaner'!$B$2:$B$10001,MATCH(6659,'Email Cleaner'!$G$2:$G$10001,0)),"")</f>
        <v/>
      </c>
    </row>
    <row r="6661">
      <c r="A6661">
        <f>IFERROR(INDEX('Email Cleaner'!$B$2:$B$10001,MATCH(6660,'Email Cleaner'!$G$2:$G$10001,0)),"")</f>
        <v/>
      </c>
    </row>
    <row r="6662">
      <c r="A6662">
        <f>IFERROR(INDEX('Email Cleaner'!$B$2:$B$10001,MATCH(6661,'Email Cleaner'!$G$2:$G$10001,0)),"")</f>
        <v/>
      </c>
    </row>
    <row r="6663">
      <c r="A6663">
        <f>IFERROR(INDEX('Email Cleaner'!$B$2:$B$10001,MATCH(6662,'Email Cleaner'!$G$2:$G$10001,0)),"")</f>
        <v/>
      </c>
    </row>
    <row r="6664">
      <c r="A6664">
        <f>IFERROR(INDEX('Email Cleaner'!$B$2:$B$10001,MATCH(6663,'Email Cleaner'!$G$2:$G$10001,0)),"")</f>
        <v/>
      </c>
    </row>
    <row r="6665">
      <c r="A6665">
        <f>IFERROR(INDEX('Email Cleaner'!$B$2:$B$10001,MATCH(6664,'Email Cleaner'!$G$2:$G$10001,0)),"")</f>
        <v/>
      </c>
    </row>
    <row r="6666">
      <c r="A6666">
        <f>IFERROR(INDEX('Email Cleaner'!$B$2:$B$10001,MATCH(6665,'Email Cleaner'!$G$2:$G$10001,0)),"")</f>
        <v/>
      </c>
    </row>
    <row r="6667">
      <c r="A6667">
        <f>IFERROR(INDEX('Email Cleaner'!$B$2:$B$10001,MATCH(6666,'Email Cleaner'!$G$2:$G$10001,0)),"")</f>
        <v/>
      </c>
    </row>
    <row r="6668">
      <c r="A6668">
        <f>IFERROR(INDEX('Email Cleaner'!$B$2:$B$10001,MATCH(6667,'Email Cleaner'!$G$2:$G$10001,0)),"")</f>
        <v/>
      </c>
    </row>
    <row r="6669">
      <c r="A6669">
        <f>IFERROR(INDEX('Email Cleaner'!$B$2:$B$10001,MATCH(6668,'Email Cleaner'!$G$2:$G$10001,0)),"")</f>
        <v/>
      </c>
    </row>
    <row r="6670">
      <c r="A6670">
        <f>IFERROR(INDEX('Email Cleaner'!$B$2:$B$10001,MATCH(6669,'Email Cleaner'!$G$2:$G$10001,0)),"")</f>
        <v/>
      </c>
    </row>
    <row r="6671">
      <c r="A6671">
        <f>IFERROR(INDEX('Email Cleaner'!$B$2:$B$10001,MATCH(6670,'Email Cleaner'!$G$2:$G$10001,0)),"")</f>
        <v/>
      </c>
    </row>
    <row r="6672">
      <c r="A6672">
        <f>IFERROR(INDEX('Email Cleaner'!$B$2:$B$10001,MATCH(6671,'Email Cleaner'!$G$2:$G$10001,0)),"")</f>
        <v/>
      </c>
    </row>
    <row r="6673">
      <c r="A6673">
        <f>IFERROR(INDEX('Email Cleaner'!$B$2:$B$10001,MATCH(6672,'Email Cleaner'!$G$2:$G$10001,0)),"")</f>
        <v/>
      </c>
    </row>
    <row r="6674">
      <c r="A6674">
        <f>IFERROR(INDEX('Email Cleaner'!$B$2:$B$10001,MATCH(6673,'Email Cleaner'!$G$2:$G$10001,0)),"")</f>
        <v/>
      </c>
    </row>
    <row r="6675">
      <c r="A6675">
        <f>IFERROR(INDEX('Email Cleaner'!$B$2:$B$10001,MATCH(6674,'Email Cleaner'!$G$2:$G$10001,0)),"")</f>
        <v/>
      </c>
    </row>
    <row r="6676">
      <c r="A6676">
        <f>IFERROR(INDEX('Email Cleaner'!$B$2:$B$10001,MATCH(6675,'Email Cleaner'!$G$2:$G$10001,0)),"")</f>
        <v/>
      </c>
    </row>
    <row r="6677">
      <c r="A6677">
        <f>IFERROR(INDEX('Email Cleaner'!$B$2:$B$10001,MATCH(6676,'Email Cleaner'!$G$2:$G$10001,0)),"")</f>
        <v/>
      </c>
    </row>
    <row r="6678">
      <c r="A6678">
        <f>IFERROR(INDEX('Email Cleaner'!$B$2:$B$10001,MATCH(6677,'Email Cleaner'!$G$2:$G$10001,0)),"")</f>
        <v/>
      </c>
    </row>
    <row r="6679">
      <c r="A6679">
        <f>IFERROR(INDEX('Email Cleaner'!$B$2:$B$10001,MATCH(6678,'Email Cleaner'!$G$2:$G$10001,0)),"")</f>
        <v/>
      </c>
    </row>
    <row r="6680">
      <c r="A6680">
        <f>IFERROR(INDEX('Email Cleaner'!$B$2:$B$10001,MATCH(6679,'Email Cleaner'!$G$2:$G$10001,0)),"")</f>
        <v/>
      </c>
    </row>
    <row r="6681">
      <c r="A6681">
        <f>IFERROR(INDEX('Email Cleaner'!$B$2:$B$10001,MATCH(6680,'Email Cleaner'!$G$2:$G$10001,0)),"")</f>
        <v/>
      </c>
    </row>
    <row r="6682">
      <c r="A6682">
        <f>IFERROR(INDEX('Email Cleaner'!$B$2:$B$10001,MATCH(6681,'Email Cleaner'!$G$2:$G$10001,0)),"")</f>
        <v/>
      </c>
    </row>
    <row r="6683">
      <c r="A6683">
        <f>IFERROR(INDEX('Email Cleaner'!$B$2:$B$10001,MATCH(6682,'Email Cleaner'!$G$2:$G$10001,0)),"")</f>
        <v/>
      </c>
    </row>
    <row r="6684">
      <c r="A6684">
        <f>IFERROR(INDEX('Email Cleaner'!$B$2:$B$10001,MATCH(6683,'Email Cleaner'!$G$2:$G$10001,0)),"")</f>
        <v/>
      </c>
    </row>
    <row r="6685">
      <c r="A6685">
        <f>IFERROR(INDEX('Email Cleaner'!$B$2:$B$10001,MATCH(6684,'Email Cleaner'!$G$2:$G$10001,0)),"")</f>
        <v/>
      </c>
    </row>
    <row r="6686">
      <c r="A6686">
        <f>IFERROR(INDEX('Email Cleaner'!$B$2:$B$10001,MATCH(6685,'Email Cleaner'!$G$2:$G$10001,0)),"")</f>
        <v/>
      </c>
    </row>
    <row r="6687">
      <c r="A6687">
        <f>IFERROR(INDEX('Email Cleaner'!$B$2:$B$10001,MATCH(6686,'Email Cleaner'!$G$2:$G$10001,0)),"")</f>
        <v/>
      </c>
    </row>
    <row r="6688">
      <c r="A6688">
        <f>IFERROR(INDEX('Email Cleaner'!$B$2:$B$10001,MATCH(6687,'Email Cleaner'!$G$2:$G$10001,0)),"")</f>
        <v/>
      </c>
    </row>
    <row r="6689">
      <c r="A6689">
        <f>IFERROR(INDEX('Email Cleaner'!$B$2:$B$10001,MATCH(6688,'Email Cleaner'!$G$2:$G$10001,0)),"")</f>
        <v/>
      </c>
    </row>
    <row r="6690">
      <c r="A6690">
        <f>IFERROR(INDEX('Email Cleaner'!$B$2:$B$10001,MATCH(6689,'Email Cleaner'!$G$2:$G$10001,0)),"")</f>
        <v/>
      </c>
    </row>
    <row r="6691">
      <c r="A6691">
        <f>IFERROR(INDEX('Email Cleaner'!$B$2:$B$10001,MATCH(6690,'Email Cleaner'!$G$2:$G$10001,0)),"")</f>
        <v/>
      </c>
    </row>
    <row r="6692">
      <c r="A6692">
        <f>IFERROR(INDEX('Email Cleaner'!$B$2:$B$10001,MATCH(6691,'Email Cleaner'!$G$2:$G$10001,0)),"")</f>
        <v/>
      </c>
    </row>
    <row r="6693">
      <c r="A6693">
        <f>IFERROR(INDEX('Email Cleaner'!$B$2:$B$10001,MATCH(6692,'Email Cleaner'!$G$2:$G$10001,0)),"")</f>
        <v/>
      </c>
    </row>
    <row r="6694">
      <c r="A6694">
        <f>IFERROR(INDEX('Email Cleaner'!$B$2:$B$10001,MATCH(6693,'Email Cleaner'!$G$2:$G$10001,0)),"")</f>
        <v/>
      </c>
    </row>
    <row r="6695">
      <c r="A6695">
        <f>IFERROR(INDEX('Email Cleaner'!$B$2:$B$10001,MATCH(6694,'Email Cleaner'!$G$2:$G$10001,0)),"")</f>
        <v/>
      </c>
    </row>
    <row r="6696">
      <c r="A6696">
        <f>IFERROR(INDEX('Email Cleaner'!$B$2:$B$10001,MATCH(6695,'Email Cleaner'!$G$2:$G$10001,0)),"")</f>
        <v/>
      </c>
    </row>
    <row r="6697">
      <c r="A6697">
        <f>IFERROR(INDEX('Email Cleaner'!$B$2:$B$10001,MATCH(6696,'Email Cleaner'!$G$2:$G$10001,0)),"")</f>
        <v/>
      </c>
    </row>
    <row r="6698">
      <c r="A6698">
        <f>IFERROR(INDEX('Email Cleaner'!$B$2:$B$10001,MATCH(6697,'Email Cleaner'!$G$2:$G$10001,0)),"")</f>
        <v/>
      </c>
    </row>
    <row r="6699">
      <c r="A6699">
        <f>IFERROR(INDEX('Email Cleaner'!$B$2:$B$10001,MATCH(6698,'Email Cleaner'!$G$2:$G$10001,0)),"")</f>
        <v/>
      </c>
    </row>
    <row r="6700">
      <c r="A6700">
        <f>IFERROR(INDEX('Email Cleaner'!$B$2:$B$10001,MATCH(6699,'Email Cleaner'!$G$2:$G$10001,0)),"")</f>
        <v/>
      </c>
    </row>
    <row r="6701">
      <c r="A6701">
        <f>IFERROR(INDEX('Email Cleaner'!$B$2:$B$10001,MATCH(6700,'Email Cleaner'!$G$2:$G$10001,0)),"")</f>
        <v/>
      </c>
    </row>
    <row r="6702">
      <c r="A6702">
        <f>IFERROR(INDEX('Email Cleaner'!$B$2:$B$10001,MATCH(6701,'Email Cleaner'!$G$2:$G$10001,0)),"")</f>
        <v/>
      </c>
    </row>
    <row r="6703">
      <c r="A6703">
        <f>IFERROR(INDEX('Email Cleaner'!$B$2:$B$10001,MATCH(6702,'Email Cleaner'!$G$2:$G$10001,0)),"")</f>
        <v/>
      </c>
    </row>
    <row r="6704">
      <c r="A6704">
        <f>IFERROR(INDEX('Email Cleaner'!$B$2:$B$10001,MATCH(6703,'Email Cleaner'!$G$2:$G$10001,0)),"")</f>
        <v/>
      </c>
    </row>
    <row r="6705">
      <c r="A6705">
        <f>IFERROR(INDEX('Email Cleaner'!$B$2:$B$10001,MATCH(6704,'Email Cleaner'!$G$2:$G$10001,0)),"")</f>
        <v/>
      </c>
    </row>
    <row r="6706">
      <c r="A6706">
        <f>IFERROR(INDEX('Email Cleaner'!$B$2:$B$10001,MATCH(6705,'Email Cleaner'!$G$2:$G$10001,0)),"")</f>
        <v/>
      </c>
    </row>
    <row r="6707">
      <c r="A6707">
        <f>IFERROR(INDEX('Email Cleaner'!$B$2:$B$10001,MATCH(6706,'Email Cleaner'!$G$2:$G$10001,0)),"")</f>
        <v/>
      </c>
    </row>
    <row r="6708">
      <c r="A6708">
        <f>IFERROR(INDEX('Email Cleaner'!$B$2:$B$10001,MATCH(6707,'Email Cleaner'!$G$2:$G$10001,0)),"")</f>
        <v/>
      </c>
    </row>
    <row r="6709">
      <c r="A6709">
        <f>IFERROR(INDEX('Email Cleaner'!$B$2:$B$10001,MATCH(6708,'Email Cleaner'!$G$2:$G$10001,0)),"")</f>
        <v/>
      </c>
    </row>
    <row r="6710">
      <c r="A6710">
        <f>IFERROR(INDEX('Email Cleaner'!$B$2:$B$10001,MATCH(6709,'Email Cleaner'!$G$2:$G$10001,0)),"")</f>
        <v/>
      </c>
    </row>
    <row r="6711">
      <c r="A6711">
        <f>IFERROR(INDEX('Email Cleaner'!$B$2:$B$10001,MATCH(6710,'Email Cleaner'!$G$2:$G$10001,0)),"")</f>
        <v/>
      </c>
    </row>
    <row r="6712">
      <c r="A6712">
        <f>IFERROR(INDEX('Email Cleaner'!$B$2:$B$10001,MATCH(6711,'Email Cleaner'!$G$2:$G$10001,0)),"")</f>
        <v/>
      </c>
    </row>
    <row r="6713">
      <c r="A6713">
        <f>IFERROR(INDEX('Email Cleaner'!$B$2:$B$10001,MATCH(6712,'Email Cleaner'!$G$2:$G$10001,0)),"")</f>
        <v/>
      </c>
    </row>
    <row r="6714">
      <c r="A6714">
        <f>IFERROR(INDEX('Email Cleaner'!$B$2:$B$10001,MATCH(6713,'Email Cleaner'!$G$2:$G$10001,0)),"")</f>
        <v/>
      </c>
    </row>
    <row r="6715">
      <c r="A6715">
        <f>IFERROR(INDEX('Email Cleaner'!$B$2:$B$10001,MATCH(6714,'Email Cleaner'!$G$2:$G$10001,0)),"")</f>
        <v/>
      </c>
    </row>
    <row r="6716">
      <c r="A6716">
        <f>IFERROR(INDEX('Email Cleaner'!$B$2:$B$10001,MATCH(6715,'Email Cleaner'!$G$2:$G$10001,0)),"")</f>
        <v/>
      </c>
    </row>
    <row r="6717">
      <c r="A6717">
        <f>IFERROR(INDEX('Email Cleaner'!$B$2:$B$10001,MATCH(6716,'Email Cleaner'!$G$2:$G$10001,0)),"")</f>
        <v/>
      </c>
    </row>
    <row r="6718">
      <c r="A6718">
        <f>IFERROR(INDEX('Email Cleaner'!$B$2:$B$10001,MATCH(6717,'Email Cleaner'!$G$2:$G$10001,0)),"")</f>
        <v/>
      </c>
    </row>
    <row r="6719">
      <c r="A6719">
        <f>IFERROR(INDEX('Email Cleaner'!$B$2:$B$10001,MATCH(6718,'Email Cleaner'!$G$2:$G$10001,0)),"")</f>
        <v/>
      </c>
    </row>
    <row r="6720">
      <c r="A6720">
        <f>IFERROR(INDEX('Email Cleaner'!$B$2:$B$10001,MATCH(6719,'Email Cleaner'!$G$2:$G$10001,0)),"")</f>
        <v/>
      </c>
    </row>
    <row r="6721">
      <c r="A6721">
        <f>IFERROR(INDEX('Email Cleaner'!$B$2:$B$10001,MATCH(6720,'Email Cleaner'!$G$2:$G$10001,0)),"")</f>
        <v/>
      </c>
    </row>
    <row r="6722">
      <c r="A6722">
        <f>IFERROR(INDEX('Email Cleaner'!$B$2:$B$10001,MATCH(6721,'Email Cleaner'!$G$2:$G$10001,0)),"")</f>
        <v/>
      </c>
    </row>
    <row r="6723">
      <c r="A6723">
        <f>IFERROR(INDEX('Email Cleaner'!$B$2:$B$10001,MATCH(6722,'Email Cleaner'!$G$2:$G$10001,0)),"")</f>
        <v/>
      </c>
    </row>
    <row r="6724">
      <c r="A6724">
        <f>IFERROR(INDEX('Email Cleaner'!$B$2:$B$10001,MATCH(6723,'Email Cleaner'!$G$2:$G$10001,0)),"")</f>
        <v/>
      </c>
    </row>
    <row r="6725">
      <c r="A6725">
        <f>IFERROR(INDEX('Email Cleaner'!$B$2:$B$10001,MATCH(6724,'Email Cleaner'!$G$2:$G$10001,0)),"")</f>
        <v/>
      </c>
    </row>
    <row r="6726">
      <c r="A6726">
        <f>IFERROR(INDEX('Email Cleaner'!$B$2:$B$10001,MATCH(6725,'Email Cleaner'!$G$2:$G$10001,0)),"")</f>
        <v/>
      </c>
    </row>
    <row r="6727">
      <c r="A6727">
        <f>IFERROR(INDEX('Email Cleaner'!$B$2:$B$10001,MATCH(6726,'Email Cleaner'!$G$2:$G$10001,0)),"")</f>
        <v/>
      </c>
    </row>
    <row r="6728">
      <c r="A6728">
        <f>IFERROR(INDEX('Email Cleaner'!$B$2:$B$10001,MATCH(6727,'Email Cleaner'!$G$2:$G$10001,0)),"")</f>
        <v/>
      </c>
    </row>
    <row r="6729">
      <c r="A6729">
        <f>IFERROR(INDEX('Email Cleaner'!$B$2:$B$10001,MATCH(6728,'Email Cleaner'!$G$2:$G$10001,0)),"")</f>
        <v/>
      </c>
    </row>
    <row r="6730">
      <c r="A6730">
        <f>IFERROR(INDEX('Email Cleaner'!$B$2:$B$10001,MATCH(6729,'Email Cleaner'!$G$2:$G$10001,0)),"")</f>
        <v/>
      </c>
    </row>
    <row r="6731">
      <c r="A6731">
        <f>IFERROR(INDEX('Email Cleaner'!$B$2:$B$10001,MATCH(6730,'Email Cleaner'!$G$2:$G$10001,0)),"")</f>
        <v/>
      </c>
    </row>
    <row r="6732">
      <c r="A6732">
        <f>IFERROR(INDEX('Email Cleaner'!$B$2:$B$10001,MATCH(6731,'Email Cleaner'!$G$2:$G$10001,0)),"")</f>
        <v/>
      </c>
    </row>
    <row r="6733">
      <c r="A6733">
        <f>IFERROR(INDEX('Email Cleaner'!$B$2:$B$10001,MATCH(6732,'Email Cleaner'!$G$2:$G$10001,0)),"")</f>
        <v/>
      </c>
    </row>
    <row r="6734">
      <c r="A6734">
        <f>IFERROR(INDEX('Email Cleaner'!$B$2:$B$10001,MATCH(6733,'Email Cleaner'!$G$2:$G$10001,0)),"")</f>
        <v/>
      </c>
    </row>
    <row r="6735">
      <c r="A6735">
        <f>IFERROR(INDEX('Email Cleaner'!$B$2:$B$10001,MATCH(6734,'Email Cleaner'!$G$2:$G$10001,0)),"")</f>
        <v/>
      </c>
    </row>
    <row r="6736">
      <c r="A6736">
        <f>IFERROR(INDEX('Email Cleaner'!$B$2:$B$10001,MATCH(6735,'Email Cleaner'!$G$2:$G$10001,0)),"")</f>
        <v/>
      </c>
    </row>
    <row r="6737">
      <c r="A6737">
        <f>IFERROR(INDEX('Email Cleaner'!$B$2:$B$10001,MATCH(6736,'Email Cleaner'!$G$2:$G$10001,0)),"")</f>
        <v/>
      </c>
    </row>
    <row r="6738">
      <c r="A6738">
        <f>IFERROR(INDEX('Email Cleaner'!$B$2:$B$10001,MATCH(6737,'Email Cleaner'!$G$2:$G$10001,0)),"")</f>
        <v/>
      </c>
    </row>
    <row r="6739">
      <c r="A6739">
        <f>IFERROR(INDEX('Email Cleaner'!$B$2:$B$10001,MATCH(6738,'Email Cleaner'!$G$2:$G$10001,0)),"")</f>
        <v/>
      </c>
    </row>
    <row r="6740">
      <c r="A6740">
        <f>IFERROR(INDEX('Email Cleaner'!$B$2:$B$10001,MATCH(6739,'Email Cleaner'!$G$2:$G$10001,0)),"")</f>
        <v/>
      </c>
    </row>
    <row r="6741">
      <c r="A6741">
        <f>IFERROR(INDEX('Email Cleaner'!$B$2:$B$10001,MATCH(6740,'Email Cleaner'!$G$2:$G$10001,0)),"")</f>
        <v/>
      </c>
    </row>
    <row r="6742">
      <c r="A6742">
        <f>IFERROR(INDEX('Email Cleaner'!$B$2:$B$10001,MATCH(6741,'Email Cleaner'!$G$2:$G$10001,0)),"")</f>
        <v/>
      </c>
    </row>
    <row r="6743">
      <c r="A6743">
        <f>IFERROR(INDEX('Email Cleaner'!$B$2:$B$10001,MATCH(6742,'Email Cleaner'!$G$2:$G$10001,0)),"")</f>
        <v/>
      </c>
    </row>
    <row r="6744">
      <c r="A6744">
        <f>IFERROR(INDEX('Email Cleaner'!$B$2:$B$10001,MATCH(6743,'Email Cleaner'!$G$2:$G$10001,0)),"")</f>
        <v/>
      </c>
    </row>
    <row r="6745">
      <c r="A6745">
        <f>IFERROR(INDEX('Email Cleaner'!$B$2:$B$10001,MATCH(6744,'Email Cleaner'!$G$2:$G$10001,0)),"")</f>
        <v/>
      </c>
    </row>
    <row r="6746">
      <c r="A6746">
        <f>IFERROR(INDEX('Email Cleaner'!$B$2:$B$10001,MATCH(6745,'Email Cleaner'!$G$2:$G$10001,0)),"")</f>
        <v/>
      </c>
    </row>
    <row r="6747">
      <c r="A6747">
        <f>IFERROR(INDEX('Email Cleaner'!$B$2:$B$10001,MATCH(6746,'Email Cleaner'!$G$2:$G$10001,0)),"")</f>
        <v/>
      </c>
    </row>
    <row r="6748">
      <c r="A6748">
        <f>IFERROR(INDEX('Email Cleaner'!$B$2:$B$10001,MATCH(6747,'Email Cleaner'!$G$2:$G$10001,0)),"")</f>
        <v/>
      </c>
    </row>
    <row r="6749">
      <c r="A6749">
        <f>IFERROR(INDEX('Email Cleaner'!$B$2:$B$10001,MATCH(6748,'Email Cleaner'!$G$2:$G$10001,0)),"")</f>
        <v/>
      </c>
    </row>
    <row r="6750">
      <c r="A6750">
        <f>IFERROR(INDEX('Email Cleaner'!$B$2:$B$10001,MATCH(6749,'Email Cleaner'!$G$2:$G$10001,0)),"")</f>
        <v/>
      </c>
    </row>
    <row r="6751">
      <c r="A6751">
        <f>IFERROR(INDEX('Email Cleaner'!$B$2:$B$10001,MATCH(6750,'Email Cleaner'!$G$2:$G$10001,0)),"")</f>
        <v/>
      </c>
    </row>
    <row r="6752">
      <c r="A6752">
        <f>IFERROR(INDEX('Email Cleaner'!$B$2:$B$10001,MATCH(6751,'Email Cleaner'!$G$2:$G$10001,0)),"")</f>
        <v/>
      </c>
    </row>
    <row r="6753">
      <c r="A6753">
        <f>IFERROR(INDEX('Email Cleaner'!$B$2:$B$10001,MATCH(6752,'Email Cleaner'!$G$2:$G$10001,0)),"")</f>
        <v/>
      </c>
    </row>
    <row r="6754">
      <c r="A6754">
        <f>IFERROR(INDEX('Email Cleaner'!$B$2:$B$10001,MATCH(6753,'Email Cleaner'!$G$2:$G$10001,0)),"")</f>
        <v/>
      </c>
    </row>
    <row r="6755">
      <c r="A6755">
        <f>IFERROR(INDEX('Email Cleaner'!$B$2:$B$10001,MATCH(6754,'Email Cleaner'!$G$2:$G$10001,0)),"")</f>
        <v/>
      </c>
    </row>
    <row r="6756">
      <c r="A6756">
        <f>IFERROR(INDEX('Email Cleaner'!$B$2:$B$10001,MATCH(6755,'Email Cleaner'!$G$2:$G$10001,0)),"")</f>
        <v/>
      </c>
    </row>
    <row r="6757">
      <c r="A6757">
        <f>IFERROR(INDEX('Email Cleaner'!$B$2:$B$10001,MATCH(6756,'Email Cleaner'!$G$2:$G$10001,0)),"")</f>
        <v/>
      </c>
    </row>
    <row r="6758">
      <c r="A6758">
        <f>IFERROR(INDEX('Email Cleaner'!$B$2:$B$10001,MATCH(6757,'Email Cleaner'!$G$2:$G$10001,0)),"")</f>
        <v/>
      </c>
    </row>
    <row r="6759">
      <c r="A6759">
        <f>IFERROR(INDEX('Email Cleaner'!$B$2:$B$10001,MATCH(6758,'Email Cleaner'!$G$2:$G$10001,0)),"")</f>
        <v/>
      </c>
    </row>
    <row r="6760">
      <c r="A6760">
        <f>IFERROR(INDEX('Email Cleaner'!$B$2:$B$10001,MATCH(6759,'Email Cleaner'!$G$2:$G$10001,0)),"")</f>
        <v/>
      </c>
    </row>
    <row r="6761">
      <c r="A6761">
        <f>IFERROR(INDEX('Email Cleaner'!$B$2:$B$10001,MATCH(6760,'Email Cleaner'!$G$2:$G$10001,0)),"")</f>
        <v/>
      </c>
    </row>
    <row r="6762">
      <c r="A6762">
        <f>IFERROR(INDEX('Email Cleaner'!$B$2:$B$10001,MATCH(6761,'Email Cleaner'!$G$2:$G$10001,0)),"")</f>
        <v/>
      </c>
    </row>
    <row r="6763">
      <c r="A6763">
        <f>IFERROR(INDEX('Email Cleaner'!$B$2:$B$10001,MATCH(6762,'Email Cleaner'!$G$2:$G$10001,0)),"")</f>
        <v/>
      </c>
    </row>
    <row r="6764">
      <c r="A6764">
        <f>IFERROR(INDEX('Email Cleaner'!$B$2:$B$10001,MATCH(6763,'Email Cleaner'!$G$2:$G$10001,0)),"")</f>
        <v/>
      </c>
    </row>
    <row r="6765">
      <c r="A6765">
        <f>IFERROR(INDEX('Email Cleaner'!$B$2:$B$10001,MATCH(6764,'Email Cleaner'!$G$2:$G$10001,0)),"")</f>
        <v/>
      </c>
    </row>
    <row r="6766">
      <c r="A6766">
        <f>IFERROR(INDEX('Email Cleaner'!$B$2:$B$10001,MATCH(6765,'Email Cleaner'!$G$2:$G$10001,0)),"")</f>
        <v/>
      </c>
    </row>
    <row r="6767">
      <c r="A6767">
        <f>IFERROR(INDEX('Email Cleaner'!$B$2:$B$10001,MATCH(6766,'Email Cleaner'!$G$2:$G$10001,0)),"")</f>
        <v/>
      </c>
    </row>
    <row r="6768">
      <c r="A6768">
        <f>IFERROR(INDEX('Email Cleaner'!$B$2:$B$10001,MATCH(6767,'Email Cleaner'!$G$2:$G$10001,0)),"")</f>
        <v/>
      </c>
    </row>
    <row r="6769">
      <c r="A6769">
        <f>IFERROR(INDEX('Email Cleaner'!$B$2:$B$10001,MATCH(6768,'Email Cleaner'!$G$2:$G$10001,0)),"")</f>
        <v/>
      </c>
    </row>
    <row r="6770">
      <c r="A6770">
        <f>IFERROR(INDEX('Email Cleaner'!$B$2:$B$10001,MATCH(6769,'Email Cleaner'!$G$2:$G$10001,0)),"")</f>
        <v/>
      </c>
    </row>
    <row r="6771">
      <c r="A6771">
        <f>IFERROR(INDEX('Email Cleaner'!$B$2:$B$10001,MATCH(6770,'Email Cleaner'!$G$2:$G$10001,0)),"")</f>
        <v/>
      </c>
    </row>
    <row r="6772">
      <c r="A6772">
        <f>IFERROR(INDEX('Email Cleaner'!$B$2:$B$10001,MATCH(6771,'Email Cleaner'!$G$2:$G$10001,0)),"")</f>
        <v/>
      </c>
    </row>
    <row r="6773">
      <c r="A6773">
        <f>IFERROR(INDEX('Email Cleaner'!$B$2:$B$10001,MATCH(6772,'Email Cleaner'!$G$2:$G$10001,0)),"")</f>
        <v/>
      </c>
    </row>
    <row r="6774">
      <c r="A6774">
        <f>IFERROR(INDEX('Email Cleaner'!$B$2:$B$10001,MATCH(6773,'Email Cleaner'!$G$2:$G$10001,0)),"")</f>
        <v/>
      </c>
    </row>
    <row r="6775">
      <c r="A6775">
        <f>IFERROR(INDEX('Email Cleaner'!$B$2:$B$10001,MATCH(6774,'Email Cleaner'!$G$2:$G$10001,0)),"")</f>
        <v/>
      </c>
    </row>
    <row r="6776">
      <c r="A6776">
        <f>IFERROR(INDEX('Email Cleaner'!$B$2:$B$10001,MATCH(6775,'Email Cleaner'!$G$2:$G$10001,0)),"")</f>
        <v/>
      </c>
    </row>
    <row r="6777">
      <c r="A6777">
        <f>IFERROR(INDEX('Email Cleaner'!$B$2:$B$10001,MATCH(6776,'Email Cleaner'!$G$2:$G$10001,0)),"")</f>
        <v/>
      </c>
    </row>
    <row r="6778">
      <c r="A6778">
        <f>IFERROR(INDEX('Email Cleaner'!$B$2:$B$10001,MATCH(6777,'Email Cleaner'!$G$2:$G$10001,0)),"")</f>
        <v/>
      </c>
    </row>
    <row r="6779">
      <c r="A6779">
        <f>IFERROR(INDEX('Email Cleaner'!$B$2:$B$10001,MATCH(6778,'Email Cleaner'!$G$2:$G$10001,0)),"")</f>
        <v/>
      </c>
    </row>
    <row r="6780">
      <c r="A6780">
        <f>IFERROR(INDEX('Email Cleaner'!$B$2:$B$10001,MATCH(6779,'Email Cleaner'!$G$2:$G$10001,0)),"")</f>
        <v/>
      </c>
    </row>
    <row r="6781">
      <c r="A6781">
        <f>IFERROR(INDEX('Email Cleaner'!$B$2:$B$10001,MATCH(6780,'Email Cleaner'!$G$2:$G$10001,0)),"")</f>
        <v/>
      </c>
    </row>
    <row r="6782">
      <c r="A6782">
        <f>IFERROR(INDEX('Email Cleaner'!$B$2:$B$10001,MATCH(6781,'Email Cleaner'!$G$2:$G$10001,0)),"")</f>
        <v/>
      </c>
    </row>
    <row r="6783">
      <c r="A6783">
        <f>IFERROR(INDEX('Email Cleaner'!$B$2:$B$10001,MATCH(6782,'Email Cleaner'!$G$2:$G$10001,0)),"")</f>
        <v/>
      </c>
    </row>
    <row r="6784">
      <c r="A6784">
        <f>IFERROR(INDEX('Email Cleaner'!$B$2:$B$10001,MATCH(6783,'Email Cleaner'!$G$2:$G$10001,0)),"")</f>
        <v/>
      </c>
    </row>
    <row r="6785">
      <c r="A6785">
        <f>IFERROR(INDEX('Email Cleaner'!$B$2:$B$10001,MATCH(6784,'Email Cleaner'!$G$2:$G$10001,0)),"")</f>
        <v/>
      </c>
    </row>
    <row r="6786">
      <c r="A6786">
        <f>IFERROR(INDEX('Email Cleaner'!$B$2:$B$10001,MATCH(6785,'Email Cleaner'!$G$2:$G$10001,0)),"")</f>
        <v/>
      </c>
    </row>
    <row r="6787">
      <c r="A6787">
        <f>IFERROR(INDEX('Email Cleaner'!$B$2:$B$10001,MATCH(6786,'Email Cleaner'!$G$2:$G$10001,0)),"")</f>
        <v/>
      </c>
    </row>
    <row r="6788">
      <c r="A6788">
        <f>IFERROR(INDEX('Email Cleaner'!$B$2:$B$10001,MATCH(6787,'Email Cleaner'!$G$2:$G$10001,0)),"")</f>
        <v/>
      </c>
    </row>
    <row r="6789">
      <c r="A6789">
        <f>IFERROR(INDEX('Email Cleaner'!$B$2:$B$10001,MATCH(6788,'Email Cleaner'!$G$2:$G$10001,0)),"")</f>
        <v/>
      </c>
    </row>
    <row r="6790">
      <c r="A6790">
        <f>IFERROR(INDEX('Email Cleaner'!$B$2:$B$10001,MATCH(6789,'Email Cleaner'!$G$2:$G$10001,0)),"")</f>
        <v/>
      </c>
    </row>
    <row r="6791">
      <c r="A6791">
        <f>IFERROR(INDEX('Email Cleaner'!$B$2:$B$10001,MATCH(6790,'Email Cleaner'!$G$2:$G$10001,0)),"")</f>
        <v/>
      </c>
    </row>
    <row r="6792">
      <c r="A6792">
        <f>IFERROR(INDEX('Email Cleaner'!$B$2:$B$10001,MATCH(6791,'Email Cleaner'!$G$2:$G$10001,0)),"")</f>
        <v/>
      </c>
    </row>
    <row r="6793">
      <c r="A6793">
        <f>IFERROR(INDEX('Email Cleaner'!$B$2:$B$10001,MATCH(6792,'Email Cleaner'!$G$2:$G$10001,0)),"")</f>
        <v/>
      </c>
    </row>
    <row r="6794">
      <c r="A6794">
        <f>IFERROR(INDEX('Email Cleaner'!$B$2:$B$10001,MATCH(6793,'Email Cleaner'!$G$2:$G$10001,0)),"")</f>
        <v/>
      </c>
    </row>
    <row r="6795">
      <c r="A6795">
        <f>IFERROR(INDEX('Email Cleaner'!$B$2:$B$10001,MATCH(6794,'Email Cleaner'!$G$2:$G$10001,0)),"")</f>
        <v/>
      </c>
    </row>
    <row r="6796">
      <c r="A6796">
        <f>IFERROR(INDEX('Email Cleaner'!$B$2:$B$10001,MATCH(6795,'Email Cleaner'!$G$2:$G$10001,0)),"")</f>
        <v/>
      </c>
    </row>
    <row r="6797">
      <c r="A6797">
        <f>IFERROR(INDEX('Email Cleaner'!$B$2:$B$10001,MATCH(6796,'Email Cleaner'!$G$2:$G$10001,0)),"")</f>
        <v/>
      </c>
    </row>
    <row r="6798">
      <c r="A6798">
        <f>IFERROR(INDEX('Email Cleaner'!$B$2:$B$10001,MATCH(6797,'Email Cleaner'!$G$2:$G$10001,0)),"")</f>
        <v/>
      </c>
    </row>
    <row r="6799">
      <c r="A6799">
        <f>IFERROR(INDEX('Email Cleaner'!$B$2:$B$10001,MATCH(6798,'Email Cleaner'!$G$2:$G$10001,0)),"")</f>
        <v/>
      </c>
    </row>
    <row r="6800">
      <c r="A6800">
        <f>IFERROR(INDEX('Email Cleaner'!$B$2:$B$10001,MATCH(6799,'Email Cleaner'!$G$2:$G$10001,0)),"")</f>
        <v/>
      </c>
    </row>
    <row r="6801">
      <c r="A6801">
        <f>IFERROR(INDEX('Email Cleaner'!$B$2:$B$10001,MATCH(6800,'Email Cleaner'!$G$2:$G$10001,0)),"")</f>
        <v/>
      </c>
    </row>
    <row r="6802">
      <c r="A6802">
        <f>IFERROR(INDEX('Email Cleaner'!$B$2:$B$10001,MATCH(6801,'Email Cleaner'!$G$2:$G$10001,0)),"")</f>
        <v/>
      </c>
    </row>
    <row r="6803">
      <c r="A6803">
        <f>IFERROR(INDEX('Email Cleaner'!$B$2:$B$10001,MATCH(6802,'Email Cleaner'!$G$2:$G$10001,0)),"")</f>
        <v/>
      </c>
    </row>
    <row r="6804">
      <c r="A6804">
        <f>IFERROR(INDEX('Email Cleaner'!$B$2:$B$10001,MATCH(6803,'Email Cleaner'!$G$2:$G$10001,0)),"")</f>
        <v/>
      </c>
    </row>
    <row r="6805">
      <c r="A6805">
        <f>IFERROR(INDEX('Email Cleaner'!$B$2:$B$10001,MATCH(6804,'Email Cleaner'!$G$2:$G$10001,0)),"")</f>
        <v/>
      </c>
    </row>
    <row r="6806">
      <c r="A6806">
        <f>IFERROR(INDEX('Email Cleaner'!$B$2:$B$10001,MATCH(6805,'Email Cleaner'!$G$2:$G$10001,0)),"")</f>
        <v/>
      </c>
    </row>
    <row r="6807">
      <c r="A6807">
        <f>IFERROR(INDEX('Email Cleaner'!$B$2:$B$10001,MATCH(6806,'Email Cleaner'!$G$2:$G$10001,0)),"")</f>
        <v/>
      </c>
    </row>
    <row r="6808">
      <c r="A6808">
        <f>IFERROR(INDEX('Email Cleaner'!$B$2:$B$10001,MATCH(6807,'Email Cleaner'!$G$2:$G$10001,0)),"")</f>
        <v/>
      </c>
    </row>
    <row r="6809">
      <c r="A6809">
        <f>IFERROR(INDEX('Email Cleaner'!$B$2:$B$10001,MATCH(6808,'Email Cleaner'!$G$2:$G$10001,0)),"")</f>
        <v/>
      </c>
    </row>
    <row r="6810">
      <c r="A6810">
        <f>IFERROR(INDEX('Email Cleaner'!$B$2:$B$10001,MATCH(6809,'Email Cleaner'!$G$2:$G$10001,0)),"")</f>
        <v/>
      </c>
    </row>
    <row r="6811">
      <c r="A6811">
        <f>IFERROR(INDEX('Email Cleaner'!$B$2:$B$10001,MATCH(6810,'Email Cleaner'!$G$2:$G$10001,0)),"")</f>
        <v/>
      </c>
    </row>
    <row r="6812">
      <c r="A6812">
        <f>IFERROR(INDEX('Email Cleaner'!$B$2:$B$10001,MATCH(6811,'Email Cleaner'!$G$2:$G$10001,0)),"")</f>
        <v/>
      </c>
    </row>
    <row r="6813">
      <c r="A6813">
        <f>IFERROR(INDEX('Email Cleaner'!$B$2:$B$10001,MATCH(6812,'Email Cleaner'!$G$2:$G$10001,0)),"")</f>
        <v/>
      </c>
    </row>
    <row r="6814">
      <c r="A6814">
        <f>IFERROR(INDEX('Email Cleaner'!$B$2:$B$10001,MATCH(6813,'Email Cleaner'!$G$2:$G$10001,0)),"")</f>
        <v/>
      </c>
    </row>
    <row r="6815">
      <c r="A6815">
        <f>IFERROR(INDEX('Email Cleaner'!$B$2:$B$10001,MATCH(6814,'Email Cleaner'!$G$2:$G$10001,0)),"")</f>
        <v/>
      </c>
    </row>
    <row r="6816">
      <c r="A6816">
        <f>IFERROR(INDEX('Email Cleaner'!$B$2:$B$10001,MATCH(6815,'Email Cleaner'!$G$2:$G$10001,0)),"")</f>
        <v/>
      </c>
    </row>
    <row r="6817">
      <c r="A6817">
        <f>IFERROR(INDEX('Email Cleaner'!$B$2:$B$10001,MATCH(6816,'Email Cleaner'!$G$2:$G$10001,0)),"")</f>
        <v/>
      </c>
    </row>
    <row r="6818">
      <c r="A6818">
        <f>IFERROR(INDEX('Email Cleaner'!$B$2:$B$10001,MATCH(6817,'Email Cleaner'!$G$2:$G$10001,0)),"")</f>
        <v/>
      </c>
    </row>
    <row r="6819">
      <c r="A6819">
        <f>IFERROR(INDEX('Email Cleaner'!$B$2:$B$10001,MATCH(6818,'Email Cleaner'!$G$2:$G$10001,0)),"")</f>
        <v/>
      </c>
    </row>
    <row r="6820">
      <c r="A6820">
        <f>IFERROR(INDEX('Email Cleaner'!$B$2:$B$10001,MATCH(6819,'Email Cleaner'!$G$2:$G$10001,0)),"")</f>
        <v/>
      </c>
    </row>
    <row r="6821">
      <c r="A6821">
        <f>IFERROR(INDEX('Email Cleaner'!$B$2:$B$10001,MATCH(6820,'Email Cleaner'!$G$2:$G$10001,0)),"")</f>
        <v/>
      </c>
    </row>
    <row r="6822">
      <c r="A6822">
        <f>IFERROR(INDEX('Email Cleaner'!$B$2:$B$10001,MATCH(6821,'Email Cleaner'!$G$2:$G$10001,0)),"")</f>
        <v/>
      </c>
    </row>
    <row r="6823">
      <c r="A6823">
        <f>IFERROR(INDEX('Email Cleaner'!$B$2:$B$10001,MATCH(6822,'Email Cleaner'!$G$2:$G$10001,0)),"")</f>
        <v/>
      </c>
    </row>
    <row r="6824">
      <c r="A6824">
        <f>IFERROR(INDEX('Email Cleaner'!$B$2:$B$10001,MATCH(6823,'Email Cleaner'!$G$2:$G$10001,0)),"")</f>
        <v/>
      </c>
    </row>
    <row r="6825">
      <c r="A6825">
        <f>IFERROR(INDEX('Email Cleaner'!$B$2:$B$10001,MATCH(6824,'Email Cleaner'!$G$2:$G$10001,0)),"")</f>
        <v/>
      </c>
    </row>
    <row r="6826">
      <c r="A6826">
        <f>IFERROR(INDEX('Email Cleaner'!$B$2:$B$10001,MATCH(6825,'Email Cleaner'!$G$2:$G$10001,0)),"")</f>
        <v/>
      </c>
    </row>
    <row r="6827">
      <c r="A6827">
        <f>IFERROR(INDEX('Email Cleaner'!$B$2:$B$10001,MATCH(6826,'Email Cleaner'!$G$2:$G$10001,0)),"")</f>
        <v/>
      </c>
    </row>
    <row r="6828">
      <c r="A6828">
        <f>IFERROR(INDEX('Email Cleaner'!$B$2:$B$10001,MATCH(6827,'Email Cleaner'!$G$2:$G$10001,0)),"")</f>
        <v/>
      </c>
    </row>
    <row r="6829">
      <c r="A6829">
        <f>IFERROR(INDEX('Email Cleaner'!$B$2:$B$10001,MATCH(6828,'Email Cleaner'!$G$2:$G$10001,0)),"")</f>
        <v/>
      </c>
    </row>
    <row r="6830">
      <c r="A6830">
        <f>IFERROR(INDEX('Email Cleaner'!$B$2:$B$10001,MATCH(6829,'Email Cleaner'!$G$2:$G$10001,0)),"")</f>
        <v/>
      </c>
    </row>
    <row r="6831">
      <c r="A6831">
        <f>IFERROR(INDEX('Email Cleaner'!$B$2:$B$10001,MATCH(6830,'Email Cleaner'!$G$2:$G$10001,0)),"")</f>
        <v/>
      </c>
    </row>
    <row r="6832">
      <c r="A6832">
        <f>IFERROR(INDEX('Email Cleaner'!$B$2:$B$10001,MATCH(6831,'Email Cleaner'!$G$2:$G$10001,0)),"")</f>
        <v/>
      </c>
    </row>
    <row r="6833">
      <c r="A6833">
        <f>IFERROR(INDEX('Email Cleaner'!$B$2:$B$10001,MATCH(6832,'Email Cleaner'!$G$2:$G$10001,0)),"")</f>
        <v/>
      </c>
    </row>
    <row r="6834">
      <c r="A6834">
        <f>IFERROR(INDEX('Email Cleaner'!$B$2:$B$10001,MATCH(6833,'Email Cleaner'!$G$2:$G$10001,0)),"")</f>
        <v/>
      </c>
    </row>
    <row r="6835">
      <c r="A6835">
        <f>IFERROR(INDEX('Email Cleaner'!$B$2:$B$10001,MATCH(6834,'Email Cleaner'!$G$2:$G$10001,0)),"")</f>
        <v/>
      </c>
    </row>
    <row r="6836">
      <c r="A6836">
        <f>IFERROR(INDEX('Email Cleaner'!$B$2:$B$10001,MATCH(6835,'Email Cleaner'!$G$2:$G$10001,0)),"")</f>
        <v/>
      </c>
    </row>
    <row r="6837">
      <c r="A6837">
        <f>IFERROR(INDEX('Email Cleaner'!$B$2:$B$10001,MATCH(6836,'Email Cleaner'!$G$2:$G$10001,0)),"")</f>
        <v/>
      </c>
    </row>
    <row r="6838">
      <c r="A6838">
        <f>IFERROR(INDEX('Email Cleaner'!$B$2:$B$10001,MATCH(6837,'Email Cleaner'!$G$2:$G$10001,0)),"")</f>
        <v/>
      </c>
    </row>
    <row r="6839">
      <c r="A6839">
        <f>IFERROR(INDEX('Email Cleaner'!$B$2:$B$10001,MATCH(6838,'Email Cleaner'!$G$2:$G$10001,0)),"")</f>
        <v/>
      </c>
    </row>
    <row r="6840">
      <c r="A6840">
        <f>IFERROR(INDEX('Email Cleaner'!$B$2:$B$10001,MATCH(6839,'Email Cleaner'!$G$2:$G$10001,0)),"")</f>
        <v/>
      </c>
    </row>
    <row r="6841">
      <c r="A6841">
        <f>IFERROR(INDEX('Email Cleaner'!$B$2:$B$10001,MATCH(6840,'Email Cleaner'!$G$2:$G$10001,0)),"")</f>
        <v/>
      </c>
    </row>
    <row r="6842">
      <c r="A6842">
        <f>IFERROR(INDEX('Email Cleaner'!$B$2:$B$10001,MATCH(6841,'Email Cleaner'!$G$2:$G$10001,0)),"")</f>
        <v/>
      </c>
    </row>
    <row r="6843">
      <c r="A6843">
        <f>IFERROR(INDEX('Email Cleaner'!$B$2:$B$10001,MATCH(6842,'Email Cleaner'!$G$2:$G$10001,0)),"")</f>
        <v/>
      </c>
    </row>
    <row r="6844">
      <c r="A6844">
        <f>IFERROR(INDEX('Email Cleaner'!$B$2:$B$10001,MATCH(6843,'Email Cleaner'!$G$2:$G$10001,0)),"")</f>
        <v/>
      </c>
    </row>
    <row r="6845">
      <c r="A6845">
        <f>IFERROR(INDEX('Email Cleaner'!$B$2:$B$10001,MATCH(6844,'Email Cleaner'!$G$2:$G$10001,0)),"")</f>
        <v/>
      </c>
    </row>
    <row r="6846">
      <c r="A6846">
        <f>IFERROR(INDEX('Email Cleaner'!$B$2:$B$10001,MATCH(6845,'Email Cleaner'!$G$2:$G$10001,0)),"")</f>
        <v/>
      </c>
    </row>
    <row r="6847">
      <c r="A6847">
        <f>IFERROR(INDEX('Email Cleaner'!$B$2:$B$10001,MATCH(6846,'Email Cleaner'!$G$2:$G$10001,0)),"")</f>
        <v/>
      </c>
    </row>
    <row r="6848">
      <c r="A6848">
        <f>IFERROR(INDEX('Email Cleaner'!$B$2:$B$10001,MATCH(6847,'Email Cleaner'!$G$2:$G$10001,0)),"")</f>
        <v/>
      </c>
    </row>
    <row r="6849">
      <c r="A6849">
        <f>IFERROR(INDEX('Email Cleaner'!$B$2:$B$10001,MATCH(6848,'Email Cleaner'!$G$2:$G$10001,0)),"")</f>
        <v/>
      </c>
    </row>
    <row r="6850">
      <c r="A6850">
        <f>IFERROR(INDEX('Email Cleaner'!$B$2:$B$10001,MATCH(6849,'Email Cleaner'!$G$2:$G$10001,0)),"")</f>
        <v/>
      </c>
    </row>
    <row r="6851">
      <c r="A6851">
        <f>IFERROR(INDEX('Email Cleaner'!$B$2:$B$10001,MATCH(6850,'Email Cleaner'!$G$2:$G$10001,0)),"")</f>
        <v/>
      </c>
    </row>
    <row r="6852">
      <c r="A6852">
        <f>IFERROR(INDEX('Email Cleaner'!$B$2:$B$10001,MATCH(6851,'Email Cleaner'!$G$2:$G$10001,0)),"")</f>
        <v/>
      </c>
    </row>
    <row r="6853">
      <c r="A6853">
        <f>IFERROR(INDEX('Email Cleaner'!$B$2:$B$10001,MATCH(6852,'Email Cleaner'!$G$2:$G$10001,0)),"")</f>
        <v/>
      </c>
    </row>
    <row r="6854">
      <c r="A6854">
        <f>IFERROR(INDEX('Email Cleaner'!$B$2:$B$10001,MATCH(6853,'Email Cleaner'!$G$2:$G$10001,0)),"")</f>
        <v/>
      </c>
    </row>
    <row r="6855">
      <c r="A6855">
        <f>IFERROR(INDEX('Email Cleaner'!$B$2:$B$10001,MATCH(6854,'Email Cleaner'!$G$2:$G$10001,0)),"")</f>
        <v/>
      </c>
    </row>
    <row r="6856">
      <c r="A6856">
        <f>IFERROR(INDEX('Email Cleaner'!$B$2:$B$10001,MATCH(6855,'Email Cleaner'!$G$2:$G$10001,0)),"")</f>
        <v/>
      </c>
    </row>
    <row r="6857">
      <c r="A6857">
        <f>IFERROR(INDEX('Email Cleaner'!$B$2:$B$10001,MATCH(6856,'Email Cleaner'!$G$2:$G$10001,0)),"")</f>
        <v/>
      </c>
    </row>
    <row r="6858">
      <c r="A6858">
        <f>IFERROR(INDEX('Email Cleaner'!$B$2:$B$10001,MATCH(6857,'Email Cleaner'!$G$2:$G$10001,0)),"")</f>
        <v/>
      </c>
    </row>
    <row r="6859">
      <c r="A6859">
        <f>IFERROR(INDEX('Email Cleaner'!$B$2:$B$10001,MATCH(6858,'Email Cleaner'!$G$2:$G$10001,0)),"")</f>
        <v/>
      </c>
    </row>
    <row r="6860">
      <c r="A6860">
        <f>IFERROR(INDEX('Email Cleaner'!$B$2:$B$10001,MATCH(6859,'Email Cleaner'!$G$2:$G$10001,0)),"")</f>
        <v/>
      </c>
    </row>
    <row r="6861">
      <c r="A6861">
        <f>IFERROR(INDEX('Email Cleaner'!$B$2:$B$10001,MATCH(6860,'Email Cleaner'!$G$2:$G$10001,0)),"")</f>
        <v/>
      </c>
    </row>
    <row r="6862">
      <c r="A6862">
        <f>IFERROR(INDEX('Email Cleaner'!$B$2:$B$10001,MATCH(6861,'Email Cleaner'!$G$2:$G$10001,0)),"")</f>
        <v/>
      </c>
    </row>
    <row r="6863">
      <c r="A6863">
        <f>IFERROR(INDEX('Email Cleaner'!$B$2:$B$10001,MATCH(6862,'Email Cleaner'!$G$2:$G$10001,0)),"")</f>
        <v/>
      </c>
    </row>
    <row r="6864">
      <c r="A6864">
        <f>IFERROR(INDEX('Email Cleaner'!$B$2:$B$10001,MATCH(6863,'Email Cleaner'!$G$2:$G$10001,0)),"")</f>
        <v/>
      </c>
    </row>
    <row r="6865">
      <c r="A6865">
        <f>IFERROR(INDEX('Email Cleaner'!$B$2:$B$10001,MATCH(6864,'Email Cleaner'!$G$2:$G$10001,0)),"")</f>
        <v/>
      </c>
    </row>
    <row r="6866">
      <c r="A6866">
        <f>IFERROR(INDEX('Email Cleaner'!$B$2:$B$10001,MATCH(6865,'Email Cleaner'!$G$2:$G$10001,0)),"")</f>
        <v/>
      </c>
    </row>
    <row r="6867">
      <c r="A6867">
        <f>IFERROR(INDEX('Email Cleaner'!$B$2:$B$10001,MATCH(6866,'Email Cleaner'!$G$2:$G$10001,0)),"")</f>
        <v/>
      </c>
    </row>
    <row r="6868">
      <c r="A6868">
        <f>IFERROR(INDEX('Email Cleaner'!$B$2:$B$10001,MATCH(6867,'Email Cleaner'!$G$2:$G$10001,0)),"")</f>
        <v/>
      </c>
    </row>
    <row r="6869">
      <c r="A6869">
        <f>IFERROR(INDEX('Email Cleaner'!$B$2:$B$10001,MATCH(6868,'Email Cleaner'!$G$2:$G$10001,0)),"")</f>
        <v/>
      </c>
    </row>
    <row r="6870">
      <c r="A6870">
        <f>IFERROR(INDEX('Email Cleaner'!$B$2:$B$10001,MATCH(6869,'Email Cleaner'!$G$2:$G$10001,0)),"")</f>
        <v/>
      </c>
    </row>
    <row r="6871">
      <c r="A6871">
        <f>IFERROR(INDEX('Email Cleaner'!$B$2:$B$10001,MATCH(6870,'Email Cleaner'!$G$2:$G$10001,0)),"")</f>
        <v/>
      </c>
    </row>
    <row r="6872">
      <c r="A6872">
        <f>IFERROR(INDEX('Email Cleaner'!$B$2:$B$10001,MATCH(6871,'Email Cleaner'!$G$2:$G$10001,0)),"")</f>
        <v/>
      </c>
    </row>
    <row r="6873">
      <c r="A6873">
        <f>IFERROR(INDEX('Email Cleaner'!$B$2:$B$10001,MATCH(6872,'Email Cleaner'!$G$2:$G$10001,0)),"")</f>
        <v/>
      </c>
    </row>
    <row r="6874">
      <c r="A6874">
        <f>IFERROR(INDEX('Email Cleaner'!$B$2:$B$10001,MATCH(6873,'Email Cleaner'!$G$2:$G$10001,0)),"")</f>
        <v/>
      </c>
    </row>
    <row r="6875">
      <c r="A6875">
        <f>IFERROR(INDEX('Email Cleaner'!$B$2:$B$10001,MATCH(6874,'Email Cleaner'!$G$2:$G$10001,0)),"")</f>
        <v/>
      </c>
    </row>
    <row r="6876">
      <c r="A6876">
        <f>IFERROR(INDEX('Email Cleaner'!$B$2:$B$10001,MATCH(6875,'Email Cleaner'!$G$2:$G$10001,0)),"")</f>
        <v/>
      </c>
    </row>
    <row r="6877">
      <c r="A6877">
        <f>IFERROR(INDEX('Email Cleaner'!$B$2:$B$10001,MATCH(6876,'Email Cleaner'!$G$2:$G$10001,0)),"")</f>
        <v/>
      </c>
    </row>
    <row r="6878">
      <c r="A6878">
        <f>IFERROR(INDEX('Email Cleaner'!$B$2:$B$10001,MATCH(6877,'Email Cleaner'!$G$2:$G$10001,0)),"")</f>
        <v/>
      </c>
    </row>
    <row r="6879">
      <c r="A6879">
        <f>IFERROR(INDEX('Email Cleaner'!$B$2:$B$10001,MATCH(6878,'Email Cleaner'!$G$2:$G$10001,0)),"")</f>
        <v/>
      </c>
    </row>
    <row r="6880">
      <c r="A6880">
        <f>IFERROR(INDEX('Email Cleaner'!$B$2:$B$10001,MATCH(6879,'Email Cleaner'!$G$2:$G$10001,0)),"")</f>
        <v/>
      </c>
    </row>
    <row r="6881">
      <c r="A6881">
        <f>IFERROR(INDEX('Email Cleaner'!$B$2:$B$10001,MATCH(6880,'Email Cleaner'!$G$2:$G$10001,0)),"")</f>
        <v/>
      </c>
    </row>
    <row r="6882">
      <c r="A6882">
        <f>IFERROR(INDEX('Email Cleaner'!$B$2:$B$10001,MATCH(6881,'Email Cleaner'!$G$2:$G$10001,0)),"")</f>
        <v/>
      </c>
    </row>
    <row r="6883">
      <c r="A6883">
        <f>IFERROR(INDEX('Email Cleaner'!$B$2:$B$10001,MATCH(6882,'Email Cleaner'!$G$2:$G$10001,0)),"")</f>
        <v/>
      </c>
    </row>
    <row r="6884">
      <c r="A6884">
        <f>IFERROR(INDEX('Email Cleaner'!$B$2:$B$10001,MATCH(6883,'Email Cleaner'!$G$2:$G$10001,0)),"")</f>
        <v/>
      </c>
    </row>
    <row r="6885">
      <c r="A6885">
        <f>IFERROR(INDEX('Email Cleaner'!$B$2:$B$10001,MATCH(6884,'Email Cleaner'!$G$2:$G$10001,0)),"")</f>
        <v/>
      </c>
    </row>
    <row r="6886">
      <c r="A6886">
        <f>IFERROR(INDEX('Email Cleaner'!$B$2:$B$10001,MATCH(6885,'Email Cleaner'!$G$2:$G$10001,0)),"")</f>
        <v/>
      </c>
    </row>
    <row r="6887">
      <c r="A6887">
        <f>IFERROR(INDEX('Email Cleaner'!$B$2:$B$10001,MATCH(6886,'Email Cleaner'!$G$2:$G$10001,0)),"")</f>
        <v/>
      </c>
    </row>
    <row r="6888">
      <c r="A6888">
        <f>IFERROR(INDEX('Email Cleaner'!$B$2:$B$10001,MATCH(6887,'Email Cleaner'!$G$2:$G$10001,0)),"")</f>
        <v/>
      </c>
    </row>
    <row r="6889">
      <c r="A6889">
        <f>IFERROR(INDEX('Email Cleaner'!$B$2:$B$10001,MATCH(6888,'Email Cleaner'!$G$2:$G$10001,0)),"")</f>
        <v/>
      </c>
    </row>
    <row r="6890">
      <c r="A6890">
        <f>IFERROR(INDEX('Email Cleaner'!$B$2:$B$10001,MATCH(6889,'Email Cleaner'!$G$2:$G$10001,0)),"")</f>
        <v/>
      </c>
    </row>
    <row r="6891">
      <c r="A6891">
        <f>IFERROR(INDEX('Email Cleaner'!$B$2:$B$10001,MATCH(6890,'Email Cleaner'!$G$2:$G$10001,0)),"")</f>
        <v/>
      </c>
    </row>
    <row r="6892">
      <c r="A6892">
        <f>IFERROR(INDEX('Email Cleaner'!$B$2:$B$10001,MATCH(6891,'Email Cleaner'!$G$2:$G$10001,0)),"")</f>
        <v/>
      </c>
    </row>
    <row r="6893">
      <c r="A6893">
        <f>IFERROR(INDEX('Email Cleaner'!$B$2:$B$10001,MATCH(6892,'Email Cleaner'!$G$2:$G$10001,0)),"")</f>
        <v/>
      </c>
    </row>
    <row r="6894">
      <c r="A6894">
        <f>IFERROR(INDEX('Email Cleaner'!$B$2:$B$10001,MATCH(6893,'Email Cleaner'!$G$2:$G$10001,0)),"")</f>
        <v/>
      </c>
    </row>
    <row r="6895">
      <c r="A6895">
        <f>IFERROR(INDEX('Email Cleaner'!$B$2:$B$10001,MATCH(6894,'Email Cleaner'!$G$2:$G$10001,0)),"")</f>
        <v/>
      </c>
    </row>
    <row r="6896">
      <c r="A6896">
        <f>IFERROR(INDEX('Email Cleaner'!$B$2:$B$10001,MATCH(6895,'Email Cleaner'!$G$2:$G$10001,0)),"")</f>
        <v/>
      </c>
    </row>
    <row r="6897">
      <c r="A6897">
        <f>IFERROR(INDEX('Email Cleaner'!$B$2:$B$10001,MATCH(6896,'Email Cleaner'!$G$2:$G$10001,0)),"")</f>
        <v/>
      </c>
    </row>
    <row r="6898">
      <c r="A6898">
        <f>IFERROR(INDEX('Email Cleaner'!$B$2:$B$10001,MATCH(6897,'Email Cleaner'!$G$2:$G$10001,0)),"")</f>
        <v/>
      </c>
    </row>
    <row r="6899">
      <c r="A6899">
        <f>IFERROR(INDEX('Email Cleaner'!$B$2:$B$10001,MATCH(6898,'Email Cleaner'!$G$2:$G$10001,0)),"")</f>
        <v/>
      </c>
    </row>
    <row r="6900">
      <c r="A6900">
        <f>IFERROR(INDEX('Email Cleaner'!$B$2:$B$10001,MATCH(6899,'Email Cleaner'!$G$2:$G$10001,0)),"")</f>
        <v/>
      </c>
    </row>
    <row r="6901">
      <c r="A6901">
        <f>IFERROR(INDEX('Email Cleaner'!$B$2:$B$10001,MATCH(6900,'Email Cleaner'!$G$2:$G$10001,0)),"")</f>
        <v/>
      </c>
    </row>
    <row r="6902">
      <c r="A6902">
        <f>IFERROR(INDEX('Email Cleaner'!$B$2:$B$10001,MATCH(6901,'Email Cleaner'!$G$2:$G$10001,0)),"")</f>
        <v/>
      </c>
    </row>
    <row r="6903">
      <c r="A6903">
        <f>IFERROR(INDEX('Email Cleaner'!$B$2:$B$10001,MATCH(6902,'Email Cleaner'!$G$2:$G$10001,0)),"")</f>
        <v/>
      </c>
    </row>
    <row r="6904">
      <c r="A6904">
        <f>IFERROR(INDEX('Email Cleaner'!$B$2:$B$10001,MATCH(6903,'Email Cleaner'!$G$2:$G$10001,0)),"")</f>
        <v/>
      </c>
    </row>
    <row r="6905">
      <c r="A6905">
        <f>IFERROR(INDEX('Email Cleaner'!$B$2:$B$10001,MATCH(6904,'Email Cleaner'!$G$2:$G$10001,0)),"")</f>
        <v/>
      </c>
    </row>
    <row r="6906">
      <c r="A6906">
        <f>IFERROR(INDEX('Email Cleaner'!$B$2:$B$10001,MATCH(6905,'Email Cleaner'!$G$2:$G$10001,0)),"")</f>
        <v/>
      </c>
    </row>
    <row r="6907">
      <c r="A6907">
        <f>IFERROR(INDEX('Email Cleaner'!$B$2:$B$10001,MATCH(6906,'Email Cleaner'!$G$2:$G$10001,0)),"")</f>
        <v/>
      </c>
    </row>
    <row r="6908">
      <c r="A6908">
        <f>IFERROR(INDEX('Email Cleaner'!$B$2:$B$10001,MATCH(6907,'Email Cleaner'!$G$2:$G$10001,0)),"")</f>
        <v/>
      </c>
    </row>
    <row r="6909">
      <c r="A6909">
        <f>IFERROR(INDEX('Email Cleaner'!$B$2:$B$10001,MATCH(6908,'Email Cleaner'!$G$2:$G$10001,0)),"")</f>
        <v/>
      </c>
    </row>
    <row r="6910">
      <c r="A6910">
        <f>IFERROR(INDEX('Email Cleaner'!$B$2:$B$10001,MATCH(6909,'Email Cleaner'!$G$2:$G$10001,0)),"")</f>
        <v/>
      </c>
    </row>
    <row r="6911">
      <c r="A6911">
        <f>IFERROR(INDEX('Email Cleaner'!$B$2:$B$10001,MATCH(6910,'Email Cleaner'!$G$2:$G$10001,0)),"")</f>
        <v/>
      </c>
    </row>
    <row r="6912">
      <c r="A6912">
        <f>IFERROR(INDEX('Email Cleaner'!$B$2:$B$10001,MATCH(6911,'Email Cleaner'!$G$2:$G$10001,0)),"")</f>
        <v/>
      </c>
    </row>
    <row r="6913">
      <c r="A6913">
        <f>IFERROR(INDEX('Email Cleaner'!$B$2:$B$10001,MATCH(6912,'Email Cleaner'!$G$2:$G$10001,0)),"")</f>
        <v/>
      </c>
    </row>
    <row r="6914">
      <c r="A6914">
        <f>IFERROR(INDEX('Email Cleaner'!$B$2:$B$10001,MATCH(6913,'Email Cleaner'!$G$2:$G$10001,0)),"")</f>
        <v/>
      </c>
    </row>
    <row r="6915">
      <c r="A6915">
        <f>IFERROR(INDEX('Email Cleaner'!$B$2:$B$10001,MATCH(6914,'Email Cleaner'!$G$2:$G$10001,0)),"")</f>
        <v/>
      </c>
    </row>
    <row r="6916">
      <c r="A6916">
        <f>IFERROR(INDEX('Email Cleaner'!$B$2:$B$10001,MATCH(6915,'Email Cleaner'!$G$2:$G$10001,0)),"")</f>
        <v/>
      </c>
    </row>
    <row r="6917">
      <c r="A6917">
        <f>IFERROR(INDEX('Email Cleaner'!$B$2:$B$10001,MATCH(6916,'Email Cleaner'!$G$2:$G$10001,0)),"")</f>
        <v/>
      </c>
    </row>
    <row r="6918">
      <c r="A6918">
        <f>IFERROR(INDEX('Email Cleaner'!$B$2:$B$10001,MATCH(6917,'Email Cleaner'!$G$2:$G$10001,0)),"")</f>
        <v/>
      </c>
    </row>
    <row r="6919">
      <c r="A6919">
        <f>IFERROR(INDEX('Email Cleaner'!$B$2:$B$10001,MATCH(6918,'Email Cleaner'!$G$2:$G$10001,0)),"")</f>
        <v/>
      </c>
    </row>
    <row r="6920">
      <c r="A6920">
        <f>IFERROR(INDEX('Email Cleaner'!$B$2:$B$10001,MATCH(6919,'Email Cleaner'!$G$2:$G$10001,0)),"")</f>
        <v/>
      </c>
    </row>
    <row r="6921">
      <c r="A6921">
        <f>IFERROR(INDEX('Email Cleaner'!$B$2:$B$10001,MATCH(6920,'Email Cleaner'!$G$2:$G$10001,0)),"")</f>
        <v/>
      </c>
    </row>
    <row r="6922">
      <c r="A6922">
        <f>IFERROR(INDEX('Email Cleaner'!$B$2:$B$10001,MATCH(6921,'Email Cleaner'!$G$2:$G$10001,0)),"")</f>
        <v/>
      </c>
    </row>
    <row r="6923">
      <c r="A6923">
        <f>IFERROR(INDEX('Email Cleaner'!$B$2:$B$10001,MATCH(6922,'Email Cleaner'!$G$2:$G$10001,0)),"")</f>
        <v/>
      </c>
    </row>
    <row r="6924">
      <c r="A6924">
        <f>IFERROR(INDEX('Email Cleaner'!$B$2:$B$10001,MATCH(6923,'Email Cleaner'!$G$2:$G$10001,0)),"")</f>
        <v/>
      </c>
    </row>
    <row r="6925">
      <c r="A6925">
        <f>IFERROR(INDEX('Email Cleaner'!$B$2:$B$10001,MATCH(6924,'Email Cleaner'!$G$2:$G$10001,0)),"")</f>
        <v/>
      </c>
    </row>
    <row r="6926">
      <c r="A6926">
        <f>IFERROR(INDEX('Email Cleaner'!$B$2:$B$10001,MATCH(6925,'Email Cleaner'!$G$2:$G$10001,0)),"")</f>
        <v/>
      </c>
    </row>
    <row r="6927">
      <c r="A6927">
        <f>IFERROR(INDEX('Email Cleaner'!$B$2:$B$10001,MATCH(6926,'Email Cleaner'!$G$2:$G$10001,0)),"")</f>
        <v/>
      </c>
    </row>
    <row r="6928">
      <c r="A6928">
        <f>IFERROR(INDEX('Email Cleaner'!$B$2:$B$10001,MATCH(6927,'Email Cleaner'!$G$2:$G$10001,0)),"")</f>
        <v/>
      </c>
    </row>
    <row r="6929">
      <c r="A6929">
        <f>IFERROR(INDEX('Email Cleaner'!$B$2:$B$10001,MATCH(6928,'Email Cleaner'!$G$2:$G$10001,0)),"")</f>
        <v/>
      </c>
    </row>
    <row r="6930">
      <c r="A6930">
        <f>IFERROR(INDEX('Email Cleaner'!$B$2:$B$10001,MATCH(6929,'Email Cleaner'!$G$2:$G$10001,0)),"")</f>
        <v/>
      </c>
    </row>
    <row r="6931">
      <c r="A6931">
        <f>IFERROR(INDEX('Email Cleaner'!$B$2:$B$10001,MATCH(6930,'Email Cleaner'!$G$2:$G$10001,0)),"")</f>
        <v/>
      </c>
    </row>
    <row r="6932">
      <c r="A6932">
        <f>IFERROR(INDEX('Email Cleaner'!$B$2:$B$10001,MATCH(6931,'Email Cleaner'!$G$2:$G$10001,0)),"")</f>
        <v/>
      </c>
    </row>
    <row r="6933">
      <c r="A6933">
        <f>IFERROR(INDEX('Email Cleaner'!$B$2:$B$10001,MATCH(6932,'Email Cleaner'!$G$2:$G$10001,0)),"")</f>
        <v/>
      </c>
    </row>
    <row r="6934">
      <c r="A6934">
        <f>IFERROR(INDEX('Email Cleaner'!$B$2:$B$10001,MATCH(6933,'Email Cleaner'!$G$2:$G$10001,0)),"")</f>
        <v/>
      </c>
    </row>
    <row r="6935">
      <c r="A6935">
        <f>IFERROR(INDEX('Email Cleaner'!$B$2:$B$10001,MATCH(6934,'Email Cleaner'!$G$2:$G$10001,0)),"")</f>
        <v/>
      </c>
    </row>
    <row r="6936">
      <c r="A6936">
        <f>IFERROR(INDEX('Email Cleaner'!$B$2:$B$10001,MATCH(6935,'Email Cleaner'!$G$2:$G$10001,0)),"")</f>
        <v/>
      </c>
    </row>
    <row r="6937">
      <c r="A6937">
        <f>IFERROR(INDEX('Email Cleaner'!$B$2:$B$10001,MATCH(6936,'Email Cleaner'!$G$2:$G$10001,0)),"")</f>
        <v/>
      </c>
    </row>
    <row r="6938">
      <c r="A6938">
        <f>IFERROR(INDEX('Email Cleaner'!$B$2:$B$10001,MATCH(6937,'Email Cleaner'!$G$2:$G$10001,0)),"")</f>
        <v/>
      </c>
    </row>
    <row r="6939">
      <c r="A6939">
        <f>IFERROR(INDEX('Email Cleaner'!$B$2:$B$10001,MATCH(6938,'Email Cleaner'!$G$2:$G$10001,0)),"")</f>
        <v/>
      </c>
    </row>
    <row r="6940">
      <c r="A6940">
        <f>IFERROR(INDEX('Email Cleaner'!$B$2:$B$10001,MATCH(6939,'Email Cleaner'!$G$2:$G$10001,0)),"")</f>
        <v/>
      </c>
    </row>
    <row r="6941">
      <c r="A6941">
        <f>IFERROR(INDEX('Email Cleaner'!$B$2:$B$10001,MATCH(6940,'Email Cleaner'!$G$2:$G$10001,0)),"")</f>
        <v/>
      </c>
    </row>
    <row r="6942">
      <c r="A6942">
        <f>IFERROR(INDEX('Email Cleaner'!$B$2:$B$10001,MATCH(6941,'Email Cleaner'!$G$2:$G$10001,0)),"")</f>
        <v/>
      </c>
    </row>
    <row r="6943">
      <c r="A6943">
        <f>IFERROR(INDEX('Email Cleaner'!$B$2:$B$10001,MATCH(6942,'Email Cleaner'!$G$2:$G$10001,0)),"")</f>
        <v/>
      </c>
    </row>
    <row r="6944">
      <c r="A6944">
        <f>IFERROR(INDEX('Email Cleaner'!$B$2:$B$10001,MATCH(6943,'Email Cleaner'!$G$2:$G$10001,0)),"")</f>
        <v/>
      </c>
    </row>
    <row r="6945">
      <c r="A6945">
        <f>IFERROR(INDEX('Email Cleaner'!$B$2:$B$10001,MATCH(6944,'Email Cleaner'!$G$2:$G$10001,0)),"")</f>
        <v/>
      </c>
    </row>
    <row r="6946">
      <c r="A6946">
        <f>IFERROR(INDEX('Email Cleaner'!$B$2:$B$10001,MATCH(6945,'Email Cleaner'!$G$2:$G$10001,0)),"")</f>
        <v/>
      </c>
    </row>
    <row r="6947">
      <c r="A6947">
        <f>IFERROR(INDEX('Email Cleaner'!$B$2:$B$10001,MATCH(6946,'Email Cleaner'!$G$2:$G$10001,0)),"")</f>
        <v/>
      </c>
    </row>
    <row r="6948">
      <c r="A6948">
        <f>IFERROR(INDEX('Email Cleaner'!$B$2:$B$10001,MATCH(6947,'Email Cleaner'!$G$2:$G$10001,0)),"")</f>
        <v/>
      </c>
    </row>
    <row r="6949">
      <c r="A6949">
        <f>IFERROR(INDEX('Email Cleaner'!$B$2:$B$10001,MATCH(6948,'Email Cleaner'!$G$2:$G$10001,0)),"")</f>
        <v/>
      </c>
    </row>
    <row r="6950">
      <c r="A6950">
        <f>IFERROR(INDEX('Email Cleaner'!$B$2:$B$10001,MATCH(6949,'Email Cleaner'!$G$2:$G$10001,0)),"")</f>
        <v/>
      </c>
    </row>
    <row r="6951">
      <c r="A6951">
        <f>IFERROR(INDEX('Email Cleaner'!$B$2:$B$10001,MATCH(6950,'Email Cleaner'!$G$2:$G$10001,0)),"")</f>
        <v/>
      </c>
    </row>
    <row r="6952">
      <c r="A6952">
        <f>IFERROR(INDEX('Email Cleaner'!$B$2:$B$10001,MATCH(6951,'Email Cleaner'!$G$2:$G$10001,0)),"")</f>
        <v/>
      </c>
    </row>
    <row r="6953">
      <c r="A6953">
        <f>IFERROR(INDEX('Email Cleaner'!$B$2:$B$10001,MATCH(6952,'Email Cleaner'!$G$2:$G$10001,0)),"")</f>
        <v/>
      </c>
    </row>
    <row r="6954">
      <c r="A6954">
        <f>IFERROR(INDEX('Email Cleaner'!$B$2:$B$10001,MATCH(6953,'Email Cleaner'!$G$2:$G$10001,0)),"")</f>
        <v/>
      </c>
    </row>
    <row r="6955">
      <c r="A6955">
        <f>IFERROR(INDEX('Email Cleaner'!$B$2:$B$10001,MATCH(6954,'Email Cleaner'!$G$2:$G$10001,0)),"")</f>
        <v/>
      </c>
    </row>
    <row r="6956">
      <c r="A6956">
        <f>IFERROR(INDEX('Email Cleaner'!$B$2:$B$10001,MATCH(6955,'Email Cleaner'!$G$2:$G$10001,0)),"")</f>
        <v/>
      </c>
    </row>
    <row r="6957">
      <c r="A6957">
        <f>IFERROR(INDEX('Email Cleaner'!$B$2:$B$10001,MATCH(6956,'Email Cleaner'!$G$2:$G$10001,0)),"")</f>
        <v/>
      </c>
    </row>
    <row r="6958">
      <c r="A6958">
        <f>IFERROR(INDEX('Email Cleaner'!$B$2:$B$10001,MATCH(6957,'Email Cleaner'!$G$2:$G$10001,0)),"")</f>
        <v/>
      </c>
    </row>
    <row r="6959">
      <c r="A6959">
        <f>IFERROR(INDEX('Email Cleaner'!$B$2:$B$10001,MATCH(6958,'Email Cleaner'!$G$2:$G$10001,0)),"")</f>
        <v/>
      </c>
    </row>
    <row r="6960">
      <c r="A6960">
        <f>IFERROR(INDEX('Email Cleaner'!$B$2:$B$10001,MATCH(6959,'Email Cleaner'!$G$2:$G$10001,0)),"")</f>
        <v/>
      </c>
    </row>
    <row r="6961">
      <c r="A6961">
        <f>IFERROR(INDEX('Email Cleaner'!$B$2:$B$10001,MATCH(6960,'Email Cleaner'!$G$2:$G$10001,0)),"")</f>
        <v/>
      </c>
    </row>
    <row r="6962">
      <c r="A6962">
        <f>IFERROR(INDEX('Email Cleaner'!$B$2:$B$10001,MATCH(6961,'Email Cleaner'!$G$2:$G$10001,0)),"")</f>
        <v/>
      </c>
    </row>
    <row r="6963">
      <c r="A6963">
        <f>IFERROR(INDEX('Email Cleaner'!$B$2:$B$10001,MATCH(6962,'Email Cleaner'!$G$2:$G$10001,0)),"")</f>
        <v/>
      </c>
    </row>
    <row r="6964">
      <c r="A6964">
        <f>IFERROR(INDEX('Email Cleaner'!$B$2:$B$10001,MATCH(6963,'Email Cleaner'!$G$2:$G$10001,0)),"")</f>
        <v/>
      </c>
    </row>
    <row r="6965">
      <c r="A6965">
        <f>IFERROR(INDEX('Email Cleaner'!$B$2:$B$10001,MATCH(6964,'Email Cleaner'!$G$2:$G$10001,0)),"")</f>
        <v/>
      </c>
    </row>
    <row r="6966">
      <c r="A6966">
        <f>IFERROR(INDEX('Email Cleaner'!$B$2:$B$10001,MATCH(6965,'Email Cleaner'!$G$2:$G$10001,0)),"")</f>
        <v/>
      </c>
    </row>
    <row r="6967">
      <c r="A6967">
        <f>IFERROR(INDEX('Email Cleaner'!$B$2:$B$10001,MATCH(6966,'Email Cleaner'!$G$2:$G$10001,0)),"")</f>
        <v/>
      </c>
    </row>
    <row r="6968">
      <c r="A6968">
        <f>IFERROR(INDEX('Email Cleaner'!$B$2:$B$10001,MATCH(6967,'Email Cleaner'!$G$2:$G$10001,0)),"")</f>
        <v/>
      </c>
    </row>
    <row r="6969">
      <c r="A6969">
        <f>IFERROR(INDEX('Email Cleaner'!$B$2:$B$10001,MATCH(6968,'Email Cleaner'!$G$2:$G$10001,0)),"")</f>
        <v/>
      </c>
    </row>
    <row r="6970">
      <c r="A6970">
        <f>IFERROR(INDEX('Email Cleaner'!$B$2:$B$10001,MATCH(6969,'Email Cleaner'!$G$2:$G$10001,0)),"")</f>
        <v/>
      </c>
    </row>
    <row r="6971">
      <c r="A6971">
        <f>IFERROR(INDEX('Email Cleaner'!$B$2:$B$10001,MATCH(6970,'Email Cleaner'!$G$2:$G$10001,0)),"")</f>
        <v/>
      </c>
    </row>
    <row r="6972">
      <c r="A6972">
        <f>IFERROR(INDEX('Email Cleaner'!$B$2:$B$10001,MATCH(6971,'Email Cleaner'!$G$2:$G$10001,0)),"")</f>
        <v/>
      </c>
    </row>
    <row r="6973">
      <c r="A6973">
        <f>IFERROR(INDEX('Email Cleaner'!$B$2:$B$10001,MATCH(6972,'Email Cleaner'!$G$2:$G$10001,0)),"")</f>
        <v/>
      </c>
    </row>
    <row r="6974">
      <c r="A6974">
        <f>IFERROR(INDEX('Email Cleaner'!$B$2:$B$10001,MATCH(6973,'Email Cleaner'!$G$2:$G$10001,0)),"")</f>
        <v/>
      </c>
    </row>
    <row r="6975">
      <c r="A6975">
        <f>IFERROR(INDEX('Email Cleaner'!$B$2:$B$10001,MATCH(6974,'Email Cleaner'!$G$2:$G$10001,0)),"")</f>
        <v/>
      </c>
    </row>
    <row r="6976">
      <c r="A6976">
        <f>IFERROR(INDEX('Email Cleaner'!$B$2:$B$10001,MATCH(6975,'Email Cleaner'!$G$2:$G$10001,0)),"")</f>
        <v/>
      </c>
    </row>
    <row r="6977">
      <c r="A6977">
        <f>IFERROR(INDEX('Email Cleaner'!$B$2:$B$10001,MATCH(6976,'Email Cleaner'!$G$2:$G$10001,0)),"")</f>
        <v/>
      </c>
    </row>
    <row r="6978">
      <c r="A6978">
        <f>IFERROR(INDEX('Email Cleaner'!$B$2:$B$10001,MATCH(6977,'Email Cleaner'!$G$2:$G$10001,0)),"")</f>
        <v/>
      </c>
    </row>
    <row r="6979">
      <c r="A6979">
        <f>IFERROR(INDEX('Email Cleaner'!$B$2:$B$10001,MATCH(6978,'Email Cleaner'!$G$2:$G$10001,0)),"")</f>
        <v/>
      </c>
    </row>
    <row r="6980">
      <c r="A6980">
        <f>IFERROR(INDEX('Email Cleaner'!$B$2:$B$10001,MATCH(6979,'Email Cleaner'!$G$2:$G$10001,0)),"")</f>
        <v/>
      </c>
    </row>
    <row r="6981">
      <c r="A6981">
        <f>IFERROR(INDEX('Email Cleaner'!$B$2:$B$10001,MATCH(6980,'Email Cleaner'!$G$2:$G$10001,0)),"")</f>
        <v/>
      </c>
    </row>
    <row r="6982">
      <c r="A6982">
        <f>IFERROR(INDEX('Email Cleaner'!$B$2:$B$10001,MATCH(6981,'Email Cleaner'!$G$2:$G$10001,0)),"")</f>
        <v/>
      </c>
    </row>
    <row r="6983">
      <c r="A6983">
        <f>IFERROR(INDEX('Email Cleaner'!$B$2:$B$10001,MATCH(6982,'Email Cleaner'!$G$2:$G$10001,0)),"")</f>
        <v/>
      </c>
    </row>
    <row r="6984">
      <c r="A6984">
        <f>IFERROR(INDEX('Email Cleaner'!$B$2:$B$10001,MATCH(6983,'Email Cleaner'!$G$2:$G$10001,0)),"")</f>
        <v/>
      </c>
    </row>
    <row r="6985">
      <c r="A6985">
        <f>IFERROR(INDEX('Email Cleaner'!$B$2:$B$10001,MATCH(6984,'Email Cleaner'!$G$2:$G$10001,0)),"")</f>
        <v/>
      </c>
    </row>
    <row r="6986">
      <c r="A6986">
        <f>IFERROR(INDEX('Email Cleaner'!$B$2:$B$10001,MATCH(6985,'Email Cleaner'!$G$2:$G$10001,0)),"")</f>
        <v/>
      </c>
    </row>
    <row r="6987">
      <c r="A6987">
        <f>IFERROR(INDEX('Email Cleaner'!$B$2:$B$10001,MATCH(6986,'Email Cleaner'!$G$2:$G$10001,0)),"")</f>
        <v/>
      </c>
    </row>
    <row r="6988">
      <c r="A6988">
        <f>IFERROR(INDEX('Email Cleaner'!$B$2:$B$10001,MATCH(6987,'Email Cleaner'!$G$2:$G$10001,0)),"")</f>
        <v/>
      </c>
    </row>
    <row r="6989">
      <c r="A6989">
        <f>IFERROR(INDEX('Email Cleaner'!$B$2:$B$10001,MATCH(6988,'Email Cleaner'!$G$2:$G$10001,0)),"")</f>
        <v/>
      </c>
    </row>
    <row r="6990">
      <c r="A6990">
        <f>IFERROR(INDEX('Email Cleaner'!$B$2:$B$10001,MATCH(6989,'Email Cleaner'!$G$2:$G$10001,0)),"")</f>
        <v/>
      </c>
    </row>
    <row r="6991">
      <c r="A6991">
        <f>IFERROR(INDEX('Email Cleaner'!$B$2:$B$10001,MATCH(6990,'Email Cleaner'!$G$2:$G$10001,0)),"")</f>
        <v/>
      </c>
    </row>
    <row r="6992">
      <c r="A6992">
        <f>IFERROR(INDEX('Email Cleaner'!$B$2:$B$10001,MATCH(6991,'Email Cleaner'!$G$2:$G$10001,0)),"")</f>
        <v/>
      </c>
    </row>
    <row r="6993">
      <c r="A6993">
        <f>IFERROR(INDEX('Email Cleaner'!$B$2:$B$10001,MATCH(6992,'Email Cleaner'!$G$2:$G$10001,0)),"")</f>
        <v/>
      </c>
    </row>
    <row r="6994">
      <c r="A6994">
        <f>IFERROR(INDEX('Email Cleaner'!$B$2:$B$10001,MATCH(6993,'Email Cleaner'!$G$2:$G$10001,0)),"")</f>
        <v/>
      </c>
    </row>
    <row r="6995">
      <c r="A6995">
        <f>IFERROR(INDEX('Email Cleaner'!$B$2:$B$10001,MATCH(6994,'Email Cleaner'!$G$2:$G$10001,0)),"")</f>
        <v/>
      </c>
    </row>
    <row r="6996">
      <c r="A6996">
        <f>IFERROR(INDEX('Email Cleaner'!$B$2:$B$10001,MATCH(6995,'Email Cleaner'!$G$2:$G$10001,0)),"")</f>
        <v/>
      </c>
    </row>
    <row r="6997">
      <c r="A6997">
        <f>IFERROR(INDEX('Email Cleaner'!$B$2:$B$10001,MATCH(6996,'Email Cleaner'!$G$2:$G$10001,0)),"")</f>
        <v/>
      </c>
    </row>
    <row r="6998">
      <c r="A6998">
        <f>IFERROR(INDEX('Email Cleaner'!$B$2:$B$10001,MATCH(6997,'Email Cleaner'!$G$2:$G$10001,0)),"")</f>
        <v/>
      </c>
    </row>
    <row r="6999">
      <c r="A6999">
        <f>IFERROR(INDEX('Email Cleaner'!$B$2:$B$10001,MATCH(6998,'Email Cleaner'!$G$2:$G$10001,0)),"")</f>
        <v/>
      </c>
    </row>
    <row r="7000">
      <c r="A7000">
        <f>IFERROR(INDEX('Email Cleaner'!$B$2:$B$10001,MATCH(6999,'Email Cleaner'!$G$2:$G$10001,0)),"")</f>
        <v/>
      </c>
    </row>
    <row r="7001">
      <c r="A7001">
        <f>IFERROR(INDEX('Email Cleaner'!$B$2:$B$10001,MATCH(7000,'Email Cleaner'!$G$2:$G$10001,0)),"")</f>
        <v/>
      </c>
    </row>
    <row r="7002">
      <c r="A7002">
        <f>IFERROR(INDEX('Email Cleaner'!$B$2:$B$10001,MATCH(7001,'Email Cleaner'!$G$2:$G$10001,0)),"")</f>
        <v/>
      </c>
    </row>
    <row r="7003">
      <c r="A7003">
        <f>IFERROR(INDEX('Email Cleaner'!$B$2:$B$10001,MATCH(7002,'Email Cleaner'!$G$2:$G$10001,0)),"")</f>
        <v/>
      </c>
    </row>
    <row r="7004">
      <c r="A7004">
        <f>IFERROR(INDEX('Email Cleaner'!$B$2:$B$10001,MATCH(7003,'Email Cleaner'!$G$2:$G$10001,0)),"")</f>
        <v/>
      </c>
    </row>
    <row r="7005">
      <c r="A7005">
        <f>IFERROR(INDEX('Email Cleaner'!$B$2:$B$10001,MATCH(7004,'Email Cleaner'!$G$2:$G$10001,0)),"")</f>
        <v/>
      </c>
    </row>
    <row r="7006">
      <c r="A7006">
        <f>IFERROR(INDEX('Email Cleaner'!$B$2:$B$10001,MATCH(7005,'Email Cleaner'!$G$2:$G$10001,0)),"")</f>
        <v/>
      </c>
    </row>
    <row r="7007">
      <c r="A7007">
        <f>IFERROR(INDEX('Email Cleaner'!$B$2:$B$10001,MATCH(7006,'Email Cleaner'!$G$2:$G$10001,0)),"")</f>
        <v/>
      </c>
    </row>
    <row r="7008">
      <c r="A7008">
        <f>IFERROR(INDEX('Email Cleaner'!$B$2:$B$10001,MATCH(7007,'Email Cleaner'!$G$2:$G$10001,0)),"")</f>
        <v/>
      </c>
    </row>
    <row r="7009">
      <c r="A7009">
        <f>IFERROR(INDEX('Email Cleaner'!$B$2:$B$10001,MATCH(7008,'Email Cleaner'!$G$2:$G$10001,0)),"")</f>
        <v/>
      </c>
    </row>
    <row r="7010">
      <c r="A7010">
        <f>IFERROR(INDEX('Email Cleaner'!$B$2:$B$10001,MATCH(7009,'Email Cleaner'!$G$2:$G$10001,0)),"")</f>
        <v/>
      </c>
    </row>
    <row r="7011">
      <c r="A7011">
        <f>IFERROR(INDEX('Email Cleaner'!$B$2:$B$10001,MATCH(7010,'Email Cleaner'!$G$2:$G$10001,0)),"")</f>
        <v/>
      </c>
    </row>
    <row r="7012">
      <c r="A7012">
        <f>IFERROR(INDEX('Email Cleaner'!$B$2:$B$10001,MATCH(7011,'Email Cleaner'!$G$2:$G$10001,0)),"")</f>
        <v/>
      </c>
    </row>
    <row r="7013">
      <c r="A7013">
        <f>IFERROR(INDEX('Email Cleaner'!$B$2:$B$10001,MATCH(7012,'Email Cleaner'!$G$2:$G$10001,0)),"")</f>
        <v/>
      </c>
    </row>
    <row r="7014">
      <c r="A7014">
        <f>IFERROR(INDEX('Email Cleaner'!$B$2:$B$10001,MATCH(7013,'Email Cleaner'!$G$2:$G$10001,0)),"")</f>
        <v/>
      </c>
    </row>
    <row r="7015">
      <c r="A7015">
        <f>IFERROR(INDEX('Email Cleaner'!$B$2:$B$10001,MATCH(7014,'Email Cleaner'!$G$2:$G$10001,0)),"")</f>
        <v/>
      </c>
    </row>
    <row r="7016">
      <c r="A7016">
        <f>IFERROR(INDEX('Email Cleaner'!$B$2:$B$10001,MATCH(7015,'Email Cleaner'!$G$2:$G$10001,0)),"")</f>
        <v/>
      </c>
    </row>
    <row r="7017">
      <c r="A7017">
        <f>IFERROR(INDEX('Email Cleaner'!$B$2:$B$10001,MATCH(7016,'Email Cleaner'!$G$2:$G$10001,0)),"")</f>
        <v/>
      </c>
    </row>
    <row r="7018">
      <c r="A7018">
        <f>IFERROR(INDEX('Email Cleaner'!$B$2:$B$10001,MATCH(7017,'Email Cleaner'!$G$2:$G$10001,0)),"")</f>
        <v/>
      </c>
    </row>
    <row r="7019">
      <c r="A7019">
        <f>IFERROR(INDEX('Email Cleaner'!$B$2:$B$10001,MATCH(7018,'Email Cleaner'!$G$2:$G$10001,0)),"")</f>
        <v/>
      </c>
    </row>
    <row r="7020">
      <c r="A7020">
        <f>IFERROR(INDEX('Email Cleaner'!$B$2:$B$10001,MATCH(7019,'Email Cleaner'!$G$2:$G$10001,0)),"")</f>
        <v/>
      </c>
    </row>
    <row r="7021">
      <c r="A7021">
        <f>IFERROR(INDEX('Email Cleaner'!$B$2:$B$10001,MATCH(7020,'Email Cleaner'!$G$2:$G$10001,0)),"")</f>
        <v/>
      </c>
    </row>
    <row r="7022">
      <c r="A7022">
        <f>IFERROR(INDEX('Email Cleaner'!$B$2:$B$10001,MATCH(7021,'Email Cleaner'!$G$2:$G$10001,0)),"")</f>
        <v/>
      </c>
    </row>
    <row r="7023">
      <c r="A7023">
        <f>IFERROR(INDEX('Email Cleaner'!$B$2:$B$10001,MATCH(7022,'Email Cleaner'!$G$2:$G$10001,0)),"")</f>
        <v/>
      </c>
    </row>
    <row r="7024">
      <c r="A7024">
        <f>IFERROR(INDEX('Email Cleaner'!$B$2:$B$10001,MATCH(7023,'Email Cleaner'!$G$2:$G$10001,0)),"")</f>
        <v/>
      </c>
    </row>
    <row r="7025">
      <c r="A7025">
        <f>IFERROR(INDEX('Email Cleaner'!$B$2:$B$10001,MATCH(7024,'Email Cleaner'!$G$2:$G$10001,0)),"")</f>
        <v/>
      </c>
    </row>
    <row r="7026">
      <c r="A7026">
        <f>IFERROR(INDEX('Email Cleaner'!$B$2:$B$10001,MATCH(7025,'Email Cleaner'!$G$2:$G$10001,0)),"")</f>
        <v/>
      </c>
    </row>
    <row r="7027">
      <c r="A7027">
        <f>IFERROR(INDEX('Email Cleaner'!$B$2:$B$10001,MATCH(7026,'Email Cleaner'!$G$2:$G$10001,0)),"")</f>
        <v/>
      </c>
    </row>
    <row r="7028">
      <c r="A7028">
        <f>IFERROR(INDEX('Email Cleaner'!$B$2:$B$10001,MATCH(7027,'Email Cleaner'!$G$2:$G$10001,0)),"")</f>
        <v/>
      </c>
    </row>
    <row r="7029">
      <c r="A7029">
        <f>IFERROR(INDEX('Email Cleaner'!$B$2:$B$10001,MATCH(7028,'Email Cleaner'!$G$2:$G$10001,0)),"")</f>
        <v/>
      </c>
    </row>
    <row r="7030">
      <c r="A7030">
        <f>IFERROR(INDEX('Email Cleaner'!$B$2:$B$10001,MATCH(7029,'Email Cleaner'!$G$2:$G$10001,0)),"")</f>
        <v/>
      </c>
    </row>
    <row r="7031">
      <c r="A7031">
        <f>IFERROR(INDEX('Email Cleaner'!$B$2:$B$10001,MATCH(7030,'Email Cleaner'!$G$2:$G$10001,0)),"")</f>
        <v/>
      </c>
    </row>
    <row r="7032">
      <c r="A7032">
        <f>IFERROR(INDEX('Email Cleaner'!$B$2:$B$10001,MATCH(7031,'Email Cleaner'!$G$2:$G$10001,0)),"")</f>
        <v/>
      </c>
    </row>
    <row r="7033">
      <c r="A7033">
        <f>IFERROR(INDEX('Email Cleaner'!$B$2:$B$10001,MATCH(7032,'Email Cleaner'!$G$2:$G$10001,0)),"")</f>
        <v/>
      </c>
    </row>
    <row r="7034">
      <c r="A7034">
        <f>IFERROR(INDEX('Email Cleaner'!$B$2:$B$10001,MATCH(7033,'Email Cleaner'!$G$2:$G$10001,0)),"")</f>
        <v/>
      </c>
    </row>
    <row r="7035">
      <c r="A7035">
        <f>IFERROR(INDEX('Email Cleaner'!$B$2:$B$10001,MATCH(7034,'Email Cleaner'!$G$2:$G$10001,0)),"")</f>
        <v/>
      </c>
    </row>
    <row r="7036">
      <c r="A7036">
        <f>IFERROR(INDEX('Email Cleaner'!$B$2:$B$10001,MATCH(7035,'Email Cleaner'!$G$2:$G$10001,0)),"")</f>
        <v/>
      </c>
    </row>
    <row r="7037">
      <c r="A7037">
        <f>IFERROR(INDEX('Email Cleaner'!$B$2:$B$10001,MATCH(7036,'Email Cleaner'!$G$2:$G$10001,0)),"")</f>
        <v/>
      </c>
    </row>
    <row r="7038">
      <c r="A7038">
        <f>IFERROR(INDEX('Email Cleaner'!$B$2:$B$10001,MATCH(7037,'Email Cleaner'!$G$2:$G$10001,0)),"")</f>
        <v/>
      </c>
    </row>
    <row r="7039">
      <c r="A7039">
        <f>IFERROR(INDEX('Email Cleaner'!$B$2:$B$10001,MATCH(7038,'Email Cleaner'!$G$2:$G$10001,0)),"")</f>
        <v/>
      </c>
    </row>
    <row r="7040">
      <c r="A7040">
        <f>IFERROR(INDEX('Email Cleaner'!$B$2:$B$10001,MATCH(7039,'Email Cleaner'!$G$2:$G$10001,0)),"")</f>
        <v/>
      </c>
    </row>
    <row r="7041">
      <c r="A7041">
        <f>IFERROR(INDEX('Email Cleaner'!$B$2:$B$10001,MATCH(7040,'Email Cleaner'!$G$2:$G$10001,0)),"")</f>
        <v/>
      </c>
    </row>
    <row r="7042">
      <c r="A7042">
        <f>IFERROR(INDEX('Email Cleaner'!$B$2:$B$10001,MATCH(7041,'Email Cleaner'!$G$2:$G$10001,0)),"")</f>
        <v/>
      </c>
    </row>
    <row r="7043">
      <c r="A7043">
        <f>IFERROR(INDEX('Email Cleaner'!$B$2:$B$10001,MATCH(7042,'Email Cleaner'!$G$2:$G$10001,0)),"")</f>
        <v/>
      </c>
    </row>
    <row r="7044">
      <c r="A7044">
        <f>IFERROR(INDEX('Email Cleaner'!$B$2:$B$10001,MATCH(7043,'Email Cleaner'!$G$2:$G$10001,0)),"")</f>
        <v/>
      </c>
    </row>
    <row r="7045">
      <c r="A7045">
        <f>IFERROR(INDEX('Email Cleaner'!$B$2:$B$10001,MATCH(7044,'Email Cleaner'!$G$2:$G$10001,0)),"")</f>
        <v/>
      </c>
    </row>
    <row r="7046">
      <c r="A7046">
        <f>IFERROR(INDEX('Email Cleaner'!$B$2:$B$10001,MATCH(7045,'Email Cleaner'!$G$2:$G$10001,0)),"")</f>
        <v/>
      </c>
    </row>
    <row r="7047">
      <c r="A7047">
        <f>IFERROR(INDEX('Email Cleaner'!$B$2:$B$10001,MATCH(7046,'Email Cleaner'!$G$2:$G$10001,0)),"")</f>
        <v/>
      </c>
    </row>
    <row r="7048">
      <c r="A7048">
        <f>IFERROR(INDEX('Email Cleaner'!$B$2:$B$10001,MATCH(7047,'Email Cleaner'!$G$2:$G$10001,0)),"")</f>
        <v/>
      </c>
    </row>
    <row r="7049">
      <c r="A7049">
        <f>IFERROR(INDEX('Email Cleaner'!$B$2:$B$10001,MATCH(7048,'Email Cleaner'!$G$2:$G$10001,0)),"")</f>
        <v/>
      </c>
    </row>
    <row r="7050">
      <c r="A7050">
        <f>IFERROR(INDEX('Email Cleaner'!$B$2:$B$10001,MATCH(7049,'Email Cleaner'!$G$2:$G$10001,0)),"")</f>
        <v/>
      </c>
    </row>
    <row r="7051">
      <c r="A7051">
        <f>IFERROR(INDEX('Email Cleaner'!$B$2:$B$10001,MATCH(7050,'Email Cleaner'!$G$2:$G$10001,0)),"")</f>
        <v/>
      </c>
    </row>
    <row r="7052">
      <c r="A7052">
        <f>IFERROR(INDEX('Email Cleaner'!$B$2:$B$10001,MATCH(7051,'Email Cleaner'!$G$2:$G$10001,0)),"")</f>
        <v/>
      </c>
    </row>
    <row r="7053">
      <c r="A7053">
        <f>IFERROR(INDEX('Email Cleaner'!$B$2:$B$10001,MATCH(7052,'Email Cleaner'!$G$2:$G$10001,0)),"")</f>
        <v/>
      </c>
    </row>
    <row r="7054">
      <c r="A7054">
        <f>IFERROR(INDEX('Email Cleaner'!$B$2:$B$10001,MATCH(7053,'Email Cleaner'!$G$2:$G$10001,0)),"")</f>
        <v/>
      </c>
    </row>
    <row r="7055">
      <c r="A7055">
        <f>IFERROR(INDEX('Email Cleaner'!$B$2:$B$10001,MATCH(7054,'Email Cleaner'!$G$2:$G$10001,0)),"")</f>
        <v/>
      </c>
    </row>
    <row r="7056">
      <c r="A7056">
        <f>IFERROR(INDEX('Email Cleaner'!$B$2:$B$10001,MATCH(7055,'Email Cleaner'!$G$2:$G$10001,0)),"")</f>
        <v/>
      </c>
    </row>
    <row r="7057">
      <c r="A7057">
        <f>IFERROR(INDEX('Email Cleaner'!$B$2:$B$10001,MATCH(7056,'Email Cleaner'!$G$2:$G$10001,0)),"")</f>
        <v/>
      </c>
    </row>
    <row r="7058">
      <c r="A7058">
        <f>IFERROR(INDEX('Email Cleaner'!$B$2:$B$10001,MATCH(7057,'Email Cleaner'!$G$2:$G$10001,0)),"")</f>
        <v/>
      </c>
    </row>
    <row r="7059">
      <c r="A7059">
        <f>IFERROR(INDEX('Email Cleaner'!$B$2:$B$10001,MATCH(7058,'Email Cleaner'!$G$2:$G$10001,0)),"")</f>
        <v/>
      </c>
    </row>
    <row r="7060">
      <c r="A7060">
        <f>IFERROR(INDEX('Email Cleaner'!$B$2:$B$10001,MATCH(7059,'Email Cleaner'!$G$2:$G$10001,0)),"")</f>
        <v/>
      </c>
    </row>
    <row r="7061">
      <c r="A7061">
        <f>IFERROR(INDEX('Email Cleaner'!$B$2:$B$10001,MATCH(7060,'Email Cleaner'!$G$2:$G$10001,0)),"")</f>
        <v/>
      </c>
    </row>
    <row r="7062">
      <c r="A7062">
        <f>IFERROR(INDEX('Email Cleaner'!$B$2:$B$10001,MATCH(7061,'Email Cleaner'!$G$2:$G$10001,0)),"")</f>
        <v/>
      </c>
    </row>
    <row r="7063">
      <c r="A7063">
        <f>IFERROR(INDEX('Email Cleaner'!$B$2:$B$10001,MATCH(7062,'Email Cleaner'!$G$2:$G$10001,0)),"")</f>
        <v/>
      </c>
    </row>
    <row r="7064">
      <c r="A7064">
        <f>IFERROR(INDEX('Email Cleaner'!$B$2:$B$10001,MATCH(7063,'Email Cleaner'!$G$2:$G$10001,0)),"")</f>
        <v/>
      </c>
    </row>
    <row r="7065">
      <c r="A7065">
        <f>IFERROR(INDEX('Email Cleaner'!$B$2:$B$10001,MATCH(7064,'Email Cleaner'!$G$2:$G$10001,0)),"")</f>
        <v/>
      </c>
    </row>
    <row r="7066">
      <c r="A7066">
        <f>IFERROR(INDEX('Email Cleaner'!$B$2:$B$10001,MATCH(7065,'Email Cleaner'!$G$2:$G$10001,0)),"")</f>
        <v/>
      </c>
    </row>
    <row r="7067">
      <c r="A7067">
        <f>IFERROR(INDEX('Email Cleaner'!$B$2:$B$10001,MATCH(7066,'Email Cleaner'!$G$2:$G$10001,0)),"")</f>
        <v/>
      </c>
    </row>
    <row r="7068">
      <c r="A7068">
        <f>IFERROR(INDEX('Email Cleaner'!$B$2:$B$10001,MATCH(7067,'Email Cleaner'!$G$2:$G$10001,0)),"")</f>
        <v/>
      </c>
    </row>
    <row r="7069">
      <c r="A7069">
        <f>IFERROR(INDEX('Email Cleaner'!$B$2:$B$10001,MATCH(7068,'Email Cleaner'!$G$2:$G$10001,0)),"")</f>
        <v/>
      </c>
    </row>
    <row r="7070">
      <c r="A7070">
        <f>IFERROR(INDEX('Email Cleaner'!$B$2:$B$10001,MATCH(7069,'Email Cleaner'!$G$2:$G$10001,0)),"")</f>
        <v/>
      </c>
    </row>
    <row r="7071">
      <c r="A7071">
        <f>IFERROR(INDEX('Email Cleaner'!$B$2:$B$10001,MATCH(7070,'Email Cleaner'!$G$2:$G$10001,0)),"")</f>
        <v/>
      </c>
    </row>
    <row r="7072">
      <c r="A7072">
        <f>IFERROR(INDEX('Email Cleaner'!$B$2:$B$10001,MATCH(7071,'Email Cleaner'!$G$2:$G$10001,0)),"")</f>
        <v/>
      </c>
    </row>
    <row r="7073">
      <c r="A7073">
        <f>IFERROR(INDEX('Email Cleaner'!$B$2:$B$10001,MATCH(7072,'Email Cleaner'!$G$2:$G$10001,0)),"")</f>
        <v/>
      </c>
    </row>
    <row r="7074">
      <c r="A7074">
        <f>IFERROR(INDEX('Email Cleaner'!$B$2:$B$10001,MATCH(7073,'Email Cleaner'!$G$2:$G$10001,0)),"")</f>
        <v/>
      </c>
    </row>
    <row r="7075">
      <c r="A7075">
        <f>IFERROR(INDEX('Email Cleaner'!$B$2:$B$10001,MATCH(7074,'Email Cleaner'!$G$2:$G$10001,0)),"")</f>
        <v/>
      </c>
    </row>
    <row r="7076">
      <c r="A7076">
        <f>IFERROR(INDEX('Email Cleaner'!$B$2:$B$10001,MATCH(7075,'Email Cleaner'!$G$2:$G$10001,0)),"")</f>
        <v/>
      </c>
    </row>
    <row r="7077">
      <c r="A7077">
        <f>IFERROR(INDEX('Email Cleaner'!$B$2:$B$10001,MATCH(7076,'Email Cleaner'!$G$2:$G$10001,0)),"")</f>
        <v/>
      </c>
    </row>
    <row r="7078">
      <c r="A7078">
        <f>IFERROR(INDEX('Email Cleaner'!$B$2:$B$10001,MATCH(7077,'Email Cleaner'!$G$2:$G$10001,0)),"")</f>
        <v/>
      </c>
    </row>
    <row r="7079">
      <c r="A7079">
        <f>IFERROR(INDEX('Email Cleaner'!$B$2:$B$10001,MATCH(7078,'Email Cleaner'!$G$2:$G$10001,0)),"")</f>
        <v/>
      </c>
    </row>
    <row r="7080">
      <c r="A7080">
        <f>IFERROR(INDEX('Email Cleaner'!$B$2:$B$10001,MATCH(7079,'Email Cleaner'!$G$2:$G$10001,0)),"")</f>
        <v/>
      </c>
    </row>
    <row r="7081">
      <c r="A7081">
        <f>IFERROR(INDEX('Email Cleaner'!$B$2:$B$10001,MATCH(7080,'Email Cleaner'!$G$2:$G$10001,0)),"")</f>
        <v/>
      </c>
    </row>
    <row r="7082">
      <c r="A7082">
        <f>IFERROR(INDEX('Email Cleaner'!$B$2:$B$10001,MATCH(7081,'Email Cleaner'!$G$2:$G$10001,0)),"")</f>
        <v/>
      </c>
    </row>
    <row r="7083">
      <c r="A7083">
        <f>IFERROR(INDEX('Email Cleaner'!$B$2:$B$10001,MATCH(7082,'Email Cleaner'!$G$2:$G$10001,0)),"")</f>
        <v/>
      </c>
    </row>
    <row r="7084">
      <c r="A7084">
        <f>IFERROR(INDEX('Email Cleaner'!$B$2:$B$10001,MATCH(7083,'Email Cleaner'!$G$2:$G$10001,0)),"")</f>
        <v/>
      </c>
    </row>
    <row r="7085">
      <c r="A7085">
        <f>IFERROR(INDEX('Email Cleaner'!$B$2:$B$10001,MATCH(7084,'Email Cleaner'!$G$2:$G$10001,0)),"")</f>
        <v/>
      </c>
    </row>
    <row r="7086">
      <c r="A7086">
        <f>IFERROR(INDEX('Email Cleaner'!$B$2:$B$10001,MATCH(7085,'Email Cleaner'!$G$2:$G$10001,0)),"")</f>
        <v/>
      </c>
    </row>
    <row r="7087">
      <c r="A7087">
        <f>IFERROR(INDEX('Email Cleaner'!$B$2:$B$10001,MATCH(7086,'Email Cleaner'!$G$2:$G$10001,0)),"")</f>
        <v/>
      </c>
    </row>
    <row r="7088">
      <c r="A7088">
        <f>IFERROR(INDEX('Email Cleaner'!$B$2:$B$10001,MATCH(7087,'Email Cleaner'!$G$2:$G$10001,0)),"")</f>
        <v/>
      </c>
    </row>
    <row r="7089">
      <c r="A7089">
        <f>IFERROR(INDEX('Email Cleaner'!$B$2:$B$10001,MATCH(7088,'Email Cleaner'!$G$2:$G$10001,0)),"")</f>
        <v/>
      </c>
    </row>
    <row r="7090">
      <c r="A7090">
        <f>IFERROR(INDEX('Email Cleaner'!$B$2:$B$10001,MATCH(7089,'Email Cleaner'!$G$2:$G$10001,0)),"")</f>
        <v/>
      </c>
    </row>
    <row r="7091">
      <c r="A7091">
        <f>IFERROR(INDEX('Email Cleaner'!$B$2:$B$10001,MATCH(7090,'Email Cleaner'!$G$2:$G$10001,0)),"")</f>
        <v/>
      </c>
    </row>
    <row r="7092">
      <c r="A7092">
        <f>IFERROR(INDEX('Email Cleaner'!$B$2:$B$10001,MATCH(7091,'Email Cleaner'!$G$2:$G$10001,0)),"")</f>
        <v/>
      </c>
    </row>
    <row r="7093">
      <c r="A7093">
        <f>IFERROR(INDEX('Email Cleaner'!$B$2:$B$10001,MATCH(7092,'Email Cleaner'!$G$2:$G$10001,0)),"")</f>
        <v/>
      </c>
    </row>
    <row r="7094">
      <c r="A7094">
        <f>IFERROR(INDEX('Email Cleaner'!$B$2:$B$10001,MATCH(7093,'Email Cleaner'!$G$2:$G$10001,0)),"")</f>
        <v/>
      </c>
    </row>
    <row r="7095">
      <c r="A7095">
        <f>IFERROR(INDEX('Email Cleaner'!$B$2:$B$10001,MATCH(7094,'Email Cleaner'!$G$2:$G$10001,0)),"")</f>
        <v/>
      </c>
    </row>
    <row r="7096">
      <c r="A7096">
        <f>IFERROR(INDEX('Email Cleaner'!$B$2:$B$10001,MATCH(7095,'Email Cleaner'!$G$2:$G$10001,0)),"")</f>
        <v/>
      </c>
    </row>
    <row r="7097">
      <c r="A7097">
        <f>IFERROR(INDEX('Email Cleaner'!$B$2:$B$10001,MATCH(7096,'Email Cleaner'!$G$2:$G$10001,0)),"")</f>
        <v/>
      </c>
    </row>
    <row r="7098">
      <c r="A7098">
        <f>IFERROR(INDEX('Email Cleaner'!$B$2:$B$10001,MATCH(7097,'Email Cleaner'!$G$2:$G$10001,0)),"")</f>
        <v/>
      </c>
    </row>
    <row r="7099">
      <c r="A7099">
        <f>IFERROR(INDEX('Email Cleaner'!$B$2:$B$10001,MATCH(7098,'Email Cleaner'!$G$2:$G$10001,0)),"")</f>
        <v/>
      </c>
    </row>
    <row r="7100">
      <c r="A7100">
        <f>IFERROR(INDEX('Email Cleaner'!$B$2:$B$10001,MATCH(7099,'Email Cleaner'!$G$2:$G$10001,0)),"")</f>
        <v/>
      </c>
    </row>
    <row r="7101">
      <c r="A7101">
        <f>IFERROR(INDEX('Email Cleaner'!$B$2:$B$10001,MATCH(7100,'Email Cleaner'!$G$2:$G$10001,0)),"")</f>
        <v/>
      </c>
    </row>
    <row r="7102">
      <c r="A7102">
        <f>IFERROR(INDEX('Email Cleaner'!$B$2:$B$10001,MATCH(7101,'Email Cleaner'!$G$2:$G$10001,0)),"")</f>
        <v/>
      </c>
    </row>
    <row r="7103">
      <c r="A7103">
        <f>IFERROR(INDEX('Email Cleaner'!$B$2:$B$10001,MATCH(7102,'Email Cleaner'!$G$2:$G$10001,0)),"")</f>
        <v/>
      </c>
    </row>
    <row r="7104">
      <c r="A7104">
        <f>IFERROR(INDEX('Email Cleaner'!$B$2:$B$10001,MATCH(7103,'Email Cleaner'!$G$2:$G$10001,0)),"")</f>
        <v/>
      </c>
    </row>
    <row r="7105">
      <c r="A7105">
        <f>IFERROR(INDEX('Email Cleaner'!$B$2:$B$10001,MATCH(7104,'Email Cleaner'!$G$2:$G$10001,0)),"")</f>
        <v/>
      </c>
    </row>
    <row r="7106">
      <c r="A7106">
        <f>IFERROR(INDEX('Email Cleaner'!$B$2:$B$10001,MATCH(7105,'Email Cleaner'!$G$2:$G$10001,0)),"")</f>
        <v/>
      </c>
    </row>
    <row r="7107">
      <c r="A7107">
        <f>IFERROR(INDEX('Email Cleaner'!$B$2:$B$10001,MATCH(7106,'Email Cleaner'!$G$2:$G$10001,0)),"")</f>
        <v/>
      </c>
    </row>
    <row r="7108">
      <c r="A7108">
        <f>IFERROR(INDEX('Email Cleaner'!$B$2:$B$10001,MATCH(7107,'Email Cleaner'!$G$2:$G$10001,0)),"")</f>
        <v/>
      </c>
    </row>
    <row r="7109">
      <c r="A7109">
        <f>IFERROR(INDEX('Email Cleaner'!$B$2:$B$10001,MATCH(7108,'Email Cleaner'!$G$2:$G$10001,0)),"")</f>
        <v/>
      </c>
    </row>
    <row r="7110">
      <c r="A7110">
        <f>IFERROR(INDEX('Email Cleaner'!$B$2:$B$10001,MATCH(7109,'Email Cleaner'!$G$2:$G$10001,0)),"")</f>
        <v/>
      </c>
    </row>
    <row r="7111">
      <c r="A7111">
        <f>IFERROR(INDEX('Email Cleaner'!$B$2:$B$10001,MATCH(7110,'Email Cleaner'!$G$2:$G$10001,0)),"")</f>
        <v/>
      </c>
    </row>
    <row r="7112">
      <c r="A7112">
        <f>IFERROR(INDEX('Email Cleaner'!$B$2:$B$10001,MATCH(7111,'Email Cleaner'!$G$2:$G$10001,0)),"")</f>
        <v/>
      </c>
    </row>
    <row r="7113">
      <c r="A7113">
        <f>IFERROR(INDEX('Email Cleaner'!$B$2:$B$10001,MATCH(7112,'Email Cleaner'!$G$2:$G$10001,0)),"")</f>
        <v/>
      </c>
    </row>
    <row r="7114">
      <c r="A7114">
        <f>IFERROR(INDEX('Email Cleaner'!$B$2:$B$10001,MATCH(7113,'Email Cleaner'!$G$2:$G$10001,0)),"")</f>
        <v/>
      </c>
    </row>
    <row r="7115">
      <c r="A7115">
        <f>IFERROR(INDEX('Email Cleaner'!$B$2:$B$10001,MATCH(7114,'Email Cleaner'!$G$2:$G$10001,0)),"")</f>
        <v/>
      </c>
    </row>
    <row r="7116">
      <c r="A7116">
        <f>IFERROR(INDEX('Email Cleaner'!$B$2:$B$10001,MATCH(7115,'Email Cleaner'!$G$2:$G$10001,0)),"")</f>
        <v/>
      </c>
    </row>
    <row r="7117">
      <c r="A7117">
        <f>IFERROR(INDEX('Email Cleaner'!$B$2:$B$10001,MATCH(7116,'Email Cleaner'!$G$2:$G$10001,0)),"")</f>
        <v/>
      </c>
    </row>
    <row r="7118">
      <c r="A7118">
        <f>IFERROR(INDEX('Email Cleaner'!$B$2:$B$10001,MATCH(7117,'Email Cleaner'!$G$2:$G$10001,0)),"")</f>
        <v/>
      </c>
    </row>
    <row r="7119">
      <c r="A7119">
        <f>IFERROR(INDEX('Email Cleaner'!$B$2:$B$10001,MATCH(7118,'Email Cleaner'!$G$2:$G$10001,0)),"")</f>
        <v/>
      </c>
    </row>
    <row r="7120">
      <c r="A7120">
        <f>IFERROR(INDEX('Email Cleaner'!$B$2:$B$10001,MATCH(7119,'Email Cleaner'!$G$2:$G$10001,0)),"")</f>
        <v/>
      </c>
    </row>
    <row r="7121">
      <c r="A7121">
        <f>IFERROR(INDEX('Email Cleaner'!$B$2:$B$10001,MATCH(7120,'Email Cleaner'!$G$2:$G$10001,0)),"")</f>
        <v/>
      </c>
    </row>
    <row r="7122">
      <c r="A7122">
        <f>IFERROR(INDEX('Email Cleaner'!$B$2:$B$10001,MATCH(7121,'Email Cleaner'!$G$2:$G$10001,0)),"")</f>
        <v/>
      </c>
    </row>
    <row r="7123">
      <c r="A7123">
        <f>IFERROR(INDEX('Email Cleaner'!$B$2:$B$10001,MATCH(7122,'Email Cleaner'!$G$2:$G$10001,0)),"")</f>
        <v/>
      </c>
    </row>
    <row r="7124">
      <c r="A7124">
        <f>IFERROR(INDEX('Email Cleaner'!$B$2:$B$10001,MATCH(7123,'Email Cleaner'!$G$2:$G$10001,0)),"")</f>
        <v/>
      </c>
    </row>
    <row r="7125">
      <c r="A7125">
        <f>IFERROR(INDEX('Email Cleaner'!$B$2:$B$10001,MATCH(7124,'Email Cleaner'!$G$2:$G$10001,0)),"")</f>
        <v/>
      </c>
    </row>
    <row r="7126">
      <c r="A7126">
        <f>IFERROR(INDEX('Email Cleaner'!$B$2:$B$10001,MATCH(7125,'Email Cleaner'!$G$2:$G$10001,0)),"")</f>
        <v/>
      </c>
    </row>
    <row r="7127">
      <c r="A7127">
        <f>IFERROR(INDEX('Email Cleaner'!$B$2:$B$10001,MATCH(7126,'Email Cleaner'!$G$2:$G$10001,0)),"")</f>
        <v/>
      </c>
    </row>
    <row r="7128">
      <c r="A7128">
        <f>IFERROR(INDEX('Email Cleaner'!$B$2:$B$10001,MATCH(7127,'Email Cleaner'!$G$2:$G$10001,0)),"")</f>
        <v/>
      </c>
    </row>
    <row r="7129">
      <c r="A7129">
        <f>IFERROR(INDEX('Email Cleaner'!$B$2:$B$10001,MATCH(7128,'Email Cleaner'!$G$2:$G$10001,0)),"")</f>
        <v/>
      </c>
    </row>
    <row r="7130">
      <c r="A7130">
        <f>IFERROR(INDEX('Email Cleaner'!$B$2:$B$10001,MATCH(7129,'Email Cleaner'!$G$2:$G$10001,0)),"")</f>
        <v/>
      </c>
    </row>
    <row r="7131">
      <c r="A7131">
        <f>IFERROR(INDEX('Email Cleaner'!$B$2:$B$10001,MATCH(7130,'Email Cleaner'!$G$2:$G$10001,0)),"")</f>
        <v/>
      </c>
    </row>
    <row r="7132">
      <c r="A7132">
        <f>IFERROR(INDEX('Email Cleaner'!$B$2:$B$10001,MATCH(7131,'Email Cleaner'!$G$2:$G$10001,0)),"")</f>
        <v/>
      </c>
    </row>
    <row r="7133">
      <c r="A7133">
        <f>IFERROR(INDEX('Email Cleaner'!$B$2:$B$10001,MATCH(7132,'Email Cleaner'!$G$2:$G$10001,0)),"")</f>
        <v/>
      </c>
    </row>
    <row r="7134">
      <c r="A7134">
        <f>IFERROR(INDEX('Email Cleaner'!$B$2:$B$10001,MATCH(7133,'Email Cleaner'!$G$2:$G$10001,0)),"")</f>
        <v/>
      </c>
    </row>
    <row r="7135">
      <c r="A7135">
        <f>IFERROR(INDEX('Email Cleaner'!$B$2:$B$10001,MATCH(7134,'Email Cleaner'!$G$2:$G$10001,0)),"")</f>
        <v/>
      </c>
    </row>
    <row r="7136">
      <c r="A7136">
        <f>IFERROR(INDEX('Email Cleaner'!$B$2:$B$10001,MATCH(7135,'Email Cleaner'!$G$2:$G$10001,0)),"")</f>
        <v/>
      </c>
    </row>
    <row r="7137">
      <c r="A7137">
        <f>IFERROR(INDEX('Email Cleaner'!$B$2:$B$10001,MATCH(7136,'Email Cleaner'!$G$2:$G$10001,0)),"")</f>
        <v/>
      </c>
    </row>
    <row r="7138">
      <c r="A7138">
        <f>IFERROR(INDEX('Email Cleaner'!$B$2:$B$10001,MATCH(7137,'Email Cleaner'!$G$2:$G$10001,0)),"")</f>
        <v/>
      </c>
    </row>
    <row r="7139">
      <c r="A7139">
        <f>IFERROR(INDEX('Email Cleaner'!$B$2:$B$10001,MATCH(7138,'Email Cleaner'!$G$2:$G$10001,0)),"")</f>
        <v/>
      </c>
    </row>
    <row r="7140">
      <c r="A7140">
        <f>IFERROR(INDEX('Email Cleaner'!$B$2:$B$10001,MATCH(7139,'Email Cleaner'!$G$2:$G$10001,0)),"")</f>
        <v/>
      </c>
    </row>
    <row r="7141">
      <c r="A7141">
        <f>IFERROR(INDEX('Email Cleaner'!$B$2:$B$10001,MATCH(7140,'Email Cleaner'!$G$2:$G$10001,0)),"")</f>
        <v/>
      </c>
    </row>
    <row r="7142">
      <c r="A7142">
        <f>IFERROR(INDEX('Email Cleaner'!$B$2:$B$10001,MATCH(7141,'Email Cleaner'!$G$2:$G$10001,0)),"")</f>
        <v/>
      </c>
    </row>
    <row r="7143">
      <c r="A7143">
        <f>IFERROR(INDEX('Email Cleaner'!$B$2:$B$10001,MATCH(7142,'Email Cleaner'!$G$2:$G$10001,0)),"")</f>
        <v/>
      </c>
    </row>
    <row r="7144">
      <c r="A7144">
        <f>IFERROR(INDEX('Email Cleaner'!$B$2:$B$10001,MATCH(7143,'Email Cleaner'!$G$2:$G$10001,0)),"")</f>
        <v/>
      </c>
    </row>
    <row r="7145">
      <c r="A7145">
        <f>IFERROR(INDEX('Email Cleaner'!$B$2:$B$10001,MATCH(7144,'Email Cleaner'!$G$2:$G$10001,0)),"")</f>
        <v/>
      </c>
    </row>
    <row r="7146">
      <c r="A7146">
        <f>IFERROR(INDEX('Email Cleaner'!$B$2:$B$10001,MATCH(7145,'Email Cleaner'!$G$2:$G$10001,0)),"")</f>
        <v/>
      </c>
    </row>
    <row r="7147">
      <c r="A7147">
        <f>IFERROR(INDEX('Email Cleaner'!$B$2:$B$10001,MATCH(7146,'Email Cleaner'!$G$2:$G$10001,0)),"")</f>
        <v/>
      </c>
    </row>
    <row r="7148">
      <c r="A7148">
        <f>IFERROR(INDEX('Email Cleaner'!$B$2:$B$10001,MATCH(7147,'Email Cleaner'!$G$2:$G$10001,0)),"")</f>
        <v/>
      </c>
    </row>
    <row r="7149">
      <c r="A7149">
        <f>IFERROR(INDEX('Email Cleaner'!$B$2:$B$10001,MATCH(7148,'Email Cleaner'!$G$2:$G$10001,0)),"")</f>
        <v/>
      </c>
    </row>
    <row r="7150">
      <c r="A7150">
        <f>IFERROR(INDEX('Email Cleaner'!$B$2:$B$10001,MATCH(7149,'Email Cleaner'!$G$2:$G$10001,0)),"")</f>
        <v/>
      </c>
    </row>
    <row r="7151">
      <c r="A7151">
        <f>IFERROR(INDEX('Email Cleaner'!$B$2:$B$10001,MATCH(7150,'Email Cleaner'!$G$2:$G$10001,0)),"")</f>
        <v/>
      </c>
    </row>
    <row r="7152">
      <c r="A7152">
        <f>IFERROR(INDEX('Email Cleaner'!$B$2:$B$10001,MATCH(7151,'Email Cleaner'!$G$2:$G$10001,0)),"")</f>
        <v/>
      </c>
    </row>
    <row r="7153">
      <c r="A7153">
        <f>IFERROR(INDEX('Email Cleaner'!$B$2:$B$10001,MATCH(7152,'Email Cleaner'!$G$2:$G$10001,0)),"")</f>
        <v/>
      </c>
    </row>
    <row r="7154">
      <c r="A7154">
        <f>IFERROR(INDEX('Email Cleaner'!$B$2:$B$10001,MATCH(7153,'Email Cleaner'!$G$2:$G$10001,0)),"")</f>
        <v/>
      </c>
    </row>
    <row r="7155">
      <c r="A7155">
        <f>IFERROR(INDEX('Email Cleaner'!$B$2:$B$10001,MATCH(7154,'Email Cleaner'!$G$2:$G$10001,0)),"")</f>
        <v/>
      </c>
    </row>
    <row r="7156">
      <c r="A7156">
        <f>IFERROR(INDEX('Email Cleaner'!$B$2:$B$10001,MATCH(7155,'Email Cleaner'!$G$2:$G$10001,0)),"")</f>
        <v/>
      </c>
    </row>
    <row r="7157">
      <c r="A7157">
        <f>IFERROR(INDEX('Email Cleaner'!$B$2:$B$10001,MATCH(7156,'Email Cleaner'!$G$2:$G$10001,0)),"")</f>
        <v/>
      </c>
    </row>
    <row r="7158">
      <c r="A7158">
        <f>IFERROR(INDEX('Email Cleaner'!$B$2:$B$10001,MATCH(7157,'Email Cleaner'!$G$2:$G$10001,0)),"")</f>
        <v/>
      </c>
    </row>
    <row r="7159">
      <c r="A7159">
        <f>IFERROR(INDEX('Email Cleaner'!$B$2:$B$10001,MATCH(7158,'Email Cleaner'!$G$2:$G$10001,0)),"")</f>
        <v/>
      </c>
    </row>
    <row r="7160">
      <c r="A7160">
        <f>IFERROR(INDEX('Email Cleaner'!$B$2:$B$10001,MATCH(7159,'Email Cleaner'!$G$2:$G$10001,0)),"")</f>
        <v/>
      </c>
    </row>
    <row r="7161">
      <c r="A7161">
        <f>IFERROR(INDEX('Email Cleaner'!$B$2:$B$10001,MATCH(7160,'Email Cleaner'!$G$2:$G$10001,0)),"")</f>
        <v/>
      </c>
    </row>
    <row r="7162">
      <c r="A7162">
        <f>IFERROR(INDEX('Email Cleaner'!$B$2:$B$10001,MATCH(7161,'Email Cleaner'!$G$2:$G$10001,0)),"")</f>
        <v/>
      </c>
    </row>
    <row r="7163">
      <c r="A7163">
        <f>IFERROR(INDEX('Email Cleaner'!$B$2:$B$10001,MATCH(7162,'Email Cleaner'!$G$2:$G$10001,0)),"")</f>
        <v/>
      </c>
    </row>
    <row r="7164">
      <c r="A7164">
        <f>IFERROR(INDEX('Email Cleaner'!$B$2:$B$10001,MATCH(7163,'Email Cleaner'!$G$2:$G$10001,0)),"")</f>
        <v/>
      </c>
    </row>
    <row r="7165">
      <c r="A7165">
        <f>IFERROR(INDEX('Email Cleaner'!$B$2:$B$10001,MATCH(7164,'Email Cleaner'!$G$2:$G$10001,0)),"")</f>
        <v/>
      </c>
    </row>
    <row r="7166">
      <c r="A7166">
        <f>IFERROR(INDEX('Email Cleaner'!$B$2:$B$10001,MATCH(7165,'Email Cleaner'!$G$2:$G$10001,0)),"")</f>
        <v/>
      </c>
    </row>
    <row r="7167">
      <c r="A7167">
        <f>IFERROR(INDEX('Email Cleaner'!$B$2:$B$10001,MATCH(7166,'Email Cleaner'!$G$2:$G$10001,0)),"")</f>
        <v/>
      </c>
    </row>
    <row r="7168">
      <c r="A7168">
        <f>IFERROR(INDEX('Email Cleaner'!$B$2:$B$10001,MATCH(7167,'Email Cleaner'!$G$2:$G$10001,0)),"")</f>
        <v/>
      </c>
    </row>
    <row r="7169">
      <c r="A7169">
        <f>IFERROR(INDEX('Email Cleaner'!$B$2:$B$10001,MATCH(7168,'Email Cleaner'!$G$2:$G$10001,0)),"")</f>
        <v/>
      </c>
    </row>
    <row r="7170">
      <c r="A7170">
        <f>IFERROR(INDEX('Email Cleaner'!$B$2:$B$10001,MATCH(7169,'Email Cleaner'!$G$2:$G$10001,0)),"")</f>
        <v/>
      </c>
    </row>
    <row r="7171">
      <c r="A7171">
        <f>IFERROR(INDEX('Email Cleaner'!$B$2:$B$10001,MATCH(7170,'Email Cleaner'!$G$2:$G$10001,0)),"")</f>
        <v/>
      </c>
    </row>
    <row r="7172">
      <c r="A7172">
        <f>IFERROR(INDEX('Email Cleaner'!$B$2:$B$10001,MATCH(7171,'Email Cleaner'!$G$2:$G$10001,0)),"")</f>
        <v/>
      </c>
    </row>
    <row r="7173">
      <c r="A7173">
        <f>IFERROR(INDEX('Email Cleaner'!$B$2:$B$10001,MATCH(7172,'Email Cleaner'!$G$2:$G$10001,0)),"")</f>
        <v/>
      </c>
    </row>
    <row r="7174">
      <c r="A7174">
        <f>IFERROR(INDEX('Email Cleaner'!$B$2:$B$10001,MATCH(7173,'Email Cleaner'!$G$2:$G$10001,0)),"")</f>
        <v/>
      </c>
    </row>
    <row r="7175">
      <c r="A7175">
        <f>IFERROR(INDEX('Email Cleaner'!$B$2:$B$10001,MATCH(7174,'Email Cleaner'!$G$2:$G$10001,0)),"")</f>
        <v/>
      </c>
    </row>
    <row r="7176">
      <c r="A7176">
        <f>IFERROR(INDEX('Email Cleaner'!$B$2:$B$10001,MATCH(7175,'Email Cleaner'!$G$2:$G$10001,0)),"")</f>
        <v/>
      </c>
    </row>
    <row r="7177">
      <c r="A7177">
        <f>IFERROR(INDEX('Email Cleaner'!$B$2:$B$10001,MATCH(7176,'Email Cleaner'!$G$2:$G$10001,0)),"")</f>
        <v/>
      </c>
    </row>
    <row r="7178">
      <c r="A7178">
        <f>IFERROR(INDEX('Email Cleaner'!$B$2:$B$10001,MATCH(7177,'Email Cleaner'!$G$2:$G$10001,0)),"")</f>
        <v/>
      </c>
    </row>
    <row r="7179">
      <c r="A7179">
        <f>IFERROR(INDEX('Email Cleaner'!$B$2:$B$10001,MATCH(7178,'Email Cleaner'!$G$2:$G$10001,0)),"")</f>
        <v/>
      </c>
    </row>
    <row r="7180">
      <c r="A7180">
        <f>IFERROR(INDEX('Email Cleaner'!$B$2:$B$10001,MATCH(7179,'Email Cleaner'!$G$2:$G$10001,0)),"")</f>
        <v/>
      </c>
    </row>
    <row r="7181">
      <c r="A7181">
        <f>IFERROR(INDEX('Email Cleaner'!$B$2:$B$10001,MATCH(7180,'Email Cleaner'!$G$2:$G$10001,0)),"")</f>
        <v/>
      </c>
    </row>
    <row r="7182">
      <c r="A7182">
        <f>IFERROR(INDEX('Email Cleaner'!$B$2:$B$10001,MATCH(7181,'Email Cleaner'!$G$2:$G$10001,0)),"")</f>
        <v/>
      </c>
    </row>
    <row r="7183">
      <c r="A7183">
        <f>IFERROR(INDEX('Email Cleaner'!$B$2:$B$10001,MATCH(7182,'Email Cleaner'!$G$2:$G$10001,0)),"")</f>
        <v/>
      </c>
    </row>
    <row r="7184">
      <c r="A7184">
        <f>IFERROR(INDEX('Email Cleaner'!$B$2:$B$10001,MATCH(7183,'Email Cleaner'!$G$2:$G$10001,0)),"")</f>
        <v/>
      </c>
    </row>
    <row r="7185">
      <c r="A7185">
        <f>IFERROR(INDEX('Email Cleaner'!$B$2:$B$10001,MATCH(7184,'Email Cleaner'!$G$2:$G$10001,0)),"")</f>
        <v/>
      </c>
    </row>
    <row r="7186">
      <c r="A7186">
        <f>IFERROR(INDEX('Email Cleaner'!$B$2:$B$10001,MATCH(7185,'Email Cleaner'!$G$2:$G$10001,0)),"")</f>
        <v/>
      </c>
    </row>
    <row r="7187">
      <c r="A7187">
        <f>IFERROR(INDEX('Email Cleaner'!$B$2:$B$10001,MATCH(7186,'Email Cleaner'!$G$2:$G$10001,0)),"")</f>
        <v/>
      </c>
    </row>
    <row r="7188">
      <c r="A7188">
        <f>IFERROR(INDEX('Email Cleaner'!$B$2:$B$10001,MATCH(7187,'Email Cleaner'!$G$2:$G$10001,0)),"")</f>
        <v/>
      </c>
    </row>
    <row r="7189">
      <c r="A7189">
        <f>IFERROR(INDEX('Email Cleaner'!$B$2:$B$10001,MATCH(7188,'Email Cleaner'!$G$2:$G$10001,0)),"")</f>
        <v/>
      </c>
    </row>
    <row r="7190">
      <c r="A7190">
        <f>IFERROR(INDEX('Email Cleaner'!$B$2:$B$10001,MATCH(7189,'Email Cleaner'!$G$2:$G$10001,0)),"")</f>
        <v/>
      </c>
    </row>
    <row r="7191">
      <c r="A7191">
        <f>IFERROR(INDEX('Email Cleaner'!$B$2:$B$10001,MATCH(7190,'Email Cleaner'!$G$2:$G$10001,0)),"")</f>
        <v/>
      </c>
    </row>
    <row r="7192">
      <c r="A7192">
        <f>IFERROR(INDEX('Email Cleaner'!$B$2:$B$10001,MATCH(7191,'Email Cleaner'!$G$2:$G$10001,0)),"")</f>
        <v/>
      </c>
    </row>
    <row r="7193">
      <c r="A7193">
        <f>IFERROR(INDEX('Email Cleaner'!$B$2:$B$10001,MATCH(7192,'Email Cleaner'!$G$2:$G$10001,0)),"")</f>
        <v/>
      </c>
    </row>
    <row r="7194">
      <c r="A7194">
        <f>IFERROR(INDEX('Email Cleaner'!$B$2:$B$10001,MATCH(7193,'Email Cleaner'!$G$2:$G$10001,0)),"")</f>
        <v/>
      </c>
    </row>
    <row r="7195">
      <c r="A7195">
        <f>IFERROR(INDEX('Email Cleaner'!$B$2:$B$10001,MATCH(7194,'Email Cleaner'!$G$2:$G$10001,0)),"")</f>
        <v/>
      </c>
    </row>
    <row r="7196">
      <c r="A7196">
        <f>IFERROR(INDEX('Email Cleaner'!$B$2:$B$10001,MATCH(7195,'Email Cleaner'!$G$2:$G$10001,0)),"")</f>
        <v/>
      </c>
    </row>
    <row r="7197">
      <c r="A7197">
        <f>IFERROR(INDEX('Email Cleaner'!$B$2:$B$10001,MATCH(7196,'Email Cleaner'!$G$2:$G$10001,0)),"")</f>
        <v/>
      </c>
    </row>
    <row r="7198">
      <c r="A7198">
        <f>IFERROR(INDEX('Email Cleaner'!$B$2:$B$10001,MATCH(7197,'Email Cleaner'!$G$2:$G$10001,0)),"")</f>
        <v/>
      </c>
    </row>
    <row r="7199">
      <c r="A7199">
        <f>IFERROR(INDEX('Email Cleaner'!$B$2:$B$10001,MATCH(7198,'Email Cleaner'!$G$2:$G$10001,0)),"")</f>
        <v/>
      </c>
    </row>
    <row r="7200">
      <c r="A7200">
        <f>IFERROR(INDEX('Email Cleaner'!$B$2:$B$10001,MATCH(7199,'Email Cleaner'!$G$2:$G$10001,0)),"")</f>
        <v/>
      </c>
    </row>
    <row r="7201">
      <c r="A7201">
        <f>IFERROR(INDEX('Email Cleaner'!$B$2:$B$10001,MATCH(7200,'Email Cleaner'!$G$2:$G$10001,0)),"")</f>
        <v/>
      </c>
    </row>
    <row r="7202">
      <c r="A7202">
        <f>IFERROR(INDEX('Email Cleaner'!$B$2:$B$10001,MATCH(7201,'Email Cleaner'!$G$2:$G$10001,0)),"")</f>
        <v/>
      </c>
    </row>
    <row r="7203">
      <c r="A7203">
        <f>IFERROR(INDEX('Email Cleaner'!$B$2:$B$10001,MATCH(7202,'Email Cleaner'!$G$2:$G$10001,0)),"")</f>
        <v/>
      </c>
    </row>
    <row r="7204">
      <c r="A7204">
        <f>IFERROR(INDEX('Email Cleaner'!$B$2:$B$10001,MATCH(7203,'Email Cleaner'!$G$2:$G$10001,0)),"")</f>
        <v/>
      </c>
    </row>
    <row r="7205">
      <c r="A7205">
        <f>IFERROR(INDEX('Email Cleaner'!$B$2:$B$10001,MATCH(7204,'Email Cleaner'!$G$2:$G$10001,0)),"")</f>
        <v/>
      </c>
    </row>
    <row r="7206">
      <c r="A7206">
        <f>IFERROR(INDEX('Email Cleaner'!$B$2:$B$10001,MATCH(7205,'Email Cleaner'!$G$2:$G$10001,0)),"")</f>
        <v/>
      </c>
    </row>
    <row r="7207">
      <c r="A7207">
        <f>IFERROR(INDEX('Email Cleaner'!$B$2:$B$10001,MATCH(7206,'Email Cleaner'!$G$2:$G$10001,0)),"")</f>
        <v/>
      </c>
    </row>
    <row r="7208">
      <c r="A7208">
        <f>IFERROR(INDEX('Email Cleaner'!$B$2:$B$10001,MATCH(7207,'Email Cleaner'!$G$2:$G$10001,0)),"")</f>
        <v/>
      </c>
    </row>
    <row r="7209">
      <c r="A7209">
        <f>IFERROR(INDEX('Email Cleaner'!$B$2:$B$10001,MATCH(7208,'Email Cleaner'!$G$2:$G$10001,0)),"")</f>
        <v/>
      </c>
    </row>
    <row r="7210">
      <c r="A7210">
        <f>IFERROR(INDEX('Email Cleaner'!$B$2:$B$10001,MATCH(7209,'Email Cleaner'!$G$2:$G$10001,0)),"")</f>
        <v/>
      </c>
    </row>
    <row r="7211">
      <c r="A7211">
        <f>IFERROR(INDEX('Email Cleaner'!$B$2:$B$10001,MATCH(7210,'Email Cleaner'!$G$2:$G$10001,0)),"")</f>
        <v/>
      </c>
    </row>
    <row r="7212">
      <c r="A7212">
        <f>IFERROR(INDEX('Email Cleaner'!$B$2:$B$10001,MATCH(7211,'Email Cleaner'!$G$2:$G$10001,0)),"")</f>
        <v/>
      </c>
    </row>
    <row r="7213">
      <c r="A7213">
        <f>IFERROR(INDEX('Email Cleaner'!$B$2:$B$10001,MATCH(7212,'Email Cleaner'!$G$2:$G$10001,0)),"")</f>
        <v/>
      </c>
    </row>
    <row r="7214">
      <c r="A7214">
        <f>IFERROR(INDEX('Email Cleaner'!$B$2:$B$10001,MATCH(7213,'Email Cleaner'!$G$2:$G$10001,0)),"")</f>
        <v/>
      </c>
    </row>
    <row r="7215">
      <c r="A7215">
        <f>IFERROR(INDEX('Email Cleaner'!$B$2:$B$10001,MATCH(7214,'Email Cleaner'!$G$2:$G$10001,0)),"")</f>
        <v/>
      </c>
    </row>
    <row r="7216">
      <c r="A7216">
        <f>IFERROR(INDEX('Email Cleaner'!$B$2:$B$10001,MATCH(7215,'Email Cleaner'!$G$2:$G$10001,0)),"")</f>
        <v/>
      </c>
    </row>
    <row r="7217">
      <c r="A7217">
        <f>IFERROR(INDEX('Email Cleaner'!$B$2:$B$10001,MATCH(7216,'Email Cleaner'!$G$2:$G$10001,0)),"")</f>
        <v/>
      </c>
    </row>
    <row r="7218">
      <c r="A7218">
        <f>IFERROR(INDEX('Email Cleaner'!$B$2:$B$10001,MATCH(7217,'Email Cleaner'!$G$2:$G$10001,0)),"")</f>
        <v/>
      </c>
    </row>
    <row r="7219">
      <c r="A7219">
        <f>IFERROR(INDEX('Email Cleaner'!$B$2:$B$10001,MATCH(7218,'Email Cleaner'!$G$2:$G$10001,0)),"")</f>
        <v/>
      </c>
    </row>
    <row r="7220">
      <c r="A7220">
        <f>IFERROR(INDEX('Email Cleaner'!$B$2:$B$10001,MATCH(7219,'Email Cleaner'!$G$2:$G$10001,0)),"")</f>
        <v/>
      </c>
    </row>
    <row r="7221">
      <c r="A7221">
        <f>IFERROR(INDEX('Email Cleaner'!$B$2:$B$10001,MATCH(7220,'Email Cleaner'!$G$2:$G$10001,0)),"")</f>
        <v/>
      </c>
    </row>
    <row r="7222">
      <c r="A7222">
        <f>IFERROR(INDEX('Email Cleaner'!$B$2:$B$10001,MATCH(7221,'Email Cleaner'!$G$2:$G$10001,0)),"")</f>
        <v/>
      </c>
    </row>
    <row r="7223">
      <c r="A7223">
        <f>IFERROR(INDEX('Email Cleaner'!$B$2:$B$10001,MATCH(7222,'Email Cleaner'!$G$2:$G$10001,0)),"")</f>
        <v/>
      </c>
    </row>
    <row r="7224">
      <c r="A7224">
        <f>IFERROR(INDEX('Email Cleaner'!$B$2:$B$10001,MATCH(7223,'Email Cleaner'!$G$2:$G$10001,0)),"")</f>
        <v/>
      </c>
    </row>
    <row r="7225">
      <c r="A7225">
        <f>IFERROR(INDEX('Email Cleaner'!$B$2:$B$10001,MATCH(7224,'Email Cleaner'!$G$2:$G$10001,0)),"")</f>
        <v/>
      </c>
    </row>
    <row r="7226">
      <c r="A7226">
        <f>IFERROR(INDEX('Email Cleaner'!$B$2:$B$10001,MATCH(7225,'Email Cleaner'!$G$2:$G$10001,0)),"")</f>
        <v/>
      </c>
    </row>
    <row r="7227">
      <c r="A7227">
        <f>IFERROR(INDEX('Email Cleaner'!$B$2:$B$10001,MATCH(7226,'Email Cleaner'!$G$2:$G$10001,0)),"")</f>
        <v/>
      </c>
    </row>
    <row r="7228">
      <c r="A7228">
        <f>IFERROR(INDEX('Email Cleaner'!$B$2:$B$10001,MATCH(7227,'Email Cleaner'!$G$2:$G$10001,0)),"")</f>
        <v/>
      </c>
    </row>
    <row r="7229">
      <c r="A7229">
        <f>IFERROR(INDEX('Email Cleaner'!$B$2:$B$10001,MATCH(7228,'Email Cleaner'!$G$2:$G$10001,0)),"")</f>
        <v/>
      </c>
    </row>
    <row r="7230">
      <c r="A7230">
        <f>IFERROR(INDEX('Email Cleaner'!$B$2:$B$10001,MATCH(7229,'Email Cleaner'!$G$2:$G$10001,0)),"")</f>
        <v/>
      </c>
    </row>
    <row r="7231">
      <c r="A7231">
        <f>IFERROR(INDEX('Email Cleaner'!$B$2:$B$10001,MATCH(7230,'Email Cleaner'!$G$2:$G$10001,0)),"")</f>
        <v/>
      </c>
    </row>
    <row r="7232">
      <c r="A7232">
        <f>IFERROR(INDEX('Email Cleaner'!$B$2:$B$10001,MATCH(7231,'Email Cleaner'!$G$2:$G$10001,0)),"")</f>
        <v/>
      </c>
    </row>
    <row r="7233">
      <c r="A7233">
        <f>IFERROR(INDEX('Email Cleaner'!$B$2:$B$10001,MATCH(7232,'Email Cleaner'!$G$2:$G$10001,0)),"")</f>
        <v/>
      </c>
    </row>
    <row r="7234">
      <c r="A7234">
        <f>IFERROR(INDEX('Email Cleaner'!$B$2:$B$10001,MATCH(7233,'Email Cleaner'!$G$2:$G$10001,0)),"")</f>
        <v/>
      </c>
    </row>
    <row r="7235">
      <c r="A7235">
        <f>IFERROR(INDEX('Email Cleaner'!$B$2:$B$10001,MATCH(7234,'Email Cleaner'!$G$2:$G$10001,0)),"")</f>
        <v/>
      </c>
    </row>
    <row r="7236">
      <c r="A7236">
        <f>IFERROR(INDEX('Email Cleaner'!$B$2:$B$10001,MATCH(7235,'Email Cleaner'!$G$2:$G$10001,0)),"")</f>
        <v/>
      </c>
    </row>
    <row r="7237">
      <c r="A7237">
        <f>IFERROR(INDEX('Email Cleaner'!$B$2:$B$10001,MATCH(7236,'Email Cleaner'!$G$2:$G$10001,0)),"")</f>
        <v/>
      </c>
    </row>
    <row r="7238">
      <c r="A7238">
        <f>IFERROR(INDEX('Email Cleaner'!$B$2:$B$10001,MATCH(7237,'Email Cleaner'!$G$2:$G$10001,0)),"")</f>
        <v/>
      </c>
    </row>
    <row r="7239">
      <c r="A7239">
        <f>IFERROR(INDEX('Email Cleaner'!$B$2:$B$10001,MATCH(7238,'Email Cleaner'!$G$2:$G$10001,0)),"")</f>
        <v/>
      </c>
    </row>
    <row r="7240">
      <c r="A7240">
        <f>IFERROR(INDEX('Email Cleaner'!$B$2:$B$10001,MATCH(7239,'Email Cleaner'!$G$2:$G$10001,0)),"")</f>
        <v/>
      </c>
    </row>
    <row r="7241">
      <c r="A7241">
        <f>IFERROR(INDEX('Email Cleaner'!$B$2:$B$10001,MATCH(7240,'Email Cleaner'!$G$2:$G$10001,0)),"")</f>
        <v/>
      </c>
    </row>
    <row r="7242">
      <c r="A7242">
        <f>IFERROR(INDEX('Email Cleaner'!$B$2:$B$10001,MATCH(7241,'Email Cleaner'!$G$2:$G$10001,0)),"")</f>
        <v/>
      </c>
    </row>
    <row r="7243">
      <c r="A7243">
        <f>IFERROR(INDEX('Email Cleaner'!$B$2:$B$10001,MATCH(7242,'Email Cleaner'!$G$2:$G$10001,0)),"")</f>
        <v/>
      </c>
    </row>
    <row r="7244">
      <c r="A7244">
        <f>IFERROR(INDEX('Email Cleaner'!$B$2:$B$10001,MATCH(7243,'Email Cleaner'!$G$2:$G$10001,0)),"")</f>
        <v/>
      </c>
    </row>
    <row r="7245">
      <c r="A7245">
        <f>IFERROR(INDEX('Email Cleaner'!$B$2:$B$10001,MATCH(7244,'Email Cleaner'!$G$2:$G$10001,0)),"")</f>
        <v/>
      </c>
    </row>
    <row r="7246">
      <c r="A7246">
        <f>IFERROR(INDEX('Email Cleaner'!$B$2:$B$10001,MATCH(7245,'Email Cleaner'!$G$2:$G$10001,0)),"")</f>
        <v/>
      </c>
    </row>
    <row r="7247">
      <c r="A7247">
        <f>IFERROR(INDEX('Email Cleaner'!$B$2:$B$10001,MATCH(7246,'Email Cleaner'!$G$2:$G$10001,0)),"")</f>
        <v/>
      </c>
    </row>
    <row r="7248">
      <c r="A7248">
        <f>IFERROR(INDEX('Email Cleaner'!$B$2:$B$10001,MATCH(7247,'Email Cleaner'!$G$2:$G$10001,0)),"")</f>
        <v/>
      </c>
    </row>
    <row r="7249">
      <c r="A7249">
        <f>IFERROR(INDEX('Email Cleaner'!$B$2:$B$10001,MATCH(7248,'Email Cleaner'!$G$2:$G$10001,0)),"")</f>
        <v/>
      </c>
    </row>
    <row r="7250">
      <c r="A7250">
        <f>IFERROR(INDEX('Email Cleaner'!$B$2:$B$10001,MATCH(7249,'Email Cleaner'!$G$2:$G$10001,0)),"")</f>
        <v/>
      </c>
    </row>
    <row r="7251">
      <c r="A7251">
        <f>IFERROR(INDEX('Email Cleaner'!$B$2:$B$10001,MATCH(7250,'Email Cleaner'!$G$2:$G$10001,0)),"")</f>
        <v/>
      </c>
    </row>
    <row r="7252">
      <c r="A7252">
        <f>IFERROR(INDEX('Email Cleaner'!$B$2:$B$10001,MATCH(7251,'Email Cleaner'!$G$2:$G$10001,0)),"")</f>
        <v/>
      </c>
    </row>
    <row r="7253">
      <c r="A7253">
        <f>IFERROR(INDEX('Email Cleaner'!$B$2:$B$10001,MATCH(7252,'Email Cleaner'!$G$2:$G$10001,0)),"")</f>
        <v/>
      </c>
    </row>
    <row r="7254">
      <c r="A7254">
        <f>IFERROR(INDEX('Email Cleaner'!$B$2:$B$10001,MATCH(7253,'Email Cleaner'!$G$2:$G$10001,0)),"")</f>
        <v/>
      </c>
    </row>
    <row r="7255">
      <c r="A7255">
        <f>IFERROR(INDEX('Email Cleaner'!$B$2:$B$10001,MATCH(7254,'Email Cleaner'!$G$2:$G$10001,0)),"")</f>
        <v/>
      </c>
    </row>
    <row r="7256">
      <c r="A7256">
        <f>IFERROR(INDEX('Email Cleaner'!$B$2:$B$10001,MATCH(7255,'Email Cleaner'!$G$2:$G$10001,0)),"")</f>
        <v/>
      </c>
    </row>
    <row r="7257">
      <c r="A7257">
        <f>IFERROR(INDEX('Email Cleaner'!$B$2:$B$10001,MATCH(7256,'Email Cleaner'!$G$2:$G$10001,0)),"")</f>
        <v/>
      </c>
    </row>
    <row r="7258">
      <c r="A7258">
        <f>IFERROR(INDEX('Email Cleaner'!$B$2:$B$10001,MATCH(7257,'Email Cleaner'!$G$2:$G$10001,0)),"")</f>
        <v/>
      </c>
    </row>
    <row r="7259">
      <c r="A7259">
        <f>IFERROR(INDEX('Email Cleaner'!$B$2:$B$10001,MATCH(7258,'Email Cleaner'!$G$2:$G$10001,0)),"")</f>
        <v/>
      </c>
    </row>
    <row r="7260">
      <c r="A7260">
        <f>IFERROR(INDEX('Email Cleaner'!$B$2:$B$10001,MATCH(7259,'Email Cleaner'!$G$2:$G$10001,0)),"")</f>
        <v/>
      </c>
    </row>
    <row r="7261">
      <c r="A7261">
        <f>IFERROR(INDEX('Email Cleaner'!$B$2:$B$10001,MATCH(7260,'Email Cleaner'!$G$2:$G$10001,0)),"")</f>
        <v/>
      </c>
    </row>
    <row r="7262">
      <c r="A7262">
        <f>IFERROR(INDEX('Email Cleaner'!$B$2:$B$10001,MATCH(7261,'Email Cleaner'!$G$2:$G$10001,0)),"")</f>
        <v/>
      </c>
    </row>
    <row r="7263">
      <c r="A7263">
        <f>IFERROR(INDEX('Email Cleaner'!$B$2:$B$10001,MATCH(7262,'Email Cleaner'!$G$2:$G$10001,0)),"")</f>
        <v/>
      </c>
    </row>
    <row r="7264">
      <c r="A7264">
        <f>IFERROR(INDEX('Email Cleaner'!$B$2:$B$10001,MATCH(7263,'Email Cleaner'!$G$2:$G$10001,0)),"")</f>
        <v/>
      </c>
    </row>
    <row r="7265">
      <c r="A7265">
        <f>IFERROR(INDEX('Email Cleaner'!$B$2:$B$10001,MATCH(7264,'Email Cleaner'!$G$2:$G$10001,0)),"")</f>
        <v/>
      </c>
    </row>
    <row r="7266">
      <c r="A7266">
        <f>IFERROR(INDEX('Email Cleaner'!$B$2:$B$10001,MATCH(7265,'Email Cleaner'!$G$2:$G$10001,0)),"")</f>
        <v/>
      </c>
    </row>
    <row r="7267">
      <c r="A7267">
        <f>IFERROR(INDEX('Email Cleaner'!$B$2:$B$10001,MATCH(7266,'Email Cleaner'!$G$2:$G$10001,0)),"")</f>
        <v/>
      </c>
    </row>
    <row r="7268">
      <c r="A7268">
        <f>IFERROR(INDEX('Email Cleaner'!$B$2:$B$10001,MATCH(7267,'Email Cleaner'!$G$2:$G$10001,0)),"")</f>
        <v/>
      </c>
    </row>
    <row r="7269">
      <c r="A7269">
        <f>IFERROR(INDEX('Email Cleaner'!$B$2:$B$10001,MATCH(7268,'Email Cleaner'!$G$2:$G$10001,0)),"")</f>
        <v/>
      </c>
    </row>
    <row r="7270">
      <c r="A7270">
        <f>IFERROR(INDEX('Email Cleaner'!$B$2:$B$10001,MATCH(7269,'Email Cleaner'!$G$2:$G$10001,0)),"")</f>
        <v/>
      </c>
    </row>
    <row r="7271">
      <c r="A7271">
        <f>IFERROR(INDEX('Email Cleaner'!$B$2:$B$10001,MATCH(7270,'Email Cleaner'!$G$2:$G$10001,0)),"")</f>
        <v/>
      </c>
    </row>
    <row r="7272">
      <c r="A7272">
        <f>IFERROR(INDEX('Email Cleaner'!$B$2:$B$10001,MATCH(7271,'Email Cleaner'!$G$2:$G$10001,0)),"")</f>
        <v/>
      </c>
    </row>
    <row r="7273">
      <c r="A7273">
        <f>IFERROR(INDEX('Email Cleaner'!$B$2:$B$10001,MATCH(7272,'Email Cleaner'!$G$2:$G$10001,0)),"")</f>
        <v/>
      </c>
    </row>
    <row r="7274">
      <c r="A7274">
        <f>IFERROR(INDEX('Email Cleaner'!$B$2:$B$10001,MATCH(7273,'Email Cleaner'!$G$2:$G$10001,0)),"")</f>
        <v/>
      </c>
    </row>
    <row r="7275">
      <c r="A7275">
        <f>IFERROR(INDEX('Email Cleaner'!$B$2:$B$10001,MATCH(7274,'Email Cleaner'!$G$2:$G$10001,0)),"")</f>
        <v/>
      </c>
    </row>
    <row r="7276">
      <c r="A7276">
        <f>IFERROR(INDEX('Email Cleaner'!$B$2:$B$10001,MATCH(7275,'Email Cleaner'!$G$2:$G$10001,0)),"")</f>
        <v/>
      </c>
    </row>
    <row r="7277">
      <c r="A7277">
        <f>IFERROR(INDEX('Email Cleaner'!$B$2:$B$10001,MATCH(7276,'Email Cleaner'!$G$2:$G$10001,0)),"")</f>
        <v/>
      </c>
    </row>
    <row r="7278">
      <c r="A7278">
        <f>IFERROR(INDEX('Email Cleaner'!$B$2:$B$10001,MATCH(7277,'Email Cleaner'!$G$2:$G$10001,0)),"")</f>
        <v/>
      </c>
    </row>
    <row r="7279">
      <c r="A7279">
        <f>IFERROR(INDEX('Email Cleaner'!$B$2:$B$10001,MATCH(7278,'Email Cleaner'!$G$2:$G$10001,0)),"")</f>
        <v/>
      </c>
    </row>
    <row r="7280">
      <c r="A7280">
        <f>IFERROR(INDEX('Email Cleaner'!$B$2:$B$10001,MATCH(7279,'Email Cleaner'!$G$2:$G$10001,0)),"")</f>
        <v/>
      </c>
    </row>
    <row r="7281">
      <c r="A7281">
        <f>IFERROR(INDEX('Email Cleaner'!$B$2:$B$10001,MATCH(7280,'Email Cleaner'!$G$2:$G$10001,0)),"")</f>
        <v/>
      </c>
    </row>
    <row r="7282">
      <c r="A7282">
        <f>IFERROR(INDEX('Email Cleaner'!$B$2:$B$10001,MATCH(7281,'Email Cleaner'!$G$2:$G$10001,0)),"")</f>
        <v/>
      </c>
    </row>
    <row r="7283">
      <c r="A7283">
        <f>IFERROR(INDEX('Email Cleaner'!$B$2:$B$10001,MATCH(7282,'Email Cleaner'!$G$2:$G$10001,0)),"")</f>
        <v/>
      </c>
    </row>
    <row r="7284">
      <c r="A7284">
        <f>IFERROR(INDEX('Email Cleaner'!$B$2:$B$10001,MATCH(7283,'Email Cleaner'!$G$2:$G$10001,0)),"")</f>
        <v/>
      </c>
    </row>
    <row r="7285">
      <c r="A7285">
        <f>IFERROR(INDEX('Email Cleaner'!$B$2:$B$10001,MATCH(7284,'Email Cleaner'!$G$2:$G$10001,0)),"")</f>
        <v/>
      </c>
    </row>
    <row r="7286">
      <c r="A7286">
        <f>IFERROR(INDEX('Email Cleaner'!$B$2:$B$10001,MATCH(7285,'Email Cleaner'!$G$2:$G$10001,0)),"")</f>
        <v/>
      </c>
    </row>
    <row r="7287">
      <c r="A7287">
        <f>IFERROR(INDEX('Email Cleaner'!$B$2:$B$10001,MATCH(7286,'Email Cleaner'!$G$2:$G$10001,0)),"")</f>
        <v/>
      </c>
    </row>
    <row r="7288">
      <c r="A7288">
        <f>IFERROR(INDEX('Email Cleaner'!$B$2:$B$10001,MATCH(7287,'Email Cleaner'!$G$2:$G$10001,0)),"")</f>
        <v/>
      </c>
    </row>
    <row r="7289">
      <c r="A7289">
        <f>IFERROR(INDEX('Email Cleaner'!$B$2:$B$10001,MATCH(7288,'Email Cleaner'!$G$2:$G$10001,0)),"")</f>
        <v/>
      </c>
    </row>
    <row r="7290">
      <c r="A7290">
        <f>IFERROR(INDEX('Email Cleaner'!$B$2:$B$10001,MATCH(7289,'Email Cleaner'!$G$2:$G$10001,0)),"")</f>
        <v/>
      </c>
    </row>
    <row r="7291">
      <c r="A7291">
        <f>IFERROR(INDEX('Email Cleaner'!$B$2:$B$10001,MATCH(7290,'Email Cleaner'!$G$2:$G$10001,0)),"")</f>
        <v/>
      </c>
    </row>
    <row r="7292">
      <c r="A7292">
        <f>IFERROR(INDEX('Email Cleaner'!$B$2:$B$10001,MATCH(7291,'Email Cleaner'!$G$2:$G$10001,0)),"")</f>
        <v/>
      </c>
    </row>
    <row r="7293">
      <c r="A7293">
        <f>IFERROR(INDEX('Email Cleaner'!$B$2:$B$10001,MATCH(7292,'Email Cleaner'!$G$2:$G$10001,0)),"")</f>
        <v/>
      </c>
    </row>
    <row r="7294">
      <c r="A7294">
        <f>IFERROR(INDEX('Email Cleaner'!$B$2:$B$10001,MATCH(7293,'Email Cleaner'!$G$2:$G$10001,0)),"")</f>
        <v/>
      </c>
    </row>
    <row r="7295">
      <c r="A7295">
        <f>IFERROR(INDEX('Email Cleaner'!$B$2:$B$10001,MATCH(7294,'Email Cleaner'!$G$2:$G$10001,0)),"")</f>
        <v/>
      </c>
    </row>
    <row r="7296">
      <c r="A7296">
        <f>IFERROR(INDEX('Email Cleaner'!$B$2:$B$10001,MATCH(7295,'Email Cleaner'!$G$2:$G$10001,0)),"")</f>
        <v/>
      </c>
    </row>
    <row r="7297">
      <c r="A7297">
        <f>IFERROR(INDEX('Email Cleaner'!$B$2:$B$10001,MATCH(7296,'Email Cleaner'!$G$2:$G$10001,0)),"")</f>
        <v/>
      </c>
    </row>
    <row r="7298">
      <c r="A7298">
        <f>IFERROR(INDEX('Email Cleaner'!$B$2:$B$10001,MATCH(7297,'Email Cleaner'!$G$2:$G$10001,0)),"")</f>
        <v/>
      </c>
    </row>
    <row r="7299">
      <c r="A7299">
        <f>IFERROR(INDEX('Email Cleaner'!$B$2:$B$10001,MATCH(7298,'Email Cleaner'!$G$2:$G$10001,0)),"")</f>
        <v/>
      </c>
    </row>
    <row r="7300">
      <c r="A7300">
        <f>IFERROR(INDEX('Email Cleaner'!$B$2:$B$10001,MATCH(7299,'Email Cleaner'!$G$2:$G$10001,0)),"")</f>
        <v/>
      </c>
    </row>
    <row r="7301">
      <c r="A7301">
        <f>IFERROR(INDEX('Email Cleaner'!$B$2:$B$10001,MATCH(7300,'Email Cleaner'!$G$2:$G$10001,0)),"")</f>
        <v/>
      </c>
    </row>
    <row r="7302">
      <c r="A7302">
        <f>IFERROR(INDEX('Email Cleaner'!$B$2:$B$10001,MATCH(7301,'Email Cleaner'!$G$2:$G$10001,0)),"")</f>
        <v/>
      </c>
    </row>
    <row r="7303">
      <c r="A7303">
        <f>IFERROR(INDEX('Email Cleaner'!$B$2:$B$10001,MATCH(7302,'Email Cleaner'!$G$2:$G$10001,0)),"")</f>
        <v/>
      </c>
    </row>
    <row r="7304">
      <c r="A7304">
        <f>IFERROR(INDEX('Email Cleaner'!$B$2:$B$10001,MATCH(7303,'Email Cleaner'!$G$2:$G$10001,0)),"")</f>
        <v/>
      </c>
    </row>
    <row r="7305">
      <c r="A7305">
        <f>IFERROR(INDEX('Email Cleaner'!$B$2:$B$10001,MATCH(7304,'Email Cleaner'!$G$2:$G$10001,0)),"")</f>
        <v/>
      </c>
    </row>
    <row r="7306">
      <c r="A7306">
        <f>IFERROR(INDEX('Email Cleaner'!$B$2:$B$10001,MATCH(7305,'Email Cleaner'!$G$2:$G$10001,0)),"")</f>
        <v/>
      </c>
    </row>
    <row r="7307">
      <c r="A7307">
        <f>IFERROR(INDEX('Email Cleaner'!$B$2:$B$10001,MATCH(7306,'Email Cleaner'!$G$2:$G$10001,0)),"")</f>
        <v/>
      </c>
    </row>
    <row r="7308">
      <c r="A7308">
        <f>IFERROR(INDEX('Email Cleaner'!$B$2:$B$10001,MATCH(7307,'Email Cleaner'!$G$2:$G$10001,0)),"")</f>
        <v/>
      </c>
    </row>
    <row r="7309">
      <c r="A7309">
        <f>IFERROR(INDEX('Email Cleaner'!$B$2:$B$10001,MATCH(7308,'Email Cleaner'!$G$2:$G$10001,0)),"")</f>
        <v/>
      </c>
    </row>
    <row r="7310">
      <c r="A7310">
        <f>IFERROR(INDEX('Email Cleaner'!$B$2:$B$10001,MATCH(7309,'Email Cleaner'!$G$2:$G$10001,0)),"")</f>
        <v/>
      </c>
    </row>
    <row r="7311">
      <c r="A7311">
        <f>IFERROR(INDEX('Email Cleaner'!$B$2:$B$10001,MATCH(7310,'Email Cleaner'!$G$2:$G$10001,0)),"")</f>
        <v/>
      </c>
    </row>
    <row r="7312">
      <c r="A7312">
        <f>IFERROR(INDEX('Email Cleaner'!$B$2:$B$10001,MATCH(7311,'Email Cleaner'!$G$2:$G$10001,0)),"")</f>
        <v/>
      </c>
    </row>
    <row r="7313">
      <c r="A7313">
        <f>IFERROR(INDEX('Email Cleaner'!$B$2:$B$10001,MATCH(7312,'Email Cleaner'!$G$2:$G$10001,0)),"")</f>
        <v/>
      </c>
    </row>
    <row r="7314">
      <c r="A7314">
        <f>IFERROR(INDEX('Email Cleaner'!$B$2:$B$10001,MATCH(7313,'Email Cleaner'!$G$2:$G$10001,0)),"")</f>
        <v/>
      </c>
    </row>
    <row r="7315">
      <c r="A7315">
        <f>IFERROR(INDEX('Email Cleaner'!$B$2:$B$10001,MATCH(7314,'Email Cleaner'!$G$2:$G$10001,0)),"")</f>
        <v/>
      </c>
    </row>
    <row r="7316">
      <c r="A7316">
        <f>IFERROR(INDEX('Email Cleaner'!$B$2:$B$10001,MATCH(7315,'Email Cleaner'!$G$2:$G$10001,0)),"")</f>
        <v/>
      </c>
    </row>
    <row r="7317">
      <c r="A7317">
        <f>IFERROR(INDEX('Email Cleaner'!$B$2:$B$10001,MATCH(7316,'Email Cleaner'!$G$2:$G$10001,0)),"")</f>
        <v/>
      </c>
    </row>
    <row r="7318">
      <c r="A7318">
        <f>IFERROR(INDEX('Email Cleaner'!$B$2:$B$10001,MATCH(7317,'Email Cleaner'!$G$2:$G$10001,0)),"")</f>
        <v/>
      </c>
    </row>
    <row r="7319">
      <c r="A7319">
        <f>IFERROR(INDEX('Email Cleaner'!$B$2:$B$10001,MATCH(7318,'Email Cleaner'!$G$2:$G$10001,0)),"")</f>
        <v/>
      </c>
    </row>
    <row r="7320">
      <c r="A7320">
        <f>IFERROR(INDEX('Email Cleaner'!$B$2:$B$10001,MATCH(7319,'Email Cleaner'!$G$2:$G$10001,0)),"")</f>
        <v/>
      </c>
    </row>
    <row r="7321">
      <c r="A7321">
        <f>IFERROR(INDEX('Email Cleaner'!$B$2:$B$10001,MATCH(7320,'Email Cleaner'!$G$2:$G$10001,0)),"")</f>
        <v/>
      </c>
    </row>
    <row r="7322">
      <c r="A7322">
        <f>IFERROR(INDEX('Email Cleaner'!$B$2:$B$10001,MATCH(7321,'Email Cleaner'!$G$2:$G$10001,0)),"")</f>
        <v/>
      </c>
    </row>
    <row r="7323">
      <c r="A7323">
        <f>IFERROR(INDEX('Email Cleaner'!$B$2:$B$10001,MATCH(7322,'Email Cleaner'!$G$2:$G$10001,0)),"")</f>
        <v/>
      </c>
    </row>
    <row r="7324">
      <c r="A7324">
        <f>IFERROR(INDEX('Email Cleaner'!$B$2:$B$10001,MATCH(7323,'Email Cleaner'!$G$2:$G$10001,0)),"")</f>
        <v/>
      </c>
    </row>
    <row r="7325">
      <c r="A7325">
        <f>IFERROR(INDEX('Email Cleaner'!$B$2:$B$10001,MATCH(7324,'Email Cleaner'!$G$2:$G$10001,0)),"")</f>
        <v/>
      </c>
    </row>
    <row r="7326">
      <c r="A7326">
        <f>IFERROR(INDEX('Email Cleaner'!$B$2:$B$10001,MATCH(7325,'Email Cleaner'!$G$2:$G$10001,0)),"")</f>
        <v/>
      </c>
    </row>
    <row r="7327">
      <c r="A7327">
        <f>IFERROR(INDEX('Email Cleaner'!$B$2:$B$10001,MATCH(7326,'Email Cleaner'!$G$2:$G$10001,0)),"")</f>
        <v/>
      </c>
    </row>
    <row r="7328">
      <c r="A7328">
        <f>IFERROR(INDEX('Email Cleaner'!$B$2:$B$10001,MATCH(7327,'Email Cleaner'!$G$2:$G$10001,0)),"")</f>
        <v/>
      </c>
    </row>
    <row r="7329">
      <c r="A7329">
        <f>IFERROR(INDEX('Email Cleaner'!$B$2:$B$10001,MATCH(7328,'Email Cleaner'!$G$2:$G$10001,0)),"")</f>
        <v/>
      </c>
    </row>
    <row r="7330">
      <c r="A7330">
        <f>IFERROR(INDEX('Email Cleaner'!$B$2:$B$10001,MATCH(7329,'Email Cleaner'!$G$2:$G$10001,0)),"")</f>
        <v/>
      </c>
    </row>
    <row r="7331">
      <c r="A7331">
        <f>IFERROR(INDEX('Email Cleaner'!$B$2:$B$10001,MATCH(7330,'Email Cleaner'!$G$2:$G$10001,0)),"")</f>
        <v/>
      </c>
    </row>
    <row r="7332">
      <c r="A7332">
        <f>IFERROR(INDEX('Email Cleaner'!$B$2:$B$10001,MATCH(7331,'Email Cleaner'!$G$2:$G$10001,0)),"")</f>
        <v/>
      </c>
    </row>
    <row r="7333">
      <c r="A7333">
        <f>IFERROR(INDEX('Email Cleaner'!$B$2:$B$10001,MATCH(7332,'Email Cleaner'!$G$2:$G$10001,0)),"")</f>
        <v/>
      </c>
    </row>
    <row r="7334">
      <c r="A7334">
        <f>IFERROR(INDEX('Email Cleaner'!$B$2:$B$10001,MATCH(7333,'Email Cleaner'!$G$2:$G$10001,0)),"")</f>
        <v/>
      </c>
    </row>
    <row r="7335">
      <c r="A7335">
        <f>IFERROR(INDEX('Email Cleaner'!$B$2:$B$10001,MATCH(7334,'Email Cleaner'!$G$2:$G$10001,0)),"")</f>
        <v/>
      </c>
    </row>
    <row r="7336">
      <c r="A7336">
        <f>IFERROR(INDEX('Email Cleaner'!$B$2:$B$10001,MATCH(7335,'Email Cleaner'!$G$2:$G$10001,0)),"")</f>
        <v/>
      </c>
    </row>
    <row r="7337">
      <c r="A7337">
        <f>IFERROR(INDEX('Email Cleaner'!$B$2:$B$10001,MATCH(7336,'Email Cleaner'!$G$2:$G$10001,0)),"")</f>
        <v/>
      </c>
    </row>
    <row r="7338">
      <c r="A7338">
        <f>IFERROR(INDEX('Email Cleaner'!$B$2:$B$10001,MATCH(7337,'Email Cleaner'!$G$2:$G$10001,0)),"")</f>
        <v/>
      </c>
    </row>
    <row r="7339">
      <c r="A7339">
        <f>IFERROR(INDEX('Email Cleaner'!$B$2:$B$10001,MATCH(7338,'Email Cleaner'!$G$2:$G$10001,0)),"")</f>
        <v/>
      </c>
    </row>
    <row r="7340">
      <c r="A7340">
        <f>IFERROR(INDEX('Email Cleaner'!$B$2:$B$10001,MATCH(7339,'Email Cleaner'!$G$2:$G$10001,0)),"")</f>
        <v/>
      </c>
    </row>
    <row r="7341">
      <c r="A7341">
        <f>IFERROR(INDEX('Email Cleaner'!$B$2:$B$10001,MATCH(7340,'Email Cleaner'!$G$2:$G$10001,0)),"")</f>
        <v/>
      </c>
    </row>
    <row r="7342">
      <c r="A7342">
        <f>IFERROR(INDEX('Email Cleaner'!$B$2:$B$10001,MATCH(7341,'Email Cleaner'!$G$2:$G$10001,0)),"")</f>
        <v/>
      </c>
    </row>
    <row r="7343">
      <c r="A7343">
        <f>IFERROR(INDEX('Email Cleaner'!$B$2:$B$10001,MATCH(7342,'Email Cleaner'!$G$2:$G$10001,0)),"")</f>
        <v/>
      </c>
    </row>
    <row r="7344">
      <c r="A7344">
        <f>IFERROR(INDEX('Email Cleaner'!$B$2:$B$10001,MATCH(7343,'Email Cleaner'!$G$2:$G$10001,0)),"")</f>
        <v/>
      </c>
    </row>
    <row r="7345">
      <c r="A7345">
        <f>IFERROR(INDEX('Email Cleaner'!$B$2:$B$10001,MATCH(7344,'Email Cleaner'!$G$2:$G$10001,0)),"")</f>
        <v/>
      </c>
    </row>
    <row r="7346">
      <c r="A7346">
        <f>IFERROR(INDEX('Email Cleaner'!$B$2:$B$10001,MATCH(7345,'Email Cleaner'!$G$2:$G$10001,0)),"")</f>
        <v/>
      </c>
    </row>
    <row r="7347">
      <c r="A7347">
        <f>IFERROR(INDEX('Email Cleaner'!$B$2:$B$10001,MATCH(7346,'Email Cleaner'!$G$2:$G$10001,0)),"")</f>
        <v/>
      </c>
    </row>
    <row r="7348">
      <c r="A7348">
        <f>IFERROR(INDEX('Email Cleaner'!$B$2:$B$10001,MATCH(7347,'Email Cleaner'!$G$2:$G$10001,0)),"")</f>
        <v/>
      </c>
    </row>
    <row r="7349">
      <c r="A7349">
        <f>IFERROR(INDEX('Email Cleaner'!$B$2:$B$10001,MATCH(7348,'Email Cleaner'!$G$2:$G$10001,0)),"")</f>
        <v/>
      </c>
    </row>
    <row r="7350">
      <c r="A7350">
        <f>IFERROR(INDEX('Email Cleaner'!$B$2:$B$10001,MATCH(7349,'Email Cleaner'!$G$2:$G$10001,0)),"")</f>
        <v/>
      </c>
    </row>
    <row r="7351">
      <c r="A7351">
        <f>IFERROR(INDEX('Email Cleaner'!$B$2:$B$10001,MATCH(7350,'Email Cleaner'!$G$2:$G$10001,0)),"")</f>
        <v/>
      </c>
    </row>
    <row r="7352">
      <c r="A7352">
        <f>IFERROR(INDEX('Email Cleaner'!$B$2:$B$10001,MATCH(7351,'Email Cleaner'!$G$2:$G$10001,0)),"")</f>
        <v/>
      </c>
    </row>
    <row r="7353">
      <c r="A7353">
        <f>IFERROR(INDEX('Email Cleaner'!$B$2:$B$10001,MATCH(7352,'Email Cleaner'!$G$2:$G$10001,0)),"")</f>
        <v/>
      </c>
    </row>
    <row r="7354">
      <c r="A7354">
        <f>IFERROR(INDEX('Email Cleaner'!$B$2:$B$10001,MATCH(7353,'Email Cleaner'!$G$2:$G$10001,0)),"")</f>
        <v/>
      </c>
    </row>
    <row r="7355">
      <c r="A7355">
        <f>IFERROR(INDEX('Email Cleaner'!$B$2:$B$10001,MATCH(7354,'Email Cleaner'!$G$2:$G$10001,0)),"")</f>
        <v/>
      </c>
    </row>
    <row r="7356">
      <c r="A7356">
        <f>IFERROR(INDEX('Email Cleaner'!$B$2:$B$10001,MATCH(7355,'Email Cleaner'!$G$2:$G$10001,0)),"")</f>
        <v/>
      </c>
    </row>
    <row r="7357">
      <c r="A7357">
        <f>IFERROR(INDEX('Email Cleaner'!$B$2:$B$10001,MATCH(7356,'Email Cleaner'!$G$2:$G$10001,0)),"")</f>
        <v/>
      </c>
    </row>
    <row r="7358">
      <c r="A7358">
        <f>IFERROR(INDEX('Email Cleaner'!$B$2:$B$10001,MATCH(7357,'Email Cleaner'!$G$2:$G$10001,0)),"")</f>
        <v/>
      </c>
    </row>
    <row r="7359">
      <c r="A7359">
        <f>IFERROR(INDEX('Email Cleaner'!$B$2:$B$10001,MATCH(7358,'Email Cleaner'!$G$2:$G$10001,0)),"")</f>
        <v/>
      </c>
    </row>
    <row r="7360">
      <c r="A7360">
        <f>IFERROR(INDEX('Email Cleaner'!$B$2:$B$10001,MATCH(7359,'Email Cleaner'!$G$2:$G$10001,0)),"")</f>
        <v/>
      </c>
    </row>
    <row r="7361">
      <c r="A7361">
        <f>IFERROR(INDEX('Email Cleaner'!$B$2:$B$10001,MATCH(7360,'Email Cleaner'!$G$2:$G$10001,0)),"")</f>
        <v/>
      </c>
    </row>
    <row r="7362">
      <c r="A7362">
        <f>IFERROR(INDEX('Email Cleaner'!$B$2:$B$10001,MATCH(7361,'Email Cleaner'!$G$2:$G$10001,0)),"")</f>
        <v/>
      </c>
    </row>
    <row r="7363">
      <c r="A7363">
        <f>IFERROR(INDEX('Email Cleaner'!$B$2:$B$10001,MATCH(7362,'Email Cleaner'!$G$2:$G$10001,0)),"")</f>
        <v/>
      </c>
    </row>
    <row r="7364">
      <c r="A7364">
        <f>IFERROR(INDEX('Email Cleaner'!$B$2:$B$10001,MATCH(7363,'Email Cleaner'!$G$2:$G$10001,0)),"")</f>
        <v/>
      </c>
    </row>
    <row r="7365">
      <c r="A7365">
        <f>IFERROR(INDEX('Email Cleaner'!$B$2:$B$10001,MATCH(7364,'Email Cleaner'!$G$2:$G$10001,0)),"")</f>
        <v/>
      </c>
    </row>
    <row r="7366">
      <c r="A7366">
        <f>IFERROR(INDEX('Email Cleaner'!$B$2:$B$10001,MATCH(7365,'Email Cleaner'!$G$2:$G$10001,0)),"")</f>
        <v/>
      </c>
    </row>
    <row r="7367">
      <c r="A7367">
        <f>IFERROR(INDEX('Email Cleaner'!$B$2:$B$10001,MATCH(7366,'Email Cleaner'!$G$2:$G$10001,0)),"")</f>
        <v/>
      </c>
    </row>
    <row r="7368">
      <c r="A7368">
        <f>IFERROR(INDEX('Email Cleaner'!$B$2:$B$10001,MATCH(7367,'Email Cleaner'!$G$2:$G$10001,0)),"")</f>
        <v/>
      </c>
    </row>
    <row r="7369">
      <c r="A7369">
        <f>IFERROR(INDEX('Email Cleaner'!$B$2:$B$10001,MATCH(7368,'Email Cleaner'!$G$2:$G$10001,0)),"")</f>
        <v/>
      </c>
    </row>
    <row r="7370">
      <c r="A7370">
        <f>IFERROR(INDEX('Email Cleaner'!$B$2:$B$10001,MATCH(7369,'Email Cleaner'!$G$2:$G$10001,0)),"")</f>
        <v/>
      </c>
    </row>
    <row r="7371">
      <c r="A7371">
        <f>IFERROR(INDEX('Email Cleaner'!$B$2:$B$10001,MATCH(7370,'Email Cleaner'!$G$2:$G$10001,0)),"")</f>
        <v/>
      </c>
    </row>
    <row r="7372">
      <c r="A7372">
        <f>IFERROR(INDEX('Email Cleaner'!$B$2:$B$10001,MATCH(7371,'Email Cleaner'!$G$2:$G$10001,0)),"")</f>
        <v/>
      </c>
    </row>
    <row r="7373">
      <c r="A7373">
        <f>IFERROR(INDEX('Email Cleaner'!$B$2:$B$10001,MATCH(7372,'Email Cleaner'!$G$2:$G$10001,0)),"")</f>
        <v/>
      </c>
    </row>
    <row r="7374">
      <c r="A7374">
        <f>IFERROR(INDEX('Email Cleaner'!$B$2:$B$10001,MATCH(7373,'Email Cleaner'!$G$2:$G$10001,0)),"")</f>
        <v/>
      </c>
    </row>
    <row r="7375">
      <c r="A7375">
        <f>IFERROR(INDEX('Email Cleaner'!$B$2:$B$10001,MATCH(7374,'Email Cleaner'!$G$2:$G$10001,0)),"")</f>
        <v/>
      </c>
    </row>
    <row r="7376">
      <c r="A7376">
        <f>IFERROR(INDEX('Email Cleaner'!$B$2:$B$10001,MATCH(7375,'Email Cleaner'!$G$2:$G$10001,0)),"")</f>
        <v/>
      </c>
    </row>
    <row r="7377">
      <c r="A7377">
        <f>IFERROR(INDEX('Email Cleaner'!$B$2:$B$10001,MATCH(7376,'Email Cleaner'!$G$2:$G$10001,0)),"")</f>
        <v/>
      </c>
    </row>
    <row r="7378">
      <c r="A7378">
        <f>IFERROR(INDEX('Email Cleaner'!$B$2:$B$10001,MATCH(7377,'Email Cleaner'!$G$2:$G$10001,0)),"")</f>
        <v/>
      </c>
    </row>
    <row r="7379">
      <c r="A7379">
        <f>IFERROR(INDEX('Email Cleaner'!$B$2:$B$10001,MATCH(7378,'Email Cleaner'!$G$2:$G$10001,0)),"")</f>
        <v/>
      </c>
    </row>
    <row r="7380">
      <c r="A7380">
        <f>IFERROR(INDEX('Email Cleaner'!$B$2:$B$10001,MATCH(7379,'Email Cleaner'!$G$2:$G$10001,0)),"")</f>
        <v/>
      </c>
    </row>
    <row r="7381">
      <c r="A7381">
        <f>IFERROR(INDEX('Email Cleaner'!$B$2:$B$10001,MATCH(7380,'Email Cleaner'!$G$2:$G$10001,0)),"")</f>
        <v/>
      </c>
    </row>
    <row r="7382">
      <c r="A7382">
        <f>IFERROR(INDEX('Email Cleaner'!$B$2:$B$10001,MATCH(7381,'Email Cleaner'!$G$2:$G$10001,0)),"")</f>
        <v/>
      </c>
    </row>
    <row r="7383">
      <c r="A7383">
        <f>IFERROR(INDEX('Email Cleaner'!$B$2:$B$10001,MATCH(7382,'Email Cleaner'!$G$2:$G$10001,0)),"")</f>
        <v/>
      </c>
    </row>
    <row r="7384">
      <c r="A7384">
        <f>IFERROR(INDEX('Email Cleaner'!$B$2:$B$10001,MATCH(7383,'Email Cleaner'!$G$2:$G$10001,0)),"")</f>
        <v/>
      </c>
    </row>
    <row r="7385">
      <c r="A7385">
        <f>IFERROR(INDEX('Email Cleaner'!$B$2:$B$10001,MATCH(7384,'Email Cleaner'!$G$2:$G$10001,0)),"")</f>
        <v/>
      </c>
    </row>
    <row r="7386">
      <c r="A7386">
        <f>IFERROR(INDEX('Email Cleaner'!$B$2:$B$10001,MATCH(7385,'Email Cleaner'!$G$2:$G$10001,0)),"")</f>
        <v/>
      </c>
    </row>
    <row r="7387">
      <c r="A7387">
        <f>IFERROR(INDEX('Email Cleaner'!$B$2:$B$10001,MATCH(7386,'Email Cleaner'!$G$2:$G$10001,0)),"")</f>
        <v/>
      </c>
    </row>
    <row r="7388">
      <c r="A7388">
        <f>IFERROR(INDEX('Email Cleaner'!$B$2:$B$10001,MATCH(7387,'Email Cleaner'!$G$2:$G$10001,0)),"")</f>
        <v/>
      </c>
    </row>
    <row r="7389">
      <c r="A7389">
        <f>IFERROR(INDEX('Email Cleaner'!$B$2:$B$10001,MATCH(7388,'Email Cleaner'!$G$2:$G$10001,0)),"")</f>
        <v/>
      </c>
    </row>
    <row r="7390">
      <c r="A7390">
        <f>IFERROR(INDEX('Email Cleaner'!$B$2:$B$10001,MATCH(7389,'Email Cleaner'!$G$2:$G$10001,0)),"")</f>
        <v/>
      </c>
    </row>
    <row r="7391">
      <c r="A7391">
        <f>IFERROR(INDEX('Email Cleaner'!$B$2:$B$10001,MATCH(7390,'Email Cleaner'!$G$2:$G$10001,0)),"")</f>
        <v/>
      </c>
    </row>
    <row r="7392">
      <c r="A7392">
        <f>IFERROR(INDEX('Email Cleaner'!$B$2:$B$10001,MATCH(7391,'Email Cleaner'!$G$2:$G$10001,0)),"")</f>
        <v/>
      </c>
    </row>
    <row r="7393">
      <c r="A7393">
        <f>IFERROR(INDEX('Email Cleaner'!$B$2:$B$10001,MATCH(7392,'Email Cleaner'!$G$2:$G$10001,0)),"")</f>
        <v/>
      </c>
    </row>
    <row r="7394">
      <c r="A7394">
        <f>IFERROR(INDEX('Email Cleaner'!$B$2:$B$10001,MATCH(7393,'Email Cleaner'!$G$2:$G$10001,0)),"")</f>
        <v/>
      </c>
    </row>
    <row r="7395">
      <c r="A7395">
        <f>IFERROR(INDEX('Email Cleaner'!$B$2:$B$10001,MATCH(7394,'Email Cleaner'!$G$2:$G$10001,0)),"")</f>
        <v/>
      </c>
    </row>
    <row r="7396">
      <c r="A7396">
        <f>IFERROR(INDEX('Email Cleaner'!$B$2:$B$10001,MATCH(7395,'Email Cleaner'!$G$2:$G$10001,0)),"")</f>
        <v/>
      </c>
    </row>
    <row r="7397">
      <c r="A7397">
        <f>IFERROR(INDEX('Email Cleaner'!$B$2:$B$10001,MATCH(7396,'Email Cleaner'!$G$2:$G$10001,0)),"")</f>
        <v/>
      </c>
    </row>
    <row r="7398">
      <c r="A7398">
        <f>IFERROR(INDEX('Email Cleaner'!$B$2:$B$10001,MATCH(7397,'Email Cleaner'!$G$2:$G$10001,0)),"")</f>
        <v/>
      </c>
    </row>
    <row r="7399">
      <c r="A7399">
        <f>IFERROR(INDEX('Email Cleaner'!$B$2:$B$10001,MATCH(7398,'Email Cleaner'!$G$2:$G$10001,0)),"")</f>
        <v/>
      </c>
    </row>
    <row r="7400">
      <c r="A7400">
        <f>IFERROR(INDEX('Email Cleaner'!$B$2:$B$10001,MATCH(7399,'Email Cleaner'!$G$2:$G$10001,0)),"")</f>
        <v/>
      </c>
    </row>
    <row r="7401">
      <c r="A7401">
        <f>IFERROR(INDEX('Email Cleaner'!$B$2:$B$10001,MATCH(7400,'Email Cleaner'!$G$2:$G$10001,0)),"")</f>
        <v/>
      </c>
    </row>
    <row r="7402">
      <c r="A7402">
        <f>IFERROR(INDEX('Email Cleaner'!$B$2:$B$10001,MATCH(7401,'Email Cleaner'!$G$2:$G$10001,0)),"")</f>
        <v/>
      </c>
    </row>
    <row r="7403">
      <c r="A7403">
        <f>IFERROR(INDEX('Email Cleaner'!$B$2:$B$10001,MATCH(7402,'Email Cleaner'!$G$2:$G$10001,0)),"")</f>
        <v/>
      </c>
    </row>
    <row r="7404">
      <c r="A7404">
        <f>IFERROR(INDEX('Email Cleaner'!$B$2:$B$10001,MATCH(7403,'Email Cleaner'!$G$2:$G$10001,0)),"")</f>
        <v/>
      </c>
    </row>
    <row r="7405">
      <c r="A7405">
        <f>IFERROR(INDEX('Email Cleaner'!$B$2:$B$10001,MATCH(7404,'Email Cleaner'!$G$2:$G$10001,0)),"")</f>
        <v/>
      </c>
    </row>
    <row r="7406">
      <c r="A7406">
        <f>IFERROR(INDEX('Email Cleaner'!$B$2:$B$10001,MATCH(7405,'Email Cleaner'!$G$2:$G$10001,0)),"")</f>
        <v/>
      </c>
    </row>
    <row r="7407">
      <c r="A7407">
        <f>IFERROR(INDEX('Email Cleaner'!$B$2:$B$10001,MATCH(7406,'Email Cleaner'!$G$2:$G$10001,0)),"")</f>
        <v/>
      </c>
    </row>
    <row r="7408">
      <c r="A7408">
        <f>IFERROR(INDEX('Email Cleaner'!$B$2:$B$10001,MATCH(7407,'Email Cleaner'!$G$2:$G$10001,0)),"")</f>
        <v/>
      </c>
    </row>
    <row r="7409">
      <c r="A7409">
        <f>IFERROR(INDEX('Email Cleaner'!$B$2:$B$10001,MATCH(7408,'Email Cleaner'!$G$2:$G$10001,0)),"")</f>
        <v/>
      </c>
    </row>
    <row r="7410">
      <c r="A7410">
        <f>IFERROR(INDEX('Email Cleaner'!$B$2:$B$10001,MATCH(7409,'Email Cleaner'!$G$2:$G$10001,0)),"")</f>
        <v/>
      </c>
    </row>
    <row r="7411">
      <c r="A7411">
        <f>IFERROR(INDEX('Email Cleaner'!$B$2:$B$10001,MATCH(7410,'Email Cleaner'!$G$2:$G$10001,0)),"")</f>
        <v/>
      </c>
    </row>
    <row r="7412">
      <c r="A7412">
        <f>IFERROR(INDEX('Email Cleaner'!$B$2:$B$10001,MATCH(7411,'Email Cleaner'!$G$2:$G$10001,0)),"")</f>
        <v/>
      </c>
    </row>
    <row r="7413">
      <c r="A7413">
        <f>IFERROR(INDEX('Email Cleaner'!$B$2:$B$10001,MATCH(7412,'Email Cleaner'!$G$2:$G$10001,0)),"")</f>
        <v/>
      </c>
    </row>
    <row r="7414">
      <c r="A7414">
        <f>IFERROR(INDEX('Email Cleaner'!$B$2:$B$10001,MATCH(7413,'Email Cleaner'!$G$2:$G$10001,0)),"")</f>
        <v/>
      </c>
    </row>
    <row r="7415">
      <c r="A7415">
        <f>IFERROR(INDEX('Email Cleaner'!$B$2:$B$10001,MATCH(7414,'Email Cleaner'!$G$2:$G$10001,0)),"")</f>
        <v/>
      </c>
    </row>
    <row r="7416">
      <c r="A7416">
        <f>IFERROR(INDEX('Email Cleaner'!$B$2:$B$10001,MATCH(7415,'Email Cleaner'!$G$2:$G$10001,0)),"")</f>
        <v/>
      </c>
    </row>
    <row r="7417">
      <c r="A7417">
        <f>IFERROR(INDEX('Email Cleaner'!$B$2:$B$10001,MATCH(7416,'Email Cleaner'!$G$2:$G$10001,0)),"")</f>
        <v/>
      </c>
    </row>
    <row r="7418">
      <c r="A7418">
        <f>IFERROR(INDEX('Email Cleaner'!$B$2:$B$10001,MATCH(7417,'Email Cleaner'!$G$2:$G$10001,0)),"")</f>
        <v/>
      </c>
    </row>
    <row r="7419">
      <c r="A7419">
        <f>IFERROR(INDEX('Email Cleaner'!$B$2:$B$10001,MATCH(7418,'Email Cleaner'!$G$2:$G$10001,0)),"")</f>
        <v/>
      </c>
    </row>
    <row r="7420">
      <c r="A7420">
        <f>IFERROR(INDEX('Email Cleaner'!$B$2:$B$10001,MATCH(7419,'Email Cleaner'!$G$2:$G$10001,0)),"")</f>
        <v/>
      </c>
    </row>
    <row r="7421">
      <c r="A7421">
        <f>IFERROR(INDEX('Email Cleaner'!$B$2:$B$10001,MATCH(7420,'Email Cleaner'!$G$2:$G$10001,0)),"")</f>
        <v/>
      </c>
    </row>
    <row r="7422">
      <c r="A7422">
        <f>IFERROR(INDEX('Email Cleaner'!$B$2:$B$10001,MATCH(7421,'Email Cleaner'!$G$2:$G$10001,0)),"")</f>
        <v/>
      </c>
    </row>
    <row r="7423">
      <c r="A7423">
        <f>IFERROR(INDEX('Email Cleaner'!$B$2:$B$10001,MATCH(7422,'Email Cleaner'!$G$2:$G$10001,0)),"")</f>
        <v/>
      </c>
    </row>
    <row r="7424">
      <c r="A7424">
        <f>IFERROR(INDEX('Email Cleaner'!$B$2:$B$10001,MATCH(7423,'Email Cleaner'!$G$2:$G$10001,0)),"")</f>
        <v/>
      </c>
    </row>
    <row r="7425">
      <c r="A7425">
        <f>IFERROR(INDEX('Email Cleaner'!$B$2:$B$10001,MATCH(7424,'Email Cleaner'!$G$2:$G$10001,0)),"")</f>
        <v/>
      </c>
    </row>
    <row r="7426">
      <c r="A7426">
        <f>IFERROR(INDEX('Email Cleaner'!$B$2:$B$10001,MATCH(7425,'Email Cleaner'!$G$2:$G$10001,0)),"")</f>
        <v/>
      </c>
    </row>
    <row r="7427">
      <c r="A7427">
        <f>IFERROR(INDEX('Email Cleaner'!$B$2:$B$10001,MATCH(7426,'Email Cleaner'!$G$2:$G$10001,0)),"")</f>
        <v/>
      </c>
    </row>
    <row r="7428">
      <c r="A7428">
        <f>IFERROR(INDEX('Email Cleaner'!$B$2:$B$10001,MATCH(7427,'Email Cleaner'!$G$2:$G$10001,0)),"")</f>
        <v/>
      </c>
    </row>
    <row r="7429">
      <c r="A7429">
        <f>IFERROR(INDEX('Email Cleaner'!$B$2:$B$10001,MATCH(7428,'Email Cleaner'!$G$2:$G$10001,0)),"")</f>
        <v/>
      </c>
    </row>
    <row r="7430">
      <c r="A7430">
        <f>IFERROR(INDEX('Email Cleaner'!$B$2:$B$10001,MATCH(7429,'Email Cleaner'!$G$2:$G$10001,0)),"")</f>
        <v/>
      </c>
    </row>
    <row r="7431">
      <c r="A7431">
        <f>IFERROR(INDEX('Email Cleaner'!$B$2:$B$10001,MATCH(7430,'Email Cleaner'!$G$2:$G$10001,0)),"")</f>
        <v/>
      </c>
    </row>
    <row r="7432">
      <c r="A7432">
        <f>IFERROR(INDEX('Email Cleaner'!$B$2:$B$10001,MATCH(7431,'Email Cleaner'!$G$2:$G$10001,0)),"")</f>
        <v/>
      </c>
    </row>
    <row r="7433">
      <c r="A7433">
        <f>IFERROR(INDEX('Email Cleaner'!$B$2:$B$10001,MATCH(7432,'Email Cleaner'!$G$2:$G$10001,0)),"")</f>
        <v/>
      </c>
    </row>
    <row r="7434">
      <c r="A7434">
        <f>IFERROR(INDEX('Email Cleaner'!$B$2:$B$10001,MATCH(7433,'Email Cleaner'!$G$2:$G$10001,0)),"")</f>
        <v/>
      </c>
    </row>
    <row r="7435">
      <c r="A7435">
        <f>IFERROR(INDEX('Email Cleaner'!$B$2:$B$10001,MATCH(7434,'Email Cleaner'!$G$2:$G$10001,0)),"")</f>
        <v/>
      </c>
    </row>
    <row r="7436">
      <c r="A7436">
        <f>IFERROR(INDEX('Email Cleaner'!$B$2:$B$10001,MATCH(7435,'Email Cleaner'!$G$2:$G$10001,0)),"")</f>
        <v/>
      </c>
    </row>
    <row r="7437">
      <c r="A7437">
        <f>IFERROR(INDEX('Email Cleaner'!$B$2:$B$10001,MATCH(7436,'Email Cleaner'!$G$2:$G$10001,0)),"")</f>
        <v/>
      </c>
    </row>
    <row r="7438">
      <c r="A7438">
        <f>IFERROR(INDEX('Email Cleaner'!$B$2:$B$10001,MATCH(7437,'Email Cleaner'!$G$2:$G$10001,0)),"")</f>
        <v/>
      </c>
    </row>
    <row r="7439">
      <c r="A7439">
        <f>IFERROR(INDEX('Email Cleaner'!$B$2:$B$10001,MATCH(7438,'Email Cleaner'!$G$2:$G$10001,0)),"")</f>
        <v/>
      </c>
    </row>
    <row r="7440">
      <c r="A7440">
        <f>IFERROR(INDEX('Email Cleaner'!$B$2:$B$10001,MATCH(7439,'Email Cleaner'!$G$2:$G$10001,0)),"")</f>
        <v/>
      </c>
    </row>
    <row r="7441">
      <c r="A7441">
        <f>IFERROR(INDEX('Email Cleaner'!$B$2:$B$10001,MATCH(7440,'Email Cleaner'!$G$2:$G$10001,0)),"")</f>
        <v/>
      </c>
    </row>
    <row r="7442">
      <c r="A7442">
        <f>IFERROR(INDEX('Email Cleaner'!$B$2:$B$10001,MATCH(7441,'Email Cleaner'!$G$2:$G$10001,0)),"")</f>
        <v/>
      </c>
    </row>
    <row r="7443">
      <c r="A7443">
        <f>IFERROR(INDEX('Email Cleaner'!$B$2:$B$10001,MATCH(7442,'Email Cleaner'!$G$2:$G$10001,0)),"")</f>
        <v/>
      </c>
    </row>
    <row r="7444">
      <c r="A7444">
        <f>IFERROR(INDEX('Email Cleaner'!$B$2:$B$10001,MATCH(7443,'Email Cleaner'!$G$2:$G$10001,0)),"")</f>
        <v/>
      </c>
    </row>
    <row r="7445">
      <c r="A7445">
        <f>IFERROR(INDEX('Email Cleaner'!$B$2:$B$10001,MATCH(7444,'Email Cleaner'!$G$2:$G$10001,0)),"")</f>
        <v/>
      </c>
    </row>
    <row r="7446">
      <c r="A7446">
        <f>IFERROR(INDEX('Email Cleaner'!$B$2:$B$10001,MATCH(7445,'Email Cleaner'!$G$2:$G$10001,0)),"")</f>
        <v/>
      </c>
    </row>
    <row r="7447">
      <c r="A7447">
        <f>IFERROR(INDEX('Email Cleaner'!$B$2:$B$10001,MATCH(7446,'Email Cleaner'!$G$2:$G$10001,0)),"")</f>
        <v/>
      </c>
    </row>
    <row r="7448">
      <c r="A7448">
        <f>IFERROR(INDEX('Email Cleaner'!$B$2:$B$10001,MATCH(7447,'Email Cleaner'!$G$2:$G$10001,0)),"")</f>
        <v/>
      </c>
    </row>
    <row r="7449">
      <c r="A7449">
        <f>IFERROR(INDEX('Email Cleaner'!$B$2:$B$10001,MATCH(7448,'Email Cleaner'!$G$2:$G$10001,0)),"")</f>
        <v/>
      </c>
    </row>
    <row r="7450">
      <c r="A7450">
        <f>IFERROR(INDEX('Email Cleaner'!$B$2:$B$10001,MATCH(7449,'Email Cleaner'!$G$2:$G$10001,0)),"")</f>
        <v/>
      </c>
    </row>
    <row r="7451">
      <c r="A7451">
        <f>IFERROR(INDEX('Email Cleaner'!$B$2:$B$10001,MATCH(7450,'Email Cleaner'!$G$2:$G$10001,0)),"")</f>
        <v/>
      </c>
    </row>
    <row r="7452">
      <c r="A7452">
        <f>IFERROR(INDEX('Email Cleaner'!$B$2:$B$10001,MATCH(7451,'Email Cleaner'!$G$2:$G$10001,0)),"")</f>
        <v/>
      </c>
    </row>
    <row r="7453">
      <c r="A7453">
        <f>IFERROR(INDEX('Email Cleaner'!$B$2:$B$10001,MATCH(7452,'Email Cleaner'!$G$2:$G$10001,0)),"")</f>
        <v/>
      </c>
    </row>
    <row r="7454">
      <c r="A7454">
        <f>IFERROR(INDEX('Email Cleaner'!$B$2:$B$10001,MATCH(7453,'Email Cleaner'!$G$2:$G$10001,0)),"")</f>
        <v/>
      </c>
    </row>
    <row r="7455">
      <c r="A7455">
        <f>IFERROR(INDEX('Email Cleaner'!$B$2:$B$10001,MATCH(7454,'Email Cleaner'!$G$2:$G$10001,0)),"")</f>
        <v/>
      </c>
    </row>
    <row r="7456">
      <c r="A7456">
        <f>IFERROR(INDEX('Email Cleaner'!$B$2:$B$10001,MATCH(7455,'Email Cleaner'!$G$2:$G$10001,0)),"")</f>
        <v/>
      </c>
    </row>
    <row r="7457">
      <c r="A7457">
        <f>IFERROR(INDEX('Email Cleaner'!$B$2:$B$10001,MATCH(7456,'Email Cleaner'!$G$2:$G$10001,0)),"")</f>
        <v/>
      </c>
    </row>
    <row r="7458">
      <c r="A7458">
        <f>IFERROR(INDEX('Email Cleaner'!$B$2:$B$10001,MATCH(7457,'Email Cleaner'!$G$2:$G$10001,0)),"")</f>
        <v/>
      </c>
    </row>
    <row r="7459">
      <c r="A7459">
        <f>IFERROR(INDEX('Email Cleaner'!$B$2:$B$10001,MATCH(7458,'Email Cleaner'!$G$2:$G$10001,0)),"")</f>
        <v/>
      </c>
    </row>
    <row r="7460">
      <c r="A7460">
        <f>IFERROR(INDEX('Email Cleaner'!$B$2:$B$10001,MATCH(7459,'Email Cleaner'!$G$2:$G$10001,0)),"")</f>
        <v/>
      </c>
    </row>
    <row r="7461">
      <c r="A7461">
        <f>IFERROR(INDEX('Email Cleaner'!$B$2:$B$10001,MATCH(7460,'Email Cleaner'!$G$2:$G$10001,0)),"")</f>
        <v/>
      </c>
    </row>
    <row r="7462">
      <c r="A7462">
        <f>IFERROR(INDEX('Email Cleaner'!$B$2:$B$10001,MATCH(7461,'Email Cleaner'!$G$2:$G$10001,0)),"")</f>
        <v/>
      </c>
    </row>
    <row r="7463">
      <c r="A7463">
        <f>IFERROR(INDEX('Email Cleaner'!$B$2:$B$10001,MATCH(7462,'Email Cleaner'!$G$2:$G$10001,0)),"")</f>
        <v/>
      </c>
    </row>
    <row r="7464">
      <c r="A7464">
        <f>IFERROR(INDEX('Email Cleaner'!$B$2:$B$10001,MATCH(7463,'Email Cleaner'!$G$2:$G$10001,0)),"")</f>
        <v/>
      </c>
    </row>
    <row r="7465">
      <c r="A7465">
        <f>IFERROR(INDEX('Email Cleaner'!$B$2:$B$10001,MATCH(7464,'Email Cleaner'!$G$2:$G$10001,0)),"")</f>
        <v/>
      </c>
    </row>
    <row r="7466">
      <c r="A7466">
        <f>IFERROR(INDEX('Email Cleaner'!$B$2:$B$10001,MATCH(7465,'Email Cleaner'!$G$2:$G$10001,0)),"")</f>
        <v/>
      </c>
    </row>
    <row r="7467">
      <c r="A7467">
        <f>IFERROR(INDEX('Email Cleaner'!$B$2:$B$10001,MATCH(7466,'Email Cleaner'!$G$2:$G$10001,0)),"")</f>
        <v/>
      </c>
    </row>
    <row r="7468">
      <c r="A7468">
        <f>IFERROR(INDEX('Email Cleaner'!$B$2:$B$10001,MATCH(7467,'Email Cleaner'!$G$2:$G$10001,0)),"")</f>
        <v/>
      </c>
    </row>
    <row r="7469">
      <c r="A7469">
        <f>IFERROR(INDEX('Email Cleaner'!$B$2:$B$10001,MATCH(7468,'Email Cleaner'!$G$2:$G$10001,0)),"")</f>
        <v/>
      </c>
    </row>
    <row r="7470">
      <c r="A7470">
        <f>IFERROR(INDEX('Email Cleaner'!$B$2:$B$10001,MATCH(7469,'Email Cleaner'!$G$2:$G$10001,0)),"")</f>
        <v/>
      </c>
    </row>
    <row r="7471">
      <c r="A7471">
        <f>IFERROR(INDEX('Email Cleaner'!$B$2:$B$10001,MATCH(7470,'Email Cleaner'!$G$2:$G$10001,0)),"")</f>
        <v/>
      </c>
    </row>
    <row r="7472">
      <c r="A7472">
        <f>IFERROR(INDEX('Email Cleaner'!$B$2:$B$10001,MATCH(7471,'Email Cleaner'!$G$2:$G$10001,0)),"")</f>
        <v/>
      </c>
    </row>
    <row r="7473">
      <c r="A7473">
        <f>IFERROR(INDEX('Email Cleaner'!$B$2:$B$10001,MATCH(7472,'Email Cleaner'!$G$2:$G$10001,0)),"")</f>
        <v/>
      </c>
    </row>
    <row r="7474">
      <c r="A7474">
        <f>IFERROR(INDEX('Email Cleaner'!$B$2:$B$10001,MATCH(7473,'Email Cleaner'!$G$2:$G$10001,0)),"")</f>
        <v/>
      </c>
    </row>
    <row r="7475">
      <c r="A7475">
        <f>IFERROR(INDEX('Email Cleaner'!$B$2:$B$10001,MATCH(7474,'Email Cleaner'!$G$2:$G$10001,0)),"")</f>
        <v/>
      </c>
    </row>
    <row r="7476">
      <c r="A7476">
        <f>IFERROR(INDEX('Email Cleaner'!$B$2:$B$10001,MATCH(7475,'Email Cleaner'!$G$2:$G$10001,0)),"")</f>
        <v/>
      </c>
    </row>
    <row r="7477">
      <c r="A7477">
        <f>IFERROR(INDEX('Email Cleaner'!$B$2:$B$10001,MATCH(7476,'Email Cleaner'!$G$2:$G$10001,0)),"")</f>
        <v/>
      </c>
    </row>
    <row r="7478">
      <c r="A7478">
        <f>IFERROR(INDEX('Email Cleaner'!$B$2:$B$10001,MATCH(7477,'Email Cleaner'!$G$2:$G$10001,0)),"")</f>
        <v/>
      </c>
    </row>
    <row r="7479">
      <c r="A7479">
        <f>IFERROR(INDEX('Email Cleaner'!$B$2:$B$10001,MATCH(7478,'Email Cleaner'!$G$2:$G$10001,0)),"")</f>
        <v/>
      </c>
    </row>
    <row r="7480">
      <c r="A7480">
        <f>IFERROR(INDEX('Email Cleaner'!$B$2:$B$10001,MATCH(7479,'Email Cleaner'!$G$2:$G$10001,0)),"")</f>
        <v/>
      </c>
    </row>
    <row r="7481">
      <c r="A7481">
        <f>IFERROR(INDEX('Email Cleaner'!$B$2:$B$10001,MATCH(7480,'Email Cleaner'!$G$2:$G$10001,0)),"")</f>
        <v/>
      </c>
    </row>
    <row r="7482">
      <c r="A7482">
        <f>IFERROR(INDEX('Email Cleaner'!$B$2:$B$10001,MATCH(7481,'Email Cleaner'!$G$2:$G$10001,0)),"")</f>
        <v/>
      </c>
    </row>
    <row r="7483">
      <c r="A7483">
        <f>IFERROR(INDEX('Email Cleaner'!$B$2:$B$10001,MATCH(7482,'Email Cleaner'!$G$2:$G$10001,0)),"")</f>
        <v/>
      </c>
    </row>
    <row r="7484">
      <c r="A7484">
        <f>IFERROR(INDEX('Email Cleaner'!$B$2:$B$10001,MATCH(7483,'Email Cleaner'!$G$2:$G$10001,0)),"")</f>
        <v/>
      </c>
    </row>
    <row r="7485">
      <c r="A7485">
        <f>IFERROR(INDEX('Email Cleaner'!$B$2:$B$10001,MATCH(7484,'Email Cleaner'!$G$2:$G$10001,0)),"")</f>
        <v/>
      </c>
    </row>
    <row r="7486">
      <c r="A7486">
        <f>IFERROR(INDEX('Email Cleaner'!$B$2:$B$10001,MATCH(7485,'Email Cleaner'!$G$2:$G$10001,0)),"")</f>
        <v/>
      </c>
    </row>
    <row r="7487">
      <c r="A7487">
        <f>IFERROR(INDEX('Email Cleaner'!$B$2:$B$10001,MATCH(7486,'Email Cleaner'!$G$2:$G$10001,0)),"")</f>
        <v/>
      </c>
    </row>
    <row r="7488">
      <c r="A7488">
        <f>IFERROR(INDEX('Email Cleaner'!$B$2:$B$10001,MATCH(7487,'Email Cleaner'!$G$2:$G$10001,0)),"")</f>
        <v/>
      </c>
    </row>
    <row r="7489">
      <c r="A7489">
        <f>IFERROR(INDEX('Email Cleaner'!$B$2:$B$10001,MATCH(7488,'Email Cleaner'!$G$2:$G$10001,0)),"")</f>
        <v/>
      </c>
    </row>
    <row r="7490">
      <c r="A7490">
        <f>IFERROR(INDEX('Email Cleaner'!$B$2:$B$10001,MATCH(7489,'Email Cleaner'!$G$2:$G$10001,0)),"")</f>
        <v/>
      </c>
    </row>
    <row r="7491">
      <c r="A7491">
        <f>IFERROR(INDEX('Email Cleaner'!$B$2:$B$10001,MATCH(7490,'Email Cleaner'!$G$2:$G$10001,0)),"")</f>
        <v/>
      </c>
    </row>
    <row r="7492">
      <c r="A7492">
        <f>IFERROR(INDEX('Email Cleaner'!$B$2:$B$10001,MATCH(7491,'Email Cleaner'!$G$2:$G$10001,0)),"")</f>
        <v/>
      </c>
    </row>
    <row r="7493">
      <c r="A7493">
        <f>IFERROR(INDEX('Email Cleaner'!$B$2:$B$10001,MATCH(7492,'Email Cleaner'!$G$2:$G$10001,0)),"")</f>
        <v/>
      </c>
    </row>
    <row r="7494">
      <c r="A7494">
        <f>IFERROR(INDEX('Email Cleaner'!$B$2:$B$10001,MATCH(7493,'Email Cleaner'!$G$2:$G$10001,0)),"")</f>
        <v/>
      </c>
    </row>
    <row r="7495">
      <c r="A7495">
        <f>IFERROR(INDEX('Email Cleaner'!$B$2:$B$10001,MATCH(7494,'Email Cleaner'!$G$2:$G$10001,0)),"")</f>
        <v/>
      </c>
    </row>
    <row r="7496">
      <c r="A7496">
        <f>IFERROR(INDEX('Email Cleaner'!$B$2:$B$10001,MATCH(7495,'Email Cleaner'!$G$2:$G$10001,0)),"")</f>
        <v/>
      </c>
    </row>
    <row r="7497">
      <c r="A7497">
        <f>IFERROR(INDEX('Email Cleaner'!$B$2:$B$10001,MATCH(7496,'Email Cleaner'!$G$2:$G$10001,0)),"")</f>
        <v/>
      </c>
    </row>
    <row r="7498">
      <c r="A7498">
        <f>IFERROR(INDEX('Email Cleaner'!$B$2:$B$10001,MATCH(7497,'Email Cleaner'!$G$2:$G$10001,0)),"")</f>
        <v/>
      </c>
    </row>
    <row r="7499">
      <c r="A7499">
        <f>IFERROR(INDEX('Email Cleaner'!$B$2:$B$10001,MATCH(7498,'Email Cleaner'!$G$2:$G$10001,0)),"")</f>
        <v/>
      </c>
    </row>
    <row r="7500">
      <c r="A7500">
        <f>IFERROR(INDEX('Email Cleaner'!$B$2:$B$10001,MATCH(7499,'Email Cleaner'!$G$2:$G$10001,0)),"")</f>
        <v/>
      </c>
    </row>
    <row r="7501">
      <c r="A7501">
        <f>IFERROR(INDEX('Email Cleaner'!$B$2:$B$10001,MATCH(7500,'Email Cleaner'!$G$2:$G$10001,0)),"")</f>
        <v/>
      </c>
    </row>
    <row r="7502">
      <c r="A7502">
        <f>IFERROR(INDEX('Email Cleaner'!$B$2:$B$10001,MATCH(7501,'Email Cleaner'!$G$2:$G$10001,0)),"")</f>
        <v/>
      </c>
    </row>
    <row r="7503">
      <c r="A7503">
        <f>IFERROR(INDEX('Email Cleaner'!$B$2:$B$10001,MATCH(7502,'Email Cleaner'!$G$2:$G$10001,0)),"")</f>
        <v/>
      </c>
    </row>
    <row r="7504">
      <c r="A7504">
        <f>IFERROR(INDEX('Email Cleaner'!$B$2:$B$10001,MATCH(7503,'Email Cleaner'!$G$2:$G$10001,0)),"")</f>
        <v/>
      </c>
    </row>
    <row r="7505">
      <c r="A7505">
        <f>IFERROR(INDEX('Email Cleaner'!$B$2:$B$10001,MATCH(7504,'Email Cleaner'!$G$2:$G$10001,0)),"")</f>
        <v/>
      </c>
    </row>
    <row r="7506">
      <c r="A7506">
        <f>IFERROR(INDEX('Email Cleaner'!$B$2:$B$10001,MATCH(7505,'Email Cleaner'!$G$2:$G$10001,0)),"")</f>
        <v/>
      </c>
    </row>
    <row r="7507">
      <c r="A7507">
        <f>IFERROR(INDEX('Email Cleaner'!$B$2:$B$10001,MATCH(7506,'Email Cleaner'!$G$2:$G$10001,0)),"")</f>
        <v/>
      </c>
    </row>
    <row r="7508">
      <c r="A7508">
        <f>IFERROR(INDEX('Email Cleaner'!$B$2:$B$10001,MATCH(7507,'Email Cleaner'!$G$2:$G$10001,0)),"")</f>
        <v/>
      </c>
    </row>
    <row r="7509">
      <c r="A7509">
        <f>IFERROR(INDEX('Email Cleaner'!$B$2:$B$10001,MATCH(7508,'Email Cleaner'!$G$2:$G$10001,0)),"")</f>
        <v/>
      </c>
    </row>
    <row r="7510">
      <c r="A7510">
        <f>IFERROR(INDEX('Email Cleaner'!$B$2:$B$10001,MATCH(7509,'Email Cleaner'!$G$2:$G$10001,0)),"")</f>
        <v/>
      </c>
    </row>
    <row r="7511">
      <c r="A7511">
        <f>IFERROR(INDEX('Email Cleaner'!$B$2:$B$10001,MATCH(7510,'Email Cleaner'!$G$2:$G$10001,0)),"")</f>
        <v/>
      </c>
    </row>
    <row r="7512">
      <c r="A7512">
        <f>IFERROR(INDEX('Email Cleaner'!$B$2:$B$10001,MATCH(7511,'Email Cleaner'!$G$2:$G$10001,0)),"")</f>
        <v/>
      </c>
    </row>
    <row r="7513">
      <c r="A7513">
        <f>IFERROR(INDEX('Email Cleaner'!$B$2:$B$10001,MATCH(7512,'Email Cleaner'!$G$2:$G$10001,0)),"")</f>
        <v/>
      </c>
    </row>
    <row r="7514">
      <c r="A7514">
        <f>IFERROR(INDEX('Email Cleaner'!$B$2:$B$10001,MATCH(7513,'Email Cleaner'!$G$2:$G$10001,0)),"")</f>
        <v/>
      </c>
    </row>
    <row r="7515">
      <c r="A7515">
        <f>IFERROR(INDEX('Email Cleaner'!$B$2:$B$10001,MATCH(7514,'Email Cleaner'!$G$2:$G$10001,0)),"")</f>
        <v/>
      </c>
    </row>
    <row r="7516">
      <c r="A7516">
        <f>IFERROR(INDEX('Email Cleaner'!$B$2:$B$10001,MATCH(7515,'Email Cleaner'!$G$2:$G$10001,0)),"")</f>
        <v/>
      </c>
    </row>
    <row r="7517">
      <c r="A7517">
        <f>IFERROR(INDEX('Email Cleaner'!$B$2:$B$10001,MATCH(7516,'Email Cleaner'!$G$2:$G$10001,0)),"")</f>
        <v/>
      </c>
    </row>
    <row r="7518">
      <c r="A7518">
        <f>IFERROR(INDEX('Email Cleaner'!$B$2:$B$10001,MATCH(7517,'Email Cleaner'!$G$2:$G$10001,0)),"")</f>
        <v/>
      </c>
    </row>
    <row r="7519">
      <c r="A7519">
        <f>IFERROR(INDEX('Email Cleaner'!$B$2:$B$10001,MATCH(7518,'Email Cleaner'!$G$2:$G$10001,0)),"")</f>
        <v/>
      </c>
    </row>
    <row r="7520">
      <c r="A7520">
        <f>IFERROR(INDEX('Email Cleaner'!$B$2:$B$10001,MATCH(7519,'Email Cleaner'!$G$2:$G$10001,0)),"")</f>
        <v/>
      </c>
    </row>
    <row r="7521">
      <c r="A7521">
        <f>IFERROR(INDEX('Email Cleaner'!$B$2:$B$10001,MATCH(7520,'Email Cleaner'!$G$2:$G$10001,0)),"")</f>
        <v/>
      </c>
    </row>
    <row r="7522">
      <c r="A7522">
        <f>IFERROR(INDEX('Email Cleaner'!$B$2:$B$10001,MATCH(7521,'Email Cleaner'!$G$2:$G$10001,0)),"")</f>
        <v/>
      </c>
    </row>
    <row r="7523">
      <c r="A7523">
        <f>IFERROR(INDEX('Email Cleaner'!$B$2:$B$10001,MATCH(7522,'Email Cleaner'!$G$2:$G$10001,0)),"")</f>
        <v/>
      </c>
    </row>
    <row r="7524">
      <c r="A7524">
        <f>IFERROR(INDEX('Email Cleaner'!$B$2:$B$10001,MATCH(7523,'Email Cleaner'!$G$2:$G$10001,0)),"")</f>
        <v/>
      </c>
    </row>
    <row r="7525">
      <c r="A7525">
        <f>IFERROR(INDEX('Email Cleaner'!$B$2:$B$10001,MATCH(7524,'Email Cleaner'!$G$2:$G$10001,0)),"")</f>
        <v/>
      </c>
    </row>
    <row r="7526">
      <c r="A7526">
        <f>IFERROR(INDEX('Email Cleaner'!$B$2:$B$10001,MATCH(7525,'Email Cleaner'!$G$2:$G$10001,0)),"")</f>
        <v/>
      </c>
    </row>
    <row r="7527">
      <c r="A7527">
        <f>IFERROR(INDEX('Email Cleaner'!$B$2:$B$10001,MATCH(7526,'Email Cleaner'!$G$2:$G$10001,0)),"")</f>
        <v/>
      </c>
    </row>
    <row r="7528">
      <c r="A7528">
        <f>IFERROR(INDEX('Email Cleaner'!$B$2:$B$10001,MATCH(7527,'Email Cleaner'!$G$2:$G$10001,0)),"")</f>
        <v/>
      </c>
    </row>
    <row r="7529">
      <c r="A7529">
        <f>IFERROR(INDEX('Email Cleaner'!$B$2:$B$10001,MATCH(7528,'Email Cleaner'!$G$2:$G$10001,0)),"")</f>
        <v/>
      </c>
    </row>
    <row r="7530">
      <c r="A7530">
        <f>IFERROR(INDEX('Email Cleaner'!$B$2:$B$10001,MATCH(7529,'Email Cleaner'!$G$2:$G$10001,0)),"")</f>
        <v/>
      </c>
    </row>
    <row r="7531">
      <c r="A7531">
        <f>IFERROR(INDEX('Email Cleaner'!$B$2:$B$10001,MATCH(7530,'Email Cleaner'!$G$2:$G$10001,0)),"")</f>
        <v/>
      </c>
    </row>
    <row r="7532">
      <c r="A7532">
        <f>IFERROR(INDEX('Email Cleaner'!$B$2:$B$10001,MATCH(7531,'Email Cleaner'!$G$2:$G$10001,0)),"")</f>
        <v/>
      </c>
    </row>
    <row r="7533">
      <c r="A7533">
        <f>IFERROR(INDEX('Email Cleaner'!$B$2:$B$10001,MATCH(7532,'Email Cleaner'!$G$2:$G$10001,0)),"")</f>
        <v/>
      </c>
    </row>
    <row r="7534">
      <c r="A7534">
        <f>IFERROR(INDEX('Email Cleaner'!$B$2:$B$10001,MATCH(7533,'Email Cleaner'!$G$2:$G$10001,0)),"")</f>
        <v/>
      </c>
    </row>
    <row r="7535">
      <c r="A7535">
        <f>IFERROR(INDEX('Email Cleaner'!$B$2:$B$10001,MATCH(7534,'Email Cleaner'!$G$2:$G$10001,0)),"")</f>
        <v/>
      </c>
    </row>
    <row r="7536">
      <c r="A7536">
        <f>IFERROR(INDEX('Email Cleaner'!$B$2:$B$10001,MATCH(7535,'Email Cleaner'!$G$2:$G$10001,0)),"")</f>
        <v/>
      </c>
    </row>
    <row r="7537">
      <c r="A7537">
        <f>IFERROR(INDEX('Email Cleaner'!$B$2:$B$10001,MATCH(7536,'Email Cleaner'!$G$2:$G$10001,0)),"")</f>
        <v/>
      </c>
    </row>
    <row r="7538">
      <c r="A7538">
        <f>IFERROR(INDEX('Email Cleaner'!$B$2:$B$10001,MATCH(7537,'Email Cleaner'!$G$2:$G$10001,0)),"")</f>
        <v/>
      </c>
    </row>
    <row r="7539">
      <c r="A7539">
        <f>IFERROR(INDEX('Email Cleaner'!$B$2:$B$10001,MATCH(7538,'Email Cleaner'!$G$2:$G$10001,0)),"")</f>
        <v/>
      </c>
    </row>
    <row r="7540">
      <c r="A7540">
        <f>IFERROR(INDEX('Email Cleaner'!$B$2:$B$10001,MATCH(7539,'Email Cleaner'!$G$2:$G$10001,0)),"")</f>
        <v/>
      </c>
    </row>
    <row r="7541">
      <c r="A7541">
        <f>IFERROR(INDEX('Email Cleaner'!$B$2:$B$10001,MATCH(7540,'Email Cleaner'!$G$2:$G$10001,0)),"")</f>
        <v/>
      </c>
    </row>
    <row r="7542">
      <c r="A7542">
        <f>IFERROR(INDEX('Email Cleaner'!$B$2:$B$10001,MATCH(7541,'Email Cleaner'!$G$2:$G$10001,0)),"")</f>
        <v/>
      </c>
    </row>
    <row r="7543">
      <c r="A7543">
        <f>IFERROR(INDEX('Email Cleaner'!$B$2:$B$10001,MATCH(7542,'Email Cleaner'!$G$2:$G$10001,0)),"")</f>
        <v/>
      </c>
    </row>
    <row r="7544">
      <c r="A7544">
        <f>IFERROR(INDEX('Email Cleaner'!$B$2:$B$10001,MATCH(7543,'Email Cleaner'!$G$2:$G$10001,0)),"")</f>
        <v/>
      </c>
    </row>
    <row r="7545">
      <c r="A7545">
        <f>IFERROR(INDEX('Email Cleaner'!$B$2:$B$10001,MATCH(7544,'Email Cleaner'!$G$2:$G$10001,0)),"")</f>
        <v/>
      </c>
    </row>
    <row r="7546">
      <c r="A7546">
        <f>IFERROR(INDEX('Email Cleaner'!$B$2:$B$10001,MATCH(7545,'Email Cleaner'!$G$2:$G$10001,0)),"")</f>
        <v/>
      </c>
    </row>
    <row r="7547">
      <c r="A7547">
        <f>IFERROR(INDEX('Email Cleaner'!$B$2:$B$10001,MATCH(7546,'Email Cleaner'!$G$2:$G$10001,0)),"")</f>
        <v/>
      </c>
    </row>
    <row r="7548">
      <c r="A7548">
        <f>IFERROR(INDEX('Email Cleaner'!$B$2:$B$10001,MATCH(7547,'Email Cleaner'!$G$2:$G$10001,0)),"")</f>
        <v/>
      </c>
    </row>
    <row r="7549">
      <c r="A7549">
        <f>IFERROR(INDEX('Email Cleaner'!$B$2:$B$10001,MATCH(7548,'Email Cleaner'!$G$2:$G$10001,0)),"")</f>
        <v/>
      </c>
    </row>
    <row r="7550">
      <c r="A7550">
        <f>IFERROR(INDEX('Email Cleaner'!$B$2:$B$10001,MATCH(7549,'Email Cleaner'!$G$2:$G$10001,0)),"")</f>
        <v/>
      </c>
    </row>
    <row r="7551">
      <c r="A7551">
        <f>IFERROR(INDEX('Email Cleaner'!$B$2:$B$10001,MATCH(7550,'Email Cleaner'!$G$2:$G$10001,0)),"")</f>
        <v/>
      </c>
    </row>
    <row r="7552">
      <c r="A7552">
        <f>IFERROR(INDEX('Email Cleaner'!$B$2:$B$10001,MATCH(7551,'Email Cleaner'!$G$2:$G$10001,0)),"")</f>
        <v/>
      </c>
    </row>
    <row r="7553">
      <c r="A7553">
        <f>IFERROR(INDEX('Email Cleaner'!$B$2:$B$10001,MATCH(7552,'Email Cleaner'!$G$2:$G$10001,0)),"")</f>
        <v/>
      </c>
    </row>
    <row r="7554">
      <c r="A7554">
        <f>IFERROR(INDEX('Email Cleaner'!$B$2:$B$10001,MATCH(7553,'Email Cleaner'!$G$2:$G$10001,0)),"")</f>
        <v/>
      </c>
    </row>
    <row r="7555">
      <c r="A7555">
        <f>IFERROR(INDEX('Email Cleaner'!$B$2:$B$10001,MATCH(7554,'Email Cleaner'!$G$2:$G$10001,0)),"")</f>
        <v/>
      </c>
    </row>
    <row r="7556">
      <c r="A7556">
        <f>IFERROR(INDEX('Email Cleaner'!$B$2:$B$10001,MATCH(7555,'Email Cleaner'!$G$2:$G$10001,0)),"")</f>
        <v/>
      </c>
    </row>
    <row r="7557">
      <c r="A7557">
        <f>IFERROR(INDEX('Email Cleaner'!$B$2:$B$10001,MATCH(7556,'Email Cleaner'!$G$2:$G$10001,0)),"")</f>
        <v/>
      </c>
    </row>
    <row r="7558">
      <c r="A7558">
        <f>IFERROR(INDEX('Email Cleaner'!$B$2:$B$10001,MATCH(7557,'Email Cleaner'!$G$2:$G$10001,0)),"")</f>
        <v/>
      </c>
    </row>
    <row r="7559">
      <c r="A7559">
        <f>IFERROR(INDEX('Email Cleaner'!$B$2:$B$10001,MATCH(7558,'Email Cleaner'!$G$2:$G$10001,0)),"")</f>
        <v/>
      </c>
    </row>
    <row r="7560">
      <c r="A7560">
        <f>IFERROR(INDEX('Email Cleaner'!$B$2:$B$10001,MATCH(7559,'Email Cleaner'!$G$2:$G$10001,0)),"")</f>
        <v/>
      </c>
    </row>
    <row r="7561">
      <c r="A7561">
        <f>IFERROR(INDEX('Email Cleaner'!$B$2:$B$10001,MATCH(7560,'Email Cleaner'!$G$2:$G$10001,0)),"")</f>
        <v/>
      </c>
    </row>
    <row r="7562">
      <c r="A7562">
        <f>IFERROR(INDEX('Email Cleaner'!$B$2:$B$10001,MATCH(7561,'Email Cleaner'!$G$2:$G$10001,0)),"")</f>
        <v/>
      </c>
    </row>
    <row r="7563">
      <c r="A7563">
        <f>IFERROR(INDEX('Email Cleaner'!$B$2:$B$10001,MATCH(7562,'Email Cleaner'!$G$2:$G$10001,0)),"")</f>
        <v/>
      </c>
    </row>
    <row r="7564">
      <c r="A7564">
        <f>IFERROR(INDEX('Email Cleaner'!$B$2:$B$10001,MATCH(7563,'Email Cleaner'!$G$2:$G$10001,0)),"")</f>
        <v/>
      </c>
    </row>
    <row r="7565">
      <c r="A7565">
        <f>IFERROR(INDEX('Email Cleaner'!$B$2:$B$10001,MATCH(7564,'Email Cleaner'!$G$2:$G$10001,0)),"")</f>
        <v/>
      </c>
    </row>
    <row r="7566">
      <c r="A7566">
        <f>IFERROR(INDEX('Email Cleaner'!$B$2:$B$10001,MATCH(7565,'Email Cleaner'!$G$2:$G$10001,0)),"")</f>
        <v/>
      </c>
    </row>
    <row r="7567">
      <c r="A7567">
        <f>IFERROR(INDEX('Email Cleaner'!$B$2:$B$10001,MATCH(7566,'Email Cleaner'!$G$2:$G$10001,0)),"")</f>
        <v/>
      </c>
    </row>
    <row r="7568">
      <c r="A7568">
        <f>IFERROR(INDEX('Email Cleaner'!$B$2:$B$10001,MATCH(7567,'Email Cleaner'!$G$2:$G$10001,0)),"")</f>
        <v/>
      </c>
    </row>
    <row r="7569">
      <c r="A7569">
        <f>IFERROR(INDEX('Email Cleaner'!$B$2:$B$10001,MATCH(7568,'Email Cleaner'!$G$2:$G$10001,0)),"")</f>
        <v/>
      </c>
    </row>
    <row r="7570">
      <c r="A7570">
        <f>IFERROR(INDEX('Email Cleaner'!$B$2:$B$10001,MATCH(7569,'Email Cleaner'!$G$2:$G$10001,0)),"")</f>
        <v/>
      </c>
    </row>
    <row r="7571">
      <c r="A7571">
        <f>IFERROR(INDEX('Email Cleaner'!$B$2:$B$10001,MATCH(7570,'Email Cleaner'!$G$2:$G$10001,0)),"")</f>
        <v/>
      </c>
    </row>
    <row r="7572">
      <c r="A7572">
        <f>IFERROR(INDEX('Email Cleaner'!$B$2:$B$10001,MATCH(7571,'Email Cleaner'!$G$2:$G$10001,0)),"")</f>
        <v/>
      </c>
    </row>
    <row r="7573">
      <c r="A7573">
        <f>IFERROR(INDEX('Email Cleaner'!$B$2:$B$10001,MATCH(7572,'Email Cleaner'!$G$2:$G$10001,0)),"")</f>
        <v/>
      </c>
    </row>
    <row r="7574">
      <c r="A7574">
        <f>IFERROR(INDEX('Email Cleaner'!$B$2:$B$10001,MATCH(7573,'Email Cleaner'!$G$2:$G$10001,0)),"")</f>
        <v/>
      </c>
    </row>
    <row r="7575">
      <c r="A7575">
        <f>IFERROR(INDEX('Email Cleaner'!$B$2:$B$10001,MATCH(7574,'Email Cleaner'!$G$2:$G$10001,0)),"")</f>
        <v/>
      </c>
    </row>
    <row r="7576">
      <c r="A7576">
        <f>IFERROR(INDEX('Email Cleaner'!$B$2:$B$10001,MATCH(7575,'Email Cleaner'!$G$2:$G$10001,0)),"")</f>
        <v/>
      </c>
    </row>
    <row r="7577">
      <c r="A7577">
        <f>IFERROR(INDEX('Email Cleaner'!$B$2:$B$10001,MATCH(7576,'Email Cleaner'!$G$2:$G$10001,0)),"")</f>
        <v/>
      </c>
    </row>
    <row r="7578">
      <c r="A7578">
        <f>IFERROR(INDEX('Email Cleaner'!$B$2:$B$10001,MATCH(7577,'Email Cleaner'!$G$2:$G$10001,0)),"")</f>
        <v/>
      </c>
    </row>
    <row r="7579">
      <c r="A7579">
        <f>IFERROR(INDEX('Email Cleaner'!$B$2:$B$10001,MATCH(7578,'Email Cleaner'!$G$2:$G$10001,0)),"")</f>
        <v/>
      </c>
    </row>
    <row r="7580">
      <c r="A7580">
        <f>IFERROR(INDEX('Email Cleaner'!$B$2:$B$10001,MATCH(7579,'Email Cleaner'!$G$2:$G$10001,0)),"")</f>
        <v/>
      </c>
    </row>
    <row r="7581">
      <c r="A7581">
        <f>IFERROR(INDEX('Email Cleaner'!$B$2:$B$10001,MATCH(7580,'Email Cleaner'!$G$2:$G$10001,0)),"")</f>
        <v/>
      </c>
    </row>
    <row r="7582">
      <c r="A7582">
        <f>IFERROR(INDEX('Email Cleaner'!$B$2:$B$10001,MATCH(7581,'Email Cleaner'!$G$2:$G$10001,0)),"")</f>
        <v/>
      </c>
    </row>
    <row r="7583">
      <c r="A7583">
        <f>IFERROR(INDEX('Email Cleaner'!$B$2:$B$10001,MATCH(7582,'Email Cleaner'!$G$2:$G$10001,0)),"")</f>
        <v/>
      </c>
    </row>
    <row r="7584">
      <c r="A7584">
        <f>IFERROR(INDEX('Email Cleaner'!$B$2:$B$10001,MATCH(7583,'Email Cleaner'!$G$2:$G$10001,0)),"")</f>
        <v/>
      </c>
    </row>
    <row r="7585">
      <c r="A7585">
        <f>IFERROR(INDEX('Email Cleaner'!$B$2:$B$10001,MATCH(7584,'Email Cleaner'!$G$2:$G$10001,0)),"")</f>
        <v/>
      </c>
    </row>
    <row r="7586">
      <c r="A7586">
        <f>IFERROR(INDEX('Email Cleaner'!$B$2:$B$10001,MATCH(7585,'Email Cleaner'!$G$2:$G$10001,0)),"")</f>
        <v/>
      </c>
    </row>
    <row r="7587">
      <c r="A7587">
        <f>IFERROR(INDEX('Email Cleaner'!$B$2:$B$10001,MATCH(7586,'Email Cleaner'!$G$2:$G$10001,0)),"")</f>
        <v/>
      </c>
    </row>
    <row r="7588">
      <c r="A7588">
        <f>IFERROR(INDEX('Email Cleaner'!$B$2:$B$10001,MATCH(7587,'Email Cleaner'!$G$2:$G$10001,0)),"")</f>
        <v/>
      </c>
    </row>
    <row r="7589">
      <c r="A7589">
        <f>IFERROR(INDEX('Email Cleaner'!$B$2:$B$10001,MATCH(7588,'Email Cleaner'!$G$2:$G$10001,0)),"")</f>
        <v/>
      </c>
    </row>
    <row r="7590">
      <c r="A7590">
        <f>IFERROR(INDEX('Email Cleaner'!$B$2:$B$10001,MATCH(7589,'Email Cleaner'!$G$2:$G$10001,0)),"")</f>
        <v/>
      </c>
    </row>
    <row r="7591">
      <c r="A7591">
        <f>IFERROR(INDEX('Email Cleaner'!$B$2:$B$10001,MATCH(7590,'Email Cleaner'!$G$2:$G$10001,0)),"")</f>
        <v/>
      </c>
    </row>
    <row r="7592">
      <c r="A7592">
        <f>IFERROR(INDEX('Email Cleaner'!$B$2:$B$10001,MATCH(7591,'Email Cleaner'!$G$2:$G$10001,0)),"")</f>
        <v/>
      </c>
    </row>
    <row r="7593">
      <c r="A7593">
        <f>IFERROR(INDEX('Email Cleaner'!$B$2:$B$10001,MATCH(7592,'Email Cleaner'!$G$2:$G$10001,0)),"")</f>
        <v/>
      </c>
    </row>
    <row r="7594">
      <c r="A7594">
        <f>IFERROR(INDEX('Email Cleaner'!$B$2:$B$10001,MATCH(7593,'Email Cleaner'!$G$2:$G$10001,0)),"")</f>
        <v/>
      </c>
    </row>
    <row r="7595">
      <c r="A7595">
        <f>IFERROR(INDEX('Email Cleaner'!$B$2:$B$10001,MATCH(7594,'Email Cleaner'!$G$2:$G$10001,0)),"")</f>
        <v/>
      </c>
    </row>
    <row r="7596">
      <c r="A7596">
        <f>IFERROR(INDEX('Email Cleaner'!$B$2:$B$10001,MATCH(7595,'Email Cleaner'!$G$2:$G$10001,0)),"")</f>
        <v/>
      </c>
    </row>
    <row r="7597">
      <c r="A7597">
        <f>IFERROR(INDEX('Email Cleaner'!$B$2:$B$10001,MATCH(7596,'Email Cleaner'!$G$2:$G$10001,0)),"")</f>
        <v/>
      </c>
    </row>
    <row r="7598">
      <c r="A7598">
        <f>IFERROR(INDEX('Email Cleaner'!$B$2:$B$10001,MATCH(7597,'Email Cleaner'!$G$2:$G$10001,0)),"")</f>
        <v/>
      </c>
    </row>
    <row r="7599">
      <c r="A7599">
        <f>IFERROR(INDEX('Email Cleaner'!$B$2:$B$10001,MATCH(7598,'Email Cleaner'!$G$2:$G$10001,0)),"")</f>
        <v/>
      </c>
    </row>
    <row r="7600">
      <c r="A7600">
        <f>IFERROR(INDEX('Email Cleaner'!$B$2:$B$10001,MATCH(7599,'Email Cleaner'!$G$2:$G$10001,0)),"")</f>
        <v/>
      </c>
    </row>
    <row r="7601">
      <c r="A7601">
        <f>IFERROR(INDEX('Email Cleaner'!$B$2:$B$10001,MATCH(7600,'Email Cleaner'!$G$2:$G$10001,0)),"")</f>
        <v/>
      </c>
    </row>
    <row r="7602">
      <c r="A7602">
        <f>IFERROR(INDEX('Email Cleaner'!$B$2:$B$10001,MATCH(7601,'Email Cleaner'!$G$2:$G$10001,0)),"")</f>
        <v/>
      </c>
    </row>
    <row r="7603">
      <c r="A7603">
        <f>IFERROR(INDEX('Email Cleaner'!$B$2:$B$10001,MATCH(7602,'Email Cleaner'!$G$2:$G$10001,0)),"")</f>
        <v/>
      </c>
    </row>
    <row r="7604">
      <c r="A7604">
        <f>IFERROR(INDEX('Email Cleaner'!$B$2:$B$10001,MATCH(7603,'Email Cleaner'!$G$2:$G$10001,0)),"")</f>
        <v/>
      </c>
    </row>
    <row r="7605">
      <c r="A7605">
        <f>IFERROR(INDEX('Email Cleaner'!$B$2:$B$10001,MATCH(7604,'Email Cleaner'!$G$2:$G$10001,0)),"")</f>
        <v/>
      </c>
    </row>
    <row r="7606">
      <c r="A7606">
        <f>IFERROR(INDEX('Email Cleaner'!$B$2:$B$10001,MATCH(7605,'Email Cleaner'!$G$2:$G$10001,0)),"")</f>
        <v/>
      </c>
    </row>
    <row r="7607">
      <c r="A7607">
        <f>IFERROR(INDEX('Email Cleaner'!$B$2:$B$10001,MATCH(7606,'Email Cleaner'!$G$2:$G$10001,0)),"")</f>
        <v/>
      </c>
    </row>
    <row r="7608">
      <c r="A7608">
        <f>IFERROR(INDEX('Email Cleaner'!$B$2:$B$10001,MATCH(7607,'Email Cleaner'!$G$2:$G$10001,0)),"")</f>
        <v/>
      </c>
    </row>
    <row r="7609">
      <c r="A7609">
        <f>IFERROR(INDEX('Email Cleaner'!$B$2:$B$10001,MATCH(7608,'Email Cleaner'!$G$2:$G$10001,0)),"")</f>
        <v/>
      </c>
    </row>
    <row r="7610">
      <c r="A7610">
        <f>IFERROR(INDEX('Email Cleaner'!$B$2:$B$10001,MATCH(7609,'Email Cleaner'!$G$2:$G$10001,0)),"")</f>
        <v/>
      </c>
    </row>
    <row r="7611">
      <c r="A7611">
        <f>IFERROR(INDEX('Email Cleaner'!$B$2:$B$10001,MATCH(7610,'Email Cleaner'!$G$2:$G$10001,0)),"")</f>
        <v/>
      </c>
    </row>
    <row r="7612">
      <c r="A7612">
        <f>IFERROR(INDEX('Email Cleaner'!$B$2:$B$10001,MATCH(7611,'Email Cleaner'!$G$2:$G$10001,0)),"")</f>
        <v/>
      </c>
    </row>
    <row r="7613">
      <c r="A7613">
        <f>IFERROR(INDEX('Email Cleaner'!$B$2:$B$10001,MATCH(7612,'Email Cleaner'!$G$2:$G$10001,0)),"")</f>
        <v/>
      </c>
    </row>
    <row r="7614">
      <c r="A7614">
        <f>IFERROR(INDEX('Email Cleaner'!$B$2:$B$10001,MATCH(7613,'Email Cleaner'!$G$2:$G$10001,0)),"")</f>
        <v/>
      </c>
    </row>
    <row r="7615">
      <c r="A7615">
        <f>IFERROR(INDEX('Email Cleaner'!$B$2:$B$10001,MATCH(7614,'Email Cleaner'!$G$2:$G$10001,0)),"")</f>
        <v/>
      </c>
    </row>
    <row r="7616">
      <c r="A7616">
        <f>IFERROR(INDEX('Email Cleaner'!$B$2:$B$10001,MATCH(7615,'Email Cleaner'!$G$2:$G$10001,0)),"")</f>
        <v/>
      </c>
    </row>
    <row r="7617">
      <c r="A7617">
        <f>IFERROR(INDEX('Email Cleaner'!$B$2:$B$10001,MATCH(7616,'Email Cleaner'!$G$2:$G$10001,0)),"")</f>
        <v/>
      </c>
    </row>
    <row r="7618">
      <c r="A7618">
        <f>IFERROR(INDEX('Email Cleaner'!$B$2:$B$10001,MATCH(7617,'Email Cleaner'!$G$2:$G$10001,0)),"")</f>
        <v/>
      </c>
    </row>
    <row r="7619">
      <c r="A7619">
        <f>IFERROR(INDEX('Email Cleaner'!$B$2:$B$10001,MATCH(7618,'Email Cleaner'!$G$2:$G$10001,0)),"")</f>
        <v/>
      </c>
    </row>
    <row r="7620">
      <c r="A7620">
        <f>IFERROR(INDEX('Email Cleaner'!$B$2:$B$10001,MATCH(7619,'Email Cleaner'!$G$2:$G$10001,0)),"")</f>
        <v/>
      </c>
    </row>
    <row r="7621">
      <c r="A7621">
        <f>IFERROR(INDEX('Email Cleaner'!$B$2:$B$10001,MATCH(7620,'Email Cleaner'!$G$2:$G$10001,0)),"")</f>
        <v/>
      </c>
    </row>
    <row r="7622">
      <c r="A7622">
        <f>IFERROR(INDEX('Email Cleaner'!$B$2:$B$10001,MATCH(7621,'Email Cleaner'!$G$2:$G$10001,0)),"")</f>
        <v/>
      </c>
    </row>
    <row r="7623">
      <c r="A7623">
        <f>IFERROR(INDEX('Email Cleaner'!$B$2:$B$10001,MATCH(7622,'Email Cleaner'!$G$2:$G$10001,0)),"")</f>
        <v/>
      </c>
    </row>
    <row r="7624">
      <c r="A7624">
        <f>IFERROR(INDEX('Email Cleaner'!$B$2:$B$10001,MATCH(7623,'Email Cleaner'!$G$2:$G$10001,0)),"")</f>
        <v/>
      </c>
    </row>
    <row r="7625">
      <c r="A7625">
        <f>IFERROR(INDEX('Email Cleaner'!$B$2:$B$10001,MATCH(7624,'Email Cleaner'!$G$2:$G$10001,0)),"")</f>
        <v/>
      </c>
    </row>
    <row r="7626">
      <c r="A7626">
        <f>IFERROR(INDEX('Email Cleaner'!$B$2:$B$10001,MATCH(7625,'Email Cleaner'!$G$2:$G$10001,0)),"")</f>
        <v/>
      </c>
    </row>
    <row r="7627">
      <c r="A7627">
        <f>IFERROR(INDEX('Email Cleaner'!$B$2:$B$10001,MATCH(7626,'Email Cleaner'!$G$2:$G$10001,0)),"")</f>
        <v/>
      </c>
    </row>
    <row r="7628">
      <c r="A7628">
        <f>IFERROR(INDEX('Email Cleaner'!$B$2:$B$10001,MATCH(7627,'Email Cleaner'!$G$2:$G$10001,0)),"")</f>
        <v/>
      </c>
    </row>
    <row r="7629">
      <c r="A7629">
        <f>IFERROR(INDEX('Email Cleaner'!$B$2:$B$10001,MATCH(7628,'Email Cleaner'!$G$2:$G$10001,0)),"")</f>
        <v/>
      </c>
    </row>
    <row r="7630">
      <c r="A7630">
        <f>IFERROR(INDEX('Email Cleaner'!$B$2:$B$10001,MATCH(7629,'Email Cleaner'!$G$2:$G$10001,0)),"")</f>
        <v/>
      </c>
    </row>
    <row r="7631">
      <c r="A7631">
        <f>IFERROR(INDEX('Email Cleaner'!$B$2:$B$10001,MATCH(7630,'Email Cleaner'!$G$2:$G$10001,0)),"")</f>
        <v/>
      </c>
    </row>
    <row r="7632">
      <c r="A7632">
        <f>IFERROR(INDEX('Email Cleaner'!$B$2:$B$10001,MATCH(7631,'Email Cleaner'!$G$2:$G$10001,0)),"")</f>
        <v/>
      </c>
    </row>
    <row r="7633">
      <c r="A7633">
        <f>IFERROR(INDEX('Email Cleaner'!$B$2:$B$10001,MATCH(7632,'Email Cleaner'!$G$2:$G$10001,0)),"")</f>
        <v/>
      </c>
    </row>
    <row r="7634">
      <c r="A7634">
        <f>IFERROR(INDEX('Email Cleaner'!$B$2:$B$10001,MATCH(7633,'Email Cleaner'!$G$2:$G$10001,0)),"")</f>
        <v/>
      </c>
    </row>
    <row r="7635">
      <c r="A7635">
        <f>IFERROR(INDEX('Email Cleaner'!$B$2:$B$10001,MATCH(7634,'Email Cleaner'!$G$2:$G$10001,0)),"")</f>
        <v/>
      </c>
    </row>
    <row r="7636">
      <c r="A7636">
        <f>IFERROR(INDEX('Email Cleaner'!$B$2:$B$10001,MATCH(7635,'Email Cleaner'!$G$2:$G$10001,0)),"")</f>
        <v/>
      </c>
    </row>
    <row r="7637">
      <c r="A7637">
        <f>IFERROR(INDEX('Email Cleaner'!$B$2:$B$10001,MATCH(7636,'Email Cleaner'!$G$2:$G$10001,0)),"")</f>
        <v/>
      </c>
    </row>
    <row r="7638">
      <c r="A7638">
        <f>IFERROR(INDEX('Email Cleaner'!$B$2:$B$10001,MATCH(7637,'Email Cleaner'!$G$2:$G$10001,0)),"")</f>
        <v/>
      </c>
    </row>
    <row r="7639">
      <c r="A7639">
        <f>IFERROR(INDEX('Email Cleaner'!$B$2:$B$10001,MATCH(7638,'Email Cleaner'!$G$2:$G$10001,0)),"")</f>
        <v/>
      </c>
    </row>
    <row r="7640">
      <c r="A7640">
        <f>IFERROR(INDEX('Email Cleaner'!$B$2:$B$10001,MATCH(7639,'Email Cleaner'!$G$2:$G$10001,0)),"")</f>
        <v/>
      </c>
    </row>
    <row r="7641">
      <c r="A7641">
        <f>IFERROR(INDEX('Email Cleaner'!$B$2:$B$10001,MATCH(7640,'Email Cleaner'!$G$2:$G$10001,0)),"")</f>
        <v/>
      </c>
    </row>
    <row r="7642">
      <c r="A7642">
        <f>IFERROR(INDEX('Email Cleaner'!$B$2:$B$10001,MATCH(7641,'Email Cleaner'!$G$2:$G$10001,0)),"")</f>
        <v/>
      </c>
    </row>
    <row r="7643">
      <c r="A7643">
        <f>IFERROR(INDEX('Email Cleaner'!$B$2:$B$10001,MATCH(7642,'Email Cleaner'!$G$2:$G$10001,0)),"")</f>
        <v/>
      </c>
    </row>
    <row r="7644">
      <c r="A7644">
        <f>IFERROR(INDEX('Email Cleaner'!$B$2:$B$10001,MATCH(7643,'Email Cleaner'!$G$2:$G$10001,0)),"")</f>
        <v/>
      </c>
    </row>
    <row r="7645">
      <c r="A7645">
        <f>IFERROR(INDEX('Email Cleaner'!$B$2:$B$10001,MATCH(7644,'Email Cleaner'!$G$2:$G$10001,0)),"")</f>
        <v/>
      </c>
    </row>
    <row r="7646">
      <c r="A7646">
        <f>IFERROR(INDEX('Email Cleaner'!$B$2:$B$10001,MATCH(7645,'Email Cleaner'!$G$2:$G$10001,0)),"")</f>
        <v/>
      </c>
    </row>
    <row r="7647">
      <c r="A7647">
        <f>IFERROR(INDEX('Email Cleaner'!$B$2:$B$10001,MATCH(7646,'Email Cleaner'!$G$2:$G$10001,0)),"")</f>
        <v/>
      </c>
    </row>
    <row r="7648">
      <c r="A7648">
        <f>IFERROR(INDEX('Email Cleaner'!$B$2:$B$10001,MATCH(7647,'Email Cleaner'!$G$2:$G$10001,0)),"")</f>
        <v/>
      </c>
    </row>
    <row r="7649">
      <c r="A7649">
        <f>IFERROR(INDEX('Email Cleaner'!$B$2:$B$10001,MATCH(7648,'Email Cleaner'!$G$2:$G$10001,0)),"")</f>
        <v/>
      </c>
    </row>
    <row r="7650">
      <c r="A7650">
        <f>IFERROR(INDEX('Email Cleaner'!$B$2:$B$10001,MATCH(7649,'Email Cleaner'!$G$2:$G$10001,0)),"")</f>
        <v/>
      </c>
    </row>
    <row r="7651">
      <c r="A7651">
        <f>IFERROR(INDEX('Email Cleaner'!$B$2:$B$10001,MATCH(7650,'Email Cleaner'!$G$2:$G$10001,0)),"")</f>
        <v/>
      </c>
    </row>
    <row r="7652">
      <c r="A7652">
        <f>IFERROR(INDEX('Email Cleaner'!$B$2:$B$10001,MATCH(7651,'Email Cleaner'!$G$2:$G$10001,0)),"")</f>
        <v/>
      </c>
    </row>
    <row r="7653">
      <c r="A7653">
        <f>IFERROR(INDEX('Email Cleaner'!$B$2:$B$10001,MATCH(7652,'Email Cleaner'!$G$2:$G$10001,0)),"")</f>
        <v/>
      </c>
    </row>
    <row r="7654">
      <c r="A7654">
        <f>IFERROR(INDEX('Email Cleaner'!$B$2:$B$10001,MATCH(7653,'Email Cleaner'!$G$2:$G$10001,0)),"")</f>
        <v/>
      </c>
    </row>
    <row r="7655">
      <c r="A7655">
        <f>IFERROR(INDEX('Email Cleaner'!$B$2:$B$10001,MATCH(7654,'Email Cleaner'!$G$2:$G$10001,0)),"")</f>
        <v/>
      </c>
    </row>
    <row r="7656">
      <c r="A7656">
        <f>IFERROR(INDEX('Email Cleaner'!$B$2:$B$10001,MATCH(7655,'Email Cleaner'!$G$2:$G$10001,0)),"")</f>
        <v/>
      </c>
    </row>
    <row r="7657">
      <c r="A7657">
        <f>IFERROR(INDEX('Email Cleaner'!$B$2:$B$10001,MATCH(7656,'Email Cleaner'!$G$2:$G$10001,0)),"")</f>
        <v/>
      </c>
    </row>
    <row r="7658">
      <c r="A7658">
        <f>IFERROR(INDEX('Email Cleaner'!$B$2:$B$10001,MATCH(7657,'Email Cleaner'!$G$2:$G$10001,0)),"")</f>
        <v/>
      </c>
    </row>
    <row r="7659">
      <c r="A7659">
        <f>IFERROR(INDEX('Email Cleaner'!$B$2:$B$10001,MATCH(7658,'Email Cleaner'!$G$2:$G$10001,0)),"")</f>
        <v/>
      </c>
    </row>
    <row r="7660">
      <c r="A7660">
        <f>IFERROR(INDEX('Email Cleaner'!$B$2:$B$10001,MATCH(7659,'Email Cleaner'!$G$2:$G$10001,0)),"")</f>
        <v/>
      </c>
    </row>
    <row r="7661">
      <c r="A7661">
        <f>IFERROR(INDEX('Email Cleaner'!$B$2:$B$10001,MATCH(7660,'Email Cleaner'!$G$2:$G$10001,0)),"")</f>
        <v/>
      </c>
    </row>
    <row r="7662">
      <c r="A7662">
        <f>IFERROR(INDEX('Email Cleaner'!$B$2:$B$10001,MATCH(7661,'Email Cleaner'!$G$2:$G$10001,0)),"")</f>
        <v/>
      </c>
    </row>
    <row r="7663">
      <c r="A7663">
        <f>IFERROR(INDEX('Email Cleaner'!$B$2:$B$10001,MATCH(7662,'Email Cleaner'!$G$2:$G$10001,0)),"")</f>
        <v/>
      </c>
    </row>
    <row r="7664">
      <c r="A7664">
        <f>IFERROR(INDEX('Email Cleaner'!$B$2:$B$10001,MATCH(7663,'Email Cleaner'!$G$2:$G$10001,0)),"")</f>
        <v/>
      </c>
    </row>
    <row r="7665">
      <c r="A7665">
        <f>IFERROR(INDEX('Email Cleaner'!$B$2:$B$10001,MATCH(7664,'Email Cleaner'!$G$2:$G$10001,0)),"")</f>
        <v/>
      </c>
    </row>
    <row r="7666">
      <c r="A7666">
        <f>IFERROR(INDEX('Email Cleaner'!$B$2:$B$10001,MATCH(7665,'Email Cleaner'!$G$2:$G$10001,0)),"")</f>
        <v/>
      </c>
    </row>
    <row r="7667">
      <c r="A7667">
        <f>IFERROR(INDEX('Email Cleaner'!$B$2:$B$10001,MATCH(7666,'Email Cleaner'!$G$2:$G$10001,0)),"")</f>
        <v/>
      </c>
    </row>
    <row r="7668">
      <c r="A7668">
        <f>IFERROR(INDEX('Email Cleaner'!$B$2:$B$10001,MATCH(7667,'Email Cleaner'!$G$2:$G$10001,0)),"")</f>
        <v/>
      </c>
    </row>
    <row r="7669">
      <c r="A7669">
        <f>IFERROR(INDEX('Email Cleaner'!$B$2:$B$10001,MATCH(7668,'Email Cleaner'!$G$2:$G$10001,0)),"")</f>
        <v/>
      </c>
    </row>
    <row r="7670">
      <c r="A7670">
        <f>IFERROR(INDEX('Email Cleaner'!$B$2:$B$10001,MATCH(7669,'Email Cleaner'!$G$2:$G$10001,0)),"")</f>
        <v/>
      </c>
    </row>
    <row r="7671">
      <c r="A7671">
        <f>IFERROR(INDEX('Email Cleaner'!$B$2:$B$10001,MATCH(7670,'Email Cleaner'!$G$2:$G$10001,0)),"")</f>
        <v/>
      </c>
    </row>
    <row r="7672">
      <c r="A7672">
        <f>IFERROR(INDEX('Email Cleaner'!$B$2:$B$10001,MATCH(7671,'Email Cleaner'!$G$2:$G$10001,0)),"")</f>
        <v/>
      </c>
    </row>
    <row r="7673">
      <c r="A7673">
        <f>IFERROR(INDEX('Email Cleaner'!$B$2:$B$10001,MATCH(7672,'Email Cleaner'!$G$2:$G$10001,0)),"")</f>
        <v/>
      </c>
    </row>
    <row r="7674">
      <c r="A7674">
        <f>IFERROR(INDEX('Email Cleaner'!$B$2:$B$10001,MATCH(7673,'Email Cleaner'!$G$2:$G$10001,0)),"")</f>
        <v/>
      </c>
    </row>
    <row r="7675">
      <c r="A7675">
        <f>IFERROR(INDEX('Email Cleaner'!$B$2:$B$10001,MATCH(7674,'Email Cleaner'!$G$2:$G$10001,0)),"")</f>
        <v/>
      </c>
    </row>
    <row r="7676">
      <c r="A7676">
        <f>IFERROR(INDEX('Email Cleaner'!$B$2:$B$10001,MATCH(7675,'Email Cleaner'!$G$2:$G$10001,0)),"")</f>
        <v/>
      </c>
    </row>
    <row r="7677">
      <c r="A7677">
        <f>IFERROR(INDEX('Email Cleaner'!$B$2:$B$10001,MATCH(7676,'Email Cleaner'!$G$2:$G$10001,0)),"")</f>
        <v/>
      </c>
    </row>
    <row r="7678">
      <c r="A7678">
        <f>IFERROR(INDEX('Email Cleaner'!$B$2:$B$10001,MATCH(7677,'Email Cleaner'!$G$2:$G$10001,0)),"")</f>
        <v/>
      </c>
    </row>
    <row r="7679">
      <c r="A7679">
        <f>IFERROR(INDEX('Email Cleaner'!$B$2:$B$10001,MATCH(7678,'Email Cleaner'!$G$2:$G$10001,0)),"")</f>
        <v/>
      </c>
    </row>
    <row r="7680">
      <c r="A7680">
        <f>IFERROR(INDEX('Email Cleaner'!$B$2:$B$10001,MATCH(7679,'Email Cleaner'!$G$2:$G$10001,0)),"")</f>
        <v/>
      </c>
    </row>
    <row r="7681">
      <c r="A7681">
        <f>IFERROR(INDEX('Email Cleaner'!$B$2:$B$10001,MATCH(7680,'Email Cleaner'!$G$2:$G$10001,0)),"")</f>
        <v/>
      </c>
    </row>
    <row r="7682">
      <c r="A7682">
        <f>IFERROR(INDEX('Email Cleaner'!$B$2:$B$10001,MATCH(7681,'Email Cleaner'!$G$2:$G$10001,0)),"")</f>
        <v/>
      </c>
    </row>
    <row r="7683">
      <c r="A7683">
        <f>IFERROR(INDEX('Email Cleaner'!$B$2:$B$10001,MATCH(7682,'Email Cleaner'!$G$2:$G$10001,0)),"")</f>
        <v/>
      </c>
    </row>
    <row r="7684">
      <c r="A7684">
        <f>IFERROR(INDEX('Email Cleaner'!$B$2:$B$10001,MATCH(7683,'Email Cleaner'!$G$2:$G$10001,0)),"")</f>
        <v/>
      </c>
    </row>
    <row r="7685">
      <c r="A7685">
        <f>IFERROR(INDEX('Email Cleaner'!$B$2:$B$10001,MATCH(7684,'Email Cleaner'!$G$2:$G$10001,0)),"")</f>
        <v/>
      </c>
    </row>
    <row r="7686">
      <c r="A7686">
        <f>IFERROR(INDEX('Email Cleaner'!$B$2:$B$10001,MATCH(7685,'Email Cleaner'!$G$2:$G$10001,0)),"")</f>
        <v/>
      </c>
    </row>
    <row r="7687">
      <c r="A7687">
        <f>IFERROR(INDEX('Email Cleaner'!$B$2:$B$10001,MATCH(7686,'Email Cleaner'!$G$2:$G$10001,0)),"")</f>
        <v/>
      </c>
    </row>
    <row r="7688">
      <c r="A7688">
        <f>IFERROR(INDEX('Email Cleaner'!$B$2:$B$10001,MATCH(7687,'Email Cleaner'!$G$2:$G$10001,0)),"")</f>
        <v/>
      </c>
    </row>
    <row r="7689">
      <c r="A7689">
        <f>IFERROR(INDEX('Email Cleaner'!$B$2:$B$10001,MATCH(7688,'Email Cleaner'!$G$2:$G$10001,0)),"")</f>
        <v/>
      </c>
    </row>
    <row r="7690">
      <c r="A7690">
        <f>IFERROR(INDEX('Email Cleaner'!$B$2:$B$10001,MATCH(7689,'Email Cleaner'!$G$2:$G$10001,0)),"")</f>
        <v/>
      </c>
    </row>
    <row r="7691">
      <c r="A7691">
        <f>IFERROR(INDEX('Email Cleaner'!$B$2:$B$10001,MATCH(7690,'Email Cleaner'!$G$2:$G$10001,0)),"")</f>
        <v/>
      </c>
    </row>
    <row r="7692">
      <c r="A7692">
        <f>IFERROR(INDEX('Email Cleaner'!$B$2:$B$10001,MATCH(7691,'Email Cleaner'!$G$2:$G$10001,0)),"")</f>
        <v/>
      </c>
    </row>
    <row r="7693">
      <c r="A7693">
        <f>IFERROR(INDEX('Email Cleaner'!$B$2:$B$10001,MATCH(7692,'Email Cleaner'!$G$2:$G$10001,0)),"")</f>
        <v/>
      </c>
    </row>
    <row r="7694">
      <c r="A7694">
        <f>IFERROR(INDEX('Email Cleaner'!$B$2:$B$10001,MATCH(7693,'Email Cleaner'!$G$2:$G$10001,0)),"")</f>
        <v/>
      </c>
    </row>
    <row r="7695">
      <c r="A7695">
        <f>IFERROR(INDEX('Email Cleaner'!$B$2:$B$10001,MATCH(7694,'Email Cleaner'!$G$2:$G$10001,0)),"")</f>
        <v/>
      </c>
    </row>
    <row r="7696">
      <c r="A7696">
        <f>IFERROR(INDEX('Email Cleaner'!$B$2:$B$10001,MATCH(7695,'Email Cleaner'!$G$2:$G$10001,0)),"")</f>
        <v/>
      </c>
    </row>
    <row r="7697">
      <c r="A7697">
        <f>IFERROR(INDEX('Email Cleaner'!$B$2:$B$10001,MATCH(7696,'Email Cleaner'!$G$2:$G$10001,0)),"")</f>
        <v/>
      </c>
    </row>
    <row r="7698">
      <c r="A7698">
        <f>IFERROR(INDEX('Email Cleaner'!$B$2:$B$10001,MATCH(7697,'Email Cleaner'!$G$2:$G$10001,0)),"")</f>
        <v/>
      </c>
    </row>
    <row r="7699">
      <c r="A7699">
        <f>IFERROR(INDEX('Email Cleaner'!$B$2:$B$10001,MATCH(7698,'Email Cleaner'!$G$2:$G$10001,0)),"")</f>
        <v/>
      </c>
    </row>
    <row r="7700">
      <c r="A7700">
        <f>IFERROR(INDEX('Email Cleaner'!$B$2:$B$10001,MATCH(7699,'Email Cleaner'!$G$2:$G$10001,0)),"")</f>
        <v/>
      </c>
    </row>
    <row r="7701">
      <c r="A7701">
        <f>IFERROR(INDEX('Email Cleaner'!$B$2:$B$10001,MATCH(7700,'Email Cleaner'!$G$2:$G$10001,0)),"")</f>
        <v/>
      </c>
    </row>
    <row r="7702">
      <c r="A7702">
        <f>IFERROR(INDEX('Email Cleaner'!$B$2:$B$10001,MATCH(7701,'Email Cleaner'!$G$2:$G$10001,0)),"")</f>
        <v/>
      </c>
    </row>
    <row r="7703">
      <c r="A7703">
        <f>IFERROR(INDEX('Email Cleaner'!$B$2:$B$10001,MATCH(7702,'Email Cleaner'!$G$2:$G$10001,0)),"")</f>
        <v/>
      </c>
    </row>
    <row r="7704">
      <c r="A7704">
        <f>IFERROR(INDEX('Email Cleaner'!$B$2:$B$10001,MATCH(7703,'Email Cleaner'!$G$2:$G$10001,0)),"")</f>
        <v/>
      </c>
    </row>
    <row r="7705">
      <c r="A7705">
        <f>IFERROR(INDEX('Email Cleaner'!$B$2:$B$10001,MATCH(7704,'Email Cleaner'!$G$2:$G$10001,0)),"")</f>
        <v/>
      </c>
    </row>
    <row r="7706">
      <c r="A7706">
        <f>IFERROR(INDEX('Email Cleaner'!$B$2:$B$10001,MATCH(7705,'Email Cleaner'!$G$2:$G$10001,0)),"")</f>
        <v/>
      </c>
    </row>
    <row r="7707">
      <c r="A7707">
        <f>IFERROR(INDEX('Email Cleaner'!$B$2:$B$10001,MATCH(7706,'Email Cleaner'!$G$2:$G$10001,0)),"")</f>
        <v/>
      </c>
    </row>
    <row r="7708">
      <c r="A7708">
        <f>IFERROR(INDEX('Email Cleaner'!$B$2:$B$10001,MATCH(7707,'Email Cleaner'!$G$2:$G$10001,0)),"")</f>
        <v/>
      </c>
    </row>
    <row r="7709">
      <c r="A7709">
        <f>IFERROR(INDEX('Email Cleaner'!$B$2:$B$10001,MATCH(7708,'Email Cleaner'!$G$2:$G$10001,0)),"")</f>
        <v/>
      </c>
    </row>
    <row r="7710">
      <c r="A7710">
        <f>IFERROR(INDEX('Email Cleaner'!$B$2:$B$10001,MATCH(7709,'Email Cleaner'!$G$2:$G$10001,0)),"")</f>
        <v/>
      </c>
    </row>
    <row r="7711">
      <c r="A7711">
        <f>IFERROR(INDEX('Email Cleaner'!$B$2:$B$10001,MATCH(7710,'Email Cleaner'!$G$2:$G$10001,0)),"")</f>
        <v/>
      </c>
    </row>
    <row r="7712">
      <c r="A7712">
        <f>IFERROR(INDEX('Email Cleaner'!$B$2:$B$10001,MATCH(7711,'Email Cleaner'!$G$2:$G$10001,0)),"")</f>
        <v/>
      </c>
    </row>
    <row r="7713">
      <c r="A7713">
        <f>IFERROR(INDEX('Email Cleaner'!$B$2:$B$10001,MATCH(7712,'Email Cleaner'!$G$2:$G$10001,0)),"")</f>
        <v/>
      </c>
    </row>
    <row r="7714">
      <c r="A7714">
        <f>IFERROR(INDEX('Email Cleaner'!$B$2:$B$10001,MATCH(7713,'Email Cleaner'!$G$2:$G$10001,0)),"")</f>
        <v/>
      </c>
    </row>
    <row r="7715">
      <c r="A7715">
        <f>IFERROR(INDEX('Email Cleaner'!$B$2:$B$10001,MATCH(7714,'Email Cleaner'!$G$2:$G$10001,0)),"")</f>
        <v/>
      </c>
    </row>
    <row r="7716">
      <c r="A7716">
        <f>IFERROR(INDEX('Email Cleaner'!$B$2:$B$10001,MATCH(7715,'Email Cleaner'!$G$2:$G$10001,0)),"")</f>
        <v/>
      </c>
    </row>
    <row r="7717">
      <c r="A7717">
        <f>IFERROR(INDEX('Email Cleaner'!$B$2:$B$10001,MATCH(7716,'Email Cleaner'!$G$2:$G$10001,0)),"")</f>
        <v/>
      </c>
    </row>
    <row r="7718">
      <c r="A7718">
        <f>IFERROR(INDEX('Email Cleaner'!$B$2:$B$10001,MATCH(7717,'Email Cleaner'!$G$2:$G$10001,0)),"")</f>
        <v/>
      </c>
    </row>
    <row r="7719">
      <c r="A7719">
        <f>IFERROR(INDEX('Email Cleaner'!$B$2:$B$10001,MATCH(7718,'Email Cleaner'!$G$2:$G$10001,0)),"")</f>
        <v/>
      </c>
    </row>
    <row r="7720">
      <c r="A7720">
        <f>IFERROR(INDEX('Email Cleaner'!$B$2:$B$10001,MATCH(7719,'Email Cleaner'!$G$2:$G$10001,0)),"")</f>
        <v/>
      </c>
    </row>
    <row r="7721">
      <c r="A7721">
        <f>IFERROR(INDEX('Email Cleaner'!$B$2:$B$10001,MATCH(7720,'Email Cleaner'!$G$2:$G$10001,0)),"")</f>
        <v/>
      </c>
    </row>
    <row r="7722">
      <c r="A7722">
        <f>IFERROR(INDEX('Email Cleaner'!$B$2:$B$10001,MATCH(7721,'Email Cleaner'!$G$2:$G$10001,0)),"")</f>
        <v/>
      </c>
    </row>
    <row r="7723">
      <c r="A7723">
        <f>IFERROR(INDEX('Email Cleaner'!$B$2:$B$10001,MATCH(7722,'Email Cleaner'!$G$2:$G$10001,0)),"")</f>
        <v/>
      </c>
    </row>
    <row r="7724">
      <c r="A7724">
        <f>IFERROR(INDEX('Email Cleaner'!$B$2:$B$10001,MATCH(7723,'Email Cleaner'!$G$2:$G$10001,0)),"")</f>
        <v/>
      </c>
    </row>
    <row r="7725">
      <c r="A7725">
        <f>IFERROR(INDEX('Email Cleaner'!$B$2:$B$10001,MATCH(7724,'Email Cleaner'!$G$2:$G$10001,0)),"")</f>
        <v/>
      </c>
    </row>
    <row r="7726">
      <c r="A7726">
        <f>IFERROR(INDEX('Email Cleaner'!$B$2:$B$10001,MATCH(7725,'Email Cleaner'!$G$2:$G$10001,0)),"")</f>
        <v/>
      </c>
    </row>
    <row r="7727">
      <c r="A7727">
        <f>IFERROR(INDEX('Email Cleaner'!$B$2:$B$10001,MATCH(7726,'Email Cleaner'!$G$2:$G$10001,0)),"")</f>
        <v/>
      </c>
    </row>
    <row r="7728">
      <c r="A7728">
        <f>IFERROR(INDEX('Email Cleaner'!$B$2:$B$10001,MATCH(7727,'Email Cleaner'!$G$2:$G$10001,0)),"")</f>
        <v/>
      </c>
    </row>
    <row r="7729">
      <c r="A7729">
        <f>IFERROR(INDEX('Email Cleaner'!$B$2:$B$10001,MATCH(7728,'Email Cleaner'!$G$2:$G$10001,0)),"")</f>
        <v/>
      </c>
    </row>
    <row r="7730">
      <c r="A7730">
        <f>IFERROR(INDEX('Email Cleaner'!$B$2:$B$10001,MATCH(7729,'Email Cleaner'!$G$2:$G$10001,0)),"")</f>
        <v/>
      </c>
    </row>
    <row r="7731">
      <c r="A7731">
        <f>IFERROR(INDEX('Email Cleaner'!$B$2:$B$10001,MATCH(7730,'Email Cleaner'!$G$2:$G$10001,0)),"")</f>
        <v/>
      </c>
    </row>
    <row r="7732">
      <c r="A7732">
        <f>IFERROR(INDEX('Email Cleaner'!$B$2:$B$10001,MATCH(7731,'Email Cleaner'!$G$2:$G$10001,0)),"")</f>
        <v/>
      </c>
    </row>
    <row r="7733">
      <c r="A7733">
        <f>IFERROR(INDEX('Email Cleaner'!$B$2:$B$10001,MATCH(7732,'Email Cleaner'!$G$2:$G$10001,0)),"")</f>
        <v/>
      </c>
    </row>
    <row r="7734">
      <c r="A7734">
        <f>IFERROR(INDEX('Email Cleaner'!$B$2:$B$10001,MATCH(7733,'Email Cleaner'!$G$2:$G$10001,0)),"")</f>
        <v/>
      </c>
    </row>
    <row r="7735">
      <c r="A7735">
        <f>IFERROR(INDEX('Email Cleaner'!$B$2:$B$10001,MATCH(7734,'Email Cleaner'!$G$2:$G$10001,0)),"")</f>
        <v/>
      </c>
    </row>
    <row r="7736">
      <c r="A7736">
        <f>IFERROR(INDEX('Email Cleaner'!$B$2:$B$10001,MATCH(7735,'Email Cleaner'!$G$2:$G$10001,0)),"")</f>
        <v/>
      </c>
    </row>
    <row r="7737">
      <c r="A7737">
        <f>IFERROR(INDEX('Email Cleaner'!$B$2:$B$10001,MATCH(7736,'Email Cleaner'!$G$2:$G$10001,0)),"")</f>
        <v/>
      </c>
    </row>
    <row r="7738">
      <c r="A7738">
        <f>IFERROR(INDEX('Email Cleaner'!$B$2:$B$10001,MATCH(7737,'Email Cleaner'!$G$2:$G$10001,0)),"")</f>
        <v/>
      </c>
    </row>
    <row r="7739">
      <c r="A7739">
        <f>IFERROR(INDEX('Email Cleaner'!$B$2:$B$10001,MATCH(7738,'Email Cleaner'!$G$2:$G$10001,0)),"")</f>
        <v/>
      </c>
    </row>
    <row r="7740">
      <c r="A7740">
        <f>IFERROR(INDEX('Email Cleaner'!$B$2:$B$10001,MATCH(7739,'Email Cleaner'!$G$2:$G$10001,0)),"")</f>
        <v/>
      </c>
    </row>
    <row r="7741">
      <c r="A7741">
        <f>IFERROR(INDEX('Email Cleaner'!$B$2:$B$10001,MATCH(7740,'Email Cleaner'!$G$2:$G$10001,0)),"")</f>
        <v/>
      </c>
    </row>
    <row r="7742">
      <c r="A7742">
        <f>IFERROR(INDEX('Email Cleaner'!$B$2:$B$10001,MATCH(7741,'Email Cleaner'!$G$2:$G$10001,0)),"")</f>
        <v/>
      </c>
    </row>
    <row r="7743">
      <c r="A7743">
        <f>IFERROR(INDEX('Email Cleaner'!$B$2:$B$10001,MATCH(7742,'Email Cleaner'!$G$2:$G$10001,0)),"")</f>
        <v/>
      </c>
    </row>
    <row r="7744">
      <c r="A7744">
        <f>IFERROR(INDEX('Email Cleaner'!$B$2:$B$10001,MATCH(7743,'Email Cleaner'!$G$2:$G$10001,0)),"")</f>
        <v/>
      </c>
    </row>
    <row r="7745">
      <c r="A7745">
        <f>IFERROR(INDEX('Email Cleaner'!$B$2:$B$10001,MATCH(7744,'Email Cleaner'!$G$2:$G$10001,0)),"")</f>
        <v/>
      </c>
    </row>
    <row r="7746">
      <c r="A7746">
        <f>IFERROR(INDEX('Email Cleaner'!$B$2:$B$10001,MATCH(7745,'Email Cleaner'!$G$2:$G$10001,0)),"")</f>
        <v/>
      </c>
    </row>
    <row r="7747">
      <c r="A7747">
        <f>IFERROR(INDEX('Email Cleaner'!$B$2:$B$10001,MATCH(7746,'Email Cleaner'!$G$2:$G$10001,0)),"")</f>
        <v/>
      </c>
    </row>
    <row r="7748">
      <c r="A7748">
        <f>IFERROR(INDEX('Email Cleaner'!$B$2:$B$10001,MATCH(7747,'Email Cleaner'!$G$2:$G$10001,0)),"")</f>
        <v/>
      </c>
    </row>
    <row r="7749">
      <c r="A7749">
        <f>IFERROR(INDEX('Email Cleaner'!$B$2:$B$10001,MATCH(7748,'Email Cleaner'!$G$2:$G$10001,0)),"")</f>
        <v/>
      </c>
    </row>
    <row r="7750">
      <c r="A7750">
        <f>IFERROR(INDEX('Email Cleaner'!$B$2:$B$10001,MATCH(7749,'Email Cleaner'!$G$2:$G$10001,0)),"")</f>
        <v/>
      </c>
    </row>
    <row r="7751">
      <c r="A7751">
        <f>IFERROR(INDEX('Email Cleaner'!$B$2:$B$10001,MATCH(7750,'Email Cleaner'!$G$2:$G$10001,0)),"")</f>
        <v/>
      </c>
    </row>
    <row r="7752">
      <c r="A7752">
        <f>IFERROR(INDEX('Email Cleaner'!$B$2:$B$10001,MATCH(7751,'Email Cleaner'!$G$2:$G$10001,0)),"")</f>
        <v/>
      </c>
    </row>
    <row r="7753">
      <c r="A7753">
        <f>IFERROR(INDEX('Email Cleaner'!$B$2:$B$10001,MATCH(7752,'Email Cleaner'!$G$2:$G$10001,0)),"")</f>
        <v/>
      </c>
    </row>
    <row r="7754">
      <c r="A7754">
        <f>IFERROR(INDEX('Email Cleaner'!$B$2:$B$10001,MATCH(7753,'Email Cleaner'!$G$2:$G$10001,0)),"")</f>
        <v/>
      </c>
    </row>
    <row r="7755">
      <c r="A7755">
        <f>IFERROR(INDEX('Email Cleaner'!$B$2:$B$10001,MATCH(7754,'Email Cleaner'!$G$2:$G$10001,0)),"")</f>
        <v/>
      </c>
    </row>
    <row r="7756">
      <c r="A7756">
        <f>IFERROR(INDEX('Email Cleaner'!$B$2:$B$10001,MATCH(7755,'Email Cleaner'!$G$2:$G$10001,0)),"")</f>
        <v/>
      </c>
    </row>
    <row r="7757">
      <c r="A7757">
        <f>IFERROR(INDEX('Email Cleaner'!$B$2:$B$10001,MATCH(7756,'Email Cleaner'!$G$2:$G$10001,0)),"")</f>
        <v/>
      </c>
    </row>
    <row r="7758">
      <c r="A7758">
        <f>IFERROR(INDEX('Email Cleaner'!$B$2:$B$10001,MATCH(7757,'Email Cleaner'!$G$2:$G$10001,0)),"")</f>
        <v/>
      </c>
    </row>
    <row r="7759">
      <c r="A7759">
        <f>IFERROR(INDEX('Email Cleaner'!$B$2:$B$10001,MATCH(7758,'Email Cleaner'!$G$2:$G$10001,0)),"")</f>
        <v/>
      </c>
    </row>
    <row r="7760">
      <c r="A7760">
        <f>IFERROR(INDEX('Email Cleaner'!$B$2:$B$10001,MATCH(7759,'Email Cleaner'!$G$2:$G$10001,0)),"")</f>
        <v/>
      </c>
    </row>
    <row r="7761">
      <c r="A7761">
        <f>IFERROR(INDEX('Email Cleaner'!$B$2:$B$10001,MATCH(7760,'Email Cleaner'!$G$2:$G$10001,0)),"")</f>
        <v/>
      </c>
    </row>
    <row r="7762">
      <c r="A7762">
        <f>IFERROR(INDEX('Email Cleaner'!$B$2:$B$10001,MATCH(7761,'Email Cleaner'!$G$2:$G$10001,0)),"")</f>
        <v/>
      </c>
    </row>
    <row r="7763">
      <c r="A7763">
        <f>IFERROR(INDEX('Email Cleaner'!$B$2:$B$10001,MATCH(7762,'Email Cleaner'!$G$2:$G$10001,0)),"")</f>
        <v/>
      </c>
    </row>
    <row r="7764">
      <c r="A7764">
        <f>IFERROR(INDEX('Email Cleaner'!$B$2:$B$10001,MATCH(7763,'Email Cleaner'!$G$2:$G$10001,0)),"")</f>
        <v/>
      </c>
    </row>
    <row r="7765">
      <c r="A7765">
        <f>IFERROR(INDEX('Email Cleaner'!$B$2:$B$10001,MATCH(7764,'Email Cleaner'!$G$2:$G$10001,0)),"")</f>
        <v/>
      </c>
    </row>
    <row r="7766">
      <c r="A7766">
        <f>IFERROR(INDEX('Email Cleaner'!$B$2:$B$10001,MATCH(7765,'Email Cleaner'!$G$2:$G$10001,0)),"")</f>
        <v/>
      </c>
    </row>
    <row r="7767">
      <c r="A7767">
        <f>IFERROR(INDEX('Email Cleaner'!$B$2:$B$10001,MATCH(7766,'Email Cleaner'!$G$2:$G$10001,0)),"")</f>
        <v/>
      </c>
    </row>
    <row r="7768">
      <c r="A7768">
        <f>IFERROR(INDEX('Email Cleaner'!$B$2:$B$10001,MATCH(7767,'Email Cleaner'!$G$2:$G$10001,0)),"")</f>
        <v/>
      </c>
    </row>
    <row r="7769">
      <c r="A7769">
        <f>IFERROR(INDEX('Email Cleaner'!$B$2:$B$10001,MATCH(7768,'Email Cleaner'!$G$2:$G$10001,0)),"")</f>
        <v/>
      </c>
    </row>
    <row r="7770">
      <c r="A7770">
        <f>IFERROR(INDEX('Email Cleaner'!$B$2:$B$10001,MATCH(7769,'Email Cleaner'!$G$2:$G$10001,0)),"")</f>
        <v/>
      </c>
    </row>
    <row r="7771">
      <c r="A7771">
        <f>IFERROR(INDEX('Email Cleaner'!$B$2:$B$10001,MATCH(7770,'Email Cleaner'!$G$2:$G$10001,0)),"")</f>
        <v/>
      </c>
    </row>
    <row r="7772">
      <c r="A7772">
        <f>IFERROR(INDEX('Email Cleaner'!$B$2:$B$10001,MATCH(7771,'Email Cleaner'!$G$2:$G$10001,0)),"")</f>
        <v/>
      </c>
    </row>
    <row r="7773">
      <c r="A7773">
        <f>IFERROR(INDEX('Email Cleaner'!$B$2:$B$10001,MATCH(7772,'Email Cleaner'!$G$2:$G$10001,0)),"")</f>
        <v/>
      </c>
    </row>
    <row r="7774">
      <c r="A7774">
        <f>IFERROR(INDEX('Email Cleaner'!$B$2:$B$10001,MATCH(7773,'Email Cleaner'!$G$2:$G$10001,0)),"")</f>
        <v/>
      </c>
    </row>
    <row r="7775">
      <c r="A7775">
        <f>IFERROR(INDEX('Email Cleaner'!$B$2:$B$10001,MATCH(7774,'Email Cleaner'!$G$2:$G$10001,0)),"")</f>
        <v/>
      </c>
    </row>
    <row r="7776">
      <c r="A7776">
        <f>IFERROR(INDEX('Email Cleaner'!$B$2:$B$10001,MATCH(7775,'Email Cleaner'!$G$2:$G$10001,0)),"")</f>
        <v/>
      </c>
    </row>
    <row r="7777">
      <c r="A7777">
        <f>IFERROR(INDEX('Email Cleaner'!$B$2:$B$10001,MATCH(7776,'Email Cleaner'!$G$2:$G$10001,0)),"")</f>
        <v/>
      </c>
    </row>
    <row r="7778">
      <c r="A7778">
        <f>IFERROR(INDEX('Email Cleaner'!$B$2:$B$10001,MATCH(7777,'Email Cleaner'!$G$2:$G$10001,0)),"")</f>
        <v/>
      </c>
    </row>
    <row r="7779">
      <c r="A7779">
        <f>IFERROR(INDEX('Email Cleaner'!$B$2:$B$10001,MATCH(7778,'Email Cleaner'!$G$2:$G$10001,0)),"")</f>
        <v/>
      </c>
    </row>
    <row r="7780">
      <c r="A7780">
        <f>IFERROR(INDEX('Email Cleaner'!$B$2:$B$10001,MATCH(7779,'Email Cleaner'!$G$2:$G$10001,0)),"")</f>
        <v/>
      </c>
    </row>
    <row r="7781">
      <c r="A7781">
        <f>IFERROR(INDEX('Email Cleaner'!$B$2:$B$10001,MATCH(7780,'Email Cleaner'!$G$2:$G$10001,0)),"")</f>
        <v/>
      </c>
    </row>
    <row r="7782">
      <c r="A7782">
        <f>IFERROR(INDEX('Email Cleaner'!$B$2:$B$10001,MATCH(7781,'Email Cleaner'!$G$2:$G$10001,0)),"")</f>
        <v/>
      </c>
    </row>
    <row r="7783">
      <c r="A7783">
        <f>IFERROR(INDEX('Email Cleaner'!$B$2:$B$10001,MATCH(7782,'Email Cleaner'!$G$2:$G$10001,0)),"")</f>
        <v/>
      </c>
    </row>
    <row r="7784">
      <c r="A7784">
        <f>IFERROR(INDEX('Email Cleaner'!$B$2:$B$10001,MATCH(7783,'Email Cleaner'!$G$2:$G$10001,0)),"")</f>
        <v/>
      </c>
    </row>
    <row r="7785">
      <c r="A7785">
        <f>IFERROR(INDEX('Email Cleaner'!$B$2:$B$10001,MATCH(7784,'Email Cleaner'!$G$2:$G$10001,0)),"")</f>
        <v/>
      </c>
    </row>
    <row r="7786">
      <c r="A7786">
        <f>IFERROR(INDEX('Email Cleaner'!$B$2:$B$10001,MATCH(7785,'Email Cleaner'!$G$2:$G$10001,0)),"")</f>
        <v/>
      </c>
    </row>
    <row r="7787">
      <c r="A7787">
        <f>IFERROR(INDEX('Email Cleaner'!$B$2:$B$10001,MATCH(7786,'Email Cleaner'!$G$2:$G$10001,0)),"")</f>
        <v/>
      </c>
    </row>
    <row r="7788">
      <c r="A7788">
        <f>IFERROR(INDEX('Email Cleaner'!$B$2:$B$10001,MATCH(7787,'Email Cleaner'!$G$2:$G$10001,0)),"")</f>
        <v/>
      </c>
    </row>
    <row r="7789">
      <c r="A7789">
        <f>IFERROR(INDEX('Email Cleaner'!$B$2:$B$10001,MATCH(7788,'Email Cleaner'!$G$2:$G$10001,0)),"")</f>
        <v/>
      </c>
    </row>
    <row r="7790">
      <c r="A7790">
        <f>IFERROR(INDEX('Email Cleaner'!$B$2:$B$10001,MATCH(7789,'Email Cleaner'!$G$2:$G$10001,0)),"")</f>
        <v/>
      </c>
    </row>
    <row r="7791">
      <c r="A7791">
        <f>IFERROR(INDEX('Email Cleaner'!$B$2:$B$10001,MATCH(7790,'Email Cleaner'!$G$2:$G$10001,0)),"")</f>
        <v/>
      </c>
    </row>
    <row r="7792">
      <c r="A7792">
        <f>IFERROR(INDEX('Email Cleaner'!$B$2:$B$10001,MATCH(7791,'Email Cleaner'!$G$2:$G$10001,0)),"")</f>
        <v/>
      </c>
    </row>
    <row r="7793">
      <c r="A7793">
        <f>IFERROR(INDEX('Email Cleaner'!$B$2:$B$10001,MATCH(7792,'Email Cleaner'!$G$2:$G$10001,0)),"")</f>
        <v/>
      </c>
    </row>
    <row r="7794">
      <c r="A7794">
        <f>IFERROR(INDEX('Email Cleaner'!$B$2:$B$10001,MATCH(7793,'Email Cleaner'!$G$2:$G$10001,0)),"")</f>
        <v/>
      </c>
    </row>
    <row r="7795">
      <c r="A7795">
        <f>IFERROR(INDEX('Email Cleaner'!$B$2:$B$10001,MATCH(7794,'Email Cleaner'!$G$2:$G$10001,0)),"")</f>
        <v/>
      </c>
    </row>
    <row r="7796">
      <c r="A7796">
        <f>IFERROR(INDEX('Email Cleaner'!$B$2:$B$10001,MATCH(7795,'Email Cleaner'!$G$2:$G$10001,0)),"")</f>
        <v/>
      </c>
    </row>
    <row r="7797">
      <c r="A7797">
        <f>IFERROR(INDEX('Email Cleaner'!$B$2:$B$10001,MATCH(7796,'Email Cleaner'!$G$2:$G$10001,0)),"")</f>
        <v/>
      </c>
    </row>
    <row r="7798">
      <c r="A7798">
        <f>IFERROR(INDEX('Email Cleaner'!$B$2:$B$10001,MATCH(7797,'Email Cleaner'!$G$2:$G$10001,0)),"")</f>
        <v/>
      </c>
    </row>
    <row r="7799">
      <c r="A7799">
        <f>IFERROR(INDEX('Email Cleaner'!$B$2:$B$10001,MATCH(7798,'Email Cleaner'!$G$2:$G$10001,0)),"")</f>
        <v/>
      </c>
    </row>
    <row r="7800">
      <c r="A7800">
        <f>IFERROR(INDEX('Email Cleaner'!$B$2:$B$10001,MATCH(7799,'Email Cleaner'!$G$2:$G$10001,0)),"")</f>
        <v/>
      </c>
    </row>
    <row r="7801">
      <c r="A7801">
        <f>IFERROR(INDEX('Email Cleaner'!$B$2:$B$10001,MATCH(7800,'Email Cleaner'!$G$2:$G$10001,0)),"")</f>
        <v/>
      </c>
    </row>
    <row r="7802">
      <c r="A7802">
        <f>IFERROR(INDEX('Email Cleaner'!$B$2:$B$10001,MATCH(7801,'Email Cleaner'!$G$2:$G$10001,0)),"")</f>
        <v/>
      </c>
    </row>
    <row r="7803">
      <c r="A7803">
        <f>IFERROR(INDEX('Email Cleaner'!$B$2:$B$10001,MATCH(7802,'Email Cleaner'!$G$2:$G$10001,0)),"")</f>
        <v/>
      </c>
    </row>
    <row r="7804">
      <c r="A7804">
        <f>IFERROR(INDEX('Email Cleaner'!$B$2:$B$10001,MATCH(7803,'Email Cleaner'!$G$2:$G$10001,0)),"")</f>
        <v/>
      </c>
    </row>
    <row r="7805">
      <c r="A7805">
        <f>IFERROR(INDEX('Email Cleaner'!$B$2:$B$10001,MATCH(7804,'Email Cleaner'!$G$2:$G$10001,0)),"")</f>
        <v/>
      </c>
    </row>
    <row r="7806">
      <c r="A7806">
        <f>IFERROR(INDEX('Email Cleaner'!$B$2:$B$10001,MATCH(7805,'Email Cleaner'!$G$2:$G$10001,0)),"")</f>
        <v/>
      </c>
    </row>
    <row r="7807">
      <c r="A7807">
        <f>IFERROR(INDEX('Email Cleaner'!$B$2:$B$10001,MATCH(7806,'Email Cleaner'!$G$2:$G$10001,0)),"")</f>
        <v/>
      </c>
    </row>
    <row r="7808">
      <c r="A7808">
        <f>IFERROR(INDEX('Email Cleaner'!$B$2:$B$10001,MATCH(7807,'Email Cleaner'!$G$2:$G$10001,0)),"")</f>
        <v/>
      </c>
    </row>
    <row r="7809">
      <c r="A7809">
        <f>IFERROR(INDEX('Email Cleaner'!$B$2:$B$10001,MATCH(7808,'Email Cleaner'!$G$2:$G$10001,0)),"")</f>
        <v/>
      </c>
    </row>
    <row r="7810">
      <c r="A7810">
        <f>IFERROR(INDEX('Email Cleaner'!$B$2:$B$10001,MATCH(7809,'Email Cleaner'!$G$2:$G$10001,0)),"")</f>
        <v/>
      </c>
    </row>
    <row r="7811">
      <c r="A7811">
        <f>IFERROR(INDEX('Email Cleaner'!$B$2:$B$10001,MATCH(7810,'Email Cleaner'!$G$2:$G$10001,0)),"")</f>
        <v/>
      </c>
    </row>
    <row r="7812">
      <c r="A7812">
        <f>IFERROR(INDEX('Email Cleaner'!$B$2:$B$10001,MATCH(7811,'Email Cleaner'!$G$2:$G$10001,0)),"")</f>
        <v/>
      </c>
    </row>
    <row r="7813">
      <c r="A7813">
        <f>IFERROR(INDEX('Email Cleaner'!$B$2:$B$10001,MATCH(7812,'Email Cleaner'!$G$2:$G$10001,0)),"")</f>
        <v/>
      </c>
    </row>
    <row r="7814">
      <c r="A7814">
        <f>IFERROR(INDEX('Email Cleaner'!$B$2:$B$10001,MATCH(7813,'Email Cleaner'!$G$2:$G$10001,0)),"")</f>
        <v/>
      </c>
    </row>
    <row r="7815">
      <c r="A7815">
        <f>IFERROR(INDEX('Email Cleaner'!$B$2:$B$10001,MATCH(7814,'Email Cleaner'!$G$2:$G$10001,0)),"")</f>
        <v/>
      </c>
    </row>
    <row r="7816">
      <c r="A7816">
        <f>IFERROR(INDEX('Email Cleaner'!$B$2:$B$10001,MATCH(7815,'Email Cleaner'!$G$2:$G$10001,0)),"")</f>
        <v/>
      </c>
    </row>
    <row r="7817">
      <c r="A7817">
        <f>IFERROR(INDEX('Email Cleaner'!$B$2:$B$10001,MATCH(7816,'Email Cleaner'!$G$2:$G$10001,0)),"")</f>
        <v/>
      </c>
    </row>
    <row r="7818">
      <c r="A7818">
        <f>IFERROR(INDEX('Email Cleaner'!$B$2:$B$10001,MATCH(7817,'Email Cleaner'!$G$2:$G$10001,0)),"")</f>
        <v/>
      </c>
    </row>
    <row r="7819">
      <c r="A7819">
        <f>IFERROR(INDEX('Email Cleaner'!$B$2:$B$10001,MATCH(7818,'Email Cleaner'!$G$2:$G$10001,0)),"")</f>
        <v/>
      </c>
    </row>
    <row r="7820">
      <c r="A7820">
        <f>IFERROR(INDEX('Email Cleaner'!$B$2:$B$10001,MATCH(7819,'Email Cleaner'!$G$2:$G$10001,0)),"")</f>
        <v/>
      </c>
    </row>
    <row r="7821">
      <c r="A7821">
        <f>IFERROR(INDEX('Email Cleaner'!$B$2:$B$10001,MATCH(7820,'Email Cleaner'!$G$2:$G$10001,0)),"")</f>
        <v/>
      </c>
    </row>
    <row r="7822">
      <c r="A7822">
        <f>IFERROR(INDEX('Email Cleaner'!$B$2:$B$10001,MATCH(7821,'Email Cleaner'!$G$2:$G$10001,0)),"")</f>
        <v/>
      </c>
    </row>
    <row r="7823">
      <c r="A7823">
        <f>IFERROR(INDEX('Email Cleaner'!$B$2:$B$10001,MATCH(7822,'Email Cleaner'!$G$2:$G$10001,0)),"")</f>
        <v/>
      </c>
    </row>
    <row r="7824">
      <c r="A7824">
        <f>IFERROR(INDEX('Email Cleaner'!$B$2:$B$10001,MATCH(7823,'Email Cleaner'!$G$2:$G$10001,0)),"")</f>
        <v/>
      </c>
    </row>
    <row r="7825">
      <c r="A7825">
        <f>IFERROR(INDEX('Email Cleaner'!$B$2:$B$10001,MATCH(7824,'Email Cleaner'!$G$2:$G$10001,0)),"")</f>
        <v/>
      </c>
    </row>
    <row r="7826">
      <c r="A7826">
        <f>IFERROR(INDEX('Email Cleaner'!$B$2:$B$10001,MATCH(7825,'Email Cleaner'!$G$2:$G$10001,0)),"")</f>
        <v/>
      </c>
    </row>
    <row r="7827">
      <c r="A7827">
        <f>IFERROR(INDEX('Email Cleaner'!$B$2:$B$10001,MATCH(7826,'Email Cleaner'!$G$2:$G$10001,0)),"")</f>
        <v/>
      </c>
    </row>
    <row r="7828">
      <c r="A7828">
        <f>IFERROR(INDEX('Email Cleaner'!$B$2:$B$10001,MATCH(7827,'Email Cleaner'!$G$2:$G$10001,0)),"")</f>
        <v/>
      </c>
    </row>
    <row r="7829">
      <c r="A7829">
        <f>IFERROR(INDEX('Email Cleaner'!$B$2:$B$10001,MATCH(7828,'Email Cleaner'!$G$2:$G$10001,0)),"")</f>
        <v/>
      </c>
    </row>
    <row r="7830">
      <c r="A7830">
        <f>IFERROR(INDEX('Email Cleaner'!$B$2:$B$10001,MATCH(7829,'Email Cleaner'!$G$2:$G$10001,0)),"")</f>
        <v/>
      </c>
    </row>
    <row r="7831">
      <c r="A7831">
        <f>IFERROR(INDEX('Email Cleaner'!$B$2:$B$10001,MATCH(7830,'Email Cleaner'!$G$2:$G$10001,0)),"")</f>
        <v/>
      </c>
    </row>
    <row r="7832">
      <c r="A7832">
        <f>IFERROR(INDEX('Email Cleaner'!$B$2:$B$10001,MATCH(7831,'Email Cleaner'!$G$2:$G$10001,0)),"")</f>
        <v/>
      </c>
    </row>
    <row r="7833">
      <c r="A7833">
        <f>IFERROR(INDEX('Email Cleaner'!$B$2:$B$10001,MATCH(7832,'Email Cleaner'!$G$2:$G$10001,0)),"")</f>
        <v/>
      </c>
    </row>
    <row r="7834">
      <c r="A7834">
        <f>IFERROR(INDEX('Email Cleaner'!$B$2:$B$10001,MATCH(7833,'Email Cleaner'!$G$2:$G$10001,0)),"")</f>
        <v/>
      </c>
    </row>
    <row r="7835">
      <c r="A7835">
        <f>IFERROR(INDEX('Email Cleaner'!$B$2:$B$10001,MATCH(7834,'Email Cleaner'!$G$2:$G$10001,0)),"")</f>
        <v/>
      </c>
    </row>
    <row r="7836">
      <c r="A7836">
        <f>IFERROR(INDEX('Email Cleaner'!$B$2:$B$10001,MATCH(7835,'Email Cleaner'!$G$2:$G$10001,0)),"")</f>
        <v/>
      </c>
    </row>
    <row r="7837">
      <c r="A7837">
        <f>IFERROR(INDEX('Email Cleaner'!$B$2:$B$10001,MATCH(7836,'Email Cleaner'!$G$2:$G$10001,0)),"")</f>
        <v/>
      </c>
    </row>
    <row r="7838">
      <c r="A7838">
        <f>IFERROR(INDEX('Email Cleaner'!$B$2:$B$10001,MATCH(7837,'Email Cleaner'!$G$2:$G$10001,0)),"")</f>
        <v/>
      </c>
    </row>
    <row r="7839">
      <c r="A7839">
        <f>IFERROR(INDEX('Email Cleaner'!$B$2:$B$10001,MATCH(7838,'Email Cleaner'!$G$2:$G$10001,0)),"")</f>
        <v/>
      </c>
    </row>
    <row r="7840">
      <c r="A7840">
        <f>IFERROR(INDEX('Email Cleaner'!$B$2:$B$10001,MATCH(7839,'Email Cleaner'!$G$2:$G$10001,0)),"")</f>
        <v/>
      </c>
    </row>
    <row r="7841">
      <c r="A7841">
        <f>IFERROR(INDEX('Email Cleaner'!$B$2:$B$10001,MATCH(7840,'Email Cleaner'!$G$2:$G$10001,0)),"")</f>
        <v/>
      </c>
    </row>
    <row r="7842">
      <c r="A7842">
        <f>IFERROR(INDEX('Email Cleaner'!$B$2:$B$10001,MATCH(7841,'Email Cleaner'!$G$2:$G$10001,0)),"")</f>
        <v/>
      </c>
    </row>
    <row r="7843">
      <c r="A7843">
        <f>IFERROR(INDEX('Email Cleaner'!$B$2:$B$10001,MATCH(7842,'Email Cleaner'!$G$2:$G$10001,0)),"")</f>
        <v/>
      </c>
    </row>
    <row r="7844">
      <c r="A7844">
        <f>IFERROR(INDEX('Email Cleaner'!$B$2:$B$10001,MATCH(7843,'Email Cleaner'!$G$2:$G$10001,0)),"")</f>
        <v/>
      </c>
    </row>
    <row r="7845">
      <c r="A7845">
        <f>IFERROR(INDEX('Email Cleaner'!$B$2:$B$10001,MATCH(7844,'Email Cleaner'!$G$2:$G$10001,0)),"")</f>
        <v/>
      </c>
    </row>
    <row r="7846">
      <c r="A7846">
        <f>IFERROR(INDEX('Email Cleaner'!$B$2:$B$10001,MATCH(7845,'Email Cleaner'!$G$2:$G$10001,0)),"")</f>
        <v/>
      </c>
    </row>
    <row r="7847">
      <c r="A7847">
        <f>IFERROR(INDEX('Email Cleaner'!$B$2:$B$10001,MATCH(7846,'Email Cleaner'!$G$2:$G$10001,0)),"")</f>
        <v/>
      </c>
    </row>
    <row r="7848">
      <c r="A7848">
        <f>IFERROR(INDEX('Email Cleaner'!$B$2:$B$10001,MATCH(7847,'Email Cleaner'!$G$2:$G$10001,0)),"")</f>
        <v/>
      </c>
    </row>
    <row r="7849">
      <c r="A7849">
        <f>IFERROR(INDEX('Email Cleaner'!$B$2:$B$10001,MATCH(7848,'Email Cleaner'!$G$2:$G$10001,0)),"")</f>
        <v/>
      </c>
    </row>
    <row r="7850">
      <c r="A7850">
        <f>IFERROR(INDEX('Email Cleaner'!$B$2:$B$10001,MATCH(7849,'Email Cleaner'!$G$2:$G$10001,0)),"")</f>
        <v/>
      </c>
    </row>
    <row r="7851">
      <c r="A7851">
        <f>IFERROR(INDEX('Email Cleaner'!$B$2:$B$10001,MATCH(7850,'Email Cleaner'!$G$2:$G$10001,0)),"")</f>
        <v/>
      </c>
    </row>
    <row r="7852">
      <c r="A7852">
        <f>IFERROR(INDEX('Email Cleaner'!$B$2:$B$10001,MATCH(7851,'Email Cleaner'!$G$2:$G$10001,0)),"")</f>
        <v/>
      </c>
    </row>
    <row r="7853">
      <c r="A7853">
        <f>IFERROR(INDEX('Email Cleaner'!$B$2:$B$10001,MATCH(7852,'Email Cleaner'!$G$2:$G$10001,0)),"")</f>
        <v/>
      </c>
    </row>
    <row r="7854">
      <c r="A7854">
        <f>IFERROR(INDEX('Email Cleaner'!$B$2:$B$10001,MATCH(7853,'Email Cleaner'!$G$2:$G$10001,0)),"")</f>
        <v/>
      </c>
    </row>
    <row r="7855">
      <c r="A7855">
        <f>IFERROR(INDEX('Email Cleaner'!$B$2:$B$10001,MATCH(7854,'Email Cleaner'!$G$2:$G$10001,0)),"")</f>
        <v/>
      </c>
    </row>
    <row r="7856">
      <c r="A7856">
        <f>IFERROR(INDEX('Email Cleaner'!$B$2:$B$10001,MATCH(7855,'Email Cleaner'!$G$2:$G$10001,0)),"")</f>
        <v/>
      </c>
    </row>
    <row r="7857">
      <c r="A7857">
        <f>IFERROR(INDEX('Email Cleaner'!$B$2:$B$10001,MATCH(7856,'Email Cleaner'!$G$2:$G$10001,0)),"")</f>
        <v/>
      </c>
    </row>
    <row r="7858">
      <c r="A7858">
        <f>IFERROR(INDEX('Email Cleaner'!$B$2:$B$10001,MATCH(7857,'Email Cleaner'!$G$2:$G$10001,0)),"")</f>
        <v/>
      </c>
    </row>
    <row r="7859">
      <c r="A7859">
        <f>IFERROR(INDEX('Email Cleaner'!$B$2:$B$10001,MATCH(7858,'Email Cleaner'!$G$2:$G$10001,0)),"")</f>
        <v/>
      </c>
    </row>
    <row r="7860">
      <c r="A7860">
        <f>IFERROR(INDEX('Email Cleaner'!$B$2:$B$10001,MATCH(7859,'Email Cleaner'!$G$2:$G$10001,0)),"")</f>
        <v/>
      </c>
    </row>
    <row r="7861">
      <c r="A7861">
        <f>IFERROR(INDEX('Email Cleaner'!$B$2:$B$10001,MATCH(7860,'Email Cleaner'!$G$2:$G$10001,0)),"")</f>
        <v/>
      </c>
    </row>
    <row r="7862">
      <c r="A7862">
        <f>IFERROR(INDEX('Email Cleaner'!$B$2:$B$10001,MATCH(7861,'Email Cleaner'!$G$2:$G$10001,0)),"")</f>
        <v/>
      </c>
    </row>
    <row r="7863">
      <c r="A7863">
        <f>IFERROR(INDEX('Email Cleaner'!$B$2:$B$10001,MATCH(7862,'Email Cleaner'!$G$2:$G$10001,0)),"")</f>
        <v/>
      </c>
    </row>
    <row r="7864">
      <c r="A7864">
        <f>IFERROR(INDEX('Email Cleaner'!$B$2:$B$10001,MATCH(7863,'Email Cleaner'!$G$2:$G$10001,0)),"")</f>
        <v/>
      </c>
    </row>
    <row r="7865">
      <c r="A7865">
        <f>IFERROR(INDEX('Email Cleaner'!$B$2:$B$10001,MATCH(7864,'Email Cleaner'!$G$2:$G$10001,0)),"")</f>
        <v/>
      </c>
    </row>
    <row r="7866">
      <c r="A7866">
        <f>IFERROR(INDEX('Email Cleaner'!$B$2:$B$10001,MATCH(7865,'Email Cleaner'!$G$2:$G$10001,0)),"")</f>
        <v/>
      </c>
    </row>
    <row r="7867">
      <c r="A7867">
        <f>IFERROR(INDEX('Email Cleaner'!$B$2:$B$10001,MATCH(7866,'Email Cleaner'!$G$2:$G$10001,0)),"")</f>
        <v/>
      </c>
    </row>
    <row r="7868">
      <c r="A7868">
        <f>IFERROR(INDEX('Email Cleaner'!$B$2:$B$10001,MATCH(7867,'Email Cleaner'!$G$2:$G$10001,0)),"")</f>
        <v/>
      </c>
    </row>
    <row r="7869">
      <c r="A7869">
        <f>IFERROR(INDEX('Email Cleaner'!$B$2:$B$10001,MATCH(7868,'Email Cleaner'!$G$2:$G$10001,0)),"")</f>
        <v/>
      </c>
    </row>
    <row r="7870">
      <c r="A7870">
        <f>IFERROR(INDEX('Email Cleaner'!$B$2:$B$10001,MATCH(7869,'Email Cleaner'!$G$2:$G$10001,0)),"")</f>
        <v/>
      </c>
    </row>
    <row r="7871">
      <c r="A7871">
        <f>IFERROR(INDEX('Email Cleaner'!$B$2:$B$10001,MATCH(7870,'Email Cleaner'!$G$2:$G$10001,0)),"")</f>
        <v/>
      </c>
    </row>
    <row r="7872">
      <c r="A7872">
        <f>IFERROR(INDEX('Email Cleaner'!$B$2:$B$10001,MATCH(7871,'Email Cleaner'!$G$2:$G$10001,0)),"")</f>
        <v/>
      </c>
    </row>
    <row r="7873">
      <c r="A7873">
        <f>IFERROR(INDEX('Email Cleaner'!$B$2:$B$10001,MATCH(7872,'Email Cleaner'!$G$2:$G$10001,0)),"")</f>
        <v/>
      </c>
    </row>
    <row r="7874">
      <c r="A7874">
        <f>IFERROR(INDEX('Email Cleaner'!$B$2:$B$10001,MATCH(7873,'Email Cleaner'!$G$2:$G$10001,0)),"")</f>
        <v/>
      </c>
    </row>
    <row r="7875">
      <c r="A7875">
        <f>IFERROR(INDEX('Email Cleaner'!$B$2:$B$10001,MATCH(7874,'Email Cleaner'!$G$2:$G$10001,0)),"")</f>
        <v/>
      </c>
    </row>
    <row r="7876">
      <c r="A7876">
        <f>IFERROR(INDEX('Email Cleaner'!$B$2:$B$10001,MATCH(7875,'Email Cleaner'!$G$2:$G$10001,0)),"")</f>
        <v/>
      </c>
    </row>
    <row r="7877">
      <c r="A7877">
        <f>IFERROR(INDEX('Email Cleaner'!$B$2:$B$10001,MATCH(7876,'Email Cleaner'!$G$2:$G$10001,0)),"")</f>
        <v/>
      </c>
    </row>
    <row r="7878">
      <c r="A7878">
        <f>IFERROR(INDEX('Email Cleaner'!$B$2:$B$10001,MATCH(7877,'Email Cleaner'!$G$2:$G$10001,0)),"")</f>
        <v/>
      </c>
    </row>
    <row r="7879">
      <c r="A7879">
        <f>IFERROR(INDEX('Email Cleaner'!$B$2:$B$10001,MATCH(7878,'Email Cleaner'!$G$2:$G$10001,0)),"")</f>
        <v/>
      </c>
    </row>
    <row r="7880">
      <c r="A7880">
        <f>IFERROR(INDEX('Email Cleaner'!$B$2:$B$10001,MATCH(7879,'Email Cleaner'!$G$2:$G$10001,0)),"")</f>
        <v/>
      </c>
    </row>
    <row r="7881">
      <c r="A7881">
        <f>IFERROR(INDEX('Email Cleaner'!$B$2:$B$10001,MATCH(7880,'Email Cleaner'!$G$2:$G$10001,0)),"")</f>
        <v/>
      </c>
    </row>
    <row r="7882">
      <c r="A7882">
        <f>IFERROR(INDEX('Email Cleaner'!$B$2:$B$10001,MATCH(7881,'Email Cleaner'!$G$2:$G$10001,0)),"")</f>
        <v/>
      </c>
    </row>
    <row r="7883">
      <c r="A7883">
        <f>IFERROR(INDEX('Email Cleaner'!$B$2:$B$10001,MATCH(7882,'Email Cleaner'!$G$2:$G$10001,0)),"")</f>
        <v/>
      </c>
    </row>
    <row r="7884">
      <c r="A7884">
        <f>IFERROR(INDEX('Email Cleaner'!$B$2:$B$10001,MATCH(7883,'Email Cleaner'!$G$2:$G$10001,0)),"")</f>
        <v/>
      </c>
    </row>
    <row r="7885">
      <c r="A7885">
        <f>IFERROR(INDEX('Email Cleaner'!$B$2:$B$10001,MATCH(7884,'Email Cleaner'!$G$2:$G$10001,0)),"")</f>
        <v/>
      </c>
    </row>
    <row r="7886">
      <c r="A7886">
        <f>IFERROR(INDEX('Email Cleaner'!$B$2:$B$10001,MATCH(7885,'Email Cleaner'!$G$2:$G$10001,0)),"")</f>
        <v/>
      </c>
    </row>
    <row r="7887">
      <c r="A7887">
        <f>IFERROR(INDEX('Email Cleaner'!$B$2:$B$10001,MATCH(7886,'Email Cleaner'!$G$2:$G$10001,0)),"")</f>
        <v/>
      </c>
    </row>
    <row r="7888">
      <c r="A7888">
        <f>IFERROR(INDEX('Email Cleaner'!$B$2:$B$10001,MATCH(7887,'Email Cleaner'!$G$2:$G$10001,0)),"")</f>
        <v/>
      </c>
    </row>
    <row r="7889">
      <c r="A7889">
        <f>IFERROR(INDEX('Email Cleaner'!$B$2:$B$10001,MATCH(7888,'Email Cleaner'!$G$2:$G$10001,0)),"")</f>
        <v/>
      </c>
    </row>
    <row r="7890">
      <c r="A7890">
        <f>IFERROR(INDEX('Email Cleaner'!$B$2:$B$10001,MATCH(7889,'Email Cleaner'!$G$2:$G$10001,0)),"")</f>
        <v/>
      </c>
    </row>
    <row r="7891">
      <c r="A7891">
        <f>IFERROR(INDEX('Email Cleaner'!$B$2:$B$10001,MATCH(7890,'Email Cleaner'!$G$2:$G$10001,0)),"")</f>
        <v/>
      </c>
    </row>
    <row r="7892">
      <c r="A7892">
        <f>IFERROR(INDEX('Email Cleaner'!$B$2:$B$10001,MATCH(7891,'Email Cleaner'!$G$2:$G$10001,0)),"")</f>
        <v/>
      </c>
    </row>
    <row r="7893">
      <c r="A7893">
        <f>IFERROR(INDEX('Email Cleaner'!$B$2:$B$10001,MATCH(7892,'Email Cleaner'!$G$2:$G$10001,0)),"")</f>
        <v/>
      </c>
    </row>
    <row r="7894">
      <c r="A7894">
        <f>IFERROR(INDEX('Email Cleaner'!$B$2:$B$10001,MATCH(7893,'Email Cleaner'!$G$2:$G$10001,0)),"")</f>
        <v/>
      </c>
    </row>
    <row r="7895">
      <c r="A7895">
        <f>IFERROR(INDEX('Email Cleaner'!$B$2:$B$10001,MATCH(7894,'Email Cleaner'!$G$2:$G$10001,0)),"")</f>
        <v/>
      </c>
    </row>
    <row r="7896">
      <c r="A7896">
        <f>IFERROR(INDEX('Email Cleaner'!$B$2:$B$10001,MATCH(7895,'Email Cleaner'!$G$2:$G$10001,0)),"")</f>
        <v/>
      </c>
    </row>
    <row r="7897">
      <c r="A7897">
        <f>IFERROR(INDEX('Email Cleaner'!$B$2:$B$10001,MATCH(7896,'Email Cleaner'!$G$2:$G$10001,0)),"")</f>
        <v/>
      </c>
    </row>
    <row r="7898">
      <c r="A7898">
        <f>IFERROR(INDEX('Email Cleaner'!$B$2:$B$10001,MATCH(7897,'Email Cleaner'!$G$2:$G$10001,0)),"")</f>
        <v/>
      </c>
    </row>
    <row r="7899">
      <c r="A7899">
        <f>IFERROR(INDEX('Email Cleaner'!$B$2:$B$10001,MATCH(7898,'Email Cleaner'!$G$2:$G$10001,0)),"")</f>
        <v/>
      </c>
    </row>
    <row r="7900">
      <c r="A7900">
        <f>IFERROR(INDEX('Email Cleaner'!$B$2:$B$10001,MATCH(7899,'Email Cleaner'!$G$2:$G$10001,0)),"")</f>
        <v/>
      </c>
    </row>
    <row r="7901">
      <c r="A7901">
        <f>IFERROR(INDEX('Email Cleaner'!$B$2:$B$10001,MATCH(7900,'Email Cleaner'!$G$2:$G$10001,0)),"")</f>
        <v/>
      </c>
    </row>
    <row r="7902">
      <c r="A7902">
        <f>IFERROR(INDEX('Email Cleaner'!$B$2:$B$10001,MATCH(7901,'Email Cleaner'!$G$2:$G$10001,0)),"")</f>
        <v/>
      </c>
    </row>
    <row r="7903">
      <c r="A7903">
        <f>IFERROR(INDEX('Email Cleaner'!$B$2:$B$10001,MATCH(7902,'Email Cleaner'!$G$2:$G$10001,0)),"")</f>
        <v/>
      </c>
    </row>
    <row r="7904">
      <c r="A7904">
        <f>IFERROR(INDEX('Email Cleaner'!$B$2:$B$10001,MATCH(7903,'Email Cleaner'!$G$2:$G$10001,0)),"")</f>
        <v/>
      </c>
    </row>
    <row r="7905">
      <c r="A7905">
        <f>IFERROR(INDEX('Email Cleaner'!$B$2:$B$10001,MATCH(7904,'Email Cleaner'!$G$2:$G$10001,0)),"")</f>
        <v/>
      </c>
    </row>
    <row r="7906">
      <c r="A7906">
        <f>IFERROR(INDEX('Email Cleaner'!$B$2:$B$10001,MATCH(7905,'Email Cleaner'!$G$2:$G$10001,0)),"")</f>
        <v/>
      </c>
    </row>
    <row r="7907">
      <c r="A7907">
        <f>IFERROR(INDEX('Email Cleaner'!$B$2:$B$10001,MATCH(7906,'Email Cleaner'!$G$2:$G$10001,0)),"")</f>
        <v/>
      </c>
    </row>
    <row r="7908">
      <c r="A7908">
        <f>IFERROR(INDEX('Email Cleaner'!$B$2:$B$10001,MATCH(7907,'Email Cleaner'!$G$2:$G$10001,0)),"")</f>
        <v/>
      </c>
    </row>
    <row r="7909">
      <c r="A7909">
        <f>IFERROR(INDEX('Email Cleaner'!$B$2:$B$10001,MATCH(7908,'Email Cleaner'!$G$2:$G$10001,0)),"")</f>
        <v/>
      </c>
    </row>
    <row r="7910">
      <c r="A7910">
        <f>IFERROR(INDEX('Email Cleaner'!$B$2:$B$10001,MATCH(7909,'Email Cleaner'!$G$2:$G$10001,0)),"")</f>
        <v/>
      </c>
    </row>
    <row r="7911">
      <c r="A7911">
        <f>IFERROR(INDEX('Email Cleaner'!$B$2:$B$10001,MATCH(7910,'Email Cleaner'!$G$2:$G$10001,0)),"")</f>
        <v/>
      </c>
    </row>
    <row r="7912">
      <c r="A7912">
        <f>IFERROR(INDEX('Email Cleaner'!$B$2:$B$10001,MATCH(7911,'Email Cleaner'!$G$2:$G$10001,0)),"")</f>
        <v/>
      </c>
    </row>
    <row r="7913">
      <c r="A7913">
        <f>IFERROR(INDEX('Email Cleaner'!$B$2:$B$10001,MATCH(7912,'Email Cleaner'!$G$2:$G$10001,0)),"")</f>
        <v/>
      </c>
    </row>
    <row r="7914">
      <c r="A7914">
        <f>IFERROR(INDEX('Email Cleaner'!$B$2:$B$10001,MATCH(7913,'Email Cleaner'!$G$2:$G$10001,0)),"")</f>
        <v/>
      </c>
    </row>
    <row r="7915">
      <c r="A7915">
        <f>IFERROR(INDEX('Email Cleaner'!$B$2:$B$10001,MATCH(7914,'Email Cleaner'!$G$2:$G$10001,0)),"")</f>
        <v/>
      </c>
    </row>
    <row r="7916">
      <c r="A7916">
        <f>IFERROR(INDEX('Email Cleaner'!$B$2:$B$10001,MATCH(7915,'Email Cleaner'!$G$2:$G$10001,0)),"")</f>
        <v/>
      </c>
    </row>
    <row r="7917">
      <c r="A7917">
        <f>IFERROR(INDEX('Email Cleaner'!$B$2:$B$10001,MATCH(7916,'Email Cleaner'!$G$2:$G$10001,0)),"")</f>
        <v/>
      </c>
    </row>
    <row r="7918">
      <c r="A7918">
        <f>IFERROR(INDEX('Email Cleaner'!$B$2:$B$10001,MATCH(7917,'Email Cleaner'!$G$2:$G$10001,0)),"")</f>
        <v/>
      </c>
    </row>
    <row r="7919">
      <c r="A7919">
        <f>IFERROR(INDEX('Email Cleaner'!$B$2:$B$10001,MATCH(7918,'Email Cleaner'!$G$2:$G$10001,0)),"")</f>
        <v/>
      </c>
    </row>
    <row r="7920">
      <c r="A7920">
        <f>IFERROR(INDEX('Email Cleaner'!$B$2:$B$10001,MATCH(7919,'Email Cleaner'!$G$2:$G$10001,0)),"")</f>
        <v/>
      </c>
    </row>
    <row r="7921">
      <c r="A7921">
        <f>IFERROR(INDEX('Email Cleaner'!$B$2:$B$10001,MATCH(7920,'Email Cleaner'!$G$2:$G$10001,0)),"")</f>
        <v/>
      </c>
    </row>
    <row r="7922">
      <c r="A7922">
        <f>IFERROR(INDEX('Email Cleaner'!$B$2:$B$10001,MATCH(7921,'Email Cleaner'!$G$2:$G$10001,0)),"")</f>
        <v/>
      </c>
    </row>
    <row r="7923">
      <c r="A7923">
        <f>IFERROR(INDEX('Email Cleaner'!$B$2:$B$10001,MATCH(7922,'Email Cleaner'!$G$2:$G$10001,0)),"")</f>
        <v/>
      </c>
    </row>
    <row r="7924">
      <c r="A7924">
        <f>IFERROR(INDEX('Email Cleaner'!$B$2:$B$10001,MATCH(7923,'Email Cleaner'!$G$2:$G$10001,0)),"")</f>
        <v/>
      </c>
    </row>
    <row r="7925">
      <c r="A7925">
        <f>IFERROR(INDEX('Email Cleaner'!$B$2:$B$10001,MATCH(7924,'Email Cleaner'!$G$2:$G$10001,0)),"")</f>
        <v/>
      </c>
    </row>
    <row r="7926">
      <c r="A7926">
        <f>IFERROR(INDEX('Email Cleaner'!$B$2:$B$10001,MATCH(7925,'Email Cleaner'!$G$2:$G$10001,0)),"")</f>
        <v/>
      </c>
    </row>
    <row r="7927">
      <c r="A7927">
        <f>IFERROR(INDEX('Email Cleaner'!$B$2:$B$10001,MATCH(7926,'Email Cleaner'!$G$2:$G$10001,0)),"")</f>
        <v/>
      </c>
    </row>
    <row r="7928">
      <c r="A7928">
        <f>IFERROR(INDEX('Email Cleaner'!$B$2:$B$10001,MATCH(7927,'Email Cleaner'!$G$2:$G$10001,0)),"")</f>
        <v/>
      </c>
    </row>
    <row r="7929">
      <c r="A7929">
        <f>IFERROR(INDEX('Email Cleaner'!$B$2:$B$10001,MATCH(7928,'Email Cleaner'!$G$2:$G$10001,0)),"")</f>
        <v/>
      </c>
    </row>
    <row r="7930">
      <c r="A7930">
        <f>IFERROR(INDEX('Email Cleaner'!$B$2:$B$10001,MATCH(7929,'Email Cleaner'!$G$2:$G$10001,0)),"")</f>
        <v/>
      </c>
    </row>
    <row r="7931">
      <c r="A7931">
        <f>IFERROR(INDEX('Email Cleaner'!$B$2:$B$10001,MATCH(7930,'Email Cleaner'!$G$2:$G$10001,0)),"")</f>
        <v/>
      </c>
    </row>
    <row r="7932">
      <c r="A7932">
        <f>IFERROR(INDEX('Email Cleaner'!$B$2:$B$10001,MATCH(7931,'Email Cleaner'!$G$2:$G$10001,0)),"")</f>
        <v/>
      </c>
    </row>
    <row r="7933">
      <c r="A7933">
        <f>IFERROR(INDEX('Email Cleaner'!$B$2:$B$10001,MATCH(7932,'Email Cleaner'!$G$2:$G$10001,0)),"")</f>
        <v/>
      </c>
    </row>
    <row r="7934">
      <c r="A7934">
        <f>IFERROR(INDEX('Email Cleaner'!$B$2:$B$10001,MATCH(7933,'Email Cleaner'!$G$2:$G$10001,0)),"")</f>
        <v/>
      </c>
    </row>
    <row r="7935">
      <c r="A7935">
        <f>IFERROR(INDEX('Email Cleaner'!$B$2:$B$10001,MATCH(7934,'Email Cleaner'!$G$2:$G$10001,0)),"")</f>
        <v/>
      </c>
    </row>
    <row r="7936">
      <c r="A7936">
        <f>IFERROR(INDEX('Email Cleaner'!$B$2:$B$10001,MATCH(7935,'Email Cleaner'!$G$2:$G$10001,0)),"")</f>
        <v/>
      </c>
    </row>
    <row r="7937">
      <c r="A7937">
        <f>IFERROR(INDEX('Email Cleaner'!$B$2:$B$10001,MATCH(7936,'Email Cleaner'!$G$2:$G$10001,0)),"")</f>
        <v/>
      </c>
    </row>
    <row r="7938">
      <c r="A7938">
        <f>IFERROR(INDEX('Email Cleaner'!$B$2:$B$10001,MATCH(7937,'Email Cleaner'!$G$2:$G$10001,0)),"")</f>
        <v/>
      </c>
    </row>
    <row r="7939">
      <c r="A7939">
        <f>IFERROR(INDEX('Email Cleaner'!$B$2:$B$10001,MATCH(7938,'Email Cleaner'!$G$2:$G$10001,0)),"")</f>
        <v/>
      </c>
    </row>
    <row r="7940">
      <c r="A7940">
        <f>IFERROR(INDEX('Email Cleaner'!$B$2:$B$10001,MATCH(7939,'Email Cleaner'!$G$2:$G$10001,0)),"")</f>
        <v/>
      </c>
    </row>
    <row r="7941">
      <c r="A7941">
        <f>IFERROR(INDEX('Email Cleaner'!$B$2:$B$10001,MATCH(7940,'Email Cleaner'!$G$2:$G$10001,0)),"")</f>
        <v/>
      </c>
    </row>
    <row r="7942">
      <c r="A7942">
        <f>IFERROR(INDEX('Email Cleaner'!$B$2:$B$10001,MATCH(7941,'Email Cleaner'!$G$2:$G$10001,0)),"")</f>
        <v/>
      </c>
    </row>
    <row r="7943">
      <c r="A7943">
        <f>IFERROR(INDEX('Email Cleaner'!$B$2:$B$10001,MATCH(7942,'Email Cleaner'!$G$2:$G$10001,0)),"")</f>
        <v/>
      </c>
    </row>
    <row r="7944">
      <c r="A7944">
        <f>IFERROR(INDEX('Email Cleaner'!$B$2:$B$10001,MATCH(7943,'Email Cleaner'!$G$2:$G$10001,0)),"")</f>
        <v/>
      </c>
    </row>
    <row r="7945">
      <c r="A7945">
        <f>IFERROR(INDEX('Email Cleaner'!$B$2:$B$10001,MATCH(7944,'Email Cleaner'!$G$2:$G$10001,0)),"")</f>
        <v/>
      </c>
    </row>
    <row r="7946">
      <c r="A7946">
        <f>IFERROR(INDEX('Email Cleaner'!$B$2:$B$10001,MATCH(7945,'Email Cleaner'!$G$2:$G$10001,0)),"")</f>
        <v/>
      </c>
    </row>
    <row r="7947">
      <c r="A7947">
        <f>IFERROR(INDEX('Email Cleaner'!$B$2:$B$10001,MATCH(7946,'Email Cleaner'!$G$2:$G$10001,0)),"")</f>
        <v/>
      </c>
    </row>
    <row r="7948">
      <c r="A7948">
        <f>IFERROR(INDEX('Email Cleaner'!$B$2:$B$10001,MATCH(7947,'Email Cleaner'!$G$2:$G$10001,0)),"")</f>
        <v/>
      </c>
    </row>
    <row r="7949">
      <c r="A7949">
        <f>IFERROR(INDEX('Email Cleaner'!$B$2:$B$10001,MATCH(7948,'Email Cleaner'!$G$2:$G$10001,0)),"")</f>
        <v/>
      </c>
    </row>
    <row r="7950">
      <c r="A7950">
        <f>IFERROR(INDEX('Email Cleaner'!$B$2:$B$10001,MATCH(7949,'Email Cleaner'!$G$2:$G$10001,0)),"")</f>
        <v/>
      </c>
    </row>
    <row r="7951">
      <c r="A7951">
        <f>IFERROR(INDEX('Email Cleaner'!$B$2:$B$10001,MATCH(7950,'Email Cleaner'!$G$2:$G$10001,0)),"")</f>
        <v/>
      </c>
    </row>
    <row r="7952">
      <c r="A7952">
        <f>IFERROR(INDEX('Email Cleaner'!$B$2:$B$10001,MATCH(7951,'Email Cleaner'!$G$2:$G$10001,0)),"")</f>
        <v/>
      </c>
    </row>
    <row r="7953">
      <c r="A7953">
        <f>IFERROR(INDEX('Email Cleaner'!$B$2:$B$10001,MATCH(7952,'Email Cleaner'!$G$2:$G$10001,0)),"")</f>
        <v/>
      </c>
    </row>
    <row r="7954">
      <c r="A7954">
        <f>IFERROR(INDEX('Email Cleaner'!$B$2:$B$10001,MATCH(7953,'Email Cleaner'!$G$2:$G$10001,0)),"")</f>
        <v/>
      </c>
    </row>
    <row r="7955">
      <c r="A7955">
        <f>IFERROR(INDEX('Email Cleaner'!$B$2:$B$10001,MATCH(7954,'Email Cleaner'!$G$2:$G$10001,0)),"")</f>
        <v/>
      </c>
    </row>
    <row r="7956">
      <c r="A7956">
        <f>IFERROR(INDEX('Email Cleaner'!$B$2:$B$10001,MATCH(7955,'Email Cleaner'!$G$2:$G$10001,0)),"")</f>
        <v/>
      </c>
    </row>
    <row r="7957">
      <c r="A7957">
        <f>IFERROR(INDEX('Email Cleaner'!$B$2:$B$10001,MATCH(7956,'Email Cleaner'!$G$2:$G$10001,0)),"")</f>
        <v/>
      </c>
    </row>
    <row r="7958">
      <c r="A7958">
        <f>IFERROR(INDEX('Email Cleaner'!$B$2:$B$10001,MATCH(7957,'Email Cleaner'!$G$2:$G$10001,0)),"")</f>
        <v/>
      </c>
    </row>
    <row r="7959">
      <c r="A7959">
        <f>IFERROR(INDEX('Email Cleaner'!$B$2:$B$10001,MATCH(7958,'Email Cleaner'!$G$2:$G$10001,0)),"")</f>
        <v/>
      </c>
    </row>
    <row r="7960">
      <c r="A7960">
        <f>IFERROR(INDEX('Email Cleaner'!$B$2:$B$10001,MATCH(7959,'Email Cleaner'!$G$2:$G$10001,0)),"")</f>
        <v/>
      </c>
    </row>
    <row r="7961">
      <c r="A7961">
        <f>IFERROR(INDEX('Email Cleaner'!$B$2:$B$10001,MATCH(7960,'Email Cleaner'!$G$2:$G$10001,0)),"")</f>
        <v/>
      </c>
    </row>
    <row r="7962">
      <c r="A7962">
        <f>IFERROR(INDEX('Email Cleaner'!$B$2:$B$10001,MATCH(7961,'Email Cleaner'!$G$2:$G$10001,0)),"")</f>
        <v/>
      </c>
    </row>
    <row r="7963">
      <c r="A7963">
        <f>IFERROR(INDEX('Email Cleaner'!$B$2:$B$10001,MATCH(7962,'Email Cleaner'!$G$2:$G$10001,0)),"")</f>
        <v/>
      </c>
    </row>
    <row r="7964">
      <c r="A7964">
        <f>IFERROR(INDEX('Email Cleaner'!$B$2:$B$10001,MATCH(7963,'Email Cleaner'!$G$2:$G$10001,0)),"")</f>
        <v/>
      </c>
    </row>
    <row r="7965">
      <c r="A7965">
        <f>IFERROR(INDEX('Email Cleaner'!$B$2:$B$10001,MATCH(7964,'Email Cleaner'!$G$2:$G$10001,0)),"")</f>
        <v/>
      </c>
    </row>
    <row r="7966">
      <c r="A7966">
        <f>IFERROR(INDEX('Email Cleaner'!$B$2:$B$10001,MATCH(7965,'Email Cleaner'!$G$2:$G$10001,0)),"")</f>
        <v/>
      </c>
    </row>
    <row r="7967">
      <c r="A7967">
        <f>IFERROR(INDEX('Email Cleaner'!$B$2:$B$10001,MATCH(7966,'Email Cleaner'!$G$2:$G$10001,0)),"")</f>
        <v/>
      </c>
    </row>
    <row r="7968">
      <c r="A7968">
        <f>IFERROR(INDEX('Email Cleaner'!$B$2:$B$10001,MATCH(7967,'Email Cleaner'!$G$2:$G$10001,0)),"")</f>
        <v/>
      </c>
    </row>
    <row r="7969">
      <c r="A7969">
        <f>IFERROR(INDEX('Email Cleaner'!$B$2:$B$10001,MATCH(7968,'Email Cleaner'!$G$2:$G$10001,0)),"")</f>
        <v/>
      </c>
    </row>
    <row r="7970">
      <c r="A7970">
        <f>IFERROR(INDEX('Email Cleaner'!$B$2:$B$10001,MATCH(7969,'Email Cleaner'!$G$2:$G$10001,0)),"")</f>
        <v/>
      </c>
    </row>
    <row r="7971">
      <c r="A7971">
        <f>IFERROR(INDEX('Email Cleaner'!$B$2:$B$10001,MATCH(7970,'Email Cleaner'!$G$2:$G$10001,0)),"")</f>
        <v/>
      </c>
    </row>
    <row r="7972">
      <c r="A7972">
        <f>IFERROR(INDEX('Email Cleaner'!$B$2:$B$10001,MATCH(7971,'Email Cleaner'!$G$2:$G$10001,0)),"")</f>
        <v/>
      </c>
    </row>
    <row r="7973">
      <c r="A7973">
        <f>IFERROR(INDEX('Email Cleaner'!$B$2:$B$10001,MATCH(7972,'Email Cleaner'!$G$2:$G$10001,0)),"")</f>
        <v/>
      </c>
    </row>
    <row r="7974">
      <c r="A7974">
        <f>IFERROR(INDEX('Email Cleaner'!$B$2:$B$10001,MATCH(7973,'Email Cleaner'!$G$2:$G$10001,0)),"")</f>
        <v/>
      </c>
    </row>
    <row r="7975">
      <c r="A7975">
        <f>IFERROR(INDEX('Email Cleaner'!$B$2:$B$10001,MATCH(7974,'Email Cleaner'!$G$2:$G$10001,0)),"")</f>
        <v/>
      </c>
    </row>
    <row r="7976">
      <c r="A7976">
        <f>IFERROR(INDEX('Email Cleaner'!$B$2:$B$10001,MATCH(7975,'Email Cleaner'!$G$2:$G$10001,0)),"")</f>
        <v/>
      </c>
    </row>
    <row r="7977">
      <c r="A7977">
        <f>IFERROR(INDEX('Email Cleaner'!$B$2:$B$10001,MATCH(7976,'Email Cleaner'!$G$2:$G$10001,0)),"")</f>
        <v/>
      </c>
    </row>
    <row r="7978">
      <c r="A7978">
        <f>IFERROR(INDEX('Email Cleaner'!$B$2:$B$10001,MATCH(7977,'Email Cleaner'!$G$2:$G$10001,0)),"")</f>
        <v/>
      </c>
    </row>
    <row r="7979">
      <c r="A7979">
        <f>IFERROR(INDEX('Email Cleaner'!$B$2:$B$10001,MATCH(7978,'Email Cleaner'!$G$2:$G$10001,0)),"")</f>
        <v/>
      </c>
    </row>
    <row r="7980">
      <c r="A7980">
        <f>IFERROR(INDEX('Email Cleaner'!$B$2:$B$10001,MATCH(7979,'Email Cleaner'!$G$2:$G$10001,0)),"")</f>
        <v/>
      </c>
    </row>
    <row r="7981">
      <c r="A7981">
        <f>IFERROR(INDEX('Email Cleaner'!$B$2:$B$10001,MATCH(7980,'Email Cleaner'!$G$2:$G$10001,0)),"")</f>
        <v/>
      </c>
    </row>
    <row r="7982">
      <c r="A7982">
        <f>IFERROR(INDEX('Email Cleaner'!$B$2:$B$10001,MATCH(7981,'Email Cleaner'!$G$2:$G$10001,0)),"")</f>
        <v/>
      </c>
    </row>
    <row r="7983">
      <c r="A7983">
        <f>IFERROR(INDEX('Email Cleaner'!$B$2:$B$10001,MATCH(7982,'Email Cleaner'!$G$2:$G$10001,0)),"")</f>
        <v/>
      </c>
    </row>
    <row r="7984">
      <c r="A7984">
        <f>IFERROR(INDEX('Email Cleaner'!$B$2:$B$10001,MATCH(7983,'Email Cleaner'!$G$2:$G$10001,0)),"")</f>
        <v/>
      </c>
    </row>
    <row r="7985">
      <c r="A7985">
        <f>IFERROR(INDEX('Email Cleaner'!$B$2:$B$10001,MATCH(7984,'Email Cleaner'!$G$2:$G$10001,0)),"")</f>
        <v/>
      </c>
    </row>
    <row r="7986">
      <c r="A7986">
        <f>IFERROR(INDEX('Email Cleaner'!$B$2:$B$10001,MATCH(7985,'Email Cleaner'!$G$2:$G$10001,0)),"")</f>
        <v/>
      </c>
    </row>
    <row r="7987">
      <c r="A7987">
        <f>IFERROR(INDEX('Email Cleaner'!$B$2:$B$10001,MATCH(7986,'Email Cleaner'!$G$2:$G$10001,0)),"")</f>
        <v/>
      </c>
    </row>
    <row r="7988">
      <c r="A7988">
        <f>IFERROR(INDEX('Email Cleaner'!$B$2:$B$10001,MATCH(7987,'Email Cleaner'!$G$2:$G$10001,0)),"")</f>
        <v/>
      </c>
    </row>
    <row r="7989">
      <c r="A7989">
        <f>IFERROR(INDEX('Email Cleaner'!$B$2:$B$10001,MATCH(7988,'Email Cleaner'!$G$2:$G$10001,0)),"")</f>
        <v/>
      </c>
    </row>
    <row r="7990">
      <c r="A7990">
        <f>IFERROR(INDEX('Email Cleaner'!$B$2:$B$10001,MATCH(7989,'Email Cleaner'!$G$2:$G$10001,0)),"")</f>
        <v/>
      </c>
    </row>
    <row r="7991">
      <c r="A7991">
        <f>IFERROR(INDEX('Email Cleaner'!$B$2:$B$10001,MATCH(7990,'Email Cleaner'!$G$2:$G$10001,0)),"")</f>
        <v/>
      </c>
    </row>
    <row r="7992">
      <c r="A7992">
        <f>IFERROR(INDEX('Email Cleaner'!$B$2:$B$10001,MATCH(7991,'Email Cleaner'!$G$2:$G$10001,0)),"")</f>
        <v/>
      </c>
    </row>
    <row r="7993">
      <c r="A7993">
        <f>IFERROR(INDEX('Email Cleaner'!$B$2:$B$10001,MATCH(7992,'Email Cleaner'!$G$2:$G$10001,0)),"")</f>
        <v/>
      </c>
    </row>
    <row r="7994">
      <c r="A7994">
        <f>IFERROR(INDEX('Email Cleaner'!$B$2:$B$10001,MATCH(7993,'Email Cleaner'!$G$2:$G$10001,0)),"")</f>
        <v/>
      </c>
    </row>
    <row r="7995">
      <c r="A7995">
        <f>IFERROR(INDEX('Email Cleaner'!$B$2:$B$10001,MATCH(7994,'Email Cleaner'!$G$2:$G$10001,0)),"")</f>
        <v/>
      </c>
    </row>
    <row r="7996">
      <c r="A7996">
        <f>IFERROR(INDEX('Email Cleaner'!$B$2:$B$10001,MATCH(7995,'Email Cleaner'!$G$2:$G$10001,0)),"")</f>
        <v/>
      </c>
    </row>
    <row r="7997">
      <c r="A7997">
        <f>IFERROR(INDEX('Email Cleaner'!$B$2:$B$10001,MATCH(7996,'Email Cleaner'!$G$2:$G$10001,0)),"")</f>
        <v/>
      </c>
    </row>
    <row r="7998">
      <c r="A7998">
        <f>IFERROR(INDEX('Email Cleaner'!$B$2:$B$10001,MATCH(7997,'Email Cleaner'!$G$2:$G$10001,0)),"")</f>
        <v/>
      </c>
    </row>
    <row r="7999">
      <c r="A7999">
        <f>IFERROR(INDEX('Email Cleaner'!$B$2:$B$10001,MATCH(7998,'Email Cleaner'!$G$2:$G$10001,0)),"")</f>
        <v/>
      </c>
    </row>
    <row r="8000">
      <c r="A8000">
        <f>IFERROR(INDEX('Email Cleaner'!$B$2:$B$10001,MATCH(7999,'Email Cleaner'!$G$2:$G$10001,0)),"")</f>
        <v/>
      </c>
    </row>
    <row r="8001">
      <c r="A8001">
        <f>IFERROR(INDEX('Email Cleaner'!$B$2:$B$10001,MATCH(8000,'Email Cleaner'!$G$2:$G$10001,0)),"")</f>
        <v/>
      </c>
    </row>
    <row r="8002">
      <c r="A8002">
        <f>IFERROR(INDEX('Email Cleaner'!$B$2:$B$10001,MATCH(8001,'Email Cleaner'!$G$2:$G$10001,0)),"")</f>
        <v/>
      </c>
    </row>
    <row r="8003">
      <c r="A8003">
        <f>IFERROR(INDEX('Email Cleaner'!$B$2:$B$10001,MATCH(8002,'Email Cleaner'!$G$2:$G$10001,0)),"")</f>
        <v/>
      </c>
    </row>
    <row r="8004">
      <c r="A8004">
        <f>IFERROR(INDEX('Email Cleaner'!$B$2:$B$10001,MATCH(8003,'Email Cleaner'!$G$2:$G$10001,0)),"")</f>
        <v/>
      </c>
    </row>
    <row r="8005">
      <c r="A8005">
        <f>IFERROR(INDEX('Email Cleaner'!$B$2:$B$10001,MATCH(8004,'Email Cleaner'!$G$2:$G$10001,0)),"")</f>
        <v/>
      </c>
    </row>
    <row r="8006">
      <c r="A8006">
        <f>IFERROR(INDEX('Email Cleaner'!$B$2:$B$10001,MATCH(8005,'Email Cleaner'!$G$2:$G$10001,0)),"")</f>
        <v/>
      </c>
    </row>
    <row r="8007">
      <c r="A8007">
        <f>IFERROR(INDEX('Email Cleaner'!$B$2:$B$10001,MATCH(8006,'Email Cleaner'!$G$2:$G$10001,0)),"")</f>
        <v/>
      </c>
    </row>
    <row r="8008">
      <c r="A8008">
        <f>IFERROR(INDEX('Email Cleaner'!$B$2:$B$10001,MATCH(8007,'Email Cleaner'!$G$2:$G$10001,0)),"")</f>
        <v/>
      </c>
    </row>
    <row r="8009">
      <c r="A8009">
        <f>IFERROR(INDEX('Email Cleaner'!$B$2:$B$10001,MATCH(8008,'Email Cleaner'!$G$2:$G$10001,0)),"")</f>
        <v/>
      </c>
    </row>
    <row r="8010">
      <c r="A8010">
        <f>IFERROR(INDEX('Email Cleaner'!$B$2:$B$10001,MATCH(8009,'Email Cleaner'!$G$2:$G$10001,0)),"")</f>
        <v/>
      </c>
    </row>
    <row r="8011">
      <c r="A8011">
        <f>IFERROR(INDEX('Email Cleaner'!$B$2:$B$10001,MATCH(8010,'Email Cleaner'!$G$2:$G$10001,0)),"")</f>
        <v/>
      </c>
    </row>
    <row r="8012">
      <c r="A8012">
        <f>IFERROR(INDEX('Email Cleaner'!$B$2:$B$10001,MATCH(8011,'Email Cleaner'!$G$2:$G$10001,0)),"")</f>
        <v/>
      </c>
    </row>
    <row r="8013">
      <c r="A8013">
        <f>IFERROR(INDEX('Email Cleaner'!$B$2:$B$10001,MATCH(8012,'Email Cleaner'!$G$2:$G$10001,0)),"")</f>
        <v/>
      </c>
    </row>
    <row r="8014">
      <c r="A8014">
        <f>IFERROR(INDEX('Email Cleaner'!$B$2:$B$10001,MATCH(8013,'Email Cleaner'!$G$2:$G$10001,0)),"")</f>
        <v/>
      </c>
    </row>
    <row r="8015">
      <c r="A8015">
        <f>IFERROR(INDEX('Email Cleaner'!$B$2:$B$10001,MATCH(8014,'Email Cleaner'!$G$2:$G$10001,0)),"")</f>
        <v/>
      </c>
    </row>
    <row r="8016">
      <c r="A8016">
        <f>IFERROR(INDEX('Email Cleaner'!$B$2:$B$10001,MATCH(8015,'Email Cleaner'!$G$2:$G$10001,0)),"")</f>
        <v/>
      </c>
    </row>
    <row r="8017">
      <c r="A8017">
        <f>IFERROR(INDEX('Email Cleaner'!$B$2:$B$10001,MATCH(8016,'Email Cleaner'!$G$2:$G$10001,0)),"")</f>
        <v/>
      </c>
    </row>
    <row r="8018">
      <c r="A8018">
        <f>IFERROR(INDEX('Email Cleaner'!$B$2:$B$10001,MATCH(8017,'Email Cleaner'!$G$2:$G$10001,0)),"")</f>
        <v/>
      </c>
    </row>
    <row r="8019">
      <c r="A8019">
        <f>IFERROR(INDEX('Email Cleaner'!$B$2:$B$10001,MATCH(8018,'Email Cleaner'!$G$2:$G$10001,0)),"")</f>
        <v/>
      </c>
    </row>
    <row r="8020">
      <c r="A8020">
        <f>IFERROR(INDEX('Email Cleaner'!$B$2:$B$10001,MATCH(8019,'Email Cleaner'!$G$2:$G$10001,0)),"")</f>
        <v/>
      </c>
    </row>
    <row r="8021">
      <c r="A8021">
        <f>IFERROR(INDEX('Email Cleaner'!$B$2:$B$10001,MATCH(8020,'Email Cleaner'!$G$2:$G$10001,0)),"")</f>
        <v/>
      </c>
    </row>
    <row r="8022">
      <c r="A8022">
        <f>IFERROR(INDEX('Email Cleaner'!$B$2:$B$10001,MATCH(8021,'Email Cleaner'!$G$2:$G$10001,0)),"")</f>
        <v/>
      </c>
    </row>
    <row r="8023">
      <c r="A8023">
        <f>IFERROR(INDEX('Email Cleaner'!$B$2:$B$10001,MATCH(8022,'Email Cleaner'!$G$2:$G$10001,0)),"")</f>
        <v/>
      </c>
    </row>
    <row r="8024">
      <c r="A8024">
        <f>IFERROR(INDEX('Email Cleaner'!$B$2:$B$10001,MATCH(8023,'Email Cleaner'!$G$2:$G$10001,0)),"")</f>
        <v/>
      </c>
    </row>
    <row r="8025">
      <c r="A8025">
        <f>IFERROR(INDEX('Email Cleaner'!$B$2:$B$10001,MATCH(8024,'Email Cleaner'!$G$2:$G$10001,0)),"")</f>
        <v/>
      </c>
    </row>
    <row r="8026">
      <c r="A8026">
        <f>IFERROR(INDEX('Email Cleaner'!$B$2:$B$10001,MATCH(8025,'Email Cleaner'!$G$2:$G$10001,0)),"")</f>
        <v/>
      </c>
    </row>
    <row r="8027">
      <c r="A8027">
        <f>IFERROR(INDEX('Email Cleaner'!$B$2:$B$10001,MATCH(8026,'Email Cleaner'!$G$2:$G$10001,0)),"")</f>
        <v/>
      </c>
    </row>
    <row r="8028">
      <c r="A8028">
        <f>IFERROR(INDEX('Email Cleaner'!$B$2:$B$10001,MATCH(8027,'Email Cleaner'!$G$2:$G$10001,0)),"")</f>
        <v/>
      </c>
    </row>
    <row r="8029">
      <c r="A8029">
        <f>IFERROR(INDEX('Email Cleaner'!$B$2:$B$10001,MATCH(8028,'Email Cleaner'!$G$2:$G$10001,0)),"")</f>
        <v/>
      </c>
    </row>
    <row r="8030">
      <c r="A8030">
        <f>IFERROR(INDEX('Email Cleaner'!$B$2:$B$10001,MATCH(8029,'Email Cleaner'!$G$2:$G$10001,0)),"")</f>
        <v/>
      </c>
    </row>
    <row r="8031">
      <c r="A8031">
        <f>IFERROR(INDEX('Email Cleaner'!$B$2:$B$10001,MATCH(8030,'Email Cleaner'!$G$2:$G$10001,0)),"")</f>
        <v/>
      </c>
    </row>
    <row r="8032">
      <c r="A8032">
        <f>IFERROR(INDEX('Email Cleaner'!$B$2:$B$10001,MATCH(8031,'Email Cleaner'!$G$2:$G$10001,0)),"")</f>
        <v/>
      </c>
    </row>
    <row r="8033">
      <c r="A8033">
        <f>IFERROR(INDEX('Email Cleaner'!$B$2:$B$10001,MATCH(8032,'Email Cleaner'!$G$2:$G$10001,0)),"")</f>
        <v/>
      </c>
    </row>
    <row r="8034">
      <c r="A8034">
        <f>IFERROR(INDEX('Email Cleaner'!$B$2:$B$10001,MATCH(8033,'Email Cleaner'!$G$2:$G$10001,0)),"")</f>
        <v/>
      </c>
    </row>
    <row r="8035">
      <c r="A8035">
        <f>IFERROR(INDEX('Email Cleaner'!$B$2:$B$10001,MATCH(8034,'Email Cleaner'!$G$2:$G$10001,0)),"")</f>
        <v/>
      </c>
    </row>
    <row r="8036">
      <c r="A8036">
        <f>IFERROR(INDEX('Email Cleaner'!$B$2:$B$10001,MATCH(8035,'Email Cleaner'!$G$2:$G$10001,0)),"")</f>
        <v/>
      </c>
    </row>
    <row r="8037">
      <c r="A8037">
        <f>IFERROR(INDEX('Email Cleaner'!$B$2:$B$10001,MATCH(8036,'Email Cleaner'!$G$2:$G$10001,0)),"")</f>
        <v/>
      </c>
    </row>
    <row r="8038">
      <c r="A8038">
        <f>IFERROR(INDEX('Email Cleaner'!$B$2:$B$10001,MATCH(8037,'Email Cleaner'!$G$2:$G$10001,0)),"")</f>
        <v/>
      </c>
    </row>
    <row r="8039">
      <c r="A8039">
        <f>IFERROR(INDEX('Email Cleaner'!$B$2:$B$10001,MATCH(8038,'Email Cleaner'!$G$2:$G$10001,0)),"")</f>
        <v/>
      </c>
    </row>
    <row r="8040">
      <c r="A8040">
        <f>IFERROR(INDEX('Email Cleaner'!$B$2:$B$10001,MATCH(8039,'Email Cleaner'!$G$2:$G$10001,0)),"")</f>
        <v/>
      </c>
    </row>
    <row r="8041">
      <c r="A8041">
        <f>IFERROR(INDEX('Email Cleaner'!$B$2:$B$10001,MATCH(8040,'Email Cleaner'!$G$2:$G$10001,0)),"")</f>
        <v/>
      </c>
    </row>
    <row r="8042">
      <c r="A8042">
        <f>IFERROR(INDEX('Email Cleaner'!$B$2:$B$10001,MATCH(8041,'Email Cleaner'!$G$2:$G$10001,0)),"")</f>
        <v/>
      </c>
    </row>
    <row r="8043">
      <c r="A8043">
        <f>IFERROR(INDEX('Email Cleaner'!$B$2:$B$10001,MATCH(8042,'Email Cleaner'!$G$2:$G$10001,0)),"")</f>
        <v/>
      </c>
    </row>
    <row r="8044">
      <c r="A8044">
        <f>IFERROR(INDEX('Email Cleaner'!$B$2:$B$10001,MATCH(8043,'Email Cleaner'!$G$2:$G$10001,0)),"")</f>
        <v/>
      </c>
    </row>
    <row r="8045">
      <c r="A8045">
        <f>IFERROR(INDEX('Email Cleaner'!$B$2:$B$10001,MATCH(8044,'Email Cleaner'!$G$2:$G$10001,0)),"")</f>
        <v/>
      </c>
    </row>
    <row r="8046">
      <c r="A8046">
        <f>IFERROR(INDEX('Email Cleaner'!$B$2:$B$10001,MATCH(8045,'Email Cleaner'!$G$2:$G$10001,0)),"")</f>
        <v/>
      </c>
    </row>
    <row r="8047">
      <c r="A8047">
        <f>IFERROR(INDEX('Email Cleaner'!$B$2:$B$10001,MATCH(8046,'Email Cleaner'!$G$2:$G$10001,0)),"")</f>
        <v/>
      </c>
    </row>
    <row r="8048">
      <c r="A8048">
        <f>IFERROR(INDEX('Email Cleaner'!$B$2:$B$10001,MATCH(8047,'Email Cleaner'!$G$2:$G$10001,0)),"")</f>
        <v/>
      </c>
    </row>
    <row r="8049">
      <c r="A8049">
        <f>IFERROR(INDEX('Email Cleaner'!$B$2:$B$10001,MATCH(8048,'Email Cleaner'!$G$2:$G$10001,0)),"")</f>
        <v/>
      </c>
    </row>
    <row r="8050">
      <c r="A8050">
        <f>IFERROR(INDEX('Email Cleaner'!$B$2:$B$10001,MATCH(8049,'Email Cleaner'!$G$2:$G$10001,0)),"")</f>
        <v/>
      </c>
    </row>
    <row r="8051">
      <c r="A8051">
        <f>IFERROR(INDEX('Email Cleaner'!$B$2:$B$10001,MATCH(8050,'Email Cleaner'!$G$2:$G$10001,0)),"")</f>
        <v/>
      </c>
    </row>
    <row r="8052">
      <c r="A8052">
        <f>IFERROR(INDEX('Email Cleaner'!$B$2:$B$10001,MATCH(8051,'Email Cleaner'!$G$2:$G$10001,0)),"")</f>
        <v/>
      </c>
    </row>
    <row r="8053">
      <c r="A8053">
        <f>IFERROR(INDEX('Email Cleaner'!$B$2:$B$10001,MATCH(8052,'Email Cleaner'!$G$2:$G$10001,0)),"")</f>
        <v/>
      </c>
    </row>
    <row r="8054">
      <c r="A8054">
        <f>IFERROR(INDEX('Email Cleaner'!$B$2:$B$10001,MATCH(8053,'Email Cleaner'!$G$2:$G$10001,0)),"")</f>
        <v/>
      </c>
    </row>
    <row r="8055">
      <c r="A8055">
        <f>IFERROR(INDEX('Email Cleaner'!$B$2:$B$10001,MATCH(8054,'Email Cleaner'!$G$2:$G$10001,0)),"")</f>
        <v/>
      </c>
    </row>
    <row r="8056">
      <c r="A8056">
        <f>IFERROR(INDEX('Email Cleaner'!$B$2:$B$10001,MATCH(8055,'Email Cleaner'!$G$2:$G$10001,0)),"")</f>
        <v/>
      </c>
    </row>
    <row r="8057">
      <c r="A8057">
        <f>IFERROR(INDEX('Email Cleaner'!$B$2:$B$10001,MATCH(8056,'Email Cleaner'!$G$2:$G$10001,0)),"")</f>
        <v/>
      </c>
    </row>
    <row r="8058">
      <c r="A8058">
        <f>IFERROR(INDEX('Email Cleaner'!$B$2:$B$10001,MATCH(8057,'Email Cleaner'!$G$2:$G$10001,0)),"")</f>
        <v/>
      </c>
    </row>
    <row r="8059">
      <c r="A8059">
        <f>IFERROR(INDEX('Email Cleaner'!$B$2:$B$10001,MATCH(8058,'Email Cleaner'!$G$2:$G$10001,0)),"")</f>
        <v/>
      </c>
    </row>
    <row r="8060">
      <c r="A8060">
        <f>IFERROR(INDEX('Email Cleaner'!$B$2:$B$10001,MATCH(8059,'Email Cleaner'!$G$2:$G$10001,0)),"")</f>
        <v/>
      </c>
    </row>
    <row r="8061">
      <c r="A8061">
        <f>IFERROR(INDEX('Email Cleaner'!$B$2:$B$10001,MATCH(8060,'Email Cleaner'!$G$2:$G$10001,0)),"")</f>
        <v/>
      </c>
    </row>
    <row r="8062">
      <c r="A8062">
        <f>IFERROR(INDEX('Email Cleaner'!$B$2:$B$10001,MATCH(8061,'Email Cleaner'!$G$2:$G$10001,0)),"")</f>
        <v/>
      </c>
    </row>
    <row r="8063">
      <c r="A8063">
        <f>IFERROR(INDEX('Email Cleaner'!$B$2:$B$10001,MATCH(8062,'Email Cleaner'!$G$2:$G$10001,0)),"")</f>
        <v/>
      </c>
    </row>
    <row r="8064">
      <c r="A8064">
        <f>IFERROR(INDEX('Email Cleaner'!$B$2:$B$10001,MATCH(8063,'Email Cleaner'!$G$2:$G$10001,0)),"")</f>
        <v/>
      </c>
    </row>
    <row r="8065">
      <c r="A8065">
        <f>IFERROR(INDEX('Email Cleaner'!$B$2:$B$10001,MATCH(8064,'Email Cleaner'!$G$2:$G$10001,0)),"")</f>
        <v/>
      </c>
    </row>
    <row r="8066">
      <c r="A8066">
        <f>IFERROR(INDEX('Email Cleaner'!$B$2:$B$10001,MATCH(8065,'Email Cleaner'!$G$2:$G$10001,0)),"")</f>
        <v/>
      </c>
    </row>
    <row r="8067">
      <c r="A8067">
        <f>IFERROR(INDEX('Email Cleaner'!$B$2:$B$10001,MATCH(8066,'Email Cleaner'!$G$2:$G$10001,0)),"")</f>
        <v/>
      </c>
    </row>
    <row r="8068">
      <c r="A8068">
        <f>IFERROR(INDEX('Email Cleaner'!$B$2:$B$10001,MATCH(8067,'Email Cleaner'!$G$2:$G$10001,0)),"")</f>
        <v/>
      </c>
    </row>
    <row r="8069">
      <c r="A8069">
        <f>IFERROR(INDEX('Email Cleaner'!$B$2:$B$10001,MATCH(8068,'Email Cleaner'!$G$2:$G$10001,0)),"")</f>
        <v/>
      </c>
    </row>
    <row r="8070">
      <c r="A8070">
        <f>IFERROR(INDEX('Email Cleaner'!$B$2:$B$10001,MATCH(8069,'Email Cleaner'!$G$2:$G$10001,0)),"")</f>
        <v/>
      </c>
    </row>
    <row r="8071">
      <c r="A8071">
        <f>IFERROR(INDEX('Email Cleaner'!$B$2:$B$10001,MATCH(8070,'Email Cleaner'!$G$2:$G$10001,0)),"")</f>
        <v/>
      </c>
    </row>
    <row r="8072">
      <c r="A8072">
        <f>IFERROR(INDEX('Email Cleaner'!$B$2:$B$10001,MATCH(8071,'Email Cleaner'!$G$2:$G$10001,0)),"")</f>
        <v/>
      </c>
    </row>
    <row r="8073">
      <c r="A8073">
        <f>IFERROR(INDEX('Email Cleaner'!$B$2:$B$10001,MATCH(8072,'Email Cleaner'!$G$2:$G$10001,0)),"")</f>
        <v/>
      </c>
    </row>
    <row r="8074">
      <c r="A8074">
        <f>IFERROR(INDEX('Email Cleaner'!$B$2:$B$10001,MATCH(8073,'Email Cleaner'!$G$2:$G$10001,0)),"")</f>
        <v/>
      </c>
    </row>
    <row r="8075">
      <c r="A8075">
        <f>IFERROR(INDEX('Email Cleaner'!$B$2:$B$10001,MATCH(8074,'Email Cleaner'!$G$2:$G$10001,0)),"")</f>
        <v/>
      </c>
    </row>
    <row r="8076">
      <c r="A8076">
        <f>IFERROR(INDEX('Email Cleaner'!$B$2:$B$10001,MATCH(8075,'Email Cleaner'!$G$2:$G$10001,0)),"")</f>
        <v/>
      </c>
    </row>
    <row r="8077">
      <c r="A8077">
        <f>IFERROR(INDEX('Email Cleaner'!$B$2:$B$10001,MATCH(8076,'Email Cleaner'!$G$2:$G$10001,0)),"")</f>
        <v/>
      </c>
    </row>
    <row r="8078">
      <c r="A8078">
        <f>IFERROR(INDEX('Email Cleaner'!$B$2:$B$10001,MATCH(8077,'Email Cleaner'!$G$2:$G$10001,0)),"")</f>
        <v/>
      </c>
    </row>
    <row r="8079">
      <c r="A8079">
        <f>IFERROR(INDEX('Email Cleaner'!$B$2:$B$10001,MATCH(8078,'Email Cleaner'!$G$2:$G$10001,0)),"")</f>
        <v/>
      </c>
    </row>
    <row r="8080">
      <c r="A8080">
        <f>IFERROR(INDEX('Email Cleaner'!$B$2:$B$10001,MATCH(8079,'Email Cleaner'!$G$2:$G$10001,0)),"")</f>
        <v/>
      </c>
    </row>
    <row r="8081">
      <c r="A8081">
        <f>IFERROR(INDEX('Email Cleaner'!$B$2:$B$10001,MATCH(8080,'Email Cleaner'!$G$2:$G$10001,0)),"")</f>
        <v/>
      </c>
    </row>
    <row r="8082">
      <c r="A8082">
        <f>IFERROR(INDEX('Email Cleaner'!$B$2:$B$10001,MATCH(8081,'Email Cleaner'!$G$2:$G$10001,0)),"")</f>
        <v/>
      </c>
    </row>
    <row r="8083">
      <c r="A8083">
        <f>IFERROR(INDEX('Email Cleaner'!$B$2:$B$10001,MATCH(8082,'Email Cleaner'!$G$2:$G$10001,0)),"")</f>
        <v/>
      </c>
    </row>
    <row r="8084">
      <c r="A8084">
        <f>IFERROR(INDEX('Email Cleaner'!$B$2:$B$10001,MATCH(8083,'Email Cleaner'!$G$2:$G$10001,0)),"")</f>
        <v/>
      </c>
    </row>
    <row r="8085">
      <c r="A8085">
        <f>IFERROR(INDEX('Email Cleaner'!$B$2:$B$10001,MATCH(8084,'Email Cleaner'!$G$2:$G$10001,0)),"")</f>
        <v/>
      </c>
    </row>
    <row r="8086">
      <c r="A8086">
        <f>IFERROR(INDEX('Email Cleaner'!$B$2:$B$10001,MATCH(8085,'Email Cleaner'!$G$2:$G$10001,0)),"")</f>
        <v/>
      </c>
    </row>
    <row r="8087">
      <c r="A8087">
        <f>IFERROR(INDEX('Email Cleaner'!$B$2:$B$10001,MATCH(8086,'Email Cleaner'!$G$2:$G$10001,0)),"")</f>
        <v/>
      </c>
    </row>
    <row r="8088">
      <c r="A8088">
        <f>IFERROR(INDEX('Email Cleaner'!$B$2:$B$10001,MATCH(8087,'Email Cleaner'!$G$2:$G$10001,0)),"")</f>
        <v/>
      </c>
    </row>
    <row r="8089">
      <c r="A8089">
        <f>IFERROR(INDEX('Email Cleaner'!$B$2:$B$10001,MATCH(8088,'Email Cleaner'!$G$2:$G$10001,0)),"")</f>
        <v/>
      </c>
    </row>
    <row r="8090">
      <c r="A8090">
        <f>IFERROR(INDEX('Email Cleaner'!$B$2:$B$10001,MATCH(8089,'Email Cleaner'!$G$2:$G$10001,0)),"")</f>
        <v/>
      </c>
    </row>
    <row r="8091">
      <c r="A8091">
        <f>IFERROR(INDEX('Email Cleaner'!$B$2:$B$10001,MATCH(8090,'Email Cleaner'!$G$2:$G$10001,0)),"")</f>
        <v/>
      </c>
    </row>
    <row r="8092">
      <c r="A8092">
        <f>IFERROR(INDEX('Email Cleaner'!$B$2:$B$10001,MATCH(8091,'Email Cleaner'!$G$2:$G$10001,0)),"")</f>
        <v/>
      </c>
    </row>
    <row r="8093">
      <c r="A8093">
        <f>IFERROR(INDEX('Email Cleaner'!$B$2:$B$10001,MATCH(8092,'Email Cleaner'!$G$2:$G$10001,0)),"")</f>
        <v/>
      </c>
    </row>
    <row r="8094">
      <c r="A8094">
        <f>IFERROR(INDEX('Email Cleaner'!$B$2:$B$10001,MATCH(8093,'Email Cleaner'!$G$2:$G$10001,0)),"")</f>
        <v/>
      </c>
    </row>
    <row r="8095">
      <c r="A8095">
        <f>IFERROR(INDEX('Email Cleaner'!$B$2:$B$10001,MATCH(8094,'Email Cleaner'!$G$2:$G$10001,0)),"")</f>
        <v/>
      </c>
    </row>
    <row r="8096">
      <c r="A8096">
        <f>IFERROR(INDEX('Email Cleaner'!$B$2:$B$10001,MATCH(8095,'Email Cleaner'!$G$2:$G$10001,0)),"")</f>
        <v/>
      </c>
    </row>
    <row r="8097">
      <c r="A8097">
        <f>IFERROR(INDEX('Email Cleaner'!$B$2:$B$10001,MATCH(8096,'Email Cleaner'!$G$2:$G$10001,0)),"")</f>
        <v/>
      </c>
    </row>
    <row r="8098">
      <c r="A8098">
        <f>IFERROR(INDEX('Email Cleaner'!$B$2:$B$10001,MATCH(8097,'Email Cleaner'!$G$2:$G$10001,0)),"")</f>
        <v/>
      </c>
    </row>
    <row r="8099">
      <c r="A8099">
        <f>IFERROR(INDEX('Email Cleaner'!$B$2:$B$10001,MATCH(8098,'Email Cleaner'!$G$2:$G$10001,0)),"")</f>
        <v/>
      </c>
    </row>
    <row r="8100">
      <c r="A8100">
        <f>IFERROR(INDEX('Email Cleaner'!$B$2:$B$10001,MATCH(8099,'Email Cleaner'!$G$2:$G$10001,0)),"")</f>
        <v/>
      </c>
    </row>
    <row r="8101">
      <c r="A8101">
        <f>IFERROR(INDEX('Email Cleaner'!$B$2:$B$10001,MATCH(8100,'Email Cleaner'!$G$2:$G$10001,0)),"")</f>
        <v/>
      </c>
    </row>
    <row r="8102">
      <c r="A8102">
        <f>IFERROR(INDEX('Email Cleaner'!$B$2:$B$10001,MATCH(8101,'Email Cleaner'!$G$2:$G$10001,0)),"")</f>
        <v/>
      </c>
    </row>
    <row r="8103">
      <c r="A8103">
        <f>IFERROR(INDEX('Email Cleaner'!$B$2:$B$10001,MATCH(8102,'Email Cleaner'!$G$2:$G$10001,0)),"")</f>
        <v/>
      </c>
    </row>
    <row r="8104">
      <c r="A8104">
        <f>IFERROR(INDEX('Email Cleaner'!$B$2:$B$10001,MATCH(8103,'Email Cleaner'!$G$2:$G$10001,0)),"")</f>
        <v/>
      </c>
    </row>
    <row r="8105">
      <c r="A8105">
        <f>IFERROR(INDEX('Email Cleaner'!$B$2:$B$10001,MATCH(8104,'Email Cleaner'!$G$2:$G$10001,0)),"")</f>
        <v/>
      </c>
    </row>
    <row r="8106">
      <c r="A8106">
        <f>IFERROR(INDEX('Email Cleaner'!$B$2:$B$10001,MATCH(8105,'Email Cleaner'!$G$2:$G$10001,0)),"")</f>
        <v/>
      </c>
    </row>
    <row r="8107">
      <c r="A8107">
        <f>IFERROR(INDEX('Email Cleaner'!$B$2:$B$10001,MATCH(8106,'Email Cleaner'!$G$2:$G$10001,0)),"")</f>
        <v/>
      </c>
    </row>
    <row r="8108">
      <c r="A8108">
        <f>IFERROR(INDEX('Email Cleaner'!$B$2:$B$10001,MATCH(8107,'Email Cleaner'!$G$2:$G$10001,0)),"")</f>
        <v/>
      </c>
    </row>
    <row r="8109">
      <c r="A8109">
        <f>IFERROR(INDEX('Email Cleaner'!$B$2:$B$10001,MATCH(8108,'Email Cleaner'!$G$2:$G$10001,0)),"")</f>
        <v/>
      </c>
    </row>
    <row r="8110">
      <c r="A8110">
        <f>IFERROR(INDEX('Email Cleaner'!$B$2:$B$10001,MATCH(8109,'Email Cleaner'!$G$2:$G$10001,0)),"")</f>
        <v/>
      </c>
    </row>
    <row r="8111">
      <c r="A8111">
        <f>IFERROR(INDEX('Email Cleaner'!$B$2:$B$10001,MATCH(8110,'Email Cleaner'!$G$2:$G$10001,0)),"")</f>
        <v/>
      </c>
    </row>
    <row r="8112">
      <c r="A8112">
        <f>IFERROR(INDEX('Email Cleaner'!$B$2:$B$10001,MATCH(8111,'Email Cleaner'!$G$2:$G$10001,0)),"")</f>
        <v/>
      </c>
    </row>
    <row r="8113">
      <c r="A8113">
        <f>IFERROR(INDEX('Email Cleaner'!$B$2:$B$10001,MATCH(8112,'Email Cleaner'!$G$2:$G$10001,0)),"")</f>
        <v/>
      </c>
    </row>
    <row r="8114">
      <c r="A8114">
        <f>IFERROR(INDEX('Email Cleaner'!$B$2:$B$10001,MATCH(8113,'Email Cleaner'!$G$2:$G$10001,0)),"")</f>
        <v/>
      </c>
    </row>
    <row r="8115">
      <c r="A8115">
        <f>IFERROR(INDEX('Email Cleaner'!$B$2:$B$10001,MATCH(8114,'Email Cleaner'!$G$2:$G$10001,0)),"")</f>
        <v/>
      </c>
    </row>
    <row r="8116">
      <c r="A8116">
        <f>IFERROR(INDEX('Email Cleaner'!$B$2:$B$10001,MATCH(8115,'Email Cleaner'!$G$2:$G$10001,0)),"")</f>
        <v/>
      </c>
    </row>
    <row r="8117">
      <c r="A8117">
        <f>IFERROR(INDEX('Email Cleaner'!$B$2:$B$10001,MATCH(8116,'Email Cleaner'!$G$2:$G$10001,0)),"")</f>
        <v/>
      </c>
    </row>
    <row r="8118">
      <c r="A8118">
        <f>IFERROR(INDEX('Email Cleaner'!$B$2:$B$10001,MATCH(8117,'Email Cleaner'!$G$2:$G$10001,0)),"")</f>
        <v/>
      </c>
    </row>
    <row r="8119">
      <c r="A8119">
        <f>IFERROR(INDEX('Email Cleaner'!$B$2:$B$10001,MATCH(8118,'Email Cleaner'!$G$2:$G$10001,0)),"")</f>
        <v/>
      </c>
    </row>
    <row r="8120">
      <c r="A8120">
        <f>IFERROR(INDEX('Email Cleaner'!$B$2:$B$10001,MATCH(8119,'Email Cleaner'!$G$2:$G$10001,0)),"")</f>
        <v/>
      </c>
    </row>
    <row r="8121">
      <c r="A8121">
        <f>IFERROR(INDEX('Email Cleaner'!$B$2:$B$10001,MATCH(8120,'Email Cleaner'!$G$2:$G$10001,0)),"")</f>
        <v/>
      </c>
    </row>
    <row r="8122">
      <c r="A8122">
        <f>IFERROR(INDEX('Email Cleaner'!$B$2:$B$10001,MATCH(8121,'Email Cleaner'!$G$2:$G$10001,0)),"")</f>
        <v/>
      </c>
    </row>
    <row r="8123">
      <c r="A8123">
        <f>IFERROR(INDEX('Email Cleaner'!$B$2:$B$10001,MATCH(8122,'Email Cleaner'!$G$2:$G$10001,0)),"")</f>
        <v/>
      </c>
    </row>
    <row r="8124">
      <c r="A8124">
        <f>IFERROR(INDEX('Email Cleaner'!$B$2:$B$10001,MATCH(8123,'Email Cleaner'!$G$2:$G$10001,0)),"")</f>
        <v/>
      </c>
    </row>
    <row r="8125">
      <c r="A8125">
        <f>IFERROR(INDEX('Email Cleaner'!$B$2:$B$10001,MATCH(8124,'Email Cleaner'!$G$2:$G$10001,0)),"")</f>
        <v/>
      </c>
    </row>
    <row r="8126">
      <c r="A8126">
        <f>IFERROR(INDEX('Email Cleaner'!$B$2:$B$10001,MATCH(8125,'Email Cleaner'!$G$2:$G$10001,0)),"")</f>
        <v/>
      </c>
    </row>
    <row r="8127">
      <c r="A8127">
        <f>IFERROR(INDEX('Email Cleaner'!$B$2:$B$10001,MATCH(8126,'Email Cleaner'!$G$2:$G$10001,0)),"")</f>
        <v/>
      </c>
    </row>
    <row r="8128">
      <c r="A8128">
        <f>IFERROR(INDEX('Email Cleaner'!$B$2:$B$10001,MATCH(8127,'Email Cleaner'!$G$2:$G$10001,0)),"")</f>
        <v/>
      </c>
    </row>
    <row r="8129">
      <c r="A8129">
        <f>IFERROR(INDEX('Email Cleaner'!$B$2:$B$10001,MATCH(8128,'Email Cleaner'!$G$2:$G$10001,0)),"")</f>
        <v/>
      </c>
    </row>
    <row r="8130">
      <c r="A8130">
        <f>IFERROR(INDEX('Email Cleaner'!$B$2:$B$10001,MATCH(8129,'Email Cleaner'!$G$2:$G$10001,0)),"")</f>
        <v/>
      </c>
    </row>
    <row r="8131">
      <c r="A8131">
        <f>IFERROR(INDEX('Email Cleaner'!$B$2:$B$10001,MATCH(8130,'Email Cleaner'!$G$2:$G$10001,0)),"")</f>
        <v/>
      </c>
    </row>
    <row r="8132">
      <c r="A8132">
        <f>IFERROR(INDEX('Email Cleaner'!$B$2:$B$10001,MATCH(8131,'Email Cleaner'!$G$2:$G$10001,0)),"")</f>
        <v/>
      </c>
    </row>
    <row r="8133">
      <c r="A8133">
        <f>IFERROR(INDEX('Email Cleaner'!$B$2:$B$10001,MATCH(8132,'Email Cleaner'!$G$2:$G$10001,0)),"")</f>
        <v/>
      </c>
    </row>
    <row r="8134">
      <c r="A8134">
        <f>IFERROR(INDEX('Email Cleaner'!$B$2:$B$10001,MATCH(8133,'Email Cleaner'!$G$2:$G$10001,0)),"")</f>
        <v/>
      </c>
    </row>
    <row r="8135">
      <c r="A8135">
        <f>IFERROR(INDEX('Email Cleaner'!$B$2:$B$10001,MATCH(8134,'Email Cleaner'!$G$2:$G$10001,0)),"")</f>
        <v/>
      </c>
    </row>
    <row r="8136">
      <c r="A8136">
        <f>IFERROR(INDEX('Email Cleaner'!$B$2:$B$10001,MATCH(8135,'Email Cleaner'!$G$2:$G$10001,0)),"")</f>
        <v/>
      </c>
    </row>
    <row r="8137">
      <c r="A8137">
        <f>IFERROR(INDEX('Email Cleaner'!$B$2:$B$10001,MATCH(8136,'Email Cleaner'!$G$2:$G$10001,0)),"")</f>
        <v/>
      </c>
    </row>
    <row r="8138">
      <c r="A8138">
        <f>IFERROR(INDEX('Email Cleaner'!$B$2:$B$10001,MATCH(8137,'Email Cleaner'!$G$2:$G$10001,0)),"")</f>
        <v/>
      </c>
    </row>
    <row r="8139">
      <c r="A8139">
        <f>IFERROR(INDEX('Email Cleaner'!$B$2:$B$10001,MATCH(8138,'Email Cleaner'!$G$2:$G$10001,0)),"")</f>
        <v/>
      </c>
    </row>
    <row r="8140">
      <c r="A8140">
        <f>IFERROR(INDEX('Email Cleaner'!$B$2:$B$10001,MATCH(8139,'Email Cleaner'!$G$2:$G$10001,0)),"")</f>
        <v/>
      </c>
    </row>
    <row r="8141">
      <c r="A8141">
        <f>IFERROR(INDEX('Email Cleaner'!$B$2:$B$10001,MATCH(8140,'Email Cleaner'!$G$2:$G$10001,0)),"")</f>
        <v/>
      </c>
    </row>
    <row r="8142">
      <c r="A8142">
        <f>IFERROR(INDEX('Email Cleaner'!$B$2:$B$10001,MATCH(8141,'Email Cleaner'!$G$2:$G$10001,0)),"")</f>
        <v/>
      </c>
    </row>
    <row r="8143">
      <c r="A8143">
        <f>IFERROR(INDEX('Email Cleaner'!$B$2:$B$10001,MATCH(8142,'Email Cleaner'!$G$2:$G$10001,0)),"")</f>
        <v/>
      </c>
    </row>
    <row r="8144">
      <c r="A8144">
        <f>IFERROR(INDEX('Email Cleaner'!$B$2:$B$10001,MATCH(8143,'Email Cleaner'!$G$2:$G$10001,0)),"")</f>
        <v/>
      </c>
    </row>
    <row r="8145">
      <c r="A8145">
        <f>IFERROR(INDEX('Email Cleaner'!$B$2:$B$10001,MATCH(8144,'Email Cleaner'!$G$2:$G$10001,0)),"")</f>
        <v/>
      </c>
    </row>
    <row r="8146">
      <c r="A8146">
        <f>IFERROR(INDEX('Email Cleaner'!$B$2:$B$10001,MATCH(8145,'Email Cleaner'!$G$2:$G$10001,0)),"")</f>
        <v/>
      </c>
    </row>
    <row r="8147">
      <c r="A8147">
        <f>IFERROR(INDEX('Email Cleaner'!$B$2:$B$10001,MATCH(8146,'Email Cleaner'!$G$2:$G$10001,0)),"")</f>
        <v/>
      </c>
    </row>
    <row r="8148">
      <c r="A8148">
        <f>IFERROR(INDEX('Email Cleaner'!$B$2:$B$10001,MATCH(8147,'Email Cleaner'!$G$2:$G$10001,0)),"")</f>
        <v/>
      </c>
    </row>
    <row r="8149">
      <c r="A8149">
        <f>IFERROR(INDEX('Email Cleaner'!$B$2:$B$10001,MATCH(8148,'Email Cleaner'!$G$2:$G$10001,0)),"")</f>
        <v/>
      </c>
    </row>
    <row r="8150">
      <c r="A8150">
        <f>IFERROR(INDEX('Email Cleaner'!$B$2:$B$10001,MATCH(8149,'Email Cleaner'!$G$2:$G$10001,0)),"")</f>
        <v/>
      </c>
    </row>
    <row r="8151">
      <c r="A8151">
        <f>IFERROR(INDEX('Email Cleaner'!$B$2:$B$10001,MATCH(8150,'Email Cleaner'!$G$2:$G$10001,0)),"")</f>
        <v/>
      </c>
    </row>
    <row r="8152">
      <c r="A8152">
        <f>IFERROR(INDEX('Email Cleaner'!$B$2:$B$10001,MATCH(8151,'Email Cleaner'!$G$2:$G$10001,0)),"")</f>
        <v/>
      </c>
    </row>
    <row r="8153">
      <c r="A8153">
        <f>IFERROR(INDEX('Email Cleaner'!$B$2:$B$10001,MATCH(8152,'Email Cleaner'!$G$2:$G$10001,0)),"")</f>
        <v/>
      </c>
    </row>
    <row r="8154">
      <c r="A8154">
        <f>IFERROR(INDEX('Email Cleaner'!$B$2:$B$10001,MATCH(8153,'Email Cleaner'!$G$2:$G$10001,0)),"")</f>
        <v/>
      </c>
    </row>
    <row r="8155">
      <c r="A8155">
        <f>IFERROR(INDEX('Email Cleaner'!$B$2:$B$10001,MATCH(8154,'Email Cleaner'!$G$2:$G$10001,0)),"")</f>
        <v/>
      </c>
    </row>
    <row r="8156">
      <c r="A8156">
        <f>IFERROR(INDEX('Email Cleaner'!$B$2:$B$10001,MATCH(8155,'Email Cleaner'!$G$2:$G$10001,0)),"")</f>
        <v/>
      </c>
    </row>
    <row r="8157">
      <c r="A8157">
        <f>IFERROR(INDEX('Email Cleaner'!$B$2:$B$10001,MATCH(8156,'Email Cleaner'!$G$2:$G$10001,0)),"")</f>
        <v/>
      </c>
    </row>
    <row r="8158">
      <c r="A8158">
        <f>IFERROR(INDEX('Email Cleaner'!$B$2:$B$10001,MATCH(8157,'Email Cleaner'!$G$2:$G$10001,0)),"")</f>
        <v/>
      </c>
    </row>
    <row r="8159">
      <c r="A8159">
        <f>IFERROR(INDEX('Email Cleaner'!$B$2:$B$10001,MATCH(8158,'Email Cleaner'!$G$2:$G$10001,0)),"")</f>
        <v/>
      </c>
    </row>
    <row r="8160">
      <c r="A8160">
        <f>IFERROR(INDEX('Email Cleaner'!$B$2:$B$10001,MATCH(8159,'Email Cleaner'!$G$2:$G$10001,0)),"")</f>
        <v/>
      </c>
    </row>
    <row r="8161">
      <c r="A8161">
        <f>IFERROR(INDEX('Email Cleaner'!$B$2:$B$10001,MATCH(8160,'Email Cleaner'!$G$2:$G$10001,0)),"")</f>
        <v/>
      </c>
    </row>
    <row r="8162">
      <c r="A8162">
        <f>IFERROR(INDEX('Email Cleaner'!$B$2:$B$10001,MATCH(8161,'Email Cleaner'!$G$2:$G$10001,0)),"")</f>
        <v/>
      </c>
    </row>
    <row r="8163">
      <c r="A8163">
        <f>IFERROR(INDEX('Email Cleaner'!$B$2:$B$10001,MATCH(8162,'Email Cleaner'!$G$2:$G$10001,0)),"")</f>
        <v/>
      </c>
    </row>
    <row r="8164">
      <c r="A8164">
        <f>IFERROR(INDEX('Email Cleaner'!$B$2:$B$10001,MATCH(8163,'Email Cleaner'!$G$2:$G$10001,0)),"")</f>
        <v/>
      </c>
    </row>
    <row r="8165">
      <c r="A8165">
        <f>IFERROR(INDEX('Email Cleaner'!$B$2:$B$10001,MATCH(8164,'Email Cleaner'!$G$2:$G$10001,0)),"")</f>
        <v/>
      </c>
    </row>
    <row r="8166">
      <c r="A8166">
        <f>IFERROR(INDEX('Email Cleaner'!$B$2:$B$10001,MATCH(8165,'Email Cleaner'!$G$2:$G$10001,0)),"")</f>
        <v/>
      </c>
    </row>
    <row r="8167">
      <c r="A8167">
        <f>IFERROR(INDEX('Email Cleaner'!$B$2:$B$10001,MATCH(8166,'Email Cleaner'!$G$2:$G$10001,0)),"")</f>
        <v/>
      </c>
    </row>
    <row r="8168">
      <c r="A8168">
        <f>IFERROR(INDEX('Email Cleaner'!$B$2:$B$10001,MATCH(8167,'Email Cleaner'!$G$2:$G$10001,0)),"")</f>
        <v/>
      </c>
    </row>
    <row r="8169">
      <c r="A8169">
        <f>IFERROR(INDEX('Email Cleaner'!$B$2:$B$10001,MATCH(8168,'Email Cleaner'!$G$2:$G$10001,0)),"")</f>
        <v/>
      </c>
    </row>
    <row r="8170">
      <c r="A8170">
        <f>IFERROR(INDEX('Email Cleaner'!$B$2:$B$10001,MATCH(8169,'Email Cleaner'!$G$2:$G$10001,0)),"")</f>
        <v/>
      </c>
    </row>
    <row r="8171">
      <c r="A8171">
        <f>IFERROR(INDEX('Email Cleaner'!$B$2:$B$10001,MATCH(8170,'Email Cleaner'!$G$2:$G$10001,0)),"")</f>
        <v/>
      </c>
    </row>
    <row r="8172">
      <c r="A8172">
        <f>IFERROR(INDEX('Email Cleaner'!$B$2:$B$10001,MATCH(8171,'Email Cleaner'!$G$2:$G$10001,0)),"")</f>
        <v/>
      </c>
    </row>
    <row r="8173">
      <c r="A8173">
        <f>IFERROR(INDEX('Email Cleaner'!$B$2:$B$10001,MATCH(8172,'Email Cleaner'!$G$2:$G$10001,0)),"")</f>
        <v/>
      </c>
    </row>
    <row r="8174">
      <c r="A8174">
        <f>IFERROR(INDEX('Email Cleaner'!$B$2:$B$10001,MATCH(8173,'Email Cleaner'!$G$2:$G$10001,0)),"")</f>
        <v/>
      </c>
    </row>
    <row r="8175">
      <c r="A8175">
        <f>IFERROR(INDEX('Email Cleaner'!$B$2:$B$10001,MATCH(8174,'Email Cleaner'!$G$2:$G$10001,0)),"")</f>
        <v/>
      </c>
    </row>
    <row r="8176">
      <c r="A8176">
        <f>IFERROR(INDEX('Email Cleaner'!$B$2:$B$10001,MATCH(8175,'Email Cleaner'!$G$2:$G$10001,0)),"")</f>
        <v/>
      </c>
    </row>
    <row r="8177">
      <c r="A8177">
        <f>IFERROR(INDEX('Email Cleaner'!$B$2:$B$10001,MATCH(8176,'Email Cleaner'!$G$2:$G$10001,0)),"")</f>
        <v/>
      </c>
    </row>
    <row r="8178">
      <c r="A8178">
        <f>IFERROR(INDEX('Email Cleaner'!$B$2:$B$10001,MATCH(8177,'Email Cleaner'!$G$2:$G$10001,0)),"")</f>
        <v/>
      </c>
    </row>
    <row r="8179">
      <c r="A8179">
        <f>IFERROR(INDEX('Email Cleaner'!$B$2:$B$10001,MATCH(8178,'Email Cleaner'!$G$2:$G$10001,0)),"")</f>
        <v/>
      </c>
    </row>
    <row r="8180">
      <c r="A8180">
        <f>IFERROR(INDEX('Email Cleaner'!$B$2:$B$10001,MATCH(8179,'Email Cleaner'!$G$2:$G$10001,0)),"")</f>
        <v/>
      </c>
    </row>
    <row r="8181">
      <c r="A8181">
        <f>IFERROR(INDEX('Email Cleaner'!$B$2:$B$10001,MATCH(8180,'Email Cleaner'!$G$2:$G$10001,0)),"")</f>
        <v/>
      </c>
    </row>
    <row r="8182">
      <c r="A8182">
        <f>IFERROR(INDEX('Email Cleaner'!$B$2:$B$10001,MATCH(8181,'Email Cleaner'!$G$2:$G$10001,0)),"")</f>
        <v/>
      </c>
    </row>
    <row r="8183">
      <c r="A8183">
        <f>IFERROR(INDEX('Email Cleaner'!$B$2:$B$10001,MATCH(8182,'Email Cleaner'!$G$2:$G$10001,0)),"")</f>
        <v/>
      </c>
    </row>
    <row r="8184">
      <c r="A8184">
        <f>IFERROR(INDEX('Email Cleaner'!$B$2:$B$10001,MATCH(8183,'Email Cleaner'!$G$2:$G$10001,0)),"")</f>
        <v/>
      </c>
    </row>
    <row r="8185">
      <c r="A8185">
        <f>IFERROR(INDEX('Email Cleaner'!$B$2:$B$10001,MATCH(8184,'Email Cleaner'!$G$2:$G$10001,0)),"")</f>
        <v/>
      </c>
    </row>
    <row r="8186">
      <c r="A8186">
        <f>IFERROR(INDEX('Email Cleaner'!$B$2:$B$10001,MATCH(8185,'Email Cleaner'!$G$2:$G$10001,0)),"")</f>
        <v/>
      </c>
    </row>
    <row r="8187">
      <c r="A8187">
        <f>IFERROR(INDEX('Email Cleaner'!$B$2:$B$10001,MATCH(8186,'Email Cleaner'!$G$2:$G$10001,0)),"")</f>
        <v/>
      </c>
    </row>
    <row r="8188">
      <c r="A8188">
        <f>IFERROR(INDEX('Email Cleaner'!$B$2:$B$10001,MATCH(8187,'Email Cleaner'!$G$2:$G$10001,0)),"")</f>
        <v/>
      </c>
    </row>
    <row r="8189">
      <c r="A8189">
        <f>IFERROR(INDEX('Email Cleaner'!$B$2:$B$10001,MATCH(8188,'Email Cleaner'!$G$2:$G$10001,0)),"")</f>
        <v/>
      </c>
    </row>
    <row r="8190">
      <c r="A8190">
        <f>IFERROR(INDEX('Email Cleaner'!$B$2:$B$10001,MATCH(8189,'Email Cleaner'!$G$2:$G$10001,0)),"")</f>
        <v/>
      </c>
    </row>
    <row r="8191">
      <c r="A8191">
        <f>IFERROR(INDEX('Email Cleaner'!$B$2:$B$10001,MATCH(8190,'Email Cleaner'!$G$2:$G$10001,0)),"")</f>
        <v/>
      </c>
    </row>
    <row r="8192">
      <c r="A8192">
        <f>IFERROR(INDEX('Email Cleaner'!$B$2:$B$10001,MATCH(8191,'Email Cleaner'!$G$2:$G$10001,0)),"")</f>
        <v/>
      </c>
    </row>
    <row r="8193">
      <c r="A8193">
        <f>IFERROR(INDEX('Email Cleaner'!$B$2:$B$10001,MATCH(8192,'Email Cleaner'!$G$2:$G$10001,0)),"")</f>
        <v/>
      </c>
    </row>
    <row r="8194">
      <c r="A8194">
        <f>IFERROR(INDEX('Email Cleaner'!$B$2:$B$10001,MATCH(8193,'Email Cleaner'!$G$2:$G$10001,0)),"")</f>
        <v/>
      </c>
    </row>
    <row r="8195">
      <c r="A8195">
        <f>IFERROR(INDEX('Email Cleaner'!$B$2:$B$10001,MATCH(8194,'Email Cleaner'!$G$2:$G$10001,0)),"")</f>
        <v/>
      </c>
    </row>
    <row r="8196">
      <c r="A8196">
        <f>IFERROR(INDEX('Email Cleaner'!$B$2:$B$10001,MATCH(8195,'Email Cleaner'!$G$2:$G$10001,0)),"")</f>
        <v/>
      </c>
    </row>
    <row r="8197">
      <c r="A8197">
        <f>IFERROR(INDEX('Email Cleaner'!$B$2:$B$10001,MATCH(8196,'Email Cleaner'!$G$2:$G$10001,0)),"")</f>
        <v/>
      </c>
    </row>
    <row r="8198">
      <c r="A8198">
        <f>IFERROR(INDEX('Email Cleaner'!$B$2:$B$10001,MATCH(8197,'Email Cleaner'!$G$2:$G$10001,0)),"")</f>
        <v/>
      </c>
    </row>
    <row r="8199">
      <c r="A8199">
        <f>IFERROR(INDEX('Email Cleaner'!$B$2:$B$10001,MATCH(8198,'Email Cleaner'!$G$2:$G$10001,0)),"")</f>
        <v/>
      </c>
    </row>
    <row r="8200">
      <c r="A8200">
        <f>IFERROR(INDEX('Email Cleaner'!$B$2:$B$10001,MATCH(8199,'Email Cleaner'!$G$2:$G$10001,0)),"")</f>
        <v/>
      </c>
    </row>
    <row r="8201">
      <c r="A8201">
        <f>IFERROR(INDEX('Email Cleaner'!$B$2:$B$10001,MATCH(8200,'Email Cleaner'!$G$2:$G$10001,0)),"")</f>
        <v/>
      </c>
    </row>
    <row r="8202">
      <c r="A8202">
        <f>IFERROR(INDEX('Email Cleaner'!$B$2:$B$10001,MATCH(8201,'Email Cleaner'!$G$2:$G$10001,0)),"")</f>
        <v/>
      </c>
    </row>
    <row r="8203">
      <c r="A8203">
        <f>IFERROR(INDEX('Email Cleaner'!$B$2:$B$10001,MATCH(8202,'Email Cleaner'!$G$2:$G$10001,0)),"")</f>
        <v/>
      </c>
    </row>
    <row r="8204">
      <c r="A8204">
        <f>IFERROR(INDEX('Email Cleaner'!$B$2:$B$10001,MATCH(8203,'Email Cleaner'!$G$2:$G$10001,0)),"")</f>
        <v/>
      </c>
    </row>
    <row r="8205">
      <c r="A8205">
        <f>IFERROR(INDEX('Email Cleaner'!$B$2:$B$10001,MATCH(8204,'Email Cleaner'!$G$2:$G$10001,0)),"")</f>
        <v/>
      </c>
    </row>
    <row r="8206">
      <c r="A8206">
        <f>IFERROR(INDEX('Email Cleaner'!$B$2:$B$10001,MATCH(8205,'Email Cleaner'!$G$2:$G$10001,0)),"")</f>
        <v/>
      </c>
    </row>
    <row r="8207">
      <c r="A8207">
        <f>IFERROR(INDEX('Email Cleaner'!$B$2:$B$10001,MATCH(8206,'Email Cleaner'!$G$2:$G$10001,0)),"")</f>
        <v/>
      </c>
    </row>
    <row r="8208">
      <c r="A8208">
        <f>IFERROR(INDEX('Email Cleaner'!$B$2:$B$10001,MATCH(8207,'Email Cleaner'!$G$2:$G$10001,0)),"")</f>
        <v/>
      </c>
    </row>
    <row r="8209">
      <c r="A8209">
        <f>IFERROR(INDEX('Email Cleaner'!$B$2:$B$10001,MATCH(8208,'Email Cleaner'!$G$2:$G$10001,0)),"")</f>
        <v/>
      </c>
    </row>
    <row r="8210">
      <c r="A8210">
        <f>IFERROR(INDEX('Email Cleaner'!$B$2:$B$10001,MATCH(8209,'Email Cleaner'!$G$2:$G$10001,0)),"")</f>
        <v/>
      </c>
    </row>
    <row r="8211">
      <c r="A8211">
        <f>IFERROR(INDEX('Email Cleaner'!$B$2:$B$10001,MATCH(8210,'Email Cleaner'!$G$2:$G$10001,0)),"")</f>
        <v/>
      </c>
    </row>
    <row r="8212">
      <c r="A8212">
        <f>IFERROR(INDEX('Email Cleaner'!$B$2:$B$10001,MATCH(8211,'Email Cleaner'!$G$2:$G$10001,0)),"")</f>
        <v/>
      </c>
    </row>
    <row r="8213">
      <c r="A8213">
        <f>IFERROR(INDEX('Email Cleaner'!$B$2:$B$10001,MATCH(8212,'Email Cleaner'!$G$2:$G$10001,0)),"")</f>
        <v/>
      </c>
    </row>
    <row r="8214">
      <c r="A8214">
        <f>IFERROR(INDEX('Email Cleaner'!$B$2:$B$10001,MATCH(8213,'Email Cleaner'!$G$2:$G$10001,0)),"")</f>
        <v/>
      </c>
    </row>
    <row r="8215">
      <c r="A8215">
        <f>IFERROR(INDEX('Email Cleaner'!$B$2:$B$10001,MATCH(8214,'Email Cleaner'!$G$2:$G$10001,0)),"")</f>
        <v/>
      </c>
    </row>
    <row r="8216">
      <c r="A8216">
        <f>IFERROR(INDEX('Email Cleaner'!$B$2:$B$10001,MATCH(8215,'Email Cleaner'!$G$2:$G$10001,0)),"")</f>
        <v/>
      </c>
    </row>
    <row r="8217">
      <c r="A8217">
        <f>IFERROR(INDEX('Email Cleaner'!$B$2:$B$10001,MATCH(8216,'Email Cleaner'!$G$2:$G$10001,0)),"")</f>
        <v/>
      </c>
    </row>
    <row r="8218">
      <c r="A8218">
        <f>IFERROR(INDEX('Email Cleaner'!$B$2:$B$10001,MATCH(8217,'Email Cleaner'!$G$2:$G$10001,0)),"")</f>
        <v/>
      </c>
    </row>
    <row r="8219">
      <c r="A8219">
        <f>IFERROR(INDEX('Email Cleaner'!$B$2:$B$10001,MATCH(8218,'Email Cleaner'!$G$2:$G$10001,0)),"")</f>
        <v/>
      </c>
    </row>
    <row r="8220">
      <c r="A8220">
        <f>IFERROR(INDEX('Email Cleaner'!$B$2:$B$10001,MATCH(8219,'Email Cleaner'!$G$2:$G$10001,0)),"")</f>
        <v/>
      </c>
    </row>
    <row r="8221">
      <c r="A8221">
        <f>IFERROR(INDEX('Email Cleaner'!$B$2:$B$10001,MATCH(8220,'Email Cleaner'!$G$2:$G$10001,0)),"")</f>
        <v/>
      </c>
    </row>
    <row r="8222">
      <c r="A8222">
        <f>IFERROR(INDEX('Email Cleaner'!$B$2:$B$10001,MATCH(8221,'Email Cleaner'!$G$2:$G$10001,0)),"")</f>
        <v/>
      </c>
    </row>
    <row r="8223">
      <c r="A8223">
        <f>IFERROR(INDEX('Email Cleaner'!$B$2:$B$10001,MATCH(8222,'Email Cleaner'!$G$2:$G$10001,0)),"")</f>
        <v/>
      </c>
    </row>
    <row r="8224">
      <c r="A8224">
        <f>IFERROR(INDEX('Email Cleaner'!$B$2:$B$10001,MATCH(8223,'Email Cleaner'!$G$2:$G$10001,0)),"")</f>
        <v/>
      </c>
    </row>
    <row r="8225">
      <c r="A8225">
        <f>IFERROR(INDEX('Email Cleaner'!$B$2:$B$10001,MATCH(8224,'Email Cleaner'!$G$2:$G$10001,0)),"")</f>
        <v/>
      </c>
    </row>
    <row r="8226">
      <c r="A8226">
        <f>IFERROR(INDEX('Email Cleaner'!$B$2:$B$10001,MATCH(8225,'Email Cleaner'!$G$2:$G$10001,0)),"")</f>
        <v/>
      </c>
    </row>
    <row r="8227">
      <c r="A8227">
        <f>IFERROR(INDEX('Email Cleaner'!$B$2:$B$10001,MATCH(8226,'Email Cleaner'!$G$2:$G$10001,0)),"")</f>
        <v/>
      </c>
    </row>
    <row r="8228">
      <c r="A8228">
        <f>IFERROR(INDEX('Email Cleaner'!$B$2:$B$10001,MATCH(8227,'Email Cleaner'!$G$2:$G$10001,0)),"")</f>
        <v/>
      </c>
    </row>
    <row r="8229">
      <c r="A8229">
        <f>IFERROR(INDEX('Email Cleaner'!$B$2:$B$10001,MATCH(8228,'Email Cleaner'!$G$2:$G$10001,0)),"")</f>
        <v/>
      </c>
    </row>
    <row r="8230">
      <c r="A8230">
        <f>IFERROR(INDEX('Email Cleaner'!$B$2:$B$10001,MATCH(8229,'Email Cleaner'!$G$2:$G$10001,0)),"")</f>
        <v/>
      </c>
    </row>
    <row r="8231">
      <c r="A8231">
        <f>IFERROR(INDEX('Email Cleaner'!$B$2:$B$10001,MATCH(8230,'Email Cleaner'!$G$2:$G$10001,0)),"")</f>
        <v/>
      </c>
    </row>
    <row r="8232">
      <c r="A8232">
        <f>IFERROR(INDEX('Email Cleaner'!$B$2:$B$10001,MATCH(8231,'Email Cleaner'!$G$2:$G$10001,0)),"")</f>
        <v/>
      </c>
    </row>
    <row r="8233">
      <c r="A8233">
        <f>IFERROR(INDEX('Email Cleaner'!$B$2:$B$10001,MATCH(8232,'Email Cleaner'!$G$2:$G$10001,0)),"")</f>
        <v/>
      </c>
    </row>
    <row r="8234">
      <c r="A8234">
        <f>IFERROR(INDEX('Email Cleaner'!$B$2:$B$10001,MATCH(8233,'Email Cleaner'!$G$2:$G$10001,0)),"")</f>
        <v/>
      </c>
    </row>
    <row r="8235">
      <c r="A8235">
        <f>IFERROR(INDEX('Email Cleaner'!$B$2:$B$10001,MATCH(8234,'Email Cleaner'!$G$2:$G$10001,0)),"")</f>
        <v/>
      </c>
    </row>
    <row r="8236">
      <c r="A8236">
        <f>IFERROR(INDEX('Email Cleaner'!$B$2:$B$10001,MATCH(8235,'Email Cleaner'!$G$2:$G$10001,0)),"")</f>
        <v/>
      </c>
    </row>
    <row r="8237">
      <c r="A8237">
        <f>IFERROR(INDEX('Email Cleaner'!$B$2:$B$10001,MATCH(8236,'Email Cleaner'!$G$2:$G$10001,0)),"")</f>
        <v/>
      </c>
    </row>
    <row r="8238">
      <c r="A8238">
        <f>IFERROR(INDEX('Email Cleaner'!$B$2:$B$10001,MATCH(8237,'Email Cleaner'!$G$2:$G$10001,0)),"")</f>
        <v/>
      </c>
    </row>
    <row r="8239">
      <c r="A8239">
        <f>IFERROR(INDEX('Email Cleaner'!$B$2:$B$10001,MATCH(8238,'Email Cleaner'!$G$2:$G$10001,0)),"")</f>
        <v/>
      </c>
    </row>
    <row r="8240">
      <c r="A8240">
        <f>IFERROR(INDEX('Email Cleaner'!$B$2:$B$10001,MATCH(8239,'Email Cleaner'!$G$2:$G$10001,0)),"")</f>
        <v/>
      </c>
    </row>
    <row r="8241">
      <c r="A8241">
        <f>IFERROR(INDEX('Email Cleaner'!$B$2:$B$10001,MATCH(8240,'Email Cleaner'!$G$2:$G$10001,0)),"")</f>
        <v/>
      </c>
    </row>
    <row r="8242">
      <c r="A8242">
        <f>IFERROR(INDEX('Email Cleaner'!$B$2:$B$10001,MATCH(8241,'Email Cleaner'!$G$2:$G$10001,0)),"")</f>
        <v/>
      </c>
    </row>
    <row r="8243">
      <c r="A8243">
        <f>IFERROR(INDEX('Email Cleaner'!$B$2:$B$10001,MATCH(8242,'Email Cleaner'!$G$2:$G$10001,0)),"")</f>
        <v/>
      </c>
    </row>
    <row r="8244">
      <c r="A8244">
        <f>IFERROR(INDEX('Email Cleaner'!$B$2:$B$10001,MATCH(8243,'Email Cleaner'!$G$2:$G$10001,0)),"")</f>
        <v/>
      </c>
    </row>
    <row r="8245">
      <c r="A8245">
        <f>IFERROR(INDEX('Email Cleaner'!$B$2:$B$10001,MATCH(8244,'Email Cleaner'!$G$2:$G$10001,0)),"")</f>
        <v/>
      </c>
    </row>
    <row r="8246">
      <c r="A8246">
        <f>IFERROR(INDEX('Email Cleaner'!$B$2:$B$10001,MATCH(8245,'Email Cleaner'!$G$2:$G$10001,0)),"")</f>
        <v/>
      </c>
    </row>
    <row r="8247">
      <c r="A8247">
        <f>IFERROR(INDEX('Email Cleaner'!$B$2:$B$10001,MATCH(8246,'Email Cleaner'!$G$2:$G$10001,0)),"")</f>
        <v/>
      </c>
    </row>
    <row r="8248">
      <c r="A8248">
        <f>IFERROR(INDEX('Email Cleaner'!$B$2:$B$10001,MATCH(8247,'Email Cleaner'!$G$2:$G$10001,0)),"")</f>
        <v/>
      </c>
    </row>
    <row r="8249">
      <c r="A8249">
        <f>IFERROR(INDEX('Email Cleaner'!$B$2:$B$10001,MATCH(8248,'Email Cleaner'!$G$2:$G$10001,0)),"")</f>
        <v/>
      </c>
    </row>
    <row r="8250">
      <c r="A8250">
        <f>IFERROR(INDEX('Email Cleaner'!$B$2:$B$10001,MATCH(8249,'Email Cleaner'!$G$2:$G$10001,0)),"")</f>
        <v/>
      </c>
    </row>
    <row r="8251">
      <c r="A8251">
        <f>IFERROR(INDEX('Email Cleaner'!$B$2:$B$10001,MATCH(8250,'Email Cleaner'!$G$2:$G$10001,0)),"")</f>
        <v/>
      </c>
    </row>
    <row r="8252">
      <c r="A8252">
        <f>IFERROR(INDEX('Email Cleaner'!$B$2:$B$10001,MATCH(8251,'Email Cleaner'!$G$2:$G$10001,0)),"")</f>
        <v/>
      </c>
    </row>
    <row r="8253">
      <c r="A8253">
        <f>IFERROR(INDEX('Email Cleaner'!$B$2:$B$10001,MATCH(8252,'Email Cleaner'!$G$2:$G$10001,0)),"")</f>
        <v/>
      </c>
    </row>
    <row r="8254">
      <c r="A8254">
        <f>IFERROR(INDEX('Email Cleaner'!$B$2:$B$10001,MATCH(8253,'Email Cleaner'!$G$2:$G$10001,0)),"")</f>
        <v/>
      </c>
    </row>
    <row r="8255">
      <c r="A8255">
        <f>IFERROR(INDEX('Email Cleaner'!$B$2:$B$10001,MATCH(8254,'Email Cleaner'!$G$2:$G$10001,0)),"")</f>
        <v/>
      </c>
    </row>
    <row r="8256">
      <c r="A8256">
        <f>IFERROR(INDEX('Email Cleaner'!$B$2:$B$10001,MATCH(8255,'Email Cleaner'!$G$2:$G$10001,0)),"")</f>
        <v/>
      </c>
    </row>
    <row r="8257">
      <c r="A8257">
        <f>IFERROR(INDEX('Email Cleaner'!$B$2:$B$10001,MATCH(8256,'Email Cleaner'!$G$2:$G$10001,0)),"")</f>
        <v/>
      </c>
    </row>
    <row r="8258">
      <c r="A8258">
        <f>IFERROR(INDEX('Email Cleaner'!$B$2:$B$10001,MATCH(8257,'Email Cleaner'!$G$2:$G$10001,0)),"")</f>
        <v/>
      </c>
    </row>
    <row r="8259">
      <c r="A8259">
        <f>IFERROR(INDEX('Email Cleaner'!$B$2:$B$10001,MATCH(8258,'Email Cleaner'!$G$2:$G$10001,0)),"")</f>
        <v/>
      </c>
    </row>
    <row r="8260">
      <c r="A8260">
        <f>IFERROR(INDEX('Email Cleaner'!$B$2:$B$10001,MATCH(8259,'Email Cleaner'!$G$2:$G$10001,0)),"")</f>
        <v/>
      </c>
    </row>
    <row r="8261">
      <c r="A8261">
        <f>IFERROR(INDEX('Email Cleaner'!$B$2:$B$10001,MATCH(8260,'Email Cleaner'!$G$2:$G$10001,0)),"")</f>
        <v/>
      </c>
    </row>
    <row r="8262">
      <c r="A8262">
        <f>IFERROR(INDEX('Email Cleaner'!$B$2:$B$10001,MATCH(8261,'Email Cleaner'!$G$2:$G$10001,0)),"")</f>
        <v/>
      </c>
    </row>
    <row r="8263">
      <c r="A8263">
        <f>IFERROR(INDEX('Email Cleaner'!$B$2:$B$10001,MATCH(8262,'Email Cleaner'!$G$2:$G$10001,0)),"")</f>
        <v/>
      </c>
    </row>
    <row r="8264">
      <c r="A8264">
        <f>IFERROR(INDEX('Email Cleaner'!$B$2:$B$10001,MATCH(8263,'Email Cleaner'!$G$2:$G$10001,0)),"")</f>
        <v/>
      </c>
    </row>
    <row r="8265">
      <c r="A8265">
        <f>IFERROR(INDEX('Email Cleaner'!$B$2:$B$10001,MATCH(8264,'Email Cleaner'!$G$2:$G$10001,0)),"")</f>
        <v/>
      </c>
    </row>
    <row r="8266">
      <c r="A8266">
        <f>IFERROR(INDEX('Email Cleaner'!$B$2:$B$10001,MATCH(8265,'Email Cleaner'!$G$2:$G$10001,0)),"")</f>
        <v/>
      </c>
    </row>
    <row r="8267">
      <c r="A8267">
        <f>IFERROR(INDEX('Email Cleaner'!$B$2:$B$10001,MATCH(8266,'Email Cleaner'!$G$2:$G$10001,0)),"")</f>
        <v/>
      </c>
    </row>
    <row r="8268">
      <c r="A8268">
        <f>IFERROR(INDEX('Email Cleaner'!$B$2:$B$10001,MATCH(8267,'Email Cleaner'!$G$2:$G$10001,0)),"")</f>
        <v/>
      </c>
    </row>
    <row r="8269">
      <c r="A8269">
        <f>IFERROR(INDEX('Email Cleaner'!$B$2:$B$10001,MATCH(8268,'Email Cleaner'!$G$2:$G$10001,0)),"")</f>
        <v/>
      </c>
    </row>
    <row r="8270">
      <c r="A8270">
        <f>IFERROR(INDEX('Email Cleaner'!$B$2:$B$10001,MATCH(8269,'Email Cleaner'!$G$2:$G$10001,0)),"")</f>
        <v/>
      </c>
    </row>
    <row r="8271">
      <c r="A8271">
        <f>IFERROR(INDEX('Email Cleaner'!$B$2:$B$10001,MATCH(8270,'Email Cleaner'!$G$2:$G$10001,0)),"")</f>
        <v/>
      </c>
    </row>
    <row r="8272">
      <c r="A8272">
        <f>IFERROR(INDEX('Email Cleaner'!$B$2:$B$10001,MATCH(8271,'Email Cleaner'!$G$2:$G$10001,0)),"")</f>
        <v/>
      </c>
    </row>
    <row r="8273">
      <c r="A8273">
        <f>IFERROR(INDEX('Email Cleaner'!$B$2:$B$10001,MATCH(8272,'Email Cleaner'!$G$2:$G$10001,0)),"")</f>
        <v/>
      </c>
    </row>
    <row r="8274">
      <c r="A8274">
        <f>IFERROR(INDEX('Email Cleaner'!$B$2:$B$10001,MATCH(8273,'Email Cleaner'!$G$2:$G$10001,0)),"")</f>
        <v/>
      </c>
    </row>
    <row r="8275">
      <c r="A8275">
        <f>IFERROR(INDEX('Email Cleaner'!$B$2:$B$10001,MATCH(8274,'Email Cleaner'!$G$2:$G$10001,0)),"")</f>
        <v/>
      </c>
    </row>
    <row r="8276">
      <c r="A8276">
        <f>IFERROR(INDEX('Email Cleaner'!$B$2:$B$10001,MATCH(8275,'Email Cleaner'!$G$2:$G$10001,0)),"")</f>
        <v/>
      </c>
    </row>
    <row r="8277">
      <c r="A8277">
        <f>IFERROR(INDEX('Email Cleaner'!$B$2:$B$10001,MATCH(8276,'Email Cleaner'!$G$2:$G$10001,0)),"")</f>
        <v/>
      </c>
    </row>
    <row r="8278">
      <c r="A8278">
        <f>IFERROR(INDEX('Email Cleaner'!$B$2:$B$10001,MATCH(8277,'Email Cleaner'!$G$2:$G$10001,0)),"")</f>
        <v/>
      </c>
    </row>
    <row r="8279">
      <c r="A8279">
        <f>IFERROR(INDEX('Email Cleaner'!$B$2:$B$10001,MATCH(8278,'Email Cleaner'!$G$2:$G$10001,0)),"")</f>
        <v/>
      </c>
    </row>
    <row r="8280">
      <c r="A8280">
        <f>IFERROR(INDEX('Email Cleaner'!$B$2:$B$10001,MATCH(8279,'Email Cleaner'!$G$2:$G$10001,0)),"")</f>
        <v/>
      </c>
    </row>
    <row r="8281">
      <c r="A8281">
        <f>IFERROR(INDEX('Email Cleaner'!$B$2:$B$10001,MATCH(8280,'Email Cleaner'!$G$2:$G$10001,0)),"")</f>
        <v/>
      </c>
    </row>
    <row r="8282">
      <c r="A8282">
        <f>IFERROR(INDEX('Email Cleaner'!$B$2:$B$10001,MATCH(8281,'Email Cleaner'!$G$2:$G$10001,0)),"")</f>
        <v/>
      </c>
    </row>
    <row r="8283">
      <c r="A8283">
        <f>IFERROR(INDEX('Email Cleaner'!$B$2:$B$10001,MATCH(8282,'Email Cleaner'!$G$2:$G$10001,0)),"")</f>
        <v/>
      </c>
    </row>
    <row r="8284">
      <c r="A8284">
        <f>IFERROR(INDEX('Email Cleaner'!$B$2:$B$10001,MATCH(8283,'Email Cleaner'!$G$2:$G$10001,0)),"")</f>
        <v/>
      </c>
    </row>
    <row r="8285">
      <c r="A8285">
        <f>IFERROR(INDEX('Email Cleaner'!$B$2:$B$10001,MATCH(8284,'Email Cleaner'!$G$2:$G$10001,0)),"")</f>
        <v/>
      </c>
    </row>
    <row r="8286">
      <c r="A8286">
        <f>IFERROR(INDEX('Email Cleaner'!$B$2:$B$10001,MATCH(8285,'Email Cleaner'!$G$2:$G$10001,0)),"")</f>
        <v/>
      </c>
    </row>
    <row r="8287">
      <c r="A8287">
        <f>IFERROR(INDEX('Email Cleaner'!$B$2:$B$10001,MATCH(8286,'Email Cleaner'!$G$2:$G$10001,0)),"")</f>
        <v/>
      </c>
    </row>
    <row r="8288">
      <c r="A8288">
        <f>IFERROR(INDEX('Email Cleaner'!$B$2:$B$10001,MATCH(8287,'Email Cleaner'!$G$2:$G$10001,0)),"")</f>
        <v/>
      </c>
    </row>
    <row r="8289">
      <c r="A8289">
        <f>IFERROR(INDEX('Email Cleaner'!$B$2:$B$10001,MATCH(8288,'Email Cleaner'!$G$2:$G$10001,0)),"")</f>
        <v/>
      </c>
    </row>
    <row r="8290">
      <c r="A8290">
        <f>IFERROR(INDEX('Email Cleaner'!$B$2:$B$10001,MATCH(8289,'Email Cleaner'!$G$2:$G$10001,0)),"")</f>
        <v/>
      </c>
    </row>
    <row r="8291">
      <c r="A8291">
        <f>IFERROR(INDEX('Email Cleaner'!$B$2:$B$10001,MATCH(8290,'Email Cleaner'!$G$2:$G$10001,0)),"")</f>
        <v/>
      </c>
    </row>
    <row r="8292">
      <c r="A8292">
        <f>IFERROR(INDEX('Email Cleaner'!$B$2:$B$10001,MATCH(8291,'Email Cleaner'!$G$2:$G$10001,0)),"")</f>
        <v/>
      </c>
    </row>
    <row r="8293">
      <c r="A8293">
        <f>IFERROR(INDEX('Email Cleaner'!$B$2:$B$10001,MATCH(8292,'Email Cleaner'!$G$2:$G$10001,0)),"")</f>
        <v/>
      </c>
    </row>
    <row r="8294">
      <c r="A8294">
        <f>IFERROR(INDEX('Email Cleaner'!$B$2:$B$10001,MATCH(8293,'Email Cleaner'!$G$2:$G$10001,0)),"")</f>
        <v/>
      </c>
    </row>
    <row r="8295">
      <c r="A8295">
        <f>IFERROR(INDEX('Email Cleaner'!$B$2:$B$10001,MATCH(8294,'Email Cleaner'!$G$2:$G$10001,0)),"")</f>
        <v/>
      </c>
    </row>
    <row r="8296">
      <c r="A8296">
        <f>IFERROR(INDEX('Email Cleaner'!$B$2:$B$10001,MATCH(8295,'Email Cleaner'!$G$2:$G$10001,0)),"")</f>
        <v/>
      </c>
    </row>
    <row r="8297">
      <c r="A8297">
        <f>IFERROR(INDEX('Email Cleaner'!$B$2:$B$10001,MATCH(8296,'Email Cleaner'!$G$2:$G$10001,0)),"")</f>
        <v/>
      </c>
    </row>
    <row r="8298">
      <c r="A8298">
        <f>IFERROR(INDEX('Email Cleaner'!$B$2:$B$10001,MATCH(8297,'Email Cleaner'!$G$2:$G$10001,0)),"")</f>
        <v/>
      </c>
    </row>
    <row r="8299">
      <c r="A8299">
        <f>IFERROR(INDEX('Email Cleaner'!$B$2:$B$10001,MATCH(8298,'Email Cleaner'!$G$2:$G$10001,0)),"")</f>
        <v/>
      </c>
    </row>
    <row r="8300">
      <c r="A8300">
        <f>IFERROR(INDEX('Email Cleaner'!$B$2:$B$10001,MATCH(8299,'Email Cleaner'!$G$2:$G$10001,0)),"")</f>
        <v/>
      </c>
    </row>
    <row r="8301">
      <c r="A8301">
        <f>IFERROR(INDEX('Email Cleaner'!$B$2:$B$10001,MATCH(8300,'Email Cleaner'!$G$2:$G$10001,0)),"")</f>
        <v/>
      </c>
    </row>
    <row r="8302">
      <c r="A8302">
        <f>IFERROR(INDEX('Email Cleaner'!$B$2:$B$10001,MATCH(8301,'Email Cleaner'!$G$2:$G$10001,0)),"")</f>
        <v/>
      </c>
    </row>
    <row r="8303">
      <c r="A8303">
        <f>IFERROR(INDEX('Email Cleaner'!$B$2:$B$10001,MATCH(8302,'Email Cleaner'!$G$2:$G$10001,0)),"")</f>
        <v/>
      </c>
    </row>
    <row r="8304">
      <c r="A8304">
        <f>IFERROR(INDEX('Email Cleaner'!$B$2:$B$10001,MATCH(8303,'Email Cleaner'!$G$2:$G$10001,0)),"")</f>
        <v/>
      </c>
    </row>
    <row r="8305">
      <c r="A8305">
        <f>IFERROR(INDEX('Email Cleaner'!$B$2:$B$10001,MATCH(8304,'Email Cleaner'!$G$2:$G$10001,0)),"")</f>
        <v/>
      </c>
    </row>
    <row r="8306">
      <c r="A8306">
        <f>IFERROR(INDEX('Email Cleaner'!$B$2:$B$10001,MATCH(8305,'Email Cleaner'!$G$2:$G$10001,0)),"")</f>
        <v/>
      </c>
    </row>
    <row r="8307">
      <c r="A8307">
        <f>IFERROR(INDEX('Email Cleaner'!$B$2:$B$10001,MATCH(8306,'Email Cleaner'!$G$2:$G$10001,0)),"")</f>
        <v/>
      </c>
    </row>
    <row r="8308">
      <c r="A8308">
        <f>IFERROR(INDEX('Email Cleaner'!$B$2:$B$10001,MATCH(8307,'Email Cleaner'!$G$2:$G$10001,0)),"")</f>
        <v/>
      </c>
    </row>
    <row r="8309">
      <c r="A8309">
        <f>IFERROR(INDEX('Email Cleaner'!$B$2:$B$10001,MATCH(8308,'Email Cleaner'!$G$2:$G$10001,0)),"")</f>
        <v/>
      </c>
    </row>
    <row r="8310">
      <c r="A8310">
        <f>IFERROR(INDEX('Email Cleaner'!$B$2:$B$10001,MATCH(8309,'Email Cleaner'!$G$2:$G$10001,0)),"")</f>
        <v/>
      </c>
    </row>
    <row r="8311">
      <c r="A8311">
        <f>IFERROR(INDEX('Email Cleaner'!$B$2:$B$10001,MATCH(8310,'Email Cleaner'!$G$2:$G$10001,0)),"")</f>
        <v/>
      </c>
    </row>
    <row r="8312">
      <c r="A8312">
        <f>IFERROR(INDEX('Email Cleaner'!$B$2:$B$10001,MATCH(8311,'Email Cleaner'!$G$2:$G$10001,0)),"")</f>
        <v/>
      </c>
    </row>
    <row r="8313">
      <c r="A8313">
        <f>IFERROR(INDEX('Email Cleaner'!$B$2:$B$10001,MATCH(8312,'Email Cleaner'!$G$2:$G$10001,0)),"")</f>
        <v/>
      </c>
    </row>
    <row r="8314">
      <c r="A8314">
        <f>IFERROR(INDEX('Email Cleaner'!$B$2:$B$10001,MATCH(8313,'Email Cleaner'!$G$2:$G$10001,0)),"")</f>
        <v/>
      </c>
    </row>
    <row r="8315">
      <c r="A8315">
        <f>IFERROR(INDEX('Email Cleaner'!$B$2:$B$10001,MATCH(8314,'Email Cleaner'!$G$2:$G$10001,0)),"")</f>
        <v/>
      </c>
    </row>
    <row r="8316">
      <c r="A8316">
        <f>IFERROR(INDEX('Email Cleaner'!$B$2:$B$10001,MATCH(8315,'Email Cleaner'!$G$2:$G$10001,0)),"")</f>
        <v/>
      </c>
    </row>
    <row r="8317">
      <c r="A8317">
        <f>IFERROR(INDEX('Email Cleaner'!$B$2:$B$10001,MATCH(8316,'Email Cleaner'!$G$2:$G$10001,0)),"")</f>
        <v/>
      </c>
    </row>
    <row r="8318">
      <c r="A8318">
        <f>IFERROR(INDEX('Email Cleaner'!$B$2:$B$10001,MATCH(8317,'Email Cleaner'!$G$2:$G$10001,0)),"")</f>
        <v/>
      </c>
    </row>
    <row r="8319">
      <c r="A8319">
        <f>IFERROR(INDEX('Email Cleaner'!$B$2:$B$10001,MATCH(8318,'Email Cleaner'!$G$2:$G$10001,0)),"")</f>
        <v/>
      </c>
    </row>
    <row r="8320">
      <c r="A8320">
        <f>IFERROR(INDEX('Email Cleaner'!$B$2:$B$10001,MATCH(8319,'Email Cleaner'!$G$2:$G$10001,0)),"")</f>
        <v/>
      </c>
    </row>
    <row r="8321">
      <c r="A8321">
        <f>IFERROR(INDEX('Email Cleaner'!$B$2:$B$10001,MATCH(8320,'Email Cleaner'!$G$2:$G$10001,0)),"")</f>
        <v/>
      </c>
    </row>
    <row r="8322">
      <c r="A8322">
        <f>IFERROR(INDEX('Email Cleaner'!$B$2:$B$10001,MATCH(8321,'Email Cleaner'!$G$2:$G$10001,0)),"")</f>
        <v/>
      </c>
    </row>
    <row r="8323">
      <c r="A8323">
        <f>IFERROR(INDEX('Email Cleaner'!$B$2:$B$10001,MATCH(8322,'Email Cleaner'!$G$2:$G$10001,0)),"")</f>
        <v/>
      </c>
    </row>
    <row r="8324">
      <c r="A8324">
        <f>IFERROR(INDEX('Email Cleaner'!$B$2:$B$10001,MATCH(8323,'Email Cleaner'!$G$2:$G$10001,0)),"")</f>
        <v/>
      </c>
    </row>
    <row r="8325">
      <c r="A8325">
        <f>IFERROR(INDEX('Email Cleaner'!$B$2:$B$10001,MATCH(8324,'Email Cleaner'!$G$2:$G$10001,0)),"")</f>
        <v/>
      </c>
    </row>
    <row r="8326">
      <c r="A8326">
        <f>IFERROR(INDEX('Email Cleaner'!$B$2:$B$10001,MATCH(8325,'Email Cleaner'!$G$2:$G$10001,0)),"")</f>
        <v/>
      </c>
    </row>
    <row r="8327">
      <c r="A8327">
        <f>IFERROR(INDEX('Email Cleaner'!$B$2:$B$10001,MATCH(8326,'Email Cleaner'!$G$2:$G$10001,0)),"")</f>
        <v/>
      </c>
    </row>
    <row r="8328">
      <c r="A8328">
        <f>IFERROR(INDEX('Email Cleaner'!$B$2:$B$10001,MATCH(8327,'Email Cleaner'!$G$2:$G$10001,0)),"")</f>
        <v/>
      </c>
    </row>
    <row r="8329">
      <c r="A8329">
        <f>IFERROR(INDEX('Email Cleaner'!$B$2:$B$10001,MATCH(8328,'Email Cleaner'!$G$2:$G$10001,0)),"")</f>
        <v/>
      </c>
    </row>
    <row r="8330">
      <c r="A8330">
        <f>IFERROR(INDEX('Email Cleaner'!$B$2:$B$10001,MATCH(8329,'Email Cleaner'!$G$2:$G$10001,0)),"")</f>
        <v/>
      </c>
    </row>
    <row r="8331">
      <c r="A8331">
        <f>IFERROR(INDEX('Email Cleaner'!$B$2:$B$10001,MATCH(8330,'Email Cleaner'!$G$2:$G$10001,0)),"")</f>
        <v/>
      </c>
    </row>
    <row r="8332">
      <c r="A8332">
        <f>IFERROR(INDEX('Email Cleaner'!$B$2:$B$10001,MATCH(8331,'Email Cleaner'!$G$2:$G$10001,0)),"")</f>
        <v/>
      </c>
    </row>
    <row r="8333">
      <c r="A8333">
        <f>IFERROR(INDEX('Email Cleaner'!$B$2:$B$10001,MATCH(8332,'Email Cleaner'!$G$2:$G$10001,0)),"")</f>
        <v/>
      </c>
    </row>
    <row r="8334">
      <c r="A8334">
        <f>IFERROR(INDEX('Email Cleaner'!$B$2:$B$10001,MATCH(8333,'Email Cleaner'!$G$2:$G$10001,0)),"")</f>
        <v/>
      </c>
    </row>
    <row r="8335">
      <c r="A8335">
        <f>IFERROR(INDEX('Email Cleaner'!$B$2:$B$10001,MATCH(8334,'Email Cleaner'!$G$2:$G$10001,0)),"")</f>
        <v/>
      </c>
    </row>
    <row r="8336">
      <c r="A8336">
        <f>IFERROR(INDEX('Email Cleaner'!$B$2:$B$10001,MATCH(8335,'Email Cleaner'!$G$2:$G$10001,0)),"")</f>
        <v/>
      </c>
    </row>
    <row r="8337">
      <c r="A8337">
        <f>IFERROR(INDEX('Email Cleaner'!$B$2:$B$10001,MATCH(8336,'Email Cleaner'!$G$2:$G$10001,0)),"")</f>
        <v/>
      </c>
    </row>
    <row r="8338">
      <c r="A8338">
        <f>IFERROR(INDEX('Email Cleaner'!$B$2:$B$10001,MATCH(8337,'Email Cleaner'!$G$2:$G$10001,0)),"")</f>
        <v/>
      </c>
    </row>
    <row r="8339">
      <c r="A8339">
        <f>IFERROR(INDEX('Email Cleaner'!$B$2:$B$10001,MATCH(8338,'Email Cleaner'!$G$2:$G$10001,0)),"")</f>
        <v/>
      </c>
    </row>
    <row r="8340">
      <c r="A8340">
        <f>IFERROR(INDEX('Email Cleaner'!$B$2:$B$10001,MATCH(8339,'Email Cleaner'!$G$2:$G$10001,0)),"")</f>
        <v/>
      </c>
    </row>
    <row r="8341">
      <c r="A8341">
        <f>IFERROR(INDEX('Email Cleaner'!$B$2:$B$10001,MATCH(8340,'Email Cleaner'!$G$2:$G$10001,0)),"")</f>
        <v/>
      </c>
    </row>
    <row r="8342">
      <c r="A8342">
        <f>IFERROR(INDEX('Email Cleaner'!$B$2:$B$10001,MATCH(8341,'Email Cleaner'!$G$2:$G$10001,0)),"")</f>
        <v/>
      </c>
    </row>
    <row r="8343">
      <c r="A8343">
        <f>IFERROR(INDEX('Email Cleaner'!$B$2:$B$10001,MATCH(8342,'Email Cleaner'!$G$2:$G$10001,0)),"")</f>
        <v/>
      </c>
    </row>
    <row r="8344">
      <c r="A8344">
        <f>IFERROR(INDEX('Email Cleaner'!$B$2:$B$10001,MATCH(8343,'Email Cleaner'!$G$2:$G$10001,0)),"")</f>
        <v/>
      </c>
    </row>
    <row r="8345">
      <c r="A8345">
        <f>IFERROR(INDEX('Email Cleaner'!$B$2:$B$10001,MATCH(8344,'Email Cleaner'!$G$2:$G$10001,0)),"")</f>
        <v/>
      </c>
    </row>
    <row r="8346">
      <c r="A8346">
        <f>IFERROR(INDEX('Email Cleaner'!$B$2:$B$10001,MATCH(8345,'Email Cleaner'!$G$2:$G$10001,0)),"")</f>
        <v/>
      </c>
    </row>
    <row r="8347">
      <c r="A8347">
        <f>IFERROR(INDEX('Email Cleaner'!$B$2:$B$10001,MATCH(8346,'Email Cleaner'!$G$2:$G$10001,0)),"")</f>
        <v/>
      </c>
    </row>
    <row r="8348">
      <c r="A8348">
        <f>IFERROR(INDEX('Email Cleaner'!$B$2:$B$10001,MATCH(8347,'Email Cleaner'!$G$2:$G$10001,0)),"")</f>
        <v/>
      </c>
    </row>
    <row r="8349">
      <c r="A8349">
        <f>IFERROR(INDEX('Email Cleaner'!$B$2:$B$10001,MATCH(8348,'Email Cleaner'!$G$2:$G$10001,0)),"")</f>
        <v/>
      </c>
    </row>
    <row r="8350">
      <c r="A8350">
        <f>IFERROR(INDEX('Email Cleaner'!$B$2:$B$10001,MATCH(8349,'Email Cleaner'!$G$2:$G$10001,0)),"")</f>
        <v/>
      </c>
    </row>
    <row r="8351">
      <c r="A8351">
        <f>IFERROR(INDEX('Email Cleaner'!$B$2:$B$10001,MATCH(8350,'Email Cleaner'!$G$2:$G$10001,0)),"")</f>
        <v/>
      </c>
    </row>
    <row r="8352">
      <c r="A8352">
        <f>IFERROR(INDEX('Email Cleaner'!$B$2:$B$10001,MATCH(8351,'Email Cleaner'!$G$2:$G$10001,0)),"")</f>
        <v/>
      </c>
    </row>
    <row r="8353">
      <c r="A8353">
        <f>IFERROR(INDEX('Email Cleaner'!$B$2:$B$10001,MATCH(8352,'Email Cleaner'!$G$2:$G$10001,0)),"")</f>
        <v/>
      </c>
    </row>
    <row r="8354">
      <c r="A8354">
        <f>IFERROR(INDEX('Email Cleaner'!$B$2:$B$10001,MATCH(8353,'Email Cleaner'!$G$2:$G$10001,0)),"")</f>
        <v/>
      </c>
    </row>
    <row r="8355">
      <c r="A8355">
        <f>IFERROR(INDEX('Email Cleaner'!$B$2:$B$10001,MATCH(8354,'Email Cleaner'!$G$2:$G$10001,0)),"")</f>
        <v/>
      </c>
    </row>
    <row r="8356">
      <c r="A8356">
        <f>IFERROR(INDEX('Email Cleaner'!$B$2:$B$10001,MATCH(8355,'Email Cleaner'!$G$2:$G$10001,0)),"")</f>
        <v/>
      </c>
    </row>
    <row r="8357">
      <c r="A8357">
        <f>IFERROR(INDEX('Email Cleaner'!$B$2:$B$10001,MATCH(8356,'Email Cleaner'!$G$2:$G$10001,0)),"")</f>
        <v/>
      </c>
    </row>
    <row r="8358">
      <c r="A8358">
        <f>IFERROR(INDEX('Email Cleaner'!$B$2:$B$10001,MATCH(8357,'Email Cleaner'!$G$2:$G$10001,0)),"")</f>
        <v/>
      </c>
    </row>
    <row r="8359">
      <c r="A8359">
        <f>IFERROR(INDEX('Email Cleaner'!$B$2:$B$10001,MATCH(8358,'Email Cleaner'!$G$2:$G$10001,0)),"")</f>
        <v/>
      </c>
    </row>
    <row r="8360">
      <c r="A8360">
        <f>IFERROR(INDEX('Email Cleaner'!$B$2:$B$10001,MATCH(8359,'Email Cleaner'!$G$2:$G$10001,0)),"")</f>
        <v/>
      </c>
    </row>
    <row r="8361">
      <c r="A8361">
        <f>IFERROR(INDEX('Email Cleaner'!$B$2:$B$10001,MATCH(8360,'Email Cleaner'!$G$2:$G$10001,0)),"")</f>
        <v/>
      </c>
    </row>
    <row r="8362">
      <c r="A8362">
        <f>IFERROR(INDEX('Email Cleaner'!$B$2:$B$10001,MATCH(8361,'Email Cleaner'!$G$2:$G$10001,0)),"")</f>
        <v/>
      </c>
    </row>
    <row r="8363">
      <c r="A8363">
        <f>IFERROR(INDEX('Email Cleaner'!$B$2:$B$10001,MATCH(8362,'Email Cleaner'!$G$2:$G$10001,0)),"")</f>
        <v/>
      </c>
    </row>
    <row r="8364">
      <c r="A8364">
        <f>IFERROR(INDEX('Email Cleaner'!$B$2:$B$10001,MATCH(8363,'Email Cleaner'!$G$2:$G$10001,0)),"")</f>
        <v/>
      </c>
    </row>
    <row r="8365">
      <c r="A8365">
        <f>IFERROR(INDEX('Email Cleaner'!$B$2:$B$10001,MATCH(8364,'Email Cleaner'!$G$2:$G$10001,0)),"")</f>
        <v/>
      </c>
    </row>
    <row r="8366">
      <c r="A8366">
        <f>IFERROR(INDEX('Email Cleaner'!$B$2:$B$10001,MATCH(8365,'Email Cleaner'!$G$2:$G$10001,0)),"")</f>
        <v/>
      </c>
    </row>
    <row r="8367">
      <c r="A8367">
        <f>IFERROR(INDEX('Email Cleaner'!$B$2:$B$10001,MATCH(8366,'Email Cleaner'!$G$2:$G$10001,0)),"")</f>
        <v/>
      </c>
    </row>
    <row r="8368">
      <c r="A8368">
        <f>IFERROR(INDEX('Email Cleaner'!$B$2:$B$10001,MATCH(8367,'Email Cleaner'!$G$2:$G$10001,0)),"")</f>
        <v/>
      </c>
    </row>
    <row r="8369">
      <c r="A8369">
        <f>IFERROR(INDEX('Email Cleaner'!$B$2:$B$10001,MATCH(8368,'Email Cleaner'!$G$2:$G$10001,0)),"")</f>
        <v/>
      </c>
    </row>
    <row r="8370">
      <c r="A8370">
        <f>IFERROR(INDEX('Email Cleaner'!$B$2:$B$10001,MATCH(8369,'Email Cleaner'!$G$2:$G$10001,0)),"")</f>
        <v/>
      </c>
    </row>
    <row r="8371">
      <c r="A8371">
        <f>IFERROR(INDEX('Email Cleaner'!$B$2:$B$10001,MATCH(8370,'Email Cleaner'!$G$2:$G$10001,0)),"")</f>
        <v/>
      </c>
    </row>
    <row r="8372">
      <c r="A8372">
        <f>IFERROR(INDEX('Email Cleaner'!$B$2:$B$10001,MATCH(8371,'Email Cleaner'!$G$2:$G$10001,0)),"")</f>
        <v/>
      </c>
    </row>
    <row r="8373">
      <c r="A8373">
        <f>IFERROR(INDEX('Email Cleaner'!$B$2:$B$10001,MATCH(8372,'Email Cleaner'!$G$2:$G$10001,0)),"")</f>
        <v/>
      </c>
    </row>
    <row r="8374">
      <c r="A8374">
        <f>IFERROR(INDEX('Email Cleaner'!$B$2:$B$10001,MATCH(8373,'Email Cleaner'!$G$2:$G$10001,0)),"")</f>
        <v/>
      </c>
    </row>
    <row r="8375">
      <c r="A8375">
        <f>IFERROR(INDEX('Email Cleaner'!$B$2:$B$10001,MATCH(8374,'Email Cleaner'!$G$2:$G$10001,0)),"")</f>
        <v/>
      </c>
    </row>
    <row r="8376">
      <c r="A8376">
        <f>IFERROR(INDEX('Email Cleaner'!$B$2:$B$10001,MATCH(8375,'Email Cleaner'!$G$2:$G$10001,0)),"")</f>
        <v/>
      </c>
    </row>
    <row r="8377">
      <c r="A8377">
        <f>IFERROR(INDEX('Email Cleaner'!$B$2:$B$10001,MATCH(8376,'Email Cleaner'!$G$2:$G$10001,0)),"")</f>
        <v/>
      </c>
    </row>
    <row r="8378">
      <c r="A8378">
        <f>IFERROR(INDEX('Email Cleaner'!$B$2:$B$10001,MATCH(8377,'Email Cleaner'!$G$2:$G$10001,0)),"")</f>
        <v/>
      </c>
    </row>
    <row r="8379">
      <c r="A8379">
        <f>IFERROR(INDEX('Email Cleaner'!$B$2:$B$10001,MATCH(8378,'Email Cleaner'!$G$2:$G$10001,0)),"")</f>
        <v/>
      </c>
    </row>
    <row r="8380">
      <c r="A8380">
        <f>IFERROR(INDEX('Email Cleaner'!$B$2:$B$10001,MATCH(8379,'Email Cleaner'!$G$2:$G$10001,0)),"")</f>
        <v/>
      </c>
    </row>
    <row r="8381">
      <c r="A8381">
        <f>IFERROR(INDEX('Email Cleaner'!$B$2:$B$10001,MATCH(8380,'Email Cleaner'!$G$2:$G$10001,0)),"")</f>
        <v/>
      </c>
    </row>
    <row r="8382">
      <c r="A8382">
        <f>IFERROR(INDEX('Email Cleaner'!$B$2:$B$10001,MATCH(8381,'Email Cleaner'!$G$2:$G$10001,0)),"")</f>
        <v/>
      </c>
    </row>
    <row r="8383">
      <c r="A8383">
        <f>IFERROR(INDEX('Email Cleaner'!$B$2:$B$10001,MATCH(8382,'Email Cleaner'!$G$2:$G$10001,0)),"")</f>
        <v/>
      </c>
    </row>
    <row r="8384">
      <c r="A8384">
        <f>IFERROR(INDEX('Email Cleaner'!$B$2:$B$10001,MATCH(8383,'Email Cleaner'!$G$2:$G$10001,0)),"")</f>
        <v/>
      </c>
    </row>
    <row r="8385">
      <c r="A8385">
        <f>IFERROR(INDEX('Email Cleaner'!$B$2:$B$10001,MATCH(8384,'Email Cleaner'!$G$2:$G$10001,0)),"")</f>
        <v/>
      </c>
    </row>
    <row r="8386">
      <c r="A8386">
        <f>IFERROR(INDEX('Email Cleaner'!$B$2:$B$10001,MATCH(8385,'Email Cleaner'!$G$2:$G$10001,0)),"")</f>
        <v/>
      </c>
    </row>
    <row r="8387">
      <c r="A8387">
        <f>IFERROR(INDEX('Email Cleaner'!$B$2:$B$10001,MATCH(8386,'Email Cleaner'!$G$2:$G$10001,0)),"")</f>
        <v/>
      </c>
    </row>
    <row r="8388">
      <c r="A8388">
        <f>IFERROR(INDEX('Email Cleaner'!$B$2:$B$10001,MATCH(8387,'Email Cleaner'!$G$2:$G$10001,0)),"")</f>
        <v/>
      </c>
    </row>
    <row r="8389">
      <c r="A8389">
        <f>IFERROR(INDEX('Email Cleaner'!$B$2:$B$10001,MATCH(8388,'Email Cleaner'!$G$2:$G$10001,0)),"")</f>
        <v/>
      </c>
    </row>
    <row r="8390">
      <c r="A8390">
        <f>IFERROR(INDEX('Email Cleaner'!$B$2:$B$10001,MATCH(8389,'Email Cleaner'!$G$2:$G$10001,0)),"")</f>
        <v/>
      </c>
    </row>
    <row r="8391">
      <c r="A8391">
        <f>IFERROR(INDEX('Email Cleaner'!$B$2:$B$10001,MATCH(8390,'Email Cleaner'!$G$2:$G$10001,0)),"")</f>
        <v/>
      </c>
    </row>
    <row r="8392">
      <c r="A8392">
        <f>IFERROR(INDEX('Email Cleaner'!$B$2:$B$10001,MATCH(8391,'Email Cleaner'!$G$2:$G$10001,0)),"")</f>
        <v/>
      </c>
    </row>
    <row r="8393">
      <c r="A8393">
        <f>IFERROR(INDEX('Email Cleaner'!$B$2:$B$10001,MATCH(8392,'Email Cleaner'!$G$2:$G$10001,0)),"")</f>
        <v/>
      </c>
    </row>
    <row r="8394">
      <c r="A8394">
        <f>IFERROR(INDEX('Email Cleaner'!$B$2:$B$10001,MATCH(8393,'Email Cleaner'!$G$2:$G$10001,0)),"")</f>
        <v/>
      </c>
    </row>
    <row r="8395">
      <c r="A8395">
        <f>IFERROR(INDEX('Email Cleaner'!$B$2:$B$10001,MATCH(8394,'Email Cleaner'!$G$2:$G$10001,0)),"")</f>
        <v/>
      </c>
    </row>
    <row r="8396">
      <c r="A8396">
        <f>IFERROR(INDEX('Email Cleaner'!$B$2:$B$10001,MATCH(8395,'Email Cleaner'!$G$2:$G$10001,0)),"")</f>
        <v/>
      </c>
    </row>
    <row r="8397">
      <c r="A8397">
        <f>IFERROR(INDEX('Email Cleaner'!$B$2:$B$10001,MATCH(8396,'Email Cleaner'!$G$2:$G$10001,0)),"")</f>
        <v/>
      </c>
    </row>
    <row r="8398">
      <c r="A8398">
        <f>IFERROR(INDEX('Email Cleaner'!$B$2:$B$10001,MATCH(8397,'Email Cleaner'!$G$2:$G$10001,0)),"")</f>
        <v/>
      </c>
    </row>
    <row r="8399">
      <c r="A8399">
        <f>IFERROR(INDEX('Email Cleaner'!$B$2:$B$10001,MATCH(8398,'Email Cleaner'!$G$2:$G$10001,0)),"")</f>
        <v/>
      </c>
    </row>
    <row r="8400">
      <c r="A8400">
        <f>IFERROR(INDEX('Email Cleaner'!$B$2:$B$10001,MATCH(8399,'Email Cleaner'!$G$2:$G$10001,0)),"")</f>
        <v/>
      </c>
    </row>
    <row r="8401">
      <c r="A8401">
        <f>IFERROR(INDEX('Email Cleaner'!$B$2:$B$10001,MATCH(8400,'Email Cleaner'!$G$2:$G$10001,0)),"")</f>
        <v/>
      </c>
    </row>
    <row r="8402">
      <c r="A8402">
        <f>IFERROR(INDEX('Email Cleaner'!$B$2:$B$10001,MATCH(8401,'Email Cleaner'!$G$2:$G$10001,0)),"")</f>
        <v/>
      </c>
    </row>
    <row r="8403">
      <c r="A8403">
        <f>IFERROR(INDEX('Email Cleaner'!$B$2:$B$10001,MATCH(8402,'Email Cleaner'!$G$2:$G$10001,0)),"")</f>
        <v/>
      </c>
    </row>
    <row r="8404">
      <c r="A8404">
        <f>IFERROR(INDEX('Email Cleaner'!$B$2:$B$10001,MATCH(8403,'Email Cleaner'!$G$2:$G$10001,0)),"")</f>
        <v/>
      </c>
    </row>
    <row r="8405">
      <c r="A8405">
        <f>IFERROR(INDEX('Email Cleaner'!$B$2:$B$10001,MATCH(8404,'Email Cleaner'!$G$2:$G$10001,0)),"")</f>
        <v/>
      </c>
    </row>
    <row r="8406">
      <c r="A8406">
        <f>IFERROR(INDEX('Email Cleaner'!$B$2:$B$10001,MATCH(8405,'Email Cleaner'!$G$2:$G$10001,0)),"")</f>
        <v/>
      </c>
    </row>
    <row r="8407">
      <c r="A8407">
        <f>IFERROR(INDEX('Email Cleaner'!$B$2:$B$10001,MATCH(8406,'Email Cleaner'!$G$2:$G$10001,0)),"")</f>
        <v/>
      </c>
    </row>
    <row r="8408">
      <c r="A8408">
        <f>IFERROR(INDEX('Email Cleaner'!$B$2:$B$10001,MATCH(8407,'Email Cleaner'!$G$2:$G$10001,0)),"")</f>
        <v/>
      </c>
    </row>
    <row r="8409">
      <c r="A8409">
        <f>IFERROR(INDEX('Email Cleaner'!$B$2:$B$10001,MATCH(8408,'Email Cleaner'!$G$2:$G$10001,0)),"")</f>
        <v/>
      </c>
    </row>
    <row r="8410">
      <c r="A8410">
        <f>IFERROR(INDEX('Email Cleaner'!$B$2:$B$10001,MATCH(8409,'Email Cleaner'!$G$2:$G$10001,0)),"")</f>
        <v/>
      </c>
    </row>
    <row r="8411">
      <c r="A8411">
        <f>IFERROR(INDEX('Email Cleaner'!$B$2:$B$10001,MATCH(8410,'Email Cleaner'!$G$2:$G$10001,0)),"")</f>
        <v/>
      </c>
    </row>
    <row r="8412">
      <c r="A8412">
        <f>IFERROR(INDEX('Email Cleaner'!$B$2:$B$10001,MATCH(8411,'Email Cleaner'!$G$2:$G$10001,0)),"")</f>
        <v/>
      </c>
    </row>
    <row r="8413">
      <c r="A8413">
        <f>IFERROR(INDEX('Email Cleaner'!$B$2:$B$10001,MATCH(8412,'Email Cleaner'!$G$2:$G$10001,0)),"")</f>
        <v/>
      </c>
    </row>
    <row r="8414">
      <c r="A8414">
        <f>IFERROR(INDEX('Email Cleaner'!$B$2:$B$10001,MATCH(8413,'Email Cleaner'!$G$2:$G$10001,0)),"")</f>
        <v/>
      </c>
    </row>
    <row r="8415">
      <c r="A8415">
        <f>IFERROR(INDEX('Email Cleaner'!$B$2:$B$10001,MATCH(8414,'Email Cleaner'!$G$2:$G$10001,0)),"")</f>
        <v/>
      </c>
    </row>
    <row r="8416">
      <c r="A8416">
        <f>IFERROR(INDEX('Email Cleaner'!$B$2:$B$10001,MATCH(8415,'Email Cleaner'!$G$2:$G$10001,0)),"")</f>
        <v/>
      </c>
    </row>
    <row r="8417">
      <c r="A8417">
        <f>IFERROR(INDEX('Email Cleaner'!$B$2:$B$10001,MATCH(8416,'Email Cleaner'!$G$2:$G$10001,0)),"")</f>
        <v/>
      </c>
    </row>
    <row r="8418">
      <c r="A8418">
        <f>IFERROR(INDEX('Email Cleaner'!$B$2:$B$10001,MATCH(8417,'Email Cleaner'!$G$2:$G$10001,0)),"")</f>
        <v/>
      </c>
    </row>
    <row r="8419">
      <c r="A8419">
        <f>IFERROR(INDEX('Email Cleaner'!$B$2:$B$10001,MATCH(8418,'Email Cleaner'!$G$2:$G$10001,0)),"")</f>
        <v/>
      </c>
    </row>
    <row r="8420">
      <c r="A8420">
        <f>IFERROR(INDEX('Email Cleaner'!$B$2:$B$10001,MATCH(8419,'Email Cleaner'!$G$2:$G$10001,0)),"")</f>
        <v/>
      </c>
    </row>
    <row r="8421">
      <c r="A8421">
        <f>IFERROR(INDEX('Email Cleaner'!$B$2:$B$10001,MATCH(8420,'Email Cleaner'!$G$2:$G$10001,0)),"")</f>
        <v/>
      </c>
    </row>
    <row r="8422">
      <c r="A8422">
        <f>IFERROR(INDEX('Email Cleaner'!$B$2:$B$10001,MATCH(8421,'Email Cleaner'!$G$2:$G$10001,0)),"")</f>
        <v/>
      </c>
    </row>
    <row r="8423">
      <c r="A8423">
        <f>IFERROR(INDEX('Email Cleaner'!$B$2:$B$10001,MATCH(8422,'Email Cleaner'!$G$2:$G$10001,0)),"")</f>
        <v/>
      </c>
    </row>
    <row r="8424">
      <c r="A8424">
        <f>IFERROR(INDEX('Email Cleaner'!$B$2:$B$10001,MATCH(8423,'Email Cleaner'!$G$2:$G$10001,0)),"")</f>
        <v/>
      </c>
    </row>
    <row r="8425">
      <c r="A8425">
        <f>IFERROR(INDEX('Email Cleaner'!$B$2:$B$10001,MATCH(8424,'Email Cleaner'!$G$2:$G$10001,0)),"")</f>
        <v/>
      </c>
    </row>
    <row r="8426">
      <c r="A8426">
        <f>IFERROR(INDEX('Email Cleaner'!$B$2:$B$10001,MATCH(8425,'Email Cleaner'!$G$2:$G$10001,0)),"")</f>
        <v/>
      </c>
    </row>
    <row r="8427">
      <c r="A8427">
        <f>IFERROR(INDEX('Email Cleaner'!$B$2:$B$10001,MATCH(8426,'Email Cleaner'!$G$2:$G$10001,0)),"")</f>
        <v/>
      </c>
    </row>
    <row r="8428">
      <c r="A8428">
        <f>IFERROR(INDEX('Email Cleaner'!$B$2:$B$10001,MATCH(8427,'Email Cleaner'!$G$2:$G$10001,0)),"")</f>
        <v/>
      </c>
    </row>
    <row r="8429">
      <c r="A8429">
        <f>IFERROR(INDEX('Email Cleaner'!$B$2:$B$10001,MATCH(8428,'Email Cleaner'!$G$2:$G$10001,0)),"")</f>
        <v/>
      </c>
    </row>
    <row r="8430">
      <c r="A8430">
        <f>IFERROR(INDEX('Email Cleaner'!$B$2:$B$10001,MATCH(8429,'Email Cleaner'!$G$2:$G$10001,0)),"")</f>
        <v/>
      </c>
    </row>
    <row r="8431">
      <c r="A8431">
        <f>IFERROR(INDEX('Email Cleaner'!$B$2:$B$10001,MATCH(8430,'Email Cleaner'!$G$2:$G$10001,0)),"")</f>
        <v/>
      </c>
    </row>
    <row r="8432">
      <c r="A8432">
        <f>IFERROR(INDEX('Email Cleaner'!$B$2:$B$10001,MATCH(8431,'Email Cleaner'!$G$2:$G$10001,0)),"")</f>
        <v/>
      </c>
    </row>
    <row r="8433">
      <c r="A8433">
        <f>IFERROR(INDEX('Email Cleaner'!$B$2:$B$10001,MATCH(8432,'Email Cleaner'!$G$2:$G$10001,0)),"")</f>
        <v/>
      </c>
    </row>
    <row r="8434">
      <c r="A8434">
        <f>IFERROR(INDEX('Email Cleaner'!$B$2:$B$10001,MATCH(8433,'Email Cleaner'!$G$2:$G$10001,0)),"")</f>
        <v/>
      </c>
    </row>
    <row r="8435">
      <c r="A8435">
        <f>IFERROR(INDEX('Email Cleaner'!$B$2:$B$10001,MATCH(8434,'Email Cleaner'!$G$2:$G$10001,0)),"")</f>
        <v/>
      </c>
    </row>
    <row r="8436">
      <c r="A8436">
        <f>IFERROR(INDEX('Email Cleaner'!$B$2:$B$10001,MATCH(8435,'Email Cleaner'!$G$2:$G$10001,0)),"")</f>
        <v/>
      </c>
    </row>
    <row r="8437">
      <c r="A8437">
        <f>IFERROR(INDEX('Email Cleaner'!$B$2:$B$10001,MATCH(8436,'Email Cleaner'!$G$2:$G$10001,0)),"")</f>
        <v/>
      </c>
    </row>
    <row r="8438">
      <c r="A8438">
        <f>IFERROR(INDEX('Email Cleaner'!$B$2:$B$10001,MATCH(8437,'Email Cleaner'!$G$2:$G$10001,0)),"")</f>
        <v/>
      </c>
    </row>
    <row r="8439">
      <c r="A8439">
        <f>IFERROR(INDEX('Email Cleaner'!$B$2:$B$10001,MATCH(8438,'Email Cleaner'!$G$2:$G$10001,0)),"")</f>
        <v/>
      </c>
    </row>
    <row r="8440">
      <c r="A8440">
        <f>IFERROR(INDEX('Email Cleaner'!$B$2:$B$10001,MATCH(8439,'Email Cleaner'!$G$2:$G$10001,0)),"")</f>
        <v/>
      </c>
    </row>
    <row r="8441">
      <c r="A8441">
        <f>IFERROR(INDEX('Email Cleaner'!$B$2:$B$10001,MATCH(8440,'Email Cleaner'!$G$2:$G$10001,0)),"")</f>
        <v/>
      </c>
    </row>
    <row r="8442">
      <c r="A8442">
        <f>IFERROR(INDEX('Email Cleaner'!$B$2:$B$10001,MATCH(8441,'Email Cleaner'!$G$2:$G$10001,0)),"")</f>
        <v/>
      </c>
    </row>
    <row r="8443">
      <c r="A8443">
        <f>IFERROR(INDEX('Email Cleaner'!$B$2:$B$10001,MATCH(8442,'Email Cleaner'!$G$2:$G$10001,0)),"")</f>
        <v/>
      </c>
    </row>
    <row r="8444">
      <c r="A8444">
        <f>IFERROR(INDEX('Email Cleaner'!$B$2:$B$10001,MATCH(8443,'Email Cleaner'!$G$2:$G$10001,0)),"")</f>
        <v/>
      </c>
    </row>
    <row r="8445">
      <c r="A8445">
        <f>IFERROR(INDEX('Email Cleaner'!$B$2:$B$10001,MATCH(8444,'Email Cleaner'!$G$2:$G$10001,0)),"")</f>
        <v/>
      </c>
    </row>
    <row r="8446">
      <c r="A8446">
        <f>IFERROR(INDEX('Email Cleaner'!$B$2:$B$10001,MATCH(8445,'Email Cleaner'!$G$2:$G$10001,0)),"")</f>
        <v/>
      </c>
    </row>
    <row r="8447">
      <c r="A8447">
        <f>IFERROR(INDEX('Email Cleaner'!$B$2:$B$10001,MATCH(8446,'Email Cleaner'!$G$2:$G$10001,0)),"")</f>
        <v/>
      </c>
    </row>
    <row r="8448">
      <c r="A8448">
        <f>IFERROR(INDEX('Email Cleaner'!$B$2:$B$10001,MATCH(8447,'Email Cleaner'!$G$2:$G$10001,0)),"")</f>
        <v/>
      </c>
    </row>
    <row r="8449">
      <c r="A8449">
        <f>IFERROR(INDEX('Email Cleaner'!$B$2:$B$10001,MATCH(8448,'Email Cleaner'!$G$2:$G$10001,0)),"")</f>
        <v/>
      </c>
    </row>
    <row r="8450">
      <c r="A8450">
        <f>IFERROR(INDEX('Email Cleaner'!$B$2:$B$10001,MATCH(8449,'Email Cleaner'!$G$2:$G$10001,0)),"")</f>
        <v/>
      </c>
    </row>
    <row r="8451">
      <c r="A8451">
        <f>IFERROR(INDEX('Email Cleaner'!$B$2:$B$10001,MATCH(8450,'Email Cleaner'!$G$2:$G$10001,0)),"")</f>
        <v/>
      </c>
    </row>
    <row r="8452">
      <c r="A8452">
        <f>IFERROR(INDEX('Email Cleaner'!$B$2:$B$10001,MATCH(8451,'Email Cleaner'!$G$2:$G$10001,0)),"")</f>
        <v/>
      </c>
    </row>
    <row r="8453">
      <c r="A8453">
        <f>IFERROR(INDEX('Email Cleaner'!$B$2:$B$10001,MATCH(8452,'Email Cleaner'!$G$2:$G$10001,0)),"")</f>
        <v/>
      </c>
    </row>
    <row r="8454">
      <c r="A8454">
        <f>IFERROR(INDEX('Email Cleaner'!$B$2:$B$10001,MATCH(8453,'Email Cleaner'!$G$2:$G$10001,0)),"")</f>
        <v/>
      </c>
    </row>
    <row r="8455">
      <c r="A8455">
        <f>IFERROR(INDEX('Email Cleaner'!$B$2:$B$10001,MATCH(8454,'Email Cleaner'!$G$2:$G$10001,0)),"")</f>
        <v/>
      </c>
    </row>
    <row r="8456">
      <c r="A8456">
        <f>IFERROR(INDEX('Email Cleaner'!$B$2:$B$10001,MATCH(8455,'Email Cleaner'!$G$2:$G$10001,0)),"")</f>
        <v/>
      </c>
    </row>
    <row r="8457">
      <c r="A8457">
        <f>IFERROR(INDEX('Email Cleaner'!$B$2:$B$10001,MATCH(8456,'Email Cleaner'!$G$2:$G$10001,0)),"")</f>
        <v/>
      </c>
    </row>
    <row r="8458">
      <c r="A8458">
        <f>IFERROR(INDEX('Email Cleaner'!$B$2:$B$10001,MATCH(8457,'Email Cleaner'!$G$2:$G$10001,0)),"")</f>
        <v/>
      </c>
    </row>
    <row r="8459">
      <c r="A8459">
        <f>IFERROR(INDEX('Email Cleaner'!$B$2:$B$10001,MATCH(8458,'Email Cleaner'!$G$2:$G$10001,0)),"")</f>
        <v/>
      </c>
    </row>
    <row r="8460">
      <c r="A8460">
        <f>IFERROR(INDEX('Email Cleaner'!$B$2:$B$10001,MATCH(8459,'Email Cleaner'!$G$2:$G$10001,0)),"")</f>
        <v/>
      </c>
    </row>
    <row r="8461">
      <c r="A8461">
        <f>IFERROR(INDEX('Email Cleaner'!$B$2:$B$10001,MATCH(8460,'Email Cleaner'!$G$2:$G$10001,0)),"")</f>
        <v/>
      </c>
    </row>
    <row r="8462">
      <c r="A8462">
        <f>IFERROR(INDEX('Email Cleaner'!$B$2:$B$10001,MATCH(8461,'Email Cleaner'!$G$2:$G$10001,0)),"")</f>
        <v/>
      </c>
    </row>
    <row r="8463">
      <c r="A8463">
        <f>IFERROR(INDEX('Email Cleaner'!$B$2:$B$10001,MATCH(8462,'Email Cleaner'!$G$2:$G$10001,0)),"")</f>
        <v/>
      </c>
    </row>
    <row r="8464">
      <c r="A8464">
        <f>IFERROR(INDEX('Email Cleaner'!$B$2:$B$10001,MATCH(8463,'Email Cleaner'!$G$2:$G$10001,0)),"")</f>
        <v/>
      </c>
    </row>
    <row r="8465">
      <c r="A8465">
        <f>IFERROR(INDEX('Email Cleaner'!$B$2:$B$10001,MATCH(8464,'Email Cleaner'!$G$2:$G$10001,0)),"")</f>
        <v/>
      </c>
    </row>
    <row r="8466">
      <c r="A8466">
        <f>IFERROR(INDEX('Email Cleaner'!$B$2:$B$10001,MATCH(8465,'Email Cleaner'!$G$2:$G$10001,0)),"")</f>
        <v/>
      </c>
    </row>
    <row r="8467">
      <c r="A8467">
        <f>IFERROR(INDEX('Email Cleaner'!$B$2:$B$10001,MATCH(8466,'Email Cleaner'!$G$2:$G$10001,0)),"")</f>
        <v/>
      </c>
    </row>
    <row r="8468">
      <c r="A8468">
        <f>IFERROR(INDEX('Email Cleaner'!$B$2:$B$10001,MATCH(8467,'Email Cleaner'!$G$2:$G$10001,0)),"")</f>
        <v/>
      </c>
    </row>
    <row r="8469">
      <c r="A8469">
        <f>IFERROR(INDEX('Email Cleaner'!$B$2:$B$10001,MATCH(8468,'Email Cleaner'!$G$2:$G$10001,0)),"")</f>
        <v/>
      </c>
    </row>
    <row r="8470">
      <c r="A8470">
        <f>IFERROR(INDEX('Email Cleaner'!$B$2:$B$10001,MATCH(8469,'Email Cleaner'!$G$2:$G$10001,0)),"")</f>
        <v/>
      </c>
    </row>
    <row r="8471">
      <c r="A8471">
        <f>IFERROR(INDEX('Email Cleaner'!$B$2:$B$10001,MATCH(8470,'Email Cleaner'!$G$2:$G$10001,0)),"")</f>
        <v/>
      </c>
    </row>
    <row r="8472">
      <c r="A8472">
        <f>IFERROR(INDEX('Email Cleaner'!$B$2:$B$10001,MATCH(8471,'Email Cleaner'!$G$2:$G$10001,0)),"")</f>
        <v/>
      </c>
    </row>
    <row r="8473">
      <c r="A8473">
        <f>IFERROR(INDEX('Email Cleaner'!$B$2:$B$10001,MATCH(8472,'Email Cleaner'!$G$2:$G$10001,0)),"")</f>
        <v/>
      </c>
    </row>
    <row r="8474">
      <c r="A8474">
        <f>IFERROR(INDEX('Email Cleaner'!$B$2:$B$10001,MATCH(8473,'Email Cleaner'!$G$2:$G$10001,0)),"")</f>
        <v/>
      </c>
    </row>
    <row r="8475">
      <c r="A8475">
        <f>IFERROR(INDEX('Email Cleaner'!$B$2:$B$10001,MATCH(8474,'Email Cleaner'!$G$2:$G$10001,0)),"")</f>
        <v/>
      </c>
    </row>
    <row r="8476">
      <c r="A8476">
        <f>IFERROR(INDEX('Email Cleaner'!$B$2:$B$10001,MATCH(8475,'Email Cleaner'!$G$2:$G$10001,0)),"")</f>
        <v/>
      </c>
    </row>
    <row r="8477">
      <c r="A8477">
        <f>IFERROR(INDEX('Email Cleaner'!$B$2:$B$10001,MATCH(8476,'Email Cleaner'!$G$2:$G$10001,0)),"")</f>
        <v/>
      </c>
    </row>
    <row r="8478">
      <c r="A8478">
        <f>IFERROR(INDEX('Email Cleaner'!$B$2:$B$10001,MATCH(8477,'Email Cleaner'!$G$2:$G$10001,0)),"")</f>
        <v/>
      </c>
    </row>
    <row r="8479">
      <c r="A8479">
        <f>IFERROR(INDEX('Email Cleaner'!$B$2:$B$10001,MATCH(8478,'Email Cleaner'!$G$2:$G$10001,0)),"")</f>
        <v/>
      </c>
    </row>
    <row r="8480">
      <c r="A8480">
        <f>IFERROR(INDEX('Email Cleaner'!$B$2:$B$10001,MATCH(8479,'Email Cleaner'!$G$2:$G$10001,0)),"")</f>
        <v/>
      </c>
    </row>
    <row r="8481">
      <c r="A8481">
        <f>IFERROR(INDEX('Email Cleaner'!$B$2:$B$10001,MATCH(8480,'Email Cleaner'!$G$2:$G$10001,0)),"")</f>
        <v/>
      </c>
    </row>
    <row r="8482">
      <c r="A8482">
        <f>IFERROR(INDEX('Email Cleaner'!$B$2:$B$10001,MATCH(8481,'Email Cleaner'!$G$2:$G$10001,0)),"")</f>
        <v/>
      </c>
    </row>
    <row r="8483">
      <c r="A8483">
        <f>IFERROR(INDEX('Email Cleaner'!$B$2:$B$10001,MATCH(8482,'Email Cleaner'!$G$2:$G$10001,0)),"")</f>
        <v/>
      </c>
    </row>
    <row r="8484">
      <c r="A8484">
        <f>IFERROR(INDEX('Email Cleaner'!$B$2:$B$10001,MATCH(8483,'Email Cleaner'!$G$2:$G$10001,0)),"")</f>
        <v/>
      </c>
    </row>
    <row r="8485">
      <c r="A8485">
        <f>IFERROR(INDEX('Email Cleaner'!$B$2:$B$10001,MATCH(8484,'Email Cleaner'!$G$2:$G$10001,0)),"")</f>
        <v/>
      </c>
    </row>
    <row r="8486">
      <c r="A8486">
        <f>IFERROR(INDEX('Email Cleaner'!$B$2:$B$10001,MATCH(8485,'Email Cleaner'!$G$2:$G$10001,0)),"")</f>
        <v/>
      </c>
    </row>
    <row r="8487">
      <c r="A8487">
        <f>IFERROR(INDEX('Email Cleaner'!$B$2:$B$10001,MATCH(8486,'Email Cleaner'!$G$2:$G$10001,0)),"")</f>
        <v/>
      </c>
    </row>
    <row r="8488">
      <c r="A8488">
        <f>IFERROR(INDEX('Email Cleaner'!$B$2:$B$10001,MATCH(8487,'Email Cleaner'!$G$2:$G$10001,0)),"")</f>
        <v/>
      </c>
    </row>
    <row r="8489">
      <c r="A8489">
        <f>IFERROR(INDEX('Email Cleaner'!$B$2:$B$10001,MATCH(8488,'Email Cleaner'!$G$2:$G$10001,0)),"")</f>
        <v/>
      </c>
    </row>
    <row r="8490">
      <c r="A8490">
        <f>IFERROR(INDEX('Email Cleaner'!$B$2:$B$10001,MATCH(8489,'Email Cleaner'!$G$2:$G$10001,0)),"")</f>
        <v/>
      </c>
    </row>
    <row r="8491">
      <c r="A8491">
        <f>IFERROR(INDEX('Email Cleaner'!$B$2:$B$10001,MATCH(8490,'Email Cleaner'!$G$2:$G$10001,0)),"")</f>
        <v/>
      </c>
    </row>
    <row r="8492">
      <c r="A8492">
        <f>IFERROR(INDEX('Email Cleaner'!$B$2:$B$10001,MATCH(8491,'Email Cleaner'!$G$2:$G$10001,0)),"")</f>
        <v/>
      </c>
    </row>
    <row r="8493">
      <c r="A8493">
        <f>IFERROR(INDEX('Email Cleaner'!$B$2:$B$10001,MATCH(8492,'Email Cleaner'!$G$2:$G$10001,0)),"")</f>
        <v/>
      </c>
    </row>
    <row r="8494">
      <c r="A8494">
        <f>IFERROR(INDEX('Email Cleaner'!$B$2:$B$10001,MATCH(8493,'Email Cleaner'!$G$2:$G$10001,0)),"")</f>
        <v/>
      </c>
    </row>
    <row r="8495">
      <c r="A8495">
        <f>IFERROR(INDEX('Email Cleaner'!$B$2:$B$10001,MATCH(8494,'Email Cleaner'!$G$2:$G$10001,0)),"")</f>
        <v/>
      </c>
    </row>
    <row r="8496">
      <c r="A8496">
        <f>IFERROR(INDEX('Email Cleaner'!$B$2:$B$10001,MATCH(8495,'Email Cleaner'!$G$2:$G$10001,0)),"")</f>
        <v/>
      </c>
    </row>
    <row r="8497">
      <c r="A8497">
        <f>IFERROR(INDEX('Email Cleaner'!$B$2:$B$10001,MATCH(8496,'Email Cleaner'!$G$2:$G$10001,0)),"")</f>
        <v/>
      </c>
    </row>
    <row r="8498">
      <c r="A8498">
        <f>IFERROR(INDEX('Email Cleaner'!$B$2:$B$10001,MATCH(8497,'Email Cleaner'!$G$2:$G$10001,0)),"")</f>
        <v/>
      </c>
    </row>
    <row r="8499">
      <c r="A8499">
        <f>IFERROR(INDEX('Email Cleaner'!$B$2:$B$10001,MATCH(8498,'Email Cleaner'!$G$2:$G$10001,0)),"")</f>
        <v/>
      </c>
    </row>
    <row r="8500">
      <c r="A8500">
        <f>IFERROR(INDEX('Email Cleaner'!$B$2:$B$10001,MATCH(8499,'Email Cleaner'!$G$2:$G$10001,0)),"")</f>
        <v/>
      </c>
    </row>
    <row r="8501">
      <c r="A8501">
        <f>IFERROR(INDEX('Email Cleaner'!$B$2:$B$10001,MATCH(8500,'Email Cleaner'!$G$2:$G$10001,0)),"")</f>
        <v/>
      </c>
    </row>
    <row r="8502">
      <c r="A8502">
        <f>IFERROR(INDEX('Email Cleaner'!$B$2:$B$10001,MATCH(8501,'Email Cleaner'!$G$2:$G$10001,0)),"")</f>
        <v/>
      </c>
    </row>
    <row r="8503">
      <c r="A8503">
        <f>IFERROR(INDEX('Email Cleaner'!$B$2:$B$10001,MATCH(8502,'Email Cleaner'!$G$2:$G$10001,0)),"")</f>
        <v/>
      </c>
    </row>
    <row r="8504">
      <c r="A8504">
        <f>IFERROR(INDEX('Email Cleaner'!$B$2:$B$10001,MATCH(8503,'Email Cleaner'!$G$2:$G$10001,0)),"")</f>
        <v/>
      </c>
    </row>
    <row r="8505">
      <c r="A8505">
        <f>IFERROR(INDEX('Email Cleaner'!$B$2:$B$10001,MATCH(8504,'Email Cleaner'!$G$2:$G$10001,0)),"")</f>
        <v/>
      </c>
    </row>
    <row r="8506">
      <c r="A8506">
        <f>IFERROR(INDEX('Email Cleaner'!$B$2:$B$10001,MATCH(8505,'Email Cleaner'!$G$2:$G$10001,0)),"")</f>
        <v/>
      </c>
    </row>
    <row r="8507">
      <c r="A8507">
        <f>IFERROR(INDEX('Email Cleaner'!$B$2:$B$10001,MATCH(8506,'Email Cleaner'!$G$2:$G$10001,0)),"")</f>
        <v/>
      </c>
    </row>
    <row r="8508">
      <c r="A8508">
        <f>IFERROR(INDEX('Email Cleaner'!$B$2:$B$10001,MATCH(8507,'Email Cleaner'!$G$2:$G$10001,0)),"")</f>
        <v/>
      </c>
    </row>
    <row r="8509">
      <c r="A8509">
        <f>IFERROR(INDEX('Email Cleaner'!$B$2:$B$10001,MATCH(8508,'Email Cleaner'!$G$2:$G$10001,0)),"")</f>
        <v/>
      </c>
    </row>
    <row r="8510">
      <c r="A8510">
        <f>IFERROR(INDEX('Email Cleaner'!$B$2:$B$10001,MATCH(8509,'Email Cleaner'!$G$2:$G$10001,0)),"")</f>
        <v/>
      </c>
    </row>
    <row r="8511">
      <c r="A8511">
        <f>IFERROR(INDEX('Email Cleaner'!$B$2:$B$10001,MATCH(8510,'Email Cleaner'!$G$2:$G$10001,0)),"")</f>
        <v/>
      </c>
    </row>
    <row r="8512">
      <c r="A8512">
        <f>IFERROR(INDEX('Email Cleaner'!$B$2:$B$10001,MATCH(8511,'Email Cleaner'!$G$2:$G$10001,0)),"")</f>
        <v/>
      </c>
    </row>
    <row r="8513">
      <c r="A8513">
        <f>IFERROR(INDEX('Email Cleaner'!$B$2:$B$10001,MATCH(8512,'Email Cleaner'!$G$2:$G$10001,0)),"")</f>
        <v/>
      </c>
    </row>
    <row r="8514">
      <c r="A8514">
        <f>IFERROR(INDEX('Email Cleaner'!$B$2:$B$10001,MATCH(8513,'Email Cleaner'!$G$2:$G$10001,0)),"")</f>
        <v/>
      </c>
    </row>
    <row r="8515">
      <c r="A8515">
        <f>IFERROR(INDEX('Email Cleaner'!$B$2:$B$10001,MATCH(8514,'Email Cleaner'!$G$2:$G$10001,0)),"")</f>
        <v/>
      </c>
    </row>
    <row r="8516">
      <c r="A8516">
        <f>IFERROR(INDEX('Email Cleaner'!$B$2:$B$10001,MATCH(8515,'Email Cleaner'!$G$2:$G$10001,0)),"")</f>
        <v/>
      </c>
    </row>
    <row r="8517">
      <c r="A8517">
        <f>IFERROR(INDEX('Email Cleaner'!$B$2:$B$10001,MATCH(8516,'Email Cleaner'!$G$2:$G$10001,0)),"")</f>
        <v/>
      </c>
    </row>
    <row r="8518">
      <c r="A8518">
        <f>IFERROR(INDEX('Email Cleaner'!$B$2:$B$10001,MATCH(8517,'Email Cleaner'!$G$2:$G$10001,0)),"")</f>
        <v/>
      </c>
    </row>
    <row r="8519">
      <c r="A8519">
        <f>IFERROR(INDEX('Email Cleaner'!$B$2:$B$10001,MATCH(8518,'Email Cleaner'!$G$2:$G$10001,0)),"")</f>
        <v/>
      </c>
    </row>
    <row r="8520">
      <c r="A8520">
        <f>IFERROR(INDEX('Email Cleaner'!$B$2:$B$10001,MATCH(8519,'Email Cleaner'!$G$2:$G$10001,0)),"")</f>
        <v/>
      </c>
    </row>
    <row r="8521">
      <c r="A8521">
        <f>IFERROR(INDEX('Email Cleaner'!$B$2:$B$10001,MATCH(8520,'Email Cleaner'!$G$2:$G$10001,0)),"")</f>
        <v/>
      </c>
    </row>
    <row r="8522">
      <c r="A8522">
        <f>IFERROR(INDEX('Email Cleaner'!$B$2:$B$10001,MATCH(8521,'Email Cleaner'!$G$2:$G$10001,0)),"")</f>
        <v/>
      </c>
    </row>
    <row r="8523">
      <c r="A8523">
        <f>IFERROR(INDEX('Email Cleaner'!$B$2:$B$10001,MATCH(8522,'Email Cleaner'!$G$2:$G$10001,0)),"")</f>
        <v/>
      </c>
    </row>
    <row r="8524">
      <c r="A8524">
        <f>IFERROR(INDEX('Email Cleaner'!$B$2:$B$10001,MATCH(8523,'Email Cleaner'!$G$2:$G$10001,0)),"")</f>
        <v/>
      </c>
    </row>
    <row r="8525">
      <c r="A8525">
        <f>IFERROR(INDEX('Email Cleaner'!$B$2:$B$10001,MATCH(8524,'Email Cleaner'!$G$2:$G$10001,0)),"")</f>
        <v/>
      </c>
    </row>
    <row r="8526">
      <c r="A8526">
        <f>IFERROR(INDEX('Email Cleaner'!$B$2:$B$10001,MATCH(8525,'Email Cleaner'!$G$2:$G$10001,0)),"")</f>
        <v/>
      </c>
    </row>
    <row r="8527">
      <c r="A8527">
        <f>IFERROR(INDEX('Email Cleaner'!$B$2:$B$10001,MATCH(8526,'Email Cleaner'!$G$2:$G$10001,0)),"")</f>
        <v/>
      </c>
    </row>
    <row r="8528">
      <c r="A8528">
        <f>IFERROR(INDEX('Email Cleaner'!$B$2:$B$10001,MATCH(8527,'Email Cleaner'!$G$2:$G$10001,0)),"")</f>
        <v/>
      </c>
    </row>
    <row r="8529">
      <c r="A8529">
        <f>IFERROR(INDEX('Email Cleaner'!$B$2:$B$10001,MATCH(8528,'Email Cleaner'!$G$2:$G$10001,0)),"")</f>
        <v/>
      </c>
    </row>
    <row r="8530">
      <c r="A8530">
        <f>IFERROR(INDEX('Email Cleaner'!$B$2:$B$10001,MATCH(8529,'Email Cleaner'!$G$2:$G$10001,0)),"")</f>
        <v/>
      </c>
    </row>
    <row r="8531">
      <c r="A8531">
        <f>IFERROR(INDEX('Email Cleaner'!$B$2:$B$10001,MATCH(8530,'Email Cleaner'!$G$2:$G$10001,0)),"")</f>
        <v/>
      </c>
    </row>
    <row r="8532">
      <c r="A8532">
        <f>IFERROR(INDEX('Email Cleaner'!$B$2:$B$10001,MATCH(8531,'Email Cleaner'!$G$2:$G$10001,0)),"")</f>
        <v/>
      </c>
    </row>
    <row r="8533">
      <c r="A8533">
        <f>IFERROR(INDEX('Email Cleaner'!$B$2:$B$10001,MATCH(8532,'Email Cleaner'!$G$2:$G$10001,0)),"")</f>
        <v/>
      </c>
    </row>
    <row r="8534">
      <c r="A8534">
        <f>IFERROR(INDEX('Email Cleaner'!$B$2:$B$10001,MATCH(8533,'Email Cleaner'!$G$2:$G$10001,0)),"")</f>
        <v/>
      </c>
    </row>
    <row r="8535">
      <c r="A8535">
        <f>IFERROR(INDEX('Email Cleaner'!$B$2:$B$10001,MATCH(8534,'Email Cleaner'!$G$2:$G$10001,0)),"")</f>
        <v/>
      </c>
    </row>
    <row r="8536">
      <c r="A8536">
        <f>IFERROR(INDEX('Email Cleaner'!$B$2:$B$10001,MATCH(8535,'Email Cleaner'!$G$2:$G$10001,0)),"")</f>
        <v/>
      </c>
    </row>
    <row r="8537">
      <c r="A8537">
        <f>IFERROR(INDEX('Email Cleaner'!$B$2:$B$10001,MATCH(8536,'Email Cleaner'!$G$2:$G$10001,0)),"")</f>
        <v/>
      </c>
    </row>
    <row r="8538">
      <c r="A8538">
        <f>IFERROR(INDEX('Email Cleaner'!$B$2:$B$10001,MATCH(8537,'Email Cleaner'!$G$2:$G$10001,0)),"")</f>
        <v/>
      </c>
    </row>
    <row r="8539">
      <c r="A8539">
        <f>IFERROR(INDEX('Email Cleaner'!$B$2:$B$10001,MATCH(8538,'Email Cleaner'!$G$2:$G$10001,0)),"")</f>
        <v/>
      </c>
    </row>
    <row r="8540">
      <c r="A8540">
        <f>IFERROR(INDEX('Email Cleaner'!$B$2:$B$10001,MATCH(8539,'Email Cleaner'!$G$2:$G$10001,0)),"")</f>
        <v/>
      </c>
    </row>
    <row r="8541">
      <c r="A8541">
        <f>IFERROR(INDEX('Email Cleaner'!$B$2:$B$10001,MATCH(8540,'Email Cleaner'!$G$2:$G$10001,0)),"")</f>
        <v/>
      </c>
    </row>
    <row r="8542">
      <c r="A8542">
        <f>IFERROR(INDEX('Email Cleaner'!$B$2:$B$10001,MATCH(8541,'Email Cleaner'!$G$2:$G$10001,0)),"")</f>
        <v/>
      </c>
    </row>
    <row r="8543">
      <c r="A8543">
        <f>IFERROR(INDEX('Email Cleaner'!$B$2:$B$10001,MATCH(8542,'Email Cleaner'!$G$2:$G$10001,0)),"")</f>
        <v/>
      </c>
    </row>
    <row r="8544">
      <c r="A8544">
        <f>IFERROR(INDEX('Email Cleaner'!$B$2:$B$10001,MATCH(8543,'Email Cleaner'!$G$2:$G$10001,0)),"")</f>
        <v/>
      </c>
    </row>
    <row r="8545">
      <c r="A8545">
        <f>IFERROR(INDEX('Email Cleaner'!$B$2:$B$10001,MATCH(8544,'Email Cleaner'!$G$2:$G$10001,0)),"")</f>
        <v/>
      </c>
    </row>
    <row r="8546">
      <c r="A8546">
        <f>IFERROR(INDEX('Email Cleaner'!$B$2:$B$10001,MATCH(8545,'Email Cleaner'!$G$2:$G$10001,0)),"")</f>
        <v/>
      </c>
    </row>
    <row r="8547">
      <c r="A8547">
        <f>IFERROR(INDEX('Email Cleaner'!$B$2:$B$10001,MATCH(8546,'Email Cleaner'!$G$2:$G$10001,0)),"")</f>
        <v/>
      </c>
    </row>
    <row r="8548">
      <c r="A8548">
        <f>IFERROR(INDEX('Email Cleaner'!$B$2:$B$10001,MATCH(8547,'Email Cleaner'!$G$2:$G$10001,0)),"")</f>
        <v/>
      </c>
    </row>
    <row r="8549">
      <c r="A8549">
        <f>IFERROR(INDEX('Email Cleaner'!$B$2:$B$10001,MATCH(8548,'Email Cleaner'!$G$2:$G$10001,0)),"")</f>
        <v/>
      </c>
    </row>
    <row r="8550">
      <c r="A8550">
        <f>IFERROR(INDEX('Email Cleaner'!$B$2:$B$10001,MATCH(8549,'Email Cleaner'!$G$2:$G$10001,0)),"")</f>
        <v/>
      </c>
    </row>
    <row r="8551">
      <c r="A8551">
        <f>IFERROR(INDEX('Email Cleaner'!$B$2:$B$10001,MATCH(8550,'Email Cleaner'!$G$2:$G$10001,0)),"")</f>
        <v/>
      </c>
    </row>
    <row r="8552">
      <c r="A8552">
        <f>IFERROR(INDEX('Email Cleaner'!$B$2:$B$10001,MATCH(8551,'Email Cleaner'!$G$2:$G$10001,0)),"")</f>
        <v/>
      </c>
    </row>
    <row r="8553">
      <c r="A8553">
        <f>IFERROR(INDEX('Email Cleaner'!$B$2:$B$10001,MATCH(8552,'Email Cleaner'!$G$2:$G$10001,0)),"")</f>
        <v/>
      </c>
    </row>
    <row r="8554">
      <c r="A8554">
        <f>IFERROR(INDEX('Email Cleaner'!$B$2:$B$10001,MATCH(8553,'Email Cleaner'!$G$2:$G$10001,0)),"")</f>
        <v/>
      </c>
    </row>
    <row r="8555">
      <c r="A8555">
        <f>IFERROR(INDEX('Email Cleaner'!$B$2:$B$10001,MATCH(8554,'Email Cleaner'!$G$2:$G$10001,0)),"")</f>
        <v/>
      </c>
    </row>
    <row r="8556">
      <c r="A8556">
        <f>IFERROR(INDEX('Email Cleaner'!$B$2:$B$10001,MATCH(8555,'Email Cleaner'!$G$2:$G$10001,0)),"")</f>
        <v/>
      </c>
    </row>
    <row r="8557">
      <c r="A8557">
        <f>IFERROR(INDEX('Email Cleaner'!$B$2:$B$10001,MATCH(8556,'Email Cleaner'!$G$2:$G$10001,0)),"")</f>
        <v/>
      </c>
    </row>
    <row r="8558">
      <c r="A8558">
        <f>IFERROR(INDEX('Email Cleaner'!$B$2:$B$10001,MATCH(8557,'Email Cleaner'!$G$2:$G$10001,0)),"")</f>
        <v/>
      </c>
    </row>
    <row r="8559">
      <c r="A8559">
        <f>IFERROR(INDEX('Email Cleaner'!$B$2:$B$10001,MATCH(8558,'Email Cleaner'!$G$2:$G$10001,0)),"")</f>
        <v/>
      </c>
    </row>
    <row r="8560">
      <c r="A8560">
        <f>IFERROR(INDEX('Email Cleaner'!$B$2:$B$10001,MATCH(8559,'Email Cleaner'!$G$2:$G$10001,0)),"")</f>
        <v/>
      </c>
    </row>
    <row r="8561">
      <c r="A8561">
        <f>IFERROR(INDEX('Email Cleaner'!$B$2:$B$10001,MATCH(8560,'Email Cleaner'!$G$2:$G$10001,0)),"")</f>
        <v/>
      </c>
    </row>
    <row r="8562">
      <c r="A8562">
        <f>IFERROR(INDEX('Email Cleaner'!$B$2:$B$10001,MATCH(8561,'Email Cleaner'!$G$2:$G$10001,0)),"")</f>
        <v/>
      </c>
    </row>
    <row r="8563">
      <c r="A8563">
        <f>IFERROR(INDEX('Email Cleaner'!$B$2:$B$10001,MATCH(8562,'Email Cleaner'!$G$2:$G$10001,0)),"")</f>
        <v/>
      </c>
    </row>
    <row r="8564">
      <c r="A8564">
        <f>IFERROR(INDEX('Email Cleaner'!$B$2:$B$10001,MATCH(8563,'Email Cleaner'!$G$2:$G$10001,0)),"")</f>
        <v/>
      </c>
    </row>
    <row r="8565">
      <c r="A8565">
        <f>IFERROR(INDEX('Email Cleaner'!$B$2:$B$10001,MATCH(8564,'Email Cleaner'!$G$2:$G$10001,0)),"")</f>
        <v/>
      </c>
    </row>
    <row r="8566">
      <c r="A8566">
        <f>IFERROR(INDEX('Email Cleaner'!$B$2:$B$10001,MATCH(8565,'Email Cleaner'!$G$2:$G$10001,0)),"")</f>
        <v/>
      </c>
    </row>
    <row r="8567">
      <c r="A8567">
        <f>IFERROR(INDEX('Email Cleaner'!$B$2:$B$10001,MATCH(8566,'Email Cleaner'!$G$2:$G$10001,0)),"")</f>
        <v/>
      </c>
    </row>
    <row r="8568">
      <c r="A8568">
        <f>IFERROR(INDEX('Email Cleaner'!$B$2:$B$10001,MATCH(8567,'Email Cleaner'!$G$2:$G$10001,0)),"")</f>
        <v/>
      </c>
    </row>
    <row r="8569">
      <c r="A8569">
        <f>IFERROR(INDEX('Email Cleaner'!$B$2:$B$10001,MATCH(8568,'Email Cleaner'!$G$2:$G$10001,0)),"")</f>
        <v/>
      </c>
    </row>
    <row r="8570">
      <c r="A8570">
        <f>IFERROR(INDEX('Email Cleaner'!$B$2:$B$10001,MATCH(8569,'Email Cleaner'!$G$2:$G$10001,0)),"")</f>
        <v/>
      </c>
    </row>
    <row r="8571">
      <c r="A8571">
        <f>IFERROR(INDEX('Email Cleaner'!$B$2:$B$10001,MATCH(8570,'Email Cleaner'!$G$2:$G$10001,0)),"")</f>
        <v/>
      </c>
    </row>
    <row r="8572">
      <c r="A8572">
        <f>IFERROR(INDEX('Email Cleaner'!$B$2:$B$10001,MATCH(8571,'Email Cleaner'!$G$2:$G$10001,0)),"")</f>
        <v/>
      </c>
    </row>
    <row r="8573">
      <c r="A8573">
        <f>IFERROR(INDEX('Email Cleaner'!$B$2:$B$10001,MATCH(8572,'Email Cleaner'!$G$2:$G$10001,0)),"")</f>
        <v/>
      </c>
    </row>
    <row r="8574">
      <c r="A8574">
        <f>IFERROR(INDEX('Email Cleaner'!$B$2:$B$10001,MATCH(8573,'Email Cleaner'!$G$2:$G$10001,0)),"")</f>
        <v/>
      </c>
    </row>
    <row r="8575">
      <c r="A8575">
        <f>IFERROR(INDEX('Email Cleaner'!$B$2:$B$10001,MATCH(8574,'Email Cleaner'!$G$2:$G$10001,0)),"")</f>
        <v/>
      </c>
    </row>
    <row r="8576">
      <c r="A8576">
        <f>IFERROR(INDEX('Email Cleaner'!$B$2:$B$10001,MATCH(8575,'Email Cleaner'!$G$2:$G$10001,0)),"")</f>
        <v/>
      </c>
    </row>
    <row r="8577">
      <c r="A8577">
        <f>IFERROR(INDEX('Email Cleaner'!$B$2:$B$10001,MATCH(8576,'Email Cleaner'!$G$2:$G$10001,0)),"")</f>
        <v/>
      </c>
    </row>
    <row r="8578">
      <c r="A8578">
        <f>IFERROR(INDEX('Email Cleaner'!$B$2:$B$10001,MATCH(8577,'Email Cleaner'!$G$2:$G$10001,0)),"")</f>
        <v/>
      </c>
    </row>
    <row r="8579">
      <c r="A8579">
        <f>IFERROR(INDEX('Email Cleaner'!$B$2:$B$10001,MATCH(8578,'Email Cleaner'!$G$2:$G$10001,0)),"")</f>
        <v/>
      </c>
    </row>
    <row r="8580">
      <c r="A8580">
        <f>IFERROR(INDEX('Email Cleaner'!$B$2:$B$10001,MATCH(8579,'Email Cleaner'!$G$2:$G$10001,0)),"")</f>
        <v/>
      </c>
    </row>
    <row r="8581">
      <c r="A8581">
        <f>IFERROR(INDEX('Email Cleaner'!$B$2:$B$10001,MATCH(8580,'Email Cleaner'!$G$2:$G$10001,0)),"")</f>
        <v/>
      </c>
    </row>
    <row r="8582">
      <c r="A8582">
        <f>IFERROR(INDEX('Email Cleaner'!$B$2:$B$10001,MATCH(8581,'Email Cleaner'!$G$2:$G$10001,0)),"")</f>
        <v/>
      </c>
    </row>
    <row r="8583">
      <c r="A8583">
        <f>IFERROR(INDEX('Email Cleaner'!$B$2:$B$10001,MATCH(8582,'Email Cleaner'!$G$2:$G$10001,0)),"")</f>
        <v/>
      </c>
    </row>
    <row r="8584">
      <c r="A8584">
        <f>IFERROR(INDEX('Email Cleaner'!$B$2:$B$10001,MATCH(8583,'Email Cleaner'!$G$2:$G$10001,0)),"")</f>
        <v/>
      </c>
    </row>
    <row r="8585">
      <c r="A8585">
        <f>IFERROR(INDEX('Email Cleaner'!$B$2:$B$10001,MATCH(8584,'Email Cleaner'!$G$2:$G$10001,0)),"")</f>
        <v/>
      </c>
    </row>
    <row r="8586">
      <c r="A8586">
        <f>IFERROR(INDEX('Email Cleaner'!$B$2:$B$10001,MATCH(8585,'Email Cleaner'!$G$2:$G$10001,0)),"")</f>
        <v/>
      </c>
    </row>
    <row r="8587">
      <c r="A8587">
        <f>IFERROR(INDEX('Email Cleaner'!$B$2:$B$10001,MATCH(8586,'Email Cleaner'!$G$2:$G$10001,0)),"")</f>
        <v/>
      </c>
    </row>
    <row r="8588">
      <c r="A8588">
        <f>IFERROR(INDEX('Email Cleaner'!$B$2:$B$10001,MATCH(8587,'Email Cleaner'!$G$2:$G$10001,0)),"")</f>
        <v/>
      </c>
    </row>
    <row r="8589">
      <c r="A8589">
        <f>IFERROR(INDEX('Email Cleaner'!$B$2:$B$10001,MATCH(8588,'Email Cleaner'!$G$2:$G$10001,0)),"")</f>
        <v/>
      </c>
    </row>
    <row r="8590">
      <c r="A8590">
        <f>IFERROR(INDEX('Email Cleaner'!$B$2:$B$10001,MATCH(8589,'Email Cleaner'!$G$2:$G$10001,0)),"")</f>
        <v/>
      </c>
    </row>
    <row r="8591">
      <c r="A8591">
        <f>IFERROR(INDEX('Email Cleaner'!$B$2:$B$10001,MATCH(8590,'Email Cleaner'!$G$2:$G$10001,0)),"")</f>
        <v/>
      </c>
    </row>
    <row r="8592">
      <c r="A8592">
        <f>IFERROR(INDEX('Email Cleaner'!$B$2:$B$10001,MATCH(8591,'Email Cleaner'!$G$2:$G$10001,0)),"")</f>
        <v/>
      </c>
    </row>
    <row r="8593">
      <c r="A8593">
        <f>IFERROR(INDEX('Email Cleaner'!$B$2:$B$10001,MATCH(8592,'Email Cleaner'!$G$2:$G$10001,0)),"")</f>
        <v/>
      </c>
    </row>
    <row r="8594">
      <c r="A8594">
        <f>IFERROR(INDEX('Email Cleaner'!$B$2:$B$10001,MATCH(8593,'Email Cleaner'!$G$2:$G$10001,0)),"")</f>
        <v/>
      </c>
    </row>
    <row r="8595">
      <c r="A8595">
        <f>IFERROR(INDEX('Email Cleaner'!$B$2:$B$10001,MATCH(8594,'Email Cleaner'!$G$2:$G$10001,0)),"")</f>
        <v/>
      </c>
    </row>
    <row r="8596">
      <c r="A8596">
        <f>IFERROR(INDEX('Email Cleaner'!$B$2:$B$10001,MATCH(8595,'Email Cleaner'!$G$2:$G$10001,0)),"")</f>
        <v/>
      </c>
    </row>
    <row r="8597">
      <c r="A8597">
        <f>IFERROR(INDEX('Email Cleaner'!$B$2:$B$10001,MATCH(8596,'Email Cleaner'!$G$2:$G$10001,0)),"")</f>
        <v/>
      </c>
    </row>
    <row r="8598">
      <c r="A8598">
        <f>IFERROR(INDEX('Email Cleaner'!$B$2:$B$10001,MATCH(8597,'Email Cleaner'!$G$2:$G$10001,0)),"")</f>
        <v/>
      </c>
    </row>
    <row r="8599">
      <c r="A8599">
        <f>IFERROR(INDEX('Email Cleaner'!$B$2:$B$10001,MATCH(8598,'Email Cleaner'!$G$2:$G$10001,0)),"")</f>
        <v/>
      </c>
    </row>
    <row r="8600">
      <c r="A8600">
        <f>IFERROR(INDEX('Email Cleaner'!$B$2:$B$10001,MATCH(8599,'Email Cleaner'!$G$2:$G$10001,0)),"")</f>
        <v/>
      </c>
    </row>
    <row r="8601">
      <c r="A8601">
        <f>IFERROR(INDEX('Email Cleaner'!$B$2:$B$10001,MATCH(8600,'Email Cleaner'!$G$2:$G$10001,0)),"")</f>
        <v/>
      </c>
    </row>
    <row r="8602">
      <c r="A8602">
        <f>IFERROR(INDEX('Email Cleaner'!$B$2:$B$10001,MATCH(8601,'Email Cleaner'!$G$2:$G$10001,0)),"")</f>
        <v/>
      </c>
    </row>
    <row r="8603">
      <c r="A8603">
        <f>IFERROR(INDEX('Email Cleaner'!$B$2:$B$10001,MATCH(8602,'Email Cleaner'!$G$2:$G$10001,0)),"")</f>
        <v/>
      </c>
    </row>
    <row r="8604">
      <c r="A8604">
        <f>IFERROR(INDEX('Email Cleaner'!$B$2:$B$10001,MATCH(8603,'Email Cleaner'!$G$2:$G$10001,0)),"")</f>
        <v/>
      </c>
    </row>
    <row r="8605">
      <c r="A8605">
        <f>IFERROR(INDEX('Email Cleaner'!$B$2:$B$10001,MATCH(8604,'Email Cleaner'!$G$2:$G$10001,0)),"")</f>
        <v/>
      </c>
    </row>
    <row r="8606">
      <c r="A8606">
        <f>IFERROR(INDEX('Email Cleaner'!$B$2:$B$10001,MATCH(8605,'Email Cleaner'!$G$2:$G$10001,0)),"")</f>
        <v/>
      </c>
    </row>
    <row r="8607">
      <c r="A8607">
        <f>IFERROR(INDEX('Email Cleaner'!$B$2:$B$10001,MATCH(8606,'Email Cleaner'!$G$2:$G$10001,0)),"")</f>
        <v/>
      </c>
    </row>
    <row r="8608">
      <c r="A8608">
        <f>IFERROR(INDEX('Email Cleaner'!$B$2:$B$10001,MATCH(8607,'Email Cleaner'!$G$2:$G$10001,0)),"")</f>
        <v/>
      </c>
    </row>
    <row r="8609">
      <c r="A8609">
        <f>IFERROR(INDEX('Email Cleaner'!$B$2:$B$10001,MATCH(8608,'Email Cleaner'!$G$2:$G$10001,0)),"")</f>
        <v/>
      </c>
    </row>
    <row r="8610">
      <c r="A8610">
        <f>IFERROR(INDEX('Email Cleaner'!$B$2:$B$10001,MATCH(8609,'Email Cleaner'!$G$2:$G$10001,0)),"")</f>
        <v/>
      </c>
    </row>
    <row r="8611">
      <c r="A8611">
        <f>IFERROR(INDEX('Email Cleaner'!$B$2:$B$10001,MATCH(8610,'Email Cleaner'!$G$2:$G$10001,0)),"")</f>
        <v/>
      </c>
    </row>
    <row r="8612">
      <c r="A8612">
        <f>IFERROR(INDEX('Email Cleaner'!$B$2:$B$10001,MATCH(8611,'Email Cleaner'!$G$2:$G$10001,0)),"")</f>
        <v/>
      </c>
    </row>
    <row r="8613">
      <c r="A8613">
        <f>IFERROR(INDEX('Email Cleaner'!$B$2:$B$10001,MATCH(8612,'Email Cleaner'!$G$2:$G$10001,0)),"")</f>
        <v/>
      </c>
    </row>
    <row r="8614">
      <c r="A8614">
        <f>IFERROR(INDEX('Email Cleaner'!$B$2:$B$10001,MATCH(8613,'Email Cleaner'!$G$2:$G$10001,0)),"")</f>
        <v/>
      </c>
    </row>
    <row r="8615">
      <c r="A8615">
        <f>IFERROR(INDEX('Email Cleaner'!$B$2:$B$10001,MATCH(8614,'Email Cleaner'!$G$2:$G$10001,0)),"")</f>
        <v/>
      </c>
    </row>
    <row r="8616">
      <c r="A8616">
        <f>IFERROR(INDEX('Email Cleaner'!$B$2:$B$10001,MATCH(8615,'Email Cleaner'!$G$2:$G$10001,0)),"")</f>
        <v/>
      </c>
    </row>
    <row r="8617">
      <c r="A8617">
        <f>IFERROR(INDEX('Email Cleaner'!$B$2:$B$10001,MATCH(8616,'Email Cleaner'!$G$2:$G$10001,0)),"")</f>
        <v/>
      </c>
    </row>
    <row r="8618">
      <c r="A8618">
        <f>IFERROR(INDEX('Email Cleaner'!$B$2:$B$10001,MATCH(8617,'Email Cleaner'!$G$2:$G$10001,0)),"")</f>
        <v/>
      </c>
    </row>
    <row r="8619">
      <c r="A8619">
        <f>IFERROR(INDEX('Email Cleaner'!$B$2:$B$10001,MATCH(8618,'Email Cleaner'!$G$2:$G$10001,0)),"")</f>
        <v/>
      </c>
    </row>
    <row r="8620">
      <c r="A8620">
        <f>IFERROR(INDEX('Email Cleaner'!$B$2:$B$10001,MATCH(8619,'Email Cleaner'!$G$2:$G$10001,0)),"")</f>
        <v/>
      </c>
    </row>
    <row r="8621">
      <c r="A8621">
        <f>IFERROR(INDEX('Email Cleaner'!$B$2:$B$10001,MATCH(8620,'Email Cleaner'!$G$2:$G$10001,0)),"")</f>
        <v/>
      </c>
    </row>
    <row r="8622">
      <c r="A8622">
        <f>IFERROR(INDEX('Email Cleaner'!$B$2:$B$10001,MATCH(8621,'Email Cleaner'!$G$2:$G$10001,0)),"")</f>
        <v/>
      </c>
    </row>
    <row r="8623">
      <c r="A8623">
        <f>IFERROR(INDEX('Email Cleaner'!$B$2:$B$10001,MATCH(8622,'Email Cleaner'!$G$2:$G$10001,0)),"")</f>
        <v/>
      </c>
    </row>
    <row r="8624">
      <c r="A8624">
        <f>IFERROR(INDEX('Email Cleaner'!$B$2:$B$10001,MATCH(8623,'Email Cleaner'!$G$2:$G$10001,0)),"")</f>
        <v/>
      </c>
    </row>
    <row r="8625">
      <c r="A8625">
        <f>IFERROR(INDEX('Email Cleaner'!$B$2:$B$10001,MATCH(8624,'Email Cleaner'!$G$2:$G$10001,0)),"")</f>
        <v/>
      </c>
    </row>
    <row r="8626">
      <c r="A8626">
        <f>IFERROR(INDEX('Email Cleaner'!$B$2:$B$10001,MATCH(8625,'Email Cleaner'!$G$2:$G$10001,0)),"")</f>
        <v/>
      </c>
    </row>
    <row r="8627">
      <c r="A8627">
        <f>IFERROR(INDEX('Email Cleaner'!$B$2:$B$10001,MATCH(8626,'Email Cleaner'!$G$2:$G$10001,0)),"")</f>
        <v/>
      </c>
    </row>
    <row r="8628">
      <c r="A8628">
        <f>IFERROR(INDEX('Email Cleaner'!$B$2:$B$10001,MATCH(8627,'Email Cleaner'!$G$2:$G$10001,0)),"")</f>
        <v/>
      </c>
    </row>
    <row r="8629">
      <c r="A8629">
        <f>IFERROR(INDEX('Email Cleaner'!$B$2:$B$10001,MATCH(8628,'Email Cleaner'!$G$2:$G$10001,0)),"")</f>
        <v/>
      </c>
    </row>
    <row r="8630">
      <c r="A8630">
        <f>IFERROR(INDEX('Email Cleaner'!$B$2:$B$10001,MATCH(8629,'Email Cleaner'!$G$2:$G$10001,0)),"")</f>
        <v/>
      </c>
    </row>
    <row r="8631">
      <c r="A8631">
        <f>IFERROR(INDEX('Email Cleaner'!$B$2:$B$10001,MATCH(8630,'Email Cleaner'!$G$2:$G$10001,0)),"")</f>
        <v/>
      </c>
    </row>
    <row r="8632">
      <c r="A8632">
        <f>IFERROR(INDEX('Email Cleaner'!$B$2:$B$10001,MATCH(8631,'Email Cleaner'!$G$2:$G$10001,0)),"")</f>
        <v/>
      </c>
    </row>
    <row r="8633">
      <c r="A8633">
        <f>IFERROR(INDEX('Email Cleaner'!$B$2:$B$10001,MATCH(8632,'Email Cleaner'!$G$2:$G$10001,0)),"")</f>
        <v/>
      </c>
    </row>
    <row r="8634">
      <c r="A8634">
        <f>IFERROR(INDEX('Email Cleaner'!$B$2:$B$10001,MATCH(8633,'Email Cleaner'!$G$2:$G$10001,0)),"")</f>
        <v/>
      </c>
    </row>
    <row r="8635">
      <c r="A8635">
        <f>IFERROR(INDEX('Email Cleaner'!$B$2:$B$10001,MATCH(8634,'Email Cleaner'!$G$2:$G$10001,0)),"")</f>
        <v/>
      </c>
    </row>
    <row r="8636">
      <c r="A8636">
        <f>IFERROR(INDEX('Email Cleaner'!$B$2:$B$10001,MATCH(8635,'Email Cleaner'!$G$2:$G$10001,0)),"")</f>
        <v/>
      </c>
    </row>
    <row r="8637">
      <c r="A8637">
        <f>IFERROR(INDEX('Email Cleaner'!$B$2:$B$10001,MATCH(8636,'Email Cleaner'!$G$2:$G$10001,0)),"")</f>
        <v/>
      </c>
    </row>
    <row r="8638">
      <c r="A8638">
        <f>IFERROR(INDEX('Email Cleaner'!$B$2:$B$10001,MATCH(8637,'Email Cleaner'!$G$2:$G$10001,0)),"")</f>
        <v/>
      </c>
    </row>
    <row r="8639">
      <c r="A8639">
        <f>IFERROR(INDEX('Email Cleaner'!$B$2:$B$10001,MATCH(8638,'Email Cleaner'!$G$2:$G$10001,0)),"")</f>
        <v/>
      </c>
    </row>
    <row r="8640">
      <c r="A8640">
        <f>IFERROR(INDEX('Email Cleaner'!$B$2:$B$10001,MATCH(8639,'Email Cleaner'!$G$2:$G$10001,0)),"")</f>
        <v/>
      </c>
    </row>
    <row r="8641">
      <c r="A8641">
        <f>IFERROR(INDEX('Email Cleaner'!$B$2:$B$10001,MATCH(8640,'Email Cleaner'!$G$2:$G$10001,0)),"")</f>
        <v/>
      </c>
    </row>
    <row r="8642">
      <c r="A8642">
        <f>IFERROR(INDEX('Email Cleaner'!$B$2:$B$10001,MATCH(8641,'Email Cleaner'!$G$2:$G$10001,0)),"")</f>
        <v/>
      </c>
    </row>
    <row r="8643">
      <c r="A8643">
        <f>IFERROR(INDEX('Email Cleaner'!$B$2:$B$10001,MATCH(8642,'Email Cleaner'!$G$2:$G$10001,0)),"")</f>
        <v/>
      </c>
    </row>
    <row r="8644">
      <c r="A8644">
        <f>IFERROR(INDEX('Email Cleaner'!$B$2:$B$10001,MATCH(8643,'Email Cleaner'!$G$2:$G$10001,0)),"")</f>
        <v/>
      </c>
    </row>
    <row r="8645">
      <c r="A8645">
        <f>IFERROR(INDEX('Email Cleaner'!$B$2:$B$10001,MATCH(8644,'Email Cleaner'!$G$2:$G$10001,0)),"")</f>
        <v/>
      </c>
    </row>
    <row r="8646">
      <c r="A8646">
        <f>IFERROR(INDEX('Email Cleaner'!$B$2:$B$10001,MATCH(8645,'Email Cleaner'!$G$2:$G$10001,0)),"")</f>
        <v/>
      </c>
    </row>
    <row r="8647">
      <c r="A8647">
        <f>IFERROR(INDEX('Email Cleaner'!$B$2:$B$10001,MATCH(8646,'Email Cleaner'!$G$2:$G$10001,0)),"")</f>
        <v/>
      </c>
    </row>
    <row r="8648">
      <c r="A8648">
        <f>IFERROR(INDEX('Email Cleaner'!$B$2:$B$10001,MATCH(8647,'Email Cleaner'!$G$2:$G$10001,0)),"")</f>
        <v/>
      </c>
    </row>
    <row r="8649">
      <c r="A8649">
        <f>IFERROR(INDEX('Email Cleaner'!$B$2:$B$10001,MATCH(8648,'Email Cleaner'!$G$2:$G$10001,0)),"")</f>
        <v/>
      </c>
    </row>
    <row r="8650">
      <c r="A8650">
        <f>IFERROR(INDEX('Email Cleaner'!$B$2:$B$10001,MATCH(8649,'Email Cleaner'!$G$2:$G$10001,0)),"")</f>
        <v/>
      </c>
    </row>
    <row r="8651">
      <c r="A8651">
        <f>IFERROR(INDEX('Email Cleaner'!$B$2:$B$10001,MATCH(8650,'Email Cleaner'!$G$2:$G$10001,0)),"")</f>
        <v/>
      </c>
    </row>
    <row r="8652">
      <c r="A8652">
        <f>IFERROR(INDEX('Email Cleaner'!$B$2:$B$10001,MATCH(8651,'Email Cleaner'!$G$2:$G$10001,0)),"")</f>
        <v/>
      </c>
    </row>
    <row r="8653">
      <c r="A8653">
        <f>IFERROR(INDEX('Email Cleaner'!$B$2:$B$10001,MATCH(8652,'Email Cleaner'!$G$2:$G$10001,0)),"")</f>
        <v/>
      </c>
    </row>
    <row r="8654">
      <c r="A8654">
        <f>IFERROR(INDEX('Email Cleaner'!$B$2:$B$10001,MATCH(8653,'Email Cleaner'!$G$2:$G$10001,0)),"")</f>
        <v/>
      </c>
    </row>
    <row r="8655">
      <c r="A8655">
        <f>IFERROR(INDEX('Email Cleaner'!$B$2:$B$10001,MATCH(8654,'Email Cleaner'!$G$2:$G$10001,0)),"")</f>
        <v/>
      </c>
    </row>
    <row r="8656">
      <c r="A8656">
        <f>IFERROR(INDEX('Email Cleaner'!$B$2:$B$10001,MATCH(8655,'Email Cleaner'!$G$2:$G$10001,0)),"")</f>
        <v/>
      </c>
    </row>
    <row r="8657">
      <c r="A8657">
        <f>IFERROR(INDEX('Email Cleaner'!$B$2:$B$10001,MATCH(8656,'Email Cleaner'!$G$2:$G$10001,0)),"")</f>
        <v/>
      </c>
    </row>
    <row r="8658">
      <c r="A8658">
        <f>IFERROR(INDEX('Email Cleaner'!$B$2:$B$10001,MATCH(8657,'Email Cleaner'!$G$2:$G$10001,0)),"")</f>
        <v/>
      </c>
    </row>
    <row r="8659">
      <c r="A8659">
        <f>IFERROR(INDEX('Email Cleaner'!$B$2:$B$10001,MATCH(8658,'Email Cleaner'!$G$2:$G$10001,0)),"")</f>
        <v/>
      </c>
    </row>
    <row r="8660">
      <c r="A8660">
        <f>IFERROR(INDEX('Email Cleaner'!$B$2:$B$10001,MATCH(8659,'Email Cleaner'!$G$2:$G$10001,0)),"")</f>
        <v/>
      </c>
    </row>
    <row r="8661">
      <c r="A8661">
        <f>IFERROR(INDEX('Email Cleaner'!$B$2:$B$10001,MATCH(8660,'Email Cleaner'!$G$2:$G$10001,0)),"")</f>
        <v/>
      </c>
    </row>
    <row r="8662">
      <c r="A8662">
        <f>IFERROR(INDEX('Email Cleaner'!$B$2:$B$10001,MATCH(8661,'Email Cleaner'!$G$2:$G$10001,0)),"")</f>
        <v/>
      </c>
    </row>
    <row r="8663">
      <c r="A8663">
        <f>IFERROR(INDEX('Email Cleaner'!$B$2:$B$10001,MATCH(8662,'Email Cleaner'!$G$2:$G$10001,0)),"")</f>
        <v/>
      </c>
    </row>
    <row r="8664">
      <c r="A8664">
        <f>IFERROR(INDEX('Email Cleaner'!$B$2:$B$10001,MATCH(8663,'Email Cleaner'!$G$2:$G$10001,0)),"")</f>
        <v/>
      </c>
    </row>
    <row r="8665">
      <c r="A8665">
        <f>IFERROR(INDEX('Email Cleaner'!$B$2:$B$10001,MATCH(8664,'Email Cleaner'!$G$2:$G$10001,0)),"")</f>
        <v/>
      </c>
    </row>
    <row r="8666">
      <c r="A8666">
        <f>IFERROR(INDEX('Email Cleaner'!$B$2:$B$10001,MATCH(8665,'Email Cleaner'!$G$2:$G$10001,0)),"")</f>
        <v/>
      </c>
    </row>
    <row r="8667">
      <c r="A8667">
        <f>IFERROR(INDEX('Email Cleaner'!$B$2:$B$10001,MATCH(8666,'Email Cleaner'!$G$2:$G$10001,0)),"")</f>
        <v/>
      </c>
    </row>
    <row r="8668">
      <c r="A8668">
        <f>IFERROR(INDEX('Email Cleaner'!$B$2:$B$10001,MATCH(8667,'Email Cleaner'!$G$2:$G$10001,0)),"")</f>
        <v/>
      </c>
    </row>
    <row r="8669">
      <c r="A8669">
        <f>IFERROR(INDEX('Email Cleaner'!$B$2:$B$10001,MATCH(8668,'Email Cleaner'!$G$2:$G$10001,0)),"")</f>
        <v/>
      </c>
    </row>
    <row r="8670">
      <c r="A8670">
        <f>IFERROR(INDEX('Email Cleaner'!$B$2:$B$10001,MATCH(8669,'Email Cleaner'!$G$2:$G$10001,0)),"")</f>
        <v/>
      </c>
    </row>
    <row r="8671">
      <c r="A8671">
        <f>IFERROR(INDEX('Email Cleaner'!$B$2:$B$10001,MATCH(8670,'Email Cleaner'!$G$2:$G$10001,0)),"")</f>
        <v/>
      </c>
    </row>
    <row r="8672">
      <c r="A8672">
        <f>IFERROR(INDEX('Email Cleaner'!$B$2:$B$10001,MATCH(8671,'Email Cleaner'!$G$2:$G$10001,0)),"")</f>
        <v/>
      </c>
    </row>
    <row r="8673">
      <c r="A8673">
        <f>IFERROR(INDEX('Email Cleaner'!$B$2:$B$10001,MATCH(8672,'Email Cleaner'!$G$2:$G$10001,0)),"")</f>
        <v/>
      </c>
    </row>
    <row r="8674">
      <c r="A8674">
        <f>IFERROR(INDEX('Email Cleaner'!$B$2:$B$10001,MATCH(8673,'Email Cleaner'!$G$2:$G$10001,0)),"")</f>
        <v/>
      </c>
    </row>
    <row r="8675">
      <c r="A8675">
        <f>IFERROR(INDEX('Email Cleaner'!$B$2:$B$10001,MATCH(8674,'Email Cleaner'!$G$2:$G$10001,0)),"")</f>
        <v/>
      </c>
    </row>
    <row r="8676">
      <c r="A8676">
        <f>IFERROR(INDEX('Email Cleaner'!$B$2:$B$10001,MATCH(8675,'Email Cleaner'!$G$2:$G$10001,0)),"")</f>
        <v/>
      </c>
    </row>
    <row r="8677">
      <c r="A8677">
        <f>IFERROR(INDEX('Email Cleaner'!$B$2:$B$10001,MATCH(8676,'Email Cleaner'!$G$2:$G$10001,0)),"")</f>
        <v/>
      </c>
    </row>
    <row r="8678">
      <c r="A8678">
        <f>IFERROR(INDEX('Email Cleaner'!$B$2:$B$10001,MATCH(8677,'Email Cleaner'!$G$2:$G$10001,0)),"")</f>
        <v/>
      </c>
    </row>
    <row r="8679">
      <c r="A8679">
        <f>IFERROR(INDEX('Email Cleaner'!$B$2:$B$10001,MATCH(8678,'Email Cleaner'!$G$2:$G$10001,0)),"")</f>
        <v/>
      </c>
    </row>
    <row r="8680">
      <c r="A8680">
        <f>IFERROR(INDEX('Email Cleaner'!$B$2:$B$10001,MATCH(8679,'Email Cleaner'!$G$2:$G$10001,0)),"")</f>
        <v/>
      </c>
    </row>
    <row r="8681">
      <c r="A8681">
        <f>IFERROR(INDEX('Email Cleaner'!$B$2:$B$10001,MATCH(8680,'Email Cleaner'!$G$2:$G$10001,0)),"")</f>
        <v/>
      </c>
    </row>
    <row r="8682">
      <c r="A8682">
        <f>IFERROR(INDEX('Email Cleaner'!$B$2:$B$10001,MATCH(8681,'Email Cleaner'!$G$2:$G$10001,0)),"")</f>
        <v/>
      </c>
    </row>
    <row r="8683">
      <c r="A8683">
        <f>IFERROR(INDEX('Email Cleaner'!$B$2:$B$10001,MATCH(8682,'Email Cleaner'!$G$2:$G$10001,0)),"")</f>
        <v/>
      </c>
    </row>
    <row r="8684">
      <c r="A8684">
        <f>IFERROR(INDEX('Email Cleaner'!$B$2:$B$10001,MATCH(8683,'Email Cleaner'!$G$2:$G$10001,0)),"")</f>
        <v/>
      </c>
    </row>
    <row r="8685">
      <c r="A8685">
        <f>IFERROR(INDEX('Email Cleaner'!$B$2:$B$10001,MATCH(8684,'Email Cleaner'!$G$2:$G$10001,0)),"")</f>
        <v/>
      </c>
    </row>
    <row r="8686">
      <c r="A8686">
        <f>IFERROR(INDEX('Email Cleaner'!$B$2:$B$10001,MATCH(8685,'Email Cleaner'!$G$2:$G$10001,0)),"")</f>
        <v/>
      </c>
    </row>
    <row r="8687">
      <c r="A8687">
        <f>IFERROR(INDEX('Email Cleaner'!$B$2:$B$10001,MATCH(8686,'Email Cleaner'!$G$2:$G$10001,0)),"")</f>
        <v/>
      </c>
    </row>
    <row r="8688">
      <c r="A8688">
        <f>IFERROR(INDEX('Email Cleaner'!$B$2:$B$10001,MATCH(8687,'Email Cleaner'!$G$2:$G$10001,0)),"")</f>
        <v/>
      </c>
    </row>
    <row r="8689">
      <c r="A8689">
        <f>IFERROR(INDEX('Email Cleaner'!$B$2:$B$10001,MATCH(8688,'Email Cleaner'!$G$2:$G$10001,0)),"")</f>
        <v/>
      </c>
    </row>
    <row r="8690">
      <c r="A8690">
        <f>IFERROR(INDEX('Email Cleaner'!$B$2:$B$10001,MATCH(8689,'Email Cleaner'!$G$2:$G$10001,0)),"")</f>
        <v/>
      </c>
    </row>
    <row r="8691">
      <c r="A8691">
        <f>IFERROR(INDEX('Email Cleaner'!$B$2:$B$10001,MATCH(8690,'Email Cleaner'!$G$2:$G$10001,0)),"")</f>
        <v/>
      </c>
    </row>
    <row r="8692">
      <c r="A8692">
        <f>IFERROR(INDEX('Email Cleaner'!$B$2:$B$10001,MATCH(8691,'Email Cleaner'!$G$2:$G$10001,0)),"")</f>
        <v/>
      </c>
    </row>
    <row r="8693">
      <c r="A8693">
        <f>IFERROR(INDEX('Email Cleaner'!$B$2:$B$10001,MATCH(8692,'Email Cleaner'!$G$2:$G$10001,0)),"")</f>
        <v/>
      </c>
    </row>
    <row r="8694">
      <c r="A8694">
        <f>IFERROR(INDEX('Email Cleaner'!$B$2:$B$10001,MATCH(8693,'Email Cleaner'!$G$2:$G$10001,0)),"")</f>
        <v/>
      </c>
    </row>
    <row r="8695">
      <c r="A8695">
        <f>IFERROR(INDEX('Email Cleaner'!$B$2:$B$10001,MATCH(8694,'Email Cleaner'!$G$2:$G$10001,0)),"")</f>
        <v/>
      </c>
    </row>
    <row r="8696">
      <c r="A8696">
        <f>IFERROR(INDEX('Email Cleaner'!$B$2:$B$10001,MATCH(8695,'Email Cleaner'!$G$2:$G$10001,0)),"")</f>
        <v/>
      </c>
    </row>
    <row r="8697">
      <c r="A8697">
        <f>IFERROR(INDEX('Email Cleaner'!$B$2:$B$10001,MATCH(8696,'Email Cleaner'!$G$2:$G$10001,0)),"")</f>
        <v/>
      </c>
    </row>
    <row r="8698">
      <c r="A8698">
        <f>IFERROR(INDEX('Email Cleaner'!$B$2:$B$10001,MATCH(8697,'Email Cleaner'!$G$2:$G$10001,0)),"")</f>
        <v/>
      </c>
    </row>
    <row r="8699">
      <c r="A8699">
        <f>IFERROR(INDEX('Email Cleaner'!$B$2:$B$10001,MATCH(8698,'Email Cleaner'!$G$2:$G$10001,0)),"")</f>
        <v/>
      </c>
    </row>
    <row r="8700">
      <c r="A8700">
        <f>IFERROR(INDEX('Email Cleaner'!$B$2:$B$10001,MATCH(8699,'Email Cleaner'!$G$2:$G$10001,0)),"")</f>
        <v/>
      </c>
    </row>
    <row r="8701">
      <c r="A8701">
        <f>IFERROR(INDEX('Email Cleaner'!$B$2:$B$10001,MATCH(8700,'Email Cleaner'!$G$2:$G$10001,0)),"")</f>
        <v/>
      </c>
    </row>
    <row r="8702">
      <c r="A8702">
        <f>IFERROR(INDEX('Email Cleaner'!$B$2:$B$10001,MATCH(8701,'Email Cleaner'!$G$2:$G$10001,0)),"")</f>
        <v/>
      </c>
    </row>
    <row r="8703">
      <c r="A8703">
        <f>IFERROR(INDEX('Email Cleaner'!$B$2:$B$10001,MATCH(8702,'Email Cleaner'!$G$2:$G$10001,0)),"")</f>
        <v/>
      </c>
    </row>
    <row r="8704">
      <c r="A8704">
        <f>IFERROR(INDEX('Email Cleaner'!$B$2:$B$10001,MATCH(8703,'Email Cleaner'!$G$2:$G$10001,0)),"")</f>
        <v/>
      </c>
    </row>
    <row r="8705">
      <c r="A8705">
        <f>IFERROR(INDEX('Email Cleaner'!$B$2:$B$10001,MATCH(8704,'Email Cleaner'!$G$2:$G$10001,0)),"")</f>
        <v/>
      </c>
    </row>
    <row r="8706">
      <c r="A8706">
        <f>IFERROR(INDEX('Email Cleaner'!$B$2:$B$10001,MATCH(8705,'Email Cleaner'!$G$2:$G$10001,0)),"")</f>
        <v/>
      </c>
    </row>
    <row r="8707">
      <c r="A8707">
        <f>IFERROR(INDEX('Email Cleaner'!$B$2:$B$10001,MATCH(8706,'Email Cleaner'!$G$2:$G$10001,0)),"")</f>
        <v/>
      </c>
    </row>
    <row r="8708">
      <c r="A8708">
        <f>IFERROR(INDEX('Email Cleaner'!$B$2:$B$10001,MATCH(8707,'Email Cleaner'!$G$2:$G$10001,0)),"")</f>
        <v/>
      </c>
    </row>
    <row r="8709">
      <c r="A8709">
        <f>IFERROR(INDEX('Email Cleaner'!$B$2:$B$10001,MATCH(8708,'Email Cleaner'!$G$2:$G$10001,0)),"")</f>
        <v/>
      </c>
    </row>
    <row r="8710">
      <c r="A8710">
        <f>IFERROR(INDEX('Email Cleaner'!$B$2:$B$10001,MATCH(8709,'Email Cleaner'!$G$2:$G$10001,0)),"")</f>
        <v/>
      </c>
    </row>
    <row r="8711">
      <c r="A8711">
        <f>IFERROR(INDEX('Email Cleaner'!$B$2:$B$10001,MATCH(8710,'Email Cleaner'!$G$2:$G$10001,0)),"")</f>
        <v/>
      </c>
    </row>
    <row r="8712">
      <c r="A8712">
        <f>IFERROR(INDEX('Email Cleaner'!$B$2:$B$10001,MATCH(8711,'Email Cleaner'!$G$2:$G$10001,0)),"")</f>
        <v/>
      </c>
    </row>
    <row r="8713">
      <c r="A8713">
        <f>IFERROR(INDEX('Email Cleaner'!$B$2:$B$10001,MATCH(8712,'Email Cleaner'!$G$2:$G$10001,0)),"")</f>
        <v/>
      </c>
    </row>
    <row r="8714">
      <c r="A8714">
        <f>IFERROR(INDEX('Email Cleaner'!$B$2:$B$10001,MATCH(8713,'Email Cleaner'!$G$2:$G$10001,0)),"")</f>
        <v/>
      </c>
    </row>
    <row r="8715">
      <c r="A8715">
        <f>IFERROR(INDEX('Email Cleaner'!$B$2:$B$10001,MATCH(8714,'Email Cleaner'!$G$2:$G$10001,0)),"")</f>
        <v/>
      </c>
    </row>
    <row r="8716">
      <c r="A8716">
        <f>IFERROR(INDEX('Email Cleaner'!$B$2:$B$10001,MATCH(8715,'Email Cleaner'!$G$2:$G$10001,0)),"")</f>
        <v/>
      </c>
    </row>
    <row r="8717">
      <c r="A8717">
        <f>IFERROR(INDEX('Email Cleaner'!$B$2:$B$10001,MATCH(8716,'Email Cleaner'!$G$2:$G$10001,0)),"")</f>
        <v/>
      </c>
    </row>
    <row r="8718">
      <c r="A8718">
        <f>IFERROR(INDEX('Email Cleaner'!$B$2:$B$10001,MATCH(8717,'Email Cleaner'!$G$2:$G$10001,0)),"")</f>
        <v/>
      </c>
    </row>
    <row r="8719">
      <c r="A8719">
        <f>IFERROR(INDEX('Email Cleaner'!$B$2:$B$10001,MATCH(8718,'Email Cleaner'!$G$2:$G$10001,0)),"")</f>
        <v/>
      </c>
    </row>
    <row r="8720">
      <c r="A8720">
        <f>IFERROR(INDEX('Email Cleaner'!$B$2:$B$10001,MATCH(8719,'Email Cleaner'!$G$2:$G$10001,0)),"")</f>
        <v/>
      </c>
    </row>
    <row r="8721">
      <c r="A8721">
        <f>IFERROR(INDEX('Email Cleaner'!$B$2:$B$10001,MATCH(8720,'Email Cleaner'!$G$2:$G$10001,0)),"")</f>
        <v/>
      </c>
    </row>
    <row r="8722">
      <c r="A8722">
        <f>IFERROR(INDEX('Email Cleaner'!$B$2:$B$10001,MATCH(8721,'Email Cleaner'!$G$2:$G$10001,0)),"")</f>
        <v/>
      </c>
    </row>
    <row r="8723">
      <c r="A8723">
        <f>IFERROR(INDEX('Email Cleaner'!$B$2:$B$10001,MATCH(8722,'Email Cleaner'!$G$2:$G$10001,0)),"")</f>
        <v/>
      </c>
    </row>
    <row r="8724">
      <c r="A8724">
        <f>IFERROR(INDEX('Email Cleaner'!$B$2:$B$10001,MATCH(8723,'Email Cleaner'!$G$2:$G$10001,0)),"")</f>
        <v/>
      </c>
    </row>
    <row r="8725">
      <c r="A8725">
        <f>IFERROR(INDEX('Email Cleaner'!$B$2:$B$10001,MATCH(8724,'Email Cleaner'!$G$2:$G$10001,0)),"")</f>
        <v/>
      </c>
    </row>
    <row r="8726">
      <c r="A8726">
        <f>IFERROR(INDEX('Email Cleaner'!$B$2:$B$10001,MATCH(8725,'Email Cleaner'!$G$2:$G$10001,0)),"")</f>
        <v/>
      </c>
    </row>
    <row r="8727">
      <c r="A8727">
        <f>IFERROR(INDEX('Email Cleaner'!$B$2:$B$10001,MATCH(8726,'Email Cleaner'!$G$2:$G$10001,0)),"")</f>
        <v/>
      </c>
    </row>
    <row r="8728">
      <c r="A8728">
        <f>IFERROR(INDEX('Email Cleaner'!$B$2:$B$10001,MATCH(8727,'Email Cleaner'!$G$2:$G$10001,0)),"")</f>
        <v/>
      </c>
    </row>
    <row r="8729">
      <c r="A8729">
        <f>IFERROR(INDEX('Email Cleaner'!$B$2:$B$10001,MATCH(8728,'Email Cleaner'!$G$2:$G$10001,0)),"")</f>
        <v/>
      </c>
    </row>
    <row r="8730">
      <c r="A8730">
        <f>IFERROR(INDEX('Email Cleaner'!$B$2:$B$10001,MATCH(8729,'Email Cleaner'!$G$2:$G$10001,0)),"")</f>
        <v/>
      </c>
    </row>
    <row r="8731">
      <c r="A8731">
        <f>IFERROR(INDEX('Email Cleaner'!$B$2:$B$10001,MATCH(8730,'Email Cleaner'!$G$2:$G$10001,0)),"")</f>
        <v/>
      </c>
    </row>
    <row r="8732">
      <c r="A8732">
        <f>IFERROR(INDEX('Email Cleaner'!$B$2:$B$10001,MATCH(8731,'Email Cleaner'!$G$2:$G$10001,0)),"")</f>
        <v/>
      </c>
    </row>
    <row r="8733">
      <c r="A8733">
        <f>IFERROR(INDEX('Email Cleaner'!$B$2:$B$10001,MATCH(8732,'Email Cleaner'!$G$2:$G$10001,0)),"")</f>
        <v/>
      </c>
    </row>
    <row r="8734">
      <c r="A8734">
        <f>IFERROR(INDEX('Email Cleaner'!$B$2:$B$10001,MATCH(8733,'Email Cleaner'!$G$2:$G$10001,0)),"")</f>
        <v/>
      </c>
    </row>
    <row r="8735">
      <c r="A8735">
        <f>IFERROR(INDEX('Email Cleaner'!$B$2:$B$10001,MATCH(8734,'Email Cleaner'!$G$2:$G$10001,0)),"")</f>
        <v/>
      </c>
    </row>
    <row r="8736">
      <c r="A8736">
        <f>IFERROR(INDEX('Email Cleaner'!$B$2:$B$10001,MATCH(8735,'Email Cleaner'!$G$2:$G$10001,0)),"")</f>
        <v/>
      </c>
    </row>
    <row r="8737">
      <c r="A8737">
        <f>IFERROR(INDEX('Email Cleaner'!$B$2:$B$10001,MATCH(8736,'Email Cleaner'!$G$2:$G$10001,0)),"")</f>
        <v/>
      </c>
    </row>
    <row r="8738">
      <c r="A8738">
        <f>IFERROR(INDEX('Email Cleaner'!$B$2:$B$10001,MATCH(8737,'Email Cleaner'!$G$2:$G$10001,0)),"")</f>
        <v/>
      </c>
    </row>
    <row r="8739">
      <c r="A8739">
        <f>IFERROR(INDEX('Email Cleaner'!$B$2:$B$10001,MATCH(8738,'Email Cleaner'!$G$2:$G$10001,0)),"")</f>
        <v/>
      </c>
    </row>
    <row r="8740">
      <c r="A8740">
        <f>IFERROR(INDEX('Email Cleaner'!$B$2:$B$10001,MATCH(8739,'Email Cleaner'!$G$2:$G$10001,0)),"")</f>
        <v/>
      </c>
    </row>
    <row r="8741">
      <c r="A8741">
        <f>IFERROR(INDEX('Email Cleaner'!$B$2:$B$10001,MATCH(8740,'Email Cleaner'!$G$2:$G$10001,0)),"")</f>
        <v/>
      </c>
    </row>
    <row r="8742">
      <c r="A8742">
        <f>IFERROR(INDEX('Email Cleaner'!$B$2:$B$10001,MATCH(8741,'Email Cleaner'!$G$2:$G$10001,0)),"")</f>
        <v/>
      </c>
    </row>
    <row r="8743">
      <c r="A8743">
        <f>IFERROR(INDEX('Email Cleaner'!$B$2:$B$10001,MATCH(8742,'Email Cleaner'!$G$2:$G$10001,0)),"")</f>
        <v/>
      </c>
    </row>
    <row r="8744">
      <c r="A8744">
        <f>IFERROR(INDEX('Email Cleaner'!$B$2:$B$10001,MATCH(8743,'Email Cleaner'!$G$2:$G$10001,0)),"")</f>
        <v/>
      </c>
    </row>
    <row r="8745">
      <c r="A8745">
        <f>IFERROR(INDEX('Email Cleaner'!$B$2:$B$10001,MATCH(8744,'Email Cleaner'!$G$2:$G$10001,0)),"")</f>
        <v/>
      </c>
    </row>
    <row r="8746">
      <c r="A8746">
        <f>IFERROR(INDEX('Email Cleaner'!$B$2:$B$10001,MATCH(8745,'Email Cleaner'!$G$2:$G$10001,0)),"")</f>
        <v/>
      </c>
    </row>
    <row r="8747">
      <c r="A8747">
        <f>IFERROR(INDEX('Email Cleaner'!$B$2:$B$10001,MATCH(8746,'Email Cleaner'!$G$2:$G$10001,0)),"")</f>
        <v/>
      </c>
    </row>
    <row r="8748">
      <c r="A8748">
        <f>IFERROR(INDEX('Email Cleaner'!$B$2:$B$10001,MATCH(8747,'Email Cleaner'!$G$2:$G$10001,0)),"")</f>
        <v/>
      </c>
    </row>
    <row r="8749">
      <c r="A8749">
        <f>IFERROR(INDEX('Email Cleaner'!$B$2:$B$10001,MATCH(8748,'Email Cleaner'!$G$2:$G$10001,0)),"")</f>
        <v/>
      </c>
    </row>
    <row r="8750">
      <c r="A8750">
        <f>IFERROR(INDEX('Email Cleaner'!$B$2:$B$10001,MATCH(8749,'Email Cleaner'!$G$2:$G$10001,0)),"")</f>
        <v/>
      </c>
    </row>
    <row r="8751">
      <c r="A8751">
        <f>IFERROR(INDEX('Email Cleaner'!$B$2:$B$10001,MATCH(8750,'Email Cleaner'!$G$2:$G$10001,0)),"")</f>
        <v/>
      </c>
    </row>
    <row r="8752">
      <c r="A8752">
        <f>IFERROR(INDEX('Email Cleaner'!$B$2:$B$10001,MATCH(8751,'Email Cleaner'!$G$2:$G$10001,0)),"")</f>
        <v/>
      </c>
    </row>
    <row r="8753">
      <c r="A8753">
        <f>IFERROR(INDEX('Email Cleaner'!$B$2:$B$10001,MATCH(8752,'Email Cleaner'!$G$2:$G$10001,0)),"")</f>
        <v/>
      </c>
    </row>
    <row r="8754">
      <c r="A8754">
        <f>IFERROR(INDEX('Email Cleaner'!$B$2:$B$10001,MATCH(8753,'Email Cleaner'!$G$2:$G$10001,0)),"")</f>
        <v/>
      </c>
    </row>
    <row r="8755">
      <c r="A8755">
        <f>IFERROR(INDEX('Email Cleaner'!$B$2:$B$10001,MATCH(8754,'Email Cleaner'!$G$2:$G$10001,0)),"")</f>
        <v/>
      </c>
    </row>
    <row r="8756">
      <c r="A8756">
        <f>IFERROR(INDEX('Email Cleaner'!$B$2:$B$10001,MATCH(8755,'Email Cleaner'!$G$2:$G$10001,0)),"")</f>
        <v/>
      </c>
    </row>
    <row r="8757">
      <c r="A8757">
        <f>IFERROR(INDEX('Email Cleaner'!$B$2:$B$10001,MATCH(8756,'Email Cleaner'!$G$2:$G$10001,0)),"")</f>
        <v/>
      </c>
    </row>
    <row r="8758">
      <c r="A8758">
        <f>IFERROR(INDEX('Email Cleaner'!$B$2:$B$10001,MATCH(8757,'Email Cleaner'!$G$2:$G$10001,0)),"")</f>
        <v/>
      </c>
    </row>
    <row r="8759">
      <c r="A8759">
        <f>IFERROR(INDEX('Email Cleaner'!$B$2:$B$10001,MATCH(8758,'Email Cleaner'!$G$2:$G$10001,0)),"")</f>
        <v/>
      </c>
    </row>
    <row r="8760">
      <c r="A8760">
        <f>IFERROR(INDEX('Email Cleaner'!$B$2:$B$10001,MATCH(8759,'Email Cleaner'!$G$2:$G$10001,0)),"")</f>
        <v/>
      </c>
    </row>
    <row r="8761">
      <c r="A8761">
        <f>IFERROR(INDEX('Email Cleaner'!$B$2:$B$10001,MATCH(8760,'Email Cleaner'!$G$2:$G$10001,0)),"")</f>
        <v/>
      </c>
    </row>
    <row r="8762">
      <c r="A8762">
        <f>IFERROR(INDEX('Email Cleaner'!$B$2:$B$10001,MATCH(8761,'Email Cleaner'!$G$2:$G$10001,0)),"")</f>
        <v/>
      </c>
    </row>
    <row r="8763">
      <c r="A8763">
        <f>IFERROR(INDEX('Email Cleaner'!$B$2:$B$10001,MATCH(8762,'Email Cleaner'!$G$2:$G$10001,0)),"")</f>
        <v/>
      </c>
    </row>
    <row r="8764">
      <c r="A8764">
        <f>IFERROR(INDEX('Email Cleaner'!$B$2:$B$10001,MATCH(8763,'Email Cleaner'!$G$2:$G$10001,0)),"")</f>
        <v/>
      </c>
    </row>
    <row r="8765">
      <c r="A8765">
        <f>IFERROR(INDEX('Email Cleaner'!$B$2:$B$10001,MATCH(8764,'Email Cleaner'!$G$2:$G$10001,0)),"")</f>
        <v/>
      </c>
    </row>
    <row r="8766">
      <c r="A8766">
        <f>IFERROR(INDEX('Email Cleaner'!$B$2:$B$10001,MATCH(8765,'Email Cleaner'!$G$2:$G$10001,0)),"")</f>
        <v/>
      </c>
    </row>
    <row r="8767">
      <c r="A8767">
        <f>IFERROR(INDEX('Email Cleaner'!$B$2:$B$10001,MATCH(8766,'Email Cleaner'!$G$2:$G$10001,0)),"")</f>
        <v/>
      </c>
    </row>
    <row r="8768">
      <c r="A8768">
        <f>IFERROR(INDEX('Email Cleaner'!$B$2:$B$10001,MATCH(8767,'Email Cleaner'!$G$2:$G$10001,0)),"")</f>
        <v/>
      </c>
    </row>
    <row r="8769">
      <c r="A8769">
        <f>IFERROR(INDEX('Email Cleaner'!$B$2:$B$10001,MATCH(8768,'Email Cleaner'!$G$2:$G$10001,0)),"")</f>
        <v/>
      </c>
    </row>
    <row r="8770">
      <c r="A8770">
        <f>IFERROR(INDEX('Email Cleaner'!$B$2:$B$10001,MATCH(8769,'Email Cleaner'!$G$2:$G$10001,0)),"")</f>
        <v/>
      </c>
    </row>
    <row r="8771">
      <c r="A8771">
        <f>IFERROR(INDEX('Email Cleaner'!$B$2:$B$10001,MATCH(8770,'Email Cleaner'!$G$2:$G$10001,0)),"")</f>
        <v/>
      </c>
    </row>
    <row r="8772">
      <c r="A8772">
        <f>IFERROR(INDEX('Email Cleaner'!$B$2:$B$10001,MATCH(8771,'Email Cleaner'!$G$2:$G$10001,0)),"")</f>
        <v/>
      </c>
    </row>
    <row r="8773">
      <c r="A8773">
        <f>IFERROR(INDEX('Email Cleaner'!$B$2:$B$10001,MATCH(8772,'Email Cleaner'!$G$2:$G$10001,0)),"")</f>
        <v/>
      </c>
    </row>
    <row r="8774">
      <c r="A8774">
        <f>IFERROR(INDEX('Email Cleaner'!$B$2:$B$10001,MATCH(8773,'Email Cleaner'!$G$2:$G$10001,0)),"")</f>
        <v/>
      </c>
    </row>
    <row r="8775">
      <c r="A8775">
        <f>IFERROR(INDEX('Email Cleaner'!$B$2:$B$10001,MATCH(8774,'Email Cleaner'!$G$2:$G$10001,0)),"")</f>
        <v/>
      </c>
    </row>
    <row r="8776">
      <c r="A8776">
        <f>IFERROR(INDEX('Email Cleaner'!$B$2:$B$10001,MATCH(8775,'Email Cleaner'!$G$2:$G$10001,0)),"")</f>
        <v/>
      </c>
    </row>
    <row r="8777">
      <c r="A8777">
        <f>IFERROR(INDEX('Email Cleaner'!$B$2:$B$10001,MATCH(8776,'Email Cleaner'!$G$2:$G$10001,0)),"")</f>
        <v/>
      </c>
    </row>
    <row r="8778">
      <c r="A8778">
        <f>IFERROR(INDEX('Email Cleaner'!$B$2:$B$10001,MATCH(8777,'Email Cleaner'!$G$2:$G$10001,0)),"")</f>
        <v/>
      </c>
    </row>
    <row r="8779">
      <c r="A8779">
        <f>IFERROR(INDEX('Email Cleaner'!$B$2:$B$10001,MATCH(8778,'Email Cleaner'!$G$2:$G$10001,0)),"")</f>
        <v/>
      </c>
    </row>
    <row r="8780">
      <c r="A8780">
        <f>IFERROR(INDEX('Email Cleaner'!$B$2:$B$10001,MATCH(8779,'Email Cleaner'!$G$2:$G$10001,0)),"")</f>
        <v/>
      </c>
    </row>
    <row r="8781">
      <c r="A8781">
        <f>IFERROR(INDEX('Email Cleaner'!$B$2:$B$10001,MATCH(8780,'Email Cleaner'!$G$2:$G$10001,0)),"")</f>
        <v/>
      </c>
    </row>
    <row r="8782">
      <c r="A8782">
        <f>IFERROR(INDEX('Email Cleaner'!$B$2:$B$10001,MATCH(8781,'Email Cleaner'!$G$2:$G$10001,0)),"")</f>
        <v/>
      </c>
    </row>
    <row r="8783">
      <c r="A8783">
        <f>IFERROR(INDEX('Email Cleaner'!$B$2:$B$10001,MATCH(8782,'Email Cleaner'!$G$2:$G$10001,0)),"")</f>
        <v/>
      </c>
    </row>
    <row r="8784">
      <c r="A8784">
        <f>IFERROR(INDEX('Email Cleaner'!$B$2:$B$10001,MATCH(8783,'Email Cleaner'!$G$2:$G$10001,0)),"")</f>
        <v/>
      </c>
    </row>
    <row r="8785">
      <c r="A8785">
        <f>IFERROR(INDEX('Email Cleaner'!$B$2:$B$10001,MATCH(8784,'Email Cleaner'!$G$2:$G$10001,0)),"")</f>
        <v/>
      </c>
    </row>
    <row r="8786">
      <c r="A8786">
        <f>IFERROR(INDEX('Email Cleaner'!$B$2:$B$10001,MATCH(8785,'Email Cleaner'!$G$2:$G$10001,0)),"")</f>
        <v/>
      </c>
    </row>
    <row r="8787">
      <c r="A8787">
        <f>IFERROR(INDEX('Email Cleaner'!$B$2:$B$10001,MATCH(8786,'Email Cleaner'!$G$2:$G$10001,0)),"")</f>
        <v/>
      </c>
    </row>
    <row r="8788">
      <c r="A8788">
        <f>IFERROR(INDEX('Email Cleaner'!$B$2:$B$10001,MATCH(8787,'Email Cleaner'!$G$2:$G$10001,0)),"")</f>
        <v/>
      </c>
    </row>
    <row r="8789">
      <c r="A8789">
        <f>IFERROR(INDEX('Email Cleaner'!$B$2:$B$10001,MATCH(8788,'Email Cleaner'!$G$2:$G$10001,0)),"")</f>
        <v/>
      </c>
    </row>
    <row r="8790">
      <c r="A8790">
        <f>IFERROR(INDEX('Email Cleaner'!$B$2:$B$10001,MATCH(8789,'Email Cleaner'!$G$2:$G$10001,0)),"")</f>
        <v/>
      </c>
    </row>
    <row r="8791">
      <c r="A8791">
        <f>IFERROR(INDEX('Email Cleaner'!$B$2:$B$10001,MATCH(8790,'Email Cleaner'!$G$2:$G$10001,0)),"")</f>
        <v/>
      </c>
    </row>
    <row r="8792">
      <c r="A8792">
        <f>IFERROR(INDEX('Email Cleaner'!$B$2:$B$10001,MATCH(8791,'Email Cleaner'!$G$2:$G$10001,0)),"")</f>
        <v/>
      </c>
    </row>
    <row r="8793">
      <c r="A8793">
        <f>IFERROR(INDEX('Email Cleaner'!$B$2:$B$10001,MATCH(8792,'Email Cleaner'!$G$2:$G$10001,0)),"")</f>
        <v/>
      </c>
    </row>
    <row r="8794">
      <c r="A8794">
        <f>IFERROR(INDEX('Email Cleaner'!$B$2:$B$10001,MATCH(8793,'Email Cleaner'!$G$2:$G$10001,0)),"")</f>
        <v/>
      </c>
    </row>
    <row r="8795">
      <c r="A8795">
        <f>IFERROR(INDEX('Email Cleaner'!$B$2:$B$10001,MATCH(8794,'Email Cleaner'!$G$2:$G$10001,0)),"")</f>
        <v/>
      </c>
    </row>
    <row r="8796">
      <c r="A8796">
        <f>IFERROR(INDEX('Email Cleaner'!$B$2:$B$10001,MATCH(8795,'Email Cleaner'!$G$2:$G$10001,0)),"")</f>
        <v/>
      </c>
    </row>
    <row r="8797">
      <c r="A8797">
        <f>IFERROR(INDEX('Email Cleaner'!$B$2:$B$10001,MATCH(8796,'Email Cleaner'!$G$2:$G$10001,0)),"")</f>
        <v/>
      </c>
    </row>
    <row r="8798">
      <c r="A8798">
        <f>IFERROR(INDEX('Email Cleaner'!$B$2:$B$10001,MATCH(8797,'Email Cleaner'!$G$2:$G$10001,0)),"")</f>
        <v/>
      </c>
    </row>
    <row r="8799">
      <c r="A8799">
        <f>IFERROR(INDEX('Email Cleaner'!$B$2:$B$10001,MATCH(8798,'Email Cleaner'!$G$2:$G$10001,0)),"")</f>
        <v/>
      </c>
    </row>
    <row r="8800">
      <c r="A8800">
        <f>IFERROR(INDEX('Email Cleaner'!$B$2:$B$10001,MATCH(8799,'Email Cleaner'!$G$2:$G$10001,0)),"")</f>
        <v/>
      </c>
    </row>
    <row r="8801">
      <c r="A8801">
        <f>IFERROR(INDEX('Email Cleaner'!$B$2:$B$10001,MATCH(8800,'Email Cleaner'!$G$2:$G$10001,0)),"")</f>
        <v/>
      </c>
    </row>
    <row r="8802">
      <c r="A8802">
        <f>IFERROR(INDEX('Email Cleaner'!$B$2:$B$10001,MATCH(8801,'Email Cleaner'!$G$2:$G$10001,0)),"")</f>
        <v/>
      </c>
    </row>
    <row r="8803">
      <c r="A8803">
        <f>IFERROR(INDEX('Email Cleaner'!$B$2:$B$10001,MATCH(8802,'Email Cleaner'!$G$2:$G$10001,0)),"")</f>
        <v/>
      </c>
    </row>
    <row r="8804">
      <c r="A8804">
        <f>IFERROR(INDEX('Email Cleaner'!$B$2:$B$10001,MATCH(8803,'Email Cleaner'!$G$2:$G$10001,0)),"")</f>
        <v/>
      </c>
    </row>
    <row r="8805">
      <c r="A8805">
        <f>IFERROR(INDEX('Email Cleaner'!$B$2:$B$10001,MATCH(8804,'Email Cleaner'!$G$2:$G$10001,0)),"")</f>
        <v/>
      </c>
    </row>
    <row r="8806">
      <c r="A8806">
        <f>IFERROR(INDEX('Email Cleaner'!$B$2:$B$10001,MATCH(8805,'Email Cleaner'!$G$2:$G$10001,0)),"")</f>
        <v/>
      </c>
    </row>
    <row r="8807">
      <c r="A8807">
        <f>IFERROR(INDEX('Email Cleaner'!$B$2:$B$10001,MATCH(8806,'Email Cleaner'!$G$2:$G$10001,0)),"")</f>
        <v/>
      </c>
    </row>
    <row r="8808">
      <c r="A8808">
        <f>IFERROR(INDEX('Email Cleaner'!$B$2:$B$10001,MATCH(8807,'Email Cleaner'!$G$2:$G$10001,0)),"")</f>
        <v/>
      </c>
    </row>
    <row r="8809">
      <c r="A8809">
        <f>IFERROR(INDEX('Email Cleaner'!$B$2:$B$10001,MATCH(8808,'Email Cleaner'!$G$2:$G$10001,0)),"")</f>
        <v/>
      </c>
    </row>
    <row r="8810">
      <c r="A8810">
        <f>IFERROR(INDEX('Email Cleaner'!$B$2:$B$10001,MATCH(8809,'Email Cleaner'!$G$2:$G$10001,0)),"")</f>
        <v/>
      </c>
    </row>
    <row r="8811">
      <c r="A8811">
        <f>IFERROR(INDEX('Email Cleaner'!$B$2:$B$10001,MATCH(8810,'Email Cleaner'!$G$2:$G$10001,0)),"")</f>
        <v/>
      </c>
    </row>
    <row r="8812">
      <c r="A8812">
        <f>IFERROR(INDEX('Email Cleaner'!$B$2:$B$10001,MATCH(8811,'Email Cleaner'!$G$2:$G$10001,0)),"")</f>
        <v/>
      </c>
    </row>
    <row r="8813">
      <c r="A8813">
        <f>IFERROR(INDEX('Email Cleaner'!$B$2:$B$10001,MATCH(8812,'Email Cleaner'!$G$2:$G$10001,0)),"")</f>
        <v/>
      </c>
    </row>
    <row r="8814">
      <c r="A8814">
        <f>IFERROR(INDEX('Email Cleaner'!$B$2:$B$10001,MATCH(8813,'Email Cleaner'!$G$2:$G$10001,0)),"")</f>
        <v/>
      </c>
    </row>
    <row r="8815">
      <c r="A8815">
        <f>IFERROR(INDEX('Email Cleaner'!$B$2:$B$10001,MATCH(8814,'Email Cleaner'!$G$2:$G$10001,0)),"")</f>
        <v/>
      </c>
    </row>
    <row r="8816">
      <c r="A8816">
        <f>IFERROR(INDEX('Email Cleaner'!$B$2:$B$10001,MATCH(8815,'Email Cleaner'!$G$2:$G$10001,0)),"")</f>
        <v/>
      </c>
    </row>
    <row r="8817">
      <c r="A8817">
        <f>IFERROR(INDEX('Email Cleaner'!$B$2:$B$10001,MATCH(8816,'Email Cleaner'!$G$2:$G$10001,0)),"")</f>
        <v/>
      </c>
    </row>
    <row r="8818">
      <c r="A8818">
        <f>IFERROR(INDEX('Email Cleaner'!$B$2:$B$10001,MATCH(8817,'Email Cleaner'!$G$2:$G$10001,0)),"")</f>
        <v/>
      </c>
    </row>
    <row r="8819">
      <c r="A8819">
        <f>IFERROR(INDEX('Email Cleaner'!$B$2:$B$10001,MATCH(8818,'Email Cleaner'!$G$2:$G$10001,0)),"")</f>
        <v/>
      </c>
    </row>
    <row r="8820">
      <c r="A8820">
        <f>IFERROR(INDEX('Email Cleaner'!$B$2:$B$10001,MATCH(8819,'Email Cleaner'!$G$2:$G$10001,0)),"")</f>
        <v/>
      </c>
    </row>
    <row r="8821">
      <c r="A8821">
        <f>IFERROR(INDEX('Email Cleaner'!$B$2:$B$10001,MATCH(8820,'Email Cleaner'!$G$2:$G$10001,0)),"")</f>
        <v/>
      </c>
    </row>
    <row r="8822">
      <c r="A8822">
        <f>IFERROR(INDEX('Email Cleaner'!$B$2:$B$10001,MATCH(8821,'Email Cleaner'!$G$2:$G$10001,0)),"")</f>
        <v/>
      </c>
    </row>
    <row r="8823">
      <c r="A8823">
        <f>IFERROR(INDEX('Email Cleaner'!$B$2:$B$10001,MATCH(8822,'Email Cleaner'!$G$2:$G$10001,0)),"")</f>
        <v/>
      </c>
    </row>
    <row r="8824">
      <c r="A8824">
        <f>IFERROR(INDEX('Email Cleaner'!$B$2:$B$10001,MATCH(8823,'Email Cleaner'!$G$2:$G$10001,0)),"")</f>
        <v/>
      </c>
    </row>
    <row r="8825">
      <c r="A8825">
        <f>IFERROR(INDEX('Email Cleaner'!$B$2:$B$10001,MATCH(8824,'Email Cleaner'!$G$2:$G$10001,0)),"")</f>
        <v/>
      </c>
    </row>
    <row r="8826">
      <c r="A8826">
        <f>IFERROR(INDEX('Email Cleaner'!$B$2:$B$10001,MATCH(8825,'Email Cleaner'!$G$2:$G$10001,0)),"")</f>
        <v/>
      </c>
    </row>
    <row r="8827">
      <c r="A8827">
        <f>IFERROR(INDEX('Email Cleaner'!$B$2:$B$10001,MATCH(8826,'Email Cleaner'!$G$2:$G$10001,0)),"")</f>
        <v/>
      </c>
    </row>
    <row r="8828">
      <c r="A8828">
        <f>IFERROR(INDEX('Email Cleaner'!$B$2:$B$10001,MATCH(8827,'Email Cleaner'!$G$2:$G$10001,0)),"")</f>
        <v/>
      </c>
    </row>
    <row r="8829">
      <c r="A8829">
        <f>IFERROR(INDEX('Email Cleaner'!$B$2:$B$10001,MATCH(8828,'Email Cleaner'!$G$2:$G$10001,0)),"")</f>
        <v/>
      </c>
    </row>
    <row r="8830">
      <c r="A8830">
        <f>IFERROR(INDEX('Email Cleaner'!$B$2:$B$10001,MATCH(8829,'Email Cleaner'!$G$2:$G$10001,0)),"")</f>
        <v/>
      </c>
    </row>
    <row r="8831">
      <c r="A8831">
        <f>IFERROR(INDEX('Email Cleaner'!$B$2:$B$10001,MATCH(8830,'Email Cleaner'!$G$2:$G$10001,0)),"")</f>
        <v/>
      </c>
    </row>
    <row r="8832">
      <c r="A8832">
        <f>IFERROR(INDEX('Email Cleaner'!$B$2:$B$10001,MATCH(8831,'Email Cleaner'!$G$2:$G$10001,0)),"")</f>
        <v/>
      </c>
    </row>
    <row r="8833">
      <c r="A8833">
        <f>IFERROR(INDEX('Email Cleaner'!$B$2:$B$10001,MATCH(8832,'Email Cleaner'!$G$2:$G$10001,0)),"")</f>
        <v/>
      </c>
    </row>
    <row r="8834">
      <c r="A8834">
        <f>IFERROR(INDEX('Email Cleaner'!$B$2:$B$10001,MATCH(8833,'Email Cleaner'!$G$2:$G$10001,0)),"")</f>
        <v/>
      </c>
    </row>
    <row r="8835">
      <c r="A8835">
        <f>IFERROR(INDEX('Email Cleaner'!$B$2:$B$10001,MATCH(8834,'Email Cleaner'!$G$2:$G$10001,0)),"")</f>
        <v/>
      </c>
    </row>
    <row r="8836">
      <c r="A8836">
        <f>IFERROR(INDEX('Email Cleaner'!$B$2:$B$10001,MATCH(8835,'Email Cleaner'!$G$2:$G$10001,0)),"")</f>
        <v/>
      </c>
    </row>
    <row r="8837">
      <c r="A8837">
        <f>IFERROR(INDEX('Email Cleaner'!$B$2:$B$10001,MATCH(8836,'Email Cleaner'!$G$2:$G$10001,0)),"")</f>
        <v/>
      </c>
    </row>
    <row r="8838">
      <c r="A8838">
        <f>IFERROR(INDEX('Email Cleaner'!$B$2:$B$10001,MATCH(8837,'Email Cleaner'!$G$2:$G$10001,0)),"")</f>
        <v/>
      </c>
    </row>
    <row r="8839">
      <c r="A8839">
        <f>IFERROR(INDEX('Email Cleaner'!$B$2:$B$10001,MATCH(8838,'Email Cleaner'!$G$2:$G$10001,0)),"")</f>
        <v/>
      </c>
    </row>
    <row r="8840">
      <c r="A8840">
        <f>IFERROR(INDEX('Email Cleaner'!$B$2:$B$10001,MATCH(8839,'Email Cleaner'!$G$2:$G$10001,0)),"")</f>
        <v/>
      </c>
    </row>
    <row r="8841">
      <c r="A8841">
        <f>IFERROR(INDEX('Email Cleaner'!$B$2:$B$10001,MATCH(8840,'Email Cleaner'!$G$2:$G$10001,0)),"")</f>
        <v/>
      </c>
    </row>
    <row r="8842">
      <c r="A8842">
        <f>IFERROR(INDEX('Email Cleaner'!$B$2:$B$10001,MATCH(8841,'Email Cleaner'!$G$2:$G$10001,0)),"")</f>
        <v/>
      </c>
    </row>
    <row r="8843">
      <c r="A8843">
        <f>IFERROR(INDEX('Email Cleaner'!$B$2:$B$10001,MATCH(8842,'Email Cleaner'!$G$2:$G$10001,0)),"")</f>
        <v/>
      </c>
    </row>
    <row r="8844">
      <c r="A8844">
        <f>IFERROR(INDEX('Email Cleaner'!$B$2:$B$10001,MATCH(8843,'Email Cleaner'!$G$2:$G$10001,0)),"")</f>
        <v/>
      </c>
    </row>
    <row r="8845">
      <c r="A8845">
        <f>IFERROR(INDEX('Email Cleaner'!$B$2:$B$10001,MATCH(8844,'Email Cleaner'!$G$2:$G$10001,0)),"")</f>
        <v/>
      </c>
    </row>
    <row r="8846">
      <c r="A8846">
        <f>IFERROR(INDEX('Email Cleaner'!$B$2:$B$10001,MATCH(8845,'Email Cleaner'!$G$2:$G$10001,0)),"")</f>
        <v/>
      </c>
    </row>
    <row r="8847">
      <c r="A8847">
        <f>IFERROR(INDEX('Email Cleaner'!$B$2:$B$10001,MATCH(8846,'Email Cleaner'!$G$2:$G$10001,0)),"")</f>
        <v/>
      </c>
    </row>
    <row r="8848">
      <c r="A8848">
        <f>IFERROR(INDEX('Email Cleaner'!$B$2:$B$10001,MATCH(8847,'Email Cleaner'!$G$2:$G$10001,0)),"")</f>
        <v/>
      </c>
    </row>
    <row r="8849">
      <c r="A8849">
        <f>IFERROR(INDEX('Email Cleaner'!$B$2:$B$10001,MATCH(8848,'Email Cleaner'!$G$2:$G$10001,0)),"")</f>
        <v/>
      </c>
    </row>
    <row r="8850">
      <c r="A8850">
        <f>IFERROR(INDEX('Email Cleaner'!$B$2:$B$10001,MATCH(8849,'Email Cleaner'!$G$2:$G$10001,0)),"")</f>
        <v/>
      </c>
    </row>
    <row r="8851">
      <c r="A8851">
        <f>IFERROR(INDEX('Email Cleaner'!$B$2:$B$10001,MATCH(8850,'Email Cleaner'!$G$2:$G$10001,0)),"")</f>
        <v/>
      </c>
    </row>
    <row r="8852">
      <c r="A8852">
        <f>IFERROR(INDEX('Email Cleaner'!$B$2:$B$10001,MATCH(8851,'Email Cleaner'!$G$2:$G$10001,0)),"")</f>
        <v/>
      </c>
    </row>
    <row r="8853">
      <c r="A8853">
        <f>IFERROR(INDEX('Email Cleaner'!$B$2:$B$10001,MATCH(8852,'Email Cleaner'!$G$2:$G$10001,0)),"")</f>
        <v/>
      </c>
    </row>
    <row r="8854">
      <c r="A8854">
        <f>IFERROR(INDEX('Email Cleaner'!$B$2:$B$10001,MATCH(8853,'Email Cleaner'!$G$2:$G$10001,0)),"")</f>
        <v/>
      </c>
    </row>
    <row r="8855">
      <c r="A8855">
        <f>IFERROR(INDEX('Email Cleaner'!$B$2:$B$10001,MATCH(8854,'Email Cleaner'!$G$2:$G$10001,0)),"")</f>
        <v/>
      </c>
    </row>
    <row r="8856">
      <c r="A8856">
        <f>IFERROR(INDEX('Email Cleaner'!$B$2:$B$10001,MATCH(8855,'Email Cleaner'!$G$2:$G$10001,0)),"")</f>
        <v/>
      </c>
    </row>
    <row r="8857">
      <c r="A8857">
        <f>IFERROR(INDEX('Email Cleaner'!$B$2:$B$10001,MATCH(8856,'Email Cleaner'!$G$2:$G$10001,0)),"")</f>
        <v/>
      </c>
    </row>
    <row r="8858">
      <c r="A8858">
        <f>IFERROR(INDEX('Email Cleaner'!$B$2:$B$10001,MATCH(8857,'Email Cleaner'!$G$2:$G$10001,0)),"")</f>
        <v/>
      </c>
    </row>
    <row r="8859">
      <c r="A8859">
        <f>IFERROR(INDEX('Email Cleaner'!$B$2:$B$10001,MATCH(8858,'Email Cleaner'!$G$2:$G$10001,0)),"")</f>
        <v/>
      </c>
    </row>
    <row r="8860">
      <c r="A8860">
        <f>IFERROR(INDEX('Email Cleaner'!$B$2:$B$10001,MATCH(8859,'Email Cleaner'!$G$2:$G$10001,0)),"")</f>
        <v/>
      </c>
    </row>
    <row r="8861">
      <c r="A8861">
        <f>IFERROR(INDEX('Email Cleaner'!$B$2:$B$10001,MATCH(8860,'Email Cleaner'!$G$2:$G$10001,0)),"")</f>
        <v/>
      </c>
    </row>
    <row r="8862">
      <c r="A8862">
        <f>IFERROR(INDEX('Email Cleaner'!$B$2:$B$10001,MATCH(8861,'Email Cleaner'!$G$2:$G$10001,0)),"")</f>
        <v/>
      </c>
    </row>
    <row r="8863">
      <c r="A8863">
        <f>IFERROR(INDEX('Email Cleaner'!$B$2:$B$10001,MATCH(8862,'Email Cleaner'!$G$2:$G$10001,0)),"")</f>
        <v/>
      </c>
    </row>
    <row r="8864">
      <c r="A8864">
        <f>IFERROR(INDEX('Email Cleaner'!$B$2:$B$10001,MATCH(8863,'Email Cleaner'!$G$2:$G$10001,0)),"")</f>
        <v/>
      </c>
    </row>
    <row r="8865">
      <c r="A8865">
        <f>IFERROR(INDEX('Email Cleaner'!$B$2:$B$10001,MATCH(8864,'Email Cleaner'!$G$2:$G$10001,0)),"")</f>
        <v/>
      </c>
    </row>
    <row r="8866">
      <c r="A8866">
        <f>IFERROR(INDEX('Email Cleaner'!$B$2:$B$10001,MATCH(8865,'Email Cleaner'!$G$2:$G$10001,0)),"")</f>
        <v/>
      </c>
    </row>
    <row r="8867">
      <c r="A8867">
        <f>IFERROR(INDEX('Email Cleaner'!$B$2:$B$10001,MATCH(8866,'Email Cleaner'!$G$2:$G$10001,0)),"")</f>
        <v/>
      </c>
    </row>
    <row r="8868">
      <c r="A8868">
        <f>IFERROR(INDEX('Email Cleaner'!$B$2:$B$10001,MATCH(8867,'Email Cleaner'!$G$2:$G$10001,0)),"")</f>
        <v/>
      </c>
    </row>
    <row r="8869">
      <c r="A8869">
        <f>IFERROR(INDEX('Email Cleaner'!$B$2:$B$10001,MATCH(8868,'Email Cleaner'!$G$2:$G$10001,0)),"")</f>
        <v/>
      </c>
    </row>
    <row r="8870">
      <c r="A8870">
        <f>IFERROR(INDEX('Email Cleaner'!$B$2:$B$10001,MATCH(8869,'Email Cleaner'!$G$2:$G$10001,0)),"")</f>
        <v/>
      </c>
    </row>
    <row r="8871">
      <c r="A8871">
        <f>IFERROR(INDEX('Email Cleaner'!$B$2:$B$10001,MATCH(8870,'Email Cleaner'!$G$2:$G$10001,0)),"")</f>
        <v/>
      </c>
    </row>
    <row r="8872">
      <c r="A8872">
        <f>IFERROR(INDEX('Email Cleaner'!$B$2:$B$10001,MATCH(8871,'Email Cleaner'!$G$2:$G$10001,0)),"")</f>
        <v/>
      </c>
    </row>
    <row r="8873">
      <c r="A8873">
        <f>IFERROR(INDEX('Email Cleaner'!$B$2:$B$10001,MATCH(8872,'Email Cleaner'!$G$2:$G$10001,0)),"")</f>
        <v/>
      </c>
    </row>
    <row r="8874">
      <c r="A8874">
        <f>IFERROR(INDEX('Email Cleaner'!$B$2:$B$10001,MATCH(8873,'Email Cleaner'!$G$2:$G$10001,0)),"")</f>
        <v/>
      </c>
    </row>
    <row r="8875">
      <c r="A8875">
        <f>IFERROR(INDEX('Email Cleaner'!$B$2:$B$10001,MATCH(8874,'Email Cleaner'!$G$2:$G$10001,0)),"")</f>
        <v/>
      </c>
    </row>
    <row r="8876">
      <c r="A8876">
        <f>IFERROR(INDEX('Email Cleaner'!$B$2:$B$10001,MATCH(8875,'Email Cleaner'!$G$2:$G$10001,0)),"")</f>
        <v/>
      </c>
    </row>
    <row r="8877">
      <c r="A8877">
        <f>IFERROR(INDEX('Email Cleaner'!$B$2:$B$10001,MATCH(8876,'Email Cleaner'!$G$2:$G$10001,0)),"")</f>
        <v/>
      </c>
    </row>
    <row r="8878">
      <c r="A8878">
        <f>IFERROR(INDEX('Email Cleaner'!$B$2:$B$10001,MATCH(8877,'Email Cleaner'!$G$2:$G$10001,0)),"")</f>
        <v/>
      </c>
    </row>
    <row r="8879">
      <c r="A8879">
        <f>IFERROR(INDEX('Email Cleaner'!$B$2:$B$10001,MATCH(8878,'Email Cleaner'!$G$2:$G$10001,0)),"")</f>
        <v/>
      </c>
    </row>
    <row r="8880">
      <c r="A8880">
        <f>IFERROR(INDEX('Email Cleaner'!$B$2:$B$10001,MATCH(8879,'Email Cleaner'!$G$2:$G$10001,0)),"")</f>
        <v/>
      </c>
    </row>
    <row r="8881">
      <c r="A8881">
        <f>IFERROR(INDEX('Email Cleaner'!$B$2:$B$10001,MATCH(8880,'Email Cleaner'!$G$2:$G$10001,0)),"")</f>
        <v/>
      </c>
    </row>
    <row r="8882">
      <c r="A8882">
        <f>IFERROR(INDEX('Email Cleaner'!$B$2:$B$10001,MATCH(8881,'Email Cleaner'!$G$2:$G$10001,0)),"")</f>
        <v/>
      </c>
    </row>
    <row r="8883">
      <c r="A8883">
        <f>IFERROR(INDEX('Email Cleaner'!$B$2:$B$10001,MATCH(8882,'Email Cleaner'!$G$2:$G$10001,0)),"")</f>
        <v/>
      </c>
    </row>
    <row r="8884">
      <c r="A8884">
        <f>IFERROR(INDEX('Email Cleaner'!$B$2:$B$10001,MATCH(8883,'Email Cleaner'!$G$2:$G$10001,0)),"")</f>
        <v/>
      </c>
    </row>
    <row r="8885">
      <c r="A8885">
        <f>IFERROR(INDEX('Email Cleaner'!$B$2:$B$10001,MATCH(8884,'Email Cleaner'!$G$2:$G$10001,0)),"")</f>
        <v/>
      </c>
    </row>
    <row r="8886">
      <c r="A8886">
        <f>IFERROR(INDEX('Email Cleaner'!$B$2:$B$10001,MATCH(8885,'Email Cleaner'!$G$2:$G$10001,0)),"")</f>
        <v/>
      </c>
    </row>
    <row r="8887">
      <c r="A8887">
        <f>IFERROR(INDEX('Email Cleaner'!$B$2:$B$10001,MATCH(8886,'Email Cleaner'!$G$2:$G$10001,0)),"")</f>
        <v/>
      </c>
    </row>
    <row r="8888">
      <c r="A8888">
        <f>IFERROR(INDEX('Email Cleaner'!$B$2:$B$10001,MATCH(8887,'Email Cleaner'!$G$2:$G$10001,0)),"")</f>
        <v/>
      </c>
    </row>
    <row r="8889">
      <c r="A8889">
        <f>IFERROR(INDEX('Email Cleaner'!$B$2:$B$10001,MATCH(8888,'Email Cleaner'!$G$2:$G$10001,0)),"")</f>
        <v/>
      </c>
    </row>
    <row r="8890">
      <c r="A8890">
        <f>IFERROR(INDEX('Email Cleaner'!$B$2:$B$10001,MATCH(8889,'Email Cleaner'!$G$2:$G$10001,0)),"")</f>
        <v/>
      </c>
    </row>
    <row r="8891">
      <c r="A8891">
        <f>IFERROR(INDEX('Email Cleaner'!$B$2:$B$10001,MATCH(8890,'Email Cleaner'!$G$2:$G$10001,0)),"")</f>
        <v/>
      </c>
    </row>
    <row r="8892">
      <c r="A8892">
        <f>IFERROR(INDEX('Email Cleaner'!$B$2:$B$10001,MATCH(8891,'Email Cleaner'!$G$2:$G$10001,0)),"")</f>
        <v/>
      </c>
    </row>
    <row r="8893">
      <c r="A8893">
        <f>IFERROR(INDEX('Email Cleaner'!$B$2:$B$10001,MATCH(8892,'Email Cleaner'!$G$2:$G$10001,0)),"")</f>
        <v/>
      </c>
    </row>
    <row r="8894">
      <c r="A8894">
        <f>IFERROR(INDEX('Email Cleaner'!$B$2:$B$10001,MATCH(8893,'Email Cleaner'!$G$2:$G$10001,0)),"")</f>
        <v/>
      </c>
    </row>
    <row r="8895">
      <c r="A8895">
        <f>IFERROR(INDEX('Email Cleaner'!$B$2:$B$10001,MATCH(8894,'Email Cleaner'!$G$2:$G$10001,0)),"")</f>
        <v/>
      </c>
    </row>
    <row r="8896">
      <c r="A8896">
        <f>IFERROR(INDEX('Email Cleaner'!$B$2:$B$10001,MATCH(8895,'Email Cleaner'!$G$2:$G$10001,0)),"")</f>
        <v/>
      </c>
    </row>
    <row r="8897">
      <c r="A8897">
        <f>IFERROR(INDEX('Email Cleaner'!$B$2:$B$10001,MATCH(8896,'Email Cleaner'!$G$2:$G$10001,0)),"")</f>
        <v/>
      </c>
    </row>
    <row r="8898">
      <c r="A8898">
        <f>IFERROR(INDEX('Email Cleaner'!$B$2:$B$10001,MATCH(8897,'Email Cleaner'!$G$2:$G$10001,0)),"")</f>
        <v/>
      </c>
    </row>
    <row r="8899">
      <c r="A8899">
        <f>IFERROR(INDEX('Email Cleaner'!$B$2:$B$10001,MATCH(8898,'Email Cleaner'!$G$2:$G$10001,0)),"")</f>
        <v/>
      </c>
    </row>
    <row r="8900">
      <c r="A8900">
        <f>IFERROR(INDEX('Email Cleaner'!$B$2:$B$10001,MATCH(8899,'Email Cleaner'!$G$2:$G$10001,0)),"")</f>
        <v/>
      </c>
    </row>
    <row r="8901">
      <c r="A8901">
        <f>IFERROR(INDEX('Email Cleaner'!$B$2:$B$10001,MATCH(8900,'Email Cleaner'!$G$2:$G$10001,0)),"")</f>
        <v/>
      </c>
    </row>
    <row r="8902">
      <c r="A8902">
        <f>IFERROR(INDEX('Email Cleaner'!$B$2:$B$10001,MATCH(8901,'Email Cleaner'!$G$2:$G$10001,0)),"")</f>
        <v/>
      </c>
    </row>
    <row r="8903">
      <c r="A8903">
        <f>IFERROR(INDEX('Email Cleaner'!$B$2:$B$10001,MATCH(8902,'Email Cleaner'!$G$2:$G$10001,0)),"")</f>
        <v/>
      </c>
    </row>
    <row r="8904">
      <c r="A8904">
        <f>IFERROR(INDEX('Email Cleaner'!$B$2:$B$10001,MATCH(8903,'Email Cleaner'!$G$2:$G$10001,0)),"")</f>
        <v/>
      </c>
    </row>
    <row r="8905">
      <c r="A8905">
        <f>IFERROR(INDEX('Email Cleaner'!$B$2:$B$10001,MATCH(8904,'Email Cleaner'!$G$2:$G$10001,0)),"")</f>
        <v/>
      </c>
    </row>
    <row r="8906">
      <c r="A8906">
        <f>IFERROR(INDEX('Email Cleaner'!$B$2:$B$10001,MATCH(8905,'Email Cleaner'!$G$2:$G$10001,0)),"")</f>
        <v/>
      </c>
    </row>
    <row r="8907">
      <c r="A8907">
        <f>IFERROR(INDEX('Email Cleaner'!$B$2:$B$10001,MATCH(8906,'Email Cleaner'!$G$2:$G$10001,0)),"")</f>
        <v/>
      </c>
    </row>
    <row r="8908">
      <c r="A8908">
        <f>IFERROR(INDEX('Email Cleaner'!$B$2:$B$10001,MATCH(8907,'Email Cleaner'!$G$2:$G$10001,0)),"")</f>
        <v/>
      </c>
    </row>
    <row r="8909">
      <c r="A8909">
        <f>IFERROR(INDEX('Email Cleaner'!$B$2:$B$10001,MATCH(8908,'Email Cleaner'!$G$2:$G$10001,0)),"")</f>
        <v/>
      </c>
    </row>
    <row r="8910">
      <c r="A8910">
        <f>IFERROR(INDEX('Email Cleaner'!$B$2:$B$10001,MATCH(8909,'Email Cleaner'!$G$2:$G$10001,0)),"")</f>
        <v/>
      </c>
    </row>
    <row r="8911">
      <c r="A8911">
        <f>IFERROR(INDEX('Email Cleaner'!$B$2:$B$10001,MATCH(8910,'Email Cleaner'!$G$2:$G$10001,0)),"")</f>
        <v/>
      </c>
    </row>
    <row r="8912">
      <c r="A8912">
        <f>IFERROR(INDEX('Email Cleaner'!$B$2:$B$10001,MATCH(8911,'Email Cleaner'!$G$2:$G$10001,0)),"")</f>
        <v/>
      </c>
    </row>
    <row r="8913">
      <c r="A8913">
        <f>IFERROR(INDEX('Email Cleaner'!$B$2:$B$10001,MATCH(8912,'Email Cleaner'!$G$2:$G$10001,0)),"")</f>
        <v/>
      </c>
    </row>
    <row r="8914">
      <c r="A8914">
        <f>IFERROR(INDEX('Email Cleaner'!$B$2:$B$10001,MATCH(8913,'Email Cleaner'!$G$2:$G$10001,0)),"")</f>
        <v/>
      </c>
    </row>
    <row r="8915">
      <c r="A8915">
        <f>IFERROR(INDEX('Email Cleaner'!$B$2:$B$10001,MATCH(8914,'Email Cleaner'!$G$2:$G$10001,0)),"")</f>
        <v/>
      </c>
    </row>
    <row r="8916">
      <c r="A8916">
        <f>IFERROR(INDEX('Email Cleaner'!$B$2:$B$10001,MATCH(8915,'Email Cleaner'!$G$2:$G$10001,0)),"")</f>
        <v/>
      </c>
    </row>
    <row r="8917">
      <c r="A8917">
        <f>IFERROR(INDEX('Email Cleaner'!$B$2:$B$10001,MATCH(8916,'Email Cleaner'!$G$2:$G$10001,0)),"")</f>
        <v/>
      </c>
    </row>
    <row r="8918">
      <c r="A8918">
        <f>IFERROR(INDEX('Email Cleaner'!$B$2:$B$10001,MATCH(8917,'Email Cleaner'!$G$2:$G$10001,0)),"")</f>
        <v/>
      </c>
    </row>
    <row r="8919">
      <c r="A8919">
        <f>IFERROR(INDEX('Email Cleaner'!$B$2:$B$10001,MATCH(8918,'Email Cleaner'!$G$2:$G$10001,0)),"")</f>
        <v/>
      </c>
    </row>
    <row r="8920">
      <c r="A8920">
        <f>IFERROR(INDEX('Email Cleaner'!$B$2:$B$10001,MATCH(8919,'Email Cleaner'!$G$2:$G$10001,0)),"")</f>
        <v/>
      </c>
    </row>
    <row r="8921">
      <c r="A8921">
        <f>IFERROR(INDEX('Email Cleaner'!$B$2:$B$10001,MATCH(8920,'Email Cleaner'!$G$2:$G$10001,0)),"")</f>
        <v/>
      </c>
    </row>
    <row r="8922">
      <c r="A8922">
        <f>IFERROR(INDEX('Email Cleaner'!$B$2:$B$10001,MATCH(8921,'Email Cleaner'!$G$2:$G$10001,0)),"")</f>
        <v/>
      </c>
    </row>
    <row r="8923">
      <c r="A8923">
        <f>IFERROR(INDEX('Email Cleaner'!$B$2:$B$10001,MATCH(8922,'Email Cleaner'!$G$2:$G$10001,0)),"")</f>
        <v/>
      </c>
    </row>
    <row r="8924">
      <c r="A8924">
        <f>IFERROR(INDEX('Email Cleaner'!$B$2:$B$10001,MATCH(8923,'Email Cleaner'!$G$2:$G$10001,0)),"")</f>
        <v/>
      </c>
    </row>
    <row r="8925">
      <c r="A8925">
        <f>IFERROR(INDEX('Email Cleaner'!$B$2:$B$10001,MATCH(8924,'Email Cleaner'!$G$2:$G$10001,0)),"")</f>
        <v/>
      </c>
    </row>
    <row r="8926">
      <c r="A8926">
        <f>IFERROR(INDEX('Email Cleaner'!$B$2:$B$10001,MATCH(8925,'Email Cleaner'!$G$2:$G$10001,0)),"")</f>
        <v/>
      </c>
    </row>
    <row r="8927">
      <c r="A8927">
        <f>IFERROR(INDEX('Email Cleaner'!$B$2:$B$10001,MATCH(8926,'Email Cleaner'!$G$2:$G$10001,0)),"")</f>
        <v/>
      </c>
    </row>
    <row r="8928">
      <c r="A8928">
        <f>IFERROR(INDEX('Email Cleaner'!$B$2:$B$10001,MATCH(8927,'Email Cleaner'!$G$2:$G$10001,0)),"")</f>
        <v/>
      </c>
    </row>
    <row r="8929">
      <c r="A8929">
        <f>IFERROR(INDEX('Email Cleaner'!$B$2:$B$10001,MATCH(8928,'Email Cleaner'!$G$2:$G$10001,0)),"")</f>
        <v/>
      </c>
    </row>
    <row r="8930">
      <c r="A8930">
        <f>IFERROR(INDEX('Email Cleaner'!$B$2:$B$10001,MATCH(8929,'Email Cleaner'!$G$2:$G$10001,0)),"")</f>
        <v/>
      </c>
    </row>
    <row r="8931">
      <c r="A8931">
        <f>IFERROR(INDEX('Email Cleaner'!$B$2:$B$10001,MATCH(8930,'Email Cleaner'!$G$2:$G$10001,0)),"")</f>
        <v/>
      </c>
    </row>
    <row r="8932">
      <c r="A8932">
        <f>IFERROR(INDEX('Email Cleaner'!$B$2:$B$10001,MATCH(8931,'Email Cleaner'!$G$2:$G$10001,0)),"")</f>
        <v/>
      </c>
    </row>
    <row r="8933">
      <c r="A8933">
        <f>IFERROR(INDEX('Email Cleaner'!$B$2:$B$10001,MATCH(8932,'Email Cleaner'!$G$2:$G$10001,0)),"")</f>
        <v/>
      </c>
    </row>
    <row r="8934">
      <c r="A8934">
        <f>IFERROR(INDEX('Email Cleaner'!$B$2:$B$10001,MATCH(8933,'Email Cleaner'!$G$2:$G$10001,0)),"")</f>
        <v/>
      </c>
    </row>
    <row r="8935">
      <c r="A8935">
        <f>IFERROR(INDEX('Email Cleaner'!$B$2:$B$10001,MATCH(8934,'Email Cleaner'!$G$2:$G$10001,0)),"")</f>
        <v/>
      </c>
    </row>
    <row r="8936">
      <c r="A8936">
        <f>IFERROR(INDEX('Email Cleaner'!$B$2:$B$10001,MATCH(8935,'Email Cleaner'!$G$2:$G$10001,0)),"")</f>
        <v/>
      </c>
    </row>
    <row r="8937">
      <c r="A8937">
        <f>IFERROR(INDEX('Email Cleaner'!$B$2:$B$10001,MATCH(8936,'Email Cleaner'!$G$2:$G$10001,0)),"")</f>
        <v/>
      </c>
    </row>
    <row r="8938">
      <c r="A8938">
        <f>IFERROR(INDEX('Email Cleaner'!$B$2:$B$10001,MATCH(8937,'Email Cleaner'!$G$2:$G$10001,0)),"")</f>
        <v/>
      </c>
    </row>
    <row r="8939">
      <c r="A8939">
        <f>IFERROR(INDEX('Email Cleaner'!$B$2:$B$10001,MATCH(8938,'Email Cleaner'!$G$2:$G$10001,0)),"")</f>
        <v/>
      </c>
    </row>
    <row r="8940">
      <c r="A8940">
        <f>IFERROR(INDEX('Email Cleaner'!$B$2:$B$10001,MATCH(8939,'Email Cleaner'!$G$2:$G$10001,0)),"")</f>
        <v/>
      </c>
    </row>
    <row r="8941">
      <c r="A8941">
        <f>IFERROR(INDEX('Email Cleaner'!$B$2:$B$10001,MATCH(8940,'Email Cleaner'!$G$2:$G$10001,0)),"")</f>
        <v/>
      </c>
    </row>
    <row r="8942">
      <c r="A8942">
        <f>IFERROR(INDEX('Email Cleaner'!$B$2:$B$10001,MATCH(8941,'Email Cleaner'!$G$2:$G$10001,0)),"")</f>
        <v/>
      </c>
    </row>
    <row r="8943">
      <c r="A8943">
        <f>IFERROR(INDEX('Email Cleaner'!$B$2:$B$10001,MATCH(8942,'Email Cleaner'!$G$2:$G$10001,0)),"")</f>
        <v/>
      </c>
    </row>
    <row r="8944">
      <c r="A8944">
        <f>IFERROR(INDEX('Email Cleaner'!$B$2:$B$10001,MATCH(8943,'Email Cleaner'!$G$2:$G$10001,0)),"")</f>
        <v/>
      </c>
    </row>
    <row r="8945">
      <c r="A8945">
        <f>IFERROR(INDEX('Email Cleaner'!$B$2:$B$10001,MATCH(8944,'Email Cleaner'!$G$2:$G$10001,0)),"")</f>
        <v/>
      </c>
    </row>
    <row r="8946">
      <c r="A8946">
        <f>IFERROR(INDEX('Email Cleaner'!$B$2:$B$10001,MATCH(8945,'Email Cleaner'!$G$2:$G$10001,0)),"")</f>
        <v/>
      </c>
    </row>
    <row r="8947">
      <c r="A8947">
        <f>IFERROR(INDEX('Email Cleaner'!$B$2:$B$10001,MATCH(8946,'Email Cleaner'!$G$2:$G$10001,0)),"")</f>
        <v/>
      </c>
    </row>
    <row r="8948">
      <c r="A8948">
        <f>IFERROR(INDEX('Email Cleaner'!$B$2:$B$10001,MATCH(8947,'Email Cleaner'!$G$2:$G$10001,0)),"")</f>
        <v/>
      </c>
    </row>
    <row r="8949">
      <c r="A8949">
        <f>IFERROR(INDEX('Email Cleaner'!$B$2:$B$10001,MATCH(8948,'Email Cleaner'!$G$2:$G$10001,0)),"")</f>
        <v/>
      </c>
    </row>
    <row r="8950">
      <c r="A8950">
        <f>IFERROR(INDEX('Email Cleaner'!$B$2:$B$10001,MATCH(8949,'Email Cleaner'!$G$2:$G$10001,0)),"")</f>
        <v/>
      </c>
    </row>
    <row r="8951">
      <c r="A8951">
        <f>IFERROR(INDEX('Email Cleaner'!$B$2:$B$10001,MATCH(8950,'Email Cleaner'!$G$2:$G$10001,0)),"")</f>
        <v/>
      </c>
    </row>
    <row r="8952">
      <c r="A8952">
        <f>IFERROR(INDEX('Email Cleaner'!$B$2:$B$10001,MATCH(8951,'Email Cleaner'!$G$2:$G$10001,0)),"")</f>
        <v/>
      </c>
    </row>
    <row r="8953">
      <c r="A8953">
        <f>IFERROR(INDEX('Email Cleaner'!$B$2:$B$10001,MATCH(8952,'Email Cleaner'!$G$2:$G$10001,0)),"")</f>
        <v/>
      </c>
    </row>
    <row r="8954">
      <c r="A8954">
        <f>IFERROR(INDEX('Email Cleaner'!$B$2:$B$10001,MATCH(8953,'Email Cleaner'!$G$2:$G$10001,0)),"")</f>
        <v/>
      </c>
    </row>
    <row r="8955">
      <c r="A8955">
        <f>IFERROR(INDEX('Email Cleaner'!$B$2:$B$10001,MATCH(8954,'Email Cleaner'!$G$2:$G$10001,0)),"")</f>
        <v/>
      </c>
    </row>
    <row r="8956">
      <c r="A8956">
        <f>IFERROR(INDEX('Email Cleaner'!$B$2:$B$10001,MATCH(8955,'Email Cleaner'!$G$2:$G$10001,0)),"")</f>
        <v/>
      </c>
    </row>
    <row r="8957">
      <c r="A8957">
        <f>IFERROR(INDEX('Email Cleaner'!$B$2:$B$10001,MATCH(8956,'Email Cleaner'!$G$2:$G$10001,0)),"")</f>
        <v/>
      </c>
    </row>
    <row r="8958">
      <c r="A8958">
        <f>IFERROR(INDEX('Email Cleaner'!$B$2:$B$10001,MATCH(8957,'Email Cleaner'!$G$2:$G$10001,0)),"")</f>
        <v/>
      </c>
    </row>
    <row r="8959">
      <c r="A8959">
        <f>IFERROR(INDEX('Email Cleaner'!$B$2:$B$10001,MATCH(8958,'Email Cleaner'!$G$2:$G$10001,0)),"")</f>
        <v/>
      </c>
    </row>
    <row r="8960">
      <c r="A8960">
        <f>IFERROR(INDEX('Email Cleaner'!$B$2:$B$10001,MATCH(8959,'Email Cleaner'!$G$2:$G$10001,0)),"")</f>
        <v/>
      </c>
    </row>
    <row r="8961">
      <c r="A8961">
        <f>IFERROR(INDEX('Email Cleaner'!$B$2:$B$10001,MATCH(8960,'Email Cleaner'!$G$2:$G$10001,0)),"")</f>
        <v/>
      </c>
    </row>
    <row r="8962">
      <c r="A8962">
        <f>IFERROR(INDEX('Email Cleaner'!$B$2:$B$10001,MATCH(8961,'Email Cleaner'!$G$2:$G$10001,0)),"")</f>
        <v/>
      </c>
    </row>
    <row r="8963">
      <c r="A8963">
        <f>IFERROR(INDEX('Email Cleaner'!$B$2:$B$10001,MATCH(8962,'Email Cleaner'!$G$2:$G$10001,0)),"")</f>
        <v/>
      </c>
    </row>
    <row r="8964">
      <c r="A8964">
        <f>IFERROR(INDEX('Email Cleaner'!$B$2:$B$10001,MATCH(8963,'Email Cleaner'!$G$2:$G$10001,0)),"")</f>
        <v/>
      </c>
    </row>
    <row r="8965">
      <c r="A8965">
        <f>IFERROR(INDEX('Email Cleaner'!$B$2:$B$10001,MATCH(8964,'Email Cleaner'!$G$2:$G$10001,0)),"")</f>
        <v/>
      </c>
    </row>
    <row r="8966">
      <c r="A8966">
        <f>IFERROR(INDEX('Email Cleaner'!$B$2:$B$10001,MATCH(8965,'Email Cleaner'!$G$2:$G$10001,0)),"")</f>
        <v/>
      </c>
    </row>
    <row r="8967">
      <c r="A8967">
        <f>IFERROR(INDEX('Email Cleaner'!$B$2:$B$10001,MATCH(8966,'Email Cleaner'!$G$2:$G$10001,0)),"")</f>
        <v/>
      </c>
    </row>
    <row r="8968">
      <c r="A8968">
        <f>IFERROR(INDEX('Email Cleaner'!$B$2:$B$10001,MATCH(8967,'Email Cleaner'!$G$2:$G$10001,0)),"")</f>
        <v/>
      </c>
    </row>
    <row r="8969">
      <c r="A8969">
        <f>IFERROR(INDEX('Email Cleaner'!$B$2:$B$10001,MATCH(8968,'Email Cleaner'!$G$2:$G$10001,0)),"")</f>
        <v/>
      </c>
    </row>
    <row r="8970">
      <c r="A8970">
        <f>IFERROR(INDEX('Email Cleaner'!$B$2:$B$10001,MATCH(8969,'Email Cleaner'!$G$2:$G$10001,0)),"")</f>
        <v/>
      </c>
    </row>
    <row r="8971">
      <c r="A8971">
        <f>IFERROR(INDEX('Email Cleaner'!$B$2:$B$10001,MATCH(8970,'Email Cleaner'!$G$2:$G$10001,0)),"")</f>
        <v/>
      </c>
    </row>
    <row r="8972">
      <c r="A8972">
        <f>IFERROR(INDEX('Email Cleaner'!$B$2:$B$10001,MATCH(8971,'Email Cleaner'!$G$2:$G$10001,0)),"")</f>
        <v/>
      </c>
    </row>
    <row r="8973">
      <c r="A8973">
        <f>IFERROR(INDEX('Email Cleaner'!$B$2:$B$10001,MATCH(8972,'Email Cleaner'!$G$2:$G$10001,0)),"")</f>
        <v/>
      </c>
    </row>
    <row r="8974">
      <c r="A8974">
        <f>IFERROR(INDEX('Email Cleaner'!$B$2:$B$10001,MATCH(8973,'Email Cleaner'!$G$2:$G$10001,0)),"")</f>
        <v/>
      </c>
    </row>
    <row r="8975">
      <c r="A8975">
        <f>IFERROR(INDEX('Email Cleaner'!$B$2:$B$10001,MATCH(8974,'Email Cleaner'!$G$2:$G$10001,0)),"")</f>
        <v/>
      </c>
    </row>
    <row r="8976">
      <c r="A8976">
        <f>IFERROR(INDEX('Email Cleaner'!$B$2:$B$10001,MATCH(8975,'Email Cleaner'!$G$2:$G$10001,0)),"")</f>
        <v/>
      </c>
    </row>
    <row r="8977">
      <c r="A8977">
        <f>IFERROR(INDEX('Email Cleaner'!$B$2:$B$10001,MATCH(8976,'Email Cleaner'!$G$2:$G$10001,0)),"")</f>
        <v/>
      </c>
    </row>
    <row r="8978">
      <c r="A8978">
        <f>IFERROR(INDEX('Email Cleaner'!$B$2:$B$10001,MATCH(8977,'Email Cleaner'!$G$2:$G$10001,0)),"")</f>
        <v/>
      </c>
    </row>
    <row r="8979">
      <c r="A8979">
        <f>IFERROR(INDEX('Email Cleaner'!$B$2:$B$10001,MATCH(8978,'Email Cleaner'!$G$2:$G$10001,0)),"")</f>
        <v/>
      </c>
    </row>
    <row r="8980">
      <c r="A8980">
        <f>IFERROR(INDEX('Email Cleaner'!$B$2:$B$10001,MATCH(8979,'Email Cleaner'!$G$2:$G$10001,0)),"")</f>
        <v/>
      </c>
    </row>
    <row r="8981">
      <c r="A8981">
        <f>IFERROR(INDEX('Email Cleaner'!$B$2:$B$10001,MATCH(8980,'Email Cleaner'!$G$2:$G$10001,0)),"")</f>
        <v/>
      </c>
    </row>
    <row r="8982">
      <c r="A8982">
        <f>IFERROR(INDEX('Email Cleaner'!$B$2:$B$10001,MATCH(8981,'Email Cleaner'!$G$2:$G$10001,0)),"")</f>
        <v/>
      </c>
    </row>
    <row r="8983">
      <c r="A8983">
        <f>IFERROR(INDEX('Email Cleaner'!$B$2:$B$10001,MATCH(8982,'Email Cleaner'!$G$2:$G$10001,0)),"")</f>
        <v/>
      </c>
    </row>
    <row r="8984">
      <c r="A8984">
        <f>IFERROR(INDEX('Email Cleaner'!$B$2:$B$10001,MATCH(8983,'Email Cleaner'!$G$2:$G$10001,0)),"")</f>
        <v/>
      </c>
    </row>
    <row r="8985">
      <c r="A8985">
        <f>IFERROR(INDEX('Email Cleaner'!$B$2:$B$10001,MATCH(8984,'Email Cleaner'!$G$2:$G$10001,0)),"")</f>
        <v/>
      </c>
    </row>
    <row r="8986">
      <c r="A8986">
        <f>IFERROR(INDEX('Email Cleaner'!$B$2:$B$10001,MATCH(8985,'Email Cleaner'!$G$2:$G$10001,0)),"")</f>
        <v/>
      </c>
    </row>
    <row r="8987">
      <c r="A8987">
        <f>IFERROR(INDEX('Email Cleaner'!$B$2:$B$10001,MATCH(8986,'Email Cleaner'!$G$2:$G$10001,0)),"")</f>
        <v/>
      </c>
    </row>
    <row r="8988">
      <c r="A8988">
        <f>IFERROR(INDEX('Email Cleaner'!$B$2:$B$10001,MATCH(8987,'Email Cleaner'!$G$2:$G$10001,0)),"")</f>
        <v/>
      </c>
    </row>
    <row r="8989">
      <c r="A8989">
        <f>IFERROR(INDEX('Email Cleaner'!$B$2:$B$10001,MATCH(8988,'Email Cleaner'!$G$2:$G$10001,0)),"")</f>
        <v/>
      </c>
    </row>
    <row r="8990">
      <c r="A8990">
        <f>IFERROR(INDEX('Email Cleaner'!$B$2:$B$10001,MATCH(8989,'Email Cleaner'!$G$2:$G$10001,0)),"")</f>
        <v/>
      </c>
    </row>
    <row r="8991">
      <c r="A8991">
        <f>IFERROR(INDEX('Email Cleaner'!$B$2:$B$10001,MATCH(8990,'Email Cleaner'!$G$2:$G$10001,0)),"")</f>
        <v/>
      </c>
    </row>
    <row r="8992">
      <c r="A8992">
        <f>IFERROR(INDEX('Email Cleaner'!$B$2:$B$10001,MATCH(8991,'Email Cleaner'!$G$2:$G$10001,0)),"")</f>
        <v/>
      </c>
    </row>
    <row r="8993">
      <c r="A8993">
        <f>IFERROR(INDEX('Email Cleaner'!$B$2:$B$10001,MATCH(8992,'Email Cleaner'!$G$2:$G$10001,0)),"")</f>
        <v/>
      </c>
    </row>
    <row r="8994">
      <c r="A8994">
        <f>IFERROR(INDEX('Email Cleaner'!$B$2:$B$10001,MATCH(8993,'Email Cleaner'!$G$2:$G$10001,0)),"")</f>
        <v/>
      </c>
    </row>
    <row r="8995">
      <c r="A8995">
        <f>IFERROR(INDEX('Email Cleaner'!$B$2:$B$10001,MATCH(8994,'Email Cleaner'!$G$2:$G$10001,0)),"")</f>
        <v/>
      </c>
    </row>
    <row r="8996">
      <c r="A8996">
        <f>IFERROR(INDEX('Email Cleaner'!$B$2:$B$10001,MATCH(8995,'Email Cleaner'!$G$2:$G$10001,0)),"")</f>
        <v/>
      </c>
    </row>
    <row r="8997">
      <c r="A8997">
        <f>IFERROR(INDEX('Email Cleaner'!$B$2:$B$10001,MATCH(8996,'Email Cleaner'!$G$2:$G$10001,0)),"")</f>
        <v/>
      </c>
    </row>
    <row r="8998">
      <c r="A8998">
        <f>IFERROR(INDEX('Email Cleaner'!$B$2:$B$10001,MATCH(8997,'Email Cleaner'!$G$2:$G$10001,0)),"")</f>
        <v/>
      </c>
    </row>
    <row r="8999">
      <c r="A8999">
        <f>IFERROR(INDEX('Email Cleaner'!$B$2:$B$10001,MATCH(8998,'Email Cleaner'!$G$2:$G$10001,0)),"")</f>
        <v/>
      </c>
    </row>
    <row r="9000">
      <c r="A9000">
        <f>IFERROR(INDEX('Email Cleaner'!$B$2:$B$10001,MATCH(8999,'Email Cleaner'!$G$2:$G$10001,0)),"")</f>
        <v/>
      </c>
    </row>
    <row r="9001">
      <c r="A9001">
        <f>IFERROR(INDEX('Email Cleaner'!$B$2:$B$10001,MATCH(9000,'Email Cleaner'!$G$2:$G$10001,0)),"")</f>
        <v/>
      </c>
    </row>
    <row r="9002">
      <c r="A9002">
        <f>IFERROR(INDEX('Email Cleaner'!$B$2:$B$10001,MATCH(9001,'Email Cleaner'!$G$2:$G$10001,0)),"")</f>
        <v/>
      </c>
    </row>
    <row r="9003">
      <c r="A9003">
        <f>IFERROR(INDEX('Email Cleaner'!$B$2:$B$10001,MATCH(9002,'Email Cleaner'!$G$2:$G$10001,0)),"")</f>
        <v/>
      </c>
    </row>
    <row r="9004">
      <c r="A9004">
        <f>IFERROR(INDEX('Email Cleaner'!$B$2:$B$10001,MATCH(9003,'Email Cleaner'!$G$2:$G$10001,0)),"")</f>
        <v/>
      </c>
    </row>
    <row r="9005">
      <c r="A9005">
        <f>IFERROR(INDEX('Email Cleaner'!$B$2:$B$10001,MATCH(9004,'Email Cleaner'!$G$2:$G$10001,0)),"")</f>
        <v/>
      </c>
    </row>
    <row r="9006">
      <c r="A9006">
        <f>IFERROR(INDEX('Email Cleaner'!$B$2:$B$10001,MATCH(9005,'Email Cleaner'!$G$2:$G$10001,0)),"")</f>
        <v/>
      </c>
    </row>
    <row r="9007">
      <c r="A9007">
        <f>IFERROR(INDEX('Email Cleaner'!$B$2:$B$10001,MATCH(9006,'Email Cleaner'!$G$2:$G$10001,0)),"")</f>
        <v/>
      </c>
    </row>
    <row r="9008">
      <c r="A9008">
        <f>IFERROR(INDEX('Email Cleaner'!$B$2:$B$10001,MATCH(9007,'Email Cleaner'!$G$2:$G$10001,0)),"")</f>
        <v/>
      </c>
    </row>
    <row r="9009">
      <c r="A9009">
        <f>IFERROR(INDEX('Email Cleaner'!$B$2:$B$10001,MATCH(9008,'Email Cleaner'!$G$2:$G$10001,0)),"")</f>
        <v/>
      </c>
    </row>
    <row r="9010">
      <c r="A9010">
        <f>IFERROR(INDEX('Email Cleaner'!$B$2:$B$10001,MATCH(9009,'Email Cleaner'!$G$2:$G$10001,0)),"")</f>
        <v/>
      </c>
    </row>
    <row r="9011">
      <c r="A9011">
        <f>IFERROR(INDEX('Email Cleaner'!$B$2:$B$10001,MATCH(9010,'Email Cleaner'!$G$2:$G$10001,0)),"")</f>
        <v/>
      </c>
    </row>
    <row r="9012">
      <c r="A9012">
        <f>IFERROR(INDEX('Email Cleaner'!$B$2:$B$10001,MATCH(9011,'Email Cleaner'!$G$2:$G$10001,0)),"")</f>
        <v/>
      </c>
    </row>
    <row r="9013">
      <c r="A9013">
        <f>IFERROR(INDEX('Email Cleaner'!$B$2:$B$10001,MATCH(9012,'Email Cleaner'!$G$2:$G$10001,0)),"")</f>
        <v/>
      </c>
    </row>
    <row r="9014">
      <c r="A9014">
        <f>IFERROR(INDEX('Email Cleaner'!$B$2:$B$10001,MATCH(9013,'Email Cleaner'!$G$2:$G$10001,0)),"")</f>
        <v/>
      </c>
    </row>
    <row r="9015">
      <c r="A9015">
        <f>IFERROR(INDEX('Email Cleaner'!$B$2:$B$10001,MATCH(9014,'Email Cleaner'!$G$2:$G$10001,0)),"")</f>
        <v/>
      </c>
    </row>
    <row r="9016">
      <c r="A9016">
        <f>IFERROR(INDEX('Email Cleaner'!$B$2:$B$10001,MATCH(9015,'Email Cleaner'!$G$2:$G$10001,0)),"")</f>
        <v/>
      </c>
    </row>
    <row r="9017">
      <c r="A9017">
        <f>IFERROR(INDEX('Email Cleaner'!$B$2:$B$10001,MATCH(9016,'Email Cleaner'!$G$2:$G$10001,0)),"")</f>
        <v/>
      </c>
    </row>
    <row r="9018">
      <c r="A9018">
        <f>IFERROR(INDEX('Email Cleaner'!$B$2:$B$10001,MATCH(9017,'Email Cleaner'!$G$2:$G$10001,0)),"")</f>
        <v/>
      </c>
    </row>
    <row r="9019">
      <c r="A9019">
        <f>IFERROR(INDEX('Email Cleaner'!$B$2:$B$10001,MATCH(9018,'Email Cleaner'!$G$2:$G$10001,0)),"")</f>
        <v/>
      </c>
    </row>
    <row r="9020">
      <c r="A9020">
        <f>IFERROR(INDEX('Email Cleaner'!$B$2:$B$10001,MATCH(9019,'Email Cleaner'!$G$2:$G$10001,0)),"")</f>
        <v/>
      </c>
    </row>
    <row r="9021">
      <c r="A9021">
        <f>IFERROR(INDEX('Email Cleaner'!$B$2:$B$10001,MATCH(9020,'Email Cleaner'!$G$2:$G$10001,0)),"")</f>
        <v/>
      </c>
    </row>
    <row r="9022">
      <c r="A9022">
        <f>IFERROR(INDEX('Email Cleaner'!$B$2:$B$10001,MATCH(9021,'Email Cleaner'!$G$2:$G$10001,0)),"")</f>
        <v/>
      </c>
    </row>
    <row r="9023">
      <c r="A9023">
        <f>IFERROR(INDEX('Email Cleaner'!$B$2:$B$10001,MATCH(9022,'Email Cleaner'!$G$2:$G$10001,0)),"")</f>
        <v/>
      </c>
    </row>
    <row r="9024">
      <c r="A9024">
        <f>IFERROR(INDEX('Email Cleaner'!$B$2:$B$10001,MATCH(9023,'Email Cleaner'!$G$2:$G$10001,0)),"")</f>
        <v/>
      </c>
    </row>
    <row r="9025">
      <c r="A9025">
        <f>IFERROR(INDEX('Email Cleaner'!$B$2:$B$10001,MATCH(9024,'Email Cleaner'!$G$2:$G$10001,0)),"")</f>
        <v/>
      </c>
    </row>
    <row r="9026">
      <c r="A9026">
        <f>IFERROR(INDEX('Email Cleaner'!$B$2:$B$10001,MATCH(9025,'Email Cleaner'!$G$2:$G$10001,0)),"")</f>
        <v/>
      </c>
    </row>
    <row r="9027">
      <c r="A9027">
        <f>IFERROR(INDEX('Email Cleaner'!$B$2:$B$10001,MATCH(9026,'Email Cleaner'!$G$2:$G$10001,0)),"")</f>
        <v/>
      </c>
    </row>
    <row r="9028">
      <c r="A9028">
        <f>IFERROR(INDEX('Email Cleaner'!$B$2:$B$10001,MATCH(9027,'Email Cleaner'!$G$2:$G$10001,0)),"")</f>
        <v/>
      </c>
    </row>
    <row r="9029">
      <c r="A9029">
        <f>IFERROR(INDEX('Email Cleaner'!$B$2:$B$10001,MATCH(9028,'Email Cleaner'!$G$2:$G$10001,0)),"")</f>
        <v/>
      </c>
    </row>
    <row r="9030">
      <c r="A9030">
        <f>IFERROR(INDEX('Email Cleaner'!$B$2:$B$10001,MATCH(9029,'Email Cleaner'!$G$2:$G$10001,0)),"")</f>
        <v/>
      </c>
    </row>
    <row r="9031">
      <c r="A9031">
        <f>IFERROR(INDEX('Email Cleaner'!$B$2:$B$10001,MATCH(9030,'Email Cleaner'!$G$2:$G$10001,0)),"")</f>
        <v/>
      </c>
    </row>
    <row r="9032">
      <c r="A9032">
        <f>IFERROR(INDEX('Email Cleaner'!$B$2:$B$10001,MATCH(9031,'Email Cleaner'!$G$2:$G$10001,0)),"")</f>
        <v/>
      </c>
    </row>
    <row r="9033">
      <c r="A9033">
        <f>IFERROR(INDEX('Email Cleaner'!$B$2:$B$10001,MATCH(9032,'Email Cleaner'!$G$2:$G$10001,0)),"")</f>
        <v/>
      </c>
    </row>
    <row r="9034">
      <c r="A9034">
        <f>IFERROR(INDEX('Email Cleaner'!$B$2:$B$10001,MATCH(9033,'Email Cleaner'!$G$2:$G$10001,0)),"")</f>
        <v/>
      </c>
    </row>
    <row r="9035">
      <c r="A9035">
        <f>IFERROR(INDEX('Email Cleaner'!$B$2:$B$10001,MATCH(9034,'Email Cleaner'!$G$2:$G$10001,0)),"")</f>
        <v/>
      </c>
    </row>
    <row r="9036">
      <c r="A9036">
        <f>IFERROR(INDEX('Email Cleaner'!$B$2:$B$10001,MATCH(9035,'Email Cleaner'!$G$2:$G$10001,0)),"")</f>
        <v/>
      </c>
    </row>
    <row r="9037">
      <c r="A9037">
        <f>IFERROR(INDEX('Email Cleaner'!$B$2:$B$10001,MATCH(9036,'Email Cleaner'!$G$2:$G$10001,0)),"")</f>
        <v/>
      </c>
    </row>
    <row r="9038">
      <c r="A9038">
        <f>IFERROR(INDEX('Email Cleaner'!$B$2:$B$10001,MATCH(9037,'Email Cleaner'!$G$2:$G$10001,0)),"")</f>
        <v/>
      </c>
    </row>
    <row r="9039">
      <c r="A9039">
        <f>IFERROR(INDEX('Email Cleaner'!$B$2:$B$10001,MATCH(9038,'Email Cleaner'!$G$2:$G$10001,0)),"")</f>
        <v/>
      </c>
    </row>
    <row r="9040">
      <c r="A9040">
        <f>IFERROR(INDEX('Email Cleaner'!$B$2:$B$10001,MATCH(9039,'Email Cleaner'!$G$2:$G$10001,0)),"")</f>
        <v/>
      </c>
    </row>
    <row r="9041">
      <c r="A9041">
        <f>IFERROR(INDEX('Email Cleaner'!$B$2:$B$10001,MATCH(9040,'Email Cleaner'!$G$2:$G$10001,0)),"")</f>
        <v/>
      </c>
    </row>
    <row r="9042">
      <c r="A9042">
        <f>IFERROR(INDEX('Email Cleaner'!$B$2:$B$10001,MATCH(9041,'Email Cleaner'!$G$2:$G$10001,0)),"")</f>
        <v/>
      </c>
    </row>
    <row r="9043">
      <c r="A9043">
        <f>IFERROR(INDEX('Email Cleaner'!$B$2:$B$10001,MATCH(9042,'Email Cleaner'!$G$2:$G$10001,0)),"")</f>
        <v/>
      </c>
    </row>
    <row r="9044">
      <c r="A9044">
        <f>IFERROR(INDEX('Email Cleaner'!$B$2:$B$10001,MATCH(9043,'Email Cleaner'!$G$2:$G$10001,0)),"")</f>
        <v/>
      </c>
    </row>
    <row r="9045">
      <c r="A9045">
        <f>IFERROR(INDEX('Email Cleaner'!$B$2:$B$10001,MATCH(9044,'Email Cleaner'!$G$2:$G$10001,0)),"")</f>
        <v/>
      </c>
    </row>
    <row r="9046">
      <c r="A9046">
        <f>IFERROR(INDEX('Email Cleaner'!$B$2:$B$10001,MATCH(9045,'Email Cleaner'!$G$2:$G$10001,0)),"")</f>
        <v/>
      </c>
    </row>
    <row r="9047">
      <c r="A9047">
        <f>IFERROR(INDEX('Email Cleaner'!$B$2:$B$10001,MATCH(9046,'Email Cleaner'!$G$2:$G$10001,0)),"")</f>
        <v/>
      </c>
    </row>
    <row r="9048">
      <c r="A9048">
        <f>IFERROR(INDEX('Email Cleaner'!$B$2:$B$10001,MATCH(9047,'Email Cleaner'!$G$2:$G$10001,0)),"")</f>
        <v/>
      </c>
    </row>
    <row r="9049">
      <c r="A9049">
        <f>IFERROR(INDEX('Email Cleaner'!$B$2:$B$10001,MATCH(9048,'Email Cleaner'!$G$2:$G$10001,0)),"")</f>
        <v/>
      </c>
    </row>
    <row r="9050">
      <c r="A9050">
        <f>IFERROR(INDEX('Email Cleaner'!$B$2:$B$10001,MATCH(9049,'Email Cleaner'!$G$2:$G$10001,0)),"")</f>
        <v/>
      </c>
    </row>
    <row r="9051">
      <c r="A9051">
        <f>IFERROR(INDEX('Email Cleaner'!$B$2:$B$10001,MATCH(9050,'Email Cleaner'!$G$2:$G$10001,0)),"")</f>
        <v/>
      </c>
    </row>
    <row r="9052">
      <c r="A9052">
        <f>IFERROR(INDEX('Email Cleaner'!$B$2:$B$10001,MATCH(9051,'Email Cleaner'!$G$2:$G$10001,0)),"")</f>
        <v/>
      </c>
    </row>
    <row r="9053">
      <c r="A9053">
        <f>IFERROR(INDEX('Email Cleaner'!$B$2:$B$10001,MATCH(9052,'Email Cleaner'!$G$2:$G$10001,0)),"")</f>
        <v/>
      </c>
    </row>
    <row r="9054">
      <c r="A9054">
        <f>IFERROR(INDEX('Email Cleaner'!$B$2:$B$10001,MATCH(9053,'Email Cleaner'!$G$2:$G$10001,0)),"")</f>
        <v/>
      </c>
    </row>
    <row r="9055">
      <c r="A9055">
        <f>IFERROR(INDEX('Email Cleaner'!$B$2:$B$10001,MATCH(9054,'Email Cleaner'!$G$2:$G$10001,0)),"")</f>
        <v/>
      </c>
    </row>
    <row r="9056">
      <c r="A9056">
        <f>IFERROR(INDEX('Email Cleaner'!$B$2:$B$10001,MATCH(9055,'Email Cleaner'!$G$2:$G$10001,0)),"")</f>
        <v/>
      </c>
    </row>
    <row r="9057">
      <c r="A9057">
        <f>IFERROR(INDEX('Email Cleaner'!$B$2:$B$10001,MATCH(9056,'Email Cleaner'!$G$2:$G$10001,0)),"")</f>
        <v/>
      </c>
    </row>
    <row r="9058">
      <c r="A9058">
        <f>IFERROR(INDEX('Email Cleaner'!$B$2:$B$10001,MATCH(9057,'Email Cleaner'!$G$2:$G$10001,0)),"")</f>
        <v/>
      </c>
    </row>
    <row r="9059">
      <c r="A9059">
        <f>IFERROR(INDEX('Email Cleaner'!$B$2:$B$10001,MATCH(9058,'Email Cleaner'!$G$2:$G$10001,0)),"")</f>
        <v/>
      </c>
    </row>
    <row r="9060">
      <c r="A9060">
        <f>IFERROR(INDEX('Email Cleaner'!$B$2:$B$10001,MATCH(9059,'Email Cleaner'!$G$2:$G$10001,0)),"")</f>
        <v/>
      </c>
    </row>
    <row r="9061">
      <c r="A9061">
        <f>IFERROR(INDEX('Email Cleaner'!$B$2:$B$10001,MATCH(9060,'Email Cleaner'!$G$2:$G$10001,0)),"")</f>
        <v/>
      </c>
    </row>
    <row r="9062">
      <c r="A9062">
        <f>IFERROR(INDEX('Email Cleaner'!$B$2:$B$10001,MATCH(9061,'Email Cleaner'!$G$2:$G$10001,0)),"")</f>
        <v/>
      </c>
    </row>
    <row r="9063">
      <c r="A9063">
        <f>IFERROR(INDEX('Email Cleaner'!$B$2:$B$10001,MATCH(9062,'Email Cleaner'!$G$2:$G$10001,0)),"")</f>
        <v/>
      </c>
    </row>
    <row r="9064">
      <c r="A9064">
        <f>IFERROR(INDEX('Email Cleaner'!$B$2:$B$10001,MATCH(9063,'Email Cleaner'!$G$2:$G$10001,0)),"")</f>
        <v/>
      </c>
    </row>
    <row r="9065">
      <c r="A9065">
        <f>IFERROR(INDEX('Email Cleaner'!$B$2:$B$10001,MATCH(9064,'Email Cleaner'!$G$2:$G$10001,0)),"")</f>
        <v/>
      </c>
    </row>
    <row r="9066">
      <c r="A9066">
        <f>IFERROR(INDEX('Email Cleaner'!$B$2:$B$10001,MATCH(9065,'Email Cleaner'!$G$2:$G$10001,0)),"")</f>
        <v/>
      </c>
    </row>
    <row r="9067">
      <c r="A9067">
        <f>IFERROR(INDEX('Email Cleaner'!$B$2:$B$10001,MATCH(9066,'Email Cleaner'!$G$2:$G$10001,0)),"")</f>
        <v/>
      </c>
    </row>
    <row r="9068">
      <c r="A9068">
        <f>IFERROR(INDEX('Email Cleaner'!$B$2:$B$10001,MATCH(9067,'Email Cleaner'!$G$2:$G$10001,0)),"")</f>
        <v/>
      </c>
    </row>
    <row r="9069">
      <c r="A9069">
        <f>IFERROR(INDEX('Email Cleaner'!$B$2:$B$10001,MATCH(9068,'Email Cleaner'!$G$2:$G$10001,0)),"")</f>
        <v/>
      </c>
    </row>
    <row r="9070">
      <c r="A9070">
        <f>IFERROR(INDEX('Email Cleaner'!$B$2:$B$10001,MATCH(9069,'Email Cleaner'!$G$2:$G$10001,0)),"")</f>
        <v/>
      </c>
    </row>
    <row r="9071">
      <c r="A9071">
        <f>IFERROR(INDEX('Email Cleaner'!$B$2:$B$10001,MATCH(9070,'Email Cleaner'!$G$2:$G$10001,0)),"")</f>
        <v/>
      </c>
    </row>
    <row r="9072">
      <c r="A9072">
        <f>IFERROR(INDEX('Email Cleaner'!$B$2:$B$10001,MATCH(9071,'Email Cleaner'!$G$2:$G$10001,0)),"")</f>
        <v/>
      </c>
    </row>
    <row r="9073">
      <c r="A9073">
        <f>IFERROR(INDEX('Email Cleaner'!$B$2:$B$10001,MATCH(9072,'Email Cleaner'!$G$2:$G$10001,0)),"")</f>
        <v/>
      </c>
    </row>
    <row r="9074">
      <c r="A9074">
        <f>IFERROR(INDEX('Email Cleaner'!$B$2:$B$10001,MATCH(9073,'Email Cleaner'!$G$2:$G$10001,0)),"")</f>
        <v/>
      </c>
    </row>
    <row r="9075">
      <c r="A9075">
        <f>IFERROR(INDEX('Email Cleaner'!$B$2:$B$10001,MATCH(9074,'Email Cleaner'!$G$2:$G$10001,0)),"")</f>
        <v/>
      </c>
    </row>
    <row r="9076">
      <c r="A9076">
        <f>IFERROR(INDEX('Email Cleaner'!$B$2:$B$10001,MATCH(9075,'Email Cleaner'!$G$2:$G$10001,0)),"")</f>
        <v/>
      </c>
    </row>
    <row r="9077">
      <c r="A9077">
        <f>IFERROR(INDEX('Email Cleaner'!$B$2:$B$10001,MATCH(9076,'Email Cleaner'!$G$2:$G$10001,0)),"")</f>
        <v/>
      </c>
    </row>
    <row r="9078">
      <c r="A9078">
        <f>IFERROR(INDEX('Email Cleaner'!$B$2:$B$10001,MATCH(9077,'Email Cleaner'!$G$2:$G$10001,0)),"")</f>
        <v/>
      </c>
    </row>
    <row r="9079">
      <c r="A9079">
        <f>IFERROR(INDEX('Email Cleaner'!$B$2:$B$10001,MATCH(9078,'Email Cleaner'!$G$2:$G$10001,0)),"")</f>
        <v/>
      </c>
    </row>
    <row r="9080">
      <c r="A9080">
        <f>IFERROR(INDEX('Email Cleaner'!$B$2:$B$10001,MATCH(9079,'Email Cleaner'!$G$2:$G$10001,0)),"")</f>
        <v/>
      </c>
    </row>
    <row r="9081">
      <c r="A9081">
        <f>IFERROR(INDEX('Email Cleaner'!$B$2:$B$10001,MATCH(9080,'Email Cleaner'!$G$2:$G$10001,0)),"")</f>
        <v/>
      </c>
    </row>
    <row r="9082">
      <c r="A9082">
        <f>IFERROR(INDEX('Email Cleaner'!$B$2:$B$10001,MATCH(9081,'Email Cleaner'!$G$2:$G$10001,0)),"")</f>
        <v/>
      </c>
    </row>
    <row r="9083">
      <c r="A9083">
        <f>IFERROR(INDEX('Email Cleaner'!$B$2:$B$10001,MATCH(9082,'Email Cleaner'!$G$2:$G$10001,0)),"")</f>
        <v/>
      </c>
    </row>
    <row r="9084">
      <c r="A9084">
        <f>IFERROR(INDEX('Email Cleaner'!$B$2:$B$10001,MATCH(9083,'Email Cleaner'!$G$2:$G$10001,0)),"")</f>
        <v/>
      </c>
    </row>
    <row r="9085">
      <c r="A9085">
        <f>IFERROR(INDEX('Email Cleaner'!$B$2:$B$10001,MATCH(9084,'Email Cleaner'!$G$2:$G$10001,0)),"")</f>
        <v/>
      </c>
    </row>
    <row r="9086">
      <c r="A9086">
        <f>IFERROR(INDEX('Email Cleaner'!$B$2:$B$10001,MATCH(9085,'Email Cleaner'!$G$2:$G$10001,0)),"")</f>
        <v/>
      </c>
    </row>
    <row r="9087">
      <c r="A9087">
        <f>IFERROR(INDEX('Email Cleaner'!$B$2:$B$10001,MATCH(9086,'Email Cleaner'!$G$2:$G$10001,0)),"")</f>
        <v/>
      </c>
    </row>
    <row r="9088">
      <c r="A9088">
        <f>IFERROR(INDEX('Email Cleaner'!$B$2:$B$10001,MATCH(9087,'Email Cleaner'!$G$2:$G$10001,0)),"")</f>
        <v/>
      </c>
    </row>
    <row r="9089">
      <c r="A9089">
        <f>IFERROR(INDEX('Email Cleaner'!$B$2:$B$10001,MATCH(9088,'Email Cleaner'!$G$2:$G$10001,0)),"")</f>
        <v/>
      </c>
    </row>
    <row r="9090">
      <c r="A9090">
        <f>IFERROR(INDEX('Email Cleaner'!$B$2:$B$10001,MATCH(9089,'Email Cleaner'!$G$2:$G$10001,0)),"")</f>
        <v/>
      </c>
    </row>
    <row r="9091">
      <c r="A9091">
        <f>IFERROR(INDEX('Email Cleaner'!$B$2:$B$10001,MATCH(9090,'Email Cleaner'!$G$2:$G$10001,0)),"")</f>
        <v/>
      </c>
    </row>
    <row r="9092">
      <c r="A9092">
        <f>IFERROR(INDEX('Email Cleaner'!$B$2:$B$10001,MATCH(9091,'Email Cleaner'!$G$2:$G$10001,0)),"")</f>
        <v/>
      </c>
    </row>
    <row r="9093">
      <c r="A9093">
        <f>IFERROR(INDEX('Email Cleaner'!$B$2:$B$10001,MATCH(9092,'Email Cleaner'!$G$2:$G$10001,0)),"")</f>
        <v/>
      </c>
    </row>
    <row r="9094">
      <c r="A9094">
        <f>IFERROR(INDEX('Email Cleaner'!$B$2:$B$10001,MATCH(9093,'Email Cleaner'!$G$2:$G$10001,0)),"")</f>
        <v/>
      </c>
    </row>
    <row r="9095">
      <c r="A9095">
        <f>IFERROR(INDEX('Email Cleaner'!$B$2:$B$10001,MATCH(9094,'Email Cleaner'!$G$2:$G$10001,0)),"")</f>
        <v/>
      </c>
    </row>
    <row r="9096">
      <c r="A9096">
        <f>IFERROR(INDEX('Email Cleaner'!$B$2:$B$10001,MATCH(9095,'Email Cleaner'!$G$2:$G$10001,0)),"")</f>
        <v/>
      </c>
    </row>
    <row r="9097">
      <c r="A9097">
        <f>IFERROR(INDEX('Email Cleaner'!$B$2:$B$10001,MATCH(9096,'Email Cleaner'!$G$2:$G$10001,0)),"")</f>
        <v/>
      </c>
    </row>
    <row r="9098">
      <c r="A9098">
        <f>IFERROR(INDEX('Email Cleaner'!$B$2:$B$10001,MATCH(9097,'Email Cleaner'!$G$2:$G$10001,0)),"")</f>
        <v/>
      </c>
    </row>
    <row r="9099">
      <c r="A9099">
        <f>IFERROR(INDEX('Email Cleaner'!$B$2:$B$10001,MATCH(9098,'Email Cleaner'!$G$2:$G$10001,0)),"")</f>
        <v/>
      </c>
    </row>
    <row r="9100">
      <c r="A9100">
        <f>IFERROR(INDEX('Email Cleaner'!$B$2:$B$10001,MATCH(9099,'Email Cleaner'!$G$2:$G$10001,0)),"")</f>
        <v/>
      </c>
    </row>
    <row r="9101">
      <c r="A9101">
        <f>IFERROR(INDEX('Email Cleaner'!$B$2:$B$10001,MATCH(9100,'Email Cleaner'!$G$2:$G$10001,0)),"")</f>
        <v/>
      </c>
    </row>
    <row r="9102">
      <c r="A9102">
        <f>IFERROR(INDEX('Email Cleaner'!$B$2:$B$10001,MATCH(9101,'Email Cleaner'!$G$2:$G$10001,0)),"")</f>
        <v/>
      </c>
    </row>
    <row r="9103">
      <c r="A9103">
        <f>IFERROR(INDEX('Email Cleaner'!$B$2:$B$10001,MATCH(9102,'Email Cleaner'!$G$2:$G$10001,0)),"")</f>
        <v/>
      </c>
    </row>
    <row r="9104">
      <c r="A9104">
        <f>IFERROR(INDEX('Email Cleaner'!$B$2:$B$10001,MATCH(9103,'Email Cleaner'!$G$2:$G$10001,0)),"")</f>
        <v/>
      </c>
    </row>
    <row r="9105">
      <c r="A9105">
        <f>IFERROR(INDEX('Email Cleaner'!$B$2:$B$10001,MATCH(9104,'Email Cleaner'!$G$2:$G$10001,0)),"")</f>
        <v/>
      </c>
    </row>
    <row r="9106">
      <c r="A9106">
        <f>IFERROR(INDEX('Email Cleaner'!$B$2:$B$10001,MATCH(9105,'Email Cleaner'!$G$2:$G$10001,0)),"")</f>
        <v/>
      </c>
    </row>
    <row r="9107">
      <c r="A9107">
        <f>IFERROR(INDEX('Email Cleaner'!$B$2:$B$10001,MATCH(9106,'Email Cleaner'!$G$2:$G$10001,0)),"")</f>
        <v/>
      </c>
    </row>
    <row r="9108">
      <c r="A9108">
        <f>IFERROR(INDEX('Email Cleaner'!$B$2:$B$10001,MATCH(9107,'Email Cleaner'!$G$2:$G$10001,0)),"")</f>
        <v/>
      </c>
    </row>
    <row r="9109">
      <c r="A9109">
        <f>IFERROR(INDEX('Email Cleaner'!$B$2:$B$10001,MATCH(9108,'Email Cleaner'!$G$2:$G$10001,0)),"")</f>
        <v/>
      </c>
    </row>
    <row r="9110">
      <c r="A9110">
        <f>IFERROR(INDEX('Email Cleaner'!$B$2:$B$10001,MATCH(9109,'Email Cleaner'!$G$2:$G$10001,0)),"")</f>
        <v/>
      </c>
    </row>
    <row r="9111">
      <c r="A9111">
        <f>IFERROR(INDEX('Email Cleaner'!$B$2:$B$10001,MATCH(9110,'Email Cleaner'!$G$2:$G$10001,0)),"")</f>
        <v/>
      </c>
    </row>
    <row r="9112">
      <c r="A9112">
        <f>IFERROR(INDEX('Email Cleaner'!$B$2:$B$10001,MATCH(9111,'Email Cleaner'!$G$2:$G$10001,0)),"")</f>
        <v/>
      </c>
    </row>
    <row r="9113">
      <c r="A9113">
        <f>IFERROR(INDEX('Email Cleaner'!$B$2:$B$10001,MATCH(9112,'Email Cleaner'!$G$2:$G$10001,0)),"")</f>
        <v/>
      </c>
    </row>
    <row r="9114">
      <c r="A9114">
        <f>IFERROR(INDEX('Email Cleaner'!$B$2:$B$10001,MATCH(9113,'Email Cleaner'!$G$2:$G$10001,0)),"")</f>
        <v/>
      </c>
    </row>
    <row r="9115">
      <c r="A9115">
        <f>IFERROR(INDEX('Email Cleaner'!$B$2:$B$10001,MATCH(9114,'Email Cleaner'!$G$2:$G$10001,0)),"")</f>
        <v/>
      </c>
    </row>
    <row r="9116">
      <c r="A9116">
        <f>IFERROR(INDEX('Email Cleaner'!$B$2:$B$10001,MATCH(9115,'Email Cleaner'!$G$2:$G$10001,0)),"")</f>
        <v/>
      </c>
    </row>
    <row r="9117">
      <c r="A9117">
        <f>IFERROR(INDEX('Email Cleaner'!$B$2:$B$10001,MATCH(9116,'Email Cleaner'!$G$2:$G$10001,0)),"")</f>
        <v/>
      </c>
    </row>
    <row r="9118">
      <c r="A9118">
        <f>IFERROR(INDEX('Email Cleaner'!$B$2:$B$10001,MATCH(9117,'Email Cleaner'!$G$2:$G$10001,0)),"")</f>
        <v/>
      </c>
    </row>
    <row r="9119">
      <c r="A9119">
        <f>IFERROR(INDEX('Email Cleaner'!$B$2:$B$10001,MATCH(9118,'Email Cleaner'!$G$2:$G$10001,0)),"")</f>
        <v/>
      </c>
    </row>
    <row r="9120">
      <c r="A9120">
        <f>IFERROR(INDEX('Email Cleaner'!$B$2:$B$10001,MATCH(9119,'Email Cleaner'!$G$2:$G$10001,0)),"")</f>
        <v/>
      </c>
    </row>
    <row r="9121">
      <c r="A9121">
        <f>IFERROR(INDEX('Email Cleaner'!$B$2:$B$10001,MATCH(9120,'Email Cleaner'!$G$2:$G$10001,0)),"")</f>
        <v/>
      </c>
    </row>
    <row r="9122">
      <c r="A9122">
        <f>IFERROR(INDEX('Email Cleaner'!$B$2:$B$10001,MATCH(9121,'Email Cleaner'!$G$2:$G$10001,0)),"")</f>
        <v/>
      </c>
    </row>
    <row r="9123">
      <c r="A9123">
        <f>IFERROR(INDEX('Email Cleaner'!$B$2:$B$10001,MATCH(9122,'Email Cleaner'!$G$2:$G$10001,0)),"")</f>
        <v/>
      </c>
    </row>
    <row r="9124">
      <c r="A9124">
        <f>IFERROR(INDEX('Email Cleaner'!$B$2:$B$10001,MATCH(9123,'Email Cleaner'!$G$2:$G$10001,0)),"")</f>
        <v/>
      </c>
    </row>
    <row r="9125">
      <c r="A9125">
        <f>IFERROR(INDEX('Email Cleaner'!$B$2:$B$10001,MATCH(9124,'Email Cleaner'!$G$2:$G$10001,0)),"")</f>
        <v/>
      </c>
    </row>
    <row r="9126">
      <c r="A9126">
        <f>IFERROR(INDEX('Email Cleaner'!$B$2:$B$10001,MATCH(9125,'Email Cleaner'!$G$2:$G$10001,0)),"")</f>
        <v/>
      </c>
    </row>
    <row r="9127">
      <c r="A9127">
        <f>IFERROR(INDEX('Email Cleaner'!$B$2:$B$10001,MATCH(9126,'Email Cleaner'!$G$2:$G$10001,0)),"")</f>
        <v/>
      </c>
    </row>
    <row r="9128">
      <c r="A9128">
        <f>IFERROR(INDEX('Email Cleaner'!$B$2:$B$10001,MATCH(9127,'Email Cleaner'!$G$2:$G$10001,0)),"")</f>
        <v/>
      </c>
    </row>
    <row r="9129">
      <c r="A9129">
        <f>IFERROR(INDEX('Email Cleaner'!$B$2:$B$10001,MATCH(9128,'Email Cleaner'!$G$2:$G$10001,0)),"")</f>
        <v/>
      </c>
    </row>
    <row r="9130">
      <c r="A9130">
        <f>IFERROR(INDEX('Email Cleaner'!$B$2:$B$10001,MATCH(9129,'Email Cleaner'!$G$2:$G$10001,0)),"")</f>
        <v/>
      </c>
    </row>
    <row r="9131">
      <c r="A9131">
        <f>IFERROR(INDEX('Email Cleaner'!$B$2:$B$10001,MATCH(9130,'Email Cleaner'!$G$2:$G$10001,0)),"")</f>
        <v/>
      </c>
    </row>
    <row r="9132">
      <c r="A9132">
        <f>IFERROR(INDEX('Email Cleaner'!$B$2:$B$10001,MATCH(9131,'Email Cleaner'!$G$2:$G$10001,0)),"")</f>
        <v/>
      </c>
    </row>
    <row r="9133">
      <c r="A9133">
        <f>IFERROR(INDEX('Email Cleaner'!$B$2:$B$10001,MATCH(9132,'Email Cleaner'!$G$2:$G$10001,0)),"")</f>
        <v/>
      </c>
    </row>
    <row r="9134">
      <c r="A9134">
        <f>IFERROR(INDEX('Email Cleaner'!$B$2:$B$10001,MATCH(9133,'Email Cleaner'!$G$2:$G$10001,0)),"")</f>
        <v/>
      </c>
    </row>
    <row r="9135">
      <c r="A9135">
        <f>IFERROR(INDEX('Email Cleaner'!$B$2:$B$10001,MATCH(9134,'Email Cleaner'!$G$2:$G$10001,0)),"")</f>
        <v/>
      </c>
    </row>
    <row r="9136">
      <c r="A9136">
        <f>IFERROR(INDEX('Email Cleaner'!$B$2:$B$10001,MATCH(9135,'Email Cleaner'!$G$2:$G$10001,0)),"")</f>
        <v/>
      </c>
    </row>
    <row r="9137">
      <c r="A9137">
        <f>IFERROR(INDEX('Email Cleaner'!$B$2:$B$10001,MATCH(9136,'Email Cleaner'!$G$2:$G$10001,0)),"")</f>
        <v/>
      </c>
    </row>
    <row r="9138">
      <c r="A9138">
        <f>IFERROR(INDEX('Email Cleaner'!$B$2:$B$10001,MATCH(9137,'Email Cleaner'!$G$2:$G$10001,0)),"")</f>
        <v/>
      </c>
    </row>
    <row r="9139">
      <c r="A9139">
        <f>IFERROR(INDEX('Email Cleaner'!$B$2:$B$10001,MATCH(9138,'Email Cleaner'!$G$2:$G$10001,0)),"")</f>
        <v/>
      </c>
    </row>
    <row r="9140">
      <c r="A9140">
        <f>IFERROR(INDEX('Email Cleaner'!$B$2:$B$10001,MATCH(9139,'Email Cleaner'!$G$2:$G$10001,0)),"")</f>
        <v/>
      </c>
    </row>
    <row r="9141">
      <c r="A9141">
        <f>IFERROR(INDEX('Email Cleaner'!$B$2:$B$10001,MATCH(9140,'Email Cleaner'!$G$2:$G$10001,0)),"")</f>
        <v/>
      </c>
    </row>
    <row r="9142">
      <c r="A9142">
        <f>IFERROR(INDEX('Email Cleaner'!$B$2:$B$10001,MATCH(9141,'Email Cleaner'!$G$2:$G$10001,0)),"")</f>
        <v/>
      </c>
    </row>
    <row r="9143">
      <c r="A9143">
        <f>IFERROR(INDEX('Email Cleaner'!$B$2:$B$10001,MATCH(9142,'Email Cleaner'!$G$2:$G$10001,0)),"")</f>
        <v/>
      </c>
    </row>
    <row r="9144">
      <c r="A9144">
        <f>IFERROR(INDEX('Email Cleaner'!$B$2:$B$10001,MATCH(9143,'Email Cleaner'!$G$2:$G$10001,0)),"")</f>
        <v/>
      </c>
    </row>
    <row r="9145">
      <c r="A9145">
        <f>IFERROR(INDEX('Email Cleaner'!$B$2:$B$10001,MATCH(9144,'Email Cleaner'!$G$2:$G$10001,0)),"")</f>
        <v/>
      </c>
    </row>
    <row r="9146">
      <c r="A9146">
        <f>IFERROR(INDEX('Email Cleaner'!$B$2:$B$10001,MATCH(9145,'Email Cleaner'!$G$2:$G$10001,0)),"")</f>
        <v/>
      </c>
    </row>
    <row r="9147">
      <c r="A9147">
        <f>IFERROR(INDEX('Email Cleaner'!$B$2:$B$10001,MATCH(9146,'Email Cleaner'!$G$2:$G$10001,0)),"")</f>
        <v/>
      </c>
    </row>
    <row r="9148">
      <c r="A9148">
        <f>IFERROR(INDEX('Email Cleaner'!$B$2:$B$10001,MATCH(9147,'Email Cleaner'!$G$2:$G$10001,0)),"")</f>
        <v/>
      </c>
    </row>
    <row r="9149">
      <c r="A9149">
        <f>IFERROR(INDEX('Email Cleaner'!$B$2:$B$10001,MATCH(9148,'Email Cleaner'!$G$2:$G$10001,0)),"")</f>
        <v/>
      </c>
    </row>
    <row r="9150">
      <c r="A9150">
        <f>IFERROR(INDEX('Email Cleaner'!$B$2:$B$10001,MATCH(9149,'Email Cleaner'!$G$2:$G$10001,0)),"")</f>
        <v/>
      </c>
    </row>
    <row r="9151">
      <c r="A9151">
        <f>IFERROR(INDEX('Email Cleaner'!$B$2:$B$10001,MATCH(9150,'Email Cleaner'!$G$2:$G$10001,0)),"")</f>
        <v/>
      </c>
    </row>
    <row r="9152">
      <c r="A9152">
        <f>IFERROR(INDEX('Email Cleaner'!$B$2:$B$10001,MATCH(9151,'Email Cleaner'!$G$2:$G$10001,0)),"")</f>
        <v/>
      </c>
    </row>
    <row r="9153">
      <c r="A9153">
        <f>IFERROR(INDEX('Email Cleaner'!$B$2:$B$10001,MATCH(9152,'Email Cleaner'!$G$2:$G$10001,0)),"")</f>
        <v/>
      </c>
    </row>
    <row r="9154">
      <c r="A9154">
        <f>IFERROR(INDEX('Email Cleaner'!$B$2:$B$10001,MATCH(9153,'Email Cleaner'!$G$2:$G$10001,0)),"")</f>
        <v/>
      </c>
    </row>
    <row r="9155">
      <c r="A9155">
        <f>IFERROR(INDEX('Email Cleaner'!$B$2:$B$10001,MATCH(9154,'Email Cleaner'!$G$2:$G$10001,0)),"")</f>
        <v/>
      </c>
    </row>
    <row r="9156">
      <c r="A9156">
        <f>IFERROR(INDEX('Email Cleaner'!$B$2:$B$10001,MATCH(9155,'Email Cleaner'!$G$2:$G$10001,0)),"")</f>
        <v/>
      </c>
    </row>
    <row r="9157">
      <c r="A9157">
        <f>IFERROR(INDEX('Email Cleaner'!$B$2:$B$10001,MATCH(9156,'Email Cleaner'!$G$2:$G$10001,0)),"")</f>
        <v/>
      </c>
    </row>
    <row r="9158">
      <c r="A9158">
        <f>IFERROR(INDEX('Email Cleaner'!$B$2:$B$10001,MATCH(9157,'Email Cleaner'!$G$2:$G$10001,0)),"")</f>
        <v/>
      </c>
    </row>
    <row r="9159">
      <c r="A9159">
        <f>IFERROR(INDEX('Email Cleaner'!$B$2:$B$10001,MATCH(9158,'Email Cleaner'!$G$2:$G$10001,0)),"")</f>
        <v/>
      </c>
    </row>
    <row r="9160">
      <c r="A9160">
        <f>IFERROR(INDEX('Email Cleaner'!$B$2:$B$10001,MATCH(9159,'Email Cleaner'!$G$2:$G$10001,0)),"")</f>
        <v/>
      </c>
    </row>
    <row r="9161">
      <c r="A9161">
        <f>IFERROR(INDEX('Email Cleaner'!$B$2:$B$10001,MATCH(9160,'Email Cleaner'!$G$2:$G$10001,0)),"")</f>
        <v/>
      </c>
    </row>
    <row r="9162">
      <c r="A9162">
        <f>IFERROR(INDEX('Email Cleaner'!$B$2:$B$10001,MATCH(9161,'Email Cleaner'!$G$2:$G$10001,0)),"")</f>
        <v/>
      </c>
    </row>
    <row r="9163">
      <c r="A9163">
        <f>IFERROR(INDEX('Email Cleaner'!$B$2:$B$10001,MATCH(9162,'Email Cleaner'!$G$2:$G$10001,0)),"")</f>
        <v/>
      </c>
    </row>
    <row r="9164">
      <c r="A9164">
        <f>IFERROR(INDEX('Email Cleaner'!$B$2:$B$10001,MATCH(9163,'Email Cleaner'!$G$2:$G$10001,0)),"")</f>
        <v/>
      </c>
    </row>
    <row r="9165">
      <c r="A9165">
        <f>IFERROR(INDEX('Email Cleaner'!$B$2:$B$10001,MATCH(9164,'Email Cleaner'!$G$2:$G$10001,0)),"")</f>
        <v/>
      </c>
    </row>
    <row r="9166">
      <c r="A9166">
        <f>IFERROR(INDEX('Email Cleaner'!$B$2:$B$10001,MATCH(9165,'Email Cleaner'!$G$2:$G$10001,0)),"")</f>
        <v/>
      </c>
    </row>
    <row r="9167">
      <c r="A9167">
        <f>IFERROR(INDEX('Email Cleaner'!$B$2:$B$10001,MATCH(9166,'Email Cleaner'!$G$2:$G$10001,0)),"")</f>
        <v/>
      </c>
    </row>
    <row r="9168">
      <c r="A9168">
        <f>IFERROR(INDEX('Email Cleaner'!$B$2:$B$10001,MATCH(9167,'Email Cleaner'!$G$2:$G$10001,0)),"")</f>
        <v/>
      </c>
    </row>
    <row r="9169">
      <c r="A9169">
        <f>IFERROR(INDEX('Email Cleaner'!$B$2:$B$10001,MATCH(9168,'Email Cleaner'!$G$2:$G$10001,0)),"")</f>
        <v/>
      </c>
    </row>
    <row r="9170">
      <c r="A9170">
        <f>IFERROR(INDEX('Email Cleaner'!$B$2:$B$10001,MATCH(9169,'Email Cleaner'!$G$2:$G$10001,0)),"")</f>
        <v/>
      </c>
    </row>
    <row r="9171">
      <c r="A9171">
        <f>IFERROR(INDEX('Email Cleaner'!$B$2:$B$10001,MATCH(9170,'Email Cleaner'!$G$2:$G$10001,0)),"")</f>
        <v/>
      </c>
    </row>
    <row r="9172">
      <c r="A9172">
        <f>IFERROR(INDEX('Email Cleaner'!$B$2:$B$10001,MATCH(9171,'Email Cleaner'!$G$2:$G$10001,0)),"")</f>
        <v/>
      </c>
    </row>
    <row r="9173">
      <c r="A9173">
        <f>IFERROR(INDEX('Email Cleaner'!$B$2:$B$10001,MATCH(9172,'Email Cleaner'!$G$2:$G$10001,0)),"")</f>
        <v/>
      </c>
    </row>
    <row r="9174">
      <c r="A9174">
        <f>IFERROR(INDEX('Email Cleaner'!$B$2:$B$10001,MATCH(9173,'Email Cleaner'!$G$2:$G$10001,0)),"")</f>
        <v/>
      </c>
    </row>
    <row r="9175">
      <c r="A9175">
        <f>IFERROR(INDEX('Email Cleaner'!$B$2:$B$10001,MATCH(9174,'Email Cleaner'!$G$2:$G$10001,0)),"")</f>
        <v/>
      </c>
    </row>
    <row r="9176">
      <c r="A9176">
        <f>IFERROR(INDEX('Email Cleaner'!$B$2:$B$10001,MATCH(9175,'Email Cleaner'!$G$2:$G$10001,0)),"")</f>
        <v/>
      </c>
    </row>
    <row r="9177">
      <c r="A9177">
        <f>IFERROR(INDEX('Email Cleaner'!$B$2:$B$10001,MATCH(9176,'Email Cleaner'!$G$2:$G$10001,0)),"")</f>
        <v/>
      </c>
    </row>
    <row r="9178">
      <c r="A9178">
        <f>IFERROR(INDEX('Email Cleaner'!$B$2:$B$10001,MATCH(9177,'Email Cleaner'!$G$2:$G$10001,0)),"")</f>
        <v/>
      </c>
    </row>
    <row r="9179">
      <c r="A9179">
        <f>IFERROR(INDEX('Email Cleaner'!$B$2:$B$10001,MATCH(9178,'Email Cleaner'!$G$2:$G$10001,0)),"")</f>
        <v/>
      </c>
    </row>
    <row r="9180">
      <c r="A9180">
        <f>IFERROR(INDEX('Email Cleaner'!$B$2:$B$10001,MATCH(9179,'Email Cleaner'!$G$2:$G$10001,0)),"")</f>
        <v/>
      </c>
    </row>
    <row r="9181">
      <c r="A9181">
        <f>IFERROR(INDEX('Email Cleaner'!$B$2:$B$10001,MATCH(9180,'Email Cleaner'!$G$2:$G$10001,0)),"")</f>
        <v/>
      </c>
    </row>
    <row r="9182">
      <c r="A9182">
        <f>IFERROR(INDEX('Email Cleaner'!$B$2:$B$10001,MATCH(9181,'Email Cleaner'!$G$2:$G$10001,0)),"")</f>
        <v/>
      </c>
    </row>
    <row r="9183">
      <c r="A9183">
        <f>IFERROR(INDEX('Email Cleaner'!$B$2:$B$10001,MATCH(9182,'Email Cleaner'!$G$2:$G$10001,0)),"")</f>
        <v/>
      </c>
    </row>
    <row r="9184">
      <c r="A9184">
        <f>IFERROR(INDEX('Email Cleaner'!$B$2:$B$10001,MATCH(9183,'Email Cleaner'!$G$2:$G$10001,0)),"")</f>
        <v/>
      </c>
    </row>
    <row r="9185">
      <c r="A9185">
        <f>IFERROR(INDEX('Email Cleaner'!$B$2:$B$10001,MATCH(9184,'Email Cleaner'!$G$2:$G$10001,0)),"")</f>
        <v/>
      </c>
    </row>
    <row r="9186">
      <c r="A9186">
        <f>IFERROR(INDEX('Email Cleaner'!$B$2:$B$10001,MATCH(9185,'Email Cleaner'!$G$2:$G$10001,0)),"")</f>
        <v/>
      </c>
    </row>
    <row r="9187">
      <c r="A9187">
        <f>IFERROR(INDEX('Email Cleaner'!$B$2:$B$10001,MATCH(9186,'Email Cleaner'!$G$2:$G$10001,0)),"")</f>
        <v/>
      </c>
    </row>
    <row r="9188">
      <c r="A9188">
        <f>IFERROR(INDEX('Email Cleaner'!$B$2:$B$10001,MATCH(9187,'Email Cleaner'!$G$2:$G$10001,0)),"")</f>
        <v/>
      </c>
    </row>
    <row r="9189">
      <c r="A9189">
        <f>IFERROR(INDEX('Email Cleaner'!$B$2:$B$10001,MATCH(9188,'Email Cleaner'!$G$2:$G$10001,0)),"")</f>
        <v/>
      </c>
    </row>
    <row r="9190">
      <c r="A9190">
        <f>IFERROR(INDEX('Email Cleaner'!$B$2:$B$10001,MATCH(9189,'Email Cleaner'!$G$2:$G$10001,0)),"")</f>
        <v/>
      </c>
    </row>
    <row r="9191">
      <c r="A9191">
        <f>IFERROR(INDEX('Email Cleaner'!$B$2:$B$10001,MATCH(9190,'Email Cleaner'!$G$2:$G$10001,0)),"")</f>
        <v/>
      </c>
    </row>
    <row r="9192">
      <c r="A9192">
        <f>IFERROR(INDEX('Email Cleaner'!$B$2:$B$10001,MATCH(9191,'Email Cleaner'!$G$2:$G$10001,0)),"")</f>
        <v/>
      </c>
    </row>
    <row r="9193">
      <c r="A9193">
        <f>IFERROR(INDEX('Email Cleaner'!$B$2:$B$10001,MATCH(9192,'Email Cleaner'!$G$2:$G$10001,0)),"")</f>
        <v/>
      </c>
    </row>
    <row r="9194">
      <c r="A9194">
        <f>IFERROR(INDEX('Email Cleaner'!$B$2:$B$10001,MATCH(9193,'Email Cleaner'!$G$2:$G$10001,0)),"")</f>
        <v/>
      </c>
    </row>
    <row r="9195">
      <c r="A9195">
        <f>IFERROR(INDEX('Email Cleaner'!$B$2:$B$10001,MATCH(9194,'Email Cleaner'!$G$2:$G$10001,0)),"")</f>
        <v/>
      </c>
    </row>
    <row r="9196">
      <c r="A9196">
        <f>IFERROR(INDEX('Email Cleaner'!$B$2:$B$10001,MATCH(9195,'Email Cleaner'!$G$2:$G$10001,0)),"")</f>
        <v/>
      </c>
    </row>
    <row r="9197">
      <c r="A9197">
        <f>IFERROR(INDEX('Email Cleaner'!$B$2:$B$10001,MATCH(9196,'Email Cleaner'!$G$2:$G$10001,0)),"")</f>
        <v/>
      </c>
    </row>
    <row r="9198">
      <c r="A9198">
        <f>IFERROR(INDEX('Email Cleaner'!$B$2:$B$10001,MATCH(9197,'Email Cleaner'!$G$2:$G$10001,0)),"")</f>
        <v/>
      </c>
    </row>
    <row r="9199">
      <c r="A9199">
        <f>IFERROR(INDEX('Email Cleaner'!$B$2:$B$10001,MATCH(9198,'Email Cleaner'!$G$2:$G$10001,0)),"")</f>
        <v/>
      </c>
    </row>
    <row r="9200">
      <c r="A9200">
        <f>IFERROR(INDEX('Email Cleaner'!$B$2:$B$10001,MATCH(9199,'Email Cleaner'!$G$2:$G$10001,0)),"")</f>
        <v/>
      </c>
    </row>
    <row r="9201">
      <c r="A9201">
        <f>IFERROR(INDEX('Email Cleaner'!$B$2:$B$10001,MATCH(9200,'Email Cleaner'!$G$2:$G$10001,0)),"")</f>
        <v/>
      </c>
    </row>
    <row r="9202">
      <c r="A9202">
        <f>IFERROR(INDEX('Email Cleaner'!$B$2:$B$10001,MATCH(9201,'Email Cleaner'!$G$2:$G$10001,0)),"")</f>
        <v/>
      </c>
    </row>
    <row r="9203">
      <c r="A9203">
        <f>IFERROR(INDEX('Email Cleaner'!$B$2:$B$10001,MATCH(9202,'Email Cleaner'!$G$2:$G$10001,0)),"")</f>
        <v/>
      </c>
    </row>
    <row r="9204">
      <c r="A9204">
        <f>IFERROR(INDEX('Email Cleaner'!$B$2:$B$10001,MATCH(9203,'Email Cleaner'!$G$2:$G$10001,0)),"")</f>
        <v/>
      </c>
    </row>
    <row r="9205">
      <c r="A9205">
        <f>IFERROR(INDEX('Email Cleaner'!$B$2:$B$10001,MATCH(9204,'Email Cleaner'!$G$2:$G$10001,0)),"")</f>
        <v/>
      </c>
    </row>
    <row r="9206">
      <c r="A9206">
        <f>IFERROR(INDEX('Email Cleaner'!$B$2:$B$10001,MATCH(9205,'Email Cleaner'!$G$2:$G$10001,0)),"")</f>
        <v/>
      </c>
    </row>
    <row r="9207">
      <c r="A9207">
        <f>IFERROR(INDEX('Email Cleaner'!$B$2:$B$10001,MATCH(9206,'Email Cleaner'!$G$2:$G$10001,0)),"")</f>
        <v/>
      </c>
    </row>
    <row r="9208">
      <c r="A9208">
        <f>IFERROR(INDEX('Email Cleaner'!$B$2:$B$10001,MATCH(9207,'Email Cleaner'!$G$2:$G$10001,0)),"")</f>
        <v/>
      </c>
    </row>
    <row r="9209">
      <c r="A9209">
        <f>IFERROR(INDEX('Email Cleaner'!$B$2:$B$10001,MATCH(9208,'Email Cleaner'!$G$2:$G$10001,0)),"")</f>
        <v/>
      </c>
    </row>
    <row r="9210">
      <c r="A9210">
        <f>IFERROR(INDEX('Email Cleaner'!$B$2:$B$10001,MATCH(9209,'Email Cleaner'!$G$2:$G$10001,0)),"")</f>
        <v/>
      </c>
    </row>
    <row r="9211">
      <c r="A9211">
        <f>IFERROR(INDEX('Email Cleaner'!$B$2:$B$10001,MATCH(9210,'Email Cleaner'!$G$2:$G$10001,0)),"")</f>
        <v/>
      </c>
    </row>
    <row r="9212">
      <c r="A9212">
        <f>IFERROR(INDEX('Email Cleaner'!$B$2:$B$10001,MATCH(9211,'Email Cleaner'!$G$2:$G$10001,0)),"")</f>
        <v/>
      </c>
    </row>
    <row r="9213">
      <c r="A9213">
        <f>IFERROR(INDEX('Email Cleaner'!$B$2:$B$10001,MATCH(9212,'Email Cleaner'!$G$2:$G$10001,0)),"")</f>
        <v/>
      </c>
    </row>
    <row r="9214">
      <c r="A9214">
        <f>IFERROR(INDEX('Email Cleaner'!$B$2:$B$10001,MATCH(9213,'Email Cleaner'!$G$2:$G$10001,0)),"")</f>
        <v/>
      </c>
    </row>
    <row r="9215">
      <c r="A9215">
        <f>IFERROR(INDEX('Email Cleaner'!$B$2:$B$10001,MATCH(9214,'Email Cleaner'!$G$2:$G$10001,0)),"")</f>
        <v/>
      </c>
    </row>
    <row r="9216">
      <c r="A9216">
        <f>IFERROR(INDEX('Email Cleaner'!$B$2:$B$10001,MATCH(9215,'Email Cleaner'!$G$2:$G$10001,0)),"")</f>
        <v/>
      </c>
    </row>
    <row r="9217">
      <c r="A9217">
        <f>IFERROR(INDEX('Email Cleaner'!$B$2:$B$10001,MATCH(9216,'Email Cleaner'!$G$2:$G$10001,0)),"")</f>
        <v/>
      </c>
    </row>
    <row r="9218">
      <c r="A9218">
        <f>IFERROR(INDEX('Email Cleaner'!$B$2:$B$10001,MATCH(9217,'Email Cleaner'!$G$2:$G$10001,0)),"")</f>
        <v/>
      </c>
    </row>
    <row r="9219">
      <c r="A9219">
        <f>IFERROR(INDEX('Email Cleaner'!$B$2:$B$10001,MATCH(9218,'Email Cleaner'!$G$2:$G$10001,0)),"")</f>
        <v/>
      </c>
    </row>
    <row r="9220">
      <c r="A9220">
        <f>IFERROR(INDEX('Email Cleaner'!$B$2:$B$10001,MATCH(9219,'Email Cleaner'!$G$2:$G$10001,0)),"")</f>
        <v/>
      </c>
    </row>
    <row r="9221">
      <c r="A9221">
        <f>IFERROR(INDEX('Email Cleaner'!$B$2:$B$10001,MATCH(9220,'Email Cleaner'!$G$2:$G$10001,0)),"")</f>
        <v/>
      </c>
    </row>
    <row r="9222">
      <c r="A9222">
        <f>IFERROR(INDEX('Email Cleaner'!$B$2:$B$10001,MATCH(9221,'Email Cleaner'!$G$2:$G$10001,0)),"")</f>
        <v/>
      </c>
    </row>
    <row r="9223">
      <c r="A9223">
        <f>IFERROR(INDEX('Email Cleaner'!$B$2:$B$10001,MATCH(9222,'Email Cleaner'!$G$2:$G$10001,0)),"")</f>
        <v/>
      </c>
    </row>
    <row r="9224">
      <c r="A9224">
        <f>IFERROR(INDEX('Email Cleaner'!$B$2:$B$10001,MATCH(9223,'Email Cleaner'!$G$2:$G$10001,0)),"")</f>
        <v/>
      </c>
    </row>
    <row r="9225">
      <c r="A9225">
        <f>IFERROR(INDEX('Email Cleaner'!$B$2:$B$10001,MATCH(9224,'Email Cleaner'!$G$2:$G$10001,0)),"")</f>
        <v/>
      </c>
    </row>
    <row r="9226">
      <c r="A9226">
        <f>IFERROR(INDEX('Email Cleaner'!$B$2:$B$10001,MATCH(9225,'Email Cleaner'!$G$2:$G$10001,0)),"")</f>
        <v/>
      </c>
    </row>
    <row r="9227">
      <c r="A9227">
        <f>IFERROR(INDEX('Email Cleaner'!$B$2:$B$10001,MATCH(9226,'Email Cleaner'!$G$2:$G$10001,0)),"")</f>
        <v/>
      </c>
    </row>
    <row r="9228">
      <c r="A9228">
        <f>IFERROR(INDEX('Email Cleaner'!$B$2:$B$10001,MATCH(9227,'Email Cleaner'!$G$2:$G$10001,0)),"")</f>
        <v/>
      </c>
    </row>
    <row r="9229">
      <c r="A9229">
        <f>IFERROR(INDEX('Email Cleaner'!$B$2:$B$10001,MATCH(9228,'Email Cleaner'!$G$2:$G$10001,0)),"")</f>
        <v/>
      </c>
    </row>
    <row r="9230">
      <c r="A9230">
        <f>IFERROR(INDEX('Email Cleaner'!$B$2:$B$10001,MATCH(9229,'Email Cleaner'!$G$2:$G$10001,0)),"")</f>
        <v/>
      </c>
    </row>
    <row r="9231">
      <c r="A9231">
        <f>IFERROR(INDEX('Email Cleaner'!$B$2:$B$10001,MATCH(9230,'Email Cleaner'!$G$2:$G$10001,0)),"")</f>
        <v/>
      </c>
    </row>
    <row r="9232">
      <c r="A9232">
        <f>IFERROR(INDEX('Email Cleaner'!$B$2:$B$10001,MATCH(9231,'Email Cleaner'!$G$2:$G$10001,0)),"")</f>
        <v/>
      </c>
    </row>
    <row r="9233">
      <c r="A9233">
        <f>IFERROR(INDEX('Email Cleaner'!$B$2:$B$10001,MATCH(9232,'Email Cleaner'!$G$2:$G$10001,0)),"")</f>
        <v/>
      </c>
    </row>
    <row r="9234">
      <c r="A9234">
        <f>IFERROR(INDEX('Email Cleaner'!$B$2:$B$10001,MATCH(9233,'Email Cleaner'!$G$2:$G$10001,0)),"")</f>
        <v/>
      </c>
    </row>
    <row r="9235">
      <c r="A9235">
        <f>IFERROR(INDEX('Email Cleaner'!$B$2:$B$10001,MATCH(9234,'Email Cleaner'!$G$2:$G$10001,0)),"")</f>
        <v/>
      </c>
    </row>
    <row r="9236">
      <c r="A9236">
        <f>IFERROR(INDEX('Email Cleaner'!$B$2:$B$10001,MATCH(9235,'Email Cleaner'!$G$2:$G$10001,0)),"")</f>
        <v/>
      </c>
    </row>
    <row r="9237">
      <c r="A9237">
        <f>IFERROR(INDEX('Email Cleaner'!$B$2:$B$10001,MATCH(9236,'Email Cleaner'!$G$2:$G$10001,0)),"")</f>
        <v/>
      </c>
    </row>
    <row r="9238">
      <c r="A9238">
        <f>IFERROR(INDEX('Email Cleaner'!$B$2:$B$10001,MATCH(9237,'Email Cleaner'!$G$2:$G$10001,0)),"")</f>
        <v/>
      </c>
    </row>
    <row r="9239">
      <c r="A9239">
        <f>IFERROR(INDEX('Email Cleaner'!$B$2:$B$10001,MATCH(9238,'Email Cleaner'!$G$2:$G$10001,0)),"")</f>
        <v/>
      </c>
    </row>
    <row r="9240">
      <c r="A9240">
        <f>IFERROR(INDEX('Email Cleaner'!$B$2:$B$10001,MATCH(9239,'Email Cleaner'!$G$2:$G$10001,0)),"")</f>
        <v/>
      </c>
    </row>
    <row r="9241">
      <c r="A9241">
        <f>IFERROR(INDEX('Email Cleaner'!$B$2:$B$10001,MATCH(9240,'Email Cleaner'!$G$2:$G$10001,0)),"")</f>
        <v/>
      </c>
    </row>
    <row r="9242">
      <c r="A9242">
        <f>IFERROR(INDEX('Email Cleaner'!$B$2:$B$10001,MATCH(9241,'Email Cleaner'!$G$2:$G$10001,0)),"")</f>
        <v/>
      </c>
    </row>
    <row r="9243">
      <c r="A9243">
        <f>IFERROR(INDEX('Email Cleaner'!$B$2:$B$10001,MATCH(9242,'Email Cleaner'!$G$2:$G$10001,0)),"")</f>
        <v/>
      </c>
    </row>
    <row r="9244">
      <c r="A9244">
        <f>IFERROR(INDEX('Email Cleaner'!$B$2:$B$10001,MATCH(9243,'Email Cleaner'!$G$2:$G$10001,0)),"")</f>
        <v/>
      </c>
    </row>
    <row r="9245">
      <c r="A9245">
        <f>IFERROR(INDEX('Email Cleaner'!$B$2:$B$10001,MATCH(9244,'Email Cleaner'!$G$2:$G$10001,0)),"")</f>
        <v/>
      </c>
    </row>
    <row r="9246">
      <c r="A9246">
        <f>IFERROR(INDEX('Email Cleaner'!$B$2:$B$10001,MATCH(9245,'Email Cleaner'!$G$2:$G$10001,0)),"")</f>
        <v/>
      </c>
    </row>
    <row r="9247">
      <c r="A9247">
        <f>IFERROR(INDEX('Email Cleaner'!$B$2:$B$10001,MATCH(9246,'Email Cleaner'!$G$2:$G$10001,0)),"")</f>
        <v/>
      </c>
    </row>
    <row r="9248">
      <c r="A9248">
        <f>IFERROR(INDEX('Email Cleaner'!$B$2:$B$10001,MATCH(9247,'Email Cleaner'!$G$2:$G$10001,0)),"")</f>
        <v/>
      </c>
    </row>
    <row r="9249">
      <c r="A9249">
        <f>IFERROR(INDEX('Email Cleaner'!$B$2:$B$10001,MATCH(9248,'Email Cleaner'!$G$2:$G$10001,0)),"")</f>
        <v/>
      </c>
    </row>
    <row r="9250">
      <c r="A9250">
        <f>IFERROR(INDEX('Email Cleaner'!$B$2:$B$10001,MATCH(9249,'Email Cleaner'!$G$2:$G$10001,0)),"")</f>
        <v/>
      </c>
    </row>
    <row r="9251">
      <c r="A9251">
        <f>IFERROR(INDEX('Email Cleaner'!$B$2:$B$10001,MATCH(9250,'Email Cleaner'!$G$2:$G$10001,0)),"")</f>
        <v/>
      </c>
    </row>
    <row r="9252">
      <c r="A9252">
        <f>IFERROR(INDEX('Email Cleaner'!$B$2:$B$10001,MATCH(9251,'Email Cleaner'!$G$2:$G$10001,0)),"")</f>
        <v/>
      </c>
    </row>
    <row r="9253">
      <c r="A9253">
        <f>IFERROR(INDEX('Email Cleaner'!$B$2:$B$10001,MATCH(9252,'Email Cleaner'!$G$2:$G$10001,0)),"")</f>
        <v/>
      </c>
    </row>
    <row r="9254">
      <c r="A9254">
        <f>IFERROR(INDEX('Email Cleaner'!$B$2:$B$10001,MATCH(9253,'Email Cleaner'!$G$2:$G$10001,0)),"")</f>
        <v/>
      </c>
    </row>
    <row r="9255">
      <c r="A9255">
        <f>IFERROR(INDEX('Email Cleaner'!$B$2:$B$10001,MATCH(9254,'Email Cleaner'!$G$2:$G$10001,0)),"")</f>
        <v/>
      </c>
    </row>
    <row r="9256">
      <c r="A9256">
        <f>IFERROR(INDEX('Email Cleaner'!$B$2:$B$10001,MATCH(9255,'Email Cleaner'!$G$2:$G$10001,0)),"")</f>
        <v/>
      </c>
    </row>
    <row r="9257">
      <c r="A9257">
        <f>IFERROR(INDEX('Email Cleaner'!$B$2:$B$10001,MATCH(9256,'Email Cleaner'!$G$2:$G$10001,0)),"")</f>
        <v/>
      </c>
    </row>
    <row r="9258">
      <c r="A9258">
        <f>IFERROR(INDEX('Email Cleaner'!$B$2:$B$10001,MATCH(9257,'Email Cleaner'!$G$2:$G$10001,0)),"")</f>
        <v/>
      </c>
    </row>
    <row r="9259">
      <c r="A9259">
        <f>IFERROR(INDEX('Email Cleaner'!$B$2:$B$10001,MATCH(9258,'Email Cleaner'!$G$2:$G$10001,0)),"")</f>
        <v/>
      </c>
    </row>
    <row r="9260">
      <c r="A9260">
        <f>IFERROR(INDEX('Email Cleaner'!$B$2:$B$10001,MATCH(9259,'Email Cleaner'!$G$2:$G$10001,0)),"")</f>
        <v/>
      </c>
    </row>
    <row r="9261">
      <c r="A9261">
        <f>IFERROR(INDEX('Email Cleaner'!$B$2:$B$10001,MATCH(9260,'Email Cleaner'!$G$2:$G$10001,0)),"")</f>
        <v/>
      </c>
    </row>
    <row r="9262">
      <c r="A9262">
        <f>IFERROR(INDEX('Email Cleaner'!$B$2:$B$10001,MATCH(9261,'Email Cleaner'!$G$2:$G$10001,0)),"")</f>
        <v/>
      </c>
    </row>
    <row r="9263">
      <c r="A9263">
        <f>IFERROR(INDEX('Email Cleaner'!$B$2:$B$10001,MATCH(9262,'Email Cleaner'!$G$2:$G$10001,0)),"")</f>
        <v/>
      </c>
    </row>
    <row r="9264">
      <c r="A9264">
        <f>IFERROR(INDEX('Email Cleaner'!$B$2:$B$10001,MATCH(9263,'Email Cleaner'!$G$2:$G$10001,0)),"")</f>
        <v/>
      </c>
    </row>
    <row r="9265">
      <c r="A9265">
        <f>IFERROR(INDEX('Email Cleaner'!$B$2:$B$10001,MATCH(9264,'Email Cleaner'!$G$2:$G$10001,0)),"")</f>
        <v/>
      </c>
    </row>
    <row r="9266">
      <c r="A9266">
        <f>IFERROR(INDEX('Email Cleaner'!$B$2:$B$10001,MATCH(9265,'Email Cleaner'!$G$2:$G$10001,0)),"")</f>
        <v/>
      </c>
    </row>
    <row r="9267">
      <c r="A9267">
        <f>IFERROR(INDEX('Email Cleaner'!$B$2:$B$10001,MATCH(9266,'Email Cleaner'!$G$2:$G$10001,0)),"")</f>
        <v/>
      </c>
    </row>
    <row r="9268">
      <c r="A9268">
        <f>IFERROR(INDEX('Email Cleaner'!$B$2:$B$10001,MATCH(9267,'Email Cleaner'!$G$2:$G$10001,0)),"")</f>
        <v/>
      </c>
    </row>
    <row r="9269">
      <c r="A9269">
        <f>IFERROR(INDEX('Email Cleaner'!$B$2:$B$10001,MATCH(9268,'Email Cleaner'!$G$2:$G$10001,0)),"")</f>
        <v/>
      </c>
    </row>
    <row r="9270">
      <c r="A9270">
        <f>IFERROR(INDEX('Email Cleaner'!$B$2:$B$10001,MATCH(9269,'Email Cleaner'!$G$2:$G$10001,0)),"")</f>
        <v/>
      </c>
    </row>
    <row r="9271">
      <c r="A9271">
        <f>IFERROR(INDEX('Email Cleaner'!$B$2:$B$10001,MATCH(9270,'Email Cleaner'!$G$2:$G$10001,0)),"")</f>
        <v/>
      </c>
    </row>
    <row r="9272">
      <c r="A9272">
        <f>IFERROR(INDEX('Email Cleaner'!$B$2:$B$10001,MATCH(9271,'Email Cleaner'!$G$2:$G$10001,0)),"")</f>
        <v/>
      </c>
    </row>
    <row r="9273">
      <c r="A9273">
        <f>IFERROR(INDEX('Email Cleaner'!$B$2:$B$10001,MATCH(9272,'Email Cleaner'!$G$2:$G$10001,0)),"")</f>
        <v/>
      </c>
    </row>
    <row r="9274">
      <c r="A9274">
        <f>IFERROR(INDEX('Email Cleaner'!$B$2:$B$10001,MATCH(9273,'Email Cleaner'!$G$2:$G$10001,0)),"")</f>
        <v/>
      </c>
    </row>
    <row r="9275">
      <c r="A9275">
        <f>IFERROR(INDEX('Email Cleaner'!$B$2:$B$10001,MATCH(9274,'Email Cleaner'!$G$2:$G$10001,0)),"")</f>
        <v/>
      </c>
    </row>
    <row r="9276">
      <c r="A9276">
        <f>IFERROR(INDEX('Email Cleaner'!$B$2:$B$10001,MATCH(9275,'Email Cleaner'!$G$2:$G$10001,0)),"")</f>
        <v/>
      </c>
    </row>
    <row r="9277">
      <c r="A9277">
        <f>IFERROR(INDEX('Email Cleaner'!$B$2:$B$10001,MATCH(9276,'Email Cleaner'!$G$2:$G$10001,0)),"")</f>
        <v/>
      </c>
    </row>
    <row r="9278">
      <c r="A9278">
        <f>IFERROR(INDEX('Email Cleaner'!$B$2:$B$10001,MATCH(9277,'Email Cleaner'!$G$2:$G$10001,0)),"")</f>
        <v/>
      </c>
    </row>
    <row r="9279">
      <c r="A9279">
        <f>IFERROR(INDEX('Email Cleaner'!$B$2:$B$10001,MATCH(9278,'Email Cleaner'!$G$2:$G$10001,0)),"")</f>
        <v/>
      </c>
    </row>
    <row r="9280">
      <c r="A9280">
        <f>IFERROR(INDEX('Email Cleaner'!$B$2:$B$10001,MATCH(9279,'Email Cleaner'!$G$2:$G$10001,0)),"")</f>
        <v/>
      </c>
    </row>
    <row r="9281">
      <c r="A9281">
        <f>IFERROR(INDEX('Email Cleaner'!$B$2:$B$10001,MATCH(9280,'Email Cleaner'!$G$2:$G$10001,0)),"")</f>
        <v/>
      </c>
    </row>
    <row r="9282">
      <c r="A9282">
        <f>IFERROR(INDEX('Email Cleaner'!$B$2:$B$10001,MATCH(9281,'Email Cleaner'!$G$2:$G$10001,0)),"")</f>
        <v/>
      </c>
    </row>
    <row r="9283">
      <c r="A9283">
        <f>IFERROR(INDEX('Email Cleaner'!$B$2:$B$10001,MATCH(9282,'Email Cleaner'!$G$2:$G$10001,0)),"")</f>
        <v/>
      </c>
    </row>
    <row r="9284">
      <c r="A9284">
        <f>IFERROR(INDEX('Email Cleaner'!$B$2:$B$10001,MATCH(9283,'Email Cleaner'!$G$2:$G$10001,0)),"")</f>
        <v/>
      </c>
    </row>
    <row r="9285">
      <c r="A9285">
        <f>IFERROR(INDEX('Email Cleaner'!$B$2:$B$10001,MATCH(9284,'Email Cleaner'!$G$2:$G$10001,0)),"")</f>
        <v/>
      </c>
    </row>
    <row r="9286">
      <c r="A9286">
        <f>IFERROR(INDEX('Email Cleaner'!$B$2:$B$10001,MATCH(9285,'Email Cleaner'!$G$2:$G$10001,0)),"")</f>
        <v/>
      </c>
    </row>
    <row r="9287">
      <c r="A9287">
        <f>IFERROR(INDEX('Email Cleaner'!$B$2:$B$10001,MATCH(9286,'Email Cleaner'!$G$2:$G$10001,0)),"")</f>
        <v/>
      </c>
    </row>
    <row r="9288">
      <c r="A9288">
        <f>IFERROR(INDEX('Email Cleaner'!$B$2:$B$10001,MATCH(9287,'Email Cleaner'!$G$2:$G$10001,0)),"")</f>
        <v/>
      </c>
    </row>
    <row r="9289">
      <c r="A9289">
        <f>IFERROR(INDEX('Email Cleaner'!$B$2:$B$10001,MATCH(9288,'Email Cleaner'!$G$2:$G$10001,0)),"")</f>
        <v/>
      </c>
    </row>
    <row r="9290">
      <c r="A9290">
        <f>IFERROR(INDEX('Email Cleaner'!$B$2:$B$10001,MATCH(9289,'Email Cleaner'!$G$2:$G$10001,0)),"")</f>
        <v/>
      </c>
    </row>
    <row r="9291">
      <c r="A9291">
        <f>IFERROR(INDEX('Email Cleaner'!$B$2:$B$10001,MATCH(9290,'Email Cleaner'!$G$2:$G$10001,0)),"")</f>
        <v/>
      </c>
    </row>
    <row r="9292">
      <c r="A9292">
        <f>IFERROR(INDEX('Email Cleaner'!$B$2:$B$10001,MATCH(9291,'Email Cleaner'!$G$2:$G$10001,0)),"")</f>
        <v/>
      </c>
    </row>
    <row r="9293">
      <c r="A9293">
        <f>IFERROR(INDEX('Email Cleaner'!$B$2:$B$10001,MATCH(9292,'Email Cleaner'!$G$2:$G$10001,0)),"")</f>
        <v/>
      </c>
    </row>
    <row r="9294">
      <c r="A9294">
        <f>IFERROR(INDEX('Email Cleaner'!$B$2:$B$10001,MATCH(9293,'Email Cleaner'!$G$2:$G$10001,0)),"")</f>
        <v/>
      </c>
    </row>
    <row r="9295">
      <c r="A9295">
        <f>IFERROR(INDEX('Email Cleaner'!$B$2:$B$10001,MATCH(9294,'Email Cleaner'!$G$2:$G$10001,0)),"")</f>
        <v/>
      </c>
    </row>
    <row r="9296">
      <c r="A9296">
        <f>IFERROR(INDEX('Email Cleaner'!$B$2:$B$10001,MATCH(9295,'Email Cleaner'!$G$2:$G$10001,0)),"")</f>
        <v/>
      </c>
    </row>
    <row r="9297">
      <c r="A9297">
        <f>IFERROR(INDEX('Email Cleaner'!$B$2:$B$10001,MATCH(9296,'Email Cleaner'!$G$2:$G$10001,0)),"")</f>
        <v/>
      </c>
    </row>
    <row r="9298">
      <c r="A9298">
        <f>IFERROR(INDEX('Email Cleaner'!$B$2:$B$10001,MATCH(9297,'Email Cleaner'!$G$2:$G$10001,0)),"")</f>
        <v/>
      </c>
    </row>
    <row r="9299">
      <c r="A9299">
        <f>IFERROR(INDEX('Email Cleaner'!$B$2:$B$10001,MATCH(9298,'Email Cleaner'!$G$2:$G$10001,0)),"")</f>
        <v/>
      </c>
    </row>
    <row r="9300">
      <c r="A9300">
        <f>IFERROR(INDEX('Email Cleaner'!$B$2:$B$10001,MATCH(9299,'Email Cleaner'!$G$2:$G$10001,0)),"")</f>
        <v/>
      </c>
    </row>
    <row r="9301">
      <c r="A9301">
        <f>IFERROR(INDEX('Email Cleaner'!$B$2:$B$10001,MATCH(9300,'Email Cleaner'!$G$2:$G$10001,0)),"")</f>
        <v/>
      </c>
    </row>
    <row r="9302">
      <c r="A9302">
        <f>IFERROR(INDEX('Email Cleaner'!$B$2:$B$10001,MATCH(9301,'Email Cleaner'!$G$2:$G$10001,0)),"")</f>
        <v/>
      </c>
    </row>
    <row r="9303">
      <c r="A9303">
        <f>IFERROR(INDEX('Email Cleaner'!$B$2:$B$10001,MATCH(9302,'Email Cleaner'!$G$2:$G$10001,0)),"")</f>
        <v/>
      </c>
    </row>
    <row r="9304">
      <c r="A9304">
        <f>IFERROR(INDEX('Email Cleaner'!$B$2:$B$10001,MATCH(9303,'Email Cleaner'!$G$2:$G$10001,0)),"")</f>
        <v/>
      </c>
    </row>
    <row r="9305">
      <c r="A9305">
        <f>IFERROR(INDEX('Email Cleaner'!$B$2:$B$10001,MATCH(9304,'Email Cleaner'!$G$2:$G$10001,0)),"")</f>
        <v/>
      </c>
    </row>
    <row r="9306">
      <c r="A9306">
        <f>IFERROR(INDEX('Email Cleaner'!$B$2:$B$10001,MATCH(9305,'Email Cleaner'!$G$2:$G$10001,0)),"")</f>
        <v/>
      </c>
    </row>
    <row r="9307">
      <c r="A9307">
        <f>IFERROR(INDEX('Email Cleaner'!$B$2:$B$10001,MATCH(9306,'Email Cleaner'!$G$2:$G$10001,0)),"")</f>
        <v/>
      </c>
    </row>
    <row r="9308">
      <c r="A9308">
        <f>IFERROR(INDEX('Email Cleaner'!$B$2:$B$10001,MATCH(9307,'Email Cleaner'!$G$2:$G$10001,0)),"")</f>
        <v/>
      </c>
    </row>
    <row r="9309">
      <c r="A9309">
        <f>IFERROR(INDEX('Email Cleaner'!$B$2:$B$10001,MATCH(9308,'Email Cleaner'!$G$2:$G$10001,0)),"")</f>
        <v/>
      </c>
    </row>
    <row r="9310">
      <c r="A9310">
        <f>IFERROR(INDEX('Email Cleaner'!$B$2:$B$10001,MATCH(9309,'Email Cleaner'!$G$2:$G$10001,0)),"")</f>
        <v/>
      </c>
    </row>
    <row r="9311">
      <c r="A9311">
        <f>IFERROR(INDEX('Email Cleaner'!$B$2:$B$10001,MATCH(9310,'Email Cleaner'!$G$2:$G$10001,0)),"")</f>
        <v/>
      </c>
    </row>
    <row r="9312">
      <c r="A9312">
        <f>IFERROR(INDEX('Email Cleaner'!$B$2:$B$10001,MATCH(9311,'Email Cleaner'!$G$2:$G$10001,0)),"")</f>
        <v/>
      </c>
    </row>
    <row r="9313">
      <c r="A9313">
        <f>IFERROR(INDEX('Email Cleaner'!$B$2:$B$10001,MATCH(9312,'Email Cleaner'!$G$2:$G$10001,0)),"")</f>
        <v/>
      </c>
    </row>
    <row r="9314">
      <c r="A9314">
        <f>IFERROR(INDEX('Email Cleaner'!$B$2:$B$10001,MATCH(9313,'Email Cleaner'!$G$2:$G$10001,0)),"")</f>
        <v/>
      </c>
    </row>
    <row r="9315">
      <c r="A9315">
        <f>IFERROR(INDEX('Email Cleaner'!$B$2:$B$10001,MATCH(9314,'Email Cleaner'!$G$2:$G$10001,0)),"")</f>
        <v/>
      </c>
    </row>
    <row r="9316">
      <c r="A9316">
        <f>IFERROR(INDEX('Email Cleaner'!$B$2:$B$10001,MATCH(9315,'Email Cleaner'!$G$2:$G$10001,0)),"")</f>
        <v/>
      </c>
    </row>
    <row r="9317">
      <c r="A9317">
        <f>IFERROR(INDEX('Email Cleaner'!$B$2:$B$10001,MATCH(9316,'Email Cleaner'!$G$2:$G$10001,0)),"")</f>
        <v/>
      </c>
    </row>
    <row r="9318">
      <c r="A9318">
        <f>IFERROR(INDEX('Email Cleaner'!$B$2:$B$10001,MATCH(9317,'Email Cleaner'!$G$2:$G$10001,0)),"")</f>
        <v/>
      </c>
    </row>
    <row r="9319">
      <c r="A9319">
        <f>IFERROR(INDEX('Email Cleaner'!$B$2:$B$10001,MATCH(9318,'Email Cleaner'!$G$2:$G$10001,0)),"")</f>
        <v/>
      </c>
    </row>
    <row r="9320">
      <c r="A9320">
        <f>IFERROR(INDEX('Email Cleaner'!$B$2:$B$10001,MATCH(9319,'Email Cleaner'!$G$2:$G$10001,0)),"")</f>
        <v/>
      </c>
    </row>
    <row r="9321">
      <c r="A9321">
        <f>IFERROR(INDEX('Email Cleaner'!$B$2:$B$10001,MATCH(9320,'Email Cleaner'!$G$2:$G$10001,0)),"")</f>
        <v/>
      </c>
    </row>
    <row r="9322">
      <c r="A9322">
        <f>IFERROR(INDEX('Email Cleaner'!$B$2:$B$10001,MATCH(9321,'Email Cleaner'!$G$2:$G$10001,0)),"")</f>
        <v/>
      </c>
    </row>
    <row r="9323">
      <c r="A9323">
        <f>IFERROR(INDEX('Email Cleaner'!$B$2:$B$10001,MATCH(9322,'Email Cleaner'!$G$2:$G$10001,0)),"")</f>
        <v/>
      </c>
    </row>
    <row r="9324">
      <c r="A9324">
        <f>IFERROR(INDEX('Email Cleaner'!$B$2:$B$10001,MATCH(9323,'Email Cleaner'!$G$2:$G$10001,0)),"")</f>
        <v/>
      </c>
    </row>
    <row r="9325">
      <c r="A9325">
        <f>IFERROR(INDEX('Email Cleaner'!$B$2:$B$10001,MATCH(9324,'Email Cleaner'!$G$2:$G$10001,0)),"")</f>
        <v/>
      </c>
    </row>
    <row r="9326">
      <c r="A9326">
        <f>IFERROR(INDEX('Email Cleaner'!$B$2:$B$10001,MATCH(9325,'Email Cleaner'!$G$2:$G$10001,0)),"")</f>
        <v/>
      </c>
    </row>
    <row r="9327">
      <c r="A9327">
        <f>IFERROR(INDEX('Email Cleaner'!$B$2:$B$10001,MATCH(9326,'Email Cleaner'!$G$2:$G$10001,0)),"")</f>
        <v/>
      </c>
    </row>
    <row r="9328">
      <c r="A9328">
        <f>IFERROR(INDEX('Email Cleaner'!$B$2:$B$10001,MATCH(9327,'Email Cleaner'!$G$2:$G$10001,0)),"")</f>
        <v/>
      </c>
    </row>
    <row r="9329">
      <c r="A9329">
        <f>IFERROR(INDEX('Email Cleaner'!$B$2:$B$10001,MATCH(9328,'Email Cleaner'!$G$2:$G$10001,0)),"")</f>
        <v/>
      </c>
    </row>
    <row r="9330">
      <c r="A9330">
        <f>IFERROR(INDEX('Email Cleaner'!$B$2:$B$10001,MATCH(9329,'Email Cleaner'!$G$2:$G$10001,0)),"")</f>
        <v/>
      </c>
    </row>
    <row r="9331">
      <c r="A9331">
        <f>IFERROR(INDEX('Email Cleaner'!$B$2:$B$10001,MATCH(9330,'Email Cleaner'!$G$2:$G$10001,0)),"")</f>
        <v/>
      </c>
    </row>
    <row r="9332">
      <c r="A9332">
        <f>IFERROR(INDEX('Email Cleaner'!$B$2:$B$10001,MATCH(9331,'Email Cleaner'!$G$2:$G$10001,0)),"")</f>
        <v/>
      </c>
    </row>
    <row r="9333">
      <c r="A9333">
        <f>IFERROR(INDEX('Email Cleaner'!$B$2:$B$10001,MATCH(9332,'Email Cleaner'!$G$2:$G$10001,0)),"")</f>
        <v/>
      </c>
    </row>
    <row r="9334">
      <c r="A9334">
        <f>IFERROR(INDEX('Email Cleaner'!$B$2:$B$10001,MATCH(9333,'Email Cleaner'!$G$2:$G$10001,0)),"")</f>
        <v/>
      </c>
    </row>
    <row r="9335">
      <c r="A9335">
        <f>IFERROR(INDEX('Email Cleaner'!$B$2:$B$10001,MATCH(9334,'Email Cleaner'!$G$2:$G$10001,0)),"")</f>
        <v/>
      </c>
    </row>
    <row r="9336">
      <c r="A9336">
        <f>IFERROR(INDEX('Email Cleaner'!$B$2:$B$10001,MATCH(9335,'Email Cleaner'!$G$2:$G$10001,0)),"")</f>
        <v/>
      </c>
    </row>
    <row r="9337">
      <c r="A9337">
        <f>IFERROR(INDEX('Email Cleaner'!$B$2:$B$10001,MATCH(9336,'Email Cleaner'!$G$2:$G$10001,0)),"")</f>
        <v/>
      </c>
    </row>
    <row r="9338">
      <c r="A9338">
        <f>IFERROR(INDEX('Email Cleaner'!$B$2:$B$10001,MATCH(9337,'Email Cleaner'!$G$2:$G$10001,0)),"")</f>
        <v/>
      </c>
    </row>
    <row r="9339">
      <c r="A9339">
        <f>IFERROR(INDEX('Email Cleaner'!$B$2:$B$10001,MATCH(9338,'Email Cleaner'!$G$2:$G$10001,0)),"")</f>
        <v/>
      </c>
    </row>
    <row r="9340">
      <c r="A9340">
        <f>IFERROR(INDEX('Email Cleaner'!$B$2:$B$10001,MATCH(9339,'Email Cleaner'!$G$2:$G$10001,0)),"")</f>
        <v/>
      </c>
    </row>
    <row r="9341">
      <c r="A9341">
        <f>IFERROR(INDEX('Email Cleaner'!$B$2:$B$10001,MATCH(9340,'Email Cleaner'!$G$2:$G$10001,0)),"")</f>
        <v/>
      </c>
    </row>
    <row r="9342">
      <c r="A9342">
        <f>IFERROR(INDEX('Email Cleaner'!$B$2:$B$10001,MATCH(9341,'Email Cleaner'!$G$2:$G$10001,0)),"")</f>
        <v/>
      </c>
    </row>
    <row r="9343">
      <c r="A9343">
        <f>IFERROR(INDEX('Email Cleaner'!$B$2:$B$10001,MATCH(9342,'Email Cleaner'!$G$2:$G$10001,0)),"")</f>
        <v/>
      </c>
    </row>
    <row r="9344">
      <c r="A9344">
        <f>IFERROR(INDEX('Email Cleaner'!$B$2:$B$10001,MATCH(9343,'Email Cleaner'!$G$2:$G$10001,0)),"")</f>
        <v/>
      </c>
    </row>
    <row r="9345">
      <c r="A9345">
        <f>IFERROR(INDEX('Email Cleaner'!$B$2:$B$10001,MATCH(9344,'Email Cleaner'!$G$2:$G$10001,0)),"")</f>
        <v/>
      </c>
    </row>
    <row r="9346">
      <c r="A9346">
        <f>IFERROR(INDEX('Email Cleaner'!$B$2:$B$10001,MATCH(9345,'Email Cleaner'!$G$2:$G$10001,0)),"")</f>
        <v/>
      </c>
    </row>
    <row r="9347">
      <c r="A9347">
        <f>IFERROR(INDEX('Email Cleaner'!$B$2:$B$10001,MATCH(9346,'Email Cleaner'!$G$2:$G$10001,0)),"")</f>
        <v/>
      </c>
    </row>
    <row r="9348">
      <c r="A9348">
        <f>IFERROR(INDEX('Email Cleaner'!$B$2:$B$10001,MATCH(9347,'Email Cleaner'!$G$2:$G$10001,0)),"")</f>
        <v/>
      </c>
    </row>
    <row r="9349">
      <c r="A9349">
        <f>IFERROR(INDEX('Email Cleaner'!$B$2:$B$10001,MATCH(9348,'Email Cleaner'!$G$2:$G$10001,0)),"")</f>
        <v/>
      </c>
    </row>
    <row r="9350">
      <c r="A9350">
        <f>IFERROR(INDEX('Email Cleaner'!$B$2:$B$10001,MATCH(9349,'Email Cleaner'!$G$2:$G$10001,0)),"")</f>
        <v/>
      </c>
    </row>
    <row r="9351">
      <c r="A9351">
        <f>IFERROR(INDEX('Email Cleaner'!$B$2:$B$10001,MATCH(9350,'Email Cleaner'!$G$2:$G$10001,0)),"")</f>
        <v/>
      </c>
    </row>
    <row r="9352">
      <c r="A9352">
        <f>IFERROR(INDEX('Email Cleaner'!$B$2:$B$10001,MATCH(9351,'Email Cleaner'!$G$2:$G$10001,0)),"")</f>
        <v/>
      </c>
    </row>
    <row r="9353">
      <c r="A9353">
        <f>IFERROR(INDEX('Email Cleaner'!$B$2:$B$10001,MATCH(9352,'Email Cleaner'!$G$2:$G$10001,0)),"")</f>
        <v/>
      </c>
    </row>
    <row r="9354">
      <c r="A9354">
        <f>IFERROR(INDEX('Email Cleaner'!$B$2:$B$10001,MATCH(9353,'Email Cleaner'!$G$2:$G$10001,0)),"")</f>
        <v/>
      </c>
    </row>
    <row r="9355">
      <c r="A9355">
        <f>IFERROR(INDEX('Email Cleaner'!$B$2:$B$10001,MATCH(9354,'Email Cleaner'!$G$2:$G$10001,0)),"")</f>
        <v/>
      </c>
    </row>
    <row r="9356">
      <c r="A9356">
        <f>IFERROR(INDEX('Email Cleaner'!$B$2:$B$10001,MATCH(9355,'Email Cleaner'!$G$2:$G$10001,0)),"")</f>
        <v/>
      </c>
    </row>
    <row r="9357">
      <c r="A9357">
        <f>IFERROR(INDEX('Email Cleaner'!$B$2:$B$10001,MATCH(9356,'Email Cleaner'!$G$2:$G$10001,0)),"")</f>
        <v/>
      </c>
    </row>
    <row r="9358">
      <c r="A9358">
        <f>IFERROR(INDEX('Email Cleaner'!$B$2:$B$10001,MATCH(9357,'Email Cleaner'!$G$2:$G$10001,0)),"")</f>
        <v/>
      </c>
    </row>
    <row r="9359">
      <c r="A9359">
        <f>IFERROR(INDEX('Email Cleaner'!$B$2:$B$10001,MATCH(9358,'Email Cleaner'!$G$2:$G$10001,0)),"")</f>
        <v/>
      </c>
    </row>
    <row r="9360">
      <c r="A9360">
        <f>IFERROR(INDEX('Email Cleaner'!$B$2:$B$10001,MATCH(9359,'Email Cleaner'!$G$2:$G$10001,0)),"")</f>
        <v/>
      </c>
    </row>
    <row r="9361">
      <c r="A9361">
        <f>IFERROR(INDEX('Email Cleaner'!$B$2:$B$10001,MATCH(9360,'Email Cleaner'!$G$2:$G$10001,0)),"")</f>
        <v/>
      </c>
    </row>
    <row r="9362">
      <c r="A9362">
        <f>IFERROR(INDEX('Email Cleaner'!$B$2:$B$10001,MATCH(9361,'Email Cleaner'!$G$2:$G$10001,0)),"")</f>
        <v/>
      </c>
    </row>
    <row r="9363">
      <c r="A9363">
        <f>IFERROR(INDEX('Email Cleaner'!$B$2:$B$10001,MATCH(9362,'Email Cleaner'!$G$2:$G$10001,0)),"")</f>
        <v/>
      </c>
    </row>
    <row r="9364">
      <c r="A9364">
        <f>IFERROR(INDEX('Email Cleaner'!$B$2:$B$10001,MATCH(9363,'Email Cleaner'!$G$2:$G$10001,0)),"")</f>
        <v/>
      </c>
    </row>
    <row r="9365">
      <c r="A9365">
        <f>IFERROR(INDEX('Email Cleaner'!$B$2:$B$10001,MATCH(9364,'Email Cleaner'!$G$2:$G$10001,0)),"")</f>
        <v/>
      </c>
    </row>
    <row r="9366">
      <c r="A9366">
        <f>IFERROR(INDEX('Email Cleaner'!$B$2:$B$10001,MATCH(9365,'Email Cleaner'!$G$2:$G$10001,0)),"")</f>
        <v/>
      </c>
    </row>
    <row r="9367">
      <c r="A9367">
        <f>IFERROR(INDEX('Email Cleaner'!$B$2:$B$10001,MATCH(9366,'Email Cleaner'!$G$2:$G$10001,0)),"")</f>
        <v/>
      </c>
    </row>
    <row r="9368">
      <c r="A9368">
        <f>IFERROR(INDEX('Email Cleaner'!$B$2:$B$10001,MATCH(9367,'Email Cleaner'!$G$2:$G$10001,0)),"")</f>
        <v/>
      </c>
    </row>
    <row r="9369">
      <c r="A9369">
        <f>IFERROR(INDEX('Email Cleaner'!$B$2:$B$10001,MATCH(9368,'Email Cleaner'!$G$2:$G$10001,0)),"")</f>
        <v/>
      </c>
    </row>
    <row r="9370">
      <c r="A9370">
        <f>IFERROR(INDEX('Email Cleaner'!$B$2:$B$10001,MATCH(9369,'Email Cleaner'!$G$2:$G$10001,0)),"")</f>
        <v/>
      </c>
    </row>
    <row r="9371">
      <c r="A9371">
        <f>IFERROR(INDEX('Email Cleaner'!$B$2:$B$10001,MATCH(9370,'Email Cleaner'!$G$2:$G$10001,0)),"")</f>
        <v/>
      </c>
    </row>
    <row r="9372">
      <c r="A9372">
        <f>IFERROR(INDEX('Email Cleaner'!$B$2:$B$10001,MATCH(9371,'Email Cleaner'!$G$2:$G$10001,0)),"")</f>
        <v/>
      </c>
    </row>
    <row r="9373">
      <c r="A9373">
        <f>IFERROR(INDEX('Email Cleaner'!$B$2:$B$10001,MATCH(9372,'Email Cleaner'!$G$2:$G$10001,0)),"")</f>
        <v/>
      </c>
    </row>
    <row r="9374">
      <c r="A9374">
        <f>IFERROR(INDEX('Email Cleaner'!$B$2:$B$10001,MATCH(9373,'Email Cleaner'!$G$2:$G$10001,0)),"")</f>
        <v/>
      </c>
    </row>
    <row r="9375">
      <c r="A9375">
        <f>IFERROR(INDEX('Email Cleaner'!$B$2:$B$10001,MATCH(9374,'Email Cleaner'!$G$2:$G$10001,0)),"")</f>
        <v/>
      </c>
    </row>
    <row r="9376">
      <c r="A9376">
        <f>IFERROR(INDEX('Email Cleaner'!$B$2:$B$10001,MATCH(9375,'Email Cleaner'!$G$2:$G$10001,0)),"")</f>
        <v/>
      </c>
    </row>
    <row r="9377">
      <c r="A9377">
        <f>IFERROR(INDEX('Email Cleaner'!$B$2:$B$10001,MATCH(9376,'Email Cleaner'!$G$2:$G$10001,0)),"")</f>
        <v/>
      </c>
    </row>
    <row r="9378">
      <c r="A9378">
        <f>IFERROR(INDEX('Email Cleaner'!$B$2:$B$10001,MATCH(9377,'Email Cleaner'!$G$2:$G$10001,0)),"")</f>
        <v/>
      </c>
    </row>
    <row r="9379">
      <c r="A9379">
        <f>IFERROR(INDEX('Email Cleaner'!$B$2:$B$10001,MATCH(9378,'Email Cleaner'!$G$2:$G$10001,0)),"")</f>
        <v/>
      </c>
    </row>
    <row r="9380">
      <c r="A9380">
        <f>IFERROR(INDEX('Email Cleaner'!$B$2:$B$10001,MATCH(9379,'Email Cleaner'!$G$2:$G$10001,0)),"")</f>
        <v/>
      </c>
    </row>
    <row r="9381">
      <c r="A9381">
        <f>IFERROR(INDEX('Email Cleaner'!$B$2:$B$10001,MATCH(9380,'Email Cleaner'!$G$2:$G$10001,0)),"")</f>
        <v/>
      </c>
    </row>
    <row r="9382">
      <c r="A9382">
        <f>IFERROR(INDEX('Email Cleaner'!$B$2:$B$10001,MATCH(9381,'Email Cleaner'!$G$2:$G$10001,0)),"")</f>
        <v/>
      </c>
    </row>
    <row r="9383">
      <c r="A9383">
        <f>IFERROR(INDEX('Email Cleaner'!$B$2:$B$10001,MATCH(9382,'Email Cleaner'!$G$2:$G$10001,0)),"")</f>
        <v/>
      </c>
    </row>
    <row r="9384">
      <c r="A9384">
        <f>IFERROR(INDEX('Email Cleaner'!$B$2:$B$10001,MATCH(9383,'Email Cleaner'!$G$2:$G$10001,0)),"")</f>
        <v/>
      </c>
    </row>
    <row r="9385">
      <c r="A9385">
        <f>IFERROR(INDEX('Email Cleaner'!$B$2:$B$10001,MATCH(9384,'Email Cleaner'!$G$2:$G$10001,0)),"")</f>
        <v/>
      </c>
    </row>
    <row r="9386">
      <c r="A9386">
        <f>IFERROR(INDEX('Email Cleaner'!$B$2:$B$10001,MATCH(9385,'Email Cleaner'!$G$2:$G$10001,0)),"")</f>
        <v/>
      </c>
    </row>
    <row r="9387">
      <c r="A9387">
        <f>IFERROR(INDEX('Email Cleaner'!$B$2:$B$10001,MATCH(9386,'Email Cleaner'!$G$2:$G$10001,0)),"")</f>
        <v/>
      </c>
    </row>
    <row r="9388">
      <c r="A9388">
        <f>IFERROR(INDEX('Email Cleaner'!$B$2:$B$10001,MATCH(9387,'Email Cleaner'!$G$2:$G$10001,0)),"")</f>
        <v/>
      </c>
    </row>
    <row r="9389">
      <c r="A9389">
        <f>IFERROR(INDEX('Email Cleaner'!$B$2:$B$10001,MATCH(9388,'Email Cleaner'!$G$2:$G$10001,0)),"")</f>
        <v/>
      </c>
    </row>
    <row r="9390">
      <c r="A9390">
        <f>IFERROR(INDEX('Email Cleaner'!$B$2:$B$10001,MATCH(9389,'Email Cleaner'!$G$2:$G$10001,0)),"")</f>
        <v/>
      </c>
    </row>
    <row r="9391">
      <c r="A9391">
        <f>IFERROR(INDEX('Email Cleaner'!$B$2:$B$10001,MATCH(9390,'Email Cleaner'!$G$2:$G$10001,0)),"")</f>
        <v/>
      </c>
    </row>
    <row r="9392">
      <c r="A9392">
        <f>IFERROR(INDEX('Email Cleaner'!$B$2:$B$10001,MATCH(9391,'Email Cleaner'!$G$2:$G$10001,0)),"")</f>
        <v/>
      </c>
    </row>
    <row r="9393">
      <c r="A9393">
        <f>IFERROR(INDEX('Email Cleaner'!$B$2:$B$10001,MATCH(9392,'Email Cleaner'!$G$2:$G$10001,0)),"")</f>
        <v/>
      </c>
    </row>
    <row r="9394">
      <c r="A9394">
        <f>IFERROR(INDEX('Email Cleaner'!$B$2:$B$10001,MATCH(9393,'Email Cleaner'!$G$2:$G$10001,0)),"")</f>
        <v/>
      </c>
    </row>
    <row r="9395">
      <c r="A9395">
        <f>IFERROR(INDEX('Email Cleaner'!$B$2:$B$10001,MATCH(9394,'Email Cleaner'!$G$2:$G$10001,0)),"")</f>
        <v/>
      </c>
    </row>
    <row r="9396">
      <c r="A9396">
        <f>IFERROR(INDEX('Email Cleaner'!$B$2:$B$10001,MATCH(9395,'Email Cleaner'!$G$2:$G$10001,0)),"")</f>
        <v/>
      </c>
    </row>
    <row r="9397">
      <c r="A9397">
        <f>IFERROR(INDEX('Email Cleaner'!$B$2:$B$10001,MATCH(9396,'Email Cleaner'!$G$2:$G$10001,0)),"")</f>
        <v/>
      </c>
    </row>
    <row r="9398">
      <c r="A9398">
        <f>IFERROR(INDEX('Email Cleaner'!$B$2:$B$10001,MATCH(9397,'Email Cleaner'!$G$2:$G$10001,0)),"")</f>
        <v/>
      </c>
    </row>
    <row r="9399">
      <c r="A9399">
        <f>IFERROR(INDEX('Email Cleaner'!$B$2:$B$10001,MATCH(9398,'Email Cleaner'!$G$2:$G$10001,0)),"")</f>
        <v/>
      </c>
    </row>
    <row r="9400">
      <c r="A9400">
        <f>IFERROR(INDEX('Email Cleaner'!$B$2:$B$10001,MATCH(9399,'Email Cleaner'!$G$2:$G$10001,0)),"")</f>
        <v/>
      </c>
    </row>
    <row r="9401">
      <c r="A9401">
        <f>IFERROR(INDEX('Email Cleaner'!$B$2:$B$10001,MATCH(9400,'Email Cleaner'!$G$2:$G$10001,0)),"")</f>
        <v/>
      </c>
    </row>
    <row r="9402">
      <c r="A9402">
        <f>IFERROR(INDEX('Email Cleaner'!$B$2:$B$10001,MATCH(9401,'Email Cleaner'!$G$2:$G$10001,0)),"")</f>
        <v/>
      </c>
    </row>
    <row r="9403">
      <c r="A9403">
        <f>IFERROR(INDEX('Email Cleaner'!$B$2:$B$10001,MATCH(9402,'Email Cleaner'!$G$2:$G$10001,0)),"")</f>
        <v/>
      </c>
    </row>
    <row r="9404">
      <c r="A9404">
        <f>IFERROR(INDEX('Email Cleaner'!$B$2:$B$10001,MATCH(9403,'Email Cleaner'!$G$2:$G$10001,0)),"")</f>
        <v/>
      </c>
    </row>
    <row r="9405">
      <c r="A9405">
        <f>IFERROR(INDEX('Email Cleaner'!$B$2:$B$10001,MATCH(9404,'Email Cleaner'!$G$2:$G$10001,0)),"")</f>
        <v/>
      </c>
    </row>
    <row r="9406">
      <c r="A9406">
        <f>IFERROR(INDEX('Email Cleaner'!$B$2:$B$10001,MATCH(9405,'Email Cleaner'!$G$2:$G$10001,0)),"")</f>
        <v/>
      </c>
    </row>
    <row r="9407">
      <c r="A9407">
        <f>IFERROR(INDEX('Email Cleaner'!$B$2:$B$10001,MATCH(9406,'Email Cleaner'!$G$2:$G$10001,0)),"")</f>
        <v/>
      </c>
    </row>
    <row r="9408">
      <c r="A9408">
        <f>IFERROR(INDEX('Email Cleaner'!$B$2:$B$10001,MATCH(9407,'Email Cleaner'!$G$2:$G$10001,0)),"")</f>
        <v/>
      </c>
    </row>
    <row r="9409">
      <c r="A9409">
        <f>IFERROR(INDEX('Email Cleaner'!$B$2:$B$10001,MATCH(9408,'Email Cleaner'!$G$2:$G$10001,0)),"")</f>
        <v/>
      </c>
    </row>
    <row r="9410">
      <c r="A9410">
        <f>IFERROR(INDEX('Email Cleaner'!$B$2:$B$10001,MATCH(9409,'Email Cleaner'!$G$2:$G$10001,0)),"")</f>
        <v/>
      </c>
    </row>
    <row r="9411">
      <c r="A9411">
        <f>IFERROR(INDEX('Email Cleaner'!$B$2:$B$10001,MATCH(9410,'Email Cleaner'!$G$2:$G$10001,0)),"")</f>
        <v/>
      </c>
    </row>
    <row r="9412">
      <c r="A9412">
        <f>IFERROR(INDEX('Email Cleaner'!$B$2:$B$10001,MATCH(9411,'Email Cleaner'!$G$2:$G$10001,0)),"")</f>
        <v/>
      </c>
    </row>
    <row r="9413">
      <c r="A9413">
        <f>IFERROR(INDEX('Email Cleaner'!$B$2:$B$10001,MATCH(9412,'Email Cleaner'!$G$2:$G$10001,0)),"")</f>
        <v/>
      </c>
    </row>
    <row r="9414">
      <c r="A9414">
        <f>IFERROR(INDEX('Email Cleaner'!$B$2:$B$10001,MATCH(9413,'Email Cleaner'!$G$2:$G$10001,0)),"")</f>
        <v/>
      </c>
    </row>
    <row r="9415">
      <c r="A9415">
        <f>IFERROR(INDEX('Email Cleaner'!$B$2:$B$10001,MATCH(9414,'Email Cleaner'!$G$2:$G$10001,0)),"")</f>
        <v/>
      </c>
    </row>
    <row r="9416">
      <c r="A9416">
        <f>IFERROR(INDEX('Email Cleaner'!$B$2:$B$10001,MATCH(9415,'Email Cleaner'!$G$2:$G$10001,0)),"")</f>
        <v/>
      </c>
    </row>
    <row r="9417">
      <c r="A9417">
        <f>IFERROR(INDEX('Email Cleaner'!$B$2:$B$10001,MATCH(9416,'Email Cleaner'!$G$2:$G$10001,0)),"")</f>
        <v/>
      </c>
    </row>
    <row r="9418">
      <c r="A9418">
        <f>IFERROR(INDEX('Email Cleaner'!$B$2:$B$10001,MATCH(9417,'Email Cleaner'!$G$2:$G$10001,0)),"")</f>
        <v/>
      </c>
    </row>
    <row r="9419">
      <c r="A9419">
        <f>IFERROR(INDEX('Email Cleaner'!$B$2:$B$10001,MATCH(9418,'Email Cleaner'!$G$2:$G$10001,0)),"")</f>
        <v/>
      </c>
    </row>
    <row r="9420">
      <c r="A9420">
        <f>IFERROR(INDEX('Email Cleaner'!$B$2:$B$10001,MATCH(9419,'Email Cleaner'!$G$2:$G$10001,0)),"")</f>
        <v/>
      </c>
    </row>
    <row r="9421">
      <c r="A9421">
        <f>IFERROR(INDEX('Email Cleaner'!$B$2:$B$10001,MATCH(9420,'Email Cleaner'!$G$2:$G$10001,0)),"")</f>
        <v/>
      </c>
    </row>
    <row r="9422">
      <c r="A9422">
        <f>IFERROR(INDEX('Email Cleaner'!$B$2:$B$10001,MATCH(9421,'Email Cleaner'!$G$2:$G$10001,0)),"")</f>
        <v/>
      </c>
    </row>
    <row r="9423">
      <c r="A9423">
        <f>IFERROR(INDEX('Email Cleaner'!$B$2:$B$10001,MATCH(9422,'Email Cleaner'!$G$2:$G$10001,0)),"")</f>
        <v/>
      </c>
    </row>
    <row r="9424">
      <c r="A9424">
        <f>IFERROR(INDEX('Email Cleaner'!$B$2:$B$10001,MATCH(9423,'Email Cleaner'!$G$2:$G$10001,0)),"")</f>
        <v/>
      </c>
    </row>
    <row r="9425">
      <c r="A9425">
        <f>IFERROR(INDEX('Email Cleaner'!$B$2:$B$10001,MATCH(9424,'Email Cleaner'!$G$2:$G$10001,0)),"")</f>
        <v/>
      </c>
    </row>
    <row r="9426">
      <c r="A9426">
        <f>IFERROR(INDEX('Email Cleaner'!$B$2:$B$10001,MATCH(9425,'Email Cleaner'!$G$2:$G$10001,0)),"")</f>
        <v/>
      </c>
    </row>
    <row r="9427">
      <c r="A9427">
        <f>IFERROR(INDEX('Email Cleaner'!$B$2:$B$10001,MATCH(9426,'Email Cleaner'!$G$2:$G$10001,0)),"")</f>
        <v/>
      </c>
    </row>
    <row r="9428">
      <c r="A9428">
        <f>IFERROR(INDEX('Email Cleaner'!$B$2:$B$10001,MATCH(9427,'Email Cleaner'!$G$2:$G$10001,0)),"")</f>
        <v/>
      </c>
    </row>
    <row r="9429">
      <c r="A9429">
        <f>IFERROR(INDEX('Email Cleaner'!$B$2:$B$10001,MATCH(9428,'Email Cleaner'!$G$2:$G$10001,0)),"")</f>
        <v/>
      </c>
    </row>
    <row r="9430">
      <c r="A9430">
        <f>IFERROR(INDEX('Email Cleaner'!$B$2:$B$10001,MATCH(9429,'Email Cleaner'!$G$2:$G$10001,0)),"")</f>
        <v/>
      </c>
    </row>
    <row r="9431">
      <c r="A9431">
        <f>IFERROR(INDEX('Email Cleaner'!$B$2:$B$10001,MATCH(9430,'Email Cleaner'!$G$2:$G$10001,0)),"")</f>
        <v/>
      </c>
    </row>
    <row r="9432">
      <c r="A9432">
        <f>IFERROR(INDEX('Email Cleaner'!$B$2:$B$10001,MATCH(9431,'Email Cleaner'!$G$2:$G$10001,0)),"")</f>
        <v/>
      </c>
    </row>
    <row r="9433">
      <c r="A9433">
        <f>IFERROR(INDEX('Email Cleaner'!$B$2:$B$10001,MATCH(9432,'Email Cleaner'!$G$2:$G$10001,0)),"")</f>
        <v/>
      </c>
    </row>
    <row r="9434">
      <c r="A9434">
        <f>IFERROR(INDEX('Email Cleaner'!$B$2:$B$10001,MATCH(9433,'Email Cleaner'!$G$2:$G$10001,0)),"")</f>
        <v/>
      </c>
    </row>
    <row r="9435">
      <c r="A9435">
        <f>IFERROR(INDEX('Email Cleaner'!$B$2:$B$10001,MATCH(9434,'Email Cleaner'!$G$2:$G$10001,0)),"")</f>
        <v/>
      </c>
    </row>
    <row r="9436">
      <c r="A9436">
        <f>IFERROR(INDEX('Email Cleaner'!$B$2:$B$10001,MATCH(9435,'Email Cleaner'!$G$2:$G$10001,0)),"")</f>
        <v/>
      </c>
    </row>
    <row r="9437">
      <c r="A9437">
        <f>IFERROR(INDEX('Email Cleaner'!$B$2:$B$10001,MATCH(9436,'Email Cleaner'!$G$2:$G$10001,0)),"")</f>
        <v/>
      </c>
    </row>
    <row r="9438">
      <c r="A9438">
        <f>IFERROR(INDEX('Email Cleaner'!$B$2:$B$10001,MATCH(9437,'Email Cleaner'!$G$2:$G$10001,0)),"")</f>
        <v/>
      </c>
    </row>
    <row r="9439">
      <c r="A9439">
        <f>IFERROR(INDEX('Email Cleaner'!$B$2:$B$10001,MATCH(9438,'Email Cleaner'!$G$2:$G$10001,0)),"")</f>
        <v/>
      </c>
    </row>
    <row r="9440">
      <c r="A9440">
        <f>IFERROR(INDEX('Email Cleaner'!$B$2:$B$10001,MATCH(9439,'Email Cleaner'!$G$2:$G$10001,0)),"")</f>
        <v/>
      </c>
    </row>
    <row r="9441">
      <c r="A9441">
        <f>IFERROR(INDEX('Email Cleaner'!$B$2:$B$10001,MATCH(9440,'Email Cleaner'!$G$2:$G$10001,0)),"")</f>
        <v/>
      </c>
    </row>
    <row r="9442">
      <c r="A9442">
        <f>IFERROR(INDEX('Email Cleaner'!$B$2:$B$10001,MATCH(9441,'Email Cleaner'!$G$2:$G$10001,0)),"")</f>
        <v/>
      </c>
    </row>
    <row r="9443">
      <c r="A9443">
        <f>IFERROR(INDEX('Email Cleaner'!$B$2:$B$10001,MATCH(9442,'Email Cleaner'!$G$2:$G$10001,0)),"")</f>
        <v/>
      </c>
    </row>
    <row r="9444">
      <c r="A9444">
        <f>IFERROR(INDEX('Email Cleaner'!$B$2:$B$10001,MATCH(9443,'Email Cleaner'!$G$2:$G$10001,0)),"")</f>
        <v/>
      </c>
    </row>
    <row r="9445">
      <c r="A9445">
        <f>IFERROR(INDEX('Email Cleaner'!$B$2:$B$10001,MATCH(9444,'Email Cleaner'!$G$2:$G$10001,0)),"")</f>
        <v/>
      </c>
    </row>
    <row r="9446">
      <c r="A9446">
        <f>IFERROR(INDEX('Email Cleaner'!$B$2:$B$10001,MATCH(9445,'Email Cleaner'!$G$2:$G$10001,0)),"")</f>
        <v/>
      </c>
    </row>
    <row r="9447">
      <c r="A9447">
        <f>IFERROR(INDEX('Email Cleaner'!$B$2:$B$10001,MATCH(9446,'Email Cleaner'!$G$2:$G$10001,0)),"")</f>
        <v/>
      </c>
    </row>
    <row r="9448">
      <c r="A9448">
        <f>IFERROR(INDEX('Email Cleaner'!$B$2:$B$10001,MATCH(9447,'Email Cleaner'!$G$2:$G$10001,0)),"")</f>
        <v/>
      </c>
    </row>
    <row r="9449">
      <c r="A9449">
        <f>IFERROR(INDEX('Email Cleaner'!$B$2:$B$10001,MATCH(9448,'Email Cleaner'!$G$2:$G$10001,0)),"")</f>
        <v/>
      </c>
    </row>
    <row r="9450">
      <c r="A9450">
        <f>IFERROR(INDEX('Email Cleaner'!$B$2:$B$10001,MATCH(9449,'Email Cleaner'!$G$2:$G$10001,0)),"")</f>
        <v/>
      </c>
    </row>
    <row r="9451">
      <c r="A9451">
        <f>IFERROR(INDEX('Email Cleaner'!$B$2:$B$10001,MATCH(9450,'Email Cleaner'!$G$2:$G$10001,0)),"")</f>
        <v/>
      </c>
    </row>
    <row r="9452">
      <c r="A9452">
        <f>IFERROR(INDEX('Email Cleaner'!$B$2:$B$10001,MATCH(9451,'Email Cleaner'!$G$2:$G$10001,0)),"")</f>
        <v/>
      </c>
    </row>
    <row r="9453">
      <c r="A9453">
        <f>IFERROR(INDEX('Email Cleaner'!$B$2:$B$10001,MATCH(9452,'Email Cleaner'!$G$2:$G$10001,0)),"")</f>
        <v/>
      </c>
    </row>
    <row r="9454">
      <c r="A9454">
        <f>IFERROR(INDEX('Email Cleaner'!$B$2:$B$10001,MATCH(9453,'Email Cleaner'!$G$2:$G$10001,0)),"")</f>
        <v/>
      </c>
    </row>
    <row r="9455">
      <c r="A9455">
        <f>IFERROR(INDEX('Email Cleaner'!$B$2:$B$10001,MATCH(9454,'Email Cleaner'!$G$2:$G$10001,0)),"")</f>
        <v/>
      </c>
    </row>
    <row r="9456">
      <c r="A9456">
        <f>IFERROR(INDEX('Email Cleaner'!$B$2:$B$10001,MATCH(9455,'Email Cleaner'!$G$2:$G$10001,0)),"")</f>
        <v/>
      </c>
    </row>
    <row r="9457">
      <c r="A9457">
        <f>IFERROR(INDEX('Email Cleaner'!$B$2:$B$10001,MATCH(9456,'Email Cleaner'!$G$2:$G$10001,0)),"")</f>
        <v/>
      </c>
    </row>
    <row r="9458">
      <c r="A9458">
        <f>IFERROR(INDEX('Email Cleaner'!$B$2:$B$10001,MATCH(9457,'Email Cleaner'!$G$2:$G$10001,0)),"")</f>
        <v/>
      </c>
    </row>
    <row r="9459">
      <c r="A9459">
        <f>IFERROR(INDEX('Email Cleaner'!$B$2:$B$10001,MATCH(9458,'Email Cleaner'!$G$2:$G$10001,0)),"")</f>
        <v/>
      </c>
    </row>
    <row r="9460">
      <c r="A9460">
        <f>IFERROR(INDEX('Email Cleaner'!$B$2:$B$10001,MATCH(9459,'Email Cleaner'!$G$2:$G$10001,0)),"")</f>
        <v/>
      </c>
    </row>
    <row r="9461">
      <c r="A9461">
        <f>IFERROR(INDEX('Email Cleaner'!$B$2:$B$10001,MATCH(9460,'Email Cleaner'!$G$2:$G$10001,0)),"")</f>
        <v/>
      </c>
    </row>
    <row r="9462">
      <c r="A9462">
        <f>IFERROR(INDEX('Email Cleaner'!$B$2:$B$10001,MATCH(9461,'Email Cleaner'!$G$2:$G$10001,0)),"")</f>
        <v/>
      </c>
    </row>
    <row r="9463">
      <c r="A9463">
        <f>IFERROR(INDEX('Email Cleaner'!$B$2:$B$10001,MATCH(9462,'Email Cleaner'!$G$2:$G$10001,0)),"")</f>
        <v/>
      </c>
    </row>
    <row r="9464">
      <c r="A9464">
        <f>IFERROR(INDEX('Email Cleaner'!$B$2:$B$10001,MATCH(9463,'Email Cleaner'!$G$2:$G$10001,0)),"")</f>
        <v/>
      </c>
    </row>
    <row r="9465">
      <c r="A9465">
        <f>IFERROR(INDEX('Email Cleaner'!$B$2:$B$10001,MATCH(9464,'Email Cleaner'!$G$2:$G$10001,0)),"")</f>
        <v/>
      </c>
    </row>
    <row r="9466">
      <c r="A9466">
        <f>IFERROR(INDEX('Email Cleaner'!$B$2:$B$10001,MATCH(9465,'Email Cleaner'!$G$2:$G$10001,0)),"")</f>
        <v/>
      </c>
    </row>
    <row r="9467">
      <c r="A9467">
        <f>IFERROR(INDEX('Email Cleaner'!$B$2:$B$10001,MATCH(9466,'Email Cleaner'!$G$2:$G$10001,0)),"")</f>
        <v/>
      </c>
    </row>
    <row r="9468">
      <c r="A9468">
        <f>IFERROR(INDEX('Email Cleaner'!$B$2:$B$10001,MATCH(9467,'Email Cleaner'!$G$2:$G$10001,0)),"")</f>
        <v/>
      </c>
    </row>
    <row r="9469">
      <c r="A9469">
        <f>IFERROR(INDEX('Email Cleaner'!$B$2:$B$10001,MATCH(9468,'Email Cleaner'!$G$2:$G$10001,0)),"")</f>
        <v/>
      </c>
    </row>
    <row r="9470">
      <c r="A9470">
        <f>IFERROR(INDEX('Email Cleaner'!$B$2:$B$10001,MATCH(9469,'Email Cleaner'!$G$2:$G$10001,0)),"")</f>
        <v/>
      </c>
    </row>
    <row r="9471">
      <c r="A9471">
        <f>IFERROR(INDEX('Email Cleaner'!$B$2:$B$10001,MATCH(9470,'Email Cleaner'!$G$2:$G$10001,0)),"")</f>
        <v/>
      </c>
    </row>
    <row r="9472">
      <c r="A9472">
        <f>IFERROR(INDEX('Email Cleaner'!$B$2:$B$10001,MATCH(9471,'Email Cleaner'!$G$2:$G$10001,0)),"")</f>
        <v/>
      </c>
    </row>
    <row r="9473">
      <c r="A9473">
        <f>IFERROR(INDEX('Email Cleaner'!$B$2:$B$10001,MATCH(9472,'Email Cleaner'!$G$2:$G$10001,0)),"")</f>
        <v/>
      </c>
    </row>
    <row r="9474">
      <c r="A9474">
        <f>IFERROR(INDEX('Email Cleaner'!$B$2:$B$10001,MATCH(9473,'Email Cleaner'!$G$2:$G$10001,0)),"")</f>
        <v/>
      </c>
    </row>
    <row r="9475">
      <c r="A9475">
        <f>IFERROR(INDEX('Email Cleaner'!$B$2:$B$10001,MATCH(9474,'Email Cleaner'!$G$2:$G$10001,0)),"")</f>
        <v/>
      </c>
    </row>
    <row r="9476">
      <c r="A9476">
        <f>IFERROR(INDEX('Email Cleaner'!$B$2:$B$10001,MATCH(9475,'Email Cleaner'!$G$2:$G$10001,0)),"")</f>
        <v/>
      </c>
    </row>
    <row r="9477">
      <c r="A9477">
        <f>IFERROR(INDEX('Email Cleaner'!$B$2:$B$10001,MATCH(9476,'Email Cleaner'!$G$2:$G$10001,0)),"")</f>
        <v/>
      </c>
    </row>
    <row r="9478">
      <c r="A9478">
        <f>IFERROR(INDEX('Email Cleaner'!$B$2:$B$10001,MATCH(9477,'Email Cleaner'!$G$2:$G$10001,0)),"")</f>
        <v/>
      </c>
    </row>
    <row r="9479">
      <c r="A9479">
        <f>IFERROR(INDEX('Email Cleaner'!$B$2:$B$10001,MATCH(9478,'Email Cleaner'!$G$2:$G$10001,0)),"")</f>
        <v/>
      </c>
    </row>
    <row r="9480">
      <c r="A9480">
        <f>IFERROR(INDEX('Email Cleaner'!$B$2:$B$10001,MATCH(9479,'Email Cleaner'!$G$2:$G$10001,0)),"")</f>
        <v/>
      </c>
    </row>
    <row r="9481">
      <c r="A9481">
        <f>IFERROR(INDEX('Email Cleaner'!$B$2:$B$10001,MATCH(9480,'Email Cleaner'!$G$2:$G$10001,0)),"")</f>
        <v/>
      </c>
    </row>
    <row r="9482">
      <c r="A9482">
        <f>IFERROR(INDEX('Email Cleaner'!$B$2:$B$10001,MATCH(9481,'Email Cleaner'!$G$2:$G$10001,0)),"")</f>
        <v/>
      </c>
    </row>
    <row r="9483">
      <c r="A9483">
        <f>IFERROR(INDEX('Email Cleaner'!$B$2:$B$10001,MATCH(9482,'Email Cleaner'!$G$2:$G$10001,0)),"")</f>
        <v/>
      </c>
    </row>
    <row r="9484">
      <c r="A9484">
        <f>IFERROR(INDEX('Email Cleaner'!$B$2:$B$10001,MATCH(9483,'Email Cleaner'!$G$2:$G$10001,0)),"")</f>
        <v/>
      </c>
    </row>
    <row r="9485">
      <c r="A9485">
        <f>IFERROR(INDEX('Email Cleaner'!$B$2:$B$10001,MATCH(9484,'Email Cleaner'!$G$2:$G$10001,0)),"")</f>
        <v/>
      </c>
    </row>
    <row r="9486">
      <c r="A9486">
        <f>IFERROR(INDEX('Email Cleaner'!$B$2:$B$10001,MATCH(9485,'Email Cleaner'!$G$2:$G$10001,0)),"")</f>
        <v/>
      </c>
    </row>
    <row r="9487">
      <c r="A9487">
        <f>IFERROR(INDEX('Email Cleaner'!$B$2:$B$10001,MATCH(9486,'Email Cleaner'!$G$2:$G$10001,0)),"")</f>
        <v/>
      </c>
    </row>
    <row r="9488">
      <c r="A9488">
        <f>IFERROR(INDEX('Email Cleaner'!$B$2:$B$10001,MATCH(9487,'Email Cleaner'!$G$2:$G$10001,0)),"")</f>
        <v/>
      </c>
    </row>
    <row r="9489">
      <c r="A9489">
        <f>IFERROR(INDEX('Email Cleaner'!$B$2:$B$10001,MATCH(9488,'Email Cleaner'!$G$2:$G$10001,0)),"")</f>
        <v/>
      </c>
    </row>
    <row r="9490">
      <c r="A9490">
        <f>IFERROR(INDEX('Email Cleaner'!$B$2:$B$10001,MATCH(9489,'Email Cleaner'!$G$2:$G$10001,0)),"")</f>
        <v/>
      </c>
    </row>
    <row r="9491">
      <c r="A9491">
        <f>IFERROR(INDEX('Email Cleaner'!$B$2:$B$10001,MATCH(9490,'Email Cleaner'!$G$2:$G$10001,0)),"")</f>
        <v/>
      </c>
    </row>
    <row r="9492">
      <c r="A9492">
        <f>IFERROR(INDEX('Email Cleaner'!$B$2:$B$10001,MATCH(9491,'Email Cleaner'!$G$2:$G$10001,0)),"")</f>
        <v/>
      </c>
    </row>
    <row r="9493">
      <c r="A9493">
        <f>IFERROR(INDEX('Email Cleaner'!$B$2:$B$10001,MATCH(9492,'Email Cleaner'!$G$2:$G$10001,0)),"")</f>
        <v/>
      </c>
    </row>
    <row r="9494">
      <c r="A9494">
        <f>IFERROR(INDEX('Email Cleaner'!$B$2:$B$10001,MATCH(9493,'Email Cleaner'!$G$2:$G$10001,0)),"")</f>
        <v/>
      </c>
    </row>
    <row r="9495">
      <c r="A9495">
        <f>IFERROR(INDEX('Email Cleaner'!$B$2:$B$10001,MATCH(9494,'Email Cleaner'!$G$2:$G$10001,0)),"")</f>
        <v/>
      </c>
    </row>
    <row r="9496">
      <c r="A9496">
        <f>IFERROR(INDEX('Email Cleaner'!$B$2:$B$10001,MATCH(9495,'Email Cleaner'!$G$2:$G$10001,0)),"")</f>
        <v/>
      </c>
    </row>
    <row r="9497">
      <c r="A9497">
        <f>IFERROR(INDEX('Email Cleaner'!$B$2:$B$10001,MATCH(9496,'Email Cleaner'!$G$2:$G$10001,0)),"")</f>
        <v/>
      </c>
    </row>
    <row r="9498">
      <c r="A9498">
        <f>IFERROR(INDEX('Email Cleaner'!$B$2:$B$10001,MATCH(9497,'Email Cleaner'!$G$2:$G$10001,0)),"")</f>
        <v/>
      </c>
    </row>
    <row r="9499">
      <c r="A9499">
        <f>IFERROR(INDEX('Email Cleaner'!$B$2:$B$10001,MATCH(9498,'Email Cleaner'!$G$2:$G$10001,0)),"")</f>
        <v/>
      </c>
    </row>
    <row r="9500">
      <c r="A9500">
        <f>IFERROR(INDEX('Email Cleaner'!$B$2:$B$10001,MATCH(9499,'Email Cleaner'!$G$2:$G$10001,0)),"")</f>
        <v/>
      </c>
    </row>
    <row r="9501">
      <c r="A9501">
        <f>IFERROR(INDEX('Email Cleaner'!$B$2:$B$10001,MATCH(9500,'Email Cleaner'!$G$2:$G$10001,0)),"")</f>
        <v/>
      </c>
    </row>
    <row r="9502">
      <c r="A9502">
        <f>IFERROR(INDEX('Email Cleaner'!$B$2:$B$10001,MATCH(9501,'Email Cleaner'!$G$2:$G$10001,0)),"")</f>
        <v/>
      </c>
    </row>
    <row r="9503">
      <c r="A9503">
        <f>IFERROR(INDEX('Email Cleaner'!$B$2:$B$10001,MATCH(9502,'Email Cleaner'!$G$2:$G$10001,0)),"")</f>
        <v/>
      </c>
    </row>
    <row r="9504">
      <c r="A9504">
        <f>IFERROR(INDEX('Email Cleaner'!$B$2:$B$10001,MATCH(9503,'Email Cleaner'!$G$2:$G$10001,0)),"")</f>
        <v/>
      </c>
    </row>
    <row r="9505">
      <c r="A9505">
        <f>IFERROR(INDEX('Email Cleaner'!$B$2:$B$10001,MATCH(9504,'Email Cleaner'!$G$2:$G$10001,0)),"")</f>
        <v/>
      </c>
    </row>
    <row r="9506">
      <c r="A9506">
        <f>IFERROR(INDEX('Email Cleaner'!$B$2:$B$10001,MATCH(9505,'Email Cleaner'!$G$2:$G$10001,0)),"")</f>
        <v/>
      </c>
    </row>
    <row r="9507">
      <c r="A9507">
        <f>IFERROR(INDEX('Email Cleaner'!$B$2:$B$10001,MATCH(9506,'Email Cleaner'!$G$2:$G$10001,0)),"")</f>
        <v/>
      </c>
    </row>
    <row r="9508">
      <c r="A9508">
        <f>IFERROR(INDEX('Email Cleaner'!$B$2:$B$10001,MATCH(9507,'Email Cleaner'!$G$2:$G$10001,0)),"")</f>
        <v/>
      </c>
    </row>
    <row r="9509">
      <c r="A9509">
        <f>IFERROR(INDEX('Email Cleaner'!$B$2:$B$10001,MATCH(9508,'Email Cleaner'!$G$2:$G$10001,0)),"")</f>
        <v/>
      </c>
    </row>
    <row r="9510">
      <c r="A9510">
        <f>IFERROR(INDEX('Email Cleaner'!$B$2:$B$10001,MATCH(9509,'Email Cleaner'!$G$2:$G$10001,0)),"")</f>
        <v/>
      </c>
    </row>
    <row r="9511">
      <c r="A9511">
        <f>IFERROR(INDEX('Email Cleaner'!$B$2:$B$10001,MATCH(9510,'Email Cleaner'!$G$2:$G$10001,0)),"")</f>
        <v/>
      </c>
    </row>
    <row r="9512">
      <c r="A9512">
        <f>IFERROR(INDEX('Email Cleaner'!$B$2:$B$10001,MATCH(9511,'Email Cleaner'!$G$2:$G$10001,0)),"")</f>
        <v/>
      </c>
    </row>
    <row r="9513">
      <c r="A9513">
        <f>IFERROR(INDEX('Email Cleaner'!$B$2:$B$10001,MATCH(9512,'Email Cleaner'!$G$2:$G$10001,0)),"")</f>
        <v/>
      </c>
    </row>
    <row r="9514">
      <c r="A9514">
        <f>IFERROR(INDEX('Email Cleaner'!$B$2:$B$10001,MATCH(9513,'Email Cleaner'!$G$2:$G$10001,0)),"")</f>
        <v/>
      </c>
    </row>
    <row r="9515">
      <c r="A9515">
        <f>IFERROR(INDEX('Email Cleaner'!$B$2:$B$10001,MATCH(9514,'Email Cleaner'!$G$2:$G$10001,0)),"")</f>
        <v/>
      </c>
    </row>
    <row r="9516">
      <c r="A9516">
        <f>IFERROR(INDEX('Email Cleaner'!$B$2:$B$10001,MATCH(9515,'Email Cleaner'!$G$2:$G$10001,0)),"")</f>
        <v/>
      </c>
    </row>
    <row r="9517">
      <c r="A9517">
        <f>IFERROR(INDEX('Email Cleaner'!$B$2:$B$10001,MATCH(9516,'Email Cleaner'!$G$2:$G$10001,0)),"")</f>
        <v/>
      </c>
    </row>
    <row r="9518">
      <c r="A9518">
        <f>IFERROR(INDEX('Email Cleaner'!$B$2:$B$10001,MATCH(9517,'Email Cleaner'!$G$2:$G$10001,0)),"")</f>
        <v/>
      </c>
    </row>
    <row r="9519">
      <c r="A9519">
        <f>IFERROR(INDEX('Email Cleaner'!$B$2:$B$10001,MATCH(9518,'Email Cleaner'!$G$2:$G$10001,0)),"")</f>
        <v/>
      </c>
    </row>
    <row r="9520">
      <c r="A9520">
        <f>IFERROR(INDEX('Email Cleaner'!$B$2:$B$10001,MATCH(9519,'Email Cleaner'!$G$2:$G$10001,0)),"")</f>
        <v/>
      </c>
    </row>
    <row r="9521">
      <c r="A9521">
        <f>IFERROR(INDEX('Email Cleaner'!$B$2:$B$10001,MATCH(9520,'Email Cleaner'!$G$2:$G$10001,0)),"")</f>
        <v/>
      </c>
    </row>
    <row r="9522">
      <c r="A9522">
        <f>IFERROR(INDEX('Email Cleaner'!$B$2:$B$10001,MATCH(9521,'Email Cleaner'!$G$2:$G$10001,0)),"")</f>
        <v/>
      </c>
    </row>
    <row r="9523">
      <c r="A9523">
        <f>IFERROR(INDEX('Email Cleaner'!$B$2:$B$10001,MATCH(9522,'Email Cleaner'!$G$2:$G$10001,0)),"")</f>
        <v/>
      </c>
    </row>
    <row r="9524">
      <c r="A9524">
        <f>IFERROR(INDEX('Email Cleaner'!$B$2:$B$10001,MATCH(9523,'Email Cleaner'!$G$2:$G$10001,0)),"")</f>
        <v/>
      </c>
    </row>
    <row r="9525">
      <c r="A9525">
        <f>IFERROR(INDEX('Email Cleaner'!$B$2:$B$10001,MATCH(9524,'Email Cleaner'!$G$2:$G$10001,0)),"")</f>
        <v/>
      </c>
    </row>
    <row r="9526">
      <c r="A9526">
        <f>IFERROR(INDEX('Email Cleaner'!$B$2:$B$10001,MATCH(9525,'Email Cleaner'!$G$2:$G$10001,0)),"")</f>
        <v/>
      </c>
    </row>
    <row r="9527">
      <c r="A9527">
        <f>IFERROR(INDEX('Email Cleaner'!$B$2:$B$10001,MATCH(9526,'Email Cleaner'!$G$2:$G$10001,0)),"")</f>
        <v/>
      </c>
    </row>
    <row r="9528">
      <c r="A9528">
        <f>IFERROR(INDEX('Email Cleaner'!$B$2:$B$10001,MATCH(9527,'Email Cleaner'!$G$2:$G$10001,0)),"")</f>
        <v/>
      </c>
    </row>
    <row r="9529">
      <c r="A9529">
        <f>IFERROR(INDEX('Email Cleaner'!$B$2:$B$10001,MATCH(9528,'Email Cleaner'!$G$2:$G$10001,0)),"")</f>
        <v/>
      </c>
    </row>
    <row r="9530">
      <c r="A9530">
        <f>IFERROR(INDEX('Email Cleaner'!$B$2:$B$10001,MATCH(9529,'Email Cleaner'!$G$2:$G$10001,0)),"")</f>
        <v/>
      </c>
    </row>
    <row r="9531">
      <c r="A9531">
        <f>IFERROR(INDEX('Email Cleaner'!$B$2:$B$10001,MATCH(9530,'Email Cleaner'!$G$2:$G$10001,0)),"")</f>
        <v/>
      </c>
    </row>
    <row r="9532">
      <c r="A9532">
        <f>IFERROR(INDEX('Email Cleaner'!$B$2:$B$10001,MATCH(9531,'Email Cleaner'!$G$2:$G$10001,0)),"")</f>
        <v/>
      </c>
    </row>
    <row r="9533">
      <c r="A9533">
        <f>IFERROR(INDEX('Email Cleaner'!$B$2:$B$10001,MATCH(9532,'Email Cleaner'!$G$2:$G$10001,0)),"")</f>
        <v/>
      </c>
    </row>
    <row r="9534">
      <c r="A9534">
        <f>IFERROR(INDEX('Email Cleaner'!$B$2:$B$10001,MATCH(9533,'Email Cleaner'!$G$2:$G$10001,0)),"")</f>
        <v/>
      </c>
    </row>
    <row r="9535">
      <c r="A9535">
        <f>IFERROR(INDEX('Email Cleaner'!$B$2:$B$10001,MATCH(9534,'Email Cleaner'!$G$2:$G$10001,0)),"")</f>
        <v/>
      </c>
    </row>
    <row r="9536">
      <c r="A9536">
        <f>IFERROR(INDEX('Email Cleaner'!$B$2:$B$10001,MATCH(9535,'Email Cleaner'!$G$2:$G$10001,0)),"")</f>
        <v/>
      </c>
    </row>
    <row r="9537">
      <c r="A9537">
        <f>IFERROR(INDEX('Email Cleaner'!$B$2:$B$10001,MATCH(9536,'Email Cleaner'!$G$2:$G$10001,0)),"")</f>
        <v/>
      </c>
    </row>
    <row r="9538">
      <c r="A9538">
        <f>IFERROR(INDEX('Email Cleaner'!$B$2:$B$10001,MATCH(9537,'Email Cleaner'!$G$2:$G$10001,0)),"")</f>
        <v/>
      </c>
    </row>
    <row r="9539">
      <c r="A9539">
        <f>IFERROR(INDEX('Email Cleaner'!$B$2:$B$10001,MATCH(9538,'Email Cleaner'!$G$2:$G$10001,0)),"")</f>
        <v/>
      </c>
    </row>
    <row r="9540">
      <c r="A9540">
        <f>IFERROR(INDEX('Email Cleaner'!$B$2:$B$10001,MATCH(9539,'Email Cleaner'!$G$2:$G$10001,0)),"")</f>
        <v/>
      </c>
    </row>
    <row r="9541">
      <c r="A9541">
        <f>IFERROR(INDEX('Email Cleaner'!$B$2:$B$10001,MATCH(9540,'Email Cleaner'!$G$2:$G$10001,0)),"")</f>
        <v/>
      </c>
    </row>
    <row r="9542">
      <c r="A9542">
        <f>IFERROR(INDEX('Email Cleaner'!$B$2:$B$10001,MATCH(9541,'Email Cleaner'!$G$2:$G$10001,0)),"")</f>
        <v/>
      </c>
    </row>
    <row r="9543">
      <c r="A9543">
        <f>IFERROR(INDEX('Email Cleaner'!$B$2:$B$10001,MATCH(9542,'Email Cleaner'!$G$2:$G$10001,0)),"")</f>
        <v/>
      </c>
    </row>
    <row r="9544">
      <c r="A9544">
        <f>IFERROR(INDEX('Email Cleaner'!$B$2:$B$10001,MATCH(9543,'Email Cleaner'!$G$2:$G$10001,0)),"")</f>
        <v/>
      </c>
    </row>
    <row r="9545">
      <c r="A9545">
        <f>IFERROR(INDEX('Email Cleaner'!$B$2:$B$10001,MATCH(9544,'Email Cleaner'!$G$2:$G$10001,0)),"")</f>
        <v/>
      </c>
    </row>
    <row r="9546">
      <c r="A9546">
        <f>IFERROR(INDEX('Email Cleaner'!$B$2:$B$10001,MATCH(9545,'Email Cleaner'!$G$2:$G$10001,0)),"")</f>
        <v/>
      </c>
    </row>
    <row r="9547">
      <c r="A9547">
        <f>IFERROR(INDEX('Email Cleaner'!$B$2:$B$10001,MATCH(9546,'Email Cleaner'!$G$2:$G$10001,0)),"")</f>
        <v/>
      </c>
    </row>
    <row r="9548">
      <c r="A9548">
        <f>IFERROR(INDEX('Email Cleaner'!$B$2:$B$10001,MATCH(9547,'Email Cleaner'!$G$2:$G$10001,0)),"")</f>
        <v/>
      </c>
    </row>
    <row r="9549">
      <c r="A9549">
        <f>IFERROR(INDEX('Email Cleaner'!$B$2:$B$10001,MATCH(9548,'Email Cleaner'!$G$2:$G$10001,0)),"")</f>
        <v/>
      </c>
    </row>
    <row r="9550">
      <c r="A9550">
        <f>IFERROR(INDEX('Email Cleaner'!$B$2:$B$10001,MATCH(9549,'Email Cleaner'!$G$2:$G$10001,0)),"")</f>
        <v/>
      </c>
    </row>
    <row r="9551">
      <c r="A9551">
        <f>IFERROR(INDEX('Email Cleaner'!$B$2:$B$10001,MATCH(9550,'Email Cleaner'!$G$2:$G$10001,0)),"")</f>
        <v/>
      </c>
    </row>
    <row r="9552">
      <c r="A9552">
        <f>IFERROR(INDEX('Email Cleaner'!$B$2:$B$10001,MATCH(9551,'Email Cleaner'!$G$2:$G$10001,0)),"")</f>
        <v/>
      </c>
    </row>
    <row r="9553">
      <c r="A9553">
        <f>IFERROR(INDEX('Email Cleaner'!$B$2:$B$10001,MATCH(9552,'Email Cleaner'!$G$2:$G$10001,0)),"")</f>
        <v/>
      </c>
    </row>
    <row r="9554">
      <c r="A9554">
        <f>IFERROR(INDEX('Email Cleaner'!$B$2:$B$10001,MATCH(9553,'Email Cleaner'!$G$2:$G$10001,0)),"")</f>
        <v/>
      </c>
    </row>
    <row r="9555">
      <c r="A9555">
        <f>IFERROR(INDEX('Email Cleaner'!$B$2:$B$10001,MATCH(9554,'Email Cleaner'!$G$2:$G$10001,0)),"")</f>
        <v/>
      </c>
    </row>
    <row r="9556">
      <c r="A9556">
        <f>IFERROR(INDEX('Email Cleaner'!$B$2:$B$10001,MATCH(9555,'Email Cleaner'!$G$2:$G$10001,0)),"")</f>
        <v/>
      </c>
    </row>
    <row r="9557">
      <c r="A9557">
        <f>IFERROR(INDEX('Email Cleaner'!$B$2:$B$10001,MATCH(9556,'Email Cleaner'!$G$2:$G$10001,0)),"")</f>
        <v/>
      </c>
    </row>
    <row r="9558">
      <c r="A9558">
        <f>IFERROR(INDEX('Email Cleaner'!$B$2:$B$10001,MATCH(9557,'Email Cleaner'!$G$2:$G$10001,0)),"")</f>
        <v/>
      </c>
    </row>
    <row r="9559">
      <c r="A9559">
        <f>IFERROR(INDEX('Email Cleaner'!$B$2:$B$10001,MATCH(9558,'Email Cleaner'!$G$2:$G$10001,0)),"")</f>
        <v/>
      </c>
    </row>
    <row r="9560">
      <c r="A9560">
        <f>IFERROR(INDEX('Email Cleaner'!$B$2:$B$10001,MATCH(9559,'Email Cleaner'!$G$2:$G$10001,0)),"")</f>
        <v/>
      </c>
    </row>
    <row r="9561">
      <c r="A9561">
        <f>IFERROR(INDEX('Email Cleaner'!$B$2:$B$10001,MATCH(9560,'Email Cleaner'!$G$2:$G$10001,0)),"")</f>
        <v/>
      </c>
    </row>
    <row r="9562">
      <c r="A9562">
        <f>IFERROR(INDEX('Email Cleaner'!$B$2:$B$10001,MATCH(9561,'Email Cleaner'!$G$2:$G$10001,0)),"")</f>
        <v/>
      </c>
    </row>
    <row r="9563">
      <c r="A9563">
        <f>IFERROR(INDEX('Email Cleaner'!$B$2:$B$10001,MATCH(9562,'Email Cleaner'!$G$2:$G$10001,0)),"")</f>
        <v/>
      </c>
    </row>
    <row r="9564">
      <c r="A9564">
        <f>IFERROR(INDEX('Email Cleaner'!$B$2:$B$10001,MATCH(9563,'Email Cleaner'!$G$2:$G$10001,0)),"")</f>
        <v/>
      </c>
    </row>
    <row r="9565">
      <c r="A9565">
        <f>IFERROR(INDEX('Email Cleaner'!$B$2:$B$10001,MATCH(9564,'Email Cleaner'!$G$2:$G$10001,0)),"")</f>
        <v/>
      </c>
    </row>
    <row r="9566">
      <c r="A9566">
        <f>IFERROR(INDEX('Email Cleaner'!$B$2:$B$10001,MATCH(9565,'Email Cleaner'!$G$2:$G$10001,0)),"")</f>
        <v/>
      </c>
    </row>
    <row r="9567">
      <c r="A9567">
        <f>IFERROR(INDEX('Email Cleaner'!$B$2:$B$10001,MATCH(9566,'Email Cleaner'!$G$2:$G$10001,0)),"")</f>
        <v/>
      </c>
    </row>
    <row r="9568">
      <c r="A9568">
        <f>IFERROR(INDEX('Email Cleaner'!$B$2:$B$10001,MATCH(9567,'Email Cleaner'!$G$2:$G$10001,0)),"")</f>
        <v/>
      </c>
    </row>
    <row r="9569">
      <c r="A9569">
        <f>IFERROR(INDEX('Email Cleaner'!$B$2:$B$10001,MATCH(9568,'Email Cleaner'!$G$2:$G$10001,0)),"")</f>
        <v/>
      </c>
    </row>
    <row r="9570">
      <c r="A9570">
        <f>IFERROR(INDEX('Email Cleaner'!$B$2:$B$10001,MATCH(9569,'Email Cleaner'!$G$2:$G$10001,0)),"")</f>
        <v/>
      </c>
    </row>
    <row r="9571">
      <c r="A9571">
        <f>IFERROR(INDEX('Email Cleaner'!$B$2:$B$10001,MATCH(9570,'Email Cleaner'!$G$2:$G$10001,0)),"")</f>
        <v/>
      </c>
    </row>
    <row r="9572">
      <c r="A9572">
        <f>IFERROR(INDEX('Email Cleaner'!$B$2:$B$10001,MATCH(9571,'Email Cleaner'!$G$2:$G$10001,0)),"")</f>
        <v/>
      </c>
    </row>
    <row r="9573">
      <c r="A9573">
        <f>IFERROR(INDEX('Email Cleaner'!$B$2:$B$10001,MATCH(9572,'Email Cleaner'!$G$2:$G$10001,0)),"")</f>
        <v/>
      </c>
    </row>
    <row r="9574">
      <c r="A9574">
        <f>IFERROR(INDEX('Email Cleaner'!$B$2:$B$10001,MATCH(9573,'Email Cleaner'!$G$2:$G$10001,0)),"")</f>
        <v/>
      </c>
    </row>
    <row r="9575">
      <c r="A9575">
        <f>IFERROR(INDEX('Email Cleaner'!$B$2:$B$10001,MATCH(9574,'Email Cleaner'!$G$2:$G$10001,0)),"")</f>
        <v/>
      </c>
    </row>
    <row r="9576">
      <c r="A9576">
        <f>IFERROR(INDEX('Email Cleaner'!$B$2:$B$10001,MATCH(9575,'Email Cleaner'!$G$2:$G$10001,0)),"")</f>
        <v/>
      </c>
    </row>
    <row r="9577">
      <c r="A9577">
        <f>IFERROR(INDEX('Email Cleaner'!$B$2:$B$10001,MATCH(9576,'Email Cleaner'!$G$2:$G$10001,0)),"")</f>
        <v/>
      </c>
    </row>
    <row r="9578">
      <c r="A9578">
        <f>IFERROR(INDEX('Email Cleaner'!$B$2:$B$10001,MATCH(9577,'Email Cleaner'!$G$2:$G$10001,0)),"")</f>
        <v/>
      </c>
    </row>
    <row r="9579">
      <c r="A9579">
        <f>IFERROR(INDEX('Email Cleaner'!$B$2:$B$10001,MATCH(9578,'Email Cleaner'!$G$2:$G$10001,0)),"")</f>
        <v/>
      </c>
    </row>
    <row r="9580">
      <c r="A9580">
        <f>IFERROR(INDEX('Email Cleaner'!$B$2:$B$10001,MATCH(9579,'Email Cleaner'!$G$2:$G$10001,0)),"")</f>
        <v/>
      </c>
    </row>
    <row r="9581">
      <c r="A9581">
        <f>IFERROR(INDEX('Email Cleaner'!$B$2:$B$10001,MATCH(9580,'Email Cleaner'!$G$2:$G$10001,0)),"")</f>
        <v/>
      </c>
    </row>
    <row r="9582">
      <c r="A9582">
        <f>IFERROR(INDEX('Email Cleaner'!$B$2:$B$10001,MATCH(9581,'Email Cleaner'!$G$2:$G$10001,0)),"")</f>
        <v/>
      </c>
    </row>
    <row r="9583">
      <c r="A9583">
        <f>IFERROR(INDEX('Email Cleaner'!$B$2:$B$10001,MATCH(9582,'Email Cleaner'!$G$2:$G$10001,0)),"")</f>
        <v/>
      </c>
    </row>
    <row r="9584">
      <c r="A9584">
        <f>IFERROR(INDEX('Email Cleaner'!$B$2:$B$10001,MATCH(9583,'Email Cleaner'!$G$2:$G$10001,0)),"")</f>
        <v/>
      </c>
    </row>
    <row r="9585">
      <c r="A9585">
        <f>IFERROR(INDEX('Email Cleaner'!$B$2:$B$10001,MATCH(9584,'Email Cleaner'!$G$2:$G$10001,0)),"")</f>
        <v/>
      </c>
    </row>
    <row r="9586">
      <c r="A9586">
        <f>IFERROR(INDEX('Email Cleaner'!$B$2:$B$10001,MATCH(9585,'Email Cleaner'!$G$2:$G$10001,0)),"")</f>
        <v/>
      </c>
    </row>
    <row r="9587">
      <c r="A9587">
        <f>IFERROR(INDEX('Email Cleaner'!$B$2:$B$10001,MATCH(9586,'Email Cleaner'!$G$2:$G$10001,0)),"")</f>
        <v/>
      </c>
    </row>
    <row r="9588">
      <c r="A9588">
        <f>IFERROR(INDEX('Email Cleaner'!$B$2:$B$10001,MATCH(9587,'Email Cleaner'!$G$2:$G$10001,0)),"")</f>
        <v/>
      </c>
    </row>
    <row r="9589">
      <c r="A9589">
        <f>IFERROR(INDEX('Email Cleaner'!$B$2:$B$10001,MATCH(9588,'Email Cleaner'!$G$2:$G$10001,0)),"")</f>
        <v/>
      </c>
    </row>
    <row r="9590">
      <c r="A9590">
        <f>IFERROR(INDEX('Email Cleaner'!$B$2:$B$10001,MATCH(9589,'Email Cleaner'!$G$2:$G$10001,0)),"")</f>
        <v/>
      </c>
    </row>
    <row r="9591">
      <c r="A9591">
        <f>IFERROR(INDEX('Email Cleaner'!$B$2:$B$10001,MATCH(9590,'Email Cleaner'!$G$2:$G$10001,0)),"")</f>
        <v/>
      </c>
    </row>
    <row r="9592">
      <c r="A9592">
        <f>IFERROR(INDEX('Email Cleaner'!$B$2:$B$10001,MATCH(9591,'Email Cleaner'!$G$2:$G$10001,0)),"")</f>
        <v/>
      </c>
    </row>
    <row r="9593">
      <c r="A9593">
        <f>IFERROR(INDEX('Email Cleaner'!$B$2:$B$10001,MATCH(9592,'Email Cleaner'!$G$2:$G$10001,0)),"")</f>
        <v/>
      </c>
    </row>
    <row r="9594">
      <c r="A9594">
        <f>IFERROR(INDEX('Email Cleaner'!$B$2:$B$10001,MATCH(9593,'Email Cleaner'!$G$2:$G$10001,0)),"")</f>
        <v/>
      </c>
    </row>
    <row r="9595">
      <c r="A9595">
        <f>IFERROR(INDEX('Email Cleaner'!$B$2:$B$10001,MATCH(9594,'Email Cleaner'!$G$2:$G$10001,0)),"")</f>
        <v/>
      </c>
    </row>
    <row r="9596">
      <c r="A9596">
        <f>IFERROR(INDEX('Email Cleaner'!$B$2:$B$10001,MATCH(9595,'Email Cleaner'!$G$2:$G$10001,0)),"")</f>
        <v/>
      </c>
    </row>
    <row r="9597">
      <c r="A9597">
        <f>IFERROR(INDEX('Email Cleaner'!$B$2:$B$10001,MATCH(9596,'Email Cleaner'!$G$2:$G$10001,0)),"")</f>
        <v/>
      </c>
    </row>
    <row r="9598">
      <c r="A9598">
        <f>IFERROR(INDEX('Email Cleaner'!$B$2:$B$10001,MATCH(9597,'Email Cleaner'!$G$2:$G$10001,0)),"")</f>
        <v/>
      </c>
    </row>
    <row r="9599">
      <c r="A9599">
        <f>IFERROR(INDEX('Email Cleaner'!$B$2:$B$10001,MATCH(9598,'Email Cleaner'!$G$2:$G$10001,0)),"")</f>
        <v/>
      </c>
    </row>
    <row r="9600">
      <c r="A9600">
        <f>IFERROR(INDEX('Email Cleaner'!$B$2:$B$10001,MATCH(9599,'Email Cleaner'!$G$2:$G$10001,0)),"")</f>
        <v/>
      </c>
    </row>
    <row r="9601">
      <c r="A9601">
        <f>IFERROR(INDEX('Email Cleaner'!$B$2:$B$10001,MATCH(9600,'Email Cleaner'!$G$2:$G$10001,0)),"")</f>
        <v/>
      </c>
    </row>
    <row r="9602">
      <c r="A9602">
        <f>IFERROR(INDEX('Email Cleaner'!$B$2:$B$10001,MATCH(9601,'Email Cleaner'!$G$2:$G$10001,0)),"")</f>
        <v/>
      </c>
    </row>
    <row r="9603">
      <c r="A9603">
        <f>IFERROR(INDEX('Email Cleaner'!$B$2:$B$10001,MATCH(9602,'Email Cleaner'!$G$2:$G$10001,0)),"")</f>
        <v/>
      </c>
    </row>
    <row r="9604">
      <c r="A9604">
        <f>IFERROR(INDEX('Email Cleaner'!$B$2:$B$10001,MATCH(9603,'Email Cleaner'!$G$2:$G$10001,0)),"")</f>
        <v/>
      </c>
    </row>
    <row r="9605">
      <c r="A9605">
        <f>IFERROR(INDEX('Email Cleaner'!$B$2:$B$10001,MATCH(9604,'Email Cleaner'!$G$2:$G$10001,0)),"")</f>
        <v/>
      </c>
    </row>
    <row r="9606">
      <c r="A9606">
        <f>IFERROR(INDEX('Email Cleaner'!$B$2:$B$10001,MATCH(9605,'Email Cleaner'!$G$2:$G$10001,0)),"")</f>
        <v/>
      </c>
    </row>
    <row r="9607">
      <c r="A9607">
        <f>IFERROR(INDEX('Email Cleaner'!$B$2:$B$10001,MATCH(9606,'Email Cleaner'!$G$2:$G$10001,0)),"")</f>
        <v/>
      </c>
    </row>
    <row r="9608">
      <c r="A9608">
        <f>IFERROR(INDEX('Email Cleaner'!$B$2:$B$10001,MATCH(9607,'Email Cleaner'!$G$2:$G$10001,0)),"")</f>
        <v/>
      </c>
    </row>
    <row r="9609">
      <c r="A9609">
        <f>IFERROR(INDEX('Email Cleaner'!$B$2:$B$10001,MATCH(9608,'Email Cleaner'!$G$2:$G$10001,0)),"")</f>
        <v/>
      </c>
    </row>
    <row r="9610">
      <c r="A9610">
        <f>IFERROR(INDEX('Email Cleaner'!$B$2:$B$10001,MATCH(9609,'Email Cleaner'!$G$2:$G$10001,0)),"")</f>
        <v/>
      </c>
    </row>
    <row r="9611">
      <c r="A9611">
        <f>IFERROR(INDEX('Email Cleaner'!$B$2:$B$10001,MATCH(9610,'Email Cleaner'!$G$2:$G$10001,0)),"")</f>
        <v/>
      </c>
    </row>
    <row r="9612">
      <c r="A9612">
        <f>IFERROR(INDEX('Email Cleaner'!$B$2:$B$10001,MATCH(9611,'Email Cleaner'!$G$2:$G$10001,0)),"")</f>
        <v/>
      </c>
    </row>
    <row r="9613">
      <c r="A9613">
        <f>IFERROR(INDEX('Email Cleaner'!$B$2:$B$10001,MATCH(9612,'Email Cleaner'!$G$2:$G$10001,0)),"")</f>
        <v/>
      </c>
    </row>
    <row r="9614">
      <c r="A9614">
        <f>IFERROR(INDEX('Email Cleaner'!$B$2:$B$10001,MATCH(9613,'Email Cleaner'!$G$2:$G$10001,0)),"")</f>
        <v/>
      </c>
    </row>
    <row r="9615">
      <c r="A9615">
        <f>IFERROR(INDEX('Email Cleaner'!$B$2:$B$10001,MATCH(9614,'Email Cleaner'!$G$2:$G$10001,0)),"")</f>
        <v/>
      </c>
    </row>
    <row r="9616">
      <c r="A9616">
        <f>IFERROR(INDEX('Email Cleaner'!$B$2:$B$10001,MATCH(9615,'Email Cleaner'!$G$2:$G$10001,0)),"")</f>
        <v/>
      </c>
    </row>
    <row r="9617">
      <c r="A9617">
        <f>IFERROR(INDEX('Email Cleaner'!$B$2:$B$10001,MATCH(9616,'Email Cleaner'!$G$2:$G$10001,0)),"")</f>
        <v/>
      </c>
    </row>
    <row r="9618">
      <c r="A9618">
        <f>IFERROR(INDEX('Email Cleaner'!$B$2:$B$10001,MATCH(9617,'Email Cleaner'!$G$2:$G$10001,0)),"")</f>
        <v/>
      </c>
    </row>
    <row r="9619">
      <c r="A9619">
        <f>IFERROR(INDEX('Email Cleaner'!$B$2:$B$10001,MATCH(9618,'Email Cleaner'!$G$2:$G$10001,0)),"")</f>
        <v/>
      </c>
    </row>
    <row r="9620">
      <c r="A9620">
        <f>IFERROR(INDEX('Email Cleaner'!$B$2:$B$10001,MATCH(9619,'Email Cleaner'!$G$2:$G$10001,0)),"")</f>
        <v/>
      </c>
    </row>
    <row r="9621">
      <c r="A9621">
        <f>IFERROR(INDEX('Email Cleaner'!$B$2:$B$10001,MATCH(9620,'Email Cleaner'!$G$2:$G$10001,0)),"")</f>
        <v/>
      </c>
    </row>
    <row r="9622">
      <c r="A9622">
        <f>IFERROR(INDEX('Email Cleaner'!$B$2:$B$10001,MATCH(9621,'Email Cleaner'!$G$2:$G$10001,0)),"")</f>
        <v/>
      </c>
    </row>
    <row r="9623">
      <c r="A9623">
        <f>IFERROR(INDEX('Email Cleaner'!$B$2:$B$10001,MATCH(9622,'Email Cleaner'!$G$2:$G$10001,0)),"")</f>
        <v/>
      </c>
    </row>
    <row r="9624">
      <c r="A9624">
        <f>IFERROR(INDEX('Email Cleaner'!$B$2:$B$10001,MATCH(9623,'Email Cleaner'!$G$2:$G$10001,0)),"")</f>
        <v/>
      </c>
    </row>
    <row r="9625">
      <c r="A9625">
        <f>IFERROR(INDEX('Email Cleaner'!$B$2:$B$10001,MATCH(9624,'Email Cleaner'!$G$2:$G$10001,0)),"")</f>
        <v/>
      </c>
    </row>
    <row r="9626">
      <c r="A9626">
        <f>IFERROR(INDEX('Email Cleaner'!$B$2:$B$10001,MATCH(9625,'Email Cleaner'!$G$2:$G$10001,0)),"")</f>
        <v/>
      </c>
    </row>
    <row r="9627">
      <c r="A9627">
        <f>IFERROR(INDEX('Email Cleaner'!$B$2:$B$10001,MATCH(9626,'Email Cleaner'!$G$2:$G$10001,0)),"")</f>
        <v/>
      </c>
    </row>
    <row r="9628">
      <c r="A9628">
        <f>IFERROR(INDEX('Email Cleaner'!$B$2:$B$10001,MATCH(9627,'Email Cleaner'!$G$2:$G$10001,0)),"")</f>
        <v/>
      </c>
    </row>
    <row r="9629">
      <c r="A9629">
        <f>IFERROR(INDEX('Email Cleaner'!$B$2:$B$10001,MATCH(9628,'Email Cleaner'!$G$2:$G$10001,0)),"")</f>
        <v/>
      </c>
    </row>
    <row r="9630">
      <c r="A9630">
        <f>IFERROR(INDEX('Email Cleaner'!$B$2:$B$10001,MATCH(9629,'Email Cleaner'!$G$2:$G$10001,0)),"")</f>
        <v/>
      </c>
    </row>
    <row r="9631">
      <c r="A9631">
        <f>IFERROR(INDEX('Email Cleaner'!$B$2:$B$10001,MATCH(9630,'Email Cleaner'!$G$2:$G$10001,0)),"")</f>
        <v/>
      </c>
    </row>
    <row r="9632">
      <c r="A9632">
        <f>IFERROR(INDEX('Email Cleaner'!$B$2:$B$10001,MATCH(9631,'Email Cleaner'!$G$2:$G$10001,0)),"")</f>
        <v/>
      </c>
    </row>
    <row r="9633">
      <c r="A9633">
        <f>IFERROR(INDEX('Email Cleaner'!$B$2:$B$10001,MATCH(9632,'Email Cleaner'!$G$2:$G$10001,0)),"")</f>
        <v/>
      </c>
    </row>
    <row r="9634">
      <c r="A9634">
        <f>IFERROR(INDEX('Email Cleaner'!$B$2:$B$10001,MATCH(9633,'Email Cleaner'!$G$2:$G$10001,0)),"")</f>
        <v/>
      </c>
    </row>
    <row r="9635">
      <c r="A9635">
        <f>IFERROR(INDEX('Email Cleaner'!$B$2:$B$10001,MATCH(9634,'Email Cleaner'!$G$2:$G$10001,0)),"")</f>
        <v/>
      </c>
    </row>
    <row r="9636">
      <c r="A9636">
        <f>IFERROR(INDEX('Email Cleaner'!$B$2:$B$10001,MATCH(9635,'Email Cleaner'!$G$2:$G$10001,0)),"")</f>
        <v/>
      </c>
    </row>
    <row r="9637">
      <c r="A9637">
        <f>IFERROR(INDEX('Email Cleaner'!$B$2:$B$10001,MATCH(9636,'Email Cleaner'!$G$2:$G$10001,0)),"")</f>
        <v/>
      </c>
    </row>
    <row r="9638">
      <c r="A9638">
        <f>IFERROR(INDEX('Email Cleaner'!$B$2:$B$10001,MATCH(9637,'Email Cleaner'!$G$2:$G$10001,0)),"")</f>
        <v/>
      </c>
    </row>
    <row r="9639">
      <c r="A9639">
        <f>IFERROR(INDEX('Email Cleaner'!$B$2:$B$10001,MATCH(9638,'Email Cleaner'!$G$2:$G$10001,0)),"")</f>
        <v/>
      </c>
    </row>
    <row r="9640">
      <c r="A9640">
        <f>IFERROR(INDEX('Email Cleaner'!$B$2:$B$10001,MATCH(9639,'Email Cleaner'!$G$2:$G$10001,0)),"")</f>
        <v/>
      </c>
    </row>
    <row r="9641">
      <c r="A9641">
        <f>IFERROR(INDEX('Email Cleaner'!$B$2:$B$10001,MATCH(9640,'Email Cleaner'!$G$2:$G$10001,0)),"")</f>
        <v/>
      </c>
    </row>
    <row r="9642">
      <c r="A9642">
        <f>IFERROR(INDEX('Email Cleaner'!$B$2:$B$10001,MATCH(9641,'Email Cleaner'!$G$2:$G$10001,0)),"")</f>
        <v/>
      </c>
    </row>
    <row r="9643">
      <c r="A9643">
        <f>IFERROR(INDEX('Email Cleaner'!$B$2:$B$10001,MATCH(9642,'Email Cleaner'!$G$2:$G$10001,0)),"")</f>
        <v/>
      </c>
    </row>
    <row r="9644">
      <c r="A9644">
        <f>IFERROR(INDEX('Email Cleaner'!$B$2:$B$10001,MATCH(9643,'Email Cleaner'!$G$2:$G$10001,0)),"")</f>
        <v/>
      </c>
    </row>
    <row r="9645">
      <c r="A9645">
        <f>IFERROR(INDEX('Email Cleaner'!$B$2:$B$10001,MATCH(9644,'Email Cleaner'!$G$2:$G$10001,0)),"")</f>
        <v/>
      </c>
    </row>
    <row r="9646">
      <c r="A9646">
        <f>IFERROR(INDEX('Email Cleaner'!$B$2:$B$10001,MATCH(9645,'Email Cleaner'!$G$2:$G$10001,0)),"")</f>
        <v/>
      </c>
    </row>
    <row r="9647">
      <c r="A9647">
        <f>IFERROR(INDEX('Email Cleaner'!$B$2:$B$10001,MATCH(9646,'Email Cleaner'!$G$2:$G$10001,0)),"")</f>
        <v/>
      </c>
    </row>
    <row r="9648">
      <c r="A9648">
        <f>IFERROR(INDEX('Email Cleaner'!$B$2:$B$10001,MATCH(9647,'Email Cleaner'!$G$2:$G$10001,0)),"")</f>
        <v/>
      </c>
    </row>
    <row r="9649">
      <c r="A9649">
        <f>IFERROR(INDEX('Email Cleaner'!$B$2:$B$10001,MATCH(9648,'Email Cleaner'!$G$2:$G$10001,0)),"")</f>
        <v/>
      </c>
    </row>
    <row r="9650">
      <c r="A9650">
        <f>IFERROR(INDEX('Email Cleaner'!$B$2:$B$10001,MATCH(9649,'Email Cleaner'!$G$2:$G$10001,0)),"")</f>
        <v/>
      </c>
    </row>
    <row r="9651">
      <c r="A9651">
        <f>IFERROR(INDEX('Email Cleaner'!$B$2:$B$10001,MATCH(9650,'Email Cleaner'!$G$2:$G$10001,0)),"")</f>
        <v/>
      </c>
    </row>
    <row r="9652">
      <c r="A9652">
        <f>IFERROR(INDEX('Email Cleaner'!$B$2:$B$10001,MATCH(9651,'Email Cleaner'!$G$2:$G$10001,0)),"")</f>
        <v/>
      </c>
    </row>
    <row r="9653">
      <c r="A9653">
        <f>IFERROR(INDEX('Email Cleaner'!$B$2:$B$10001,MATCH(9652,'Email Cleaner'!$G$2:$G$10001,0)),"")</f>
        <v/>
      </c>
    </row>
    <row r="9654">
      <c r="A9654">
        <f>IFERROR(INDEX('Email Cleaner'!$B$2:$B$10001,MATCH(9653,'Email Cleaner'!$G$2:$G$10001,0)),"")</f>
        <v/>
      </c>
    </row>
    <row r="9655">
      <c r="A9655">
        <f>IFERROR(INDEX('Email Cleaner'!$B$2:$B$10001,MATCH(9654,'Email Cleaner'!$G$2:$G$10001,0)),"")</f>
        <v/>
      </c>
    </row>
    <row r="9656">
      <c r="A9656">
        <f>IFERROR(INDEX('Email Cleaner'!$B$2:$B$10001,MATCH(9655,'Email Cleaner'!$G$2:$G$10001,0)),"")</f>
        <v/>
      </c>
    </row>
    <row r="9657">
      <c r="A9657">
        <f>IFERROR(INDEX('Email Cleaner'!$B$2:$B$10001,MATCH(9656,'Email Cleaner'!$G$2:$G$10001,0)),"")</f>
        <v/>
      </c>
    </row>
    <row r="9658">
      <c r="A9658">
        <f>IFERROR(INDEX('Email Cleaner'!$B$2:$B$10001,MATCH(9657,'Email Cleaner'!$G$2:$G$10001,0)),"")</f>
        <v/>
      </c>
    </row>
    <row r="9659">
      <c r="A9659">
        <f>IFERROR(INDEX('Email Cleaner'!$B$2:$B$10001,MATCH(9658,'Email Cleaner'!$G$2:$G$10001,0)),"")</f>
        <v/>
      </c>
    </row>
    <row r="9660">
      <c r="A9660">
        <f>IFERROR(INDEX('Email Cleaner'!$B$2:$B$10001,MATCH(9659,'Email Cleaner'!$G$2:$G$10001,0)),"")</f>
        <v/>
      </c>
    </row>
    <row r="9661">
      <c r="A9661">
        <f>IFERROR(INDEX('Email Cleaner'!$B$2:$B$10001,MATCH(9660,'Email Cleaner'!$G$2:$G$10001,0)),"")</f>
        <v/>
      </c>
    </row>
    <row r="9662">
      <c r="A9662">
        <f>IFERROR(INDEX('Email Cleaner'!$B$2:$B$10001,MATCH(9661,'Email Cleaner'!$G$2:$G$10001,0)),"")</f>
        <v/>
      </c>
    </row>
    <row r="9663">
      <c r="A9663">
        <f>IFERROR(INDEX('Email Cleaner'!$B$2:$B$10001,MATCH(9662,'Email Cleaner'!$G$2:$G$10001,0)),"")</f>
        <v/>
      </c>
    </row>
    <row r="9664">
      <c r="A9664">
        <f>IFERROR(INDEX('Email Cleaner'!$B$2:$B$10001,MATCH(9663,'Email Cleaner'!$G$2:$G$10001,0)),"")</f>
        <v/>
      </c>
    </row>
    <row r="9665">
      <c r="A9665">
        <f>IFERROR(INDEX('Email Cleaner'!$B$2:$B$10001,MATCH(9664,'Email Cleaner'!$G$2:$G$10001,0)),"")</f>
        <v/>
      </c>
    </row>
    <row r="9666">
      <c r="A9666">
        <f>IFERROR(INDEX('Email Cleaner'!$B$2:$B$10001,MATCH(9665,'Email Cleaner'!$G$2:$G$10001,0)),"")</f>
        <v/>
      </c>
    </row>
    <row r="9667">
      <c r="A9667">
        <f>IFERROR(INDEX('Email Cleaner'!$B$2:$B$10001,MATCH(9666,'Email Cleaner'!$G$2:$G$10001,0)),"")</f>
        <v/>
      </c>
    </row>
    <row r="9668">
      <c r="A9668">
        <f>IFERROR(INDEX('Email Cleaner'!$B$2:$B$10001,MATCH(9667,'Email Cleaner'!$G$2:$G$10001,0)),"")</f>
        <v/>
      </c>
    </row>
    <row r="9669">
      <c r="A9669">
        <f>IFERROR(INDEX('Email Cleaner'!$B$2:$B$10001,MATCH(9668,'Email Cleaner'!$G$2:$G$10001,0)),"")</f>
        <v/>
      </c>
    </row>
    <row r="9670">
      <c r="A9670">
        <f>IFERROR(INDEX('Email Cleaner'!$B$2:$B$10001,MATCH(9669,'Email Cleaner'!$G$2:$G$10001,0)),"")</f>
        <v/>
      </c>
    </row>
    <row r="9671">
      <c r="A9671">
        <f>IFERROR(INDEX('Email Cleaner'!$B$2:$B$10001,MATCH(9670,'Email Cleaner'!$G$2:$G$10001,0)),"")</f>
        <v/>
      </c>
    </row>
    <row r="9672">
      <c r="A9672">
        <f>IFERROR(INDEX('Email Cleaner'!$B$2:$B$10001,MATCH(9671,'Email Cleaner'!$G$2:$G$10001,0)),"")</f>
        <v/>
      </c>
    </row>
    <row r="9673">
      <c r="A9673">
        <f>IFERROR(INDEX('Email Cleaner'!$B$2:$B$10001,MATCH(9672,'Email Cleaner'!$G$2:$G$10001,0)),"")</f>
        <v/>
      </c>
    </row>
    <row r="9674">
      <c r="A9674">
        <f>IFERROR(INDEX('Email Cleaner'!$B$2:$B$10001,MATCH(9673,'Email Cleaner'!$G$2:$G$10001,0)),"")</f>
        <v/>
      </c>
    </row>
    <row r="9675">
      <c r="A9675">
        <f>IFERROR(INDEX('Email Cleaner'!$B$2:$B$10001,MATCH(9674,'Email Cleaner'!$G$2:$G$10001,0)),"")</f>
        <v/>
      </c>
    </row>
    <row r="9676">
      <c r="A9676">
        <f>IFERROR(INDEX('Email Cleaner'!$B$2:$B$10001,MATCH(9675,'Email Cleaner'!$G$2:$G$10001,0)),"")</f>
        <v/>
      </c>
    </row>
    <row r="9677">
      <c r="A9677">
        <f>IFERROR(INDEX('Email Cleaner'!$B$2:$B$10001,MATCH(9676,'Email Cleaner'!$G$2:$G$10001,0)),"")</f>
        <v/>
      </c>
    </row>
    <row r="9678">
      <c r="A9678">
        <f>IFERROR(INDEX('Email Cleaner'!$B$2:$B$10001,MATCH(9677,'Email Cleaner'!$G$2:$G$10001,0)),"")</f>
        <v/>
      </c>
    </row>
    <row r="9679">
      <c r="A9679">
        <f>IFERROR(INDEX('Email Cleaner'!$B$2:$B$10001,MATCH(9678,'Email Cleaner'!$G$2:$G$10001,0)),"")</f>
        <v/>
      </c>
    </row>
    <row r="9680">
      <c r="A9680">
        <f>IFERROR(INDEX('Email Cleaner'!$B$2:$B$10001,MATCH(9679,'Email Cleaner'!$G$2:$G$10001,0)),"")</f>
        <v/>
      </c>
    </row>
    <row r="9681">
      <c r="A9681">
        <f>IFERROR(INDEX('Email Cleaner'!$B$2:$B$10001,MATCH(9680,'Email Cleaner'!$G$2:$G$10001,0)),"")</f>
        <v/>
      </c>
    </row>
    <row r="9682">
      <c r="A9682">
        <f>IFERROR(INDEX('Email Cleaner'!$B$2:$B$10001,MATCH(9681,'Email Cleaner'!$G$2:$G$10001,0)),"")</f>
        <v/>
      </c>
    </row>
    <row r="9683">
      <c r="A9683">
        <f>IFERROR(INDEX('Email Cleaner'!$B$2:$B$10001,MATCH(9682,'Email Cleaner'!$G$2:$G$10001,0)),"")</f>
        <v/>
      </c>
    </row>
    <row r="9684">
      <c r="A9684">
        <f>IFERROR(INDEX('Email Cleaner'!$B$2:$B$10001,MATCH(9683,'Email Cleaner'!$G$2:$G$10001,0)),"")</f>
        <v/>
      </c>
    </row>
    <row r="9685">
      <c r="A9685">
        <f>IFERROR(INDEX('Email Cleaner'!$B$2:$B$10001,MATCH(9684,'Email Cleaner'!$G$2:$G$10001,0)),"")</f>
        <v/>
      </c>
    </row>
    <row r="9686">
      <c r="A9686">
        <f>IFERROR(INDEX('Email Cleaner'!$B$2:$B$10001,MATCH(9685,'Email Cleaner'!$G$2:$G$10001,0)),"")</f>
        <v/>
      </c>
    </row>
    <row r="9687">
      <c r="A9687">
        <f>IFERROR(INDEX('Email Cleaner'!$B$2:$B$10001,MATCH(9686,'Email Cleaner'!$G$2:$G$10001,0)),"")</f>
        <v/>
      </c>
    </row>
    <row r="9688">
      <c r="A9688">
        <f>IFERROR(INDEX('Email Cleaner'!$B$2:$B$10001,MATCH(9687,'Email Cleaner'!$G$2:$G$10001,0)),"")</f>
        <v/>
      </c>
    </row>
    <row r="9689">
      <c r="A9689">
        <f>IFERROR(INDEX('Email Cleaner'!$B$2:$B$10001,MATCH(9688,'Email Cleaner'!$G$2:$G$10001,0)),"")</f>
        <v/>
      </c>
    </row>
    <row r="9690">
      <c r="A9690">
        <f>IFERROR(INDEX('Email Cleaner'!$B$2:$B$10001,MATCH(9689,'Email Cleaner'!$G$2:$G$10001,0)),"")</f>
        <v/>
      </c>
    </row>
    <row r="9691">
      <c r="A9691">
        <f>IFERROR(INDEX('Email Cleaner'!$B$2:$B$10001,MATCH(9690,'Email Cleaner'!$G$2:$G$10001,0)),"")</f>
        <v/>
      </c>
    </row>
    <row r="9692">
      <c r="A9692">
        <f>IFERROR(INDEX('Email Cleaner'!$B$2:$B$10001,MATCH(9691,'Email Cleaner'!$G$2:$G$10001,0)),"")</f>
        <v/>
      </c>
    </row>
    <row r="9693">
      <c r="A9693">
        <f>IFERROR(INDEX('Email Cleaner'!$B$2:$B$10001,MATCH(9692,'Email Cleaner'!$G$2:$G$10001,0)),"")</f>
        <v/>
      </c>
    </row>
    <row r="9694">
      <c r="A9694">
        <f>IFERROR(INDEX('Email Cleaner'!$B$2:$B$10001,MATCH(9693,'Email Cleaner'!$G$2:$G$10001,0)),"")</f>
        <v/>
      </c>
    </row>
    <row r="9695">
      <c r="A9695">
        <f>IFERROR(INDEX('Email Cleaner'!$B$2:$B$10001,MATCH(9694,'Email Cleaner'!$G$2:$G$10001,0)),"")</f>
        <v/>
      </c>
    </row>
    <row r="9696">
      <c r="A9696">
        <f>IFERROR(INDEX('Email Cleaner'!$B$2:$B$10001,MATCH(9695,'Email Cleaner'!$G$2:$G$10001,0)),"")</f>
        <v/>
      </c>
    </row>
    <row r="9697">
      <c r="A9697">
        <f>IFERROR(INDEX('Email Cleaner'!$B$2:$B$10001,MATCH(9696,'Email Cleaner'!$G$2:$G$10001,0)),"")</f>
        <v/>
      </c>
    </row>
    <row r="9698">
      <c r="A9698">
        <f>IFERROR(INDEX('Email Cleaner'!$B$2:$B$10001,MATCH(9697,'Email Cleaner'!$G$2:$G$10001,0)),"")</f>
        <v/>
      </c>
    </row>
    <row r="9699">
      <c r="A9699">
        <f>IFERROR(INDEX('Email Cleaner'!$B$2:$B$10001,MATCH(9698,'Email Cleaner'!$G$2:$G$10001,0)),"")</f>
        <v/>
      </c>
    </row>
    <row r="9700">
      <c r="A9700">
        <f>IFERROR(INDEX('Email Cleaner'!$B$2:$B$10001,MATCH(9699,'Email Cleaner'!$G$2:$G$10001,0)),"")</f>
        <v/>
      </c>
    </row>
    <row r="9701">
      <c r="A9701">
        <f>IFERROR(INDEX('Email Cleaner'!$B$2:$B$10001,MATCH(9700,'Email Cleaner'!$G$2:$G$10001,0)),"")</f>
        <v/>
      </c>
    </row>
    <row r="9702">
      <c r="A9702">
        <f>IFERROR(INDEX('Email Cleaner'!$B$2:$B$10001,MATCH(9701,'Email Cleaner'!$G$2:$G$10001,0)),"")</f>
        <v/>
      </c>
    </row>
    <row r="9703">
      <c r="A9703">
        <f>IFERROR(INDEX('Email Cleaner'!$B$2:$B$10001,MATCH(9702,'Email Cleaner'!$G$2:$G$10001,0)),"")</f>
        <v/>
      </c>
    </row>
    <row r="9704">
      <c r="A9704">
        <f>IFERROR(INDEX('Email Cleaner'!$B$2:$B$10001,MATCH(9703,'Email Cleaner'!$G$2:$G$10001,0)),"")</f>
        <v/>
      </c>
    </row>
    <row r="9705">
      <c r="A9705">
        <f>IFERROR(INDEX('Email Cleaner'!$B$2:$B$10001,MATCH(9704,'Email Cleaner'!$G$2:$G$10001,0)),"")</f>
        <v/>
      </c>
    </row>
    <row r="9706">
      <c r="A9706">
        <f>IFERROR(INDEX('Email Cleaner'!$B$2:$B$10001,MATCH(9705,'Email Cleaner'!$G$2:$G$10001,0)),"")</f>
        <v/>
      </c>
    </row>
    <row r="9707">
      <c r="A9707">
        <f>IFERROR(INDEX('Email Cleaner'!$B$2:$B$10001,MATCH(9706,'Email Cleaner'!$G$2:$G$10001,0)),"")</f>
        <v/>
      </c>
    </row>
    <row r="9708">
      <c r="A9708">
        <f>IFERROR(INDEX('Email Cleaner'!$B$2:$B$10001,MATCH(9707,'Email Cleaner'!$G$2:$G$10001,0)),"")</f>
        <v/>
      </c>
    </row>
    <row r="9709">
      <c r="A9709">
        <f>IFERROR(INDEX('Email Cleaner'!$B$2:$B$10001,MATCH(9708,'Email Cleaner'!$G$2:$G$10001,0)),"")</f>
        <v/>
      </c>
    </row>
    <row r="9710">
      <c r="A9710">
        <f>IFERROR(INDEX('Email Cleaner'!$B$2:$B$10001,MATCH(9709,'Email Cleaner'!$G$2:$G$10001,0)),"")</f>
        <v/>
      </c>
    </row>
    <row r="9711">
      <c r="A9711">
        <f>IFERROR(INDEX('Email Cleaner'!$B$2:$B$10001,MATCH(9710,'Email Cleaner'!$G$2:$G$10001,0)),"")</f>
        <v/>
      </c>
    </row>
    <row r="9712">
      <c r="A9712">
        <f>IFERROR(INDEX('Email Cleaner'!$B$2:$B$10001,MATCH(9711,'Email Cleaner'!$G$2:$G$10001,0)),"")</f>
        <v/>
      </c>
    </row>
    <row r="9713">
      <c r="A9713">
        <f>IFERROR(INDEX('Email Cleaner'!$B$2:$B$10001,MATCH(9712,'Email Cleaner'!$G$2:$G$10001,0)),"")</f>
        <v/>
      </c>
    </row>
    <row r="9714">
      <c r="A9714">
        <f>IFERROR(INDEX('Email Cleaner'!$B$2:$B$10001,MATCH(9713,'Email Cleaner'!$G$2:$G$10001,0)),"")</f>
        <v/>
      </c>
    </row>
    <row r="9715">
      <c r="A9715">
        <f>IFERROR(INDEX('Email Cleaner'!$B$2:$B$10001,MATCH(9714,'Email Cleaner'!$G$2:$G$10001,0)),"")</f>
        <v/>
      </c>
    </row>
    <row r="9716">
      <c r="A9716">
        <f>IFERROR(INDEX('Email Cleaner'!$B$2:$B$10001,MATCH(9715,'Email Cleaner'!$G$2:$G$10001,0)),"")</f>
        <v/>
      </c>
    </row>
    <row r="9717">
      <c r="A9717">
        <f>IFERROR(INDEX('Email Cleaner'!$B$2:$B$10001,MATCH(9716,'Email Cleaner'!$G$2:$G$10001,0)),"")</f>
        <v/>
      </c>
    </row>
    <row r="9718">
      <c r="A9718">
        <f>IFERROR(INDEX('Email Cleaner'!$B$2:$B$10001,MATCH(9717,'Email Cleaner'!$G$2:$G$10001,0)),"")</f>
        <v/>
      </c>
    </row>
    <row r="9719">
      <c r="A9719">
        <f>IFERROR(INDEX('Email Cleaner'!$B$2:$B$10001,MATCH(9718,'Email Cleaner'!$G$2:$G$10001,0)),"")</f>
        <v/>
      </c>
    </row>
    <row r="9720">
      <c r="A9720">
        <f>IFERROR(INDEX('Email Cleaner'!$B$2:$B$10001,MATCH(9719,'Email Cleaner'!$G$2:$G$10001,0)),"")</f>
        <v/>
      </c>
    </row>
    <row r="9721">
      <c r="A9721">
        <f>IFERROR(INDEX('Email Cleaner'!$B$2:$B$10001,MATCH(9720,'Email Cleaner'!$G$2:$G$10001,0)),"")</f>
        <v/>
      </c>
    </row>
    <row r="9722">
      <c r="A9722">
        <f>IFERROR(INDEX('Email Cleaner'!$B$2:$B$10001,MATCH(9721,'Email Cleaner'!$G$2:$G$10001,0)),"")</f>
        <v/>
      </c>
    </row>
    <row r="9723">
      <c r="A9723">
        <f>IFERROR(INDEX('Email Cleaner'!$B$2:$B$10001,MATCH(9722,'Email Cleaner'!$G$2:$G$10001,0)),"")</f>
        <v/>
      </c>
    </row>
    <row r="9724">
      <c r="A9724">
        <f>IFERROR(INDEX('Email Cleaner'!$B$2:$B$10001,MATCH(9723,'Email Cleaner'!$G$2:$G$10001,0)),"")</f>
        <v/>
      </c>
    </row>
    <row r="9725">
      <c r="A9725">
        <f>IFERROR(INDEX('Email Cleaner'!$B$2:$B$10001,MATCH(9724,'Email Cleaner'!$G$2:$G$10001,0)),"")</f>
        <v/>
      </c>
    </row>
    <row r="9726">
      <c r="A9726">
        <f>IFERROR(INDEX('Email Cleaner'!$B$2:$B$10001,MATCH(9725,'Email Cleaner'!$G$2:$G$10001,0)),"")</f>
        <v/>
      </c>
    </row>
    <row r="9727">
      <c r="A9727">
        <f>IFERROR(INDEX('Email Cleaner'!$B$2:$B$10001,MATCH(9726,'Email Cleaner'!$G$2:$G$10001,0)),"")</f>
        <v/>
      </c>
    </row>
    <row r="9728">
      <c r="A9728">
        <f>IFERROR(INDEX('Email Cleaner'!$B$2:$B$10001,MATCH(9727,'Email Cleaner'!$G$2:$G$10001,0)),"")</f>
        <v/>
      </c>
    </row>
    <row r="9729">
      <c r="A9729">
        <f>IFERROR(INDEX('Email Cleaner'!$B$2:$B$10001,MATCH(9728,'Email Cleaner'!$G$2:$G$10001,0)),"")</f>
        <v/>
      </c>
    </row>
    <row r="9730">
      <c r="A9730">
        <f>IFERROR(INDEX('Email Cleaner'!$B$2:$B$10001,MATCH(9729,'Email Cleaner'!$G$2:$G$10001,0)),"")</f>
        <v/>
      </c>
    </row>
    <row r="9731">
      <c r="A9731">
        <f>IFERROR(INDEX('Email Cleaner'!$B$2:$B$10001,MATCH(9730,'Email Cleaner'!$G$2:$G$10001,0)),"")</f>
        <v/>
      </c>
    </row>
    <row r="9732">
      <c r="A9732">
        <f>IFERROR(INDEX('Email Cleaner'!$B$2:$B$10001,MATCH(9731,'Email Cleaner'!$G$2:$G$10001,0)),"")</f>
        <v/>
      </c>
    </row>
    <row r="9733">
      <c r="A9733">
        <f>IFERROR(INDEX('Email Cleaner'!$B$2:$B$10001,MATCH(9732,'Email Cleaner'!$G$2:$G$10001,0)),"")</f>
        <v/>
      </c>
    </row>
    <row r="9734">
      <c r="A9734">
        <f>IFERROR(INDEX('Email Cleaner'!$B$2:$B$10001,MATCH(9733,'Email Cleaner'!$G$2:$G$10001,0)),"")</f>
        <v/>
      </c>
    </row>
    <row r="9735">
      <c r="A9735">
        <f>IFERROR(INDEX('Email Cleaner'!$B$2:$B$10001,MATCH(9734,'Email Cleaner'!$G$2:$G$10001,0)),"")</f>
        <v/>
      </c>
    </row>
    <row r="9736">
      <c r="A9736">
        <f>IFERROR(INDEX('Email Cleaner'!$B$2:$B$10001,MATCH(9735,'Email Cleaner'!$G$2:$G$10001,0)),"")</f>
        <v/>
      </c>
    </row>
    <row r="9737">
      <c r="A9737">
        <f>IFERROR(INDEX('Email Cleaner'!$B$2:$B$10001,MATCH(9736,'Email Cleaner'!$G$2:$G$10001,0)),"")</f>
        <v/>
      </c>
    </row>
    <row r="9738">
      <c r="A9738">
        <f>IFERROR(INDEX('Email Cleaner'!$B$2:$B$10001,MATCH(9737,'Email Cleaner'!$G$2:$G$10001,0)),"")</f>
        <v/>
      </c>
    </row>
    <row r="9739">
      <c r="A9739">
        <f>IFERROR(INDEX('Email Cleaner'!$B$2:$B$10001,MATCH(9738,'Email Cleaner'!$G$2:$G$10001,0)),"")</f>
        <v/>
      </c>
    </row>
    <row r="9740">
      <c r="A9740">
        <f>IFERROR(INDEX('Email Cleaner'!$B$2:$B$10001,MATCH(9739,'Email Cleaner'!$G$2:$G$10001,0)),"")</f>
        <v/>
      </c>
    </row>
    <row r="9741">
      <c r="A9741">
        <f>IFERROR(INDEX('Email Cleaner'!$B$2:$B$10001,MATCH(9740,'Email Cleaner'!$G$2:$G$10001,0)),"")</f>
        <v/>
      </c>
    </row>
    <row r="9742">
      <c r="A9742">
        <f>IFERROR(INDEX('Email Cleaner'!$B$2:$B$10001,MATCH(9741,'Email Cleaner'!$G$2:$G$10001,0)),"")</f>
        <v/>
      </c>
    </row>
    <row r="9743">
      <c r="A9743">
        <f>IFERROR(INDEX('Email Cleaner'!$B$2:$B$10001,MATCH(9742,'Email Cleaner'!$G$2:$G$10001,0)),"")</f>
        <v/>
      </c>
    </row>
    <row r="9744">
      <c r="A9744">
        <f>IFERROR(INDEX('Email Cleaner'!$B$2:$B$10001,MATCH(9743,'Email Cleaner'!$G$2:$G$10001,0)),"")</f>
        <v/>
      </c>
    </row>
    <row r="9745">
      <c r="A9745">
        <f>IFERROR(INDEX('Email Cleaner'!$B$2:$B$10001,MATCH(9744,'Email Cleaner'!$G$2:$G$10001,0)),"")</f>
        <v/>
      </c>
    </row>
    <row r="9746">
      <c r="A9746">
        <f>IFERROR(INDEX('Email Cleaner'!$B$2:$B$10001,MATCH(9745,'Email Cleaner'!$G$2:$G$10001,0)),"")</f>
        <v/>
      </c>
    </row>
    <row r="9747">
      <c r="A9747">
        <f>IFERROR(INDEX('Email Cleaner'!$B$2:$B$10001,MATCH(9746,'Email Cleaner'!$G$2:$G$10001,0)),"")</f>
        <v/>
      </c>
    </row>
    <row r="9748">
      <c r="A9748">
        <f>IFERROR(INDEX('Email Cleaner'!$B$2:$B$10001,MATCH(9747,'Email Cleaner'!$G$2:$G$10001,0)),"")</f>
        <v/>
      </c>
    </row>
    <row r="9749">
      <c r="A9749">
        <f>IFERROR(INDEX('Email Cleaner'!$B$2:$B$10001,MATCH(9748,'Email Cleaner'!$G$2:$G$10001,0)),"")</f>
        <v/>
      </c>
    </row>
    <row r="9750">
      <c r="A9750">
        <f>IFERROR(INDEX('Email Cleaner'!$B$2:$B$10001,MATCH(9749,'Email Cleaner'!$G$2:$G$10001,0)),"")</f>
        <v/>
      </c>
    </row>
    <row r="9751">
      <c r="A9751">
        <f>IFERROR(INDEX('Email Cleaner'!$B$2:$B$10001,MATCH(9750,'Email Cleaner'!$G$2:$G$10001,0)),"")</f>
        <v/>
      </c>
    </row>
    <row r="9752">
      <c r="A9752">
        <f>IFERROR(INDEX('Email Cleaner'!$B$2:$B$10001,MATCH(9751,'Email Cleaner'!$G$2:$G$10001,0)),"")</f>
        <v/>
      </c>
    </row>
    <row r="9753">
      <c r="A9753">
        <f>IFERROR(INDEX('Email Cleaner'!$B$2:$B$10001,MATCH(9752,'Email Cleaner'!$G$2:$G$10001,0)),"")</f>
        <v/>
      </c>
    </row>
    <row r="9754">
      <c r="A9754">
        <f>IFERROR(INDEX('Email Cleaner'!$B$2:$B$10001,MATCH(9753,'Email Cleaner'!$G$2:$G$10001,0)),"")</f>
        <v/>
      </c>
    </row>
    <row r="9755">
      <c r="A9755">
        <f>IFERROR(INDEX('Email Cleaner'!$B$2:$B$10001,MATCH(9754,'Email Cleaner'!$G$2:$G$10001,0)),"")</f>
        <v/>
      </c>
    </row>
    <row r="9756">
      <c r="A9756">
        <f>IFERROR(INDEX('Email Cleaner'!$B$2:$B$10001,MATCH(9755,'Email Cleaner'!$G$2:$G$10001,0)),"")</f>
        <v/>
      </c>
    </row>
    <row r="9757">
      <c r="A9757">
        <f>IFERROR(INDEX('Email Cleaner'!$B$2:$B$10001,MATCH(9756,'Email Cleaner'!$G$2:$G$10001,0)),"")</f>
        <v/>
      </c>
    </row>
    <row r="9758">
      <c r="A9758">
        <f>IFERROR(INDEX('Email Cleaner'!$B$2:$B$10001,MATCH(9757,'Email Cleaner'!$G$2:$G$10001,0)),"")</f>
        <v/>
      </c>
    </row>
    <row r="9759">
      <c r="A9759">
        <f>IFERROR(INDEX('Email Cleaner'!$B$2:$B$10001,MATCH(9758,'Email Cleaner'!$G$2:$G$10001,0)),"")</f>
        <v/>
      </c>
    </row>
    <row r="9760">
      <c r="A9760">
        <f>IFERROR(INDEX('Email Cleaner'!$B$2:$B$10001,MATCH(9759,'Email Cleaner'!$G$2:$G$10001,0)),"")</f>
        <v/>
      </c>
    </row>
    <row r="9761">
      <c r="A9761">
        <f>IFERROR(INDEX('Email Cleaner'!$B$2:$B$10001,MATCH(9760,'Email Cleaner'!$G$2:$G$10001,0)),"")</f>
        <v/>
      </c>
    </row>
    <row r="9762">
      <c r="A9762">
        <f>IFERROR(INDEX('Email Cleaner'!$B$2:$B$10001,MATCH(9761,'Email Cleaner'!$G$2:$G$10001,0)),"")</f>
        <v/>
      </c>
    </row>
    <row r="9763">
      <c r="A9763">
        <f>IFERROR(INDEX('Email Cleaner'!$B$2:$B$10001,MATCH(9762,'Email Cleaner'!$G$2:$G$10001,0)),"")</f>
        <v/>
      </c>
    </row>
    <row r="9764">
      <c r="A9764">
        <f>IFERROR(INDEX('Email Cleaner'!$B$2:$B$10001,MATCH(9763,'Email Cleaner'!$G$2:$G$10001,0)),"")</f>
        <v/>
      </c>
    </row>
    <row r="9765">
      <c r="A9765">
        <f>IFERROR(INDEX('Email Cleaner'!$B$2:$B$10001,MATCH(9764,'Email Cleaner'!$G$2:$G$10001,0)),"")</f>
        <v/>
      </c>
    </row>
    <row r="9766">
      <c r="A9766">
        <f>IFERROR(INDEX('Email Cleaner'!$B$2:$B$10001,MATCH(9765,'Email Cleaner'!$G$2:$G$10001,0)),"")</f>
        <v/>
      </c>
    </row>
    <row r="9767">
      <c r="A9767">
        <f>IFERROR(INDEX('Email Cleaner'!$B$2:$B$10001,MATCH(9766,'Email Cleaner'!$G$2:$G$10001,0)),"")</f>
        <v/>
      </c>
    </row>
    <row r="9768">
      <c r="A9768">
        <f>IFERROR(INDEX('Email Cleaner'!$B$2:$B$10001,MATCH(9767,'Email Cleaner'!$G$2:$G$10001,0)),"")</f>
        <v/>
      </c>
    </row>
    <row r="9769">
      <c r="A9769">
        <f>IFERROR(INDEX('Email Cleaner'!$B$2:$B$10001,MATCH(9768,'Email Cleaner'!$G$2:$G$10001,0)),"")</f>
        <v/>
      </c>
    </row>
    <row r="9770">
      <c r="A9770">
        <f>IFERROR(INDEX('Email Cleaner'!$B$2:$B$10001,MATCH(9769,'Email Cleaner'!$G$2:$G$10001,0)),"")</f>
        <v/>
      </c>
    </row>
    <row r="9771">
      <c r="A9771">
        <f>IFERROR(INDEX('Email Cleaner'!$B$2:$B$10001,MATCH(9770,'Email Cleaner'!$G$2:$G$10001,0)),"")</f>
        <v/>
      </c>
    </row>
    <row r="9772">
      <c r="A9772">
        <f>IFERROR(INDEX('Email Cleaner'!$B$2:$B$10001,MATCH(9771,'Email Cleaner'!$G$2:$G$10001,0)),"")</f>
        <v/>
      </c>
    </row>
    <row r="9773">
      <c r="A9773">
        <f>IFERROR(INDEX('Email Cleaner'!$B$2:$B$10001,MATCH(9772,'Email Cleaner'!$G$2:$G$10001,0)),"")</f>
        <v/>
      </c>
    </row>
    <row r="9774">
      <c r="A9774">
        <f>IFERROR(INDEX('Email Cleaner'!$B$2:$B$10001,MATCH(9773,'Email Cleaner'!$G$2:$G$10001,0)),"")</f>
        <v/>
      </c>
    </row>
    <row r="9775">
      <c r="A9775">
        <f>IFERROR(INDEX('Email Cleaner'!$B$2:$B$10001,MATCH(9774,'Email Cleaner'!$G$2:$G$10001,0)),"")</f>
        <v/>
      </c>
    </row>
    <row r="9776">
      <c r="A9776">
        <f>IFERROR(INDEX('Email Cleaner'!$B$2:$B$10001,MATCH(9775,'Email Cleaner'!$G$2:$G$10001,0)),"")</f>
        <v/>
      </c>
    </row>
    <row r="9777">
      <c r="A9777">
        <f>IFERROR(INDEX('Email Cleaner'!$B$2:$B$10001,MATCH(9776,'Email Cleaner'!$G$2:$G$10001,0)),"")</f>
        <v/>
      </c>
    </row>
    <row r="9778">
      <c r="A9778">
        <f>IFERROR(INDEX('Email Cleaner'!$B$2:$B$10001,MATCH(9777,'Email Cleaner'!$G$2:$G$10001,0)),"")</f>
        <v/>
      </c>
    </row>
    <row r="9779">
      <c r="A9779">
        <f>IFERROR(INDEX('Email Cleaner'!$B$2:$B$10001,MATCH(9778,'Email Cleaner'!$G$2:$G$10001,0)),"")</f>
        <v/>
      </c>
    </row>
    <row r="9780">
      <c r="A9780">
        <f>IFERROR(INDEX('Email Cleaner'!$B$2:$B$10001,MATCH(9779,'Email Cleaner'!$G$2:$G$10001,0)),"")</f>
        <v/>
      </c>
    </row>
    <row r="9781">
      <c r="A9781">
        <f>IFERROR(INDEX('Email Cleaner'!$B$2:$B$10001,MATCH(9780,'Email Cleaner'!$G$2:$G$10001,0)),"")</f>
        <v/>
      </c>
    </row>
    <row r="9782">
      <c r="A9782">
        <f>IFERROR(INDEX('Email Cleaner'!$B$2:$B$10001,MATCH(9781,'Email Cleaner'!$G$2:$G$10001,0)),"")</f>
        <v/>
      </c>
    </row>
    <row r="9783">
      <c r="A9783">
        <f>IFERROR(INDEX('Email Cleaner'!$B$2:$B$10001,MATCH(9782,'Email Cleaner'!$G$2:$G$10001,0)),"")</f>
        <v/>
      </c>
    </row>
    <row r="9784">
      <c r="A9784">
        <f>IFERROR(INDEX('Email Cleaner'!$B$2:$B$10001,MATCH(9783,'Email Cleaner'!$G$2:$G$10001,0)),"")</f>
        <v/>
      </c>
    </row>
    <row r="9785">
      <c r="A9785">
        <f>IFERROR(INDEX('Email Cleaner'!$B$2:$B$10001,MATCH(9784,'Email Cleaner'!$G$2:$G$10001,0)),"")</f>
        <v/>
      </c>
    </row>
    <row r="9786">
      <c r="A9786">
        <f>IFERROR(INDEX('Email Cleaner'!$B$2:$B$10001,MATCH(9785,'Email Cleaner'!$G$2:$G$10001,0)),"")</f>
        <v/>
      </c>
    </row>
    <row r="9787">
      <c r="A9787">
        <f>IFERROR(INDEX('Email Cleaner'!$B$2:$B$10001,MATCH(9786,'Email Cleaner'!$G$2:$G$10001,0)),"")</f>
        <v/>
      </c>
    </row>
    <row r="9788">
      <c r="A9788">
        <f>IFERROR(INDEX('Email Cleaner'!$B$2:$B$10001,MATCH(9787,'Email Cleaner'!$G$2:$G$10001,0)),"")</f>
        <v/>
      </c>
    </row>
    <row r="9789">
      <c r="A9789">
        <f>IFERROR(INDEX('Email Cleaner'!$B$2:$B$10001,MATCH(9788,'Email Cleaner'!$G$2:$G$10001,0)),"")</f>
        <v/>
      </c>
    </row>
    <row r="9790">
      <c r="A9790">
        <f>IFERROR(INDEX('Email Cleaner'!$B$2:$B$10001,MATCH(9789,'Email Cleaner'!$G$2:$G$10001,0)),"")</f>
        <v/>
      </c>
    </row>
    <row r="9791">
      <c r="A9791">
        <f>IFERROR(INDEX('Email Cleaner'!$B$2:$B$10001,MATCH(9790,'Email Cleaner'!$G$2:$G$10001,0)),"")</f>
        <v/>
      </c>
    </row>
    <row r="9792">
      <c r="A9792">
        <f>IFERROR(INDEX('Email Cleaner'!$B$2:$B$10001,MATCH(9791,'Email Cleaner'!$G$2:$G$10001,0)),"")</f>
        <v/>
      </c>
    </row>
    <row r="9793">
      <c r="A9793">
        <f>IFERROR(INDEX('Email Cleaner'!$B$2:$B$10001,MATCH(9792,'Email Cleaner'!$G$2:$G$10001,0)),"")</f>
        <v/>
      </c>
    </row>
    <row r="9794">
      <c r="A9794">
        <f>IFERROR(INDEX('Email Cleaner'!$B$2:$B$10001,MATCH(9793,'Email Cleaner'!$G$2:$G$10001,0)),"")</f>
        <v/>
      </c>
    </row>
    <row r="9795">
      <c r="A9795">
        <f>IFERROR(INDEX('Email Cleaner'!$B$2:$B$10001,MATCH(9794,'Email Cleaner'!$G$2:$G$10001,0)),"")</f>
        <v/>
      </c>
    </row>
    <row r="9796">
      <c r="A9796">
        <f>IFERROR(INDEX('Email Cleaner'!$B$2:$B$10001,MATCH(9795,'Email Cleaner'!$G$2:$G$10001,0)),"")</f>
        <v/>
      </c>
    </row>
    <row r="9797">
      <c r="A9797">
        <f>IFERROR(INDEX('Email Cleaner'!$B$2:$B$10001,MATCH(9796,'Email Cleaner'!$G$2:$G$10001,0)),"")</f>
        <v/>
      </c>
    </row>
    <row r="9798">
      <c r="A9798">
        <f>IFERROR(INDEX('Email Cleaner'!$B$2:$B$10001,MATCH(9797,'Email Cleaner'!$G$2:$G$10001,0)),"")</f>
        <v/>
      </c>
    </row>
    <row r="9799">
      <c r="A9799">
        <f>IFERROR(INDEX('Email Cleaner'!$B$2:$B$10001,MATCH(9798,'Email Cleaner'!$G$2:$G$10001,0)),"")</f>
        <v/>
      </c>
    </row>
    <row r="9800">
      <c r="A9800">
        <f>IFERROR(INDEX('Email Cleaner'!$B$2:$B$10001,MATCH(9799,'Email Cleaner'!$G$2:$G$10001,0)),"")</f>
        <v/>
      </c>
    </row>
    <row r="9801">
      <c r="A9801">
        <f>IFERROR(INDEX('Email Cleaner'!$B$2:$B$10001,MATCH(9800,'Email Cleaner'!$G$2:$G$10001,0)),"")</f>
        <v/>
      </c>
    </row>
    <row r="9802">
      <c r="A9802">
        <f>IFERROR(INDEX('Email Cleaner'!$B$2:$B$10001,MATCH(9801,'Email Cleaner'!$G$2:$G$10001,0)),"")</f>
        <v/>
      </c>
    </row>
    <row r="9803">
      <c r="A9803">
        <f>IFERROR(INDEX('Email Cleaner'!$B$2:$B$10001,MATCH(9802,'Email Cleaner'!$G$2:$G$10001,0)),"")</f>
        <v/>
      </c>
    </row>
    <row r="9804">
      <c r="A9804">
        <f>IFERROR(INDEX('Email Cleaner'!$B$2:$B$10001,MATCH(9803,'Email Cleaner'!$G$2:$G$10001,0)),"")</f>
        <v/>
      </c>
    </row>
    <row r="9805">
      <c r="A9805">
        <f>IFERROR(INDEX('Email Cleaner'!$B$2:$B$10001,MATCH(9804,'Email Cleaner'!$G$2:$G$10001,0)),"")</f>
        <v/>
      </c>
    </row>
    <row r="9806">
      <c r="A9806">
        <f>IFERROR(INDEX('Email Cleaner'!$B$2:$B$10001,MATCH(9805,'Email Cleaner'!$G$2:$G$10001,0)),"")</f>
        <v/>
      </c>
    </row>
    <row r="9807">
      <c r="A9807">
        <f>IFERROR(INDEX('Email Cleaner'!$B$2:$B$10001,MATCH(9806,'Email Cleaner'!$G$2:$G$10001,0)),"")</f>
        <v/>
      </c>
    </row>
    <row r="9808">
      <c r="A9808">
        <f>IFERROR(INDEX('Email Cleaner'!$B$2:$B$10001,MATCH(9807,'Email Cleaner'!$G$2:$G$10001,0)),"")</f>
        <v/>
      </c>
    </row>
    <row r="9809">
      <c r="A9809">
        <f>IFERROR(INDEX('Email Cleaner'!$B$2:$B$10001,MATCH(9808,'Email Cleaner'!$G$2:$G$10001,0)),"")</f>
        <v/>
      </c>
    </row>
    <row r="9810">
      <c r="A9810">
        <f>IFERROR(INDEX('Email Cleaner'!$B$2:$B$10001,MATCH(9809,'Email Cleaner'!$G$2:$G$10001,0)),"")</f>
        <v/>
      </c>
    </row>
    <row r="9811">
      <c r="A9811">
        <f>IFERROR(INDEX('Email Cleaner'!$B$2:$B$10001,MATCH(9810,'Email Cleaner'!$G$2:$G$10001,0)),"")</f>
        <v/>
      </c>
    </row>
    <row r="9812">
      <c r="A9812">
        <f>IFERROR(INDEX('Email Cleaner'!$B$2:$B$10001,MATCH(9811,'Email Cleaner'!$G$2:$G$10001,0)),"")</f>
        <v/>
      </c>
    </row>
    <row r="9813">
      <c r="A9813">
        <f>IFERROR(INDEX('Email Cleaner'!$B$2:$B$10001,MATCH(9812,'Email Cleaner'!$G$2:$G$10001,0)),"")</f>
        <v/>
      </c>
    </row>
    <row r="9814">
      <c r="A9814">
        <f>IFERROR(INDEX('Email Cleaner'!$B$2:$B$10001,MATCH(9813,'Email Cleaner'!$G$2:$G$10001,0)),"")</f>
        <v/>
      </c>
    </row>
    <row r="9815">
      <c r="A9815">
        <f>IFERROR(INDEX('Email Cleaner'!$B$2:$B$10001,MATCH(9814,'Email Cleaner'!$G$2:$G$10001,0)),"")</f>
        <v/>
      </c>
    </row>
    <row r="9816">
      <c r="A9816">
        <f>IFERROR(INDEX('Email Cleaner'!$B$2:$B$10001,MATCH(9815,'Email Cleaner'!$G$2:$G$10001,0)),"")</f>
        <v/>
      </c>
    </row>
    <row r="9817">
      <c r="A9817">
        <f>IFERROR(INDEX('Email Cleaner'!$B$2:$B$10001,MATCH(9816,'Email Cleaner'!$G$2:$G$10001,0)),"")</f>
        <v/>
      </c>
    </row>
    <row r="9818">
      <c r="A9818">
        <f>IFERROR(INDEX('Email Cleaner'!$B$2:$B$10001,MATCH(9817,'Email Cleaner'!$G$2:$G$10001,0)),"")</f>
        <v/>
      </c>
    </row>
    <row r="9819">
      <c r="A9819">
        <f>IFERROR(INDEX('Email Cleaner'!$B$2:$B$10001,MATCH(9818,'Email Cleaner'!$G$2:$G$10001,0)),"")</f>
        <v/>
      </c>
    </row>
    <row r="9820">
      <c r="A9820">
        <f>IFERROR(INDEX('Email Cleaner'!$B$2:$B$10001,MATCH(9819,'Email Cleaner'!$G$2:$G$10001,0)),"")</f>
        <v/>
      </c>
    </row>
    <row r="9821">
      <c r="A9821">
        <f>IFERROR(INDEX('Email Cleaner'!$B$2:$B$10001,MATCH(9820,'Email Cleaner'!$G$2:$G$10001,0)),"")</f>
        <v/>
      </c>
    </row>
    <row r="9822">
      <c r="A9822">
        <f>IFERROR(INDEX('Email Cleaner'!$B$2:$B$10001,MATCH(9821,'Email Cleaner'!$G$2:$G$10001,0)),"")</f>
        <v/>
      </c>
    </row>
    <row r="9823">
      <c r="A9823">
        <f>IFERROR(INDEX('Email Cleaner'!$B$2:$B$10001,MATCH(9822,'Email Cleaner'!$G$2:$G$10001,0)),"")</f>
        <v/>
      </c>
    </row>
    <row r="9824">
      <c r="A9824">
        <f>IFERROR(INDEX('Email Cleaner'!$B$2:$B$10001,MATCH(9823,'Email Cleaner'!$G$2:$G$10001,0)),"")</f>
        <v/>
      </c>
    </row>
    <row r="9825">
      <c r="A9825">
        <f>IFERROR(INDEX('Email Cleaner'!$B$2:$B$10001,MATCH(9824,'Email Cleaner'!$G$2:$G$10001,0)),"")</f>
        <v/>
      </c>
    </row>
    <row r="9826">
      <c r="A9826">
        <f>IFERROR(INDEX('Email Cleaner'!$B$2:$B$10001,MATCH(9825,'Email Cleaner'!$G$2:$G$10001,0)),"")</f>
        <v/>
      </c>
    </row>
    <row r="9827">
      <c r="A9827">
        <f>IFERROR(INDEX('Email Cleaner'!$B$2:$B$10001,MATCH(9826,'Email Cleaner'!$G$2:$G$10001,0)),"")</f>
        <v/>
      </c>
    </row>
    <row r="9828">
      <c r="A9828">
        <f>IFERROR(INDEX('Email Cleaner'!$B$2:$B$10001,MATCH(9827,'Email Cleaner'!$G$2:$G$10001,0)),"")</f>
        <v/>
      </c>
    </row>
    <row r="9829">
      <c r="A9829">
        <f>IFERROR(INDEX('Email Cleaner'!$B$2:$B$10001,MATCH(9828,'Email Cleaner'!$G$2:$G$10001,0)),"")</f>
        <v/>
      </c>
    </row>
    <row r="9830">
      <c r="A9830">
        <f>IFERROR(INDEX('Email Cleaner'!$B$2:$B$10001,MATCH(9829,'Email Cleaner'!$G$2:$G$10001,0)),"")</f>
        <v/>
      </c>
    </row>
    <row r="9831">
      <c r="A9831">
        <f>IFERROR(INDEX('Email Cleaner'!$B$2:$B$10001,MATCH(9830,'Email Cleaner'!$G$2:$G$10001,0)),"")</f>
        <v/>
      </c>
    </row>
    <row r="9832">
      <c r="A9832">
        <f>IFERROR(INDEX('Email Cleaner'!$B$2:$B$10001,MATCH(9831,'Email Cleaner'!$G$2:$G$10001,0)),"")</f>
        <v/>
      </c>
    </row>
    <row r="9833">
      <c r="A9833">
        <f>IFERROR(INDEX('Email Cleaner'!$B$2:$B$10001,MATCH(9832,'Email Cleaner'!$G$2:$G$10001,0)),"")</f>
        <v/>
      </c>
    </row>
    <row r="9834">
      <c r="A9834">
        <f>IFERROR(INDEX('Email Cleaner'!$B$2:$B$10001,MATCH(9833,'Email Cleaner'!$G$2:$G$10001,0)),"")</f>
        <v/>
      </c>
    </row>
    <row r="9835">
      <c r="A9835">
        <f>IFERROR(INDEX('Email Cleaner'!$B$2:$B$10001,MATCH(9834,'Email Cleaner'!$G$2:$G$10001,0)),"")</f>
        <v/>
      </c>
    </row>
    <row r="9836">
      <c r="A9836">
        <f>IFERROR(INDEX('Email Cleaner'!$B$2:$B$10001,MATCH(9835,'Email Cleaner'!$G$2:$G$10001,0)),"")</f>
        <v/>
      </c>
    </row>
    <row r="9837">
      <c r="A9837">
        <f>IFERROR(INDEX('Email Cleaner'!$B$2:$B$10001,MATCH(9836,'Email Cleaner'!$G$2:$G$10001,0)),"")</f>
        <v/>
      </c>
    </row>
    <row r="9838">
      <c r="A9838">
        <f>IFERROR(INDEX('Email Cleaner'!$B$2:$B$10001,MATCH(9837,'Email Cleaner'!$G$2:$G$10001,0)),"")</f>
        <v/>
      </c>
    </row>
    <row r="9839">
      <c r="A9839">
        <f>IFERROR(INDEX('Email Cleaner'!$B$2:$B$10001,MATCH(9838,'Email Cleaner'!$G$2:$G$10001,0)),"")</f>
        <v/>
      </c>
    </row>
    <row r="9840">
      <c r="A9840">
        <f>IFERROR(INDEX('Email Cleaner'!$B$2:$B$10001,MATCH(9839,'Email Cleaner'!$G$2:$G$10001,0)),"")</f>
        <v/>
      </c>
    </row>
    <row r="9841">
      <c r="A9841">
        <f>IFERROR(INDEX('Email Cleaner'!$B$2:$B$10001,MATCH(9840,'Email Cleaner'!$G$2:$G$10001,0)),"")</f>
        <v/>
      </c>
    </row>
    <row r="9842">
      <c r="A9842">
        <f>IFERROR(INDEX('Email Cleaner'!$B$2:$B$10001,MATCH(9841,'Email Cleaner'!$G$2:$G$10001,0)),"")</f>
        <v/>
      </c>
    </row>
    <row r="9843">
      <c r="A9843">
        <f>IFERROR(INDEX('Email Cleaner'!$B$2:$B$10001,MATCH(9842,'Email Cleaner'!$G$2:$G$10001,0)),"")</f>
        <v/>
      </c>
    </row>
    <row r="9844">
      <c r="A9844">
        <f>IFERROR(INDEX('Email Cleaner'!$B$2:$B$10001,MATCH(9843,'Email Cleaner'!$G$2:$G$10001,0)),"")</f>
        <v/>
      </c>
    </row>
    <row r="9845">
      <c r="A9845">
        <f>IFERROR(INDEX('Email Cleaner'!$B$2:$B$10001,MATCH(9844,'Email Cleaner'!$G$2:$G$10001,0)),"")</f>
        <v/>
      </c>
    </row>
    <row r="9846">
      <c r="A9846">
        <f>IFERROR(INDEX('Email Cleaner'!$B$2:$B$10001,MATCH(9845,'Email Cleaner'!$G$2:$G$10001,0)),"")</f>
        <v/>
      </c>
    </row>
    <row r="9847">
      <c r="A9847">
        <f>IFERROR(INDEX('Email Cleaner'!$B$2:$B$10001,MATCH(9846,'Email Cleaner'!$G$2:$G$10001,0)),"")</f>
        <v/>
      </c>
    </row>
    <row r="9848">
      <c r="A9848">
        <f>IFERROR(INDEX('Email Cleaner'!$B$2:$B$10001,MATCH(9847,'Email Cleaner'!$G$2:$G$10001,0)),"")</f>
        <v/>
      </c>
    </row>
    <row r="9849">
      <c r="A9849">
        <f>IFERROR(INDEX('Email Cleaner'!$B$2:$B$10001,MATCH(9848,'Email Cleaner'!$G$2:$G$10001,0)),"")</f>
        <v/>
      </c>
    </row>
    <row r="9850">
      <c r="A9850">
        <f>IFERROR(INDEX('Email Cleaner'!$B$2:$B$10001,MATCH(9849,'Email Cleaner'!$G$2:$G$10001,0)),"")</f>
        <v/>
      </c>
    </row>
    <row r="9851">
      <c r="A9851">
        <f>IFERROR(INDEX('Email Cleaner'!$B$2:$B$10001,MATCH(9850,'Email Cleaner'!$G$2:$G$10001,0)),"")</f>
        <v/>
      </c>
    </row>
    <row r="9852">
      <c r="A9852">
        <f>IFERROR(INDEX('Email Cleaner'!$B$2:$B$10001,MATCH(9851,'Email Cleaner'!$G$2:$G$10001,0)),"")</f>
        <v/>
      </c>
    </row>
    <row r="9853">
      <c r="A9853">
        <f>IFERROR(INDEX('Email Cleaner'!$B$2:$B$10001,MATCH(9852,'Email Cleaner'!$G$2:$G$10001,0)),"")</f>
        <v/>
      </c>
    </row>
    <row r="9854">
      <c r="A9854">
        <f>IFERROR(INDEX('Email Cleaner'!$B$2:$B$10001,MATCH(9853,'Email Cleaner'!$G$2:$G$10001,0)),"")</f>
        <v/>
      </c>
    </row>
    <row r="9855">
      <c r="A9855">
        <f>IFERROR(INDEX('Email Cleaner'!$B$2:$B$10001,MATCH(9854,'Email Cleaner'!$G$2:$G$10001,0)),"")</f>
        <v/>
      </c>
    </row>
    <row r="9856">
      <c r="A9856">
        <f>IFERROR(INDEX('Email Cleaner'!$B$2:$B$10001,MATCH(9855,'Email Cleaner'!$G$2:$G$10001,0)),"")</f>
        <v/>
      </c>
    </row>
    <row r="9857">
      <c r="A9857">
        <f>IFERROR(INDEX('Email Cleaner'!$B$2:$B$10001,MATCH(9856,'Email Cleaner'!$G$2:$G$10001,0)),"")</f>
        <v/>
      </c>
    </row>
    <row r="9858">
      <c r="A9858">
        <f>IFERROR(INDEX('Email Cleaner'!$B$2:$B$10001,MATCH(9857,'Email Cleaner'!$G$2:$G$10001,0)),"")</f>
        <v/>
      </c>
    </row>
    <row r="9859">
      <c r="A9859">
        <f>IFERROR(INDEX('Email Cleaner'!$B$2:$B$10001,MATCH(9858,'Email Cleaner'!$G$2:$G$10001,0)),"")</f>
        <v/>
      </c>
    </row>
    <row r="9860">
      <c r="A9860">
        <f>IFERROR(INDEX('Email Cleaner'!$B$2:$B$10001,MATCH(9859,'Email Cleaner'!$G$2:$G$10001,0)),"")</f>
        <v/>
      </c>
    </row>
    <row r="9861">
      <c r="A9861">
        <f>IFERROR(INDEX('Email Cleaner'!$B$2:$B$10001,MATCH(9860,'Email Cleaner'!$G$2:$G$10001,0)),"")</f>
        <v/>
      </c>
    </row>
    <row r="9862">
      <c r="A9862">
        <f>IFERROR(INDEX('Email Cleaner'!$B$2:$B$10001,MATCH(9861,'Email Cleaner'!$G$2:$G$10001,0)),"")</f>
        <v/>
      </c>
    </row>
    <row r="9863">
      <c r="A9863">
        <f>IFERROR(INDEX('Email Cleaner'!$B$2:$B$10001,MATCH(9862,'Email Cleaner'!$G$2:$G$10001,0)),"")</f>
        <v/>
      </c>
    </row>
    <row r="9864">
      <c r="A9864">
        <f>IFERROR(INDEX('Email Cleaner'!$B$2:$B$10001,MATCH(9863,'Email Cleaner'!$G$2:$G$10001,0)),"")</f>
        <v/>
      </c>
    </row>
    <row r="9865">
      <c r="A9865">
        <f>IFERROR(INDEX('Email Cleaner'!$B$2:$B$10001,MATCH(9864,'Email Cleaner'!$G$2:$G$10001,0)),"")</f>
        <v/>
      </c>
    </row>
    <row r="9866">
      <c r="A9866">
        <f>IFERROR(INDEX('Email Cleaner'!$B$2:$B$10001,MATCH(9865,'Email Cleaner'!$G$2:$G$10001,0)),"")</f>
        <v/>
      </c>
    </row>
    <row r="9867">
      <c r="A9867">
        <f>IFERROR(INDEX('Email Cleaner'!$B$2:$B$10001,MATCH(9866,'Email Cleaner'!$G$2:$G$10001,0)),"")</f>
        <v/>
      </c>
    </row>
    <row r="9868">
      <c r="A9868">
        <f>IFERROR(INDEX('Email Cleaner'!$B$2:$B$10001,MATCH(9867,'Email Cleaner'!$G$2:$G$10001,0)),"")</f>
        <v/>
      </c>
    </row>
    <row r="9869">
      <c r="A9869">
        <f>IFERROR(INDEX('Email Cleaner'!$B$2:$B$10001,MATCH(9868,'Email Cleaner'!$G$2:$G$10001,0)),"")</f>
        <v/>
      </c>
    </row>
    <row r="9870">
      <c r="A9870">
        <f>IFERROR(INDEX('Email Cleaner'!$B$2:$B$10001,MATCH(9869,'Email Cleaner'!$G$2:$G$10001,0)),"")</f>
        <v/>
      </c>
    </row>
    <row r="9871">
      <c r="A9871">
        <f>IFERROR(INDEX('Email Cleaner'!$B$2:$B$10001,MATCH(9870,'Email Cleaner'!$G$2:$G$10001,0)),"")</f>
        <v/>
      </c>
    </row>
    <row r="9872">
      <c r="A9872">
        <f>IFERROR(INDEX('Email Cleaner'!$B$2:$B$10001,MATCH(9871,'Email Cleaner'!$G$2:$G$10001,0)),"")</f>
        <v/>
      </c>
    </row>
    <row r="9873">
      <c r="A9873">
        <f>IFERROR(INDEX('Email Cleaner'!$B$2:$B$10001,MATCH(9872,'Email Cleaner'!$G$2:$G$10001,0)),"")</f>
        <v/>
      </c>
    </row>
    <row r="9874">
      <c r="A9874">
        <f>IFERROR(INDEX('Email Cleaner'!$B$2:$B$10001,MATCH(9873,'Email Cleaner'!$G$2:$G$10001,0)),"")</f>
        <v/>
      </c>
    </row>
    <row r="9875">
      <c r="A9875">
        <f>IFERROR(INDEX('Email Cleaner'!$B$2:$B$10001,MATCH(9874,'Email Cleaner'!$G$2:$G$10001,0)),"")</f>
        <v/>
      </c>
    </row>
    <row r="9876">
      <c r="A9876">
        <f>IFERROR(INDEX('Email Cleaner'!$B$2:$B$10001,MATCH(9875,'Email Cleaner'!$G$2:$G$10001,0)),"")</f>
        <v/>
      </c>
    </row>
    <row r="9877">
      <c r="A9877">
        <f>IFERROR(INDEX('Email Cleaner'!$B$2:$B$10001,MATCH(9876,'Email Cleaner'!$G$2:$G$10001,0)),"")</f>
        <v/>
      </c>
    </row>
    <row r="9878">
      <c r="A9878">
        <f>IFERROR(INDEX('Email Cleaner'!$B$2:$B$10001,MATCH(9877,'Email Cleaner'!$G$2:$G$10001,0)),"")</f>
        <v/>
      </c>
    </row>
    <row r="9879">
      <c r="A9879">
        <f>IFERROR(INDEX('Email Cleaner'!$B$2:$B$10001,MATCH(9878,'Email Cleaner'!$G$2:$G$10001,0)),"")</f>
        <v/>
      </c>
    </row>
    <row r="9880">
      <c r="A9880">
        <f>IFERROR(INDEX('Email Cleaner'!$B$2:$B$10001,MATCH(9879,'Email Cleaner'!$G$2:$G$10001,0)),"")</f>
        <v/>
      </c>
    </row>
    <row r="9881">
      <c r="A9881">
        <f>IFERROR(INDEX('Email Cleaner'!$B$2:$B$10001,MATCH(9880,'Email Cleaner'!$G$2:$G$10001,0)),"")</f>
        <v/>
      </c>
    </row>
    <row r="9882">
      <c r="A9882">
        <f>IFERROR(INDEX('Email Cleaner'!$B$2:$B$10001,MATCH(9881,'Email Cleaner'!$G$2:$G$10001,0)),"")</f>
        <v/>
      </c>
    </row>
    <row r="9883">
      <c r="A9883">
        <f>IFERROR(INDEX('Email Cleaner'!$B$2:$B$10001,MATCH(9882,'Email Cleaner'!$G$2:$G$10001,0)),"")</f>
        <v/>
      </c>
    </row>
    <row r="9884">
      <c r="A9884">
        <f>IFERROR(INDEX('Email Cleaner'!$B$2:$B$10001,MATCH(9883,'Email Cleaner'!$G$2:$G$10001,0)),"")</f>
        <v/>
      </c>
    </row>
    <row r="9885">
      <c r="A9885">
        <f>IFERROR(INDEX('Email Cleaner'!$B$2:$B$10001,MATCH(9884,'Email Cleaner'!$G$2:$G$10001,0)),"")</f>
        <v/>
      </c>
    </row>
    <row r="9886">
      <c r="A9886">
        <f>IFERROR(INDEX('Email Cleaner'!$B$2:$B$10001,MATCH(9885,'Email Cleaner'!$G$2:$G$10001,0)),"")</f>
        <v/>
      </c>
    </row>
    <row r="9887">
      <c r="A9887">
        <f>IFERROR(INDEX('Email Cleaner'!$B$2:$B$10001,MATCH(9886,'Email Cleaner'!$G$2:$G$10001,0)),"")</f>
        <v/>
      </c>
    </row>
    <row r="9888">
      <c r="A9888">
        <f>IFERROR(INDEX('Email Cleaner'!$B$2:$B$10001,MATCH(9887,'Email Cleaner'!$G$2:$G$10001,0)),"")</f>
        <v/>
      </c>
    </row>
    <row r="9889">
      <c r="A9889">
        <f>IFERROR(INDEX('Email Cleaner'!$B$2:$B$10001,MATCH(9888,'Email Cleaner'!$G$2:$G$10001,0)),"")</f>
        <v/>
      </c>
    </row>
    <row r="9890">
      <c r="A9890">
        <f>IFERROR(INDEX('Email Cleaner'!$B$2:$B$10001,MATCH(9889,'Email Cleaner'!$G$2:$G$10001,0)),"")</f>
        <v/>
      </c>
    </row>
    <row r="9891">
      <c r="A9891">
        <f>IFERROR(INDEX('Email Cleaner'!$B$2:$B$10001,MATCH(9890,'Email Cleaner'!$G$2:$G$10001,0)),"")</f>
        <v/>
      </c>
    </row>
    <row r="9892">
      <c r="A9892">
        <f>IFERROR(INDEX('Email Cleaner'!$B$2:$B$10001,MATCH(9891,'Email Cleaner'!$G$2:$G$10001,0)),"")</f>
        <v/>
      </c>
    </row>
    <row r="9893">
      <c r="A9893">
        <f>IFERROR(INDEX('Email Cleaner'!$B$2:$B$10001,MATCH(9892,'Email Cleaner'!$G$2:$G$10001,0)),"")</f>
        <v/>
      </c>
    </row>
    <row r="9894">
      <c r="A9894">
        <f>IFERROR(INDEX('Email Cleaner'!$B$2:$B$10001,MATCH(9893,'Email Cleaner'!$G$2:$G$10001,0)),"")</f>
        <v/>
      </c>
    </row>
    <row r="9895">
      <c r="A9895">
        <f>IFERROR(INDEX('Email Cleaner'!$B$2:$B$10001,MATCH(9894,'Email Cleaner'!$G$2:$G$10001,0)),"")</f>
        <v/>
      </c>
    </row>
    <row r="9896">
      <c r="A9896">
        <f>IFERROR(INDEX('Email Cleaner'!$B$2:$B$10001,MATCH(9895,'Email Cleaner'!$G$2:$G$10001,0)),"")</f>
        <v/>
      </c>
    </row>
    <row r="9897">
      <c r="A9897">
        <f>IFERROR(INDEX('Email Cleaner'!$B$2:$B$10001,MATCH(9896,'Email Cleaner'!$G$2:$G$10001,0)),"")</f>
        <v/>
      </c>
    </row>
    <row r="9898">
      <c r="A9898">
        <f>IFERROR(INDEX('Email Cleaner'!$B$2:$B$10001,MATCH(9897,'Email Cleaner'!$G$2:$G$10001,0)),"")</f>
        <v/>
      </c>
    </row>
    <row r="9899">
      <c r="A9899">
        <f>IFERROR(INDEX('Email Cleaner'!$B$2:$B$10001,MATCH(9898,'Email Cleaner'!$G$2:$G$10001,0)),"")</f>
        <v/>
      </c>
    </row>
    <row r="9900">
      <c r="A9900">
        <f>IFERROR(INDEX('Email Cleaner'!$B$2:$B$10001,MATCH(9899,'Email Cleaner'!$G$2:$G$10001,0)),"")</f>
        <v/>
      </c>
    </row>
    <row r="9901">
      <c r="A9901">
        <f>IFERROR(INDEX('Email Cleaner'!$B$2:$B$10001,MATCH(9900,'Email Cleaner'!$G$2:$G$10001,0)),"")</f>
        <v/>
      </c>
    </row>
    <row r="9902">
      <c r="A9902">
        <f>IFERROR(INDEX('Email Cleaner'!$B$2:$B$10001,MATCH(9901,'Email Cleaner'!$G$2:$G$10001,0)),"")</f>
        <v/>
      </c>
    </row>
    <row r="9903">
      <c r="A9903">
        <f>IFERROR(INDEX('Email Cleaner'!$B$2:$B$10001,MATCH(9902,'Email Cleaner'!$G$2:$G$10001,0)),"")</f>
        <v/>
      </c>
    </row>
    <row r="9904">
      <c r="A9904">
        <f>IFERROR(INDEX('Email Cleaner'!$B$2:$B$10001,MATCH(9903,'Email Cleaner'!$G$2:$G$10001,0)),"")</f>
        <v/>
      </c>
    </row>
    <row r="9905">
      <c r="A9905">
        <f>IFERROR(INDEX('Email Cleaner'!$B$2:$B$10001,MATCH(9904,'Email Cleaner'!$G$2:$G$10001,0)),"")</f>
        <v/>
      </c>
    </row>
    <row r="9906">
      <c r="A9906">
        <f>IFERROR(INDEX('Email Cleaner'!$B$2:$B$10001,MATCH(9905,'Email Cleaner'!$G$2:$G$10001,0)),"")</f>
        <v/>
      </c>
    </row>
    <row r="9907">
      <c r="A9907">
        <f>IFERROR(INDEX('Email Cleaner'!$B$2:$B$10001,MATCH(9906,'Email Cleaner'!$G$2:$G$10001,0)),"")</f>
        <v/>
      </c>
    </row>
    <row r="9908">
      <c r="A9908">
        <f>IFERROR(INDEX('Email Cleaner'!$B$2:$B$10001,MATCH(9907,'Email Cleaner'!$G$2:$G$10001,0)),"")</f>
        <v/>
      </c>
    </row>
    <row r="9909">
      <c r="A9909">
        <f>IFERROR(INDEX('Email Cleaner'!$B$2:$B$10001,MATCH(9908,'Email Cleaner'!$G$2:$G$10001,0)),"")</f>
        <v/>
      </c>
    </row>
    <row r="9910">
      <c r="A9910">
        <f>IFERROR(INDEX('Email Cleaner'!$B$2:$B$10001,MATCH(9909,'Email Cleaner'!$G$2:$G$10001,0)),"")</f>
        <v/>
      </c>
    </row>
    <row r="9911">
      <c r="A9911">
        <f>IFERROR(INDEX('Email Cleaner'!$B$2:$B$10001,MATCH(9910,'Email Cleaner'!$G$2:$G$10001,0)),"")</f>
        <v/>
      </c>
    </row>
    <row r="9912">
      <c r="A9912">
        <f>IFERROR(INDEX('Email Cleaner'!$B$2:$B$10001,MATCH(9911,'Email Cleaner'!$G$2:$G$10001,0)),"")</f>
        <v/>
      </c>
    </row>
    <row r="9913">
      <c r="A9913">
        <f>IFERROR(INDEX('Email Cleaner'!$B$2:$B$10001,MATCH(9912,'Email Cleaner'!$G$2:$G$10001,0)),"")</f>
        <v/>
      </c>
    </row>
    <row r="9914">
      <c r="A9914">
        <f>IFERROR(INDEX('Email Cleaner'!$B$2:$B$10001,MATCH(9913,'Email Cleaner'!$G$2:$G$10001,0)),"")</f>
        <v/>
      </c>
    </row>
    <row r="9915">
      <c r="A9915">
        <f>IFERROR(INDEX('Email Cleaner'!$B$2:$B$10001,MATCH(9914,'Email Cleaner'!$G$2:$G$10001,0)),"")</f>
        <v/>
      </c>
    </row>
    <row r="9916">
      <c r="A9916">
        <f>IFERROR(INDEX('Email Cleaner'!$B$2:$B$10001,MATCH(9915,'Email Cleaner'!$G$2:$G$10001,0)),"")</f>
        <v/>
      </c>
    </row>
    <row r="9917">
      <c r="A9917">
        <f>IFERROR(INDEX('Email Cleaner'!$B$2:$B$10001,MATCH(9916,'Email Cleaner'!$G$2:$G$10001,0)),"")</f>
        <v/>
      </c>
    </row>
    <row r="9918">
      <c r="A9918">
        <f>IFERROR(INDEX('Email Cleaner'!$B$2:$B$10001,MATCH(9917,'Email Cleaner'!$G$2:$G$10001,0)),"")</f>
        <v/>
      </c>
    </row>
    <row r="9919">
      <c r="A9919">
        <f>IFERROR(INDEX('Email Cleaner'!$B$2:$B$10001,MATCH(9918,'Email Cleaner'!$G$2:$G$10001,0)),"")</f>
        <v/>
      </c>
    </row>
    <row r="9920">
      <c r="A9920">
        <f>IFERROR(INDEX('Email Cleaner'!$B$2:$B$10001,MATCH(9919,'Email Cleaner'!$G$2:$G$10001,0)),"")</f>
        <v/>
      </c>
    </row>
    <row r="9921">
      <c r="A9921">
        <f>IFERROR(INDEX('Email Cleaner'!$B$2:$B$10001,MATCH(9920,'Email Cleaner'!$G$2:$G$10001,0)),"")</f>
        <v/>
      </c>
    </row>
    <row r="9922">
      <c r="A9922">
        <f>IFERROR(INDEX('Email Cleaner'!$B$2:$B$10001,MATCH(9921,'Email Cleaner'!$G$2:$G$10001,0)),"")</f>
        <v/>
      </c>
    </row>
    <row r="9923">
      <c r="A9923">
        <f>IFERROR(INDEX('Email Cleaner'!$B$2:$B$10001,MATCH(9922,'Email Cleaner'!$G$2:$G$10001,0)),"")</f>
        <v/>
      </c>
    </row>
    <row r="9924">
      <c r="A9924">
        <f>IFERROR(INDEX('Email Cleaner'!$B$2:$B$10001,MATCH(9923,'Email Cleaner'!$G$2:$G$10001,0)),"")</f>
        <v/>
      </c>
    </row>
    <row r="9925">
      <c r="A9925">
        <f>IFERROR(INDEX('Email Cleaner'!$B$2:$B$10001,MATCH(9924,'Email Cleaner'!$G$2:$G$10001,0)),"")</f>
        <v/>
      </c>
    </row>
    <row r="9926">
      <c r="A9926">
        <f>IFERROR(INDEX('Email Cleaner'!$B$2:$B$10001,MATCH(9925,'Email Cleaner'!$G$2:$G$10001,0)),"")</f>
        <v/>
      </c>
    </row>
    <row r="9927">
      <c r="A9927">
        <f>IFERROR(INDEX('Email Cleaner'!$B$2:$B$10001,MATCH(9926,'Email Cleaner'!$G$2:$G$10001,0)),"")</f>
        <v/>
      </c>
    </row>
    <row r="9928">
      <c r="A9928">
        <f>IFERROR(INDEX('Email Cleaner'!$B$2:$B$10001,MATCH(9927,'Email Cleaner'!$G$2:$G$10001,0)),"")</f>
        <v/>
      </c>
    </row>
    <row r="9929">
      <c r="A9929">
        <f>IFERROR(INDEX('Email Cleaner'!$B$2:$B$10001,MATCH(9928,'Email Cleaner'!$G$2:$G$10001,0)),"")</f>
        <v/>
      </c>
    </row>
    <row r="9930">
      <c r="A9930">
        <f>IFERROR(INDEX('Email Cleaner'!$B$2:$B$10001,MATCH(9929,'Email Cleaner'!$G$2:$G$10001,0)),"")</f>
        <v/>
      </c>
    </row>
    <row r="9931">
      <c r="A9931">
        <f>IFERROR(INDEX('Email Cleaner'!$B$2:$B$10001,MATCH(9930,'Email Cleaner'!$G$2:$G$10001,0)),"")</f>
        <v/>
      </c>
    </row>
    <row r="9932">
      <c r="A9932">
        <f>IFERROR(INDEX('Email Cleaner'!$B$2:$B$10001,MATCH(9931,'Email Cleaner'!$G$2:$G$10001,0)),"")</f>
        <v/>
      </c>
    </row>
    <row r="9933">
      <c r="A9933">
        <f>IFERROR(INDEX('Email Cleaner'!$B$2:$B$10001,MATCH(9932,'Email Cleaner'!$G$2:$G$10001,0)),"")</f>
        <v/>
      </c>
    </row>
    <row r="9934">
      <c r="A9934">
        <f>IFERROR(INDEX('Email Cleaner'!$B$2:$B$10001,MATCH(9933,'Email Cleaner'!$G$2:$G$10001,0)),"")</f>
        <v/>
      </c>
    </row>
    <row r="9935">
      <c r="A9935">
        <f>IFERROR(INDEX('Email Cleaner'!$B$2:$B$10001,MATCH(9934,'Email Cleaner'!$G$2:$G$10001,0)),"")</f>
        <v/>
      </c>
    </row>
    <row r="9936">
      <c r="A9936">
        <f>IFERROR(INDEX('Email Cleaner'!$B$2:$B$10001,MATCH(9935,'Email Cleaner'!$G$2:$G$10001,0)),"")</f>
        <v/>
      </c>
    </row>
    <row r="9937">
      <c r="A9937">
        <f>IFERROR(INDEX('Email Cleaner'!$B$2:$B$10001,MATCH(9936,'Email Cleaner'!$G$2:$G$10001,0)),"")</f>
        <v/>
      </c>
    </row>
    <row r="9938">
      <c r="A9938">
        <f>IFERROR(INDEX('Email Cleaner'!$B$2:$B$10001,MATCH(9937,'Email Cleaner'!$G$2:$G$10001,0)),"")</f>
        <v/>
      </c>
    </row>
    <row r="9939">
      <c r="A9939">
        <f>IFERROR(INDEX('Email Cleaner'!$B$2:$B$10001,MATCH(9938,'Email Cleaner'!$G$2:$G$10001,0)),"")</f>
        <v/>
      </c>
    </row>
    <row r="9940">
      <c r="A9940">
        <f>IFERROR(INDEX('Email Cleaner'!$B$2:$B$10001,MATCH(9939,'Email Cleaner'!$G$2:$G$10001,0)),"")</f>
        <v/>
      </c>
    </row>
    <row r="9941">
      <c r="A9941">
        <f>IFERROR(INDEX('Email Cleaner'!$B$2:$B$10001,MATCH(9940,'Email Cleaner'!$G$2:$G$10001,0)),"")</f>
        <v/>
      </c>
    </row>
    <row r="9942">
      <c r="A9942">
        <f>IFERROR(INDEX('Email Cleaner'!$B$2:$B$10001,MATCH(9941,'Email Cleaner'!$G$2:$G$10001,0)),"")</f>
        <v/>
      </c>
    </row>
    <row r="9943">
      <c r="A9943">
        <f>IFERROR(INDEX('Email Cleaner'!$B$2:$B$10001,MATCH(9942,'Email Cleaner'!$G$2:$G$10001,0)),"")</f>
        <v/>
      </c>
    </row>
    <row r="9944">
      <c r="A9944">
        <f>IFERROR(INDEX('Email Cleaner'!$B$2:$B$10001,MATCH(9943,'Email Cleaner'!$G$2:$G$10001,0)),"")</f>
        <v/>
      </c>
    </row>
    <row r="9945">
      <c r="A9945">
        <f>IFERROR(INDEX('Email Cleaner'!$B$2:$B$10001,MATCH(9944,'Email Cleaner'!$G$2:$G$10001,0)),"")</f>
        <v/>
      </c>
    </row>
    <row r="9946">
      <c r="A9946">
        <f>IFERROR(INDEX('Email Cleaner'!$B$2:$B$10001,MATCH(9945,'Email Cleaner'!$G$2:$G$10001,0)),"")</f>
        <v/>
      </c>
    </row>
    <row r="9947">
      <c r="A9947">
        <f>IFERROR(INDEX('Email Cleaner'!$B$2:$B$10001,MATCH(9946,'Email Cleaner'!$G$2:$G$10001,0)),"")</f>
        <v/>
      </c>
    </row>
    <row r="9948">
      <c r="A9948">
        <f>IFERROR(INDEX('Email Cleaner'!$B$2:$B$10001,MATCH(9947,'Email Cleaner'!$G$2:$G$10001,0)),"")</f>
        <v/>
      </c>
    </row>
    <row r="9949">
      <c r="A9949">
        <f>IFERROR(INDEX('Email Cleaner'!$B$2:$B$10001,MATCH(9948,'Email Cleaner'!$G$2:$G$10001,0)),"")</f>
        <v/>
      </c>
    </row>
    <row r="9950">
      <c r="A9950">
        <f>IFERROR(INDEX('Email Cleaner'!$B$2:$B$10001,MATCH(9949,'Email Cleaner'!$G$2:$G$10001,0)),"")</f>
        <v/>
      </c>
    </row>
    <row r="9951">
      <c r="A9951">
        <f>IFERROR(INDEX('Email Cleaner'!$B$2:$B$10001,MATCH(9950,'Email Cleaner'!$G$2:$G$10001,0)),"")</f>
        <v/>
      </c>
    </row>
    <row r="9952">
      <c r="A9952">
        <f>IFERROR(INDEX('Email Cleaner'!$B$2:$B$10001,MATCH(9951,'Email Cleaner'!$G$2:$G$10001,0)),"")</f>
        <v/>
      </c>
    </row>
    <row r="9953">
      <c r="A9953">
        <f>IFERROR(INDEX('Email Cleaner'!$B$2:$B$10001,MATCH(9952,'Email Cleaner'!$G$2:$G$10001,0)),"")</f>
        <v/>
      </c>
    </row>
    <row r="9954">
      <c r="A9954">
        <f>IFERROR(INDEX('Email Cleaner'!$B$2:$B$10001,MATCH(9953,'Email Cleaner'!$G$2:$G$10001,0)),"")</f>
        <v/>
      </c>
    </row>
    <row r="9955">
      <c r="A9955">
        <f>IFERROR(INDEX('Email Cleaner'!$B$2:$B$10001,MATCH(9954,'Email Cleaner'!$G$2:$G$10001,0)),"")</f>
        <v/>
      </c>
    </row>
    <row r="9956">
      <c r="A9956">
        <f>IFERROR(INDEX('Email Cleaner'!$B$2:$B$10001,MATCH(9955,'Email Cleaner'!$G$2:$G$10001,0)),"")</f>
        <v/>
      </c>
    </row>
    <row r="9957">
      <c r="A9957">
        <f>IFERROR(INDEX('Email Cleaner'!$B$2:$B$10001,MATCH(9956,'Email Cleaner'!$G$2:$G$10001,0)),"")</f>
        <v/>
      </c>
    </row>
    <row r="9958">
      <c r="A9958">
        <f>IFERROR(INDEX('Email Cleaner'!$B$2:$B$10001,MATCH(9957,'Email Cleaner'!$G$2:$G$10001,0)),"")</f>
        <v/>
      </c>
    </row>
    <row r="9959">
      <c r="A9959">
        <f>IFERROR(INDEX('Email Cleaner'!$B$2:$B$10001,MATCH(9958,'Email Cleaner'!$G$2:$G$10001,0)),"")</f>
        <v/>
      </c>
    </row>
    <row r="9960">
      <c r="A9960">
        <f>IFERROR(INDEX('Email Cleaner'!$B$2:$B$10001,MATCH(9959,'Email Cleaner'!$G$2:$G$10001,0)),"")</f>
        <v/>
      </c>
    </row>
    <row r="9961">
      <c r="A9961">
        <f>IFERROR(INDEX('Email Cleaner'!$B$2:$B$10001,MATCH(9960,'Email Cleaner'!$G$2:$G$10001,0)),"")</f>
        <v/>
      </c>
    </row>
    <row r="9962">
      <c r="A9962">
        <f>IFERROR(INDEX('Email Cleaner'!$B$2:$B$10001,MATCH(9961,'Email Cleaner'!$G$2:$G$10001,0)),"")</f>
        <v/>
      </c>
    </row>
    <row r="9963">
      <c r="A9963">
        <f>IFERROR(INDEX('Email Cleaner'!$B$2:$B$10001,MATCH(9962,'Email Cleaner'!$G$2:$G$10001,0)),"")</f>
        <v/>
      </c>
    </row>
    <row r="9964">
      <c r="A9964">
        <f>IFERROR(INDEX('Email Cleaner'!$B$2:$B$10001,MATCH(9963,'Email Cleaner'!$G$2:$G$10001,0)),"")</f>
        <v/>
      </c>
    </row>
    <row r="9965">
      <c r="A9965">
        <f>IFERROR(INDEX('Email Cleaner'!$B$2:$B$10001,MATCH(9964,'Email Cleaner'!$G$2:$G$10001,0)),"")</f>
        <v/>
      </c>
    </row>
    <row r="9966">
      <c r="A9966">
        <f>IFERROR(INDEX('Email Cleaner'!$B$2:$B$10001,MATCH(9965,'Email Cleaner'!$G$2:$G$10001,0)),"")</f>
        <v/>
      </c>
    </row>
    <row r="9967">
      <c r="A9967">
        <f>IFERROR(INDEX('Email Cleaner'!$B$2:$B$10001,MATCH(9966,'Email Cleaner'!$G$2:$G$10001,0)),"")</f>
        <v/>
      </c>
    </row>
    <row r="9968">
      <c r="A9968">
        <f>IFERROR(INDEX('Email Cleaner'!$B$2:$B$10001,MATCH(9967,'Email Cleaner'!$G$2:$G$10001,0)),"")</f>
        <v/>
      </c>
    </row>
    <row r="9969">
      <c r="A9969">
        <f>IFERROR(INDEX('Email Cleaner'!$B$2:$B$10001,MATCH(9968,'Email Cleaner'!$G$2:$G$10001,0)),"")</f>
        <v/>
      </c>
    </row>
    <row r="9970">
      <c r="A9970">
        <f>IFERROR(INDEX('Email Cleaner'!$B$2:$B$10001,MATCH(9969,'Email Cleaner'!$G$2:$G$10001,0)),"")</f>
        <v/>
      </c>
    </row>
    <row r="9971">
      <c r="A9971">
        <f>IFERROR(INDEX('Email Cleaner'!$B$2:$B$10001,MATCH(9970,'Email Cleaner'!$G$2:$G$10001,0)),"")</f>
        <v/>
      </c>
    </row>
    <row r="9972">
      <c r="A9972">
        <f>IFERROR(INDEX('Email Cleaner'!$B$2:$B$10001,MATCH(9971,'Email Cleaner'!$G$2:$G$10001,0)),"")</f>
        <v/>
      </c>
    </row>
    <row r="9973">
      <c r="A9973">
        <f>IFERROR(INDEX('Email Cleaner'!$B$2:$B$10001,MATCH(9972,'Email Cleaner'!$G$2:$G$10001,0)),"")</f>
        <v/>
      </c>
    </row>
    <row r="9974">
      <c r="A9974">
        <f>IFERROR(INDEX('Email Cleaner'!$B$2:$B$10001,MATCH(9973,'Email Cleaner'!$G$2:$G$10001,0)),"")</f>
        <v/>
      </c>
    </row>
    <row r="9975">
      <c r="A9975">
        <f>IFERROR(INDEX('Email Cleaner'!$B$2:$B$10001,MATCH(9974,'Email Cleaner'!$G$2:$G$10001,0)),"")</f>
        <v/>
      </c>
    </row>
    <row r="9976">
      <c r="A9976">
        <f>IFERROR(INDEX('Email Cleaner'!$B$2:$B$10001,MATCH(9975,'Email Cleaner'!$G$2:$G$10001,0)),"")</f>
        <v/>
      </c>
    </row>
    <row r="9977">
      <c r="A9977">
        <f>IFERROR(INDEX('Email Cleaner'!$B$2:$B$10001,MATCH(9976,'Email Cleaner'!$G$2:$G$10001,0)),"")</f>
        <v/>
      </c>
    </row>
    <row r="9978">
      <c r="A9978">
        <f>IFERROR(INDEX('Email Cleaner'!$B$2:$B$10001,MATCH(9977,'Email Cleaner'!$G$2:$G$10001,0)),"")</f>
        <v/>
      </c>
    </row>
    <row r="9979">
      <c r="A9979">
        <f>IFERROR(INDEX('Email Cleaner'!$B$2:$B$10001,MATCH(9978,'Email Cleaner'!$G$2:$G$10001,0)),"")</f>
        <v/>
      </c>
    </row>
    <row r="9980">
      <c r="A9980">
        <f>IFERROR(INDEX('Email Cleaner'!$B$2:$B$10001,MATCH(9979,'Email Cleaner'!$G$2:$G$10001,0)),"")</f>
        <v/>
      </c>
    </row>
    <row r="9981">
      <c r="A9981">
        <f>IFERROR(INDEX('Email Cleaner'!$B$2:$B$10001,MATCH(9980,'Email Cleaner'!$G$2:$G$10001,0)),"")</f>
        <v/>
      </c>
    </row>
    <row r="9982">
      <c r="A9982">
        <f>IFERROR(INDEX('Email Cleaner'!$B$2:$B$10001,MATCH(9981,'Email Cleaner'!$G$2:$G$10001,0)),"")</f>
        <v/>
      </c>
    </row>
    <row r="9983">
      <c r="A9983">
        <f>IFERROR(INDEX('Email Cleaner'!$B$2:$B$10001,MATCH(9982,'Email Cleaner'!$G$2:$G$10001,0)),"")</f>
        <v/>
      </c>
    </row>
    <row r="9984">
      <c r="A9984">
        <f>IFERROR(INDEX('Email Cleaner'!$B$2:$B$10001,MATCH(9983,'Email Cleaner'!$G$2:$G$10001,0)),"")</f>
        <v/>
      </c>
    </row>
    <row r="9985">
      <c r="A9985">
        <f>IFERROR(INDEX('Email Cleaner'!$B$2:$B$10001,MATCH(9984,'Email Cleaner'!$G$2:$G$10001,0)),"")</f>
        <v/>
      </c>
    </row>
    <row r="9986">
      <c r="A9986">
        <f>IFERROR(INDEX('Email Cleaner'!$B$2:$B$10001,MATCH(9985,'Email Cleaner'!$G$2:$G$10001,0)),"")</f>
        <v/>
      </c>
    </row>
    <row r="9987">
      <c r="A9987">
        <f>IFERROR(INDEX('Email Cleaner'!$B$2:$B$10001,MATCH(9986,'Email Cleaner'!$G$2:$G$10001,0)),"")</f>
        <v/>
      </c>
    </row>
    <row r="9988">
      <c r="A9988">
        <f>IFERROR(INDEX('Email Cleaner'!$B$2:$B$10001,MATCH(9987,'Email Cleaner'!$G$2:$G$10001,0)),"")</f>
        <v/>
      </c>
    </row>
    <row r="9989">
      <c r="A9989">
        <f>IFERROR(INDEX('Email Cleaner'!$B$2:$B$10001,MATCH(9988,'Email Cleaner'!$G$2:$G$10001,0)),"")</f>
        <v/>
      </c>
    </row>
    <row r="9990">
      <c r="A9990">
        <f>IFERROR(INDEX('Email Cleaner'!$B$2:$B$10001,MATCH(9989,'Email Cleaner'!$G$2:$G$10001,0)),"")</f>
        <v/>
      </c>
    </row>
    <row r="9991">
      <c r="A9991">
        <f>IFERROR(INDEX('Email Cleaner'!$B$2:$B$10001,MATCH(9990,'Email Cleaner'!$G$2:$G$10001,0)),"")</f>
        <v/>
      </c>
    </row>
    <row r="9992">
      <c r="A9992">
        <f>IFERROR(INDEX('Email Cleaner'!$B$2:$B$10001,MATCH(9991,'Email Cleaner'!$G$2:$G$10001,0)),"")</f>
        <v/>
      </c>
    </row>
    <row r="9993">
      <c r="A9993">
        <f>IFERROR(INDEX('Email Cleaner'!$B$2:$B$10001,MATCH(9992,'Email Cleaner'!$G$2:$G$10001,0)),"")</f>
        <v/>
      </c>
    </row>
    <row r="9994">
      <c r="A9994">
        <f>IFERROR(INDEX('Email Cleaner'!$B$2:$B$10001,MATCH(9993,'Email Cleaner'!$G$2:$G$10001,0)),"")</f>
        <v/>
      </c>
    </row>
    <row r="9995">
      <c r="A9995">
        <f>IFERROR(INDEX('Email Cleaner'!$B$2:$B$10001,MATCH(9994,'Email Cleaner'!$G$2:$G$10001,0)),"")</f>
        <v/>
      </c>
    </row>
    <row r="9996">
      <c r="A9996">
        <f>IFERROR(INDEX('Email Cleaner'!$B$2:$B$10001,MATCH(9995,'Email Cleaner'!$G$2:$G$10001,0)),"")</f>
        <v/>
      </c>
    </row>
    <row r="9997">
      <c r="A9997">
        <f>IFERROR(INDEX('Email Cleaner'!$B$2:$B$10001,MATCH(9996,'Email Cleaner'!$G$2:$G$10001,0)),"")</f>
        <v/>
      </c>
    </row>
    <row r="9998">
      <c r="A9998">
        <f>IFERROR(INDEX('Email Cleaner'!$B$2:$B$10001,MATCH(9997,'Email Cleaner'!$G$2:$G$10001,0)),"")</f>
        <v/>
      </c>
    </row>
    <row r="9999">
      <c r="A9999">
        <f>IFERROR(INDEX('Email Cleaner'!$B$2:$B$10001,MATCH(9998,'Email Cleaner'!$G$2:$G$10001,0)),"")</f>
        <v/>
      </c>
    </row>
    <row r="10000">
      <c r="A10000">
        <f>IFERROR(INDEX('Email Cleaner'!$B$2:$B$10001,MATCH(9999,'Email Cleaner'!$G$2:$G$10001,0)),"")</f>
        <v/>
      </c>
    </row>
    <row r="10001">
      <c r="A10001">
        <f>IFERROR(INDEX('Email Cleaner'!$B$2:$B$10001,MATCH(10000,'Email Cleaner'!$G$2:$G$10001,0)),"")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Copy Removed Emails From Here</t>
        </is>
      </c>
    </row>
    <row r="2">
      <c r="A2">
        <f>IFERROR(INDEX('Email Cleaner'!$B$2:$B$10001,MATCH(1,'Email Cleaner'!$H$2:$H$10001,0)),"")</f>
        <v/>
      </c>
    </row>
    <row r="3">
      <c r="A3">
        <f>IFERROR(INDEX('Email Cleaner'!$B$2:$B$10001,MATCH(2,'Email Cleaner'!$H$2:$H$10001,0)),"")</f>
        <v/>
      </c>
    </row>
    <row r="4">
      <c r="A4">
        <f>IFERROR(INDEX('Email Cleaner'!$B$2:$B$10001,MATCH(3,'Email Cleaner'!$H$2:$H$10001,0)),"")</f>
        <v/>
      </c>
    </row>
    <row r="5">
      <c r="A5">
        <f>IFERROR(INDEX('Email Cleaner'!$B$2:$B$10001,MATCH(4,'Email Cleaner'!$H$2:$H$10001,0)),"")</f>
        <v/>
      </c>
    </row>
    <row r="6">
      <c r="A6">
        <f>IFERROR(INDEX('Email Cleaner'!$B$2:$B$10001,MATCH(5,'Email Cleaner'!$H$2:$H$10001,0)),"")</f>
        <v/>
      </c>
    </row>
    <row r="7">
      <c r="A7">
        <f>IFERROR(INDEX('Email Cleaner'!$B$2:$B$10001,MATCH(6,'Email Cleaner'!$H$2:$H$10001,0)),"")</f>
        <v/>
      </c>
    </row>
    <row r="8">
      <c r="A8">
        <f>IFERROR(INDEX('Email Cleaner'!$B$2:$B$10001,MATCH(7,'Email Cleaner'!$H$2:$H$10001,0)),"")</f>
        <v/>
      </c>
    </row>
    <row r="9">
      <c r="A9">
        <f>IFERROR(INDEX('Email Cleaner'!$B$2:$B$10001,MATCH(8,'Email Cleaner'!$H$2:$H$10001,0)),"")</f>
        <v/>
      </c>
    </row>
    <row r="10">
      <c r="A10">
        <f>IFERROR(INDEX('Email Cleaner'!$B$2:$B$10001,MATCH(9,'Email Cleaner'!$H$2:$H$10001,0)),"")</f>
        <v/>
      </c>
    </row>
    <row r="11">
      <c r="A11">
        <f>IFERROR(INDEX('Email Cleaner'!$B$2:$B$10001,MATCH(10,'Email Cleaner'!$H$2:$H$10001,0)),"")</f>
        <v/>
      </c>
    </row>
    <row r="12">
      <c r="A12">
        <f>IFERROR(INDEX('Email Cleaner'!$B$2:$B$10001,MATCH(11,'Email Cleaner'!$H$2:$H$10001,0)),"")</f>
        <v/>
      </c>
    </row>
    <row r="13">
      <c r="A13">
        <f>IFERROR(INDEX('Email Cleaner'!$B$2:$B$10001,MATCH(12,'Email Cleaner'!$H$2:$H$10001,0)),"")</f>
        <v/>
      </c>
    </row>
    <row r="14">
      <c r="A14">
        <f>IFERROR(INDEX('Email Cleaner'!$B$2:$B$10001,MATCH(13,'Email Cleaner'!$H$2:$H$10001,0)),"")</f>
        <v/>
      </c>
    </row>
    <row r="15">
      <c r="A15">
        <f>IFERROR(INDEX('Email Cleaner'!$B$2:$B$10001,MATCH(14,'Email Cleaner'!$H$2:$H$10001,0)),"")</f>
        <v/>
      </c>
    </row>
    <row r="16">
      <c r="A16">
        <f>IFERROR(INDEX('Email Cleaner'!$B$2:$B$10001,MATCH(15,'Email Cleaner'!$H$2:$H$10001,0)),"")</f>
        <v/>
      </c>
    </row>
    <row r="17">
      <c r="A17">
        <f>IFERROR(INDEX('Email Cleaner'!$B$2:$B$10001,MATCH(16,'Email Cleaner'!$H$2:$H$10001,0)),"")</f>
        <v/>
      </c>
    </row>
    <row r="18">
      <c r="A18">
        <f>IFERROR(INDEX('Email Cleaner'!$B$2:$B$10001,MATCH(17,'Email Cleaner'!$H$2:$H$10001,0)),"")</f>
        <v/>
      </c>
    </row>
    <row r="19">
      <c r="A19">
        <f>IFERROR(INDEX('Email Cleaner'!$B$2:$B$10001,MATCH(18,'Email Cleaner'!$H$2:$H$10001,0)),"")</f>
        <v/>
      </c>
    </row>
    <row r="20">
      <c r="A20">
        <f>IFERROR(INDEX('Email Cleaner'!$B$2:$B$10001,MATCH(19,'Email Cleaner'!$H$2:$H$10001,0)),"")</f>
        <v/>
      </c>
    </row>
    <row r="21">
      <c r="A21">
        <f>IFERROR(INDEX('Email Cleaner'!$B$2:$B$10001,MATCH(20,'Email Cleaner'!$H$2:$H$10001,0)),"")</f>
        <v/>
      </c>
    </row>
    <row r="22">
      <c r="A22">
        <f>IFERROR(INDEX('Email Cleaner'!$B$2:$B$10001,MATCH(21,'Email Cleaner'!$H$2:$H$10001,0)),"")</f>
        <v/>
      </c>
    </row>
    <row r="23">
      <c r="A23">
        <f>IFERROR(INDEX('Email Cleaner'!$B$2:$B$10001,MATCH(22,'Email Cleaner'!$H$2:$H$10001,0)),"")</f>
        <v/>
      </c>
    </row>
    <row r="24">
      <c r="A24">
        <f>IFERROR(INDEX('Email Cleaner'!$B$2:$B$10001,MATCH(23,'Email Cleaner'!$H$2:$H$10001,0)),"")</f>
        <v/>
      </c>
    </row>
    <row r="25">
      <c r="A25">
        <f>IFERROR(INDEX('Email Cleaner'!$B$2:$B$10001,MATCH(24,'Email Cleaner'!$H$2:$H$10001,0)),"")</f>
        <v/>
      </c>
    </row>
    <row r="26">
      <c r="A26">
        <f>IFERROR(INDEX('Email Cleaner'!$B$2:$B$10001,MATCH(25,'Email Cleaner'!$H$2:$H$10001,0)),"")</f>
        <v/>
      </c>
    </row>
    <row r="27">
      <c r="A27">
        <f>IFERROR(INDEX('Email Cleaner'!$B$2:$B$10001,MATCH(26,'Email Cleaner'!$H$2:$H$10001,0)),"")</f>
        <v/>
      </c>
    </row>
    <row r="28">
      <c r="A28">
        <f>IFERROR(INDEX('Email Cleaner'!$B$2:$B$10001,MATCH(27,'Email Cleaner'!$H$2:$H$10001,0)),"")</f>
        <v/>
      </c>
    </row>
    <row r="29">
      <c r="A29">
        <f>IFERROR(INDEX('Email Cleaner'!$B$2:$B$10001,MATCH(28,'Email Cleaner'!$H$2:$H$10001,0)),"")</f>
        <v/>
      </c>
    </row>
    <row r="30">
      <c r="A30">
        <f>IFERROR(INDEX('Email Cleaner'!$B$2:$B$10001,MATCH(29,'Email Cleaner'!$H$2:$H$10001,0)),"")</f>
        <v/>
      </c>
    </row>
    <row r="31">
      <c r="A31">
        <f>IFERROR(INDEX('Email Cleaner'!$B$2:$B$10001,MATCH(30,'Email Cleaner'!$H$2:$H$10001,0)),"")</f>
        <v/>
      </c>
    </row>
    <row r="32">
      <c r="A32">
        <f>IFERROR(INDEX('Email Cleaner'!$B$2:$B$10001,MATCH(31,'Email Cleaner'!$H$2:$H$10001,0)),"")</f>
        <v/>
      </c>
    </row>
    <row r="33">
      <c r="A33">
        <f>IFERROR(INDEX('Email Cleaner'!$B$2:$B$10001,MATCH(32,'Email Cleaner'!$H$2:$H$10001,0)),"")</f>
        <v/>
      </c>
    </row>
    <row r="34">
      <c r="A34">
        <f>IFERROR(INDEX('Email Cleaner'!$B$2:$B$10001,MATCH(33,'Email Cleaner'!$H$2:$H$10001,0)),"")</f>
        <v/>
      </c>
    </row>
    <row r="35">
      <c r="A35">
        <f>IFERROR(INDEX('Email Cleaner'!$B$2:$B$10001,MATCH(34,'Email Cleaner'!$H$2:$H$10001,0)),"")</f>
        <v/>
      </c>
    </row>
    <row r="36">
      <c r="A36">
        <f>IFERROR(INDEX('Email Cleaner'!$B$2:$B$10001,MATCH(35,'Email Cleaner'!$H$2:$H$10001,0)),"")</f>
        <v/>
      </c>
    </row>
    <row r="37">
      <c r="A37">
        <f>IFERROR(INDEX('Email Cleaner'!$B$2:$B$10001,MATCH(36,'Email Cleaner'!$H$2:$H$10001,0)),"")</f>
        <v/>
      </c>
    </row>
    <row r="38">
      <c r="A38">
        <f>IFERROR(INDEX('Email Cleaner'!$B$2:$B$10001,MATCH(37,'Email Cleaner'!$H$2:$H$10001,0)),"")</f>
        <v/>
      </c>
    </row>
    <row r="39">
      <c r="A39">
        <f>IFERROR(INDEX('Email Cleaner'!$B$2:$B$10001,MATCH(38,'Email Cleaner'!$H$2:$H$10001,0)),"")</f>
        <v/>
      </c>
    </row>
    <row r="40">
      <c r="A40">
        <f>IFERROR(INDEX('Email Cleaner'!$B$2:$B$10001,MATCH(39,'Email Cleaner'!$H$2:$H$10001,0)),"")</f>
        <v/>
      </c>
    </row>
    <row r="41">
      <c r="A41">
        <f>IFERROR(INDEX('Email Cleaner'!$B$2:$B$10001,MATCH(40,'Email Cleaner'!$H$2:$H$10001,0)),"")</f>
        <v/>
      </c>
    </row>
    <row r="42">
      <c r="A42">
        <f>IFERROR(INDEX('Email Cleaner'!$B$2:$B$10001,MATCH(41,'Email Cleaner'!$H$2:$H$10001,0)),"")</f>
        <v/>
      </c>
    </row>
    <row r="43">
      <c r="A43">
        <f>IFERROR(INDEX('Email Cleaner'!$B$2:$B$10001,MATCH(42,'Email Cleaner'!$H$2:$H$10001,0)),"")</f>
        <v/>
      </c>
    </row>
    <row r="44">
      <c r="A44">
        <f>IFERROR(INDEX('Email Cleaner'!$B$2:$B$10001,MATCH(43,'Email Cleaner'!$H$2:$H$10001,0)),"")</f>
        <v/>
      </c>
    </row>
    <row r="45">
      <c r="A45">
        <f>IFERROR(INDEX('Email Cleaner'!$B$2:$B$10001,MATCH(44,'Email Cleaner'!$H$2:$H$10001,0)),"")</f>
        <v/>
      </c>
    </row>
    <row r="46">
      <c r="A46">
        <f>IFERROR(INDEX('Email Cleaner'!$B$2:$B$10001,MATCH(45,'Email Cleaner'!$H$2:$H$10001,0)),"")</f>
        <v/>
      </c>
    </row>
    <row r="47">
      <c r="A47">
        <f>IFERROR(INDEX('Email Cleaner'!$B$2:$B$10001,MATCH(46,'Email Cleaner'!$H$2:$H$10001,0)),"")</f>
        <v/>
      </c>
    </row>
    <row r="48">
      <c r="A48">
        <f>IFERROR(INDEX('Email Cleaner'!$B$2:$B$10001,MATCH(47,'Email Cleaner'!$H$2:$H$10001,0)),"")</f>
        <v/>
      </c>
    </row>
    <row r="49">
      <c r="A49">
        <f>IFERROR(INDEX('Email Cleaner'!$B$2:$B$10001,MATCH(48,'Email Cleaner'!$H$2:$H$10001,0)),"")</f>
        <v/>
      </c>
    </row>
    <row r="50">
      <c r="A50">
        <f>IFERROR(INDEX('Email Cleaner'!$B$2:$B$10001,MATCH(49,'Email Cleaner'!$H$2:$H$10001,0)),"")</f>
        <v/>
      </c>
    </row>
    <row r="51">
      <c r="A51">
        <f>IFERROR(INDEX('Email Cleaner'!$B$2:$B$10001,MATCH(50,'Email Cleaner'!$H$2:$H$10001,0)),"")</f>
        <v/>
      </c>
    </row>
    <row r="52">
      <c r="A52">
        <f>IFERROR(INDEX('Email Cleaner'!$B$2:$B$10001,MATCH(51,'Email Cleaner'!$H$2:$H$10001,0)),"")</f>
        <v/>
      </c>
    </row>
    <row r="53">
      <c r="A53">
        <f>IFERROR(INDEX('Email Cleaner'!$B$2:$B$10001,MATCH(52,'Email Cleaner'!$H$2:$H$10001,0)),"")</f>
        <v/>
      </c>
    </row>
    <row r="54">
      <c r="A54">
        <f>IFERROR(INDEX('Email Cleaner'!$B$2:$B$10001,MATCH(53,'Email Cleaner'!$H$2:$H$10001,0)),"")</f>
        <v/>
      </c>
    </row>
    <row r="55">
      <c r="A55">
        <f>IFERROR(INDEX('Email Cleaner'!$B$2:$B$10001,MATCH(54,'Email Cleaner'!$H$2:$H$10001,0)),"")</f>
        <v/>
      </c>
    </row>
    <row r="56">
      <c r="A56">
        <f>IFERROR(INDEX('Email Cleaner'!$B$2:$B$10001,MATCH(55,'Email Cleaner'!$H$2:$H$10001,0)),"")</f>
        <v/>
      </c>
    </row>
    <row r="57">
      <c r="A57">
        <f>IFERROR(INDEX('Email Cleaner'!$B$2:$B$10001,MATCH(56,'Email Cleaner'!$H$2:$H$10001,0)),"")</f>
        <v/>
      </c>
    </row>
    <row r="58">
      <c r="A58">
        <f>IFERROR(INDEX('Email Cleaner'!$B$2:$B$10001,MATCH(57,'Email Cleaner'!$H$2:$H$10001,0)),"")</f>
        <v/>
      </c>
    </row>
    <row r="59">
      <c r="A59">
        <f>IFERROR(INDEX('Email Cleaner'!$B$2:$B$10001,MATCH(58,'Email Cleaner'!$H$2:$H$10001,0)),"")</f>
        <v/>
      </c>
    </row>
    <row r="60">
      <c r="A60">
        <f>IFERROR(INDEX('Email Cleaner'!$B$2:$B$10001,MATCH(59,'Email Cleaner'!$H$2:$H$10001,0)),"")</f>
        <v/>
      </c>
    </row>
    <row r="61">
      <c r="A61">
        <f>IFERROR(INDEX('Email Cleaner'!$B$2:$B$10001,MATCH(60,'Email Cleaner'!$H$2:$H$10001,0)),"")</f>
        <v/>
      </c>
    </row>
    <row r="62">
      <c r="A62">
        <f>IFERROR(INDEX('Email Cleaner'!$B$2:$B$10001,MATCH(61,'Email Cleaner'!$H$2:$H$10001,0)),"")</f>
        <v/>
      </c>
    </row>
    <row r="63">
      <c r="A63">
        <f>IFERROR(INDEX('Email Cleaner'!$B$2:$B$10001,MATCH(62,'Email Cleaner'!$H$2:$H$10001,0)),"")</f>
        <v/>
      </c>
    </row>
    <row r="64">
      <c r="A64">
        <f>IFERROR(INDEX('Email Cleaner'!$B$2:$B$10001,MATCH(63,'Email Cleaner'!$H$2:$H$10001,0)),"")</f>
        <v/>
      </c>
    </row>
    <row r="65">
      <c r="A65">
        <f>IFERROR(INDEX('Email Cleaner'!$B$2:$B$10001,MATCH(64,'Email Cleaner'!$H$2:$H$10001,0)),"")</f>
        <v/>
      </c>
    </row>
    <row r="66">
      <c r="A66">
        <f>IFERROR(INDEX('Email Cleaner'!$B$2:$B$10001,MATCH(65,'Email Cleaner'!$H$2:$H$10001,0)),"")</f>
        <v/>
      </c>
    </row>
    <row r="67">
      <c r="A67">
        <f>IFERROR(INDEX('Email Cleaner'!$B$2:$B$10001,MATCH(66,'Email Cleaner'!$H$2:$H$10001,0)),"")</f>
        <v/>
      </c>
    </row>
    <row r="68">
      <c r="A68">
        <f>IFERROR(INDEX('Email Cleaner'!$B$2:$B$10001,MATCH(67,'Email Cleaner'!$H$2:$H$10001,0)),"")</f>
        <v/>
      </c>
    </row>
    <row r="69">
      <c r="A69">
        <f>IFERROR(INDEX('Email Cleaner'!$B$2:$B$10001,MATCH(68,'Email Cleaner'!$H$2:$H$10001,0)),"")</f>
        <v/>
      </c>
    </row>
    <row r="70">
      <c r="A70">
        <f>IFERROR(INDEX('Email Cleaner'!$B$2:$B$10001,MATCH(69,'Email Cleaner'!$H$2:$H$10001,0)),"")</f>
        <v/>
      </c>
    </row>
    <row r="71">
      <c r="A71">
        <f>IFERROR(INDEX('Email Cleaner'!$B$2:$B$10001,MATCH(70,'Email Cleaner'!$H$2:$H$10001,0)),"")</f>
        <v/>
      </c>
    </row>
    <row r="72">
      <c r="A72">
        <f>IFERROR(INDEX('Email Cleaner'!$B$2:$B$10001,MATCH(71,'Email Cleaner'!$H$2:$H$10001,0)),"")</f>
        <v/>
      </c>
    </row>
    <row r="73">
      <c r="A73">
        <f>IFERROR(INDEX('Email Cleaner'!$B$2:$B$10001,MATCH(72,'Email Cleaner'!$H$2:$H$10001,0)),"")</f>
        <v/>
      </c>
    </row>
    <row r="74">
      <c r="A74">
        <f>IFERROR(INDEX('Email Cleaner'!$B$2:$B$10001,MATCH(73,'Email Cleaner'!$H$2:$H$10001,0)),"")</f>
        <v/>
      </c>
    </row>
    <row r="75">
      <c r="A75">
        <f>IFERROR(INDEX('Email Cleaner'!$B$2:$B$10001,MATCH(74,'Email Cleaner'!$H$2:$H$10001,0)),"")</f>
        <v/>
      </c>
    </row>
    <row r="76">
      <c r="A76">
        <f>IFERROR(INDEX('Email Cleaner'!$B$2:$B$10001,MATCH(75,'Email Cleaner'!$H$2:$H$10001,0)),"")</f>
        <v/>
      </c>
    </row>
    <row r="77">
      <c r="A77">
        <f>IFERROR(INDEX('Email Cleaner'!$B$2:$B$10001,MATCH(76,'Email Cleaner'!$H$2:$H$10001,0)),"")</f>
        <v/>
      </c>
    </row>
    <row r="78">
      <c r="A78">
        <f>IFERROR(INDEX('Email Cleaner'!$B$2:$B$10001,MATCH(77,'Email Cleaner'!$H$2:$H$10001,0)),"")</f>
        <v/>
      </c>
    </row>
    <row r="79">
      <c r="A79">
        <f>IFERROR(INDEX('Email Cleaner'!$B$2:$B$10001,MATCH(78,'Email Cleaner'!$H$2:$H$10001,0)),"")</f>
        <v/>
      </c>
    </row>
    <row r="80">
      <c r="A80">
        <f>IFERROR(INDEX('Email Cleaner'!$B$2:$B$10001,MATCH(79,'Email Cleaner'!$H$2:$H$10001,0)),"")</f>
        <v/>
      </c>
    </row>
    <row r="81">
      <c r="A81">
        <f>IFERROR(INDEX('Email Cleaner'!$B$2:$B$10001,MATCH(80,'Email Cleaner'!$H$2:$H$10001,0)),"")</f>
        <v/>
      </c>
    </row>
    <row r="82">
      <c r="A82">
        <f>IFERROR(INDEX('Email Cleaner'!$B$2:$B$10001,MATCH(81,'Email Cleaner'!$H$2:$H$10001,0)),"")</f>
        <v/>
      </c>
    </row>
    <row r="83">
      <c r="A83">
        <f>IFERROR(INDEX('Email Cleaner'!$B$2:$B$10001,MATCH(82,'Email Cleaner'!$H$2:$H$10001,0)),"")</f>
        <v/>
      </c>
    </row>
    <row r="84">
      <c r="A84">
        <f>IFERROR(INDEX('Email Cleaner'!$B$2:$B$10001,MATCH(83,'Email Cleaner'!$H$2:$H$10001,0)),"")</f>
        <v/>
      </c>
    </row>
    <row r="85">
      <c r="A85">
        <f>IFERROR(INDEX('Email Cleaner'!$B$2:$B$10001,MATCH(84,'Email Cleaner'!$H$2:$H$10001,0)),"")</f>
        <v/>
      </c>
    </row>
    <row r="86">
      <c r="A86">
        <f>IFERROR(INDEX('Email Cleaner'!$B$2:$B$10001,MATCH(85,'Email Cleaner'!$H$2:$H$10001,0)),"")</f>
        <v/>
      </c>
    </row>
    <row r="87">
      <c r="A87">
        <f>IFERROR(INDEX('Email Cleaner'!$B$2:$B$10001,MATCH(86,'Email Cleaner'!$H$2:$H$10001,0)),"")</f>
        <v/>
      </c>
    </row>
    <row r="88">
      <c r="A88">
        <f>IFERROR(INDEX('Email Cleaner'!$B$2:$B$10001,MATCH(87,'Email Cleaner'!$H$2:$H$10001,0)),"")</f>
        <v/>
      </c>
    </row>
    <row r="89">
      <c r="A89">
        <f>IFERROR(INDEX('Email Cleaner'!$B$2:$B$10001,MATCH(88,'Email Cleaner'!$H$2:$H$10001,0)),"")</f>
        <v/>
      </c>
    </row>
    <row r="90">
      <c r="A90">
        <f>IFERROR(INDEX('Email Cleaner'!$B$2:$B$10001,MATCH(89,'Email Cleaner'!$H$2:$H$10001,0)),"")</f>
        <v/>
      </c>
    </row>
    <row r="91">
      <c r="A91">
        <f>IFERROR(INDEX('Email Cleaner'!$B$2:$B$10001,MATCH(90,'Email Cleaner'!$H$2:$H$10001,0)),"")</f>
        <v/>
      </c>
    </row>
    <row r="92">
      <c r="A92">
        <f>IFERROR(INDEX('Email Cleaner'!$B$2:$B$10001,MATCH(91,'Email Cleaner'!$H$2:$H$10001,0)),"")</f>
        <v/>
      </c>
    </row>
    <row r="93">
      <c r="A93">
        <f>IFERROR(INDEX('Email Cleaner'!$B$2:$B$10001,MATCH(92,'Email Cleaner'!$H$2:$H$10001,0)),"")</f>
        <v/>
      </c>
    </row>
    <row r="94">
      <c r="A94">
        <f>IFERROR(INDEX('Email Cleaner'!$B$2:$B$10001,MATCH(93,'Email Cleaner'!$H$2:$H$10001,0)),"")</f>
        <v/>
      </c>
    </row>
    <row r="95">
      <c r="A95">
        <f>IFERROR(INDEX('Email Cleaner'!$B$2:$B$10001,MATCH(94,'Email Cleaner'!$H$2:$H$10001,0)),"")</f>
        <v/>
      </c>
    </row>
    <row r="96">
      <c r="A96">
        <f>IFERROR(INDEX('Email Cleaner'!$B$2:$B$10001,MATCH(95,'Email Cleaner'!$H$2:$H$10001,0)),"")</f>
        <v/>
      </c>
    </row>
    <row r="97">
      <c r="A97">
        <f>IFERROR(INDEX('Email Cleaner'!$B$2:$B$10001,MATCH(96,'Email Cleaner'!$H$2:$H$10001,0)),"")</f>
        <v/>
      </c>
    </row>
    <row r="98">
      <c r="A98">
        <f>IFERROR(INDEX('Email Cleaner'!$B$2:$B$10001,MATCH(97,'Email Cleaner'!$H$2:$H$10001,0)),"")</f>
        <v/>
      </c>
    </row>
    <row r="99">
      <c r="A99">
        <f>IFERROR(INDEX('Email Cleaner'!$B$2:$B$10001,MATCH(98,'Email Cleaner'!$H$2:$H$10001,0)),"")</f>
        <v/>
      </c>
    </row>
    <row r="100">
      <c r="A100">
        <f>IFERROR(INDEX('Email Cleaner'!$B$2:$B$10001,MATCH(99,'Email Cleaner'!$H$2:$H$10001,0)),"")</f>
        <v/>
      </c>
    </row>
    <row r="101">
      <c r="A101">
        <f>IFERROR(INDEX('Email Cleaner'!$B$2:$B$10001,MATCH(100,'Email Cleaner'!$H$2:$H$10001,0)),"")</f>
        <v/>
      </c>
    </row>
    <row r="102">
      <c r="A102">
        <f>IFERROR(INDEX('Email Cleaner'!$B$2:$B$10001,MATCH(101,'Email Cleaner'!$H$2:$H$10001,0)),"")</f>
        <v/>
      </c>
    </row>
    <row r="103">
      <c r="A103">
        <f>IFERROR(INDEX('Email Cleaner'!$B$2:$B$10001,MATCH(102,'Email Cleaner'!$H$2:$H$10001,0)),"")</f>
        <v/>
      </c>
    </row>
    <row r="104">
      <c r="A104">
        <f>IFERROR(INDEX('Email Cleaner'!$B$2:$B$10001,MATCH(103,'Email Cleaner'!$H$2:$H$10001,0)),"")</f>
        <v/>
      </c>
    </row>
    <row r="105">
      <c r="A105">
        <f>IFERROR(INDEX('Email Cleaner'!$B$2:$B$10001,MATCH(104,'Email Cleaner'!$H$2:$H$10001,0)),"")</f>
        <v/>
      </c>
    </row>
    <row r="106">
      <c r="A106">
        <f>IFERROR(INDEX('Email Cleaner'!$B$2:$B$10001,MATCH(105,'Email Cleaner'!$H$2:$H$10001,0)),"")</f>
        <v/>
      </c>
    </row>
    <row r="107">
      <c r="A107">
        <f>IFERROR(INDEX('Email Cleaner'!$B$2:$B$10001,MATCH(106,'Email Cleaner'!$H$2:$H$10001,0)),"")</f>
        <v/>
      </c>
    </row>
    <row r="108">
      <c r="A108">
        <f>IFERROR(INDEX('Email Cleaner'!$B$2:$B$10001,MATCH(107,'Email Cleaner'!$H$2:$H$10001,0)),"")</f>
        <v/>
      </c>
    </row>
    <row r="109">
      <c r="A109">
        <f>IFERROR(INDEX('Email Cleaner'!$B$2:$B$10001,MATCH(108,'Email Cleaner'!$H$2:$H$10001,0)),"")</f>
        <v/>
      </c>
    </row>
    <row r="110">
      <c r="A110">
        <f>IFERROR(INDEX('Email Cleaner'!$B$2:$B$10001,MATCH(109,'Email Cleaner'!$H$2:$H$10001,0)),"")</f>
        <v/>
      </c>
    </row>
    <row r="111">
      <c r="A111">
        <f>IFERROR(INDEX('Email Cleaner'!$B$2:$B$10001,MATCH(110,'Email Cleaner'!$H$2:$H$10001,0)),"")</f>
        <v/>
      </c>
    </row>
    <row r="112">
      <c r="A112">
        <f>IFERROR(INDEX('Email Cleaner'!$B$2:$B$10001,MATCH(111,'Email Cleaner'!$H$2:$H$10001,0)),"")</f>
        <v/>
      </c>
    </row>
    <row r="113">
      <c r="A113">
        <f>IFERROR(INDEX('Email Cleaner'!$B$2:$B$10001,MATCH(112,'Email Cleaner'!$H$2:$H$10001,0)),"")</f>
        <v/>
      </c>
    </row>
    <row r="114">
      <c r="A114">
        <f>IFERROR(INDEX('Email Cleaner'!$B$2:$B$10001,MATCH(113,'Email Cleaner'!$H$2:$H$10001,0)),"")</f>
        <v/>
      </c>
    </row>
    <row r="115">
      <c r="A115">
        <f>IFERROR(INDEX('Email Cleaner'!$B$2:$B$10001,MATCH(114,'Email Cleaner'!$H$2:$H$10001,0)),"")</f>
        <v/>
      </c>
    </row>
    <row r="116">
      <c r="A116">
        <f>IFERROR(INDEX('Email Cleaner'!$B$2:$B$10001,MATCH(115,'Email Cleaner'!$H$2:$H$10001,0)),"")</f>
        <v/>
      </c>
    </row>
    <row r="117">
      <c r="A117">
        <f>IFERROR(INDEX('Email Cleaner'!$B$2:$B$10001,MATCH(116,'Email Cleaner'!$H$2:$H$10001,0)),"")</f>
        <v/>
      </c>
    </row>
    <row r="118">
      <c r="A118">
        <f>IFERROR(INDEX('Email Cleaner'!$B$2:$B$10001,MATCH(117,'Email Cleaner'!$H$2:$H$10001,0)),"")</f>
        <v/>
      </c>
    </row>
    <row r="119">
      <c r="A119">
        <f>IFERROR(INDEX('Email Cleaner'!$B$2:$B$10001,MATCH(118,'Email Cleaner'!$H$2:$H$10001,0)),"")</f>
        <v/>
      </c>
    </row>
    <row r="120">
      <c r="A120">
        <f>IFERROR(INDEX('Email Cleaner'!$B$2:$B$10001,MATCH(119,'Email Cleaner'!$H$2:$H$10001,0)),"")</f>
        <v/>
      </c>
    </row>
    <row r="121">
      <c r="A121">
        <f>IFERROR(INDEX('Email Cleaner'!$B$2:$B$10001,MATCH(120,'Email Cleaner'!$H$2:$H$10001,0)),"")</f>
        <v/>
      </c>
    </row>
    <row r="122">
      <c r="A122">
        <f>IFERROR(INDEX('Email Cleaner'!$B$2:$B$10001,MATCH(121,'Email Cleaner'!$H$2:$H$10001,0)),"")</f>
        <v/>
      </c>
    </row>
    <row r="123">
      <c r="A123">
        <f>IFERROR(INDEX('Email Cleaner'!$B$2:$B$10001,MATCH(122,'Email Cleaner'!$H$2:$H$10001,0)),"")</f>
        <v/>
      </c>
    </row>
    <row r="124">
      <c r="A124">
        <f>IFERROR(INDEX('Email Cleaner'!$B$2:$B$10001,MATCH(123,'Email Cleaner'!$H$2:$H$10001,0)),"")</f>
        <v/>
      </c>
    </row>
    <row r="125">
      <c r="A125">
        <f>IFERROR(INDEX('Email Cleaner'!$B$2:$B$10001,MATCH(124,'Email Cleaner'!$H$2:$H$10001,0)),"")</f>
        <v/>
      </c>
    </row>
    <row r="126">
      <c r="A126">
        <f>IFERROR(INDEX('Email Cleaner'!$B$2:$B$10001,MATCH(125,'Email Cleaner'!$H$2:$H$10001,0)),"")</f>
        <v/>
      </c>
    </row>
    <row r="127">
      <c r="A127">
        <f>IFERROR(INDEX('Email Cleaner'!$B$2:$B$10001,MATCH(126,'Email Cleaner'!$H$2:$H$10001,0)),"")</f>
        <v/>
      </c>
    </row>
    <row r="128">
      <c r="A128">
        <f>IFERROR(INDEX('Email Cleaner'!$B$2:$B$10001,MATCH(127,'Email Cleaner'!$H$2:$H$10001,0)),"")</f>
        <v/>
      </c>
    </row>
    <row r="129">
      <c r="A129">
        <f>IFERROR(INDEX('Email Cleaner'!$B$2:$B$10001,MATCH(128,'Email Cleaner'!$H$2:$H$10001,0)),"")</f>
        <v/>
      </c>
    </row>
    <row r="130">
      <c r="A130">
        <f>IFERROR(INDEX('Email Cleaner'!$B$2:$B$10001,MATCH(129,'Email Cleaner'!$H$2:$H$10001,0)),"")</f>
        <v/>
      </c>
    </row>
    <row r="131">
      <c r="A131">
        <f>IFERROR(INDEX('Email Cleaner'!$B$2:$B$10001,MATCH(130,'Email Cleaner'!$H$2:$H$10001,0)),"")</f>
        <v/>
      </c>
    </row>
    <row r="132">
      <c r="A132">
        <f>IFERROR(INDEX('Email Cleaner'!$B$2:$B$10001,MATCH(131,'Email Cleaner'!$H$2:$H$10001,0)),"")</f>
        <v/>
      </c>
    </row>
    <row r="133">
      <c r="A133">
        <f>IFERROR(INDEX('Email Cleaner'!$B$2:$B$10001,MATCH(132,'Email Cleaner'!$H$2:$H$10001,0)),"")</f>
        <v/>
      </c>
    </row>
    <row r="134">
      <c r="A134">
        <f>IFERROR(INDEX('Email Cleaner'!$B$2:$B$10001,MATCH(133,'Email Cleaner'!$H$2:$H$10001,0)),"")</f>
        <v/>
      </c>
    </row>
    <row r="135">
      <c r="A135">
        <f>IFERROR(INDEX('Email Cleaner'!$B$2:$B$10001,MATCH(134,'Email Cleaner'!$H$2:$H$10001,0)),"")</f>
        <v/>
      </c>
    </row>
    <row r="136">
      <c r="A136">
        <f>IFERROR(INDEX('Email Cleaner'!$B$2:$B$10001,MATCH(135,'Email Cleaner'!$H$2:$H$10001,0)),"")</f>
        <v/>
      </c>
    </row>
    <row r="137">
      <c r="A137">
        <f>IFERROR(INDEX('Email Cleaner'!$B$2:$B$10001,MATCH(136,'Email Cleaner'!$H$2:$H$10001,0)),"")</f>
        <v/>
      </c>
    </row>
    <row r="138">
      <c r="A138">
        <f>IFERROR(INDEX('Email Cleaner'!$B$2:$B$10001,MATCH(137,'Email Cleaner'!$H$2:$H$10001,0)),"")</f>
        <v/>
      </c>
    </row>
    <row r="139">
      <c r="A139">
        <f>IFERROR(INDEX('Email Cleaner'!$B$2:$B$10001,MATCH(138,'Email Cleaner'!$H$2:$H$10001,0)),"")</f>
        <v/>
      </c>
    </row>
    <row r="140">
      <c r="A140">
        <f>IFERROR(INDEX('Email Cleaner'!$B$2:$B$10001,MATCH(139,'Email Cleaner'!$H$2:$H$10001,0)),"")</f>
        <v/>
      </c>
    </row>
    <row r="141">
      <c r="A141">
        <f>IFERROR(INDEX('Email Cleaner'!$B$2:$B$10001,MATCH(140,'Email Cleaner'!$H$2:$H$10001,0)),"")</f>
        <v/>
      </c>
    </row>
    <row r="142">
      <c r="A142">
        <f>IFERROR(INDEX('Email Cleaner'!$B$2:$B$10001,MATCH(141,'Email Cleaner'!$H$2:$H$10001,0)),"")</f>
        <v/>
      </c>
    </row>
    <row r="143">
      <c r="A143">
        <f>IFERROR(INDEX('Email Cleaner'!$B$2:$B$10001,MATCH(142,'Email Cleaner'!$H$2:$H$10001,0)),"")</f>
        <v/>
      </c>
    </row>
    <row r="144">
      <c r="A144">
        <f>IFERROR(INDEX('Email Cleaner'!$B$2:$B$10001,MATCH(143,'Email Cleaner'!$H$2:$H$10001,0)),"")</f>
        <v/>
      </c>
    </row>
    <row r="145">
      <c r="A145">
        <f>IFERROR(INDEX('Email Cleaner'!$B$2:$B$10001,MATCH(144,'Email Cleaner'!$H$2:$H$10001,0)),"")</f>
        <v/>
      </c>
    </row>
    <row r="146">
      <c r="A146">
        <f>IFERROR(INDEX('Email Cleaner'!$B$2:$B$10001,MATCH(145,'Email Cleaner'!$H$2:$H$10001,0)),"")</f>
        <v/>
      </c>
    </row>
    <row r="147">
      <c r="A147">
        <f>IFERROR(INDEX('Email Cleaner'!$B$2:$B$10001,MATCH(146,'Email Cleaner'!$H$2:$H$10001,0)),"")</f>
        <v/>
      </c>
    </row>
    <row r="148">
      <c r="A148">
        <f>IFERROR(INDEX('Email Cleaner'!$B$2:$B$10001,MATCH(147,'Email Cleaner'!$H$2:$H$10001,0)),"")</f>
        <v/>
      </c>
    </row>
    <row r="149">
      <c r="A149">
        <f>IFERROR(INDEX('Email Cleaner'!$B$2:$B$10001,MATCH(148,'Email Cleaner'!$H$2:$H$10001,0)),"")</f>
        <v/>
      </c>
    </row>
    <row r="150">
      <c r="A150">
        <f>IFERROR(INDEX('Email Cleaner'!$B$2:$B$10001,MATCH(149,'Email Cleaner'!$H$2:$H$10001,0)),"")</f>
        <v/>
      </c>
    </row>
    <row r="151">
      <c r="A151">
        <f>IFERROR(INDEX('Email Cleaner'!$B$2:$B$10001,MATCH(150,'Email Cleaner'!$H$2:$H$10001,0)),"")</f>
        <v/>
      </c>
    </row>
    <row r="152">
      <c r="A152">
        <f>IFERROR(INDEX('Email Cleaner'!$B$2:$B$10001,MATCH(151,'Email Cleaner'!$H$2:$H$10001,0)),"")</f>
        <v/>
      </c>
    </row>
    <row r="153">
      <c r="A153">
        <f>IFERROR(INDEX('Email Cleaner'!$B$2:$B$10001,MATCH(152,'Email Cleaner'!$H$2:$H$10001,0)),"")</f>
        <v/>
      </c>
    </row>
    <row r="154">
      <c r="A154">
        <f>IFERROR(INDEX('Email Cleaner'!$B$2:$B$10001,MATCH(153,'Email Cleaner'!$H$2:$H$10001,0)),"")</f>
        <v/>
      </c>
    </row>
    <row r="155">
      <c r="A155">
        <f>IFERROR(INDEX('Email Cleaner'!$B$2:$B$10001,MATCH(154,'Email Cleaner'!$H$2:$H$10001,0)),"")</f>
        <v/>
      </c>
    </row>
    <row r="156">
      <c r="A156">
        <f>IFERROR(INDEX('Email Cleaner'!$B$2:$B$10001,MATCH(155,'Email Cleaner'!$H$2:$H$10001,0)),"")</f>
        <v/>
      </c>
    </row>
    <row r="157">
      <c r="A157">
        <f>IFERROR(INDEX('Email Cleaner'!$B$2:$B$10001,MATCH(156,'Email Cleaner'!$H$2:$H$10001,0)),"")</f>
        <v/>
      </c>
    </row>
    <row r="158">
      <c r="A158">
        <f>IFERROR(INDEX('Email Cleaner'!$B$2:$B$10001,MATCH(157,'Email Cleaner'!$H$2:$H$10001,0)),"")</f>
        <v/>
      </c>
    </row>
    <row r="159">
      <c r="A159">
        <f>IFERROR(INDEX('Email Cleaner'!$B$2:$B$10001,MATCH(158,'Email Cleaner'!$H$2:$H$10001,0)),"")</f>
        <v/>
      </c>
    </row>
    <row r="160">
      <c r="A160">
        <f>IFERROR(INDEX('Email Cleaner'!$B$2:$B$10001,MATCH(159,'Email Cleaner'!$H$2:$H$10001,0)),"")</f>
        <v/>
      </c>
    </row>
    <row r="161">
      <c r="A161">
        <f>IFERROR(INDEX('Email Cleaner'!$B$2:$B$10001,MATCH(160,'Email Cleaner'!$H$2:$H$10001,0)),"")</f>
        <v/>
      </c>
    </row>
    <row r="162">
      <c r="A162">
        <f>IFERROR(INDEX('Email Cleaner'!$B$2:$B$10001,MATCH(161,'Email Cleaner'!$H$2:$H$10001,0)),"")</f>
        <v/>
      </c>
    </row>
    <row r="163">
      <c r="A163">
        <f>IFERROR(INDEX('Email Cleaner'!$B$2:$B$10001,MATCH(162,'Email Cleaner'!$H$2:$H$10001,0)),"")</f>
        <v/>
      </c>
    </row>
    <row r="164">
      <c r="A164">
        <f>IFERROR(INDEX('Email Cleaner'!$B$2:$B$10001,MATCH(163,'Email Cleaner'!$H$2:$H$10001,0)),"")</f>
        <v/>
      </c>
    </row>
    <row r="165">
      <c r="A165">
        <f>IFERROR(INDEX('Email Cleaner'!$B$2:$B$10001,MATCH(164,'Email Cleaner'!$H$2:$H$10001,0)),"")</f>
        <v/>
      </c>
    </row>
    <row r="166">
      <c r="A166">
        <f>IFERROR(INDEX('Email Cleaner'!$B$2:$B$10001,MATCH(165,'Email Cleaner'!$H$2:$H$10001,0)),"")</f>
        <v/>
      </c>
    </row>
    <row r="167">
      <c r="A167">
        <f>IFERROR(INDEX('Email Cleaner'!$B$2:$B$10001,MATCH(166,'Email Cleaner'!$H$2:$H$10001,0)),"")</f>
        <v/>
      </c>
    </row>
    <row r="168">
      <c r="A168">
        <f>IFERROR(INDEX('Email Cleaner'!$B$2:$B$10001,MATCH(167,'Email Cleaner'!$H$2:$H$10001,0)),"")</f>
        <v/>
      </c>
    </row>
    <row r="169">
      <c r="A169">
        <f>IFERROR(INDEX('Email Cleaner'!$B$2:$B$10001,MATCH(168,'Email Cleaner'!$H$2:$H$10001,0)),"")</f>
        <v/>
      </c>
    </row>
    <row r="170">
      <c r="A170">
        <f>IFERROR(INDEX('Email Cleaner'!$B$2:$B$10001,MATCH(169,'Email Cleaner'!$H$2:$H$10001,0)),"")</f>
        <v/>
      </c>
    </row>
    <row r="171">
      <c r="A171">
        <f>IFERROR(INDEX('Email Cleaner'!$B$2:$B$10001,MATCH(170,'Email Cleaner'!$H$2:$H$10001,0)),"")</f>
        <v/>
      </c>
    </row>
    <row r="172">
      <c r="A172">
        <f>IFERROR(INDEX('Email Cleaner'!$B$2:$B$10001,MATCH(171,'Email Cleaner'!$H$2:$H$10001,0)),"")</f>
        <v/>
      </c>
    </row>
    <row r="173">
      <c r="A173">
        <f>IFERROR(INDEX('Email Cleaner'!$B$2:$B$10001,MATCH(172,'Email Cleaner'!$H$2:$H$10001,0)),"")</f>
        <v/>
      </c>
    </row>
    <row r="174">
      <c r="A174">
        <f>IFERROR(INDEX('Email Cleaner'!$B$2:$B$10001,MATCH(173,'Email Cleaner'!$H$2:$H$10001,0)),"")</f>
        <v/>
      </c>
    </row>
    <row r="175">
      <c r="A175">
        <f>IFERROR(INDEX('Email Cleaner'!$B$2:$B$10001,MATCH(174,'Email Cleaner'!$H$2:$H$10001,0)),"")</f>
        <v/>
      </c>
    </row>
    <row r="176">
      <c r="A176">
        <f>IFERROR(INDEX('Email Cleaner'!$B$2:$B$10001,MATCH(175,'Email Cleaner'!$H$2:$H$10001,0)),"")</f>
        <v/>
      </c>
    </row>
    <row r="177">
      <c r="A177">
        <f>IFERROR(INDEX('Email Cleaner'!$B$2:$B$10001,MATCH(176,'Email Cleaner'!$H$2:$H$10001,0)),"")</f>
        <v/>
      </c>
    </row>
    <row r="178">
      <c r="A178">
        <f>IFERROR(INDEX('Email Cleaner'!$B$2:$B$10001,MATCH(177,'Email Cleaner'!$H$2:$H$10001,0)),"")</f>
        <v/>
      </c>
    </row>
    <row r="179">
      <c r="A179">
        <f>IFERROR(INDEX('Email Cleaner'!$B$2:$B$10001,MATCH(178,'Email Cleaner'!$H$2:$H$10001,0)),"")</f>
        <v/>
      </c>
    </row>
    <row r="180">
      <c r="A180">
        <f>IFERROR(INDEX('Email Cleaner'!$B$2:$B$10001,MATCH(179,'Email Cleaner'!$H$2:$H$10001,0)),"")</f>
        <v/>
      </c>
    </row>
    <row r="181">
      <c r="A181">
        <f>IFERROR(INDEX('Email Cleaner'!$B$2:$B$10001,MATCH(180,'Email Cleaner'!$H$2:$H$10001,0)),"")</f>
        <v/>
      </c>
    </row>
    <row r="182">
      <c r="A182">
        <f>IFERROR(INDEX('Email Cleaner'!$B$2:$B$10001,MATCH(181,'Email Cleaner'!$H$2:$H$10001,0)),"")</f>
        <v/>
      </c>
    </row>
    <row r="183">
      <c r="A183">
        <f>IFERROR(INDEX('Email Cleaner'!$B$2:$B$10001,MATCH(182,'Email Cleaner'!$H$2:$H$10001,0)),"")</f>
        <v/>
      </c>
    </row>
    <row r="184">
      <c r="A184">
        <f>IFERROR(INDEX('Email Cleaner'!$B$2:$B$10001,MATCH(183,'Email Cleaner'!$H$2:$H$10001,0)),"")</f>
        <v/>
      </c>
    </row>
    <row r="185">
      <c r="A185">
        <f>IFERROR(INDEX('Email Cleaner'!$B$2:$B$10001,MATCH(184,'Email Cleaner'!$H$2:$H$10001,0)),"")</f>
        <v/>
      </c>
    </row>
    <row r="186">
      <c r="A186">
        <f>IFERROR(INDEX('Email Cleaner'!$B$2:$B$10001,MATCH(185,'Email Cleaner'!$H$2:$H$10001,0)),"")</f>
        <v/>
      </c>
    </row>
    <row r="187">
      <c r="A187">
        <f>IFERROR(INDEX('Email Cleaner'!$B$2:$B$10001,MATCH(186,'Email Cleaner'!$H$2:$H$10001,0)),"")</f>
        <v/>
      </c>
    </row>
    <row r="188">
      <c r="A188">
        <f>IFERROR(INDEX('Email Cleaner'!$B$2:$B$10001,MATCH(187,'Email Cleaner'!$H$2:$H$10001,0)),"")</f>
        <v/>
      </c>
    </row>
    <row r="189">
      <c r="A189">
        <f>IFERROR(INDEX('Email Cleaner'!$B$2:$B$10001,MATCH(188,'Email Cleaner'!$H$2:$H$10001,0)),"")</f>
        <v/>
      </c>
    </row>
    <row r="190">
      <c r="A190">
        <f>IFERROR(INDEX('Email Cleaner'!$B$2:$B$10001,MATCH(189,'Email Cleaner'!$H$2:$H$10001,0)),"")</f>
        <v/>
      </c>
    </row>
    <row r="191">
      <c r="A191">
        <f>IFERROR(INDEX('Email Cleaner'!$B$2:$B$10001,MATCH(190,'Email Cleaner'!$H$2:$H$10001,0)),"")</f>
        <v/>
      </c>
    </row>
    <row r="192">
      <c r="A192">
        <f>IFERROR(INDEX('Email Cleaner'!$B$2:$B$10001,MATCH(191,'Email Cleaner'!$H$2:$H$10001,0)),"")</f>
        <v/>
      </c>
    </row>
    <row r="193">
      <c r="A193">
        <f>IFERROR(INDEX('Email Cleaner'!$B$2:$B$10001,MATCH(192,'Email Cleaner'!$H$2:$H$10001,0)),"")</f>
        <v/>
      </c>
    </row>
    <row r="194">
      <c r="A194">
        <f>IFERROR(INDEX('Email Cleaner'!$B$2:$B$10001,MATCH(193,'Email Cleaner'!$H$2:$H$10001,0)),"")</f>
        <v/>
      </c>
    </row>
    <row r="195">
      <c r="A195">
        <f>IFERROR(INDEX('Email Cleaner'!$B$2:$B$10001,MATCH(194,'Email Cleaner'!$H$2:$H$10001,0)),"")</f>
        <v/>
      </c>
    </row>
    <row r="196">
      <c r="A196">
        <f>IFERROR(INDEX('Email Cleaner'!$B$2:$B$10001,MATCH(195,'Email Cleaner'!$H$2:$H$10001,0)),"")</f>
        <v/>
      </c>
    </row>
    <row r="197">
      <c r="A197">
        <f>IFERROR(INDEX('Email Cleaner'!$B$2:$B$10001,MATCH(196,'Email Cleaner'!$H$2:$H$10001,0)),"")</f>
        <v/>
      </c>
    </row>
    <row r="198">
      <c r="A198">
        <f>IFERROR(INDEX('Email Cleaner'!$B$2:$B$10001,MATCH(197,'Email Cleaner'!$H$2:$H$10001,0)),"")</f>
        <v/>
      </c>
    </row>
    <row r="199">
      <c r="A199">
        <f>IFERROR(INDEX('Email Cleaner'!$B$2:$B$10001,MATCH(198,'Email Cleaner'!$H$2:$H$10001,0)),"")</f>
        <v/>
      </c>
    </row>
    <row r="200">
      <c r="A200">
        <f>IFERROR(INDEX('Email Cleaner'!$B$2:$B$10001,MATCH(199,'Email Cleaner'!$H$2:$H$10001,0)),"")</f>
        <v/>
      </c>
    </row>
    <row r="201">
      <c r="A201">
        <f>IFERROR(INDEX('Email Cleaner'!$B$2:$B$10001,MATCH(200,'Email Cleaner'!$H$2:$H$10001,0)),"")</f>
        <v/>
      </c>
    </row>
    <row r="202">
      <c r="A202">
        <f>IFERROR(INDEX('Email Cleaner'!$B$2:$B$10001,MATCH(201,'Email Cleaner'!$H$2:$H$10001,0)),"")</f>
        <v/>
      </c>
    </row>
    <row r="203">
      <c r="A203">
        <f>IFERROR(INDEX('Email Cleaner'!$B$2:$B$10001,MATCH(202,'Email Cleaner'!$H$2:$H$10001,0)),"")</f>
        <v/>
      </c>
    </row>
    <row r="204">
      <c r="A204">
        <f>IFERROR(INDEX('Email Cleaner'!$B$2:$B$10001,MATCH(203,'Email Cleaner'!$H$2:$H$10001,0)),"")</f>
        <v/>
      </c>
    </row>
    <row r="205">
      <c r="A205">
        <f>IFERROR(INDEX('Email Cleaner'!$B$2:$B$10001,MATCH(204,'Email Cleaner'!$H$2:$H$10001,0)),"")</f>
        <v/>
      </c>
    </row>
    <row r="206">
      <c r="A206">
        <f>IFERROR(INDEX('Email Cleaner'!$B$2:$B$10001,MATCH(205,'Email Cleaner'!$H$2:$H$10001,0)),"")</f>
        <v/>
      </c>
    </row>
    <row r="207">
      <c r="A207">
        <f>IFERROR(INDEX('Email Cleaner'!$B$2:$B$10001,MATCH(206,'Email Cleaner'!$H$2:$H$10001,0)),"")</f>
        <v/>
      </c>
    </row>
    <row r="208">
      <c r="A208">
        <f>IFERROR(INDEX('Email Cleaner'!$B$2:$B$10001,MATCH(207,'Email Cleaner'!$H$2:$H$10001,0)),"")</f>
        <v/>
      </c>
    </row>
    <row r="209">
      <c r="A209">
        <f>IFERROR(INDEX('Email Cleaner'!$B$2:$B$10001,MATCH(208,'Email Cleaner'!$H$2:$H$10001,0)),"")</f>
        <v/>
      </c>
    </row>
    <row r="210">
      <c r="A210">
        <f>IFERROR(INDEX('Email Cleaner'!$B$2:$B$10001,MATCH(209,'Email Cleaner'!$H$2:$H$10001,0)),"")</f>
        <v/>
      </c>
    </row>
    <row r="211">
      <c r="A211">
        <f>IFERROR(INDEX('Email Cleaner'!$B$2:$B$10001,MATCH(210,'Email Cleaner'!$H$2:$H$10001,0)),"")</f>
        <v/>
      </c>
    </row>
    <row r="212">
      <c r="A212">
        <f>IFERROR(INDEX('Email Cleaner'!$B$2:$B$10001,MATCH(211,'Email Cleaner'!$H$2:$H$10001,0)),"")</f>
        <v/>
      </c>
    </row>
    <row r="213">
      <c r="A213">
        <f>IFERROR(INDEX('Email Cleaner'!$B$2:$B$10001,MATCH(212,'Email Cleaner'!$H$2:$H$10001,0)),"")</f>
        <v/>
      </c>
    </row>
    <row r="214">
      <c r="A214">
        <f>IFERROR(INDEX('Email Cleaner'!$B$2:$B$10001,MATCH(213,'Email Cleaner'!$H$2:$H$10001,0)),"")</f>
        <v/>
      </c>
    </row>
    <row r="215">
      <c r="A215">
        <f>IFERROR(INDEX('Email Cleaner'!$B$2:$B$10001,MATCH(214,'Email Cleaner'!$H$2:$H$10001,0)),"")</f>
        <v/>
      </c>
    </row>
    <row r="216">
      <c r="A216">
        <f>IFERROR(INDEX('Email Cleaner'!$B$2:$B$10001,MATCH(215,'Email Cleaner'!$H$2:$H$10001,0)),"")</f>
        <v/>
      </c>
    </row>
    <row r="217">
      <c r="A217">
        <f>IFERROR(INDEX('Email Cleaner'!$B$2:$B$10001,MATCH(216,'Email Cleaner'!$H$2:$H$10001,0)),"")</f>
        <v/>
      </c>
    </row>
    <row r="218">
      <c r="A218">
        <f>IFERROR(INDEX('Email Cleaner'!$B$2:$B$10001,MATCH(217,'Email Cleaner'!$H$2:$H$10001,0)),"")</f>
        <v/>
      </c>
    </row>
    <row r="219">
      <c r="A219">
        <f>IFERROR(INDEX('Email Cleaner'!$B$2:$B$10001,MATCH(218,'Email Cleaner'!$H$2:$H$10001,0)),"")</f>
        <v/>
      </c>
    </row>
    <row r="220">
      <c r="A220">
        <f>IFERROR(INDEX('Email Cleaner'!$B$2:$B$10001,MATCH(219,'Email Cleaner'!$H$2:$H$10001,0)),"")</f>
        <v/>
      </c>
    </row>
    <row r="221">
      <c r="A221">
        <f>IFERROR(INDEX('Email Cleaner'!$B$2:$B$10001,MATCH(220,'Email Cleaner'!$H$2:$H$10001,0)),"")</f>
        <v/>
      </c>
    </row>
    <row r="222">
      <c r="A222">
        <f>IFERROR(INDEX('Email Cleaner'!$B$2:$B$10001,MATCH(221,'Email Cleaner'!$H$2:$H$10001,0)),"")</f>
        <v/>
      </c>
    </row>
    <row r="223">
      <c r="A223">
        <f>IFERROR(INDEX('Email Cleaner'!$B$2:$B$10001,MATCH(222,'Email Cleaner'!$H$2:$H$10001,0)),"")</f>
        <v/>
      </c>
    </row>
    <row r="224">
      <c r="A224">
        <f>IFERROR(INDEX('Email Cleaner'!$B$2:$B$10001,MATCH(223,'Email Cleaner'!$H$2:$H$10001,0)),"")</f>
        <v/>
      </c>
    </row>
    <row r="225">
      <c r="A225">
        <f>IFERROR(INDEX('Email Cleaner'!$B$2:$B$10001,MATCH(224,'Email Cleaner'!$H$2:$H$10001,0)),"")</f>
        <v/>
      </c>
    </row>
    <row r="226">
      <c r="A226">
        <f>IFERROR(INDEX('Email Cleaner'!$B$2:$B$10001,MATCH(225,'Email Cleaner'!$H$2:$H$10001,0)),"")</f>
        <v/>
      </c>
    </row>
    <row r="227">
      <c r="A227">
        <f>IFERROR(INDEX('Email Cleaner'!$B$2:$B$10001,MATCH(226,'Email Cleaner'!$H$2:$H$10001,0)),"")</f>
        <v/>
      </c>
    </row>
    <row r="228">
      <c r="A228">
        <f>IFERROR(INDEX('Email Cleaner'!$B$2:$B$10001,MATCH(227,'Email Cleaner'!$H$2:$H$10001,0)),"")</f>
        <v/>
      </c>
    </row>
    <row r="229">
      <c r="A229">
        <f>IFERROR(INDEX('Email Cleaner'!$B$2:$B$10001,MATCH(228,'Email Cleaner'!$H$2:$H$10001,0)),"")</f>
        <v/>
      </c>
    </row>
    <row r="230">
      <c r="A230">
        <f>IFERROR(INDEX('Email Cleaner'!$B$2:$B$10001,MATCH(229,'Email Cleaner'!$H$2:$H$10001,0)),"")</f>
        <v/>
      </c>
    </row>
    <row r="231">
      <c r="A231">
        <f>IFERROR(INDEX('Email Cleaner'!$B$2:$B$10001,MATCH(230,'Email Cleaner'!$H$2:$H$10001,0)),"")</f>
        <v/>
      </c>
    </row>
    <row r="232">
      <c r="A232">
        <f>IFERROR(INDEX('Email Cleaner'!$B$2:$B$10001,MATCH(231,'Email Cleaner'!$H$2:$H$10001,0)),"")</f>
        <v/>
      </c>
    </row>
    <row r="233">
      <c r="A233">
        <f>IFERROR(INDEX('Email Cleaner'!$B$2:$B$10001,MATCH(232,'Email Cleaner'!$H$2:$H$10001,0)),"")</f>
        <v/>
      </c>
    </row>
    <row r="234">
      <c r="A234">
        <f>IFERROR(INDEX('Email Cleaner'!$B$2:$B$10001,MATCH(233,'Email Cleaner'!$H$2:$H$10001,0)),"")</f>
        <v/>
      </c>
    </row>
    <row r="235">
      <c r="A235">
        <f>IFERROR(INDEX('Email Cleaner'!$B$2:$B$10001,MATCH(234,'Email Cleaner'!$H$2:$H$10001,0)),"")</f>
        <v/>
      </c>
    </row>
    <row r="236">
      <c r="A236">
        <f>IFERROR(INDEX('Email Cleaner'!$B$2:$B$10001,MATCH(235,'Email Cleaner'!$H$2:$H$10001,0)),"")</f>
        <v/>
      </c>
    </row>
    <row r="237">
      <c r="A237">
        <f>IFERROR(INDEX('Email Cleaner'!$B$2:$B$10001,MATCH(236,'Email Cleaner'!$H$2:$H$10001,0)),"")</f>
        <v/>
      </c>
    </row>
    <row r="238">
      <c r="A238">
        <f>IFERROR(INDEX('Email Cleaner'!$B$2:$B$10001,MATCH(237,'Email Cleaner'!$H$2:$H$10001,0)),"")</f>
        <v/>
      </c>
    </row>
    <row r="239">
      <c r="A239">
        <f>IFERROR(INDEX('Email Cleaner'!$B$2:$B$10001,MATCH(238,'Email Cleaner'!$H$2:$H$10001,0)),"")</f>
        <v/>
      </c>
    </row>
    <row r="240">
      <c r="A240">
        <f>IFERROR(INDEX('Email Cleaner'!$B$2:$B$10001,MATCH(239,'Email Cleaner'!$H$2:$H$10001,0)),"")</f>
        <v/>
      </c>
    </row>
    <row r="241">
      <c r="A241">
        <f>IFERROR(INDEX('Email Cleaner'!$B$2:$B$10001,MATCH(240,'Email Cleaner'!$H$2:$H$10001,0)),"")</f>
        <v/>
      </c>
    </row>
    <row r="242">
      <c r="A242">
        <f>IFERROR(INDEX('Email Cleaner'!$B$2:$B$10001,MATCH(241,'Email Cleaner'!$H$2:$H$10001,0)),"")</f>
        <v/>
      </c>
    </row>
    <row r="243">
      <c r="A243">
        <f>IFERROR(INDEX('Email Cleaner'!$B$2:$B$10001,MATCH(242,'Email Cleaner'!$H$2:$H$10001,0)),"")</f>
        <v/>
      </c>
    </row>
    <row r="244">
      <c r="A244">
        <f>IFERROR(INDEX('Email Cleaner'!$B$2:$B$10001,MATCH(243,'Email Cleaner'!$H$2:$H$10001,0)),"")</f>
        <v/>
      </c>
    </row>
    <row r="245">
      <c r="A245">
        <f>IFERROR(INDEX('Email Cleaner'!$B$2:$B$10001,MATCH(244,'Email Cleaner'!$H$2:$H$10001,0)),"")</f>
        <v/>
      </c>
    </row>
    <row r="246">
      <c r="A246">
        <f>IFERROR(INDEX('Email Cleaner'!$B$2:$B$10001,MATCH(245,'Email Cleaner'!$H$2:$H$10001,0)),"")</f>
        <v/>
      </c>
    </row>
    <row r="247">
      <c r="A247">
        <f>IFERROR(INDEX('Email Cleaner'!$B$2:$B$10001,MATCH(246,'Email Cleaner'!$H$2:$H$10001,0)),"")</f>
        <v/>
      </c>
    </row>
    <row r="248">
      <c r="A248">
        <f>IFERROR(INDEX('Email Cleaner'!$B$2:$B$10001,MATCH(247,'Email Cleaner'!$H$2:$H$10001,0)),"")</f>
        <v/>
      </c>
    </row>
    <row r="249">
      <c r="A249">
        <f>IFERROR(INDEX('Email Cleaner'!$B$2:$B$10001,MATCH(248,'Email Cleaner'!$H$2:$H$10001,0)),"")</f>
        <v/>
      </c>
    </row>
    <row r="250">
      <c r="A250">
        <f>IFERROR(INDEX('Email Cleaner'!$B$2:$B$10001,MATCH(249,'Email Cleaner'!$H$2:$H$10001,0)),"")</f>
        <v/>
      </c>
    </row>
    <row r="251">
      <c r="A251">
        <f>IFERROR(INDEX('Email Cleaner'!$B$2:$B$10001,MATCH(250,'Email Cleaner'!$H$2:$H$10001,0)),"")</f>
        <v/>
      </c>
    </row>
    <row r="252">
      <c r="A252">
        <f>IFERROR(INDEX('Email Cleaner'!$B$2:$B$10001,MATCH(251,'Email Cleaner'!$H$2:$H$10001,0)),"")</f>
        <v/>
      </c>
    </row>
    <row r="253">
      <c r="A253">
        <f>IFERROR(INDEX('Email Cleaner'!$B$2:$B$10001,MATCH(252,'Email Cleaner'!$H$2:$H$10001,0)),"")</f>
        <v/>
      </c>
    </row>
    <row r="254">
      <c r="A254">
        <f>IFERROR(INDEX('Email Cleaner'!$B$2:$B$10001,MATCH(253,'Email Cleaner'!$H$2:$H$10001,0)),"")</f>
        <v/>
      </c>
    </row>
    <row r="255">
      <c r="A255">
        <f>IFERROR(INDEX('Email Cleaner'!$B$2:$B$10001,MATCH(254,'Email Cleaner'!$H$2:$H$10001,0)),"")</f>
        <v/>
      </c>
    </row>
    <row r="256">
      <c r="A256">
        <f>IFERROR(INDEX('Email Cleaner'!$B$2:$B$10001,MATCH(255,'Email Cleaner'!$H$2:$H$10001,0)),"")</f>
        <v/>
      </c>
    </row>
    <row r="257">
      <c r="A257">
        <f>IFERROR(INDEX('Email Cleaner'!$B$2:$B$10001,MATCH(256,'Email Cleaner'!$H$2:$H$10001,0)),"")</f>
        <v/>
      </c>
    </row>
    <row r="258">
      <c r="A258">
        <f>IFERROR(INDEX('Email Cleaner'!$B$2:$B$10001,MATCH(257,'Email Cleaner'!$H$2:$H$10001,0)),"")</f>
        <v/>
      </c>
    </row>
    <row r="259">
      <c r="A259">
        <f>IFERROR(INDEX('Email Cleaner'!$B$2:$B$10001,MATCH(258,'Email Cleaner'!$H$2:$H$10001,0)),"")</f>
        <v/>
      </c>
    </row>
    <row r="260">
      <c r="A260">
        <f>IFERROR(INDEX('Email Cleaner'!$B$2:$B$10001,MATCH(259,'Email Cleaner'!$H$2:$H$10001,0)),"")</f>
        <v/>
      </c>
    </row>
    <row r="261">
      <c r="A261">
        <f>IFERROR(INDEX('Email Cleaner'!$B$2:$B$10001,MATCH(260,'Email Cleaner'!$H$2:$H$10001,0)),"")</f>
        <v/>
      </c>
    </row>
    <row r="262">
      <c r="A262">
        <f>IFERROR(INDEX('Email Cleaner'!$B$2:$B$10001,MATCH(261,'Email Cleaner'!$H$2:$H$10001,0)),"")</f>
        <v/>
      </c>
    </row>
    <row r="263">
      <c r="A263">
        <f>IFERROR(INDEX('Email Cleaner'!$B$2:$B$10001,MATCH(262,'Email Cleaner'!$H$2:$H$10001,0)),"")</f>
        <v/>
      </c>
    </row>
    <row r="264">
      <c r="A264">
        <f>IFERROR(INDEX('Email Cleaner'!$B$2:$B$10001,MATCH(263,'Email Cleaner'!$H$2:$H$10001,0)),"")</f>
        <v/>
      </c>
    </row>
    <row r="265">
      <c r="A265">
        <f>IFERROR(INDEX('Email Cleaner'!$B$2:$B$10001,MATCH(264,'Email Cleaner'!$H$2:$H$10001,0)),"")</f>
        <v/>
      </c>
    </row>
    <row r="266">
      <c r="A266">
        <f>IFERROR(INDEX('Email Cleaner'!$B$2:$B$10001,MATCH(265,'Email Cleaner'!$H$2:$H$10001,0)),"")</f>
        <v/>
      </c>
    </row>
    <row r="267">
      <c r="A267">
        <f>IFERROR(INDEX('Email Cleaner'!$B$2:$B$10001,MATCH(266,'Email Cleaner'!$H$2:$H$10001,0)),"")</f>
        <v/>
      </c>
    </row>
    <row r="268">
      <c r="A268">
        <f>IFERROR(INDEX('Email Cleaner'!$B$2:$B$10001,MATCH(267,'Email Cleaner'!$H$2:$H$10001,0)),"")</f>
        <v/>
      </c>
    </row>
    <row r="269">
      <c r="A269">
        <f>IFERROR(INDEX('Email Cleaner'!$B$2:$B$10001,MATCH(268,'Email Cleaner'!$H$2:$H$10001,0)),"")</f>
        <v/>
      </c>
    </row>
    <row r="270">
      <c r="A270">
        <f>IFERROR(INDEX('Email Cleaner'!$B$2:$B$10001,MATCH(269,'Email Cleaner'!$H$2:$H$10001,0)),"")</f>
        <v/>
      </c>
    </row>
    <row r="271">
      <c r="A271">
        <f>IFERROR(INDEX('Email Cleaner'!$B$2:$B$10001,MATCH(270,'Email Cleaner'!$H$2:$H$10001,0)),"")</f>
        <v/>
      </c>
    </row>
    <row r="272">
      <c r="A272">
        <f>IFERROR(INDEX('Email Cleaner'!$B$2:$B$10001,MATCH(271,'Email Cleaner'!$H$2:$H$10001,0)),"")</f>
        <v/>
      </c>
    </row>
    <row r="273">
      <c r="A273">
        <f>IFERROR(INDEX('Email Cleaner'!$B$2:$B$10001,MATCH(272,'Email Cleaner'!$H$2:$H$10001,0)),"")</f>
        <v/>
      </c>
    </row>
    <row r="274">
      <c r="A274">
        <f>IFERROR(INDEX('Email Cleaner'!$B$2:$B$10001,MATCH(273,'Email Cleaner'!$H$2:$H$10001,0)),"")</f>
        <v/>
      </c>
    </row>
    <row r="275">
      <c r="A275">
        <f>IFERROR(INDEX('Email Cleaner'!$B$2:$B$10001,MATCH(274,'Email Cleaner'!$H$2:$H$10001,0)),"")</f>
        <v/>
      </c>
    </row>
    <row r="276">
      <c r="A276">
        <f>IFERROR(INDEX('Email Cleaner'!$B$2:$B$10001,MATCH(275,'Email Cleaner'!$H$2:$H$10001,0)),"")</f>
        <v/>
      </c>
    </row>
    <row r="277">
      <c r="A277">
        <f>IFERROR(INDEX('Email Cleaner'!$B$2:$B$10001,MATCH(276,'Email Cleaner'!$H$2:$H$10001,0)),"")</f>
        <v/>
      </c>
    </row>
    <row r="278">
      <c r="A278">
        <f>IFERROR(INDEX('Email Cleaner'!$B$2:$B$10001,MATCH(277,'Email Cleaner'!$H$2:$H$10001,0)),"")</f>
        <v/>
      </c>
    </row>
    <row r="279">
      <c r="A279">
        <f>IFERROR(INDEX('Email Cleaner'!$B$2:$B$10001,MATCH(278,'Email Cleaner'!$H$2:$H$10001,0)),"")</f>
        <v/>
      </c>
    </row>
    <row r="280">
      <c r="A280">
        <f>IFERROR(INDEX('Email Cleaner'!$B$2:$B$10001,MATCH(279,'Email Cleaner'!$H$2:$H$10001,0)),"")</f>
        <v/>
      </c>
    </row>
    <row r="281">
      <c r="A281">
        <f>IFERROR(INDEX('Email Cleaner'!$B$2:$B$10001,MATCH(280,'Email Cleaner'!$H$2:$H$10001,0)),"")</f>
        <v/>
      </c>
    </row>
    <row r="282">
      <c r="A282">
        <f>IFERROR(INDEX('Email Cleaner'!$B$2:$B$10001,MATCH(281,'Email Cleaner'!$H$2:$H$10001,0)),"")</f>
        <v/>
      </c>
    </row>
    <row r="283">
      <c r="A283">
        <f>IFERROR(INDEX('Email Cleaner'!$B$2:$B$10001,MATCH(282,'Email Cleaner'!$H$2:$H$10001,0)),"")</f>
        <v/>
      </c>
    </row>
    <row r="284">
      <c r="A284">
        <f>IFERROR(INDEX('Email Cleaner'!$B$2:$B$10001,MATCH(283,'Email Cleaner'!$H$2:$H$10001,0)),"")</f>
        <v/>
      </c>
    </row>
    <row r="285">
      <c r="A285">
        <f>IFERROR(INDEX('Email Cleaner'!$B$2:$B$10001,MATCH(284,'Email Cleaner'!$H$2:$H$10001,0)),"")</f>
        <v/>
      </c>
    </row>
    <row r="286">
      <c r="A286">
        <f>IFERROR(INDEX('Email Cleaner'!$B$2:$B$10001,MATCH(285,'Email Cleaner'!$H$2:$H$10001,0)),"")</f>
        <v/>
      </c>
    </row>
    <row r="287">
      <c r="A287">
        <f>IFERROR(INDEX('Email Cleaner'!$B$2:$B$10001,MATCH(286,'Email Cleaner'!$H$2:$H$10001,0)),"")</f>
        <v/>
      </c>
    </row>
    <row r="288">
      <c r="A288">
        <f>IFERROR(INDEX('Email Cleaner'!$B$2:$B$10001,MATCH(287,'Email Cleaner'!$H$2:$H$10001,0)),"")</f>
        <v/>
      </c>
    </row>
    <row r="289">
      <c r="A289">
        <f>IFERROR(INDEX('Email Cleaner'!$B$2:$B$10001,MATCH(288,'Email Cleaner'!$H$2:$H$10001,0)),"")</f>
        <v/>
      </c>
    </row>
    <row r="290">
      <c r="A290">
        <f>IFERROR(INDEX('Email Cleaner'!$B$2:$B$10001,MATCH(289,'Email Cleaner'!$H$2:$H$10001,0)),"")</f>
        <v/>
      </c>
    </row>
    <row r="291">
      <c r="A291">
        <f>IFERROR(INDEX('Email Cleaner'!$B$2:$B$10001,MATCH(290,'Email Cleaner'!$H$2:$H$10001,0)),"")</f>
        <v/>
      </c>
    </row>
    <row r="292">
      <c r="A292">
        <f>IFERROR(INDEX('Email Cleaner'!$B$2:$B$10001,MATCH(291,'Email Cleaner'!$H$2:$H$10001,0)),"")</f>
        <v/>
      </c>
    </row>
    <row r="293">
      <c r="A293">
        <f>IFERROR(INDEX('Email Cleaner'!$B$2:$B$10001,MATCH(292,'Email Cleaner'!$H$2:$H$10001,0)),"")</f>
        <v/>
      </c>
    </row>
    <row r="294">
      <c r="A294">
        <f>IFERROR(INDEX('Email Cleaner'!$B$2:$B$10001,MATCH(293,'Email Cleaner'!$H$2:$H$10001,0)),"")</f>
        <v/>
      </c>
    </row>
    <row r="295">
      <c r="A295">
        <f>IFERROR(INDEX('Email Cleaner'!$B$2:$B$10001,MATCH(294,'Email Cleaner'!$H$2:$H$10001,0)),"")</f>
        <v/>
      </c>
    </row>
    <row r="296">
      <c r="A296">
        <f>IFERROR(INDEX('Email Cleaner'!$B$2:$B$10001,MATCH(295,'Email Cleaner'!$H$2:$H$10001,0)),"")</f>
        <v/>
      </c>
    </row>
    <row r="297">
      <c r="A297">
        <f>IFERROR(INDEX('Email Cleaner'!$B$2:$B$10001,MATCH(296,'Email Cleaner'!$H$2:$H$10001,0)),"")</f>
        <v/>
      </c>
    </row>
    <row r="298">
      <c r="A298">
        <f>IFERROR(INDEX('Email Cleaner'!$B$2:$B$10001,MATCH(297,'Email Cleaner'!$H$2:$H$10001,0)),"")</f>
        <v/>
      </c>
    </row>
    <row r="299">
      <c r="A299">
        <f>IFERROR(INDEX('Email Cleaner'!$B$2:$B$10001,MATCH(298,'Email Cleaner'!$H$2:$H$10001,0)),"")</f>
        <v/>
      </c>
    </row>
    <row r="300">
      <c r="A300">
        <f>IFERROR(INDEX('Email Cleaner'!$B$2:$B$10001,MATCH(299,'Email Cleaner'!$H$2:$H$10001,0)),"")</f>
        <v/>
      </c>
    </row>
    <row r="301">
      <c r="A301">
        <f>IFERROR(INDEX('Email Cleaner'!$B$2:$B$10001,MATCH(300,'Email Cleaner'!$H$2:$H$10001,0)),"")</f>
        <v/>
      </c>
    </row>
    <row r="302">
      <c r="A302">
        <f>IFERROR(INDEX('Email Cleaner'!$B$2:$B$10001,MATCH(301,'Email Cleaner'!$H$2:$H$10001,0)),"")</f>
        <v/>
      </c>
    </row>
    <row r="303">
      <c r="A303">
        <f>IFERROR(INDEX('Email Cleaner'!$B$2:$B$10001,MATCH(302,'Email Cleaner'!$H$2:$H$10001,0)),"")</f>
        <v/>
      </c>
    </row>
    <row r="304">
      <c r="A304">
        <f>IFERROR(INDEX('Email Cleaner'!$B$2:$B$10001,MATCH(303,'Email Cleaner'!$H$2:$H$10001,0)),"")</f>
        <v/>
      </c>
    </row>
    <row r="305">
      <c r="A305">
        <f>IFERROR(INDEX('Email Cleaner'!$B$2:$B$10001,MATCH(304,'Email Cleaner'!$H$2:$H$10001,0)),"")</f>
        <v/>
      </c>
    </row>
    <row r="306">
      <c r="A306">
        <f>IFERROR(INDEX('Email Cleaner'!$B$2:$B$10001,MATCH(305,'Email Cleaner'!$H$2:$H$10001,0)),"")</f>
        <v/>
      </c>
    </row>
    <row r="307">
      <c r="A307">
        <f>IFERROR(INDEX('Email Cleaner'!$B$2:$B$10001,MATCH(306,'Email Cleaner'!$H$2:$H$10001,0)),"")</f>
        <v/>
      </c>
    </row>
    <row r="308">
      <c r="A308">
        <f>IFERROR(INDEX('Email Cleaner'!$B$2:$B$10001,MATCH(307,'Email Cleaner'!$H$2:$H$10001,0)),"")</f>
        <v/>
      </c>
    </row>
    <row r="309">
      <c r="A309">
        <f>IFERROR(INDEX('Email Cleaner'!$B$2:$B$10001,MATCH(308,'Email Cleaner'!$H$2:$H$10001,0)),"")</f>
        <v/>
      </c>
    </row>
    <row r="310">
      <c r="A310">
        <f>IFERROR(INDEX('Email Cleaner'!$B$2:$B$10001,MATCH(309,'Email Cleaner'!$H$2:$H$10001,0)),"")</f>
        <v/>
      </c>
    </row>
    <row r="311">
      <c r="A311">
        <f>IFERROR(INDEX('Email Cleaner'!$B$2:$B$10001,MATCH(310,'Email Cleaner'!$H$2:$H$10001,0)),"")</f>
        <v/>
      </c>
    </row>
    <row r="312">
      <c r="A312">
        <f>IFERROR(INDEX('Email Cleaner'!$B$2:$B$10001,MATCH(311,'Email Cleaner'!$H$2:$H$10001,0)),"")</f>
        <v/>
      </c>
    </row>
    <row r="313">
      <c r="A313">
        <f>IFERROR(INDEX('Email Cleaner'!$B$2:$B$10001,MATCH(312,'Email Cleaner'!$H$2:$H$10001,0)),"")</f>
        <v/>
      </c>
    </row>
    <row r="314">
      <c r="A314">
        <f>IFERROR(INDEX('Email Cleaner'!$B$2:$B$10001,MATCH(313,'Email Cleaner'!$H$2:$H$10001,0)),"")</f>
        <v/>
      </c>
    </row>
    <row r="315">
      <c r="A315">
        <f>IFERROR(INDEX('Email Cleaner'!$B$2:$B$10001,MATCH(314,'Email Cleaner'!$H$2:$H$10001,0)),"")</f>
        <v/>
      </c>
    </row>
    <row r="316">
      <c r="A316">
        <f>IFERROR(INDEX('Email Cleaner'!$B$2:$B$10001,MATCH(315,'Email Cleaner'!$H$2:$H$10001,0)),"")</f>
        <v/>
      </c>
    </row>
    <row r="317">
      <c r="A317">
        <f>IFERROR(INDEX('Email Cleaner'!$B$2:$B$10001,MATCH(316,'Email Cleaner'!$H$2:$H$10001,0)),"")</f>
        <v/>
      </c>
    </row>
    <row r="318">
      <c r="A318">
        <f>IFERROR(INDEX('Email Cleaner'!$B$2:$B$10001,MATCH(317,'Email Cleaner'!$H$2:$H$10001,0)),"")</f>
        <v/>
      </c>
    </row>
    <row r="319">
      <c r="A319">
        <f>IFERROR(INDEX('Email Cleaner'!$B$2:$B$10001,MATCH(318,'Email Cleaner'!$H$2:$H$10001,0)),"")</f>
        <v/>
      </c>
    </row>
    <row r="320">
      <c r="A320">
        <f>IFERROR(INDEX('Email Cleaner'!$B$2:$B$10001,MATCH(319,'Email Cleaner'!$H$2:$H$10001,0)),"")</f>
        <v/>
      </c>
    </row>
    <row r="321">
      <c r="A321">
        <f>IFERROR(INDEX('Email Cleaner'!$B$2:$B$10001,MATCH(320,'Email Cleaner'!$H$2:$H$10001,0)),"")</f>
        <v/>
      </c>
    </row>
    <row r="322">
      <c r="A322">
        <f>IFERROR(INDEX('Email Cleaner'!$B$2:$B$10001,MATCH(321,'Email Cleaner'!$H$2:$H$10001,0)),"")</f>
        <v/>
      </c>
    </row>
    <row r="323">
      <c r="A323">
        <f>IFERROR(INDEX('Email Cleaner'!$B$2:$B$10001,MATCH(322,'Email Cleaner'!$H$2:$H$10001,0)),"")</f>
        <v/>
      </c>
    </row>
    <row r="324">
      <c r="A324">
        <f>IFERROR(INDEX('Email Cleaner'!$B$2:$B$10001,MATCH(323,'Email Cleaner'!$H$2:$H$10001,0)),"")</f>
        <v/>
      </c>
    </row>
    <row r="325">
      <c r="A325">
        <f>IFERROR(INDEX('Email Cleaner'!$B$2:$B$10001,MATCH(324,'Email Cleaner'!$H$2:$H$10001,0)),"")</f>
        <v/>
      </c>
    </row>
    <row r="326">
      <c r="A326">
        <f>IFERROR(INDEX('Email Cleaner'!$B$2:$B$10001,MATCH(325,'Email Cleaner'!$H$2:$H$10001,0)),"")</f>
        <v/>
      </c>
    </row>
    <row r="327">
      <c r="A327">
        <f>IFERROR(INDEX('Email Cleaner'!$B$2:$B$10001,MATCH(326,'Email Cleaner'!$H$2:$H$10001,0)),"")</f>
        <v/>
      </c>
    </row>
    <row r="328">
      <c r="A328">
        <f>IFERROR(INDEX('Email Cleaner'!$B$2:$B$10001,MATCH(327,'Email Cleaner'!$H$2:$H$10001,0)),"")</f>
        <v/>
      </c>
    </row>
    <row r="329">
      <c r="A329">
        <f>IFERROR(INDEX('Email Cleaner'!$B$2:$B$10001,MATCH(328,'Email Cleaner'!$H$2:$H$10001,0)),"")</f>
        <v/>
      </c>
    </row>
    <row r="330">
      <c r="A330">
        <f>IFERROR(INDEX('Email Cleaner'!$B$2:$B$10001,MATCH(329,'Email Cleaner'!$H$2:$H$10001,0)),"")</f>
        <v/>
      </c>
    </row>
    <row r="331">
      <c r="A331">
        <f>IFERROR(INDEX('Email Cleaner'!$B$2:$B$10001,MATCH(330,'Email Cleaner'!$H$2:$H$10001,0)),"")</f>
        <v/>
      </c>
    </row>
    <row r="332">
      <c r="A332">
        <f>IFERROR(INDEX('Email Cleaner'!$B$2:$B$10001,MATCH(331,'Email Cleaner'!$H$2:$H$10001,0)),"")</f>
        <v/>
      </c>
    </row>
    <row r="333">
      <c r="A333">
        <f>IFERROR(INDEX('Email Cleaner'!$B$2:$B$10001,MATCH(332,'Email Cleaner'!$H$2:$H$10001,0)),"")</f>
        <v/>
      </c>
    </row>
    <row r="334">
      <c r="A334">
        <f>IFERROR(INDEX('Email Cleaner'!$B$2:$B$10001,MATCH(333,'Email Cleaner'!$H$2:$H$10001,0)),"")</f>
        <v/>
      </c>
    </row>
    <row r="335">
      <c r="A335">
        <f>IFERROR(INDEX('Email Cleaner'!$B$2:$B$10001,MATCH(334,'Email Cleaner'!$H$2:$H$10001,0)),"")</f>
        <v/>
      </c>
    </row>
    <row r="336">
      <c r="A336">
        <f>IFERROR(INDEX('Email Cleaner'!$B$2:$B$10001,MATCH(335,'Email Cleaner'!$H$2:$H$10001,0)),"")</f>
        <v/>
      </c>
    </row>
    <row r="337">
      <c r="A337">
        <f>IFERROR(INDEX('Email Cleaner'!$B$2:$B$10001,MATCH(336,'Email Cleaner'!$H$2:$H$10001,0)),"")</f>
        <v/>
      </c>
    </row>
    <row r="338">
      <c r="A338">
        <f>IFERROR(INDEX('Email Cleaner'!$B$2:$B$10001,MATCH(337,'Email Cleaner'!$H$2:$H$10001,0)),"")</f>
        <v/>
      </c>
    </row>
    <row r="339">
      <c r="A339">
        <f>IFERROR(INDEX('Email Cleaner'!$B$2:$B$10001,MATCH(338,'Email Cleaner'!$H$2:$H$10001,0)),"")</f>
        <v/>
      </c>
    </row>
    <row r="340">
      <c r="A340">
        <f>IFERROR(INDEX('Email Cleaner'!$B$2:$B$10001,MATCH(339,'Email Cleaner'!$H$2:$H$10001,0)),"")</f>
        <v/>
      </c>
    </row>
    <row r="341">
      <c r="A341">
        <f>IFERROR(INDEX('Email Cleaner'!$B$2:$B$10001,MATCH(340,'Email Cleaner'!$H$2:$H$10001,0)),"")</f>
        <v/>
      </c>
    </row>
    <row r="342">
      <c r="A342">
        <f>IFERROR(INDEX('Email Cleaner'!$B$2:$B$10001,MATCH(341,'Email Cleaner'!$H$2:$H$10001,0)),"")</f>
        <v/>
      </c>
    </row>
    <row r="343">
      <c r="A343">
        <f>IFERROR(INDEX('Email Cleaner'!$B$2:$B$10001,MATCH(342,'Email Cleaner'!$H$2:$H$10001,0)),"")</f>
        <v/>
      </c>
    </row>
    <row r="344">
      <c r="A344">
        <f>IFERROR(INDEX('Email Cleaner'!$B$2:$B$10001,MATCH(343,'Email Cleaner'!$H$2:$H$10001,0)),"")</f>
        <v/>
      </c>
    </row>
    <row r="345">
      <c r="A345">
        <f>IFERROR(INDEX('Email Cleaner'!$B$2:$B$10001,MATCH(344,'Email Cleaner'!$H$2:$H$10001,0)),"")</f>
        <v/>
      </c>
    </row>
    <row r="346">
      <c r="A346">
        <f>IFERROR(INDEX('Email Cleaner'!$B$2:$B$10001,MATCH(345,'Email Cleaner'!$H$2:$H$10001,0)),"")</f>
        <v/>
      </c>
    </row>
    <row r="347">
      <c r="A347">
        <f>IFERROR(INDEX('Email Cleaner'!$B$2:$B$10001,MATCH(346,'Email Cleaner'!$H$2:$H$10001,0)),"")</f>
        <v/>
      </c>
    </row>
    <row r="348">
      <c r="A348">
        <f>IFERROR(INDEX('Email Cleaner'!$B$2:$B$10001,MATCH(347,'Email Cleaner'!$H$2:$H$10001,0)),"")</f>
        <v/>
      </c>
    </row>
    <row r="349">
      <c r="A349">
        <f>IFERROR(INDEX('Email Cleaner'!$B$2:$B$10001,MATCH(348,'Email Cleaner'!$H$2:$H$10001,0)),"")</f>
        <v/>
      </c>
    </row>
    <row r="350">
      <c r="A350">
        <f>IFERROR(INDEX('Email Cleaner'!$B$2:$B$10001,MATCH(349,'Email Cleaner'!$H$2:$H$10001,0)),"")</f>
        <v/>
      </c>
    </row>
    <row r="351">
      <c r="A351">
        <f>IFERROR(INDEX('Email Cleaner'!$B$2:$B$10001,MATCH(350,'Email Cleaner'!$H$2:$H$10001,0)),"")</f>
        <v/>
      </c>
    </row>
    <row r="352">
      <c r="A352">
        <f>IFERROR(INDEX('Email Cleaner'!$B$2:$B$10001,MATCH(351,'Email Cleaner'!$H$2:$H$10001,0)),"")</f>
        <v/>
      </c>
    </row>
    <row r="353">
      <c r="A353">
        <f>IFERROR(INDEX('Email Cleaner'!$B$2:$B$10001,MATCH(352,'Email Cleaner'!$H$2:$H$10001,0)),"")</f>
        <v/>
      </c>
    </row>
    <row r="354">
      <c r="A354">
        <f>IFERROR(INDEX('Email Cleaner'!$B$2:$B$10001,MATCH(353,'Email Cleaner'!$H$2:$H$10001,0)),"")</f>
        <v/>
      </c>
    </row>
    <row r="355">
      <c r="A355">
        <f>IFERROR(INDEX('Email Cleaner'!$B$2:$B$10001,MATCH(354,'Email Cleaner'!$H$2:$H$10001,0)),"")</f>
        <v/>
      </c>
    </row>
    <row r="356">
      <c r="A356">
        <f>IFERROR(INDEX('Email Cleaner'!$B$2:$B$10001,MATCH(355,'Email Cleaner'!$H$2:$H$10001,0)),"")</f>
        <v/>
      </c>
    </row>
    <row r="357">
      <c r="A357">
        <f>IFERROR(INDEX('Email Cleaner'!$B$2:$B$10001,MATCH(356,'Email Cleaner'!$H$2:$H$10001,0)),"")</f>
        <v/>
      </c>
    </row>
    <row r="358">
      <c r="A358">
        <f>IFERROR(INDEX('Email Cleaner'!$B$2:$B$10001,MATCH(357,'Email Cleaner'!$H$2:$H$10001,0)),"")</f>
        <v/>
      </c>
    </row>
    <row r="359">
      <c r="A359">
        <f>IFERROR(INDEX('Email Cleaner'!$B$2:$B$10001,MATCH(358,'Email Cleaner'!$H$2:$H$10001,0)),"")</f>
        <v/>
      </c>
    </row>
    <row r="360">
      <c r="A360">
        <f>IFERROR(INDEX('Email Cleaner'!$B$2:$B$10001,MATCH(359,'Email Cleaner'!$H$2:$H$10001,0)),"")</f>
        <v/>
      </c>
    </row>
    <row r="361">
      <c r="A361">
        <f>IFERROR(INDEX('Email Cleaner'!$B$2:$B$10001,MATCH(360,'Email Cleaner'!$H$2:$H$10001,0)),"")</f>
        <v/>
      </c>
    </row>
    <row r="362">
      <c r="A362">
        <f>IFERROR(INDEX('Email Cleaner'!$B$2:$B$10001,MATCH(361,'Email Cleaner'!$H$2:$H$10001,0)),"")</f>
        <v/>
      </c>
    </row>
    <row r="363">
      <c r="A363">
        <f>IFERROR(INDEX('Email Cleaner'!$B$2:$B$10001,MATCH(362,'Email Cleaner'!$H$2:$H$10001,0)),"")</f>
        <v/>
      </c>
    </row>
    <row r="364">
      <c r="A364">
        <f>IFERROR(INDEX('Email Cleaner'!$B$2:$B$10001,MATCH(363,'Email Cleaner'!$H$2:$H$10001,0)),"")</f>
        <v/>
      </c>
    </row>
    <row r="365">
      <c r="A365">
        <f>IFERROR(INDEX('Email Cleaner'!$B$2:$B$10001,MATCH(364,'Email Cleaner'!$H$2:$H$10001,0)),"")</f>
        <v/>
      </c>
    </row>
    <row r="366">
      <c r="A366">
        <f>IFERROR(INDEX('Email Cleaner'!$B$2:$B$10001,MATCH(365,'Email Cleaner'!$H$2:$H$10001,0)),"")</f>
        <v/>
      </c>
    </row>
    <row r="367">
      <c r="A367">
        <f>IFERROR(INDEX('Email Cleaner'!$B$2:$B$10001,MATCH(366,'Email Cleaner'!$H$2:$H$10001,0)),"")</f>
        <v/>
      </c>
    </row>
    <row r="368">
      <c r="A368">
        <f>IFERROR(INDEX('Email Cleaner'!$B$2:$B$10001,MATCH(367,'Email Cleaner'!$H$2:$H$10001,0)),"")</f>
        <v/>
      </c>
    </row>
    <row r="369">
      <c r="A369">
        <f>IFERROR(INDEX('Email Cleaner'!$B$2:$B$10001,MATCH(368,'Email Cleaner'!$H$2:$H$10001,0)),"")</f>
        <v/>
      </c>
    </row>
    <row r="370">
      <c r="A370">
        <f>IFERROR(INDEX('Email Cleaner'!$B$2:$B$10001,MATCH(369,'Email Cleaner'!$H$2:$H$10001,0)),"")</f>
        <v/>
      </c>
    </row>
    <row r="371">
      <c r="A371">
        <f>IFERROR(INDEX('Email Cleaner'!$B$2:$B$10001,MATCH(370,'Email Cleaner'!$H$2:$H$10001,0)),"")</f>
        <v/>
      </c>
    </row>
    <row r="372">
      <c r="A372">
        <f>IFERROR(INDEX('Email Cleaner'!$B$2:$B$10001,MATCH(371,'Email Cleaner'!$H$2:$H$10001,0)),"")</f>
        <v/>
      </c>
    </row>
    <row r="373">
      <c r="A373">
        <f>IFERROR(INDEX('Email Cleaner'!$B$2:$B$10001,MATCH(372,'Email Cleaner'!$H$2:$H$10001,0)),"")</f>
        <v/>
      </c>
    </row>
    <row r="374">
      <c r="A374">
        <f>IFERROR(INDEX('Email Cleaner'!$B$2:$B$10001,MATCH(373,'Email Cleaner'!$H$2:$H$10001,0)),"")</f>
        <v/>
      </c>
    </row>
    <row r="375">
      <c r="A375">
        <f>IFERROR(INDEX('Email Cleaner'!$B$2:$B$10001,MATCH(374,'Email Cleaner'!$H$2:$H$10001,0)),"")</f>
        <v/>
      </c>
    </row>
    <row r="376">
      <c r="A376">
        <f>IFERROR(INDEX('Email Cleaner'!$B$2:$B$10001,MATCH(375,'Email Cleaner'!$H$2:$H$10001,0)),"")</f>
        <v/>
      </c>
    </row>
    <row r="377">
      <c r="A377">
        <f>IFERROR(INDEX('Email Cleaner'!$B$2:$B$10001,MATCH(376,'Email Cleaner'!$H$2:$H$10001,0)),"")</f>
        <v/>
      </c>
    </row>
    <row r="378">
      <c r="A378">
        <f>IFERROR(INDEX('Email Cleaner'!$B$2:$B$10001,MATCH(377,'Email Cleaner'!$H$2:$H$10001,0)),"")</f>
        <v/>
      </c>
    </row>
    <row r="379">
      <c r="A379">
        <f>IFERROR(INDEX('Email Cleaner'!$B$2:$B$10001,MATCH(378,'Email Cleaner'!$H$2:$H$10001,0)),"")</f>
        <v/>
      </c>
    </row>
    <row r="380">
      <c r="A380">
        <f>IFERROR(INDEX('Email Cleaner'!$B$2:$B$10001,MATCH(379,'Email Cleaner'!$H$2:$H$10001,0)),"")</f>
        <v/>
      </c>
    </row>
    <row r="381">
      <c r="A381">
        <f>IFERROR(INDEX('Email Cleaner'!$B$2:$B$10001,MATCH(380,'Email Cleaner'!$H$2:$H$10001,0)),"")</f>
        <v/>
      </c>
    </row>
    <row r="382">
      <c r="A382">
        <f>IFERROR(INDEX('Email Cleaner'!$B$2:$B$10001,MATCH(381,'Email Cleaner'!$H$2:$H$10001,0)),"")</f>
        <v/>
      </c>
    </row>
    <row r="383">
      <c r="A383">
        <f>IFERROR(INDEX('Email Cleaner'!$B$2:$B$10001,MATCH(382,'Email Cleaner'!$H$2:$H$10001,0)),"")</f>
        <v/>
      </c>
    </row>
    <row r="384">
      <c r="A384">
        <f>IFERROR(INDEX('Email Cleaner'!$B$2:$B$10001,MATCH(383,'Email Cleaner'!$H$2:$H$10001,0)),"")</f>
        <v/>
      </c>
    </row>
    <row r="385">
      <c r="A385">
        <f>IFERROR(INDEX('Email Cleaner'!$B$2:$B$10001,MATCH(384,'Email Cleaner'!$H$2:$H$10001,0)),"")</f>
        <v/>
      </c>
    </row>
    <row r="386">
      <c r="A386">
        <f>IFERROR(INDEX('Email Cleaner'!$B$2:$B$10001,MATCH(385,'Email Cleaner'!$H$2:$H$10001,0)),"")</f>
        <v/>
      </c>
    </row>
    <row r="387">
      <c r="A387">
        <f>IFERROR(INDEX('Email Cleaner'!$B$2:$B$10001,MATCH(386,'Email Cleaner'!$H$2:$H$10001,0)),"")</f>
        <v/>
      </c>
    </row>
    <row r="388">
      <c r="A388">
        <f>IFERROR(INDEX('Email Cleaner'!$B$2:$B$10001,MATCH(387,'Email Cleaner'!$H$2:$H$10001,0)),"")</f>
        <v/>
      </c>
    </row>
    <row r="389">
      <c r="A389">
        <f>IFERROR(INDEX('Email Cleaner'!$B$2:$B$10001,MATCH(388,'Email Cleaner'!$H$2:$H$10001,0)),"")</f>
        <v/>
      </c>
    </row>
    <row r="390">
      <c r="A390">
        <f>IFERROR(INDEX('Email Cleaner'!$B$2:$B$10001,MATCH(389,'Email Cleaner'!$H$2:$H$10001,0)),"")</f>
        <v/>
      </c>
    </row>
    <row r="391">
      <c r="A391">
        <f>IFERROR(INDEX('Email Cleaner'!$B$2:$B$10001,MATCH(390,'Email Cleaner'!$H$2:$H$10001,0)),"")</f>
        <v/>
      </c>
    </row>
    <row r="392">
      <c r="A392">
        <f>IFERROR(INDEX('Email Cleaner'!$B$2:$B$10001,MATCH(391,'Email Cleaner'!$H$2:$H$10001,0)),"")</f>
        <v/>
      </c>
    </row>
    <row r="393">
      <c r="A393">
        <f>IFERROR(INDEX('Email Cleaner'!$B$2:$B$10001,MATCH(392,'Email Cleaner'!$H$2:$H$10001,0)),"")</f>
        <v/>
      </c>
    </row>
    <row r="394">
      <c r="A394">
        <f>IFERROR(INDEX('Email Cleaner'!$B$2:$B$10001,MATCH(393,'Email Cleaner'!$H$2:$H$10001,0)),"")</f>
        <v/>
      </c>
    </row>
    <row r="395">
      <c r="A395">
        <f>IFERROR(INDEX('Email Cleaner'!$B$2:$B$10001,MATCH(394,'Email Cleaner'!$H$2:$H$10001,0)),"")</f>
        <v/>
      </c>
    </row>
    <row r="396">
      <c r="A396">
        <f>IFERROR(INDEX('Email Cleaner'!$B$2:$B$10001,MATCH(395,'Email Cleaner'!$H$2:$H$10001,0)),"")</f>
        <v/>
      </c>
    </row>
    <row r="397">
      <c r="A397">
        <f>IFERROR(INDEX('Email Cleaner'!$B$2:$B$10001,MATCH(396,'Email Cleaner'!$H$2:$H$10001,0)),"")</f>
        <v/>
      </c>
    </row>
    <row r="398">
      <c r="A398">
        <f>IFERROR(INDEX('Email Cleaner'!$B$2:$B$10001,MATCH(397,'Email Cleaner'!$H$2:$H$10001,0)),"")</f>
        <v/>
      </c>
    </row>
    <row r="399">
      <c r="A399">
        <f>IFERROR(INDEX('Email Cleaner'!$B$2:$B$10001,MATCH(398,'Email Cleaner'!$H$2:$H$10001,0)),"")</f>
        <v/>
      </c>
    </row>
    <row r="400">
      <c r="A400">
        <f>IFERROR(INDEX('Email Cleaner'!$B$2:$B$10001,MATCH(399,'Email Cleaner'!$H$2:$H$10001,0)),"")</f>
        <v/>
      </c>
    </row>
    <row r="401">
      <c r="A401">
        <f>IFERROR(INDEX('Email Cleaner'!$B$2:$B$10001,MATCH(400,'Email Cleaner'!$H$2:$H$10001,0)),"")</f>
        <v/>
      </c>
    </row>
    <row r="402">
      <c r="A402">
        <f>IFERROR(INDEX('Email Cleaner'!$B$2:$B$10001,MATCH(401,'Email Cleaner'!$H$2:$H$10001,0)),"")</f>
        <v/>
      </c>
    </row>
    <row r="403">
      <c r="A403">
        <f>IFERROR(INDEX('Email Cleaner'!$B$2:$B$10001,MATCH(402,'Email Cleaner'!$H$2:$H$10001,0)),"")</f>
        <v/>
      </c>
    </row>
    <row r="404">
      <c r="A404">
        <f>IFERROR(INDEX('Email Cleaner'!$B$2:$B$10001,MATCH(403,'Email Cleaner'!$H$2:$H$10001,0)),"")</f>
        <v/>
      </c>
    </row>
    <row r="405">
      <c r="A405">
        <f>IFERROR(INDEX('Email Cleaner'!$B$2:$B$10001,MATCH(404,'Email Cleaner'!$H$2:$H$10001,0)),"")</f>
        <v/>
      </c>
    </row>
    <row r="406">
      <c r="A406">
        <f>IFERROR(INDEX('Email Cleaner'!$B$2:$B$10001,MATCH(405,'Email Cleaner'!$H$2:$H$10001,0)),"")</f>
        <v/>
      </c>
    </row>
    <row r="407">
      <c r="A407">
        <f>IFERROR(INDEX('Email Cleaner'!$B$2:$B$10001,MATCH(406,'Email Cleaner'!$H$2:$H$10001,0)),"")</f>
        <v/>
      </c>
    </row>
    <row r="408">
      <c r="A408">
        <f>IFERROR(INDEX('Email Cleaner'!$B$2:$B$10001,MATCH(407,'Email Cleaner'!$H$2:$H$10001,0)),"")</f>
        <v/>
      </c>
    </row>
    <row r="409">
      <c r="A409">
        <f>IFERROR(INDEX('Email Cleaner'!$B$2:$B$10001,MATCH(408,'Email Cleaner'!$H$2:$H$10001,0)),"")</f>
        <v/>
      </c>
    </row>
    <row r="410">
      <c r="A410">
        <f>IFERROR(INDEX('Email Cleaner'!$B$2:$B$10001,MATCH(409,'Email Cleaner'!$H$2:$H$10001,0)),"")</f>
        <v/>
      </c>
    </row>
    <row r="411">
      <c r="A411">
        <f>IFERROR(INDEX('Email Cleaner'!$B$2:$B$10001,MATCH(410,'Email Cleaner'!$H$2:$H$10001,0)),"")</f>
        <v/>
      </c>
    </row>
    <row r="412">
      <c r="A412">
        <f>IFERROR(INDEX('Email Cleaner'!$B$2:$B$10001,MATCH(411,'Email Cleaner'!$H$2:$H$10001,0)),"")</f>
        <v/>
      </c>
    </row>
    <row r="413">
      <c r="A413">
        <f>IFERROR(INDEX('Email Cleaner'!$B$2:$B$10001,MATCH(412,'Email Cleaner'!$H$2:$H$10001,0)),"")</f>
        <v/>
      </c>
    </row>
    <row r="414">
      <c r="A414">
        <f>IFERROR(INDEX('Email Cleaner'!$B$2:$B$10001,MATCH(413,'Email Cleaner'!$H$2:$H$10001,0)),"")</f>
        <v/>
      </c>
    </row>
    <row r="415">
      <c r="A415">
        <f>IFERROR(INDEX('Email Cleaner'!$B$2:$B$10001,MATCH(414,'Email Cleaner'!$H$2:$H$10001,0)),"")</f>
        <v/>
      </c>
    </row>
    <row r="416">
      <c r="A416">
        <f>IFERROR(INDEX('Email Cleaner'!$B$2:$B$10001,MATCH(415,'Email Cleaner'!$H$2:$H$10001,0)),"")</f>
        <v/>
      </c>
    </row>
    <row r="417">
      <c r="A417">
        <f>IFERROR(INDEX('Email Cleaner'!$B$2:$B$10001,MATCH(416,'Email Cleaner'!$H$2:$H$10001,0)),"")</f>
        <v/>
      </c>
    </row>
    <row r="418">
      <c r="A418">
        <f>IFERROR(INDEX('Email Cleaner'!$B$2:$B$10001,MATCH(417,'Email Cleaner'!$H$2:$H$10001,0)),"")</f>
        <v/>
      </c>
    </row>
    <row r="419">
      <c r="A419">
        <f>IFERROR(INDEX('Email Cleaner'!$B$2:$B$10001,MATCH(418,'Email Cleaner'!$H$2:$H$10001,0)),"")</f>
        <v/>
      </c>
    </row>
    <row r="420">
      <c r="A420">
        <f>IFERROR(INDEX('Email Cleaner'!$B$2:$B$10001,MATCH(419,'Email Cleaner'!$H$2:$H$10001,0)),"")</f>
        <v/>
      </c>
    </row>
    <row r="421">
      <c r="A421">
        <f>IFERROR(INDEX('Email Cleaner'!$B$2:$B$10001,MATCH(420,'Email Cleaner'!$H$2:$H$10001,0)),"")</f>
        <v/>
      </c>
    </row>
    <row r="422">
      <c r="A422">
        <f>IFERROR(INDEX('Email Cleaner'!$B$2:$B$10001,MATCH(421,'Email Cleaner'!$H$2:$H$10001,0)),"")</f>
        <v/>
      </c>
    </row>
    <row r="423">
      <c r="A423">
        <f>IFERROR(INDEX('Email Cleaner'!$B$2:$B$10001,MATCH(422,'Email Cleaner'!$H$2:$H$10001,0)),"")</f>
        <v/>
      </c>
    </row>
    <row r="424">
      <c r="A424">
        <f>IFERROR(INDEX('Email Cleaner'!$B$2:$B$10001,MATCH(423,'Email Cleaner'!$H$2:$H$10001,0)),"")</f>
        <v/>
      </c>
    </row>
    <row r="425">
      <c r="A425">
        <f>IFERROR(INDEX('Email Cleaner'!$B$2:$B$10001,MATCH(424,'Email Cleaner'!$H$2:$H$10001,0)),"")</f>
        <v/>
      </c>
    </row>
    <row r="426">
      <c r="A426">
        <f>IFERROR(INDEX('Email Cleaner'!$B$2:$B$10001,MATCH(425,'Email Cleaner'!$H$2:$H$10001,0)),"")</f>
        <v/>
      </c>
    </row>
    <row r="427">
      <c r="A427">
        <f>IFERROR(INDEX('Email Cleaner'!$B$2:$B$10001,MATCH(426,'Email Cleaner'!$H$2:$H$10001,0)),"")</f>
        <v/>
      </c>
    </row>
    <row r="428">
      <c r="A428">
        <f>IFERROR(INDEX('Email Cleaner'!$B$2:$B$10001,MATCH(427,'Email Cleaner'!$H$2:$H$10001,0)),"")</f>
        <v/>
      </c>
    </row>
    <row r="429">
      <c r="A429">
        <f>IFERROR(INDEX('Email Cleaner'!$B$2:$B$10001,MATCH(428,'Email Cleaner'!$H$2:$H$10001,0)),"")</f>
        <v/>
      </c>
    </row>
    <row r="430">
      <c r="A430">
        <f>IFERROR(INDEX('Email Cleaner'!$B$2:$B$10001,MATCH(429,'Email Cleaner'!$H$2:$H$10001,0)),"")</f>
        <v/>
      </c>
    </row>
    <row r="431">
      <c r="A431">
        <f>IFERROR(INDEX('Email Cleaner'!$B$2:$B$10001,MATCH(430,'Email Cleaner'!$H$2:$H$10001,0)),"")</f>
        <v/>
      </c>
    </row>
    <row r="432">
      <c r="A432">
        <f>IFERROR(INDEX('Email Cleaner'!$B$2:$B$10001,MATCH(431,'Email Cleaner'!$H$2:$H$10001,0)),"")</f>
        <v/>
      </c>
    </row>
    <row r="433">
      <c r="A433">
        <f>IFERROR(INDEX('Email Cleaner'!$B$2:$B$10001,MATCH(432,'Email Cleaner'!$H$2:$H$10001,0)),"")</f>
        <v/>
      </c>
    </row>
    <row r="434">
      <c r="A434">
        <f>IFERROR(INDEX('Email Cleaner'!$B$2:$B$10001,MATCH(433,'Email Cleaner'!$H$2:$H$10001,0)),"")</f>
        <v/>
      </c>
    </row>
    <row r="435">
      <c r="A435">
        <f>IFERROR(INDEX('Email Cleaner'!$B$2:$B$10001,MATCH(434,'Email Cleaner'!$H$2:$H$10001,0)),"")</f>
        <v/>
      </c>
    </row>
    <row r="436">
      <c r="A436">
        <f>IFERROR(INDEX('Email Cleaner'!$B$2:$B$10001,MATCH(435,'Email Cleaner'!$H$2:$H$10001,0)),"")</f>
        <v/>
      </c>
    </row>
    <row r="437">
      <c r="A437">
        <f>IFERROR(INDEX('Email Cleaner'!$B$2:$B$10001,MATCH(436,'Email Cleaner'!$H$2:$H$10001,0)),"")</f>
        <v/>
      </c>
    </row>
    <row r="438">
      <c r="A438">
        <f>IFERROR(INDEX('Email Cleaner'!$B$2:$B$10001,MATCH(437,'Email Cleaner'!$H$2:$H$10001,0)),"")</f>
        <v/>
      </c>
    </row>
    <row r="439">
      <c r="A439">
        <f>IFERROR(INDEX('Email Cleaner'!$B$2:$B$10001,MATCH(438,'Email Cleaner'!$H$2:$H$10001,0)),"")</f>
        <v/>
      </c>
    </row>
    <row r="440">
      <c r="A440">
        <f>IFERROR(INDEX('Email Cleaner'!$B$2:$B$10001,MATCH(439,'Email Cleaner'!$H$2:$H$10001,0)),"")</f>
        <v/>
      </c>
    </row>
    <row r="441">
      <c r="A441">
        <f>IFERROR(INDEX('Email Cleaner'!$B$2:$B$10001,MATCH(440,'Email Cleaner'!$H$2:$H$10001,0)),"")</f>
        <v/>
      </c>
    </row>
    <row r="442">
      <c r="A442">
        <f>IFERROR(INDEX('Email Cleaner'!$B$2:$B$10001,MATCH(441,'Email Cleaner'!$H$2:$H$10001,0)),"")</f>
        <v/>
      </c>
    </row>
    <row r="443">
      <c r="A443">
        <f>IFERROR(INDEX('Email Cleaner'!$B$2:$B$10001,MATCH(442,'Email Cleaner'!$H$2:$H$10001,0)),"")</f>
        <v/>
      </c>
    </row>
    <row r="444">
      <c r="A444">
        <f>IFERROR(INDEX('Email Cleaner'!$B$2:$B$10001,MATCH(443,'Email Cleaner'!$H$2:$H$10001,0)),"")</f>
        <v/>
      </c>
    </row>
    <row r="445">
      <c r="A445">
        <f>IFERROR(INDEX('Email Cleaner'!$B$2:$B$10001,MATCH(444,'Email Cleaner'!$H$2:$H$10001,0)),"")</f>
        <v/>
      </c>
    </row>
    <row r="446">
      <c r="A446">
        <f>IFERROR(INDEX('Email Cleaner'!$B$2:$B$10001,MATCH(445,'Email Cleaner'!$H$2:$H$10001,0)),"")</f>
        <v/>
      </c>
    </row>
    <row r="447">
      <c r="A447">
        <f>IFERROR(INDEX('Email Cleaner'!$B$2:$B$10001,MATCH(446,'Email Cleaner'!$H$2:$H$10001,0)),"")</f>
        <v/>
      </c>
    </row>
    <row r="448">
      <c r="A448">
        <f>IFERROR(INDEX('Email Cleaner'!$B$2:$B$10001,MATCH(447,'Email Cleaner'!$H$2:$H$10001,0)),"")</f>
        <v/>
      </c>
    </row>
    <row r="449">
      <c r="A449">
        <f>IFERROR(INDEX('Email Cleaner'!$B$2:$B$10001,MATCH(448,'Email Cleaner'!$H$2:$H$10001,0)),"")</f>
        <v/>
      </c>
    </row>
    <row r="450">
      <c r="A450">
        <f>IFERROR(INDEX('Email Cleaner'!$B$2:$B$10001,MATCH(449,'Email Cleaner'!$H$2:$H$10001,0)),"")</f>
        <v/>
      </c>
    </row>
    <row r="451">
      <c r="A451">
        <f>IFERROR(INDEX('Email Cleaner'!$B$2:$B$10001,MATCH(450,'Email Cleaner'!$H$2:$H$10001,0)),"")</f>
        <v/>
      </c>
    </row>
    <row r="452">
      <c r="A452">
        <f>IFERROR(INDEX('Email Cleaner'!$B$2:$B$10001,MATCH(451,'Email Cleaner'!$H$2:$H$10001,0)),"")</f>
        <v/>
      </c>
    </row>
    <row r="453">
      <c r="A453">
        <f>IFERROR(INDEX('Email Cleaner'!$B$2:$B$10001,MATCH(452,'Email Cleaner'!$H$2:$H$10001,0)),"")</f>
        <v/>
      </c>
    </row>
    <row r="454">
      <c r="A454">
        <f>IFERROR(INDEX('Email Cleaner'!$B$2:$B$10001,MATCH(453,'Email Cleaner'!$H$2:$H$10001,0)),"")</f>
        <v/>
      </c>
    </row>
    <row r="455">
      <c r="A455">
        <f>IFERROR(INDEX('Email Cleaner'!$B$2:$B$10001,MATCH(454,'Email Cleaner'!$H$2:$H$10001,0)),"")</f>
        <v/>
      </c>
    </row>
    <row r="456">
      <c r="A456">
        <f>IFERROR(INDEX('Email Cleaner'!$B$2:$B$10001,MATCH(455,'Email Cleaner'!$H$2:$H$10001,0)),"")</f>
        <v/>
      </c>
    </row>
    <row r="457">
      <c r="A457">
        <f>IFERROR(INDEX('Email Cleaner'!$B$2:$B$10001,MATCH(456,'Email Cleaner'!$H$2:$H$10001,0)),"")</f>
        <v/>
      </c>
    </row>
    <row r="458">
      <c r="A458">
        <f>IFERROR(INDEX('Email Cleaner'!$B$2:$B$10001,MATCH(457,'Email Cleaner'!$H$2:$H$10001,0)),"")</f>
        <v/>
      </c>
    </row>
    <row r="459">
      <c r="A459">
        <f>IFERROR(INDEX('Email Cleaner'!$B$2:$B$10001,MATCH(458,'Email Cleaner'!$H$2:$H$10001,0)),"")</f>
        <v/>
      </c>
    </row>
    <row r="460">
      <c r="A460">
        <f>IFERROR(INDEX('Email Cleaner'!$B$2:$B$10001,MATCH(459,'Email Cleaner'!$H$2:$H$10001,0)),"")</f>
        <v/>
      </c>
    </row>
    <row r="461">
      <c r="A461">
        <f>IFERROR(INDEX('Email Cleaner'!$B$2:$B$10001,MATCH(460,'Email Cleaner'!$H$2:$H$10001,0)),"")</f>
        <v/>
      </c>
    </row>
    <row r="462">
      <c r="A462">
        <f>IFERROR(INDEX('Email Cleaner'!$B$2:$B$10001,MATCH(461,'Email Cleaner'!$H$2:$H$10001,0)),"")</f>
        <v/>
      </c>
    </row>
    <row r="463">
      <c r="A463">
        <f>IFERROR(INDEX('Email Cleaner'!$B$2:$B$10001,MATCH(462,'Email Cleaner'!$H$2:$H$10001,0)),"")</f>
        <v/>
      </c>
    </row>
    <row r="464">
      <c r="A464">
        <f>IFERROR(INDEX('Email Cleaner'!$B$2:$B$10001,MATCH(463,'Email Cleaner'!$H$2:$H$10001,0)),"")</f>
        <v/>
      </c>
    </row>
    <row r="465">
      <c r="A465">
        <f>IFERROR(INDEX('Email Cleaner'!$B$2:$B$10001,MATCH(464,'Email Cleaner'!$H$2:$H$10001,0)),"")</f>
        <v/>
      </c>
    </row>
    <row r="466">
      <c r="A466">
        <f>IFERROR(INDEX('Email Cleaner'!$B$2:$B$10001,MATCH(465,'Email Cleaner'!$H$2:$H$10001,0)),"")</f>
        <v/>
      </c>
    </row>
    <row r="467">
      <c r="A467">
        <f>IFERROR(INDEX('Email Cleaner'!$B$2:$B$10001,MATCH(466,'Email Cleaner'!$H$2:$H$10001,0)),"")</f>
        <v/>
      </c>
    </row>
    <row r="468">
      <c r="A468">
        <f>IFERROR(INDEX('Email Cleaner'!$B$2:$B$10001,MATCH(467,'Email Cleaner'!$H$2:$H$10001,0)),"")</f>
        <v/>
      </c>
    </row>
    <row r="469">
      <c r="A469">
        <f>IFERROR(INDEX('Email Cleaner'!$B$2:$B$10001,MATCH(468,'Email Cleaner'!$H$2:$H$10001,0)),"")</f>
        <v/>
      </c>
    </row>
    <row r="470">
      <c r="A470">
        <f>IFERROR(INDEX('Email Cleaner'!$B$2:$B$10001,MATCH(469,'Email Cleaner'!$H$2:$H$10001,0)),"")</f>
        <v/>
      </c>
    </row>
    <row r="471">
      <c r="A471">
        <f>IFERROR(INDEX('Email Cleaner'!$B$2:$B$10001,MATCH(470,'Email Cleaner'!$H$2:$H$10001,0)),"")</f>
        <v/>
      </c>
    </row>
    <row r="472">
      <c r="A472">
        <f>IFERROR(INDEX('Email Cleaner'!$B$2:$B$10001,MATCH(471,'Email Cleaner'!$H$2:$H$10001,0)),"")</f>
        <v/>
      </c>
    </row>
    <row r="473">
      <c r="A473">
        <f>IFERROR(INDEX('Email Cleaner'!$B$2:$B$10001,MATCH(472,'Email Cleaner'!$H$2:$H$10001,0)),"")</f>
        <v/>
      </c>
    </row>
    <row r="474">
      <c r="A474">
        <f>IFERROR(INDEX('Email Cleaner'!$B$2:$B$10001,MATCH(473,'Email Cleaner'!$H$2:$H$10001,0)),"")</f>
        <v/>
      </c>
    </row>
    <row r="475">
      <c r="A475">
        <f>IFERROR(INDEX('Email Cleaner'!$B$2:$B$10001,MATCH(474,'Email Cleaner'!$H$2:$H$10001,0)),"")</f>
        <v/>
      </c>
    </row>
    <row r="476">
      <c r="A476">
        <f>IFERROR(INDEX('Email Cleaner'!$B$2:$B$10001,MATCH(475,'Email Cleaner'!$H$2:$H$10001,0)),"")</f>
        <v/>
      </c>
    </row>
    <row r="477">
      <c r="A477">
        <f>IFERROR(INDEX('Email Cleaner'!$B$2:$B$10001,MATCH(476,'Email Cleaner'!$H$2:$H$10001,0)),"")</f>
        <v/>
      </c>
    </row>
    <row r="478">
      <c r="A478">
        <f>IFERROR(INDEX('Email Cleaner'!$B$2:$B$10001,MATCH(477,'Email Cleaner'!$H$2:$H$10001,0)),"")</f>
        <v/>
      </c>
    </row>
    <row r="479">
      <c r="A479">
        <f>IFERROR(INDEX('Email Cleaner'!$B$2:$B$10001,MATCH(478,'Email Cleaner'!$H$2:$H$10001,0)),"")</f>
        <v/>
      </c>
    </row>
    <row r="480">
      <c r="A480">
        <f>IFERROR(INDEX('Email Cleaner'!$B$2:$B$10001,MATCH(479,'Email Cleaner'!$H$2:$H$10001,0)),"")</f>
        <v/>
      </c>
    </row>
    <row r="481">
      <c r="A481">
        <f>IFERROR(INDEX('Email Cleaner'!$B$2:$B$10001,MATCH(480,'Email Cleaner'!$H$2:$H$10001,0)),"")</f>
        <v/>
      </c>
    </row>
    <row r="482">
      <c r="A482">
        <f>IFERROR(INDEX('Email Cleaner'!$B$2:$B$10001,MATCH(481,'Email Cleaner'!$H$2:$H$10001,0)),"")</f>
        <v/>
      </c>
    </row>
    <row r="483">
      <c r="A483">
        <f>IFERROR(INDEX('Email Cleaner'!$B$2:$B$10001,MATCH(482,'Email Cleaner'!$H$2:$H$10001,0)),"")</f>
        <v/>
      </c>
    </row>
    <row r="484">
      <c r="A484">
        <f>IFERROR(INDEX('Email Cleaner'!$B$2:$B$10001,MATCH(483,'Email Cleaner'!$H$2:$H$10001,0)),"")</f>
        <v/>
      </c>
    </row>
    <row r="485">
      <c r="A485">
        <f>IFERROR(INDEX('Email Cleaner'!$B$2:$B$10001,MATCH(484,'Email Cleaner'!$H$2:$H$10001,0)),"")</f>
        <v/>
      </c>
    </row>
    <row r="486">
      <c r="A486">
        <f>IFERROR(INDEX('Email Cleaner'!$B$2:$B$10001,MATCH(485,'Email Cleaner'!$H$2:$H$10001,0)),"")</f>
        <v/>
      </c>
    </row>
    <row r="487">
      <c r="A487">
        <f>IFERROR(INDEX('Email Cleaner'!$B$2:$B$10001,MATCH(486,'Email Cleaner'!$H$2:$H$10001,0)),"")</f>
        <v/>
      </c>
    </row>
    <row r="488">
      <c r="A488">
        <f>IFERROR(INDEX('Email Cleaner'!$B$2:$B$10001,MATCH(487,'Email Cleaner'!$H$2:$H$10001,0)),"")</f>
        <v/>
      </c>
    </row>
    <row r="489">
      <c r="A489">
        <f>IFERROR(INDEX('Email Cleaner'!$B$2:$B$10001,MATCH(488,'Email Cleaner'!$H$2:$H$10001,0)),"")</f>
        <v/>
      </c>
    </row>
    <row r="490">
      <c r="A490">
        <f>IFERROR(INDEX('Email Cleaner'!$B$2:$B$10001,MATCH(489,'Email Cleaner'!$H$2:$H$10001,0)),"")</f>
        <v/>
      </c>
    </row>
    <row r="491">
      <c r="A491">
        <f>IFERROR(INDEX('Email Cleaner'!$B$2:$B$10001,MATCH(490,'Email Cleaner'!$H$2:$H$10001,0)),"")</f>
        <v/>
      </c>
    </row>
    <row r="492">
      <c r="A492">
        <f>IFERROR(INDEX('Email Cleaner'!$B$2:$B$10001,MATCH(491,'Email Cleaner'!$H$2:$H$10001,0)),"")</f>
        <v/>
      </c>
    </row>
    <row r="493">
      <c r="A493">
        <f>IFERROR(INDEX('Email Cleaner'!$B$2:$B$10001,MATCH(492,'Email Cleaner'!$H$2:$H$10001,0)),"")</f>
        <v/>
      </c>
    </row>
    <row r="494">
      <c r="A494">
        <f>IFERROR(INDEX('Email Cleaner'!$B$2:$B$10001,MATCH(493,'Email Cleaner'!$H$2:$H$10001,0)),"")</f>
        <v/>
      </c>
    </row>
    <row r="495">
      <c r="A495">
        <f>IFERROR(INDEX('Email Cleaner'!$B$2:$B$10001,MATCH(494,'Email Cleaner'!$H$2:$H$10001,0)),"")</f>
        <v/>
      </c>
    </row>
    <row r="496">
      <c r="A496">
        <f>IFERROR(INDEX('Email Cleaner'!$B$2:$B$10001,MATCH(495,'Email Cleaner'!$H$2:$H$10001,0)),"")</f>
        <v/>
      </c>
    </row>
    <row r="497">
      <c r="A497">
        <f>IFERROR(INDEX('Email Cleaner'!$B$2:$B$10001,MATCH(496,'Email Cleaner'!$H$2:$H$10001,0)),"")</f>
        <v/>
      </c>
    </row>
    <row r="498">
      <c r="A498">
        <f>IFERROR(INDEX('Email Cleaner'!$B$2:$B$10001,MATCH(497,'Email Cleaner'!$H$2:$H$10001,0)),"")</f>
        <v/>
      </c>
    </row>
    <row r="499">
      <c r="A499">
        <f>IFERROR(INDEX('Email Cleaner'!$B$2:$B$10001,MATCH(498,'Email Cleaner'!$H$2:$H$10001,0)),"")</f>
        <v/>
      </c>
    </row>
    <row r="500">
      <c r="A500">
        <f>IFERROR(INDEX('Email Cleaner'!$B$2:$B$10001,MATCH(499,'Email Cleaner'!$H$2:$H$10001,0)),"")</f>
        <v/>
      </c>
    </row>
    <row r="501">
      <c r="A501">
        <f>IFERROR(INDEX('Email Cleaner'!$B$2:$B$10001,MATCH(500,'Email Cleaner'!$H$2:$H$10001,0)),"")</f>
        <v/>
      </c>
    </row>
    <row r="502">
      <c r="A502">
        <f>IFERROR(INDEX('Email Cleaner'!$B$2:$B$10001,MATCH(501,'Email Cleaner'!$H$2:$H$10001,0)),"")</f>
        <v/>
      </c>
    </row>
    <row r="503">
      <c r="A503">
        <f>IFERROR(INDEX('Email Cleaner'!$B$2:$B$10001,MATCH(502,'Email Cleaner'!$H$2:$H$10001,0)),"")</f>
        <v/>
      </c>
    </row>
    <row r="504">
      <c r="A504">
        <f>IFERROR(INDEX('Email Cleaner'!$B$2:$B$10001,MATCH(503,'Email Cleaner'!$H$2:$H$10001,0)),"")</f>
        <v/>
      </c>
    </row>
    <row r="505">
      <c r="A505">
        <f>IFERROR(INDEX('Email Cleaner'!$B$2:$B$10001,MATCH(504,'Email Cleaner'!$H$2:$H$10001,0)),"")</f>
        <v/>
      </c>
    </row>
    <row r="506">
      <c r="A506">
        <f>IFERROR(INDEX('Email Cleaner'!$B$2:$B$10001,MATCH(505,'Email Cleaner'!$H$2:$H$10001,0)),"")</f>
        <v/>
      </c>
    </row>
    <row r="507">
      <c r="A507">
        <f>IFERROR(INDEX('Email Cleaner'!$B$2:$B$10001,MATCH(506,'Email Cleaner'!$H$2:$H$10001,0)),"")</f>
        <v/>
      </c>
    </row>
    <row r="508">
      <c r="A508">
        <f>IFERROR(INDEX('Email Cleaner'!$B$2:$B$10001,MATCH(507,'Email Cleaner'!$H$2:$H$10001,0)),"")</f>
        <v/>
      </c>
    </row>
    <row r="509">
      <c r="A509">
        <f>IFERROR(INDEX('Email Cleaner'!$B$2:$B$10001,MATCH(508,'Email Cleaner'!$H$2:$H$10001,0)),"")</f>
        <v/>
      </c>
    </row>
    <row r="510">
      <c r="A510">
        <f>IFERROR(INDEX('Email Cleaner'!$B$2:$B$10001,MATCH(509,'Email Cleaner'!$H$2:$H$10001,0)),"")</f>
        <v/>
      </c>
    </row>
    <row r="511">
      <c r="A511">
        <f>IFERROR(INDEX('Email Cleaner'!$B$2:$B$10001,MATCH(510,'Email Cleaner'!$H$2:$H$10001,0)),"")</f>
        <v/>
      </c>
    </row>
    <row r="512">
      <c r="A512">
        <f>IFERROR(INDEX('Email Cleaner'!$B$2:$B$10001,MATCH(511,'Email Cleaner'!$H$2:$H$10001,0)),"")</f>
        <v/>
      </c>
    </row>
    <row r="513">
      <c r="A513">
        <f>IFERROR(INDEX('Email Cleaner'!$B$2:$B$10001,MATCH(512,'Email Cleaner'!$H$2:$H$10001,0)),"")</f>
        <v/>
      </c>
    </row>
    <row r="514">
      <c r="A514">
        <f>IFERROR(INDEX('Email Cleaner'!$B$2:$B$10001,MATCH(513,'Email Cleaner'!$H$2:$H$10001,0)),"")</f>
        <v/>
      </c>
    </row>
    <row r="515">
      <c r="A515">
        <f>IFERROR(INDEX('Email Cleaner'!$B$2:$B$10001,MATCH(514,'Email Cleaner'!$H$2:$H$10001,0)),"")</f>
        <v/>
      </c>
    </row>
    <row r="516">
      <c r="A516">
        <f>IFERROR(INDEX('Email Cleaner'!$B$2:$B$10001,MATCH(515,'Email Cleaner'!$H$2:$H$10001,0)),"")</f>
        <v/>
      </c>
    </row>
    <row r="517">
      <c r="A517">
        <f>IFERROR(INDEX('Email Cleaner'!$B$2:$B$10001,MATCH(516,'Email Cleaner'!$H$2:$H$10001,0)),"")</f>
        <v/>
      </c>
    </row>
    <row r="518">
      <c r="A518">
        <f>IFERROR(INDEX('Email Cleaner'!$B$2:$B$10001,MATCH(517,'Email Cleaner'!$H$2:$H$10001,0)),"")</f>
        <v/>
      </c>
    </row>
    <row r="519">
      <c r="A519">
        <f>IFERROR(INDEX('Email Cleaner'!$B$2:$B$10001,MATCH(518,'Email Cleaner'!$H$2:$H$10001,0)),"")</f>
        <v/>
      </c>
    </row>
    <row r="520">
      <c r="A520">
        <f>IFERROR(INDEX('Email Cleaner'!$B$2:$B$10001,MATCH(519,'Email Cleaner'!$H$2:$H$10001,0)),"")</f>
        <v/>
      </c>
    </row>
    <row r="521">
      <c r="A521">
        <f>IFERROR(INDEX('Email Cleaner'!$B$2:$B$10001,MATCH(520,'Email Cleaner'!$H$2:$H$10001,0)),"")</f>
        <v/>
      </c>
    </row>
    <row r="522">
      <c r="A522">
        <f>IFERROR(INDEX('Email Cleaner'!$B$2:$B$10001,MATCH(521,'Email Cleaner'!$H$2:$H$10001,0)),"")</f>
        <v/>
      </c>
    </row>
    <row r="523">
      <c r="A523">
        <f>IFERROR(INDEX('Email Cleaner'!$B$2:$B$10001,MATCH(522,'Email Cleaner'!$H$2:$H$10001,0)),"")</f>
        <v/>
      </c>
    </row>
    <row r="524">
      <c r="A524">
        <f>IFERROR(INDEX('Email Cleaner'!$B$2:$B$10001,MATCH(523,'Email Cleaner'!$H$2:$H$10001,0)),"")</f>
        <v/>
      </c>
    </row>
    <row r="525">
      <c r="A525">
        <f>IFERROR(INDEX('Email Cleaner'!$B$2:$B$10001,MATCH(524,'Email Cleaner'!$H$2:$H$10001,0)),"")</f>
        <v/>
      </c>
    </row>
    <row r="526">
      <c r="A526">
        <f>IFERROR(INDEX('Email Cleaner'!$B$2:$B$10001,MATCH(525,'Email Cleaner'!$H$2:$H$10001,0)),"")</f>
        <v/>
      </c>
    </row>
    <row r="527">
      <c r="A527">
        <f>IFERROR(INDEX('Email Cleaner'!$B$2:$B$10001,MATCH(526,'Email Cleaner'!$H$2:$H$10001,0)),"")</f>
        <v/>
      </c>
    </row>
    <row r="528">
      <c r="A528">
        <f>IFERROR(INDEX('Email Cleaner'!$B$2:$B$10001,MATCH(527,'Email Cleaner'!$H$2:$H$10001,0)),"")</f>
        <v/>
      </c>
    </row>
    <row r="529">
      <c r="A529">
        <f>IFERROR(INDEX('Email Cleaner'!$B$2:$B$10001,MATCH(528,'Email Cleaner'!$H$2:$H$10001,0)),"")</f>
        <v/>
      </c>
    </row>
    <row r="530">
      <c r="A530">
        <f>IFERROR(INDEX('Email Cleaner'!$B$2:$B$10001,MATCH(529,'Email Cleaner'!$H$2:$H$10001,0)),"")</f>
        <v/>
      </c>
    </row>
    <row r="531">
      <c r="A531">
        <f>IFERROR(INDEX('Email Cleaner'!$B$2:$B$10001,MATCH(530,'Email Cleaner'!$H$2:$H$10001,0)),"")</f>
        <v/>
      </c>
    </row>
    <row r="532">
      <c r="A532">
        <f>IFERROR(INDEX('Email Cleaner'!$B$2:$B$10001,MATCH(531,'Email Cleaner'!$H$2:$H$10001,0)),"")</f>
        <v/>
      </c>
    </row>
    <row r="533">
      <c r="A533">
        <f>IFERROR(INDEX('Email Cleaner'!$B$2:$B$10001,MATCH(532,'Email Cleaner'!$H$2:$H$10001,0)),"")</f>
        <v/>
      </c>
    </row>
    <row r="534">
      <c r="A534">
        <f>IFERROR(INDEX('Email Cleaner'!$B$2:$B$10001,MATCH(533,'Email Cleaner'!$H$2:$H$10001,0)),"")</f>
        <v/>
      </c>
    </row>
    <row r="535">
      <c r="A535">
        <f>IFERROR(INDEX('Email Cleaner'!$B$2:$B$10001,MATCH(534,'Email Cleaner'!$H$2:$H$10001,0)),"")</f>
        <v/>
      </c>
    </row>
    <row r="536">
      <c r="A536">
        <f>IFERROR(INDEX('Email Cleaner'!$B$2:$B$10001,MATCH(535,'Email Cleaner'!$H$2:$H$10001,0)),"")</f>
        <v/>
      </c>
    </row>
    <row r="537">
      <c r="A537">
        <f>IFERROR(INDEX('Email Cleaner'!$B$2:$B$10001,MATCH(536,'Email Cleaner'!$H$2:$H$10001,0)),"")</f>
        <v/>
      </c>
    </row>
    <row r="538">
      <c r="A538">
        <f>IFERROR(INDEX('Email Cleaner'!$B$2:$B$10001,MATCH(537,'Email Cleaner'!$H$2:$H$10001,0)),"")</f>
        <v/>
      </c>
    </row>
    <row r="539">
      <c r="A539">
        <f>IFERROR(INDEX('Email Cleaner'!$B$2:$B$10001,MATCH(538,'Email Cleaner'!$H$2:$H$10001,0)),"")</f>
        <v/>
      </c>
    </row>
    <row r="540">
      <c r="A540">
        <f>IFERROR(INDEX('Email Cleaner'!$B$2:$B$10001,MATCH(539,'Email Cleaner'!$H$2:$H$10001,0)),"")</f>
        <v/>
      </c>
    </row>
    <row r="541">
      <c r="A541">
        <f>IFERROR(INDEX('Email Cleaner'!$B$2:$B$10001,MATCH(540,'Email Cleaner'!$H$2:$H$10001,0)),"")</f>
        <v/>
      </c>
    </row>
    <row r="542">
      <c r="A542">
        <f>IFERROR(INDEX('Email Cleaner'!$B$2:$B$10001,MATCH(541,'Email Cleaner'!$H$2:$H$10001,0)),"")</f>
        <v/>
      </c>
    </row>
    <row r="543">
      <c r="A543">
        <f>IFERROR(INDEX('Email Cleaner'!$B$2:$B$10001,MATCH(542,'Email Cleaner'!$H$2:$H$10001,0)),"")</f>
        <v/>
      </c>
    </row>
    <row r="544">
      <c r="A544">
        <f>IFERROR(INDEX('Email Cleaner'!$B$2:$B$10001,MATCH(543,'Email Cleaner'!$H$2:$H$10001,0)),"")</f>
        <v/>
      </c>
    </row>
    <row r="545">
      <c r="A545">
        <f>IFERROR(INDEX('Email Cleaner'!$B$2:$B$10001,MATCH(544,'Email Cleaner'!$H$2:$H$10001,0)),"")</f>
        <v/>
      </c>
    </row>
    <row r="546">
      <c r="A546">
        <f>IFERROR(INDEX('Email Cleaner'!$B$2:$B$10001,MATCH(545,'Email Cleaner'!$H$2:$H$10001,0)),"")</f>
        <v/>
      </c>
    </row>
    <row r="547">
      <c r="A547">
        <f>IFERROR(INDEX('Email Cleaner'!$B$2:$B$10001,MATCH(546,'Email Cleaner'!$H$2:$H$10001,0)),"")</f>
        <v/>
      </c>
    </row>
    <row r="548">
      <c r="A548">
        <f>IFERROR(INDEX('Email Cleaner'!$B$2:$B$10001,MATCH(547,'Email Cleaner'!$H$2:$H$10001,0)),"")</f>
        <v/>
      </c>
    </row>
    <row r="549">
      <c r="A549">
        <f>IFERROR(INDEX('Email Cleaner'!$B$2:$B$10001,MATCH(548,'Email Cleaner'!$H$2:$H$10001,0)),"")</f>
        <v/>
      </c>
    </row>
    <row r="550">
      <c r="A550">
        <f>IFERROR(INDEX('Email Cleaner'!$B$2:$B$10001,MATCH(549,'Email Cleaner'!$H$2:$H$10001,0)),"")</f>
        <v/>
      </c>
    </row>
    <row r="551">
      <c r="A551">
        <f>IFERROR(INDEX('Email Cleaner'!$B$2:$B$10001,MATCH(550,'Email Cleaner'!$H$2:$H$10001,0)),"")</f>
        <v/>
      </c>
    </row>
    <row r="552">
      <c r="A552">
        <f>IFERROR(INDEX('Email Cleaner'!$B$2:$B$10001,MATCH(551,'Email Cleaner'!$H$2:$H$10001,0)),"")</f>
        <v/>
      </c>
    </row>
    <row r="553">
      <c r="A553">
        <f>IFERROR(INDEX('Email Cleaner'!$B$2:$B$10001,MATCH(552,'Email Cleaner'!$H$2:$H$10001,0)),"")</f>
        <v/>
      </c>
    </row>
    <row r="554">
      <c r="A554">
        <f>IFERROR(INDEX('Email Cleaner'!$B$2:$B$10001,MATCH(553,'Email Cleaner'!$H$2:$H$10001,0)),"")</f>
        <v/>
      </c>
    </row>
    <row r="555">
      <c r="A555">
        <f>IFERROR(INDEX('Email Cleaner'!$B$2:$B$10001,MATCH(554,'Email Cleaner'!$H$2:$H$10001,0)),"")</f>
        <v/>
      </c>
    </row>
    <row r="556">
      <c r="A556">
        <f>IFERROR(INDEX('Email Cleaner'!$B$2:$B$10001,MATCH(555,'Email Cleaner'!$H$2:$H$10001,0)),"")</f>
        <v/>
      </c>
    </row>
    <row r="557">
      <c r="A557">
        <f>IFERROR(INDEX('Email Cleaner'!$B$2:$B$10001,MATCH(556,'Email Cleaner'!$H$2:$H$10001,0)),"")</f>
        <v/>
      </c>
    </row>
    <row r="558">
      <c r="A558">
        <f>IFERROR(INDEX('Email Cleaner'!$B$2:$B$10001,MATCH(557,'Email Cleaner'!$H$2:$H$10001,0)),"")</f>
        <v/>
      </c>
    </row>
    <row r="559">
      <c r="A559">
        <f>IFERROR(INDEX('Email Cleaner'!$B$2:$B$10001,MATCH(558,'Email Cleaner'!$H$2:$H$10001,0)),"")</f>
        <v/>
      </c>
    </row>
    <row r="560">
      <c r="A560">
        <f>IFERROR(INDEX('Email Cleaner'!$B$2:$B$10001,MATCH(559,'Email Cleaner'!$H$2:$H$10001,0)),"")</f>
        <v/>
      </c>
    </row>
    <row r="561">
      <c r="A561">
        <f>IFERROR(INDEX('Email Cleaner'!$B$2:$B$10001,MATCH(560,'Email Cleaner'!$H$2:$H$10001,0)),"")</f>
        <v/>
      </c>
    </row>
    <row r="562">
      <c r="A562">
        <f>IFERROR(INDEX('Email Cleaner'!$B$2:$B$10001,MATCH(561,'Email Cleaner'!$H$2:$H$10001,0)),"")</f>
        <v/>
      </c>
    </row>
    <row r="563">
      <c r="A563">
        <f>IFERROR(INDEX('Email Cleaner'!$B$2:$B$10001,MATCH(562,'Email Cleaner'!$H$2:$H$10001,0)),"")</f>
        <v/>
      </c>
    </row>
    <row r="564">
      <c r="A564">
        <f>IFERROR(INDEX('Email Cleaner'!$B$2:$B$10001,MATCH(563,'Email Cleaner'!$H$2:$H$10001,0)),"")</f>
        <v/>
      </c>
    </row>
    <row r="565">
      <c r="A565">
        <f>IFERROR(INDEX('Email Cleaner'!$B$2:$B$10001,MATCH(564,'Email Cleaner'!$H$2:$H$10001,0)),"")</f>
        <v/>
      </c>
    </row>
    <row r="566">
      <c r="A566">
        <f>IFERROR(INDEX('Email Cleaner'!$B$2:$B$10001,MATCH(565,'Email Cleaner'!$H$2:$H$10001,0)),"")</f>
        <v/>
      </c>
    </row>
    <row r="567">
      <c r="A567">
        <f>IFERROR(INDEX('Email Cleaner'!$B$2:$B$10001,MATCH(566,'Email Cleaner'!$H$2:$H$10001,0)),"")</f>
        <v/>
      </c>
    </row>
    <row r="568">
      <c r="A568">
        <f>IFERROR(INDEX('Email Cleaner'!$B$2:$B$10001,MATCH(567,'Email Cleaner'!$H$2:$H$10001,0)),"")</f>
        <v/>
      </c>
    </row>
    <row r="569">
      <c r="A569">
        <f>IFERROR(INDEX('Email Cleaner'!$B$2:$B$10001,MATCH(568,'Email Cleaner'!$H$2:$H$10001,0)),"")</f>
        <v/>
      </c>
    </row>
    <row r="570">
      <c r="A570">
        <f>IFERROR(INDEX('Email Cleaner'!$B$2:$B$10001,MATCH(569,'Email Cleaner'!$H$2:$H$10001,0)),"")</f>
        <v/>
      </c>
    </row>
    <row r="571">
      <c r="A571">
        <f>IFERROR(INDEX('Email Cleaner'!$B$2:$B$10001,MATCH(570,'Email Cleaner'!$H$2:$H$10001,0)),"")</f>
        <v/>
      </c>
    </row>
    <row r="572">
      <c r="A572">
        <f>IFERROR(INDEX('Email Cleaner'!$B$2:$B$10001,MATCH(571,'Email Cleaner'!$H$2:$H$10001,0)),"")</f>
        <v/>
      </c>
    </row>
    <row r="573">
      <c r="A573">
        <f>IFERROR(INDEX('Email Cleaner'!$B$2:$B$10001,MATCH(572,'Email Cleaner'!$H$2:$H$10001,0)),"")</f>
        <v/>
      </c>
    </row>
    <row r="574">
      <c r="A574">
        <f>IFERROR(INDEX('Email Cleaner'!$B$2:$B$10001,MATCH(573,'Email Cleaner'!$H$2:$H$10001,0)),"")</f>
        <v/>
      </c>
    </row>
    <row r="575">
      <c r="A575">
        <f>IFERROR(INDEX('Email Cleaner'!$B$2:$B$10001,MATCH(574,'Email Cleaner'!$H$2:$H$10001,0)),"")</f>
        <v/>
      </c>
    </row>
    <row r="576">
      <c r="A576">
        <f>IFERROR(INDEX('Email Cleaner'!$B$2:$B$10001,MATCH(575,'Email Cleaner'!$H$2:$H$10001,0)),"")</f>
        <v/>
      </c>
    </row>
    <row r="577">
      <c r="A577">
        <f>IFERROR(INDEX('Email Cleaner'!$B$2:$B$10001,MATCH(576,'Email Cleaner'!$H$2:$H$10001,0)),"")</f>
        <v/>
      </c>
    </row>
    <row r="578">
      <c r="A578">
        <f>IFERROR(INDEX('Email Cleaner'!$B$2:$B$10001,MATCH(577,'Email Cleaner'!$H$2:$H$10001,0)),"")</f>
        <v/>
      </c>
    </row>
    <row r="579">
      <c r="A579">
        <f>IFERROR(INDEX('Email Cleaner'!$B$2:$B$10001,MATCH(578,'Email Cleaner'!$H$2:$H$10001,0)),"")</f>
        <v/>
      </c>
    </row>
    <row r="580">
      <c r="A580">
        <f>IFERROR(INDEX('Email Cleaner'!$B$2:$B$10001,MATCH(579,'Email Cleaner'!$H$2:$H$10001,0)),"")</f>
        <v/>
      </c>
    </row>
    <row r="581">
      <c r="A581">
        <f>IFERROR(INDEX('Email Cleaner'!$B$2:$B$10001,MATCH(580,'Email Cleaner'!$H$2:$H$10001,0)),"")</f>
        <v/>
      </c>
    </row>
    <row r="582">
      <c r="A582">
        <f>IFERROR(INDEX('Email Cleaner'!$B$2:$B$10001,MATCH(581,'Email Cleaner'!$H$2:$H$10001,0)),"")</f>
        <v/>
      </c>
    </row>
    <row r="583">
      <c r="A583">
        <f>IFERROR(INDEX('Email Cleaner'!$B$2:$B$10001,MATCH(582,'Email Cleaner'!$H$2:$H$10001,0)),"")</f>
        <v/>
      </c>
    </row>
    <row r="584">
      <c r="A584">
        <f>IFERROR(INDEX('Email Cleaner'!$B$2:$B$10001,MATCH(583,'Email Cleaner'!$H$2:$H$10001,0)),"")</f>
        <v/>
      </c>
    </row>
    <row r="585">
      <c r="A585">
        <f>IFERROR(INDEX('Email Cleaner'!$B$2:$B$10001,MATCH(584,'Email Cleaner'!$H$2:$H$10001,0)),"")</f>
        <v/>
      </c>
    </row>
    <row r="586">
      <c r="A586">
        <f>IFERROR(INDEX('Email Cleaner'!$B$2:$B$10001,MATCH(585,'Email Cleaner'!$H$2:$H$10001,0)),"")</f>
        <v/>
      </c>
    </row>
    <row r="587">
      <c r="A587">
        <f>IFERROR(INDEX('Email Cleaner'!$B$2:$B$10001,MATCH(586,'Email Cleaner'!$H$2:$H$10001,0)),"")</f>
        <v/>
      </c>
    </row>
    <row r="588">
      <c r="A588">
        <f>IFERROR(INDEX('Email Cleaner'!$B$2:$B$10001,MATCH(587,'Email Cleaner'!$H$2:$H$10001,0)),"")</f>
        <v/>
      </c>
    </row>
    <row r="589">
      <c r="A589">
        <f>IFERROR(INDEX('Email Cleaner'!$B$2:$B$10001,MATCH(588,'Email Cleaner'!$H$2:$H$10001,0)),"")</f>
        <v/>
      </c>
    </row>
    <row r="590">
      <c r="A590">
        <f>IFERROR(INDEX('Email Cleaner'!$B$2:$B$10001,MATCH(589,'Email Cleaner'!$H$2:$H$10001,0)),"")</f>
        <v/>
      </c>
    </row>
    <row r="591">
      <c r="A591">
        <f>IFERROR(INDEX('Email Cleaner'!$B$2:$B$10001,MATCH(590,'Email Cleaner'!$H$2:$H$10001,0)),"")</f>
        <v/>
      </c>
    </row>
    <row r="592">
      <c r="A592">
        <f>IFERROR(INDEX('Email Cleaner'!$B$2:$B$10001,MATCH(591,'Email Cleaner'!$H$2:$H$10001,0)),"")</f>
        <v/>
      </c>
    </row>
    <row r="593">
      <c r="A593">
        <f>IFERROR(INDEX('Email Cleaner'!$B$2:$B$10001,MATCH(592,'Email Cleaner'!$H$2:$H$10001,0)),"")</f>
        <v/>
      </c>
    </row>
    <row r="594">
      <c r="A594">
        <f>IFERROR(INDEX('Email Cleaner'!$B$2:$B$10001,MATCH(593,'Email Cleaner'!$H$2:$H$10001,0)),"")</f>
        <v/>
      </c>
    </row>
    <row r="595">
      <c r="A595">
        <f>IFERROR(INDEX('Email Cleaner'!$B$2:$B$10001,MATCH(594,'Email Cleaner'!$H$2:$H$10001,0)),"")</f>
        <v/>
      </c>
    </row>
    <row r="596">
      <c r="A596">
        <f>IFERROR(INDEX('Email Cleaner'!$B$2:$B$10001,MATCH(595,'Email Cleaner'!$H$2:$H$10001,0)),"")</f>
        <v/>
      </c>
    </row>
    <row r="597">
      <c r="A597">
        <f>IFERROR(INDEX('Email Cleaner'!$B$2:$B$10001,MATCH(596,'Email Cleaner'!$H$2:$H$10001,0)),"")</f>
        <v/>
      </c>
    </row>
    <row r="598">
      <c r="A598">
        <f>IFERROR(INDEX('Email Cleaner'!$B$2:$B$10001,MATCH(597,'Email Cleaner'!$H$2:$H$10001,0)),"")</f>
        <v/>
      </c>
    </row>
    <row r="599">
      <c r="A599">
        <f>IFERROR(INDEX('Email Cleaner'!$B$2:$B$10001,MATCH(598,'Email Cleaner'!$H$2:$H$10001,0)),"")</f>
        <v/>
      </c>
    </row>
    <row r="600">
      <c r="A600">
        <f>IFERROR(INDEX('Email Cleaner'!$B$2:$B$10001,MATCH(599,'Email Cleaner'!$H$2:$H$10001,0)),"")</f>
        <v/>
      </c>
    </row>
    <row r="601">
      <c r="A601">
        <f>IFERROR(INDEX('Email Cleaner'!$B$2:$B$10001,MATCH(600,'Email Cleaner'!$H$2:$H$10001,0)),"")</f>
        <v/>
      </c>
    </row>
    <row r="602">
      <c r="A602">
        <f>IFERROR(INDEX('Email Cleaner'!$B$2:$B$10001,MATCH(601,'Email Cleaner'!$H$2:$H$10001,0)),"")</f>
        <v/>
      </c>
    </row>
    <row r="603">
      <c r="A603">
        <f>IFERROR(INDEX('Email Cleaner'!$B$2:$B$10001,MATCH(602,'Email Cleaner'!$H$2:$H$10001,0)),"")</f>
        <v/>
      </c>
    </row>
    <row r="604">
      <c r="A604">
        <f>IFERROR(INDEX('Email Cleaner'!$B$2:$B$10001,MATCH(603,'Email Cleaner'!$H$2:$H$10001,0)),"")</f>
        <v/>
      </c>
    </row>
    <row r="605">
      <c r="A605">
        <f>IFERROR(INDEX('Email Cleaner'!$B$2:$B$10001,MATCH(604,'Email Cleaner'!$H$2:$H$10001,0)),"")</f>
        <v/>
      </c>
    </row>
    <row r="606">
      <c r="A606">
        <f>IFERROR(INDEX('Email Cleaner'!$B$2:$B$10001,MATCH(605,'Email Cleaner'!$H$2:$H$10001,0)),"")</f>
        <v/>
      </c>
    </row>
    <row r="607">
      <c r="A607">
        <f>IFERROR(INDEX('Email Cleaner'!$B$2:$B$10001,MATCH(606,'Email Cleaner'!$H$2:$H$10001,0)),"")</f>
        <v/>
      </c>
    </row>
    <row r="608">
      <c r="A608">
        <f>IFERROR(INDEX('Email Cleaner'!$B$2:$B$10001,MATCH(607,'Email Cleaner'!$H$2:$H$10001,0)),"")</f>
        <v/>
      </c>
    </row>
    <row r="609">
      <c r="A609">
        <f>IFERROR(INDEX('Email Cleaner'!$B$2:$B$10001,MATCH(608,'Email Cleaner'!$H$2:$H$10001,0)),"")</f>
        <v/>
      </c>
    </row>
    <row r="610">
      <c r="A610">
        <f>IFERROR(INDEX('Email Cleaner'!$B$2:$B$10001,MATCH(609,'Email Cleaner'!$H$2:$H$10001,0)),"")</f>
        <v/>
      </c>
    </row>
    <row r="611">
      <c r="A611">
        <f>IFERROR(INDEX('Email Cleaner'!$B$2:$B$10001,MATCH(610,'Email Cleaner'!$H$2:$H$10001,0)),"")</f>
        <v/>
      </c>
    </row>
    <row r="612">
      <c r="A612">
        <f>IFERROR(INDEX('Email Cleaner'!$B$2:$B$10001,MATCH(611,'Email Cleaner'!$H$2:$H$10001,0)),"")</f>
        <v/>
      </c>
    </row>
    <row r="613">
      <c r="A613">
        <f>IFERROR(INDEX('Email Cleaner'!$B$2:$B$10001,MATCH(612,'Email Cleaner'!$H$2:$H$10001,0)),"")</f>
        <v/>
      </c>
    </row>
    <row r="614">
      <c r="A614">
        <f>IFERROR(INDEX('Email Cleaner'!$B$2:$B$10001,MATCH(613,'Email Cleaner'!$H$2:$H$10001,0)),"")</f>
        <v/>
      </c>
    </row>
    <row r="615">
      <c r="A615">
        <f>IFERROR(INDEX('Email Cleaner'!$B$2:$B$10001,MATCH(614,'Email Cleaner'!$H$2:$H$10001,0)),"")</f>
        <v/>
      </c>
    </row>
    <row r="616">
      <c r="A616">
        <f>IFERROR(INDEX('Email Cleaner'!$B$2:$B$10001,MATCH(615,'Email Cleaner'!$H$2:$H$10001,0)),"")</f>
        <v/>
      </c>
    </row>
    <row r="617">
      <c r="A617">
        <f>IFERROR(INDEX('Email Cleaner'!$B$2:$B$10001,MATCH(616,'Email Cleaner'!$H$2:$H$10001,0)),"")</f>
        <v/>
      </c>
    </row>
    <row r="618">
      <c r="A618">
        <f>IFERROR(INDEX('Email Cleaner'!$B$2:$B$10001,MATCH(617,'Email Cleaner'!$H$2:$H$10001,0)),"")</f>
        <v/>
      </c>
    </row>
    <row r="619">
      <c r="A619">
        <f>IFERROR(INDEX('Email Cleaner'!$B$2:$B$10001,MATCH(618,'Email Cleaner'!$H$2:$H$10001,0)),"")</f>
        <v/>
      </c>
    </row>
    <row r="620">
      <c r="A620">
        <f>IFERROR(INDEX('Email Cleaner'!$B$2:$B$10001,MATCH(619,'Email Cleaner'!$H$2:$H$10001,0)),"")</f>
        <v/>
      </c>
    </row>
    <row r="621">
      <c r="A621">
        <f>IFERROR(INDEX('Email Cleaner'!$B$2:$B$10001,MATCH(620,'Email Cleaner'!$H$2:$H$10001,0)),"")</f>
        <v/>
      </c>
    </row>
    <row r="622">
      <c r="A622">
        <f>IFERROR(INDEX('Email Cleaner'!$B$2:$B$10001,MATCH(621,'Email Cleaner'!$H$2:$H$10001,0)),"")</f>
        <v/>
      </c>
    </row>
    <row r="623">
      <c r="A623">
        <f>IFERROR(INDEX('Email Cleaner'!$B$2:$B$10001,MATCH(622,'Email Cleaner'!$H$2:$H$10001,0)),"")</f>
        <v/>
      </c>
    </row>
    <row r="624">
      <c r="A624">
        <f>IFERROR(INDEX('Email Cleaner'!$B$2:$B$10001,MATCH(623,'Email Cleaner'!$H$2:$H$10001,0)),"")</f>
        <v/>
      </c>
    </row>
    <row r="625">
      <c r="A625">
        <f>IFERROR(INDEX('Email Cleaner'!$B$2:$B$10001,MATCH(624,'Email Cleaner'!$H$2:$H$10001,0)),"")</f>
        <v/>
      </c>
    </row>
    <row r="626">
      <c r="A626">
        <f>IFERROR(INDEX('Email Cleaner'!$B$2:$B$10001,MATCH(625,'Email Cleaner'!$H$2:$H$10001,0)),"")</f>
        <v/>
      </c>
    </row>
    <row r="627">
      <c r="A627">
        <f>IFERROR(INDEX('Email Cleaner'!$B$2:$B$10001,MATCH(626,'Email Cleaner'!$H$2:$H$10001,0)),"")</f>
        <v/>
      </c>
    </row>
    <row r="628">
      <c r="A628">
        <f>IFERROR(INDEX('Email Cleaner'!$B$2:$B$10001,MATCH(627,'Email Cleaner'!$H$2:$H$10001,0)),"")</f>
        <v/>
      </c>
    </row>
    <row r="629">
      <c r="A629">
        <f>IFERROR(INDEX('Email Cleaner'!$B$2:$B$10001,MATCH(628,'Email Cleaner'!$H$2:$H$10001,0)),"")</f>
        <v/>
      </c>
    </row>
    <row r="630">
      <c r="A630">
        <f>IFERROR(INDEX('Email Cleaner'!$B$2:$B$10001,MATCH(629,'Email Cleaner'!$H$2:$H$10001,0)),"")</f>
        <v/>
      </c>
    </row>
    <row r="631">
      <c r="A631">
        <f>IFERROR(INDEX('Email Cleaner'!$B$2:$B$10001,MATCH(630,'Email Cleaner'!$H$2:$H$10001,0)),"")</f>
        <v/>
      </c>
    </row>
    <row r="632">
      <c r="A632">
        <f>IFERROR(INDEX('Email Cleaner'!$B$2:$B$10001,MATCH(631,'Email Cleaner'!$H$2:$H$10001,0)),"")</f>
        <v/>
      </c>
    </row>
    <row r="633">
      <c r="A633">
        <f>IFERROR(INDEX('Email Cleaner'!$B$2:$B$10001,MATCH(632,'Email Cleaner'!$H$2:$H$10001,0)),"")</f>
        <v/>
      </c>
    </row>
    <row r="634">
      <c r="A634">
        <f>IFERROR(INDEX('Email Cleaner'!$B$2:$B$10001,MATCH(633,'Email Cleaner'!$H$2:$H$10001,0)),"")</f>
        <v/>
      </c>
    </row>
    <row r="635">
      <c r="A635">
        <f>IFERROR(INDEX('Email Cleaner'!$B$2:$B$10001,MATCH(634,'Email Cleaner'!$H$2:$H$10001,0)),"")</f>
        <v/>
      </c>
    </row>
    <row r="636">
      <c r="A636">
        <f>IFERROR(INDEX('Email Cleaner'!$B$2:$B$10001,MATCH(635,'Email Cleaner'!$H$2:$H$10001,0)),"")</f>
        <v/>
      </c>
    </row>
    <row r="637">
      <c r="A637">
        <f>IFERROR(INDEX('Email Cleaner'!$B$2:$B$10001,MATCH(636,'Email Cleaner'!$H$2:$H$10001,0)),"")</f>
        <v/>
      </c>
    </row>
    <row r="638">
      <c r="A638">
        <f>IFERROR(INDEX('Email Cleaner'!$B$2:$B$10001,MATCH(637,'Email Cleaner'!$H$2:$H$10001,0)),"")</f>
        <v/>
      </c>
    </row>
    <row r="639">
      <c r="A639">
        <f>IFERROR(INDEX('Email Cleaner'!$B$2:$B$10001,MATCH(638,'Email Cleaner'!$H$2:$H$10001,0)),"")</f>
        <v/>
      </c>
    </row>
    <row r="640">
      <c r="A640">
        <f>IFERROR(INDEX('Email Cleaner'!$B$2:$B$10001,MATCH(639,'Email Cleaner'!$H$2:$H$10001,0)),"")</f>
        <v/>
      </c>
    </row>
    <row r="641">
      <c r="A641">
        <f>IFERROR(INDEX('Email Cleaner'!$B$2:$B$10001,MATCH(640,'Email Cleaner'!$H$2:$H$10001,0)),"")</f>
        <v/>
      </c>
    </row>
    <row r="642">
      <c r="A642">
        <f>IFERROR(INDEX('Email Cleaner'!$B$2:$B$10001,MATCH(641,'Email Cleaner'!$H$2:$H$10001,0)),"")</f>
        <v/>
      </c>
    </row>
    <row r="643">
      <c r="A643">
        <f>IFERROR(INDEX('Email Cleaner'!$B$2:$B$10001,MATCH(642,'Email Cleaner'!$H$2:$H$10001,0)),"")</f>
        <v/>
      </c>
    </row>
    <row r="644">
      <c r="A644">
        <f>IFERROR(INDEX('Email Cleaner'!$B$2:$B$10001,MATCH(643,'Email Cleaner'!$H$2:$H$10001,0)),"")</f>
        <v/>
      </c>
    </row>
    <row r="645">
      <c r="A645">
        <f>IFERROR(INDEX('Email Cleaner'!$B$2:$B$10001,MATCH(644,'Email Cleaner'!$H$2:$H$10001,0)),"")</f>
        <v/>
      </c>
    </row>
    <row r="646">
      <c r="A646">
        <f>IFERROR(INDEX('Email Cleaner'!$B$2:$B$10001,MATCH(645,'Email Cleaner'!$H$2:$H$10001,0)),"")</f>
        <v/>
      </c>
    </row>
    <row r="647">
      <c r="A647">
        <f>IFERROR(INDEX('Email Cleaner'!$B$2:$B$10001,MATCH(646,'Email Cleaner'!$H$2:$H$10001,0)),"")</f>
        <v/>
      </c>
    </row>
    <row r="648">
      <c r="A648">
        <f>IFERROR(INDEX('Email Cleaner'!$B$2:$B$10001,MATCH(647,'Email Cleaner'!$H$2:$H$10001,0)),"")</f>
        <v/>
      </c>
    </row>
    <row r="649">
      <c r="A649">
        <f>IFERROR(INDEX('Email Cleaner'!$B$2:$B$10001,MATCH(648,'Email Cleaner'!$H$2:$H$10001,0)),"")</f>
        <v/>
      </c>
    </row>
    <row r="650">
      <c r="A650">
        <f>IFERROR(INDEX('Email Cleaner'!$B$2:$B$10001,MATCH(649,'Email Cleaner'!$H$2:$H$10001,0)),"")</f>
        <v/>
      </c>
    </row>
    <row r="651">
      <c r="A651">
        <f>IFERROR(INDEX('Email Cleaner'!$B$2:$B$10001,MATCH(650,'Email Cleaner'!$H$2:$H$10001,0)),"")</f>
        <v/>
      </c>
    </row>
    <row r="652">
      <c r="A652">
        <f>IFERROR(INDEX('Email Cleaner'!$B$2:$B$10001,MATCH(651,'Email Cleaner'!$H$2:$H$10001,0)),"")</f>
        <v/>
      </c>
    </row>
    <row r="653">
      <c r="A653">
        <f>IFERROR(INDEX('Email Cleaner'!$B$2:$B$10001,MATCH(652,'Email Cleaner'!$H$2:$H$10001,0)),"")</f>
        <v/>
      </c>
    </row>
    <row r="654">
      <c r="A654">
        <f>IFERROR(INDEX('Email Cleaner'!$B$2:$B$10001,MATCH(653,'Email Cleaner'!$H$2:$H$10001,0)),"")</f>
        <v/>
      </c>
    </row>
    <row r="655">
      <c r="A655">
        <f>IFERROR(INDEX('Email Cleaner'!$B$2:$B$10001,MATCH(654,'Email Cleaner'!$H$2:$H$10001,0)),"")</f>
        <v/>
      </c>
    </row>
    <row r="656">
      <c r="A656">
        <f>IFERROR(INDEX('Email Cleaner'!$B$2:$B$10001,MATCH(655,'Email Cleaner'!$H$2:$H$10001,0)),"")</f>
        <v/>
      </c>
    </row>
    <row r="657">
      <c r="A657">
        <f>IFERROR(INDEX('Email Cleaner'!$B$2:$B$10001,MATCH(656,'Email Cleaner'!$H$2:$H$10001,0)),"")</f>
        <v/>
      </c>
    </row>
    <row r="658">
      <c r="A658">
        <f>IFERROR(INDEX('Email Cleaner'!$B$2:$B$10001,MATCH(657,'Email Cleaner'!$H$2:$H$10001,0)),"")</f>
        <v/>
      </c>
    </row>
    <row r="659">
      <c r="A659">
        <f>IFERROR(INDEX('Email Cleaner'!$B$2:$B$10001,MATCH(658,'Email Cleaner'!$H$2:$H$10001,0)),"")</f>
        <v/>
      </c>
    </row>
    <row r="660">
      <c r="A660">
        <f>IFERROR(INDEX('Email Cleaner'!$B$2:$B$10001,MATCH(659,'Email Cleaner'!$H$2:$H$10001,0)),"")</f>
        <v/>
      </c>
    </row>
    <row r="661">
      <c r="A661">
        <f>IFERROR(INDEX('Email Cleaner'!$B$2:$B$10001,MATCH(660,'Email Cleaner'!$H$2:$H$10001,0)),"")</f>
        <v/>
      </c>
    </row>
    <row r="662">
      <c r="A662">
        <f>IFERROR(INDEX('Email Cleaner'!$B$2:$B$10001,MATCH(661,'Email Cleaner'!$H$2:$H$10001,0)),"")</f>
        <v/>
      </c>
    </row>
    <row r="663">
      <c r="A663">
        <f>IFERROR(INDEX('Email Cleaner'!$B$2:$B$10001,MATCH(662,'Email Cleaner'!$H$2:$H$10001,0)),"")</f>
        <v/>
      </c>
    </row>
    <row r="664">
      <c r="A664">
        <f>IFERROR(INDEX('Email Cleaner'!$B$2:$B$10001,MATCH(663,'Email Cleaner'!$H$2:$H$10001,0)),"")</f>
        <v/>
      </c>
    </row>
    <row r="665">
      <c r="A665">
        <f>IFERROR(INDEX('Email Cleaner'!$B$2:$B$10001,MATCH(664,'Email Cleaner'!$H$2:$H$10001,0)),"")</f>
        <v/>
      </c>
    </row>
    <row r="666">
      <c r="A666">
        <f>IFERROR(INDEX('Email Cleaner'!$B$2:$B$10001,MATCH(665,'Email Cleaner'!$H$2:$H$10001,0)),"")</f>
        <v/>
      </c>
    </row>
    <row r="667">
      <c r="A667">
        <f>IFERROR(INDEX('Email Cleaner'!$B$2:$B$10001,MATCH(666,'Email Cleaner'!$H$2:$H$10001,0)),"")</f>
        <v/>
      </c>
    </row>
    <row r="668">
      <c r="A668">
        <f>IFERROR(INDEX('Email Cleaner'!$B$2:$B$10001,MATCH(667,'Email Cleaner'!$H$2:$H$10001,0)),"")</f>
        <v/>
      </c>
    </row>
    <row r="669">
      <c r="A669">
        <f>IFERROR(INDEX('Email Cleaner'!$B$2:$B$10001,MATCH(668,'Email Cleaner'!$H$2:$H$10001,0)),"")</f>
        <v/>
      </c>
    </row>
    <row r="670">
      <c r="A670">
        <f>IFERROR(INDEX('Email Cleaner'!$B$2:$B$10001,MATCH(669,'Email Cleaner'!$H$2:$H$10001,0)),"")</f>
        <v/>
      </c>
    </row>
    <row r="671">
      <c r="A671">
        <f>IFERROR(INDEX('Email Cleaner'!$B$2:$B$10001,MATCH(670,'Email Cleaner'!$H$2:$H$10001,0)),"")</f>
        <v/>
      </c>
    </row>
    <row r="672">
      <c r="A672">
        <f>IFERROR(INDEX('Email Cleaner'!$B$2:$B$10001,MATCH(671,'Email Cleaner'!$H$2:$H$10001,0)),"")</f>
        <v/>
      </c>
    </row>
    <row r="673">
      <c r="A673">
        <f>IFERROR(INDEX('Email Cleaner'!$B$2:$B$10001,MATCH(672,'Email Cleaner'!$H$2:$H$10001,0)),"")</f>
        <v/>
      </c>
    </row>
    <row r="674">
      <c r="A674">
        <f>IFERROR(INDEX('Email Cleaner'!$B$2:$B$10001,MATCH(673,'Email Cleaner'!$H$2:$H$10001,0)),"")</f>
        <v/>
      </c>
    </row>
    <row r="675">
      <c r="A675">
        <f>IFERROR(INDEX('Email Cleaner'!$B$2:$B$10001,MATCH(674,'Email Cleaner'!$H$2:$H$10001,0)),"")</f>
        <v/>
      </c>
    </row>
    <row r="676">
      <c r="A676">
        <f>IFERROR(INDEX('Email Cleaner'!$B$2:$B$10001,MATCH(675,'Email Cleaner'!$H$2:$H$10001,0)),"")</f>
        <v/>
      </c>
    </row>
    <row r="677">
      <c r="A677">
        <f>IFERROR(INDEX('Email Cleaner'!$B$2:$B$10001,MATCH(676,'Email Cleaner'!$H$2:$H$10001,0)),"")</f>
        <v/>
      </c>
    </row>
    <row r="678">
      <c r="A678">
        <f>IFERROR(INDEX('Email Cleaner'!$B$2:$B$10001,MATCH(677,'Email Cleaner'!$H$2:$H$10001,0)),"")</f>
        <v/>
      </c>
    </row>
    <row r="679">
      <c r="A679">
        <f>IFERROR(INDEX('Email Cleaner'!$B$2:$B$10001,MATCH(678,'Email Cleaner'!$H$2:$H$10001,0)),"")</f>
        <v/>
      </c>
    </row>
    <row r="680">
      <c r="A680">
        <f>IFERROR(INDEX('Email Cleaner'!$B$2:$B$10001,MATCH(679,'Email Cleaner'!$H$2:$H$10001,0)),"")</f>
        <v/>
      </c>
    </row>
    <row r="681">
      <c r="A681">
        <f>IFERROR(INDEX('Email Cleaner'!$B$2:$B$10001,MATCH(680,'Email Cleaner'!$H$2:$H$10001,0)),"")</f>
        <v/>
      </c>
    </row>
    <row r="682">
      <c r="A682">
        <f>IFERROR(INDEX('Email Cleaner'!$B$2:$B$10001,MATCH(681,'Email Cleaner'!$H$2:$H$10001,0)),"")</f>
        <v/>
      </c>
    </row>
    <row r="683">
      <c r="A683">
        <f>IFERROR(INDEX('Email Cleaner'!$B$2:$B$10001,MATCH(682,'Email Cleaner'!$H$2:$H$10001,0)),"")</f>
        <v/>
      </c>
    </row>
    <row r="684">
      <c r="A684">
        <f>IFERROR(INDEX('Email Cleaner'!$B$2:$B$10001,MATCH(683,'Email Cleaner'!$H$2:$H$10001,0)),"")</f>
        <v/>
      </c>
    </row>
    <row r="685">
      <c r="A685">
        <f>IFERROR(INDEX('Email Cleaner'!$B$2:$B$10001,MATCH(684,'Email Cleaner'!$H$2:$H$10001,0)),"")</f>
        <v/>
      </c>
    </row>
    <row r="686">
      <c r="A686">
        <f>IFERROR(INDEX('Email Cleaner'!$B$2:$B$10001,MATCH(685,'Email Cleaner'!$H$2:$H$10001,0)),"")</f>
        <v/>
      </c>
    </row>
    <row r="687">
      <c r="A687">
        <f>IFERROR(INDEX('Email Cleaner'!$B$2:$B$10001,MATCH(686,'Email Cleaner'!$H$2:$H$10001,0)),"")</f>
        <v/>
      </c>
    </row>
    <row r="688">
      <c r="A688">
        <f>IFERROR(INDEX('Email Cleaner'!$B$2:$B$10001,MATCH(687,'Email Cleaner'!$H$2:$H$10001,0)),"")</f>
        <v/>
      </c>
    </row>
    <row r="689">
      <c r="A689">
        <f>IFERROR(INDEX('Email Cleaner'!$B$2:$B$10001,MATCH(688,'Email Cleaner'!$H$2:$H$10001,0)),"")</f>
        <v/>
      </c>
    </row>
    <row r="690">
      <c r="A690">
        <f>IFERROR(INDEX('Email Cleaner'!$B$2:$B$10001,MATCH(689,'Email Cleaner'!$H$2:$H$10001,0)),"")</f>
        <v/>
      </c>
    </row>
    <row r="691">
      <c r="A691">
        <f>IFERROR(INDEX('Email Cleaner'!$B$2:$B$10001,MATCH(690,'Email Cleaner'!$H$2:$H$10001,0)),"")</f>
        <v/>
      </c>
    </row>
    <row r="692">
      <c r="A692">
        <f>IFERROR(INDEX('Email Cleaner'!$B$2:$B$10001,MATCH(691,'Email Cleaner'!$H$2:$H$10001,0)),"")</f>
        <v/>
      </c>
    </row>
    <row r="693">
      <c r="A693">
        <f>IFERROR(INDEX('Email Cleaner'!$B$2:$B$10001,MATCH(692,'Email Cleaner'!$H$2:$H$10001,0)),"")</f>
        <v/>
      </c>
    </row>
    <row r="694">
      <c r="A694">
        <f>IFERROR(INDEX('Email Cleaner'!$B$2:$B$10001,MATCH(693,'Email Cleaner'!$H$2:$H$10001,0)),"")</f>
        <v/>
      </c>
    </row>
    <row r="695">
      <c r="A695">
        <f>IFERROR(INDEX('Email Cleaner'!$B$2:$B$10001,MATCH(694,'Email Cleaner'!$H$2:$H$10001,0)),"")</f>
        <v/>
      </c>
    </row>
    <row r="696">
      <c r="A696">
        <f>IFERROR(INDEX('Email Cleaner'!$B$2:$B$10001,MATCH(695,'Email Cleaner'!$H$2:$H$10001,0)),"")</f>
        <v/>
      </c>
    </row>
    <row r="697">
      <c r="A697">
        <f>IFERROR(INDEX('Email Cleaner'!$B$2:$B$10001,MATCH(696,'Email Cleaner'!$H$2:$H$10001,0)),"")</f>
        <v/>
      </c>
    </row>
    <row r="698">
      <c r="A698">
        <f>IFERROR(INDEX('Email Cleaner'!$B$2:$B$10001,MATCH(697,'Email Cleaner'!$H$2:$H$10001,0)),"")</f>
        <v/>
      </c>
    </row>
    <row r="699">
      <c r="A699">
        <f>IFERROR(INDEX('Email Cleaner'!$B$2:$B$10001,MATCH(698,'Email Cleaner'!$H$2:$H$10001,0)),"")</f>
        <v/>
      </c>
    </row>
    <row r="700">
      <c r="A700">
        <f>IFERROR(INDEX('Email Cleaner'!$B$2:$B$10001,MATCH(699,'Email Cleaner'!$H$2:$H$10001,0)),"")</f>
        <v/>
      </c>
    </row>
    <row r="701">
      <c r="A701">
        <f>IFERROR(INDEX('Email Cleaner'!$B$2:$B$10001,MATCH(700,'Email Cleaner'!$H$2:$H$10001,0)),"")</f>
        <v/>
      </c>
    </row>
    <row r="702">
      <c r="A702">
        <f>IFERROR(INDEX('Email Cleaner'!$B$2:$B$10001,MATCH(701,'Email Cleaner'!$H$2:$H$10001,0)),"")</f>
        <v/>
      </c>
    </row>
    <row r="703">
      <c r="A703">
        <f>IFERROR(INDEX('Email Cleaner'!$B$2:$B$10001,MATCH(702,'Email Cleaner'!$H$2:$H$10001,0)),"")</f>
        <v/>
      </c>
    </row>
    <row r="704">
      <c r="A704">
        <f>IFERROR(INDEX('Email Cleaner'!$B$2:$B$10001,MATCH(703,'Email Cleaner'!$H$2:$H$10001,0)),"")</f>
        <v/>
      </c>
    </row>
    <row r="705">
      <c r="A705">
        <f>IFERROR(INDEX('Email Cleaner'!$B$2:$B$10001,MATCH(704,'Email Cleaner'!$H$2:$H$10001,0)),"")</f>
        <v/>
      </c>
    </row>
    <row r="706">
      <c r="A706">
        <f>IFERROR(INDEX('Email Cleaner'!$B$2:$B$10001,MATCH(705,'Email Cleaner'!$H$2:$H$10001,0)),"")</f>
        <v/>
      </c>
    </row>
    <row r="707">
      <c r="A707">
        <f>IFERROR(INDEX('Email Cleaner'!$B$2:$B$10001,MATCH(706,'Email Cleaner'!$H$2:$H$10001,0)),"")</f>
        <v/>
      </c>
    </row>
    <row r="708">
      <c r="A708">
        <f>IFERROR(INDEX('Email Cleaner'!$B$2:$B$10001,MATCH(707,'Email Cleaner'!$H$2:$H$10001,0)),"")</f>
        <v/>
      </c>
    </row>
    <row r="709">
      <c r="A709">
        <f>IFERROR(INDEX('Email Cleaner'!$B$2:$B$10001,MATCH(708,'Email Cleaner'!$H$2:$H$10001,0)),"")</f>
        <v/>
      </c>
    </row>
    <row r="710">
      <c r="A710">
        <f>IFERROR(INDEX('Email Cleaner'!$B$2:$B$10001,MATCH(709,'Email Cleaner'!$H$2:$H$10001,0)),"")</f>
        <v/>
      </c>
    </row>
    <row r="711">
      <c r="A711">
        <f>IFERROR(INDEX('Email Cleaner'!$B$2:$B$10001,MATCH(710,'Email Cleaner'!$H$2:$H$10001,0)),"")</f>
        <v/>
      </c>
    </row>
    <row r="712">
      <c r="A712">
        <f>IFERROR(INDEX('Email Cleaner'!$B$2:$B$10001,MATCH(711,'Email Cleaner'!$H$2:$H$10001,0)),"")</f>
        <v/>
      </c>
    </row>
    <row r="713">
      <c r="A713">
        <f>IFERROR(INDEX('Email Cleaner'!$B$2:$B$10001,MATCH(712,'Email Cleaner'!$H$2:$H$10001,0)),"")</f>
        <v/>
      </c>
    </row>
    <row r="714">
      <c r="A714">
        <f>IFERROR(INDEX('Email Cleaner'!$B$2:$B$10001,MATCH(713,'Email Cleaner'!$H$2:$H$10001,0)),"")</f>
        <v/>
      </c>
    </row>
    <row r="715">
      <c r="A715">
        <f>IFERROR(INDEX('Email Cleaner'!$B$2:$B$10001,MATCH(714,'Email Cleaner'!$H$2:$H$10001,0)),"")</f>
        <v/>
      </c>
    </row>
    <row r="716">
      <c r="A716">
        <f>IFERROR(INDEX('Email Cleaner'!$B$2:$B$10001,MATCH(715,'Email Cleaner'!$H$2:$H$10001,0)),"")</f>
        <v/>
      </c>
    </row>
    <row r="717">
      <c r="A717">
        <f>IFERROR(INDEX('Email Cleaner'!$B$2:$B$10001,MATCH(716,'Email Cleaner'!$H$2:$H$10001,0)),"")</f>
        <v/>
      </c>
    </row>
    <row r="718">
      <c r="A718">
        <f>IFERROR(INDEX('Email Cleaner'!$B$2:$B$10001,MATCH(717,'Email Cleaner'!$H$2:$H$10001,0)),"")</f>
        <v/>
      </c>
    </row>
    <row r="719">
      <c r="A719">
        <f>IFERROR(INDEX('Email Cleaner'!$B$2:$B$10001,MATCH(718,'Email Cleaner'!$H$2:$H$10001,0)),"")</f>
        <v/>
      </c>
    </row>
    <row r="720">
      <c r="A720">
        <f>IFERROR(INDEX('Email Cleaner'!$B$2:$B$10001,MATCH(719,'Email Cleaner'!$H$2:$H$10001,0)),"")</f>
        <v/>
      </c>
    </row>
    <row r="721">
      <c r="A721">
        <f>IFERROR(INDEX('Email Cleaner'!$B$2:$B$10001,MATCH(720,'Email Cleaner'!$H$2:$H$10001,0)),"")</f>
        <v/>
      </c>
    </row>
    <row r="722">
      <c r="A722">
        <f>IFERROR(INDEX('Email Cleaner'!$B$2:$B$10001,MATCH(721,'Email Cleaner'!$H$2:$H$10001,0)),"")</f>
        <v/>
      </c>
    </row>
    <row r="723">
      <c r="A723">
        <f>IFERROR(INDEX('Email Cleaner'!$B$2:$B$10001,MATCH(722,'Email Cleaner'!$H$2:$H$10001,0)),"")</f>
        <v/>
      </c>
    </row>
    <row r="724">
      <c r="A724">
        <f>IFERROR(INDEX('Email Cleaner'!$B$2:$B$10001,MATCH(723,'Email Cleaner'!$H$2:$H$10001,0)),"")</f>
        <v/>
      </c>
    </row>
    <row r="725">
      <c r="A725">
        <f>IFERROR(INDEX('Email Cleaner'!$B$2:$B$10001,MATCH(724,'Email Cleaner'!$H$2:$H$10001,0)),"")</f>
        <v/>
      </c>
    </row>
    <row r="726">
      <c r="A726">
        <f>IFERROR(INDEX('Email Cleaner'!$B$2:$B$10001,MATCH(725,'Email Cleaner'!$H$2:$H$10001,0)),"")</f>
        <v/>
      </c>
    </row>
    <row r="727">
      <c r="A727">
        <f>IFERROR(INDEX('Email Cleaner'!$B$2:$B$10001,MATCH(726,'Email Cleaner'!$H$2:$H$10001,0)),"")</f>
        <v/>
      </c>
    </row>
    <row r="728">
      <c r="A728">
        <f>IFERROR(INDEX('Email Cleaner'!$B$2:$B$10001,MATCH(727,'Email Cleaner'!$H$2:$H$10001,0)),"")</f>
        <v/>
      </c>
    </row>
    <row r="729">
      <c r="A729">
        <f>IFERROR(INDEX('Email Cleaner'!$B$2:$B$10001,MATCH(728,'Email Cleaner'!$H$2:$H$10001,0)),"")</f>
        <v/>
      </c>
    </row>
    <row r="730">
      <c r="A730">
        <f>IFERROR(INDEX('Email Cleaner'!$B$2:$B$10001,MATCH(729,'Email Cleaner'!$H$2:$H$10001,0)),"")</f>
        <v/>
      </c>
    </row>
    <row r="731">
      <c r="A731">
        <f>IFERROR(INDEX('Email Cleaner'!$B$2:$B$10001,MATCH(730,'Email Cleaner'!$H$2:$H$10001,0)),"")</f>
        <v/>
      </c>
    </row>
    <row r="732">
      <c r="A732">
        <f>IFERROR(INDEX('Email Cleaner'!$B$2:$B$10001,MATCH(731,'Email Cleaner'!$H$2:$H$10001,0)),"")</f>
        <v/>
      </c>
    </row>
    <row r="733">
      <c r="A733">
        <f>IFERROR(INDEX('Email Cleaner'!$B$2:$B$10001,MATCH(732,'Email Cleaner'!$H$2:$H$10001,0)),"")</f>
        <v/>
      </c>
    </row>
    <row r="734">
      <c r="A734">
        <f>IFERROR(INDEX('Email Cleaner'!$B$2:$B$10001,MATCH(733,'Email Cleaner'!$H$2:$H$10001,0)),"")</f>
        <v/>
      </c>
    </row>
    <row r="735">
      <c r="A735">
        <f>IFERROR(INDEX('Email Cleaner'!$B$2:$B$10001,MATCH(734,'Email Cleaner'!$H$2:$H$10001,0)),"")</f>
        <v/>
      </c>
    </row>
    <row r="736">
      <c r="A736">
        <f>IFERROR(INDEX('Email Cleaner'!$B$2:$B$10001,MATCH(735,'Email Cleaner'!$H$2:$H$10001,0)),"")</f>
        <v/>
      </c>
    </row>
    <row r="737">
      <c r="A737">
        <f>IFERROR(INDEX('Email Cleaner'!$B$2:$B$10001,MATCH(736,'Email Cleaner'!$H$2:$H$10001,0)),"")</f>
        <v/>
      </c>
    </row>
    <row r="738">
      <c r="A738">
        <f>IFERROR(INDEX('Email Cleaner'!$B$2:$B$10001,MATCH(737,'Email Cleaner'!$H$2:$H$10001,0)),"")</f>
        <v/>
      </c>
    </row>
    <row r="739">
      <c r="A739">
        <f>IFERROR(INDEX('Email Cleaner'!$B$2:$B$10001,MATCH(738,'Email Cleaner'!$H$2:$H$10001,0)),"")</f>
        <v/>
      </c>
    </row>
    <row r="740">
      <c r="A740">
        <f>IFERROR(INDEX('Email Cleaner'!$B$2:$B$10001,MATCH(739,'Email Cleaner'!$H$2:$H$10001,0)),"")</f>
        <v/>
      </c>
    </row>
    <row r="741">
      <c r="A741">
        <f>IFERROR(INDEX('Email Cleaner'!$B$2:$B$10001,MATCH(740,'Email Cleaner'!$H$2:$H$10001,0)),"")</f>
        <v/>
      </c>
    </row>
    <row r="742">
      <c r="A742">
        <f>IFERROR(INDEX('Email Cleaner'!$B$2:$B$10001,MATCH(741,'Email Cleaner'!$H$2:$H$10001,0)),"")</f>
        <v/>
      </c>
    </row>
    <row r="743">
      <c r="A743">
        <f>IFERROR(INDEX('Email Cleaner'!$B$2:$B$10001,MATCH(742,'Email Cleaner'!$H$2:$H$10001,0)),"")</f>
        <v/>
      </c>
    </row>
    <row r="744">
      <c r="A744">
        <f>IFERROR(INDEX('Email Cleaner'!$B$2:$B$10001,MATCH(743,'Email Cleaner'!$H$2:$H$10001,0)),"")</f>
        <v/>
      </c>
    </row>
    <row r="745">
      <c r="A745">
        <f>IFERROR(INDEX('Email Cleaner'!$B$2:$B$10001,MATCH(744,'Email Cleaner'!$H$2:$H$10001,0)),"")</f>
        <v/>
      </c>
    </row>
    <row r="746">
      <c r="A746">
        <f>IFERROR(INDEX('Email Cleaner'!$B$2:$B$10001,MATCH(745,'Email Cleaner'!$H$2:$H$10001,0)),"")</f>
        <v/>
      </c>
    </row>
    <row r="747">
      <c r="A747">
        <f>IFERROR(INDEX('Email Cleaner'!$B$2:$B$10001,MATCH(746,'Email Cleaner'!$H$2:$H$10001,0)),"")</f>
        <v/>
      </c>
    </row>
    <row r="748">
      <c r="A748">
        <f>IFERROR(INDEX('Email Cleaner'!$B$2:$B$10001,MATCH(747,'Email Cleaner'!$H$2:$H$10001,0)),"")</f>
        <v/>
      </c>
    </row>
    <row r="749">
      <c r="A749">
        <f>IFERROR(INDEX('Email Cleaner'!$B$2:$B$10001,MATCH(748,'Email Cleaner'!$H$2:$H$10001,0)),"")</f>
        <v/>
      </c>
    </row>
    <row r="750">
      <c r="A750">
        <f>IFERROR(INDEX('Email Cleaner'!$B$2:$B$10001,MATCH(749,'Email Cleaner'!$H$2:$H$10001,0)),"")</f>
        <v/>
      </c>
    </row>
    <row r="751">
      <c r="A751">
        <f>IFERROR(INDEX('Email Cleaner'!$B$2:$B$10001,MATCH(750,'Email Cleaner'!$H$2:$H$10001,0)),"")</f>
        <v/>
      </c>
    </row>
    <row r="752">
      <c r="A752">
        <f>IFERROR(INDEX('Email Cleaner'!$B$2:$B$10001,MATCH(751,'Email Cleaner'!$H$2:$H$10001,0)),"")</f>
        <v/>
      </c>
    </row>
    <row r="753">
      <c r="A753">
        <f>IFERROR(INDEX('Email Cleaner'!$B$2:$B$10001,MATCH(752,'Email Cleaner'!$H$2:$H$10001,0)),"")</f>
        <v/>
      </c>
    </row>
    <row r="754">
      <c r="A754">
        <f>IFERROR(INDEX('Email Cleaner'!$B$2:$B$10001,MATCH(753,'Email Cleaner'!$H$2:$H$10001,0)),"")</f>
        <v/>
      </c>
    </row>
    <row r="755">
      <c r="A755">
        <f>IFERROR(INDEX('Email Cleaner'!$B$2:$B$10001,MATCH(754,'Email Cleaner'!$H$2:$H$10001,0)),"")</f>
        <v/>
      </c>
    </row>
    <row r="756">
      <c r="A756">
        <f>IFERROR(INDEX('Email Cleaner'!$B$2:$B$10001,MATCH(755,'Email Cleaner'!$H$2:$H$10001,0)),"")</f>
        <v/>
      </c>
    </row>
    <row r="757">
      <c r="A757">
        <f>IFERROR(INDEX('Email Cleaner'!$B$2:$B$10001,MATCH(756,'Email Cleaner'!$H$2:$H$10001,0)),"")</f>
        <v/>
      </c>
    </row>
    <row r="758">
      <c r="A758">
        <f>IFERROR(INDEX('Email Cleaner'!$B$2:$B$10001,MATCH(757,'Email Cleaner'!$H$2:$H$10001,0)),"")</f>
        <v/>
      </c>
    </row>
    <row r="759">
      <c r="A759">
        <f>IFERROR(INDEX('Email Cleaner'!$B$2:$B$10001,MATCH(758,'Email Cleaner'!$H$2:$H$10001,0)),"")</f>
        <v/>
      </c>
    </row>
    <row r="760">
      <c r="A760">
        <f>IFERROR(INDEX('Email Cleaner'!$B$2:$B$10001,MATCH(759,'Email Cleaner'!$H$2:$H$10001,0)),"")</f>
        <v/>
      </c>
    </row>
    <row r="761">
      <c r="A761">
        <f>IFERROR(INDEX('Email Cleaner'!$B$2:$B$10001,MATCH(760,'Email Cleaner'!$H$2:$H$10001,0)),"")</f>
        <v/>
      </c>
    </row>
    <row r="762">
      <c r="A762">
        <f>IFERROR(INDEX('Email Cleaner'!$B$2:$B$10001,MATCH(761,'Email Cleaner'!$H$2:$H$10001,0)),"")</f>
        <v/>
      </c>
    </row>
    <row r="763">
      <c r="A763">
        <f>IFERROR(INDEX('Email Cleaner'!$B$2:$B$10001,MATCH(762,'Email Cleaner'!$H$2:$H$10001,0)),"")</f>
        <v/>
      </c>
    </row>
    <row r="764">
      <c r="A764">
        <f>IFERROR(INDEX('Email Cleaner'!$B$2:$B$10001,MATCH(763,'Email Cleaner'!$H$2:$H$10001,0)),"")</f>
        <v/>
      </c>
    </row>
    <row r="765">
      <c r="A765">
        <f>IFERROR(INDEX('Email Cleaner'!$B$2:$B$10001,MATCH(764,'Email Cleaner'!$H$2:$H$10001,0)),"")</f>
        <v/>
      </c>
    </row>
    <row r="766">
      <c r="A766">
        <f>IFERROR(INDEX('Email Cleaner'!$B$2:$B$10001,MATCH(765,'Email Cleaner'!$H$2:$H$10001,0)),"")</f>
        <v/>
      </c>
    </row>
    <row r="767">
      <c r="A767">
        <f>IFERROR(INDEX('Email Cleaner'!$B$2:$B$10001,MATCH(766,'Email Cleaner'!$H$2:$H$10001,0)),"")</f>
        <v/>
      </c>
    </row>
    <row r="768">
      <c r="A768">
        <f>IFERROR(INDEX('Email Cleaner'!$B$2:$B$10001,MATCH(767,'Email Cleaner'!$H$2:$H$10001,0)),"")</f>
        <v/>
      </c>
    </row>
    <row r="769">
      <c r="A769">
        <f>IFERROR(INDEX('Email Cleaner'!$B$2:$B$10001,MATCH(768,'Email Cleaner'!$H$2:$H$10001,0)),"")</f>
        <v/>
      </c>
    </row>
    <row r="770">
      <c r="A770">
        <f>IFERROR(INDEX('Email Cleaner'!$B$2:$B$10001,MATCH(769,'Email Cleaner'!$H$2:$H$10001,0)),"")</f>
        <v/>
      </c>
    </row>
    <row r="771">
      <c r="A771">
        <f>IFERROR(INDEX('Email Cleaner'!$B$2:$B$10001,MATCH(770,'Email Cleaner'!$H$2:$H$10001,0)),"")</f>
        <v/>
      </c>
    </row>
    <row r="772">
      <c r="A772">
        <f>IFERROR(INDEX('Email Cleaner'!$B$2:$B$10001,MATCH(771,'Email Cleaner'!$H$2:$H$10001,0)),"")</f>
        <v/>
      </c>
    </row>
    <row r="773">
      <c r="A773">
        <f>IFERROR(INDEX('Email Cleaner'!$B$2:$B$10001,MATCH(772,'Email Cleaner'!$H$2:$H$10001,0)),"")</f>
        <v/>
      </c>
    </row>
    <row r="774">
      <c r="A774">
        <f>IFERROR(INDEX('Email Cleaner'!$B$2:$B$10001,MATCH(773,'Email Cleaner'!$H$2:$H$10001,0)),"")</f>
        <v/>
      </c>
    </row>
    <row r="775">
      <c r="A775">
        <f>IFERROR(INDEX('Email Cleaner'!$B$2:$B$10001,MATCH(774,'Email Cleaner'!$H$2:$H$10001,0)),"")</f>
        <v/>
      </c>
    </row>
    <row r="776">
      <c r="A776">
        <f>IFERROR(INDEX('Email Cleaner'!$B$2:$B$10001,MATCH(775,'Email Cleaner'!$H$2:$H$10001,0)),"")</f>
        <v/>
      </c>
    </row>
    <row r="777">
      <c r="A777">
        <f>IFERROR(INDEX('Email Cleaner'!$B$2:$B$10001,MATCH(776,'Email Cleaner'!$H$2:$H$10001,0)),"")</f>
        <v/>
      </c>
    </row>
    <row r="778">
      <c r="A778">
        <f>IFERROR(INDEX('Email Cleaner'!$B$2:$B$10001,MATCH(777,'Email Cleaner'!$H$2:$H$10001,0)),"")</f>
        <v/>
      </c>
    </row>
    <row r="779">
      <c r="A779">
        <f>IFERROR(INDEX('Email Cleaner'!$B$2:$B$10001,MATCH(778,'Email Cleaner'!$H$2:$H$10001,0)),"")</f>
        <v/>
      </c>
    </row>
    <row r="780">
      <c r="A780">
        <f>IFERROR(INDEX('Email Cleaner'!$B$2:$B$10001,MATCH(779,'Email Cleaner'!$H$2:$H$10001,0)),"")</f>
        <v/>
      </c>
    </row>
    <row r="781">
      <c r="A781">
        <f>IFERROR(INDEX('Email Cleaner'!$B$2:$B$10001,MATCH(780,'Email Cleaner'!$H$2:$H$10001,0)),"")</f>
        <v/>
      </c>
    </row>
    <row r="782">
      <c r="A782">
        <f>IFERROR(INDEX('Email Cleaner'!$B$2:$B$10001,MATCH(781,'Email Cleaner'!$H$2:$H$10001,0)),"")</f>
        <v/>
      </c>
    </row>
    <row r="783">
      <c r="A783">
        <f>IFERROR(INDEX('Email Cleaner'!$B$2:$B$10001,MATCH(782,'Email Cleaner'!$H$2:$H$10001,0)),"")</f>
        <v/>
      </c>
    </row>
    <row r="784">
      <c r="A784">
        <f>IFERROR(INDEX('Email Cleaner'!$B$2:$B$10001,MATCH(783,'Email Cleaner'!$H$2:$H$10001,0)),"")</f>
        <v/>
      </c>
    </row>
    <row r="785">
      <c r="A785">
        <f>IFERROR(INDEX('Email Cleaner'!$B$2:$B$10001,MATCH(784,'Email Cleaner'!$H$2:$H$10001,0)),"")</f>
        <v/>
      </c>
    </row>
    <row r="786">
      <c r="A786">
        <f>IFERROR(INDEX('Email Cleaner'!$B$2:$B$10001,MATCH(785,'Email Cleaner'!$H$2:$H$10001,0)),"")</f>
        <v/>
      </c>
    </row>
    <row r="787">
      <c r="A787">
        <f>IFERROR(INDEX('Email Cleaner'!$B$2:$B$10001,MATCH(786,'Email Cleaner'!$H$2:$H$10001,0)),"")</f>
        <v/>
      </c>
    </row>
    <row r="788">
      <c r="A788">
        <f>IFERROR(INDEX('Email Cleaner'!$B$2:$B$10001,MATCH(787,'Email Cleaner'!$H$2:$H$10001,0)),"")</f>
        <v/>
      </c>
    </row>
    <row r="789">
      <c r="A789">
        <f>IFERROR(INDEX('Email Cleaner'!$B$2:$B$10001,MATCH(788,'Email Cleaner'!$H$2:$H$10001,0)),"")</f>
        <v/>
      </c>
    </row>
    <row r="790">
      <c r="A790">
        <f>IFERROR(INDEX('Email Cleaner'!$B$2:$B$10001,MATCH(789,'Email Cleaner'!$H$2:$H$10001,0)),"")</f>
        <v/>
      </c>
    </row>
    <row r="791">
      <c r="A791">
        <f>IFERROR(INDEX('Email Cleaner'!$B$2:$B$10001,MATCH(790,'Email Cleaner'!$H$2:$H$10001,0)),"")</f>
        <v/>
      </c>
    </row>
    <row r="792">
      <c r="A792">
        <f>IFERROR(INDEX('Email Cleaner'!$B$2:$B$10001,MATCH(791,'Email Cleaner'!$H$2:$H$10001,0)),"")</f>
        <v/>
      </c>
    </row>
    <row r="793">
      <c r="A793">
        <f>IFERROR(INDEX('Email Cleaner'!$B$2:$B$10001,MATCH(792,'Email Cleaner'!$H$2:$H$10001,0)),"")</f>
        <v/>
      </c>
    </row>
    <row r="794">
      <c r="A794">
        <f>IFERROR(INDEX('Email Cleaner'!$B$2:$B$10001,MATCH(793,'Email Cleaner'!$H$2:$H$10001,0)),"")</f>
        <v/>
      </c>
    </row>
    <row r="795">
      <c r="A795">
        <f>IFERROR(INDEX('Email Cleaner'!$B$2:$B$10001,MATCH(794,'Email Cleaner'!$H$2:$H$10001,0)),"")</f>
        <v/>
      </c>
    </row>
    <row r="796">
      <c r="A796">
        <f>IFERROR(INDEX('Email Cleaner'!$B$2:$B$10001,MATCH(795,'Email Cleaner'!$H$2:$H$10001,0)),"")</f>
        <v/>
      </c>
    </row>
    <row r="797">
      <c r="A797">
        <f>IFERROR(INDEX('Email Cleaner'!$B$2:$B$10001,MATCH(796,'Email Cleaner'!$H$2:$H$10001,0)),"")</f>
        <v/>
      </c>
    </row>
    <row r="798">
      <c r="A798">
        <f>IFERROR(INDEX('Email Cleaner'!$B$2:$B$10001,MATCH(797,'Email Cleaner'!$H$2:$H$10001,0)),"")</f>
        <v/>
      </c>
    </row>
    <row r="799">
      <c r="A799">
        <f>IFERROR(INDEX('Email Cleaner'!$B$2:$B$10001,MATCH(798,'Email Cleaner'!$H$2:$H$10001,0)),"")</f>
        <v/>
      </c>
    </row>
    <row r="800">
      <c r="A800">
        <f>IFERROR(INDEX('Email Cleaner'!$B$2:$B$10001,MATCH(799,'Email Cleaner'!$H$2:$H$10001,0)),"")</f>
        <v/>
      </c>
    </row>
    <row r="801">
      <c r="A801">
        <f>IFERROR(INDEX('Email Cleaner'!$B$2:$B$10001,MATCH(800,'Email Cleaner'!$H$2:$H$10001,0)),"")</f>
        <v/>
      </c>
    </row>
    <row r="802">
      <c r="A802">
        <f>IFERROR(INDEX('Email Cleaner'!$B$2:$B$10001,MATCH(801,'Email Cleaner'!$H$2:$H$10001,0)),"")</f>
        <v/>
      </c>
    </row>
    <row r="803">
      <c r="A803">
        <f>IFERROR(INDEX('Email Cleaner'!$B$2:$B$10001,MATCH(802,'Email Cleaner'!$H$2:$H$10001,0)),"")</f>
        <v/>
      </c>
    </row>
    <row r="804">
      <c r="A804">
        <f>IFERROR(INDEX('Email Cleaner'!$B$2:$B$10001,MATCH(803,'Email Cleaner'!$H$2:$H$10001,0)),"")</f>
        <v/>
      </c>
    </row>
    <row r="805">
      <c r="A805">
        <f>IFERROR(INDEX('Email Cleaner'!$B$2:$B$10001,MATCH(804,'Email Cleaner'!$H$2:$H$10001,0)),"")</f>
        <v/>
      </c>
    </row>
    <row r="806">
      <c r="A806">
        <f>IFERROR(INDEX('Email Cleaner'!$B$2:$B$10001,MATCH(805,'Email Cleaner'!$H$2:$H$10001,0)),"")</f>
        <v/>
      </c>
    </row>
    <row r="807">
      <c r="A807">
        <f>IFERROR(INDEX('Email Cleaner'!$B$2:$B$10001,MATCH(806,'Email Cleaner'!$H$2:$H$10001,0)),"")</f>
        <v/>
      </c>
    </row>
    <row r="808">
      <c r="A808">
        <f>IFERROR(INDEX('Email Cleaner'!$B$2:$B$10001,MATCH(807,'Email Cleaner'!$H$2:$H$10001,0)),"")</f>
        <v/>
      </c>
    </row>
    <row r="809">
      <c r="A809">
        <f>IFERROR(INDEX('Email Cleaner'!$B$2:$B$10001,MATCH(808,'Email Cleaner'!$H$2:$H$10001,0)),"")</f>
        <v/>
      </c>
    </row>
    <row r="810">
      <c r="A810">
        <f>IFERROR(INDEX('Email Cleaner'!$B$2:$B$10001,MATCH(809,'Email Cleaner'!$H$2:$H$10001,0)),"")</f>
        <v/>
      </c>
    </row>
    <row r="811">
      <c r="A811">
        <f>IFERROR(INDEX('Email Cleaner'!$B$2:$B$10001,MATCH(810,'Email Cleaner'!$H$2:$H$10001,0)),"")</f>
        <v/>
      </c>
    </row>
    <row r="812">
      <c r="A812">
        <f>IFERROR(INDEX('Email Cleaner'!$B$2:$B$10001,MATCH(811,'Email Cleaner'!$H$2:$H$10001,0)),"")</f>
        <v/>
      </c>
    </row>
    <row r="813">
      <c r="A813">
        <f>IFERROR(INDEX('Email Cleaner'!$B$2:$B$10001,MATCH(812,'Email Cleaner'!$H$2:$H$10001,0)),"")</f>
        <v/>
      </c>
    </row>
    <row r="814">
      <c r="A814">
        <f>IFERROR(INDEX('Email Cleaner'!$B$2:$B$10001,MATCH(813,'Email Cleaner'!$H$2:$H$10001,0)),"")</f>
        <v/>
      </c>
    </row>
    <row r="815">
      <c r="A815">
        <f>IFERROR(INDEX('Email Cleaner'!$B$2:$B$10001,MATCH(814,'Email Cleaner'!$H$2:$H$10001,0)),"")</f>
        <v/>
      </c>
    </row>
    <row r="816">
      <c r="A816">
        <f>IFERROR(INDEX('Email Cleaner'!$B$2:$B$10001,MATCH(815,'Email Cleaner'!$H$2:$H$10001,0)),"")</f>
        <v/>
      </c>
    </row>
    <row r="817">
      <c r="A817">
        <f>IFERROR(INDEX('Email Cleaner'!$B$2:$B$10001,MATCH(816,'Email Cleaner'!$H$2:$H$10001,0)),"")</f>
        <v/>
      </c>
    </row>
    <row r="818">
      <c r="A818">
        <f>IFERROR(INDEX('Email Cleaner'!$B$2:$B$10001,MATCH(817,'Email Cleaner'!$H$2:$H$10001,0)),"")</f>
        <v/>
      </c>
    </row>
    <row r="819">
      <c r="A819">
        <f>IFERROR(INDEX('Email Cleaner'!$B$2:$B$10001,MATCH(818,'Email Cleaner'!$H$2:$H$10001,0)),"")</f>
        <v/>
      </c>
    </row>
    <row r="820">
      <c r="A820">
        <f>IFERROR(INDEX('Email Cleaner'!$B$2:$B$10001,MATCH(819,'Email Cleaner'!$H$2:$H$10001,0)),"")</f>
        <v/>
      </c>
    </row>
    <row r="821">
      <c r="A821">
        <f>IFERROR(INDEX('Email Cleaner'!$B$2:$B$10001,MATCH(820,'Email Cleaner'!$H$2:$H$10001,0)),"")</f>
        <v/>
      </c>
    </row>
    <row r="822">
      <c r="A822">
        <f>IFERROR(INDEX('Email Cleaner'!$B$2:$B$10001,MATCH(821,'Email Cleaner'!$H$2:$H$10001,0)),"")</f>
        <v/>
      </c>
    </row>
    <row r="823">
      <c r="A823">
        <f>IFERROR(INDEX('Email Cleaner'!$B$2:$B$10001,MATCH(822,'Email Cleaner'!$H$2:$H$10001,0)),"")</f>
        <v/>
      </c>
    </row>
    <row r="824">
      <c r="A824">
        <f>IFERROR(INDEX('Email Cleaner'!$B$2:$B$10001,MATCH(823,'Email Cleaner'!$H$2:$H$10001,0)),"")</f>
        <v/>
      </c>
    </row>
    <row r="825">
      <c r="A825">
        <f>IFERROR(INDEX('Email Cleaner'!$B$2:$B$10001,MATCH(824,'Email Cleaner'!$H$2:$H$10001,0)),"")</f>
        <v/>
      </c>
    </row>
    <row r="826">
      <c r="A826">
        <f>IFERROR(INDEX('Email Cleaner'!$B$2:$B$10001,MATCH(825,'Email Cleaner'!$H$2:$H$10001,0)),"")</f>
        <v/>
      </c>
    </row>
    <row r="827">
      <c r="A827">
        <f>IFERROR(INDEX('Email Cleaner'!$B$2:$B$10001,MATCH(826,'Email Cleaner'!$H$2:$H$10001,0)),"")</f>
        <v/>
      </c>
    </row>
    <row r="828">
      <c r="A828">
        <f>IFERROR(INDEX('Email Cleaner'!$B$2:$B$10001,MATCH(827,'Email Cleaner'!$H$2:$H$10001,0)),"")</f>
        <v/>
      </c>
    </row>
    <row r="829">
      <c r="A829">
        <f>IFERROR(INDEX('Email Cleaner'!$B$2:$B$10001,MATCH(828,'Email Cleaner'!$H$2:$H$10001,0)),"")</f>
        <v/>
      </c>
    </row>
    <row r="830">
      <c r="A830">
        <f>IFERROR(INDEX('Email Cleaner'!$B$2:$B$10001,MATCH(829,'Email Cleaner'!$H$2:$H$10001,0)),"")</f>
        <v/>
      </c>
    </row>
    <row r="831">
      <c r="A831">
        <f>IFERROR(INDEX('Email Cleaner'!$B$2:$B$10001,MATCH(830,'Email Cleaner'!$H$2:$H$10001,0)),"")</f>
        <v/>
      </c>
    </row>
    <row r="832">
      <c r="A832">
        <f>IFERROR(INDEX('Email Cleaner'!$B$2:$B$10001,MATCH(831,'Email Cleaner'!$H$2:$H$10001,0)),"")</f>
        <v/>
      </c>
    </row>
    <row r="833">
      <c r="A833">
        <f>IFERROR(INDEX('Email Cleaner'!$B$2:$B$10001,MATCH(832,'Email Cleaner'!$H$2:$H$10001,0)),"")</f>
        <v/>
      </c>
    </row>
    <row r="834">
      <c r="A834">
        <f>IFERROR(INDEX('Email Cleaner'!$B$2:$B$10001,MATCH(833,'Email Cleaner'!$H$2:$H$10001,0)),"")</f>
        <v/>
      </c>
    </row>
    <row r="835">
      <c r="A835">
        <f>IFERROR(INDEX('Email Cleaner'!$B$2:$B$10001,MATCH(834,'Email Cleaner'!$H$2:$H$10001,0)),"")</f>
        <v/>
      </c>
    </row>
    <row r="836">
      <c r="A836">
        <f>IFERROR(INDEX('Email Cleaner'!$B$2:$B$10001,MATCH(835,'Email Cleaner'!$H$2:$H$10001,0)),"")</f>
        <v/>
      </c>
    </row>
    <row r="837">
      <c r="A837">
        <f>IFERROR(INDEX('Email Cleaner'!$B$2:$B$10001,MATCH(836,'Email Cleaner'!$H$2:$H$10001,0)),"")</f>
        <v/>
      </c>
    </row>
    <row r="838">
      <c r="A838">
        <f>IFERROR(INDEX('Email Cleaner'!$B$2:$B$10001,MATCH(837,'Email Cleaner'!$H$2:$H$10001,0)),"")</f>
        <v/>
      </c>
    </row>
    <row r="839">
      <c r="A839">
        <f>IFERROR(INDEX('Email Cleaner'!$B$2:$B$10001,MATCH(838,'Email Cleaner'!$H$2:$H$10001,0)),"")</f>
        <v/>
      </c>
    </row>
    <row r="840">
      <c r="A840">
        <f>IFERROR(INDEX('Email Cleaner'!$B$2:$B$10001,MATCH(839,'Email Cleaner'!$H$2:$H$10001,0)),"")</f>
        <v/>
      </c>
    </row>
    <row r="841">
      <c r="A841">
        <f>IFERROR(INDEX('Email Cleaner'!$B$2:$B$10001,MATCH(840,'Email Cleaner'!$H$2:$H$10001,0)),"")</f>
        <v/>
      </c>
    </row>
    <row r="842">
      <c r="A842">
        <f>IFERROR(INDEX('Email Cleaner'!$B$2:$B$10001,MATCH(841,'Email Cleaner'!$H$2:$H$10001,0)),"")</f>
        <v/>
      </c>
    </row>
    <row r="843">
      <c r="A843">
        <f>IFERROR(INDEX('Email Cleaner'!$B$2:$B$10001,MATCH(842,'Email Cleaner'!$H$2:$H$10001,0)),"")</f>
        <v/>
      </c>
    </row>
    <row r="844">
      <c r="A844">
        <f>IFERROR(INDEX('Email Cleaner'!$B$2:$B$10001,MATCH(843,'Email Cleaner'!$H$2:$H$10001,0)),"")</f>
        <v/>
      </c>
    </row>
    <row r="845">
      <c r="A845">
        <f>IFERROR(INDEX('Email Cleaner'!$B$2:$B$10001,MATCH(844,'Email Cleaner'!$H$2:$H$10001,0)),"")</f>
        <v/>
      </c>
    </row>
    <row r="846">
      <c r="A846">
        <f>IFERROR(INDEX('Email Cleaner'!$B$2:$B$10001,MATCH(845,'Email Cleaner'!$H$2:$H$10001,0)),"")</f>
        <v/>
      </c>
    </row>
    <row r="847">
      <c r="A847">
        <f>IFERROR(INDEX('Email Cleaner'!$B$2:$B$10001,MATCH(846,'Email Cleaner'!$H$2:$H$10001,0)),"")</f>
        <v/>
      </c>
    </row>
    <row r="848">
      <c r="A848">
        <f>IFERROR(INDEX('Email Cleaner'!$B$2:$B$10001,MATCH(847,'Email Cleaner'!$H$2:$H$10001,0)),"")</f>
        <v/>
      </c>
    </row>
    <row r="849">
      <c r="A849">
        <f>IFERROR(INDEX('Email Cleaner'!$B$2:$B$10001,MATCH(848,'Email Cleaner'!$H$2:$H$10001,0)),"")</f>
        <v/>
      </c>
    </row>
    <row r="850">
      <c r="A850">
        <f>IFERROR(INDEX('Email Cleaner'!$B$2:$B$10001,MATCH(849,'Email Cleaner'!$H$2:$H$10001,0)),"")</f>
        <v/>
      </c>
    </row>
    <row r="851">
      <c r="A851">
        <f>IFERROR(INDEX('Email Cleaner'!$B$2:$B$10001,MATCH(850,'Email Cleaner'!$H$2:$H$10001,0)),"")</f>
        <v/>
      </c>
    </row>
    <row r="852">
      <c r="A852">
        <f>IFERROR(INDEX('Email Cleaner'!$B$2:$B$10001,MATCH(851,'Email Cleaner'!$H$2:$H$10001,0)),"")</f>
        <v/>
      </c>
    </row>
    <row r="853">
      <c r="A853">
        <f>IFERROR(INDEX('Email Cleaner'!$B$2:$B$10001,MATCH(852,'Email Cleaner'!$H$2:$H$10001,0)),"")</f>
        <v/>
      </c>
    </row>
    <row r="854">
      <c r="A854">
        <f>IFERROR(INDEX('Email Cleaner'!$B$2:$B$10001,MATCH(853,'Email Cleaner'!$H$2:$H$10001,0)),"")</f>
        <v/>
      </c>
    </row>
    <row r="855">
      <c r="A855">
        <f>IFERROR(INDEX('Email Cleaner'!$B$2:$B$10001,MATCH(854,'Email Cleaner'!$H$2:$H$10001,0)),"")</f>
        <v/>
      </c>
    </row>
    <row r="856">
      <c r="A856">
        <f>IFERROR(INDEX('Email Cleaner'!$B$2:$B$10001,MATCH(855,'Email Cleaner'!$H$2:$H$10001,0)),"")</f>
        <v/>
      </c>
    </row>
    <row r="857">
      <c r="A857">
        <f>IFERROR(INDEX('Email Cleaner'!$B$2:$B$10001,MATCH(856,'Email Cleaner'!$H$2:$H$10001,0)),"")</f>
        <v/>
      </c>
    </row>
    <row r="858">
      <c r="A858">
        <f>IFERROR(INDEX('Email Cleaner'!$B$2:$B$10001,MATCH(857,'Email Cleaner'!$H$2:$H$10001,0)),"")</f>
        <v/>
      </c>
    </row>
    <row r="859">
      <c r="A859">
        <f>IFERROR(INDEX('Email Cleaner'!$B$2:$B$10001,MATCH(858,'Email Cleaner'!$H$2:$H$10001,0)),"")</f>
        <v/>
      </c>
    </row>
    <row r="860">
      <c r="A860">
        <f>IFERROR(INDEX('Email Cleaner'!$B$2:$B$10001,MATCH(859,'Email Cleaner'!$H$2:$H$10001,0)),"")</f>
        <v/>
      </c>
    </row>
    <row r="861">
      <c r="A861">
        <f>IFERROR(INDEX('Email Cleaner'!$B$2:$B$10001,MATCH(860,'Email Cleaner'!$H$2:$H$10001,0)),"")</f>
        <v/>
      </c>
    </row>
    <row r="862">
      <c r="A862">
        <f>IFERROR(INDEX('Email Cleaner'!$B$2:$B$10001,MATCH(861,'Email Cleaner'!$H$2:$H$10001,0)),"")</f>
        <v/>
      </c>
    </row>
    <row r="863">
      <c r="A863">
        <f>IFERROR(INDEX('Email Cleaner'!$B$2:$B$10001,MATCH(862,'Email Cleaner'!$H$2:$H$10001,0)),"")</f>
        <v/>
      </c>
    </row>
    <row r="864">
      <c r="A864">
        <f>IFERROR(INDEX('Email Cleaner'!$B$2:$B$10001,MATCH(863,'Email Cleaner'!$H$2:$H$10001,0)),"")</f>
        <v/>
      </c>
    </row>
    <row r="865">
      <c r="A865">
        <f>IFERROR(INDEX('Email Cleaner'!$B$2:$B$10001,MATCH(864,'Email Cleaner'!$H$2:$H$10001,0)),"")</f>
        <v/>
      </c>
    </row>
    <row r="866">
      <c r="A866">
        <f>IFERROR(INDEX('Email Cleaner'!$B$2:$B$10001,MATCH(865,'Email Cleaner'!$H$2:$H$10001,0)),"")</f>
        <v/>
      </c>
    </row>
    <row r="867">
      <c r="A867">
        <f>IFERROR(INDEX('Email Cleaner'!$B$2:$B$10001,MATCH(866,'Email Cleaner'!$H$2:$H$10001,0)),"")</f>
        <v/>
      </c>
    </row>
    <row r="868">
      <c r="A868">
        <f>IFERROR(INDEX('Email Cleaner'!$B$2:$B$10001,MATCH(867,'Email Cleaner'!$H$2:$H$10001,0)),"")</f>
        <v/>
      </c>
    </row>
    <row r="869">
      <c r="A869">
        <f>IFERROR(INDEX('Email Cleaner'!$B$2:$B$10001,MATCH(868,'Email Cleaner'!$H$2:$H$10001,0)),"")</f>
        <v/>
      </c>
    </row>
    <row r="870">
      <c r="A870">
        <f>IFERROR(INDEX('Email Cleaner'!$B$2:$B$10001,MATCH(869,'Email Cleaner'!$H$2:$H$10001,0)),"")</f>
        <v/>
      </c>
    </row>
    <row r="871">
      <c r="A871">
        <f>IFERROR(INDEX('Email Cleaner'!$B$2:$B$10001,MATCH(870,'Email Cleaner'!$H$2:$H$10001,0)),"")</f>
        <v/>
      </c>
    </row>
    <row r="872">
      <c r="A872">
        <f>IFERROR(INDEX('Email Cleaner'!$B$2:$B$10001,MATCH(871,'Email Cleaner'!$H$2:$H$10001,0)),"")</f>
        <v/>
      </c>
    </row>
    <row r="873">
      <c r="A873">
        <f>IFERROR(INDEX('Email Cleaner'!$B$2:$B$10001,MATCH(872,'Email Cleaner'!$H$2:$H$10001,0)),"")</f>
        <v/>
      </c>
    </row>
    <row r="874">
      <c r="A874">
        <f>IFERROR(INDEX('Email Cleaner'!$B$2:$B$10001,MATCH(873,'Email Cleaner'!$H$2:$H$10001,0)),"")</f>
        <v/>
      </c>
    </row>
    <row r="875">
      <c r="A875">
        <f>IFERROR(INDEX('Email Cleaner'!$B$2:$B$10001,MATCH(874,'Email Cleaner'!$H$2:$H$10001,0)),"")</f>
        <v/>
      </c>
    </row>
    <row r="876">
      <c r="A876">
        <f>IFERROR(INDEX('Email Cleaner'!$B$2:$B$10001,MATCH(875,'Email Cleaner'!$H$2:$H$10001,0)),"")</f>
        <v/>
      </c>
    </row>
    <row r="877">
      <c r="A877">
        <f>IFERROR(INDEX('Email Cleaner'!$B$2:$B$10001,MATCH(876,'Email Cleaner'!$H$2:$H$10001,0)),"")</f>
        <v/>
      </c>
    </row>
    <row r="878">
      <c r="A878">
        <f>IFERROR(INDEX('Email Cleaner'!$B$2:$B$10001,MATCH(877,'Email Cleaner'!$H$2:$H$10001,0)),"")</f>
        <v/>
      </c>
    </row>
    <row r="879">
      <c r="A879">
        <f>IFERROR(INDEX('Email Cleaner'!$B$2:$B$10001,MATCH(878,'Email Cleaner'!$H$2:$H$10001,0)),"")</f>
        <v/>
      </c>
    </row>
    <row r="880">
      <c r="A880">
        <f>IFERROR(INDEX('Email Cleaner'!$B$2:$B$10001,MATCH(879,'Email Cleaner'!$H$2:$H$10001,0)),"")</f>
        <v/>
      </c>
    </row>
    <row r="881">
      <c r="A881">
        <f>IFERROR(INDEX('Email Cleaner'!$B$2:$B$10001,MATCH(880,'Email Cleaner'!$H$2:$H$10001,0)),"")</f>
        <v/>
      </c>
    </row>
    <row r="882">
      <c r="A882">
        <f>IFERROR(INDEX('Email Cleaner'!$B$2:$B$10001,MATCH(881,'Email Cleaner'!$H$2:$H$10001,0)),"")</f>
        <v/>
      </c>
    </row>
    <row r="883">
      <c r="A883">
        <f>IFERROR(INDEX('Email Cleaner'!$B$2:$B$10001,MATCH(882,'Email Cleaner'!$H$2:$H$10001,0)),"")</f>
        <v/>
      </c>
    </row>
    <row r="884">
      <c r="A884">
        <f>IFERROR(INDEX('Email Cleaner'!$B$2:$B$10001,MATCH(883,'Email Cleaner'!$H$2:$H$10001,0)),"")</f>
        <v/>
      </c>
    </row>
    <row r="885">
      <c r="A885">
        <f>IFERROR(INDEX('Email Cleaner'!$B$2:$B$10001,MATCH(884,'Email Cleaner'!$H$2:$H$10001,0)),"")</f>
        <v/>
      </c>
    </row>
    <row r="886">
      <c r="A886">
        <f>IFERROR(INDEX('Email Cleaner'!$B$2:$B$10001,MATCH(885,'Email Cleaner'!$H$2:$H$10001,0)),"")</f>
        <v/>
      </c>
    </row>
    <row r="887">
      <c r="A887">
        <f>IFERROR(INDEX('Email Cleaner'!$B$2:$B$10001,MATCH(886,'Email Cleaner'!$H$2:$H$10001,0)),"")</f>
        <v/>
      </c>
    </row>
    <row r="888">
      <c r="A888">
        <f>IFERROR(INDEX('Email Cleaner'!$B$2:$B$10001,MATCH(887,'Email Cleaner'!$H$2:$H$10001,0)),"")</f>
        <v/>
      </c>
    </row>
    <row r="889">
      <c r="A889">
        <f>IFERROR(INDEX('Email Cleaner'!$B$2:$B$10001,MATCH(888,'Email Cleaner'!$H$2:$H$10001,0)),"")</f>
        <v/>
      </c>
    </row>
    <row r="890">
      <c r="A890">
        <f>IFERROR(INDEX('Email Cleaner'!$B$2:$B$10001,MATCH(889,'Email Cleaner'!$H$2:$H$10001,0)),"")</f>
        <v/>
      </c>
    </row>
    <row r="891">
      <c r="A891">
        <f>IFERROR(INDEX('Email Cleaner'!$B$2:$B$10001,MATCH(890,'Email Cleaner'!$H$2:$H$10001,0)),"")</f>
        <v/>
      </c>
    </row>
    <row r="892">
      <c r="A892">
        <f>IFERROR(INDEX('Email Cleaner'!$B$2:$B$10001,MATCH(891,'Email Cleaner'!$H$2:$H$10001,0)),"")</f>
        <v/>
      </c>
    </row>
    <row r="893">
      <c r="A893">
        <f>IFERROR(INDEX('Email Cleaner'!$B$2:$B$10001,MATCH(892,'Email Cleaner'!$H$2:$H$10001,0)),"")</f>
        <v/>
      </c>
    </row>
    <row r="894">
      <c r="A894">
        <f>IFERROR(INDEX('Email Cleaner'!$B$2:$B$10001,MATCH(893,'Email Cleaner'!$H$2:$H$10001,0)),"")</f>
        <v/>
      </c>
    </row>
    <row r="895">
      <c r="A895">
        <f>IFERROR(INDEX('Email Cleaner'!$B$2:$B$10001,MATCH(894,'Email Cleaner'!$H$2:$H$10001,0)),"")</f>
        <v/>
      </c>
    </row>
    <row r="896">
      <c r="A896">
        <f>IFERROR(INDEX('Email Cleaner'!$B$2:$B$10001,MATCH(895,'Email Cleaner'!$H$2:$H$10001,0)),"")</f>
        <v/>
      </c>
    </row>
    <row r="897">
      <c r="A897">
        <f>IFERROR(INDEX('Email Cleaner'!$B$2:$B$10001,MATCH(896,'Email Cleaner'!$H$2:$H$10001,0)),"")</f>
        <v/>
      </c>
    </row>
    <row r="898">
      <c r="A898">
        <f>IFERROR(INDEX('Email Cleaner'!$B$2:$B$10001,MATCH(897,'Email Cleaner'!$H$2:$H$10001,0)),"")</f>
        <v/>
      </c>
    </row>
    <row r="899">
      <c r="A899">
        <f>IFERROR(INDEX('Email Cleaner'!$B$2:$B$10001,MATCH(898,'Email Cleaner'!$H$2:$H$10001,0)),"")</f>
        <v/>
      </c>
    </row>
    <row r="900">
      <c r="A900">
        <f>IFERROR(INDEX('Email Cleaner'!$B$2:$B$10001,MATCH(899,'Email Cleaner'!$H$2:$H$10001,0)),"")</f>
        <v/>
      </c>
    </row>
    <row r="901">
      <c r="A901">
        <f>IFERROR(INDEX('Email Cleaner'!$B$2:$B$10001,MATCH(900,'Email Cleaner'!$H$2:$H$10001,0)),"")</f>
        <v/>
      </c>
    </row>
    <row r="902">
      <c r="A902">
        <f>IFERROR(INDEX('Email Cleaner'!$B$2:$B$10001,MATCH(901,'Email Cleaner'!$H$2:$H$10001,0)),"")</f>
        <v/>
      </c>
    </row>
    <row r="903">
      <c r="A903">
        <f>IFERROR(INDEX('Email Cleaner'!$B$2:$B$10001,MATCH(902,'Email Cleaner'!$H$2:$H$10001,0)),"")</f>
        <v/>
      </c>
    </row>
    <row r="904">
      <c r="A904">
        <f>IFERROR(INDEX('Email Cleaner'!$B$2:$B$10001,MATCH(903,'Email Cleaner'!$H$2:$H$10001,0)),"")</f>
        <v/>
      </c>
    </row>
    <row r="905">
      <c r="A905">
        <f>IFERROR(INDEX('Email Cleaner'!$B$2:$B$10001,MATCH(904,'Email Cleaner'!$H$2:$H$10001,0)),"")</f>
        <v/>
      </c>
    </row>
    <row r="906">
      <c r="A906">
        <f>IFERROR(INDEX('Email Cleaner'!$B$2:$B$10001,MATCH(905,'Email Cleaner'!$H$2:$H$10001,0)),"")</f>
        <v/>
      </c>
    </row>
    <row r="907">
      <c r="A907">
        <f>IFERROR(INDEX('Email Cleaner'!$B$2:$B$10001,MATCH(906,'Email Cleaner'!$H$2:$H$10001,0)),"")</f>
        <v/>
      </c>
    </row>
    <row r="908">
      <c r="A908">
        <f>IFERROR(INDEX('Email Cleaner'!$B$2:$B$10001,MATCH(907,'Email Cleaner'!$H$2:$H$10001,0)),"")</f>
        <v/>
      </c>
    </row>
    <row r="909">
      <c r="A909">
        <f>IFERROR(INDEX('Email Cleaner'!$B$2:$B$10001,MATCH(908,'Email Cleaner'!$H$2:$H$10001,0)),"")</f>
        <v/>
      </c>
    </row>
    <row r="910">
      <c r="A910">
        <f>IFERROR(INDEX('Email Cleaner'!$B$2:$B$10001,MATCH(909,'Email Cleaner'!$H$2:$H$10001,0)),"")</f>
        <v/>
      </c>
    </row>
    <row r="911">
      <c r="A911">
        <f>IFERROR(INDEX('Email Cleaner'!$B$2:$B$10001,MATCH(910,'Email Cleaner'!$H$2:$H$10001,0)),"")</f>
        <v/>
      </c>
    </row>
    <row r="912">
      <c r="A912">
        <f>IFERROR(INDEX('Email Cleaner'!$B$2:$B$10001,MATCH(911,'Email Cleaner'!$H$2:$H$10001,0)),"")</f>
        <v/>
      </c>
    </row>
    <row r="913">
      <c r="A913">
        <f>IFERROR(INDEX('Email Cleaner'!$B$2:$B$10001,MATCH(912,'Email Cleaner'!$H$2:$H$10001,0)),"")</f>
        <v/>
      </c>
    </row>
    <row r="914">
      <c r="A914">
        <f>IFERROR(INDEX('Email Cleaner'!$B$2:$B$10001,MATCH(913,'Email Cleaner'!$H$2:$H$10001,0)),"")</f>
        <v/>
      </c>
    </row>
    <row r="915">
      <c r="A915">
        <f>IFERROR(INDEX('Email Cleaner'!$B$2:$B$10001,MATCH(914,'Email Cleaner'!$H$2:$H$10001,0)),"")</f>
        <v/>
      </c>
    </row>
    <row r="916">
      <c r="A916">
        <f>IFERROR(INDEX('Email Cleaner'!$B$2:$B$10001,MATCH(915,'Email Cleaner'!$H$2:$H$10001,0)),"")</f>
        <v/>
      </c>
    </row>
    <row r="917">
      <c r="A917">
        <f>IFERROR(INDEX('Email Cleaner'!$B$2:$B$10001,MATCH(916,'Email Cleaner'!$H$2:$H$10001,0)),"")</f>
        <v/>
      </c>
    </row>
    <row r="918">
      <c r="A918">
        <f>IFERROR(INDEX('Email Cleaner'!$B$2:$B$10001,MATCH(917,'Email Cleaner'!$H$2:$H$10001,0)),"")</f>
        <v/>
      </c>
    </row>
    <row r="919">
      <c r="A919">
        <f>IFERROR(INDEX('Email Cleaner'!$B$2:$B$10001,MATCH(918,'Email Cleaner'!$H$2:$H$10001,0)),"")</f>
        <v/>
      </c>
    </row>
    <row r="920">
      <c r="A920">
        <f>IFERROR(INDEX('Email Cleaner'!$B$2:$B$10001,MATCH(919,'Email Cleaner'!$H$2:$H$10001,0)),"")</f>
        <v/>
      </c>
    </row>
    <row r="921">
      <c r="A921">
        <f>IFERROR(INDEX('Email Cleaner'!$B$2:$B$10001,MATCH(920,'Email Cleaner'!$H$2:$H$10001,0)),"")</f>
        <v/>
      </c>
    </row>
    <row r="922">
      <c r="A922">
        <f>IFERROR(INDEX('Email Cleaner'!$B$2:$B$10001,MATCH(921,'Email Cleaner'!$H$2:$H$10001,0)),"")</f>
        <v/>
      </c>
    </row>
    <row r="923">
      <c r="A923">
        <f>IFERROR(INDEX('Email Cleaner'!$B$2:$B$10001,MATCH(922,'Email Cleaner'!$H$2:$H$10001,0)),"")</f>
        <v/>
      </c>
    </row>
    <row r="924">
      <c r="A924">
        <f>IFERROR(INDEX('Email Cleaner'!$B$2:$B$10001,MATCH(923,'Email Cleaner'!$H$2:$H$10001,0)),"")</f>
        <v/>
      </c>
    </row>
    <row r="925">
      <c r="A925">
        <f>IFERROR(INDEX('Email Cleaner'!$B$2:$B$10001,MATCH(924,'Email Cleaner'!$H$2:$H$10001,0)),"")</f>
        <v/>
      </c>
    </row>
    <row r="926">
      <c r="A926">
        <f>IFERROR(INDEX('Email Cleaner'!$B$2:$B$10001,MATCH(925,'Email Cleaner'!$H$2:$H$10001,0)),"")</f>
        <v/>
      </c>
    </row>
    <row r="927">
      <c r="A927">
        <f>IFERROR(INDEX('Email Cleaner'!$B$2:$B$10001,MATCH(926,'Email Cleaner'!$H$2:$H$10001,0)),"")</f>
        <v/>
      </c>
    </row>
    <row r="928">
      <c r="A928">
        <f>IFERROR(INDEX('Email Cleaner'!$B$2:$B$10001,MATCH(927,'Email Cleaner'!$H$2:$H$10001,0)),"")</f>
        <v/>
      </c>
    </row>
    <row r="929">
      <c r="A929">
        <f>IFERROR(INDEX('Email Cleaner'!$B$2:$B$10001,MATCH(928,'Email Cleaner'!$H$2:$H$10001,0)),"")</f>
        <v/>
      </c>
    </row>
    <row r="930">
      <c r="A930">
        <f>IFERROR(INDEX('Email Cleaner'!$B$2:$B$10001,MATCH(929,'Email Cleaner'!$H$2:$H$10001,0)),"")</f>
        <v/>
      </c>
    </row>
    <row r="931">
      <c r="A931">
        <f>IFERROR(INDEX('Email Cleaner'!$B$2:$B$10001,MATCH(930,'Email Cleaner'!$H$2:$H$10001,0)),"")</f>
        <v/>
      </c>
    </row>
    <row r="932">
      <c r="A932">
        <f>IFERROR(INDEX('Email Cleaner'!$B$2:$B$10001,MATCH(931,'Email Cleaner'!$H$2:$H$10001,0)),"")</f>
        <v/>
      </c>
    </row>
    <row r="933">
      <c r="A933">
        <f>IFERROR(INDEX('Email Cleaner'!$B$2:$B$10001,MATCH(932,'Email Cleaner'!$H$2:$H$10001,0)),"")</f>
        <v/>
      </c>
    </row>
    <row r="934">
      <c r="A934">
        <f>IFERROR(INDEX('Email Cleaner'!$B$2:$B$10001,MATCH(933,'Email Cleaner'!$H$2:$H$10001,0)),"")</f>
        <v/>
      </c>
    </row>
    <row r="935">
      <c r="A935">
        <f>IFERROR(INDEX('Email Cleaner'!$B$2:$B$10001,MATCH(934,'Email Cleaner'!$H$2:$H$10001,0)),"")</f>
        <v/>
      </c>
    </row>
    <row r="936">
      <c r="A936">
        <f>IFERROR(INDEX('Email Cleaner'!$B$2:$B$10001,MATCH(935,'Email Cleaner'!$H$2:$H$10001,0)),"")</f>
        <v/>
      </c>
    </row>
    <row r="937">
      <c r="A937">
        <f>IFERROR(INDEX('Email Cleaner'!$B$2:$B$10001,MATCH(936,'Email Cleaner'!$H$2:$H$10001,0)),"")</f>
        <v/>
      </c>
    </row>
    <row r="938">
      <c r="A938">
        <f>IFERROR(INDEX('Email Cleaner'!$B$2:$B$10001,MATCH(937,'Email Cleaner'!$H$2:$H$10001,0)),"")</f>
        <v/>
      </c>
    </row>
    <row r="939">
      <c r="A939">
        <f>IFERROR(INDEX('Email Cleaner'!$B$2:$B$10001,MATCH(938,'Email Cleaner'!$H$2:$H$10001,0)),"")</f>
        <v/>
      </c>
    </row>
    <row r="940">
      <c r="A940">
        <f>IFERROR(INDEX('Email Cleaner'!$B$2:$B$10001,MATCH(939,'Email Cleaner'!$H$2:$H$10001,0)),"")</f>
        <v/>
      </c>
    </row>
    <row r="941">
      <c r="A941">
        <f>IFERROR(INDEX('Email Cleaner'!$B$2:$B$10001,MATCH(940,'Email Cleaner'!$H$2:$H$10001,0)),"")</f>
        <v/>
      </c>
    </row>
    <row r="942">
      <c r="A942">
        <f>IFERROR(INDEX('Email Cleaner'!$B$2:$B$10001,MATCH(941,'Email Cleaner'!$H$2:$H$10001,0)),"")</f>
        <v/>
      </c>
    </row>
    <row r="943">
      <c r="A943">
        <f>IFERROR(INDEX('Email Cleaner'!$B$2:$B$10001,MATCH(942,'Email Cleaner'!$H$2:$H$10001,0)),"")</f>
        <v/>
      </c>
    </row>
    <row r="944">
      <c r="A944">
        <f>IFERROR(INDEX('Email Cleaner'!$B$2:$B$10001,MATCH(943,'Email Cleaner'!$H$2:$H$10001,0)),"")</f>
        <v/>
      </c>
    </row>
    <row r="945">
      <c r="A945">
        <f>IFERROR(INDEX('Email Cleaner'!$B$2:$B$10001,MATCH(944,'Email Cleaner'!$H$2:$H$10001,0)),"")</f>
        <v/>
      </c>
    </row>
    <row r="946">
      <c r="A946">
        <f>IFERROR(INDEX('Email Cleaner'!$B$2:$B$10001,MATCH(945,'Email Cleaner'!$H$2:$H$10001,0)),"")</f>
        <v/>
      </c>
    </row>
    <row r="947">
      <c r="A947">
        <f>IFERROR(INDEX('Email Cleaner'!$B$2:$B$10001,MATCH(946,'Email Cleaner'!$H$2:$H$10001,0)),"")</f>
        <v/>
      </c>
    </row>
    <row r="948">
      <c r="A948">
        <f>IFERROR(INDEX('Email Cleaner'!$B$2:$B$10001,MATCH(947,'Email Cleaner'!$H$2:$H$10001,0)),"")</f>
        <v/>
      </c>
    </row>
    <row r="949">
      <c r="A949">
        <f>IFERROR(INDEX('Email Cleaner'!$B$2:$B$10001,MATCH(948,'Email Cleaner'!$H$2:$H$10001,0)),"")</f>
        <v/>
      </c>
    </row>
    <row r="950">
      <c r="A950">
        <f>IFERROR(INDEX('Email Cleaner'!$B$2:$B$10001,MATCH(949,'Email Cleaner'!$H$2:$H$10001,0)),"")</f>
        <v/>
      </c>
    </row>
    <row r="951">
      <c r="A951">
        <f>IFERROR(INDEX('Email Cleaner'!$B$2:$B$10001,MATCH(950,'Email Cleaner'!$H$2:$H$10001,0)),"")</f>
        <v/>
      </c>
    </row>
    <row r="952">
      <c r="A952">
        <f>IFERROR(INDEX('Email Cleaner'!$B$2:$B$10001,MATCH(951,'Email Cleaner'!$H$2:$H$10001,0)),"")</f>
        <v/>
      </c>
    </row>
    <row r="953">
      <c r="A953">
        <f>IFERROR(INDEX('Email Cleaner'!$B$2:$B$10001,MATCH(952,'Email Cleaner'!$H$2:$H$10001,0)),"")</f>
        <v/>
      </c>
    </row>
    <row r="954">
      <c r="A954">
        <f>IFERROR(INDEX('Email Cleaner'!$B$2:$B$10001,MATCH(953,'Email Cleaner'!$H$2:$H$10001,0)),"")</f>
        <v/>
      </c>
    </row>
    <row r="955">
      <c r="A955">
        <f>IFERROR(INDEX('Email Cleaner'!$B$2:$B$10001,MATCH(954,'Email Cleaner'!$H$2:$H$10001,0)),"")</f>
        <v/>
      </c>
    </row>
    <row r="956">
      <c r="A956">
        <f>IFERROR(INDEX('Email Cleaner'!$B$2:$B$10001,MATCH(955,'Email Cleaner'!$H$2:$H$10001,0)),"")</f>
        <v/>
      </c>
    </row>
    <row r="957">
      <c r="A957">
        <f>IFERROR(INDEX('Email Cleaner'!$B$2:$B$10001,MATCH(956,'Email Cleaner'!$H$2:$H$10001,0)),"")</f>
        <v/>
      </c>
    </row>
    <row r="958">
      <c r="A958">
        <f>IFERROR(INDEX('Email Cleaner'!$B$2:$B$10001,MATCH(957,'Email Cleaner'!$H$2:$H$10001,0)),"")</f>
        <v/>
      </c>
    </row>
    <row r="959">
      <c r="A959">
        <f>IFERROR(INDEX('Email Cleaner'!$B$2:$B$10001,MATCH(958,'Email Cleaner'!$H$2:$H$10001,0)),"")</f>
        <v/>
      </c>
    </row>
    <row r="960">
      <c r="A960">
        <f>IFERROR(INDEX('Email Cleaner'!$B$2:$B$10001,MATCH(959,'Email Cleaner'!$H$2:$H$10001,0)),"")</f>
        <v/>
      </c>
    </row>
    <row r="961">
      <c r="A961">
        <f>IFERROR(INDEX('Email Cleaner'!$B$2:$B$10001,MATCH(960,'Email Cleaner'!$H$2:$H$10001,0)),"")</f>
        <v/>
      </c>
    </row>
    <row r="962">
      <c r="A962">
        <f>IFERROR(INDEX('Email Cleaner'!$B$2:$B$10001,MATCH(961,'Email Cleaner'!$H$2:$H$10001,0)),"")</f>
        <v/>
      </c>
    </row>
    <row r="963">
      <c r="A963">
        <f>IFERROR(INDEX('Email Cleaner'!$B$2:$B$10001,MATCH(962,'Email Cleaner'!$H$2:$H$10001,0)),"")</f>
        <v/>
      </c>
    </row>
    <row r="964">
      <c r="A964">
        <f>IFERROR(INDEX('Email Cleaner'!$B$2:$B$10001,MATCH(963,'Email Cleaner'!$H$2:$H$10001,0)),"")</f>
        <v/>
      </c>
    </row>
    <row r="965">
      <c r="A965">
        <f>IFERROR(INDEX('Email Cleaner'!$B$2:$B$10001,MATCH(964,'Email Cleaner'!$H$2:$H$10001,0)),"")</f>
        <v/>
      </c>
    </row>
    <row r="966">
      <c r="A966">
        <f>IFERROR(INDEX('Email Cleaner'!$B$2:$B$10001,MATCH(965,'Email Cleaner'!$H$2:$H$10001,0)),"")</f>
        <v/>
      </c>
    </row>
    <row r="967">
      <c r="A967">
        <f>IFERROR(INDEX('Email Cleaner'!$B$2:$B$10001,MATCH(966,'Email Cleaner'!$H$2:$H$10001,0)),"")</f>
        <v/>
      </c>
    </row>
    <row r="968">
      <c r="A968">
        <f>IFERROR(INDEX('Email Cleaner'!$B$2:$B$10001,MATCH(967,'Email Cleaner'!$H$2:$H$10001,0)),"")</f>
        <v/>
      </c>
    </row>
    <row r="969">
      <c r="A969">
        <f>IFERROR(INDEX('Email Cleaner'!$B$2:$B$10001,MATCH(968,'Email Cleaner'!$H$2:$H$10001,0)),"")</f>
        <v/>
      </c>
    </row>
    <row r="970">
      <c r="A970">
        <f>IFERROR(INDEX('Email Cleaner'!$B$2:$B$10001,MATCH(969,'Email Cleaner'!$H$2:$H$10001,0)),"")</f>
        <v/>
      </c>
    </row>
    <row r="971">
      <c r="A971">
        <f>IFERROR(INDEX('Email Cleaner'!$B$2:$B$10001,MATCH(970,'Email Cleaner'!$H$2:$H$10001,0)),"")</f>
        <v/>
      </c>
    </row>
    <row r="972">
      <c r="A972">
        <f>IFERROR(INDEX('Email Cleaner'!$B$2:$B$10001,MATCH(971,'Email Cleaner'!$H$2:$H$10001,0)),"")</f>
        <v/>
      </c>
    </row>
    <row r="973">
      <c r="A973">
        <f>IFERROR(INDEX('Email Cleaner'!$B$2:$B$10001,MATCH(972,'Email Cleaner'!$H$2:$H$10001,0)),"")</f>
        <v/>
      </c>
    </row>
    <row r="974">
      <c r="A974">
        <f>IFERROR(INDEX('Email Cleaner'!$B$2:$B$10001,MATCH(973,'Email Cleaner'!$H$2:$H$10001,0)),"")</f>
        <v/>
      </c>
    </row>
    <row r="975">
      <c r="A975">
        <f>IFERROR(INDEX('Email Cleaner'!$B$2:$B$10001,MATCH(974,'Email Cleaner'!$H$2:$H$10001,0)),"")</f>
        <v/>
      </c>
    </row>
    <row r="976">
      <c r="A976">
        <f>IFERROR(INDEX('Email Cleaner'!$B$2:$B$10001,MATCH(975,'Email Cleaner'!$H$2:$H$10001,0)),"")</f>
        <v/>
      </c>
    </row>
    <row r="977">
      <c r="A977">
        <f>IFERROR(INDEX('Email Cleaner'!$B$2:$B$10001,MATCH(976,'Email Cleaner'!$H$2:$H$10001,0)),"")</f>
        <v/>
      </c>
    </row>
    <row r="978">
      <c r="A978">
        <f>IFERROR(INDEX('Email Cleaner'!$B$2:$B$10001,MATCH(977,'Email Cleaner'!$H$2:$H$10001,0)),"")</f>
        <v/>
      </c>
    </row>
    <row r="979">
      <c r="A979">
        <f>IFERROR(INDEX('Email Cleaner'!$B$2:$B$10001,MATCH(978,'Email Cleaner'!$H$2:$H$10001,0)),"")</f>
        <v/>
      </c>
    </row>
    <row r="980">
      <c r="A980">
        <f>IFERROR(INDEX('Email Cleaner'!$B$2:$B$10001,MATCH(979,'Email Cleaner'!$H$2:$H$10001,0)),"")</f>
        <v/>
      </c>
    </row>
    <row r="981">
      <c r="A981">
        <f>IFERROR(INDEX('Email Cleaner'!$B$2:$B$10001,MATCH(980,'Email Cleaner'!$H$2:$H$10001,0)),"")</f>
        <v/>
      </c>
    </row>
    <row r="982">
      <c r="A982">
        <f>IFERROR(INDEX('Email Cleaner'!$B$2:$B$10001,MATCH(981,'Email Cleaner'!$H$2:$H$10001,0)),"")</f>
        <v/>
      </c>
    </row>
    <row r="983">
      <c r="A983">
        <f>IFERROR(INDEX('Email Cleaner'!$B$2:$B$10001,MATCH(982,'Email Cleaner'!$H$2:$H$10001,0)),"")</f>
        <v/>
      </c>
    </row>
    <row r="984">
      <c r="A984">
        <f>IFERROR(INDEX('Email Cleaner'!$B$2:$B$10001,MATCH(983,'Email Cleaner'!$H$2:$H$10001,0)),"")</f>
        <v/>
      </c>
    </row>
    <row r="985">
      <c r="A985">
        <f>IFERROR(INDEX('Email Cleaner'!$B$2:$B$10001,MATCH(984,'Email Cleaner'!$H$2:$H$10001,0)),"")</f>
        <v/>
      </c>
    </row>
    <row r="986">
      <c r="A986">
        <f>IFERROR(INDEX('Email Cleaner'!$B$2:$B$10001,MATCH(985,'Email Cleaner'!$H$2:$H$10001,0)),"")</f>
        <v/>
      </c>
    </row>
    <row r="987">
      <c r="A987">
        <f>IFERROR(INDEX('Email Cleaner'!$B$2:$B$10001,MATCH(986,'Email Cleaner'!$H$2:$H$10001,0)),"")</f>
        <v/>
      </c>
    </row>
    <row r="988">
      <c r="A988">
        <f>IFERROR(INDEX('Email Cleaner'!$B$2:$B$10001,MATCH(987,'Email Cleaner'!$H$2:$H$10001,0)),"")</f>
        <v/>
      </c>
    </row>
    <row r="989">
      <c r="A989">
        <f>IFERROR(INDEX('Email Cleaner'!$B$2:$B$10001,MATCH(988,'Email Cleaner'!$H$2:$H$10001,0)),"")</f>
        <v/>
      </c>
    </row>
    <row r="990">
      <c r="A990">
        <f>IFERROR(INDEX('Email Cleaner'!$B$2:$B$10001,MATCH(989,'Email Cleaner'!$H$2:$H$10001,0)),"")</f>
        <v/>
      </c>
    </row>
    <row r="991">
      <c r="A991">
        <f>IFERROR(INDEX('Email Cleaner'!$B$2:$B$10001,MATCH(990,'Email Cleaner'!$H$2:$H$10001,0)),"")</f>
        <v/>
      </c>
    </row>
    <row r="992">
      <c r="A992">
        <f>IFERROR(INDEX('Email Cleaner'!$B$2:$B$10001,MATCH(991,'Email Cleaner'!$H$2:$H$10001,0)),"")</f>
        <v/>
      </c>
    </row>
    <row r="993">
      <c r="A993">
        <f>IFERROR(INDEX('Email Cleaner'!$B$2:$B$10001,MATCH(992,'Email Cleaner'!$H$2:$H$10001,0)),"")</f>
        <v/>
      </c>
    </row>
    <row r="994">
      <c r="A994">
        <f>IFERROR(INDEX('Email Cleaner'!$B$2:$B$10001,MATCH(993,'Email Cleaner'!$H$2:$H$10001,0)),"")</f>
        <v/>
      </c>
    </row>
    <row r="995">
      <c r="A995">
        <f>IFERROR(INDEX('Email Cleaner'!$B$2:$B$10001,MATCH(994,'Email Cleaner'!$H$2:$H$10001,0)),"")</f>
        <v/>
      </c>
    </row>
    <row r="996">
      <c r="A996">
        <f>IFERROR(INDEX('Email Cleaner'!$B$2:$B$10001,MATCH(995,'Email Cleaner'!$H$2:$H$10001,0)),"")</f>
        <v/>
      </c>
    </row>
    <row r="997">
      <c r="A997">
        <f>IFERROR(INDEX('Email Cleaner'!$B$2:$B$10001,MATCH(996,'Email Cleaner'!$H$2:$H$10001,0)),"")</f>
        <v/>
      </c>
    </row>
    <row r="998">
      <c r="A998">
        <f>IFERROR(INDEX('Email Cleaner'!$B$2:$B$10001,MATCH(997,'Email Cleaner'!$H$2:$H$10001,0)),"")</f>
        <v/>
      </c>
    </row>
    <row r="999">
      <c r="A999">
        <f>IFERROR(INDEX('Email Cleaner'!$B$2:$B$10001,MATCH(998,'Email Cleaner'!$H$2:$H$10001,0)),"")</f>
        <v/>
      </c>
    </row>
    <row r="1000">
      <c r="A1000">
        <f>IFERROR(INDEX('Email Cleaner'!$B$2:$B$10001,MATCH(999,'Email Cleaner'!$H$2:$H$10001,0)),"")</f>
        <v/>
      </c>
    </row>
    <row r="1001">
      <c r="A1001">
        <f>IFERROR(INDEX('Email Cleaner'!$B$2:$B$10001,MATCH(1000,'Email Cleaner'!$H$2:$H$10001,0)),"")</f>
        <v/>
      </c>
    </row>
    <row r="1002">
      <c r="A1002">
        <f>IFERROR(INDEX('Email Cleaner'!$B$2:$B$10001,MATCH(1001,'Email Cleaner'!$H$2:$H$10001,0)),"")</f>
        <v/>
      </c>
    </row>
    <row r="1003">
      <c r="A1003">
        <f>IFERROR(INDEX('Email Cleaner'!$B$2:$B$10001,MATCH(1002,'Email Cleaner'!$H$2:$H$10001,0)),"")</f>
        <v/>
      </c>
    </row>
    <row r="1004">
      <c r="A1004">
        <f>IFERROR(INDEX('Email Cleaner'!$B$2:$B$10001,MATCH(1003,'Email Cleaner'!$H$2:$H$10001,0)),"")</f>
        <v/>
      </c>
    </row>
    <row r="1005">
      <c r="A1005">
        <f>IFERROR(INDEX('Email Cleaner'!$B$2:$B$10001,MATCH(1004,'Email Cleaner'!$H$2:$H$10001,0)),"")</f>
        <v/>
      </c>
    </row>
    <row r="1006">
      <c r="A1006">
        <f>IFERROR(INDEX('Email Cleaner'!$B$2:$B$10001,MATCH(1005,'Email Cleaner'!$H$2:$H$10001,0)),"")</f>
        <v/>
      </c>
    </row>
    <row r="1007">
      <c r="A1007">
        <f>IFERROR(INDEX('Email Cleaner'!$B$2:$B$10001,MATCH(1006,'Email Cleaner'!$H$2:$H$10001,0)),"")</f>
        <v/>
      </c>
    </row>
    <row r="1008">
      <c r="A1008">
        <f>IFERROR(INDEX('Email Cleaner'!$B$2:$B$10001,MATCH(1007,'Email Cleaner'!$H$2:$H$10001,0)),"")</f>
        <v/>
      </c>
    </row>
    <row r="1009">
      <c r="A1009">
        <f>IFERROR(INDEX('Email Cleaner'!$B$2:$B$10001,MATCH(1008,'Email Cleaner'!$H$2:$H$10001,0)),"")</f>
        <v/>
      </c>
    </row>
    <row r="1010">
      <c r="A1010">
        <f>IFERROR(INDEX('Email Cleaner'!$B$2:$B$10001,MATCH(1009,'Email Cleaner'!$H$2:$H$10001,0)),"")</f>
        <v/>
      </c>
    </row>
    <row r="1011">
      <c r="A1011">
        <f>IFERROR(INDEX('Email Cleaner'!$B$2:$B$10001,MATCH(1010,'Email Cleaner'!$H$2:$H$10001,0)),"")</f>
        <v/>
      </c>
    </row>
    <row r="1012">
      <c r="A1012">
        <f>IFERROR(INDEX('Email Cleaner'!$B$2:$B$10001,MATCH(1011,'Email Cleaner'!$H$2:$H$10001,0)),"")</f>
        <v/>
      </c>
    </row>
    <row r="1013">
      <c r="A1013">
        <f>IFERROR(INDEX('Email Cleaner'!$B$2:$B$10001,MATCH(1012,'Email Cleaner'!$H$2:$H$10001,0)),"")</f>
        <v/>
      </c>
    </row>
    <row r="1014">
      <c r="A1014">
        <f>IFERROR(INDEX('Email Cleaner'!$B$2:$B$10001,MATCH(1013,'Email Cleaner'!$H$2:$H$10001,0)),"")</f>
        <v/>
      </c>
    </row>
    <row r="1015">
      <c r="A1015">
        <f>IFERROR(INDEX('Email Cleaner'!$B$2:$B$10001,MATCH(1014,'Email Cleaner'!$H$2:$H$10001,0)),"")</f>
        <v/>
      </c>
    </row>
    <row r="1016">
      <c r="A1016">
        <f>IFERROR(INDEX('Email Cleaner'!$B$2:$B$10001,MATCH(1015,'Email Cleaner'!$H$2:$H$10001,0)),"")</f>
        <v/>
      </c>
    </row>
    <row r="1017">
      <c r="A1017">
        <f>IFERROR(INDEX('Email Cleaner'!$B$2:$B$10001,MATCH(1016,'Email Cleaner'!$H$2:$H$10001,0)),"")</f>
        <v/>
      </c>
    </row>
    <row r="1018">
      <c r="A1018">
        <f>IFERROR(INDEX('Email Cleaner'!$B$2:$B$10001,MATCH(1017,'Email Cleaner'!$H$2:$H$10001,0)),"")</f>
        <v/>
      </c>
    </row>
    <row r="1019">
      <c r="A1019">
        <f>IFERROR(INDEX('Email Cleaner'!$B$2:$B$10001,MATCH(1018,'Email Cleaner'!$H$2:$H$10001,0)),"")</f>
        <v/>
      </c>
    </row>
    <row r="1020">
      <c r="A1020">
        <f>IFERROR(INDEX('Email Cleaner'!$B$2:$B$10001,MATCH(1019,'Email Cleaner'!$H$2:$H$10001,0)),"")</f>
        <v/>
      </c>
    </row>
    <row r="1021">
      <c r="A1021">
        <f>IFERROR(INDEX('Email Cleaner'!$B$2:$B$10001,MATCH(1020,'Email Cleaner'!$H$2:$H$10001,0)),"")</f>
        <v/>
      </c>
    </row>
    <row r="1022">
      <c r="A1022">
        <f>IFERROR(INDEX('Email Cleaner'!$B$2:$B$10001,MATCH(1021,'Email Cleaner'!$H$2:$H$10001,0)),"")</f>
        <v/>
      </c>
    </row>
    <row r="1023">
      <c r="A1023">
        <f>IFERROR(INDEX('Email Cleaner'!$B$2:$B$10001,MATCH(1022,'Email Cleaner'!$H$2:$H$10001,0)),"")</f>
        <v/>
      </c>
    </row>
    <row r="1024">
      <c r="A1024">
        <f>IFERROR(INDEX('Email Cleaner'!$B$2:$B$10001,MATCH(1023,'Email Cleaner'!$H$2:$H$10001,0)),"")</f>
        <v/>
      </c>
    </row>
    <row r="1025">
      <c r="A1025">
        <f>IFERROR(INDEX('Email Cleaner'!$B$2:$B$10001,MATCH(1024,'Email Cleaner'!$H$2:$H$10001,0)),"")</f>
        <v/>
      </c>
    </row>
    <row r="1026">
      <c r="A1026">
        <f>IFERROR(INDEX('Email Cleaner'!$B$2:$B$10001,MATCH(1025,'Email Cleaner'!$H$2:$H$10001,0)),"")</f>
        <v/>
      </c>
    </row>
    <row r="1027">
      <c r="A1027">
        <f>IFERROR(INDEX('Email Cleaner'!$B$2:$B$10001,MATCH(1026,'Email Cleaner'!$H$2:$H$10001,0)),"")</f>
        <v/>
      </c>
    </row>
    <row r="1028">
      <c r="A1028">
        <f>IFERROR(INDEX('Email Cleaner'!$B$2:$B$10001,MATCH(1027,'Email Cleaner'!$H$2:$H$10001,0)),"")</f>
        <v/>
      </c>
    </row>
    <row r="1029">
      <c r="A1029">
        <f>IFERROR(INDEX('Email Cleaner'!$B$2:$B$10001,MATCH(1028,'Email Cleaner'!$H$2:$H$10001,0)),"")</f>
        <v/>
      </c>
    </row>
    <row r="1030">
      <c r="A1030">
        <f>IFERROR(INDEX('Email Cleaner'!$B$2:$B$10001,MATCH(1029,'Email Cleaner'!$H$2:$H$10001,0)),"")</f>
        <v/>
      </c>
    </row>
    <row r="1031">
      <c r="A1031">
        <f>IFERROR(INDEX('Email Cleaner'!$B$2:$B$10001,MATCH(1030,'Email Cleaner'!$H$2:$H$10001,0)),"")</f>
        <v/>
      </c>
    </row>
    <row r="1032">
      <c r="A1032">
        <f>IFERROR(INDEX('Email Cleaner'!$B$2:$B$10001,MATCH(1031,'Email Cleaner'!$H$2:$H$10001,0)),"")</f>
        <v/>
      </c>
    </row>
    <row r="1033">
      <c r="A1033">
        <f>IFERROR(INDEX('Email Cleaner'!$B$2:$B$10001,MATCH(1032,'Email Cleaner'!$H$2:$H$10001,0)),"")</f>
        <v/>
      </c>
    </row>
    <row r="1034">
      <c r="A1034">
        <f>IFERROR(INDEX('Email Cleaner'!$B$2:$B$10001,MATCH(1033,'Email Cleaner'!$H$2:$H$10001,0)),"")</f>
        <v/>
      </c>
    </row>
    <row r="1035">
      <c r="A1035">
        <f>IFERROR(INDEX('Email Cleaner'!$B$2:$B$10001,MATCH(1034,'Email Cleaner'!$H$2:$H$10001,0)),"")</f>
        <v/>
      </c>
    </row>
    <row r="1036">
      <c r="A1036">
        <f>IFERROR(INDEX('Email Cleaner'!$B$2:$B$10001,MATCH(1035,'Email Cleaner'!$H$2:$H$10001,0)),"")</f>
        <v/>
      </c>
    </row>
    <row r="1037">
      <c r="A1037">
        <f>IFERROR(INDEX('Email Cleaner'!$B$2:$B$10001,MATCH(1036,'Email Cleaner'!$H$2:$H$10001,0)),"")</f>
        <v/>
      </c>
    </row>
    <row r="1038">
      <c r="A1038">
        <f>IFERROR(INDEX('Email Cleaner'!$B$2:$B$10001,MATCH(1037,'Email Cleaner'!$H$2:$H$10001,0)),"")</f>
        <v/>
      </c>
    </row>
    <row r="1039">
      <c r="A1039">
        <f>IFERROR(INDEX('Email Cleaner'!$B$2:$B$10001,MATCH(1038,'Email Cleaner'!$H$2:$H$10001,0)),"")</f>
        <v/>
      </c>
    </row>
    <row r="1040">
      <c r="A1040">
        <f>IFERROR(INDEX('Email Cleaner'!$B$2:$B$10001,MATCH(1039,'Email Cleaner'!$H$2:$H$10001,0)),"")</f>
        <v/>
      </c>
    </row>
    <row r="1041">
      <c r="A1041">
        <f>IFERROR(INDEX('Email Cleaner'!$B$2:$B$10001,MATCH(1040,'Email Cleaner'!$H$2:$H$10001,0)),"")</f>
        <v/>
      </c>
    </row>
    <row r="1042">
      <c r="A1042">
        <f>IFERROR(INDEX('Email Cleaner'!$B$2:$B$10001,MATCH(1041,'Email Cleaner'!$H$2:$H$10001,0)),"")</f>
        <v/>
      </c>
    </row>
    <row r="1043">
      <c r="A1043">
        <f>IFERROR(INDEX('Email Cleaner'!$B$2:$B$10001,MATCH(1042,'Email Cleaner'!$H$2:$H$10001,0)),"")</f>
        <v/>
      </c>
    </row>
    <row r="1044">
      <c r="A1044">
        <f>IFERROR(INDEX('Email Cleaner'!$B$2:$B$10001,MATCH(1043,'Email Cleaner'!$H$2:$H$10001,0)),"")</f>
        <v/>
      </c>
    </row>
    <row r="1045">
      <c r="A1045">
        <f>IFERROR(INDEX('Email Cleaner'!$B$2:$B$10001,MATCH(1044,'Email Cleaner'!$H$2:$H$10001,0)),"")</f>
        <v/>
      </c>
    </row>
    <row r="1046">
      <c r="A1046">
        <f>IFERROR(INDEX('Email Cleaner'!$B$2:$B$10001,MATCH(1045,'Email Cleaner'!$H$2:$H$10001,0)),"")</f>
        <v/>
      </c>
    </row>
    <row r="1047">
      <c r="A1047">
        <f>IFERROR(INDEX('Email Cleaner'!$B$2:$B$10001,MATCH(1046,'Email Cleaner'!$H$2:$H$10001,0)),"")</f>
        <v/>
      </c>
    </row>
    <row r="1048">
      <c r="A1048">
        <f>IFERROR(INDEX('Email Cleaner'!$B$2:$B$10001,MATCH(1047,'Email Cleaner'!$H$2:$H$10001,0)),"")</f>
        <v/>
      </c>
    </row>
    <row r="1049">
      <c r="A1049">
        <f>IFERROR(INDEX('Email Cleaner'!$B$2:$B$10001,MATCH(1048,'Email Cleaner'!$H$2:$H$10001,0)),"")</f>
        <v/>
      </c>
    </row>
    <row r="1050">
      <c r="A1050">
        <f>IFERROR(INDEX('Email Cleaner'!$B$2:$B$10001,MATCH(1049,'Email Cleaner'!$H$2:$H$10001,0)),"")</f>
        <v/>
      </c>
    </row>
    <row r="1051">
      <c r="A1051">
        <f>IFERROR(INDEX('Email Cleaner'!$B$2:$B$10001,MATCH(1050,'Email Cleaner'!$H$2:$H$10001,0)),"")</f>
        <v/>
      </c>
    </row>
    <row r="1052">
      <c r="A1052">
        <f>IFERROR(INDEX('Email Cleaner'!$B$2:$B$10001,MATCH(1051,'Email Cleaner'!$H$2:$H$10001,0)),"")</f>
        <v/>
      </c>
    </row>
    <row r="1053">
      <c r="A1053">
        <f>IFERROR(INDEX('Email Cleaner'!$B$2:$B$10001,MATCH(1052,'Email Cleaner'!$H$2:$H$10001,0)),"")</f>
        <v/>
      </c>
    </row>
    <row r="1054">
      <c r="A1054">
        <f>IFERROR(INDEX('Email Cleaner'!$B$2:$B$10001,MATCH(1053,'Email Cleaner'!$H$2:$H$10001,0)),"")</f>
        <v/>
      </c>
    </row>
    <row r="1055">
      <c r="A1055">
        <f>IFERROR(INDEX('Email Cleaner'!$B$2:$B$10001,MATCH(1054,'Email Cleaner'!$H$2:$H$10001,0)),"")</f>
        <v/>
      </c>
    </row>
    <row r="1056">
      <c r="A1056">
        <f>IFERROR(INDEX('Email Cleaner'!$B$2:$B$10001,MATCH(1055,'Email Cleaner'!$H$2:$H$10001,0)),"")</f>
        <v/>
      </c>
    </row>
    <row r="1057">
      <c r="A1057">
        <f>IFERROR(INDEX('Email Cleaner'!$B$2:$B$10001,MATCH(1056,'Email Cleaner'!$H$2:$H$10001,0)),"")</f>
        <v/>
      </c>
    </row>
    <row r="1058">
      <c r="A1058">
        <f>IFERROR(INDEX('Email Cleaner'!$B$2:$B$10001,MATCH(1057,'Email Cleaner'!$H$2:$H$10001,0)),"")</f>
        <v/>
      </c>
    </row>
    <row r="1059">
      <c r="A1059">
        <f>IFERROR(INDEX('Email Cleaner'!$B$2:$B$10001,MATCH(1058,'Email Cleaner'!$H$2:$H$10001,0)),"")</f>
        <v/>
      </c>
    </row>
    <row r="1060">
      <c r="A1060">
        <f>IFERROR(INDEX('Email Cleaner'!$B$2:$B$10001,MATCH(1059,'Email Cleaner'!$H$2:$H$10001,0)),"")</f>
        <v/>
      </c>
    </row>
    <row r="1061">
      <c r="A1061">
        <f>IFERROR(INDEX('Email Cleaner'!$B$2:$B$10001,MATCH(1060,'Email Cleaner'!$H$2:$H$10001,0)),"")</f>
        <v/>
      </c>
    </row>
    <row r="1062">
      <c r="A1062">
        <f>IFERROR(INDEX('Email Cleaner'!$B$2:$B$10001,MATCH(1061,'Email Cleaner'!$H$2:$H$10001,0)),"")</f>
        <v/>
      </c>
    </row>
    <row r="1063">
      <c r="A1063">
        <f>IFERROR(INDEX('Email Cleaner'!$B$2:$B$10001,MATCH(1062,'Email Cleaner'!$H$2:$H$10001,0)),"")</f>
        <v/>
      </c>
    </row>
    <row r="1064">
      <c r="A1064">
        <f>IFERROR(INDEX('Email Cleaner'!$B$2:$B$10001,MATCH(1063,'Email Cleaner'!$H$2:$H$10001,0)),"")</f>
        <v/>
      </c>
    </row>
    <row r="1065">
      <c r="A1065">
        <f>IFERROR(INDEX('Email Cleaner'!$B$2:$B$10001,MATCH(1064,'Email Cleaner'!$H$2:$H$10001,0)),"")</f>
        <v/>
      </c>
    </row>
    <row r="1066">
      <c r="A1066">
        <f>IFERROR(INDEX('Email Cleaner'!$B$2:$B$10001,MATCH(1065,'Email Cleaner'!$H$2:$H$10001,0)),"")</f>
        <v/>
      </c>
    </row>
    <row r="1067">
      <c r="A1067">
        <f>IFERROR(INDEX('Email Cleaner'!$B$2:$B$10001,MATCH(1066,'Email Cleaner'!$H$2:$H$10001,0)),"")</f>
        <v/>
      </c>
    </row>
    <row r="1068">
      <c r="A1068">
        <f>IFERROR(INDEX('Email Cleaner'!$B$2:$B$10001,MATCH(1067,'Email Cleaner'!$H$2:$H$10001,0)),"")</f>
        <v/>
      </c>
    </row>
    <row r="1069">
      <c r="A1069">
        <f>IFERROR(INDEX('Email Cleaner'!$B$2:$B$10001,MATCH(1068,'Email Cleaner'!$H$2:$H$10001,0)),"")</f>
        <v/>
      </c>
    </row>
    <row r="1070">
      <c r="A1070">
        <f>IFERROR(INDEX('Email Cleaner'!$B$2:$B$10001,MATCH(1069,'Email Cleaner'!$H$2:$H$10001,0)),"")</f>
        <v/>
      </c>
    </row>
    <row r="1071">
      <c r="A1071">
        <f>IFERROR(INDEX('Email Cleaner'!$B$2:$B$10001,MATCH(1070,'Email Cleaner'!$H$2:$H$10001,0)),"")</f>
        <v/>
      </c>
    </row>
    <row r="1072">
      <c r="A1072">
        <f>IFERROR(INDEX('Email Cleaner'!$B$2:$B$10001,MATCH(1071,'Email Cleaner'!$H$2:$H$10001,0)),"")</f>
        <v/>
      </c>
    </row>
    <row r="1073">
      <c r="A1073">
        <f>IFERROR(INDEX('Email Cleaner'!$B$2:$B$10001,MATCH(1072,'Email Cleaner'!$H$2:$H$10001,0)),"")</f>
        <v/>
      </c>
    </row>
    <row r="1074">
      <c r="A1074">
        <f>IFERROR(INDEX('Email Cleaner'!$B$2:$B$10001,MATCH(1073,'Email Cleaner'!$H$2:$H$10001,0)),"")</f>
        <v/>
      </c>
    </row>
    <row r="1075">
      <c r="A1075">
        <f>IFERROR(INDEX('Email Cleaner'!$B$2:$B$10001,MATCH(1074,'Email Cleaner'!$H$2:$H$10001,0)),"")</f>
        <v/>
      </c>
    </row>
    <row r="1076">
      <c r="A1076">
        <f>IFERROR(INDEX('Email Cleaner'!$B$2:$B$10001,MATCH(1075,'Email Cleaner'!$H$2:$H$10001,0)),"")</f>
        <v/>
      </c>
    </row>
    <row r="1077">
      <c r="A1077">
        <f>IFERROR(INDEX('Email Cleaner'!$B$2:$B$10001,MATCH(1076,'Email Cleaner'!$H$2:$H$10001,0)),"")</f>
        <v/>
      </c>
    </row>
    <row r="1078">
      <c r="A1078">
        <f>IFERROR(INDEX('Email Cleaner'!$B$2:$B$10001,MATCH(1077,'Email Cleaner'!$H$2:$H$10001,0)),"")</f>
        <v/>
      </c>
    </row>
    <row r="1079">
      <c r="A1079">
        <f>IFERROR(INDEX('Email Cleaner'!$B$2:$B$10001,MATCH(1078,'Email Cleaner'!$H$2:$H$10001,0)),"")</f>
        <v/>
      </c>
    </row>
    <row r="1080">
      <c r="A1080">
        <f>IFERROR(INDEX('Email Cleaner'!$B$2:$B$10001,MATCH(1079,'Email Cleaner'!$H$2:$H$10001,0)),"")</f>
        <v/>
      </c>
    </row>
    <row r="1081">
      <c r="A1081">
        <f>IFERROR(INDEX('Email Cleaner'!$B$2:$B$10001,MATCH(1080,'Email Cleaner'!$H$2:$H$10001,0)),"")</f>
        <v/>
      </c>
    </row>
    <row r="1082">
      <c r="A1082">
        <f>IFERROR(INDEX('Email Cleaner'!$B$2:$B$10001,MATCH(1081,'Email Cleaner'!$H$2:$H$10001,0)),"")</f>
        <v/>
      </c>
    </row>
    <row r="1083">
      <c r="A1083">
        <f>IFERROR(INDEX('Email Cleaner'!$B$2:$B$10001,MATCH(1082,'Email Cleaner'!$H$2:$H$10001,0)),"")</f>
        <v/>
      </c>
    </row>
    <row r="1084">
      <c r="A1084">
        <f>IFERROR(INDEX('Email Cleaner'!$B$2:$B$10001,MATCH(1083,'Email Cleaner'!$H$2:$H$10001,0)),"")</f>
        <v/>
      </c>
    </row>
    <row r="1085">
      <c r="A1085">
        <f>IFERROR(INDEX('Email Cleaner'!$B$2:$B$10001,MATCH(1084,'Email Cleaner'!$H$2:$H$10001,0)),"")</f>
        <v/>
      </c>
    </row>
    <row r="1086">
      <c r="A1086">
        <f>IFERROR(INDEX('Email Cleaner'!$B$2:$B$10001,MATCH(1085,'Email Cleaner'!$H$2:$H$10001,0)),"")</f>
        <v/>
      </c>
    </row>
    <row r="1087">
      <c r="A1087">
        <f>IFERROR(INDEX('Email Cleaner'!$B$2:$B$10001,MATCH(1086,'Email Cleaner'!$H$2:$H$10001,0)),"")</f>
        <v/>
      </c>
    </row>
    <row r="1088">
      <c r="A1088">
        <f>IFERROR(INDEX('Email Cleaner'!$B$2:$B$10001,MATCH(1087,'Email Cleaner'!$H$2:$H$10001,0)),"")</f>
        <v/>
      </c>
    </row>
    <row r="1089">
      <c r="A1089">
        <f>IFERROR(INDEX('Email Cleaner'!$B$2:$B$10001,MATCH(1088,'Email Cleaner'!$H$2:$H$10001,0)),"")</f>
        <v/>
      </c>
    </row>
    <row r="1090">
      <c r="A1090">
        <f>IFERROR(INDEX('Email Cleaner'!$B$2:$B$10001,MATCH(1089,'Email Cleaner'!$H$2:$H$10001,0)),"")</f>
        <v/>
      </c>
    </row>
    <row r="1091">
      <c r="A1091">
        <f>IFERROR(INDEX('Email Cleaner'!$B$2:$B$10001,MATCH(1090,'Email Cleaner'!$H$2:$H$10001,0)),"")</f>
        <v/>
      </c>
    </row>
    <row r="1092">
      <c r="A1092">
        <f>IFERROR(INDEX('Email Cleaner'!$B$2:$B$10001,MATCH(1091,'Email Cleaner'!$H$2:$H$10001,0)),"")</f>
        <v/>
      </c>
    </row>
    <row r="1093">
      <c r="A1093">
        <f>IFERROR(INDEX('Email Cleaner'!$B$2:$B$10001,MATCH(1092,'Email Cleaner'!$H$2:$H$10001,0)),"")</f>
        <v/>
      </c>
    </row>
    <row r="1094">
      <c r="A1094">
        <f>IFERROR(INDEX('Email Cleaner'!$B$2:$B$10001,MATCH(1093,'Email Cleaner'!$H$2:$H$10001,0)),"")</f>
        <v/>
      </c>
    </row>
    <row r="1095">
      <c r="A1095">
        <f>IFERROR(INDEX('Email Cleaner'!$B$2:$B$10001,MATCH(1094,'Email Cleaner'!$H$2:$H$10001,0)),"")</f>
        <v/>
      </c>
    </row>
    <row r="1096">
      <c r="A1096">
        <f>IFERROR(INDEX('Email Cleaner'!$B$2:$B$10001,MATCH(1095,'Email Cleaner'!$H$2:$H$10001,0)),"")</f>
        <v/>
      </c>
    </row>
    <row r="1097">
      <c r="A1097">
        <f>IFERROR(INDEX('Email Cleaner'!$B$2:$B$10001,MATCH(1096,'Email Cleaner'!$H$2:$H$10001,0)),"")</f>
        <v/>
      </c>
    </row>
    <row r="1098">
      <c r="A1098">
        <f>IFERROR(INDEX('Email Cleaner'!$B$2:$B$10001,MATCH(1097,'Email Cleaner'!$H$2:$H$10001,0)),"")</f>
        <v/>
      </c>
    </row>
    <row r="1099">
      <c r="A1099">
        <f>IFERROR(INDEX('Email Cleaner'!$B$2:$B$10001,MATCH(1098,'Email Cleaner'!$H$2:$H$10001,0)),"")</f>
        <v/>
      </c>
    </row>
    <row r="1100">
      <c r="A1100">
        <f>IFERROR(INDEX('Email Cleaner'!$B$2:$B$10001,MATCH(1099,'Email Cleaner'!$H$2:$H$10001,0)),"")</f>
        <v/>
      </c>
    </row>
    <row r="1101">
      <c r="A1101">
        <f>IFERROR(INDEX('Email Cleaner'!$B$2:$B$10001,MATCH(1100,'Email Cleaner'!$H$2:$H$10001,0)),"")</f>
        <v/>
      </c>
    </row>
    <row r="1102">
      <c r="A1102">
        <f>IFERROR(INDEX('Email Cleaner'!$B$2:$B$10001,MATCH(1101,'Email Cleaner'!$H$2:$H$10001,0)),"")</f>
        <v/>
      </c>
    </row>
    <row r="1103">
      <c r="A1103">
        <f>IFERROR(INDEX('Email Cleaner'!$B$2:$B$10001,MATCH(1102,'Email Cleaner'!$H$2:$H$10001,0)),"")</f>
        <v/>
      </c>
    </row>
    <row r="1104">
      <c r="A1104">
        <f>IFERROR(INDEX('Email Cleaner'!$B$2:$B$10001,MATCH(1103,'Email Cleaner'!$H$2:$H$10001,0)),"")</f>
        <v/>
      </c>
    </row>
    <row r="1105">
      <c r="A1105">
        <f>IFERROR(INDEX('Email Cleaner'!$B$2:$B$10001,MATCH(1104,'Email Cleaner'!$H$2:$H$10001,0)),"")</f>
        <v/>
      </c>
    </row>
    <row r="1106">
      <c r="A1106">
        <f>IFERROR(INDEX('Email Cleaner'!$B$2:$B$10001,MATCH(1105,'Email Cleaner'!$H$2:$H$10001,0)),"")</f>
        <v/>
      </c>
    </row>
    <row r="1107">
      <c r="A1107">
        <f>IFERROR(INDEX('Email Cleaner'!$B$2:$B$10001,MATCH(1106,'Email Cleaner'!$H$2:$H$10001,0)),"")</f>
        <v/>
      </c>
    </row>
    <row r="1108">
      <c r="A1108">
        <f>IFERROR(INDEX('Email Cleaner'!$B$2:$B$10001,MATCH(1107,'Email Cleaner'!$H$2:$H$10001,0)),"")</f>
        <v/>
      </c>
    </row>
    <row r="1109">
      <c r="A1109">
        <f>IFERROR(INDEX('Email Cleaner'!$B$2:$B$10001,MATCH(1108,'Email Cleaner'!$H$2:$H$10001,0)),"")</f>
        <v/>
      </c>
    </row>
    <row r="1110">
      <c r="A1110">
        <f>IFERROR(INDEX('Email Cleaner'!$B$2:$B$10001,MATCH(1109,'Email Cleaner'!$H$2:$H$10001,0)),"")</f>
        <v/>
      </c>
    </row>
    <row r="1111">
      <c r="A1111">
        <f>IFERROR(INDEX('Email Cleaner'!$B$2:$B$10001,MATCH(1110,'Email Cleaner'!$H$2:$H$10001,0)),"")</f>
        <v/>
      </c>
    </row>
    <row r="1112">
      <c r="A1112">
        <f>IFERROR(INDEX('Email Cleaner'!$B$2:$B$10001,MATCH(1111,'Email Cleaner'!$H$2:$H$10001,0)),"")</f>
        <v/>
      </c>
    </row>
    <row r="1113">
      <c r="A1113">
        <f>IFERROR(INDEX('Email Cleaner'!$B$2:$B$10001,MATCH(1112,'Email Cleaner'!$H$2:$H$10001,0)),"")</f>
        <v/>
      </c>
    </row>
    <row r="1114">
      <c r="A1114">
        <f>IFERROR(INDEX('Email Cleaner'!$B$2:$B$10001,MATCH(1113,'Email Cleaner'!$H$2:$H$10001,0)),"")</f>
        <v/>
      </c>
    </row>
    <row r="1115">
      <c r="A1115">
        <f>IFERROR(INDEX('Email Cleaner'!$B$2:$B$10001,MATCH(1114,'Email Cleaner'!$H$2:$H$10001,0)),"")</f>
        <v/>
      </c>
    </row>
    <row r="1116">
      <c r="A1116">
        <f>IFERROR(INDEX('Email Cleaner'!$B$2:$B$10001,MATCH(1115,'Email Cleaner'!$H$2:$H$10001,0)),"")</f>
        <v/>
      </c>
    </row>
    <row r="1117">
      <c r="A1117">
        <f>IFERROR(INDEX('Email Cleaner'!$B$2:$B$10001,MATCH(1116,'Email Cleaner'!$H$2:$H$10001,0)),"")</f>
        <v/>
      </c>
    </row>
    <row r="1118">
      <c r="A1118">
        <f>IFERROR(INDEX('Email Cleaner'!$B$2:$B$10001,MATCH(1117,'Email Cleaner'!$H$2:$H$10001,0)),"")</f>
        <v/>
      </c>
    </row>
    <row r="1119">
      <c r="A1119">
        <f>IFERROR(INDEX('Email Cleaner'!$B$2:$B$10001,MATCH(1118,'Email Cleaner'!$H$2:$H$10001,0)),"")</f>
        <v/>
      </c>
    </row>
    <row r="1120">
      <c r="A1120">
        <f>IFERROR(INDEX('Email Cleaner'!$B$2:$B$10001,MATCH(1119,'Email Cleaner'!$H$2:$H$10001,0)),"")</f>
        <v/>
      </c>
    </row>
    <row r="1121">
      <c r="A1121">
        <f>IFERROR(INDEX('Email Cleaner'!$B$2:$B$10001,MATCH(1120,'Email Cleaner'!$H$2:$H$10001,0)),"")</f>
        <v/>
      </c>
    </row>
    <row r="1122">
      <c r="A1122">
        <f>IFERROR(INDEX('Email Cleaner'!$B$2:$B$10001,MATCH(1121,'Email Cleaner'!$H$2:$H$10001,0)),"")</f>
        <v/>
      </c>
    </row>
    <row r="1123">
      <c r="A1123">
        <f>IFERROR(INDEX('Email Cleaner'!$B$2:$B$10001,MATCH(1122,'Email Cleaner'!$H$2:$H$10001,0)),"")</f>
        <v/>
      </c>
    </row>
    <row r="1124">
      <c r="A1124">
        <f>IFERROR(INDEX('Email Cleaner'!$B$2:$B$10001,MATCH(1123,'Email Cleaner'!$H$2:$H$10001,0)),"")</f>
        <v/>
      </c>
    </row>
    <row r="1125">
      <c r="A1125">
        <f>IFERROR(INDEX('Email Cleaner'!$B$2:$B$10001,MATCH(1124,'Email Cleaner'!$H$2:$H$10001,0)),"")</f>
        <v/>
      </c>
    </row>
    <row r="1126">
      <c r="A1126">
        <f>IFERROR(INDEX('Email Cleaner'!$B$2:$B$10001,MATCH(1125,'Email Cleaner'!$H$2:$H$10001,0)),"")</f>
        <v/>
      </c>
    </row>
    <row r="1127">
      <c r="A1127">
        <f>IFERROR(INDEX('Email Cleaner'!$B$2:$B$10001,MATCH(1126,'Email Cleaner'!$H$2:$H$10001,0)),"")</f>
        <v/>
      </c>
    </row>
    <row r="1128">
      <c r="A1128">
        <f>IFERROR(INDEX('Email Cleaner'!$B$2:$B$10001,MATCH(1127,'Email Cleaner'!$H$2:$H$10001,0)),"")</f>
        <v/>
      </c>
    </row>
    <row r="1129">
      <c r="A1129">
        <f>IFERROR(INDEX('Email Cleaner'!$B$2:$B$10001,MATCH(1128,'Email Cleaner'!$H$2:$H$10001,0)),"")</f>
        <v/>
      </c>
    </row>
    <row r="1130">
      <c r="A1130">
        <f>IFERROR(INDEX('Email Cleaner'!$B$2:$B$10001,MATCH(1129,'Email Cleaner'!$H$2:$H$10001,0)),"")</f>
        <v/>
      </c>
    </row>
    <row r="1131">
      <c r="A1131">
        <f>IFERROR(INDEX('Email Cleaner'!$B$2:$B$10001,MATCH(1130,'Email Cleaner'!$H$2:$H$10001,0)),"")</f>
        <v/>
      </c>
    </row>
    <row r="1132">
      <c r="A1132">
        <f>IFERROR(INDEX('Email Cleaner'!$B$2:$B$10001,MATCH(1131,'Email Cleaner'!$H$2:$H$10001,0)),"")</f>
        <v/>
      </c>
    </row>
    <row r="1133">
      <c r="A1133">
        <f>IFERROR(INDEX('Email Cleaner'!$B$2:$B$10001,MATCH(1132,'Email Cleaner'!$H$2:$H$10001,0)),"")</f>
        <v/>
      </c>
    </row>
    <row r="1134">
      <c r="A1134">
        <f>IFERROR(INDEX('Email Cleaner'!$B$2:$B$10001,MATCH(1133,'Email Cleaner'!$H$2:$H$10001,0)),"")</f>
        <v/>
      </c>
    </row>
    <row r="1135">
      <c r="A1135">
        <f>IFERROR(INDEX('Email Cleaner'!$B$2:$B$10001,MATCH(1134,'Email Cleaner'!$H$2:$H$10001,0)),"")</f>
        <v/>
      </c>
    </row>
    <row r="1136">
      <c r="A1136">
        <f>IFERROR(INDEX('Email Cleaner'!$B$2:$B$10001,MATCH(1135,'Email Cleaner'!$H$2:$H$10001,0)),"")</f>
        <v/>
      </c>
    </row>
    <row r="1137">
      <c r="A1137">
        <f>IFERROR(INDEX('Email Cleaner'!$B$2:$B$10001,MATCH(1136,'Email Cleaner'!$H$2:$H$10001,0)),"")</f>
        <v/>
      </c>
    </row>
    <row r="1138">
      <c r="A1138">
        <f>IFERROR(INDEX('Email Cleaner'!$B$2:$B$10001,MATCH(1137,'Email Cleaner'!$H$2:$H$10001,0)),"")</f>
        <v/>
      </c>
    </row>
    <row r="1139">
      <c r="A1139">
        <f>IFERROR(INDEX('Email Cleaner'!$B$2:$B$10001,MATCH(1138,'Email Cleaner'!$H$2:$H$10001,0)),"")</f>
        <v/>
      </c>
    </row>
    <row r="1140">
      <c r="A1140">
        <f>IFERROR(INDEX('Email Cleaner'!$B$2:$B$10001,MATCH(1139,'Email Cleaner'!$H$2:$H$10001,0)),"")</f>
        <v/>
      </c>
    </row>
    <row r="1141">
      <c r="A1141">
        <f>IFERROR(INDEX('Email Cleaner'!$B$2:$B$10001,MATCH(1140,'Email Cleaner'!$H$2:$H$10001,0)),"")</f>
        <v/>
      </c>
    </row>
    <row r="1142">
      <c r="A1142">
        <f>IFERROR(INDEX('Email Cleaner'!$B$2:$B$10001,MATCH(1141,'Email Cleaner'!$H$2:$H$10001,0)),"")</f>
        <v/>
      </c>
    </row>
    <row r="1143">
      <c r="A1143">
        <f>IFERROR(INDEX('Email Cleaner'!$B$2:$B$10001,MATCH(1142,'Email Cleaner'!$H$2:$H$10001,0)),"")</f>
        <v/>
      </c>
    </row>
    <row r="1144">
      <c r="A1144">
        <f>IFERROR(INDEX('Email Cleaner'!$B$2:$B$10001,MATCH(1143,'Email Cleaner'!$H$2:$H$10001,0)),"")</f>
        <v/>
      </c>
    </row>
    <row r="1145">
      <c r="A1145">
        <f>IFERROR(INDEX('Email Cleaner'!$B$2:$B$10001,MATCH(1144,'Email Cleaner'!$H$2:$H$10001,0)),"")</f>
        <v/>
      </c>
    </row>
    <row r="1146">
      <c r="A1146">
        <f>IFERROR(INDEX('Email Cleaner'!$B$2:$B$10001,MATCH(1145,'Email Cleaner'!$H$2:$H$10001,0)),"")</f>
        <v/>
      </c>
    </row>
    <row r="1147">
      <c r="A1147">
        <f>IFERROR(INDEX('Email Cleaner'!$B$2:$B$10001,MATCH(1146,'Email Cleaner'!$H$2:$H$10001,0)),"")</f>
        <v/>
      </c>
    </row>
    <row r="1148">
      <c r="A1148">
        <f>IFERROR(INDEX('Email Cleaner'!$B$2:$B$10001,MATCH(1147,'Email Cleaner'!$H$2:$H$10001,0)),"")</f>
        <v/>
      </c>
    </row>
    <row r="1149">
      <c r="A1149">
        <f>IFERROR(INDEX('Email Cleaner'!$B$2:$B$10001,MATCH(1148,'Email Cleaner'!$H$2:$H$10001,0)),"")</f>
        <v/>
      </c>
    </row>
    <row r="1150">
      <c r="A1150">
        <f>IFERROR(INDEX('Email Cleaner'!$B$2:$B$10001,MATCH(1149,'Email Cleaner'!$H$2:$H$10001,0)),"")</f>
        <v/>
      </c>
    </row>
    <row r="1151">
      <c r="A1151">
        <f>IFERROR(INDEX('Email Cleaner'!$B$2:$B$10001,MATCH(1150,'Email Cleaner'!$H$2:$H$10001,0)),"")</f>
        <v/>
      </c>
    </row>
    <row r="1152">
      <c r="A1152">
        <f>IFERROR(INDEX('Email Cleaner'!$B$2:$B$10001,MATCH(1151,'Email Cleaner'!$H$2:$H$10001,0)),"")</f>
        <v/>
      </c>
    </row>
    <row r="1153">
      <c r="A1153">
        <f>IFERROR(INDEX('Email Cleaner'!$B$2:$B$10001,MATCH(1152,'Email Cleaner'!$H$2:$H$10001,0)),"")</f>
        <v/>
      </c>
    </row>
    <row r="1154">
      <c r="A1154">
        <f>IFERROR(INDEX('Email Cleaner'!$B$2:$B$10001,MATCH(1153,'Email Cleaner'!$H$2:$H$10001,0)),"")</f>
        <v/>
      </c>
    </row>
    <row r="1155">
      <c r="A1155">
        <f>IFERROR(INDEX('Email Cleaner'!$B$2:$B$10001,MATCH(1154,'Email Cleaner'!$H$2:$H$10001,0)),"")</f>
        <v/>
      </c>
    </row>
    <row r="1156">
      <c r="A1156">
        <f>IFERROR(INDEX('Email Cleaner'!$B$2:$B$10001,MATCH(1155,'Email Cleaner'!$H$2:$H$10001,0)),"")</f>
        <v/>
      </c>
    </row>
    <row r="1157">
      <c r="A1157">
        <f>IFERROR(INDEX('Email Cleaner'!$B$2:$B$10001,MATCH(1156,'Email Cleaner'!$H$2:$H$10001,0)),"")</f>
        <v/>
      </c>
    </row>
    <row r="1158">
      <c r="A1158">
        <f>IFERROR(INDEX('Email Cleaner'!$B$2:$B$10001,MATCH(1157,'Email Cleaner'!$H$2:$H$10001,0)),"")</f>
        <v/>
      </c>
    </row>
    <row r="1159">
      <c r="A1159">
        <f>IFERROR(INDEX('Email Cleaner'!$B$2:$B$10001,MATCH(1158,'Email Cleaner'!$H$2:$H$10001,0)),"")</f>
        <v/>
      </c>
    </row>
    <row r="1160">
      <c r="A1160">
        <f>IFERROR(INDEX('Email Cleaner'!$B$2:$B$10001,MATCH(1159,'Email Cleaner'!$H$2:$H$10001,0)),"")</f>
        <v/>
      </c>
    </row>
    <row r="1161">
      <c r="A1161">
        <f>IFERROR(INDEX('Email Cleaner'!$B$2:$B$10001,MATCH(1160,'Email Cleaner'!$H$2:$H$10001,0)),"")</f>
        <v/>
      </c>
    </row>
    <row r="1162">
      <c r="A1162">
        <f>IFERROR(INDEX('Email Cleaner'!$B$2:$B$10001,MATCH(1161,'Email Cleaner'!$H$2:$H$10001,0)),"")</f>
        <v/>
      </c>
    </row>
    <row r="1163">
      <c r="A1163">
        <f>IFERROR(INDEX('Email Cleaner'!$B$2:$B$10001,MATCH(1162,'Email Cleaner'!$H$2:$H$10001,0)),"")</f>
        <v/>
      </c>
    </row>
    <row r="1164">
      <c r="A1164">
        <f>IFERROR(INDEX('Email Cleaner'!$B$2:$B$10001,MATCH(1163,'Email Cleaner'!$H$2:$H$10001,0)),"")</f>
        <v/>
      </c>
    </row>
    <row r="1165">
      <c r="A1165">
        <f>IFERROR(INDEX('Email Cleaner'!$B$2:$B$10001,MATCH(1164,'Email Cleaner'!$H$2:$H$10001,0)),"")</f>
        <v/>
      </c>
    </row>
    <row r="1166">
      <c r="A1166">
        <f>IFERROR(INDEX('Email Cleaner'!$B$2:$B$10001,MATCH(1165,'Email Cleaner'!$H$2:$H$10001,0)),"")</f>
        <v/>
      </c>
    </row>
    <row r="1167">
      <c r="A1167">
        <f>IFERROR(INDEX('Email Cleaner'!$B$2:$B$10001,MATCH(1166,'Email Cleaner'!$H$2:$H$10001,0)),"")</f>
        <v/>
      </c>
    </row>
    <row r="1168">
      <c r="A1168">
        <f>IFERROR(INDEX('Email Cleaner'!$B$2:$B$10001,MATCH(1167,'Email Cleaner'!$H$2:$H$10001,0)),"")</f>
        <v/>
      </c>
    </row>
    <row r="1169">
      <c r="A1169">
        <f>IFERROR(INDEX('Email Cleaner'!$B$2:$B$10001,MATCH(1168,'Email Cleaner'!$H$2:$H$10001,0)),"")</f>
        <v/>
      </c>
    </row>
    <row r="1170">
      <c r="A1170">
        <f>IFERROR(INDEX('Email Cleaner'!$B$2:$B$10001,MATCH(1169,'Email Cleaner'!$H$2:$H$10001,0)),"")</f>
        <v/>
      </c>
    </row>
    <row r="1171">
      <c r="A1171">
        <f>IFERROR(INDEX('Email Cleaner'!$B$2:$B$10001,MATCH(1170,'Email Cleaner'!$H$2:$H$10001,0)),"")</f>
        <v/>
      </c>
    </row>
    <row r="1172">
      <c r="A1172">
        <f>IFERROR(INDEX('Email Cleaner'!$B$2:$B$10001,MATCH(1171,'Email Cleaner'!$H$2:$H$10001,0)),"")</f>
        <v/>
      </c>
    </row>
    <row r="1173">
      <c r="A1173">
        <f>IFERROR(INDEX('Email Cleaner'!$B$2:$B$10001,MATCH(1172,'Email Cleaner'!$H$2:$H$10001,0)),"")</f>
        <v/>
      </c>
    </row>
    <row r="1174">
      <c r="A1174">
        <f>IFERROR(INDEX('Email Cleaner'!$B$2:$B$10001,MATCH(1173,'Email Cleaner'!$H$2:$H$10001,0)),"")</f>
        <v/>
      </c>
    </row>
    <row r="1175">
      <c r="A1175">
        <f>IFERROR(INDEX('Email Cleaner'!$B$2:$B$10001,MATCH(1174,'Email Cleaner'!$H$2:$H$10001,0)),"")</f>
        <v/>
      </c>
    </row>
    <row r="1176">
      <c r="A1176">
        <f>IFERROR(INDEX('Email Cleaner'!$B$2:$B$10001,MATCH(1175,'Email Cleaner'!$H$2:$H$10001,0)),"")</f>
        <v/>
      </c>
    </row>
    <row r="1177">
      <c r="A1177">
        <f>IFERROR(INDEX('Email Cleaner'!$B$2:$B$10001,MATCH(1176,'Email Cleaner'!$H$2:$H$10001,0)),"")</f>
        <v/>
      </c>
    </row>
    <row r="1178">
      <c r="A1178">
        <f>IFERROR(INDEX('Email Cleaner'!$B$2:$B$10001,MATCH(1177,'Email Cleaner'!$H$2:$H$10001,0)),"")</f>
        <v/>
      </c>
    </row>
    <row r="1179">
      <c r="A1179">
        <f>IFERROR(INDEX('Email Cleaner'!$B$2:$B$10001,MATCH(1178,'Email Cleaner'!$H$2:$H$10001,0)),"")</f>
        <v/>
      </c>
    </row>
    <row r="1180">
      <c r="A1180">
        <f>IFERROR(INDEX('Email Cleaner'!$B$2:$B$10001,MATCH(1179,'Email Cleaner'!$H$2:$H$10001,0)),"")</f>
        <v/>
      </c>
    </row>
    <row r="1181">
      <c r="A1181">
        <f>IFERROR(INDEX('Email Cleaner'!$B$2:$B$10001,MATCH(1180,'Email Cleaner'!$H$2:$H$10001,0)),"")</f>
        <v/>
      </c>
    </row>
    <row r="1182">
      <c r="A1182">
        <f>IFERROR(INDEX('Email Cleaner'!$B$2:$B$10001,MATCH(1181,'Email Cleaner'!$H$2:$H$10001,0)),"")</f>
        <v/>
      </c>
    </row>
    <row r="1183">
      <c r="A1183">
        <f>IFERROR(INDEX('Email Cleaner'!$B$2:$B$10001,MATCH(1182,'Email Cleaner'!$H$2:$H$10001,0)),"")</f>
        <v/>
      </c>
    </row>
    <row r="1184">
      <c r="A1184">
        <f>IFERROR(INDEX('Email Cleaner'!$B$2:$B$10001,MATCH(1183,'Email Cleaner'!$H$2:$H$10001,0)),"")</f>
        <v/>
      </c>
    </row>
    <row r="1185">
      <c r="A1185">
        <f>IFERROR(INDEX('Email Cleaner'!$B$2:$B$10001,MATCH(1184,'Email Cleaner'!$H$2:$H$10001,0)),"")</f>
        <v/>
      </c>
    </row>
    <row r="1186">
      <c r="A1186">
        <f>IFERROR(INDEX('Email Cleaner'!$B$2:$B$10001,MATCH(1185,'Email Cleaner'!$H$2:$H$10001,0)),"")</f>
        <v/>
      </c>
    </row>
    <row r="1187">
      <c r="A1187">
        <f>IFERROR(INDEX('Email Cleaner'!$B$2:$B$10001,MATCH(1186,'Email Cleaner'!$H$2:$H$10001,0)),"")</f>
        <v/>
      </c>
    </row>
    <row r="1188">
      <c r="A1188">
        <f>IFERROR(INDEX('Email Cleaner'!$B$2:$B$10001,MATCH(1187,'Email Cleaner'!$H$2:$H$10001,0)),"")</f>
        <v/>
      </c>
    </row>
    <row r="1189">
      <c r="A1189">
        <f>IFERROR(INDEX('Email Cleaner'!$B$2:$B$10001,MATCH(1188,'Email Cleaner'!$H$2:$H$10001,0)),"")</f>
        <v/>
      </c>
    </row>
    <row r="1190">
      <c r="A1190">
        <f>IFERROR(INDEX('Email Cleaner'!$B$2:$B$10001,MATCH(1189,'Email Cleaner'!$H$2:$H$10001,0)),"")</f>
        <v/>
      </c>
    </row>
    <row r="1191">
      <c r="A1191">
        <f>IFERROR(INDEX('Email Cleaner'!$B$2:$B$10001,MATCH(1190,'Email Cleaner'!$H$2:$H$10001,0)),"")</f>
        <v/>
      </c>
    </row>
    <row r="1192">
      <c r="A1192">
        <f>IFERROR(INDEX('Email Cleaner'!$B$2:$B$10001,MATCH(1191,'Email Cleaner'!$H$2:$H$10001,0)),"")</f>
        <v/>
      </c>
    </row>
    <row r="1193">
      <c r="A1193">
        <f>IFERROR(INDEX('Email Cleaner'!$B$2:$B$10001,MATCH(1192,'Email Cleaner'!$H$2:$H$10001,0)),"")</f>
        <v/>
      </c>
    </row>
    <row r="1194">
      <c r="A1194">
        <f>IFERROR(INDEX('Email Cleaner'!$B$2:$B$10001,MATCH(1193,'Email Cleaner'!$H$2:$H$10001,0)),"")</f>
        <v/>
      </c>
    </row>
    <row r="1195">
      <c r="A1195">
        <f>IFERROR(INDEX('Email Cleaner'!$B$2:$B$10001,MATCH(1194,'Email Cleaner'!$H$2:$H$10001,0)),"")</f>
        <v/>
      </c>
    </row>
    <row r="1196">
      <c r="A1196">
        <f>IFERROR(INDEX('Email Cleaner'!$B$2:$B$10001,MATCH(1195,'Email Cleaner'!$H$2:$H$10001,0)),"")</f>
        <v/>
      </c>
    </row>
    <row r="1197">
      <c r="A1197">
        <f>IFERROR(INDEX('Email Cleaner'!$B$2:$B$10001,MATCH(1196,'Email Cleaner'!$H$2:$H$10001,0)),"")</f>
        <v/>
      </c>
    </row>
    <row r="1198">
      <c r="A1198">
        <f>IFERROR(INDEX('Email Cleaner'!$B$2:$B$10001,MATCH(1197,'Email Cleaner'!$H$2:$H$10001,0)),"")</f>
        <v/>
      </c>
    </row>
    <row r="1199">
      <c r="A1199">
        <f>IFERROR(INDEX('Email Cleaner'!$B$2:$B$10001,MATCH(1198,'Email Cleaner'!$H$2:$H$10001,0)),"")</f>
        <v/>
      </c>
    </row>
    <row r="1200">
      <c r="A1200">
        <f>IFERROR(INDEX('Email Cleaner'!$B$2:$B$10001,MATCH(1199,'Email Cleaner'!$H$2:$H$10001,0)),"")</f>
        <v/>
      </c>
    </row>
    <row r="1201">
      <c r="A1201">
        <f>IFERROR(INDEX('Email Cleaner'!$B$2:$B$10001,MATCH(1200,'Email Cleaner'!$H$2:$H$10001,0)),"")</f>
        <v/>
      </c>
    </row>
    <row r="1202">
      <c r="A1202">
        <f>IFERROR(INDEX('Email Cleaner'!$B$2:$B$10001,MATCH(1201,'Email Cleaner'!$H$2:$H$10001,0)),"")</f>
        <v/>
      </c>
    </row>
    <row r="1203">
      <c r="A1203">
        <f>IFERROR(INDEX('Email Cleaner'!$B$2:$B$10001,MATCH(1202,'Email Cleaner'!$H$2:$H$10001,0)),"")</f>
        <v/>
      </c>
    </row>
    <row r="1204">
      <c r="A1204">
        <f>IFERROR(INDEX('Email Cleaner'!$B$2:$B$10001,MATCH(1203,'Email Cleaner'!$H$2:$H$10001,0)),"")</f>
        <v/>
      </c>
    </row>
    <row r="1205">
      <c r="A1205">
        <f>IFERROR(INDEX('Email Cleaner'!$B$2:$B$10001,MATCH(1204,'Email Cleaner'!$H$2:$H$10001,0)),"")</f>
        <v/>
      </c>
    </row>
    <row r="1206">
      <c r="A1206">
        <f>IFERROR(INDEX('Email Cleaner'!$B$2:$B$10001,MATCH(1205,'Email Cleaner'!$H$2:$H$10001,0)),"")</f>
        <v/>
      </c>
    </row>
    <row r="1207">
      <c r="A1207">
        <f>IFERROR(INDEX('Email Cleaner'!$B$2:$B$10001,MATCH(1206,'Email Cleaner'!$H$2:$H$10001,0)),"")</f>
        <v/>
      </c>
    </row>
    <row r="1208">
      <c r="A1208">
        <f>IFERROR(INDEX('Email Cleaner'!$B$2:$B$10001,MATCH(1207,'Email Cleaner'!$H$2:$H$10001,0)),"")</f>
        <v/>
      </c>
    </row>
    <row r="1209">
      <c r="A1209">
        <f>IFERROR(INDEX('Email Cleaner'!$B$2:$B$10001,MATCH(1208,'Email Cleaner'!$H$2:$H$10001,0)),"")</f>
        <v/>
      </c>
    </row>
    <row r="1210">
      <c r="A1210">
        <f>IFERROR(INDEX('Email Cleaner'!$B$2:$B$10001,MATCH(1209,'Email Cleaner'!$H$2:$H$10001,0)),"")</f>
        <v/>
      </c>
    </row>
    <row r="1211">
      <c r="A1211">
        <f>IFERROR(INDEX('Email Cleaner'!$B$2:$B$10001,MATCH(1210,'Email Cleaner'!$H$2:$H$10001,0)),"")</f>
        <v/>
      </c>
    </row>
    <row r="1212">
      <c r="A1212">
        <f>IFERROR(INDEX('Email Cleaner'!$B$2:$B$10001,MATCH(1211,'Email Cleaner'!$H$2:$H$10001,0)),"")</f>
        <v/>
      </c>
    </row>
    <row r="1213">
      <c r="A1213">
        <f>IFERROR(INDEX('Email Cleaner'!$B$2:$B$10001,MATCH(1212,'Email Cleaner'!$H$2:$H$10001,0)),"")</f>
        <v/>
      </c>
    </row>
    <row r="1214">
      <c r="A1214">
        <f>IFERROR(INDEX('Email Cleaner'!$B$2:$B$10001,MATCH(1213,'Email Cleaner'!$H$2:$H$10001,0)),"")</f>
        <v/>
      </c>
    </row>
    <row r="1215">
      <c r="A1215">
        <f>IFERROR(INDEX('Email Cleaner'!$B$2:$B$10001,MATCH(1214,'Email Cleaner'!$H$2:$H$10001,0)),"")</f>
        <v/>
      </c>
    </row>
    <row r="1216">
      <c r="A1216">
        <f>IFERROR(INDEX('Email Cleaner'!$B$2:$B$10001,MATCH(1215,'Email Cleaner'!$H$2:$H$10001,0)),"")</f>
        <v/>
      </c>
    </row>
    <row r="1217">
      <c r="A1217">
        <f>IFERROR(INDEX('Email Cleaner'!$B$2:$B$10001,MATCH(1216,'Email Cleaner'!$H$2:$H$10001,0)),"")</f>
        <v/>
      </c>
    </row>
    <row r="1218">
      <c r="A1218">
        <f>IFERROR(INDEX('Email Cleaner'!$B$2:$B$10001,MATCH(1217,'Email Cleaner'!$H$2:$H$10001,0)),"")</f>
        <v/>
      </c>
    </row>
    <row r="1219">
      <c r="A1219">
        <f>IFERROR(INDEX('Email Cleaner'!$B$2:$B$10001,MATCH(1218,'Email Cleaner'!$H$2:$H$10001,0)),"")</f>
        <v/>
      </c>
    </row>
    <row r="1220">
      <c r="A1220">
        <f>IFERROR(INDEX('Email Cleaner'!$B$2:$B$10001,MATCH(1219,'Email Cleaner'!$H$2:$H$10001,0)),"")</f>
        <v/>
      </c>
    </row>
    <row r="1221">
      <c r="A1221">
        <f>IFERROR(INDEX('Email Cleaner'!$B$2:$B$10001,MATCH(1220,'Email Cleaner'!$H$2:$H$10001,0)),"")</f>
        <v/>
      </c>
    </row>
    <row r="1222">
      <c r="A1222">
        <f>IFERROR(INDEX('Email Cleaner'!$B$2:$B$10001,MATCH(1221,'Email Cleaner'!$H$2:$H$10001,0)),"")</f>
        <v/>
      </c>
    </row>
    <row r="1223">
      <c r="A1223">
        <f>IFERROR(INDEX('Email Cleaner'!$B$2:$B$10001,MATCH(1222,'Email Cleaner'!$H$2:$H$10001,0)),"")</f>
        <v/>
      </c>
    </row>
    <row r="1224">
      <c r="A1224">
        <f>IFERROR(INDEX('Email Cleaner'!$B$2:$B$10001,MATCH(1223,'Email Cleaner'!$H$2:$H$10001,0)),"")</f>
        <v/>
      </c>
    </row>
    <row r="1225">
      <c r="A1225">
        <f>IFERROR(INDEX('Email Cleaner'!$B$2:$B$10001,MATCH(1224,'Email Cleaner'!$H$2:$H$10001,0)),"")</f>
        <v/>
      </c>
    </row>
    <row r="1226">
      <c r="A1226">
        <f>IFERROR(INDEX('Email Cleaner'!$B$2:$B$10001,MATCH(1225,'Email Cleaner'!$H$2:$H$10001,0)),"")</f>
        <v/>
      </c>
    </row>
    <row r="1227">
      <c r="A1227">
        <f>IFERROR(INDEX('Email Cleaner'!$B$2:$B$10001,MATCH(1226,'Email Cleaner'!$H$2:$H$10001,0)),"")</f>
        <v/>
      </c>
    </row>
    <row r="1228">
      <c r="A1228">
        <f>IFERROR(INDEX('Email Cleaner'!$B$2:$B$10001,MATCH(1227,'Email Cleaner'!$H$2:$H$10001,0)),"")</f>
        <v/>
      </c>
    </row>
    <row r="1229">
      <c r="A1229">
        <f>IFERROR(INDEX('Email Cleaner'!$B$2:$B$10001,MATCH(1228,'Email Cleaner'!$H$2:$H$10001,0)),"")</f>
        <v/>
      </c>
    </row>
    <row r="1230">
      <c r="A1230">
        <f>IFERROR(INDEX('Email Cleaner'!$B$2:$B$10001,MATCH(1229,'Email Cleaner'!$H$2:$H$10001,0)),"")</f>
        <v/>
      </c>
    </row>
    <row r="1231">
      <c r="A1231">
        <f>IFERROR(INDEX('Email Cleaner'!$B$2:$B$10001,MATCH(1230,'Email Cleaner'!$H$2:$H$10001,0)),"")</f>
        <v/>
      </c>
    </row>
    <row r="1232">
      <c r="A1232">
        <f>IFERROR(INDEX('Email Cleaner'!$B$2:$B$10001,MATCH(1231,'Email Cleaner'!$H$2:$H$10001,0)),"")</f>
        <v/>
      </c>
    </row>
    <row r="1233">
      <c r="A1233">
        <f>IFERROR(INDEX('Email Cleaner'!$B$2:$B$10001,MATCH(1232,'Email Cleaner'!$H$2:$H$10001,0)),"")</f>
        <v/>
      </c>
    </row>
    <row r="1234">
      <c r="A1234">
        <f>IFERROR(INDEX('Email Cleaner'!$B$2:$B$10001,MATCH(1233,'Email Cleaner'!$H$2:$H$10001,0)),"")</f>
        <v/>
      </c>
    </row>
    <row r="1235">
      <c r="A1235">
        <f>IFERROR(INDEX('Email Cleaner'!$B$2:$B$10001,MATCH(1234,'Email Cleaner'!$H$2:$H$10001,0)),"")</f>
        <v/>
      </c>
    </row>
    <row r="1236">
      <c r="A1236">
        <f>IFERROR(INDEX('Email Cleaner'!$B$2:$B$10001,MATCH(1235,'Email Cleaner'!$H$2:$H$10001,0)),"")</f>
        <v/>
      </c>
    </row>
    <row r="1237">
      <c r="A1237">
        <f>IFERROR(INDEX('Email Cleaner'!$B$2:$B$10001,MATCH(1236,'Email Cleaner'!$H$2:$H$10001,0)),"")</f>
        <v/>
      </c>
    </row>
    <row r="1238">
      <c r="A1238">
        <f>IFERROR(INDEX('Email Cleaner'!$B$2:$B$10001,MATCH(1237,'Email Cleaner'!$H$2:$H$10001,0)),"")</f>
        <v/>
      </c>
    </row>
    <row r="1239">
      <c r="A1239">
        <f>IFERROR(INDEX('Email Cleaner'!$B$2:$B$10001,MATCH(1238,'Email Cleaner'!$H$2:$H$10001,0)),"")</f>
        <v/>
      </c>
    </row>
    <row r="1240">
      <c r="A1240">
        <f>IFERROR(INDEX('Email Cleaner'!$B$2:$B$10001,MATCH(1239,'Email Cleaner'!$H$2:$H$10001,0)),"")</f>
        <v/>
      </c>
    </row>
    <row r="1241">
      <c r="A1241">
        <f>IFERROR(INDEX('Email Cleaner'!$B$2:$B$10001,MATCH(1240,'Email Cleaner'!$H$2:$H$10001,0)),"")</f>
        <v/>
      </c>
    </row>
    <row r="1242">
      <c r="A1242">
        <f>IFERROR(INDEX('Email Cleaner'!$B$2:$B$10001,MATCH(1241,'Email Cleaner'!$H$2:$H$10001,0)),"")</f>
        <v/>
      </c>
    </row>
    <row r="1243">
      <c r="A1243">
        <f>IFERROR(INDEX('Email Cleaner'!$B$2:$B$10001,MATCH(1242,'Email Cleaner'!$H$2:$H$10001,0)),"")</f>
        <v/>
      </c>
    </row>
    <row r="1244">
      <c r="A1244">
        <f>IFERROR(INDEX('Email Cleaner'!$B$2:$B$10001,MATCH(1243,'Email Cleaner'!$H$2:$H$10001,0)),"")</f>
        <v/>
      </c>
    </row>
    <row r="1245">
      <c r="A1245">
        <f>IFERROR(INDEX('Email Cleaner'!$B$2:$B$10001,MATCH(1244,'Email Cleaner'!$H$2:$H$10001,0)),"")</f>
        <v/>
      </c>
    </row>
    <row r="1246">
      <c r="A1246">
        <f>IFERROR(INDEX('Email Cleaner'!$B$2:$B$10001,MATCH(1245,'Email Cleaner'!$H$2:$H$10001,0)),"")</f>
        <v/>
      </c>
    </row>
    <row r="1247">
      <c r="A1247">
        <f>IFERROR(INDEX('Email Cleaner'!$B$2:$B$10001,MATCH(1246,'Email Cleaner'!$H$2:$H$10001,0)),"")</f>
        <v/>
      </c>
    </row>
    <row r="1248">
      <c r="A1248">
        <f>IFERROR(INDEX('Email Cleaner'!$B$2:$B$10001,MATCH(1247,'Email Cleaner'!$H$2:$H$10001,0)),"")</f>
        <v/>
      </c>
    </row>
    <row r="1249">
      <c r="A1249">
        <f>IFERROR(INDEX('Email Cleaner'!$B$2:$B$10001,MATCH(1248,'Email Cleaner'!$H$2:$H$10001,0)),"")</f>
        <v/>
      </c>
    </row>
    <row r="1250">
      <c r="A1250">
        <f>IFERROR(INDEX('Email Cleaner'!$B$2:$B$10001,MATCH(1249,'Email Cleaner'!$H$2:$H$10001,0)),"")</f>
        <v/>
      </c>
    </row>
    <row r="1251">
      <c r="A1251">
        <f>IFERROR(INDEX('Email Cleaner'!$B$2:$B$10001,MATCH(1250,'Email Cleaner'!$H$2:$H$10001,0)),"")</f>
        <v/>
      </c>
    </row>
    <row r="1252">
      <c r="A1252">
        <f>IFERROR(INDEX('Email Cleaner'!$B$2:$B$10001,MATCH(1251,'Email Cleaner'!$H$2:$H$10001,0)),"")</f>
        <v/>
      </c>
    </row>
    <row r="1253">
      <c r="A1253">
        <f>IFERROR(INDEX('Email Cleaner'!$B$2:$B$10001,MATCH(1252,'Email Cleaner'!$H$2:$H$10001,0)),"")</f>
        <v/>
      </c>
    </row>
    <row r="1254">
      <c r="A1254">
        <f>IFERROR(INDEX('Email Cleaner'!$B$2:$B$10001,MATCH(1253,'Email Cleaner'!$H$2:$H$10001,0)),"")</f>
        <v/>
      </c>
    </row>
    <row r="1255">
      <c r="A1255">
        <f>IFERROR(INDEX('Email Cleaner'!$B$2:$B$10001,MATCH(1254,'Email Cleaner'!$H$2:$H$10001,0)),"")</f>
        <v/>
      </c>
    </row>
    <row r="1256">
      <c r="A1256">
        <f>IFERROR(INDEX('Email Cleaner'!$B$2:$B$10001,MATCH(1255,'Email Cleaner'!$H$2:$H$10001,0)),"")</f>
        <v/>
      </c>
    </row>
    <row r="1257">
      <c r="A1257">
        <f>IFERROR(INDEX('Email Cleaner'!$B$2:$B$10001,MATCH(1256,'Email Cleaner'!$H$2:$H$10001,0)),"")</f>
        <v/>
      </c>
    </row>
    <row r="1258">
      <c r="A1258">
        <f>IFERROR(INDEX('Email Cleaner'!$B$2:$B$10001,MATCH(1257,'Email Cleaner'!$H$2:$H$10001,0)),"")</f>
        <v/>
      </c>
    </row>
    <row r="1259">
      <c r="A1259">
        <f>IFERROR(INDEX('Email Cleaner'!$B$2:$B$10001,MATCH(1258,'Email Cleaner'!$H$2:$H$10001,0)),"")</f>
        <v/>
      </c>
    </row>
    <row r="1260">
      <c r="A1260">
        <f>IFERROR(INDEX('Email Cleaner'!$B$2:$B$10001,MATCH(1259,'Email Cleaner'!$H$2:$H$10001,0)),"")</f>
        <v/>
      </c>
    </row>
    <row r="1261">
      <c r="A1261">
        <f>IFERROR(INDEX('Email Cleaner'!$B$2:$B$10001,MATCH(1260,'Email Cleaner'!$H$2:$H$10001,0)),"")</f>
        <v/>
      </c>
    </row>
    <row r="1262">
      <c r="A1262">
        <f>IFERROR(INDEX('Email Cleaner'!$B$2:$B$10001,MATCH(1261,'Email Cleaner'!$H$2:$H$10001,0)),"")</f>
        <v/>
      </c>
    </row>
    <row r="1263">
      <c r="A1263">
        <f>IFERROR(INDEX('Email Cleaner'!$B$2:$B$10001,MATCH(1262,'Email Cleaner'!$H$2:$H$10001,0)),"")</f>
        <v/>
      </c>
    </row>
    <row r="1264">
      <c r="A1264">
        <f>IFERROR(INDEX('Email Cleaner'!$B$2:$B$10001,MATCH(1263,'Email Cleaner'!$H$2:$H$10001,0)),"")</f>
        <v/>
      </c>
    </row>
    <row r="1265">
      <c r="A1265">
        <f>IFERROR(INDEX('Email Cleaner'!$B$2:$B$10001,MATCH(1264,'Email Cleaner'!$H$2:$H$10001,0)),"")</f>
        <v/>
      </c>
    </row>
    <row r="1266">
      <c r="A1266">
        <f>IFERROR(INDEX('Email Cleaner'!$B$2:$B$10001,MATCH(1265,'Email Cleaner'!$H$2:$H$10001,0)),"")</f>
        <v/>
      </c>
    </row>
    <row r="1267">
      <c r="A1267">
        <f>IFERROR(INDEX('Email Cleaner'!$B$2:$B$10001,MATCH(1266,'Email Cleaner'!$H$2:$H$10001,0)),"")</f>
        <v/>
      </c>
    </row>
    <row r="1268">
      <c r="A1268">
        <f>IFERROR(INDEX('Email Cleaner'!$B$2:$B$10001,MATCH(1267,'Email Cleaner'!$H$2:$H$10001,0)),"")</f>
        <v/>
      </c>
    </row>
    <row r="1269">
      <c r="A1269">
        <f>IFERROR(INDEX('Email Cleaner'!$B$2:$B$10001,MATCH(1268,'Email Cleaner'!$H$2:$H$10001,0)),"")</f>
        <v/>
      </c>
    </row>
    <row r="1270">
      <c r="A1270">
        <f>IFERROR(INDEX('Email Cleaner'!$B$2:$B$10001,MATCH(1269,'Email Cleaner'!$H$2:$H$10001,0)),"")</f>
        <v/>
      </c>
    </row>
    <row r="1271">
      <c r="A1271">
        <f>IFERROR(INDEX('Email Cleaner'!$B$2:$B$10001,MATCH(1270,'Email Cleaner'!$H$2:$H$10001,0)),"")</f>
        <v/>
      </c>
    </row>
    <row r="1272">
      <c r="A1272">
        <f>IFERROR(INDEX('Email Cleaner'!$B$2:$B$10001,MATCH(1271,'Email Cleaner'!$H$2:$H$10001,0)),"")</f>
        <v/>
      </c>
    </row>
    <row r="1273">
      <c r="A1273">
        <f>IFERROR(INDEX('Email Cleaner'!$B$2:$B$10001,MATCH(1272,'Email Cleaner'!$H$2:$H$10001,0)),"")</f>
        <v/>
      </c>
    </row>
    <row r="1274">
      <c r="A1274">
        <f>IFERROR(INDEX('Email Cleaner'!$B$2:$B$10001,MATCH(1273,'Email Cleaner'!$H$2:$H$10001,0)),"")</f>
        <v/>
      </c>
    </row>
    <row r="1275">
      <c r="A1275">
        <f>IFERROR(INDEX('Email Cleaner'!$B$2:$B$10001,MATCH(1274,'Email Cleaner'!$H$2:$H$10001,0)),"")</f>
        <v/>
      </c>
    </row>
    <row r="1276">
      <c r="A1276">
        <f>IFERROR(INDEX('Email Cleaner'!$B$2:$B$10001,MATCH(1275,'Email Cleaner'!$H$2:$H$10001,0)),"")</f>
        <v/>
      </c>
    </row>
    <row r="1277">
      <c r="A1277">
        <f>IFERROR(INDEX('Email Cleaner'!$B$2:$B$10001,MATCH(1276,'Email Cleaner'!$H$2:$H$10001,0)),"")</f>
        <v/>
      </c>
    </row>
    <row r="1278">
      <c r="A1278">
        <f>IFERROR(INDEX('Email Cleaner'!$B$2:$B$10001,MATCH(1277,'Email Cleaner'!$H$2:$H$10001,0)),"")</f>
        <v/>
      </c>
    </row>
    <row r="1279">
      <c r="A1279">
        <f>IFERROR(INDEX('Email Cleaner'!$B$2:$B$10001,MATCH(1278,'Email Cleaner'!$H$2:$H$10001,0)),"")</f>
        <v/>
      </c>
    </row>
    <row r="1280">
      <c r="A1280">
        <f>IFERROR(INDEX('Email Cleaner'!$B$2:$B$10001,MATCH(1279,'Email Cleaner'!$H$2:$H$10001,0)),"")</f>
        <v/>
      </c>
    </row>
    <row r="1281">
      <c r="A1281">
        <f>IFERROR(INDEX('Email Cleaner'!$B$2:$B$10001,MATCH(1280,'Email Cleaner'!$H$2:$H$10001,0)),"")</f>
        <v/>
      </c>
    </row>
    <row r="1282">
      <c r="A1282">
        <f>IFERROR(INDEX('Email Cleaner'!$B$2:$B$10001,MATCH(1281,'Email Cleaner'!$H$2:$H$10001,0)),"")</f>
        <v/>
      </c>
    </row>
    <row r="1283">
      <c r="A1283">
        <f>IFERROR(INDEX('Email Cleaner'!$B$2:$B$10001,MATCH(1282,'Email Cleaner'!$H$2:$H$10001,0)),"")</f>
        <v/>
      </c>
    </row>
    <row r="1284">
      <c r="A1284">
        <f>IFERROR(INDEX('Email Cleaner'!$B$2:$B$10001,MATCH(1283,'Email Cleaner'!$H$2:$H$10001,0)),"")</f>
        <v/>
      </c>
    </row>
    <row r="1285">
      <c r="A1285">
        <f>IFERROR(INDEX('Email Cleaner'!$B$2:$B$10001,MATCH(1284,'Email Cleaner'!$H$2:$H$10001,0)),"")</f>
        <v/>
      </c>
    </row>
    <row r="1286">
      <c r="A1286">
        <f>IFERROR(INDEX('Email Cleaner'!$B$2:$B$10001,MATCH(1285,'Email Cleaner'!$H$2:$H$10001,0)),"")</f>
        <v/>
      </c>
    </row>
    <row r="1287">
      <c r="A1287">
        <f>IFERROR(INDEX('Email Cleaner'!$B$2:$B$10001,MATCH(1286,'Email Cleaner'!$H$2:$H$10001,0)),"")</f>
        <v/>
      </c>
    </row>
    <row r="1288">
      <c r="A1288">
        <f>IFERROR(INDEX('Email Cleaner'!$B$2:$B$10001,MATCH(1287,'Email Cleaner'!$H$2:$H$10001,0)),"")</f>
        <v/>
      </c>
    </row>
    <row r="1289">
      <c r="A1289">
        <f>IFERROR(INDEX('Email Cleaner'!$B$2:$B$10001,MATCH(1288,'Email Cleaner'!$H$2:$H$10001,0)),"")</f>
        <v/>
      </c>
    </row>
    <row r="1290">
      <c r="A1290">
        <f>IFERROR(INDEX('Email Cleaner'!$B$2:$B$10001,MATCH(1289,'Email Cleaner'!$H$2:$H$10001,0)),"")</f>
        <v/>
      </c>
    </row>
    <row r="1291">
      <c r="A1291">
        <f>IFERROR(INDEX('Email Cleaner'!$B$2:$B$10001,MATCH(1290,'Email Cleaner'!$H$2:$H$10001,0)),"")</f>
        <v/>
      </c>
    </row>
    <row r="1292">
      <c r="A1292">
        <f>IFERROR(INDEX('Email Cleaner'!$B$2:$B$10001,MATCH(1291,'Email Cleaner'!$H$2:$H$10001,0)),"")</f>
        <v/>
      </c>
    </row>
    <row r="1293">
      <c r="A1293">
        <f>IFERROR(INDEX('Email Cleaner'!$B$2:$B$10001,MATCH(1292,'Email Cleaner'!$H$2:$H$10001,0)),"")</f>
        <v/>
      </c>
    </row>
    <row r="1294">
      <c r="A1294">
        <f>IFERROR(INDEX('Email Cleaner'!$B$2:$B$10001,MATCH(1293,'Email Cleaner'!$H$2:$H$10001,0)),"")</f>
        <v/>
      </c>
    </row>
    <row r="1295">
      <c r="A1295">
        <f>IFERROR(INDEX('Email Cleaner'!$B$2:$B$10001,MATCH(1294,'Email Cleaner'!$H$2:$H$10001,0)),"")</f>
        <v/>
      </c>
    </row>
    <row r="1296">
      <c r="A1296">
        <f>IFERROR(INDEX('Email Cleaner'!$B$2:$B$10001,MATCH(1295,'Email Cleaner'!$H$2:$H$10001,0)),"")</f>
        <v/>
      </c>
    </row>
    <row r="1297">
      <c r="A1297">
        <f>IFERROR(INDEX('Email Cleaner'!$B$2:$B$10001,MATCH(1296,'Email Cleaner'!$H$2:$H$10001,0)),"")</f>
        <v/>
      </c>
    </row>
    <row r="1298">
      <c r="A1298">
        <f>IFERROR(INDEX('Email Cleaner'!$B$2:$B$10001,MATCH(1297,'Email Cleaner'!$H$2:$H$10001,0)),"")</f>
        <v/>
      </c>
    </row>
    <row r="1299">
      <c r="A1299">
        <f>IFERROR(INDEX('Email Cleaner'!$B$2:$B$10001,MATCH(1298,'Email Cleaner'!$H$2:$H$10001,0)),"")</f>
        <v/>
      </c>
    </row>
    <row r="1300">
      <c r="A1300">
        <f>IFERROR(INDEX('Email Cleaner'!$B$2:$B$10001,MATCH(1299,'Email Cleaner'!$H$2:$H$10001,0)),"")</f>
        <v/>
      </c>
    </row>
    <row r="1301">
      <c r="A1301">
        <f>IFERROR(INDEX('Email Cleaner'!$B$2:$B$10001,MATCH(1300,'Email Cleaner'!$H$2:$H$10001,0)),"")</f>
        <v/>
      </c>
    </row>
    <row r="1302">
      <c r="A1302">
        <f>IFERROR(INDEX('Email Cleaner'!$B$2:$B$10001,MATCH(1301,'Email Cleaner'!$H$2:$H$10001,0)),"")</f>
        <v/>
      </c>
    </row>
    <row r="1303">
      <c r="A1303">
        <f>IFERROR(INDEX('Email Cleaner'!$B$2:$B$10001,MATCH(1302,'Email Cleaner'!$H$2:$H$10001,0)),"")</f>
        <v/>
      </c>
    </row>
    <row r="1304">
      <c r="A1304">
        <f>IFERROR(INDEX('Email Cleaner'!$B$2:$B$10001,MATCH(1303,'Email Cleaner'!$H$2:$H$10001,0)),"")</f>
        <v/>
      </c>
    </row>
    <row r="1305">
      <c r="A1305">
        <f>IFERROR(INDEX('Email Cleaner'!$B$2:$B$10001,MATCH(1304,'Email Cleaner'!$H$2:$H$10001,0)),"")</f>
        <v/>
      </c>
    </row>
    <row r="1306">
      <c r="A1306">
        <f>IFERROR(INDEX('Email Cleaner'!$B$2:$B$10001,MATCH(1305,'Email Cleaner'!$H$2:$H$10001,0)),"")</f>
        <v/>
      </c>
    </row>
    <row r="1307">
      <c r="A1307">
        <f>IFERROR(INDEX('Email Cleaner'!$B$2:$B$10001,MATCH(1306,'Email Cleaner'!$H$2:$H$10001,0)),"")</f>
        <v/>
      </c>
    </row>
    <row r="1308">
      <c r="A1308">
        <f>IFERROR(INDEX('Email Cleaner'!$B$2:$B$10001,MATCH(1307,'Email Cleaner'!$H$2:$H$10001,0)),"")</f>
        <v/>
      </c>
    </row>
    <row r="1309">
      <c r="A1309">
        <f>IFERROR(INDEX('Email Cleaner'!$B$2:$B$10001,MATCH(1308,'Email Cleaner'!$H$2:$H$10001,0)),"")</f>
        <v/>
      </c>
    </row>
    <row r="1310">
      <c r="A1310">
        <f>IFERROR(INDEX('Email Cleaner'!$B$2:$B$10001,MATCH(1309,'Email Cleaner'!$H$2:$H$10001,0)),"")</f>
        <v/>
      </c>
    </row>
    <row r="1311">
      <c r="A1311">
        <f>IFERROR(INDEX('Email Cleaner'!$B$2:$B$10001,MATCH(1310,'Email Cleaner'!$H$2:$H$10001,0)),"")</f>
        <v/>
      </c>
    </row>
    <row r="1312">
      <c r="A1312">
        <f>IFERROR(INDEX('Email Cleaner'!$B$2:$B$10001,MATCH(1311,'Email Cleaner'!$H$2:$H$10001,0)),"")</f>
        <v/>
      </c>
    </row>
    <row r="1313">
      <c r="A1313">
        <f>IFERROR(INDEX('Email Cleaner'!$B$2:$B$10001,MATCH(1312,'Email Cleaner'!$H$2:$H$10001,0)),"")</f>
        <v/>
      </c>
    </row>
    <row r="1314">
      <c r="A1314">
        <f>IFERROR(INDEX('Email Cleaner'!$B$2:$B$10001,MATCH(1313,'Email Cleaner'!$H$2:$H$10001,0)),"")</f>
        <v/>
      </c>
    </row>
    <row r="1315">
      <c r="A1315">
        <f>IFERROR(INDEX('Email Cleaner'!$B$2:$B$10001,MATCH(1314,'Email Cleaner'!$H$2:$H$10001,0)),"")</f>
        <v/>
      </c>
    </row>
    <row r="1316">
      <c r="A1316">
        <f>IFERROR(INDEX('Email Cleaner'!$B$2:$B$10001,MATCH(1315,'Email Cleaner'!$H$2:$H$10001,0)),"")</f>
        <v/>
      </c>
    </row>
    <row r="1317">
      <c r="A1317">
        <f>IFERROR(INDEX('Email Cleaner'!$B$2:$B$10001,MATCH(1316,'Email Cleaner'!$H$2:$H$10001,0)),"")</f>
        <v/>
      </c>
    </row>
    <row r="1318">
      <c r="A1318">
        <f>IFERROR(INDEX('Email Cleaner'!$B$2:$B$10001,MATCH(1317,'Email Cleaner'!$H$2:$H$10001,0)),"")</f>
        <v/>
      </c>
    </row>
    <row r="1319">
      <c r="A1319">
        <f>IFERROR(INDEX('Email Cleaner'!$B$2:$B$10001,MATCH(1318,'Email Cleaner'!$H$2:$H$10001,0)),"")</f>
        <v/>
      </c>
    </row>
    <row r="1320">
      <c r="A1320">
        <f>IFERROR(INDEX('Email Cleaner'!$B$2:$B$10001,MATCH(1319,'Email Cleaner'!$H$2:$H$10001,0)),"")</f>
        <v/>
      </c>
    </row>
    <row r="1321">
      <c r="A1321">
        <f>IFERROR(INDEX('Email Cleaner'!$B$2:$B$10001,MATCH(1320,'Email Cleaner'!$H$2:$H$10001,0)),"")</f>
        <v/>
      </c>
    </row>
    <row r="1322">
      <c r="A1322">
        <f>IFERROR(INDEX('Email Cleaner'!$B$2:$B$10001,MATCH(1321,'Email Cleaner'!$H$2:$H$10001,0)),"")</f>
        <v/>
      </c>
    </row>
    <row r="1323">
      <c r="A1323">
        <f>IFERROR(INDEX('Email Cleaner'!$B$2:$B$10001,MATCH(1322,'Email Cleaner'!$H$2:$H$10001,0)),"")</f>
        <v/>
      </c>
    </row>
    <row r="1324">
      <c r="A1324">
        <f>IFERROR(INDEX('Email Cleaner'!$B$2:$B$10001,MATCH(1323,'Email Cleaner'!$H$2:$H$10001,0)),"")</f>
        <v/>
      </c>
    </row>
    <row r="1325">
      <c r="A1325">
        <f>IFERROR(INDEX('Email Cleaner'!$B$2:$B$10001,MATCH(1324,'Email Cleaner'!$H$2:$H$10001,0)),"")</f>
        <v/>
      </c>
    </row>
    <row r="1326">
      <c r="A1326">
        <f>IFERROR(INDEX('Email Cleaner'!$B$2:$B$10001,MATCH(1325,'Email Cleaner'!$H$2:$H$10001,0)),"")</f>
        <v/>
      </c>
    </row>
    <row r="1327">
      <c r="A1327">
        <f>IFERROR(INDEX('Email Cleaner'!$B$2:$B$10001,MATCH(1326,'Email Cleaner'!$H$2:$H$10001,0)),"")</f>
        <v/>
      </c>
    </row>
    <row r="1328">
      <c r="A1328">
        <f>IFERROR(INDEX('Email Cleaner'!$B$2:$B$10001,MATCH(1327,'Email Cleaner'!$H$2:$H$10001,0)),"")</f>
        <v/>
      </c>
    </row>
    <row r="1329">
      <c r="A1329">
        <f>IFERROR(INDEX('Email Cleaner'!$B$2:$B$10001,MATCH(1328,'Email Cleaner'!$H$2:$H$10001,0)),"")</f>
        <v/>
      </c>
    </row>
    <row r="1330">
      <c r="A1330">
        <f>IFERROR(INDEX('Email Cleaner'!$B$2:$B$10001,MATCH(1329,'Email Cleaner'!$H$2:$H$10001,0)),"")</f>
        <v/>
      </c>
    </row>
    <row r="1331">
      <c r="A1331">
        <f>IFERROR(INDEX('Email Cleaner'!$B$2:$B$10001,MATCH(1330,'Email Cleaner'!$H$2:$H$10001,0)),"")</f>
        <v/>
      </c>
    </row>
    <row r="1332">
      <c r="A1332">
        <f>IFERROR(INDEX('Email Cleaner'!$B$2:$B$10001,MATCH(1331,'Email Cleaner'!$H$2:$H$10001,0)),"")</f>
        <v/>
      </c>
    </row>
    <row r="1333">
      <c r="A1333">
        <f>IFERROR(INDEX('Email Cleaner'!$B$2:$B$10001,MATCH(1332,'Email Cleaner'!$H$2:$H$10001,0)),"")</f>
        <v/>
      </c>
    </row>
    <row r="1334">
      <c r="A1334">
        <f>IFERROR(INDEX('Email Cleaner'!$B$2:$B$10001,MATCH(1333,'Email Cleaner'!$H$2:$H$10001,0)),"")</f>
        <v/>
      </c>
    </row>
    <row r="1335">
      <c r="A1335">
        <f>IFERROR(INDEX('Email Cleaner'!$B$2:$B$10001,MATCH(1334,'Email Cleaner'!$H$2:$H$10001,0)),"")</f>
        <v/>
      </c>
    </row>
    <row r="1336">
      <c r="A1336">
        <f>IFERROR(INDEX('Email Cleaner'!$B$2:$B$10001,MATCH(1335,'Email Cleaner'!$H$2:$H$10001,0)),"")</f>
        <v/>
      </c>
    </row>
    <row r="1337">
      <c r="A1337">
        <f>IFERROR(INDEX('Email Cleaner'!$B$2:$B$10001,MATCH(1336,'Email Cleaner'!$H$2:$H$10001,0)),"")</f>
        <v/>
      </c>
    </row>
    <row r="1338">
      <c r="A1338">
        <f>IFERROR(INDEX('Email Cleaner'!$B$2:$B$10001,MATCH(1337,'Email Cleaner'!$H$2:$H$10001,0)),"")</f>
        <v/>
      </c>
    </row>
    <row r="1339">
      <c r="A1339">
        <f>IFERROR(INDEX('Email Cleaner'!$B$2:$B$10001,MATCH(1338,'Email Cleaner'!$H$2:$H$10001,0)),"")</f>
        <v/>
      </c>
    </row>
    <row r="1340">
      <c r="A1340">
        <f>IFERROR(INDEX('Email Cleaner'!$B$2:$B$10001,MATCH(1339,'Email Cleaner'!$H$2:$H$10001,0)),"")</f>
        <v/>
      </c>
    </row>
    <row r="1341">
      <c r="A1341">
        <f>IFERROR(INDEX('Email Cleaner'!$B$2:$B$10001,MATCH(1340,'Email Cleaner'!$H$2:$H$10001,0)),"")</f>
        <v/>
      </c>
    </row>
    <row r="1342">
      <c r="A1342">
        <f>IFERROR(INDEX('Email Cleaner'!$B$2:$B$10001,MATCH(1341,'Email Cleaner'!$H$2:$H$10001,0)),"")</f>
        <v/>
      </c>
    </row>
    <row r="1343">
      <c r="A1343">
        <f>IFERROR(INDEX('Email Cleaner'!$B$2:$B$10001,MATCH(1342,'Email Cleaner'!$H$2:$H$10001,0)),"")</f>
        <v/>
      </c>
    </row>
    <row r="1344">
      <c r="A1344">
        <f>IFERROR(INDEX('Email Cleaner'!$B$2:$B$10001,MATCH(1343,'Email Cleaner'!$H$2:$H$10001,0)),"")</f>
        <v/>
      </c>
    </row>
    <row r="1345">
      <c r="A1345">
        <f>IFERROR(INDEX('Email Cleaner'!$B$2:$B$10001,MATCH(1344,'Email Cleaner'!$H$2:$H$10001,0)),"")</f>
        <v/>
      </c>
    </row>
    <row r="1346">
      <c r="A1346">
        <f>IFERROR(INDEX('Email Cleaner'!$B$2:$B$10001,MATCH(1345,'Email Cleaner'!$H$2:$H$10001,0)),"")</f>
        <v/>
      </c>
    </row>
    <row r="1347">
      <c r="A1347">
        <f>IFERROR(INDEX('Email Cleaner'!$B$2:$B$10001,MATCH(1346,'Email Cleaner'!$H$2:$H$10001,0)),"")</f>
        <v/>
      </c>
    </row>
    <row r="1348">
      <c r="A1348">
        <f>IFERROR(INDEX('Email Cleaner'!$B$2:$B$10001,MATCH(1347,'Email Cleaner'!$H$2:$H$10001,0)),"")</f>
        <v/>
      </c>
    </row>
    <row r="1349">
      <c r="A1349">
        <f>IFERROR(INDEX('Email Cleaner'!$B$2:$B$10001,MATCH(1348,'Email Cleaner'!$H$2:$H$10001,0)),"")</f>
        <v/>
      </c>
    </row>
    <row r="1350">
      <c r="A1350">
        <f>IFERROR(INDEX('Email Cleaner'!$B$2:$B$10001,MATCH(1349,'Email Cleaner'!$H$2:$H$10001,0)),"")</f>
        <v/>
      </c>
    </row>
    <row r="1351">
      <c r="A1351">
        <f>IFERROR(INDEX('Email Cleaner'!$B$2:$B$10001,MATCH(1350,'Email Cleaner'!$H$2:$H$10001,0)),"")</f>
        <v/>
      </c>
    </row>
    <row r="1352">
      <c r="A1352">
        <f>IFERROR(INDEX('Email Cleaner'!$B$2:$B$10001,MATCH(1351,'Email Cleaner'!$H$2:$H$10001,0)),"")</f>
        <v/>
      </c>
    </row>
    <row r="1353">
      <c r="A1353">
        <f>IFERROR(INDEX('Email Cleaner'!$B$2:$B$10001,MATCH(1352,'Email Cleaner'!$H$2:$H$10001,0)),"")</f>
        <v/>
      </c>
    </row>
    <row r="1354">
      <c r="A1354">
        <f>IFERROR(INDEX('Email Cleaner'!$B$2:$B$10001,MATCH(1353,'Email Cleaner'!$H$2:$H$10001,0)),"")</f>
        <v/>
      </c>
    </row>
    <row r="1355">
      <c r="A1355">
        <f>IFERROR(INDEX('Email Cleaner'!$B$2:$B$10001,MATCH(1354,'Email Cleaner'!$H$2:$H$10001,0)),"")</f>
        <v/>
      </c>
    </row>
    <row r="1356">
      <c r="A1356">
        <f>IFERROR(INDEX('Email Cleaner'!$B$2:$B$10001,MATCH(1355,'Email Cleaner'!$H$2:$H$10001,0)),"")</f>
        <v/>
      </c>
    </row>
    <row r="1357">
      <c r="A1357">
        <f>IFERROR(INDEX('Email Cleaner'!$B$2:$B$10001,MATCH(1356,'Email Cleaner'!$H$2:$H$10001,0)),"")</f>
        <v/>
      </c>
    </row>
    <row r="1358">
      <c r="A1358">
        <f>IFERROR(INDEX('Email Cleaner'!$B$2:$B$10001,MATCH(1357,'Email Cleaner'!$H$2:$H$10001,0)),"")</f>
        <v/>
      </c>
    </row>
    <row r="1359">
      <c r="A1359">
        <f>IFERROR(INDEX('Email Cleaner'!$B$2:$B$10001,MATCH(1358,'Email Cleaner'!$H$2:$H$10001,0)),"")</f>
        <v/>
      </c>
    </row>
    <row r="1360">
      <c r="A1360">
        <f>IFERROR(INDEX('Email Cleaner'!$B$2:$B$10001,MATCH(1359,'Email Cleaner'!$H$2:$H$10001,0)),"")</f>
        <v/>
      </c>
    </row>
    <row r="1361">
      <c r="A1361">
        <f>IFERROR(INDEX('Email Cleaner'!$B$2:$B$10001,MATCH(1360,'Email Cleaner'!$H$2:$H$10001,0)),"")</f>
        <v/>
      </c>
    </row>
    <row r="1362">
      <c r="A1362">
        <f>IFERROR(INDEX('Email Cleaner'!$B$2:$B$10001,MATCH(1361,'Email Cleaner'!$H$2:$H$10001,0)),"")</f>
        <v/>
      </c>
    </row>
    <row r="1363">
      <c r="A1363">
        <f>IFERROR(INDEX('Email Cleaner'!$B$2:$B$10001,MATCH(1362,'Email Cleaner'!$H$2:$H$10001,0)),"")</f>
        <v/>
      </c>
    </row>
    <row r="1364">
      <c r="A1364">
        <f>IFERROR(INDEX('Email Cleaner'!$B$2:$B$10001,MATCH(1363,'Email Cleaner'!$H$2:$H$10001,0)),"")</f>
        <v/>
      </c>
    </row>
    <row r="1365">
      <c r="A1365">
        <f>IFERROR(INDEX('Email Cleaner'!$B$2:$B$10001,MATCH(1364,'Email Cleaner'!$H$2:$H$10001,0)),"")</f>
        <v/>
      </c>
    </row>
    <row r="1366">
      <c r="A1366">
        <f>IFERROR(INDEX('Email Cleaner'!$B$2:$B$10001,MATCH(1365,'Email Cleaner'!$H$2:$H$10001,0)),"")</f>
        <v/>
      </c>
    </row>
    <row r="1367">
      <c r="A1367">
        <f>IFERROR(INDEX('Email Cleaner'!$B$2:$B$10001,MATCH(1366,'Email Cleaner'!$H$2:$H$10001,0)),"")</f>
        <v/>
      </c>
    </row>
    <row r="1368">
      <c r="A1368">
        <f>IFERROR(INDEX('Email Cleaner'!$B$2:$B$10001,MATCH(1367,'Email Cleaner'!$H$2:$H$10001,0)),"")</f>
        <v/>
      </c>
    </row>
    <row r="1369">
      <c r="A1369">
        <f>IFERROR(INDEX('Email Cleaner'!$B$2:$B$10001,MATCH(1368,'Email Cleaner'!$H$2:$H$10001,0)),"")</f>
        <v/>
      </c>
    </row>
    <row r="1370">
      <c r="A1370">
        <f>IFERROR(INDEX('Email Cleaner'!$B$2:$B$10001,MATCH(1369,'Email Cleaner'!$H$2:$H$10001,0)),"")</f>
        <v/>
      </c>
    </row>
    <row r="1371">
      <c r="A1371">
        <f>IFERROR(INDEX('Email Cleaner'!$B$2:$B$10001,MATCH(1370,'Email Cleaner'!$H$2:$H$10001,0)),"")</f>
        <v/>
      </c>
    </row>
    <row r="1372">
      <c r="A1372">
        <f>IFERROR(INDEX('Email Cleaner'!$B$2:$B$10001,MATCH(1371,'Email Cleaner'!$H$2:$H$10001,0)),"")</f>
        <v/>
      </c>
    </row>
    <row r="1373">
      <c r="A1373">
        <f>IFERROR(INDEX('Email Cleaner'!$B$2:$B$10001,MATCH(1372,'Email Cleaner'!$H$2:$H$10001,0)),"")</f>
        <v/>
      </c>
    </row>
    <row r="1374">
      <c r="A1374">
        <f>IFERROR(INDEX('Email Cleaner'!$B$2:$B$10001,MATCH(1373,'Email Cleaner'!$H$2:$H$10001,0)),"")</f>
        <v/>
      </c>
    </row>
    <row r="1375">
      <c r="A1375">
        <f>IFERROR(INDEX('Email Cleaner'!$B$2:$B$10001,MATCH(1374,'Email Cleaner'!$H$2:$H$10001,0)),"")</f>
        <v/>
      </c>
    </row>
    <row r="1376">
      <c r="A1376">
        <f>IFERROR(INDEX('Email Cleaner'!$B$2:$B$10001,MATCH(1375,'Email Cleaner'!$H$2:$H$10001,0)),"")</f>
        <v/>
      </c>
    </row>
    <row r="1377">
      <c r="A1377">
        <f>IFERROR(INDEX('Email Cleaner'!$B$2:$B$10001,MATCH(1376,'Email Cleaner'!$H$2:$H$10001,0)),"")</f>
        <v/>
      </c>
    </row>
    <row r="1378">
      <c r="A1378">
        <f>IFERROR(INDEX('Email Cleaner'!$B$2:$B$10001,MATCH(1377,'Email Cleaner'!$H$2:$H$10001,0)),"")</f>
        <v/>
      </c>
    </row>
    <row r="1379">
      <c r="A1379">
        <f>IFERROR(INDEX('Email Cleaner'!$B$2:$B$10001,MATCH(1378,'Email Cleaner'!$H$2:$H$10001,0)),"")</f>
        <v/>
      </c>
    </row>
    <row r="1380">
      <c r="A1380">
        <f>IFERROR(INDEX('Email Cleaner'!$B$2:$B$10001,MATCH(1379,'Email Cleaner'!$H$2:$H$10001,0)),"")</f>
        <v/>
      </c>
    </row>
    <row r="1381">
      <c r="A1381">
        <f>IFERROR(INDEX('Email Cleaner'!$B$2:$B$10001,MATCH(1380,'Email Cleaner'!$H$2:$H$10001,0)),"")</f>
        <v/>
      </c>
    </row>
    <row r="1382">
      <c r="A1382">
        <f>IFERROR(INDEX('Email Cleaner'!$B$2:$B$10001,MATCH(1381,'Email Cleaner'!$H$2:$H$10001,0)),"")</f>
        <v/>
      </c>
    </row>
    <row r="1383">
      <c r="A1383">
        <f>IFERROR(INDEX('Email Cleaner'!$B$2:$B$10001,MATCH(1382,'Email Cleaner'!$H$2:$H$10001,0)),"")</f>
        <v/>
      </c>
    </row>
    <row r="1384">
      <c r="A1384">
        <f>IFERROR(INDEX('Email Cleaner'!$B$2:$B$10001,MATCH(1383,'Email Cleaner'!$H$2:$H$10001,0)),"")</f>
        <v/>
      </c>
    </row>
    <row r="1385">
      <c r="A1385">
        <f>IFERROR(INDEX('Email Cleaner'!$B$2:$B$10001,MATCH(1384,'Email Cleaner'!$H$2:$H$10001,0)),"")</f>
        <v/>
      </c>
    </row>
    <row r="1386">
      <c r="A1386">
        <f>IFERROR(INDEX('Email Cleaner'!$B$2:$B$10001,MATCH(1385,'Email Cleaner'!$H$2:$H$10001,0)),"")</f>
        <v/>
      </c>
    </row>
    <row r="1387">
      <c r="A1387">
        <f>IFERROR(INDEX('Email Cleaner'!$B$2:$B$10001,MATCH(1386,'Email Cleaner'!$H$2:$H$10001,0)),"")</f>
        <v/>
      </c>
    </row>
    <row r="1388">
      <c r="A1388">
        <f>IFERROR(INDEX('Email Cleaner'!$B$2:$B$10001,MATCH(1387,'Email Cleaner'!$H$2:$H$10001,0)),"")</f>
        <v/>
      </c>
    </row>
    <row r="1389">
      <c r="A1389">
        <f>IFERROR(INDEX('Email Cleaner'!$B$2:$B$10001,MATCH(1388,'Email Cleaner'!$H$2:$H$10001,0)),"")</f>
        <v/>
      </c>
    </row>
    <row r="1390">
      <c r="A1390">
        <f>IFERROR(INDEX('Email Cleaner'!$B$2:$B$10001,MATCH(1389,'Email Cleaner'!$H$2:$H$10001,0)),"")</f>
        <v/>
      </c>
    </row>
    <row r="1391">
      <c r="A1391">
        <f>IFERROR(INDEX('Email Cleaner'!$B$2:$B$10001,MATCH(1390,'Email Cleaner'!$H$2:$H$10001,0)),"")</f>
        <v/>
      </c>
    </row>
    <row r="1392">
      <c r="A1392">
        <f>IFERROR(INDEX('Email Cleaner'!$B$2:$B$10001,MATCH(1391,'Email Cleaner'!$H$2:$H$10001,0)),"")</f>
        <v/>
      </c>
    </row>
    <row r="1393">
      <c r="A1393">
        <f>IFERROR(INDEX('Email Cleaner'!$B$2:$B$10001,MATCH(1392,'Email Cleaner'!$H$2:$H$10001,0)),"")</f>
        <v/>
      </c>
    </row>
    <row r="1394">
      <c r="A1394">
        <f>IFERROR(INDEX('Email Cleaner'!$B$2:$B$10001,MATCH(1393,'Email Cleaner'!$H$2:$H$10001,0)),"")</f>
        <v/>
      </c>
    </row>
    <row r="1395">
      <c r="A1395">
        <f>IFERROR(INDEX('Email Cleaner'!$B$2:$B$10001,MATCH(1394,'Email Cleaner'!$H$2:$H$10001,0)),"")</f>
        <v/>
      </c>
    </row>
    <row r="1396">
      <c r="A1396">
        <f>IFERROR(INDEX('Email Cleaner'!$B$2:$B$10001,MATCH(1395,'Email Cleaner'!$H$2:$H$10001,0)),"")</f>
        <v/>
      </c>
    </row>
    <row r="1397">
      <c r="A1397">
        <f>IFERROR(INDEX('Email Cleaner'!$B$2:$B$10001,MATCH(1396,'Email Cleaner'!$H$2:$H$10001,0)),"")</f>
        <v/>
      </c>
    </row>
    <row r="1398">
      <c r="A1398">
        <f>IFERROR(INDEX('Email Cleaner'!$B$2:$B$10001,MATCH(1397,'Email Cleaner'!$H$2:$H$10001,0)),"")</f>
        <v/>
      </c>
    </row>
    <row r="1399">
      <c r="A1399">
        <f>IFERROR(INDEX('Email Cleaner'!$B$2:$B$10001,MATCH(1398,'Email Cleaner'!$H$2:$H$10001,0)),"")</f>
        <v/>
      </c>
    </row>
    <row r="1400">
      <c r="A1400">
        <f>IFERROR(INDEX('Email Cleaner'!$B$2:$B$10001,MATCH(1399,'Email Cleaner'!$H$2:$H$10001,0)),"")</f>
        <v/>
      </c>
    </row>
    <row r="1401">
      <c r="A1401">
        <f>IFERROR(INDEX('Email Cleaner'!$B$2:$B$10001,MATCH(1400,'Email Cleaner'!$H$2:$H$10001,0)),"")</f>
        <v/>
      </c>
    </row>
    <row r="1402">
      <c r="A1402">
        <f>IFERROR(INDEX('Email Cleaner'!$B$2:$B$10001,MATCH(1401,'Email Cleaner'!$H$2:$H$10001,0)),"")</f>
        <v/>
      </c>
    </row>
    <row r="1403">
      <c r="A1403">
        <f>IFERROR(INDEX('Email Cleaner'!$B$2:$B$10001,MATCH(1402,'Email Cleaner'!$H$2:$H$10001,0)),"")</f>
        <v/>
      </c>
    </row>
    <row r="1404">
      <c r="A1404">
        <f>IFERROR(INDEX('Email Cleaner'!$B$2:$B$10001,MATCH(1403,'Email Cleaner'!$H$2:$H$10001,0)),"")</f>
        <v/>
      </c>
    </row>
    <row r="1405">
      <c r="A1405">
        <f>IFERROR(INDEX('Email Cleaner'!$B$2:$B$10001,MATCH(1404,'Email Cleaner'!$H$2:$H$10001,0)),"")</f>
        <v/>
      </c>
    </row>
    <row r="1406">
      <c r="A1406">
        <f>IFERROR(INDEX('Email Cleaner'!$B$2:$B$10001,MATCH(1405,'Email Cleaner'!$H$2:$H$10001,0)),"")</f>
        <v/>
      </c>
    </row>
    <row r="1407">
      <c r="A1407">
        <f>IFERROR(INDEX('Email Cleaner'!$B$2:$B$10001,MATCH(1406,'Email Cleaner'!$H$2:$H$10001,0)),"")</f>
        <v/>
      </c>
    </row>
    <row r="1408">
      <c r="A1408">
        <f>IFERROR(INDEX('Email Cleaner'!$B$2:$B$10001,MATCH(1407,'Email Cleaner'!$H$2:$H$10001,0)),"")</f>
        <v/>
      </c>
    </row>
    <row r="1409">
      <c r="A1409">
        <f>IFERROR(INDEX('Email Cleaner'!$B$2:$B$10001,MATCH(1408,'Email Cleaner'!$H$2:$H$10001,0)),"")</f>
        <v/>
      </c>
    </row>
    <row r="1410">
      <c r="A1410">
        <f>IFERROR(INDEX('Email Cleaner'!$B$2:$B$10001,MATCH(1409,'Email Cleaner'!$H$2:$H$10001,0)),"")</f>
        <v/>
      </c>
    </row>
    <row r="1411">
      <c r="A1411">
        <f>IFERROR(INDEX('Email Cleaner'!$B$2:$B$10001,MATCH(1410,'Email Cleaner'!$H$2:$H$10001,0)),"")</f>
        <v/>
      </c>
    </row>
    <row r="1412">
      <c r="A1412">
        <f>IFERROR(INDEX('Email Cleaner'!$B$2:$B$10001,MATCH(1411,'Email Cleaner'!$H$2:$H$10001,0)),"")</f>
        <v/>
      </c>
    </row>
    <row r="1413">
      <c r="A1413">
        <f>IFERROR(INDEX('Email Cleaner'!$B$2:$B$10001,MATCH(1412,'Email Cleaner'!$H$2:$H$10001,0)),"")</f>
        <v/>
      </c>
    </row>
    <row r="1414">
      <c r="A1414">
        <f>IFERROR(INDEX('Email Cleaner'!$B$2:$B$10001,MATCH(1413,'Email Cleaner'!$H$2:$H$10001,0)),"")</f>
        <v/>
      </c>
    </row>
    <row r="1415">
      <c r="A1415">
        <f>IFERROR(INDEX('Email Cleaner'!$B$2:$B$10001,MATCH(1414,'Email Cleaner'!$H$2:$H$10001,0)),"")</f>
        <v/>
      </c>
    </row>
    <row r="1416">
      <c r="A1416">
        <f>IFERROR(INDEX('Email Cleaner'!$B$2:$B$10001,MATCH(1415,'Email Cleaner'!$H$2:$H$10001,0)),"")</f>
        <v/>
      </c>
    </row>
    <row r="1417">
      <c r="A1417">
        <f>IFERROR(INDEX('Email Cleaner'!$B$2:$B$10001,MATCH(1416,'Email Cleaner'!$H$2:$H$10001,0)),"")</f>
        <v/>
      </c>
    </row>
    <row r="1418">
      <c r="A1418">
        <f>IFERROR(INDEX('Email Cleaner'!$B$2:$B$10001,MATCH(1417,'Email Cleaner'!$H$2:$H$10001,0)),"")</f>
        <v/>
      </c>
    </row>
    <row r="1419">
      <c r="A1419">
        <f>IFERROR(INDEX('Email Cleaner'!$B$2:$B$10001,MATCH(1418,'Email Cleaner'!$H$2:$H$10001,0)),"")</f>
        <v/>
      </c>
    </row>
    <row r="1420">
      <c r="A1420">
        <f>IFERROR(INDEX('Email Cleaner'!$B$2:$B$10001,MATCH(1419,'Email Cleaner'!$H$2:$H$10001,0)),"")</f>
        <v/>
      </c>
    </row>
    <row r="1421">
      <c r="A1421">
        <f>IFERROR(INDEX('Email Cleaner'!$B$2:$B$10001,MATCH(1420,'Email Cleaner'!$H$2:$H$10001,0)),"")</f>
        <v/>
      </c>
    </row>
    <row r="1422">
      <c r="A1422">
        <f>IFERROR(INDEX('Email Cleaner'!$B$2:$B$10001,MATCH(1421,'Email Cleaner'!$H$2:$H$10001,0)),"")</f>
        <v/>
      </c>
    </row>
    <row r="1423">
      <c r="A1423">
        <f>IFERROR(INDEX('Email Cleaner'!$B$2:$B$10001,MATCH(1422,'Email Cleaner'!$H$2:$H$10001,0)),"")</f>
        <v/>
      </c>
    </row>
    <row r="1424">
      <c r="A1424">
        <f>IFERROR(INDEX('Email Cleaner'!$B$2:$B$10001,MATCH(1423,'Email Cleaner'!$H$2:$H$10001,0)),"")</f>
        <v/>
      </c>
    </row>
    <row r="1425">
      <c r="A1425">
        <f>IFERROR(INDEX('Email Cleaner'!$B$2:$B$10001,MATCH(1424,'Email Cleaner'!$H$2:$H$10001,0)),"")</f>
        <v/>
      </c>
    </row>
    <row r="1426">
      <c r="A1426">
        <f>IFERROR(INDEX('Email Cleaner'!$B$2:$B$10001,MATCH(1425,'Email Cleaner'!$H$2:$H$10001,0)),"")</f>
        <v/>
      </c>
    </row>
    <row r="1427">
      <c r="A1427">
        <f>IFERROR(INDEX('Email Cleaner'!$B$2:$B$10001,MATCH(1426,'Email Cleaner'!$H$2:$H$10001,0)),"")</f>
        <v/>
      </c>
    </row>
    <row r="1428">
      <c r="A1428">
        <f>IFERROR(INDEX('Email Cleaner'!$B$2:$B$10001,MATCH(1427,'Email Cleaner'!$H$2:$H$10001,0)),"")</f>
        <v/>
      </c>
    </row>
    <row r="1429">
      <c r="A1429">
        <f>IFERROR(INDEX('Email Cleaner'!$B$2:$B$10001,MATCH(1428,'Email Cleaner'!$H$2:$H$10001,0)),"")</f>
        <v/>
      </c>
    </row>
    <row r="1430">
      <c r="A1430">
        <f>IFERROR(INDEX('Email Cleaner'!$B$2:$B$10001,MATCH(1429,'Email Cleaner'!$H$2:$H$10001,0)),"")</f>
        <v/>
      </c>
    </row>
    <row r="1431">
      <c r="A1431">
        <f>IFERROR(INDEX('Email Cleaner'!$B$2:$B$10001,MATCH(1430,'Email Cleaner'!$H$2:$H$10001,0)),"")</f>
        <v/>
      </c>
    </row>
    <row r="1432">
      <c r="A1432">
        <f>IFERROR(INDEX('Email Cleaner'!$B$2:$B$10001,MATCH(1431,'Email Cleaner'!$H$2:$H$10001,0)),"")</f>
        <v/>
      </c>
    </row>
    <row r="1433">
      <c r="A1433">
        <f>IFERROR(INDEX('Email Cleaner'!$B$2:$B$10001,MATCH(1432,'Email Cleaner'!$H$2:$H$10001,0)),"")</f>
        <v/>
      </c>
    </row>
    <row r="1434">
      <c r="A1434">
        <f>IFERROR(INDEX('Email Cleaner'!$B$2:$B$10001,MATCH(1433,'Email Cleaner'!$H$2:$H$10001,0)),"")</f>
        <v/>
      </c>
    </row>
    <row r="1435">
      <c r="A1435">
        <f>IFERROR(INDEX('Email Cleaner'!$B$2:$B$10001,MATCH(1434,'Email Cleaner'!$H$2:$H$10001,0)),"")</f>
        <v/>
      </c>
    </row>
    <row r="1436">
      <c r="A1436">
        <f>IFERROR(INDEX('Email Cleaner'!$B$2:$B$10001,MATCH(1435,'Email Cleaner'!$H$2:$H$10001,0)),"")</f>
        <v/>
      </c>
    </row>
    <row r="1437">
      <c r="A1437">
        <f>IFERROR(INDEX('Email Cleaner'!$B$2:$B$10001,MATCH(1436,'Email Cleaner'!$H$2:$H$10001,0)),"")</f>
        <v/>
      </c>
    </row>
    <row r="1438">
      <c r="A1438">
        <f>IFERROR(INDEX('Email Cleaner'!$B$2:$B$10001,MATCH(1437,'Email Cleaner'!$H$2:$H$10001,0)),"")</f>
        <v/>
      </c>
    </row>
    <row r="1439">
      <c r="A1439">
        <f>IFERROR(INDEX('Email Cleaner'!$B$2:$B$10001,MATCH(1438,'Email Cleaner'!$H$2:$H$10001,0)),"")</f>
        <v/>
      </c>
    </row>
    <row r="1440">
      <c r="A1440">
        <f>IFERROR(INDEX('Email Cleaner'!$B$2:$B$10001,MATCH(1439,'Email Cleaner'!$H$2:$H$10001,0)),"")</f>
        <v/>
      </c>
    </row>
    <row r="1441">
      <c r="A1441">
        <f>IFERROR(INDEX('Email Cleaner'!$B$2:$B$10001,MATCH(1440,'Email Cleaner'!$H$2:$H$10001,0)),"")</f>
        <v/>
      </c>
    </row>
    <row r="1442">
      <c r="A1442">
        <f>IFERROR(INDEX('Email Cleaner'!$B$2:$B$10001,MATCH(1441,'Email Cleaner'!$H$2:$H$10001,0)),"")</f>
        <v/>
      </c>
    </row>
    <row r="1443">
      <c r="A1443">
        <f>IFERROR(INDEX('Email Cleaner'!$B$2:$B$10001,MATCH(1442,'Email Cleaner'!$H$2:$H$10001,0)),"")</f>
        <v/>
      </c>
    </row>
    <row r="1444">
      <c r="A1444">
        <f>IFERROR(INDEX('Email Cleaner'!$B$2:$B$10001,MATCH(1443,'Email Cleaner'!$H$2:$H$10001,0)),"")</f>
        <v/>
      </c>
    </row>
    <row r="1445">
      <c r="A1445">
        <f>IFERROR(INDEX('Email Cleaner'!$B$2:$B$10001,MATCH(1444,'Email Cleaner'!$H$2:$H$10001,0)),"")</f>
        <v/>
      </c>
    </row>
    <row r="1446">
      <c r="A1446">
        <f>IFERROR(INDEX('Email Cleaner'!$B$2:$B$10001,MATCH(1445,'Email Cleaner'!$H$2:$H$10001,0)),"")</f>
        <v/>
      </c>
    </row>
    <row r="1447">
      <c r="A1447">
        <f>IFERROR(INDEX('Email Cleaner'!$B$2:$B$10001,MATCH(1446,'Email Cleaner'!$H$2:$H$10001,0)),"")</f>
        <v/>
      </c>
    </row>
    <row r="1448">
      <c r="A1448">
        <f>IFERROR(INDEX('Email Cleaner'!$B$2:$B$10001,MATCH(1447,'Email Cleaner'!$H$2:$H$10001,0)),"")</f>
        <v/>
      </c>
    </row>
    <row r="1449">
      <c r="A1449">
        <f>IFERROR(INDEX('Email Cleaner'!$B$2:$B$10001,MATCH(1448,'Email Cleaner'!$H$2:$H$10001,0)),"")</f>
        <v/>
      </c>
    </row>
    <row r="1450">
      <c r="A1450">
        <f>IFERROR(INDEX('Email Cleaner'!$B$2:$B$10001,MATCH(1449,'Email Cleaner'!$H$2:$H$10001,0)),"")</f>
        <v/>
      </c>
    </row>
    <row r="1451">
      <c r="A1451">
        <f>IFERROR(INDEX('Email Cleaner'!$B$2:$B$10001,MATCH(1450,'Email Cleaner'!$H$2:$H$10001,0)),"")</f>
        <v/>
      </c>
    </row>
    <row r="1452">
      <c r="A1452">
        <f>IFERROR(INDEX('Email Cleaner'!$B$2:$B$10001,MATCH(1451,'Email Cleaner'!$H$2:$H$10001,0)),"")</f>
        <v/>
      </c>
    </row>
    <row r="1453">
      <c r="A1453">
        <f>IFERROR(INDEX('Email Cleaner'!$B$2:$B$10001,MATCH(1452,'Email Cleaner'!$H$2:$H$10001,0)),"")</f>
        <v/>
      </c>
    </row>
    <row r="1454">
      <c r="A1454">
        <f>IFERROR(INDEX('Email Cleaner'!$B$2:$B$10001,MATCH(1453,'Email Cleaner'!$H$2:$H$10001,0)),"")</f>
        <v/>
      </c>
    </row>
    <row r="1455">
      <c r="A1455">
        <f>IFERROR(INDEX('Email Cleaner'!$B$2:$B$10001,MATCH(1454,'Email Cleaner'!$H$2:$H$10001,0)),"")</f>
        <v/>
      </c>
    </row>
    <row r="1456">
      <c r="A1456">
        <f>IFERROR(INDEX('Email Cleaner'!$B$2:$B$10001,MATCH(1455,'Email Cleaner'!$H$2:$H$10001,0)),"")</f>
        <v/>
      </c>
    </row>
    <row r="1457">
      <c r="A1457">
        <f>IFERROR(INDEX('Email Cleaner'!$B$2:$B$10001,MATCH(1456,'Email Cleaner'!$H$2:$H$10001,0)),"")</f>
        <v/>
      </c>
    </row>
    <row r="1458">
      <c r="A1458">
        <f>IFERROR(INDEX('Email Cleaner'!$B$2:$B$10001,MATCH(1457,'Email Cleaner'!$H$2:$H$10001,0)),"")</f>
        <v/>
      </c>
    </row>
    <row r="1459">
      <c r="A1459">
        <f>IFERROR(INDEX('Email Cleaner'!$B$2:$B$10001,MATCH(1458,'Email Cleaner'!$H$2:$H$10001,0)),"")</f>
        <v/>
      </c>
    </row>
    <row r="1460">
      <c r="A1460">
        <f>IFERROR(INDEX('Email Cleaner'!$B$2:$B$10001,MATCH(1459,'Email Cleaner'!$H$2:$H$10001,0)),"")</f>
        <v/>
      </c>
    </row>
    <row r="1461">
      <c r="A1461">
        <f>IFERROR(INDEX('Email Cleaner'!$B$2:$B$10001,MATCH(1460,'Email Cleaner'!$H$2:$H$10001,0)),"")</f>
        <v/>
      </c>
    </row>
    <row r="1462">
      <c r="A1462">
        <f>IFERROR(INDEX('Email Cleaner'!$B$2:$B$10001,MATCH(1461,'Email Cleaner'!$H$2:$H$10001,0)),"")</f>
        <v/>
      </c>
    </row>
    <row r="1463">
      <c r="A1463">
        <f>IFERROR(INDEX('Email Cleaner'!$B$2:$B$10001,MATCH(1462,'Email Cleaner'!$H$2:$H$10001,0)),"")</f>
        <v/>
      </c>
    </row>
    <row r="1464">
      <c r="A1464">
        <f>IFERROR(INDEX('Email Cleaner'!$B$2:$B$10001,MATCH(1463,'Email Cleaner'!$H$2:$H$10001,0)),"")</f>
        <v/>
      </c>
    </row>
    <row r="1465">
      <c r="A1465">
        <f>IFERROR(INDEX('Email Cleaner'!$B$2:$B$10001,MATCH(1464,'Email Cleaner'!$H$2:$H$10001,0)),"")</f>
        <v/>
      </c>
    </row>
    <row r="1466">
      <c r="A1466">
        <f>IFERROR(INDEX('Email Cleaner'!$B$2:$B$10001,MATCH(1465,'Email Cleaner'!$H$2:$H$10001,0)),"")</f>
        <v/>
      </c>
    </row>
    <row r="1467">
      <c r="A1467">
        <f>IFERROR(INDEX('Email Cleaner'!$B$2:$B$10001,MATCH(1466,'Email Cleaner'!$H$2:$H$10001,0)),"")</f>
        <v/>
      </c>
    </row>
    <row r="1468">
      <c r="A1468">
        <f>IFERROR(INDEX('Email Cleaner'!$B$2:$B$10001,MATCH(1467,'Email Cleaner'!$H$2:$H$10001,0)),"")</f>
        <v/>
      </c>
    </row>
    <row r="1469">
      <c r="A1469">
        <f>IFERROR(INDEX('Email Cleaner'!$B$2:$B$10001,MATCH(1468,'Email Cleaner'!$H$2:$H$10001,0)),"")</f>
        <v/>
      </c>
    </row>
    <row r="1470">
      <c r="A1470">
        <f>IFERROR(INDEX('Email Cleaner'!$B$2:$B$10001,MATCH(1469,'Email Cleaner'!$H$2:$H$10001,0)),"")</f>
        <v/>
      </c>
    </row>
    <row r="1471">
      <c r="A1471">
        <f>IFERROR(INDEX('Email Cleaner'!$B$2:$B$10001,MATCH(1470,'Email Cleaner'!$H$2:$H$10001,0)),"")</f>
        <v/>
      </c>
    </row>
    <row r="1472">
      <c r="A1472">
        <f>IFERROR(INDEX('Email Cleaner'!$B$2:$B$10001,MATCH(1471,'Email Cleaner'!$H$2:$H$10001,0)),"")</f>
        <v/>
      </c>
    </row>
    <row r="1473">
      <c r="A1473">
        <f>IFERROR(INDEX('Email Cleaner'!$B$2:$B$10001,MATCH(1472,'Email Cleaner'!$H$2:$H$10001,0)),"")</f>
        <v/>
      </c>
    </row>
    <row r="1474">
      <c r="A1474">
        <f>IFERROR(INDEX('Email Cleaner'!$B$2:$B$10001,MATCH(1473,'Email Cleaner'!$H$2:$H$10001,0)),"")</f>
        <v/>
      </c>
    </row>
    <row r="1475">
      <c r="A1475">
        <f>IFERROR(INDEX('Email Cleaner'!$B$2:$B$10001,MATCH(1474,'Email Cleaner'!$H$2:$H$10001,0)),"")</f>
        <v/>
      </c>
    </row>
    <row r="1476">
      <c r="A1476">
        <f>IFERROR(INDEX('Email Cleaner'!$B$2:$B$10001,MATCH(1475,'Email Cleaner'!$H$2:$H$10001,0)),"")</f>
        <v/>
      </c>
    </row>
    <row r="1477">
      <c r="A1477">
        <f>IFERROR(INDEX('Email Cleaner'!$B$2:$B$10001,MATCH(1476,'Email Cleaner'!$H$2:$H$10001,0)),"")</f>
        <v/>
      </c>
    </row>
    <row r="1478">
      <c r="A1478">
        <f>IFERROR(INDEX('Email Cleaner'!$B$2:$B$10001,MATCH(1477,'Email Cleaner'!$H$2:$H$10001,0)),"")</f>
        <v/>
      </c>
    </row>
    <row r="1479">
      <c r="A1479">
        <f>IFERROR(INDEX('Email Cleaner'!$B$2:$B$10001,MATCH(1478,'Email Cleaner'!$H$2:$H$10001,0)),"")</f>
        <v/>
      </c>
    </row>
    <row r="1480">
      <c r="A1480">
        <f>IFERROR(INDEX('Email Cleaner'!$B$2:$B$10001,MATCH(1479,'Email Cleaner'!$H$2:$H$10001,0)),"")</f>
        <v/>
      </c>
    </row>
    <row r="1481">
      <c r="A1481">
        <f>IFERROR(INDEX('Email Cleaner'!$B$2:$B$10001,MATCH(1480,'Email Cleaner'!$H$2:$H$10001,0)),"")</f>
        <v/>
      </c>
    </row>
    <row r="1482">
      <c r="A1482">
        <f>IFERROR(INDEX('Email Cleaner'!$B$2:$B$10001,MATCH(1481,'Email Cleaner'!$H$2:$H$10001,0)),"")</f>
        <v/>
      </c>
    </row>
    <row r="1483">
      <c r="A1483">
        <f>IFERROR(INDEX('Email Cleaner'!$B$2:$B$10001,MATCH(1482,'Email Cleaner'!$H$2:$H$10001,0)),"")</f>
        <v/>
      </c>
    </row>
    <row r="1484">
      <c r="A1484">
        <f>IFERROR(INDEX('Email Cleaner'!$B$2:$B$10001,MATCH(1483,'Email Cleaner'!$H$2:$H$10001,0)),"")</f>
        <v/>
      </c>
    </row>
    <row r="1485">
      <c r="A1485">
        <f>IFERROR(INDEX('Email Cleaner'!$B$2:$B$10001,MATCH(1484,'Email Cleaner'!$H$2:$H$10001,0)),"")</f>
        <v/>
      </c>
    </row>
    <row r="1486">
      <c r="A1486">
        <f>IFERROR(INDEX('Email Cleaner'!$B$2:$B$10001,MATCH(1485,'Email Cleaner'!$H$2:$H$10001,0)),"")</f>
        <v/>
      </c>
    </row>
    <row r="1487">
      <c r="A1487">
        <f>IFERROR(INDEX('Email Cleaner'!$B$2:$B$10001,MATCH(1486,'Email Cleaner'!$H$2:$H$10001,0)),"")</f>
        <v/>
      </c>
    </row>
    <row r="1488">
      <c r="A1488">
        <f>IFERROR(INDEX('Email Cleaner'!$B$2:$B$10001,MATCH(1487,'Email Cleaner'!$H$2:$H$10001,0)),"")</f>
        <v/>
      </c>
    </row>
    <row r="1489">
      <c r="A1489">
        <f>IFERROR(INDEX('Email Cleaner'!$B$2:$B$10001,MATCH(1488,'Email Cleaner'!$H$2:$H$10001,0)),"")</f>
        <v/>
      </c>
    </row>
    <row r="1490">
      <c r="A1490">
        <f>IFERROR(INDEX('Email Cleaner'!$B$2:$B$10001,MATCH(1489,'Email Cleaner'!$H$2:$H$10001,0)),"")</f>
        <v/>
      </c>
    </row>
    <row r="1491">
      <c r="A1491">
        <f>IFERROR(INDEX('Email Cleaner'!$B$2:$B$10001,MATCH(1490,'Email Cleaner'!$H$2:$H$10001,0)),"")</f>
        <v/>
      </c>
    </row>
    <row r="1492">
      <c r="A1492">
        <f>IFERROR(INDEX('Email Cleaner'!$B$2:$B$10001,MATCH(1491,'Email Cleaner'!$H$2:$H$10001,0)),"")</f>
        <v/>
      </c>
    </row>
    <row r="1493">
      <c r="A1493">
        <f>IFERROR(INDEX('Email Cleaner'!$B$2:$B$10001,MATCH(1492,'Email Cleaner'!$H$2:$H$10001,0)),"")</f>
        <v/>
      </c>
    </row>
    <row r="1494">
      <c r="A1494">
        <f>IFERROR(INDEX('Email Cleaner'!$B$2:$B$10001,MATCH(1493,'Email Cleaner'!$H$2:$H$10001,0)),"")</f>
        <v/>
      </c>
    </row>
    <row r="1495">
      <c r="A1495">
        <f>IFERROR(INDEX('Email Cleaner'!$B$2:$B$10001,MATCH(1494,'Email Cleaner'!$H$2:$H$10001,0)),"")</f>
        <v/>
      </c>
    </row>
    <row r="1496">
      <c r="A1496">
        <f>IFERROR(INDEX('Email Cleaner'!$B$2:$B$10001,MATCH(1495,'Email Cleaner'!$H$2:$H$10001,0)),"")</f>
        <v/>
      </c>
    </row>
    <row r="1497">
      <c r="A1497">
        <f>IFERROR(INDEX('Email Cleaner'!$B$2:$B$10001,MATCH(1496,'Email Cleaner'!$H$2:$H$10001,0)),"")</f>
        <v/>
      </c>
    </row>
    <row r="1498">
      <c r="A1498">
        <f>IFERROR(INDEX('Email Cleaner'!$B$2:$B$10001,MATCH(1497,'Email Cleaner'!$H$2:$H$10001,0)),"")</f>
        <v/>
      </c>
    </row>
    <row r="1499">
      <c r="A1499">
        <f>IFERROR(INDEX('Email Cleaner'!$B$2:$B$10001,MATCH(1498,'Email Cleaner'!$H$2:$H$10001,0)),"")</f>
        <v/>
      </c>
    </row>
    <row r="1500">
      <c r="A1500">
        <f>IFERROR(INDEX('Email Cleaner'!$B$2:$B$10001,MATCH(1499,'Email Cleaner'!$H$2:$H$10001,0)),"")</f>
        <v/>
      </c>
    </row>
    <row r="1501">
      <c r="A1501">
        <f>IFERROR(INDEX('Email Cleaner'!$B$2:$B$10001,MATCH(1500,'Email Cleaner'!$H$2:$H$10001,0)),"")</f>
        <v/>
      </c>
    </row>
    <row r="1502">
      <c r="A1502">
        <f>IFERROR(INDEX('Email Cleaner'!$B$2:$B$10001,MATCH(1501,'Email Cleaner'!$H$2:$H$10001,0)),"")</f>
        <v/>
      </c>
    </row>
    <row r="1503">
      <c r="A1503">
        <f>IFERROR(INDEX('Email Cleaner'!$B$2:$B$10001,MATCH(1502,'Email Cleaner'!$H$2:$H$10001,0)),"")</f>
        <v/>
      </c>
    </row>
    <row r="1504">
      <c r="A1504">
        <f>IFERROR(INDEX('Email Cleaner'!$B$2:$B$10001,MATCH(1503,'Email Cleaner'!$H$2:$H$10001,0)),"")</f>
        <v/>
      </c>
    </row>
    <row r="1505">
      <c r="A1505">
        <f>IFERROR(INDEX('Email Cleaner'!$B$2:$B$10001,MATCH(1504,'Email Cleaner'!$H$2:$H$10001,0)),"")</f>
        <v/>
      </c>
    </row>
    <row r="1506">
      <c r="A1506">
        <f>IFERROR(INDEX('Email Cleaner'!$B$2:$B$10001,MATCH(1505,'Email Cleaner'!$H$2:$H$10001,0)),"")</f>
        <v/>
      </c>
    </row>
    <row r="1507">
      <c r="A1507">
        <f>IFERROR(INDEX('Email Cleaner'!$B$2:$B$10001,MATCH(1506,'Email Cleaner'!$H$2:$H$10001,0)),"")</f>
        <v/>
      </c>
    </row>
    <row r="1508">
      <c r="A1508">
        <f>IFERROR(INDEX('Email Cleaner'!$B$2:$B$10001,MATCH(1507,'Email Cleaner'!$H$2:$H$10001,0)),"")</f>
        <v/>
      </c>
    </row>
    <row r="1509">
      <c r="A1509">
        <f>IFERROR(INDEX('Email Cleaner'!$B$2:$B$10001,MATCH(1508,'Email Cleaner'!$H$2:$H$10001,0)),"")</f>
        <v/>
      </c>
    </row>
    <row r="1510">
      <c r="A1510">
        <f>IFERROR(INDEX('Email Cleaner'!$B$2:$B$10001,MATCH(1509,'Email Cleaner'!$H$2:$H$10001,0)),"")</f>
        <v/>
      </c>
    </row>
    <row r="1511">
      <c r="A1511">
        <f>IFERROR(INDEX('Email Cleaner'!$B$2:$B$10001,MATCH(1510,'Email Cleaner'!$H$2:$H$10001,0)),"")</f>
        <v/>
      </c>
    </row>
    <row r="1512">
      <c r="A1512">
        <f>IFERROR(INDEX('Email Cleaner'!$B$2:$B$10001,MATCH(1511,'Email Cleaner'!$H$2:$H$10001,0)),"")</f>
        <v/>
      </c>
    </row>
    <row r="1513">
      <c r="A1513">
        <f>IFERROR(INDEX('Email Cleaner'!$B$2:$B$10001,MATCH(1512,'Email Cleaner'!$H$2:$H$10001,0)),"")</f>
        <v/>
      </c>
    </row>
    <row r="1514">
      <c r="A1514">
        <f>IFERROR(INDEX('Email Cleaner'!$B$2:$B$10001,MATCH(1513,'Email Cleaner'!$H$2:$H$10001,0)),"")</f>
        <v/>
      </c>
    </row>
    <row r="1515">
      <c r="A1515">
        <f>IFERROR(INDEX('Email Cleaner'!$B$2:$B$10001,MATCH(1514,'Email Cleaner'!$H$2:$H$10001,0)),"")</f>
        <v/>
      </c>
    </row>
    <row r="1516">
      <c r="A1516">
        <f>IFERROR(INDEX('Email Cleaner'!$B$2:$B$10001,MATCH(1515,'Email Cleaner'!$H$2:$H$10001,0)),"")</f>
        <v/>
      </c>
    </row>
    <row r="1517">
      <c r="A1517">
        <f>IFERROR(INDEX('Email Cleaner'!$B$2:$B$10001,MATCH(1516,'Email Cleaner'!$H$2:$H$10001,0)),"")</f>
        <v/>
      </c>
    </row>
    <row r="1518">
      <c r="A1518">
        <f>IFERROR(INDEX('Email Cleaner'!$B$2:$B$10001,MATCH(1517,'Email Cleaner'!$H$2:$H$10001,0)),"")</f>
        <v/>
      </c>
    </row>
    <row r="1519">
      <c r="A1519">
        <f>IFERROR(INDEX('Email Cleaner'!$B$2:$B$10001,MATCH(1518,'Email Cleaner'!$H$2:$H$10001,0)),"")</f>
        <v/>
      </c>
    </row>
    <row r="1520">
      <c r="A1520">
        <f>IFERROR(INDEX('Email Cleaner'!$B$2:$B$10001,MATCH(1519,'Email Cleaner'!$H$2:$H$10001,0)),"")</f>
        <v/>
      </c>
    </row>
    <row r="1521">
      <c r="A1521">
        <f>IFERROR(INDEX('Email Cleaner'!$B$2:$B$10001,MATCH(1520,'Email Cleaner'!$H$2:$H$10001,0)),"")</f>
        <v/>
      </c>
    </row>
    <row r="1522">
      <c r="A1522">
        <f>IFERROR(INDEX('Email Cleaner'!$B$2:$B$10001,MATCH(1521,'Email Cleaner'!$H$2:$H$10001,0)),"")</f>
        <v/>
      </c>
    </row>
    <row r="1523">
      <c r="A1523">
        <f>IFERROR(INDEX('Email Cleaner'!$B$2:$B$10001,MATCH(1522,'Email Cleaner'!$H$2:$H$10001,0)),"")</f>
        <v/>
      </c>
    </row>
    <row r="1524">
      <c r="A1524">
        <f>IFERROR(INDEX('Email Cleaner'!$B$2:$B$10001,MATCH(1523,'Email Cleaner'!$H$2:$H$10001,0)),"")</f>
        <v/>
      </c>
    </row>
    <row r="1525">
      <c r="A1525">
        <f>IFERROR(INDEX('Email Cleaner'!$B$2:$B$10001,MATCH(1524,'Email Cleaner'!$H$2:$H$10001,0)),"")</f>
        <v/>
      </c>
    </row>
    <row r="1526">
      <c r="A1526">
        <f>IFERROR(INDEX('Email Cleaner'!$B$2:$B$10001,MATCH(1525,'Email Cleaner'!$H$2:$H$10001,0)),"")</f>
        <v/>
      </c>
    </row>
    <row r="1527">
      <c r="A1527">
        <f>IFERROR(INDEX('Email Cleaner'!$B$2:$B$10001,MATCH(1526,'Email Cleaner'!$H$2:$H$10001,0)),"")</f>
        <v/>
      </c>
    </row>
    <row r="1528">
      <c r="A1528">
        <f>IFERROR(INDEX('Email Cleaner'!$B$2:$B$10001,MATCH(1527,'Email Cleaner'!$H$2:$H$10001,0)),"")</f>
        <v/>
      </c>
    </row>
    <row r="1529">
      <c r="A1529">
        <f>IFERROR(INDEX('Email Cleaner'!$B$2:$B$10001,MATCH(1528,'Email Cleaner'!$H$2:$H$10001,0)),"")</f>
        <v/>
      </c>
    </row>
    <row r="1530">
      <c r="A1530">
        <f>IFERROR(INDEX('Email Cleaner'!$B$2:$B$10001,MATCH(1529,'Email Cleaner'!$H$2:$H$10001,0)),"")</f>
        <v/>
      </c>
    </row>
    <row r="1531">
      <c r="A1531">
        <f>IFERROR(INDEX('Email Cleaner'!$B$2:$B$10001,MATCH(1530,'Email Cleaner'!$H$2:$H$10001,0)),"")</f>
        <v/>
      </c>
    </row>
    <row r="1532">
      <c r="A1532">
        <f>IFERROR(INDEX('Email Cleaner'!$B$2:$B$10001,MATCH(1531,'Email Cleaner'!$H$2:$H$10001,0)),"")</f>
        <v/>
      </c>
    </row>
    <row r="1533">
      <c r="A1533">
        <f>IFERROR(INDEX('Email Cleaner'!$B$2:$B$10001,MATCH(1532,'Email Cleaner'!$H$2:$H$10001,0)),"")</f>
        <v/>
      </c>
    </row>
    <row r="1534">
      <c r="A1534">
        <f>IFERROR(INDEX('Email Cleaner'!$B$2:$B$10001,MATCH(1533,'Email Cleaner'!$H$2:$H$10001,0)),"")</f>
        <v/>
      </c>
    </row>
    <row r="1535">
      <c r="A1535">
        <f>IFERROR(INDEX('Email Cleaner'!$B$2:$B$10001,MATCH(1534,'Email Cleaner'!$H$2:$H$10001,0)),"")</f>
        <v/>
      </c>
    </row>
    <row r="1536">
      <c r="A1536">
        <f>IFERROR(INDEX('Email Cleaner'!$B$2:$B$10001,MATCH(1535,'Email Cleaner'!$H$2:$H$10001,0)),"")</f>
        <v/>
      </c>
    </row>
    <row r="1537">
      <c r="A1537">
        <f>IFERROR(INDEX('Email Cleaner'!$B$2:$B$10001,MATCH(1536,'Email Cleaner'!$H$2:$H$10001,0)),"")</f>
        <v/>
      </c>
    </row>
    <row r="1538">
      <c r="A1538">
        <f>IFERROR(INDEX('Email Cleaner'!$B$2:$B$10001,MATCH(1537,'Email Cleaner'!$H$2:$H$10001,0)),"")</f>
        <v/>
      </c>
    </row>
    <row r="1539">
      <c r="A1539">
        <f>IFERROR(INDEX('Email Cleaner'!$B$2:$B$10001,MATCH(1538,'Email Cleaner'!$H$2:$H$10001,0)),"")</f>
        <v/>
      </c>
    </row>
    <row r="1540">
      <c r="A1540">
        <f>IFERROR(INDEX('Email Cleaner'!$B$2:$B$10001,MATCH(1539,'Email Cleaner'!$H$2:$H$10001,0)),"")</f>
        <v/>
      </c>
    </row>
    <row r="1541">
      <c r="A1541">
        <f>IFERROR(INDEX('Email Cleaner'!$B$2:$B$10001,MATCH(1540,'Email Cleaner'!$H$2:$H$10001,0)),"")</f>
        <v/>
      </c>
    </row>
    <row r="1542">
      <c r="A1542">
        <f>IFERROR(INDEX('Email Cleaner'!$B$2:$B$10001,MATCH(1541,'Email Cleaner'!$H$2:$H$10001,0)),"")</f>
        <v/>
      </c>
    </row>
    <row r="1543">
      <c r="A1543">
        <f>IFERROR(INDEX('Email Cleaner'!$B$2:$B$10001,MATCH(1542,'Email Cleaner'!$H$2:$H$10001,0)),"")</f>
        <v/>
      </c>
    </row>
    <row r="1544">
      <c r="A1544">
        <f>IFERROR(INDEX('Email Cleaner'!$B$2:$B$10001,MATCH(1543,'Email Cleaner'!$H$2:$H$10001,0)),"")</f>
        <v/>
      </c>
    </row>
    <row r="1545">
      <c r="A1545">
        <f>IFERROR(INDEX('Email Cleaner'!$B$2:$B$10001,MATCH(1544,'Email Cleaner'!$H$2:$H$10001,0)),"")</f>
        <v/>
      </c>
    </row>
    <row r="1546">
      <c r="A1546">
        <f>IFERROR(INDEX('Email Cleaner'!$B$2:$B$10001,MATCH(1545,'Email Cleaner'!$H$2:$H$10001,0)),"")</f>
        <v/>
      </c>
    </row>
    <row r="1547">
      <c r="A1547">
        <f>IFERROR(INDEX('Email Cleaner'!$B$2:$B$10001,MATCH(1546,'Email Cleaner'!$H$2:$H$10001,0)),"")</f>
        <v/>
      </c>
    </row>
    <row r="1548">
      <c r="A1548">
        <f>IFERROR(INDEX('Email Cleaner'!$B$2:$B$10001,MATCH(1547,'Email Cleaner'!$H$2:$H$10001,0)),"")</f>
        <v/>
      </c>
    </row>
    <row r="1549">
      <c r="A1549">
        <f>IFERROR(INDEX('Email Cleaner'!$B$2:$B$10001,MATCH(1548,'Email Cleaner'!$H$2:$H$10001,0)),"")</f>
        <v/>
      </c>
    </row>
    <row r="1550">
      <c r="A1550">
        <f>IFERROR(INDEX('Email Cleaner'!$B$2:$B$10001,MATCH(1549,'Email Cleaner'!$H$2:$H$10001,0)),"")</f>
        <v/>
      </c>
    </row>
    <row r="1551">
      <c r="A1551">
        <f>IFERROR(INDEX('Email Cleaner'!$B$2:$B$10001,MATCH(1550,'Email Cleaner'!$H$2:$H$10001,0)),"")</f>
        <v/>
      </c>
    </row>
    <row r="1552">
      <c r="A1552">
        <f>IFERROR(INDEX('Email Cleaner'!$B$2:$B$10001,MATCH(1551,'Email Cleaner'!$H$2:$H$10001,0)),"")</f>
        <v/>
      </c>
    </row>
    <row r="1553">
      <c r="A1553">
        <f>IFERROR(INDEX('Email Cleaner'!$B$2:$B$10001,MATCH(1552,'Email Cleaner'!$H$2:$H$10001,0)),"")</f>
        <v/>
      </c>
    </row>
    <row r="1554">
      <c r="A1554">
        <f>IFERROR(INDEX('Email Cleaner'!$B$2:$B$10001,MATCH(1553,'Email Cleaner'!$H$2:$H$10001,0)),"")</f>
        <v/>
      </c>
    </row>
    <row r="1555">
      <c r="A1555">
        <f>IFERROR(INDEX('Email Cleaner'!$B$2:$B$10001,MATCH(1554,'Email Cleaner'!$H$2:$H$10001,0)),"")</f>
        <v/>
      </c>
    </row>
    <row r="1556">
      <c r="A1556">
        <f>IFERROR(INDEX('Email Cleaner'!$B$2:$B$10001,MATCH(1555,'Email Cleaner'!$H$2:$H$10001,0)),"")</f>
        <v/>
      </c>
    </row>
    <row r="1557">
      <c r="A1557">
        <f>IFERROR(INDEX('Email Cleaner'!$B$2:$B$10001,MATCH(1556,'Email Cleaner'!$H$2:$H$10001,0)),"")</f>
        <v/>
      </c>
    </row>
    <row r="1558">
      <c r="A1558">
        <f>IFERROR(INDEX('Email Cleaner'!$B$2:$B$10001,MATCH(1557,'Email Cleaner'!$H$2:$H$10001,0)),"")</f>
        <v/>
      </c>
    </row>
    <row r="1559">
      <c r="A1559">
        <f>IFERROR(INDEX('Email Cleaner'!$B$2:$B$10001,MATCH(1558,'Email Cleaner'!$H$2:$H$10001,0)),"")</f>
        <v/>
      </c>
    </row>
    <row r="1560">
      <c r="A1560">
        <f>IFERROR(INDEX('Email Cleaner'!$B$2:$B$10001,MATCH(1559,'Email Cleaner'!$H$2:$H$10001,0)),"")</f>
        <v/>
      </c>
    </row>
    <row r="1561">
      <c r="A1561">
        <f>IFERROR(INDEX('Email Cleaner'!$B$2:$B$10001,MATCH(1560,'Email Cleaner'!$H$2:$H$10001,0)),"")</f>
        <v/>
      </c>
    </row>
    <row r="1562">
      <c r="A1562">
        <f>IFERROR(INDEX('Email Cleaner'!$B$2:$B$10001,MATCH(1561,'Email Cleaner'!$H$2:$H$10001,0)),"")</f>
        <v/>
      </c>
    </row>
    <row r="1563">
      <c r="A1563">
        <f>IFERROR(INDEX('Email Cleaner'!$B$2:$B$10001,MATCH(1562,'Email Cleaner'!$H$2:$H$10001,0)),"")</f>
        <v/>
      </c>
    </row>
    <row r="1564">
      <c r="A1564">
        <f>IFERROR(INDEX('Email Cleaner'!$B$2:$B$10001,MATCH(1563,'Email Cleaner'!$H$2:$H$10001,0)),"")</f>
        <v/>
      </c>
    </row>
    <row r="1565">
      <c r="A1565">
        <f>IFERROR(INDEX('Email Cleaner'!$B$2:$B$10001,MATCH(1564,'Email Cleaner'!$H$2:$H$10001,0)),"")</f>
        <v/>
      </c>
    </row>
    <row r="1566">
      <c r="A1566">
        <f>IFERROR(INDEX('Email Cleaner'!$B$2:$B$10001,MATCH(1565,'Email Cleaner'!$H$2:$H$10001,0)),"")</f>
        <v/>
      </c>
    </row>
    <row r="1567">
      <c r="A1567">
        <f>IFERROR(INDEX('Email Cleaner'!$B$2:$B$10001,MATCH(1566,'Email Cleaner'!$H$2:$H$10001,0)),"")</f>
        <v/>
      </c>
    </row>
    <row r="1568">
      <c r="A1568">
        <f>IFERROR(INDEX('Email Cleaner'!$B$2:$B$10001,MATCH(1567,'Email Cleaner'!$H$2:$H$10001,0)),"")</f>
        <v/>
      </c>
    </row>
    <row r="1569">
      <c r="A1569">
        <f>IFERROR(INDEX('Email Cleaner'!$B$2:$B$10001,MATCH(1568,'Email Cleaner'!$H$2:$H$10001,0)),"")</f>
        <v/>
      </c>
    </row>
    <row r="1570">
      <c r="A1570">
        <f>IFERROR(INDEX('Email Cleaner'!$B$2:$B$10001,MATCH(1569,'Email Cleaner'!$H$2:$H$10001,0)),"")</f>
        <v/>
      </c>
    </row>
    <row r="1571">
      <c r="A1571">
        <f>IFERROR(INDEX('Email Cleaner'!$B$2:$B$10001,MATCH(1570,'Email Cleaner'!$H$2:$H$10001,0)),"")</f>
        <v/>
      </c>
    </row>
    <row r="1572">
      <c r="A1572">
        <f>IFERROR(INDEX('Email Cleaner'!$B$2:$B$10001,MATCH(1571,'Email Cleaner'!$H$2:$H$10001,0)),"")</f>
        <v/>
      </c>
    </row>
    <row r="1573">
      <c r="A1573">
        <f>IFERROR(INDEX('Email Cleaner'!$B$2:$B$10001,MATCH(1572,'Email Cleaner'!$H$2:$H$10001,0)),"")</f>
        <v/>
      </c>
    </row>
    <row r="1574">
      <c r="A1574">
        <f>IFERROR(INDEX('Email Cleaner'!$B$2:$B$10001,MATCH(1573,'Email Cleaner'!$H$2:$H$10001,0)),"")</f>
        <v/>
      </c>
    </row>
    <row r="1575">
      <c r="A1575">
        <f>IFERROR(INDEX('Email Cleaner'!$B$2:$B$10001,MATCH(1574,'Email Cleaner'!$H$2:$H$10001,0)),"")</f>
        <v/>
      </c>
    </row>
    <row r="1576">
      <c r="A1576">
        <f>IFERROR(INDEX('Email Cleaner'!$B$2:$B$10001,MATCH(1575,'Email Cleaner'!$H$2:$H$10001,0)),"")</f>
        <v/>
      </c>
    </row>
    <row r="1577">
      <c r="A1577">
        <f>IFERROR(INDEX('Email Cleaner'!$B$2:$B$10001,MATCH(1576,'Email Cleaner'!$H$2:$H$10001,0)),"")</f>
        <v/>
      </c>
    </row>
    <row r="1578">
      <c r="A1578">
        <f>IFERROR(INDEX('Email Cleaner'!$B$2:$B$10001,MATCH(1577,'Email Cleaner'!$H$2:$H$10001,0)),"")</f>
        <v/>
      </c>
    </row>
    <row r="1579">
      <c r="A1579">
        <f>IFERROR(INDEX('Email Cleaner'!$B$2:$B$10001,MATCH(1578,'Email Cleaner'!$H$2:$H$10001,0)),"")</f>
        <v/>
      </c>
    </row>
    <row r="1580">
      <c r="A1580">
        <f>IFERROR(INDEX('Email Cleaner'!$B$2:$B$10001,MATCH(1579,'Email Cleaner'!$H$2:$H$10001,0)),"")</f>
        <v/>
      </c>
    </row>
    <row r="1581">
      <c r="A1581">
        <f>IFERROR(INDEX('Email Cleaner'!$B$2:$B$10001,MATCH(1580,'Email Cleaner'!$H$2:$H$10001,0)),"")</f>
        <v/>
      </c>
    </row>
    <row r="1582">
      <c r="A1582">
        <f>IFERROR(INDEX('Email Cleaner'!$B$2:$B$10001,MATCH(1581,'Email Cleaner'!$H$2:$H$10001,0)),"")</f>
        <v/>
      </c>
    </row>
    <row r="1583">
      <c r="A1583">
        <f>IFERROR(INDEX('Email Cleaner'!$B$2:$B$10001,MATCH(1582,'Email Cleaner'!$H$2:$H$10001,0)),"")</f>
        <v/>
      </c>
    </row>
    <row r="1584">
      <c r="A1584">
        <f>IFERROR(INDEX('Email Cleaner'!$B$2:$B$10001,MATCH(1583,'Email Cleaner'!$H$2:$H$10001,0)),"")</f>
        <v/>
      </c>
    </row>
    <row r="1585">
      <c r="A1585">
        <f>IFERROR(INDEX('Email Cleaner'!$B$2:$B$10001,MATCH(1584,'Email Cleaner'!$H$2:$H$10001,0)),"")</f>
        <v/>
      </c>
    </row>
    <row r="1586">
      <c r="A1586">
        <f>IFERROR(INDEX('Email Cleaner'!$B$2:$B$10001,MATCH(1585,'Email Cleaner'!$H$2:$H$10001,0)),"")</f>
        <v/>
      </c>
    </row>
    <row r="1587">
      <c r="A1587">
        <f>IFERROR(INDEX('Email Cleaner'!$B$2:$B$10001,MATCH(1586,'Email Cleaner'!$H$2:$H$10001,0)),"")</f>
        <v/>
      </c>
    </row>
    <row r="1588">
      <c r="A1588">
        <f>IFERROR(INDEX('Email Cleaner'!$B$2:$B$10001,MATCH(1587,'Email Cleaner'!$H$2:$H$10001,0)),"")</f>
        <v/>
      </c>
    </row>
    <row r="1589">
      <c r="A1589">
        <f>IFERROR(INDEX('Email Cleaner'!$B$2:$B$10001,MATCH(1588,'Email Cleaner'!$H$2:$H$10001,0)),"")</f>
        <v/>
      </c>
    </row>
    <row r="1590">
      <c r="A1590">
        <f>IFERROR(INDEX('Email Cleaner'!$B$2:$B$10001,MATCH(1589,'Email Cleaner'!$H$2:$H$10001,0)),"")</f>
        <v/>
      </c>
    </row>
    <row r="1591">
      <c r="A1591">
        <f>IFERROR(INDEX('Email Cleaner'!$B$2:$B$10001,MATCH(1590,'Email Cleaner'!$H$2:$H$10001,0)),"")</f>
        <v/>
      </c>
    </row>
    <row r="1592">
      <c r="A1592">
        <f>IFERROR(INDEX('Email Cleaner'!$B$2:$B$10001,MATCH(1591,'Email Cleaner'!$H$2:$H$10001,0)),"")</f>
        <v/>
      </c>
    </row>
    <row r="1593">
      <c r="A1593">
        <f>IFERROR(INDEX('Email Cleaner'!$B$2:$B$10001,MATCH(1592,'Email Cleaner'!$H$2:$H$10001,0)),"")</f>
        <v/>
      </c>
    </row>
    <row r="1594">
      <c r="A1594">
        <f>IFERROR(INDEX('Email Cleaner'!$B$2:$B$10001,MATCH(1593,'Email Cleaner'!$H$2:$H$10001,0)),"")</f>
        <v/>
      </c>
    </row>
    <row r="1595">
      <c r="A1595">
        <f>IFERROR(INDEX('Email Cleaner'!$B$2:$B$10001,MATCH(1594,'Email Cleaner'!$H$2:$H$10001,0)),"")</f>
        <v/>
      </c>
    </row>
    <row r="1596">
      <c r="A1596">
        <f>IFERROR(INDEX('Email Cleaner'!$B$2:$B$10001,MATCH(1595,'Email Cleaner'!$H$2:$H$10001,0)),"")</f>
        <v/>
      </c>
    </row>
    <row r="1597">
      <c r="A1597">
        <f>IFERROR(INDEX('Email Cleaner'!$B$2:$B$10001,MATCH(1596,'Email Cleaner'!$H$2:$H$10001,0)),"")</f>
        <v/>
      </c>
    </row>
    <row r="1598">
      <c r="A1598">
        <f>IFERROR(INDEX('Email Cleaner'!$B$2:$B$10001,MATCH(1597,'Email Cleaner'!$H$2:$H$10001,0)),"")</f>
        <v/>
      </c>
    </row>
    <row r="1599">
      <c r="A1599">
        <f>IFERROR(INDEX('Email Cleaner'!$B$2:$B$10001,MATCH(1598,'Email Cleaner'!$H$2:$H$10001,0)),"")</f>
        <v/>
      </c>
    </row>
    <row r="1600">
      <c r="A1600">
        <f>IFERROR(INDEX('Email Cleaner'!$B$2:$B$10001,MATCH(1599,'Email Cleaner'!$H$2:$H$10001,0)),"")</f>
        <v/>
      </c>
    </row>
    <row r="1601">
      <c r="A1601">
        <f>IFERROR(INDEX('Email Cleaner'!$B$2:$B$10001,MATCH(1600,'Email Cleaner'!$H$2:$H$10001,0)),"")</f>
        <v/>
      </c>
    </row>
    <row r="1602">
      <c r="A1602">
        <f>IFERROR(INDEX('Email Cleaner'!$B$2:$B$10001,MATCH(1601,'Email Cleaner'!$H$2:$H$10001,0)),"")</f>
        <v/>
      </c>
    </row>
    <row r="1603">
      <c r="A1603">
        <f>IFERROR(INDEX('Email Cleaner'!$B$2:$B$10001,MATCH(1602,'Email Cleaner'!$H$2:$H$10001,0)),"")</f>
        <v/>
      </c>
    </row>
    <row r="1604">
      <c r="A1604">
        <f>IFERROR(INDEX('Email Cleaner'!$B$2:$B$10001,MATCH(1603,'Email Cleaner'!$H$2:$H$10001,0)),"")</f>
        <v/>
      </c>
    </row>
    <row r="1605">
      <c r="A1605">
        <f>IFERROR(INDEX('Email Cleaner'!$B$2:$B$10001,MATCH(1604,'Email Cleaner'!$H$2:$H$10001,0)),"")</f>
        <v/>
      </c>
    </row>
    <row r="1606">
      <c r="A1606">
        <f>IFERROR(INDEX('Email Cleaner'!$B$2:$B$10001,MATCH(1605,'Email Cleaner'!$H$2:$H$10001,0)),"")</f>
        <v/>
      </c>
    </row>
    <row r="1607">
      <c r="A1607">
        <f>IFERROR(INDEX('Email Cleaner'!$B$2:$B$10001,MATCH(1606,'Email Cleaner'!$H$2:$H$10001,0)),"")</f>
        <v/>
      </c>
    </row>
    <row r="1608">
      <c r="A1608">
        <f>IFERROR(INDEX('Email Cleaner'!$B$2:$B$10001,MATCH(1607,'Email Cleaner'!$H$2:$H$10001,0)),"")</f>
        <v/>
      </c>
    </row>
    <row r="1609">
      <c r="A1609">
        <f>IFERROR(INDEX('Email Cleaner'!$B$2:$B$10001,MATCH(1608,'Email Cleaner'!$H$2:$H$10001,0)),"")</f>
        <v/>
      </c>
    </row>
    <row r="1610">
      <c r="A1610">
        <f>IFERROR(INDEX('Email Cleaner'!$B$2:$B$10001,MATCH(1609,'Email Cleaner'!$H$2:$H$10001,0)),"")</f>
        <v/>
      </c>
    </row>
    <row r="1611">
      <c r="A1611">
        <f>IFERROR(INDEX('Email Cleaner'!$B$2:$B$10001,MATCH(1610,'Email Cleaner'!$H$2:$H$10001,0)),"")</f>
        <v/>
      </c>
    </row>
    <row r="1612">
      <c r="A1612">
        <f>IFERROR(INDEX('Email Cleaner'!$B$2:$B$10001,MATCH(1611,'Email Cleaner'!$H$2:$H$10001,0)),"")</f>
        <v/>
      </c>
    </row>
    <row r="1613">
      <c r="A1613">
        <f>IFERROR(INDEX('Email Cleaner'!$B$2:$B$10001,MATCH(1612,'Email Cleaner'!$H$2:$H$10001,0)),"")</f>
        <v/>
      </c>
    </row>
    <row r="1614">
      <c r="A1614">
        <f>IFERROR(INDEX('Email Cleaner'!$B$2:$B$10001,MATCH(1613,'Email Cleaner'!$H$2:$H$10001,0)),"")</f>
        <v/>
      </c>
    </row>
    <row r="1615">
      <c r="A1615">
        <f>IFERROR(INDEX('Email Cleaner'!$B$2:$B$10001,MATCH(1614,'Email Cleaner'!$H$2:$H$10001,0)),"")</f>
        <v/>
      </c>
    </row>
    <row r="1616">
      <c r="A1616">
        <f>IFERROR(INDEX('Email Cleaner'!$B$2:$B$10001,MATCH(1615,'Email Cleaner'!$H$2:$H$10001,0)),"")</f>
        <v/>
      </c>
    </row>
    <row r="1617">
      <c r="A1617">
        <f>IFERROR(INDEX('Email Cleaner'!$B$2:$B$10001,MATCH(1616,'Email Cleaner'!$H$2:$H$10001,0)),"")</f>
        <v/>
      </c>
    </row>
    <row r="1618">
      <c r="A1618">
        <f>IFERROR(INDEX('Email Cleaner'!$B$2:$B$10001,MATCH(1617,'Email Cleaner'!$H$2:$H$10001,0)),"")</f>
        <v/>
      </c>
    </row>
    <row r="1619">
      <c r="A1619">
        <f>IFERROR(INDEX('Email Cleaner'!$B$2:$B$10001,MATCH(1618,'Email Cleaner'!$H$2:$H$10001,0)),"")</f>
        <v/>
      </c>
    </row>
    <row r="1620">
      <c r="A1620">
        <f>IFERROR(INDEX('Email Cleaner'!$B$2:$B$10001,MATCH(1619,'Email Cleaner'!$H$2:$H$10001,0)),"")</f>
        <v/>
      </c>
    </row>
    <row r="1621">
      <c r="A1621">
        <f>IFERROR(INDEX('Email Cleaner'!$B$2:$B$10001,MATCH(1620,'Email Cleaner'!$H$2:$H$10001,0)),"")</f>
        <v/>
      </c>
    </row>
    <row r="1622">
      <c r="A1622">
        <f>IFERROR(INDEX('Email Cleaner'!$B$2:$B$10001,MATCH(1621,'Email Cleaner'!$H$2:$H$10001,0)),"")</f>
        <v/>
      </c>
    </row>
    <row r="1623">
      <c r="A1623">
        <f>IFERROR(INDEX('Email Cleaner'!$B$2:$B$10001,MATCH(1622,'Email Cleaner'!$H$2:$H$10001,0)),"")</f>
        <v/>
      </c>
    </row>
    <row r="1624">
      <c r="A1624">
        <f>IFERROR(INDEX('Email Cleaner'!$B$2:$B$10001,MATCH(1623,'Email Cleaner'!$H$2:$H$10001,0)),"")</f>
        <v/>
      </c>
    </row>
    <row r="1625">
      <c r="A1625">
        <f>IFERROR(INDEX('Email Cleaner'!$B$2:$B$10001,MATCH(1624,'Email Cleaner'!$H$2:$H$10001,0)),"")</f>
        <v/>
      </c>
    </row>
    <row r="1626">
      <c r="A1626">
        <f>IFERROR(INDEX('Email Cleaner'!$B$2:$B$10001,MATCH(1625,'Email Cleaner'!$H$2:$H$10001,0)),"")</f>
        <v/>
      </c>
    </row>
    <row r="1627">
      <c r="A1627">
        <f>IFERROR(INDEX('Email Cleaner'!$B$2:$B$10001,MATCH(1626,'Email Cleaner'!$H$2:$H$10001,0)),"")</f>
        <v/>
      </c>
    </row>
    <row r="1628">
      <c r="A1628">
        <f>IFERROR(INDEX('Email Cleaner'!$B$2:$B$10001,MATCH(1627,'Email Cleaner'!$H$2:$H$10001,0)),"")</f>
        <v/>
      </c>
    </row>
    <row r="1629">
      <c r="A1629">
        <f>IFERROR(INDEX('Email Cleaner'!$B$2:$B$10001,MATCH(1628,'Email Cleaner'!$H$2:$H$10001,0)),"")</f>
        <v/>
      </c>
    </row>
    <row r="1630">
      <c r="A1630">
        <f>IFERROR(INDEX('Email Cleaner'!$B$2:$B$10001,MATCH(1629,'Email Cleaner'!$H$2:$H$10001,0)),"")</f>
        <v/>
      </c>
    </row>
    <row r="1631">
      <c r="A1631">
        <f>IFERROR(INDEX('Email Cleaner'!$B$2:$B$10001,MATCH(1630,'Email Cleaner'!$H$2:$H$10001,0)),"")</f>
        <v/>
      </c>
    </row>
    <row r="1632">
      <c r="A1632">
        <f>IFERROR(INDEX('Email Cleaner'!$B$2:$B$10001,MATCH(1631,'Email Cleaner'!$H$2:$H$10001,0)),"")</f>
        <v/>
      </c>
    </row>
    <row r="1633">
      <c r="A1633">
        <f>IFERROR(INDEX('Email Cleaner'!$B$2:$B$10001,MATCH(1632,'Email Cleaner'!$H$2:$H$10001,0)),"")</f>
        <v/>
      </c>
    </row>
    <row r="1634">
      <c r="A1634">
        <f>IFERROR(INDEX('Email Cleaner'!$B$2:$B$10001,MATCH(1633,'Email Cleaner'!$H$2:$H$10001,0)),"")</f>
        <v/>
      </c>
    </row>
    <row r="1635">
      <c r="A1635">
        <f>IFERROR(INDEX('Email Cleaner'!$B$2:$B$10001,MATCH(1634,'Email Cleaner'!$H$2:$H$10001,0)),"")</f>
        <v/>
      </c>
    </row>
    <row r="1636">
      <c r="A1636">
        <f>IFERROR(INDEX('Email Cleaner'!$B$2:$B$10001,MATCH(1635,'Email Cleaner'!$H$2:$H$10001,0)),"")</f>
        <v/>
      </c>
    </row>
    <row r="1637">
      <c r="A1637">
        <f>IFERROR(INDEX('Email Cleaner'!$B$2:$B$10001,MATCH(1636,'Email Cleaner'!$H$2:$H$10001,0)),"")</f>
        <v/>
      </c>
    </row>
    <row r="1638">
      <c r="A1638">
        <f>IFERROR(INDEX('Email Cleaner'!$B$2:$B$10001,MATCH(1637,'Email Cleaner'!$H$2:$H$10001,0)),"")</f>
        <v/>
      </c>
    </row>
    <row r="1639">
      <c r="A1639">
        <f>IFERROR(INDEX('Email Cleaner'!$B$2:$B$10001,MATCH(1638,'Email Cleaner'!$H$2:$H$10001,0)),"")</f>
        <v/>
      </c>
    </row>
    <row r="1640">
      <c r="A1640">
        <f>IFERROR(INDEX('Email Cleaner'!$B$2:$B$10001,MATCH(1639,'Email Cleaner'!$H$2:$H$10001,0)),"")</f>
        <v/>
      </c>
    </row>
    <row r="1641">
      <c r="A1641">
        <f>IFERROR(INDEX('Email Cleaner'!$B$2:$B$10001,MATCH(1640,'Email Cleaner'!$H$2:$H$10001,0)),"")</f>
        <v/>
      </c>
    </row>
    <row r="1642">
      <c r="A1642">
        <f>IFERROR(INDEX('Email Cleaner'!$B$2:$B$10001,MATCH(1641,'Email Cleaner'!$H$2:$H$10001,0)),"")</f>
        <v/>
      </c>
    </row>
    <row r="1643">
      <c r="A1643">
        <f>IFERROR(INDEX('Email Cleaner'!$B$2:$B$10001,MATCH(1642,'Email Cleaner'!$H$2:$H$10001,0)),"")</f>
        <v/>
      </c>
    </row>
    <row r="1644">
      <c r="A1644">
        <f>IFERROR(INDEX('Email Cleaner'!$B$2:$B$10001,MATCH(1643,'Email Cleaner'!$H$2:$H$10001,0)),"")</f>
        <v/>
      </c>
    </row>
    <row r="1645">
      <c r="A1645">
        <f>IFERROR(INDEX('Email Cleaner'!$B$2:$B$10001,MATCH(1644,'Email Cleaner'!$H$2:$H$10001,0)),"")</f>
        <v/>
      </c>
    </row>
    <row r="1646">
      <c r="A1646">
        <f>IFERROR(INDEX('Email Cleaner'!$B$2:$B$10001,MATCH(1645,'Email Cleaner'!$H$2:$H$10001,0)),"")</f>
        <v/>
      </c>
    </row>
    <row r="1647">
      <c r="A1647">
        <f>IFERROR(INDEX('Email Cleaner'!$B$2:$B$10001,MATCH(1646,'Email Cleaner'!$H$2:$H$10001,0)),"")</f>
        <v/>
      </c>
    </row>
    <row r="1648">
      <c r="A1648">
        <f>IFERROR(INDEX('Email Cleaner'!$B$2:$B$10001,MATCH(1647,'Email Cleaner'!$H$2:$H$10001,0)),"")</f>
        <v/>
      </c>
    </row>
    <row r="1649">
      <c r="A1649">
        <f>IFERROR(INDEX('Email Cleaner'!$B$2:$B$10001,MATCH(1648,'Email Cleaner'!$H$2:$H$10001,0)),"")</f>
        <v/>
      </c>
    </row>
    <row r="1650">
      <c r="A1650">
        <f>IFERROR(INDEX('Email Cleaner'!$B$2:$B$10001,MATCH(1649,'Email Cleaner'!$H$2:$H$10001,0)),"")</f>
        <v/>
      </c>
    </row>
    <row r="1651">
      <c r="A1651">
        <f>IFERROR(INDEX('Email Cleaner'!$B$2:$B$10001,MATCH(1650,'Email Cleaner'!$H$2:$H$10001,0)),"")</f>
        <v/>
      </c>
    </row>
    <row r="1652">
      <c r="A1652">
        <f>IFERROR(INDEX('Email Cleaner'!$B$2:$B$10001,MATCH(1651,'Email Cleaner'!$H$2:$H$10001,0)),"")</f>
        <v/>
      </c>
    </row>
    <row r="1653">
      <c r="A1653">
        <f>IFERROR(INDEX('Email Cleaner'!$B$2:$B$10001,MATCH(1652,'Email Cleaner'!$H$2:$H$10001,0)),"")</f>
        <v/>
      </c>
    </row>
    <row r="1654">
      <c r="A1654">
        <f>IFERROR(INDEX('Email Cleaner'!$B$2:$B$10001,MATCH(1653,'Email Cleaner'!$H$2:$H$10001,0)),"")</f>
        <v/>
      </c>
    </row>
    <row r="1655">
      <c r="A1655">
        <f>IFERROR(INDEX('Email Cleaner'!$B$2:$B$10001,MATCH(1654,'Email Cleaner'!$H$2:$H$10001,0)),"")</f>
        <v/>
      </c>
    </row>
    <row r="1656">
      <c r="A1656">
        <f>IFERROR(INDEX('Email Cleaner'!$B$2:$B$10001,MATCH(1655,'Email Cleaner'!$H$2:$H$10001,0)),"")</f>
        <v/>
      </c>
    </row>
    <row r="1657">
      <c r="A1657">
        <f>IFERROR(INDEX('Email Cleaner'!$B$2:$B$10001,MATCH(1656,'Email Cleaner'!$H$2:$H$10001,0)),"")</f>
        <v/>
      </c>
    </row>
    <row r="1658">
      <c r="A1658">
        <f>IFERROR(INDEX('Email Cleaner'!$B$2:$B$10001,MATCH(1657,'Email Cleaner'!$H$2:$H$10001,0)),"")</f>
        <v/>
      </c>
    </row>
    <row r="1659">
      <c r="A1659">
        <f>IFERROR(INDEX('Email Cleaner'!$B$2:$B$10001,MATCH(1658,'Email Cleaner'!$H$2:$H$10001,0)),"")</f>
        <v/>
      </c>
    </row>
    <row r="1660">
      <c r="A1660">
        <f>IFERROR(INDEX('Email Cleaner'!$B$2:$B$10001,MATCH(1659,'Email Cleaner'!$H$2:$H$10001,0)),"")</f>
        <v/>
      </c>
    </row>
    <row r="1661">
      <c r="A1661">
        <f>IFERROR(INDEX('Email Cleaner'!$B$2:$B$10001,MATCH(1660,'Email Cleaner'!$H$2:$H$10001,0)),"")</f>
        <v/>
      </c>
    </row>
    <row r="1662">
      <c r="A1662">
        <f>IFERROR(INDEX('Email Cleaner'!$B$2:$B$10001,MATCH(1661,'Email Cleaner'!$H$2:$H$10001,0)),"")</f>
        <v/>
      </c>
    </row>
    <row r="1663">
      <c r="A1663">
        <f>IFERROR(INDEX('Email Cleaner'!$B$2:$B$10001,MATCH(1662,'Email Cleaner'!$H$2:$H$10001,0)),"")</f>
        <v/>
      </c>
    </row>
    <row r="1664">
      <c r="A1664">
        <f>IFERROR(INDEX('Email Cleaner'!$B$2:$B$10001,MATCH(1663,'Email Cleaner'!$H$2:$H$10001,0)),"")</f>
        <v/>
      </c>
    </row>
    <row r="1665">
      <c r="A1665">
        <f>IFERROR(INDEX('Email Cleaner'!$B$2:$B$10001,MATCH(1664,'Email Cleaner'!$H$2:$H$10001,0)),"")</f>
        <v/>
      </c>
    </row>
    <row r="1666">
      <c r="A1666">
        <f>IFERROR(INDEX('Email Cleaner'!$B$2:$B$10001,MATCH(1665,'Email Cleaner'!$H$2:$H$10001,0)),"")</f>
        <v/>
      </c>
    </row>
    <row r="1667">
      <c r="A1667">
        <f>IFERROR(INDEX('Email Cleaner'!$B$2:$B$10001,MATCH(1666,'Email Cleaner'!$H$2:$H$10001,0)),"")</f>
        <v/>
      </c>
    </row>
    <row r="1668">
      <c r="A1668">
        <f>IFERROR(INDEX('Email Cleaner'!$B$2:$B$10001,MATCH(1667,'Email Cleaner'!$H$2:$H$10001,0)),"")</f>
        <v/>
      </c>
    </row>
    <row r="1669">
      <c r="A1669">
        <f>IFERROR(INDEX('Email Cleaner'!$B$2:$B$10001,MATCH(1668,'Email Cleaner'!$H$2:$H$10001,0)),"")</f>
        <v/>
      </c>
    </row>
    <row r="1670">
      <c r="A1670">
        <f>IFERROR(INDEX('Email Cleaner'!$B$2:$B$10001,MATCH(1669,'Email Cleaner'!$H$2:$H$10001,0)),"")</f>
        <v/>
      </c>
    </row>
    <row r="1671">
      <c r="A1671">
        <f>IFERROR(INDEX('Email Cleaner'!$B$2:$B$10001,MATCH(1670,'Email Cleaner'!$H$2:$H$10001,0)),"")</f>
        <v/>
      </c>
    </row>
    <row r="1672">
      <c r="A1672">
        <f>IFERROR(INDEX('Email Cleaner'!$B$2:$B$10001,MATCH(1671,'Email Cleaner'!$H$2:$H$10001,0)),"")</f>
        <v/>
      </c>
    </row>
    <row r="1673">
      <c r="A1673">
        <f>IFERROR(INDEX('Email Cleaner'!$B$2:$B$10001,MATCH(1672,'Email Cleaner'!$H$2:$H$10001,0)),"")</f>
        <v/>
      </c>
    </row>
    <row r="1674">
      <c r="A1674">
        <f>IFERROR(INDEX('Email Cleaner'!$B$2:$B$10001,MATCH(1673,'Email Cleaner'!$H$2:$H$10001,0)),"")</f>
        <v/>
      </c>
    </row>
    <row r="1675">
      <c r="A1675">
        <f>IFERROR(INDEX('Email Cleaner'!$B$2:$B$10001,MATCH(1674,'Email Cleaner'!$H$2:$H$10001,0)),"")</f>
        <v/>
      </c>
    </row>
    <row r="1676">
      <c r="A1676">
        <f>IFERROR(INDEX('Email Cleaner'!$B$2:$B$10001,MATCH(1675,'Email Cleaner'!$H$2:$H$10001,0)),"")</f>
        <v/>
      </c>
    </row>
    <row r="1677">
      <c r="A1677">
        <f>IFERROR(INDEX('Email Cleaner'!$B$2:$B$10001,MATCH(1676,'Email Cleaner'!$H$2:$H$10001,0)),"")</f>
        <v/>
      </c>
    </row>
    <row r="1678">
      <c r="A1678">
        <f>IFERROR(INDEX('Email Cleaner'!$B$2:$B$10001,MATCH(1677,'Email Cleaner'!$H$2:$H$10001,0)),"")</f>
        <v/>
      </c>
    </row>
    <row r="1679">
      <c r="A1679">
        <f>IFERROR(INDEX('Email Cleaner'!$B$2:$B$10001,MATCH(1678,'Email Cleaner'!$H$2:$H$10001,0)),"")</f>
        <v/>
      </c>
    </row>
    <row r="1680">
      <c r="A1680">
        <f>IFERROR(INDEX('Email Cleaner'!$B$2:$B$10001,MATCH(1679,'Email Cleaner'!$H$2:$H$10001,0)),"")</f>
        <v/>
      </c>
    </row>
    <row r="1681">
      <c r="A1681">
        <f>IFERROR(INDEX('Email Cleaner'!$B$2:$B$10001,MATCH(1680,'Email Cleaner'!$H$2:$H$10001,0)),"")</f>
        <v/>
      </c>
    </row>
    <row r="1682">
      <c r="A1682">
        <f>IFERROR(INDEX('Email Cleaner'!$B$2:$B$10001,MATCH(1681,'Email Cleaner'!$H$2:$H$10001,0)),"")</f>
        <v/>
      </c>
    </row>
    <row r="1683">
      <c r="A1683">
        <f>IFERROR(INDEX('Email Cleaner'!$B$2:$B$10001,MATCH(1682,'Email Cleaner'!$H$2:$H$10001,0)),"")</f>
        <v/>
      </c>
    </row>
    <row r="1684">
      <c r="A1684">
        <f>IFERROR(INDEX('Email Cleaner'!$B$2:$B$10001,MATCH(1683,'Email Cleaner'!$H$2:$H$10001,0)),"")</f>
        <v/>
      </c>
    </row>
    <row r="1685">
      <c r="A1685">
        <f>IFERROR(INDEX('Email Cleaner'!$B$2:$B$10001,MATCH(1684,'Email Cleaner'!$H$2:$H$10001,0)),"")</f>
        <v/>
      </c>
    </row>
    <row r="1686">
      <c r="A1686">
        <f>IFERROR(INDEX('Email Cleaner'!$B$2:$B$10001,MATCH(1685,'Email Cleaner'!$H$2:$H$10001,0)),"")</f>
        <v/>
      </c>
    </row>
    <row r="1687">
      <c r="A1687">
        <f>IFERROR(INDEX('Email Cleaner'!$B$2:$B$10001,MATCH(1686,'Email Cleaner'!$H$2:$H$10001,0)),"")</f>
        <v/>
      </c>
    </row>
    <row r="1688">
      <c r="A1688">
        <f>IFERROR(INDEX('Email Cleaner'!$B$2:$B$10001,MATCH(1687,'Email Cleaner'!$H$2:$H$10001,0)),"")</f>
        <v/>
      </c>
    </row>
    <row r="1689">
      <c r="A1689">
        <f>IFERROR(INDEX('Email Cleaner'!$B$2:$B$10001,MATCH(1688,'Email Cleaner'!$H$2:$H$10001,0)),"")</f>
        <v/>
      </c>
    </row>
    <row r="1690">
      <c r="A1690">
        <f>IFERROR(INDEX('Email Cleaner'!$B$2:$B$10001,MATCH(1689,'Email Cleaner'!$H$2:$H$10001,0)),"")</f>
        <v/>
      </c>
    </row>
    <row r="1691">
      <c r="A1691">
        <f>IFERROR(INDEX('Email Cleaner'!$B$2:$B$10001,MATCH(1690,'Email Cleaner'!$H$2:$H$10001,0)),"")</f>
        <v/>
      </c>
    </row>
    <row r="1692">
      <c r="A1692">
        <f>IFERROR(INDEX('Email Cleaner'!$B$2:$B$10001,MATCH(1691,'Email Cleaner'!$H$2:$H$10001,0)),"")</f>
        <v/>
      </c>
    </row>
    <row r="1693">
      <c r="A1693">
        <f>IFERROR(INDEX('Email Cleaner'!$B$2:$B$10001,MATCH(1692,'Email Cleaner'!$H$2:$H$10001,0)),"")</f>
        <v/>
      </c>
    </row>
    <row r="1694">
      <c r="A1694">
        <f>IFERROR(INDEX('Email Cleaner'!$B$2:$B$10001,MATCH(1693,'Email Cleaner'!$H$2:$H$10001,0)),"")</f>
        <v/>
      </c>
    </row>
    <row r="1695">
      <c r="A1695">
        <f>IFERROR(INDEX('Email Cleaner'!$B$2:$B$10001,MATCH(1694,'Email Cleaner'!$H$2:$H$10001,0)),"")</f>
        <v/>
      </c>
    </row>
    <row r="1696">
      <c r="A1696">
        <f>IFERROR(INDEX('Email Cleaner'!$B$2:$B$10001,MATCH(1695,'Email Cleaner'!$H$2:$H$10001,0)),"")</f>
        <v/>
      </c>
    </row>
    <row r="1697">
      <c r="A1697">
        <f>IFERROR(INDEX('Email Cleaner'!$B$2:$B$10001,MATCH(1696,'Email Cleaner'!$H$2:$H$10001,0)),"")</f>
        <v/>
      </c>
    </row>
    <row r="1698">
      <c r="A1698">
        <f>IFERROR(INDEX('Email Cleaner'!$B$2:$B$10001,MATCH(1697,'Email Cleaner'!$H$2:$H$10001,0)),"")</f>
        <v/>
      </c>
    </row>
    <row r="1699">
      <c r="A1699">
        <f>IFERROR(INDEX('Email Cleaner'!$B$2:$B$10001,MATCH(1698,'Email Cleaner'!$H$2:$H$10001,0)),"")</f>
        <v/>
      </c>
    </row>
    <row r="1700">
      <c r="A1700">
        <f>IFERROR(INDEX('Email Cleaner'!$B$2:$B$10001,MATCH(1699,'Email Cleaner'!$H$2:$H$10001,0)),"")</f>
        <v/>
      </c>
    </row>
    <row r="1701">
      <c r="A1701">
        <f>IFERROR(INDEX('Email Cleaner'!$B$2:$B$10001,MATCH(1700,'Email Cleaner'!$H$2:$H$10001,0)),"")</f>
        <v/>
      </c>
    </row>
    <row r="1702">
      <c r="A1702">
        <f>IFERROR(INDEX('Email Cleaner'!$B$2:$B$10001,MATCH(1701,'Email Cleaner'!$H$2:$H$10001,0)),"")</f>
        <v/>
      </c>
    </row>
    <row r="1703">
      <c r="A1703">
        <f>IFERROR(INDEX('Email Cleaner'!$B$2:$B$10001,MATCH(1702,'Email Cleaner'!$H$2:$H$10001,0)),"")</f>
        <v/>
      </c>
    </row>
    <row r="1704">
      <c r="A1704">
        <f>IFERROR(INDEX('Email Cleaner'!$B$2:$B$10001,MATCH(1703,'Email Cleaner'!$H$2:$H$10001,0)),"")</f>
        <v/>
      </c>
    </row>
    <row r="1705">
      <c r="A1705">
        <f>IFERROR(INDEX('Email Cleaner'!$B$2:$B$10001,MATCH(1704,'Email Cleaner'!$H$2:$H$10001,0)),"")</f>
        <v/>
      </c>
    </row>
    <row r="1706">
      <c r="A1706">
        <f>IFERROR(INDEX('Email Cleaner'!$B$2:$B$10001,MATCH(1705,'Email Cleaner'!$H$2:$H$10001,0)),"")</f>
        <v/>
      </c>
    </row>
    <row r="1707">
      <c r="A1707">
        <f>IFERROR(INDEX('Email Cleaner'!$B$2:$B$10001,MATCH(1706,'Email Cleaner'!$H$2:$H$10001,0)),"")</f>
        <v/>
      </c>
    </row>
    <row r="1708">
      <c r="A1708">
        <f>IFERROR(INDEX('Email Cleaner'!$B$2:$B$10001,MATCH(1707,'Email Cleaner'!$H$2:$H$10001,0)),"")</f>
        <v/>
      </c>
    </row>
    <row r="1709">
      <c r="A1709">
        <f>IFERROR(INDEX('Email Cleaner'!$B$2:$B$10001,MATCH(1708,'Email Cleaner'!$H$2:$H$10001,0)),"")</f>
        <v/>
      </c>
    </row>
    <row r="1710">
      <c r="A1710">
        <f>IFERROR(INDEX('Email Cleaner'!$B$2:$B$10001,MATCH(1709,'Email Cleaner'!$H$2:$H$10001,0)),"")</f>
        <v/>
      </c>
    </row>
    <row r="1711">
      <c r="A1711">
        <f>IFERROR(INDEX('Email Cleaner'!$B$2:$B$10001,MATCH(1710,'Email Cleaner'!$H$2:$H$10001,0)),"")</f>
        <v/>
      </c>
    </row>
    <row r="1712">
      <c r="A1712">
        <f>IFERROR(INDEX('Email Cleaner'!$B$2:$B$10001,MATCH(1711,'Email Cleaner'!$H$2:$H$10001,0)),"")</f>
        <v/>
      </c>
    </row>
    <row r="1713">
      <c r="A1713">
        <f>IFERROR(INDEX('Email Cleaner'!$B$2:$B$10001,MATCH(1712,'Email Cleaner'!$H$2:$H$10001,0)),"")</f>
        <v/>
      </c>
    </row>
    <row r="1714">
      <c r="A1714">
        <f>IFERROR(INDEX('Email Cleaner'!$B$2:$B$10001,MATCH(1713,'Email Cleaner'!$H$2:$H$10001,0)),"")</f>
        <v/>
      </c>
    </row>
    <row r="1715">
      <c r="A1715">
        <f>IFERROR(INDEX('Email Cleaner'!$B$2:$B$10001,MATCH(1714,'Email Cleaner'!$H$2:$H$10001,0)),"")</f>
        <v/>
      </c>
    </row>
    <row r="1716">
      <c r="A1716">
        <f>IFERROR(INDEX('Email Cleaner'!$B$2:$B$10001,MATCH(1715,'Email Cleaner'!$H$2:$H$10001,0)),"")</f>
        <v/>
      </c>
    </row>
    <row r="1717">
      <c r="A1717">
        <f>IFERROR(INDEX('Email Cleaner'!$B$2:$B$10001,MATCH(1716,'Email Cleaner'!$H$2:$H$10001,0)),"")</f>
        <v/>
      </c>
    </row>
    <row r="1718">
      <c r="A1718">
        <f>IFERROR(INDEX('Email Cleaner'!$B$2:$B$10001,MATCH(1717,'Email Cleaner'!$H$2:$H$10001,0)),"")</f>
        <v/>
      </c>
    </row>
    <row r="1719">
      <c r="A1719">
        <f>IFERROR(INDEX('Email Cleaner'!$B$2:$B$10001,MATCH(1718,'Email Cleaner'!$H$2:$H$10001,0)),"")</f>
        <v/>
      </c>
    </row>
    <row r="1720">
      <c r="A1720">
        <f>IFERROR(INDEX('Email Cleaner'!$B$2:$B$10001,MATCH(1719,'Email Cleaner'!$H$2:$H$10001,0)),"")</f>
        <v/>
      </c>
    </row>
    <row r="1721">
      <c r="A1721">
        <f>IFERROR(INDEX('Email Cleaner'!$B$2:$B$10001,MATCH(1720,'Email Cleaner'!$H$2:$H$10001,0)),"")</f>
        <v/>
      </c>
    </row>
    <row r="1722">
      <c r="A1722">
        <f>IFERROR(INDEX('Email Cleaner'!$B$2:$B$10001,MATCH(1721,'Email Cleaner'!$H$2:$H$10001,0)),"")</f>
        <v/>
      </c>
    </row>
    <row r="1723">
      <c r="A1723">
        <f>IFERROR(INDEX('Email Cleaner'!$B$2:$B$10001,MATCH(1722,'Email Cleaner'!$H$2:$H$10001,0)),"")</f>
        <v/>
      </c>
    </row>
    <row r="1724">
      <c r="A1724">
        <f>IFERROR(INDEX('Email Cleaner'!$B$2:$B$10001,MATCH(1723,'Email Cleaner'!$H$2:$H$10001,0)),"")</f>
        <v/>
      </c>
    </row>
    <row r="1725">
      <c r="A1725">
        <f>IFERROR(INDEX('Email Cleaner'!$B$2:$B$10001,MATCH(1724,'Email Cleaner'!$H$2:$H$10001,0)),"")</f>
        <v/>
      </c>
    </row>
    <row r="1726">
      <c r="A1726">
        <f>IFERROR(INDEX('Email Cleaner'!$B$2:$B$10001,MATCH(1725,'Email Cleaner'!$H$2:$H$10001,0)),"")</f>
        <v/>
      </c>
    </row>
    <row r="1727">
      <c r="A1727">
        <f>IFERROR(INDEX('Email Cleaner'!$B$2:$B$10001,MATCH(1726,'Email Cleaner'!$H$2:$H$10001,0)),"")</f>
        <v/>
      </c>
    </row>
    <row r="1728">
      <c r="A1728">
        <f>IFERROR(INDEX('Email Cleaner'!$B$2:$B$10001,MATCH(1727,'Email Cleaner'!$H$2:$H$10001,0)),"")</f>
        <v/>
      </c>
    </row>
    <row r="1729">
      <c r="A1729">
        <f>IFERROR(INDEX('Email Cleaner'!$B$2:$B$10001,MATCH(1728,'Email Cleaner'!$H$2:$H$10001,0)),"")</f>
        <v/>
      </c>
    </row>
    <row r="1730">
      <c r="A1730">
        <f>IFERROR(INDEX('Email Cleaner'!$B$2:$B$10001,MATCH(1729,'Email Cleaner'!$H$2:$H$10001,0)),"")</f>
        <v/>
      </c>
    </row>
    <row r="1731">
      <c r="A1731">
        <f>IFERROR(INDEX('Email Cleaner'!$B$2:$B$10001,MATCH(1730,'Email Cleaner'!$H$2:$H$10001,0)),"")</f>
        <v/>
      </c>
    </row>
    <row r="1732">
      <c r="A1732">
        <f>IFERROR(INDEX('Email Cleaner'!$B$2:$B$10001,MATCH(1731,'Email Cleaner'!$H$2:$H$10001,0)),"")</f>
        <v/>
      </c>
    </row>
    <row r="1733">
      <c r="A1733">
        <f>IFERROR(INDEX('Email Cleaner'!$B$2:$B$10001,MATCH(1732,'Email Cleaner'!$H$2:$H$10001,0)),"")</f>
        <v/>
      </c>
    </row>
    <row r="1734">
      <c r="A1734">
        <f>IFERROR(INDEX('Email Cleaner'!$B$2:$B$10001,MATCH(1733,'Email Cleaner'!$H$2:$H$10001,0)),"")</f>
        <v/>
      </c>
    </row>
    <row r="1735">
      <c r="A1735">
        <f>IFERROR(INDEX('Email Cleaner'!$B$2:$B$10001,MATCH(1734,'Email Cleaner'!$H$2:$H$10001,0)),"")</f>
        <v/>
      </c>
    </row>
    <row r="1736">
      <c r="A1736">
        <f>IFERROR(INDEX('Email Cleaner'!$B$2:$B$10001,MATCH(1735,'Email Cleaner'!$H$2:$H$10001,0)),"")</f>
        <v/>
      </c>
    </row>
    <row r="1737">
      <c r="A1737">
        <f>IFERROR(INDEX('Email Cleaner'!$B$2:$B$10001,MATCH(1736,'Email Cleaner'!$H$2:$H$10001,0)),"")</f>
        <v/>
      </c>
    </row>
    <row r="1738">
      <c r="A1738">
        <f>IFERROR(INDEX('Email Cleaner'!$B$2:$B$10001,MATCH(1737,'Email Cleaner'!$H$2:$H$10001,0)),"")</f>
        <v/>
      </c>
    </row>
    <row r="1739">
      <c r="A1739">
        <f>IFERROR(INDEX('Email Cleaner'!$B$2:$B$10001,MATCH(1738,'Email Cleaner'!$H$2:$H$10001,0)),"")</f>
        <v/>
      </c>
    </row>
    <row r="1740">
      <c r="A1740">
        <f>IFERROR(INDEX('Email Cleaner'!$B$2:$B$10001,MATCH(1739,'Email Cleaner'!$H$2:$H$10001,0)),"")</f>
        <v/>
      </c>
    </row>
    <row r="1741">
      <c r="A1741">
        <f>IFERROR(INDEX('Email Cleaner'!$B$2:$B$10001,MATCH(1740,'Email Cleaner'!$H$2:$H$10001,0)),"")</f>
        <v/>
      </c>
    </row>
    <row r="1742">
      <c r="A1742">
        <f>IFERROR(INDEX('Email Cleaner'!$B$2:$B$10001,MATCH(1741,'Email Cleaner'!$H$2:$H$10001,0)),"")</f>
        <v/>
      </c>
    </row>
    <row r="1743">
      <c r="A1743">
        <f>IFERROR(INDEX('Email Cleaner'!$B$2:$B$10001,MATCH(1742,'Email Cleaner'!$H$2:$H$10001,0)),"")</f>
        <v/>
      </c>
    </row>
    <row r="1744">
      <c r="A1744">
        <f>IFERROR(INDEX('Email Cleaner'!$B$2:$B$10001,MATCH(1743,'Email Cleaner'!$H$2:$H$10001,0)),"")</f>
        <v/>
      </c>
    </row>
    <row r="1745">
      <c r="A1745">
        <f>IFERROR(INDEX('Email Cleaner'!$B$2:$B$10001,MATCH(1744,'Email Cleaner'!$H$2:$H$10001,0)),"")</f>
        <v/>
      </c>
    </row>
    <row r="1746">
      <c r="A1746">
        <f>IFERROR(INDEX('Email Cleaner'!$B$2:$B$10001,MATCH(1745,'Email Cleaner'!$H$2:$H$10001,0)),"")</f>
        <v/>
      </c>
    </row>
    <row r="1747">
      <c r="A1747">
        <f>IFERROR(INDEX('Email Cleaner'!$B$2:$B$10001,MATCH(1746,'Email Cleaner'!$H$2:$H$10001,0)),"")</f>
        <v/>
      </c>
    </row>
    <row r="1748">
      <c r="A1748">
        <f>IFERROR(INDEX('Email Cleaner'!$B$2:$B$10001,MATCH(1747,'Email Cleaner'!$H$2:$H$10001,0)),"")</f>
        <v/>
      </c>
    </row>
    <row r="1749">
      <c r="A1749">
        <f>IFERROR(INDEX('Email Cleaner'!$B$2:$B$10001,MATCH(1748,'Email Cleaner'!$H$2:$H$10001,0)),"")</f>
        <v/>
      </c>
    </row>
    <row r="1750">
      <c r="A1750">
        <f>IFERROR(INDEX('Email Cleaner'!$B$2:$B$10001,MATCH(1749,'Email Cleaner'!$H$2:$H$10001,0)),"")</f>
        <v/>
      </c>
    </row>
    <row r="1751">
      <c r="A1751">
        <f>IFERROR(INDEX('Email Cleaner'!$B$2:$B$10001,MATCH(1750,'Email Cleaner'!$H$2:$H$10001,0)),"")</f>
        <v/>
      </c>
    </row>
    <row r="1752">
      <c r="A1752">
        <f>IFERROR(INDEX('Email Cleaner'!$B$2:$B$10001,MATCH(1751,'Email Cleaner'!$H$2:$H$10001,0)),"")</f>
        <v/>
      </c>
    </row>
    <row r="1753">
      <c r="A1753">
        <f>IFERROR(INDEX('Email Cleaner'!$B$2:$B$10001,MATCH(1752,'Email Cleaner'!$H$2:$H$10001,0)),"")</f>
        <v/>
      </c>
    </row>
    <row r="1754">
      <c r="A1754">
        <f>IFERROR(INDEX('Email Cleaner'!$B$2:$B$10001,MATCH(1753,'Email Cleaner'!$H$2:$H$10001,0)),"")</f>
        <v/>
      </c>
    </row>
    <row r="1755">
      <c r="A1755">
        <f>IFERROR(INDEX('Email Cleaner'!$B$2:$B$10001,MATCH(1754,'Email Cleaner'!$H$2:$H$10001,0)),"")</f>
        <v/>
      </c>
    </row>
    <row r="1756">
      <c r="A1756">
        <f>IFERROR(INDEX('Email Cleaner'!$B$2:$B$10001,MATCH(1755,'Email Cleaner'!$H$2:$H$10001,0)),"")</f>
        <v/>
      </c>
    </row>
    <row r="1757">
      <c r="A1757">
        <f>IFERROR(INDEX('Email Cleaner'!$B$2:$B$10001,MATCH(1756,'Email Cleaner'!$H$2:$H$10001,0)),"")</f>
        <v/>
      </c>
    </row>
    <row r="1758">
      <c r="A1758">
        <f>IFERROR(INDEX('Email Cleaner'!$B$2:$B$10001,MATCH(1757,'Email Cleaner'!$H$2:$H$10001,0)),"")</f>
        <v/>
      </c>
    </row>
    <row r="1759">
      <c r="A1759">
        <f>IFERROR(INDEX('Email Cleaner'!$B$2:$B$10001,MATCH(1758,'Email Cleaner'!$H$2:$H$10001,0)),"")</f>
        <v/>
      </c>
    </row>
    <row r="1760">
      <c r="A1760">
        <f>IFERROR(INDEX('Email Cleaner'!$B$2:$B$10001,MATCH(1759,'Email Cleaner'!$H$2:$H$10001,0)),"")</f>
        <v/>
      </c>
    </row>
    <row r="1761">
      <c r="A1761">
        <f>IFERROR(INDEX('Email Cleaner'!$B$2:$B$10001,MATCH(1760,'Email Cleaner'!$H$2:$H$10001,0)),"")</f>
        <v/>
      </c>
    </row>
    <row r="1762">
      <c r="A1762">
        <f>IFERROR(INDEX('Email Cleaner'!$B$2:$B$10001,MATCH(1761,'Email Cleaner'!$H$2:$H$10001,0)),"")</f>
        <v/>
      </c>
    </row>
    <row r="1763">
      <c r="A1763">
        <f>IFERROR(INDEX('Email Cleaner'!$B$2:$B$10001,MATCH(1762,'Email Cleaner'!$H$2:$H$10001,0)),"")</f>
        <v/>
      </c>
    </row>
    <row r="1764">
      <c r="A1764">
        <f>IFERROR(INDEX('Email Cleaner'!$B$2:$B$10001,MATCH(1763,'Email Cleaner'!$H$2:$H$10001,0)),"")</f>
        <v/>
      </c>
    </row>
    <row r="1765">
      <c r="A1765">
        <f>IFERROR(INDEX('Email Cleaner'!$B$2:$B$10001,MATCH(1764,'Email Cleaner'!$H$2:$H$10001,0)),"")</f>
        <v/>
      </c>
    </row>
    <row r="1766">
      <c r="A1766">
        <f>IFERROR(INDEX('Email Cleaner'!$B$2:$B$10001,MATCH(1765,'Email Cleaner'!$H$2:$H$10001,0)),"")</f>
        <v/>
      </c>
    </row>
    <row r="1767">
      <c r="A1767">
        <f>IFERROR(INDEX('Email Cleaner'!$B$2:$B$10001,MATCH(1766,'Email Cleaner'!$H$2:$H$10001,0)),"")</f>
        <v/>
      </c>
    </row>
    <row r="1768">
      <c r="A1768">
        <f>IFERROR(INDEX('Email Cleaner'!$B$2:$B$10001,MATCH(1767,'Email Cleaner'!$H$2:$H$10001,0)),"")</f>
        <v/>
      </c>
    </row>
    <row r="1769">
      <c r="A1769">
        <f>IFERROR(INDEX('Email Cleaner'!$B$2:$B$10001,MATCH(1768,'Email Cleaner'!$H$2:$H$10001,0)),"")</f>
        <v/>
      </c>
    </row>
    <row r="1770">
      <c r="A1770">
        <f>IFERROR(INDEX('Email Cleaner'!$B$2:$B$10001,MATCH(1769,'Email Cleaner'!$H$2:$H$10001,0)),"")</f>
        <v/>
      </c>
    </row>
    <row r="1771">
      <c r="A1771">
        <f>IFERROR(INDEX('Email Cleaner'!$B$2:$B$10001,MATCH(1770,'Email Cleaner'!$H$2:$H$10001,0)),"")</f>
        <v/>
      </c>
    </row>
    <row r="1772">
      <c r="A1772">
        <f>IFERROR(INDEX('Email Cleaner'!$B$2:$B$10001,MATCH(1771,'Email Cleaner'!$H$2:$H$10001,0)),"")</f>
        <v/>
      </c>
    </row>
    <row r="1773">
      <c r="A1773">
        <f>IFERROR(INDEX('Email Cleaner'!$B$2:$B$10001,MATCH(1772,'Email Cleaner'!$H$2:$H$10001,0)),"")</f>
        <v/>
      </c>
    </row>
    <row r="1774">
      <c r="A1774">
        <f>IFERROR(INDEX('Email Cleaner'!$B$2:$B$10001,MATCH(1773,'Email Cleaner'!$H$2:$H$10001,0)),"")</f>
        <v/>
      </c>
    </row>
    <row r="1775">
      <c r="A1775">
        <f>IFERROR(INDEX('Email Cleaner'!$B$2:$B$10001,MATCH(1774,'Email Cleaner'!$H$2:$H$10001,0)),"")</f>
        <v/>
      </c>
    </row>
    <row r="1776">
      <c r="A1776">
        <f>IFERROR(INDEX('Email Cleaner'!$B$2:$B$10001,MATCH(1775,'Email Cleaner'!$H$2:$H$10001,0)),"")</f>
        <v/>
      </c>
    </row>
    <row r="1777">
      <c r="A1777">
        <f>IFERROR(INDEX('Email Cleaner'!$B$2:$B$10001,MATCH(1776,'Email Cleaner'!$H$2:$H$10001,0)),"")</f>
        <v/>
      </c>
    </row>
    <row r="1778">
      <c r="A1778">
        <f>IFERROR(INDEX('Email Cleaner'!$B$2:$B$10001,MATCH(1777,'Email Cleaner'!$H$2:$H$10001,0)),"")</f>
        <v/>
      </c>
    </row>
    <row r="1779">
      <c r="A1779">
        <f>IFERROR(INDEX('Email Cleaner'!$B$2:$B$10001,MATCH(1778,'Email Cleaner'!$H$2:$H$10001,0)),"")</f>
        <v/>
      </c>
    </row>
    <row r="1780">
      <c r="A1780">
        <f>IFERROR(INDEX('Email Cleaner'!$B$2:$B$10001,MATCH(1779,'Email Cleaner'!$H$2:$H$10001,0)),"")</f>
        <v/>
      </c>
    </row>
    <row r="1781">
      <c r="A1781">
        <f>IFERROR(INDEX('Email Cleaner'!$B$2:$B$10001,MATCH(1780,'Email Cleaner'!$H$2:$H$10001,0)),"")</f>
        <v/>
      </c>
    </row>
    <row r="1782">
      <c r="A1782">
        <f>IFERROR(INDEX('Email Cleaner'!$B$2:$B$10001,MATCH(1781,'Email Cleaner'!$H$2:$H$10001,0)),"")</f>
        <v/>
      </c>
    </row>
    <row r="1783">
      <c r="A1783">
        <f>IFERROR(INDEX('Email Cleaner'!$B$2:$B$10001,MATCH(1782,'Email Cleaner'!$H$2:$H$10001,0)),"")</f>
        <v/>
      </c>
    </row>
    <row r="1784">
      <c r="A1784">
        <f>IFERROR(INDEX('Email Cleaner'!$B$2:$B$10001,MATCH(1783,'Email Cleaner'!$H$2:$H$10001,0)),"")</f>
        <v/>
      </c>
    </row>
    <row r="1785">
      <c r="A1785">
        <f>IFERROR(INDEX('Email Cleaner'!$B$2:$B$10001,MATCH(1784,'Email Cleaner'!$H$2:$H$10001,0)),"")</f>
        <v/>
      </c>
    </row>
    <row r="1786">
      <c r="A1786">
        <f>IFERROR(INDEX('Email Cleaner'!$B$2:$B$10001,MATCH(1785,'Email Cleaner'!$H$2:$H$10001,0)),"")</f>
        <v/>
      </c>
    </row>
    <row r="1787">
      <c r="A1787">
        <f>IFERROR(INDEX('Email Cleaner'!$B$2:$B$10001,MATCH(1786,'Email Cleaner'!$H$2:$H$10001,0)),"")</f>
        <v/>
      </c>
    </row>
    <row r="1788">
      <c r="A1788">
        <f>IFERROR(INDEX('Email Cleaner'!$B$2:$B$10001,MATCH(1787,'Email Cleaner'!$H$2:$H$10001,0)),"")</f>
        <v/>
      </c>
    </row>
    <row r="1789">
      <c r="A1789">
        <f>IFERROR(INDEX('Email Cleaner'!$B$2:$B$10001,MATCH(1788,'Email Cleaner'!$H$2:$H$10001,0)),"")</f>
        <v/>
      </c>
    </row>
    <row r="1790">
      <c r="A1790">
        <f>IFERROR(INDEX('Email Cleaner'!$B$2:$B$10001,MATCH(1789,'Email Cleaner'!$H$2:$H$10001,0)),"")</f>
        <v/>
      </c>
    </row>
    <row r="1791">
      <c r="A1791">
        <f>IFERROR(INDEX('Email Cleaner'!$B$2:$B$10001,MATCH(1790,'Email Cleaner'!$H$2:$H$10001,0)),"")</f>
        <v/>
      </c>
    </row>
    <row r="1792">
      <c r="A1792">
        <f>IFERROR(INDEX('Email Cleaner'!$B$2:$B$10001,MATCH(1791,'Email Cleaner'!$H$2:$H$10001,0)),"")</f>
        <v/>
      </c>
    </row>
    <row r="1793">
      <c r="A1793">
        <f>IFERROR(INDEX('Email Cleaner'!$B$2:$B$10001,MATCH(1792,'Email Cleaner'!$H$2:$H$10001,0)),"")</f>
        <v/>
      </c>
    </row>
    <row r="1794">
      <c r="A1794">
        <f>IFERROR(INDEX('Email Cleaner'!$B$2:$B$10001,MATCH(1793,'Email Cleaner'!$H$2:$H$10001,0)),"")</f>
        <v/>
      </c>
    </row>
    <row r="1795">
      <c r="A1795">
        <f>IFERROR(INDEX('Email Cleaner'!$B$2:$B$10001,MATCH(1794,'Email Cleaner'!$H$2:$H$10001,0)),"")</f>
        <v/>
      </c>
    </row>
    <row r="1796">
      <c r="A1796">
        <f>IFERROR(INDEX('Email Cleaner'!$B$2:$B$10001,MATCH(1795,'Email Cleaner'!$H$2:$H$10001,0)),"")</f>
        <v/>
      </c>
    </row>
    <row r="1797">
      <c r="A1797">
        <f>IFERROR(INDEX('Email Cleaner'!$B$2:$B$10001,MATCH(1796,'Email Cleaner'!$H$2:$H$10001,0)),"")</f>
        <v/>
      </c>
    </row>
    <row r="1798">
      <c r="A1798">
        <f>IFERROR(INDEX('Email Cleaner'!$B$2:$B$10001,MATCH(1797,'Email Cleaner'!$H$2:$H$10001,0)),"")</f>
        <v/>
      </c>
    </row>
    <row r="1799">
      <c r="A1799">
        <f>IFERROR(INDEX('Email Cleaner'!$B$2:$B$10001,MATCH(1798,'Email Cleaner'!$H$2:$H$10001,0)),"")</f>
        <v/>
      </c>
    </row>
    <row r="1800">
      <c r="A1800">
        <f>IFERROR(INDEX('Email Cleaner'!$B$2:$B$10001,MATCH(1799,'Email Cleaner'!$H$2:$H$10001,0)),"")</f>
        <v/>
      </c>
    </row>
    <row r="1801">
      <c r="A1801">
        <f>IFERROR(INDEX('Email Cleaner'!$B$2:$B$10001,MATCH(1800,'Email Cleaner'!$H$2:$H$10001,0)),"")</f>
        <v/>
      </c>
    </row>
    <row r="1802">
      <c r="A1802">
        <f>IFERROR(INDEX('Email Cleaner'!$B$2:$B$10001,MATCH(1801,'Email Cleaner'!$H$2:$H$10001,0)),"")</f>
        <v/>
      </c>
    </row>
    <row r="1803">
      <c r="A1803">
        <f>IFERROR(INDEX('Email Cleaner'!$B$2:$B$10001,MATCH(1802,'Email Cleaner'!$H$2:$H$10001,0)),"")</f>
        <v/>
      </c>
    </row>
    <row r="1804">
      <c r="A1804">
        <f>IFERROR(INDEX('Email Cleaner'!$B$2:$B$10001,MATCH(1803,'Email Cleaner'!$H$2:$H$10001,0)),"")</f>
        <v/>
      </c>
    </row>
    <row r="1805">
      <c r="A1805">
        <f>IFERROR(INDEX('Email Cleaner'!$B$2:$B$10001,MATCH(1804,'Email Cleaner'!$H$2:$H$10001,0)),"")</f>
        <v/>
      </c>
    </row>
    <row r="1806">
      <c r="A1806">
        <f>IFERROR(INDEX('Email Cleaner'!$B$2:$B$10001,MATCH(1805,'Email Cleaner'!$H$2:$H$10001,0)),"")</f>
        <v/>
      </c>
    </row>
    <row r="1807">
      <c r="A1807">
        <f>IFERROR(INDEX('Email Cleaner'!$B$2:$B$10001,MATCH(1806,'Email Cleaner'!$H$2:$H$10001,0)),"")</f>
        <v/>
      </c>
    </row>
    <row r="1808">
      <c r="A1808">
        <f>IFERROR(INDEX('Email Cleaner'!$B$2:$B$10001,MATCH(1807,'Email Cleaner'!$H$2:$H$10001,0)),"")</f>
        <v/>
      </c>
    </row>
    <row r="1809">
      <c r="A1809">
        <f>IFERROR(INDEX('Email Cleaner'!$B$2:$B$10001,MATCH(1808,'Email Cleaner'!$H$2:$H$10001,0)),"")</f>
        <v/>
      </c>
    </row>
    <row r="1810">
      <c r="A1810">
        <f>IFERROR(INDEX('Email Cleaner'!$B$2:$B$10001,MATCH(1809,'Email Cleaner'!$H$2:$H$10001,0)),"")</f>
        <v/>
      </c>
    </row>
    <row r="1811">
      <c r="A1811">
        <f>IFERROR(INDEX('Email Cleaner'!$B$2:$B$10001,MATCH(1810,'Email Cleaner'!$H$2:$H$10001,0)),"")</f>
        <v/>
      </c>
    </row>
    <row r="1812">
      <c r="A1812">
        <f>IFERROR(INDEX('Email Cleaner'!$B$2:$B$10001,MATCH(1811,'Email Cleaner'!$H$2:$H$10001,0)),"")</f>
        <v/>
      </c>
    </row>
    <row r="1813">
      <c r="A1813">
        <f>IFERROR(INDEX('Email Cleaner'!$B$2:$B$10001,MATCH(1812,'Email Cleaner'!$H$2:$H$10001,0)),"")</f>
        <v/>
      </c>
    </row>
    <row r="1814">
      <c r="A1814">
        <f>IFERROR(INDEX('Email Cleaner'!$B$2:$B$10001,MATCH(1813,'Email Cleaner'!$H$2:$H$10001,0)),"")</f>
        <v/>
      </c>
    </row>
    <row r="1815">
      <c r="A1815">
        <f>IFERROR(INDEX('Email Cleaner'!$B$2:$B$10001,MATCH(1814,'Email Cleaner'!$H$2:$H$10001,0)),"")</f>
        <v/>
      </c>
    </row>
    <row r="1816">
      <c r="A1816">
        <f>IFERROR(INDEX('Email Cleaner'!$B$2:$B$10001,MATCH(1815,'Email Cleaner'!$H$2:$H$10001,0)),"")</f>
        <v/>
      </c>
    </row>
    <row r="1817">
      <c r="A1817">
        <f>IFERROR(INDEX('Email Cleaner'!$B$2:$B$10001,MATCH(1816,'Email Cleaner'!$H$2:$H$10001,0)),"")</f>
        <v/>
      </c>
    </row>
    <row r="1818">
      <c r="A1818">
        <f>IFERROR(INDEX('Email Cleaner'!$B$2:$B$10001,MATCH(1817,'Email Cleaner'!$H$2:$H$10001,0)),"")</f>
        <v/>
      </c>
    </row>
    <row r="1819">
      <c r="A1819">
        <f>IFERROR(INDEX('Email Cleaner'!$B$2:$B$10001,MATCH(1818,'Email Cleaner'!$H$2:$H$10001,0)),"")</f>
        <v/>
      </c>
    </row>
    <row r="1820">
      <c r="A1820">
        <f>IFERROR(INDEX('Email Cleaner'!$B$2:$B$10001,MATCH(1819,'Email Cleaner'!$H$2:$H$10001,0)),"")</f>
        <v/>
      </c>
    </row>
    <row r="1821">
      <c r="A1821">
        <f>IFERROR(INDEX('Email Cleaner'!$B$2:$B$10001,MATCH(1820,'Email Cleaner'!$H$2:$H$10001,0)),"")</f>
        <v/>
      </c>
    </row>
    <row r="1822">
      <c r="A1822">
        <f>IFERROR(INDEX('Email Cleaner'!$B$2:$B$10001,MATCH(1821,'Email Cleaner'!$H$2:$H$10001,0)),"")</f>
        <v/>
      </c>
    </row>
    <row r="1823">
      <c r="A1823">
        <f>IFERROR(INDEX('Email Cleaner'!$B$2:$B$10001,MATCH(1822,'Email Cleaner'!$H$2:$H$10001,0)),"")</f>
        <v/>
      </c>
    </row>
    <row r="1824">
      <c r="A1824">
        <f>IFERROR(INDEX('Email Cleaner'!$B$2:$B$10001,MATCH(1823,'Email Cleaner'!$H$2:$H$10001,0)),"")</f>
        <v/>
      </c>
    </row>
    <row r="1825">
      <c r="A1825">
        <f>IFERROR(INDEX('Email Cleaner'!$B$2:$B$10001,MATCH(1824,'Email Cleaner'!$H$2:$H$10001,0)),"")</f>
        <v/>
      </c>
    </row>
    <row r="1826">
      <c r="A1826">
        <f>IFERROR(INDEX('Email Cleaner'!$B$2:$B$10001,MATCH(1825,'Email Cleaner'!$H$2:$H$10001,0)),"")</f>
        <v/>
      </c>
    </row>
    <row r="1827">
      <c r="A1827">
        <f>IFERROR(INDEX('Email Cleaner'!$B$2:$B$10001,MATCH(1826,'Email Cleaner'!$H$2:$H$10001,0)),"")</f>
        <v/>
      </c>
    </row>
    <row r="1828">
      <c r="A1828">
        <f>IFERROR(INDEX('Email Cleaner'!$B$2:$B$10001,MATCH(1827,'Email Cleaner'!$H$2:$H$10001,0)),"")</f>
        <v/>
      </c>
    </row>
    <row r="1829">
      <c r="A1829">
        <f>IFERROR(INDEX('Email Cleaner'!$B$2:$B$10001,MATCH(1828,'Email Cleaner'!$H$2:$H$10001,0)),"")</f>
        <v/>
      </c>
    </row>
    <row r="1830">
      <c r="A1830">
        <f>IFERROR(INDEX('Email Cleaner'!$B$2:$B$10001,MATCH(1829,'Email Cleaner'!$H$2:$H$10001,0)),"")</f>
        <v/>
      </c>
    </row>
    <row r="1831">
      <c r="A1831">
        <f>IFERROR(INDEX('Email Cleaner'!$B$2:$B$10001,MATCH(1830,'Email Cleaner'!$H$2:$H$10001,0)),"")</f>
        <v/>
      </c>
    </row>
    <row r="1832">
      <c r="A1832">
        <f>IFERROR(INDEX('Email Cleaner'!$B$2:$B$10001,MATCH(1831,'Email Cleaner'!$H$2:$H$10001,0)),"")</f>
        <v/>
      </c>
    </row>
    <row r="1833">
      <c r="A1833">
        <f>IFERROR(INDEX('Email Cleaner'!$B$2:$B$10001,MATCH(1832,'Email Cleaner'!$H$2:$H$10001,0)),"")</f>
        <v/>
      </c>
    </row>
    <row r="1834">
      <c r="A1834">
        <f>IFERROR(INDEX('Email Cleaner'!$B$2:$B$10001,MATCH(1833,'Email Cleaner'!$H$2:$H$10001,0)),"")</f>
        <v/>
      </c>
    </row>
    <row r="1835">
      <c r="A1835">
        <f>IFERROR(INDEX('Email Cleaner'!$B$2:$B$10001,MATCH(1834,'Email Cleaner'!$H$2:$H$10001,0)),"")</f>
        <v/>
      </c>
    </row>
    <row r="1836">
      <c r="A1836">
        <f>IFERROR(INDEX('Email Cleaner'!$B$2:$B$10001,MATCH(1835,'Email Cleaner'!$H$2:$H$10001,0)),"")</f>
        <v/>
      </c>
    </row>
    <row r="1837">
      <c r="A1837">
        <f>IFERROR(INDEX('Email Cleaner'!$B$2:$B$10001,MATCH(1836,'Email Cleaner'!$H$2:$H$10001,0)),"")</f>
        <v/>
      </c>
    </row>
    <row r="1838">
      <c r="A1838">
        <f>IFERROR(INDEX('Email Cleaner'!$B$2:$B$10001,MATCH(1837,'Email Cleaner'!$H$2:$H$10001,0)),"")</f>
        <v/>
      </c>
    </row>
    <row r="1839">
      <c r="A1839">
        <f>IFERROR(INDEX('Email Cleaner'!$B$2:$B$10001,MATCH(1838,'Email Cleaner'!$H$2:$H$10001,0)),"")</f>
        <v/>
      </c>
    </row>
    <row r="1840">
      <c r="A1840">
        <f>IFERROR(INDEX('Email Cleaner'!$B$2:$B$10001,MATCH(1839,'Email Cleaner'!$H$2:$H$10001,0)),"")</f>
        <v/>
      </c>
    </row>
    <row r="1841">
      <c r="A1841">
        <f>IFERROR(INDEX('Email Cleaner'!$B$2:$B$10001,MATCH(1840,'Email Cleaner'!$H$2:$H$10001,0)),"")</f>
        <v/>
      </c>
    </row>
    <row r="1842">
      <c r="A1842">
        <f>IFERROR(INDEX('Email Cleaner'!$B$2:$B$10001,MATCH(1841,'Email Cleaner'!$H$2:$H$10001,0)),"")</f>
        <v/>
      </c>
    </row>
    <row r="1843">
      <c r="A1843">
        <f>IFERROR(INDEX('Email Cleaner'!$B$2:$B$10001,MATCH(1842,'Email Cleaner'!$H$2:$H$10001,0)),"")</f>
        <v/>
      </c>
    </row>
    <row r="1844">
      <c r="A1844">
        <f>IFERROR(INDEX('Email Cleaner'!$B$2:$B$10001,MATCH(1843,'Email Cleaner'!$H$2:$H$10001,0)),"")</f>
        <v/>
      </c>
    </row>
    <row r="1845">
      <c r="A1845">
        <f>IFERROR(INDEX('Email Cleaner'!$B$2:$B$10001,MATCH(1844,'Email Cleaner'!$H$2:$H$10001,0)),"")</f>
        <v/>
      </c>
    </row>
    <row r="1846">
      <c r="A1846">
        <f>IFERROR(INDEX('Email Cleaner'!$B$2:$B$10001,MATCH(1845,'Email Cleaner'!$H$2:$H$10001,0)),"")</f>
        <v/>
      </c>
    </row>
    <row r="1847">
      <c r="A1847">
        <f>IFERROR(INDEX('Email Cleaner'!$B$2:$B$10001,MATCH(1846,'Email Cleaner'!$H$2:$H$10001,0)),"")</f>
        <v/>
      </c>
    </row>
    <row r="1848">
      <c r="A1848">
        <f>IFERROR(INDEX('Email Cleaner'!$B$2:$B$10001,MATCH(1847,'Email Cleaner'!$H$2:$H$10001,0)),"")</f>
        <v/>
      </c>
    </row>
    <row r="1849">
      <c r="A1849">
        <f>IFERROR(INDEX('Email Cleaner'!$B$2:$B$10001,MATCH(1848,'Email Cleaner'!$H$2:$H$10001,0)),"")</f>
        <v/>
      </c>
    </row>
    <row r="1850">
      <c r="A1850">
        <f>IFERROR(INDEX('Email Cleaner'!$B$2:$B$10001,MATCH(1849,'Email Cleaner'!$H$2:$H$10001,0)),"")</f>
        <v/>
      </c>
    </row>
    <row r="1851">
      <c r="A1851">
        <f>IFERROR(INDEX('Email Cleaner'!$B$2:$B$10001,MATCH(1850,'Email Cleaner'!$H$2:$H$10001,0)),"")</f>
        <v/>
      </c>
    </row>
    <row r="1852">
      <c r="A1852">
        <f>IFERROR(INDEX('Email Cleaner'!$B$2:$B$10001,MATCH(1851,'Email Cleaner'!$H$2:$H$10001,0)),"")</f>
        <v/>
      </c>
    </row>
    <row r="1853">
      <c r="A1853">
        <f>IFERROR(INDEX('Email Cleaner'!$B$2:$B$10001,MATCH(1852,'Email Cleaner'!$H$2:$H$10001,0)),"")</f>
        <v/>
      </c>
    </row>
    <row r="1854">
      <c r="A1854">
        <f>IFERROR(INDEX('Email Cleaner'!$B$2:$B$10001,MATCH(1853,'Email Cleaner'!$H$2:$H$10001,0)),"")</f>
        <v/>
      </c>
    </row>
    <row r="1855">
      <c r="A1855">
        <f>IFERROR(INDEX('Email Cleaner'!$B$2:$B$10001,MATCH(1854,'Email Cleaner'!$H$2:$H$10001,0)),"")</f>
        <v/>
      </c>
    </row>
    <row r="1856">
      <c r="A1856">
        <f>IFERROR(INDEX('Email Cleaner'!$B$2:$B$10001,MATCH(1855,'Email Cleaner'!$H$2:$H$10001,0)),"")</f>
        <v/>
      </c>
    </row>
    <row r="1857">
      <c r="A1857">
        <f>IFERROR(INDEX('Email Cleaner'!$B$2:$B$10001,MATCH(1856,'Email Cleaner'!$H$2:$H$10001,0)),"")</f>
        <v/>
      </c>
    </row>
    <row r="1858">
      <c r="A1858">
        <f>IFERROR(INDEX('Email Cleaner'!$B$2:$B$10001,MATCH(1857,'Email Cleaner'!$H$2:$H$10001,0)),"")</f>
        <v/>
      </c>
    </row>
    <row r="1859">
      <c r="A1859">
        <f>IFERROR(INDEX('Email Cleaner'!$B$2:$B$10001,MATCH(1858,'Email Cleaner'!$H$2:$H$10001,0)),"")</f>
        <v/>
      </c>
    </row>
    <row r="1860">
      <c r="A1860">
        <f>IFERROR(INDEX('Email Cleaner'!$B$2:$B$10001,MATCH(1859,'Email Cleaner'!$H$2:$H$10001,0)),"")</f>
        <v/>
      </c>
    </row>
    <row r="1861">
      <c r="A1861">
        <f>IFERROR(INDEX('Email Cleaner'!$B$2:$B$10001,MATCH(1860,'Email Cleaner'!$H$2:$H$10001,0)),"")</f>
        <v/>
      </c>
    </row>
    <row r="1862">
      <c r="A1862">
        <f>IFERROR(INDEX('Email Cleaner'!$B$2:$B$10001,MATCH(1861,'Email Cleaner'!$H$2:$H$10001,0)),"")</f>
        <v/>
      </c>
    </row>
    <row r="1863">
      <c r="A1863">
        <f>IFERROR(INDEX('Email Cleaner'!$B$2:$B$10001,MATCH(1862,'Email Cleaner'!$H$2:$H$10001,0)),"")</f>
        <v/>
      </c>
    </row>
    <row r="1864">
      <c r="A1864">
        <f>IFERROR(INDEX('Email Cleaner'!$B$2:$B$10001,MATCH(1863,'Email Cleaner'!$H$2:$H$10001,0)),"")</f>
        <v/>
      </c>
    </row>
    <row r="1865">
      <c r="A1865">
        <f>IFERROR(INDEX('Email Cleaner'!$B$2:$B$10001,MATCH(1864,'Email Cleaner'!$H$2:$H$10001,0)),"")</f>
        <v/>
      </c>
    </row>
    <row r="1866">
      <c r="A1866">
        <f>IFERROR(INDEX('Email Cleaner'!$B$2:$B$10001,MATCH(1865,'Email Cleaner'!$H$2:$H$10001,0)),"")</f>
        <v/>
      </c>
    </row>
    <row r="1867">
      <c r="A1867">
        <f>IFERROR(INDEX('Email Cleaner'!$B$2:$B$10001,MATCH(1866,'Email Cleaner'!$H$2:$H$10001,0)),"")</f>
        <v/>
      </c>
    </row>
    <row r="1868">
      <c r="A1868">
        <f>IFERROR(INDEX('Email Cleaner'!$B$2:$B$10001,MATCH(1867,'Email Cleaner'!$H$2:$H$10001,0)),"")</f>
        <v/>
      </c>
    </row>
    <row r="1869">
      <c r="A1869">
        <f>IFERROR(INDEX('Email Cleaner'!$B$2:$B$10001,MATCH(1868,'Email Cleaner'!$H$2:$H$10001,0)),"")</f>
        <v/>
      </c>
    </row>
    <row r="1870">
      <c r="A1870">
        <f>IFERROR(INDEX('Email Cleaner'!$B$2:$B$10001,MATCH(1869,'Email Cleaner'!$H$2:$H$10001,0)),"")</f>
        <v/>
      </c>
    </row>
    <row r="1871">
      <c r="A1871">
        <f>IFERROR(INDEX('Email Cleaner'!$B$2:$B$10001,MATCH(1870,'Email Cleaner'!$H$2:$H$10001,0)),"")</f>
        <v/>
      </c>
    </row>
    <row r="1872">
      <c r="A1872">
        <f>IFERROR(INDEX('Email Cleaner'!$B$2:$B$10001,MATCH(1871,'Email Cleaner'!$H$2:$H$10001,0)),"")</f>
        <v/>
      </c>
    </row>
    <row r="1873">
      <c r="A1873">
        <f>IFERROR(INDEX('Email Cleaner'!$B$2:$B$10001,MATCH(1872,'Email Cleaner'!$H$2:$H$10001,0)),"")</f>
        <v/>
      </c>
    </row>
    <row r="1874">
      <c r="A1874">
        <f>IFERROR(INDEX('Email Cleaner'!$B$2:$B$10001,MATCH(1873,'Email Cleaner'!$H$2:$H$10001,0)),"")</f>
        <v/>
      </c>
    </row>
    <row r="1875">
      <c r="A1875">
        <f>IFERROR(INDEX('Email Cleaner'!$B$2:$B$10001,MATCH(1874,'Email Cleaner'!$H$2:$H$10001,0)),"")</f>
        <v/>
      </c>
    </row>
    <row r="1876">
      <c r="A1876">
        <f>IFERROR(INDEX('Email Cleaner'!$B$2:$B$10001,MATCH(1875,'Email Cleaner'!$H$2:$H$10001,0)),"")</f>
        <v/>
      </c>
    </row>
    <row r="1877">
      <c r="A1877">
        <f>IFERROR(INDEX('Email Cleaner'!$B$2:$B$10001,MATCH(1876,'Email Cleaner'!$H$2:$H$10001,0)),"")</f>
        <v/>
      </c>
    </row>
    <row r="1878">
      <c r="A1878">
        <f>IFERROR(INDEX('Email Cleaner'!$B$2:$B$10001,MATCH(1877,'Email Cleaner'!$H$2:$H$10001,0)),"")</f>
        <v/>
      </c>
    </row>
    <row r="1879">
      <c r="A1879">
        <f>IFERROR(INDEX('Email Cleaner'!$B$2:$B$10001,MATCH(1878,'Email Cleaner'!$H$2:$H$10001,0)),"")</f>
        <v/>
      </c>
    </row>
    <row r="1880">
      <c r="A1880">
        <f>IFERROR(INDEX('Email Cleaner'!$B$2:$B$10001,MATCH(1879,'Email Cleaner'!$H$2:$H$10001,0)),"")</f>
        <v/>
      </c>
    </row>
    <row r="1881">
      <c r="A1881">
        <f>IFERROR(INDEX('Email Cleaner'!$B$2:$B$10001,MATCH(1880,'Email Cleaner'!$H$2:$H$10001,0)),"")</f>
        <v/>
      </c>
    </row>
    <row r="1882">
      <c r="A1882">
        <f>IFERROR(INDEX('Email Cleaner'!$B$2:$B$10001,MATCH(1881,'Email Cleaner'!$H$2:$H$10001,0)),"")</f>
        <v/>
      </c>
    </row>
    <row r="1883">
      <c r="A1883">
        <f>IFERROR(INDEX('Email Cleaner'!$B$2:$B$10001,MATCH(1882,'Email Cleaner'!$H$2:$H$10001,0)),"")</f>
        <v/>
      </c>
    </row>
    <row r="1884">
      <c r="A1884">
        <f>IFERROR(INDEX('Email Cleaner'!$B$2:$B$10001,MATCH(1883,'Email Cleaner'!$H$2:$H$10001,0)),"")</f>
        <v/>
      </c>
    </row>
    <row r="1885">
      <c r="A1885">
        <f>IFERROR(INDEX('Email Cleaner'!$B$2:$B$10001,MATCH(1884,'Email Cleaner'!$H$2:$H$10001,0)),"")</f>
        <v/>
      </c>
    </row>
    <row r="1886">
      <c r="A1886">
        <f>IFERROR(INDEX('Email Cleaner'!$B$2:$B$10001,MATCH(1885,'Email Cleaner'!$H$2:$H$10001,0)),"")</f>
        <v/>
      </c>
    </row>
    <row r="1887">
      <c r="A1887">
        <f>IFERROR(INDEX('Email Cleaner'!$B$2:$B$10001,MATCH(1886,'Email Cleaner'!$H$2:$H$10001,0)),"")</f>
        <v/>
      </c>
    </row>
    <row r="1888">
      <c r="A1888">
        <f>IFERROR(INDEX('Email Cleaner'!$B$2:$B$10001,MATCH(1887,'Email Cleaner'!$H$2:$H$10001,0)),"")</f>
        <v/>
      </c>
    </row>
    <row r="1889">
      <c r="A1889">
        <f>IFERROR(INDEX('Email Cleaner'!$B$2:$B$10001,MATCH(1888,'Email Cleaner'!$H$2:$H$10001,0)),"")</f>
        <v/>
      </c>
    </row>
    <row r="1890">
      <c r="A1890">
        <f>IFERROR(INDEX('Email Cleaner'!$B$2:$B$10001,MATCH(1889,'Email Cleaner'!$H$2:$H$10001,0)),"")</f>
        <v/>
      </c>
    </row>
    <row r="1891">
      <c r="A1891">
        <f>IFERROR(INDEX('Email Cleaner'!$B$2:$B$10001,MATCH(1890,'Email Cleaner'!$H$2:$H$10001,0)),"")</f>
        <v/>
      </c>
    </row>
    <row r="1892">
      <c r="A1892">
        <f>IFERROR(INDEX('Email Cleaner'!$B$2:$B$10001,MATCH(1891,'Email Cleaner'!$H$2:$H$10001,0)),"")</f>
        <v/>
      </c>
    </row>
    <row r="1893">
      <c r="A1893">
        <f>IFERROR(INDEX('Email Cleaner'!$B$2:$B$10001,MATCH(1892,'Email Cleaner'!$H$2:$H$10001,0)),"")</f>
        <v/>
      </c>
    </row>
    <row r="1894">
      <c r="A1894">
        <f>IFERROR(INDEX('Email Cleaner'!$B$2:$B$10001,MATCH(1893,'Email Cleaner'!$H$2:$H$10001,0)),"")</f>
        <v/>
      </c>
    </row>
    <row r="1895">
      <c r="A1895">
        <f>IFERROR(INDEX('Email Cleaner'!$B$2:$B$10001,MATCH(1894,'Email Cleaner'!$H$2:$H$10001,0)),"")</f>
        <v/>
      </c>
    </row>
    <row r="1896">
      <c r="A1896">
        <f>IFERROR(INDEX('Email Cleaner'!$B$2:$B$10001,MATCH(1895,'Email Cleaner'!$H$2:$H$10001,0)),"")</f>
        <v/>
      </c>
    </row>
    <row r="1897">
      <c r="A1897">
        <f>IFERROR(INDEX('Email Cleaner'!$B$2:$B$10001,MATCH(1896,'Email Cleaner'!$H$2:$H$10001,0)),"")</f>
        <v/>
      </c>
    </row>
    <row r="1898">
      <c r="A1898">
        <f>IFERROR(INDEX('Email Cleaner'!$B$2:$B$10001,MATCH(1897,'Email Cleaner'!$H$2:$H$10001,0)),"")</f>
        <v/>
      </c>
    </row>
    <row r="1899">
      <c r="A1899">
        <f>IFERROR(INDEX('Email Cleaner'!$B$2:$B$10001,MATCH(1898,'Email Cleaner'!$H$2:$H$10001,0)),"")</f>
        <v/>
      </c>
    </row>
    <row r="1900">
      <c r="A1900">
        <f>IFERROR(INDEX('Email Cleaner'!$B$2:$B$10001,MATCH(1899,'Email Cleaner'!$H$2:$H$10001,0)),"")</f>
        <v/>
      </c>
    </row>
    <row r="1901">
      <c r="A1901">
        <f>IFERROR(INDEX('Email Cleaner'!$B$2:$B$10001,MATCH(1900,'Email Cleaner'!$H$2:$H$10001,0)),"")</f>
        <v/>
      </c>
    </row>
    <row r="1902">
      <c r="A1902">
        <f>IFERROR(INDEX('Email Cleaner'!$B$2:$B$10001,MATCH(1901,'Email Cleaner'!$H$2:$H$10001,0)),"")</f>
        <v/>
      </c>
    </row>
    <row r="1903">
      <c r="A1903">
        <f>IFERROR(INDEX('Email Cleaner'!$B$2:$B$10001,MATCH(1902,'Email Cleaner'!$H$2:$H$10001,0)),"")</f>
        <v/>
      </c>
    </row>
    <row r="1904">
      <c r="A1904">
        <f>IFERROR(INDEX('Email Cleaner'!$B$2:$B$10001,MATCH(1903,'Email Cleaner'!$H$2:$H$10001,0)),"")</f>
        <v/>
      </c>
    </row>
    <row r="1905">
      <c r="A1905">
        <f>IFERROR(INDEX('Email Cleaner'!$B$2:$B$10001,MATCH(1904,'Email Cleaner'!$H$2:$H$10001,0)),"")</f>
        <v/>
      </c>
    </row>
    <row r="1906">
      <c r="A1906">
        <f>IFERROR(INDEX('Email Cleaner'!$B$2:$B$10001,MATCH(1905,'Email Cleaner'!$H$2:$H$10001,0)),"")</f>
        <v/>
      </c>
    </row>
    <row r="1907">
      <c r="A1907">
        <f>IFERROR(INDEX('Email Cleaner'!$B$2:$B$10001,MATCH(1906,'Email Cleaner'!$H$2:$H$10001,0)),"")</f>
        <v/>
      </c>
    </row>
    <row r="1908">
      <c r="A1908">
        <f>IFERROR(INDEX('Email Cleaner'!$B$2:$B$10001,MATCH(1907,'Email Cleaner'!$H$2:$H$10001,0)),"")</f>
        <v/>
      </c>
    </row>
    <row r="1909">
      <c r="A1909">
        <f>IFERROR(INDEX('Email Cleaner'!$B$2:$B$10001,MATCH(1908,'Email Cleaner'!$H$2:$H$10001,0)),"")</f>
        <v/>
      </c>
    </row>
    <row r="1910">
      <c r="A1910">
        <f>IFERROR(INDEX('Email Cleaner'!$B$2:$B$10001,MATCH(1909,'Email Cleaner'!$H$2:$H$10001,0)),"")</f>
        <v/>
      </c>
    </row>
    <row r="1911">
      <c r="A1911">
        <f>IFERROR(INDEX('Email Cleaner'!$B$2:$B$10001,MATCH(1910,'Email Cleaner'!$H$2:$H$10001,0)),"")</f>
        <v/>
      </c>
    </row>
    <row r="1912">
      <c r="A1912">
        <f>IFERROR(INDEX('Email Cleaner'!$B$2:$B$10001,MATCH(1911,'Email Cleaner'!$H$2:$H$10001,0)),"")</f>
        <v/>
      </c>
    </row>
    <row r="1913">
      <c r="A1913">
        <f>IFERROR(INDEX('Email Cleaner'!$B$2:$B$10001,MATCH(1912,'Email Cleaner'!$H$2:$H$10001,0)),"")</f>
        <v/>
      </c>
    </row>
    <row r="1914">
      <c r="A1914">
        <f>IFERROR(INDEX('Email Cleaner'!$B$2:$B$10001,MATCH(1913,'Email Cleaner'!$H$2:$H$10001,0)),"")</f>
        <v/>
      </c>
    </row>
    <row r="1915">
      <c r="A1915">
        <f>IFERROR(INDEX('Email Cleaner'!$B$2:$B$10001,MATCH(1914,'Email Cleaner'!$H$2:$H$10001,0)),"")</f>
        <v/>
      </c>
    </row>
    <row r="1916">
      <c r="A1916">
        <f>IFERROR(INDEX('Email Cleaner'!$B$2:$B$10001,MATCH(1915,'Email Cleaner'!$H$2:$H$10001,0)),"")</f>
        <v/>
      </c>
    </row>
    <row r="1917">
      <c r="A1917">
        <f>IFERROR(INDEX('Email Cleaner'!$B$2:$B$10001,MATCH(1916,'Email Cleaner'!$H$2:$H$10001,0)),"")</f>
        <v/>
      </c>
    </row>
    <row r="1918">
      <c r="A1918">
        <f>IFERROR(INDEX('Email Cleaner'!$B$2:$B$10001,MATCH(1917,'Email Cleaner'!$H$2:$H$10001,0)),"")</f>
        <v/>
      </c>
    </row>
    <row r="1919">
      <c r="A1919">
        <f>IFERROR(INDEX('Email Cleaner'!$B$2:$B$10001,MATCH(1918,'Email Cleaner'!$H$2:$H$10001,0)),"")</f>
        <v/>
      </c>
    </row>
    <row r="1920">
      <c r="A1920">
        <f>IFERROR(INDEX('Email Cleaner'!$B$2:$B$10001,MATCH(1919,'Email Cleaner'!$H$2:$H$10001,0)),"")</f>
        <v/>
      </c>
    </row>
    <row r="1921">
      <c r="A1921">
        <f>IFERROR(INDEX('Email Cleaner'!$B$2:$B$10001,MATCH(1920,'Email Cleaner'!$H$2:$H$10001,0)),"")</f>
        <v/>
      </c>
    </row>
    <row r="1922">
      <c r="A1922">
        <f>IFERROR(INDEX('Email Cleaner'!$B$2:$B$10001,MATCH(1921,'Email Cleaner'!$H$2:$H$10001,0)),"")</f>
        <v/>
      </c>
    </row>
    <row r="1923">
      <c r="A1923">
        <f>IFERROR(INDEX('Email Cleaner'!$B$2:$B$10001,MATCH(1922,'Email Cleaner'!$H$2:$H$10001,0)),"")</f>
        <v/>
      </c>
    </row>
    <row r="1924">
      <c r="A1924">
        <f>IFERROR(INDEX('Email Cleaner'!$B$2:$B$10001,MATCH(1923,'Email Cleaner'!$H$2:$H$10001,0)),"")</f>
        <v/>
      </c>
    </row>
    <row r="1925">
      <c r="A1925">
        <f>IFERROR(INDEX('Email Cleaner'!$B$2:$B$10001,MATCH(1924,'Email Cleaner'!$H$2:$H$10001,0)),"")</f>
        <v/>
      </c>
    </row>
    <row r="1926">
      <c r="A1926">
        <f>IFERROR(INDEX('Email Cleaner'!$B$2:$B$10001,MATCH(1925,'Email Cleaner'!$H$2:$H$10001,0)),"")</f>
        <v/>
      </c>
    </row>
    <row r="1927">
      <c r="A1927">
        <f>IFERROR(INDEX('Email Cleaner'!$B$2:$B$10001,MATCH(1926,'Email Cleaner'!$H$2:$H$10001,0)),"")</f>
        <v/>
      </c>
    </row>
    <row r="1928">
      <c r="A1928">
        <f>IFERROR(INDEX('Email Cleaner'!$B$2:$B$10001,MATCH(1927,'Email Cleaner'!$H$2:$H$10001,0)),"")</f>
        <v/>
      </c>
    </row>
    <row r="1929">
      <c r="A1929">
        <f>IFERROR(INDEX('Email Cleaner'!$B$2:$B$10001,MATCH(1928,'Email Cleaner'!$H$2:$H$10001,0)),"")</f>
        <v/>
      </c>
    </row>
    <row r="1930">
      <c r="A1930">
        <f>IFERROR(INDEX('Email Cleaner'!$B$2:$B$10001,MATCH(1929,'Email Cleaner'!$H$2:$H$10001,0)),"")</f>
        <v/>
      </c>
    </row>
    <row r="1931">
      <c r="A1931">
        <f>IFERROR(INDEX('Email Cleaner'!$B$2:$B$10001,MATCH(1930,'Email Cleaner'!$H$2:$H$10001,0)),"")</f>
        <v/>
      </c>
    </row>
    <row r="1932">
      <c r="A1932">
        <f>IFERROR(INDEX('Email Cleaner'!$B$2:$B$10001,MATCH(1931,'Email Cleaner'!$H$2:$H$10001,0)),"")</f>
        <v/>
      </c>
    </row>
    <row r="1933">
      <c r="A1933">
        <f>IFERROR(INDEX('Email Cleaner'!$B$2:$B$10001,MATCH(1932,'Email Cleaner'!$H$2:$H$10001,0)),"")</f>
        <v/>
      </c>
    </row>
    <row r="1934">
      <c r="A1934">
        <f>IFERROR(INDEX('Email Cleaner'!$B$2:$B$10001,MATCH(1933,'Email Cleaner'!$H$2:$H$10001,0)),"")</f>
        <v/>
      </c>
    </row>
    <row r="1935">
      <c r="A1935">
        <f>IFERROR(INDEX('Email Cleaner'!$B$2:$B$10001,MATCH(1934,'Email Cleaner'!$H$2:$H$10001,0)),"")</f>
        <v/>
      </c>
    </row>
    <row r="1936">
      <c r="A1936">
        <f>IFERROR(INDEX('Email Cleaner'!$B$2:$B$10001,MATCH(1935,'Email Cleaner'!$H$2:$H$10001,0)),"")</f>
        <v/>
      </c>
    </row>
    <row r="1937">
      <c r="A1937">
        <f>IFERROR(INDEX('Email Cleaner'!$B$2:$B$10001,MATCH(1936,'Email Cleaner'!$H$2:$H$10001,0)),"")</f>
        <v/>
      </c>
    </row>
    <row r="1938">
      <c r="A1938">
        <f>IFERROR(INDEX('Email Cleaner'!$B$2:$B$10001,MATCH(1937,'Email Cleaner'!$H$2:$H$10001,0)),"")</f>
        <v/>
      </c>
    </row>
    <row r="1939">
      <c r="A1939">
        <f>IFERROR(INDEX('Email Cleaner'!$B$2:$B$10001,MATCH(1938,'Email Cleaner'!$H$2:$H$10001,0)),"")</f>
        <v/>
      </c>
    </row>
    <row r="1940">
      <c r="A1940">
        <f>IFERROR(INDEX('Email Cleaner'!$B$2:$B$10001,MATCH(1939,'Email Cleaner'!$H$2:$H$10001,0)),"")</f>
        <v/>
      </c>
    </row>
    <row r="1941">
      <c r="A1941">
        <f>IFERROR(INDEX('Email Cleaner'!$B$2:$B$10001,MATCH(1940,'Email Cleaner'!$H$2:$H$10001,0)),"")</f>
        <v/>
      </c>
    </row>
    <row r="1942">
      <c r="A1942">
        <f>IFERROR(INDEX('Email Cleaner'!$B$2:$B$10001,MATCH(1941,'Email Cleaner'!$H$2:$H$10001,0)),"")</f>
        <v/>
      </c>
    </row>
    <row r="1943">
      <c r="A1943">
        <f>IFERROR(INDEX('Email Cleaner'!$B$2:$B$10001,MATCH(1942,'Email Cleaner'!$H$2:$H$10001,0)),"")</f>
        <v/>
      </c>
    </row>
    <row r="1944">
      <c r="A1944">
        <f>IFERROR(INDEX('Email Cleaner'!$B$2:$B$10001,MATCH(1943,'Email Cleaner'!$H$2:$H$10001,0)),"")</f>
        <v/>
      </c>
    </row>
    <row r="1945">
      <c r="A1945">
        <f>IFERROR(INDEX('Email Cleaner'!$B$2:$B$10001,MATCH(1944,'Email Cleaner'!$H$2:$H$10001,0)),"")</f>
        <v/>
      </c>
    </row>
    <row r="1946">
      <c r="A1946">
        <f>IFERROR(INDEX('Email Cleaner'!$B$2:$B$10001,MATCH(1945,'Email Cleaner'!$H$2:$H$10001,0)),"")</f>
        <v/>
      </c>
    </row>
    <row r="1947">
      <c r="A1947">
        <f>IFERROR(INDEX('Email Cleaner'!$B$2:$B$10001,MATCH(1946,'Email Cleaner'!$H$2:$H$10001,0)),"")</f>
        <v/>
      </c>
    </row>
    <row r="1948">
      <c r="A1948">
        <f>IFERROR(INDEX('Email Cleaner'!$B$2:$B$10001,MATCH(1947,'Email Cleaner'!$H$2:$H$10001,0)),"")</f>
        <v/>
      </c>
    </row>
    <row r="1949">
      <c r="A1949">
        <f>IFERROR(INDEX('Email Cleaner'!$B$2:$B$10001,MATCH(1948,'Email Cleaner'!$H$2:$H$10001,0)),"")</f>
        <v/>
      </c>
    </row>
    <row r="1950">
      <c r="A1950">
        <f>IFERROR(INDEX('Email Cleaner'!$B$2:$B$10001,MATCH(1949,'Email Cleaner'!$H$2:$H$10001,0)),"")</f>
        <v/>
      </c>
    </row>
    <row r="1951">
      <c r="A1951">
        <f>IFERROR(INDEX('Email Cleaner'!$B$2:$B$10001,MATCH(1950,'Email Cleaner'!$H$2:$H$10001,0)),"")</f>
        <v/>
      </c>
    </row>
    <row r="1952">
      <c r="A1952">
        <f>IFERROR(INDEX('Email Cleaner'!$B$2:$B$10001,MATCH(1951,'Email Cleaner'!$H$2:$H$10001,0)),"")</f>
        <v/>
      </c>
    </row>
    <row r="1953">
      <c r="A1953">
        <f>IFERROR(INDEX('Email Cleaner'!$B$2:$B$10001,MATCH(1952,'Email Cleaner'!$H$2:$H$10001,0)),"")</f>
        <v/>
      </c>
    </row>
    <row r="1954">
      <c r="A1954">
        <f>IFERROR(INDEX('Email Cleaner'!$B$2:$B$10001,MATCH(1953,'Email Cleaner'!$H$2:$H$10001,0)),"")</f>
        <v/>
      </c>
    </row>
    <row r="1955">
      <c r="A1955">
        <f>IFERROR(INDEX('Email Cleaner'!$B$2:$B$10001,MATCH(1954,'Email Cleaner'!$H$2:$H$10001,0)),"")</f>
        <v/>
      </c>
    </row>
    <row r="1956">
      <c r="A1956">
        <f>IFERROR(INDEX('Email Cleaner'!$B$2:$B$10001,MATCH(1955,'Email Cleaner'!$H$2:$H$10001,0)),"")</f>
        <v/>
      </c>
    </row>
    <row r="1957">
      <c r="A1957">
        <f>IFERROR(INDEX('Email Cleaner'!$B$2:$B$10001,MATCH(1956,'Email Cleaner'!$H$2:$H$10001,0)),"")</f>
        <v/>
      </c>
    </row>
    <row r="1958">
      <c r="A1958">
        <f>IFERROR(INDEX('Email Cleaner'!$B$2:$B$10001,MATCH(1957,'Email Cleaner'!$H$2:$H$10001,0)),"")</f>
        <v/>
      </c>
    </row>
    <row r="1959">
      <c r="A1959">
        <f>IFERROR(INDEX('Email Cleaner'!$B$2:$B$10001,MATCH(1958,'Email Cleaner'!$H$2:$H$10001,0)),"")</f>
        <v/>
      </c>
    </row>
    <row r="1960">
      <c r="A1960">
        <f>IFERROR(INDEX('Email Cleaner'!$B$2:$B$10001,MATCH(1959,'Email Cleaner'!$H$2:$H$10001,0)),"")</f>
        <v/>
      </c>
    </row>
    <row r="1961">
      <c r="A1961">
        <f>IFERROR(INDEX('Email Cleaner'!$B$2:$B$10001,MATCH(1960,'Email Cleaner'!$H$2:$H$10001,0)),"")</f>
        <v/>
      </c>
    </row>
    <row r="1962">
      <c r="A1962">
        <f>IFERROR(INDEX('Email Cleaner'!$B$2:$B$10001,MATCH(1961,'Email Cleaner'!$H$2:$H$10001,0)),"")</f>
        <v/>
      </c>
    </row>
    <row r="1963">
      <c r="A1963">
        <f>IFERROR(INDEX('Email Cleaner'!$B$2:$B$10001,MATCH(1962,'Email Cleaner'!$H$2:$H$10001,0)),"")</f>
        <v/>
      </c>
    </row>
    <row r="1964">
      <c r="A1964">
        <f>IFERROR(INDEX('Email Cleaner'!$B$2:$B$10001,MATCH(1963,'Email Cleaner'!$H$2:$H$10001,0)),"")</f>
        <v/>
      </c>
    </row>
    <row r="1965">
      <c r="A1965">
        <f>IFERROR(INDEX('Email Cleaner'!$B$2:$B$10001,MATCH(1964,'Email Cleaner'!$H$2:$H$10001,0)),"")</f>
        <v/>
      </c>
    </row>
    <row r="1966">
      <c r="A1966">
        <f>IFERROR(INDEX('Email Cleaner'!$B$2:$B$10001,MATCH(1965,'Email Cleaner'!$H$2:$H$10001,0)),"")</f>
        <v/>
      </c>
    </row>
    <row r="1967">
      <c r="A1967">
        <f>IFERROR(INDEX('Email Cleaner'!$B$2:$B$10001,MATCH(1966,'Email Cleaner'!$H$2:$H$10001,0)),"")</f>
        <v/>
      </c>
    </row>
    <row r="1968">
      <c r="A1968">
        <f>IFERROR(INDEX('Email Cleaner'!$B$2:$B$10001,MATCH(1967,'Email Cleaner'!$H$2:$H$10001,0)),"")</f>
        <v/>
      </c>
    </row>
    <row r="1969">
      <c r="A1969">
        <f>IFERROR(INDEX('Email Cleaner'!$B$2:$B$10001,MATCH(1968,'Email Cleaner'!$H$2:$H$10001,0)),"")</f>
        <v/>
      </c>
    </row>
    <row r="1970">
      <c r="A1970">
        <f>IFERROR(INDEX('Email Cleaner'!$B$2:$B$10001,MATCH(1969,'Email Cleaner'!$H$2:$H$10001,0)),"")</f>
        <v/>
      </c>
    </row>
    <row r="1971">
      <c r="A1971">
        <f>IFERROR(INDEX('Email Cleaner'!$B$2:$B$10001,MATCH(1970,'Email Cleaner'!$H$2:$H$10001,0)),"")</f>
        <v/>
      </c>
    </row>
    <row r="1972">
      <c r="A1972">
        <f>IFERROR(INDEX('Email Cleaner'!$B$2:$B$10001,MATCH(1971,'Email Cleaner'!$H$2:$H$10001,0)),"")</f>
        <v/>
      </c>
    </row>
    <row r="1973">
      <c r="A1973">
        <f>IFERROR(INDEX('Email Cleaner'!$B$2:$B$10001,MATCH(1972,'Email Cleaner'!$H$2:$H$10001,0)),"")</f>
        <v/>
      </c>
    </row>
    <row r="1974">
      <c r="A1974">
        <f>IFERROR(INDEX('Email Cleaner'!$B$2:$B$10001,MATCH(1973,'Email Cleaner'!$H$2:$H$10001,0)),"")</f>
        <v/>
      </c>
    </row>
    <row r="1975">
      <c r="A1975">
        <f>IFERROR(INDEX('Email Cleaner'!$B$2:$B$10001,MATCH(1974,'Email Cleaner'!$H$2:$H$10001,0)),"")</f>
        <v/>
      </c>
    </row>
    <row r="1976">
      <c r="A1976">
        <f>IFERROR(INDEX('Email Cleaner'!$B$2:$B$10001,MATCH(1975,'Email Cleaner'!$H$2:$H$10001,0)),"")</f>
        <v/>
      </c>
    </row>
    <row r="1977">
      <c r="A1977">
        <f>IFERROR(INDEX('Email Cleaner'!$B$2:$B$10001,MATCH(1976,'Email Cleaner'!$H$2:$H$10001,0)),"")</f>
        <v/>
      </c>
    </row>
    <row r="1978">
      <c r="A1978">
        <f>IFERROR(INDEX('Email Cleaner'!$B$2:$B$10001,MATCH(1977,'Email Cleaner'!$H$2:$H$10001,0)),"")</f>
        <v/>
      </c>
    </row>
    <row r="1979">
      <c r="A1979">
        <f>IFERROR(INDEX('Email Cleaner'!$B$2:$B$10001,MATCH(1978,'Email Cleaner'!$H$2:$H$10001,0)),"")</f>
        <v/>
      </c>
    </row>
    <row r="1980">
      <c r="A1980">
        <f>IFERROR(INDEX('Email Cleaner'!$B$2:$B$10001,MATCH(1979,'Email Cleaner'!$H$2:$H$10001,0)),"")</f>
        <v/>
      </c>
    </row>
    <row r="1981">
      <c r="A1981">
        <f>IFERROR(INDEX('Email Cleaner'!$B$2:$B$10001,MATCH(1980,'Email Cleaner'!$H$2:$H$10001,0)),"")</f>
        <v/>
      </c>
    </row>
    <row r="1982">
      <c r="A1982">
        <f>IFERROR(INDEX('Email Cleaner'!$B$2:$B$10001,MATCH(1981,'Email Cleaner'!$H$2:$H$10001,0)),"")</f>
        <v/>
      </c>
    </row>
    <row r="1983">
      <c r="A1983">
        <f>IFERROR(INDEX('Email Cleaner'!$B$2:$B$10001,MATCH(1982,'Email Cleaner'!$H$2:$H$10001,0)),"")</f>
        <v/>
      </c>
    </row>
    <row r="1984">
      <c r="A1984">
        <f>IFERROR(INDEX('Email Cleaner'!$B$2:$B$10001,MATCH(1983,'Email Cleaner'!$H$2:$H$10001,0)),"")</f>
        <v/>
      </c>
    </row>
    <row r="1985">
      <c r="A1985">
        <f>IFERROR(INDEX('Email Cleaner'!$B$2:$B$10001,MATCH(1984,'Email Cleaner'!$H$2:$H$10001,0)),"")</f>
        <v/>
      </c>
    </row>
    <row r="1986">
      <c r="A1986">
        <f>IFERROR(INDEX('Email Cleaner'!$B$2:$B$10001,MATCH(1985,'Email Cleaner'!$H$2:$H$10001,0)),"")</f>
        <v/>
      </c>
    </row>
    <row r="1987">
      <c r="A1987">
        <f>IFERROR(INDEX('Email Cleaner'!$B$2:$B$10001,MATCH(1986,'Email Cleaner'!$H$2:$H$10001,0)),"")</f>
        <v/>
      </c>
    </row>
    <row r="1988">
      <c r="A1988">
        <f>IFERROR(INDEX('Email Cleaner'!$B$2:$B$10001,MATCH(1987,'Email Cleaner'!$H$2:$H$10001,0)),"")</f>
        <v/>
      </c>
    </row>
    <row r="1989">
      <c r="A1989">
        <f>IFERROR(INDEX('Email Cleaner'!$B$2:$B$10001,MATCH(1988,'Email Cleaner'!$H$2:$H$10001,0)),"")</f>
        <v/>
      </c>
    </row>
    <row r="1990">
      <c r="A1990">
        <f>IFERROR(INDEX('Email Cleaner'!$B$2:$B$10001,MATCH(1989,'Email Cleaner'!$H$2:$H$10001,0)),"")</f>
        <v/>
      </c>
    </row>
    <row r="1991">
      <c r="A1991">
        <f>IFERROR(INDEX('Email Cleaner'!$B$2:$B$10001,MATCH(1990,'Email Cleaner'!$H$2:$H$10001,0)),"")</f>
        <v/>
      </c>
    </row>
    <row r="1992">
      <c r="A1992">
        <f>IFERROR(INDEX('Email Cleaner'!$B$2:$B$10001,MATCH(1991,'Email Cleaner'!$H$2:$H$10001,0)),"")</f>
        <v/>
      </c>
    </row>
    <row r="1993">
      <c r="A1993">
        <f>IFERROR(INDEX('Email Cleaner'!$B$2:$B$10001,MATCH(1992,'Email Cleaner'!$H$2:$H$10001,0)),"")</f>
        <v/>
      </c>
    </row>
    <row r="1994">
      <c r="A1994">
        <f>IFERROR(INDEX('Email Cleaner'!$B$2:$B$10001,MATCH(1993,'Email Cleaner'!$H$2:$H$10001,0)),"")</f>
        <v/>
      </c>
    </row>
    <row r="1995">
      <c r="A1995">
        <f>IFERROR(INDEX('Email Cleaner'!$B$2:$B$10001,MATCH(1994,'Email Cleaner'!$H$2:$H$10001,0)),"")</f>
        <v/>
      </c>
    </row>
    <row r="1996">
      <c r="A1996">
        <f>IFERROR(INDEX('Email Cleaner'!$B$2:$B$10001,MATCH(1995,'Email Cleaner'!$H$2:$H$10001,0)),"")</f>
        <v/>
      </c>
    </row>
    <row r="1997">
      <c r="A1997">
        <f>IFERROR(INDEX('Email Cleaner'!$B$2:$B$10001,MATCH(1996,'Email Cleaner'!$H$2:$H$10001,0)),"")</f>
        <v/>
      </c>
    </row>
    <row r="1998">
      <c r="A1998">
        <f>IFERROR(INDEX('Email Cleaner'!$B$2:$B$10001,MATCH(1997,'Email Cleaner'!$H$2:$H$10001,0)),"")</f>
        <v/>
      </c>
    </row>
    <row r="1999">
      <c r="A1999">
        <f>IFERROR(INDEX('Email Cleaner'!$B$2:$B$10001,MATCH(1998,'Email Cleaner'!$H$2:$H$10001,0)),"")</f>
        <v/>
      </c>
    </row>
    <row r="2000">
      <c r="A2000">
        <f>IFERROR(INDEX('Email Cleaner'!$B$2:$B$10001,MATCH(1999,'Email Cleaner'!$H$2:$H$10001,0)),"")</f>
        <v/>
      </c>
    </row>
    <row r="2001">
      <c r="A2001">
        <f>IFERROR(INDEX('Email Cleaner'!$B$2:$B$10001,MATCH(2000,'Email Cleaner'!$H$2:$H$10001,0)),"")</f>
        <v/>
      </c>
    </row>
    <row r="2002">
      <c r="A2002">
        <f>IFERROR(INDEX('Email Cleaner'!$B$2:$B$10001,MATCH(2001,'Email Cleaner'!$H$2:$H$10001,0)),"")</f>
        <v/>
      </c>
    </row>
    <row r="2003">
      <c r="A2003">
        <f>IFERROR(INDEX('Email Cleaner'!$B$2:$B$10001,MATCH(2002,'Email Cleaner'!$H$2:$H$10001,0)),"")</f>
        <v/>
      </c>
    </row>
    <row r="2004">
      <c r="A2004">
        <f>IFERROR(INDEX('Email Cleaner'!$B$2:$B$10001,MATCH(2003,'Email Cleaner'!$H$2:$H$10001,0)),"")</f>
        <v/>
      </c>
    </row>
    <row r="2005">
      <c r="A2005">
        <f>IFERROR(INDEX('Email Cleaner'!$B$2:$B$10001,MATCH(2004,'Email Cleaner'!$H$2:$H$10001,0)),"")</f>
        <v/>
      </c>
    </row>
    <row r="2006">
      <c r="A2006">
        <f>IFERROR(INDEX('Email Cleaner'!$B$2:$B$10001,MATCH(2005,'Email Cleaner'!$H$2:$H$10001,0)),"")</f>
        <v/>
      </c>
    </row>
    <row r="2007">
      <c r="A2007">
        <f>IFERROR(INDEX('Email Cleaner'!$B$2:$B$10001,MATCH(2006,'Email Cleaner'!$H$2:$H$10001,0)),"")</f>
        <v/>
      </c>
    </row>
    <row r="2008">
      <c r="A2008">
        <f>IFERROR(INDEX('Email Cleaner'!$B$2:$B$10001,MATCH(2007,'Email Cleaner'!$H$2:$H$10001,0)),"")</f>
        <v/>
      </c>
    </row>
    <row r="2009">
      <c r="A2009">
        <f>IFERROR(INDEX('Email Cleaner'!$B$2:$B$10001,MATCH(2008,'Email Cleaner'!$H$2:$H$10001,0)),"")</f>
        <v/>
      </c>
    </row>
    <row r="2010">
      <c r="A2010">
        <f>IFERROR(INDEX('Email Cleaner'!$B$2:$B$10001,MATCH(2009,'Email Cleaner'!$H$2:$H$10001,0)),"")</f>
        <v/>
      </c>
    </row>
    <row r="2011">
      <c r="A2011">
        <f>IFERROR(INDEX('Email Cleaner'!$B$2:$B$10001,MATCH(2010,'Email Cleaner'!$H$2:$H$10001,0)),"")</f>
        <v/>
      </c>
    </row>
    <row r="2012">
      <c r="A2012">
        <f>IFERROR(INDEX('Email Cleaner'!$B$2:$B$10001,MATCH(2011,'Email Cleaner'!$H$2:$H$10001,0)),"")</f>
        <v/>
      </c>
    </row>
    <row r="2013">
      <c r="A2013">
        <f>IFERROR(INDEX('Email Cleaner'!$B$2:$B$10001,MATCH(2012,'Email Cleaner'!$H$2:$H$10001,0)),"")</f>
        <v/>
      </c>
    </row>
    <row r="2014">
      <c r="A2014">
        <f>IFERROR(INDEX('Email Cleaner'!$B$2:$B$10001,MATCH(2013,'Email Cleaner'!$H$2:$H$10001,0)),"")</f>
        <v/>
      </c>
    </row>
    <row r="2015">
      <c r="A2015">
        <f>IFERROR(INDEX('Email Cleaner'!$B$2:$B$10001,MATCH(2014,'Email Cleaner'!$H$2:$H$10001,0)),"")</f>
        <v/>
      </c>
    </row>
    <row r="2016">
      <c r="A2016">
        <f>IFERROR(INDEX('Email Cleaner'!$B$2:$B$10001,MATCH(2015,'Email Cleaner'!$H$2:$H$10001,0)),"")</f>
        <v/>
      </c>
    </row>
    <row r="2017">
      <c r="A2017">
        <f>IFERROR(INDEX('Email Cleaner'!$B$2:$B$10001,MATCH(2016,'Email Cleaner'!$H$2:$H$10001,0)),"")</f>
        <v/>
      </c>
    </row>
    <row r="2018">
      <c r="A2018">
        <f>IFERROR(INDEX('Email Cleaner'!$B$2:$B$10001,MATCH(2017,'Email Cleaner'!$H$2:$H$10001,0)),"")</f>
        <v/>
      </c>
    </row>
    <row r="2019">
      <c r="A2019">
        <f>IFERROR(INDEX('Email Cleaner'!$B$2:$B$10001,MATCH(2018,'Email Cleaner'!$H$2:$H$10001,0)),"")</f>
        <v/>
      </c>
    </row>
    <row r="2020">
      <c r="A2020">
        <f>IFERROR(INDEX('Email Cleaner'!$B$2:$B$10001,MATCH(2019,'Email Cleaner'!$H$2:$H$10001,0)),"")</f>
        <v/>
      </c>
    </row>
    <row r="2021">
      <c r="A2021">
        <f>IFERROR(INDEX('Email Cleaner'!$B$2:$B$10001,MATCH(2020,'Email Cleaner'!$H$2:$H$10001,0)),"")</f>
        <v/>
      </c>
    </row>
    <row r="2022">
      <c r="A2022">
        <f>IFERROR(INDEX('Email Cleaner'!$B$2:$B$10001,MATCH(2021,'Email Cleaner'!$H$2:$H$10001,0)),"")</f>
        <v/>
      </c>
    </row>
    <row r="2023">
      <c r="A2023">
        <f>IFERROR(INDEX('Email Cleaner'!$B$2:$B$10001,MATCH(2022,'Email Cleaner'!$H$2:$H$10001,0)),"")</f>
        <v/>
      </c>
    </row>
    <row r="2024">
      <c r="A2024">
        <f>IFERROR(INDEX('Email Cleaner'!$B$2:$B$10001,MATCH(2023,'Email Cleaner'!$H$2:$H$10001,0)),"")</f>
        <v/>
      </c>
    </row>
    <row r="2025">
      <c r="A2025">
        <f>IFERROR(INDEX('Email Cleaner'!$B$2:$B$10001,MATCH(2024,'Email Cleaner'!$H$2:$H$10001,0)),"")</f>
        <v/>
      </c>
    </row>
    <row r="2026">
      <c r="A2026">
        <f>IFERROR(INDEX('Email Cleaner'!$B$2:$B$10001,MATCH(2025,'Email Cleaner'!$H$2:$H$10001,0)),"")</f>
        <v/>
      </c>
    </row>
    <row r="2027">
      <c r="A2027">
        <f>IFERROR(INDEX('Email Cleaner'!$B$2:$B$10001,MATCH(2026,'Email Cleaner'!$H$2:$H$10001,0)),"")</f>
        <v/>
      </c>
    </row>
    <row r="2028">
      <c r="A2028">
        <f>IFERROR(INDEX('Email Cleaner'!$B$2:$B$10001,MATCH(2027,'Email Cleaner'!$H$2:$H$10001,0)),"")</f>
        <v/>
      </c>
    </row>
    <row r="2029">
      <c r="A2029">
        <f>IFERROR(INDEX('Email Cleaner'!$B$2:$B$10001,MATCH(2028,'Email Cleaner'!$H$2:$H$10001,0)),"")</f>
        <v/>
      </c>
    </row>
    <row r="2030">
      <c r="A2030">
        <f>IFERROR(INDEX('Email Cleaner'!$B$2:$B$10001,MATCH(2029,'Email Cleaner'!$H$2:$H$10001,0)),"")</f>
        <v/>
      </c>
    </row>
    <row r="2031">
      <c r="A2031">
        <f>IFERROR(INDEX('Email Cleaner'!$B$2:$B$10001,MATCH(2030,'Email Cleaner'!$H$2:$H$10001,0)),"")</f>
        <v/>
      </c>
    </row>
    <row r="2032">
      <c r="A2032">
        <f>IFERROR(INDEX('Email Cleaner'!$B$2:$B$10001,MATCH(2031,'Email Cleaner'!$H$2:$H$10001,0)),"")</f>
        <v/>
      </c>
    </row>
    <row r="2033">
      <c r="A2033">
        <f>IFERROR(INDEX('Email Cleaner'!$B$2:$B$10001,MATCH(2032,'Email Cleaner'!$H$2:$H$10001,0)),"")</f>
        <v/>
      </c>
    </row>
    <row r="2034">
      <c r="A2034">
        <f>IFERROR(INDEX('Email Cleaner'!$B$2:$B$10001,MATCH(2033,'Email Cleaner'!$H$2:$H$10001,0)),"")</f>
        <v/>
      </c>
    </row>
    <row r="2035">
      <c r="A2035">
        <f>IFERROR(INDEX('Email Cleaner'!$B$2:$B$10001,MATCH(2034,'Email Cleaner'!$H$2:$H$10001,0)),"")</f>
        <v/>
      </c>
    </row>
    <row r="2036">
      <c r="A2036">
        <f>IFERROR(INDEX('Email Cleaner'!$B$2:$B$10001,MATCH(2035,'Email Cleaner'!$H$2:$H$10001,0)),"")</f>
        <v/>
      </c>
    </row>
    <row r="2037">
      <c r="A2037">
        <f>IFERROR(INDEX('Email Cleaner'!$B$2:$B$10001,MATCH(2036,'Email Cleaner'!$H$2:$H$10001,0)),"")</f>
        <v/>
      </c>
    </row>
    <row r="2038">
      <c r="A2038">
        <f>IFERROR(INDEX('Email Cleaner'!$B$2:$B$10001,MATCH(2037,'Email Cleaner'!$H$2:$H$10001,0)),"")</f>
        <v/>
      </c>
    </row>
    <row r="2039">
      <c r="A2039">
        <f>IFERROR(INDEX('Email Cleaner'!$B$2:$B$10001,MATCH(2038,'Email Cleaner'!$H$2:$H$10001,0)),"")</f>
        <v/>
      </c>
    </row>
    <row r="2040">
      <c r="A2040">
        <f>IFERROR(INDEX('Email Cleaner'!$B$2:$B$10001,MATCH(2039,'Email Cleaner'!$H$2:$H$10001,0)),"")</f>
        <v/>
      </c>
    </row>
    <row r="2041">
      <c r="A2041">
        <f>IFERROR(INDEX('Email Cleaner'!$B$2:$B$10001,MATCH(2040,'Email Cleaner'!$H$2:$H$10001,0)),"")</f>
        <v/>
      </c>
    </row>
    <row r="2042">
      <c r="A2042">
        <f>IFERROR(INDEX('Email Cleaner'!$B$2:$B$10001,MATCH(2041,'Email Cleaner'!$H$2:$H$10001,0)),"")</f>
        <v/>
      </c>
    </row>
    <row r="2043">
      <c r="A2043">
        <f>IFERROR(INDEX('Email Cleaner'!$B$2:$B$10001,MATCH(2042,'Email Cleaner'!$H$2:$H$10001,0)),"")</f>
        <v/>
      </c>
    </row>
    <row r="2044">
      <c r="A2044">
        <f>IFERROR(INDEX('Email Cleaner'!$B$2:$B$10001,MATCH(2043,'Email Cleaner'!$H$2:$H$10001,0)),"")</f>
        <v/>
      </c>
    </row>
    <row r="2045">
      <c r="A2045">
        <f>IFERROR(INDEX('Email Cleaner'!$B$2:$B$10001,MATCH(2044,'Email Cleaner'!$H$2:$H$10001,0)),"")</f>
        <v/>
      </c>
    </row>
    <row r="2046">
      <c r="A2046">
        <f>IFERROR(INDEX('Email Cleaner'!$B$2:$B$10001,MATCH(2045,'Email Cleaner'!$H$2:$H$10001,0)),"")</f>
        <v/>
      </c>
    </row>
    <row r="2047">
      <c r="A2047">
        <f>IFERROR(INDEX('Email Cleaner'!$B$2:$B$10001,MATCH(2046,'Email Cleaner'!$H$2:$H$10001,0)),"")</f>
        <v/>
      </c>
    </row>
    <row r="2048">
      <c r="A2048">
        <f>IFERROR(INDEX('Email Cleaner'!$B$2:$B$10001,MATCH(2047,'Email Cleaner'!$H$2:$H$10001,0)),"")</f>
        <v/>
      </c>
    </row>
    <row r="2049">
      <c r="A2049">
        <f>IFERROR(INDEX('Email Cleaner'!$B$2:$B$10001,MATCH(2048,'Email Cleaner'!$H$2:$H$10001,0)),"")</f>
        <v/>
      </c>
    </row>
    <row r="2050">
      <c r="A2050">
        <f>IFERROR(INDEX('Email Cleaner'!$B$2:$B$10001,MATCH(2049,'Email Cleaner'!$H$2:$H$10001,0)),"")</f>
        <v/>
      </c>
    </row>
    <row r="2051">
      <c r="A2051">
        <f>IFERROR(INDEX('Email Cleaner'!$B$2:$B$10001,MATCH(2050,'Email Cleaner'!$H$2:$H$10001,0)),"")</f>
        <v/>
      </c>
    </row>
    <row r="2052">
      <c r="A2052">
        <f>IFERROR(INDEX('Email Cleaner'!$B$2:$B$10001,MATCH(2051,'Email Cleaner'!$H$2:$H$10001,0)),"")</f>
        <v/>
      </c>
    </row>
    <row r="2053">
      <c r="A2053">
        <f>IFERROR(INDEX('Email Cleaner'!$B$2:$B$10001,MATCH(2052,'Email Cleaner'!$H$2:$H$10001,0)),"")</f>
        <v/>
      </c>
    </row>
    <row r="2054">
      <c r="A2054">
        <f>IFERROR(INDEX('Email Cleaner'!$B$2:$B$10001,MATCH(2053,'Email Cleaner'!$H$2:$H$10001,0)),"")</f>
        <v/>
      </c>
    </row>
    <row r="2055">
      <c r="A2055">
        <f>IFERROR(INDEX('Email Cleaner'!$B$2:$B$10001,MATCH(2054,'Email Cleaner'!$H$2:$H$10001,0)),"")</f>
        <v/>
      </c>
    </row>
    <row r="2056">
      <c r="A2056">
        <f>IFERROR(INDEX('Email Cleaner'!$B$2:$B$10001,MATCH(2055,'Email Cleaner'!$H$2:$H$10001,0)),"")</f>
        <v/>
      </c>
    </row>
    <row r="2057">
      <c r="A2057">
        <f>IFERROR(INDEX('Email Cleaner'!$B$2:$B$10001,MATCH(2056,'Email Cleaner'!$H$2:$H$10001,0)),"")</f>
        <v/>
      </c>
    </row>
    <row r="2058">
      <c r="A2058">
        <f>IFERROR(INDEX('Email Cleaner'!$B$2:$B$10001,MATCH(2057,'Email Cleaner'!$H$2:$H$10001,0)),"")</f>
        <v/>
      </c>
    </row>
    <row r="2059">
      <c r="A2059">
        <f>IFERROR(INDEX('Email Cleaner'!$B$2:$B$10001,MATCH(2058,'Email Cleaner'!$H$2:$H$10001,0)),"")</f>
        <v/>
      </c>
    </row>
    <row r="2060">
      <c r="A2060">
        <f>IFERROR(INDEX('Email Cleaner'!$B$2:$B$10001,MATCH(2059,'Email Cleaner'!$H$2:$H$10001,0)),"")</f>
        <v/>
      </c>
    </row>
    <row r="2061">
      <c r="A2061">
        <f>IFERROR(INDEX('Email Cleaner'!$B$2:$B$10001,MATCH(2060,'Email Cleaner'!$H$2:$H$10001,0)),"")</f>
        <v/>
      </c>
    </row>
    <row r="2062">
      <c r="A2062">
        <f>IFERROR(INDEX('Email Cleaner'!$B$2:$B$10001,MATCH(2061,'Email Cleaner'!$H$2:$H$10001,0)),"")</f>
        <v/>
      </c>
    </row>
    <row r="2063">
      <c r="A2063">
        <f>IFERROR(INDEX('Email Cleaner'!$B$2:$B$10001,MATCH(2062,'Email Cleaner'!$H$2:$H$10001,0)),"")</f>
        <v/>
      </c>
    </row>
    <row r="2064">
      <c r="A2064">
        <f>IFERROR(INDEX('Email Cleaner'!$B$2:$B$10001,MATCH(2063,'Email Cleaner'!$H$2:$H$10001,0)),"")</f>
        <v/>
      </c>
    </row>
    <row r="2065">
      <c r="A2065">
        <f>IFERROR(INDEX('Email Cleaner'!$B$2:$B$10001,MATCH(2064,'Email Cleaner'!$H$2:$H$10001,0)),"")</f>
        <v/>
      </c>
    </row>
    <row r="2066">
      <c r="A2066">
        <f>IFERROR(INDEX('Email Cleaner'!$B$2:$B$10001,MATCH(2065,'Email Cleaner'!$H$2:$H$10001,0)),"")</f>
        <v/>
      </c>
    </row>
    <row r="2067">
      <c r="A2067">
        <f>IFERROR(INDEX('Email Cleaner'!$B$2:$B$10001,MATCH(2066,'Email Cleaner'!$H$2:$H$10001,0)),"")</f>
        <v/>
      </c>
    </row>
    <row r="2068">
      <c r="A2068">
        <f>IFERROR(INDEX('Email Cleaner'!$B$2:$B$10001,MATCH(2067,'Email Cleaner'!$H$2:$H$10001,0)),"")</f>
        <v/>
      </c>
    </row>
    <row r="2069">
      <c r="A2069">
        <f>IFERROR(INDEX('Email Cleaner'!$B$2:$B$10001,MATCH(2068,'Email Cleaner'!$H$2:$H$10001,0)),"")</f>
        <v/>
      </c>
    </row>
    <row r="2070">
      <c r="A2070">
        <f>IFERROR(INDEX('Email Cleaner'!$B$2:$B$10001,MATCH(2069,'Email Cleaner'!$H$2:$H$10001,0)),"")</f>
        <v/>
      </c>
    </row>
    <row r="2071">
      <c r="A2071">
        <f>IFERROR(INDEX('Email Cleaner'!$B$2:$B$10001,MATCH(2070,'Email Cleaner'!$H$2:$H$10001,0)),"")</f>
        <v/>
      </c>
    </row>
    <row r="2072">
      <c r="A2072">
        <f>IFERROR(INDEX('Email Cleaner'!$B$2:$B$10001,MATCH(2071,'Email Cleaner'!$H$2:$H$10001,0)),"")</f>
        <v/>
      </c>
    </row>
    <row r="2073">
      <c r="A2073">
        <f>IFERROR(INDEX('Email Cleaner'!$B$2:$B$10001,MATCH(2072,'Email Cleaner'!$H$2:$H$10001,0)),"")</f>
        <v/>
      </c>
    </row>
    <row r="2074">
      <c r="A2074">
        <f>IFERROR(INDEX('Email Cleaner'!$B$2:$B$10001,MATCH(2073,'Email Cleaner'!$H$2:$H$10001,0)),"")</f>
        <v/>
      </c>
    </row>
    <row r="2075">
      <c r="A2075">
        <f>IFERROR(INDEX('Email Cleaner'!$B$2:$B$10001,MATCH(2074,'Email Cleaner'!$H$2:$H$10001,0)),"")</f>
        <v/>
      </c>
    </row>
    <row r="2076">
      <c r="A2076">
        <f>IFERROR(INDEX('Email Cleaner'!$B$2:$B$10001,MATCH(2075,'Email Cleaner'!$H$2:$H$10001,0)),"")</f>
        <v/>
      </c>
    </row>
    <row r="2077">
      <c r="A2077">
        <f>IFERROR(INDEX('Email Cleaner'!$B$2:$B$10001,MATCH(2076,'Email Cleaner'!$H$2:$H$10001,0)),"")</f>
        <v/>
      </c>
    </row>
    <row r="2078">
      <c r="A2078">
        <f>IFERROR(INDEX('Email Cleaner'!$B$2:$B$10001,MATCH(2077,'Email Cleaner'!$H$2:$H$10001,0)),"")</f>
        <v/>
      </c>
    </row>
    <row r="2079">
      <c r="A2079">
        <f>IFERROR(INDEX('Email Cleaner'!$B$2:$B$10001,MATCH(2078,'Email Cleaner'!$H$2:$H$10001,0)),"")</f>
        <v/>
      </c>
    </row>
    <row r="2080">
      <c r="A2080">
        <f>IFERROR(INDEX('Email Cleaner'!$B$2:$B$10001,MATCH(2079,'Email Cleaner'!$H$2:$H$10001,0)),"")</f>
        <v/>
      </c>
    </row>
    <row r="2081">
      <c r="A2081">
        <f>IFERROR(INDEX('Email Cleaner'!$B$2:$B$10001,MATCH(2080,'Email Cleaner'!$H$2:$H$10001,0)),"")</f>
        <v/>
      </c>
    </row>
    <row r="2082">
      <c r="A2082">
        <f>IFERROR(INDEX('Email Cleaner'!$B$2:$B$10001,MATCH(2081,'Email Cleaner'!$H$2:$H$10001,0)),"")</f>
        <v/>
      </c>
    </row>
    <row r="2083">
      <c r="A2083">
        <f>IFERROR(INDEX('Email Cleaner'!$B$2:$B$10001,MATCH(2082,'Email Cleaner'!$H$2:$H$10001,0)),"")</f>
        <v/>
      </c>
    </row>
    <row r="2084">
      <c r="A2084">
        <f>IFERROR(INDEX('Email Cleaner'!$B$2:$B$10001,MATCH(2083,'Email Cleaner'!$H$2:$H$10001,0)),"")</f>
        <v/>
      </c>
    </row>
    <row r="2085">
      <c r="A2085">
        <f>IFERROR(INDEX('Email Cleaner'!$B$2:$B$10001,MATCH(2084,'Email Cleaner'!$H$2:$H$10001,0)),"")</f>
        <v/>
      </c>
    </row>
    <row r="2086">
      <c r="A2086">
        <f>IFERROR(INDEX('Email Cleaner'!$B$2:$B$10001,MATCH(2085,'Email Cleaner'!$H$2:$H$10001,0)),"")</f>
        <v/>
      </c>
    </row>
    <row r="2087">
      <c r="A2087">
        <f>IFERROR(INDEX('Email Cleaner'!$B$2:$B$10001,MATCH(2086,'Email Cleaner'!$H$2:$H$10001,0)),"")</f>
        <v/>
      </c>
    </row>
    <row r="2088">
      <c r="A2088">
        <f>IFERROR(INDEX('Email Cleaner'!$B$2:$B$10001,MATCH(2087,'Email Cleaner'!$H$2:$H$10001,0)),"")</f>
        <v/>
      </c>
    </row>
    <row r="2089">
      <c r="A2089">
        <f>IFERROR(INDEX('Email Cleaner'!$B$2:$B$10001,MATCH(2088,'Email Cleaner'!$H$2:$H$10001,0)),"")</f>
        <v/>
      </c>
    </row>
    <row r="2090">
      <c r="A2090">
        <f>IFERROR(INDEX('Email Cleaner'!$B$2:$B$10001,MATCH(2089,'Email Cleaner'!$H$2:$H$10001,0)),"")</f>
        <v/>
      </c>
    </row>
    <row r="2091">
      <c r="A2091">
        <f>IFERROR(INDEX('Email Cleaner'!$B$2:$B$10001,MATCH(2090,'Email Cleaner'!$H$2:$H$10001,0)),"")</f>
        <v/>
      </c>
    </row>
    <row r="2092">
      <c r="A2092">
        <f>IFERROR(INDEX('Email Cleaner'!$B$2:$B$10001,MATCH(2091,'Email Cleaner'!$H$2:$H$10001,0)),"")</f>
        <v/>
      </c>
    </row>
    <row r="2093">
      <c r="A2093">
        <f>IFERROR(INDEX('Email Cleaner'!$B$2:$B$10001,MATCH(2092,'Email Cleaner'!$H$2:$H$10001,0)),"")</f>
        <v/>
      </c>
    </row>
    <row r="2094">
      <c r="A2094">
        <f>IFERROR(INDEX('Email Cleaner'!$B$2:$B$10001,MATCH(2093,'Email Cleaner'!$H$2:$H$10001,0)),"")</f>
        <v/>
      </c>
    </row>
    <row r="2095">
      <c r="A2095">
        <f>IFERROR(INDEX('Email Cleaner'!$B$2:$B$10001,MATCH(2094,'Email Cleaner'!$H$2:$H$10001,0)),"")</f>
        <v/>
      </c>
    </row>
    <row r="2096">
      <c r="A2096">
        <f>IFERROR(INDEX('Email Cleaner'!$B$2:$B$10001,MATCH(2095,'Email Cleaner'!$H$2:$H$10001,0)),"")</f>
        <v/>
      </c>
    </row>
    <row r="2097">
      <c r="A2097">
        <f>IFERROR(INDEX('Email Cleaner'!$B$2:$B$10001,MATCH(2096,'Email Cleaner'!$H$2:$H$10001,0)),"")</f>
        <v/>
      </c>
    </row>
    <row r="2098">
      <c r="A2098">
        <f>IFERROR(INDEX('Email Cleaner'!$B$2:$B$10001,MATCH(2097,'Email Cleaner'!$H$2:$H$10001,0)),"")</f>
        <v/>
      </c>
    </row>
    <row r="2099">
      <c r="A2099">
        <f>IFERROR(INDEX('Email Cleaner'!$B$2:$B$10001,MATCH(2098,'Email Cleaner'!$H$2:$H$10001,0)),"")</f>
        <v/>
      </c>
    </row>
    <row r="2100">
      <c r="A2100">
        <f>IFERROR(INDEX('Email Cleaner'!$B$2:$B$10001,MATCH(2099,'Email Cleaner'!$H$2:$H$10001,0)),"")</f>
        <v/>
      </c>
    </row>
    <row r="2101">
      <c r="A2101">
        <f>IFERROR(INDEX('Email Cleaner'!$B$2:$B$10001,MATCH(2100,'Email Cleaner'!$H$2:$H$10001,0)),"")</f>
        <v/>
      </c>
    </row>
    <row r="2102">
      <c r="A2102">
        <f>IFERROR(INDEX('Email Cleaner'!$B$2:$B$10001,MATCH(2101,'Email Cleaner'!$H$2:$H$10001,0)),"")</f>
        <v/>
      </c>
    </row>
    <row r="2103">
      <c r="A2103">
        <f>IFERROR(INDEX('Email Cleaner'!$B$2:$B$10001,MATCH(2102,'Email Cleaner'!$H$2:$H$10001,0)),"")</f>
        <v/>
      </c>
    </row>
    <row r="2104">
      <c r="A2104">
        <f>IFERROR(INDEX('Email Cleaner'!$B$2:$B$10001,MATCH(2103,'Email Cleaner'!$H$2:$H$10001,0)),"")</f>
        <v/>
      </c>
    </row>
    <row r="2105">
      <c r="A2105">
        <f>IFERROR(INDEX('Email Cleaner'!$B$2:$B$10001,MATCH(2104,'Email Cleaner'!$H$2:$H$10001,0)),"")</f>
        <v/>
      </c>
    </row>
    <row r="2106">
      <c r="A2106">
        <f>IFERROR(INDEX('Email Cleaner'!$B$2:$B$10001,MATCH(2105,'Email Cleaner'!$H$2:$H$10001,0)),"")</f>
        <v/>
      </c>
    </row>
    <row r="2107">
      <c r="A2107">
        <f>IFERROR(INDEX('Email Cleaner'!$B$2:$B$10001,MATCH(2106,'Email Cleaner'!$H$2:$H$10001,0)),"")</f>
        <v/>
      </c>
    </row>
    <row r="2108">
      <c r="A2108">
        <f>IFERROR(INDEX('Email Cleaner'!$B$2:$B$10001,MATCH(2107,'Email Cleaner'!$H$2:$H$10001,0)),"")</f>
        <v/>
      </c>
    </row>
    <row r="2109">
      <c r="A2109">
        <f>IFERROR(INDEX('Email Cleaner'!$B$2:$B$10001,MATCH(2108,'Email Cleaner'!$H$2:$H$10001,0)),"")</f>
        <v/>
      </c>
    </row>
    <row r="2110">
      <c r="A2110">
        <f>IFERROR(INDEX('Email Cleaner'!$B$2:$B$10001,MATCH(2109,'Email Cleaner'!$H$2:$H$10001,0)),"")</f>
        <v/>
      </c>
    </row>
    <row r="2111">
      <c r="A2111">
        <f>IFERROR(INDEX('Email Cleaner'!$B$2:$B$10001,MATCH(2110,'Email Cleaner'!$H$2:$H$10001,0)),"")</f>
        <v/>
      </c>
    </row>
    <row r="2112">
      <c r="A2112">
        <f>IFERROR(INDEX('Email Cleaner'!$B$2:$B$10001,MATCH(2111,'Email Cleaner'!$H$2:$H$10001,0)),"")</f>
        <v/>
      </c>
    </row>
    <row r="2113">
      <c r="A2113">
        <f>IFERROR(INDEX('Email Cleaner'!$B$2:$B$10001,MATCH(2112,'Email Cleaner'!$H$2:$H$10001,0)),"")</f>
        <v/>
      </c>
    </row>
    <row r="2114">
      <c r="A2114">
        <f>IFERROR(INDEX('Email Cleaner'!$B$2:$B$10001,MATCH(2113,'Email Cleaner'!$H$2:$H$10001,0)),"")</f>
        <v/>
      </c>
    </row>
    <row r="2115">
      <c r="A2115">
        <f>IFERROR(INDEX('Email Cleaner'!$B$2:$B$10001,MATCH(2114,'Email Cleaner'!$H$2:$H$10001,0)),"")</f>
        <v/>
      </c>
    </row>
    <row r="2116">
      <c r="A2116">
        <f>IFERROR(INDEX('Email Cleaner'!$B$2:$B$10001,MATCH(2115,'Email Cleaner'!$H$2:$H$10001,0)),"")</f>
        <v/>
      </c>
    </row>
    <row r="2117">
      <c r="A2117">
        <f>IFERROR(INDEX('Email Cleaner'!$B$2:$B$10001,MATCH(2116,'Email Cleaner'!$H$2:$H$10001,0)),"")</f>
        <v/>
      </c>
    </row>
    <row r="2118">
      <c r="A2118">
        <f>IFERROR(INDEX('Email Cleaner'!$B$2:$B$10001,MATCH(2117,'Email Cleaner'!$H$2:$H$10001,0)),"")</f>
        <v/>
      </c>
    </row>
    <row r="2119">
      <c r="A2119">
        <f>IFERROR(INDEX('Email Cleaner'!$B$2:$B$10001,MATCH(2118,'Email Cleaner'!$H$2:$H$10001,0)),"")</f>
        <v/>
      </c>
    </row>
    <row r="2120">
      <c r="A2120">
        <f>IFERROR(INDEX('Email Cleaner'!$B$2:$B$10001,MATCH(2119,'Email Cleaner'!$H$2:$H$10001,0)),"")</f>
        <v/>
      </c>
    </row>
    <row r="2121">
      <c r="A2121">
        <f>IFERROR(INDEX('Email Cleaner'!$B$2:$B$10001,MATCH(2120,'Email Cleaner'!$H$2:$H$10001,0)),"")</f>
        <v/>
      </c>
    </row>
    <row r="2122">
      <c r="A2122">
        <f>IFERROR(INDEX('Email Cleaner'!$B$2:$B$10001,MATCH(2121,'Email Cleaner'!$H$2:$H$10001,0)),"")</f>
        <v/>
      </c>
    </row>
    <row r="2123">
      <c r="A2123">
        <f>IFERROR(INDEX('Email Cleaner'!$B$2:$B$10001,MATCH(2122,'Email Cleaner'!$H$2:$H$10001,0)),"")</f>
        <v/>
      </c>
    </row>
    <row r="2124">
      <c r="A2124">
        <f>IFERROR(INDEX('Email Cleaner'!$B$2:$B$10001,MATCH(2123,'Email Cleaner'!$H$2:$H$10001,0)),"")</f>
        <v/>
      </c>
    </row>
    <row r="2125">
      <c r="A2125">
        <f>IFERROR(INDEX('Email Cleaner'!$B$2:$B$10001,MATCH(2124,'Email Cleaner'!$H$2:$H$10001,0)),"")</f>
        <v/>
      </c>
    </row>
    <row r="2126">
      <c r="A2126">
        <f>IFERROR(INDEX('Email Cleaner'!$B$2:$B$10001,MATCH(2125,'Email Cleaner'!$H$2:$H$10001,0)),"")</f>
        <v/>
      </c>
    </row>
    <row r="2127">
      <c r="A2127">
        <f>IFERROR(INDEX('Email Cleaner'!$B$2:$B$10001,MATCH(2126,'Email Cleaner'!$H$2:$H$10001,0)),"")</f>
        <v/>
      </c>
    </row>
    <row r="2128">
      <c r="A2128">
        <f>IFERROR(INDEX('Email Cleaner'!$B$2:$B$10001,MATCH(2127,'Email Cleaner'!$H$2:$H$10001,0)),"")</f>
        <v/>
      </c>
    </row>
    <row r="2129">
      <c r="A2129">
        <f>IFERROR(INDEX('Email Cleaner'!$B$2:$B$10001,MATCH(2128,'Email Cleaner'!$H$2:$H$10001,0)),"")</f>
        <v/>
      </c>
    </row>
    <row r="2130">
      <c r="A2130">
        <f>IFERROR(INDEX('Email Cleaner'!$B$2:$B$10001,MATCH(2129,'Email Cleaner'!$H$2:$H$10001,0)),"")</f>
        <v/>
      </c>
    </row>
    <row r="2131">
      <c r="A2131">
        <f>IFERROR(INDEX('Email Cleaner'!$B$2:$B$10001,MATCH(2130,'Email Cleaner'!$H$2:$H$10001,0)),"")</f>
        <v/>
      </c>
    </row>
    <row r="2132">
      <c r="A2132">
        <f>IFERROR(INDEX('Email Cleaner'!$B$2:$B$10001,MATCH(2131,'Email Cleaner'!$H$2:$H$10001,0)),"")</f>
        <v/>
      </c>
    </row>
    <row r="2133">
      <c r="A2133">
        <f>IFERROR(INDEX('Email Cleaner'!$B$2:$B$10001,MATCH(2132,'Email Cleaner'!$H$2:$H$10001,0)),"")</f>
        <v/>
      </c>
    </row>
    <row r="2134">
      <c r="A2134">
        <f>IFERROR(INDEX('Email Cleaner'!$B$2:$B$10001,MATCH(2133,'Email Cleaner'!$H$2:$H$10001,0)),"")</f>
        <v/>
      </c>
    </row>
    <row r="2135">
      <c r="A2135">
        <f>IFERROR(INDEX('Email Cleaner'!$B$2:$B$10001,MATCH(2134,'Email Cleaner'!$H$2:$H$10001,0)),"")</f>
        <v/>
      </c>
    </row>
    <row r="2136">
      <c r="A2136">
        <f>IFERROR(INDEX('Email Cleaner'!$B$2:$B$10001,MATCH(2135,'Email Cleaner'!$H$2:$H$10001,0)),"")</f>
        <v/>
      </c>
    </row>
    <row r="2137">
      <c r="A2137">
        <f>IFERROR(INDEX('Email Cleaner'!$B$2:$B$10001,MATCH(2136,'Email Cleaner'!$H$2:$H$10001,0)),"")</f>
        <v/>
      </c>
    </row>
    <row r="2138">
      <c r="A2138">
        <f>IFERROR(INDEX('Email Cleaner'!$B$2:$B$10001,MATCH(2137,'Email Cleaner'!$H$2:$H$10001,0)),"")</f>
        <v/>
      </c>
    </row>
    <row r="2139">
      <c r="A2139">
        <f>IFERROR(INDEX('Email Cleaner'!$B$2:$B$10001,MATCH(2138,'Email Cleaner'!$H$2:$H$10001,0)),"")</f>
        <v/>
      </c>
    </row>
    <row r="2140">
      <c r="A2140">
        <f>IFERROR(INDEX('Email Cleaner'!$B$2:$B$10001,MATCH(2139,'Email Cleaner'!$H$2:$H$10001,0)),"")</f>
        <v/>
      </c>
    </row>
    <row r="2141">
      <c r="A2141">
        <f>IFERROR(INDEX('Email Cleaner'!$B$2:$B$10001,MATCH(2140,'Email Cleaner'!$H$2:$H$10001,0)),"")</f>
        <v/>
      </c>
    </row>
    <row r="2142">
      <c r="A2142">
        <f>IFERROR(INDEX('Email Cleaner'!$B$2:$B$10001,MATCH(2141,'Email Cleaner'!$H$2:$H$10001,0)),"")</f>
        <v/>
      </c>
    </row>
    <row r="2143">
      <c r="A2143">
        <f>IFERROR(INDEX('Email Cleaner'!$B$2:$B$10001,MATCH(2142,'Email Cleaner'!$H$2:$H$10001,0)),"")</f>
        <v/>
      </c>
    </row>
    <row r="2144">
      <c r="A2144">
        <f>IFERROR(INDEX('Email Cleaner'!$B$2:$B$10001,MATCH(2143,'Email Cleaner'!$H$2:$H$10001,0)),"")</f>
        <v/>
      </c>
    </row>
    <row r="2145">
      <c r="A2145">
        <f>IFERROR(INDEX('Email Cleaner'!$B$2:$B$10001,MATCH(2144,'Email Cleaner'!$H$2:$H$10001,0)),"")</f>
        <v/>
      </c>
    </row>
    <row r="2146">
      <c r="A2146">
        <f>IFERROR(INDEX('Email Cleaner'!$B$2:$B$10001,MATCH(2145,'Email Cleaner'!$H$2:$H$10001,0)),"")</f>
        <v/>
      </c>
    </row>
    <row r="2147">
      <c r="A2147">
        <f>IFERROR(INDEX('Email Cleaner'!$B$2:$B$10001,MATCH(2146,'Email Cleaner'!$H$2:$H$10001,0)),"")</f>
        <v/>
      </c>
    </row>
    <row r="2148">
      <c r="A2148">
        <f>IFERROR(INDEX('Email Cleaner'!$B$2:$B$10001,MATCH(2147,'Email Cleaner'!$H$2:$H$10001,0)),"")</f>
        <v/>
      </c>
    </row>
    <row r="2149">
      <c r="A2149">
        <f>IFERROR(INDEX('Email Cleaner'!$B$2:$B$10001,MATCH(2148,'Email Cleaner'!$H$2:$H$10001,0)),"")</f>
        <v/>
      </c>
    </row>
    <row r="2150">
      <c r="A2150">
        <f>IFERROR(INDEX('Email Cleaner'!$B$2:$B$10001,MATCH(2149,'Email Cleaner'!$H$2:$H$10001,0)),"")</f>
        <v/>
      </c>
    </row>
    <row r="2151">
      <c r="A2151">
        <f>IFERROR(INDEX('Email Cleaner'!$B$2:$B$10001,MATCH(2150,'Email Cleaner'!$H$2:$H$10001,0)),"")</f>
        <v/>
      </c>
    </row>
    <row r="2152">
      <c r="A2152">
        <f>IFERROR(INDEX('Email Cleaner'!$B$2:$B$10001,MATCH(2151,'Email Cleaner'!$H$2:$H$10001,0)),"")</f>
        <v/>
      </c>
    </row>
    <row r="2153">
      <c r="A2153">
        <f>IFERROR(INDEX('Email Cleaner'!$B$2:$B$10001,MATCH(2152,'Email Cleaner'!$H$2:$H$10001,0)),"")</f>
        <v/>
      </c>
    </row>
    <row r="2154">
      <c r="A2154">
        <f>IFERROR(INDEX('Email Cleaner'!$B$2:$B$10001,MATCH(2153,'Email Cleaner'!$H$2:$H$10001,0)),"")</f>
        <v/>
      </c>
    </row>
    <row r="2155">
      <c r="A2155">
        <f>IFERROR(INDEX('Email Cleaner'!$B$2:$B$10001,MATCH(2154,'Email Cleaner'!$H$2:$H$10001,0)),"")</f>
        <v/>
      </c>
    </row>
    <row r="2156">
      <c r="A2156">
        <f>IFERROR(INDEX('Email Cleaner'!$B$2:$B$10001,MATCH(2155,'Email Cleaner'!$H$2:$H$10001,0)),"")</f>
        <v/>
      </c>
    </row>
    <row r="2157">
      <c r="A2157">
        <f>IFERROR(INDEX('Email Cleaner'!$B$2:$B$10001,MATCH(2156,'Email Cleaner'!$H$2:$H$10001,0)),"")</f>
        <v/>
      </c>
    </row>
    <row r="2158">
      <c r="A2158">
        <f>IFERROR(INDEX('Email Cleaner'!$B$2:$B$10001,MATCH(2157,'Email Cleaner'!$H$2:$H$10001,0)),"")</f>
        <v/>
      </c>
    </row>
    <row r="2159">
      <c r="A2159">
        <f>IFERROR(INDEX('Email Cleaner'!$B$2:$B$10001,MATCH(2158,'Email Cleaner'!$H$2:$H$10001,0)),"")</f>
        <v/>
      </c>
    </row>
    <row r="2160">
      <c r="A2160">
        <f>IFERROR(INDEX('Email Cleaner'!$B$2:$B$10001,MATCH(2159,'Email Cleaner'!$H$2:$H$10001,0)),"")</f>
        <v/>
      </c>
    </row>
    <row r="2161">
      <c r="A2161">
        <f>IFERROR(INDEX('Email Cleaner'!$B$2:$B$10001,MATCH(2160,'Email Cleaner'!$H$2:$H$10001,0)),"")</f>
        <v/>
      </c>
    </row>
    <row r="2162">
      <c r="A2162">
        <f>IFERROR(INDEX('Email Cleaner'!$B$2:$B$10001,MATCH(2161,'Email Cleaner'!$H$2:$H$10001,0)),"")</f>
        <v/>
      </c>
    </row>
    <row r="2163">
      <c r="A2163">
        <f>IFERROR(INDEX('Email Cleaner'!$B$2:$B$10001,MATCH(2162,'Email Cleaner'!$H$2:$H$10001,0)),"")</f>
        <v/>
      </c>
    </row>
    <row r="2164">
      <c r="A2164">
        <f>IFERROR(INDEX('Email Cleaner'!$B$2:$B$10001,MATCH(2163,'Email Cleaner'!$H$2:$H$10001,0)),"")</f>
        <v/>
      </c>
    </row>
    <row r="2165">
      <c r="A2165">
        <f>IFERROR(INDEX('Email Cleaner'!$B$2:$B$10001,MATCH(2164,'Email Cleaner'!$H$2:$H$10001,0)),"")</f>
        <v/>
      </c>
    </row>
    <row r="2166">
      <c r="A2166">
        <f>IFERROR(INDEX('Email Cleaner'!$B$2:$B$10001,MATCH(2165,'Email Cleaner'!$H$2:$H$10001,0)),"")</f>
        <v/>
      </c>
    </row>
    <row r="2167">
      <c r="A2167">
        <f>IFERROR(INDEX('Email Cleaner'!$B$2:$B$10001,MATCH(2166,'Email Cleaner'!$H$2:$H$10001,0)),"")</f>
        <v/>
      </c>
    </row>
    <row r="2168">
      <c r="A2168">
        <f>IFERROR(INDEX('Email Cleaner'!$B$2:$B$10001,MATCH(2167,'Email Cleaner'!$H$2:$H$10001,0)),"")</f>
        <v/>
      </c>
    </row>
    <row r="2169">
      <c r="A2169">
        <f>IFERROR(INDEX('Email Cleaner'!$B$2:$B$10001,MATCH(2168,'Email Cleaner'!$H$2:$H$10001,0)),"")</f>
        <v/>
      </c>
    </row>
    <row r="2170">
      <c r="A2170">
        <f>IFERROR(INDEX('Email Cleaner'!$B$2:$B$10001,MATCH(2169,'Email Cleaner'!$H$2:$H$10001,0)),"")</f>
        <v/>
      </c>
    </row>
    <row r="2171">
      <c r="A2171">
        <f>IFERROR(INDEX('Email Cleaner'!$B$2:$B$10001,MATCH(2170,'Email Cleaner'!$H$2:$H$10001,0)),"")</f>
        <v/>
      </c>
    </row>
    <row r="2172">
      <c r="A2172">
        <f>IFERROR(INDEX('Email Cleaner'!$B$2:$B$10001,MATCH(2171,'Email Cleaner'!$H$2:$H$10001,0)),"")</f>
        <v/>
      </c>
    </row>
    <row r="2173">
      <c r="A2173">
        <f>IFERROR(INDEX('Email Cleaner'!$B$2:$B$10001,MATCH(2172,'Email Cleaner'!$H$2:$H$10001,0)),"")</f>
        <v/>
      </c>
    </row>
    <row r="2174">
      <c r="A2174">
        <f>IFERROR(INDEX('Email Cleaner'!$B$2:$B$10001,MATCH(2173,'Email Cleaner'!$H$2:$H$10001,0)),"")</f>
        <v/>
      </c>
    </row>
    <row r="2175">
      <c r="A2175">
        <f>IFERROR(INDEX('Email Cleaner'!$B$2:$B$10001,MATCH(2174,'Email Cleaner'!$H$2:$H$10001,0)),"")</f>
        <v/>
      </c>
    </row>
    <row r="2176">
      <c r="A2176">
        <f>IFERROR(INDEX('Email Cleaner'!$B$2:$B$10001,MATCH(2175,'Email Cleaner'!$H$2:$H$10001,0)),"")</f>
        <v/>
      </c>
    </row>
    <row r="2177">
      <c r="A2177">
        <f>IFERROR(INDEX('Email Cleaner'!$B$2:$B$10001,MATCH(2176,'Email Cleaner'!$H$2:$H$10001,0)),"")</f>
        <v/>
      </c>
    </row>
    <row r="2178">
      <c r="A2178">
        <f>IFERROR(INDEX('Email Cleaner'!$B$2:$B$10001,MATCH(2177,'Email Cleaner'!$H$2:$H$10001,0)),"")</f>
        <v/>
      </c>
    </row>
    <row r="2179">
      <c r="A2179">
        <f>IFERROR(INDEX('Email Cleaner'!$B$2:$B$10001,MATCH(2178,'Email Cleaner'!$H$2:$H$10001,0)),"")</f>
        <v/>
      </c>
    </row>
    <row r="2180">
      <c r="A2180">
        <f>IFERROR(INDEX('Email Cleaner'!$B$2:$B$10001,MATCH(2179,'Email Cleaner'!$H$2:$H$10001,0)),"")</f>
        <v/>
      </c>
    </row>
    <row r="2181">
      <c r="A2181">
        <f>IFERROR(INDEX('Email Cleaner'!$B$2:$B$10001,MATCH(2180,'Email Cleaner'!$H$2:$H$10001,0)),"")</f>
        <v/>
      </c>
    </row>
    <row r="2182">
      <c r="A2182">
        <f>IFERROR(INDEX('Email Cleaner'!$B$2:$B$10001,MATCH(2181,'Email Cleaner'!$H$2:$H$10001,0)),"")</f>
        <v/>
      </c>
    </row>
    <row r="2183">
      <c r="A2183">
        <f>IFERROR(INDEX('Email Cleaner'!$B$2:$B$10001,MATCH(2182,'Email Cleaner'!$H$2:$H$10001,0)),"")</f>
        <v/>
      </c>
    </row>
    <row r="2184">
      <c r="A2184">
        <f>IFERROR(INDEX('Email Cleaner'!$B$2:$B$10001,MATCH(2183,'Email Cleaner'!$H$2:$H$10001,0)),"")</f>
        <v/>
      </c>
    </row>
    <row r="2185">
      <c r="A2185">
        <f>IFERROR(INDEX('Email Cleaner'!$B$2:$B$10001,MATCH(2184,'Email Cleaner'!$H$2:$H$10001,0)),"")</f>
        <v/>
      </c>
    </row>
    <row r="2186">
      <c r="A2186">
        <f>IFERROR(INDEX('Email Cleaner'!$B$2:$B$10001,MATCH(2185,'Email Cleaner'!$H$2:$H$10001,0)),"")</f>
        <v/>
      </c>
    </row>
    <row r="2187">
      <c r="A2187">
        <f>IFERROR(INDEX('Email Cleaner'!$B$2:$B$10001,MATCH(2186,'Email Cleaner'!$H$2:$H$10001,0)),"")</f>
        <v/>
      </c>
    </row>
    <row r="2188">
      <c r="A2188">
        <f>IFERROR(INDEX('Email Cleaner'!$B$2:$B$10001,MATCH(2187,'Email Cleaner'!$H$2:$H$10001,0)),"")</f>
        <v/>
      </c>
    </row>
    <row r="2189">
      <c r="A2189">
        <f>IFERROR(INDEX('Email Cleaner'!$B$2:$B$10001,MATCH(2188,'Email Cleaner'!$H$2:$H$10001,0)),"")</f>
        <v/>
      </c>
    </row>
    <row r="2190">
      <c r="A2190">
        <f>IFERROR(INDEX('Email Cleaner'!$B$2:$B$10001,MATCH(2189,'Email Cleaner'!$H$2:$H$10001,0)),"")</f>
        <v/>
      </c>
    </row>
    <row r="2191">
      <c r="A2191">
        <f>IFERROR(INDEX('Email Cleaner'!$B$2:$B$10001,MATCH(2190,'Email Cleaner'!$H$2:$H$10001,0)),"")</f>
        <v/>
      </c>
    </row>
    <row r="2192">
      <c r="A2192">
        <f>IFERROR(INDEX('Email Cleaner'!$B$2:$B$10001,MATCH(2191,'Email Cleaner'!$H$2:$H$10001,0)),"")</f>
        <v/>
      </c>
    </row>
    <row r="2193">
      <c r="A2193">
        <f>IFERROR(INDEX('Email Cleaner'!$B$2:$B$10001,MATCH(2192,'Email Cleaner'!$H$2:$H$10001,0)),"")</f>
        <v/>
      </c>
    </row>
    <row r="2194">
      <c r="A2194">
        <f>IFERROR(INDEX('Email Cleaner'!$B$2:$B$10001,MATCH(2193,'Email Cleaner'!$H$2:$H$10001,0)),"")</f>
        <v/>
      </c>
    </row>
    <row r="2195">
      <c r="A2195">
        <f>IFERROR(INDEX('Email Cleaner'!$B$2:$B$10001,MATCH(2194,'Email Cleaner'!$H$2:$H$10001,0)),"")</f>
        <v/>
      </c>
    </row>
    <row r="2196">
      <c r="A2196">
        <f>IFERROR(INDEX('Email Cleaner'!$B$2:$B$10001,MATCH(2195,'Email Cleaner'!$H$2:$H$10001,0)),"")</f>
        <v/>
      </c>
    </row>
    <row r="2197">
      <c r="A2197">
        <f>IFERROR(INDEX('Email Cleaner'!$B$2:$B$10001,MATCH(2196,'Email Cleaner'!$H$2:$H$10001,0)),"")</f>
        <v/>
      </c>
    </row>
    <row r="2198">
      <c r="A2198">
        <f>IFERROR(INDEX('Email Cleaner'!$B$2:$B$10001,MATCH(2197,'Email Cleaner'!$H$2:$H$10001,0)),"")</f>
        <v/>
      </c>
    </row>
    <row r="2199">
      <c r="A2199">
        <f>IFERROR(INDEX('Email Cleaner'!$B$2:$B$10001,MATCH(2198,'Email Cleaner'!$H$2:$H$10001,0)),"")</f>
        <v/>
      </c>
    </row>
    <row r="2200">
      <c r="A2200">
        <f>IFERROR(INDEX('Email Cleaner'!$B$2:$B$10001,MATCH(2199,'Email Cleaner'!$H$2:$H$10001,0)),"")</f>
        <v/>
      </c>
    </row>
    <row r="2201">
      <c r="A2201">
        <f>IFERROR(INDEX('Email Cleaner'!$B$2:$B$10001,MATCH(2200,'Email Cleaner'!$H$2:$H$10001,0)),"")</f>
        <v/>
      </c>
    </row>
    <row r="2202">
      <c r="A2202">
        <f>IFERROR(INDEX('Email Cleaner'!$B$2:$B$10001,MATCH(2201,'Email Cleaner'!$H$2:$H$10001,0)),"")</f>
        <v/>
      </c>
    </row>
    <row r="2203">
      <c r="A2203">
        <f>IFERROR(INDEX('Email Cleaner'!$B$2:$B$10001,MATCH(2202,'Email Cleaner'!$H$2:$H$10001,0)),"")</f>
        <v/>
      </c>
    </row>
    <row r="2204">
      <c r="A2204">
        <f>IFERROR(INDEX('Email Cleaner'!$B$2:$B$10001,MATCH(2203,'Email Cleaner'!$H$2:$H$10001,0)),"")</f>
        <v/>
      </c>
    </row>
    <row r="2205">
      <c r="A2205">
        <f>IFERROR(INDEX('Email Cleaner'!$B$2:$B$10001,MATCH(2204,'Email Cleaner'!$H$2:$H$10001,0)),"")</f>
        <v/>
      </c>
    </row>
    <row r="2206">
      <c r="A2206">
        <f>IFERROR(INDEX('Email Cleaner'!$B$2:$B$10001,MATCH(2205,'Email Cleaner'!$H$2:$H$10001,0)),"")</f>
        <v/>
      </c>
    </row>
    <row r="2207">
      <c r="A2207">
        <f>IFERROR(INDEX('Email Cleaner'!$B$2:$B$10001,MATCH(2206,'Email Cleaner'!$H$2:$H$10001,0)),"")</f>
        <v/>
      </c>
    </row>
    <row r="2208">
      <c r="A2208">
        <f>IFERROR(INDEX('Email Cleaner'!$B$2:$B$10001,MATCH(2207,'Email Cleaner'!$H$2:$H$10001,0)),"")</f>
        <v/>
      </c>
    </row>
    <row r="2209">
      <c r="A2209">
        <f>IFERROR(INDEX('Email Cleaner'!$B$2:$B$10001,MATCH(2208,'Email Cleaner'!$H$2:$H$10001,0)),"")</f>
        <v/>
      </c>
    </row>
    <row r="2210">
      <c r="A2210">
        <f>IFERROR(INDEX('Email Cleaner'!$B$2:$B$10001,MATCH(2209,'Email Cleaner'!$H$2:$H$10001,0)),"")</f>
        <v/>
      </c>
    </row>
    <row r="2211">
      <c r="A2211">
        <f>IFERROR(INDEX('Email Cleaner'!$B$2:$B$10001,MATCH(2210,'Email Cleaner'!$H$2:$H$10001,0)),"")</f>
        <v/>
      </c>
    </row>
    <row r="2212">
      <c r="A2212">
        <f>IFERROR(INDEX('Email Cleaner'!$B$2:$B$10001,MATCH(2211,'Email Cleaner'!$H$2:$H$10001,0)),"")</f>
        <v/>
      </c>
    </row>
    <row r="2213">
      <c r="A2213">
        <f>IFERROR(INDEX('Email Cleaner'!$B$2:$B$10001,MATCH(2212,'Email Cleaner'!$H$2:$H$10001,0)),"")</f>
        <v/>
      </c>
    </row>
    <row r="2214">
      <c r="A2214">
        <f>IFERROR(INDEX('Email Cleaner'!$B$2:$B$10001,MATCH(2213,'Email Cleaner'!$H$2:$H$10001,0)),"")</f>
        <v/>
      </c>
    </row>
    <row r="2215">
      <c r="A2215">
        <f>IFERROR(INDEX('Email Cleaner'!$B$2:$B$10001,MATCH(2214,'Email Cleaner'!$H$2:$H$10001,0)),"")</f>
        <v/>
      </c>
    </row>
    <row r="2216">
      <c r="A2216">
        <f>IFERROR(INDEX('Email Cleaner'!$B$2:$B$10001,MATCH(2215,'Email Cleaner'!$H$2:$H$10001,0)),"")</f>
        <v/>
      </c>
    </row>
    <row r="2217">
      <c r="A2217">
        <f>IFERROR(INDEX('Email Cleaner'!$B$2:$B$10001,MATCH(2216,'Email Cleaner'!$H$2:$H$10001,0)),"")</f>
        <v/>
      </c>
    </row>
    <row r="2218">
      <c r="A2218">
        <f>IFERROR(INDEX('Email Cleaner'!$B$2:$B$10001,MATCH(2217,'Email Cleaner'!$H$2:$H$10001,0)),"")</f>
        <v/>
      </c>
    </row>
    <row r="2219">
      <c r="A2219">
        <f>IFERROR(INDEX('Email Cleaner'!$B$2:$B$10001,MATCH(2218,'Email Cleaner'!$H$2:$H$10001,0)),"")</f>
        <v/>
      </c>
    </row>
    <row r="2220">
      <c r="A2220">
        <f>IFERROR(INDEX('Email Cleaner'!$B$2:$B$10001,MATCH(2219,'Email Cleaner'!$H$2:$H$10001,0)),"")</f>
        <v/>
      </c>
    </row>
    <row r="2221">
      <c r="A2221">
        <f>IFERROR(INDEX('Email Cleaner'!$B$2:$B$10001,MATCH(2220,'Email Cleaner'!$H$2:$H$10001,0)),"")</f>
        <v/>
      </c>
    </row>
    <row r="2222">
      <c r="A2222">
        <f>IFERROR(INDEX('Email Cleaner'!$B$2:$B$10001,MATCH(2221,'Email Cleaner'!$H$2:$H$10001,0)),"")</f>
        <v/>
      </c>
    </row>
    <row r="2223">
      <c r="A2223">
        <f>IFERROR(INDEX('Email Cleaner'!$B$2:$B$10001,MATCH(2222,'Email Cleaner'!$H$2:$H$10001,0)),"")</f>
        <v/>
      </c>
    </row>
    <row r="2224">
      <c r="A2224">
        <f>IFERROR(INDEX('Email Cleaner'!$B$2:$B$10001,MATCH(2223,'Email Cleaner'!$H$2:$H$10001,0)),"")</f>
        <v/>
      </c>
    </row>
    <row r="2225">
      <c r="A2225">
        <f>IFERROR(INDEX('Email Cleaner'!$B$2:$B$10001,MATCH(2224,'Email Cleaner'!$H$2:$H$10001,0)),"")</f>
        <v/>
      </c>
    </row>
    <row r="2226">
      <c r="A2226">
        <f>IFERROR(INDEX('Email Cleaner'!$B$2:$B$10001,MATCH(2225,'Email Cleaner'!$H$2:$H$10001,0)),"")</f>
        <v/>
      </c>
    </row>
    <row r="2227">
      <c r="A2227">
        <f>IFERROR(INDEX('Email Cleaner'!$B$2:$B$10001,MATCH(2226,'Email Cleaner'!$H$2:$H$10001,0)),"")</f>
        <v/>
      </c>
    </row>
    <row r="2228">
      <c r="A2228">
        <f>IFERROR(INDEX('Email Cleaner'!$B$2:$B$10001,MATCH(2227,'Email Cleaner'!$H$2:$H$10001,0)),"")</f>
        <v/>
      </c>
    </row>
    <row r="2229">
      <c r="A2229">
        <f>IFERROR(INDEX('Email Cleaner'!$B$2:$B$10001,MATCH(2228,'Email Cleaner'!$H$2:$H$10001,0)),"")</f>
        <v/>
      </c>
    </row>
    <row r="2230">
      <c r="A2230">
        <f>IFERROR(INDEX('Email Cleaner'!$B$2:$B$10001,MATCH(2229,'Email Cleaner'!$H$2:$H$10001,0)),"")</f>
        <v/>
      </c>
    </row>
    <row r="2231">
      <c r="A2231">
        <f>IFERROR(INDEX('Email Cleaner'!$B$2:$B$10001,MATCH(2230,'Email Cleaner'!$H$2:$H$10001,0)),"")</f>
        <v/>
      </c>
    </row>
    <row r="2232">
      <c r="A2232">
        <f>IFERROR(INDEX('Email Cleaner'!$B$2:$B$10001,MATCH(2231,'Email Cleaner'!$H$2:$H$10001,0)),"")</f>
        <v/>
      </c>
    </row>
    <row r="2233">
      <c r="A2233">
        <f>IFERROR(INDEX('Email Cleaner'!$B$2:$B$10001,MATCH(2232,'Email Cleaner'!$H$2:$H$10001,0)),"")</f>
        <v/>
      </c>
    </row>
    <row r="2234">
      <c r="A2234">
        <f>IFERROR(INDEX('Email Cleaner'!$B$2:$B$10001,MATCH(2233,'Email Cleaner'!$H$2:$H$10001,0)),"")</f>
        <v/>
      </c>
    </row>
    <row r="2235">
      <c r="A2235">
        <f>IFERROR(INDEX('Email Cleaner'!$B$2:$B$10001,MATCH(2234,'Email Cleaner'!$H$2:$H$10001,0)),"")</f>
        <v/>
      </c>
    </row>
    <row r="2236">
      <c r="A2236">
        <f>IFERROR(INDEX('Email Cleaner'!$B$2:$B$10001,MATCH(2235,'Email Cleaner'!$H$2:$H$10001,0)),"")</f>
        <v/>
      </c>
    </row>
    <row r="2237">
      <c r="A2237">
        <f>IFERROR(INDEX('Email Cleaner'!$B$2:$B$10001,MATCH(2236,'Email Cleaner'!$H$2:$H$10001,0)),"")</f>
        <v/>
      </c>
    </row>
    <row r="2238">
      <c r="A2238">
        <f>IFERROR(INDEX('Email Cleaner'!$B$2:$B$10001,MATCH(2237,'Email Cleaner'!$H$2:$H$10001,0)),"")</f>
        <v/>
      </c>
    </row>
    <row r="2239">
      <c r="A2239">
        <f>IFERROR(INDEX('Email Cleaner'!$B$2:$B$10001,MATCH(2238,'Email Cleaner'!$H$2:$H$10001,0)),"")</f>
        <v/>
      </c>
    </row>
    <row r="2240">
      <c r="A2240">
        <f>IFERROR(INDEX('Email Cleaner'!$B$2:$B$10001,MATCH(2239,'Email Cleaner'!$H$2:$H$10001,0)),"")</f>
        <v/>
      </c>
    </row>
    <row r="2241">
      <c r="A2241">
        <f>IFERROR(INDEX('Email Cleaner'!$B$2:$B$10001,MATCH(2240,'Email Cleaner'!$H$2:$H$10001,0)),"")</f>
        <v/>
      </c>
    </row>
    <row r="2242">
      <c r="A2242">
        <f>IFERROR(INDEX('Email Cleaner'!$B$2:$B$10001,MATCH(2241,'Email Cleaner'!$H$2:$H$10001,0)),"")</f>
        <v/>
      </c>
    </row>
    <row r="2243">
      <c r="A2243">
        <f>IFERROR(INDEX('Email Cleaner'!$B$2:$B$10001,MATCH(2242,'Email Cleaner'!$H$2:$H$10001,0)),"")</f>
        <v/>
      </c>
    </row>
    <row r="2244">
      <c r="A2244">
        <f>IFERROR(INDEX('Email Cleaner'!$B$2:$B$10001,MATCH(2243,'Email Cleaner'!$H$2:$H$10001,0)),"")</f>
        <v/>
      </c>
    </row>
    <row r="2245">
      <c r="A2245">
        <f>IFERROR(INDEX('Email Cleaner'!$B$2:$B$10001,MATCH(2244,'Email Cleaner'!$H$2:$H$10001,0)),"")</f>
        <v/>
      </c>
    </row>
    <row r="2246">
      <c r="A2246">
        <f>IFERROR(INDEX('Email Cleaner'!$B$2:$B$10001,MATCH(2245,'Email Cleaner'!$H$2:$H$10001,0)),"")</f>
        <v/>
      </c>
    </row>
    <row r="2247">
      <c r="A2247">
        <f>IFERROR(INDEX('Email Cleaner'!$B$2:$B$10001,MATCH(2246,'Email Cleaner'!$H$2:$H$10001,0)),"")</f>
        <v/>
      </c>
    </row>
    <row r="2248">
      <c r="A2248">
        <f>IFERROR(INDEX('Email Cleaner'!$B$2:$B$10001,MATCH(2247,'Email Cleaner'!$H$2:$H$10001,0)),"")</f>
        <v/>
      </c>
    </row>
    <row r="2249">
      <c r="A2249">
        <f>IFERROR(INDEX('Email Cleaner'!$B$2:$B$10001,MATCH(2248,'Email Cleaner'!$H$2:$H$10001,0)),"")</f>
        <v/>
      </c>
    </row>
    <row r="2250">
      <c r="A2250">
        <f>IFERROR(INDEX('Email Cleaner'!$B$2:$B$10001,MATCH(2249,'Email Cleaner'!$H$2:$H$10001,0)),"")</f>
        <v/>
      </c>
    </row>
    <row r="2251">
      <c r="A2251">
        <f>IFERROR(INDEX('Email Cleaner'!$B$2:$B$10001,MATCH(2250,'Email Cleaner'!$H$2:$H$10001,0)),"")</f>
        <v/>
      </c>
    </row>
    <row r="2252">
      <c r="A2252">
        <f>IFERROR(INDEX('Email Cleaner'!$B$2:$B$10001,MATCH(2251,'Email Cleaner'!$H$2:$H$10001,0)),"")</f>
        <v/>
      </c>
    </row>
    <row r="2253">
      <c r="A2253">
        <f>IFERROR(INDEX('Email Cleaner'!$B$2:$B$10001,MATCH(2252,'Email Cleaner'!$H$2:$H$10001,0)),"")</f>
        <v/>
      </c>
    </row>
    <row r="2254">
      <c r="A2254">
        <f>IFERROR(INDEX('Email Cleaner'!$B$2:$B$10001,MATCH(2253,'Email Cleaner'!$H$2:$H$10001,0)),"")</f>
        <v/>
      </c>
    </row>
    <row r="2255">
      <c r="A2255">
        <f>IFERROR(INDEX('Email Cleaner'!$B$2:$B$10001,MATCH(2254,'Email Cleaner'!$H$2:$H$10001,0)),"")</f>
        <v/>
      </c>
    </row>
    <row r="2256">
      <c r="A2256">
        <f>IFERROR(INDEX('Email Cleaner'!$B$2:$B$10001,MATCH(2255,'Email Cleaner'!$H$2:$H$10001,0)),"")</f>
        <v/>
      </c>
    </row>
    <row r="2257">
      <c r="A2257">
        <f>IFERROR(INDEX('Email Cleaner'!$B$2:$B$10001,MATCH(2256,'Email Cleaner'!$H$2:$H$10001,0)),"")</f>
        <v/>
      </c>
    </row>
    <row r="2258">
      <c r="A2258">
        <f>IFERROR(INDEX('Email Cleaner'!$B$2:$B$10001,MATCH(2257,'Email Cleaner'!$H$2:$H$10001,0)),"")</f>
        <v/>
      </c>
    </row>
    <row r="2259">
      <c r="A2259">
        <f>IFERROR(INDEX('Email Cleaner'!$B$2:$B$10001,MATCH(2258,'Email Cleaner'!$H$2:$H$10001,0)),"")</f>
        <v/>
      </c>
    </row>
    <row r="2260">
      <c r="A2260">
        <f>IFERROR(INDEX('Email Cleaner'!$B$2:$B$10001,MATCH(2259,'Email Cleaner'!$H$2:$H$10001,0)),"")</f>
        <v/>
      </c>
    </row>
    <row r="2261">
      <c r="A2261">
        <f>IFERROR(INDEX('Email Cleaner'!$B$2:$B$10001,MATCH(2260,'Email Cleaner'!$H$2:$H$10001,0)),"")</f>
        <v/>
      </c>
    </row>
    <row r="2262">
      <c r="A2262">
        <f>IFERROR(INDEX('Email Cleaner'!$B$2:$B$10001,MATCH(2261,'Email Cleaner'!$H$2:$H$10001,0)),"")</f>
        <v/>
      </c>
    </row>
    <row r="2263">
      <c r="A2263">
        <f>IFERROR(INDEX('Email Cleaner'!$B$2:$B$10001,MATCH(2262,'Email Cleaner'!$H$2:$H$10001,0)),"")</f>
        <v/>
      </c>
    </row>
    <row r="2264">
      <c r="A2264">
        <f>IFERROR(INDEX('Email Cleaner'!$B$2:$B$10001,MATCH(2263,'Email Cleaner'!$H$2:$H$10001,0)),"")</f>
        <v/>
      </c>
    </row>
    <row r="2265">
      <c r="A2265">
        <f>IFERROR(INDEX('Email Cleaner'!$B$2:$B$10001,MATCH(2264,'Email Cleaner'!$H$2:$H$10001,0)),"")</f>
        <v/>
      </c>
    </row>
    <row r="2266">
      <c r="A2266">
        <f>IFERROR(INDEX('Email Cleaner'!$B$2:$B$10001,MATCH(2265,'Email Cleaner'!$H$2:$H$10001,0)),"")</f>
        <v/>
      </c>
    </row>
    <row r="2267">
      <c r="A2267">
        <f>IFERROR(INDEX('Email Cleaner'!$B$2:$B$10001,MATCH(2266,'Email Cleaner'!$H$2:$H$10001,0)),"")</f>
        <v/>
      </c>
    </row>
    <row r="2268">
      <c r="A2268">
        <f>IFERROR(INDEX('Email Cleaner'!$B$2:$B$10001,MATCH(2267,'Email Cleaner'!$H$2:$H$10001,0)),"")</f>
        <v/>
      </c>
    </row>
    <row r="2269">
      <c r="A2269">
        <f>IFERROR(INDEX('Email Cleaner'!$B$2:$B$10001,MATCH(2268,'Email Cleaner'!$H$2:$H$10001,0)),"")</f>
        <v/>
      </c>
    </row>
    <row r="2270">
      <c r="A2270">
        <f>IFERROR(INDEX('Email Cleaner'!$B$2:$B$10001,MATCH(2269,'Email Cleaner'!$H$2:$H$10001,0)),"")</f>
        <v/>
      </c>
    </row>
    <row r="2271">
      <c r="A2271">
        <f>IFERROR(INDEX('Email Cleaner'!$B$2:$B$10001,MATCH(2270,'Email Cleaner'!$H$2:$H$10001,0)),"")</f>
        <v/>
      </c>
    </row>
    <row r="2272">
      <c r="A2272">
        <f>IFERROR(INDEX('Email Cleaner'!$B$2:$B$10001,MATCH(2271,'Email Cleaner'!$H$2:$H$10001,0)),"")</f>
        <v/>
      </c>
    </row>
    <row r="2273">
      <c r="A2273">
        <f>IFERROR(INDEX('Email Cleaner'!$B$2:$B$10001,MATCH(2272,'Email Cleaner'!$H$2:$H$10001,0)),"")</f>
        <v/>
      </c>
    </row>
    <row r="2274">
      <c r="A2274">
        <f>IFERROR(INDEX('Email Cleaner'!$B$2:$B$10001,MATCH(2273,'Email Cleaner'!$H$2:$H$10001,0)),"")</f>
        <v/>
      </c>
    </row>
    <row r="2275">
      <c r="A2275">
        <f>IFERROR(INDEX('Email Cleaner'!$B$2:$B$10001,MATCH(2274,'Email Cleaner'!$H$2:$H$10001,0)),"")</f>
        <v/>
      </c>
    </row>
    <row r="2276">
      <c r="A2276">
        <f>IFERROR(INDEX('Email Cleaner'!$B$2:$B$10001,MATCH(2275,'Email Cleaner'!$H$2:$H$10001,0)),"")</f>
        <v/>
      </c>
    </row>
    <row r="2277">
      <c r="A2277">
        <f>IFERROR(INDEX('Email Cleaner'!$B$2:$B$10001,MATCH(2276,'Email Cleaner'!$H$2:$H$10001,0)),"")</f>
        <v/>
      </c>
    </row>
    <row r="2278">
      <c r="A2278">
        <f>IFERROR(INDEX('Email Cleaner'!$B$2:$B$10001,MATCH(2277,'Email Cleaner'!$H$2:$H$10001,0)),"")</f>
        <v/>
      </c>
    </row>
    <row r="2279">
      <c r="A2279">
        <f>IFERROR(INDEX('Email Cleaner'!$B$2:$B$10001,MATCH(2278,'Email Cleaner'!$H$2:$H$10001,0)),"")</f>
        <v/>
      </c>
    </row>
    <row r="2280">
      <c r="A2280">
        <f>IFERROR(INDEX('Email Cleaner'!$B$2:$B$10001,MATCH(2279,'Email Cleaner'!$H$2:$H$10001,0)),"")</f>
        <v/>
      </c>
    </row>
    <row r="2281">
      <c r="A2281">
        <f>IFERROR(INDEX('Email Cleaner'!$B$2:$B$10001,MATCH(2280,'Email Cleaner'!$H$2:$H$10001,0)),"")</f>
        <v/>
      </c>
    </row>
    <row r="2282">
      <c r="A2282">
        <f>IFERROR(INDEX('Email Cleaner'!$B$2:$B$10001,MATCH(2281,'Email Cleaner'!$H$2:$H$10001,0)),"")</f>
        <v/>
      </c>
    </row>
    <row r="2283">
      <c r="A2283">
        <f>IFERROR(INDEX('Email Cleaner'!$B$2:$B$10001,MATCH(2282,'Email Cleaner'!$H$2:$H$10001,0)),"")</f>
        <v/>
      </c>
    </row>
    <row r="2284">
      <c r="A2284">
        <f>IFERROR(INDEX('Email Cleaner'!$B$2:$B$10001,MATCH(2283,'Email Cleaner'!$H$2:$H$10001,0)),"")</f>
        <v/>
      </c>
    </row>
    <row r="2285">
      <c r="A2285">
        <f>IFERROR(INDEX('Email Cleaner'!$B$2:$B$10001,MATCH(2284,'Email Cleaner'!$H$2:$H$10001,0)),"")</f>
        <v/>
      </c>
    </row>
    <row r="2286">
      <c r="A2286">
        <f>IFERROR(INDEX('Email Cleaner'!$B$2:$B$10001,MATCH(2285,'Email Cleaner'!$H$2:$H$10001,0)),"")</f>
        <v/>
      </c>
    </row>
    <row r="2287">
      <c r="A2287">
        <f>IFERROR(INDEX('Email Cleaner'!$B$2:$B$10001,MATCH(2286,'Email Cleaner'!$H$2:$H$10001,0)),"")</f>
        <v/>
      </c>
    </row>
    <row r="2288">
      <c r="A2288">
        <f>IFERROR(INDEX('Email Cleaner'!$B$2:$B$10001,MATCH(2287,'Email Cleaner'!$H$2:$H$10001,0)),"")</f>
        <v/>
      </c>
    </row>
    <row r="2289">
      <c r="A2289">
        <f>IFERROR(INDEX('Email Cleaner'!$B$2:$B$10001,MATCH(2288,'Email Cleaner'!$H$2:$H$10001,0)),"")</f>
        <v/>
      </c>
    </row>
    <row r="2290">
      <c r="A2290">
        <f>IFERROR(INDEX('Email Cleaner'!$B$2:$B$10001,MATCH(2289,'Email Cleaner'!$H$2:$H$10001,0)),"")</f>
        <v/>
      </c>
    </row>
    <row r="2291">
      <c r="A2291">
        <f>IFERROR(INDEX('Email Cleaner'!$B$2:$B$10001,MATCH(2290,'Email Cleaner'!$H$2:$H$10001,0)),"")</f>
        <v/>
      </c>
    </row>
    <row r="2292">
      <c r="A2292">
        <f>IFERROR(INDEX('Email Cleaner'!$B$2:$B$10001,MATCH(2291,'Email Cleaner'!$H$2:$H$10001,0)),"")</f>
        <v/>
      </c>
    </row>
    <row r="2293">
      <c r="A2293">
        <f>IFERROR(INDEX('Email Cleaner'!$B$2:$B$10001,MATCH(2292,'Email Cleaner'!$H$2:$H$10001,0)),"")</f>
        <v/>
      </c>
    </row>
    <row r="2294">
      <c r="A2294">
        <f>IFERROR(INDEX('Email Cleaner'!$B$2:$B$10001,MATCH(2293,'Email Cleaner'!$H$2:$H$10001,0)),"")</f>
        <v/>
      </c>
    </row>
    <row r="2295">
      <c r="A2295">
        <f>IFERROR(INDEX('Email Cleaner'!$B$2:$B$10001,MATCH(2294,'Email Cleaner'!$H$2:$H$10001,0)),"")</f>
        <v/>
      </c>
    </row>
    <row r="2296">
      <c r="A2296">
        <f>IFERROR(INDEX('Email Cleaner'!$B$2:$B$10001,MATCH(2295,'Email Cleaner'!$H$2:$H$10001,0)),"")</f>
        <v/>
      </c>
    </row>
    <row r="2297">
      <c r="A2297">
        <f>IFERROR(INDEX('Email Cleaner'!$B$2:$B$10001,MATCH(2296,'Email Cleaner'!$H$2:$H$10001,0)),"")</f>
        <v/>
      </c>
    </row>
    <row r="2298">
      <c r="A2298">
        <f>IFERROR(INDEX('Email Cleaner'!$B$2:$B$10001,MATCH(2297,'Email Cleaner'!$H$2:$H$10001,0)),"")</f>
        <v/>
      </c>
    </row>
    <row r="2299">
      <c r="A2299">
        <f>IFERROR(INDEX('Email Cleaner'!$B$2:$B$10001,MATCH(2298,'Email Cleaner'!$H$2:$H$10001,0)),"")</f>
        <v/>
      </c>
    </row>
    <row r="2300">
      <c r="A2300">
        <f>IFERROR(INDEX('Email Cleaner'!$B$2:$B$10001,MATCH(2299,'Email Cleaner'!$H$2:$H$10001,0)),"")</f>
        <v/>
      </c>
    </row>
    <row r="2301">
      <c r="A2301">
        <f>IFERROR(INDEX('Email Cleaner'!$B$2:$B$10001,MATCH(2300,'Email Cleaner'!$H$2:$H$10001,0)),"")</f>
        <v/>
      </c>
    </row>
    <row r="2302">
      <c r="A2302">
        <f>IFERROR(INDEX('Email Cleaner'!$B$2:$B$10001,MATCH(2301,'Email Cleaner'!$H$2:$H$10001,0)),"")</f>
        <v/>
      </c>
    </row>
    <row r="2303">
      <c r="A2303">
        <f>IFERROR(INDEX('Email Cleaner'!$B$2:$B$10001,MATCH(2302,'Email Cleaner'!$H$2:$H$10001,0)),"")</f>
        <v/>
      </c>
    </row>
    <row r="2304">
      <c r="A2304">
        <f>IFERROR(INDEX('Email Cleaner'!$B$2:$B$10001,MATCH(2303,'Email Cleaner'!$H$2:$H$10001,0)),"")</f>
        <v/>
      </c>
    </row>
    <row r="2305">
      <c r="A2305">
        <f>IFERROR(INDEX('Email Cleaner'!$B$2:$B$10001,MATCH(2304,'Email Cleaner'!$H$2:$H$10001,0)),"")</f>
        <v/>
      </c>
    </row>
    <row r="2306">
      <c r="A2306">
        <f>IFERROR(INDEX('Email Cleaner'!$B$2:$B$10001,MATCH(2305,'Email Cleaner'!$H$2:$H$10001,0)),"")</f>
        <v/>
      </c>
    </row>
    <row r="2307">
      <c r="A2307">
        <f>IFERROR(INDEX('Email Cleaner'!$B$2:$B$10001,MATCH(2306,'Email Cleaner'!$H$2:$H$10001,0)),"")</f>
        <v/>
      </c>
    </row>
    <row r="2308">
      <c r="A2308">
        <f>IFERROR(INDEX('Email Cleaner'!$B$2:$B$10001,MATCH(2307,'Email Cleaner'!$H$2:$H$10001,0)),"")</f>
        <v/>
      </c>
    </row>
    <row r="2309">
      <c r="A2309">
        <f>IFERROR(INDEX('Email Cleaner'!$B$2:$B$10001,MATCH(2308,'Email Cleaner'!$H$2:$H$10001,0)),"")</f>
        <v/>
      </c>
    </row>
    <row r="2310">
      <c r="A2310">
        <f>IFERROR(INDEX('Email Cleaner'!$B$2:$B$10001,MATCH(2309,'Email Cleaner'!$H$2:$H$10001,0)),"")</f>
        <v/>
      </c>
    </row>
    <row r="2311">
      <c r="A2311">
        <f>IFERROR(INDEX('Email Cleaner'!$B$2:$B$10001,MATCH(2310,'Email Cleaner'!$H$2:$H$10001,0)),"")</f>
        <v/>
      </c>
    </row>
    <row r="2312">
      <c r="A2312">
        <f>IFERROR(INDEX('Email Cleaner'!$B$2:$B$10001,MATCH(2311,'Email Cleaner'!$H$2:$H$10001,0)),"")</f>
        <v/>
      </c>
    </row>
    <row r="2313">
      <c r="A2313">
        <f>IFERROR(INDEX('Email Cleaner'!$B$2:$B$10001,MATCH(2312,'Email Cleaner'!$H$2:$H$10001,0)),"")</f>
        <v/>
      </c>
    </row>
    <row r="2314">
      <c r="A2314">
        <f>IFERROR(INDEX('Email Cleaner'!$B$2:$B$10001,MATCH(2313,'Email Cleaner'!$H$2:$H$10001,0)),"")</f>
        <v/>
      </c>
    </row>
    <row r="2315">
      <c r="A2315">
        <f>IFERROR(INDEX('Email Cleaner'!$B$2:$B$10001,MATCH(2314,'Email Cleaner'!$H$2:$H$10001,0)),"")</f>
        <v/>
      </c>
    </row>
    <row r="2316">
      <c r="A2316">
        <f>IFERROR(INDEX('Email Cleaner'!$B$2:$B$10001,MATCH(2315,'Email Cleaner'!$H$2:$H$10001,0)),"")</f>
        <v/>
      </c>
    </row>
    <row r="2317">
      <c r="A2317">
        <f>IFERROR(INDEX('Email Cleaner'!$B$2:$B$10001,MATCH(2316,'Email Cleaner'!$H$2:$H$10001,0)),"")</f>
        <v/>
      </c>
    </row>
    <row r="2318">
      <c r="A2318">
        <f>IFERROR(INDEX('Email Cleaner'!$B$2:$B$10001,MATCH(2317,'Email Cleaner'!$H$2:$H$10001,0)),"")</f>
        <v/>
      </c>
    </row>
    <row r="2319">
      <c r="A2319">
        <f>IFERROR(INDEX('Email Cleaner'!$B$2:$B$10001,MATCH(2318,'Email Cleaner'!$H$2:$H$10001,0)),"")</f>
        <v/>
      </c>
    </row>
    <row r="2320">
      <c r="A2320">
        <f>IFERROR(INDEX('Email Cleaner'!$B$2:$B$10001,MATCH(2319,'Email Cleaner'!$H$2:$H$10001,0)),"")</f>
        <v/>
      </c>
    </row>
    <row r="2321">
      <c r="A2321">
        <f>IFERROR(INDEX('Email Cleaner'!$B$2:$B$10001,MATCH(2320,'Email Cleaner'!$H$2:$H$10001,0)),"")</f>
        <v/>
      </c>
    </row>
    <row r="2322">
      <c r="A2322">
        <f>IFERROR(INDEX('Email Cleaner'!$B$2:$B$10001,MATCH(2321,'Email Cleaner'!$H$2:$H$10001,0)),"")</f>
        <v/>
      </c>
    </row>
    <row r="2323">
      <c r="A2323">
        <f>IFERROR(INDEX('Email Cleaner'!$B$2:$B$10001,MATCH(2322,'Email Cleaner'!$H$2:$H$10001,0)),"")</f>
        <v/>
      </c>
    </row>
    <row r="2324">
      <c r="A2324">
        <f>IFERROR(INDEX('Email Cleaner'!$B$2:$B$10001,MATCH(2323,'Email Cleaner'!$H$2:$H$10001,0)),"")</f>
        <v/>
      </c>
    </row>
    <row r="2325">
      <c r="A2325">
        <f>IFERROR(INDEX('Email Cleaner'!$B$2:$B$10001,MATCH(2324,'Email Cleaner'!$H$2:$H$10001,0)),"")</f>
        <v/>
      </c>
    </row>
    <row r="2326">
      <c r="A2326">
        <f>IFERROR(INDEX('Email Cleaner'!$B$2:$B$10001,MATCH(2325,'Email Cleaner'!$H$2:$H$10001,0)),"")</f>
        <v/>
      </c>
    </row>
    <row r="2327">
      <c r="A2327">
        <f>IFERROR(INDEX('Email Cleaner'!$B$2:$B$10001,MATCH(2326,'Email Cleaner'!$H$2:$H$10001,0)),"")</f>
        <v/>
      </c>
    </row>
    <row r="2328">
      <c r="A2328">
        <f>IFERROR(INDEX('Email Cleaner'!$B$2:$B$10001,MATCH(2327,'Email Cleaner'!$H$2:$H$10001,0)),"")</f>
        <v/>
      </c>
    </row>
    <row r="2329">
      <c r="A2329">
        <f>IFERROR(INDEX('Email Cleaner'!$B$2:$B$10001,MATCH(2328,'Email Cleaner'!$H$2:$H$10001,0)),"")</f>
        <v/>
      </c>
    </row>
    <row r="2330">
      <c r="A2330">
        <f>IFERROR(INDEX('Email Cleaner'!$B$2:$B$10001,MATCH(2329,'Email Cleaner'!$H$2:$H$10001,0)),"")</f>
        <v/>
      </c>
    </row>
    <row r="2331">
      <c r="A2331">
        <f>IFERROR(INDEX('Email Cleaner'!$B$2:$B$10001,MATCH(2330,'Email Cleaner'!$H$2:$H$10001,0)),"")</f>
        <v/>
      </c>
    </row>
    <row r="2332">
      <c r="A2332">
        <f>IFERROR(INDEX('Email Cleaner'!$B$2:$B$10001,MATCH(2331,'Email Cleaner'!$H$2:$H$10001,0)),"")</f>
        <v/>
      </c>
    </row>
    <row r="2333">
      <c r="A2333">
        <f>IFERROR(INDEX('Email Cleaner'!$B$2:$B$10001,MATCH(2332,'Email Cleaner'!$H$2:$H$10001,0)),"")</f>
        <v/>
      </c>
    </row>
    <row r="2334">
      <c r="A2334">
        <f>IFERROR(INDEX('Email Cleaner'!$B$2:$B$10001,MATCH(2333,'Email Cleaner'!$H$2:$H$10001,0)),"")</f>
        <v/>
      </c>
    </row>
    <row r="2335">
      <c r="A2335">
        <f>IFERROR(INDEX('Email Cleaner'!$B$2:$B$10001,MATCH(2334,'Email Cleaner'!$H$2:$H$10001,0)),"")</f>
        <v/>
      </c>
    </row>
    <row r="2336">
      <c r="A2336">
        <f>IFERROR(INDEX('Email Cleaner'!$B$2:$B$10001,MATCH(2335,'Email Cleaner'!$H$2:$H$10001,0)),"")</f>
        <v/>
      </c>
    </row>
    <row r="2337">
      <c r="A2337">
        <f>IFERROR(INDEX('Email Cleaner'!$B$2:$B$10001,MATCH(2336,'Email Cleaner'!$H$2:$H$10001,0)),"")</f>
        <v/>
      </c>
    </row>
    <row r="2338">
      <c r="A2338">
        <f>IFERROR(INDEX('Email Cleaner'!$B$2:$B$10001,MATCH(2337,'Email Cleaner'!$H$2:$H$10001,0)),"")</f>
        <v/>
      </c>
    </row>
    <row r="2339">
      <c r="A2339">
        <f>IFERROR(INDEX('Email Cleaner'!$B$2:$B$10001,MATCH(2338,'Email Cleaner'!$H$2:$H$10001,0)),"")</f>
        <v/>
      </c>
    </row>
    <row r="2340">
      <c r="A2340">
        <f>IFERROR(INDEX('Email Cleaner'!$B$2:$B$10001,MATCH(2339,'Email Cleaner'!$H$2:$H$10001,0)),"")</f>
        <v/>
      </c>
    </row>
    <row r="2341">
      <c r="A2341">
        <f>IFERROR(INDEX('Email Cleaner'!$B$2:$B$10001,MATCH(2340,'Email Cleaner'!$H$2:$H$10001,0)),"")</f>
        <v/>
      </c>
    </row>
    <row r="2342">
      <c r="A2342">
        <f>IFERROR(INDEX('Email Cleaner'!$B$2:$B$10001,MATCH(2341,'Email Cleaner'!$H$2:$H$10001,0)),"")</f>
        <v/>
      </c>
    </row>
    <row r="2343">
      <c r="A2343">
        <f>IFERROR(INDEX('Email Cleaner'!$B$2:$B$10001,MATCH(2342,'Email Cleaner'!$H$2:$H$10001,0)),"")</f>
        <v/>
      </c>
    </row>
    <row r="2344">
      <c r="A2344">
        <f>IFERROR(INDEX('Email Cleaner'!$B$2:$B$10001,MATCH(2343,'Email Cleaner'!$H$2:$H$10001,0)),"")</f>
        <v/>
      </c>
    </row>
    <row r="2345">
      <c r="A2345">
        <f>IFERROR(INDEX('Email Cleaner'!$B$2:$B$10001,MATCH(2344,'Email Cleaner'!$H$2:$H$10001,0)),"")</f>
        <v/>
      </c>
    </row>
    <row r="2346">
      <c r="A2346">
        <f>IFERROR(INDEX('Email Cleaner'!$B$2:$B$10001,MATCH(2345,'Email Cleaner'!$H$2:$H$10001,0)),"")</f>
        <v/>
      </c>
    </row>
    <row r="2347">
      <c r="A2347">
        <f>IFERROR(INDEX('Email Cleaner'!$B$2:$B$10001,MATCH(2346,'Email Cleaner'!$H$2:$H$10001,0)),"")</f>
        <v/>
      </c>
    </row>
    <row r="2348">
      <c r="A2348">
        <f>IFERROR(INDEX('Email Cleaner'!$B$2:$B$10001,MATCH(2347,'Email Cleaner'!$H$2:$H$10001,0)),"")</f>
        <v/>
      </c>
    </row>
    <row r="2349">
      <c r="A2349">
        <f>IFERROR(INDEX('Email Cleaner'!$B$2:$B$10001,MATCH(2348,'Email Cleaner'!$H$2:$H$10001,0)),"")</f>
        <v/>
      </c>
    </row>
    <row r="2350">
      <c r="A2350">
        <f>IFERROR(INDEX('Email Cleaner'!$B$2:$B$10001,MATCH(2349,'Email Cleaner'!$H$2:$H$10001,0)),"")</f>
        <v/>
      </c>
    </row>
    <row r="2351">
      <c r="A2351">
        <f>IFERROR(INDEX('Email Cleaner'!$B$2:$B$10001,MATCH(2350,'Email Cleaner'!$H$2:$H$10001,0)),"")</f>
        <v/>
      </c>
    </row>
    <row r="2352">
      <c r="A2352">
        <f>IFERROR(INDEX('Email Cleaner'!$B$2:$B$10001,MATCH(2351,'Email Cleaner'!$H$2:$H$10001,0)),"")</f>
        <v/>
      </c>
    </row>
    <row r="2353">
      <c r="A2353">
        <f>IFERROR(INDEX('Email Cleaner'!$B$2:$B$10001,MATCH(2352,'Email Cleaner'!$H$2:$H$10001,0)),"")</f>
        <v/>
      </c>
    </row>
    <row r="2354">
      <c r="A2354">
        <f>IFERROR(INDEX('Email Cleaner'!$B$2:$B$10001,MATCH(2353,'Email Cleaner'!$H$2:$H$10001,0)),"")</f>
        <v/>
      </c>
    </row>
    <row r="2355">
      <c r="A2355">
        <f>IFERROR(INDEX('Email Cleaner'!$B$2:$B$10001,MATCH(2354,'Email Cleaner'!$H$2:$H$10001,0)),"")</f>
        <v/>
      </c>
    </row>
    <row r="2356">
      <c r="A2356">
        <f>IFERROR(INDEX('Email Cleaner'!$B$2:$B$10001,MATCH(2355,'Email Cleaner'!$H$2:$H$10001,0)),"")</f>
        <v/>
      </c>
    </row>
    <row r="2357">
      <c r="A2357">
        <f>IFERROR(INDEX('Email Cleaner'!$B$2:$B$10001,MATCH(2356,'Email Cleaner'!$H$2:$H$10001,0)),"")</f>
        <v/>
      </c>
    </row>
    <row r="2358">
      <c r="A2358">
        <f>IFERROR(INDEX('Email Cleaner'!$B$2:$B$10001,MATCH(2357,'Email Cleaner'!$H$2:$H$10001,0)),"")</f>
        <v/>
      </c>
    </row>
    <row r="2359">
      <c r="A2359">
        <f>IFERROR(INDEX('Email Cleaner'!$B$2:$B$10001,MATCH(2358,'Email Cleaner'!$H$2:$H$10001,0)),"")</f>
        <v/>
      </c>
    </row>
    <row r="2360">
      <c r="A2360">
        <f>IFERROR(INDEX('Email Cleaner'!$B$2:$B$10001,MATCH(2359,'Email Cleaner'!$H$2:$H$10001,0)),"")</f>
        <v/>
      </c>
    </row>
    <row r="2361">
      <c r="A2361">
        <f>IFERROR(INDEX('Email Cleaner'!$B$2:$B$10001,MATCH(2360,'Email Cleaner'!$H$2:$H$10001,0)),"")</f>
        <v/>
      </c>
    </row>
    <row r="2362">
      <c r="A2362">
        <f>IFERROR(INDEX('Email Cleaner'!$B$2:$B$10001,MATCH(2361,'Email Cleaner'!$H$2:$H$10001,0)),"")</f>
        <v/>
      </c>
    </row>
    <row r="2363">
      <c r="A2363">
        <f>IFERROR(INDEX('Email Cleaner'!$B$2:$B$10001,MATCH(2362,'Email Cleaner'!$H$2:$H$10001,0)),"")</f>
        <v/>
      </c>
    </row>
    <row r="2364">
      <c r="A2364">
        <f>IFERROR(INDEX('Email Cleaner'!$B$2:$B$10001,MATCH(2363,'Email Cleaner'!$H$2:$H$10001,0)),"")</f>
        <v/>
      </c>
    </row>
    <row r="2365">
      <c r="A2365">
        <f>IFERROR(INDEX('Email Cleaner'!$B$2:$B$10001,MATCH(2364,'Email Cleaner'!$H$2:$H$10001,0)),"")</f>
        <v/>
      </c>
    </row>
    <row r="2366">
      <c r="A2366">
        <f>IFERROR(INDEX('Email Cleaner'!$B$2:$B$10001,MATCH(2365,'Email Cleaner'!$H$2:$H$10001,0)),"")</f>
        <v/>
      </c>
    </row>
    <row r="2367">
      <c r="A2367">
        <f>IFERROR(INDEX('Email Cleaner'!$B$2:$B$10001,MATCH(2366,'Email Cleaner'!$H$2:$H$10001,0)),"")</f>
        <v/>
      </c>
    </row>
    <row r="2368">
      <c r="A2368">
        <f>IFERROR(INDEX('Email Cleaner'!$B$2:$B$10001,MATCH(2367,'Email Cleaner'!$H$2:$H$10001,0)),"")</f>
        <v/>
      </c>
    </row>
    <row r="2369">
      <c r="A2369">
        <f>IFERROR(INDEX('Email Cleaner'!$B$2:$B$10001,MATCH(2368,'Email Cleaner'!$H$2:$H$10001,0)),"")</f>
        <v/>
      </c>
    </row>
    <row r="2370">
      <c r="A2370">
        <f>IFERROR(INDEX('Email Cleaner'!$B$2:$B$10001,MATCH(2369,'Email Cleaner'!$H$2:$H$10001,0)),"")</f>
        <v/>
      </c>
    </row>
    <row r="2371">
      <c r="A2371">
        <f>IFERROR(INDEX('Email Cleaner'!$B$2:$B$10001,MATCH(2370,'Email Cleaner'!$H$2:$H$10001,0)),"")</f>
        <v/>
      </c>
    </row>
    <row r="2372">
      <c r="A2372">
        <f>IFERROR(INDEX('Email Cleaner'!$B$2:$B$10001,MATCH(2371,'Email Cleaner'!$H$2:$H$10001,0)),"")</f>
        <v/>
      </c>
    </row>
    <row r="2373">
      <c r="A2373">
        <f>IFERROR(INDEX('Email Cleaner'!$B$2:$B$10001,MATCH(2372,'Email Cleaner'!$H$2:$H$10001,0)),"")</f>
        <v/>
      </c>
    </row>
    <row r="2374">
      <c r="A2374">
        <f>IFERROR(INDEX('Email Cleaner'!$B$2:$B$10001,MATCH(2373,'Email Cleaner'!$H$2:$H$10001,0)),"")</f>
        <v/>
      </c>
    </row>
    <row r="2375">
      <c r="A2375">
        <f>IFERROR(INDEX('Email Cleaner'!$B$2:$B$10001,MATCH(2374,'Email Cleaner'!$H$2:$H$10001,0)),"")</f>
        <v/>
      </c>
    </row>
    <row r="2376">
      <c r="A2376">
        <f>IFERROR(INDEX('Email Cleaner'!$B$2:$B$10001,MATCH(2375,'Email Cleaner'!$H$2:$H$10001,0)),"")</f>
        <v/>
      </c>
    </row>
    <row r="2377">
      <c r="A2377">
        <f>IFERROR(INDEX('Email Cleaner'!$B$2:$B$10001,MATCH(2376,'Email Cleaner'!$H$2:$H$10001,0)),"")</f>
        <v/>
      </c>
    </row>
    <row r="2378">
      <c r="A2378">
        <f>IFERROR(INDEX('Email Cleaner'!$B$2:$B$10001,MATCH(2377,'Email Cleaner'!$H$2:$H$10001,0)),"")</f>
        <v/>
      </c>
    </row>
    <row r="2379">
      <c r="A2379">
        <f>IFERROR(INDEX('Email Cleaner'!$B$2:$B$10001,MATCH(2378,'Email Cleaner'!$H$2:$H$10001,0)),"")</f>
        <v/>
      </c>
    </row>
    <row r="2380">
      <c r="A2380">
        <f>IFERROR(INDEX('Email Cleaner'!$B$2:$B$10001,MATCH(2379,'Email Cleaner'!$H$2:$H$10001,0)),"")</f>
        <v/>
      </c>
    </row>
    <row r="2381">
      <c r="A2381">
        <f>IFERROR(INDEX('Email Cleaner'!$B$2:$B$10001,MATCH(2380,'Email Cleaner'!$H$2:$H$10001,0)),"")</f>
        <v/>
      </c>
    </row>
    <row r="2382">
      <c r="A2382">
        <f>IFERROR(INDEX('Email Cleaner'!$B$2:$B$10001,MATCH(2381,'Email Cleaner'!$H$2:$H$10001,0)),"")</f>
        <v/>
      </c>
    </row>
    <row r="2383">
      <c r="A2383">
        <f>IFERROR(INDEX('Email Cleaner'!$B$2:$B$10001,MATCH(2382,'Email Cleaner'!$H$2:$H$10001,0)),"")</f>
        <v/>
      </c>
    </row>
    <row r="2384">
      <c r="A2384">
        <f>IFERROR(INDEX('Email Cleaner'!$B$2:$B$10001,MATCH(2383,'Email Cleaner'!$H$2:$H$10001,0)),"")</f>
        <v/>
      </c>
    </row>
    <row r="2385">
      <c r="A2385">
        <f>IFERROR(INDEX('Email Cleaner'!$B$2:$B$10001,MATCH(2384,'Email Cleaner'!$H$2:$H$10001,0)),"")</f>
        <v/>
      </c>
    </row>
    <row r="2386">
      <c r="A2386">
        <f>IFERROR(INDEX('Email Cleaner'!$B$2:$B$10001,MATCH(2385,'Email Cleaner'!$H$2:$H$10001,0)),"")</f>
        <v/>
      </c>
    </row>
    <row r="2387">
      <c r="A2387">
        <f>IFERROR(INDEX('Email Cleaner'!$B$2:$B$10001,MATCH(2386,'Email Cleaner'!$H$2:$H$10001,0)),"")</f>
        <v/>
      </c>
    </row>
    <row r="2388">
      <c r="A2388">
        <f>IFERROR(INDEX('Email Cleaner'!$B$2:$B$10001,MATCH(2387,'Email Cleaner'!$H$2:$H$10001,0)),"")</f>
        <v/>
      </c>
    </row>
    <row r="2389">
      <c r="A2389">
        <f>IFERROR(INDEX('Email Cleaner'!$B$2:$B$10001,MATCH(2388,'Email Cleaner'!$H$2:$H$10001,0)),"")</f>
        <v/>
      </c>
    </row>
    <row r="2390">
      <c r="A2390">
        <f>IFERROR(INDEX('Email Cleaner'!$B$2:$B$10001,MATCH(2389,'Email Cleaner'!$H$2:$H$10001,0)),"")</f>
        <v/>
      </c>
    </row>
    <row r="2391">
      <c r="A2391">
        <f>IFERROR(INDEX('Email Cleaner'!$B$2:$B$10001,MATCH(2390,'Email Cleaner'!$H$2:$H$10001,0)),"")</f>
        <v/>
      </c>
    </row>
    <row r="2392">
      <c r="A2392">
        <f>IFERROR(INDEX('Email Cleaner'!$B$2:$B$10001,MATCH(2391,'Email Cleaner'!$H$2:$H$10001,0)),"")</f>
        <v/>
      </c>
    </row>
    <row r="2393">
      <c r="A2393">
        <f>IFERROR(INDEX('Email Cleaner'!$B$2:$B$10001,MATCH(2392,'Email Cleaner'!$H$2:$H$10001,0)),"")</f>
        <v/>
      </c>
    </row>
    <row r="2394">
      <c r="A2394">
        <f>IFERROR(INDEX('Email Cleaner'!$B$2:$B$10001,MATCH(2393,'Email Cleaner'!$H$2:$H$10001,0)),"")</f>
        <v/>
      </c>
    </row>
    <row r="2395">
      <c r="A2395">
        <f>IFERROR(INDEX('Email Cleaner'!$B$2:$B$10001,MATCH(2394,'Email Cleaner'!$H$2:$H$10001,0)),"")</f>
        <v/>
      </c>
    </row>
    <row r="2396">
      <c r="A2396">
        <f>IFERROR(INDEX('Email Cleaner'!$B$2:$B$10001,MATCH(2395,'Email Cleaner'!$H$2:$H$10001,0)),"")</f>
        <v/>
      </c>
    </row>
    <row r="2397">
      <c r="A2397">
        <f>IFERROR(INDEX('Email Cleaner'!$B$2:$B$10001,MATCH(2396,'Email Cleaner'!$H$2:$H$10001,0)),"")</f>
        <v/>
      </c>
    </row>
    <row r="2398">
      <c r="A2398">
        <f>IFERROR(INDEX('Email Cleaner'!$B$2:$B$10001,MATCH(2397,'Email Cleaner'!$H$2:$H$10001,0)),"")</f>
        <v/>
      </c>
    </row>
    <row r="2399">
      <c r="A2399">
        <f>IFERROR(INDEX('Email Cleaner'!$B$2:$B$10001,MATCH(2398,'Email Cleaner'!$H$2:$H$10001,0)),"")</f>
        <v/>
      </c>
    </row>
    <row r="2400">
      <c r="A2400">
        <f>IFERROR(INDEX('Email Cleaner'!$B$2:$B$10001,MATCH(2399,'Email Cleaner'!$H$2:$H$10001,0)),"")</f>
        <v/>
      </c>
    </row>
    <row r="2401">
      <c r="A2401">
        <f>IFERROR(INDEX('Email Cleaner'!$B$2:$B$10001,MATCH(2400,'Email Cleaner'!$H$2:$H$10001,0)),"")</f>
        <v/>
      </c>
    </row>
    <row r="2402">
      <c r="A2402">
        <f>IFERROR(INDEX('Email Cleaner'!$B$2:$B$10001,MATCH(2401,'Email Cleaner'!$H$2:$H$10001,0)),"")</f>
        <v/>
      </c>
    </row>
    <row r="2403">
      <c r="A2403">
        <f>IFERROR(INDEX('Email Cleaner'!$B$2:$B$10001,MATCH(2402,'Email Cleaner'!$H$2:$H$10001,0)),"")</f>
        <v/>
      </c>
    </row>
    <row r="2404">
      <c r="A2404">
        <f>IFERROR(INDEX('Email Cleaner'!$B$2:$B$10001,MATCH(2403,'Email Cleaner'!$H$2:$H$10001,0)),"")</f>
        <v/>
      </c>
    </row>
    <row r="2405">
      <c r="A2405">
        <f>IFERROR(INDEX('Email Cleaner'!$B$2:$B$10001,MATCH(2404,'Email Cleaner'!$H$2:$H$10001,0)),"")</f>
        <v/>
      </c>
    </row>
    <row r="2406">
      <c r="A2406">
        <f>IFERROR(INDEX('Email Cleaner'!$B$2:$B$10001,MATCH(2405,'Email Cleaner'!$H$2:$H$10001,0)),"")</f>
        <v/>
      </c>
    </row>
    <row r="2407">
      <c r="A2407">
        <f>IFERROR(INDEX('Email Cleaner'!$B$2:$B$10001,MATCH(2406,'Email Cleaner'!$H$2:$H$10001,0)),"")</f>
        <v/>
      </c>
    </row>
    <row r="2408">
      <c r="A2408">
        <f>IFERROR(INDEX('Email Cleaner'!$B$2:$B$10001,MATCH(2407,'Email Cleaner'!$H$2:$H$10001,0)),"")</f>
        <v/>
      </c>
    </row>
    <row r="2409">
      <c r="A2409">
        <f>IFERROR(INDEX('Email Cleaner'!$B$2:$B$10001,MATCH(2408,'Email Cleaner'!$H$2:$H$10001,0)),"")</f>
        <v/>
      </c>
    </row>
    <row r="2410">
      <c r="A2410">
        <f>IFERROR(INDEX('Email Cleaner'!$B$2:$B$10001,MATCH(2409,'Email Cleaner'!$H$2:$H$10001,0)),"")</f>
        <v/>
      </c>
    </row>
    <row r="2411">
      <c r="A2411">
        <f>IFERROR(INDEX('Email Cleaner'!$B$2:$B$10001,MATCH(2410,'Email Cleaner'!$H$2:$H$10001,0)),"")</f>
        <v/>
      </c>
    </row>
    <row r="2412">
      <c r="A2412">
        <f>IFERROR(INDEX('Email Cleaner'!$B$2:$B$10001,MATCH(2411,'Email Cleaner'!$H$2:$H$10001,0)),"")</f>
        <v/>
      </c>
    </row>
    <row r="2413">
      <c r="A2413">
        <f>IFERROR(INDEX('Email Cleaner'!$B$2:$B$10001,MATCH(2412,'Email Cleaner'!$H$2:$H$10001,0)),"")</f>
        <v/>
      </c>
    </row>
    <row r="2414">
      <c r="A2414">
        <f>IFERROR(INDEX('Email Cleaner'!$B$2:$B$10001,MATCH(2413,'Email Cleaner'!$H$2:$H$10001,0)),"")</f>
        <v/>
      </c>
    </row>
    <row r="2415">
      <c r="A2415">
        <f>IFERROR(INDEX('Email Cleaner'!$B$2:$B$10001,MATCH(2414,'Email Cleaner'!$H$2:$H$10001,0)),"")</f>
        <v/>
      </c>
    </row>
    <row r="2416">
      <c r="A2416">
        <f>IFERROR(INDEX('Email Cleaner'!$B$2:$B$10001,MATCH(2415,'Email Cleaner'!$H$2:$H$10001,0)),"")</f>
        <v/>
      </c>
    </row>
    <row r="2417">
      <c r="A2417">
        <f>IFERROR(INDEX('Email Cleaner'!$B$2:$B$10001,MATCH(2416,'Email Cleaner'!$H$2:$H$10001,0)),"")</f>
        <v/>
      </c>
    </row>
    <row r="2418">
      <c r="A2418">
        <f>IFERROR(INDEX('Email Cleaner'!$B$2:$B$10001,MATCH(2417,'Email Cleaner'!$H$2:$H$10001,0)),"")</f>
        <v/>
      </c>
    </row>
    <row r="2419">
      <c r="A2419">
        <f>IFERROR(INDEX('Email Cleaner'!$B$2:$B$10001,MATCH(2418,'Email Cleaner'!$H$2:$H$10001,0)),"")</f>
        <v/>
      </c>
    </row>
    <row r="2420">
      <c r="A2420">
        <f>IFERROR(INDEX('Email Cleaner'!$B$2:$B$10001,MATCH(2419,'Email Cleaner'!$H$2:$H$10001,0)),"")</f>
        <v/>
      </c>
    </row>
    <row r="2421">
      <c r="A2421">
        <f>IFERROR(INDEX('Email Cleaner'!$B$2:$B$10001,MATCH(2420,'Email Cleaner'!$H$2:$H$10001,0)),"")</f>
        <v/>
      </c>
    </row>
    <row r="2422">
      <c r="A2422">
        <f>IFERROR(INDEX('Email Cleaner'!$B$2:$B$10001,MATCH(2421,'Email Cleaner'!$H$2:$H$10001,0)),"")</f>
        <v/>
      </c>
    </row>
    <row r="2423">
      <c r="A2423">
        <f>IFERROR(INDEX('Email Cleaner'!$B$2:$B$10001,MATCH(2422,'Email Cleaner'!$H$2:$H$10001,0)),"")</f>
        <v/>
      </c>
    </row>
    <row r="2424">
      <c r="A2424">
        <f>IFERROR(INDEX('Email Cleaner'!$B$2:$B$10001,MATCH(2423,'Email Cleaner'!$H$2:$H$10001,0)),"")</f>
        <v/>
      </c>
    </row>
    <row r="2425">
      <c r="A2425">
        <f>IFERROR(INDEX('Email Cleaner'!$B$2:$B$10001,MATCH(2424,'Email Cleaner'!$H$2:$H$10001,0)),"")</f>
        <v/>
      </c>
    </row>
    <row r="2426">
      <c r="A2426">
        <f>IFERROR(INDEX('Email Cleaner'!$B$2:$B$10001,MATCH(2425,'Email Cleaner'!$H$2:$H$10001,0)),"")</f>
        <v/>
      </c>
    </row>
    <row r="2427">
      <c r="A2427">
        <f>IFERROR(INDEX('Email Cleaner'!$B$2:$B$10001,MATCH(2426,'Email Cleaner'!$H$2:$H$10001,0)),"")</f>
        <v/>
      </c>
    </row>
    <row r="2428">
      <c r="A2428">
        <f>IFERROR(INDEX('Email Cleaner'!$B$2:$B$10001,MATCH(2427,'Email Cleaner'!$H$2:$H$10001,0)),"")</f>
        <v/>
      </c>
    </row>
    <row r="2429">
      <c r="A2429">
        <f>IFERROR(INDEX('Email Cleaner'!$B$2:$B$10001,MATCH(2428,'Email Cleaner'!$H$2:$H$10001,0)),"")</f>
        <v/>
      </c>
    </row>
    <row r="2430">
      <c r="A2430">
        <f>IFERROR(INDEX('Email Cleaner'!$B$2:$B$10001,MATCH(2429,'Email Cleaner'!$H$2:$H$10001,0)),"")</f>
        <v/>
      </c>
    </row>
    <row r="2431">
      <c r="A2431">
        <f>IFERROR(INDEX('Email Cleaner'!$B$2:$B$10001,MATCH(2430,'Email Cleaner'!$H$2:$H$10001,0)),"")</f>
        <v/>
      </c>
    </row>
    <row r="2432">
      <c r="A2432">
        <f>IFERROR(INDEX('Email Cleaner'!$B$2:$B$10001,MATCH(2431,'Email Cleaner'!$H$2:$H$10001,0)),"")</f>
        <v/>
      </c>
    </row>
    <row r="2433">
      <c r="A2433">
        <f>IFERROR(INDEX('Email Cleaner'!$B$2:$B$10001,MATCH(2432,'Email Cleaner'!$H$2:$H$10001,0)),"")</f>
        <v/>
      </c>
    </row>
    <row r="2434">
      <c r="A2434">
        <f>IFERROR(INDEX('Email Cleaner'!$B$2:$B$10001,MATCH(2433,'Email Cleaner'!$H$2:$H$10001,0)),"")</f>
        <v/>
      </c>
    </row>
    <row r="2435">
      <c r="A2435">
        <f>IFERROR(INDEX('Email Cleaner'!$B$2:$B$10001,MATCH(2434,'Email Cleaner'!$H$2:$H$10001,0)),"")</f>
        <v/>
      </c>
    </row>
    <row r="2436">
      <c r="A2436">
        <f>IFERROR(INDEX('Email Cleaner'!$B$2:$B$10001,MATCH(2435,'Email Cleaner'!$H$2:$H$10001,0)),"")</f>
        <v/>
      </c>
    </row>
    <row r="2437">
      <c r="A2437">
        <f>IFERROR(INDEX('Email Cleaner'!$B$2:$B$10001,MATCH(2436,'Email Cleaner'!$H$2:$H$10001,0)),"")</f>
        <v/>
      </c>
    </row>
    <row r="2438">
      <c r="A2438">
        <f>IFERROR(INDEX('Email Cleaner'!$B$2:$B$10001,MATCH(2437,'Email Cleaner'!$H$2:$H$10001,0)),"")</f>
        <v/>
      </c>
    </row>
    <row r="2439">
      <c r="A2439">
        <f>IFERROR(INDEX('Email Cleaner'!$B$2:$B$10001,MATCH(2438,'Email Cleaner'!$H$2:$H$10001,0)),"")</f>
        <v/>
      </c>
    </row>
    <row r="2440">
      <c r="A2440">
        <f>IFERROR(INDEX('Email Cleaner'!$B$2:$B$10001,MATCH(2439,'Email Cleaner'!$H$2:$H$10001,0)),"")</f>
        <v/>
      </c>
    </row>
    <row r="2441">
      <c r="A2441">
        <f>IFERROR(INDEX('Email Cleaner'!$B$2:$B$10001,MATCH(2440,'Email Cleaner'!$H$2:$H$10001,0)),"")</f>
        <v/>
      </c>
    </row>
    <row r="2442">
      <c r="A2442">
        <f>IFERROR(INDEX('Email Cleaner'!$B$2:$B$10001,MATCH(2441,'Email Cleaner'!$H$2:$H$10001,0)),"")</f>
        <v/>
      </c>
    </row>
    <row r="2443">
      <c r="A2443">
        <f>IFERROR(INDEX('Email Cleaner'!$B$2:$B$10001,MATCH(2442,'Email Cleaner'!$H$2:$H$10001,0)),"")</f>
        <v/>
      </c>
    </row>
    <row r="2444">
      <c r="A2444">
        <f>IFERROR(INDEX('Email Cleaner'!$B$2:$B$10001,MATCH(2443,'Email Cleaner'!$H$2:$H$10001,0)),"")</f>
        <v/>
      </c>
    </row>
    <row r="2445">
      <c r="A2445">
        <f>IFERROR(INDEX('Email Cleaner'!$B$2:$B$10001,MATCH(2444,'Email Cleaner'!$H$2:$H$10001,0)),"")</f>
        <v/>
      </c>
    </row>
    <row r="2446">
      <c r="A2446">
        <f>IFERROR(INDEX('Email Cleaner'!$B$2:$B$10001,MATCH(2445,'Email Cleaner'!$H$2:$H$10001,0)),"")</f>
        <v/>
      </c>
    </row>
    <row r="2447">
      <c r="A2447">
        <f>IFERROR(INDEX('Email Cleaner'!$B$2:$B$10001,MATCH(2446,'Email Cleaner'!$H$2:$H$10001,0)),"")</f>
        <v/>
      </c>
    </row>
    <row r="2448">
      <c r="A2448">
        <f>IFERROR(INDEX('Email Cleaner'!$B$2:$B$10001,MATCH(2447,'Email Cleaner'!$H$2:$H$10001,0)),"")</f>
        <v/>
      </c>
    </row>
    <row r="2449">
      <c r="A2449">
        <f>IFERROR(INDEX('Email Cleaner'!$B$2:$B$10001,MATCH(2448,'Email Cleaner'!$H$2:$H$10001,0)),"")</f>
        <v/>
      </c>
    </row>
    <row r="2450">
      <c r="A2450">
        <f>IFERROR(INDEX('Email Cleaner'!$B$2:$B$10001,MATCH(2449,'Email Cleaner'!$H$2:$H$10001,0)),"")</f>
        <v/>
      </c>
    </row>
    <row r="2451">
      <c r="A2451">
        <f>IFERROR(INDEX('Email Cleaner'!$B$2:$B$10001,MATCH(2450,'Email Cleaner'!$H$2:$H$10001,0)),"")</f>
        <v/>
      </c>
    </row>
    <row r="2452">
      <c r="A2452">
        <f>IFERROR(INDEX('Email Cleaner'!$B$2:$B$10001,MATCH(2451,'Email Cleaner'!$H$2:$H$10001,0)),"")</f>
        <v/>
      </c>
    </row>
    <row r="2453">
      <c r="A2453">
        <f>IFERROR(INDEX('Email Cleaner'!$B$2:$B$10001,MATCH(2452,'Email Cleaner'!$H$2:$H$10001,0)),"")</f>
        <v/>
      </c>
    </row>
    <row r="2454">
      <c r="A2454">
        <f>IFERROR(INDEX('Email Cleaner'!$B$2:$B$10001,MATCH(2453,'Email Cleaner'!$H$2:$H$10001,0)),"")</f>
        <v/>
      </c>
    </row>
    <row r="2455">
      <c r="A2455">
        <f>IFERROR(INDEX('Email Cleaner'!$B$2:$B$10001,MATCH(2454,'Email Cleaner'!$H$2:$H$10001,0)),"")</f>
        <v/>
      </c>
    </row>
    <row r="2456">
      <c r="A2456">
        <f>IFERROR(INDEX('Email Cleaner'!$B$2:$B$10001,MATCH(2455,'Email Cleaner'!$H$2:$H$10001,0)),"")</f>
        <v/>
      </c>
    </row>
    <row r="2457">
      <c r="A2457">
        <f>IFERROR(INDEX('Email Cleaner'!$B$2:$B$10001,MATCH(2456,'Email Cleaner'!$H$2:$H$10001,0)),"")</f>
        <v/>
      </c>
    </row>
    <row r="2458">
      <c r="A2458">
        <f>IFERROR(INDEX('Email Cleaner'!$B$2:$B$10001,MATCH(2457,'Email Cleaner'!$H$2:$H$10001,0)),"")</f>
        <v/>
      </c>
    </row>
    <row r="2459">
      <c r="A2459">
        <f>IFERROR(INDEX('Email Cleaner'!$B$2:$B$10001,MATCH(2458,'Email Cleaner'!$H$2:$H$10001,0)),"")</f>
        <v/>
      </c>
    </row>
    <row r="2460">
      <c r="A2460">
        <f>IFERROR(INDEX('Email Cleaner'!$B$2:$B$10001,MATCH(2459,'Email Cleaner'!$H$2:$H$10001,0)),"")</f>
        <v/>
      </c>
    </row>
    <row r="2461">
      <c r="A2461">
        <f>IFERROR(INDEX('Email Cleaner'!$B$2:$B$10001,MATCH(2460,'Email Cleaner'!$H$2:$H$10001,0)),"")</f>
        <v/>
      </c>
    </row>
    <row r="2462">
      <c r="A2462">
        <f>IFERROR(INDEX('Email Cleaner'!$B$2:$B$10001,MATCH(2461,'Email Cleaner'!$H$2:$H$10001,0)),"")</f>
        <v/>
      </c>
    </row>
    <row r="2463">
      <c r="A2463">
        <f>IFERROR(INDEX('Email Cleaner'!$B$2:$B$10001,MATCH(2462,'Email Cleaner'!$H$2:$H$10001,0)),"")</f>
        <v/>
      </c>
    </row>
    <row r="2464">
      <c r="A2464">
        <f>IFERROR(INDEX('Email Cleaner'!$B$2:$B$10001,MATCH(2463,'Email Cleaner'!$H$2:$H$10001,0)),"")</f>
        <v/>
      </c>
    </row>
    <row r="2465">
      <c r="A2465">
        <f>IFERROR(INDEX('Email Cleaner'!$B$2:$B$10001,MATCH(2464,'Email Cleaner'!$H$2:$H$10001,0)),"")</f>
        <v/>
      </c>
    </row>
    <row r="2466">
      <c r="A2466">
        <f>IFERROR(INDEX('Email Cleaner'!$B$2:$B$10001,MATCH(2465,'Email Cleaner'!$H$2:$H$10001,0)),"")</f>
        <v/>
      </c>
    </row>
    <row r="2467">
      <c r="A2467">
        <f>IFERROR(INDEX('Email Cleaner'!$B$2:$B$10001,MATCH(2466,'Email Cleaner'!$H$2:$H$10001,0)),"")</f>
        <v/>
      </c>
    </row>
    <row r="2468">
      <c r="A2468">
        <f>IFERROR(INDEX('Email Cleaner'!$B$2:$B$10001,MATCH(2467,'Email Cleaner'!$H$2:$H$10001,0)),"")</f>
        <v/>
      </c>
    </row>
    <row r="2469">
      <c r="A2469">
        <f>IFERROR(INDEX('Email Cleaner'!$B$2:$B$10001,MATCH(2468,'Email Cleaner'!$H$2:$H$10001,0)),"")</f>
        <v/>
      </c>
    </row>
    <row r="2470">
      <c r="A2470">
        <f>IFERROR(INDEX('Email Cleaner'!$B$2:$B$10001,MATCH(2469,'Email Cleaner'!$H$2:$H$10001,0)),"")</f>
        <v/>
      </c>
    </row>
    <row r="2471">
      <c r="A2471">
        <f>IFERROR(INDEX('Email Cleaner'!$B$2:$B$10001,MATCH(2470,'Email Cleaner'!$H$2:$H$10001,0)),"")</f>
        <v/>
      </c>
    </row>
    <row r="2472">
      <c r="A2472">
        <f>IFERROR(INDEX('Email Cleaner'!$B$2:$B$10001,MATCH(2471,'Email Cleaner'!$H$2:$H$10001,0)),"")</f>
        <v/>
      </c>
    </row>
    <row r="2473">
      <c r="A2473">
        <f>IFERROR(INDEX('Email Cleaner'!$B$2:$B$10001,MATCH(2472,'Email Cleaner'!$H$2:$H$10001,0)),"")</f>
        <v/>
      </c>
    </row>
    <row r="2474">
      <c r="A2474">
        <f>IFERROR(INDEX('Email Cleaner'!$B$2:$B$10001,MATCH(2473,'Email Cleaner'!$H$2:$H$10001,0)),"")</f>
        <v/>
      </c>
    </row>
    <row r="2475">
      <c r="A2475">
        <f>IFERROR(INDEX('Email Cleaner'!$B$2:$B$10001,MATCH(2474,'Email Cleaner'!$H$2:$H$10001,0)),"")</f>
        <v/>
      </c>
    </row>
    <row r="2476">
      <c r="A2476">
        <f>IFERROR(INDEX('Email Cleaner'!$B$2:$B$10001,MATCH(2475,'Email Cleaner'!$H$2:$H$10001,0)),"")</f>
        <v/>
      </c>
    </row>
    <row r="2477">
      <c r="A2477">
        <f>IFERROR(INDEX('Email Cleaner'!$B$2:$B$10001,MATCH(2476,'Email Cleaner'!$H$2:$H$10001,0)),"")</f>
        <v/>
      </c>
    </row>
    <row r="2478">
      <c r="A2478">
        <f>IFERROR(INDEX('Email Cleaner'!$B$2:$B$10001,MATCH(2477,'Email Cleaner'!$H$2:$H$10001,0)),"")</f>
        <v/>
      </c>
    </row>
    <row r="2479">
      <c r="A2479">
        <f>IFERROR(INDEX('Email Cleaner'!$B$2:$B$10001,MATCH(2478,'Email Cleaner'!$H$2:$H$10001,0)),"")</f>
        <v/>
      </c>
    </row>
    <row r="2480">
      <c r="A2480">
        <f>IFERROR(INDEX('Email Cleaner'!$B$2:$B$10001,MATCH(2479,'Email Cleaner'!$H$2:$H$10001,0)),"")</f>
        <v/>
      </c>
    </row>
    <row r="2481">
      <c r="A2481">
        <f>IFERROR(INDEX('Email Cleaner'!$B$2:$B$10001,MATCH(2480,'Email Cleaner'!$H$2:$H$10001,0)),"")</f>
        <v/>
      </c>
    </row>
    <row r="2482">
      <c r="A2482">
        <f>IFERROR(INDEX('Email Cleaner'!$B$2:$B$10001,MATCH(2481,'Email Cleaner'!$H$2:$H$10001,0)),"")</f>
        <v/>
      </c>
    </row>
    <row r="2483">
      <c r="A2483">
        <f>IFERROR(INDEX('Email Cleaner'!$B$2:$B$10001,MATCH(2482,'Email Cleaner'!$H$2:$H$10001,0)),"")</f>
        <v/>
      </c>
    </row>
    <row r="2484">
      <c r="A2484">
        <f>IFERROR(INDEX('Email Cleaner'!$B$2:$B$10001,MATCH(2483,'Email Cleaner'!$H$2:$H$10001,0)),"")</f>
        <v/>
      </c>
    </row>
    <row r="2485">
      <c r="A2485">
        <f>IFERROR(INDEX('Email Cleaner'!$B$2:$B$10001,MATCH(2484,'Email Cleaner'!$H$2:$H$10001,0)),"")</f>
        <v/>
      </c>
    </row>
    <row r="2486">
      <c r="A2486">
        <f>IFERROR(INDEX('Email Cleaner'!$B$2:$B$10001,MATCH(2485,'Email Cleaner'!$H$2:$H$10001,0)),"")</f>
        <v/>
      </c>
    </row>
    <row r="2487">
      <c r="A2487">
        <f>IFERROR(INDEX('Email Cleaner'!$B$2:$B$10001,MATCH(2486,'Email Cleaner'!$H$2:$H$10001,0)),"")</f>
        <v/>
      </c>
    </row>
    <row r="2488">
      <c r="A2488">
        <f>IFERROR(INDEX('Email Cleaner'!$B$2:$B$10001,MATCH(2487,'Email Cleaner'!$H$2:$H$10001,0)),"")</f>
        <v/>
      </c>
    </row>
    <row r="2489">
      <c r="A2489">
        <f>IFERROR(INDEX('Email Cleaner'!$B$2:$B$10001,MATCH(2488,'Email Cleaner'!$H$2:$H$10001,0)),"")</f>
        <v/>
      </c>
    </row>
    <row r="2490">
      <c r="A2490">
        <f>IFERROR(INDEX('Email Cleaner'!$B$2:$B$10001,MATCH(2489,'Email Cleaner'!$H$2:$H$10001,0)),"")</f>
        <v/>
      </c>
    </row>
    <row r="2491">
      <c r="A2491">
        <f>IFERROR(INDEX('Email Cleaner'!$B$2:$B$10001,MATCH(2490,'Email Cleaner'!$H$2:$H$10001,0)),"")</f>
        <v/>
      </c>
    </row>
    <row r="2492">
      <c r="A2492">
        <f>IFERROR(INDEX('Email Cleaner'!$B$2:$B$10001,MATCH(2491,'Email Cleaner'!$H$2:$H$10001,0)),"")</f>
        <v/>
      </c>
    </row>
    <row r="2493">
      <c r="A2493">
        <f>IFERROR(INDEX('Email Cleaner'!$B$2:$B$10001,MATCH(2492,'Email Cleaner'!$H$2:$H$10001,0)),"")</f>
        <v/>
      </c>
    </row>
    <row r="2494">
      <c r="A2494">
        <f>IFERROR(INDEX('Email Cleaner'!$B$2:$B$10001,MATCH(2493,'Email Cleaner'!$H$2:$H$10001,0)),"")</f>
        <v/>
      </c>
    </row>
    <row r="2495">
      <c r="A2495">
        <f>IFERROR(INDEX('Email Cleaner'!$B$2:$B$10001,MATCH(2494,'Email Cleaner'!$H$2:$H$10001,0)),"")</f>
        <v/>
      </c>
    </row>
    <row r="2496">
      <c r="A2496">
        <f>IFERROR(INDEX('Email Cleaner'!$B$2:$B$10001,MATCH(2495,'Email Cleaner'!$H$2:$H$10001,0)),"")</f>
        <v/>
      </c>
    </row>
    <row r="2497">
      <c r="A2497">
        <f>IFERROR(INDEX('Email Cleaner'!$B$2:$B$10001,MATCH(2496,'Email Cleaner'!$H$2:$H$10001,0)),"")</f>
        <v/>
      </c>
    </row>
    <row r="2498">
      <c r="A2498">
        <f>IFERROR(INDEX('Email Cleaner'!$B$2:$B$10001,MATCH(2497,'Email Cleaner'!$H$2:$H$10001,0)),"")</f>
        <v/>
      </c>
    </row>
    <row r="2499">
      <c r="A2499">
        <f>IFERROR(INDEX('Email Cleaner'!$B$2:$B$10001,MATCH(2498,'Email Cleaner'!$H$2:$H$10001,0)),"")</f>
        <v/>
      </c>
    </row>
    <row r="2500">
      <c r="A2500">
        <f>IFERROR(INDEX('Email Cleaner'!$B$2:$B$10001,MATCH(2499,'Email Cleaner'!$H$2:$H$10001,0)),"")</f>
        <v/>
      </c>
    </row>
    <row r="2501">
      <c r="A2501">
        <f>IFERROR(INDEX('Email Cleaner'!$B$2:$B$10001,MATCH(2500,'Email Cleaner'!$H$2:$H$10001,0)),"")</f>
        <v/>
      </c>
    </row>
    <row r="2502">
      <c r="A2502">
        <f>IFERROR(INDEX('Email Cleaner'!$B$2:$B$10001,MATCH(2501,'Email Cleaner'!$H$2:$H$10001,0)),"")</f>
        <v/>
      </c>
    </row>
    <row r="2503">
      <c r="A2503">
        <f>IFERROR(INDEX('Email Cleaner'!$B$2:$B$10001,MATCH(2502,'Email Cleaner'!$H$2:$H$10001,0)),"")</f>
        <v/>
      </c>
    </row>
    <row r="2504">
      <c r="A2504">
        <f>IFERROR(INDEX('Email Cleaner'!$B$2:$B$10001,MATCH(2503,'Email Cleaner'!$H$2:$H$10001,0)),"")</f>
        <v/>
      </c>
    </row>
    <row r="2505">
      <c r="A2505">
        <f>IFERROR(INDEX('Email Cleaner'!$B$2:$B$10001,MATCH(2504,'Email Cleaner'!$H$2:$H$10001,0)),"")</f>
        <v/>
      </c>
    </row>
    <row r="2506">
      <c r="A2506">
        <f>IFERROR(INDEX('Email Cleaner'!$B$2:$B$10001,MATCH(2505,'Email Cleaner'!$H$2:$H$10001,0)),"")</f>
        <v/>
      </c>
    </row>
    <row r="2507">
      <c r="A2507">
        <f>IFERROR(INDEX('Email Cleaner'!$B$2:$B$10001,MATCH(2506,'Email Cleaner'!$H$2:$H$10001,0)),"")</f>
        <v/>
      </c>
    </row>
    <row r="2508">
      <c r="A2508">
        <f>IFERROR(INDEX('Email Cleaner'!$B$2:$B$10001,MATCH(2507,'Email Cleaner'!$H$2:$H$10001,0)),"")</f>
        <v/>
      </c>
    </row>
    <row r="2509">
      <c r="A2509">
        <f>IFERROR(INDEX('Email Cleaner'!$B$2:$B$10001,MATCH(2508,'Email Cleaner'!$H$2:$H$10001,0)),"")</f>
        <v/>
      </c>
    </row>
    <row r="2510">
      <c r="A2510">
        <f>IFERROR(INDEX('Email Cleaner'!$B$2:$B$10001,MATCH(2509,'Email Cleaner'!$H$2:$H$10001,0)),"")</f>
        <v/>
      </c>
    </row>
    <row r="2511">
      <c r="A2511">
        <f>IFERROR(INDEX('Email Cleaner'!$B$2:$B$10001,MATCH(2510,'Email Cleaner'!$H$2:$H$10001,0)),"")</f>
        <v/>
      </c>
    </row>
    <row r="2512">
      <c r="A2512">
        <f>IFERROR(INDEX('Email Cleaner'!$B$2:$B$10001,MATCH(2511,'Email Cleaner'!$H$2:$H$10001,0)),"")</f>
        <v/>
      </c>
    </row>
    <row r="2513">
      <c r="A2513">
        <f>IFERROR(INDEX('Email Cleaner'!$B$2:$B$10001,MATCH(2512,'Email Cleaner'!$H$2:$H$10001,0)),"")</f>
        <v/>
      </c>
    </row>
    <row r="2514">
      <c r="A2514">
        <f>IFERROR(INDEX('Email Cleaner'!$B$2:$B$10001,MATCH(2513,'Email Cleaner'!$H$2:$H$10001,0)),"")</f>
        <v/>
      </c>
    </row>
    <row r="2515">
      <c r="A2515">
        <f>IFERROR(INDEX('Email Cleaner'!$B$2:$B$10001,MATCH(2514,'Email Cleaner'!$H$2:$H$10001,0)),"")</f>
        <v/>
      </c>
    </row>
    <row r="2516">
      <c r="A2516">
        <f>IFERROR(INDEX('Email Cleaner'!$B$2:$B$10001,MATCH(2515,'Email Cleaner'!$H$2:$H$10001,0)),"")</f>
        <v/>
      </c>
    </row>
    <row r="2517">
      <c r="A2517">
        <f>IFERROR(INDEX('Email Cleaner'!$B$2:$B$10001,MATCH(2516,'Email Cleaner'!$H$2:$H$10001,0)),"")</f>
        <v/>
      </c>
    </row>
    <row r="2518">
      <c r="A2518">
        <f>IFERROR(INDEX('Email Cleaner'!$B$2:$B$10001,MATCH(2517,'Email Cleaner'!$H$2:$H$10001,0)),"")</f>
        <v/>
      </c>
    </row>
    <row r="2519">
      <c r="A2519">
        <f>IFERROR(INDEX('Email Cleaner'!$B$2:$B$10001,MATCH(2518,'Email Cleaner'!$H$2:$H$10001,0)),"")</f>
        <v/>
      </c>
    </row>
    <row r="2520">
      <c r="A2520">
        <f>IFERROR(INDEX('Email Cleaner'!$B$2:$B$10001,MATCH(2519,'Email Cleaner'!$H$2:$H$10001,0)),"")</f>
        <v/>
      </c>
    </row>
    <row r="2521">
      <c r="A2521">
        <f>IFERROR(INDEX('Email Cleaner'!$B$2:$B$10001,MATCH(2520,'Email Cleaner'!$H$2:$H$10001,0)),"")</f>
        <v/>
      </c>
    </row>
    <row r="2522">
      <c r="A2522">
        <f>IFERROR(INDEX('Email Cleaner'!$B$2:$B$10001,MATCH(2521,'Email Cleaner'!$H$2:$H$10001,0)),"")</f>
        <v/>
      </c>
    </row>
    <row r="2523">
      <c r="A2523">
        <f>IFERROR(INDEX('Email Cleaner'!$B$2:$B$10001,MATCH(2522,'Email Cleaner'!$H$2:$H$10001,0)),"")</f>
        <v/>
      </c>
    </row>
    <row r="2524">
      <c r="A2524">
        <f>IFERROR(INDEX('Email Cleaner'!$B$2:$B$10001,MATCH(2523,'Email Cleaner'!$H$2:$H$10001,0)),"")</f>
        <v/>
      </c>
    </row>
    <row r="2525">
      <c r="A2525">
        <f>IFERROR(INDEX('Email Cleaner'!$B$2:$B$10001,MATCH(2524,'Email Cleaner'!$H$2:$H$10001,0)),"")</f>
        <v/>
      </c>
    </row>
    <row r="2526">
      <c r="A2526">
        <f>IFERROR(INDEX('Email Cleaner'!$B$2:$B$10001,MATCH(2525,'Email Cleaner'!$H$2:$H$10001,0)),"")</f>
        <v/>
      </c>
    </row>
    <row r="2527">
      <c r="A2527">
        <f>IFERROR(INDEX('Email Cleaner'!$B$2:$B$10001,MATCH(2526,'Email Cleaner'!$H$2:$H$10001,0)),"")</f>
        <v/>
      </c>
    </row>
    <row r="2528">
      <c r="A2528">
        <f>IFERROR(INDEX('Email Cleaner'!$B$2:$B$10001,MATCH(2527,'Email Cleaner'!$H$2:$H$10001,0)),"")</f>
        <v/>
      </c>
    </row>
    <row r="2529">
      <c r="A2529">
        <f>IFERROR(INDEX('Email Cleaner'!$B$2:$B$10001,MATCH(2528,'Email Cleaner'!$H$2:$H$10001,0)),"")</f>
        <v/>
      </c>
    </row>
    <row r="2530">
      <c r="A2530">
        <f>IFERROR(INDEX('Email Cleaner'!$B$2:$B$10001,MATCH(2529,'Email Cleaner'!$H$2:$H$10001,0)),"")</f>
        <v/>
      </c>
    </row>
    <row r="2531">
      <c r="A2531">
        <f>IFERROR(INDEX('Email Cleaner'!$B$2:$B$10001,MATCH(2530,'Email Cleaner'!$H$2:$H$10001,0)),"")</f>
        <v/>
      </c>
    </row>
    <row r="2532">
      <c r="A2532">
        <f>IFERROR(INDEX('Email Cleaner'!$B$2:$B$10001,MATCH(2531,'Email Cleaner'!$H$2:$H$10001,0)),"")</f>
        <v/>
      </c>
    </row>
    <row r="2533">
      <c r="A2533">
        <f>IFERROR(INDEX('Email Cleaner'!$B$2:$B$10001,MATCH(2532,'Email Cleaner'!$H$2:$H$10001,0)),"")</f>
        <v/>
      </c>
    </row>
    <row r="2534">
      <c r="A2534">
        <f>IFERROR(INDEX('Email Cleaner'!$B$2:$B$10001,MATCH(2533,'Email Cleaner'!$H$2:$H$10001,0)),"")</f>
        <v/>
      </c>
    </row>
    <row r="2535">
      <c r="A2535">
        <f>IFERROR(INDEX('Email Cleaner'!$B$2:$B$10001,MATCH(2534,'Email Cleaner'!$H$2:$H$10001,0)),"")</f>
        <v/>
      </c>
    </row>
    <row r="2536">
      <c r="A2536">
        <f>IFERROR(INDEX('Email Cleaner'!$B$2:$B$10001,MATCH(2535,'Email Cleaner'!$H$2:$H$10001,0)),"")</f>
        <v/>
      </c>
    </row>
    <row r="2537">
      <c r="A2537">
        <f>IFERROR(INDEX('Email Cleaner'!$B$2:$B$10001,MATCH(2536,'Email Cleaner'!$H$2:$H$10001,0)),"")</f>
        <v/>
      </c>
    </row>
    <row r="2538">
      <c r="A2538">
        <f>IFERROR(INDEX('Email Cleaner'!$B$2:$B$10001,MATCH(2537,'Email Cleaner'!$H$2:$H$10001,0)),"")</f>
        <v/>
      </c>
    </row>
    <row r="2539">
      <c r="A2539">
        <f>IFERROR(INDEX('Email Cleaner'!$B$2:$B$10001,MATCH(2538,'Email Cleaner'!$H$2:$H$10001,0)),"")</f>
        <v/>
      </c>
    </row>
    <row r="2540">
      <c r="A2540">
        <f>IFERROR(INDEX('Email Cleaner'!$B$2:$B$10001,MATCH(2539,'Email Cleaner'!$H$2:$H$10001,0)),"")</f>
        <v/>
      </c>
    </row>
    <row r="2541">
      <c r="A2541">
        <f>IFERROR(INDEX('Email Cleaner'!$B$2:$B$10001,MATCH(2540,'Email Cleaner'!$H$2:$H$10001,0)),"")</f>
        <v/>
      </c>
    </row>
    <row r="2542">
      <c r="A2542">
        <f>IFERROR(INDEX('Email Cleaner'!$B$2:$B$10001,MATCH(2541,'Email Cleaner'!$H$2:$H$10001,0)),"")</f>
        <v/>
      </c>
    </row>
    <row r="2543">
      <c r="A2543">
        <f>IFERROR(INDEX('Email Cleaner'!$B$2:$B$10001,MATCH(2542,'Email Cleaner'!$H$2:$H$10001,0)),"")</f>
        <v/>
      </c>
    </row>
    <row r="2544">
      <c r="A2544">
        <f>IFERROR(INDEX('Email Cleaner'!$B$2:$B$10001,MATCH(2543,'Email Cleaner'!$H$2:$H$10001,0)),"")</f>
        <v/>
      </c>
    </row>
    <row r="2545">
      <c r="A2545">
        <f>IFERROR(INDEX('Email Cleaner'!$B$2:$B$10001,MATCH(2544,'Email Cleaner'!$H$2:$H$10001,0)),"")</f>
        <v/>
      </c>
    </row>
    <row r="2546">
      <c r="A2546">
        <f>IFERROR(INDEX('Email Cleaner'!$B$2:$B$10001,MATCH(2545,'Email Cleaner'!$H$2:$H$10001,0)),"")</f>
        <v/>
      </c>
    </row>
    <row r="2547">
      <c r="A2547">
        <f>IFERROR(INDEX('Email Cleaner'!$B$2:$B$10001,MATCH(2546,'Email Cleaner'!$H$2:$H$10001,0)),"")</f>
        <v/>
      </c>
    </row>
    <row r="2548">
      <c r="A2548">
        <f>IFERROR(INDEX('Email Cleaner'!$B$2:$B$10001,MATCH(2547,'Email Cleaner'!$H$2:$H$10001,0)),"")</f>
        <v/>
      </c>
    </row>
    <row r="2549">
      <c r="A2549">
        <f>IFERROR(INDEX('Email Cleaner'!$B$2:$B$10001,MATCH(2548,'Email Cleaner'!$H$2:$H$10001,0)),"")</f>
        <v/>
      </c>
    </row>
    <row r="2550">
      <c r="A2550">
        <f>IFERROR(INDEX('Email Cleaner'!$B$2:$B$10001,MATCH(2549,'Email Cleaner'!$H$2:$H$10001,0)),"")</f>
        <v/>
      </c>
    </row>
    <row r="2551">
      <c r="A2551">
        <f>IFERROR(INDEX('Email Cleaner'!$B$2:$B$10001,MATCH(2550,'Email Cleaner'!$H$2:$H$10001,0)),"")</f>
        <v/>
      </c>
    </row>
    <row r="2552">
      <c r="A2552">
        <f>IFERROR(INDEX('Email Cleaner'!$B$2:$B$10001,MATCH(2551,'Email Cleaner'!$H$2:$H$10001,0)),"")</f>
        <v/>
      </c>
    </row>
    <row r="2553">
      <c r="A2553">
        <f>IFERROR(INDEX('Email Cleaner'!$B$2:$B$10001,MATCH(2552,'Email Cleaner'!$H$2:$H$10001,0)),"")</f>
        <v/>
      </c>
    </row>
    <row r="2554">
      <c r="A2554">
        <f>IFERROR(INDEX('Email Cleaner'!$B$2:$B$10001,MATCH(2553,'Email Cleaner'!$H$2:$H$10001,0)),"")</f>
        <v/>
      </c>
    </row>
    <row r="2555">
      <c r="A2555">
        <f>IFERROR(INDEX('Email Cleaner'!$B$2:$B$10001,MATCH(2554,'Email Cleaner'!$H$2:$H$10001,0)),"")</f>
        <v/>
      </c>
    </row>
    <row r="2556">
      <c r="A2556">
        <f>IFERROR(INDEX('Email Cleaner'!$B$2:$B$10001,MATCH(2555,'Email Cleaner'!$H$2:$H$10001,0)),"")</f>
        <v/>
      </c>
    </row>
    <row r="2557">
      <c r="A2557">
        <f>IFERROR(INDEX('Email Cleaner'!$B$2:$B$10001,MATCH(2556,'Email Cleaner'!$H$2:$H$10001,0)),"")</f>
        <v/>
      </c>
    </row>
    <row r="2558">
      <c r="A2558">
        <f>IFERROR(INDEX('Email Cleaner'!$B$2:$B$10001,MATCH(2557,'Email Cleaner'!$H$2:$H$10001,0)),"")</f>
        <v/>
      </c>
    </row>
    <row r="2559">
      <c r="A2559">
        <f>IFERROR(INDEX('Email Cleaner'!$B$2:$B$10001,MATCH(2558,'Email Cleaner'!$H$2:$H$10001,0)),"")</f>
        <v/>
      </c>
    </row>
    <row r="2560">
      <c r="A2560">
        <f>IFERROR(INDEX('Email Cleaner'!$B$2:$B$10001,MATCH(2559,'Email Cleaner'!$H$2:$H$10001,0)),"")</f>
        <v/>
      </c>
    </row>
    <row r="2561">
      <c r="A2561">
        <f>IFERROR(INDEX('Email Cleaner'!$B$2:$B$10001,MATCH(2560,'Email Cleaner'!$H$2:$H$10001,0)),"")</f>
        <v/>
      </c>
    </row>
    <row r="2562">
      <c r="A2562">
        <f>IFERROR(INDEX('Email Cleaner'!$B$2:$B$10001,MATCH(2561,'Email Cleaner'!$H$2:$H$10001,0)),"")</f>
        <v/>
      </c>
    </row>
    <row r="2563">
      <c r="A2563">
        <f>IFERROR(INDEX('Email Cleaner'!$B$2:$B$10001,MATCH(2562,'Email Cleaner'!$H$2:$H$10001,0)),"")</f>
        <v/>
      </c>
    </row>
    <row r="2564">
      <c r="A2564">
        <f>IFERROR(INDEX('Email Cleaner'!$B$2:$B$10001,MATCH(2563,'Email Cleaner'!$H$2:$H$10001,0)),"")</f>
        <v/>
      </c>
    </row>
    <row r="2565">
      <c r="A2565">
        <f>IFERROR(INDEX('Email Cleaner'!$B$2:$B$10001,MATCH(2564,'Email Cleaner'!$H$2:$H$10001,0)),"")</f>
        <v/>
      </c>
    </row>
    <row r="2566">
      <c r="A2566">
        <f>IFERROR(INDEX('Email Cleaner'!$B$2:$B$10001,MATCH(2565,'Email Cleaner'!$H$2:$H$10001,0)),"")</f>
        <v/>
      </c>
    </row>
    <row r="2567">
      <c r="A2567">
        <f>IFERROR(INDEX('Email Cleaner'!$B$2:$B$10001,MATCH(2566,'Email Cleaner'!$H$2:$H$10001,0)),"")</f>
        <v/>
      </c>
    </row>
    <row r="2568">
      <c r="A2568">
        <f>IFERROR(INDEX('Email Cleaner'!$B$2:$B$10001,MATCH(2567,'Email Cleaner'!$H$2:$H$10001,0)),"")</f>
        <v/>
      </c>
    </row>
    <row r="2569">
      <c r="A2569">
        <f>IFERROR(INDEX('Email Cleaner'!$B$2:$B$10001,MATCH(2568,'Email Cleaner'!$H$2:$H$10001,0)),"")</f>
        <v/>
      </c>
    </row>
    <row r="2570">
      <c r="A2570">
        <f>IFERROR(INDEX('Email Cleaner'!$B$2:$B$10001,MATCH(2569,'Email Cleaner'!$H$2:$H$10001,0)),"")</f>
        <v/>
      </c>
    </row>
    <row r="2571">
      <c r="A2571">
        <f>IFERROR(INDEX('Email Cleaner'!$B$2:$B$10001,MATCH(2570,'Email Cleaner'!$H$2:$H$10001,0)),"")</f>
        <v/>
      </c>
    </row>
    <row r="2572">
      <c r="A2572">
        <f>IFERROR(INDEX('Email Cleaner'!$B$2:$B$10001,MATCH(2571,'Email Cleaner'!$H$2:$H$10001,0)),"")</f>
        <v/>
      </c>
    </row>
    <row r="2573">
      <c r="A2573">
        <f>IFERROR(INDEX('Email Cleaner'!$B$2:$B$10001,MATCH(2572,'Email Cleaner'!$H$2:$H$10001,0)),"")</f>
        <v/>
      </c>
    </row>
    <row r="2574">
      <c r="A2574">
        <f>IFERROR(INDEX('Email Cleaner'!$B$2:$B$10001,MATCH(2573,'Email Cleaner'!$H$2:$H$10001,0)),"")</f>
        <v/>
      </c>
    </row>
    <row r="2575">
      <c r="A2575">
        <f>IFERROR(INDEX('Email Cleaner'!$B$2:$B$10001,MATCH(2574,'Email Cleaner'!$H$2:$H$10001,0)),"")</f>
        <v/>
      </c>
    </row>
    <row r="2576">
      <c r="A2576">
        <f>IFERROR(INDEX('Email Cleaner'!$B$2:$B$10001,MATCH(2575,'Email Cleaner'!$H$2:$H$10001,0)),"")</f>
        <v/>
      </c>
    </row>
    <row r="2577">
      <c r="A2577">
        <f>IFERROR(INDEX('Email Cleaner'!$B$2:$B$10001,MATCH(2576,'Email Cleaner'!$H$2:$H$10001,0)),"")</f>
        <v/>
      </c>
    </row>
    <row r="2578">
      <c r="A2578">
        <f>IFERROR(INDEX('Email Cleaner'!$B$2:$B$10001,MATCH(2577,'Email Cleaner'!$H$2:$H$10001,0)),"")</f>
        <v/>
      </c>
    </row>
    <row r="2579">
      <c r="A2579">
        <f>IFERROR(INDEX('Email Cleaner'!$B$2:$B$10001,MATCH(2578,'Email Cleaner'!$H$2:$H$10001,0)),"")</f>
        <v/>
      </c>
    </row>
    <row r="2580">
      <c r="A2580">
        <f>IFERROR(INDEX('Email Cleaner'!$B$2:$B$10001,MATCH(2579,'Email Cleaner'!$H$2:$H$10001,0)),"")</f>
        <v/>
      </c>
    </row>
    <row r="2581">
      <c r="A2581">
        <f>IFERROR(INDEX('Email Cleaner'!$B$2:$B$10001,MATCH(2580,'Email Cleaner'!$H$2:$H$10001,0)),"")</f>
        <v/>
      </c>
    </row>
    <row r="2582">
      <c r="A2582">
        <f>IFERROR(INDEX('Email Cleaner'!$B$2:$B$10001,MATCH(2581,'Email Cleaner'!$H$2:$H$10001,0)),"")</f>
        <v/>
      </c>
    </row>
    <row r="2583">
      <c r="A2583">
        <f>IFERROR(INDEX('Email Cleaner'!$B$2:$B$10001,MATCH(2582,'Email Cleaner'!$H$2:$H$10001,0)),"")</f>
        <v/>
      </c>
    </row>
    <row r="2584">
      <c r="A2584">
        <f>IFERROR(INDEX('Email Cleaner'!$B$2:$B$10001,MATCH(2583,'Email Cleaner'!$H$2:$H$10001,0)),"")</f>
        <v/>
      </c>
    </row>
    <row r="2585">
      <c r="A2585">
        <f>IFERROR(INDEX('Email Cleaner'!$B$2:$B$10001,MATCH(2584,'Email Cleaner'!$H$2:$H$10001,0)),"")</f>
        <v/>
      </c>
    </row>
    <row r="2586">
      <c r="A2586">
        <f>IFERROR(INDEX('Email Cleaner'!$B$2:$B$10001,MATCH(2585,'Email Cleaner'!$H$2:$H$10001,0)),"")</f>
        <v/>
      </c>
    </row>
    <row r="2587">
      <c r="A2587">
        <f>IFERROR(INDEX('Email Cleaner'!$B$2:$B$10001,MATCH(2586,'Email Cleaner'!$H$2:$H$10001,0)),"")</f>
        <v/>
      </c>
    </row>
    <row r="2588">
      <c r="A2588">
        <f>IFERROR(INDEX('Email Cleaner'!$B$2:$B$10001,MATCH(2587,'Email Cleaner'!$H$2:$H$10001,0)),"")</f>
        <v/>
      </c>
    </row>
    <row r="2589">
      <c r="A2589">
        <f>IFERROR(INDEX('Email Cleaner'!$B$2:$B$10001,MATCH(2588,'Email Cleaner'!$H$2:$H$10001,0)),"")</f>
        <v/>
      </c>
    </row>
    <row r="2590">
      <c r="A2590">
        <f>IFERROR(INDEX('Email Cleaner'!$B$2:$B$10001,MATCH(2589,'Email Cleaner'!$H$2:$H$10001,0)),"")</f>
        <v/>
      </c>
    </row>
    <row r="2591">
      <c r="A2591">
        <f>IFERROR(INDEX('Email Cleaner'!$B$2:$B$10001,MATCH(2590,'Email Cleaner'!$H$2:$H$10001,0)),"")</f>
        <v/>
      </c>
    </row>
    <row r="2592">
      <c r="A2592">
        <f>IFERROR(INDEX('Email Cleaner'!$B$2:$B$10001,MATCH(2591,'Email Cleaner'!$H$2:$H$10001,0)),"")</f>
        <v/>
      </c>
    </row>
    <row r="2593">
      <c r="A2593">
        <f>IFERROR(INDEX('Email Cleaner'!$B$2:$B$10001,MATCH(2592,'Email Cleaner'!$H$2:$H$10001,0)),"")</f>
        <v/>
      </c>
    </row>
    <row r="2594">
      <c r="A2594">
        <f>IFERROR(INDEX('Email Cleaner'!$B$2:$B$10001,MATCH(2593,'Email Cleaner'!$H$2:$H$10001,0)),"")</f>
        <v/>
      </c>
    </row>
    <row r="2595">
      <c r="A2595">
        <f>IFERROR(INDEX('Email Cleaner'!$B$2:$B$10001,MATCH(2594,'Email Cleaner'!$H$2:$H$10001,0)),"")</f>
        <v/>
      </c>
    </row>
    <row r="2596">
      <c r="A2596">
        <f>IFERROR(INDEX('Email Cleaner'!$B$2:$B$10001,MATCH(2595,'Email Cleaner'!$H$2:$H$10001,0)),"")</f>
        <v/>
      </c>
    </row>
    <row r="2597">
      <c r="A2597">
        <f>IFERROR(INDEX('Email Cleaner'!$B$2:$B$10001,MATCH(2596,'Email Cleaner'!$H$2:$H$10001,0)),"")</f>
        <v/>
      </c>
    </row>
    <row r="2598">
      <c r="A2598">
        <f>IFERROR(INDEX('Email Cleaner'!$B$2:$B$10001,MATCH(2597,'Email Cleaner'!$H$2:$H$10001,0)),"")</f>
        <v/>
      </c>
    </row>
    <row r="2599">
      <c r="A2599">
        <f>IFERROR(INDEX('Email Cleaner'!$B$2:$B$10001,MATCH(2598,'Email Cleaner'!$H$2:$H$10001,0)),"")</f>
        <v/>
      </c>
    </row>
    <row r="2600">
      <c r="A2600">
        <f>IFERROR(INDEX('Email Cleaner'!$B$2:$B$10001,MATCH(2599,'Email Cleaner'!$H$2:$H$10001,0)),"")</f>
        <v/>
      </c>
    </row>
    <row r="2601">
      <c r="A2601">
        <f>IFERROR(INDEX('Email Cleaner'!$B$2:$B$10001,MATCH(2600,'Email Cleaner'!$H$2:$H$10001,0)),"")</f>
        <v/>
      </c>
    </row>
    <row r="2602">
      <c r="A2602">
        <f>IFERROR(INDEX('Email Cleaner'!$B$2:$B$10001,MATCH(2601,'Email Cleaner'!$H$2:$H$10001,0)),"")</f>
        <v/>
      </c>
    </row>
    <row r="2603">
      <c r="A2603">
        <f>IFERROR(INDEX('Email Cleaner'!$B$2:$B$10001,MATCH(2602,'Email Cleaner'!$H$2:$H$10001,0)),"")</f>
        <v/>
      </c>
    </row>
    <row r="2604">
      <c r="A2604">
        <f>IFERROR(INDEX('Email Cleaner'!$B$2:$B$10001,MATCH(2603,'Email Cleaner'!$H$2:$H$10001,0)),"")</f>
        <v/>
      </c>
    </row>
    <row r="2605">
      <c r="A2605">
        <f>IFERROR(INDEX('Email Cleaner'!$B$2:$B$10001,MATCH(2604,'Email Cleaner'!$H$2:$H$10001,0)),"")</f>
        <v/>
      </c>
    </row>
    <row r="2606">
      <c r="A2606">
        <f>IFERROR(INDEX('Email Cleaner'!$B$2:$B$10001,MATCH(2605,'Email Cleaner'!$H$2:$H$10001,0)),"")</f>
        <v/>
      </c>
    </row>
    <row r="2607">
      <c r="A2607">
        <f>IFERROR(INDEX('Email Cleaner'!$B$2:$B$10001,MATCH(2606,'Email Cleaner'!$H$2:$H$10001,0)),"")</f>
        <v/>
      </c>
    </row>
    <row r="2608">
      <c r="A2608">
        <f>IFERROR(INDEX('Email Cleaner'!$B$2:$B$10001,MATCH(2607,'Email Cleaner'!$H$2:$H$10001,0)),"")</f>
        <v/>
      </c>
    </row>
    <row r="2609">
      <c r="A2609">
        <f>IFERROR(INDEX('Email Cleaner'!$B$2:$B$10001,MATCH(2608,'Email Cleaner'!$H$2:$H$10001,0)),"")</f>
        <v/>
      </c>
    </row>
    <row r="2610">
      <c r="A2610">
        <f>IFERROR(INDEX('Email Cleaner'!$B$2:$B$10001,MATCH(2609,'Email Cleaner'!$H$2:$H$10001,0)),"")</f>
        <v/>
      </c>
    </row>
    <row r="2611">
      <c r="A2611">
        <f>IFERROR(INDEX('Email Cleaner'!$B$2:$B$10001,MATCH(2610,'Email Cleaner'!$H$2:$H$10001,0)),"")</f>
        <v/>
      </c>
    </row>
    <row r="2612">
      <c r="A2612">
        <f>IFERROR(INDEX('Email Cleaner'!$B$2:$B$10001,MATCH(2611,'Email Cleaner'!$H$2:$H$10001,0)),"")</f>
        <v/>
      </c>
    </row>
    <row r="2613">
      <c r="A2613">
        <f>IFERROR(INDEX('Email Cleaner'!$B$2:$B$10001,MATCH(2612,'Email Cleaner'!$H$2:$H$10001,0)),"")</f>
        <v/>
      </c>
    </row>
    <row r="2614">
      <c r="A2614">
        <f>IFERROR(INDEX('Email Cleaner'!$B$2:$B$10001,MATCH(2613,'Email Cleaner'!$H$2:$H$10001,0)),"")</f>
        <v/>
      </c>
    </row>
    <row r="2615">
      <c r="A2615">
        <f>IFERROR(INDEX('Email Cleaner'!$B$2:$B$10001,MATCH(2614,'Email Cleaner'!$H$2:$H$10001,0)),"")</f>
        <v/>
      </c>
    </row>
    <row r="2616">
      <c r="A2616">
        <f>IFERROR(INDEX('Email Cleaner'!$B$2:$B$10001,MATCH(2615,'Email Cleaner'!$H$2:$H$10001,0)),"")</f>
        <v/>
      </c>
    </row>
    <row r="2617">
      <c r="A2617">
        <f>IFERROR(INDEX('Email Cleaner'!$B$2:$B$10001,MATCH(2616,'Email Cleaner'!$H$2:$H$10001,0)),"")</f>
        <v/>
      </c>
    </row>
    <row r="2618">
      <c r="A2618">
        <f>IFERROR(INDEX('Email Cleaner'!$B$2:$B$10001,MATCH(2617,'Email Cleaner'!$H$2:$H$10001,0)),"")</f>
        <v/>
      </c>
    </row>
    <row r="2619">
      <c r="A2619">
        <f>IFERROR(INDEX('Email Cleaner'!$B$2:$B$10001,MATCH(2618,'Email Cleaner'!$H$2:$H$10001,0)),"")</f>
        <v/>
      </c>
    </row>
    <row r="2620">
      <c r="A2620">
        <f>IFERROR(INDEX('Email Cleaner'!$B$2:$B$10001,MATCH(2619,'Email Cleaner'!$H$2:$H$10001,0)),"")</f>
        <v/>
      </c>
    </row>
    <row r="2621">
      <c r="A2621">
        <f>IFERROR(INDEX('Email Cleaner'!$B$2:$B$10001,MATCH(2620,'Email Cleaner'!$H$2:$H$10001,0)),"")</f>
        <v/>
      </c>
    </row>
    <row r="2622">
      <c r="A2622">
        <f>IFERROR(INDEX('Email Cleaner'!$B$2:$B$10001,MATCH(2621,'Email Cleaner'!$H$2:$H$10001,0)),"")</f>
        <v/>
      </c>
    </row>
    <row r="2623">
      <c r="A2623">
        <f>IFERROR(INDEX('Email Cleaner'!$B$2:$B$10001,MATCH(2622,'Email Cleaner'!$H$2:$H$10001,0)),"")</f>
        <v/>
      </c>
    </row>
    <row r="2624">
      <c r="A2624">
        <f>IFERROR(INDEX('Email Cleaner'!$B$2:$B$10001,MATCH(2623,'Email Cleaner'!$H$2:$H$10001,0)),"")</f>
        <v/>
      </c>
    </row>
    <row r="2625">
      <c r="A2625">
        <f>IFERROR(INDEX('Email Cleaner'!$B$2:$B$10001,MATCH(2624,'Email Cleaner'!$H$2:$H$10001,0)),"")</f>
        <v/>
      </c>
    </row>
    <row r="2626">
      <c r="A2626">
        <f>IFERROR(INDEX('Email Cleaner'!$B$2:$B$10001,MATCH(2625,'Email Cleaner'!$H$2:$H$10001,0)),"")</f>
        <v/>
      </c>
    </row>
    <row r="2627">
      <c r="A2627">
        <f>IFERROR(INDEX('Email Cleaner'!$B$2:$B$10001,MATCH(2626,'Email Cleaner'!$H$2:$H$10001,0)),"")</f>
        <v/>
      </c>
    </row>
    <row r="2628">
      <c r="A2628">
        <f>IFERROR(INDEX('Email Cleaner'!$B$2:$B$10001,MATCH(2627,'Email Cleaner'!$H$2:$H$10001,0)),"")</f>
        <v/>
      </c>
    </row>
    <row r="2629">
      <c r="A2629">
        <f>IFERROR(INDEX('Email Cleaner'!$B$2:$B$10001,MATCH(2628,'Email Cleaner'!$H$2:$H$10001,0)),"")</f>
        <v/>
      </c>
    </row>
    <row r="2630">
      <c r="A2630">
        <f>IFERROR(INDEX('Email Cleaner'!$B$2:$B$10001,MATCH(2629,'Email Cleaner'!$H$2:$H$10001,0)),"")</f>
        <v/>
      </c>
    </row>
    <row r="2631">
      <c r="A2631">
        <f>IFERROR(INDEX('Email Cleaner'!$B$2:$B$10001,MATCH(2630,'Email Cleaner'!$H$2:$H$10001,0)),"")</f>
        <v/>
      </c>
    </row>
    <row r="2632">
      <c r="A2632">
        <f>IFERROR(INDEX('Email Cleaner'!$B$2:$B$10001,MATCH(2631,'Email Cleaner'!$H$2:$H$10001,0)),"")</f>
        <v/>
      </c>
    </row>
    <row r="2633">
      <c r="A2633">
        <f>IFERROR(INDEX('Email Cleaner'!$B$2:$B$10001,MATCH(2632,'Email Cleaner'!$H$2:$H$10001,0)),"")</f>
        <v/>
      </c>
    </row>
    <row r="2634">
      <c r="A2634">
        <f>IFERROR(INDEX('Email Cleaner'!$B$2:$B$10001,MATCH(2633,'Email Cleaner'!$H$2:$H$10001,0)),"")</f>
        <v/>
      </c>
    </row>
    <row r="2635">
      <c r="A2635">
        <f>IFERROR(INDEX('Email Cleaner'!$B$2:$B$10001,MATCH(2634,'Email Cleaner'!$H$2:$H$10001,0)),"")</f>
        <v/>
      </c>
    </row>
    <row r="2636">
      <c r="A2636">
        <f>IFERROR(INDEX('Email Cleaner'!$B$2:$B$10001,MATCH(2635,'Email Cleaner'!$H$2:$H$10001,0)),"")</f>
        <v/>
      </c>
    </row>
    <row r="2637">
      <c r="A2637">
        <f>IFERROR(INDEX('Email Cleaner'!$B$2:$B$10001,MATCH(2636,'Email Cleaner'!$H$2:$H$10001,0)),"")</f>
        <v/>
      </c>
    </row>
    <row r="2638">
      <c r="A2638">
        <f>IFERROR(INDEX('Email Cleaner'!$B$2:$B$10001,MATCH(2637,'Email Cleaner'!$H$2:$H$10001,0)),"")</f>
        <v/>
      </c>
    </row>
    <row r="2639">
      <c r="A2639">
        <f>IFERROR(INDEX('Email Cleaner'!$B$2:$B$10001,MATCH(2638,'Email Cleaner'!$H$2:$H$10001,0)),"")</f>
        <v/>
      </c>
    </row>
    <row r="2640">
      <c r="A2640">
        <f>IFERROR(INDEX('Email Cleaner'!$B$2:$B$10001,MATCH(2639,'Email Cleaner'!$H$2:$H$10001,0)),"")</f>
        <v/>
      </c>
    </row>
    <row r="2641">
      <c r="A2641">
        <f>IFERROR(INDEX('Email Cleaner'!$B$2:$B$10001,MATCH(2640,'Email Cleaner'!$H$2:$H$10001,0)),"")</f>
        <v/>
      </c>
    </row>
    <row r="2642">
      <c r="A2642">
        <f>IFERROR(INDEX('Email Cleaner'!$B$2:$B$10001,MATCH(2641,'Email Cleaner'!$H$2:$H$10001,0)),"")</f>
        <v/>
      </c>
    </row>
    <row r="2643">
      <c r="A2643">
        <f>IFERROR(INDEX('Email Cleaner'!$B$2:$B$10001,MATCH(2642,'Email Cleaner'!$H$2:$H$10001,0)),"")</f>
        <v/>
      </c>
    </row>
    <row r="2644">
      <c r="A2644">
        <f>IFERROR(INDEX('Email Cleaner'!$B$2:$B$10001,MATCH(2643,'Email Cleaner'!$H$2:$H$10001,0)),"")</f>
        <v/>
      </c>
    </row>
    <row r="2645">
      <c r="A2645">
        <f>IFERROR(INDEX('Email Cleaner'!$B$2:$B$10001,MATCH(2644,'Email Cleaner'!$H$2:$H$10001,0)),"")</f>
        <v/>
      </c>
    </row>
    <row r="2646">
      <c r="A2646">
        <f>IFERROR(INDEX('Email Cleaner'!$B$2:$B$10001,MATCH(2645,'Email Cleaner'!$H$2:$H$10001,0)),"")</f>
        <v/>
      </c>
    </row>
    <row r="2647">
      <c r="A2647">
        <f>IFERROR(INDEX('Email Cleaner'!$B$2:$B$10001,MATCH(2646,'Email Cleaner'!$H$2:$H$10001,0)),"")</f>
        <v/>
      </c>
    </row>
    <row r="2648">
      <c r="A2648">
        <f>IFERROR(INDEX('Email Cleaner'!$B$2:$B$10001,MATCH(2647,'Email Cleaner'!$H$2:$H$10001,0)),"")</f>
        <v/>
      </c>
    </row>
    <row r="2649">
      <c r="A2649">
        <f>IFERROR(INDEX('Email Cleaner'!$B$2:$B$10001,MATCH(2648,'Email Cleaner'!$H$2:$H$10001,0)),"")</f>
        <v/>
      </c>
    </row>
    <row r="2650">
      <c r="A2650">
        <f>IFERROR(INDEX('Email Cleaner'!$B$2:$B$10001,MATCH(2649,'Email Cleaner'!$H$2:$H$10001,0)),"")</f>
        <v/>
      </c>
    </row>
    <row r="2651">
      <c r="A2651">
        <f>IFERROR(INDEX('Email Cleaner'!$B$2:$B$10001,MATCH(2650,'Email Cleaner'!$H$2:$H$10001,0)),"")</f>
        <v/>
      </c>
    </row>
    <row r="2652">
      <c r="A2652">
        <f>IFERROR(INDEX('Email Cleaner'!$B$2:$B$10001,MATCH(2651,'Email Cleaner'!$H$2:$H$10001,0)),"")</f>
        <v/>
      </c>
    </row>
    <row r="2653">
      <c r="A2653">
        <f>IFERROR(INDEX('Email Cleaner'!$B$2:$B$10001,MATCH(2652,'Email Cleaner'!$H$2:$H$10001,0)),"")</f>
        <v/>
      </c>
    </row>
    <row r="2654">
      <c r="A2654">
        <f>IFERROR(INDEX('Email Cleaner'!$B$2:$B$10001,MATCH(2653,'Email Cleaner'!$H$2:$H$10001,0)),"")</f>
        <v/>
      </c>
    </row>
    <row r="2655">
      <c r="A2655">
        <f>IFERROR(INDEX('Email Cleaner'!$B$2:$B$10001,MATCH(2654,'Email Cleaner'!$H$2:$H$10001,0)),"")</f>
        <v/>
      </c>
    </row>
    <row r="2656">
      <c r="A2656">
        <f>IFERROR(INDEX('Email Cleaner'!$B$2:$B$10001,MATCH(2655,'Email Cleaner'!$H$2:$H$10001,0)),"")</f>
        <v/>
      </c>
    </row>
    <row r="2657">
      <c r="A2657">
        <f>IFERROR(INDEX('Email Cleaner'!$B$2:$B$10001,MATCH(2656,'Email Cleaner'!$H$2:$H$10001,0)),"")</f>
        <v/>
      </c>
    </row>
    <row r="2658">
      <c r="A2658">
        <f>IFERROR(INDEX('Email Cleaner'!$B$2:$B$10001,MATCH(2657,'Email Cleaner'!$H$2:$H$10001,0)),"")</f>
        <v/>
      </c>
    </row>
    <row r="2659">
      <c r="A2659">
        <f>IFERROR(INDEX('Email Cleaner'!$B$2:$B$10001,MATCH(2658,'Email Cleaner'!$H$2:$H$10001,0)),"")</f>
        <v/>
      </c>
    </row>
    <row r="2660">
      <c r="A2660">
        <f>IFERROR(INDEX('Email Cleaner'!$B$2:$B$10001,MATCH(2659,'Email Cleaner'!$H$2:$H$10001,0)),"")</f>
        <v/>
      </c>
    </row>
    <row r="2661">
      <c r="A2661">
        <f>IFERROR(INDEX('Email Cleaner'!$B$2:$B$10001,MATCH(2660,'Email Cleaner'!$H$2:$H$10001,0)),"")</f>
        <v/>
      </c>
    </row>
    <row r="2662">
      <c r="A2662">
        <f>IFERROR(INDEX('Email Cleaner'!$B$2:$B$10001,MATCH(2661,'Email Cleaner'!$H$2:$H$10001,0)),"")</f>
        <v/>
      </c>
    </row>
    <row r="2663">
      <c r="A2663">
        <f>IFERROR(INDEX('Email Cleaner'!$B$2:$B$10001,MATCH(2662,'Email Cleaner'!$H$2:$H$10001,0)),"")</f>
        <v/>
      </c>
    </row>
    <row r="2664">
      <c r="A2664">
        <f>IFERROR(INDEX('Email Cleaner'!$B$2:$B$10001,MATCH(2663,'Email Cleaner'!$H$2:$H$10001,0)),"")</f>
        <v/>
      </c>
    </row>
    <row r="2665">
      <c r="A2665">
        <f>IFERROR(INDEX('Email Cleaner'!$B$2:$B$10001,MATCH(2664,'Email Cleaner'!$H$2:$H$10001,0)),"")</f>
        <v/>
      </c>
    </row>
    <row r="2666">
      <c r="A2666">
        <f>IFERROR(INDEX('Email Cleaner'!$B$2:$B$10001,MATCH(2665,'Email Cleaner'!$H$2:$H$10001,0)),"")</f>
        <v/>
      </c>
    </row>
    <row r="2667">
      <c r="A2667">
        <f>IFERROR(INDEX('Email Cleaner'!$B$2:$B$10001,MATCH(2666,'Email Cleaner'!$H$2:$H$10001,0)),"")</f>
        <v/>
      </c>
    </row>
    <row r="2668">
      <c r="A2668">
        <f>IFERROR(INDEX('Email Cleaner'!$B$2:$B$10001,MATCH(2667,'Email Cleaner'!$H$2:$H$10001,0)),"")</f>
        <v/>
      </c>
    </row>
    <row r="2669">
      <c r="A2669">
        <f>IFERROR(INDEX('Email Cleaner'!$B$2:$B$10001,MATCH(2668,'Email Cleaner'!$H$2:$H$10001,0)),"")</f>
        <v/>
      </c>
    </row>
    <row r="2670">
      <c r="A2670">
        <f>IFERROR(INDEX('Email Cleaner'!$B$2:$B$10001,MATCH(2669,'Email Cleaner'!$H$2:$H$10001,0)),"")</f>
        <v/>
      </c>
    </row>
    <row r="2671">
      <c r="A2671">
        <f>IFERROR(INDEX('Email Cleaner'!$B$2:$B$10001,MATCH(2670,'Email Cleaner'!$H$2:$H$10001,0)),"")</f>
        <v/>
      </c>
    </row>
    <row r="2672">
      <c r="A2672">
        <f>IFERROR(INDEX('Email Cleaner'!$B$2:$B$10001,MATCH(2671,'Email Cleaner'!$H$2:$H$10001,0)),"")</f>
        <v/>
      </c>
    </row>
    <row r="2673">
      <c r="A2673">
        <f>IFERROR(INDEX('Email Cleaner'!$B$2:$B$10001,MATCH(2672,'Email Cleaner'!$H$2:$H$10001,0)),"")</f>
        <v/>
      </c>
    </row>
    <row r="2674">
      <c r="A2674">
        <f>IFERROR(INDEX('Email Cleaner'!$B$2:$B$10001,MATCH(2673,'Email Cleaner'!$H$2:$H$10001,0)),"")</f>
        <v/>
      </c>
    </row>
    <row r="2675">
      <c r="A2675">
        <f>IFERROR(INDEX('Email Cleaner'!$B$2:$B$10001,MATCH(2674,'Email Cleaner'!$H$2:$H$10001,0)),"")</f>
        <v/>
      </c>
    </row>
    <row r="2676">
      <c r="A2676">
        <f>IFERROR(INDEX('Email Cleaner'!$B$2:$B$10001,MATCH(2675,'Email Cleaner'!$H$2:$H$10001,0)),"")</f>
        <v/>
      </c>
    </row>
    <row r="2677">
      <c r="A2677">
        <f>IFERROR(INDEX('Email Cleaner'!$B$2:$B$10001,MATCH(2676,'Email Cleaner'!$H$2:$H$10001,0)),"")</f>
        <v/>
      </c>
    </row>
    <row r="2678">
      <c r="A2678">
        <f>IFERROR(INDEX('Email Cleaner'!$B$2:$B$10001,MATCH(2677,'Email Cleaner'!$H$2:$H$10001,0)),"")</f>
        <v/>
      </c>
    </row>
    <row r="2679">
      <c r="A2679">
        <f>IFERROR(INDEX('Email Cleaner'!$B$2:$B$10001,MATCH(2678,'Email Cleaner'!$H$2:$H$10001,0)),"")</f>
        <v/>
      </c>
    </row>
    <row r="2680">
      <c r="A2680">
        <f>IFERROR(INDEX('Email Cleaner'!$B$2:$B$10001,MATCH(2679,'Email Cleaner'!$H$2:$H$10001,0)),"")</f>
        <v/>
      </c>
    </row>
    <row r="2681">
      <c r="A2681">
        <f>IFERROR(INDEX('Email Cleaner'!$B$2:$B$10001,MATCH(2680,'Email Cleaner'!$H$2:$H$10001,0)),"")</f>
        <v/>
      </c>
    </row>
    <row r="2682">
      <c r="A2682">
        <f>IFERROR(INDEX('Email Cleaner'!$B$2:$B$10001,MATCH(2681,'Email Cleaner'!$H$2:$H$10001,0)),"")</f>
        <v/>
      </c>
    </row>
    <row r="2683">
      <c r="A2683">
        <f>IFERROR(INDEX('Email Cleaner'!$B$2:$B$10001,MATCH(2682,'Email Cleaner'!$H$2:$H$10001,0)),"")</f>
        <v/>
      </c>
    </row>
    <row r="2684">
      <c r="A2684">
        <f>IFERROR(INDEX('Email Cleaner'!$B$2:$B$10001,MATCH(2683,'Email Cleaner'!$H$2:$H$10001,0)),"")</f>
        <v/>
      </c>
    </row>
    <row r="2685">
      <c r="A2685">
        <f>IFERROR(INDEX('Email Cleaner'!$B$2:$B$10001,MATCH(2684,'Email Cleaner'!$H$2:$H$10001,0)),"")</f>
        <v/>
      </c>
    </row>
    <row r="2686">
      <c r="A2686">
        <f>IFERROR(INDEX('Email Cleaner'!$B$2:$B$10001,MATCH(2685,'Email Cleaner'!$H$2:$H$10001,0)),"")</f>
        <v/>
      </c>
    </row>
    <row r="2687">
      <c r="A2687">
        <f>IFERROR(INDEX('Email Cleaner'!$B$2:$B$10001,MATCH(2686,'Email Cleaner'!$H$2:$H$10001,0)),"")</f>
        <v/>
      </c>
    </row>
    <row r="2688">
      <c r="A2688">
        <f>IFERROR(INDEX('Email Cleaner'!$B$2:$B$10001,MATCH(2687,'Email Cleaner'!$H$2:$H$10001,0)),"")</f>
        <v/>
      </c>
    </row>
    <row r="2689">
      <c r="A2689">
        <f>IFERROR(INDEX('Email Cleaner'!$B$2:$B$10001,MATCH(2688,'Email Cleaner'!$H$2:$H$10001,0)),"")</f>
        <v/>
      </c>
    </row>
    <row r="2690">
      <c r="A2690">
        <f>IFERROR(INDEX('Email Cleaner'!$B$2:$B$10001,MATCH(2689,'Email Cleaner'!$H$2:$H$10001,0)),"")</f>
        <v/>
      </c>
    </row>
    <row r="2691">
      <c r="A2691">
        <f>IFERROR(INDEX('Email Cleaner'!$B$2:$B$10001,MATCH(2690,'Email Cleaner'!$H$2:$H$10001,0)),"")</f>
        <v/>
      </c>
    </row>
    <row r="2692">
      <c r="A2692">
        <f>IFERROR(INDEX('Email Cleaner'!$B$2:$B$10001,MATCH(2691,'Email Cleaner'!$H$2:$H$10001,0)),"")</f>
        <v/>
      </c>
    </row>
    <row r="2693">
      <c r="A2693">
        <f>IFERROR(INDEX('Email Cleaner'!$B$2:$B$10001,MATCH(2692,'Email Cleaner'!$H$2:$H$10001,0)),"")</f>
        <v/>
      </c>
    </row>
    <row r="2694">
      <c r="A2694">
        <f>IFERROR(INDEX('Email Cleaner'!$B$2:$B$10001,MATCH(2693,'Email Cleaner'!$H$2:$H$10001,0)),"")</f>
        <v/>
      </c>
    </row>
    <row r="2695">
      <c r="A2695">
        <f>IFERROR(INDEX('Email Cleaner'!$B$2:$B$10001,MATCH(2694,'Email Cleaner'!$H$2:$H$10001,0)),"")</f>
        <v/>
      </c>
    </row>
    <row r="2696">
      <c r="A2696">
        <f>IFERROR(INDEX('Email Cleaner'!$B$2:$B$10001,MATCH(2695,'Email Cleaner'!$H$2:$H$10001,0)),"")</f>
        <v/>
      </c>
    </row>
    <row r="2697">
      <c r="A2697">
        <f>IFERROR(INDEX('Email Cleaner'!$B$2:$B$10001,MATCH(2696,'Email Cleaner'!$H$2:$H$10001,0)),"")</f>
        <v/>
      </c>
    </row>
    <row r="2698">
      <c r="A2698">
        <f>IFERROR(INDEX('Email Cleaner'!$B$2:$B$10001,MATCH(2697,'Email Cleaner'!$H$2:$H$10001,0)),"")</f>
        <v/>
      </c>
    </row>
    <row r="2699">
      <c r="A2699">
        <f>IFERROR(INDEX('Email Cleaner'!$B$2:$B$10001,MATCH(2698,'Email Cleaner'!$H$2:$H$10001,0)),"")</f>
        <v/>
      </c>
    </row>
    <row r="2700">
      <c r="A2700">
        <f>IFERROR(INDEX('Email Cleaner'!$B$2:$B$10001,MATCH(2699,'Email Cleaner'!$H$2:$H$10001,0)),"")</f>
        <v/>
      </c>
    </row>
    <row r="2701">
      <c r="A2701">
        <f>IFERROR(INDEX('Email Cleaner'!$B$2:$B$10001,MATCH(2700,'Email Cleaner'!$H$2:$H$10001,0)),"")</f>
        <v/>
      </c>
    </row>
    <row r="2702">
      <c r="A2702">
        <f>IFERROR(INDEX('Email Cleaner'!$B$2:$B$10001,MATCH(2701,'Email Cleaner'!$H$2:$H$10001,0)),"")</f>
        <v/>
      </c>
    </row>
    <row r="2703">
      <c r="A2703">
        <f>IFERROR(INDEX('Email Cleaner'!$B$2:$B$10001,MATCH(2702,'Email Cleaner'!$H$2:$H$10001,0)),"")</f>
        <v/>
      </c>
    </row>
    <row r="2704">
      <c r="A2704">
        <f>IFERROR(INDEX('Email Cleaner'!$B$2:$B$10001,MATCH(2703,'Email Cleaner'!$H$2:$H$10001,0)),"")</f>
        <v/>
      </c>
    </row>
    <row r="2705">
      <c r="A2705">
        <f>IFERROR(INDEX('Email Cleaner'!$B$2:$B$10001,MATCH(2704,'Email Cleaner'!$H$2:$H$10001,0)),"")</f>
        <v/>
      </c>
    </row>
    <row r="2706">
      <c r="A2706">
        <f>IFERROR(INDEX('Email Cleaner'!$B$2:$B$10001,MATCH(2705,'Email Cleaner'!$H$2:$H$10001,0)),"")</f>
        <v/>
      </c>
    </row>
    <row r="2707">
      <c r="A2707">
        <f>IFERROR(INDEX('Email Cleaner'!$B$2:$B$10001,MATCH(2706,'Email Cleaner'!$H$2:$H$10001,0)),"")</f>
        <v/>
      </c>
    </row>
    <row r="2708">
      <c r="A2708">
        <f>IFERROR(INDEX('Email Cleaner'!$B$2:$B$10001,MATCH(2707,'Email Cleaner'!$H$2:$H$10001,0)),"")</f>
        <v/>
      </c>
    </row>
    <row r="2709">
      <c r="A2709">
        <f>IFERROR(INDEX('Email Cleaner'!$B$2:$B$10001,MATCH(2708,'Email Cleaner'!$H$2:$H$10001,0)),"")</f>
        <v/>
      </c>
    </row>
    <row r="2710">
      <c r="A2710">
        <f>IFERROR(INDEX('Email Cleaner'!$B$2:$B$10001,MATCH(2709,'Email Cleaner'!$H$2:$H$10001,0)),"")</f>
        <v/>
      </c>
    </row>
    <row r="2711">
      <c r="A2711">
        <f>IFERROR(INDEX('Email Cleaner'!$B$2:$B$10001,MATCH(2710,'Email Cleaner'!$H$2:$H$10001,0)),"")</f>
        <v/>
      </c>
    </row>
    <row r="2712">
      <c r="A2712">
        <f>IFERROR(INDEX('Email Cleaner'!$B$2:$B$10001,MATCH(2711,'Email Cleaner'!$H$2:$H$10001,0)),"")</f>
        <v/>
      </c>
    </row>
    <row r="2713">
      <c r="A2713">
        <f>IFERROR(INDEX('Email Cleaner'!$B$2:$B$10001,MATCH(2712,'Email Cleaner'!$H$2:$H$10001,0)),"")</f>
        <v/>
      </c>
    </row>
    <row r="2714">
      <c r="A2714">
        <f>IFERROR(INDEX('Email Cleaner'!$B$2:$B$10001,MATCH(2713,'Email Cleaner'!$H$2:$H$10001,0)),"")</f>
        <v/>
      </c>
    </row>
    <row r="2715">
      <c r="A2715">
        <f>IFERROR(INDEX('Email Cleaner'!$B$2:$B$10001,MATCH(2714,'Email Cleaner'!$H$2:$H$10001,0)),"")</f>
        <v/>
      </c>
    </row>
    <row r="2716">
      <c r="A2716">
        <f>IFERROR(INDEX('Email Cleaner'!$B$2:$B$10001,MATCH(2715,'Email Cleaner'!$H$2:$H$10001,0)),"")</f>
        <v/>
      </c>
    </row>
    <row r="2717">
      <c r="A2717">
        <f>IFERROR(INDEX('Email Cleaner'!$B$2:$B$10001,MATCH(2716,'Email Cleaner'!$H$2:$H$10001,0)),"")</f>
        <v/>
      </c>
    </row>
    <row r="2718">
      <c r="A2718">
        <f>IFERROR(INDEX('Email Cleaner'!$B$2:$B$10001,MATCH(2717,'Email Cleaner'!$H$2:$H$10001,0)),"")</f>
        <v/>
      </c>
    </row>
    <row r="2719">
      <c r="A2719">
        <f>IFERROR(INDEX('Email Cleaner'!$B$2:$B$10001,MATCH(2718,'Email Cleaner'!$H$2:$H$10001,0)),"")</f>
        <v/>
      </c>
    </row>
    <row r="2720">
      <c r="A2720">
        <f>IFERROR(INDEX('Email Cleaner'!$B$2:$B$10001,MATCH(2719,'Email Cleaner'!$H$2:$H$10001,0)),"")</f>
        <v/>
      </c>
    </row>
    <row r="2721">
      <c r="A2721">
        <f>IFERROR(INDEX('Email Cleaner'!$B$2:$B$10001,MATCH(2720,'Email Cleaner'!$H$2:$H$10001,0)),"")</f>
        <v/>
      </c>
    </row>
    <row r="2722">
      <c r="A2722">
        <f>IFERROR(INDEX('Email Cleaner'!$B$2:$B$10001,MATCH(2721,'Email Cleaner'!$H$2:$H$10001,0)),"")</f>
        <v/>
      </c>
    </row>
    <row r="2723">
      <c r="A2723">
        <f>IFERROR(INDEX('Email Cleaner'!$B$2:$B$10001,MATCH(2722,'Email Cleaner'!$H$2:$H$10001,0)),"")</f>
        <v/>
      </c>
    </row>
    <row r="2724">
      <c r="A2724">
        <f>IFERROR(INDEX('Email Cleaner'!$B$2:$B$10001,MATCH(2723,'Email Cleaner'!$H$2:$H$10001,0)),"")</f>
        <v/>
      </c>
    </row>
    <row r="2725">
      <c r="A2725">
        <f>IFERROR(INDEX('Email Cleaner'!$B$2:$B$10001,MATCH(2724,'Email Cleaner'!$H$2:$H$10001,0)),"")</f>
        <v/>
      </c>
    </row>
    <row r="2726">
      <c r="A2726">
        <f>IFERROR(INDEX('Email Cleaner'!$B$2:$B$10001,MATCH(2725,'Email Cleaner'!$H$2:$H$10001,0)),"")</f>
        <v/>
      </c>
    </row>
    <row r="2727">
      <c r="A2727">
        <f>IFERROR(INDEX('Email Cleaner'!$B$2:$B$10001,MATCH(2726,'Email Cleaner'!$H$2:$H$10001,0)),"")</f>
        <v/>
      </c>
    </row>
    <row r="2728">
      <c r="A2728">
        <f>IFERROR(INDEX('Email Cleaner'!$B$2:$B$10001,MATCH(2727,'Email Cleaner'!$H$2:$H$10001,0)),"")</f>
        <v/>
      </c>
    </row>
    <row r="2729">
      <c r="A2729">
        <f>IFERROR(INDEX('Email Cleaner'!$B$2:$B$10001,MATCH(2728,'Email Cleaner'!$H$2:$H$10001,0)),"")</f>
        <v/>
      </c>
    </row>
    <row r="2730">
      <c r="A2730">
        <f>IFERROR(INDEX('Email Cleaner'!$B$2:$B$10001,MATCH(2729,'Email Cleaner'!$H$2:$H$10001,0)),"")</f>
        <v/>
      </c>
    </row>
    <row r="2731">
      <c r="A2731">
        <f>IFERROR(INDEX('Email Cleaner'!$B$2:$B$10001,MATCH(2730,'Email Cleaner'!$H$2:$H$10001,0)),"")</f>
        <v/>
      </c>
    </row>
    <row r="2732">
      <c r="A2732">
        <f>IFERROR(INDEX('Email Cleaner'!$B$2:$B$10001,MATCH(2731,'Email Cleaner'!$H$2:$H$10001,0)),"")</f>
        <v/>
      </c>
    </row>
    <row r="2733">
      <c r="A2733">
        <f>IFERROR(INDEX('Email Cleaner'!$B$2:$B$10001,MATCH(2732,'Email Cleaner'!$H$2:$H$10001,0)),"")</f>
        <v/>
      </c>
    </row>
    <row r="2734">
      <c r="A2734">
        <f>IFERROR(INDEX('Email Cleaner'!$B$2:$B$10001,MATCH(2733,'Email Cleaner'!$H$2:$H$10001,0)),"")</f>
        <v/>
      </c>
    </row>
    <row r="2735">
      <c r="A2735">
        <f>IFERROR(INDEX('Email Cleaner'!$B$2:$B$10001,MATCH(2734,'Email Cleaner'!$H$2:$H$10001,0)),"")</f>
        <v/>
      </c>
    </row>
    <row r="2736">
      <c r="A2736">
        <f>IFERROR(INDEX('Email Cleaner'!$B$2:$B$10001,MATCH(2735,'Email Cleaner'!$H$2:$H$10001,0)),"")</f>
        <v/>
      </c>
    </row>
    <row r="2737">
      <c r="A2737">
        <f>IFERROR(INDEX('Email Cleaner'!$B$2:$B$10001,MATCH(2736,'Email Cleaner'!$H$2:$H$10001,0)),"")</f>
        <v/>
      </c>
    </row>
    <row r="2738">
      <c r="A2738">
        <f>IFERROR(INDEX('Email Cleaner'!$B$2:$B$10001,MATCH(2737,'Email Cleaner'!$H$2:$H$10001,0)),"")</f>
        <v/>
      </c>
    </row>
    <row r="2739">
      <c r="A2739">
        <f>IFERROR(INDEX('Email Cleaner'!$B$2:$B$10001,MATCH(2738,'Email Cleaner'!$H$2:$H$10001,0)),"")</f>
        <v/>
      </c>
    </row>
    <row r="2740">
      <c r="A2740">
        <f>IFERROR(INDEX('Email Cleaner'!$B$2:$B$10001,MATCH(2739,'Email Cleaner'!$H$2:$H$10001,0)),"")</f>
        <v/>
      </c>
    </row>
    <row r="2741">
      <c r="A2741">
        <f>IFERROR(INDEX('Email Cleaner'!$B$2:$B$10001,MATCH(2740,'Email Cleaner'!$H$2:$H$10001,0)),"")</f>
        <v/>
      </c>
    </row>
    <row r="2742">
      <c r="A2742">
        <f>IFERROR(INDEX('Email Cleaner'!$B$2:$B$10001,MATCH(2741,'Email Cleaner'!$H$2:$H$10001,0)),"")</f>
        <v/>
      </c>
    </row>
    <row r="2743">
      <c r="A2743">
        <f>IFERROR(INDEX('Email Cleaner'!$B$2:$B$10001,MATCH(2742,'Email Cleaner'!$H$2:$H$10001,0)),"")</f>
        <v/>
      </c>
    </row>
    <row r="2744">
      <c r="A2744">
        <f>IFERROR(INDEX('Email Cleaner'!$B$2:$B$10001,MATCH(2743,'Email Cleaner'!$H$2:$H$10001,0)),"")</f>
        <v/>
      </c>
    </row>
    <row r="2745">
      <c r="A2745">
        <f>IFERROR(INDEX('Email Cleaner'!$B$2:$B$10001,MATCH(2744,'Email Cleaner'!$H$2:$H$10001,0)),"")</f>
        <v/>
      </c>
    </row>
    <row r="2746">
      <c r="A2746">
        <f>IFERROR(INDEX('Email Cleaner'!$B$2:$B$10001,MATCH(2745,'Email Cleaner'!$H$2:$H$10001,0)),"")</f>
        <v/>
      </c>
    </row>
    <row r="2747">
      <c r="A2747">
        <f>IFERROR(INDEX('Email Cleaner'!$B$2:$B$10001,MATCH(2746,'Email Cleaner'!$H$2:$H$10001,0)),"")</f>
        <v/>
      </c>
    </row>
    <row r="2748">
      <c r="A2748">
        <f>IFERROR(INDEX('Email Cleaner'!$B$2:$B$10001,MATCH(2747,'Email Cleaner'!$H$2:$H$10001,0)),"")</f>
        <v/>
      </c>
    </row>
    <row r="2749">
      <c r="A2749">
        <f>IFERROR(INDEX('Email Cleaner'!$B$2:$B$10001,MATCH(2748,'Email Cleaner'!$H$2:$H$10001,0)),"")</f>
        <v/>
      </c>
    </row>
    <row r="2750">
      <c r="A2750">
        <f>IFERROR(INDEX('Email Cleaner'!$B$2:$B$10001,MATCH(2749,'Email Cleaner'!$H$2:$H$10001,0)),"")</f>
        <v/>
      </c>
    </row>
    <row r="2751">
      <c r="A2751">
        <f>IFERROR(INDEX('Email Cleaner'!$B$2:$B$10001,MATCH(2750,'Email Cleaner'!$H$2:$H$10001,0)),"")</f>
        <v/>
      </c>
    </row>
    <row r="2752">
      <c r="A2752">
        <f>IFERROR(INDEX('Email Cleaner'!$B$2:$B$10001,MATCH(2751,'Email Cleaner'!$H$2:$H$10001,0)),"")</f>
        <v/>
      </c>
    </row>
    <row r="2753">
      <c r="A2753">
        <f>IFERROR(INDEX('Email Cleaner'!$B$2:$B$10001,MATCH(2752,'Email Cleaner'!$H$2:$H$10001,0)),"")</f>
        <v/>
      </c>
    </row>
    <row r="2754">
      <c r="A2754">
        <f>IFERROR(INDEX('Email Cleaner'!$B$2:$B$10001,MATCH(2753,'Email Cleaner'!$H$2:$H$10001,0)),"")</f>
        <v/>
      </c>
    </row>
    <row r="2755">
      <c r="A2755">
        <f>IFERROR(INDEX('Email Cleaner'!$B$2:$B$10001,MATCH(2754,'Email Cleaner'!$H$2:$H$10001,0)),"")</f>
        <v/>
      </c>
    </row>
    <row r="2756">
      <c r="A2756">
        <f>IFERROR(INDEX('Email Cleaner'!$B$2:$B$10001,MATCH(2755,'Email Cleaner'!$H$2:$H$10001,0)),"")</f>
        <v/>
      </c>
    </row>
    <row r="2757">
      <c r="A2757">
        <f>IFERROR(INDEX('Email Cleaner'!$B$2:$B$10001,MATCH(2756,'Email Cleaner'!$H$2:$H$10001,0)),"")</f>
        <v/>
      </c>
    </row>
    <row r="2758">
      <c r="A2758">
        <f>IFERROR(INDEX('Email Cleaner'!$B$2:$B$10001,MATCH(2757,'Email Cleaner'!$H$2:$H$10001,0)),"")</f>
        <v/>
      </c>
    </row>
    <row r="2759">
      <c r="A2759">
        <f>IFERROR(INDEX('Email Cleaner'!$B$2:$B$10001,MATCH(2758,'Email Cleaner'!$H$2:$H$10001,0)),"")</f>
        <v/>
      </c>
    </row>
    <row r="2760">
      <c r="A2760">
        <f>IFERROR(INDEX('Email Cleaner'!$B$2:$B$10001,MATCH(2759,'Email Cleaner'!$H$2:$H$10001,0)),"")</f>
        <v/>
      </c>
    </row>
    <row r="2761">
      <c r="A2761">
        <f>IFERROR(INDEX('Email Cleaner'!$B$2:$B$10001,MATCH(2760,'Email Cleaner'!$H$2:$H$10001,0)),"")</f>
        <v/>
      </c>
    </row>
    <row r="2762">
      <c r="A2762">
        <f>IFERROR(INDEX('Email Cleaner'!$B$2:$B$10001,MATCH(2761,'Email Cleaner'!$H$2:$H$10001,0)),"")</f>
        <v/>
      </c>
    </row>
    <row r="2763">
      <c r="A2763">
        <f>IFERROR(INDEX('Email Cleaner'!$B$2:$B$10001,MATCH(2762,'Email Cleaner'!$H$2:$H$10001,0)),"")</f>
        <v/>
      </c>
    </row>
    <row r="2764">
      <c r="A2764">
        <f>IFERROR(INDEX('Email Cleaner'!$B$2:$B$10001,MATCH(2763,'Email Cleaner'!$H$2:$H$10001,0)),"")</f>
        <v/>
      </c>
    </row>
    <row r="2765">
      <c r="A2765">
        <f>IFERROR(INDEX('Email Cleaner'!$B$2:$B$10001,MATCH(2764,'Email Cleaner'!$H$2:$H$10001,0)),"")</f>
        <v/>
      </c>
    </row>
    <row r="2766">
      <c r="A2766">
        <f>IFERROR(INDEX('Email Cleaner'!$B$2:$B$10001,MATCH(2765,'Email Cleaner'!$H$2:$H$10001,0)),"")</f>
        <v/>
      </c>
    </row>
    <row r="2767">
      <c r="A2767">
        <f>IFERROR(INDEX('Email Cleaner'!$B$2:$B$10001,MATCH(2766,'Email Cleaner'!$H$2:$H$10001,0)),"")</f>
        <v/>
      </c>
    </row>
    <row r="2768">
      <c r="A2768">
        <f>IFERROR(INDEX('Email Cleaner'!$B$2:$B$10001,MATCH(2767,'Email Cleaner'!$H$2:$H$10001,0)),"")</f>
        <v/>
      </c>
    </row>
    <row r="2769">
      <c r="A2769">
        <f>IFERROR(INDEX('Email Cleaner'!$B$2:$B$10001,MATCH(2768,'Email Cleaner'!$H$2:$H$10001,0)),"")</f>
        <v/>
      </c>
    </row>
    <row r="2770">
      <c r="A2770">
        <f>IFERROR(INDEX('Email Cleaner'!$B$2:$B$10001,MATCH(2769,'Email Cleaner'!$H$2:$H$10001,0)),"")</f>
        <v/>
      </c>
    </row>
    <row r="2771">
      <c r="A2771">
        <f>IFERROR(INDEX('Email Cleaner'!$B$2:$B$10001,MATCH(2770,'Email Cleaner'!$H$2:$H$10001,0)),"")</f>
        <v/>
      </c>
    </row>
    <row r="2772">
      <c r="A2772">
        <f>IFERROR(INDEX('Email Cleaner'!$B$2:$B$10001,MATCH(2771,'Email Cleaner'!$H$2:$H$10001,0)),"")</f>
        <v/>
      </c>
    </row>
    <row r="2773">
      <c r="A2773">
        <f>IFERROR(INDEX('Email Cleaner'!$B$2:$B$10001,MATCH(2772,'Email Cleaner'!$H$2:$H$10001,0)),"")</f>
        <v/>
      </c>
    </row>
    <row r="2774">
      <c r="A2774">
        <f>IFERROR(INDEX('Email Cleaner'!$B$2:$B$10001,MATCH(2773,'Email Cleaner'!$H$2:$H$10001,0)),"")</f>
        <v/>
      </c>
    </row>
    <row r="2775">
      <c r="A2775">
        <f>IFERROR(INDEX('Email Cleaner'!$B$2:$B$10001,MATCH(2774,'Email Cleaner'!$H$2:$H$10001,0)),"")</f>
        <v/>
      </c>
    </row>
    <row r="2776">
      <c r="A2776">
        <f>IFERROR(INDEX('Email Cleaner'!$B$2:$B$10001,MATCH(2775,'Email Cleaner'!$H$2:$H$10001,0)),"")</f>
        <v/>
      </c>
    </row>
    <row r="2777">
      <c r="A2777">
        <f>IFERROR(INDEX('Email Cleaner'!$B$2:$B$10001,MATCH(2776,'Email Cleaner'!$H$2:$H$10001,0)),"")</f>
        <v/>
      </c>
    </row>
    <row r="2778">
      <c r="A2778">
        <f>IFERROR(INDEX('Email Cleaner'!$B$2:$B$10001,MATCH(2777,'Email Cleaner'!$H$2:$H$10001,0)),"")</f>
        <v/>
      </c>
    </row>
    <row r="2779">
      <c r="A2779">
        <f>IFERROR(INDEX('Email Cleaner'!$B$2:$B$10001,MATCH(2778,'Email Cleaner'!$H$2:$H$10001,0)),"")</f>
        <v/>
      </c>
    </row>
    <row r="2780">
      <c r="A2780">
        <f>IFERROR(INDEX('Email Cleaner'!$B$2:$B$10001,MATCH(2779,'Email Cleaner'!$H$2:$H$10001,0)),"")</f>
        <v/>
      </c>
    </row>
    <row r="2781">
      <c r="A2781">
        <f>IFERROR(INDEX('Email Cleaner'!$B$2:$B$10001,MATCH(2780,'Email Cleaner'!$H$2:$H$10001,0)),"")</f>
        <v/>
      </c>
    </row>
    <row r="2782">
      <c r="A2782">
        <f>IFERROR(INDEX('Email Cleaner'!$B$2:$B$10001,MATCH(2781,'Email Cleaner'!$H$2:$H$10001,0)),"")</f>
        <v/>
      </c>
    </row>
    <row r="2783">
      <c r="A2783">
        <f>IFERROR(INDEX('Email Cleaner'!$B$2:$B$10001,MATCH(2782,'Email Cleaner'!$H$2:$H$10001,0)),"")</f>
        <v/>
      </c>
    </row>
    <row r="2784">
      <c r="A2784">
        <f>IFERROR(INDEX('Email Cleaner'!$B$2:$B$10001,MATCH(2783,'Email Cleaner'!$H$2:$H$10001,0)),"")</f>
        <v/>
      </c>
    </row>
    <row r="2785">
      <c r="A2785">
        <f>IFERROR(INDEX('Email Cleaner'!$B$2:$B$10001,MATCH(2784,'Email Cleaner'!$H$2:$H$10001,0)),"")</f>
        <v/>
      </c>
    </row>
    <row r="2786">
      <c r="A2786">
        <f>IFERROR(INDEX('Email Cleaner'!$B$2:$B$10001,MATCH(2785,'Email Cleaner'!$H$2:$H$10001,0)),"")</f>
        <v/>
      </c>
    </row>
    <row r="2787">
      <c r="A2787">
        <f>IFERROR(INDEX('Email Cleaner'!$B$2:$B$10001,MATCH(2786,'Email Cleaner'!$H$2:$H$10001,0)),"")</f>
        <v/>
      </c>
    </row>
    <row r="2788">
      <c r="A2788">
        <f>IFERROR(INDEX('Email Cleaner'!$B$2:$B$10001,MATCH(2787,'Email Cleaner'!$H$2:$H$10001,0)),"")</f>
        <v/>
      </c>
    </row>
    <row r="2789">
      <c r="A2789">
        <f>IFERROR(INDEX('Email Cleaner'!$B$2:$B$10001,MATCH(2788,'Email Cleaner'!$H$2:$H$10001,0)),"")</f>
        <v/>
      </c>
    </row>
    <row r="2790">
      <c r="A2790">
        <f>IFERROR(INDEX('Email Cleaner'!$B$2:$B$10001,MATCH(2789,'Email Cleaner'!$H$2:$H$10001,0)),"")</f>
        <v/>
      </c>
    </row>
    <row r="2791">
      <c r="A2791">
        <f>IFERROR(INDEX('Email Cleaner'!$B$2:$B$10001,MATCH(2790,'Email Cleaner'!$H$2:$H$10001,0)),"")</f>
        <v/>
      </c>
    </row>
    <row r="2792">
      <c r="A2792">
        <f>IFERROR(INDEX('Email Cleaner'!$B$2:$B$10001,MATCH(2791,'Email Cleaner'!$H$2:$H$10001,0)),"")</f>
        <v/>
      </c>
    </row>
    <row r="2793">
      <c r="A2793">
        <f>IFERROR(INDEX('Email Cleaner'!$B$2:$B$10001,MATCH(2792,'Email Cleaner'!$H$2:$H$10001,0)),"")</f>
        <v/>
      </c>
    </row>
    <row r="2794">
      <c r="A2794">
        <f>IFERROR(INDEX('Email Cleaner'!$B$2:$B$10001,MATCH(2793,'Email Cleaner'!$H$2:$H$10001,0)),"")</f>
        <v/>
      </c>
    </row>
    <row r="2795">
      <c r="A2795">
        <f>IFERROR(INDEX('Email Cleaner'!$B$2:$B$10001,MATCH(2794,'Email Cleaner'!$H$2:$H$10001,0)),"")</f>
        <v/>
      </c>
    </row>
    <row r="2796">
      <c r="A2796">
        <f>IFERROR(INDEX('Email Cleaner'!$B$2:$B$10001,MATCH(2795,'Email Cleaner'!$H$2:$H$10001,0)),"")</f>
        <v/>
      </c>
    </row>
    <row r="2797">
      <c r="A2797">
        <f>IFERROR(INDEX('Email Cleaner'!$B$2:$B$10001,MATCH(2796,'Email Cleaner'!$H$2:$H$10001,0)),"")</f>
        <v/>
      </c>
    </row>
    <row r="2798">
      <c r="A2798">
        <f>IFERROR(INDEX('Email Cleaner'!$B$2:$B$10001,MATCH(2797,'Email Cleaner'!$H$2:$H$10001,0)),"")</f>
        <v/>
      </c>
    </row>
    <row r="2799">
      <c r="A2799">
        <f>IFERROR(INDEX('Email Cleaner'!$B$2:$B$10001,MATCH(2798,'Email Cleaner'!$H$2:$H$10001,0)),"")</f>
        <v/>
      </c>
    </row>
    <row r="2800">
      <c r="A2800">
        <f>IFERROR(INDEX('Email Cleaner'!$B$2:$B$10001,MATCH(2799,'Email Cleaner'!$H$2:$H$10001,0)),"")</f>
        <v/>
      </c>
    </row>
    <row r="2801">
      <c r="A2801">
        <f>IFERROR(INDEX('Email Cleaner'!$B$2:$B$10001,MATCH(2800,'Email Cleaner'!$H$2:$H$10001,0)),"")</f>
        <v/>
      </c>
    </row>
    <row r="2802">
      <c r="A2802">
        <f>IFERROR(INDEX('Email Cleaner'!$B$2:$B$10001,MATCH(2801,'Email Cleaner'!$H$2:$H$10001,0)),"")</f>
        <v/>
      </c>
    </row>
    <row r="2803">
      <c r="A2803">
        <f>IFERROR(INDEX('Email Cleaner'!$B$2:$B$10001,MATCH(2802,'Email Cleaner'!$H$2:$H$10001,0)),"")</f>
        <v/>
      </c>
    </row>
    <row r="2804">
      <c r="A2804">
        <f>IFERROR(INDEX('Email Cleaner'!$B$2:$B$10001,MATCH(2803,'Email Cleaner'!$H$2:$H$10001,0)),"")</f>
        <v/>
      </c>
    </row>
    <row r="2805">
      <c r="A2805">
        <f>IFERROR(INDEX('Email Cleaner'!$B$2:$B$10001,MATCH(2804,'Email Cleaner'!$H$2:$H$10001,0)),"")</f>
        <v/>
      </c>
    </row>
    <row r="2806">
      <c r="A2806">
        <f>IFERROR(INDEX('Email Cleaner'!$B$2:$B$10001,MATCH(2805,'Email Cleaner'!$H$2:$H$10001,0)),"")</f>
        <v/>
      </c>
    </row>
    <row r="2807">
      <c r="A2807">
        <f>IFERROR(INDEX('Email Cleaner'!$B$2:$B$10001,MATCH(2806,'Email Cleaner'!$H$2:$H$10001,0)),"")</f>
        <v/>
      </c>
    </row>
    <row r="2808">
      <c r="A2808">
        <f>IFERROR(INDEX('Email Cleaner'!$B$2:$B$10001,MATCH(2807,'Email Cleaner'!$H$2:$H$10001,0)),"")</f>
        <v/>
      </c>
    </row>
    <row r="2809">
      <c r="A2809">
        <f>IFERROR(INDEX('Email Cleaner'!$B$2:$B$10001,MATCH(2808,'Email Cleaner'!$H$2:$H$10001,0)),"")</f>
        <v/>
      </c>
    </row>
    <row r="2810">
      <c r="A2810">
        <f>IFERROR(INDEX('Email Cleaner'!$B$2:$B$10001,MATCH(2809,'Email Cleaner'!$H$2:$H$10001,0)),"")</f>
        <v/>
      </c>
    </row>
    <row r="2811">
      <c r="A2811">
        <f>IFERROR(INDEX('Email Cleaner'!$B$2:$B$10001,MATCH(2810,'Email Cleaner'!$H$2:$H$10001,0)),"")</f>
        <v/>
      </c>
    </row>
    <row r="2812">
      <c r="A2812">
        <f>IFERROR(INDEX('Email Cleaner'!$B$2:$B$10001,MATCH(2811,'Email Cleaner'!$H$2:$H$10001,0)),"")</f>
        <v/>
      </c>
    </row>
    <row r="2813">
      <c r="A2813">
        <f>IFERROR(INDEX('Email Cleaner'!$B$2:$B$10001,MATCH(2812,'Email Cleaner'!$H$2:$H$10001,0)),"")</f>
        <v/>
      </c>
    </row>
    <row r="2814">
      <c r="A2814">
        <f>IFERROR(INDEX('Email Cleaner'!$B$2:$B$10001,MATCH(2813,'Email Cleaner'!$H$2:$H$10001,0)),"")</f>
        <v/>
      </c>
    </row>
    <row r="2815">
      <c r="A2815">
        <f>IFERROR(INDEX('Email Cleaner'!$B$2:$B$10001,MATCH(2814,'Email Cleaner'!$H$2:$H$10001,0)),"")</f>
        <v/>
      </c>
    </row>
    <row r="2816">
      <c r="A2816">
        <f>IFERROR(INDEX('Email Cleaner'!$B$2:$B$10001,MATCH(2815,'Email Cleaner'!$H$2:$H$10001,0)),"")</f>
        <v/>
      </c>
    </row>
    <row r="2817">
      <c r="A2817">
        <f>IFERROR(INDEX('Email Cleaner'!$B$2:$B$10001,MATCH(2816,'Email Cleaner'!$H$2:$H$10001,0)),"")</f>
        <v/>
      </c>
    </row>
    <row r="2818">
      <c r="A2818">
        <f>IFERROR(INDEX('Email Cleaner'!$B$2:$B$10001,MATCH(2817,'Email Cleaner'!$H$2:$H$10001,0)),"")</f>
        <v/>
      </c>
    </row>
    <row r="2819">
      <c r="A2819">
        <f>IFERROR(INDEX('Email Cleaner'!$B$2:$B$10001,MATCH(2818,'Email Cleaner'!$H$2:$H$10001,0)),"")</f>
        <v/>
      </c>
    </row>
    <row r="2820">
      <c r="A2820">
        <f>IFERROR(INDEX('Email Cleaner'!$B$2:$B$10001,MATCH(2819,'Email Cleaner'!$H$2:$H$10001,0)),"")</f>
        <v/>
      </c>
    </row>
    <row r="2821">
      <c r="A2821">
        <f>IFERROR(INDEX('Email Cleaner'!$B$2:$B$10001,MATCH(2820,'Email Cleaner'!$H$2:$H$10001,0)),"")</f>
        <v/>
      </c>
    </row>
    <row r="2822">
      <c r="A2822">
        <f>IFERROR(INDEX('Email Cleaner'!$B$2:$B$10001,MATCH(2821,'Email Cleaner'!$H$2:$H$10001,0)),"")</f>
        <v/>
      </c>
    </row>
    <row r="2823">
      <c r="A2823">
        <f>IFERROR(INDEX('Email Cleaner'!$B$2:$B$10001,MATCH(2822,'Email Cleaner'!$H$2:$H$10001,0)),"")</f>
        <v/>
      </c>
    </row>
    <row r="2824">
      <c r="A2824">
        <f>IFERROR(INDEX('Email Cleaner'!$B$2:$B$10001,MATCH(2823,'Email Cleaner'!$H$2:$H$10001,0)),"")</f>
        <v/>
      </c>
    </row>
    <row r="2825">
      <c r="A2825">
        <f>IFERROR(INDEX('Email Cleaner'!$B$2:$B$10001,MATCH(2824,'Email Cleaner'!$H$2:$H$10001,0)),"")</f>
        <v/>
      </c>
    </row>
    <row r="2826">
      <c r="A2826">
        <f>IFERROR(INDEX('Email Cleaner'!$B$2:$B$10001,MATCH(2825,'Email Cleaner'!$H$2:$H$10001,0)),"")</f>
        <v/>
      </c>
    </row>
    <row r="2827">
      <c r="A2827">
        <f>IFERROR(INDEX('Email Cleaner'!$B$2:$B$10001,MATCH(2826,'Email Cleaner'!$H$2:$H$10001,0)),"")</f>
        <v/>
      </c>
    </row>
    <row r="2828">
      <c r="A2828">
        <f>IFERROR(INDEX('Email Cleaner'!$B$2:$B$10001,MATCH(2827,'Email Cleaner'!$H$2:$H$10001,0)),"")</f>
        <v/>
      </c>
    </row>
    <row r="2829">
      <c r="A2829">
        <f>IFERROR(INDEX('Email Cleaner'!$B$2:$B$10001,MATCH(2828,'Email Cleaner'!$H$2:$H$10001,0)),"")</f>
        <v/>
      </c>
    </row>
    <row r="2830">
      <c r="A2830">
        <f>IFERROR(INDEX('Email Cleaner'!$B$2:$B$10001,MATCH(2829,'Email Cleaner'!$H$2:$H$10001,0)),"")</f>
        <v/>
      </c>
    </row>
    <row r="2831">
      <c r="A2831">
        <f>IFERROR(INDEX('Email Cleaner'!$B$2:$B$10001,MATCH(2830,'Email Cleaner'!$H$2:$H$10001,0)),"")</f>
        <v/>
      </c>
    </row>
    <row r="2832">
      <c r="A2832">
        <f>IFERROR(INDEX('Email Cleaner'!$B$2:$B$10001,MATCH(2831,'Email Cleaner'!$H$2:$H$10001,0)),"")</f>
        <v/>
      </c>
    </row>
    <row r="2833">
      <c r="A2833">
        <f>IFERROR(INDEX('Email Cleaner'!$B$2:$B$10001,MATCH(2832,'Email Cleaner'!$H$2:$H$10001,0)),"")</f>
        <v/>
      </c>
    </row>
    <row r="2834">
      <c r="A2834">
        <f>IFERROR(INDEX('Email Cleaner'!$B$2:$B$10001,MATCH(2833,'Email Cleaner'!$H$2:$H$10001,0)),"")</f>
        <v/>
      </c>
    </row>
    <row r="2835">
      <c r="A2835">
        <f>IFERROR(INDEX('Email Cleaner'!$B$2:$B$10001,MATCH(2834,'Email Cleaner'!$H$2:$H$10001,0)),"")</f>
        <v/>
      </c>
    </row>
    <row r="2836">
      <c r="A2836">
        <f>IFERROR(INDEX('Email Cleaner'!$B$2:$B$10001,MATCH(2835,'Email Cleaner'!$H$2:$H$10001,0)),"")</f>
        <v/>
      </c>
    </row>
    <row r="2837">
      <c r="A2837">
        <f>IFERROR(INDEX('Email Cleaner'!$B$2:$B$10001,MATCH(2836,'Email Cleaner'!$H$2:$H$10001,0)),"")</f>
        <v/>
      </c>
    </row>
    <row r="2838">
      <c r="A2838">
        <f>IFERROR(INDEX('Email Cleaner'!$B$2:$B$10001,MATCH(2837,'Email Cleaner'!$H$2:$H$10001,0)),"")</f>
        <v/>
      </c>
    </row>
    <row r="2839">
      <c r="A2839">
        <f>IFERROR(INDEX('Email Cleaner'!$B$2:$B$10001,MATCH(2838,'Email Cleaner'!$H$2:$H$10001,0)),"")</f>
        <v/>
      </c>
    </row>
    <row r="2840">
      <c r="A2840">
        <f>IFERROR(INDEX('Email Cleaner'!$B$2:$B$10001,MATCH(2839,'Email Cleaner'!$H$2:$H$10001,0)),"")</f>
        <v/>
      </c>
    </row>
    <row r="2841">
      <c r="A2841">
        <f>IFERROR(INDEX('Email Cleaner'!$B$2:$B$10001,MATCH(2840,'Email Cleaner'!$H$2:$H$10001,0)),"")</f>
        <v/>
      </c>
    </row>
    <row r="2842">
      <c r="A2842">
        <f>IFERROR(INDEX('Email Cleaner'!$B$2:$B$10001,MATCH(2841,'Email Cleaner'!$H$2:$H$10001,0)),"")</f>
        <v/>
      </c>
    </row>
    <row r="2843">
      <c r="A2843">
        <f>IFERROR(INDEX('Email Cleaner'!$B$2:$B$10001,MATCH(2842,'Email Cleaner'!$H$2:$H$10001,0)),"")</f>
        <v/>
      </c>
    </row>
    <row r="2844">
      <c r="A2844">
        <f>IFERROR(INDEX('Email Cleaner'!$B$2:$B$10001,MATCH(2843,'Email Cleaner'!$H$2:$H$10001,0)),"")</f>
        <v/>
      </c>
    </row>
    <row r="2845">
      <c r="A2845">
        <f>IFERROR(INDEX('Email Cleaner'!$B$2:$B$10001,MATCH(2844,'Email Cleaner'!$H$2:$H$10001,0)),"")</f>
        <v/>
      </c>
    </row>
    <row r="2846">
      <c r="A2846">
        <f>IFERROR(INDEX('Email Cleaner'!$B$2:$B$10001,MATCH(2845,'Email Cleaner'!$H$2:$H$10001,0)),"")</f>
        <v/>
      </c>
    </row>
    <row r="2847">
      <c r="A2847">
        <f>IFERROR(INDEX('Email Cleaner'!$B$2:$B$10001,MATCH(2846,'Email Cleaner'!$H$2:$H$10001,0)),"")</f>
        <v/>
      </c>
    </row>
    <row r="2848">
      <c r="A2848">
        <f>IFERROR(INDEX('Email Cleaner'!$B$2:$B$10001,MATCH(2847,'Email Cleaner'!$H$2:$H$10001,0)),"")</f>
        <v/>
      </c>
    </row>
    <row r="2849">
      <c r="A2849">
        <f>IFERROR(INDEX('Email Cleaner'!$B$2:$B$10001,MATCH(2848,'Email Cleaner'!$H$2:$H$10001,0)),"")</f>
        <v/>
      </c>
    </row>
    <row r="2850">
      <c r="A2850">
        <f>IFERROR(INDEX('Email Cleaner'!$B$2:$B$10001,MATCH(2849,'Email Cleaner'!$H$2:$H$10001,0)),"")</f>
        <v/>
      </c>
    </row>
    <row r="2851">
      <c r="A2851">
        <f>IFERROR(INDEX('Email Cleaner'!$B$2:$B$10001,MATCH(2850,'Email Cleaner'!$H$2:$H$10001,0)),"")</f>
        <v/>
      </c>
    </row>
    <row r="2852">
      <c r="A2852">
        <f>IFERROR(INDEX('Email Cleaner'!$B$2:$B$10001,MATCH(2851,'Email Cleaner'!$H$2:$H$10001,0)),"")</f>
        <v/>
      </c>
    </row>
    <row r="2853">
      <c r="A2853">
        <f>IFERROR(INDEX('Email Cleaner'!$B$2:$B$10001,MATCH(2852,'Email Cleaner'!$H$2:$H$10001,0)),"")</f>
        <v/>
      </c>
    </row>
    <row r="2854">
      <c r="A2854">
        <f>IFERROR(INDEX('Email Cleaner'!$B$2:$B$10001,MATCH(2853,'Email Cleaner'!$H$2:$H$10001,0)),"")</f>
        <v/>
      </c>
    </row>
    <row r="2855">
      <c r="A2855">
        <f>IFERROR(INDEX('Email Cleaner'!$B$2:$B$10001,MATCH(2854,'Email Cleaner'!$H$2:$H$10001,0)),"")</f>
        <v/>
      </c>
    </row>
    <row r="2856">
      <c r="A2856">
        <f>IFERROR(INDEX('Email Cleaner'!$B$2:$B$10001,MATCH(2855,'Email Cleaner'!$H$2:$H$10001,0)),"")</f>
        <v/>
      </c>
    </row>
    <row r="2857">
      <c r="A2857">
        <f>IFERROR(INDEX('Email Cleaner'!$B$2:$B$10001,MATCH(2856,'Email Cleaner'!$H$2:$H$10001,0)),"")</f>
        <v/>
      </c>
    </row>
    <row r="2858">
      <c r="A2858">
        <f>IFERROR(INDEX('Email Cleaner'!$B$2:$B$10001,MATCH(2857,'Email Cleaner'!$H$2:$H$10001,0)),"")</f>
        <v/>
      </c>
    </row>
    <row r="2859">
      <c r="A2859">
        <f>IFERROR(INDEX('Email Cleaner'!$B$2:$B$10001,MATCH(2858,'Email Cleaner'!$H$2:$H$10001,0)),"")</f>
        <v/>
      </c>
    </row>
    <row r="2860">
      <c r="A2860">
        <f>IFERROR(INDEX('Email Cleaner'!$B$2:$B$10001,MATCH(2859,'Email Cleaner'!$H$2:$H$10001,0)),"")</f>
        <v/>
      </c>
    </row>
    <row r="2861">
      <c r="A2861">
        <f>IFERROR(INDEX('Email Cleaner'!$B$2:$B$10001,MATCH(2860,'Email Cleaner'!$H$2:$H$10001,0)),"")</f>
        <v/>
      </c>
    </row>
    <row r="2862">
      <c r="A2862">
        <f>IFERROR(INDEX('Email Cleaner'!$B$2:$B$10001,MATCH(2861,'Email Cleaner'!$H$2:$H$10001,0)),"")</f>
        <v/>
      </c>
    </row>
    <row r="2863">
      <c r="A2863">
        <f>IFERROR(INDEX('Email Cleaner'!$B$2:$B$10001,MATCH(2862,'Email Cleaner'!$H$2:$H$10001,0)),"")</f>
        <v/>
      </c>
    </row>
    <row r="2864">
      <c r="A2864">
        <f>IFERROR(INDEX('Email Cleaner'!$B$2:$B$10001,MATCH(2863,'Email Cleaner'!$H$2:$H$10001,0)),"")</f>
        <v/>
      </c>
    </row>
    <row r="2865">
      <c r="A2865">
        <f>IFERROR(INDEX('Email Cleaner'!$B$2:$B$10001,MATCH(2864,'Email Cleaner'!$H$2:$H$10001,0)),"")</f>
        <v/>
      </c>
    </row>
    <row r="2866">
      <c r="A2866">
        <f>IFERROR(INDEX('Email Cleaner'!$B$2:$B$10001,MATCH(2865,'Email Cleaner'!$H$2:$H$10001,0)),"")</f>
        <v/>
      </c>
    </row>
    <row r="2867">
      <c r="A2867">
        <f>IFERROR(INDEX('Email Cleaner'!$B$2:$B$10001,MATCH(2866,'Email Cleaner'!$H$2:$H$10001,0)),"")</f>
        <v/>
      </c>
    </row>
    <row r="2868">
      <c r="A2868">
        <f>IFERROR(INDEX('Email Cleaner'!$B$2:$B$10001,MATCH(2867,'Email Cleaner'!$H$2:$H$10001,0)),"")</f>
        <v/>
      </c>
    </row>
    <row r="2869">
      <c r="A2869">
        <f>IFERROR(INDEX('Email Cleaner'!$B$2:$B$10001,MATCH(2868,'Email Cleaner'!$H$2:$H$10001,0)),"")</f>
        <v/>
      </c>
    </row>
    <row r="2870">
      <c r="A2870">
        <f>IFERROR(INDEX('Email Cleaner'!$B$2:$B$10001,MATCH(2869,'Email Cleaner'!$H$2:$H$10001,0)),"")</f>
        <v/>
      </c>
    </row>
    <row r="2871">
      <c r="A2871">
        <f>IFERROR(INDEX('Email Cleaner'!$B$2:$B$10001,MATCH(2870,'Email Cleaner'!$H$2:$H$10001,0)),"")</f>
        <v/>
      </c>
    </row>
    <row r="2872">
      <c r="A2872">
        <f>IFERROR(INDEX('Email Cleaner'!$B$2:$B$10001,MATCH(2871,'Email Cleaner'!$H$2:$H$10001,0)),"")</f>
        <v/>
      </c>
    </row>
    <row r="2873">
      <c r="A2873">
        <f>IFERROR(INDEX('Email Cleaner'!$B$2:$B$10001,MATCH(2872,'Email Cleaner'!$H$2:$H$10001,0)),"")</f>
        <v/>
      </c>
    </row>
    <row r="2874">
      <c r="A2874">
        <f>IFERROR(INDEX('Email Cleaner'!$B$2:$B$10001,MATCH(2873,'Email Cleaner'!$H$2:$H$10001,0)),"")</f>
        <v/>
      </c>
    </row>
    <row r="2875">
      <c r="A2875">
        <f>IFERROR(INDEX('Email Cleaner'!$B$2:$B$10001,MATCH(2874,'Email Cleaner'!$H$2:$H$10001,0)),"")</f>
        <v/>
      </c>
    </row>
    <row r="2876">
      <c r="A2876">
        <f>IFERROR(INDEX('Email Cleaner'!$B$2:$B$10001,MATCH(2875,'Email Cleaner'!$H$2:$H$10001,0)),"")</f>
        <v/>
      </c>
    </row>
    <row r="2877">
      <c r="A2877">
        <f>IFERROR(INDEX('Email Cleaner'!$B$2:$B$10001,MATCH(2876,'Email Cleaner'!$H$2:$H$10001,0)),"")</f>
        <v/>
      </c>
    </row>
    <row r="2878">
      <c r="A2878">
        <f>IFERROR(INDEX('Email Cleaner'!$B$2:$B$10001,MATCH(2877,'Email Cleaner'!$H$2:$H$10001,0)),"")</f>
        <v/>
      </c>
    </row>
    <row r="2879">
      <c r="A2879">
        <f>IFERROR(INDEX('Email Cleaner'!$B$2:$B$10001,MATCH(2878,'Email Cleaner'!$H$2:$H$10001,0)),"")</f>
        <v/>
      </c>
    </row>
    <row r="2880">
      <c r="A2880">
        <f>IFERROR(INDEX('Email Cleaner'!$B$2:$B$10001,MATCH(2879,'Email Cleaner'!$H$2:$H$10001,0)),"")</f>
        <v/>
      </c>
    </row>
    <row r="2881">
      <c r="A2881">
        <f>IFERROR(INDEX('Email Cleaner'!$B$2:$B$10001,MATCH(2880,'Email Cleaner'!$H$2:$H$10001,0)),"")</f>
        <v/>
      </c>
    </row>
    <row r="2882">
      <c r="A2882">
        <f>IFERROR(INDEX('Email Cleaner'!$B$2:$B$10001,MATCH(2881,'Email Cleaner'!$H$2:$H$10001,0)),"")</f>
        <v/>
      </c>
    </row>
    <row r="2883">
      <c r="A2883">
        <f>IFERROR(INDEX('Email Cleaner'!$B$2:$B$10001,MATCH(2882,'Email Cleaner'!$H$2:$H$10001,0)),"")</f>
        <v/>
      </c>
    </row>
    <row r="2884">
      <c r="A2884">
        <f>IFERROR(INDEX('Email Cleaner'!$B$2:$B$10001,MATCH(2883,'Email Cleaner'!$H$2:$H$10001,0)),"")</f>
        <v/>
      </c>
    </row>
    <row r="2885">
      <c r="A2885">
        <f>IFERROR(INDEX('Email Cleaner'!$B$2:$B$10001,MATCH(2884,'Email Cleaner'!$H$2:$H$10001,0)),"")</f>
        <v/>
      </c>
    </row>
    <row r="2886">
      <c r="A2886">
        <f>IFERROR(INDEX('Email Cleaner'!$B$2:$B$10001,MATCH(2885,'Email Cleaner'!$H$2:$H$10001,0)),"")</f>
        <v/>
      </c>
    </row>
    <row r="2887">
      <c r="A2887">
        <f>IFERROR(INDEX('Email Cleaner'!$B$2:$B$10001,MATCH(2886,'Email Cleaner'!$H$2:$H$10001,0)),"")</f>
        <v/>
      </c>
    </row>
    <row r="2888">
      <c r="A2888">
        <f>IFERROR(INDEX('Email Cleaner'!$B$2:$B$10001,MATCH(2887,'Email Cleaner'!$H$2:$H$10001,0)),"")</f>
        <v/>
      </c>
    </row>
    <row r="2889">
      <c r="A2889">
        <f>IFERROR(INDEX('Email Cleaner'!$B$2:$B$10001,MATCH(2888,'Email Cleaner'!$H$2:$H$10001,0)),"")</f>
        <v/>
      </c>
    </row>
    <row r="2890">
      <c r="A2890">
        <f>IFERROR(INDEX('Email Cleaner'!$B$2:$B$10001,MATCH(2889,'Email Cleaner'!$H$2:$H$10001,0)),"")</f>
        <v/>
      </c>
    </row>
    <row r="2891">
      <c r="A2891">
        <f>IFERROR(INDEX('Email Cleaner'!$B$2:$B$10001,MATCH(2890,'Email Cleaner'!$H$2:$H$10001,0)),"")</f>
        <v/>
      </c>
    </row>
    <row r="2892">
      <c r="A2892">
        <f>IFERROR(INDEX('Email Cleaner'!$B$2:$B$10001,MATCH(2891,'Email Cleaner'!$H$2:$H$10001,0)),"")</f>
        <v/>
      </c>
    </row>
    <row r="2893">
      <c r="A2893">
        <f>IFERROR(INDEX('Email Cleaner'!$B$2:$B$10001,MATCH(2892,'Email Cleaner'!$H$2:$H$10001,0)),"")</f>
        <v/>
      </c>
    </row>
    <row r="2894">
      <c r="A2894">
        <f>IFERROR(INDEX('Email Cleaner'!$B$2:$B$10001,MATCH(2893,'Email Cleaner'!$H$2:$H$10001,0)),"")</f>
        <v/>
      </c>
    </row>
    <row r="2895">
      <c r="A2895">
        <f>IFERROR(INDEX('Email Cleaner'!$B$2:$B$10001,MATCH(2894,'Email Cleaner'!$H$2:$H$10001,0)),"")</f>
        <v/>
      </c>
    </row>
    <row r="2896">
      <c r="A2896">
        <f>IFERROR(INDEX('Email Cleaner'!$B$2:$B$10001,MATCH(2895,'Email Cleaner'!$H$2:$H$10001,0)),"")</f>
        <v/>
      </c>
    </row>
    <row r="2897">
      <c r="A2897">
        <f>IFERROR(INDEX('Email Cleaner'!$B$2:$B$10001,MATCH(2896,'Email Cleaner'!$H$2:$H$10001,0)),"")</f>
        <v/>
      </c>
    </row>
    <row r="2898">
      <c r="A2898">
        <f>IFERROR(INDEX('Email Cleaner'!$B$2:$B$10001,MATCH(2897,'Email Cleaner'!$H$2:$H$10001,0)),"")</f>
        <v/>
      </c>
    </row>
    <row r="2899">
      <c r="A2899">
        <f>IFERROR(INDEX('Email Cleaner'!$B$2:$B$10001,MATCH(2898,'Email Cleaner'!$H$2:$H$10001,0)),"")</f>
        <v/>
      </c>
    </row>
    <row r="2900">
      <c r="A2900">
        <f>IFERROR(INDEX('Email Cleaner'!$B$2:$B$10001,MATCH(2899,'Email Cleaner'!$H$2:$H$10001,0)),"")</f>
        <v/>
      </c>
    </row>
    <row r="2901">
      <c r="A2901">
        <f>IFERROR(INDEX('Email Cleaner'!$B$2:$B$10001,MATCH(2900,'Email Cleaner'!$H$2:$H$10001,0)),"")</f>
        <v/>
      </c>
    </row>
    <row r="2902">
      <c r="A2902">
        <f>IFERROR(INDEX('Email Cleaner'!$B$2:$B$10001,MATCH(2901,'Email Cleaner'!$H$2:$H$10001,0)),"")</f>
        <v/>
      </c>
    </row>
    <row r="2903">
      <c r="A2903">
        <f>IFERROR(INDEX('Email Cleaner'!$B$2:$B$10001,MATCH(2902,'Email Cleaner'!$H$2:$H$10001,0)),"")</f>
        <v/>
      </c>
    </row>
    <row r="2904">
      <c r="A2904">
        <f>IFERROR(INDEX('Email Cleaner'!$B$2:$B$10001,MATCH(2903,'Email Cleaner'!$H$2:$H$10001,0)),"")</f>
        <v/>
      </c>
    </row>
    <row r="2905">
      <c r="A2905">
        <f>IFERROR(INDEX('Email Cleaner'!$B$2:$B$10001,MATCH(2904,'Email Cleaner'!$H$2:$H$10001,0)),"")</f>
        <v/>
      </c>
    </row>
    <row r="2906">
      <c r="A2906">
        <f>IFERROR(INDEX('Email Cleaner'!$B$2:$B$10001,MATCH(2905,'Email Cleaner'!$H$2:$H$10001,0)),"")</f>
        <v/>
      </c>
    </row>
    <row r="2907">
      <c r="A2907">
        <f>IFERROR(INDEX('Email Cleaner'!$B$2:$B$10001,MATCH(2906,'Email Cleaner'!$H$2:$H$10001,0)),"")</f>
        <v/>
      </c>
    </row>
    <row r="2908">
      <c r="A2908">
        <f>IFERROR(INDEX('Email Cleaner'!$B$2:$B$10001,MATCH(2907,'Email Cleaner'!$H$2:$H$10001,0)),"")</f>
        <v/>
      </c>
    </row>
    <row r="2909">
      <c r="A2909">
        <f>IFERROR(INDEX('Email Cleaner'!$B$2:$B$10001,MATCH(2908,'Email Cleaner'!$H$2:$H$10001,0)),"")</f>
        <v/>
      </c>
    </row>
    <row r="2910">
      <c r="A2910">
        <f>IFERROR(INDEX('Email Cleaner'!$B$2:$B$10001,MATCH(2909,'Email Cleaner'!$H$2:$H$10001,0)),"")</f>
        <v/>
      </c>
    </row>
    <row r="2911">
      <c r="A2911">
        <f>IFERROR(INDEX('Email Cleaner'!$B$2:$B$10001,MATCH(2910,'Email Cleaner'!$H$2:$H$10001,0)),"")</f>
        <v/>
      </c>
    </row>
    <row r="2912">
      <c r="A2912">
        <f>IFERROR(INDEX('Email Cleaner'!$B$2:$B$10001,MATCH(2911,'Email Cleaner'!$H$2:$H$10001,0)),"")</f>
        <v/>
      </c>
    </row>
    <row r="2913">
      <c r="A2913">
        <f>IFERROR(INDEX('Email Cleaner'!$B$2:$B$10001,MATCH(2912,'Email Cleaner'!$H$2:$H$10001,0)),"")</f>
        <v/>
      </c>
    </row>
    <row r="2914">
      <c r="A2914">
        <f>IFERROR(INDEX('Email Cleaner'!$B$2:$B$10001,MATCH(2913,'Email Cleaner'!$H$2:$H$10001,0)),"")</f>
        <v/>
      </c>
    </row>
    <row r="2915">
      <c r="A2915">
        <f>IFERROR(INDEX('Email Cleaner'!$B$2:$B$10001,MATCH(2914,'Email Cleaner'!$H$2:$H$10001,0)),"")</f>
        <v/>
      </c>
    </row>
    <row r="2916">
      <c r="A2916">
        <f>IFERROR(INDEX('Email Cleaner'!$B$2:$B$10001,MATCH(2915,'Email Cleaner'!$H$2:$H$10001,0)),"")</f>
        <v/>
      </c>
    </row>
    <row r="2917">
      <c r="A2917">
        <f>IFERROR(INDEX('Email Cleaner'!$B$2:$B$10001,MATCH(2916,'Email Cleaner'!$H$2:$H$10001,0)),"")</f>
        <v/>
      </c>
    </row>
    <row r="2918">
      <c r="A2918">
        <f>IFERROR(INDEX('Email Cleaner'!$B$2:$B$10001,MATCH(2917,'Email Cleaner'!$H$2:$H$10001,0)),"")</f>
        <v/>
      </c>
    </row>
    <row r="2919">
      <c r="A2919">
        <f>IFERROR(INDEX('Email Cleaner'!$B$2:$B$10001,MATCH(2918,'Email Cleaner'!$H$2:$H$10001,0)),"")</f>
        <v/>
      </c>
    </row>
    <row r="2920">
      <c r="A2920">
        <f>IFERROR(INDEX('Email Cleaner'!$B$2:$B$10001,MATCH(2919,'Email Cleaner'!$H$2:$H$10001,0)),"")</f>
        <v/>
      </c>
    </row>
    <row r="2921">
      <c r="A2921">
        <f>IFERROR(INDEX('Email Cleaner'!$B$2:$B$10001,MATCH(2920,'Email Cleaner'!$H$2:$H$10001,0)),"")</f>
        <v/>
      </c>
    </row>
    <row r="2922">
      <c r="A2922">
        <f>IFERROR(INDEX('Email Cleaner'!$B$2:$B$10001,MATCH(2921,'Email Cleaner'!$H$2:$H$10001,0)),"")</f>
        <v/>
      </c>
    </row>
    <row r="2923">
      <c r="A2923">
        <f>IFERROR(INDEX('Email Cleaner'!$B$2:$B$10001,MATCH(2922,'Email Cleaner'!$H$2:$H$10001,0)),"")</f>
        <v/>
      </c>
    </row>
    <row r="2924">
      <c r="A2924">
        <f>IFERROR(INDEX('Email Cleaner'!$B$2:$B$10001,MATCH(2923,'Email Cleaner'!$H$2:$H$10001,0)),"")</f>
        <v/>
      </c>
    </row>
    <row r="2925">
      <c r="A2925">
        <f>IFERROR(INDEX('Email Cleaner'!$B$2:$B$10001,MATCH(2924,'Email Cleaner'!$H$2:$H$10001,0)),"")</f>
        <v/>
      </c>
    </row>
    <row r="2926">
      <c r="A2926">
        <f>IFERROR(INDEX('Email Cleaner'!$B$2:$B$10001,MATCH(2925,'Email Cleaner'!$H$2:$H$10001,0)),"")</f>
        <v/>
      </c>
    </row>
    <row r="2927">
      <c r="A2927">
        <f>IFERROR(INDEX('Email Cleaner'!$B$2:$B$10001,MATCH(2926,'Email Cleaner'!$H$2:$H$10001,0)),"")</f>
        <v/>
      </c>
    </row>
    <row r="2928">
      <c r="A2928">
        <f>IFERROR(INDEX('Email Cleaner'!$B$2:$B$10001,MATCH(2927,'Email Cleaner'!$H$2:$H$10001,0)),"")</f>
        <v/>
      </c>
    </row>
    <row r="2929">
      <c r="A2929">
        <f>IFERROR(INDEX('Email Cleaner'!$B$2:$B$10001,MATCH(2928,'Email Cleaner'!$H$2:$H$10001,0)),"")</f>
        <v/>
      </c>
    </row>
    <row r="2930">
      <c r="A2930">
        <f>IFERROR(INDEX('Email Cleaner'!$B$2:$B$10001,MATCH(2929,'Email Cleaner'!$H$2:$H$10001,0)),"")</f>
        <v/>
      </c>
    </row>
    <row r="2931">
      <c r="A2931">
        <f>IFERROR(INDEX('Email Cleaner'!$B$2:$B$10001,MATCH(2930,'Email Cleaner'!$H$2:$H$10001,0)),"")</f>
        <v/>
      </c>
    </row>
    <row r="2932">
      <c r="A2932">
        <f>IFERROR(INDEX('Email Cleaner'!$B$2:$B$10001,MATCH(2931,'Email Cleaner'!$H$2:$H$10001,0)),"")</f>
        <v/>
      </c>
    </row>
    <row r="2933">
      <c r="A2933">
        <f>IFERROR(INDEX('Email Cleaner'!$B$2:$B$10001,MATCH(2932,'Email Cleaner'!$H$2:$H$10001,0)),"")</f>
        <v/>
      </c>
    </row>
    <row r="2934">
      <c r="A2934">
        <f>IFERROR(INDEX('Email Cleaner'!$B$2:$B$10001,MATCH(2933,'Email Cleaner'!$H$2:$H$10001,0)),"")</f>
        <v/>
      </c>
    </row>
    <row r="2935">
      <c r="A2935">
        <f>IFERROR(INDEX('Email Cleaner'!$B$2:$B$10001,MATCH(2934,'Email Cleaner'!$H$2:$H$10001,0)),"")</f>
        <v/>
      </c>
    </row>
    <row r="2936">
      <c r="A2936">
        <f>IFERROR(INDEX('Email Cleaner'!$B$2:$B$10001,MATCH(2935,'Email Cleaner'!$H$2:$H$10001,0)),"")</f>
        <v/>
      </c>
    </row>
    <row r="2937">
      <c r="A2937">
        <f>IFERROR(INDEX('Email Cleaner'!$B$2:$B$10001,MATCH(2936,'Email Cleaner'!$H$2:$H$10001,0)),"")</f>
        <v/>
      </c>
    </row>
    <row r="2938">
      <c r="A2938">
        <f>IFERROR(INDEX('Email Cleaner'!$B$2:$B$10001,MATCH(2937,'Email Cleaner'!$H$2:$H$10001,0)),"")</f>
        <v/>
      </c>
    </row>
    <row r="2939">
      <c r="A2939">
        <f>IFERROR(INDEX('Email Cleaner'!$B$2:$B$10001,MATCH(2938,'Email Cleaner'!$H$2:$H$10001,0)),"")</f>
        <v/>
      </c>
    </row>
    <row r="2940">
      <c r="A2940">
        <f>IFERROR(INDEX('Email Cleaner'!$B$2:$B$10001,MATCH(2939,'Email Cleaner'!$H$2:$H$10001,0)),"")</f>
        <v/>
      </c>
    </row>
    <row r="2941">
      <c r="A2941">
        <f>IFERROR(INDEX('Email Cleaner'!$B$2:$B$10001,MATCH(2940,'Email Cleaner'!$H$2:$H$10001,0)),"")</f>
        <v/>
      </c>
    </row>
    <row r="2942">
      <c r="A2942">
        <f>IFERROR(INDEX('Email Cleaner'!$B$2:$B$10001,MATCH(2941,'Email Cleaner'!$H$2:$H$10001,0)),"")</f>
        <v/>
      </c>
    </row>
    <row r="2943">
      <c r="A2943">
        <f>IFERROR(INDEX('Email Cleaner'!$B$2:$B$10001,MATCH(2942,'Email Cleaner'!$H$2:$H$10001,0)),"")</f>
        <v/>
      </c>
    </row>
    <row r="2944">
      <c r="A2944">
        <f>IFERROR(INDEX('Email Cleaner'!$B$2:$B$10001,MATCH(2943,'Email Cleaner'!$H$2:$H$10001,0)),"")</f>
        <v/>
      </c>
    </row>
    <row r="2945">
      <c r="A2945">
        <f>IFERROR(INDEX('Email Cleaner'!$B$2:$B$10001,MATCH(2944,'Email Cleaner'!$H$2:$H$10001,0)),"")</f>
        <v/>
      </c>
    </row>
    <row r="2946">
      <c r="A2946">
        <f>IFERROR(INDEX('Email Cleaner'!$B$2:$B$10001,MATCH(2945,'Email Cleaner'!$H$2:$H$10001,0)),"")</f>
        <v/>
      </c>
    </row>
    <row r="2947">
      <c r="A2947">
        <f>IFERROR(INDEX('Email Cleaner'!$B$2:$B$10001,MATCH(2946,'Email Cleaner'!$H$2:$H$10001,0)),"")</f>
        <v/>
      </c>
    </row>
    <row r="2948">
      <c r="A2948">
        <f>IFERROR(INDEX('Email Cleaner'!$B$2:$B$10001,MATCH(2947,'Email Cleaner'!$H$2:$H$10001,0)),"")</f>
        <v/>
      </c>
    </row>
    <row r="2949">
      <c r="A2949">
        <f>IFERROR(INDEX('Email Cleaner'!$B$2:$B$10001,MATCH(2948,'Email Cleaner'!$H$2:$H$10001,0)),"")</f>
        <v/>
      </c>
    </row>
    <row r="2950">
      <c r="A2950">
        <f>IFERROR(INDEX('Email Cleaner'!$B$2:$B$10001,MATCH(2949,'Email Cleaner'!$H$2:$H$10001,0)),"")</f>
        <v/>
      </c>
    </row>
    <row r="2951">
      <c r="A2951">
        <f>IFERROR(INDEX('Email Cleaner'!$B$2:$B$10001,MATCH(2950,'Email Cleaner'!$H$2:$H$10001,0)),"")</f>
        <v/>
      </c>
    </row>
    <row r="2952">
      <c r="A2952">
        <f>IFERROR(INDEX('Email Cleaner'!$B$2:$B$10001,MATCH(2951,'Email Cleaner'!$H$2:$H$10001,0)),"")</f>
        <v/>
      </c>
    </row>
    <row r="2953">
      <c r="A2953">
        <f>IFERROR(INDEX('Email Cleaner'!$B$2:$B$10001,MATCH(2952,'Email Cleaner'!$H$2:$H$10001,0)),"")</f>
        <v/>
      </c>
    </row>
    <row r="2954">
      <c r="A2954">
        <f>IFERROR(INDEX('Email Cleaner'!$B$2:$B$10001,MATCH(2953,'Email Cleaner'!$H$2:$H$10001,0)),"")</f>
        <v/>
      </c>
    </row>
    <row r="2955">
      <c r="A2955">
        <f>IFERROR(INDEX('Email Cleaner'!$B$2:$B$10001,MATCH(2954,'Email Cleaner'!$H$2:$H$10001,0)),"")</f>
        <v/>
      </c>
    </row>
    <row r="2956">
      <c r="A2956">
        <f>IFERROR(INDEX('Email Cleaner'!$B$2:$B$10001,MATCH(2955,'Email Cleaner'!$H$2:$H$10001,0)),"")</f>
        <v/>
      </c>
    </row>
    <row r="2957">
      <c r="A2957">
        <f>IFERROR(INDEX('Email Cleaner'!$B$2:$B$10001,MATCH(2956,'Email Cleaner'!$H$2:$H$10001,0)),"")</f>
        <v/>
      </c>
    </row>
    <row r="2958">
      <c r="A2958">
        <f>IFERROR(INDEX('Email Cleaner'!$B$2:$B$10001,MATCH(2957,'Email Cleaner'!$H$2:$H$10001,0)),"")</f>
        <v/>
      </c>
    </row>
    <row r="2959">
      <c r="A2959">
        <f>IFERROR(INDEX('Email Cleaner'!$B$2:$B$10001,MATCH(2958,'Email Cleaner'!$H$2:$H$10001,0)),"")</f>
        <v/>
      </c>
    </row>
    <row r="2960">
      <c r="A2960">
        <f>IFERROR(INDEX('Email Cleaner'!$B$2:$B$10001,MATCH(2959,'Email Cleaner'!$H$2:$H$10001,0)),"")</f>
        <v/>
      </c>
    </row>
    <row r="2961">
      <c r="A2961">
        <f>IFERROR(INDEX('Email Cleaner'!$B$2:$B$10001,MATCH(2960,'Email Cleaner'!$H$2:$H$10001,0)),"")</f>
        <v/>
      </c>
    </row>
    <row r="2962">
      <c r="A2962">
        <f>IFERROR(INDEX('Email Cleaner'!$B$2:$B$10001,MATCH(2961,'Email Cleaner'!$H$2:$H$10001,0)),"")</f>
        <v/>
      </c>
    </row>
    <row r="2963">
      <c r="A2963">
        <f>IFERROR(INDEX('Email Cleaner'!$B$2:$B$10001,MATCH(2962,'Email Cleaner'!$H$2:$H$10001,0)),"")</f>
        <v/>
      </c>
    </row>
    <row r="2964">
      <c r="A2964">
        <f>IFERROR(INDEX('Email Cleaner'!$B$2:$B$10001,MATCH(2963,'Email Cleaner'!$H$2:$H$10001,0)),"")</f>
        <v/>
      </c>
    </row>
    <row r="2965">
      <c r="A2965">
        <f>IFERROR(INDEX('Email Cleaner'!$B$2:$B$10001,MATCH(2964,'Email Cleaner'!$H$2:$H$10001,0)),"")</f>
        <v/>
      </c>
    </row>
    <row r="2966">
      <c r="A2966">
        <f>IFERROR(INDEX('Email Cleaner'!$B$2:$B$10001,MATCH(2965,'Email Cleaner'!$H$2:$H$10001,0)),"")</f>
        <v/>
      </c>
    </row>
    <row r="2967">
      <c r="A2967">
        <f>IFERROR(INDEX('Email Cleaner'!$B$2:$B$10001,MATCH(2966,'Email Cleaner'!$H$2:$H$10001,0)),"")</f>
        <v/>
      </c>
    </row>
    <row r="2968">
      <c r="A2968">
        <f>IFERROR(INDEX('Email Cleaner'!$B$2:$B$10001,MATCH(2967,'Email Cleaner'!$H$2:$H$10001,0)),"")</f>
        <v/>
      </c>
    </row>
    <row r="2969">
      <c r="A2969">
        <f>IFERROR(INDEX('Email Cleaner'!$B$2:$B$10001,MATCH(2968,'Email Cleaner'!$H$2:$H$10001,0)),"")</f>
        <v/>
      </c>
    </row>
    <row r="2970">
      <c r="A2970">
        <f>IFERROR(INDEX('Email Cleaner'!$B$2:$B$10001,MATCH(2969,'Email Cleaner'!$H$2:$H$10001,0)),"")</f>
        <v/>
      </c>
    </row>
    <row r="2971">
      <c r="A2971">
        <f>IFERROR(INDEX('Email Cleaner'!$B$2:$B$10001,MATCH(2970,'Email Cleaner'!$H$2:$H$10001,0)),"")</f>
        <v/>
      </c>
    </row>
    <row r="2972">
      <c r="A2972">
        <f>IFERROR(INDEX('Email Cleaner'!$B$2:$B$10001,MATCH(2971,'Email Cleaner'!$H$2:$H$10001,0)),"")</f>
        <v/>
      </c>
    </row>
    <row r="2973">
      <c r="A2973">
        <f>IFERROR(INDEX('Email Cleaner'!$B$2:$B$10001,MATCH(2972,'Email Cleaner'!$H$2:$H$10001,0)),"")</f>
        <v/>
      </c>
    </row>
    <row r="2974">
      <c r="A2974">
        <f>IFERROR(INDEX('Email Cleaner'!$B$2:$B$10001,MATCH(2973,'Email Cleaner'!$H$2:$H$10001,0)),"")</f>
        <v/>
      </c>
    </row>
    <row r="2975">
      <c r="A2975">
        <f>IFERROR(INDEX('Email Cleaner'!$B$2:$B$10001,MATCH(2974,'Email Cleaner'!$H$2:$H$10001,0)),"")</f>
        <v/>
      </c>
    </row>
    <row r="2976">
      <c r="A2976">
        <f>IFERROR(INDEX('Email Cleaner'!$B$2:$B$10001,MATCH(2975,'Email Cleaner'!$H$2:$H$10001,0)),"")</f>
        <v/>
      </c>
    </row>
    <row r="2977">
      <c r="A2977">
        <f>IFERROR(INDEX('Email Cleaner'!$B$2:$B$10001,MATCH(2976,'Email Cleaner'!$H$2:$H$10001,0)),"")</f>
        <v/>
      </c>
    </row>
    <row r="2978">
      <c r="A2978">
        <f>IFERROR(INDEX('Email Cleaner'!$B$2:$B$10001,MATCH(2977,'Email Cleaner'!$H$2:$H$10001,0)),"")</f>
        <v/>
      </c>
    </row>
    <row r="2979">
      <c r="A2979">
        <f>IFERROR(INDEX('Email Cleaner'!$B$2:$B$10001,MATCH(2978,'Email Cleaner'!$H$2:$H$10001,0)),"")</f>
        <v/>
      </c>
    </row>
    <row r="2980">
      <c r="A2980">
        <f>IFERROR(INDEX('Email Cleaner'!$B$2:$B$10001,MATCH(2979,'Email Cleaner'!$H$2:$H$10001,0)),"")</f>
        <v/>
      </c>
    </row>
    <row r="2981">
      <c r="A2981">
        <f>IFERROR(INDEX('Email Cleaner'!$B$2:$B$10001,MATCH(2980,'Email Cleaner'!$H$2:$H$10001,0)),"")</f>
        <v/>
      </c>
    </row>
    <row r="2982">
      <c r="A2982">
        <f>IFERROR(INDEX('Email Cleaner'!$B$2:$B$10001,MATCH(2981,'Email Cleaner'!$H$2:$H$10001,0)),"")</f>
        <v/>
      </c>
    </row>
    <row r="2983">
      <c r="A2983">
        <f>IFERROR(INDEX('Email Cleaner'!$B$2:$B$10001,MATCH(2982,'Email Cleaner'!$H$2:$H$10001,0)),"")</f>
        <v/>
      </c>
    </row>
    <row r="2984">
      <c r="A2984">
        <f>IFERROR(INDEX('Email Cleaner'!$B$2:$B$10001,MATCH(2983,'Email Cleaner'!$H$2:$H$10001,0)),"")</f>
        <v/>
      </c>
    </row>
    <row r="2985">
      <c r="A2985">
        <f>IFERROR(INDEX('Email Cleaner'!$B$2:$B$10001,MATCH(2984,'Email Cleaner'!$H$2:$H$10001,0)),"")</f>
        <v/>
      </c>
    </row>
    <row r="2986">
      <c r="A2986">
        <f>IFERROR(INDEX('Email Cleaner'!$B$2:$B$10001,MATCH(2985,'Email Cleaner'!$H$2:$H$10001,0)),"")</f>
        <v/>
      </c>
    </row>
    <row r="2987">
      <c r="A2987">
        <f>IFERROR(INDEX('Email Cleaner'!$B$2:$B$10001,MATCH(2986,'Email Cleaner'!$H$2:$H$10001,0)),"")</f>
        <v/>
      </c>
    </row>
    <row r="2988">
      <c r="A2988">
        <f>IFERROR(INDEX('Email Cleaner'!$B$2:$B$10001,MATCH(2987,'Email Cleaner'!$H$2:$H$10001,0)),"")</f>
        <v/>
      </c>
    </row>
    <row r="2989">
      <c r="A2989">
        <f>IFERROR(INDEX('Email Cleaner'!$B$2:$B$10001,MATCH(2988,'Email Cleaner'!$H$2:$H$10001,0)),"")</f>
        <v/>
      </c>
    </row>
    <row r="2990">
      <c r="A2990">
        <f>IFERROR(INDEX('Email Cleaner'!$B$2:$B$10001,MATCH(2989,'Email Cleaner'!$H$2:$H$10001,0)),"")</f>
        <v/>
      </c>
    </row>
    <row r="2991">
      <c r="A2991">
        <f>IFERROR(INDEX('Email Cleaner'!$B$2:$B$10001,MATCH(2990,'Email Cleaner'!$H$2:$H$10001,0)),"")</f>
        <v/>
      </c>
    </row>
    <row r="2992">
      <c r="A2992">
        <f>IFERROR(INDEX('Email Cleaner'!$B$2:$B$10001,MATCH(2991,'Email Cleaner'!$H$2:$H$10001,0)),"")</f>
        <v/>
      </c>
    </row>
    <row r="2993">
      <c r="A2993">
        <f>IFERROR(INDEX('Email Cleaner'!$B$2:$B$10001,MATCH(2992,'Email Cleaner'!$H$2:$H$10001,0)),"")</f>
        <v/>
      </c>
    </row>
    <row r="2994">
      <c r="A2994">
        <f>IFERROR(INDEX('Email Cleaner'!$B$2:$B$10001,MATCH(2993,'Email Cleaner'!$H$2:$H$10001,0)),"")</f>
        <v/>
      </c>
    </row>
    <row r="2995">
      <c r="A2995">
        <f>IFERROR(INDEX('Email Cleaner'!$B$2:$B$10001,MATCH(2994,'Email Cleaner'!$H$2:$H$10001,0)),"")</f>
        <v/>
      </c>
    </row>
    <row r="2996">
      <c r="A2996">
        <f>IFERROR(INDEX('Email Cleaner'!$B$2:$B$10001,MATCH(2995,'Email Cleaner'!$H$2:$H$10001,0)),"")</f>
        <v/>
      </c>
    </row>
    <row r="2997">
      <c r="A2997">
        <f>IFERROR(INDEX('Email Cleaner'!$B$2:$B$10001,MATCH(2996,'Email Cleaner'!$H$2:$H$10001,0)),"")</f>
        <v/>
      </c>
    </row>
    <row r="2998">
      <c r="A2998">
        <f>IFERROR(INDEX('Email Cleaner'!$B$2:$B$10001,MATCH(2997,'Email Cleaner'!$H$2:$H$10001,0)),"")</f>
        <v/>
      </c>
    </row>
    <row r="2999">
      <c r="A2999">
        <f>IFERROR(INDEX('Email Cleaner'!$B$2:$B$10001,MATCH(2998,'Email Cleaner'!$H$2:$H$10001,0)),"")</f>
        <v/>
      </c>
    </row>
    <row r="3000">
      <c r="A3000">
        <f>IFERROR(INDEX('Email Cleaner'!$B$2:$B$10001,MATCH(2999,'Email Cleaner'!$H$2:$H$10001,0)),"")</f>
        <v/>
      </c>
    </row>
    <row r="3001">
      <c r="A3001">
        <f>IFERROR(INDEX('Email Cleaner'!$B$2:$B$10001,MATCH(3000,'Email Cleaner'!$H$2:$H$10001,0)),"")</f>
        <v/>
      </c>
    </row>
    <row r="3002">
      <c r="A3002">
        <f>IFERROR(INDEX('Email Cleaner'!$B$2:$B$10001,MATCH(3001,'Email Cleaner'!$H$2:$H$10001,0)),"")</f>
        <v/>
      </c>
    </row>
    <row r="3003">
      <c r="A3003">
        <f>IFERROR(INDEX('Email Cleaner'!$B$2:$B$10001,MATCH(3002,'Email Cleaner'!$H$2:$H$10001,0)),"")</f>
        <v/>
      </c>
    </row>
    <row r="3004">
      <c r="A3004">
        <f>IFERROR(INDEX('Email Cleaner'!$B$2:$B$10001,MATCH(3003,'Email Cleaner'!$H$2:$H$10001,0)),"")</f>
        <v/>
      </c>
    </row>
    <row r="3005">
      <c r="A3005">
        <f>IFERROR(INDEX('Email Cleaner'!$B$2:$B$10001,MATCH(3004,'Email Cleaner'!$H$2:$H$10001,0)),"")</f>
        <v/>
      </c>
    </row>
    <row r="3006">
      <c r="A3006">
        <f>IFERROR(INDEX('Email Cleaner'!$B$2:$B$10001,MATCH(3005,'Email Cleaner'!$H$2:$H$10001,0)),"")</f>
        <v/>
      </c>
    </row>
    <row r="3007">
      <c r="A3007">
        <f>IFERROR(INDEX('Email Cleaner'!$B$2:$B$10001,MATCH(3006,'Email Cleaner'!$H$2:$H$10001,0)),"")</f>
        <v/>
      </c>
    </row>
    <row r="3008">
      <c r="A3008">
        <f>IFERROR(INDEX('Email Cleaner'!$B$2:$B$10001,MATCH(3007,'Email Cleaner'!$H$2:$H$10001,0)),"")</f>
        <v/>
      </c>
    </row>
    <row r="3009">
      <c r="A3009">
        <f>IFERROR(INDEX('Email Cleaner'!$B$2:$B$10001,MATCH(3008,'Email Cleaner'!$H$2:$H$10001,0)),"")</f>
        <v/>
      </c>
    </row>
    <row r="3010">
      <c r="A3010">
        <f>IFERROR(INDEX('Email Cleaner'!$B$2:$B$10001,MATCH(3009,'Email Cleaner'!$H$2:$H$10001,0)),"")</f>
        <v/>
      </c>
    </row>
    <row r="3011">
      <c r="A3011">
        <f>IFERROR(INDEX('Email Cleaner'!$B$2:$B$10001,MATCH(3010,'Email Cleaner'!$H$2:$H$10001,0)),"")</f>
        <v/>
      </c>
    </row>
    <row r="3012">
      <c r="A3012">
        <f>IFERROR(INDEX('Email Cleaner'!$B$2:$B$10001,MATCH(3011,'Email Cleaner'!$H$2:$H$10001,0)),"")</f>
        <v/>
      </c>
    </row>
    <row r="3013">
      <c r="A3013">
        <f>IFERROR(INDEX('Email Cleaner'!$B$2:$B$10001,MATCH(3012,'Email Cleaner'!$H$2:$H$10001,0)),"")</f>
        <v/>
      </c>
    </row>
    <row r="3014">
      <c r="A3014">
        <f>IFERROR(INDEX('Email Cleaner'!$B$2:$B$10001,MATCH(3013,'Email Cleaner'!$H$2:$H$10001,0)),"")</f>
        <v/>
      </c>
    </row>
    <row r="3015">
      <c r="A3015">
        <f>IFERROR(INDEX('Email Cleaner'!$B$2:$B$10001,MATCH(3014,'Email Cleaner'!$H$2:$H$10001,0)),"")</f>
        <v/>
      </c>
    </row>
    <row r="3016">
      <c r="A3016">
        <f>IFERROR(INDEX('Email Cleaner'!$B$2:$B$10001,MATCH(3015,'Email Cleaner'!$H$2:$H$10001,0)),"")</f>
        <v/>
      </c>
    </row>
    <row r="3017">
      <c r="A3017">
        <f>IFERROR(INDEX('Email Cleaner'!$B$2:$B$10001,MATCH(3016,'Email Cleaner'!$H$2:$H$10001,0)),"")</f>
        <v/>
      </c>
    </row>
    <row r="3018">
      <c r="A3018">
        <f>IFERROR(INDEX('Email Cleaner'!$B$2:$B$10001,MATCH(3017,'Email Cleaner'!$H$2:$H$10001,0)),"")</f>
        <v/>
      </c>
    </row>
    <row r="3019">
      <c r="A3019">
        <f>IFERROR(INDEX('Email Cleaner'!$B$2:$B$10001,MATCH(3018,'Email Cleaner'!$H$2:$H$10001,0)),"")</f>
        <v/>
      </c>
    </row>
    <row r="3020">
      <c r="A3020">
        <f>IFERROR(INDEX('Email Cleaner'!$B$2:$B$10001,MATCH(3019,'Email Cleaner'!$H$2:$H$10001,0)),"")</f>
        <v/>
      </c>
    </row>
    <row r="3021">
      <c r="A3021">
        <f>IFERROR(INDEX('Email Cleaner'!$B$2:$B$10001,MATCH(3020,'Email Cleaner'!$H$2:$H$10001,0)),"")</f>
        <v/>
      </c>
    </row>
    <row r="3022">
      <c r="A3022">
        <f>IFERROR(INDEX('Email Cleaner'!$B$2:$B$10001,MATCH(3021,'Email Cleaner'!$H$2:$H$10001,0)),"")</f>
        <v/>
      </c>
    </row>
    <row r="3023">
      <c r="A3023">
        <f>IFERROR(INDEX('Email Cleaner'!$B$2:$B$10001,MATCH(3022,'Email Cleaner'!$H$2:$H$10001,0)),"")</f>
        <v/>
      </c>
    </row>
    <row r="3024">
      <c r="A3024">
        <f>IFERROR(INDEX('Email Cleaner'!$B$2:$B$10001,MATCH(3023,'Email Cleaner'!$H$2:$H$10001,0)),"")</f>
        <v/>
      </c>
    </row>
    <row r="3025">
      <c r="A3025">
        <f>IFERROR(INDEX('Email Cleaner'!$B$2:$B$10001,MATCH(3024,'Email Cleaner'!$H$2:$H$10001,0)),"")</f>
        <v/>
      </c>
    </row>
    <row r="3026">
      <c r="A3026">
        <f>IFERROR(INDEX('Email Cleaner'!$B$2:$B$10001,MATCH(3025,'Email Cleaner'!$H$2:$H$10001,0)),"")</f>
        <v/>
      </c>
    </row>
    <row r="3027">
      <c r="A3027">
        <f>IFERROR(INDEX('Email Cleaner'!$B$2:$B$10001,MATCH(3026,'Email Cleaner'!$H$2:$H$10001,0)),"")</f>
        <v/>
      </c>
    </row>
    <row r="3028">
      <c r="A3028">
        <f>IFERROR(INDEX('Email Cleaner'!$B$2:$B$10001,MATCH(3027,'Email Cleaner'!$H$2:$H$10001,0)),"")</f>
        <v/>
      </c>
    </row>
    <row r="3029">
      <c r="A3029">
        <f>IFERROR(INDEX('Email Cleaner'!$B$2:$B$10001,MATCH(3028,'Email Cleaner'!$H$2:$H$10001,0)),"")</f>
        <v/>
      </c>
    </row>
    <row r="3030">
      <c r="A3030">
        <f>IFERROR(INDEX('Email Cleaner'!$B$2:$B$10001,MATCH(3029,'Email Cleaner'!$H$2:$H$10001,0)),"")</f>
        <v/>
      </c>
    </row>
    <row r="3031">
      <c r="A3031">
        <f>IFERROR(INDEX('Email Cleaner'!$B$2:$B$10001,MATCH(3030,'Email Cleaner'!$H$2:$H$10001,0)),"")</f>
        <v/>
      </c>
    </row>
    <row r="3032">
      <c r="A3032">
        <f>IFERROR(INDEX('Email Cleaner'!$B$2:$B$10001,MATCH(3031,'Email Cleaner'!$H$2:$H$10001,0)),"")</f>
        <v/>
      </c>
    </row>
    <row r="3033">
      <c r="A3033">
        <f>IFERROR(INDEX('Email Cleaner'!$B$2:$B$10001,MATCH(3032,'Email Cleaner'!$H$2:$H$10001,0)),"")</f>
        <v/>
      </c>
    </row>
    <row r="3034">
      <c r="A3034">
        <f>IFERROR(INDEX('Email Cleaner'!$B$2:$B$10001,MATCH(3033,'Email Cleaner'!$H$2:$H$10001,0)),"")</f>
        <v/>
      </c>
    </row>
    <row r="3035">
      <c r="A3035">
        <f>IFERROR(INDEX('Email Cleaner'!$B$2:$B$10001,MATCH(3034,'Email Cleaner'!$H$2:$H$10001,0)),"")</f>
        <v/>
      </c>
    </row>
    <row r="3036">
      <c r="A3036">
        <f>IFERROR(INDEX('Email Cleaner'!$B$2:$B$10001,MATCH(3035,'Email Cleaner'!$H$2:$H$10001,0)),"")</f>
        <v/>
      </c>
    </row>
    <row r="3037">
      <c r="A3037">
        <f>IFERROR(INDEX('Email Cleaner'!$B$2:$B$10001,MATCH(3036,'Email Cleaner'!$H$2:$H$10001,0)),"")</f>
        <v/>
      </c>
    </row>
    <row r="3038">
      <c r="A3038">
        <f>IFERROR(INDEX('Email Cleaner'!$B$2:$B$10001,MATCH(3037,'Email Cleaner'!$H$2:$H$10001,0)),"")</f>
        <v/>
      </c>
    </row>
    <row r="3039">
      <c r="A3039">
        <f>IFERROR(INDEX('Email Cleaner'!$B$2:$B$10001,MATCH(3038,'Email Cleaner'!$H$2:$H$10001,0)),"")</f>
        <v/>
      </c>
    </row>
    <row r="3040">
      <c r="A3040">
        <f>IFERROR(INDEX('Email Cleaner'!$B$2:$B$10001,MATCH(3039,'Email Cleaner'!$H$2:$H$10001,0)),"")</f>
        <v/>
      </c>
    </row>
    <row r="3041">
      <c r="A3041">
        <f>IFERROR(INDEX('Email Cleaner'!$B$2:$B$10001,MATCH(3040,'Email Cleaner'!$H$2:$H$10001,0)),"")</f>
        <v/>
      </c>
    </row>
    <row r="3042">
      <c r="A3042">
        <f>IFERROR(INDEX('Email Cleaner'!$B$2:$B$10001,MATCH(3041,'Email Cleaner'!$H$2:$H$10001,0)),"")</f>
        <v/>
      </c>
    </row>
    <row r="3043">
      <c r="A3043">
        <f>IFERROR(INDEX('Email Cleaner'!$B$2:$B$10001,MATCH(3042,'Email Cleaner'!$H$2:$H$10001,0)),"")</f>
        <v/>
      </c>
    </row>
    <row r="3044">
      <c r="A3044">
        <f>IFERROR(INDEX('Email Cleaner'!$B$2:$B$10001,MATCH(3043,'Email Cleaner'!$H$2:$H$10001,0)),"")</f>
        <v/>
      </c>
    </row>
    <row r="3045">
      <c r="A3045">
        <f>IFERROR(INDEX('Email Cleaner'!$B$2:$B$10001,MATCH(3044,'Email Cleaner'!$H$2:$H$10001,0)),"")</f>
        <v/>
      </c>
    </row>
    <row r="3046">
      <c r="A3046">
        <f>IFERROR(INDEX('Email Cleaner'!$B$2:$B$10001,MATCH(3045,'Email Cleaner'!$H$2:$H$10001,0)),"")</f>
        <v/>
      </c>
    </row>
    <row r="3047">
      <c r="A3047">
        <f>IFERROR(INDEX('Email Cleaner'!$B$2:$B$10001,MATCH(3046,'Email Cleaner'!$H$2:$H$10001,0)),"")</f>
        <v/>
      </c>
    </row>
    <row r="3048">
      <c r="A3048">
        <f>IFERROR(INDEX('Email Cleaner'!$B$2:$B$10001,MATCH(3047,'Email Cleaner'!$H$2:$H$10001,0)),"")</f>
        <v/>
      </c>
    </row>
    <row r="3049">
      <c r="A3049">
        <f>IFERROR(INDEX('Email Cleaner'!$B$2:$B$10001,MATCH(3048,'Email Cleaner'!$H$2:$H$10001,0)),"")</f>
        <v/>
      </c>
    </row>
    <row r="3050">
      <c r="A3050">
        <f>IFERROR(INDEX('Email Cleaner'!$B$2:$B$10001,MATCH(3049,'Email Cleaner'!$H$2:$H$10001,0)),"")</f>
        <v/>
      </c>
    </row>
    <row r="3051">
      <c r="A3051">
        <f>IFERROR(INDEX('Email Cleaner'!$B$2:$B$10001,MATCH(3050,'Email Cleaner'!$H$2:$H$10001,0)),"")</f>
        <v/>
      </c>
    </row>
    <row r="3052">
      <c r="A3052">
        <f>IFERROR(INDEX('Email Cleaner'!$B$2:$B$10001,MATCH(3051,'Email Cleaner'!$H$2:$H$10001,0)),"")</f>
        <v/>
      </c>
    </row>
    <row r="3053">
      <c r="A3053">
        <f>IFERROR(INDEX('Email Cleaner'!$B$2:$B$10001,MATCH(3052,'Email Cleaner'!$H$2:$H$10001,0)),"")</f>
        <v/>
      </c>
    </row>
    <row r="3054">
      <c r="A3054">
        <f>IFERROR(INDEX('Email Cleaner'!$B$2:$B$10001,MATCH(3053,'Email Cleaner'!$H$2:$H$10001,0)),"")</f>
        <v/>
      </c>
    </row>
    <row r="3055">
      <c r="A3055">
        <f>IFERROR(INDEX('Email Cleaner'!$B$2:$B$10001,MATCH(3054,'Email Cleaner'!$H$2:$H$10001,0)),"")</f>
        <v/>
      </c>
    </row>
    <row r="3056">
      <c r="A3056">
        <f>IFERROR(INDEX('Email Cleaner'!$B$2:$B$10001,MATCH(3055,'Email Cleaner'!$H$2:$H$10001,0)),"")</f>
        <v/>
      </c>
    </row>
    <row r="3057">
      <c r="A3057">
        <f>IFERROR(INDEX('Email Cleaner'!$B$2:$B$10001,MATCH(3056,'Email Cleaner'!$H$2:$H$10001,0)),"")</f>
        <v/>
      </c>
    </row>
    <row r="3058">
      <c r="A3058">
        <f>IFERROR(INDEX('Email Cleaner'!$B$2:$B$10001,MATCH(3057,'Email Cleaner'!$H$2:$H$10001,0)),"")</f>
        <v/>
      </c>
    </row>
    <row r="3059">
      <c r="A3059">
        <f>IFERROR(INDEX('Email Cleaner'!$B$2:$B$10001,MATCH(3058,'Email Cleaner'!$H$2:$H$10001,0)),"")</f>
        <v/>
      </c>
    </row>
    <row r="3060">
      <c r="A3060">
        <f>IFERROR(INDEX('Email Cleaner'!$B$2:$B$10001,MATCH(3059,'Email Cleaner'!$H$2:$H$10001,0)),"")</f>
        <v/>
      </c>
    </row>
    <row r="3061">
      <c r="A3061">
        <f>IFERROR(INDEX('Email Cleaner'!$B$2:$B$10001,MATCH(3060,'Email Cleaner'!$H$2:$H$10001,0)),"")</f>
        <v/>
      </c>
    </row>
    <row r="3062">
      <c r="A3062">
        <f>IFERROR(INDEX('Email Cleaner'!$B$2:$B$10001,MATCH(3061,'Email Cleaner'!$H$2:$H$10001,0)),"")</f>
        <v/>
      </c>
    </row>
    <row r="3063">
      <c r="A3063">
        <f>IFERROR(INDEX('Email Cleaner'!$B$2:$B$10001,MATCH(3062,'Email Cleaner'!$H$2:$H$10001,0)),"")</f>
        <v/>
      </c>
    </row>
    <row r="3064">
      <c r="A3064">
        <f>IFERROR(INDEX('Email Cleaner'!$B$2:$B$10001,MATCH(3063,'Email Cleaner'!$H$2:$H$10001,0)),"")</f>
        <v/>
      </c>
    </row>
    <row r="3065">
      <c r="A3065">
        <f>IFERROR(INDEX('Email Cleaner'!$B$2:$B$10001,MATCH(3064,'Email Cleaner'!$H$2:$H$10001,0)),"")</f>
        <v/>
      </c>
    </row>
    <row r="3066">
      <c r="A3066">
        <f>IFERROR(INDEX('Email Cleaner'!$B$2:$B$10001,MATCH(3065,'Email Cleaner'!$H$2:$H$10001,0)),"")</f>
        <v/>
      </c>
    </row>
    <row r="3067">
      <c r="A3067">
        <f>IFERROR(INDEX('Email Cleaner'!$B$2:$B$10001,MATCH(3066,'Email Cleaner'!$H$2:$H$10001,0)),"")</f>
        <v/>
      </c>
    </row>
    <row r="3068">
      <c r="A3068">
        <f>IFERROR(INDEX('Email Cleaner'!$B$2:$B$10001,MATCH(3067,'Email Cleaner'!$H$2:$H$10001,0)),"")</f>
        <v/>
      </c>
    </row>
    <row r="3069">
      <c r="A3069">
        <f>IFERROR(INDEX('Email Cleaner'!$B$2:$B$10001,MATCH(3068,'Email Cleaner'!$H$2:$H$10001,0)),"")</f>
        <v/>
      </c>
    </row>
    <row r="3070">
      <c r="A3070">
        <f>IFERROR(INDEX('Email Cleaner'!$B$2:$B$10001,MATCH(3069,'Email Cleaner'!$H$2:$H$10001,0)),"")</f>
        <v/>
      </c>
    </row>
    <row r="3071">
      <c r="A3071">
        <f>IFERROR(INDEX('Email Cleaner'!$B$2:$B$10001,MATCH(3070,'Email Cleaner'!$H$2:$H$10001,0)),"")</f>
        <v/>
      </c>
    </row>
    <row r="3072">
      <c r="A3072">
        <f>IFERROR(INDEX('Email Cleaner'!$B$2:$B$10001,MATCH(3071,'Email Cleaner'!$H$2:$H$10001,0)),"")</f>
        <v/>
      </c>
    </row>
    <row r="3073">
      <c r="A3073">
        <f>IFERROR(INDEX('Email Cleaner'!$B$2:$B$10001,MATCH(3072,'Email Cleaner'!$H$2:$H$10001,0)),"")</f>
        <v/>
      </c>
    </row>
    <row r="3074">
      <c r="A3074">
        <f>IFERROR(INDEX('Email Cleaner'!$B$2:$B$10001,MATCH(3073,'Email Cleaner'!$H$2:$H$10001,0)),"")</f>
        <v/>
      </c>
    </row>
    <row r="3075">
      <c r="A3075">
        <f>IFERROR(INDEX('Email Cleaner'!$B$2:$B$10001,MATCH(3074,'Email Cleaner'!$H$2:$H$10001,0)),"")</f>
        <v/>
      </c>
    </row>
    <row r="3076">
      <c r="A3076">
        <f>IFERROR(INDEX('Email Cleaner'!$B$2:$B$10001,MATCH(3075,'Email Cleaner'!$H$2:$H$10001,0)),"")</f>
        <v/>
      </c>
    </row>
    <row r="3077">
      <c r="A3077">
        <f>IFERROR(INDEX('Email Cleaner'!$B$2:$B$10001,MATCH(3076,'Email Cleaner'!$H$2:$H$10001,0)),"")</f>
        <v/>
      </c>
    </row>
    <row r="3078">
      <c r="A3078">
        <f>IFERROR(INDEX('Email Cleaner'!$B$2:$B$10001,MATCH(3077,'Email Cleaner'!$H$2:$H$10001,0)),"")</f>
        <v/>
      </c>
    </row>
    <row r="3079">
      <c r="A3079">
        <f>IFERROR(INDEX('Email Cleaner'!$B$2:$B$10001,MATCH(3078,'Email Cleaner'!$H$2:$H$10001,0)),"")</f>
        <v/>
      </c>
    </row>
    <row r="3080">
      <c r="A3080">
        <f>IFERROR(INDEX('Email Cleaner'!$B$2:$B$10001,MATCH(3079,'Email Cleaner'!$H$2:$H$10001,0)),"")</f>
        <v/>
      </c>
    </row>
    <row r="3081">
      <c r="A3081">
        <f>IFERROR(INDEX('Email Cleaner'!$B$2:$B$10001,MATCH(3080,'Email Cleaner'!$H$2:$H$10001,0)),"")</f>
        <v/>
      </c>
    </row>
    <row r="3082">
      <c r="A3082">
        <f>IFERROR(INDEX('Email Cleaner'!$B$2:$B$10001,MATCH(3081,'Email Cleaner'!$H$2:$H$10001,0)),"")</f>
        <v/>
      </c>
    </row>
    <row r="3083">
      <c r="A3083">
        <f>IFERROR(INDEX('Email Cleaner'!$B$2:$B$10001,MATCH(3082,'Email Cleaner'!$H$2:$H$10001,0)),"")</f>
        <v/>
      </c>
    </row>
    <row r="3084">
      <c r="A3084">
        <f>IFERROR(INDEX('Email Cleaner'!$B$2:$B$10001,MATCH(3083,'Email Cleaner'!$H$2:$H$10001,0)),"")</f>
        <v/>
      </c>
    </row>
    <row r="3085">
      <c r="A3085">
        <f>IFERROR(INDEX('Email Cleaner'!$B$2:$B$10001,MATCH(3084,'Email Cleaner'!$H$2:$H$10001,0)),"")</f>
        <v/>
      </c>
    </row>
    <row r="3086">
      <c r="A3086">
        <f>IFERROR(INDEX('Email Cleaner'!$B$2:$B$10001,MATCH(3085,'Email Cleaner'!$H$2:$H$10001,0)),"")</f>
        <v/>
      </c>
    </row>
    <row r="3087">
      <c r="A3087">
        <f>IFERROR(INDEX('Email Cleaner'!$B$2:$B$10001,MATCH(3086,'Email Cleaner'!$H$2:$H$10001,0)),"")</f>
        <v/>
      </c>
    </row>
    <row r="3088">
      <c r="A3088">
        <f>IFERROR(INDEX('Email Cleaner'!$B$2:$B$10001,MATCH(3087,'Email Cleaner'!$H$2:$H$10001,0)),"")</f>
        <v/>
      </c>
    </row>
    <row r="3089">
      <c r="A3089">
        <f>IFERROR(INDEX('Email Cleaner'!$B$2:$B$10001,MATCH(3088,'Email Cleaner'!$H$2:$H$10001,0)),"")</f>
        <v/>
      </c>
    </row>
    <row r="3090">
      <c r="A3090">
        <f>IFERROR(INDEX('Email Cleaner'!$B$2:$B$10001,MATCH(3089,'Email Cleaner'!$H$2:$H$10001,0)),"")</f>
        <v/>
      </c>
    </row>
    <row r="3091">
      <c r="A3091">
        <f>IFERROR(INDEX('Email Cleaner'!$B$2:$B$10001,MATCH(3090,'Email Cleaner'!$H$2:$H$10001,0)),"")</f>
        <v/>
      </c>
    </row>
    <row r="3092">
      <c r="A3092">
        <f>IFERROR(INDEX('Email Cleaner'!$B$2:$B$10001,MATCH(3091,'Email Cleaner'!$H$2:$H$10001,0)),"")</f>
        <v/>
      </c>
    </row>
    <row r="3093">
      <c r="A3093">
        <f>IFERROR(INDEX('Email Cleaner'!$B$2:$B$10001,MATCH(3092,'Email Cleaner'!$H$2:$H$10001,0)),"")</f>
        <v/>
      </c>
    </row>
    <row r="3094">
      <c r="A3094">
        <f>IFERROR(INDEX('Email Cleaner'!$B$2:$B$10001,MATCH(3093,'Email Cleaner'!$H$2:$H$10001,0)),"")</f>
        <v/>
      </c>
    </row>
    <row r="3095">
      <c r="A3095">
        <f>IFERROR(INDEX('Email Cleaner'!$B$2:$B$10001,MATCH(3094,'Email Cleaner'!$H$2:$H$10001,0)),"")</f>
        <v/>
      </c>
    </row>
    <row r="3096">
      <c r="A3096">
        <f>IFERROR(INDEX('Email Cleaner'!$B$2:$B$10001,MATCH(3095,'Email Cleaner'!$H$2:$H$10001,0)),"")</f>
        <v/>
      </c>
    </row>
    <row r="3097">
      <c r="A3097">
        <f>IFERROR(INDEX('Email Cleaner'!$B$2:$B$10001,MATCH(3096,'Email Cleaner'!$H$2:$H$10001,0)),"")</f>
        <v/>
      </c>
    </row>
    <row r="3098">
      <c r="A3098">
        <f>IFERROR(INDEX('Email Cleaner'!$B$2:$B$10001,MATCH(3097,'Email Cleaner'!$H$2:$H$10001,0)),"")</f>
        <v/>
      </c>
    </row>
    <row r="3099">
      <c r="A3099">
        <f>IFERROR(INDEX('Email Cleaner'!$B$2:$B$10001,MATCH(3098,'Email Cleaner'!$H$2:$H$10001,0)),"")</f>
        <v/>
      </c>
    </row>
    <row r="3100">
      <c r="A3100">
        <f>IFERROR(INDEX('Email Cleaner'!$B$2:$B$10001,MATCH(3099,'Email Cleaner'!$H$2:$H$10001,0)),"")</f>
        <v/>
      </c>
    </row>
    <row r="3101">
      <c r="A3101">
        <f>IFERROR(INDEX('Email Cleaner'!$B$2:$B$10001,MATCH(3100,'Email Cleaner'!$H$2:$H$10001,0)),"")</f>
        <v/>
      </c>
    </row>
    <row r="3102">
      <c r="A3102">
        <f>IFERROR(INDEX('Email Cleaner'!$B$2:$B$10001,MATCH(3101,'Email Cleaner'!$H$2:$H$10001,0)),"")</f>
        <v/>
      </c>
    </row>
    <row r="3103">
      <c r="A3103">
        <f>IFERROR(INDEX('Email Cleaner'!$B$2:$B$10001,MATCH(3102,'Email Cleaner'!$H$2:$H$10001,0)),"")</f>
        <v/>
      </c>
    </row>
    <row r="3104">
      <c r="A3104">
        <f>IFERROR(INDEX('Email Cleaner'!$B$2:$B$10001,MATCH(3103,'Email Cleaner'!$H$2:$H$10001,0)),"")</f>
        <v/>
      </c>
    </row>
    <row r="3105">
      <c r="A3105">
        <f>IFERROR(INDEX('Email Cleaner'!$B$2:$B$10001,MATCH(3104,'Email Cleaner'!$H$2:$H$10001,0)),"")</f>
        <v/>
      </c>
    </row>
    <row r="3106">
      <c r="A3106">
        <f>IFERROR(INDEX('Email Cleaner'!$B$2:$B$10001,MATCH(3105,'Email Cleaner'!$H$2:$H$10001,0)),"")</f>
        <v/>
      </c>
    </row>
    <row r="3107">
      <c r="A3107">
        <f>IFERROR(INDEX('Email Cleaner'!$B$2:$B$10001,MATCH(3106,'Email Cleaner'!$H$2:$H$10001,0)),"")</f>
        <v/>
      </c>
    </row>
    <row r="3108">
      <c r="A3108">
        <f>IFERROR(INDEX('Email Cleaner'!$B$2:$B$10001,MATCH(3107,'Email Cleaner'!$H$2:$H$10001,0)),"")</f>
        <v/>
      </c>
    </row>
    <row r="3109">
      <c r="A3109">
        <f>IFERROR(INDEX('Email Cleaner'!$B$2:$B$10001,MATCH(3108,'Email Cleaner'!$H$2:$H$10001,0)),"")</f>
        <v/>
      </c>
    </row>
    <row r="3110">
      <c r="A3110">
        <f>IFERROR(INDEX('Email Cleaner'!$B$2:$B$10001,MATCH(3109,'Email Cleaner'!$H$2:$H$10001,0)),"")</f>
        <v/>
      </c>
    </row>
    <row r="3111">
      <c r="A3111">
        <f>IFERROR(INDEX('Email Cleaner'!$B$2:$B$10001,MATCH(3110,'Email Cleaner'!$H$2:$H$10001,0)),"")</f>
        <v/>
      </c>
    </row>
    <row r="3112">
      <c r="A3112">
        <f>IFERROR(INDEX('Email Cleaner'!$B$2:$B$10001,MATCH(3111,'Email Cleaner'!$H$2:$H$10001,0)),"")</f>
        <v/>
      </c>
    </row>
    <row r="3113">
      <c r="A3113">
        <f>IFERROR(INDEX('Email Cleaner'!$B$2:$B$10001,MATCH(3112,'Email Cleaner'!$H$2:$H$10001,0)),"")</f>
        <v/>
      </c>
    </row>
    <row r="3114">
      <c r="A3114">
        <f>IFERROR(INDEX('Email Cleaner'!$B$2:$B$10001,MATCH(3113,'Email Cleaner'!$H$2:$H$10001,0)),"")</f>
        <v/>
      </c>
    </row>
    <row r="3115">
      <c r="A3115">
        <f>IFERROR(INDEX('Email Cleaner'!$B$2:$B$10001,MATCH(3114,'Email Cleaner'!$H$2:$H$10001,0)),"")</f>
        <v/>
      </c>
    </row>
    <row r="3116">
      <c r="A3116">
        <f>IFERROR(INDEX('Email Cleaner'!$B$2:$B$10001,MATCH(3115,'Email Cleaner'!$H$2:$H$10001,0)),"")</f>
        <v/>
      </c>
    </row>
    <row r="3117">
      <c r="A3117">
        <f>IFERROR(INDEX('Email Cleaner'!$B$2:$B$10001,MATCH(3116,'Email Cleaner'!$H$2:$H$10001,0)),"")</f>
        <v/>
      </c>
    </row>
    <row r="3118">
      <c r="A3118">
        <f>IFERROR(INDEX('Email Cleaner'!$B$2:$B$10001,MATCH(3117,'Email Cleaner'!$H$2:$H$10001,0)),"")</f>
        <v/>
      </c>
    </row>
    <row r="3119">
      <c r="A3119">
        <f>IFERROR(INDEX('Email Cleaner'!$B$2:$B$10001,MATCH(3118,'Email Cleaner'!$H$2:$H$10001,0)),"")</f>
        <v/>
      </c>
    </row>
    <row r="3120">
      <c r="A3120">
        <f>IFERROR(INDEX('Email Cleaner'!$B$2:$B$10001,MATCH(3119,'Email Cleaner'!$H$2:$H$10001,0)),"")</f>
        <v/>
      </c>
    </row>
    <row r="3121">
      <c r="A3121">
        <f>IFERROR(INDEX('Email Cleaner'!$B$2:$B$10001,MATCH(3120,'Email Cleaner'!$H$2:$H$10001,0)),"")</f>
        <v/>
      </c>
    </row>
    <row r="3122">
      <c r="A3122">
        <f>IFERROR(INDEX('Email Cleaner'!$B$2:$B$10001,MATCH(3121,'Email Cleaner'!$H$2:$H$10001,0)),"")</f>
        <v/>
      </c>
    </row>
    <row r="3123">
      <c r="A3123">
        <f>IFERROR(INDEX('Email Cleaner'!$B$2:$B$10001,MATCH(3122,'Email Cleaner'!$H$2:$H$10001,0)),"")</f>
        <v/>
      </c>
    </row>
    <row r="3124">
      <c r="A3124">
        <f>IFERROR(INDEX('Email Cleaner'!$B$2:$B$10001,MATCH(3123,'Email Cleaner'!$H$2:$H$10001,0)),"")</f>
        <v/>
      </c>
    </row>
    <row r="3125">
      <c r="A3125">
        <f>IFERROR(INDEX('Email Cleaner'!$B$2:$B$10001,MATCH(3124,'Email Cleaner'!$H$2:$H$10001,0)),"")</f>
        <v/>
      </c>
    </row>
    <row r="3126">
      <c r="A3126">
        <f>IFERROR(INDEX('Email Cleaner'!$B$2:$B$10001,MATCH(3125,'Email Cleaner'!$H$2:$H$10001,0)),"")</f>
        <v/>
      </c>
    </row>
    <row r="3127">
      <c r="A3127">
        <f>IFERROR(INDEX('Email Cleaner'!$B$2:$B$10001,MATCH(3126,'Email Cleaner'!$H$2:$H$10001,0)),"")</f>
        <v/>
      </c>
    </row>
    <row r="3128">
      <c r="A3128">
        <f>IFERROR(INDEX('Email Cleaner'!$B$2:$B$10001,MATCH(3127,'Email Cleaner'!$H$2:$H$10001,0)),"")</f>
        <v/>
      </c>
    </row>
    <row r="3129">
      <c r="A3129">
        <f>IFERROR(INDEX('Email Cleaner'!$B$2:$B$10001,MATCH(3128,'Email Cleaner'!$H$2:$H$10001,0)),"")</f>
        <v/>
      </c>
    </row>
    <row r="3130">
      <c r="A3130">
        <f>IFERROR(INDEX('Email Cleaner'!$B$2:$B$10001,MATCH(3129,'Email Cleaner'!$H$2:$H$10001,0)),"")</f>
        <v/>
      </c>
    </row>
    <row r="3131">
      <c r="A3131">
        <f>IFERROR(INDEX('Email Cleaner'!$B$2:$B$10001,MATCH(3130,'Email Cleaner'!$H$2:$H$10001,0)),"")</f>
        <v/>
      </c>
    </row>
    <row r="3132">
      <c r="A3132">
        <f>IFERROR(INDEX('Email Cleaner'!$B$2:$B$10001,MATCH(3131,'Email Cleaner'!$H$2:$H$10001,0)),"")</f>
        <v/>
      </c>
    </row>
    <row r="3133">
      <c r="A3133">
        <f>IFERROR(INDEX('Email Cleaner'!$B$2:$B$10001,MATCH(3132,'Email Cleaner'!$H$2:$H$10001,0)),"")</f>
        <v/>
      </c>
    </row>
    <row r="3134">
      <c r="A3134">
        <f>IFERROR(INDEX('Email Cleaner'!$B$2:$B$10001,MATCH(3133,'Email Cleaner'!$H$2:$H$10001,0)),"")</f>
        <v/>
      </c>
    </row>
    <row r="3135">
      <c r="A3135">
        <f>IFERROR(INDEX('Email Cleaner'!$B$2:$B$10001,MATCH(3134,'Email Cleaner'!$H$2:$H$10001,0)),"")</f>
        <v/>
      </c>
    </row>
    <row r="3136">
      <c r="A3136">
        <f>IFERROR(INDEX('Email Cleaner'!$B$2:$B$10001,MATCH(3135,'Email Cleaner'!$H$2:$H$10001,0)),"")</f>
        <v/>
      </c>
    </row>
    <row r="3137">
      <c r="A3137">
        <f>IFERROR(INDEX('Email Cleaner'!$B$2:$B$10001,MATCH(3136,'Email Cleaner'!$H$2:$H$10001,0)),"")</f>
        <v/>
      </c>
    </row>
    <row r="3138">
      <c r="A3138">
        <f>IFERROR(INDEX('Email Cleaner'!$B$2:$B$10001,MATCH(3137,'Email Cleaner'!$H$2:$H$10001,0)),"")</f>
        <v/>
      </c>
    </row>
    <row r="3139">
      <c r="A3139">
        <f>IFERROR(INDEX('Email Cleaner'!$B$2:$B$10001,MATCH(3138,'Email Cleaner'!$H$2:$H$10001,0)),"")</f>
        <v/>
      </c>
    </row>
    <row r="3140">
      <c r="A3140">
        <f>IFERROR(INDEX('Email Cleaner'!$B$2:$B$10001,MATCH(3139,'Email Cleaner'!$H$2:$H$10001,0)),"")</f>
        <v/>
      </c>
    </row>
    <row r="3141">
      <c r="A3141">
        <f>IFERROR(INDEX('Email Cleaner'!$B$2:$B$10001,MATCH(3140,'Email Cleaner'!$H$2:$H$10001,0)),"")</f>
        <v/>
      </c>
    </row>
    <row r="3142">
      <c r="A3142">
        <f>IFERROR(INDEX('Email Cleaner'!$B$2:$B$10001,MATCH(3141,'Email Cleaner'!$H$2:$H$10001,0)),"")</f>
        <v/>
      </c>
    </row>
    <row r="3143">
      <c r="A3143">
        <f>IFERROR(INDEX('Email Cleaner'!$B$2:$B$10001,MATCH(3142,'Email Cleaner'!$H$2:$H$10001,0)),"")</f>
        <v/>
      </c>
    </row>
    <row r="3144">
      <c r="A3144">
        <f>IFERROR(INDEX('Email Cleaner'!$B$2:$B$10001,MATCH(3143,'Email Cleaner'!$H$2:$H$10001,0)),"")</f>
        <v/>
      </c>
    </row>
    <row r="3145">
      <c r="A3145">
        <f>IFERROR(INDEX('Email Cleaner'!$B$2:$B$10001,MATCH(3144,'Email Cleaner'!$H$2:$H$10001,0)),"")</f>
        <v/>
      </c>
    </row>
    <row r="3146">
      <c r="A3146">
        <f>IFERROR(INDEX('Email Cleaner'!$B$2:$B$10001,MATCH(3145,'Email Cleaner'!$H$2:$H$10001,0)),"")</f>
        <v/>
      </c>
    </row>
    <row r="3147">
      <c r="A3147">
        <f>IFERROR(INDEX('Email Cleaner'!$B$2:$B$10001,MATCH(3146,'Email Cleaner'!$H$2:$H$10001,0)),"")</f>
        <v/>
      </c>
    </row>
    <row r="3148">
      <c r="A3148">
        <f>IFERROR(INDEX('Email Cleaner'!$B$2:$B$10001,MATCH(3147,'Email Cleaner'!$H$2:$H$10001,0)),"")</f>
        <v/>
      </c>
    </row>
    <row r="3149">
      <c r="A3149">
        <f>IFERROR(INDEX('Email Cleaner'!$B$2:$B$10001,MATCH(3148,'Email Cleaner'!$H$2:$H$10001,0)),"")</f>
        <v/>
      </c>
    </row>
    <row r="3150">
      <c r="A3150">
        <f>IFERROR(INDEX('Email Cleaner'!$B$2:$B$10001,MATCH(3149,'Email Cleaner'!$H$2:$H$10001,0)),"")</f>
        <v/>
      </c>
    </row>
    <row r="3151">
      <c r="A3151">
        <f>IFERROR(INDEX('Email Cleaner'!$B$2:$B$10001,MATCH(3150,'Email Cleaner'!$H$2:$H$10001,0)),"")</f>
        <v/>
      </c>
    </row>
    <row r="3152">
      <c r="A3152">
        <f>IFERROR(INDEX('Email Cleaner'!$B$2:$B$10001,MATCH(3151,'Email Cleaner'!$H$2:$H$10001,0)),"")</f>
        <v/>
      </c>
    </row>
    <row r="3153">
      <c r="A3153">
        <f>IFERROR(INDEX('Email Cleaner'!$B$2:$B$10001,MATCH(3152,'Email Cleaner'!$H$2:$H$10001,0)),"")</f>
        <v/>
      </c>
    </row>
    <row r="3154">
      <c r="A3154">
        <f>IFERROR(INDEX('Email Cleaner'!$B$2:$B$10001,MATCH(3153,'Email Cleaner'!$H$2:$H$10001,0)),"")</f>
        <v/>
      </c>
    </row>
    <row r="3155">
      <c r="A3155">
        <f>IFERROR(INDEX('Email Cleaner'!$B$2:$B$10001,MATCH(3154,'Email Cleaner'!$H$2:$H$10001,0)),"")</f>
        <v/>
      </c>
    </row>
    <row r="3156">
      <c r="A3156">
        <f>IFERROR(INDEX('Email Cleaner'!$B$2:$B$10001,MATCH(3155,'Email Cleaner'!$H$2:$H$10001,0)),"")</f>
        <v/>
      </c>
    </row>
    <row r="3157">
      <c r="A3157">
        <f>IFERROR(INDEX('Email Cleaner'!$B$2:$B$10001,MATCH(3156,'Email Cleaner'!$H$2:$H$10001,0)),"")</f>
        <v/>
      </c>
    </row>
    <row r="3158">
      <c r="A3158">
        <f>IFERROR(INDEX('Email Cleaner'!$B$2:$B$10001,MATCH(3157,'Email Cleaner'!$H$2:$H$10001,0)),"")</f>
        <v/>
      </c>
    </row>
    <row r="3159">
      <c r="A3159">
        <f>IFERROR(INDEX('Email Cleaner'!$B$2:$B$10001,MATCH(3158,'Email Cleaner'!$H$2:$H$10001,0)),"")</f>
        <v/>
      </c>
    </row>
    <row r="3160">
      <c r="A3160">
        <f>IFERROR(INDEX('Email Cleaner'!$B$2:$B$10001,MATCH(3159,'Email Cleaner'!$H$2:$H$10001,0)),"")</f>
        <v/>
      </c>
    </row>
    <row r="3161">
      <c r="A3161">
        <f>IFERROR(INDEX('Email Cleaner'!$B$2:$B$10001,MATCH(3160,'Email Cleaner'!$H$2:$H$10001,0)),"")</f>
        <v/>
      </c>
    </row>
    <row r="3162">
      <c r="A3162">
        <f>IFERROR(INDEX('Email Cleaner'!$B$2:$B$10001,MATCH(3161,'Email Cleaner'!$H$2:$H$10001,0)),"")</f>
        <v/>
      </c>
    </row>
    <row r="3163">
      <c r="A3163">
        <f>IFERROR(INDEX('Email Cleaner'!$B$2:$B$10001,MATCH(3162,'Email Cleaner'!$H$2:$H$10001,0)),"")</f>
        <v/>
      </c>
    </row>
    <row r="3164">
      <c r="A3164">
        <f>IFERROR(INDEX('Email Cleaner'!$B$2:$B$10001,MATCH(3163,'Email Cleaner'!$H$2:$H$10001,0)),"")</f>
        <v/>
      </c>
    </row>
    <row r="3165">
      <c r="A3165">
        <f>IFERROR(INDEX('Email Cleaner'!$B$2:$B$10001,MATCH(3164,'Email Cleaner'!$H$2:$H$10001,0)),"")</f>
        <v/>
      </c>
    </row>
    <row r="3166">
      <c r="A3166">
        <f>IFERROR(INDEX('Email Cleaner'!$B$2:$B$10001,MATCH(3165,'Email Cleaner'!$H$2:$H$10001,0)),"")</f>
        <v/>
      </c>
    </row>
    <row r="3167">
      <c r="A3167">
        <f>IFERROR(INDEX('Email Cleaner'!$B$2:$B$10001,MATCH(3166,'Email Cleaner'!$H$2:$H$10001,0)),"")</f>
        <v/>
      </c>
    </row>
    <row r="3168">
      <c r="A3168">
        <f>IFERROR(INDEX('Email Cleaner'!$B$2:$B$10001,MATCH(3167,'Email Cleaner'!$H$2:$H$10001,0)),"")</f>
        <v/>
      </c>
    </row>
    <row r="3169">
      <c r="A3169">
        <f>IFERROR(INDEX('Email Cleaner'!$B$2:$B$10001,MATCH(3168,'Email Cleaner'!$H$2:$H$10001,0)),"")</f>
        <v/>
      </c>
    </row>
    <row r="3170">
      <c r="A3170">
        <f>IFERROR(INDEX('Email Cleaner'!$B$2:$B$10001,MATCH(3169,'Email Cleaner'!$H$2:$H$10001,0)),"")</f>
        <v/>
      </c>
    </row>
    <row r="3171">
      <c r="A3171">
        <f>IFERROR(INDEX('Email Cleaner'!$B$2:$B$10001,MATCH(3170,'Email Cleaner'!$H$2:$H$10001,0)),"")</f>
        <v/>
      </c>
    </row>
    <row r="3172">
      <c r="A3172">
        <f>IFERROR(INDEX('Email Cleaner'!$B$2:$B$10001,MATCH(3171,'Email Cleaner'!$H$2:$H$10001,0)),"")</f>
        <v/>
      </c>
    </row>
    <row r="3173">
      <c r="A3173">
        <f>IFERROR(INDEX('Email Cleaner'!$B$2:$B$10001,MATCH(3172,'Email Cleaner'!$H$2:$H$10001,0)),"")</f>
        <v/>
      </c>
    </row>
    <row r="3174">
      <c r="A3174">
        <f>IFERROR(INDEX('Email Cleaner'!$B$2:$B$10001,MATCH(3173,'Email Cleaner'!$H$2:$H$10001,0)),"")</f>
        <v/>
      </c>
    </row>
    <row r="3175">
      <c r="A3175">
        <f>IFERROR(INDEX('Email Cleaner'!$B$2:$B$10001,MATCH(3174,'Email Cleaner'!$H$2:$H$10001,0)),"")</f>
        <v/>
      </c>
    </row>
    <row r="3176">
      <c r="A3176">
        <f>IFERROR(INDEX('Email Cleaner'!$B$2:$B$10001,MATCH(3175,'Email Cleaner'!$H$2:$H$10001,0)),"")</f>
        <v/>
      </c>
    </row>
    <row r="3177">
      <c r="A3177">
        <f>IFERROR(INDEX('Email Cleaner'!$B$2:$B$10001,MATCH(3176,'Email Cleaner'!$H$2:$H$10001,0)),"")</f>
        <v/>
      </c>
    </row>
    <row r="3178">
      <c r="A3178">
        <f>IFERROR(INDEX('Email Cleaner'!$B$2:$B$10001,MATCH(3177,'Email Cleaner'!$H$2:$H$10001,0)),"")</f>
        <v/>
      </c>
    </row>
    <row r="3179">
      <c r="A3179">
        <f>IFERROR(INDEX('Email Cleaner'!$B$2:$B$10001,MATCH(3178,'Email Cleaner'!$H$2:$H$10001,0)),"")</f>
        <v/>
      </c>
    </row>
    <row r="3180">
      <c r="A3180">
        <f>IFERROR(INDEX('Email Cleaner'!$B$2:$B$10001,MATCH(3179,'Email Cleaner'!$H$2:$H$10001,0)),"")</f>
        <v/>
      </c>
    </row>
    <row r="3181">
      <c r="A3181">
        <f>IFERROR(INDEX('Email Cleaner'!$B$2:$B$10001,MATCH(3180,'Email Cleaner'!$H$2:$H$10001,0)),"")</f>
        <v/>
      </c>
    </row>
    <row r="3182">
      <c r="A3182">
        <f>IFERROR(INDEX('Email Cleaner'!$B$2:$B$10001,MATCH(3181,'Email Cleaner'!$H$2:$H$10001,0)),"")</f>
        <v/>
      </c>
    </row>
    <row r="3183">
      <c r="A3183">
        <f>IFERROR(INDEX('Email Cleaner'!$B$2:$B$10001,MATCH(3182,'Email Cleaner'!$H$2:$H$10001,0)),"")</f>
        <v/>
      </c>
    </row>
    <row r="3184">
      <c r="A3184">
        <f>IFERROR(INDEX('Email Cleaner'!$B$2:$B$10001,MATCH(3183,'Email Cleaner'!$H$2:$H$10001,0)),"")</f>
        <v/>
      </c>
    </row>
    <row r="3185">
      <c r="A3185">
        <f>IFERROR(INDEX('Email Cleaner'!$B$2:$B$10001,MATCH(3184,'Email Cleaner'!$H$2:$H$10001,0)),"")</f>
        <v/>
      </c>
    </row>
    <row r="3186">
      <c r="A3186">
        <f>IFERROR(INDEX('Email Cleaner'!$B$2:$B$10001,MATCH(3185,'Email Cleaner'!$H$2:$H$10001,0)),"")</f>
        <v/>
      </c>
    </row>
    <row r="3187">
      <c r="A3187">
        <f>IFERROR(INDEX('Email Cleaner'!$B$2:$B$10001,MATCH(3186,'Email Cleaner'!$H$2:$H$10001,0)),"")</f>
        <v/>
      </c>
    </row>
    <row r="3188">
      <c r="A3188">
        <f>IFERROR(INDEX('Email Cleaner'!$B$2:$B$10001,MATCH(3187,'Email Cleaner'!$H$2:$H$10001,0)),"")</f>
        <v/>
      </c>
    </row>
    <row r="3189">
      <c r="A3189">
        <f>IFERROR(INDEX('Email Cleaner'!$B$2:$B$10001,MATCH(3188,'Email Cleaner'!$H$2:$H$10001,0)),"")</f>
        <v/>
      </c>
    </row>
    <row r="3190">
      <c r="A3190">
        <f>IFERROR(INDEX('Email Cleaner'!$B$2:$B$10001,MATCH(3189,'Email Cleaner'!$H$2:$H$10001,0)),"")</f>
        <v/>
      </c>
    </row>
    <row r="3191">
      <c r="A3191">
        <f>IFERROR(INDEX('Email Cleaner'!$B$2:$B$10001,MATCH(3190,'Email Cleaner'!$H$2:$H$10001,0)),"")</f>
        <v/>
      </c>
    </row>
    <row r="3192">
      <c r="A3192">
        <f>IFERROR(INDEX('Email Cleaner'!$B$2:$B$10001,MATCH(3191,'Email Cleaner'!$H$2:$H$10001,0)),"")</f>
        <v/>
      </c>
    </row>
    <row r="3193">
      <c r="A3193">
        <f>IFERROR(INDEX('Email Cleaner'!$B$2:$B$10001,MATCH(3192,'Email Cleaner'!$H$2:$H$10001,0)),"")</f>
        <v/>
      </c>
    </row>
    <row r="3194">
      <c r="A3194">
        <f>IFERROR(INDEX('Email Cleaner'!$B$2:$B$10001,MATCH(3193,'Email Cleaner'!$H$2:$H$10001,0)),"")</f>
        <v/>
      </c>
    </row>
    <row r="3195">
      <c r="A3195">
        <f>IFERROR(INDEX('Email Cleaner'!$B$2:$B$10001,MATCH(3194,'Email Cleaner'!$H$2:$H$10001,0)),"")</f>
        <v/>
      </c>
    </row>
    <row r="3196">
      <c r="A3196">
        <f>IFERROR(INDEX('Email Cleaner'!$B$2:$B$10001,MATCH(3195,'Email Cleaner'!$H$2:$H$10001,0)),"")</f>
        <v/>
      </c>
    </row>
    <row r="3197">
      <c r="A3197">
        <f>IFERROR(INDEX('Email Cleaner'!$B$2:$B$10001,MATCH(3196,'Email Cleaner'!$H$2:$H$10001,0)),"")</f>
        <v/>
      </c>
    </row>
    <row r="3198">
      <c r="A3198">
        <f>IFERROR(INDEX('Email Cleaner'!$B$2:$B$10001,MATCH(3197,'Email Cleaner'!$H$2:$H$10001,0)),"")</f>
        <v/>
      </c>
    </row>
    <row r="3199">
      <c r="A3199">
        <f>IFERROR(INDEX('Email Cleaner'!$B$2:$B$10001,MATCH(3198,'Email Cleaner'!$H$2:$H$10001,0)),"")</f>
        <v/>
      </c>
    </row>
    <row r="3200">
      <c r="A3200">
        <f>IFERROR(INDEX('Email Cleaner'!$B$2:$B$10001,MATCH(3199,'Email Cleaner'!$H$2:$H$10001,0)),"")</f>
        <v/>
      </c>
    </row>
    <row r="3201">
      <c r="A3201">
        <f>IFERROR(INDEX('Email Cleaner'!$B$2:$B$10001,MATCH(3200,'Email Cleaner'!$H$2:$H$10001,0)),"")</f>
        <v/>
      </c>
    </row>
    <row r="3202">
      <c r="A3202">
        <f>IFERROR(INDEX('Email Cleaner'!$B$2:$B$10001,MATCH(3201,'Email Cleaner'!$H$2:$H$10001,0)),"")</f>
        <v/>
      </c>
    </row>
    <row r="3203">
      <c r="A3203">
        <f>IFERROR(INDEX('Email Cleaner'!$B$2:$B$10001,MATCH(3202,'Email Cleaner'!$H$2:$H$10001,0)),"")</f>
        <v/>
      </c>
    </row>
    <row r="3204">
      <c r="A3204">
        <f>IFERROR(INDEX('Email Cleaner'!$B$2:$B$10001,MATCH(3203,'Email Cleaner'!$H$2:$H$10001,0)),"")</f>
        <v/>
      </c>
    </row>
    <row r="3205">
      <c r="A3205">
        <f>IFERROR(INDEX('Email Cleaner'!$B$2:$B$10001,MATCH(3204,'Email Cleaner'!$H$2:$H$10001,0)),"")</f>
        <v/>
      </c>
    </row>
    <row r="3206">
      <c r="A3206">
        <f>IFERROR(INDEX('Email Cleaner'!$B$2:$B$10001,MATCH(3205,'Email Cleaner'!$H$2:$H$10001,0)),"")</f>
        <v/>
      </c>
    </row>
    <row r="3207">
      <c r="A3207">
        <f>IFERROR(INDEX('Email Cleaner'!$B$2:$B$10001,MATCH(3206,'Email Cleaner'!$H$2:$H$10001,0)),"")</f>
        <v/>
      </c>
    </row>
    <row r="3208">
      <c r="A3208">
        <f>IFERROR(INDEX('Email Cleaner'!$B$2:$B$10001,MATCH(3207,'Email Cleaner'!$H$2:$H$10001,0)),"")</f>
        <v/>
      </c>
    </row>
    <row r="3209">
      <c r="A3209">
        <f>IFERROR(INDEX('Email Cleaner'!$B$2:$B$10001,MATCH(3208,'Email Cleaner'!$H$2:$H$10001,0)),"")</f>
        <v/>
      </c>
    </row>
    <row r="3210">
      <c r="A3210">
        <f>IFERROR(INDEX('Email Cleaner'!$B$2:$B$10001,MATCH(3209,'Email Cleaner'!$H$2:$H$10001,0)),"")</f>
        <v/>
      </c>
    </row>
    <row r="3211">
      <c r="A3211">
        <f>IFERROR(INDEX('Email Cleaner'!$B$2:$B$10001,MATCH(3210,'Email Cleaner'!$H$2:$H$10001,0)),"")</f>
        <v/>
      </c>
    </row>
    <row r="3212">
      <c r="A3212">
        <f>IFERROR(INDEX('Email Cleaner'!$B$2:$B$10001,MATCH(3211,'Email Cleaner'!$H$2:$H$10001,0)),"")</f>
        <v/>
      </c>
    </row>
    <row r="3213">
      <c r="A3213">
        <f>IFERROR(INDEX('Email Cleaner'!$B$2:$B$10001,MATCH(3212,'Email Cleaner'!$H$2:$H$10001,0)),"")</f>
        <v/>
      </c>
    </row>
    <row r="3214">
      <c r="A3214">
        <f>IFERROR(INDEX('Email Cleaner'!$B$2:$B$10001,MATCH(3213,'Email Cleaner'!$H$2:$H$10001,0)),"")</f>
        <v/>
      </c>
    </row>
    <row r="3215">
      <c r="A3215">
        <f>IFERROR(INDEX('Email Cleaner'!$B$2:$B$10001,MATCH(3214,'Email Cleaner'!$H$2:$H$10001,0)),"")</f>
        <v/>
      </c>
    </row>
    <row r="3216">
      <c r="A3216">
        <f>IFERROR(INDEX('Email Cleaner'!$B$2:$B$10001,MATCH(3215,'Email Cleaner'!$H$2:$H$10001,0)),"")</f>
        <v/>
      </c>
    </row>
    <row r="3217">
      <c r="A3217">
        <f>IFERROR(INDEX('Email Cleaner'!$B$2:$B$10001,MATCH(3216,'Email Cleaner'!$H$2:$H$10001,0)),"")</f>
        <v/>
      </c>
    </row>
    <row r="3218">
      <c r="A3218">
        <f>IFERROR(INDEX('Email Cleaner'!$B$2:$B$10001,MATCH(3217,'Email Cleaner'!$H$2:$H$10001,0)),"")</f>
        <v/>
      </c>
    </row>
    <row r="3219">
      <c r="A3219">
        <f>IFERROR(INDEX('Email Cleaner'!$B$2:$B$10001,MATCH(3218,'Email Cleaner'!$H$2:$H$10001,0)),"")</f>
        <v/>
      </c>
    </row>
    <row r="3220">
      <c r="A3220">
        <f>IFERROR(INDEX('Email Cleaner'!$B$2:$B$10001,MATCH(3219,'Email Cleaner'!$H$2:$H$10001,0)),"")</f>
        <v/>
      </c>
    </row>
    <row r="3221">
      <c r="A3221">
        <f>IFERROR(INDEX('Email Cleaner'!$B$2:$B$10001,MATCH(3220,'Email Cleaner'!$H$2:$H$10001,0)),"")</f>
        <v/>
      </c>
    </row>
    <row r="3222">
      <c r="A3222">
        <f>IFERROR(INDEX('Email Cleaner'!$B$2:$B$10001,MATCH(3221,'Email Cleaner'!$H$2:$H$10001,0)),"")</f>
        <v/>
      </c>
    </row>
    <row r="3223">
      <c r="A3223">
        <f>IFERROR(INDEX('Email Cleaner'!$B$2:$B$10001,MATCH(3222,'Email Cleaner'!$H$2:$H$10001,0)),"")</f>
        <v/>
      </c>
    </row>
    <row r="3224">
      <c r="A3224">
        <f>IFERROR(INDEX('Email Cleaner'!$B$2:$B$10001,MATCH(3223,'Email Cleaner'!$H$2:$H$10001,0)),"")</f>
        <v/>
      </c>
    </row>
    <row r="3225">
      <c r="A3225">
        <f>IFERROR(INDEX('Email Cleaner'!$B$2:$B$10001,MATCH(3224,'Email Cleaner'!$H$2:$H$10001,0)),"")</f>
        <v/>
      </c>
    </row>
    <row r="3226">
      <c r="A3226">
        <f>IFERROR(INDEX('Email Cleaner'!$B$2:$B$10001,MATCH(3225,'Email Cleaner'!$H$2:$H$10001,0)),"")</f>
        <v/>
      </c>
    </row>
    <row r="3227">
      <c r="A3227">
        <f>IFERROR(INDEX('Email Cleaner'!$B$2:$B$10001,MATCH(3226,'Email Cleaner'!$H$2:$H$10001,0)),"")</f>
        <v/>
      </c>
    </row>
    <row r="3228">
      <c r="A3228">
        <f>IFERROR(INDEX('Email Cleaner'!$B$2:$B$10001,MATCH(3227,'Email Cleaner'!$H$2:$H$10001,0)),"")</f>
        <v/>
      </c>
    </row>
    <row r="3229">
      <c r="A3229">
        <f>IFERROR(INDEX('Email Cleaner'!$B$2:$B$10001,MATCH(3228,'Email Cleaner'!$H$2:$H$10001,0)),"")</f>
        <v/>
      </c>
    </row>
    <row r="3230">
      <c r="A3230">
        <f>IFERROR(INDEX('Email Cleaner'!$B$2:$B$10001,MATCH(3229,'Email Cleaner'!$H$2:$H$10001,0)),"")</f>
        <v/>
      </c>
    </row>
    <row r="3231">
      <c r="A3231">
        <f>IFERROR(INDEX('Email Cleaner'!$B$2:$B$10001,MATCH(3230,'Email Cleaner'!$H$2:$H$10001,0)),"")</f>
        <v/>
      </c>
    </row>
    <row r="3232">
      <c r="A3232">
        <f>IFERROR(INDEX('Email Cleaner'!$B$2:$B$10001,MATCH(3231,'Email Cleaner'!$H$2:$H$10001,0)),"")</f>
        <v/>
      </c>
    </row>
    <row r="3233">
      <c r="A3233">
        <f>IFERROR(INDEX('Email Cleaner'!$B$2:$B$10001,MATCH(3232,'Email Cleaner'!$H$2:$H$10001,0)),"")</f>
        <v/>
      </c>
    </row>
    <row r="3234">
      <c r="A3234">
        <f>IFERROR(INDEX('Email Cleaner'!$B$2:$B$10001,MATCH(3233,'Email Cleaner'!$H$2:$H$10001,0)),"")</f>
        <v/>
      </c>
    </row>
    <row r="3235">
      <c r="A3235">
        <f>IFERROR(INDEX('Email Cleaner'!$B$2:$B$10001,MATCH(3234,'Email Cleaner'!$H$2:$H$10001,0)),"")</f>
        <v/>
      </c>
    </row>
    <row r="3236">
      <c r="A3236">
        <f>IFERROR(INDEX('Email Cleaner'!$B$2:$B$10001,MATCH(3235,'Email Cleaner'!$H$2:$H$10001,0)),"")</f>
        <v/>
      </c>
    </row>
    <row r="3237">
      <c r="A3237">
        <f>IFERROR(INDEX('Email Cleaner'!$B$2:$B$10001,MATCH(3236,'Email Cleaner'!$H$2:$H$10001,0)),"")</f>
        <v/>
      </c>
    </row>
    <row r="3238">
      <c r="A3238">
        <f>IFERROR(INDEX('Email Cleaner'!$B$2:$B$10001,MATCH(3237,'Email Cleaner'!$H$2:$H$10001,0)),"")</f>
        <v/>
      </c>
    </row>
    <row r="3239">
      <c r="A3239">
        <f>IFERROR(INDEX('Email Cleaner'!$B$2:$B$10001,MATCH(3238,'Email Cleaner'!$H$2:$H$10001,0)),"")</f>
        <v/>
      </c>
    </row>
    <row r="3240">
      <c r="A3240">
        <f>IFERROR(INDEX('Email Cleaner'!$B$2:$B$10001,MATCH(3239,'Email Cleaner'!$H$2:$H$10001,0)),"")</f>
        <v/>
      </c>
    </row>
    <row r="3241">
      <c r="A3241">
        <f>IFERROR(INDEX('Email Cleaner'!$B$2:$B$10001,MATCH(3240,'Email Cleaner'!$H$2:$H$10001,0)),"")</f>
        <v/>
      </c>
    </row>
    <row r="3242">
      <c r="A3242">
        <f>IFERROR(INDEX('Email Cleaner'!$B$2:$B$10001,MATCH(3241,'Email Cleaner'!$H$2:$H$10001,0)),"")</f>
        <v/>
      </c>
    </row>
    <row r="3243">
      <c r="A3243">
        <f>IFERROR(INDEX('Email Cleaner'!$B$2:$B$10001,MATCH(3242,'Email Cleaner'!$H$2:$H$10001,0)),"")</f>
        <v/>
      </c>
    </row>
    <row r="3244">
      <c r="A3244">
        <f>IFERROR(INDEX('Email Cleaner'!$B$2:$B$10001,MATCH(3243,'Email Cleaner'!$H$2:$H$10001,0)),"")</f>
        <v/>
      </c>
    </row>
    <row r="3245">
      <c r="A3245">
        <f>IFERROR(INDEX('Email Cleaner'!$B$2:$B$10001,MATCH(3244,'Email Cleaner'!$H$2:$H$10001,0)),"")</f>
        <v/>
      </c>
    </row>
    <row r="3246">
      <c r="A3246">
        <f>IFERROR(INDEX('Email Cleaner'!$B$2:$B$10001,MATCH(3245,'Email Cleaner'!$H$2:$H$10001,0)),"")</f>
        <v/>
      </c>
    </row>
    <row r="3247">
      <c r="A3247">
        <f>IFERROR(INDEX('Email Cleaner'!$B$2:$B$10001,MATCH(3246,'Email Cleaner'!$H$2:$H$10001,0)),"")</f>
        <v/>
      </c>
    </row>
    <row r="3248">
      <c r="A3248">
        <f>IFERROR(INDEX('Email Cleaner'!$B$2:$B$10001,MATCH(3247,'Email Cleaner'!$H$2:$H$10001,0)),"")</f>
        <v/>
      </c>
    </row>
    <row r="3249">
      <c r="A3249">
        <f>IFERROR(INDEX('Email Cleaner'!$B$2:$B$10001,MATCH(3248,'Email Cleaner'!$H$2:$H$10001,0)),"")</f>
        <v/>
      </c>
    </row>
    <row r="3250">
      <c r="A3250">
        <f>IFERROR(INDEX('Email Cleaner'!$B$2:$B$10001,MATCH(3249,'Email Cleaner'!$H$2:$H$10001,0)),"")</f>
        <v/>
      </c>
    </row>
    <row r="3251">
      <c r="A3251">
        <f>IFERROR(INDEX('Email Cleaner'!$B$2:$B$10001,MATCH(3250,'Email Cleaner'!$H$2:$H$10001,0)),"")</f>
        <v/>
      </c>
    </row>
    <row r="3252">
      <c r="A3252">
        <f>IFERROR(INDEX('Email Cleaner'!$B$2:$B$10001,MATCH(3251,'Email Cleaner'!$H$2:$H$10001,0)),"")</f>
        <v/>
      </c>
    </row>
    <row r="3253">
      <c r="A3253">
        <f>IFERROR(INDEX('Email Cleaner'!$B$2:$B$10001,MATCH(3252,'Email Cleaner'!$H$2:$H$10001,0)),"")</f>
        <v/>
      </c>
    </row>
    <row r="3254">
      <c r="A3254">
        <f>IFERROR(INDEX('Email Cleaner'!$B$2:$B$10001,MATCH(3253,'Email Cleaner'!$H$2:$H$10001,0)),"")</f>
        <v/>
      </c>
    </row>
    <row r="3255">
      <c r="A3255">
        <f>IFERROR(INDEX('Email Cleaner'!$B$2:$B$10001,MATCH(3254,'Email Cleaner'!$H$2:$H$10001,0)),"")</f>
        <v/>
      </c>
    </row>
    <row r="3256">
      <c r="A3256">
        <f>IFERROR(INDEX('Email Cleaner'!$B$2:$B$10001,MATCH(3255,'Email Cleaner'!$H$2:$H$10001,0)),"")</f>
        <v/>
      </c>
    </row>
    <row r="3257">
      <c r="A3257">
        <f>IFERROR(INDEX('Email Cleaner'!$B$2:$B$10001,MATCH(3256,'Email Cleaner'!$H$2:$H$10001,0)),"")</f>
        <v/>
      </c>
    </row>
    <row r="3258">
      <c r="A3258">
        <f>IFERROR(INDEX('Email Cleaner'!$B$2:$B$10001,MATCH(3257,'Email Cleaner'!$H$2:$H$10001,0)),"")</f>
        <v/>
      </c>
    </row>
    <row r="3259">
      <c r="A3259">
        <f>IFERROR(INDEX('Email Cleaner'!$B$2:$B$10001,MATCH(3258,'Email Cleaner'!$H$2:$H$10001,0)),"")</f>
        <v/>
      </c>
    </row>
    <row r="3260">
      <c r="A3260">
        <f>IFERROR(INDEX('Email Cleaner'!$B$2:$B$10001,MATCH(3259,'Email Cleaner'!$H$2:$H$10001,0)),"")</f>
        <v/>
      </c>
    </row>
    <row r="3261">
      <c r="A3261">
        <f>IFERROR(INDEX('Email Cleaner'!$B$2:$B$10001,MATCH(3260,'Email Cleaner'!$H$2:$H$10001,0)),"")</f>
        <v/>
      </c>
    </row>
    <row r="3262">
      <c r="A3262">
        <f>IFERROR(INDEX('Email Cleaner'!$B$2:$B$10001,MATCH(3261,'Email Cleaner'!$H$2:$H$10001,0)),"")</f>
        <v/>
      </c>
    </row>
    <row r="3263">
      <c r="A3263">
        <f>IFERROR(INDEX('Email Cleaner'!$B$2:$B$10001,MATCH(3262,'Email Cleaner'!$H$2:$H$10001,0)),"")</f>
        <v/>
      </c>
    </row>
    <row r="3264">
      <c r="A3264">
        <f>IFERROR(INDEX('Email Cleaner'!$B$2:$B$10001,MATCH(3263,'Email Cleaner'!$H$2:$H$10001,0)),"")</f>
        <v/>
      </c>
    </row>
    <row r="3265">
      <c r="A3265">
        <f>IFERROR(INDEX('Email Cleaner'!$B$2:$B$10001,MATCH(3264,'Email Cleaner'!$H$2:$H$10001,0)),"")</f>
        <v/>
      </c>
    </row>
    <row r="3266">
      <c r="A3266">
        <f>IFERROR(INDEX('Email Cleaner'!$B$2:$B$10001,MATCH(3265,'Email Cleaner'!$H$2:$H$10001,0)),"")</f>
        <v/>
      </c>
    </row>
    <row r="3267">
      <c r="A3267">
        <f>IFERROR(INDEX('Email Cleaner'!$B$2:$B$10001,MATCH(3266,'Email Cleaner'!$H$2:$H$10001,0)),"")</f>
        <v/>
      </c>
    </row>
    <row r="3268">
      <c r="A3268">
        <f>IFERROR(INDEX('Email Cleaner'!$B$2:$B$10001,MATCH(3267,'Email Cleaner'!$H$2:$H$10001,0)),"")</f>
        <v/>
      </c>
    </row>
    <row r="3269">
      <c r="A3269">
        <f>IFERROR(INDEX('Email Cleaner'!$B$2:$B$10001,MATCH(3268,'Email Cleaner'!$H$2:$H$10001,0)),"")</f>
        <v/>
      </c>
    </row>
    <row r="3270">
      <c r="A3270">
        <f>IFERROR(INDEX('Email Cleaner'!$B$2:$B$10001,MATCH(3269,'Email Cleaner'!$H$2:$H$10001,0)),"")</f>
        <v/>
      </c>
    </row>
    <row r="3271">
      <c r="A3271">
        <f>IFERROR(INDEX('Email Cleaner'!$B$2:$B$10001,MATCH(3270,'Email Cleaner'!$H$2:$H$10001,0)),"")</f>
        <v/>
      </c>
    </row>
    <row r="3272">
      <c r="A3272">
        <f>IFERROR(INDEX('Email Cleaner'!$B$2:$B$10001,MATCH(3271,'Email Cleaner'!$H$2:$H$10001,0)),"")</f>
        <v/>
      </c>
    </row>
    <row r="3273">
      <c r="A3273">
        <f>IFERROR(INDEX('Email Cleaner'!$B$2:$B$10001,MATCH(3272,'Email Cleaner'!$H$2:$H$10001,0)),"")</f>
        <v/>
      </c>
    </row>
    <row r="3274">
      <c r="A3274">
        <f>IFERROR(INDEX('Email Cleaner'!$B$2:$B$10001,MATCH(3273,'Email Cleaner'!$H$2:$H$10001,0)),"")</f>
        <v/>
      </c>
    </row>
    <row r="3275">
      <c r="A3275">
        <f>IFERROR(INDEX('Email Cleaner'!$B$2:$B$10001,MATCH(3274,'Email Cleaner'!$H$2:$H$10001,0)),"")</f>
        <v/>
      </c>
    </row>
    <row r="3276">
      <c r="A3276">
        <f>IFERROR(INDEX('Email Cleaner'!$B$2:$B$10001,MATCH(3275,'Email Cleaner'!$H$2:$H$10001,0)),"")</f>
        <v/>
      </c>
    </row>
    <row r="3277">
      <c r="A3277">
        <f>IFERROR(INDEX('Email Cleaner'!$B$2:$B$10001,MATCH(3276,'Email Cleaner'!$H$2:$H$10001,0)),"")</f>
        <v/>
      </c>
    </row>
    <row r="3278">
      <c r="A3278">
        <f>IFERROR(INDEX('Email Cleaner'!$B$2:$B$10001,MATCH(3277,'Email Cleaner'!$H$2:$H$10001,0)),"")</f>
        <v/>
      </c>
    </row>
    <row r="3279">
      <c r="A3279">
        <f>IFERROR(INDEX('Email Cleaner'!$B$2:$B$10001,MATCH(3278,'Email Cleaner'!$H$2:$H$10001,0)),"")</f>
        <v/>
      </c>
    </row>
    <row r="3280">
      <c r="A3280">
        <f>IFERROR(INDEX('Email Cleaner'!$B$2:$B$10001,MATCH(3279,'Email Cleaner'!$H$2:$H$10001,0)),"")</f>
        <v/>
      </c>
    </row>
    <row r="3281">
      <c r="A3281">
        <f>IFERROR(INDEX('Email Cleaner'!$B$2:$B$10001,MATCH(3280,'Email Cleaner'!$H$2:$H$10001,0)),"")</f>
        <v/>
      </c>
    </row>
    <row r="3282">
      <c r="A3282">
        <f>IFERROR(INDEX('Email Cleaner'!$B$2:$B$10001,MATCH(3281,'Email Cleaner'!$H$2:$H$10001,0)),"")</f>
        <v/>
      </c>
    </row>
    <row r="3283">
      <c r="A3283">
        <f>IFERROR(INDEX('Email Cleaner'!$B$2:$B$10001,MATCH(3282,'Email Cleaner'!$H$2:$H$10001,0)),"")</f>
        <v/>
      </c>
    </row>
    <row r="3284">
      <c r="A3284">
        <f>IFERROR(INDEX('Email Cleaner'!$B$2:$B$10001,MATCH(3283,'Email Cleaner'!$H$2:$H$10001,0)),"")</f>
        <v/>
      </c>
    </row>
    <row r="3285">
      <c r="A3285">
        <f>IFERROR(INDEX('Email Cleaner'!$B$2:$B$10001,MATCH(3284,'Email Cleaner'!$H$2:$H$10001,0)),"")</f>
        <v/>
      </c>
    </row>
    <row r="3286">
      <c r="A3286">
        <f>IFERROR(INDEX('Email Cleaner'!$B$2:$B$10001,MATCH(3285,'Email Cleaner'!$H$2:$H$10001,0)),"")</f>
        <v/>
      </c>
    </row>
    <row r="3287">
      <c r="A3287">
        <f>IFERROR(INDEX('Email Cleaner'!$B$2:$B$10001,MATCH(3286,'Email Cleaner'!$H$2:$H$10001,0)),"")</f>
        <v/>
      </c>
    </row>
    <row r="3288">
      <c r="A3288">
        <f>IFERROR(INDEX('Email Cleaner'!$B$2:$B$10001,MATCH(3287,'Email Cleaner'!$H$2:$H$10001,0)),"")</f>
        <v/>
      </c>
    </row>
    <row r="3289">
      <c r="A3289">
        <f>IFERROR(INDEX('Email Cleaner'!$B$2:$B$10001,MATCH(3288,'Email Cleaner'!$H$2:$H$10001,0)),"")</f>
        <v/>
      </c>
    </row>
    <row r="3290">
      <c r="A3290">
        <f>IFERROR(INDEX('Email Cleaner'!$B$2:$B$10001,MATCH(3289,'Email Cleaner'!$H$2:$H$10001,0)),"")</f>
        <v/>
      </c>
    </row>
    <row r="3291">
      <c r="A3291">
        <f>IFERROR(INDEX('Email Cleaner'!$B$2:$B$10001,MATCH(3290,'Email Cleaner'!$H$2:$H$10001,0)),"")</f>
        <v/>
      </c>
    </row>
    <row r="3292">
      <c r="A3292">
        <f>IFERROR(INDEX('Email Cleaner'!$B$2:$B$10001,MATCH(3291,'Email Cleaner'!$H$2:$H$10001,0)),"")</f>
        <v/>
      </c>
    </row>
    <row r="3293">
      <c r="A3293">
        <f>IFERROR(INDEX('Email Cleaner'!$B$2:$B$10001,MATCH(3292,'Email Cleaner'!$H$2:$H$10001,0)),"")</f>
        <v/>
      </c>
    </row>
    <row r="3294">
      <c r="A3294">
        <f>IFERROR(INDEX('Email Cleaner'!$B$2:$B$10001,MATCH(3293,'Email Cleaner'!$H$2:$H$10001,0)),"")</f>
        <v/>
      </c>
    </row>
    <row r="3295">
      <c r="A3295">
        <f>IFERROR(INDEX('Email Cleaner'!$B$2:$B$10001,MATCH(3294,'Email Cleaner'!$H$2:$H$10001,0)),"")</f>
        <v/>
      </c>
    </row>
    <row r="3296">
      <c r="A3296">
        <f>IFERROR(INDEX('Email Cleaner'!$B$2:$B$10001,MATCH(3295,'Email Cleaner'!$H$2:$H$10001,0)),"")</f>
        <v/>
      </c>
    </row>
    <row r="3297">
      <c r="A3297">
        <f>IFERROR(INDEX('Email Cleaner'!$B$2:$B$10001,MATCH(3296,'Email Cleaner'!$H$2:$H$10001,0)),"")</f>
        <v/>
      </c>
    </row>
    <row r="3298">
      <c r="A3298">
        <f>IFERROR(INDEX('Email Cleaner'!$B$2:$B$10001,MATCH(3297,'Email Cleaner'!$H$2:$H$10001,0)),"")</f>
        <v/>
      </c>
    </row>
    <row r="3299">
      <c r="A3299">
        <f>IFERROR(INDEX('Email Cleaner'!$B$2:$B$10001,MATCH(3298,'Email Cleaner'!$H$2:$H$10001,0)),"")</f>
        <v/>
      </c>
    </row>
    <row r="3300">
      <c r="A3300">
        <f>IFERROR(INDEX('Email Cleaner'!$B$2:$B$10001,MATCH(3299,'Email Cleaner'!$H$2:$H$10001,0)),"")</f>
        <v/>
      </c>
    </row>
    <row r="3301">
      <c r="A3301">
        <f>IFERROR(INDEX('Email Cleaner'!$B$2:$B$10001,MATCH(3300,'Email Cleaner'!$H$2:$H$10001,0)),"")</f>
        <v/>
      </c>
    </row>
    <row r="3302">
      <c r="A3302">
        <f>IFERROR(INDEX('Email Cleaner'!$B$2:$B$10001,MATCH(3301,'Email Cleaner'!$H$2:$H$10001,0)),"")</f>
        <v/>
      </c>
    </row>
    <row r="3303">
      <c r="A3303">
        <f>IFERROR(INDEX('Email Cleaner'!$B$2:$B$10001,MATCH(3302,'Email Cleaner'!$H$2:$H$10001,0)),"")</f>
        <v/>
      </c>
    </row>
    <row r="3304">
      <c r="A3304">
        <f>IFERROR(INDEX('Email Cleaner'!$B$2:$B$10001,MATCH(3303,'Email Cleaner'!$H$2:$H$10001,0)),"")</f>
        <v/>
      </c>
    </row>
    <row r="3305">
      <c r="A3305">
        <f>IFERROR(INDEX('Email Cleaner'!$B$2:$B$10001,MATCH(3304,'Email Cleaner'!$H$2:$H$10001,0)),"")</f>
        <v/>
      </c>
    </row>
    <row r="3306">
      <c r="A3306">
        <f>IFERROR(INDEX('Email Cleaner'!$B$2:$B$10001,MATCH(3305,'Email Cleaner'!$H$2:$H$10001,0)),"")</f>
        <v/>
      </c>
    </row>
    <row r="3307">
      <c r="A3307">
        <f>IFERROR(INDEX('Email Cleaner'!$B$2:$B$10001,MATCH(3306,'Email Cleaner'!$H$2:$H$10001,0)),"")</f>
        <v/>
      </c>
    </row>
    <row r="3308">
      <c r="A3308">
        <f>IFERROR(INDEX('Email Cleaner'!$B$2:$B$10001,MATCH(3307,'Email Cleaner'!$H$2:$H$10001,0)),"")</f>
        <v/>
      </c>
    </row>
    <row r="3309">
      <c r="A3309">
        <f>IFERROR(INDEX('Email Cleaner'!$B$2:$B$10001,MATCH(3308,'Email Cleaner'!$H$2:$H$10001,0)),"")</f>
        <v/>
      </c>
    </row>
    <row r="3310">
      <c r="A3310">
        <f>IFERROR(INDEX('Email Cleaner'!$B$2:$B$10001,MATCH(3309,'Email Cleaner'!$H$2:$H$10001,0)),"")</f>
        <v/>
      </c>
    </row>
    <row r="3311">
      <c r="A3311">
        <f>IFERROR(INDEX('Email Cleaner'!$B$2:$B$10001,MATCH(3310,'Email Cleaner'!$H$2:$H$10001,0)),"")</f>
        <v/>
      </c>
    </row>
    <row r="3312">
      <c r="A3312">
        <f>IFERROR(INDEX('Email Cleaner'!$B$2:$B$10001,MATCH(3311,'Email Cleaner'!$H$2:$H$10001,0)),"")</f>
        <v/>
      </c>
    </row>
    <row r="3313">
      <c r="A3313">
        <f>IFERROR(INDEX('Email Cleaner'!$B$2:$B$10001,MATCH(3312,'Email Cleaner'!$H$2:$H$10001,0)),"")</f>
        <v/>
      </c>
    </row>
    <row r="3314">
      <c r="A3314">
        <f>IFERROR(INDEX('Email Cleaner'!$B$2:$B$10001,MATCH(3313,'Email Cleaner'!$H$2:$H$10001,0)),"")</f>
        <v/>
      </c>
    </row>
    <row r="3315">
      <c r="A3315">
        <f>IFERROR(INDEX('Email Cleaner'!$B$2:$B$10001,MATCH(3314,'Email Cleaner'!$H$2:$H$10001,0)),"")</f>
        <v/>
      </c>
    </row>
    <row r="3316">
      <c r="A3316">
        <f>IFERROR(INDEX('Email Cleaner'!$B$2:$B$10001,MATCH(3315,'Email Cleaner'!$H$2:$H$10001,0)),"")</f>
        <v/>
      </c>
    </row>
    <row r="3317">
      <c r="A3317">
        <f>IFERROR(INDEX('Email Cleaner'!$B$2:$B$10001,MATCH(3316,'Email Cleaner'!$H$2:$H$10001,0)),"")</f>
        <v/>
      </c>
    </row>
    <row r="3318">
      <c r="A3318">
        <f>IFERROR(INDEX('Email Cleaner'!$B$2:$B$10001,MATCH(3317,'Email Cleaner'!$H$2:$H$10001,0)),"")</f>
        <v/>
      </c>
    </row>
    <row r="3319">
      <c r="A3319">
        <f>IFERROR(INDEX('Email Cleaner'!$B$2:$B$10001,MATCH(3318,'Email Cleaner'!$H$2:$H$10001,0)),"")</f>
        <v/>
      </c>
    </row>
    <row r="3320">
      <c r="A3320">
        <f>IFERROR(INDEX('Email Cleaner'!$B$2:$B$10001,MATCH(3319,'Email Cleaner'!$H$2:$H$10001,0)),"")</f>
        <v/>
      </c>
    </row>
    <row r="3321">
      <c r="A3321">
        <f>IFERROR(INDEX('Email Cleaner'!$B$2:$B$10001,MATCH(3320,'Email Cleaner'!$H$2:$H$10001,0)),"")</f>
        <v/>
      </c>
    </row>
    <row r="3322">
      <c r="A3322">
        <f>IFERROR(INDEX('Email Cleaner'!$B$2:$B$10001,MATCH(3321,'Email Cleaner'!$H$2:$H$10001,0)),"")</f>
        <v/>
      </c>
    </row>
    <row r="3323">
      <c r="A3323">
        <f>IFERROR(INDEX('Email Cleaner'!$B$2:$B$10001,MATCH(3322,'Email Cleaner'!$H$2:$H$10001,0)),"")</f>
        <v/>
      </c>
    </row>
    <row r="3324">
      <c r="A3324">
        <f>IFERROR(INDEX('Email Cleaner'!$B$2:$B$10001,MATCH(3323,'Email Cleaner'!$H$2:$H$10001,0)),"")</f>
        <v/>
      </c>
    </row>
    <row r="3325">
      <c r="A3325">
        <f>IFERROR(INDEX('Email Cleaner'!$B$2:$B$10001,MATCH(3324,'Email Cleaner'!$H$2:$H$10001,0)),"")</f>
        <v/>
      </c>
    </row>
    <row r="3326">
      <c r="A3326">
        <f>IFERROR(INDEX('Email Cleaner'!$B$2:$B$10001,MATCH(3325,'Email Cleaner'!$H$2:$H$10001,0)),"")</f>
        <v/>
      </c>
    </row>
    <row r="3327">
      <c r="A3327">
        <f>IFERROR(INDEX('Email Cleaner'!$B$2:$B$10001,MATCH(3326,'Email Cleaner'!$H$2:$H$10001,0)),"")</f>
        <v/>
      </c>
    </row>
    <row r="3328">
      <c r="A3328">
        <f>IFERROR(INDEX('Email Cleaner'!$B$2:$B$10001,MATCH(3327,'Email Cleaner'!$H$2:$H$10001,0)),"")</f>
        <v/>
      </c>
    </row>
    <row r="3329">
      <c r="A3329">
        <f>IFERROR(INDEX('Email Cleaner'!$B$2:$B$10001,MATCH(3328,'Email Cleaner'!$H$2:$H$10001,0)),"")</f>
        <v/>
      </c>
    </row>
    <row r="3330">
      <c r="A3330">
        <f>IFERROR(INDEX('Email Cleaner'!$B$2:$B$10001,MATCH(3329,'Email Cleaner'!$H$2:$H$10001,0)),"")</f>
        <v/>
      </c>
    </row>
    <row r="3331">
      <c r="A3331">
        <f>IFERROR(INDEX('Email Cleaner'!$B$2:$B$10001,MATCH(3330,'Email Cleaner'!$H$2:$H$10001,0)),"")</f>
        <v/>
      </c>
    </row>
    <row r="3332">
      <c r="A3332">
        <f>IFERROR(INDEX('Email Cleaner'!$B$2:$B$10001,MATCH(3331,'Email Cleaner'!$H$2:$H$10001,0)),"")</f>
        <v/>
      </c>
    </row>
    <row r="3333">
      <c r="A3333">
        <f>IFERROR(INDEX('Email Cleaner'!$B$2:$B$10001,MATCH(3332,'Email Cleaner'!$H$2:$H$10001,0)),"")</f>
        <v/>
      </c>
    </row>
    <row r="3334">
      <c r="A3334">
        <f>IFERROR(INDEX('Email Cleaner'!$B$2:$B$10001,MATCH(3333,'Email Cleaner'!$H$2:$H$10001,0)),"")</f>
        <v/>
      </c>
    </row>
    <row r="3335">
      <c r="A3335">
        <f>IFERROR(INDEX('Email Cleaner'!$B$2:$B$10001,MATCH(3334,'Email Cleaner'!$H$2:$H$10001,0)),"")</f>
        <v/>
      </c>
    </row>
    <row r="3336">
      <c r="A3336">
        <f>IFERROR(INDEX('Email Cleaner'!$B$2:$B$10001,MATCH(3335,'Email Cleaner'!$H$2:$H$10001,0)),"")</f>
        <v/>
      </c>
    </row>
    <row r="3337">
      <c r="A3337">
        <f>IFERROR(INDEX('Email Cleaner'!$B$2:$B$10001,MATCH(3336,'Email Cleaner'!$H$2:$H$10001,0)),"")</f>
        <v/>
      </c>
    </row>
    <row r="3338">
      <c r="A3338">
        <f>IFERROR(INDEX('Email Cleaner'!$B$2:$B$10001,MATCH(3337,'Email Cleaner'!$H$2:$H$10001,0)),"")</f>
        <v/>
      </c>
    </row>
    <row r="3339">
      <c r="A3339">
        <f>IFERROR(INDEX('Email Cleaner'!$B$2:$B$10001,MATCH(3338,'Email Cleaner'!$H$2:$H$10001,0)),"")</f>
        <v/>
      </c>
    </row>
    <row r="3340">
      <c r="A3340">
        <f>IFERROR(INDEX('Email Cleaner'!$B$2:$B$10001,MATCH(3339,'Email Cleaner'!$H$2:$H$10001,0)),"")</f>
        <v/>
      </c>
    </row>
    <row r="3341">
      <c r="A3341">
        <f>IFERROR(INDEX('Email Cleaner'!$B$2:$B$10001,MATCH(3340,'Email Cleaner'!$H$2:$H$10001,0)),"")</f>
        <v/>
      </c>
    </row>
    <row r="3342">
      <c r="A3342">
        <f>IFERROR(INDEX('Email Cleaner'!$B$2:$B$10001,MATCH(3341,'Email Cleaner'!$H$2:$H$10001,0)),"")</f>
        <v/>
      </c>
    </row>
    <row r="3343">
      <c r="A3343">
        <f>IFERROR(INDEX('Email Cleaner'!$B$2:$B$10001,MATCH(3342,'Email Cleaner'!$H$2:$H$10001,0)),"")</f>
        <v/>
      </c>
    </row>
    <row r="3344">
      <c r="A3344">
        <f>IFERROR(INDEX('Email Cleaner'!$B$2:$B$10001,MATCH(3343,'Email Cleaner'!$H$2:$H$10001,0)),"")</f>
        <v/>
      </c>
    </row>
    <row r="3345">
      <c r="A3345">
        <f>IFERROR(INDEX('Email Cleaner'!$B$2:$B$10001,MATCH(3344,'Email Cleaner'!$H$2:$H$10001,0)),"")</f>
        <v/>
      </c>
    </row>
    <row r="3346">
      <c r="A3346">
        <f>IFERROR(INDEX('Email Cleaner'!$B$2:$B$10001,MATCH(3345,'Email Cleaner'!$H$2:$H$10001,0)),"")</f>
        <v/>
      </c>
    </row>
    <row r="3347">
      <c r="A3347">
        <f>IFERROR(INDEX('Email Cleaner'!$B$2:$B$10001,MATCH(3346,'Email Cleaner'!$H$2:$H$10001,0)),"")</f>
        <v/>
      </c>
    </row>
    <row r="3348">
      <c r="A3348">
        <f>IFERROR(INDEX('Email Cleaner'!$B$2:$B$10001,MATCH(3347,'Email Cleaner'!$H$2:$H$10001,0)),"")</f>
        <v/>
      </c>
    </row>
    <row r="3349">
      <c r="A3349">
        <f>IFERROR(INDEX('Email Cleaner'!$B$2:$B$10001,MATCH(3348,'Email Cleaner'!$H$2:$H$10001,0)),"")</f>
        <v/>
      </c>
    </row>
    <row r="3350">
      <c r="A3350">
        <f>IFERROR(INDEX('Email Cleaner'!$B$2:$B$10001,MATCH(3349,'Email Cleaner'!$H$2:$H$10001,0)),"")</f>
        <v/>
      </c>
    </row>
    <row r="3351">
      <c r="A3351">
        <f>IFERROR(INDEX('Email Cleaner'!$B$2:$B$10001,MATCH(3350,'Email Cleaner'!$H$2:$H$10001,0)),"")</f>
        <v/>
      </c>
    </row>
    <row r="3352">
      <c r="A3352">
        <f>IFERROR(INDEX('Email Cleaner'!$B$2:$B$10001,MATCH(3351,'Email Cleaner'!$H$2:$H$10001,0)),"")</f>
        <v/>
      </c>
    </row>
    <row r="3353">
      <c r="A3353">
        <f>IFERROR(INDEX('Email Cleaner'!$B$2:$B$10001,MATCH(3352,'Email Cleaner'!$H$2:$H$10001,0)),"")</f>
        <v/>
      </c>
    </row>
    <row r="3354">
      <c r="A3354">
        <f>IFERROR(INDEX('Email Cleaner'!$B$2:$B$10001,MATCH(3353,'Email Cleaner'!$H$2:$H$10001,0)),"")</f>
        <v/>
      </c>
    </row>
    <row r="3355">
      <c r="A3355">
        <f>IFERROR(INDEX('Email Cleaner'!$B$2:$B$10001,MATCH(3354,'Email Cleaner'!$H$2:$H$10001,0)),"")</f>
        <v/>
      </c>
    </row>
    <row r="3356">
      <c r="A3356">
        <f>IFERROR(INDEX('Email Cleaner'!$B$2:$B$10001,MATCH(3355,'Email Cleaner'!$H$2:$H$10001,0)),"")</f>
        <v/>
      </c>
    </row>
    <row r="3357">
      <c r="A3357">
        <f>IFERROR(INDEX('Email Cleaner'!$B$2:$B$10001,MATCH(3356,'Email Cleaner'!$H$2:$H$10001,0)),"")</f>
        <v/>
      </c>
    </row>
    <row r="3358">
      <c r="A3358">
        <f>IFERROR(INDEX('Email Cleaner'!$B$2:$B$10001,MATCH(3357,'Email Cleaner'!$H$2:$H$10001,0)),"")</f>
        <v/>
      </c>
    </row>
    <row r="3359">
      <c r="A3359">
        <f>IFERROR(INDEX('Email Cleaner'!$B$2:$B$10001,MATCH(3358,'Email Cleaner'!$H$2:$H$10001,0)),"")</f>
        <v/>
      </c>
    </row>
    <row r="3360">
      <c r="A3360">
        <f>IFERROR(INDEX('Email Cleaner'!$B$2:$B$10001,MATCH(3359,'Email Cleaner'!$H$2:$H$10001,0)),"")</f>
        <v/>
      </c>
    </row>
    <row r="3361">
      <c r="A3361">
        <f>IFERROR(INDEX('Email Cleaner'!$B$2:$B$10001,MATCH(3360,'Email Cleaner'!$H$2:$H$10001,0)),"")</f>
        <v/>
      </c>
    </row>
    <row r="3362">
      <c r="A3362">
        <f>IFERROR(INDEX('Email Cleaner'!$B$2:$B$10001,MATCH(3361,'Email Cleaner'!$H$2:$H$10001,0)),"")</f>
        <v/>
      </c>
    </row>
    <row r="3363">
      <c r="A3363">
        <f>IFERROR(INDEX('Email Cleaner'!$B$2:$B$10001,MATCH(3362,'Email Cleaner'!$H$2:$H$10001,0)),"")</f>
        <v/>
      </c>
    </row>
    <row r="3364">
      <c r="A3364">
        <f>IFERROR(INDEX('Email Cleaner'!$B$2:$B$10001,MATCH(3363,'Email Cleaner'!$H$2:$H$10001,0)),"")</f>
        <v/>
      </c>
    </row>
    <row r="3365">
      <c r="A3365">
        <f>IFERROR(INDEX('Email Cleaner'!$B$2:$B$10001,MATCH(3364,'Email Cleaner'!$H$2:$H$10001,0)),"")</f>
        <v/>
      </c>
    </row>
    <row r="3366">
      <c r="A3366">
        <f>IFERROR(INDEX('Email Cleaner'!$B$2:$B$10001,MATCH(3365,'Email Cleaner'!$H$2:$H$10001,0)),"")</f>
        <v/>
      </c>
    </row>
    <row r="3367">
      <c r="A3367">
        <f>IFERROR(INDEX('Email Cleaner'!$B$2:$B$10001,MATCH(3366,'Email Cleaner'!$H$2:$H$10001,0)),"")</f>
        <v/>
      </c>
    </row>
    <row r="3368">
      <c r="A3368">
        <f>IFERROR(INDEX('Email Cleaner'!$B$2:$B$10001,MATCH(3367,'Email Cleaner'!$H$2:$H$10001,0)),"")</f>
        <v/>
      </c>
    </row>
    <row r="3369">
      <c r="A3369">
        <f>IFERROR(INDEX('Email Cleaner'!$B$2:$B$10001,MATCH(3368,'Email Cleaner'!$H$2:$H$10001,0)),"")</f>
        <v/>
      </c>
    </row>
    <row r="3370">
      <c r="A3370">
        <f>IFERROR(INDEX('Email Cleaner'!$B$2:$B$10001,MATCH(3369,'Email Cleaner'!$H$2:$H$10001,0)),"")</f>
        <v/>
      </c>
    </row>
    <row r="3371">
      <c r="A3371">
        <f>IFERROR(INDEX('Email Cleaner'!$B$2:$B$10001,MATCH(3370,'Email Cleaner'!$H$2:$H$10001,0)),"")</f>
        <v/>
      </c>
    </row>
    <row r="3372">
      <c r="A3372">
        <f>IFERROR(INDEX('Email Cleaner'!$B$2:$B$10001,MATCH(3371,'Email Cleaner'!$H$2:$H$10001,0)),"")</f>
        <v/>
      </c>
    </row>
    <row r="3373">
      <c r="A3373">
        <f>IFERROR(INDEX('Email Cleaner'!$B$2:$B$10001,MATCH(3372,'Email Cleaner'!$H$2:$H$10001,0)),"")</f>
        <v/>
      </c>
    </row>
    <row r="3374">
      <c r="A3374">
        <f>IFERROR(INDEX('Email Cleaner'!$B$2:$B$10001,MATCH(3373,'Email Cleaner'!$H$2:$H$10001,0)),"")</f>
        <v/>
      </c>
    </row>
    <row r="3375">
      <c r="A3375">
        <f>IFERROR(INDEX('Email Cleaner'!$B$2:$B$10001,MATCH(3374,'Email Cleaner'!$H$2:$H$10001,0)),"")</f>
        <v/>
      </c>
    </row>
    <row r="3376">
      <c r="A3376">
        <f>IFERROR(INDEX('Email Cleaner'!$B$2:$B$10001,MATCH(3375,'Email Cleaner'!$H$2:$H$10001,0)),"")</f>
        <v/>
      </c>
    </row>
    <row r="3377">
      <c r="A3377">
        <f>IFERROR(INDEX('Email Cleaner'!$B$2:$B$10001,MATCH(3376,'Email Cleaner'!$H$2:$H$10001,0)),"")</f>
        <v/>
      </c>
    </row>
    <row r="3378">
      <c r="A3378">
        <f>IFERROR(INDEX('Email Cleaner'!$B$2:$B$10001,MATCH(3377,'Email Cleaner'!$H$2:$H$10001,0)),"")</f>
        <v/>
      </c>
    </row>
    <row r="3379">
      <c r="A3379">
        <f>IFERROR(INDEX('Email Cleaner'!$B$2:$B$10001,MATCH(3378,'Email Cleaner'!$H$2:$H$10001,0)),"")</f>
        <v/>
      </c>
    </row>
    <row r="3380">
      <c r="A3380">
        <f>IFERROR(INDEX('Email Cleaner'!$B$2:$B$10001,MATCH(3379,'Email Cleaner'!$H$2:$H$10001,0)),"")</f>
        <v/>
      </c>
    </row>
    <row r="3381">
      <c r="A3381">
        <f>IFERROR(INDEX('Email Cleaner'!$B$2:$B$10001,MATCH(3380,'Email Cleaner'!$H$2:$H$10001,0)),"")</f>
        <v/>
      </c>
    </row>
    <row r="3382">
      <c r="A3382">
        <f>IFERROR(INDEX('Email Cleaner'!$B$2:$B$10001,MATCH(3381,'Email Cleaner'!$H$2:$H$10001,0)),"")</f>
        <v/>
      </c>
    </row>
    <row r="3383">
      <c r="A3383">
        <f>IFERROR(INDEX('Email Cleaner'!$B$2:$B$10001,MATCH(3382,'Email Cleaner'!$H$2:$H$10001,0)),"")</f>
        <v/>
      </c>
    </row>
    <row r="3384">
      <c r="A3384">
        <f>IFERROR(INDEX('Email Cleaner'!$B$2:$B$10001,MATCH(3383,'Email Cleaner'!$H$2:$H$10001,0)),"")</f>
        <v/>
      </c>
    </row>
    <row r="3385">
      <c r="A3385">
        <f>IFERROR(INDEX('Email Cleaner'!$B$2:$B$10001,MATCH(3384,'Email Cleaner'!$H$2:$H$10001,0)),"")</f>
        <v/>
      </c>
    </row>
    <row r="3386">
      <c r="A3386">
        <f>IFERROR(INDEX('Email Cleaner'!$B$2:$B$10001,MATCH(3385,'Email Cleaner'!$H$2:$H$10001,0)),"")</f>
        <v/>
      </c>
    </row>
    <row r="3387">
      <c r="A3387">
        <f>IFERROR(INDEX('Email Cleaner'!$B$2:$B$10001,MATCH(3386,'Email Cleaner'!$H$2:$H$10001,0)),"")</f>
        <v/>
      </c>
    </row>
    <row r="3388">
      <c r="A3388">
        <f>IFERROR(INDEX('Email Cleaner'!$B$2:$B$10001,MATCH(3387,'Email Cleaner'!$H$2:$H$10001,0)),"")</f>
        <v/>
      </c>
    </row>
    <row r="3389">
      <c r="A3389">
        <f>IFERROR(INDEX('Email Cleaner'!$B$2:$B$10001,MATCH(3388,'Email Cleaner'!$H$2:$H$10001,0)),"")</f>
        <v/>
      </c>
    </row>
    <row r="3390">
      <c r="A3390">
        <f>IFERROR(INDEX('Email Cleaner'!$B$2:$B$10001,MATCH(3389,'Email Cleaner'!$H$2:$H$10001,0)),"")</f>
        <v/>
      </c>
    </row>
    <row r="3391">
      <c r="A3391">
        <f>IFERROR(INDEX('Email Cleaner'!$B$2:$B$10001,MATCH(3390,'Email Cleaner'!$H$2:$H$10001,0)),"")</f>
        <v/>
      </c>
    </row>
    <row r="3392">
      <c r="A3392">
        <f>IFERROR(INDEX('Email Cleaner'!$B$2:$B$10001,MATCH(3391,'Email Cleaner'!$H$2:$H$10001,0)),"")</f>
        <v/>
      </c>
    </row>
    <row r="3393">
      <c r="A3393">
        <f>IFERROR(INDEX('Email Cleaner'!$B$2:$B$10001,MATCH(3392,'Email Cleaner'!$H$2:$H$10001,0)),"")</f>
        <v/>
      </c>
    </row>
    <row r="3394">
      <c r="A3394">
        <f>IFERROR(INDEX('Email Cleaner'!$B$2:$B$10001,MATCH(3393,'Email Cleaner'!$H$2:$H$10001,0)),"")</f>
        <v/>
      </c>
    </row>
    <row r="3395">
      <c r="A3395">
        <f>IFERROR(INDEX('Email Cleaner'!$B$2:$B$10001,MATCH(3394,'Email Cleaner'!$H$2:$H$10001,0)),"")</f>
        <v/>
      </c>
    </row>
    <row r="3396">
      <c r="A3396">
        <f>IFERROR(INDEX('Email Cleaner'!$B$2:$B$10001,MATCH(3395,'Email Cleaner'!$H$2:$H$10001,0)),"")</f>
        <v/>
      </c>
    </row>
    <row r="3397">
      <c r="A3397">
        <f>IFERROR(INDEX('Email Cleaner'!$B$2:$B$10001,MATCH(3396,'Email Cleaner'!$H$2:$H$10001,0)),"")</f>
        <v/>
      </c>
    </row>
    <row r="3398">
      <c r="A3398">
        <f>IFERROR(INDEX('Email Cleaner'!$B$2:$B$10001,MATCH(3397,'Email Cleaner'!$H$2:$H$10001,0)),"")</f>
        <v/>
      </c>
    </row>
    <row r="3399">
      <c r="A3399">
        <f>IFERROR(INDEX('Email Cleaner'!$B$2:$B$10001,MATCH(3398,'Email Cleaner'!$H$2:$H$10001,0)),"")</f>
        <v/>
      </c>
    </row>
    <row r="3400">
      <c r="A3400">
        <f>IFERROR(INDEX('Email Cleaner'!$B$2:$B$10001,MATCH(3399,'Email Cleaner'!$H$2:$H$10001,0)),"")</f>
        <v/>
      </c>
    </row>
    <row r="3401">
      <c r="A3401">
        <f>IFERROR(INDEX('Email Cleaner'!$B$2:$B$10001,MATCH(3400,'Email Cleaner'!$H$2:$H$10001,0)),"")</f>
        <v/>
      </c>
    </row>
    <row r="3402">
      <c r="A3402">
        <f>IFERROR(INDEX('Email Cleaner'!$B$2:$B$10001,MATCH(3401,'Email Cleaner'!$H$2:$H$10001,0)),"")</f>
        <v/>
      </c>
    </row>
    <row r="3403">
      <c r="A3403">
        <f>IFERROR(INDEX('Email Cleaner'!$B$2:$B$10001,MATCH(3402,'Email Cleaner'!$H$2:$H$10001,0)),"")</f>
        <v/>
      </c>
    </row>
    <row r="3404">
      <c r="A3404">
        <f>IFERROR(INDEX('Email Cleaner'!$B$2:$B$10001,MATCH(3403,'Email Cleaner'!$H$2:$H$10001,0)),"")</f>
        <v/>
      </c>
    </row>
    <row r="3405">
      <c r="A3405">
        <f>IFERROR(INDEX('Email Cleaner'!$B$2:$B$10001,MATCH(3404,'Email Cleaner'!$H$2:$H$10001,0)),"")</f>
        <v/>
      </c>
    </row>
    <row r="3406">
      <c r="A3406">
        <f>IFERROR(INDEX('Email Cleaner'!$B$2:$B$10001,MATCH(3405,'Email Cleaner'!$H$2:$H$10001,0)),"")</f>
        <v/>
      </c>
    </row>
    <row r="3407">
      <c r="A3407">
        <f>IFERROR(INDEX('Email Cleaner'!$B$2:$B$10001,MATCH(3406,'Email Cleaner'!$H$2:$H$10001,0)),"")</f>
        <v/>
      </c>
    </row>
    <row r="3408">
      <c r="A3408">
        <f>IFERROR(INDEX('Email Cleaner'!$B$2:$B$10001,MATCH(3407,'Email Cleaner'!$H$2:$H$10001,0)),"")</f>
        <v/>
      </c>
    </row>
    <row r="3409">
      <c r="A3409">
        <f>IFERROR(INDEX('Email Cleaner'!$B$2:$B$10001,MATCH(3408,'Email Cleaner'!$H$2:$H$10001,0)),"")</f>
        <v/>
      </c>
    </row>
    <row r="3410">
      <c r="A3410">
        <f>IFERROR(INDEX('Email Cleaner'!$B$2:$B$10001,MATCH(3409,'Email Cleaner'!$H$2:$H$10001,0)),"")</f>
        <v/>
      </c>
    </row>
    <row r="3411">
      <c r="A3411">
        <f>IFERROR(INDEX('Email Cleaner'!$B$2:$B$10001,MATCH(3410,'Email Cleaner'!$H$2:$H$10001,0)),"")</f>
        <v/>
      </c>
    </row>
    <row r="3412">
      <c r="A3412">
        <f>IFERROR(INDEX('Email Cleaner'!$B$2:$B$10001,MATCH(3411,'Email Cleaner'!$H$2:$H$10001,0)),"")</f>
        <v/>
      </c>
    </row>
    <row r="3413">
      <c r="A3413">
        <f>IFERROR(INDEX('Email Cleaner'!$B$2:$B$10001,MATCH(3412,'Email Cleaner'!$H$2:$H$10001,0)),"")</f>
        <v/>
      </c>
    </row>
    <row r="3414">
      <c r="A3414">
        <f>IFERROR(INDEX('Email Cleaner'!$B$2:$B$10001,MATCH(3413,'Email Cleaner'!$H$2:$H$10001,0)),"")</f>
        <v/>
      </c>
    </row>
    <row r="3415">
      <c r="A3415">
        <f>IFERROR(INDEX('Email Cleaner'!$B$2:$B$10001,MATCH(3414,'Email Cleaner'!$H$2:$H$10001,0)),"")</f>
        <v/>
      </c>
    </row>
    <row r="3416">
      <c r="A3416">
        <f>IFERROR(INDEX('Email Cleaner'!$B$2:$B$10001,MATCH(3415,'Email Cleaner'!$H$2:$H$10001,0)),"")</f>
        <v/>
      </c>
    </row>
    <row r="3417">
      <c r="A3417">
        <f>IFERROR(INDEX('Email Cleaner'!$B$2:$B$10001,MATCH(3416,'Email Cleaner'!$H$2:$H$10001,0)),"")</f>
        <v/>
      </c>
    </row>
    <row r="3418">
      <c r="A3418">
        <f>IFERROR(INDEX('Email Cleaner'!$B$2:$B$10001,MATCH(3417,'Email Cleaner'!$H$2:$H$10001,0)),"")</f>
        <v/>
      </c>
    </row>
    <row r="3419">
      <c r="A3419">
        <f>IFERROR(INDEX('Email Cleaner'!$B$2:$B$10001,MATCH(3418,'Email Cleaner'!$H$2:$H$10001,0)),"")</f>
        <v/>
      </c>
    </row>
    <row r="3420">
      <c r="A3420">
        <f>IFERROR(INDEX('Email Cleaner'!$B$2:$B$10001,MATCH(3419,'Email Cleaner'!$H$2:$H$10001,0)),"")</f>
        <v/>
      </c>
    </row>
    <row r="3421">
      <c r="A3421">
        <f>IFERROR(INDEX('Email Cleaner'!$B$2:$B$10001,MATCH(3420,'Email Cleaner'!$H$2:$H$10001,0)),"")</f>
        <v/>
      </c>
    </row>
    <row r="3422">
      <c r="A3422">
        <f>IFERROR(INDEX('Email Cleaner'!$B$2:$B$10001,MATCH(3421,'Email Cleaner'!$H$2:$H$10001,0)),"")</f>
        <v/>
      </c>
    </row>
    <row r="3423">
      <c r="A3423">
        <f>IFERROR(INDEX('Email Cleaner'!$B$2:$B$10001,MATCH(3422,'Email Cleaner'!$H$2:$H$10001,0)),"")</f>
        <v/>
      </c>
    </row>
    <row r="3424">
      <c r="A3424">
        <f>IFERROR(INDEX('Email Cleaner'!$B$2:$B$10001,MATCH(3423,'Email Cleaner'!$H$2:$H$10001,0)),"")</f>
        <v/>
      </c>
    </row>
    <row r="3425">
      <c r="A3425">
        <f>IFERROR(INDEX('Email Cleaner'!$B$2:$B$10001,MATCH(3424,'Email Cleaner'!$H$2:$H$10001,0)),"")</f>
        <v/>
      </c>
    </row>
    <row r="3426">
      <c r="A3426">
        <f>IFERROR(INDEX('Email Cleaner'!$B$2:$B$10001,MATCH(3425,'Email Cleaner'!$H$2:$H$10001,0)),"")</f>
        <v/>
      </c>
    </row>
    <row r="3427">
      <c r="A3427">
        <f>IFERROR(INDEX('Email Cleaner'!$B$2:$B$10001,MATCH(3426,'Email Cleaner'!$H$2:$H$10001,0)),"")</f>
        <v/>
      </c>
    </row>
    <row r="3428">
      <c r="A3428">
        <f>IFERROR(INDEX('Email Cleaner'!$B$2:$B$10001,MATCH(3427,'Email Cleaner'!$H$2:$H$10001,0)),"")</f>
        <v/>
      </c>
    </row>
    <row r="3429">
      <c r="A3429">
        <f>IFERROR(INDEX('Email Cleaner'!$B$2:$B$10001,MATCH(3428,'Email Cleaner'!$H$2:$H$10001,0)),"")</f>
        <v/>
      </c>
    </row>
    <row r="3430">
      <c r="A3430">
        <f>IFERROR(INDEX('Email Cleaner'!$B$2:$B$10001,MATCH(3429,'Email Cleaner'!$H$2:$H$10001,0)),"")</f>
        <v/>
      </c>
    </row>
    <row r="3431">
      <c r="A3431">
        <f>IFERROR(INDEX('Email Cleaner'!$B$2:$B$10001,MATCH(3430,'Email Cleaner'!$H$2:$H$10001,0)),"")</f>
        <v/>
      </c>
    </row>
    <row r="3432">
      <c r="A3432">
        <f>IFERROR(INDEX('Email Cleaner'!$B$2:$B$10001,MATCH(3431,'Email Cleaner'!$H$2:$H$10001,0)),"")</f>
        <v/>
      </c>
    </row>
    <row r="3433">
      <c r="A3433">
        <f>IFERROR(INDEX('Email Cleaner'!$B$2:$B$10001,MATCH(3432,'Email Cleaner'!$H$2:$H$10001,0)),"")</f>
        <v/>
      </c>
    </row>
    <row r="3434">
      <c r="A3434">
        <f>IFERROR(INDEX('Email Cleaner'!$B$2:$B$10001,MATCH(3433,'Email Cleaner'!$H$2:$H$10001,0)),"")</f>
        <v/>
      </c>
    </row>
    <row r="3435">
      <c r="A3435">
        <f>IFERROR(INDEX('Email Cleaner'!$B$2:$B$10001,MATCH(3434,'Email Cleaner'!$H$2:$H$10001,0)),"")</f>
        <v/>
      </c>
    </row>
    <row r="3436">
      <c r="A3436">
        <f>IFERROR(INDEX('Email Cleaner'!$B$2:$B$10001,MATCH(3435,'Email Cleaner'!$H$2:$H$10001,0)),"")</f>
        <v/>
      </c>
    </row>
    <row r="3437">
      <c r="A3437">
        <f>IFERROR(INDEX('Email Cleaner'!$B$2:$B$10001,MATCH(3436,'Email Cleaner'!$H$2:$H$10001,0)),"")</f>
        <v/>
      </c>
    </row>
    <row r="3438">
      <c r="A3438">
        <f>IFERROR(INDEX('Email Cleaner'!$B$2:$B$10001,MATCH(3437,'Email Cleaner'!$H$2:$H$10001,0)),"")</f>
        <v/>
      </c>
    </row>
    <row r="3439">
      <c r="A3439">
        <f>IFERROR(INDEX('Email Cleaner'!$B$2:$B$10001,MATCH(3438,'Email Cleaner'!$H$2:$H$10001,0)),"")</f>
        <v/>
      </c>
    </row>
    <row r="3440">
      <c r="A3440">
        <f>IFERROR(INDEX('Email Cleaner'!$B$2:$B$10001,MATCH(3439,'Email Cleaner'!$H$2:$H$10001,0)),"")</f>
        <v/>
      </c>
    </row>
    <row r="3441">
      <c r="A3441">
        <f>IFERROR(INDEX('Email Cleaner'!$B$2:$B$10001,MATCH(3440,'Email Cleaner'!$H$2:$H$10001,0)),"")</f>
        <v/>
      </c>
    </row>
    <row r="3442">
      <c r="A3442">
        <f>IFERROR(INDEX('Email Cleaner'!$B$2:$B$10001,MATCH(3441,'Email Cleaner'!$H$2:$H$10001,0)),"")</f>
        <v/>
      </c>
    </row>
    <row r="3443">
      <c r="A3443">
        <f>IFERROR(INDEX('Email Cleaner'!$B$2:$B$10001,MATCH(3442,'Email Cleaner'!$H$2:$H$10001,0)),"")</f>
        <v/>
      </c>
    </row>
    <row r="3444">
      <c r="A3444">
        <f>IFERROR(INDEX('Email Cleaner'!$B$2:$B$10001,MATCH(3443,'Email Cleaner'!$H$2:$H$10001,0)),"")</f>
        <v/>
      </c>
    </row>
    <row r="3445">
      <c r="A3445">
        <f>IFERROR(INDEX('Email Cleaner'!$B$2:$B$10001,MATCH(3444,'Email Cleaner'!$H$2:$H$10001,0)),"")</f>
        <v/>
      </c>
    </row>
    <row r="3446">
      <c r="A3446">
        <f>IFERROR(INDEX('Email Cleaner'!$B$2:$B$10001,MATCH(3445,'Email Cleaner'!$H$2:$H$10001,0)),"")</f>
        <v/>
      </c>
    </row>
    <row r="3447">
      <c r="A3447">
        <f>IFERROR(INDEX('Email Cleaner'!$B$2:$B$10001,MATCH(3446,'Email Cleaner'!$H$2:$H$10001,0)),"")</f>
        <v/>
      </c>
    </row>
    <row r="3448">
      <c r="A3448">
        <f>IFERROR(INDEX('Email Cleaner'!$B$2:$B$10001,MATCH(3447,'Email Cleaner'!$H$2:$H$10001,0)),"")</f>
        <v/>
      </c>
    </row>
    <row r="3449">
      <c r="A3449">
        <f>IFERROR(INDEX('Email Cleaner'!$B$2:$B$10001,MATCH(3448,'Email Cleaner'!$H$2:$H$10001,0)),"")</f>
        <v/>
      </c>
    </row>
    <row r="3450">
      <c r="A3450">
        <f>IFERROR(INDEX('Email Cleaner'!$B$2:$B$10001,MATCH(3449,'Email Cleaner'!$H$2:$H$10001,0)),"")</f>
        <v/>
      </c>
    </row>
    <row r="3451">
      <c r="A3451">
        <f>IFERROR(INDEX('Email Cleaner'!$B$2:$B$10001,MATCH(3450,'Email Cleaner'!$H$2:$H$10001,0)),"")</f>
        <v/>
      </c>
    </row>
    <row r="3452">
      <c r="A3452">
        <f>IFERROR(INDEX('Email Cleaner'!$B$2:$B$10001,MATCH(3451,'Email Cleaner'!$H$2:$H$10001,0)),"")</f>
        <v/>
      </c>
    </row>
    <row r="3453">
      <c r="A3453">
        <f>IFERROR(INDEX('Email Cleaner'!$B$2:$B$10001,MATCH(3452,'Email Cleaner'!$H$2:$H$10001,0)),"")</f>
        <v/>
      </c>
    </row>
    <row r="3454">
      <c r="A3454">
        <f>IFERROR(INDEX('Email Cleaner'!$B$2:$B$10001,MATCH(3453,'Email Cleaner'!$H$2:$H$10001,0)),"")</f>
        <v/>
      </c>
    </row>
    <row r="3455">
      <c r="A3455">
        <f>IFERROR(INDEX('Email Cleaner'!$B$2:$B$10001,MATCH(3454,'Email Cleaner'!$H$2:$H$10001,0)),"")</f>
        <v/>
      </c>
    </row>
    <row r="3456">
      <c r="A3456">
        <f>IFERROR(INDEX('Email Cleaner'!$B$2:$B$10001,MATCH(3455,'Email Cleaner'!$H$2:$H$10001,0)),"")</f>
        <v/>
      </c>
    </row>
    <row r="3457">
      <c r="A3457">
        <f>IFERROR(INDEX('Email Cleaner'!$B$2:$B$10001,MATCH(3456,'Email Cleaner'!$H$2:$H$10001,0)),"")</f>
        <v/>
      </c>
    </row>
    <row r="3458">
      <c r="A3458">
        <f>IFERROR(INDEX('Email Cleaner'!$B$2:$B$10001,MATCH(3457,'Email Cleaner'!$H$2:$H$10001,0)),"")</f>
        <v/>
      </c>
    </row>
    <row r="3459">
      <c r="A3459">
        <f>IFERROR(INDEX('Email Cleaner'!$B$2:$B$10001,MATCH(3458,'Email Cleaner'!$H$2:$H$10001,0)),"")</f>
        <v/>
      </c>
    </row>
    <row r="3460">
      <c r="A3460">
        <f>IFERROR(INDEX('Email Cleaner'!$B$2:$B$10001,MATCH(3459,'Email Cleaner'!$H$2:$H$10001,0)),"")</f>
        <v/>
      </c>
    </row>
    <row r="3461">
      <c r="A3461">
        <f>IFERROR(INDEX('Email Cleaner'!$B$2:$B$10001,MATCH(3460,'Email Cleaner'!$H$2:$H$10001,0)),"")</f>
        <v/>
      </c>
    </row>
    <row r="3462">
      <c r="A3462">
        <f>IFERROR(INDEX('Email Cleaner'!$B$2:$B$10001,MATCH(3461,'Email Cleaner'!$H$2:$H$10001,0)),"")</f>
        <v/>
      </c>
    </row>
    <row r="3463">
      <c r="A3463">
        <f>IFERROR(INDEX('Email Cleaner'!$B$2:$B$10001,MATCH(3462,'Email Cleaner'!$H$2:$H$10001,0)),"")</f>
        <v/>
      </c>
    </row>
    <row r="3464">
      <c r="A3464">
        <f>IFERROR(INDEX('Email Cleaner'!$B$2:$B$10001,MATCH(3463,'Email Cleaner'!$H$2:$H$10001,0)),"")</f>
        <v/>
      </c>
    </row>
    <row r="3465">
      <c r="A3465">
        <f>IFERROR(INDEX('Email Cleaner'!$B$2:$B$10001,MATCH(3464,'Email Cleaner'!$H$2:$H$10001,0)),"")</f>
        <v/>
      </c>
    </row>
    <row r="3466">
      <c r="A3466">
        <f>IFERROR(INDEX('Email Cleaner'!$B$2:$B$10001,MATCH(3465,'Email Cleaner'!$H$2:$H$10001,0)),"")</f>
        <v/>
      </c>
    </row>
    <row r="3467">
      <c r="A3467">
        <f>IFERROR(INDEX('Email Cleaner'!$B$2:$B$10001,MATCH(3466,'Email Cleaner'!$H$2:$H$10001,0)),"")</f>
        <v/>
      </c>
    </row>
    <row r="3468">
      <c r="A3468">
        <f>IFERROR(INDEX('Email Cleaner'!$B$2:$B$10001,MATCH(3467,'Email Cleaner'!$H$2:$H$10001,0)),"")</f>
        <v/>
      </c>
    </row>
    <row r="3469">
      <c r="A3469">
        <f>IFERROR(INDEX('Email Cleaner'!$B$2:$B$10001,MATCH(3468,'Email Cleaner'!$H$2:$H$10001,0)),"")</f>
        <v/>
      </c>
    </row>
    <row r="3470">
      <c r="A3470">
        <f>IFERROR(INDEX('Email Cleaner'!$B$2:$B$10001,MATCH(3469,'Email Cleaner'!$H$2:$H$10001,0)),"")</f>
        <v/>
      </c>
    </row>
    <row r="3471">
      <c r="A3471">
        <f>IFERROR(INDEX('Email Cleaner'!$B$2:$B$10001,MATCH(3470,'Email Cleaner'!$H$2:$H$10001,0)),"")</f>
        <v/>
      </c>
    </row>
    <row r="3472">
      <c r="A3472">
        <f>IFERROR(INDEX('Email Cleaner'!$B$2:$B$10001,MATCH(3471,'Email Cleaner'!$H$2:$H$10001,0)),"")</f>
        <v/>
      </c>
    </row>
    <row r="3473">
      <c r="A3473">
        <f>IFERROR(INDEX('Email Cleaner'!$B$2:$B$10001,MATCH(3472,'Email Cleaner'!$H$2:$H$10001,0)),"")</f>
        <v/>
      </c>
    </row>
    <row r="3474">
      <c r="A3474">
        <f>IFERROR(INDEX('Email Cleaner'!$B$2:$B$10001,MATCH(3473,'Email Cleaner'!$H$2:$H$10001,0)),"")</f>
        <v/>
      </c>
    </row>
    <row r="3475">
      <c r="A3475">
        <f>IFERROR(INDEX('Email Cleaner'!$B$2:$B$10001,MATCH(3474,'Email Cleaner'!$H$2:$H$10001,0)),"")</f>
        <v/>
      </c>
    </row>
    <row r="3476">
      <c r="A3476">
        <f>IFERROR(INDEX('Email Cleaner'!$B$2:$B$10001,MATCH(3475,'Email Cleaner'!$H$2:$H$10001,0)),"")</f>
        <v/>
      </c>
    </row>
    <row r="3477">
      <c r="A3477">
        <f>IFERROR(INDEX('Email Cleaner'!$B$2:$B$10001,MATCH(3476,'Email Cleaner'!$H$2:$H$10001,0)),"")</f>
        <v/>
      </c>
    </row>
    <row r="3478">
      <c r="A3478">
        <f>IFERROR(INDEX('Email Cleaner'!$B$2:$B$10001,MATCH(3477,'Email Cleaner'!$H$2:$H$10001,0)),"")</f>
        <v/>
      </c>
    </row>
    <row r="3479">
      <c r="A3479">
        <f>IFERROR(INDEX('Email Cleaner'!$B$2:$B$10001,MATCH(3478,'Email Cleaner'!$H$2:$H$10001,0)),"")</f>
        <v/>
      </c>
    </row>
    <row r="3480">
      <c r="A3480">
        <f>IFERROR(INDEX('Email Cleaner'!$B$2:$B$10001,MATCH(3479,'Email Cleaner'!$H$2:$H$10001,0)),"")</f>
        <v/>
      </c>
    </row>
    <row r="3481">
      <c r="A3481">
        <f>IFERROR(INDEX('Email Cleaner'!$B$2:$B$10001,MATCH(3480,'Email Cleaner'!$H$2:$H$10001,0)),"")</f>
        <v/>
      </c>
    </row>
    <row r="3482">
      <c r="A3482">
        <f>IFERROR(INDEX('Email Cleaner'!$B$2:$B$10001,MATCH(3481,'Email Cleaner'!$H$2:$H$10001,0)),"")</f>
        <v/>
      </c>
    </row>
    <row r="3483">
      <c r="A3483">
        <f>IFERROR(INDEX('Email Cleaner'!$B$2:$B$10001,MATCH(3482,'Email Cleaner'!$H$2:$H$10001,0)),"")</f>
        <v/>
      </c>
    </row>
    <row r="3484">
      <c r="A3484">
        <f>IFERROR(INDEX('Email Cleaner'!$B$2:$B$10001,MATCH(3483,'Email Cleaner'!$H$2:$H$10001,0)),"")</f>
        <v/>
      </c>
    </row>
    <row r="3485">
      <c r="A3485">
        <f>IFERROR(INDEX('Email Cleaner'!$B$2:$B$10001,MATCH(3484,'Email Cleaner'!$H$2:$H$10001,0)),"")</f>
        <v/>
      </c>
    </row>
    <row r="3486">
      <c r="A3486">
        <f>IFERROR(INDEX('Email Cleaner'!$B$2:$B$10001,MATCH(3485,'Email Cleaner'!$H$2:$H$10001,0)),"")</f>
        <v/>
      </c>
    </row>
    <row r="3487">
      <c r="A3487">
        <f>IFERROR(INDEX('Email Cleaner'!$B$2:$B$10001,MATCH(3486,'Email Cleaner'!$H$2:$H$10001,0)),"")</f>
        <v/>
      </c>
    </row>
    <row r="3488">
      <c r="A3488">
        <f>IFERROR(INDEX('Email Cleaner'!$B$2:$B$10001,MATCH(3487,'Email Cleaner'!$H$2:$H$10001,0)),"")</f>
        <v/>
      </c>
    </row>
    <row r="3489">
      <c r="A3489">
        <f>IFERROR(INDEX('Email Cleaner'!$B$2:$B$10001,MATCH(3488,'Email Cleaner'!$H$2:$H$10001,0)),"")</f>
        <v/>
      </c>
    </row>
    <row r="3490">
      <c r="A3490">
        <f>IFERROR(INDEX('Email Cleaner'!$B$2:$B$10001,MATCH(3489,'Email Cleaner'!$H$2:$H$10001,0)),"")</f>
        <v/>
      </c>
    </row>
    <row r="3491">
      <c r="A3491">
        <f>IFERROR(INDEX('Email Cleaner'!$B$2:$B$10001,MATCH(3490,'Email Cleaner'!$H$2:$H$10001,0)),"")</f>
        <v/>
      </c>
    </row>
    <row r="3492">
      <c r="A3492">
        <f>IFERROR(INDEX('Email Cleaner'!$B$2:$B$10001,MATCH(3491,'Email Cleaner'!$H$2:$H$10001,0)),"")</f>
        <v/>
      </c>
    </row>
    <row r="3493">
      <c r="A3493">
        <f>IFERROR(INDEX('Email Cleaner'!$B$2:$B$10001,MATCH(3492,'Email Cleaner'!$H$2:$H$10001,0)),"")</f>
        <v/>
      </c>
    </row>
    <row r="3494">
      <c r="A3494">
        <f>IFERROR(INDEX('Email Cleaner'!$B$2:$B$10001,MATCH(3493,'Email Cleaner'!$H$2:$H$10001,0)),"")</f>
        <v/>
      </c>
    </row>
    <row r="3495">
      <c r="A3495">
        <f>IFERROR(INDEX('Email Cleaner'!$B$2:$B$10001,MATCH(3494,'Email Cleaner'!$H$2:$H$10001,0)),"")</f>
        <v/>
      </c>
    </row>
    <row r="3496">
      <c r="A3496">
        <f>IFERROR(INDEX('Email Cleaner'!$B$2:$B$10001,MATCH(3495,'Email Cleaner'!$H$2:$H$10001,0)),"")</f>
        <v/>
      </c>
    </row>
    <row r="3497">
      <c r="A3497">
        <f>IFERROR(INDEX('Email Cleaner'!$B$2:$B$10001,MATCH(3496,'Email Cleaner'!$H$2:$H$10001,0)),"")</f>
        <v/>
      </c>
    </row>
    <row r="3498">
      <c r="A3498">
        <f>IFERROR(INDEX('Email Cleaner'!$B$2:$B$10001,MATCH(3497,'Email Cleaner'!$H$2:$H$10001,0)),"")</f>
        <v/>
      </c>
    </row>
    <row r="3499">
      <c r="A3499">
        <f>IFERROR(INDEX('Email Cleaner'!$B$2:$B$10001,MATCH(3498,'Email Cleaner'!$H$2:$H$10001,0)),"")</f>
        <v/>
      </c>
    </row>
    <row r="3500">
      <c r="A3500">
        <f>IFERROR(INDEX('Email Cleaner'!$B$2:$B$10001,MATCH(3499,'Email Cleaner'!$H$2:$H$10001,0)),"")</f>
        <v/>
      </c>
    </row>
    <row r="3501">
      <c r="A3501">
        <f>IFERROR(INDEX('Email Cleaner'!$B$2:$B$10001,MATCH(3500,'Email Cleaner'!$H$2:$H$10001,0)),"")</f>
        <v/>
      </c>
    </row>
    <row r="3502">
      <c r="A3502">
        <f>IFERROR(INDEX('Email Cleaner'!$B$2:$B$10001,MATCH(3501,'Email Cleaner'!$H$2:$H$10001,0)),"")</f>
        <v/>
      </c>
    </row>
    <row r="3503">
      <c r="A3503">
        <f>IFERROR(INDEX('Email Cleaner'!$B$2:$B$10001,MATCH(3502,'Email Cleaner'!$H$2:$H$10001,0)),"")</f>
        <v/>
      </c>
    </row>
    <row r="3504">
      <c r="A3504">
        <f>IFERROR(INDEX('Email Cleaner'!$B$2:$B$10001,MATCH(3503,'Email Cleaner'!$H$2:$H$10001,0)),"")</f>
        <v/>
      </c>
    </row>
    <row r="3505">
      <c r="A3505">
        <f>IFERROR(INDEX('Email Cleaner'!$B$2:$B$10001,MATCH(3504,'Email Cleaner'!$H$2:$H$10001,0)),"")</f>
        <v/>
      </c>
    </row>
    <row r="3506">
      <c r="A3506">
        <f>IFERROR(INDEX('Email Cleaner'!$B$2:$B$10001,MATCH(3505,'Email Cleaner'!$H$2:$H$10001,0)),"")</f>
        <v/>
      </c>
    </row>
    <row r="3507">
      <c r="A3507">
        <f>IFERROR(INDEX('Email Cleaner'!$B$2:$B$10001,MATCH(3506,'Email Cleaner'!$H$2:$H$10001,0)),"")</f>
        <v/>
      </c>
    </row>
    <row r="3508">
      <c r="A3508">
        <f>IFERROR(INDEX('Email Cleaner'!$B$2:$B$10001,MATCH(3507,'Email Cleaner'!$H$2:$H$10001,0)),"")</f>
        <v/>
      </c>
    </row>
    <row r="3509">
      <c r="A3509">
        <f>IFERROR(INDEX('Email Cleaner'!$B$2:$B$10001,MATCH(3508,'Email Cleaner'!$H$2:$H$10001,0)),"")</f>
        <v/>
      </c>
    </row>
    <row r="3510">
      <c r="A3510">
        <f>IFERROR(INDEX('Email Cleaner'!$B$2:$B$10001,MATCH(3509,'Email Cleaner'!$H$2:$H$10001,0)),"")</f>
        <v/>
      </c>
    </row>
    <row r="3511">
      <c r="A3511">
        <f>IFERROR(INDEX('Email Cleaner'!$B$2:$B$10001,MATCH(3510,'Email Cleaner'!$H$2:$H$10001,0)),"")</f>
        <v/>
      </c>
    </row>
    <row r="3512">
      <c r="A3512">
        <f>IFERROR(INDEX('Email Cleaner'!$B$2:$B$10001,MATCH(3511,'Email Cleaner'!$H$2:$H$10001,0)),"")</f>
        <v/>
      </c>
    </row>
    <row r="3513">
      <c r="A3513">
        <f>IFERROR(INDEX('Email Cleaner'!$B$2:$B$10001,MATCH(3512,'Email Cleaner'!$H$2:$H$10001,0)),"")</f>
        <v/>
      </c>
    </row>
    <row r="3514">
      <c r="A3514">
        <f>IFERROR(INDEX('Email Cleaner'!$B$2:$B$10001,MATCH(3513,'Email Cleaner'!$H$2:$H$10001,0)),"")</f>
        <v/>
      </c>
    </row>
    <row r="3515">
      <c r="A3515">
        <f>IFERROR(INDEX('Email Cleaner'!$B$2:$B$10001,MATCH(3514,'Email Cleaner'!$H$2:$H$10001,0)),"")</f>
        <v/>
      </c>
    </row>
    <row r="3516">
      <c r="A3516">
        <f>IFERROR(INDEX('Email Cleaner'!$B$2:$B$10001,MATCH(3515,'Email Cleaner'!$H$2:$H$10001,0)),"")</f>
        <v/>
      </c>
    </row>
    <row r="3517">
      <c r="A3517">
        <f>IFERROR(INDEX('Email Cleaner'!$B$2:$B$10001,MATCH(3516,'Email Cleaner'!$H$2:$H$10001,0)),"")</f>
        <v/>
      </c>
    </row>
    <row r="3518">
      <c r="A3518">
        <f>IFERROR(INDEX('Email Cleaner'!$B$2:$B$10001,MATCH(3517,'Email Cleaner'!$H$2:$H$10001,0)),"")</f>
        <v/>
      </c>
    </row>
    <row r="3519">
      <c r="A3519">
        <f>IFERROR(INDEX('Email Cleaner'!$B$2:$B$10001,MATCH(3518,'Email Cleaner'!$H$2:$H$10001,0)),"")</f>
        <v/>
      </c>
    </row>
    <row r="3520">
      <c r="A3520">
        <f>IFERROR(INDEX('Email Cleaner'!$B$2:$B$10001,MATCH(3519,'Email Cleaner'!$H$2:$H$10001,0)),"")</f>
        <v/>
      </c>
    </row>
    <row r="3521">
      <c r="A3521">
        <f>IFERROR(INDEX('Email Cleaner'!$B$2:$B$10001,MATCH(3520,'Email Cleaner'!$H$2:$H$10001,0)),"")</f>
        <v/>
      </c>
    </row>
    <row r="3522">
      <c r="A3522">
        <f>IFERROR(INDEX('Email Cleaner'!$B$2:$B$10001,MATCH(3521,'Email Cleaner'!$H$2:$H$10001,0)),"")</f>
        <v/>
      </c>
    </row>
    <row r="3523">
      <c r="A3523">
        <f>IFERROR(INDEX('Email Cleaner'!$B$2:$B$10001,MATCH(3522,'Email Cleaner'!$H$2:$H$10001,0)),"")</f>
        <v/>
      </c>
    </row>
    <row r="3524">
      <c r="A3524">
        <f>IFERROR(INDEX('Email Cleaner'!$B$2:$B$10001,MATCH(3523,'Email Cleaner'!$H$2:$H$10001,0)),"")</f>
        <v/>
      </c>
    </row>
    <row r="3525">
      <c r="A3525">
        <f>IFERROR(INDEX('Email Cleaner'!$B$2:$B$10001,MATCH(3524,'Email Cleaner'!$H$2:$H$10001,0)),"")</f>
        <v/>
      </c>
    </row>
    <row r="3526">
      <c r="A3526">
        <f>IFERROR(INDEX('Email Cleaner'!$B$2:$B$10001,MATCH(3525,'Email Cleaner'!$H$2:$H$10001,0)),"")</f>
        <v/>
      </c>
    </row>
    <row r="3527">
      <c r="A3527">
        <f>IFERROR(INDEX('Email Cleaner'!$B$2:$B$10001,MATCH(3526,'Email Cleaner'!$H$2:$H$10001,0)),"")</f>
        <v/>
      </c>
    </row>
    <row r="3528">
      <c r="A3528">
        <f>IFERROR(INDEX('Email Cleaner'!$B$2:$B$10001,MATCH(3527,'Email Cleaner'!$H$2:$H$10001,0)),"")</f>
        <v/>
      </c>
    </row>
    <row r="3529">
      <c r="A3529">
        <f>IFERROR(INDEX('Email Cleaner'!$B$2:$B$10001,MATCH(3528,'Email Cleaner'!$H$2:$H$10001,0)),"")</f>
        <v/>
      </c>
    </row>
    <row r="3530">
      <c r="A3530">
        <f>IFERROR(INDEX('Email Cleaner'!$B$2:$B$10001,MATCH(3529,'Email Cleaner'!$H$2:$H$10001,0)),"")</f>
        <v/>
      </c>
    </row>
    <row r="3531">
      <c r="A3531">
        <f>IFERROR(INDEX('Email Cleaner'!$B$2:$B$10001,MATCH(3530,'Email Cleaner'!$H$2:$H$10001,0)),"")</f>
        <v/>
      </c>
    </row>
    <row r="3532">
      <c r="A3532">
        <f>IFERROR(INDEX('Email Cleaner'!$B$2:$B$10001,MATCH(3531,'Email Cleaner'!$H$2:$H$10001,0)),"")</f>
        <v/>
      </c>
    </row>
    <row r="3533">
      <c r="A3533">
        <f>IFERROR(INDEX('Email Cleaner'!$B$2:$B$10001,MATCH(3532,'Email Cleaner'!$H$2:$H$10001,0)),"")</f>
        <v/>
      </c>
    </row>
    <row r="3534">
      <c r="A3534">
        <f>IFERROR(INDEX('Email Cleaner'!$B$2:$B$10001,MATCH(3533,'Email Cleaner'!$H$2:$H$10001,0)),"")</f>
        <v/>
      </c>
    </row>
    <row r="3535">
      <c r="A3535">
        <f>IFERROR(INDEX('Email Cleaner'!$B$2:$B$10001,MATCH(3534,'Email Cleaner'!$H$2:$H$10001,0)),"")</f>
        <v/>
      </c>
    </row>
    <row r="3536">
      <c r="A3536">
        <f>IFERROR(INDEX('Email Cleaner'!$B$2:$B$10001,MATCH(3535,'Email Cleaner'!$H$2:$H$10001,0)),"")</f>
        <v/>
      </c>
    </row>
    <row r="3537">
      <c r="A3537">
        <f>IFERROR(INDEX('Email Cleaner'!$B$2:$B$10001,MATCH(3536,'Email Cleaner'!$H$2:$H$10001,0)),"")</f>
        <v/>
      </c>
    </row>
    <row r="3538">
      <c r="A3538">
        <f>IFERROR(INDEX('Email Cleaner'!$B$2:$B$10001,MATCH(3537,'Email Cleaner'!$H$2:$H$10001,0)),"")</f>
        <v/>
      </c>
    </row>
    <row r="3539">
      <c r="A3539">
        <f>IFERROR(INDEX('Email Cleaner'!$B$2:$B$10001,MATCH(3538,'Email Cleaner'!$H$2:$H$10001,0)),"")</f>
        <v/>
      </c>
    </row>
    <row r="3540">
      <c r="A3540">
        <f>IFERROR(INDEX('Email Cleaner'!$B$2:$B$10001,MATCH(3539,'Email Cleaner'!$H$2:$H$10001,0)),"")</f>
        <v/>
      </c>
    </row>
    <row r="3541">
      <c r="A3541">
        <f>IFERROR(INDEX('Email Cleaner'!$B$2:$B$10001,MATCH(3540,'Email Cleaner'!$H$2:$H$10001,0)),"")</f>
        <v/>
      </c>
    </row>
    <row r="3542">
      <c r="A3542">
        <f>IFERROR(INDEX('Email Cleaner'!$B$2:$B$10001,MATCH(3541,'Email Cleaner'!$H$2:$H$10001,0)),"")</f>
        <v/>
      </c>
    </row>
    <row r="3543">
      <c r="A3543">
        <f>IFERROR(INDEX('Email Cleaner'!$B$2:$B$10001,MATCH(3542,'Email Cleaner'!$H$2:$H$10001,0)),"")</f>
        <v/>
      </c>
    </row>
    <row r="3544">
      <c r="A3544">
        <f>IFERROR(INDEX('Email Cleaner'!$B$2:$B$10001,MATCH(3543,'Email Cleaner'!$H$2:$H$10001,0)),"")</f>
        <v/>
      </c>
    </row>
    <row r="3545">
      <c r="A3545">
        <f>IFERROR(INDEX('Email Cleaner'!$B$2:$B$10001,MATCH(3544,'Email Cleaner'!$H$2:$H$10001,0)),"")</f>
        <v/>
      </c>
    </row>
    <row r="3546">
      <c r="A3546">
        <f>IFERROR(INDEX('Email Cleaner'!$B$2:$B$10001,MATCH(3545,'Email Cleaner'!$H$2:$H$10001,0)),"")</f>
        <v/>
      </c>
    </row>
    <row r="3547">
      <c r="A3547">
        <f>IFERROR(INDEX('Email Cleaner'!$B$2:$B$10001,MATCH(3546,'Email Cleaner'!$H$2:$H$10001,0)),"")</f>
        <v/>
      </c>
    </row>
    <row r="3548">
      <c r="A3548">
        <f>IFERROR(INDEX('Email Cleaner'!$B$2:$B$10001,MATCH(3547,'Email Cleaner'!$H$2:$H$10001,0)),"")</f>
        <v/>
      </c>
    </row>
    <row r="3549">
      <c r="A3549">
        <f>IFERROR(INDEX('Email Cleaner'!$B$2:$B$10001,MATCH(3548,'Email Cleaner'!$H$2:$H$10001,0)),"")</f>
        <v/>
      </c>
    </row>
    <row r="3550">
      <c r="A3550">
        <f>IFERROR(INDEX('Email Cleaner'!$B$2:$B$10001,MATCH(3549,'Email Cleaner'!$H$2:$H$10001,0)),"")</f>
        <v/>
      </c>
    </row>
    <row r="3551">
      <c r="A3551">
        <f>IFERROR(INDEX('Email Cleaner'!$B$2:$B$10001,MATCH(3550,'Email Cleaner'!$H$2:$H$10001,0)),"")</f>
        <v/>
      </c>
    </row>
    <row r="3552">
      <c r="A3552">
        <f>IFERROR(INDEX('Email Cleaner'!$B$2:$B$10001,MATCH(3551,'Email Cleaner'!$H$2:$H$10001,0)),"")</f>
        <v/>
      </c>
    </row>
    <row r="3553">
      <c r="A3553">
        <f>IFERROR(INDEX('Email Cleaner'!$B$2:$B$10001,MATCH(3552,'Email Cleaner'!$H$2:$H$10001,0)),"")</f>
        <v/>
      </c>
    </row>
    <row r="3554">
      <c r="A3554">
        <f>IFERROR(INDEX('Email Cleaner'!$B$2:$B$10001,MATCH(3553,'Email Cleaner'!$H$2:$H$10001,0)),"")</f>
        <v/>
      </c>
    </row>
    <row r="3555">
      <c r="A3555">
        <f>IFERROR(INDEX('Email Cleaner'!$B$2:$B$10001,MATCH(3554,'Email Cleaner'!$H$2:$H$10001,0)),"")</f>
        <v/>
      </c>
    </row>
    <row r="3556">
      <c r="A3556">
        <f>IFERROR(INDEX('Email Cleaner'!$B$2:$B$10001,MATCH(3555,'Email Cleaner'!$H$2:$H$10001,0)),"")</f>
        <v/>
      </c>
    </row>
    <row r="3557">
      <c r="A3557">
        <f>IFERROR(INDEX('Email Cleaner'!$B$2:$B$10001,MATCH(3556,'Email Cleaner'!$H$2:$H$10001,0)),"")</f>
        <v/>
      </c>
    </row>
    <row r="3558">
      <c r="A3558">
        <f>IFERROR(INDEX('Email Cleaner'!$B$2:$B$10001,MATCH(3557,'Email Cleaner'!$H$2:$H$10001,0)),"")</f>
        <v/>
      </c>
    </row>
    <row r="3559">
      <c r="A3559">
        <f>IFERROR(INDEX('Email Cleaner'!$B$2:$B$10001,MATCH(3558,'Email Cleaner'!$H$2:$H$10001,0)),"")</f>
        <v/>
      </c>
    </row>
    <row r="3560">
      <c r="A3560">
        <f>IFERROR(INDEX('Email Cleaner'!$B$2:$B$10001,MATCH(3559,'Email Cleaner'!$H$2:$H$10001,0)),"")</f>
        <v/>
      </c>
    </row>
    <row r="3561">
      <c r="A3561">
        <f>IFERROR(INDEX('Email Cleaner'!$B$2:$B$10001,MATCH(3560,'Email Cleaner'!$H$2:$H$10001,0)),"")</f>
        <v/>
      </c>
    </row>
    <row r="3562">
      <c r="A3562">
        <f>IFERROR(INDEX('Email Cleaner'!$B$2:$B$10001,MATCH(3561,'Email Cleaner'!$H$2:$H$10001,0)),"")</f>
        <v/>
      </c>
    </row>
    <row r="3563">
      <c r="A3563">
        <f>IFERROR(INDEX('Email Cleaner'!$B$2:$B$10001,MATCH(3562,'Email Cleaner'!$H$2:$H$10001,0)),"")</f>
        <v/>
      </c>
    </row>
    <row r="3564">
      <c r="A3564">
        <f>IFERROR(INDEX('Email Cleaner'!$B$2:$B$10001,MATCH(3563,'Email Cleaner'!$H$2:$H$10001,0)),"")</f>
        <v/>
      </c>
    </row>
    <row r="3565">
      <c r="A3565">
        <f>IFERROR(INDEX('Email Cleaner'!$B$2:$B$10001,MATCH(3564,'Email Cleaner'!$H$2:$H$10001,0)),"")</f>
        <v/>
      </c>
    </row>
    <row r="3566">
      <c r="A3566">
        <f>IFERROR(INDEX('Email Cleaner'!$B$2:$B$10001,MATCH(3565,'Email Cleaner'!$H$2:$H$10001,0)),"")</f>
        <v/>
      </c>
    </row>
    <row r="3567">
      <c r="A3567">
        <f>IFERROR(INDEX('Email Cleaner'!$B$2:$B$10001,MATCH(3566,'Email Cleaner'!$H$2:$H$10001,0)),"")</f>
        <v/>
      </c>
    </row>
    <row r="3568">
      <c r="A3568">
        <f>IFERROR(INDEX('Email Cleaner'!$B$2:$B$10001,MATCH(3567,'Email Cleaner'!$H$2:$H$10001,0)),"")</f>
        <v/>
      </c>
    </row>
    <row r="3569">
      <c r="A3569">
        <f>IFERROR(INDEX('Email Cleaner'!$B$2:$B$10001,MATCH(3568,'Email Cleaner'!$H$2:$H$10001,0)),"")</f>
        <v/>
      </c>
    </row>
    <row r="3570">
      <c r="A3570">
        <f>IFERROR(INDEX('Email Cleaner'!$B$2:$B$10001,MATCH(3569,'Email Cleaner'!$H$2:$H$10001,0)),"")</f>
        <v/>
      </c>
    </row>
    <row r="3571">
      <c r="A3571">
        <f>IFERROR(INDEX('Email Cleaner'!$B$2:$B$10001,MATCH(3570,'Email Cleaner'!$H$2:$H$10001,0)),"")</f>
        <v/>
      </c>
    </row>
    <row r="3572">
      <c r="A3572">
        <f>IFERROR(INDEX('Email Cleaner'!$B$2:$B$10001,MATCH(3571,'Email Cleaner'!$H$2:$H$10001,0)),"")</f>
        <v/>
      </c>
    </row>
    <row r="3573">
      <c r="A3573">
        <f>IFERROR(INDEX('Email Cleaner'!$B$2:$B$10001,MATCH(3572,'Email Cleaner'!$H$2:$H$10001,0)),"")</f>
        <v/>
      </c>
    </row>
    <row r="3574">
      <c r="A3574">
        <f>IFERROR(INDEX('Email Cleaner'!$B$2:$B$10001,MATCH(3573,'Email Cleaner'!$H$2:$H$10001,0)),"")</f>
        <v/>
      </c>
    </row>
    <row r="3575">
      <c r="A3575">
        <f>IFERROR(INDEX('Email Cleaner'!$B$2:$B$10001,MATCH(3574,'Email Cleaner'!$H$2:$H$10001,0)),"")</f>
        <v/>
      </c>
    </row>
    <row r="3576">
      <c r="A3576">
        <f>IFERROR(INDEX('Email Cleaner'!$B$2:$B$10001,MATCH(3575,'Email Cleaner'!$H$2:$H$10001,0)),"")</f>
        <v/>
      </c>
    </row>
    <row r="3577">
      <c r="A3577">
        <f>IFERROR(INDEX('Email Cleaner'!$B$2:$B$10001,MATCH(3576,'Email Cleaner'!$H$2:$H$10001,0)),"")</f>
        <v/>
      </c>
    </row>
    <row r="3578">
      <c r="A3578">
        <f>IFERROR(INDEX('Email Cleaner'!$B$2:$B$10001,MATCH(3577,'Email Cleaner'!$H$2:$H$10001,0)),"")</f>
        <v/>
      </c>
    </row>
    <row r="3579">
      <c r="A3579">
        <f>IFERROR(INDEX('Email Cleaner'!$B$2:$B$10001,MATCH(3578,'Email Cleaner'!$H$2:$H$10001,0)),"")</f>
        <v/>
      </c>
    </row>
    <row r="3580">
      <c r="A3580">
        <f>IFERROR(INDEX('Email Cleaner'!$B$2:$B$10001,MATCH(3579,'Email Cleaner'!$H$2:$H$10001,0)),"")</f>
        <v/>
      </c>
    </row>
    <row r="3581">
      <c r="A3581">
        <f>IFERROR(INDEX('Email Cleaner'!$B$2:$B$10001,MATCH(3580,'Email Cleaner'!$H$2:$H$10001,0)),"")</f>
        <v/>
      </c>
    </row>
    <row r="3582">
      <c r="A3582">
        <f>IFERROR(INDEX('Email Cleaner'!$B$2:$B$10001,MATCH(3581,'Email Cleaner'!$H$2:$H$10001,0)),"")</f>
        <v/>
      </c>
    </row>
    <row r="3583">
      <c r="A3583">
        <f>IFERROR(INDEX('Email Cleaner'!$B$2:$B$10001,MATCH(3582,'Email Cleaner'!$H$2:$H$10001,0)),"")</f>
        <v/>
      </c>
    </row>
    <row r="3584">
      <c r="A3584">
        <f>IFERROR(INDEX('Email Cleaner'!$B$2:$B$10001,MATCH(3583,'Email Cleaner'!$H$2:$H$10001,0)),"")</f>
        <v/>
      </c>
    </row>
    <row r="3585">
      <c r="A3585">
        <f>IFERROR(INDEX('Email Cleaner'!$B$2:$B$10001,MATCH(3584,'Email Cleaner'!$H$2:$H$10001,0)),"")</f>
        <v/>
      </c>
    </row>
    <row r="3586">
      <c r="A3586">
        <f>IFERROR(INDEX('Email Cleaner'!$B$2:$B$10001,MATCH(3585,'Email Cleaner'!$H$2:$H$10001,0)),"")</f>
        <v/>
      </c>
    </row>
    <row r="3587">
      <c r="A3587">
        <f>IFERROR(INDEX('Email Cleaner'!$B$2:$B$10001,MATCH(3586,'Email Cleaner'!$H$2:$H$10001,0)),"")</f>
        <v/>
      </c>
    </row>
    <row r="3588">
      <c r="A3588">
        <f>IFERROR(INDEX('Email Cleaner'!$B$2:$B$10001,MATCH(3587,'Email Cleaner'!$H$2:$H$10001,0)),"")</f>
        <v/>
      </c>
    </row>
    <row r="3589">
      <c r="A3589">
        <f>IFERROR(INDEX('Email Cleaner'!$B$2:$B$10001,MATCH(3588,'Email Cleaner'!$H$2:$H$10001,0)),"")</f>
        <v/>
      </c>
    </row>
    <row r="3590">
      <c r="A3590">
        <f>IFERROR(INDEX('Email Cleaner'!$B$2:$B$10001,MATCH(3589,'Email Cleaner'!$H$2:$H$10001,0)),"")</f>
        <v/>
      </c>
    </row>
    <row r="3591">
      <c r="A3591">
        <f>IFERROR(INDEX('Email Cleaner'!$B$2:$B$10001,MATCH(3590,'Email Cleaner'!$H$2:$H$10001,0)),"")</f>
        <v/>
      </c>
    </row>
    <row r="3592">
      <c r="A3592">
        <f>IFERROR(INDEX('Email Cleaner'!$B$2:$B$10001,MATCH(3591,'Email Cleaner'!$H$2:$H$10001,0)),"")</f>
        <v/>
      </c>
    </row>
    <row r="3593">
      <c r="A3593">
        <f>IFERROR(INDEX('Email Cleaner'!$B$2:$B$10001,MATCH(3592,'Email Cleaner'!$H$2:$H$10001,0)),"")</f>
        <v/>
      </c>
    </row>
    <row r="3594">
      <c r="A3594">
        <f>IFERROR(INDEX('Email Cleaner'!$B$2:$B$10001,MATCH(3593,'Email Cleaner'!$H$2:$H$10001,0)),"")</f>
        <v/>
      </c>
    </row>
    <row r="3595">
      <c r="A3595">
        <f>IFERROR(INDEX('Email Cleaner'!$B$2:$B$10001,MATCH(3594,'Email Cleaner'!$H$2:$H$10001,0)),"")</f>
        <v/>
      </c>
    </row>
    <row r="3596">
      <c r="A3596">
        <f>IFERROR(INDEX('Email Cleaner'!$B$2:$B$10001,MATCH(3595,'Email Cleaner'!$H$2:$H$10001,0)),"")</f>
        <v/>
      </c>
    </row>
    <row r="3597">
      <c r="A3597">
        <f>IFERROR(INDEX('Email Cleaner'!$B$2:$B$10001,MATCH(3596,'Email Cleaner'!$H$2:$H$10001,0)),"")</f>
        <v/>
      </c>
    </row>
    <row r="3598">
      <c r="A3598">
        <f>IFERROR(INDEX('Email Cleaner'!$B$2:$B$10001,MATCH(3597,'Email Cleaner'!$H$2:$H$10001,0)),"")</f>
        <v/>
      </c>
    </row>
    <row r="3599">
      <c r="A3599">
        <f>IFERROR(INDEX('Email Cleaner'!$B$2:$B$10001,MATCH(3598,'Email Cleaner'!$H$2:$H$10001,0)),"")</f>
        <v/>
      </c>
    </row>
    <row r="3600">
      <c r="A3600">
        <f>IFERROR(INDEX('Email Cleaner'!$B$2:$B$10001,MATCH(3599,'Email Cleaner'!$H$2:$H$10001,0)),"")</f>
        <v/>
      </c>
    </row>
    <row r="3601">
      <c r="A3601">
        <f>IFERROR(INDEX('Email Cleaner'!$B$2:$B$10001,MATCH(3600,'Email Cleaner'!$H$2:$H$10001,0)),"")</f>
        <v/>
      </c>
    </row>
    <row r="3602">
      <c r="A3602">
        <f>IFERROR(INDEX('Email Cleaner'!$B$2:$B$10001,MATCH(3601,'Email Cleaner'!$H$2:$H$10001,0)),"")</f>
        <v/>
      </c>
    </row>
    <row r="3603">
      <c r="A3603">
        <f>IFERROR(INDEX('Email Cleaner'!$B$2:$B$10001,MATCH(3602,'Email Cleaner'!$H$2:$H$10001,0)),"")</f>
        <v/>
      </c>
    </row>
    <row r="3604">
      <c r="A3604">
        <f>IFERROR(INDEX('Email Cleaner'!$B$2:$B$10001,MATCH(3603,'Email Cleaner'!$H$2:$H$10001,0)),"")</f>
        <v/>
      </c>
    </row>
    <row r="3605">
      <c r="A3605">
        <f>IFERROR(INDEX('Email Cleaner'!$B$2:$B$10001,MATCH(3604,'Email Cleaner'!$H$2:$H$10001,0)),"")</f>
        <v/>
      </c>
    </row>
    <row r="3606">
      <c r="A3606">
        <f>IFERROR(INDEX('Email Cleaner'!$B$2:$B$10001,MATCH(3605,'Email Cleaner'!$H$2:$H$10001,0)),"")</f>
        <v/>
      </c>
    </row>
    <row r="3607">
      <c r="A3607">
        <f>IFERROR(INDEX('Email Cleaner'!$B$2:$B$10001,MATCH(3606,'Email Cleaner'!$H$2:$H$10001,0)),"")</f>
        <v/>
      </c>
    </row>
    <row r="3608">
      <c r="A3608">
        <f>IFERROR(INDEX('Email Cleaner'!$B$2:$B$10001,MATCH(3607,'Email Cleaner'!$H$2:$H$10001,0)),"")</f>
        <v/>
      </c>
    </row>
    <row r="3609">
      <c r="A3609">
        <f>IFERROR(INDEX('Email Cleaner'!$B$2:$B$10001,MATCH(3608,'Email Cleaner'!$H$2:$H$10001,0)),"")</f>
        <v/>
      </c>
    </row>
    <row r="3610">
      <c r="A3610">
        <f>IFERROR(INDEX('Email Cleaner'!$B$2:$B$10001,MATCH(3609,'Email Cleaner'!$H$2:$H$10001,0)),"")</f>
        <v/>
      </c>
    </row>
    <row r="3611">
      <c r="A3611">
        <f>IFERROR(INDEX('Email Cleaner'!$B$2:$B$10001,MATCH(3610,'Email Cleaner'!$H$2:$H$10001,0)),"")</f>
        <v/>
      </c>
    </row>
    <row r="3612">
      <c r="A3612">
        <f>IFERROR(INDEX('Email Cleaner'!$B$2:$B$10001,MATCH(3611,'Email Cleaner'!$H$2:$H$10001,0)),"")</f>
        <v/>
      </c>
    </row>
    <row r="3613">
      <c r="A3613">
        <f>IFERROR(INDEX('Email Cleaner'!$B$2:$B$10001,MATCH(3612,'Email Cleaner'!$H$2:$H$10001,0)),"")</f>
        <v/>
      </c>
    </row>
    <row r="3614">
      <c r="A3614">
        <f>IFERROR(INDEX('Email Cleaner'!$B$2:$B$10001,MATCH(3613,'Email Cleaner'!$H$2:$H$10001,0)),"")</f>
        <v/>
      </c>
    </row>
    <row r="3615">
      <c r="A3615">
        <f>IFERROR(INDEX('Email Cleaner'!$B$2:$B$10001,MATCH(3614,'Email Cleaner'!$H$2:$H$10001,0)),"")</f>
        <v/>
      </c>
    </row>
    <row r="3616">
      <c r="A3616">
        <f>IFERROR(INDEX('Email Cleaner'!$B$2:$B$10001,MATCH(3615,'Email Cleaner'!$H$2:$H$10001,0)),"")</f>
        <v/>
      </c>
    </row>
    <row r="3617">
      <c r="A3617">
        <f>IFERROR(INDEX('Email Cleaner'!$B$2:$B$10001,MATCH(3616,'Email Cleaner'!$H$2:$H$10001,0)),"")</f>
        <v/>
      </c>
    </row>
    <row r="3618">
      <c r="A3618">
        <f>IFERROR(INDEX('Email Cleaner'!$B$2:$B$10001,MATCH(3617,'Email Cleaner'!$H$2:$H$10001,0)),"")</f>
        <v/>
      </c>
    </row>
    <row r="3619">
      <c r="A3619">
        <f>IFERROR(INDEX('Email Cleaner'!$B$2:$B$10001,MATCH(3618,'Email Cleaner'!$H$2:$H$10001,0)),"")</f>
        <v/>
      </c>
    </row>
    <row r="3620">
      <c r="A3620">
        <f>IFERROR(INDEX('Email Cleaner'!$B$2:$B$10001,MATCH(3619,'Email Cleaner'!$H$2:$H$10001,0)),"")</f>
        <v/>
      </c>
    </row>
    <row r="3621">
      <c r="A3621">
        <f>IFERROR(INDEX('Email Cleaner'!$B$2:$B$10001,MATCH(3620,'Email Cleaner'!$H$2:$H$10001,0)),"")</f>
        <v/>
      </c>
    </row>
    <row r="3622">
      <c r="A3622">
        <f>IFERROR(INDEX('Email Cleaner'!$B$2:$B$10001,MATCH(3621,'Email Cleaner'!$H$2:$H$10001,0)),"")</f>
        <v/>
      </c>
    </row>
    <row r="3623">
      <c r="A3623">
        <f>IFERROR(INDEX('Email Cleaner'!$B$2:$B$10001,MATCH(3622,'Email Cleaner'!$H$2:$H$10001,0)),"")</f>
        <v/>
      </c>
    </row>
    <row r="3624">
      <c r="A3624">
        <f>IFERROR(INDEX('Email Cleaner'!$B$2:$B$10001,MATCH(3623,'Email Cleaner'!$H$2:$H$10001,0)),"")</f>
        <v/>
      </c>
    </row>
    <row r="3625">
      <c r="A3625">
        <f>IFERROR(INDEX('Email Cleaner'!$B$2:$B$10001,MATCH(3624,'Email Cleaner'!$H$2:$H$10001,0)),"")</f>
        <v/>
      </c>
    </row>
    <row r="3626">
      <c r="A3626">
        <f>IFERROR(INDEX('Email Cleaner'!$B$2:$B$10001,MATCH(3625,'Email Cleaner'!$H$2:$H$10001,0)),"")</f>
        <v/>
      </c>
    </row>
    <row r="3627">
      <c r="A3627">
        <f>IFERROR(INDEX('Email Cleaner'!$B$2:$B$10001,MATCH(3626,'Email Cleaner'!$H$2:$H$10001,0)),"")</f>
        <v/>
      </c>
    </row>
    <row r="3628">
      <c r="A3628">
        <f>IFERROR(INDEX('Email Cleaner'!$B$2:$B$10001,MATCH(3627,'Email Cleaner'!$H$2:$H$10001,0)),"")</f>
        <v/>
      </c>
    </row>
    <row r="3629">
      <c r="A3629">
        <f>IFERROR(INDEX('Email Cleaner'!$B$2:$B$10001,MATCH(3628,'Email Cleaner'!$H$2:$H$10001,0)),"")</f>
        <v/>
      </c>
    </row>
    <row r="3630">
      <c r="A3630">
        <f>IFERROR(INDEX('Email Cleaner'!$B$2:$B$10001,MATCH(3629,'Email Cleaner'!$H$2:$H$10001,0)),"")</f>
        <v/>
      </c>
    </row>
    <row r="3631">
      <c r="A3631">
        <f>IFERROR(INDEX('Email Cleaner'!$B$2:$B$10001,MATCH(3630,'Email Cleaner'!$H$2:$H$10001,0)),"")</f>
        <v/>
      </c>
    </row>
    <row r="3632">
      <c r="A3632">
        <f>IFERROR(INDEX('Email Cleaner'!$B$2:$B$10001,MATCH(3631,'Email Cleaner'!$H$2:$H$10001,0)),"")</f>
        <v/>
      </c>
    </row>
    <row r="3633">
      <c r="A3633">
        <f>IFERROR(INDEX('Email Cleaner'!$B$2:$B$10001,MATCH(3632,'Email Cleaner'!$H$2:$H$10001,0)),"")</f>
        <v/>
      </c>
    </row>
    <row r="3634">
      <c r="A3634">
        <f>IFERROR(INDEX('Email Cleaner'!$B$2:$B$10001,MATCH(3633,'Email Cleaner'!$H$2:$H$10001,0)),"")</f>
        <v/>
      </c>
    </row>
    <row r="3635">
      <c r="A3635">
        <f>IFERROR(INDEX('Email Cleaner'!$B$2:$B$10001,MATCH(3634,'Email Cleaner'!$H$2:$H$10001,0)),"")</f>
        <v/>
      </c>
    </row>
    <row r="3636">
      <c r="A3636">
        <f>IFERROR(INDEX('Email Cleaner'!$B$2:$B$10001,MATCH(3635,'Email Cleaner'!$H$2:$H$10001,0)),"")</f>
        <v/>
      </c>
    </row>
    <row r="3637">
      <c r="A3637">
        <f>IFERROR(INDEX('Email Cleaner'!$B$2:$B$10001,MATCH(3636,'Email Cleaner'!$H$2:$H$10001,0)),"")</f>
        <v/>
      </c>
    </row>
    <row r="3638">
      <c r="A3638">
        <f>IFERROR(INDEX('Email Cleaner'!$B$2:$B$10001,MATCH(3637,'Email Cleaner'!$H$2:$H$10001,0)),"")</f>
        <v/>
      </c>
    </row>
    <row r="3639">
      <c r="A3639">
        <f>IFERROR(INDEX('Email Cleaner'!$B$2:$B$10001,MATCH(3638,'Email Cleaner'!$H$2:$H$10001,0)),"")</f>
        <v/>
      </c>
    </row>
    <row r="3640">
      <c r="A3640">
        <f>IFERROR(INDEX('Email Cleaner'!$B$2:$B$10001,MATCH(3639,'Email Cleaner'!$H$2:$H$10001,0)),"")</f>
        <v/>
      </c>
    </row>
    <row r="3641">
      <c r="A3641">
        <f>IFERROR(INDEX('Email Cleaner'!$B$2:$B$10001,MATCH(3640,'Email Cleaner'!$H$2:$H$10001,0)),"")</f>
        <v/>
      </c>
    </row>
    <row r="3642">
      <c r="A3642">
        <f>IFERROR(INDEX('Email Cleaner'!$B$2:$B$10001,MATCH(3641,'Email Cleaner'!$H$2:$H$10001,0)),"")</f>
        <v/>
      </c>
    </row>
    <row r="3643">
      <c r="A3643">
        <f>IFERROR(INDEX('Email Cleaner'!$B$2:$B$10001,MATCH(3642,'Email Cleaner'!$H$2:$H$10001,0)),"")</f>
        <v/>
      </c>
    </row>
    <row r="3644">
      <c r="A3644">
        <f>IFERROR(INDEX('Email Cleaner'!$B$2:$B$10001,MATCH(3643,'Email Cleaner'!$H$2:$H$10001,0)),"")</f>
        <v/>
      </c>
    </row>
    <row r="3645">
      <c r="A3645">
        <f>IFERROR(INDEX('Email Cleaner'!$B$2:$B$10001,MATCH(3644,'Email Cleaner'!$H$2:$H$10001,0)),"")</f>
        <v/>
      </c>
    </row>
    <row r="3646">
      <c r="A3646">
        <f>IFERROR(INDEX('Email Cleaner'!$B$2:$B$10001,MATCH(3645,'Email Cleaner'!$H$2:$H$10001,0)),"")</f>
        <v/>
      </c>
    </row>
    <row r="3647">
      <c r="A3647">
        <f>IFERROR(INDEX('Email Cleaner'!$B$2:$B$10001,MATCH(3646,'Email Cleaner'!$H$2:$H$10001,0)),"")</f>
        <v/>
      </c>
    </row>
    <row r="3648">
      <c r="A3648">
        <f>IFERROR(INDEX('Email Cleaner'!$B$2:$B$10001,MATCH(3647,'Email Cleaner'!$H$2:$H$10001,0)),"")</f>
        <v/>
      </c>
    </row>
    <row r="3649">
      <c r="A3649">
        <f>IFERROR(INDEX('Email Cleaner'!$B$2:$B$10001,MATCH(3648,'Email Cleaner'!$H$2:$H$10001,0)),"")</f>
        <v/>
      </c>
    </row>
    <row r="3650">
      <c r="A3650">
        <f>IFERROR(INDEX('Email Cleaner'!$B$2:$B$10001,MATCH(3649,'Email Cleaner'!$H$2:$H$10001,0)),"")</f>
        <v/>
      </c>
    </row>
    <row r="3651">
      <c r="A3651">
        <f>IFERROR(INDEX('Email Cleaner'!$B$2:$B$10001,MATCH(3650,'Email Cleaner'!$H$2:$H$10001,0)),"")</f>
        <v/>
      </c>
    </row>
    <row r="3652">
      <c r="A3652">
        <f>IFERROR(INDEX('Email Cleaner'!$B$2:$B$10001,MATCH(3651,'Email Cleaner'!$H$2:$H$10001,0)),"")</f>
        <v/>
      </c>
    </row>
    <row r="3653">
      <c r="A3653">
        <f>IFERROR(INDEX('Email Cleaner'!$B$2:$B$10001,MATCH(3652,'Email Cleaner'!$H$2:$H$10001,0)),"")</f>
        <v/>
      </c>
    </row>
    <row r="3654">
      <c r="A3654">
        <f>IFERROR(INDEX('Email Cleaner'!$B$2:$B$10001,MATCH(3653,'Email Cleaner'!$H$2:$H$10001,0)),"")</f>
        <v/>
      </c>
    </row>
    <row r="3655">
      <c r="A3655">
        <f>IFERROR(INDEX('Email Cleaner'!$B$2:$B$10001,MATCH(3654,'Email Cleaner'!$H$2:$H$10001,0)),"")</f>
        <v/>
      </c>
    </row>
    <row r="3656">
      <c r="A3656">
        <f>IFERROR(INDEX('Email Cleaner'!$B$2:$B$10001,MATCH(3655,'Email Cleaner'!$H$2:$H$10001,0)),"")</f>
        <v/>
      </c>
    </row>
    <row r="3657">
      <c r="A3657">
        <f>IFERROR(INDEX('Email Cleaner'!$B$2:$B$10001,MATCH(3656,'Email Cleaner'!$H$2:$H$10001,0)),"")</f>
        <v/>
      </c>
    </row>
    <row r="3658">
      <c r="A3658">
        <f>IFERROR(INDEX('Email Cleaner'!$B$2:$B$10001,MATCH(3657,'Email Cleaner'!$H$2:$H$10001,0)),"")</f>
        <v/>
      </c>
    </row>
    <row r="3659">
      <c r="A3659">
        <f>IFERROR(INDEX('Email Cleaner'!$B$2:$B$10001,MATCH(3658,'Email Cleaner'!$H$2:$H$10001,0)),"")</f>
        <v/>
      </c>
    </row>
    <row r="3660">
      <c r="A3660">
        <f>IFERROR(INDEX('Email Cleaner'!$B$2:$B$10001,MATCH(3659,'Email Cleaner'!$H$2:$H$10001,0)),"")</f>
        <v/>
      </c>
    </row>
    <row r="3661">
      <c r="A3661">
        <f>IFERROR(INDEX('Email Cleaner'!$B$2:$B$10001,MATCH(3660,'Email Cleaner'!$H$2:$H$10001,0)),"")</f>
        <v/>
      </c>
    </row>
    <row r="3662">
      <c r="A3662">
        <f>IFERROR(INDEX('Email Cleaner'!$B$2:$B$10001,MATCH(3661,'Email Cleaner'!$H$2:$H$10001,0)),"")</f>
        <v/>
      </c>
    </row>
    <row r="3663">
      <c r="A3663">
        <f>IFERROR(INDEX('Email Cleaner'!$B$2:$B$10001,MATCH(3662,'Email Cleaner'!$H$2:$H$10001,0)),"")</f>
        <v/>
      </c>
    </row>
    <row r="3664">
      <c r="A3664">
        <f>IFERROR(INDEX('Email Cleaner'!$B$2:$B$10001,MATCH(3663,'Email Cleaner'!$H$2:$H$10001,0)),"")</f>
        <v/>
      </c>
    </row>
    <row r="3665">
      <c r="A3665">
        <f>IFERROR(INDEX('Email Cleaner'!$B$2:$B$10001,MATCH(3664,'Email Cleaner'!$H$2:$H$10001,0)),"")</f>
        <v/>
      </c>
    </row>
    <row r="3666">
      <c r="A3666">
        <f>IFERROR(INDEX('Email Cleaner'!$B$2:$B$10001,MATCH(3665,'Email Cleaner'!$H$2:$H$10001,0)),"")</f>
        <v/>
      </c>
    </row>
    <row r="3667">
      <c r="A3667">
        <f>IFERROR(INDEX('Email Cleaner'!$B$2:$B$10001,MATCH(3666,'Email Cleaner'!$H$2:$H$10001,0)),"")</f>
        <v/>
      </c>
    </row>
    <row r="3668">
      <c r="A3668">
        <f>IFERROR(INDEX('Email Cleaner'!$B$2:$B$10001,MATCH(3667,'Email Cleaner'!$H$2:$H$10001,0)),"")</f>
        <v/>
      </c>
    </row>
    <row r="3669">
      <c r="A3669">
        <f>IFERROR(INDEX('Email Cleaner'!$B$2:$B$10001,MATCH(3668,'Email Cleaner'!$H$2:$H$10001,0)),"")</f>
        <v/>
      </c>
    </row>
    <row r="3670">
      <c r="A3670">
        <f>IFERROR(INDEX('Email Cleaner'!$B$2:$B$10001,MATCH(3669,'Email Cleaner'!$H$2:$H$10001,0)),"")</f>
        <v/>
      </c>
    </row>
    <row r="3671">
      <c r="A3671">
        <f>IFERROR(INDEX('Email Cleaner'!$B$2:$B$10001,MATCH(3670,'Email Cleaner'!$H$2:$H$10001,0)),"")</f>
        <v/>
      </c>
    </row>
    <row r="3672">
      <c r="A3672">
        <f>IFERROR(INDEX('Email Cleaner'!$B$2:$B$10001,MATCH(3671,'Email Cleaner'!$H$2:$H$10001,0)),"")</f>
        <v/>
      </c>
    </row>
    <row r="3673">
      <c r="A3673">
        <f>IFERROR(INDEX('Email Cleaner'!$B$2:$B$10001,MATCH(3672,'Email Cleaner'!$H$2:$H$10001,0)),"")</f>
        <v/>
      </c>
    </row>
    <row r="3674">
      <c r="A3674">
        <f>IFERROR(INDEX('Email Cleaner'!$B$2:$B$10001,MATCH(3673,'Email Cleaner'!$H$2:$H$10001,0)),"")</f>
        <v/>
      </c>
    </row>
    <row r="3675">
      <c r="A3675">
        <f>IFERROR(INDEX('Email Cleaner'!$B$2:$B$10001,MATCH(3674,'Email Cleaner'!$H$2:$H$10001,0)),"")</f>
        <v/>
      </c>
    </row>
    <row r="3676">
      <c r="A3676">
        <f>IFERROR(INDEX('Email Cleaner'!$B$2:$B$10001,MATCH(3675,'Email Cleaner'!$H$2:$H$10001,0)),"")</f>
        <v/>
      </c>
    </row>
    <row r="3677">
      <c r="A3677">
        <f>IFERROR(INDEX('Email Cleaner'!$B$2:$B$10001,MATCH(3676,'Email Cleaner'!$H$2:$H$10001,0)),"")</f>
        <v/>
      </c>
    </row>
    <row r="3678">
      <c r="A3678">
        <f>IFERROR(INDEX('Email Cleaner'!$B$2:$B$10001,MATCH(3677,'Email Cleaner'!$H$2:$H$10001,0)),"")</f>
        <v/>
      </c>
    </row>
    <row r="3679">
      <c r="A3679">
        <f>IFERROR(INDEX('Email Cleaner'!$B$2:$B$10001,MATCH(3678,'Email Cleaner'!$H$2:$H$10001,0)),"")</f>
        <v/>
      </c>
    </row>
    <row r="3680">
      <c r="A3680">
        <f>IFERROR(INDEX('Email Cleaner'!$B$2:$B$10001,MATCH(3679,'Email Cleaner'!$H$2:$H$10001,0)),"")</f>
        <v/>
      </c>
    </row>
    <row r="3681">
      <c r="A3681">
        <f>IFERROR(INDEX('Email Cleaner'!$B$2:$B$10001,MATCH(3680,'Email Cleaner'!$H$2:$H$10001,0)),"")</f>
        <v/>
      </c>
    </row>
    <row r="3682">
      <c r="A3682">
        <f>IFERROR(INDEX('Email Cleaner'!$B$2:$B$10001,MATCH(3681,'Email Cleaner'!$H$2:$H$10001,0)),"")</f>
        <v/>
      </c>
    </row>
    <row r="3683">
      <c r="A3683">
        <f>IFERROR(INDEX('Email Cleaner'!$B$2:$B$10001,MATCH(3682,'Email Cleaner'!$H$2:$H$10001,0)),"")</f>
        <v/>
      </c>
    </row>
    <row r="3684">
      <c r="A3684">
        <f>IFERROR(INDEX('Email Cleaner'!$B$2:$B$10001,MATCH(3683,'Email Cleaner'!$H$2:$H$10001,0)),"")</f>
        <v/>
      </c>
    </row>
    <row r="3685">
      <c r="A3685">
        <f>IFERROR(INDEX('Email Cleaner'!$B$2:$B$10001,MATCH(3684,'Email Cleaner'!$H$2:$H$10001,0)),"")</f>
        <v/>
      </c>
    </row>
    <row r="3686">
      <c r="A3686">
        <f>IFERROR(INDEX('Email Cleaner'!$B$2:$B$10001,MATCH(3685,'Email Cleaner'!$H$2:$H$10001,0)),"")</f>
        <v/>
      </c>
    </row>
    <row r="3687">
      <c r="A3687">
        <f>IFERROR(INDEX('Email Cleaner'!$B$2:$B$10001,MATCH(3686,'Email Cleaner'!$H$2:$H$10001,0)),"")</f>
        <v/>
      </c>
    </row>
    <row r="3688">
      <c r="A3688">
        <f>IFERROR(INDEX('Email Cleaner'!$B$2:$B$10001,MATCH(3687,'Email Cleaner'!$H$2:$H$10001,0)),"")</f>
        <v/>
      </c>
    </row>
    <row r="3689">
      <c r="A3689">
        <f>IFERROR(INDEX('Email Cleaner'!$B$2:$B$10001,MATCH(3688,'Email Cleaner'!$H$2:$H$10001,0)),"")</f>
        <v/>
      </c>
    </row>
    <row r="3690">
      <c r="A3690">
        <f>IFERROR(INDEX('Email Cleaner'!$B$2:$B$10001,MATCH(3689,'Email Cleaner'!$H$2:$H$10001,0)),"")</f>
        <v/>
      </c>
    </row>
    <row r="3691">
      <c r="A3691">
        <f>IFERROR(INDEX('Email Cleaner'!$B$2:$B$10001,MATCH(3690,'Email Cleaner'!$H$2:$H$10001,0)),"")</f>
        <v/>
      </c>
    </row>
    <row r="3692">
      <c r="A3692">
        <f>IFERROR(INDEX('Email Cleaner'!$B$2:$B$10001,MATCH(3691,'Email Cleaner'!$H$2:$H$10001,0)),"")</f>
        <v/>
      </c>
    </row>
    <row r="3693">
      <c r="A3693">
        <f>IFERROR(INDEX('Email Cleaner'!$B$2:$B$10001,MATCH(3692,'Email Cleaner'!$H$2:$H$10001,0)),"")</f>
        <v/>
      </c>
    </row>
    <row r="3694">
      <c r="A3694">
        <f>IFERROR(INDEX('Email Cleaner'!$B$2:$B$10001,MATCH(3693,'Email Cleaner'!$H$2:$H$10001,0)),"")</f>
        <v/>
      </c>
    </row>
    <row r="3695">
      <c r="A3695">
        <f>IFERROR(INDEX('Email Cleaner'!$B$2:$B$10001,MATCH(3694,'Email Cleaner'!$H$2:$H$10001,0)),"")</f>
        <v/>
      </c>
    </row>
    <row r="3696">
      <c r="A3696">
        <f>IFERROR(INDEX('Email Cleaner'!$B$2:$B$10001,MATCH(3695,'Email Cleaner'!$H$2:$H$10001,0)),"")</f>
        <v/>
      </c>
    </row>
    <row r="3697">
      <c r="A3697">
        <f>IFERROR(INDEX('Email Cleaner'!$B$2:$B$10001,MATCH(3696,'Email Cleaner'!$H$2:$H$10001,0)),"")</f>
        <v/>
      </c>
    </row>
    <row r="3698">
      <c r="A3698">
        <f>IFERROR(INDEX('Email Cleaner'!$B$2:$B$10001,MATCH(3697,'Email Cleaner'!$H$2:$H$10001,0)),"")</f>
        <v/>
      </c>
    </row>
    <row r="3699">
      <c r="A3699">
        <f>IFERROR(INDEX('Email Cleaner'!$B$2:$B$10001,MATCH(3698,'Email Cleaner'!$H$2:$H$10001,0)),"")</f>
        <v/>
      </c>
    </row>
    <row r="3700">
      <c r="A3700">
        <f>IFERROR(INDEX('Email Cleaner'!$B$2:$B$10001,MATCH(3699,'Email Cleaner'!$H$2:$H$10001,0)),"")</f>
        <v/>
      </c>
    </row>
    <row r="3701">
      <c r="A3701">
        <f>IFERROR(INDEX('Email Cleaner'!$B$2:$B$10001,MATCH(3700,'Email Cleaner'!$H$2:$H$10001,0)),"")</f>
        <v/>
      </c>
    </row>
    <row r="3702">
      <c r="A3702">
        <f>IFERROR(INDEX('Email Cleaner'!$B$2:$B$10001,MATCH(3701,'Email Cleaner'!$H$2:$H$10001,0)),"")</f>
        <v/>
      </c>
    </row>
    <row r="3703">
      <c r="A3703">
        <f>IFERROR(INDEX('Email Cleaner'!$B$2:$B$10001,MATCH(3702,'Email Cleaner'!$H$2:$H$10001,0)),"")</f>
        <v/>
      </c>
    </row>
    <row r="3704">
      <c r="A3704">
        <f>IFERROR(INDEX('Email Cleaner'!$B$2:$B$10001,MATCH(3703,'Email Cleaner'!$H$2:$H$10001,0)),"")</f>
        <v/>
      </c>
    </row>
    <row r="3705">
      <c r="A3705">
        <f>IFERROR(INDEX('Email Cleaner'!$B$2:$B$10001,MATCH(3704,'Email Cleaner'!$H$2:$H$10001,0)),"")</f>
        <v/>
      </c>
    </row>
    <row r="3706">
      <c r="A3706">
        <f>IFERROR(INDEX('Email Cleaner'!$B$2:$B$10001,MATCH(3705,'Email Cleaner'!$H$2:$H$10001,0)),"")</f>
        <v/>
      </c>
    </row>
    <row r="3707">
      <c r="A3707">
        <f>IFERROR(INDEX('Email Cleaner'!$B$2:$B$10001,MATCH(3706,'Email Cleaner'!$H$2:$H$10001,0)),"")</f>
        <v/>
      </c>
    </row>
    <row r="3708">
      <c r="A3708">
        <f>IFERROR(INDEX('Email Cleaner'!$B$2:$B$10001,MATCH(3707,'Email Cleaner'!$H$2:$H$10001,0)),"")</f>
        <v/>
      </c>
    </row>
    <row r="3709">
      <c r="A3709">
        <f>IFERROR(INDEX('Email Cleaner'!$B$2:$B$10001,MATCH(3708,'Email Cleaner'!$H$2:$H$10001,0)),"")</f>
        <v/>
      </c>
    </row>
    <row r="3710">
      <c r="A3710">
        <f>IFERROR(INDEX('Email Cleaner'!$B$2:$B$10001,MATCH(3709,'Email Cleaner'!$H$2:$H$10001,0)),"")</f>
        <v/>
      </c>
    </row>
    <row r="3711">
      <c r="A3711">
        <f>IFERROR(INDEX('Email Cleaner'!$B$2:$B$10001,MATCH(3710,'Email Cleaner'!$H$2:$H$10001,0)),"")</f>
        <v/>
      </c>
    </row>
    <row r="3712">
      <c r="A3712">
        <f>IFERROR(INDEX('Email Cleaner'!$B$2:$B$10001,MATCH(3711,'Email Cleaner'!$H$2:$H$10001,0)),"")</f>
        <v/>
      </c>
    </row>
    <row r="3713">
      <c r="A3713">
        <f>IFERROR(INDEX('Email Cleaner'!$B$2:$B$10001,MATCH(3712,'Email Cleaner'!$H$2:$H$10001,0)),"")</f>
        <v/>
      </c>
    </row>
    <row r="3714">
      <c r="A3714">
        <f>IFERROR(INDEX('Email Cleaner'!$B$2:$B$10001,MATCH(3713,'Email Cleaner'!$H$2:$H$10001,0)),"")</f>
        <v/>
      </c>
    </row>
    <row r="3715">
      <c r="A3715">
        <f>IFERROR(INDEX('Email Cleaner'!$B$2:$B$10001,MATCH(3714,'Email Cleaner'!$H$2:$H$10001,0)),"")</f>
        <v/>
      </c>
    </row>
    <row r="3716">
      <c r="A3716">
        <f>IFERROR(INDEX('Email Cleaner'!$B$2:$B$10001,MATCH(3715,'Email Cleaner'!$H$2:$H$10001,0)),"")</f>
        <v/>
      </c>
    </row>
    <row r="3717">
      <c r="A3717">
        <f>IFERROR(INDEX('Email Cleaner'!$B$2:$B$10001,MATCH(3716,'Email Cleaner'!$H$2:$H$10001,0)),"")</f>
        <v/>
      </c>
    </row>
    <row r="3718">
      <c r="A3718">
        <f>IFERROR(INDEX('Email Cleaner'!$B$2:$B$10001,MATCH(3717,'Email Cleaner'!$H$2:$H$10001,0)),"")</f>
        <v/>
      </c>
    </row>
    <row r="3719">
      <c r="A3719">
        <f>IFERROR(INDEX('Email Cleaner'!$B$2:$B$10001,MATCH(3718,'Email Cleaner'!$H$2:$H$10001,0)),"")</f>
        <v/>
      </c>
    </row>
    <row r="3720">
      <c r="A3720">
        <f>IFERROR(INDEX('Email Cleaner'!$B$2:$B$10001,MATCH(3719,'Email Cleaner'!$H$2:$H$10001,0)),"")</f>
        <v/>
      </c>
    </row>
    <row r="3721">
      <c r="A3721">
        <f>IFERROR(INDEX('Email Cleaner'!$B$2:$B$10001,MATCH(3720,'Email Cleaner'!$H$2:$H$10001,0)),"")</f>
        <v/>
      </c>
    </row>
    <row r="3722">
      <c r="A3722">
        <f>IFERROR(INDEX('Email Cleaner'!$B$2:$B$10001,MATCH(3721,'Email Cleaner'!$H$2:$H$10001,0)),"")</f>
        <v/>
      </c>
    </row>
    <row r="3723">
      <c r="A3723">
        <f>IFERROR(INDEX('Email Cleaner'!$B$2:$B$10001,MATCH(3722,'Email Cleaner'!$H$2:$H$10001,0)),"")</f>
        <v/>
      </c>
    </row>
    <row r="3724">
      <c r="A3724">
        <f>IFERROR(INDEX('Email Cleaner'!$B$2:$B$10001,MATCH(3723,'Email Cleaner'!$H$2:$H$10001,0)),"")</f>
        <v/>
      </c>
    </row>
    <row r="3725">
      <c r="A3725">
        <f>IFERROR(INDEX('Email Cleaner'!$B$2:$B$10001,MATCH(3724,'Email Cleaner'!$H$2:$H$10001,0)),"")</f>
        <v/>
      </c>
    </row>
    <row r="3726">
      <c r="A3726">
        <f>IFERROR(INDEX('Email Cleaner'!$B$2:$B$10001,MATCH(3725,'Email Cleaner'!$H$2:$H$10001,0)),"")</f>
        <v/>
      </c>
    </row>
    <row r="3727">
      <c r="A3727">
        <f>IFERROR(INDEX('Email Cleaner'!$B$2:$B$10001,MATCH(3726,'Email Cleaner'!$H$2:$H$10001,0)),"")</f>
        <v/>
      </c>
    </row>
    <row r="3728">
      <c r="A3728">
        <f>IFERROR(INDEX('Email Cleaner'!$B$2:$B$10001,MATCH(3727,'Email Cleaner'!$H$2:$H$10001,0)),"")</f>
        <v/>
      </c>
    </row>
    <row r="3729">
      <c r="A3729">
        <f>IFERROR(INDEX('Email Cleaner'!$B$2:$B$10001,MATCH(3728,'Email Cleaner'!$H$2:$H$10001,0)),"")</f>
        <v/>
      </c>
    </row>
    <row r="3730">
      <c r="A3730">
        <f>IFERROR(INDEX('Email Cleaner'!$B$2:$B$10001,MATCH(3729,'Email Cleaner'!$H$2:$H$10001,0)),"")</f>
        <v/>
      </c>
    </row>
    <row r="3731">
      <c r="A3731">
        <f>IFERROR(INDEX('Email Cleaner'!$B$2:$B$10001,MATCH(3730,'Email Cleaner'!$H$2:$H$10001,0)),"")</f>
        <v/>
      </c>
    </row>
    <row r="3732">
      <c r="A3732">
        <f>IFERROR(INDEX('Email Cleaner'!$B$2:$B$10001,MATCH(3731,'Email Cleaner'!$H$2:$H$10001,0)),"")</f>
        <v/>
      </c>
    </row>
    <row r="3733">
      <c r="A3733">
        <f>IFERROR(INDEX('Email Cleaner'!$B$2:$B$10001,MATCH(3732,'Email Cleaner'!$H$2:$H$10001,0)),"")</f>
        <v/>
      </c>
    </row>
    <row r="3734">
      <c r="A3734">
        <f>IFERROR(INDEX('Email Cleaner'!$B$2:$B$10001,MATCH(3733,'Email Cleaner'!$H$2:$H$10001,0)),"")</f>
        <v/>
      </c>
    </row>
    <row r="3735">
      <c r="A3735">
        <f>IFERROR(INDEX('Email Cleaner'!$B$2:$B$10001,MATCH(3734,'Email Cleaner'!$H$2:$H$10001,0)),"")</f>
        <v/>
      </c>
    </row>
    <row r="3736">
      <c r="A3736">
        <f>IFERROR(INDEX('Email Cleaner'!$B$2:$B$10001,MATCH(3735,'Email Cleaner'!$H$2:$H$10001,0)),"")</f>
        <v/>
      </c>
    </row>
    <row r="3737">
      <c r="A3737">
        <f>IFERROR(INDEX('Email Cleaner'!$B$2:$B$10001,MATCH(3736,'Email Cleaner'!$H$2:$H$10001,0)),"")</f>
        <v/>
      </c>
    </row>
    <row r="3738">
      <c r="A3738">
        <f>IFERROR(INDEX('Email Cleaner'!$B$2:$B$10001,MATCH(3737,'Email Cleaner'!$H$2:$H$10001,0)),"")</f>
        <v/>
      </c>
    </row>
    <row r="3739">
      <c r="A3739">
        <f>IFERROR(INDEX('Email Cleaner'!$B$2:$B$10001,MATCH(3738,'Email Cleaner'!$H$2:$H$10001,0)),"")</f>
        <v/>
      </c>
    </row>
    <row r="3740">
      <c r="A3740">
        <f>IFERROR(INDEX('Email Cleaner'!$B$2:$B$10001,MATCH(3739,'Email Cleaner'!$H$2:$H$10001,0)),"")</f>
        <v/>
      </c>
    </row>
    <row r="3741">
      <c r="A3741">
        <f>IFERROR(INDEX('Email Cleaner'!$B$2:$B$10001,MATCH(3740,'Email Cleaner'!$H$2:$H$10001,0)),"")</f>
        <v/>
      </c>
    </row>
    <row r="3742">
      <c r="A3742">
        <f>IFERROR(INDEX('Email Cleaner'!$B$2:$B$10001,MATCH(3741,'Email Cleaner'!$H$2:$H$10001,0)),"")</f>
        <v/>
      </c>
    </row>
    <row r="3743">
      <c r="A3743">
        <f>IFERROR(INDEX('Email Cleaner'!$B$2:$B$10001,MATCH(3742,'Email Cleaner'!$H$2:$H$10001,0)),"")</f>
        <v/>
      </c>
    </row>
    <row r="3744">
      <c r="A3744">
        <f>IFERROR(INDEX('Email Cleaner'!$B$2:$B$10001,MATCH(3743,'Email Cleaner'!$H$2:$H$10001,0)),"")</f>
        <v/>
      </c>
    </row>
    <row r="3745">
      <c r="A3745">
        <f>IFERROR(INDEX('Email Cleaner'!$B$2:$B$10001,MATCH(3744,'Email Cleaner'!$H$2:$H$10001,0)),"")</f>
        <v/>
      </c>
    </row>
    <row r="3746">
      <c r="A3746">
        <f>IFERROR(INDEX('Email Cleaner'!$B$2:$B$10001,MATCH(3745,'Email Cleaner'!$H$2:$H$10001,0)),"")</f>
        <v/>
      </c>
    </row>
    <row r="3747">
      <c r="A3747">
        <f>IFERROR(INDEX('Email Cleaner'!$B$2:$B$10001,MATCH(3746,'Email Cleaner'!$H$2:$H$10001,0)),"")</f>
        <v/>
      </c>
    </row>
    <row r="3748">
      <c r="A3748">
        <f>IFERROR(INDEX('Email Cleaner'!$B$2:$B$10001,MATCH(3747,'Email Cleaner'!$H$2:$H$10001,0)),"")</f>
        <v/>
      </c>
    </row>
    <row r="3749">
      <c r="A3749">
        <f>IFERROR(INDEX('Email Cleaner'!$B$2:$B$10001,MATCH(3748,'Email Cleaner'!$H$2:$H$10001,0)),"")</f>
        <v/>
      </c>
    </row>
    <row r="3750">
      <c r="A3750">
        <f>IFERROR(INDEX('Email Cleaner'!$B$2:$B$10001,MATCH(3749,'Email Cleaner'!$H$2:$H$10001,0)),"")</f>
        <v/>
      </c>
    </row>
    <row r="3751">
      <c r="A3751">
        <f>IFERROR(INDEX('Email Cleaner'!$B$2:$B$10001,MATCH(3750,'Email Cleaner'!$H$2:$H$10001,0)),"")</f>
        <v/>
      </c>
    </row>
    <row r="3752">
      <c r="A3752">
        <f>IFERROR(INDEX('Email Cleaner'!$B$2:$B$10001,MATCH(3751,'Email Cleaner'!$H$2:$H$10001,0)),"")</f>
        <v/>
      </c>
    </row>
    <row r="3753">
      <c r="A3753">
        <f>IFERROR(INDEX('Email Cleaner'!$B$2:$B$10001,MATCH(3752,'Email Cleaner'!$H$2:$H$10001,0)),"")</f>
        <v/>
      </c>
    </row>
    <row r="3754">
      <c r="A3754">
        <f>IFERROR(INDEX('Email Cleaner'!$B$2:$B$10001,MATCH(3753,'Email Cleaner'!$H$2:$H$10001,0)),"")</f>
        <v/>
      </c>
    </row>
    <row r="3755">
      <c r="A3755">
        <f>IFERROR(INDEX('Email Cleaner'!$B$2:$B$10001,MATCH(3754,'Email Cleaner'!$H$2:$H$10001,0)),"")</f>
        <v/>
      </c>
    </row>
    <row r="3756">
      <c r="A3756">
        <f>IFERROR(INDEX('Email Cleaner'!$B$2:$B$10001,MATCH(3755,'Email Cleaner'!$H$2:$H$10001,0)),"")</f>
        <v/>
      </c>
    </row>
    <row r="3757">
      <c r="A3757">
        <f>IFERROR(INDEX('Email Cleaner'!$B$2:$B$10001,MATCH(3756,'Email Cleaner'!$H$2:$H$10001,0)),"")</f>
        <v/>
      </c>
    </row>
    <row r="3758">
      <c r="A3758">
        <f>IFERROR(INDEX('Email Cleaner'!$B$2:$B$10001,MATCH(3757,'Email Cleaner'!$H$2:$H$10001,0)),"")</f>
        <v/>
      </c>
    </row>
    <row r="3759">
      <c r="A3759">
        <f>IFERROR(INDEX('Email Cleaner'!$B$2:$B$10001,MATCH(3758,'Email Cleaner'!$H$2:$H$10001,0)),"")</f>
        <v/>
      </c>
    </row>
    <row r="3760">
      <c r="A3760">
        <f>IFERROR(INDEX('Email Cleaner'!$B$2:$B$10001,MATCH(3759,'Email Cleaner'!$H$2:$H$10001,0)),"")</f>
        <v/>
      </c>
    </row>
    <row r="3761">
      <c r="A3761">
        <f>IFERROR(INDEX('Email Cleaner'!$B$2:$B$10001,MATCH(3760,'Email Cleaner'!$H$2:$H$10001,0)),"")</f>
        <v/>
      </c>
    </row>
    <row r="3762">
      <c r="A3762">
        <f>IFERROR(INDEX('Email Cleaner'!$B$2:$B$10001,MATCH(3761,'Email Cleaner'!$H$2:$H$10001,0)),"")</f>
        <v/>
      </c>
    </row>
    <row r="3763">
      <c r="A3763">
        <f>IFERROR(INDEX('Email Cleaner'!$B$2:$B$10001,MATCH(3762,'Email Cleaner'!$H$2:$H$10001,0)),"")</f>
        <v/>
      </c>
    </row>
    <row r="3764">
      <c r="A3764">
        <f>IFERROR(INDEX('Email Cleaner'!$B$2:$B$10001,MATCH(3763,'Email Cleaner'!$H$2:$H$10001,0)),"")</f>
        <v/>
      </c>
    </row>
    <row r="3765">
      <c r="A3765">
        <f>IFERROR(INDEX('Email Cleaner'!$B$2:$B$10001,MATCH(3764,'Email Cleaner'!$H$2:$H$10001,0)),"")</f>
        <v/>
      </c>
    </row>
    <row r="3766">
      <c r="A3766">
        <f>IFERROR(INDEX('Email Cleaner'!$B$2:$B$10001,MATCH(3765,'Email Cleaner'!$H$2:$H$10001,0)),"")</f>
        <v/>
      </c>
    </row>
    <row r="3767">
      <c r="A3767">
        <f>IFERROR(INDEX('Email Cleaner'!$B$2:$B$10001,MATCH(3766,'Email Cleaner'!$H$2:$H$10001,0)),"")</f>
        <v/>
      </c>
    </row>
    <row r="3768">
      <c r="A3768">
        <f>IFERROR(INDEX('Email Cleaner'!$B$2:$B$10001,MATCH(3767,'Email Cleaner'!$H$2:$H$10001,0)),"")</f>
        <v/>
      </c>
    </row>
    <row r="3769">
      <c r="A3769">
        <f>IFERROR(INDEX('Email Cleaner'!$B$2:$B$10001,MATCH(3768,'Email Cleaner'!$H$2:$H$10001,0)),"")</f>
        <v/>
      </c>
    </row>
    <row r="3770">
      <c r="A3770">
        <f>IFERROR(INDEX('Email Cleaner'!$B$2:$B$10001,MATCH(3769,'Email Cleaner'!$H$2:$H$10001,0)),"")</f>
        <v/>
      </c>
    </row>
    <row r="3771">
      <c r="A3771">
        <f>IFERROR(INDEX('Email Cleaner'!$B$2:$B$10001,MATCH(3770,'Email Cleaner'!$H$2:$H$10001,0)),"")</f>
        <v/>
      </c>
    </row>
    <row r="3772">
      <c r="A3772">
        <f>IFERROR(INDEX('Email Cleaner'!$B$2:$B$10001,MATCH(3771,'Email Cleaner'!$H$2:$H$10001,0)),"")</f>
        <v/>
      </c>
    </row>
    <row r="3773">
      <c r="A3773">
        <f>IFERROR(INDEX('Email Cleaner'!$B$2:$B$10001,MATCH(3772,'Email Cleaner'!$H$2:$H$10001,0)),"")</f>
        <v/>
      </c>
    </row>
    <row r="3774">
      <c r="A3774">
        <f>IFERROR(INDEX('Email Cleaner'!$B$2:$B$10001,MATCH(3773,'Email Cleaner'!$H$2:$H$10001,0)),"")</f>
        <v/>
      </c>
    </row>
    <row r="3775">
      <c r="A3775">
        <f>IFERROR(INDEX('Email Cleaner'!$B$2:$B$10001,MATCH(3774,'Email Cleaner'!$H$2:$H$10001,0)),"")</f>
        <v/>
      </c>
    </row>
    <row r="3776">
      <c r="A3776">
        <f>IFERROR(INDEX('Email Cleaner'!$B$2:$B$10001,MATCH(3775,'Email Cleaner'!$H$2:$H$10001,0)),"")</f>
        <v/>
      </c>
    </row>
    <row r="3777">
      <c r="A3777">
        <f>IFERROR(INDEX('Email Cleaner'!$B$2:$B$10001,MATCH(3776,'Email Cleaner'!$H$2:$H$10001,0)),"")</f>
        <v/>
      </c>
    </row>
    <row r="3778">
      <c r="A3778">
        <f>IFERROR(INDEX('Email Cleaner'!$B$2:$B$10001,MATCH(3777,'Email Cleaner'!$H$2:$H$10001,0)),"")</f>
        <v/>
      </c>
    </row>
    <row r="3779">
      <c r="A3779">
        <f>IFERROR(INDEX('Email Cleaner'!$B$2:$B$10001,MATCH(3778,'Email Cleaner'!$H$2:$H$10001,0)),"")</f>
        <v/>
      </c>
    </row>
    <row r="3780">
      <c r="A3780">
        <f>IFERROR(INDEX('Email Cleaner'!$B$2:$B$10001,MATCH(3779,'Email Cleaner'!$H$2:$H$10001,0)),"")</f>
        <v/>
      </c>
    </row>
    <row r="3781">
      <c r="A3781">
        <f>IFERROR(INDEX('Email Cleaner'!$B$2:$B$10001,MATCH(3780,'Email Cleaner'!$H$2:$H$10001,0)),"")</f>
        <v/>
      </c>
    </row>
    <row r="3782">
      <c r="A3782">
        <f>IFERROR(INDEX('Email Cleaner'!$B$2:$B$10001,MATCH(3781,'Email Cleaner'!$H$2:$H$10001,0)),"")</f>
        <v/>
      </c>
    </row>
    <row r="3783">
      <c r="A3783">
        <f>IFERROR(INDEX('Email Cleaner'!$B$2:$B$10001,MATCH(3782,'Email Cleaner'!$H$2:$H$10001,0)),"")</f>
        <v/>
      </c>
    </row>
    <row r="3784">
      <c r="A3784">
        <f>IFERROR(INDEX('Email Cleaner'!$B$2:$B$10001,MATCH(3783,'Email Cleaner'!$H$2:$H$10001,0)),"")</f>
        <v/>
      </c>
    </row>
    <row r="3785">
      <c r="A3785">
        <f>IFERROR(INDEX('Email Cleaner'!$B$2:$B$10001,MATCH(3784,'Email Cleaner'!$H$2:$H$10001,0)),"")</f>
        <v/>
      </c>
    </row>
    <row r="3786">
      <c r="A3786">
        <f>IFERROR(INDEX('Email Cleaner'!$B$2:$B$10001,MATCH(3785,'Email Cleaner'!$H$2:$H$10001,0)),"")</f>
        <v/>
      </c>
    </row>
    <row r="3787">
      <c r="A3787">
        <f>IFERROR(INDEX('Email Cleaner'!$B$2:$B$10001,MATCH(3786,'Email Cleaner'!$H$2:$H$10001,0)),"")</f>
        <v/>
      </c>
    </row>
    <row r="3788">
      <c r="A3788">
        <f>IFERROR(INDEX('Email Cleaner'!$B$2:$B$10001,MATCH(3787,'Email Cleaner'!$H$2:$H$10001,0)),"")</f>
        <v/>
      </c>
    </row>
    <row r="3789">
      <c r="A3789">
        <f>IFERROR(INDEX('Email Cleaner'!$B$2:$B$10001,MATCH(3788,'Email Cleaner'!$H$2:$H$10001,0)),"")</f>
        <v/>
      </c>
    </row>
    <row r="3790">
      <c r="A3790">
        <f>IFERROR(INDEX('Email Cleaner'!$B$2:$B$10001,MATCH(3789,'Email Cleaner'!$H$2:$H$10001,0)),"")</f>
        <v/>
      </c>
    </row>
    <row r="3791">
      <c r="A3791">
        <f>IFERROR(INDEX('Email Cleaner'!$B$2:$B$10001,MATCH(3790,'Email Cleaner'!$H$2:$H$10001,0)),"")</f>
        <v/>
      </c>
    </row>
    <row r="3792">
      <c r="A3792">
        <f>IFERROR(INDEX('Email Cleaner'!$B$2:$B$10001,MATCH(3791,'Email Cleaner'!$H$2:$H$10001,0)),"")</f>
        <v/>
      </c>
    </row>
    <row r="3793">
      <c r="A3793">
        <f>IFERROR(INDEX('Email Cleaner'!$B$2:$B$10001,MATCH(3792,'Email Cleaner'!$H$2:$H$10001,0)),"")</f>
        <v/>
      </c>
    </row>
    <row r="3794">
      <c r="A3794">
        <f>IFERROR(INDEX('Email Cleaner'!$B$2:$B$10001,MATCH(3793,'Email Cleaner'!$H$2:$H$10001,0)),"")</f>
        <v/>
      </c>
    </row>
    <row r="3795">
      <c r="A3795">
        <f>IFERROR(INDEX('Email Cleaner'!$B$2:$B$10001,MATCH(3794,'Email Cleaner'!$H$2:$H$10001,0)),"")</f>
        <v/>
      </c>
    </row>
    <row r="3796">
      <c r="A3796">
        <f>IFERROR(INDEX('Email Cleaner'!$B$2:$B$10001,MATCH(3795,'Email Cleaner'!$H$2:$H$10001,0)),"")</f>
        <v/>
      </c>
    </row>
    <row r="3797">
      <c r="A3797">
        <f>IFERROR(INDEX('Email Cleaner'!$B$2:$B$10001,MATCH(3796,'Email Cleaner'!$H$2:$H$10001,0)),"")</f>
        <v/>
      </c>
    </row>
    <row r="3798">
      <c r="A3798">
        <f>IFERROR(INDEX('Email Cleaner'!$B$2:$B$10001,MATCH(3797,'Email Cleaner'!$H$2:$H$10001,0)),"")</f>
        <v/>
      </c>
    </row>
    <row r="3799">
      <c r="A3799">
        <f>IFERROR(INDEX('Email Cleaner'!$B$2:$B$10001,MATCH(3798,'Email Cleaner'!$H$2:$H$10001,0)),"")</f>
        <v/>
      </c>
    </row>
    <row r="3800">
      <c r="A3800">
        <f>IFERROR(INDEX('Email Cleaner'!$B$2:$B$10001,MATCH(3799,'Email Cleaner'!$H$2:$H$10001,0)),"")</f>
        <v/>
      </c>
    </row>
    <row r="3801">
      <c r="A3801">
        <f>IFERROR(INDEX('Email Cleaner'!$B$2:$B$10001,MATCH(3800,'Email Cleaner'!$H$2:$H$10001,0)),"")</f>
        <v/>
      </c>
    </row>
    <row r="3802">
      <c r="A3802">
        <f>IFERROR(INDEX('Email Cleaner'!$B$2:$B$10001,MATCH(3801,'Email Cleaner'!$H$2:$H$10001,0)),"")</f>
        <v/>
      </c>
    </row>
    <row r="3803">
      <c r="A3803">
        <f>IFERROR(INDEX('Email Cleaner'!$B$2:$B$10001,MATCH(3802,'Email Cleaner'!$H$2:$H$10001,0)),"")</f>
        <v/>
      </c>
    </row>
    <row r="3804">
      <c r="A3804">
        <f>IFERROR(INDEX('Email Cleaner'!$B$2:$B$10001,MATCH(3803,'Email Cleaner'!$H$2:$H$10001,0)),"")</f>
        <v/>
      </c>
    </row>
    <row r="3805">
      <c r="A3805">
        <f>IFERROR(INDEX('Email Cleaner'!$B$2:$B$10001,MATCH(3804,'Email Cleaner'!$H$2:$H$10001,0)),"")</f>
        <v/>
      </c>
    </row>
    <row r="3806">
      <c r="A3806">
        <f>IFERROR(INDEX('Email Cleaner'!$B$2:$B$10001,MATCH(3805,'Email Cleaner'!$H$2:$H$10001,0)),"")</f>
        <v/>
      </c>
    </row>
    <row r="3807">
      <c r="A3807">
        <f>IFERROR(INDEX('Email Cleaner'!$B$2:$B$10001,MATCH(3806,'Email Cleaner'!$H$2:$H$10001,0)),"")</f>
        <v/>
      </c>
    </row>
    <row r="3808">
      <c r="A3808">
        <f>IFERROR(INDEX('Email Cleaner'!$B$2:$B$10001,MATCH(3807,'Email Cleaner'!$H$2:$H$10001,0)),"")</f>
        <v/>
      </c>
    </row>
    <row r="3809">
      <c r="A3809">
        <f>IFERROR(INDEX('Email Cleaner'!$B$2:$B$10001,MATCH(3808,'Email Cleaner'!$H$2:$H$10001,0)),"")</f>
        <v/>
      </c>
    </row>
    <row r="3810">
      <c r="A3810">
        <f>IFERROR(INDEX('Email Cleaner'!$B$2:$B$10001,MATCH(3809,'Email Cleaner'!$H$2:$H$10001,0)),"")</f>
        <v/>
      </c>
    </row>
    <row r="3811">
      <c r="A3811">
        <f>IFERROR(INDEX('Email Cleaner'!$B$2:$B$10001,MATCH(3810,'Email Cleaner'!$H$2:$H$10001,0)),"")</f>
        <v/>
      </c>
    </row>
    <row r="3812">
      <c r="A3812">
        <f>IFERROR(INDEX('Email Cleaner'!$B$2:$B$10001,MATCH(3811,'Email Cleaner'!$H$2:$H$10001,0)),"")</f>
        <v/>
      </c>
    </row>
    <row r="3813">
      <c r="A3813">
        <f>IFERROR(INDEX('Email Cleaner'!$B$2:$B$10001,MATCH(3812,'Email Cleaner'!$H$2:$H$10001,0)),"")</f>
        <v/>
      </c>
    </row>
    <row r="3814">
      <c r="A3814">
        <f>IFERROR(INDEX('Email Cleaner'!$B$2:$B$10001,MATCH(3813,'Email Cleaner'!$H$2:$H$10001,0)),"")</f>
        <v/>
      </c>
    </row>
    <row r="3815">
      <c r="A3815">
        <f>IFERROR(INDEX('Email Cleaner'!$B$2:$B$10001,MATCH(3814,'Email Cleaner'!$H$2:$H$10001,0)),"")</f>
        <v/>
      </c>
    </row>
    <row r="3816">
      <c r="A3816">
        <f>IFERROR(INDEX('Email Cleaner'!$B$2:$B$10001,MATCH(3815,'Email Cleaner'!$H$2:$H$10001,0)),"")</f>
        <v/>
      </c>
    </row>
    <row r="3817">
      <c r="A3817">
        <f>IFERROR(INDEX('Email Cleaner'!$B$2:$B$10001,MATCH(3816,'Email Cleaner'!$H$2:$H$10001,0)),"")</f>
        <v/>
      </c>
    </row>
    <row r="3818">
      <c r="A3818">
        <f>IFERROR(INDEX('Email Cleaner'!$B$2:$B$10001,MATCH(3817,'Email Cleaner'!$H$2:$H$10001,0)),"")</f>
        <v/>
      </c>
    </row>
    <row r="3819">
      <c r="A3819">
        <f>IFERROR(INDEX('Email Cleaner'!$B$2:$B$10001,MATCH(3818,'Email Cleaner'!$H$2:$H$10001,0)),"")</f>
        <v/>
      </c>
    </row>
    <row r="3820">
      <c r="A3820">
        <f>IFERROR(INDEX('Email Cleaner'!$B$2:$B$10001,MATCH(3819,'Email Cleaner'!$H$2:$H$10001,0)),"")</f>
        <v/>
      </c>
    </row>
    <row r="3821">
      <c r="A3821">
        <f>IFERROR(INDEX('Email Cleaner'!$B$2:$B$10001,MATCH(3820,'Email Cleaner'!$H$2:$H$10001,0)),"")</f>
        <v/>
      </c>
    </row>
    <row r="3822">
      <c r="A3822">
        <f>IFERROR(INDEX('Email Cleaner'!$B$2:$B$10001,MATCH(3821,'Email Cleaner'!$H$2:$H$10001,0)),"")</f>
        <v/>
      </c>
    </row>
    <row r="3823">
      <c r="A3823">
        <f>IFERROR(INDEX('Email Cleaner'!$B$2:$B$10001,MATCH(3822,'Email Cleaner'!$H$2:$H$10001,0)),"")</f>
        <v/>
      </c>
    </row>
    <row r="3824">
      <c r="A3824">
        <f>IFERROR(INDEX('Email Cleaner'!$B$2:$B$10001,MATCH(3823,'Email Cleaner'!$H$2:$H$10001,0)),"")</f>
        <v/>
      </c>
    </row>
    <row r="3825">
      <c r="A3825">
        <f>IFERROR(INDEX('Email Cleaner'!$B$2:$B$10001,MATCH(3824,'Email Cleaner'!$H$2:$H$10001,0)),"")</f>
        <v/>
      </c>
    </row>
    <row r="3826">
      <c r="A3826">
        <f>IFERROR(INDEX('Email Cleaner'!$B$2:$B$10001,MATCH(3825,'Email Cleaner'!$H$2:$H$10001,0)),"")</f>
        <v/>
      </c>
    </row>
    <row r="3827">
      <c r="A3827">
        <f>IFERROR(INDEX('Email Cleaner'!$B$2:$B$10001,MATCH(3826,'Email Cleaner'!$H$2:$H$10001,0)),"")</f>
        <v/>
      </c>
    </row>
    <row r="3828">
      <c r="A3828">
        <f>IFERROR(INDEX('Email Cleaner'!$B$2:$B$10001,MATCH(3827,'Email Cleaner'!$H$2:$H$10001,0)),"")</f>
        <v/>
      </c>
    </row>
    <row r="3829">
      <c r="A3829">
        <f>IFERROR(INDEX('Email Cleaner'!$B$2:$B$10001,MATCH(3828,'Email Cleaner'!$H$2:$H$10001,0)),"")</f>
        <v/>
      </c>
    </row>
    <row r="3830">
      <c r="A3830">
        <f>IFERROR(INDEX('Email Cleaner'!$B$2:$B$10001,MATCH(3829,'Email Cleaner'!$H$2:$H$10001,0)),"")</f>
        <v/>
      </c>
    </row>
    <row r="3831">
      <c r="A3831">
        <f>IFERROR(INDEX('Email Cleaner'!$B$2:$B$10001,MATCH(3830,'Email Cleaner'!$H$2:$H$10001,0)),"")</f>
        <v/>
      </c>
    </row>
    <row r="3832">
      <c r="A3832">
        <f>IFERROR(INDEX('Email Cleaner'!$B$2:$B$10001,MATCH(3831,'Email Cleaner'!$H$2:$H$10001,0)),"")</f>
        <v/>
      </c>
    </row>
    <row r="3833">
      <c r="A3833">
        <f>IFERROR(INDEX('Email Cleaner'!$B$2:$B$10001,MATCH(3832,'Email Cleaner'!$H$2:$H$10001,0)),"")</f>
        <v/>
      </c>
    </row>
    <row r="3834">
      <c r="A3834">
        <f>IFERROR(INDEX('Email Cleaner'!$B$2:$B$10001,MATCH(3833,'Email Cleaner'!$H$2:$H$10001,0)),"")</f>
        <v/>
      </c>
    </row>
    <row r="3835">
      <c r="A3835">
        <f>IFERROR(INDEX('Email Cleaner'!$B$2:$B$10001,MATCH(3834,'Email Cleaner'!$H$2:$H$10001,0)),"")</f>
        <v/>
      </c>
    </row>
    <row r="3836">
      <c r="A3836">
        <f>IFERROR(INDEX('Email Cleaner'!$B$2:$B$10001,MATCH(3835,'Email Cleaner'!$H$2:$H$10001,0)),"")</f>
        <v/>
      </c>
    </row>
    <row r="3837">
      <c r="A3837">
        <f>IFERROR(INDEX('Email Cleaner'!$B$2:$B$10001,MATCH(3836,'Email Cleaner'!$H$2:$H$10001,0)),"")</f>
        <v/>
      </c>
    </row>
    <row r="3838">
      <c r="A3838">
        <f>IFERROR(INDEX('Email Cleaner'!$B$2:$B$10001,MATCH(3837,'Email Cleaner'!$H$2:$H$10001,0)),"")</f>
        <v/>
      </c>
    </row>
    <row r="3839">
      <c r="A3839">
        <f>IFERROR(INDEX('Email Cleaner'!$B$2:$B$10001,MATCH(3838,'Email Cleaner'!$H$2:$H$10001,0)),"")</f>
        <v/>
      </c>
    </row>
    <row r="3840">
      <c r="A3840">
        <f>IFERROR(INDEX('Email Cleaner'!$B$2:$B$10001,MATCH(3839,'Email Cleaner'!$H$2:$H$10001,0)),"")</f>
        <v/>
      </c>
    </row>
    <row r="3841">
      <c r="A3841">
        <f>IFERROR(INDEX('Email Cleaner'!$B$2:$B$10001,MATCH(3840,'Email Cleaner'!$H$2:$H$10001,0)),"")</f>
        <v/>
      </c>
    </row>
    <row r="3842">
      <c r="A3842">
        <f>IFERROR(INDEX('Email Cleaner'!$B$2:$B$10001,MATCH(3841,'Email Cleaner'!$H$2:$H$10001,0)),"")</f>
        <v/>
      </c>
    </row>
    <row r="3843">
      <c r="A3843">
        <f>IFERROR(INDEX('Email Cleaner'!$B$2:$B$10001,MATCH(3842,'Email Cleaner'!$H$2:$H$10001,0)),"")</f>
        <v/>
      </c>
    </row>
    <row r="3844">
      <c r="A3844">
        <f>IFERROR(INDEX('Email Cleaner'!$B$2:$B$10001,MATCH(3843,'Email Cleaner'!$H$2:$H$10001,0)),"")</f>
        <v/>
      </c>
    </row>
    <row r="3845">
      <c r="A3845">
        <f>IFERROR(INDEX('Email Cleaner'!$B$2:$B$10001,MATCH(3844,'Email Cleaner'!$H$2:$H$10001,0)),"")</f>
        <v/>
      </c>
    </row>
    <row r="3846">
      <c r="A3846">
        <f>IFERROR(INDEX('Email Cleaner'!$B$2:$B$10001,MATCH(3845,'Email Cleaner'!$H$2:$H$10001,0)),"")</f>
        <v/>
      </c>
    </row>
    <row r="3847">
      <c r="A3847">
        <f>IFERROR(INDEX('Email Cleaner'!$B$2:$B$10001,MATCH(3846,'Email Cleaner'!$H$2:$H$10001,0)),"")</f>
        <v/>
      </c>
    </row>
    <row r="3848">
      <c r="A3848">
        <f>IFERROR(INDEX('Email Cleaner'!$B$2:$B$10001,MATCH(3847,'Email Cleaner'!$H$2:$H$10001,0)),"")</f>
        <v/>
      </c>
    </row>
    <row r="3849">
      <c r="A3849">
        <f>IFERROR(INDEX('Email Cleaner'!$B$2:$B$10001,MATCH(3848,'Email Cleaner'!$H$2:$H$10001,0)),"")</f>
        <v/>
      </c>
    </row>
    <row r="3850">
      <c r="A3850">
        <f>IFERROR(INDEX('Email Cleaner'!$B$2:$B$10001,MATCH(3849,'Email Cleaner'!$H$2:$H$10001,0)),"")</f>
        <v/>
      </c>
    </row>
    <row r="3851">
      <c r="A3851">
        <f>IFERROR(INDEX('Email Cleaner'!$B$2:$B$10001,MATCH(3850,'Email Cleaner'!$H$2:$H$10001,0)),"")</f>
        <v/>
      </c>
    </row>
    <row r="3852">
      <c r="A3852">
        <f>IFERROR(INDEX('Email Cleaner'!$B$2:$B$10001,MATCH(3851,'Email Cleaner'!$H$2:$H$10001,0)),"")</f>
        <v/>
      </c>
    </row>
    <row r="3853">
      <c r="A3853">
        <f>IFERROR(INDEX('Email Cleaner'!$B$2:$B$10001,MATCH(3852,'Email Cleaner'!$H$2:$H$10001,0)),"")</f>
        <v/>
      </c>
    </row>
    <row r="3854">
      <c r="A3854">
        <f>IFERROR(INDEX('Email Cleaner'!$B$2:$B$10001,MATCH(3853,'Email Cleaner'!$H$2:$H$10001,0)),"")</f>
        <v/>
      </c>
    </row>
    <row r="3855">
      <c r="A3855">
        <f>IFERROR(INDEX('Email Cleaner'!$B$2:$B$10001,MATCH(3854,'Email Cleaner'!$H$2:$H$10001,0)),"")</f>
        <v/>
      </c>
    </row>
    <row r="3856">
      <c r="A3856">
        <f>IFERROR(INDEX('Email Cleaner'!$B$2:$B$10001,MATCH(3855,'Email Cleaner'!$H$2:$H$10001,0)),"")</f>
        <v/>
      </c>
    </row>
    <row r="3857">
      <c r="A3857">
        <f>IFERROR(INDEX('Email Cleaner'!$B$2:$B$10001,MATCH(3856,'Email Cleaner'!$H$2:$H$10001,0)),"")</f>
        <v/>
      </c>
    </row>
    <row r="3858">
      <c r="A3858">
        <f>IFERROR(INDEX('Email Cleaner'!$B$2:$B$10001,MATCH(3857,'Email Cleaner'!$H$2:$H$10001,0)),"")</f>
        <v/>
      </c>
    </row>
    <row r="3859">
      <c r="A3859">
        <f>IFERROR(INDEX('Email Cleaner'!$B$2:$B$10001,MATCH(3858,'Email Cleaner'!$H$2:$H$10001,0)),"")</f>
        <v/>
      </c>
    </row>
    <row r="3860">
      <c r="A3860">
        <f>IFERROR(INDEX('Email Cleaner'!$B$2:$B$10001,MATCH(3859,'Email Cleaner'!$H$2:$H$10001,0)),"")</f>
        <v/>
      </c>
    </row>
    <row r="3861">
      <c r="A3861">
        <f>IFERROR(INDEX('Email Cleaner'!$B$2:$B$10001,MATCH(3860,'Email Cleaner'!$H$2:$H$10001,0)),"")</f>
        <v/>
      </c>
    </row>
    <row r="3862">
      <c r="A3862">
        <f>IFERROR(INDEX('Email Cleaner'!$B$2:$B$10001,MATCH(3861,'Email Cleaner'!$H$2:$H$10001,0)),"")</f>
        <v/>
      </c>
    </row>
    <row r="3863">
      <c r="A3863">
        <f>IFERROR(INDEX('Email Cleaner'!$B$2:$B$10001,MATCH(3862,'Email Cleaner'!$H$2:$H$10001,0)),"")</f>
        <v/>
      </c>
    </row>
    <row r="3864">
      <c r="A3864">
        <f>IFERROR(INDEX('Email Cleaner'!$B$2:$B$10001,MATCH(3863,'Email Cleaner'!$H$2:$H$10001,0)),"")</f>
        <v/>
      </c>
    </row>
    <row r="3865">
      <c r="A3865">
        <f>IFERROR(INDEX('Email Cleaner'!$B$2:$B$10001,MATCH(3864,'Email Cleaner'!$H$2:$H$10001,0)),"")</f>
        <v/>
      </c>
    </row>
    <row r="3866">
      <c r="A3866">
        <f>IFERROR(INDEX('Email Cleaner'!$B$2:$B$10001,MATCH(3865,'Email Cleaner'!$H$2:$H$10001,0)),"")</f>
        <v/>
      </c>
    </row>
    <row r="3867">
      <c r="A3867">
        <f>IFERROR(INDEX('Email Cleaner'!$B$2:$B$10001,MATCH(3866,'Email Cleaner'!$H$2:$H$10001,0)),"")</f>
        <v/>
      </c>
    </row>
    <row r="3868">
      <c r="A3868">
        <f>IFERROR(INDEX('Email Cleaner'!$B$2:$B$10001,MATCH(3867,'Email Cleaner'!$H$2:$H$10001,0)),"")</f>
        <v/>
      </c>
    </row>
    <row r="3869">
      <c r="A3869">
        <f>IFERROR(INDEX('Email Cleaner'!$B$2:$B$10001,MATCH(3868,'Email Cleaner'!$H$2:$H$10001,0)),"")</f>
        <v/>
      </c>
    </row>
    <row r="3870">
      <c r="A3870">
        <f>IFERROR(INDEX('Email Cleaner'!$B$2:$B$10001,MATCH(3869,'Email Cleaner'!$H$2:$H$10001,0)),"")</f>
        <v/>
      </c>
    </row>
    <row r="3871">
      <c r="A3871">
        <f>IFERROR(INDEX('Email Cleaner'!$B$2:$B$10001,MATCH(3870,'Email Cleaner'!$H$2:$H$10001,0)),"")</f>
        <v/>
      </c>
    </row>
    <row r="3872">
      <c r="A3872">
        <f>IFERROR(INDEX('Email Cleaner'!$B$2:$B$10001,MATCH(3871,'Email Cleaner'!$H$2:$H$10001,0)),"")</f>
        <v/>
      </c>
    </row>
    <row r="3873">
      <c r="A3873">
        <f>IFERROR(INDEX('Email Cleaner'!$B$2:$B$10001,MATCH(3872,'Email Cleaner'!$H$2:$H$10001,0)),"")</f>
        <v/>
      </c>
    </row>
    <row r="3874">
      <c r="A3874">
        <f>IFERROR(INDEX('Email Cleaner'!$B$2:$B$10001,MATCH(3873,'Email Cleaner'!$H$2:$H$10001,0)),"")</f>
        <v/>
      </c>
    </row>
    <row r="3875">
      <c r="A3875">
        <f>IFERROR(INDEX('Email Cleaner'!$B$2:$B$10001,MATCH(3874,'Email Cleaner'!$H$2:$H$10001,0)),"")</f>
        <v/>
      </c>
    </row>
    <row r="3876">
      <c r="A3876">
        <f>IFERROR(INDEX('Email Cleaner'!$B$2:$B$10001,MATCH(3875,'Email Cleaner'!$H$2:$H$10001,0)),"")</f>
        <v/>
      </c>
    </row>
    <row r="3877">
      <c r="A3877">
        <f>IFERROR(INDEX('Email Cleaner'!$B$2:$B$10001,MATCH(3876,'Email Cleaner'!$H$2:$H$10001,0)),"")</f>
        <v/>
      </c>
    </row>
    <row r="3878">
      <c r="A3878">
        <f>IFERROR(INDEX('Email Cleaner'!$B$2:$B$10001,MATCH(3877,'Email Cleaner'!$H$2:$H$10001,0)),"")</f>
        <v/>
      </c>
    </row>
    <row r="3879">
      <c r="A3879">
        <f>IFERROR(INDEX('Email Cleaner'!$B$2:$B$10001,MATCH(3878,'Email Cleaner'!$H$2:$H$10001,0)),"")</f>
        <v/>
      </c>
    </row>
    <row r="3880">
      <c r="A3880">
        <f>IFERROR(INDEX('Email Cleaner'!$B$2:$B$10001,MATCH(3879,'Email Cleaner'!$H$2:$H$10001,0)),"")</f>
        <v/>
      </c>
    </row>
    <row r="3881">
      <c r="A3881">
        <f>IFERROR(INDEX('Email Cleaner'!$B$2:$B$10001,MATCH(3880,'Email Cleaner'!$H$2:$H$10001,0)),"")</f>
        <v/>
      </c>
    </row>
    <row r="3882">
      <c r="A3882">
        <f>IFERROR(INDEX('Email Cleaner'!$B$2:$B$10001,MATCH(3881,'Email Cleaner'!$H$2:$H$10001,0)),"")</f>
        <v/>
      </c>
    </row>
    <row r="3883">
      <c r="A3883">
        <f>IFERROR(INDEX('Email Cleaner'!$B$2:$B$10001,MATCH(3882,'Email Cleaner'!$H$2:$H$10001,0)),"")</f>
        <v/>
      </c>
    </row>
    <row r="3884">
      <c r="A3884">
        <f>IFERROR(INDEX('Email Cleaner'!$B$2:$B$10001,MATCH(3883,'Email Cleaner'!$H$2:$H$10001,0)),"")</f>
        <v/>
      </c>
    </row>
    <row r="3885">
      <c r="A3885">
        <f>IFERROR(INDEX('Email Cleaner'!$B$2:$B$10001,MATCH(3884,'Email Cleaner'!$H$2:$H$10001,0)),"")</f>
        <v/>
      </c>
    </row>
    <row r="3886">
      <c r="A3886">
        <f>IFERROR(INDEX('Email Cleaner'!$B$2:$B$10001,MATCH(3885,'Email Cleaner'!$H$2:$H$10001,0)),"")</f>
        <v/>
      </c>
    </row>
    <row r="3887">
      <c r="A3887">
        <f>IFERROR(INDEX('Email Cleaner'!$B$2:$B$10001,MATCH(3886,'Email Cleaner'!$H$2:$H$10001,0)),"")</f>
        <v/>
      </c>
    </row>
    <row r="3888">
      <c r="A3888">
        <f>IFERROR(INDEX('Email Cleaner'!$B$2:$B$10001,MATCH(3887,'Email Cleaner'!$H$2:$H$10001,0)),"")</f>
        <v/>
      </c>
    </row>
    <row r="3889">
      <c r="A3889">
        <f>IFERROR(INDEX('Email Cleaner'!$B$2:$B$10001,MATCH(3888,'Email Cleaner'!$H$2:$H$10001,0)),"")</f>
        <v/>
      </c>
    </row>
    <row r="3890">
      <c r="A3890">
        <f>IFERROR(INDEX('Email Cleaner'!$B$2:$B$10001,MATCH(3889,'Email Cleaner'!$H$2:$H$10001,0)),"")</f>
        <v/>
      </c>
    </row>
    <row r="3891">
      <c r="A3891">
        <f>IFERROR(INDEX('Email Cleaner'!$B$2:$B$10001,MATCH(3890,'Email Cleaner'!$H$2:$H$10001,0)),"")</f>
        <v/>
      </c>
    </row>
    <row r="3892">
      <c r="A3892">
        <f>IFERROR(INDEX('Email Cleaner'!$B$2:$B$10001,MATCH(3891,'Email Cleaner'!$H$2:$H$10001,0)),"")</f>
        <v/>
      </c>
    </row>
    <row r="3893">
      <c r="A3893">
        <f>IFERROR(INDEX('Email Cleaner'!$B$2:$B$10001,MATCH(3892,'Email Cleaner'!$H$2:$H$10001,0)),"")</f>
        <v/>
      </c>
    </row>
    <row r="3894">
      <c r="A3894">
        <f>IFERROR(INDEX('Email Cleaner'!$B$2:$B$10001,MATCH(3893,'Email Cleaner'!$H$2:$H$10001,0)),"")</f>
        <v/>
      </c>
    </row>
    <row r="3895">
      <c r="A3895">
        <f>IFERROR(INDEX('Email Cleaner'!$B$2:$B$10001,MATCH(3894,'Email Cleaner'!$H$2:$H$10001,0)),"")</f>
        <v/>
      </c>
    </row>
    <row r="3896">
      <c r="A3896">
        <f>IFERROR(INDEX('Email Cleaner'!$B$2:$B$10001,MATCH(3895,'Email Cleaner'!$H$2:$H$10001,0)),"")</f>
        <v/>
      </c>
    </row>
    <row r="3897">
      <c r="A3897">
        <f>IFERROR(INDEX('Email Cleaner'!$B$2:$B$10001,MATCH(3896,'Email Cleaner'!$H$2:$H$10001,0)),"")</f>
        <v/>
      </c>
    </row>
    <row r="3898">
      <c r="A3898">
        <f>IFERROR(INDEX('Email Cleaner'!$B$2:$B$10001,MATCH(3897,'Email Cleaner'!$H$2:$H$10001,0)),"")</f>
        <v/>
      </c>
    </row>
    <row r="3899">
      <c r="A3899">
        <f>IFERROR(INDEX('Email Cleaner'!$B$2:$B$10001,MATCH(3898,'Email Cleaner'!$H$2:$H$10001,0)),"")</f>
        <v/>
      </c>
    </row>
    <row r="3900">
      <c r="A3900">
        <f>IFERROR(INDEX('Email Cleaner'!$B$2:$B$10001,MATCH(3899,'Email Cleaner'!$H$2:$H$10001,0)),"")</f>
        <v/>
      </c>
    </row>
    <row r="3901">
      <c r="A3901">
        <f>IFERROR(INDEX('Email Cleaner'!$B$2:$B$10001,MATCH(3900,'Email Cleaner'!$H$2:$H$10001,0)),"")</f>
        <v/>
      </c>
    </row>
    <row r="3902">
      <c r="A3902">
        <f>IFERROR(INDEX('Email Cleaner'!$B$2:$B$10001,MATCH(3901,'Email Cleaner'!$H$2:$H$10001,0)),"")</f>
        <v/>
      </c>
    </row>
    <row r="3903">
      <c r="A3903">
        <f>IFERROR(INDEX('Email Cleaner'!$B$2:$B$10001,MATCH(3902,'Email Cleaner'!$H$2:$H$10001,0)),"")</f>
        <v/>
      </c>
    </row>
    <row r="3904">
      <c r="A3904">
        <f>IFERROR(INDEX('Email Cleaner'!$B$2:$B$10001,MATCH(3903,'Email Cleaner'!$H$2:$H$10001,0)),"")</f>
        <v/>
      </c>
    </row>
    <row r="3905">
      <c r="A3905">
        <f>IFERROR(INDEX('Email Cleaner'!$B$2:$B$10001,MATCH(3904,'Email Cleaner'!$H$2:$H$10001,0)),"")</f>
        <v/>
      </c>
    </row>
    <row r="3906">
      <c r="A3906">
        <f>IFERROR(INDEX('Email Cleaner'!$B$2:$B$10001,MATCH(3905,'Email Cleaner'!$H$2:$H$10001,0)),"")</f>
        <v/>
      </c>
    </row>
    <row r="3907">
      <c r="A3907">
        <f>IFERROR(INDEX('Email Cleaner'!$B$2:$B$10001,MATCH(3906,'Email Cleaner'!$H$2:$H$10001,0)),"")</f>
        <v/>
      </c>
    </row>
    <row r="3908">
      <c r="A3908">
        <f>IFERROR(INDEX('Email Cleaner'!$B$2:$B$10001,MATCH(3907,'Email Cleaner'!$H$2:$H$10001,0)),"")</f>
        <v/>
      </c>
    </row>
    <row r="3909">
      <c r="A3909">
        <f>IFERROR(INDEX('Email Cleaner'!$B$2:$B$10001,MATCH(3908,'Email Cleaner'!$H$2:$H$10001,0)),"")</f>
        <v/>
      </c>
    </row>
    <row r="3910">
      <c r="A3910">
        <f>IFERROR(INDEX('Email Cleaner'!$B$2:$B$10001,MATCH(3909,'Email Cleaner'!$H$2:$H$10001,0)),"")</f>
        <v/>
      </c>
    </row>
    <row r="3911">
      <c r="A3911">
        <f>IFERROR(INDEX('Email Cleaner'!$B$2:$B$10001,MATCH(3910,'Email Cleaner'!$H$2:$H$10001,0)),"")</f>
        <v/>
      </c>
    </row>
    <row r="3912">
      <c r="A3912">
        <f>IFERROR(INDEX('Email Cleaner'!$B$2:$B$10001,MATCH(3911,'Email Cleaner'!$H$2:$H$10001,0)),"")</f>
        <v/>
      </c>
    </row>
    <row r="3913">
      <c r="A3913">
        <f>IFERROR(INDEX('Email Cleaner'!$B$2:$B$10001,MATCH(3912,'Email Cleaner'!$H$2:$H$10001,0)),"")</f>
        <v/>
      </c>
    </row>
    <row r="3914">
      <c r="A3914">
        <f>IFERROR(INDEX('Email Cleaner'!$B$2:$B$10001,MATCH(3913,'Email Cleaner'!$H$2:$H$10001,0)),"")</f>
        <v/>
      </c>
    </row>
    <row r="3915">
      <c r="A3915">
        <f>IFERROR(INDEX('Email Cleaner'!$B$2:$B$10001,MATCH(3914,'Email Cleaner'!$H$2:$H$10001,0)),"")</f>
        <v/>
      </c>
    </row>
    <row r="3916">
      <c r="A3916">
        <f>IFERROR(INDEX('Email Cleaner'!$B$2:$B$10001,MATCH(3915,'Email Cleaner'!$H$2:$H$10001,0)),"")</f>
        <v/>
      </c>
    </row>
    <row r="3917">
      <c r="A3917">
        <f>IFERROR(INDEX('Email Cleaner'!$B$2:$B$10001,MATCH(3916,'Email Cleaner'!$H$2:$H$10001,0)),"")</f>
        <v/>
      </c>
    </row>
    <row r="3918">
      <c r="A3918">
        <f>IFERROR(INDEX('Email Cleaner'!$B$2:$B$10001,MATCH(3917,'Email Cleaner'!$H$2:$H$10001,0)),"")</f>
        <v/>
      </c>
    </row>
    <row r="3919">
      <c r="A3919">
        <f>IFERROR(INDEX('Email Cleaner'!$B$2:$B$10001,MATCH(3918,'Email Cleaner'!$H$2:$H$10001,0)),"")</f>
        <v/>
      </c>
    </row>
    <row r="3920">
      <c r="A3920">
        <f>IFERROR(INDEX('Email Cleaner'!$B$2:$B$10001,MATCH(3919,'Email Cleaner'!$H$2:$H$10001,0)),"")</f>
        <v/>
      </c>
    </row>
    <row r="3921">
      <c r="A3921">
        <f>IFERROR(INDEX('Email Cleaner'!$B$2:$B$10001,MATCH(3920,'Email Cleaner'!$H$2:$H$10001,0)),"")</f>
        <v/>
      </c>
    </row>
    <row r="3922">
      <c r="A3922">
        <f>IFERROR(INDEX('Email Cleaner'!$B$2:$B$10001,MATCH(3921,'Email Cleaner'!$H$2:$H$10001,0)),"")</f>
        <v/>
      </c>
    </row>
    <row r="3923">
      <c r="A3923">
        <f>IFERROR(INDEX('Email Cleaner'!$B$2:$B$10001,MATCH(3922,'Email Cleaner'!$H$2:$H$10001,0)),"")</f>
        <v/>
      </c>
    </row>
    <row r="3924">
      <c r="A3924">
        <f>IFERROR(INDEX('Email Cleaner'!$B$2:$B$10001,MATCH(3923,'Email Cleaner'!$H$2:$H$10001,0)),"")</f>
        <v/>
      </c>
    </row>
    <row r="3925">
      <c r="A3925">
        <f>IFERROR(INDEX('Email Cleaner'!$B$2:$B$10001,MATCH(3924,'Email Cleaner'!$H$2:$H$10001,0)),"")</f>
        <v/>
      </c>
    </row>
    <row r="3926">
      <c r="A3926">
        <f>IFERROR(INDEX('Email Cleaner'!$B$2:$B$10001,MATCH(3925,'Email Cleaner'!$H$2:$H$10001,0)),"")</f>
        <v/>
      </c>
    </row>
    <row r="3927">
      <c r="A3927">
        <f>IFERROR(INDEX('Email Cleaner'!$B$2:$B$10001,MATCH(3926,'Email Cleaner'!$H$2:$H$10001,0)),"")</f>
        <v/>
      </c>
    </row>
    <row r="3928">
      <c r="A3928">
        <f>IFERROR(INDEX('Email Cleaner'!$B$2:$B$10001,MATCH(3927,'Email Cleaner'!$H$2:$H$10001,0)),"")</f>
        <v/>
      </c>
    </row>
    <row r="3929">
      <c r="A3929">
        <f>IFERROR(INDEX('Email Cleaner'!$B$2:$B$10001,MATCH(3928,'Email Cleaner'!$H$2:$H$10001,0)),"")</f>
        <v/>
      </c>
    </row>
    <row r="3930">
      <c r="A3930">
        <f>IFERROR(INDEX('Email Cleaner'!$B$2:$B$10001,MATCH(3929,'Email Cleaner'!$H$2:$H$10001,0)),"")</f>
        <v/>
      </c>
    </row>
    <row r="3931">
      <c r="A3931">
        <f>IFERROR(INDEX('Email Cleaner'!$B$2:$B$10001,MATCH(3930,'Email Cleaner'!$H$2:$H$10001,0)),"")</f>
        <v/>
      </c>
    </row>
    <row r="3932">
      <c r="A3932">
        <f>IFERROR(INDEX('Email Cleaner'!$B$2:$B$10001,MATCH(3931,'Email Cleaner'!$H$2:$H$10001,0)),"")</f>
        <v/>
      </c>
    </row>
    <row r="3933">
      <c r="A3933">
        <f>IFERROR(INDEX('Email Cleaner'!$B$2:$B$10001,MATCH(3932,'Email Cleaner'!$H$2:$H$10001,0)),"")</f>
        <v/>
      </c>
    </row>
    <row r="3934">
      <c r="A3934">
        <f>IFERROR(INDEX('Email Cleaner'!$B$2:$B$10001,MATCH(3933,'Email Cleaner'!$H$2:$H$10001,0)),"")</f>
        <v/>
      </c>
    </row>
    <row r="3935">
      <c r="A3935">
        <f>IFERROR(INDEX('Email Cleaner'!$B$2:$B$10001,MATCH(3934,'Email Cleaner'!$H$2:$H$10001,0)),"")</f>
        <v/>
      </c>
    </row>
    <row r="3936">
      <c r="A3936">
        <f>IFERROR(INDEX('Email Cleaner'!$B$2:$B$10001,MATCH(3935,'Email Cleaner'!$H$2:$H$10001,0)),"")</f>
        <v/>
      </c>
    </row>
    <row r="3937">
      <c r="A3937">
        <f>IFERROR(INDEX('Email Cleaner'!$B$2:$B$10001,MATCH(3936,'Email Cleaner'!$H$2:$H$10001,0)),"")</f>
        <v/>
      </c>
    </row>
    <row r="3938">
      <c r="A3938">
        <f>IFERROR(INDEX('Email Cleaner'!$B$2:$B$10001,MATCH(3937,'Email Cleaner'!$H$2:$H$10001,0)),"")</f>
        <v/>
      </c>
    </row>
    <row r="3939">
      <c r="A3939">
        <f>IFERROR(INDEX('Email Cleaner'!$B$2:$B$10001,MATCH(3938,'Email Cleaner'!$H$2:$H$10001,0)),"")</f>
        <v/>
      </c>
    </row>
    <row r="3940">
      <c r="A3940">
        <f>IFERROR(INDEX('Email Cleaner'!$B$2:$B$10001,MATCH(3939,'Email Cleaner'!$H$2:$H$10001,0)),"")</f>
        <v/>
      </c>
    </row>
    <row r="3941">
      <c r="A3941">
        <f>IFERROR(INDEX('Email Cleaner'!$B$2:$B$10001,MATCH(3940,'Email Cleaner'!$H$2:$H$10001,0)),"")</f>
        <v/>
      </c>
    </row>
    <row r="3942">
      <c r="A3942">
        <f>IFERROR(INDEX('Email Cleaner'!$B$2:$B$10001,MATCH(3941,'Email Cleaner'!$H$2:$H$10001,0)),"")</f>
        <v/>
      </c>
    </row>
    <row r="3943">
      <c r="A3943">
        <f>IFERROR(INDEX('Email Cleaner'!$B$2:$B$10001,MATCH(3942,'Email Cleaner'!$H$2:$H$10001,0)),"")</f>
        <v/>
      </c>
    </row>
    <row r="3944">
      <c r="A3944">
        <f>IFERROR(INDEX('Email Cleaner'!$B$2:$B$10001,MATCH(3943,'Email Cleaner'!$H$2:$H$10001,0)),"")</f>
        <v/>
      </c>
    </row>
    <row r="3945">
      <c r="A3945">
        <f>IFERROR(INDEX('Email Cleaner'!$B$2:$B$10001,MATCH(3944,'Email Cleaner'!$H$2:$H$10001,0)),"")</f>
        <v/>
      </c>
    </row>
    <row r="3946">
      <c r="A3946">
        <f>IFERROR(INDEX('Email Cleaner'!$B$2:$B$10001,MATCH(3945,'Email Cleaner'!$H$2:$H$10001,0)),"")</f>
        <v/>
      </c>
    </row>
    <row r="3947">
      <c r="A3947">
        <f>IFERROR(INDEX('Email Cleaner'!$B$2:$B$10001,MATCH(3946,'Email Cleaner'!$H$2:$H$10001,0)),"")</f>
        <v/>
      </c>
    </row>
    <row r="3948">
      <c r="A3948">
        <f>IFERROR(INDEX('Email Cleaner'!$B$2:$B$10001,MATCH(3947,'Email Cleaner'!$H$2:$H$10001,0)),"")</f>
        <v/>
      </c>
    </row>
    <row r="3949">
      <c r="A3949">
        <f>IFERROR(INDEX('Email Cleaner'!$B$2:$B$10001,MATCH(3948,'Email Cleaner'!$H$2:$H$10001,0)),"")</f>
        <v/>
      </c>
    </row>
    <row r="3950">
      <c r="A3950">
        <f>IFERROR(INDEX('Email Cleaner'!$B$2:$B$10001,MATCH(3949,'Email Cleaner'!$H$2:$H$10001,0)),"")</f>
        <v/>
      </c>
    </row>
    <row r="3951">
      <c r="A3951">
        <f>IFERROR(INDEX('Email Cleaner'!$B$2:$B$10001,MATCH(3950,'Email Cleaner'!$H$2:$H$10001,0)),"")</f>
        <v/>
      </c>
    </row>
    <row r="3952">
      <c r="A3952">
        <f>IFERROR(INDEX('Email Cleaner'!$B$2:$B$10001,MATCH(3951,'Email Cleaner'!$H$2:$H$10001,0)),"")</f>
        <v/>
      </c>
    </row>
    <row r="3953">
      <c r="A3953">
        <f>IFERROR(INDEX('Email Cleaner'!$B$2:$B$10001,MATCH(3952,'Email Cleaner'!$H$2:$H$10001,0)),"")</f>
        <v/>
      </c>
    </row>
    <row r="3954">
      <c r="A3954">
        <f>IFERROR(INDEX('Email Cleaner'!$B$2:$B$10001,MATCH(3953,'Email Cleaner'!$H$2:$H$10001,0)),"")</f>
        <v/>
      </c>
    </row>
    <row r="3955">
      <c r="A3955">
        <f>IFERROR(INDEX('Email Cleaner'!$B$2:$B$10001,MATCH(3954,'Email Cleaner'!$H$2:$H$10001,0)),"")</f>
        <v/>
      </c>
    </row>
    <row r="3956">
      <c r="A3956">
        <f>IFERROR(INDEX('Email Cleaner'!$B$2:$B$10001,MATCH(3955,'Email Cleaner'!$H$2:$H$10001,0)),"")</f>
        <v/>
      </c>
    </row>
    <row r="3957">
      <c r="A3957">
        <f>IFERROR(INDEX('Email Cleaner'!$B$2:$B$10001,MATCH(3956,'Email Cleaner'!$H$2:$H$10001,0)),"")</f>
        <v/>
      </c>
    </row>
    <row r="3958">
      <c r="A3958">
        <f>IFERROR(INDEX('Email Cleaner'!$B$2:$B$10001,MATCH(3957,'Email Cleaner'!$H$2:$H$10001,0)),"")</f>
        <v/>
      </c>
    </row>
    <row r="3959">
      <c r="A3959">
        <f>IFERROR(INDEX('Email Cleaner'!$B$2:$B$10001,MATCH(3958,'Email Cleaner'!$H$2:$H$10001,0)),"")</f>
        <v/>
      </c>
    </row>
    <row r="3960">
      <c r="A3960">
        <f>IFERROR(INDEX('Email Cleaner'!$B$2:$B$10001,MATCH(3959,'Email Cleaner'!$H$2:$H$10001,0)),"")</f>
        <v/>
      </c>
    </row>
    <row r="3961">
      <c r="A3961">
        <f>IFERROR(INDEX('Email Cleaner'!$B$2:$B$10001,MATCH(3960,'Email Cleaner'!$H$2:$H$10001,0)),"")</f>
        <v/>
      </c>
    </row>
    <row r="3962">
      <c r="A3962">
        <f>IFERROR(INDEX('Email Cleaner'!$B$2:$B$10001,MATCH(3961,'Email Cleaner'!$H$2:$H$10001,0)),"")</f>
        <v/>
      </c>
    </row>
    <row r="3963">
      <c r="A3963">
        <f>IFERROR(INDEX('Email Cleaner'!$B$2:$B$10001,MATCH(3962,'Email Cleaner'!$H$2:$H$10001,0)),"")</f>
        <v/>
      </c>
    </row>
    <row r="3964">
      <c r="A3964">
        <f>IFERROR(INDEX('Email Cleaner'!$B$2:$B$10001,MATCH(3963,'Email Cleaner'!$H$2:$H$10001,0)),"")</f>
        <v/>
      </c>
    </row>
    <row r="3965">
      <c r="A3965">
        <f>IFERROR(INDEX('Email Cleaner'!$B$2:$B$10001,MATCH(3964,'Email Cleaner'!$H$2:$H$10001,0)),"")</f>
        <v/>
      </c>
    </row>
    <row r="3966">
      <c r="A3966">
        <f>IFERROR(INDEX('Email Cleaner'!$B$2:$B$10001,MATCH(3965,'Email Cleaner'!$H$2:$H$10001,0)),"")</f>
        <v/>
      </c>
    </row>
    <row r="3967">
      <c r="A3967">
        <f>IFERROR(INDEX('Email Cleaner'!$B$2:$B$10001,MATCH(3966,'Email Cleaner'!$H$2:$H$10001,0)),"")</f>
        <v/>
      </c>
    </row>
    <row r="3968">
      <c r="A3968">
        <f>IFERROR(INDEX('Email Cleaner'!$B$2:$B$10001,MATCH(3967,'Email Cleaner'!$H$2:$H$10001,0)),"")</f>
        <v/>
      </c>
    </row>
    <row r="3969">
      <c r="A3969">
        <f>IFERROR(INDEX('Email Cleaner'!$B$2:$B$10001,MATCH(3968,'Email Cleaner'!$H$2:$H$10001,0)),"")</f>
        <v/>
      </c>
    </row>
    <row r="3970">
      <c r="A3970">
        <f>IFERROR(INDEX('Email Cleaner'!$B$2:$B$10001,MATCH(3969,'Email Cleaner'!$H$2:$H$10001,0)),"")</f>
        <v/>
      </c>
    </row>
    <row r="3971">
      <c r="A3971">
        <f>IFERROR(INDEX('Email Cleaner'!$B$2:$B$10001,MATCH(3970,'Email Cleaner'!$H$2:$H$10001,0)),"")</f>
        <v/>
      </c>
    </row>
    <row r="3972">
      <c r="A3972">
        <f>IFERROR(INDEX('Email Cleaner'!$B$2:$B$10001,MATCH(3971,'Email Cleaner'!$H$2:$H$10001,0)),"")</f>
        <v/>
      </c>
    </row>
    <row r="3973">
      <c r="A3973">
        <f>IFERROR(INDEX('Email Cleaner'!$B$2:$B$10001,MATCH(3972,'Email Cleaner'!$H$2:$H$10001,0)),"")</f>
        <v/>
      </c>
    </row>
    <row r="3974">
      <c r="A3974">
        <f>IFERROR(INDEX('Email Cleaner'!$B$2:$B$10001,MATCH(3973,'Email Cleaner'!$H$2:$H$10001,0)),"")</f>
        <v/>
      </c>
    </row>
    <row r="3975">
      <c r="A3975">
        <f>IFERROR(INDEX('Email Cleaner'!$B$2:$B$10001,MATCH(3974,'Email Cleaner'!$H$2:$H$10001,0)),"")</f>
        <v/>
      </c>
    </row>
    <row r="3976">
      <c r="A3976">
        <f>IFERROR(INDEX('Email Cleaner'!$B$2:$B$10001,MATCH(3975,'Email Cleaner'!$H$2:$H$10001,0)),"")</f>
        <v/>
      </c>
    </row>
    <row r="3977">
      <c r="A3977">
        <f>IFERROR(INDEX('Email Cleaner'!$B$2:$B$10001,MATCH(3976,'Email Cleaner'!$H$2:$H$10001,0)),"")</f>
        <v/>
      </c>
    </row>
    <row r="3978">
      <c r="A3978">
        <f>IFERROR(INDEX('Email Cleaner'!$B$2:$B$10001,MATCH(3977,'Email Cleaner'!$H$2:$H$10001,0)),"")</f>
        <v/>
      </c>
    </row>
    <row r="3979">
      <c r="A3979">
        <f>IFERROR(INDEX('Email Cleaner'!$B$2:$B$10001,MATCH(3978,'Email Cleaner'!$H$2:$H$10001,0)),"")</f>
        <v/>
      </c>
    </row>
    <row r="3980">
      <c r="A3980">
        <f>IFERROR(INDEX('Email Cleaner'!$B$2:$B$10001,MATCH(3979,'Email Cleaner'!$H$2:$H$10001,0)),"")</f>
        <v/>
      </c>
    </row>
    <row r="3981">
      <c r="A3981">
        <f>IFERROR(INDEX('Email Cleaner'!$B$2:$B$10001,MATCH(3980,'Email Cleaner'!$H$2:$H$10001,0)),"")</f>
        <v/>
      </c>
    </row>
    <row r="3982">
      <c r="A3982">
        <f>IFERROR(INDEX('Email Cleaner'!$B$2:$B$10001,MATCH(3981,'Email Cleaner'!$H$2:$H$10001,0)),"")</f>
        <v/>
      </c>
    </row>
    <row r="3983">
      <c r="A3983">
        <f>IFERROR(INDEX('Email Cleaner'!$B$2:$B$10001,MATCH(3982,'Email Cleaner'!$H$2:$H$10001,0)),"")</f>
        <v/>
      </c>
    </row>
    <row r="3984">
      <c r="A3984">
        <f>IFERROR(INDEX('Email Cleaner'!$B$2:$B$10001,MATCH(3983,'Email Cleaner'!$H$2:$H$10001,0)),"")</f>
        <v/>
      </c>
    </row>
    <row r="3985">
      <c r="A3985">
        <f>IFERROR(INDEX('Email Cleaner'!$B$2:$B$10001,MATCH(3984,'Email Cleaner'!$H$2:$H$10001,0)),"")</f>
        <v/>
      </c>
    </row>
    <row r="3986">
      <c r="A3986">
        <f>IFERROR(INDEX('Email Cleaner'!$B$2:$B$10001,MATCH(3985,'Email Cleaner'!$H$2:$H$10001,0)),"")</f>
        <v/>
      </c>
    </row>
    <row r="3987">
      <c r="A3987">
        <f>IFERROR(INDEX('Email Cleaner'!$B$2:$B$10001,MATCH(3986,'Email Cleaner'!$H$2:$H$10001,0)),"")</f>
        <v/>
      </c>
    </row>
    <row r="3988">
      <c r="A3988">
        <f>IFERROR(INDEX('Email Cleaner'!$B$2:$B$10001,MATCH(3987,'Email Cleaner'!$H$2:$H$10001,0)),"")</f>
        <v/>
      </c>
    </row>
    <row r="3989">
      <c r="A3989">
        <f>IFERROR(INDEX('Email Cleaner'!$B$2:$B$10001,MATCH(3988,'Email Cleaner'!$H$2:$H$10001,0)),"")</f>
        <v/>
      </c>
    </row>
    <row r="3990">
      <c r="A3990">
        <f>IFERROR(INDEX('Email Cleaner'!$B$2:$B$10001,MATCH(3989,'Email Cleaner'!$H$2:$H$10001,0)),"")</f>
        <v/>
      </c>
    </row>
    <row r="3991">
      <c r="A3991">
        <f>IFERROR(INDEX('Email Cleaner'!$B$2:$B$10001,MATCH(3990,'Email Cleaner'!$H$2:$H$10001,0)),"")</f>
        <v/>
      </c>
    </row>
    <row r="3992">
      <c r="A3992">
        <f>IFERROR(INDEX('Email Cleaner'!$B$2:$B$10001,MATCH(3991,'Email Cleaner'!$H$2:$H$10001,0)),"")</f>
        <v/>
      </c>
    </row>
    <row r="3993">
      <c r="A3993">
        <f>IFERROR(INDEX('Email Cleaner'!$B$2:$B$10001,MATCH(3992,'Email Cleaner'!$H$2:$H$10001,0)),"")</f>
        <v/>
      </c>
    </row>
    <row r="3994">
      <c r="A3994">
        <f>IFERROR(INDEX('Email Cleaner'!$B$2:$B$10001,MATCH(3993,'Email Cleaner'!$H$2:$H$10001,0)),"")</f>
        <v/>
      </c>
    </row>
    <row r="3995">
      <c r="A3995">
        <f>IFERROR(INDEX('Email Cleaner'!$B$2:$B$10001,MATCH(3994,'Email Cleaner'!$H$2:$H$10001,0)),"")</f>
        <v/>
      </c>
    </row>
    <row r="3996">
      <c r="A3996">
        <f>IFERROR(INDEX('Email Cleaner'!$B$2:$B$10001,MATCH(3995,'Email Cleaner'!$H$2:$H$10001,0)),"")</f>
        <v/>
      </c>
    </row>
    <row r="3997">
      <c r="A3997">
        <f>IFERROR(INDEX('Email Cleaner'!$B$2:$B$10001,MATCH(3996,'Email Cleaner'!$H$2:$H$10001,0)),"")</f>
        <v/>
      </c>
    </row>
    <row r="3998">
      <c r="A3998">
        <f>IFERROR(INDEX('Email Cleaner'!$B$2:$B$10001,MATCH(3997,'Email Cleaner'!$H$2:$H$10001,0)),"")</f>
        <v/>
      </c>
    </row>
    <row r="3999">
      <c r="A3999">
        <f>IFERROR(INDEX('Email Cleaner'!$B$2:$B$10001,MATCH(3998,'Email Cleaner'!$H$2:$H$10001,0)),"")</f>
        <v/>
      </c>
    </row>
    <row r="4000">
      <c r="A4000">
        <f>IFERROR(INDEX('Email Cleaner'!$B$2:$B$10001,MATCH(3999,'Email Cleaner'!$H$2:$H$10001,0)),"")</f>
        <v/>
      </c>
    </row>
    <row r="4001">
      <c r="A4001">
        <f>IFERROR(INDEX('Email Cleaner'!$B$2:$B$10001,MATCH(4000,'Email Cleaner'!$H$2:$H$10001,0)),"")</f>
        <v/>
      </c>
    </row>
    <row r="4002">
      <c r="A4002">
        <f>IFERROR(INDEX('Email Cleaner'!$B$2:$B$10001,MATCH(4001,'Email Cleaner'!$H$2:$H$10001,0)),"")</f>
        <v/>
      </c>
    </row>
    <row r="4003">
      <c r="A4003">
        <f>IFERROR(INDEX('Email Cleaner'!$B$2:$B$10001,MATCH(4002,'Email Cleaner'!$H$2:$H$10001,0)),"")</f>
        <v/>
      </c>
    </row>
    <row r="4004">
      <c r="A4004">
        <f>IFERROR(INDEX('Email Cleaner'!$B$2:$B$10001,MATCH(4003,'Email Cleaner'!$H$2:$H$10001,0)),"")</f>
        <v/>
      </c>
    </row>
    <row r="4005">
      <c r="A4005">
        <f>IFERROR(INDEX('Email Cleaner'!$B$2:$B$10001,MATCH(4004,'Email Cleaner'!$H$2:$H$10001,0)),"")</f>
        <v/>
      </c>
    </row>
    <row r="4006">
      <c r="A4006">
        <f>IFERROR(INDEX('Email Cleaner'!$B$2:$B$10001,MATCH(4005,'Email Cleaner'!$H$2:$H$10001,0)),"")</f>
        <v/>
      </c>
    </row>
    <row r="4007">
      <c r="A4007">
        <f>IFERROR(INDEX('Email Cleaner'!$B$2:$B$10001,MATCH(4006,'Email Cleaner'!$H$2:$H$10001,0)),"")</f>
        <v/>
      </c>
    </row>
    <row r="4008">
      <c r="A4008">
        <f>IFERROR(INDEX('Email Cleaner'!$B$2:$B$10001,MATCH(4007,'Email Cleaner'!$H$2:$H$10001,0)),"")</f>
        <v/>
      </c>
    </row>
    <row r="4009">
      <c r="A4009">
        <f>IFERROR(INDEX('Email Cleaner'!$B$2:$B$10001,MATCH(4008,'Email Cleaner'!$H$2:$H$10001,0)),"")</f>
        <v/>
      </c>
    </row>
    <row r="4010">
      <c r="A4010">
        <f>IFERROR(INDEX('Email Cleaner'!$B$2:$B$10001,MATCH(4009,'Email Cleaner'!$H$2:$H$10001,0)),"")</f>
        <v/>
      </c>
    </row>
    <row r="4011">
      <c r="A4011">
        <f>IFERROR(INDEX('Email Cleaner'!$B$2:$B$10001,MATCH(4010,'Email Cleaner'!$H$2:$H$10001,0)),"")</f>
        <v/>
      </c>
    </row>
    <row r="4012">
      <c r="A4012">
        <f>IFERROR(INDEX('Email Cleaner'!$B$2:$B$10001,MATCH(4011,'Email Cleaner'!$H$2:$H$10001,0)),"")</f>
        <v/>
      </c>
    </row>
    <row r="4013">
      <c r="A4013">
        <f>IFERROR(INDEX('Email Cleaner'!$B$2:$B$10001,MATCH(4012,'Email Cleaner'!$H$2:$H$10001,0)),"")</f>
        <v/>
      </c>
    </row>
    <row r="4014">
      <c r="A4014">
        <f>IFERROR(INDEX('Email Cleaner'!$B$2:$B$10001,MATCH(4013,'Email Cleaner'!$H$2:$H$10001,0)),"")</f>
        <v/>
      </c>
    </row>
    <row r="4015">
      <c r="A4015">
        <f>IFERROR(INDEX('Email Cleaner'!$B$2:$B$10001,MATCH(4014,'Email Cleaner'!$H$2:$H$10001,0)),"")</f>
        <v/>
      </c>
    </row>
    <row r="4016">
      <c r="A4016">
        <f>IFERROR(INDEX('Email Cleaner'!$B$2:$B$10001,MATCH(4015,'Email Cleaner'!$H$2:$H$10001,0)),"")</f>
        <v/>
      </c>
    </row>
    <row r="4017">
      <c r="A4017">
        <f>IFERROR(INDEX('Email Cleaner'!$B$2:$B$10001,MATCH(4016,'Email Cleaner'!$H$2:$H$10001,0)),"")</f>
        <v/>
      </c>
    </row>
    <row r="4018">
      <c r="A4018">
        <f>IFERROR(INDEX('Email Cleaner'!$B$2:$B$10001,MATCH(4017,'Email Cleaner'!$H$2:$H$10001,0)),"")</f>
        <v/>
      </c>
    </row>
    <row r="4019">
      <c r="A4019">
        <f>IFERROR(INDEX('Email Cleaner'!$B$2:$B$10001,MATCH(4018,'Email Cleaner'!$H$2:$H$10001,0)),"")</f>
        <v/>
      </c>
    </row>
    <row r="4020">
      <c r="A4020">
        <f>IFERROR(INDEX('Email Cleaner'!$B$2:$B$10001,MATCH(4019,'Email Cleaner'!$H$2:$H$10001,0)),"")</f>
        <v/>
      </c>
    </row>
    <row r="4021">
      <c r="A4021">
        <f>IFERROR(INDEX('Email Cleaner'!$B$2:$B$10001,MATCH(4020,'Email Cleaner'!$H$2:$H$10001,0)),"")</f>
        <v/>
      </c>
    </row>
    <row r="4022">
      <c r="A4022">
        <f>IFERROR(INDEX('Email Cleaner'!$B$2:$B$10001,MATCH(4021,'Email Cleaner'!$H$2:$H$10001,0)),"")</f>
        <v/>
      </c>
    </row>
    <row r="4023">
      <c r="A4023">
        <f>IFERROR(INDEX('Email Cleaner'!$B$2:$B$10001,MATCH(4022,'Email Cleaner'!$H$2:$H$10001,0)),"")</f>
        <v/>
      </c>
    </row>
    <row r="4024">
      <c r="A4024">
        <f>IFERROR(INDEX('Email Cleaner'!$B$2:$B$10001,MATCH(4023,'Email Cleaner'!$H$2:$H$10001,0)),"")</f>
        <v/>
      </c>
    </row>
    <row r="4025">
      <c r="A4025">
        <f>IFERROR(INDEX('Email Cleaner'!$B$2:$B$10001,MATCH(4024,'Email Cleaner'!$H$2:$H$10001,0)),"")</f>
        <v/>
      </c>
    </row>
    <row r="4026">
      <c r="A4026">
        <f>IFERROR(INDEX('Email Cleaner'!$B$2:$B$10001,MATCH(4025,'Email Cleaner'!$H$2:$H$10001,0)),"")</f>
        <v/>
      </c>
    </row>
    <row r="4027">
      <c r="A4027">
        <f>IFERROR(INDEX('Email Cleaner'!$B$2:$B$10001,MATCH(4026,'Email Cleaner'!$H$2:$H$10001,0)),"")</f>
        <v/>
      </c>
    </row>
    <row r="4028">
      <c r="A4028">
        <f>IFERROR(INDEX('Email Cleaner'!$B$2:$B$10001,MATCH(4027,'Email Cleaner'!$H$2:$H$10001,0)),"")</f>
        <v/>
      </c>
    </row>
    <row r="4029">
      <c r="A4029">
        <f>IFERROR(INDEX('Email Cleaner'!$B$2:$B$10001,MATCH(4028,'Email Cleaner'!$H$2:$H$10001,0)),"")</f>
        <v/>
      </c>
    </row>
    <row r="4030">
      <c r="A4030">
        <f>IFERROR(INDEX('Email Cleaner'!$B$2:$B$10001,MATCH(4029,'Email Cleaner'!$H$2:$H$10001,0)),"")</f>
        <v/>
      </c>
    </row>
    <row r="4031">
      <c r="A4031">
        <f>IFERROR(INDEX('Email Cleaner'!$B$2:$B$10001,MATCH(4030,'Email Cleaner'!$H$2:$H$10001,0)),"")</f>
        <v/>
      </c>
    </row>
    <row r="4032">
      <c r="A4032">
        <f>IFERROR(INDEX('Email Cleaner'!$B$2:$B$10001,MATCH(4031,'Email Cleaner'!$H$2:$H$10001,0)),"")</f>
        <v/>
      </c>
    </row>
    <row r="4033">
      <c r="A4033">
        <f>IFERROR(INDEX('Email Cleaner'!$B$2:$B$10001,MATCH(4032,'Email Cleaner'!$H$2:$H$10001,0)),"")</f>
        <v/>
      </c>
    </row>
    <row r="4034">
      <c r="A4034">
        <f>IFERROR(INDEX('Email Cleaner'!$B$2:$B$10001,MATCH(4033,'Email Cleaner'!$H$2:$H$10001,0)),"")</f>
        <v/>
      </c>
    </row>
    <row r="4035">
      <c r="A4035">
        <f>IFERROR(INDEX('Email Cleaner'!$B$2:$B$10001,MATCH(4034,'Email Cleaner'!$H$2:$H$10001,0)),"")</f>
        <v/>
      </c>
    </row>
    <row r="4036">
      <c r="A4036">
        <f>IFERROR(INDEX('Email Cleaner'!$B$2:$B$10001,MATCH(4035,'Email Cleaner'!$H$2:$H$10001,0)),"")</f>
        <v/>
      </c>
    </row>
    <row r="4037">
      <c r="A4037">
        <f>IFERROR(INDEX('Email Cleaner'!$B$2:$B$10001,MATCH(4036,'Email Cleaner'!$H$2:$H$10001,0)),"")</f>
        <v/>
      </c>
    </row>
    <row r="4038">
      <c r="A4038">
        <f>IFERROR(INDEX('Email Cleaner'!$B$2:$B$10001,MATCH(4037,'Email Cleaner'!$H$2:$H$10001,0)),"")</f>
        <v/>
      </c>
    </row>
    <row r="4039">
      <c r="A4039">
        <f>IFERROR(INDEX('Email Cleaner'!$B$2:$B$10001,MATCH(4038,'Email Cleaner'!$H$2:$H$10001,0)),"")</f>
        <v/>
      </c>
    </row>
    <row r="4040">
      <c r="A4040">
        <f>IFERROR(INDEX('Email Cleaner'!$B$2:$B$10001,MATCH(4039,'Email Cleaner'!$H$2:$H$10001,0)),"")</f>
        <v/>
      </c>
    </row>
    <row r="4041">
      <c r="A4041">
        <f>IFERROR(INDEX('Email Cleaner'!$B$2:$B$10001,MATCH(4040,'Email Cleaner'!$H$2:$H$10001,0)),"")</f>
        <v/>
      </c>
    </row>
    <row r="4042">
      <c r="A4042">
        <f>IFERROR(INDEX('Email Cleaner'!$B$2:$B$10001,MATCH(4041,'Email Cleaner'!$H$2:$H$10001,0)),"")</f>
        <v/>
      </c>
    </row>
    <row r="4043">
      <c r="A4043">
        <f>IFERROR(INDEX('Email Cleaner'!$B$2:$B$10001,MATCH(4042,'Email Cleaner'!$H$2:$H$10001,0)),"")</f>
        <v/>
      </c>
    </row>
    <row r="4044">
      <c r="A4044">
        <f>IFERROR(INDEX('Email Cleaner'!$B$2:$B$10001,MATCH(4043,'Email Cleaner'!$H$2:$H$10001,0)),"")</f>
        <v/>
      </c>
    </row>
    <row r="4045">
      <c r="A4045">
        <f>IFERROR(INDEX('Email Cleaner'!$B$2:$B$10001,MATCH(4044,'Email Cleaner'!$H$2:$H$10001,0)),"")</f>
        <v/>
      </c>
    </row>
    <row r="4046">
      <c r="A4046">
        <f>IFERROR(INDEX('Email Cleaner'!$B$2:$B$10001,MATCH(4045,'Email Cleaner'!$H$2:$H$10001,0)),"")</f>
        <v/>
      </c>
    </row>
    <row r="4047">
      <c r="A4047">
        <f>IFERROR(INDEX('Email Cleaner'!$B$2:$B$10001,MATCH(4046,'Email Cleaner'!$H$2:$H$10001,0)),"")</f>
        <v/>
      </c>
    </row>
    <row r="4048">
      <c r="A4048">
        <f>IFERROR(INDEX('Email Cleaner'!$B$2:$B$10001,MATCH(4047,'Email Cleaner'!$H$2:$H$10001,0)),"")</f>
        <v/>
      </c>
    </row>
    <row r="4049">
      <c r="A4049">
        <f>IFERROR(INDEX('Email Cleaner'!$B$2:$B$10001,MATCH(4048,'Email Cleaner'!$H$2:$H$10001,0)),"")</f>
        <v/>
      </c>
    </row>
    <row r="4050">
      <c r="A4050">
        <f>IFERROR(INDEX('Email Cleaner'!$B$2:$B$10001,MATCH(4049,'Email Cleaner'!$H$2:$H$10001,0)),"")</f>
        <v/>
      </c>
    </row>
    <row r="4051">
      <c r="A4051">
        <f>IFERROR(INDEX('Email Cleaner'!$B$2:$B$10001,MATCH(4050,'Email Cleaner'!$H$2:$H$10001,0)),"")</f>
        <v/>
      </c>
    </row>
    <row r="4052">
      <c r="A4052">
        <f>IFERROR(INDEX('Email Cleaner'!$B$2:$B$10001,MATCH(4051,'Email Cleaner'!$H$2:$H$10001,0)),"")</f>
        <v/>
      </c>
    </row>
    <row r="4053">
      <c r="A4053">
        <f>IFERROR(INDEX('Email Cleaner'!$B$2:$B$10001,MATCH(4052,'Email Cleaner'!$H$2:$H$10001,0)),"")</f>
        <v/>
      </c>
    </row>
    <row r="4054">
      <c r="A4054">
        <f>IFERROR(INDEX('Email Cleaner'!$B$2:$B$10001,MATCH(4053,'Email Cleaner'!$H$2:$H$10001,0)),"")</f>
        <v/>
      </c>
    </row>
    <row r="4055">
      <c r="A4055">
        <f>IFERROR(INDEX('Email Cleaner'!$B$2:$B$10001,MATCH(4054,'Email Cleaner'!$H$2:$H$10001,0)),"")</f>
        <v/>
      </c>
    </row>
    <row r="4056">
      <c r="A4056">
        <f>IFERROR(INDEX('Email Cleaner'!$B$2:$B$10001,MATCH(4055,'Email Cleaner'!$H$2:$H$10001,0)),"")</f>
        <v/>
      </c>
    </row>
    <row r="4057">
      <c r="A4057">
        <f>IFERROR(INDEX('Email Cleaner'!$B$2:$B$10001,MATCH(4056,'Email Cleaner'!$H$2:$H$10001,0)),"")</f>
        <v/>
      </c>
    </row>
    <row r="4058">
      <c r="A4058">
        <f>IFERROR(INDEX('Email Cleaner'!$B$2:$B$10001,MATCH(4057,'Email Cleaner'!$H$2:$H$10001,0)),"")</f>
        <v/>
      </c>
    </row>
    <row r="4059">
      <c r="A4059">
        <f>IFERROR(INDEX('Email Cleaner'!$B$2:$B$10001,MATCH(4058,'Email Cleaner'!$H$2:$H$10001,0)),"")</f>
        <v/>
      </c>
    </row>
    <row r="4060">
      <c r="A4060">
        <f>IFERROR(INDEX('Email Cleaner'!$B$2:$B$10001,MATCH(4059,'Email Cleaner'!$H$2:$H$10001,0)),"")</f>
        <v/>
      </c>
    </row>
    <row r="4061">
      <c r="A4061">
        <f>IFERROR(INDEX('Email Cleaner'!$B$2:$B$10001,MATCH(4060,'Email Cleaner'!$H$2:$H$10001,0)),"")</f>
        <v/>
      </c>
    </row>
    <row r="4062">
      <c r="A4062">
        <f>IFERROR(INDEX('Email Cleaner'!$B$2:$B$10001,MATCH(4061,'Email Cleaner'!$H$2:$H$10001,0)),"")</f>
        <v/>
      </c>
    </row>
    <row r="4063">
      <c r="A4063">
        <f>IFERROR(INDEX('Email Cleaner'!$B$2:$B$10001,MATCH(4062,'Email Cleaner'!$H$2:$H$10001,0)),"")</f>
        <v/>
      </c>
    </row>
    <row r="4064">
      <c r="A4064">
        <f>IFERROR(INDEX('Email Cleaner'!$B$2:$B$10001,MATCH(4063,'Email Cleaner'!$H$2:$H$10001,0)),"")</f>
        <v/>
      </c>
    </row>
    <row r="4065">
      <c r="A4065">
        <f>IFERROR(INDEX('Email Cleaner'!$B$2:$B$10001,MATCH(4064,'Email Cleaner'!$H$2:$H$10001,0)),"")</f>
        <v/>
      </c>
    </row>
    <row r="4066">
      <c r="A4066">
        <f>IFERROR(INDEX('Email Cleaner'!$B$2:$B$10001,MATCH(4065,'Email Cleaner'!$H$2:$H$10001,0)),"")</f>
        <v/>
      </c>
    </row>
    <row r="4067">
      <c r="A4067">
        <f>IFERROR(INDEX('Email Cleaner'!$B$2:$B$10001,MATCH(4066,'Email Cleaner'!$H$2:$H$10001,0)),"")</f>
        <v/>
      </c>
    </row>
    <row r="4068">
      <c r="A4068">
        <f>IFERROR(INDEX('Email Cleaner'!$B$2:$B$10001,MATCH(4067,'Email Cleaner'!$H$2:$H$10001,0)),"")</f>
        <v/>
      </c>
    </row>
    <row r="4069">
      <c r="A4069">
        <f>IFERROR(INDEX('Email Cleaner'!$B$2:$B$10001,MATCH(4068,'Email Cleaner'!$H$2:$H$10001,0)),"")</f>
        <v/>
      </c>
    </row>
    <row r="4070">
      <c r="A4070">
        <f>IFERROR(INDEX('Email Cleaner'!$B$2:$B$10001,MATCH(4069,'Email Cleaner'!$H$2:$H$10001,0)),"")</f>
        <v/>
      </c>
    </row>
    <row r="4071">
      <c r="A4071">
        <f>IFERROR(INDEX('Email Cleaner'!$B$2:$B$10001,MATCH(4070,'Email Cleaner'!$H$2:$H$10001,0)),"")</f>
        <v/>
      </c>
    </row>
    <row r="4072">
      <c r="A4072">
        <f>IFERROR(INDEX('Email Cleaner'!$B$2:$B$10001,MATCH(4071,'Email Cleaner'!$H$2:$H$10001,0)),"")</f>
        <v/>
      </c>
    </row>
    <row r="4073">
      <c r="A4073">
        <f>IFERROR(INDEX('Email Cleaner'!$B$2:$B$10001,MATCH(4072,'Email Cleaner'!$H$2:$H$10001,0)),"")</f>
        <v/>
      </c>
    </row>
    <row r="4074">
      <c r="A4074">
        <f>IFERROR(INDEX('Email Cleaner'!$B$2:$B$10001,MATCH(4073,'Email Cleaner'!$H$2:$H$10001,0)),"")</f>
        <v/>
      </c>
    </row>
    <row r="4075">
      <c r="A4075">
        <f>IFERROR(INDEX('Email Cleaner'!$B$2:$B$10001,MATCH(4074,'Email Cleaner'!$H$2:$H$10001,0)),"")</f>
        <v/>
      </c>
    </row>
    <row r="4076">
      <c r="A4076">
        <f>IFERROR(INDEX('Email Cleaner'!$B$2:$B$10001,MATCH(4075,'Email Cleaner'!$H$2:$H$10001,0)),"")</f>
        <v/>
      </c>
    </row>
    <row r="4077">
      <c r="A4077">
        <f>IFERROR(INDEX('Email Cleaner'!$B$2:$B$10001,MATCH(4076,'Email Cleaner'!$H$2:$H$10001,0)),"")</f>
        <v/>
      </c>
    </row>
    <row r="4078">
      <c r="A4078">
        <f>IFERROR(INDEX('Email Cleaner'!$B$2:$B$10001,MATCH(4077,'Email Cleaner'!$H$2:$H$10001,0)),"")</f>
        <v/>
      </c>
    </row>
    <row r="4079">
      <c r="A4079">
        <f>IFERROR(INDEX('Email Cleaner'!$B$2:$B$10001,MATCH(4078,'Email Cleaner'!$H$2:$H$10001,0)),"")</f>
        <v/>
      </c>
    </row>
    <row r="4080">
      <c r="A4080">
        <f>IFERROR(INDEX('Email Cleaner'!$B$2:$B$10001,MATCH(4079,'Email Cleaner'!$H$2:$H$10001,0)),"")</f>
        <v/>
      </c>
    </row>
    <row r="4081">
      <c r="A4081">
        <f>IFERROR(INDEX('Email Cleaner'!$B$2:$B$10001,MATCH(4080,'Email Cleaner'!$H$2:$H$10001,0)),"")</f>
        <v/>
      </c>
    </row>
    <row r="4082">
      <c r="A4082">
        <f>IFERROR(INDEX('Email Cleaner'!$B$2:$B$10001,MATCH(4081,'Email Cleaner'!$H$2:$H$10001,0)),"")</f>
        <v/>
      </c>
    </row>
    <row r="4083">
      <c r="A4083">
        <f>IFERROR(INDEX('Email Cleaner'!$B$2:$B$10001,MATCH(4082,'Email Cleaner'!$H$2:$H$10001,0)),"")</f>
        <v/>
      </c>
    </row>
    <row r="4084">
      <c r="A4084">
        <f>IFERROR(INDEX('Email Cleaner'!$B$2:$B$10001,MATCH(4083,'Email Cleaner'!$H$2:$H$10001,0)),"")</f>
        <v/>
      </c>
    </row>
    <row r="4085">
      <c r="A4085">
        <f>IFERROR(INDEX('Email Cleaner'!$B$2:$B$10001,MATCH(4084,'Email Cleaner'!$H$2:$H$10001,0)),"")</f>
        <v/>
      </c>
    </row>
    <row r="4086">
      <c r="A4086">
        <f>IFERROR(INDEX('Email Cleaner'!$B$2:$B$10001,MATCH(4085,'Email Cleaner'!$H$2:$H$10001,0)),"")</f>
        <v/>
      </c>
    </row>
    <row r="4087">
      <c r="A4087">
        <f>IFERROR(INDEX('Email Cleaner'!$B$2:$B$10001,MATCH(4086,'Email Cleaner'!$H$2:$H$10001,0)),"")</f>
        <v/>
      </c>
    </row>
    <row r="4088">
      <c r="A4088">
        <f>IFERROR(INDEX('Email Cleaner'!$B$2:$B$10001,MATCH(4087,'Email Cleaner'!$H$2:$H$10001,0)),"")</f>
        <v/>
      </c>
    </row>
    <row r="4089">
      <c r="A4089">
        <f>IFERROR(INDEX('Email Cleaner'!$B$2:$B$10001,MATCH(4088,'Email Cleaner'!$H$2:$H$10001,0)),"")</f>
        <v/>
      </c>
    </row>
    <row r="4090">
      <c r="A4090">
        <f>IFERROR(INDEX('Email Cleaner'!$B$2:$B$10001,MATCH(4089,'Email Cleaner'!$H$2:$H$10001,0)),"")</f>
        <v/>
      </c>
    </row>
    <row r="4091">
      <c r="A4091">
        <f>IFERROR(INDEX('Email Cleaner'!$B$2:$B$10001,MATCH(4090,'Email Cleaner'!$H$2:$H$10001,0)),"")</f>
        <v/>
      </c>
    </row>
    <row r="4092">
      <c r="A4092">
        <f>IFERROR(INDEX('Email Cleaner'!$B$2:$B$10001,MATCH(4091,'Email Cleaner'!$H$2:$H$10001,0)),"")</f>
        <v/>
      </c>
    </row>
    <row r="4093">
      <c r="A4093">
        <f>IFERROR(INDEX('Email Cleaner'!$B$2:$B$10001,MATCH(4092,'Email Cleaner'!$H$2:$H$10001,0)),"")</f>
        <v/>
      </c>
    </row>
    <row r="4094">
      <c r="A4094">
        <f>IFERROR(INDEX('Email Cleaner'!$B$2:$B$10001,MATCH(4093,'Email Cleaner'!$H$2:$H$10001,0)),"")</f>
        <v/>
      </c>
    </row>
    <row r="4095">
      <c r="A4095">
        <f>IFERROR(INDEX('Email Cleaner'!$B$2:$B$10001,MATCH(4094,'Email Cleaner'!$H$2:$H$10001,0)),"")</f>
        <v/>
      </c>
    </row>
    <row r="4096">
      <c r="A4096">
        <f>IFERROR(INDEX('Email Cleaner'!$B$2:$B$10001,MATCH(4095,'Email Cleaner'!$H$2:$H$10001,0)),"")</f>
        <v/>
      </c>
    </row>
    <row r="4097">
      <c r="A4097">
        <f>IFERROR(INDEX('Email Cleaner'!$B$2:$B$10001,MATCH(4096,'Email Cleaner'!$H$2:$H$10001,0)),"")</f>
        <v/>
      </c>
    </row>
    <row r="4098">
      <c r="A4098">
        <f>IFERROR(INDEX('Email Cleaner'!$B$2:$B$10001,MATCH(4097,'Email Cleaner'!$H$2:$H$10001,0)),"")</f>
        <v/>
      </c>
    </row>
    <row r="4099">
      <c r="A4099">
        <f>IFERROR(INDEX('Email Cleaner'!$B$2:$B$10001,MATCH(4098,'Email Cleaner'!$H$2:$H$10001,0)),"")</f>
        <v/>
      </c>
    </row>
    <row r="4100">
      <c r="A4100">
        <f>IFERROR(INDEX('Email Cleaner'!$B$2:$B$10001,MATCH(4099,'Email Cleaner'!$H$2:$H$10001,0)),"")</f>
        <v/>
      </c>
    </row>
    <row r="4101">
      <c r="A4101">
        <f>IFERROR(INDEX('Email Cleaner'!$B$2:$B$10001,MATCH(4100,'Email Cleaner'!$H$2:$H$10001,0)),"")</f>
        <v/>
      </c>
    </row>
    <row r="4102">
      <c r="A4102">
        <f>IFERROR(INDEX('Email Cleaner'!$B$2:$B$10001,MATCH(4101,'Email Cleaner'!$H$2:$H$10001,0)),"")</f>
        <v/>
      </c>
    </row>
    <row r="4103">
      <c r="A4103">
        <f>IFERROR(INDEX('Email Cleaner'!$B$2:$B$10001,MATCH(4102,'Email Cleaner'!$H$2:$H$10001,0)),"")</f>
        <v/>
      </c>
    </row>
    <row r="4104">
      <c r="A4104">
        <f>IFERROR(INDEX('Email Cleaner'!$B$2:$B$10001,MATCH(4103,'Email Cleaner'!$H$2:$H$10001,0)),"")</f>
        <v/>
      </c>
    </row>
    <row r="4105">
      <c r="A4105">
        <f>IFERROR(INDEX('Email Cleaner'!$B$2:$B$10001,MATCH(4104,'Email Cleaner'!$H$2:$H$10001,0)),"")</f>
        <v/>
      </c>
    </row>
    <row r="4106">
      <c r="A4106">
        <f>IFERROR(INDEX('Email Cleaner'!$B$2:$B$10001,MATCH(4105,'Email Cleaner'!$H$2:$H$10001,0)),"")</f>
        <v/>
      </c>
    </row>
    <row r="4107">
      <c r="A4107">
        <f>IFERROR(INDEX('Email Cleaner'!$B$2:$B$10001,MATCH(4106,'Email Cleaner'!$H$2:$H$10001,0)),"")</f>
        <v/>
      </c>
    </row>
    <row r="4108">
      <c r="A4108">
        <f>IFERROR(INDEX('Email Cleaner'!$B$2:$B$10001,MATCH(4107,'Email Cleaner'!$H$2:$H$10001,0)),"")</f>
        <v/>
      </c>
    </row>
    <row r="4109">
      <c r="A4109">
        <f>IFERROR(INDEX('Email Cleaner'!$B$2:$B$10001,MATCH(4108,'Email Cleaner'!$H$2:$H$10001,0)),"")</f>
        <v/>
      </c>
    </row>
    <row r="4110">
      <c r="A4110">
        <f>IFERROR(INDEX('Email Cleaner'!$B$2:$B$10001,MATCH(4109,'Email Cleaner'!$H$2:$H$10001,0)),"")</f>
        <v/>
      </c>
    </row>
    <row r="4111">
      <c r="A4111">
        <f>IFERROR(INDEX('Email Cleaner'!$B$2:$B$10001,MATCH(4110,'Email Cleaner'!$H$2:$H$10001,0)),"")</f>
        <v/>
      </c>
    </row>
    <row r="4112">
      <c r="A4112">
        <f>IFERROR(INDEX('Email Cleaner'!$B$2:$B$10001,MATCH(4111,'Email Cleaner'!$H$2:$H$10001,0)),"")</f>
        <v/>
      </c>
    </row>
    <row r="4113">
      <c r="A4113">
        <f>IFERROR(INDEX('Email Cleaner'!$B$2:$B$10001,MATCH(4112,'Email Cleaner'!$H$2:$H$10001,0)),"")</f>
        <v/>
      </c>
    </row>
    <row r="4114">
      <c r="A4114">
        <f>IFERROR(INDEX('Email Cleaner'!$B$2:$B$10001,MATCH(4113,'Email Cleaner'!$H$2:$H$10001,0)),"")</f>
        <v/>
      </c>
    </row>
    <row r="4115">
      <c r="A4115">
        <f>IFERROR(INDEX('Email Cleaner'!$B$2:$B$10001,MATCH(4114,'Email Cleaner'!$H$2:$H$10001,0)),"")</f>
        <v/>
      </c>
    </row>
    <row r="4116">
      <c r="A4116">
        <f>IFERROR(INDEX('Email Cleaner'!$B$2:$B$10001,MATCH(4115,'Email Cleaner'!$H$2:$H$10001,0)),"")</f>
        <v/>
      </c>
    </row>
    <row r="4117">
      <c r="A4117">
        <f>IFERROR(INDEX('Email Cleaner'!$B$2:$B$10001,MATCH(4116,'Email Cleaner'!$H$2:$H$10001,0)),"")</f>
        <v/>
      </c>
    </row>
    <row r="4118">
      <c r="A4118">
        <f>IFERROR(INDEX('Email Cleaner'!$B$2:$B$10001,MATCH(4117,'Email Cleaner'!$H$2:$H$10001,0)),"")</f>
        <v/>
      </c>
    </row>
    <row r="4119">
      <c r="A4119">
        <f>IFERROR(INDEX('Email Cleaner'!$B$2:$B$10001,MATCH(4118,'Email Cleaner'!$H$2:$H$10001,0)),"")</f>
        <v/>
      </c>
    </row>
    <row r="4120">
      <c r="A4120">
        <f>IFERROR(INDEX('Email Cleaner'!$B$2:$B$10001,MATCH(4119,'Email Cleaner'!$H$2:$H$10001,0)),"")</f>
        <v/>
      </c>
    </row>
    <row r="4121">
      <c r="A4121">
        <f>IFERROR(INDEX('Email Cleaner'!$B$2:$B$10001,MATCH(4120,'Email Cleaner'!$H$2:$H$10001,0)),"")</f>
        <v/>
      </c>
    </row>
    <row r="4122">
      <c r="A4122">
        <f>IFERROR(INDEX('Email Cleaner'!$B$2:$B$10001,MATCH(4121,'Email Cleaner'!$H$2:$H$10001,0)),"")</f>
        <v/>
      </c>
    </row>
    <row r="4123">
      <c r="A4123">
        <f>IFERROR(INDEX('Email Cleaner'!$B$2:$B$10001,MATCH(4122,'Email Cleaner'!$H$2:$H$10001,0)),"")</f>
        <v/>
      </c>
    </row>
    <row r="4124">
      <c r="A4124">
        <f>IFERROR(INDEX('Email Cleaner'!$B$2:$B$10001,MATCH(4123,'Email Cleaner'!$H$2:$H$10001,0)),"")</f>
        <v/>
      </c>
    </row>
    <row r="4125">
      <c r="A4125">
        <f>IFERROR(INDEX('Email Cleaner'!$B$2:$B$10001,MATCH(4124,'Email Cleaner'!$H$2:$H$10001,0)),"")</f>
        <v/>
      </c>
    </row>
    <row r="4126">
      <c r="A4126">
        <f>IFERROR(INDEX('Email Cleaner'!$B$2:$B$10001,MATCH(4125,'Email Cleaner'!$H$2:$H$10001,0)),"")</f>
        <v/>
      </c>
    </row>
    <row r="4127">
      <c r="A4127">
        <f>IFERROR(INDEX('Email Cleaner'!$B$2:$B$10001,MATCH(4126,'Email Cleaner'!$H$2:$H$10001,0)),"")</f>
        <v/>
      </c>
    </row>
    <row r="4128">
      <c r="A4128">
        <f>IFERROR(INDEX('Email Cleaner'!$B$2:$B$10001,MATCH(4127,'Email Cleaner'!$H$2:$H$10001,0)),"")</f>
        <v/>
      </c>
    </row>
    <row r="4129">
      <c r="A4129">
        <f>IFERROR(INDEX('Email Cleaner'!$B$2:$B$10001,MATCH(4128,'Email Cleaner'!$H$2:$H$10001,0)),"")</f>
        <v/>
      </c>
    </row>
    <row r="4130">
      <c r="A4130">
        <f>IFERROR(INDEX('Email Cleaner'!$B$2:$B$10001,MATCH(4129,'Email Cleaner'!$H$2:$H$10001,0)),"")</f>
        <v/>
      </c>
    </row>
    <row r="4131">
      <c r="A4131">
        <f>IFERROR(INDEX('Email Cleaner'!$B$2:$B$10001,MATCH(4130,'Email Cleaner'!$H$2:$H$10001,0)),"")</f>
        <v/>
      </c>
    </row>
    <row r="4132">
      <c r="A4132">
        <f>IFERROR(INDEX('Email Cleaner'!$B$2:$B$10001,MATCH(4131,'Email Cleaner'!$H$2:$H$10001,0)),"")</f>
        <v/>
      </c>
    </row>
    <row r="4133">
      <c r="A4133">
        <f>IFERROR(INDEX('Email Cleaner'!$B$2:$B$10001,MATCH(4132,'Email Cleaner'!$H$2:$H$10001,0)),"")</f>
        <v/>
      </c>
    </row>
    <row r="4134">
      <c r="A4134">
        <f>IFERROR(INDEX('Email Cleaner'!$B$2:$B$10001,MATCH(4133,'Email Cleaner'!$H$2:$H$10001,0)),"")</f>
        <v/>
      </c>
    </row>
    <row r="4135">
      <c r="A4135">
        <f>IFERROR(INDEX('Email Cleaner'!$B$2:$B$10001,MATCH(4134,'Email Cleaner'!$H$2:$H$10001,0)),"")</f>
        <v/>
      </c>
    </row>
    <row r="4136">
      <c r="A4136">
        <f>IFERROR(INDEX('Email Cleaner'!$B$2:$B$10001,MATCH(4135,'Email Cleaner'!$H$2:$H$10001,0)),"")</f>
        <v/>
      </c>
    </row>
    <row r="4137">
      <c r="A4137">
        <f>IFERROR(INDEX('Email Cleaner'!$B$2:$B$10001,MATCH(4136,'Email Cleaner'!$H$2:$H$10001,0)),"")</f>
        <v/>
      </c>
    </row>
    <row r="4138">
      <c r="A4138">
        <f>IFERROR(INDEX('Email Cleaner'!$B$2:$B$10001,MATCH(4137,'Email Cleaner'!$H$2:$H$10001,0)),"")</f>
        <v/>
      </c>
    </row>
    <row r="4139">
      <c r="A4139">
        <f>IFERROR(INDEX('Email Cleaner'!$B$2:$B$10001,MATCH(4138,'Email Cleaner'!$H$2:$H$10001,0)),"")</f>
        <v/>
      </c>
    </row>
    <row r="4140">
      <c r="A4140">
        <f>IFERROR(INDEX('Email Cleaner'!$B$2:$B$10001,MATCH(4139,'Email Cleaner'!$H$2:$H$10001,0)),"")</f>
        <v/>
      </c>
    </row>
    <row r="4141">
      <c r="A4141">
        <f>IFERROR(INDEX('Email Cleaner'!$B$2:$B$10001,MATCH(4140,'Email Cleaner'!$H$2:$H$10001,0)),"")</f>
        <v/>
      </c>
    </row>
    <row r="4142">
      <c r="A4142">
        <f>IFERROR(INDEX('Email Cleaner'!$B$2:$B$10001,MATCH(4141,'Email Cleaner'!$H$2:$H$10001,0)),"")</f>
        <v/>
      </c>
    </row>
    <row r="4143">
      <c r="A4143">
        <f>IFERROR(INDEX('Email Cleaner'!$B$2:$B$10001,MATCH(4142,'Email Cleaner'!$H$2:$H$10001,0)),"")</f>
        <v/>
      </c>
    </row>
    <row r="4144">
      <c r="A4144">
        <f>IFERROR(INDEX('Email Cleaner'!$B$2:$B$10001,MATCH(4143,'Email Cleaner'!$H$2:$H$10001,0)),"")</f>
        <v/>
      </c>
    </row>
    <row r="4145">
      <c r="A4145">
        <f>IFERROR(INDEX('Email Cleaner'!$B$2:$B$10001,MATCH(4144,'Email Cleaner'!$H$2:$H$10001,0)),"")</f>
        <v/>
      </c>
    </row>
    <row r="4146">
      <c r="A4146">
        <f>IFERROR(INDEX('Email Cleaner'!$B$2:$B$10001,MATCH(4145,'Email Cleaner'!$H$2:$H$10001,0)),"")</f>
        <v/>
      </c>
    </row>
    <row r="4147">
      <c r="A4147">
        <f>IFERROR(INDEX('Email Cleaner'!$B$2:$B$10001,MATCH(4146,'Email Cleaner'!$H$2:$H$10001,0)),"")</f>
        <v/>
      </c>
    </row>
    <row r="4148">
      <c r="A4148">
        <f>IFERROR(INDEX('Email Cleaner'!$B$2:$B$10001,MATCH(4147,'Email Cleaner'!$H$2:$H$10001,0)),"")</f>
        <v/>
      </c>
    </row>
    <row r="4149">
      <c r="A4149">
        <f>IFERROR(INDEX('Email Cleaner'!$B$2:$B$10001,MATCH(4148,'Email Cleaner'!$H$2:$H$10001,0)),"")</f>
        <v/>
      </c>
    </row>
    <row r="4150">
      <c r="A4150">
        <f>IFERROR(INDEX('Email Cleaner'!$B$2:$B$10001,MATCH(4149,'Email Cleaner'!$H$2:$H$10001,0)),"")</f>
        <v/>
      </c>
    </row>
    <row r="4151">
      <c r="A4151">
        <f>IFERROR(INDEX('Email Cleaner'!$B$2:$B$10001,MATCH(4150,'Email Cleaner'!$H$2:$H$10001,0)),"")</f>
        <v/>
      </c>
    </row>
    <row r="4152">
      <c r="A4152">
        <f>IFERROR(INDEX('Email Cleaner'!$B$2:$B$10001,MATCH(4151,'Email Cleaner'!$H$2:$H$10001,0)),"")</f>
        <v/>
      </c>
    </row>
    <row r="4153">
      <c r="A4153">
        <f>IFERROR(INDEX('Email Cleaner'!$B$2:$B$10001,MATCH(4152,'Email Cleaner'!$H$2:$H$10001,0)),"")</f>
        <v/>
      </c>
    </row>
    <row r="4154">
      <c r="A4154">
        <f>IFERROR(INDEX('Email Cleaner'!$B$2:$B$10001,MATCH(4153,'Email Cleaner'!$H$2:$H$10001,0)),"")</f>
        <v/>
      </c>
    </row>
    <row r="4155">
      <c r="A4155">
        <f>IFERROR(INDEX('Email Cleaner'!$B$2:$B$10001,MATCH(4154,'Email Cleaner'!$H$2:$H$10001,0)),"")</f>
        <v/>
      </c>
    </row>
    <row r="4156">
      <c r="A4156">
        <f>IFERROR(INDEX('Email Cleaner'!$B$2:$B$10001,MATCH(4155,'Email Cleaner'!$H$2:$H$10001,0)),"")</f>
        <v/>
      </c>
    </row>
    <row r="4157">
      <c r="A4157">
        <f>IFERROR(INDEX('Email Cleaner'!$B$2:$B$10001,MATCH(4156,'Email Cleaner'!$H$2:$H$10001,0)),"")</f>
        <v/>
      </c>
    </row>
    <row r="4158">
      <c r="A4158">
        <f>IFERROR(INDEX('Email Cleaner'!$B$2:$B$10001,MATCH(4157,'Email Cleaner'!$H$2:$H$10001,0)),"")</f>
        <v/>
      </c>
    </row>
    <row r="4159">
      <c r="A4159">
        <f>IFERROR(INDEX('Email Cleaner'!$B$2:$B$10001,MATCH(4158,'Email Cleaner'!$H$2:$H$10001,0)),"")</f>
        <v/>
      </c>
    </row>
    <row r="4160">
      <c r="A4160">
        <f>IFERROR(INDEX('Email Cleaner'!$B$2:$B$10001,MATCH(4159,'Email Cleaner'!$H$2:$H$10001,0)),"")</f>
        <v/>
      </c>
    </row>
    <row r="4161">
      <c r="A4161">
        <f>IFERROR(INDEX('Email Cleaner'!$B$2:$B$10001,MATCH(4160,'Email Cleaner'!$H$2:$H$10001,0)),"")</f>
        <v/>
      </c>
    </row>
    <row r="4162">
      <c r="A4162">
        <f>IFERROR(INDEX('Email Cleaner'!$B$2:$B$10001,MATCH(4161,'Email Cleaner'!$H$2:$H$10001,0)),"")</f>
        <v/>
      </c>
    </row>
    <row r="4163">
      <c r="A4163">
        <f>IFERROR(INDEX('Email Cleaner'!$B$2:$B$10001,MATCH(4162,'Email Cleaner'!$H$2:$H$10001,0)),"")</f>
        <v/>
      </c>
    </row>
    <row r="4164">
      <c r="A4164">
        <f>IFERROR(INDEX('Email Cleaner'!$B$2:$B$10001,MATCH(4163,'Email Cleaner'!$H$2:$H$10001,0)),"")</f>
        <v/>
      </c>
    </row>
    <row r="4165">
      <c r="A4165">
        <f>IFERROR(INDEX('Email Cleaner'!$B$2:$B$10001,MATCH(4164,'Email Cleaner'!$H$2:$H$10001,0)),"")</f>
        <v/>
      </c>
    </row>
    <row r="4166">
      <c r="A4166">
        <f>IFERROR(INDEX('Email Cleaner'!$B$2:$B$10001,MATCH(4165,'Email Cleaner'!$H$2:$H$10001,0)),"")</f>
        <v/>
      </c>
    </row>
    <row r="4167">
      <c r="A4167">
        <f>IFERROR(INDEX('Email Cleaner'!$B$2:$B$10001,MATCH(4166,'Email Cleaner'!$H$2:$H$10001,0)),"")</f>
        <v/>
      </c>
    </row>
    <row r="4168">
      <c r="A4168">
        <f>IFERROR(INDEX('Email Cleaner'!$B$2:$B$10001,MATCH(4167,'Email Cleaner'!$H$2:$H$10001,0)),"")</f>
        <v/>
      </c>
    </row>
    <row r="4169">
      <c r="A4169">
        <f>IFERROR(INDEX('Email Cleaner'!$B$2:$B$10001,MATCH(4168,'Email Cleaner'!$H$2:$H$10001,0)),"")</f>
        <v/>
      </c>
    </row>
    <row r="4170">
      <c r="A4170">
        <f>IFERROR(INDEX('Email Cleaner'!$B$2:$B$10001,MATCH(4169,'Email Cleaner'!$H$2:$H$10001,0)),"")</f>
        <v/>
      </c>
    </row>
    <row r="4171">
      <c r="A4171">
        <f>IFERROR(INDEX('Email Cleaner'!$B$2:$B$10001,MATCH(4170,'Email Cleaner'!$H$2:$H$10001,0)),"")</f>
        <v/>
      </c>
    </row>
    <row r="4172">
      <c r="A4172">
        <f>IFERROR(INDEX('Email Cleaner'!$B$2:$B$10001,MATCH(4171,'Email Cleaner'!$H$2:$H$10001,0)),"")</f>
        <v/>
      </c>
    </row>
    <row r="4173">
      <c r="A4173">
        <f>IFERROR(INDEX('Email Cleaner'!$B$2:$B$10001,MATCH(4172,'Email Cleaner'!$H$2:$H$10001,0)),"")</f>
        <v/>
      </c>
    </row>
    <row r="4174">
      <c r="A4174">
        <f>IFERROR(INDEX('Email Cleaner'!$B$2:$B$10001,MATCH(4173,'Email Cleaner'!$H$2:$H$10001,0)),"")</f>
        <v/>
      </c>
    </row>
    <row r="4175">
      <c r="A4175">
        <f>IFERROR(INDEX('Email Cleaner'!$B$2:$B$10001,MATCH(4174,'Email Cleaner'!$H$2:$H$10001,0)),"")</f>
        <v/>
      </c>
    </row>
    <row r="4176">
      <c r="A4176">
        <f>IFERROR(INDEX('Email Cleaner'!$B$2:$B$10001,MATCH(4175,'Email Cleaner'!$H$2:$H$10001,0)),"")</f>
        <v/>
      </c>
    </row>
    <row r="4177">
      <c r="A4177">
        <f>IFERROR(INDEX('Email Cleaner'!$B$2:$B$10001,MATCH(4176,'Email Cleaner'!$H$2:$H$10001,0)),"")</f>
        <v/>
      </c>
    </row>
    <row r="4178">
      <c r="A4178">
        <f>IFERROR(INDEX('Email Cleaner'!$B$2:$B$10001,MATCH(4177,'Email Cleaner'!$H$2:$H$10001,0)),"")</f>
        <v/>
      </c>
    </row>
    <row r="4179">
      <c r="A4179">
        <f>IFERROR(INDEX('Email Cleaner'!$B$2:$B$10001,MATCH(4178,'Email Cleaner'!$H$2:$H$10001,0)),"")</f>
        <v/>
      </c>
    </row>
    <row r="4180">
      <c r="A4180">
        <f>IFERROR(INDEX('Email Cleaner'!$B$2:$B$10001,MATCH(4179,'Email Cleaner'!$H$2:$H$10001,0)),"")</f>
        <v/>
      </c>
    </row>
    <row r="4181">
      <c r="A4181">
        <f>IFERROR(INDEX('Email Cleaner'!$B$2:$B$10001,MATCH(4180,'Email Cleaner'!$H$2:$H$10001,0)),"")</f>
        <v/>
      </c>
    </row>
    <row r="4182">
      <c r="A4182">
        <f>IFERROR(INDEX('Email Cleaner'!$B$2:$B$10001,MATCH(4181,'Email Cleaner'!$H$2:$H$10001,0)),"")</f>
        <v/>
      </c>
    </row>
    <row r="4183">
      <c r="A4183">
        <f>IFERROR(INDEX('Email Cleaner'!$B$2:$B$10001,MATCH(4182,'Email Cleaner'!$H$2:$H$10001,0)),"")</f>
        <v/>
      </c>
    </row>
    <row r="4184">
      <c r="A4184">
        <f>IFERROR(INDEX('Email Cleaner'!$B$2:$B$10001,MATCH(4183,'Email Cleaner'!$H$2:$H$10001,0)),"")</f>
        <v/>
      </c>
    </row>
    <row r="4185">
      <c r="A4185">
        <f>IFERROR(INDEX('Email Cleaner'!$B$2:$B$10001,MATCH(4184,'Email Cleaner'!$H$2:$H$10001,0)),"")</f>
        <v/>
      </c>
    </row>
    <row r="4186">
      <c r="A4186">
        <f>IFERROR(INDEX('Email Cleaner'!$B$2:$B$10001,MATCH(4185,'Email Cleaner'!$H$2:$H$10001,0)),"")</f>
        <v/>
      </c>
    </row>
    <row r="4187">
      <c r="A4187">
        <f>IFERROR(INDEX('Email Cleaner'!$B$2:$B$10001,MATCH(4186,'Email Cleaner'!$H$2:$H$10001,0)),"")</f>
        <v/>
      </c>
    </row>
    <row r="4188">
      <c r="A4188">
        <f>IFERROR(INDEX('Email Cleaner'!$B$2:$B$10001,MATCH(4187,'Email Cleaner'!$H$2:$H$10001,0)),"")</f>
        <v/>
      </c>
    </row>
    <row r="4189">
      <c r="A4189">
        <f>IFERROR(INDEX('Email Cleaner'!$B$2:$B$10001,MATCH(4188,'Email Cleaner'!$H$2:$H$10001,0)),"")</f>
        <v/>
      </c>
    </row>
    <row r="4190">
      <c r="A4190">
        <f>IFERROR(INDEX('Email Cleaner'!$B$2:$B$10001,MATCH(4189,'Email Cleaner'!$H$2:$H$10001,0)),"")</f>
        <v/>
      </c>
    </row>
    <row r="4191">
      <c r="A4191">
        <f>IFERROR(INDEX('Email Cleaner'!$B$2:$B$10001,MATCH(4190,'Email Cleaner'!$H$2:$H$10001,0)),"")</f>
        <v/>
      </c>
    </row>
    <row r="4192">
      <c r="A4192">
        <f>IFERROR(INDEX('Email Cleaner'!$B$2:$B$10001,MATCH(4191,'Email Cleaner'!$H$2:$H$10001,0)),"")</f>
        <v/>
      </c>
    </row>
    <row r="4193">
      <c r="A4193">
        <f>IFERROR(INDEX('Email Cleaner'!$B$2:$B$10001,MATCH(4192,'Email Cleaner'!$H$2:$H$10001,0)),"")</f>
        <v/>
      </c>
    </row>
    <row r="4194">
      <c r="A4194">
        <f>IFERROR(INDEX('Email Cleaner'!$B$2:$B$10001,MATCH(4193,'Email Cleaner'!$H$2:$H$10001,0)),"")</f>
        <v/>
      </c>
    </row>
    <row r="4195">
      <c r="A4195">
        <f>IFERROR(INDEX('Email Cleaner'!$B$2:$B$10001,MATCH(4194,'Email Cleaner'!$H$2:$H$10001,0)),"")</f>
        <v/>
      </c>
    </row>
    <row r="4196">
      <c r="A4196">
        <f>IFERROR(INDEX('Email Cleaner'!$B$2:$B$10001,MATCH(4195,'Email Cleaner'!$H$2:$H$10001,0)),"")</f>
        <v/>
      </c>
    </row>
    <row r="4197">
      <c r="A4197">
        <f>IFERROR(INDEX('Email Cleaner'!$B$2:$B$10001,MATCH(4196,'Email Cleaner'!$H$2:$H$10001,0)),"")</f>
        <v/>
      </c>
    </row>
    <row r="4198">
      <c r="A4198">
        <f>IFERROR(INDEX('Email Cleaner'!$B$2:$B$10001,MATCH(4197,'Email Cleaner'!$H$2:$H$10001,0)),"")</f>
        <v/>
      </c>
    </row>
    <row r="4199">
      <c r="A4199">
        <f>IFERROR(INDEX('Email Cleaner'!$B$2:$B$10001,MATCH(4198,'Email Cleaner'!$H$2:$H$10001,0)),"")</f>
        <v/>
      </c>
    </row>
    <row r="4200">
      <c r="A4200">
        <f>IFERROR(INDEX('Email Cleaner'!$B$2:$B$10001,MATCH(4199,'Email Cleaner'!$H$2:$H$10001,0)),"")</f>
        <v/>
      </c>
    </row>
    <row r="4201">
      <c r="A4201">
        <f>IFERROR(INDEX('Email Cleaner'!$B$2:$B$10001,MATCH(4200,'Email Cleaner'!$H$2:$H$10001,0)),"")</f>
        <v/>
      </c>
    </row>
    <row r="4202">
      <c r="A4202">
        <f>IFERROR(INDEX('Email Cleaner'!$B$2:$B$10001,MATCH(4201,'Email Cleaner'!$H$2:$H$10001,0)),"")</f>
        <v/>
      </c>
    </row>
    <row r="4203">
      <c r="A4203">
        <f>IFERROR(INDEX('Email Cleaner'!$B$2:$B$10001,MATCH(4202,'Email Cleaner'!$H$2:$H$10001,0)),"")</f>
        <v/>
      </c>
    </row>
    <row r="4204">
      <c r="A4204">
        <f>IFERROR(INDEX('Email Cleaner'!$B$2:$B$10001,MATCH(4203,'Email Cleaner'!$H$2:$H$10001,0)),"")</f>
        <v/>
      </c>
    </row>
    <row r="4205">
      <c r="A4205">
        <f>IFERROR(INDEX('Email Cleaner'!$B$2:$B$10001,MATCH(4204,'Email Cleaner'!$H$2:$H$10001,0)),"")</f>
        <v/>
      </c>
    </row>
    <row r="4206">
      <c r="A4206">
        <f>IFERROR(INDEX('Email Cleaner'!$B$2:$B$10001,MATCH(4205,'Email Cleaner'!$H$2:$H$10001,0)),"")</f>
        <v/>
      </c>
    </row>
    <row r="4207">
      <c r="A4207">
        <f>IFERROR(INDEX('Email Cleaner'!$B$2:$B$10001,MATCH(4206,'Email Cleaner'!$H$2:$H$10001,0)),"")</f>
        <v/>
      </c>
    </row>
    <row r="4208">
      <c r="A4208">
        <f>IFERROR(INDEX('Email Cleaner'!$B$2:$B$10001,MATCH(4207,'Email Cleaner'!$H$2:$H$10001,0)),"")</f>
        <v/>
      </c>
    </row>
    <row r="4209">
      <c r="A4209">
        <f>IFERROR(INDEX('Email Cleaner'!$B$2:$B$10001,MATCH(4208,'Email Cleaner'!$H$2:$H$10001,0)),"")</f>
        <v/>
      </c>
    </row>
    <row r="4210">
      <c r="A4210">
        <f>IFERROR(INDEX('Email Cleaner'!$B$2:$B$10001,MATCH(4209,'Email Cleaner'!$H$2:$H$10001,0)),"")</f>
        <v/>
      </c>
    </row>
    <row r="4211">
      <c r="A4211">
        <f>IFERROR(INDEX('Email Cleaner'!$B$2:$B$10001,MATCH(4210,'Email Cleaner'!$H$2:$H$10001,0)),"")</f>
        <v/>
      </c>
    </row>
    <row r="4212">
      <c r="A4212">
        <f>IFERROR(INDEX('Email Cleaner'!$B$2:$B$10001,MATCH(4211,'Email Cleaner'!$H$2:$H$10001,0)),"")</f>
        <v/>
      </c>
    </row>
    <row r="4213">
      <c r="A4213">
        <f>IFERROR(INDEX('Email Cleaner'!$B$2:$B$10001,MATCH(4212,'Email Cleaner'!$H$2:$H$10001,0)),"")</f>
        <v/>
      </c>
    </row>
    <row r="4214">
      <c r="A4214">
        <f>IFERROR(INDEX('Email Cleaner'!$B$2:$B$10001,MATCH(4213,'Email Cleaner'!$H$2:$H$10001,0)),"")</f>
        <v/>
      </c>
    </row>
    <row r="4215">
      <c r="A4215">
        <f>IFERROR(INDEX('Email Cleaner'!$B$2:$B$10001,MATCH(4214,'Email Cleaner'!$H$2:$H$10001,0)),"")</f>
        <v/>
      </c>
    </row>
    <row r="4216">
      <c r="A4216">
        <f>IFERROR(INDEX('Email Cleaner'!$B$2:$B$10001,MATCH(4215,'Email Cleaner'!$H$2:$H$10001,0)),"")</f>
        <v/>
      </c>
    </row>
    <row r="4217">
      <c r="A4217">
        <f>IFERROR(INDEX('Email Cleaner'!$B$2:$B$10001,MATCH(4216,'Email Cleaner'!$H$2:$H$10001,0)),"")</f>
        <v/>
      </c>
    </row>
    <row r="4218">
      <c r="A4218">
        <f>IFERROR(INDEX('Email Cleaner'!$B$2:$B$10001,MATCH(4217,'Email Cleaner'!$H$2:$H$10001,0)),"")</f>
        <v/>
      </c>
    </row>
    <row r="4219">
      <c r="A4219">
        <f>IFERROR(INDEX('Email Cleaner'!$B$2:$B$10001,MATCH(4218,'Email Cleaner'!$H$2:$H$10001,0)),"")</f>
        <v/>
      </c>
    </row>
    <row r="4220">
      <c r="A4220">
        <f>IFERROR(INDEX('Email Cleaner'!$B$2:$B$10001,MATCH(4219,'Email Cleaner'!$H$2:$H$10001,0)),"")</f>
        <v/>
      </c>
    </row>
    <row r="4221">
      <c r="A4221">
        <f>IFERROR(INDEX('Email Cleaner'!$B$2:$B$10001,MATCH(4220,'Email Cleaner'!$H$2:$H$10001,0)),"")</f>
        <v/>
      </c>
    </row>
    <row r="4222">
      <c r="A4222">
        <f>IFERROR(INDEX('Email Cleaner'!$B$2:$B$10001,MATCH(4221,'Email Cleaner'!$H$2:$H$10001,0)),"")</f>
        <v/>
      </c>
    </row>
    <row r="4223">
      <c r="A4223">
        <f>IFERROR(INDEX('Email Cleaner'!$B$2:$B$10001,MATCH(4222,'Email Cleaner'!$H$2:$H$10001,0)),"")</f>
        <v/>
      </c>
    </row>
    <row r="4224">
      <c r="A4224">
        <f>IFERROR(INDEX('Email Cleaner'!$B$2:$B$10001,MATCH(4223,'Email Cleaner'!$H$2:$H$10001,0)),"")</f>
        <v/>
      </c>
    </row>
    <row r="4225">
      <c r="A4225">
        <f>IFERROR(INDEX('Email Cleaner'!$B$2:$B$10001,MATCH(4224,'Email Cleaner'!$H$2:$H$10001,0)),"")</f>
        <v/>
      </c>
    </row>
    <row r="4226">
      <c r="A4226">
        <f>IFERROR(INDEX('Email Cleaner'!$B$2:$B$10001,MATCH(4225,'Email Cleaner'!$H$2:$H$10001,0)),"")</f>
        <v/>
      </c>
    </row>
    <row r="4227">
      <c r="A4227">
        <f>IFERROR(INDEX('Email Cleaner'!$B$2:$B$10001,MATCH(4226,'Email Cleaner'!$H$2:$H$10001,0)),"")</f>
        <v/>
      </c>
    </row>
    <row r="4228">
      <c r="A4228">
        <f>IFERROR(INDEX('Email Cleaner'!$B$2:$B$10001,MATCH(4227,'Email Cleaner'!$H$2:$H$10001,0)),"")</f>
        <v/>
      </c>
    </row>
    <row r="4229">
      <c r="A4229">
        <f>IFERROR(INDEX('Email Cleaner'!$B$2:$B$10001,MATCH(4228,'Email Cleaner'!$H$2:$H$10001,0)),"")</f>
        <v/>
      </c>
    </row>
    <row r="4230">
      <c r="A4230">
        <f>IFERROR(INDEX('Email Cleaner'!$B$2:$B$10001,MATCH(4229,'Email Cleaner'!$H$2:$H$10001,0)),"")</f>
        <v/>
      </c>
    </row>
    <row r="4231">
      <c r="A4231">
        <f>IFERROR(INDEX('Email Cleaner'!$B$2:$B$10001,MATCH(4230,'Email Cleaner'!$H$2:$H$10001,0)),"")</f>
        <v/>
      </c>
    </row>
    <row r="4232">
      <c r="A4232">
        <f>IFERROR(INDEX('Email Cleaner'!$B$2:$B$10001,MATCH(4231,'Email Cleaner'!$H$2:$H$10001,0)),"")</f>
        <v/>
      </c>
    </row>
    <row r="4233">
      <c r="A4233">
        <f>IFERROR(INDEX('Email Cleaner'!$B$2:$B$10001,MATCH(4232,'Email Cleaner'!$H$2:$H$10001,0)),"")</f>
        <v/>
      </c>
    </row>
    <row r="4234">
      <c r="A4234">
        <f>IFERROR(INDEX('Email Cleaner'!$B$2:$B$10001,MATCH(4233,'Email Cleaner'!$H$2:$H$10001,0)),"")</f>
        <v/>
      </c>
    </row>
    <row r="4235">
      <c r="A4235">
        <f>IFERROR(INDEX('Email Cleaner'!$B$2:$B$10001,MATCH(4234,'Email Cleaner'!$H$2:$H$10001,0)),"")</f>
        <v/>
      </c>
    </row>
    <row r="4236">
      <c r="A4236">
        <f>IFERROR(INDEX('Email Cleaner'!$B$2:$B$10001,MATCH(4235,'Email Cleaner'!$H$2:$H$10001,0)),"")</f>
        <v/>
      </c>
    </row>
    <row r="4237">
      <c r="A4237">
        <f>IFERROR(INDEX('Email Cleaner'!$B$2:$B$10001,MATCH(4236,'Email Cleaner'!$H$2:$H$10001,0)),"")</f>
        <v/>
      </c>
    </row>
    <row r="4238">
      <c r="A4238">
        <f>IFERROR(INDEX('Email Cleaner'!$B$2:$B$10001,MATCH(4237,'Email Cleaner'!$H$2:$H$10001,0)),"")</f>
        <v/>
      </c>
    </row>
    <row r="4239">
      <c r="A4239">
        <f>IFERROR(INDEX('Email Cleaner'!$B$2:$B$10001,MATCH(4238,'Email Cleaner'!$H$2:$H$10001,0)),"")</f>
        <v/>
      </c>
    </row>
    <row r="4240">
      <c r="A4240">
        <f>IFERROR(INDEX('Email Cleaner'!$B$2:$B$10001,MATCH(4239,'Email Cleaner'!$H$2:$H$10001,0)),"")</f>
        <v/>
      </c>
    </row>
    <row r="4241">
      <c r="A4241">
        <f>IFERROR(INDEX('Email Cleaner'!$B$2:$B$10001,MATCH(4240,'Email Cleaner'!$H$2:$H$10001,0)),"")</f>
        <v/>
      </c>
    </row>
    <row r="4242">
      <c r="A4242">
        <f>IFERROR(INDEX('Email Cleaner'!$B$2:$B$10001,MATCH(4241,'Email Cleaner'!$H$2:$H$10001,0)),"")</f>
        <v/>
      </c>
    </row>
    <row r="4243">
      <c r="A4243">
        <f>IFERROR(INDEX('Email Cleaner'!$B$2:$B$10001,MATCH(4242,'Email Cleaner'!$H$2:$H$10001,0)),"")</f>
        <v/>
      </c>
    </row>
    <row r="4244">
      <c r="A4244">
        <f>IFERROR(INDEX('Email Cleaner'!$B$2:$B$10001,MATCH(4243,'Email Cleaner'!$H$2:$H$10001,0)),"")</f>
        <v/>
      </c>
    </row>
    <row r="4245">
      <c r="A4245">
        <f>IFERROR(INDEX('Email Cleaner'!$B$2:$B$10001,MATCH(4244,'Email Cleaner'!$H$2:$H$10001,0)),"")</f>
        <v/>
      </c>
    </row>
    <row r="4246">
      <c r="A4246">
        <f>IFERROR(INDEX('Email Cleaner'!$B$2:$B$10001,MATCH(4245,'Email Cleaner'!$H$2:$H$10001,0)),"")</f>
        <v/>
      </c>
    </row>
    <row r="4247">
      <c r="A4247">
        <f>IFERROR(INDEX('Email Cleaner'!$B$2:$B$10001,MATCH(4246,'Email Cleaner'!$H$2:$H$10001,0)),"")</f>
        <v/>
      </c>
    </row>
    <row r="4248">
      <c r="A4248">
        <f>IFERROR(INDEX('Email Cleaner'!$B$2:$B$10001,MATCH(4247,'Email Cleaner'!$H$2:$H$10001,0)),"")</f>
        <v/>
      </c>
    </row>
    <row r="4249">
      <c r="A4249">
        <f>IFERROR(INDEX('Email Cleaner'!$B$2:$B$10001,MATCH(4248,'Email Cleaner'!$H$2:$H$10001,0)),"")</f>
        <v/>
      </c>
    </row>
    <row r="4250">
      <c r="A4250">
        <f>IFERROR(INDEX('Email Cleaner'!$B$2:$B$10001,MATCH(4249,'Email Cleaner'!$H$2:$H$10001,0)),"")</f>
        <v/>
      </c>
    </row>
    <row r="4251">
      <c r="A4251">
        <f>IFERROR(INDEX('Email Cleaner'!$B$2:$B$10001,MATCH(4250,'Email Cleaner'!$H$2:$H$10001,0)),"")</f>
        <v/>
      </c>
    </row>
    <row r="4252">
      <c r="A4252">
        <f>IFERROR(INDEX('Email Cleaner'!$B$2:$B$10001,MATCH(4251,'Email Cleaner'!$H$2:$H$10001,0)),"")</f>
        <v/>
      </c>
    </row>
    <row r="4253">
      <c r="A4253">
        <f>IFERROR(INDEX('Email Cleaner'!$B$2:$B$10001,MATCH(4252,'Email Cleaner'!$H$2:$H$10001,0)),"")</f>
        <v/>
      </c>
    </row>
    <row r="4254">
      <c r="A4254">
        <f>IFERROR(INDEX('Email Cleaner'!$B$2:$B$10001,MATCH(4253,'Email Cleaner'!$H$2:$H$10001,0)),"")</f>
        <v/>
      </c>
    </row>
    <row r="4255">
      <c r="A4255">
        <f>IFERROR(INDEX('Email Cleaner'!$B$2:$B$10001,MATCH(4254,'Email Cleaner'!$H$2:$H$10001,0)),"")</f>
        <v/>
      </c>
    </row>
    <row r="4256">
      <c r="A4256">
        <f>IFERROR(INDEX('Email Cleaner'!$B$2:$B$10001,MATCH(4255,'Email Cleaner'!$H$2:$H$10001,0)),"")</f>
        <v/>
      </c>
    </row>
    <row r="4257">
      <c r="A4257">
        <f>IFERROR(INDEX('Email Cleaner'!$B$2:$B$10001,MATCH(4256,'Email Cleaner'!$H$2:$H$10001,0)),"")</f>
        <v/>
      </c>
    </row>
    <row r="4258">
      <c r="A4258">
        <f>IFERROR(INDEX('Email Cleaner'!$B$2:$B$10001,MATCH(4257,'Email Cleaner'!$H$2:$H$10001,0)),"")</f>
        <v/>
      </c>
    </row>
    <row r="4259">
      <c r="A4259">
        <f>IFERROR(INDEX('Email Cleaner'!$B$2:$B$10001,MATCH(4258,'Email Cleaner'!$H$2:$H$10001,0)),"")</f>
        <v/>
      </c>
    </row>
    <row r="4260">
      <c r="A4260">
        <f>IFERROR(INDEX('Email Cleaner'!$B$2:$B$10001,MATCH(4259,'Email Cleaner'!$H$2:$H$10001,0)),"")</f>
        <v/>
      </c>
    </row>
    <row r="4261">
      <c r="A4261">
        <f>IFERROR(INDEX('Email Cleaner'!$B$2:$B$10001,MATCH(4260,'Email Cleaner'!$H$2:$H$10001,0)),"")</f>
        <v/>
      </c>
    </row>
    <row r="4262">
      <c r="A4262">
        <f>IFERROR(INDEX('Email Cleaner'!$B$2:$B$10001,MATCH(4261,'Email Cleaner'!$H$2:$H$10001,0)),"")</f>
        <v/>
      </c>
    </row>
    <row r="4263">
      <c r="A4263">
        <f>IFERROR(INDEX('Email Cleaner'!$B$2:$B$10001,MATCH(4262,'Email Cleaner'!$H$2:$H$10001,0)),"")</f>
        <v/>
      </c>
    </row>
    <row r="4264">
      <c r="A4264">
        <f>IFERROR(INDEX('Email Cleaner'!$B$2:$B$10001,MATCH(4263,'Email Cleaner'!$H$2:$H$10001,0)),"")</f>
        <v/>
      </c>
    </row>
    <row r="4265">
      <c r="A4265">
        <f>IFERROR(INDEX('Email Cleaner'!$B$2:$B$10001,MATCH(4264,'Email Cleaner'!$H$2:$H$10001,0)),"")</f>
        <v/>
      </c>
    </row>
    <row r="4266">
      <c r="A4266">
        <f>IFERROR(INDEX('Email Cleaner'!$B$2:$B$10001,MATCH(4265,'Email Cleaner'!$H$2:$H$10001,0)),"")</f>
        <v/>
      </c>
    </row>
    <row r="4267">
      <c r="A4267">
        <f>IFERROR(INDEX('Email Cleaner'!$B$2:$B$10001,MATCH(4266,'Email Cleaner'!$H$2:$H$10001,0)),"")</f>
        <v/>
      </c>
    </row>
    <row r="4268">
      <c r="A4268">
        <f>IFERROR(INDEX('Email Cleaner'!$B$2:$B$10001,MATCH(4267,'Email Cleaner'!$H$2:$H$10001,0)),"")</f>
        <v/>
      </c>
    </row>
    <row r="4269">
      <c r="A4269">
        <f>IFERROR(INDEX('Email Cleaner'!$B$2:$B$10001,MATCH(4268,'Email Cleaner'!$H$2:$H$10001,0)),"")</f>
        <v/>
      </c>
    </row>
    <row r="4270">
      <c r="A4270">
        <f>IFERROR(INDEX('Email Cleaner'!$B$2:$B$10001,MATCH(4269,'Email Cleaner'!$H$2:$H$10001,0)),"")</f>
        <v/>
      </c>
    </row>
    <row r="4271">
      <c r="A4271">
        <f>IFERROR(INDEX('Email Cleaner'!$B$2:$B$10001,MATCH(4270,'Email Cleaner'!$H$2:$H$10001,0)),"")</f>
        <v/>
      </c>
    </row>
    <row r="4272">
      <c r="A4272">
        <f>IFERROR(INDEX('Email Cleaner'!$B$2:$B$10001,MATCH(4271,'Email Cleaner'!$H$2:$H$10001,0)),"")</f>
        <v/>
      </c>
    </row>
    <row r="4273">
      <c r="A4273">
        <f>IFERROR(INDEX('Email Cleaner'!$B$2:$B$10001,MATCH(4272,'Email Cleaner'!$H$2:$H$10001,0)),"")</f>
        <v/>
      </c>
    </row>
    <row r="4274">
      <c r="A4274">
        <f>IFERROR(INDEX('Email Cleaner'!$B$2:$B$10001,MATCH(4273,'Email Cleaner'!$H$2:$H$10001,0)),"")</f>
        <v/>
      </c>
    </row>
    <row r="4275">
      <c r="A4275">
        <f>IFERROR(INDEX('Email Cleaner'!$B$2:$B$10001,MATCH(4274,'Email Cleaner'!$H$2:$H$10001,0)),"")</f>
        <v/>
      </c>
    </row>
    <row r="4276">
      <c r="A4276">
        <f>IFERROR(INDEX('Email Cleaner'!$B$2:$B$10001,MATCH(4275,'Email Cleaner'!$H$2:$H$10001,0)),"")</f>
        <v/>
      </c>
    </row>
    <row r="4277">
      <c r="A4277">
        <f>IFERROR(INDEX('Email Cleaner'!$B$2:$B$10001,MATCH(4276,'Email Cleaner'!$H$2:$H$10001,0)),"")</f>
        <v/>
      </c>
    </row>
    <row r="4278">
      <c r="A4278">
        <f>IFERROR(INDEX('Email Cleaner'!$B$2:$B$10001,MATCH(4277,'Email Cleaner'!$H$2:$H$10001,0)),"")</f>
        <v/>
      </c>
    </row>
    <row r="4279">
      <c r="A4279">
        <f>IFERROR(INDEX('Email Cleaner'!$B$2:$B$10001,MATCH(4278,'Email Cleaner'!$H$2:$H$10001,0)),"")</f>
        <v/>
      </c>
    </row>
    <row r="4280">
      <c r="A4280">
        <f>IFERROR(INDEX('Email Cleaner'!$B$2:$B$10001,MATCH(4279,'Email Cleaner'!$H$2:$H$10001,0)),"")</f>
        <v/>
      </c>
    </row>
    <row r="4281">
      <c r="A4281">
        <f>IFERROR(INDEX('Email Cleaner'!$B$2:$B$10001,MATCH(4280,'Email Cleaner'!$H$2:$H$10001,0)),"")</f>
        <v/>
      </c>
    </row>
    <row r="4282">
      <c r="A4282">
        <f>IFERROR(INDEX('Email Cleaner'!$B$2:$B$10001,MATCH(4281,'Email Cleaner'!$H$2:$H$10001,0)),"")</f>
        <v/>
      </c>
    </row>
    <row r="4283">
      <c r="A4283">
        <f>IFERROR(INDEX('Email Cleaner'!$B$2:$B$10001,MATCH(4282,'Email Cleaner'!$H$2:$H$10001,0)),"")</f>
        <v/>
      </c>
    </row>
    <row r="4284">
      <c r="A4284">
        <f>IFERROR(INDEX('Email Cleaner'!$B$2:$B$10001,MATCH(4283,'Email Cleaner'!$H$2:$H$10001,0)),"")</f>
        <v/>
      </c>
    </row>
    <row r="4285">
      <c r="A4285">
        <f>IFERROR(INDEX('Email Cleaner'!$B$2:$B$10001,MATCH(4284,'Email Cleaner'!$H$2:$H$10001,0)),"")</f>
        <v/>
      </c>
    </row>
    <row r="4286">
      <c r="A4286">
        <f>IFERROR(INDEX('Email Cleaner'!$B$2:$B$10001,MATCH(4285,'Email Cleaner'!$H$2:$H$10001,0)),"")</f>
        <v/>
      </c>
    </row>
    <row r="4287">
      <c r="A4287">
        <f>IFERROR(INDEX('Email Cleaner'!$B$2:$B$10001,MATCH(4286,'Email Cleaner'!$H$2:$H$10001,0)),"")</f>
        <v/>
      </c>
    </row>
    <row r="4288">
      <c r="A4288">
        <f>IFERROR(INDEX('Email Cleaner'!$B$2:$B$10001,MATCH(4287,'Email Cleaner'!$H$2:$H$10001,0)),"")</f>
        <v/>
      </c>
    </row>
    <row r="4289">
      <c r="A4289">
        <f>IFERROR(INDEX('Email Cleaner'!$B$2:$B$10001,MATCH(4288,'Email Cleaner'!$H$2:$H$10001,0)),"")</f>
        <v/>
      </c>
    </row>
    <row r="4290">
      <c r="A4290">
        <f>IFERROR(INDEX('Email Cleaner'!$B$2:$B$10001,MATCH(4289,'Email Cleaner'!$H$2:$H$10001,0)),"")</f>
        <v/>
      </c>
    </row>
    <row r="4291">
      <c r="A4291">
        <f>IFERROR(INDEX('Email Cleaner'!$B$2:$B$10001,MATCH(4290,'Email Cleaner'!$H$2:$H$10001,0)),"")</f>
        <v/>
      </c>
    </row>
    <row r="4292">
      <c r="A4292">
        <f>IFERROR(INDEX('Email Cleaner'!$B$2:$B$10001,MATCH(4291,'Email Cleaner'!$H$2:$H$10001,0)),"")</f>
        <v/>
      </c>
    </row>
    <row r="4293">
      <c r="A4293">
        <f>IFERROR(INDEX('Email Cleaner'!$B$2:$B$10001,MATCH(4292,'Email Cleaner'!$H$2:$H$10001,0)),"")</f>
        <v/>
      </c>
    </row>
    <row r="4294">
      <c r="A4294">
        <f>IFERROR(INDEX('Email Cleaner'!$B$2:$B$10001,MATCH(4293,'Email Cleaner'!$H$2:$H$10001,0)),"")</f>
        <v/>
      </c>
    </row>
    <row r="4295">
      <c r="A4295">
        <f>IFERROR(INDEX('Email Cleaner'!$B$2:$B$10001,MATCH(4294,'Email Cleaner'!$H$2:$H$10001,0)),"")</f>
        <v/>
      </c>
    </row>
    <row r="4296">
      <c r="A4296">
        <f>IFERROR(INDEX('Email Cleaner'!$B$2:$B$10001,MATCH(4295,'Email Cleaner'!$H$2:$H$10001,0)),"")</f>
        <v/>
      </c>
    </row>
    <row r="4297">
      <c r="A4297">
        <f>IFERROR(INDEX('Email Cleaner'!$B$2:$B$10001,MATCH(4296,'Email Cleaner'!$H$2:$H$10001,0)),"")</f>
        <v/>
      </c>
    </row>
    <row r="4298">
      <c r="A4298">
        <f>IFERROR(INDEX('Email Cleaner'!$B$2:$B$10001,MATCH(4297,'Email Cleaner'!$H$2:$H$10001,0)),"")</f>
        <v/>
      </c>
    </row>
    <row r="4299">
      <c r="A4299">
        <f>IFERROR(INDEX('Email Cleaner'!$B$2:$B$10001,MATCH(4298,'Email Cleaner'!$H$2:$H$10001,0)),"")</f>
        <v/>
      </c>
    </row>
    <row r="4300">
      <c r="A4300">
        <f>IFERROR(INDEX('Email Cleaner'!$B$2:$B$10001,MATCH(4299,'Email Cleaner'!$H$2:$H$10001,0)),"")</f>
        <v/>
      </c>
    </row>
    <row r="4301">
      <c r="A4301">
        <f>IFERROR(INDEX('Email Cleaner'!$B$2:$B$10001,MATCH(4300,'Email Cleaner'!$H$2:$H$10001,0)),"")</f>
        <v/>
      </c>
    </row>
    <row r="4302">
      <c r="A4302">
        <f>IFERROR(INDEX('Email Cleaner'!$B$2:$B$10001,MATCH(4301,'Email Cleaner'!$H$2:$H$10001,0)),"")</f>
        <v/>
      </c>
    </row>
    <row r="4303">
      <c r="A4303">
        <f>IFERROR(INDEX('Email Cleaner'!$B$2:$B$10001,MATCH(4302,'Email Cleaner'!$H$2:$H$10001,0)),"")</f>
        <v/>
      </c>
    </row>
    <row r="4304">
      <c r="A4304">
        <f>IFERROR(INDEX('Email Cleaner'!$B$2:$B$10001,MATCH(4303,'Email Cleaner'!$H$2:$H$10001,0)),"")</f>
        <v/>
      </c>
    </row>
    <row r="4305">
      <c r="A4305">
        <f>IFERROR(INDEX('Email Cleaner'!$B$2:$B$10001,MATCH(4304,'Email Cleaner'!$H$2:$H$10001,0)),"")</f>
        <v/>
      </c>
    </row>
    <row r="4306">
      <c r="A4306">
        <f>IFERROR(INDEX('Email Cleaner'!$B$2:$B$10001,MATCH(4305,'Email Cleaner'!$H$2:$H$10001,0)),"")</f>
        <v/>
      </c>
    </row>
    <row r="4307">
      <c r="A4307">
        <f>IFERROR(INDEX('Email Cleaner'!$B$2:$B$10001,MATCH(4306,'Email Cleaner'!$H$2:$H$10001,0)),"")</f>
        <v/>
      </c>
    </row>
    <row r="4308">
      <c r="A4308">
        <f>IFERROR(INDEX('Email Cleaner'!$B$2:$B$10001,MATCH(4307,'Email Cleaner'!$H$2:$H$10001,0)),"")</f>
        <v/>
      </c>
    </row>
    <row r="4309">
      <c r="A4309">
        <f>IFERROR(INDEX('Email Cleaner'!$B$2:$B$10001,MATCH(4308,'Email Cleaner'!$H$2:$H$10001,0)),"")</f>
        <v/>
      </c>
    </row>
    <row r="4310">
      <c r="A4310">
        <f>IFERROR(INDEX('Email Cleaner'!$B$2:$B$10001,MATCH(4309,'Email Cleaner'!$H$2:$H$10001,0)),"")</f>
        <v/>
      </c>
    </row>
    <row r="4311">
      <c r="A4311">
        <f>IFERROR(INDEX('Email Cleaner'!$B$2:$B$10001,MATCH(4310,'Email Cleaner'!$H$2:$H$10001,0)),"")</f>
        <v/>
      </c>
    </row>
    <row r="4312">
      <c r="A4312">
        <f>IFERROR(INDEX('Email Cleaner'!$B$2:$B$10001,MATCH(4311,'Email Cleaner'!$H$2:$H$10001,0)),"")</f>
        <v/>
      </c>
    </row>
    <row r="4313">
      <c r="A4313">
        <f>IFERROR(INDEX('Email Cleaner'!$B$2:$B$10001,MATCH(4312,'Email Cleaner'!$H$2:$H$10001,0)),"")</f>
        <v/>
      </c>
    </row>
    <row r="4314">
      <c r="A4314">
        <f>IFERROR(INDEX('Email Cleaner'!$B$2:$B$10001,MATCH(4313,'Email Cleaner'!$H$2:$H$10001,0)),"")</f>
        <v/>
      </c>
    </row>
    <row r="4315">
      <c r="A4315">
        <f>IFERROR(INDEX('Email Cleaner'!$B$2:$B$10001,MATCH(4314,'Email Cleaner'!$H$2:$H$10001,0)),"")</f>
        <v/>
      </c>
    </row>
    <row r="4316">
      <c r="A4316">
        <f>IFERROR(INDEX('Email Cleaner'!$B$2:$B$10001,MATCH(4315,'Email Cleaner'!$H$2:$H$10001,0)),"")</f>
        <v/>
      </c>
    </row>
    <row r="4317">
      <c r="A4317">
        <f>IFERROR(INDEX('Email Cleaner'!$B$2:$B$10001,MATCH(4316,'Email Cleaner'!$H$2:$H$10001,0)),"")</f>
        <v/>
      </c>
    </row>
    <row r="4318">
      <c r="A4318">
        <f>IFERROR(INDEX('Email Cleaner'!$B$2:$B$10001,MATCH(4317,'Email Cleaner'!$H$2:$H$10001,0)),"")</f>
        <v/>
      </c>
    </row>
    <row r="4319">
      <c r="A4319">
        <f>IFERROR(INDEX('Email Cleaner'!$B$2:$B$10001,MATCH(4318,'Email Cleaner'!$H$2:$H$10001,0)),"")</f>
        <v/>
      </c>
    </row>
    <row r="4320">
      <c r="A4320">
        <f>IFERROR(INDEX('Email Cleaner'!$B$2:$B$10001,MATCH(4319,'Email Cleaner'!$H$2:$H$10001,0)),"")</f>
        <v/>
      </c>
    </row>
    <row r="4321">
      <c r="A4321">
        <f>IFERROR(INDEX('Email Cleaner'!$B$2:$B$10001,MATCH(4320,'Email Cleaner'!$H$2:$H$10001,0)),"")</f>
        <v/>
      </c>
    </row>
    <row r="4322">
      <c r="A4322">
        <f>IFERROR(INDEX('Email Cleaner'!$B$2:$B$10001,MATCH(4321,'Email Cleaner'!$H$2:$H$10001,0)),"")</f>
        <v/>
      </c>
    </row>
    <row r="4323">
      <c r="A4323">
        <f>IFERROR(INDEX('Email Cleaner'!$B$2:$B$10001,MATCH(4322,'Email Cleaner'!$H$2:$H$10001,0)),"")</f>
        <v/>
      </c>
    </row>
    <row r="4324">
      <c r="A4324">
        <f>IFERROR(INDEX('Email Cleaner'!$B$2:$B$10001,MATCH(4323,'Email Cleaner'!$H$2:$H$10001,0)),"")</f>
        <v/>
      </c>
    </row>
    <row r="4325">
      <c r="A4325">
        <f>IFERROR(INDEX('Email Cleaner'!$B$2:$B$10001,MATCH(4324,'Email Cleaner'!$H$2:$H$10001,0)),"")</f>
        <v/>
      </c>
    </row>
    <row r="4326">
      <c r="A4326">
        <f>IFERROR(INDEX('Email Cleaner'!$B$2:$B$10001,MATCH(4325,'Email Cleaner'!$H$2:$H$10001,0)),"")</f>
        <v/>
      </c>
    </row>
    <row r="4327">
      <c r="A4327">
        <f>IFERROR(INDEX('Email Cleaner'!$B$2:$B$10001,MATCH(4326,'Email Cleaner'!$H$2:$H$10001,0)),"")</f>
        <v/>
      </c>
    </row>
    <row r="4328">
      <c r="A4328">
        <f>IFERROR(INDEX('Email Cleaner'!$B$2:$B$10001,MATCH(4327,'Email Cleaner'!$H$2:$H$10001,0)),"")</f>
        <v/>
      </c>
    </row>
    <row r="4329">
      <c r="A4329">
        <f>IFERROR(INDEX('Email Cleaner'!$B$2:$B$10001,MATCH(4328,'Email Cleaner'!$H$2:$H$10001,0)),"")</f>
        <v/>
      </c>
    </row>
    <row r="4330">
      <c r="A4330">
        <f>IFERROR(INDEX('Email Cleaner'!$B$2:$B$10001,MATCH(4329,'Email Cleaner'!$H$2:$H$10001,0)),"")</f>
        <v/>
      </c>
    </row>
    <row r="4331">
      <c r="A4331">
        <f>IFERROR(INDEX('Email Cleaner'!$B$2:$B$10001,MATCH(4330,'Email Cleaner'!$H$2:$H$10001,0)),"")</f>
        <v/>
      </c>
    </row>
    <row r="4332">
      <c r="A4332">
        <f>IFERROR(INDEX('Email Cleaner'!$B$2:$B$10001,MATCH(4331,'Email Cleaner'!$H$2:$H$10001,0)),"")</f>
        <v/>
      </c>
    </row>
    <row r="4333">
      <c r="A4333">
        <f>IFERROR(INDEX('Email Cleaner'!$B$2:$B$10001,MATCH(4332,'Email Cleaner'!$H$2:$H$10001,0)),"")</f>
        <v/>
      </c>
    </row>
    <row r="4334">
      <c r="A4334">
        <f>IFERROR(INDEX('Email Cleaner'!$B$2:$B$10001,MATCH(4333,'Email Cleaner'!$H$2:$H$10001,0)),"")</f>
        <v/>
      </c>
    </row>
    <row r="4335">
      <c r="A4335">
        <f>IFERROR(INDEX('Email Cleaner'!$B$2:$B$10001,MATCH(4334,'Email Cleaner'!$H$2:$H$10001,0)),"")</f>
        <v/>
      </c>
    </row>
    <row r="4336">
      <c r="A4336">
        <f>IFERROR(INDEX('Email Cleaner'!$B$2:$B$10001,MATCH(4335,'Email Cleaner'!$H$2:$H$10001,0)),"")</f>
        <v/>
      </c>
    </row>
    <row r="4337">
      <c r="A4337">
        <f>IFERROR(INDEX('Email Cleaner'!$B$2:$B$10001,MATCH(4336,'Email Cleaner'!$H$2:$H$10001,0)),"")</f>
        <v/>
      </c>
    </row>
    <row r="4338">
      <c r="A4338">
        <f>IFERROR(INDEX('Email Cleaner'!$B$2:$B$10001,MATCH(4337,'Email Cleaner'!$H$2:$H$10001,0)),"")</f>
        <v/>
      </c>
    </row>
    <row r="4339">
      <c r="A4339">
        <f>IFERROR(INDEX('Email Cleaner'!$B$2:$B$10001,MATCH(4338,'Email Cleaner'!$H$2:$H$10001,0)),"")</f>
        <v/>
      </c>
    </row>
    <row r="4340">
      <c r="A4340">
        <f>IFERROR(INDEX('Email Cleaner'!$B$2:$B$10001,MATCH(4339,'Email Cleaner'!$H$2:$H$10001,0)),"")</f>
        <v/>
      </c>
    </row>
    <row r="4341">
      <c r="A4341">
        <f>IFERROR(INDEX('Email Cleaner'!$B$2:$B$10001,MATCH(4340,'Email Cleaner'!$H$2:$H$10001,0)),"")</f>
        <v/>
      </c>
    </row>
    <row r="4342">
      <c r="A4342">
        <f>IFERROR(INDEX('Email Cleaner'!$B$2:$B$10001,MATCH(4341,'Email Cleaner'!$H$2:$H$10001,0)),"")</f>
        <v/>
      </c>
    </row>
    <row r="4343">
      <c r="A4343">
        <f>IFERROR(INDEX('Email Cleaner'!$B$2:$B$10001,MATCH(4342,'Email Cleaner'!$H$2:$H$10001,0)),"")</f>
        <v/>
      </c>
    </row>
    <row r="4344">
      <c r="A4344">
        <f>IFERROR(INDEX('Email Cleaner'!$B$2:$B$10001,MATCH(4343,'Email Cleaner'!$H$2:$H$10001,0)),"")</f>
        <v/>
      </c>
    </row>
    <row r="4345">
      <c r="A4345">
        <f>IFERROR(INDEX('Email Cleaner'!$B$2:$B$10001,MATCH(4344,'Email Cleaner'!$H$2:$H$10001,0)),"")</f>
        <v/>
      </c>
    </row>
    <row r="4346">
      <c r="A4346">
        <f>IFERROR(INDEX('Email Cleaner'!$B$2:$B$10001,MATCH(4345,'Email Cleaner'!$H$2:$H$10001,0)),"")</f>
        <v/>
      </c>
    </row>
    <row r="4347">
      <c r="A4347">
        <f>IFERROR(INDEX('Email Cleaner'!$B$2:$B$10001,MATCH(4346,'Email Cleaner'!$H$2:$H$10001,0)),"")</f>
        <v/>
      </c>
    </row>
    <row r="4348">
      <c r="A4348">
        <f>IFERROR(INDEX('Email Cleaner'!$B$2:$B$10001,MATCH(4347,'Email Cleaner'!$H$2:$H$10001,0)),"")</f>
        <v/>
      </c>
    </row>
    <row r="4349">
      <c r="A4349">
        <f>IFERROR(INDEX('Email Cleaner'!$B$2:$B$10001,MATCH(4348,'Email Cleaner'!$H$2:$H$10001,0)),"")</f>
        <v/>
      </c>
    </row>
    <row r="4350">
      <c r="A4350">
        <f>IFERROR(INDEX('Email Cleaner'!$B$2:$B$10001,MATCH(4349,'Email Cleaner'!$H$2:$H$10001,0)),"")</f>
        <v/>
      </c>
    </row>
    <row r="4351">
      <c r="A4351">
        <f>IFERROR(INDEX('Email Cleaner'!$B$2:$B$10001,MATCH(4350,'Email Cleaner'!$H$2:$H$10001,0)),"")</f>
        <v/>
      </c>
    </row>
    <row r="4352">
      <c r="A4352">
        <f>IFERROR(INDEX('Email Cleaner'!$B$2:$B$10001,MATCH(4351,'Email Cleaner'!$H$2:$H$10001,0)),"")</f>
        <v/>
      </c>
    </row>
    <row r="4353">
      <c r="A4353">
        <f>IFERROR(INDEX('Email Cleaner'!$B$2:$B$10001,MATCH(4352,'Email Cleaner'!$H$2:$H$10001,0)),"")</f>
        <v/>
      </c>
    </row>
    <row r="4354">
      <c r="A4354">
        <f>IFERROR(INDEX('Email Cleaner'!$B$2:$B$10001,MATCH(4353,'Email Cleaner'!$H$2:$H$10001,0)),"")</f>
        <v/>
      </c>
    </row>
    <row r="4355">
      <c r="A4355">
        <f>IFERROR(INDEX('Email Cleaner'!$B$2:$B$10001,MATCH(4354,'Email Cleaner'!$H$2:$H$10001,0)),"")</f>
        <v/>
      </c>
    </row>
    <row r="4356">
      <c r="A4356">
        <f>IFERROR(INDEX('Email Cleaner'!$B$2:$B$10001,MATCH(4355,'Email Cleaner'!$H$2:$H$10001,0)),"")</f>
        <v/>
      </c>
    </row>
    <row r="4357">
      <c r="A4357">
        <f>IFERROR(INDEX('Email Cleaner'!$B$2:$B$10001,MATCH(4356,'Email Cleaner'!$H$2:$H$10001,0)),"")</f>
        <v/>
      </c>
    </row>
    <row r="4358">
      <c r="A4358">
        <f>IFERROR(INDEX('Email Cleaner'!$B$2:$B$10001,MATCH(4357,'Email Cleaner'!$H$2:$H$10001,0)),"")</f>
        <v/>
      </c>
    </row>
    <row r="4359">
      <c r="A4359">
        <f>IFERROR(INDEX('Email Cleaner'!$B$2:$B$10001,MATCH(4358,'Email Cleaner'!$H$2:$H$10001,0)),"")</f>
        <v/>
      </c>
    </row>
    <row r="4360">
      <c r="A4360">
        <f>IFERROR(INDEX('Email Cleaner'!$B$2:$B$10001,MATCH(4359,'Email Cleaner'!$H$2:$H$10001,0)),"")</f>
        <v/>
      </c>
    </row>
    <row r="4361">
      <c r="A4361">
        <f>IFERROR(INDEX('Email Cleaner'!$B$2:$B$10001,MATCH(4360,'Email Cleaner'!$H$2:$H$10001,0)),"")</f>
        <v/>
      </c>
    </row>
    <row r="4362">
      <c r="A4362">
        <f>IFERROR(INDEX('Email Cleaner'!$B$2:$B$10001,MATCH(4361,'Email Cleaner'!$H$2:$H$10001,0)),"")</f>
        <v/>
      </c>
    </row>
    <row r="4363">
      <c r="A4363">
        <f>IFERROR(INDEX('Email Cleaner'!$B$2:$B$10001,MATCH(4362,'Email Cleaner'!$H$2:$H$10001,0)),"")</f>
        <v/>
      </c>
    </row>
    <row r="4364">
      <c r="A4364">
        <f>IFERROR(INDEX('Email Cleaner'!$B$2:$B$10001,MATCH(4363,'Email Cleaner'!$H$2:$H$10001,0)),"")</f>
        <v/>
      </c>
    </row>
    <row r="4365">
      <c r="A4365">
        <f>IFERROR(INDEX('Email Cleaner'!$B$2:$B$10001,MATCH(4364,'Email Cleaner'!$H$2:$H$10001,0)),"")</f>
        <v/>
      </c>
    </row>
    <row r="4366">
      <c r="A4366">
        <f>IFERROR(INDEX('Email Cleaner'!$B$2:$B$10001,MATCH(4365,'Email Cleaner'!$H$2:$H$10001,0)),"")</f>
        <v/>
      </c>
    </row>
    <row r="4367">
      <c r="A4367">
        <f>IFERROR(INDEX('Email Cleaner'!$B$2:$B$10001,MATCH(4366,'Email Cleaner'!$H$2:$H$10001,0)),"")</f>
        <v/>
      </c>
    </row>
    <row r="4368">
      <c r="A4368">
        <f>IFERROR(INDEX('Email Cleaner'!$B$2:$B$10001,MATCH(4367,'Email Cleaner'!$H$2:$H$10001,0)),"")</f>
        <v/>
      </c>
    </row>
    <row r="4369">
      <c r="A4369">
        <f>IFERROR(INDEX('Email Cleaner'!$B$2:$B$10001,MATCH(4368,'Email Cleaner'!$H$2:$H$10001,0)),"")</f>
        <v/>
      </c>
    </row>
    <row r="4370">
      <c r="A4370">
        <f>IFERROR(INDEX('Email Cleaner'!$B$2:$B$10001,MATCH(4369,'Email Cleaner'!$H$2:$H$10001,0)),"")</f>
        <v/>
      </c>
    </row>
    <row r="4371">
      <c r="A4371">
        <f>IFERROR(INDEX('Email Cleaner'!$B$2:$B$10001,MATCH(4370,'Email Cleaner'!$H$2:$H$10001,0)),"")</f>
        <v/>
      </c>
    </row>
    <row r="4372">
      <c r="A4372">
        <f>IFERROR(INDEX('Email Cleaner'!$B$2:$B$10001,MATCH(4371,'Email Cleaner'!$H$2:$H$10001,0)),"")</f>
        <v/>
      </c>
    </row>
    <row r="4373">
      <c r="A4373">
        <f>IFERROR(INDEX('Email Cleaner'!$B$2:$B$10001,MATCH(4372,'Email Cleaner'!$H$2:$H$10001,0)),"")</f>
        <v/>
      </c>
    </row>
    <row r="4374">
      <c r="A4374">
        <f>IFERROR(INDEX('Email Cleaner'!$B$2:$B$10001,MATCH(4373,'Email Cleaner'!$H$2:$H$10001,0)),"")</f>
        <v/>
      </c>
    </row>
    <row r="4375">
      <c r="A4375">
        <f>IFERROR(INDEX('Email Cleaner'!$B$2:$B$10001,MATCH(4374,'Email Cleaner'!$H$2:$H$10001,0)),"")</f>
        <v/>
      </c>
    </row>
    <row r="4376">
      <c r="A4376">
        <f>IFERROR(INDEX('Email Cleaner'!$B$2:$B$10001,MATCH(4375,'Email Cleaner'!$H$2:$H$10001,0)),"")</f>
        <v/>
      </c>
    </row>
    <row r="4377">
      <c r="A4377">
        <f>IFERROR(INDEX('Email Cleaner'!$B$2:$B$10001,MATCH(4376,'Email Cleaner'!$H$2:$H$10001,0)),"")</f>
        <v/>
      </c>
    </row>
    <row r="4378">
      <c r="A4378">
        <f>IFERROR(INDEX('Email Cleaner'!$B$2:$B$10001,MATCH(4377,'Email Cleaner'!$H$2:$H$10001,0)),"")</f>
        <v/>
      </c>
    </row>
    <row r="4379">
      <c r="A4379">
        <f>IFERROR(INDEX('Email Cleaner'!$B$2:$B$10001,MATCH(4378,'Email Cleaner'!$H$2:$H$10001,0)),"")</f>
        <v/>
      </c>
    </row>
    <row r="4380">
      <c r="A4380">
        <f>IFERROR(INDEX('Email Cleaner'!$B$2:$B$10001,MATCH(4379,'Email Cleaner'!$H$2:$H$10001,0)),"")</f>
        <v/>
      </c>
    </row>
    <row r="4381">
      <c r="A4381">
        <f>IFERROR(INDEX('Email Cleaner'!$B$2:$B$10001,MATCH(4380,'Email Cleaner'!$H$2:$H$10001,0)),"")</f>
        <v/>
      </c>
    </row>
    <row r="4382">
      <c r="A4382">
        <f>IFERROR(INDEX('Email Cleaner'!$B$2:$B$10001,MATCH(4381,'Email Cleaner'!$H$2:$H$10001,0)),"")</f>
        <v/>
      </c>
    </row>
    <row r="4383">
      <c r="A4383">
        <f>IFERROR(INDEX('Email Cleaner'!$B$2:$B$10001,MATCH(4382,'Email Cleaner'!$H$2:$H$10001,0)),"")</f>
        <v/>
      </c>
    </row>
    <row r="4384">
      <c r="A4384">
        <f>IFERROR(INDEX('Email Cleaner'!$B$2:$B$10001,MATCH(4383,'Email Cleaner'!$H$2:$H$10001,0)),"")</f>
        <v/>
      </c>
    </row>
    <row r="4385">
      <c r="A4385">
        <f>IFERROR(INDEX('Email Cleaner'!$B$2:$B$10001,MATCH(4384,'Email Cleaner'!$H$2:$H$10001,0)),"")</f>
        <v/>
      </c>
    </row>
    <row r="4386">
      <c r="A4386">
        <f>IFERROR(INDEX('Email Cleaner'!$B$2:$B$10001,MATCH(4385,'Email Cleaner'!$H$2:$H$10001,0)),"")</f>
        <v/>
      </c>
    </row>
    <row r="4387">
      <c r="A4387">
        <f>IFERROR(INDEX('Email Cleaner'!$B$2:$B$10001,MATCH(4386,'Email Cleaner'!$H$2:$H$10001,0)),"")</f>
        <v/>
      </c>
    </row>
    <row r="4388">
      <c r="A4388">
        <f>IFERROR(INDEX('Email Cleaner'!$B$2:$B$10001,MATCH(4387,'Email Cleaner'!$H$2:$H$10001,0)),"")</f>
        <v/>
      </c>
    </row>
    <row r="4389">
      <c r="A4389">
        <f>IFERROR(INDEX('Email Cleaner'!$B$2:$B$10001,MATCH(4388,'Email Cleaner'!$H$2:$H$10001,0)),"")</f>
        <v/>
      </c>
    </row>
    <row r="4390">
      <c r="A4390">
        <f>IFERROR(INDEX('Email Cleaner'!$B$2:$B$10001,MATCH(4389,'Email Cleaner'!$H$2:$H$10001,0)),"")</f>
        <v/>
      </c>
    </row>
    <row r="4391">
      <c r="A4391">
        <f>IFERROR(INDEX('Email Cleaner'!$B$2:$B$10001,MATCH(4390,'Email Cleaner'!$H$2:$H$10001,0)),"")</f>
        <v/>
      </c>
    </row>
    <row r="4392">
      <c r="A4392">
        <f>IFERROR(INDEX('Email Cleaner'!$B$2:$B$10001,MATCH(4391,'Email Cleaner'!$H$2:$H$10001,0)),"")</f>
        <v/>
      </c>
    </row>
    <row r="4393">
      <c r="A4393">
        <f>IFERROR(INDEX('Email Cleaner'!$B$2:$B$10001,MATCH(4392,'Email Cleaner'!$H$2:$H$10001,0)),"")</f>
        <v/>
      </c>
    </row>
    <row r="4394">
      <c r="A4394">
        <f>IFERROR(INDEX('Email Cleaner'!$B$2:$B$10001,MATCH(4393,'Email Cleaner'!$H$2:$H$10001,0)),"")</f>
        <v/>
      </c>
    </row>
    <row r="4395">
      <c r="A4395">
        <f>IFERROR(INDEX('Email Cleaner'!$B$2:$B$10001,MATCH(4394,'Email Cleaner'!$H$2:$H$10001,0)),"")</f>
        <v/>
      </c>
    </row>
    <row r="4396">
      <c r="A4396">
        <f>IFERROR(INDEX('Email Cleaner'!$B$2:$B$10001,MATCH(4395,'Email Cleaner'!$H$2:$H$10001,0)),"")</f>
        <v/>
      </c>
    </row>
    <row r="4397">
      <c r="A4397">
        <f>IFERROR(INDEX('Email Cleaner'!$B$2:$B$10001,MATCH(4396,'Email Cleaner'!$H$2:$H$10001,0)),"")</f>
        <v/>
      </c>
    </row>
    <row r="4398">
      <c r="A4398">
        <f>IFERROR(INDEX('Email Cleaner'!$B$2:$B$10001,MATCH(4397,'Email Cleaner'!$H$2:$H$10001,0)),"")</f>
        <v/>
      </c>
    </row>
    <row r="4399">
      <c r="A4399">
        <f>IFERROR(INDEX('Email Cleaner'!$B$2:$B$10001,MATCH(4398,'Email Cleaner'!$H$2:$H$10001,0)),"")</f>
        <v/>
      </c>
    </row>
    <row r="4400">
      <c r="A4400">
        <f>IFERROR(INDEX('Email Cleaner'!$B$2:$B$10001,MATCH(4399,'Email Cleaner'!$H$2:$H$10001,0)),"")</f>
        <v/>
      </c>
    </row>
    <row r="4401">
      <c r="A4401">
        <f>IFERROR(INDEX('Email Cleaner'!$B$2:$B$10001,MATCH(4400,'Email Cleaner'!$H$2:$H$10001,0)),"")</f>
        <v/>
      </c>
    </row>
    <row r="4402">
      <c r="A4402">
        <f>IFERROR(INDEX('Email Cleaner'!$B$2:$B$10001,MATCH(4401,'Email Cleaner'!$H$2:$H$10001,0)),"")</f>
        <v/>
      </c>
    </row>
    <row r="4403">
      <c r="A4403">
        <f>IFERROR(INDEX('Email Cleaner'!$B$2:$B$10001,MATCH(4402,'Email Cleaner'!$H$2:$H$10001,0)),"")</f>
        <v/>
      </c>
    </row>
    <row r="4404">
      <c r="A4404">
        <f>IFERROR(INDEX('Email Cleaner'!$B$2:$B$10001,MATCH(4403,'Email Cleaner'!$H$2:$H$10001,0)),"")</f>
        <v/>
      </c>
    </row>
    <row r="4405">
      <c r="A4405">
        <f>IFERROR(INDEX('Email Cleaner'!$B$2:$B$10001,MATCH(4404,'Email Cleaner'!$H$2:$H$10001,0)),"")</f>
        <v/>
      </c>
    </row>
    <row r="4406">
      <c r="A4406">
        <f>IFERROR(INDEX('Email Cleaner'!$B$2:$B$10001,MATCH(4405,'Email Cleaner'!$H$2:$H$10001,0)),"")</f>
        <v/>
      </c>
    </row>
    <row r="4407">
      <c r="A4407">
        <f>IFERROR(INDEX('Email Cleaner'!$B$2:$B$10001,MATCH(4406,'Email Cleaner'!$H$2:$H$10001,0)),"")</f>
        <v/>
      </c>
    </row>
    <row r="4408">
      <c r="A4408">
        <f>IFERROR(INDEX('Email Cleaner'!$B$2:$B$10001,MATCH(4407,'Email Cleaner'!$H$2:$H$10001,0)),"")</f>
        <v/>
      </c>
    </row>
    <row r="4409">
      <c r="A4409">
        <f>IFERROR(INDEX('Email Cleaner'!$B$2:$B$10001,MATCH(4408,'Email Cleaner'!$H$2:$H$10001,0)),"")</f>
        <v/>
      </c>
    </row>
    <row r="4410">
      <c r="A4410">
        <f>IFERROR(INDEX('Email Cleaner'!$B$2:$B$10001,MATCH(4409,'Email Cleaner'!$H$2:$H$10001,0)),"")</f>
        <v/>
      </c>
    </row>
    <row r="4411">
      <c r="A4411">
        <f>IFERROR(INDEX('Email Cleaner'!$B$2:$B$10001,MATCH(4410,'Email Cleaner'!$H$2:$H$10001,0)),"")</f>
        <v/>
      </c>
    </row>
    <row r="4412">
      <c r="A4412">
        <f>IFERROR(INDEX('Email Cleaner'!$B$2:$B$10001,MATCH(4411,'Email Cleaner'!$H$2:$H$10001,0)),"")</f>
        <v/>
      </c>
    </row>
    <row r="4413">
      <c r="A4413">
        <f>IFERROR(INDEX('Email Cleaner'!$B$2:$B$10001,MATCH(4412,'Email Cleaner'!$H$2:$H$10001,0)),"")</f>
        <v/>
      </c>
    </row>
    <row r="4414">
      <c r="A4414">
        <f>IFERROR(INDEX('Email Cleaner'!$B$2:$B$10001,MATCH(4413,'Email Cleaner'!$H$2:$H$10001,0)),"")</f>
        <v/>
      </c>
    </row>
    <row r="4415">
      <c r="A4415">
        <f>IFERROR(INDEX('Email Cleaner'!$B$2:$B$10001,MATCH(4414,'Email Cleaner'!$H$2:$H$10001,0)),"")</f>
        <v/>
      </c>
    </row>
    <row r="4416">
      <c r="A4416">
        <f>IFERROR(INDEX('Email Cleaner'!$B$2:$B$10001,MATCH(4415,'Email Cleaner'!$H$2:$H$10001,0)),"")</f>
        <v/>
      </c>
    </row>
    <row r="4417">
      <c r="A4417">
        <f>IFERROR(INDEX('Email Cleaner'!$B$2:$B$10001,MATCH(4416,'Email Cleaner'!$H$2:$H$10001,0)),"")</f>
        <v/>
      </c>
    </row>
    <row r="4418">
      <c r="A4418">
        <f>IFERROR(INDEX('Email Cleaner'!$B$2:$B$10001,MATCH(4417,'Email Cleaner'!$H$2:$H$10001,0)),"")</f>
        <v/>
      </c>
    </row>
    <row r="4419">
      <c r="A4419">
        <f>IFERROR(INDEX('Email Cleaner'!$B$2:$B$10001,MATCH(4418,'Email Cleaner'!$H$2:$H$10001,0)),"")</f>
        <v/>
      </c>
    </row>
    <row r="4420">
      <c r="A4420">
        <f>IFERROR(INDEX('Email Cleaner'!$B$2:$B$10001,MATCH(4419,'Email Cleaner'!$H$2:$H$10001,0)),"")</f>
        <v/>
      </c>
    </row>
    <row r="4421">
      <c r="A4421">
        <f>IFERROR(INDEX('Email Cleaner'!$B$2:$B$10001,MATCH(4420,'Email Cleaner'!$H$2:$H$10001,0)),"")</f>
        <v/>
      </c>
    </row>
    <row r="4422">
      <c r="A4422">
        <f>IFERROR(INDEX('Email Cleaner'!$B$2:$B$10001,MATCH(4421,'Email Cleaner'!$H$2:$H$10001,0)),"")</f>
        <v/>
      </c>
    </row>
    <row r="4423">
      <c r="A4423">
        <f>IFERROR(INDEX('Email Cleaner'!$B$2:$B$10001,MATCH(4422,'Email Cleaner'!$H$2:$H$10001,0)),"")</f>
        <v/>
      </c>
    </row>
    <row r="4424">
      <c r="A4424">
        <f>IFERROR(INDEX('Email Cleaner'!$B$2:$B$10001,MATCH(4423,'Email Cleaner'!$H$2:$H$10001,0)),"")</f>
        <v/>
      </c>
    </row>
    <row r="4425">
      <c r="A4425">
        <f>IFERROR(INDEX('Email Cleaner'!$B$2:$B$10001,MATCH(4424,'Email Cleaner'!$H$2:$H$10001,0)),"")</f>
        <v/>
      </c>
    </row>
    <row r="4426">
      <c r="A4426">
        <f>IFERROR(INDEX('Email Cleaner'!$B$2:$B$10001,MATCH(4425,'Email Cleaner'!$H$2:$H$10001,0)),"")</f>
        <v/>
      </c>
    </row>
    <row r="4427">
      <c r="A4427">
        <f>IFERROR(INDEX('Email Cleaner'!$B$2:$B$10001,MATCH(4426,'Email Cleaner'!$H$2:$H$10001,0)),"")</f>
        <v/>
      </c>
    </row>
    <row r="4428">
      <c r="A4428">
        <f>IFERROR(INDEX('Email Cleaner'!$B$2:$B$10001,MATCH(4427,'Email Cleaner'!$H$2:$H$10001,0)),"")</f>
        <v/>
      </c>
    </row>
    <row r="4429">
      <c r="A4429">
        <f>IFERROR(INDEX('Email Cleaner'!$B$2:$B$10001,MATCH(4428,'Email Cleaner'!$H$2:$H$10001,0)),"")</f>
        <v/>
      </c>
    </row>
    <row r="4430">
      <c r="A4430">
        <f>IFERROR(INDEX('Email Cleaner'!$B$2:$B$10001,MATCH(4429,'Email Cleaner'!$H$2:$H$10001,0)),"")</f>
        <v/>
      </c>
    </row>
    <row r="4431">
      <c r="A4431">
        <f>IFERROR(INDEX('Email Cleaner'!$B$2:$B$10001,MATCH(4430,'Email Cleaner'!$H$2:$H$10001,0)),"")</f>
        <v/>
      </c>
    </row>
    <row r="4432">
      <c r="A4432">
        <f>IFERROR(INDEX('Email Cleaner'!$B$2:$B$10001,MATCH(4431,'Email Cleaner'!$H$2:$H$10001,0)),"")</f>
        <v/>
      </c>
    </row>
    <row r="4433">
      <c r="A4433">
        <f>IFERROR(INDEX('Email Cleaner'!$B$2:$B$10001,MATCH(4432,'Email Cleaner'!$H$2:$H$10001,0)),"")</f>
        <v/>
      </c>
    </row>
    <row r="4434">
      <c r="A4434">
        <f>IFERROR(INDEX('Email Cleaner'!$B$2:$B$10001,MATCH(4433,'Email Cleaner'!$H$2:$H$10001,0)),"")</f>
        <v/>
      </c>
    </row>
    <row r="4435">
      <c r="A4435">
        <f>IFERROR(INDEX('Email Cleaner'!$B$2:$B$10001,MATCH(4434,'Email Cleaner'!$H$2:$H$10001,0)),"")</f>
        <v/>
      </c>
    </row>
    <row r="4436">
      <c r="A4436">
        <f>IFERROR(INDEX('Email Cleaner'!$B$2:$B$10001,MATCH(4435,'Email Cleaner'!$H$2:$H$10001,0)),"")</f>
        <v/>
      </c>
    </row>
    <row r="4437">
      <c r="A4437">
        <f>IFERROR(INDEX('Email Cleaner'!$B$2:$B$10001,MATCH(4436,'Email Cleaner'!$H$2:$H$10001,0)),"")</f>
        <v/>
      </c>
    </row>
    <row r="4438">
      <c r="A4438">
        <f>IFERROR(INDEX('Email Cleaner'!$B$2:$B$10001,MATCH(4437,'Email Cleaner'!$H$2:$H$10001,0)),"")</f>
        <v/>
      </c>
    </row>
    <row r="4439">
      <c r="A4439">
        <f>IFERROR(INDEX('Email Cleaner'!$B$2:$B$10001,MATCH(4438,'Email Cleaner'!$H$2:$H$10001,0)),"")</f>
        <v/>
      </c>
    </row>
    <row r="4440">
      <c r="A4440">
        <f>IFERROR(INDEX('Email Cleaner'!$B$2:$B$10001,MATCH(4439,'Email Cleaner'!$H$2:$H$10001,0)),"")</f>
        <v/>
      </c>
    </row>
    <row r="4441">
      <c r="A4441">
        <f>IFERROR(INDEX('Email Cleaner'!$B$2:$B$10001,MATCH(4440,'Email Cleaner'!$H$2:$H$10001,0)),"")</f>
        <v/>
      </c>
    </row>
    <row r="4442">
      <c r="A4442">
        <f>IFERROR(INDEX('Email Cleaner'!$B$2:$B$10001,MATCH(4441,'Email Cleaner'!$H$2:$H$10001,0)),"")</f>
        <v/>
      </c>
    </row>
    <row r="4443">
      <c r="A4443">
        <f>IFERROR(INDEX('Email Cleaner'!$B$2:$B$10001,MATCH(4442,'Email Cleaner'!$H$2:$H$10001,0)),"")</f>
        <v/>
      </c>
    </row>
    <row r="4444">
      <c r="A4444">
        <f>IFERROR(INDEX('Email Cleaner'!$B$2:$B$10001,MATCH(4443,'Email Cleaner'!$H$2:$H$10001,0)),"")</f>
        <v/>
      </c>
    </row>
    <row r="4445">
      <c r="A4445">
        <f>IFERROR(INDEX('Email Cleaner'!$B$2:$B$10001,MATCH(4444,'Email Cleaner'!$H$2:$H$10001,0)),"")</f>
        <v/>
      </c>
    </row>
    <row r="4446">
      <c r="A4446">
        <f>IFERROR(INDEX('Email Cleaner'!$B$2:$B$10001,MATCH(4445,'Email Cleaner'!$H$2:$H$10001,0)),"")</f>
        <v/>
      </c>
    </row>
    <row r="4447">
      <c r="A4447">
        <f>IFERROR(INDEX('Email Cleaner'!$B$2:$B$10001,MATCH(4446,'Email Cleaner'!$H$2:$H$10001,0)),"")</f>
        <v/>
      </c>
    </row>
    <row r="4448">
      <c r="A4448">
        <f>IFERROR(INDEX('Email Cleaner'!$B$2:$B$10001,MATCH(4447,'Email Cleaner'!$H$2:$H$10001,0)),"")</f>
        <v/>
      </c>
    </row>
    <row r="4449">
      <c r="A4449">
        <f>IFERROR(INDEX('Email Cleaner'!$B$2:$B$10001,MATCH(4448,'Email Cleaner'!$H$2:$H$10001,0)),"")</f>
        <v/>
      </c>
    </row>
    <row r="4450">
      <c r="A4450">
        <f>IFERROR(INDEX('Email Cleaner'!$B$2:$B$10001,MATCH(4449,'Email Cleaner'!$H$2:$H$10001,0)),"")</f>
        <v/>
      </c>
    </row>
    <row r="4451">
      <c r="A4451">
        <f>IFERROR(INDEX('Email Cleaner'!$B$2:$B$10001,MATCH(4450,'Email Cleaner'!$H$2:$H$10001,0)),"")</f>
        <v/>
      </c>
    </row>
    <row r="4452">
      <c r="A4452">
        <f>IFERROR(INDEX('Email Cleaner'!$B$2:$B$10001,MATCH(4451,'Email Cleaner'!$H$2:$H$10001,0)),"")</f>
        <v/>
      </c>
    </row>
    <row r="4453">
      <c r="A4453">
        <f>IFERROR(INDEX('Email Cleaner'!$B$2:$B$10001,MATCH(4452,'Email Cleaner'!$H$2:$H$10001,0)),"")</f>
        <v/>
      </c>
    </row>
    <row r="4454">
      <c r="A4454">
        <f>IFERROR(INDEX('Email Cleaner'!$B$2:$B$10001,MATCH(4453,'Email Cleaner'!$H$2:$H$10001,0)),"")</f>
        <v/>
      </c>
    </row>
    <row r="4455">
      <c r="A4455">
        <f>IFERROR(INDEX('Email Cleaner'!$B$2:$B$10001,MATCH(4454,'Email Cleaner'!$H$2:$H$10001,0)),"")</f>
        <v/>
      </c>
    </row>
    <row r="4456">
      <c r="A4456">
        <f>IFERROR(INDEX('Email Cleaner'!$B$2:$B$10001,MATCH(4455,'Email Cleaner'!$H$2:$H$10001,0)),"")</f>
        <v/>
      </c>
    </row>
    <row r="4457">
      <c r="A4457">
        <f>IFERROR(INDEX('Email Cleaner'!$B$2:$B$10001,MATCH(4456,'Email Cleaner'!$H$2:$H$10001,0)),"")</f>
        <v/>
      </c>
    </row>
    <row r="4458">
      <c r="A4458">
        <f>IFERROR(INDEX('Email Cleaner'!$B$2:$B$10001,MATCH(4457,'Email Cleaner'!$H$2:$H$10001,0)),"")</f>
        <v/>
      </c>
    </row>
    <row r="4459">
      <c r="A4459">
        <f>IFERROR(INDEX('Email Cleaner'!$B$2:$B$10001,MATCH(4458,'Email Cleaner'!$H$2:$H$10001,0)),"")</f>
        <v/>
      </c>
    </row>
    <row r="4460">
      <c r="A4460">
        <f>IFERROR(INDEX('Email Cleaner'!$B$2:$B$10001,MATCH(4459,'Email Cleaner'!$H$2:$H$10001,0)),"")</f>
        <v/>
      </c>
    </row>
    <row r="4461">
      <c r="A4461">
        <f>IFERROR(INDEX('Email Cleaner'!$B$2:$B$10001,MATCH(4460,'Email Cleaner'!$H$2:$H$10001,0)),"")</f>
        <v/>
      </c>
    </row>
    <row r="4462">
      <c r="A4462">
        <f>IFERROR(INDEX('Email Cleaner'!$B$2:$B$10001,MATCH(4461,'Email Cleaner'!$H$2:$H$10001,0)),"")</f>
        <v/>
      </c>
    </row>
    <row r="4463">
      <c r="A4463">
        <f>IFERROR(INDEX('Email Cleaner'!$B$2:$B$10001,MATCH(4462,'Email Cleaner'!$H$2:$H$10001,0)),"")</f>
        <v/>
      </c>
    </row>
    <row r="4464">
      <c r="A4464">
        <f>IFERROR(INDEX('Email Cleaner'!$B$2:$B$10001,MATCH(4463,'Email Cleaner'!$H$2:$H$10001,0)),"")</f>
        <v/>
      </c>
    </row>
    <row r="4465">
      <c r="A4465">
        <f>IFERROR(INDEX('Email Cleaner'!$B$2:$B$10001,MATCH(4464,'Email Cleaner'!$H$2:$H$10001,0)),"")</f>
        <v/>
      </c>
    </row>
    <row r="4466">
      <c r="A4466">
        <f>IFERROR(INDEX('Email Cleaner'!$B$2:$B$10001,MATCH(4465,'Email Cleaner'!$H$2:$H$10001,0)),"")</f>
        <v/>
      </c>
    </row>
    <row r="4467">
      <c r="A4467">
        <f>IFERROR(INDEX('Email Cleaner'!$B$2:$B$10001,MATCH(4466,'Email Cleaner'!$H$2:$H$10001,0)),"")</f>
        <v/>
      </c>
    </row>
    <row r="4468">
      <c r="A4468">
        <f>IFERROR(INDEX('Email Cleaner'!$B$2:$B$10001,MATCH(4467,'Email Cleaner'!$H$2:$H$10001,0)),"")</f>
        <v/>
      </c>
    </row>
    <row r="4469">
      <c r="A4469">
        <f>IFERROR(INDEX('Email Cleaner'!$B$2:$B$10001,MATCH(4468,'Email Cleaner'!$H$2:$H$10001,0)),"")</f>
        <v/>
      </c>
    </row>
    <row r="4470">
      <c r="A4470">
        <f>IFERROR(INDEX('Email Cleaner'!$B$2:$B$10001,MATCH(4469,'Email Cleaner'!$H$2:$H$10001,0)),"")</f>
        <v/>
      </c>
    </row>
    <row r="4471">
      <c r="A4471">
        <f>IFERROR(INDEX('Email Cleaner'!$B$2:$B$10001,MATCH(4470,'Email Cleaner'!$H$2:$H$10001,0)),"")</f>
        <v/>
      </c>
    </row>
    <row r="4472">
      <c r="A4472">
        <f>IFERROR(INDEX('Email Cleaner'!$B$2:$B$10001,MATCH(4471,'Email Cleaner'!$H$2:$H$10001,0)),"")</f>
        <v/>
      </c>
    </row>
    <row r="4473">
      <c r="A4473">
        <f>IFERROR(INDEX('Email Cleaner'!$B$2:$B$10001,MATCH(4472,'Email Cleaner'!$H$2:$H$10001,0)),"")</f>
        <v/>
      </c>
    </row>
    <row r="4474">
      <c r="A4474">
        <f>IFERROR(INDEX('Email Cleaner'!$B$2:$B$10001,MATCH(4473,'Email Cleaner'!$H$2:$H$10001,0)),"")</f>
        <v/>
      </c>
    </row>
    <row r="4475">
      <c r="A4475">
        <f>IFERROR(INDEX('Email Cleaner'!$B$2:$B$10001,MATCH(4474,'Email Cleaner'!$H$2:$H$10001,0)),"")</f>
        <v/>
      </c>
    </row>
    <row r="4476">
      <c r="A4476">
        <f>IFERROR(INDEX('Email Cleaner'!$B$2:$B$10001,MATCH(4475,'Email Cleaner'!$H$2:$H$10001,0)),"")</f>
        <v/>
      </c>
    </row>
    <row r="4477">
      <c r="A4477">
        <f>IFERROR(INDEX('Email Cleaner'!$B$2:$B$10001,MATCH(4476,'Email Cleaner'!$H$2:$H$10001,0)),"")</f>
        <v/>
      </c>
    </row>
    <row r="4478">
      <c r="A4478">
        <f>IFERROR(INDEX('Email Cleaner'!$B$2:$B$10001,MATCH(4477,'Email Cleaner'!$H$2:$H$10001,0)),"")</f>
        <v/>
      </c>
    </row>
    <row r="4479">
      <c r="A4479">
        <f>IFERROR(INDEX('Email Cleaner'!$B$2:$B$10001,MATCH(4478,'Email Cleaner'!$H$2:$H$10001,0)),"")</f>
        <v/>
      </c>
    </row>
    <row r="4480">
      <c r="A4480">
        <f>IFERROR(INDEX('Email Cleaner'!$B$2:$B$10001,MATCH(4479,'Email Cleaner'!$H$2:$H$10001,0)),"")</f>
        <v/>
      </c>
    </row>
    <row r="4481">
      <c r="A4481">
        <f>IFERROR(INDEX('Email Cleaner'!$B$2:$B$10001,MATCH(4480,'Email Cleaner'!$H$2:$H$10001,0)),"")</f>
        <v/>
      </c>
    </row>
    <row r="4482">
      <c r="A4482">
        <f>IFERROR(INDEX('Email Cleaner'!$B$2:$B$10001,MATCH(4481,'Email Cleaner'!$H$2:$H$10001,0)),"")</f>
        <v/>
      </c>
    </row>
    <row r="4483">
      <c r="A4483">
        <f>IFERROR(INDEX('Email Cleaner'!$B$2:$B$10001,MATCH(4482,'Email Cleaner'!$H$2:$H$10001,0)),"")</f>
        <v/>
      </c>
    </row>
    <row r="4484">
      <c r="A4484">
        <f>IFERROR(INDEX('Email Cleaner'!$B$2:$B$10001,MATCH(4483,'Email Cleaner'!$H$2:$H$10001,0)),"")</f>
        <v/>
      </c>
    </row>
    <row r="4485">
      <c r="A4485">
        <f>IFERROR(INDEX('Email Cleaner'!$B$2:$B$10001,MATCH(4484,'Email Cleaner'!$H$2:$H$10001,0)),"")</f>
        <v/>
      </c>
    </row>
    <row r="4486">
      <c r="A4486">
        <f>IFERROR(INDEX('Email Cleaner'!$B$2:$B$10001,MATCH(4485,'Email Cleaner'!$H$2:$H$10001,0)),"")</f>
        <v/>
      </c>
    </row>
    <row r="4487">
      <c r="A4487">
        <f>IFERROR(INDEX('Email Cleaner'!$B$2:$B$10001,MATCH(4486,'Email Cleaner'!$H$2:$H$10001,0)),"")</f>
        <v/>
      </c>
    </row>
    <row r="4488">
      <c r="A4488">
        <f>IFERROR(INDEX('Email Cleaner'!$B$2:$B$10001,MATCH(4487,'Email Cleaner'!$H$2:$H$10001,0)),"")</f>
        <v/>
      </c>
    </row>
    <row r="4489">
      <c r="A4489">
        <f>IFERROR(INDEX('Email Cleaner'!$B$2:$B$10001,MATCH(4488,'Email Cleaner'!$H$2:$H$10001,0)),"")</f>
        <v/>
      </c>
    </row>
    <row r="4490">
      <c r="A4490">
        <f>IFERROR(INDEX('Email Cleaner'!$B$2:$B$10001,MATCH(4489,'Email Cleaner'!$H$2:$H$10001,0)),"")</f>
        <v/>
      </c>
    </row>
    <row r="4491">
      <c r="A4491">
        <f>IFERROR(INDEX('Email Cleaner'!$B$2:$B$10001,MATCH(4490,'Email Cleaner'!$H$2:$H$10001,0)),"")</f>
        <v/>
      </c>
    </row>
    <row r="4492">
      <c r="A4492">
        <f>IFERROR(INDEX('Email Cleaner'!$B$2:$B$10001,MATCH(4491,'Email Cleaner'!$H$2:$H$10001,0)),"")</f>
        <v/>
      </c>
    </row>
    <row r="4493">
      <c r="A4493">
        <f>IFERROR(INDEX('Email Cleaner'!$B$2:$B$10001,MATCH(4492,'Email Cleaner'!$H$2:$H$10001,0)),"")</f>
        <v/>
      </c>
    </row>
    <row r="4494">
      <c r="A4494">
        <f>IFERROR(INDEX('Email Cleaner'!$B$2:$B$10001,MATCH(4493,'Email Cleaner'!$H$2:$H$10001,0)),"")</f>
        <v/>
      </c>
    </row>
    <row r="4495">
      <c r="A4495">
        <f>IFERROR(INDEX('Email Cleaner'!$B$2:$B$10001,MATCH(4494,'Email Cleaner'!$H$2:$H$10001,0)),"")</f>
        <v/>
      </c>
    </row>
    <row r="4496">
      <c r="A4496">
        <f>IFERROR(INDEX('Email Cleaner'!$B$2:$B$10001,MATCH(4495,'Email Cleaner'!$H$2:$H$10001,0)),"")</f>
        <v/>
      </c>
    </row>
    <row r="4497">
      <c r="A4497">
        <f>IFERROR(INDEX('Email Cleaner'!$B$2:$B$10001,MATCH(4496,'Email Cleaner'!$H$2:$H$10001,0)),"")</f>
        <v/>
      </c>
    </row>
    <row r="4498">
      <c r="A4498">
        <f>IFERROR(INDEX('Email Cleaner'!$B$2:$B$10001,MATCH(4497,'Email Cleaner'!$H$2:$H$10001,0)),"")</f>
        <v/>
      </c>
    </row>
    <row r="4499">
      <c r="A4499">
        <f>IFERROR(INDEX('Email Cleaner'!$B$2:$B$10001,MATCH(4498,'Email Cleaner'!$H$2:$H$10001,0)),"")</f>
        <v/>
      </c>
    </row>
    <row r="4500">
      <c r="A4500">
        <f>IFERROR(INDEX('Email Cleaner'!$B$2:$B$10001,MATCH(4499,'Email Cleaner'!$H$2:$H$10001,0)),"")</f>
        <v/>
      </c>
    </row>
    <row r="4501">
      <c r="A4501">
        <f>IFERROR(INDEX('Email Cleaner'!$B$2:$B$10001,MATCH(4500,'Email Cleaner'!$H$2:$H$10001,0)),"")</f>
        <v/>
      </c>
    </row>
    <row r="4502">
      <c r="A4502">
        <f>IFERROR(INDEX('Email Cleaner'!$B$2:$B$10001,MATCH(4501,'Email Cleaner'!$H$2:$H$10001,0)),"")</f>
        <v/>
      </c>
    </row>
    <row r="4503">
      <c r="A4503">
        <f>IFERROR(INDEX('Email Cleaner'!$B$2:$B$10001,MATCH(4502,'Email Cleaner'!$H$2:$H$10001,0)),"")</f>
        <v/>
      </c>
    </row>
    <row r="4504">
      <c r="A4504">
        <f>IFERROR(INDEX('Email Cleaner'!$B$2:$B$10001,MATCH(4503,'Email Cleaner'!$H$2:$H$10001,0)),"")</f>
        <v/>
      </c>
    </row>
    <row r="4505">
      <c r="A4505">
        <f>IFERROR(INDEX('Email Cleaner'!$B$2:$B$10001,MATCH(4504,'Email Cleaner'!$H$2:$H$10001,0)),"")</f>
        <v/>
      </c>
    </row>
    <row r="4506">
      <c r="A4506">
        <f>IFERROR(INDEX('Email Cleaner'!$B$2:$B$10001,MATCH(4505,'Email Cleaner'!$H$2:$H$10001,0)),"")</f>
        <v/>
      </c>
    </row>
    <row r="4507">
      <c r="A4507">
        <f>IFERROR(INDEX('Email Cleaner'!$B$2:$B$10001,MATCH(4506,'Email Cleaner'!$H$2:$H$10001,0)),"")</f>
        <v/>
      </c>
    </row>
    <row r="4508">
      <c r="A4508">
        <f>IFERROR(INDEX('Email Cleaner'!$B$2:$B$10001,MATCH(4507,'Email Cleaner'!$H$2:$H$10001,0)),"")</f>
        <v/>
      </c>
    </row>
    <row r="4509">
      <c r="A4509">
        <f>IFERROR(INDEX('Email Cleaner'!$B$2:$B$10001,MATCH(4508,'Email Cleaner'!$H$2:$H$10001,0)),"")</f>
        <v/>
      </c>
    </row>
    <row r="4510">
      <c r="A4510">
        <f>IFERROR(INDEX('Email Cleaner'!$B$2:$B$10001,MATCH(4509,'Email Cleaner'!$H$2:$H$10001,0)),"")</f>
        <v/>
      </c>
    </row>
    <row r="4511">
      <c r="A4511">
        <f>IFERROR(INDEX('Email Cleaner'!$B$2:$B$10001,MATCH(4510,'Email Cleaner'!$H$2:$H$10001,0)),"")</f>
        <v/>
      </c>
    </row>
    <row r="4512">
      <c r="A4512">
        <f>IFERROR(INDEX('Email Cleaner'!$B$2:$B$10001,MATCH(4511,'Email Cleaner'!$H$2:$H$10001,0)),"")</f>
        <v/>
      </c>
    </row>
    <row r="4513">
      <c r="A4513">
        <f>IFERROR(INDEX('Email Cleaner'!$B$2:$B$10001,MATCH(4512,'Email Cleaner'!$H$2:$H$10001,0)),"")</f>
        <v/>
      </c>
    </row>
    <row r="4514">
      <c r="A4514">
        <f>IFERROR(INDEX('Email Cleaner'!$B$2:$B$10001,MATCH(4513,'Email Cleaner'!$H$2:$H$10001,0)),"")</f>
        <v/>
      </c>
    </row>
    <row r="4515">
      <c r="A4515">
        <f>IFERROR(INDEX('Email Cleaner'!$B$2:$B$10001,MATCH(4514,'Email Cleaner'!$H$2:$H$10001,0)),"")</f>
        <v/>
      </c>
    </row>
    <row r="4516">
      <c r="A4516">
        <f>IFERROR(INDEX('Email Cleaner'!$B$2:$B$10001,MATCH(4515,'Email Cleaner'!$H$2:$H$10001,0)),"")</f>
        <v/>
      </c>
    </row>
    <row r="4517">
      <c r="A4517">
        <f>IFERROR(INDEX('Email Cleaner'!$B$2:$B$10001,MATCH(4516,'Email Cleaner'!$H$2:$H$10001,0)),"")</f>
        <v/>
      </c>
    </row>
    <row r="4518">
      <c r="A4518">
        <f>IFERROR(INDEX('Email Cleaner'!$B$2:$B$10001,MATCH(4517,'Email Cleaner'!$H$2:$H$10001,0)),"")</f>
        <v/>
      </c>
    </row>
    <row r="4519">
      <c r="A4519">
        <f>IFERROR(INDEX('Email Cleaner'!$B$2:$B$10001,MATCH(4518,'Email Cleaner'!$H$2:$H$10001,0)),"")</f>
        <v/>
      </c>
    </row>
    <row r="4520">
      <c r="A4520">
        <f>IFERROR(INDEX('Email Cleaner'!$B$2:$B$10001,MATCH(4519,'Email Cleaner'!$H$2:$H$10001,0)),"")</f>
        <v/>
      </c>
    </row>
    <row r="4521">
      <c r="A4521">
        <f>IFERROR(INDEX('Email Cleaner'!$B$2:$B$10001,MATCH(4520,'Email Cleaner'!$H$2:$H$10001,0)),"")</f>
        <v/>
      </c>
    </row>
    <row r="4522">
      <c r="A4522">
        <f>IFERROR(INDEX('Email Cleaner'!$B$2:$B$10001,MATCH(4521,'Email Cleaner'!$H$2:$H$10001,0)),"")</f>
        <v/>
      </c>
    </row>
    <row r="4523">
      <c r="A4523">
        <f>IFERROR(INDEX('Email Cleaner'!$B$2:$B$10001,MATCH(4522,'Email Cleaner'!$H$2:$H$10001,0)),"")</f>
        <v/>
      </c>
    </row>
    <row r="4524">
      <c r="A4524">
        <f>IFERROR(INDEX('Email Cleaner'!$B$2:$B$10001,MATCH(4523,'Email Cleaner'!$H$2:$H$10001,0)),"")</f>
        <v/>
      </c>
    </row>
    <row r="4525">
      <c r="A4525">
        <f>IFERROR(INDEX('Email Cleaner'!$B$2:$B$10001,MATCH(4524,'Email Cleaner'!$H$2:$H$10001,0)),"")</f>
        <v/>
      </c>
    </row>
    <row r="4526">
      <c r="A4526">
        <f>IFERROR(INDEX('Email Cleaner'!$B$2:$B$10001,MATCH(4525,'Email Cleaner'!$H$2:$H$10001,0)),"")</f>
        <v/>
      </c>
    </row>
    <row r="4527">
      <c r="A4527">
        <f>IFERROR(INDEX('Email Cleaner'!$B$2:$B$10001,MATCH(4526,'Email Cleaner'!$H$2:$H$10001,0)),"")</f>
        <v/>
      </c>
    </row>
    <row r="4528">
      <c r="A4528">
        <f>IFERROR(INDEX('Email Cleaner'!$B$2:$B$10001,MATCH(4527,'Email Cleaner'!$H$2:$H$10001,0)),"")</f>
        <v/>
      </c>
    </row>
    <row r="4529">
      <c r="A4529">
        <f>IFERROR(INDEX('Email Cleaner'!$B$2:$B$10001,MATCH(4528,'Email Cleaner'!$H$2:$H$10001,0)),"")</f>
        <v/>
      </c>
    </row>
    <row r="4530">
      <c r="A4530">
        <f>IFERROR(INDEX('Email Cleaner'!$B$2:$B$10001,MATCH(4529,'Email Cleaner'!$H$2:$H$10001,0)),"")</f>
        <v/>
      </c>
    </row>
    <row r="4531">
      <c r="A4531">
        <f>IFERROR(INDEX('Email Cleaner'!$B$2:$B$10001,MATCH(4530,'Email Cleaner'!$H$2:$H$10001,0)),"")</f>
        <v/>
      </c>
    </row>
    <row r="4532">
      <c r="A4532">
        <f>IFERROR(INDEX('Email Cleaner'!$B$2:$B$10001,MATCH(4531,'Email Cleaner'!$H$2:$H$10001,0)),"")</f>
        <v/>
      </c>
    </row>
    <row r="4533">
      <c r="A4533">
        <f>IFERROR(INDEX('Email Cleaner'!$B$2:$B$10001,MATCH(4532,'Email Cleaner'!$H$2:$H$10001,0)),"")</f>
        <v/>
      </c>
    </row>
    <row r="4534">
      <c r="A4534">
        <f>IFERROR(INDEX('Email Cleaner'!$B$2:$B$10001,MATCH(4533,'Email Cleaner'!$H$2:$H$10001,0)),"")</f>
        <v/>
      </c>
    </row>
    <row r="4535">
      <c r="A4535">
        <f>IFERROR(INDEX('Email Cleaner'!$B$2:$B$10001,MATCH(4534,'Email Cleaner'!$H$2:$H$10001,0)),"")</f>
        <v/>
      </c>
    </row>
    <row r="4536">
      <c r="A4536">
        <f>IFERROR(INDEX('Email Cleaner'!$B$2:$B$10001,MATCH(4535,'Email Cleaner'!$H$2:$H$10001,0)),"")</f>
        <v/>
      </c>
    </row>
    <row r="4537">
      <c r="A4537">
        <f>IFERROR(INDEX('Email Cleaner'!$B$2:$B$10001,MATCH(4536,'Email Cleaner'!$H$2:$H$10001,0)),"")</f>
        <v/>
      </c>
    </row>
    <row r="4538">
      <c r="A4538">
        <f>IFERROR(INDEX('Email Cleaner'!$B$2:$B$10001,MATCH(4537,'Email Cleaner'!$H$2:$H$10001,0)),"")</f>
        <v/>
      </c>
    </row>
    <row r="4539">
      <c r="A4539">
        <f>IFERROR(INDEX('Email Cleaner'!$B$2:$B$10001,MATCH(4538,'Email Cleaner'!$H$2:$H$10001,0)),"")</f>
        <v/>
      </c>
    </row>
    <row r="4540">
      <c r="A4540">
        <f>IFERROR(INDEX('Email Cleaner'!$B$2:$B$10001,MATCH(4539,'Email Cleaner'!$H$2:$H$10001,0)),"")</f>
        <v/>
      </c>
    </row>
    <row r="4541">
      <c r="A4541">
        <f>IFERROR(INDEX('Email Cleaner'!$B$2:$B$10001,MATCH(4540,'Email Cleaner'!$H$2:$H$10001,0)),"")</f>
        <v/>
      </c>
    </row>
    <row r="4542">
      <c r="A4542">
        <f>IFERROR(INDEX('Email Cleaner'!$B$2:$B$10001,MATCH(4541,'Email Cleaner'!$H$2:$H$10001,0)),"")</f>
        <v/>
      </c>
    </row>
    <row r="4543">
      <c r="A4543">
        <f>IFERROR(INDEX('Email Cleaner'!$B$2:$B$10001,MATCH(4542,'Email Cleaner'!$H$2:$H$10001,0)),"")</f>
        <v/>
      </c>
    </row>
    <row r="4544">
      <c r="A4544">
        <f>IFERROR(INDEX('Email Cleaner'!$B$2:$B$10001,MATCH(4543,'Email Cleaner'!$H$2:$H$10001,0)),"")</f>
        <v/>
      </c>
    </row>
    <row r="4545">
      <c r="A4545">
        <f>IFERROR(INDEX('Email Cleaner'!$B$2:$B$10001,MATCH(4544,'Email Cleaner'!$H$2:$H$10001,0)),"")</f>
        <v/>
      </c>
    </row>
    <row r="4546">
      <c r="A4546">
        <f>IFERROR(INDEX('Email Cleaner'!$B$2:$B$10001,MATCH(4545,'Email Cleaner'!$H$2:$H$10001,0)),"")</f>
        <v/>
      </c>
    </row>
    <row r="4547">
      <c r="A4547">
        <f>IFERROR(INDEX('Email Cleaner'!$B$2:$B$10001,MATCH(4546,'Email Cleaner'!$H$2:$H$10001,0)),"")</f>
        <v/>
      </c>
    </row>
    <row r="4548">
      <c r="A4548">
        <f>IFERROR(INDEX('Email Cleaner'!$B$2:$B$10001,MATCH(4547,'Email Cleaner'!$H$2:$H$10001,0)),"")</f>
        <v/>
      </c>
    </row>
    <row r="4549">
      <c r="A4549">
        <f>IFERROR(INDEX('Email Cleaner'!$B$2:$B$10001,MATCH(4548,'Email Cleaner'!$H$2:$H$10001,0)),"")</f>
        <v/>
      </c>
    </row>
    <row r="4550">
      <c r="A4550">
        <f>IFERROR(INDEX('Email Cleaner'!$B$2:$B$10001,MATCH(4549,'Email Cleaner'!$H$2:$H$10001,0)),"")</f>
        <v/>
      </c>
    </row>
    <row r="4551">
      <c r="A4551">
        <f>IFERROR(INDEX('Email Cleaner'!$B$2:$B$10001,MATCH(4550,'Email Cleaner'!$H$2:$H$10001,0)),"")</f>
        <v/>
      </c>
    </row>
    <row r="4552">
      <c r="A4552">
        <f>IFERROR(INDEX('Email Cleaner'!$B$2:$B$10001,MATCH(4551,'Email Cleaner'!$H$2:$H$10001,0)),"")</f>
        <v/>
      </c>
    </row>
    <row r="4553">
      <c r="A4553">
        <f>IFERROR(INDEX('Email Cleaner'!$B$2:$B$10001,MATCH(4552,'Email Cleaner'!$H$2:$H$10001,0)),"")</f>
        <v/>
      </c>
    </row>
    <row r="4554">
      <c r="A4554">
        <f>IFERROR(INDEX('Email Cleaner'!$B$2:$B$10001,MATCH(4553,'Email Cleaner'!$H$2:$H$10001,0)),"")</f>
        <v/>
      </c>
    </row>
    <row r="4555">
      <c r="A4555">
        <f>IFERROR(INDEX('Email Cleaner'!$B$2:$B$10001,MATCH(4554,'Email Cleaner'!$H$2:$H$10001,0)),"")</f>
        <v/>
      </c>
    </row>
    <row r="4556">
      <c r="A4556">
        <f>IFERROR(INDEX('Email Cleaner'!$B$2:$B$10001,MATCH(4555,'Email Cleaner'!$H$2:$H$10001,0)),"")</f>
        <v/>
      </c>
    </row>
    <row r="4557">
      <c r="A4557">
        <f>IFERROR(INDEX('Email Cleaner'!$B$2:$B$10001,MATCH(4556,'Email Cleaner'!$H$2:$H$10001,0)),"")</f>
        <v/>
      </c>
    </row>
    <row r="4558">
      <c r="A4558">
        <f>IFERROR(INDEX('Email Cleaner'!$B$2:$B$10001,MATCH(4557,'Email Cleaner'!$H$2:$H$10001,0)),"")</f>
        <v/>
      </c>
    </row>
    <row r="4559">
      <c r="A4559">
        <f>IFERROR(INDEX('Email Cleaner'!$B$2:$B$10001,MATCH(4558,'Email Cleaner'!$H$2:$H$10001,0)),"")</f>
        <v/>
      </c>
    </row>
    <row r="4560">
      <c r="A4560">
        <f>IFERROR(INDEX('Email Cleaner'!$B$2:$B$10001,MATCH(4559,'Email Cleaner'!$H$2:$H$10001,0)),"")</f>
        <v/>
      </c>
    </row>
    <row r="4561">
      <c r="A4561">
        <f>IFERROR(INDEX('Email Cleaner'!$B$2:$B$10001,MATCH(4560,'Email Cleaner'!$H$2:$H$10001,0)),"")</f>
        <v/>
      </c>
    </row>
    <row r="4562">
      <c r="A4562">
        <f>IFERROR(INDEX('Email Cleaner'!$B$2:$B$10001,MATCH(4561,'Email Cleaner'!$H$2:$H$10001,0)),"")</f>
        <v/>
      </c>
    </row>
    <row r="4563">
      <c r="A4563">
        <f>IFERROR(INDEX('Email Cleaner'!$B$2:$B$10001,MATCH(4562,'Email Cleaner'!$H$2:$H$10001,0)),"")</f>
        <v/>
      </c>
    </row>
    <row r="4564">
      <c r="A4564">
        <f>IFERROR(INDEX('Email Cleaner'!$B$2:$B$10001,MATCH(4563,'Email Cleaner'!$H$2:$H$10001,0)),"")</f>
        <v/>
      </c>
    </row>
    <row r="4565">
      <c r="A4565">
        <f>IFERROR(INDEX('Email Cleaner'!$B$2:$B$10001,MATCH(4564,'Email Cleaner'!$H$2:$H$10001,0)),"")</f>
        <v/>
      </c>
    </row>
    <row r="4566">
      <c r="A4566">
        <f>IFERROR(INDEX('Email Cleaner'!$B$2:$B$10001,MATCH(4565,'Email Cleaner'!$H$2:$H$10001,0)),"")</f>
        <v/>
      </c>
    </row>
    <row r="4567">
      <c r="A4567">
        <f>IFERROR(INDEX('Email Cleaner'!$B$2:$B$10001,MATCH(4566,'Email Cleaner'!$H$2:$H$10001,0)),"")</f>
        <v/>
      </c>
    </row>
    <row r="4568">
      <c r="A4568">
        <f>IFERROR(INDEX('Email Cleaner'!$B$2:$B$10001,MATCH(4567,'Email Cleaner'!$H$2:$H$10001,0)),"")</f>
        <v/>
      </c>
    </row>
    <row r="4569">
      <c r="A4569">
        <f>IFERROR(INDEX('Email Cleaner'!$B$2:$B$10001,MATCH(4568,'Email Cleaner'!$H$2:$H$10001,0)),"")</f>
        <v/>
      </c>
    </row>
    <row r="4570">
      <c r="A4570">
        <f>IFERROR(INDEX('Email Cleaner'!$B$2:$B$10001,MATCH(4569,'Email Cleaner'!$H$2:$H$10001,0)),"")</f>
        <v/>
      </c>
    </row>
    <row r="4571">
      <c r="A4571">
        <f>IFERROR(INDEX('Email Cleaner'!$B$2:$B$10001,MATCH(4570,'Email Cleaner'!$H$2:$H$10001,0)),"")</f>
        <v/>
      </c>
    </row>
    <row r="4572">
      <c r="A4572">
        <f>IFERROR(INDEX('Email Cleaner'!$B$2:$B$10001,MATCH(4571,'Email Cleaner'!$H$2:$H$10001,0)),"")</f>
        <v/>
      </c>
    </row>
    <row r="4573">
      <c r="A4573">
        <f>IFERROR(INDEX('Email Cleaner'!$B$2:$B$10001,MATCH(4572,'Email Cleaner'!$H$2:$H$10001,0)),"")</f>
        <v/>
      </c>
    </row>
    <row r="4574">
      <c r="A4574">
        <f>IFERROR(INDEX('Email Cleaner'!$B$2:$B$10001,MATCH(4573,'Email Cleaner'!$H$2:$H$10001,0)),"")</f>
        <v/>
      </c>
    </row>
    <row r="4575">
      <c r="A4575">
        <f>IFERROR(INDEX('Email Cleaner'!$B$2:$B$10001,MATCH(4574,'Email Cleaner'!$H$2:$H$10001,0)),"")</f>
        <v/>
      </c>
    </row>
    <row r="4576">
      <c r="A4576">
        <f>IFERROR(INDEX('Email Cleaner'!$B$2:$B$10001,MATCH(4575,'Email Cleaner'!$H$2:$H$10001,0)),"")</f>
        <v/>
      </c>
    </row>
    <row r="4577">
      <c r="A4577">
        <f>IFERROR(INDEX('Email Cleaner'!$B$2:$B$10001,MATCH(4576,'Email Cleaner'!$H$2:$H$10001,0)),"")</f>
        <v/>
      </c>
    </row>
    <row r="4578">
      <c r="A4578">
        <f>IFERROR(INDEX('Email Cleaner'!$B$2:$B$10001,MATCH(4577,'Email Cleaner'!$H$2:$H$10001,0)),"")</f>
        <v/>
      </c>
    </row>
    <row r="4579">
      <c r="A4579">
        <f>IFERROR(INDEX('Email Cleaner'!$B$2:$B$10001,MATCH(4578,'Email Cleaner'!$H$2:$H$10001,0)),"")</f>
        <v/>
      </c>
    </row>
    <row r="4580">
      <c r="A4580">
        <f>IFERROR(INDEX('Email Cleaner'!$B$2:$B$10001,MATCH(4579,'Email Cleaner'!$H$2:$H$10001,0)),"")</f>
        <v/>
      </c>
    </row>
    <row r="4581">
      <c r="A4581">
        <f>IFERROR(INDEX('Email Cleaner'!$B$2:$B$10001,MATCH(4580,'Email Cleaner'!$H$2:$H$10001,0)),"")</f>
        <v/>
      </c>
    </row>
    <row r="4582">
      <c r="A4582">
        <f>IFERROR(INDEX('Email Cleaner'!$B$2:$B$10001,MATCH(4581,'Email Cleaner'!$H$2:$H$10001,0)),"")</f>
        <v/>
      </c>
    </row>
    <row r="4583">
      <c r="A4583">
        <f>IFERROR(INDEX('Email Cleaner'!$B$2:$B$10001,MATCH(4582,'Email Cleaner'!$H$2:$H$10001,0)),"")</f>
        <v/>
      </c>
    </row>
    <row r="4584">
      <c r="A4584">
        <f>IFERROR(INDEX('Email Cleaner'!$B$2:$B$10001,MATCH(4583,'Email Cleaner'!$H$2:$H$10001,0)),"")</f>
        <v/>
      </c>
    </row>
    <row r="4585">
      <c r="A4585">
        <f>IFERROR(INDEX('Email Cleaner'!$B$2:$B$10001,MATCH(4584,'Email Cleaner'!$H$2:$H$10001,0)),"")</f>
        <v/>
      </c>
    </row>
    <row r="4586">
      <c r="A4586">
        <f>IFERROR(INDEX('Email Cleaner'!$B$2:$B$10001,MATCH(4585,'Email Cleaner'!$H$2:$H$10001,0)),"")</f>
        <v/>
      </c>
    </row>
    <row r="4587">
      <c r="A4587">
        <f>IFERROR(INDEX('Email Cleaner'!$B$2:$B$10001,MATCH(4586,'Email Cleaner'!$H$2:$H$10001,0)),"")</f>
        <v/>
      </c>
    </row>
    <row r="4588">
      <c r="A4588">
        <f>IFERROR(INDEX('Email Cleaner'!$B$2:$B$10001,MATCH(4587,'Email Cleaner'!$H$2:$H$10001,0)),"")</f>
        <v/>
      </c>
    </row>
    <row r="4589">
      <c r="A4589">
        <f>IFERROR(INDEX('Email Cleaner'!$B$2:$B$10001,MATCH(4588,'Email Cleaner'!$H$2:$H$10001,0)),"")</f>
        <v/>
      </c>
    </row>
    <row r="4590">
      <c r="A4590">
        <f>IFERROR(INDEX('Email Cleaner'!$B$2:$B$10001,MATCH(4589,'Email Cleaner'!$H$2:$H$10001,0)),"")</f>
        <v/>
      </c>
    </row>
    <row r="4591">
      <c r="A4591">
        <f>IFERROR(INDEX('Email Cleaner'!$B$2:$B$10001,MATCH(4590,'Email Cleaner'!$H$2:$H$10001,0)),"")</f>
        <v/>
      </c>
    </row>
    <row r="4592">
      <c r="A4592">
        <f>IFERROR(INDEX('Email Cleaner'!$B$2:$B$10001,MATCH(4591,'Email Cleaner'!$H$2:$H$10001,0)),"")</f>
        <v/>
      </c>
    </row>
    <row r="4593">
      <c r="A4593">
        <f>IFERROR(INDEX('Email Cleaner'!$B$2:$B$10001,MATCH(4592,'Email Cleaner'!$H$2:$H$10001,0)),"")</f>
        <v/>
      </c>
    </row>
    <row r="4594">
      <c r="A4594">
        <f>IFERROR(INDEX('Email Cleaner'!$B$2:$B$10001,MATCH(4593,'Email Cleaner'!$H$2:$H$10001,0)),"")</f>
        <v/>
      </c>
    </row>
    <row r="4595">
      <c r="A4595">
        <f>IFERROR(INDEX('Email Cleaner'!$B$2:$B$10001,MATCH(4594,'Email Cleaner'!$H$2:$H$10001,0)),"")</f>
        <v/>
      </c>
    </row>
    <row r="4596">
      <c r="A4596">
        <f>IFERROR(INDEX('Email Cleaner'!$B$2:$B$10001,MATCH(4595,'Email Cleaner'!$H$2:$H$10001,0)),"")</f>
        <v/>
      </c>
    </row>
    <row r="4597">
      <c r="A4597">
        <f>IFERROR(INDEX('Email Cleaner'!$B$2:$B$10001,MATCH(4596,'Email Cleaner'!$H$2:$H$10001,0)),"")</f>
        <v/>
      </c>
    </row>
    <row r="4598">
      <c r="A4598">
        <f>IFERROR(INDEX('Email Cleaner'!$B$2:$B$10001,MATCH(4597,'Email Cleaner'!$H$2:$H$10001,0)),"")</f>
        <v/>
      </c>
    </row>
    <row r="4599">
      <c r="A4599">
        <f>IFERROR(INDEX('Email Cleaner'!$B$2:$B$10001,MATCH(4598,'Email Cleaner'!$H$2:$H$10001,0)),"")</f>
        <v/>
      </c>
    </row>
    <row r="4600">
      <c r="A4600">
        <f>IFERROR(INDEX('Email Cleaner'!$B$2:$B$10001,MATCH(4599,'Email Cleaner'!$H$2:$H$10001,0)),"")</f>
        <v/>
      </c>
    </row>
    <row r="4601">
      <c r="A4601">
        <f>IFERROR(INDEX('Email Cleaner'!$B$2:$B$10001,MATCH(4600,'Email Cleaner'!$H$2:$H$10001,0)),"")</f>
        <v/>
      </c>
    </row>
    <row r="4602">
      <c r="A4602">
        <f>IFERROR(INDEX('Email Cleaner'!$B$2:$B$10001,MATCH(4601,'Email Cleaner'!$H$2:$H$10001,0)),"")</f>
        <v/>
      </c>
    </row>
    <row r="4603">
      <c r="A4603">
        <f>IFERROR(INDEX('Email Cleaner'!$B$2:$B$10001,MATCH(4602,'Email Cleaner'!$H$2:$H$10001,0)),"")</f>
        <v/>
      </c>
    </row>
    <row r="4604">
      <c r="A4604">
        <f>IFERROR(INDEX('Email Cleaner'!$B$2:$B$10001,MATCH(4603,'Email Cleaner'!$H$2:$H$10001,0)),"")</f>
        <v/>
      </c>
    </row>
    <row r="4605">
      <c r="A4605">
        <f>IFERROR(INDEX('Email Cleaner'!$B$2:$B$10001,MATCH(4604,'Email Cleaner'!$H$2:$H$10001,0)),"")</f>
        <v/>
      </c>
    </row>
    <row r="4606">
      <c r="A4606">
        <f>IFERROR(INDEX('Email Cleaner'!$B$2:$B$10001,MATCH(4605,'Email Cleaner'!$H$2:$H$10001,0)),"")</f>
        <v/>
      </c>
    </row>
    <row r="4607">
      <c r="A4607">
        <f>IFERROR(INDEX('Email Cleaner'!$B$2:$B$10001,MATCH(4606,'Email Cleaner'!$H$2:$H$10001,0)),"")</f>
        <v/>
      </c>
    </row>
    <row r="4608">
      <c r="A4608">
        <f>IFERROR(INDEX('Email Cleaner'!$B$2:$B$10001,MATCH(4607,'Email Cleaner'!$H$2:$H$10001,0)),"")</f>
        <v/>
      </c>
    </row>
    <row r="4609">
      <c r="A4609">
        <f>IFERROR(INDEX('Email Cleaner'!$B$2:$B$10001,MATCH(4608,'Email Cleaner'!$H$2:$H$10001,0)),"")</f>
        <v/>
      </c>
    </row>
    <row r="4610">
      <c r="A4610">
        <f>IFERROR(INDEX('Email Cleaner'!$B$2:$B$10001,MATCH(4609,'Email Cleaner'!$H$2:$H$10001,0)),"")</f>
        <v/>
      </c>
    </row>
    <row r="4611">
      <c r="A4611">
        <f>IFERROR(INDEX('Email Cleaner'!$B$2:$B$10001,MATCH(4610,'Email Cleaner'!$H$2:$H$10001,0)),"")</f>
        <v/>
      </c>
    </row>
    <row r="4612">
      <c r="A4612">
        <f>IFERROR(INDEX('Email Cleaner'!$B$2:$B$10001,MATCH(4611,'Email Cleaner'!$H$2:$H$10001,0)),"")</f>
        <v/>
      </c>
    </row>
    <row r="4613">
      <c r="A4613">
        <f>IFERROR(INDEX('Email Cleaner'!$B$2:$B$10001,MATCH(4612,'Email Cleaner'!$H$2:$H$10001,0)),"")</f>
        <v/>
      </c>
    </row>
    <row r="4614">
      <c r="A4614">
        <f>IFERROR(INDEX('Email Cleaner'!$B$2:$B$10001,MATCH(4613,'Email Cleaner'!$H$2:$H$10001,0)),"")</f>
        <v/>
      </c>
    </row>
    <row r="4615">
      <c r="A4615">
        <f>IFERROR(INDEX('Email Cleaner'!$B$2:$B$10001,MATCH(4614,'Email Cleaner'!$H$2:$H$10001,0)),"")</f>
        <v/>
      </c>
    </row>
    <row r="4616">
      <c r="A4616">
        <f>IFERROR(INDEX('Email Cleaner'!$B$2:$B$10001,MATCH(4615,'Email Cleaner'!$H$2:$H$10001,0)),"")</f>
        <v/>
      </c>
    </row>
    <row r="4617">
      <c r="A4617">
        <f>IFERROR(INDEX('Email Cleaner'!$B$2:$B$10001,MATCH(4616,'Email Cleaner'!$H$2:$H$10001,0)),"")</f>
        <v/>
      </c>
    </row>
    <row r="4618">
      <c r="A4618">
        <f>IFERROR(INDEX('Email Cleaner'!$B$2:$B$10001,MATCH(4617,'Email Cleaner'!$H$2:$H$10001,0)),"")</f>
        <v/>
      </c>
    </row>
    <row r="4619">
      <c r="A4619">
        <f>IFERROR(INDEX('Email Cleaner'!$B$2:$B$10001,MATCH(4618,'Email Cleaner'!$H$2:$H$10001,0)),"")</f>
        <v/>
      </c>
    </row>
    <row r="4620">
      <c r="A4620">
        <f>IFERROR(INDEX('Email Cleaner'!$B$2:$B$10001,MATCH(4619,'Email Cleaner'!$H$2:$H$10001,0)),"")</f>
        <v/>
      </c>
    </row>
    <row r="4621">
      <c r="A4621">
        <f>IFERROR(INDEX('Email Cleaner'!$B$2:$B$10001,MATCH(4620,'Email Cleaner'!$H$2:$H$10001,0)),"")</f>
        <v/>
      </c>
    </row>
    <row r="4622">
      <c r="A4622">
        <f>IFERROR(INDEX('Email Cleaner'!$B$2:$B$10001,MATCH(4621,'Email Cleaner'!$H$2:$H$10001,0)),"")</f>
        <v/>
      </c>
    </row>
    <row r="4623">
      <c r="A4623">
        <f>IFERROR(INDEX('Email Cleaner'!$B$2:$B$10001,MATCH(4622,'Email Cleaner'!$H$2:$H$10001,0)),"")</f>
        <v/>
      </c>
    </row>
    <row r="4624">
      <c r="A4624">
        <f>IFERROR(INDEX('Email Cleaner'!$B$2:$B$10001,MATCH(4623,'Email Cleaner'!$H$2:$H$10001,0)),"")</f>
        <v/>
      </c>
    </row>
    <row r="4625">
      <c r="A4625">
        <f>IFERROR(INDEX('Email Cleaner'!$B$2:$B$10001,MATCH(4624,'Email Cleaner'!$H$2:$H$10001,0)),"")</f>
        <v/>
      </c>
    </row>
    <row r="4626">
      <c r="A4626">
        <f>IFERROR(INDEX('Email Cleaner'!$B$2:$B$10001,MATCH(4625,'Email Cleaner'!$H$2:$H$10001,0)),"")</f>
        <v/>
      </c>
    </row>
    <row r="4627">
      <c r="A4627">
        <f>IFERROR(INDEX('Email Cleaner'!$B$2:$B$10001,MATCH(4626,'Email Cleaner'!$H$2:$H$10001,0)),"")</f>
        <v/>
      </c>
    </row>
    <row r="4628">
      <c r="A4628">
        <f>IFERROR(INDEX('Email Cleaner'!$B$2:$B$10001,MATCH(4627,'Email Cleaner'!$H$2:$H$10001,0)),"")</f>
        <v/>
      </c>
    </row>
    <row r="4629">
      <c r="A4629">
        <f>IFERROR(INDEX('Email Cleaner'!$B$2:$B$10001,MATCH(4628,'Email Cleaner'!$H$2:$H$10001,0)),"")</f>
        <v/>
      </c>
    </row>
    <row r="4630">
      <c r="A4630">
        <f>IFERROR(INDEX('Email Cleaner'!$B$2:$B$10001,MATCH(4629,'Email Cleaner'!$H$2:$H$10001,0)),"")</f>
        <v/>
      </c>
    </row>
    <row r="4631">
      <c r="A4631">
        <f>IFERROR(INDEX('Email Cleaner'!$B$2:$B$10001,MATCH(4630,'Email Cleaner'!$H$2:$H$10001,0)),"")</f>
        <v/>
      </c>
    </row>
    <row r="4632">
      <c r="A4632">
        <f>IFERROR(INDEX('Email Cleaner'!$B$2:$B$10001,MATCH(4631,'Email Cleaner'!$H$2:$H$10001,0)),"")</f>
        <v/>
      </c>
    </row>
    <row r="4633">
      <c r="A4633">
        <f>IFERROR(INDEX('Email Cleaner'!$B$2:$B$10001,MATCH(4632,'Email Cleaner'!$H$2:$H$10001,0)),"")</f>
        <v/>
      </c>
    </row>
    <row r="4634">
      <c r="A4634">
        <f>IFERROR(INDEX('Email Cleaner'!$B$2:$B$10001,MATCH(4633,'Email Cleaner'!$H$2:$H$10001,0)),"")</f>
        <v/>
      </c>
    </row>
    <row r="4635">
      <c r="A4635">
        <f>IFERROR(INDEX('Email Cleaner'!$B$2:$B$10001,MATCH(4634,'Email Cleaner'!$H$2:$H$10001,0)),"")</f>
        <v/>
      </c>
    </row>
    <row r="4636">
      <c r="A4636">
        <f>IFERROR(INDEX('Email Cleaner'!$B$2:$B$10001,MATCH(4635,'Email Cleaner'!$H$2:$H$10001,0)),"")</f>
        <v/>
      </c>
    </row>
    <row r="4637">
      <c r="A4637">
        <f>IFERROR(INDEX('Email Cleaner'!$B$2:$B$10001,MATCH(4636,'Email Cleaner'!$H$2:$H$10001,0)),"")</f>
        <v/>
      </c>
    </row>
    <row r="4638">
      <c r="A4638">
        <f>IFERROR(INDEX('Email Cleaner'!$B$2:$B$10001,MATCH(4637,'Email Cleaner'!$H$2:$H$10001,0)),"")</f>
        <v/>
      </c>
    </row>
    <row r="4639">
      <c r="A4639">
        <f>IFERROR(INDEX('Email Cleaner'!$B$2:$B$10001,MATCH(4638,'Email Cleaner'!$H$2:$H$10001,0)),"")</f>
        <v/>
      </c>
    </row>
    <row r="4640">
      <c r="A4640">
        <f>IFERROR(INDEX('Email Cleaner'!$B$2:$B$10001,MATCH(4639,'Email Cleaner'!$H$2:$H$10001,0)),"")</f>
        <v/>
      </c>
    </row>
    <row r="4641">
      <c r="A4641">
        <f>IFERROR(INDEX('Email Cleaner'!$B$2:$B$10001,MATCH(4640,'Email Cleaner'!$H$2:$H$10001,0)),"")</f>
        <v/>
      </c>
    </row>
    <row r="4642">
      <c r="A4642">
        <f>IFERROR(INDEX('Email Cleaner'!$B$2:$B$10001,MATCH(4641,'Email Cleaner'!$H$2:$H$10001,0)),"")</f>
        <v/>
      </c>
    </row>
    <row r="4643">
      <c r="A4643">
        <f>IFERROR(INDEX('Email Cleaner'!$B$2:$B$10001,MATCH(4642,'Email Cleaner'!$H$2:$H$10001,0)),"")</f>
        <v/>
      </c>
    </row>
    <row r="4644">
      <c r="A4644">
        <f>IFERROR(INDEX('Email Cleaner'!$B$2:$B$10001,MATCH(4643,'Email Cleaner'!$H$2:$H$10001,0)),"")</f>
        <v/>
      </c>
    </row>
    <row r="4645">
      <c r="A4645">
        <f>IFERROR(INDEX('Email Cleaner'!$B$2:$B$10001,MATCH(4644,'Email Cleaner'!$H$2:$H$10001,0)),"")</f>
        <v/>
      </c>
    </row>
    <row r="4646">
      <c r="A4646">
        <f>IFERROR(INDEX('Email Cleaner'!$B$2:$B$10001,MATCH(4645,'Email Cleaner'!$H$2:$H$10001,0)),"")</f>
        <v/>
      </c>
    </row>
    <row r="4647">
      <c r="A4647">
        <f>IFERROR(INDEX('Email Cleaner'!$B$2:$B$10001,MATCH(4646,'Email Cleaner'!$H$2:$H$10001,0)),"")</f>
        <v/>
      </c>
    </row>
    <row r="4648">
      <c r="A4648">
        <f>IFERROR(INDEX('Email Cleaner'!$B$2:$B$10001,MATCH(4647,'Email Cleaner'!$H$2:$H$10001,0)),"")</f>
        <v/>
      </c>
    </row>
    <row r="4649">
      <c r="A4649">
        <f>IFERROR(INDEX('Email Cleaner'!$B$2:$B$10001,MATCH(4648,'Email Cleaner'!$H$2:$H$10001,0)),"")</f>
        <v/>
      </c>
    </row>
    <row r="4650">
      <c r="A4650">
        <f>IFERROR(INDEX('Email Cleaner'!$B$2:$B$10001,MATCH(4649,'Email Cleaner'!$H$2:$H$10001,0)),"")</f>
        <v/>
      </c>
    </row>
    <row r="4651">
      <c r="A4651">
        <f>IFERROR(INDEX('Email Cleaner'!$B$2:$B$10001,MATCH(4650,'Email Cleaner'!$H$2:$H$10001,0)),"")</f>
        <v/>
      </c>
    </row>
    <row r="4652">
      <c r="A4652">
        <f>IFERROR(INDEX('Email Cleaner'!$B$2:$B$10001,MATCH(4651,'Email Cleaner'!$H$2:$H$10001,0)),"")</f>
        <v/>
      </c>
    </row>
    <row r="4653">
      <c r="A4653">
        <f>IFERROR(INDEX('Email Cleaner'!$B$2:$B$10001,MATCH(4652,'Email Cleaner'!$H$2:$H$10001,0)),"")</f>
        <v/>
      </c>
    </row>
    <row r="4654">
      <c r="A4654">
        <f>IFERROR(INDEX('Email Cleaner'!$B$2:$B$10001,MATCH(4653,'Email Cleaner'!$H$2:$H$10001,0)),"")</f>
        <v/>
      </c>
    </row>
    <row r="4655">
      <c r="A4655">
        <f>IFERROR(INDEX('Email Cleaner'!$B$2:$B$10001,MATCH(4654,'Email Cleaner'!$H$2:$H$10001,0)),"")</f>
        <v/>
      </c>
    </row>
    <row r="4656">
      <c r="A4656">
        <f>IFERROR(INDEX('Email Cleaner'!$B$2:$B$10001,MATCH(4655,'Email Cleaner'!$H$2:$H$10001,0)),"")</f>
        <v/>
      </c>
    </row>
    <row r="4657">
      <c r="A4657">
        <f>IFERROR(INDEX('Email Cleaner'!$B$2:$B$10001,MATCH(4656,'Email Cleaner'!$H$2:$H$10001,0)),"")</f>
        <v/>
      </c>
    </row>
    <row r="4658">
      <c r="A4658">
        <f>IFERROR(INDEX('Email Cleaner'!$B$2:$B$10001,MATCH(4657,'Email Cleaner'!$H$2:$H$10001,0)),"")</f>
        <v/>
      </c>
    </row>
    <row r="4659">
      <c r="A4659">
        <f>IFERROR(INDEX('Email Cleaner'!$B$2:$B$10001,MATCH(4658,'Email Cleaner'!$H$2:$H$10001,0)),"")</f>
        <v/>
      </c>
    </row>
    <row r="4660">
      <c r="A4660">
        <f>IFERROR(INDEX('Email Cleaner'!$B$2:$B$10001,MATCH(4659,'Email Cleaner'!$H$2:$H$10001,0)),"")</f>
        <v/>
      </c>
    </row>
    <row r="4661">
      <c r="A4661">
        <f>IFERROR(INDEX('Email Cleaner'!$B$2:$B$10001,MATCH(4660,'Email Cleaner'!$H$2:$H$10001,0)),"")</f>
        <v/>
      </c>
    </row>
    <row r="4662">
      <c r="A4662">
        <f>IFERROR(INDEX('Email Cleaner'!$B$2:$B$10001,MATCH(4661,'Email Cleaner'!$H$2:$H$10001,0)),"")</f>
        <v/>
      </c>
    </row>
    <row r="4663">
      <c r="A4663">
        <f>IFERROR(INDEX('Email Cleaner'!$B$2:$B$10001,MATCH(4662,'Email Cleaner'!$H$2:$H$10001,0)),"")</f>
        <v/>
      </c>
    </row>
    <row r="4664">
      <c r="A4664">
        <f>IFERROR(INDEX('Email Cleaner'!$B$2:$B$10001,MATCH(4663,'Email Cleaner'!$H$2:$H$10001,0)),"")</f>
        <v/>
      </c>
    </row>
    <row r="4665">
      <c r="A4665">
        <f>IFERROR(INDEX('Email Cleaner'!$B$2:$B$10001,MATCH(4664,'Email Cleaner'!$H$2:$H$10001,0)),"")</f>
        <v/>
      </c>
    </row>
    <row r="4666">
      <c r="A4666">
        <f>IFERROR(INDEX('Email Cleaner'!$B$2:$B$10001,MATCH(4665,'Email Cleaner'!$H$2:$H$10001,0)),"")</f>
        <v/>
      </c>
    </row>
    <row r="4667">
      <c r="A4667">
        <f>IFERROR(INDEX('Email Cleaner'!$B$2:$B$10001,MATCH(4666,'Email Cleaner'!$H$2:$H$10001,0)),"")</f>
        <v/>
      </c>
    </row>
    <row r="4668">
      <c r="A4668">
        <f>IFERROR(INDEX('Email Cleaner'!$B$2:$B$10001,MATCH(4667,'Email Cleaner'!$H$2:$H$10001,0)),"")</f>
        <v/>
      </c>
    </row>
    <row r="4669">
      <c r="A4669">
        <f>IFERROR(INDEX('Email Cleaner'!$B$2:$B$10001,MATCH(4668,'Email Cleaner'!$H$2:$H$10001,0)),"")</f>
        <v/>
      </c>
    </row>
    <row r="4670">
      <c r="A4670">
        <f>IFERROR(INDEX('Email Cleaner'!$B$2:$B$10001,MATCH(4669,'Email Cleaner'!$H$2:$H$10001,0)),"")</f>
        <v/>
      </c>
    </row>
    <row r="4671">
      <c r="A4671">
        <f>IFERROR(INDEX('Email Cleaner'!$B$2:$B$10001,MATCH(4670,'Email Cleaner'!$H$2:$H$10001,0)),"")</f>
        <v/>
      </c>
    </row>
    <row r="4672">
      <c r="A4672">
        <f>IFERROR(INDEX('Email Cleaner'!$B$2:$B$10001,MATCH(4671,'Email Cleaner'!$H$2:$H$10001,0)),"")</f>
        <v/>
      </c>
    </row>
    <row r="4673">
      <c r="A4673">
        <f>IFERROR(INDEX('Email Cleaner'!$B$2:$B$10001,MATCH(4672,'Email Cleaner'!$H$2:$H$10001,0)),"")</f>
        <v/>
      </c>
    </row>
    <row r="4674">
      <c r="A4674">
        <f>IFERROR(INDEX('Email Cleaner'!$B$2:$B$10001,MATCH(4673,'Email Cleaner'!$H$2:$H$10001,0)),"")</f>
        <v/>
      </c>
    </row>
    <row r="4675">
      <c r="A4675">
        <f>IFERROR(INDEX('Email Cleaner'!$B$2:$B$10001,MATCH(4674,'Email Cleaner'!$H$2:$H$10001,0)),"")</f>
        <v/>
      </c>
    </row>
    <row r="4676">
      <c r="A4676">
        <f>IFERROR(INDEX('Email Cleaner'!$B$2:$B$10001,MATCH(4675,'Email Cleaner'!$H$2:$H$10001,0)),"")</f>
        <v/>
      </c>
    </row>
    <row r="4677">
      <c r="A4677">
        <f>IFERROR(INDEX('Email Cleaner'!$B$2:$B$10001,MATCH(4676,'Email Cleaner'!$H$2:$H$10001,0)),"")</f>
        <v/>
      </c>
    </row>
    <row r="4678">
      <c r="A4678">
        <f>IFERROR(INDEX('Email Cleaner'!$B$2:$B$10001,MATCH(4677,'Email Cleaner'!$H$2:$H$10001,0)),"")</f>
        <v/>
      </c>
    </row>
    <row r="4679">
      <c r="A4679">
        <f>IFERROR(INDEX('Email Cleaner'!$B$2:$B$10001,MATCH(4678,'Email Cleaner'!$H$2:$H$10001,0)),"")</f>
        <v/>
      </c>
    </row>
    <row r="4680">
      <c r="A4680">
        <f>IFERROR(INDEX('Email Cleaner'!$B$2:$B$10001,MATCH(4679,'Email Cleaner'!$H$2:$H$10001,0)),"")</f>
        <v/>
      </c>
    </row>
    <row r="4681">
      <c r="A4681">
        <f>IFERROR(INDEX('Email Cleaner'!$B$2:$B$10001,MATCH(4680,'Email Cleaner'!$H$2:$H$10001,0)),"")</f>
        <v/>
      </c>
    </row>
    <row r="4682">
      <c r="A4682">
        <f>IFERROR(INDEX('Email Cleaner'!$B$2:$B$10001,MATCH(4681,'Email Cleaner'!$H$2:$H$10001,0)),"")</f>
        <v/>
      </c>
    </row>
    <row r="4683">
      <c r="A4683">
        <f>IFERROR(INDEX('Email Cleaner'!$B$2:$B$10001,MATCH(4682,'Email Cleaner'!$H$2:$H$10001,0)),"")</f>
        <v/>
      </c>
    </row>
    <row r="4684">
      <c r="A4684">
        <f>IFERROR(INDEX('Email Cleaner'!$B$2:$B$10001,MATCH(4683,'Email Cleaner'!$H$2:$H$10001,0)),"")</f>
        <v/>
      </c>
    </row>
    <row r="4685">
      <c r="A4685">
        <f>IFERROR(INDEX('Email Cleaner'!$B$2:$B$10001,MATCH(4684,'Email Cleaner'!$H$2:$H$10001,0)),"")</f>
        <v/>
      </c>
    </row>
    <row r="4686">
      <c r="A4686">
        <f>IFERROR(INDEX('Email Cleaner'!$B$2:$B$10001,MATCH(4685,'Email Cleaner'!$H$2:$H$10001,0)),"")</f>
        <v/>
      </c>
    </row>
    <row r="4687">
      <c r="A4687">
        <f>IFERROR(INDEX('Email Cleaner'!$B$2:$B$10001,MATCH(4686,'Email Cleaner'!$H$2:$H$10001,0)),"")</f>
        <v/>
      </c>
    </row>
    <row r="4688">
      <c r="A4688">
        <f>IFERROR(INDEX('Email Cleaner'!$B$2:$B$10001,MATCH(4687,'Email Cleaner'!$H$2:$H$10001,0)),"")</f>
        <v/>
      </c>
    </row>
    <row r="4689">
      <c r="A4689">
        <f>IFERROR(INDEX('Email Cleaner'!$B$2:$B$10001,MATCH(4688,'Email Cleaner'!$H$2:$H$10001,0)),"")</f>
        <v/>
      </c>
    </row>
    <row r="4690">
      <c r="A4690">
        <f>IFERROR(INDEX('Email Cleaner'!$B$2:$B$10001,MATCH(4689,'Email Cleaner'!$H$2:$H$10001,0)),"")</f>
        <v/>
      </c>
    </row>
    <row r="4691">
      <c r="A4691">
        <f>IFERROR(INDEX('Email Cleaner'!$B$2:$B$10001,MATCH(4690,'Email Cleaner'!$H$2:$H$10001,0)),"")</f>
        <v/>
      </c>
    </row>
    <row r="4692">
      <c r="A4692">
        <f>IFERROR(INDEX('Email Cleaner'!$B$2:$B$10001,MATCH(4691,'Email Cleaner'!$H$2:$H$10001,0)),"")</f>
        <v/>
      </c>
    </row>
    <row r="4693">
      <c r="A4693">
        <f>IFERROR(INDEX('Email Cleaner'!$B$2:$B$10001,MATCH(4692,'Email Cleaner'!$H$2:$H$10001,0)),"")</f>
        <v/>
      </c>
    </row>
    <row r="4694">
      <c r="A4694">
        <f>IFERROR(INDEX('Email Cleaner'!$B$2:$B$10001,MATCH(4693,'Email Cleaner'!$H$2:$H$10001,0)),"")</f>
        <v/>
      </c>
    </row>
    <row r="4695">
      <c r="A4695">
        <f>IFERROR(INDEX('Email Cleaner'!$B$2:$B$10001,MATCH(4694,'Email Cleaner'!$H$2:$H$10001,0)),"")</f>
        <v/>
      </c>
    </row>
    <row r="4696">
      <c r="A4696">
        <f>IFERROR(INDEX('Email Cleaner'!$B$2:$B$10001,MATCH(4695,'Email Cleaner'!$H$2:$H$10001,0)),"")</f>
        <v/>
      </c>
    </row>
    <row r="4697">
      <c r="A4697">
        <f>IFERROR(INDEX('Email Cleaner'!$B$2:$B$10001,MATCH(4696,'Email Cleaner'!$H$2:$H$10001,0)),"")</f>
        <v/>
      </c>
    </row>
    <row r="4698">
      <c r="A4698">
        <f>IFERROR(INDEX('Email Cleaner'!$B$2:$B$10001,MATCH(4697,'Email Cleaner'!$H$2:$H$10001,0)),"")</f>
        <v/>
      </c>
    </row>
    <row r="4699">
      <c r="A4699">
        <f>IFERROR(INDEX('Email Cleaner'!$B$2:$B$10001,MATCH(4698,'Email Cleaner'!$H$2:$H$10001,0)),"")</f>
        <v/>
      </c>
    </row>
    <row r="4700">
      <c r="A4700">
        <f>IFERROR(INDEX('Email Cleaner'!$B$2:$B$10001,MATCH(4699,'Email Cleaner'!$H$2:$H$10001,0)),"")</f>
        <v/>
      </c>
    </row>
    <row r="4701">
      <c r="A4701">
        <f>IFERROR(INDEX('Email Cleaner'!$B$2:$B$10001,MATCH(4700,'Email Cleaner'!$H$2:$H$10001,0)),"")</f>
        <v/>
      </c>
    </row>
    <row r="4702">
      <c r="A4702">
        <f>IFERROR(INDEX('Email Cleaner'!$B$2:$B$10001,MATCH(4701,'Email Cleaner'!$H$2:$H$10001,0)),"")</f>
        <v/>
      </c>
    </row>
    <row r="4703">
      <c r="A4703">
        <f>IFERROR(INDEX('Email Cleaner'!$B$2:$B$10001,MATCH(4702,'Email Cleaner'!$H$2:$H$10001,0)),"")</f>
        <v/>
      </c>
    </row>
    <row r="4704">
      <c r="A4704">
        <f>IFERROR(INDEX('Email Cleaner'!$B$2:$B$10001,MATCH(4703,'Email Cleaner'!$H$2:$H$10001,0)),"")</f>
        <v/>
      </c>
    </row>
    <row r="4705">
      <c r="A4705">
        <f>IFERROR(INDEX('Email Cleaner'!$B$2:$B$10001,MATCH(4704,'Email Cleaner'!$H$2:$H$10001,0)),"")</f>
        <v/>
      </c>
    </row>
    <row r="4706">
      <c r="A4706">
        <f>IFERROR(INDEX('Email Cleaner'!$B$2:$B$10001,MATCH(4705,'Email Cleaner'!$H$2:$H$10001,0)),"")</f>
        <v/>
      </c>
    </row>
    <row r="4707">
      <c r="A4707">
        <f>IFERROR(INDEX('Email Cleaner'!$B$2:$B$10001,MATCH(4706,'Email Cleaner'!$H$2:$H$10001,0)),"")</f>
        <v/>
      </c>
    </row>
    <row r="4708">
      <c r="A4708">
        <f>IFERROR(INDEX('Email Cleaner'!$B$2:$B$10001,MATCH(4707,'Email Cleaner'!$H$2:$H$10001,0)),"")</f>
        <v/>
      </c>
    </row>
    <row r="4709">
      <c r="A4709">
        <f>IFERROR(INDEX('Email Cleaner'!$B$2:$B$10001,MATCH(4708,'Email Cleaner'!$H$2:$H$10001,0)),"")</f>
        <v/>
      </c>
    </row>
    <row r="4710">
      <c r="A4710">
        <f>IFERROR(INDEX('Email Cleaner'!$B$2:$B$10001,MATCH(4709,'Email Cleaner'!$H$2:$H$10001,0)),"")</f>
        <v/>
      </c>
    </row>
    <row r="4711">
      <c r="A4711">
        <f>IFERROR(INDEX('Email Cleaner'!$B$2:$B$10001,MATCH(4710,'Email Cleaner'!$H$2:$H$10001,0)),"")</f>
        <v/>
      </c>
    </row>
    <row r="4712">
      <c r="A4712">
        <f>IFERROR(INDEX('Email Cleaner'!$B$2:$B$10001,MATCH(4711,'Email Cleaner'!$H$2:$H$10001,0)),"")</f>
        <v/>
      </c>
    </row>
    <row r="4713">
      <c r="A4713">
        <f>IFERROR(INDEX('Email Cleaner'!$B$2:$B$10001,MATCH(4712,'Email Cleaner'!$H$2:$H$10001,0)),"")</f>
        <v/>
      </c>
    </row>
    <row r="4714">
      <c r="A4714">
        <f>IFERROR(INDEX('Email Cleaner'!$B$2:$B$10001,MATCH(4713,'Email Cleaner'!$H$2:$H$10001,0)),"")</f>
        <v/>
      </c>
    </row>
    <row r="4715">
      <c r="A4715">
        <f>IFERROR(INDEX('Email Cleaner'!$B$2:$B$10001,MATCH(4714,'Email Cleaner'!$H$2:$H$10001,0)),"")</f>
        <v/>
      </c>
    </row>
    <row r="4716">
      <c r="A4716">
        <f>IFERROR(INDEX('Email Cleaner'!$B$2:$B$10001,MATCH(4715,'Email Cleaner'!$H$2:$H$10001,0)),"")</f>
        <v/>
      </c>
    </row>
    <row r="4717">
      <c r="A4717">
        <f>IFERROR(INDEX('Email Cleaner'!$B$2:$B$10001,MATCH(4716,'Email Cleaner'!$H$2:$H$10001,0)),"")</f>
        <v/>
      </c>
    </row>
    <row r="4718">
      <c r="A4718">
        <f>IFERROR(INDEX('Email Cleaner'!$B$2:$B$10001,MATCH(4717,'Email Cleaner'!$H$2:$H$10001,0)),"")</f>
        <v/>
      </c>
    </row>
    <row r="4719">
      <c r="A4719">
        <f>IFERROR(INDEX('Email Cleaner'!$B$2:$B$10001,MATCH(4718,'Email Cleaner'!$H$2:$H$10001,0)),"")</f>
        <v/>
      </c>
    </row>
    <row r="4720">
      <c r="A4720">
        <f>IFERROR(INDEX('Email Cleaner'!$B$2:$B$10001,MATCH(4719,'Email Cleaner'!$H$2:$H$10001,0)),"")</f>
        <v/>
      </c>
    </row>
    <row r="4721">
      <c r="A4721">
        <f>IFERROR(INDEX('Email Cleaner'!$B$2:$B$10001,MATCH(4720,'Email Cleaner'!$H$2:$H$10001,0)),"")</f>
        <v/>
      </c>
    </row>
    <row r="4722">
      <c r="A4722">
        <f>IFERROR(INDEX('Email Cleaner'!$B$2:$B$10001,MATCH(4721,'Email Cleaner'!$H$2:$H$10001,0)),"")</f>
        <v/>
      </c>
    </row>
    <row r="4723">
      <c r="A4723">
        <f>IFERROR(INDEX('Email Cleaner'!$B$2:$B$10001,MATCH(4722,'Email Cleaner'!$H$2:$H$10001,0)),"")</f>
        <v/>
      </c>
    </row>
    <row r="4724">
      <c r="A4724">
        <f>IFERROR(INDEX('Email Cleaner'!$B$2:$B$10001,MATCH(4723,'Email Cleaner'!$H$2:$H$10001,0)),"")</f>
        <v/>
      </c>
    </row>
    <row r="4725">
      <c r="A4725">
        <f>IFERROR(INDEX('Email Cleaner'!$B$2:$B$10001,MATCH(4724,'Email Cleaner'!$H$2:$H$10001,0)),"")</f>
        <v/>
      </c>
    </row>
    <row r="4726">
      <c r="A4726">
        <f>IFERROR(INDEX('Email Cleaner'!$B$2:$B$10001,MATCH(4725,'Email Cleaner'!$H$2:$H$10001,0)),"")</f>
        <v/>
      </c>
    </row>
    <row r="4727">
      <c r="A4727">
        <f>IFERROR(INDEX('Email Cleaner'!$B$2:$B$10001,MATCH(4726,'Email Cleaner'!$H$2:$H$10001,0)),"")</f>
        <v/>
      </c>
    </row>
    <row r="4728">
      <c r="A4728">
        <f>IFERROR(INDEX('Email Cleaner'!$B$2:$B$10001,MATCH(4727,'Email Cleaner'!$H$2:$H$10001,0)),"")</f>
        <v/>
      </c>
    </row>
    <row r="4729">
      <c r="A4729">
        <f>IFERROR(INDEX('Email Cleaner'!$B$2:$B$10001,MATCH(4728,'Email Cleaner'!$H$2:$H$10001,0)),"")</f>
        <v/>
      </c>
    </row>
    <row r="4730">
      <c r="A4730">
        <f>IFERROR(INDEX('Email Cleaner'!$B$2:$B$10001,MATCH(4729,'Email Cleaner'!$H$2:$H$10001,0)),"")</f>
        <v/>
      </c>
    </row>
    <row r="4731">
      <c r="A4731">
        <f>IFERROR(INDEX('Email Cleaner'!$B$2:$B$10001,MATCH(4730,'Email Cleaner'!$H$2:$H$10001,0)),"")</f>
        <v/>
      </c>
    </row>
    <row r="4732">
      <c r="A4732">
        <f>IFERROR(INDEX('Email Cleaner'!$B$2:$B$10001,MATCH(4731,'Email Cleaner'!$H$2:$H$10001,0)),"")</f>
        <v/>
      </c>
    </row>
    <row r="4733">
      <c r="A4733">
        <f>IFERROR(INDEX('Email Cleaner'!$B$2:$B$10001,MATCH(4732,'Email Cleaner'!$H$2:$H$10001,0)),"")</f>
        <v/>
      </c>
    </row>
    <row r="4734">
      <c r="A4734">
        <f>IFERROR(INDEX('Email Cleaner'!$B$2:$B$10001,MATCH(4733,'Email Cleaner'!$H$2:$H$10001,0)),"")</f>
        <v/>
      </c>
    </row>
    <row r="4735">
      <c r="A4735">
        <f>IFERROR(INDEX('Email Cleaner'!$B$2:$B$10001,MATCH(4734,'Email Cleaner'!$H$2:$H$10001,0)),"")</f>
        <v/>
      </c>
    </row>
    <row r="4736">
      <c r="A4736">
        <f>IFERROR(INDEX('Email Cleaner'!$B$2:$B$10001,MATCH(4735,'Email Cleaner'!$H$2:$H$10001,0)),"")</f>
        <v/>
      </c>
    </row>
    <row r="4737">
      <c r="A4737">
        <f>IFERROR(INDEX('Email Cleaner'!$B$2:$B$10001,MATCH(4736,'Email Cleaner'!$H$2:$H$10001,0)),"")</f>
        <v/>
      </c>
    </row>
    <row r="4738">
      <c r="A4738">
        <f>IFERROR(INDEX('Email Cleaner'!$B$2:$B$10001,MATCH(4737,'Email Cleaner'!$H$2:$H$10001,0)),"")</f>
        <v/>
      </c>
    </row>
    <row r="4739">
      <c r="A4739">
        <f>IFERROR(INDEX('Email Cleaner'!$B$2:$B$10001,MATCH(4738,'Email Cleaner'!$H$2:$H$10001,0)),"")</f>
        <v/>
      </c>
    </row>
    <row r="4740">
      <c r="A4740">
        <f>IFERROR(INDEX('Email Cleaner'!$B$2:$B$10001,MATCH(4739,'Email Cleaner'!$H$2:$H$10001,0)),"")</f>
        <v/>
      </c>
    </row>
    <row r="4741">
      <c r="A4741">
        <f>IFERROR(INDEX('Email Cleaner'!$B$2:$B$10001,MATCH(4740,'Email Cleaner'!$H$2:$H$10001,0)),"")</f>
        <v/>
      </c>
    </row>
    <row r="4742">
      <c r="A4742">
        <f>IFERROR(INDEX('Email Cleaner'!$B$2:$B$10001,MATCH(4741,'Email Cleaner'!$H$2:$H$10001,0)),"")</f>
        <v/>
      </c>
    </row>
    <row r="4743">
      <c r="A4743">
        <f>IFERROR(INDEX('Email Cleaner'!$B$2:$B$10001,MATCH(4742,'Email Cleaner'!$H$2:$H$10001,0)),"")</f>
        <v/>
      </c>
    </row>
    <row r="4744">
      <c r="A4744">
        <f>IFERROR(INDEX('Email Cleaner'!$B$2:$B$10001,MATCH(4743,'Email Cleaner'!$H$2:$H$10001,0)),"")</f>
        <v/>
      </c>
    </row>
    <row r="4745">
      <c r="A4745">
        <f>IFERROR(INDEX('Email Cleaner'!$B$2:$B$10001,MATCH(4744,'Email Cleaner'!$H$2:$H$10001,0)),"")</f>
        <v/>
      </c>
    </row>
    <row r="4746">
      <c r="A4746">
        <f>IFERROR(INDEX('Email Cleaner'!$B$2:$B$10001,MATCH(4745,'Email Cleaner'!$H$2:$H$10001,0)),"")</f>
        <v/>
      </c>
    </row>
    <row r="4747">
      <c r="A4747">
        <f>IFERROR(INDEX('Email Cleaner'!$B$2:$B$10001,MATCH(4746,'Email Cleaner'!$H$2:$H$10001,0)),"")</f>
        <v/>
      </c>
    </row>
    <row r="4748">
      <c r="A4748">
        <f>IFERROR(INDEX('Email Cleaner'!$B$2:$B$10001,MATCH(4747,'Email Cleaner'!$H$2:$H$10001,0)),"")</f>
        <v/>
      </c>
    </row>
    <row r="4749">
      <c r="A4749">
        <f>IFERROR(INDEX('Email Cleaner'!$B$2:$B$10001,MATCH(4748,'Email Cleaner'!$H$2:$H$10001,0)),"")</f>
        <v/>
      </c>
    </row>
    <row r="4750">
      <c r="A4750">
        <f>IFERROR(INDEX('Email Cleaner'!$B$2:$B$10001,MATCH(4749,'Email Cleaner'!$H$2:$H$10001,0)),"")</f>
        <v/>
      </c>
    </row>
    <row r="4751">
      <c r="A4751">
        <f>IFERROR(INDEX('Email Cleaner'!$B$2:$B$10001,MATCH(4750,'Email Cleaner'!$H$2:$H$10001,0)),"")</f>
        <v/>
      </c>
    </row>
    <row r="4752">
      <c r="A4752">
        <f>IFERROR(INDEX('Email Cleaner'!$B$2:$B$10001,MATCH(4751,'Email Cleaner'!$H$2:$H$10001,0)),"")</f>
        <v/>
      </c>
    </row>
    <row r="4753">
      <c r="A4753">
        <f>IFERROR(INDEX('Email Cleaner'!$B$2:$B$10001,MATCH(4752,'Email Cleaner'!$H$2:$H$10001,0)),"")</f>
        <v/>
      </c>
    </row>
    <row r="4754">
      <c r="A4754">
        <f>IFERROR(INDEX('Email Cleaner'!$B$2:$B$10001,MATCH(4753,'Email Cleaner'!$H$2:$H$10001,0)),"")</f>
        <v/>
      </c>
    </row>
    <row r="4755">
      <c r="A4755">
        <f>IFERROR(INDEX('Email Cleaner'!$B$2:$B$10001,MATCH(4754,'Email Cleaner'!$H$2:$H$10001,0)),"")</f>
        <v/>
      </c>
    </row>
    <row r="4756">
      <c r="A4756">
        <f>IFERROR(INDEX('Email Cleaner'!$B$2:$B$10001,MATCH(4755,'Email Cleaner'!$H$2:$H$10001,0)),"")</f>
        <v/>
      </c>
    </row>
    <row r="4757">
      <c r="A4757">
        <f>IFERROR(INDEX('Email Cleaner'!$B$2:$B$10001,MATCH(4756,'Email Cleaner'!$H$2:$H$10001,0)),"")</f>
        <v/>
      </c>
    </row>
    <row r="4758">
      <c r="A4758">
        <f>IFERROR(INDEX('Email Cleaner'!$B$2:$B$10001,MATCH(4757,'Email Cleaner'!$H$2:$H$10001,0)),"")</f>
        <v/>
      </c>
    </row>
    <row r="4759">
      <c r="A4759">
        <f>IFERROR(INDEX('Email Cleaner'!$B$2:$B$10001,MATCH(4758,'Email Cleaner'!$H$2:$H$10001,0)),"")</f>
        <v/>
      </c>
    </row>
    <row r="4760">
      <c r="A4760">
        <f>IFERROR(INDEX('Email Cleaner'!$B$2:$B$10001,MATCH(4759,'Email Cleaner'!$H$2:$H$10001,0)),"")</f>
        <v/>
      </c>
    </row>
    <row r="4761">
      <c r="A4761">
        <f>IFERROR(INDEX('Email Cleaner'!$B$2:$B$10001,MATCH(4760,'Email Cleaner'!$H$2:$H$10001,0)),"")</f>
        <v/>
      </c>
    </row>
    <row r="4762">
      <c r="A4762">
        <f>IFERROR(INDEX('Email Cleaner'!$B$2:$B$10001,MATCH(4761,'Email Cleaner'!$H$2:$H$10001,0)),"")</f>
        <v/>
      </c>
    </row>
    <row r="4763">
      <c r="A4763">
        <f>IFERROR(INDEX('Email Cleaner'!$B$2:$B$10001,MATCH(4762,'Email Cleaner'!$H$2:$H$10001,0)),"")</f>
        <v/>
      </c>
    </row>
    <row r="4764">
      <c r="A4764">
        <f>IFERROR(INDEX('Email Cleaner'!$B$2:$B$10001,MATCH(4763,'Email Cleaner'!$H$2:$H$10001,0)),"")</f>
        <v/>
      </c>
    </row>
    <row r="4765">
      <c r="A4765">
        <f>IFERROR(INDEX('Email Cleaner'!$B$2:$B$10001,MATCH(4764,'Email Cleaner'!$H$2:$H$10001,0)),"")</f>
        <v/>
      </c>
    </row>
    <row r="4766">
      <c r="A4766">
        <f>IFERROR(INDEX('Email Cleaner'!$B$2:$B$10001,MATCH(4765,'Email Cleaner'!$H$2:$H$10001,0)),"")</f>
        <v/>
      </c>
    </row>
    <row r="4767">
      <c r="A4767">
        <f>IFERROR(INDEX('Email Cleaner'!$B$2:$B$10001,MATCH(4766,'Email Cleaner'!$H$2:$H$10001,0)),"")</f>
        <v/>
      </c>
    </row>
    <row r="4768">
      <c r="A4768">
        <f>IFERROR(INDEX('Email Cleaner'!$B$2:$B$10001,MATCH(4767,'Email Cleaner'!$H$2:$H$10001,0)),"")</f>
        <v/>
      </c>
    </row>
    <row r="4769">
      <c r="A4769">
        <f>IFERROR(INDEX('Email Cleaner'!$B$2:$B$10001,MATCH(4768,'Email Cleaner'!$H$2:$H$10001,0)),"")</f>
        <v/>
      </c>
    </row>
    <row r="4770">
      <c r="A4770">
        <f>IFERROR(INDEX('Email Cleaner'!$B$2:$B$10001,MATCH(4769,'Email Cleaner'!$H$2:$H$10001,0)),"")</f>
        <v/>
      </c>
    </row>
    <row r="4771">
      <c r="A4771">
        <f>IFERROR(INDEX('Email Cleaner'!$B$2:$B$10001,MATCH(4770,'Email Cleaner'!$H$2:$H$10001,0)),"")</f>
        <v/>
      </c>
    </row>
    <row r="4772">
      <c r="A4772">
        <f>IFERROR(INDEX('Email Cleaner'!$B$2:$B$10001,MATCH(4771,'Email Cleaner'!$H$2:$H$10001,0)),"")</f>
        <v/>
      </c>
    </row>
    <row r="4773">
      <c r="A4773">
        <f>IFERROR(INDEX('Email Cleaner'!$B$2:$B$10001,MATCH(4772,'Email Cleaner'!$H$2:$H$10001,0)),"")</f>
        <v/>
      </c>
    </row>
    <row r="4774">
      <c r="A4774">
        <f>IFERROR(INDEX('Email Cleaner'!$B$2:$B$10001,MATCH(4773,'Email Cleaner'!$H$2:$H$10001,0)),"")</f>
        <v/>
      </c>
    </row>
    <row r="4775">
      <c r="A4775">
        <f>IFERROR(INDEX('Email Cleaner'!$B$2:$B$10001,MATCH(4774,'Email Cleaner'!$H$2:$H$10001,0)),"")</f>
        <v/>
      </c>
    </row>
    <row r="4776">
      <c r="A4776">
        <f>IFERROR(INDEX('Email Cleaner'!$B$2:$B$10001,MATCH(4775,'Email Cleaner'!$H$2:$H$10001,0)),"")</f>
        <v/>
      </c>
    </row>
    <row r="4777">
      <c r="A4777">
        <f>IFERROR(INDEX('Email Cleaner'!$B$2:$B$10001,MATCH(4776,'Email Cleaner'!$H$2:$H$10001,0)),"")</f>
        <v/>
      </c>
    </row>
    <row r="4778">
      <c r="A4778">
        <f>IFERROR(INDEX('Email Cleaner'!$B$2:$B$10001,MATCH(4777,'Email Cleaner'!$H$2:$H$10001,0)),"")</f>
        <v/>
      </c>
    </row>
    <row r="4779">
      <c r="A4779">
        <f>IFERROR(INDEX('Email Cleaner'!$B$2:$B$10001,MATCH(4778,'Email Cleaner'!$H$2:$H$10001,0)),"")</f>
        <v/>
      </c>
    </row>
    <row r="4780">
      <c r="A4780">
        <f>IFERROR(INDEX('Email Cleaner'!$B$2:$B$10001,MATCH(4779,'Email Cleaner'!$H$2:$H$10001,0)),"")</f>
        <v/>
      </c>
    </row>
    <row r="4781">
      <c r="A4781">
        <f>IFERROR(INDEX('Email Cleaner'!$B$2:$B$10001,MATCH(4780,'Email Cleaner'!$H$2:$H$10001,0)),"")</f>
        <v/>
      </c>
    </row>
    <row r="4782">
      <c r="A4782">
        <f>IFERROR(INDEX('Email Cleaner'!$B$2:$B$10001,MATCH(4781,'Email Cleaner'!$H$2:$H$10001,0)),"")</f>
        <v/>
      </c>
    </row>
    <row r="4783">
      <c r="A4783">
        <f>IFERROR(INDEX('Email Cleaner'!$B$2:$B$10001,MATCH(4782,'Email Cleaner'!$H$2:$H$10001,0)),"")</f>
        <v/>
      </c>
    </row>
    <row r="4784">
      <c r="A4784">
        <f>IFERROR(INDEX('Email Cleaner'!$B$2:$B$10001,MATCH(4783,'Email Cleaner'!$H$2:$H$10001,0)),"")</f>
        <v/>
      </c>
    </row>
    <row r="4785">
      <c r="A4785">
        <f>IFERROR(INDEX('Email Cleaner'!$B$2:$B$10001,MATCH(4784,'Email Cleaner'!$H$2:$H$10001,0)),"")</f>
        <v/>
      </c>
    </row>
    <row r="4786">
      <c r="A4786">
        <f>IFERROR(INDEX('Email Cleaner'!$B$2:$B$10001,MATCH(4785,'Email Cleaner'!$H$2:$H$10001,0)),"")</f>
        <v/>
      </c>
    </row>
    <row r="4787">
      <c r="A4787">
        <f>IFERROR(INDEX('Email Cleaner'!$B$2:$B$10001,MATCH(4786,'Email Cleaner'!$H$2:$H$10001,0)),"")</f>
        <v/>
      </c>
    </row>
    <row r="4788">
      <c r="A4788">
        <f>IFERROR(INDEX('Email Cleaner'!$B$2:$B$10001,MATCH(4787,'Email Cleaner'!$H$2:$H$10001,0)),"")</f>
        <v/>
      </c>
    </row>
    <row r="4789">
      <c r="A4789">
        <f>IFERROR(INDEX('Email Cleaner'!$B$2:$B$10001,MATCH(4788,'Email Cleaner'!$H$2:$H$10001,0)),"")</f>
        <v/>
      </c>
    </row>
    <row r="4790">
      <c r="A4790">
        <f>IFERROR(INDEX('Email Cleaner'!$B$2:$B$10001,MATCH(4789,'Email Cleaner'!$H$2:$H$10001,0)),"")</f>
        <v/>
      </c>
    </row>
    <row r="4791">
      <c r="A4791">
        <f>IFERROR(INDEX('Email Cleaner'!$B$2:$B$10001,MATCH(4790,'Email Cleaner'!$H$2:$H$10001,0)),"")</f>
        <v/>
      </c>
    </row>
    <row r="4792">
      <c r="A4792">
        <f>IFERROR(INDEX('Email Cleaner'!$B$2:$B$10001,MATCH(4791,'Email Cleaner'!$H$2:$H$10001,0)),"")</f>
        <v/>
      </c>
    </row>
    <row r="4793">
      <c r="A4793">
        <f>IFERROR(INDEX('Email Cleaner'!$B$2:$B$10001,MATCH(4792,'Email Cleaner'!$H$2:$H$10001,0)),"")</f>
        <v/>
      </c>
    </row>
    <row r="4794">
      <c r="A4794">
        <f>IFERROR(INDEX('Email Cleaner'!$B$2:$B$10001,MATCH(4793,'Email Cleaner'!$H$2:$H$10001,0)),"")</f>
        <v/>
      </c>
    </row>
    <row r="4795">
      <c r="A4795">
        <f>IFERROR(INDEX('Email Cleaner'!$B$2:$B$10001,MATCH(4794,'Email Cleaner'!$H$2:$H$10001,0)),"")</f>
        <v/>
      </c>
    </row>
    <row r="4796">
      <c r="A4796">
        <f>IFERROR(INDEX('Email Cleaner'!$B$2:$B$10001,MATCH(4795,'Email Cleaner'!$H$2:$H$10001,0)),"")</f>
        <v/>
      </c>
    </row>
    <row r="4797">
      <c r="A4797">
        <f>IFERROR(INDEX('Email Cleaner'!$B$2:$B$10001,MATCH(4796,'Email Cleaner'!$H$2:$H$10001,0)),"")</f>
        <v/>
      </c>
    </row>
    <row r="4798">
      <c r="A4798">
        <f>IFERROR(INDEX('Email Cleaner'!$B$2:$B$10001,MATCH(4797,'Email Cleaner'!$H$2:$H$10001,0)),"")</f>
        <v/>
      </c>
    </row>
    <row r="4799">
      <c r="A4799">
        <f>IFERROR(INDEX('Email Cleaner'!$B$2:$B$10001,MATCH(4798,'Email Cleaner'!$H$2:$H$10001,0)),"")</f>
        <v/>
      </c>
    </row>
    <row r="4800">
      <c r="A4800">
        <f>IFERROR(INDEX('Email Cleaner'!$B$2:$B$10001,MATCH(4799,'Email Cleaner'!$H$2:$H$10001,0)),"")</f>
        <v/>
      </c>
    </row>
    <row r="4801">
      <c r="A4801">
        <f>IFERROR(INDEX('Email Cleaner'!$B$2:$B$10001,MATCH(4800,'Email Cleaner'!$H$2:$H$10001,0)),"")</f>
        <v/>
      </c>
    </row>
    <row r="4802">
      <c r="A4802">
        <f>IFERROR(INDEX('Email Cleaner'!$B$2:$B$10001,MATCH(4801,'Email Cleaner'!$H$2:$H$10001,0)),"")</f>
        <v/>
      </c>
    </row>
    <row r="4803">
      <c r="A4803">
        <f>IFERROR(INDEX('Email Cleaner'!$B$2:$B$10001,MATCH(4802,'Email Cleaner'!$H$2:$H$10001,0)),"")</f>
        <v/>
      </c>
    </row>
    <row r="4804">
      <c r="A4804">
        <f>IFERROR(INDEX('Email Cleaner'!$B$2:$B$10001,MATCH(4803,'Email Cleaner'!$H$2:$H$10001,0)),"")</f>
        <v/>
      </c>
    </row>
    <row r="4805">
      <c r="A4805">
        <f>IFERROR(INDEX('Email Cleaner'!$B$2:$B$10001,MATCH(4804,'Email Cleaner'!$H$2:$H$10001,0)),"")</f>
        <v/>
      </c>
    </row>
    <row r="4806">
      <c r="A4806">
        <f>IFERROR(INDEX('Email Cleaner'!$B$2:$B$10001,MATCH(4805,'Email Cleaner'!$H$2:$H$10001,0)),"")</f>
        <v/>
      </c>
    </row>
    <row r="4807">
      <c r="A4807">
        <f>IFERROR(INDEX('Email Cleaner'!$B$2:$B$10001,MATCH(4806,'Email Cleaner'!$H$2:$H$10001,0)),"")</f>
        <v/>
      </c>
    </row>
    <row r="4808">
      <c r="A4808">
        <f>IFERROR(INDEX('Email Cleaner'!$B$2:$B$10001,MATCH(4807,'Email Cleaner'!$H$2:$H$10001,0)),"")</f>
        <v/>
      </c>
    </row>
    <row r="4809">
      <c r="A4809">
        <f>IFERROR(INDEX('Email Cleaner'!$B$2:$B$10001,MATCH(4808,'Email Cleaner'!$H$2:$H$10001,0)),"")</f>
        <v/>
      </c>
    </row>
    <row r="4810">
      <c r="A4810">
        <f>IFERROR(INDEX('Email Cleaner'!$B$2:$B$10001,MATCH(4809,'Email Cleaner'!$H$2:$H$10001,0)),"")</f>
        <v/>
      </c>
    </row>
    <row r="4811">
      <c r="A4811">
        <f>IFERROR(INDEX('Email Cleaner'!$B$2:$B$10001,MATCH(4810,'Email Cleaner'!$H$2:$H$10001,0)),"")</f>
        <v/>
      </c>
    </row>
    <row r="4812">
      <c r="A4812">
        <f>IFERROR(INDEX('Email Cleaner'!$B$2:$B$10001,MATCH(4811,'Email Cleaner'!$H$2:$H$10001,0)),"")</f>
        <v/>
      </c>
    </row>
    <row r="4813">
      <c r="A4813">
        <f>IFERROR(INDEX('Email Cleaner'!$B$2:$B$10001,MATCH(4812,'Email Cleaner'!$H$2:$H$10001,0)),"")</f>
        <v/>
      </c>
    </row>
    <row r="4814">
      <c r="A4814">
        <f>IFERROR(INDEX('Email Cleaner'!$B$2:$B$10001,MATCH(4813,'Email Cleaner'!$H$2:$H$10001,0)),"")</f>
        <v/>
      </c>
    </row>
    <row r="4815">
      <c r="A4815">
        <f>IFERROR(INDEX('Email Cleaner'!$B$2:$B$10001,MATCH(4814,'Email Cleaner'!$H$2:$H$10001,0)),"")</f>
        <v/>
      </c>
    </row>
    <row r="4816">
      <c r="A4816">
        <f>IFERROR(INDEX('Email Cleaner'!$B$2:$B$10001,MATCH(4815,'Email Cleaner'!$H$2:$H$10001,0)),"")</f>
        <v/>
      </c>
    </row>
    <row r="4817">
      <c r="A4817">
        <f>IFERROR(INDEX('Email Cleaner'!$B$2:$B$10001,MATCH(4816,'Email Cleaner'!$H$2:$H$10001,0)),"")</f>
        <v/>
      </c>
    </row>
    <row r="4818">
      <c r="A4818">
        <f>IFERROR(INDEX('Email Cleaner'!$B$2:$B$10001,MATCH(4817,'Email Cleaner'!$H$2:$H$10001,0)),"")</f>
        <v/>
      </c>
    </row>
    <row r="4819">
      <c r="A4819">
        <f>IFERROR(INDEX('Email Cleaner'!$B$2:$B$10001,MATCH(4818,'Email Cleaner'!$H$2:$H$10001,0)),"")</f>
        <v/>
      </c>
    </row>
    <row r="4820">
      <c r="A4820">
        <f>IFERROR(INDEX('Email Cleaner'!$B$2:$B$10001,MATCH(4819,'Email Cleaner'!$H$2:$H$10001,0)),"")</f>
        <v/>
      </c>
    </row>
    <row r="4821">
      <c r="A4821">
        <f>IFERROR(INDEX('Email Cleaner'!$B$2:$B$10001,MATCH(4820,'Email Cleaner'!$H$2:$H$10001,0)),"")</f>
        <v/>
      </c>
    </row>
    <row r="4822">
      <c r="A4822">
        <f>IFERROR(INDEX('Email Cleaner'!$B$2:$B$10001,MATCH(4821,'Email Cleaner'!$H$2:$H$10001,0)),"")</f>
        <v/>
      </c>
    </row>
    <row r="4823">
      <c r="A4823">
        <f>IFERROR(INDEX('Email Cleaner'!$B$2:$B$10001,MATCH(4822,'Email Cleaner'!$H$2:$H$10001,0)),"")</f>
        <v/>
      </c>
    </row>
    <row r="4824">
      <c r="A4824">
        <f>IFERROR(INDEX('Email Cleaner'!$B$2:$B$10001,MATCH(4823,'Email Cleaner'!$H$2:$H$10001,0)),"")</f>
        <v/>
      </c>
    </row>
    <row r="4825">
      <c r="A4825">
        <f>IFERROR(INDEX('Email Cleaner'!$B$2:$B$10001,MATCH(4824,'Email Cleaner'!$H$2:$H$10001,0)),"")</f>
        <v/>
      </c>
    </row>
    <row r="4826">
      <c r="A4826">
        <f>IFERROR(INDEX('Email Cleaner'!$B$2:$B$10001,MATCH(4825,'Email Cleaner'!$H$2:$H$10001,0)),"")</f>
        <v/>
      </c>
    </row>
    <row r="4827">
      <c r="A4827">
        <f>IFERROR(INDEX('Email Cleaner'!$B$2:$B$10001,MATCH(4826,'Email Cleaner'!$H$2:$H$10001,0)),"")</f>
        <v/>
      </c>
    </row>
    <row r="4828">
      <c r="A4828">
        <f>IFERROR(INDEX('Email Cleaner'!$B$2:$B$10001,MATCH(4827,'Email Cleaner'!$H$2:$H$10001,0)),"")</f>
        <v/>
      </c>
    </row>
    <row r="4829">
      <c r="A4829">
        <f>IFERROR(INDEX('Email Cleaner'!$B$2:$B$10001,MATCH(4828,'Email Cleaner'!$H$2:$H$10001,0)),"")</f>
        <v/>
      </c>
    </row>
    <row r="4830">
      <c r="A4830">
        <f>IFERROR(INDEX('Email Cleaner'!$B$2:$B$10001,MATCH(4829,'Email Cleaner'!$H$2:$H$10001,0)),"")</f>
        <v/>
      </c>
    </row>
    <row r="4831">
      <c r="A4831">
        <f>IFERROR(INDEX('Email Cleaner'!$B$2:$B$10001,MATCH(4830,'Email Cleaner'!$H$2:$H$10001,0)),"")</f>
        <v/>
      </c>
    </row>
    <row r="4832">
      <c r="A4832">
        <f>IFERROR(INDEX('Email Cleaner'!$B$2:$B$10001,MATCH(4831,'Email Cleaner'!$H$2:$H$10001,0)),"")</f>
        <v/>
      </c>
    </row>
    <row r="4833">
      <c r="A4833">
        <f>IFERROR(INDEX('Email Cleaner'!$B$2:$B$10001,MATCH(4832,'Email Cleaner'!$H$2:$H$10001,0)),"")</f>
        <v/>
      </c>
    </row>
    <row r="4834">
      <c r="A4834">
        <f>IFERROR(INDEX('Email Cleaner'!$B$2:$B$10001,MATCH(4833,'Email Cleaner'!$H$2:$H$10001,0)),"")</f>
        <v/>
      </c>
    </row>
    <row r="4835">
      <c r="A4835">
        <f>IFERROR(INDEX('Email Cleaner'!$B$2:$B$10001,MATCH(4834,'Email Cleaner'!$H$2:$H$10001,0)),"")</f>
        <v/>
      </c>
    </row>
    <row r="4836">
      <c r="A4836">
        <f>IFERROR(INDEX('Email Cleaner'!$B$2:$B$10001,MATCH(4835,'Email Cleaner'!$H$2:$H$10001,0)),"")</f>
        <v/>
      </c>
    </row>
    <row r="4837">
      <c r="A4837">
        <f>IFERROR(INDEX('Email Cleaner'!$B$2:$B$10001,MATCH(4836,'Email Cleaner'!$H$2:$H$10001,0)),"")</f>
        <v/>
      </c>
    </row>
    <row r="4838">
      <c r="A4838">
        <f>IFERROR(INDEX('Email Cleaner'!$B$2:$B$10001,MATCH(4837,'Email Cleaner'!$H$2:$H$10001,0)),"")</f>
        <v/>
      </c>
    </row>
    <row r="4839">
      <c r="A4839">
        <f>IFERROR(INDEX('Email Cleaner'!$B$2:$B$10001,MATCH(4838,'Email Cleaner'!$H$2:$H$10001,0)),"")</f>
        <v/>
      </c>
    </row>
    <row r="4840">
      <c r="A4840">
        <f>IFERROR(INDEX('Email Cleaner'!$B$2:$B$10001,MATCH(4839,'Email Cleaner'!$H$2:$H$10001,0)),"")</f>
        <v/>
      </c>
    </row>
    <row r="4841">
      <c r="A4841">
        <f>IFERROR(INDEX('Email Cleaner'!$B$2:$B$10001,MATCH(4840,'Email Cleaner'!$H$2:$H$10001,0)),"")</f>
        <v/>
      </c>
    </row>
    <row r="4842">
      <c r="A4842">
        <f>IFERROR(INDEX('Email Cleaner'!$B$2:$B$10001,MATCH(4841,'Email Cleaner'!$H$2:$H$10001,0)),"")</f>
        <v/>
      </c>
    </row>
    <row r="4843">
      <c r="A4843">
        <f>IFERROR(INDEX('Email Cleaner'!$B$2:$B$10001,MATCH(4842,'Email Cleaner'!$H$2:$H$10001,0)),"")</f>
        <v/>
      </c>
    </row>
    <row r="4844">
      <c r="A4844">
        <f>IFERROR(INDEX('Email Cleaner'!$B$2:$B$10001,MATCH(4843,'Email Cleaner'!$H$2:$H$10001,0)),"")</f>
        <v/>
      </c>
    </row>
    <row r="4845">
      <c r="A4845">
        <f>IFERROR(INDEX('Email Cleaner'!$B$2:$B$10001,MATCH(4844,'Email Cleaner'!$H$2:$H$10001,0)),"")</f>
        <v/>
      </c>
    </row>
    <row r="4846">
      <c r="A4846">
        <f>IFERROR(INDEX('Email Cleaner'!$B$2:$B$10001,MATCH(4845,'Email Cleaner'!$H$2:$H$10001,0)),"")</f>
        <v/>
      </c>
    </row>
    <row r="4847">
      <c r="A4847">
        <f>IFERROR(INDEX('Email Cleaner'!$B$2:$B$10001,MATCH(4846,'Email Cleaner'!$H$2:$H$10001,0)),"")</f>
        <v/>
      </c>
    </row>
    <row r="4848">
      <c r="A4848">
        <f>IFERROR(INDEX('Email Cleaner'!$B$2:$B$10001,MATCH(4847,'Email Cleaner'!$H$2:$H$10001,0)),"")</f>
        <v/>
      </c>
    </row>
    <row r="4849">
      <c r="A4849">
        <f>IFERROR(INDEX('Email Cleaner'!$B$2:$B$10001,MATCH(4848,'Email Cleaner'!$H$2:$H$10001,0)),"")</f>
        <v/>
      </c>
    </row>
    <row r="4850">
      <c r="A4850">
        <f>IFERROR(INDEX('Email Cleaner'!$B$2:$B$10001,MATCH(4849,'Email Cleaner'!$H$2:$H$10001,0)),"")</f>
        <v/>
      </c>
    </row>
    <row r="4851">
      <c r="A4851">
        <f>IFERROR(INDEX('Email Cleaner'!$B$2:$B$10001,MATCH(4850,'Email Cleaner'!$H$2:$H$10001,0)),"")</f>
        <v/>
      </c>
    </row>
    <row r="4852">
      <c r="A4852">
        <f>IFERROR(INDEX('Email Cleaner'!$B$2:$B$10001,MATCH(4851,'Email Cleaner'!$H$2:$H$10001,0)),"")</f>
        <v/>
      </c>
    </row>
    <row r="4853">
      <c r="A4853">
        <f>IFERROR(INDEX('Email Cleaner'!$B$2:$B$10001,MATCH(4852,'Email Cleaner'!$H$2:$H$10001,0)),"")</f>
        <v/>
      </c>
    </row>
    <row r="4854">
      <c r="A4854">
        <f>IFERROR(INDEX('Email Cleaner'!$B$2:$B$10001,MATCH(4853,'Email Cleaner'!$H$2:$H$10001,0)),"")</f>
        <v/>
      </c>
    </row>
    <row r="4855">
      <c r="A4855">
        <f>IFERROR(INDEX('Email Cleaner'!$B$2:$B$10001,MATCH(4854,'Email Cleaner'!$H$2:$H$10001,0)),"")</f>
        <v/>
      </c>
    </row>
    <row r="4856">
      <c r="A4856">
        <f>IFERROR(INDEX('Email Cleaner'!$B$2:$B$10001,MATCH(4855,'Email Cleaner'!$H$2:$H$10001,0)),"")</f>
        <v/>
      </c>
    </row>
    <row r="4857">
      <c r="A4857">
        <f>IFERROR(INDEX('Email Cleaner'!$B$2:$B$10001,MATCH(4856,'Email Cleaner'!$H$2:$H$10001,0)),"")</f>
        <v/>
      </c>
    </row>
    <row r="4858">
      <c r="A4858">
        <f>IFERROR(INDEX('Email Cleaner'!$B$2:$B$10001,MATCH(4857,'Email Cleaner'!$H$2:$H$10001,0)),"")</f>
        <v/>
      </c>
    </row>
    <row r="4859">
      <c r="A4859">
        <f>IFERROR(INDEX('Email Cleaner'!$B$2:$B$10001,MATCH(4858,'Email Cleaner'!$H$2:$H$10001,0)),"")</f>
        <v/>
      </c>
    </row>
    <row r="4860">
      <c r="A4860">
        <f>IFERROR(INDEX('Email Cleaner'!$B$2:$B$10001,MATCH(4859,'Email Cleaner'!$H$2:$H$10001,0)),"")</f>
        <v/>
      </c>
    </row>
    <row r="4861">
      <c r="A4861">
        <f>IFERROR(INDEX('Email Cleaner'!$B$2:$B$10001,MATCH(4860,'Email Cleaner'!$H$2:$H$10001,0)),"")</f>
        <v/>
      </c>
    </row>
    <row r="4862">
      <c r="A4862">
        <f>IFERROR(INDEX('Email Cleaner'!$B$2:$B$10001,MATCH(4861,'Email Cleaner'!$H$2:$H$10001,0)),"")</f>
        <v/>
      </c>
    </row>
    <row r="4863">
      <c r="A4863">
        <f>IFERROR(INDEX('Email Cleaner'!$B$2:$B$10001,MATCH(4862,'Email Cleaner'!$H$2:$H$10001,0)),"")</f>
        <v/>
      </c>
    </row>
    <row r="4864">
      <c r="A4864">
        <f>IFERROR(INDEX('Email Cleaner'!$B$2:$B$10001,MATCH(4863,'Email Cleaner'!$H$2:$H$10001,0)),"")</f>
        <v/>
      </c>
    </row>
    <row r="4865">
      <c r="A4865">
        <f>IFERROR(INDEX('Email Cleaner'!$B$2:$B$10001,MATCH(4864,'Email Cleaner'!$H$2:$H$10001,0)),"")</f>
        <v/>
      </c>
    </row>
    <row r="4866">
      <c r="A4866">
        <f>IFERROR(INDEX('Email Cleaner'!$B$2:$B$10001,MATCH(4865,'Email Cleaner'!$H$2:$H$10001,0)),"")</f>
        <v/>
      </c>
    </row>
    <row r="4867">
      <c r="A4867">
        <f>IFERROR(INDEX('Email Cleaner'!$B$2:$B$10001,MATCH(4866,'Email Cleaner'!$H$2:$H$10001,0)),"")</f>
        <v/>
      </c>
    </row>
    <row r="4868">
      <c r="A4868">
        <f>IFERROR(INDEX('Email Cleaner'!$B$2:$B$10001,MATCH(4867,'Email Cleaner'!$H$2:$H$10001,0)),"")</f>
        <v/>
      </c>
    </row>
    <row r="4869">
      <c r="A4869">
        <f>IFERROR(INDEX('Email Cleaner'!$B$2:$B$10001,MATCH(4868,'Email Cleaner'!$H$2:$H$10001,0)),"")</f>
        <v/>
      </c>
    </row>
    <row r="4870">
      <c r="A4870">
        <f>IFERROR(INDEX('Email Cleaner'!$B$2:$B$10001,MATCH(4869,'Email Cleaner'!$H$2:$H$10001,0)),"")</f>
        <v/>
      </c>
    </row>
    <row r="4871">
      <c r="A4871">
        <f>IFERROR(INDEX('Email Cleaner'!$B$2:$B$10001,MATCH(4870,'Email Cleaner'!$H$2:$H$10001,0)),"")</f>
        <v/>
      </c>
    </row>
    <row r="4872">
      <c r="A4872">
        <f>IFERROR(INDEX('Email Cleaner'!$B$2:$B$10001,MATCH(4871,'Email Cleaner'!$H$2:$H$10001,0)),"")</f>
        <v/>
      </c>
    </row>
    <row r="4873">
      <c r="A4873">
        <f>IFERROR(INDEX('Email Cleaner'!$B$2:$B$10001,MATCH(4872,'Email Cleaner'!$H$2:$H$10001,0)),"")</f>
        <v/>
      </c>
    </row>
    <row r="4874">
      <c r="A4874">
        <f>IFERROR(INDEX('Email Cleaner'!$B$2:$B$10001,MATCH(4873,'Email Cleaner'!$H$2:$H$10001,0)),"")</f>
        <v/>
      </c>
    </row>
    <row r="4875">
      <c r="A4875">
        <f>IFERROR(INDEX('Email Cleaner'!$B$2:$B$10001,MATCH(4874,'Email Cleaner'!$H$2:$H$10001,0)),"")</f>
        <v/>
      </c>
    </row>
    <row r="4876">
      <c r="A4876">
        <f>IFERROR(INDEX('Email Cleaner'!$B$2:$B$10001,MATCH(4875,'Email Cleaner'!$H$2:$H$10001,0)),"")</f>
        <v/>
      </c>
    </row>
    <row r="4877">
      <c r="A4877">
        <f>IFERROR(INDEX('Email Cleaner'!$B$2:$B$10001,MATCH(4876,'Email Cleaner'!$H$2:$H$10001,0)),"")</f>
        <v/>
      </c>
    </row>
    <row r="4878">
      <c r="A4878">
        <f>IFERROR(INDEX('Email Cleaner'!$B$2:$B$10001,MATCH(4877,'Email Cleaner'!$H$2:$H$10001,0)),"")</f>
        <v/>
      </c>
    </row>
    <row r="4879">
      <c r="A4879">
        <f>IFERROR(INDEX('Email Cleaner'!$B$2:$B$10001,MATCH(4878,'Email Cleaner'!$H$2:$H$10001,0)),"")</f>
        <v/>
      </c>
    </row>
    <row r="4880">
      <c r="A4880">
        <f>IFERROR(INDEX('Email Cleaner'!$B$2:$B$10001,MATCH(4879,'Email Cleaner'!$H$2:$H$10001,0)),"")</f>
        <v/>
      </c>
    </row>
    <row r="4881">
      <c r="A4881">
        <f>IFERROR(INDEX('Email Cleaner'!$B$2:$B$10001,MATCH(4880,'Email Cleaner'!$H$2:$H$10001,0)),"")</f>
        <v/>
      </c>
    </row>
    <row r="4882">
      <c r="A4882">
        <f>IFERROR(INDEX('Email Cleaner'!$B$2:$B$10001,MATCH(4881,'Email Cleaner'!$H$2:$H$10001,0)),"")</f>
        <v/>
      </c>
    </row>
    <row r="4883">
      <c r="A4883">
        <f>IFERROR(INDEX('Email Cleaner'!$B$2:$B$10001,MATCH(4882,'Email Cleaner'!$H$2:$H$10001,0)),"")</f>
        <v/>
      </c>
    </row>
    <row r="4884">
      <c r="A4884">
        <f>IFERROR(INDEX('Email Cleaner'!$B$2:$B$10001,MATCH(4883,'Email Cleaner'!$H$2:$H$10001,0)),"")</f>
        <v/>
      </c>
    </row>
    <row r="4885">
      <c r="A4885">
        <f>IFERROR(INDEX('Email Cleaner'!$B$2:$B$10001,MATCH(4884,'Email Cleaner'!$H$2:$H$10001,0)),"")</f>
        <v/>
      </c>
    </row>
    <row r="4886">
      <c r="A4886">
        <f>IFERROR(INDEX('Email Cleaner'!$B$2:$B$10001,MATCH(4885,'Email Cleaner'!$H$2:$H$10001,0)),"")</f>
        <v/>
      </c>
    </row>
    <row r="4887">
      <c r="A4887">
        <f>IFERROR(INDEX('Email Cleaner'!$B$2:$B$10001,MATCH(4886,'Email Cleaner'!$H$2:$H$10001,0)),"")</f>
        <v/>
      </c>
    </row>
    <row r="4888">
      <c r="A4888">
        <f>IFERROR(INDEX('Email Cleaner'!$B$2:$B$10001,MATCH(4887,'Email Cleaner'!$H$2:$H$10001,0)),"")</f>
        <v/>
      </c>
    </row>
    <row r="4889">
      <c r="A4889">
        <f>IFERROR(INDEX('Email Cleaner'!$B$2:$B$10001,MATCH(4888,'Email Cleaner'!$H$2:$H$10001,0)),"")</f>
        <v/>
      </c>
    </row>
    <row r="4890">
      <c r="A4890">
        <f>IFERROR(INDEX('Email Cleaner'!$B$2:$B$10001,MATCH(4889,'Email Cleaner'!$H$2:$H$10001,0)),"")</f>
        <v/>
      </c>
    </row>
    <row r="4891">
      <c r="A4891">
        <f>IFERROR(INDEX('Email Cleaner'!$B$2:$B$10001,MATCH(4890,'Email Cleaner'!$H$2:$H$10001,0)),"")</f>
        <v/>
      </c>
    </row>
    <row r="4892">
      <c r="A4892">
        <f>IFERROR(INDEX('Email Cleaner'!$B$2:$B$10001,MATCH(4891,'Email Cleaner'!$H$2:$H$10001,0)),"")</f>
        <v/>
      </c>
    </row>
    <row r="4893">
      <c r="A4893">
        <f>IFERROR(INDEX('Email Cleaner'!$B$2:$B$10001,MATCH(4892,'Email Cleaner'!$H$2:$H$10001,0)),"")</f>
        <v/>
      </c>
    </row>
    <row r="4894">
      <c r="A4894">
        <f>IFERROR(INDEX('Email Cleaner'!$B$2:$B$10001,MATCH(4893,'Email Cleaner'!$H$2:$H$10001,0)),"")</f>
        <v/>
      </c>
    </row>
    <row r="4895">
      <c r="A4895">
        <f>IFERROR(INDEX('Email Cleaner'!$B$2:$B$10001,MATCH(4894,'Email Cleaner'!$H$2:$H$10001,0)),"")</f>
        <v/>
      </c>
    </row>
    <row r="4896">
      <c r="A4896">
        <f>IFERROR(INDEX('Email Cleaner'!$B$2:$B$10001,MATCH(4895,'Email Cleaner'!$H$2:$H$10001,0)),"")</f>
        <v/>
      </c>
    </row>
    <row r="4897">
      <c r="A4897">
        <f>IFERROR(INDEX('Email Cleaner'!$B$2:$B$10001,MATCH(4896,'Email Cleaner'!$H$2:$H$10001,0)),"")</f>
        <v/>
      </c>
    </row>
    <row r="4898">
      <c r="A4898">
        <f>IFERROR(INDEX('Email Cleaner'!$B$2:$B$10001,MATCH(4897,'Email Cleaner'!$H$2:$H$10001,0)),"")</f>
        <v/>
      </c>
    </row>
    <row r="4899">
      <c r="A4899">
        <f>IFERROR(INDEX('Email Cleaner'!$B$2:$B$10001,MATCH(4898,'Email Cleaner'!$H$2:$H$10001,0)),"")</f>
        <v/>
      </c>
    </row>
    <row r="4900">
      <c r="A4900">
        <f>IFERROR(INDEX('Email Cleaner'!$B$2:$B$10001,MATCH(4899,'Email Cleaner'!$H$2:$H$10001,0)),"")</f>
        <v/>
      </c>
    </row>
    <row r="4901">
      <c r="A4901">
        <f>IFERROR(INDEX('Email Cleaner'!$B$2:$B$10001,MATCH(4900,'Email Cleaner'!$H$2:$H$10001,0)),"")</f>
        <v/>
      </c>
    </row>
    <row r="4902">
      <c r="A4902">
        <f>IFERROR(INDEX('Email Cleaner'!$B$2:$B$10001,MATCH(4901,'Email Cleaner'!$H$2:$H$10001,0)),"")</f>
        <v/>
      </c>
    </row>
    <row r="4903">
      <c r="A4903">
        <f>IFERROR(INDEX('Email Cleaner'!$B$2:$B$10001,MATCH(4902,'Email Cleaner'!$H$2:$H$10001,0)),"")</f>
        <v/>
      </c>
    </row>
    <row r="4904">
      <c r="A4904">
        <f>IFERROR(INDEX('Email Cleaner'!$B$2:$B$10001,MATCH(4903,'Email Cleaner'!$H$2:$H$10001,0)),"")</f>
        <v/>
      </c>
    </row>
    <row r="4905">
      <c r="A4905">
        <f>IFERROR(INDEX('Email Cleaner'!$B$2:$B$10001,MATCH(4904,'Email Cleaner'!$H$2:$H$10001,0)),"")</f>
        <v/>
      </c>
    </row>
    <row r="4906">
      <c r="A4906">
        <f>IFERROR(INDEX('Email Cleaner'!$B$2:$B$10001,MATCH(4905,'Email Cleaner'!$H$2:$H$10001,0)),"")</f>
        <v/>
      </c>
    </row>
    <row r="4907">
      <c r="A4907">
        <f>IFERROR(INDEX('Email Cleaner'!$B$2:$B$10001,MATCH(4906,'Email Cleaner'!$H$2:$H$10001,0)),"")</f>
        <v/>
      </c>
    </row>
    <row r="4908">
      <c r="A4908">
        <f>IFERROR(INDEX('Email Cleaner'!$B$2:$B$10001,MATCH(4907,'Email Cleaner'!$H$2:$H$10001,0)),"")</f>
        <v/>
      </c>
    </row>
    <row r="4909">
      <c r="A4909">
        <f>IFERROR(INDEX('Email Cleaner'!$B$2:$B$10001,MATCH(4908,'Email Cleaner'!$H$2:$H$10001,0)),"")</f>
        <v/>
      </c>
    </row>
    <row r="4910">
      <c r="A4910">
        <f>IFERROR(INDEX('Email Cleaner'!$B$2:$B$10001,MATCH(4909,'Email Cleaner'!$H$2:$H$10001,0)),"")</f>
        <v/>
      </c>
    </row>
    <row r="4911">
      <c r="A4911">
        <f>IFERROR(INDEX('Email Cleaner'!$B$2:$B$10001,MATCH(4910,'Email Cleaner'!$H$2:$H$10001,0)),"")</f>
        <v/>
      </c>
    </row>
    <row r="4912">
      <c r="A4912">
        <f>IFERROR(INDEX('Email Cleaner'!$B$2:$B$10001,MATCH(4911,'Email Cleaner'!$H$2:$H$10001,0)),"")</f>
        <v/>
      </c>
    </row>
    <row r="4913">
      <c r="A4913">
        <f>IFERROR(INDEX('Email Cleaner'!$B$2:$B$10001,MATCH(4912,'Email Cleaner'!$H$2:$H$10001,0)),"")</f>
        <v/>
      </c>
    </row>
    <row r="4914">
      <c r="A4914">
        <f>IFERROR(INDEX('Email Cleaner'!$B$2:$B$10001,MATCH(4913,'Email Cleaner'!$H$2:$H$10001,0)),"")</f>
        <v/>
      </c>
    </row>
    <row r="4915">
      <c r="A4915">
        <f>IFERROR(INDEX('Email Cleaner'!$B$2:$B$10001,MATCH(4914,'Email Cleaner'!$H$2:$H$10001,0)),"")</f>
        <v/>
      </c>
    </row>
    <row r="4916">
      <c r="A4916">
        <f>IFERROR(INDEX('Email Cleaner'!$B$2:$B$10001,MATCH(4915,'Email Cleaner'!$H$2:$H$10001,0)),"")</f>
        <v/>
      </c>
    </row>
    <row r="4917">
      <c r="A4917">
        <f>IFERROR(INDEX('Email Cleaner'!$B$2:$B$10001,MATCH(4916,'Email Cleaner'!$H$2:$H$10001,0)),"")</f>
        <v/>
      </c>
    </row>
    <row r="4918">
      <c r="A4918">
        <f>IFERROR(INDEX('Email Cleaner'!$B$2:$B$10001,MATCH(4917,'Email Cleaner'!$H$2:$H$10001,0)),"")</f>
        <v/>
      </c>
    </row>
    <row r="4919">
      <c r="A4919">
        <f>IFERROR(INDEX('Email Cleaner'!$B$2:$B$10001,MATCH(4918,'Email Cleaner'!$H$2:$H$10001,0)),"")</f>
        <v/>
      </c>
    </row>
    <row r="4920">
      <c r="A4920">
        <f>IFERROR(INDEX('Email Cleaner'!$B$2:$B$10001,MATCH(4919,'Email Cleaner'!$H$2:$H$10001,0)),"")</f>
        <v/>
      </c>
    </row>
    <row r="4921">
      <c r="A4921">
        <f>IFERROR(INDEX('Email Cleaner'!$B$2:$B$10001,MATCH(4920,'Email Cleaner'!$H$2:$H$10001,0)),"")</f>
        <v/>
      </c>
    </row>
    <row r="4922">
      <c r="A4922">
        <f>IFERROR(INDEX('Email Cleaner'!$B$2:$B$10001,MATCH(4921,'Email Cleaner'!$H$2:$H$10001,0)),"")</f>
        <v/>
      </c>
    </row>
    <row r="4923">
      <c r="A4923">
        <f>IFERROR(INDEX('Email Cleaner'!$B$2:$B$10001,MATCH(4922,'Email Cleaner'!$H$2:$H$10001,0)),"")</f>
        <v/>
      </c>
    </row>
    <row r="4924">
      <c r="A4924">
        <f>IFERROR(INDEX('Email Cleaner'!$B$2:$B$10001,MATCH(4923,'Email Cleaner'!$H$2:$H$10001,0)),"")</f>
        <v/>
      </c>
    </row>
    <row r="4925">
      <c r="A4925">
        <f>IFERROR(INDEX('Email Cleaner'!$B$2:$B$10001,MATCH(4924,'Email Cleaner'!$H$2:$H$10001,0)),"")</f>
        <v/>
      </c>
    </row>
    <row r="4926">
      <c r="A4926">
        <f>IFERROR(INDEX('Email Cleaner'!$B$2:$B$10001,MATCH(4925,'Email Cleaner'!$H$2:$H$10001,0)),"")</f>
        <v/>
      </c>
    </row>
    <row r="4927">
      <c r="A4927">
        <f>IFERROR(INDEX('Email Cleaner'!$B$2:$B$10001,MATCH(4926,'Email Cleaner'!$H$2:$H$10001,0)),"")</f>
        <v/>
      </c>
    </row>
    <row r="4928">
      <c r="A4928">
        <f>IFERROR(INDEX('Email Cleaner'!$B$2:$B$10001,MATCH(4927,'Email Cleaner'!$H$2:$H$10001,0)),"")</f>
        <v/>
      </c>
    </row>
    <row r="4929">
      <c r="A4929">
        <f>IFERROR(INDEX('Email Cleaner'!$B$2:$B$10001,MATCH(4928,'Email Cleaner'!$H$2:$H$10001,0)),"")</f>
        <v/>
      </c>
    </row>
    <row r="4930">
      <c r="A4930">
        <f>IFERROR(INDEX('Email Cleaner'!$B$2:$B$10001,MATCH(4929,'Email Cleaner'!$H$2:$H$10001,0)),"")</f>
        <v/>
      </c>
    </row>
    <row r="4931">
      <c r="A4931">
        <f>IFERROR(INDEX('Email Cleaner'!$B$2:$B$10001,MATCH(4930,'Email Cleaner'!$H$2:$H$10001,0)),"")</f>
        <v/>
      </c>
    </row>
    <row r="4932">
      <c r="A4932">
        <f>IFERROR(INDEX('Email Cleaner'!$B$2:$B$10001,MATCH(4931,'Email Cleaner'!$H$2:$H$10001,0)),"")</f>
        <v/>
      </c>
    </row>
    <row r="4933">
      <c r="A4933">
        <f>IFERROR(INDEX('Email Cleaner'!$B$2:$B$10001,MATCH(4932,'Email Cleaner'!$H$2:$H$10001,0)),"")</f>
        <v/>
      </c>
    </row>
    <row r="4934">
      <c r="A4934">
        <f>IFERROR(INDEX('Email Cleaner'!$B$2:$B$10001,MATCH(4933,'Email Cleaner'!$H$2:$H$10001,0)),"")</f>
        <v/>
      </c>
    </row>
    <row r="4935">
      <c r="A4935">
        <f>IFERROR(INDEX('Email Cleaner'!$B$2:$B$10001,MATCH(4934,'Email Cleaner'!$H$2:$H$10001,0)),"")</f>
        <v/>
      </c>
    </row>
    <row r="4936">
      <c r="A4936">
        <f>IFERROR(INDEX('Email Cleaner'!$B$2:$B$10001,MATCH(4935,'Email Cleaner'!$H$2:$H$10001,0)),"")</f>
        <v/>
      </c>
    </row>
    <row r="4937">
      <c r="A4937">
        <f>IFERROR(INDEX('Email Cleaner'!$B$2:$B$10001,MATCH(4936,'Email Cleaner'!$H$2:$H$10001,0)),"")</f>
        <v/>
      </c>
    </row>
    <row r="4938">
      <c r="A4938">
        <f>IFERROR(INDEX('Email Cleaner'!$B$2:$B$10001,MATCH(4937,'Email Cleaner'!$H$2:$H$10001,0)),"")</f>
        <v/>
      </c>
    </row>
    <row r="4939">
      <c r="A4939">
        <f>IFERROR(INDEX('Email Cleaner'!$B$2:$B$10001,MATCH(4938,'Email Cleaner'!$H$2:$H$10001,0)),"")</f>
        <v/>
      </c>
    </row>
    <row r="4940">
      <c r="A4940">
        <f>IFERROR(INDEX('Email Cleaner'!$B$2:$B$10001,MATCH(4939,'Email Cleaner'!$H$2:$H$10001,0)),"")</f>
        <v/>
      </c>
    </row>
    <row r="4941">
      <c r="A4941">
        <f>IFERROR(INDEX('Email Cleaner'!$B$2:$B$10001,MATCH(4940,'Email Cleaner'!$H$2:$H$10001,0)),"")</f>
        <v/>
      </c>
    </row>
    <row r="4942">
      <c r="A4942">
        <f>IFERROR(INDEX('Email Cleaner'!$B$2:$B$10001,MATCH(4941,'Email Cleaner'!$H$2:$H$10001,0)),"")</f>
        <v/>
      </c>
    </row>
    <row r="4943">
      <c r="A4943">
        <f>IFERROR(INDEX('Email Cleaner'!$B$2:$B$10001,MATCH(4942,'Email Cleaner'!$H$2:$H$10001,0)),"")</f>
        <v/>
      </c>
    </row>
    <row r="4944">
      <c r="A4944">
        <f>IFERROR(INDEX('Email Cleaner'!$B$2:$B$10001,MATCH(4943,'Email Cleaner'!$H$2:$H$10001,0)),"")</f>
        <v/>
      </c>
    </row>
    <row r="4945">
      <c r="A4945">
        <f>IFERROR(INDEX('Email Cleaner'!$B$2:$B$10001,MATCH(4944,'Email Cleaner'!$H$2:$H$10001,0)),"")</f>
        <v/>
      </c>
    </row>
    <row r="4946">
      <c r="A4946">
        <f>IFERROR(INDEX('Email Cleaner'!$B$2:$B$10001,MATCH(4945,'Email Cleaner'!$H$2:$H$10001,0)),"")</f>
        <v/>
      </c>
    </row>
    <row r="4947">
      <c r="A4947">
        <f>IFERROR(INDEX('Email Cleaner'!$B$2:$B$10001,MATCH(4946,'Email Cleaner'!$H$2:$H$10001,0)),"")</f>
        <v/>
      </c>
    </row>
    <row r="4948">
      <c r="A4948">
        <f>IFERROR(INDEX('Email Cleaner'!$B$2:$B$10001,MATCH(4947,'Email Cleaner'!$H$2:$H$10001,0)),"")</f>
        <v/>
      </c>
    </row>
    <row r="4949">
      <c r="A4949">
        <f>IFERROR(INDEX('Email Cleaner'!$B$2:$B$10001,MATCH(4948,'Email Cleaner'!$H$2:$H$10001,0)),"")</f>
        <v/>
      </c>
    </row>
    <row r="4950">
      <c r="A4950">
        <f>IFERROR(INDEX('Email Cleaner'!$B$2:$B$10001,MATCH(4949,'Email Cleaner'!$H$2:$H$10001,0)),"")</f>
        <v/>
      </c>
    </row>
    <row r="4951">
      <c r="A4951">
        <f>IFERROR(INDEX('Email Cleaner'!$B$2:$B$10001,MATCH(4950,'Email Cleaner'!$H$2:$H$10001,0)),"")</f>
        <v/>
      </c>
    </row>
    <row r="4952">
      <c r="A4952">
        <f>IFERROR(INDEX('Email Cleaner'!$B$2:$B$10001,MATCH(4951,'Email Cleaner'!$H$2:$H$10001,0)),"")</f>
        <v/>
      </c>
    </row>
    <row r="4953">
      <c r="A4953">
        <f>IFERROR(INDEX('Email Cleaner'!$B$2:$B$10001,MATCH(4952,'Email Cleaner'!$H$2:$H$10001,0)),"")</f>
        <v/>
      </c>
    </row>
    <row r="4954">
      <c r="A4954">
        <f>IFERROR(INDEX('Email Cleaner'!$B$2:$B$10001,MATCH(4953,'Email Cleaner'!$H$2:$H$10001,0)),"")</f>
        <v/>
      </c>
    </row>
    <row r="4955">
      <c r="A4955">
        <f>IFERROR(INDEX('Email Cleaner'!$B$2:$B$10001,MATCH(4954,'Email Cleaner'!$H$2:$H$10001,0)),"")</f>
        <v/>
      </c>
    </row>
    <row r="4956">
      <c r="A4956">
        <f>IFERROR(INDEX('Email Cleaner'!$B$2:$B$10001,MATCH(4955,'Email Cleaner'!$H$2:$H$10001,0)),"")</f>
        <v/>
      </c>
    </row>
    <row r="4957">
      <c r="A4957">
        <f>IFERROR(INDEX('Email Cleaner'!$B$2:$B$10001,MATCH(4956,'Email Cleaner'!$H$2:$H$10001,0)),"")</f>
        <v/>
      </c>
    </row>
    <row r="4958">
      <c r="A4958">
        <f>IFERROR(INDEX('Email Cleaner'!$B$2:$B$10001,MATCH(4957,'Email Cleaner'!$H$2:$H$10001,0)),"")</f>
        <v/>
      </c>
    </row>
    <row r="4959">
      <c r="A4959">
        <f>IFERROR(INDEX('Email Cleaner'!$B$2:$B$10001,MATCH(4958,'Email Cleaner'!$H$2:$H$10001,0)),"")</f>
        <v/>
      </c>
    </row>
    <row r="4960">
      <c r="A4960">
        <f>IFERROR(INDEX('Email Cleaner'!$B$2:$B$10001,MATCH(4959,'Email Cleaner'!$H$2:$H$10001,0)),"")</f>
        <v/>
      </c>
    </row>
    <row r="4961">
      <c r="A4961">
        <f>IFERROR(INDEX('Email Cleaner'!$B$2:$B$10001,MATCH(4960,'Email Cleaner'!$H$2:$H$10001,0)),"")</f>
        <v/>
      </c>
    </row>
    <row r="4962">
      <c r="A4962">
        <f>IFERROR(INDEX('Email Cleaner'!$B$2:$B$10001,MATCH(4961,'Email Cleaner'!$H$2:$H$10001,0)),"")</f>
        <v/>
      </c>
    </row>
    <row r="4963">
      <c r="A4963">
        <f>IFERROR(INDEX('Email Cleaner'!$B$2:$B$10001,MATCH(4962,'Email Cleaner'!$H$2:$H$10001,0)),"")</f>
        <v/>
      </c>
    </row>
    <row r="4964">
      <c r="A4964">
        <f>IFERROR(INDEX('Email Cleaner'!$B$2:$B$10001,MATCH(4963,'Email Cleaner'!$H$2:$H$10001,0)),"")</f>
        <v/>
      </c>
    </row>
    <row r="4965">
      <c r="A4965">
        <f>IFERROR(INDEX('Email Cleaner'!$B$2:$B$10001,MATCH(4964,'Email Cleaner'!$H$2:$H$10001,0)),"")</f>
        <v/>
      </c>
    </row>
    <row r="4966">
      <c r="A4966">
        <f>IFERROR(INDEX('Email Cleaner'!$B$2:$B$10001,MATCH(4965,'Email Cleaner'!$H$2:$H$10001,0)),"")</f>
        <v/>
      </c>
    </row>
    <row r="4967">
      <c r="A4967">
        <f>IFERROR(INDEX('Email Cleaner'!$B$2:$B$10001,MATCH(4966,'Email Cleaner'!$H$2:$H$10001,0)),"")</f>
        <v/>
      </c>
    </row>
    <row r="4968">
      <c r="A4968">
        <f>IFERROR(INDEX('Email Cleaner'!$B$2:$B$10001,MATCH(4967,'Email Cleaner'!$H$2:$H$10001,0)),"")</f>
        <v/>
      </c>
    </row>
    <row r="4969">
      <c r="A4969">
        <f>IFERROR(INDEX('Email Cleaner'!$B$2:$B$10001,MATCH(4968,'Email Cleaner'!$H$2:$H$10001,0)),"")</f>
        <v/>
      </c>
    </row>
    <row r="4970">
      <c r="A4970">
        <f>IFERROR(INDEX('Email Cleaner'!$B$2:$B$10001,MATCH(4969,'Email Cleaner'!$H$2:$H$10001,0)),"")</f>
        <v/>
      </c>
    </row>
    <row r="4971">
      <c r="A4971">
        <f>IFERROR(INDEX('Email Cleaner'!$B$2:$B$10001,MATCH(4970,'Email Cleaner'!$H$2:$H$10001,0)),"")</f>
        <v/>
      </c>
    </row>
    <row r="4972">
      <c r="A4972">
        <f>IFERROR(INDEX('Email Cleaner'!$B$2:$B$10001,MATCH(4971,'Email Cleaner'!$H$2:$H$10001,0)),"")</f>
        <v/>
      </c>
    </row>
    <row r="4973">
      <c r="A4973">
        <f>IFERROR(INDEX('Email Cleaner'!$B$2:$B$10001,MATCH(4972,'Email Cleaner'!$H$2:$H$10001,0)),"")</f>
        <v/>
      </c>
    </row>
    <row r="4974">
      <c r="A4974">
        <f>IFERROR(INDEX('Email Cleaner'!$B$2:$B$10001,MATCH(4973,'Email Cleaner'!$H$2:$H$10001,0)),"")</f>
        <v/>
      </c>
    </row>
    <row r="4975">
      <c r="A4975">
        <f>IFERROR(INDEX('Email Cleaner'!$B$2:$B$10001,MATCH(4974,'Email Cleaner'!$H$2:$H$10001,0)),"")</f>
        <v/>
      </c>
    </row>
    <row r="4976">
      <c r="A4976">
        <f>IFERROR(INDEX('Email Cleaner'!$B$2:$B$10001,MATCH(4975,'Email Cleaner'!$H$2:$H$10001,0)),"")</f>
        <v/>
      </c>
    </row>
    <row r="4977">
      <c r="A4977">
        <f>IFERROR(INDEX('Email Cleaner'!$B$2:$B$10001,MATCH(4976,'Email Cleaner'!$H$2:$H$10001,0)),"")</f>
        <v/>
      </c>
    </row>
    <row r="4978">
      <c r="A4978">
        <f>IFERROR(INDEX('Email Cleaner'!$B$2:$B$10001,MATCH(4977,'Email Cleaner'!$H$2:$H$10001,0)),"")</f>
        <v/>
      </c>
    </row>
    <row r="4979">
      <c r="A4979">
        <f>IFERROR(INDEX('Email Cleaner'!$B$2:$B$10001,MATCH(4978,'Email Cleaner'!$H$2:$H$10001,0)),"")</f>
        <v/>
      </c>
    </row>
    <row r="4980">
      <c r="A4980">
        <f>IFERROR(INDEX('Email Cleaner'!$B$2:$B$10001,MATCH(4979,'Email Cleaner'!$H$2:$H$10001,0)),"")</f>
        <v/>
      </c>
    </row>
    <row r="4981">
      <c r="A4981">
        <f>IFERROR(INDEX('Email Cleaner'!$B$2:$B$10001,MATCH(4980,'Email Cleaner'!$H$2:$H$10001,0)),"")</f>
        <v/>
      </c>
    </row>
    <row r="4982">
      <c r="A4982">
        <f>IFERROR(INDEX('Email Cleaner'!$B$2:$B$10001,MATCH(4981,'Email Cleaner'!$H$2:$H$10001,0)),"")</f>
        <v/>
      </c>
    </row>
    <row r="4983">
      <c r="A4983">
        <f>IFERROR(INDEX('Email Cleaner'!$B$2:$B$10001,MATCH(4982,'Email Cleaner'!$H$2:$H$10001,0)),"")</f>
        <v/>
      </c>
    </row>
    <row r="4984">
      <c r="A4984">
        <f>IFERROR(INDEX('Email Cleaner'!$B$2:$B$10001,MATCH(4983,'Email Cleaner'!$H$2:$H$10001,0)),"")</f>
        <v/>
      </c>
    </row>
    <row r="4985">
      <c r="A4985">
        <f>IFERROR(INDEX('Email Cleaner'!$B$2:$B$10001,MATCH(4984,'Email Cleaner'!$H$2:$H$10001,0)),"")</f>
        <v/>
      </c>
    </row>
    <row r="4986">
      <c r="A4986">
        <f>IFERROR(INDEX('Email Cleaner'!$B$2:$B$10001,MATCH(4985,'Email Cleaner'!$H$2:$H$10001,0)),"")</f>
        <v/>
      </c>
    </row>
    <row r="4987">
      <c r="A4987">
        <f>IFERROR(INDEX('Email Cleaner'!$B$2:$B$10001,MATCH(4986,'Email Cleaner'!$H$2:$H$10001,0)),"")</f>
        <v/>
      </c>
    </row>
    <row r="4988">
      <c r="A4988">
        <f>IFERROR(INDEX('Email Cleaner'!$B$2:$B$10001,MATCH(4987,'Email Cleaner'!$H$2:$H$10001,0)),"")</f>
        <v/>
      </c>
    </row>
    <row r="4989">
      <c r="A4989">
        <f>IFERROR(INDEX('Email Cleaner'!$B$2:$B$10001,MATCH(4988,'Email Cleaner'!$H$2:$H$10001,0)),"")</f>
        <v/>
      </c>
    </row>
    <row r="4990">
      <c r="A4990">
        <f>IFERROR(INDEX('Email Cleaner'!$B$2:$B$10001,MATCH(4989,'Email Cleaner'!$H$2:$H$10001,0)),"")</f>
        <v/>
      </c>
    </row>
    <row r="4991">
      <c r="A4991">
        <f>IFERROR(INDEX('Email Cleaner'!$B$2:$B$10001,MATCH(4990,'Email Cleaner'!$H$2:$H$10001,0)),"")</f>
        <v/>
      </c>
    </row>
    <row r="4992">
      <c r="A4992">
        <f>IFERROR(INDEX('Email Cleaner'!$B$2:$B$10001,MATCH(4991,'Email Cleaner'!$H$2:$H$10001,0)),"")</f>
        <v/>
      </c>
    </row>
    <row r="4993">
      <c r="A4993">
        <f>IFERROR(INDEX('Email Cleaner'!$B$2:$B$10001,MATCH(4992,'Email Cleaner'!$H$2:$H$10001,0)),"")</f>
        <v/>
      </c>
    </row>
    <row r="4994">
      <c r="A4994">
        <f>IFERROR(INDEX('Email Cleaner'!$B$2:$B$10001,MATCH(4993,'Email Cleaner'!$H$2:$H$10001,0)),"")</f>
        <v/>
      </c>
    </row>
    <row r="4995">
      <c r="A4995">
        <f>IFERROR(INDEX('Email Cleaner'!$B$2:$B$10001,MATCH(4994,'Email Cleaner'!$H$2:$H$10001,0)),"")</f>
        <v/>
      </c>
    </row>
    <row r="4996">
      <c r="A4996">
        <f>IFERROR(INDEX('Email Cleaner'!$B$2:$B$10001,MATCH(4995,'Email Cleaner'!$H$2:$H$10001,0)),"")</f>
        <v/>
      </c>
    </row>
    <row r="4997">
      <c r="A4997">
        <f>IFERROR(INDEX('Email Cleaner'!$B$2:$B$10001,MATCH(4996,'Email Cleaner'!$H$2:$H$10001,0)),"")</f>
        <v/>
      </c>
    </row>
    <row r="4998">
      <c r="A4998">
        <f>IFERROR(INDEX('Email Cleaner'!$B$2:$B$10001,MATCH(4997,'Email Cleaner'!$H$2:$H$10001,0)),"")</f>
        <v/>
      </c>
    </row>
    <row r="4999">
      <c r="A4999">
        <f>IFERROR(INDEX('Email Cleaner'!$B$2:$B$10001,MATCH(4998,'Email Cleaner'!$H$2:$H$10001,0)),"")</f>
        <v/>
      </c>
    </row>
    <row r="5000">
      <c r="A5000">
        <f>IFERROR(INDEX('Email Cleaner'!$B$2:$B$10001,MATCH(4999,'Email Cleaner'!$H$2:$H$10001,0)),"")</f>
        <v/>
      </c>
    </row>
    <row r="5001">
      <c r="A5001">
        <f>IFERROR(INDEX('Email Cleaner'!$B$2:$B$10001,MATCH(5000,'Email Cleaner'!$H$2:$H$10001,0)),"")</f>
        <v/>
      </c>
    </row>
    <row r="5002">
      <c r="A5002">
        <f>IFERROR(INDEX('Email Cleaner'!$B$2:$B$10001,MATCH(5001,'Email Cleaner'!$H$2:$H$10001,0)),"")</f>
        <v/>
      </c>
    </row>
    <row r="5003">
      <c r="A5003">
        <f>IFERROR(INDEX('Email Cleaner'!$B$2:$B$10001,MATCH(5002,'Email Cleaner'!$H$2:$H$10001,0)),"")</f>
        <v/>
      </c>
    </row>
    <row r="5004">
      <c r="A5004">
        <f>IFERROR(INDEX('Email Cleaner'!$B$2:$B$10001,MATCH(5003,'Email Cleaner'!$H$2:$H$10001,0)),"")</f>
        <v/>
      </c>
    </row>
    <row r="5005">
      <c r="A5005">
        <f>IFERROR(INDEX('Email Cleaner'!$B$2:$B$10001,MATCH(5004,'Email Cleaner'!$H$2:$H$10001,0)),"")</f>
        <v/>
      </c>
    </row>
    <row r="5006">
      <c r="A5006">
        <f>IFERROR(INDEX('Email Cleaner'!$B$2:$B$10001,MATCH(5005,'Email Cleaner'!$H$2:$H$10001,0)),"")</f>
        <v/>
      </c>
    </row>
    <row r="5007">
      <c r="A5007">
        <f>IFERROR(INDEX('Email Cleaner'!$B$2:$B$10001,MATCH(5006,'Email Cleaner'!$H$2:$H$10001,0)),"")</f>
        <v/>
      </c>
    </row>
    <row r="5008">
      <c r="A5008">
        <f>IFERROR(INDEX('Email Cleaner'!$B$2:$B$10001,MATCH(5007,'Email Cleaner'!$H$2:$H$10001,0)),"")</f>
        <v/>
      </c>
    </row>
    <row r="5009">
      <c r="A5009">
        <f>IFERROR(INDEX('Email Cleaner'!$B$2:$B$10001,MATCH(5008,'Email Cleaner'!$H$2:$H$10001,0)),"")</f>
        <v/>
      </c>
    </row>
    <row r="5010">
      <c r="A5010">
        <f>IFERROR(INDEX('Email Cleaner'!$B$2:$B$10001,MATCH(5009,'Email Cleaner'!$H$2:$H$10001,0)),"")</f>
        <v/>
      </c>
    </row>
    <row r="5011">
      <c r="A5011">
        <f>IFERROR(INDEX('Email Cleaner'!$B$2:$B$10001,MATCH(5010,'Email Cleaner'!$H$2:$H$10001,0)),"")</f>
        <v/>
      </c>
    </row>
    <row r="5012">
      <c r="A5012">
        <f>IFERROR(INDEX('Email Cleaner'!$B$2:$B$10001,MATCH(5011,'Email Cleaner'!$H$2:$H$10001,0)),"")</f>
        <v/>
      </c>
    </row>
    <row r="5013">
      <c r="A5013">
        <f>IFERROR(INDEX('Email Cleaner'!$B$2:$B$10001,MATCH(5012,'Email Cleaner'!$H$2:$H$10001,0)),"")</f>
        <v/>
      </c>
    </row>
    <row r="5014">
      <c r="A5014">
        <f>IFERROR(INDEX('Email Cleaner'!$B$2:$B$10001,MATCH(5013,'Email Cleaner'!$H$2:$H$10001,0)),"")</f>
        <v/>
      </c>
    </row>
    <row r="5015">
      <c r="A5015">
        <f>IFERROR(INDEX('Email Cleaner'!$B$2:$B$10001,MATCH(5014,'Email Cleaner'!$H$2:$H$10001,0)),"")</f>
        <v/>
      </c>
    </row>
    <row r="5016">
      <c r="A5016">
        <f>IFERROR(INDEX('Email Cleaner'!$B$2:$B$10001,MATCH(5015,'Email Cleaner'!$H$2:$H$10001,0)),"")</f>
        <v/>
      </c>
    </row>
    <row r="5017">
      <c r="A5017">
        <f>IFERROR(INDEX('Email Cleaner'!$B$2:$B$10001,MATCH(5016,'Email Cleaner'!$H$2:$H$10001,0)),"")</f>
        <v/>
      </c>
    </row>
    <row r="5018">
      <c r="A5018">
        <f>IFERROR(INDEX('Email Cleaner'!$B$2:$B$10001,MATCH(5017,'Email Cleaner'!$H$2:$H$10001,0)),"")</f>
        <v/>
      </c>
    </row>
    <row r="5019">
      <c r="A5019">
        <f>IFERROR(INDEX('Email Cleaner'!$B$2:$B$10001,MATCH(5018,'Email Cleaner'!$H$2:$H$10001,0)),"")</f>
        <v/>
      </c>
    </row>
    <row r="5020">
      <c r="A5020">
        <f>IFERROR(INDEX('Email Cleaner'!$B$2:$B$10001,MATCH(5019,'Email Cleaner'!$H$2:$H$10001,0)),"")</f>
        <v/>
      </c>
    </row>
    <row r="5021">
      <c r="A5021">
        <f>IFERROR(INDEX('Email Cleaner'!$B$2:$B$10001,MATCH(5020,'Email Cleaner'!$H$2:$H$10001,0)),"")</f>
        <v/>
      </c>
    </row>
    <row r="5022">
      <c r="A5022">
        <f>IFERROR(INDEX('Email Cleaner'!$B$2:$B$10001,MATCH(5021,'Email Cleaner'!$H$2:$H$10001,0)),"")</f>
        <v/>
      </c>
    </row>
    <row r="5023">
      <c r="A5023">
        <f>IFERROR(INDEX('Email Cleaner'!$B$2:$B$10001,MATCH(5022,'Email Cleaner'!$H$2:$H$10001,0)),"")</f>
        <v/>
      </c>
    </row>
    <row r="5024">
      <c r="A5024">
        <f>IFERROR(INDEX('Email Cleaner'!$B$2:$B$10001,MATCH(5023,'Email Cleaner'!$H$2:$H$10001,0)),"")</f>
        <v/>
      </c>
    </row>
    <row r="5025">
      <c r="A5025">
        <f>IFERROR(INDEX('Email Cleaner'!$B$2:$B$10001,MATCH(5024,'Email Cleaner'!$H$2:$H$10001,0)),"")</f>
        <v/>
      </c>
    </row>
    <row r="5026">
      <c r="A5026">
        <f>IFERROR(INDEX('Email Cleaner'!$B$2:$B$10001,MATCH(5025,'Email Cleaner'!$H$2:$H$10001,0)),"")</f>
        <v/>
      </c>
    </row>
    <row r="5027">
      <c r="A5027">
        <f>IFERROR(INDEX('Email Cleaner'!$B$2:$B$10001,MATCH(5026,'Email Cleaner'!$H$2:$H$10001,0)),"")</f>
        <v/>
      </c>
    </row>
    <row r="5028">
      <c r="A5028">
        <f>IFERROR(INDEX('Email Cleaner'!$B$2:$B$10001,MATCH(5027,'Email Cleaner'!$H$2:$H$10001,0)),"")</f>
        <v/>
      </c>
    </row>
    <row r="5029">
      <c r="A5029">
        <f>IFERROR(INDEX('Email Cleaner'!$B$2:$B$10001,MATCH(5028,'Email Cleaner'!$H$2:$H$10001,0)),"")</f>
        <v/>
      </c>
    </row>
    <row r="5030">
      <c r="A5030">
        <f>IFERROR(INDEX('Email Cleaner'!$B$2:$B$10001,MATCH(5029,'Email Cleaner'!$H$2:$H$10001,0)),"")</f>
        <v/>
      </c>
    </row>
    <row r="5031">
      <c r="A5031">
        <f>IFERROR(INDEX('Email Cleaner'!$B$2:$B$10001,MATCH(5030,'Email Cleaner'!$H$2:$H$10001,0)),"")</f>
        <v/>
      </c>
    </row>
    <row r="5032">
      <c r="A5032">
        <f>IFERROR(INDEX('Email Cleaner'!$B$2:$B$10001,MATCH(5031,'Email Cleaner'!$H$2:$H$10001,0)),"")</f>
        <v/>
      </c>
    </row>
    <row r="5033">
      <c r="A5033">
        <f>IFERROR(INDEX('Email Cleaner'!$B$2:$B$10001,MATCH(5032,'Email Cleaner'!$H$2:$H$10001,0)),"")</f>
        <v/>
      </c>
    </row>
    <row r="5034">
      <c r="A5034">
        <f>IFERROR(INDEX('Email Cleaner'!$B$2:$B$10001,MATCH(5033,'Email Cleaner'!$H$2:$H$10001,0)),"")</f>
        <v/>
      </c>
    </row>
    <row r="5035">
      <c r="A5035">
        <f>IFERROR(INDEX('Email Cleaner'!$B$2:$B$10001,MATCH(5034,'Email Cleaner'!$H$2:$H$10001,0)),"")</f>
        <v/>
      </c>
    </row>
    <row r="5036">
      <c r="A5036">
        <f>IFERROR(INDEX('Email Cleaner'!$B$2:$B$10001,MATCH(5035,'Email Cleaner'!$H$2:$H$10001,0)),"")</f>
        <v/>
      </c>
    </row>
    <row r="5037">
      <c r="A5037">
        <f>IFERROR(INDEX('Email Cleaner'!$B$2:$B$10001,MATCH(5036,'Email Cleaner'!$H$2:$H$10001,0)),"")</f>
        <v/>
      </c>
    </row>
    <row r="5038">
      <c r="A5038">
        <f>IFERROR(INDEX('Email Cleaner'!$B$2:$B$10001,MATCH(5037,'Email Cleaner'!$H$2:$H$10001,0)),"")</f>
        <v/>
      </c>
    </row>
    <row r="5039">
      <c r="A5039">
        <f>IFERROR(INDEX('Email Cleaner'!$B$2:$B$10001,MATCH(5038,'Email Cleaner'!$H$2:$H$10001,0)),"")</f>
        <v/>
      </c>
    </row>
    <row r="5040">
      <c r="A5040">
        <f>IFERROR(INDEX('Email Cleaner'!$B$2:$B$10001,MATCH(5039,'Email Cleaner'!$H$2:$H$10001,0)),"")</f>
        <v/>
      </c>
    </row>
    <row r="5041">
      <c r="A5041">
        <f>IFERROR(INDEX('Email Cleaner'!$B$2:$B$10001,MATCH(5040,'Email Cleaner'!$H$2:$H$10001,0)),"")</f>
        <v/>
      </c>
    </row>
    <row r="5042">
      <c r="A5042">
        <f>IFERROR(INDEX('Email Cleaner'!$B$2:$B$10001,MATCH(5041,'Email Cleaner'!$H$2:$H$10001,0)),"")</f>
        <v/>
      </c>
    </row>
    <row r="5043">
      <c r="A5043">
        <f>IFERROR(INDEX('Email Cleaner'!$B$2:$B$10001,MATCH(5042,'Email Cleaner'!$H$2:$H$10001,0)),"")</f>
        <v/>
      </c>
    </row>
    <row r="5044">
      <c r="A5044">
        <f>IFERROR(INDEX('Email Cleaner'!$B$2:$B$10001,MATCH(5043,'Email Cleaner'!$H$2:$H$10001,0)),"")</f>
        <v/>
      </c>
    </row>
    <row r="5045">
      <c r="A5045">
        <f>IFERROR(INDEX('Email Cleaner'!$B$2:$B$10001,MATCH(5044,'Email Cleaner'!$H$2:$H$10001,0)),"")</f>
        <v/>
      </c>
    </row>
    <row r="5046">
      <c r="A5046">
        <f>IFERROR(INDEX('Email Cleaner'!$B$2:$B$10001,MATCH(5045,'Email Cleaner'!$H$2:$H$10001,0)),"")</f>
        <v/>
      </c>
    </row>
    <row r="5047">
      <c r="A5047">
        <f>IFERROR(INDEX('Email Cleaner'!$B$2:$B$10001,MATCH(5046,'Email Cleaner'!$H$2:$H$10001,0)),"")</f>
        <v/>
      </c>
    </row>
    <row r="5048">
      <c r="A5048">
        <f>IFERROR(INDEX('Email Cleaner'!$B$2:$B$10001,MATCH(5047,'Email Cleaner'!$H$2:$H$10001,0)),"")</f>
        <v/>
      </c>
    </row>
    <row r="5049">
      <c r="A5049">
        <f>IFERROR(INDEX('Email Cleaner'!$B$2:$B$10001,MATCH(5048,'Email Cleaner'!$H$2:$H$10001,0)),"")</f>
        <v/>
      </c>
    </row>
    <row r="5050">
      <c r="A5050">
        <f>IFERROR(INDEX('Email Cleaner'!$B$2:$B$10001,MATCH(5049,'Email Cleaner'!$H$2:$H$10001,0)),"")</f>
        <v/>
      </c>
    </row>
    <row r="5051">
      <c r="A5051">
        <f>IFERROR(INDEX('Email Cleaner'!$B$2:$B$10001,MATCH(5050,'Email Cleaner'!$H$2:$H$10001,0)),"")</f>
        <v/>
      </c>
    </row>
    <row r="5052">
      <c r="A5052">
        <f>IFERROR(INDEX('Email Cleaner'!$B$2:$B$10001,MATCH(5051,'Email Cleaner'!$H$2:$H$10001,0)),"")</f>
        <v/>
      </c>
    </row>
    <row r="5053">
      <c r="A5053">
        <f>IFERROR(INDEX('Email Cleaner'!$B$2:$B$10001,MATCH(5052,'Email Cleaner'!$H$2:$H$10001,0)),"")</f>
        <v/>
      </c>
    </row>
    <row r="5054">
      <c r="A5054">
        <f>IFERROR(INDEX('Email Cleaner'!$B$2:$B$10001,MATCH(5053,'Email Cleaner'!$H$2:$H$10001,0)),"")</f>
        <v/>
      </c>
    </row>
    <row r="5055">
      <c r="A5055">
        <f>IFERROR(INDEX('Email Cleaner'!$B$2:$B$10001,MATCH(5054,'Email Cleaner'!$H$2:$H$10001,0)),"")</f>
        <v/>
      </c>
    </row>
    <row r="5056">
      <c r="A5056">
        <f>IFERROR(INDEX('Email Cleaner'!$B$2:$B$10001,MATCH(5055,'Email Cleaner'!$H$2:$H$10001,0)),"")</f>
        <v/>
      </c>
    </row>
    <row r="5057">
      <c r="A5057">
        <f>IFERROR(INDEX('Email Cleaner'!$B$2:$B$10001,MATCH(5056,'Email Cleaner'!$H$2:$H$10001,0)),"")</f>
        <v/>
      </c>
    </row>
    <row r="5058">
      <c r="A5058">
        <f>IFERROR(INDEX('Email Cleaner'!$B$2:$B$10001,MATCH(5057,'Email Cleaner'!$H$2:$H$10001,0)),"")</f>
        <v/>
      </c>
    </row>
    <row r="5059">
      <c r="A5059">
        <f>IFERROR(INDEX('Email Cleaner'!$B$2:$B$10001,MATCH(5058,'Email Cleaner'!$H$2:$H$10001,0)),"")</f>
        <v/>
      </c>
    </row>
    <row r="5060">
      <c r="A5060">
        <f>IFERROR(INDEX('Email Cleaner'!$B$2:$B$10001,MATCH(5059,'Email Cleaner'!$H$2:$H$10001,0)),"")</f>
        <v/>
      </c>
    </row>
    <row r="5061">
      <c r="A5061">
        <f>IFERROR(INDEX('Email Cleaner'!$B$2:$B$10001,MATCH(5060,'Email Cleaner'!$H$2:$H$10001,0)),"")</f>
        <v/>
      </c>
    </row>
    <row r="5062">
      <c r="A5062">
        <f>IFERROR(INDEX('Email Cleaner'!$B$2:$B$10001,MATCH(5061,'Email Cleaner'!$H$2:$H$10001,0)),"")</f>
        <v/>
      </c>
    </row>
    <row r="5063">
      <c r="A5063">
        <f>IFERROR(INDEX('Email Cleaner'!$B$2:$B$10001,MATCH(5062,'Email Cleaner'!$H$2:$H$10001,0)),"")</f>
        <v/>
      </c>
    </row>
    <row r="5064">
      <c r="A5064">
        <f>IFERROR(INDEX('Email Cleaner'!$B$2:$B$10001,MATCH(5063,'Email Cleaner'!$H$2:$H$10001,0)),"")</f>
        <v/>
      </c>
    </row>
    <row r="5065">
      <c r="A5065">
        <f>IFERROR(INDEX('Email Cleaner'!$B$2:$B$10001,MATCH(5064,'Email Cleaner'!$H$2:$H$10001,0)),"")</f>
        <v/>
      </c>
    </row>
    <row r="5066">
      <c r="A5066">
        <f>IFERROR(INDEX('Email Cleaner'!$B$2:$B$10001,MATCH(5065,'Email Cleaner'!$H$2:$H$10001,0)),"")</f>
        <v/>
      </c>
    </row>
    <row r="5067">
      <c r="A5067">
        <f>IFERROR(INDEX('Email Cleaner'!$B$2:$B$10001,MATCH(5066,'Email Cleaner'!$H$2:$H$10001,0)),"")</f>
        <v/>
      </c>
    </row>
    <row r="5068">
      <c r="A5068">
        <f>IFERROR(INDEX('Email Cleaner'!$B$2:$B$10001,MATCH(5067,'Email Cleaner'!$H$2:$H$10001,0)),"")</f>
        <v/>
      </c>
    </row>
    <row r="5069">
      <c r="A5069">
        <f>IFERROR(INDEX('Email Cleaner'!$B$2:$B$10001,MATCH(5068,'Email Cleaner'!$H$2:$H$10001,0)),"")</f>
        <v/>
      </c>
    </row>
    <row r="5070">
      <c r="A5070">
        <f>IFERROR(INDEX('Email Cleaner'!$B$2:$B$10001,MATCH(5069,'Email Cleaner'!$H$2:$H$10001,0)),"")</f>
        <v/>
      </c>
    </row>
    <row r="5071">
      <c r="A5071">
        <f>IFERROR(INDEX('Email Cleaner'!$B$2:$B$10001,MATCH(5070,'Email Cleaner'!$H$2:$H$10001,0)),"")</f>
        <v/>
      </c>
    </row>
    <row r="5072">
      <c r="A5072">
        <f>IFERROR(INDEX('Email Cleaner'!$B$2:$B$10001,MATCH(5071,'Email Cleaner'!$H$2:$H$10001,0)),"")</f>
        <v/>
      </c>
    </row>
    <row r="5073">
      <c r="A5073">
        <f>IFERROR(INDEX('Email Cleaner'!$B$2:$B$10001,MATCH(5072,'Email Cleaner'!$H$2:$H$10001,0)),"")</f>
        <v/>
      </c>
    </row>
    <row r="5074">
      <c r="A5074">
        <f>IFERROR(INDEX('Email Cleaner'!$B$2:$B$10001,MATCH(5073,'Email Cleaner'!$H$2:$H$10001,0)),"")</f>
        <v/>
      </c>
    </row>
    <row r="5075">
      <c r="A5075">
        <f>IFERROR(INDEX('Email Cleaner'!$B$2:$B$10001,MATCH(5074,'Email Cleaner'!$H$2:$H$10001,0)),"")</f>
        <v/>
      </c>
    </row>
    <row r="5076">
      <c r="A5076">
        <f>IFERROR(INDEX('Email Cleaner'!$B$2:$B$10001,MATCH(5075,'Email Cleaner'!$H$2:$H$10001,0)),"")</f>
        <v/>
      </c>
    </row>
    <row r="5077">
      <c r="A5077">
        <f>IFERROR(INDEX('Email Cleaner'!$B$2:$B$10001,MATCH(5076,'Email Cleaner'!$H$2:$H$10001,0)),"")</f>
        <v/>
      </c>
    </row>
    <row r="5078">
      <c r="A5078">
        <f>IFERROR(INDEX('Email Cleaner'!$B$2:$B$10001,MATCH(5077,'Email Cleaner'!$H$2:$H$10001,0)),"")</f>
        <v/>
      </c>
    </row>
    <row r="5079">
      <c r="A5079">
        <f>IFERROR(INDEX('Email Cleaner'!$B$2:$B$10001,MATCH(5078,'Email Cleaner'!$H$2:$H$10001,0)),"")</f>
        <v/>
      </c>
    </row>
    <row r="5080">
      <c r="A5080">
        <f>IFERROR(INDEX('Email Cleaner'!$B$2:$B$10001,MATCH(5079,'Email Cleaner'!$H$2:$H$10001,0)),"")</f>
        <v/>
      </c>
    </row>
    <row r="5081">
      <c r="A5081">
        <f>IFERROR(INDEX('Email Cleaner'!$B$2:$B$10001,MATCH(5080,'Email Cleaner'!$H$2:$H$10001,0)),"")</f>
        <v/>
      </c>
    </row>
    <row r="5082">
      <c r="A5082">
        <f>IFERROR(INDEX('Email Cleaner'!$B$2:$B$10001,MATCH(5081,'Email Cleaner'!$H$2:$H$10001,0)),"")</f>
        <v/>
      </c>
    </row>
    <row r="5083">
      <c r="A5083">
        <f>IFERROR(INDEX('Email Cleaner'!$B$2:$B$10001,MATCH(5082,'Email Cleaner'!$H$2:$H$10001,0)),"")</f>
        <v/>
      </c>
    </row>
    <row r="5084">
      <c r="A5084">
        <f>IFERROR(INDEX('Email Cleaner'!$B$2:$B$10001,MATCH(5083,'Email Cleaner'!$H$2:$H$10001,0)),"")</f>
        <v/>
      </c>
    </row>
    <row r="5085">
      <c r="A5085">
        <f>IFERROR(INDEX('Email Cleaner'!$B$2:$B$10001,MATCH(5084,'Email Cleaner'!$H$2:$H$10001,0)),"")</f>
        <v/>
      </c>
    </row>
    <row r="5086">
      <c r="A5086">
        <f>IFERROR(INDEX('Email Cleaner'!$B$2:$B$10001,MATCH(5085,'Email Cleaner'!$H$2:$H$10001,0)),"")</f>
        <v/>
      </c>
    </row>
    <row r="5087">
      <c r="A5087">
        <f>IFERROR(INDEX('Email Cleaner'!$B$2:$B$10001,MATCH(5086,'Email Cleaner'!$H$2:$H$10001,0)),"")</f>
        <v/>
      </c>
    </row>
    <row r="5088">
      <c r="A5088">
        <f>IFERROR(INDEX('Email Cleaner'!$B$2:$B$10001,MATCH(5087,'Email Cleaner'!$H$2:$H$10001,0)),"")</f>
        <v/>
      </c>
    </row>
    <row r="5089">
      <c r="A5089">
        <f>IFERROR(INDEX('Email Cleaner'!$B$2:$B$10001,MATCH(5088,'Email Cleaner'!$H$2:$H$10001,0)),"")</f>
        <v/>
      </c>
    </row>
    <row r="5090">
      <c r="A5090">
        <f>IFERROR(INDEX('Email Cleaner'!$B$2:$B$10001,MATCH(5089,'Email Cleaner'!$H$2:$H$10001,0)),"")</f>
        <v/>
      </c>
    </row>
    <row r="5091">
      <c r="A5091">
        <f>IFERROR(INDEX('Email Cleaner'!$B$2:$B$10001,MATCH(5090,'Email Cleaner'!$H$2:$H$10001,0)),"")</f>
        <v/>
      </c>
    </row>
    <row r="5092">
      <c r="A5092">
        <f>IFERROR(INDEX('Email Cleaner'!$B$2:$B$10001,MATCH(5091,'Email Cleaner'!$H$2:$H$10001,0)),"")</f>
        <v/>
      </c>
    </row>
    <row r="5093">
      <c r="A5093">
        <f>IFERROR(INDEX('Email Cleaner'!$B$2:$B$10001,MATCH(5092,'Email Cleaner'!$H$2:$H$10001,0)),"")</f>
        <v/>
      </c>
    </row>
    <row r="5094">
      <c r="A5094">
        <f>IFERROR(INDEX('Email Cleaner'!$B$2:$B$10001,MATCH(5093,'Email Cleaner'!$H$2:$H$10001,0)),"")</f>
        <v/>
      </c>
    </row>
    <row r="5095">
      <c r="A5095">
        <f>IFERROR(INDEX('Email Cleaner'!$B$2:$B$10001,MATCH(5094,'Email Cleaner'!$H$2:$H$10001,0)),"")</f>
        <v/>
      </c>
    </row>
    <row r="5096">
      <c r="A5096">
        <f>IFERROR(INDEX('Email Cleaner'!$B$2:$B$10001,MATCH(5095,'Email Cleaner'!$H$2:$H$10001,0)),"")</f>
        <v/>
      </c>
    </row>
    <row r="5097">
      <c r="A5097">
        <f>IFERROR(INDEX('Email Cleaner'!$B$2:$B$10001,MATCH(5096,'Email Cleaner'!$H$2:$H$10001,0)),"")</f>
        <v/>
      </c>
    </row>
    <row r="5098">
      <c r="A5098">
        <f>IFERROR(INDEX('Email Cleaner'!$B$2:$B$10001,MATCH(5097,'Email Cleaner'!$H$2:$H$10001,0)),"")</f>
        <v/>
      </c>
    </row>
    <row r="5099">
      <c r="A5099">
        <f>IFERROR(INDEX('Email Cleaner'!$B$2:$B$10001,MATCH(5098,'Email Cleaner'!$H$2:$H$10001,0)),"")</f>
        <v/>
      </c>
    </row>
    <row r="5100">
      <c r="A5100">
        <f>IFERROR(INDEX('Email Cleaner'!$B$2:$B$10001,MATCH(5099,'Email Cleaner'!$H$2:$H$10001,0)),"")</f>
        <v/>
      </c>
    </row>
    <row r="5101">
      <c r="A5101">
        <f>IFERROR(INDEX('Email Cleaner'!$B$2:$B$10001,MATCH(5100,'Email Cleaner'!$H$2:$H$10001,0)),"")</f>
        <v/>
      </c>
    </row>
    <row r="5102">
      <c r="A5102">
        <f>IFERROR(INDEX('Email Cleaner'!$B$2:$B$10001,MATCH(5101,'Email Cleaner'!$H$2:$H$10001,0)),"")</f>
        <v/>
      </c>
    </row>
    <row r="5103">
      <c r="A5103">
        <f>IFERROR(INDEX('Email Cleaner'!$B$2:$B$10001,MATCH(5102,'Email Cleaner'!$H$2:$H$10001,0)),"")</f>
        <v/>
      </c>
    </row>
    <row r="5104">
      <c r="A5104">
        <f>IFERROR(INDEX('Email Cleaner'!$B$2:$B$10001,MATCH(5103,'Email Cleaner'!$H$2:$H$10001,0)),"")</f>
        <v/>
      </c>
    </row>
    <row r="5105">
      <c r="A5105">
        <f>IFERROR(INDEX('Email Cleaner'!$B$2:$B$10001,MATCH(5104,'Email Cleaner'!$H$2:$H$10001,0)),"")</f>
        <v/>
      </c>
    </row>
    <row r="5106">
      <c r="A5106">
        <f>IFERROR(INDEX('Email Cleaner'!$B$2:$B$10001,MATCH(5105,'Email Cleaner'!$H$2:$H$10001,0)),"")</f>
        <v/>
      </c>
    </row>
    <row r="5107">
      <c r="A5107">
        <f>IFERROR(INDEX('Email Cleaner'!$B$2:$B$10001,MATCH(5106,'Email Cleaner'!$H$2:$H$10001,0)),"")</f>
        <v/>
      </c>
    </row>
    <row r="5108">
      <c r="A5108">
        <f>IFERROR(INDEX('Email Cleaner'!$B$2:$B$10001,MATCH(5107,'Email Cleaner'!$H$2:$H$10001,0)),"")</f>
        <v/>
      </c>
    </row>
    <row r="5109">
      <c r="A5109">
        <f>IFERROR(INDEX('Email Cleaner'!$B$2:$B$10001,MATCH(5108,'Email Cleaner'!$H$2:$H$10001,0)),"")</f>
        <v/>
      </c>
    </row>
    <row r="5110">
      <c r="A5110">
        <f>IFERROR(INDEX('Email Cleaner'!$B$2:$B$10001,MATCH(5109,'Email Cleaner'!$H$2:$H$10001,0)),"")</f>
        <v/>
      </c>
    </row>
    <row r="5111">
      <c r="A5111">
        <f>IFERROR(INDEX('Email Cleaner'!$B$2:$B$10001,MATCH(5110,'Email Cleaner'!$H$2:$H$10001,0)),"")</f>
        <v/>
      </c>
    </row>
    <row r="5112">
      <c r="A5112">
        <f>IFERROR(INDEX('Email Cleaner'!$B$2:$B$10001,MATCH(5111,'Email Cleaner'!$H$2:$H$10001,0)),"")</f>
        <v/>
      </c>
    </row>
    <row r="5113">
      <c r="A5113">
        <f>IFERROR(INDEX('Email Cleaner'!$B$2:$B$10001,MATCH(5112,'Email Cleaner'!$H$2:$H$10001,0)),"")</f>
        <v/>
      </c>
    </row>
    <row r="5114">
      <c r="A5114">
        <f>IFERROR(INDEX('Email Cleaner'!$B$2:$B$10001,MATCH(5113,'Email Cleaner'!$H$2:$H$10001,0)),"")</f>
        <v/>
      </c>
    </row>
    <row r="5115">
      <c r="A5115">
        <f>IFERROR(INDEX('Email Cleaner'!$B$2:$B$10001,MATCH(5114,'Email Cleaner'!$H$2:$H$10001,0)),"")</f>
        <v/>
      </c>
    </row>
    <row r="5116">
      <c r="A5116">
        <f>IFERROR(INDEX('Email Cleaner'!$B$2:$B$10001,MATCH(5115,'Email Cleaner'!$H$2:$H$10001,0)),"")</f>
        <v/>
      </c>
    </row>
    <row r="5117">
      <c r="A5117">
        <f>IFERROR(INDEX('Email Cleaner'!$B$2:$B$10001,MATCH(5116,'Email Cleaner'!$H$2:$H$10001,0)),"")</f>
        <v/>
      </c>
    </row>
    <row r="5118">
      <c r="A5118">
        <f>IFERROR(INDEX('Email Cleaner'!$B$2:$B$10001,MATCH(5117,'Email Cleaner'!$H$2:$H$10001,0)),"")</f>
        <v/>
      </c>
    </row>
    <row r="5119">
      <c r="A5119">
        <f>IFERROR(INDEX('Email Cleaner'!$B$2:$B$10001,MATCH(5118,'Email Cleaner'!$H$2:$H$10001,0)),"")</f>
        <v/>
      </c>
    </row>
    <row r="5120">
      <c r="A5120">
        <f>IFERROR(INDEX('Email Cleaner'!$B$2:$B$10001,MATCH(5119,'Email Cleaner'!$H$2:$H$10001,0)),"")</f>
        <v/>
      </c>
    </row>
    <row r="5121">
      <c r="A5121">
        <f>IFERROR(INDEX('Email Cleaner'!$B$2:$B$10001,MATCH(5120,'Email Cleaner'!$H$2:$H$10001,0)),"")</f>
        <v/>
      </c>
    </row>
    <row r="5122">
      <c r="A5122">
        <f>IFERROR(INDEX('Email Cleaner'!$B$2:$B$10001,MATCH(5121,'Email Cleaner'!$H$2:$H$10001,0)),"")</f>
        <v/>
      </c>
    </row>
    <row r="5123">
      <c r="A5123">
        <f>IFERROR(INDEX('Email Cleaner'!$B$2:$B$10001,MATCH(5122,'Email Cleaner'!$H$2:$H$10001,0)),"")</f>
        <v/>
      </c>
    </row>
    <row r="5124">
      <c r="A5124">
        <f>IFERROR(INDEX('Email Cleaner'!$B$2:$B$10001,MATCH(5123,'Email Cleaner'!$H$2:$H$10001,0)),"")</f>
        <v/>
      </c>
    </row>
    <row r="5125">
      <c r="A5125">
        <f>IFERROR(INDEX('Email Cleaner'!$B$2:$B$10001,MATCH(5124,'Email Cleaner'!$H$2:$H$10001,0)),"")</f>
        <v/>
      </c>
    </row>
    <row r="5126">
      <c r="A5126">
        <f>IFERROR(INDEX('Email Cleaner'!$B$2:$B$10001,MATCH(5125,'Email Cleaner'!$H$2:$H$10001,0)),"")</f>
        <v/>
      </c>
    </row>
    <row r="5127">
      <c r="A5127">
        <f>IFERROR(INDEX('Email Cleaner'!$B$2:$B$10001,MATCH(5126,'Email Cleaner'!$H$2:$H$10001,0)),"")</f>
        <v/>
      </c>
    </row>
    <row r="5128">
      <c r="A5128">
        <f>IFERROR(INDEX('Email Cleaner'!$B$2:$B$10001,MATCH(5127,'Email Cleaner'!$H$2:$H$10001,0)),"")</f>
        <v/>
      </c>
    </row>
    <row r="5129">
      <c r="A5129">
        <f>IFERROR(INDEX('Email Cleaner'!$B$2:$B$10001,MATCH(5128,'Email Cleaner'!$H$2:$H$10001,0)),"")</f>
        <v/>
      </c>
    </row>
    <row r="5130">
      <c r="A5130">
        <f>IFERROR(INDEX('Email Cleaner'!$B$2:$B$10001,MATCH(5129,'Email Cleaner'!$H$2:$H$10001,0)),"")</f>
        <v/>
      </c>
    </row>
    <row r="5131">
      <c r="A5131">
        <f>IFERROR(INDEX('Email Cleaner'!$B$2:$B$10001,MATCH(5130,'Email Cleaner'!$H$2:$H$10001,0)),"")</f>
        <v/>
      </c>
    </row>
    <row r="5132">
      <c r="A5132">
        <f>IFERROR(INDEX('Email Cleaner'!$B$2:$B$10001,MATCH(5131,'Email Cleaner'!$H$2:$H$10001,0)),"")</f>
        <v/>
      </c>
    </row>
    <row r="5133">
      <c r="A5133">
        <f>IFERROR(INDEX('Email Cleaner'!$B$2:$B$10001,MATCH(5132,'Email Cleaner'!$H$2:$H$10001,0)),"")</f>
        <v/>
      </c>
    </row>
    <row r="5134">
      <c r="A5134">
        <f>IFERROR(INDEX('Email Cleaner'!$B$2:$B$10001,MATCH(5133,'Email Cleaner'!$H$2:$H$10001,0)),"")</f>
        <v/>
      </c>
    </row>
    <row r="5135">
      <c r="A5135">
        <f>IFERROR(INDEX('Email Cleaner'!$B$2:$B$10001,MATCH(5134,'Email Cleaner'!$H$2:$H$10001,0)),"")</f>
        <v/>
      </c>
    </row>
    <row r="5136">
      <c r="A5136">
        <f>IFERROR(INDEX('Email Cleaner'!$B$2:$B$10001,MATCH(5135,'Email Cleaner'!$H$2:$H$10001,0)),"")</f>
        <v/>
      </c>
    </row>
    <row r="5137">
      <c r="A5137">
        <f>IFERROR(INDEX('Email Cleaner'!$B$2:$B$10001,MATCH(5136,'Email Cleaner'!$H$2:$H$10001,0)),"")</f>
        <v/>
      </c>
    </row>
    <row r="5138">
      <c r="A5138">
        <f>IFERROR(INDEX('Email Cleaner'!$B$2:$B$10001,MATCH(5137,'Email Cleaner'!$H$2:$H$10001,0)),"")</f>
        <v/>
      </c>
    </row>
    <row r="5139">
      <c r="A5139">
        <f>IFERROR(INDEX('Email Cleaner'!$B$2:$B$10001,MATCH(5138,'Email Cleaner'!$H$2:$H$10001,0)),"")</f>
        <v/>
      </c>
    </row>
    <row r="5140">
      <c r="A5140">
        <f>IFERROR(INDEX('Email Cleaner'!$B$2:$B$10001,MATCH(5139,'Email Cleaner'!$H$2:$H$10001,0)),"")</f>
        <v/>
      </c>
    </row>
    <row r="5141">
      <c r="A5141">
        <f>IFERROR(INDEX('Email Cleaner'!$B$2:$B$10001,MATCH(5140,'Email Cleaner'!$H$2:$H$10001,0)),"")</f>
        <v/>
      </c>
    </row>
    <row r="5142">
      <c r="A5142">
        <f>IFERROR(INDEX('Email Cleaner'!$B$2:$B$10001,MATCH(5141,'Email Cleaner'!$H$2:$H$10001,0)),"")</f>
        <v/>
      </c>
    </row>
    <row r="5143">
      <c r="A5143">
        <f>IFERROR(INDEX('Email Cleaner'!$B$2:$B$10001,MATCH(5142,'Email Cleaner'!$H$2:$H$10001,0)),"")</f>
        <v/>
      </c>
    </row>
    <row r="5144">
      <c r="A5144">
        <f>IFERROR(INDEX('Email Cleaner'!$B$2:$B$10001,MATCH(5143,'Email Cleaner'!$H$2:$H$10001,0)),"")</f>
        <v/>
      </c>
    </row>
    <row r="5145">
      <c r="A5145">
        <f>IFERROR(INDEX('Email Cleaner'!$B$2:$B$10001,MATCH(5144,'Email Cleaner'!$H$2:$H$10001,0)),"")</f>
        <v/>
      </c>
    </row>
    <row r="5146">
      <c r="A5146">
        <f>IFERROR(INDEX('Email Cleaner'!$B$2:$B$10001,MATCH(5145,'Email Cleaner'!$H$2:$H$10001,0)),"")</f>
        <v/>
      </c>
    </row>
    <row r="5147">
      <c r="A5147">
        <f>IFERROR(INDEX('Email Cleaner'!$B$2:$B$10001,MATCH(5146,'Email Cleaner'!$H$2:$H$10001,0)),"")</f>
        <v/>
      </c>
    </row>
    <row r="5148">
      <c r="A5148">
        <f>IFERROR(INDEX('Email Cleaner'!$B$2:$B$10001,MATCH(5147,'Email Cleaner'!$H$2:$H$10001,0)),"")</f>
        <v/>
      </c>
    </row>
    <row r="5149">
      <c r="A5149">
        <f>IFERROR(INDEX('Email Cleaner'!$B$2:$B$10001,MATCH(5148,'Email Cleaner'!$H$2:$H$10001,0)),"")</f>
        <v/>
      </c>
    </row>
    <row r="5150">
      <c r="A5150">
        <f>IFERROR(INDEX('Email Cleaner'!$B$2:$B$10001,MATCH(5149,'Email Cleaner'!$H$2:$H$10001,0)),"")</f>
        <v/>
      </c>
    </row>
    <row r="5151">
      <c r="A5151">
        <f>IFERROR(INDEX('Email Cleaner'!$B$2:$B$10001,MATCH(5150,'Email Cleaner'!$H$2:$H$10001,0)),"")</f>
        <v/>
      </c>
    </row>
    <row r="5152">
      <c r="A5152">
        <f>IFERROR(INDEX('Email Cleaner'!$B$2:$B$10001,MATCH(5151,'Email Cleaner'!$H$2:$H$10001,0)),"")</f>
        <v/>
      </c>
    </row>
    <row r="5153">
      <c r="A5153">
        <f>IFERROR(INDEX('Email Cleaner'!$B$2:$B$10001,MATCH(5152,'Email Cleaner'!$H$2:$H$10001,0)),"")</f>
        <v/>
      </c>
    </row>
    <row r="5154">
      <c r="A5154">
        <f>IFERROR(INDEX('Email Cleaner'!$B$2:$B$10001,MATCH(5153,'Email Cleaner'!$H$2:$H$10001,0)),"")</f>
        <v/>
      </c>
    </row>
    <row r="5155">
      <c r="A5155">
        <f>IFERROR(INDEX('Email Cleaner'!$B$2:$B$10001,MATCH(5154,'Email Cleaner'!$H$2:$H$10001,0)),"")</f>
        <v/>
      </c>
    </row>
    <row r="5156">
      <c r="A5156">
        <f>IFERROR(INDEX('Email Cleaner'!$B$2:$B$10001,MATCH(5155,'Email Cleaner'!$H$2:$H$10001,0)),"")</f>
        <v/>
      </c>
    </row>
    <row r="5157">
      <c r="A5157">
        <f>IFERROR(INDEX('Email Cleaner'!$B$2:$B$10001,MATCH(5156,'Email Cleaner'!$H$2:$H$10001,0)),"")</f>
        <v/>
      </c>
    </row>
    <row r="5158">
      <c r="A5158">
        <f>IFERROR(INDEX('Email Cleaner'!$B$2:$B$10001,MATCH(5157,'Email Cleaner'!$H$2:$H$10001,0)),"")</f>
        <v/>
      </c>
    </row>
    <row r="5159">
      <c r="A5159">
        <f>IFERROR(INDEX('Email Cleaner'!$B$2:$B$10001,MATCH(5158,'Email Cleaner'!$H$2:$H$10001,0)),"")</f>
        <v/>
      </c>
    </row>
    <row r="5160">
      <c r="A5160">
        <f>IFERROR(INDEX('Email Cleaner'!$B$2:$B$10001,MATCH(5159,'Email Cleaner'!$H$2:$H$10001,0)),"")</f>
        <v/>
      </c>
    </row>
    <row r="5161">
      <c r="A5161">
        <f>IFERROR(INDEX('Email Cleaner'!$B$2:$B$10001,MATCH(5160,'Email Cleaner'!$H$2:$H$10001,0)),"")</f>
        <v/>
      </c>
    </row>
    <row r="5162">
      <c r="A5162">
        <f>IFERROR(INDEX('Email Cleaner'!$B$2:$B$10001,MATCH(5161,'Email Cleaner'!$H$2:$H$10001,0)),"")</f>
        <v/>
      </c>
    </row>
    <row r="5163">
      <c r="A5163">
        <f>IFERROR(INDEX('Email Cleaner'!$B$2:$B$10001,MATCH(5162,'Email Cleaner'!$H$2:$H$10001,0)),"")</f>
        <v/>
      </c>
    </row>
    <row r="5164">
      <c r="A5164">
        <f>IFERROR(INDEX('Email Cleaner'!$B$2:$B$10001,MATCH(5163,'Email Cleaner'!$H$2:$H$10001,0)),"")</f>
        <v/>
      </c>
    </row>
    <row r="5165">
      <c r="A5165">
        <f>IFERROR(INDEX('Email Cleaner'!$B$2:$B$10001,MATCH(5164,'Email Cleaner'!$H$2:$H$10001,0)),"")</f>
        <v/>
      </c>
    </row>
    <row r="5166">
      <c r="A5166">
        <f>IFERROR(INDEX('Email Cleaner'!$B$2:$B$10001,MATCH(5165,'Email Cleaner'!$H$2:$H$10001,0)),"")</f>
        <v/>
      </c>
    </row>
    <row r="5167">
      <c r="A5167">
        <f>IFERROR(INDEX('Email Cleaner'!$B$2:$B$10001,MATCH(5166,'Email Cleaner'!$H$2:$H$10001,0)),"")</f>
        <v/>
      </c>
    </row>
    <row r="5168">
      <c r="A5168">
        <f>IFERROR(INDEX('Email Cleaner'!$B$2:$B$10001,MATCH(5167,'Email Cleaner'!$H$2:$H$10001,0)),"")</f>
        <v/>
      </c>
    </row>
    <row r="5169">
      <c r="A5169">
        <f>IFERROR(INDEX('Email Cleaner'!$B$2:$B$10001,MATCH(5168,'Email Cleaner'!$H$2:$H$10001,0)),"")</f>
        <v/>
      </c>
    </row>
    <row r="5170">
      <c r="A5170">
        <f>IFERROR(INDEX('Email Cleaner'!$B$2:$B$10001,MATCH(5169,'Email Cleaner'!$H$2:$H$10001,0)),"")</f>
        <v/>
      </c>
    </row>
    <row r="5171">
      <c r="A5171">
        <f>IFERROR(INDEX('Email Cleaner'!$B$2:$B$10001,MATCH(5170,'Email Cleaner'!$H$2:$H$10001,0)),"")</f>
        <v/>
      </c>
    </row>
    <row r="5172">
      <c r="A5172">
        <f>IFERROR(INDEX('Email Cleaner'!$B$2:$B$10001,MATCH(5171,'Email Cleaner'!$H$2:$H$10001,0)),"")</f>
        <v/>
      </c>
    </row>
    <row r="5173">
      <c r="A5173">
        <f>IFERROR(INDEX('Email Cleaner'!$B$2:$B$10001,MATCH(5172,'Email Cleaner'!$H$2:$H$10001,0)),"")</f>
        <v/>
      </c>
    </row>
    <row r="5174">
      <c r="A5174">
        <f>IFERROR(INDEX('Email Cleaner'!$B$2:$B$10001,MATCH(5173,'Email Cleaner'!$H$2:$H$10001,0)),"")</f>
        <v/>
      </c>
    </row>
    <row r="5175">
      <c r="A5175">
        <f>IFERROR(INDEX('Email Cleaner'!$B$2:$B$10001,MATCH(5174,'Email Cleaner'!$H$2:$H$10001,0)),"")</f>
        <v/>
      </c>
    </row>
    <row r="5176">
      <c r="A5176">
        <f>IFERROR(INDEX('Email Cleaner'!$B$2:$B$10001,MATCH(5175,'Email Cleaner'!$H$2:$H$10001,0)),"")</f>
        <v/>
      </c>
    </row>
    <row r="5177">
      <c r="A5177">
        <f>IFERROR(INDEX('Email Cleaner'!$B$2:$B$10001,MATCH(5176,'Email Cleaner'!$H$2:$H$10001,0)),"")</f>
        <v/>
      </c>
    </row>
    <row r="5178">
      <c r="A5178">
        <f>IFERROR(INDEX('Email Cleaner'!$B$2:$B$10001,MATCH(5177,'Email Cleaner'!$H$2:$H$10001,0)),"")</f>
        <v/>
      </c>
    </row>
    <row r="5179">
      <c r="A5179">
        <f>IFERROR(INDEX('Email Cleaner'!$B$2:$B$10001,MATCH(5178,'Email Cleaner'!$H$2:$H$10001,0)),"")</f>
        <v/>
      </c>
    </row>
    <row r="5180">
      <c r="A5180">
        <f>IFERROR(INDEX('Email Cleaner'!$B$2:$B$10001,MATCH(5179,'Email Cleaner'!$H$2:$H$10001,0)),"")</f>
        <v/>
      </c>
    </row>
    <row r="5181">
      <c r="A5181">
        <f>IFERROR(INDEX('Email Cleaner'!$B$2:$B$10001,MATCH(5180,'Email Cleaner'!$H$2:$H$10001,0)),"")</f>
        <v/>
      </c>
    </row>
    <row r="5182">
      <c r="A5182">
        <f>IFERROR(INDEX('Email Cleaner'!$B$2:$B$10001,MATCH(5181,'Email Cleaner'!$H$2:$H$10001,0)),"")</f>
        <v/>
      </c>
    </row>
    <row r="5183">
      <c r="A5183">
        <f>IFERROR(INDEX('Email Cleaner'!$B$2:$B$10001,MATCH(5182,'Email Cleaner'!$H$2:$H$10001,0)),"")</f>
        <v/>
      </c>
    </row>
    <row r="5184">
      <c r="A5184">
        <f>IFERROR(INDEX('Email Cleaner'!$B$2:$B$10001,MATCH(5183,'Email Cleaner'!$H$2:$H$10001,0)),"")</f>
        <v/>
      </c>
    </row>
    <row r="5185">
      <c r="A5185">
        <f>IFERROR(INDEX('Email Cleaner'!$B$2:$B$10001,MATCH(5184,'Email Cleaner'!$H$2:$H$10001,0)),"")</f>
        <v/>
      </c>
    </row>
    <row r="5186">
      <c r="A5186">
        <f>IFERROR(INDEX('Email Cleaner'!$B$2:$B$10001,MATCH(5185,'Email Cleaner'!$H$2:$H$10001,0)),"")</f>
        <v/>
      </c>
    </row>
    <row r="5187">
      <c r="A5187">
        <f>IFERROR(INDEX('Email Cleaner'!$B$2:$B$10001,MATCH(5186,'Email Cleaner'!$H$2:$H$10001,0)),"")</f>
        <v/>
      </c>
    </row>
    <row r="5188">
      <c r="A5188">
        <f>IFERROR(INDEX('Email Cleaner'!$B$2:$B$10001,MATCH(5187,'Email Cleaner'!$H$2:$H$10001,0)),"")</f>
        <v/>
      </c>
    </row>
    <row r="5189">
      <c r="A5189">
        <f>IFERROR(INDEX('Email Cleaner'!$B$2:$B$10001,MATCH(5188,'Email Cleaner'!$H$2:$H$10001,0)),"")</f>
        <v/>
      </c>
    </row>
    <row r="5190">
      <c r="A5190">
        <f>IFERROR(INDEX('Email Cleaner'!$B$2:$B$10001,MATCH(5189,'Email Cleaner'!$H$2:$H$10001,0)),"")</f>
        <v/>
      </c>
    </row>
    <row r="5191">
      <c r="A5191">
        <f>IFERROR(INDEX('Email Cleaner'!$B$2:$B$10001,MATCH(5190,'Email Cleaner'!$H$2:$H$10001,0)),"")</f>
        <v/>
      </c>
    </row>
    <row r="5192">
      <c r="A5192">
        <f>IFERROR(INDEX('Email Cleaner'!$B$2:$B$10001,MATCH(5191,'Email Cleaner'!$H$2:$H$10001,0)),"")</f>
        <v/>
      </c>
    </row>
    <row r="5193">
      <c r="A5193">
        <f>IFERROR(INDEX('Email Cleaner'!$B$2:$B$10001,MATCH(5192,'Email Cleaner'!$H$2:$H$10001,0)),"")</f>
        <v/>
      </c>
    </row>
    <row r="5194">
      <c r="A5194">
        <f>IFERROR(INDEX('Email Cleaner'!$B$2:$B$10001,MATCH(5193,'Email Cleaner'!$H$2:$H$10001,0)),"")</f>
        <v/>
      </c>
    </row>
    <row r="5195">
      <c r="A5195">
        <f>IFERROR(INDEX('Email Cleaner'!$B$2:$B$10001,MATCH(5194,'Email Cleaner'!$H$2:$H$10001,0)),"")</f>
        <v/>
      </c>
    </row>
    <row r="5196">
      <c r="A5196">
        <f>IFERROR(INDEX('Email Cleaner'!$B$2:$B$10001,MATCH(5195,'Email Cleaner'!$H$2:$H$10001,0)),"")</f>
        <v/>
      </c>
    </row>
    <row r="5197">
      <c r="A5197">
        <f>IFERROR(INDEX('Email Cleaner'!$B$2:$B$10001,MATCH(5196,'Email Cleaner'!$H$2:$H$10001,0)),"")</f>
        <v/>
      </c>
    </row>
    <row r="5198">
      <c r="A5198">
        <f>IFERROR(INDEX('Email Cleaner'!$B$2:$B$10001,MATCH(5197,'Email Cleaner'!$H$2:$H$10001,0)),"")</f>
        <v/>
      </c>
    </row>
    <row r="5199">
      <c r="A5199">
        <f>IFERROR(INDEX('Email Cleaner'!$B$2:$B$10001,MATCH(5198,'Email Cleaner'!$H$2:$H$10001,0)),"")</f>
        <v/>
      </c>
    </row>
    <row r="5200">
      <c r="A5200">
        <f>IFERROR(INDEX('Email Cleaner'!$B$2:$B$10001,MATCH(5199,'Email Cleaner'!$H$2:$H$10001,0)),"")</f>
        <v/>
      </c>
    </row>
    <row r="5201">
      <c r="A5201">
        <f>IFERROR(INDEX('Email Cleaner'!$B$2:$B$10001,MATCH(5200,'Email Cleaner'!$H$2:$H$10001,0)),"")</f>
        <v/>
      </c>
    </row>
    <row r="5202">
      <c r="A5202">
        <f>IFERROR(INDEX('Email Cleaner'!$B$2:$B$10001,MATCH(5201,'Email Cleaner'!$H$2:$H$10001,0)),"")</f>
        <v/>
      </c>
    </row>
    <row r="5203">
      <c r="A5203">
        <f>IFERROR(INDEX('Email Cleaner'!$B$2:$B$10001,MATCH(5202,'Email Cleaner'!$H$2:$H$10001,0)),"")</f>
        <v/>
      </c>
    </row>
    <row r="5204">
      <c r="A5204">
        <f>IFERROR(INDEX('Email Cleaner'!$B$2:$B$10001,MATCH(5203,'Email Cleaner'!$H$2:$H$10001,0)),"")</f>
        <v/>
      </c>
    </row>
    <row r="5205">
      <c r="A5205">
        <f>IFERROR(INDEX('Email Cleaner'!$B$2:$B$10001,MATCH(5204,'Email Cleaner'!$H$2:$H$10001,0)),"")</f>
        <v/>
      </c>
    </row>
    <row r="5206">
      <c r="A5206">
        <f>IFERROR(INDEX('Email Cleaner'!$B$2:$B$10001,MATCH(5205,'Email Cleaner'!$H$2:$H$10001,0)),"")</f>
        <v/>
      </c>
    </row>
    <row r="5207">
      <c r="A5207">
        <f>IFERROR(INDEX('Email Cleaner'!$B$2:$B$10001,MATCH(5206,'Email Cleaner'!$H$2:$H$10001,0)),"")</f>
        <v/>
      </c>
    </row>
    <row r="5208">
      <c r="A5208">
        <f>IFERROR(INDEX('Email Cleaner'!$B$2:$B$10001,MATCH(5207,'Email Cleaner'!$H$2:$H$10001,0)),"")</f>
        <v/>
      </c>
    </row>
    <row r="5209">
      <c r="A5209">
        <f>IFERROR(INDEX('Email Cleaner'!$B$2:$B$10001,MATCH(5208,'Email Cleaner'!$H$2:$H$10001,0)),"")</f>
        <v/>
      </c>
    </row>
    <row r="5210">
      <c r="A5210">
        <f>IFERROR(INDEX('Email Cleaner'!$B$2:$B$10001,MATCH(5209,'Email Cleaner'!$H$2:$H$10001,0)),"")</f>
        <v/>
      </c>
    </row>
    <row r="5211">
      <c r="A5211">
        <f>IFERROR(INDEX('Email Cleaner'!$B$2:$B$10001,MATCH(5210,'Email Cleaner'!$H$2:$H$10001,0)),"")</f>
        <v/>
      </c>
    </row>
    <row r="5212">
      <c r="A5212">
        <f>IFERROR(INDEX('Email Cleaner'!$B$2:$B$10001,MATCH(5211,'Email Cleaner'!$H$2:$H$10001,0)),"")</f>
        <v/>
      </c>
    </row>
    <row r="5213">
      <c r="A5213">
        <f>IFERROR(INDEX('Email Cleaner'!$B$2:$B$10001,MATCH(5212,'Email Cleaner'!$H$2:$H$10001,0)),"")</f>
        <v/>
      </c>
    </row>
    <row r="5214">
      <c r="A5214">
        <f>IFERROR(INDEX('Email Cleaner'!$B$2:$B$10001,MATCH(5213,'Email Cleaner'!$H$2:$H$10001,0)),"")</f>
        <v/>
      </c>
    </row>
    <row r="5215">
      <c r="A5215">
        <f>IFERROR(INDEX('Email Cleaner'!$B$2:$B$10001,MATCH(5214,'Email Cleaner'!$H$2:$H$10001,0)),"")</f>
        <v/>
      </c>
    </row>
    <row r="5216">
      <c r="A5216">
        <f>IFERROR(INDEX('Email Cleaner'!$B$2:$B$10001,MATCH(5215,'Email Cleaner'!$H$2:$H$10001,0)),"")</f>
        <v/>
      </c>
    </row>
    <row r="5217">
      <c r="A5217">
        <f>IFERROR(INDEX('Email Cleaner'!$B$2:$B$10001,MATCH(5216,'Email Cleaner'!$H$2:$H$10001,0)),"")</f>
        <v/>
      </c>
    </row>
    <row r="5218">
      <c r="A5218">
        <f>IFERROR(INDEX('Email Cleaner'!$B$2:$B$10001,MATCH(5217,'Email Cleaner'!$H$2:$H$10001,0)),"")</f>
        <v/>
      </c>
    </row>
    <row r="5219">
      <c r="A5219">
        <f>IFERROR(INDEX('Email Cleaner'!$B$2:$B$10001,MATCH(5218,'Email Cleaner'!$H$2:$H$10001,0)),"")</f>
        <v/>
      </c>
    </row>
    <row r="5220">
      <c r="A5220">
        <f>IFERROR(INDEX('Email Cleaner'!$B$2:$B$10001,MATCH(5219,'Email Cleaner'!$H$2:$H$10001,0)),"")</f>
        <v/>
      </c>
    </row>
    <row r="5221">
      <c r="A5221">
        <f>IFERROR(INDEX('Email Cleaner'!$B$2:$B$10001,MATCH(5220,'Email Cleaner'!$H$2:$H$10001,0)),"")</f>
        <v/>
      </c>
    </row>
    <row r="5222">
      <c r="A5222">
        <f>IFERROR(INDEX('Email Cleaner'!$B$2:$B$10001,MATCH(5221,'Email Cleaner'!$H$2:$H$10001,0)),"")</f>
        <v/>
      </c>
    </row>
    <row r="5223">
      <c r="A5223">
        <f>IFERROR(INDEX('Email Cleaner'!$B$2:$B$10001,MATCH(5222,'Email Cleaner'!$H$2:$H$10001,0)),"")</f>
        <v/>
      </c>
    </row>
    <row r="5224">
      <c r="A5224">
        <f>IFERROR(INDEX('Email Cleaner'!$B$2:$B$10001,MATCH(5223,'Email Cleaner'!$H$2:$H$10001,0)),"")</f>
        <v/>
      </c>
    </row>
    <row r="5225">
      <c r="A5225">
        <f>IFERROR(INDEX('Email Cleaner'!$B$2:$B$10001,MATCH(5224,'Email Cleaner'!$H$2:$H$10001,0)),"")</f>
        <v/>
      </c>
    </row>
    <row r="5226">
      <c r="A5226">
        <f>IFERROR(INDEX('Email Cleaner'!$B$2:$B$10001,MATCH(5225,'Email Cleaner'!$H$2:$H$10001,0)),"")</f>
        <v/>
      </c>
    </row>
    <row r="5227">
      <c r="A5227">
        <f>IFERROR(INDEX('Email Cleaner'!$B$2:$B$10001,MATCH(5226,'Email Cleaner'!$H$2:$H$10001,0)),"")</f>
        <v/>
      </c>
    </row>
    <row r="5228">
      <c r="A5228">
        <f>IFERROR(INDEX('Email Cleaner'!$B$2:$B$10001,MATCH(5227,'Email Cleaner'!$H$2:$H$10001,0)),"")</f>
        <v/>
      </c>
    </row>
    <row r="5229">
      <c r="A5229">
        <f>IFERROR(INDEX('Email Cleaner'!$B$2:$B$10001,MATCH(5228,'Email Cleaner'!$H$2:$H$10001,0)),"")</f>
        <v/>
      </c>
    </row>
    <row r="5230">
      <c r="A5230">
        <f>IFERROR(INDEX('Email Cleaner'!$B$2:$B$10001,MATCH(5229,'Email Cleaner'!$H$2:$H$10001,0)),"")</f>
        <v/>
      </c>
    </row>
    <row r="5231">
      <c r="A5231">
        <f>IFERROR(INDEX('Email Cleaner'!$B$2:$B$10001,MATCH(5230,'Email Cleaner'!$H$2:$H$10001,0)),"")</f>
        <v/>
      </c>
    </row>
    <row r="5232">
      <c r="A5232">
        <f>IFERROR(INDEX('Email Cleaner'!$B$2:$B$10001,MATCH(5231,'Email Cleaner'!$H$2:$H$10001,0)),"")</f>
        <v/>
      </c>
    </row>
    <row r="5233">
      <c r="A5233">
        <f>IFERROR(INDEX('Email Cleaner'!$B$2:$B$10001,MATCH(5232,'Email Cleaner'!$H$2:$H$10001,0)),"")</f>
        <v/>
      </c>
    </row>
    <row r="5234">
      <c r="A5234">
        <f>IFERROR(INDEX('Email Cleaner'!$B$2:$B$10001,MATCH(5233,'Email Cleaner'!$H$2:$H$10001,0)),"")</f>
        <v/>
      </c>
    </row>
    <row r="5235">
      <c r="A5235">
        <f>IFERROR(INDEX('Email Cleaner'!$B$2:$B$10001,MATCH(5234,'Email Cleaner'!$H$2:$H$10001,0)),"")</f>
        <v/>
      </c>
    </row>
    <row r="5236">
      <c r="A5236">
        <f>IFERROR(INDEX('Email Cleaner'!$B$2:$B$10001,MATCH(5235,'Email Cleaner'!$H$2:$H$10001,0)),"")</f>
        <v/>
      </c>
    </row>
    <row r="5237">
      <c r="A5237">
        <f>IFERROR(INDEX('Email Cleaner'!$B$2:$B$10001,MATCH(5236,'Email Cleaner'!$H$2:$H$10001,0)),"")</f>
        <v/>
      </c>
    </row>
    <row r="5238">
      <c r="A5238">
        <f>IFERROR(INDEX('Email Cleaner'!$B$2:$B$10001,MATCH(5237,'Email Cleaner'!$H$2:$H$10001,0)),"")</f>
        <v/>
      </c>
    </row>
    <row r="5239">
      <c r="A5239">
        <f>IFERROR(INDEX('Email Cleaner'!$B$2:$B$10001,MATCH(5238,'Email Cleaner'!$H$2:$H$10001,0)),"")</f>
        <v/>
      </c>
    </row>
    <row r="5240">
      <c r="A5240">
        <f>IFERROR(INDEX('Email Cleaner'!$B$2:$B$10001,MATCH(5239,'Email Cleaner'!$H$2:$H$10001,0)),"")</f>
        <v/>
      </c>
    </row>
    <row r="5241">
      <c r="A5241">
        <f>IFERROR(INDEX('Email Cleaner'!$B$2:$B$10001,MATCH(5240,'Email Cleaner'!$H$2:$H$10001,0)),"")</f>
        <v/>
      </c>
    </row>
    <row r="5242">
      <c r="A5242">
        <f>IFERROR(INDEX('Email Cleaner'!$B$2:$B$10001,MATCH(5241,'Email Cleaner'!$H$2:$H$10001,0)),"")</f>
        <v/>
      </c>
    </row>
    <row r="5243">
      <c r="A5243">
        <f>IFERROR(INDEX('Email Cleaner'!$B$2:$B$10001,MATCH(5242,'Email Cleaner'!$H$2:$H$10001,0)),"")</f>
        <v/>
      </c>
    </row>
    <row r="5244">
      <c r="A5244">
        <f>IFERROR(INDEX('Email Cleaner'!$B$2:$B$10001,MATCH(5243,'Email Cleaner'!$H$2:$H$10001,0)),"")</f>
        <v/>
      </c>
    </row>
    <row r="5245">
      <c r="A5245">
        <f>IFERROR(INDEX('Email Cleaner'!$B$2:$B$10001,MATCH(5244,'Email Cleaner'!$H$2:$H$10001,0)),"")</f>
        <v/>
      </c>
    </row>
    <row r="5246">
      <c r="A5246">
        <f>IFERROR(INDEX('Email Cleaner'!$B$2:$B$10001,MATCH(5245,'Email Cleaner'!$H$2:$H$10001,0)),"")</f>
        <v/>
      </c>
    </row>
    <row r="5247">
      <c r="A5247">
        <f>IFERROR(INDEX('Email Cleaner'!$B$2:$B$10001,MATCH(5246,'Email Cleaner'!$H$2:$H$10001,0)),"")</f>
        <v/>
      </c>
    </row>
    <row r="5248">
      <c r="A5248">
        <f>IFERROR(INDEX('Email Cleaner'!$B$2:$B$10001,MATCH(5247,'Email Cleaner'!$H$2:$H$10001,0)),"")</f>
        <v/>
      </c>
    </row>
    <row r="5249">
      <c r="A5249">
        <f>IFERROR(INDEX('Email Cleaner'!$B$2:$B$10001,MATCH(5248,'Email Cleaner'!$H$2:$H$10001,0)),"")</f>
        <v/>
      </c>
    </row>
    <row r="5250">
      <c r="A5250">
        <f>IFERROR(INDEX('Email Cleaner'!$B$2:$B$10001,MATCH(5249,'Email Cleaner'!$H$2:$H$10001,0)),"")</f>
        <v/>
      </c>
    </row>
    <row r="5251">
      <c r="A5251">
        <f>IFERROR(INDEX('Email Cleaner'!$B$2:$B$10001,MATCH(5250,'Email Cleaner'!$H$2:$H$10001,0)),"")</f>
        <v/>
      </c>
    </row>
    <row r="5252">
      <c r="A5252">
        <f>IFERROR(INDEX('Email Cleaner'!$B$2:$B$10001,MATCH(5251,'Email Cleaner'!$H$2:$H$10001,0)),"")</f>
        <v/>
      </c>
    </row>
    <row r="5253">
      <c r="A5253">
        <f>IFERROR(INDEX('Email Cleaner'!$B$2:$B$10001,MATCH(5252,'Email Cleaner'!$H$2:$H$10001,0)),"")</f>
        <v/>
      </c>
    </row>
    <row r="5254">
      <c r="A5254">
        <f>IFERROR(INDEX('Email Cleaner'!$B$2:$B$10001,MATCH(5253,'Email Cleaner'!$H$2:$H$10001,0)),"")</f>
        <v/>
      </c>
    </row>
    <row r="5255">
      <c r="A5255">
        <f>IFERROR(INDEX('Email Cleaner'!$B$2:$B$10001,MATCH(5254,'Email Cleaner'!$H$2:$H$10001,0)),"")</f>
        <v/>
      </c>
    </row>
    <row r="5256">
      <c r="A5256">
        <f>IFERROR(INDEX('Email Cleaner'!$B$2:$B$10001,MATCH(5255,'Email Cleaner'!$H$2:$H$10001,0)),"")</f>
        <v/>
      </c>
    </row>
    <row r="5257">
      <c r="A5257">
        <f>IFERROR(INDEX('Email Cleaner'!$B$2:$B$10001,MATCH(5256,'Email Cleaner'!$H$2:$H$10001,0)),"")</f>
        <v/>
      </c>
    </row>
    <row r="5258">
      <c r="A5258">
        <f>IFERROR(INDEX('Email Cleaner'!$B$2:$B$10001,MATCH(5257,'Email Cleaner'!$H$2:$H$10001,0)),"")</f>
        <v/>
      </c>
    </row>
    <row r="5259">
      <c r="A5259">
        <f>IFERROR(INDEX('Email Cleaner'!$B$2:$B$10001,MATCH(5258,'Email Cleaner'!$H$2:$H$10001,0)),"")</f>
        <v/>
      </c>
    </row>
    <row r="5260">
      <c r="A5260">
        <f>IFERROR(INDEX('Email Cleaner'!$B$2:$B$10001,MATCH(5259,'Email Cleaner'!$H$2:$H$10001,0)),"")</f>
        <v/>
      </c>
    </row>
    <row r="5261">
      <c r="A5261">
        <f>IFERROR(INDEX('Email Cleaner'!$B$2:$B$10001,MATCH(5260,'Email Cleaner'!$H$2:$H$10001,0)),"")</f>
        <v/>
      </c>
    </row>
    <row r="5262">
      <c r="A5262">
        <f>IFERROR(INDEX('Email Cleaner'!$B$2:$B$10001,MATCH(5261,'Email Cleaner'!$H$2:$H$10001,0)),"")</f>
        <v/>
      </c>
    </row>
    <row r="5263">
      <c r="A5263">
        <f>IFERROR(INDEX('Email Cleaner'!$B$2:$B$10001,MATCH(5262,'Email Cleaner'!$H$2:$H$10001,0)),"")</f>
        <v/>
      </c>
    </row>
    <row r="5264">
      <c r="A5264">
        <f>IFERROR(INDEX('Email Cleaner'!$B$2:$B$10001,MATCH(5263,'Email Cleaner'!$H$2:$H$10001,0)),"")</f>
        <v/>
      </c>
    </row>
    <row r="5265">
      <c r="A5265">
        <f>IFERROR(INDEX('Email Cleaner'!$B$2:$B$10001,MATCH(5264,'Email Cleaner'!$H$2:$H$10001,0)),"")</f>
        <v/>
      </c>
    </row>
    <row r="5266">
      <c r="A5266">
        <f>IFERROR(INDEX('Email Cleaner'!$B$2:$B$10001,MATCH(5265,'Email Cleaner'!$H$2:$H$10001,0)),"")</f>
        <v/>
      </c>
    </row>
    <row r="5267">
      <c r="A5267">
        <f>IFERROR(INDEX('Email Cleaner'!$B$2:$B$10001,MATCH(5266,'Email Cleaner'!$H$2:$H$10001,0)),"")</f>
        <v/>
      </c>
    </row>
    <row r="5268">
      <c r="A5268">
        <f>IFERROR(INDEX('Email Cleaner'!$B$2:$B$10001,MATCH(5267,'Email Cleaner'!$H$2:$H$10001,0)),"")</f>
        <v/>
      </c>
    </row>
    <row r="5269">
      <c r="A5269">
        <f>IFERROR(INDEX('Email Cleaner'!$B$2:$B$10001,MATCH(5268,'Email Cleaner'!$H$2:$H$10001,0)),"")</f>
        <v/>
      </c>
    </row>
    <row r="5270">
      <c r="A5270">
        <f>IFERROR(INDEX('Email Cleaner'!$B$2:$B$10001,MATCH(5269,'Email Cleaner'!$H$2:$H$10001,0)),"")</f>
        <v/>
      </c>
    </row>
    <row r="5271">
      <c r="A5271">
        <f>IFERROR(INDEX('Email Cleaner'!$B$2:$B$10001,MATCH(5270,'Email Cleaner'!$H$2:$H$10001,0)),"")</f>
        <v/>
      </c>
    </row>
    <row r="5272">
      <c r="A5272">
        <f>IFERROR(INDEX('Email Cleaner'!$B$2:$B$10001,MATCH(5271,'Email Cleaner'!$H$2:$H$10001,0)),"")</f>
        <v/>
      </c>
    </row>
    <row r="5273">
      <c r="A5273">
        <f>IFERROR(INDEX('Email Cleaner'!$B$2:$B$10001,MATCH(5272,'Email Cleaner'!$H$2:$H$10001,0)),"")</f>
        <v/>
      </c>
    </row>
    <row r="5274">
      <c r="A5274">
        <f>IFERROR(INDEX('Email Cleaner'!$B$2:$B$10001,MATCH(5273,'Email Cleaner'!$H$2:$H$10001,0)),"")</f>
        <v/>
      </c>
    </row>
    <row r="5275">
      <c r="A5275">
        <f>IFERROR(INDEX('Email Cleaner'!$B$2:$B$10001,MATCH(5274,'Email Cleaner'!$H$2:$H$10001,0)),"")</f>
        <v/>
      </c>
    </row>
    <row r="5276">
      <c r="A5276">
        <f>IFERROR(INDEX('Email Cleaner'!$B$2:$B$10001,MATCH(5275,'Email Cleaner'!$H$2:$H$10001,0)),"")</f>
        <v/>
      </c>
    </row>
    <row r="5277">
      <c r="A5277">
        <f>IFERROR(INDEX('Email Cleaner'!$B$2:$B$10001,MATCH(5276,'Email Cleaner'!$H$2:$H$10001,0)),"")</f>
        <v/>
      </c>
    </row>
    <row r="5278">
      <c r="A5278">
        <f>IFERROR(INDEX('Email Cleaner'!$B$2:$B$10001,MATCH(5277,'Email Cleaner'!$H$2:$H$10001,0)),"")</f>
        <v/>
      </c>
    </row>
    <row r="5279">
      <c r="A5279">
        <f>IFERROR(INDEX('Email Cleaner'!$B$2:$B$10001,MATCH(5278,'Email Cleaner'!$H$2:$H$10001,0)),"")</f>
        <v/>
      </c>
    </row>
    <row r="5280">
      <c r="A5280">
        <f>IFERROR(INDEX('Email Cleaner'!$B$2:$B$10001,MATCH(5279,'Email Cleaner'!$H$2:$H$10001,0)),"")</f>
        <v/>
      </c>
    </row>
    <row r="5281">
      <c r="A5281">
        <f>IFERROR(INDEX('Email Cleaner'!$B$2:$B$10001,MATCH(5280,'Email Cleaner'!$H$2:$H$10001,0)),"")</f>
        <v/>
      </c>
    </row>
    <row r="5282">
      <c r="A5282">
        <f>IFERROR(INDEX('Email Cleaner'!$B$2:$B$10001,MATCH(5281,'Email Cleaner'!$H$2:$H$10001,0)),"")</f>
        <v/>
      </c>
    </row>
    <row r="5283">
      <c r="A5283">
        <f>IFERROR(INDEX('Email Cleaner'!$B$2:$B$10001,MATCH(5282,'Email Cleaner'!$H$2:$H$10001,0)),"")</f>
        <v/>
      </c>
    </row>
    <row r="5284">
      <c r="A5284">
        <f>IFERROR(INDEX('Email Cleaner'!$B$2:$B$10001,MATCH(5283,'Email Cleaner'!$H$2:$H$10001,0)),"")</f>
        <v/>
      </c>
    </row>
    <row r="5285">
      <c r="A5285">
        <f>IFERROR(INDEX('Email Cleaner'!$B$2:$B$10001,MATCH(5284,'Email Cleaner'!$H$2:$H$10001,0)),"")</f>
        <v/>
      </c>
    </row>
    <row r="5286">
      <c r="A5286">
        <f>IFERROR(INDEX('Email Cleaner'!$B$2:$B$10001,MATCH(5285,'Email Cleaner'!$H$2:$H$10001,0)),"")</f>
        <v/>
      </c>
    </row>
    <row r="5287">
      <c r="A5287">
        <f>IFERROR(INDEX('Email Cleaner'!$B$2:$B$10001,MATCH(5286,'Email Cleaner'!$H$2:$H$10001,0)),"")</f>
        <v/>
      </c>
    </row>
    <row r="5288">
      <c r="A5288">
        <f>IFERROR(INDEX('Email Cleaner'!$B$2:$B$10001,MATCH(5287,'Email Cleaner'!$H$2:$H$10001,0)),"")</f>
        <v/>
      </c>
    </row>
    <row r="5289">
      <c r="A5289">
        <f>IFERROR(INDEX('Email Cleaner'!$B$2:$B$10001,MATCH(5288,'Email Cleaner'!$H$2:$H$10001,0)),"")</f>
        <v/>
      </c>
    </row>
    <row r="5290">
      <c r="A5290">
        <f>IFERROR(INDEX('Email Cleaner'!$B$2:$B$10001,MATCH(5289,'Email Cleaner'!$H$2:$H$10001,0)),"")</f>
        <v/>
      </c>
    </row>
    <row r="5291">
      <c r="A5291">
        <f>IFERROR(INDEX('Email Cleaner'!$B$2:$B$10001,MATCH(5290,'Email Cleaner'!$H$2:$H$10001,0)),"")</f>
        <v/>
      </c>
    </row>
    <row r="5292">
      <c r="A5292">
        <f>IFERROR(INDEX('Email Cleaner'!$B$2:$B$10001,MATCH(5291,'Email Cleaner'!$H$2:$H$10001,0)),"")</f>
        <v/>
      </c>
    </row>
    <row r="5293">
      <c r="A5293">
        <f>IFERROR(INDEX('Email Cleaner'!$B$2:$B$10001,MATCH(5292,'Email Cleaner'!$H$2:$H$10001,0)),"")</f>
        <v/>
      </c>
    </row>
    <row r="5294">
      <c r="A5294">
        <f>IFERROR(INDEX('Email Cleaner'!$B$2:$B$10001,MATCH(5293,'Email Cleaner'!$H$2:$H$10001,0)),"")</f>
        <v/>
      </c>
    </row>
    <row r="5295">
      <c r="A5295">
        <f>IFERROR(INDEX('Email Cleaner'!$B$2:$B$10001,MATCH(5294,'Email Cleaner'!$H$2:$H$10001,0)),"")</f>
        <v/>
      </c>
    </row>
    <row r="5296">
      <c r="A5296">
        <f>IFERROR(INDEX('Email Cleaner'!$B$2:$B$10001,MATCH(5295,'Email Cleaner'!$H$2:$H$10001,0)),"")</f>
        <v/>
      </c>
    </row>
    <row r="5297">
      <c r="A5297">
        <f>IFERROR(INDEX('Email Cleaner'!$B$2:$B$10001,MATCH(5296,'Email Cleaner'!$H$2:$H$10001,0)),"")</f>
        <v/>
      </c>
    </row>
    <row r="5298">
      <c r="A5298">
        <f>IFERROR(INDEX('Email Cleaner'!$B$2:$B$10001,MATCH(5297,'Email Cleaner'!$H$2:$H$10001,0)),"")</f>
        <v/>
      </c>
    </row>
    <row r="5299">
      <c r="A5299">
        <f>IFERROR(INDEX('Email Cleaner'!$B$2:$B$10001,MATCH(5298,'Email Cleaner'!$H$2:$H$10001,0)),"")</f>
        <v/>
      </c>
    </row>
    <row r="5300">
      <c r="A5300">
        <f>IFERROR(INDEX('Email Cleaner'!$B$2:$B$10001,MATCH(5299,'Email Cleaner'!$H$2:$H$10001,0)),"")</f>
        <v/>
      </c>
    </row>
    <row r="5301">
      <c r="A5301">
        <f>IFERROR(INDEX('Email Cleaner'!$B$2:$B$10001,MATCH(5300,'Email Cleaner'!$H$2:$H$10001,0)),"")</f>
        <v/>
      </c>
    </row>
    <row r="5302">
      <c r="A5302">
        <f>IFERROR(INDEX('Email Cleaner'!$B$2:$B$10001,MATCH(5301,'Email Cleaner'!$H$2:$H$10001,0)),"")</f>
        <v/>
      </c>
    </row>
    <row r="5303">
      <c r="A5303">
        <f>IFERROR(INDEX('Email Cleaner'!$B$2:$B$10001,MATCH(5302,'Email Cleaner'!$H$2:$H$10001,0)),"")</f>
        <v/>
      </c>
    </row>
    <row r="5304">
      <c r="A5304">
        <f>IFERROR(INDEX('Email Cleaner'!$B$2:$B$10001,MATCH(5303,'Email Cleaner'!$H$2:$H$10001,0)),"")</f>
        <v/>
      </c>
    </row>
    <row r="5305">
      <c r="A5305">
        <f>IFERROR(INDEX('Email Cleaner'!$B$2:$B$10001,MATCH(5304,'Email Cleaner'!$H$2:$H$10001,0)),"")</f>
        <v/>
      </c>
    </row>
    <row r="5306">
      <c r="A5306">
        <f>IFERROR(INDEX('Email Cleaner'!$B$2:$B$10001,MATCH(5305,'Email Cleaner'!$H$2:$H$10001,0)),"")</f>
        <v/>
      </c>
    </row>
    <row r="5307">
      <c r="A5307">
        <f>IFERROR(INDEX('Email Cleaner'!$B$2:$B$10001,MATCH(5306,'Email Cleaner'!$H$2:$H$10001,0)),"")</f>
        <v/>
      </c>
    </row>
    <row r="5308">
      <c r="A5308">
        <f>IFERROR(INDEX('Email Cleaner'!$B$2:$B$10001,MATCH(5307,'Email Cleaner'!$H$2:$H$10001,0)),"")</f>
        <v/>
      </c>
    </row>
    <row r="5309">
      <c r="A5309">
        <f>IFERROR(INDEX('Email Cleaner'!$B$2:$B$10001,MATCH(5308,'Email Cleaner'!$H$2:$H$10001,0)),"")</f>
        <v/>
      </c>
    </row>
    <row r="5310">
      <c r="A5310">
        <f>IFERROR(INDEX('Email Cleaner'!$B$2:$B$10001,MATCH(5309,'Email Cleaner'!$H$2:$H$10001,0)),"")</f>
        <v/>
      </c>
    </row>
    <row r="5311">
      <c r="A5311">
        <f>IFERROR(INDEX('Email Cleaner'!$B$2:$B$10001,MATCH(5310,'Email Cleaner'!$H$2:$H$10001,0)),"")</f>
        <v/>
      </c>
    </row>
    <row r="5312">
      <c r="A5312">
        <f>IFERROR(INDEX('Email Cleaner'!$B$2:$B$10001,MATCH(5311,'Email Cleaner'!$H$2:$H$10001,0)),"")</f>
        <v/>
      </c>
    </row>
    <row r="5313">
      <c r="A5313">
        <f>IFERROR(INDEX('Email Cleaner'!$B$2:$B$10001,MATCH(5312,'Email Cleaner'!$H$2:$H$10001,0)),"")</f>
        <v/>
      </c>
    </row>
    <row r="5314">
      <c r="A5314">
        <f>IFERROR(INDEX('Email Cleaner'!$B$2:$B$10001,MATCH(5313,'Email Cleaner'!$H$2:$H$10001,0)),"")</f>
        <v/>
      </c>
    </row>
    <row r="5315">
      <c r="A5315">
        <f>IFERROR(INDEX('Email Cleaner'!$B$2:$B$10001,MATCH(5314,'Email Cleaner'!$H$2:$H$10001,0)),"")</f>
        <v/>
      </c>
    </row>
    <row r="5316">
      <c r="A5316">
        <f>IFERROR(INDEX('Email Cleaner'!$B$2:$B$10001,MATCH(5315,'Email Cleaner'!$H$2:$H$10001,0)),"")</f>
        <v/>
      </c>
    </row>
    <row r="5317">
      <c r="A5317">
        <f>IFERROR(INDEX('Email Cleaner'!$B$2:$B$10001,MATCH(5316,'Email Cleaner'!$H$2:$H$10001,0)),"")</f>
        <v/>
      </c>
    </row>
    <row r="5318">
      <c r="A5318">
        <f>IFERROR(INDEX('Email Cleaner'!$B$2:$B$10001,MATCH(5317,'Email Cleaner'!$H$2:$H$10001,0)),"")</f>
        <v/>
      </c>
    </row>
    <row r="5319">
      <c r="A5319">
        <f>IFERROR(INDEX('Email Cleaner'!$B$2:$B$10001,MATCH(5318,'Email Cleaner'!$H$2:$H$10001,0)),"")</f>
        <v/>
      </c>
    </row>
    <row r="5320">
      <c r="A5320">
        <f>IFERROR(INDEX('Email Cleaner'!$B$2:$B$10001,MATCH(5319,'Email Cleaner'!$H$2:$H$10001,0)),"")</f>
        <v/>
      </c>
    </row>
    <row r="5321">
      <c r="A5321">
        <f>IFERROR(INDEX('Email Cleaner'!$B$2:$B$10001,MATCH(5320,'Email Cleaner'!$H$2:$H$10001,0)),"")</f>
        <v/>
      </c>
    </row>
    <row r="5322">
      <c r="A5322">
        <f>IFERROR(INDEX('Email Cleaner'!$B$2:$B$10001,MATCH(5321,'Email Cleaner'!$H$2:$H$10001,0)),"")</f>
        <v/>
      </c>
    </row>
    <row r="5323">
      <c r="A5323">
        <f>IFERROR(INDEX('Email Cleaner'!$B$2:$B$10001,MATCH(5322,'Email Cleaner'!$H$2:$H$10001,0)),"")</f>
        <v/>
      </c>
    </row>
    <row r="5324">
      <c r="A5324">
        <f>IFERROR(INDEX('Email Cleaner'!$B$2:$B$10001,MATCH(5323,'Email Cleaner'!$H$2:$H$10001,0)),"")</f>
        <v/>
      </c>
    </row>
    <row r="5325">
      <c r="A5325">
        <f>IFERROR(INDEX('Email Cleaner'!$B$2:$B$10001,MATCH(5324,'Email Cleaner'!$H$2:$H$10001,0)),"")</f>
        <v/>
      </c>
    </row>
    <row r="5326">
      <c r="A5326">
        <f>IFERROR(INDEX('Email Cleaner'!$B$2:$B$10001,MATCH(5325,'Email Cleaner'!$H$2:$H$10001,0)),"")</f>
        <v/>
      </c>
    </row>
    <row r="5327">
      <c r="A5327">
        <f>IFERROR(INDEX('Email Cleaner'!$B$2:$B$10001,MATCH(5326,'Email Cleaner'!$H$2:$H$10001,0)),"")</f>
        <v/>
      </c>
    </row>
    <row r="5328">
      <c r="A5328">
        <f>IFERROR(INDEX('Email Cleaner'!$B$2:$B$10001,MATCH(5327,'Email Cleaner'!$H$2:$H$10001,0)),"")</f>
        <v/>
      </c>
    </row>
    <row r="5329">
      <c r="A5329">
        <f>IFERROR(INDEX('Email Cleaner'!$B$2:$B$10001,MATCH(5328,'Email Cleaner'!$H$2:$H$10001,0)),"")</f>
        <v/>
      </c>
    </row>
    <row r="5330">
      <c r="A5330">
        <f>IFERROR(INDEX('Email Cleaner'!$B$2:$B$10001,MATCH(5329,'Email Cleaner'!$H$2:$H$10001,0)),"")</f>
        <v/>
      </c>
    </row>
    <row r="5331">
      <c r="A5331">
        <f>IFERROR(INDEX('Email Cleaner'!$B$2:$B$10001,MATCH(5330,'Email Cleaner'!$H$2:$H$10001,0)),"")</f>
        <v/>
      </c>
    </row>
    <row r="5332">
      <c r="A5332">
        <f>IFERROR(INDEX('Email Cleaner'!$B$2:$B$10001,MATCH(5331,'Email Cleaner'!$H$2:$H$10001,0)),"")</f>
        <v/>
      </c>
    </row>
    <row r="5333">
      <c r="A5333">
        <f>IFERROR(INDEX('Email Cleaner'!$B$2:$B$10001,MATCH(5332,'Email Cleaner'!$H$2:$H$10001,0)),"")</f>
        <v/>
      </c>
    </row>
    <row r="5334">
      <c r="A5334">
        <f>IFERROR(INDEX('Email Cleaner'!$B$2:$B$10001,MATCH(5333,'Email Cleaner'!$H$2:$H$10001,0)),"")</f>
        <v/>
      </c>
    </row>
    <row r="5335">
      <c r="A5335">
        <f>IFERROR(INDEX('Email Cleaner'!$B$2:$B$10001,MATCH(5334,'Email Cleaner'!$H$2:$H$10001,0)),"")</f>
        <v/>
      </c>
    </row>
    <row r="5336">
      <c r="A5336">
        <f>IFERROR(INDEX('Email Cleaner'!$B$2:$B$10001,MATCH(5335,'Email Cleaner'!$H$2:$H$10001,0)),"")</f>
        <v/>
      </c>
    </row>
    <row r="5337">
      <c r="A5337">
        <f>IFERROR(INDEX('Email Cleaner'!$B$2:$B$10001,MATCH(5336,'Email Cleaner'!$H$2:$H$10001,0)),"")</f>
        <v/>
      </c>
    </row>
    <row r="5338">
      <c r="A5338">
        <f>IFERROR(INDEX('Email Cleaner'!$B$2:$B$10001,MATCH(5337,'Email Cleaner'!$H$2:$H$10001,0)),"")</f>
        <v/>
      </c>
    </row>
    <row r="5339">
      <c r="A5339">
        <f>IFERROR(INDEX('Email Cleaner'!$B$2:$B$10001,MATCH(5338,'Email Cleaner'!$H$2:$H$10001,0)),"")</f>
        <v/>
      </c>
    </row>
    <row r="5340">
      <c r="A5340">
        <f>IFERROR(INDEX('Email Cleaner'!$B$2:$B$10001,MATCH(5339,'Email Cleaner'!$H$2:$H$10001,0)),"")</f>
        <v/>
      </c>
    </row>
    <row r="5341">
      <c r="A5341">
        <f>IFERROR(INDEX('Email Cleaner'!$B$2:$B$10001,MATCH(5340,'Email Cleaner'!$H$2:$H$10001,0)),"")</f>
        <v/>
      </c>
    </row>
    <row r="5342">
      <c r="A5342">
        <f>IFERROR(INDEX('Email Cleaner'!$B$2:$B$10001,MATCH(5341,'Email Cleaner'!$H$2:$H$10001,0)),"")</f>
        <v/>
      </c>
    </row>
    <row r="5343">
      <c r="A5343">
        <f>IFERROR(INDEX('Email Cleaner'!$B$2:$B$10001,MATCH(5342,'Email Cleaner'!$H$2:$H$10001,0)),"")</f>
        <v/>
      </c>
    </row>
    <row r="5344">
      <c r="A5344">
        <f>IFERROR(INDEX('Email Cleaner'!$B$2:$B$10001,MATCH(5343,'Email Cleaner'!$H$2:$H$10001,0)),"")</f>
        <v/>
      </c>
    </row>
    <row r="5345">
      <c r="A5345">
        <f>IFERROR(INDEX('Email Cleaner'!$B$2:$B$10001,MATCH(5344,'Email Cleaner'!$H$2:$H$10001,0)),"")</f>
        <v/>
      </c>
    </row>
    <row r="5346">
      <c r="A5346">
        <f>IFERROR(INDEX('Email Cleaner'!$B$2:$B$10001,MATCH(5345,'Email Cleaner'!$H$2:$H$10001,0)),"")</f>
        <v/>
      </c>
    </row>
    <row r="5347">
      <c r="A5347">
        <f>IFERROR(INDEX('Email Cleaner'!$B$2:$B$10001,MATCH(5346,'Email Cleaner'!$H$2:$H$10001,0)),"")</f>
        <v/>
      </c>
    </row>
    <row r="5348">
      <c r="A5348">
        <f>IFERROR(INDEX('Email Cleaner'!$B$2:$B$10001,MATCH(5347,'Email Cleaner'!$H$2:$H$10001,0)),"")</f>
        <v/>
      </c>
    </row>
    <row r="5349">
      <c r="A5349">
        <f>IFERROR(INDEX('Email Cleaner'!$B$2:$B$10001,MATCH(5348,'Email Cleaner'!$H$2:$H$10001,0)),"")</f>
        <v/>
      </c>
    </row>
    <row r="5350">
      <c r="A5350">
        <f>IFERROR(INDEX('Email Cleaner'!$B$2:$B$10001,MATCH(5349,'Email Cleaner'!$H$2:$H$10001,0)),"")</f>
        <v/>
      </c>
    </row>
    <row r="5351">
      <c r="A5351">
        <f>IFERROR(INDEX('Email Cleaner'!$B$2:$B$10001,MATCH(5350,'Email Cleaner'!$H$2:$H$10001,0)),"")</f>
        <v/>
      </c>
    </row>
    <row r="5352">
      <c r="A5352">
        <f>IFERROR(INDEX('Email Cleaner'!$B$2:$B$10001,MATCH(5351,'Email Cleaner'!$H$2:$H$10001,0)),"")</f>
        <v/>
      </c>
    </row>
    <row r="5353">
      <c r="A5353">
        <f>IFERROR(INDEX('Email Cleaner'!$B$2:$B$10001,MATCH(5352,'Email Cleaner'!$H$2:$H$10001,0)),"")</f>
        <v/>
      </c>
    </row>
    <row r="5354">
      <c r="A5354">
        <f>IFERROR(INDEX('Email Cleaner'!$B$2:$B$10001,MATCH(5353,'Email Cleaner'!$H$2:$H$10001,0)),"")</f>
        <v/>
      </c>
    </row>
    <row r="5355">
      <c r="A5355">
        <f>IFERROR(INDEX('Email Cleaner'!$B$2:$B$10001,MATCH(5354,'Email Cleaner'!$H$2:$H$10001,0)),"")</f>
        <v/>
      </c>
    </row>
    <row r="5356">
      <c r="A5356">
        <f>IFERROR(INDEX('Email Cleaner'!$B$2:$B$10001,MATCH(5355,'Email Cleaner'!$H$2:$H$10001,0)),"")</f>
        <v/>
      </c>
    </row>
    <row r="5357">
      <c r="A5357">
        <f>IFERROR(INDEX('Email Cleaner'!$B$2:$B$10001,MATCH(5356,'Email Cleaner'!$H$2:$H$10001,0)),"")</f>
        <v/>
      </c>
    </row>
    <row r="5358">
      <c r="A5358">
        <f>IFERROR(INDEX('Email Cleaner'!$B$2:$B$10001,MATCH(5357,'Email Cleaner'!$H$2:$H$10001,0)),"")</f>
        <v/>
      </c>
    </row>
    <row r="5359">
      <c r="A5359">
        <f>IFERROR(INDEX('Email Cleaner'!$B$2:$B$10001,MATCH(5358,'Email Cleaner'!$H$2:$H$10001,0)),"")</f>
        <v/>
      </c>
    </row>
    <row r="5360">
      <c r="A5360">
        <f>IFERROR(INDEX('Email Cleaner'!$B$2:$B$10001,MATCH(5359,'Email Cleaner'!$H$2:$H$10001,0)),"")</f>
        <v/>
      </c>
    </row>
    <row r="5361">
      <c r="A5361">
        <f>IFERROR(INDEX('Email Cleaner'!$B$2:$B$10001,MATCH(5360,'Email Cleaner'!$H$2:$H$10001,0)),"")</f>
        <v/>
      </c>
    </row>
    <row r="5362">
      <c r="A5362">
        <f>IFERROR(INDEX('Email Cleaner'!$B$2:$B$10001,MATCH(5361,'Email Cleaner'!$H$2:$H$10001,0)),"")</f>
        <v/>
      </c>
    </row>
    <row r="5363">
      <c r="A5363">
        <f>IFERROR(INDEX('Email Cleaner'!$B$2:$B$10001,MATCH(5362,'Email Cleaner'!$H$2:$H$10001,0)),"")</f>
        <v/>
      </c>
    </row>
    <row r="5364">
      <c r="A5364">
        <f>IFERROR(INDEX('Email Cleaner'!$B$2:$B$10001,MATCH(5363,'Email Cleaner'!$H$2:$H$10001,0)),"")</f>
        <v/>
      </c>
    </row>
    <row r="5365">
      <c r="A5365">
        <f>IFERROR(INDEX('Email Cleaner'!$B$2:$B$10001,MATCH(5364,'Email Cleaner'!$H$2:$H$10001,0)),"")</f>
        <v/>
      </c>
    </row>
    <row r="5366">
      <c r="A5366">
        <f>IFERROR(INDEX('Email Cleaner'!$B$2:$B$10001,MATCH(5365,'Email Cleaner'!$H$2:$H$10001,0)),"")</f>
        <v/>
      </c>
    </row>
    <row r="5367">
      <c r="A5367">
        <f>IFERROR(INDEX('Email Cleaner'!$B$2:$B$10001,MATCH(5366,'Email Cleaner'!$H$2:$H$10001,0)),"")</f>
        <v/>
      </c>
    </row>
    <row r="5368">
      <c r="A5368">
        <f>IFERROR(INDEX('Email Cleaner'!$B$2:$B$10001,MATCH(5367,'Email Cleaner'!$H$2:$H$10001,0)),"")</f>
        <v/>
      </c>
    </row>
    <row r="5369">
      <c r="A5369">
        <f>IFERROR(INDEX('Email Cleaner'!$B$2:$B$10001,MATCH(5368,'Email Cleaner'!$H$2:$H$10001,0)),"")</f>
        <v/>
      </c>
    </row>
    <row r="5370">
      <c r="A5370">
        <f>IFERROR(INDEX('Email Cleaner'!$B$2:$B$10001,MATCH(5369,'Email Cleaner'!$H$2:$H$10001,0)),"")</f>
        <v/>
      </c>
    </row>
    <row r="5371">
      <c r="A5371">
        <f>IFERROR(INDEX('Email Cleaner'!$B$2:$B$10001,MATCH(5370,'Email Cleaner'!$H$2:$H$10001,0)),"")</f>
        <v/>
      </c>
    </row>
    <row r="5372">
      <c r="A5372">
        <f>IFERROR(INDEX('Email Cleaner'!$B$2:$B$10001,MATCH(5371,'Email Cleaner'!$H$2:$H$10001,0)),"")</f>
        <v/>
      </c>
    </row>
    <row r="5373">
      <c r="A5373">
        <f>IFERROR(INDEX('Email Cleaner'!$B$2:$B$10001,MATCH(5372,'Email Cleaner'!$H$2:$H$10001,0)),"")</f>
        <v/>
      </c>
    </row>
    <row r="5374">
      <c r="A5374">
        <f>IFERROR(INDEX('Email Cleaner'!$B$2:$B$10001,MATCH(5373,'Email Cleaner'!$H$2:$H$10001,0)),"")</f>
        <v/>
      </c>
    </row>
    <row r="5375">
      <c r="A5375">
        <f>IFERROR(INDEX('Email Cleaner'!$B$2:$B$10001,MATCH(5374,'Email Cleaner'!$H$2:$H$10001,0)),"")</f>
        <v/>
      </c>
    </row>
    <row r="5376">
      <c r="A5376">
        <f>IFERROR(INDEX('Email Cleaner'!$B$2:$B$10001,MATCH(5375,'Email Cleaner'!$H$2:$H$10001,0)),"")</f>
        <v/>
      </c>
    </row>
    <row r="5377">
      <c r="A5377">
        <f>IFERROR(INDEX('Email Cleaner'!$B$2:$B$10001,MATCH(5376,'Email Cleaner'!$H$2:$H$10001,0)),"")</f>
        <v/>
      </c>
    </row>
    <row r="5378">
      <c r="A5378">
        <f>IFERROR(INDEX('Email Cleaner'!$B$2:$B$10001,MATCH(5377,'Email Cleaner'!$H$2:$H$10001,0)),"")</f>
        <v/>
      </c>
    </row>
    <row r="5379">
      <c r="A5379">
        <f>IFERROR(INDEX('Email Cleaner'!$B$2:$B$10001,MATCH(5378,'Email Cleaner'!$H$2:$H$10001,0)),"")</f>
        <v/>
      </c>
    </row>
    <row r="5380">
      <c r="A5380">
        <f>IFERROR(INDEX('Email Cleaner'!$B$2:$B$10001,MATCH(5379,'Email Cleaner'!$H$2:$H$10001,0)),"")</f>
        <v/>
      </c>
    </row>
    <row r="5381">
      <c r="A5381">
        <f>IFERROR(INDEX('Email Cleaner'!$B$2:$B$10001,MATCH(5380,'Email Cleaner'!$H$2:$H$10001,0)),"")</f>
        <v/>
      </c>
    </row>
    <row r="5382">
      <c r="A5382">
        <f>IFERROR(INDEX('Email Cleaner'!$B$2:$B$10001,MATCH(5381,'Email Cleaner'!$H$2:$H$10001,0)),"")</f>
        <v/>
      </c>
    </row>
    <row r="5383">
      <c r="A5383">
        <f>IFERROR(INDEX('Email Cleaner'!$B$2:$B$10001,MATCH(5382,'Email Cleaner'!$H$2:$H$10001,0)),"")</f>
        <v/>
      </c>
    </row>
    <row r="5384">
      <c r="A5384">
        <f>IFERROR(INDEX('Email Cleaner'!$B$2:$B$10001,MATCH(5383,'Email Cleaner'!$H$2:$H$10001,0)),"")</f>
        <v/>
      </c>
    </row>
    <row r="5385">
      <c r="A5385">
        <f>IFERROR(INDEX('Email Cleaner'!$B$2:$B$10001,MATCH(5384,'Email Cleaner'!$H$2:$H$10001,0)),"")</f>
        <v/>
      </c>
    </row>
    <row r="5386">
      <c r="A5386">
        <f>IFERROR(INDEX('Email Cleaner'!$B$2:$B$10001,MATCH(5385,'Email Cleaner'!$H$2:$H$10001,0)),"")</f>
        <v/>
      </c>
    </row>
    <row r="5387">
      <c r="A5387">
        <f>IFERROR(INDEX('Email Cleaner'!$B$2:$B$10001,MATCH(5386,'Email Cleaner'!$H$2:$H$10001,0)),"")</f>
        <v/>
      </c>
    </row>
    <row r="5388">
      <c r="A5388">
        <f>IFERROR(INDEX('Email Cleaner'!$B$2:$B$10001,MATCH(5387,'Email Cleaner'!$H$2:$H$10001,0)),"")</f>
        <v/>
      </c>
    </row>
    <row r="5389">
      <c r="A5389">
        <f>IFERROR(INDEX('Email Cleaner'!$B$2:$B$10001,MATCH(5388,'Email Cleaner'!$H$2:$H$10001,0)),"")</f>
        <v/>
      </c>
    </row>
    <row r="5390">
      <c r="A5390">
        <f>IFERROR(INDEX('Email Cleaner'!$B$2:$B$10001,MATCH(5389,'Email Cleaner'!$H$2:$H$10001,0)),"")</f>
        <v/>
      </c>
    </row>
    <row r="5391">
      <c r="A5391">
        <f>IFERROR(INDEX('Email Cleaner'!$B$2:$B$10001,MATCH(5390,'Email Cleaner'!$H$2:$H$10001,0)),"")</f>
        <v/>
      </c>
    </row>
    <row r="5392">
      <c r="A5392">
        <f>IFERROR(INDEX('Email Cleaner'!$B$2:$B$10001,MATCH(5391,'Email Cleaner'!$H$2:$H$10001,0)),"")</f>
        <v/>
      </c>
    </row>
    <row r="5393">
      <c r="A5393">
        <f>IFERROR(INDEX('Email Cleaner'!$B$2:$B$10001,MATCH(5392,'Email Cleaner'!$H$2:$H$10001,0)),"")</f>
        <v/>
      </c>
    </row>
    <row r="5394">
      <c r="A5394">
        <f>IFERROR(INDEX('Email Cleaner'!$B$2:$B$10001,MATCH(5393,'Email Cleaner'!$H$2:$H$10001,0)),"")</f>
        <v/>
      </c>
    </row>
    <row r="5395">
      <c r="A5395">
        <f>IFERROR(INDEX('Email Cleaner'!$B$2:$B$10001,MATCH(5394,'Email Cleaner'!$H$2:$H$10001,0)),"")</f>
        <v/>
      </c>
    </row>
    <row r="5396">
      <c r="A5396">
        <f>IFERROR(INDEX('Email Cleaner'!$B$2:$B$10001,MATCH(5395,'Email Cleaner'!$H$2:$H$10001,0)),"")</f>
        <v/>
      </c>
    </row>
    <row r="5397">
      <c r="A5397">
        <f>IFERROR(INDEX('Email Cleaner'!$B$2:$B$10001,MATCH(5396,'Email Cleaner'!$H$2:$H$10001,0)),"")</f>
        <v/>
      </c>
    </row>
    <row r="5398">
      <c r="A5398">
        <f>IFERROR(INDEX('Email Cleaner'!$B$2:$B$10001,MATCH(5397,'Email Cleaner'!$H$2:$H$10001,0)),"")</f>
        <v/>
      </c>
    </row>
    <row r="5399">
      <c r="A5399">
        <f>IFERROR(INDEX('Email Cleaner'!$B$2:$B$10001,MATCH(5398,'Email Cleaner'!$H$2:$H$10001,0)),"")</f>
        <v/>
      </c>
    </row>
    <row r="5400">
      <c r="A5400">
        <f>IFERROR(INDEX('Email Cleaner'!$B$2:$B$10001,MATCH(5399,'Email Cleaner'!$H$2:$H$10001,0)),"")</f>
        <v/>
      </c>
    </row>
    <row r="5401">
      <c r="A5401">
        <f>IFERROR(INDEX('Email Cleaner'!$B$2:$B$10001,MATCH(5400,'Email Cleaner'!$H$2:$H$10001,0)),"")</f>
        <v/>
      </c>
    </row>
    <row r="5402">
      <c r="A5402">
        <f>IFERROR(INDEX('Email Cleaner'!$B$2:$B$10001,MATCH(5401,'Email Cleaner'!$H$2:$H$10001,0)),"")</f>
        <v/>
      </c>
    </row>
    <row r="5403">
      <c r="A5403">
        <f>IFERROR(INDEX('Email Cleaner'!$B$2:$B$10001,MATCH(5402,'Email Cleaner'!$H$2:$H$10001,0)),"")</f>
        <v/>
      </c>
    </row>
    <row r="5404">
      <c r="A5404">
        <f>IFERROR(INDEX('Email Cleaner'!$B$2:$B$10001,MATCH(5403,'Email Cleaner'!$H$2:$H$10001,0)),"")</f>
        <v/>
      </c>
    </row>
    <row r="5405">
      <c r="A5405">
        <f>IFERROR(INDEX('Email Cleaner'!$B$2:$B$10001,MATCH(5404,'Email Cleaner'!$H$2:$H$10001,0)),"")</f>
        <v/>
      </c>
    </row>
    <row r="5406">
      <c r="A5406">
        <f>IFERROR(INDEX('Email Cleaner'!$B$2:$B$10001,MATCH(5405,'Email Cleaner'!$H$2:$H$10001,0)),"")</f>
        <v/>
      </c>
    </row>
    <row r="5407">
      <c r="A5407">
        <f>IFERROR(INDEX('Email Cleaner'!$B$2:$B$10001,MATCH(5406,'Email Cleaner'!$H$2:$H$10001,0)),"")</f>
        <v/>
      </c>
    </row>
    <row r="5408">
      <c r="A5408">
        <f>IFERROR(INDEX('Email Cleaner'!$B$2:$B$10001,MATCH(5407,'Email Cleaner'!$H$2:$H$10001,0)),"")</f>
        <v/>
      </c>
    </row>
    <row r="5409">
      <c r="A5409">
        <f>IFERROR(INDEX('Email Cleaner'!$B$2:$B$10001,MATCH(5408,'Email Cleaner'!$H$2:$H$10001,0)),"")</f>
        <v/>
      </c>
    </row>
    <row r="5410">
      <c r="A5410">
        <f>IFERROR(INDEX('Email Cleaner'!$B$2:$B$10001,MATCH(5409,'Email Cleaner'!$H$2:$H$10001,0)),"")</f>
        <v/>
      </c>
    </row>
    <row r="5411">
      <c r="A5411">
        <f>IFERROR(INDEX('Email Cleaner'!$B$2:$B$10001,MATCH(5410,'Email Cleaner'!$H$2:$H$10001,0)),"")</f>
        <v/>
      </c>
    </row>
    <row r="5412">
      <c r="A5412">
        <f>IFERROR(INDEX('Email Cleaner'!$B$2:$B$10001,MATCH(5411,'Email Cleaner'!$H$2:$H$10001,0)),"")</f>
        <v/>
      </c>
    </row>
    <row r="5413">
      <c r="A5413">
        <f>IFERROR(INDEX('Email Cleaner'!$B$2:$B$10001,MATCH(5412,'Email Cleaner'!$H$2:$H$10001,0)),"")</f>
        <v/>
      </c>
    </row>
    <row r="5414">
      <c r="A5414">
        <f>IFERROR(INDEX('Email Cleaner'!$B$2:$B$10001,MATCH(5413,'Email Cleaner'!$H$2:$H$10001,0)),"")</f>
        <v/>
      </c>
    </row>
    <row r="5415">
      <c r="A5415">
        <f>IFERROR(INDEX('Email Cleaner'!$B$2:$B$10001,MATCH(5414,'Email Cleaner'!$H$2:$H$10001,0)),"")</f>
        <v/>
      </c>
    </row>
    <row r="5416">
      <c r="A5416">
        <f>IFERROR(INDEX('Email Cleaner'!$B$2:$B$10001,MATCH(5415,'Email Cleaner'!$H$2:$H$10001,0)),"")</f>
        <v/>
      </c>
    </row>
    <row r="5417">
      <c r="A5417">
        <f>IFERROR(INDEX('Email Cleaner'!$B$2:$B$10001,MATCH(5416,'Email Cleaner'!$H$2:$H$10001,0)),"")</f>
        <v/>
      </c>
    </row>
    <row r="5418">
      <c r="A5418">
        <f>IFERROR(INDEX('Email Cleaner'!$B$2:$B$10001,MATCH(5417,'Email Cleaner'!$H$2:$H$10001,0)),"")</f>
        <v/>
      </c>
    </row>
    <row r="5419">
      <c r="A5419">
        <f>IFERROR(INDEX('Email Cleaner'!$B$2:$B$10001,MATCH(5418,'Email Cleaner'!$H$2:$H$10001,0)),"")</f>
        <v/>
      </c>
    </row>
    <row r="5420">
      <c r="A5420">
        <f>IFERROR(INDEX('Email Cleaner'!$B$2:$B$10001,MATCH(5419,'Email Cleaner'!$H$2:$H$10001,0)),"")</f>
        <v/>
      </c>
    </row>
    <row r="5421">
      <c r="A5421">
        <f>IFERROR(INDEX('Email Cleaner'!$B$2:$B$10001,MATCH(5420,'Email Cleaner'!$H$2:$H$10001,0)),"")</f>
        <v/>
      </c>
    </row>
    <row r="5422">
      <c r="A5422">
        <f>IFERROR(INDEX('Email Cleaner'!$B$2:$B$10001,MATCH(5421,'Email Cleaner'!$H$2:$H$10001,0)),"")</f>
        <v/>
      </c>
    </row>
    <row r="5423">
      <c r="A5423">
        <f>IFERROR(INDEX('Email Cleaner'!$B$2:$B$10001,MATCH(5422,'Email Cleaner'!$H$2:$H$10001,0)),"")</f>
        <v/>
      </c>
    </row>
    <row r="5424">
      <c r="A5424">
        <f>IFERROR(INDEX('Email Cleaner'!$B$2:$B$10001,MATCH(5423,'Email Cleaner'!$H$2:$H$10001,0)),"")</f>
        <v/>
      </c>
    </row>
    <row r="5425">
      <c r="A5425">
        <f>IFERROR(INDEX('Email Cleaner'!$B$2:$B$10001,MATCH(5424,'Email Cleaner'!$H$2:$H$10001,0)),"")</f>
        <v/>
      </c>
    </row>
    <row r="5426">
      <c r="A5426">
        <f>IFERROR(INDEX('Email Cleaner'!$B$2:$B$10001,MATCH(5425,'Email Cleaner'!$H$2:$H$10001,0)),"")</f>
        <v/>
      </c>
    </row>
    <row r="5427">
      <c r="A5427">
        <f>IFERROR(INDEX('Email Cleaner'!$B$2:$B$10001,MATCH(5426,'Email Cleaner'!$H$2:$H$10001,0)),"")</f>
        <v/>
      </c>
    </row>
    <row r="5428">
      <c r="A5428">
        <f>IFERROR(INDEX('Email Cleaner'!$B$2:$B$10001,MATCH(5427,'Email Cleaner'!$H$2:$H$10001,0)),"")</f>
        <v/>
      </c>
    </row>
    <row r="5429">
      <c r="A5429">
        <f>IFERROR(INDEX('Email Cleaner'!$B$2:$B$10001,MATCH(5428,'Email Cleaner'!$H$2:$H$10001,0)),"")</f>
        <v/>
      </c>
    </row>
    <row r="5430">
      <c r="A5430">
        <f>IFERROR(INDEX('Email Cleaner'!$B$2:$B$10001,MATCH(5429,'Email Cleaner'!$H$2:$H$10001,0)),"")</f>
        <v/>
      </c>
    </row>
    <row r="5431">
      <c r="A5431">
        <f>IFERROR(INDEX('Email Cleaner'!$B$2:$B$10001,MATCH(5430,'Email Cleaner'!$H$2:$H$10001,0)),"")</f>
        <v/>
      </c>
    </row>
    <row r="5432">
      <c r="A5432">
        <f>IFERROR(INDEX('Email Cleaner'!$B$2:$B$10001,MATCH(5431,'Email Cleaner'!$H$2:$H$10001,0)),"")</f>
        <v/>
      </c>
    </row>
    <row r="5433">
      <c r="A5433">
        <f>IFERROR(INDEX('Email Cleaner'!$B$2:$B$10001,MATCH(5432,'Email Cleaner'!$H$2:$H$10001,0)),"")</f>
        <v/>
      </c>
    </row>
    <row r="5434">
      <c r="A5434">
        <f>IFERROR(INDEX('Email Cleaner'!$B$2:$B$10001,MATCH(5433,'Email Cleaner'!$H$2:$H$10001,0)),"")</f>
        <v/>
      </c>
    </row>
    <row r="5435">
      <c r="A5435">
        <f>IFERROR(INDEX('Email Cleaner'!$B$2:$B$10001,MATCH(5434,'Email Cleaner'!$H$2:$H$10001,0)),"")</f>
        <v/>
      </c>
    </row>
    <row r="5436">
      <c r="A5436">
        <f>IFERROR(INDEX('Email Cleaner'!$B$2:$B$10001,MATCH(5435,'Email Cleaner'!$H$2:$H$10001,0)),"")</f>
        <v/>
      </c>
    </row>
    <row r="5437">
      <c r="A5437">
        <f>IFERROR(INDEX('Email Cleaner'!$B$2:$B$10001,MATCH(5436,'Email Cleaner'!$H$2:$H$10001,0)),"")</f>
        <v/>
      </c>
    </row>
    <row r="5438">
      <c r="A5438">
        <f>IFERROR(INDEX('Email Cleaner'!$B$2:$B$10001,MATCH(5437,'Email Cleaner'!$H$2:$H$10001,0)),"")</f>
        <v/>
      </c>
    </row>
    <row r="5439">
      <c r="A5439">
        <f>IFERROR(INDEX('Email Cleaner'!$B$2:$B$10001,MATCH(5438,'Email Cleaner'!$H$2:$H$10001,0)),"")</f>
        <v/>
      </c>
    </row>
    <row r="5440">
      <c r="A5440">
        <f>IFERROR(INDEX('Email Cleaner'!$B$2:$B$10001,MATCH(5439,'Email Cleaner'!$H$2:$H$10001,0)),"")</f>
        <v/>
      </c>
    </row>
    <row r="5441">
      <c r="A5441">
        <f>IFERROR(INDEX('Email Cleaner'!$B$2:$B$10001,MATCH(5440,'Email Cleaner'!$H$2:$H$10001,0)),"")</f>
        <v/>
      </c>
    </row>
    <row r="5442">
      <c r="A5442">
        <f>IFERROR(INDEX('Email Cleaner'!$B$2:$B$10001,MATCH(5441,'Email Cleaner'!$H$2:$H$10001,0)),"")</f>
        <v/>
      </c>
    </row>
    <row r="5443">
      <c r="A5443">
        <f>IFERROR(INDEX('Email Cleaner'!$B$2:$B$10001,MATCH(5442,'Email Cleaner'!$H$2:$H$10001,0)),"")</f>
        <v/>
      </c>
    </row>
    <row r="5444">
      <c r="A5444">
        <f>IFERROR(INDEX('Email Cleaner'!$B$2:$B$10001,MATCH(5443,'Email Cleaner'!$H$2:$H$10001,0)),"")</f>
        <v/>
      </c>
    </row>
    <row r="5445">
      <c r="A5445">
        <f>IFERROR(INDEX('Email Cleaner'!$B$2:$B$10001,MATCH(5444,'Email Cleaner'!$H$2:$H$10001,0)),"")</f>
        <v/>
      </c>
    </row>
    <row r="5446">
      <c r="A5446">
        <f>IFERROR(INDEX('Email Cleaner'!$B$2:$B$10001,MATCH(5445,'Email Cleaner'!$H$2:$H$10001,0)),"")</f>
        <v/>
      </c>
    </row>
    <row r="5447">
      <c r="A5447">
        <f>IFERROR(INDEX('Email Cleaner'!$B$2:$B$10001,MATCH(5446,'Email Cleaner'!$H$2:$H$10001,0)),"")</f>
        <v/>
      </c>
    </row>
    <row r="5448">
      <c r="A5448">
        <f>IFERROR(INDEX('Email Cleaner'!$B$2:$B$10001,MATCH(5447,'Email Cleaner'!$H$2:$H$10001,0)),"")</f>
        <v/>
      </c>
    </row>
    <row r="5449">
      <c r="A5449">
        <f>IFERROR(INDEX('Email Cleaner'!$B$2:$B$10001,MATCH(5448,'Email Cleaner'!$H$2:$H$10001,0)),"")</f>
        <v/>
      </c>
    </row>
    <row r="5450">
      <c r="A5450">
        <f>IFERROR(INDEX('Email Cleaner'!$B$2:$B$10001,MATCH(5449,'Email Cleaner'!$H$2:$H$10001,0)),"")</f>
        <v/>
      </c>
    </row>
    <row r="5451">
      <c r="A5451">
        <f>IFERROR(INDEX('Email Cleaner'!$B$2:$B$10001,MATCH(5450,'Email Cleaner'!$H$2:$H$10001,0)),"")</f>
        <v/>
      </c>
    </row>
    <row r="5452">
      <c r="A5452">
        <f>IFERROR(INDEX('Email Cleaner'!$B$2:$B$10001,MATCH(5451,'Email Cleaner'!$H$2:$H$10001,0)),"")</f>
        <v/>
      </c>
    </row>
    <row r="5453">
      <c r="A5453">
        <f>IFERROR(INDEX('Email Cleaner'!$B$2:$B$10001,MATCH(5452,'Email Cleaner'!$H$2:$H$10001,0)),"")</f>
        <v/>
      </c>
    </row>
    <row r="5454">
      <c r="A5454">
        <f>IFERROR(INDEX('Email Cleaner'!$B$2:$B$10001,MATCH(5453,'Email Cleaner'!$H$2:$H$10001,0)),"")</f>
        <v/>
      </c>
    </row>
    <row r="5455">
      <c r="A5455">
        <f>IFERROR(INDEX('Email Cleaner'!$B$2:$B$10001,MATCH(5454,'Email Cleaner'!$H$2:$H$10001,0)),"")</f>
        <v/>
      </c>
    </row>
    <row r="5456">
      <c r="A5456">
        <f>IFERROR(INDEX('Email Cleaner'!$B$2:$B$10001,MATCH(5455,'Email Cleaner'!$H$2:$H$10001,0)),"")</f>
        <v/>
      </c>
    </row>
    <row r="5457">
      <c r="A5457">
        <f>IFERROR(INDEX('Email Cleaner'!$B$2:$B$10001,MATCH(5456,'Email Cleaner'!$H$2:$H$10001,0)),"")</f>
        <v/>
      </c>
    </row>
    <row r="5458">
      <c r="A5458">
        <f>IFERROR(INDEX('Email Cleaner'!$B$2:$B$10001,MATCH(5457,'Email Cleaner'!$H$2:$H$10001,0)),"")</f>
        <v/>
      </c>
    </row>
    <row r="5459">
      <c r="A5459">
        <f>IFERROR(INDEX('Email Cleaner'!$B$2:$B$10001,MATCH(5458,'Email Cleaner'!$H$2:$H$10001,0)),"")</f>
        <v/>
      </c>
    </row>
    <row r="5460">
      <c r="A5460">
        <f>IFERROR(INDEX('Email Cleaner'!$B$2:$B$10001,MATCH(5459,'Email Cleaner'!$H$2:$H$10001,0)),"")</f>
        <v/>
      </c>
    </row>
    <row r="5461">
      <c r="A5461">
        <f>IFERROR(INDEX('Email Cleaner'!$B$2:$B$10001,MATCH(5460,'Email Cleaner'!$H$2:$H$10001,0)),"")</f>
        <v/>
      </c>
    </row>
    <row r="5462">
      <c r="A5462">
        <f>IFERROR(INDEX('Email Cleaner'!$B$2:$B$10001,MATCH(5461,'Email Cleaner'!$H$2:$H$10001,0)),"")</f>
        <v/>
      </c>
    </row>
    <row r="5463">
      <c r="A5463">
        <f>IFERROR(INDEX('Email Cleaner'!$B$2:$B$10001,MATCH(5462,'Email Cleaner'!$H$2:$H$10001,0)),"")</f>
        <v/>
      </c>
    </row>
    <row r="5464">
      <c r="A5464">
        <f>IFERROR(INDEX('Email Cleaner'!$B$2:$B$10001,MATCH(5463,'Email Cleaner'!$H$2:$H$10001,0)),"")</f>
        <v/>
      </c>
    </row>
    <row r="5465">
      <c r="A5465">
        <f>IFERROR(INDEX('Email Cleaner'!$B$2:$B$10001,MATCH(5464,'Email Cleaner'!$H$2:$H$10001,0)),"")</f>
        <v/>
      </c>
    </row>
    <row r="5466">
      <c r="A5466">
        <f>IFERROR(INDEX('Email Cleaner'!$B$2:$B$10001,MATCH(5465,'Email Cleaner'!$H$2:$H$10001,0)),"")</f>
        <v/>
      </c>
    </row>
    <row r="5467">
      <c r="A5467">
        <f>IFERROR(INDEX('Email Cleaner'!$B$2:$B$10001,MATCH(5466,'Email Cleaner'!$H$2:$H$10001,0)),"")</f>
        <v/>
      </c>
    </row>
    <row r="5468">
      <c r="A5468">
        <f>IFERROR(INDEX('Email Cleaner'!$B$2:$B$10001,MATCH(5467,'Email Cleaner'!$H$2:$H$10001,0)),"")</f>
        <v/>
      </c>
    </row>
    <row r="5469">
      <c r="A5469">
        <f>IFERROR(INDEX('Email Cleaner'!$B$2:$B$10001,MATCH(5468,'Email Cleaner'!$H$2:$H$10001,0)),"")</f>
        <v/>
      </c>
    </row>
    <row r="5470">
      <c r="A5470">
        <f>IFERROR(INDEX('Email Cleaner'!$B$2:$B$10001,MATCH(5469,'Email Cleaner'!$H$2:$H$10001,0)),"")</f>
        <v/>
      </c>
    </row>
    <row r="5471">
      <c r="A5471">
        <f>IFERROR(INDEX('Email Cleaner'!$B$2:$B$10001,MATCH(5470,'Email Cleaner'!$H$2:$H$10001,0)),"")</f>
        <v/>
      </c>
    </row>
    <row r="5472">
      <c r="A5472">
        <f>IFERROR(INDEX('Email Cleaner'!$B$2:$B$10001,MATCH(5471,'Email Cleaner'!$H$2:$H$10001,0)),"")</f>
        <v/>
      </c>
    </row>
    <row r="5473">
      <c r="A5473">
        <f>IFERROR(INDEX('Email Cleaner'!$B$2:$B$10001,MATCH(5472,'Email Cleaner'!$H$2:$H$10001,0)),"")</f>
        <v/>
      </c>
    </row>
    <row r="5474">
      <c r="A5474">
        <f>IFERROR(INDEX('Email Cleaner'!$B$2:$B$10001,MATCH(5473,'Email Cleaner'!$H$2:$H$10001,0)),"")</f>
        <v/>
      </c>
    </row>
    <row r="5475">
      <c r="A5475">
        <f>IFERROR(INDEX('Email Cleaner'!$B$2:$B$10001,MATCH(5474,'Email Cleaner'!$H$2:$H$10001,0)),"")</f>
        <v/>
      </c>
    </row>
    <row r="5476">
      <c r="A5476">
        <f>IFERROR(INDEX('Email Cleaner'!$B$2:$B$10001,MATCH(5475,'Email Cleaner'!$H$2:$H$10001,0)),"")</f>
        <v/>
      </c>
    </row>
    <row r="5477">
      <c r="A5477">
        <f>IFERROR(INDEX('Email Cleaner'!$B$2:$B$10001,MATCH(5476,'Email Cleaner'!$H$2:$H$10001,0)),"")</f>
        <v/>
      </c>
    </row>
    <row r="5478">
      <c r="A5478">
        <f>IFERROR(INDEX('Email Cleaner'!$B$2:$B$10001,MATCH(5477,'Email Cleaner'!$H$2:$H$10001,0)),"")</f>
        <v/>
      </c>
    </row>
    <row r="5479">
      <c r="A5479">
        <f>IFERROR(INDEX('Email Cleaner'!$B$2:$B$10001,MATCH(5478,'Email Cleaner'!$H$2:$H$10001,0)),"")</f>
        <v/>
      </c>
    </row>
    <row r="5480">
      <c r="A5480">
        <f>IFERROR(INDEX('Email Cleaner'!$B$2:$B$10001,MATCH(5479,'Email Cleaner'!$H$2:$H$10001,0)),"")</f>
        <v/>
      </c>
    </row>
    <row r="5481">
      <c r="A5481">
        <f>IFERROR(INDEX('Email Cleaner'!$B$2:$B$10001,MATCH(5480,'Email Cleaner'!$H$2:$H$10001,0)),"")</f>
        <v/>
      </c>
    </row>
    <row r="5482">
      <c r="A5482">
        <f>IFERROR(INDEX('Email Cleaner'!$B$2:$B$10001,MATCH(5481,'Email Cleaner'!$H$2:$H$10001,0)),"")</f>
        <v/>
      </c>
    </row>
    <row r="5483">
      <c r="A5483">
        <f>IFERROR(INDEX('Email Cleaner'!$B$2:$B$10001,MATCH(5482,'Email Cleaner'!$H$2:$H$10001,0)),"")</f>
        <v/>
      </c>
    </row>
    <row r="5484">
      <c r="A5484">
        <f>IFERROR(INDEX('Email Cleaner'!$B$2:$B$10001,MATCH(5483,'Email Cleaner'!$H$2:$H$10001,0)),"")</f>
        <v/>
      </c>
    </row>
    <row r="5485">
      <c r="A5485">
        <f>IFERROR(INDEX('Email Cleaner'!$B$2:$B$10001,MATCH(5484,'Email Cleaner'!$H$2:$H$10001,0)),"")</f>
        <v/>
      </c>
    </row>
    <row r="5486">
      <c r="A5486">
        <f>IFERROR(INDEX('Email Cleaner'!$B$2:$B$10001,MATCH(5485,'Email Cleaner'!$H$2:$H$10001,0)),"")</f>
        <v/>
      </c>
    </row>
    <row r="5487">
      <c r="A5487">
        <f>IFERROR(INDEX('Email Cleaner'!$B$2:$B$10001,MATCH(5486,'Email Cleaner'!$H$2:$H$10001,0)),"")</f>
        <v/>
      </c>
    </row>
    <row r="5488">
      <c r="A5488">
        <f>IFERROR(INDEX('Email Cleaner'!$B$2:$B$10001,MATCH(5487,'Email Cleaner'!$H$2:$H$10001,0)),"")</f>
        <v/>
      </c>
    </row>
    <row r="5489">
      <c r="A5489">
        <f>IFERROR(INDEX('Email Cleaner'!$B$2:$B$10001,MATCH(5488,'Email Cleaner'!$H$2:$H$10001,0)),"")</f>
        <v/>
      </c>
    </row>
    <row r="5490">
      <c r="A5490">
        <f>IFERROR(INDEX('Email Cleaner'!$B$2:$B$10001,MATCH(5489,'Email Cleaner'!$H$2:$H$10001,0)),"")</f>
        <v/>
      </c>
    </row>
    <row r="5491">
      <c r="A5491">
        <f>IFERROR(INDEX('Email Cleaner'!$B$2:$B$10001,MATCH(5490,'Email Cleaner'!$H$2:$H$10001,0)),"")</f>
        <v/>
      </c>
    </row>
    <row r="5492">
      <c r="A5492">
        <f>IFERROR(INDEX('Email Cleaner'!$B$2:$B$10001,MATCH(5491,'Email Cleaner'!$H$2:$H$10001,0)),"")</f>
        <v/>
      </c>
    </row>
    <row r="5493">
      <c r="A5493">
        <f>IFERROR(INDEX('Email Cleaner'!$B$2:$B$10001,MATCH(5492,'Email Cleaner'!$H$2:$H$10001,0)),"")</f>
        <v/>
      </c>
    </row>
    <row r="5494">
      <c r="A5494">
        <f>IFERROR(INDEX('Email Cleaner'!$B$2:$B$10001,MATCH(5493,'Email Cleaner'!$H$2:$H$10001,0)),"")</f>
        <v/>
      </c>
    </row>
    <row r="5495">
      <c r="A5495">
        <f>IFERROR(INDEX('Email Cleaner'!$B$2:$B$10001,MATCH(5494,'Email Cleaner'!$H$2:$H$10001,0)),"")</f>
        <v/>
      </c>
    </row>
    <row r="5496">
      <c r="A5496">
        <f>IFERROR(INDEX('Email Cleaner'!$B$2:$B$10001,MATCH(5495,'Email Cleaner'!$H$2:$H$10001,0)),"")</f>
        <v/>
      </c>
    </row>
    <row r="5497">
      <c r="A5497">
        <f>IFERROR(INDEX('Email Cleaner'!$B$2:$B$10001,MATCH(5496,'Email Cleaner'!$H$2:$H$10001,0)),"")</f>
        <v/>
      </c>
    </row>
    <row r="5498">
      <c r="A5498">
        <f>IFERROR(INDEX('Email Cleaner'!$B$2:$B$10001,MATCH(5497,'Email Cleaner'!$H$2:$H$10001,0)),"")</f>
        <v/>
      </c>
    </row>
    <row r="5499">
      <c r="A5499">
        <f>IFERROR(INDEX('Email Cleaner'!$B$2:$B$10001,MATCH(5498,'Email Cleaner'!$H$2:$H$10001,0)),"")</f>
        <v/>
      </c>
    </row>
    <row r="5500">
      <c r="A5500">
        <f>IFERROR(INDEX('Email Cleaner'!$B$2:$B$10001,MATCH(5499,'Email Cleaner'!$H$2:$H$10001,0)),"")</f>
        <v/>
      </c>
    </row>
    <row r="5501">
      <c r="A5501">
        <f>IFERROR(INDEX('Email Cleaner'!$B$2:$B$10001,MATCH(5500,'Email Cleaner'!$H$2:$H$10001,0)),"")</f>
        <v/>
      </c>
    </row>
    <row r="5502">
      <c r="A5502">
        <f>IFERROR(INDEX('Email Cleaner'!$B$2:$B$10001,MATCH(5501,'Email Cleaner'!$H$2:$H$10001,0)),"")</f>
        <v/>
      </c>
    </row>
    <row r="5503">
      <c r="A5503">
        <f>IFERROR(INDEX('Email Cleaner'!$B$2:$B$10001,MATCH(5502,'Email Cleaner'!$H$2:$H$10001,0)),"")</f>
        <v/>
      </c>
    </row>
    <row r="5504">
      <c r="A5504">
        <f>IFERROR(INDEX('Email Cleaner'!$B$2:$B$10001,MATCH(5503,'Email Cleaner'!$H$2:$H$10001,0)),"")</f>
        <v/>
      </c>
    </row>
    <row r="5505">
      <c r="A5505">
        <f>IFERROR(INDEX('Email Cleaner'!$B$2:$B$10001,MATCH(5504,'Email Cleaner'!$H$2:$H$10001,0)),"")</f>
        <v/>
      </c>
    </row>
    <row r="5506">
      <c r="A5506">
        <f>IFERROR(INDEX('Email Cleaner'!$B$2:$B$10001,MATCH(5505,'Email Cleaner'!$H$2:$H$10001,0)),"")</f>
        <v/>
      </c>
    </row>
    <row r="5507">
      <c r="A5507">
        <f>IFERROR(INDEX('Email Cleaner'!$B$2:$B$10001,MATCH(5506,'Email Cleaner'!$H$2:$H$10001,0)),"")</f>
        <v/>
      </c>
    </row>
    <row r="5508">
      <c r="A5508">
        <f>IFERROR(INDEX('Email Cleaner'!$B$2:$B$10001,MATCH(5507,'Email Cleaner'!$H$2:$H$10001,0)),"")</f>
        <v/>
      </c>
    </row>
    <row r="5509">
      <c r="A5509">
        <f>IFERROR(INDEX('Email Cleaner'!$B$2:$B$10001,MATCH(5508,'Email Cleaner'!$H$2:$H$10001,0)),"")</f>
        <v/>
      </c>
    </row>
    <row r="5510">
      <c r="A5510">
        <f>IFERROR(INDEX('Email Cleaner'!$B$2:$B$10001,MATCH(5509,'Email Cleaner'!$H$2:$H$10001,0)),"")</f>
        <v/>
      </c>
    </row>
    <row r="5511">
      <c r="A5511">
        <f>IFERROR(INDEX('Email Cleaner'!$B$2:$B$10001,MATCH(5510,'Email Cleaner'!$H$2:$H$10001,0)),"")</f>
        <v/>
      </c>
    </row>
    <row r="5512">
      <c r="A5512">
        <f>IFERROR(INDEX('Email Cleaner'!$B$2:$B$10001,MATCH(5511,'Email Cleaner'!$H$2:$H$10001,0)),"")</f>
        <v/>
      </c>
    </row>
    <row r="5513">
      <c r="A5513">
        <f>IFERROR(INDEX('Email Cleaner'!$B$2:$B$10001,MATCH(5512,'Email Cleaner'!$H$2:$H$10001,0)),"")</f>
        <v/>
      </c>
    </row>
    <row r="5514">
      <c r="A5514">
        <f>IFERROR(INDEX('Email Cleaner'!$B$2:$B$10001,MATCH(5513,'Email Cleaner'!$H$2:$H$10001,0)),"")</f>
        <v/>
      </c>
    </row>
    <row r="5515">
      <c r="A5515">
        <f>IFERROR(INDEX('Email Cleaner'!$B$2:$B$10001,MATCH(5514,'Email Cleaner'!$H$2:$H$10001,0)),"")</f>
        <v/>
      </c>
    </row>
    <row r="5516">
      <c r="A5516">
        <f>IFERROR(INDEX('Email Cleaner'!$B$2:$B$10001,MATCH(5515,'Email Cleaner'!$H$2:$H$10001,0)),"")</f>
        <v/>
      </c>
    </row>
    <row r="5517">
      <c r="A5517">
        <f>IFERROR(INDEX('Email Cleaner'!$B$2:$B$10001,MATCH(5516,'Email Cleaner'!$H$2:$H$10001,0)),"")</f>
        <v/>
      </c>
    </row>
    <row r="5518">
      <c r="A5518">
        <f>IFERROR(INDEX('Email Cleaner'!$B$2:$B$10001,MATCH(5517,'Email Cleaner'!$H$2:$H$10001,0)),"")</f>
        <v/>
      </c>
    </row>
    <row r="5519">
      <c r="A5519">
        <f>IFERROR(INDEX('Email Cleaner'!$B$2:$B$10001,MATCH(5518,'Email Cleaner'!$H$2:$H$10001,0)),"")</f>
        <v/>
      </c>
    </row>
    <row r="5520">
      <c r="A5520">
        <f>IFERROR(INDEX('Email Cleaner'!$B$2:$B$10001,MATCH(5519,'Email Cleaner'!$H$2:$H$10001,0)),"")</f>
        <v/>
      </c>
    </row>
    <row r="5521">
      <c r="A5521">
        <f>IFERROR(INDEX('Email Cleaner'!$B$2:$B$10001,MATCH(5520,'Email Cleaner'!$H$2:$H$10001,0)),"")</f>
        <v/>
      </c>
    </row>
    <row r="5522">
      <c r="A5522">
        <f>IFERROR(INDEX('Email Cleaner'!$B$2:$B$10001,MATCH(5521,'Email Cleaner'!$H$2:$H$10001,0)),"")</f>
        <v/>
      </c>
    </row>
    <row r="5523">
      <c r="A5523">
        <f>IFERROR(INDEX('Email Cleaner'!$B$2:$B$10001,MATCH(5522,'Email Cleaner'!$H$2:$H$10001,0)),"")</f>
        <v/>
      </c>
    </row>
    <row r="5524">
      <c r="A5524">
        <f>IFERROR(INDEX('Email Cleaner'!$B$2:$B$10001,MATCH(5523,'Email Cleaner'!$H$2:$H$10001,0)),"")</f>
        <v/>
      </c>
    </row>
    <row r="5525">
      <c r="A5525">
        <f>IFERROR(INDEX('Email Cleaner'!$B$2:$B$10001,MATCH(5524,'Email Cleaner'!$H$2:$H$10001,0)),"")</f>
        <v/>
      </c>
    </row>
    <row r="5526">
      <c r="A5526">
        <f>IFERROR(INDEX('Email Cleaner'!$B$2:$B$10001,MATCH(5525,'Email Cleaner'!$H$2:$H$10001,0)),"")</f>
        <v/>
      </c>
    </row>
    <row r="5527">
      <c r="A5527">
        <f>IFERROR(INDEX('Email Cleaner'!$B$2:$B$10001,MATCH(5526,'Email Cleaner'!$H$2:$H$10001,0)),"")</f>
        <v/>
      </c>
    </row>
    <row r="5528">
      <c r="A5528">
        <f>IFERROR(INDEX('Email Cleaner'!$B$2:$B$10001,MATCH(5527,'Email Cleaner'!$H$2:$H$10001,0)),"")</f>
        <v/>
      </c>
    </row>
    <row r="5529">
      <c r="A5529">
        <f>IFERROR(INDEX('Email Cleaner'!$B$2:$B$10001,MATCH(5528,'Email Cleaner'!$H$2:$H$10001,0)),"")</f>
        <v/>
      </c>
    </row>
    <row r="5530">
      <c r="A5530">
        <f>IFERROR(INDEX('Email Cleaner'!$B$2:$B$10001,MATCH(5529,'Email Cleaner'!$H$2:$H$10001,0)),"")</f>
        <v/>
      </c>
    </row>
    <row r="5531">
      <c r="A5531">
        <f>IFERROR(INDEX('Email Cleaner'!$B$2:$B$10001,MATCH(5530,'Email Cleaner'!$H$2:$H$10001,0)),"")</f>
        <v/>
      </c>
    </row>
    <row r="5532">
      <c r="A5532">
        <f>IFERROR(INDEX('Email Cleaner'!$B$2:$B$10001,MATCH(5531,'Email Cleaner'!$H$2:$H$10001,0)),"")</f>
        <v/>
      </c>
    </row>
    <row r="5533">
      <c r="A5533">
        <f>IFERROR(INDEX('Email Cleaner'!$B$2:$B$10001,MATCH(5532,'Email Cleaner'!$H$2:$H$10001,0)),"")</f>
        <v/>
      </c>
    </row>
    <row r="5534">
      <c r="A5534">
        <f>IFERROR(INDEX('Email Cleaner'!$B$2:$B$10001,MATCH(5533,'Email Cleaner'!$H$2:$H$10001,0)),"")</f>
        <v/>
      </c>
    </row>
    <row r="5535">
      <c r="A5535">
        <f>IFERROR(INDEX('Email Cleaner'!$B$2:$B$10001,MATCH(5534,'Email Cleaner'!$H$2:$H$10001,0)),"")</f>
        <v/>
      </c>
    </row>
    <row r="5536">
      <c r="A5536">
        <f>IFERROR(INDEX('Email Cleaner'!$B$2:$B$10001,MATCH(5535,'Email Cleaner'!$H$2:$H$10001,0)),"")</f>
        <v/>
      </c>
    </row>
    <row r="5537">
      <c r="A5537">
        <f>IFERROR(INDEX('Email Cleaner'!$B$2:$B$10001,MATCH(5536,'Email Cleaner'!$H$2:$H$10001,0)),"")</f>
        <v/>
      </c>
    </row>
    <row r="5538">
      <c r="A5538">
        <f>IFERROR(INDEX('Email Cleaner'!$B$2:$B$10001,MATCH(5537,'Email Cleaner'!$H$2:$H$10001,0)),"")</f>
        <v/>
      </c>
    </row>
    <row r="5539">
      <c r="A5539">
        <f>IFERROR(INDEX('Email Cleaner'!$B$2:$B$10001,MATCH(5538,'Email Cleaner'!$H$2:$H$10001,0)),"")</f>
        <v/>
      </c>
    </row>
    <row r="5540">
      <c r="A5540">
        <f>IFERROR(INDEX('Email Cleaner'!$B$2:$B$10001,MATCH(5539,'Email Cleaner'!$H$2:$H$10001,0)),"")</f>
        <v/>
      </c>
    </row>
    <row r="5541">
      <c r="A5541">
        <f>IFERROR(INDEX('Email Cleaner'!$B$2:$B$10001,MATCH(5540,'Email Cleaner'!$H$2:$H$10001,0)),"")</f>
        <v/>
      </c>
    </row>
    <row r="5542">
      <c r="A5542">
        <f>IFERROR(INDEX('Email Cleaner'!$B$2:$B$10001,MATCH(5541,'Email Cleaner'!$H$2:$H$10001,0)),"")</f>
        <v/>
      </c>
    </row>
    <row r="5543">
      <c r="A5543">
        <f>IFERROR(INDEX('Email Cleaner'!$B$2:$B$10001,MATCH(5542,'Email Cleaner'!$H$2:$H$10001,0)),"")</f>
        <v/>
      </c>
    </row>
    <row r="5544">
      <c r="A5544">
        <f>IFERROR(INDEX('Email Cleaner'!$B$2:$B$10001,MATCH(5543,'Email Cleaner'!$H$2:$H$10001,0)),"")</f>
        <v/>
      </c>
    </row>
    <row r="5545">
      <c r="A5545">
        <f>IFERROR(INDEX('Email Cleaner'!$B$2:$B$10001,MATCH(5544,'Email Cleaner'!$H$2:$H$10001,0)),"")</f>
        <v/>
      </c>
    </row>
    <row r="5546">
      <c r="A5546">
        <f>IFERROR(INDEX('Email Cleaner'!$B$2:$B$10001,MATCH(5545,'Email Cleaner'!$H$2:$H$10001,0)),"")</f>
        <v/>
      </c>
    </row>
    <row r="5547">
      <c r="A5547">
        <f>IFERROR(INDEX('Email Cleaner'!$B$2:$B$10001,MATCH(5546,'Email Cleaner'!$H$2:$H$10001,0)),"")</f>
        <v/>
      </c>
    </row>
    <row r="5548">
      <c r="A5548">
        <f>IFERROR(INDEX('Email Cleaner'!$B$2:$B$10001,MATCH(5547,'Email Cleaner'!$H$2:$H$10001,0)),"")</f>
        <v/>
      </c>
    </row>
    <row r="5549">
      <c r="A5549">
        <f>IFERROR(INDEX('Email Cleaner'!$B$2:$B$10001,MATCH(5548,'Email Cleaner'!$H$2:$H$10001,0)),"")</f>
        <v/>
      </c>
    </row>
    <row r="5550">
      <c r="A5550">
        <f>IFERROR(INDEX('Email Cleaner'!$B$2:$B$10001,MATCH(5549,'Email Cleaner'!$H$2:$H$10001,0)),"")</f>
        <v/>
      </c>
    </row>
    <row r="5551">
      <c r="A5551">
        <f>IFERROR(INDEX('Email Cleaner'!$B$2:$B$10001,MATCH(5550,'Email Cleaner'!$H$2:$H$10001,0)),"")</f>
        <v/>
      </c>
    </row>
    <row r="5552">
      <c r="A5552">
        <f>IFERROR(INDEX('Email Cleaner'!$B$2:$B$10001,MATCH(5551,'Email Cleaner'!$H$2:$H$10001,0)),"")</f>
        <v/>
      </c>
    </row>
    <row r="5553">
      <c r="A5553">
        <f>IFERROR(INDEX('Email Cleaner'!$B$2:$B$10001,MATCH(5552,'Email Cleaner'!$H$2:$H$10001,0)),"")</f>
        <v/>
      </c>
    </row>
    <row r="5554">
      <c r="A5554">
        <f>IFERROR(INDEX('Email Cleaner'!$B$2:$B$10001,MATCH(5553,'Email Cleaner'!$H$2:$H$10001,0)),"")</f>
        <v/>
      </c>
    </row>
    <row r="5555">
      <c r="A5555">
        <f>IFERROR(INDEX('Email Cleaner'!$B$2:$B$10001,MATCH(5554,'Email Cleaner'!$H$2:$H$10001,0)),"")</f>
        <v/>
      </c>
    </row>
    <row r="5556">
      <c r="A5556">
        <f>IFERROR(INDEX('Email Cleaner'!$B$2:$B$10001,MATCH(5555,'Email Cleaner'!$H$2:$H$10001,0)),"")</f>
        <v/>
      </c>
    </row>
    <row r="5557">
      <c r="A5557">
        <f>IFERROR(INDEX('Email Cleaner'!$B$2:$B$10001,MATCH(5556,'Email Cleaner'!$H$2:$H$10001,0)),"")</f>
        <v/>
      </c>
    </row>
    <row r="5558">
      <c r="A5558">
        <f>IFERROR(INDEX('Email Cleaner'!$B$2:$B$10001,MATCH(5557,'Email Cleaner'!$H$2:$H$10001,0)),"")</f>
        <v/>
      </c>
    </row>
    <row r="5559">
      <c r="A5559">
        <f>IFERROR(INDEX('Email Cleaner'!$B$2:$B$10001,MATCH(5558,'Email Cleaner'!$H$2:$H$10001,0)),"")</f>
        <v/>
      </c>
    </row>
    <row r="5560">
      <c r="A5560">
        <f>IFERROR(INDEX('Email Cleaner'!$B$2:$B$10001,MATCH(5559,'Email Cleaner'!$H$2:$H$10001,0)),"")</f>
        <v/>
      </c>
    </row>
    <row r="5561">
      <c r="A5561">
        <f>IFERROR(INDEX('Email Cleaner'!$B$2:$B$10001,MATCH(5560,'Email Cleaner'!$H$2:$H$10001,0)),"")</f>
        <v/>
      </c>
    </row>
    <row r="5562">
      <c r="A5562">
        <f>IFERROR(INDEX('Email Cleaner'!$B$2:$B$10001,MATCH(5561,'Email Cleaner'!$H$2:$H$10001,0)),"")</f>
        <v/>
      </c>
    </row>
    <row r="5563">
      <c r="A5563">
        <f>IFERROR(INDEX('Email Cleaner'!$B$2:$B$10001,MATCH(5562,'Email Cleaner'!$H$2:$H$10001,0)),"")</f>
        <v/>
      </c>
    </row>
    <row r="5564">
      <c r="A5564">
        <f>IFERROR(INDEX('Email Cleaner'!$B$2:$B$10001,MATCH(5563,'Email Cleaner'!$H$2:$H$10001,0)),"")</f>
        <v/>
      </c>
    </row>
    <row r="5565">
      <c r="A5565">
        <f>IFERROR(INDEX('Email Cleaner'!$B$2:$B$10001,MATCH(5564,'Email Cleaner'!$H$2:$H$10001,0)),"")</f>
        <v/>
      </c>
    </row>
    <row r="5566">
      <c r="A5566">
        <f>IFERROR(INDEX('Email Cleaner'!$B$2:$B$10001,MATCH(5565,'Email Cleaner'!$H$2:$H$10001,0)),"")</f>
        <v/>
      </c>
    </row>
    <row r="5567">
      <c r="A5567">
        <f>IFERROR(INDEX('Email Cleaner'!$B$2:$B$10001,MATCH(5566,'Email Cleaner'!$H$2:$H$10001,0)),"")</f>
        <v/>
      </c>
    </row>
    <row r="5568">
      <c r="A5568">
        <f>IFERROR(INDEX('Email Cleaner'!$B$2:$B$10001,MATCH(5567,'Email Cleaner'!$H$2:$H$10001,0)),"")</f>
        <v/>
      </c>
    </row>
    <row r="5569">
      <c r="A5569">
        <f>IFERROR(INDEX('Email Cleaner'!$B$2:$B$10001,MATCH(5568,'Email Cleaner'!$H$2:$H$10001,0)),"")</f>
        <v/>
      </c>
    </row>
    <row r="5570">
      <c r="A5570">
        <f>IFERROR(INDEX('Email Cleaner'!$B$2:$B$10001,MATCH(5569,'Email Cleaner'!$H$2:$H$10001,0)),"")</f>
        <v/>
      </c>
    </row>
    <row r="5571">
      <c r="A5571">
        <f>IFERROR(INDEX('Email Cleaner'!$B$2:$B$10001,MATCH(5570,'Email Cleaner'!$H$2:$H$10001,0)),"")</f>
        <v/>
      </c>
    </row>
    <row r="5572">
      <c r="A5572">
        <f>IFERROR(INDEX('Email Cleaner'!$B$2:$B$10001,MATCH(5571,'Email Cleaner'!$H$2:$H$10001,0)),"")</f>
        <v/>
      </c>
    </row>
    <row r="5573">
      <c r="A5573">
        <f>IFERROR(INDEX('Email Cleaner'!$B$2:$B$10001,MATCH(5572,'Email Cleaner'!$H$2:$H$10001,0)),"")</f>
        <v/>
      </c>
    </row>
    <row r="5574">
      <c r="A5574">
        <f>IFERROR(INDEX('Email Cleaner'!$B$2:$B$10001,MATCH(5573,'Email Cleaner'!$H$2:$H$10001,0)),"")</f>
        <v/>
      </c>
    </row>
    <row r="5575">
      <c r="A5575">
        <f>IFERROR(INDEX('Email Cleaner'!$B$2:$B$10001,MATCH(5574,'Email Cleaner'!$H$2:$H$10001,0)),"")</f>
        <v/>
      </c>
    </row>
    <row r="5576">
      <c r="A5576">
        <f>IFERROR(INDEX('Email Cleaner'!$B$2:$B$10001,MATCH(5575,'Email Cleaner'!$H$2:$H$10001,0)),"")</f>
        <v/>
      </c>
    </row>
    <row r="5577">
      <c r="A5577">
        <f>IFERROR(INDEX('Email Cleaner'!$B$2:$B$10001,MATCH(5576,'Email Cleaner'!$H$2:$H$10001,0)),"")</f>
        <v/>
      </c>
    </row>
    <row r="5578">
      <c r="A5578">
        <f>IFERROR(INDEX('Email Cleaner'!$B$2:$B$10001,MATCH(5577,'Email Cleaner'!$H$2:$H$10001,0)),"")</f>
        <v/>
      </c>
    </row>
    <row r="5579">
      <c r="A5579">
        <f>IFERROR(INDEX('Email Cleaner'!$B$2:$B$10001,MATCH(5578,'Email Cleaner'!$H$2:$H$10001,0)),"")</f>
        <v/>
      </c>
    </row>
    <row r="5580">
      <c r="A5580">
        <f>IFERROR(INDEX('Email Cleaner'!$B$2:$B$10001,MATCH(5579,'Email Cleaner'!$H$2:$H$10001,0)),"")</f>
        <v/>
      </c>
    </row>
    <row r="5581">
      <c r="A5581">
        <f>IFERROR(INDEX('Email Cleaner'!$B$2:$B$10001,MATCH(5580,'Email Cleaner'!$H$2:$H$10001,0)),"")</f>
        <v/>
      </c>
    </row>
    <row r="5582">
      <c r="A5582">
        <f>IFERROR(INDEX('Email Cleaner'!$B$2:$B$10001,MATCH(5581,'Email Cleaner'!$H$2:$H$10001,0)),"")</f>
        <v/>
      </c>
    </row>
    <row r="5583">
      <c r="A5583">
        <f>IFERROR(INDEX('Email Cleaner'!$B$2:$B$10001,MATCH(5582,'Email Cleaner'!$H$2:$H$10001,0)),"")</f>
        <v/>
      </c>
    </row>
    <row r="5584">
      <c r="A5584">
        <f>IFERROR(INDEX('Email Cleaner'!$B$2:$B$10001,MATCH(5583,'Email Cleaner'!$H$2:$H$10001,0)),"")</f>
        <v/>
      </c>
    </row>
    <row r="5585">
      <c r="A5585">
        <f>IFERROR(INDEX('Email Cleaner'!$B$2:$B$10001,MATCH(5584,'Email Cleaner'!$H$2:$H$10001,0)),"")</f>
        <v/>
      </c>
    </row>
    <row r="5586">
      <c r="A5586">
        <f>IFERROR(INDEX('Email Cleaner'!$B$2:$B$10001,MATCH(5585,'Email Cleaner'!$H$2:$H$10001,0)),"")</f>
        <v/>
      </c>
    </row>
    <row r="5587">
      <c r="A5587">
        <f>IFERROR(INDEX('Email Cleaner'!$B$2:$B$10001,MATCH(5586,'Email Cleaner'!$H$2:$H$10001,0)),"")</f>
        <v/>
      </c>
    </row>
    <row r="5588">
      <c r="A5588">
        <f>IFERROR(INDEX('Email Cleaner'!$B$2:$B$10001,MATCH(5587,'Email Cleaner'!$H$2:$H$10001,0)),"")</f>
        <v/>
      </c>
    </row>
    <row r="5589">
      <c r="A5589">
        <f>IFERROR(INDEX('Email Cleaner'!$B$2:$B$10001,MATCH(5588,'Email Cleaner'!$H$2:$H$10001,0)),"")</f>
        <v/>
      </c>
    </row>
    <row r="5590">
      <c r="A5590">
        <f>IFERROR(INDEX('Email Cleaner'!$B$2:$B$10001,MATCH(5589,'Email Cleaner'!$H$2:$H$10001,0)),"")</f>
        <v/>
      </c>
    </row>
    <row r="5591">
      <c r="A5591">
        <f>IFERROR(INDEX('Email Cleaner'!$B$2:$B$10001,MATCH(5590,'Email Cleaner'!$H$2:$H$10001,0)),"")</f>
        <v/>
      </c>
    </row>
    <row r="5592">
      <c r="A5592">
        <f>IFERROR(INDEX('Email Cleaner'!$B$2:$B$10001,MATCH(5591,'Email Cleaner'!$H$2:$H$10001,0)),"")</f>
        <v/>
      </c>
    </row>
    <row r="5593">
      <c r="A5593">
        <f>IFERROR(INDEX('Email Cleaner'!$B$2:$B$10001,MATCH(5592,'Email Cleaner'!$H$2:$H$10001,0)),"")</f>
        <v/>
      </c>
    </row>
    <row r="5594">
      <c r="A5594">
        <f>IFERROR(INDEX('Email Cleaner'!$B$2:$B$10001,MATCH(5593,'Email Cleaner'!$H$2:$H$10001,0)),"")</f>
        <v/>
      </c>
    </row>
    <row r="5595">
      <c r="A5595">
        <f>IFERROR(INDEX('Email Cleaner'!$B$2:$B$10001,MATCH(5594,'Email Cleaner'!$H$2:$H$10001,0)),"")</f>
        <v/>
      </c>
    </row>
    <row r="5596">
      <c r="A5596">
        <f>IFERROR(INDEX('Email Cleaner'!$B$2:$B$10001,MATCH(5595,'Email Cleaner'!$H$2:$H$10001,0)),"")</f>
        <v/>
      </c>
    </row>
    <row r="5597">
      <c r="A5597">
        <f>IFERROR(INDEX('Email Cleaner'!$B$2:$B$10001,MATCH(5596,'Email Cleaner'!$H$2:$H$10001,0)),"")</f>
        <v/>
      </c>
    </row>
    <row r="5598">
      <c r="A5598">
        <f>IFERROR(INDEX('Email Cleaner'!$B$2:$B$10001,MATCH(5597,'Email Cleaner'!$H$2:$H$10001,0)),"")</f>
        <v/>
      </c>
    </row>
    <row r="5599">
      <c r="A5599">
        <f>IFERROR(INDEX('Email Cleaner'!$B$2:$B$10001,MATCH(5598,'Email Cleaner'!$H$2:$H$10001,0)),"")</f>
        <v/>
      </c>
    </row>
    <row r="5600">
      <c r="A5600">
        <f>IFERROR(INDEX('Email Cleaner'!$B$2:$B$10001,MATCH(5599,'Email Cleaner'!$H$2:$H$10001,0)),"")</f>
        <v/>
      </c>
    </row>
    <row r="5601">
      <c r="A5601">
        <f>IFERROR(INDEX('Email Cleaner'!$B$2:$B$10001,MATCH(5600,'Email Cleaner'!$H$2:$H$10001,0)),"")</f>
        <v/>
      </c>
    </row>
    <row r="5602">
      <c r="A5602">
        <f>IFERROR(INDEX('Email Cleaner'!$B$2:$B$10001,MATCH(5601,'Email Cleaner'!$H$2:$H$10001,0)),"")</f>
        <v/>
      </c>
    </row>
    <row r="5603">
      <c r="A5603">
        <f>IFERROR(INDEX('Email Cleaner'!$B$2:$B$10001,MATCH(5602,'Email Cleaner'!$H$2:$H$10001,0)),"")</f>
        <v/>
      </c>
    </row>
    <row r="5604">
      <c r="A5604">
        <f>IFERROR(INDEX('Email Cleaner'!$B$2:$B$10001,MATCH(5603,'Email Cleaner'!$H$2:$H$10001,0)),"")</f>
        <v/>
      </c>
    </row>
    <row r="5605">
      <c r="A5605">
        <f>IFERROR(INDEX('Email Cleaner'!$B$2:$B$10001,MATCH(5604,'Email Cleaner'!$H$2:$H$10001,0)),"")</f>
        <v/>
      </c>
    </row>
    <row r="5606">
      <c r="A5606">
        <f>IFERROR(INDEX('Email Cleaner'!$B$2:$B$10001,MATCH(5605,'Email Cleaner'!$H$2:$H$10001,0)),"")</f>
        <v/>
      </c>
    </row>
    <row r="5607">
      <c r="A5607">
        <f>IFERROR(INDEX('Email Cleaner'!$B$2:$B$10001,MATCH(5606,'Email Cleaner'!$H$2:$H$10001,0)),"")</f>
        <v/>
      </c>
    </row>
    <row r="5608">
      <c r="A5608">
        <f>IFERROR(INDEX('Email Cleaner'!$B$2:$B$10001,MATCH(5607,'Email Cleaner'!$H$2:$H$10001,0)),"")</f>
        <v/>
      </c>
    </row>
    <row r="5609">
      <c r="A5609">
        <f>IFERROR(INDEX('Email Cleaner'!$B$2:$B$10001,MATCH(5608,'Email Cleaner'!$H$2:$H$10001,0)),"")</f>
        <v/>
      </c>
    </row>
    <row r="5610">
      <c r="A5610">
        <f>IFERROR(INDEX('Email Cleaner'!$B$2:$B$10001,MATCH(5609,'Email Cleaner'!$H$2:$H$10001,0)),"")</f>
        <v/>
      </c>
    </row>
    <row r="5611">
      <c r="A5611">
        <f>IFERROR(INDEX('Email Cleaner'!$B$2:$B$10001,MATCH(5610,'Email Cleaner'!$H$2:$H$10001,0)),"")</f>
        <v/>
      </c>
    </row>
    <row r="5612">
      <c r="A5612">
        <f>IFERROR(INDEX('Email Cleaner'!$B$2:$B$10001,MATCH(5611,'Email Cleaner'!$H$2:$H$10001,0)),"")</f>
        <v/>
      </c>
    </row>
    <row r="5613">
      <c r="A5613">
        <f>IFERROR(INDEX('Email Cleaner'!$B$2:$B$10001,MATCH(5612,'Email Cleaner'!$H$2:$H$10001,0)),"")</f>
        <v/>
      </c>
    </row>
    <row r="5614">
      <c r="A5614">
        <f>IFERROR(INDEX('Email Cleaner'!$B$2:$B$10001,MATCH(5613,'Email Cleaner'!$H$2:$H$10001,0)),"")</f>
        <v/>
      </c>
    </row>
    <row r="5615">
      <c r="A5615">
        <f>IFERROR(INDEX('Email Cleaner'!$B$2:$B$10001,MATCH(5614,'Email Cleaner'!$H$2:$H$10001,0)),"")</f>
        <v/>
      </c>
    </row>
    <row r="5616">
      <c r="A5616">
        <f>IFERROR(INDEX('Email Cleaner'!$B$2:$B$10001,MATCH(5615,'Email Cleaner'!$H$2:$H$10001,0)),"")</f>
        <v/>
      </c>
    </row>
    <row r="5617">
      <c r="A5617">
        <f>IFERROR(INDEX('Email Cleaner'!$B$2:$B$10001,MATCH(5616,'Email Cleaner'!$H$2:$H$10001,0)),"")</f>
        <v/>
      </c>
    </row>
    <row r="5618">
      <c r="A5618">
        <f>IFERROR(INDEX('Email Cleaner'!$B$2:$B$10001,MATCH(5617,'Email Cleaner'!$H$2:$H$10001,0)),"")</f>
        <v/>
      </c>
    </row>
    <row r="5619">
      <c r="A5619">
        <f>IFERROR(INDEX('Email Cleaner'!$B$2:$B$10001,MATCH(5618,'Email Cleaner'!$H$2:$H$10001,0)),"")</f>
        <v/>
      </c>
    </row>
    <row r="5620">
      <c r="A5620">
        <f>IFERROR(INDEX('Email Cleaner'!$B$2:$B$10001,MATCH(5619,'Email Cleaner'!$H$2:$H$10001,0)),"")</f>
        <v/>
      </c>
    </row>
    <row r="5621">
      <c r="A5621">
        <f>IFERROR(INDEX('Email Cleaner'!$B$2:$B$10001,MATCH(5620,'Email Cleaner'!$H$2:$H$10001,0)),"")</f>
        <v/>
      </c>
    </row>
    <row r="5622">
      <c r="A5622">
        <f>IFERROR(INDEX('Email Cleaner'!$B$2:$B$10001,MATCH(5621,'Email Cleaner'!$H$2:$H$10001,0)),"")</f>
        <v/>
      </c>
    </row>
    <row r="5623">
      <c r="A5623">
        <f>IFERROR(INDEX('Email Cleaner'!$B$2:$B$10001,MATCH(5622,'Email Cleaner'!$H$2:$H$10001,0)),"")</f>
        <v/>
      </c>
    </row>
    <row r="5624">
      <c r="A5624">
        <f>IFERROR(INDEX('Email Cleaner'!$B$2:$B$10001,MATCH(5623,'Email Cleaner'!$H$2:$H$10001,0)),"")</f>
        <v/>
      </c>
    </row>
    <row r="5625">
      <c r="A5625">
        <f>IFERROR(INDEX('Email Cleaner'!$B$2:$B$10001,MATCH(5624,'Email Cleaner'!$H$2:$H$10001,0)),"")</f>
        <v/>
      </c>
    </row>
    <row r="5626">
      <c r="A5626">
        <f>IFERROR(INDEX('Email Cleaner'!$B$2:$B$10001,MATCH(5625,'Email Cleaner'!$H$2:$H$10001,0)),"")</f>
        <v/>
      </c>
    </row>
    <row r="5627">
      <c r="A5627">
        <f>IFERROR(INDEX('Email Cleaner'!$B$2:$B$10001,MATCH(5626,'Email Cleaner'!$H$2:$H$10001,0)),"")</f>
        <v/>
      </c>
    </row>
    <row r="5628">
      <c r="A5628">
        <f>IFERROR(INDEX('Email Cleaner'!$B$2:$B$10001,MATCH(5627,'Email Cleaner'!$H$2:$H$10001,0)),"")</f>
        <v/>
      </c>
    </row>
    <row r="5629">
      <c r="A5629">
        <f>IFERROR(INDEX('Email Cleaner'!$B$2:$B$10001,MATCH(5628,'Email Cleaner'!$H$2:$H$10001,0)),"")</f>
        <v/>
      </c>
    </row>
    <row r="5630">
      <c r="A5630">
        <f>IFERROR(INDEX('Email Cleaner'!$B$2:$B$10001,MATCH(5629,'Email Cleaner'!$H$2:$H$10001,0)),"")</f>
        <v/>
      </c>
    </row>
    <row r="5631">
      <c r="A5631">
        <f>IFERROR(INDEX('Email Cleaner'!$B$2:$B$10001,MATCH(5630,'Email Cleaner'!$H$2:$H$10001,0)),"")</f>
        <v/>
      </c>
    </row>
    <row r="5632">
      <c r="A5632">
        <f>IFERROR(INDEX('Email Cleaner'!$B$2:$B$10001,MATCH(5631,'Email Cleaner'!$H$2:$H$10001,0)),"")</f>
        <v/>
      </c>
    </row>
    <row r="5633">
      <c r="A5633">
        <f>IFERROR(INDEX('Email Cleaner'!$B$2:$B$10001,MATCH(5632,'Email Cleaner'!$H$2:$H$10001,0)),"")</f>
        <v/>
      </c>
    </row>
    <row r="5634">
      <c r="A5634">
        <f>IFERROR(INDEX('Email Cleaner'!$B$2:$B$10001,MATCH(5633,'Email Cleaner'!$H$2:$H$10001,0)),"")</f>
        <v/>
      </c>
    </row>
    <row r="5635">
      <c r="A5635">
        <f>IFERROR(INDEX('Email Cleaner'!$B$2:$B$10001,MATCH(5634,'Email Cleaner'!$H$2:$H$10001,0)),"")</f>
        <v/>
      </c>
    </row>
    <row r="5636">
      <c r="A5636">
        <f>IFERROR(INDEX('Email Cleaner'!$B$2:$B$10001,MATCH(5635,'Email Cleaner'!$H$2:$H$10001,0)),"")</f>
        <v/>
      </c>
    </row>
    <row r="5637">
      <c r="A5637">
        <f>IFERROR(INDEX('Email Cleaner'!$B$2:$B$10001,MATCH(5636,'Email Cleaner'!$H$2:$H$10001,0)),"")</f>
        <v/>
      </c>
    </row>
    <row r="5638">
      <c r="A5638">
        <f>IFERROR(INDEX('Email Cleaner'!$B$2:$B$10001,MATCH(5637,'Email Cleaner'!$H$2:$H$10001,0)),"")</f>
        <v/>
      </c>
    </row>
    <row r="5639">
      <c r="A5639">
        <f>IFERROR(INDEX('Email Cleaner'!$B$2:$B$10001,MATCH(5638,'Email Cleaner'!$H$2:$H$10001,0)),"")</f>
        <v/>
      </c>
    </row>
    <row r="5640">
      <c r="A5640">
        <f>IFERROR(INDEX('Email Cleaner'!$B$2:$B$10001,MATCH(5639,'Email Cleaner'!$H$2:$H$10001,0)),"")</f>
        <v/>
      </c>
    </row>
    <row r="5641">
      <c r="A5641">
        <f>IFERROR(INDEX('Email Cleaner'!$B$2:$B$10001,MATCH(5640,'Email Cleaner'!$H$2:$H$10001,0)),"")</f>
        <v/>
      </c>
    </row>
    <row r="5642">
      <c r="A5642">
        <f>IFERROR(INDEX('Email Cleaner'!$B$2:$B$10001,MATCH(5641,'Email Cleaner'!$H$2:$H$10001,0)),"")</f>
        <v/>
      </c>
    </row>
    <row r="5643">
      <c r="A5643">
        <f>IFERROR(INDEX('Email Cleaner'!$B$2:$B$10001,MATCH(5642,'Email Cleaner'!$H$2:$H$10001,0)),"")</f>
        <v/>
      </c>
    </row>
    <row r="5644">
      <c r="A5644">
        <f>IFERROR(INDEX('Email Cleaner'!$B$2:$B$10001,MATCH(5643,'Email Cleaner'!$H$2:$H$10001,0)),"")</f>
        <v/>
      </c>
    </row>
    <row r="5645">
      <c r="A5645">
        <f>IFERROR(INDEX('Email Cleaner'!$B$2:$B$10001,MATCH(5644,'Email Cleaner'!$H$2:$H$10001,0)),"")</f>
        <v/>
      </c>
    </row>
    <row r="5646">
      <c r="A5646">
        <f>IFERROR(INDEX('Email Cleaner'!$B$2:$B$10001,MATCH(5645,'Email Cleaner'!$H$2:$H$10001,0)),"")</f>
        <v/>
      </c>
    </row>
    <row r="5647">
      <c r="A5647">
        <f>IFERROR(INDEX('Email Cleaner'!$B$2:$B$10001,MATCH(5646,'Email Cleaner'!$H$2:$H$10001,0)),"")</f>
        <v/>
      </c>
    </row>
    <row r="5648">
      <c r="A5648">
        <f>IFERROR(INDEX('Email Cleaner'!$B$2:$B$10001,MATCH(5647,'Email Cleaner'!$H$2:$H$10001,0)),"")</f>
        <v/>
      </c>
    </row>
    <row r="5649">
      <c r="A5649">
        <f>IFERROR(INDEX('Email Cleaner'!$B$2:$B$10001,MATCH(5648,'Email Cleaner'!$H$2:$H$10001,0)),"")</f>
        <v/>
      </c>
    </row>
    <row r="5650">
      <c r="A5650">
        <f>IFERROR(INDEX('Email Cleaner'!$B$2:$B$10001,MATCH(5649,'Email Cleaner'!$H$2:$H$10001,0)),"")</f>
        <v/>
      </c>
    </row>
    <row r="5651">
      <c r="A5651">
        <f>IFERROR(INDEX('Email Cleaner'!$B$2:$B$10001,MATCH(5650,'Email Cleaner'!$H$2:$H$10001,0)),"")</f>
        <v/>
      </c>
    </row>
    <row r="5652">
      <c r="A5652">
        <f>IFERROR(INDEX('Email Cleaner'!$B$2:$B$10001,MATCH(5651,'Email Cleaner'!$H$2:$H$10001,0)),"")</f>
        <v/>
      </c>
    </row>
    <row r="5653">
      <c r="A5653">
        <f>IFERROR(INDEX('Email Cleaner'!$B$2:$B$10001,MATCH(5652,'Email Cleaner'!$H$2:$H$10001,0)),"")</f>
        <v/>
      </c>
    </row>
    <row r="5654">
      <c r="A5654">
        <f>IFERROR(INDEX('Email Cleaner'!$B$2:$B$10001,MATCH(5653,'Email Cleaner'!$H$2:$H$10001,0)),"")</f>
        <v/>
      </c>
    </row>
    <row r="5655">
      <c r="A5655">
        <f>IFERROR(INDEX('Email Cleaner'!$B$2:$B$10001,MATCH(5654,'Email Cleaner'!$H$2:$H$10001,0)),"")</f>
        <v/>
      </c>
    </row>
    <row r="5656">
      <c r="A5656">
        <f>IFERROR(INDEX('Email Cleaner'!$B$2:$B$10001,MATCH(5655,'Email Cleaner'!$H$2:$H$10001,0)),"")</f>
        <v/>
      </c>
    </row>
    <row r="5657">
      <c r="A5657">
        <f>IFERROR(INDEX('Email Cleaner'!$B$2:$B$10001,MATCH(5656,'Email Cleaner'!$H$2:$H$10001,0)),"")</f>
        <v/>
      </c>
    </row>
    <row r="5658">
      <c r="A5658">
        <f>IFERROR(INDEX('Email Cleaner'!$B$2:$B$10001,MATCH(5657,'Email Cleaner'!$H$2:$H$10001,0)),"")</f>
        <v/>
      </c>
    </row>
    <row r="5659">
      <c r="A5659">
        <f>IFERROR(INDEX('Email Cleaner'!$B$2:$B$10001,MATCH(5658,'Email Cleaner'!$H$2:$H$10001,0)),"")</f>
        <v/>
      </c>
    </row>
    <row r="5660">
      <c r="A5660">
        <f>IFERROR(INDEX('Email Cleaner'!$B$2:$B$10001,MATCH(5659,'Email Cleaner'!$H$2:$H$10001,0)),"")</f>
        <v/>
      </c>
    </row>
    <row r="5661">
      <c r="A5661">
        <f>IFERROR(INDEX('Email Cleaner'!$B$2:$B$10001,MATCH(5660,'Email Cleaner'!$H$2:$H$10001,0)),"")</f>
        <v/>
      </c>
    </row>
    <row r="5662">
      <c r="A5662">
        <f>IFERROR(INDEX('Email Cleaner'!$B$2:$B$10001,MATCH(5661,'Email Cleaner'!$H$2:$H$10001,0)),"")</f>
        <v/>
      </c>
    </row>
    <row r="5663">
      <c r="A5663">
        <f>IFERROR(INDEX('Email Cleaner'!$B$2:$B$10001,MATCH(5662,'Email Cleaner'!$H$2:$H$10001,0)),"")</f>
        <v/>
      </c>
    </row>
    <row r="5664">
      <c r="A5664">
        <f>IFERROR(INDEX('Email Cleaner'!$B$2:$B$10001,MATCH(5663,'Email Cleaner'!$H$2:$H$10001,0)),"")</f>
        <v/>
      </c>
    </row>
    <row r="5665">
      <c r="A5665">
        <f>IFERROR(INDEX('Email Cleaner'!$B$2:$B$10001,MATCH(5664,'Email Cleaner'!$H$2:$H$10001,0)),"")</f>
        <v/>
      </c>
    </row>
    <row r="5666">
      <c r="A5666">
        <f>IFERROR(INDEX('Email Cleaner'!$B$2:$B$10001,MATCH(5665,'Email Cleaner'!$H$2:$H$10001,0)),"")</f>
        <v/>
      </c>
    </row>
    <row r="5667">
      <c r="A5667">
        <f>IFERROR(INDEX('Email Cleaner'!$B$2:$B$10001,MATCH(5666,'Email Cleaner'!$H$2:$H$10001,0)),"")</f>
        <v/>
      </c>
    </row>
    <row r="5668">
      <c r="A5668">
        <f>IFERROR(INDEX('Email Cleaner'!$B$2:$B$10001,MATCH(5667,'Email Cleaner'!$H$2:$H$10001,0)),"")</f>
        <v/>
      </c>
    </row>
    <row r="5669">
      <c r="A5669">
        <f>IFERROR(INDEX('Email Cleaner'!$B$2:$B$10001,MATCH(5668,'Email Cleaner'!$H$2:$H$10001,0)),"")</f>
        <v/>
      </c>
    </row>
    <row r="5670">
      <c r="A5670">
        <f>IFERROR(INDEX('Email Cleaner'!$B$2:$B$10001,MATCH(5669,'Email Cleaner'!$H$2:$H$10001,0)),"")</f>
        <v/>
      </c>
    </row>
    <row r="5671">
      <c r="A5671">
        <f>IFERROR(INDEX('Email Cleaner'!$B$2:$B$10001,MATCH(5670,'Email Cleaner'!$H$2:$H$10001,0)),"")</f>
        <v/>
      </c>
    </row>
    <row r="5672">
      <c r="A5672">
        <f>IFERROR(INDEX('Email Cleaner'!$B$2:$B$10001,MATCH(5671,'Email Cleaner'!$H$2:$H$10001,0)),"")</f>
        <v/>
      </c>
    </row>
    <row r="5673">
      <c r="A5673">
        <f>IFERROR(INDEX('Email Cleaner'!$B$2:$B$10001,MATCH(5672,'Email Cleaner'!$H$2:$H$10001,0)),"")</f>
        <v/>
      </c>
    </row>
    <row r="5674">
      <c r="A5674">
        <f>IFERROR(INDEX('Email Cleaner'!$B$2:$B$10001,MATCH(5673,'Email Cleaner'!$H$2:$H$10001,0)),"")</f>
        <v/>
      </c>
    </row>
    <row r="5675">
      <c r="A5675">
        <f>IFERROR(INDEX('Email Cleaner'!$B$2:$B$10001,MATCH(5674,'Email Cleaner'!$H$2:$H$10001,0)),"")</f>
        <v/>
      </c>
    </row>
    <row r="5676">
      <c r="A5676">
        <f>IFERROR(INDEX('Email Cleaner'!$B$2:$B$10001,MATCH(5675,'Email Cleaner'!$H$2:$H$10001,0)),"")</f>
        <v/>
      </c>
    </row>
    <row r="5677">
      <c r="A5677">
        <f>IFERROR(INDEX('Email Cleaner'!$B$2:$B$10001,MATCH(5676,'Email Cleaner'!$H$2:$H$10001,0)),"")</f>
        <v/>
      </c>
    </row>
    <row r="5678">
      <c r="A5678">
        <f>IFERROR(INDEX('Email Cleaner'!$B$2:$B$10001,MATCH(5677,'Email Cleaner'!$H$2:$H$10001,0)),"")</f>
        <v/>
      </c>
    </row>
    <row r="5679">
      <c r="A5679">
        <f>IFERROR(INDEX('Email Cleaner'!$B$2:$B$10001,MATCH(5678,'Email Cleaner'!$H$2:$H$10001,0)),"")</f>
        <v/>
      </c>
    </row>
    <row r="5680">
      <c r="A5680">
        <f>IFERROR(INDEX('Email Cleaner'!$B$2:$B$10001,MATCH(5679,'Email Cleaner'!$H$2:$H$10001,0)),"")</f>
        <v/>
      </c>
    </row>
    <row r="5681">
      <c r="A5681">
        <f>IFERROR(INDEX('Email Cleaner'!$B$2:$B$10001,MATCH(5680,'Email Cleaner'!$H$2:$H$10001,0)),"")</f>
        <v/>
      </c>
    </row>
    <row r="5682">
      <c r="A5682">
        <f>IFERROR(INDEX('Email Cleaner'!$B$2:$B$10001,MATCH(5681,'Email Cleaner'!$H$2:$H$10001,0)),"")</f>
        <v/>
      </c>
    </row>
    <row r="5683">
      <c r="A5683">
        <f>IFERROR(INDEX('Email Cleaner'!$B$2:$B$10001,MATCH(5682,'Email Cleaner'!$H$2:$H$10001,0)),"")</f>
        <v/>
      </c>
    </row>
    <row r="5684">
      <c r="A5684">
        <f>IFERROR(INDEX('Email Cleaner'!$B$2:$B$10001,MATCH(5683,'Email Cleaner'!$H$2:$H$10001,0)),"")</f>
        <v/>
      </c>
    </row>
    <row r="5685">
      <c r="A5685">
        <f>IFERROR(INDEX('Email Cleaner'!$B$2:$B$10001,MATCH(5684,'Email Cleaner'!$H$2:$H$10001,0)),"")</f>
        <v/>
      </c>
    </row>
    <row r="5686">
      <c r="A5686">
        <f>IFERROR(INDEX('Email Cleaner'!$B$2:$B$10001,MATCH(5685,'Email Cleaner'!$H$2:$H$10001,0)),"")</f>
        <v/>
      </c>
    </row>
    <row r="5687">
      <c r="A5687">
        <f>IFERROR(INDEX('Email Cleaner'!$B$2:$B$10001,MATCH(5686,'Email Cleaner'!$H$2:$H$10001,0)),"")</f>
        <v/>
      </c>
    </row>
    <row r="5688">
      <c r="A5688">
        <f>IFERROR(INDEX('Email Cleaner'!$B$2:$B$10001,MATCH(5687,'Email Cleaner'!$H$2:$H$10001,0)),"")</f>
        <v/>
      </c>
    </row>
    <row r="5689">
      <c r="A5689">
        <f>IFERROR(INDEX('Email Cleaner'!$B$2:$B$10001,MATCH(5688,'Email Cleaner'!$H$2:$H$10001,0)),"")</f>
        <v/>
      </c>
    </row>
    <row r="5690">
      <c r="A5690">
        <f>IFERROR(INDEX('Email Cleaner'!$B$2:$B$10001,MATCH(5689,'Email Cleaner'!$H$2:$H$10001,0)),"")</f>
        <v/>
      </c>
    </row>
    <row r="5691">
      <c r="A5691">
        <f>IFERROR(INDEX('Email Cleaner'!$B$2:$B$10001,MATCH(5690,'Email Cleaner'!$H$2:$H$10001,0)),"")</f>
        <v/>
      </c>
    </row>
    <row r="5692">
      <c r="A5692">
        <f>IFERROR(INDEX('Email Cleaner'!$B$2:$B$10001,MATCH(5691,'Email Cleaner'!$H$2:$H$10001,0)),"")</f>
        <v/>
      </c>
    </row>
    <row r="5693">
      <c r="A5693">
        <f>IFERROR(INDEX('Email Cleaner'!$B$2:$B$10001,MATCH(5692,'Email Cleaner'!$H$2:$H$10001,0)),"")</f>
        <v/>
      </c>
    </row>
    <row r="5694">
      <c r="A5694">
        <f>IFERROR(INDEX('Email Cleaner'!$B$2:$B$10001,MATCH(5693,'Email Cleaner'!$H$2:$H$10001,0)),"")</f>
        <v/>
      </c>
    </row>
    <row r="5695">
      <c r="A5695">
        <f>IFERROR(INDEX('Email Cleaner'!$B$2:$B$10001,MATCH(5694,'Email Cleaner'!$H$2:$H$10001,0)),"")</f>
        <v/>
      </c>
    </row>
    <row r="5696">
      <c r="A5696">
        <f>IFERROR(INDEX('Email Cleaner'!$B$2:$B$10001,MATCH(5695,'Email Cleaner'!$H$2:$H$10001,0)),"")</f>
        <v/>
      </c>
    </row>
    <row r="5697">
      <c r="A5697">
        <f>IFERROR(INDEX('Email Cleaner'!$B$2:$B$10001,MATCH(5696,'Email Cleaner'!$H$2:$H$10001,0)),"")</f>
        <v/>
      </c>
    </row>
    <row r="5698">
      <c r="A5698">
        <f>IFERROR(INDEX('Email Cleaner'!$B$2:$B$10001,MATCH(5697,'Email Cleaner'!$H$2:$H$10001,0)),"")</f>
        <v/>
      </c>
    </row>
    <row r="5699">
      <c r="A5699">
        <f>IFERROR(INDEX('Email Cleaner'!$B$2:$B$10001,MATCH(5698,'Email Cleaner'!$H$2:$H$10001,0)),"")</f>
        <v/>
      </c>
    </row>
    <row r="5700">
      <c r="A5700">
        <f>IFERROR(INDEX('Email Cleaner'!$B$2:$B$10001,MATCH(5699,'Email Cleaner'!$H$2:$H$10001,0)),"")</f>
        <v/>
      </c>
    </row>
    <row r="5701">
      <c r="A5701">
        <f>IFERROR(INDEX('Email Cleaner'!$B$2:$B$10001,MATCH(5700,'Email Cleaner'!$H$2:$H$10001,0)),"")</f>
        <v/>
      </c>
    </row>
    <row r="5702">
      <c r="A5702">
        <f>IFERROR(INDEX('Email Cleaner'!$B$2:$B$10001,MATCH(5701,'Email Cleaner'!$H$2:$H$10001,0)),"")</f>
        <v/>
      </c>
    </row>
    <row r="5703">
      <c r="A5703">
        <f>IFERROR(INDEX('Email Cleaner'!$B$2:$B$10001,MATCH(5702,'Email Cleaner'!$H$2:$H$10001,0)),"")</f>
        <v/>
      </c>
    </row>
    <row r="5704">
      <c r="A5704">
        <f>IFERROR(INDEX('Email Cleaner'!$B$2:$B$10001,MATCH(5703,'Email Cleaner'!$H$2:$H$10001,0)),"")</f>
        <v/>
      </c>
    </row>
    <row r="5705">
      <c r="A5705">
        <f>IFERROR(INDEX('Email Cleaner'!$B$2:$B$10001,MATCH(5704,'Email Cleaner'!$H$2:$H$10001,0)),"")</f>
        <v/>
      </c>
    </row>
    <row r="5706">
      <c r="A5706">
        <f>IFERROR(INDEX('Email Cleaner'!$B$2:$B$10001,MATCH(5705,'Email Cleaner'!$H$2:$H$10001,0)),"")</f>
        <v/>
      </c>
    </row>
    <row r="5707">
      <c r="A5707">
        <f>IFERROR(INDEX('Email Cleaner'!$B$2:$B$10001,MATCH(5706,'Email Cleaner'!$H$2:$H$10001,0)),"")</f>
        <v/>
      </c>
    </row>
    <row r="5708">
      <c r="A5708">
        <f>IFERROR(INDEX('Email Cleaner'!$B$2:$B$10001,MATCH(5707,'Email Cleaner'!$H$2:$H$10001,0)),"")</f>
        <v/>
      </c>
    </row>
    <row r="5709">
      <c r="A5709">
        <f>IFERROR(INDEX('Email Cleaner'!$B$2:$B$10001,MATCH(5708,'Email Cleaner'!$H$2:$H$10001,0)),"")</f>
        <v/>
      </c>
    </row>
    <row r="5710">
      <c r="A5710">
        <f>IFERROR(INDEX('Email Cleaner'!$B$2:$B$10001,MATCH(5709,'Email Cleaner'!$H$2:$H$10001,0)),"")</f>
        <v/>
      </c>
    </row>
    <row r="5711">
      <c r="A5711">
        <f>IFERROR(INDEX('Email Cleaner'!$B$2:$B$10001,MATCH(5710,'Email Cleaner'!$H$2:$H$10001,0)),"")</f>
        <v/>
      </c>
    </row>
    <row r="5712">
      <c r="A5712">
        <f>IFERROR(INDEX('Email Cleaner'!$B$2:$B$10001,MATCH(5711,'Email Cleaner'!$H$2:$H$10001,0)),"")</f>
        <v/>
      </c>
    </row>
    <row r="5713">
      <c r="A5713">
        <f>IFERROR(INDEX('Email Cleaner'!$B$2:$B$10001,MATCH(5712,'Email Cleaner'!$H$2:$H$10001,0)),"")</f>
        <v/>
      </c>
    </row>
    <row r="5714">
      <c r="A5714">
        <f>IFERROR(INDEX('Email Cleaner'!$B$2:$B$10001,MATCH(5713,'Email Cleaner'!$H$2:$H$10001,0)),"")</f>
        <v/>
      </c>
    </row>
    <row r="5715">
      <c r="A5715">
        <f>IFERROR(INDEX('Email Cleaner'!$B$2:$B$10001,MATCH(5714,'Email Cleaner'!$H$2:$H$10001,0)),"")</f>
        <v/>
      </c>
    </row>
    <row r="5716">
      <c r="A5716">
        <f>IFERROR(INDEX('Email Cleaner'!$B$2:$B$10001,MATCH(5715,'Email Cleaner'!$H$2:$H$10001,0)),"")</f>
        <v/>
      </c>
    </row>
    <row r="5717">
      <c r="A5717">
        <f>IFERROR(INDEX('Email Cleaner'!$B$2:$B$10001,MATCH(5716,'Email Cleaner'!$H$2:$H$10001,0)),"")</f>
        <v/>
      </c>
    </row>
    <row r="5718">
      <c r="A5718">
        <f>IFERROR(INDEX('Email Cleaner'!$B$2:$B$10001,MATCH(5717,'Email Cleaner'!$H$2:$H$10001,0)),"")</f>
        <v/>
      </c>
    </row>
    <row r="5719">
      <c r="A5719">
        <f>IFERROR(INDEX('Email Cleaner'!$B$2:$B$10001,MATCH(5718,'Email Cleaner'!$H$2:$H$10001,0)),"")</f>
        <v/>
      </c>
    </row>
    <row r="5720">
      <c r="A5720">
        <f>IFERROR(INDEX('Email Cleaner'!$B$2:$B$10001,MATCH(5719,'Email Cleaner'!$H$2:$H$10001,0)),"")</f>
        <v/>
      </c>
    </row>
    <row r="5721">
      <c r="A5721">
        <f>IFERROR(INDEX('Email Cleaner'!$B$2:$B$10001,MATCH(5720,'Email Cleaner'!$H$2:$H$10001,0)),"")</f>
        <v/>
      </c>
    </row>
    <row r="5722">
      <c r="A5722">
        <f>IFERROR(INDEX('Email Cleaner'!$B$2:$B$10001,MATCH(5721,'Email Cleaner'!$H$2:$H$10001,0)),"")</f>
        <v/>
      </c>
    </row>
    <row r="5723">
      <c r="A5723">
        <f>IFERROR(INDEX('Email Cleaner'!$B$2:$B$10001,MATCH(5722,'Email Cleaner'!$H$2:$H$10001,0)),"")</f>
        <v/>
      </c>
    </row>
    <row r="5724">
      <c r="A5724">
        <f>IFERROR(INDEX('Email Cleaner'!$B$2:$B$10001,MATCH(5723,'Email Cleaner'!$H$2:$H$10001,0)),"")</f>
        <v/>
      </c>
    </row>
    <row r="5725">
      <c r="A5725">
        <f>IFERROR(INDEX('Email Cleaner'!$B$2:$B$10001,MATCH(5724,'Email Cleaner'!$H$2:$H$10001,0)),"")</f>
        <v/>
      </c>
    </row>
    <row r="5726">
      <c r="A5726">
        <f>IFERROR(INDEX('Email Cleaner'!$B$2:$B$10001,MATCH(5725,'Email Cleaner'!$H$2:$H$10001,0)),"")</f>
        <v/>
      </c>
    </row>
    <row r="5727">
      <c r="A5727">
        <f>IFERROR(INDEX('Email Cleaner'!$B$2:$B$10001,MATCH(5726,'Email Cleaner'!$H$2:$H$10001,0)),"")</f>
        <v/>
      </c>
    </row>
    <row r="5728">
      <c r="A5728">
        <f>IFERROR(INDEX('Email Cleaner'!$B$2:$B$10001,MATCH(5727,'Email Cleaner'!$H$2:$H$10001,0)),"")</f>
        <v/>
      </c>
    </row>
    <row r="5729">
      <c r="A5729">
        <f>IFERROR(INDEX('Email Cleaner'!$B$2:$B$10001,MATCH(5728,'Email Cleaner'!$H$2:$H$10001,0)),"")</f>
        <v/>
      </c>
    </row>
    <row r="5730">
      <c r="A5730">
        <f>IFERROR(INDEX('Email Cleaner'!$B$2:$B$10001,MATCH(5729,'Email Cleaner'!$H$2:$H$10001,0)),"")</f>
        <v/>
      </c>
    </row>
    <row r="5731">
      <c r="A5731">
        <f>IFERROR(INDEX('Email Cleaner'!$B$2:$B$10001,MATCH(5730,'Email Cleaner'!$H$2:$H$10001,0)),"")</f>
        <v/>
      </c>
    </row>
    <row r="5732">
      <c r="A5732">
        <f>IFERROR(INDEX('Email Cleaner'!$B$2:$B$10001,MATCH(5731,'Email Cleaner'!$H$2:$H$10001,0)),"")</f>
        <v/>
      </c>
    </row>
    <row r="5733">
      <c r="A5733">
        <f>IFERROR(INDEX('Email Cleaner'!$B$2:$B$10001,MATCH(5732,'Email Cleaner'!$H$2:$H$10001,0)),"")</f>
        <v/>
      </c>
    </row>
    <row r="5734">
      <c r="A5734">
        <f>IFERROR(INDEX('Email Cleaner'!$B$2:$B$10001,MATCH(5733,'Email Cleaner'!$H$2:$H$10001,0)),"")</f>
        <v/>
      </c>
    </row>
    <row r="5735">
      <c r="A5735">
        <f>IFERROR(INDEX('Email Cleaner'!$B$2:$B$10001,MATCH(5734,'Email Cleaner'!$H$2:$H$10001,0)),"")</f>
        <v/>
      </c>
    </row>
    <row r="5736">
      <c r="A5736">
        <f>IFERROR(INDEX('Email Cleaner'!$B$2:$B$10001,MATCH(5735,'Email Cleaner'!$H$2:$H$10001,0)),"")</f>
        <v/>
      </c>
    </row>
    <row r="5737">
      <c r="A5737">
        <f>IFERROR(INDEX('Email Cleaner'!$B$2:$B$10001,MATCH(5736,'Email Cleaner'!$H$2:$H$10001,0)),"")</f>
        <v/>
      </c>
    </row>
    <row r="5738">
      <c r="A5738">
        <f>IFERROR(INDEX('Email Cleaner'!$B$2:$B$10001,MATCH(5737,'Email Cleaner'!$H$2:$H$10001,0)),"")</f>
        <v/>
      </c>
    </row>
    <row r="5739">
      <c r="A5739">
        <f>IFERROR(INDEX('Email Cleaner'!$B$2:$B$10001,MATCH(5738,'Email Cleaner'!$H$2:$H$10001,0)),"")</f>
        <v/>
      </c>
    </row>
    <row r="5740">
      <c r="A5740">
        <f>IFERROR(INDEX('Email Cleaner'!$B$2:$B$10001,MATCH(5739,'Email Cleaner'!$H$2:$H$10001,0)),"")</f>
        <v/>
      </c>
    </row>
    <row r="5741">
      <c r="A5741">
        <f>IFERROR(INDEX('Email Cleaner'!$B$2:$B$10001,MATCH(5740,'Email Cleaner'!$H$2:$H$10001,0)),"")</f>
        <v/>
      </c>
    </row>
    <row r="5742">
      <c r="A5742">
        <f>IFERROR(INDEX('Email Cleaner'!$B$2:$B$10001,MATCH(5741,'Email Cleaner'!$H$2:$H$10001,0)),"")</f>
        <v/>
      </c>
    </row>
    <row r="5743">
      <c r="A5743">
        <f>IFERROR(INDEX('Email Cleaner'!$B$2:$B$10001,MATCH(5742,'Email Cleaner'!$H$2:$H$10001,0)),"")</f>
        <v/>
      </c>
    </row>
    <row r="5744">
      <c r="A5744">
        <f>IFERROR(INDEX('Email Cleaner'!$B$2:$B$10001,MATCH(5743,'Email Cleaner'!$H$2:$H$10001,0)),"")</f>
        <v/>
      </c>
    </row>
    <row r="5745">
      <c r="A5745">
        <f>IFERROR(INDEX('Email Cleaner'!$B$2:$B$10001,MATCH(5744,'Email Cleaner'!$H$2:$H$10001,0)),"")</f>
        <v/>
      </c>
    </row>
    <row r="5746">
      <c r="A5746">
        <f>IFERROR(INDEX('Email Cleaner'!$B$2:$B$10001,MATCH(5745,'Email Cleaner'!$H$2:$H$10001,0)),"")</f>
        <v/>
      </c>
    </row>
    <row r="5747">
      <c r="A5747">
        <f>IFERROR(INDEX('Email Cleaner'!$B$2:$B$10001,MATCH(5746,'Email Cleaner'!$H$2:$H$10001,0)),"")</f>
        <v/>
      </c>
    </row>
    <row r="5748">
      <c r="A5748">
        <f>IFERROR(INDEX('Email Cleaner'!$B$2:$B$10001,MATCH(5747,'Email Cleaner'!$H$2:$H$10001,0)),"")</f>
        <v/>
      </c>
    </row>
    <row r="5749">
      <c r="A5749">
        <f>IFERROR(INDEX('Email Cleaner'!$B$2:$B$10001,MATCH(5748,'Email Cleaner'!$H$2:$H$10001,0)),"")</f>
        <v/>
      </c>
    </row>
    <row r="5750">
      <c r="A5750">
        <f>IFERROR(INDEX('Email Cleaner'!$B$2:$B$10001,MATCH(5749,'Email Cleaner'!$H$2:$H$10001,0)),"")</f>
        <v/>
      </c>
    </row>
    <row r="5751">
      <c r="A5751">
        <f>IFERROR(INDEX('Email Cleaner'!$B$2:$B$10001,MATCH(5750,'Email Cleaner'!$H$2:$H$10001,0)),"")</f>
        <v/>
      </c>
    </row>
    <row r="5752">
      <c r="A5752">
        <f>IFERROR(INDEX('Email Cleaner'!$B$2:$B$10001,MATCH(5751,'Email Cleaner'!$H$2:$H$10001,0)),"")</f>
        <v/>
      </c>
    </row>
    <row r="5753">
      <c r="A5753">
        <f>IFERROR(INDEX('Email Cleaner'!$B$2:$B$10001,MATCH(5752,'Email Cleaner'!$H$2:$H$10001,0)),"")</f>
        <v/>
      </c>
    </row>
    <row r="5754">
      <c r="A5754">
        <f>IFERROR(INDEX('Email Cleaner'!$B$2:$B$10001,MATCH(5753,'Email Cleaner'!$H$2:$H$10001,0)),"")</f>
        <v/>
      </c>
    </row>
    <row r="5755">
      <c r="A5755">
        <f>IFERROR(INDEX('Email Cleaner'!$B$2:$B$10001,MATCH(5754,'Email Cleaner'!$H$2:$H$10001,0)),"")</f>
        <v/>
      </c>
    </row>
    <row r="5756">
      <c r="A5756">
        <f>IFERROR(INDEX('Email Cleaner'!$B$2:$B$10001,MATCH(5755,'Email Cleaner'!$H$2:$H$10001,0)),"")</f>
        <v/>
      </c>
    </row>
    <row r="5757">
      <c r="A5757">
        <f>IFERROR(INDEX('Email Cleaner'!$B$2:$B$10001,MATCH(5756,'Email Cleaner'!$H$2:$H$10001,0)),"")</f>
        <v/>
      </c>
    </row>
    <row r="5758">
      <c r="A5758">
        <f>IFERROR(INDEX('Email Cleaner'!$B$2:$B$10001,MATCH(5757,'Email Cleaner'!$H$2:$H$10001,0)),"")</f>
        <v/>
      </c>
    </row>
    <row r="5759">
      <c r="A5759">
        <f>IFERROR(INDEX('Email Cleaner'!$B$2:$B$10001,MATCH(5758,'Email Cleaner'!$H$2:$H$10001,0)),"")</f>
        <v/>
      </c>
    </row>
    <row r="5760">
      <c r="A5760">
        <f>IFERROR(INDEX('Email Cleaner'!$B$2:$B$10001,MATCH(5759,'Email Cleaner'!$H$2:$H$10001,0)),"")</f>
        <v/>
      </c>
    </row>
    <row r="5761">
      <c r="A5761">
        <f>IFERROR(INDEX('Email Cleaner'!$B$2:$B$10001,MATCH(5760,'Email Cleaner'!$H$2:$H$10001,0)),"")</f>
        <v/>
      </c>
    </row>
    <row r="5762">
      <c r="A5762">
        <f>IFERROR(INDEX('Email Cleaner'!$B$2:$B$10001,MATCH(5761,'Email Cleaner'!$H$2:$H$10001,0)),"")</f>
        <v/>
      </c>
    </row>
    <row r="5763">
      <c r="A5763">
        <f>IFERROR(INDEX('Email Cleaner'!$B$2:$B$10001,MATCH(5762,'Email Cleaner'!$H$2:$H$10001,0)),"")</f>
        <v/>
      </c>
    </row>
    <row r="5764">
      <c r="A5764">
        <f>IFERROR(INDEX('Email Cleaner'!$B$2:$B$10001,MATCH(5763,'Email Cleaner'!$H$2:$H$10001,0)),"")</f>
        <v/>
      </c>
    </row>
    <row r="5765">
      <c r="A5765">
        <f>IFERROR(INDEX('Email Cleaner'!$B$2:$B$10001,MATCH(5764,'Email Cleaner'!$H$2:$H$10001,0)),"")</f>
        <v/>
      </c>
    </row>
    <row r="5766">
      <c r="A5766">
        <f>IFERROR(INDEX('Email Cleaner'!$B$2:$B$10001,MATCH(5765,'Email Cleaner'!$H$2:$H$10001,0)),"")</f>
        <v/>
      </c>
    </row>
    <row r="5767">
      <c r="A5767">
        <f>IFERROR(INDEX('Email Cleaner'!$B$2:$B$10001,MATCH(5766,'Email Cleaner'!$H$2:$H$10001,0)),"")</f>
        <v/>
      </c>
    </row>
    <row r="5768">
      <c r="A5768">
        <f>IFERROR(INDEX('Email Cleaner'!$B$2:$B$10001,MATCH(5767,'Email Cleaner'!$H$2:$H$10001,0)),"")</f>
        <v/>
      </c>
    </row>
    <row r="5769">
      <c r="A5769">
        <f>IFERROR(INDEX('Email Cleaner'!$B$2:$B$10001,MATCH(5768,'Email Cleaner'!$H$2:$H$10001,0)),"")</f>
        <v/>
      </c>
    </row>
    <row r="5770">
      <c r="A5770">
        <f>IFERROR(INDEX('Email Cleaner'!$B$2:$B$10001,MATCH(5769,'Email Cleaner'!$H$2:$H$10001,0)),"")</f>
        <v/>
      </c>
    </row>
    <row r="5771">
      <c r="A5771">
        <f>IFERROR(INDEX('Email Cleaner'!$B$2:$B$10001,MATCH(5770,'Email Cleaner'!$H$2:$H$10001,0)),"")</f>
        <v/>
      </c>
    </row>
    <row r="5772">
      <c r="A5772">
        <f>IFERROR(INDEX('Email Cleaner'!$B$2:$B$10001,MATCH(5771,'Email Cleaner'!$H$2:$H$10001,0)),"")</f>
        <v/>
      </c>
    </row>
    <row r="5773">
      <c r="A5773">
        <f>IFERROR(INDEX('Email Cleaner'!$B$2:$B$10001,MATCH(5772,'Email Cleaner'!$H$2:$H$10001,0)),"")</f>
        <v/>
      </c>
    </row>
    <row r="5774">
      <c r="A5774">
        <f>IFERROR(INDEX('Email Cleaner'!$B$2:$B$10001,MATCH(5773,'Email Cleaner'!$H$2:$H$10001,0)),"")</f>
        <v/>
      </c>
    </row>
    <row r="5775">
      <c r="A5775">
        <f>IFERROR(INDEX('Email Cleaner'!$B$2:$B$10001,MATCH(5774,'Email Cleaner'!$H$2:$H$10001,0)),"")</f>
        <v/>
      </c>
    </row>
    <row r="5776">
      <c r="A5776">
        <f>IFERROR(INDEX('Email Cleaner'!$B$2:$B$10001,MATCH(5775,'Email Cleaner'!$H$2:$H$10001,0)),"")</f>
        <v/>
      </c>
    </row>
    <row r="5777">
      <c r="A5777">
        <f>IFERROR(INDEX('Email Cleaner'!$B$2:$B$10001,MATCH(5776,'Email Cleaner'!$H$2:$H$10001,0)),"")</f>
        <v/>
      </c>
    </row>
    <row r="5778">
      <c r="A5778">
        <f>IFERROR(INDEX('Email Cleaner'!$B$2:$B$10001,MATCH(5777,'Email Cleaner'!$H$2:$H$10001,0)),"")</f>
        <v/>
      </c>
    </row>
    <row r="5779">
      <c r="A5779">
        <f>IFERROR(INDEX('Email Cleaner'!$B$2:$B$10001,MATCH(5778,'Email Cleaner'!$H$2:$H$10001,0)),"")</f>
        <v/>
      </c>
    </row>
    <row r="5780">
      <c r="A5780">
        <f>IFERROR(INDEX('Email Cleaner'!$B$2:$B$10001,MATCH(5779,'Email Cleaner'!$H$2:$H$10001,0)),"")</f>
        <v/>
      </c>
    </row>
    <row r="5781">
      <c r="A5781">
        <f>IFERROR(INDEX('Email Cleaner'!$B$2:$B$10001,MATCH(5780,'Email Cleaner'!$H$2:$H$10001,0)),"")</f>
        <v/>
      </c>
    </row>
    <row r="5782">
      <c r="A5782">
        <f>IFERROR(INDEX('Email Cleaner'!$B$2:$B$10001,MATCH(5781,'Email Cleaner'!$H$2:$H$10001,0)),"")</f>
        <v/>
      </c>
    </row>
    <row r="5783">
      <c r="A5783">
        <f>IFERROR(INDEX('Email Cleaner'!$B$2:$B$10001,MATCH(5782,'Email Cleaner'!$H$2:$H$10001,0)),"")</f>
        <v/>
      </c>
    </row>
    <row r="5784">
      <c r="A5784">
        <f>IFERROR(INDEX('Email Cleaner'!$B$2:$B$10001,MATCH(5783,'Email Cleaner'!$H$2:$H$10001,0)),"")</f>
        <v/>
      </c>
    </row>
    <row r="5785">
      <c r="A5785">
        <f>IFERROR(INDEX('Email Cleaner'!$B$2:$B$10001,MATCH(5784,'Email Cleaner'!$H$2:$H$10001,0)),"")</f>
        <v/>
      </c>
    </row>
    <row r="5786">
      <c r="A5786">
        <f>IFERROR(INDEX('Email Cleaner'!$B$2:$B$10001,MATCH(5785,'Email Cleaner'!$H$2:$H$10001,0)),"")</f>
        <v/>
      </c>
    </row>
    <row r="5787">
      <c r="A5787">
        <f>IFERROR(INDEX('Email Cleaner'!$B$2:$B$10001,MATCH(5786,'Email Cleaner'!$H$2:$H$10001,0)),"")</f>
        <v/>
      </c>
    </row>
    <row r="5788">
      <c r="A5788">
        <f>IFERROR(INDEX('Email Cleaner'!$B$2:$B$10001,MATCH(5787,'Email Cleaner'!$H$2:$H$10001,0)),"")</f>
        <v/>
      </c>
    </row>
    <row r="5789">
      <c r="A5789">
        <f>IFERROR(INDEX('Email Cleaner'!$B$2:$B$10001,MATCH(5788,'Email Cleaner'!$H$2:$H$10001,0)),"")</f>
        <v/>
      </c>
    </row>
    <row r="5790">
      <c r="A5790">
        <f>IFERROR(INDEX('Email Cleaner'!$B$2:$B$10001,MATCH(5789,'Email Cleaner'!$H$2:$H$10001,0)),"")</f>
        <v/>
      </c>
    </row>
    <row r="5791">
      <c r="A5791">
        <f>IFERROR(INDEX('Email Cleaner'!$B$2:$B$10001,MATCH(5790,'Email Cleaner'!$H$2:$H$10001,0)),"")</f>
        <v/>
      </c>
    </row>
    <row r="5792">
      <c r="A5792">
        <f>IFERROR(INDEX('Email Cleaner'!$B$2:$B$10001,MATCH(5791,'Email Cleaner'!$H$2:$H$10001,0)),"")</f>
        <v/>
      </c>
    </row>
    <row r="5793">
      <c r="A5793">
        <f>IFERROR(INDEX('Email Cleaner'!$B$2:$B$10001,MATCH(5792,'Email Cleaner'!$H$2:$H$10001,0)),"")</f>
        <v/>
      </c>
    </row>
    <row r="5794">
      <c r="A5794">
        <f>IFERROR(INDEX('Email Cleaner'!$B$2:$B$10001,MATCH(5793,'Email Cleaner'!$H$2:$H$10001,0)),"")</f>
        <v/>
      </c>
    </row>
    <row r="5795">
      <c r="A5795">
        <f>IFERROR(INDEX('Email Cleaner'!$B$2:$B$10001,MATCH(5794,'Email Cleaner'!$H$2:$H$10001,0)),"")</f>
        <v/>
      </c>
    </row>
    <row r="5796">
      <c r="A5796">
        <f>IFERROR(INDEX('Email Cleaner'!$B$2:$B$10001,MATCH(5795,'Email Cleaner'!$H$2:$H$10001,0)),"")</f>
        <v/>
      </c>
    </row>
    <row r="5797">
      <c r="A5797">
        <f>IFERROR(INDEX('Email Cleaner'!$B$2:$B$10001,MATCH(5796,'Email Cleaner'!$H$2:$H$10001,0)),"")</f>
        <v/>
      </c>
    </row>
    <row r="5798">
      <c r="A5798">
        <f>IFERROR(INDEX('Email Cleaner'!$B$2:$B$10001,MATCH(5797,'Email Cleaner'!$H$2:$H$10001,0)),"")</f>
        <v/>
      </c>
    </row>
    <row r="5799">
      <c r="A5799">
        <f>IFERROR(INDEX('Email Cleaner'!$B$2:$B$10001,MATCH(5798,'Email Cleaner'!$H$2:$H$10001,0)),"")</f>
        <v/>
      </c>
    </row>
    <row r="5800">
      <c r="A5800">
        <f>IFERROR(INDEX('Email Cleaner'!$B$2:$B$10001,MATCH(5799,'Email Cleaner'!$H$2:$H$10001,0)),"")</f>
        <v/>
      </c>
    </row>
    <row r="5801">
      <c r="A5801">
        <f>IFERROR(INDEX('Email Cleaner'!$B$2:$B$10001,MATCH(5800,'Email Cleaner'!$H$2:$H$10001,0)),"")</f>
        <v/>
      </c>
    </row>
    <row r="5802">
      <c r="A5802">
        <f>IFERROR(INDEX('Email Cleaner'!$B$2:$B$10001,MATCH(5801,'Email Cleaner'!$H$2:$H$10001,0)),"")</f>
        <v/>
      </c>
    </row>
    <row r="5803">
      <c r="A5803">
        <f>IFERROR(INDEX('Email Cleaner'!$B$2:$B$10001,MATCH(5802,'Email Cleaner'!$H$2:$H$10001,0)),"")</f>
        <v/>
      </c>
    </row>
    <row r="5804">
      <c r="A5804">
        <f>IFERROR(INDEX('Email Cleaner'!$B$2:$B$10001,MATCH(5803,'Email Cleaner'!$H$2:$H$10001,0)),"")</f>
        <v/>
      </c>
    </row>
    <row r="5805">
      <c r="A5805">
        <f>IFERROR(INDEX('Email Cleaner'!$B$2:$B$10001,MATCH(5804,'Email Cleaner'!$H$2:$H$10001,0)),"")</f>
        <v/>
      </c>
    </row>
    <row r="5806">
      <c r="A5806">
        <f>IFERROR(INDEX('Email Cleaner'!$B$2:$B$10001,MATCH(5805,'Email Cleaner'!$H$2:$H$10001,0)),"")</f>
        <v/>
      </c>
    </row>
    <row r="5807">
      <c r="A5807">
        <f>IFERROR(INDEX('Email Cleaner'!$B$2:$B$10001,MATCH(5806,'Email Cleaner'!$H$2:$H$10001,0)),"")</f>
        <v/>
      </c>
    </row>
    <row r="5808">
      <c r="A5808">
        <f>IFERROR(INDEX('Email Cleaner'!$B$2:$B$10001,MATCH(5807,'Email Cleaner'!$H$2:$H$10001,0)),"")</f>
        <v/>
      </c>
    </row>
    <row r="5809">
      <c r="A5809">
        <f>IFERROR(INDEX('Email Cleaner'!$B$2:$B$10001,MATCH(5808,'Email Cleaner'!$H$2:$H$10001,0)),"")</f>
        <v/>
      </c>
    </row>
    <row r="5810">
      <c r="A5810">
        <f>IFERROR(INDEX('Email Cleaner'!$B$2:$B$10001,MATCH(5809,'Email Cleaner'!$H$2:$H$10001,0)),"")</f>
        <v/>
      </c>
    </row>
    <row r="5811">
      <c r="A5811">
        <f>IFERROR(INDEX('Email Cleaner'!$B$2:$B$10001,MATCH(5810,'Email Cleaner'!$H$2:$H$10001,0)),"")</f>
        <v/>
      </c>
    </row>
    <row r="5812">
      <c r="A5812">
        <f>IFERROR(INDEX('Email Cleaner'!$B$2:$B$10001,MATCH(5811,'Email Cleaner'!$H$2:$H$10001,0)),"")</f>
        <v/>
      </c>
    </row>
    <row r="5813">
      <c r="A5813">
        <f>IFERROR(INDEX('Email Cleaner'!$B$2:$B$10001,MATCH(5812,'Email Cleaner'!$H$2:$H$10001,0)),"")</f>
        <v/>
      </c>
    </row>
    <row r="5814">
      <c r="A5814">
        <f>IFERROR(INDEX('Email Cleaner'!$B$2:$B$10001,MATCH(5813,'Email Cleaner'!$H$2:$H$10001,0)),"")</f>
        <v/>
      </c>
    </row>
    <row r="5815">
      <c r="A5815">
        <f>IFERROR(INDEX('Email Cleaner'!$B$2:$B$10001,MATCH(5814,'Email Cleaner'!$H$2:$H$10001,0)),"")</f>
        <v/>
      </c>
    </row>
    <row r="5816">
      <c r="A5816">
        <f>IFERROR(INDEX('Email Cleaner'!$B$2:$B$10001,MATCH(5815,'Email Cleaner'!$H$2:$H$10001,0)),"")</f>
        <v/>
      </c>
    </row>
    <row r="5817">
      <c r="A5817">
        <f>IFERROR(INDEX('Email Cleaner'!$B$2:$B$10001,MATCH(5816,'Email Cleaner'!$H$2:$H$10001,0)),"")</f>
        <v/>
      </c>
    </row>
    <row r="5818">
      <c r="A5818">
        <f>IFERROR(INDEX('Email Cleaner'!$B$2:$B$10001,MATCH(5817,'Email Cleaner'!$H$2:$H$10001,0)),"")</f>
        <v/>
      </c>
    </row>
    <row r="5819">
      <c r="A5819">
        <f>IFERROR(INDEX('Email Cleaner'!$B$2:$B$10001,MATCH(5818,'Email Cleaner'!$H$2:$H$10001,0)),"")</f>
        <v/>
      </c>
    </row>
    <row r="5820">
      <c r="A5820">
        <f>IFERROR(INDEX('Email Cleaner'!$B$2:$B$10001,MATCH(5819,'Email Cleaner'!$H$2:$H$10001,0)),"")</f>
        <v/>
      </c>
    </row>
    <row r="5821">
      <c r="A5821">
        <f>IFERROR(INDEX('Email Cleaner'!$B$2:$B$10001,MATCH(5820,'Email Cleaner'!$H$2:$H$10001,0)),"")</f>
        <v/>
      </c>
    </row>
    <row r="5822">
      <c r="A5822">
        <f>IFERROR(INDEX('Email Cleaner'!$B$2:$B$10001,MATCH(5821,'Email Cleaner'!$H$2:$H$10001,0)),"")</f>
        <v/>
      </c>
    </row>
    <row r="5823">
      <c r="A5823">
        <f>IFERROR(INDEX('Email Cleaner'!$B$2:$B$10001,MATCH(5822,'Email Cleaner'!$H$2:$H$10001,0)),"")</f>
        <v/>
      </c>
    </row>
    <row r="5824">
      <c r="A5824">
        <f>IFERROR(INDEX('Email Cleaner'!$B$2:$B$10001,MATCH(5823,'Email Cleaner'!$H$2:$H$10001,0)),"")</f>
        <v/>
      </c>
    </row>
    <row r="5825">
      <c r="A5825">
        <f>IFERROR(INDEX('Email Cleaner'!$B$2:$B$10001,MATCH(5824,'Email Cleaner'!$H$2:$H$10001,0)),"")</f>
        <v/>
      </c>
    </row>
    <row r="5826">
      <c r="A5826">
        <f>IFERROR(INDEX('Email Cleaner'!$B$2:$B$10001,MATCH(5825,'Email Cleaner'!$H$2:$H$10001,0)),"")</f>
        <v/>
      </c>
    </row>
    <row r="5827">
      <c r="A5827">
        <f>IFERROR(INDEX('Email Cleaner'!$B$2:$B$10001,MATCH(5826,'Email Cleaner'!$H$2:$H$10001,0)),"")</f>
        <v/>
      </c>
    </row>
    <row r="5828">
      <c r="A5828">
        <f>IFERROR(INDEX('Email Cleaner'!$B$2:$B$10001,MATCH(5827,'Email Cleaner'!$H$2:$H$10001,0)),"")</f>
        <v/>
      </c>
    </row>
    <row r="5829">
      <c r="A5829">
        <f>IFERROR(INDEX('Email Cleaner'!$B$2:$B$10001,MATCH(5828,'Email Cleaner'!$H$2:$H$10001,0)),"")</f>
        <v/>
      </c>
    </row>
    <row r="5830">
      <c r="A5830">
        <f>IFERROR(INDEX('Email Cleaner'!$B$2:$B$10001,MATCH(5829,'Email Cleaner'!$H$2:$H$10001,0)),"")</f>
        <v/>
      </c>
    </row>
    <row r="5831">
      <c r="A5831">
        <f>IFERROR(INDEX('Email Cleaner'!$B$2:$B$10001,MATCH(5830,'Email Cleaner'!$H$2:$H$10001,0)),"")</f>
        <v/>
      </c>
    </row>
    <row r="5832">
      <c r="A5832">
        <f>IFERROR(INDEX('Email Cleaner'!$B$2:$B$10001,MATCH(5831,'Email Cleaner'!$H$2:$H$10001,0)),"")</f>
        <v/>
      </c>
    </row>
    <row r="5833">
      <c r="A5833">
        <f>IFERROR(INDEX('Email Cleaner'!$B$2:$B$10001,MATCH(5832,'Email Cleaner'!$H$2:$H$10001,0)),"")</f>
        <v/>
      </c>
    </row>
    <row r="5834">
      <c r="A5834">
        <f>IFERROR(INDEX('Email Cleaner'!$B$2:$B$10001,MATCH(5833,'Email Cleaner'!$H$2:$H$10001,0)),"")</f>
        <v/>
      </c>
    </row>
    <row r="5835">
      <c r="A5835">
        <f>IFERROR(INDEX('Email Cleaner'!$B$2:$B$10001,MATCH(5834,'Email Cleaner'!$H$2:$H$10001,0)),"")</f>
        <v/>
      </c>
    </row>
    <row r="5836">
      <c r="A5836">
        <f>IFERROR(INDEX('Email Cleaner'!$B$2:$B$10001,MATCH(5835,'Email Cleaner'!$H$2:$H$10001,0)),"")</f>
        <v/>
      </c>
    </row>
    <row r="5837">
      <c r="A5837">
        <f>IFERROR(INDEX('Email Cleaner'!$B$2:$B$10001,MATCH(5836,'Email Cleaner'!$H$2:$H$10001,0)),"")</f>
        <v/>
      </c>
    </row>
    <row r="5838">
      <c r="A5838">
        <f>IFERROR(INDEX('Email Cleaner'!$B$2:$B$10001,MATCH(5837,'Email Cleaner'!$H$2:$H$10001,0)),"")</f>
        <v/>
      </c>
    </row>
    <row r="5839">
      <c r="A5839">
        <f>IFERROR(INDEX('Email Cleaner'!$B$2:$B$10001,MATCH(5838,'Email Cleaner'!$H$2:$H$10001,0)),"")</f>
        <v/>
      </c>
    </row>
    <row r="5840">
      <c r="A5840">
        <f>IFERROR(INDEX('Email Cleaner'!$B$2:$B$10001,MATCH(5839,'Email Cleaner'!$H$2:$H$10001,0)),"")</f>
        <v/>
      </c>
    </row>
    <row r="5841">
      <c r="A5841">
        <f>IFERROR(INDEX('Email Cleaner'!$B$2:$B$10001,MATCH(5840,'Email Cleaner'!$H$2:$H$10001,0)),"")</f>
        <v/>
      </c>
    </row>
    <row r="5842">
      <c r="A5842">
        <f>IFERROR(INDEX('Email Cleaner'!$B$2:$B$10001,MATCH(5841,'Email Cleaner'!$H$2:$H$10001,0)),"")</f>
        <v/>
      </c>
    </row>
    <row r="5843">
      <c r="A5843">
        <f>IFERROR(INDEX('Email Cleaner'!$B$2:$B$10001,MATCH(5842,'Email Cleaner'!$H$2:$H$10001,0)),"")</f>
        <v/>
      </c>
    </row>
    <row r="5844">
      <c r="A5844">
        <f>IFERROR(INDEX('Email Cleaner'!$B$2:$B$10001,MATCH(5843,'Email Cleaner'!$H$2:$H$10001,0)),"")</f>
        <v/>
      </c>
    </row>
    <row r="5845">
      <c r="A5845">
        <f>IFERROR(INDEX('Email Cleaner'!$B$2:$B$10001,MATCH(5844,'Email Cleaner'!$H$2:$H$10001,0)),"")</f>
        <v/>
      </c>
    </row>
    <row r="5846">
      <c r="A5846">
        <f>IFERROR(INDEX('Email Cleaner'!$B$2:$B$10001,MATCH(5845,'Email Cleaner'!$H$2:$H$10001,0)),"")</f>
        <v/>
      </c>
    </row>
    <row r="5847">
      <c r="A5847">
        <f>IFERROR(INDEX('Email Cleaner'!$B$2:$B$10001,MATCH(5846,'Email Cleaner'!$H$2:$H$10001,0)),"")</f>
        <v/>
      </c>
    </row>
    <row r="5848">
      <c r="A5848">
        <f>IFERROR(INDEX('Email Cleaner'!$B$2:$B$10001,MATCH(5847,'Email Cleaner'!$H$2:$H$10001,0)),"")</f>
        <v/>
      </c>
    </row>
    <row r="5849">
      <c r="A5849">
        <f>IFERROR(INDEX('Email Cleaner'!$B$2:$B$10001,MATCH(5848,'Email Cleaner'!$H$2:$H$10001,0)),"")</f>
        <v/>
      </c>
    </row>
    <row r="5850">
      <c r="A5850">
        <f>IFERROR(INDEX('Email Cleaner'!$B$2:$B$10001,MATCH(5849,'Email Cleaner'!$H$2:$H$10001,0)),"")</f>
        <v/>
      </c>
    </row>
    <row r="5851">
      <c r="A5851">
        <f>IFERROR(INDEX('Email Cleaner'!$B$2:$B$10001,MATCH(5850,'Email Cleaner'!$H$2:$H$10001,0)),"")</f>
        <v/>
      </c>
    </row>
    <row r="5852">
      <c r="A5852">
        <f>IFERROR(INDEX('Email Cleaner'!$B$2:$B$10001,MATCH(5851,'Email Cleaner'!$H$2:$H$10001,0)),"")</f>
        <v/>
      </c>
    </row>
    <row r="5853">
      <c r="A5853">
        <f>IFERROR(INDEX('Email Cleaner'!$B$2:$B$10001,MATCH(5852,'Email Cleaner'!$H$2:$H$10001,0)),"")</f>
        <v/>
      </c>
    </row>
    <row r="5854">
      <c r="A5854">
        <f>IFERROR(INDEX('Email Cleaner'!$B$2:$B$10001,MATCH(5853,'Email Cleaner'!$H$2:$H$10001,0)),"")</f>
        <v/>
      </c>
    </row>
    <row r="5855">
      <c r="A5855">
        <f>IFERROR(INDEX('Email Cleaner'!$B$2:$B$10001,MATCH(5854,'Email Cleaner'!$H$2:$H$10001,0)),"")</f>
        <v/>
      </c>
    </row>
    <row r="5856">
      <c r="A5856">
        <f>IFERROR(INDEX('Email Cleaner'!$B$2:$B$10001,MATCH(5855,'Email Cleaner'!$H$2:$H$10001,0)),"")</f>
        <v/>
      </c>
    </row>
    <row r="5857">
      <c r="A5857">
        <f>IFERROR(INDEX('Email Cleaner'!$B$2:$B$10001,MATCH(5856,'Email Cleaner'!$H$2:$H$10001,0)),"")</f>
        <v/>
      </c>
    </row>
    <row r="5858">
      <c r="A5858">
        <f>IFERROR(INDEX('Email Cleaner'!$B$2:$B$10001,MATCH(5857,'Email Cleaner'!$H$2:$H$10001,0)),"")</f>
        <v/>
      </c>
    </row>
    <row r="5859">
      <c r="A5859">
        <f>IFERROR(INDEX('Email Cleaner'!$B$2:$B$10001,MATCH(5858,'Email Cleaner'!$H$2:$H$10001,0)),"")</f>
        <v/>
      </c>
    </row>
    <row r="5860">
      <c r="A5860">
        <f>IFERROR(INDEX('Email Cleaner'!$B$2:$B$10001,MATCH(5859,'Email Cleaner'!$H$2:$H$10001,0)),"")</f>
        <v/>
      </c>
    </row>
    <row r="5861">
      <c r="A5861">
        <f>IFERROR(INDEX('Email Cleaner'!$B$2:$B$10001,MATCH(5860,'Email Cleaner'!$H$2:$H$10001,0)),"")</f>
        <v/>
      </c>
    </row>
    <row r="5862">
      <c r="A5862">
        <f>IFERROR(INDEX('Email Cleaner'!$B$2:$B$10001,MATCH(5861,'Email Cleaner'!$H$2:$H$10001,0)),"")</f>
        <v/>
      </c>
    </row>
    <row r="5863">
      <c r="A5863">
        <f>IFERROR(INDEX('Email Cleaner'!$B$2:$B$10001,MATCH(5862,'Email Cleaner'!$H$2:$H$10001,0)),"")</f>
        <v/>
      </c>
    </row>
    <row r="5864">
      <c r="A5864">
        <f>IFERROR(INDEX('Email Cleaner'!$B$2:$B$10001,MATCH(5863,'Email Cleaner'!$H$2:$H$10001,0)),"")</f>
        <v/>
      </c>
    </row>
    <row r="5865">
      <c r="A5865">
        <f>IFERROR(INDEX('Email Cleaner'!$B$2:$B$10001,MATCH(5864,'Email Cleaner'!$H$2:$H$10001,0)),"")</f>
        <v/>
      </c>
    </row>
    <row r="5866">
      <c r="A5866">
        <f>IFERROR(INDEX('Email Cleaner'!$B$2:$B$10001,MATCH(5865,'Email Cleaner'!$H$2:$H$10001,0)),"")</f>
        <v/>
      </c>
    </row>
    <row r="5867">
      <c r="A5867">
        <f>IFERROR(INDEX('Email Cleaner'!$B$2:$B$10001,MATCH(5866,'Email Cleaner'!$H$2:$H$10001,0)),"")</f>
        <v/>
      </c>
    </row>
    <row r="5868">
      <c r="A5868">
        <f>IFERROR(INDEX('Email Cleaner'!$B$2:$B$10001,MATCH(5867,'Email Cleaner'!$H$2:$H$10001,0)),"")</f>
        <v/>
      </c>
    </row>
    <row r="5869">
      <c r="A5869">
        <f>IFERROR(INDEX('Email Cleaner'!$B$2:$B$10001,MATCH(5868,'Email Cleaner'!$H$2:$H$10001,0)),"")</f>
        <v/>
      </c>
    </row>
    <row r="5870">
      <c r="A5870">
        <f>IFERROR(INDEX('Email Cleaner'!$B$2:$B$10001,MATCH(5869,'Email Cleaner'!$H$2:$H$10001,0)),"")</f>
        <v/>
      </c>
    </row>
    <row r="5871">
      <c r="A5871">
        <f>IFERROR(INDEX('Email Cleaner'!$B$2:$B$10001,MATCH(5870,'Email Cleaner'!$H$2:$H$10001,0)),"")</f>
        <v/>
      </c>
    </row>
    <row r="5872">
      <c r="A5872">
        <f>IFERROR(INDEX('Email Cleaner'!$B$2:$B$10001,MATCH(5871,'Email Cleaner'!$H$2:$H$10001,0)),"")</f>
        <v/>
      </c>
    </row>
    <row r="5873">
      <c r="A5873">
        <f>IFERROR(INDEX('Email Cleaner'!$B$2:$B$10001,MATCH(5872,'Email Cleaner'!$H$2:$H$10001,0)),"")</f>
        <v/>
      </c>
    </row>
    <row r="5874">
      <c r="A5874">
        <f>IFERROR(INDEX('Email Cleaner'!$B$2:$B$10001,MATCH(5873,'Email Cleaner'!$H$2:$H$10001,0)),"")</f>
        <v/>
      </c>
    </row>
    <row r="5875">
      <c r="A5875">
        <f>IFERROR(INDEX('Email Cleaner'!$B$2:$B$10001,MATCH(5874,'Email Cleaner'!$H$2:$H$10001,0)),"")</f>
        <v/>
      </c>
    </row>
    <row r="5876">
      <c r="A5876">
        <f>IFERROR(INDEX('Email Cleaner'!$B$2:$B$10001,MATCH(5875,'Email Cleaner'!$H$2:$H$10001,0)),"")</f>
        <v/>
      </c>
    </row>
    <row r="5877">
      <c r="A5877">
        <f>IFERROR(INDEX('Email Cleaner'!$B$2:$B$10001,MATCH(5876,'Email Cleaner'!$H$2:$H$10001,0)),"")</f>
        <v/>
      </c>
    </row>
    <row r="5878">
      <c r="A5878">
        <f>IFERROR(INDEX('Email Cleaner'!$B$2:$B$10001,MATCH(5877,'Email Cleaner'!$H$2:$H$10001,0)),"")</f>
        <v/>
      </c>
    </row>
    <row r="5879">
      <c r="A5879">
        <f>IFERROR(INDEX('Email Cleaner'!$B$2:$B$10001,MATCH(5878,'Email Cleaner'!$H$2:$H$10001,0)),"")</f>
        <v/>
      </c>
    </row>
    <row r="5880">
      <c r="A5880">
        <f>IFERROR(INDEX('Email Cleaner'!$B$2:$B$10001,MATCH(5879,'Email Cleaner'!$H$2:$H$10001,0)),"")</f>
        <v/>
      </c>
    </row>
    <row r="5881">
      <c r="A5881">
        <f>IFERROR(INDEX('Email Cleaner'!$B$2:$B$10001,MATCH(5880,'Email Cleaner'!$H$2:$H$10001,0)),"")</f>
        <v/>
      </c>
    </row>
    <row r="5882">
      <c r="A5882">
        <f>IFERROR(INDEX('Email Cleaner'!$B$2:$B$10001,MATCH(5881,'Email Cleaner'!$H$2:$H$10001,0)),"")</f>
        <v/>
      </c>
    </row>
    <row r="5883">
      <c r="A5883">
        <f>IFERROR(INDEX('Email Cleaner'!$B$2:$B$10001,MATCH(5882,'Email Cleaner'!$H$2:$H$10001,0)),"")</f>
        <v/>
      </c>
    </row>
    <row r="5884">
      <c r="A5884">
        <f>IFERROR(INDEX('Email Cleaner'!$B$2:$B$10001,MATCH(5883,'Email Cleaner'!$H$2:$H$10001,0)),"")</f>
        <v/>
      </c>
    </row>
    <row r="5885">
      <c r="A5885">
        <f>IFERROR(INDEX('Email Cleaner'!$B$2:$B$10001,MATCH(5884,'Email Cleaner'!$H$2:$H$10001,0)),"")</f>
        <v/>
      </c>
    </row>
    <row r="5886">
      <c r="A5886">
        <f>IFERROR(INDEX('Email Cleaner'!$B$2:$B$10001,MATCH(5885,'Email Cleaner'!$H$2:$H$10001,0)),"")</f>
        <v/>
      </c>
    </row>
    <row r="5887">
      <c r="A5887">
        <f>IFERROR(INDEX('Email Cleaner'!$B$2:$B$10001,MATCH(5886,'Email Cleaner'!$H$2:$H$10001,0)),"")</f>
        <v/>
      </c>
    </row>
    <row r="5888">
      <c r="A5888">
        <f>IFERROR(INDEX('Email Cleaner'!$B$2:$B$10001,MATCH(5887,'Email Cleaner'!$H$2:$H$10001,0)),"")</f>
        <v/>
      </c>
    </row>
    <row r="5889">
      <c r="A5889">
        <f>IFERROR(INDEX('Email Cleaner'!$B$2:$B$10001,MATCH(5888,'Email Cleaner'!$H$2:$H$10001,0)),"")</f>
        <v/>
      </c>
    </row>
    <row r="5890">
      <c r="A5890">
        <f>IFERROR(INDEX('Email Cleaner'!$B$2:$B$10001,MATCH(5889,'Email Cleaner'!$H$2:$H$10001,0)),"")</f>
        <v/>
      </c>
    </row>
    <row r="5891">
      <c r="A5891">
        <f>IFERROR(INDEX('Email Cleaner'!$B$2:$B$10001,MATCH(5890,'Email Cleaner'!$H$2:$H$10001,0)),"")</f>
        <v/>
      </c>
    </row>
    <row r="5892">
      <c r="A5892">
        <f>IFERROR(INDEX('Email Cleaner'!$B$2:$B$10001,MATCH(5891,'Email Cleaner'!$H$2:$H$10001,0)),"")</f>
        <v/>
      </c>
    </row>
    <row r="5893">
      <c r="A5893">
        <f>IFERROR(INDEX('Email Cleaner'!$B$2:$B$10001,MATCH(5892,'Email Cleaner'!$H$2:$H$10001,0)),"")</f>
        <v/>
      </c>
    </row>
    <row r="5894">
      <c r="A5894">
        <f>IFERROR(INDEX('Email Cleaner'!$B$2:$B$10001,MATCH(5893,'Email Cleaner'!$H$2:$H$10001,0)),"")</f>
        <v/>
      </c>
    </row>
    <row r="5895">
      <c r="A5895">
        <f>IFERROR(INDEX('Email Cleaner'!$B$2:$B$10001,MATCH(5894,'Email Cleaner'!$H$2:$H$10001,0)),"")</f>
        <v/>
      </c>
    </row>
    <row r="5896">
      <c r="A5896">
        <f>IFERROR(INDEX('Email Cleaner'!$B$2:$B$10001,MATCH(5895,'Email Cleaner'!$H$2:$H$10001,0)),"")</f>
        <v/>
      </c>
    </row>
    <row r="5897">
      <c r="A5897">
        <f>IFERROR(INDEX('Email Cleaner'!$B$2:$B$10001,MATCH(5896,'Email Cleaner'!$H$2:$H$10001,0)),"")</f>
        <v/>
      </c>
    </row>
    <row r="5898">
      <c r="A5898">
        <f>IFERROR(INDEX('Email Cleaner'!$B$2:$B$10001,MATCH(5897,'Email Cleaner'!$H$2:$H$10001,0)),"")</f>
        <v/>
      </c>
    </row>
    <row r="5899">
      <c r="A5899">
        <f>IFERROR(INDEX('Email Cleaner'!$B$2:$B$10001,MATCH(5898,'Email Cleaner'!$H$2:$H$10001,0)),"")</f>
        <v/>
      </c>
    </row>
    <row r="5900">
      <c r="A5900">
        <f>IFERROR(INDEX('Email Cleaner'!$B$2:$B$10001,MATCH(5899,'Email Cleaner'!$H$2:$H$10001,0)),"")</f>
        <v/>
      </c>
    </row>
    <row r="5901">
      <c r="A5901">
        <f>IFERROR(INDEX('Email Cleaner'!$B$2:$B$10001,MATCH(5900,'Email Cleaner'!$H$2:$H$10001,0)),"")</f>
        <v/>
      </c>
    </row>
    <row r="5902">
      <c r="A5902">
        <f>IFERROR(INDEX('Email Cleaner'!$B$2:$B$10001,MATCH(5901,'Email Cleaner'!$H$2:$H$10001,0)),"")</f>
        <v/>
      </c>
    </row>
    <row r="5903">
      <c r="A5903">
        <f>IFERROR(INDEX('Email Cleaner'!$B$2:$B$10001,MATCH(5902,'Email Cleaner'!$H$2:$H$10001,0)),"")</f>
        <v/>
      </c>
    </row>
    <row r="5904">
      <c r="A5904">
        <f>IFERROR(INDEX('Email Cleaner'!$B$2:$B$10001,MATCH(5903,'Email Cleaner'!$H$2:$H$10001,0)),"")</f>
        <v/>
      </c>
    </row>
    <row r="5905">
      <c r="A5905">
        <f>IFERROR(INDEX('Email Cleaner'!$B$2:$B$10001,MATCH(5904,'Email Cleaner'!$H$2:$H$10001,0)),"")</f>
        <v/>
      </c>
    </row>
    <row r="5906">
      <c r="A5906">
        <f>IFERROR(INDEX('Email Cleaner'!$B$2:$B$10001,MATCH(5905,'Email Cleaner'!$H$2:$H$10001,0)),"")</f>
        <v/>
      </c>
    </row>
    <row r="5907">
      <c r="A5907">
        <f>IFERROR(INDEX('Email Cleaner'!$B$2:$B$10001,MATCH(5906,'Email Cleaner'!$H$2:$H$10001,0)),"")</f>
        <v/>
      </c>
    </row>
    <row r="5908">
      <c r="A5908">
        <f>IFERROR(INDEX('Email Cleaner'!$B$2:$B$10001,MATCH(5907,'Email Cleaner'!$H$2:$H$10001,0)),"")</f>
        <v/>
      </c>
    </row>
    <row r="5909">
      <c r="A5909">
        <f>IFERROR(INDEX('Email Cleaner'!$B$2:$B$10001,MATCH(5908,'Email Cleaner'!$H$2:$H$10001,0)),"")</f>
        <v/>
      </c>
    </row>
    <row r="5910">
      <c r="A5910">
        <f>IFERROR(INDEX('Email Cleaner'!$B$2:$B$10001,MATCH(5909,'Email Cleaner'!$H$2:$H$10001,0)),"")</f>
        <v/>
      </c>
    </row>
    <row r="5911">
      <c r="A5911">
        <f>IFERROR(INDEX('Email Cleaner'!$B$2:$B$10001,MATCH(5910,'Email Cleaner'!$H$2:$H$10001,0)),"")</f>
        <v/>
      </c>
    </row>
    <row r="5912">
      <c r="A5912">
        <f>IFERROR(INDEX('Email Cleaner'!$B$2:$B$10001,MATCH(5911,'Email Cleaner'!$H$2:$H$10001,0)),"")</f>
        <v/>
      </c>
    </row>
    <row r="5913">
      <c r="A5913">
        <f>IFERROR(INDEX('Email Cleaner'!$B$2:$B$10001,MATCH(5912,'Email Cleaner'!$H$2:$H$10001,0)),"")</f>
        <v/>
      </c>
    </row>
    <row r="5914">
      <c r="A5914">
        <f>IFERROR(INDEX('Email Cleaner'!$B$2:$B$10001,MATCH(5913,'Email Cleaner'!$H$2:$H$10001,0)),"")</f>
        <v/>
      </c>
    </row>
    <row r="5915">
      <c r="A5915">
        <f>IFERROR(INDEX('Email Cleaner'!$B$2:$B$10001,MATCH(5914,'Email Cleaner'!$H$2:$H$10001,0)),"")</f>
        <v/>
      </c>
    </row>
    <row r="5916">
      <c r="A5916">
        <f>IFERROR(INDEX('Email Cleaner'!$B$2:$B$10001,MATCH(5915,'Email Cleaner'!$H$2:$H$10001,0)),"")</f>
        <v/>
      </c>
    </row>
    <row r="5917">
      <c r="A5917">
        <f>IFERROR(INDEX('Email Cleaner'!$B$2:$B$10001,MATCH(5916,'Email Cleaner'!$H$2:$H$10001,0)),"")</f>
        <v/>
      </c>
    </row>
    <row r="5918">
      <c r="A5918">
        <f>IFERROR(INDEX('Email Cleaner'!$B$2:$B$10001,MATCH(5917,'Email Cleaner'!$H$2:$H$10001,0)),"")</f>
        <v/>
      </c>
    </row>
    <row r="5919">
      <c r="A5919">
        <f>IFERROR(INDEX('Email Cleaner'!$B$2:$B$10001,MATCH(5918,'Email Cleaner'!$H$2:$H$10001,0)),"")</f>
        <v/>
      </c>
    </row>
    <row r="5920">
      <c r="A5920">
        <f>IFERROR(INDEX('Email Cleaner'!$B$2:$B$10001,MATCH(5919,'Email Cleaner'!$H$2:$H$10001,0)),"")</f>
        <v/>
      </c>
    </row>
    <row r="5921">
      <c r="A5921">
        <f>IFERROR(INDEX('Email Cleaner'!$B$2:$B$10001,MATCH(5920,'Email Cleaner'!$H$2:$H$10001,0)),"")</f>
        <v/>
      </c>
    </row>
    <row r="5922">
      <c r="A5922">
        <f>IFERROR(INDEX('Email Cleaner'!$B$2:$B$10001,MATCH(5921,'Email Cleaner'!$H$2:$H$10001,0)),"")</f>
        <v/>
      </c>
    </row>
    <row r="5923">
      <c r="A5923">
        <f>IFERROR(INDEX('Email Cleaner'!$B$2:$B$10001,MATCH(5922,'Email Cleaner'!$H$2:$H$10001,0)),"")</f>
        <v/>
      </c>
    </row>
    <row r="5924">
      <c r="A5924">
        <f>IFERROR(INDEX('Email Cleaner'!$B$2:$B$10001,MATCH(5923,'Email Cleaner'!$H$2:$H$10001,0)),"")</f>
        <v/>
      </c>
    </row>
    <row r="5925">
      <c r="A5925">
        <f>IFERROR(INDEX('Email Cleaner'!$B$2:$B$10001,MATCH(5924,'Email Cleaner'!$H$2:$H$10001,0)),"")</f>
        <v/>
      </c>
    </row>
    <row r="5926">
      <c r="A5926">
        <f>IFERROR(INDEX('Email Cleaner'!$B$2:$B$10001,MATCH(5925,'Email Cleaner'!$H$2:$H$10001,0)),"")</f>
        <v/>
      </c>
    </row>
    <row r="5927">
      <c r="A5927">
        <f>IFERROR(INDEX('Email Cleaner'!$B$2:$B$10001,MATCH(5926,'Email Cleaner'!$H$2:$H$10001,0)),"")</f>
        <v/>
      </c>
    </row>
    <row r="5928">
      <c r="A5928">
        <f>IFERROR(INDEX('Email Cleaner'!$B$2:$B$10001,MATCH(5927,'Email Cleaner'!$H$2:$H$10001,0)),"")</f>
        <v/>
      </c>
    </row>
    <row r="5929">
      <c r="A5929">
        <f>IFERROR(INDEX('Email Cleaner'!$B$2:$B$10001,MATCH(5928,'Email Cleaner'!$H$2:$H$10001,0)),"")</f>
        <v/>
      </c>
    </row>
    <row r="5930">
      <c r="A5930">
        <f>IFERROR(INDEX('Email Cleaner'!$B$2:$B$10001,MATCH(5929,'Email Cleaner'!$H$2:$H$10001,0)),"")</f>
        <v/>
      </c>
    </row>
    <row r="5931">
      <c r="A5931">
        <f>IFERROR(INDEX('Email Cleaner'!$B$2:$B$10001,MATCH(5930,'Email Cleaner'!$H$2:$H$10001,0)),"")</f>
        <v/>
      </c>
    </row>
    <row r="5932">
      <c r="A5932">
        <f>IFERROR(INDEX('Email Cleaner'!$B$2:$B$10001,MATCH(5931,'Email Cleaner'!$H$2:$H$10001,0)),"")</f>
        <v/>
      </c>
    </row>
    <row r="5933">
      <c r="A5933">
        <f>IFERROR(INDEX('Email Cleaner'!$B$2:$B$10001,MATCH(5932,'Email Cleaner'!$H$2:$H$10001,0)),"")</f>
        <v/>
      </c>
    </row>
    <row r="5934">
      <c r="A5934">
        <f>IFERROR(INDEX('Email Cleaner'!$B$2:$B$10001,MATCH(5933,'Email Cleaner'!$H$2:$H$10001,0)),"")</f>
        <v/>
      </c>
    </row>
    <row r="5935">
      <c r="A5935">
        <f>IFERROR(INDEX('Email Cleaner'!$B$2:$B$10001,MATCH(5934,'Email Cleaner'!$H$2:$H$10001,0)),"")</f>
        <v/>
      </c>
    </row>
    <row r="5936">
      <c r="A5936">
        <f>IFERROR(INDEX('Email Cleaner'!$B$2:$B$10001,MATCH(5935,'Email Cleaner'!$H$2:$H$10001,0)),"")</f>
        <v/>
      </c>
    </row>
    <row r="5937">
      <c r="A5937">
        <f>IFERROR(INDEX('Email Cleaner'!$B$2:$B$10001,MATCH(5936,'Email Cleaner'!$H$2:$H$10001,0)),"")</f>
        <v/>
      </c>
    </row>
    <row r="5938">
      <c r="A5938">
        <f>IFERROR(INDEX('Email Cleaner'!$B$2:$B$10001,MATCH(5937,'Email Cleaner'!$H$2:$H$10001,0)),"")</f>
        <v/>
      </c>
    </row>
    <row r="5939">
      <c r="A5939">
        <f>IFERROR(INDEX('Email Cleaner'!$B$2:$B$10001,MATCH(5938,'Email Cleaner'!$H$2:$H$10001,0)),"")</f>
        <v/>
      </c>
    </row>
    <row r="5940">
      <c r="A5940">
        <f>IFERROR(INDEX('Email Cleaner'!$B$2:$B$10001,MATCH(5939,'Email Cleaner'!$H$2:$H$10001,0)),"")</f>
        <v/>
      </c>
    </row>
    <row r="5941">
      <c r="A5941">
        <f>IFERROR(INDEX('Email Cleaner'!$B$2:$B$10001,MATCH(5940,'Email Cleaner'!$H$2:$H$10001,0)),"")</f>
        <v/>
      </c>
    </row>
    <row r="5942">
      <c r="A5942">
        <f>IFERROR(INDEX('Email Cleaner'!$B$2:$B$10001,MATCH(5941,'Email Cleaner'!$H$2:$H$10001,0)),"")</f>
        <v/>
      </c>
    </row>
    <row r="5943">
      <c r="A5943">
        <f>IFERROR(INDEX('Email Cleaner'!$B$2:$B$10001,MATCH(5942,'Email Cleaner'!$H$2:$H$10001,0)),"")</f>
        <v/>
      </c>
    </row>
    <row r="5944">
      <c r="A5944">
        <f>IFERROR(INDEX('Email Cleaner'!$B$2:$B$10001,MATCH(5943,'Email Cleaner'!$H$2:$H$10001,0)),"")</f>
        <v/>
      </c>
    </row>
    <row r="5945">
      <c r="A5945">
        <f>IFERROR(INDEX('Email Cleaner'!$B$2:$B$10001,MATCH(5944,'Email Cleaner'!$H$2:$H$10001,0)),"")</f>
        <v/>
      </c>
    </row>
    <row r="5946">
      <c r="A5946">
        <f>IFERROR(INDEX('Email Cleaner'!$B$2:$B$10001,MATCH(5945,'Email Cleaner'!$H$2:$H$10001,0)),"")</f>
        <v/>
      </c>
    </row>
    <row r="5947">
      <c r="A5947">
        <f>IFERROR(INDEX('Email Cleaner'!$B$2:$B$10001,MATCH(5946,'Email Cleaner'!$H$2:$H$10001,0)),"")</f>
        <v/>
      </c>
    </row>
    <row r="5948">
      <c r="A5948">
        <f>IFERROR(INDEX('Email Cleaner'!$B$2:$B$10001,MATCH(5947,'Email Cleaner'!$H$2:$H$10001,0)),"")</f>
        <v/>
      </c>
    </row>
    <row r="5949">
      <c r="A5949">
        <f>IFERROR(INDEX('Email Cleaner'!$B$2:$B$10001,MATCH(5948,'Email Cleaner'!$H$2:$H$10001,0)),"")</f>
        <v/>
      </c>
    </row>
    <row r="5950">
      <c r="A5950">
        <f>IFERROR(INDEX('Email Cleaner'!$B$2:$B$10001,MATCH(5949,'Email Cleaner'!$H$2:$H$10001,0)),"")</f>
        <v/>
      </c>
    </row>
    <row r="5951">
      <c r="A5951">
        <f>IFERROR(INDEX('Email Cleaner'!$B$2:$B$10001,MATCH(5950,'Email Cleaner'!$H$2:$H$10001,0)),"")</f>
        <v/>
      </c>
    </row>
    <row r="5952">
      <c r="A5952">
        <f>IFERROR(INDEX('Email Cleaner'!$B$2:$B$10001,MATCH(5951,'Email Cleaner'!$H$2:$H$10001,0)),"")</f>
        <v/>
      </c>
    </row>
    <row r="5953">
      <c r="A5953">
        <f>IFERROR(INDEX('Email Cleaner'!$B$2:$B$10001,MATCH(5952,'Email Cleaner'!$H$2:$H$10001,0)),"")</f>
        <v/>
      </c>
    </row>
    <row r="5954">
      <c r="A5954">
        <f>IFERROR(INDEX('Email Cleaner'!$B$2:$B$10001,MATCH(5953,'Email Cleaner'!$H$2:$H$10001,0)),"")</f>
        <v/>
      </c>
    </row>
    <row r="5955">
      <c r="A5955">
        <f>IFERROR(INDEX('Email Cleaner'!$B$2:$B$10001,MATCH(5954,'Email Cleaner'!$H$2:$H$10001,0)),"")</f>
        <v/>
      </c>
    </row>
    <row r="5956">
      <c r="A5956">
        <f>IFERROR(INDEX('Email Cleaner'!$B$2:$B$10001,MATCH(5955,'Email Cleaner'!$H$2:$H$10001,0)),"")</f>
        <v/>
      </c>
    </row>
    <row r="5957">
      <c r="A5957">
        <f>IFERROR(INDEX('Email Cleaner'!$B$2:$B$10001,MATCH(5956,'Email Cleaner'!$H$2:$H$10001,0)),"")</f>
        <v/>
      </c>
    </row>
    <row r="5958">
      <c r="A5958">
        <f>IFERROR(INDEX('Email Cleaner'!$B$2:$B$10001,MATCH(5957,'Email Cleaner'!$H$2:$H$10001,0)),"")</f>
        <v/>
      </c>
    </row>
    <row r="5959">
      <c r="A5959">
        <f>IFERROR(INDEX('Email Cleaner'!$B$2:$B$10001,MATCH(5958,'Email Cleaner'!$H$2:$H$10001,0)),"")</f>
        <v/>
      </c>
    </row>
    <row r="5960">
      <c r="A5960">
        <f>IFERROR(INDEX('Email Cleaner'!$B$2:$B$10001,MATCH(5959,'Email Cleaner'!$H$2:$H$10001,0)),"")</f>
        <v/>
      </c>
    </row>
    <row r="5961">
      <c r="A5961">
        <f>IFERROR(INDEX('Email Cleaner'!$B$2:$B$10001,MATCH(5960,'Email Cleaner'!$H$2:$H$10001,0)),"")</f>
        <v/>
      </c>
    </row>
    <row r="5962">
      <c r="A5962">
        <f>IFERROR(INDEX('Email Cleaner'!$B$2:$B$10001,MATCH(5961,'Email Cleaner'!$H$2:$H$10001,0)),"")</f>
        <v/>
      </c>
    </row>
    <row r="5963">
      <c r="A5963">
        <f>IFERROR(INDEX('Email Cleaner'!$B$2:$B$10001,MATCH(5962,'Email Cleaner'!$H$2:$H$10001,0)),"")</f>
        <v/>
      </c>
    </row>
    <row r="5964">
      <c r="A5964">
        <f>IFERROR(INDEX('Email Cleaner'!$B$2:$B$10001,MATCH(5963,'Email Cleaner'!$H$2:$H$10001,0)),"")</f>
        <v/>
      </c>
    </row>
    <row r="5965">
      <c r="A5965">
        <f>IFERROR(INDEX('Email Cleaner'!$B$2:$B$10001,MATCH(5964,'Email Cleaner'!$H$2:$H$10001,0)),"")</f>
        <v/>
      </c>
    </row>
    <row r="5966">
      <c r="A5966">
        <f>IFERROR(INDEX('Email Cleaner'!$B$2:$B$10001,MATCH(5965,'Email Cleaner'!$H$2:$H$10001,0)),"")</f>
        <v/>
      </c>
    </row>
    <row r="5967">
      <c r="A5967">
        <f>IFERROR(INDEX('Email Cleaner'!$B$2:$B$10001,MATCH(5966,'Email Cleaner'!$H$2:$H$10001,0)),"")</f>
        <v/>
      </c>
    </row>
    <row r="5968">
      <c r="A5968">
        <f>IFERROR(INDEX('Email Cleaner'!$B$2:$B$10001,MATCH(5967,'Email Cleaner'!$H$2:$H$10001,0)),"")</f>
        <v/>
      </c>
    </row>
    <row r="5969">
      <c r="A5969">
        <f>IFERROR(INDEX('Email Cleaner'!$B$2:$B$10001,MATCH(5968,'Email Cleaner'!$H$2:$H$10001,0)),"")</f>
        <v/>
      </c>
    </row>
    <row r="5970">
      <c r="A5970">
        <f>IFERROR(INDEX('Email Cleaner'!$B$2:$B$10001,MATCH(5969,'Email Cleaner'!$H$2:$H$10001,0)),"")</f>
        <v/>
      </c>
    </row>
    <row r="5971">
      <c r="A5971">
        <f>IFERROR(INDEX('Email Cleaner'!$B$2:$B$10001,MATCH(5970,'Email Cleaner'!$H$2:$H$10001,0)),"")</f>
        <v/>
      </c>
    </row>
    <row r="5972">
      <c r="A5972">
        <f>IFERROR(INDEX('Email Cleaner'!$B$2:$B$10001,MATCH(5971,'Email Cleaner'!$H$2:$H$10001,0)),"")</f>
        <v/>
      </c>
    </row>
    <row r="5973">
      <c r="A5973">
        <f>IFERROR(INDEX('Email Cleaner'!$B$2:$B$10001,MATCH(5972,'Email Cleaner'!$H$2:$H$10001,0)),"")</f>
        <v/>
      </c>
    </row>
    <row r="5974">
      <c r="A5974">
        <f>IFERROR(INDEX('Email Cleaner'!$B$2:$B$10001,MATCH(5973,'Email Cleaner'!$H$2:$H$10001,0)),"")</f>
        <v/>
      </c>
    </row>
    <row r="5975">
      <c r="A5975">
        <f>IFERROR(INDEX('Email Cleaner'!$B$2:$B$10001,MATCH(5974,'Email Cleaner'!$H$2:$H$10001,0)),"")</f>
        <v/>
      </c>
    </row>
    <row r="5976">
      <c r="A5976">
        <f>IFERROR(INDEX('Email Cleaner'!$B$2:$B$10001,MATCH(5975,'Email Cleaner'!$H$2:$H$10001,0)),"")</f>
        <v/>
      </c>
    </row>
    <row r="5977">
      <c r="A5977">
        <f>IFERROR(INDEX('Email Cleaner'!$B$2:$B$10001,MATCH(5976,'Email Cleaner'!$H$2:$H$10001,0)),"")</f>
        <v/>
      </c>
    </row>
    <row r="5978">
      <c r="A5978">
        <f>IFERROR(INDEX('Email Cleaner'!$B$2:$B$10001,MATCH(5977,'Email Cleaner'!$H$2:$H$10001,0)),"")</f>
        <v/>
      </c>
    </row>
    <row r="5979">
      <c r="A5979">
        <f>IFERROR(INDEX('Email Cleaner'!$B$2:$B$10001,MATCH(5978,'Email Cleaner'!$H$2:$H$10001,0)),"")</f>
        <v/>
      </c>
    </row>
    <row r="5980">
      <c r="A5980">
        <f>IFERROR(INDEX('Email Cleaner'!$B$2:$B$10001,MATCH(5979,'Email Cleaner'!$H$2:$H$10001,0)),"")</f>
        <v/>
      </c>
    </row>
    <row r="5981">
      <c r="A5981">
        <f>IFERROR(INDEX('Email Cleaner'!$B$2:$B$10001,MATCH(5980,'Email Cleaner'!$H$2:$H$10001,0)),"")</f>
        <v/>
      </c>
    </row>
    <row r="5982">
      <c r="A5982">
        <f>IFERROR(INDEX('Email Cleaner'!$B$2:$B$10001,MATCH(5981,'Email Cleaner'!$H$2:$H$10001,0)),"")</f>
        <v/>
      </c>
    </row>
    <row r="5983">
      <c r="A5983">
        <f>IFERROR(INDEX('Email Cleaner'!$B$2:$B$10001,MATCH(5982,'Email Cleaner'!$H$2:$H$10001,0)),"")</f>
        <v/>
      </c>
    </row>
    <row r="5984">
      <c r="A5984">
        <f>IFERROR(INDEX('Email Cleaner'!$B$2:$B$10001,MATCH(5983,'Email Cleaner'!$H$2:$H$10001,0)),"")</f>
        <v/>
      </c>
    </row>
    <row r="5985">
      <c r="A5985">
        <f>IFERROR(INDEX('Email Cleaner'!$B$2:$B$10001,MATCH(5984,'Email Cleaner'!$H$2:$H$10001,0)),"")</f>
        <v/>
      </c>
    </row>
    <row r="5986">
      <c r="A5986">
        <f>IFERROR(INDEX('Email Cleaner'!$B$2:$B$10001,MATCH(5985,'Email Cleaner'!$H$2:$H$10001,0)),"")</f>
        <v/>
      </c>
    </row>
    <row r="5987">
      <c r="A5987">
        <f>IFERROR(INDEX('Email Cleaner'!$B$2:$B$10001,MATCH(5986,'Email Cleaner'!$H$2:$H$10001,0)),"")</f>
        <v/>
      </c>
    </row>
    <row r="5988">
      <c r="A5988">
        <f>IFERROR(INDEX('Email Cleaner'!$B$2:$B$10001,MATCH(5987,'Email Cleaner'!$H$2:$H$10001,0)),"")</f>
        <v/>
      </c>
    </row>
    <row r="5989">
      <c r="A5989">
        <f>IFERROR(INDEX('Email Cleaner'!$B$2:$B$10001,MATCH(5988,'Email Cleaner'!$H$2:$H$10001,0)),"")</f>
        <v/>
      </c>
    </row>
    <row r="5990">
      <c r="A5990">
        <f>IFERROR(INDEX('Email Cleaner'!$B$2:$B$10001,MATCH(5989,'Email Cleaner'!$H$2:$H$10001,0)),"")</f>
        <v/>
      </c>
    </row>
    <row r="5991">
      <c r="A5991">
        <f>IFERROR(INDEX('Email Cleaner'!$B$2:$B$10001,MATCH(5990,'Email Cleaner'!$H$2:$H$10001,0)),"")</f>
        <v/>
      </c>
    </row>
    <row r="5992">
      <c r="A5992">
        <f>IFERROR(INDEX('Email Cleaner'!$B$2:$B$10001,MATCH(5991,'Email Cleaner'!$H$2:$H$10001,0)),"")</f>
        <v/>
      </c>
    </row>
    <row r="5993">
      <c r="A5993">
        <f>IFERROR(INDEX('Email Cleaner'!$B$2:$B$10001,MATCH(5992,'Email Cleaner'!$H$2:$H$10001,0)),"")</f>
        <v/>
      </c>
    </row>
    <row r="5994">
      <c r="A5994">
        <f>IFERROR(INDEX('Email Cleaner'!$B$2:$B$10001,MATCH(5993,'Email Cleaner'!$H$2:$H$10001,0)),"")</f>
        <v/>
      </c>
    </row>
    <row r="5995">
      <c r="A5995">
        <f>IFERROR(INDEX('Email Cleaner'!$B$2:$B$10001,MATCH(5994,'Email Cleaner'!$H$2:$H$10001,0)),"")</f>
        <v/>
      </c>
    </row>
    <row r="5996">
      <c r="A5996">
        <f>IFERROR(INDEX('Email Cleaner'!$B$2:$B$10001,MATCH(5995,'Email Cleaner'!$H$2:$H$10001,0)),"")</f>
        <v/>
      </c>
    </row>
    <row r="5997">
      <c r="A5997">
        <f>IFERROR(INDEX('Email Cleaner'!$B$2:$B$10001,MATCH(5996,'Email Cleaner'!$H$2:$H$10001,0)),"")</f>
        <v/>
      </c>
    </row>
    <row r="5998">
      <c r="A5998">
        <f>IFERROR(INDEX('Email Cleaner'!$B$2:$B$10001,MATCH(5997,'Email Cleaner'!$H$2:$H$10001,0)),"")</f>
        <v/>
      </c>
    </row>
    <row r="5999">
      <c r="A5999">
        <f>IFERROR(INDEX('Email Cleaner'!$B$2:$B$10001,MATCH(5998,'Email Cleaner'!$H$2:$H$10001,0)),"")</f>
        <v/>
      </c>
    </row>
    <row r="6000">
      <c r="A6000">
        <f>IFERROR(INDEX('Email Cleaner'!$B$2:$B$10001,MATCH(5999,'Email Cleaner'!$H$2:$H$10001,0)),"")</f>
        <v/>
      </c>
    </row>
    <row r="6001">
      <c r="A6001">
        <f>IFERROR(INDEX('Email Cleaner'!$B$2:$B$10001,MATCH(6000,'Email Cleaner'!$H$2:$H$10001,0)),"")</f>
        <v/>
      </c>
    </row>
    <row r="6002">
      <c r="A6002">
        <f>IFERROR(INDEX('Email Cleaner'!$B$2:$B$10001,MATCH(6001,'Email Cleaner'!$H$2:$H$10001,0)),"")</f>
        <v/>
      </c>
    </row>
    <row r="6003">
      <c r="A6003">
        <f>IFERROR(INDEX('Email Cleaner'!$B$2:$B$10001,MATCH(6002,'Email Cleaner'!$H$2:$H$10001,0)),"")</f>
        <v/>
      </c>
    </row>
    <row r="6004">
      <c r="A6004">
        <f>IFERROR(INDEX('Email Cleaner'!$B$2:$B$10001,MATCH(6003,'Email Cleaner'!$H$2:$H$10001,0)),"")</f>
        <v/>
      </c>
    </row>
    <row r="6005">
      <c r="A6005">
        <f>IFERROR(INDEX('Email Cleaner'!$B$2:$B$10001,MATCH(6004,'Email Cleaner'!$H$2:$H$10001,0)),"")</f>
        <v/>
      </c>
    </row>
    <row r="6006">
      <c r="A6006">
        <f>IFERROR(INDEX('Email Cleaner'!$B$2:$B$10001,MATCH(6005,'Email Cleaner'!$H$2:$H$10001,0)),"")</f>
        <v/>
      </c>
    </row>
    <row r="6007">
      <c r="A6007">
        <f>IFERROR(INDEX('Email Cleaner'!$B$2:$B$10001,MATCH(6006,'Email Cleaner'!$H$2:$H$10001,0)),"")</f>
        <v/>
      </c>
    </row>
    <row r="6008">
      <c r="A6008">
        <f>IFERROR(INDEX('Email Cleaner'!$B$2:$B$10001,MATCH(6007,'Email Cleaner'!$H$2:$H$10001,0)),"")</f>
        <v/>
      </c>
    </row>
    <row r="6009">
      <c r="A6009">
        <f>IFERROR(INDEX('Email Cleaner'!$B$2:$B$10001,MATCH(6008,'Email Cleaner'!$H$2:$H$10001,0)),"")</f>
        <v/>
      </c>
    </row>
    <row r="6010">
      <c r="A6010">
        <f>IFERROR(INDEX('Email Cleaner'!$B$2:$B$10001,MATCH(6009,'Email Cleaner'!$H$2:$H$10001,0)),"")</f>
        <v/>
      </c>
    </row>
    <row r="6011">
      <c r="A6011">
        <f>IFERROR(INDEX('Email Cleaner'!$B$2:$B$10001,MATCH(6010,'Email Cleaner'!$H$2:$H$10001,0)),"")</f>
        <v/>
      </c>
    </row>
    <row r="6012">
      <c r="A6012">
        <f>IFERROR(INDEX('Email Cleaner'!$B$2:$B$10001,MATCH(6011,'Email Cleaner'!$H$2:$H$10001,0)),"")</f>
        <v/>
      </c>
    </row>
    <row r="6013">
      <c r="A6013">
        <f>IFERROR(INDEX('Email Cleaner'!$B$2:$B$10001,MATCH(6012,'Email Cleaner'!$H$2:$H$10001,0)),"")</f>
        <v/>
      </c>
    </row>
    <row r="6014">
      <c r="A6014">
        <f>IFERROR(INDEX('Email Cleaner'!$B$2:$B$10001,MATCH(6013,'Email Cleaner'!$H$2:$H$10001,0)),"")</f>
        <v/>
      </c>
    </row>
    <row r="6015">
      <c r="A6015">
        <f>IFERROR(INDEX('Email Cleaner'!$B$2:$B$10001,MATCH(6014,'Email Cleaner'!$H$2:$H$10001,0)),"")</f>
        <v/>
      </c>
    </row>
    <row r="6016">
      <c r="A6016">
        <f>IFERROR(INDEX('Email Cleaner'!$B$2:$B$10001,MATCH(6015,'Email Cleaner'!$H$2:$H$10001,0)),"")</f>
        <v/>
      </c>
    </row>
    <row r="6017">
      <c r="A6017">
        <f>IFERROR(INDEX('Email Cleaner'!$B$2:$B$10001,MATCH(6016,'Email Cleaner'!$H$2:$H$10001,0)),"")</f>
        <v/>
      </c>
    </row>
    <row r="6018">
      <c r="A6018">
        <f>IFERROR(INDEX('Email Cleaner'!$B$2:$B$10001,MATCH(6017,'Email Cleaner'!$H$2:$H$10001,0)),"")</f>
        <v/>
      </c>
    </row>
    <row r="6019">
      <c r="A6019">
        <f>IFERROR(INDEX('Email Cleaner'!$B$2:$B$10001,MATCH(6018,'Email Cleaner'!$H$2:$H$10001,0)),"")</f>
        <v/>
      </c>
    </row>
    <row r="6020">
      <c r="A6020">
        <f>IFERROR(INDEX('Email Cleaner'!$B$2:$B$10001,MATCH(6019,'Email Cleaner'!$H$2:$H$10001,0)),"")</f>
        <v/>
      </c>
    </row>
    <row r="6021">
      <c r="A6021">
        <f>IFERROR(INDEX('Email Cleaner'!$B$2:$B$10001,MATCH(6020,'Email Cleaner'!$H$2:$H$10001,0)),"")</f>
        <v/>
      </c>
    </row>
    <row r="6022">
      <c r="A6022">
        <f>IFERROR(INDEX('Email Cleaner'!$B$2:$B$10001,MATCH(6021,'Email Cleaner'!$H$2:$H$10001,0)),"")</f>
        <v/>
      </c>
    </row>
    <row r="6023">
      <c r="A6023">
        <f>IFERROR(INDEX('Email Cleaner'!$B$2:$B$10001,MATCH(6022,'Email Cleaner'!$H$2:$H$10001,0)),"")</f>
        <v/>
      </c>
    </row>
    <row r="6024">
      <c r="A6024">
        <f>IFERROR(INDEX('Email Cleaner'!$B$2:$B$10001,MATCH(6023,'Email Cleaner'!$H$2:$H$10001,0)),"")</f>
        <v/>
      </c>
    </row>
    <row r="6025">
      <c r="A6025">
        <f>IFERROR(INDEX('Email Cleaner'!$B$2:$B$10001,MATCH(6024,'Email Cleaner'!$H$2:$H$10001,0)),"")</f>
        <v/>
      </c>
    </row>
    <row r="6026">
      <c r="A6026">
        <f>IFERROR(INDEX('Email Cleaner'!$B$2:$B$10001,MATCH(6025,'Email Cleaner'!$H$2:$H$10001,0)),"")</f>
        <v/>
      </c>
    </row>
    <row r="6027">
      <c r="A6027">
        <f>IFERROR(INDEX('Email Cleaner'!$B$2:$B$10001,MATCH(6026,'Email Cleaner'!$H$2:$H$10001,0)),"")</f>
        <v/>
      </c>
    </row>
    <row r="6028">
      <c r="A6028">
        <f>IFERROR(INDEX('Email Cleaner'!$B$2:$B$10001,MATCH(6027,'Email Cleaner'!$H$2:$H$10001,0)),"")</f>
        <v/>
      </c>
    </row>
    <row r="6029">
      <c r="A6029">
        <f>IFERROR(INDEX('Email Cleaner'!$B$2:$B$10001,MATCH(6028,'Email Cleaner'!$H$2:$H$10001,0)),"")</f>
        <v/>
      </c>
    </row>
    <row r="6030">
      <c r="A6030">
        <f>IFERROR(INDEX('Email Cleaner'!$B$2:$B$10001,MATCH(6029,'Email Cleaner'!$H$2:$H$10001,0)),"")</f>
        <v/>
      </c>
    </row>
    <row r="6031">
      <c r="A6031">
        <f>IFERROR(INDEX('Email Cleaner'!$B$2:$B$10001,MATCH(6030,'Email Cleaner'!$H$2:$H$10001,0)),"")</f>
        <v/>
      </c>
    </row>
    <row r="6032">
      <c r="A6032">
        <f>IFERROR(INDEX('Email Cleaner'!$B$2:$B$10001,MATCH(6031,'Email Cleaner'!$H$2:$H$10001,0)),"")</f>
        <v/>
      </c>
    </row>
    <row r="6033">
      <c r="A6033">
        <f>IFERROR(INDEX('Email Cleaner'!$B$2:$B$10001,MATCH(6032,'Email Cleaner'!$H$2:$H$10001,0)),"")</f>
        <v/>
      </c>
    </row>
    <row r="6034">
      <c r="A6034">
        <f>IFERROR(INDEX('Email Cleaner'!$B$2:$B$10001,MATCH(6033,'Email Cleaner'!$H$2:$H$10001,0)),"")</f>
        <v/>
      </c>
    </row>
    <row r="6035">
      <c r="A6035">
        <f>IFERROR(INDEX('Email Cleaner'!$B$2:$B$10001,MATCH(6034,'Email Cleaner'!$H$2:$H$10001,0)),"")</f>
        <v/>
      </c>
    </row>
    <row r="6036">
      <c r="A6036">
        <f>IFERROR(INDEX('Email Cleaner'!$B$2:$B$10001,MATCH(6035,'Email Cleaner'!$H$2:$H$10001,0)),"")</f>
        <v/>
      </c>
    </row>
    <row r="6037">
      <c r="A6037">
        <f>IFERROR(INDEX('Email Cleaner'!$B$2:$B$10001,MATCH(6036,'Email Cleaner'!$H$2:$H$10001,0)),"")</f>
        <v/>
      </c>
    </row>
    <row r="6038">
      <c r="A6038">
        <f>IFERROR(INDEX('Email Cleaner'!$B$2:$B$10001,MATCH(6037,'Email Cleaner'!$H$2:$H$10001,0)),"")</f>
        <v/>
      </c>
    </row>
    <row r="6039">
      <c r="A6039">
        <f>IFERROR(INDEX('Email Cleaner'!$B$2:$B$10001,MATCH(6038,'Email Cleaner'!$H$2:$H$10001,0)),"")</f>
        <v/>
      </c>
    </row>
    <row r="6040">
      <c r="A6040">
        <f>IFERROR(INDEX('Email Cleaner'!$B$2:$B$10001,MATCH(6039,'Email Cleaner'!$H$2:$H$10001,0)),"")</f>
        <v/>
      </c>
    </row>
    <row r="6041">
      <c r="A6041">
        <f>IFERROR(INDEX('Email Cleaner'!$B$2:$B$10001,MATCH(6040,'Email Cleaner'!$H$2:$H$10001,0)),"")</f>
        <v/>
      </c>
    </row>
    <row r="6042">
      <c r="A6042">
        <f>IFERROR(INDEX('Email Cleaner'!$B$2:$B$10001,MATCH(6041,'Email Cleaner'!$H$2:$H$10001,0)),"")</f>
        <v/>
      </c>
    </row>
    <row r="6043">
      <c r="A6043">
        <f>IFERROR(INDEX('Email Cleaner'!$B$2:$B$10001,MATCH(6042,'Email Cleaner'!$H$2:$H$10001,0)),"")</f>
        <v/>
      </c>
    </row>
    <row r="6044">
      <c r="A6044">
        <f>IFERROR(INDEX('Email Cleaner'!$B$2:$B$10001,MATCH(6043,'Email Cleaner'!$H$2:$H$10001,0)),"")</f>
        <v/>
      </c>
    </row>
    <row r="6045">
      <c r="A6045">
        <f>IFERROR(INDEX('Email Cleaner'!$B$2:$B$10001,MATCH(6044,'Email Cleaner'!$H$2:$H$10001,0)),"")</f>
        <v/>
      </c>
    </row>
    <row r="6046">
      <c r="A6046">
        <f>IFERROR(INDEX('Email Cleaner'!$B$2:$B$10001,MATCH(6045,'Email Cleaner'!$H$2:$H$10001,0)),"")</f>
        <v/>
      </c>
    </row>
    <row r="6047">
      <c r="A6047">
        <f>IFERROR(INDEX('Email Cleaner'!$B$2:$B$10001,MATCH(6046,'Email Cleaner'!$H$2:$H$10001,0)),"")</f>
        <v/>
      </c>
    </row>
    <row r="6048">
      <c r="A6048">
        <f>IFERROR(INDEX('Email Cleaner'!$B$2:$B$10001,MATCH(6047,'Email Cleaner'!$H$2:$H$10001,0)),"")</f>
        <v/>
      </c>
    </row>
    <row r="6049">
      <c r="A6049">
        <f>IFERROR(INDEX('Email Cleaner'!$B$2:$B$10001,MATCH(6048,'Email Cleaner'!$H$2:$H$10001,0)),"")</f>
        <v/>
      </c>
    </row>
    <row r="6050">
      <c r="A6050">
        <f>IFERROR(INDEX('Email Cleaner'!$B$2:$B$10001,MATCH(6049,'Email Cleaner'!$H$2:$H$10001,0)),"")</f>
        <v/>
      </c>
    </row>
    <row r="6051">
      <c r="A6051">
        <f>IFERROR(INDEX('Email Cleaner'!$B$2:$B$10001,MATCH(6050,'Email Cleaner'!$H$2:$H$10001,0)),"")</f>
        <v/>
      </c>
    </row>
    <row r="6052">
      <c r="A6052">
        <f>IFERROR(INDEX('Email Cleaner'!$B$2:$B$10001,MATCH(6051,'Email Cleaner'!$H$2:$H$10001,0)),"")</f>
        <v/>
      </c>
    </row>
    <row r="6053">
      <c r="A6053">
        <f>IFERROR(INDEX('Email Cleaner'!$B$2:$B$10001,MATCH(6052,'Email Cleaner'!$H$2:$H$10001,0)),"")</f>
        <v/>
      </c>
    </row>
    <row r="6054">
      <c r="A6054">
        <f>IFERROR(INDEX('Email Cleaner'!$B$2:$B$10001,MATCH(6053,'Email Cleaner'!$H$2:$H$10001,0)),"")</f>
        <v/>
      </c>
    </row>
    <row r="6055">
      <c r="A6055">
        <f>IFERROR(INDEX('Email Cleaner'!$B$2:$B$10001,MATCH(6054,'Email Cleaner'!$H$2:$H$10001,0)),"")</f>
        <v/>
      </c>
    </row>
    <row r="6056">
      <c r="A6056">
        <f>IFERROR(INDEX('Email Cleaner'!$B$2:$B$10001,MATCH(6055,'Email Cleaner'!$H$2:$H$10001,0)),"")</f>
        <v/>
      </c>
    </row>
    <row r="6057">
      <c r="A6057">
        <f>IFERROR(INDEX('Email Cleaner'!$B$2:$B$10001,MATCH(6056,'Email Cleaner'!$H$2:$H$10001,0)),"")</f>
        <v/>
      </c>
    </row>
    <row r="6058">
      <c r="A6058">
        <f>IFERROR(INDEX('Email Cleaner'!$B$2:$B$10001,MATCH(6057,'Email Cleaner'!$H$2:$H$10001,0)),"")</f>
        <v/>
      </c>
    </row>
    <row r="6059">
      <c r="A6059">
        <f>IFERROR(INDEX('Email Cleaner'!$B$2:$B$10001,MATCH(6058,'Email Cleaner'!$H$2:$H$10001,0)),"")</f>
        <v/>
      </c>
    </row>
    <row r="6060">
      <c r="A6060">
        <f>IFERROR(INDEX('Email Cleaner'!$B$2:$B$10001,MATCH(6059,'Email Cleaner'!$H$2:$H$10001,0)),"")</f>
        <v/>
      </c>
    </row>
    <row r="6061">
      <c r="A6061">
        <f>IFERROR(INDEX('Email Cleaner'!$B$2:$B$10001,MATCH(6060,'Email Cleaner'!$H$2:$H$10001,0)),"")</f>
        <v/>
      </c>
    </row>
    <row r="6062">
      <c r="A6062">
        <f>IFERROR(INDEX('Email Cleaner'!$B$2:$B$10001,MATCH(6061,'Email Cleaner'!$H$2:$H$10001,0)),"")</f>
        <v/>
      </c>
    </row>
    <row r="6063">
      <c r="A6063">
        <f>IFERROR(INDEX('Email Cleaner'!$B$2:$B$10001,MATCH(6062,'Email Cleaner'!$H$2:$H$10001,0)),"")</f>
        <v/>
      </c>
    </row>
    <row r="6064">
      <c r="A6064">
        <f>IFERROR(INDEX('Email Cleaner'!$B$2:$B$10001,MATCH(6063,'Email Cleaner'!$H$2:$H$10001,0)),"")</f>
        <v/>
      </c>
    </row>
    <row r="6065">
      <c r="A6065">
        <f>IFERROR(INDEX('Email Cleaner'!$B$2:$B$10001,MATCH(6064,'Email Cleaner'!$H$2:$H$10001,0)),"")</f>
        <v/>
      </c>
    </row>
    <row r="6066">
      <c r="A6066">
        <f>IFERROR(INDEX('Email Cleaner'!$B$2:$B$10001,MATCH(6065,'Email Cleaner'!$H$2:$H$10001,0)),"")</f>
        <v/>
      </c>
    </row>
    <row r="6067">
      <c r="A6067">
        <f>IFERROR(INDEX('Email Cleaner'!$B$2:$B$10001,MATCH(6066,'Email Cleaner'!$H$2:$H$10001,0)),"")</f>
        <v/>
      </c>
    </row>
    <row r="6068">
      <c r="A6068">
        <f>IFERROR(INDEX('Email Cleaner'!$B$2:$B$10001,MATCH(6067,'Email Cleaner'!$H$2:$H$10001,0)),"")</f>
        <v/>
      </c>
    </row>
    <row r="6069">
      <c r="A6069">
        <f>IFERROR(INDEX('Email Cleaner'!$B$2:$B$10001,MATCH(6068,'Email Cleaner'!$H$2:$H$10001,0)),"")</f>
        <v/>
      </c>
    </row>
    <row r="6070">
      <c r="A6070">
        <f>IFERROR(INDEX('Email Cleaner'!$B$2:$B$10001,MATCH(6069,'Email Cleaner'!$H$2:$H$10001,0)),"")</f>
        <v/>
      </c>
    </row>
    <row r="6071">
      <c r="A6071">
        <f>IFERROR(INDEX('Email Cleaner'!$B$2:$B$10001,MATCH(6070,'Email Cleaner'!$H$2:$H$10001,0)),"")</f>
        <v/>
      </c>
    </row>
    <row r="6072">
      <c r="A6072">
        <f>IFERROR(INDEX('Email Cleaner'!$B$2:$B$10001,MATCH(6071,'Email Cleaner'!$H$2:$H$10001,0)),"")</f>
        <v/>
      </c>
    </row>
    <row r="6073">
      <c r="A6073">
        <f>IFERROR(INDEX('Email Cleaner'!$B$2:$B$10001,MATCH(6072,'Email Cleaner'!$H$2:$H$10001,0)),"")</f>
        <v/>
      </c>
    </row>
    <row r="6074">
      <c r="A6074">
        <f>IFERROR(INDEX('Email Cleaner'!$B$2:$B$10001,MATCH(6073,'Email Cleaner'!$H$2:$H$10001,0)),"")</f>
        <v/>
      </c>
    </row>
    <row r="6075">
      <c r="A6075">
        <f>IFERROR(INDEX('Email Cleaner'!$B$2:$B$10001,MATCH(6074,'Email Cleaner'!$H$2:$H$10001,0)),"")</f>
        <v/>
      </c>
    </row>
    <row r="6076">
      <c r="A6076">
        <f>IFERROR(INDEX('Email Cleaner'!$B$2:$B$10001,MATCH(6075,'Email Cleaner'!$H$2:$H$10001,0)),"")</f>
        <v/>
      </c>
    </row>
    <row r="6077">
      <c r="A6077">
        <f>IFERROR(INDEX('Email Cleaner'!$B$2:$B$10001,MATCH(6076,'Email Cleaner'!$H$2:$H$10001,0)),"")</f>
        <v/>
      </c>
    </row>
    <row r="6078">
      <c r="A6078">
        <f>IFERROR(INDEX('Email Cleaner'!$B$2:$B$10001,MATCH(6077,'Email Cleaner'!$H$2:$H$10001,0)),"")</f>
        <v/>
      </c>
    </row>
    <row r="6079">
      <c r="A6079">
        <f>IFERROR(INDEX('Email Cleaner'!$B$2:$B$10001,MATCH(6078,'Email Cleaner'!$H$2:$H$10001,0)),"")</f>
        <v/>
      </c>
    </row>
    <row r="6080">
      <c r="A6080">
        <f>IFERROR(INDEX('Email Cleaner'!$B$2:$B$10001,MATCH(6079,'Email Cleaner'!$H$2:$H$10001,0)),"")</f>
        <v/>
      </c>
    </row>
    <row r="6081">
      <c r="A6081">
        <f>IFERROR(INDEX('Email Cleaner'!$B$2:$B$10001,MATCH(6080,'Email Cleaner'!$H$2:$H$10001,0)),"")</f>
        <v/>
      </c>
    </row>
    <row r="6082">
      <c r="A6082">
        <f>IFERROR(INDEX('Email Cleaner'!$B$2:$B$10001,MATCH(6081,'Email Cleaner'!$H$2:$H$10001,0)),"")</f>
        <v/>
      </c>
    </row>
    <row r="6083">
      <c r="A6083">
        <f>IFERROR(INDEX('Email Cleaner'!$B$2:$B$10001,MATCH(6082,'Email Cleaner'!$H$2:$H$10001,0)),"")</f>
        <v/>
      </c>
    </row>
    <row r="6084">
      <c r="A6084">
        <f>IFERROR(INDEX('Email Cleaner'!$B$2:$B$10001,MATCH(6083,'Email Cleaner'!$H$2:$H$10001,0)),"")</f>
        <v/>
      </c>
    </row>
    <row r="6085">
      <c r="A6085">
        <f>IFERROR(INDEX('Email Cleaner'!$B$2:$B$10001,MATCH(6084,'Email Cleaner'!$H$2:$H$10001,0)),"")</f>
        <v/>
      </c>
    </row>
    <row r="6086">
      <c r="A6086">
        <f>IFERROR(INDEX('Email Cleaner'!$B$2:$B$10001,MATCH(6085,'Email Cleaner'!$H$2:$H$10001,0)),"")</f>
        <v/>
      </c>
    </row>
    <row r="6087">
      <c r="A6087">
        <f>IFERROR(INDEX('Email Cleaner'!$B$2:$B$10001,MATCH(6086,'Email Cleaner'!$H$2:$H$10001,0)),"")</f>
        <v/>
      </c>
    </row>
    <row r="6088">
      <c r="A6088">
        <f>IFERROR(INDEX('Email Cleaner'!$B$2:$B$10001,MATCH(6087,'Email Cleaner'!$H$2:$H$10001,0)),"")</f>
        <v/>
      </c>
    </row>
    <row r="6089">
      <c r="A6089">
        <f>IFERROR(INDEX('Email Cleaner'!$B$2:$B$10001,MATCH(6088,'Email Cleaner'!$H$2:$H$10001,0)),"")</f>
        <v/>
      </c>
    </row>
    <row r="6090">
      <c r="A6090">
        <f>IFERROR(INDEX('Email Cleaner'!$B$2:$B$10001,MATCH(6089,'Email Cleaner'!$H$2:$H$10001,0)),"")</f>
        <v/>
      </c>
    </row>
    <row r="6091">
      <c r="A6091">
        <f>IFERROR(INDEX('Email Cleaner'!$B$2:$B$10001,MATCH(6090,'Email Cleaner'!$H$2:$H$10001,0)),"")</f>
        <v/>
      </c>
    </row>
    <row r="6092">
      <c r="A6092">
        <f>IFERROR(INDEX('Email Cleaner'!$B$2:$B$10001,MATCH(6091,'Email Cleaner'!$H$2:$H$10001,0)),"")</f>
        <v/>
      </c>
    </row>
    <row r="6093">
      <c r="A6093">
        <f>IFERROR(INDEX('Email Cleaner'!$B$2:$B$10001,MATCH(6092,'Email Cleaner'!$H$2:$H$10001,0)),"")</f>
        <v/>
      </c>
    </row>
    <row r="6094">
      <c r="A6094">
        <f>IFERROR(INDEX('Email Cleaner'!$B$2:$B$10001,MATCH(6093,'Email Cleaner'!$H$2:$H$10001,0)),"")</f>
        <v/>
      </c>
    </row>
    <row r="6095">
      <c r="A6095">
        <f>IFERROR(INDEX('Email Cleaner'!$B$2:$B$10001,MATCH(6094,'Email Cleaner'!$H$2:$H$10001,0)),"")</f>
        <v/>
      </c>
    </row>
    <row r="6096">
      <c r="A6096">
        <f>IFERROR(INDEX('Email Cleaner'!$B$2:$B$10001,MATCH(6095,'Email Cleaner'!$H$2:$H$10001,0)),"")</f>
        <v/>
      </c>
    </row>
    <row r="6097">
      <c r="A6097">
        <f>IFERROR(INDEX('Email Cleaner'!$B$2:$B$10001,MATCH(6096,'Email Cleaner'!$H$2:$H$10001,0)),"")</f>
        <v/>
      </c>
    </row>
    <row r="6098">
      <c r="A6098">
        <f>IFERROR(INDEX('Email Cleaner'!$B$2:$B$10001,MATCH(6097,'Email Cleaner'!$H$2:$H$10001,0)),"")</f>
        <v/>
      </c>
    </row>
    <row r="6099">
      <c r="A6099">
        <f>IFERROR(INDEX('Email Cleaner'!$B$2:$B$10001,MATCH(6098,'Email Cleaner'!$H$2:$H$10001,0)),"")</f>
        <v/>
      </c>
    </row>
    <row r="6100">
      <c r="A6100">
        <f>IFERROR(INDEX('Email Cleaner'!$B$2:$B$10001,MATCH(6099,'Email Cleaner'!$H$2:$H$10001,0)),"")</f>
        <v/>
      </c>
    </row>
    <row r="6101">
      <c r="A6101">
        <f>IFERROR(INDEX('Email Cleaner'!$B$2:$B$10001,MATCH(6100,'Email Cleaner'!$H$2:$H$10001,0)),"")</f>
        <v/>
      </c>
    </row>
    <row r="6102">
      <c r="A6102">
        <f>IFERROR(INDEX('Email Cleaner'!$B$2:$B$10001,MATCH(6101,'Email Cleaner'!$H$2:$H$10001,0)),"")</f>
        <v/>
      </c>
    </row>
    <row r="6103">
      <c r="A6103">
        <f>IFERROR(INDEX('Email Cleaner'!$B$2:$B$10001,MATCH(6102,'Email Cleaner'!$H$2:$H$10001,0)),"")</f>
        <v/>
      </c>
    </row>
    <row r="6104">
      <c r="A6104">
        <f>IFERROR(INDEX('Email Cleaner'!$B$2:$B$10001,MATCH(6103,'Email Cleaner'!$H$2:$H$10001,0)),"")</f>
        <v/>
      </c>
    </row>
    <row r="6105">
      <c r="A6105">
        <f>IFERROR(INDEX('Email Cleaner'!$B$2:$B$10001,MATCH(6104,'Email Cleaner'!$H$2:$H$10001,0)),"")</f>
        <v/>
      </c>
    </row>
    <row r="6106">
      <c r="A6106">
        <f>IFERROR(INDEX('Email Cleaner'!$B$2:$B$10001,MATCH(6105,'Email Cleaner'!$H$2:$H$10001,0)),"")</f>
        <v/>
      </c>
    </row>
    <row r="6107">
      <c r="A6107">
        <f>IFERROR(INDEX('Email Cleaner'!$B$2:$B$10001,MATCH(6106,'Email Cleaner'!$H$2:$H$10001,0)),"")</f>
        <v/>
      </c>
    </row>
    <row r="6108">
      <c r="A6108">
        <f>IFERROR(INDEX('Email Cleaner'!$B$2:$B$10001,MATCH(6107,'Email Cleaner'!$H$2:$H$10001,0)),"")</f>
        <v/>
      </c>
    </row>
    <row r="6109">
      <c r="A6109">
        <f>IFERROR(INDEX('Email Cleaner'!$B$2:$B$10001,MATCH(6108,'Email Cleaner'!$H$2:$H$10001,0)),"")</f>
        <v/>
      </c>
    </row>
    <row r="6110">
      <c r="A6110">
        <f>IFERROR(INDEX('Email Cleaner'!$B$2:$B$10001,MATCH(6109,'Email Cleaner'!$H$2:$H$10001,0)),"")</f>
        <v/>
      </c>
    </row>
    <row r="6111">
      <c r="A6111">
        <f>IFERROR(INDEX('Email Cleaner'!$B$2:$B$10001,MATCH(6110,'Email Cleaner'!$H$2:$H$10001,0)),"")</f>
        <v/>
      </c>
    </row>
    <row r="6112">
      <c r="A6112">
        <f>IFERROR(INDEX('Email Cleaner'!$B$2:$B$10001,MATCH(6111,'Email Cleaner'!$H$2:$H$10001,0)),"")</f>
        <v/>
      </c>
    </row>
    <row r="6113">
      <c r="A6113">
        <f>IFERROR(INDEX('Email Cleaner'!$B$2:$B$10001,MATCH(6112,'Email Cleaner'!$H$2:$H$10001,0)),"")</f>
        <v/>
      </c>
    </row>
    <row r="6114">
      <c r="A6114">
        <f>IFERROR(INDEX('Email Cleaner'!$B$2:$B$10001,MATCH(6113,'Email Cleaner'!$H$2:$H$10001,0)),"")</f>
        <v/>
      </c>
    </row>
    <row r="6115">
      <c r="A6115">
        <f>IFERROR(INDEX('Email Cleaner'!$B$2:$B$10001,MATCH(6114,'Email Cleaner'!$H$2:$H$10001,0)),"")</f>
        <v/>
      </c>
    </row>
    <row r="6116">
      <c r="A6116">
        <f>IFERROR(INDEX('Email Cleaner'!$B$2:$B$10001,MATCH(6115,'Email Cleaner'!$H$2:$H$10001,0)),"")</f>
        <v/>
      </c>
    </row>
    <row r="6117">
      <c r="A6117">
        <f>IFERROR(INDEX('Email Cleaner'!$B$2:$B$10001,MATCH(6116,'Email Cleaner'!$H$2:$H$10001,0)),"")</f>
        <v/>
      </c>
    </row>
    <row r="6118">
      <c r="A6118">
        <f>IFERROR(INDEX('Email Cleaner'!$B$2:$B$10001,MATCH(6117,'Email Cleaner'!$H$2:$H$10001,0)),"")</f>
        <v/>
      </c>
    </row>
    <row r="6119">
      <c r="A6119">
        <f>IFERROR(INDEX('Email Cleaner'!$B$2:$B$10001,MATCH(6118,'Email Cleaner'!$H$2:$H$10001,0)),"")</f>
        <v/>
      </c>
    </row>
    <row r="6120">
      <c r="A6120">
        <f>IFERROR(INDEX('Email Cleaner'!$B$2:$B$10001,MATCH(6119,'Email Cleaner'!$H$2:$H$10001,0)),"")</f>
        <v/>
      </c>
    </row>
    <row r="6121">
      <c r="A6121">
        <f>IFERROR(INDEX('Email Cleaner'!$B$2:$B$10001,MATCH(6120,'Email Cleaner'!$H$2:$H$10001,0)),"")</f>
        <v/>
      </c>
    </row>
    <row r="6122">
      <c r="A6122">
        <f>IFERROR(INDEX('Email Cleaner'!$B$2:$B$10001,MATCH(6121,'Email Cleaner'!$H$2:$H$10001,0)),"")</f>
        <v/>
      </c>
    </row>
    <row r="6123">
      <c r="A6123">
        <f>IFERROR(INDEX('Email Cleaner'!$B$2:$B$10001,MATCH(6122,'Email Cleaner'!$H$2:$H$10001,0)),"")</f>
        <v/>
      </c>
    </row>
    <row r="6124">
      <c r="A6124">
        <f>IFERROR(INDEX('Email Cleaner'!$B$2:$B$10001,MATCH(6123,'Email Cleaner'!$H$2:$H$10001,0)),"")</f>
        <v/>
      </c>
    </row>
    <row r="6125">
      <c r="A6125">
        <f>IFERROR(INDEX('Email Cleaner'!$B$2:$B$10001,MATCH(6124,'Email Cleaner'!$H$2:$H$10001,0)),"")</f>
        <v/>
      </c>
    </row>
    <row r="6126">
      <c r="A6126">
        <f>IFERROR(INDEX('Email Cleaner'!$B$2:$B$10001,MATCH(6125,'Email Cleaner'!$H$2:$H$10001,0)),"")</f>
        <v/>
      </c>
    </row>
    <row r="6127">
      <c r="A6127">
        <f>IFERROR(INDEX('Email Cleaner'!$B$2:$B$10001,MATCH(6126,'Email Cleaner'!$H$2:$H$10001,0)),"")</f>
        <v/>
      </c>
    </row>
    <row r="6128">
      <c r="A6128">
        <f>IFERROR(INDEX('Email Cleaner'!$B$2:$B$10001,MATCH(6127,'Email Cleaner'!$H$2:$H$10001,0)),"")</f>
        <v/>
      </c>
    </row>
    <row r="6129">
      <c r="A6129">
        <f>IFERROR(INDEX('Email Cleaner'!$B$2:$B$10001,MATCH(6128,'Email Cleaner'!$H$2:$H$10001,0)),"")</f>
        <v/>
      </c>
    </row>
    <row r="6130">
      <c r="A6130">
        <f>IFERROR(INDEX('Email Cleaner'!$B$2:$B$10001,MATCH(6129,'Email Cleaner'!$H$2:$H$10001,0)),"")</f>
        <v/>
      </c>
    </row>
    <row r="6131">
      <c r="A6131">
        <f>IFERROR(INDEX('Email Cleaner'!$B$2:$B$10001,MATCH(6130,'Email Cleaner'!$H$2:$H$10001,0)),"")</f>
        <v/>
      </c>
    </row>
    <row r="6132">
      <c r="A6132">
        <f>IFERROR(INDEX('Email Cleaner'!$B$2:$B$10001,MATCH(6131,'Email Cleaner'!$H$2:$H$10001,0)),"")</f>
        <v/>
      </c>
    </row>
    <row r="6133">
      <c r="A6133">
        <f>IFERROR(INDEX('Email Cleaner'!$B$2:$B$10001,MATCH(6132,'Email Cleaner'!$H$2:$H$10001,0)),"")</f>
        <v/>
      </c>
    </row>
    <row r="6134">
      <c r="A6134">
        <f>IFERROR(INDEX('Email Cleaner'!$B$2:$B$10001,MATCH(6133,'Email Cleaner'!$H$2:$H$10001,0)),"")</f>
        <v/>
      </c>
    </row>
    <row r="6135">
      <c r="A6135">
        <f>IFERROR(INDEX('Email Cleaner'!$B$2:$B$10001,MATCH(6134,'Email Cleaner'!$H$2:$H$10001,0)),"")</f>
        <v/>
      </c>
    </row>
    <row r="6136">
      <c r="A6136">
        <f>IFERROR(INDEX('Email Cleaner'!$B$2:$B$10001,MATCH(6135,'Email Cleaner'!$H$2:$H$10001,0)),"")</f>
        <v/>
      </c>
    </row>
    <row r="6137">
      <c r="A6137">
        <f>IFERROR(INDEX('Email Cleaner'!$B$2:$B$10001,MATCH(6136,'Email Cleaner'!$H$2:$H$10001,0)),"")</f>
        <v/>
      </c>
    </row>
    <row r="6138">
      <c r="A6138">
        <f>IFERROR(INDEX('Email Cleaner'!$B$2:$B$10001,MATCH(6137,'Email Cleaner'!$H$2:$H$10001,0)),"")</f>
        <v/>
      </c>
    </row>
    <row r="6139">
      <c r="A6139">
        <f>IFERROR(INDEX('Email Cleaner'!$B$2:$B$10001,MATCH(6138,'Email Cleaner'!$H$2:$H$10001,0)),"")</f>
        <v/>
      </c>
    </row>
    <row r="6140">
      <c r="A6140">
        <f>IFERROR(INDEX('Email Cleaner'!$B$2:$B$10001,MATCH(6139,'Email Cleaner'!$H$2:$H$10001,0)),"")</f>
        <v/>
      </c>
    </row>
    <row r="6141">
      <c r="A6141">
        <f>IFERROR(INDEX('Email Cleaner'!$B$2:$B$10001,MATCH(6140,'Email Cleaner'!$H$2:$H$10001,0)),"")</f>
        <v/>
      </c>
    </row>
    <row r="6142">
      <c r="A6142">
        <f>IFERROR(INDEX('Email Cleaner'!$B$2:$B$10001,MATCH(6141,'Email Cleaner'!$H$2:$H$10001,0)),"")</f>
        <v/>
      </c>
    </row>
    <row r="6143">
      <c r="A6143">
        <f>IFERROR(INDEX('Email Cleaner'!$B$2:$B$10001,MATCH(6142,'Email Cleaner'!$H$2:$H$10001,0)),"")</f>
        <v/>
      </c>
    </row>
    <row r="6144">
      <c r="A6144">
        <f>IFERROR(INDEX('Email Cleaner'!$B$2:$B$10001,MATCH(6143,'Email Cleaner'!$H$2:$H$10001,0)),"")</f>
        <v/>
      </c>
    </row>
    <row r="6145">
      <c r="A6145">
        <f>IFERROR(INDEX('Email Cleaner'!$B$2:$B$10001,MATCH(6144,'Email Cleaner'!$H$2:$H$10001,0)),"")</f>
        <v/>
      </c>
    </row>
    <row r="6146">
      <c r="A6146">
        <f>IFERROR(INDEX('Email Cleaner'!$B$2:$B$10001,MATCH(6145,'Email Cleaner'!$H$2:$H$10001,0)),"")</f>
        <v/>
      </c>
    </row>
    <row r="6147">
      <c r="A6147">
        <f>IFERROR(INDEX('Email Cleaner'!$B$2:$B$10001,MATCH(6146,'Email Cleaner'!$H$2:$H$10001,0)),"")</f>
        <v/>
      </c>
    </row>
    <row r="6148">
      <c r="A6148">
        <f>IFERROR(INDEX('Email Cleaner'!$B$2:$B$10001,MATCH(6147,'Email Cleaner'!$H$2:$H$10001,0)),"")</f>
        <v/>
      </c>
    </row>
    <row r="6149">
      <c r="A6149">
        <f>IFERROR(INDEX('Email Cleaner'!$B$2:$B$10001,MATCH(6148,'Email Cleaner'!$H$2:$H$10001,0)),"")</f>
        <v/>
      </c>
    </row>
    <row r="6150">
      <c r="A6150">
        <f>IFERROR(INDEX('Email Cleaner'!$B$2:$B$10001,MATCH(6149,'Email Cleaner'!$H$2:$H$10001,0)),"")</f>
        <v/>
      </c>
    </row>
    <row r="6151">
      <c r="A6151">
        <f>IFERROR(INDEX('Email Cleaner'!$B$2:$B$10001,MATCH(6150,'Email Cleaner'!$H$2:$H$10001,0)),"")</f>
        <v/>
      </c>
    </row>
    <row r="6152">
      <c r="A6152">
        <f>IFERROR(INDEX('Email Cleaner'!$B$2:$B$10001,MATCH(6151,'Email Cleaner'!$H$2:$H$10001,0)),"")</f>
        <v/>
      </c>
    </row>
    <row r="6153">
      <c r="A6153">
        <f>IFERROR(INDEX('Email Cleaner'!$B$2:$B$10001,MATCH(6152,'Email Cleaner'!$H$2:$H$10001,0)),"")</f>
        <v/>
      </c>
    </row>
    <row r="6154">
      <c r="A6154">
        <f>IFERROR(INDEX('Email Cleaner'!$B$2:$B$10001,MATCH(6153,'Email Cleaner'!$H$2:$H$10001,0)),"")</f>
        <v/>
      </c>
    </row>
    <row r="6155">
      <c r="A6155">
        <f>IFERROR(INDEX('Email Cleaner'!$B$2:$B$10001,MATCH(6154,'Email Cleaner'!$H$2:$H$10001,0)),"")</f>
        <v/>
      </c>
    </row>
    <row r="6156">
      <c r="A6156">
        <f>IFERROR(INDEX('Email Cleaner'!$B$2:$B$10001,MATCH(6155,'Email Cleaner'!$H$2:$H$10001,0)),"")</f>
        <v/>
      </c>
    </row>
    <row r="6157">
      <c r="A6157">
        <f>IFERROR(INDEX('Email Cleaner'!$B$2:$B$10001,MATCH(6156,'Email Cleaner'!$H$2:$H$10001,0)),"")</f>
        <v/>
      </c>
    </row>
    <row r="6158">
      <c r="A6158">
        <f>IFERROR(INDEX('Email Cleaner'!$B$2:$B$10001,MATCH(6157,'Email Cleaner'!$H$2:$H$10001,0)),"")</f>
        <v/>
      </c>
    </row>
    <row r="6159">
      <c r="A6159">
        <f>IFERROR(INDEX('Email Cleaner'!$B$2:$B$10001,MATCH(6158,'Email Cleaner'!$H$2:$H$10001,0)),"")</f>
        <v/>
      </c>
    </row>
    <row r="6160">
      <c r="A6160">
        <f>IFERROR(INDEX('Email Cleaner'!$B$2:$B$10001,MATCH(6159,'Email Cleaner'!$H$2:$H$10001,0)),"")</f>
        <v/>
      </c>
    </row>
    <row r="6161">
      <c r="A6161">
        <f>IFERROR(INDEX('Email Cleaner'!$B$2:$B$10001,MATCH(6160,'Email Cleaner'!$H$2:$H$10001,0)),"")</f>
        <v/>
      </c>
    </row>
    <row r="6162">
      <c r="A6162">
        <f>IFERROR(INDEX('Email Cleaner'!$B$2:$B$10001,MATCH(6161,'Email Cleaner'!$H$2:$H$10001,0)),"")</f>
        <v/>
      </c>
    </row>
    <row r="6163">
      <c r="A6163">
        <f>IFERROR(INDEX('Email Cleaner'!$B$2:$B$10001,MATCH(6162,'Email Cleaner'!$H$2:$H$10001,0)),"")</f>
        <v/>
      </c>
    </row>
    <row r="6164">
      <c r="A6164">
        <f>IFERROR(INDEX('Email Cleaner'!$B$2:$B$10001,MATCH(6163,'Email Cleaner'!$H$2:$H$10001,0)),"")</f>
        <v/>
      </c>
    </row>
    <row r="6165">
      <c r="A6165">
        <f>IFERROR(INDEX('Email Cleaner'!$B$2:$B$10001,MATCH(6164,'Email Cleaner'!$H$2:$H$10001,0)),"")</f>
        <v/>
      </c>
    </row>
    <row r="6166">
      <c r="A6166">
        <f>IFERROR(INDEX('Email Cleaner'!$B$2:$B$10001,MATCH(6165,'Email Cleaner'!$H$2:$H$10001,0)),"")</f>
        <v/>
      </c>
    </row>
    <row r="6167">
      <c r="A6167">
        <f>IFERROR(INDEX('Email Cleaner'!$B$2:$B$10001,MATCH(6166,'Email Cleaner'!$H$2:$H$10001,0)),"")</f>
        <v/>
      </c>
    </row>
    <row r="6168">
      <c r="A6168">
        <f>IFERROR(INDEX('Email Cleaner'!$B$2:$B$10001,MATCH(6167,'Email Cleaner'!$H$2:$H$10001,0)),"")</f>
        <v/>
      </c>
    </row>
    <row r="6169">
      <c r="A6169">
        <f>IFERROR(INDEX('Email Cleaner'!$B$2:$B$10001,MATCH(6168,'Email Cleaner'!$H$2:$H$10001,0)),"")</f>
        <v/>
      </c>
    </row>
    <row r="6170">
      <c r="A6170">
        <f>IFERROR(INDEX('Email Cleaner'!$B$2:$B$10001,MATCH(6169,'Email Cleaner'!$H$2:$H$10001,0)),"")</f>
        <v/>
      </c>
    </row>
    <row r="6171">
      <c r="A6171">
        <f>IFERROR(INDEX('Email Cleaner'!$B$2:$B$10001,MATCH(6170,'Email Cleaner'!$H$2:$H$10001,0)),"")</f>
        <v/>
      </c>
    </row>
    <row r="6172">
      <c r="A6172">
        <f>IFERROR(INDEX('Email Cleaner'!$B$2:$B$10001,MATCH(6171,'Email Cleaner'!$H$2:$H$10001,0)),"")</f>
        <v/>
      </c>
    </row>
    <row r="6173">
      <c r="A6173">
        <f>IFERROR(INDEX('Email Cleaner'!$B$2:$B$10001,MATCH(6172,'Email Cleaner'!$H$2:$H$10001,0)),"")</f>
        <v/>
      </c>
    </row>
    <row r="6174">
      <c r="A6174">
        <f>IFERROR(INDEX('Email Cleaner'!$B$2:$B$10001,MATCH(6173,'Email Cleaner'!$H$2:$H$10001,0)),"")</f>
        <v/>
      </c>
    </row>
    <row r="6175">
      <c r="A6175">
        <f>IFERROR(INDEX('Email Cleaner'!$B$2:$B$10001,MATCH(6174,'Email Cleaner'!$H$2:$H$10001,0)),"")</f>
        <v/>
      </c>
    </row>
    <row r="6176">
      <c r="A6176">
        <f>IFERROR(INDEX('Email Cleaner'!$B$2:$B$10001,MATCH(6175,'Email Cleaner'!$H$2:$H$10001,0)),"")</f>
        <v/>
      </c>
    </row>
    <row r="6177">
      <c r="A6177">
        <f>IFERROR(INDEX('Email Cleaner'!$B$2:$B$10001,MATCH(6176,'Email Cleaner'!$H$2:$H$10001,0)),"")</f>
        <v/>
      </c>
    </row>
    <row r="6178">
      <c r="A6178">
        <f>IFERROR(INDEX('Email Cleaner'!$B$2:$B$10001,MATCH(6177,'Email Cleaner'!$H$2:$H$10001,0)),"")</f>
        <v/>
      </c>
    </row>
    <row r="6179">
      <c r="A6179">
        <f>IFERROR(INDEX('Email Cleaner'!$B$2:$B$10001,MATCH(6178,'Email Cleaner'!$H$2:$H$10001,0)),"")</f>
        <v/>
      </c>
    </row>
    <row r="6180">
      <c r="A6180">
        <f>IFERROR(INDEX('Email Cleaner'!$B$2:$B$10001,MATCH(6179,'Email Cleaner'!$H$2:$H$10001,0)),"")</f>
        <v/>
      </c>
    </row>
    <row r="6181">
      <c r="A6181">
        <f>IFERROR(INDEX('Email Cleaner'!$B$2:$B$10001,MATCH(6180,'Email Cleaner'!$H$2:$H$10001,0)),"")</f>
        <v/>
      </c>
    </row>
    <row r="6182">
      <c r="A6182">
        <f>IFERROR(INDEX('Email Cleaner'!$B$2:$B$10001,MATCH(6181,'Email Cleaner'!$H$2:$H$10001,0)),"")</f>
        <v/>
      </c>
    </row>
    <row r="6183">
      <c r="A6183">
        <f>IFERROR(INDEX('Email Cleaner'!$B$2:$B$10001,MATCH(6182,'Email Cleaner'!$H$2:$H$10001,0)),"")</f>
        <v/>
      </c>
    </row>
    <row r="6184">
      <c r="A6184">
        <f>IFERROR(INDEX('Email Cleaner'!$B$2:$B$10001,MATCH(6183,'Email Cleaner'!$H$2:$H$10001,0)),"")</f>
        <v/>
      </c>
    </row>
    <row r="6185">
      <c r="A6185">
        <f>IFERROR(INDEX('Email Cleaner'!$B$2:$B$10001,MATCH(6184,'Email Cleaner'!$H$2:$H$10001,0)),"")</f>
        <v/>
      </c>
    </row>
    <row r="6186">
      <c r="A6186">
        <f>IFERROR(INDEX('Email Cleaner'!$B$2:$B$10001,MATCH(6185,'Email Cleaner'!$H$2:$H$10001,0)),"")</f>
        <v/>
      </c>
    </row>
    <row r="6187">
      <c r="A6187">
        <f>IFERROR(INDEX('Email Cleaner'!$B$2:$B$10001,MATCH(6186,'Email Cleaner'!$H$2:$H$10001,0)),"")</f>
        <v/>
      </c>
    </row>
    <row r="6188">
      <c r="A6188">
        <f>IFERROR(INDEX('Email Cleaner'!$B$2:$B$10001,MATCH(6187,'Email Cleaner'!$H$2:$H$10001,0)),"")</f>
        <v/>
      </c>
    </row>
    <row r="6189">
      <c r="A6189">
        <f>IFERROR(INDEX('Email Cleaner'!$B$2:$B$10001,MATCH(6188,'Email Cleaner'!$H$2:$H$10001,0)),"")</f>
        <v/>
      </c>
    </row>
    <row r="6190">
      <c r="A6190">
        <f>IFERROR(INDEX('Email Cleaner'!$B$2:$B$10001,MATCH(6189,'Email Cleaner'!$H$2:$H$10001,0)),"")</f>
        <v/>
      </c>
    </row>
    <row r="6191">
      <c r="A6191">
        <f>IFERROR(INDEX('Email Cleaner'!$B$2:$B$10001,MATCH(6190,'Email Cleaner'!$H$2:$H$10001,0)),"")</f>
        <v/>
      </c>
    </row>
    <row r="6192">
      <c r="A6192">
        <f>IFERROR(INDEX('Email Cleaner'!$B$2:$B$10001,MATCH(6191,'Email Cleaner'!$H$2:$H$10001,0)),"")</f>
        <v/>
      </c>
    </row>
    <row r="6193">
      <c r="A6193">
        <f>IFERROR(INDEX('Email Cleaner'!$B$2:$B$10001,MATCH(6192,'Email Cleaner'!$H$2:$H$10001,0)),"")</f>
        <v/>
      </c>
    </row>
    <row r="6194">
      <c r="A6194">
        <f>IFERROR(INDEX('Email Cleaner'!$B$2:$B$10001,MATCH(6193,'Email Cleaner'!$H$2:$H$10001,0)),"")</f>
        <v/>
      </c>
    </row>
    <row r="6195">
      <c r="A6195">
        <f>IFERROR(INDEX('Email Cleaner'!$B$2:$B$10001,MATCH(6194,'Email Cleaner'!$H$2:$H$10001,0)),"")</f>
        <v/>
      </c>
    </row>
    <row r="6196">
      <c r="A6196">
        <f>IFERROR(INDEX('Email Cleaner'!$B$2:$B$10001,MATCH(6195,'Email Cleaner'!$H$2:$H$10001,0)),"")</f>
        <v/>
      </c>
    </row>
    <row r="6197">
      <c r="A6197">
        <f>IFERROR(INDEX('Email Cleaner'!$B$2:$B$10001,MATCH(6196,'Email Cleaner'!$H$2:$H$10001,0)),"")</f>
        <v/>
      </c>
    </row>
    <row r="6198">
      <c r="A6198">
        <f>IFERROR(INDEX('Email Cleaner'!$B$2:$B$10001,MATCH(6197,'Email Cleaner'!$H$2:$H$10001,0)),"")</f>
        <v/>
      </c>
    </row>
    <row r="6199">
      <c r="A6199">
        <f>IFERROR(INDEX('Email Cleaner'!$B$2:$B$10001,MATCH(6198,'Email Cleaner'!$H$2:$H$10001,0)),"")</f>
        <v/>
      </c>
    </row>
    <row r="6200">
      <c r="A6200">
        <f>IFERROR(INDEX('Email Cleaner'!$B$2:$B$10001,MATCH(6199,'Email Cleaner'!$H$2:$H$10001,0)),"")</f>
        <v/>
      </c>
    </row>
    <row r="6201">
      <c r="A6201">
        <f>IFERROR(INDEX('Email Cleaner'!$B$2:$B$10001,MATCH(6200,'Email Cleaner'!$H$2:$H$10001,0)),"")</f>
        <v/>
      </c>
    </row>
    <row r="6202">
      <c r="A6202">
        <f>IFERROR(INDEX('Email Cleaner'!$B$2:$B$10001,MATCH(6201,'Email Cleaner'!$H$2:$H$10001,0)),"")</f>
        <v/>
      </c>
    </row>
    <row r="6203">
      <c r="A6203">
        <f>IFERROR(INDEX('Email Cleaner'!$B$2:$B$10001,MATCH(6202,'Email Cleaner'!$H$2:$H$10001,0)),"")</f>
        <v/>
      </c>
    </row>
    <row r="6204">
      <c r="A6204">
        <f>IFERROR(INDEX('Email Cleaner'!$B$2:$B$10001,MATCH(6203,'Email Cleaner'!$H$2:$H$10001,0)),"")</f>
        <v/>
      </c>
    </row>
    <row r="6205">
      <c r="A6205">
        <f>IFERROR(INDEX('Email Cleaner'!$B$2:$B$10001,MATCH(6204,'Email Cleaner'!$H$2:$H$10001,0)),"")</f>
        <v/>
      </c>
    </row>
    <row r="6206">
      <c r="A6206">
        <f>IFERROR(INDEX('Email Cleaner'!$B$2:$B$10001,MATCH(6205,'Email Cleaner'!$H$2:$H$10001,0)),"")</f>
        <v/>
      </c>
    </row>
    <row r="6207">
      <c r="A6207">
        <f>IFERROR(INDEX('Email Cleaner'!$B$2:$B$10001,MATCH(6206,'Email Cleaner'!$H$2:$H$10001,0)),"")</f>
        <v/>
      </c>
    </row>
    <row r="6208">
      <c r="A6208">
        <f>IFERROR(INDEX('Email Cleaner'!$B$2:$B$10001,MATCH(6207,'Email Cleaner'!$H$2:$H$10001,0)),"")</f>
        <v/>
      </c>
    </row>
    <row r="6209">
      <c r="A6209">
        <f>IFERROR(INDEX('Email Cleaner'!$B$2:$B$10001,MATCH(6208,'Email Cleaner'!$H$2:$H$10001,0)),"")</f>
        <v/>
      </c>
    </row>
    <row r="6210">
      <c r="A6210">
        <f>IFERROR(INDEX('Email Cleaner'!$B$2:$B$10001,MATCH(6209,'Email Cleaner'!$H$2:$H$10001,0)),"")</f>
        <v/>
      </c>
    </row>
    <row r="6211">
      <c r="A6211">
        <f>IFERROR(INDEX('Email Cleaner'!$B$2:$B$10001,MATCH(6210,'Email Cleaner'!$H$2:$H$10001,0)),"")</f>
        <v/>
      </c>
    </row>
    <row r="6212">
      <c r="A6212">
        <f>IFERROR(INDEX('Email Cleaner'!$B$2:$B$10001,MATCH(6211,'Email Cleaner'!$H$2:$H$10001,0)),"")</f>
        <v/>
      </c>
    </row>
    <row r="6213">
      <c r="A6213">
        <f>IFERROR(INDEX('Email Cleaner'!$B$2:$B$10001,MATCH(6212,'Email Cleaner'!$H$2:$H$10001,0)),"")</f>
        <v/>
      </c>
    </row>
    <row r="6214">
      <c r="A6214">
        <f>IFERROR(INDEX('Email Cleaner'!$B$2:$B$10001,MATCH(6213,'Email Cleaner'!$H$2:$H$10001,0)),"")</f>
        <v/>
      </c>
    </row>
    <row r="6215">
      <c r="A6215">
        <f>IFERROR(INDEX('Email Cleaner'!$B$2:$B$10001,MATCH(6214,'Email Cleaner'!$H$2:$H$10001,0)),"")</f>
        <v/>
      </c>
    </row>
    <row r="6216">
      <c r="A6216">
        <f>IFERROR(INDEX('Email Cleaner'!$B$2:$B$10001,MATCH(6215,'Email Cleaner'!$H$2:$H$10001,0)),"")</f>
        <v/>
      </c>
    </row>
    <row r="6217">
      <c r="A6217">
        <f>IFERROR(INDEX('Email Cleaner'!$B$2:$B$10001,MATCH(6216,'Email Cleaner'!$H$2:$H$10001,0)),"")</f>
        <v/>
      </c>
    </row>
    <row r="6218">
      <c r="A6218">
        <f>IFERROR(INDEX('Email Cleaner'!$B$2:$B$10001,MATCH(6217,'Email Cleaner'!$H$2:$H$10001,0)),"")</f>
        <v/>
      </c>
    </row>
    <row r="6219">
      <c r="A6219">
        <f>IFERROR(INDEX('Email Cleaner'!$B$2:$B$10001,MATCH(6218,'Email Cleaner'!$H$2:$H$10001,0)),"")</f>
        <v/>
      </c>
    </row>
    <row r="6220">
      <c r="A6220">
        <f>IFERROR(INDEX('Email Cleaner'!$B$2:$B$10001,MATCH(6219,'Email Cleaner'!$H$2:$H$10001,0)),"")</f>
        <v/>
      </c>
    </row>
    <row r="6221">
      <c r="A6221">
        <f>IFERROR(INDEX('Email Cleaner'!$B$2:$B$10001,MATCH(6220,'Email Cleaner'!$H$2:$H$10001,0)),"")</f>
        <v/>
      </c>
    </row>
    <row r="6222">
      <c r="A6222">
        <f>IFERROR(INDEX('Email Cleaner'!$B$2:$B$10001,MATCH(6221,'Email Cleaner'!$H$2:$H$10001,0)),"")</f>
        <v/>
      </c>
    </row>
    <row r="6223">
      <c r="A6223">
        <f>IFERROR(INDEX('Email Cleaner'!$B$2:$B$10001,MATCH(6222,'Email Cleaner'!$H$2:$H$10001,0)),"")</f>
        <v/>
      </c>
    </row>
    <row r="6224">
      <c r="A6224">
        <f>IFERROR(INDEX('Email Cleaner'!$B$2:$B$10001,MATCH(6223,'Email Cleaner'!$H$2:$H$10001,0)),"")</f>
        <v/>
      </c>
    </row>
    <row r="6225">
      <c r="A6225">
        <f>IFERROR(INDEX('Email Cleaner'!$B$2:$B$10001,MATCH(6224,'Email Cleaner'!$H$2:$H$10001,0)),"")</f>
        <v/>
      </c>
    </row>
    <row r="6226">
      <c r="A6226">
        <f>IFERROR(INDEX('Email Cleaner'!$B$2:$B$10001,MATCH(6225,'Email Cleaner'!$H$2:$H$10001,0)),"")</f>
        <v/>
      </c>
    </row>
    <row r="6227">
      <c r="A6227">
        <f>IFERROR(INDEX('Email Cleaner'!$B$2:$B$10001,MATCH(6226,'Email Cleaner'!$H$2:$H$10001,0)),"")</f>
        <v/>
      </c>
    </row>
    <row r="6228">
      <c r="A6228">
        <f>IFERROR(INDEX('Email Cleaner'!$B$2:$B$10001,MATCH(6227,'Email Cleaner'!$H$2:$H$10001,0)),"")</f>
        <v/>
      </c>
    </row>
    <row r="6229">
      <c r="A6229">
        <f>IFERROR(INDEX('Email Cleaner'!$B$2:$B$10001,MATCH(6228,'Email Cleaner'!$H$2:$H$10001,0)),"")</f>
        <v/>
      </c>
    </row>
    <row r="6230">
      <c r="A6230">
        <f>IFERROR(INDEX('Email Cleaner'!$B$2:$B$10001,MATCH(6229,'Email Cleaner'!$H$2:$H$10001,0)),"")</f>
        <v/>
      </c>
    </row>
    <row r="6231">
      <c r="A6231">
        <f>IFERROR(INDEX('Email Cleaner'!$B$2:$B$10001,MATCH(6230,'Email Cleaner'!$H$2:$H$10001,0)),"")</f>
        <v/>
      </c>
    </row>
    <row r="6232">
      <c r="A6232">
        <f>IFERROR(INDEX('Email Cleaner'!$B$2:$B$10001,MATCH(6231,'Email Cleaner'!$H$2:$H$10001,0)),"")</f>
        <v/>
      </c>
    </row>
    <row r="6233">
      <c r="A6233">
        <f>IFERROR(INDEX('Email Cleaner'!$B$2:$B$10001,MATCH(6232,'Email Cleaner'!$H$2:$H$10001,0)),"")</f>
        <v/>
      </c>
    </row>
    <row r="6234">
      <c r="A6234">
        <f>IFERROR(INDEX('Email Cleaner'!$B$2:$B$10001,MATCH(6233,'Email Cleaner'!$H$2:$H$10001,0)),"")</f>
        <v/>
      </c>
    </row>
    <row r="6235">
      <c r="A6235">
        <f>IFERROR(INDEX('Email Cleaner'!$B$2:$B$10001,MATCH(6234,'Email Cleaner'!$H$2:$H$10001,0)),"")</f>
        <v/>
      </c>
    </row>
    <row r="6236">
      <c r="A6236">
        <f>IFERROR(INDEX('Email Cleaner'!$B$2:$B$10001,MATCH(6235,'Email Cleaner'!$H$2:$H$10001,0)),"")</f>
        <v/>
      </c>
    </row>
    <row r="6237">
      <c r="A6237">
        <f>IFERROR(INDEX('Email Cleaner'!$B$2:$B$10001,MATCH(6236,'Email Cleaner'!$H$2:$H$10001,0)),"")</f>
        <v/>
      </c>
    </row>
    <row r="6238">
      <c r="A6238">
        <f>IFERROR(INDEX('Email Cleaner'!$B$2:$B$10001,MATCH(6237,'Email Cleaner'!$H$2:$H$10001,0)),"")</f>
        <v/>
      </c>
    </row>
    <row r="6239">
      <c r="A6239">
        <f>IFERROR(INDEX('Email Cleaner'!$B$2:$B$10001,MATCH(6238,'Email Cleaner'!$H$2:$H$10001,0)),"")</f>
        <v/>
      </c>
    </row>
    <row r="6240">
      <c r="A6240">
        <f>IFERROR(INDEX('Email Cleaner'!$B$2:$B$10001,MATCH(6239,'Email Cleaner'!$H$2:$H$10001,0)),"")</f>
        <v/>
      </c>
    </row>
    <row r="6241">
      <c r="A6241">
        <f>IFERROR(INDEX('Email Cleaner'!$B$2:$B$10001,MATCH(6240,'Email Cleaner'!$H$2:$H$10001,0)),"")</f>
        <v/>
      </c>
    </row>
    <row r="6242">
      <c r="A6242">
        <f>IFERROR(INDEX('Email Cleaner'!$B$2:$B$10001,MATCH(6241,'Email Cleaner'!$H$2:$H$10001,0)),"")</f>
        <v/>
      </c>
    </row>
    <row r="6243">
      <c r="A6243">
        <f>IFERROR(INDEX('Email Cleaner'!$B$2:$B$10001,MATCH(6242,'Email Cleaner'!$H$2:$H$10001,0)),"")</f>
        <v/>
      </c>
    </row>
    <row r="6244">
      <c r="A6244">
        <f>IFERROR(INDEX('Email Cleaner'!$B$2:$B$10001,MATCH(6243,'Email Cleaner'!$H$2:$H$10001,0)),"")</f>
        <v/>
      </c>
    </row>
    <row r="6245">
      <c r="A6245">
        <f>IFERROR(INDEX('Email Cleaner'!$B$2:$B$10001,MATCH(6244,'Email Cleaner'!$H$2:$H$10001,0)),"")</f>
        <v/>
      </c>
    </row>
    <row r="6246">
      <c r="A6246">
        <f>IFERROR(INDEX('Email Cleaner'!$B$2:$B$10001,MATCH(6245,'Email Cleaner'!$H$2:$H$10001,0)),"")</f>
        <v/>
      </c>
    </row>
    <row r="6247">
      <c r="A6247">
        <f>IFERROR(INDEX('Email Cleaner'!$B$2:$B$10001,MATCH(6246,'Email Cleaner'!$H$2:$H$10001,0)),"")</f>
        <v/>
      </c>
    </row>
    <row r="6248">
      <c r="A6248">
        <f>IFERROR(INDEX('Email Cleaner'!$B$2:$B$10001,MATCH(6247,'Email Cleaner'!$H$2:$H$10001,0)),"")</f>
        <v/>
      </c>
    </row>
    <row r="6249">
      <c r="A6249">
        <f>IFERROR(INDEX('Email Cleaner'!$B$2:$B$10001,MATCH(6248,'Email Cleaner'!$H$2:$H$10001,0)),"")</f>
        <v/>
      </c>
    </row>
    <row r="6250">
      <c r="A6250">
        <f>IFERROR(INDEX('Email Cleaner'!$B$2:$B$10001,MATCH(6249,'Email Cleaner'!$H$2:$H$10001,0)),"")</f>
        <v/>
      </c>
    </row>
    <row r="6251">
      <c r="A6251">
        <f>IFERROR(INDEX('Email Cleaner'!$B$2:$B$10001,MATCH(6250,'Email Cleaner'!$H$2:$H$10001,0)),"")</f>
        <v/>
      </c>
    </row>
    <row r="6252">
      <c r="A6252">
        <f>IFERROR(INDEX('Email Cleaner'!$B$2:$B$10001,MATCH(6251,'Email Cleaner'!$H$2:$H$10001,0)),"")</f>
        <v/>
      </c>
    </row>
    <row r="6253">
      <c r="A6253">
        <f>IFERROR(INDEX('Email Cleaner'!$B$2:$B$10001,MATCH(6252,'Email Cleaner'!$H$2:$H$10001,0)),"")</f>
        <v/>
      </c>
    </row>
    <row r="6254">
      <c r="A6254">
        <f>IFERROR(INDEX('Email Cleaner'!$B$2:$B$10001,MATCH(6253,'Email Cleaner'!$H$2:$H$10001,0)),"")</f>
        <v/>
      </c>
    </row>
    <row r="6255">
      <c r="A6255">
        <f>IFERROR(INDEX('Email Cleaner'!$B$2:$B$10001,MATCH(6254,'Email Cleaner'!$H$2:$H$10001,0)),"")</f>
        <v/>
      </c>
    </row>
    <row r="6256">
      <c r="A6256">
        <f>IFERROR(INDEX('Email Cleaner'!$B$2:$B$10001,MATCH(6255,'Email Cleaner'!$H$2:$H$10001,0)),"")</f>
        <v/>
      </c>
    </row>
    <row r="6257">
      <c r="A6257">
        <f>IFERROR(INDEX('Email Cleaner'!$B$2:$B$10001,MATCH(6256,'Email Cleaner'!$H$2:$H$10001,0)),"")</f>
        <v/>
      </c>
    </row>
    <row r="6258">
      <c r="A6258">
        <f>IFERROR(INDEX('Email Cleaner'!$B$2:$B$10001,MATCH(6257,'Email Cleaner'!$H$2:$H$10001,0)),"")</f>
        <v/>
      </c>
    </row>
    <row r="6259">
      <c r="A6259">
        <f>IFERROR(INDEX('Email Cleaner'!$B$2:$B$10001,MATCH(6258,'Email Cleaner'!$H$2:$H$10001,0)),"")</f>
        <v/>
      </c>
    </row>
    <row r="6260">
      <c r="A6260">
        <f>IFERROR(INDEX('Email Cleaner'!$B$2:$B$10001,MATCH(6259,'Email Cleaner'!$H$2:$H$10001,0)),"")</f>
        <v/>
      </c>
    </row>
    <row r="6261">
      <c r="A6261">
        <f>IFERROR(INDEX('Email Cleaner'!$B$2:$B$10001,MATCH(6260,'Email Cleaner'!$H$2:$H$10001,0)),"")</f>
        <v/>
      </c>
    </row>
    <row r="6262">
      <c r="A6262">
        <f>IFERROR(INDEX('Email Cleaner'!$B$2:$B$10001,MATCH(6261,'Email Cleaner'!$H$2:$H$10001,0)),"")</f>
        <v/>
      </c>
    </row>
    <row r="6263">
      <c r="A6263">
        <f>IFERROR(INDEX('Email Cleaner'!$B$2:$B$10001,MATCH(6262,'Email Cleaner'!$H$2:$H$10001,0)),"")</f>
        <v/>
      </c>
    </row>
    <row r="6264">
      <c r="A6264">
        <f>IFERROR(INDEX('Email Cleaner'!$B$2:$B$10001,MATCH(6263,'Email Cleaner'!$H$2:$H$10001,0)),"")</f>
        <v/>
      </c>
    </row>
    <row r="6265">
      <c r="A6265">
        <f>IFERROR(INDEX('Email Cleaner'!$B$2:$B$10001,MATCH(6264,'Email Cleaner'!$H$2:$H$10001,0)),"")</f>
        <v/>
      </c>
    </row>
    <row r="6266">
      <c r="A6266">
        <f>IFERROR(INDEX('Email Cleaner'!$B$2:$B$10001,MATCH(6265,'Email Cleaner'!$H$2:$H$10001,0)),"")</f>
        <v/>
      </c>
    </row>
    <row r="6267">
      <c r="A6267">
        <f>IFERROR(INDEX('Email Cleaner'!$B$2:$B$10001,MATCH(6266,'Email Cleaner'!$H$2:$H$10001,0)),"")</f>
        <v/>
      </c>
    </row>
    <row r="6268">
      <c r="A6268">
        <f>IFERROR(INDEX('Email Cleaner'!$B$2:$B$10001,MATCH(6267,'Email Cleaner'!$H$2:$H$10001,0)),"")</f>
        <v/>
      </c>
    </row>
    <row r="6269">
      <c r="A6269">
        <f>IFERROR(INDEX('Email Cleaner'!$B$2:$B$10001,MATCH(6268,'Email Cleaner'!$H$2:$H$10001,0)),"")</f>
        <v/>
      </c>
    </row>
    <row r="6270">
      <c r="A6270">
        <f>IFERROR(INDEX('Email Cleaner'!$B$2:$B$10001,MATCH(6269,'Email Cleaner'!$H$2:$H$10001,0)),"")</f>
        <v/>
      </c>
    </row>
    <row r="6271">
      <c r="A6271">
        <f>IFERROR(INDEX('Email Cleaner'!$B$2:$B$10001,MATCH(6270,'Email Cleaner'!$H$2:$H$10001,0)),"")</f>
        <v/>
      </c>
    </row>
    <row r="6272">
      <c r="A6272">
        <f>IFERROR(INDEX('Email Cleaner'!$B$2:$B$10001,MATCH(6271,'Email Cleaner'!$H$2:$H$10001,0)),"")</f>
        <v/>
      </c>
    </row>
    <row r="6273">
      <c r="A6273">
        <f>IFERROR(INDEX('Email Cleaner'!$B$2:$B$10001,MATCH(6272,'Email Cleaner'!$H$2:$H$10001,0)),"")</f>
        <v/>
      </c>
    </row>
    <row r="6274">
      <c r="A6274">
        <f>IFERROR(INDEX('Email Cleaner'!$B$2:$B$10001,MATCH(6273,'Email Cleaner'!$H$2:$H$10001,0)),"")</f>
        <v/>
      </c>
    </row>
    <row r="6275">
      <c r="A6275">
        <f>IFERROR(INDEX('Email Cleaner'!$B$2:$B$10001,MATCH(6274,'Email Cleaner'!$H$2:$H$10001,0)),"")</f>
        <v/>
      </c>
    </row>
    <row r="6276">
      <c r="A6276">
        <f>IFERROR(INDEX('Email Cleaner'!$B$2:$B$10001,MATCH(6275,'Email Cleaner'!$H$2:$H$10001,0)),"")</f>
        <v/>
      </c>
    </row>
    <row r="6277">
      <c r="A6277">
        <f>IFERROR(INDEX('Email Cleaner'!$B$2:$B$10001,MATCH(6276,'Email Cleaner'!$H$2:$H$10001,0)),"")</f>
        <v/>
      </c>
    </row>
    <row r="6278">
      <c r="A6278">
        <f>IFERROR(INDEX('Email Cleaner'!$B$2:$B$10001,MATCH(6277,'Email Cleaner'!$H$2:$H$10001,0)),"")</f>
        <v/>
      </c>
    </row>
    <row r="6279">
      <c r="A6279">
        <f>IFERROR(INDEX('Email Cleaner'!$B$2:$B$10001,MATCH(6278,'Email Cleaner'!$H$2:$H$10001,0)),"")</f>
        <v/>
      </c>
    </row>
    <row r="6280">
      <c r="A6280">
        <f>IFERROR(INDEX('Email Cleaner'!$B$2:$B$10001,MATCH(6279,'Email Cleaner'!$H$2:$H$10001,0)),"")</f>
        <v/>
      </c>
    </row>
    <row r="6281">
      <c r="A6281">
        <f>IFERROR(INDEX('Email Cleaner'!$B$2:$B$10001,MATCH(6280,'Email Cleaner'!$H$2:$H$10001,0)),"")</f>
        <v/>
      </c>
    </row>
    <row r="6282">
      <c r="A6282">
        <f>IFERROR(INDEX('Email Cleaner'!$B$2:$B$10001,MATCH(6281,'Email Cleaner'!$H$2:$H$10001,0)),"")</f>
        <v/>
      </c>
    </row>
    <row r="6283">
      <c r="A6283">
        <f>IFERROR(INDEX('Email Cleaner'!$B$2:$B$10001,MATCH(6282,'Email Cleaner'!$H$2:$H$10001,0)),"")</f>
        <v/>
      </c>
    </row>
    <row r="6284">
      <c r="A6284">
        <f>IFERROR(INDEX('Email Cleaner'!$B$2:$B$10001,MATCH(6283,'Email Cleaner'!$H$2:$H$10001,0)),"")</f>
        <v/>
      </c>
    </row>
    <row r="6285">
      <c r="A6285">
        <f>IFERROR(INDEX('Email Cleaner'!$B$2:$B$10001,MATCH(6284,'Email Cleaner'!$H$2:$H$10001,0)),"")</f>
        <v/>
      </c>
    </row>
    <row r="6286">
      <c r="A6286">
        <f>IFERROR(INDEX('Email Cleaner'!$B$2:$B$10001,MATCH(6285,'Email Cleaner'!$H$2:$H$10001,0)),"")</f>
        <v/>
      </c>
    </row>
    <row r="6287">
      <c r="A6287">
        <f>IFERROR(INDEX('Email Cleaner'!$B$2:$B$10001,MATCH(6286,'Email Cleaner'!$H$2:$H$10001,0)),"")</f>
        <v/>
      </c>
    </row>
    <row r="6288">
      <c r="A6288">
        <f>IFERROR(INDEX('Email Cleaner'!$B$2:$B$10001,MATCH(6287,'Email Cleaner'!$H$2:$H$10001,0)),"")</f>
        <v/>
      </c>
    </row>
    <row r="6289">
      <c r="A6289">
        <f>IFERROR(INDEX('Email Cleaner'!$B$2:$B$10001,MATCH(6288,'Email Cleaner'!$H$2:$H$10001,0)),"")</f>
        <v/>
      </c>
    </row>
    <row r="6290">
      <c r="A6290">
        <f>IFERROR(INDEX('Email Cleaner'!$B$2:$B$10001,MATCH(6289,'Email Cleaner'!$H$2:$H$10001,0)),"")</f>
        <v/>
      </c>
    </row>
    <row r="6291">
      <c r="A6291">
        <f>IFERROR(INDEX('Email Cleaner'!$B$2:$B$10001,MATCH(6290,'Email Cleaner'!$H$2:$H$10001,0)),"")</f>
        <v/>
      </c>
    </row>
    <row r="6292">
      <c r="A6292">
        <f>IFERROR(INDEX('Email Cleaner'!$B$2:$B$10001,MATCH(6291,'Email Cleaner'!$H$2:$H$10001,0)),"")</f>
        <v/>
      </c>
    </row>
    <row r="6293">
      <c r="A6293">
        <f>IFERROR(INDEX('Email Cleaner'!$B$2:$B$10001,MATCH(6292,'Email Cleaner'!$H$2:$H$10001,0)),"")</f>
        <v/>
      </c>
    </row>
    <row r="6294">
      <c r="A6294">
        <f>IFERROR(INDEX('Email Cleaner'!$B$2:$B$10001,MATCH(6293,'Email Cleaner'!$H$2:$H$10001,0)),"")</f>
        <v/>
      </c>
    </row>
    <row r="6295">
      <c r="A6295">
        <f>IFERROR(INDEX('Email Cleaner'!$B$2:$B$10001,MATCH(6294,'Email Cleaner'!$H$2:$H$10001,0)),"")</f>
        <v/>
      </c>
    </row>
    <row r="6296">
      <c r="A6296">
        <f>IFERROR(INDEX('Email Cleaner'!$B$2:$B$10001,MATCH(6295,'Email Cleaner'!$H$2:$H$10001,0)),"")</f>
        <v/>
      </c>
    </row>
    <row r="6297">
      <c r="A6297">
        <f>IFERROR(INDEX('Email Cleaner'!$B$2:$B$10001,MATCH(6296,'Email Cleaner'!$H$2:$H$10001,0)),"")</f>
        <v/>
      </c>
    </row>
    <row r="6298">
      <c r="A6298">
        <f>IFERROR(INDEX('Email Cleaner'!$B$2:$B$10001,MATCH(6297,'Email Cleaner'!$H$2:$H$10001,0)),"")</f>
        <v/>
      </c>
    </row>
    <row r="6299">
      <c r="A6299">
        <f>IFERROR(INDEX('Email Cleaner'!$B$2:$B$10001,MATCH(6298,'Email Cleaner'!$H$2:$H$10001,0)),"")</f>
        <v/>
      </c>
    </row>
    <row r="6300">
      <c r="A6300">
        <f>IFERROR(INDEX('Email Cleaner'!$B$2:$B$10001,MATCH(6299,'Email Cleaner'!$H$2:$H$10001,0)),"")</f>
        <v/>
      </c>
    </row>
    <row r="6301">
      <c r="A6301">
        <f>IFERROR(INDEX('Email Cleaner'!$B$2:$B$10001,MATCH(6300,'Email Cleaner'!$H$2:$H$10001,0)),"")</f>
        <v/>
      </c>
    </row>
    <row r="6302">
      <c r="A6302">
        <f>IFERROR(INDEX('Email Cleaner'!$B$2:$B$10001,MATCH(6301,'Email Cleaner'!$H$2:$H$10001,0)),"")</f>
        <v/>
      </c>
    </row>
    <row r="6303">
      <c r="A6303">
        <f>IFERROR(INDEX('Email Cleaner'!$B$2:$B$10001,MATCH(6302,'Email Cleaner'!$H$2:$H$10001,0)),"")</f>
        <v/>
      </c>
    </row>
    <row r="6304">
      <c r="A6304">
        <f>IFERROR(INDEX('Email Cleaner'!$B$2:$B$10001,MATCH(6303,'Email Cleaner'!$H$2:$H$10001,0)),"")</f>
        <v/>
      </c>
    </row>
    <row r="6305">
      <c r="A6305">
        <f>IFERROR(INDEX('Email Cleaner'!$B$2:$B$10001,MATCH(6304,'Email Cleaner'!$H$2:$H$10001,0)),"")</f>
        <v/>
      </c>
    </row>
    <row r="6306">
      <c r="A6306">
        <f>IFERROR(INDEX('Email Cleaner'!$B$2:$B$10001,MATCH(6305,'Email Cleaner'!$H$2:$H$10001,0)),"")</f>
        <v/>
      </c>
    </row>
    <row r="6307">
      <c r="A6307">
        <f>IFERROR(INDEX('Email Cleaner'!$B$2:$B$10001,MATCH(6306,'Email Cleaner'!$H$2:$H$10001,0)),"")</f>
        <v/>
      </c>
    </row>
    <row r="6308">
      <c r="A6308">
        <f>IFERROR(INDEX('Email Cleaner'!$B$2:$B$10001,MATCH(6307,'Email Cleaner'!$H$2:$H$10001,0)),"")</f>
        <v/>
      </c>
    </row>
    <row r="6309">
      <c r="A6309">
        <f>IFERROR(INDEX('Email Cleaner'!$B$2:$B$10001,MATCH(6308,'Email Cleaner'!$H$2:$H$10001,0)),"")</f>
        <v/>
      </c>
    </row>
    <row r="6310">
      <c r="A6310">
        <f>IFERROR(INDEX('Email Cleaner'!$B$2:$B$10001,MATCH(6309,'Email Cleaner'!$H$2:$H$10001,0)),"")</f>
        <v/>
      </c>
    </row>
    <row r="6311">
      <c r="A6311">
        <f>IFERROR(INDEX('Email Cleaner'!$B$2:$B$10001,MATCH(6310,'Email Cleaner'!$H$2:$H$10001,0)),"")</f>
        <v/>
      </c>
    </row>
    <row r="6312">
      <c r="A6312">
        <f>IFERROR(INDEX('Email Cleaner'!$B$2:$B$10001,MATCH(6311,'Email Cleaner'!$H$2:$H$10001,0)),"")</f>
        <v/>
      </c>
    </row>
    <row r="6313">
      <c r="A6313">
        <f>IFERROR(INDEX('Email Cleaner'!$B$2:$B$10001,MATCH(6312,'Email Cleaner'!$H$2:$H$10001,0)),"")</f>
        <v/>
      </c>
    </row>
    <row r="6314">
      <c r="A6314">
        <f>IFERROR(INDEX('Email Cleaner'!$B$2:$B$10001,MATCH(6313,'Email Cleaner'!$H$2:$H$10001,0)),"")</f>
        <v/>
      </c>
    </row>
    <row r="6315">
      <c r="A6315">
        <f>IFERROR(INDEX('Email Cleaner'!$B$2:$B$10001,MATCH(6314,'Email Cleaner'!$H$2:$H$10001,0)),"")</f>
        <v/>
      </c>
    </row>
    <row r="6316">
      <c r="A6316">
        <f>IFERROR(INDEX('Email Cleaner'!$B$2:$B$10001,MATCH(6315,'Email Cleaner'!$H$2:$H$10001,0)),"")</f>
        <v/>
      </c>
    </row>
    <row r="6317">
      <c r="A6317">
        <f>IFERROR(INDEX('Email Cleaner'!$B$2:$B$10001,MATCH(6316,'Email Cleaner'!$H$2:$H$10001,0)),"")</f>
        <v/>
      </c>
    </row>
    <row r="6318">
      <c r="A6318">
        <f>IFERROR(INDEX('Email Cleaner'!$B$2:$B$10001,MATCH(6317,'Email Cleaner'!$H$2:$H$10001,0)),"")</f>
        <v/>
      </c>
    </row>
    <row r="6319">
      <c r="A6319">
        <f>IFERROR(INDEX('Email Cleaner'!$B$2:$B$10001,MATCH(6318,'Email Cleaner'!$H$2:$H$10001,0)),"")</f>
        <v/>
      </c>
    </row>
    <row r="6320">
      <c r="A6320">
        <f>IFERROR(INDEX('Email Cleaner'!$B$2:$B$10001,MATCH(6319,'Email Cleaner'!$H$2:$H$10001,0)),"")</f>
        <v/>
      </c>
    </row>
    <row r="6321">
      <c r="A6321">
        <f>IFERROR(INDEX('Email Cleaner'!$B$2:$B$10001,MATCH(6320,'Email Cleaner'!$H$2:$H$10001,0)),"")</f>
        <v/>
      </c>
    </row>
    <row r="6322">
      <c r="A6322">
        <f>IFERROR(INDEX('Email Cleaner'!$B$2:$B$10001,MATCH(6321,'Email Cleaner'!$H$2:$H$10001,0)),"")</f>
        <v/>
      </c>
    </row>
    <row r="6323">
      <c r="A6323">
        <f>IFERROR(INDEX('Email Cleaner'!$B$2:$B$10001,MATCH(6322,'Email Cleaner'!$H$2:$H$10001,0)),"")</f>
        <v/>
      </c>
    </row>
    <row r="6324">
      <c r="A6324">
        <f>IFERROR(INDEX('Email Cleaner'!$B$2:$B$10001,MATCH(6323,'Email Cleaner'!$H$2:$H$10001,0)),"")</f>
        <v/>
      </c>
    </row>
    <row r="6325">
      <c r="A6325">
        <f>IFERROR(INDEX('Email Cleaner'!$B$2:$B$10001,MATCH(6324,'Email Cleaner'!$H$2:$H$10001,0)),"")</f>
        <v/>
      </c>
    </row>
    <row r="6326">
      <c r="A6326">
        <f>IFERROR(INDEX('Email Cleaner'!$B$2:$B$10001,MATCH(6325,'Email Cleaner'!$H$2:$H$10001,0)),"")</f>
        <v/>
      </c>
    </row>
    <row r="6327">
      <c r="A6327">
        <f>IFERROR(INDEX('Email Cleaner'!$B$2:$B$10001,MATCH(6326,'Email Cleaner'!$H$2:$H$10001,0)),"")</f>
        <v/>
      </c>
    </row>
    <row r="6328">
      <c r="A6328">
        <f>IFERROR(INDEX('Email Cleaner'!$B$2:$B$10001,MATCH(6327,'Email Cleaner'!$H$2:$H$10001,0)),"")</f>
        <v/>
      </c>
    </row>
    <row r="6329">
      <c r="A6329">
        <f>IFERROR(INDEX('Email Cleaner'!$B$2:$B$10001,MATCH(6328,'Email Cleaner'!$H$2:$H$10001,0)),"")</f>
        <v/>
      </c>
    </row>
    <row r="6330">
      <c r="A6330">
        <f>IFERROR(INDEX('Email Cleaner'!$B$2:$B$10001,MATCH(6329,'Email Cleaner'!$H$2:$H$10001,0)),"")</f>
        <v/>
      </c>
    </row>
    <row r="6331">
      <c r="A6331">
        <f>IFERROR(INDEX('Email Cleaner'!$B$2:$B$10001,MATCH(6330,'Email Cleaner'!$H$2:$H$10001,0)),"")</f>
        <v/>
      </c>
    </row>
    <row r="6332">
      <c r="A6332">
        <f>IFERROR(INDEX('Email Cleaner'!$B$2:$B$10001,MATCH(6331,'Email Cleaner'!$H$2:$H$10001,0)),"")</f>
        <v/>
      </c>
    </row>
    <row r="6333">
      <c r="A6333">
        <f>IFERROR(INDEX('Email Cleaner'!$B$2:$B$10001,MATCH(6332,'Email Cleaner'!$H$2:$H$10001,0)),"")</f>
        <v/>
      </c>
    </row>
    <row r="6334">
      <c r="A6334">
        <f>IFERROR(INDEX('Email Cleaner'!$B$2:$B$10001,MATCH(6333,'Email Cleaner'!$H$2:$H$10001,0)),"")</f>
        <v/>
      </c>
    </row>
    <row r="6335">
      <c r="A6335">
        <f>IFERROR(INDEX('Email Cleaner'!$B$2:$B$10001,MATCH(6334,'Email Cleaner'!$H$2:$H$10001,0)),"")</f>
        <v/>
      </c>
    </row>
    <row r="6336">
      <c r="A6336">
        <f>IFERROR(INDEX('Email Cleaner'!$B$2:$B$10001,MATCH(6335,'Email Cleaner'!$H$2:$H$10001,0)),"")</f>
        <v/>
      </c>
    </row>
    <row r="6337">
      <c r="A6337">
        <f>IFERROR(INDEX('Email Cleaner'!$B$2:$B$10001,MATCH(6336,'Email Cleaner'!$H$2:$H$10001,0)),"")</f>
        <v/>
      </c>
    </row>
    <row r="6338">
      <c r="A6338">
        <f>IFERROR(INDEX('Email Cleaner'!$B$2:$B$10001,MATCH(6337,'Email Cleaner'!$H$2:$H$10001,0)),"")</f>
        <v/>
      </c>
    </row>
    <row r="6339">
      <c r="A6339">
        <f>IFERROR(INDEX('Email Cleaner'!$B$2:$B$10001,MATCH(6338,'Email Cleaner'!$H$2:$H$10001,0)),"")</f>
        <v/>
      </c>
    </row>
    <row r="6340">
      <c r="A6340">
        <f>IFERROR(INDEX('Email Cleaner'!$B$2:$B$10001,MATCH(6339,'Email Cleaner'!$H$2:$H$10001,0)),"")</f>
        <v/>
      </c>
    </row>
    <row r="6341">
      <c r="A6341">
        <f>IFERROR(INDEX('Email Cleaner'!$B$2:$B$10001,MATCH(6340,'Email Cleaner'!$H$2:$H$10001,0)),"")</f>
        <v/>
      </c>
    </row>
    <row r="6342">
      <c r="A6342">
        <f>IFERROR(INDEX('Email Cleaner'!$B$2:$B$10001,MATCH(6341,'Email Cleaner'!$H$2:$H$10001,0)),"")</f>
        <v/>
      </c>
    </row>
    <row r="6343">
      <c r="A6343">
        <f>IFERROR(INDEX('Email Cleaner'!$B$2:$B$10001,MATCH(6342,'Email Cleaner'!$H$2:$H$10001,0)),"")</f>
        <v/>
      </c>
    </row>
    <row r="6344">
      <c r="A6344">
        <f>IFERROR(INDEX('Email Cleaner'!$B$2:$B$10001,MATCH(6343,'Email Cleaner'!$H$2:$H$10001,0)),"")</f>
        <v/>
      </c>
    </row>
    <row r="6345">
      <c r="A6345">
        <f>IFERROR(INDEX('Email Cleaner'!$B$2:$B$10001,MATCH(6344,'Email Cleaner'!$H$2:$H$10001,0)),"")</f>
        <v/>
      </c>
    </row>
    <row r="6346">
      <c r="A6346">
        <f>IFERROR(INDEX('Email Cleaner'!$B$2:$B$10001,MATCH(6345,'Email Cleaner'!$H$2:$H$10001,0)),"")</f>
        <v/>
      </c>
    </row>
    <row r="6347">
      <c r="A6347">
        <f>IFERROR(INDEX('Email Cleaner'!$B$2:$B$10001,MATCH(6346,'Email Cleaner'!$H$2:$H$10001,0)),"")</f>
        <v/>
      </c>
    </row>
    <row r="6348">
      <c r="A6348">
        <f>IFERROR(INDEX('Email Cleaner'!$B$2:$B$10001,MATCH(6347,'Email Cleaner'!$H$2:$H$10001,0)),"")</f>
        <v/>
      </c>
    </row>
    <row r="6349">
      <c r="A6349">
        <f>IFERROR(INDEX('Email Cleaner'!$B$2:$B$10001,MATCH(6348,'Email Cleaner'!$H$2:$H$10001,0)),"")</f>
        <v/>
      </c>
    </row>
    <row r="6350">
      <c r="A6350">
        <f>IFERROR(INDEX('Email Cleaner'!$B$2:$B$10001,MATCH(6349,'Email Cleaner'!$H$2:$H$10001,0)),"")</f>
        <v/>
      </c>
    </row>
    <row r="6351">
      <c r="A6351">
        <f>IFERROR(INDEX('Email Cleaner'!$B$2:$B$10001,MATCH(6350,'Email Cleaner'!$H$2:$H$10001,0)),"")</f>
        <v/>
      </c>
    </row>
    <row r="6352">
      <c r="A6352">
        <f>IFERROR(INDEX('Email Cleaner'!$B$2:$B$10001,MATCH(6351,'Email Cleaner'!$H$2:$H$10001,0)),"")</f>
        <v/>
      </c>
    </row>
    <row r="6353">
      <c r="A6353">
        <f>IFERROR(INDEX('Email Cleaner'!$B$2:$B$10001,MATCH(6352,'Email Cleaner'!$H$2:$H$10001,0)),"")</f>
        <v/>
      </c>
    </row>
    <row r="6354">
      <c r="A6354">
        <f>IFERROR(INDEX('Email Cleaner'!$B$2:$B$10001,MATCH(6353,'Email Cleaner'!$H$2:$H$10001,0)),"")</f>
        <v/>
      </c>
    </row>
    <row r="6355">
      <c r="A6355">
        <f>IFERROR(INDEX('Email Cleaner'!$B$2:$B$10001,MATCH(6354,'Email Cleaner'!$H$2:$H$10001,0)),"")</f>
        <v/>
      </c>
    </row>
    <row r="6356">
      <c r="A6356">
        <f>IFERROR(INDEX('Email Cleaner'!$B$2:$B$10001,MATCH(6355,'Email Cleaner'!$H$2:$H$10001,0)),"")</f>
        <v/>
      </c>
    </row>
    <row r="6357">
      <c r="A6357">
        <f>IFERROR(INDEX('Email Cleaner'!$B$2:$B$10001,MATCH(6356,'Email Cleaner'!$H$2:$H$10001,0)),"")</f>
        <v/>
      </c>
    </row>
    <row r="6358">
      <c r="A6358">
        <f>IFERROR(INDEX('Email Cleaner'!$B$2:$B$10001,MATCH(6357,'Email Cleaner'!$H$2:$H$10001,0)),"")</f>
        <v/>
      </c>
    </row>
    <row r="6359">
      <c r="A6359">
        <f>IFERROR(INDEX('Email Cleaner'!$B$2:$B$10001,MATCH(6358,'Email Cleaner'!$H$2:$H$10001,0)),"")</f>
        <v/>
      </c>
    </row>
    <row r="6360">
      <c r="A6360">
        <f>IFERROR(INDEX('Email Cleaner'!$B$2:$B$10001,MATCH(6359,'Email Cleaner'!$H$2:$H$10001,0)),"")</f>
        <v/>
      </c>
    </row>
    <row r="6361">
      <c r="A6361">
        <f>IFERROR(INDEX('Email Cleaner'!$B$2:$B$10001,MATCH(6360,'Email Cleaner'!$H$2:$H$10001,0)),"")</f>
        <v/>
      </c>
    </row>
    <row r="6362">
      <c r="A6362">
        <f>IFERROR(INDEX('Email Cleaner'!$B$2:$B$10001,MATCH(6361,'Email Cleaner'!$H$2:$H$10001,0)),"")</f>
        <v/>
      </c>
    </row>
    <row r="6363">
      <c r="A6363">
        <f>IFERROR(INDEX('Email Cleaner'!$B$2:$B$10001,MATCH(6362,'Email Cleaner'!$H$2:$H$10001,0)),"")</f>
        <v/>
      </c>
    </row>
    <row r="6364">
      <c r="A6364">
        <f>IFERROR(INDEX('Email Cleaner'!$B$2:$B$10001,MATCH(6363,'Email Cleaner'!$H$2:$H$10001,0)),"")</f>
        <v/>
      </c>
    </row>
    <row r="6365">
      <c r="A6365">
        <f>IFERROR(INDEX('Email Cleaner'!$B$2:$B$10001,MATCH(6364,'Email Cleaner'!$H$2:$H$10001,0)),"")</f>
        <v/>
      </c>
    </row>
    <row r="6366">
      <c r="A6366">
        <f>IFERROR(INDEX('Email Cleaner'!$B$2:$B$10001,MATCH(6365,'Email Cleaner'!$H$2:$H$10001,0)),"")</f>
        <v/>
      </c>
    </row>
    <row r="6367">
      <c r="A6367">
        <f>IFERROR(INDEX('Email Cleaner'!$B$2:$B$10001,MATCH(6366,'Email Cleaner'!$H$2:$H$10001,0)),"")</f>
        <v/>
      </c>
    </row>
    <row r="6368">
      <c r="A6368">
        <f>IFERROR(INDEX('Email Cleaner'!$B$2:$B$10001,MATCH(6367,'Email Cleaner'!$H$2:$H$10001,0)),"")</f>
        <v/>
      </c>
    </row>
    <row r="6369">
      <c r="A6369">
        <f>IFERROR(INDEX('Email Cleaner'!$B$2:$B$10001,MATCH(6368,'Email Cleaner'!$H$2:$H$10001,0)),"")</f>
        <v/>
      </c>
    </row>
    <row r="6370">
      <c r="A6370">
        <f>IFERROR(INDEX('Email Cleaner'!$B$2:$B$10001,MATCH(6369,'Email Cleaner'!$H$2:$H$10001,0)),"")</f>
        <v/>
      </c>
    </row>
    <row r="6371">
      <c r="A6371">
        <f>IFERROR(INDEX('Email Cleaner'!$B$2:$B$10001,MATCH(6370,'Email Cleaner'!$H$2:$H$10001,0)),"")</f>
        <v/>
      </c>
    </row>
    <row r="6372">
      <c r="A6372">
        <f>IFERROR(INDEX('Email Cleaner'!$B$2:$B$10001,MATCH(6371,'Email Cleaner'!$H$2:$H$10001,0)),"")</f>
        <v/>
      </c>
    </row>
    <row r="6373">
      <c r="A6373">
        <f>IFERROR(INDEX('Email Cleaner'!$B$2:$B$10001,MATCH(6372,'Email Cleaner'!$H$2:$H$10001,0)),"")</f>
        <v/>
      </c>
    </row>
    <row r="6374">
      <c r="A6374">
        <f>IFERROR(INDEX('Email Cleaner'!$B$2:$B$10001,MATCH(6373,'Email Cleaner'!$H$2:$H$10001,0)),"")</f>
        <v/>
      </c>
    </row>
    <row r="6375">
      <c r="A6375">
        <f>IFERROR(INDEX('Email Cleaner'!$B$2:$B$10001,MATCH(6374,'Email Cleaner'!$H$2:$H$10001,0)),"")</f>
        <v/>
      </c>
    </row>
    <row r="6376">
      <c r="A6376">
        <f>IFERROR(INDEX('Email Cleaner'!$B$2:$B$10001,MATCH(6375,'Email Cleaner'!$H$2:$H$10001,0)),"")</f>
        <v/>
      </c>
    </row>
    <row r="6377">
      <c r="A6377">
        <f>IFERROR(INDEX('Email Cleaner'!$B$2:$B$10001,MATCH(6376,'Email Cleaner'!$H$2:$H$10001,0)),"")</f>
        <v/>
      </c>
    </row>
    <row r="6378">
      <c r="A6378">
        <f>IFERROR(INDEX('Email Cleaner'!$B$2:$B$10001,MATCH(6377,'Email Cleaner'!$H$2:$H$10001,0)),"")</f>
        <v/>
      </c>
    </row>
    <row r="6379">
      <c r="A6379">
        <f>IFERROR(INDEX('Email Cleaner'!$B$2:$B$10001,MATCH(6378,'Email Cleaner'!$H$2:$H$10001,0)),"")</f>
        <v/>
      </c>
    </row>
    <row r="6380">
      <c r="A6380">
        <f>IFERROR(INDEX('Email Cleaner'!$B$2:$B$10001,MATCH(6379,'Email Cleaner'!$H$2:$H$10001,0)),"")</f>
        <v/>
      </c>
    </row>
    <row r="6381">
      <c r="A6381">
        <f>IFERROR(INDEX('Email Cleaner'!$B$2:$B$10001,MATCH(6380,'Email Cleaner'!$H$2:$H$10001,0)),"")</f>
        <v/>
      </c>
    </row>
    <row r="6382">
      <c r="A6382">
        <f>IFERROR(INDEX('Email Cleaner'!$B$2:$B$10001,MATCH(6381,'Email Cleaner'!$H$2:$H$10001,0)),"")</f>
        <v/>
      </c>
    </row>
    <row r="6383">
      <c r="A6383">
        <f>IFERROR(INDEX('Email Cleaner'!$B$2:$B$10001,MATCH(6382,'Email Cleaner'!$H$2:$H$10001,0)),"")</f>
        <v/>
      </c>
    </row>
    <row r="6384">
      <c r="A6384">
        <f>IFERROR(INDEX('Email Cleaner'!$B$2:$B$10001,MATCH(6383,'Email Cleaner'!$H$2:$H$10001,0)),"")</f>
        <v/>
      </c>
    </row>
    <row r="6385">
      <c r="A6385">
        <f>IFERROR(INDEX('Email Cleaner'!$B$2:$B$10001,MATCH(6384,'Email Cleaner'!$H$2:$H$10001,0)),"")</f>
        <v/>
      </c>
    </row>
    <row r="6386">
      <c r="A6386">
        <f>IFERROR(INDEX('Email Cleaner'!$B$2:$B$10001,MATCH(6385,'Email Cleaner'!$H$2:$H$10001,0)),"")</f>
        <v/>
      </c>
    </row>
    <row r="6387">
      <c r="A6387">
        <f>IFERROR(INDEX('Email Cleaner'!$B$2:$B$10001,MATCH(6386,'Email Cleaner'!$H$2:$H$10001,0)),"")</f>
        <v/>
      </c>
    </row>
    <row r="6388">
      <c r="A6388">
        <f>IFERROR(INDEX('Email Cleaner'!$B$2:$B$10001,MATCH(6387,'Email Cleaner'!$H$2:$H$10001,0)),"")</f>
        <v/>
      </c>
    </row>
    <row r="6389">
      <c r="A6389">
        <f>IFERROR(INDEX('Email Cleaner'!$B$2:$B$10001,MATCH(6388,'Email Cleaner'!$H$2:$H$10001,0)),"")</f>
        <v/>
      </c>
    </row>
    <row r="6390">
      <c r="A6390">
        <f>IFERROR(INDEX('Email Cleaner'!$B$2:$B$10001,MATCH(6389,'Email Cleaner'!$H$2:$H$10001,0)),"")</f>
        <v/>
      </c>
    </row>
    <row r="6391">
      <c r="A6391">
        <f>IFERROR(INDEX('Email Cleaner'!$B$2:$B$10001,MATCH(6390,'Email Cleaner'!$H$2:$H$10001,0)),"")</f>
        <v/>
      </c>
    </row>
    <row r="6392">
      <c r="A6392">
        <f>IFERROR(INDEX('Email Cleaner'!$B$2:$B$10001,MATCH(6391,'Email Cleaner'!$H$2:$H$10001,0)),"")</f>
        <v/>
      </c>
    </row>
    <row r="6393">
      <c r="A6393">
        <f>IFERROR(INDEX('Email Cleaner'!$B$2:$B$10001,MATCH(6392,'Email Cleaner'!$H$2:$H$10001,0)),"")</f>
        <v/>
      </c>
    </row>
    <row r="6394">
      <c r="A6394">
        <f>IFERROR(INDEX('Email Cleaner'!$B$2:$B$10001,MATCH(6393,'Email Cleaner'!$H$2:$H$10001,0)),"")</f>
        <v/>
      </c>
    </row>
    <row r="6395">
      <c r="A6395">
        <f>IFERROR(INDEX('Email Cleaner'!$B$2:$B$10001,MATCH(6394,'Email Cleaner'!$H$2:$H$10001,0)),"")</f>
        <v/>
      </c>
    </row>
    <row r="6396">
      <c r="A6396">
        <f>IFERROR(INDEX('Email Cleaner'!$B$2:$B$10001,MATCH(6395,'Email Cleaner'!$H$2:$H$10001,0)),"")</f>
        <v/>
      </c>
    </row>
    <row r="6397">
      <c r="A6397">
        <f>IFERROR(INDEX('Email Cleaner'!$B$2:$B$10001,MATCH(6396,'Email Cleaner'!$H$2:$H$10001,0)),"")</f>
        <v/>
      </c>
    </row>
    <row r="6398">
      <c r="A6398">
        <f>IFERROR(INDEX('Email Cleaner'!$B$2:$B$10001,MATCH(6397,'Email Cleaner'!$H$2:$H$10001,0)),"")</f>
        <v/>
      </c>
    </row>
    <row r="6399">
      <c r="A6399">
        <f>IFERROR(INDEX('Email Cleaner'!$B$2:$B$10001,MATCH(6398,'Email Cleaner'!$H$2:$H$10001,0)),"")</f>
        <v/>
      </c>
    </row>
    <row r="6400">
      <c r="A6400">
        <f>IFERROR(INDEX('Email Cleaner'!$B$2:$B$10001,MATCH(6399,'Email Cleaner'!$H$2:$H$10001,0)),"")</f>
        <v/>
      </c>
    </row>
    <row r="6401">
      <c r="A6401">
        <f>IFERROR(INDEX('Email Cleaner'!$B$2:$B$10001,MATCH(6400,'Email Cleaner'!$H$2:$H$10001,0)),"")</f>
        <v/>
      </c>
    </row>
    <row r="6402">
      <c r="A6402">
        <f>IFERROR(INDEX('Email Cleaner'!$B$2:$B$10001,MATCH(6401,'Email Cleaner'!$H$2:$H$10001,0)),"")</f>
        <v/>
      </c>
    </row>
    <row r="6403">
      <c r="A6403">
        <f>IFERROR(INDEX('Email Cleaner'!$B$2:$B$10001,MATCH(6402,'Email Cleaner'!$H$2:$H$10001,0)),"")</f>
        <v/>
      </c>
    </row>
    <row r="6404">
      <c r="A6404">
        <f>IFERROR(INDEX('Email Cleaner'!$B$2:$B$10001,MATCH(6403,'Email Cleaner'!$H$2:$H$10001,0)),"")</f>
        <v/>
      </c>
    </row>
    <row r="6405">
      <c r="A6405">
        <f>IFERROR(INDEX('Email Cleaner'!$B$2:$B$10001,MATCH(6404,'Email Cleaner'!$H$2:$H$10001,0)),"")</f>
        <v/>
      </c>
    </row>
    <row r="6406">
      <c r="A6406">
        <f>IFERROR(INDEX('Email Cleaner'!$B$2:$B$10001,MATCH(6405,'Email Cleaner'!$H$2:$H$10001,0)),"")</f>
        <v/>
      </c>
    </row>
    <row r="6407">
      <c r="A6407">
        <f>IFERROR(INDEX('Email Cleaner'!$B$2:$B$10001,MATCH(6406,'Email Cleaner'!$H$2:$H$10001,0)),"")</f>
        <v/>
      </c>
    </row>
    <row r="6408">
      <c r="A6408">
        <f>IFERROR(INDEX('Email Cleaner'!$B$2:$B$10001,MATCH(6407,'Email Cleaner'!$H$2:$H$10001,0)),"")</f>
        <v/>
      </c>
    </row>
    <row r="6409">
      <c r="A6409">
        <f>IFERROR(INDEX('Email Cleaner'!$B$2:$B$10001,MATCH(6408,'Email Cleaner'!$H$2:$H$10001,0)),"")</f>
        <v/>
      </c>
    </row>
    <row r="6410">
      <c r="A6410">
        <f>IFERROR(INDEX('Email Cleaner'!$B$2:$B$10001,MATCH(6409,'Email Cleaner'!$H$2:$H$10001,0)),"")</f>
        <v/>
      </c>
    </row>
    <row r="6411">
      <c r="A6411">
        <f>IFERROR(INDEX('Email Cleaner'!$B$2:$B$10001,MATCH(6410,'Email Cleaner'!$H$2:$H$10001,0)),"")</f>
        <v/>
      </c>
    </row>
    <row r="6412">
      <c r="A6412">
        <f>IFERROR(INDEX('Email Cleaner'!$B$2:$B$10001,MATCH(6411,'Email Cleaner'!$H$2:$H$10001,0)),"")</f>
        <v/>
      </c>
    </row>
    <row r="6413">
      <c r="A6413">
        <f>IFERROR(INDEX('Email Cleaner'!$B$2:$B$10001,MATCH(6412,'Email Cleaner'!$H$2:$H$10001,0)),"")</f>
        <v/>
      </c>
    </row>
    <row r="6414">
      <c r="A6414">
        <f>IFERROR(INDEX('Email Cleaner'!$B$2:$B$10001,MATCH(6413,'Email Cleaner'!$H$2:$H$10001,0)),"")</f>
        <v/>
      </c>
    </row>
    <row r="6415">
      <c r="A6415">
        <f>IFERROR(INDEX('Email Cleaner'!$B$2:$B$10001,MATCH(6414,'Email Cleaner'!$H$2:$H$10001,0)),"")</f>
        <v/>
      </c>
    </row>
    <row r="6416">
      <c r="A6416">
        <f>IFERROR(INDEX('Email Cleaner'!$B$2:$B$10001,MATCH(6415,'Email Cleaner'!$H$2:$H$10001,0)),"")</f>
        <v/>
      </c>
    </row>
    <row r="6417">
      <c r="A6417">
        <f>IFERROR(INDEX('Email Cleaner'!$B$2:$B$10001,MATCH(6416,'Email Cleaner'!$H$2:$H$10001,0)),"")</f>
        <v/>
      </c>
    </row>
    <row r="6418">
      <c r="A6418">
        <f>IFERROR(INDEX('Email Cleaner'!$B$2:$B$10001,MATCH(6417,'Email Cleaner'!$H$2:$H$10001,0)),"")</f>
        <v/>
      </c>
    </row>
    <row r="6419">
      <c r="A6419">
        <f>IFERROR(INDEX('Email Cleaner'!$B$2:$B$10001,MATCH(6418,'Email Cleaner'!$H$2:$H$10001,0)),"")</f>
        <v/>
      </c>
    </row>
    <row r="6420">
      <c r="A6420">
        <f>IFERROR(INDEX('Email Cleaner'!$B$2:$B$10001,MATCH(6419,'Email Cleaner'!$H$2:$H$10001,0)),"")</f>
        <v/>
      </c>
    </row>
    <row r="6421">
      <c r="A6421">
        <f>IFERROR(INDEX('Email Cleaner'!$B$2:$B$10001,MATCH(6420,'Email Cleaner'!$H$2:$H$10001,0)),"")</f>
        <v/>
      </c>
    </row>
    <row r="6422">
      <c r="A6422">
        <f>IFERROR(INDEX('Email Cleaner'!$B$2:$B$10001,MATCH(6421,'Email Cleaner'!$H$2:$H$10001,0)),"")</f>
        <v/>
      </c>
    </row>
    <row r="6423">
      <c r="A6423">
        <f>IFERROR(INDEX('Email Cleaner'!$B$2:$B$10001,MATCH(6422,'Email Cleaner'!$H$2:$H$10001,0)),"")</f>
        <v/>
      </c>
    </row>
    <row r="6424">
      <c r="A6424">
        <f>IFERROR(INDEX('Email Cleaner'!$B$2:$B$10001,MATCH(6423,'Email Cleaner'!$H$2:$H$10001,0)),"")</f>
        <v/>
      </c>
    </row>
    <row r="6425">
      <c r="A6425">
        <f>IFERROR(INDEX('Email Cleaner'!$B$2:$B$10001,MATCH(6424,'Email Cleaner'!$H$2:$H$10001,0)),"")</f>
        <v/>
      </c>
    </row>
    <row r="6426">
      <c r="A6426">
        <f>IFERROR(INDEX('Email Cleaner'!$B$2:$B$10001,MATCH(6425,'Email Cleaner'!$H$2:$H$10001,0)),"")</f>
        <v/>
      </c>
    </row>
    <row r="6427">
      <c r="A6427">
        <f>IFERROR(INDEX('Email Cleaner'!$B$2:$B$10001,MATCH(6426,'Email Cleaner'!$H$2:$H$10001,0)),"")</f>
        <v/>
      </c>
    </row>
    <row r="6428">
      <c r="A6428">
        <f>IFERROR(INDEX('Email Cleaner'!$B$2:$B$10001,MATCH(6427,'Email Cleaner'!$H$2:$H$10001,0)),"")</f>
        <v/>
      </c>
    </row>
    <row r="6429">
      <c r="A6429">
        <f>IFERROR(INDEX('Email Cleaner'!$B$2:$B$10001,MATCH(6428,'Email Cleaner'!$H$2:$H$10001,0)),"")</f>
        <v/>
      </c>
    </row>
    <row r="6430">
      <c r="A6430">
        <f>IFERROR(INDEX('Email Cleaner'!$B$2:$B$10001,MATCH(6429,'Email Cleaner'!$H$2:$H$10001,0)),"")</f>
        <v/>
      </c>
    </row>
    <row r="6431">
      <c r="A6431">
        <f>IFERROR(INDEX('Email Cleaner'!$B$2:$B$10001,MATCH(6430,'Email Cleaner'!$H$2:$H$10001,0)),"")</f>
        <v/>
      </c>
    </row>
    <row r="6432">
      <c r="A6432">
        <f>IFERROR(INDEX('Email Cleaner'!$B$2:$B$10001,MATCH(6431,'Email Cleaner'!$H$2:$H$10001,0)),"")</f>
        <v/>
      </c>
    </row>
    <row r="6433">
      <c r="A6433">
        <f>IFERROR(INDEX('Email Cleaner'!$B$2:$B$10001,MATCH(6432,'Email Cleaner'!$H$2:$H$10001,0)),"")</f>
        <v/>
      </c>
    </row>
    <row r="6434">
      <c r="A6434">
        <f>IFERROR(INDEX('Email Cleaner'!$B$2:$B$10001,MATCH(6433,'Email Cleaner'!$H$2:$H$10001,0)),"")</f>
        <v/>
      </c>
    </row>
    <row r="6435">
      <c r="A6435">
        <f>IFERROR(INDEX('Email Cleaner'!$B$2:$B$10001,MATCH(6434,'Email Cleaner'!$H$2:$H$10001,0)),"")</f>
        <v/>
      </c>
    </row>
    <row r="6436">
      <c r="A6436">
        <f>IFERROR(INDEX('Email Cleaner'!$B$2:$B$10001,MATCH(6435,'Email Cleaner'!$H$2:$H$10001,0)),"")</f>
        <v/>
      </c>
    </row>
    <row r="6437">
      <c r="A6437">
        <f>IFERROR(INDEX('Email Cleaner'!$B$2:$B$10001,MATCH(6436,'Email Cleaner'!$H$2:$H$10001,0)),"")</f>
        <v/>
      </c>
    </row>
    <row r="6438">
      <c r="A6438">
        <f>IFERROR(INDEX('Email Cleaner'!$B$2:$B$10001,MATCH(6437,'Email Cleaner'!$H$2:$H$10001,0)),"")</f>
        <v/>
      </c>
    </row>
    <row r="6439">
      <c r="A6439">
        <f>IFERROR(INDEX('Email Cleaner'!$B$2:$B$10001,MATCH(6438,'Email Cleaner'!$H$2:$H$10001,0)),"")</f>
        <v/>
      </c>
    </row>
    <row r="6440">
      <c r="A6440">
        <f>IFERROR(INDEX('Email Cleaner'!$B$2:$B$10001,MATCH(6439,'Email Cleaner'!$H$2:$H$10001,0)),"")</f>
        <v/>
      </c>
    </row>
    <row r="6441">
      <c r="A6441">
        <f>IFERROR(INDEX('Email Cleaner'!$B$2:$B$10001,MATCH(6440,'Email Cleaner'!$H$2:$H$10001,0)),"")</f>
        <v/>
      </c>
    </row>
    <row r="6442">
      <c r="A6442">
        <f>IFERROR(INDEX('Email Cleaner'!$B$2:$B$10001,MATCH(6441,'Email Cleaner'!$H$2:$H$10001,0)),"")</f>
        <v/>
      </c>
    </row>
    <row r="6443">
      <c r="A6443">
        <f>IFERROR(INDEX('Email Cleaner'!$B$2:$B$10001,MATCH(6442,'Email Cleaner'!$H$2:$H$10001,0)),"")</f>
        <v/>
      </c>
    </row>
    <row r="6444">
      <c r="A6444">
        <f>IFERROR(INDEX('Email Cleaner'!$B$2:$B$10001,MATCH(6443,'Email Cleaner'!$H$2:$H$10001,0)),"")</f>
        <v/>
      </c>
    </row>
    <row r="6445">
      <c r="A6445">
        <f>IFERROR(INDEX('Email Cleaner'!$B$2:$B$10001,MATCH(6444,'Email Cleaner'!$H$2:$H$10001,0)),"")</f>
        <v/>
      </c>
    </row>
    <row r="6446">
      <c r="A6446">
        <f>IFERROR(INDEX('Email Cleaner'!$B$2:$B$10001,MATCH(6445,'Email Cleaner'!$H$2:$H$10001,0)),"")</f>
        <v/>
      </c>
    </row>
    <row r="6447">
      <c r="A6447">
        <f>IFERROR(INDEX('Email Cleaner'!$B$2:$B$10001,MATCH(6446,'Email Cleaner'!$H$2:$H$10001,0)),"")</f>
        <v/>
      </c>
    </row>
    <row r="6448">
      <c r="A6448">
        <f>IFERROR(INDEX('Email Cleaner'!$B$2:$B$10001,MATCH(6447,'Email Cleaner'!$H$2:$H$10001,0)),"")</f>
        <v/>
      </c>
    </row>
    <row r="6449">
      <c r="A6449">
        <f>IFERROR(INDEX('Email Cleaner'!$B$2:$B$10001,MATCH(6448,'Email Cleaner'!$H$2:$H$10001,0)),"")</f>
        <v/>
      </c>
    </row>
    <row r="6450">
      <c r="A6450">
        <f>IFERROR(INDEX('Email Cleaner'!$B$2:$B$10001,MATCH(6449,'Email Cleaner'!$H$2:$H$10001,0)),"")</f>
        <v/>
      </c>
    </row>
    <row r="6451">
      <c r="A6451">
        <f>IFERROR(INDEX('Email Cleaner'!$B$2:$B$10001,MATCH(6450,'Email Cleaner'!$H$2:$H$10001,0)),"")</f>
        <v/>
      </c>
    </row>
    <row r="6452">
      <c r="A6452">
        <f>IFERROR(INDEX('Email Cleaner'!$B$2:$B$10001,MATCH(6451,'Email Cleaner'!$H$2:$H$10001,0)),"")</f>
        <v/>
      </c>
    </row>
    <row r="6453">
      <c r="A6453">
        <f>IFERROR(INDEX('Email Cleaner'!$B$2:$B$10001,MATCH(6452,'Email Cleaner'!$H$2:$H$10001,0)),"")</f>
        <v/>
      </c>
    </row>
    <row r="6454">
      <c r="A6454">
        <f>IFERROR(INDEX('Email Cleaner'!$B$2:$B$10001,MATCH(6453,'Email Cleaner'!$H$2:$H$10001,0)),"")</f>
        <v/>
      </c>
    </row>
    <row r="6455">
      <c r="A6455">
        <f>IFERROR(INDEX('Email Cleaner'!$B$2:$B$10001,MATCH(6454,'Email Cleaner'!$H$2:$H$10001,0)),"")</f>
        <v/>
      </c>
    </row>
    <row r="6456">
      <c r="A6456">
        <f>IFERROR(INDEX('Email Cleaner'!$B$2:$B$10001,MATCH(6455,'Email Cleaner'!$H$2:$H$10001,0)),"")</f>
        <v/>
      </c>
    </row>
    <row r="6457">
      <c r="A6457">
        <f>IFERROR(INDEX('Email Cleaner'!$B$2:$B$10001,MATCH(6456,'Email Cleaner'!$H$2:$H$10001,0)),"")</f>
        <v/>
      </c>
    </row>
    <row r="6458">
      <c r="A6458">
        <f>IFERROR(INDEX('Email Cleaner'!$B$2:$B$10001,MATCH(6457,'Email Cleaner'!$H$2:$H$10001,0)),"")</f>
        <v/>
      </c>
    </row>
    <row r="6459">
      <c r="A6459">
        <f>IFERROR(INDEX('Email Cleaner'!$B$2:$B$10001,MATCH(6458,'Email Cleaner'!$H$2:$H$10001,0)),"")</f>
        <v/>
      </c>
    </row>
    <row r="6460">
      <c r="A6460">
        <f>IFERROR(INDEX('Email Cleaner'!$B$2:$B$10001,MATCH(6459,'Email Cleaner'!$H$2:$H$10001,0)),"")</f>
        <v/>
      </c>
    </row>
    <row r="6461">
      <c r="A6461">
        <f>IFERROR(INDEX('Email Cleaner'!$B$2:$B$10001,MATCH(6460,'Email Cleaner'!$H$2:$H$10001,0)),"")</f>
        <v/>
      </c>
    </row>
    <row r="6462">
      <c r="A6462">
        <f>IFERROR(INDEX('Email Cleaner'!$B$2:$B$10001,MATCH(6461,'Email Cleaner'!$H$2:$H$10001,0)),"")</f>
        <v/>
      </c>
    </row>
    <row r="6463">
      <c r="A6463">
        <f>IFERROR(INDEX('Email Cleaner'!$B$2:$B$10001,MATCH(6462,'Email Cleaner'!$H$2:$H$10001,0)),"")</f>
        <v/>
      </c>
    </row>
    <row r="6464">
      <c r="A6464">
        <f>IFERROR(INDEX('Email Cleaner'!$B$2:$B$10001,MATCH(6463,'Email Cleaner'!$H$2:$H$10001,0)),"")</f>
        <v/>
      </c>
    </row>
    <row r="6465">
      <c r="A6465">
        <f>IFERROR(INDEX('Email Cleaner'!$B$2:$B$10001,MATCH(6464,'Email Cleaner'!$H$2:$H$10001,0)),"")</f>
        <v/>
      </c>
    </row>
    <row r="6466">
      <c r="A6466">
        <f>IFERROR(INDEX('Email Cleaner'!$B$2:$B$10001,MATCH(6465,'Email Cleaner'!$H$2:$H$10001,0)),"")</f>
        <v/>
      </c>
    </row>
    <row r="6467">
      <c r="A6467">
        <f>IFERROR(INDEX('Email Cleaner'!$B$2:$B$10001,MATCH(6466,'Email Cleaner'!$H$2:$H$10001,0)),"")</f>
        <v/>
      </c>
    </row>
    <row r="6468">
      <c r="A6468">
        <f>IFERROR(INDEX('Email Cleaner'!$B$2:$B$10001,MATCH(6467,'Email Cleaner'!$H$2:$H$10001,0)),"")</f>
        <v/>
      </c>
    </row>
    <row r="6469">
      <c r="A6469">
        <f>IFERROR(INDEX('Email Cleaner'!$B$2:$B$10001,MATCH(6468,'Email Cleaner'!$H$2:$H$10001,0)),"")</f>
        <v/>
      </c>
    </row>
    <row r="6470">
      <c r="A6470">
        <f>IFERROR(INDEX('Email Cleaner'!$B$2:$B$10001,MATCH(6469,'Email Cleaner'!$H$2:$H$10001,0)),"")</f>
        <v/>
      </c>
    </row>
    <row r="6471">
      <c r="A6471">
        <f>IFERROR(INDEX('Email Cleaner'!$B$2:$B$10001,MATCH(6470,'Email Cleaner'!$H$2:$H$10001,0)),"")</f>
        <v/>
      </c>
    </row>
    <row r="6472">
      <c r="A6472">
        <f>IFERROR(INDEX('Email Cleaner'!$B$2:$B$10001,MATCH(6471,'Email Cleaner'!$H$2:$H$10001,0)),"")</f>
        <v/>
      </c>
    </row>
    <row r="6473">
      <c r="A6473">
        <f>IFERROR(INDEX('Email Cleaner'!$B$2:$B$10001,MATCH(6472,'Email Cleaner'!$H$2:$H$10001,0)),"")</f>
        <v/>
      </c>
    </row>
    <row r="6474">
      <c r="A6474">
        <f>IFERROR(INDEX('Email Cleaner'!$B$2:$B$10001,MATCH(6473,'Email Cleaner'!$H$2:$H$10001,0)),"")</f>
        <v/>
      </c>
    </row>
    <row r="6475">
      <c r="A6475">
        <f>IFERROR(INDEX('Email Cleaner'!$B$2:$B$10001,MATCH(6474,'Email Cleaner'!$H$2:$H$10001,0)),"")</f>
        <v/>
      </c>
    </row>
    <row r="6476">
      <c r="A6476">
        <f>IFERROR(INDEX('Email Cleaner'!$B$2:$B$10001,MATCH(6475,'Email Cleaner'!$H$2:$H$10001,0)),"")</f>
        <v/>
      </c>
    </row>
    <row r="6477">
      <c r="A6477">
        <f>IFERROR(INDEX('Email Cleaner'!$B$2:$B$10001,MATCH(6476,'Email Cleaner'!$H$2:$H$10001,0)),"")</f>
        <v/>
      </c>
    </row>
    <row r="6478">
      <c r="A6478">
        <f>IFERROR(INDEX('Email Cleaner'!$B$2:$B$10001,MATCH(6477,'Email Cleaner'!$H$2:$H$10001,0)),"")</f>
        <v/>
      </c>
    </row>
    <row r="6479">
      <c r="A6479">
        <f>IFERROR(INDEX('Email Cleaner'!$B$2:$B$10001,MATCH(6478,'Email Cleaner'!$H$2:$H$10001,0)),"")</f>
        <v/>
      </c>
    </row>
    <row r="6480">
      <c r="A6480">
        <f>IFERROR(INDEX('Email Cleaner'!$B$2:$B$10001,MATCH(6479,'Email Cleaner'!$H$2:$H$10001,0)),"")</f>
        <v/>
      </c>
    </row>
    <row r="6481">
      <c r="A6481">
        <f>IFERROR(INDEX('Email Cleaner'!$B$2:$B$10001,MATCH(6480,'Email Cleaner'!$H$2:$H$10001,0)),"")</f>
        <v/>
      </c>
    </row>
    <row r="6482">
      <c r="A6482">
        <f>IFERROR(INDEX('Email Cleaner'!$B$2:$B$10001,MATCH(6481,'Email Cleaner'!$H$2:$H$10001,0)),"")</f>
        <v/>
      </c>
    </row>
    <row r="6483">
      <c r="A6483">
        <f>IFERROR(INDEX('Email Cleaner'!$B$2:$B$10001,MATCH(6482,'Email Cleaner'!$H$2:$H$10001,0)),"")</f>
        <v/>
      </c>
    </row>
    <row r="6484">
      <c r="A6484">
        <f>IFERROR(INDEX('Email Cleaner'!$B$2:$B$10001,MATCH(6483,'Email Cleaner'!$H$2:$H$10001,0)),"")</f>
        <v/>
      </c>
    </row>
    <row r="6485">
      <c r="A6485">
        <f>IFERROR(INDEX('Email Cleaner'!$B$2:$B$10001,MATCH(6484,'Email Cleaner'!$H$2:$H$10001,0)),"")</f>
        <v/>
      </c>
    </row>
    <row r="6486">
      <c r="A6486">
        <f>IFERROR(INDEX('Email Cleaner'!$B$2:$B$10001,MATCH(6485,'Email Cleaner'!$H$2:$H$10001,0)),"")</f>
        <v/>
      </c>
    </row>
    <row r="6487">
      <c r="A6487">
        <f>IFERROR(INDEX('Email Cleaner'!$B$2:$B$10001,MATCH(6486,'Email Cleaner'!$H$2:$H$10001,0)),"")</f>
        <v/>
      </c>
    </row>
    <row r="6488">
      <c r="A6488">
        <f>IFERROR(INDEX('Email Cleaner'!$B$2:$B$10001,MATCH(6487,'Email Cleaner'!$H$2:$H$10001,0)),"")</f>
        <v/>
      </c>
    </row>
    <row r="6489">
      <c r="A6489">
        <f>IFERROR(INDEX('Email Cleaner'!$B$2:$B$10001,MATCH(6488,'Email Cleaner'!$H$2:$H$10001,0)),"")</f>
        <v/>
      </c>
    </row>
    <row r="6490">
      <c r="A6490">
        <f>IFERROR(INDEX('Email Cleaner'!$B$2:$B$10001,MATCH(6489,'Email Cleaner'!$H$2:$H$10001,0)),"")</f>
        <v/>
      </c>
    </row>
    <row r="6491">
      <c r="A6491">
        <f>IFERROR(INDEX('Email Cleaner'!$B$2:$B$10001,MATCH(6490,'Email Cleaner'!$H$2:$H$10001,0)),"")</f>
        <v/>
      </c>
    </row>
    <row r="6492">
      <c r="A6492">
        <f>IFERROR(INDEX('Email Cleaner'!$B$2:$B$10001,MATCH(6491,'Email Cleaner'!$H$2:$H$10001,0)),"")</f>
        <v/>
      </c>
    </row>
    <row r="6493">
      <c r="A6493">
        <f>IFERROR(INDEX('Email Cleaner'!$B$2:$B$10001,MATCH(6492,'Email Cleaner'!$H$2:$H$10001,0)),"")</f>
        <v/>
      </c>
    </row>
    <row r="6494">
      <c r="A6494">
        <f>IFERROR(INDEX('Email Cleaner'!$B$2:$B$10001,MATCH(6493,'Email Cleaner'!$H$2:$H$10001,0)),"")</f>
        <v/>
      </c>
    </row>
    <row r="6495">
      <c r="A6495">
        <f>IFERROR(INDEX('Email Cleaner'!$B$2:$B$10001,MATCH(6494,'Email Cleaner'!$H$2:$H$10001,0)),"")</f>
        <v/>
      </c>
    </row>
    <row r="6496">
      <c r="A6496">
        <f>IFERROR(INDEX('Email Cleaner'!$B$2:$B$10001,MATCH(6495,'Email Cleaner'!$H$2:$H$10001,0)),"")</f>
        <v/>
      </c>
    </row>
    <row r="6497">
      <c r="A6497">
        <f>IFERROR(INDEX('Email Cleaner'!$B$2:$B$10001,MATCH(6496,'Email Cleaner'!$H$2:$H$10001,0)),"")</f>
        <v/>
      </c>
    </row>
    <row r="6498">
      <c r="A6498">
        <f>IFERROR(INDEX('Email Cleaner'!$B$2:$B$10001,MATCH(6497,'Email Cleaner'!$H$2:$H$10001,0)),"")</f>
        <v/>
      </c>
    </row>
    <row r="6499">
      <c r="A6499">
        <f>IFERROR(INDEX('Email Cleaner'!$B$2:$B$10001,MATCH(6498,'Email Cleaner'!$H$2:$H$10001,0)),"")</f>
        <v/>
      </c>
    </row>
    <row r="6500">
      <c r="A6500">
        <f>IFERROR(INDEX('Email Cleaner'!$B$2:$B$10001,MATCH(6499,'Email Cleaner'!$H$2:$H$10001,0)),"")</f>
        <v/>
      </c>
    </row>
    <row r="6501">
      <c r="A6501">
        <f>IFERROR(INDEX('Email Cleaner'!$B$2:$B$10001,MATCH(6500,'Email Cleaner'!$H$2:$H$10001,0)),"")</f>
        <v/>
      </c>
    </row>
    <row r="6502">
      <c r="A6502">
        <f>IFERROR(INDEX('Email Cleaner'!$B$2:$B$10001,MATCH(6501,'Email Cleaner'!$H$2:$H$10001,0)),"")</f>
        <v/>
      </c>
    </row>
    <row r="6503">
      <c r="A6503">
        <f>IFERROR(INDEX('Email Cleaner'!$B$2:$B$10001,MATCH(6502,'Email Cleaner'!$H$2:$H$10001,0)),"")</f>
        <v/>
      </c>
    </row>
    <row r="6504">
      <c r="A6504">
        <f>IFERROR(INDEX('Email Cleaner'!$B$2:$B$10001,MATCH(6503,'Email Cleaner'!$H$2:$H$10001,0)),"")</f>
        <v/>
      </c>
    </row>
    <row r="6505">
      <c r="A6505">
        <f>IFERROR(INDEX('Email Cleaner'!$B$2:$B$10001,MATCH(6504,'Email Cleaner'!$H$2:$H$10001,0)),"")</f>
        <v/>
      </c>
    </row>
    <row r="6506">
      <c r="A6506">
        <f>IFERROR(INDEX('Email Cleaner'!$B$2:$B$10001,MATCH(6505,'Email Cleaner'!$H$2:$H$10001,0)),"")</f>
        <v/>
      </c>
    </row>
    <row r="6507">
      <c r="A6507">
        <f>IFERROR(INDEX('Email Cleaner'!$B$2:$B$10001,MATCH(6506,'Email Cleaner'!$H$2:$H$10001,0)),"")</f>
        <v/>
      </c>
    </row>
    <row r="6508">
      <c r="A6508">
        <f>IFERROR(INDEX('Email Cleaner'!$B$2:$B$10001,MATCH(6507,'Email Cleaner'!$H$2:$H$10001,0)),"")</f>
        <v/>
      </c>
    </row>
    <row r="6509">
      <c r="A6509">
        <f>IFERROR(INDEX('Email Cleaner'!$B$2:$B$10001,MATCH(6508,'Email Cleaner'!$H$2:$H$10001,0)),"")</f>
        <v/>
      </c>
    </row>
    <row r="6510">
      <c r="A6510">
        <f>IFERROR(INDEX('Email Cleaner'!$B$2:$B$10001,MATCH(6509,'Email Cleaner'!$H$2:$H$10001,0)),"")</f>
        <v/>
      </c>
    </row>
    <row r="6511">
      <c r="A6511">
        <f>IFERROR(INDEX('Email Cleaner'!$B$2:$B$10001,MATCH(6510,'Email Cleaner'!$H$2:$H$10001,0)),"")</f>
        <v/>
      </c>
    </row>
    <row r="6512">
      <c r="A6512">
        <f>IFERROR(INDEX('Email Cleaner'!$B$2:$B$10001,MATCH(6511,'Email Cleaner'!$H$2:$H$10001,0)),"")</f>
        <v/>
      </c>
    </row>
    <row r="6513">
      <c r="A6513">
        <f>IFERROR(INDEX('Email Cleaner'!$B$2:$B$10001,MATCH(6512,'Email Cleaner'!$H$2:$H$10001,0)),"")</f>
        <v/>
      </c>
    </row>
    <row r="6514">
      <c r="A6514">
        <f>IFERROR(INDEX('Email Cleaner'!$B$2:$B$10001,MATCH(6513,'Email Cleaner'!$H$2:$H$10001,0)),"")</f>
        <v/>
      </c>
    </row>
    <row r="6515">
      <c r="A6515">
        <f>IFERROR(INDEX('Email Cleaner'!$B$2:$B$10001,MATCH(6514,'Email Cleaner'!$H$2:$H$10001,0)),"")</f>
        <v/>
      </c>
    </row>
    <row r="6516">
      <c r="A6516">
        <f>IFERROR(INDEX('Email Cleaner'!$B$2:$B$10001,MATCH(6515,'Email Cleaner'!$H$2:$H$10001,0)),"")</f>
        <v/>
      </c>
    </row>
    <row r="6517">
      <c r="A6517">
        <f>IFERROR(INDEX('Email Cleaner'!$B$2:$B$10001,MATCH(6516,'Email Cleaner'!$H$2:$H$10001,0)),"")</f>
        <v/>
      </c>
    </row>
    <row r="6518">
      <c r="A6518">
        <f>IFERROR(INDEX('Email Cleaner'!$B$2:$B$10001,MATCH(6517,'Email Cleaner'!$H$2:$H$10001,0)),"")</f>
        <v/>
      </c>
    </row>
    <row r="6519">
      <c r="A6519">
        <f>IFERROR(INDEX('Email Cleaner'!$B$2:$B$10001,MATCH(6518,'Email Cleaner'!$H$2:$H$10001,0)),"")</f>
        <v/>
      </c>
    </row>
    <row r="6520">
      <c r="A6520">
        <f>IFERROR(INDEX('Email Cleaner'!$B$2:$B$10001,MATCH(6519,'Email Cleaner'!$H$2:$H$10001,0)),"")</f>
        <v/>
      </c>
    </row>
    <row r="6521">
      <c r="A6521">
        <f>IFERROR(INDEX('Email Cleaner'!$B$2:$B$10001,MATCH(6520,'Email Cleaner'!$H$2:$H$10001,0)),"")</f>
        <v/>
      </c>
    </row>
    <row r="6522">
      <c r="A6522">
        <f>IFERROR(INDEX('Email Cleaner'!$B$2:$B$10001,MATCH(6521,'Email Cleaner'!$H$2:$H$10001,0)),"")</f>
        <v/>
      </c>
    </row>
    <row r="6523">
      <c r="A6523">
        <f>IFERROR(INDEX('Email Cleaner'!$B$2:$B$10001,MATCH(6522,'Email Cleaner'!$H$2:$H$10001,0)),"")</f>
        <v/>
      </c>
    </row>
    <row r="6524">
      <c r="A6524">
        <f>IFERROR(INDEX('Email Cleaner'!$B$2:$B$10001,MATCH(6523,'Email Cleaner'!$H$2:$H$10001,0)),"")</f>
        <v/>
      </c>
    </row>
    <row r="6525">
      <c r="A6525">
        <f>IFERROR(INDEX('Email Cleaner'!$B$2:$B$10001,MATCH(6524,'Email Cleaner'!$H$2:$H$10001,0)),"")</f>
        <v/>
      </c>
    </row>
    <row r="6526">
      <c r="A6526">
        <f>IFERROR(INDEX('Email Cleaner'!$B$2:$B$10001,MATCH(6525,'Email Cleaner'!$H$2:$H$10001,0)),"")</f>
        <v/>
      </c>
    </row>
    <row r="6527">
      <c r="A6527">
        <f>IFERROR(INDEX('Email Cleaner'!$B$2:$B$10001,MATCH(6526,'Email Cleaner'!$H$2:$H$10001,0)),"")</f>
        <v/>
      </c>
    </row>
    <row r="6528">
      <c r="A6528">
        <f>IFERROR(INDEX('Email Cleaner'!$B$2:$B$10001,MATCH(6527,'Email Cleaner'!$H$2:$H$10001,0)),"")</f>
        <v/>
      </c>
    </row>
    <row r="6529">
      <c r="A6529">
        <f>IFERROR(INDEX('Email Cleaner'!$B$2:$B$10001,MATCH(6528,'Email Cleaner'!$H$2:$H$10001,0)),"")</f>
        <v/>
      </c>
    </row>
    <row r="6530">
      <c r="A6530">
        <f>IFERROR(INDEX('Email Cleaner'!$B$2:$B$10001,MATCH(6529,'Email Cleaner'!$H$2:$H$10001,0)),"")</f>
        <v/>
      </c>
    </row>
    <row r="6531">
      <c r="A6531">
        <f>IFERROR(INDEX('Email Cleaner'!$B$2:$B$10001,MATCH(6530,'Email Cleaner'!$H$2:$H$10001,0)),"")</f>
        <v/>
      </c>
    </row>
    <row r="6532">
      <c r="A6532">
        <f>IFERROR(INDEX('Email Cleaner'!$B$2:$B$10001,MATCH(6531,'Email Cleaner'!$H$2:$H$10001,0)),"")</f>
        <v/>
      </c>
    </row>
    <row r="6533">
      <c r="A6533">
        <f>IFERROR(INDEX('Email Cleaner'!$B$2:$B$10001,MATCH(6532,'Email Cleaner'!$H$2:$H$10001,0)),"")</f>
        <v/>
      </c>
    </row>
    <row r="6534">
      <c r="A6534">
        <f>IFERROR(INDEX('Email Cleaner'!$B$2:$B$10001,MATCH(6533,'Email Cleaner'!$H$2:$H$10001,0)),"")</f>
        <v/>
      </c>
    </row>
    <row r="6535">
      <c r="A6535">
        <f>IFERROR(INDEX('Email Cleaner'!$B$2:$B$10001,MATCH(6534,'Email Cleaner'!$H$2:$H$10001,0)),"")</f>
        <v/>
      </c>
    </row>
    <row r="6536">
      <c r="A6536">
        <f>IFERROR(INDEX('Email Cleaner'!$B$2:$B$10001,MATCH(6535,'Email Cleaner'!$H$2:$H$10001,0)),"")</f>
        <v/>
      </c>
    </row>
    <row r="6537">
      <c r="A6537">
        <f>IFERROR(INDEX('Email Cleaner'!$B$2:$B$10001,MATCH(6536,'Email Cleaner'!$H$2:$H$10001,0)),"")</f>
        <v/>
      </c>
    </row>
    <row r="6538">
      <c r="A6538">
        <f>IFERROR(INDEX('Email Cleaner'!$B$2:$B$10001,MATCH(6537,'Email Cleaner'!$H$2:$H$10001,0)),"")</f>
        <v/>
      </c>
    </row>
    <row r="6539">
      <c r="A6539">
        <f>IFERROR(INDEX('Email Cleaner'!$B$2:$B$10001,MATCH(6538,'Email Cleaner'!$H$2:$H$10001,0)),"")</f>
        <v/>
      </c>
    </row>
    <row r="6540">
      <c r="A6540">
        <f>IFERROR(INDEX('Email Cleaner'!$B$2:$B$10001,MATCH(6539,'Email Cleaner'!$H$2:$H$10001,0)),"")</f>
        <v/>
      </c>
    </row>
    <row r="6541">
      <c r="A6541">
        <f>IFERROR(INDEX('Email Cleaner'!$B$2:$B$10001,MATCH(6540,'Email Cleaner'!$H$2:$H$10001,0)),"")</f>
        <v/>
      </c>
    </row>
    <row r="6542">
      <c r="A6542">
        <f>IFERROR(INDEX('Email Cleaner'!$B$2:$B$10001,MATCH(6541,'Email Cleaner'!$H$2:$H$10001,0)),"")</f>
        <v/>
      </c>
    </row>
    <row r="6543">
      <c r="A6543">
        <f>IFERROR(INDEX('Email Cleaner'!$B$2:$B$10001,MATCH(6542,'Email Cleaner'!$H$2:$H$10001,0)),"")</f>
        <v/>
      </c>
    </row>
    <row r="6544">
      <c r="A6544">
        <f>IFERROR(INDEX('Email Cleaner'!$B$2:$B$10001,MATCH(6543,'Email Cleaner'!$H$2:$H$10001,0)),"")</f>
        <v/>
      </c>
    </row>
    <row r="6545">
      <c r="A6545">
        <f>IFERROR(INDEX('Email Cleaner'!$B$2:$B$10001,MATCH(6544,'Email Cleaner'!$H$2:$H$10001,0)),"")</f>
        <v/>
      </c>
    </row>
    <row r="6546">
      <c r="A6546">
        <f>IFERROR(INDEX('Email Cleaner'!$B$2:$B$10001,MATCH(6545,'Email Cleaner'!$H$2:$H$10001,0)),"")</f>
        <v/>
      </c>
    </row>
    <row r="6547">
      <c r="A6547">
        <f>IFERROR(INDEX('Email Cleaner'!$B$2:$B$10001,MATCH(6546,'Email Cleaner'!$H$2:$H$10001,0)),"")</f>
        <v/>
      </c>
    </row>
    <row r="6548">
      <c r="A6548">
        <f>IFERROR(INDEX('Email Cleaner'!$B$2:$B$10001,MATCH(6547,'Email Cleaner'!$H$2:$H$10001,0)),"")</f>
        <v/>
      </c>
    </row>
    <row r="6549">
      <c r="A6549">
        <f>IFERROR(INDEX('Email Cleaner'!$B$2:$B$10001,MATCH(6548,'Email Cleaner'!$H$2:$H$10001,0)),"")</f>
        <v/>
      </c>
    </row>
    <row r="6550">
      <c r="A6550">
        <f>IFERROR(INDEX('Email Cleaner'!$B$2:$B$10001,MATCH(6549,'Email Cleaner'!$H$2:$H$10001,0)),"")</f>
        <v/>
      </c>
    </row>
    <row r="6551">
      <c r="A6551">
        <f>IFERROR(INDEX('Email Cleaner'!$B$2:$B$10001,MATCH(6550,'Email Cleaner'!$H$2:$H$10001,0)),"")</f>
        <v/>
      </c>
    </row>
    <row r="6552">
      <c r="A6552">
        <f>IFERROR(INDEX('Email Cleaner'!$B$2:$B$10001,MATCH(6551,'Email Cleaner'!$H$2:$H$10001,0)),"")</f>
        <v/>
      </c>
    </row>
    <row r="6553">
      <c r="A6553">
        <f>IFERROR(INDEX('Email Cleaner'!$B$2:$B$10001,MATCH(6552,'Email Cleaner'!$H$2:$H$10001,0)),"")</f>
        <v/>
      </c>
    </row>
    <row r="6554">
      <c r="A6554">
        <f>IFERROR(INDEX('Email Cleaner'!$B$2:$B$10001,MATCH(6553,'Email Cleaner'!$H$2:$H$10001,0)),"")</f>
        <v/>
      </c>
    </row>
    <row r="6555">
      <c r="A6555">
        <f>IFERROR(INDEX('Email Cleaner'!$B$2:$B$10001,MATCH(6554,'Email Cleaner'!$H$2:$H$10001,0)),"")</f>
        <v/>
      </c>
    </row>
    <row r="6556">
      <c r="A6556">
        <f>IFERROR(INDEX('Email Cleaner'!$B$2:$B$10001,MATCH(6555,'Email Cleaner'!$H$2:$H$10001,0)),"")</f>
        <v/>
      </c>
    </row>
    <row r="6557">
      <c r="A6557">
        <f>IFERROR(INDEX('Email Cleaner'!$B$2:$B$10001,MATCH(6556,'Email Cleaner'!$H$2:$H$10001,0)),"")</f>
        <v/>
      </c>
    </row>
    <row r="6558">
      <c r="A6558">
        <f>IFERROR(INDEX('Email Cleaner'!$B$2:$B$10001,MATCH(6557,'Email Cleaner'!$H$2:$H$10001,0)),"")</f>
        <v/>
      </c>
    </row>
    <row r="6559">
      <c r="A6559">
        <f>IFERROR(INDEX('Email Cleaner'!$B$2:$B$10001,MATCH(6558,'Email Cleaner'!$H$2:$H$10001,0)),"")</f>
        <v/>
      </c>
    </row>
    <row r="6560">
      <c r="A6560">
        <f>IFERROR(INDEX('Email Cleaner'!$B$2:$B$10001,MATCH(6559,'Email Cleaner'!$H$2:$H$10001,0)),"")</f>
        <v/>
      </c>
    </row>
    <row r="6561">
      <c r="A6561">
        <f>IFERROR(INDEX('Email Cleaner'!$B$2:$B$10001,MATCH(6560,'Email Cleaner'!$H$2:$H$10001,0)),"")</f>
        <v/>
      </c>
    </row>
    <row r="6562">
      <c r="A6562">
        <f>IFERROR(INDEX('Email Cleaner'!$B$2:$B$10001,MATCH(6561,'Email Cleaner'!$H$2:$H$10001,0)),"")</f>
        <v/>
      </c>
    </row>
    <row r="6563">
      <c r="A6563">
        <f>IFERROR(INDEX('Email Cleaner'!$B$2:$B$10001,MATCH(6562,'Email Cleaner'!$H$2:$H$10001,0)),"")</f>
        <v/>
      </c>
    </row>
    <row r="6564">
      <c r="A6564">
        <f>IFERROR(INDEX('Email Cleaner'!$B$2:$B$10001,MATCH(6563,'Email Cleaner'!$H$2:$H$10001,0)),"")</f>
        <v/>
      </c>
    </row>
    <row r="6565">
      <c r="A6565">
        <f>IFERROR(INDEX('Email Cleaner'!$B$2:$B$10001,MATCH(6564,'Email Cleaner'!$H$2:$H$10001,0)),"")</f>
        <v/>
      </c>
    </row>
    <row r="6566">
      <c r="A6566">
        <f>IFERROR(INDEX('Email Cleaner'!$B$2:$B$10001,MATCH(6565,'Email Cleaner'!$H$2:$H$10001,0)),"")</f>
        <v/>
      </c>
    </row>
    <row r="6567">
      <c r="A6567">
        <f>IFERROR(INDEX('Email Cleaner'!$B$2:$B$10001,MATCH(6566,'Email Cleaner'!$H$2:$H$10001,0)),"")</f>
        <v/>
      </c>
    </row>
    <row r="6568">
      <c r="A6568">
        <f>IFERROR(INDEX('Email Cleaner'!$B$2:$B$10001,MATCH(6567,'Email Cleaner'!$H$2:$H$10001,0)),"")</f>
        <v/>
      </c>
    </row>
    <row r="6569">
      <c r="A6569">
        <f>IFERROR(INDEX('Email Cleaner'!$B$2:$B$10001,MATCH(6568,'Email Cleaner'!$H$2:$H$10001,0)),"")</f>
        <v/>
      </c>
    </row>
    <row r="6570">
      <c r="A6570">
        <f>IFERROR(INDEX('Email Cleaner'!$B$2:$B$10001,MATCH(6569,'Email Cleaner'!$H$2:$H$10001,0)),"")</f>
        <v/>
      </c>
    </row>
    <row r="6571">
      <c r="A6571">
        <f>IFERROR(INDEX('Email Cleaner'!$B$2:$B$10001,MATCH(6570,'Email Cleaner'!$H$2:$H$10001,0)),"")</f>
        <v/>
      </c>
    </row>
    <row r="6572">
      <c r="A6572">
        <f>IFERROR(INDEX('Email Cleaner'!$B$2:$B$10001,MATCH(6571,'Email Cleaner'!$H$2:$H$10001,0)),"")</f>
        <v/>
      </c>
    </row>
    <row r="6573">
      <c r="A6573">
        <f>IFERROR(INDEX('Email Cleaner'!$B$2:$B$10001,MATCH(6572,'Email Cleaner'!$H$2:$H$10001,0)),"")</f>
        <v/>
      </c>
    </row>
    <row r="6574">
      <c r="A6574">
        <f>IFERROR(INDEX('Email Cleaner'!$B$2:$B$10001,MATCH(6573,'Email Cleaner'!$H$2:$H$10001,0)),"")</f>
        <v/>
      </c>
    </row>
    <row r="6575">
      <c r="A6575">
        <f>IFERROR(INDEX('Email Cleaner'!$B$2:$B$10001,MATCH(6574,'Email Cleaner'!$H$2:$H$10001,0)),"")</f>
        <v/>
      </c>
    </row>
    <row r="6576">
      <c r="A6576">
        <f>IFERROR(INDEX('Email Cleaner'!$B$2:$B$10001,MATCH(6575,'Email Cleaner'!$H$2:$H$10001,0)),"")</f>
        <v/>
      </c>
    </row>
    <row r="6577">
      <c r="A6577">
        <f>IFERROR(INDEX('Email Cleaner'!$B$2:$B$10001,MATCH(6576,'Email Cleaner'!$H$2:$H$10001,0)),"")</f>
        <v/>
      </c>
    </row>
    <row r="6578">
      <c r="A6578">
        <f>IFERROR(INDEX('Email Cleaner'!$B$2:$B$10001,MATCH(6577,'Email Cleaner'!$H$2:$H$10001,0)),"")</f>
        <v/>
      </c>
    </row>
    <row r="6579">
      <c r="A6579">
        <f>IFERROR(INDEX('Email Cleaner'!$B$2:$B$10001,MATCH(6578,'Email Cleaner'!$H$2:$H$10001,0)),"")</f>
        <v/>
      </c>
    </row>
    <row r="6580">
      <c r="A6580">
        <f>IFERROR(INDEX('Email Cleaner'!$B$2:$B$10001,MATCH(6579,'Email Cleaner'!$H$2:$H$10001,0)),"")</f>
        <v/>
      </c>
    </row>
    <row r="6581">
      <c r="A6581">
        <f>IFERROR(INDEX('Email Cleaner'!$B$2:$B$10001,MATCH(6580,'Email Cleaner'!$H$2:$H$10001,0)),"")</f>
        <v/>
      </c>
    </row>
    <row r="6582">
      <c r="A6582">
        <f>IFERROR(INDEX('Email Cleaner'!$B$2:$B$10001,MATCH(6581,'Email Cleaner'!$H$2:$H$10001,0)),"")</f>
        <v/>
      </c>
    </row>
    <row r="6583">
      <c r="A6583">
        <f>IFERROR(INDEX('Email Cleaner'!$B$2:$B$10001,MATCH(6582,'Email Cleaner'!$H$2:$H$10001,0)),"")</f>
        <v/>
      </c>
    </row>
    <row r="6584">
      <c r="A6584">
        <f>IFERROR(INDEX('Email Cleaner'!$B$2:$B$10001,MATCH(6583,'Email Cleaner'!$H$2:$H$10001,0)),"")</f>
        <v/>
      </c>
    </row>
    <row r="6585">
      <c r="A6585">
        <f>IFERROR(INDEX('Email Cleaner'!$B$2:$B$10001,MATCH(6584,'Email Cleaner'!$H$2:$H$10001,0)),"")</f>
        <v/>
      </c>
    </row>
    <row r="6586">
      <c r="A6586">
        <f>IFERROR(INDEX('Email Cleaner'!$B$2:$B$10001,MATCH(6585,'Email Cleaner'!$H$2:$H$10001,0)),"")</f>
        <v/>
      </c>
    </row>
    <row r="6587">
      <c r="A6587">
        <f>IFERROR(INDEX('Email Cleaner'!$B$2:$B$10001,MATCH(6586,'Email Cleaner'!$H$2:$H$10001,0)),"")</f>
        <v/>
      </c>
    </row>
    <row r="6588">
      <c r="A6588">
        <f>IFERROR(INDEX('Email Cleaner'!$B$2:$B$10001,MATCH(6587,'Email Cleaner'!$H$2:$H$10001,0)),"")</f>
        <v/>
      </c>
    </row>
    <row r="6589">
      <c r="A6589">
        <f>IFERROR(INDEX('Email Cleaner'!$B$2:$B$10001,MATCH(6588,'Email Cleaner'!$H$2:$H$10001,0)),"")</f>
        <v/>
      </c>
    </row>
    <row r="6590">
      <c r="A6590">
        <f>IFERROR(INDEX('Email Cleaner'!$B$2:$B$10001,MATCH(6589,'Email Cleaner'!$H$2:$H$10001,0)),"")</f>
        <v/>
      </c>
    </row>
    <row r="6591">
      <c r="A6591">
        <f>IFERROR(INDEX('Email Cleaner'!$B$2:$B$10001,MATCH(6590,'Email Cleaner'!$H$2:$H$10001,0)),"")</f>
        <v/>
      </c>
    </row>
    <row r="6592">
      <c r="A6592">
        <f>IFERROR(INDEX('Email Cleaner'!$B$2:$B$10001,MATCH(6591,'Email Cleaner'!$H$2:$H$10001,0)),"")</f>
        <v/>
      </c>
    </row>
    <row r="6593">
      <c r="A6593">
        <f>IFERROR(INDEX('Email Cleaner'!$B$2:$B$10001,MATCH(6592,'Email Cleaner'!$H$2:$H$10001,0)),"")</f>
        <v/>
      </c>
    </row>
    <row r="6594">
      <c r="A6594">
        <f>IFERROR(INDEX('Email Cleaner'!$B$2:$B$10001,MATCH(6593,'Email Cleaner'!$H$2:$H$10001,0)),"")</f>
        <v/>
      </c>
    </row>
    <row r="6595">
      <c r="A6595">
        <f>IFERROR(INDEX('Email Cleaner'!$B$2:$B$10001,MATCH(6594,'Email Cleaner'!$H$2:$H$10001,0)),"")</f>
        <v/>
      </c>
    </row>
    <row r="6596">
      <c r="A6596">
        <f>IFERROR(INDEX('Email Cleaner'!$B$2:$B$10001,MATCH(6595,'Email Cleaner'!$H$2:$H$10001,0)),"")</f>
        <v/>
      </c>
    </row>
    <row r="6597">
      <c r="A6597">
        <f>IFERROR(INDEX('Email Cleaner'!$B$2:$B$10001,MATCH(6596,'Email Cleaner'!$H$2:$H$10001,0)),"")</f>
        <v/>
      </c>
    </row>
    <row r="6598">
      <c r="A6598">
        <f>IFERROR(INDEX('Email Cleaner'!$B$2:$B$10001,MATCH(6597,'Email Cleaner'!$H$2:$H$10001,0)),"")</f>
        <v/>
      </c>
    </row>
    <row r="6599">
      <c r="A6599">
        <f>IFERROR(INDEX('Email Cleaner'!$B$2:$B$10001,MATCH(6598,'Email Cleaner'!$H$2:$H$10001,0)),"")</f>
        <v/>
      </c>
    </row>
    <row r="6600">
      <c r="A6600">
        <f>IFERROR(INDEX('Email Cleaner'!$B$2:$B$10001,MATCH(6599,'Email Cleaner'!$H$2:$H$10001,0)),"")</f>
        <v/>
      </c>
    </row>
    <row r="6601">
      <c r="A6601">
        <f>IFERROR(INDEX('Email Cleaner'!$B$2:$B$10001,MATCH(6600,'Email Cleaner'!$H$2:$H$10001,0)),"")</f>
        <v/>
      </c>
    </row>
    <row r="6602">
      <c r="A6602">
        <f>IFERROR(INDEX('Email Cleaner'!$B$2:$B$10001,MATCH(6601,'Email Cleaner'!$H$2:$H$10001,0)),"")</f>
        <v/>
      </c>
    </row>
    <row r="6603">
      <c r="A6603">
        <f>IFERROR(INDEX('Email Cleaner'!$B$2:$B$10001,MATCH(6602,'Email Cleaner'!$H$2:$H$10001,0)),"")</f>
        <v/>
      </c>
    </row>
    <row r="6604">
      <c r="A6604">
        <f>IFERROR(INDEX('Email Cleaner'!$B$2:$B$10001,MATCH(6603,'Email Cleaner'!$H$2:$H$10001,0)),"")</f>
        <v/>
      </c>
    </row>
    <row r="6605">
      <c r="A6605">
        <f>IFERROR(INDEX('Email Cleaner'!$B$2:$B$10001,MATCH(6604,'Email Cleaner'!$H$2:$H$10001,0)),"")</f>
        <v/>
      </c>
    </row>
    <row r="6606">
      <c r="A6606">
        <f>IFERROR(INDEX('Email Cleaner'!$B$2:$B$10001,MATCH(6605,'Email Cleaner'!$H$2:$H$10001,0)),"")</f>
        <v/>
      </c>
    </row>
    <row r="6607">
      <c r="A6607">
        <f>IFERROR(INDEX('Email Cleaner'!$B$2:$B$10001,MATCH(6606,'Email Cleaner'!$H$2:$H$10001,0)),"")</f>
        <v/>
      </c>
    </row>
    <row r="6608">
      <c r="A6608">
        <f>IFERROR(INDEX('Email Cleaner'!$B$2:$B$10001,MATCH(6607,'Email Cleaner'!$H$2:$H$10001,0)),"")</f>
        <v/>
      </c>
    </row>
    <row r="6609">
      <c r="A6609">
        <f>IFERROR(INDEX('Email Cleaner'!$B$2:$B$10001,MATCH(6608,'Email Cleaner'!$H$2:$H$10001,0)),"")</f>
        <v/>
      </c>
    </row>
    <row r="6610">
      <c r="A6610">
        <f>IFERROR(INDEX('Email Cleaner'!$B$2:$B$10001,MATCH(6609,'Email Cleaner'!$H$2:$H$10001,0)),"")</f>
        <v/>
      </c>
    </row>
    <row r="6611">
      <c r="A6611">
        <f>IFERROR(INDEX('Email Cleaner'!$B$2:$B$10001,MATCH(6610,'Email Cleaner'!$H$2:$H$10001,0)),"")</f>
        <v/>
      </c>
    </row>
    <row r="6612">
      <c r="A6612">
        <f>IFERROR(INDEX('Email Cleaner'!$B$2:$B$10001,MATCH(6611,'Email Cleaner'!$H$2:$H$10001,0)),"")</f>
        <v/>
      </c>
    </row>
    <row r="6613">
      <c r="A6613">
        <f>IFERROR(INDEX('Email Cleaner'!$B$2:$B$10001,MATCH(6612,'Email Cleaner'!$H$2:$H$10001,0)),"")</f>
        <v/>
      </c>
    </row>
    <row r="6614">
      <c r="A6614">
        <f>IFERROR(INDEX('Email Cleaner'!$B$2:$B$10001,MATCH(6613,'Email Cleaner'!$H$2:$H$10001,0)),"")</f>
        <v/>
      </c>
    </row>
    <row r="6615">
      <c r="A6615">
        <f>IFERROR(INDEX('Email Cleaner'!$B$2:$B$10001,MATCH(6614,'Email Cleaner'!$H$2:$H$10001,0)),"")</f>
        <v/>
      </c>
    </row>
    <row r="6616">
      <c r="A6616">
        <f>IFERROR(INDEX('Email Cleaner'!$B$2:$B$10001,MATCH(6615,'Email Cleaner'!$H$2:$H$10001,0)),"")</f>
        <v/>
      </c>
    </row>
    <row r="6617">
      <c r="A6617">
        <f>IFERROR(INDEX('Email Cleaner'!$B$2:$B$10001,MATCH(6616,'Email Cleaner'!$H$2:$H$10001,0)),"")</f>
        <v/>
      </c>
    </row>
    <row r="6618">
      <c r="A6618">
        <f>IFERROR(INDEX('Email Cleaner'!$B$2:$B$10001,MATCH(6617,'Email Cleaner'!$H$2:$H$10001,0)),"")</f>
        <v/>
      </c>
    </row>
    <row r="6619">
      <c r="A6619">
        <f>IFERROR(INDEX('Email Cleaner'!$B$2:$B$10001,MATCH(6618,'Email Cleaner'!$H$2:$H$10001,0)),"")</f>
        <v/>
      </c>
    </row>
    <row r="6620">
      <c r="A6620">
        <f>IFERROR(INDEX('Email Cleaner'!$B$2:$B$10001,MATCH(6619,'Email Cleaner'!$H$2:$H$10001,0)),"")</f>
        <v/>
      </c>
    </row>
    <row r="6621">
      <c r="A6621">
        <f>IFERROR(INDEX('Email Cleaner'!$B$2:$B$10001,MATCH(6620,'Email Cleaner'!$H$2:$H$10001,0)),"")</f>
        <v/>
      </c>
    </row>
    <row r="6622">
      <c r="A6622">
        <f>IFERROR(INDEX('Email Cleaner'!$B$2:$B$10001,MATCH(6621,'Email Cleaner'!$H$2:$H$10001,0)),"")</f>
        <v/>
      </c>
    </row>
    <row r="6623">
      <c r="A6623">
        <f>IFERROR(INDEX('Email Cleaner'!$B$2:$B$10001,MATCH(6622,'Email Cleaner'!$H$2:$H$10001,0)),"")</f>
        <v/>
      </c>
    </row>
    <row r="6624">
      <c r="A6624">
        <f>IFERROR(INDEX('Email Cleaner'!$B$2:$B$10001,MATCH(6623,'Email Cleaner'!$H$2:$H$10001,0)),"")</f>
        <v/>
      </c>
    </row>
    <row r="6625">
      <c r="A6625">
        <f>IFERROR(INDEX('Email Cleaner'!$B$2:$B$10001,MATCH(6624,'Email Cleaner'!$H$2:$H$10001,0)),"")</f>
        <v/>
      </c>
    </row>
    <row r="6626">
      <c r="A6626">
        <f>IFERROR(INDEX('Email Cleaner'!$B$2:$B$10001,MATCH(6625,'Email Cleaner'!$H$2:$H$10001,0)),"")</f>
        <v/>
      </c>
    </row>
    <row r="6627">
      <c r="A6627">
        <f>IFERROR(INDEX('Email Cleaner'!$B$2:$B$10001,MATCH(6626,'Email Cleaner'!$H$2:$H$10001,0)),"")</f>
        <v/>
      </c>
    </row>
    <row r="6628">
      <c r="A6628">
        <f>IFERROR(INDEX('Email Cleaner'!$B$2:$B$10001,MATCH(6627,'Email Cleaner'!$H$2:$H$10001,0)),"")</f>
        <v/>
      </c>
    </row>
    <row r="6629">
      <c r="A6629">
        <f>IFERROR(INDEX('Email Cleaner'!$B$2:$B$10001,MATCH(6628,'Email Cleaner'!$H$2:$H$10001,0)),"")</f>
        <v/>
      </c>
    </row>
    <row r="6630">
      <c r="A6630">
        <f>IFERROR(INDEX('Email Cleaner'!$B$2:$B$10001,MATCH(6629,'Email Cleaner'!$H$2:$H$10001,0)),"")</f>
        <v/>
      </c>
    </row>
    <row r="6631">
      <c r="A6631">
        <f>IFERROR(INDEX('Email Cleaner'!$B$2:$B$10001,MATCH(6630,'Email Cleaner'!$H$2:$H$10001,0)),"")</f>
        <v/>
      </c>
    </row>
    <row r="6632">
      <c r="A6632">
        <f>IFERROR(INDEX('Email Cleaner'!$B$2:$B$10001,MATCH(6631,'Email Cleaner'!$H$2:$H$10001,0)),"")</f>
        <v/>
      </c>
    </row>
    <row r="6633">
      <c r="A6633">
        <f>IFERROR(INDEX('Email Cleaner'!$B$2:$B$10001,MATCH(6632,'Email Cleaner'!$H$2:$H$10001,0)),"")</f>
        <v/>
      </c>
    </row>
    <row r="6634">
      <c r="A6634">
        <f>IFERROR(INDEX('Email Cleaner'!$B$2:$B$10001,MATCH(6633,'Email Cleaner'!$H$2:$H$10001,0)),"")</f>
        <v/>
      </c>
    </row>
    <row r="6635">
      <c r="A6635">
        <f>IFERROR(INDEX('Email Cleaner'!$B$2:$B$10001,MATCH(6634,'Email Cleaner'!$H$2:$H$10001,0)),"")</f>
        <v/>
      </c>
    </row>
    <row r="6636">
      <c r="A6636">
        <f>IFERROR(INDEX('Email Cleaner'!$B$2:$B$10001,MATCH(6635,'Email Cleaner'!$H$2:$H$10001,0)),"")</f>
        <v/>
      </c>
    </row>
    <row r="6637">
      <c r="A6637">
        <f>IFERROR(INDEX('Email Cleaner'!$B$2:$B$10001,MATCH(6636,'Email Cleaner'!$H$2:$H$10001,0)),"")</f>
        <v/>
      </c>
    </row>
    <row r="6638">
      <c r="A6638">
        <f>IFERROR(INDEX('Email Cleaner'!$B$2:$B$10001,MATCH(6637,'Email Cleaner'!$H$2:$H$10001,0)),"")</f>
        <v/>
      </c>
    </row>
    <row r="6639">
      <c r="A6639">
        <f>IFERROR(INDEX('Email Cleaner'!$B$2:$B$10001,MATCH(6638,'Email Cleaner'!$H$2:$H$10001,0)),"")</f>
        <v/>
      </c>
    </row>
    <row r="6640">
      <c r="A6640">
        <f>IFERROR(INDEX('Email Cleaner'!$B$2:$B$10001,MATCH(6639,'Email Cleaner'!$H$2:$H$10001,0)),"")</f>
        <v/>
      </c>
    </row>
    <row r="6641">
      <c r="A6641">
        <f>IFERROR(INDEX('Email Cleaner'!$B$2:$B$10001,MATCH(6640,'Email Cleaner'!$H$2:$H$10001,0)),"")</f>
        <v/>
      </c>
    </row>
    <row r="6642">
      <c r="A6642">
        <f>IFERROR(INDEX('Email Cleaner'!$B$2:$B$10001,MATCH(6641,'Email Cleaner'!$H$2:$H$10001,0)),"")</f>
        <v/>
      </c>
    </row>
    <row r="6643">
      <c r="A6643">
        <f>IFERROR(INDEX('Email Cleaner'!$B$2:$B$10001,MATCH(6642,'Email Cleaner'!$H$2:$H$10001,0)),"")</f>
        <v/>
      </c>
    </row>
    <row r="6644">
      <c r="A6644">
        <f>IFERROR(INDEX('Email Cleaner'!$B$2:$B$10001,MATCH(6643,'Email Cleaner'!$H$2:$H$10001,0)),"")</f>
        <v/>
      </c>
    </row>
    <row r="6645">
      <c r="A6645">
        <f>IFERROR(INDEX('Email Cleaner'!$B$2:$B$10001,MATCH(6644,'Email Cleaner'!$H$2:$H$10001,0)),"")</f>
        <v/>
      </c>
    </row>
    <row r="6646">
      <c r="A6646">
        <f>IFERROR(INDEX('Email Cleaner'!$B$2:$B$10001,MATCH(6645,'Email Cleaner'!$H$2:$H$10001,0)),"")</f>
        <v/>
      </c>
    </row>
    <row r="6647">
      <c r="A6647">
        <f>IFERROR(INDEX('Email Cleaner'!$B$2:$B$10001,MATCH(6646,'Email Cleaner'!$H$2:$H$10001,0)),"")</f>
        <v/>
      </c>
    </row>
    <row r="6648">
      <c r="A6648">
        <f>IFERROR(INDEX('Email Cleaner'!$B$2:$B$10001,MATCH(6647,'Email Cleaner'!$H$2:$H$10001,0)),"")</f>
        <v/>
      </c>
    </row>
    <row r="6649">
      <c r="A6649">
        <f>IFERROR(INDEX('Email Cleaner'!$B$2:$B$10001,MATCH(6648,'Email Cleaner'!$H$2:$H$10001,0)),"")</f>
        <v/>
      </c>
    </row>
    <row r="6650">
      <c r="A6650">
        <f>IFERROR(INDEX('Email Cleaner'!$B$2:$B$10001,MATCH(6649,'Email Cleaner'!$H$2:$H$10001,0)),"")</f>
        <v/>
      </c>
    </row>
    <row r="6651">
      <c r="A6651">
        <f>IFERROR(INDEX('Email Cleaner'!$B$2:$B$10001,MATCH(6650,'Email Cleaner'!$H$2:$H$10001,0)),"")</f>
        <v/>
      </c>
    </row>
    <row r="6652">
      <c r="A6652">
        <f>IFERROR(INDEX('Email Cleaner'!$B$2:$B$10001,MATCH(6651,'Email Cleaner'!$H$2:$H$10001,0)),"")</f>
        <v/>
      </c>
    </row>
    <row r="6653">
      <c r="A6653">
        <f>IFERROR(INDEX('Email Cleaner'!$B$2:$B$10001,MATCH(6652,'Email Cleaner'!$H$2:$H$10001,0)),"")</f>
        <v/>
      </c>
    </row>
    <row r="6654">
      <c r="A6654">
        <f>IFERROR(INDEX('Email Cleaner'!$B$2:$B$10001,MATCH(6653,'Email Cleaner'!$H$2:$H$10001,0)),"")</f>
        <v/>
      </c>
    </row>
    <row r="6655">
      <c r="A6655">
        <f>IFERROR(INDEX('Email Cleaner'!$B$2:$B$10001,MATCH(6654,'Email Cleaner'!$H$2:$H$10001,0)),"")</f>
        <v/>
      </c>
    </row>
    <row r="6656">
      <c r="A6656">
        <f>IFERROR(INDEX('Email Cleaner'!$B$2:$B$10001,MATCH(6655,'Email Cleaner'!$H$2:$H$10001,0)),"")</f>
        <v/>
      </c>
    </row>
    <row r="6657">
      <c r="A6657">
        <f>IFERROR(INDEX('Email Cleaner'!$B$2:$B$10001,MATCH(6656,'Email Cleaner'!$H$2:$H$10001,0)),"")</f>
        <v/>
      </c>
    </row>
    <row r="6658">
      <c r="A6658">
        <f>IFERROR(INDEX('Email Cleaner'!$B$2:$B$10001,MATCH(6657,'Email Cleaner'!$H$2:$H$10001,0)),"")</f>
        <v/>
      </c>
    </row>
    <row r="6659">
      <c r="A6659">
        <f>IFERROR(INDEX('Email Cleaner'!$B$2:$B$10001,MATCH(6658,'Email Cleaner'!$H$2:$H$10001,0)),"")</f>
        <v/>
      </c>
    </row>
    <row r="6660">
      <c r="A6660">
        <f>IFERROR(INDEX('Email Cleaner'!$B$2:$B$10001,MATCH(6659,'Email Cleaner'!$H$2:$H$10001,0)),"")</f>
        <v/>
      </c>
    </row>
    <row r="6661">
      <c r="A6661">
        <f>IFERROR(INDEX('Email Cleaner'!$B$2:$B$10001,MATCH(6660,'Email Cleaner'!$H$2:$H$10001,0)),"")</f>
        <v/>
      </c>
    </row>
    <row r="6662">
      <c r="A6662">
        <f>IFERROR(INDEX('Email Cleaner'!$B$2:$B$10001,MATCH(6661,'Email Cleaner'!$H$2:$H$10001,0)),"")</f>
        <v/>
      </c>
    </row>
    <row r="6663">
      <c r="A6663">
        <f>IFERROR(INDEX('Email Cleaner'!$B$2:$B$10001,MATCH(6662,'Email Cleaner'!$H$2:$H$10001,0)),"")</f>
        <v/>
      </c>
    </row>
    <row r="6664">
      <c r="A6664">
        <f>IFERROR(INDEX('Email Cleaner'!$B$2:$B$10001,MATCH(6663,'Email Cleaner'!$H$2:$H$10001,0)),"")</f>
        <v/>
      </c>
    </row>
    <row r="6665">
      <c r="A6665">
        <f>IFERROR(INDEX('Email Cleaner'!$B$2:$B$10001,MATCH(6664,'Email Cleaner'!$H$2:$H$10001,0)),"")</f>
        <v/>
      </c>
    </row>
    <row r="6666">
      <c r="A6666">
        <f>IFERROR(INDEX('Email Cleaner'!$B$2:$B$10001,MATCH(6665,'Email Cleaner'!$H$2:$H$10001,0)),"")</f>
        <v/>
      </c>
    </row>
    <row r="6667">
      <c r="A6667">
        <f>IFERROR(INDEX('Email Cleaner'!$B$2:$B$10001,MATCH(6666,'Email Cleaner'!$H$2:$H$10001,0)),"")</f>
        <v/>
      </c>
    </row>
    <row r="6668">
      <c r="A6668">
        <f>IFERROR(INDEX('Email Cleaner'!$B$2:$B$10001,MATCH(6667,'Email Cleaner'!$H$2:$H$10001,0)),"")</f>
        <v/>
      </c>
    </row>
    <row r="6669">
      <c r="A6669">
        <f>IFERROR(INDEX('Email Cleaner'!$B$2:$B$10001,MATCH(6668,'Email Cleaner'!$H$2:$H$10001,0)),"")</f>
        <v/>
      </c>
    </row>
    <row r="6670">
      <c r="A6670">
        <f>IFERROR(INDEX('Email Cleaner'!$B$2:$B$10001,MATCH(6669,'Email Cleaner'!$H$2:$H$10001,0)),"")</f>
        <v/>
      </c>
    </row>
    <row r="6671">
      <c r="A6671">
        <f>IFERROR(INDEX('Email Cleaner'!$B$2:$B$10001,MATCH(6670,'Email Cleaner'!$H$2:$H$10001,0)),"")</f>
        <v/>
      </c>
    </row>
    <row r="6672">
      <c r="A6672">
        <f>IFERROR(INDEX('Email Cleaner'!$B$2:$B$10001,MATCH(6671,'Email Cleaner'!$H$2:$H$10001,0)),"")</f>
        <v/>
      </c>
    </row>
    <row r="6673">
      <c r="A6673">
        <f>IFERROR(INDEX('Email Cleaner'!$B$2:$B$10001,MATCH(6672,'Email Cleaner'!$H$2:$H$10001,0)),"")</f>
        <v/>
      </c>
    </row>
    <row r="6674">
      <c r="A6674">
        <f>IFERROR(INDEX('Email Cleaner'!$B$2:$B$10001,MATCH(6673,'Email Cleaner'!$H$2:$H$10001,0)),"")</f>
        <v/>
      </c>
    </row>
    <row r="6675">
      <c r="A6675">
        <f>IFERROR(INDEX('Email Cleaner'!$B$2:$B$10001,MATCH(6674,'Email Cleaner'!$H$2:$H$10001,0)),"")</f>
        <v/>
      </c>
    </row>
    <row r="6676">
      <c r="A6676">
        <f>IFERROR(INDEX('Email Cleaner'!$B$2:$B$10001,MATCH(6675,'Email Cleaner'!$H$2:$H$10001,0)),"")</f>
        <v/>
      </c>
    </row>
    <row r="6677">
      <c r="A6677">
        <f>IFERROR(INDEX('Email Cleaner'!$B$2:$B$10001,MATCH(6676,'Email Cleaner'!$H$2:$H$10001,0)),"")</f>
        <v/>
      </c>
    </row>
    <row r="6678">
      <c r="A6678">
        <f>IFERROR(INDEX('Email Cleaner'!$B$2:$B$10001,MATCH(6677,'Email Cleaner'!$H$2:$H$10001,0)),"")</f>
        <v/>
      </c>
    </row>
    <row r="6679">
      <c r="A6679">
        <f>IFERROR(INDEX('Email Cleaner'!$B$2:$B$10001,MATCH(6678,'Email Cleaner'!$H$2:$H$10001,0)),"")</f>
        <v/>
      </c>
    </row>
    <row r="6680">
      <c r="A6680">
        <f>IFERROR(INDEX('Email Cleaner'!$B$2:$B$10001,MATCH(6679,'Email Cleaner'!$H$2:$H$10001,0)),"")</f>
        <v/>
      </c>
    </row>
    <row r="6681">
      <c r="A6681">
        <f>IFERROR(INDEX('Email Cleaner'!$B$2:$B$10001,MATCH(6680,'Email Cleaner'!$H$2:$H$10001,0)),"")</f>
        <v/>
      </c>
    </row>
    <row r="6682">
      <c r="A6682">
        <f>IFERROR(INDEX('Email Cleaner'!$B$2:$B$10001,MATCH(6681,'Email Cleaner'!$H$2:$H$10001,0)),"")</f>
        <v/>
      </c>
    </row>
    <row r="6683">
      <c r="A6683">
        <f>IFERROR(INDEX('Email Cleaner'!$B$2:$B$10001,MATCH(6682,'Email Cleaner'!$H$2:$H$10001,0)),"")</f>
        <v/>
      </c>
    </row>
    <row r="6684">
      <c r="A6684">
        <f>IFERROR(INDEX('Email Cleaner'!$B$2:$B$10001,MATCH(6683,'Email Cleaner'!$H$2:$H$10001,0)),"")</f>
        <v/>
      </c>
    </row>
    <row r="6685">
      <c r="A6685">
        <f>IFERROR(INDEX('Email Cleaner'!$B$2:$B$10001,MATCH(6684,'Email Cleaner'!$H$2:$H$10001,0)),"")</f>
        <v/>
      </c>
    </row>
    <row r="6686">
      <c r="A6686">
        <f>IFERROR(INDEX('Email Cleaner'!$B$2:$B$10001,MATCH(6685,'Email Cleaner'!$H$2:$H$10001,0)),"")</f>
        <v/>
      </c>
    </row>
    <row r="6687">
      <c r="A6687">
        <f>IFERROR(INDEX('Email Cleaner'!$B$2:$B$10001,MATCH(6686,'Email Cleaner'!$H$2:$H$10001,0)),"")</f>
        <v/>
      </c>
    </row>
    <row r="6688">
      <c r="A6688">
        <f>IFERROR(INDEX('Email Cleaner'!$B$2:$B$10001,MATCH(6687,'Email Cleaner'!$H$2:$H$10001,0)),"")</f>
        <v/>
      </c>
    </row>
    <row r="6689">
      <c r="A6689">
        <f>IFERROR(INDEX('Email Cleaner'!$B$2:$B$10001,MATCH(6688,'Email Cleaner'!$H$2:$H$10001,0)),"")</f>
        <v/>
      </c>
    </row>
    <row r="6690">
      <c r="A6690">
        <f>IFERROR(INDEX('Email Cleaner'!$B$2:$B$10001,MATCH(6689,'Email Cleaner'!$H$2:$H$10001,0)),"")</f>
        <v/>
      </c>
    </row>
    <row r="6691">
      <c r="A6691">
        <f>IFERROR(INDEX('Email Cleaner'!$B$2:$B$10001,MATCH(6690,'Email Cleaner'!$H$2:$H$10001,0)),"")</f>
        <v/>
      </c>
    </row>
    <row r="6692">
      <c r="A6692">
        <f>IFERROR(INDEX('Email Cleaner'!$B$2:$B$10001,MATCH(6691,'Email Cleaner'!$H$2:$H$10001,0)),"")</f>
        <v/>
      </c>
    </row>
    <row r="6693">
      <c r="A6693">
        <f>IFERROR(INDEX('Email Cleaner'!$B$2:$B$10001,MATCH(6692,'Email Cleaner'!$H$2:$H$10001,0)),"")</f>
        <v/>
      </c>
    </row>
    <row r="6694">
      <c r="A6694">
        <f>IFERROR(INDEX('Email Cleaner'!$B$2:$B$10001,MATCH(6693,'Email Cleaner'!$H$2:$H$10001,0)),"")</f>
        <v/>
      </c>
    </row>
    <row r="6695">
      <c r="A6695">
        <f>IFERROR(INDEX('Email Cleaner'!$B$2:$B$10001,MATCH(6694,'Email Cleaner'!$H$2:$H$10001,0)),"")</f>
        <v/>
      </c>
    </row>
    <row r="6696">
      <c r="A6696">
        <f>IFERROR(INDEX('Email Cleaner'!$B$2:$B$10001,MATCH(6695,'Email Cleaner'!$H$2:$H$10001,0)),"")</f>
        <v/>
      </c>
    </row>
    <row r="6697">
      <c r="A6697">
        <f>IFERROR(INDEX('Email Cleaner'!$B$2:$B$10001,MATCH(6696,'Email Cleaner'!$H$2:$H$10001,0)),"")</f>
        <v/>
      </c>
    </row>
    <row r="6698">
      <c r="A6698">
        <f>IFERROR(INDEX('Email Cleaner'!$B$2:$B$10001,MATCH(6697,'Email Cleaner'!$H$2:$H$10001,0)),"")</f>
        <v/>
      </c>
    </row>
    <row r="6699">
      <c r="A6699">
        <f>IFERROR(INDEX('Email Cleaner'!$B$2:$B$10001,MATCH(6698,'Email Cleaner'!$H$2:$H$10001,0)),"")</f>
        <v/>
      </c>
    </row>
    <row r="6700">
      <c r="A6700">
        <f>IFERROR(INDEX('Email Cleaner'!$B$2:$B$10001,MATCH(6699,'Email Cleaner'!$H$2:$H$10001,0)),"")</f>
        <v/>
      </c>
    </row>
    <row r="6701">
      <c r="A6701">
        <f>IFERROR(INDEX('Email Cleaner'!$B$2:$B$10001,MATCH(6700,'Email Cleaner'!$H$2:$H$10001,0)),"")</f>
        <v/>
      </c>
    </row>
    <row r="6702">
      <c r="A6702">
        <f>IFERROR(INDEX('Email Cleaner'!$B$2:$B$10001,MATCH(6701,'Email Cleaner'!$H$2:$H$10001,0)),"")</f>
        <v/>
      </c>
    </row>
    <row r="6703">
      <c r="A6703">
        <f>IFERROR(INDEX('Email Cleaner'!$B$2:$B$10001,MATCH(6702,'Email Cleaner'!$H$2:$H$10001,0)),"")</f>
        <v/>
      </c>
    </row>
    <row r="6704">
      <c r="A6704">
        <f>IFERROR(INDEX('Email Cleaner'!$B$2:$B$10001,MATCH(6703,'Email Cleaner'!$H$2:$H$10001,0)),"")</f>
        <v/>
      </c>
    </row>
    <row r="6705">
      <c r="A6705">
        <f>IFERROR(INDEX('Email Cleaner'!$B$2:$B$10001,MATCH(6704,'Email Cleaner'!$H$2:$H$10001,0)),"")</f>
        <v/>
      </c>
    </row>
    <row r="6706">
      <c r="A6706">
        <f>IFERROR(INDEX('Email Cleaner'!$B$2:$B$10001,MATCH(6705,'Email Cleaner'!$H$2:$H$10001,0)),"")</f>
        <v/>
      </c>
    </row>
    <row r="6707">
      <c r="A6707">
        <f>IFERROR(INDEX('Email Cleaner'!$B$2:$B$10001,MATCH(6706,'Email Cleaner'!$H$2:$H$10001,0)),"")</f>
        <v/>
      </c>
    </row>
    <row r="6708">
      <c r="A6708">
        <f>IFERROR(INDEX('Email Cleaner'!$B$2:$B$10001,MATCH(6707,'Email Cleaner'!$H$2:$H$10001,0)),"")</f>
        <v/>
      </c>
    </row>
    <row r="6709">
      <c r="A6709">
        <f>IFERROR(INDEX('Email Cleaner'!$B$2:$B$10001,MATCH(6708,'Email Cleaner'!$H$2:$H$10001,0)),"")</f>
        <v/>
      </c>
    </row>
    <row r="6710">
      <c r="A6710">
        <f>IFERROR(INDEX('Email Cleaner'!$B$2:$B$10001,MATCH(6709,'Email Cleaner'!$H$2:$H$10001,0)),"")</f>
        <v/>
      </c>
    </row>
    <row r="6711">
      <c r="A6711">
        <f>IFERROR(INDEX('Email Cleaner'!$B$2:$B$10001,MATCH(6710,'Email Cleaner'!$H$2:$H$10001,0)),"")</f>
        <v/>
      </c>
    </row>
    <row r="6712">
      <c r="A6712">
        <f>IFERROR(INDEX('Email Cleaner'!$B$2:$B$10001,MATCH(6711,'Email Cleaner'!$H$2:$H$10001,0)),"")</f>
        <v/>
      </c>
    </row>
    <row r="6713">
      <c r="A6713">
        <f>IFERROR(INDEX('Email Cleaner'!$B$2:$B$10001,MATCH(6712,'Email Cleaner'!$H$2:$H$10001,0)),"")</f>
        <v/>
      </c>
    </row>
    <row r="6714">
      <c r="A6714">
        <f>IFERROR(INDEX('Email Cleaner'!$B$2:$B$10001,MATCH(6713,'Email Cleaner'!$H$2:$H$10001,0)),"")</f>
        <v/>
      </c>
    </row>
    <row r="6715">
      <c r="A6715">
        <f>IFERROR(INDEX('Email Cleaner'!$B$2:$B$10001,MATCH(6714,'Email Cleaner'!$H$2:$H$10001,0)),"")</f>
        <v/>
      </c>
    </row>
    <row r="6716">
      <c r="A6716">
        <f>IFERROR(INDEX('Email Cleaner'!$B$2:$B$10001,MATCH(6715,'Email Cleaner'!$H$2:$H$10001,0)),"")</f>
        <v/>
      </c>
    </row>
    <row r="6717">
      <c r="A6717">
        <f>IFERROR(INDEX('Email Cleaner'!$B$2:$B$10001,MATCH(6716,'Email Cleaner'!$H$2:$H$10001,0)),"")</f>
        <v/>
      </c>
    </row>
    <row r="6718">
      <c r="A6718">
        <f>IFERROR(INDEX('Email Cleaner'!$B$2:$B$10001,MATCH(6717,'Email Cleaner'!$H$2:$H$10001,0)),"")</f>
        <v/>
      </c>
    </row>
    <row r="6719">
      <c r="A6719">
        <f>IFERROR(INDEX('Email Cleaner'!$B$2:$B$10001,MATCH(6718,'Email Cleaner'!$H$2:$H$10001,0)),"")</f>
        <v/>
      </c>
    </row>
    <row r="6720">
      <c r="A6720">
        <f>IFERROR(INDEX('Email Cleaner'!$B$2:$B$10001,MATCH(6719,'Email Cleaner'!$H$2:$H$10001,0)),"")</f>
        <v/>
      </c>
    </row>
    <row r="6721">
      <c r="A6721">
        <f>IFERROR(INDEX('Email Cleaner'!$B$2:$B$10001,MATCH(6720,'Email Cleaner'!$H$2:$H$10001,0)),"")</f>
        <v/>
      </c>
    </row>
    <row r="6722">
      <c r="A6722">
        <f>IFERROR(INDEX('Email Cleaner'!$B$2:$B$10001,MATCH(6721,'Email Cleaner'!$H$2:$H$10001,0)),"")</f>
        <v/>
      </c>
    </row>
    <row r="6723">
      <c r="A6723">
        <f>IFERROR(INDEX('Email Cleaner'!$B$2:$B$10001,MATCH(6722,'Email Cleaner'!$H$2:$H$10001,0)),"")</f>
        <v/>
      </c>
    </row>
    <row r="6724">
      <c r="A6724">
        <f>IFERROR(INDEX('Email Cleaner'!$B$2:$B$10001,MATCH(6723,'Email Cleaner'!$H$2:$H$10001,0)),"")</f>
        <v/>
      </c>
    </row>
    <row r="6725">
      <c r="A6725">
        <f>IFERROR(INDEX('Email Cleaner'!$B$2:$B$10001,MATCH(6724,'Email Cleaner'!$H$2:$H$10001,0)),"")</f>
        <v/>
      </c>
    </row>
    <row r="6726">
      <c r="A6726">
        <f>IFERROR(INDEX('Email Cleaner'!$B$2:$B$10001,MATCH(6725,'Email Cleaner'!$H$2:$H$10001,0)),"")</f>
        <v/>
      </c>
    </row>
    <row r="6727">
      <c r="A6727">
        <f>IFERROR(INDEX('Email Cleaner'!$B$2:$B$10001,MATCH(6726,'Email Cleaner'!$H$2:$H$10001,0)),"")</f>
        <v/>
      </c>
    </row>
    <row r="6728">
      <c r="A6728">
        <f>IFERROR(INDEX('Email Cleaner'!$B$2:$B$10001,MATCH(6727,'Email Cleaner'!$H$2:$H$10001,0)),"")</f>
        <v/>
      </c>
    </row>
    <row r="6729">
      <c r="A6729">
        <f>IFERROR(INDEX('Email Cleaner'!$B$2:$B$10001,MATCH(6728,'Email Cleaner'!$H$2:$H$10001,0)),"")</f>
        <v/>
      </c>
    </row>
    <row r="6730">
      <c r="A6730">
        <f>IFERROR(INDEX('Email Cleaner'!$B$2:$B$10001,MATCH(6729,'Email Cleaner'!$H$2:$H$10001,0)),"")</f>
        <v/>
      </c>
    </row>
    <row r="6731">
      <c r="A6731">
        <f>IFERROR(INDEX('Email Cleaner'!$B$2:$B$10001,MATCH(6730,'Email Cleaner'!$H$2:$H$10001,0)),"")</f>
        <v/>
      </c>
    </row>
    <row r="6732">
      <c r="A6732">
        <f>IFERROR(INDEX('Email Cleaner'!$B$2:$B$10001,MATCH(6731,'Email Cleaner'!$H$2:$H$10001,0)),"")</f>
        <v/>
      </c>
    </row>
    <row r="6733">
      <c r="A6733">
        <f>IFERROR(INDEX('Email Cleaner'!$B$2:$B$10001,MATCH(6732,'Email Cleaner'!$H$2:$H$10001,0)),"")</f>
        <v/>
      </c>
    </row>
    <row r="6734">
      <c r="A6734">
        <f>IFERROR(INDEX('Email Cleaner'!$B$2:$B$10001,MATCH(6733,'Email Cleaner'!$H$2:$H$10001,0)),"")</f>
        <v/>
      </c>
    </row>
    <row r="6735">
      <c r="A6735">
        <f>IFERROR(INDEX('Email Cleaner'!$B$2:$B$10001,MATCH(6734,'Email Cleaner'!$H$2:$H$10001,0)),"")</f>
        <v/>
      </c>
    </row>
    <row r="6736">
      <c r="A6736">
        <f>IFERROR(INDEX('Email Cleaner'!$B$2:$B$10001,MATCH(6735,'Email Cleaner'!$H$2:$H$10001,0)),"")</f>
        <v/>
      </c>
    </row>
    <row r="6737">
      <c r="A6737">
        <f>IFERROR(INDEX('Email Cleaner'!$B$2:$B$10001,MATCH(6736,'Email Cleaner'!$H$2:$H$10001,0)),"")</f>
        <v/>
      </c>
    </row>
    <row r="6738">
      <c r="A6738">
        <f>IFERROR(INDEX('Email Cleaner'!$B$2:$B$10001,MATCH(6737,'Email Cleaner'!$H$2:$H$10001,0)),"")</f>
        <v/>
      </c>
    </row>
    <row r="6739">
      <c r="A6739">
        <f>IFERROR(INDEX('Email Cleaner'!$B$2:$B$10001,MATCH(6738,'Email Cleaner'!$H$2:$H$10001,0)),"")</f>
        <v/>
      </c>
    </row>
    <row r="6740">
      <c r="A6740">
        <f>IFERROR(INDEX('Email Cleaner'!$B$2:$B$10001,MATCH(6739,'Email Cleaner'!$H$2:$H$10001,0)),"")</f>
        <v/>
      </c>
    </row>
    <row r="6741">
      <c r="A6741">
        <f>IFERROR(INDEX('Email Cleaner'!$B$2:$B$10001,MATCH(6740,'Email Cleaner'!$H$2:$H$10001,0)),"")</f>
        <v/>
      </c>
    </row>
    <row r="6742">
      <c r="A6742">
        <f>IFERROR(INDEX('Email Cleaner'!$B$2:$B$10001,MATCH(6741,'Email Cleaner'!$H$2:$H$10001,0)),"")</f>
        <v/>
      </c>
    </row>
    <row r="6743">
      <c r="A6743">
        <f>IFERROR(INDEX('Email Cleaner'!$B$2:$B$10001,MATCH(6742,'Email Cleaner'!$H$2:$H$10001,0)),"")</f>
        <v/>
      </c>
    </row>
    <row r="6744">
      <c r="A6744">
        <f>IFERROR(INDEX('Email Cleaner'!$B$2:$B$10001,MATCH(6743,'Email Cleaner'!$H$2:$H$10001,0)),"")</f>
        <v/>
      </c>
    </row>
    <row r="6745">
      <c r="A6745">
        <f>IFERROR(INDEX('Email Cleaner'!$B$2:$B$10001,MATCH(6744,'Email Cleaner'!$H$2:$H$10001,0)),"")</f>
        <v/>
      </c>
    </row>
    <row r="6746">
      <c r="A6746">
        <f>IFERROR(INDEX('Email Cleaner'!$B$2:$B$10001,MATCH(6745,'Email Cleaner'!$H$2:$H$10001,0)),"")</f>
        <v/>
      </c>
    </row>
    <row r="6747">
      <c r="A6747">
        <f>IFERROR(INDEX('Email Cleaner'!$B$2:$B$10001,MATCH(6746,'Email Cleaner'!$H$2:$H$10001,0)),"")</f>
        <v/>
      </c>
    </row>
    <row r="6748">
      <c r="A6748">
        <f>IFERROR(INDEX('Email Cleaner'!$B$2:$B$10001,MATCH(6747,'Email Cleaner'!$H$2:$H$10001,0)),"")</f>
        <v/>
      </c>
    </row>
    <row r="6749">
      <c r="A6749">
        <f>IFERROR(INDEX('Email Cleaner'!$B$2:$B$10001,MATCH(6748,'Email Cleaner'!$H$2:$H$10001,0)),"")</f>
        <v/>
      </c>
    </row>
    <row r="6750">
      <c r="A6750">
        <f>IFERROR(INDEX('Email Cleaner'!$B$2:$B$10001,MATCH(6749,'Email Cleaner'!$H$2:$H$10001,0)),"")</f>
        <v/>
      </c>
    </row>
    <row r="6751">
      <c r="A6751">
        <f>IFERROR(INDEX('Email Cleaner'!$B$2:$B$10001,MATCH(6750,'Email Cleaner'!$H$2:$H$10001,0)),"")</f>
        <v/>
      </c>
    </row>
    <row r="6752">
      <c r="A6752">
        <f>IFERROR(INDEX('Email Cleaner'!$B$2:$B$10001,MATCH(6751,'Email Cleaner'!$H$2:$H$10001,0)),"")</f>
        <v/>
      </c>
    </row>
    <row r="6753">
      <c r="A6753">
        <f>IFERROR(INDEX('Email Cleaner'!$B$2:$B$10001,MATCH(6752,'Email Cleaner'!$H$2:$H$10001,0)),"")</f>
        <v/>
      </c>
    </row>
    <row r="6754">
      <c r="A6754">
        <f>IFERROR(INDEX('Email Cleaner'!$B$2:$B$10001,MATCH(6753,'Email Cleaner'!$H$2:$H$10001,0)),"")</f>
        <v/>
      </c>
    </row>
    <row r="6755">
      <c r="A6755">
        <f>IFERROR(INDEX('Email Cleaner'!$B$2:$B$10001,MATCH(6754,'Email Cleaner'!$H$2:$H$10001,0)),"")</f>
        <v/>
      </c>
    </row>
    <row r="6756">
      <c r="A6756">
        <f>IFERROR(INDEX('Email Cleaner'!$B$2:$B$10001,MATCH(6755,'Email Cleaner'!$H$2:$H$10001,0)),"")</f>
        <v/>
      </c>
    </row>
    <row r="6757">
      <c r="A6757">
        <f>IFERROR(INDEX('Email Cleaner'!$B$2:$B$10001,MATCH(6756,'Email Cleaner'!$H$2:$H$10001,0)),"")</f>
        <v/>
      </c>
    </row>
    <row r="6758">
      <c r="A6758">
        <f>IFERROR(INDEX('Email Cleaner'!$B$2:$B$10001,MATCH(6757,'Email Cleaner'!$H$2:$H$10001,0)),"")</f>
        <v/>
      </c>
    </row>
    <row r="6759">
      <c r="A6759">
        <f>IFERROR(INDEX('Email Cleaner'!$B$2:$B$10001,MATCH(6758,'Email Cleaner'!$H$2:$H$10001,0)),"")</f>
        <v/>
      </c>
    </row>
    <row r="6760">
      <c r="A6760">
        <f>IFERROR(INDEX('Email Cleaner'!$B$2:$B$10001,MATCH(6759,'Email Cleaner'!$H$2:$H$10001,0)),"")</f>
        <v/>
      </c>
    </row>
    <row r="6761">
      <c r="A6761">
        <f>IFERROR(INDEX('Email Cleaner'!$B$2:$B$10001,MATCH(6760,'Email Cleaner'!$H$2:$H$10001,0)),"")</f>
        <v/>
      </c>
    </row>
    <row r="6762">
      <c r="A6762">
        <f>IFERROR(INDEX('Email Cleaner'!$B$2:$B$10001,MATCH(6761,'Email Cleaner'!$H$2:$H$10001,0)),"")</f>
        <v/>
      </c>
    </row>
    <row r="6763">
      <c r="A6763">
        <f>IFERROR(INDEX('Email Cleaner'!$B$2:$B$10001,MATCH(6762,'Email Cleaner'!$H$2:$H$10001,0)),"")</f>
        <v/>
      </c>
    </row>
    <row r="6764">
      <c r="A6764">
        <f>IFERROR(INDEX('Email Cleaner'!$B$2:$B$10001,MATCH(6763,'Email Cleaner'!$H$2:$H$10001,0)),"")</f>
        <v/>
      </c>
    </row>
    <row r="6765">
      <c r="A6765">
        <f>IFERROR(INDEX('Email Cleaner'!$B$2:$B$10001,MATCH(6764,'Email Cleaner'!$H$2:$H$10001,0)),"")</f>
        <v/>
      </c>
    </row>
    <row r="6766">
      <c r="A6766">
        <f>IFERROR(INDEX('Email Cleaner'!$B$2:$B$10001,MATCH(6765,'Email Cleaner'!$H$2:$H$10001,0)),"")</f>
        <v/>
      </c>
    </row>
    <row r="6767">
      <c r="A6767">
        <f>IFERROR(INDEX('Email Cleaner'!$B$2:$B$10001,MATCH(6766,'Email Cleaner'!$H$2:$H$10001,0)),"")</f>
        <v/>
      </c>
    </row>
    <row r="6768">
      <c r="A6768">
        <f>IFERROR(INDEX('Email Cleaner'!$B$2:$B$10001,MATCH(6767,'Email Cleaner'!$H$2:$H$10001,0)),"")</f>
        <v/>
      </c>
    </row>
    <row r="6769">
      <c r="A6769">
        <f>IFERROR(INDEX('Email Cleaner'!$B$2:$B$10001,MATCH(6768,'Email Cleaner'!$H$2:$H$10001,0)),"")</f>
        <v/>
      </c>
    </row>
    <row r="6770">
      <c r="A6770">
        <f>IFERROR(INDEX('Email Cleaner'!$B$2:$B$10001,MATCH(6769,'Email Cleaner'!$H$2:$H$10001,0)),"")</f>
        <v/>
      </c>
    </row>
    <row r="6771">
      <c r="A6771">
        <f>IFERROR(INDEX('Email Cleaner'!$B$2:$B$10001,MATCH(6770,'Email Cleaner'!$H$2:$H$10001,0)),"")</f>
        <v/>
      </c>
    </row>
    <row r="6772">
      <c r="A6772">
        <f>IFERROR(INDEX('Email Cleaner'!$B$2:$B$10001,MATCH(6771,'Email Cleaner'!$H$2:$H$10001,0)),"")</f>
        <v/>
      </c>
    </row>
    <row r="6773">
      <c r="A6773">
        <f>IFERROR(INDEX('Email Cleaner'!$B$2:$B$10001,MATCH(6772,'Email Cleaner'!$H$2:$H$10001,0)),"")</f>
        <v/>
      </c>
    </row>
    <row r="6774">
      <c r="A6774">
        <f>IFERROR(INDEX('Email Cleaner'!$B$2:$B$10001,MATCH(6773,'Email Cleaner'!$H$2:$H$10001,0)),"")</f>
        <v/>
      </c>
    </row>
    <row r="6775">
      <c r="A6775">
        <f>IFERROR(INDEX('Email Cleaner'!$B$2:$B$10001,MATCH(6774,'Email Cleaner'!$H$2:$H$10001,0)),"")</f>
        <v/>
      </c>
    </row>
    <row r="6776">
      <c r="A6776">
        <f>IFERROR(INDEX('Email Cleaner'!$B$2:$B$10001,MATCH(6775,'Email Cleaner'!$H$2:$H$10001,0)),"")</f>
        <v/>
      </c>
    </row>
    <row r="6777">
      <c r="A6777">
        <f>IFERROR(INDEX('Email Cleaner'!$B$2:$B$10001,MATCH(6776,'Email Cleaner'!$H$2:$H$10001,0)),"")</f>
        <v/>
      </c>
    </row>
    <row r="6778">
      <c r="A6778">
        <f>IFERROR(INDEX('Email Cleaner'!$B$2:$B$10001,MATCH(6777,'Email Cleaner'!$H$2:$H$10001,0)),"")</f>
        <v/>
      </c>
    </row>
    <row r="6779">
      <c r="A6779">
        <f>IFERROR(INDEX('Email Cleaner'!$B$2:$B$10001,MATCH(6778,'Email Cleaner'!$H$2:$H$10001,0)),"")</f>
        <v/>
      </c>
    </row>
    <row r="6780">
      <c r="A6780">
        <f>IFERROR(INDEX('Email Cleaner'!$B$2:$B$10001,MATCH(6779,'Email Cleaner'!$H$2:$H$10001,0)),"")</f>
        <v/>
      </c>
    </row>
    <row r="6781">
      <c r="A6781">
        <f>IFERROR(INDEX('Email Cleaner'!$B$2:$B$10001,MATCH(6780,'Email Cleaner'!$H$2:$H$10001,0)),"")</f>
        <v/>
      </c>
    </row>
    <row r="6782">
      <c r="A6782">
        <f>IFERROR(INDEX('Email Cleaner'!$B$2:$B$10001,MATCH(6781,'Email Cleaner'!$H$2:$H$10001,0)),"")</f>
        <v/>
      </c>
    </row>
    <row r="6783">
      <c r="A6783">
        <f>IFERROR(INDEX('Email Cleaner'!$B$2:$B$10001,MATCH(6782,'Email Cleaner'!$H$2:$H$10001,0)),"")</f>
        <v/>
      </c>
    </row>
    <row r="6784">
      <c r="A6784">
        <f>IFERROR(INDEX('Email Cleaner'!$B$2:$B$10001,MATCH(6783,'Email Cleaner'!$H$2:$H$10001,0)),"")</f>
        <v/>
      </c>
    </row>
    <row r="6785">
      <c r="A6785">
        <f>IFERROR(INDEX('Email Cleaner'!$B$2:$B$10001,MATCH(6784,'Email Cleaner'!$H$2:$H$10001,0)),"")</f>
        <v/>
      </c>
    </row>
    <row r="6786">
      <c r="A6786">
        <f>IFERROR(INDEX('Email Cleaner'!$B$2:$B$10001,MATCH(6785,'Email Cleaner'!$H$2:$H$10001,0)),"")</f>
        <v/>
      </c>
    </row>
    <row r="6787">
      <c r="A6787">
        <f>IFERROR(INDEX('Email Cleaner'!$B$2:$B$10001,MATCH(6786,'Email Cleaner'!$H$2:$H$10001,0)),"")</f>
        <v/>
      </c>
    </row>
    <row r="6788">
      <c r="A6788">
        <f>IFERROR(INDEX('Email Cleaner'!$B$2:$B$10001,MATCH(6787,'Email Cleaner'!$H$2:$H$10001,0)),"")</f>
        <v/>
      </c>
    </row>
    <row r="6789">
      <c r="A6789">
        <f>IFERROR(INDEX('Email Cleaner'!$B$2:$B$10001,MATCH(6788,'Email Cleaner'!$H$2:$H$10001,0)),"")</f>
        <v/>
      </c>
    </row>
    <row r="6790">
      <c r="A6790">
        <f>IFERROR(INDEX('Email Cleaner'!$B$2:$B$10001,MATCH(6789,'Email Cleaner'!$H$2:$H$10001,0)),"")</f>
        <v/>
      </c>
    </row>
    <row r="6791">
      <c r="A6791">
        <f>IFERROR(INDEX('Email Cleaner'!$B$2:$B$10001,MATCH(6790,'Email Cleaner'!$H$2:$H$10001,0)),"")</f>
        <v/>
      </c>
    </row>
    <row r="6792">
      <c r="A6792">
        <f>IFERROR(INDEX('Email Cleaner'!$B$2:$B$10001,MATCH(6791,'Email Cleaner'!$H$2:$H$10001,0)),"")</f>
        <v/>
      </c>
    </row>
    <row r="6793">
      <c r="A6793">
        <f>IFERROR(INDEX('Email Cleaner'!$B$2:$B$10001,MATCH(6792,'Email Cleaner'!$H$2:$H$10001,0)),"")</f>
        <v/>
      </c>
    </row>
    <row r="6794">
      <c r="A6794">
        <f>IFERROR(INDEX('Email Cleaner'!$B$2:$B$10001,MATCH(6793,'Email Cleaner'!$H$2:$H$10001,0)),"")</f>
        <v/>
      </c>
    </row>
    <row r="6795">
      <c r="A6795">
        <f>IFERROR(INDEX('Email Cleaner'!$B$2:$B$10001,MATCH(6794,'Email Cleaner'!$H$2:$H$10001,0)),"")</f>
        <v/>
      </c>
    </row>
    <row r="6796">
      <c r="A6796">
        <f>IFERROR(INDEX('Email Cleaner'!$B$2:$B$10001,MATCH(6795,'Email Cleaner'!$H$2:$H$10001,0)),"")</f>
        <v/>
      </c>
    </row>
    <row r="6797">
      <c r="A6797">
        <f>IFERROR(INDEX('Email Cleaner'!$B$2:$B$10001,MATCH(6796,'Email Cleaner'!$H$2:$H$10001,0)),"")</f>
        <v/>
      </c>
    </row>
    <row r="6798">
      <c r="A6798">
        <f>IFERROR(INDEX('Email Cleaner'!$B$2:$B$10001,MATCH(6797,'Email Cleaner'!$H$2:$H$10001,0)),"")</f>
        <v/>
      </c>
    </row>
    <row r="6799">
      <c r="A6799">
        <f>IFERROR(INDEX('Email Cleaner'!$B$2:$B$10001,MATCH(6798,'Email Cleaner'!$H$2:$H$10001,0)),"")</f>
        <v/>
      </c>
    </row>
    <row r="6800">
      <c r="A6800">
        <f>IFERROR(INDEX('Email Cleaner'!$B$2:$B$10001,MATCH(6799,'Email Cleaner'!$H$2:$H$10001,0)),"")</f>
        <v/>
      </c>
    </row>
    <row r="6801">
      <c r="A6801">
        <f>IFERROR(INDEX('Email Cleaner'!$B$2:$B$10001,MATCH(6800,'Email Cleaner'!$H$2:$H$10001,0)),"")</f>
        <v/>
      </c>
    </row>
    <row r="6802">
      <c r="A6802">
        <f>IFERROR(INDEX('Email Cleaner'!$B$2:$B$10001,MATCH(6801,'Email Cleaner'!$H$2:$H$10001,0)),"")</f>
        <v/>
      </c>
    </row>
    <row r="6803">
      <c r="A6803">
        <f>IFERROR(INDEX('Email Cleaner'!$B$2:$B$10001,MATCH(6802,'Email Cleaner'!$H$2:$H$10001,0)),"")</f>
        <v/>
      </c>
    </row>
    <row r="6804">
      <c r="A6804">
        <f>IFERROR(INDEX('Email Cleaner'!$B$2:$B$10001,MATCH(6803,'Email Cleaner'!$H$2:$H$10001,0)),"")</f>
        <v/>
      </c>
    </row>
    <row r="6805">
      <c r="A6805">
        <f>IFERROR(INDEX('Email Cleaner'!$B$2:$B$10001,MATCH(6804,'Email Cleaner'!$H$2:$H$10001,0)),"")</f>
        <v/>
      </c>
    </row>
    <row r="6806">
      <c r="A6806">
        <f>IFERROR(INDEX('Email Cleaner'!$B$2:$B$10001,MATCH(6805,'Email Cleaner'!$H$2:$H$10001,0)),"")</f>
        <v/>
      </c>
    </row>
    <row r="6807">
      <c r="A6807">
        <f>IFERROR(INDEX('Email Cleaner'!$B$2:$B$10001,MATCH(6806,'Email Cleaner'!$H$2:$H$10001,0)),"")</f>
        <v/>
      </c>
    </row>
    <row r="6808">
      <c r="A6808">
        <f>IFERROR(INDEX('Email Cleaner'!$B$2:$B$10001,MATCH(6807,'Email Cleaner'!$H$2:$H$10001,0)),"")</f>
        <v/>
      </c>
    </row>
    <row r="6809">
      <c r="A6809">
        <f>IFERROR(INDEX('Email Cleaner'!$B$2:$B$10001,MATCH(6808,'Email Cleaner'!$H$2:$H$10001,0)),"")</f>
        <v/>
      </c>
    </row>
    <row r="6810">
      <c r="A6810">
        <f>IFERROR(INDEX('Email Cleaner'!$B$2:$B$10001,MATCH(6809,'Email Cleaner'!$H$2:$H$10001,0)),"")</f>
        <v/>
      </c>
    </row>
    <row r="6811">
      <c r="A6811">
        <f>IFERROR(INDEX('Email Cleaner'!$B$2:$B$10001,MATCH(6810,'Email Cleaner'!$H$2:$H$10001,0)),"")</f>
        <v/>
      </c>
    </row>
    <row r="6812">
      <c r="A6812">
        <f>IFERROR(INDEX('Email Cleaner'!$B$2:$B$10001,MATCH(6811,'Email Cleaner'!$H$2:$H$10001,0)),"")</f>
        <v/>
      </c>
    </row>
    <row r="6813">
      <c r="A6813">
        <f>IFERROR(INDEX('Email Cleaner'!$B$2:$B$10001,MATCH(6812,'Email Cleaner'!$H$2:$H$10001,0)),"")</f>
        <v/>
      </c>
    </row>
    <row r="6814">
      <c r="A6814">
        <f>IFERROR(INDEX('Email Cleaner'!$B$2:$B$10001,MATCH(6813,'Email Cleaner'!$H$2:$H$10001,0)),"")</f>
        <v/>
      </c>
    </row>
    <row r="6815">
      <c r="A6815">
        <f>IFERROR(INDEX('Email Cleaner'!$B$2:$B$10001,MATCH(6814,'Email Cleaner'!$H$2:$H$10001,0)),"")</f>
        <v/>
      </c>
    </row>
    <row r="6816">
      <c r="A6816">
        <f>IFERROR(INDEX('Email Cleaner'!$B$2:$B$10001,MATCH(6815,'Email Cleaner'!$H$2:$H$10001,0)),"")</f>
        <v/>
      </c>
    </row>
    <row r="6817">
      <c r="A6817">
        <f>IFERROR(INDEX('Email Cleaner'!$B$2:$B$10001,MATCH(6816,'Email Cleaner'!$H$2:$H$10001,0)),"")</f>
        <v/>
      </c>
    </row>
    <row r="6818">
      <c r="A6818">
        <f>IFERROR(INDEX('Email Cleaner'!$B$2:$B$10001,MATCH(6817,'Email Cleaner'!$H$2:$H$10001,0)),"")</f>
        <v/>
      </c>
    </row>
    <row r="6819">
      <c r="A6819">
        <f>IFERROR(INDEX('Email Cleaner'!$B$2:$B$10001,MATCH(6818,'Email Cleaner'!$H$2:$H$10001,0)),"")</f>
        <v/>
      </c>
    </row>
    <row r="6820">
      <c r="A6820">
        <f>IFERROR(INDEX('Email Cleaner'!$B$2:$B$10001,MATCH(6819,'Email Cleaner'!$H$2:$H$10001,0)),"")</f>
        <v/>
      </c>
    </row>
    <row r="6821">
      <c r="A6821">
        <f>IFERROR(INDEX('Email Cleaner'!$B$2:$B$10001,MATCH(6820,'Email Cleaner'!$H$2:$H$10001,0)),"")</f>
        <v/>
      </c>
    </row>
    <row r="6822">
      <c r="A6822">
        <f>IFERROR(INDEX('Email Cleaner'!$B$2:$B$10001,MATCH(6821,'Email Cleaner'!$H$2:$H$10001,0)),"")</f>
        <v/>
      </c>
    </row>
    <row r="6823">
      <c r="A6823">
        <f>IFERROR(INDEX('Email Cleaner'!$B$2:$B$10001,MATCH(6822,'Email Cleaner'!$H$2:$H$10001,0)),"")</f>
        <v/>
      </c>
    </row>
    <row r="6824">
      <c r="A6824">
        <f>IFERROR(INDEX('Email Cleaner'!$B$2:$B$10001,MATCH(6823,'Email Cleaner'!$H$2:$H$10001,0)),"")</f>
        <v/>
      </c>
    </row>
    <row r="6825">
      <c r="A6825">
        <f>IFERROR(INDEX('Email Cleaner'!$B$2:$B$10001,MATCH(6824,'Email Cleaner'!$H$2:$H$10001,0)),"")</f>
        <v/>
      </c>
    </row>
    <row r="6826">
      <c r="A6826">
        <f>IFERROR(INDEX('Email Cleaner'!$B$2:$B$10001,MATCH(6825,'Email Cleaner'!$H$2:$H$10001,0)),"")</f>
        <v/>
      </c>
    </row>
    <row r="6827">
      <c r="A6827">
        <f>IFERROR(INDEX('Email Cleaner'!$B$2:$B$10001,MATCH(6826,'Email Cleaner'!$H$2:$H$10001,0)),"")</f>
        <v/>
      </c>
    </row>
    <row r="6828">
      <c r="A6828">
        <f>IFERROR(INDEX('Email Cleaner'!$B$2:$B$10001,MATCH(6827,'Email Cleaner'!$H$2:$H$10001,0)),"")</f>
        <v/>
      </c>
    </row>
    <row r="6829">
      <c r="A6829">
        <f>IFERROR(INDEX('Email Cleaner'!$B$2:$B$10001,MATCH(6828,'Email Cleaner'!$H$2:$H$10001,0)),"")</f>
        <v/>
      </c>
    </row>
    <row r="6830">
      <c r="A6830">
        <f>IFERROR(INDEX('Email Cleaner'!$B$2:$B$10001,MATCH(6829,'Email Cleaner'!$H$2:$H$10001,0)),"")</f>
        <v/>
      </c>
    </row>
    <row r="6831">
      <c r="A6831">
        <f>IFERROR(INDEX('Email Cleaner'!$B$2:$B$10001,MATCH(6830,'Email Cleaner'!$H$2:$H$10001,0)),"")</f>
        <v/>
      </c>
    </row>
    <row r="6832">
      <c r="A6832">
        <f>IFERROR(INDEX('Email Cleaner'!$B$2:$B$10001,MATCH(6831,'Email Cleaner'!$H$2:$H$10001,0)),"")</f>
        <v/>
      </c>
    </row>
    <row r="6833">
      <c r="A6833">
        <f>IFERROR(INDEX('Email Cleaner'!$B$2:$B$10001,MATCH(6832,'Email Cleaner'!$H$2:$H$10001,0)),"")</f>
        <v/>
      </c>
    </row>
    <row r="6834">
      <c r="A6834">
        <f>IFERROR(INDEX('Email Cleaner'!$B$2:$B$10001,MATCH(6833,'Email Cleaner'!$H$2:$H$10001,0)),"")</f>
        <v/>
      </c>
    </row>
    <row r="6835">
      <c r="A6835">
        <f>IFERROR(INDEX('Email Cleaner'!$B$2:$B$10001,MATCH(6834,'Email Cleaner'!$H$2:$H$10001,0)),"")</f>
        <v/>
      </c>
    </row>
    <row r="6836">
      <c r="A6836">
        <f>IFERROR(INDEX('Email Cleaner'!$B$2:$B$10001,MATCH(6835,'Email Cleaner'!$H$2:$H$10001,0)),"")</f>
        <v/>
      </c>
    </row>
    <row r="6837">
      <c r="A6837">
        <f>IFERROR(INDEX('Email Cleaner'!$B$2:$B$10001,MATCH(6836,'Email Cleaner'!$H$2:$H$10001,0)),"")</f>
        <v/>
      </c>
    </row>
    <row r="6838">
      <c r="A6838">
        <f>IFERROR(INDEX('Email Cleaner'!$B$2:$B$10001,MATCH(6837,'Email Cleaner'!$H$2:$H$10001,0)),"")</f>
        <v/>
      </c>
    </row>
    <row r="6839">
      <c r="A6839">
        <f>IFERROR(INDEX('Email Cleaner'!$B$2:$B$10001,MATCH(6838,'Email Cleaner'!$H$2:$H$10001,0)),"")</f>
        <v/>
      </c>
    </row>
    <row r="6840">
      <c r="A6840">
        <f>IFERROR(INDEX('Email Cleaner'!$B$2:$B$10001,MATCH(6839,'Email Cleaner'!$H$2:$H$10001,0)),"")</f>
        <v/>
      </c>
    </row>
    <row r="6841">
      <c r="A6841">
        <f>IFERROR(INDEX('Email Cleaner'!$B$2:$B$10001,MATCH(6840,'Email Cleaner'!$H$2:$H$10001,0)),"")</f>
        <v/>
      </c>
    </row>
    <row r="6842">
      <c r="A6842">
        <f>IFERROR(INDEX('Email Cleaner'!$B$2:$B$10001,MATCH(6841,'Email Cleaner'!$H$2:$H$10001,0)),"")</f>
        <v/>
      </c>
    </row>
    <row r="6843">
      <c r="A6843">
        <f>IFERROR(INDEX('Email Cleaner'!$B$2:$B$10001,MATCH(6842,'Email Cleaner'!$H$2:$H$10001,0)),"")</f>
        <v/>
      </c>
    </row>
    <row r="6844">
      <c r="A6844">
        <f>IFERROR(INDEX('Email Cleaner'!$B$2:$B$10001,MATCH(6843,'Email Cleaner'!$H$2:$H$10001,0)),"")</f>
        <v/>
      </c>
    </row>
    <row r="6845">
      <c r="A6845">
        <f>IFERROR(INDEX('Email Cleaner'!$B$2:$B$10001,MATCH(6844,'Email Cleaner'!$H$2:$H$10001,0)),"")</f>
        <v/>
      </c>
    </row>
    <row r="6846">
      <c r="A6846">
        <f>IFERROR(INDEX('Email Cleaner'!$B$2:$B$10001,MATCH(6845,'Email Cleaner'!$H$2:$H$10001,0)),"")</f>
        <v/>
      </c>
    </row>
    <row r="6847">
      <c r="A6847">
        <f>IFERROR(INDEX('Email Cleaner'!$B$2:$B$10001,MATCH(6846,'Email Cleaner'!$H$2:$H$10001,0)),"")</f>
        <v/>
      </c>
    </row>
    <row r="6848">
      <c r="A6848">
        <f>IFERROR(INDEX('Email Cleaner'!$B$2:$B$10001,MATCH(6847,'Email Cleaner'!$H$2:$H$10001,0)),"")</f>
        <v/>
      </c>
    </row>
    <row r="6849">
      <c r="A6849">
        <f>IFERROR(INDEX('Email Cleaner'!$B$2:$B$10001,MATCH(6848,'Email Cleaner'!$H$2:$H$10001,0)),"")</f>
        <v/>
      </c>
    </row>
    <row r="6850">
      <c r="A6850">
        <f>IFERROR(INDEX('Email Cleaner'!$B$2:$B$10001,MATCH(6849,'Email Cleaner'!$H$2:$H$10001,0)),"")</f>
        <v/>
      </c>
    </row>
    <row r="6851">
      <c r="A6851">
        <f>IFERROR(INDEX('Email Cleaner'!$B$2:$B$10001,MATCH(6850,'Email Cleaner'!$H$2:$H$10001,0)),"")</f>
        <v/>
      </c>
    </row>
    <row r="6852">
      <c r="A6852">
        <f>IFERROR(INDEX('Email Cleaner'!$B$2:$B$10001,MATCH(6851,'Email Cleaner'!$H$2:$H$10001,0)),"")</f>
        <v/>
      </c>
    </row>
    <row r="6853">
      <c r="A6853">
        <f>IFERROR(INDEX('Email Cleaner'!$B$2:$B$10001,MATCH(6852,'Email Cleaner'!$H$2:$H$10001,0)),"")</f>
        <v/>
      </c>
    </row>
    <row r="6854">
      <c r="A6854">
        <f>IFERROR(INDEX('Email Cleaner'!$B$2:$B$10001,MATCH(6853,'Email Cleaner'!$H$2:$H$10001,0)),"")</f>
        <v/>
      </c>
    </row>
    <row r="6855">
      <c r="A6855">
        <f>IFERROR(INDEX('Email Cleaner'!$B$2:$B$10001,MATCH(6854,'Email Cleaner'!$H$2:$H$10001,0)),"")</f>
        <v/>
      </c>
    </row>
    <row r="6856">
      <c r="A6856">
        <f>IFERROR(INDEX('Email Cleaner'!$B$2:$B$10001,MATCH(6855,'Email Cleaner'!$H$2:$H$10001,0)),"")</f>
        <v/>
      </c>
    </row>
    <row r="6857">
      <c r="A6857">
        <f>IFERROR(INDEX('Email Cleaner'!$B$2:$B$10001,MATCH(6856,'Email Cleaner'!$H$2:$H$10001,0)),"")</f>
        <v/>
      </c>
    </row>
    <row r="6858">
      <c r="A6858">
        <f>IFERROR(INDEX('Email Cleaner'!$B$2:$B$10001,MATCH(6857,'Email Cleaner'!$H$2:$H$10001,0)),"")</f>
        <v/>
      </c>
    </row>
    <row r="6859">
      <c r="A6859">
        <f>IFERROR(INDEX('Email Cleaner'!$B$2:$B$10001,MATCH(6858,'Email Cleaner'!$H$2:$H$10001,0)),"")</f>
        <v/>
      </c>
    </row>
    <row r="6860">
      <c r="A6860">
        <f>IFERROR(INDEX('Email Cleaner'!$B$2:$B$10001,MATCH(6859,'Email Cleaner'!$H$2:$H$10001,0)),"")</f>
        <v/>
      </c>
    </row>
    <row r="6861">
      <c r="A6861">
        <f>IFERROR(INDEX('Email Cleaner'!$B$2:$B$10001,MATCH(6860,'Email Cleaner'!$H$2:$H$10001,0)),"")</f>
        <v/>
      </c>
    </row>
    <row r="6862">
      <c r="A6862">
        <f>IFERROR(INDEX('Email Cleaner'!$B$2:$B$10001,MATCH(6861,'Email Cleaner'!$H$2:$H$10001,0)),"")</f>
        <v/>
      </c>
    </row>
    <row r="6863">
      <c r="A6863">
        <f>IFERROR(INDEX('Email Cleaner'!$B$2:$B$10001,MATCH(6862,'Email Cleaner'!$H$2:$H$10001,0)),"")</f>
        <v/>
      </c>
    </row>
    <row r="6864">
      <c r="A6864">
        <f>IFERROR(INDEX('Email Cleaner'!$B$2:$B$10001,MATCH(6863,'Email Cleaner'!$H$2:$H$10001,0)),"")</f>
        <v/>
      </c>
    </row>
    <row r="6865">
      <c r="A6865">
        <f>IFERROR(INDEX('Email Cleaner'!$B$2:$B$10001,MATCH(6864,'Email Cleaner'!$H$2:$H$10001,0)),"")</f>
        <v/>
      </c>
    </row>
    <row r="6866">
      <c r="A6866">
        <f>IFERROR(INDEX('Email Cleaner'!$B$2:$B$10001,MATCH(6865,'Email Cleaner'!$H$2:$H$10001,0)),"")</f>
        <v/>
      </c>
    </row>
    <row r="6867">
      <c r="A6867">
        <f>IFERROR(INDEX('Email Cleaner'!$B$2:$B$10001,MATCH(6866,'Email Cleaner'!$H$2:$H$10001,0)),"")</f>
        <v/>
      </c>
    </row>
    <row r="6868">
      <c r="A6868">
        <f>IFERROR(INDEX('Email Cleaner'!$B$2:$B$10001,MATCH(6867,'Email Cleaner'!$H$2:$H$10001,0)),"")</f>
        <v/>
      </c>
    </row>
    <row r="6869">
      <c r="A6869">
        <f>IFERROR(INDEX('Email Cleaner'!$B$2:$B$10001,MATCH(6868,'Email Cleaner'!$H$2:$H$10001,0)),"")</f>
        <v/>
      </c>
    </row>
    <row r="6870">
      <c r="A6870">
        <f>IFERROR(INDEX('Email Cleaner'!$B$2:$B$10001,MATCH(6869,'Email Cleaner'!$H$2:$H$10001,0)),"")</f>
        <v/>
      </c>
    </row>
    <row r="6871">
      <c r="A6871">
        <f>IFERROR(INDEX('Email Cleaner'!$B$2:$B$10001,MATCH(6870,'Email Cleaner'!$H$2:$H$10001,0)),"")</f>
        <v/>
      </c>
    </row>
    <row r="6872">
      <c r="A6872">
        <f>IFERROR(INDEX('Email Cleaner'!$B$2:$B$10001,MATCH(6871,'Email Cleaner'!$H$2:$H$10001,0)),"")</f>
        <v/>
      </c>
    </row>
    <row r="6873">
      <c r="A6873">
        <f>IFERROR(INDEX('Email Cleaner'!$B$2:$B$10001,MATCH(6872,'Email Cleaner'!$H$2:$H$10001,0)),"")</f>
        <v/>
      </c>
    </row>
    <row r="6874">
      <c r="A6874">
        <f>IFERROR(INDEX('Email Cleaner'!$B$2:$B$10001,MATCH(6873,'Email Cleaner'!$H$2:$H$10001,0)),"")</f>
        <v/>
      </c>
    </row>
    <row r="6875">
      <c r="A6875">
        <f>IFERROR(INDEX('Email Cleaner'!$B$2:$B$10001,MATCH(6874,'Email Cleaner'!$H$2:$H$10001,0)),"")</f>
        <v/>
      </c>
    </row>
    <row r="6876">
      <c r="A6876">
        <f>IFERROR(INDEX('Email Cleaner'!$B$2:$B$10001,MATCH(6875,'Email Cleaner'!$H$2:$H$10001,0)),"")</f>
        <v/>
      </c>
    </row>
    <row r="6877">
      <c r="A6877">
        <f>IFERROR(INDEX('Email Cleaner'!$B$2:$B$10001,MATCH(6876,'Email Cleaner'!$H$2:$H$10001,0)),"")</f>
        <v/>
      </c>
    </row>
    <row r="6878">
      <c r="A6878">
        <f>IFERROR(INDEX('Email Cleaner'!$B$2:$B$10001,MATCH(6877,'Email Cleaner'!$H$2:$H$10001,0)),"")</f>
        <v/>
      </c>
    </row>
    <row r="6879">
      <c r="A6879">
        <f>IFERROR(INDEX('Email Cleaner'!$B$2:$B$10001,MATCH(6878,'Email Cleaner'!$H$2:$H$10001,0)),"")</f>
        <v/>
      </c>
    </row>
    <row r="6880">
      <c r="A6880">
        <f>IFERROR(INDEX('Email Cleaner'!$B$2:$B$10001,MATCH(6879,'Email Cleaner'!$H$2:$H$10001,0)),"")</f>
        <v/>
      </c>
    </row>
    <row r="6881">
      <c r="A6881">
        <f>IFERROR(INDEX('Email Cleaner'!$B$2:$B$10001,MATCH(6880,'Email Cleaner'!$H$2:$H$10001,0)),"")</f>
        <v/>
      </c>
    </row>
    <row r="6882">
      <c r="A6882">
        <f>IFERROR(INDEX('Email Cleaner'!$B$2:$B$10001,MATCH(6881,'Email Cleaner'!$H$2:$H$10001,0)),"")</f>
        <v/>
      </c>
    </row>
    <row r="6883">
      <c r="A6883">
        <f>IFERROR(INDEX('Email Cleaner'!$B$2:$B$10001,MATCH(6882,'Email Cleaner'!$H$2:$H$10001,0)),"")</f>
        <v/>
      </c>
    </row>
    <row r="6884">
      <c r="A6884">
        <f>IFERROR(INDEX('Email Cleaner'!$B$2:$B$10001,MATCH(6883,'Email Cleaner'!$H$2:$H$10001,0)),"")</f>
        <v/>
      </c>
    </row>
    <row r="6885">
      <c r="A6885">
        <f>IFERROR(INDEX('Email Cleaner'!$B$2:$B$10001,MATCH(6884,'Email Cleaner'!$H$2:$H$10001,0)),"")</f>
        <v/>
      </c>
    </row>
    <row r="6886">
      <c r="A6886">
        <f>IFERROR(INDEX('Email Cleaner'!$B$2:$B$10001,MATCH(6885,'Email Cleaner'!$H$2:$H$10001,0)),"")</f>
        <v/>
      </c>
    </row>
    <row r="6887">
      <c r="A6887">
        <f>IFERROR(INDEX('Email Cleaner'!$B$2:$B$10001,MATCH(6886,'Email Cleaner'!$H$2:$H$10001,0)),"")</f>
        <v/>
      </c>
    </row>
    <row r="6888">
      <c r="A6888">
        <f>IFERROR(INDEX('Email Cleaner'!$B$2:$B$10001,MATCH(6887,'Email Cleaner'!$H$2:$H$10001,0)),"")</f>
        <v/>
      </c>
    </row>
    <row r="6889">
      <c r="A6889">
        <f>IFERROR(INDEX('Email Cleaner'!$B$2:$B$10001,MATCH(6888,'Email Cleaner'!$H$2:$H$10001,0)),"")</f>
        <v/>
      </c>
    </row>
    <row r="6890">
      <c r="A6890">
        <f>IFERROR(INDEX('Email Cleaner'!$B$2:$B$10001,MATCH(6889,'Email Cleaner'!$H$2:$H$10001,0)),"")</f>
        <v/>
      </c>
    </row>
    <row r="6891">
      <c r="A6891">
        <f>IFERROR(INDEX('Email Cleaner'!$B$2:$B$10001,MATCH(6890,'Email Cleaner'!$H$2:$H$10001,0)),"")</f>
        <v/>
      </c>
    </row>
    <row r="6892">
      <c r="A6892">
        <f>IFERROR(INDEX('Email Cleaner'!$B$2:$B$10001,MATCH(6891,'Email Cleaner'!$H$2:$H$10001,0)),"")</f>
        <v/>
      </c>
    </row>
    <row r="6893">
      <c r="A6893">
        <f>IFERROR(INDEX('Email Cleaner'!$B$2:$B$10001,MATCH(6892,'Email Cleaner'!$H$2:$H$10001,0)),"")</f>
        <v/>
      </c>
    </row>
    <row r="6894">
      <c r="A6894">
        <f>IFERROR(INDEX('Email Cleaner'!$B$2:$B$10001,MATCH(6893,'Email Cleaner'!$H$2:$H$10001,0)),"")</f>
        <v/>
      </c>
    </row>
    <row r="6895">
      <c r="A6895">
        <f>IFERROR(INDEX('Email Cleaner'!$B$2:$B$10001,MATCH(6894,'Email Cleaner'!$H$2:$H$10001,0)),"")</f>
        <v/>
      </c>
    </row>
    <row r="6896">
      <c r="A6896">
        <f>IFERROR(INDEX('Email Cleaner'!$B$2:$B$10001,MATCH(6895,'Email Cleaner'!$H$2:$H$10001,0)),"")</f>
        <v/>
      </c>
    </row>
    <row r="6897">
      <c r="A6897">
        <f>IFERROR(INDEX('Email Cleaner'!$B$2:$B$10001,MATCH(6896,'Email Cleaner'!$H$2:$H$10001,0)),"")</f>
        <v/>
      </c>
    </row>
    <row r="6898">
      <c r="A6898">
        <f>IFERROR(INDEX('Email Cleaner'!$B$2:$B$10001,MATCH(6897,'Email Cleaner'!$H$2:$H$10001,0)),"")</f>
        <v/>
      </c>
    </row>
    <row r="6899">
      <c r="A6899">
        <f>IFERROR(INDEX('Email Cleaner'!$B$2:$B$10001,MATCH(6898,'Email Cleaner'!$H$2:$H$10001,0)),"")</f>
        <v/>
      </c>
    </row>
    <row r="6900">
      <c r="A6900">
        <f>IFERROR(INDEX('Email Cleaner'!$B$2:$B$10001,MATCH(6899,'Email Cleaner'!$H$2:$H$10001,0)),"")</f>
        <v/>
      </c>
    </row>
    <row r="6901">
      <c r="A6901">
        <f>IFERROR(INDEX('Email Cleaner'!$B$2:$B$10001,MATCH(6900,'Email Cleaner'!$H$2:$H$10001,0)),"")</f>
        <v/>
      </c>
    </row>
    <row r="6902">
      <c r="A6902">
        <f>IFERROR(INDEX('Email Cleaner'!$B$2:$B$10001,MATCH(6901,'Email Cleaner'!$H$2:$H$10001,0)),"")</f>
        <v/>
      </c>
    </row>
    <row r="6903">
      <c r="A6903">
        <f>IFERROR(INDEX('Email Cleaner'!$B$2:$B$10001,MATCH(6902,'Email Cleaner'!$H$2:$H$10001,0)),"")</f>
        <v/>
      </c>
    </row>
    <row r="6904">
      <c r="A6904">
        <f>IFERROR(INDEX('Email Cleaner'!$B$2:$B$10001,MATCH(6903,'Email Cleaner'!$H$2:$H$10001,0)),"")</f>
        <v/>
      </c>
    </row>
    <row r="6905">
      <c r="A6905">
        <f>IFERROR(INDEX('Email Cleaner'!$B$2:$B$10001,MATCH(6904,'Email Cleaner'!$H$2:$H$10001,0)),"")</f>
        <v/>
      </c>
    </row>
    <row r="6906">
      <c r="A6906">
        <f>IFERROR(INDEX('Email Cleaner'!$B$2:$B$10001,MATCH(6905,'Email Cleaner'!$H$2:$H$10001,0)),"")</f>
        <v/>
      </c>
    </row>
    <row r="6907">
      <c r="A6907">
        <f>IFERROR(INDEX('Email Cleaner'!$B$2:$B$10001,MATCH(6906,'Email Cleaner'!$H$2:$H$10001,0)),"")</f>
        <v/>
      </c>
    </row>
    <row r="6908">
      <c r="A6908">
        <f>IFERROR(INDEX('Email Cleaner'!$B$2:$B$10001,MATCH(6907,'Email Cleaner'!$H$2:$H$10001,0)),"")</f>
        <v/>
      </c>
    </row>
    <row r="6909">
      <c r="A6909">
        <f>IFERROR(INDEX('Email Cleaner'!$B$2:$B$10001,MATCH(6908,'Email Cleaner'!$H$2:$H$10001,0)),"")</f>
        <v/>
      </c>
    </row>
    <row r="6910">
      <c r="A6910">
        <f>IFERROR(INDEX('Email Cleaner'!$B$2:$B$10001,MATCH(6909,'Email Cleaner'!$H$2:$H$10001,0)),"")</f>
        <v/>
      </c>
    </row>
    <row r="6911">
      <c r="A6911">
        <f>IFERROR(INDEX('Email Cleaner'!$B$2:$B$10001,MATCH(6910,'Email Cleaner'!$H$2:$H$10001,0)),"")</f>
        <v/>
      </c>
    </row>
    <row r="6912">
      <c r="A6912">
        <f>IFERROR(INDEX('Email Cleaner'!$B$2:$B$10001,MATCH(6911,'Email Cleaner'!$H$2:$H$10001,0)),"")</f>
        <v/>
      </c>
    </row>
    <row r="6913">
      <c r="A6913">
        <f>IFERROR(INDEX('Email Cleaner'!$B$2:$B$10001,MATCH(6912,'Email Cleaner'!$H$2:$H$10001,0)),"")</f>
        <v/>
      </c>
    </row>
    <row r="6914">
      <c r="A6914">
        <f>IFERROR(INDEX('Email Cleaner'!$B$2:$B$10001,MATCH(6913,'Email Cleaner'!$H$2:$H$10001,0)),"")</f>
        <v/>
      </c>
    </row>
    <row r="6915">
      <c r="A6915">
        <f>IFERROR(INDEX('Email Cleaner'!$B$2:$B$10001,MATCH(6914,'Email Cleaner'!$H$2:$H$10001,0)),"")</f>
        <v/>
      </c>
    </row>
    <row r="6916">
      <c r="A6916">
        <f>IFERROR(INDEX('Email Cleaner'!$B$2:$B$10001,MATCH(6915,'Email Cleaner'!$H$2:$H$10001,0)),"")</f>
        <v/>
      </c>
    </row>
    <row r="6917">
      <c r="A6917">
        <f>IFERROR(INDEX('Email Cleaner'!$B$2:$B$10001,MATCH(6916,'Email Cleaner'!$H$2:$H$10001,0)),"")</f>
        <v/>
      </c>
    </row>
    <row r="6918">
      <c r="A6918">
        <f>IFERROR(INDEX('Email Cleaner'!$B$2:$B$10001,MATCH(6917,'Email Cleaner'!$H$2:$H$10001,0)),"")</f>
        <v/>
      </c>
    </row>
    <row r="6919">
      <c r="A6919">
        <f>IFERROR(INDEX('Email Cleaner'!$B$2:$B$10001,MATCH(6918,'Email Cleaner'!$H$2:$H$10001,0)),"")</f>
        <v/>
      </c>
    </row>
    <row r="6920">
      <c r="A6920">
        <f>IFERROR(INDEX('Email Cleaner'!$B$2:$B$10001,MATCH(6919,'Email Cleaner'!$H$2:$H$10001,0)),"")</f>
        <v/>
      </c>
    </row>
    <row r="6921">
      <c r="A6921">
        <f>IFERROR(INDEX('Email Cleaner'!$B$2:$B$10001,MATCH(6920,'Email Cleaner'!$H$2:$H$10001,0)),"")</f>
        <v/>
      </c>
    </row>
    <row r="6922">
      <c r="A6922">
        <f>IFERROR(INDEX('Email Cleaner'!$B$2:$B$10001,MATCH(6921,'Email Cleaner'!$H$2:$H$10001,0)),"")</f>
        <v/>
      </c>
    </row>
    <row r="6923">
      <c r="A6923">
        <f>IFERROR(INDEX('Email Cleaner'!$B$2:$B$10001,MATCH(6922,'Email Cleaner'!$H$2:$H$10001,0)),"")</f>
        <v/>
      </c>
    </row>
    <row r="6924">
      <c r="A6924">
        <f>IFERROR(INDEX('Email Cleaner'!$B$2:$B$10001,MATCH(6923,'Email Cleaner'!$H$2:$H$10001,0)),"")</f>
        <v/>
      </c>
    </row>
    <row r="6925">
      <c r="A6925">
        <f>IFERROR(INDEX('Email Cleaner'!$B$2:$B$10001,MATCH(6924,'Email Cleaner'!$H$2:$H$10001,0)),"")</f>
        <v/>
      </c>
    </row>
    <row r="6926">
      <c r="A6926">
        <f>IFERROR(INDEX('Email Cleaner'!$B$2:$B$10001,MATCH(6925,'Email Cleaner'!$H$2:$H$10001,0)),"")</f>
        <v/>
      </c>
    </row>
    <row r="6927">
      <c r="A6927">
        <f>IFERROR(INDEX('Email Cleaner'!$B$2:$B$10001,MATCH(6926,'Email Cleaner'!$H$2:$H$10001,0)),"")</f>
        <v/>
      </c>
    </row>
    <row r="6928">
      <c r="A6928">
        <f>IFERROR(INDEX('Email Cleaner'!$B$2:$B$10001,MATCH(6927,'Email Cleaner'!$H$2:$H$10001,0)),"")</f>
        <v/>
      </c>
    </row>
    <row r="6929">
      <c r="A6929">
        <f>IFERROR(INDEX('Email Cleaner'!$B$2:$B$10001,MATCH(6928,'Email Cleaner'!$H$2:$H$10001,0)),"")</f>
        <v/>
      </c>
    </row>
    <row r="6930">
      <c r="A6930">
        <f>IFERROR(INDEX('Email Cleaner'!$B$2:$B$10001,MATCH(6929,'Email Cleaner'!$H$2:$H$10001,0)),"")</f>
        <v/>
      </c>
    </row>
    <row r="6931">
      <c r="A6931">
        <f>IFERROR(INDEX('Email Cleaner'!$B$2:$B$10001,MATCH(6930,'Email Cleaner'!$H$2:$H$10001,0)),"")</f>
        <v/>
      </c>
    </row>
    <row r="6932">
      <c r="A6932">
        <f>IFERROR(INDEX('Email Cleaner'!$B$2:$B$10001,MATCH(6931,'Email Cleaner'!$H$2:$H$10001,0)),"")</f>
        <v/>
      </c>
    </row>
    <row r="6933">
      <c r="A6933">
        <f>IFERROR(INDEX('Email Cleaner'!$B$2:$B$10001,MATCH(6932,'Email Cleaner'!$H$2:$H$10001,0)),"")</f>
        <v/>
      </c>
    </row>
    <row r="6934">
      <c r="A6934">
        <f>IFERROR(INDEX('Email Cleaner'!$B$2:$B$10001,MATCH(6933,'Email Cleaner'!$H$2:$H$10001,0)),"")</f>
        <v/>
      </c>
    </row>
    <row r="6935">
      <c r="A6935">
        <f>IFERROR(INDEX('Email Cleaner'!$B$2:$B$10001,MATCH(6934,'Email Cleaner'!$H$2:$H$10001,0)),"")</f>
        <v/>
      </c>
    </row>
    <row r="6936">
      <c r="A6936">
        <f>IFERROR(INDEX('Email Cleaner'!$B$2:$B$10001,MATCH(6935,'Email Cleaner'!$H$2:$H$10001,0)),"")</f>
        <v/>
      </c>
    </row>
    <row r="6937">
      <c r="A6937">
        <f>IFERROR(INDEX('Email Cleaner'!$B$2:$B$10001,MATCH(6936,'Email Cleaner'!$H$2:$H$10001,0)),"")</f>
        <v/>
      </c>
    </row>
    <row r="6938">
      <c r="A6938">
        <f>IFERROR(INDEX('Email Cleaner'!$B$2:$B$10001,MATCH(6937,'Email Cleaner'!$H$2:$H$10001,0)),"")</f>
        <v/>
      </c>
    </row>
    <row r="6939">
      <c r="A6939">
        <f>IFERROR(INDEX('Email Cleaner'!$B$2:$B$10001,MATCH(6938,'Email Cleaner'!$H$2:$H$10001,0)),"")</f>
        <v/>
      </c>
    </row>
    <row r="6940">
      <c r="A6940">
        <f>IFERROR(INDEX('Email Cleaner'!$B$2:$B$10001,MATCH(6939,'Email Cleaner'!$H$2:$H$10001,0)),"")</f>
        <v/>
      </c>
    </row>
    <row r="6941">
      <c r="A6941">
        <f>IFERROR(INDEX('Email Cleaner'!$B$2:$B$10001,MATCH(6940,'Email Cleaner'!$H$2:$H$10001,0)),"")</f>
        <v/>
      </c>
    </row>
    <row r="6942">
      <c r="A6942">
        <f>IFERROR(INDEX('Email Cleaner'!$B$2:$B$10001,MATCH(6941,'Email Cleaner'!$H$2:$H$10001,0)),"")</f>
        <v/>
      </c>
    </row>
    <row r="6943">
      <c r="A6943">
        <f>IFERROR(INDEX('Email Cleaner'!$B$2:$B$10001,MATCH(6942,'Email Cleaner'!$H$2:$H$10001,0)),"")</f>
        <v/>
      </c>
    </row>
    <row r="6944">
      <c r="A6944">
        <f>IFERROR(INDEX('Email Cleaner'!$B$2:$B$10001,MATCH(6943,'Email Cleaner'!$H$2:$H$10001,0)),"")</f>
        <v/>
      </c>
    </row>
    <row r="6945">
      <c r="A6945">
        <f>IFERROR(INDEX('Email Cleaner'!$B$2:$B$10001,MATCH(6944,'Email Cleaner'!$H$2:$H$10001,0)),"")</f>
        <v/>
      </c>
    </row>
    <row r="6946">
      <c r="A6946">
        <f>IFERROR(INDEX('Email Cleaner'!$B$2:$B$10001,MATCH(6945,'Email Cleaner'!$H$2:$H$10001,0)),"")</f>
        <v/>
      </c>
    </row>
    <row r="6947">
      <c r="A6947">
        <f>IFERROR(INDEX('Email Cleaner'!$B$2:$B$10001,MATCH(6946,'Email Cleaner'!$H$2:$H$10001,0)),"")</f>
        <v/>
      </c>
    </row>
    <row r="6948">
      <c r="A6948">
        <f>IFERROR(INDEX('Email Cleaner'!$B$2:$B$10001,MATCH(6947,'Email Cleaner'!$H$2:$H$10001,0)),"")</f>
        <v/>
      </c>
    </row>
    <row r="6949">
      <c r="A6949">
        <f>IFERROR(INDEX('Email Cleaner'!$B$2:$B$10001,MATCH(6948,'Email Cleaner'!$H$2:$H$10001,0)),"")</f>
        <v/>
      </c>
    </row>
    <row r="6950">
      <c r="A6950">
        <f>IFERROR(INDEX('Email Cleaner'!$B$2:$B$10001,MATCH(6949,'Email Cleaner'!$H$2:$H$10001,0)),"")</f>
        <v/>
      </c>
    </row>
    <row r="6951">
      <c r="A6951">
        <f>IFERROR(INDEX('Email Cleaner'!$B$2:$B$10001,MATCH(6950,'Email Cleaner'!$H$2:$H$10001,0)),"")</f>
        <v/>
      </c>
    </row>
    <row r="6952">
      <c r="A6952">
        <f>IFERROR(INDEX('Email Cleaner'!$B$2:$B$10001,MATCH(6951,'Email Cleaner'!$H$2:$H$10001,0)),"")</f>
        <v/>
      </c>
    </row>
    <row r="6953">
      <c r="A6953">
        <f>IFERROR(INDEX('Email Cleaner'!$B$2:$B$10001,MATCH(6952,'Email Cleaner'!$H$2:$H$10001,0)),"")</f>
        <v/>
      </c>
    </row>
    <row r="6954">
      <c r="A6954">
        <f>IFERROR(INDEX('Email Cleaner'!$B$2:$B$10001,MATCH(6953,'Email Cleaner'!$H$2:$H$10001,0)),"")</f>
        <v/>
      </c>
    </row>
    <row r="6955">
      <c r="A6955">
        <f>IFERROR(INDEX('Email Cleaner'!$B$2:$B$10001,MATCH(6954,'Email Cleaner'!$H$2:$H$10001,0)),"")</f>
        <v/>
      </c>
    </row>
    <row r="6956">
      <c r="A6956">
        <f>IFERROR(INDEX('Email Cleaner'!$B$2:$B$10001,MATCH(6955,'Email Cleaner'!$H$2:$H$10001,0)),"")</f>
        <v/>
      </c>
    </row>
    <row r="6957">
      <c r="A6957">
        <f>IFERROR(INDEX('Email Cleaner'!$B$2:$B$10001,MATCH(6956,'Email Cleaner'!$H$2:$H$10001,0)),"")</f>
        <v/>
      </c>
    </row>
    <row r="6958">
      <c r="A6958">
        <f>IFERROR(INDEX('Email Cleaner'!$B$2:$B$10001,MATCH(6957,'Email Cleaner'!$H$2:$H$10001,0)),"")</f>
        <v/>
      </c>
    </row>
    <row r="6959">
      <c r="A6959">
        <f>IFERROR(INDEX('Email Cleaner'!$B$2:$B$10001,MATCH(6958,'Email Cleaner'!$H$2:$H$10001,0)),"")</f>
        <v/>
      </c>
    </row>
    <row r="6960">
      <c r="A6960">
        <f>IFERROR(INDEX('Email Cleaner'!$B$2:$B$10001,MATCH(6959,'Email Cleaner'!$H$2:$H$10001,0)),"")</f>
        <v/>
      </c>
    </row>
    <row r="6961">
      <c r="A6961">
        <f>IFERROR(INDEX('Email Cleaner'!$B$2:$B$10001,MATCH(6960,'Email Cleaner'!$H$2:$H$10001,0)),"")</f>
        <v/>
      </c>
    </row>
    <row r="6962">
      <c r="A6962">
        <f>IFERROR(INDEX('Email Cleaner'!$B$2:$B$10001,MATCH(6961,'Email Cleaner'!$H$2:$H$10001,0)),"")</f>
        <v/>
      </c>
    </row>
    <row r="6963">
      <c r="A6963">
        <f>IFERROR(INDEX('Email Cleaner'!$B$2:$B$10001,MATCH(6962,'Email Cleaner'!$H$2:$H$10001,0)),"")</f>
        <v/>
      </c>
    </row>
    <row r="6964">
      <c r="A6964">
        <f>IFERROR(INDEX('Email Cleaner'!$B$2:$B$10001,MATCH(6963,'Email Cleaner'!$H$2:$H$10001,0)),"")</f>
        <v/>
      </c>
    </row>
    <row r="6965">
      <c r="A6965">
        <f>IFERROR(INDEX('Email Cleaner'!$B$2:$B$10001,MATCH(6964,'Email Cleaner'!$H$2:$H$10001,0)),"")</f>
        <v/>
      </c>
    </row>
    <row r="6966">
      <c r="A6966">
        <f>IFERROR(INDEX('Email Cleaner'!$B$2:$B$10001,MATCH(6965,'Email Cleaner'!$H$2:$H$10001,0)),"")</f>
        <v/>
      </c>
    </row>
    <row r="6967">
      <c r="A6967">
        <f>IFERROR(INDEX('Email Cleaner'!$B$2:$B$10001,MATCH(6966,'Email Cleaner'!$H$2:$H$10001,0)),"")</f>
        <v/>
      </c>
    </row>
    <row r="6968">
      <c r="A6968">
        <f>IFERROR(INDEX('Email Cleaner'!$B$2:$B$10001,MATCH(6967,'Email Cleaner'!$H$2:$H$10001,0)),"")</f>
        <v/>
      </c>
    </row>
    <row r="6969">
      <c r="A6969">
        <f>IFERROR(INDEX('Email Cleaner'!$B$2:$B$10001,MATCH(6968,'Email Cleaner'!$H$2:$H$10001,0)),"")</f>
        <v/>
      </c>
    </row>
    <row r="6970">
      <c r="A6970">
        <f>IFERROR(INDEX('Email Cleaner'!$B$2:$B$10001,MATCH(6969,'Email Cleaner'!$H$2:$H$10001,0)),"")</f>
        <v/>
      </c>
    </row>
    <row r="6971">
      <c r="A6971">
        <f>IFERROR(INDEX('Email Cleaner'!$B$2:$B$10001,MATCH(6970,'Email Cleaner'!$H$2:$H$10001,0)),"")</f>
        <v/>
      </c>
    </row>
    <row r="6972">
      <c r="A6972">
        <f>IFERROR(INDEX('Email Cleaner'!$B$2:$B$10001,MATCH(6971,'Email Cleaner'!$H$2:$H$10001,0)),"")</f>
        <v/>
      </c>
    </row>
    <row r="6973">
      <c r="A6973">
        <f>IFERROR(INDEX('Email Cleaner'!$B$2:$B$10001,MATCH(6972,'Email Cleaner'!$H$2:$H$10001,0)),"")</f>
        <v/>
      </c>
    </row>
    <row r="6974">
      <c r="A6974">
        <f>IFERROR(INDEX('Email Cleaner'!$B$2:$B$10001,MATCH(6973,'Email Cleaner'!$H$2:$H$10001,0)),"")</f>
        <v/>
      </c>
    </row>
    <row r="6975">
      <c r="A6975">
        <f>IFERROR(INDEX('Email Cleaner'!$B$2:$B$10001,MATCH(6974,'Email Cleaner'!$H$2:$H$10001,0)),"")</f>
        <v/>
      </c>
    </row>
    <row r="6976">
      <c r="A6976">
        <f>IFERROR(INDEX('Email Cleaner'!$B$2:$B$10001,MATCH(6975,'Email Cleaner'!$H$2:$H$10001,0)),"")</f>
        <v/>
      </c>
    </row>
    <row r="6977">
      <c r="A6977">
        <f>IFERROR(INDEX('Email Cleaner'!$B$2:$B$10001,MATCH(6976,'Email Cleaner'!$H$2:$H$10001,0)),"")</f>
        <v/>
      </c>
    </row>
    <row r="6978">
      <c r="A6978">
        <f>IFERROR(INDEX('Email Cleaner'!$B$2:$B$10001,MATCH(6977,'Email Cleaner'!$H$2:$H$10001,0)),"")</f>
        <v/>
      </c>
    </row>
    <row r="6979">
      <c r="A6979">
        <f>IFERROR(INDEX('Email Cleaner'!$B$2:$B$10001,MATCH(6978,'Email Cleaner'!$H$2:$H$10001,0)),"")</f>
        <v/>
      </c>
    </row>
    <row r="6980">
      <c r="A6980">
        <f>IFERROR(INDEX('Email Cleaner'!$B$2:$B$10001,MATCH(6979,'Email Cleaner'!$H$2:$H$10001,0)),"")</f>
        <v/>
      </c>
    </row>
    <row r="6981">
      <c r="A6981">
        <f>IFERROR(INDEX('Email Cleaner'!$B$2:$B$10001,MATCH(6980,'Email Cleaner'!$H$2:$H$10001,0)),"")</f>
        <v/>
      </c>
    </row>
    <row r="6982">
      <c r="A6982">
        <f>IFERROR(INDEX('Email Cleaner'!$B$2:$B$10001,MATCH(6981,'Email Cleaner'!$H$2:$H$10001,0)),"")</f>
        <v/>
      </c>
    </row>
    <row r="6983">
      <c r="A6983">
        <f>IFERROR(INDEX('Email Cleaner'!$B$2:$B$10001,MATCH(6982,'Email Cleaner'!$H$2:$H$10001,0)),"")</f>
        <v/>
      </c>
    </row>
    <row r="6984">
      <c r="A6984">
        <f>IFERROR(INDEX('Email Cleaner'!$B$2:$B$10001,MATCH(6983,'Email Cleaner'!$H$2:$H$10001,0)),"")</f>
        <v/>
      </c>
    </row>
    <row r="6985">
      <c r="A6985">
        <f>IFERROR(INDEX('Email Cleaner'!$B$2:$B$10001,MATCH(6984,'Email Cleaner'!$H$2:$H$10001,0)),"")</f>
        <v/>
      </c>
    </row>
    <row r="6986">
      <c r="A6986">
        <f>IFERROR(INDEX('Email Cleaner'!$B$2:$B$10001,MATCH(6985,'Email Cleaner'!$H$2:$H$10001,0)),"")</f>
        <v/>
      </c>
    </row>
    <row r="6987">
      <c r="A6987">
        <f>IFERROR(INDEX('Email Cleaner'!$B$2:$B$10001,MATCH(6986,'Email Cleaner'!$H$2:$H$10001,0)),"")</f>
        <v/>
      </c>
    </row>
    <row r="6988">
      <c r="A6988">
        <f>IFERROR(INDEX('Email Cleaner'!$B$2:$B$10001,MATCH(6987,'Email Cleaner'!$H$2:$H$10001,0)),"")</f>
        <v/>
      </c>
    </row>
    <row r="6989">
      <c r="A6989">
        <f>IFERROR(INDEX('Email Cleaner'!$B$2:$B$10001,MATCH(6988,'Email Cleaner'!$H$2:$H$10001,0)),"")</f>
        <v/>
      </c>
    </row>
    <row r="6990">
      <c r="A6990">
        <f>IFERROR(INDEX('Email Cleaner'!$B$2:$B$10001,MATCH(6989,'Email Cleaner'!$H$2:$H$10001,0)),"")</f>
        <v/>
      </c>
    </row>
    <row r="6991">
      <c r="A6991">
        <f>IFERROR(INDEX('Email Cleaner'!$B$2:$B$10001,MATCH(6990,'Email Cleaner'!$H$2:$H$10001,0)),"")</f>
        <v/>
      </c>
    </row>
    <row r="6992">
      <c r="A6992">
        <f>IFERROR(INDEX('Email Cleaner'!$B$2:$B$10001,MATCH(6991,'Email Cleaner'!$H$2:$H$10001,0)),"")</f>
        <v/>
      </c>
    </row>
    <row r="6993">
      <c r="A6993">
        <f>IFERROR(INDEX('Email Cleaner'!$B$2:$B$10001,MATCH(6992,'Email Cleaner'!$H$2:$H$10001,0)),"")</f>
        <v/>
      </c>
    </row>
    <row r="6994">
      <c r="A6994">
        <f>IFERROR(INDEX('Email Cleaner'!$B$2:$B$10001,MATCH(6993,'Email Cleaner'!$H$2:$H$10001,0)),"")</f>
        <v/>
      </c>
    </row>
    <row r="6995">
      <c r="A6995">
        <f>IFERROR(INDEX('Email Cleaner'!$B$2:$B$10001,MATCH(6994,'Email Cleaner'!$H$2:$H$10001,0)),"")</f>
        <v/>
      </c>
    </row>
    <row r="6996">
      <c r="A6996">
        <f>IFERROR(INDEX('Email Cleaner'!$B$2:$B$10001,MATCH(6995,'Email Cleaner'!$H$2:$H$10001,0)),"")</f>
        <v/>
      </c>
    </row>
    <row r="6997">
      <c r="A6997">
        <f>IFERROR(INDEX('Email Cleaner'!$B$2:$B$10001,MATCH(6996,'Email Cleaner'!$H$2:$H$10001,0)),"")</f>
        <v/>
      </c>
    </row>
    <row r="6998">
      <c r="A6998">
        <f>IFERROR(INDEX('Email Cleaner'!$B$2:$B$10001,MATCH(6997,'Email Cleaner'!$H$2:$H$10001,0)),"")</f>
        <v/>
      </c>
    </row>
    <row r="6999">
      <c r="A6999">
        <f>IFERROR(INDEX('Email Cleaner'!$B$2:$B$10001,MATCH(6998,'Email Cleaner'!$H$2:$H$10001,0)),"")</f>
        <v/>
      </c>
    </row>
    <row r="7000">
      <c r="A7000">
        <f>IFERROR(INDEX('Email Cleaner'!$B$2:$B$10001,MATCH(6999,'Email Cleaner'!$H$2:$H$10001,0)),"")</f>
        <v/>
      </c>
    </row>
    <row r="7001">
      <c r="A7001">
        <f>IFERROR(INDEX('Email Cleaner'!$B$2:$B$10001,MATCH(7000,'Email Cleaner'!$H$2:$H$10001,0)),"")</f>
        <v/>
      </c>
    </row>
    <row r="7002">
      <c r="A7002">
        <f>IFERROR(INDEX('Email Cleaner'!$B$2:$B$10001,MATCH(7001,'Email Cleaner'!$H$2:$H$10001,0)),"")</f>
        <v/>
      </c>
    </row>
    <row r="7003">
      <c r="A7003">
        <f>IFERROR(INDEX('Email Cleaner'!$B$2:$B$10001,MATCH(7002,'Email Cleaner'!$H$2:$H$10001,0)),"")</f>
        <v/>
      </c>
    </row>
    <row r="7004">
      <c r="A7004">
        <f>IFERROR(INDEX('Email Cleaner'!$B$2:$B$10001,MATCH(7003,'Email Cleaner'!$H$2:$H$10001,0)),"")</f>
        <v/>
      </c>
    </row>
    <row r="7005">
      <c r="A7005">
        <f>IFERROR(INDEX('Email Cleaner'!$B$2:$B$10001,MATCH(7004,'Email Cleaner'!$H$2:$H$10001,0)),"")</f>
        <v/>
      </c>
    </row>
    <row r="7006">
      <c r="A7006">
        <f>IFERROR(INDEX('Email Cleaner'!$B$2:$B$10001,MATCH(7005,'Email Cleaner'!$H$2:$H$10001,0)),"")</f>
        <v/>
      </c>
    </row>
    <row r="7007">
      <c r="A7007">
        <f>IFERROR(INDEX('Email Cleaner'!$B$2:$B$10001,MATCH(7006,'Email Cleaner'!$H$2:$H$10001,0)),"")</f>
        <v/>
      </c>
    </row>
    <row r="7008">
      <c r="A7008">
        <f>IFERROR(INDEX('Email Cleaner'!$B$2:$B$10001,MATCH(7007,'Email Cleaner'!$H$2:$H$10001,0)),"")</f>
        <v/>
      </c>
    </row>
    <row r="7009">
      <c r="A7009">
        <f>IFERROR(INDEX('Email Cleaner'!$B$2:$B$10001,MATCH(7008,'Email Cleaner'!$H$2:$H$10001,0)),"")</f>
        <v/>
      </c>
    </row>
    <row r="7010">
      <c r="A7010">
        <f>IFERROR(INDEX('Email Cleaner'!$B$2:$B$10001,MATCH(7009,'Email Cleaner'!$H$2:$H$10001,0)),"")</f>
        <v/>
      </c>
    </row>
    <row r="7011">
      <c r="A7011">
        <f>IFERROR(INDEX('Email Cleaner'!$B$2:$B$10001,MATCH(7010,'Email Cleaner'!$H$2:$H$10001,0)),"")</f>
        <v/>
      </c>
    </row>
    <row r="7012">
      <c r="A7012">
        <f>IFERROR(INDEX('Email Cleaner'!$B$2:$B$10001,MATCH(7011,'Email Cleaner'!$H$2:$H$10001,0)),"")</f>
        <v/>
      </c>
    </row>
    <row r="7013">
      <c r="A7013">
        <f>IFERROR(INDEX('Email Cleaner'!$B$2:$B$10001,MATCH(7012,'Email Cleaner'!$H$2:$H$10001,0)),"")</f>
        <v/>
      </c>
    </row>
    <row r="7014">
      <c r="A7014">
        <f>IFERROR(INDEX('Email Cleaner'!$B$2:$B$10001,MATCH(7013,'Email Cleaner'!$H$2:$H$10001,0)),"")</f>
        <v/>
      </c>
    </row>
    <row r="7015">
      <c r="A7015">
        <f>IFERROR(INDEX('Email Cleaner'!$B$2:$B$10001,MATCH(7014,'Email Cleaner'!$H$2:$H$10001,0)),"")</f>
        <v/>
      </c>
    </row>
    <row r="7016">
      <c r="A7016">
        <f>IFERROR(INDEX('Email Cleaner'!$B$2:$B$10001,MATCH(7015,'Email Cleaner'!$H$2:$H$10001,0)),"")</f>
        <v/>
      </c>
    </row>
    <row r="7017">
      <c r="A7017">
        <f>IFERROR(INDEX('Email Cleaner'!$B$2:$B$10001,MATCH(7016,'Email Cleaner'!$H$2:$H$10001,0)),"")</f>
        <v/>
      </c>
    </row>
    <row r="7018">
      <c r="A7018">
        <f>IFERROR(INDEX('Email Cleaner'!$B$2:$B$10001,MATCH(7017,'Email Cleaner'!$H$2:$H$10001,0)),"")</f>
        <v/>
      </c>
    </row>
    <row r="7019">
      <c r="A7019">
        <f>IFERROR(INDEX('Email Cleaner'!$B$2:$B$10001,MATCH(7018,'Email Cleaner'!$H$2:$H$10001,0)),"")</f>
        <v/>
      </c>
    </row>
    <row r="7020">
      <c r="A7020">
        <f>IFERROR(INDEX('Email Cleaner'!$B$2:$B$10001,MATCH(7019,'Email Cleaner'!$H$2:$H$10001,0)),"")</f>
        <v/>
      </c>
    </row>
    <row r="7021">
      <c r="A7021">
        <f>IFERROR(INDEX('Email Cleaner'!$B$2:$B$10001,MATCH(7020,'Email Cleaner'!$H$2:$H$10001,0)),"")</f>
        <v/>
      </c>
    </row>
    <row r="7022">
      <c r="A7022">
        <f>IFERROR(INDEX('Email Cleaner'!$B$2:$B$10001,MATCH(7021,'Email Cleaner'!$H$2:$H$10001,0)),"")</f>
        <v/>
      </c>
    </row>
    <row r="7023">
      <c r="A7023">
        <f>IFERROR(INDEX('Email Cleaner'!$B$2:$B$10001,MATCH(7022,'Email Cleaner'!$H$2:$H$10001,0)),"")</f>
        <v/>
      </c>
    </row>
    <row r="7024">
      <c r="A7024">
        <f>IFERROR(INDEX('Email Cleaner'!$B$2:$B$10001,MATCH(7023,'Email Cleaner'!$H$2:$H$10001,0)),"")</f>
        <v/>
      </c>
    </row>
    <row r="7025">
      <c r="A7025">
        <f>IFERROR(INDEX('Email Cleaner'!$B$2:$B$10001,MATCH(7024,'Email Cleaner'!$H$2:$H$10001,0)),"")</f>
        <v/>
      </c>
    </row>
    <row r="7026">
      <c r="A7026">
        <f>IFERROR(INDEX('Email Cleaner'!$B$2:$B$10001,MATCH(7025,'Email Cleaner'!$H$2:$H$10001,0)),"")</f>
        <v/>
      </c>
    </row>
    <row r="7027">
      <c r="A7027">
        <f>IFERROR(INDEX('Email Cleaner'!$B$2:$B$10001,MATCH(7026,'Email Cleaner'!$H$2:$H$10001,0)),"")</f>
        <v/>
      </c>
    </row>
    <row r="7028">
      <c r="A7028">
        <f>IFERROR(INDEX('Email Cleaner'!$B$2:$B$10001,MATCH(7027,'Email Cleaner'!$H$2:$H$10001,0)),"")</f>
        <v/>
      </c>
    </row>
    <row r="7029">
      <c r="A7029">
        <f>IFERROR(INDEX('Email Cleaner'!$B$2:$B$10001,MATCH(7028,'Email Cleaner'!$H$2:$H$10001,0)),"")</f>
        <v/>
      </c>
    </row>
    <row r="7030">
      <c r="A7030">
        <f>IFERROR(INDEX('Email Cleaner'!$B$2:$B$10001,MATCH(7029,'Email Cleaner'!$H$2:$H$10001,0)),"")</f>
        <v/>
      </c>
    </row>
    <row r="7031">
      <c r="A7031">
        <f>IFERROR(INDEX('Email Cleaner'!$B$2:$B$10001,MATCH(7030,'Email Cleaner'!$H$2:$H$10001,0)),"")</f>
        <v/>
      </c>
    </row>
    <row r="7032">
      <c r="A7032">
        <f>IFERROR(INDEX('Email Cleaner'!$B$2:$B$10001,MATCH(7031,'Email Cleaner'!$H$2:$H$10001,0)),"")</f>
        <v/>
      </c>
    </row>
    <row r="7033">
      <c r="A7033">
        <f>IFERROR(INDEX('Email Cleaner'!$B$2:$B$10001,MATCH(7032,'Email Cleaner'!$H$2:$H$10001,0)),"")</f>
        <v/>
      </c>
    </row>
    <row r="7034">
      <c r="A7034">
        <f>IFERROR(INDEX('Email Cleaner'!$B$2:$B$10001,MATCH(7033,'Email Cleaner'!$H$2:$H$10001,0)),"")</f>
        <v/>
      </c>
    </row>
    <row r="7035">
      <c r="A7035">
        <f>IFERROR(INDEX('Email Cleaner'!$B$2:$B$10001,MATCH(7034,'Email Cleaner'!$H$2:$H$10001,0)),"")</f>
        <v/>
      </c>
    </row>
    <row r="7036">
      <c r="A7036">
        <f>IFERROR(INDEX('Email Cleaner'!$B$2:$B$10001,MATCH(7035,'Email Cleaner'!$H$2:$H$10001,0)),"")</f>
        <v/>
      </c>
    </row>
    <row r="7037">
      <c r="A7037">
        <f>IFERROR(INDEX('Email Cleaner'!$B$2:$B$10001,MATCH(7036,'Email Cleaner'!$H$2:$H$10001,0)),"")</f>
        <v/>
      </c>
    </row>
    <row r="7038">
      <c r="A7038">
        <f>IFERROR(INDEX('Email Cleaner'!$B$2:$B$10001,MATCH(7037,'Email Cleaner'!$H$2:$H$10001,0)),"")</f>
        <v/>
      </c>
    </row>
    <row r="7039">
      <c r="A7039">
        <f>IFERROR(INDEX('Email Cleaner'!$B$2:$B$10001,MATCH(7038,'Email Cleaner'!$H$2:$H$10001,0)),"")</f>
        <v/>
      </c>
    </row>
    <row r="7040">
      <c r="A7040">
        <f>IFERROR(INDEX('Email Cleaner'!$B$2:$B$10001,MATCH(7039,'Email Cleaner'!$H$2:$H$10001,0)),"")</f>
        <v/>
      </c>
    </row>
    <row r="7041">
      <c r="A7041">
        <f>IFERROR(INDEX('Email Cleaner'!$B$2:$B$10001,MATCH(7040,'Email Cleaner'!$H$2:$H$10001,0)),"")</f>
        <v/>
      </c>
    </row>
    <row r="7042">
      <c r="A7042">
        <f>IFERROR(INDEX('Email Cleaner'!$B$2:$B$10001,MATCH(7041,'Email Cleaner'!$H$2:$H$10001,0)),"")</f>
        <v/>
      </c>
    </row>
    <row r="7043">
      <c r="A7043">
        <f>IFERROR(INDEX('Email Cleaner'!$B$2:$B$10001,MATCH(7042,'Email Cleaner'!$H$2:$H$10001,0)),"")</f>
        <v/>
      </c>
    </row>
    <row r="7044">
      <c r="A7044">
        <f>IFERROR(INDEX('Email Cleaner'!$B$2:$B$10001,MATCH(7043,'Email Cleaner'!$H$2:$H$10001,0)),"")</f>
        <v/>
      </c>
    </row>
    <row r="7045">
      <c r="A7045">
        <f>IFERROR(INDEX('Email Cleaner'!$B$2:$B$10001,MATCH(7044,'Email Cleaner'!$H$2:$H$10001,0)),"")</f>
        <v/>
      </c>
    </row>
    <row r="7046">
      <c r="A7046">
        <f>IFERROR(INDEX('Email Cleaner'!$B$2:$B$10001,MATCH(7045,'Email Cleaner'!$H$2:$H$10001,0)),"")</f>
        <v/>
      </c>
    </row>
    <row r="7047">
      <c r="A7047">
        <f>IFERROR(INDEX('Email Cleaner'!$B$2:$B$10001,MATCH(7046,'Email Cleaner'!$H$2:$H$10001,0)),"")</f>
        <v/>
      </c>
    </row>
    <row r="7048">
      <c r="A7048">
        <f>IFERROR(INDEX('Email Cleaner'!$B$2:$B$10001,MATCH(7047,'Email Cleaner'!$H$2:$H$10001,0)),"")</f>
        <v/>
      </c>
    </row>
    <row r="7049">
      <c r="A7049">
        <f>IFERROR(INDEX('Email Cleaner'!$B$2:$B$10001,MATCH(7048,'Email Cleaner'!$H$2:$H$10001,0)),"")</f>
        <v/>
      </c>
    </row>
    <row r="7050">
      <c r="A7050">
        <f>IFERROR(INDEX('Email Cleaner'!$B$2:$B$10001,MATCH(7049,'Email Cleaner'!$H$2:$H$10001,0)),"")</f>
        <v/>
      </c>
    </row>
    <row r="7051">
      <c r="A7051">
        <f>IFERROR(INDEX('Email Cleaner'!$B$2:$B$10001,MATCH(7050,'Email Cleaner'!$H$2:$H$10001,0)),"")</f>
        <v/>
      </c>
    </row>
    <row r="7052">
      <c r="A7052">
        <f>IFERROR(INDEX('Email Cleaner'!$B$2:$B$10001,MATCH(7051,'Email Cleaner'!$H$2:$H$10001,0)),"")</f>
        <v/>
      </c>
    </row>
    <row r="7053">
      <c r="A7053">
        <f>IFERROR(INDEX('Email Cleaner'!$B$2:$B$10001,MATCH(7052,'Email Cleaner'!$H$2:$H$10001,0)),"")</f>
        <v/>
      </c>
    </row>
    <row r="7054">
      <c r="A7054">
        <f>IFERROR(INDEX('Email Cleaner'!$B$2:$B$10001,MATCH(7053,'Email Cleaner'!$H$2:$H$10001,0)),"")</f>
        <v/>
      </c>
    </row>
    <row r="7055">
      <c r="A7055">
        <f>IFERROR(INDEX('Email Cleaner'!$B$2:$B$10001,MATCH(7054,'Email Cleaner'!$H$2:$H$10001,0)),"")</f>
        <v/>
      </c>
    </row>
    <row r="7056">
      <c r="A7056">
        <f>IFERROR(INDEX('Email Cleaner'!$B$2:$B$10001,MATCH(7055,'Email Cleaner'!$H$2:$H$10001,0)),"")</f>
        <v/>
      </c>
    </row>
    <row r="7057">
      <c r="A7057">
        <f>IFERROR(INDEX('Email Cleaner'!$B$2:$B$10001,MATCH(7056,'Email Cleaner'!$H$2:$H$10001,0)),"")</f>
        <v/>
      </c>
    </row>
    <row r="7058">
      <c r="A7058">
        <f>IFERROR(INDEX('Email Cleaner'!$B$2:$B$10001,MATCH(7057,'Email Cleaner'!$H$2:$H$10001,0)),"")</f>
        <v/>
      </c>
    </row>
    <row r="7059">
      <c r="A7059">
        <f>IFERROR(INDEX('Email Cleaner'!$B$2:$B$10001,MATCH(7058,'Email Cleaner'!$H$2:$H$10001,0)),"")</f>
        <v/>
      </c>
    </row>
    <row r="7060">
      <c r="A7060">
        <f>IFERROR(INDEX('Email Cleaner'!$B$2:$B$10001,MATCH(7059,'Email Cleaner'!$H$2:$H$10001,0)),"")</f>
        <v/>
      </c>
    </row>
    <row r="7061">
      <c r="A7061">
        <f>IFERROR(INDEX('Email Cleaner'!$B$2:$B$10001,MATCH(7060,'Email Cleaner'!$H$2:$H$10001,0)),"")</f>
        <v/>
      </c>
    </row>
    <row r="7062">
      <c r="A7062">
        <f>IFERROR(INDEX('Email Cleaner'!$B$2:$B$10001,MATCH(7061,'Email Cleaner'!$H$2:$H$10001,0)),"")</f>
        <v/>
      </c>
    </row>
    <row r="7063">
      <c r="A7063">
        <f>IFERROR(INDEX('Email Cleaner'!$B$2:$B$10001,MATCH(7062,'Email Cleaner'!$H$2:$H$10001,0)),"")</f>
        <v/>
      </c>
    </row>
    <row r="7064">
      <c r="A7064">
        <f>IFERROR(INDEX('Email Cleaner'!$B$2:$B$10001,MATCH(7063,'Email Cleaner'!$H$2:$H$10001,0)),"")</f>
        <v/>
      </c>
    </row>
    <row r="7065">
      <c r="A7065">
        <f>IFERROR(INDEX('Email Cleaner'!$B$2:$B$10001,MATCH(7064,'Email Cleaner'!$H$2:$H$10001,0)),"")</f>
        <v/>
      </c>
    </row>
    <row r="7066">
      <c r="A7066">
        <f>IFERROR(INDEX('Email Cleaner'!$B$2:$B$10001,MATCH(7065,'Email Cleaner'!$H$2:$H$10001,0)),"")</f>
        <v/>
      </c>
    </row>
    <row r="7067">
      <c r="A7067">
        <f>IFERROR(INDEX('Email Cleaner'!$B$2:$B$10001,MATCH(7066,'Email Cleaner'!$H$2:$H$10001,0)),"")</f>
        <v/>
      </c>
    </row>
    <row r="7068">
      <c r="A7068">
        <f>IFERROR(INDEX('Email Cleaner'!$B$2:$B$10001,MATCH(7067,'Email Cleaner'!$H$2:$H$10001,0)),"")</f>
        <v/>
      </c>
    </row>
    <row r="7069">
      <c r="A7069">
        <f>IFERROR(INDEX('Email Cleaner'!$B$2:$B$10001,MATCH(7068,'Email Cleaner'!$H$2:$H$10001,0)),"")</f>
        <v/>
      </c>
    </row>
    <row r="7070">
      <c r="A7070">
        <f>IFERROR(INDEX('Email Cleaner'!$B$2:$B$10001,MATCH(7069,'Email Cleaner'!$H$2:$H$10001,0)),"")</f>
        <v/>
      </c>
    </row>
    <row r="7071">
      <c r="A7071">
        <f>IFERROR(INDEX('Email Cleaner'!$B$2:$B$10001,MATCH(7070,'Email Cleaner'!$H$2:$H$10001,0)),"")</f>
        <v/>
      </c>
    </row>
    <row r="7072">
      <c r="A7072">
        <f>IFERROR(INDEX('Email Cleaner'!$B$2:$B$10001,MATCH(7071,'Email Cleaner'!$H$2:$H$10001,0)),"")</f>
        <v/>
      </c>
    </row>
    <row r="7073">
      <c r="A7073">
        <f>IFERROR(INDEX('Email Cleaner'!$B$2:$B$10001,MATCH(7072,'Email Cleaner'!$H$2:$H$10001,0)),"")</f>
        <v/>
      </c>
    </row>
    <row r="7074">
      <c r="A7074">
        <f>IFERROR(INDEX('Email Cleaner'!$B$2:$B$10001,MATCH(7073,'Email Cleaner'!$H$2:$H$10001,0)),"")</f>
        <v/>
      </c>
    </row>
    <row r="7075">
      <c r="A7075">
        <f>IFERROR(INDEX('Email Cleaner'!$B$2:$B$10001,MATCH(7074,'Email Cleaner'!$H$2:$H$10001,0)),"")</f>
        <v/>
      </c>
    </row>
    <row r="7076">
      <c r="A7076">
        <f>IFERROR(INDEX('Email Cleaner'!$B$2:$B$10001,MATCH(7075,'Email Cleaner'!$H$2:$H$10001,0)),"")</f>
        <v/>
      </c>
    </row>
    <row r="7077">
      <c r="A7077">
        <f>IFERROR(INDEX('Email Cleaner'!$B$2:$B$10001,MATCH(7076,'Email Cleaner'!$H$2:$H$10001,0)),"")</f>
        <v/>
      </c>
    </row>
    <row r="7078">
      <c r="A7078">
        <f>IFERROR(INDEX('Email Cleaner'!$B$2:$B$10001,MATCH(7077,'Email Cleaner'!$H$2:$H$10001,0)),"")</f>
        <v/>
      </c>
    </row>
    <row r="7079">
      <c r="A7079">
        <f>IFERROR(INDEX('Email Cleaner'!$B$2:$B$10001,MATCH(7078,'Email Cleaner'!$H$2:$H$10001,0)),"")</f>
        <v/>
      </c>
    </row>
    <row r="7080">
      <c r="A7080">
        <f>IFERROR(INDEX('Email Cleaner'!$B$2:$B$10001,MATCH(7079,'Email Cleaner'!$H$2:$H$10001,0)),"")</f>
        <v/>
      </c>
    </row>
    <row r="7081">
      <c r="A7081">
        <f>IFERROR(INDEX('Email Cleaner'!$B$2:$B$10001,MATCH(7080,'Email Cleaner'!$H$2:$H$10001,0)),"")</f>
        <v/>
      </c>
    </row>
    <row r="7082">
      <c r="A7082">
        <f>IFERROR(INDEX('Email Cleaner'!$B$2:$B$10001,MATCH(7081,'Email Cleaner'!$H$2:$H$10001,0)),"")</f>
        <v/>
      </c>
    </row>
    <row r="7083">
      <c r="A7083">
        <f>IFERROR(INDEX('Email Cleaner'!$B$2:$B$10001,MATCH(7082,'Email Cleaner'!$H$2:$H$10001,0)),"")</f>
        <v/>
      </c>
    </row>
    <row r="7084">
      <c r="A7084">
        <f>IFERROR(INDEX('Email Cleaner'!$B$2:$B$10001,MATCH(7083,'Email Cleaner'!$H$2:$H$10001,0)),"")</f>
        <v/>
      </c>
    </row>
    <row r="7085">
      <c r="A7085">
        <f>IFERROR(INDEX('Email Cleaner'!$B$2:$B$10001,MATCH(7084,'Email Cleaner'!$H$2:$H$10001,0)),"")</f>
        <v/>
      </c>
    </row>
    <row r="7086">
      <c r="A7086">
        <f>IFERROR(INDEX('Email Cleaner'!$B$2:$B$10001,MATCH(7085,'Email Cleaner'!$H$2:$H$10001,0)),"")</f>
        <v/>
      </c>
    </row>
    <row r="7087">
      <c r="A7087">
        <f>IFERROR(INDEX('Email Cleaner'!$B$2:$B$10001,MATCH(7086,'Email Cleaner'!$H$2:$H$10001,0)),"")</f>
        <v/>
      </c>
    </row>
    <row r="7088">
      <c r="A7088">
        <f>IFERROR(INDEX('Email Cleaner'!$B$2:$B$10001,MATCH(7087,'Email Cleaner'!$H$2:$H$10001,0)),"")</f>
        <v/>
      </c>
    </row>
    <row r="7089">
      <c r="A7089">
        <f>IFERROR(INDEX('Email Cleaner'!$B$2:$B$10001,MATCH(7088,'Email Cleaner'!$H$2:$H$10001,0)),"")</f>
        <v/>
      </c>
    </row>
    <row r="7090">
      <c r="A7090">
        <f>IFERROR(INDEX('Email Cleaner'!$B$2:$B$10001,MATCH(7089,'Email Cleaner'!$H$2:$H$10001,0)),"")</f>
        <v/>
      </c>
    </row>
    <row r="7091">
      <c r="A7091">
        <f>IFERROR(INDEX('Email Cleaner'!$B$2:$B$10001,MATCH(7090,'Email Cleaner'!$H$2:$H$10001,0)),"")</f>
        <v/>
      </c>
    </row>
    <row r="7092">
      <c r="A7092">
        <f>IFERROR(INDEX('Email Cleaner'!$B$2:$B$10001,MATCH(7091,'Email Cleaner'!$H$2:$H$10001,0)),"")</f>
        <v/>
      </c>
    </row>
    <row r="7093">
      <c r="A7093">
        <f>IFERROR(INDEX('Email Cleaner'!$B$2:$B$10001,MATCH(7092,'Email Cleaner'!$H$2:$H$10001,0)),"")</f>
        <v/>
      </c>
    </row>
    <row r="7094">
      <c r="A7094">
        <f>IFERROR(INDEX('Email Cleaner'!$B$2:$B$10001,MATCH(7093,'Email Cleaner'!$H$2:$H$10001,0)),"")</f>
        <v/>
      </c>
    </row>
    <row r="7095">
      <c r="A7095">
        <f>IFERROR(INDEX('Email Cleaner'!$B$2:$B$10001,MATCH(7094,'Email Cleaner'!$H$2:$H$10001,0)),"")</f>
        <v/>
      </c>
    </row>
    <row r="7096">
      <c r="A7096">
        <f>IFERROR(INDEX('Email Cleaner'!$B$2:$B$10001,MATCH(7095,'Email Cleaner'!$H$2:$H$10001,0)),"")</f>
        <v/>
      </c>
    </row>
    <row r="7097">
      <c r="A7097">
        <f>IFERROR(INDEX('Email Cleaner'!$B$2:$B$10001,MATCH(7096,'Email Cleaner'!$H$2:$H$10001,0)),"")</f>
        <v/>
      </c>
    </row>
    <row r="7098">
      <c r="A7098">
        <f>IFERROR(INDEX('Email Cleaner'!$B$2:$B$10001,MATCH(7097,'Email Cleaner'!$H$2:$H$10001,0)),"")</f>
        <v/>
      </c>
    </row>
    <row r="7099">
      <c r="A7099">
        <f>IFERROR(INDEX('Email Cleaner'!$B$2:$B$10001,MATCH(7098,'Email Cleaner'!$H$2:$H$10001,0)),"")</f>
        <v/>
      </c>
    </row>
    <row r="7100">
      <c r="A7100">
        <f>IFERROR(INDEX('Email Cleaner'!$B$2:$B$10001,MATCH(7099,'Email Cleaner'!$H$2:$H$10001,0)),"")</f>
        <v/>
      </c>
    </row>
    <row r="7101">
      <c r="A7101">
        <f>IFERROR(INDEX('Email Cleaner'!$B$2:$B$10001,MATCH(7100,'Email Cleaner'!$H$2:$H$10001,0)),"")</f>
        <v/>
      </c>
    </row>
    <row r="7102">
      <c r="A7102">
        <f>IFERROR(INDEX('Email Cleaner'!$B$2:$B$10001,MATCH(7101,'Email Cleaner'!$H$2:$H$10001,0)),"")</f>
        <v/>
      </c>
    </row>
    <row r="7103">
      <c r="A7103">
        <f>IFERROR(INDEX('Email Cleaner'!$B$2:$B$10001,MATCH(7102,'Email Cleaner'!$H$2:$H$10001,0)),"")</f>
        <v/>
      </c>
    </row>
    <row r="7104">
      <c r="A7104">
        <f>IFERROR(INDEX('Email Cleaner'!$B$2:$B$10001,MATCH(7103,'Email Cleaner'!$H$2:$H$10001,0)),"")</f>
        <v/>
      </c>
    </row>
    <row r="7105">
      <c r="A7105">
        <f>IFERROR(INDEX('Email Cleaner'!$B$2:$B$10001,MATCH(7104,'Email Cleaner'!$H$2:$H$10001,0)),"")</f>
        <v/>
      </c>
    </row>
    <row r="7106">
      <c r="A7106">
        <f>IFERROR(INDEX('Email Cleaner'!$B$2:$B$10001,MATCH(7105,'Email Cleaner'!$H$2:$H$10001,0)),"")</f>
        <v/>
      </c>
    </row>
    <row r="7107">
      <c r="A7107">
        <f>IFERROR(INDEX('Email Cleaner'!$B$2:$B$10001,MATCH(7106,'Email Cleaner'!$H$2:$H$10001,0)),"")</f>
        <v/>
      </c>
    </row>
    <row r="7108">
      <c r="A7108">
        <f>IFERROR(INDEX('Email Cleaner'!$B$2:$B$10001,MATCH(7107,'Email Cleaner'!$H$2:$H$10001,0)),"")</f>
        <v/>
      </c>
    </row>
    <row r="7109">
      <c r="A7109">
        <f>IFERROR(INDEX('Email Cleaner'!$B$2:$B$10001,MATCH(7108,'Email Cleaner'!$H$2:$H$10001,0)),"")</f>
        <v/>
      </c>
    </row>
    <row r="7110">
      <c r="A7110">
        <f>IFERROR(INDEX('Email Cleaner'!$B$2:$B$10001,MATCH(7109,'Email Cleaner'!$H$2:$H$10001,0)),"")</f>
        <v/>
      </c>
    </row>
    <row r="7111">
      <c r="A7111">
        <f>IFERROR(INDEX('Email Cleaner'!$B$2:$B$10001,MATCH(7110,'Email Cleaner'!$H$2:$H$10001,0)),"")</f>
        <v/>
      </c>
    </row>
    <row r="7112">
      <c r="A7112">
        <f>IFERROR(INDEX('Email Cleaner'!$B$2:$B$10001,MATCH(7111,'Email Cleaner'!$H$2:$H$10001,0)),"")</f>
        <v/>
      </c>
    </row>
    <row r="7113">
      <c r="A7113">
        <f>IFERROR(INDEX('Email Cleaner'!$B$2:$B$10001,MATCH(7112,'Email Cleaner'!$H$2:$H$10001,0)),"")</f>
        <v/>
      </c>
    </row>
    <row r="7114">
      <c r="A7114">
        <f>IFERROR(INDEX('Email Cleaner'!$B$2:$B$10001,MATCH(7113,'Email Cleaner'!$H$2:$H$10001,0)),"")</f>
        <v/>
      </c>
    </row>
    <row r="7115">
      <c r="A7115">
        <f>IFERROR(INDEX('Email Cleaner'!$B$2:$B$10001,MATCH(7114,'Email Cleaner'!$H$2:$H$10001,0)),"")</f>
        <v/>
      </c>
    </row>
    <row r="7116">
      <c r="A7116">
        <f>IFERROR(INDEX('Email Cleaner'!$B$2:$B$10001,MATCH(7115,'Email Cleaner'!$H$2:$H$10001,0)),"")</f>
        <v/>
      </c>
    </row>
    <row r="7117">
      <c r="A7117">
        <f>IFERROR(INDEX('Email Cleaner'!$B$2:$B$10001,MATCH(7116,'Email Cleaner'!$H$2:$H$10001,0)),"")</f>
        <v/>
      </c>
    </row>
    <row r="7118">
      <c r="A7118">
        <f>IFERROR(INDEX('Email Cleaner'!$B$2:$B$10001,MATCH(7117,'Email Cleaner'!$H$2:$H$10001,0)),"")</f>
        <v/>
      </c>
    </row>
    <row r="7119">
      <c r="A7119">
        <f>IFERROR(INDEX('Email Cleaner'!$B$2:$B$10001,MATCH(7118,'Email Cleaner'!$H$2:$H$10001,0)),"")</f>
        <v/>
      </c>
    </row>
    <row r="7120">
      <c r="A7120">
        <f>IFERROR(INDEX('Email Cleaner'!$B$2:$B$10001,MATCH(7119,'Email Cleaner'!$H$2:$H$10001,0)),"")</f>
        <v/>
      </c>
    </row>
    <row r="7121">
      <c r="A7121">
        <f>IFERROR(INDEX('Email Cleaner'!$B$2:$B$10001,MATCH(7120,'Email Cleaner'!$H$2:$H$10001,0)),"")</f>
        <v/>
      </c>
    </row>
    <row r="7122">
      <c r="A7122">
        <f>IFERROR(INDEX('Email Cleaner'!$B$2:$B$10001,MATCH(7121,'Email Cleaner'!$H$2:$H$10001,0)),"")</f>
        <v/>
      </c>
    </row>
    <row r="7123">
      <c r="A7123">
        <f>IFERROR(INDEX('Email Cleaner'!$B$2:$B$10001,MATCH(7122,'Email Cleaner'!$H$2:$H$10001,0)),"")</f>
        <v/>
      </c>
    </row>
    <row r="7124">
      <c r="A7124">
        <f>IFERROR(INDEX('Email Cleaner'!$B$2:$B$10001,MATCH(7123,'Email Cleaner'!$H$2:$H$10001,0)),"")</f>
        <v/>
      </c>
    </row>
    <row r="7125">
      <c r="A7125">
        <f>IFERROR(INDEX('Email Cleaner'!$B$2:$B$10001,MATCH(7124,'Email Cleaner'!$H$2:$H$10001,0)),"")</f>
        <v/>
      </c>
    </row>
    <row r="7126">
      <c r="A7126">
        <f>IFERROR(INDEX('Email Cleaner'!$B$2:$B$10001,MATCH(7125,'Email Cleaner'!$H$2:$H$10001,0)),"")</f>
        <v/>
      </c>
    </row>
    <row r="7127">
      <c r="A7127">
        <f>IFERROR(INDEX('Email Cleaner'!$B$2:$B$10001,MATCH(7126,'Email Cleaner'!$H$2:$H$10001,0)),"")</f>
        <v/>
      </c>
    </row>
    <row r="7128">
      <c r="A7128">
        <f>IFERROR(INDEX('Email Cleaner'!$B$2:$B$10001,MATCH(7127,'Email Cleaner'!$H$2:$H$10001,0)),"")</f>
        <v/>
      </c>
    </row>
    <row r="7129">
      <c r="A7129">
        <f>IFERROR(INDEX('Email Cleaner'!$B$2:$B$10001,MATCH(7128,'Email Cleaner'!$H$2:$H$10001,0)),"")</f>
        <v/>
      </c>
    </row>
    <row r="7130">
      <c r="A7130">
        <f>IFERROR(INDEX('Email Cleaner'!$B$2:$B$10001,MATCH(7129,'Email Cleaner'!$H$2:$H$10001,0)),"")</f>
        <v/>
      </c>
    </row>
    <row r="7131">
      <c r="A7131">
        <f>IFERROR(INDEX('Email Cleaner'!$B$2:$B$10001,MATCH(7130,'Email Cleaner'!$H$2:$H$10001,0)),"")</f>
        <v/>
      </c>
    </row>
    <row r="7132">
      <c r="A7132">
        <f>IFERROR(INDEX('Email Cleaner'!$B$2:$B$10001,MATCH(7131,'Email Cleaner'!$H$2:$H$10001,0)),"")</f>
        <v/>
      </c>
    </row>
    <row r="7133">
      <c r="A7133">
        <f>IFERROR(INDEX('Email Cleaner'!$B$2:$B$10001,MATCH(7132,'Email Cleaner'!$H$2:$H$10001,0)),"")</f>
        <v/>
      </c>
    </row>
    <row r="7134">
      <c r="A7134">
        <f>IFERROR(INDEX('Email Cleaner'!$B$2:$B$10001,MATCH(7133,'Email Cleaner'!$H$2:$H$10001,0)),"")</f>
        <v/>
      </c>
    </row>
    <row r="7135">
      <c r="A7135">
        <f>IFERROR(INDEX('Email Cleaner'!$B$2:$B$10001,MATCH(7134,'Email Cleaner'!$H$2:$H$10001,0)),"")</f>
        <v/>
      </c>
    </row>
    <row r="7136">
      <c r="A7136">
        <f>IFERROR(INDEX('Email Cleaner'!$B$2:$B$10001,MATCH(7135,'Email Cleaner'!$H$2:$H$10001,0)),"")</f>
        <v/>
      </c>
    </row>
    <row r="7137">
      <c r="A7137">
        <f>IFERROR(INDEX('Email Cleaner'!$B$2:$B$10001,MATCH(7136,'Email Cleaner'!$H$2:$H$10001,0)),"")</f>
        <v/>
      </c>
    </row>
    <row r="7138">
      <c r="A7138">
        <f>IFERROR(INDEX('Email Cleaner'!$B$2:$B$10001,MATCH(7137,'Email Cleaner'!$H$2:$H$10001,0)),"")</f>
        <v/>
      </c>
    </row>
    <row r="7139">
      <c r="A7139">
        <f>IFERROR(INDEX('Email Cleaner'!$B$2:$B$10001,MATCH(7138,'Email Cleaner'!$H$2:$H$10001,0)),"")</f>
        <v/>
      </c>
    </row>
    <row r="7140">
      <c r="A7140">
        <f>IFERROR(INDEX('Email Cleaner'!$B$2:$B$10001,MATCH(7139,'Email Cleaner'!$H$2:$H$10001,0)),"")</f>
        <v/>
      </c>
    </row>
    <row r="7141">
      <c r="A7141">
        <f>IFERROR(INDEX('Email Cleaner'!$B$2:$B$10001,MATCH(7140,'Email Cleaner'!$H$2:$H$10001,0)),"")</f>
        <v/>
      </c>
    </row>
    <row r="7142">
      <c r="A7142">
        <f>IFERROR(INDEX('Email Cleaner'!$B$2:$B$10001,MATCH(7141,'Email Cleaner'!$H$2:$H$10001,0)),"")</f>
        <v/>
      </c>
    </row>
    <row r="7143">
      <c r="A7143">
        <f>IFERROR(INDEX('Email Cleaner'!$B$2:$B$10001,MATCH(7142,'Email Cleaner'!$H$2:$H$10001,0)),"")</f>
        <v/>
      </c>
    </row>
    <row r="7144">
      <c r="A7144">
        <f>IFERROR(INDEX('Email Cleaner'!$B$2:$B$10001,MATCH(7143,'Email Cleaner'!$H$2:$H$10001,0)),"")</f>
        <v/>
      </c>
    </row>
    <row r="7145">
      <c r="A7145">
        <f>IFERROR(INDEX('Email Cleaner'!$B$2:$B$10001,MATCH(7144,'Email Cleaner'!$H$2:$H$10001,0)),"")</f>
        <v/>
      </c>
    </row>
    <row r="7146">
      <c r="A7146">
        <f>IFERROR(INDEX('Email Cleaner'!$B$2:$B$10001,MATCH(7145,'Email Cleaner'!$H$2:$H$10001,0)),"")</f>
        <v/>
      </c>
    </row>
    <row r="7147">
      <c r="A7147">
        <f>IFERROR(INDEX('Email Cleaner'!$B$2:$B$10001,MATCH(7146,'Email Cleaner'!$H$2:$H$10001,0)),"")</f>
        <v/>
      </c>
    </row>
    <row r="7148">
      <c r="A7148">
        <f>IFERROR(INDEX('Email Cleaner'!$B$2:$B$10001,MATCH(7147,'Email Cleaner'!$H$2:$H$10001,0)),"")</f>
        <v/>
      </c>
    </row>
    <row r="7149">
      <c r="A7149">
        <f>IFERROR(INDEX('Email Cleaner'!$B$2:$B$10001,MATCH(7148,'Email Cleaner'!$H$2:$H$10001,0)),"")</f>
        <v/>
      </c>
    </row>
    <row r="7150">
      <c r="A7150">
        <f>IFERROR(INDEX('Email Cleaner'!$B$2:$B$10001,MATCH(7149,'Email Cleaner'!$H$2:$H$10001,0)),"")</f>
        <v/>
      </c>
    </row>
    <row r="7151">
      <c r="A7151">
        <f>IFERROR(INDEX('Email Cleaner'!$B$2:$B$10001,MATCH(7150,'Email Cleaner'!$H$2:$H$10001,0)),"")</f>
        <v/>
      </c>
    </row>
    <row r="7152">
      <c r="A7152">
        <f>IFERROR(INDEX('Email Cleaner'!$B$2:$B$10001,MATCH(7151,'Email Cleaner'!$H$2:$H$10001,0)),"")</f>
        <v/>
      </c>
    </row>
    <row r="7153">
      <c r="A7153">
        <f>IFERROR(INDEX('Email Cleaner'!$B$2:$B$10001,MATCH(7152,'Email Cleaner'!$H$2:$H$10001,0)),"")</f>
        <v/>
      </c>
    </row>
    <row r="7154">
      <c r="A7154">
        <f>IFERROR(INDEX('Email Cleaner'!$B$2:$B$10001,MATCH(7153,'Email Cleaner'!$H$2:$H$10001,0)),"")</f>
        <v/>
      </c>
    </row>
    <row r="7155">
      <c r="A7155">
        <f>IFERROR(INDEX('Email Cleaner'!$B$2:$B$10001,MATCH(7154,'Email Cleaner'!$H$2:$H$10001,0)),"")</f>
        <v/>
      </c>
    </row>
    <row r="7156">
      <c r="A7156">
        <f>IFERROR(INDEX('Email Cleaner'!$B$2:$B$10001,MATCH(7155,'Email Cleaner'!$H$2:$H$10001,0)),"")</f>
        <v/>
      </c>
    </row>
    <row r="7157">
      <c r="A7157">
        <f>IFERROR(INDEX('Email Cleaner'!$B$2:$B$10001,MATCH(7156,'Email Cleaner'!$H$2:$H$10001,0)),"")</f>
        <v/>
      </c>
    </row>
    <row r="7158">
      <c r="A7158">
        <f>IFERROR(INDEX('Email Cleaner'!$B$2:$B$10001,MATCH(7157,'Email Cleaner'!$H$2:$H$10001,0)),"")</f>
        <v/>
      </c>
    </row>
    <row r="7159">
      <c r="A7159">
        <f>IFERROR(INDEX('Email Cleaner'!$B$2:$B$10001,MATCH(7158,'Email Cleaner'!$H$2:$H$10001,0)),"")</f>
        <v/>
      </c>
    </row>
    <row r="7160">
      <c r="A7160">
        <f>IFERROR(INDEX('Email Cleaner'!$B$2:$B$10001,MATCH(7159,'Email Cleaner'!$H$2:$H$10001,0)),"")</f>
        <v/>
      </c>
    </row>
    <row r="7161">
      <c r="A7161">
        <f>IFERROR(INDEX('Email Cleaner'!$B$2:$B$10001,MATCH(7160,'Email Cleaner'!$H$2:$H$10001,0)),"")</f>
        <v/>
      </c>
    </row>
    <row r="7162">
      <c r="A7162">
        <f>IFERROR(INDEX('Email Cleaner'!$B$2:$B$10001,MATCH(7161,'Email Cleaner'!$H$2:$H$10001,0)),"")</f>
        <v/>
      </c>
    </row>
    <row r="7163">
      <c r="A7163">
        <f>IFERROR(INDEX('Email Cleaner'!$B$2:$B$10001,MATCH(7162,'Email Cleaner'!$H$2:$H$10001,0)),"")</f>
        <v/>
      </c>
    </row>
    <row r="7164">
      <c r="A7164">
        <f>IFERROR(INDEX('Email Cleaner'!$B$2:$B$10001,MATCH(7163,'Email Cleaner'!$H$2:$H$10001,0)),"")</f>
        <v/>
      </c>
    </row>
    <row r="7165">
      <c r="A7165">
        <f>IFERROR(INDEX('Email Cleaner'!$B$2:$B$10001,MATCH(7164,'Email Cleaner'!$H$2:$H$10001,0)),"")</f>
        <v/>
      </c>
    </row>
    <row r="7166">
      <c r="A7166">
        <f>IFERROR(INDEX('Email Cleaner'!$B$2:$B$10001,MATCH(7165,'Email Cleaner'!$H$2:$H$10001,0)),"")</f>
        <v/>
      </c>
    </row>
    <row r="7167">
      <c r="A7167">
        <f>IFERROR(INDEX('Email Cleaner'!$B$2:$B$10001,MATCH(7166,'Email Cleaner'!$H$2:$H$10001,0)),"")</f>
        <v/>
      </c>
    </row>
    <row r="7168">
      <c r="A7168">
        <f>IFERROR(INDEX('Email Cleaner'!$B$2:$B$10001,MATCH(7167,'Email Cleaner'!$H$2:$H$10001,0)),"")</f>
        <v/>
      </c>
    </row>
    <row r="7169">
      <c r="A7169">
        <f>IFERROR(INDEX('Email Cleaner'!$B$2:$B$10001,MATCH(7168,'Email Cleaner'!$H$2:$H$10001,0)),"")</f>
        <v/>
      </c>
    </row>
    <row r="7170">
      <c r="A7170">
        <f>IFERROR(INDEX('Email Cleaner'!$B$2:$B$10001,MATCH(7169,'Email Cleaner'!$H$2:$H$10001,0)),"")</f>
        <v/>
      </c>
    </row>
    <row r="7171">
      <c r="A7171">
        <f>IFERROR(INDEX('Email Cleaner'!$B$2:$B$10001,MATCH(7170,'Email Cleaner'!$H$2:$H$10001,0)),"")</f>
        <v/>
      </c>
    </row>
    <row r="7172">
      <c r="A7172">
        <f>IFERROR(INDEX('Email Cleaner'!$B$2:$B$10001,MATCH(7171,'Email Cleaner'!$H$2:$H$10001,0)),"")</f>
        <v/>
      </c>
    </row>
    <row r="7173">
      <c r="A7173">
        <f>IFERROR(INDEX('Email Cleaner'!$B$2:$B$10001,MATCH(7172,'Email Cleaner'!$H$2:$H$10001,0)),"")</f>
        <v/>
      </c>
    </row>
    <row r="7174">
      <c r="A7174">
        <f>IFERROR(INDEX('Email Cleaner'!$B$2:$B$10001,MATCH(7173,'Email Cleaner'!$H$2:$H$10001,0)),"")</f>
        <v/>
      </c>
    </row>
    <row r="7175">
      <c r="A7175">
        <f>IFERROR(INDEX('Email Cleaner'!$B$2:$B$10001,MATCH(7174,'Email Cleaner'!$H$2:$H$10001,0)),"")</f>
        <v/>
      </c>
    </row>
    <row r="7176">
      <c r="A7176">
        <f>IFERROR(INDEX('Email Cleaner'!$B$2:$B$10001,MATCH(7175,'Email Cleaner'!$H$2:$H$10001,0)),"")</f>
        <v/>
      </c>
    </row>
    <row r="7177">
      <c r="A7177">
        <f>IFERROR(INDEX('Email Cleaner'!$B$2:$B$10001,MATCH(7176,'Email Cleaner'!$H$2:$H$10001,0)),"")</f>
        <v/>
      </c>
    </row>
    <row r="7178">
      <c r="A7178">
        <f>IFERROR(INDEX('Email Cleaner'!$B$2:$B$10001,MATCH(7177,'Email Cleaner'!$H$2:$H$10001,0)),"")</f>
        <v/>
      </c>
    </row>
    <row r="7179">
      <c r="A7179">
        <f>IFERROR(INDEX('Email Cleaner'!$B$2:$B$10001,MATCH(7178,'Email Cleaner'!$H$2:$H$10001,0)),"")</f>
        <v/>
      </c>
    </row>
    <row r="7180">
      <c r="A7180">
        <f>IFERROR(INDEX('Email Cleaner'!$B$2:$B$10001,MATCH(7179,'Email Cleaner'!$H$2:$H$10001,0)),"")</f>
        <v/>
      </c>
    </row>
    <row r="7181">
      <c r="A7181">
        <f>IFERROR(INDEX('Email Cleaner'!$B$2:$B$10001,MATCH(7180,'Email Cleaner'!$H$2:$H$10001,0)),"")</f>
        <v/>
      </c>
    </row>
    <row r="7182">
      <c r="A7182">
        <f>IFERROR(INDEX('Email Cleaner'!$B$2:$B$10001,MATCH(7181,'Email Cleaner'!$H$2:$H$10001,0)),"")</f>
        <v/>
      </c>
    </row>
    <row r="7183">
      <c r="A7183">
        <f>IFERROR(INDEX('Email Cleaner'!$B$2:$B$10001,MATCH(7182,'Email Cleaner'!$H$2:$H$10001,0)),"")</f>
        <v/>
      </c>
    </row>
    <row r="7184">
      <c r="A7184">
        <f>IFERROR(INDEX('Email Cleaner'!$B$2:$B$10001,MATCH(7183,'Email Cleaner'!$H$2:$H$10001,0)),"")</f>
        <v/>
      </c>
    </row>
    <row r="7185">
      <c r="A7185">
        <f>IFERROR(INDEX('Email Cleaner'!$B$2:$B$10001,MATCH(7184,'Email Cleaner'!$H$2:$H$10001,0)),"")</f>
        <v/>
      </c>
    </row>
    <row r="7186">
      <c r="A7186">
        <f>IFERROR(INDEX('Email Cleaner'!$B$2:$B$10001,MATCH(7185,'Email Cleaner'!$H$2:$H$10001,0)),"")</f>
        <v/>
      </c>
    </row>
    <row r="7187">
      <c r="A7187">
        <f>IFERROR(INDEX('Email Cleaner'!$B$2:$B$10001,MATCH(7186,'Email Cleaner'!$H$2:$H$10001,0)),"")</f>
        <v/>
      </c>
    </row>
    <row r="7188">
      <c r="A7188">
        <f>IFERROR(INDEX('Email Cleaner'!$B$2:$B$10001,MATCH(7187,'Email Cleaner'!$H$2:$H$10001,0)),"")</f>
        <v/>
      </c>
    </row>
    <row r="7189">
      <c r="A7189">
        <f>IFERROR(INDEX('Email Cleaner'!$B$2:$B$10001,MATCH(7188,'Email Cleaner'!$H$2:$H$10001,0)),"")</f>
        <v/>
      </c>
    </row>
    <row r="7190">
      <c r="A7190">
        <f>IFERROR(INDEX('Email Cleaner'!$B$2:$B$10001,MATCH(7189,'Email Cleaner'!$H$2:$H$10001,0)),"")</f>
        <v/>
      </c>
    </row>
    <row r="7191">
      <c r="A7191">
        <f>IFERROR(INDEX('Email Cleaner'!$B$2:$B$10001,MATCH(7190,'Email Cleaner'!$H$2:$H$10001,0)),"")</f>
        <v/>
      </c>
    </row>
    <row r="7192">
      <c r="A7192">
        <f>IFERROR(INDEX('Email Cleaner'!$B$2:$B$10001,MATCH(7191,'Email Cleaner'!$H$2:$H$10001,0)),"")</f>
        <v/>
      </c>
    </row>
    <row r="7193">
      <c r="A7193">
        <f>IFERROR(INDEX('Email Cleaner'!$B$2:$B$10001,MATCH(7192,'Email Cleaner'!$H$2:$H$10001,0)),"")</f>
        <v/>
      </c>
    </row>
    <row r="7194">
      <c r="A7194">
        <f>IFERROR(INDEX('Email Cleaner'!$B$2:$B$10001,MATCH(7193,'Email Cleaner'!$H$2:$H$10001,0)),"")</f>
        <v/>
      </c>
    </row>
    <row r="7195">
      <c r="A7195">
        <f>IFERROR(INDEX('Email Cleaner'!$B$2:$B$10001,MATCH(7194,'Email Cleaner'!$H$2:$H$10001,0)),"")</f>
        <v/>
      </c>
    </row>
    <row r="7196">
      <c r="A7196">
        <f>IFERROR(INDEX('Email Cleaner'!$B$2:$B$10001,MATCH(7195,'Email Cleaner'!$H$2:$H$10001,0)),"")</f>
        <v/>
      </c>
    </row>
    <row r="7197">
      <c r="A7197">
        <f>IFERROR(INDEX('Email Cleaner'!$B$2:$B$10001,MATCH(7196,'Email Cleaner'!$H$2:$H$10001,0)),"")</f>
        <v/>
      </c>
    </row>
    <row r="7198">
      <c r="A7198">
        <f>IFERROR(INDEX('Email Cleaner'!$B$2:$B$10001,MATCH(7197,'Email Cleaner'!$H$2:$H$10001,0)),"")</f>
        <v/>
      </c>
    </row>
    <row r="7199">
      <c r="A7199">
        <f>IFERROR(INDEX('Email Cleaner'!$B$2:$B$10001,MATCH(7198,'Email Cleaner'!$H$2:$H$10001,0)),"")</f>
        <v/>
      </c>
    </row>
    <row r="7200">
      <c r="A7200">
        <f>IFERROR(INDEX('Email Cleaner'!$B$2:$B$10001,MATCH(7199,'Email Cleaner'!$H$2:$H$10001,0)),"")</f>
        <v/>
      </c>
    </row>
    <row r="7201">
      <c r="A7201">
        <f>IFERROR(INDEX('Email Cleaner'!$B$2:$B$10001,MATCH(7200,'Email Cleaner'!$H$2:$H$10001,0)),"")</f>
        <v/>
      </c>
    </row>
    <row r="7202">
      <c r="A7202">
        <f>IFERROR(INDEX('Email Cleaner'!$B$2:$B$10001,MATCH(7201,'Email Cleaner'!$H$2:$H$10001,0)),"")</f>
        <v/>
      </c>
    </row>
    <row r="7203">
      <c r="A7203">
        <f>IFERROR(INDEX('Email Cleaner'!$B$2:$B$10001,MATCH(7202,'Email Cleaner'!$H$2:$H$10001,0)),"")</f>
        <v/>
      </c>
    </row>
    <row r="7204">
      <c r="A7204">
        <f>IFERROR(INDEX('Email Cleaner'!$B$2:$B$10001,MATCH(7203,'Email Cleaner'!$H$2:$H$10001,0)),"")</f>
        <v/>
      </c>
    </row>
    <row r="7205">
      <c r="A7205">
        <f>IFERROR(INDEX('Email Cleaner'!$B$2:$B$10001,MATCH(7204,'Email Cleaner'!$H$2:$H$10001,0)),"")</f>
        <v/>
      </c>
    </row>
    <row r="7206">
      <c r="A7206">
        <f>IFERROR(INDEX('Email Cleaner'!$B$2:$B$10001,MATCH(7205,'Email Cleaner'!$H$2:$H$10001,0)),"")</f>
        <v/>
      </c>
    </row>
    <row r="7207">
      <c r="A7207">
        <f>IFERROR(INDEX('Email Cleaner'!$B$2:$B$10001,MATCH(7206,'Email Cleaner'!$H$2:$H$10001,0)),"")</f>
        <v/>
      </c>
    </row>
    <row r="7208">
      <c r="A7208">
        <f>IFERROR(INDEX('Email Cleaner'!$B$2:$B$10001,MATCH(7207,'Email Cleaner'!$H$2:$H$10001,0)),"")</f>
        <v/>
      </c>
    </row>
    <row r="7209">
      <c r="A7209">
        <f>IFERROR(INDEX('Email Cleaner'!$B$2:$B$10001,MATCH(7208,'Email Cleaner'!$H$2:$H$10001,0)),"")</f>
        <v/>
      </c>
    </row>
    <row r="7210">
      <c r="A7210">
        <f>IFERROR(INDEX('Email Cleaner'!$B$2:$B$10001,MATCH(7209,'Email Cleaner'!$H$2:$H$10001,0)),"")</f>
        <v/>
      </c>
    </row>
    <row r="7211">
      <c r="A7211">
        <f>IFERROR(INDEX('Email Cleaner'!$B$2:$B$10001,MATCH(7210,'Email Cleaner'!$H$2:$H$10001,0)),"")</f>
        <v/>
      </c>
    </row>
    <row r="7212">
      <c r="A7212">
        <f>IFERROR(INDEX('Email Cleaner'!$B$2:$B$10001,MATCH(7211,'Email Cleaner'!$H$2:$H$10001,0)),"")</f>
        <v/>
      </c>
    </row>
    <row r="7213">
      <c r="A7213">
        <f>IFERROR(INDEX('Email Cleaner'!$B$2:$B$10001,MATCH(7212,'Email Cleaner'!$H$2:$H$10001,0)),"")</f>
        <v/>
      </c>
    </row>
    <row r="7214">
      <c r="A7214">
        <f>IFERROR(INDEX('Email Cleaner'!$B$2:$B$10001,MATCH(7213,'Email Cleaner'!$H$2:$H$10001,0)),"")</f>
        <v/>
      </c>
    </row>
    <row r="7215">
      <c r="A7215">
        <f>IFERROR(INDEX('Email Cleaner'!$B$2:$B$10001,MATCH(7214,'Email Cleaner'!$H$2:$H$10001,0)),"")</f>
        <v/>
      </c>
    </row>
    <row r="7216">
      <c r="A7216">
        <f>IFERROR(INDEX('Email Cleaner'!$B$2:$B$10001,MATCH(7215,'Email Cleaner'!$H$2:$H$10001,0)),"")</f>
        <v/>
      </c>
    </row>
    <row r="7217">
      <c r="A7217">
        <f>IFERROR(INDEX('Email Cleaner'!$B$2:$B$10001,MATCH(7216,'Email Cleaner'!$H$2:$H$10001,0)),"")</f>
        <v/>
      </c>
    </row>
    <row r="7218">
      <c r="A7218">
        <f>IFERROR(INDEX('Email Cleaner'!$B$2:$B$10001,MATCH(7217,'Email Cleaner'!$H$2:$H$10001,0)),"")</f>
        <v/>
      </c>
    </row>
    <row r="7219">
      <c r="A7219">
        <f>IFERROR(INDEX('Email Cleaner'!$B$2:$B$10001,MATCH(7218,'Email Cleaner'!$H$2:$H$10001,0)),"")</f>
        <v/>
      </c>
    </row>
    <row r="7220">
      <c r="A7220">
        <f>IFERROR(INDEX('Email Cleaner'!$B$2:$B$10001,MATCH(7219,'Email Cleaner'!$H$2:$H$10001,0)),"")</f>
        <v/>
      </c>
    </row>
    <row r="7221">
      <c r="A7221">
        <f>IFERROR(INDEX('Email Cleaner'!$B$2:$B$10001,MATCH(7220,'Email Cleaner'!$H$2:$H$10001,0)),"")</f>
        <v/>
      </c>
    </row>
    <row r="7222">
      <c r="A7222">
        <f>IFERROR(INDEX('Email Cleaner'!$B$2:$B$10001,MATCH(7221,'Email Cleaner'!$H$2:$H$10001,0)),"")</f>
        <v/>
      </c>
    </row>
    <row r="7223">
      <c r="A7223">
        <f>IFERROR(INDEX('Email Cleaner'!$B$2:$B$10001,MATCH(7222,'Email Cleaner'!$H$2:$H$10001,0)),"")</f>
        <v/>
      </c>
    </row>
    <row r="7224">
      <c r="A7224">
        <f>IFERROR(INDEX('Email Cleaner'!$B$2:$B$10001,MATCH(7223,'Email Cleaner'!$H$2:$H$10001,0)),"")</f>
        <v/>
      </c>
    </row>
    <row r="7225">
      <c r="A7225">
        <f>IFERROR(INDEX('Email Cleaner'!$B$2:$B$10001,MATCH(7224,'Email Cleaner'!$H$2:$H$10001,0)),"")</f>
        <v/>
      </c>
    </row>
    <row r="7226">
      <c r="A7226">
        <f>IFERROR(INDEX('Email Cleaner'!$B$2:$B$10001,MATCH(7225,'Email Cleaner'!$H$2:$H$10001,0)),"")</f>
        <v/>
      </c>
    </row>
    <row r="7227">
      <c r="A7227">
        <f>IFERROR(INDEX('Email Cleaner'!$B$2:$B$10001,MATCH(7226,'Email Cleaner'!$H$2:$H$10001,0)),"")</f>
        <v/>
      </c>
    </row>
    <row r="7228">
      <c r="A7228">
        <f>IFERROR(INDEX('Email Cleaner'!$B$2:$B$10001,MATCH(7227,'Email Cleaner'!$H$2:$H$10001,0)),"")</f>
        <v/>
      </c>
    </row>
    <row r="7229">
      <c r="A7229">
        <f>IFERROR(INDEX('Email Cleaner'!$B$2:$B$10001,MATCH(7228,'Email Cleaner'!$H$2:$H$10001,0)),"")</f>
        <v/>
      </c>
    </row>
    <row r="7230">
      <c r="A7230">
        <f>IFERROR(INDEX('Email Cleaner'!$B$2:$B$10001,MATCH(7229,'Email Cleaner'!$H$2:$H$10001,0)),"")</f>
        <v/>
      </c>
    </row>
    <row r="7231">
      <c r="A7231">
        <f>IFERROR(INDEX('Email Cleaner'!$B$2:$B$10001,MATCH(7230,'Email Cleaner'!$H$2:$H$10001,0)),"")</f>
        <v/>
      </c>
    </row>
    <row r="7232">
      <c r="A7232">
        <f>IFERROR(INDEX('Email Cleaner'!$B$2:$B$10001,MATCH(7231,'Email Cleaner'!$H$2:$H$10001,0)),"")</f>
        <v/>
      </c>
    </row>
    <row r="7233">
      <c r="A7233">
        <f>IFERROR(INDEX('Email Cleaner'!$B$2:$B$10001,MATCH(7232,'Email Cleaner'!$H$2:$H$10001,0)),"")</f>
        <v/>
      </c>
    </row>
    <row r="7234">
      <c r="A7234">
        <f>IFERROR(INDEX('Email Cleaner'!$B$2:$B$10001,MATCH(7233,'Email Cleaner'!$H$2:$H$10001,0)),"")</f>
        <v/>
      </c>
    </row>
    <row r="7235">
      <c r="A7235">
        <f>IFERROR(INDEX('Email Cleaner'!$B$2:$B$10001,MATCH(7234,'Email Cleaner'!$H$2:$H$10001,0)),"")</f>
        <v/>
      </c>
    </row>
    <row r="7236">
      <c r="A7236">
        <f>IFERROR(INDEX('Email Cleaner'!$B$2:$B$10001,MATCH(7235,'Email Cleaner'!$H$2:$H$10001,0)),"")</f>
        <v/>
      </c>
    </row>
    <row r="7237">
      <c r="A7237">
        <f>IFERROR(INDEX('Email Cleaner'!$B$2:$B$10001,MATCH(7236,'Email Cleaner'!$H$2:$H$10001,0)),"")</f>
        <v/>
      </c>
    </row>
    <row r="7238">
      <c r="A7238">
        <f>IFERROR(INDEX('Email Cleaner'!$B$2:$B$10001,MATCH(7237,'Email Cleaner'!$H$2:$H$10001,0)),"")</f>
        <v/>
      </c>
    </row>
    <row r="7239">
      <c r="A7239">
        <f>IFERROR(INDEX('Email Cleaner'!$B$2:$B$10001,MATCH(7238,'Email Cleaner'!$H$2:$H$10001,0)),"")</f>
        <v/>
      </c>
    </row>
    <row r="7240">
      <c r="A7240">
        <f>IFERROR(INDEX('Email Cleaner'!$B$2:$B$10001,MATCH(7239,'Email Cleaner'!$H$2:$H$10001,0)),"")</f>
        <v/>
      </c>
    </row>
    <row r="7241">
      <c r="A7241">
        <f>IFERROR(INDEX('Email Cleaner'!$B$2:$B$10001,MATCH(7240,'Email Cleaner'!$H$2:$H$10001,0)),"")</f>
        <v/>
      </c>
    </row>
    <row r="7242">
      <c r="A7242">
        <f>IFERROR(INDEX('Email Cleaner'!$B$2:$B$10001,MATCH(7241,'Email Cleaner'!$H$2:$H$10001,0)),"")</f>
        <v/>
      </c>
    </row>
    <row r="7243">
      <c r="A7243">
        <f>IFERROR(INDEX('Email Cleaner'!$B$2:$B$10001,MATCH(7242,'Email Cleaner'!$H$2:$H$10001,0)),"")</f>
        <v/>
      </c>
    </row>
    <row r="7244">
      <c r="A7244">
        <f>IFERROR(INDEX('Email Cleaner'!$B$2:$B$10001,MATCH(7243,'Email Cleaner'!$H$2:$H$10001,0)),"")</f>
        <v/>
      </c>
    </row>
    <row r="7245">
      <c r="A7245">
        <f>IFERROR(INDEX('Email Cleaner'!$B$2:$B$10001,MATCH(7244,'Email Cleaner'!$H$2:$H$10001,0)),"")</f>
        <v/>
      </c>
    </row>
    <row r="7246">
      <c r="A7246">
        <f>IFERROR(INDEX('Email Cleaner'!$B$2:$B$10001,MATCH(7245,'Email Cleaner'!$H$2:$H$10001,0)),"")</f>
        <v/>
      </c>
    </row>
    <row r="7247">
      <c r="A7247">
        <f>IFERROR(INDEX('Email Cleaner'!$B$2:$B$10001,MATCH(7246,'Email Cleaner'!$H$2:$H$10001,0)),"")</f>
        <v/>
      </c>
    </row>
    <row r="7248">
      <c r="A7248">
        <f>IFERROR(INDEX('Email Cleaner'!$B$2:$B$10001,MATCH(7247,'Email Cleaner'!$H$2:$H$10001,0)),"")</f>
        <v/>
      </c>
    </row>
    <row r="7249">
      <c r="A7249">
        <f>IFERROR(INDEX('Email Cleaner'!$B$2:$B$10001,MATCH(7248,'Email Cleaner'!$H$2:$H$10001,0)),"")</f>
        <v/>
      </c>
    </row>
    <row r="7250">
      <c r="A7250">
        <f>IFERROR(INDEX('Email Cleaner'!$B$2:$B$10001,MATCH(7249,'Email Cleaner'!$H$2:$H$10001,0)),"")</f>
        <v/>
      </c>
    </row>
    <row r="7251">
      <c r="A7251">
        <f>IFERROR(INDEX('Email Cleaner'!$B$2:$B$10001,MATCH(7250,'Email Cleaner'!$H$2:$H$10001,0)),"")</f>
        <v/>
      </c>
    </row>
    <row r="7252">
      <c r="A7252">
        <f>IFERROR(INDEX('Email Cleaner'!$B$2:$B$10001,MATCH(7251,'Email Cleaner'!$H$2:$H$10001,0)),"")</f>
        <v/>
      </c>
    </row>
    <row r="7253">
      <c r="A7253">
        <f>IFERROR(INDEX('Email Cleaner'!$B$2:$B$10001,MATCH(7252,'Email Cleaner'!$H$2:$H$10001,0)),"")</f>
        <v/>
      </c>
    </row>
    <row r="7254">
      <c r="A7254">
        <f>IFERROR(INDEX('Email Cleaner'!$B$2:$B$10001,MATCH(7253,'Email Cleaner'!$H$2:$H$10001,0)),"")</f>
        <v/>
      </c>
    </row>
    <row r="7255">
      <c r="A7255">
        <f>IFERROR(INDEX('Email Cleaner'!$B$2:$B$10001,MATCH(7254,'Email Cleaner'!$H$2:$H$10001,0)),"")</f>
        <v/>
      </c>
    </row>
    <row r="7256">
      <c r="A7256">
        <f>IFERROR(INDEX('Email Cleaner'!$B$2:$B$10001,MATCH(7255,'Email Cleaner'!$H$2:$H$10001,0)),"")</f>
        <v/>
      </c>
    </row>
    <row r="7257">
      <c r="A7257">
        <f>IFERROR(INDEX('Email Cleaner'!$B$2:$B$10001,MATCH(7256,'Email Cleaner'!$H$2:$H$10001,0)),"")</f>
        <v/>
      </c>
    </row>
    <row r="7258">
      <c r="A7258">
        <f>IFERROR(INDEX('Email Cleaner'!$B$2:$B$10001,MATCH(7257,'Email Cleaner'!$H$2:$H$10001,0)),"")</f>
        <v/>
      </c>
    </row>
    <row r="7259">
      <c r="A7259">
        <f>IFERROR(INDEX('Email Cleaner'!$B$2:$B$10001,MATCH(7258,'Email Cleaner'!$H$2:$H$10001,0)),"")</f>
        <v/>
      </c>
    </row>
    <row r="7260">
      <c r="A7260">
        <f>IFERROR(INDEX('Email Cleaner'!$B$2:$B$10001,MATCH(7259,'Email Cleaner'!$H$2:$H$10001,0)),"")</f>
        <v/>
      </c>
    </row>
    <row r="7261">
      <c r="A7261">
        <f>IFERROR(INDEX('Email Cleaner'!$B$2:$B$10001,MATCH(7260,'Email Cleaner'!$H$2:$H$10001,0)),"")</f>
        <v/>
      </c>
    </row>
    <row r="7262">
      <c r="A7262">
        <f>IFERROR(INDEX('Email Cleaner'!$B$2:$B$10001,MATCH(7261,'Email Cleaner'!$H$2:$H$10001,0)),"")</f>
        <v/>
      </c>
    </row>
    <row r="7263">
      <c r="A7263">
        <f>IFERROR(INDEX('Email Cleaner'!$B$2:$B$10001,MATCH(7262,'Email Cleaner'!$H$2:$H$10001,0)),"")</f>
        <v/>
      </c>
    </row>
    <row r="7264">
      <c r="A7264">
        <f>IFERROR(INDEX('Email Cleaner'!$B$2:$B$10001,MATCH(7263,'Email Cleaner'!$H$2:$H$10001,0)),"")</f>
        <v/>
      </c>
    </row>
    <row r="7265">
      <c r="A7265">
        <f>IFERROR(INDEX('Email Cleaner'!$B$2:$B$10001,MATCH(7264,'Email Cleaner'!$H$2:$H$10001,0)),"")</f>
        <v/>
      </c>
    </row>
    <row r="7266">
      <c r="A7266">
        <f>IFERROR(INDEX('Email Cleaner'!$B$2:$B$10001,MATCH(7265,'Email Cleaner'!$H$2:$H$10001,0)),"")</f>
        <v/>
      </c>
    </row>
    <row r="7267">
      <c r="A7267">
        <f>IFERROR(INDEX('Email Cleaner'!$B$2:$B$10001,MATCH(7266,'Email Cleaner'!$H$2:$H$10001,0)),"")</f>
        <v/>
      </c>
    </row>
    <row r="7268">
      <c r="A7268">
        <f>IFERROR(INDEX('Email Cleaner'!$B$2:$B$10001,MATCH(7267,'Email Cleaner'!$H$2:$H$10001,0)),"")</f>
        <v/>
      </c>
    </row>
    <row r="7269">
      <c r="A7269">
        <f>IFERROR(INDEX('Email Cleaner'!$B$2:$B$10001,MATCH(7268,'Email Cleaner'!$H$2:$H$10001,0)),"")</f>
        <v/>
      </c>
    </row>
    <row r="7270">
      <c r="A7270">
        <f>IFERROR(INDEX('Email Cleaner'!$B$2:$B$10001,MATCH(7269,'Email Cleaner'!$H$2:$H$10001,0)),"")</f>
        <v/>
      </c>
    </row>
    <row r="7271">
      <c r="A7271">
        <f>IFERROR(INDEX('Email Cleaner'!$B$2:$B$10001,MATCH(7270,'Email Cleaner'!$H$2:$H$10001,0)),"")</f>
        <v/>
      </c>
    </row>
    <row r="7272">
      <c r="A7272">
        <f>IFERROR(INDEX('Email Cleaner'!$B$2:$B$10001,MATCH(7271,'Email Cleaner'!$H$2:$H$10001,0)),"")</f>
        <v/>
      </c>
    </row>
    <row r="7273">
      <c r="A7273">
        <f>IFERROR(INDEX('Email Cleaner'!$B$2:$B$10001,MATCH(7272,'Email Cleaner'!$H$2:$H$10001,0)),"")</f>
        <v/>
      </c>
    </row>
    <row r="7274">
      <c r="A7274">
        <f>IFERROR(INDEX('Email Cleaner'!$B$2:$B$10001,MATCH(7273,'Email Cleaner'!$H$2:$H$10001,0)),"")</f>
        <v/>
      </c>
    </row>
    <row r="7275">
      <c r="A7275">
        <f>IFERROR(INDEX('Email Cleaner'!$B$2:$B$10001,MATCH(7274,'Email Cleaner'!$H$2:$H$10001,0)),"")</f>
        <v/>
      </c>
    </row>
    <row r="7276">
      <c r="A7276">
        <f>IFERROR(INDEX('Email Cleaner'!$B$2:$B$10001,MATCH(7275,'Email Cleaner'!$H$2:$H$10001,0)),"")</f>
        <v/>
      </c>
    </row>
    <row r="7277">
      <c r="A7277">
        <f>IFERROR(INDEX('Email Cleaner'!$B$2:$B$10001,MATCH(7276,'Email Cleaner'!$H$2:$H$10001,0)),"")</f>
        <v/>
      </c>
    </row>
    <row r="7278">
      <c r="A7278">
        <f>IFERROR(INDEX('Email Cleaner'!$B$2:$B$10001,MATCH(7277,'Email Cleaner'!$H$2:$H$10001,0)),"")</f>
        <v/>
      </c>
    </row>
    <row r="7279">
      <c r="A7279">
        <f>IFERROR(INDEX('Email Cleaner'!$B$2:$B$10001,MATCH(7278,'Email Cleaner'!$H$2:$H$10001,0)),"")</f>
        <v/>
      </c>
    </row>
    <row r="7280">
      <c r="A7280">
        <f>IFERROR(INDEX('Email Cleaner'!$B$2:$B$10001,MATCH(7279,'Email Cleaner'!$H$2:$H$10001,0)),"")</f>
        <v/>
      </c>
    </row>
    <row r="7281">
      <c r="A7281">
        <f>IFERROR(INDEX('Email Cleaner'!$B$2:$B$10001,MATCH(7280,'Email Cleaner'!$H$2:$H$10001,0)),"")</f>
        <v/>
      </c>
    </row>
    <row r="7282">
      <c r="A7282">
        <f>IFERROR(INDEX('Email Cleaner'!$B$2:$B$10001,MATCH(7281,'Email Cleaner'!$H$2:$H$10001,0)),"")</f>
        <v/>
      </c>
    </row>
    <row r="7283">
      <c r="A7283">
        <f>IFERROR(INDEX('Email Cleaner'!$B$2:$B$10001,MATCH(7282,'Email Cleaner'!$H$2:$H$10001,0)),"")</f>
        <v/>
      </c>
    </row>
    <row r="7284">
      <c r="A7284">
        <f>IFERROR(INDEX('Email Cleaner'!$B$2:$B$10001,MATCH(7283,'Email Cleaner'!$H$2:$H$10001,0)),"")</f>
        <v/>
      </c>
    </row>
    <row r="7285">
      <c r="A7285">
        <f>IFERROR(INDEX('Email Cleaner'!$B$2:$B$10001,MATCH(7284,'Email Cleaner'!$H$2:$H$10001,0)),"")</f>
        <v/>
      </c>
    </row>
    <row r="7286">
      <c r="A7286">
        <f>IFERROR(INDEX('Email Cleaner'!$B$2:$B$10001,MATCH(7285,'Email Cleaner'!$H$2:$H$10001,0)),"")</f>
        <v/>
      </c>
    </row>
    <row r="7287">
      <c r="A7287">
        <f>IFERROR(INDEX('Email Cleaner'!$B$2:$B$10001,MATCH(7286,'Email Cleaner'!$H$2:$H$10001,0)),"")</f>
        <v/>
      </c>
    </row>
    <row r="7288">
      <c r="A7288">
        <f>IFERROR(INDEX('Email Cleaner'!$B$2:$B$10001,MATCH(7287,'Email Cleaner'!$H$2:$H$10001,0)),"")</f>
        <v/>
      </c>
    </row>
    <row r="7289">
      <c r="A7289">
        <f>IFERROR(INDEX('Email Cleaner'!$B$2:$B$10001,MATCH(7288,'Email Cleaner'!$H$2:$H$10001,0)),"")</f>
        <v/>
      </c>
    </row>
    <row r="7290">
      <c r="A7290">
        <f>IFERROR(INDEX('Email Cleaner'!$B$2:$B$10001,MATCH(7289,'Email Cleaner'!$H$2:$H$10001,0)),"")</f>
        <v/>
      </c>
    </row>
    <row r="7291">
      <c r="A7291">
        <f>IFERROR(INDEX('Email Cleaner'!$B$2:$B$10001,MATCH(7290,'Email Cleaner'!$H$2:$H$10001,0)),"")</f>
        <v/>
      </c>
    </row>
    <row r="7292">
      <c r="A7292">
        <f>IFERROR(INDEX('Email Cleaner'!$B$2:$B$10001,MATCH(7291,'Email Cleaner'!$H$2:$H$10001,0)),"")</f>
        <v/>
      </c>
    </row>
    <row r="7293">
      <c r="A7293">
        <f>IFERROR(INDEX('Email Cleaner'!$B$2:$B$10001,MATCH(7292,'Email Cleaner'!$H$2:$H$10001,0)),"")</f>
        <v/>
      </c>
    </row>
    <row r="7294">
      <c r="A7294">
        <f>IFERROR(INDEX('Email Cleaner'!$B$2:$B$10001,MATCH(7293,'Email Cleaner'!$H$2:$H$10001,0)),"")</f>
        <v/>
      </c>
    </row>
    <row r="7295">
      <c r="A7295">
        <f>IFERROR(INDEX('Email Cleaner'!$B$2:$B$10001,MATCH(7294,'Email Cleaner'!$H$2:$H$10001,0)),"")</f>
        <v/>
      </c>
    </row>
    <row r="7296">
      <c r="A7296">
        <f>IFERROR(INDEX('Email Cleaner'!$B$2:$B$10001,MATCH(7295,'Email Cleaner'!$H$2:$H$10001,0)),"")</f>
        <v/>
      </c>
    </row>
    <row r="7297">
      <c r="A7297">
        <f>IFERROR(INDEX('Email Cleaner'!$B$2:$B$10001,MATCH(7296,'Email Cleaner'!$H$2:$H$10001,0)),"")</f>
        <v/>
      </c>
    </row>
    <row r="7298">
      <c r="A7298">
        <f>IFERROR(INDEX('Email Cleaner'!$B$2:$B$10001,MATCH(7297,'Email Cleaner'!$H$2:$H$10001,0)),"")</f>
        <v/>
      </c>
    </row>
    <row r="7299">
      <c r="A7299">
        <f>IFERROR(INDEX('Email Cleaner'!$B$2:$B$10001,MATCH(7298,'Email Cleaner'!$H$2:$H$10001,0)),"")</f>
        <v/>
      </c>
    </row>
    <row r="7300">
      <c r="A7300">
        <f>IFERROR(INDEX('Email Cleaner'!$B$2:$B$10001,MATCH(7299,'Email Cleaner'!$H$2:$H$10001,0)),"")</f>
        <v/>
      </c>
    </row>
    <row r="7301">
      <c r="A7301">
        <f>IFERROR(INDEX('Email Cleaner'!$B$2:$B$10001,MATCH(7300,'Email Cleaner'!$H$2:$H$10001,0)),"")</f>
        <v/>
      </c>
    </row>
    <row r="7302">
      <c r="A7302">
        <f>IFERROR(INDEX('Email Cleaner'!$B$2:$B$10001,MATCH(7301,'Email Cleaner'!$H$2:$H$10001,0)),"")</f>
        <v/>
      </c>
    </row>
    <row r="7303">
      <c r="A7303">
        <f>IFERROR(INDEX('Email Cleaner'!$B$2:$B$10001,MATCH(7302,'Email Cleaner'!$H$2:$H$10001,0)),"")</f>
        <v/>
      </c>
    </row>
    <row r="7304">
      <c r="A7304">
        <f>IFERROR(INDEX('Email Cleaner'!$B$2:$B$10001,MATCH(7303,'Email Cleaner'!$H$2:$H$10001,0)),"")</f>
        <v/>
      </c>
    </row>
    <row r="7305">
      <c r="A7305">
        <f>IFERROR(INDEX('Email Cleaner'!$B$2:$B$10001,MATCH(7304,'Email Cleaner'!$H$2:$H$10001,0)),"")</f>
        <v/>
      </c>
    </row>
    <row r="7306">
      <c r="A7306">
        <f>IFERROR(INDEX('Email Cleaner'!$B$2:$B$10001,MATCH(7305,'Email Cleaner'!$H$2:$H$10001,0)),"")</f>
        <v/>
      </c>
    </row>
    <row r="7307">
      <c r="A7307">
        <f>IFERROR(INDEX('Email Cleaner'!$B$2:$B$10001,MATCH(7306,'Email Cleaner'!$H$2:$H$10001,0)),"")</f>
        <v/>
      </c>
    </row>
    <row r="7308">
      <c r="A7308">
        <f>IFERROR(INDEX('Email Cleaner'!$B$2:$B$10001,MATCH(7307,'Email Cleaner'!$H$2:$H$10001,0)),"")</f>
        <v/>
      </c>
    </row>
    <row r="7309">
      <c r="A7309">
        <f>IFERROR(INDEX('Email Cleaner'!$B$2:$B$10001,MATCH(7308,'Email Cleaner'!$H$2:$H$10001,0)),"")</f>
        <v/>
      </c>
    </row>
    <row r="7310">
      <c r="A7310">
        <f>IFERROR(INDEX('Email Cleaner'!$B$2:$B$10001,MATCH(7309,'Email Cleaner'!$H$2:$H$10001,0)),"")</f>
        <v/>
      </c>
    </row>
    <row r="7311">
      <c r="A7311">
        <f>IFERROR(INDEX('Email Cleaner'!$B$2:$B$10001,MATCH(7310,'Email Cleaner'!$H$2:$H$10001,0)),"")</f>
        <v/>
      </c>
    </row>
    <row r="7312">
      <c r="A7312">
        <f>IFERROR(INDEX('Email Cleaner'!$B$2:$B$10001,MATCH(7311,'Email Cleaner'!$H$2:$H$10001,0)),"")</f>
        <v/>
      </c>
    </row>
    <row r="7313">
      <c r="A7313">
        <f>IFERROR(INDEX('Email Cleaner'!$B$2:$B$10001,MATCH(7312,'Email Cleaner'!$H$2:$H$10001,0)),"")</f>
        <v/>
      </c>
    </row>
    <row r="7314">
      <c r="A7314">
        <f>IFERROR(INDEX('Email Cleaner'!$B$2:$B$10001,MATCH(7313,'Email Cleaner'!$H$2:$H$10001,0)),"")</f>
        <v/>
      </c>
    </row>
    <row r="7315">
      <c r="A7315">
        <f>IFERROR(INDEX('Email Cleaner'!$B$2:$B$10001,MATCH(7314,'Email Cleaner'!$H$2:$H$10001,0)),"")</f>
        <v/>
      </c>
    </row>
    <row r="7316">
      <c r="A7316">
        <f>IFERROR(INDEX('Email Cleaner'!$B$2:$B$10001,MATCH(7315,'Email Cleaner'!$H$2:$H$10001,0)),"")</f>
        <v/>
      </c>
    </row>
    <row r="7317">
      <c r="A7317">
        <f>IFERROR(INDEX('Email Cleaner'!$B$2:$B$10001,MATCH(7316,'Email Cleaner'!$H$2:$H$10001,0)),"")</f>
        <v/>
      </c>
    </row>
    <row r="7318">
      <c r="A7318">
        <f>IFERROR(INDEX('Email Cleaner'!$B$2:$B$10001,MATCH(7317,'Email Cleaner'!$H$2:$H$10001,0)),"")</f>
        <v/>
      </c>
    </row>
    <row r="7319">
      <c r="A7319">
        <f>IFERROR(INDEX('Email Cleaner'!$B$2:$B$10001,MATCH(7318,'Email Cleaner'!$H$2:$H$10001,0)),"")</f>
        <v/>
      </c>
    </row>
    <row r="7320">
      <c r="A7320">
        <f>IFERROR(INDEX('Email Cleaner'!$B$2:$B$10001,MATCH(7319,'Email Cleaner'!$H$2:$H$10001,0)),"")</f>
        <v/>
      </c>
    </row>
    <row r="7321">
      <c r="A7321">
        <f>IFERROR(INDEX('Email Cleaner'!$B$2:$B$10001,MATCH(7320,'Email Cleaner'!$H$2:$H$10001,0)),"")</f>
        <v/>
      </c>
    </row>
    <row r="7322">
      <c r="A7322">
        <f>IFERROR(INDEX('Email Cleaner'!$B$2:$B$10001,MATCH(7321,'Email Cleaner'!$H$2:$H$10001,0)),"")</f>
        <v/>
      </c>
    </row>
    <row r="7323">
      <c r="A7323">
        <f>IFERROR(INDEX('Email Cleaner'!$B$2:$B$10001,MATCH(7322,'Email Cleaner'!$H$2:$H$10001,0)),"")</f>
        <v/>
      </c>
    </row>
    <row r="7324">
      <c r="A7324">
        <f>IFERROR(INDEX('Email Cleaner'!$B$2:$B$10001,MATCH(7323,'Email Cleaner'!$H$2:$H$10001,0)),"")</f>
        <v/>
      </c>
    </row>
    <row r="7325">
      <c r="A7325">
        <f>IFERROR(INDEX('Email Cleaner'!$B$2:$B$10001,MATCH(7324,'Email Cleaner'!$H$2:$H$10001,0)),"")</f>
        <v/>
      </c>
    </row>
    <row r="7326">
      <c r="A7326">
        <f>IFERROR(INDEX('Email Cleaner'!$B$2:$B$10001,MATCH(7325,'Email Cleaner'!$H$2:$H$10001,0)),"")</f>
        <v/>
      </c>
    </row>
    <row r="7327">
      <c r="A7327">
        <f>IFERROR(INDEX('Email Cleaner'!$B$2:$B$10001,MATCH(7326,'Email Cleaner'!$H$2:$H$10001,0)),"")</f>
        <v/>
      </c>
    </row>
    <row r="7328">
      <c r="A7328">
        <f>IFERROR(INDEX('Email Cleaner'!$B$2:$B$10001,MATCH(7327,'Email Cleaner'!$H$2:$H$10001,0)),"")</f>
        <v/>
      </c>
    </row>
    <row r="7329">
      <c r="A7329">
        <f>IFERROR(INDEX('Email Cleaner'!$B$2:$B$10001,MATCH(7328,'Email Cleaner'!$H$2:$H$10001,0)),"")</f>
        <v/>
      </c>
    </row>
    <row r="7330">
      <c r="A7330">
        <f>IFERROR(INDEX('Email Cleaner'!$B$2:$B$10001,MATCH(7329,'Email Cleaner'!$H$2:$H$10001,0)),"")</f>
        <v/>
      </c>
    </row>
    <row r="7331">
      <c r="A7331">
        <f>IFERROR(INDEX('Email Cleaner'!$B$2:$B$10001,MATCH(7330,'Email Cleaner'!$H$2:$H$10001,0)),"")</f>
        <v/>
      </c>
    </row>
    <row r="7332">
      <c r="A7332">
        <f>IFERROR(INDEX('Email Cleaner'!$B$2:$B$10001,MATCH(7331,'Email Cleaner'!$H$2:$H$10001,0)),"")</f>
        <v/>
      </c>
    </row>
    <row r="7333">
      <c r="A7333">
        <f>IFERROR(INDEX('Email Cleaner'!$B$2:$B$10001,MATCH(7332,'Email Cleaner'!$H$2:$H$10001,0)),"")</f>
        <v/>
      </c>
    </row>
    <row r="7334">
      <c r="A7334">
        <f>IFERROR(INDEX('Email Cleaner'!$B$2:$B$10001,MATCH(7333,'Email Cleaner'!$H$2:$H$10001,0)),"")</f>
        <v/>
      </c>
    </row>
    <row r="7335">
      <c r="A7335">
        <f>IFERROR(INDEX('Email Cleaner'!$B$2:$B$10001,MATCH(7334,'Email Cleaner'!$H$2:$H$10001,0)),"")</f>
        <v/>
      </c>
    </row>
    <row r="7336">
      <c r="A7336">
        <f>IFERROR(INDEX('Email Cleaner'!$B$2:$B$10001,MATCH(7335,'Email Cleaner'!$H$2:$H$10001,0)),"")</f>
        <v/>
      </c>
    </row>
    <row r="7337">
      <c r="A7337">
        <f>IFERROR(INDEX('Email Cleaner'!$B$2:$B$10001,MATCH(7336,'Email Cleaner'!$H$2:$H$10001,0)),"")</f>
        <v/>
      </c>
    </row>
    <row r="7338">
      <c r="A7338">
        <f>IFERROR(INDEX('Email Cleaner'!$B$2:$B$10001,MATCH(7337,'Email Cleaner'!$H$2:$H$10001,0)),"")</f>
        <v/>
      </c>
    </row>
    <row r="7339">
      <c r="A7339">
        <f>IFERROR(INDEX('Email Cleaner'!$B$2:$B$10001,MATCH(7338,'Email Cleaner'!$H$2:$H$10001,0)),"")</f>
        <v/>
      </c>
    </row>
    <row r="7340">
      <c r="A7340">
        <f>IFERROR(INDEX('Email Cleaner'!$B$2:$B$10001,MATCH(7339,'Email Cleaner'!$H$2:$H$10001,0)),"")</f>
        <v/>
      </c>
    </row>
    <row r="7341">
      <c r="A7341">
        <f>IFERROR(INDEX('Email Cleaner'!$B$2:$B$10001,MATCH(7340,'Email Cleaner'!$H$2:$H$10001,0)),"")</f>
        <v/>
      </c>
    </row>
    <row r="7342">
      <c r="A7342">
        <f>IFERROR(INDEX('Email Cleaner'!$B$2:$B$10001,MATCH(7341,'Email Cleaner'!$H$2:$H$10001,0)),"")</f>
        <v/>
      </c>
    </row>
    <row r="7343">
      <c r="A7343">
        <f>IFERROR(INDEX('Email Cleaner'!$B$2:$B$10001,MATCH(7342,'Email Cleaner'!$H$2:$H$10001,0)),"")</f>
        <v/>
      </c>
    </row>
    <row r="7344">
      <c r="A7344">
        <f>IFERROR(INDEX('Email Cleaner'!$B$2:$B$10001,MATCH(7343,'Email Cleaner'!$H$2:$H$10001,0)),"")</f>
        <v/>
      </c>
    </row>
    <row r="7345">
      <c r="A7345">
        <f>IFERROR(INDEX('Email Cleaner'!$B$2:$B$10001,MATCH(7344,'Email Cleaner'!$H$2:$H$10001,0)),"")</f>
        <v/>
      </c>
    </row>
    <row r="7346">
      <c r="A7346">
        <f>IFERROR(INDEX('Email Cleaner'!$B$2:$B$10001,MATCH(7345,'Email Cleaner'!$H$2:$H$10001,0)),"")</f>
        <v/>
      </c>
    </row>
    <row r="7347">
      <c r="A7347">
        <f>IFERROR(INDEX('Email Cleaner'!$B$2:$B$10001,MATCH(7346,'Email Cleaner'!$H$2:$H$10001,0)),"")</f>
        <v/>
      </c>
    </row>
    <row r="7348">
      <c r="A7348">
        <f>IFERROR(INDEX('Email Cleaner'!$B$2:$B$10001,MATCH(7347,'Email Cleaner'!$H$2:$H$10001,0)),"")</f>
        <v/>
      </c>
    </row>
    <row r="7349">
      <c r="A7349">
        <f>IFERROR(INDEX('Email Cleaner'!$B$2:$B$10001,MATCH(7348,'Email Cleaner'!$H$2:$H$10001,0)),"")</f>
        <v/>
      </c>
    </row>
    <row r="7350">
      <c r="A7350">
        <f>IFERROR(INDEX('Email Cleaner'!$B$2:$B$10001,MATCH(7349,'Email Cleaner'!$H$2:$H$10001,0)),"")</f>
        <v/>
      </c>
    </row>
    <row r="7351">
      <c r="A7351">
        <f>IFERROR(INDEX('Email Cleaner'!$B$2:$B$10001,MATCH(7350,'Email Cleaner'!$H$2:$H$10001,0)),"")</f>
        <v/>
      </c>
    </row>
    <row r="7352">
      <c r="A7352">
        <f>IFERROR(INDEX('Email Cleaner'!$B$2:$B$10001,MATCH(7351,'Email Cleaner'!$H$2:$H$10001,0)),"")</f>
        <v/>
      </c>
    </row>
    <row r="7353">
      <c r="A7353">
        <f>IFERROR(INDEX('Email Cleaner'!$B$2:$B$10001,MATCH(7352,'Email Cleaner'!$H$2:$H$10001,0)),"")</f>
        <v/>
      </c>
    </row>
    <row r="7354">
      <c r="A7354">
        <f>IFERROR(INDEX('Email Cleaner'!$B$2:$B$10001,MATCH(7353,'Email Cleaner'!$H$2:$H$10001,0)),"")</f>
        <v/>
      </c>
    </row>
    <row r="7355">
      <c r="A7355">
        <f>IFERROR(INDEX('Email Cleaner'!$B$2:$B$10001,MATCH(7354,'Email Cleaner'!$H$2:$H$10001,0)),"")</f>
        <v/>
      </c>
    </row>
    <row r="7356">
      <c r="A7356">
        <f>IFERROR(INDEX('Email Cleaner'!$B$2:$B$10001,MATCH(7355,'Email Cleaner'!$H$2:$H$10001,0)),"")</f>
        <v/>
      </c>
    </row>
    <row r="7357">
      <c r="A7357">
        <f>IFERROR(INDEX('Email Cleaner'!$B$2:$B$10001,MATCH(7356,'Email Cleaner'!$H$2:$H$10001,0)),"")</f>
        <v/>
      </c>
    </row>
    <row r="7358">
      <c r="A7358">
        <f>IFERROR(INDEX('Email Cleaner'!$B$2:$B$10001,MATCH(7357,'Email Cleaner'!$H$2:$H$10001,0)),"")</f>
        <v/>
      </c>
    </row>
    <row r="7359">
      <c r="A7359">
        <f>IFERROR(INDEX('Email Cleaner'!$B$2:$B$10001,MATCH(7358,'Email Cleaner'!$H$2:$H$10001,0)),"")</f>
        <v/>
      </c>
    </row>
    <row r="7360">
      <c r="A7360">
        <f>IFERROR(INDEX('Email Cleaner'!$B$2:$B$10001,MATCH(7359,'Email Cleaner'!$H$2:$H$10001,0)),"")</f>
        <v/>
      </c>
    </row>
    <row r="7361">
      <c r="A7361">
        <f>IFERROR(INDEX('Email Cleaner'!$B$2:$B$10001,MATCH(7360,'Email Cleaner'!$H$2:$H$10001,0)),"")</f>
        <v/>
      </c>
    </row>
    <row r="7362">
      <c r="A7362">
        <f>IFERROR(INDEX('Email Cleaner'!$B$2:$B$10001,MATCH(7361,'Email Cleaner'!$H$2:$H$10001,0)),"")</f>
        <v/>
      </c>
    </row>
    <row r="7363">
      <c r="A7363">
        <f>IFERROR(INDEX('Email Cleaner'!$B$2:$B$10001,MATCH(7362,'Email Cleaner'!$H$2:$H$10001,0)),"")</f>
        <v/>
      </c>
    </row>
    <row r="7364">
      <c r="A7364">
        <f>IFERROR(INDEX('Email Cleaner'!$B$2:$B$10001,MATCH(7363,'Email Cleaner'!$H$2:$H$10001,0)),"")</f>
        <v/>
      </c>
    </row>
    <row r="7365">
      <c r="A7365">
        <f>IFERROR(INDEX('Email Cleaner'!$B$2:$B$10001,MATCH(7364,'Email Cleaner'!$H$2:$H$10001,0)),"")</f>
        <v/>
      </c>
    </row>
    <row r="7366">
      <c r="A7366">
        <f>IFERROR(INDEX('Email Cleaner'!$B$2:$B$10001,MATCH(7365,'Email Cleaner'!$H$2:$H$10001,0)),"")</f>
        <v/>
      </c>
    </row>
    <row r="7367">
      <c r="A7367">
        <f>IFERROR(INDEX('Email Cleaner'!$B$2:$B$10001,MATCH(7366,'Email Cleaner'!$H$2:$H$10001,0)),"")</f>
        <v/>
      </c>
    </row>
    <row r="7368">
      <c r="A7368">
        <f>IFERROR(INDEX('Email Cleaner'!$B$2:$B$10001,MATCH(7367,'Email Cleaner'!$H$2:$H$10001,0)),"")</f>
        <v/>
      </c>
    </row>
    <row r="7369">
      <c r="A7369">
        <f>IFERROR(INDEX('Email Cleaner'!$B$2:$B$10001,MATCH(7368,'Email Cleaner'!$H$2:$H$10001,0)),"")</f>
        <v/>
      </c>
    </row>
    <row r="7370">
      <c r="A7370">
        <f>IFERROR(INDEX('Email Cleaner'!$B$2:$B$10001,MATCH(7369,'Email Cleaner'!$H$2:$H$10001,0)),"")</f>
        <v/>
      </c>
    </row>
    <row r="7371">
      <c r="A7371">
        <f>IFERROR(INDEX('Email Cleaner'!$B$2:$B$10001,MATCH(7370,'Email Cleaner'!$H$2:$H$10001,0)),"")</f>
        <v/>
      </c>
    </row>
    <row r="7372">
      <c r="A7372">
        <f>IFERROR(INDEX('Email Cleaner'!$B$2:$B$10001,MATCH(7371,'Email Cleaner'!$H$2:$H$10001,0)),"")</f>
        <v/>
      </c>
    </row>
    <row r="7373">
      <c r="A7373">
        <f>IFERROR(INDEX('Email Cleaner'!$B$2:$B$10001,MATCH(7372,'Email Cleaner'!$H$2:$H$10001,0)),"")</f>
        <v/>
      </c>
    </row>
    <row r="7374">
      <c r="A7374">
        <f>IFERROR(INDEX('Email Cleaner'!$B$2:$B$10001,MATCH(7373,'Email Cleaner'!$H$2:$H$10001,0)),"")</f>
        <v/>
      </c>
    </row>
    <row r="7375">
      <c r="A7375">
        <f>IFERROR(INDEX('Email Cleaner'!$B$2:$B$10001,MATCH(7374,'Email Cleaner'!$H$2:$H$10001,0)),"")</f>
        <v/>
      </c>
    </row>
    <row r="7376">
      <c r="A7376">
        <f>IFERROR(INDEX('Email Cleaner'!$B$2:$B$10001,MATCH(7375,'Email Cleaner'!$H$2:$H$10001,0)),"")</f>
        <v/>
      </c>
    </row>
    <row r="7377">
      <c r="A7377">
        <f>IFERROR(INDEX('Email Cleaner'!$B$2:$B$10001,MATCH(7376,'Email Cleaner'!$H$2:$H$10001,0)),"")</f>
        <v/>
      </c>
    </row>
    <row r="7378">
      <c r="A7378">
        <f>IFERROR(INDEX('Email Cleaner'!$B$2:$B$10001,MATCH(7377,'Email Cleaner'!$H$2:$H$10001,0)),"")</f>
        <v/>
      </c>
    </row>
    <row r="7379">
      <c r="A7379">
        <f>IFERROR(INDEX('Email Cleaner'!$B$2:$B$10001,MATCH(7378,'Email Cleaner'!$H$2:$H$10001,0)),"")</f>
        <v/>
      </c>
    </row>
    <row r="7380">
      <c r="A7380">
        <f>IFERROR(INDEX('Email Cleaner'!$B$2:$B$10001,MATCH(7379,'Email Cleaner'!$H$2:$H$10001,0)),"")</f>
        <v/>
      </c>
    </row>
    <row r="7381">
      <c r="A7381">
        <f>IFERROR(INDEX('Email Cleaner'!$B$2:$B$10001,MATCH(7380,'Email Cleaner'!$H$2:$H$10001,0)),"")</f>
        <v/>
      </c>
    </row>
    <row r="7382">
      <c r="A7382">
        <f>IFERROR(INDEX('Email Cleaner'!$B$2:$B$10001,MATCH(7381,'Email Cleaner'!$H$2:$H$10001,0)),"")</f>
        <v/>
      </c>
    </row>
    <row r="7383">
      <c r="A7383">
        <f>IFERROR(INDEX('Email Cleaner'!$B$2:$B$10001,MATCH(7382,'Email Cleaner'!$H$2:$H$10001,0)),"")</f>
        <v/>
      </c>
    </row>
    <row r="7384">
      <c r="A7384">
        <f>IFERROR(INDEX('Email Cleaner'!$B$2:$B$10001,MATCH(7383,'Email Cleaner'!$H$2:$H$10001,0)),"")</f>
        <v/>
      </c>
    </row>
    <row r="7385">
      <c r="A7385">
        <f>IFERROR(INDEX('Email Cleaner'!$B$2:$B$10001,MATCH(7384,'Email Cleaner'!$H$2:$H$10001,0)),"")</f>
        <v/>
      </c>
    </row>
    <row r="7386">
      <c r="A7386">
        <f>IFERROR(INDEX('Email Cleaner'!$B$2:$B$10001,MATCH(7385,'Email Cleaner'!$H$2:$H$10001,0)),"")</f>
        <v/>
      </c>
    </row>
    <row r="7387">
      <c r="A7387">
        <f>IFERROR(INDEX('Email Cleaner'!$B$2:$B$10001,MATCH(7386,'Email Cleaner'!$H$2:$H$10001,0)),"")</f>
        <v/>
      </c>
    </row>
    <row r="7388">
      <c r="A7388">
        <f>IFERROR(INDEX('Email Cleaner'!$B$2:$B$10001,MATCH(7387,'Email Cleaner'!$H$2:$H$10001,0)),"")</f>
        <v/>
      </c>
    </row>
    <row r="7389">
      <c r="A7389">
        <f>IFERROR(INDEX('Email Cleaner'!$B$2:$B$10001,MATCH(7388,'Email Cleaner'!$H$2:$H$10001,0)),"")</f>
        <v/>
      </c>
    </row>
    <row r="7390">
      <c r="A7390">
        <f>IFERROR(INDEX('Email Cleaner'!$B$2:$B$10001,MATCH(7389,'Email Cleaner'!$H$2:$H$10001,0)),"")</f>
        <v/>
      </c>
    </row>
    <row r="7391">
      <c r="A7391">
        <f>IFERROR(INDEX('Email Cleaner'!$B$2:$B$10001,MATCH(7390,'Email Cleaner'!$H$2:$H$10001,0)),"")</f>
        <v/>
      </c>
    </row>
    <row r="7392">
      <c r="A7392">
        <f>IFERROR(INDEX('Email Cleaner'!$B$2:$B$10001,MATCH(7391,'Email Cleaner'!$H$2:$H$10001,0)),"")</f>
        <v/>
      </c>
    </row>
    <row r="7393">
      <c r="A7393">
        <f>IFERROR(INDEX('Email Cleaner'!$B$2:$B$10001,MATCH(7392,'Email Cleaner'!$H$2:$H$10001,0)),"")</f>
        <v/>
      </c>
    </row>
    <row r="7394">
      <c r="A7394">
        <f>IFERROR(INDEX('Email Cleaner'!$B$2:$B$10001,MATCH(7393,'Email Cleaner'!$H$2:$H$10001,0)),"")</f>
        <v/>
      </c>
    </row>
    <row r="7395">
      <c r="A7395">
        <f>IFERROR(INDEX('Email Cleaner'!$B$2:$B$10001,MATCH(7394,'Email Cleaner'!$H$2:$H$10001,0)),"")</f>
        <v/>
      </c>
    </row>
    <row r="7396">
      <c r="A7396">
        <f>IFERROR(INDEX('Email Cleaner'!$B$2:$B$10001,MATCH(7395,'Email Cleaner'!$H$2:$H$10001,0)),"")</f>
        <v/>
      </c>
    </row>
    <row r="7397">
      <c r="A7397">
        <f>IFERROR(INDEX('Email Cleaner'!$B$2:$B$10001,MATCH(7396,'Email Cleaner'!$H$2:$H$10001,0)),"")</f>
        <v/>
      </c>
    </row>
    <row r="7398">
      <c r="A7398">
        <f>IFERROR(INDEX('Email Cleaner'!$B$2:$B$10001,MATCH(7397,'Email Cleaner'!$H$2:$H$10001,0)),"")</f>
        <v/>
      </c>
    </row>
    <row r="7399">
      <c r="A7399">
        <f>IFERROR(INDEX('Email Cleaner'!$B$2:$B$10001,MATCH(7398,'Email Cleaner'!$H$2:$H$10001,0)),"")</f>
        <v/>
      </c>
    </row>
    <row r="7400">
      <c r="A7400">
        <f>IFERROR(INDEX('Email Cleaner'!$B$2:$B$10001,MATCH(7399,'Email Cleaner'!$H$2:$H$10001,0)),"")</f>
        <v/>
      </c>
    </row>
    <row r="7401">
      <c r="A7401">
        <f>IFERROR(INDEX('Email Cleaner'!$B$2:$B$10001,MATCH(7400,'Email Cleaner'!$H$2:$H$10001,0)),"")</f>
        <v/>
      </c>
    </row>
    <row r="7402">
      <c r="A7402">
        <f>IFERROR(INDEX('Email Cleaner'!$B$2:$B$10001,MATCH(7401,'Email Cleaner'!$H$2:$H$10001,0)),"")</f>
        <v/>
      </c>
    </row>
    <row r="7403">
      <c r="A7403">
        <f>IFERROR(INDEX('Email Cleaner'!$B$2:$B$10001,MATCH(7402,'Email Cleaner'!$H$2:$H$10001,0)),"")</f>
        <v/>
      </c>
    </row>
    <row r="7404">
      <c r="A7404">
        <f>IFERROR(INDEX('Email Cleaner'!$B$2:$B$10001,MATCH(7403,'Email Cleaner'!$H$2:$H$10001,0)),"")</f>
        <v/>
      </c>
    </row>
    <row r="7405">
      <c r="A7405">
        <f>IFERROR(INDEX('Email Cleaner'!$B$2:$B$10001,MATCH(7404,'Email Cleaner'!$H$2:$H$10001,0)),"")</f>
        <v/>
      </c>
    </row>
    <row r="7406">
      <c r="A7406">
        <f>IFERROR(INDEX('Email Cleaner'!$B$2:$B$10001,MATCH(7405,'Email Cleaner'!$H$2:$H$10001,0)),"")</f>
        <v/>
      </c>
    </row>
    <row r="7407">
      <c r="A7407">
        <f>IFERROR(INDEX('Email Cleaner'!$B$2:$B$10001,MATCH(7406,'Email Cleaner'!$H$2:$H$10001,0)),"")</f>
        <v/>
      </c>
    </row>
    <row r="7408">
      <c r="A7408">
        <f>IFERROR(INDEX('Email Cleaner'!$B$2:$B$10001,MATCH(7407,'Email Cleaner'!$H$2:$H$10001,0)),"")</f>
        <v/>
      </c>
    </row>
    <row r="7409">
      <c r="A7409">
        <f>IFERROR(INDEX('Email Cleaner'!$B$2:$B$10001,MATCH(7408,'Email Cleaner'!$H$2:$H$10001,0)),"")</f>
        <v/>
      </c>
    </row>
    <row r="7410">
      <c r="A7410">
        <f>IFERROR(INDEX('Email Cleaner'!$B$2:$B$10001,MATCH(7409,'Email Cleaner'!$H$2:$H$10001,0)),"")</f>
        <v/>
      </c>
    </row>
    <row r="7411">
      <c r="A7411">
        <f>IFERROR(INDEX('Email Cleaner'!$B$2:$B$10001,MATCH(7410,'Email Cleaner'!$H$2:$H$10001,0)),"")</f>
        <v/>
      </c>
    </row>
    <row r="7412">
      <c r="A7412">
        <f>IFERROR(INDEX('Email Cleaner'!$B$2:$B$10001,MATCH(7411,'Email Cleaner'!$H$2:$H$10001,0)),"")</f>
        <v/>
      </c>
    </row>
    <row r="7413">
      <c r="A7413">
        <f>IFERROR(INDEX('Email Cleaner'!$B$2:$B$10001,MATCH(7412,'Email Cleaner'!$H$2:$H$10001,0)),"")</f>
        <v/>
      </c>
    </row>
    <row r="7414">
      <c r="A7414">
        <f>IFERROR(INDEX('Email Cleaner'!$B$2:$B$10001,MATCH(7413,'Email Cleaner'!$H$2:$H$10001,0)),"")</f>
        <v/>
      </c>
    </row>
    <row r="7415">
      <c r="A7415">
        <f>IFERROR(INDEX('Email Cleaner'!$B$2:$B$10001,MATCH(7414,'Email Cleaner'!$H$2:$H$10001,0)),"")</f>
        <v/>
      </c>
    </row>
    <row r="7416">
      <c r="A7416">
        <f>IFERROR(INDEX('Email Cleaner'!$B$2:$B$10001,MATCH(7415,'Email Cleaner'!$H$2:$H$10001,0)),"")</f>
        <v/>
      </c>
    </row>
    <row r="7417">
      <c r="A7417">
        <f>IFERROR(INDEX('Email Cleaner'!$B$2:$B$10001,MATCH(7416,'Email Cleaner'!$H$2:$H$10001,0)),"")</f>
        <v/>
      </c>
    </row>
    <row r="7418">
      <c r="A7418">
        <f>IFERROR(INDEX('Email Cleaner'!$B$2:$B$10001,MATCH(7417,'Email Cleaner'!$H$2:$H$10001,0)),"")</f>
        <v/>
      </c>
    </row>
    <row r="7419">
      <c r="A7419">
        <f>IFERROR(INDEX('Email Cleaner'!$B$2:$B$10001,MATCH(7418,'Email Cleaner'!$H$2:$H$10001,0)),"")</f>
        <v/>
      </c>
    </row>
    <row r="7420">
      <c r="A7420">
        <f>IFERROR(INDEX('Email Cleaner'!$B$2:$B$10001,MATCH(7419,'Email Cleaner'!$H$2:$H$10001,0)),"")</f>
        <v/>
      </c>
    </row>
    <row r="7421">
      <c r="A7421">
        <f>IFERROR(INDEX('Email Cleaner'!$B$2:$B$10001,MATCH(7420,'Email Cleaner'!$H$2:$H$10001,0)),"")</f>
        <v/>
      </c>
    </row>
    <row r="7422">
      <c r="A7422">
        <f>IFERROR(INDEX('Email Cleaner'!$B$2:$B$10001,MATCH(7421,'Email Cleaner'!$H$2:$H$10001,0)),"")</f>
        <v/>
      </c>
    </row>
    <row r="7423">
      <c r="A7423">
        <f>IFERROR(INDEX('Email Cleaner'!$B$2:$B$10001,MATCH(7422,'Email Cleaner'!$H$2:$H$10001,0)),"")</f>
        <v/>
      </c>
    </row>
    <row r="7424">
      <c r="A7424">
        <f>IFERROR(INDEX('Email Cleaner'!$B$2:$B$10001,MATCH(7423,'Email Cleaner'!$H$2:$H$10001,0)),"")</f>
        <v/>
      </c>
    </row>
    <row r="7425">
      <c r="A7425">
        <f>IFERROR(INDEX('Email Cleaner'!$B$2:$B$10001,MATCH(7424,'Email Cleaner'!$H$2:$H$10001,0)),"")</f>
        <v/>
      </c>
    </row>
    <row r="7426">
      <c r="A7426">
        <f>IFERROR(INDEX('Email Cleaner'!$B$2:$B$10001,MATCH(7425,'Email Cleaner'!$H$2:$H$10001,0)),"")</f>
        <v/>
      </c>
    </row>
    <row r="7427">
      <c r="A7427">
        <f>IFERROR(INDEX('Email Cleaner'!$B$2:$B$10001,MATCH(7426,'Email Cleaner'!$H$2:$H$10001,0)),"")</f>
        <v/>
      </c>
    </row>
    <row r="7428">
      <c r="A7428">
        <f>IFERROR(INDEX('Email Cleaner'!$B$2:$B$10001,MATCH(7427,'Email Cleaner'!$H$2:$H$10001,0)),"")</f>
        <v/>
      </c>
    </row>
    <row r="7429">
      <c r="A7429">
        <f>IFERROR(INDEX('Email Cleaner'!$B$2:$B$10001,MATCH(7428,'Email Cleaner'!$H$2:$H$10001,0)),"")</f>
        <v/>
      </c>
    </row>
    <row r="7430">
      <c r="A7430">
        <f>IFERROR(INDEX('Email Cleaner'!$B$2:$B$10001,MATCH(7429,'Email Cleaner'!$H$2:$H$10001,0)),"")</f>
        <v/>
      </c>
    </row>
    <row r="7431">
      <c r="A7431">
        <f>IFERROR(INDEX('Email Cleaner'!$B$2:$B$10001,MATCH(7430,'Email Cleaner'!$H$2:$H$10001,0)),"")</f>
        <v/>
      </c>
    </row>
    <row r="7432">
      <c r="A7432">
        <f>IFERROR(INDEX('Email Cleaner'!$B$2:$B$10001,MATCH(7431,'Email Cleaner'!$H$2:$H$10001,0)),"")</f>
        <v/>
      </c>
    </row>
    <row r="7433">
      <c r="A7433">
        <f>IFERROR(INDEX('Email Cleaner'!$B$2:$B$10001,MATCH(7432,'Email Cleaner'!$H$2:$H$10001,0)),"")</f>
        <v/>
      </c>
    </row>
    <row r="7434">
      <c r="A7434">
        <f>IFERROR(INDEX('Email Cleaner'!$B$2:$B$10001,MATCH(7433,'Email Cleaner'!$H$2:$H$10001,0)),"")</f>
        <v/>
      </c>
    </row>
    <row r="7435">
      <c r="A7435">
        <f>IFERROR(INDEX('Email Cleaner'!$B$2:$B$10001,MATCH(7434,'Email Cleaner'!$H$2:$H$10001,0)),"")</f>
        <v/>
      </c>
    </row>
    <row r="7436">
      <c r="A7436">
        <f>IFERROR(INDEX('Email Cleaner'!$B$2:$B$10001,MATCH(7435,'Email Cleaner'!$H$2:$H$10001,0)),"")</f>
        <v/>
      </c>
    </row>
    <row r="7437">
      <c r="A7437">
        <f>IFERROR(INDEX('Email Cleaner'!$B$2:$B$10001,MATCH(7436,'Email Cleaner'!$H$2:$H$10001,0)),"")</f>
        <v/>
      </c>
    </row>
    <row r="7438">
      <c r="A7438">
        <f>IFERROR(INDEX('Email Cleaner'!$B$2:$B$10001,MATCH(7437,'Email Cleaner'!$H$2:$H$10001,0)),"")</f>
        <v/>
      </c>
    </row>
    <row r="7439">
      <c r="A7439">
        <f>IFERROR(INDEX('Email Cleaner'!$B$2:$B$10001,MATCH(7438,'Email Cleaner'!$H$2:$H$10001,0)),"")</f>
        <v/>
      </c>
    </row>
    <row r="7440">
      <c r="A7440">
        <f>IFERROR(INDEX('Email Cleaner'!$B$2:$B$10001,MATCH(7439,'Email Cleaner'!$H$2:$H$10001,0)),"")</f>
        <v/>
      </c>
    </row>
    <row r="7441">
      <c r="A7441">
        <f>IFERROR(INDEX('Email Cleaner'!$B$2:$B$10001,MATCH(7440,'Email Cleaner'!$H$2:$H$10001,0)),"")</f>
        <v/>
      </c>
    </row>
    <row r="7442">
      <c r="A7442">
        <f>IFERROR(INDEX('Email Cleaner'!$B$2:$B$10001,MATCH(7441,'Email Cleaner'!$H$2:$H$10001,0)),"")</f>
        <v/>
      </c>
    </row>
    <row r="7443">
      <c r="A7443">
        <f>IFERROR(INDEX('Email Cleaner'!$B$2:$B$10001,MATCH(7442,'Email Cleaner'!$H$2:$H$10001,0)),"")</f>
        <v/>
      </c>
    </row>
    <row r="7444">
      <c r="A7444">
        <f>IFERROR(INDEX('Email Cleaner'!$B$2:$B$10001,MATCH(7443,'Email Cleaner'!$H$2:$H$10001,0)),"")</f>
        <v/>
      </c>
    </row>
    <row r="7445">
      <c r="A7445">
        <f>IFERROR(INDEX('Email Cleaner'!$B$2:$B$10001,MATCH(7444,'Email Cleaner'!$H$2:$H$10001,0)),"")</f>
        <v/>
      </c>
    </row>
    <row r="7446">
      <c r="A7446">
        <f>IFERROR(INDEX('Email Cleaner'!$B$2:$B$10001,MATCH(7445,'Email Cleaner'!$H$2:$H$10001,0)),"")</f>
        <v/>
      </c>
    </row>
    <row r="7447">
      <c r="A7447">
        <f>IFERROR(INDEX('Email Cleaner'!$B$2:$B$10001,MATCH(7446,'Email Cleaner'!$H$2:$H$10001,0)),"")</f>
        <v/>
      </c>
    </row>
    <row r="7448">
      <c r="A7448">
        <f>IFERROR(INDEX('Email Cleaner'!$B$2:$B$10001,MATCH(7447,'Email Cleaner'!$H$2:$H$10001,0)),"")</f>
        <v/>
      </c>
    </row>
    <row r="7449">
      <c r="A7449">
        <f>IFERROR(INDEX('Email Cleaner'!$B$2:$B$10001,MATCH(7448,'Email Cleaner'!$H$2:$H$10001,0)),"")</f>
        <v/>
      </c>
    </row>
    <row r="7450">
      <c r="A7450">
        <f>IFERROR(INDEX('Email Cleaner'!$B$2:$B$10001,MATCH(7449,'Email Cleaner'!$H$2:$H$10001,0)),"")</f>
        <v/>
      </c>
    </row>
    <row r="7451">
      <c r="A7451">
        <f>IFERROR(INDEX('Email Cleaner'!$B$2:$B$10001,MATCH(7450,'Email Cleaner'!$H$2:$H$10001,0)),"")</f>
        <v/>
      </c>
    </row>
    <row r="7452">
      <c r="A7452">
        <f>IFERROR(INDEX('Email Cleaner'!$B$2:$B$10001,MATCH(7451,'Email Cleaner'!$H$2:$H$10001,0)),"")</f>
        <v/>
      </c>
    </row>
    <row r="7453">
      <c r="A7453">
        <f>IFERROR(INDEX('Email Cleaner'!$B$2:$B$10001,MATCH(7452,'Email Cleaner'!$H$2:$H$10001,0)),"")</f>
        <v/>
      </c>
    </row>
    <row r="7454">
      <c r="A7454">
        <f>IFERROR(INDEX('Email Cleaner'!$B$2:$B$10001,MATCH(7453,'Email Cleaner'!$H$2:$H$10001,0)),"")</f>
        <v/>
      </c>
    </row>
    <row r="7455">
      <c r="A7455">
        <f>IFERROR(INDEX('Email Cleaner'!$B$2:$B$10001,MATCH(7454,'Email Cleaner'!$H$2:$H$10001,0)),"")</f>
        <v/>
      </c>
    </row>
    <row r="7456">
      <c r="A7456">
        <f>IFERROR(INDEX('Email Cleaner'!$B$2:$B$10001,MATCH(7455,'Email Cleaner'!$H$2:$H$10001,0)),"")</f>
        <v/>
      </c>
    </row>
    <row r="7457">
      <c r="A7457">
        <f>IFERROR(INDEX('Email Cleaner'!$B$2:$B$10001,MATCH(7456,'Email Cleaner'!$H$2:$H$10001,0)),"")</f>
        <v/>
      </c>
    </row>
    <row r="7458">
      <c r="A7458">
        <f>IFERROR(INDEX('Email Cleaner'!$B$2:$B$10001,MATCH(7457,'Email Cleaner'!$H$2:$H$10001,0)),"")</f>
        <v/>
      </c>
    </row>
    <row r="7459">
      <c r="A7459">
        <f>IFERROR(INDEX('Email Cleaner'!$B$2:$B$10001,MATCH(7458,'Email Cleaner'!$H$2:$H$10001,0)),"")</f>
        <v/>
      </c>
    </row>
    <row r="7460">
      <c r="A7460">
        <f>IFERROR(INDEX('Email Cleaner'!$B$2:$B$10001,MATCH(7459,'Email Cleaner'!$H$2:$H$10001,0)),"")</f>
        <v/>
      </c>
    </row>
    <row r="7461">
      <c r="A7461">
        <f>IFERROR(INDEX('Email Cleaner'!$B$2:$B$10001,MATCH(7460,'Email Cleaner'!$H$2:$H$10001,0)),"")</f>
        <v/>
      </c>
    </row>
    <row r="7462">
      <c r="A7462">
        <f>IFERROR(INDEX('Email Cleaner'!$B$2:$B$10001,MATCH(7461,'Email Cleaner'!$H$2:$H$10001,0)),"")</f>
        <v/>
      </c>
    </row>
    <row r="7463">
      <c r="A7463">
        <f>IFERROR(INDEX('Email Cleaner'!$B$2:$B$10001,MATCH(7462,'Email Cleaner'!$H$2:$H$10001,0)),"")</f>
        <v/>
      </c>
    </row>
    <row r="7464">
      <c r="A7464">
        <f>IFERROR(INDEX('Email Cleaner'!$B$2:$B$10001,MATCH(7463,'Email Cleaner'!$H$2:$H$10001,0)),"")</f>
        <v/>
      </c>
    </row>
    <row r="7465">
      <c r="A7465">
        <f>IFERROR(INDEX('Email Cleaner'!$B$2:$B$10001,MATCH(7464,'Email Cleaner'!$H$2:$H$10001,0)),"")</f>
        <v/>
      </c>
    </row>
    <row r="7466">
      <c r="A7466">
        <f>IFERROR(INDEX('Email Cleaner'!$B$2:$B$10001,MATCH(7465,'Email Cleaner'!$H$2:$H$10001,0)),"")</f>
        <v/>
      </c>
    </row>
    <row r="7467">
      <c r="A7467">
        <f>IFERROR(INDEX('Email Cleaner'!$B$2:$B$10001,MATCH(7466,'Email Cleaner'!$H$2:$H$10001,0)),"")</f>
        <v/>
      </c>
    </row>
    <row r="7468">
      <c r="A7468">
        <f>IFERROR(INDEX('Email Cleaner'!$B$2:$B$10001,MATCH(7467,'Email Cleaner'!$H$2:$H$10001,0)),"")</f>
        <v/>
      </c>
    </row>
    <row r="7469">
      <c r="A7469">
        <f>IFERROR(INDEX('Email Cleaner'!$B$2:$B$10001,MATCH(7468,'Email Cleaner'!$H$2:$H$10001,0)),"")</f>
        <v/>
      </c>
    </row>
    <row r="7470">
      <c r="A7470">
        <f>IFERROR(INDEX('Email Cleaner'!$B$2:$B$10001,MATCH(7469,'Email Cleaner'!$H$2:$H$10001,0)),"")</f>
        <v/>
      </c>
    </row>
    <row r="7471">
      <c r="A7471">
        <f>IFERROR(INDEX('Email Cleaner'!$B$2:$B$10001,MATCH(7470,'Email Cleaner'!$H$2:$H$10001,0)),"")</f>
        <v/>
      </c>
    </row>
    <row r="7472">
      <c r="A7472">
        <f>IFERROR(INDEX('Email Cleaner'!$B$2:$B$10001,MATCH(7471,'Email Cleaner'!$H$2:$H$10001,0)),"")</f>
        <v/>
      </c>
    </row>
    <row r="7473">
      <c r="A7473">
        <f>IFERROR(INDEX('Email Cleaner'!$B$2:$B$10001,MATCH(7472,'Email Cleaner'!$H$2:$H$10001,0)),"")</f>
        <v/>
      </c>
    </row>
    <row r="7474">
      <c r="A7474">
        <f>IFERROR(INDEX('Email Cleaner'!$B$2:$B$10001,MATCH(7473,'Email Cleaner'!$H$2:$H$10001,0)),"")</f>
        <v/>
      </c>
    </row>
    <row r="7475">
      <c r="A7475">
        <f>IFERROR(INDEX('Email Cleaner'!$B$2:$B$10001,MATCH(7474,'Email Cleaner'!$H$2:$H$10001,0)),"")</f>
        <v/>
      </c>
    </row>
    <row r="7476">
      <c r="A7476">
        <f>IFERROR(INDEX('Email Cleaner'!$B$2:$B$10001,MATCH(7475,'Email Cleaner'!$H$2:$H$10001,0)),"")</f>
        <v/>
      </c>
    </row>
    <row r="7477">
      <c r="A7477">
        <f>IFERROR(INDEX('Email Cleaner'!$B$2:$B$10001,MATCH(7476,'Email Cleaner'!$H$2:$H$10001,0)),"")</f>
        <v/>
      </c>
    </row>
    <row r="7478">
      <c r="A7478">
        <f>IFERROR(INDEX('Email Cleaner'!$B$2:$B$10001,MATCH(7477,'Email Cleaner'!$H$2:$H$10001,0)),"")</f>
        <v/>
      </c>
    </row>
    <row r="7479">
      <c r="A7479">
        <f>IFERROR(INDEX('Email Cleaner'!$B$2:$B$10001,MATCH(7478,'Email Cleaner'!$H$2:$H$10001,0)),"")</f>
        <v/>
      </c>
    </row>
    <row r="7480">
      <c r="A7480">
        <f>IFERROR(INDEX('Email Cleaner'!$B$2:$B$10001,MATCH(7479,'Email Cleaner'!$H$2:$H$10001,0)),"")</f>
        <v/>
      </c>
    </row>
    <row r="7481">
      <c r="A7481">
        <f>IFERROR(INDEX('Email Cleaner'!$B$2:$B$10001,MATCH(7480,'Email Cleaner'!$H$2:$H$10001,0)),"")</f>
        <v/>
      </c>
    </row>
    <row r="7482">
      <c r="A7482">
        <f>IFERROR(INDEX('Email Cleaner'!$B$2:$B$10001,MATCH(7481,'Email Cleaner'!$H$2:$H$10001,0)),"")</f>
        <v/>
      </c>
    </row>
    <row r="7483">
      <c r="A7483">
        <f>IFERROR(INDEX('Email Cleaner'!$B$2:$B$10001,MATCH(7482,'Email Cleaner'!$H$2:$H$10001,0)),"")</f>
        <v/>
      </c>
    </row>
    <row r="7484">
      <c r="A7484">
        <f>IFERROR(INDEX('Email Cleaner'!$B$2:$B$10001,MATCH(7483,'Email Cleaner'!$H$2:$H$10001,0)),"")</f>
        <v/>
      </c>
    </row>
    <row r="7485">
      <c r="A7485">
        <f>IFERROR(INDEX('Email Cleaner'!$B$2:$B$10001,MATCH(7484,'Email Cleaner'!$H$2:$H$10001,0)),"")</f>
        <v/>
      </c>
    </row>
    <row r="7486">
      <c r="A7486">
        <f>IFERROR(INDEX('Email Cleaner'!$B$2:$B$10001,MATCH(7485,'Email Cleaner'!$H$2:$H$10001,0)),"")</f>
        <v/>
      </c>
    </row>
    <row r="7487">
      <c r="A7487">
        <f>IFERROR(INDEX('Email Cleaner'!$B$2:$B$10001,MATCH(7486,'Email Cleaner'!$H$2:$H$10001,0)),"")</f>
        <v/>
      </c>
    </row>
    <row r="7488">
      <c r="A7488">
        <f>IFERROR(INDEX('Email Cleaner'!$B$2:$B$10001,MATCH(7487,'Email Cleaner'!$H$2:$H$10001,0)),"")</f>
        <v/>
      </c>
    </row>
    <row r="7489">
      <c r="A7489">
        <f>IFERROR(INDEX('Email Cleaner'!$B$2:$B$10001,MATCH(7488,'Email Cleaner'!$H$2:$H$10001,0)),"")</f>
        <v/>
      </c>
    </row>
    <row r="7490">
      <c r="A7490">
        <f>IFERROR(INDEX('Email Cleaner'!$B$2:$B$10001,MATCH(7489,'Email Cleaner'!$H$2:$H$10001,0)),"")</f>
        <v/>
      </c>
    </row>
    <row r="7491">
      <c r="A7491">
        <f>IFERROR(INDEX('Email Cleaner'!$B$2:$B$10001,MATCH(7490,'Email Cleaner'!$H$2:$H$10001,0)),"")</f>
        <v/>
      </c>
    </row>
    <row r="7492">
      <c r="A7492">
        <f>IFERROR(INDEX('Email Cleaner'!$B$2:$B$10001,MATCH(7491,'Email Cleaner'!$H$2:$H$10001,0)),"")</f>
        <v/>
      </c>
    </row>
    <row r="7493">
      <c r="A7493">
        <f>IFERROR(INDEX('Email Cleaner'!$B$2:$B$10001,MATCH(7492,'Email Cleaner'!$H$2:$H$10001,0)),"")</f>
        <v/>
      </c>
    </row>
    <row r="7494">
      <c r="A7494">
        <f>IFERROR(INDEX('Email Cleaner'!$B$2:$B$10001,MATCH(7493,'Email Cleaner'!$H$2:$H$10001,0)),"")</f>
        <v/>
      </c>
    </row>
    <row r="7495">
      <c r="A7495">
        <f>IFERROR(INDEX('Email Cleaner'!$B$2:$B$10001,MATCH(7494,'Email Cleaner'!$H$2:$H$10001,0)),"")</f>
        <v/>
      </c>
    </row>
    <row r="7496">
      <c r="A7496">
        <f>IFERROR(INDEX('Email Cleaner'!$B$2:$B$10001,MATCH(7495,'Email Cleaner'!$H$2:$H$10001,0)),"")</f>
        <v/>
      </c>
    </row>
    <row r="7497">
      <c r="A7497">
        <f>IFERROR(INDEX('Email Cleaner'!$B$2:$B$10001,MATCH(7496,'Email Cleaner'!$H$2:$H$10001,0)),"")</f>
        <v/>
      </c>
    </row>
    <row r="7498">
      <c r="A7498">
        <f>IFERROR(INDEX('Email Cleaner'!$B$2:$B$10001,MATCH(7497,'Email Cleaner'!$H$2:$H$10001,0)),"")</f>
        <v/>
      </c>
    </row>
    <row r="7499">
      <c r="A7499">
        <f>IFERROR(INDEX('Email Cleaner'!$B$2:$B$10001,MATCH(7498,'Email Cleaner'!$H$2:$H$10001,0)),"")</f>
        <v/>
      </c>
    </row>
    <row r="7500">
      <c r="A7500">
        <f>IFERROR(INDEX('Email Cleaner'!$B$2:$B$10001,MATCH(7499,'Email Cleaner'!$H$2:$H$10001,0)),"")</f>
        <v/>
      </c>
    </row>
    <row r="7501">
      <c r="A7501">
        <f>IFERROR(INDEX('Email Cleaner'!$B$2:$B$10001,MATCH(7500,'Email Cleaner'!$H$2:$H$10001,0)),"")</f>
        <v/>
      </c>
    </row>
    <row r="7502">
      <c r="A7502">
        <f>IFERROR(INDEX('Email Cleaner'!$B$2:$B$10001,MATCH(7501,'Email Cleaner'!$H$2:$H$10001,0)),"")</f>
        <v/>
      </c>
    </row>
    <row r="7503">
      <c r="A7503">
        <f>IFERROR(INDEX('Email Cleaner'!$B$2:$B$10001,MATCH(7502,'Email Cleaner'!$H$2:$H$10001,0)),"")</f>
        <v/>
      </c>
    </row>
    <row r="7504">
      <c r="A7504">
        <f>IFERROR(INDEX('Email Cleaner'!$B$2:$B$10001,MATCH(7503,'Email Cleaner'!$H$2:$H$10001,0)),"")</f>
        <v/>
      </c>
    </row>
    <row r="7505">
      <c r="A7505">
        <f>IFERROR(INDEX('Email Cleaner'!$B$2:$B$10001,MATCH(7504,'Email Cleaner'!$H$2:$H$10001,0)),"")</f>
        <v/>
      </c>
    </row>
    <row r="7506">
      <c r="A7506">
        <f>IFERROR(INDEX('Email Cleaner'!$B$2:$B$10001,MATCH(7505,'Email Cleaner'!$H$2:$H$10001,0)),"")</f>
        <v/>
      </c>
    </row>
    <row r="7507">
      <c r="A7507">
        <f>IFERROR(INDEX('Email Cleaner'!$B$2:$B$10001,MATCH(7506,'Email Cleaner'!$H$2:$H$10001,0)),"")</f>
        <v/>
      </c>
    </row>
    <row r="7508">
      <c r="A7508">
        <f>IFERROR(INDEX('Email Cleaner'!$B$2:$B$10001,MATCH(7507,'Email Cleaner'!$H$2:$H$10001,0)),"")</f>
        <v/>
      </c>
    </row>
    <row r="7509">
      <c r="A7509">
        <f>IFERROR(INDEX('Email Cleaner'!$B$2:$B$10001,MATCH(7508,'Email Cleaner'!$H$2:$H$10001,0)),"")</f>
        <v/>
      </c>
    </row>
    <row r="7510">
      <c r="A7510">
        <f>IFERROR(INDEX('Email Cleaner'!$B$2:$B$10001,MATCH(7509,'Email Cleaner'!$H$2:$H$10001,0)),"")</f>
        <v/>
      </c>
    </row>
    <row r="7511">
      <c r="A7511">
        <f>IFERROR(INDEX('Email Cleaner'!$B$2:$B$10001,MATCH(7510,'Email Cleaner'!$H$2:$H$10001,0)),"")</f>
        <v/>
      </c>
    </row>
    <row r="7512">
      <c r="A7512">
        <f>IFERROR(INDEX('Email Cleaner'!$B$2:$B$10001,MATCH(7511,'Email Cleaner'!$H$2:$H$10001,0)),"")</f>
        <v/>
      </c>
    </row>
    <row r="7513">
      <c r="A7513">
        <f>IFERROR(INDEX('Email Cleaner'!$B$2:$B$10001,MATCH(7512,'Email Cleaner'!$H$2:$H$10001,0)),"")</f>
        <v/>
      </c>
    </row>
    <row r="7514">
      <c r="A7514">
        <f>IFERROR(INDEX('Email Cleaner'!$B$2:$B$10001,MATCH(7513,'Email Cleaner'!$H$2:$H$10001,0)),"")</f>
        <v/>
      </c>
    </row>
    <row r="7515">
      <c r="A7515">
        <f>IFERROR(INDEX('Email Cleaner'!$B$2:$B$10001,MATCH(7514,'Email Cleaner'!$H$2:$H$10001,0)),"")</f>
        <v/>
      </c>
    </row>
    <row r="7516">
      <c r="A7516">
        <f>IFERROR(INDEX('Email Cleaner'!$B$2:$B$10001,MATCH(7515,'Email Cleaner'!$H$2:$H$10001,0)),"")</f>
        <v/>
      </c>
    </row>
    <row r="7517">
      <c r="A7517">
        <f>IFERROR(INDEX('Email Cleaner'!$B$2:$B$10001,MATCH(7516,'Email Cleaner'!$H$2:$H$10001,0)),"")</f>
        <v/>
      </c>
    </row>
    <row r="7518">
      <c r="A7518">
        <f>IFERROR(INDEX('Email Cleaner'!$B$2:$B$10001,MATCH(7517,'Email Cleaner'!$H$2:$H$10001,0)),"")</f>
        <v/>
      </c>
    </row>
    <row r="7519">
      <c r="A7519">
        <f>IFERROR(INDEX('Email Cleaner'!$B$2:$B$10001,MATCH(7518,'Email Cleaner'!$H$2:$H$10001,0)),"")</f>
        <v/>
      </c>
    </row>
    <row r="7520">
      <c r="A7520">
        <f>IFERROR(INDEX('Email Cleaner'!$B$2:$B$10001,MATCH(7519,'Email Cleaner'!$H$2:$H$10001,0)),"")</f>
        <v/>
      </c>
    </row>
    <row r="7521">
      <c r="A7521">
        <f>IFERROR(INDEX('Email Cleaner'!$B$2:$B$10001,MATCH(7520,'Email Cleaner'!$H$2:$H$10001,0)),"")</f>
        <v/>
      </c>
    </row>
    <row r="7522">
      <c r="A7522">
        <f>IFERROR(INDEX('Email Cleaner'!$B$2:$B$10001,MATCH(7521,'Email Cleaner'!$H$2:$H$10001,0)),"")</f>
        <v/>
      </c>
    </row>
    <row r="7523">
      <c r="A7523">
        <f>IFERROR(INDEX('Email Cleaner'!$B$2:$B$10001,MATCH(7522,'Email Cleaner'!$H$2:$H$10001,0)),"")</f>
        <v/>
      </c>
    </row>
    <row r="7524">
      <c r="A7524">
        <f>IFERROR(INDEX('Email Cleaner'!$B$2:$B$10001,MATCH(7523,'Email Cleaner'!$H$2:$H$10001,0)),"")</f>
        <v/>
      </c>
    </row>
    <row r="7525">
      <c r="A7525">
        <f>IFERROR(INDEX('Email Cleaner'!$B$2:$B$10001,MATCH(7524,'Email Cleaner'!$H$2:$H$10001,0)),"")</f>
        <v/>
      </c>
    </row>
    <row r="7526">
      <c r="A7526">
        <f>IFERROR(INDEX('Email Cleaner'!$B$2:$B$10001,MATCH(7525,'Email Cleaner'!$H$2:$H$10001,0)),"")</f>
        <v/>
      </c>
    </row>
    <row r="7527">
      <c r="A7527">
        <f>IFERROR(INDEX('Email Cleaner'!$B$2:$B$10001,MATCH(7526,'Email Cleaner'!$H$2:$H$10001,0)),"")</f>
        <v/>
      </c>
    </row>
    <row r="7528">
      <c r="A7528">
        <f>IFERROR(INDEX('Email Cleaner'!$B$2:$B$10001,MATCH(7527,'Email Cleaner'!$H$2:$H$10001,0)),"")</f>
        <v/>
      </c>
    </row>
    <row r="7529">
      <c r="A7529">
        <f>IFERROR(INDEX('Email Cleaner'!$B$2:$B$10001,MATCH(7528,'Email Cleaner'!$H$2:$H$10001,0)),"")</f>
        <v/>
      </c>
    </row>
    <row r="7530">
      <c r="A7530">
        <f>IFERROR(INDEX('Email Cleaner'!$B$2:$B$10001,MATCH(7529,'Email Cleaner'!$H$2:$H$10001,0)),"")</f>
        <v/>
      </c>
    </row>
    <row r="7531">
      <c r="A7531">
        <f>IFERROR(INDEX('Email Cleaner'!$B$2:$B$10001,MATCH(7530,'Email Cleaner'!$H$2:$H$10001,0)),"")</f>
        <v/>
      </c>
    </row>
    <row r="7532">
      <c r="A7532">
        <f>IFERROR(INDEX('Email Cleaner'!$B$2:$B$10001,MATCH(7531,'Email Cleaner'!$H$2:$H$10001,0)),"")</f>
        <v/>
      </c>
    </row>
    <row r="7533">
      <c r="A7533">
        <f>IFERROR(INDEX('Email Cleaner'!$B$2:$B$10001,MATCH(7532,'Email Cleaner'!$H$2:$H$10001,0)),"")</f>
        <v/>
      </c>
    </row>
    <row r="7534">
      <c r="A7534">
        <f>IFERROR(INDEX('Email Cleaner'!$B$2:$B$10001,MATCH(7533,'Email Cleaner'!$H$2:$H$10001,0)),"")</f>
        <v/>
      </c>
    </row>
    <row r="7535">
      <c r="A7535">
        <f>IFERROR(INDEX('Email Cleaner'!$B$2:$B$10001,MATCH(7534,'Email Cleaner'!$H$2:$H$10001,0)),"")</f>
        <v/>
      </c>
    </row>
    <row r="7536">
      <c r="A7536">
        <f>IFERROR(INDEX('Email Cleaner'!$B$2:$B$10001,MATCH(7535,'Email Cleaner'!$H$2:$H$10001,0)),"")</f>
        <v/>
      </c>
    </row>
    <row r="7537">
      <c r="A7537">
        <f>IFERROR(INDEX('Email Cleaner'!$B$2:$B$10001,MATCH(7536,'Email Cleaner'!$H$2:$H$10001,0)),"")</f>
        <v/>
      </c>
    </row>
    <row r="7538">
      <c r="A7538">
        <f>IFERROR(INDEX('Email Cleaner'!$B$2:$B$10001,MATCH(7537,'Email Cleaner'!$H$2:$H$10001,0)),"")</f>
        <v/>
      </c>
    </row>
    <row r="7539">
      <c r="A7539">
        <f>IFERROR(INDEX('Email Cleaner'!$B$2:$B$10001,MATCH(7538,'Email Cleaner'!$H$2:$H$10001,0)),"")</f>
        <v/>
      </c>
    </row>
    <row r="7540">
      <c r="A7540">
        <f>IFERROR(INDEX('Email Cleaner'!$B$2:$B$10001,MATCH(7539,'Email Cleaner'!$H$2:$H$10001,0)),"")</f>
        <v/>
      </c>
    </row>
    <row r="7541">
      <c r="A7541">
        <f>IFERROR(INDEX('Email Cleaner'!$B$2:$B$10001,MATCH(7540,'Email Cleaner'!$H$2:$H$10001,0)),"")</f>
        <v/>
      </c>
    </row>
    <row r="7542">
      <c r="A7542">
        <f>IFERROR(INDEX('Email Cleaner'!$B$2:$B$10001,MATCH(7541,'Email Cleaner'!$H$2:$H$10001,0)),"")</f>
        <v/>
      </c>
    </row>
    <row r="7543">
      <c r="A7543">
        <f>IFERROR(INDEX('Email Cleaner'!$B$2:$B$10001,MATCH(7542,'Email Cleaner'!$H$2:$H$10001,0)),"")</f>
        <v/>
      </c>
    </row>
    <row r="7544">
      <c r="A7544">
        <f>IFERROR(INDEX('Email Cleaner'!$B$2:$B$10001,MATCH(7543,'Email Cleaner'!$H$2:$H$10001,0)),"")</f>
        <v/>
      </c>
    </row>
    <row r="7545">
      <c r="A7545">
        <f>IFERROR(INDEX('Email Cleaner'!$B$2:$B$10001,MATCH(7544,'Email Cleaner'!$H$2:$H$10001,0)),"")</f>
        <v/>
      </c>
    </row>
    <row r="7546">
      <c r="A7546">
        <f>IFERROR(INDEX('Email Cleaner'!$B$2:$B$10001,MATCH(7545,'Email Cleaner'!$H$2:$H$10001,0)),"")</f>
        <v/>
      </c>
    </row>
    <row r="7547">
      <c r="A7547">
        <f>IFERROR(INDEX('Email Cleaner'!$B$2:$B$10001,MATCH(7546,'Email Cleaner'!$H$2:$H$10001,0)),"")</f>
        <v/>
      </c>
    </row>
    <row r="7548">
      <c r="A7548">
        <f>IFERROR(INDEX('Email Cleaner'!$B$2:$B$10001,MATCH(7547,'Email Cleaner'!$H$2:$H$10001,0)),"")</f>
        <v/>
      </c>
    </row>
    <row r="7549">
      <c r="A7549">
        <f>IFERROR(INDEX('Email Cleaner'!$B$2:$B$10001,MATCH(7548,'Email Cleaner'!$H$2:$H$10001,0)),"")</f>
        <v/>
      </c>
    </row>
    <row r="7550">
      <c r="A7550">
        <f>IFERROR(INDEX('Email Cleaner'!$B$2:$B$10001,MATCH(7549,'Email Cleaner'!$H$2:$H$10001,0)),"")</f>
        <v/>
      </c>
    </row>
    <row r="7551">
      <c r="A7551">
        <f>IFERROR(INDEX('Email Cleaner'!$B$2:$B$10001,MATCH(7550,'Email Cleaner'!$H$2:$H$10001,0)),"")</f>
        <v/>
      </c>
    </row>
    <row r="7552">
      <c r="A7552">
        <f>IFERROR(INDEX('Email Cleaner'!$B$2:$B$10001,MATCH(7551,'Email Cleaner'!$H$2:$H$10001,0)),"")</f>
        <v/>
      </c>
    </row>
    <row r="7553">
      <c r="A7553">
        <f>IFERROR(INDEX('Email Cleaner'!$B$2:$B$10001,MATCH(7552,'Email Cleaner'!$H$2:$H$10001,0)),"")</f>
        <v/>
      </c>
    </row>
    <row r="7554">
      <c r="A7554">
        <f>IFERROR(INDEX('Email Cleaner'!$B$2:$B$10001,MATCH(7553,'Email Cleaner'!$H$2:$H$10001,0)),"")</f>
        <v/>
      </c>
    </row>
    <row r="7555">
      <c r="A7555">
        <f>IFERROR(INDEX('Email Cleaner'!$B$2:$B$10001,MATCH(7554,'Email Cleaner'!$H$2:$H$10001,0)),"")</f>
        <v/>
      </c>
    </row>
    <row r="7556">
      <c r="A7556">
        <f>IFERROR(INDEX('Email Cleaner'!$B$2:$B$10001,MATCH(7555,'Email Cleaner'!$H$2:$H$10001,0)),"")</f>
        <v/>
      </c>
    </row>
    <row r="7557">
      <c r="A7557">
        <f>IFERROR(INDEX('Email Cleaner'!$B$2:$B$10001,MATCH(7556,'Email Cleaner'!$H$2:$H$10001,0)),"")</f>
        <v/>
      </c>
    </row>
    <row r="7558">
      <c r="A7558">
        <f>IFERROR(INDEX('Email Cleaner'!$B$2:$B$10001,MATCH(7557,'Email Cleaner'!$H$2:$H$10001,0)),"")</f>
        <v/>
      </c>
    </row>
    <row r="7559">
      <c r="A7559">
        <f>IFERROR(INDEX('Email Cleaner'!$B$2:$B$10001,MATCH(7558,'Email Cleaner'!$H$2:$H$10001,0)),"")</f>
        <v/>
      </c>
    </row>
    <row r="7560">
      <c r="A7560">
        <f>IFERROR(INDEX('Email Cleaner'!$B$2:$B$10001,MATCH(7559,'Email Cleaner'!$H$2:$H$10001,0)),"")</f>
        <v/>
      </c>
    </row>
    <row r="7561">
      <c r="A7561">
        <f>IFERROR(INDEX('Email Cleaner'!$B$2:$B$10001,MATCH(7560,'Email Cleaner'!$H$2:$H$10001,0)),"")</f>
        <v/>
      </c>
    </row>
    <row r="7562">
      <c r="A7562">
        <f>IFERROR(INDEX('Email Cleaner'!$B$2:$B$10001,MATCH(7561,'Email Cleaner'!$H$2:$H$10001,0)),"")</f>
        <v/>
      </c>
    </row>
    <row r="7563">
      <c r="A7563">
        <f>IFERROR(INDEX('Email Cleaner'!$B$2:$B$10001,MATCH(7562,'Email Cleaner'!$H$2:$H$10001,0)),"")</f>
        <v/>
      </c>
    </row>
    <row r="7564">
      <c r="A7564">
        <f>IFERROR(INDEX('Email Cleaner'!$B$2:$B$10001,MATCH(7563,'Email Cleaner'!$H$2:$H$10001,0)),"")</f>
        <v/>
      </c>
    </row>
    <row r="7565">
      <c r="A7565">
        <f>IFERROR(INDEX('Email Cleaner'!$B$2:$B$10001,MATCH(7564,'Email Cleaner'!$H$2:$H$10001,0)),"")</f>
        <v/>
      </c>
    </row>
    <row r="7566">
      <c r="A7566">
        <f>IFERROR(INDEX('Email Cleaner'!$B$2:$B$10001,MATCH(7565,'Email Cleaner'!$H$2:$H$10001,0)),"")</f>
        <v/>
      </c>
    </row>
    <row r="7567">
      <c r="A7567">
        <f>IFERROR(INDEX('Email Cleaner'!$B$2:$B$10001,MATCH(7566,'Email Cleaner'!$H$2:$H$10001,0)),"")</f>
        <v/>
      </c>
    </row>
    <row r="7568">
      <c r="A7568">
        <f>IFERROR(INDEX('Email Cleaner'!$B$2:$B$10001,MATCH(7567,'Email Cleaner'!$H$2:$H$10001,0)),"")</f>
        <v/>
      </c>
    </row>
    <row r="7569">
      <c r="A7569">
        <f>IFERROR(INDEX('Email Cleaner'!$B$2:$B$10001,MATCH(7568,'Email Cleaner'!$H$2:$H$10001,0)),"")</f>
        <v/>
      </c>
    </row>
    <row r="7570">
      <c r="A7570">
        <f>IFERROR(INDEX('Email Cleaner'!$B$2:$B$10001,MATCH(7569,'Email Cleaner'!$H$2:$H$10001,0)),"")</f>
        <v/>
      </c>
    </row>
    <row r="7571">
      <c r="A7571">
        <f>IFERROR(INDEX('Email Cleaner'!$B$2:$B$10001,MATCH(7570,'Email Cleaner'!$H$2:$H$10001,0)),"")</f>
        <v/>
      </c>
    </row>
    <row r="7572">
      <c r="A7572">
        <f>IFERROR(INDEX('Email Cleaner'!$B$2:$B$10001,MATCH(7571,'Email Cleaner'!$H$2:$H$10001,0)),"")</f>
        <v/>
      </c>
    </row>
    <row r="7573">
      <c r="A7573">
        <f>IFERROR(INDEX('Email Cleaner'!$B$2:$B$10001,MATCH(7572,'Email Cleaner'!$H$2:$H$10001,0)),"")</f>
        <v/>
      </c>
    </row>
    <row r="7574">
      <c r="A7574">
        <f>IFERROR(INDEX('Email Cleaner'!$B$2:$B$10001,MATCH(7573,'Email Cleaner'!$H$2:$H$10001,0)),"")</f>
        <v/>
      </c>
    </row>
    <row r="7575">
      <c r="A7575">
        <f>IFERROR(INDEX('Email Cleaner'!$B$2:$B$10001,MATCH(7574,'Email Cleaner'!$H$2:$H$10001,0)),"")</f>
        <v/>
      </c>
    </row>
    <row r="7576">
      <c r="A7576">
        <f>IFERROR(INDEX('Email Cleaner'!$B$2:$B$10001,MATCH(7575,'Email Cleaner'!$H$2:$H$10001,0)),"")</f>
        <v/>
      </c>
    </row>
    <row r="7577">
      <c r="A7577">
        <f>IFERROR(INDEX('Email Cleaner'!$B$2:$B$10001,MATCH(7576,'Email Cleaner'!$H$2:$H$10001,0)),"")</f>
        <v/>
      </c>
    </row>
    <row r="7578">
      <c r="A7578">
        <f>IFERROR(INDEX('Email Cleaner'!$B$2:$B$10001,MATCH(7577,'Email Cleaner'!$H$2:$H$10001,0)),"")</f>
        <v/>
      </c>
    </row>
    <row r="7579">
      <c r="A7579">
        <f>IFERROR(INDEX('Email Cleaner'!$B$2:$B$10001,MATCH(7578,'Email Cleaner'!$H$2:$H$10001,0)),"")</f>
        <v/>
      </c>
    </row>
    <row r="7580">
      <c r="A7580">
        <f>IFERROR(INDEX('Email Cleaner'!$B$2:$B$10001,MATCH(7579,'Email Cleaner'!$H$2:$H$10001,0)),"")</f>
        <v/>
      </c>
    </row>
    <row r="7581">
      <c r="A7581">
        <f>IFERROR(INDEX('Email Cleaner'!$B$2:$B$10001,MATCH(7580,'Email Cleaner'!$H$2:$H$10001,0)),"")</f>
        <v/>
      </c>
    </row>
    <row r="7582">
      <c r="A7582">
        <f>IFERROR(INDEX('Email Cleaner'!$B$2:$B$10001,MATCH(7581,'Email Cleaner'!$H$2:$H$10001,0)),"")</f>
        <v/>
      </c>
    </row>
    <row r="7583">
      <c r="A7583">
        <f>IFERROR(INDEX('Email Cleaner'!$B$2:$B$10001,MATCH(7582,'Email Cleaner'!$H$2:$H$10001,0)),"")</f>
        <v/>
      </c>
    </row>
    <row r="7584">
      <c r="A7584">
        <f>IFERROR(INDEX('Email Cleaner'!$B$2:$B$10001,MATCH(7583,'Email Cleaner'!$H$2:$H$10001,0)),"")</f>
        <v/>
      </c>
    </row>
    <row r="7585">
      <c r="A7585">
        <f>IFERROR(INDEX('Email Cleaner'!$B$2:$B$10001,MATCH(7584,'Email Cleaner'!$H$2:$H$10001,0)),"")</f>
        <v/>
      </c>
    </row>
    <row r="7586">
      <c r="A7586">
        <f>IFERROR(INDEX('Email Cleaner'!$B$2:$B$10001,MATCH(7585,'Email Cleaner'!$H$2:$H$10001,0)),"")</f>
        <v/>
      </c>
    </row>
    <row r="7587">
      <c r="A7587">
        <f>IFERROR(INDEX('Email Cleaner'!$B$2:$B$10001,MATCH(7586,'Email Cleaner'!$H$2:$H$10001,0)),"")</f>
        <v/>
      </c>
    </row>
    <row r="7588">
      <c r="A7588">
        <f>IFERROR(INDEX('Email Cleaner'!$B$2:$B$10001,MATCH(7587,'Email Cleaner'!$H$2:$H$10001,0)),"")</f>
        <v/>
      </c>
    </row>
    <row r="7589">
      <c r="A7589">
        <f>IFERROR(INDEX('Email Cleaner'!$B$2:$B$10001,MATCH(7588,'Email Cleaner'!$H$2:$H$10001,0)),"")</f>
        <v/>
      </c>
    </row>
    <row r="7590">
      <c r="A7590">
        <f>IFERROR(INDEX('Email Cleaner'!$B$2:$B$10001,MATCH(7589,'Email Cleaner'!$H$2:$H$10001,0)),"")</f>
        <v/>
      </c>
    </row>
    <row r="7591">
      <c r="A7591">
        <f>IFERROR(INDEX('Email Cleaner'!$B$2:$B$10001,MATCH(7590,'Email Cleaner'!$H$2:$H$10001,0)),"")</f>
        <v/>
      </c>
    </row>
    <row r="7592">
      <c r="A7592">
        <f>IFERROR(INDEX('Email Cleaner'!$B$2:$B$10001,MATCH(7591,'Email Cleaner'!$H$2:$H$10001,0)),"")</f>
        <v/>
      </c>
    </row>
    <row r="7593">
      <c r="A7593">
        <f>IFERROR(INDEX('Email Cleaner'!$B$2:$B$10001,MATCH(7592,'Email Cleaner'!$H$2:$H$10001,0)),"")</f>
        <v/>
      </c>
    </row>
    <row r="7594">
      <c r="A7594">
        <f>IFERROR(INDEX('Email Cleaner'!$B$2:$B$10001,MATCH(7593,'Email Cleaner'!$H$2:$H$10001,0)),"")</f>
        <v/>
      </c>
    </row>
    <row r="7595">
      <c r="A7595">
        <f>IFERROR(INDEX('Email Cleaner'!$B$2:$B$10001,MATCH(7594,'Email Cleaner'!$H$2:$H$10001,0)),"")</f>
        <v/>
      </c>
    </row>
    <row r="7596">
      <c r="A7596">
        <f>IFERROR(INDEX('Email Cleaner'!$B$2:$B$10001,MATCH(7595,'Email Cleaner'!$H$2:$H$10001,0)),"")</f>
        <v/>
      </c>
    </row>
    <row r="7597">
      <c r="A7597">
        <f>IFERROR(INDEX('Email Cleaner'!$B$2:$B$10001,MATCH(7596,'Email Cleaner'!$H$2:$H$10001,0)),"")</f>
        <v/>
      </c>
    </row>
    <row r="7598">
      <c r="A7598">
        <f>IFERROR(INDEX('Email Cleaner'!$B$2:$B$10001,MATCH(7597,'Email Cleaner'!$H$2:$H$10001,0)),"")</f>
        <v/>
      </c>
    </row>
    <row r="7599">
      <c r="A7599">
        <f>IFERROR(INDEX('Email Cleaner'!$B$2:$B$10001,MATCH(7598,'Email Cleaner'!$H$2:$H$10001,0)),"")</f>
        <v/>
      </c>
    </row>
    <row r="7600">
      <c r="A7600">
        <f>IFERROR(INDEX('Email Cleaner'!$B$2:$B$10001,MATCH(7599,'Email Cleaner'!$H$2:$H$10001,0)),"")</f>
        <v/>
      </c>
    </row>
    <row r="7601">
      <c r="A7601">
        <f>IFERROR(INDEX('Email Cleaner'!$B$2:$B$10001,MATCH(7600,'Email Cleaner'!$H$2:$H$10001,0)),"")</f>
        <v/>
      </c>
    </row>
    <row r="7602">
      <c r="A7602">
        <f>IFERROR(INDEX('Email Cleaner'!$B$2:$B$10001,MATCH(7601,'Email Cleaner'!$H$2:$H$10001,0)),"")</f>
        <v/>
      </c>
    </row>
    <row r="7603">
      <c r="A7603">
        <f>IFERROR(INDEX('Email Cleaner'!$B$2:$B$10001,MATCH(7602,'Email Cleaner'!$H$2:$H$10001,0)),"")</f>
        <v/>
      </c>
    </row>
    <row r="7604">
      <c r="A7604">
        <f>IFERROR(INDEX('Email Cleaner'!$B$2:$B$10001,MATCH(7603,'Email Cleaner'!$H$2:$H$10001,0)),"")</f>
        <v/>
      </c>
    </row>
    <row r="7605">
      <c r="A7605">
        <f>IFERROR(INDEX('Email Cleaner'!$B$2:$B$10001,MATCH(7604,'Email Cleaner'!$H$2:$H$10001,0)),"")</f>
        <v/>
      </c>
    </row>
    <row r="7606">
      <c r="A7606">
        <f>IFERROR(INDEX('Email Cleaner'!$B$2:$B$10001,MATCH(7605,'Email Cleaner'!$H$2:$H$10001,0)),"")</f>
        <v/>
      </c>
    </row>
    <row r="7607">
      <c r="A7607">
        <f>IFERROR(INDEX('Email Cleaner'!$B$2:$B$10001,MATCH(7606,'Email Cleaner'!$H$2:$H$10001,0)),"")</f>
        <v/>
      </c>
    </row>
    <row r="7608">
      <c r="A7608">
        <f>IFERROR(INDEX('Email Cleaner'!$B$2:$B$10001,MATCH(7607,'Email Cleaner'!$H$2:$H$10001,0)),"")</f>
        <v/>
      </c>
    </row>
    <row r="7609">
      <c r="A7609">
        <f>IFERROR(INDEX('Email Cleaner'!$B$2:$B$10001,MATCH(7608,'Email Cleaner'!$H$2:$H$10001,0)),"")</f>
        <v/>
      </c>
    </row>
    <row r="7610">
      <c r="A7610">
        <f>IFERROR(INDEX('Email Cleaner'!$B$2:$B$10001,MATCH(7609,'Email Cleaner'!$H$2:$H$10001,0)),"")</f>
        <v/>
      </c>
    </row>
    <row r="7611">
      <c r="A7611">
        <f>IFERROR(INDEX('Email Cleaner'!$B$2:$B$10001,MATCH(7610,'Email Cleaner'!$H$2:$H$10001,0)),"")</f>
        <v/>
      </c>
    </row>
    <row r="7612">
      <c r="A7612">
        <f>IFERROR(INDEX('Email Cleaner'!$B$2:$B$10001,MATCH(7611,'Email Cleaner'!$H$2:$H$10001,0)),"")</f>
        <v/>
      </c>
    </row>
    <row r="7613">
      <c r="A7613">
        <f>IFERROR(INDEX('Email Cleaner'!$B$2:$B$10001,MATCH(7612,'Email Cleaner'!$H$2:$H$10001,0)),"")</f>
        <v/>
      </c>
    </row>
    <row r="7614">
      <c r="A7614">
        <f>IFERROR(INDEX('Email Cleaner'!$B$2:$B$10001,MATCH(7613,'Email Cleaner'!$H$2:$H$10001,0)),"")</f>
        <v/>
      </c>
    </row>
    <row r="7615">
      <c r="A7615">
        <f>IFERROR(INDEX('Email Cleaner'!$B$2:$B$10001,MATCH(7614,'Email Cleaner'!$H$2:$H$10001,0)),"")</f>
        <v/>
      </c>
    </row>
    <row r="7616">
      <c r="A7616">
        <f>IFERROR(INDEX('Email Cleaner'!$B$2:$B$10001,MATCH(7615,'Email Cleaner'!$H$2:$H$10001,0)),"")</f>
        <v/>
      </c>
    </row>
    <row r="7617">
      <c r="A7617">
        <f>IFERROR(INDEX('Email Cleaner'!$B$2:$B$10001,MATCH(7616,'Email Cleaner'!$H$2:$H$10001,0)),"")</f>
        <v/>
      </c>
    </row>
    <row r="7618">
      <c r="A7618">
        <f>IFERROR(INDEX('Email Cleaner'!$B$2:$B$10001,MATCH(7617,'Email Cleaner'!$H$2:$H$10001,0)),"")</f>
        <v/>
      </c>
    </row>
    <row r="7619">
      <c r="A7619">
        <f>IFERROR(INDEX('Email Cleaner'!$B$2:$B$10001,MATCH(7618,'Email Cleaner'!$H$2:$H$10001,0)),"")</f>
        <v/>
      </c>
    </row>
    <row r="7620">
      <c r="A7620">
        <f>IFERROR(INDEX('Email Cleaner'!$B$2:$B$10001,MATCH(7619,'Email Cleaner'!$H$2:$H$10001,0)),"")</f>
        <v/>
      </c>
    </row>
    <row r="7621">
      <c r="A7621">
        <f>IFERROR(INDEX('Email Cleaner'!$B$2:$B$10001,MATCH(7620,'Email Cleaner'!$H$2:$H$10001,0)),"")</f>
        <v/>
      </c>
    </row>
    <row r="7622">
      <c r="A7622">
        <f>IFERROR(INDEX('Email Cleaner'!$B$2:$B$10001,MATCH(7621,'Email Cleaner'!$H$2:$H$10001,0)),"")</f>
        <v/>
      </c>
    </row>
    <row r="7623">
      <c r="A7623">
        <f>IFERROR(INDEX('Email Cleaner'!$B$2:$B$10001,MATCH(7622,'Email Cleaner'!$H$2:$H$10001,0)),"")</f>
        <v/>
      </c>
    </row>
    <row r="7624">
      <c r="A7624">
        <f>IFERROR(INDEX('Email Cleaner'!$B$2:$B$10001,MATCH(7623,'Email Cleaner'!$H$2:$H$10001,0)),"")</f>
        <v/>
      </c>
    </row>
    <row r="7625">
      <c r="A7625">
        <f>IFERROR(INDEX('Email Cleaner'!$B$2:$B$10001,MATCH(7624,'Email Cleaner'!$H$2:$H$10001,0)),"")</f>
        <v/>
      </c>
    </row>
    <row r="7626">
      <c r="A7626">
        <f>IFERROR(INDEX('Email Cleaner'!$B$2:$B$10001,MATCH(7625,'Email Cleaner'!$H$2:$H$10001,0)),"")</f>
        <v/>
      </c>
    </row>
    <row r="7627">
      <c r="A7627">
        <f>IFERROR(INDEX('Email Cleaner'!$B$2:$B$10001,MATCH(7626,'Email Cleaner'!$H$2:$H$10001,0)),"")</f>
        <v/>
      </c>
    </row>
    <row r="7628">
      <c r="A7628">
        <f>IFERROR(INDEX('Email Cleaner'!$B$2:$B$10001,MATCH(7627,'Email Cleaner'!$H$2:$H$10001,0)),"")</f>
        <v/>
      </c>
    </row>
    <row r="7629">
      <c r="A7629">
        <f>IFERROR(INDEX('Email Cleaner'!$B$2:$B$10001,MATCH(7628,'Email Cleaner'!$H$2:$H$10001,0)),"")</f>
        <v/>
      </c>
    </row>
    <row r="7630">
      <c r="A7630">
        <f>IFERROR(INDEX('Email Cleaner'!$B$2:$B$10001,MATCH(7629,'Email Cleaner'!$H$2:$H$10001,0)),"")</f>
        <v/>
      </c>
    </row>
    <row r="7631">
      <c r="A7631">
        <f>IFERROR(INDEX('Email Cleaner'!$B$2:$B$10001,MATCH(7630,'Email Cleaner'!$H$2:$H$10001,0)),"")</f>
        <v/>
      </c>
    </row>
    <row r="7632">
      <c r="A7632">
        <f>IFERROR(INDEX('Email Cleaner'!$B$2:$B$10001,MATCH(7631,'Email Cleaner'!$H$2:$H$10001,0)),"")</f>
        <v/>
      </c>
    </row>
    <row r="7633">
      <c r="A7633">
        <f>IFERROR(INDEX('Email Cleaner'!$B$2:$B$10001,MATCH(7632,'Email Cleaner'!$H$2:$H$10001,0)),"")</f>
        <v/>
      </c>
    </row>
    <row r="7634">
      <c r="A7634">
        <f>IFERROR(INDEX('Email Cleaner'!$B$2:$B$10001,MATCH(7633,'Email Cleaner'!$H$2:$H$10001,0)),"")</f>
        <v/>
      </c>
    </row>
    <row r="7635">
      <c r="A7635">
        <f>IFERROR(INDEX('Email Cleaner'!$B$2:$B$10001,MATCH(7634,'Email Cleaner'!$H$2:$H$10001,0)),"")</f>
        <v/>
      </c>
    </row>
    <row r="7636">
      <c r="A7636">
        <f>IFERROR(INDEX('Email Cleaner'!$B$2:$B$10001,MATCH(7635,'Email Cleaner'!$H$2:$H$10001,0)),"")</f>
        <v/>
      </c>
    </row>
    <row r="7637">
      <c r="A7637">
        <f>IFERROR(INDEX('Email Cleaner'!$B$2:$B$10001,MATCH(7636,'Email Cleaner'!$H$2:$H$10001,0)),"")</f>
        <v/>
      </c>
    </row>
    <row r="7638">
      <c r="A7638">
        <f>IFERROR(INDEX('Email Cleaner'!$B$2:$B$10001,MATCH(7637,'Email Cleaner'!$H$2:$H$10001,0)),"")</f>
        <v/>
      </c>
    </row>
    <row r="7639">
      <c r="A7639">
        <f>IFERROR(INDEX('Email Cleaner'!$B$2:$B$10001,MATCH(7638,'Email Cleaner'!$H$2:$H$10001,0)),"")</f>
        <v/>
      </c>
    </row>
    <row r="7640">
      <c r="A7640">
        <f>IFERROR(INDEX('Email Cleaner'!$B$2:$B$10001,MATCH(7639,'Email Cleaner'!$H$2:$H$10001,0)),"")</f>
        <v/>
      </c>
    </row>
    <row r="7641">
      <c r="A7641">
        <f>IFERROR(INDEX('Email Cleaner'!$B$2:$B$10001,MATCH(7640,'Email Cleaner'!$H$2:$H$10001,0)),"")</f>
        <v/>
      </c>
    </row>
    <row r="7642">
      <c r="A7642">
        <f>IFERROR(INDEX('Email Cleaner'!$B$2:$B$10001,MATCH(7641,'Email Cleaner'!$H$2:$H$10001,0)),"")</f>
        <v/>
      </c>
    </row>
    <row r="7643">
      <c r="A7643">
        <f>IFERROR(INDEX('Email Cleaner'!$B$2:$B$10001,MATCH(7642,'Email Cleaner'!$H$2:$H$10001,0)),"")</f>
        <v/>
      </c>
    </row>
    <row r="7644">
      <c r="A7644">
        <f>IFERROR(INDEX('Email Cleaner'!$B$2:$B$10001,MATCH(7643,'Email Cleaner'!$H$2:$H$10001,0)),"")</f>
        <v/>
      </c>
    </row>
    <row r="7645">
      <c r="A7645">
        <f>IFERROR(INDEX('Email Cleaner'!$B$2:$B$10001,MATCH(7644,'Email Cleaner'!$H$2:$H$10001,0)),"")</f>
        <v/>
      </c>
    </row>
    <row r="7646">
      <c r="A7646">
        <f>IFERROR(INDEX('Email Cleaner'!$B$2:$B$10001,MATCH(7645,'Email Cleaner'!$H$2:$H$10001,0)),"")</f>
        <v/>
      </c>
    </row>
    <row r="7647">
      <c r="A7647">
        <f>IFERROR(INDEX('Email Cleaner'!$B$2:$B$10001,MATCH(7646,'Email Cleaner'!$H$2:$H$10001,0)),"")</f>
        <v/>
      </c>
    </row>
    <row r="7648">
      <c r="A7648">
        <f>IFERROR(INDEX('Email Cleaner'!$B$2:$B$10001,MATCH(7647,'Email Cleaner'!$H$2:$H$10001,0)),"")</f>
        <v/>
      </c>
    </row>
    <row r="7649">
      <c r="A7649">
        <f>IFERROR(INDEX('Email Cleaner'!$B$2:$B$10001,MATCH(7648,'Email Cleaner'!$H$2:$H$10001,0)),"")</f>
        <v/>
      </c>
    </row>
    <row r="7650">
      <c r="A7650">
        <f>IFERROR(INDEX('Email Cleaner'!$B$2:$B$10001,MATCH(7649,'Email Cleaner'!$H$2:$H$10001,0)),"")</f>
        <v/>
      </c>
    </row>
    <row r="7651">
      <c r="A7651">
        <f>IFERROR(INDEX('Email Cleaner'!$B$2:$B$10001,MATCH(7650,'Email Cleaner'!$H$2:$H$10001,0)),"")</f>
        <v/>
      </c>
    </row>
    <row r="7652">
      <c r="A7652">
        <f>IFERROR(INDEX('Email Cleaner'!$B$2:$B$10001,MATCH(7651,'Email Cleaner'!$H$2:$H$10001,0)),"")</f>
        <v/>
      </c>
    </row>
    <row r="7653">
      <c r="A7653">
        <f>IFERROR(INDEX('Email Cleaner'!$B$2:$B$10001,MATCH(7652,'Email Cleaner'!$H$2:$H$10001,0)),"")</f>
        <v/>
      </c>
    </row>
    <row r="7654">
      <c r="A7654">
        <f>IFERROR(INDEX('Email Cleaner'!$B$2:$B$10001,MATCH(7653,'Email Cleaner'!$H$2:$H$10001,0)),"")</f>
        <v/>
      </c>
    </row>
    <row r="7655">
      <c r="A7655">
        <f>IFERROR(INDEX('Email Cleaner'!$B$2:$B$10001,MATCH(7654,'Email Cleaner'!$H$2:$H$10001,0)),"")</f>
        <v/>
      </c>
    </row>
    <row r="7656">
      <c r="A7656">
        <f>IFERROR(INDEX('Email Cleaner'!$B$2:$B$10001,MATCH(7655,'Email Cleaner'!$H$2:$H$10001,0)),"")</f>
        <v/>
      </c>
    </row>
    <row r="7657">
      <c r="A7657">
        <f>IFERROR(INDEX('Email Cleaner'!$B$2:$B$10001,MATCH(7656,'Email Cleaner'!$H$2:$H$10001,0)),"")</f>
        <v/>
      </c>
    </row>
    <row r="7658">
      <c r="A7658">
        <f>IFERROR(INDEX('Email Cleaner'!$B$2:$B$10001,MATCH(7657,'Email Cleaner'!$H$2:$H$10001,0)),"")</f>
        <v/>
      </c>
    </row>
    <row r="7659">
      <c r="A7659">
        <f>IFERROR(INDEX('Email Cleaner'!$B$2:$B$10001,MATCH(7658,'Email Cleaner'!$H$2:$H$10001,0)),"")</f>
        <v/>
      </c>
    </row>
    <row r="7660">
      <c r="A7660">
        <f>IFERROR(INDEX('Email Cleaner'!$B$2:$B$10001,MATCH(7659,'Email Cleaner'!$H$2:$H$10001,0)),"")</f>
        <v/>
      </c>
    </row>
    <row r="7661">
      <c r="A7661">
        <f>IFERROR(INDEX('Email Cleaner'!$B$2:$B$10001,MATCH(7660,'Email Cleaner'!$H$2:$H$10001,0)),"")</f>
        <v/>
      </c>
    </row>
    <row r="7662">
      <c r="A7662">
        <f>IFERROR(INDEX('Email Cleaner'!$B$2:$B$10001,MATCH(7661,'Email Cleaner'!$H$2:$H$10001,0)),"")</f>
        <v/>
      </c>
    </row>
    <row r="7663">
      <c r="A7663">
        <f>IFERROR(INDEX('Email Cleaner'!$B$2:$B$10001,MATCH(7662,'Email Cleaner'!$H$2:$H$10001,0)),"")</f>
        <v/>
      </c>
    </row>
    <row r="7664">
      <c r="A7664">
        <f>IFERROR(INDEX('Email Cleaner'!$B$2:$B$10001,MATCH(7663,'Email Cleaner'!$H$2:$H$10001,0)),"")</f>
        <v/>
      </c>
    </row>
    <row r="7665">
      <c r="A7665">
        <f>IFERROR(INDEX('Email Cleaner'!$B$2:$B$10001,MATCH(7664,'Email Cleaner'!$H$2:$H$10001,0)),"")</f>
        <v/>
      </c>
    </row>
    <row r="7666">
      <c r="A7666">
        <f>IFERROR(INDEX('Email Cleaner'!$B$2:$B$10001,MATCH(7665,'Email Cleaner'!$H$2:$H$10001,0)),"")</f>
        <v/>
      </c>
    </row>
    <row r="7667">
      <c r="A7667">
        <f>IFERROR(INDEX('Email Cleaner'!$B$2:$B$10001,MATCH(7666,'Email Cleaner'!$H$2:$H$10001,0)),"")</f>
        <v/>
      </c>
    </row>
    <row r="7668">
      <c r="A7668">
        <f>IFERROR(INDEX('Email Cleaner'!$B$2:$B$10001,MATCH(7667,'Email Cleaner'!$H$2:$H$10001,0)),"")</f>
        <v/>
      </c>
    </row>
    <row r="7669">
      <c r="A7669">
        <f>IFERROR(INDEX('Email Cleaner'!$B$2:$B$10001,MATCH(7668,'Email Cleaner'!$H$2:$H$10001,0)),"")</f>
        <v/>
      </c>
    </row>
    <row r="7670">
      <c r="A7670">
        <f>IFERROR(INDEX('Email Cleaner'!$B$2:$B$10001,MATCH(7669,'Email Cleaner'!$H$2:$H$10001,0)),"")</f>
        <v/>
      </c>
    </row>
    <row r="7671">
      <c r="A7671">
        <f>IFERROR(INDEX('Email Cleaner'!$B$2:$B$10001,MATCH(7670,'Email Cleaner'!$H$2:$H$10001,0)),"")</f>
        <v/>
      </c>
    </row>
    <row r="7672">
      <c r="A7672">
        <f>IFERROR(INDEX('Email Cleaner'!$B$2:$B$10001,MATCH(7671,'Email Cleaner'!$H$2:$H$10001,0)),"")</f>
        <v/>
      </c>
    </row>
    <row r="7673">
      <c r="A7673">
        <f>IFERROR(INDEX('Email Cleaner'!$B$2:$B$10001,MATCH(7672,'Email Cleaner'!$H$2:$H$10001,0)),"")</f>
        <v/>
      </c>
    </row>
    <row r="7674">
      <c r="A7674">
        <f>IFERROR(INDEX('Email Cleaner'!$B$2:$B$10001,MATCH(7673,'Email Cleaner'!$H$2:$H$10001,0)),"")</f>
        <v/>
      </c>
    </row>
    <row r="7675">
      <c r="A7675">
        <f>IFERROR(INDEX('Email Cleaner'!$B$2:$B$10001,MATCH(7674,'Email Cleaner'!$H$2:$H$10001,0)),"")</f>
        <v/>
      </c>
    </row>
    <row r="7676">
      <c r="A7676">
        <f>IFERROR(INDEX('Email Cleaner'!$B$2:$B$10001,MATCH(7675,'Email Cleaner'!$H$2:$H$10001,0)),"")</f>
        <v/>
      </c>
    </row>
    <row r="7677">
      <c r="A7677">
        <f>IFERROR(INDEX('Email Cleaner'!$B$2:$B$10001,MATCH(7676,'Email Cleaner'!$H$2:$H$10001,0)),"")</f>
        <v/>
      </c>
    </row>
    <row r="7678">
      <c r="A7678">
        <f>IFERROR(INDEX('Email Cleaner'!$B$2:$B$10001,MATCH(7677,'Email Cleaner'!$H$2:$H$10001,0)),"")</f>
        <v/>
      </c>
    </row>
    <row r="7679">
      <c r="A7679">
        <f>IFERROR(INDEX('Email Cleaner'!$B$2:$B$10001,MATCH(7678,'Email Cleaner'!$H$2:$H$10001,0)),"")</f>
        <v/>
      </c>
    </row>
    <row r="7680">
      <c r="A7680">
        <f>IFERROR(INDEX('Email Cleaner'!$B$2:$B$10001,MATCH(7679,'Email Cleaner'!$H$2:$H$10001,0)),"")</f>
        <v/>
      </c>
    </row>
    <row r="7681">
      <c r="A7681">
        <f>IFERROR(INDEX('Email Cleaner'!$B$2:$B$10001,MATCH(7680,'Email Cleaner'!$H$2:$H$10001,0)),"")</f>
        <v/>
      </c>
    </row>
    <row r="7682">
      <c r="A7682">
        <f>IFERROR(INDEX('Email Cleaner'!$B$2:$B$10001,MATCH(7681,'Email Cleaner'!$H$2:$H$10001,0)),"")</f>
        <v/>
      </c>
    </row>
    <row r="7683">
      <c r="A7683">
        <f>IFERROR(INDEX('Email Cleaner'!$B$2:$B$10001,MATCH(7682,'Email Cleaner'!$H$2:$H$10001,0)),"")</f>
        <v/>
      </c>
    </row>
    <row r="7684">
      <c r="A7684">
        <f>IFERROR(INDEX('Email Cleaner'!$B$2:$B$10001,MATCH(7683,'Email Cleaner'!$H$2:$H$10001,0)),"")</f>
        <v/>
      </c>
    </row>
    <row r="7685">
      <c r="A7685">
        <f>IFERROR(INDEX('Email Cleaner'!$B$2:$B$10001,MATCH(7684,'Email Cleaner'!$H$2:$H$10001,0)),"")</f>
        <v/>
      </c>
    </row>
    <row r="7686">
      <c r="A7686">
        <f>IFERROR(INDEX('Email Cleaner'!$B$2:$B$10001,MATCH(7685,'Email Cleaner'!$H$2:$H$10001,0)),"")</f>
        <v/>
      </c>
    </row>
    <row r="7687">
      <c r="A7687">
        <f>IFERROR(INDEX('Email Cleaner'!$B$2:$B$10001,MATCH(7686,'Email Cleaner'!$H$2:$H$10001,0)),"")</f>
        <v/>
      </c>
    </row>
    <row r="7688">
      <c r="A7688">
        <f>IFERROR(INDEX('Email Cleaner'!$B$2:$B$10001,MATCH(7687,'Email Cleaner'!$H$2:$H$10001,0)),"")</f>
        <v/>
      </c>
    </row>
    <row r="7689">
      <c r="A7689">
        <f>IFERROR(INDEX('Email Cleaner'!$B$2:$B$10001,MATCH(7688,'Email Cleaner'!$H$2:$H$10001,0)),"")</f>
        <v/>
      </c>
    </row>
    <row r="7690">
      <c r="A7690">
        <f>IFERROR(INDEX('Email Cleaner'!$B$2:$B$10001,MATCH(7689,'Email Cleaner'!$H$2:$H$10001,0)),"")</f>
        <v/>
      </c>
    </row>
    <row r="7691">
      <c r="A7691">
        <f>IFERROR(INDEX('Email Cleaner'!$B$2:$B$10001,MATCH(7690,'Email Cleaner'!$H$2:$H$10001,0)),"")</f>
        <v/>
      </c>
    </row>
    <row r="7692">
      <c r="A7692">
        <f>IFERROR(INDEX('Email Cleaner'!$B$2:$B$10001,MATCH(7691,'Email Cleaner'!$H$2:$H$10001,0)),"")</f>
        <v/>
      </c>
    </row>
    <row r="7693">
      <c r="A7693">
        <f>IFERROR(INDEX('Email Cleaner'!$B$2:$B$10001,MATCH(7692,'Email Cleaner'!$H$2:$H$10001,0)),"")</f>
        <v/>
      </c>
    </row>
    <row r="7694">
      <c r="A7694">
        <f>IFERROR(INDEX('Email Cleaner'!$B$2:$B$10001,MATCH(7693,'Email Cleaner'!$H$2:$H$10001,0)),"")</f>
        <v/>
      </c>
    </row>
    <row r="7695">
      <c r="A7695">
        <f>IFERROR(INDEX('Email Cleaner'!$B$2:$B$10001,MATCH(7694,'Email Cleaner'!$H$2:$H$10001,0)),"")</f>
        <v/>
      </c>
    </row>
    <row r="7696">
      <c r="A7696">
        <f>IFERROR(INDEX('Email Cleaner'!$B$2:$B$10001,MATCH(7695,'Email Cleaner'!$H$2:$H$10001,0)),"")</f>
        <v/>
      </c>
    </row>
    <row r="7697">
      <c r="A7697">
        <f>IFERROR(INDEX('Email Cleaner'!$B$2:$B$10001,MATCH(7696,'Email Cleaner'!$H$2:$H$10001,0)),"")</f>
        <v/>
      </c>
    </row>
    <row r="7698">
      <c r="A7698">
        <f>IFERROR(INDEX('Email Cleaner'!$B$2:$B$10001,MATCH(7697,'Email Cleaner'!$H$2:$H$10001,0)),"")</f>
        <v/>
      </c>
    </row>
    <row r="7699">
      <c r="A7699">
        <f>IFERROR(INDEX('Email Cleaner'!$B$2:$B$10001,MATCH(7698,'Email Cleaner'!$H$2:$H$10001,0)),"")</f>
        <v/>
      </c>
    </row>
    <row r="7700">
      <c r="A7700">
        <f>IFERROR(INDEX('Email Cleaner'!$B$2:$B$10001,MATCH(7699,'Email Cleaner'!$H$2:$H$10001,0)),"")</f>
        <v/>
      </c>
    </row>
    <row r="7701">
      <c r="A7701">
        <f>IFERROR(INDEX('Email Cleaner'!$B$2:$B$10001,MATCH(7700,'Email Cleaner'!$H$2:$H$10001,0)),"")</f>
        <v/>
      </c>
    </row>
    <row r="7702">
      <c r="A7702">
        <f>IFERROR(INDEX('Email Cleaner'!$B$2:$B$10001,MATCH(7701,'Email Cleaner'!$H$2:$H$10001,0)),"")</f>
        <v/>
      </c>
    </row>
    <row r="7703">
      <c r="A7703">
        <f>IFERROR(INDEX('Email Cleaner'!$B$2:$B$10001,MATCH(7702,'Email Cleaner'!$H$2:$H$10001,0)),"")</f>
        <v/>
      </c>
    </row>
    <row r="7704">
      <c r="A7704">
        <f>IFERROR(INDEX('Email Cleaner'!$B$2:$B$10001,MATCH(7703,'Email Cleaner'!$H$2:$H$10001,0)),"")</f>
        <v/>
      </c>
    </row>
    <row r="7705">
      <c r="A7705">
        <f>IFERROR(INDEX('Email Cleaner'!$B$2:$B$10001,MATCH(7704,'Email Cleaner'!$H$2:$H$10001,0)),"")</f>
        <v/>
      </c>
    </row>
    <row r="7706">
      <c r="A7706">
        <f>IFERROR(INDEX('Email Cleaner'!$B$2:$B$10001,MATCH(7705,'Email Cleaner'!$H$2:$H$10001,0)),"")</f>
        <v/>
      </c>
    </row>
    <row r="7707">
      <c r="A7707">
        <f>IFERROR(INDEX('Email Cleaner'!$B$2:$B$10001,MATCH(7706,'Email Cleaner'!$H$2:$H$10001,0)),"")</f>
        <v/>
      </c>
    </row>
    <row r="7708">
      <c r="A7708">
        <f>IFERROR(INDEX('Email Cleaner'!$B$2:$B$10001,MATCH(7707,'Email Cleaner'!$H$2:$H$10001,0)),"")</f>
        <v/>
      </c>
    </row>
    <row r="7709">
      <c r="A7709">
        <f>IFERROR(INDEX('Email Cleaner'!$B$2:$B$10001,MATCH(7708,'Email Cleaner'!$H$2:$H$10001,0)),"")</f>
        <v/>
      </c>
    </row>
    <row r="7710">
      <c r="A7710">
        <f>IFERROR(INDEX('Email Cleaner'!$B$2:$B$10001,MATCH(7709,'Email Cleaner'!$H$2:$H$10001,0)),"")</f>
        <v/>
      </c>
    </row>
    <row r="7711">
      <c r="A7711">
        <f>IFERROR(INDEX('Email Cleaner'!$B$2:$B$10001,MATCH(7710,'Email Cleaner'!$H$2:$H$10001,0)),"")</f>
        <v/>
      </c>
    </row>
    <row r="7712">
      <c r="A7712">
        <f>IFERROR(INDEX('Email Cleaner'!$B$2:$B$10001,MATCH(7711,'Email Cleaner'!$H$2:$H$10001,0)),"")</f>
        <v/>
      </c>
    </row>
    <row r="7713">
      <c r="A7713">
        <f>IFERROR(INDEX('Email Cleaner'!$B$2:$B$10001,MATCH(7712,'Email Cleaner'!$H$2:$H$10001,0)),"")</f>
        <v/>
      </c>
    </row>
    <row r="7714">
      <c r="A7714">
        <f>IFERROR(INDEX('Email Cleaner'!$B$2:$B$10001,MATCH(7713,'Email Cleaner'!$H$2:$H$10001,0)),"")</f>
        <v/>
      </c>
    </row>
    <row r="7715">
      <c r="A7715">
        <f>IFERROR(INDEX('Email Cleaner'!$B$2:$B$10001,MATCH(7714,'Email Cleaner'!$H$2:$H$10001,0)),"")</f>
        <v/>
      </c>
    </row>
    <row r="7716">
      <c r="A7716">
        <f>IFERROR(INDEX('Email Cleaner'!$B$2:$B$10001,MATCH(7715,'Email Cleaner'!$H$2:$H$10001,0)),"")</f>
        <v/>
      </c>
    </row>
    <row r="7717">
      <c r="A7717">
        <f>IFERROR(INDEX('Email Cleaner'!$B$2:$B$10001,MATCH(7716,'Email Cleaner'!$H$2:$H$10001,0)),"")</f>
        <v/>
      </c>
    </row>
    <row r="7718">
      <c r="A7718">
        <f>IFERROR(INDEX('Email Cleaner'!$B$2:$B$10001,MATCH(7717,'Email Cleaner'!$H$2:$H$10001,0)),"")</f>
        <v/>
      </c>
    </row>
    <row r="7719">
      <c r="A7719">
        <f>IFERROR(INDEX('Email Cleaner'!$B$2:$B$10001,MATCH(7718,'Email Cleaner'!$H$2:$H$10001,0)),"")</f>
        <v/>
      </c>
    </row>
    <row r="7720">
      <c r="A7720">
        <f>IFERROR(INDEX('Email Cleaner'!$B$2:$B$10001,MATCH(7719,'Email Cleaner'!$H$2:$H$10001,0)),"")</f>
        <v/>
      </c>
    </row>
    <row r="7721">
      <c r="A7721">
        <f>IFERROR(INDEX('Email Cleaner'!$B$2:$B$10001,MATCH(7720,'Email Cleaner'!$H$2:$H$10001,0)),"")</f>
        <v/>
      </c>
    </row>
    <row r="7722">
      <c r="A7722">
        <f>IFERROR(INDEX('Email Cleaner'!$B$2:$B$10001,MATCH(7721,'Email Cleaner'!$H$2:$H$10001,0)),"")</f>
        <v/>
      </c>
    </row>
    <row r="7723">
      <c r="A7723">
        <f>IFERROR(INDEX('Email Cleaner'!$B$2:$B$10001,MATCH(7722,'Email Cleaner'!$H$2:$H$10001,0)),"")</f>
        <v/>
      </c>
    </row>
    <row r="7724">
      <c r="A7724">
        <f>IFERROR(INDEX('Email Cleaner'!$B$2:$B$10001,MATCH(7723,'Email Cleaner'!$H$2:$H$10001,0)),"")</f>
        <v/>
      </c>
    </row>
    <row r="7725">
      <c r="A7725">
        <f>IFERROR(INDEX('Email Cleaner'!$B$2:$B$10001,MATCH(7724,'Email Cleaner'!$H$2:$H$10001,0)),"")</f>
        <v/>
      </c>
    </row>
    <row r="7726">
      <c r="A7726">
        <f>IFERROR(INDEX('Email Cleaner'!$B$2:$B$10001,MATCH(7725,'Email Cleaner'!$H$2:$H$10001,0)),"")</f>
        <v/>
      </c>
    </row>
    <row r="7727">
      <c r="A7727">
        <f>IFERROR(INDEX('Email Cleaner'!$B$2:$B$10001,MATCH(7726,'Email Cleaner'!$H$2:$H$10001,0)),"")</f>
        <v/>
      </c>
    </row>
    <row r="7728">
      <c r="A7728">
        <f>IFERROR(INDEX('Email Cleaner'!$B$2:$B$10001,MATCH(7727,'Email Cleaner'!$H$2:$H$10001,0)),"")</f>
        <v/>
      </c>
    </row>
    <row r="7729">
      <c r="A7729">
        <f>IFERROR(INDEX('Email Cleaner'!$B$2:$B$10001,MATCH(7728,'Email Cleaner'!$H$2:$H$10001,0)),"")</f>
        <v/>
      </c>
    </row>
    <row r="7730">
      <c r="A7730">
        <f>IFERROR(INDEX('Email Cleaner'!$B$2:$B$10001,MATCH(7729,'Email Cleaner'!$H$2:$H$10001,0)),"")</f>
        <v/>
      </c>
    </row>
    <row r="7731">
      <c r="A7731">
        <f>IFERROR(INDEX('Email Cleaner'!$B$2:$B$10001,MATCH(7730,'Email Cleaner'!$H$2:$H$10001,0)),"")</f>
        <v/>
      </c>
    </row>
    <row r="7732">
      <c r="A7732">
        <f>IFERROR(INDEX('Email Cleaner'!$B$2:$B$10001,MATCH(7731,'Email Cleaner'!$H$2:$H$10001,0)),"")</f>
        <v/>
      </c>
    </row>
    <row r="7733">
      <c r="A7733">
        <f>IFERROR(INDEX('Email Cleaner'!$B$2:$B$10001,MATCH(7732,'Email Cleaner'!$H$2:$H$10001,0)),"")</f>
        <v/>
      </c>
    </row>
    <row r="7734">
      <c r="A7734">
        <f>IFERROR(INDEX('Email Cleaner'!$B$2:$B$10001,MATCH(7733,'Email Cleaner'!$H$2:$H$10001,0)),"")</f>
        <v/>
      </c>
    </row>
    <row r="7735">
      <c r="A7735">
        <f>IFERROR(INDEX('Email Cleaner'!$B$2:$B$10001,MATCH(7734,'Email Cleaner'!$H$2:$H$10001,0)),"")</f>
        <v/>
      </c>
    </row>
    <row r="7736">
      <c r="A7736">
        <f>IFERROR(INDEX('Email Cleaner'!$B$2:$B$10001,MATCH(7735,'Email Cleaner'!$H$2:$H$10001,0)),"")</f>
        <v/>
      </c>
    </row>
    <row r="7737">
      <c r="A7737">
        <f>IFERROR(INDEX('Email Cleaner'!$B$2:$B$10001,MATCH(7736,'Email Cleaner'!$H$2:$H$10001,0)),"")</f>
        <v/>
      </c>
    </row>
    <row r="7738">
      <c r="A7738">
        <f>IFERROR(INDEX('Email Cleaner'!$B$2:$B$10001,MATCH(7737,'Email Cleaner'!$H$2:$H$10001,0)),"")</f>
        <v/>
      </c>
    </row>
    <row r="7739">
      <c r="A7739">
        <f>IFERROR(INDEX('Email Cleaner'!$B$2:$B$10001,MATCH(7738,'Email Cleaner'!$H$2:$H$10001,0)),"")</f>
        <v/>
      </c>
    </row>
    <row r="7740">
      <c r="A7740">
        <f>IFERROR(INDEX('Email Cleaner'!$B$2:$B$10001,MATCH(7739,'Email Cleaner'!$H$2:$H$10001,0)),"")</f>
        <v/>
      </c>
    </row>
    <row r="7741">
      <c r="A7741">
        <f>IFERROR(INDEX('Email Cleaner'!$B$2:$B$10001,MATCH(7740,'Email Cleaner'!$H$2:$H$10001,0)),"")</f>
        <v/>
      </c>
    </row>
    <row r="7742">
      <c r="A7742">
        <f>IFERROR(INDEX('Email Cleaner'!$B$2:$B$10001,MATCH(7741,'Email Cleaner'!$H$2:$H$10001,0)),"")</f>
        <v/>
      </c>
    </row>
    <row r="7743">
      <c r="A7743">
        <f>IFERROR(INDEX('Email Cleaner'!$B$2:$B$10001,MATCH(7742,'Email Cleaner'!$H$2:$H$10001,0)),"")</f>
        <v/>
      </c>
    </row>
    <row r="7744">
      <c r="A7744">
        <f>IFERROR(INDEX('Email Cleaner'!$B$2:$B$10001,MATCH(7743,'Email Cleaner'!$H$2:$H$10001,0)),"")</f>
        <v/>
      </c>
    </row>
    <row r="7745">
      <c r="A7745">
        <f>IFERROR(INDEX('Email Cleaner'!$B$2:$B$10001,MATCH(7744,'Email Cleaner'!$H$2:$H$10001,0)),"")</f>
        <v/>
      </c>
    </row>
    <row r="7746">
      <c r="A7746">
        <f>IFERROR(INDEX('Email Cleaner'!$B$2:$B$10001,MATCH(7745,'Email Cleaner'!$H$2:$H$10001,0)),"")</f>
        <v/>
      </c>
    </row>
    <row r="7747">
      <c r="A7747">
        <f>IFERROR(INDEX('Email Cleaner'!$B$2:$B$10001,MATCH(7746,'Email Cleaner'!$H$2:$H$10001,0)),"")</f>
        <v/>
      </c>
    </row>
    <row r="7748">
      <c r="A7748">
        <f>IFERROR(INDEX('Email Cleaner'!$B$2:$B$10001,MATCH(7747,'Email Cleaner'!$H$2:$H$10001,0)),"")</f>
        <v/>
      </c>
    </row>
    <row r="7749">
      <c r="A7749">
        <f>IFERROR(INDEX('Email Cleaner'!$B$2:$B$10001,MATCH(7748,'Email Cleaner'!$H$2:$H$10001,0)),"")</f>
        <v/>
      </c>
    </row>
    <row r="7750">
      <c r="A7750">
        <f>IFERROR(INDEX('Email Cleaner'!$B$2:$B$10001,MATCH(7749,'Email Cleaner'!$H$2:$H$10001,0)),"")</f>
        <v/>
      </c>
    </row>
    <row r="7751">
      <c r="A7751">
        <f>IFERROR(INDEX('Email Cleaner'!$B$2:$B$10001,MATCH(7750,'Email Cleaner'!$H$2:$H$10001,0)),"")</f>
        <v/>
      </c>
    </row>
    <row r="7752">
      <c r="A7752">
        <f>IFERROR(INDEX('Email Cleaner'!$B$2:$B$10001,MATCH(7751,'Email Cleaner'!$H$2:$H$10001,0)),"")</f>
        <v/>
      </c>
    </row>
    <row r="7753">
      <c r="A7753">
        <f>IFERROR(INDEX('Email Cleaner'!$B$2:$B$10001,MATCH(7752,'Email Cleaner'!$H$2:$H$10001,0)),"")</f>
        <v/>
      </c>
    </row>
    <row r="7754">
      <c r="A7754">
        <f>IFERROR(INDEX('Email Cleaner'!$B$2:$B$10001,MATCH(7753,'Email Cleaner'!$H$2:$H$10001,0)),"")</f>
        <v/>
      </c>
    </row>
    <row r="7755">
      <c r="A7755">
        <f>IFERROR(INDEX('Email Cleaner'!$B$2:$B$10001,MATCH(7754,'Email Cleaner'!$H$2:$H$10001,0)),"")</f>
        <v/>
      </c>
    </row>
    <row r="7756">
      <c r="A7756">
        <f>IFERROR(INDEX('Email Cleaner'!$B$2:$B$10001,MATCH(7755,'Email Cleaner'!$H$2:$H$10001,0)),"")</f>
        <v/>
      </c>
    </row>
    <row r="7757">
      <c r="A7757">
        <f>IFERROR(INDEX('Email Cleaner'!$B$2:$B$10001,MATCH(7756,'Email Cleaner'!$H$2:$H$10001,0)),"")</f>
        <v/>
      </c>
    </row>
    <row r="7758">
      <c r="A7758">
        <f>IFERROR(INDEX('Email Cleaner'!$B$2:$B$10001,MATCH(7757,'Email Cleaner'!$H$2:$H$10001,0)),"")</f>
        <v/>
      </c>
    </row>
    <row r="7759">
      <c r="A7759">
        <f>IFERROR(INDEX('Email Cleaner'!$B$2:$B$10001,MATCH(7758,'Email Cleaner'!$H$2:$H$10001,0)),"")</f>
        <v/>
      </c>
    </row>
    <row r="7760">
      <c r="A7760">
        <f>IFERROR(INDEX('Email Cleaner'!$B$2:$B$10001,MATCH(7759,'Email Cleaner'!$H$2:$H$10001,0)),"")</f>
        <v/>
      </c>
    </row>
    <row r="7761">
      <c r="A7761">
        <f>IFERROR(INDEX('Email Cleaner'!$B$2:$B$10001,MATCH(7760,'Email Cleaner'!$H$2:$H$10001,0)),"")</f>
        <v/>
      </c>
    </row>
    <row r="7762">
      <c r="A7762">
        <f>IFERROR(INDEX('Email Cleaner'!$B$2:$B$10001,MATCH(7761,'Email Cleaner'!$H$2:$H$10001,0)),"")</f>
        <v/>
      </c>
    </row>
    <row r="7763">
      <c r="A7763">
        <f>IFERROR(INDEX('Email Cleaner'!$B$2:$B$10001,MATCH(7762,'Email Cleaner'!$H$2:$H$10001,0)),"")</f>
        <v/>
      </c>
    </row>
    <row r="7764">
      <c r="A7764">
        <f>IFERROR(INDEX('Email Cleaner'!$B$2:$B$10001,MATCH(7763,'Email Cleaner'!$H$2:$H$10001,0)),"")</f>
        <v/>
      </c>
    </row>
    <row r="7765">
      <c r="A7765">
        <f>IFERROR(INDEX('Email Cleaner'!$B$2:$B$10001,MATCH(7764,'Email Cleaner'!$H$2:$H$10001,0)),"")</f>
        <v/>
      </c>
    </row>
    <row r="7766">
      <c r="A7766">
        <f>IFERROR(INDEX('Email Cleaner'!$B$2:$B$10001,MATCH(7765,'Email Cleaner'!$H$2:$H$10001,0)),"")</f>
        <v/>
      </c>
    </row>
    <row r="7767">
      <c r="A7767">
        <f>IFERROR(INDEX('Email Cleaner'!$B$2:$B$10001,MATCH(7766,'Email Cleaner'!$H$2:$H$10001,0)),"")</f>
        <v/>
      </c>
    </row>
    <row r="7768">
      <c r="A7768">
        <f>IFERROR(INDEX('Email Cleaner'!$B$2:$B$10001,MATCH(7767,'Email Cleaner'!$H$2:$H$10001,0)),"")</f>
        <v/>
      </c>
    </row>
    <row r="7769">
      <c r="A7769">
        <f>IFERROR(INDEX('Email Cleaner'!$B$2:$B$10001,MATCH(7768,'Email Cleaner'!$H$2:$H$10001,0)),"")</f>
        <v/>
      </c>
    </row>
    <row r="7770">
      <c r="A7770">
        <f>IFERROR(INDEX('Email Cleaner'!$B$2:$B$10001,MATCH(7769,'Email Cleaner'!$H$2:$H$10001,0)),"")</f>
        <v/>
      </c>
    </row>
    <row r="7771">
      <c r="A7771">
        <f>IFERROR(INDEX('Email Cleaner'!$B$2:$B$10001,MATCH(7770,'Email Cleaner'!$H$2:$H$10001,0)),"")</f>
        <v/>
      </c>
    </row>
    <row r="7772">
      <c r="A7772">
        <f>IFERROR(INDEX('Email Cleaner'!$B$2:$B$10001,MATCH(7771,'Email Cleaner'!$H$2:$H$10001,0)),"")</f>
        <v/>
      </c>
    </row>
    <row r="7773">
      <c r="A7773">
        <f>IFERROR(INDEX('Email Cleaner'!$B$2:$B$10001,MATCH(7772,'Email Cleaner'!$H$2:$H$10001,0)),"")</f>
        <v/>
      </c>
    </row>
    <row r="7774">
      <c r="A7774">
        <f>IFERROR(INDEX('Email Cleaner'!$B$2:$B$10001,MATCH(7773,'Email Cleaner'!$H$2:$H$10001,0)),"")</f>
        <v/>
      </c>
    </row>
    <row r="7775">
      <c r="A7775">
        <f>IFERROR(INDEX('Email Cleaner'!$B$2:$B$10001,MATCH(7774,'Email Cleaner'!$H$2:$H$10001,0)),"")</f>
        <v/>
      </c>
    </row>
    <row r="7776">
      <c r="A7776">
        <f>IFERROR(INDEX('Email Cleaner'!$B$2:$B$10001,MATCH(7775,'Email Cleaner'!$H$2:$H$10001,0)),"")</f>
        <v/>
      </c>
    </row>
    <row r="7777">
      <c r="A7777">
        <f>IFERROR(INDEX('Email Cleaner'!$B$2:$B$10001,MATCH(7776,'Email Cleaner'!$H$2:$H$10001,0)),"")</f>
        <v/>
      </c>
    </row>
    <row r="7778">
      <c r="A7778">
        <f>IFERROR(INDEX('Email Cleaner'!$B$2:$B$10001,MATCH(7777,'Email Cleaner'!$H$2:$H$10001,0)),"")</f>
        <v/>
      </c>
    </row>
    <row r="7779">
      <c r="A7779">
        <f>IFERROR(INDEX('Email Cleaner'!$B$2:$B$10001,MATCH(7778,'Email Cleaner'!$H$2:$H$10001,0)),"")</f>
        <v/>
      </c>
    </row>
    <row r="7780">
      <c r="A7780">
        <f>IFERROR(INDEX('Email Cleaner'!$B$2:$B$10001,MATCH(7779,'Email Cleaner'!$H$2:$H$10001,0)),"")</f>
        <v/>
      </c>
    </row>
    <row r="7781">
      <c r="A7781">
        <f>IFERROR(INDEX('Email Cleaner'!$B$2:$B$10001,MATCH(7780,'Email Cleaner'!$H$2:$H$10001,0)),"")</f>
        <v/>
      </c>
    </row>
    <row r="7782">
      <c r="A7782">
        <f>IFERROR(INDEX('Email Cleaner'!$B$2:$B$10001,MATCH(7781,'Email Cleaner'!$H$2:$H$10001,0)),"")</f>
        <v/>
      </c>
    </row>
    <row r="7783">
      <c r="A7783">
        <f>IFERROR(INDEX('Email Cleaner'!$B$2:$B$10001,MATCH(7782,'Email Cleaner'!$H$2:$H$10001,0)),"")</f>
        <v/>
      </c>
    </row>
    <row r="7784">
      <c r="A7784">
        <f>IFERROR(INDEX('Email Cleaner'!$B$2:$B$10001,MATCH(7783,'Email Cleaner'!$H$2:$H$10001,0)),"")</f>
        <v/>
      </c>
    </row>
    <row r="7785">
      <c r="A7785">
        <f>IFERROR(INDEX('Email Cleaner'!$B$2:$B$10001,MATCH(7784,'Email Cleaner'!$H$2:$H$10001,0)),"")</f>
        <v/>
      </c>
    </row>
    <row r="7786">
      <c r="A7786">
        <f>IFERROR(INDEX('Email Cleaner'!$B$2:$B$10001,MATCH(7785,'Email Cleaner'!$H$2:$H$10001,0)),"")</f>
        <v/>
      </c>
    </row>
    <row r="7787">
      <c r="A7787">
        <f>IFERROR(INDEX('Email Cleaner'!$B$2:$B$10001,MATCH(7786,'Email Cleaner'!$H$2:$H$10001,0)),"")</f>
        <v/>
      </c>
    </row>
    <row r="7788">
      <c r="A7788">
        <f>IFERROR(INDEX('Email Cleaner'!$B$2:$B$10001,MATCH(7787,'Email Cleaner'!$H$2:$H$10001,0)),"")</f>
        <v/>
      </c>
    </row>
    <row r="7789">
      <c r="A7789">
        <f>IFERROR(INDEX('Email Cleaner'!$B$2:$B$10001,MATCH(7788,'Email Cleaner'!$H$2:$H$10001,0)),"")</f>
        <v/>
      </c>
    </row>
    <row r="7790">
      <c r="A7790">
        <f>IFERROR(INDEX('Email Cleaner'!$B$2:$B$10001,MATCH(7789,'Email Cleaner'!$H$2:$H$10001,0)),"")</f>
        <v/>
      </c>
    </row>
    <row r="7791">
      <c r="A7791">
        <f>IFERROR(INDEX('Email Cleaner'!$B$2:$B$10001,MATCH(7790,'Email Cleaner'!$H$2:$H$10001,0)),"")</f>
        <v/>
      </c>
    </row>
    <row r="7792">
      <c r="A7792">
        <f>IFERROR(INDEX('Email Cleaner'!$B$2:$B$10001,MATCH(7791,'Email Cleaner'!$H$2:$H$10001,0)),"")</f>
        <v/>
      </c>
    </row>
    <row r="7793">
      <c r="A7793">
        <f>IFERROR(INDEX('Email Cleaner'!$B$2:$B$10001,MATCH(7792,'Email Cleaner'!$H$2:$H$10001,0)),"")</f>
        <v/>
      </c>
    </row>
    <row r="7794">
      <c r="A7794">
        <f>IFERROR(INDEX('Email Cleaner'!$B$2:$B$10001,MATCH(7793,'Email Cleaner'!$H$2:$H$10001,0)),"")</f>
        <v/>
      </c>
    </row>
    <row r="7795">
      <c r="A7795">
        <f>IFERROR(INDEX('Email Cleaner'!$B$2:$B$10001,MATCH(7794,'Email Cleaner'!$H$2:$H$10001,0)),"")</f>
        <v/>
      </c>
    </row>
    <row r="7796">
      <c r="A7796">
        <f>IFERROR(INDEX('Email Cleaner'!$B$2:$B$10001,MATCH(7795,'Email Cleaner'!$H$2:$H$10001,0)),"")</f>
        <v/>
      </c>
    </row>
    <row r="7797">
      <c r="A7797">
        <f>IFERROR(INDEX('Email Cleaner'!$B$2:$B$10001,MATCH(7796,'Email Cleaner'!$H$2:$H$10001,0)),"")</f>
        <v/>
      </c>
    </row>
    <row r="7798">
      <c r="A7798">
        <f>IFERROR(INDEX('Email Cleaner'!$B$2:$B$10001,MATCH(7797,'Email Cleaner'!$H$2:$H$10001,0)),"")</f>
        <v/>
      </c>
    </row>
    <row r="7799">
      <c r="A7799">
        <f>IFERROR(INDEX('Email Cleaner'!$B$2:$B$10001,MATCH(7798,'Email Cleaner'!$H$2:$H$10001,0)),"")</f>
        <v/>
      </c>
    </row>
    <row r="7800">
      <c r="A7800">
        <f>IFERROR(INDEX('Email Cleaner'!$B$2:$B$10001,MATCH(7799,'Email Cleaner'!$H$2:$H$10001,0)),"")</f>
        <v/>
      </c>
    </row>
    <row r="7801">
      <c r="A7801">
        <f>IFERROR(INDEX('Email Cleaner'!$B$2:$B$10001,MATCH(7800,'Email Cleaner'!$H$2:$H$10001,0)),"")</f>
        <v/>
      </c>
    </row>
    <row r="7802">
      <c r="A7802">
        <f>IFERROR(INDEX('Email Cleaner'!$B$2:$B$10001,MATCH(7801,'Email Cleaner'!$H$2:$H$10001,0)),"")</f>
        <v/>
      </c>
    </row>
    <row r="7803">
      <c r="A7803">
        <f>IFERROR(INDEX('Email Cleaner'!$B$2:$B$10001,MATCH(7802,'Email Cleaner'!$H$2:$H$10001,0)),"")</f>
        <v/>
      </c>
    </row>
    <row r="7804">
      <c r="A7804">
        <f>IFERROR(INDEX('Email Cleaner'!$B$2:$B$10001,MATCH(7803,'Email Cleaner'!$H$2:$H$10001,0)),"")</f>
        <v/>
      </c>
    </row>
    <row r="7805">
      <c r="A7805">
        <f>IFERROR(INDEX('Email Cleaner'!$B$2:$B$10001,MATCH(7804,'Email Cleaner'!$H$2:$H$10001,0)),"")</f>
        <v/>
      </c>
    </row>
    <row r="7806">
      <c r="A7806">
        <f>IFERROR(INDEX('Email Cleaner'!$B$2:$B$10001,MATCH(7805,'Email Cleaner'!$H$2:$H$10001,0)),"")</f>
        <v/>
      </c>
    </row>
    <row r="7807">
      <c r="A7807">
        <f>IFERROR(INDEX('Email Cleaner'!$B$2:$B$10001,MATCH(7806,'Email Cleaner'!$H$2:$H$10001,0)),"")</f>
        <v/>
      </c>
    </row>
    <row r="7808">
      <c r="A7808">
        <f>IFERROR(INDEX('Email Cleaner'!$B$2:$B$10001,MATCH(7807,'Email Cleaner'!$H$2:$H$10001,0)),"")</f>
        <v/>
      </c>
    </row>
    <row r="7809">
      <c r="A7809">
        <f>IFERROR(INDEX('Email Cleaner'!$B$2:$B$10001,MATCH(7808,'Email Cleaner'!$H$2:$H$10001,0)),"")</f>
        <v/>
      </c>
    </row>
    <row r="7810">
      <c r="A7810">
        <f>IFERROR(INDEX('Email Cleaner'!$B$2:$B$10001,MATCH(7809,'Email Cleaner'!$H$2:$H$10001,0)),"")</f>
        <v/>
      </c>
    </row>
    <row r="7811">
      <c r="A7811">
        <f>IFERROR(INDEX('Email Cleaner'!$B$2:$B$10001,MATCH(7810,'Email Cleaner'!$H$2:$H$10001,0)),"")</f>
        <v/>
      </c>
    </row>
    <row r="7812">
      <c r="A7812">
        <f>IFERROR(INDEX('Email Cleaner'!$B$2:$B$10001,MATCH(7811,'Email Cleaner'!$H$2:$H$10001,0)),"")</f>
        <v/>
      </c>
    </row>
    <row r="7813">
      <c r="A7813">
        <f>IFERROR(INDEX('Email Cleaner'!$B$2:$B$10001,MATCH(7812,'Email Cleaner'!$H$2:$H$10001,0)),"")</f>
        <v/>
      </c>
    </row>
    <row r="7814">
      <c r="A7814">
        <f>IFERROR(INDEX('Email Cleaner'!$B$2:$B$10001,MATCH(7813,'Email Cleaner'!$H$2:$H$10001,0)),"")</f>
        <v/>
      </c>
    </row>
    <row r="7815">
      <c r="A7815">
        <f>IFERROR(INDEX('Email Cleaner'!$B$2:$B$10001,MATCH(7814,'Email Cleaner'!$H$2:$H$10001,0)),"")</f>
        <v/>
      </c>
    </row>
    <row r="7816">
      <c r="A7816">
        <f>IFERROR(INDEX('Email Cleaner'!$B$2:$B$10001,MATCH(7815,'Email Cleaner'!$H$2:$H$10001,0)),"")</f>
        <v/>
      </c>
    </row>
    <row r="7817">
      <c r="A7817">
        <f>IFERROR(INDEX('Email Cleaner'!$B$2:$B$10001,MATCH(7816,'Email Cleaner'!$H$2:$H$10001,0)),"")</f>
        <v/>
      </c>
    </row>
    <row r="7818">
      <c r="A7818">
        <f>IFERROR(INDEX('Email Cleaner'!$B$2:$B$10001,MATCH(7817,'Email Cleaner'!$H$2:$H$10001,0)),"")</f>
        <v/>
      </c>
    </row>
    <row r="7819">
      <c r="A7819">
        <f>IFERROR(INDEX('Email Cleaner'!$B$2:$B$10001,MATCH(7818,'Email Cleaner'!$H$2:$H$10001,0)),"")</f>
        <v/>
      </c>
    </row>
    <row r="7820">
      <c r="A7820">
        <f>IFERROR(INDEX('Email Cleaner'!$B$2:$B$10001,MATCH(7819,'Email Cleaner'!$H$2:$H$10001,0)),"")</f>
        <v/>
      </c>
    </row>
    <row r="7821">
      <c r="A7821">
        <f>IFERROR(INDEX('Email Cleaner'!$B$2:$B$10001,MATCH(7820,'Email Cleaner'!$H$2:$H$10001,0)),"")</f>
        <v/>
      </c>
    </row>
    <row r="7822">
      <c r="A7822">
        <f>IFERROR(INDEX('Email Cleaner'!$B$2:$B$10001,MATCH(7821,'Email Cleaner'!$H$2:$H$10001,0)),"")</f>
        <v/>
      </c>
    </row>
    <row r="7823">
      <c r="A7823">
        <f>IFERROR(INDEX('Email Cleaner'!$B$2:$B$10001,MATCH(7822,'Email Cleaner'!$H$2:$H$10001,0)),"")</f>
        <v/>
      </c>
    </row>
    <row r="7824">
      <c r="A7824">
        <f>IFERROR(INDEX('Email Cleaner'!$B$2:$B$10001,MATCH(7823,'Email Cleaner'!$H$2:$H$10001,0)),"")</f>
        <v/>
      </c>
    </row>
    <row r="7825">
      <c r="A7825">
        <f>IFERROR(INDEX('Email Cleaner'!$B$2:$B$10001,MATCH(7824,'Email Cleaner'!$H$2:$H$10001,0)),"")</f>
        <v/>
      </c>
    </row>
    <row r="7826">
      <c r="A7826">
        <f>IFERROR(INDEX('Email Cleaner'!$B$2:$B$10001,MATCH(7825,'Email Cleaner'!$H$2:$H$10001,0)),"")</f>
        <v/>
      </c>
    </row>
    <row r="7827">
      <c r="A7827">
        <f>IFERROR(INDEX('Email Cleaner'!$B$2:$B$10001,MATCH(7826,'Email Cleaner'!$H$2:$H$10001,0)),"")</f>
        <v/>
      </c>
    </row>
    <row r="7828">
      <c r="A7828">
        <f>IFERROR(INDEX('Email Cleaner'!$B$2:$B$10001,MATCH(7827,'Email Cleaner'!$H$2:$H$10001,0)),"")</f>
        <v/>
      </c>
    </row>
    <row r="7829">
      <c r="A7829">
        <f>IFERROR(INDEX('Email Cleaner'!$B$2:$B$10001,MATCH(7828,'Email Cleaner'!$H$2:$H$10001,0)),"")</f>
        <v/>
      </c>
    </row>
    <row r="7830">
      <c r="A7830">
        <f>IFERROR(INDEX('Email Cleaner'!$B$2:$B$10001,MATCH(7829,'Email Cleaner'!$H$2:$H$10001,0)),"")</f>
        <v/>
      </c>
    </row>
    <row r="7831">
      <c r="A7831">
        <f>IFERROR(INDEX('Email Cleaner'!$B$2:$B$10001,MATCH(7830,'Email Cleaner'!$H$2:$H$10001,0)),"")</f>
        <v/>
      </c>
    </row>
    <row r="7832">
      <c r="A7832">
        <f>IFERROR(INDEX('Email Cleaner'!$B$2:$B$10001,MATCH(7831,'Email Cleaner'!$H$2:$H$10001,0)),"")</f>
        <v/>
      </c>
    </row>
    <row r="7833">
      <c r="A7833">
        <f>IFERROR(INDEX('Email Cleaner'!$B$2:$B$10001,MATCH(7832,'Email Cleaner'!$H$2:$H$10001,0)),"")</f>
        <v/>
      </c>
    </row>
    <row r="7834">
      <c r="A7834">
        <f>IFERROR(INDEX('Email Cleaner'!$B$2:$B$10001,MATCH(7833,'Email Cleaner'!$H$2:$H$10001,0)),"")</f>
        <v/>
      </c>
    </row>
    <row r="7835">
      <c r="A7835">
        <f>IFERROR(INDEX('Email Cleaner'!$B$2:$B$10001,MATCH(7834,'Email Cleaner'!$H$2:$H$10001,0)),"")</f>
        <v/>
      </c>
    </row>
    <row r="7836">
      <c r="A7836">
        <f>IFERROR(INDEX('Email Cleaner'!$B$2:$B$10001,MATCH(7835,'Email Cleaner'!$H$2:$H$10001,0)),"")</f>
        <v/>
      </c>
    </row>
    <row r="7837">
      <c r="A7837">
        <f>IFERROR(INDEX('Email Cleaner'!$B$2:$B$10001,MATCH(7836,'Email Cleaner'!$H$2:$H$10001,0)),"")</f>
        <v/>
      </c>
    </row>
    <row r="7838">
      <c r="A7838">
        <f>IFERROR(INDEX('Email Cleaner'!$B$2:$B$10001,MATCH(7837,'Email Cleaner'!$H$2:$H$10001,0)),"")</f>
        <v/>
      </c>
    </row>
    <row r="7839">
      <c r="A7839">
        <f>IFERROR(INDEX('Email Cleaner'!$B$2:$B$10001,MATCH(7838,'Email Cleaner'!$H$2:$H$10001,0)),"")</f>
        <v/>
      </c>
    </row>
    <row r="7840">
      <c r="A7840">
        <f>IFERROR(INDEX('Email Cleaner'!$B$2:$B$10001,MATCH(7839,'Email Cleaner'!$H$2:$H$10001,0)),"")</f>
        <v/>
      </c>
    </row>
    <row r="7841">
      <c r="A7841">
        <f>IFERROR(INDEX('Email Cleaner'!$B$2:$B$10001,MATCH(7840,'Email Cleaner'!$H$2:$H$10001,0)),"")</f>
        <v/>
      </c>
    </row>
    <row r="7842">
      <c r="A7842">
        <f>IFERROR(INDEX('Email Cleaner'!$B$2:$B$10001,MATCH(7841,'Email Cleaner'!$H$2:$H$10001,0)),"")</f>
        <v/>
      </c>
    </row>
    <row r="7843">
      <c r="A7843">
        <f>IFERROR(INDEX('Email Cleaner'!$B$2:$B$10001,MATCH(7842,'Email Cleaner'!$H$2:$H$10001,0)),"")</f>
        <v/>
      </c>
    </row>
    <row r="7844">
      <c r="A7844">
        <f>IFERROR(INDEX('Email Cleaner'!$B$2:$B$10001,MATCH(7843,'Email Cleaner'!$H$2:$H$10001,0)),"")</f>
        <v/>
      </c>
    </row>
    <row r="7845">
      <c r="A7845">
        <f>IFERROR(INDEX('Email Cleaner'!$B$2:$B$10001,MATCH(7844,'Email Cleaner'!$H$2:$H$10001,0)),"")</f>
        <v/>
      </c>
    </row>
    <row r="7846">
      <c r="A7846">
        <f>IFERROR(INDEX('Email Cleaner'!$B$2:$B$10001,MATCH(7845,'Email Cleaner'!$H$2:$H$10001,0)),"")</f>
        <v/>
      </c>
    </row>
    <row r="7847">
      <c r="A7847">
        <f>IFERROR(INDEX('Email Cleaner'!$B$2:$B$10001,MATCH(7846,'Email Cleaner'!$H$2:$H$10001,0)),"")</f>
        <v/>
      </c>
    </row>
    <row r="7848">
      <c r="A7848">
        <f>IFERROR(INDEX('Email Cleaner'!$B$2:$B$10001,MATCH(7847,'Email Cleaner'!$H$2:$H$10001,0)),"")</f>
        <v/>
      </c>
    </row>
    <row r="7849">
      <c r="A7849">
        <f>IFERROR(INDEX('Email Cleaner'!$B$2:$B$10001,MATCH(7848,'Email Cleaner'!$H$2:$H$10001,0)),"")</f>
        <v/>
      </c>
    </row>
    <row r="7850">
      <c r="A7850">
        <f>IFERROR(INDEX('Email Cleaner'!$B$2:$B$10001,MATCH(7849,'Email Cleaner'!$H$2:$H$10001,0)),"")</f>
        <v/>
      </c>
    </row>
    <row r="7851">
      <c r="A7851">
        <f>IFERROR(INDEX('Email Cleaner'!$B$2:$B$10001,MATCH(7850,'Email Cleaner'!$H$2:$H$10001,0)),"")</f>
        <v/>
      </c>
    </row>
    <row r="7852">
      <c r="A7852">
        <f>IFERROR(INDEX('Email Cleaner'!$B$2:$B$10001,MATCH(7851,'Email Cleaner'!$H$2:$H$10001,0)),"")</f>
        <v/>
      </c>
    </row>
    <row r="7853">
      <c r="A7853">
        <f>IFERROR(INDEX('Email Cleaner'!$B$2:$B$10001,MATCH(7852,'Email Cleaner'!$H$2:$H$10001,0)),"")</f>
        <v/>
      </c>
    </row>
    <row r="7854">
      <c r="A7854">
        <f>IFERROR(INDEX('Email Cleaner'!$B$2:$B$10001,MATCH(7853,'Email Cleaner'!$H$2:$H$10001,0)),"")</f>
        <v/>
      </c>
    </row>
    <row r="7855">
      <c r="A7855">
        <f>IFERROR(INDEX('Email Cleaner'!$B$2:$B$10001,MATCH(7854,'Email Cleaner'!$H$2:$H$10001,0)),"")</f>
        <v/>
      </c>
    </row>
    <row r="7856">
      <c r="A7856">
        <f>IFERROR(INDEX('Email Cleaner'!$B$2:$B$10001,MATCH(7855,'Email Cleaner'!$H$2:$H$10001,0)),"")</f>
        <v/>
      </c>
    </row>
    <row r="7857">
      <c r="A7857">
        <f>IFERROR(INDEX('Email Cleaner'!$B$2:$B$10001,MATCH(7856,'Email Cleaner'!$H$2:$H$10001,0)),"")</f>
        <v/>
      </c>
    </row>
    <row r="7858">
      <c r="A7858">
        <f>IFERROR(INDEX('Email Cleaner'!$B$2:$B$10001,MATCH(7857,'Email Cleaner'!$H$2:$H$10001,0)),"")</f>
        <v/>
      </c>
    </row>
    <row r="7859">
      <c r="A7859">
        <f>IFERROR(INDEX('Email Cleaner'!$B$2:$B$10001,MATCH(7858,'Email Cleaner'!$H$2:$H$10001,0)),"")</f>
        <v/>
      </c>
    </row>
    <row r="7860">
      <c r="A7860">
        <f>IFERROR(INDEX('Email Cleaner'!$B$2:$B$10001,MATCH(7859,'Email Cleaner'!$H$2:$H$10001,0)),"")</f>
        <v/>
      </c>
    </row>
    <row r="7861">
      <c r="A7861">
        <f>IFERROR(INDEX('Email Cleaner'!$B$2:$B$10001,MATCH(7860,'Email Cleaner'!$H$2:$H$10001,0)),"")</f>
        <v/>
      </c>
    </row>
    <row r="7862">
      <c r="A7862">
        <f>IFERROR(INDEX('Email Cleaner'!$B$2:$B$10001,MATCH(7861,'Email Cleaner'!$H$2:$H$10001,0)),"")</f>
        <v/>
      </c>
    </row>
    <row r="7863">
      <c r="A7863">
        <f>IFERROR(INDEX('Email Cleaner'!$B$2:$B$10001,MATCH(7862,'Email Cleaner'!$H$2:$H$10001,0)),"")</f>
        <v/>
      </c>
    </row>
    <row r="7864">
      <c r="A7864">
        <f>IFERROR(INDEX('Email Cleaner'!$B$2:$B$10001,MATCH(7863,'Email Cleaner'!$H$2:$H$10001,0)),"")</f>
        <v/>
      </c>
    </row>
    <row r="7865">
      <c r="A7865">
        <f>IFERROR(INDEX('Email Cleaner'!$B$2:$B$10001,MATCH(7864,'Email Cleaner'!$H$2:$H$10001,0)),"")</f>
        <v/>
      </c>
    </row>
    <row r="7866">
      <c r="A7866">
        <f>IFERROR(INDEX('Email Cleaner'!$B$2:$B$10001,MATCH(7865,'Email Cleaner'!$H$2:$H$10001,0)),"")</f>
        <v/>
      </c>
    </row>
    <row r="7867">
      <c r="A7867">
        <f>IFERROR(INDEX('Email Cleaner'!$B$2:$B$10001,MATCH(7866,'Email Cleaner'!$H$2:$H$10001,0)),"")</f>
        <v/>
      </c>
    </row>
    <row r="7868">
      <c r="A7868">
        <f>IFERROR(INDEX('Email Cleaner'!$B$2:$B$10001,MATCH(7867,'Email Cleaner'!$H$2:$H$10001,0)),"")</f>
        <v/>
      </c>
    </row>
    <row r="7869">
      <c r="A7869">
        <f>IFERROR(INDEX('Email Cleaner'!$B$2:$B$10001,MATCH(7868,'Email Cleaner'!$H$2:$H$10001,0)),"")</f>
        <v/>
      </c>
    </row>
    <row r="7870">
      <c r="A7870">
        <f>IFERROR(INDEX('Email Cleaner'!$B$2:$B$10001,MATCH(7869,'Email Cleaner'!$H$2:$H$10001,0)),"")</f>
        <v/>
      </c>
    </row>
    <row r="7871">
      <c r="A7871">
        <f>IFERROR(INDEX('Email Cleaner'!$B$2:$B$10001,MATCH(7870,'Email Cleaner'!$H$2:$H$10001,0)),"")</f>
        <v/>
      </c>
    </row>
    <row r="7872">
      <c r="A7872">
        <f>IFERROR(INDEX('Email Cleaner'!$B$2:$B$10001,MATCH(7871,'Email Cleaner'!$H$2:$H$10001,0)),"")</f>
        <v/>
      </c>
    </row>
    <row r="7873">
      <c r="A7873">
        <f>IFERROR(INDEX('Email Cleaner'!$B$2:$B$10001,MATCH(7872,'Email Cleaner'!$H$2:$H$10001,0)),"")</f>
        <v/>
      </c>
    </row>
    <row r="7874">
      <c r="A7874">
        <f>IFERROR(INDEX('Email Cleaner'!$B$2:$B$10001,MATCH(7873,'Email Cleaner'!$H$2:$H$10001,0)),"")</f>
        <v/>
      </c>
    </row>
    <row r="7875">
      <c r="A7875">
        <f>IFERROR(INDEX('Email Cleaner'!$B$2:$B$10001,MATCH(7874,'Email Cleaner'!$H$2:$H$10001,0)),"")</f>
        <v/>
      </c>
    </row>
    <row r="7876">
      <c r="A7876">
        <f>IFERROR(INDEX('Email Cleaner'!$B$2:$B$10001,MATCH(7875,'Email Cleaner'!$H$2:$H$10001,0)),"")</f>
        <v/>
      </c>
    </row>
    <row r="7877">
      <c r="A7877">
        <f>IFERROR(INDEX('Email Cleaner'!$B$2:$B$10001,MATCH(7876,'Email Cleaner'!$H$2:$H$10001,0)),"")</f>
        <v/>
      </c>
    </row>
    <row r="7878">
      <c r="A7878">
        <f>IFERROR(INDEX('Email Cleaner'!$B$2:$B$10001,MATCH(7877,'Email Cleaner'!$H$2:$H$10001,0)),"")</f>
        <v/>
      </c>
    </row>
    <row r="7879">
      <c r="A7879">
        <f>IFERROR(INDEX('Email Cleaner'!$B$2:$B$10001,MATCH(7878,'Email Cleaner'!$H$2:$H$10001,0)),"")</f>
        <v/>
      </c>
    </row>
    <row r="7880">
      <c r="A7880">
        <f>IFERROR(INDEX('Email Cleaner'!$B$2:$B$10001,MATCH(7879,'Email Cleaner'!$H$2:$H$10001,0)),"")</f>
        <v/>
      </c>
    </row>
    <row r="7881">
      <c r="A7881">
        <f>IFERROR(INDEX('Email Cleaner'!$B$2:$B$10001,MATCH(7880,'Email Cleaner'!$H$2:$H$10001,0)),"")</f>
        <v/>
      </c>
    </row>
    <row r="7882">
      <c r="A7882">
        <f>IFERROR(INDEX('Email Cleaner'!$B$2:$B$10001,MATCH(7881,'Email Cleaner'!$H$2:$H$10001,0)),"")</f>
        <v/>
      </c>
    </row>
    <row r="7883">
      <c r="A7883">
        <f>IFERROR(INDEX('Email Cleaner'!$B$2:$B$10001,MATCH(7882,'Email Cleaner'!$H$2:$H$10001,0)),"")</f>
        <v/>
      </c>
    </row>
    <row r="7884">
      <c r="A7884">
        <f>IFERROR(INDEX('Email Cleaner'!$B$2:$B$10001,MATCH(7883,'Email Cleaner'!$H$2:$H$10001,0)),"")</f>
        <v/>
      </c>
    </row>
    <row r="7885">
      <c r="A7885">
        <f>IFERROR(INDEX('Email Cleaner'!$B$2:$B$10001,MATCH(7884,'Email Cleaner'!$H$2:$H$10001,0)),"")</f>
        <v/>
      </c>
    </row>
    <row r="7886">
      <c r="A7886">
        <f>IFERROR(INDEX('Email Cleaner'!$B$2:$B$10001,MATCH(7885,'Email Cleaner'!$H$2:$H$10001,0)),"")</f>
        <v/>
      </c>
    </row>
    <row r="7887">
      <c r="A7887">
        <f>IFERROR(INDEX('Email Cleaner'!$B$2:$B$10001,MATCH(7886,'Email Cleaner'!$H$2:$H$10001,0)),"")</f>
        <v/>
      </c>
    </row>
    <row r="7888">
      <c r="A7888">
        <f>IFERROR(INDEX('Email Cleaner'!$B$2:$B$10001,MATCH(7887,'Email Cleaner'!$H$2:$H$10001,0)),"")</f>
        <v/>
      </c>
    </row>
    <row r="7889">
      <c r="A7889">
        <f>IFERROR(INDEX('Email Cleaner'!$B$2:$B$10001,MATCH(7888,'Email Cleaner'!$H$2:$H$10001,0)),"")</f>
        <v/>
      </c>
    </row>
    <row r="7890">
      <c r="A7890">
        <f>IFERROR(INDEX('Email Cleaner'!$B$2:$B$10001,MATCH(7889,'Email Cleaner'!$H$2:$H$10001,0)),"")</f>
        <v/>
      </c>
    </row>
    <row r="7891">
      <c r="A7891">
        <f>IFERROR(INDEX('Email Cleaner'!$B$2:$B$10001,MATCH(7890,'Email Cleaner'!$H$2:$H$10001,0)),"")</f>
        <v/>
      </c>
    </row>
    <row r="7892">
      <c r="A7892">
        <f>IFERROR(INDEX('Email Cleaner'!$B$2:$B$10001,MATCH(7891,'Email Cleaner'!$H$2:$H$10001,0)),"")</f>
        <v/>
      </c>
    </row>
    <row r="7893">
      <c r="A7893">
        <f>IFERROR(INDEX('Email Cleaner'!$B$2:$B$10001,MATCH(7892,'Email Cleaner'!$H$2:$H$10001,0)),"")</f>
        <v/>
      </c>
    </row>
    <row r="7894">
      <c r="A7894">
        <f>IFERROR(INDEX('Email Cleaner'!$B$2:$B$10001,MATCH(7893,'Email Cleaner'!$H$2:$H$10001,0)),"")</f>
        <v/>
      </c>
    </row>
    <row r="7895">
      <c r="A7895">
        <f>IFERROR(INDEX('Email Cleaner'!$B$2:$B$10001,MATCH(7894,'Email Cleaner'!$H$2:$H$10001,0)),"")</f>
        <v/>
      </c>
    </row>
    <row r="7896">
      <c r="A7896">
        <f>IFERROR(INDEX('Email Cleaner'!$B$2:$B$10001,MATCH(7895,'Email Cleaner'!$H$2:$H$10001,0)),"")</f>
        <v/>
      </c>
    </row>
    <row r="7897">
      <c r="A7897">
        <f>IFERROR(INDEX('Email Cleaner'!$B$2:$B$10001,MATCH(7896,'Email Cleaner'!$H$2:$H$10001,0)),"")</f>
        <v/>
      </c>
    </row>
    <row r="7898">
      <c r="A7898">
        <f>IFERROR(INDEX('Email Cleaner'!$B$2:$B$10001,MATCH(7897,'Email Cleaner'!$H$2:$H$10001,0)),"")</f>
        <v/>
      </c>
    </row>
    <row r="7899">
      <c r="A7899">
        <f>IFERROR(INDEX('Email Cleaner'!$B$2:$B$10001,MATCH(7898,'Email Cleaner'!$H$2:$H$10001,0)),"")</f>
        <v/>
      </c>
    </row>
    <row r="7900">
      <c r="A7900">
        <f>IFERROR(INDEX('Email Cleaner'!$B$2:$B$10001,MATCH(7899,'Email Cleaner'!$H$2:$H$10001,0)),"")</f>
        <v/>
      </c>
    </row>
    <row r="7901">
      <c r="A7901">
        <f>IFERROR(INDEX('Email Cleaner'!$B$2:$B$10001,MATCH(7900,'Email Cleaner'!$H$2:$H$10001,0)),"")</f>
        <v/>
      </c>
    </row>
    <row r="7902">
      <c r="A7902">
        <f>IFERROR(INDEX('Email Cleaner'!$B$2:$B$10001,MATCH(7901,'Email Cleaner'!$H$2:$H$10001,0)),"")</f>
        <v/>
      </c>
    </row>
    <row r="7903">
      <c r="A7903">
        <f>IFERROR(INDEX('Email Cleaner'!$B$2:$B$10001,MATCH(7902,'Email Cleaner'!$H$2:$H$10001,0)),"")</f>
        <v/>
      </c>
    </row>
    <row r="7904">
      <c r="A7904">
        <f>IFERROR(INDEX('Email Cleaner'!$B$2:$B$10001,MATCH(7903,'Email Cleaner'!$H$2:$H$10001,0)),"")</f>
        <v/>
      </c>
    </row>
    <row r="7905">
      <c r="A7905">
        <f>IFERROR(INDEX('Email Cleaner'!$B$2:$B$10001,MATCH(7904,'Email Cleaner'!$H$2:$H$10001,0)),"")</f>
        <v/>
      </c>
    </row>
    <row r="7906">
      <c r="A7906">
        <f>IFERROR(INDEX('Email Cleaner'!$B$2:$B$10001,MATCH(7905,'Email Cleaner'!$H$2:$H$10001,0)),"")</f>
        <v/>
      </c>
    </row>
    <row r="7907">
      <c r="A7907">
        <f>IFERROR(INDEX('Email Cleaner'!$B$2:$B$10001,MATCH(7906,'Email Cleaner'!$H$2:$H$10001,0)),"")</f>
        <v/>
      </c>
    </row>
    <row r="7908">
      <c r="A7908">
        <f>IFERROR(INDEX('Email Cleaner'!$B$2:$B$10001,MATCH(7907,'Email Cleaner'!$H$2:$H$10001,0)),"")</f>
        <v/>
      </c>
    </row>
    <row r="7909">
      <c r="A7909">
        <f>IFERROR(INDEX('Email Cleaner'!$B$2:$B$10001,MATCH(7908,'Email Cleaner'!$H$2:$H$10001,0)),"")</f>
        <v/>
      </c>
    </row>
    <row r="7910">
      <c r="A7910">
        <f>IFERROR(INDEX('Email Cleaner'!$B$2:$B$10001,MATCH(7909,'Email Cleaner'!$H$2:$H$10001,0)),"")</f>
        <v/>
      </c>
    </row>
    <row r="7911">
      <c r="A7911">
        <f>IFERROR(INDEX('Email Cleaner'!$B$2:$B$10001,MATCH(7910,'Email Cleaner'!$H$2:$H$10001,0)),"")</f>
        <v/>
      </c>
    </row>
    <row r="7912">
      <c r="A7912">
        <f>IFERROR(INDEX('Email Cleaner'!$B$2:$B$10001,MATCH(7911,'Email Cleaner'!$H$2:$H$10001,0)),"")</f>
        <v/>
      </c>
    </row>
    <row r="7913">
      <c r="A7913">
        <f>IFERROR(INDEX('Email Cleaner'!$B$2:$B$10001,MATCH(7912,'Email Cleaner'!$H$2:$H$10001,0)),"")</f>
        <v/>
      </c>
    </row>
    <row r="7914">
      <c r="A7914">
        <f>IFERROR(INDEX('Email Cleaner'!$B$2:$B$10001,MATCH(7913,'Email Cleaner'!$H$2:$H$10001,0)),"")</f>
        <v/>
      </c>
    </row>
    <row r="7915">
      <c r="A7915">
        <f>IFERROR(INDEX('Email Cleaner'!$B$2:$B$10001,MATCH(7914,'Email Cleaner'!$H$2:$H$10001,0)),"")</f>
        <v/>
      </c>
    </row>
    <row r="7916">
      <c r="A7916">
        <f>IFERROR(INDEX('Email Cleaner'!$B$2:$B$10001,MATCH(7915,'Email Cleaner'!$H$2:$H$10001,0)),"")</f>
        <v/>
      </c>
    </row>
    <row r="7917">
      <c r="A7917">
        <f>IFERROR(INDEX('Email Cleaner'!$B$2:$B$10001,MATCH(7916,'Email Cleaner'!$H$2:$H$10001,0)),"")</f>
        <v/>
      </c>
    </row>
    <row r="7918">
      <c r="A7918">
        <f>IFERROR(INDEX('Email Cleaner'!$B$2:$B$10001,MATCH(7917,'Email Cleaner'!$H$2:$H$10001,0)),"")</f>
        <v/>
      </c>
    </row>
    <row r="7919">
      <c r="A7919">
        <f>IFERROR(INDEX('Email Cleaner'!$B$2:$B$10001,MATCH(7918,'Email Cleaner'!$H$2:$H$10001,0)),"")</f>
        <v/>
      </c>
    </row>
    <row r="7920">
      <c r="A7920">
        <f>IFERROR(INDEX('Email Cleaner'!$B$2:$B$10001,MATCH(7919,'Email Cleaner'!$H$2:$H$10001,0)),"")</f>
        <v/>
      </c>
    </row>
    <row r="7921">
      <c r="A7921">
        <f>IFERROR(INDEX('Email Cleaner'!$B$2:$B$10001,MATCH(7920,'Email Cleaner'!$H$2:$H$10001,0)),"")</f>
        <v/>
      </c>
    </row>
    <row r="7922">
      <c r="A7922">
        <f>IFERROR(INDEX('Email Cleaner'!$B$2:$B$10001,MATCH(7921,'Email Cleaner'!$H$2:$H$10001,0)),"")</f>
        <v/>
      </c>
    </row>
    <row r="7923">
      <c r="A7923">
        <f>IFERROR(INDEX('Email Cleaner'!$B$2:$B$10001,MATCH(7922,'Email Cleaner'!$H$2:$H$10001,0)),"")</f>
        <v/>
      </c>
    </row>
    <row r="7924">
      <c r="A7924">
        <f>IFERROR(INDEX('Email Cleaner'!$B$2:$B$10001,MATCH(7923,'Email Cleaner'!$H$2:$H$10001,0)),"")</f>
        <v/>
      </c>
    </row>
    <row r="7925">
      <c r="A7925">
        <f>IFERROR(INDEX('Email Cleaner'!$B$2:$B$10001,MATCH(7924,'Email Cleaner'!$H$2:$H$10001,0)),"")</f>
        <v/>
      </c>
    </row>
    <row r="7926">
      <c r="A7926">
        <f>IFERROR(INDEX('Email Cleaner'!$B$2:$B$10001,MATCH(7925,'Email Cleaner'!$H$2:$H$10001,0)),"")</f>
        <v/>
      </c>
    </row>
    <row r="7927">
      <c r="A7927">
        <f>IFERROR(INDEX('Email Cleaner'!$B$2:$B$10001,MATCH(7926,'Email Cleaner'!$H$2:$H$10001,0)),"")</f>
        <v/>
      </c>
    </row>
    <row r="7928">
      <c r="A7928">
        <f>IFERROR(INDEX('Email Cleaner'!$B$2:$B$10001,MATCH(7927,'Email Cleaner'!$H$2:$H$10001,0)),"")</f>
        <v/>
      </c>
    </row>
    <row r="7929">
      <c r="A7929">
        <f>IFERROR(INDEX('Email Cleaner'!$B$2:$B$10001,MATCH(7928,'Email Cleaner'!$H$2:$H$10001,0)),"")</f>
        <v/>
      </c>
    </row>
    <row r="7930">
      <c r="A7930">
        <f>IFERROR(INDEX('Email Cleaner'!$B$2:$B$10001,MATCH(7929,'Email Cleaner'!$H$2:$H$10001,0)),"")</f>
        <v/>
      </c>
    </row>
    <row r="7931">
      <c r="A7931">
        <f>IFERROR(INDEX('Email Cleaner'!$B$2:$B$10001,MATCH(7930,'Email Cleaner'!$H$2:$H$10001,0)),"")</f>
        <v/>
      </c>
    </row>
    <row r="7932">
      <c r="A7932">
        <f>IFERROR(INDEX('Email Cleaner'!$B$2:$B$10001,MATCH(7931,'Email Cleaner'!$H$2:$H$10001,0)),"")</f>
        <v/>
      </c>
    </row>
    <row r="7933">
      <c r="A7933">
        <f>IFERROR(INDEX('Email Cleaner'!$B$2:$B$10001,MATCH(7932,'Email Cleaner'!$H$2:$H$10001,0)),"")</f>
        <v/>
      </c>
    </row>
    <row r="7934">
      <c r="A7934">
        <f>IFERROR(INDEX('Email Cleaner'!$B$2:$B$10001,MATCH(7933,'Email Cleaner'!$H$2:$H$10001,0)),"")</f>
        <v/>
      </c>
    </row>
    <row r="7935">
      <c r="A7935">
        <f>IFERROR(INDEX('Email Cleaner'!$B$2:$B$10001,MATCH(7934,'Email Cleaner'!$H$2:$H$10001,0)),"")</f>
        <v/>
      </c>
    </row>
    <row r="7936">
      <c r="A7936">
        <f>IFERROR(INDEX('Email Cleaner'!$B$2:$B$10001,MATCH(7935,'Email Cleaner'!$H$2:$H$10001,0)),"")</f>
        <v/>
      </c>
    </row>
    <row r="7937">
      <c r="A7937">
        <f>IFERROR(INDEX('Email Cleaner'!$B$2:$B$10001,MATCH(7936,'Email Cleaner'!$H$2:$H$10001,0)),"")</f>
        <v/>
      </c>
    </row>
    <row r="7938">
      <c r="A7938">
        <f>IFERROR(INDEX('Email Cleaner'!$B$2:$B$10001,MATCH(7937,'Email Cleaner'!$H$2:$H$10001,0)),"")</f>
        <v/>
      </c>
    </row>
    <row r="7939">
      <c r="A7939">
        <f>IFERROR(INDEX('Email Cleaner'!$B$2:$B$10001,MATCH(7938,'Email Cleaner'!$H$2:$H$10001,0)),"")</f>
        <v/>
      </c>
    </row>
    <row r="7940">
      <c r="A7940">
        <f>IFERROR(INDEX('Email Cleaner'!$B$2:$B$10001,MATCH(7939,'Email Cleaner'!$H$2:$H$10001,0)),"")</f>
        <v/>
      </c>
    </row>
    <row r="7941">
      <c r="A7941">
        <f>IFERROR(INDEX('Email Cleaner'!$B$2:$B$10001,MATCH(7940,'Email Cleaner'!$H$2:$H$10001,0)),"")</f>
        <v/>
      </c>
    </row>
    <row r="7942">
      <c r="A7942">
        <f>IFERROR(INDEX('Email Cleaner'!$B$2:$B$10001,MATCH(7941,'Email Cleaner'!$H$2:$H$10001,0)),"")</f>
        <v/>
      </c>
    </row>
    <row r="7943">
      <c r="A7943">
        <f>IFERROR(INDEX('Email Cleaner'!$B$2:$B$10001,MATCH(7942,'Email Cleaner'!$H$2:$H$10001,0)),"")</f>
        <v/>
      </c>
    </row>
    <row r="7944">
      <c r="A7944">
        <f>IFERROR(INDEX('Email Cleaner'!$B$2:$B$10001,MATCH(7943,'Email Cleaner'!$H$2:$H$10001,0)),"")</f>
        <v/>
      </c>
    </row>
    <row r="7945">
      <c r="A7945">
        <f>IFERROR(INDEX('Email Cleaner'!$B$2:$B$10001,MATCH(7944,'Email Cleaner'!$H$2:$H$10001,0)),"")</f>
        <v/>
      </c>
    </row>
    <row r="7946">
      <c r="A7946">
        <f>IFERROR(INDEX('Email Cleaner'!$B$2:$B$10001,MATCH(7945,'Email Cleaner'!$H$2:$H$10001,0)),"")</f>
        <v/>
      </c>
    </row>
    <row r="7947">
      <c r="A7947">
        <f>IFERROR(INDEX('Email Cleaner'!$B$2:$B$10001,MATCH(7946,'Email Cleaner'!$H$2:$H$10001,0)),"")</f>
        <v/>
      </c>
    </row>
    <row r="7948">
      <c r="A7948">
        <f>IFERROR(INDEX('Email Cleaner'!$B$2:$B$10001,MATCH(7947,'Email Cleaner'!$H$2:$H$10001,0)),"")</f>
        <v/>
      </c>
    </row>
    <row r="7949">
      <c r="A7949">
        <f>IFERROR(INDEX('Email Cleaner'!$B$2:$B$10001,MATCH(7948,'Email Cleaner'!$H$2:$H$10001,0)),"")</f>
        <v/>
      </c>
    </row>
    <row r="7950">
      <c r="A7950">
        <f>IFERROR(INDEX('Email Cleaner'!$B$2:$B$10001,MATCH(7949,'Email Cleaner'!$H$2:$H$10001,0)),"")</f>
        <v/>
      </c>
    </row>
    <row r="7951">
      <c r="A7951">
        <f>IFERROR(INDEX('Email Cleaner'!$B$2:$B$10001,MATCH(7950,'Email Cleaner'!$H$2:$H$10001,0)),"")</f>
        <v/>
      </c>
    </row>
    <row r="7952">
      <c r="A7952">
        <f>IFERROR(INDEX('Email Cleaner'!$B$2:$B$10001,MATCH(7951,'Email Cleaner'!$H$2:$H$10001,0)),"")</f>
        <v/>
      </c>
    </row>
    <row r="7953">
      <c r="A7953">
        <f>IFERROR(INDEX('Email Cleaner'!$B$2:$B$10001,MATCH(7952,'Email Cleaner'!$H$2:$H$10001,0)),"")</f>
        <v/>
      </c>
    </row>
    <row r="7954">
      <c r="A7954">
        <f>IFERROR(INDEX('Email Cleaner'!$B$2:$B$10001,MATCH(7953,'Email Cleaner'!$H$2:$H$10001,0)),"")</f>
        <v/>
      </c>
    </row>
    <row r="7955">
      <c r="A7955">
        <f>IFERROR(INDEX('Email Cleaner'!$B$2:$B$10001,MATCH(7954,'Email Cleaner'!$H$2:$H$10001,0)),"")</f>
        <v/>
      </c>
    </row>
    <row r="7956">
      <c r="A7956">
        <f>IFERROR(INDEX('Email Cleaner'!$B$2:$B$10001,MATCH(7955,'Email Cleaner'!$H$2:$H$10001,0)),"")</f>
        <v/>
      </c>
    </row>
    <row r="7957">
      <c r="A7957">
        <f>IFERROR(INDEX('Email Cleaner'!$B$2:$B$10001,MATCH(7956,'Email Cleaner'!$H$2:$H$10001,0)),"")</f>
        <v/>
      </c>
    </row>
    <row r="7958">
      <c r="A7958">
        <f>IFERROR(INDEX('Email Cleaner'!$B$2:$B$10001,MATCH(7957,'Email Cleaner'!$H$2:$H$10001,0)),"")</f>
        <v/>
      </c>
    </row>
    <row r="7959">
      <c r="A7959">
        <f>IFERROR(INDEX('Email Cleaner'!$B$2:$B$10001,MATCH(7958,'Email Cleaner'!$H$2:$H$10001,0)),"")</f>
        <v/>
      </c>
    </row>
    <row r="7960">
      <c r="A7960">
        <f>IFERROR(INDEX('Email Cleaner'!$B$2:$B$10001,MATCH(7959,'Email Cleaner'!$H$2:$H$10001,0)),"")</f>
        <v/>
      </c>
    </row>
    <row r="7961">
      <c r="A7961">
        <f>IFERROR(INDEX('Email Cleaner'!$B$2:$B$10001,MATCH(7960,'Email Cleaner'!$H$2:$H$10001,0)),"")</f>
        <v/>
      </c>
    </row>
    <row r="7962">
      <c r="A7962">
        <f>IFERROR(INDEX('Email Cleaner'!$B$2:$B$10001,MATCH(7961,'Email Cleaner'!$H$2:$H$10001,0)),"")</f>
        <v/>
      </c>
    </row>
    <row r="7963">
      <c r="A7963">
        <f>IFERROR(INDEX('Email Cleaner'!$B$2:$B$10001,MATCH(7962,'Email Cleaner'!$H$2:$H$10001,0)),"")</f>
        <v/>
      </c>
    </row>
    <row r="7964">
      <c r="A7964">
        <f>IFERROR(INDEX('Email Cleaner'!$B$2:$B$10001,MATCH(7963,'Email Cleaner'!$H$2:$H$10001,0)),"")</f>
        <v/>
      </c>
    </row>
    <row r="7965">
      <c r="A7965">
        <f>IFERROR(INDEX('Email Cleaner'!$B$2:$B$10001,MATCH(7964,'Email Cleaner'!$H$2:$H$10001,0)),"")</f>
        <v/>
      </c>
    </row>
    <row r="7966">
      <c r="A7966">
        <f>IFERROR(INDEX('Email Cleaner'!$B$2:$B$10001,MATCH(7965,'Email Cleaner'!$H$2:$H$10001,0)),"")</f>
        <v/>
      </c>
    </row>
    <row r="7967">
      <c r="A7967">
        <f>IFERROR(INDEX('Email Cleaner'!$B$2:$B$10001,MATCH(7966,'Email Cleaner'!$H$2:$H$10001,0)),"")</f>
        <v/>
      </c>
    </row>
    <row r="7968">
      <c r="A7968">
        <f>IFERROR(INDEX('Email Cleaner'!$B$2:$B$10001,MATCH(7967,'Email Cleaner'!$H$2:$H$10001,0)),"")</f>
        <v/>
      </c>
    </row>
    <row r="7969">
      <c r="A7969">
        <f>IFERROR(INDEX('Email Cleaner'!$B$2:$B$10001,MATCH(7968,'Email Cleaner'!$H$2:$H$10001,0)),"")</f>
        <v/>
      </c>
    </row>
    <row r="7970">
      <c r="A7970">
        <f>IFERROR(INDEX('Email Cleaner'!$B$2:$B$10001,MATCH(7969,'Email Cleaner'!$H$2:$H$10001,0)),"")</f>
        <v/>
      </c>
    </row>
    <row r="7971">
      <c r="A7971">
        <f>IFERROR(INDEX('Email Cleaner'!$B$2:$B$10001,MATCH(7970,'Email Cleaner'!$H$2:$H$10001,0)),"")</f>
        <v/>
      </c>
    </row>
    <row r="7972">
      <c r="A7972">
        <f>IFERROR(INDEX('Email Cleaner'!$B$2:$B$10001,MATCH(7971,'Email Cleaner'!$H$2:$H$10001,0)),"")</f>
        <v/>
      </c>
    </row>
    <row r="7973">
      <c r="A7973">
        <f>IFERROR(INDEX('Email Cleaner'!$B$2:$B$10001,MATCH(7972,'Email Cleaner'!$H$2:$H$10001,0)),"")</f>
        <v/>
      </c>
    </row>
    <row r="7974">
      <c r="A7974">
        <f>IFERROR(INDEX('Email Cleaner'!$B$2:$B$10001,MATCH(7973,'Email Cleaner'!$H$2:$H$10001,0)),"")</f>
        <v/>
      </c>
    </row>
    <row r="7975">
      <c r="A7975">
        <f>IFERROR(INDEX('Email Cleaner'!$B$2:$B$10001,MATCH(7974,'Email Cleaner'!$H$2:$H$10001,0)),"")</f>
        <v/>
      </c>
    </row>
    <row r="7976">
      <c r="A7976">
        <f>IFERROR(INDEX('Email Cleaner'!$B$2:$B$10001,MATCH(7975,'Email Cleaner'!$H$2:$H$10001,0)),"")</f>
        <v/>
      </c>
    </row>
    <row r="7977">
      <c r="A7977">
        <f>IFERROR(INDEX('Email Cleaner'!$B$2:$B$10001,MATCH(7976,'Email Cleaner'!$H$2:$H$10001,0)),"")</f>
        <v/>
      </c>
    </row>
    <row r="7978">
      <c r="A7978">
        <f>IFERROR(INDEX('Email Cleaner'!$B$2:$B$10001,MATCH(7977,'Email Cleaner'!$H$2:$H$10001,0)),"")</f>
        <v/>
      </c>
    </row>
    <row r="7979">
      <c r="A7979">
        <f>IFERROR(INDEX('Email Cleaner'!$B$2:$B$10001,MATCH(7978,'Email Cleaner'!$H$2:$H$10001,0)),"")</f>
        <v/>
      </c>
    </row>
    <row r="7980">
      <c r="A7980">
        <f>IFERROR(INDEX('Email Cleaner'!$B$2:$B$10001,MATCH(7979,'Email Cleaner'!$H$2:$H$10001,0)),"")</f>
        <v/>
      </c>
    </row>
    <row r="7981">
      <c r="A7981">
        <f>IFERROR(INDEX('Email Cleaner'!$B$2:$B$10001,MATCH(7980,'Email Cleaner'!$H$2:$H$10001,0)),"")</f>
        <v/>
      </c>
    </row>
    <row r="7982">
      <c r="A7982">
        <f>IFERROR(INDEX('Email Cleaner'!$B$2:$B$10001,MATCH(7981,'Email Cleaner'!$H$2:$H$10001,0)),"")</f>
        <v/>
      </c>
    </row>
    <row r="7983">
      <c r="A7983">
        <f>IFERROR(INDEX('Email Cleaner'!$B$2:$B$10001,MATCH(7982,'Email Cleaner'!$H$2:$H$10001,0)),"")</f>
        <v/>
      </c>
    </row>
    <row r="7984">
      <c r="A7984">
        <f>IFERROR(INDEX('Email Cleaner'!$B$2:$B$10001,MATCH(7983,'Email Cleaner'!$H$2:$H$10001,0)),"")</f>
        <v/>
      </c>
    </row>
    <row r="7985">
      <c r="A7985">
        <f>IFERROR(INDEX('Email Cleaner'!$B$2:$B$10001,MATCH(7984,'Email Cleaner'!$H$2:$H$10001,0)),"")</f>
        <v/>
      </c>
    </row>
    <row r="7986">
      <c r="A7986">
        <f>IFERROR(INDEX('Email Cleaner'!$B$2:$B$10001,MATCH(7985,'Email Cleaner'!$H$2:$H$10001,0)),"")</f>
        <v/>
      </c>
    </row>
    <row r="7987">
      <c r="A7987">
        <f>IFERROR(INDEX('Email Cleaner'!$B$2:$B$10001,MATCH(7986,'Email Cleaner'!$H$2:$H$10001,0)),"")</f>
        <v/>
      </c>
    </row>
    <row r="7988">
      <c r="A7988">
        <f>IFERROR(INDEX('Email Cleaner'!$B$2:$B$10001,MATCH(7987,'Email Cleaner'!$H$2:$H$10001,0)),"")</f>
        <v/>
      </c>
    </row>
    <row r="7989">
      <c r="A7989">
        <f>IFERROR(INDEX('Email Cleaner'!$B$2:$B$10001,MATCH(7988,'Email Cleaner'!$H$2:$H$10001,0)),"")</f>
        <v/>
      </c>
    </row>
    <row r="7990">
      <c r="A7990">
        <f>IFERROR(INDEX('Email Cleaner'!$B$2:$B$10001,MATCH(7989,'Email Cleaner'!$H$2:$H$10001,0)),"")</f>
        <v/>
      </c>
    </row>
    <row r="7991">
      <c r="A7991">
        <f>IFERROR(INDEX('Email Cleaner'!$B$2:$B$10001,MATCH(7990,'Email Cleaner'!$H$2:$H$10001,0)),"")</f>
        <v/>
      </c>
    </row>
    <row r="7992">
      <c r="A7992">
        <f>IFERROR(INDEX('Email Cleaner'!$B$2:$B$10001,MATCH(7991,'Email Cleaner'!$H$2:$H$10001,0)),"")</f>
        <v/>
      </c>
    </row>
    <row r="7993">
      <c r="A7993">
        <f>IFERROR(INDEX('Email Cleaner'!$B$2:$B$10001,MATCH(7992,'Email Cleaner'!$H$2:$H$10001,0)),"")</f>
        <v/>
      </c>
    </row>
    <row r="7994">
      <c r="A7994">
        <f>IFERROR(INDEX('Email Cleaner'!$B$2:$B$10001,MATCH(7993,'Email Cleaner'!$H$2:$H$10001,0)),"")</f>
        <v/>
      </c>
    </row>
    <row r="7995">
      <c r="A7995">
        <f>IFERROR(INDEX('Email Cleaner'!$B$2:$B$10001,MATCH(7994,'Email Cleaner'!$H$2:$H$10001,0)),"")</f>
        <v/>
      </c>
    </row>
    <row r="7996">
      <c r="A7996">
        <f>IFERROR(INDEX('Email Cleaner'!$B$2:$B$10001,MATCH(7995,'Email Cleaner'!$H$2:$H$10001,0)),"")</f>
        <v/>
      </c>
    </row>
    <row r="7997">
      <c r="A7997">
        <f>IFERROR(INDEX('Email Cleaner'!$B$2:$B$10001,MATCH(7996,'Email Cleaner'!$H$2:$H$10001,0)),"")</f>
        <v/>
      </c>
    </row>
    <row r="7998">
      <c r="A7998">
        <f>IFERROR(INDEX('Email Cleaner'!$B$2:$B$10001,MATCH(7997,'Email Cleaner'!$H$2:$H$10001,0)),"")</f>
        <v/>
      </c>
    </row>
    <row r="7999">
      <c r="A7999">
        <f>IFERROR(INDEX('Email Cleaner'!$B$2:$B$10001,MATCH(7998,'Email Cleaner'!$H$2:$H$10001,0)),"")</f>
        <v/>
      </c>
    </row>
    <row r="8000">
      <c r="A8000">
        <f>IFERROR(INDEX('Email Cleaner'!$B$2:$B$10001,MATCH(7999,'Email Cleaner'!$H$2:$H$10001,0)),"")</f>
        <v/>
      </c>
    </row>
    <row r="8001">
      <c r="A8001">
        <f>IFERROR(INDEX('Email Cleaner'!$B$2:$B$10001,MATCH(8000,'Email Cleaner'!$H$2:$H$10001,0)),"")</f>
        <v/>
      </c>
    </row>
    <row r="8002">
      <c r="A8002">
        <f>IFERROR(INDEX('Email Cleaner'!$B$2:$B$10001,MATCH(8001,'Email Cleaner'!$H$2:$H$10001,0)),"")</f>
        <v/>
      </c>
    </row>
    <row r="8003">
      <c r="A8003">
        <f>IFERROR(INDEX('Email Cleaner'!$B$2:$B$10001,MATCH(8002,'Email Cleaner'!$H$2:$H$10001,0)),"")</f>
        <v/>
      </c>
    </row>
    <row r="8004">
      <c r="A8004">
        <f>IFERROR(INDEX('Email Cleaner'!$B$2:$B$10001,MATCH(8003,'Email Cleaner'!$H$2:$H$10001,0)),"")</f>
        <v/>
      </c>
    </row>
    <row r="8005">
      <c r="A8005">
        <f>IFERROR(INDEX('Email Cleaner'!$B$2:$B$10001,MATCH(8004,'Email Cleaner'!$H$2:$H$10001,0)),"")</f>
        <v/>
      </c>
    </row>
    <row r="8006">
      <c r="A8006">
        <f>IFERROR(INDEX('Email Cleaner'!$B$2:$B$10001,MATCH(8005,'Email Cleaner'!$H$2:$H$10001,0)),"")</f>
        <v/>
      </c>
    </row>
    <row r="8007">
      <c r="A8007">
        <f>IFERROR(INDEX('Email Cleaner'!$B$2:$B$10001,MATCH(8006,'Email Cleaner'!$H$2:$H$10001,0)),"")</f>
        <v/>
      </c>
    </row>
    <row r="8008">
      <c r="A8008">
        <f>IFERROR(INDEX('Email Cleaner'!$B$2:$B$10001,MATCH(8007,'Email Cleaner'!$H$2:$H$10001,0)),"")</f>
        <v/>
      </c>
    </row>
    <row r="8009">
      <c r="A8009">
        <f>IFERROR(INDEX('Email Cleaner'!$B$2:$B$10001,MATCH(8008,'Email Cleaner'!$H$2:$H$10001,0)),"")</f>
        <v/>
      </c>
    </row>
    <row r="8010">
      <c r="A8010">
        <f>IFERROR(INDEX('Email Cleaner'!$B$2:$B$10001,MATCH(8009,'Email Cleaner'!$H$2:$H$10001,0)),"")</f>
        <v/>
      </c>
    </row>
    <row r="8011">
      <c r="A8011">
        <f>IFERROR(INDEX('Email Cleaner'!$B$2:$B$10001,MATCH(8010,'Email Cleaner'!$H$2:$H$10001,0)),"")</f>
        <v/>
      </c>
    </row>
    <row r="8012">
      <c r="A8012">
        <f>IFERROR(INDEX('Email Cleaner'!$B$2:$B$10001,MATCH(8011,'Email Cleaner'!$H$2:$H$10001,0)),"")</f>
        <v/>
      </c>
    </row>
    <row r="8013">
      <c r="A8013">
        <f>IFERROR(INDEX('Email Cleaner'!$B$2:$B$10001,MATCH(8012,'Email Cleaner'!$H$2:$H$10001,0)),"")</f>
        <v/>
      </c>
    </row>
    <row r="8014">
      <c r="A8014">
        <f>IFERROR(INDEX('Email Cleaner'!$B$2:$B$10001,MATCH(8013,'Email Cleaner'!$H$2:$H$10001,0)),"")</f>
        <v/>
      </c>
    </row>
    <row r="8015">
      <c r="A8015">
        <f>IFERROR(INDEX('Email Cleaner'!$B$2:$B$10001,MATCH(8014,'Email Cleaner'!$H$2:$H$10001,0)),"")</f>
        <v/>
      </c>
    </row>
    <row r="8016">
      <c r="A8016">
        <f>IFERROR(INDEX('Email Cleaner'!$B$2:$B$10001,MATCH(8015,'Email Cleaner'!$H$2:$H$10001,0)),"")</f>
        <v/>
      </c>
    </row>
    <row r="8017">
      <c r="A8017">
        <f>IFERROR(INDEX('Email Cleaner'!$B$2:$B$10001,MATCH(8016,'Email Cleaner'!$H$2:$H$10001,0)),"")</f>
        <v/>
      </c>
    </row>
    <row r="8018">
      <c r="A8018">
        <f>IFERROR(INDEX('Email Cleaner'!$B$2:$B$10001,MATCH(8017,'Email Cleaner'!$H$2:$H$10001,0)),"")</f>
        <v/>
      </c>
    </row>
    <row r="8019">
      <c r="A8019">
        <f>IFERROR(INDEX('Email Cleaner'!$B$2:$B$10001,MATCH(8018,'Email Cleaner'!$H$2:$H$10001,0)),"")</f>
        <v/>
      </c>
    </row>
    <row r="8020">
      <c r="A8020">
        <f>IFERROR(INDEX('Email Cleaner'!$B$2:$B$10001,MATCH(8019,'Email Cleaner'!$H$2:$H$10001,0)),"")</f>
        <v/>
      </c>
    </row>
    <row r="8021">
      <c r="A8021">
        <f>IFERROR(INDEX('Email Cleaner'!$B$2:$B$10001,MATCH(8020,'Email Cleaner'!$H$2:$H$10001,0)),"")</f>
        <v/>
      </c>
    </row>
    <row r="8022">
      <c r="A8022">
        <f>IFERROR(INDEX('Email Cleaner'!$B$2:$B$10001,MATCH(8021,'Email Cleaner'!$H$2:$H$10001,0)),"")</f>
        <v/>
      </c>
    </row>
    <row r="8023">
      <c r="A8023">
        <f>IFERROR(INDEX('Email Cleaner'!$B$2:$B$10001,MATCH(8022,'Email Cleaner'!$H$2:$H$10001,0)),"")</f>
        <v/>
      </c>
    </row>
    <row r="8024">
      <c r="A8024">
        <f>IFERROR(INDEX('Email Cleaner'!$B$2:$B$10001,MATCH(8023,'Email Cleaner'!$H$2:$H$10001,0)),"")</f>
        <v/>
      </c>
    </row>
    <row r="8025">
      <c r="A8025">
        <f>IFERROR(INDEX('Email Cleaner'!$B$2:$B$10001,MATCH(8024,'Email Cleaner'!$H$2:$H$10001,0)),"")</f>
        <v/>
      </c>
    </row>
    <row r="8026">
      <c r="A8026">
        <f>IFERROR(INDEX('Email Cleaner'!$B$2:$B$10001,MATCH(8025,'Email Cleaner'!$H$2:$H$10001,0)),"")</f>
        <v/>
      </c>
    </row>
    <row r="8027">
      <c r="A8027">
        <f>IFERROR(INDEX('Email Cleaner'!$B$2:$B$10001,MATCH(8026,'Email Cleaner'!$H$2:$H$10001,0)),"")</f>
        <v/>
      </c>
    </row>
    <row r="8028">
      <c r="A8028">
        <f>IFERROR(INDEX('Email Cleaner'!$B$2:$B$10001,MATCH(8027,'Email Cleaner'!$H$2:$H$10001,0)),"")</f>
        <v/>
      </c>
    </row>
    <row r="8029">
      <c r="A8029">
        <f>IFERROR(INDEX('Email Cleaner'!$B$2:$B$10001,MATCH(8028,'Email Cleaner'!$H$2:$H$10001,0)),"")</f>
        <v/>
      </c>
    </row>
    <row r="8030">
      <c r="A8030">
        <f>IFERROR(INDEX('Email Cleaner'!$B$2:$B$10001,MATCH(8029,'Email Cleaner'!$H$2:$H$10001,0)),"")</f>
        <v/>
      </c>
    </row>
    <row r="8031">
      <c r="A8031">
        <f>IFERROR(INDEX('Email Cleaner'!$B$2:$B$10001,MATCH(8030,'Email Cleaner'!$H$2:$H$10001,0)),"")</f>
        <v/>
      </c>
    </row>
    <row r="8032">
      <c r="A8032">
        <f>IFERROR(INDEX('Email Cleaner'!$B$2:$B$10001,MATCH(8031,'Email Cleaner'!$H$2:$H$10001,0)),"")</f>
        <v/>
      </c>
    </row>
    <row r="8033">
      <c r="A8033">
        <f>IFERROR(INDEX('Email Cleaner'!$B$2:$B$10001,MATCH(8032,'Email Cleaner'!$H$2:$H$10001,0)),"")</f>
        <v/>
      </c>
    </row>
    <row r="8034">
      <c r="A8034">
        <f>IFERROR(INDEX('Email Cleaner'!$B$2:$B$10001,MATCH(8033,'Email Cleaner'!$H$2:$H$10001,0)),"")</f>
        <v/>
      </c>
    </row>
    <row r="8035">
      <c r="A8035">
        <f>IFERROR(INDEX('Email Cleaner'!$B$2:$B$10001,MATCH(8034,'Email Cleaner'!$H$2:$H$10001,0)),"")</f>
        <v/>
      </c>
    </row>
    <row r="8036">
      <c r="A8036">
        <f>IFERROR(INDEX('Email Cleaner'!$B$2:$B$10001,MATCH(8035,'Email Cleaner'!$H$2:$H$10001,0)),"")</f>
        <v/>
      </c>
    </row>
    <row r="8037">
      <c r="A8037">
        <f>IFERROR(INDEX('Email Cleaner'!$B$2:$B$10001,MATCH(8036,'Email Cleaner'!$H$2:$H$10001,0)),"")</f>
        <v/>
      </c>
    </row>
    <row r="8038">
      <c r="A8038">
        <f>IFERROR(INDEX('Email Cleaner'!$B$2:$B$10001,MATCH(8037,'Email Cleaner'!$H$2:$H$10001,0)),"")</f>
        <v/>
      </c>
    </row>
    <row r="8039">
      <c r="A8039">
        <f>IFERROR(INDEX('Email Cleaner'!$B$2:$B$10001,MATCH(8038,'Email Cleaner'!$H$2:$H$10001,0)),"")</f>
        <v/>
      </c>
    </row>
    <row r="8040">
      <c r="A8040">
        <f>IFERROR(INDEX('Email Cleaner'!$B$2:$B$10001,MATCH(8039,'Email Cleaner'!$H$2:$H$10001,0)),"")</f>
        <v/>
      </c>
    </row>
    <row r="8041">
      <c r="A8041">
        <f>IFERROR(INDEX('Email Cleaner'!$B$2:$B$10001,MATCH(8040,'Email Cleaner'!$H$2:$H$10001,0)),"")</f>
        <v/>
      </c>
    </row>
    <row r="8042">
      <c r="A8042">
        <f>IFERROR(INDEX('Email Cleaner'!$B$2:$B$10001,MATCH(8041,'Email Cleaner'!$H$2:$H$10001,0)),"")</f>
        <v/>
      </c>
    </row>
    <row r="8043">
      <c r="A8043">
        <f>IFERROR(INDEX('Email Cleaner'!$B$2:$B$10001,MATCH(8042,'Email Cleaner'!$H$2:$H$10001,0)),"")</f>
        <v/>
      </c>
    </row>
    <row r="8044">
      <c r="A8044">
        <f>IFERROR(INDEX('Email Cleaner'!$B$2:$B$10001,MATCH(8043,'Email Cleaner'!$H$2:$H$10001,0)),"")</f>
        <v/>
      </c>
    </row>
    <row r="8045">
      <c r="A8045">
        <f>IFERROR(INDEX('Email Cleaner'!$B$2:$B$10001,MATCH(8044,'Email Cleaner'!$H$2:$H$10001,0)),"")</f>
        <v/>
      </c>
    </row>
    <row r="8046">
      <c r="A8046">
        <f>IFERROR(INDEX('Email Cleaner'!$B$2:$B$10001,MATCH(8045,'Email Cleaner'!$H$2:$H$10001,0)),"")</f>
        <v/>
      </c>
    </row>
    <row r="8047">
      <c r="A8047">
        <f>IFERROR(INDEX('Email Cleaner'!$B$2:$B$10001,MATCH(8046,'Email Cleaner'!$H$2:$H$10001,0)),"")</f>
        <v/>
      </c>
    </row>
    <row r="8048">
      <c r="A8048">
        <f>IFERROR(INDEX('Email Cleaner'!$B$2:$B$10001,MATCH(8047,'Email Cleaner'!$H$2:$H$10001,0)),"")</f>
        <v/>
      </c>
    </row>
    <row r="8049">
      <c r="A8049">
        <f>IFERROR(INDEX('Email Cleaner'!$B$2:$B$10001,MATCH(8048,'Email Cleaner'!$H$2:$H$10001,0)),"")</f>
        <v/>
      </c>
    </row>
    <row r="8050">
      <c r="A8050">
        <f>IFERROR(INDEX('Email Cleaner'!$B$2:$B$10001,MATCH(8049,'Email Cleaner'!$H$2:$H$10001,0)),"")</f>
        <v/>
      </c>
    </row>
    <row r="8051">
      <c r="A8051">
        <f>IFERROR(INDEX('Email Cleaner'!$B$2:$B$10001,MATCH(8050,'Email Cleaner'!$H$2:$H$10001,0)),"")</f>
        <v/>
      </c>
    </row>
    <row r="8052">
      <c r="A8052">
        <f>IFERROR(INDEX('Email Cleaner'!$B$2:$B$10001,MATCH(8051,'Email Cleaner'!$H$2:$H$10001,0)),"")</f>
        <v/>
      </c>
    </row>
    <row r="8053">
      <c r="A8053">
        <f>IFERROR(INDEX('Email Cleaner'!$B$2:$B$10001,MATCH(8052,'Email Cleaner'!$H$2:$H$10001,0)),"")</f>
        <v/>
      </c>
    </row>
    <row r="8054">
      <c r="A8054">
        <f>IFERROR(INDEX('Email Cleaner'!$B$2:$B$10001,MATCH(8053,'Email Cleaner'!$H$2:$H$10001,0)),"")</f>
        <v/>
      </c>
    </row>
    <row r="8055">
      <c r="A8055">
        <f>IFERROR(INDEX('Email Cleaner'!$B$2:$B$10001,MATCH(8054,'Email Cleaner'!$H$2:$H$10001,0)),"")</f>
        <v/>
      </c>
    </row>
    <row r="8056">
      <c r="A8056">
        <f>IFERROR(INDEX('Email Cleaner'!$B$2:$B$10001,MATCH(8055,'Email Cleaner'!$H$2:$H$10001,0)),"")</f>
        <v/>
      </c>
    </row>
    <row r="8057">
      <c r="A8057">
        <f>IFERROR(INDEX('Email Cleaner'!$B$2:$B$10001,MATCH(8056,'Email Cleaner'!$H$2:$H$10001,0)),"")</f>
        <v/>
      </c>
    </row>
    <row r="8058">
      <c r="A8058">
        <f>IFERROR(INDEX('Email Cleaner'!$B$2:$B$10001,MATCH(8057,'Email Cleaner'!$H$2:$H$10001,0)),"")</f>
        <v/>
      </c>
    </row>
    <row r="8059">
      <c r="A8059">
        <f>IFERROR(INDEX('Email Cleaner'!$B$2:$B$10001,MATCH(8058,'Email Cleaner'!$H$2:$H$10001,0)),"")</f>
        <v/>
      </c>
    </row>
    <row r="8060">
      <c r="A8060">
        <f>IFERROR(INDEX('Email Cleaner'!$B$2:$B$10001,MATCH(8059,'Email Cleaner'!$H$2:$H$10001,0)),"")</f>
        <v/>
      </c>
    </row>
    <row r="8061">
      <c r="A8061">
        <f>IFERROR(INDEX('Email Cleaner'!$B$2:$B$10001,MATCH(8060,'Email Cleaner'!$H$2:$H$10001,0)),"")</f>
        <v/>
      </c>
    </row>
    <row r="8062">
      <c r="A8062">
        <f>IFERROR(INDEX('Email Cleaner'!$B$2:$B$10001,MATCH(8061,'Email Cleaner'!$H$2:$H$10001,0)),"")</f>
        <v/>
      </c>
    </row>
    <row r="8063">
      <c r="A8063">
        <f>IFERROR(INDEX('Email Cleaner'!$B$2:$B$10001,MATCH(8062,'Email Cleaner'!$H$2:$H$10001,0)),"")</f>
        <v/>
      </c>
    </row>
    <row r="8064">
      <c r="A8064">
        <f>IFERROR(INDEX('Email Cleaner'!$B$2:$B$10001,MATCH(8063,'Email Cleaner'!$H$2:$H$10001,0)),"")</f>
        <v/>
      </c>
    </row>
    <row r="8065">
      <c r="A8065">
        <f>IFERROR(INDEX('Email Cleaner'!$B$2:$B$10001,MATCH(8064,'Email Cleaner'!$H$2:$H$10001,0)),"")</f>
        <v/>
      </c>
    </row>
    <row r="8066">
      <c r="A8066">
        <f>IFERROR(INDEX('Email Cleaner'!$B$2:$B$10001,MATCH(8065,'Email Cleaner'!$H$2:$H$10001,0)),"")</f>
        <v/>
      </c>
    </row>
    <row r="8067">
      <c r="A8067">
        <f>IFERROR(INDEX('Email Cleaner'!$B$2:$B$10001,MATCH(8066,'Email Cleaner'!$H$2:$H$10001,0)),"")</f>
        <v/>
      </c>
    </row>
    <row r="8068">
      <c r="A8068">
        <f>IFERROR(INDEX('Email Cleaner'!$B$2:$B$10001,MATCH(8067,'Email Cleaner'!$H$2:$H$10001,0)),"")</f>
        <v/>
      </c>
    </row>
    <row r="8069">
      <c r="A8069">
        <f>IFERROR(INDEX('Email Cleaner'!$B$2:$B$10001,MATCH(8068,'Email Cleaner'!$H$2:$H$10001,0)),"")</f>
        <v/>
      </c>
    </row>
    <row r="8070">
      <c r="A8070">
        <f>IFERROR(INDEX('Email Cleaner'!$B$2:$B$10001,MATCH(8069,'Email Cleaner'!$H$2:$H$10001,0)),"")</f>
        <v/>
      </c>
    </row>
    <row r="8071">
      <c r="A8071">
        <f>IFERROR(INDEX('Email Cleaner'!$B$2:$B$10001,MATCH(8070,'Email Cleaner'!$H$2:$H$10001,0)),"")</f>
        <v/>
      </c>
    </row>
    <row r="8072">
      <c r="A8072">
        <f>IFERROR(INDEX('Email Cleaner'!$B$2:$B$10001,MATCH(8071,'Email Cleaner'!$H$2:$H$10001,0)),"")</f>
        <v/>
      </c>
    </row>
    <row r="8073">
      <c r="A8073">
        <f>IFERROR(INDEX('Email Cleaner'!$B$2:$B$10001,MATCH(8072,'Email Cleaner'!$H$2:$H$10001,0)),"")</f>
        <v/>
      </c>
    </row>
    <row r="8074">
      <c r="A8074">
        <f>IFERROR(INDEX('Email Cleaner'!$B$2:$B$10001,MATCH(8073,'Email Cleaner'!$H$2:$H$10001,0)),"")</f>
        <v/>
      </c>
    </row>
    <row r="8075">
      <c r="A8075">
        <f>IFERROR(INDEX('Email Cleaner'!$B$2:$B$10001,MATCH(8074,'Email Cleaner'!$H$2:$H$10001,0)),"")</f>
        <v/>
      </c>
    </row>
    <row r="8076">
      <c r="A8076">
        <f>IFERROR(INDEX('Email Cleaner'!$B$2:$B$10001,MATCH(8075,'Email Cleaner'!$H$2:$H$10001,0)),"")</f>
        <v/>
      </c>
    </row>
    <row r="8077">
      <c r="A8077">
        <f>IFERROR(INDEX('Email Cleaner'!$B$2:$B$10001,MATCH(8076,'Email Cleaner'!$H$2:$H$10001,0)),"")</f>
        <v/>
      </c>
    </row>
    <row r="8078">
      <c r="A8078">
        <f>IFERROR(INDEX('Email Cleaner'!$B$2:$B$10001,MATCH(8077,'Email Cleaner'!$H$2:$H$10001,0)),"")</f>
        <v/>
      </c>
    </row>
    <row r="8079">
      <c r="A8079">
        <f>IFERROR(INDEX('Email Cleaner'!$B$2:$B$10001,MATCH(8078,'Email Cleaner'!$H$2:$H$10001,0)),"")</f>
        <v/>
      </c>
    </row>
    <row r="8080">
      <c r="A8080">
        <f>IFERROR(INDEX('Email Cleaner'!$B$2:$B$10001,MATCH(8079,'Email Cleaner'!$H$2:$H$10001,0)),"")</f>
        <v/>
      </c>
    </row>
    <row r="8081">
      <c r="A8081">
        <f>IFERROR(INDEX('Email Cleaner'!$B$2:$B$10001,MATCH(8080,'Email Cleaner'!$H$2:$H$10001,0)),"")</f>
        <v/>
      </c>
    </row>
    <row r="8082">
      <c r="A8082">
        <f>IFERROR(INDEX('Email Cleaner'!$B$2:$B$10001,MATCH(8081,'Email Cleaner'!$H$2:$H$10001,0)),"")</f>
        <v/>
      </c>
    </row>
    <row r="8083">
      <c r="A8083">
        <f>IFERROR(INDEX('Email Cleaner'!$B$2:$B$10001,MATCH(8082,'Email Cleaner'!$H$2:$H$10001,0)),"")</f>
        <v/>
      </c>
    </row>
    <row r="8084">
      <c r="A8084">
        <f>IFERROR(INDEX('Email Cleaner'!$B$2:$B$10001,MATCH(8083,'Email Cleaner'!$H$2:$H$10001,0)),"")</f>
        <v/>
      </c>
    </row>
    <row r="8085">
      <c r="A8085">
        <f>IFERROR(INDEX('Email Cleaner'!$B$2:$B$10001,MATCH(8084,'Email Cleaner'!$H$2:$H$10001,0)),"")</f>
        <v/>
      </c>
    </row>
    <row r="8086">
      <c r="A8086">
        <f>IFERROR(INDEX('Email Cleaner'!$B$2:$B$10001,MATCH(8085,'Email Cleaner'!$H$2:$H$10001,0)),"")</f>
        <v/>
      </c>
    </row>
    <row r="8087">
      <c r="A8087">
        <f>IFERROR(INDEX('Email Cleaner'!$B$2:$B$10001,MATCH(8086,'Email Cleaner'!$H$2:$H$10001,0)),"")</f>
        <v/>
      </c>
    </row>
    <row r="8088">
      <c r="A8088">
        <f>IFERROR(INDEX('Email Cleaner'!$B$2:$B$10001,MATCH(8087,'Email Cleaner'!$H$2:$H$10001,0)),"")</f>
        <v/>
      </c>
    </row>
    <row r="8089">
      <c r="A8089">
        <f>IFERROR(INDEX('Email Cleaner'!$B$2:$B$10001,MATCH(8088,'Email Cleaner'!$H$2:$H$10001,0)),"")</f>
        <v/>
      </c>
    </row>
    <row r="8090">
      <c r="A8090">
        <f>IFERROR(INDEX('Email Cleaner'!$B$2:$B$10001,MATCH(8089,'Email Cleaner'!$H$2:$H$10001,0)),"")</f>
        <v/>
      </c>
    </row>
    <row r="8091">
      <c r="A8091">
        <f>IFERROR(INDEX('Email Cleaner'!$B$2:$B$10001,MATCH(8090,'Email Cleaner'!$H$2:$H$10001,0)),"")</f>
        <v/>
      </c>
    </row>
    <row r="8092">
      <c r="A8092">
        <f>IFERROR(INDEX('Email Cleaner'!$B$2:$B$10001,MATCH(8091,'Email Cleaner'!$H$2:$H$10001,0)),"")</f>
        <v/>
      </c>
    </row>
    <row r="8093">
      <c r="A8093">
        <f>IFERROR(INDEX('Email Cleaner'!$B$2:$B$10001,MATCH(8092,'Email Cleaner'!$H$2:$H$10001,0)),"")</f>
        <v/>
      </c>
    </row>
    <row r="8094">
      <c r="A8094">
        <f>IFERROR(INDEX('Email Cleaner'!$B$2:$B$10001,MATCH(8093,'Email Cleaner'!$H$2:$H$10001,0)),"")</f>
        <v/>
      </c>
    </row>
    <row r="8095">
      <c r="A8095">
        <f>IFERROR(INDEX('Email Cleaner'!$B$2:$B$10001,MATCH(8094,'Email Cleaner'!$H$2:$H$10001,0)),"")</f>
        <v/>
      </c>
    </row>
    <row r="8096">
      <c r="A8096">
        <f>IFERROR(INDEX('Email Cleaner'!$B$2:$B$10001,MATCH(8095,'Email Cleaner'!$H$2:$H$10001,0)),"")</f>
        <v/>
      </c>
    </row>
    <row r="8097">
      <c r="A8097">
        <f>IFERROR(INDEX('Email Cleaner'!$B$2:$B$10001,MATCH(8096,'Email Cleaner'!$H$2:$H$10001,0)),"")</f>
        <v/>
      </c>
    </row>
    <row r="8098">
      <c r="A8098">
        <f>IFERROR(INDEX('Email Cleaner'!$B$2:$B$10001,MATCH(8097,'Email Cleaner'!$H$2:$H$10001,0)),"")</f>
        <v/>
      </c>
    </row>
    <row r="8099">
      <c r="A8099">
        <f>IFERROR(INDEX('Email Cleaner'!$B$2:$B$10001,MATCH(8098,'Email Cleaner'!$H$2:$H$10001,0)),"")</f>
        <v/>
      </c>
    </row>
    <row r="8100">
      <c r="A8100">
        <f>IFERROR(INDEX('Email Cleaner'!$B$2:$B$10001,MATCH(8099,'Email Cleaner'!$H$2:$H$10001,0)),"")</f>
        <v/>
      </c>
    </row>
    <row r="8101">
      <c r="A8101">
        <f>IFERROR(INDEX('Email Cleaner'!$B$2:$B$10001,MATCH(8100,'Email Cleaner'!$H$2:$H$10001,0)),"")</f>
        <v/>
      </c>
    </row>
    <row r="8102">
      <c r="A8102">
        <f>IFERROR(INDEX('Email Cleaner'!$B$2:$B$10001,MATCH(8101,'Email Cleaner'!$H$2:$H$10001,0)),"")</f>
        <v/>
      </c>
    </row>
    <row r="8103">
      <c r="A8103">
        <f>IFERROR(INDEX('Email Cleaner'!$B$2:$B$10001,MATCH(8102,'Email Cleaner'!$H$2:$H$10001,0)),"")</f>
        <v/>
      </c>
    </row>
    <row r="8104">
      <c r="A8104">
        <f>IFERROR(INDEX('Email Cleaner'!$B$2:$B$10001,MATCH(8103,'Email Cleaner'!$H$2:$H$10001,0)),"")</f>
        <v/>
      </c>
    </row>
    <row r="8105">
      <c r="A8105">
        <f>IFERROR(INDEX('Email Cleaner'!$B$2:$B$10001,MATCH(8104,'Email Cleaner'!$H$2:$H$10001,0)),"")</f>
        <v/>
      </c>
    </row>
    <row r="8106">
      <c r="A8106">
        <f>IFERROR(INDEX('Email Cleaner'!$B$2:$B$10001,MATCH(8105,'Email Cleaner'!$H$2:$H$10001,0)),"")</f>
        <v/>
      </c>
    </row>
    <row r="8107">
      <c r="A8107">
        <f>IFERROR(INDEX('Email Cleaner'!$B$2:$B$10001,MATCH(8106,'Email Cleaner'!$H$2:$H$10001,0)),"")</f>
        <v/>
      </c>
    </row>
    <row r="8108">
      <c r="A8108">
        <f>IFERROR(INDEX('Email Cleaner'!$B$2:$B$10001,MATCH(8107,'Email Cleaner'!$H$2:$H$10001,0)),"")</f>
        <v/>
      </c>
    </row>
    <row r="8109">
      <c r="A8109">
        <f>IFERROR(INDEX('Email Cleaner'!$B$2:$B$10001,MATCH(8108,'Email Cleaner'!$H$2:$H$10001,0)),"")</f>
        <v/>
      </c>
    </row>
    <row r="8110">
      <c r="A8110">
        <f>IFERROR(INDEX('Email Cleaner'!$B$2:$B$10001,MATCH(8109,'Email Cleaner'!$H$2:$H$10001,0)),"")</f>
        <v/>
      </c>
    </row>
    <row r="8111">
      <c r="A8111">
        <f>IFERROR(INDEX('Email Cleaner'!$B$2:$B$10001,MATCH(8110,'Email Cleaner'!$H$2:$H$10001,0)),"")</f>
        <v/>
      </c>
    </row>
    <row r="8112">
      <c r="A8112">
        <f>IFERROR(INDEX('Email Cleaner'!$B$2:$B$10001,MATCH(8111,'Email Cleaner'!$H$2:$H$10001,0)),"")</f>
        <v/>
      </c>
    </row>
    <row r="8113">
      <c r="A8113">
        <f>IFERROR(INDEX('Email Cleaner'!$B$2:$B$10001,MATCH(8112,'Email Cleaner'!$H$2:$H$10001,0)),"")</f>
        <v/>
      </c>
    </row>
    <row r="8114">
      <c r="A8114">
        <f>IFERROR(INDEX('Email Cleaner'!$B$2:$B$10001,MATCH(8113,'Email Cleaner'!$H$2:$H$10001,0)),"")</f>
        <v/>
      </c>
    </row>
    <row r="8115">
      <c r="A8115">
        <f>IFERROR(INDEX('Email Cleaner'!$B$2:$B$10001,MATCH(8114,'Email Cleaner'!$H$2:$H$10001,0)),"")</f>
        <v/>
      </c>
    </row>
    <row r="8116">
      <c r="A8116">
        <f>IFERROR(INDEX('Email Cleaner'!$B$2:$B$10001,MATCH(8115,'Email Cleaner'!$H$2:$H$10001,0)),"")</f>
        <v/>
      </c>
    </row>
    <row r="8117">
      <c r="A8117">
        <f>IFERROR(INDEX('Email Cleaner'!$B$2:$B$10001,MATCH(8116,'Email Cleaner'!$H$2:$H$10001,0)),"")</f>
        <v/>
      </c>
    </row>
    <row r="8118">
      <c r="A8118">
        <f>IFERROR(INDEX('Email Cleaner'!$B$2:$B$10001,MATCH(8117,'Email Cleaner'!$H$2:$H$10001,0)),"")</f>
        <v/>
      </c>
    </row>
    <row r="8119">
      <c r="A8119">
        <f>IFERROR(INDEX('Email Cleaner'!$B$2:$B$10001,MATCH(8118,'Email Cleaner'!$H$2:$H$10001,0)),"")</f>
        <v/>
      </c>
    </row>
    <row r="8120">
      <c r="A8120">
        <f>IFERROR(INDEX('Email Cleaner'!$B$2:$B$10001,MATCH(8119,'Email Cleaner'!$H$2:$H$10001,0)),"")</f>
        <v/>
      </c>
    </row>
    <row r="8121">
      <c r="A8121">
        <f>IFERROR(INDEX('Email Cleaner'!$B$2:$B$10001,MATCH(8120,'Email Cleaner'!$H$2:$H$10001,0)),"")</f>
        <v/>
      </c>
    </row>
    <row r="8122">
      <c r="A8122">
        <f>IFERROR(INDEX('Email Cleaner'!$B$2:$B$10001,MATCH(8121,'Email Cleaner'!$H$2:$H$10001,0)),"")</f>
        <v/>
      </c>
    </row>
    <row r="8123">
      <c r="A8123">
        <f>IFERROR(INDEX('Email Cleaner'!$B$2:$B$10001,MATCH(8122,'Email Cleaner'!$H$2:$H$10001,0)),"")</f>
        <v/>
      </c>
    </row>
    <row r="8124">
      <c r="A8124">
        <f>IFERROR(INDEX('Email Cleaner'!$B$2:$B$10001,MATCH(8123,'Email Cleaner'!$H$2:$H$10001,0)),"")</f>
        <v/>
      </c>
    </row>
    <row r="8125">
      <c r="A8125">
        <f>IFERROR(INDEX('Email Cleaner'!$B$2:$B$10001,MATCH(8124,'Email Cleaner'!$H$2:$H$10001,0)),"")</f>
        <v/>
      </c>
    </row>
    <row r="8126">
      <c r="A8126">
        <f>IFERROR(INDEX('Email Cleaner'!$B$2:$B$10001,MATCH(8125,'Email Cleaner'!$H$2:$H$10001,0)),"")</f>
        <v/>
      </c>
    </row>
    <row r="8127">
      <c r="A8127">
        <f>IFERROR(INDEX('Email Cleaner'!$B$2:$B$10001,MATCH(8126,'Email Cleaner'!$H$2:$H$10001,0)),"")</f>
        <v/>
      </c>
    </row>
    <row r="8128">
      <c r="A8128">
        <f>IFERROR(INDEX('Email Cleaner'!$B$2:$B$10001,MATCH(8127,'Email Cleaner'!$H$2:$H$10001,0)),"")</f>
        <v/>
      </c>
    </row>
    <row r="8129">
      <c r="A8129">
        <f>IFERROR(INDEX('Email Cleaner'!$B$2:$B$10001,MATCH(8128,'Email Cleaner'!$H$2:$H$10001,0)),"")</f>
        <v/>
      </c>
    </row>
    <row r="8130">
      <c r="A8130">
        <f>IFERROR(INDEX('Email Cleaner'!$B$2:$B$10001,MATCH(8129,'Email Cleaner'!$H$2:$H$10001,0)),"")</f>
        <v/>
      </c>
    </row>
    <row r="8131">
      <c r="A8131">
        <f>IFERROR(INDEX('Email Cleaner'!$B$2:$B$10001,MATCH(8130,'Email Cleaner'!$H$2:$H$10001,0)),"")</f>
        <v/>
      </c>
    </row>
    <row r="8132">
      <c r="A8132">
        <f>IFERROR(INDEX('Email Cleaner'!$B$2:$B$10001,MATCH(8131,'Email Cleaner'!$H$2:$H$10001,0)),"")</f>
        <v/>
      </c>
    </row>
    <row r="8133">
      <c r="A8133">
        <f>IFERROR(INDEX('Email Cleaner'!$B$2:$B$10001,MATCH(8132,'Email Cleaner'!$H$2:$H$10001,0)),"")</f>
        <v/>
      </c>
    </row>
    <row r="8134">
      <c r="A8134">
        <f>IFERROR(INDEX('Email Cleaner'!$B$2:$B$10001,MATCH(8133,'Email Cleaner'!$H$2:$H$10001,0)),"")</f>
        <v/>
      </c>
    </row>
    <row r="8135">
      <c r="A8135">
        <f>IFERROR(INDEX('Email Cleaner'!$B$2:$B$10001,MATCH(8134,'Email Cleaner'!$H$2:$H$10001,0)),"")</f>
        <v/>
      </c>
    </row>
    <row r="8136">
      <c r="A8136">
        <f>IFERROR(INDEX('Email Cleaner'!$B$2:$B$10001,MATCH(8135,'Email Cleaner'!$H$2:$H$10001,0)),"")</f>
        <v/>
      </c>
    </row>
    <row r="8137">
      <c r="A8137">
        <f>IFERROR(INDEX('Email Cleaner'!$B$2:$B$10001,MATCH(8136,'Email Cleaner'!$H$2:$H$10001,0)),"")</f>
        <v/>
      </c>
    </row>
    <row r="8138">
      <c r="A8138">
        <f>IFERROR(INDEX('Email Cleaner'!$B$2:$B$10001,MATCH(8137,'Email Cleaner'!$H$2:$H$10001,0)),"")</f>
        <v/>
      </c>
    </row>
    <row r="8139">
      <c r="A8139">
        <f>IFERROR(INDEX('Email Cleaner'!$B$2:$B$10001,MATCH(8138,'Email Cleaner'!$H$2:$H$10001,0)),"")</f>
        <v/>
      </c>
    </row>
    <row r="8140">
      <c r="A8140">
        <f>IFERROR(INDEX('Email Cleaner'!$B$2:$B$10001,MATCH(8139,'Email Cleaner'!$H$2:$H$10001,0)),"")</f>
        <v/>
      </c>
    </row>
    <row r="8141">
      <c r="A8141">
        <f>IFERROR(INDEX('Email Cleaner'!$B$2:$B$10001,MATCH(8140,'Email Cleaner'!$H$2:$H$10001,0)),"")</f>
        <v/>
      </c>
    </row>
    <row r="8142">
      <c r="A8142">
        <f>IFERROR(INDEX('Email Cleaner'!$B$2:$B$10001,MATCH(8141,'Email Cleaner'!$H$2:$H$10001,0)),"")</f>
        <v/>
      </c>
    </row>
    <row r="8143">
      <c r="A8143">
        <f>IFERROR(INDEX('Email Cleaner'!$B$2:$B$10001,MATCH(8142,'Email Cleaner'!$H$2:$H$10001,0)),"")</f>
        <v/>
      </c>
    </row>
    <row r="8144">
      <c r="A8144">
        <f>IFERROR(INDEX('Email Cleaner'!$B$2:$B$10001,MATCH(8143,'Email Cleaner'!$H$2:$H$10001,0)),"")</f>
        <v/>
      </c>
    </row>
    <row r="8145">
      <c r="A8145">
        <f>IFERROR(INDEX('Email Cleaner'!$B$2:$B$10001,MATCH(8144,'Email Cleaner'!$H$2:$H$10001,0)),"")</f>
        <v/>
      </c>
    </row>
    <row r="8146">
      <c r="A8146">
        <f>IFERROR(INDEX('Email Cleaner'!$B$2:$B$10001,MATCH(8145,'Email Cleaner'!$H$2:$H$10001,0)),"")</f>
        <v/>
      </c>
    </row>
    <row r="8147">
      <c r="A8147">
        <f>IFERROR(INDEX('Email Cleaner'!$B$2:$B$10001,MATCH(8146,'Email Cleaner'!$H$2:$H$10001,0)),"")</f>
        <v/>
      </c>
    </row>
    <row r="8148">
      <c r="A8148">
        <f>IFERROR(INDEX('Email Cleaner'!$B$2:$B$10001,MATCH(8147,'Email Cleaner'!$H$2:$H$10001,0)),"")</f>
        <v/>
      </c>
    </row>
    <row r="8149">
      <c r="A8149">
        <f>IFERROR(INDEX('Email Cleaner'!$B$2:$B$10001,MATCH(8148,'Email Cleaner'!$H$2:$H$10001,0)),"")</f>
        <v/>
      </c>
    </row>
    <row r="8150">
      <c r="A8150">
        <f>IFERROR(INDEX('Email Cleaner'!$B$2:$B$10001,MATCH(8149,'Email Cleaner'!$H$2:$H$10001,0)),"")</f>
        <v/>
      </c>
    </row>
    <row r="8151">
      <c r="A8151">
        <f>IFERROR(INDEX('Email Cleaner'!$B$2:$B$10001,MATCH(8150,'Email Cleaner'!$H$2:$H$10001,0)),"")</f>
        <v/>
      </c>
    </row>
    <row r="8152">
      <c r="A8152">
        <f>IFERROR(INDEX('Email Cleaner'!$B$2:$B$10001,MATCH(8151,'Email Cleaner'!$H$2:$H$10001,0)),"")</f>
        <v/>
      </c>
    </row>
    <row r="8153">
      <c r="A8153">
        <f>IFERROR(INDEX('Email Cleaner'!$B$2:$B$10001,MATCH(8152,'Email Cleaner'!$H$2:$H$10001,0)),"")</f>
        <v/>
      </c>
    </row>
    <row r="8154">
      <c r="A8154">
        <f>IFERROR(INDEX('Email Cleaner'!$B$2:$B$10001,MATCH(8153,'Email Cleaner'!$H$2:$H$10001,0)),"")</f>
        <v/>
      </c>
    </row>
    <row r="8155">
      <c r="A8155">
        <f>IFERROR(INDEX('Email Cleaner'!$B$2:$B$10001,MATCH(8154,'Email Cleaner'!$H$2:$H$10001,0)),"")</f>
        <v/>
      </c>
    </row>
    <row r="8156">
      <c r="A8156">
        <f>IFERROR(INDEX('Email Cleaner'!$B$2:$B$10001,MATCH(8155,'Email Cleaner'!$H$2:$H$10001,0)),"")</f>
        <v/>
      </c>
    </row>
    <row r="8157">
      <c r="A8157">
        <f>IFERROR(INDEX('Email Cleaner'!$B$2:$B$10001,MATCH(8156,'Email Cleaner'!$H$2:$H$10001,0)),"")</f>
        <v/>
      </c>
    </row>
    <row r="8158">
      <c r="A8158">
        <f>IFERROR(INDEX('Email Cleaner'!$B$2:$B$10001,MATCH(8157,'Email Cleaner'!$H$2:$H$10001,0)),"")</f>
        <v/>
      </c>
    </row>
    <row r="8159">
      <c r="A8159">
        <f>IFERROR(INDEX('Email Cleaner'!$B$2:$B$10001,MATCH(8158,'Email Cleaner'!$H$2:$H$10001,0)),"")</f>
        <v/>
      </c>
    </row>
    <row r="8160">
      <c r="A8160">
        <f>IFERROR(INDEX('Email Cleaner'!$B$2:$B$10001,MATCH(8159,'Email Cleaner'!$H$2:$H$10001,0)),"")</f>
        <v/>
      </c>
    </row>
    <row r="8161">
      <c r="A8161">
        <f>IFERROR(INDEX('Email Cleaner'!$B$2:$B$10001,MATCH(8160,'Email Cleaner'!$H$2:$H$10001,0)),"")</f>
        <v/>
      </c>
    </row>
    <row r="8162">
      <c r="A8162">
        <f>IFERROR(INDEX('Email Cleaner'!$B$2:$B$10001,MATCH(8161,'Email Cleaner'!$H$2:$H$10001,0)),"")</f>
        <v/>
      </c>
    </row>
    <row r="8163">
      <c r="A8163">
        <f>IFERROR(INDEX('Email Cleaner'!$B$2:$B$10001,MATCH(8162,'Email Cleaner'!$H$2:$H$10001,0)),"")</f>
        <v/>
      </c>
    </row>
    <row r="8164">
      <c r="A8164">
        <f>IFERROR(INDEX('Email Cleaner'!$B$2:$B$10001,MATCH(8163,'Email Cleaner'!$H$2:$H$10001,0)),"")</f>
        <v/>
      </c>
    </row>
    <row r="8165">
      <c r="A8165">
        <f>IFERROR(INDEX('Email Cleaner'!$B$2:$B$10001,MATCH(8164,'Email Cleaner'!$H$2:$H$10001,0)),"")</f>
        <v/>
      </c>
    </row>
    <row r="8166">
      <c r="A8166">
        <f>IFERROR(INDEX('Email Cleaner'!$B$2:$B$10001,MATCH(8165,'Email Cleaner'!$H$2:$H$10001,0)),"")</f>
        <v/>
      </c>
    </row>
    <row r="8167">
      <c r="A8167">
        <f>IFERROR(INDEX('Email Cleaner'!$B$2:$B$10001,MATCH(8166,'Email Cleaner'!$H$2:$H$10001,0)),"")</f>
        <v/>
      </c>
    </row>
    <row r="8168">
      <c r="A8168">
        <f>IFERROR(INDEX('Email Cleaner'!$B$2:$B$10001,MATCH(8167,'Email Cleaner'!$H$2:$H$10001,0)),"")</f>
        <v/>
      </c>
    </row>
    <row r="8169">
      <c r="A8169">
        <f>IFERROR(INDEX('Email Cleaner'!$B$2:$B$10001,MATCH(8168,'Email Cleaner'!$H$2:$H$10001,0)),"")</f>
        <v/>
      </c>
    </row>
    <row r="8170">
      <c r="A8170">
        <f>IFERROR(INDEX('Email Cleaner'!$B$2:$B$10001,MATCH(8169,'Email Cleaner'!$H$2:$H$10001,0)),"")</f>
        <v/>
      </c>
    </row>
    <row r="8171">
      <c r="A8171">
        <f>IFERROR(INDEX('Email Cleaner'!$B$2:$B$10001,MATCH(8170,'Email Cleaner'!$H$2:$H$10001,0)),"")</f>
        <v/>
      </c>
    </row>
    <row r="8172">
      <c r="A8172">
        <f>IFERROR(INDEX('Email Cleaner'!$B$2:$B$10001,MATCH(8171,'Email Cleaner'!$H$2:$H$10001,0)),"")</f>
        <v/>
      </c>
    </row>
    <row r="8173">
      <c r="A8173">
        <f>IFERROR(INDEX('Email Cleaner'!$B$2:$B$10001,MATCH(8172,'Email Cleaner'!$H$2:$H$10001,0)),"")</f>
        <v/>
      </c>
    </row>
    <row r="8174">
      <c r="A8174">
        <f>IFERROR(INDEX('Email Cleaner'!$B$2:$B$10001,MATCH(8173,'Email Cleaner'!$H$2:$H$10001,0)),"")</f>
        <v/>
      </c>
    </row>
    <row r="8175">
      <c r="A8175">
        <f>IFERROR(INDEX('Email Cleaner'!$B$2:$B$10001,MATCH(8174,'Email Cleaner'!$H$2:$H$10001,0)),"")</f>
        <v/>
      </c>
    </row>
    <row r="8176">
      <c r="A8176">
        <f>IFERROR(INDEX('Email Cleaner'!$B$2:$B$10001,MATCH(8175,'Email Cleaner'!$H$2:$H$10001,0)),"")</f>
        <v/>
      </c>
    </row>
    <row r="8177">
      <c r="A8177">
        <f>IFERROR(INDEX('Email Cleaner'!$B$2:$B$10001,MATCH(8176,'Email Cleaner'!$H$2:$H$10001,0)),"")</f>
        <v/>
      </c>
    </row>
    <row r="8178">
      <c r="A8178">
        <f>IFERROR(INDEX('Email Cleaner'!$B$2:$B$10001,MATCH(8177,'Email Cleaner'!$H$2:$H$10001,0)),"")</f>
        <v/>
      </c>
    </row>
    <row r="8179">
      <c r="A8179">
        <f>IFERROR(INDEX('Email Cleaner'!$B$2:$B$10001,MATCH(8178,'Email Cleaner'!$H$2:$H$10001,0)),"")</f>
        <v/>
      </c>
    </row>
    <row r="8180">
      <c r="A8180">
        <f>IFERROR(INDEX('Email Cleaner'!$B$2:$B$10001,MATCH(8179,'Email Cleaner'!$H$2:$H$10001,0)),"")</f>
        <v/>
      </c>
    </row>
    <row r="8181">
      <c r="A8181">
        <f>IFERROR(INDEX('Email Cleaner'!$B$2:$B$10001,MATCH(8180,'Email Cleaner'!$H$2:$H$10001,0)),"")</f>
        <v/>
      </c>
    </row>
    <row r="8182">
      <c r="A8182">
        <f>IFERROR(INDEX('Email Cleaner'!$B$2:$B$10001,MATCH(8181,'Email Cleaner'!$H$2:$H$10001,0)),"")</f>
        <v/>
      </c>
    </row>
    <row r="8183">
      <c r="A8183">
        <f>IFERROR(INDEX('Email Cleaner'!$B$2:$B$10001,MATCH(8182,'Email Cleaner'!$H$2:$H$10001,0)),"")</f>
        <v/>
      </c>
    </row>
    <row r="8184">
      <c r="A8184">
        <f>IFERROR(INDEX('Email Cleaner'!$B$2:$B$10001,MATCH(8183,'Email Cleaner'!$H$2:$H$10001,0)),"")</f>
        <v/>
      </c>
    </row>
    <row r="8185">
      <c r="A8185">
        <f>IFERROR(INDEX('Email Cleaner'!$B$2:$B$10001,MATCH(8184,'Email Cleaner'!$H$2:$H$10001,0)),"")</f>
        <v/>
      </c>
    </row>
    <row r="8186">
      <c r="A8186">
        <f>IFERROR(INDEX('Email Cleaner'!$B$2:$B$10001,MATCH(8185,'Email Cleaner'!$H$2:$H$10001,0)),"")</f>
        <v/>
      </c>
    </row>
    <row r="8187">
      <c r="A8187">
        <f>IFERROR(INDEX('Email Cleaner'!$B$2:$B$10001,MATCH(8186,'Email Cleaner'!$H$2:$H$10001,0)),"")</f>
        <v/>
      </c>
    </row>
    <row r="8188">
      <c r="A8188">
        <f>IFERROR(INDEX('Email Cleaner'!$B$2:$B$10001,MATCH(8187,'Email Cleaner'!$H$2:$H$10001,0)),"")</f>
        <v/>
      </c>
    </row>
    <row r="8189">
      <c r="A8189">
        <f>IFERROR(INDEX('Email Cleaner'!$B$2:$B$10001,MATCH(8188,'Email Cleaner'!$H$2:$H$10001,0)),"")</f>
        <v/>
      </c>
    </row>
    <row r="8190">
      <c r="A8190">
        <f>IFERROR(INDEX('Email Cleaner'!$B$2:$B$10001,MATCH(8189,'Email Cleaner'!$H$2:$H$10001,0)),"")</f>
        <v/>
      </c>
    </row>
    <row r="8191">
      <c r="A8191">
        <f>IFERROR(INDEX('Email Cleaner'!$B$2:$B$10001,MATCH(8190,'Email Cleaner'!$H$2:$H$10001,0)),"")</f>
        <v/>
      </c>
    </row>
    <row r="8192">
      <c r="A8192">
        <f>IFERROR(INDEX('Email Cleaner'!$B$2:$B$10001,MATCH(8191,'Email Cleaner'!$H$2:$H$10001,0)),"")</f>
        <v/>
      </c>
    </row>
    <row r="8193">
      <c r="A8193">
        <f>IFERROR(INDEX('Email Cleaner'!$B$2:$B$10001,MATCH(8192,'Email Cleaner'!$H$2:$H$10001,0)),"")</f>
        <v/>
      </c>
    </row>
    <row r="8194">
      <c r="A8194">
        <f>IFERROR(INDEX('Email Cleaner'!$B$2:$B$10001,MATCH(8193,'Email Cleaner'!$H$2:$H$10001,0)),"")</f>
        <v/>
      </c>
    </row>
    <row r="8195">
      <c r="A8195">
        <f>IFERROR(INDEX('Email Cleaner'!$B$2:$B$10001,MATCH(8194,'Email Cleaner'!$H$2:$H$10001,0)),"")</f>
        <v/>
      </c>
    </row>
    <row r="8196">
      <c r="A8196">
        <f>IFERROR(INDEX('Email Cleaner'!$B$2:$B$10001,MATCH(8195,'Email Cleaner'!$H$2:$H$10001,0)),"")</f>
        <v/>
      </c>
    </row>
    <row r="8197">
      <c r="A8197">
        <f>IFERROR(INDEX('Email Cleaner'!$B$2:$B$10001,MATCH(8196,'Email Cleaner'!$H$2:$H$10001,0)),"")</f>
        <v/>
      </c>
    </row>
    <row r="8198">
      <c r="A8198">
        <f>IFERROR(INDEX('Email Cleaner'!$B$2:$B$10001,MATCH(8197,'Email Cleaner'!$H$2:$H$10001,0)),"")</f>
        <v/>
      </c>
    </row>
    <row r="8199">
      <c r="A8199">
        <f>IFERROR(INDEX('Email Cleaner'!$B$2:$B$10001,MATCH(8198,'Email Cleaner'!$H$2:$H$10001,0)),"")</f>
        <v/>
      </c>
    </row>
    <row r="8200">
      <c r="A8200">
        <f>IFERROR(INDEX('Email Cleaner'!$B$2:$B$10001,MATCH(8199,'Email Cleaner'!$H$2:$H$10001,0)),"")</f>
        <v/>
      </c>
    </row>
    <row r="8201">
      <c r="A8201">
        <f>IFERROR(INDEX('Email Cleaner'!$B$2:$B$10001,MATCH(8200,'Email Cleaner'!$H$2:$H$10001,0)),"")</f>
        <v/>
      </c>
    </row>
    <row r="8202">
      <c r="A8202">
        <f>IFERROR(INDEX('Email Cleaner'!$B$2:$B$10001,MATCH(8201,'Email Cleaner'!$H$2:$H$10001,0)),"")</f>
        <v/>
      </c>
    </row>
    <row r="8203">
      <c r="A8203">
        <f>IFERROR(INDEX('Email Cleaner'!$B$2:$B$10001,MATCH(8202,'Email Cleaner'!$H$2:$H$10001,0)),"")</f>
        <v/>
      </c>
    </row>
    <row r="8204">
      <c r="A8204">
        <f>IFERROR(INDEX('Email Cleaner'!$B$2:$B$10001,MATCH(8203,'Email Cleaner'!$H$2:$H$10001,0)),"")</f>
        <v/>
      </c>
    </row>
    <row r="8205">
      <c r="A8205">
        <f>IFERROR(INDEX('Email Cleaner'!$B$2:$B$10001,MATCH(8204,'Email Cleaner'!$H$2:$H$10001,0)),"")</f>
        <v/>
      </c>
    </row>
    <row r="8206">
      <c r="A8206">
        <f>IFERROR(INDEX('Email Cleaner'!$B$2:$B$10001,MATCH(8205,'Email Cleaner'!$H$2:$H$10001,0)),"")</f>
        <v/>
      </c>
    </row>
    <row r="8207">
      <c r="A8207">
        <f>IFERROR(INDEX('Email Cleaner'!$B$2:$B$10001,MATCH(8206,'Email Cleaner'!$H$2:$H$10001,0)),"")</f>
        <v/>
      </c>
    </row>
    <row r="8208">
      <c r="A8208">
        <f>IFERROR(INDEX('Email Cleaner'!$B$2:$B$10001,MATCH(8207,'Email Cleaner'!$H$2:$H$10001,0)),"")</f>
        <v/>
      </c>
    </row>
    <row r="8209">
      <c r="A8209">
        <f>IFERROR(INDEX('Email Cleaner'!$B$2:$B$10001,MATCH(8208,'Email Cleaner'!$H$2:$H$10001,0)),"")</f>
        <v/>
      </c>
    </row>
    <row r="8210">
      <c r="A8210">
        <f>IFERROR(INDEX('Email Cleaner'!$B$2:$B$10001,MATCH(8209,'Email Cleaner'!$H$2:$H$10001,0)),"")</f>
        <v/>
      </c>
    </row>
    <row r="8211">
      <c r="A8211">
        <f>IFERROR(INDEX('Email Cleaner'!$B$2:$B$10001,MATCH(8210,'Email Cleaner'!$H$2:$H$10001,0)),"")</f>
        <v/>
      </c>
    </row>
    <row r="8212">
      <c r="A8212">
        <f>IFERROR(INDEX('Email Cleaner'!$B$2:$B$10001,MATCH(8211,'Email Cleaner'!$H$2:$H$10001,0)),"")</f>
        <v/>
      </c>
    </row>
    <row r="8213">
      <c r="A8213">
        <f>IFERROR(INDEX('Email Cleaner'!$B$2:$B$10001,MATCH(8212,'Email Cleaner'!$H$2:$H$10001,0)),"")</f>
        <v/>
      </c>
    </row>
    <row r="8214">
      <c r="A8214">
        <f>IFERROR(INDEX('Email Cleaner'!$B$2:$B$10001,MATCH(8213,'Email Cleaner'!$H$2:$H$10001,0)),"")</f>
        <v/>
      </c>
    </row>
    <row r="8215">
      <c r="A8215">
        <f>IFERROR(INDEX('Email Cleaner'!$B$2:$B$10001,MATCH(8214,'Email Cleaner'!$H$2:$H$10001,0)),"")</f>
        <v/>
      </c>
    </row>
    <row r="8216">
      <c r="A8216">
        <f>IFERROR(INDEX('Email Cleaner'!$B$2:$B$10001,MATCH(8215,'Email Cleaner'!$H$2:$H$10001,0)),"")</f>
        <v/>
      </c>
    </row>
    <row r="8217">
      <c r="A8217">
        <f>IFERROR(INDEX('Email Cleaner'!$B$2:$B$10001,MATCH(8216,'Email Cleaner'!$H$2:$H$10001,0)),"")</f>
        <v/>
      </c>
    </row>
    <row r="8218">
      <c r="A8218">
        <f>IFERROR(INDEX('Email Cleaner'!$B$2:$B$10001,MATCH(8217,'Email Cleaner'!$H$2:$H$10001,0)),"")</f>
        <v/>
      </c>
    </row>
    <row r="8219">
      <c r="A8219">
        <f>IFERROR(INDEX('Email Cleaner'!$B$2:$B$10001,MATCH(8218,'Email Cleaner'!$H$2:$H$10001,0)),"")</f>
        <v/>
      </c>
    </row>
    <row r="8220">
      <c r="A8220">
        <f>IFERROR(INDEX('Email Cleaner'!$B$2:$B$10001,MATCH(8219,'Email Cleaner'!$H$2:$H$10001,0)),"")</f>
        <v/>
      </c>
    </row>
    <row r="8221">
      <c r="A8221">
        <f>IFERROR(INDEX('Email Cleaner'!$B$2:$B$10001,MATCH(8220,'Email Cleaner'!$H$2:$H$10001,0)),"")</f>
        <v/>
      </c>
    </row>
    <row r="8222">
      <c r="A8222">
        <f>IFERROR(INDEX('Email Cleaner'!$B$2:$B$10001,MATCH(8221,'Email Cleaner'!$H$2:$H$10001,0)),"")</f>
        <v/>
      </c>
    </row>
    <row r="8223">
      <c r="A8223">
        <f>IFERROR(INDEX('Email Cleaner'!$B$2:$B$10001,MATCH(8222,'Email Cleaner'!$H$2:$H$10001,0)),"")</f>
        <v/>
      </c>
    </row>
    <row r="8224">
      <c r="A8224">
        <f>IFERROR(INDEX('Email Cleaner'!$B$2:$B$10001,MATCH(8223,'Email Cleaner'!$H$2:$H$10001,0)),"")</f>
        <v/>
      </c>
    </row>
    <row r="8225">
      <c r="A8225">
        <f>IFERROR(INDEX('Email Cleaner'!$B$2:$B$10001,MATCH(8224,'Email Cleaner'!$H$2:$H$10001,0)),"")</f>
        <v/>
      </c>
    </row>
    <row r="8226">
      <c r="A8226">
        <f>IFERROR(INDEX('Email Cleaner'!$B$2:$B$10001,MATCH(8225,'Email Cleaner'!$H$2:$H$10001,0)),"")</f>
        <v/>
      </c>
    </row>
    <row r="8227">
      <c r="A8227">
        <f>IFERROR(INDEX('Email Cleaner'!$B$2:$B$10001,MATCH(8226,'Email Cleaner'!$H$2:$H$10001,0)),"")</f>
        <v/>
      </c>
    </row>
    <row r="8228">
      <c r="A8228">
        <f>IFERROR(INDEX('Email Cleaner'!$B$2:$B$10001,MATCH(8227,'Email Cleaner'!$H$2:$H$10001,0)),"")</f>
        <v/>
      </c>
    </row>
    <row r="8229">
      <c r="A8229">
        <f>IFERROR(INDEX('Email Cleaner'!$B$2:$B$10001,MATCH(8228,'Email Cleaner'!$H$2:$H$10001,0)),"")</f>
        <v/>
      </c>
    </row>
    <row r="8230">
      <c r="A8230">
        <f>IFERROR(INDEX('Email Cleaner'!$B$2:$B$10001,MATCH(8229,'Email Cleaner'!$H$2:$H$10001,0)),"")</f>
        <v/>
      </c>
    </row>
    <row r="8231">
      <c r="A8231">
        <f>IFERROR(INDEX('Email Cleaner'!$B$2:$B$10001,MATCH(8230,'Email Cleaner'!$H$2:$H$10001,0)),"")</f>
        <v/>
      </c>
    </row>
    <row r="8232">
      <c r="A8232">
        <f>IFERROR(INDEX('Email Cleaner'!$B$2:$B$10001,MATCH(8231,'Email Cleaner'!$H$2:$H$10001,0)),"")</f>
        <v/>
      </c>
    </row>
    <row r="8233">
      <c r="A8233">
        <f>IFERROR(INDEX('Email Cleaner'!$B$2:$B$10001,MATCH(8232,'Email Cleaner'!$H$2:$H$10001,0)),"")</f>
        <v/>
      </c>
    </row>
    <row r="8234">
      <c r="A8234">
        <f>IFERROR(INDEX('Email Cleaner'!$B$2:$B$10001,MATCH(8233,'Email Cleaner'!$H$2:$H$10001,0)),"")</f>
        <v/>
      </c>
    </row>
    <row r="8235">
      <c r="A8235">
        <f>IFERROR(INDEX('Email Cleaner'!$B$2:$B$10001,MATCH(8234,'Email Cleaner'!$H$2:$H$10001,0)),"")</f>
        <v/>
      </c>
    </row>
    <row r="8236">
      <c r="A8236">
        <f>IFERROR(INDEX('Email Cleaner'!$B$2:$B$10001,MATCH(8235,'Email Cleaner'!$H$2:$H$10001,0)),"")</f>
        <v/>
      </c>
    </row>
    <row r="8237">
      <c r="A8237">
        <f>IFERROR(INDEX('Email Cleaner'!$B$2:$B$10001,MATCH(8236,'Email Cleaner'!$H$2:$H$10001,0)),"")</f>
        <v/>
      </c>
    </row>
    <row r="8238">
      <c r="A8238">
        <f>IFERROR(INDEX('Email Cleaner'!$B$2:$B$10001,MATCH(8237,'Email Cleaner'!$H$2:$H$10001,0)),"")</f>
        <v/>
      </c>
    </row>
    <row r="8239">
      <c r="A8239">
        <f>IFERROR(INDEX('Email Cleaner'!$B$2:$B$10001,MATCH(8238,'Email Cleaner'!$H$2:$H$10001,0)),"")</f>
        <v/>
      </c>
    </row>
    <row r="8240">
      <c r="A8240">
        <f>IFERROR(INDEX('Email Cleaner'!$B$2:$B$10001,MATCH(8239,'Email Cleaner'!$H$2:$H$10001,0)),"")</f>
        <v/>
      </c>
    </row>
    <row r="8241">
      <c r="A8241">
        <f>IFERROR(INDEX('Email Cleaner'!$B$2:$B$10001,MATCH(8240,'Email Cleaner'!$H$2:$H$10001,0)),"")</f>
        <v/>
      </c>
    </row>
    <row r="8242">
      <c r="A8242">
        <f>IFERROR(INDEX('Email Cleaner'!$B$2:$B$10001,MATCH(8241,'Email Cleaner'!$H$2:$H$10001,0)),"")</f>
        <v/>
      </c>
    </row>
    <row r="8243">
      <c r="A8243">
        <f>IFERROR(INDEX('Email Cleaner'!$B$2:$B$10001,MATCH(8242,'Email Cleaner'!$H$2:$H$10001,0)),"")</f>
        <v/>
      </c>
    </row>
    <row r="8244">
      <c r="A8244">
        <f>IFERROR(INDEX('Email Cleaner'!$B$2:$B$10001,MATCH(8243,'Email Cleaner'!$H$2:$H$10001,0)),"")</f>
        <v/>
      </c>
    </row>
    <row r="8245">
      <c r="A8245">
        <f>IFERROR(INDEX('Email Cleaner'!$B$2:$B$10001,MATCH(8244,'Email Cleaner'!$H$2:$H$10001,0)),"")</f>
        <v/>
      </c>
    </row>
    <row r="8246">
      <c r="A8246">
        <f>IFERROR(INDEX('Email Cleaner'!$B$2:$B$10001,MATCH(8245,'Email Cleaner'!$H$2:$H$10001,0)),"")</f>
        <v/>
      </c>
    </row>
    <row r="8247">
      <c r="A8247">
        <f>IFERROR(INDEX('Email Cleaner'!$B$2:$B$10001,MATCH(8246,'Email Cleaner'!$H$2:$H$10001,0)),"")</f>
        <v/>
      </c>
    </row>
    <row r="8248">
      <c r="A8248">
        <f>IFERROR(INDEX('Email Cleaner'!$B$2:$B$10001,MATCH(8247,'Email Cleaner'!$H$2:$H$10001,0)),"")</f>
        <v/>
      </c>
    </row>
    <row r="8249">
      <c r="A8249">
        <f>IFERROR(INDEX('Email Cleaner'!$B$2:$B$10001,MATCH(8248,'Email Cleaner'!$H$2:$H$10001,0)),"")</f>
        <v/>
      </c>
    </row>
    <row r="8250">
      <c r="A8250">
        <f>IFERROR(INDEX('Email Cleaner'!$B$2:$B$10001,MATCH(8249,'Email Cleaner'!$H$2:$H$10001,0)),"")</f>
        <v/>
      </c>
    </row>
    <row r="8251">
      <c r="A8251">
        <f>IFERROR(INDEX('Email Cleaner'!$B$2:$B$10001,MATCH(8250,'Email Cleaner'!$H$2:$H$10001,0)),"")</f>
        <v/>
      </c>
    </row>
    <row r="8252">
      <c r="A8252">
        <f>IFERROR(INDEX('Email Cleaner'!$B$2:$B$10001,MATCH(8251,'Email Cleaner'!$H$2:$H$10001,0)),"")</f>
        <v/>
      </c>
    </row>
    <row r="8253">
      <c r="A8253">
        <f>IFERROR(INDEX('Email Cleaner'!$B$2:$B$10001,MATCH(8252,'Email Cleaner'!$H$2:$H$10001,0)),"")</f>
        <v/>
      </c>
    </row>
    <row r="8254">
      <c r="A8254">
        <f>IFERROR(INDEX('Email Cleaner'!$B$2:$B$10001,MATCH(8253,'Email Cleaner'!$H$2:$H$10001,0)),"")</f>
        <v/>
      </c>
    </row>
    <row r="8255">
      <c r="A8255">
        <f>IFERROR(INDEX('Email Cleaner'!$B$2:$B$10001,MATCH(8254,'Email Cleaner'!$H$2:$H$10001,0)),"")</f>
        <v/>
      </c>
    </row>
    <row r="8256">
      <c r="A8256">
        <f>IFERROR(INDEX('Email Cleaner'!$B$2:$B$10001,MATCH(8255,'Email Cleaner'!$H$2:$H$10001,0)),"")</f>
        <v/>
      </c>
    </row>
    <row r="8257">
      <c r="A8257">
        <f>IFERROR(INDEX('Email Cleaner'!$B$2:$B$10001,MATCH(8256,'Email Cleaner'!$H$2:$H$10001,0)),"")</f>
        <v/>
      </c>
    </row>
    <row r="8258">
      <c r="A8258">
        <f>IFERROR(INDEX('Email Cleaner'!$B$2:$B$10001,MATCH(8257,'Email Cleaner'!$H$2:$H$10001,0)),"")</f>
        <v/>
      </c>
    </row>
    <row r="8259">
      <c r="A8259">
        <f>IFERROR(INDEX('Email Cleaner'!$B$2:$B$10001,MATCH(8258,'Email Cleaner'!$H$2:$H$10001,0)),"")</f>
        <v/>
      </c>
    </row>
    <row r="8260">
      <c r="A8260">
        <f>IFERROR(INDEX('Email Cleaner'!$B$2:$B$10001,MATCH(8259,'Email Cleaner'!$H$2:$H$10001,0)),"")</f>
        <v/>
      </c>
    </row>
    <row r="8261">
      <c r="A8261">
        <f>IFERROR(INDEX('Email Cleaner'!$B$2:$B$10001,MATCH(8260,'Email Cleaner'!$H$2:$H$10001,0)),"")</f>
        <v/>
      </c>
    </row>
    <row r="8262">
      <c r="A8262">
        <f>IFERROR(INDEX('Email Cleaner'!$B$2:$B$10001,MATCH(8261,'Email Cleaner'!$H$2:$H$10001,0)),"")</f>
        <v/>
      </c>
    </row>
    <row r="8263">
      <c r="A8263">
        <f>IFERROR(INDEX('Email Cleaner'!$B$2:$B$10001,MATCH(8262,'Email Cleaner'!$H$2:$H$10001,0)),"")</f>
        <v/>
      </c>
    </row>
    <row r="8264">
      <c r="A8264">
        <f>IFERROR(INDEX('Email Cleaner'!$B$2:$B$10001,MATCH(8263,'Email Cleaner'!$H$2:$H$10001,0)),"")</f>
        <v/>
      </c>
    </row>
    <row r="8265">
      <c r="A8265">
        <f>IFERROR(INDEX('Email Cleaner'!$B$2:$B$10001,MATCH(8264,'Email Cleaner'!$H$2:$H$10001,0)),"")</f>
        <v/>
      </c>
    </row>
    <row r="8266">
      <c r="A8266">
        <f>IFERROR(INDEX('Email Cleaner'!$B$2:$B$10001,MATCH(8265,'Email Cleaner'!$H$2:$H$10001,0)),"")</f>
        <v/>
      </c>
    </row>
    <row r="8267">
      <c r="A8267">
        <f>IFERROR(INDEX('Email Cleaner'!$B$2:$B$10001,MATCH(8266,'Email Cleaner'!$H$2:$H$10001,0)),"")</f>
        <v/>
      </c>
    </row>
    <row r="8268">
      <c r="A8268">
        <f>IFERROR(INDEX('Email Cleaner'!$B$2:$B$10001,MATCH(8267,'Email Cleaner'!$H$2:$H$10001,0)),"")</f>
        <v/>
      </c>
    </row>
    <row r="8269">
      <c r="A8269">
        <f>IFERROR(INDEX('Email Cleaner'!$B$2:$B$10001,MATCH(8268,'Email Cleaner'!$H$2:$H$10001,0)),"")</f>
        <v/>
      </c>
    </row>
    <row r="8270">
      <c r="A8270">
        <f>IFERROR(INDEX('Email Cleaner'!$B$2:$B$10001,MATCH(8269,'Email Cleaner'!$H$2:$H$10001,0)),"")</f>
        <v/>
      </c>
    </row>
    <row r="8271">
      <c r="A8271">
        <f>IFERROR(INDEX('Email Cleaner'!$B$2:$B$10001,MATCH(8270,'Email Cleaner'!$H$2:$H$10001,0)),"")</f>
        <v/>
      </c>
    </row>
    <row r="8272">
      <c r="A8272">
        <f>IFERROR(INDEX('Email Cleaner'!$B$2:$B$10001,MATCH(8271,'Email Cleaner'!$H$2:$H$10001,0)),"")</f>
        <v/>
      </c>
    </row>
    <row r="8273">
      <c r="A8273">
        <f>IFERROR(INDEX('Email Cleaner'!$B$2:$B$10001,MATCH(8272,'Email Cleaner'!$H$2:$H$10001,0)),"")</f>
        <v/>
      </c>
    </row>
    <row r="8274">
      <c r="A8274">
        <f>IFERROR(INDEX('Email Cleaner'!$B$2:$B$10001,MATCH(8273,'Email Cleaner'!$H$2:$H$10001,0)),"")</f>
        <v/>
      </c>
    </row>
    <row r="8275">
      <c r="A8275">
        <f>IFERROR(INDEX('Email Cleaner'!$B$2:$B$10001,MATCH(8274,'Email Cleaner'!$H$2:$H$10001,0)),"")</f>
        <v/>
      </c>
    </row>
    <row r="8276">
      <c r="A8276">
        <f>IFERROR(INDEX('Email Cleaner'!$B$2:$B$10001,MATCH(8275,'Email Cleaner'!$H$2:$H$10001,0)),"")</f>
        <v/>
      </c>
    </row>
    <row r="8277">
      <c r="A8277">
        <f>IFERROR(INDEX('Email Cleaner'!$B$2:$B$10001,MATCH(8276,'Email Cleaner'!$H$2:$H$10001,0)),"")</f>
        <v/>
      </c>
    </row>
    <row r="8278">
      <c r="A8278">
        <f>IFERROR(INDEX('Email Cleaner'!$B$2:$B$10001,MATCH(8277,'Email Cleaner'!$H$2:$H$10001,0)),"")</f>
        <v/>
      </c>
    </row>
    <row r="8279">
      <c r="A8279">
        <f>IFERROR(INDEX('Email Cleaner'!$B$2:$B$10001,MATCH(8278,'Email Cleaner'!$H$2:$H$10001,0)),"")</f>
        <v/>
      </c>
    </row>
    <row r="8280">
      <c r="A8280">
        <f>IFERROR(INDEX('Email Cleaner'!$B$2:$B$10001,MATCH(8279,'Email Cleaner'!$H$2:$H$10001,0)),"")</f>
        <v/>
      </c>
    </row>
    <row r="8281">
      <c r="A8281">
        <f>IFERROR(INDEX('Email Cleaner'!$B$2:$B$10001,MATCH(8280,'Email Cleaner'!$H$2:$H$10001,0)),"")</f>
        <v/>
      </c>
    </row>
    <row r="8282">
      <c r="A8282">
        <f>IFERROR(INDEX('Email Cleaner'!$B$2:$B$10001,MATCH(8281,'Email Cleaner'!$H$2:$H$10001,0)),"")</f>
        <v/>
      </c>
    </row>
    <row r="8283">
      <c r="A8283">
        <f>IFERROR(INDEX('Email Cleaner'!$B$2:$B$10001,MATCH(8282,'Email Cleaner'!$H$2:$H$10001,0)),"")</f>
        <v/>
      </c>
    </row>
    <row r="8284">
      <c r="A8284">
        <f>IFERROR(INDEX('Email Cleaner'!$B$2:$B$10001,MATCH(8283,'Email Cleaner'!$H$2:$H$10001,0)),"")</f>
        <v/>
      </c>
    </row>
    <row r="8285">
      <c r="A8285">
        <f>IFERROR(INDEX('Email Cleaner'!$B$2:$B$10001,MATCH(8284,'Email Cleaner'!$H$2:$H$10001,0)),"")</f>
        <v/>
      </c>
    </row>
    <row r="8286">
      <c r="A8286">
        <f>IFERROR(INDEX('Email Cleaner'!$B$2:$B$10001,MATCH(8285,'Email Cleaner'!$H$2:$H$10001,0)),"")</f>
        <v/>
      </c>
    </row>
    <row r="8287">
      <c r="A8287">
        <f>IFERROR(INDEX('Email Cleaner'!$B$2:$B$10001,MATCH(8286,'Email Cleaner'!$H$2:$H$10001,0)),"")</f>
        <v/>
      </c>
    </row>
    <row r="8288">
      <c r="A8288">
        <f>IFERROR(INDEX('Email Cleaner'!$B$2:$B$10001,MATCH(8287,'Email Cleaner'!$H$2:$H$10001,0)),"")</f>
        <v/>
      </c>
    </row>
    <row r="8289">
      <c r="A8289">
        <f>IFERROR(INDEX('Email Cleaner'!$B$2:$B$10001,MATCH(8288,'Email Cleaner'!$H$2:$H$10001,0)),"")</f>
        <v/>
      </c>
    </row>
    <row r="8290">
      <c r="A8290">
        <f>IFERROR(INDEX('Email Cleaner'!$B$2:$B$10001,MATCH(8289,'Email Cleaner'!$H$2:$H$10001,0)),"")</f>
        <v/>
      </c>
    </row>
    <row r="8291">
      <c r="A8291">
        <f>IFERROR(INDEX('Email Cleaner'!$B$2:$B$10001,MATCH(8290,'Email Cleaner'!$H$2:$H$10001,0)),"")</f>
        <v/>
      </c>
    </row>
    <row r="8292">
      <c r="A8292">
        <f>IFERROR(INDEX('Email Cleaner'!$B$2:$B$10001,MATCH(8291,'Email Cleaner'!$H$2:$H$10001,0)),"")</f>
        <v/>
      </c>
    </row>
    <row r="8293">
      <c r="A8293">
        <f>IFERROR(INDEX('Email Cleaner'!$B$2:$B$10001,MATCH(8292,'Email Cleaner'!$H$2:$H$10001,0)),"")</f>
        <v/>
      </c>
    </row>
    <row r="8294">
      <c r="A8294">
        <f>IFERROR(INDEX('Email Cleaner'!$B$2:$B$10001,MATCH(8293,'Email Cleaner'!$H$2:$H$10001,0)),"")</f>
        <v/>
      </c>
    </row>
    <row r="8295">
      <c r="A8295">
        <f>IFERROR(INDEX('Email Cleaner'!$B$2:$B$10001,MATCH(8294,'Email Cleaner'!$H$2:$H$10001,0)),"")</f>
        <v/>
      </c>
    </row>
    <row r="8296">
      <c r="A8296">
        <f>IFERROR(INDEX('Email Cleaner'!$B$2:$B$10001,MATCH(8295,'Email Cleaner'!$H$2:$H$10001,0)),"")</f>
        <v/>
      </c>
    </row>
    <row r="8297">
      <c r="A8297">
        <f>IFERROR(INDEX('Email Cleaner'!$B$2:$B$10001,MATCH(8296,'Email Cleaner'!$H$2:$H$10001,0)),"")</f>
        <v/>
      </c>
    </row>
    <row r="8298">
      <c r="A8298">
        <f>IFERROR(INDEX('Email Cleaner'!$B$2:$B$10001,MATCH(8297,'Email Cleaner'!$H$2:$H$10001,0)),"")</f>
        <v/>
      </c>
    </row>
    <row r="8299">
      <c r="A8299">
        <f>IFERROR(INDEX('Email Cleaner'!$B$2:$B$10001,MATCH(8298,'Email Cleaner'!$H$2:$H$10001,0)),"")</f>
        <v/>
      </c>
    </row>
    <row r="8300">
      <c r="A8300">
        <f>IFERROR(INDEX('Email Cleaner'!$B$2:$B$10001,MATCH(8299,'Email Cleaner'!$H$2:$H$10001,0)),"")</f>
        <v/>
      </c>
    </row>
    <row r="8301">
      <c r="A8301">
        <f>IFERROR(INDEX('Email Cleaner'!$B$2:$B$10001,MATCH(8300,'Email Cleaner'!$H$2:$H$10001,0)),"")</f>
        <v/>
      </c>
    </row>
    <row r="8302">
      <c r="A8302">
        <f>IFERROR(INDEX('Email Cleaner'!$B$2:$B$10001,MATCH(8301,'Email Cleaner'!$H$2:$H$10001,0)),"")</f>
        <v/>
      </c>
    </row>
    <row r="8303">
      <c r="A8303">
        <f>IFERROR(INDEX('Email Cleaner'!$B$2:$B$10001,MATCH(8302,'Email Cleaner'!$H$2:$H$10001,0)),"")</f>
        <v/>
      </c>
    </row>
    <row r="8304">
      <c r="A8304">
        <f>IFERROR(INDEX('Email Cleaner'!$B$2:$B$10001,MATCH(8303,'Email Cleaner'!$H$2:$H$10001,0)),"")</f>
        <v/>
      </c>
    </row>
    <row r="8305">
      <c r="A8305">
        <f>IFERROR(INDEX('Email Cleaner'!$B$2:$B$10001,MATCH(8304,'Email Cleaner'!$H$2:$H$10001,0)),"")</f>
        <v/>
      </c>
    </row>
    <row r="8306">
      <c r="A8306">
        <f>IFERROR(INDEX('Email Cleaner'!$B$2:$B$10001,MATCH(8305,'Email Cleaner'!$H$2:$H$10001,0)),"")</f>
        <v/>
      </c>
    </row>
    <row r="8307">
      <c r="A8307">
        <f>IFERROR(INDEX('Email Cleaner'!$B$2:$B$10001,MATCH(8306,'Email Cleaner'!$H$2:$H$10001,0)),"")</f>
        <v/>
      </c>
    </row>
    <row r="8308">
      <c r="A8308">
        <f>IFERROR(INDEX('Email Cleaner'!$B$2:$B$10001,MATCH(8307,'Email Cleaner'!$H$2:$H$10001,0)),"")</f>
        <v/>
      </c>
    </row>
    <row r="8309">
      <c r="A8309">
        <f>IFERROR(INDEX('Email Cleaner'!$B$2:$B$10001,MATCH(8308,'Email Cleaner'!$H$2:$H$10001,0)),"")</f>
        <v/>
      </c>
    </row>
    <row r="8310">
      <c r="A8310">
        <f>IFERROR(INDEX('Email Cleaner'!$B$2:$B$10001,MATCH(8309,'Email Cleaner'!$H$2:$H$10001,0)),"")</f>
        <v/>
      </c>
    </row>
    <row r="8311">
      <c r="A8311">
        <f>IFERROR(INDEX('Email Cleaner'!$B$2:$B$10001,MATCH(8310,'Email Cleaner'!$H$2:$H$10001,0)),"")</f>
        <v/>
      </c>
    </row>
    <row r="8312">
      <c r="A8312">
        <f>IFERROR(INDEX('Email Cleaner'!$B$2:$B$10001,MATCH(8311,'Email Cleaner'!$H$2:$H$10001,0)),"")</f>
        <v/>
      </c>
    </row>
    <row r="8313">
      <c r="A8313">
        <f>IFERROR(INDEX('Email Cleaner'!$B$2:$B$10001,MATCH(8312,'Email Cleaner'!$H$2:$H$10001,0)),"")</f>
        <v/>
      </c>
    </row>
    <row r="8314">
      <c r="A8314">
        <f>IFERROR(INDEX('Email Cleaner'!$B$2:$B$10001,MATCH(8313,'Email Cleaner'!$H$2:$H$10001,0)),"")</f>
        <v/>
      </c>
    </row>
    <row r="8315">
      <c r="A8315">
        <f>IFERROR(INDEX('Email Cleaner'!$B$2:$B$10001,MATCH(8314,'Email Cleaner'!$H$2:$H$10001,0)),"")</f>
        <v/>
      </c>
    </row>
    <row r="8316">
      <c r="A8316">
        <f>IFERROR(INDEX('Email Cleaner'!$B$2:$B$10001,MATCH(8315,'Email Cleaner'!$H$2:$H$10001,0)),"")</f>
        <v/>
      </c>
    </row>
    <row r="8317">
      <c r="A8317">
        <f>IFERROR(INDEX('Email Cleaner'!$B$2:$B$10001,MATCH(8316,'Email Cleaner'!$H$2:$H$10001,0)),"")</f>
        <v/>
      </c>
    </row>
    <row r="8318">
      <c r="A8318">
        <f>IFERROR(INDEX('Email Cleaner'!$B$2:$B$10001,MATCH(8317,'Email Cleaner'!$H$2:$H$10001,0)),"")</f>
        <v/>
      </c>
    </row>
    <row r="8319">
      <c r="A8319">
        <f>IFERROR(INDEX('Email Cleaner'!$B$2:$B$10001,MATCH(8318,'Email Cleaner'!$H$2:$H$10001,0)),"")</f>
        <v/>
      </c>
    </row>
    <row r="8320">
      <c r="A8320">
        <f>IFERROR(INDEX('Email Cleaner'!$B$2:$B$10001,MATCH(8319,'Email Cleaner'!$H$2:$H$10001,0)),"")</f>
        <v/>
      </c>
    </row>
    <row r="8321">
      <c r="A8321">
        <f>IFERROR(INDEX('Email Cleaner'!$B$2:$B$10001,MATCH(8320,'Email Cleaner'!$H$2:$H$10001,0)),"")</f>
        <v/>
      </c>
    </row>
    <row r="8322">
      <c r="A8322">
        <f>IFERROR(INDEX('Email Cleaner'!$B$2:$B$10001,MATCH(8321,'Email Cleaner'!$H$2:$H$10001,0)),"")</f>
        <v/>
      </c>
    </row>
    <row r="8323">
      <c r="A8323">
        <f>IFERROR(INDEX('Email Cleaner'!$B$2:$B$10001,MATCH(8322,'Email Cleaner'!$H$2:$H$10001,0)),"")</f>
        <v/>
      </c>
    </row>
    <row r="8324">
      <c r="A8324">
        <f>IFERROR(INDEX('Email Cleaner'!$B$2:$B$10001,MATCH(8323,'Email Cleaner'!$H$2:$H$10001,0)),"")</f>
        <v/>
      </c>
    </row>
    <row r="8325">
      <c r="A8325">
        <f>IFERROR(INDEX('Email Cleaner'!$B$2:$B$10001,MATCH(8324,'Email Cleaner'!$H$2:$H$10001,0)),"")</f>
        <v/>
      </c>
    </row>
    <row r="8326">
      <c r="A8326">
        <f>IFERROR(INDEX('Email Cleaner'!$B$2:$B$10001,MATCH(8325,'Email Cleaner'!$H$2:$H$10001,0)),"")</f>
        <v/>
      </c>
    </row>
    <row r="8327">
      <c r="A8327">
        <f>IFERROR(INDEX('Email Cleaner'!$B$2:$B$10001,MATCH(8326,'Email Cleaner'!$H$2:$H$10001,0)),"")</f>
        <v/>
      </c>
    </row>
    <row r="8328">
      <c r="A8328">
        <f>IFERROR(INDEX('Email Cleaner'!$B$2:$B$10001,MATCH(8327,'Email Cleaner'!$H$2:$H$10001,0)),"")</f>
        <v/>
      </c>
    </row>
    <row r="8329">
      <c r="A8329">
        <f>IFERROR(INDEX('Email Cleaner'!$B$2:$B$10001,MATCH(8328,'Email Cleaner'!$H$2:$H$10001,0)),"")</f>
        <v/>
      </c>
    </row>
    <row r="8330">
      <c r="A8330">
        <f>IFERROR(INDEX('Email Cleaner'!$B$2:$B$10001,MATCH(8329,'Email Cleaner'!$H$2:$H$10001,0)),"")</f>
        <v/>
      </c>
    </row>
    <row r="8331">
      <c r="A8331">
        <f>IFERROR(INDEX('Email Cleaner'!$B$2:$B$10001,MATCH(8330,'Email Cleaner'!$H$2:$H$10001,0)),"")</f>
        <v/>
      </c>
    </row>
    <row r="8332">
      <c r="A8332">
        <f>IFERROR(INDEX('Email Cleaner'!$B$2:$B$10001,MATCH(8331,'Email Cleaner'!$H$2:$H$10001,0)),"")</f>
        <v/>
      </c>
    </row>
    <row r="8333">
      <c r="A8333">
        <f>IFERROR(INDEX('Email Cleaner'!$B$2:$B$10001,MATCH(8332,'Email Cleaner'!$H$2:$H$10001,0)),"")</f>
        <v/>
      </c>
    </row>
    <row r="8334">
      <c r="A8334">
        <f>IFERROR(INDEX('Email Cleaner'!$B$2:$B$10001,MATCH(8333,'Email Cleaner'!$H$2:$H$10001,0)),"")</f>
        <v/>
      </c>
    </row>
    <row r="8335">
      <c r="A8335">
        <f>IFERROR(INDEX('Email Cleaner'!$B$2:$B$10001,MATCH(8334,'Email Cleaner'!$H$2:$H$10001,0)),"")</f>
        <v/>
      </c>
    </row>
    <row r="8336">
      <c r="A8336">
        <f>IFERROR(INDEX('Email Cleaner'!$B$2:$B$10001,MATCH(8335,'Email Cleaner'!$H$2:$H$10001,0)),"")</f>
        <v/>
      </c>
    </row>
    <row r="8337">
      <c r="A8337">
        <f>IFERROR(INDEX('Email Cleaner'!$B$2:$B$10001,MATCH(8336,'Email Cleaner'!$H$2:$H$10001,0)),"")</f>
        <v/>
      </c>
    </row>
    <row r="8338">
      <c r="A8338">
        <f>IFERROR(INDEX('Email Cleaner'!$B$2:$B$10001,MATCH(8337,'Email Cleaner'!$H$2:$H$10001,0)),"")</f>
        <v/>
      </c>
    </row>
    <row r="8339">
      <c r="A8339">
        <f>IFERROR(INDEX('Email Cleaner'!$B$2:$B$10001,MATCH(8338,'Email Cleaner'!$H$2:$H$10001,0)),"")</f>
        <v/>
      </c>
    </row>
    <row r="8340">
      <c r="A8340">
        <f>IFERROR(INDEX('Email Cleaner'!$B$2:$B$10001,MATCH(8339,'Email Cleaner'!$H$2:$H$10001,0)),"")</f>
        <v/>
      </c>
    </row>
    <row r="8341">
      <c r="A8341">
        <f>IFERROR(INDEX('Email Cleaner'!$B$2:$B$10001,MATCH(8340,'Email Cleaner'!$H$2:$H$10001,0)),"")</f>
        <v/>
      </c>
    </row>
    <row r="8342">
      <c r="A8342">
        <f>IFERROR(INDEX('Email Cleaner'!$B$2:$B$10001,MATCH(8341,'Email Cleaner'!$H$2:$H$10001,0)),"")</f>
        <v/>
      </c>
    </row>
    <row r="8343">
      <c r="A8343">
        <f>IFERROR(INDEX('Email Cleaner'!$B$2:$B$10001,MATCH(8342,'Email Cleaner'!$H$2:$H$10001,0)),"")</f>
        <v/>
      </c>
    </row>
    <row r="8344">
      <c r="A8344">
        <f>IFERROR(INDEX('Email Cleaner'!$B$2:$B$10001,MATCH(8343,'Email Cleaner'!$H$2:$H$10001,0)),"")</f>
        <v/>
      </c>
    </row>
    <row r="8345">
      <c r="A8345">
        <f>IFERROR(INDEX('Email Cleaner'!$B$2:$B$10001,MATCH(8344,'Email Cleaner'!$H$2:$H$10001,0)),"")</f>
        <v/>
      </c>
    </row>
    <row r="8346">
      <c r="A8346">
        <f>IFERROR(INDEX('Email Cleaner'!$B$2:$B$10001,MATCH(8345,'Email Cleaner'!$H$2:$H$10001,0)),"")</f>
        <v/>
      </c>
    </row>
    <row r="8347">
      <c r="A8347">
        <f>IFERROR(INDEX('Email Cleaner'!$B$2:$B$10001,MATCH(8346,'Email Cleaner'!$H$2:$H$10001,0)),"")</f>
        <v/>
      </c>
    </row>
    <row r="8348">
      <c r="A8348">
        <f>IFERROR(INDEX('Email Cleaner'!$B$2:$B$10001,MATCH(8347,'Email Cleaner'!$H$2:$H$10001,0)),"")</f>
        <v/>
      </c>
    </row>
    <row r="8349">
      <c r="A8349">
        <f>IFERROR(INDEX('Email Cleaner'!$B$2:$B$10001,MATCH(8348,'Email Cleaner'!$H$2:$H$10001,0)),"")</f>
        <v/>
      </c>
    </row>
    <row r="8350">
      <c r="A8350">
        <f>IFERROR(INDEX('Email Cleaner'!$B$2:$B$10001,MATCH(8349,'Email Cleaner'!$H$2:$H$10001,0)),"")</f>
        <v/>
      </c>
    </row>
    <row r="8351">
      <c r="A8351">
        <f>IFERROR(INDEX('Email Cleaner'!$B$2:$B$10001,MATCH(8350,'Email Cleaner'!$H$2:$H$10001,0)),"")</f>
        <v/>
      </c>
    </row>
    <row r="8352">
      <c r="A8352">
        <f>IFERROR(INDEX('Email Cleaner'!$B$2:$B$10001,MATCH(8351,'Email Cleaner'!$H$2:$H$10001,0)),"")</f>
        <v/>
      </c>
    </row>
    <row r="8353">
      <c r="A8353">
        <f>IFERROR(INDEX('Email Cleaner'!$B$2:$B$10001,MATCH(8352,'Email Cleaner'!$H$2:$H$10001,0)),"")</f>
        <v/>
      </c>
    </row>
    <row r="8354">
      <c r="A8354">
        <f>IFERROR(INDEX('Email Cleaner'!$B$2:$B$10001,MATCH(8353,'Email Cleaner'!$H$2:$H$10001,0)),"")</f>
        <v/>
      </c>
    </row>
    <row r="8355">
      <c r="A8355">
        <f>IFERROR(INDEX('Email Cleaner'!$B$2:$B$10001,MATCH(8354,'Email Cleaner'!$H$2:$H$10001,0)),"")</f>
        <v/>
      </c>
    </row>
    <row r="8356">
      <c r="A8356">
        <f>IFERROR(INDEX('Email Cleaner'!$B$2:$B$10001,MATCH(8355,'Email Cleaner'!$H$2:$H$10001,0)),"")</f>
        <v/>
      </c>
    </row>
    <row r="8357">
      <c r="A8357">
        <f>IFERROR(INDEX('Email Cleaner'!$B$2:$B$10001,MATCH(8356,'Email Cleaner'!$H$2:$H$10001,0)),"")</f>
        <v/>
      </c>
    </row>
    <row r="8358">
      <c r="A8358">
        <f>IFERROR(INDEX('Email Cleaner'!$B$2:$B$10001,MATCH(8357,'Email Cleaner'!$H$2:$H$10001,0)),"")</f>
        <v/>
      </c>
    </row>
    <row r="8359">
      <c r="A8359">
        <f>IFERROR(INDEX('Email Cleaner'!$B$2:$B$10001,MATCH(8358,'Email Cleaner'!$H$2:$H$10001,0)),"")</f>
        <v/>
      </c>
    </row>
    <row r="8360">
      <c r="A8360">
        <f>IFERROR(INDEX('Email Cleaner'!$B$2:$B$10001,MATCH(8359,'Email Cleaner'!$H$2:$H$10001,0)),"")</f>
        <v/>
      </c>
    </row>
    <row r="8361">
      <c r="A8361">
        <f>IFERROR(INDEX('Email Cleaner'!$B$2:$B$10001,MATCH(8360,'Email Cleaner'!$H$2:$H$10001,0)),"")</f>
        <v/>
      </c>
    </row>
    <row r="8362">
      <c r="A8362">
        <f>IFERROR(INDEX('Email Cleaner'!$B$2:$B$10001,MATCH(8361,'Email Cleaner'!$H$2:$H$10001,0)),"")</f>
        <v/>
      </c>
    </row>
    <row r="8363">
      <c r="A8363">
        <f>IFERROR(INDEX('Email Cleaner'!$B$2:$B$10001,MATCH(8362,'Email Cleaner'!$H$2:$H$10001,0)),"")</f>
        <v/>
      </c>
    </row>
    <row r="8364">
      <c r="A8364">
        <f>IFERROR(INDEX('Email Cleaner'!$B$2:$B$10001,MATCH(8363,'Email Cleaner'!$H$2:$H$10001,0)),"")</f>
        <v/>
      </c>
    </row>
    <row r="8365">
      <c r="A8365">
        <f>IFERROR(INDEX('Email Cleaner'!$B$2:$B$10001,MATCH(8364,'Email Cleaner'!$H$2:$H$10001,0)),"")</f>
        <v/>
      </c>
    </row>
    <row r="8366">
      <c r="A8366">
        <f>IFERROR(INDEX('Email Cleaner'!$B$2:$B$10001,MATCH(8365,'Email Cleaner'!$H$2:$H$10001,0)),"")</f>
        <v/>
      </c>
    </row>
    <row r="8367">
      <c r="A8367">
        <f>IFERROR(INDEX('Email Cleaner'!$B$2:$B$10001,MATCH(8366,'Email Cleaner'!$H$2:$H$10001,0)),"")</f>
        <v/>
      </c>
    </row>
    <row r="8368">
      <c r="A8368">
        <f>IFERROR(INDEX('Email Cleaner'!$B$2:$B$10001,MATCH(8367,'Email Cleaner'!$H$2:$H$10001,0)),"")</f>
        <v/>
      </c>
    </row>
    <row r="8369">
      <c r="A8369">
        <f>IFERROR(INDEX('Email Cleaner'!$B$2:$B$10001,MATCH(8368,'Email Cleaner'!$H$2:$H$10001,0)),"")</f>
        <v/>
      </c>
    </row>
    <row r="8370">
      <c r="A8370">
        <f>IFERROR(INDEX('Email Cleaner'!$B$2:$B$10001,MATCH(8369,'Email Cleaner'!$H$2:$H$10001,0)),"")</f>
        <v/>
      </c>
    </row>
    <row r="8371">
      <c r="A8371">
        <f>IFERROR(INDEX('Email Cleaner'!$B$2:$B$10001,MATCH(8370,'Email Cleaner'!$H$2:$H$10001,0)),"")</f>
        <v/>
      </c>
    </row>
    <row r="8372">
      <c r="A8372">
        <f>IFERROR(INDEX('Email Cleaner'!$B$2:$B$10001,MATCH(8371,'Email Cleaner'!$H$2:$H$10001,0)),"")</f>
        <v/>
      </c>
    </row>
    <row r="8373">
      <c r="A8373">
        <f>IFERROR(INDEX('Email Cleaner'!$B$2:$B$10001,MATCH(8372,'Email Cleaner'!$H$2:$H$10001,0)),"")</f>
        <v/>
      </c>
    </row>
    <row r="8374">
      <c r="A8374">
        <f>IFERROR(INDEX('Email Cleaner'!$B$2:$B$10001,MATCH(8373,'Email Cleaner'!$H$2:$H$10001,0)),"")</f>
        <v/>
      </c>
    </row>
    <row r="8375">
      <c r="A8375">
        <f>IFERROR(INDEX('Email Cleaner'!$B$2:$B$10001,MATCH(8374,'Email Cleaner'!$H$2:$H$10001,0)),"")</f>
        <v/>
      </c>
    </row>
    <row r="8376">
      <c r="A8376">
        <f>IFERROR(INDEX('Email Cleaner'!$B$2:$B$10001,MATCH(8375,'Email Cleaner'!$H$2:$H$10001,0)),"")</f>
        <v/>
      </c>
    </row>
    <row r="8377">
      <c r="A8377">
        <f>IFERROR(INDEX('Email Cleaner'!$B$2:$B$10001,MATCH(8376,'Email Cleaner'!$H$2:$H$10001,0)),"")</f>
        <v/>
      </c>
    </row>
    <row r="8378">
      <c r="A8378">
        <f>IFERROR(INDEX('Email Cleaner'!$B$2:$B$10001,MATCH(8377,'Email Cleaner'!$H$2:$H$10001,0)),"")</f>
        <v/>
      </c>
    </row>
    <row r="8379">
      <c r="A8379">
        <f>IFERROR(INDEX('Email Cleaner'!$B$2:$B$10001,MATCH(8378,'Email Cleaner'!$H$2:$H$10001,0)),"")</f>
        <v/>
      </c>
    </row>
    <row r="8380">
      <c r="A8380">
        <f>IFERROR(INDEX('Email Cleaner'!$B$2:$B$10001,MATCH(8379,'Email Cleaner'!$H$2:$H$10001,0)),"")</f>
        <v/>
      </c>
    </row>
    <row r="8381">
      <c r="A8381">
        <f>IFERROR(INDEX('Email Cleaner'!$B$2:$B$10001,MATCH(8380,'Email Cleaner'!$H$2:$H$10001,0)),"")</f>
        <v/>
      </c>
    </row>
    <row r="8382">
      <c r="A8382">
        <f>IFERROR(INDEX('Email Cleaner'!$B$2:$B$10001,MATCH(8381,'Email Cleaner'!$H$2:$H$10001,0)),"")</f>
        <v/>
      </c>
    </row>
    <row r="8383">
      <c r="A8383">
        <f>IFERROR(INDEX('Email Cleaner'!$B$2:$B$10001,MATCH(8382,'Email Cleaner'!$H$2:$H$10001,0)),"")</f>
        <v/>
      </c>
    </row>
    <row r="8384">
      <c r="A8384">
        <f>IFERROR(INDEX('Email Cleaner'!$B$2:$B$10001,MATCH(8383,'Email Cleaner'!$H$2:$H$10001,0)),"")</f>
        <v/>
      </c>
    </row>
    <row r="8385">
      <c r="A8385">
        <f>IFERROR(INDEX('Email Cleaner'!$B$2:$B$10001,MATCH(8384,'Email Cleaner'!$H$2:$H$10001,0)),"")</f>
        <v/>
      </c>
    </row>
    <row r="8386">
      <c r="A8386">
        <f>IFERROR(INDEX('Email Cleaner'!$B$2:$B$10001,MATCH(8385,'Email Cleaner'!$H$2:$H$10001,0)),"")</f>
        <v/>
      </c>
    </row>
    <row r="8387">
      <c r="A8387">
        <f>IFERROR(INDEX('Email Cleaner'!$B$2:$B$10001,MATCH(8386,'Email Cleaner'!$H$2:$H$10001,0)),"")</f>
        <v/>
      </c>
    </row>
    <row r="8388">
      <c r="A8388">
        <f>IFERROR(INDEX('Email Cleaner'!$B$2:$B$10001,MATCH(8387,'Email Cleaner'!$H$2:$H$10001,0)),"")</f>
        <v/>
      </c>
    </row>
    <row r="8389">
      <c r="A8389">
        <f>IFERROR(INDEX('Email Cleaner'!$B$2:$B$10001,MATCH(8388,'Email Cleaner'!$H$2:$H$10001,0)),"")</f>
        <v/>
      </c>
    </row>
    <row r="8390">
      <c r="A8390">
        <f>IFERROR(INDEX('Email Cleaner'!$B$2:$B$10001,MATCH(8389,'Email Cleaner'!$H$2:$H$10001,0)),"")</f>
        <v/>
      </c>
    </row>
    <row r="8391">
      <c r="A8391">
        <f>IFERROR(INDEX('Email Cleaner'!$B$2:$B$10001,MATCH(8390,'Email Cleaner'!$H$2:$H$10001,0)),"")</f>
        <v/>
      </c>
    </row>
    <row r="8392">
      <c r="A8392">
        <f>IFERROR(INDEX('Email Cleaner'!$B$2:$B$10001,MATCH(8391,'Email Cleaner'!$H$2:$H$10001,0)),"")</f>
        <v/>
      </c>
    </row>
    <row r="8393">
      <c r="A8393">
        <f>IFERROR(INDEX('Email Cleaner'!$B$2:$B$10001,MATCH(8392,'Email Cleaner'!$H$2:$H$10001,0)),"")</f>
        <v/>
      </c>
    </row>
    <row r="8394">
      <c r="A8394">
        <f>IFERROR(INDEX('Email Cleaner'!$B$2:$B$10001,MATCH(8393,'Email Cleaner'!$H$2:$H$10001,0)),"")</f>
        <v/>
      </c>
    </row>
    <row r="8395">
      <c r="A8395">
        <f>IFERROR(INDEX('Email Cleaner'!$B$2:$B$10001,MATCH(8394,'Email Cleaner'!$H$2:$H$10001,0)),"")</f>
        <v/>
      </c>
    </row>
    <row r="8396">
      <c r="A8396">
        <f>IFERROR(INDEX('Email Cleaner'!$B$2:$B$10001,MATCH(8395,'Email Cleaner'!$H$2:$H$10001,0)),"")</f>
        <v/>
      </c>
    </row>
    <row r="8397">
      <c r="A8397">
        <f>IFERROR(INDEX('Email Cleaner'!$B$2:$B$10001,MATCH(8396,'Email Cleaner'!$H$2:$H$10001,0)),"")</f>
        <v/>
      </c>
    </row>
    <row r="8398">
      <c r="A8398">
        <f>IFERROR(INDEX('Email Cleaner'!$B$2:$B$10001,MATCH(8397,'Email Cleaner'!$H$2:$H$10001,0)),"")</f>
        <v/>
      </c>
    </row>
    <row r="8399">
      <c r="A8399">
        <f>IFERROR(INDEX('Email Cleaner'!$B$2:$B$10001,MATCH(8398,'Email Cleaner'!$H$2:$H$10001,0)),"")</f>
        <v/>
      </c>
    </row>
    <row r="8400">
      <c r="A8400">
        <f>IFERROR(INDEX('Email Cleaner'!$B$2:$B$10001,MATCH(8399,'Email Cleaner'!$H$2:$H$10001,0)),"")</f>
        <v/>
      </c>
    </row>
    <row r="8401">
      <c r="A8401">
        <f>IFERROR(INDEX('Email Cleaner'!$B$2:$B$10001,MATCH(8400,'Email Cleaner'!$H$2:$H$10001,0)),"")</f>
        <v/>
      </c>
    </row>
    <row r="8402">
      <c r="A8402">
        <f>IFERROR(INDEX('Email Cleaner'!$B$2:$B$10001,MATCH(8401,'Email Cleaner'!$H$2:$H$10001,0)),"")</f>
        <v/>
      </c>
    </row>
    <row r="8403">
      <c r="A8403">
        <f>IFERROR(INDEX('Email Cleaner'!$B$2:$B$10001,MATCH(8402,'Email Cleaner'!$H$2:$H$10001,0)),"")</f>
        <v/>
      </c>
    </row>
    <row r="8404">
      <c r="A8404">
        <f>IFERROR(INDEX('Email Cleaner'!$B$2:$B$10001,MATCH(8403,'Email Cleaner'!$H$2:$H$10001,0)),"")</f>
        <v/>
      </c>
    </row>
    <row r="8405">
      <c r="A8405">
        <f>IFERROR(INDEX('Email Cleaner'!$B$2:$B$10001,MATCH(8404,'Email Cleaner'!$H$2:$H$10001,0)),"")</f>
        <v/>
      </c>
    </row>
    <row r="8406">
      <c r="A8406">
        <f>IFERROR(INDEX('Email Cleaner'!$B$2:$B$10001,MATCH(8405,'Email Cleaner'!$H$2:$H$10001,0)),"")</f>
        <v/>
      </c>
    </row>
    <row r="8407">
      <c r="A8407">
        <f>IFERROR(INDEX('Email Cleaner'!$B$2:$B$10001,MATCH(8406,'Email Cleaner'!$H$2:$H$10001,0)),"")</f>
        <v/>
      </c>
    </row>
    <row r="8408">
      <c r="A8408">
        <f>IFERROR(INDEX('Email Cleaner'!$B$2:$B$10001,MATCH(8407,'Email Cleaner'!$H$2:$H$10001,0)),"")</f>
        <v/>
      </c>
    </row>
    <row r="8409">
      <c r="A8409">
        <f>IFERROR(INDEX('Email Cleaner'!$B$2:$B$10001,MATCH(8408,'Email Cleaner'!$H$2:$H$10001,0)),"")</f>
        <v/>
      </c>
    </row>
    <row r="8410">
      <c r="A8410">
        <f>IFERROR(INDEX('Email Cleaner'!$B$2:$B$10001,MATCH(8409,'Email Cleaner'!$H$2:$H$10001,0)),"")</f>
        <v/>
      </c>
    </row>
    <row r="8411">
      <c r="A8411">
        <f>IFERROR(INDEX('Email Cleaner'!$B$2:$B$10001,MATCH(8410,'Email Cleaner'!$H$2:$H$10001,0)),"")</f>
        <v/>
      </c>
    </row>
    <row r="8412">
      <c r="A8412">
        <f>IFERROR(INDEX('Email Cleaner'!$B$2:$B$10001,MATCH(8411,'Email Cleaner'!$H$2:$H$10001,0)),"")</f>
        <v/>
      </c>
    </row>
    <row r="8413">
      <c r="A8413">
        <f>IFERROR(INDEX('Email Cleaner'!$B$2:$B$10001,MATCH(8412,'Email Cleaner'!$H$2:$H$10001,0)),"")</f>
        <v/>
      </c>
    </row>
    <row r="8414">
      <c r="A8414">
        <f>IFERROR(INDEX('Email Cleaner'!$B$2:$B$10001,MATCH(8413,'Email Cleaner'!$H$2:$H$10001,0)),"")</f>
        <v/>
      </c>
    </row>
    <row r="8415">
      <c r="A8415">
        <f>IFERROR(INDEX('Email Cleaner'!$B$2:$B$10001,MATCH(8414,'Email Cleaner'!$H$2:$H$10001,0)),"")</f>
        <v/>
      </c>
    </row>
    <row r="8416">
      <c r="A8416">
        <f>IFERROR(INDEX('Email Cleaner'!$B$2:$B$10001,MATCH(8415,'Email Cleaner'!$H$2:$H$10001,0)),"")</f>
        <v/>
      </c>
    </row>
    <row r="8417">
      <c r="A8417">
        <f>IFERROR(INDEX('Email Cleaner'!$B$2:$B$10001,MATCH(8416,'Email Cleaner'!$H$2:$H$10001,0)),"")</f>
        <v/>
      </c>
    </row>
    <row r="8418">
      <c r="A8418">
        <f>IFERROR(INDEX('Email Cleaner'!$B$2:$B$10001,MATCH(8417,'Email Cleaner'!$H$2:$H$10001,0)),"")</f>
        <v/>
      </c>
    </row>
    <row r="8419">
      <c r="A8419">
        <f>IFERROR(INDEX('Email Cleaner'!$B$2:$B$10001,MATCH(8418,'Email Cleaner'!$H$2:$H$10001,0)),"")</f>
        <v/>
      </c>
    </row>
    <row r="8420">
      <c r="A8420">
        <f>IFERROR(INDEX('Email Cleaner'!$B$2:$B$10001,MATCH(8419,'Email Cleaner'!$H$2:$H$10001,0)),"")</f>
        <v/>
      </c>
    </row>
    <row r="8421">
      <c r="A8421">
        <f>IFERROR(INDEX('Email Cleaner'!$B$2:$B$10001,MATCH(8420,'Email Cleaner'!$H$2:$H$10001,0)),"")</f>
        <v/>
      </c>
    </row>
    <row r="8422">
      <c r="A8422">
        <f>IFERROR(INDEX('Email Cleaner'!$B$2:$B$10001,MATCH(8421,'Email Cleaner'!$H$2:$H$10001,0)),"")</f>
        <v/>
      </c>
    </row>
    <row r="8423">
      <c r="A8423">
        <f>IFERROR(INDEX('Email Cleaner'!$B$2:$B$10001,MATCH(8422,'Email Cleaner'!$H$2:$H$10001,0)),"")</f>
        <v/>
      </c>
    </row>
    <row r="8424">
      <c r="A8424">
        <f>IFERROR(INDEX('Email Cleaner'!$B$2:$B$10001,MATCH(8423,'Email Cleaner'!$H$2:$H$10001,0)),"")</f>
        <v/>
      </c>
    </row>
    <row r="8425">
      <c r="A8425">
        <f>IFERROR(INDEX('Email Cleaner'!$B$2:$B$10001,MATCH(8424,'Email Cleaner'!$H$2:$H$10001,0)),"")</f>
        <v/>
      </c>
    </row>
    <row r="8426">
      <c r="A8426">
        <f>IFERROR(INDEX('Email Cleaner'!$B$2:$B$10001,MATCH(8425,'Email Cleaner'!$H$2:$H$10001,0)),"")</f>
        <v/>
      </c>
    </row>
    <row r="8427">
      <c r="A8427">
        <f>IFERROR(INDEX('Email Cleaner'!$B$2:$B$10001,MATCH(8426,'Email Cleaner'!$H$2:$H$10001,0)),"")</f>
        <v/>
      </c>
    </row>
    <row r="8428">
      <c r="A8428">
        <f>IFERROR(INDEX('Email Cleaner'!$B$2:$B$10001,MATCH(8427,'Email Cleaner'!$H$2:$H$10001,0)),"")</f>
        <v/>
      </c>
    </row>
    <row r="8429">
      <c r="A8429">
        <f>IFERROR(INDEX('Email Cleaner'!$B$2:$B$10001,MATCH(8428,'Email Cleaner'!$H$2:$H$10001,0)),"")</f>
        <v/>
      </c>
    </row>
    <row r="8430">
      <c r="A8430">
        <f>IFERROR(INDEX('Email Cleaner'!$B$2:$B$10001,MATCH(8429,'Email Cleaner'!$H$2:$H$10001,0)),"")</f>
        <v/>
      </c>
    </row>
    <row r="8431">
      <c r="A8431">
        <f>IFERROR(INDEX('Email Cleaner'!$B$2:$B$10001,MATCH(8430,'Email Cleaner'!$H$2:$H$10001,0)),"")</f>
        <v/>
      </c>
    </row>
    <row r="8432">
      <c r="A8432">
        <f>IFERROR(INDEX('Email Cleaner'!$B$2:$B$10001,MATCH(8431,'Email Cleaner'!$H$2:$H$10001,0)),"")</f>
        <v/>
      </c>
    </row>
    <row r="8433">
      <c r="A8433">
        <f>IFERROR(INDEX('Email Cleaner'!$B$2:$B$10001,MATCH(8432,'Email Cleaner'!$H$2:$H$10001,0)),"")</f>
        <v/>
      </c>
    </row>
    <row r="8434">
      <c r="A8434">
        <f>IFERROR(INDEX('Email Cleaner'!$B$2:$B$10001,MATCH(8433,'Email Cleaner'!$H$2:$H$10001,0)),"")</f>
        <v/>
      </c>
    </row>
    <row r="8435">
      <c r="A8435">
        <f>IFERROR(INDEX('Email Cleaner'!$B$2:$B$10001,MATCH(8434,'Email Cleaner'!$H$2:$H$10001,0)),"")</f>
        <v/>
      </c>
    </row>
    <row r="8436">
      <c r="A8436">
        <f>IFERROR(INDEX('Email Cleaner'!$B$2:$B$10001,MATCH(8435,'Email Cleaner'!$H$2:$H$10001,0)),"")</f>
        <v/>
      </c>
    </row>
    <row r="8437">
      <c r="A8437">
        <f>IFERROR(INDEX('Email Cleaner'!$B$2:$B$10001,MATCH(8436,'Email Cleaner'!$H$2:$H$10001,0)),"")</f>
        <v/>
      </c>
    </row>
    <row r="8438">
      <c r="A8438">
        <f>IFERROR(INDEX('Email Cleaner'!$B$2:$B$10001,MATCH(8437,'Email Cleaner'!$H$2:$H$10001,0)),"")</f>
        <v/>
      </c>
    </row>
    <row r="8439">
      <c r="A8439">
        <f>IFERROR(INDEX('Email Cleaner'!$B$2:$B$10001,MATCH(8438,'Email Cleaner'!$H$2:$H$10001,0)),"")</f>
        <v/>
      </c>
    </row>
    <row r="8440">
      <c r="A8440">
        <f>IFERROR(INDEX('Email Cleaner'!$B$2:$B$10001,MATCH(8439,'Email Cleaner'!$H$2:$H$10001,0)),"")</f>
        <v/>
      </c>
    </row>
    <row r="8441">
      <c r="A8441">
        <f>IFERROR(INDEX('Email Cleaner'!$B$2:$B$10001,MATCH(8440,'Email Cleaner'!$H$2:$H$10001,0)),"")</f>
        <v/>
      </c>
    </row>
    <row r="8442">
      <c r="A8442">
        <f>IFERROR(INDEX('Email Cleaner'!$B$2:$B$10001,MATCH(8441,'Email Cleaner'!$H$2:$H$10001,0)),"")</f>
        <v/>
      </c>
    </row>
    <row r="8443">
      <c r="A8443">
        <f>IFERROR(INDEX('Email Cleaner'!$B$2:$B$10001,MATCH(8442,'Email Cleaner'!$H$2:$H$10001,0)),"")</f>
        <v/>
      </c>
    </row>
    <row r="8444">
      <c r="A8444">
        <f>IFERROR(INDEX('Email Cleaner'!$B$2:$B$10001,MATCH(8443,'Email Cleaner'!$H$2:$H$10001,0)),"")</f>
        <v/>
      </c>
    </row>
    <row r="8445">
      <c r="A8445">
        <f>IFERROR(INDEX('Email Cleaner'!$B$2:$B$10001,MATCH(8444,'Email Cleaner'!$H$2:$H$10001,0)),"")</f>
        <v/>
      </c>
    </row>
    <row r="8446">
      <c r="A8446">
        <f>IFERROR(INDEX('Email Cleaner'!$B$2:$B$10001,MATCH(8445,'Email Cleaner'!$H$2:$H$10001,0)),"")</f>
        <v/>
      </c>
    </row>
    <row r="8447">
      <c r="A8447">
        <f>IFERROR(INDEX('Email Cleaner'!$B$2:$B$10001,MATCH(8446,'Email Cleaner'!$H$2:$H$10001,0)),"")</f>
        <v/>
      </c>
    </row>
    <row r="8448">
      <c r="A8448">
        <f>IFERROR(INDEX('Email Cleaner'!$B$2:$B$10001,MATCH(8447,'Email Cleaner'!$H$2:$H$10001,0)),"")</f>
        <v/>
      </c>
    </row>
    <row r="8449">
      <c r="A8449">
        <f>IFERROR(INDEX('Email Cleaner'!$B$2:$B$10001,MATCH(8448,'Email Cleaner'!$H$2:$H$10001,0)),"")</f>
        <v/>
      </c>
    </row>
    <row r="8450">
      <c r="A8450">
        <f>IFERROR(INDEX('Email Cleaner'!$B$2:$B$10001,MATCH(8449,'Email Cleaner'!$H$2:$H$10001,0)),"")</f>
        <v/>
      </c>
    </row>
    <row r="8451">
      <c r="A8451">
        <f>IFERROR(INDEX('Email Cleaner'!$B$2:$B$10001,MATCH(8450,'Email Cleaner'!$H$2:$H$10001,0)),"")</f>
        <v/>
      </c>
    </row>
    <row r="8452">
      <c r="A8452">
        <f>IFERROR(INDEX('Email Cleaner'!$B$2:$B$10001,MATCH(8451,'Email Cleaner'!$H$2:$H$10001,0)),"")</f>
        <v/>
      </c>
    </row>
    <row r="8453">
      <c r="A8453">
        <f>IFERROR(INDEX('Email Cleaner'!$B$2:$B$10001,MATCH(8452,'Email Cleaner'!$H$2:$H$10001,0)),"")</f>
        <v/>
      </c>
    </row>
    <row r="8454">
      <c r="A8454">
        <f>IFERROR(INDEX('Email Cleaner'!$B$2:$B$10001,MATCH(8453,'Email Cleaner'!$H$2:$H$10001,0)),"")</f>
        <v/>
      </c>
    </row>
    <row r="8455">
      <c r="A8455">
        <f>IFERROR(INDEX('Email Cleaner'!$B$2:$B$10001,MATCH(8454,'Email Cleaner'!$H$2:$H$10001,0)),"")</f>
        <v/>
      </c>
    </row>
    <row r="8456">
      <c r="A8456">
        <f>IFERROR(INDEX('Email Cleaner'!$B$2:$B$10001,MATCH(8455,'Email Cleaner'!$H$2:$H$10001,0)),"")</f>
        <v/>
      </c>
    </row>
    <row r="8457">
      <c r="A8457">
        <f>IFERROR(INDEX('Email Cleaner'!$B$2:$B$10001,MATCH(8456,'Email Cleaner'!$H$2:$H$10001,0)),"")</f>
        <v/>
      </c>
    </row>
    <row r="8458">
      <c r="A8458">
        <f>IFERROR(INDEX('Email Cleaner'!$B$2:$B$10001,MATCH(8457,'Email Cleaner'!$H$2:$H$10001,0)),"")</f>
        <v/>
      </c>
    </row>
    <row r="8459">
      <c r="A8459">
        <f>IFERROR(INDEX('Email Cleaner'!$B$2:$B$10001,MATCH(8458,'Email Cleaner'!$H$2:$H$10001,0)),"")</f>
        <v/>
      </c>
    </row>
    <row r="8460">
      <c r="A8460">
        <f>IFERROR(INDEX('Email Cleaner'!$B$2:$B$10001,MATCH(8459,'Email Cleaner'!$H$2:$H$10001,0)),"")</f>
        <v/>
      </c>
    </row>
    <row r="8461">
      <c r="A8461">
        <f>IFERROR(INDEX('Email Cleaner'!$B$2:$B$10001,MATCH(8460,'Email Cleaner'!$H$2:$H$10001,0)),"")</f>
        <v/>
      </c>
    </row>
    <row r="8462">
      <c r="A8462">
        <f>IFERROR(INDEX('Email Cleaner'!$B$2:$B$10001,MATCH(8461,'Email Cleaner'!$H$2:$H$10001,0)),"")</f>
        <v/>
      </c>
    </row>
    <row r="8463">
      <c r="A8463">
        <f>IFERROR(INDEX('Email Cleaner'!$B$2:$B$10001,MATCH(8462,'Email Cleaner'!$H$2:$H$10001,0)),"")</f>
        <v/>
      </c>
    </row>
    <row r="8464">
      <c r="A8464">
        <f>IFERROR(INDEX('Email Cleaner'!$B$2:$B$10001,MATCH(8463,'Email Cleaner'!$H$2:$H$10001,0)),"")</f>
        <v/>
      </c>
    </row>
    <row r="8465">
      <c r="A8465">
        <f>IFERROR(INDEX('Email Cleaner'!$B$2:$B$10001,MATCH(8464,'Email Cleaner'!$H$2:$H$10001,0)),"")</f>
        <v/>
      </c>
    </row>
    <row r="8466">
      <c r="A8466">
        <f>IFERROR(INDEX('Email Cleaner'!$B$2:$B$10001,MATCH(8465,'Email Cleaner'!$H$2:$H$10001,0)),"")</f>
        <v/>
      </c>
    </row>
    <row r="8467">
      <c r="A8467">
        <f>IFERROR(INDEX('Email Cleaner'!$B$2:$B$10001,MATCH(8466,'Email Cleaner'!$H$2:$H$10001,0)),"")</f>
        <v/>
      </c>
    </row>
    <row r="8468">
      <c r="A8468">
        <f>IFERROR(INDEX('Email Cleaner'!$B$2:$B$10001,MATCH(8467,'Email Cleaner'!$H$2:$H$10001,0)),"")</f>
        <v/>
      </c>
    </row>
    <row r="8469">
      <c r="A8469">
        <f>IFERROR(INDEX('Email Cleaner'!$B$2:$B$10001,MATCH(8468,'Email Cleaner'!$H$2:$H$10001,0)),"")</f>
        <v/>
      </c>
    </row>
    <row r="8470">
      <c r="A8470">
        <f>IFERROR(INDEX('Email Cleaner'!$B$2:$B$10001,MATCH(8469,'Email Cleaner'!$H$2:$H$10001,0)),"")</f>
        <v/>
      </c>
    </row>
    <row r="8471">
      <c r="A8471">
        <f>IFERROR(INDEX('Email Cleaner'!$B$2:$B$10001,MATCH(8470,'Email Cleaner'!$H$2:$H$10001,0)),"")</f>
        <v/>
      </c>
    </row>
    <row r="8472">
      <c r="A8472">
        <f>IFERROR(INDEX('Email Cleaner'!$B$2:$B$10001,MATCH(8471,'Email Cleaner'!$H$2:$H$10001,0)),"")</f>
        <v/>
      </c>
    </row>
    <row r="8473">
      <c r="A8473">
        <f>IFERROR(INDEX('Email Cleaner'!$B$2:$B$10001,MATCH(8472,'Email Cleaner'!$H$2:$H$10001,0)),"")</f>
        <v/>
      </c>
    </row>
    <row r="8474">
      <c r="A8474">
        <f>IFERROR(INDEX('Email Cleaner'!$B$2:$B$10001,MATCH(8473,'Email Cleaner'!$H$2:$H$10001,0)),"")</f>
        <v/>
      </c>
    </row>
    <row r="8475">
      <c r="A8475">
        <f>IFERROR(INDEX('Email Cleaner'!$B$2:$B$10001,MATCH(8474,'Email Cleaner'!$H$2:$H$10001,0)),"")</f>
        <v/>
      </c>
    </row>
    <row r="8476">
      <c r="A8476">
        <f>IFERROR(INDEX('Email Cleaner'!$B$2:$B$10001,MATCH(8475,'Email Cleaner'!$H$2:$H$10001,0)),"")</f>
        <v/>
      </c>
    </row>
    <row r="8477">
      <c r="A8477">
        <f>IFERROR(INDEX('Email Cleaner'!$B$2:$B$10001,MATCH(8476,'Email Cleaner'!$H$2:$H$10001,0)),"")</f>
        <v/>
      </c>
    </row>
    <row r="8478">
      <c r="A8478">
        <f>IFERROR(INDEX('Email Cleaner'!$B$2:$B$10001,MATCH(8477,'Email Cleaner'!$H$2:$H$10001,0)),"")</f>
        <v/>
      </c>
    </row>
    <row r="8479">
      <c r="A8479">
        <f>IFERROR(INDEX('Email Cleaner'!$B$2:$B$10001,MATCH(8478,'Email Cleaner'!$H$2:$H$10001,0)),"")</f>
        <v/>
      </c>
    </row>
    <row r="8480">
      <c r="A8480">
        <f>IFERROR(INDEX('Email Cleaner'!$B$2:$B$10001,MATCH(8479,'Email Cleaner'!$H$2:$H$10001,0)),"")</f>
        <v/>
      </c>
    </row>
    <row r="8481">
      <c r="A8481">
        <f>IFERROR(INDEX('Email Cleaner'!$B$2:$B$10001,MATCH(8480,'Email Cleaner'!$H$2:$H$10001,0)),"")</f>
        <v/>
      </c>
    </row>
    <row r="8482">
      <c r="A8482">
        <f>IFERROR(INDEX('Email Cleaner'!$B$2:$B$10001,MATCH(8481,'Email Cleaner'!$H$2:$H$10001,0)),"")</f>
        <v/>
      </c>
    </row>
    <row r="8483">
      <c r="A8483">
        <f>IFERROR(INDEX('Email Cleaner'!$B$2:$B$10001,MATCH(8482,'Email Cleaner'!$H$2:$H$10001,0)),"")</f>
        <v/>
      </c>
    </row>
    <row r="8484">
      <c r="A8484">
        <f>IFERROR(INDEX('Email Cleaner'!$B$2:$B$10001,MATCH(8483,'Email Cleaner'!$H$2:$H$10001,0)),"")</f>
        <v/>
      </c>
    </row>
    <row r="8485">
      <c r="A8485">
        <f>IFERROR(INDEX('Email Cleaner'!$B$2:$B$10001,MATCH(8484,'Email Cleaner'!$H$2:$H$10001,0)),"")</f>
        <v/>
      </c>
    </row>
    <row r="8486">
      <c r="A8486">
        <f>IFERROR(INDEX('Email Cleaner'!$B$2:$B$10001,MATCH(8485,'Email Cleaner'!$H$2:$H$10001,0)),"")</f>
        <v/>
      </c>
    </row>
    <row r="8487">
      <c r="A8487">
        <f>IFERROR(INDEX('Email Cleaner'!$B$2:$B$10001,MATCH(8486,'Email Cleaner'!$H$2:$H$10001,0)),"")</f>
        <v/>
      </c>
    </row>
    <row r="8488">
      <c r="A8488">
        <f>IFERROR(INDEX('Email Cleaner'!$B$2:$B$10001,MATCH(8487,'Email Cleaner'!$H$2:$H$10001,0)),"")</f>
        <v/>
      </c>
    </row>
    <row r="8489">
      <c r="A8489">
        <f>IFERROR(INDEX('Email Cleaner'!$B$2:$B$10001,MATCH(8488,'Email Cleaner'!$H$2:$H$10001,0)),"")</f>
        <v/>
      </c>
    </row>
    <row r="8490">
      <c r="A8490">
        <f>IFERROR(INDEX('Email Cleaner'!$B$2:$B$10001,MATCH(8489,'Email Cleaner'!$H$2:$H$10001,0)),"")</f>
        <v/>
      </c>
    </row>
    <row r="8491">
      <c r="A8491">
        <f>IFERROR(INDEX('Email Cleaner'!$B$2:$B$10001,MATCH(8490,'Email Cleaner'!$H$2:$H$10001,0)),"")</f>
        <v/>
      </c>
    </row>
    <row r="8492">
      <c r="A8492">
        <f>IFERROR(INDEX('Email Cleaner'!$B$2:$B$10001,MATCH(8491,'Email Cleaner'!$H$2:$H$10001,0)),"")</f>
        <v/>
      </c>
    </row>
    <row r="8493">
      <c r="A8493">
        <f>IFERROR(INDEX('Email Cleaner'!$B$2:$B$10001,MATCH(8492,'Email Cleaner'!$H$2:$H$10001,0)),"")</f>
        <v/>
      </c>
    </row>
    <row r="8494">
      <c r="A8494">
        <f>IFERROR(INDEX('Email Cleaner'!$B$2:$B$10001,MATCH(8493,'Email Cleaner'!$H$2:$H$10001,0)),"")</f>
        <v/>
      </c>
    </row>
    <row r="8495">
      <c r="A8495">
        <f>IFERROR(INDEX('Email Cleaner'!$B$2:$B$10001,MATCH(8494,'Email Cleaner'!$H$2:$H$10001,0)),"")</f>
        <v/>
      </c>
    </row>
    <row r="8496">
      <c r="A8496">
        <f>IFERROR(INDEX('Email Cleaner'!$B$2:$B$10001,MATCH(8495,'Email Cleaner'!$H$2:$H$10001,0)),"")</f>
        <v/>
      </c>
    </row>
    <row r="8497">
      <c r="A8497">
        <f>IFERROR(INDEX('Email Cleaner'!$B$2:$B$10001,MATCH(8496,'Email Cleaner'!$H$2:$H$10001,0)),"")</f>
        <v/>
      </c>
    </row>
    <row r="8498">
      <c r="A8498">
        <f>IFERROR(INDEX('Email Cleaner'!$B$2:$B$10001,MATCH(8497,'Email Cleaner'!$H$2:$H$10001,0)),"")</f>
        <v/>
      </c>
    </row>
    <row r="8499">
      <c r="A8499">
        <f>IFERROR(INDEX('Email Cleaner'!$B$2:$B$10001,MATCH(8498,'Email Cleaner'!$H$2:$H$10001,0)),"")</f>
        <v/>
      </c>
    </row>
    <row r="8500">
      <c r="A8500">
        <f>IFERROR(INDEX('Email Cleaner'!$B$2:$B$10001,MATCH(8499,'Email Cleaner'!$H$2:$H$10001,0)),"")</f>
        <v/>
      </c>
    </row>
    <row r="8501">
      <c r="A8501">
        <f>IFERROR(INDEX('Email Cleaner'!$B$2:$B$10001,MATCH(8500,'Email Cleaner'!$H$2:$H$10001,0)),"")</f>
        <v/>
      </c>
    </row>
    <row r="8502">
      <c r="A8502">
        <f>IFERROR(INDEX('Email Cleaner'!$B$2:$B$10001,MATCH(8501,'Email Cleaner'!$H$2:$H$10001,0)),"")</f>
        <v/>
      </c>
    </row>
    <row r="8503">
      <c r="A8503">
        <f>IFERROR(INDEX('Email Cleaner'!$B$2:$B$10001,MATCH(8502,'Email Cleaner'!$H$2:$H$10001,0)),"")</f>
        <v/>
      </c>
    </row>
    <row r="8504">
      <c r="A8504">
        <f>IFERROR(INDEX('Email Cleaner'!$B$2:$B$10001,MATCH(8503,'Email Cleaner'!$H$2:$H$10001,0)),"")</f>
        <v/>
      </c>
    </row>
    <row r="8505">
      <c r="A8505">
        <f>IFERROR(INDEX('Email Cleaner'!$B$2:$B$10001,MATCH(8504,'Email Cleaner'!$H$2:$H$10001,0)),"")</f>
        <v/>
      </c>
    </row>
    <row r="8506">
      <c r="A8506">
        <f>IFERROR(INDEX('Email Cleaner'!$B$2:$B$10001,MATCH(8505,'Email Cleaner'!$H$2:$H$10001,0)),"")</f>
        <v/>
      </c>
    </row>
    <row r="8507">
      <c r="A8507">
        <f>IFERROR(INDEX('Email Cleaner'!$B$2:$B$10001,MATCH(8506,'Email Cleaner'!$H$2:$H$10001,0)),"")</f>
        <v/>
      </c>
    </row>
    <row r="8508">
      <c r="A8508">
        <f>IFERROR(INDEX('Email Cleaner'!$B$2:$B$10001,MATCH(8507,'Email Cleaner'!$H$2:$H$10001,0)),"")</f>
        <v/>
      </c>
    </row>
    <row r="8509">
      <c r="A8509">
        <f>IFERROR(INDEX('Email Cleaner'!$B$2:$B$10001,MATCH(8508,'Email Cleaner'!$H$2:$H$10001,0)),"")</f>
        <v/>
      </c>
    </row>
    <row r="8510">
      <c r="A8510">
        <f>IFERROR(INDEX('Email Cleaner'!$B$2:$B$10001,MATCH(8509,'Email Cleaner'!$H$2:$H$10001,0)),"")</f>
        <v/>
      </c>
    </row>
    <row r="8511">
      <c r="A8511">
        <f>IFERROR(INDEX('Email Cleaner'!$B$2:$B$10001,MATCH(8510,'Email Cleaner'!$H$2:$H$10001,0)),"")</f>
        <v/>
      </c>
    </row>
    <row r="8512">
      <c r="A8512">
        <f>IFERROR(INDEX('Email Cleaner'!$B$2:$B$10001,MATCH(8511,'Email Cleaner'!$H$2:$H$10001,0)),"")</f>
        <v/>
      </c>
    </row>
    <row r="8513">
      <c r="A8513">
        <f>IFERROR(INDEX('Email Cleaner'!$B$2:$B$10001,MATCH(8512,'Email Cleaner'!$H$2:$H$10001,0)),"")</f>
        <v/>
      </c>
    </row>
    <row r="8514">
      <c r="A8514">
        <f>IFERROR(INDEX('Email Cleaner'!$B$2:$B$10001,MATCH(8513,'Email Cleaner'!$H$2:$H$10001,0)),"")</f>
        <v/>
      </c>
    </row>
    <row r="8515">
      <c r="A8515">
        <f>IFERROR(INDEX('Email Cleaner'!$B$2:$B$10001,MATCH(8514,'Email Cleaner'!$H$2:$H$10001,0)),"")</f>
        <v/>
      </c>
    </row>
    <row r="8516">
      <c r="A8516">
        <f>IFERROR(INDEX('Email Cleaner'!$B$2:$B$10001,MATCH(8515,'Email Cleaner'!$H$2:$H$10001,0)),"")</f>
        <v/>
      </c>
    </row>
    <row r="8517">
      <c r="A8517">
        <f>IFERROR(INDEX('Email Cleaner'!$B$2:$B$10001,MATCH(8516,'Email Cleaner'!$H$2:$H$10001,0)),"")</f>
        <v/>
      </c>
    </row>
    <row r="8518">
      <c r="A8518">
        <f>IFERROR(INDEX('Email Cleaner'!$B$2:$B$10001,MATCH(8517,'Email Cleaner'!$H$2:$H$10001,0)),"")</f>
        <v/>
      </c>
    </row>
    <row r="8519">
      <c r="A8519">
        <f>IFERROR(INDEX('Email Cleaner'!$B$2:$B$10001,MATCH(8518,'Email Cleaner'!$H$2:$H$10001,0)),"")</f>
        <v/>
      </c>
    </row>
    <row r="8520">
      <c r="A8520">
        <f>IFERROR(INDEX('Email Cleaner'!$B$2:$B$10001,MATCH(8519,'Email Cleaner'!$H$2:$H$10001,0)),"")</f>
        <v/>
      </c>
    </row>
    <row r="8521">
      <c r="A8521">
        <f>IFERROR(INDEX('Email Cleaner'!$B$2:$B$10001,MATCH(8520,'Email Cleaner'!$H$2:$H$10001,0)),"")</f>
        <v/>
      </c>
    </row>
    <row r="8522">
      <c r="A8522">
        <f>IFERROR(INDEX('Email Cleaner'!$B$2:$B$10001,MATCH(8521,'Email Cleaner'!$H$2:$H$10001,0)),"")</f>
        <v/>
      </c>
    </row>
    <row r="8523">
      <c r="A8523">
        <f>IFERROR(INDEX('Email Cleaner'!$B$2:$B$10001,MATCH(8522,'Email Cleaner'!$H$2:$H$10001,0)),"")</f>
        <v/>
      </c>
    </row>
    <row r="8524">
      <c r="A8524">
        <f>IFERROR(INDEX('Email Cleaner'!$B$2:$B$10001,MATCH(8523,'Email Cleaner'!$H$2:$H$10001,0)),"")</f>
        <v/>
      </c>
    </row>
    <row r="8525">
      <c r="A8525">
        <f>IFERROR(INDEX('Email Cleaner'!$B$2:$B$10001,MATCH(8524,'Email Cleaner'!$H$2:$H$10001,0)),"")</f>
        <v/>
      </c>
    </row>
    <row r="8526">
      <c r="A8526">
        <f>IFERROR(INDEX('Email Cleaner'!$B$2:$B$10001,MATCH(8525,'Email Cleaner'!$H$2:$H$10001,0)),"")</f>
        <v/>
      </c>
    </row>
    <row r="8527">
      <c r="A8527">
        <f>IFERROR(INDEX('Email Cleaner'!$B$2:$B$10001,MATCH(8526,'Email Cleaner'!$H$2:$H$10001,0)),"")</f>
        <v/>
      </c>
    </row>
    <row r="8528">
      <c r="A8528">
        <f>IFERROR(INDEX('Email Cleaner'!$B$2:$B$10001,MATCH(8527,'Email Cleaner'!$H$2:$H$10001,0)),"")</f>
        <v/>
      </c>
    </row>
    <row r="8529">
      <c r="A8529">
        <f>IFERROR(INDEX('Email Cleaner'!$B$2:$B$10001,MATCH(8528,'Email Cleaner'!$H$2:$H$10001,0)),"")</f>
        <v/>
      </c>
    </row>
    <row r="8530">
      <c r="A8530">
        <f>IFERROR(INDEX('Email Cleaner'!$B$2:$B$10001,MATCH(8529,'Email Cleaner'!$H$2:$H$10001,0)),"")</f>
        <v/>
      </c>
    </row>
    <row r="8531">
      <c r="A8531">
        <f>IFERROR(INDEX('Email Cleaner'!$B$2:$B$10001,MATCH(8530,'Email Cleaner'!$H$2:$H$10001,0)),"")</f>
        <v/>
      </c>
    </row>
    <row r="8532">
      <c r="A8532">
        <f>IFERROR(INDEX('Email Cleaner'!$B$2:$B$10001,MATCH(8531,'Email Cleaner'!$H$2:$H$10001,0)),"")</f>
        <v/>
      </c>
    </row>
    <row r="8533">
      <c r="A8533">
        <f>IFERROR(INDEX('Email Cleaner'!$B$2:$B$10001,MATCH(8532,'Email Cleaner'!$H$2:$H$10001,0)),"")</f>
        <v/>
      </c>
    </row>
    <row r="8534">
      <c r="A8534">
        <f>IFERROR(INDEX('Email Cleaner'!$B$2:$B$10001,MATCH(8533,'Email Cleaner'!$H$2:$H$10001,0)),"")</f>
        <v/>
      </c>
    </row>
    <row r="8535">
      <c r="A8535">
        <f>IFERROR(INDEX('Email Cleaner'!$B$2:$B$10001,MATCH(8534,'Email Cleaner'!$H$2:$H$10001,0)),"")</f>
        <v/>
      </c>
    </row>
    <row r="8536">
      <c r="A8536">
        <f>IFERROR(INDEX('Email Cleaner'!$B$2:$B$10001,MATCH(8535,'Email Cleaner'!$H$2:$H$10001,0)),"")</f>
        <v/>
      </c>
    </row>
    <row r="8537">
      <c r="A8537">
        <f>IFERROR(INDEX('Email Cleaner'!$B$2:$B$10001,MATCH(8536,'Email Cleaner'!$H$2:$H$10001,0)),"")</f>
        <v/>
      </c>
    </row>
    <row r="8538">
      <c r="A8538">
        <f>IFERROR(INDEX('Email Cleaner'!$B$2:$B$10001,MATCH(8537,'Email Cleaner'!$H$2:$H$10001,0)),"")</f>
        <v/>
      </c>
    </row>
    <row r="8539">
      <c r="A8539">
        <f>IFERROR(INDEX('Email Cleaner'!$B$2:$B$10001,MATCH(8538,'Email Cleaner'!$H$2:$H$10001,0)),"")</f>
        <v/>
      </c>
    </row>
    <row r="8540">
      <c r="A8540">
        <f>IFERROR(INDEX('Email Cleaner'!$B$2:$B$10001,MATCH(8539,'Email Cleaner'!$H$2:$H$10001,0)),"")</f>
        <v/>
      </c>
    </row>
    <row r="8541">
      <c r="A8541">
        <f>IFERROR(INDEX('Email Cleaner'!$B$2:$B$10001,MATCH(8540,'Email Cleaner'!$H$2:$H$10001,0)),"")</f>
        <v/>
      </c>
    </row>
    <row r="8542">
      <c r="A8542">
        <f>IFERROR(INDEX('Email Cleaner'!$B$2:$B$10001,MATCH(8541,'Email Cleaner'!$H$2:$H$10001,0)),"")</f>
        <v/>
      </c>
    </row>
    <row r="8543">
      <c r="A8543">
        <f>IFERROR(INDEX('Email Cleaner'!$B$2:$B$10001,MATCH(8542,'Email Cleaner'!$H$2:$H$10001,0)),"")</f>
        <v/>
      </c>
    </row>
    <row r="8544">
      <c r="A8544">
        <f>IFERROR(INDEX('Email Cleaner'!$B$2:$B$10001,MATCH(8543,'Email Cleaner'!$H$2:$H$10001,0)),"")</f>
        <v/>
      </c>
    </row>
    <row r="8545">
      <c r="A8545">
        <f>IFERROR(INDEX('Email Cleaner'!$B$2:$B$10001,MATCH(8544,'Email Cleaner'!$H$2:$H$10001,0)),"")</f>
        <v/>
      </c>
    </row>
    <row r="8546">
      <c r="A8546">
        <f>IFERROR(INDEX('Email Cleaner'!$B$2:$B$10001,MATCH(8545,'Email Cleaner'!$H$2:$H$10001,0)),"")</f>
        <v/>
      </c>
    </row>
    <row r="8547">
      <c r="A8547">
        <f>IFERROR(INDEX('Email Cleaner'!$B$2:$B$10001,MATCH(8546,'Email Cleaner'!$H$2:$H$10001,0)),"")</f>
        <v/>
      </c>
    </row>
    <row r="8548">
      <c r="A8548">
        <f>IFERROR(INDEX('Email Cleaner'!$B$2:$B$10001,MATCH(8547,'Email Cleaner'!$H$2:$H$10001,0)),"")</f>
        <v/>
      </c>
    </row>
    <row r="8549">
      <c r="A8549">
        <f>IFERROR(INDEX('Email Cleaner'!$B$2:$B$10001,MATCH(8548,'Email Cleaner'!$H$2:$H$10001,0)),"")</f>
        <v/>
      </c>
    </row>
    <row r="8550">
      <c r="A8550">
        <f>IFERROR(INDEX('Email Cleaner'!$B$2:$B$10001,MATCH(8549,'Email Cleaner'!$H$2:$H$10001,0)),"")</f>
        <v/>
      </c>
    </row>
    <row r="8551">
      <c r="A8551">
        <f>IFERROR(INDEX('Email Cleaner'!$B$2:$B$10001,MATCH(8550,'Email Cleaner'!$H$2:$H$10001,0)),"")</f>
        <v/>
      </c>
    </row>
    <row r="8552">
      <c r="A8552">
        <f>IFERROR(INDEX('Email Cleaner'!$B$2:$B$10001,MATCH(8551,'Email Cleaner'!$H$2:$H$10001,0)),"")</f>
        <v/>
      </c>
    </row>
    <row r="8553">
      <c r="A8553">
        <f>IFERROR(INDEX('Email Cleaner'!$B$2:$B$10001,MATCH(8552,'Email Cleaner'!$H$2:$H$10001,0)),"")</f>
        <v/>
      </c>
    </row>
    <row r="8554">
      <c r="A8554">
        <f>IFERROR(INDEX('Email Cleaner'!$B$2:$B$10001,MATCH(8553,'Email Cleaner'!$H$2:$H$10001,0)),"")</f>
        <v/>
      </c>
    </row>
    <row r="8555">
      <c r="A8555">
        <f>IFERROR(INDEX('Email Cleaner'!$B$2:$B$10001,MATCH(8554,'Email Cleaner'!$H$2:$H$10001,0)),"")</f>
        <v/>
      </c>
    </row>
    <row r="8556">
      <c r="A8556">
        <f>IFERROR(INDEX('Email Cleaner'!$B$2:$B$10001,MATCH(8555,'Email Cleaner'!$H$2:$H$10001,0)),"")</f>
        <v/>
      </c>
    </row>
    <row r="8557">
      <c r="A8557">
        <f>IFERROR(INDEX('Email Cleaner'!$B$2:$B$10001,MATCH(8556,'Email Cleaner'!$H$2:$H$10001,0)),"")</f>
        <v/>
      </c>
    </row>
    <row r="8558">
      <c r="A8558">
        <f>IFERROR(INDEX('Email Cleaner'!$B$2:$B$10001,MATCH(8557,'Email Cleaner'!$H$2:$H$10001,0)),"")</f>
        <v/>
      </c>
    </row>
    <row r="8559">
      <c r="A8559">
        <f>IFERROR(INDEX('Email Cleaner'!$B$2:$B$10001,MATCH(8558,'Email Cleaner'!$H$2:$H$10001,0)),"")</f>
        <v/>
      </c>
    </row>
    <row r="8560">
      <c r="A8560">
        <f>IFERROR(INDEX('Email Cleaner'!$B$2:$B$10001,MATCH(8559,'Email Cleaner'!$H$2:$H$10001,0)),"")</f>
        <v/>
      </c>
    </row>
    <row r="8561">
      <c r="A8561">
        <f>IFERROR(INDEX('Email Cleaner'!$B$2:$B$10001,MATCH(8560,'Email Cleaner'!$H$2:$H$10001,0)),"")</f>
        <v/>
      </c>
    </row>
    <row r="8562">
      <c r="A8562">
        <f>IFERROR(INDEX('Email Cleaner'!$B$2:$B$10001,MATCH(8561,'Email Cleaner'!$H$2:$H$10001,0)),"")</f>
        <v/>
      </c>
    </row>
    <row r="8563">
      <c r="A8563">
        <f>IFERROR(INDEX('Email Cleaner'!$B$2:$B$10001,MATCH(8562,'Email Cleaner'!$H$2:$H$10001,0)),"")</f>
        <v/>
      </c>
    </row>
    <row r="8564">
      <c r="A8564">
        <f>IFERROR(INDEX('Email Cleaner'!$B$2:$B$10001,MATCH(8563,'Email Cleaner'!$H$2:$H$10001,0)),"")</f>
        <v/>
      </c>
    </row>
    <row r="8565">
      <c r="A8565">
        <f>IFERROR(INDEX('Email Cleaner'!$B$2:$B$10001,MATCH(8564,'Email Cleaner'!$H$2:$H$10001,0)),"")</f>
        <v/>
      </c>
    </row>
    <row r="8566">
      <c r="A8566">
        <f>IFERROR(INDEX('Email Cleaner'!$B$2:$B$10001,MATCH(8565,'Email Cleaner'!$H$2:$H$10001,0)),"")</f>
        <v/>
      </c>
    </row>
    <row r="8567">
      <c r="A8567">
        <f>IFERROR(INDEX('Email Cleaner'!$B$2:$B$10001,MATCH(8566,'Email Cleaner'!$H$2:$H$10001,0)),"")</f>
        <v/>
      </c>
    </row>
    <row r="8568">
      <c r="A8568">
        <f>IFERROR(INDEX('Email Cleaner'!$B$2:$B$10001,MATCH(8567,'Email Cleaner'!$H$2:$H$10001,0)),"")</f>
        <v/>
      </c>
    </row>
    <row r="8569">
      <c r="A8569">
        <f>IFERROR(INDEX('Email Cleaner'!$B$2:$B$10001,MATCH(8568,'Email Cleaner'!$H$2:$H$10001,0)),"")</f>
        <v/>
      </c>
    </row>
    <row r="8570">
      <c r="A8570">
        <f>IFERROR(INDEX('Email Cleaner'!$B$2:$B$10001,MATCH(8569,'Email Cleaner'!$H$2:$H$10001,0)),"")</f>
        <v/>
      </c>
    </row>
    <row r="8571">
      <c r="A8571">
        <f>IFERROR(INDEX('Email Cleaner'!$B$2:$B$10001,MATCH(8570,'Email Cleaner'!$H$2:$H$10001,0)),"")</f>
        <v/>
      </c>
    </row>
    <row r="8572">
      <c r="A8572">
        <f>IFERROR(INDEX('Email Cleaner'!$B$2:$B$10001,MATCH(8571,'Email Cleaner'!$H$2:$H$10001,0)),"")</f>
        <v/>
      </c>
    </row>
    <row r="8573">
      <c r="A8573">
        <f>IFERROR(INDEX('Email Cleaner'!$B$2:$B$10001,MATCH(8572,'Email Cleaner'!$H$2:$H$10001,0)),"")</f>
        <v/>
      </c>
    </row>
    <row r="8574">
      <c r="A8574">
        <f>IFERROR(INDEX('Email Cleaner'!$B$2:$B$10001,MATCH(8573,'Email Cleaner'!$H$2:$H$10001,0)),"")</f>
        <v/>
      </c>
    </row>
    <row r="8575">
      <c r="A8575">
        <f>IFERROR(INDEX('Email Cleaner'!$B$2:$B$10001,MATCH(8574,'Email Cleaner'!$H$2:$H$10001,0)),"")</f>
        <v/>
      </c>
    </row>
    <row r="8576">
      <c r="A8576">
        <f>IFERROR(INDEX('Email Cleaner'!$B$2:$B$10001,MATCH(8575,'Email Cleaner'!$H$2:$H$10001,0)),"")</f>
        <v/>
      </c>
    </row>
    <row r="8577">
      <c r="A8577">
        <f>IFERROR(INDEX('Email Cleaner'!$B$2:$B$10001,MATCH(8576,'Email Cleaner'!$H$2:$H$10001,0)),"")</f>
        <v/>
      </c>
    </row>
    <row r="8578">
      <c r="A8578">
        <f>IFERROR(INDEX('Email Cleaner'!$B$2:$B$10001,MATCH(8577,'Email Cleaner'!$H$2:$H$10001,0)),"")</f>
        <v/>
      </c>
    </row>
    <row r="8579">
      <c r="A8579">
        <f>IFERROR(INDEX('Email Cleaner'!$B$2:$B$10001,MATCH(8578,'Email Cleaner'!$H$2:$H$10001,0)),"")</f>
        <v/>
      </c>
    </row>
    <row r="8580">
      <c r="A8580">
        <f>IFERROR(INDEX('Email Cleaner'!$B$2:$B$10001,MATCH(8579,'Email Cleaner'!$H$2:$H$10001,0)),"")</f>
        <v/>
      </c>
    </row>
    <row r="8581">
      <c r="A8581">
        <f>IFERROR(INDEX('Email Cleaner'!$B$2:$B$10001,MATCH(8580,'Email Cleaner'!$H$2:$H$10001,0)),"")</f>
        <v/>
      </c>
    </row>
    <row r="8582">
      <c r="A8582">
        <f>IFERROR(INDEX('Email Cleaner'!$B$2:$B$10001,MATCH(8581,'Email Cleaner'!$H$2:$H$10001,0)),"")</f>
        <v/>
      </c>
    </row>
    <row r="8583">
      <c r="A8583">
        <f>IFERROR(INDEX('Email Cleaner'!$B$2:$B$10001,MATCH(8582,'Email Cleaner'!$H$2:$H$10001,0)),"")</f>
        <v/>
      </c>
    </row>
    <row r="8584">
      <c r="A8584">
        <f>IFERROR(INDEX('Email Cleaner'!$B$2:$B$10001,MATCH(8583,'Email Cleaner'!$H$2:$H$10001,0)),"")</f>
        <v/>
      </c>
    </row>
    <row r="8585">
      <c r="A8585">
        <f>IFERROR(INDEX('Email Cleaner'!$B$2:$B$10001,MATCH(8584,'Email Cleaner'!$H$2:$H$10001,0)),"")</f>
        <v/>
      </c>
    </row>
    <row r="8586">
      <c r="A8586">
        <f>IFERROR(INDEX('Email Cleaner'!$B$2:$B$10001,MATCH(8585,'Email Cleaner'!$H$2:$H$10001,0)),"")</f>
        <v/>
      </c>
    </row>
    <row r="8587">
      <c r="A8587">
        <f>IFERROR(INDEX('Email Cleaner'!$B$2:$B$10001,MATCH(8586,'Email Cleaner'!$H$2:$H$10001,0)),"")</f>
        <v/>
      </c>
    </row>
    <row r="8588">
      <c r="A8588">
        <f>IFERROR(INDEX('Email Cleaner'!$B$2:$B$10001,MATCH(8587,'Email Cleaner'!$H$2:$H$10001,0)),"")</f>
        <v/>
      </c>
    </row>
    <row r="8589">
      <c r="A8589">
        <f>IFERROR(INDEX('Email Cleaner'!$B$2:$B$10001,MATCH(8588,'Email Cleaner'!$H$2:$H$10001,0)),"")</f>
        <v/>
      </c>
    </row>
    <row r="8590">
      <c r="A8590">
        <f>IFERROR(INDEX('Email Cleaner'!$B$2:$B$10001,MATCH(8589,'Email Cleaner'!$H$2:$H$10001,0)),"")</f>
        <v/>
      </c>
    </row>
    <row r="8591">
      <c r="A8591">
        <f>IFERROR(INDEX('Email Cleaner'!$B$2:$B$10001,MATCH(8590,'Email Cleaner'!$H$2:$H$10001,0)),"")</f>
        <v/>
      </c>
    </row>
    <row r="8592">
      <c r="A8592">
        <f>IFERROR(INDEX('Email Cleaner'!$B$2:$B$10001,MATCH(8591,'Email Cleaner'!$H$2:$H$10001,0)),"")</f>
        <v/>
      </c>
    </row>
    <row r="8593">
      <c r="A8593">
        <f>IFERROR(INDEX('Email Cleaner'!$B$2:$B$10001,MATCH(8592,'Email Cleaner'!$H$2:$H$10001,0)),"")</f>
        <v/>
      </c>
    </row>
    <row r="8594">
      <c r="A8594">
        <f>IFERROR(INDEX('Email Cleaner'!$B$2:$B$10001,MATCH(8593,'Email Cleaner'!$H$2:$H$10001,0)),"")</f>
        <v/>
      </c>
    </row>
    <row r="8595">
      <c r="A8595">
        <f>IFERROR(INDEX('Email Cleaner'!$B$2:$B$10001,MATCH(8594,'Email Cleaner'!$H$2:$H$10001,0)),"")</f>
        <v/>
      </c>
    </row>
    <row r="8596">
      <c r="A8596">
        <f>IFERROR(INDEX('Email Cleaner'!$B$2:$B$10001,MATCH(8595,'Email Cleaner'!$H$2:$H$10001,0)),"")</f>
        <v/>
      </c>
    </row>
    <row r="8597">
      <c r="A8597">
        <f>IFERROR(INDEX('Email Cleaner'!$B$2:$B$10001,MATCH(8596,'Email Cleaner'!$H$2:$H$10001,0)),"")</f>
        <v/>
      </c>
    </row>
    <row r="8598">
      <c r="A8598">
        <f>IFERROR(INDEX('Email Cleaner'!$B$2:$B$10001,MATCH(8597,'Email Cleaner'!$H$2:$H$10001,0)),"")</f>
        <v/>
      </c>
    </row>
    <row r="8599">
      <c r="A8599">
        <f>IFERROR(INDEX('Email Cleaner'!$B$2:$B$10001,MATCH(8598,'Email Cleaner'!$H$2:$H$10001,0)),"")</f>
        <v/>
      </c>
    </row>
    <row r="8600">
      <c r="A8600">
        <f>IFERROR(INDEX('Email Cleaner'!$B$2:$B$10001,MATCH(8599,'Email Cleaner'!$H$2:$H$10001,0)),"")</f>
        <v/>
      </c>
    </row>
    <row r="8601">
      <c r="A8601">
        <f>IFERROR(INDEX('Email Cleaner'!$B$2:$B$10001,MATCH(8600,'Email Cleaner'!$H$2:$H$10001,0)),"")</f>
        <v/>
      </c>
    </row>
    <row r="8602">
      <c r="A8602">
        <f>IFERROR(INDEX('Email Cleaner'!$B$2:$B$10001,MATCH(8601,'Email Cleaner'!$H$2:$H$10001,0)),"")</f>
        <v/>
      </c>
    </row>
    <row r="8603">
      <c r="A8603">
        <f>IFERROR(INDEX('Email Cleaner'!$B$2:$B$10001,MATCH(8602,'Email Cleaner'!$H$2:$H$10001,0)),"")</f>
        <v/>
      </c>
    </row>
    <row r="8604">
      <c r="A8604">
        <f>IFERROR(INDEX('Email Cleaner'!$B$2:$B$10001,MATCH(8603,'Email Cleaner'!$H$2:$H$10001,0)),"")</f>
        <v/>
      </c>
    </row>
    <row r="8605">
      <c r="A8605">
        <f>IFERROR(INDEX('Email Cleaner'!$B$2:$B$10001,MATCH(8604,'Email Cleaner'!$H$2:$H$10001,0)),"")</f>
        <v/>
      </c>
    </row>
    <row r="8606">
      <c r="A8606">
        <f>IFERROR(INDEX('Email Cleaner'!$B$2:$B$10001,MATCH(8605,'Email Cleaner'!$H$2:$H$10001,0)),"")</f>
        <v/>
      </c>
    </row>
    <row r="8607">
      <c r="A8607">
        <f>IFERROR(INDEX('Email Cleaner'!$B$2:$B$10001,MATCH(8606,'Email Cleaner'!$H$2:$H$10001,0)),"")</f>
        <v/>
      </c>
    </row>
    <row r="8608">
      <c r="A8608">
        <f>IFERROR(INDEX('Email Cleaner'!$B$2:$B$10001,MATCH(8607,'Email Cleaner'!$H$2:$H$10001,0)),"")</f>
        <v/>
      </c>
    </row>
    <row r="8609">
      <c r="A8609">
        <f>IFERROR(INDEX('Email Cleaner'!$B$2:$B$10001,MATCH(8608,'Email Cleaner'!$H$2:$H$10001,0)),"")</f>
        <v/>
      </c>
    </row>
    <row r="8610">
      <c r="A8610">
        <f>IFERROR(INDEX('Email Cleaner'!$B$2:$B$10001,MATCH(8609,'Email Cleaner'!$H$2:$H$10001,0)),"")</f>
        <v/>
      </c>
    </row>
    <row r="8611">
      <c r="A8611">
        <f>IFERROR(INDEX('Email Cleaner'!$B$2:$B$10001,MATCH(8610,'Email Cleaner'!$H$2:$H$10001,0)),"")</f>
        <v/>
      </c>
    </row>
    <row r="8612">
      <c r="A8612">
        <f>IFERROR(INDEX('Email Cleaner'!$B$2:$B$10001,MATCH(8611,'Email Cleaner'!$H$2:$H$10001,0)),"")</f>
        <v/>
      </c>
    </row>
    <row r="8613">
      <c r="A8613">
        <f>IFERROR(INDEX('Email Cleaner'!$B$2:$B$10001,MATCH(8612,'Email Cleaner'!$H$2:$H$10001,0)),"")</f>
        <v/>
      </c>
    </row>
    <row r="8614">
      <c r="A8614">
        <f>IFERROR(INDEX('Email Cleaner'!$B$2:$B$10001,MATCH(8613,'Email Cleaner'!$H$2:$H$10001,0)),"")</f>
        <v/>
      </c>
    </row>
    <row r="8615">
      <c r="A8615">
        <f>IFERROR(INDEX('Email Cleaner'!$B$2:$B$10001,MATCH(8614,'Email Cleaner'!$H$2:$H$10001,0)),"")</f>
        <v/>
      </c>
    </row>
    <row r="8616">
      <c r="A8616">
        <f>IFERROR(INDEX('Email Cleaner'!$B$2:$B$10001,MATCH(8615,'Email Cleaner'!$H$2:$H$10001,0)),"")</f>
        <v/>
      </c>
    </row>
    <row r="8617">
      <c r="A8617">
        <f>IFERROR(INDEX('Email Cleaner'!$B$2:$B$10001,MATCH(8616,'Email Cleaner'!$H$2:$H$10001,0)),"")</f>
        <v/>
      </c>
    </row>
    <row r="8618">
      <c r="A8618">
        <f>IFERROR(INDEX('Email Cleaner'!$B$2:$B$10001,MATCH(8617,'Email Cleaner'!$H$2:$H$10001,0)),"")</f>
        <v/>
      </c>
    </row>
    <row r="8619">
      <c r="A8619">
        <f>IFERROR(INDEX('Email Cleaner'!$B$2:$B$10001,MATCH(8618,'Email Cleaner'!$H$2:$H$10001,0)),"")</f>
        <v/>
      </c>
    </row>
    <row r="8620">
      <c r="A8620">
        <f>IFERROR(INDEX('Email Cleaner'!$B$2:$B$10001,MATCH(8619,'Email Cleaner'!$H$2:$H$10001,0)),"")</f>
        <v/>
      </c>
    </row>
    <row r="8621">
      <c r="A8621">
        <f>IFERROR(INDEX('Email Cleaner'!$B$2:$B$10001,MATCH(8620,'Email Cleaner'!$H$2:$H$10001,0)),"")</f>
        <v/>
      </c>
    </row>
    <row r="8622">
      <c r="A8622">
        <f>IFERROR(INDEX('Email Cleaner'!$B$2:$B$10001,MATCH(8621,'Email Cleaner'!$H$2:$H$10001,0)),"")</f>
        <v/>
      </c>
    </row>
    <row r="8623">
      <c r="A8623">
        <f>IFERROR(INDEX('Email Cleaner'!$B$2:$B$10001,MATCH(8622,'Email Cleaner'!$H$2:$H$10001,0)),"")</f>
        <v/>
      </c>
    </row>
    <row r="8624">
      <c r="A8624">
        <f>IFERROR(INDEX('Email Cleaner'!$B$2:$B$10001,MATCH(8623,'Email Cleaner'!$H$2:$H$10001,0)),"")</f>
        <v/>
      </c>
    </row>
    <row r="8625">
      <c r="A8625">
        <f>IFERROR(INDEX('Email Cleaner'!$B$2:$B$10001,MATCH(8624,'Email Cleaner'!$H$2:$H$10001,0)),"")</f>
        <v/>
      </c>
    </row>
    <row r="8626">
      <c r="A8626">
        <f>IFERROR(INDEX('Email Cleaner'!$B$2:$B$10001,MATCH(8625,'Email Cleaner'!$H$2:$H$10001,0)),"")</f>
        <v/>
      </c>
    </row>
    <row r="8627">
      <c r="A8627">
        <f>IFERROR(INDEX('Email Cleaner'!$B$2:$B$10001,MATCH(8626,'Email Cleaner'!$H$2:$H$10001,0)),"")</f>
        <v/>
      </c>
    </row>
    <row r="8628">
      <c r="A8628">
        <f>IFERROR(INDEX('Email Cleaner'!$B$2:$B$10001,MATCH(8627,'Email Cleaner'!$H$2:$H$10001,0)),"")</f>
        <v/>
      </c>
    </row>
    <row r="8629">
      <c r="A8629">
        <f>IFERROR(INDEX('Email Cleaner'!$B$2:$B$10001,MATCH(8628,'Email Cleaner'!$H$2:$H$10001,0)),"")</f>
        <v/>
      </c>
    </row>
    <row r="8630">
      <c r="A8630">
        <f>IFERROR(INDEX('Email Cleaner'!$B$2:$B$10001,MATCH(8629,'Email Cleaner'!$H$2:$H$10001,0)),"")</f>
        <v/>
      </c>
    </row>
    <row r="8631">
      <c r="A8631">
        <f>IFERROR(INDEX('Email Cleaner'!$B$2:$B$10001,MATCH(8630,'Email Cleaner'!$H$2:$H$10001,0)),"")</f>
        <v/>
      </c>
    </row>
    <row r="8632">
      <c r="A8632">
        <f>IFERROR(INDEX('Email Cleaner'!$B$2:$B$10001,MATCH(8631,'Email Cleaner'!$H$2:$H$10001,0)),"")</f>
        <v/>
      </c>
    </row>
    <row r="8633">
      <c r="A8633">
        <f>IFERROR(INDEX('Email Cleaner'!$B$2:$B$10001,MATCH(8632,'Email Cleaner'!$H$2:$H$10001,0)),"")</f>
        <v/>
      </c>
    </row>
    <row r="8634">
      <c r="A8634">
        <f>IFERROR(INDEX('Email Cleaner'!$B$2:$B$10001,MATCH(8633,'Email Cleaner'!$H$2:$H$10001,0)),"")</f>
        <v/>
      </c>
    </row>
    <row r="8635">
      <c r="A8635">
        <f>IFERROR(INDEX('Email Cleaner'!$B$2:$B$10001,MATCH(8634,'Email Cleaner'!$H$2:$H$10001,0)),"")</f>
        <v/>
      </c>
    </row>
    <row r="8636">
      <c r="A8636">
        <f>IFERROR(INDEX('Email Cleaner'!$B$2:$B$10001,MATCH(8635,'Email Cleaner'!$H$2:$H$10001,0)),"")</f>
        <v/>
      </c>
    </row>
    <row r="8637">
      <c r="A8637">
        <f>IFERROR(INDEX('Email Cleaner'!$B$2:$B$10001,MATCH(8636,'Email Cleaner'!$H$2:$H$10001,0)),"")</f>
        <v/>
      </c>
    </row>
    <row r="8638">
      <c r="A8638">
        <f>IFERROR(INDEX('Email Cleaner'!$B$2:$B$10001,MATCH(8637,'Email Cleaner'!$H$2:$H$10001,0)),"")</f>
        <v/>
      </c>
    </row>
    <row r="8639">
      <c r="A8639">
        <f>IFERROR(INDEX('Email Cleaner'!$B$2:$B$10001,MATCH(8638,'Email Cleaner'!$H$2:$H$10001,0)),"")</f>
        <v/>
      </c>
    </row>
    <row r="8640">
      <c r="A8640">
        <f>IFERROR(INDEX('Email Cleaner'!$B$2:$B$10001,MATCH(8639,'Email Cleaner'!$H$2:$H$10001,0)),"")</f>
        <v/>
      </c>
    </row>
    <row r="8641">
      <c r="A8641">
        <f>IFERROR(INDEX('Email Cleaner'!$B$2:$B$10001,MATCH(8640,'Email Cleaner'!$H$2:$H$10001,0)),"")</f>
        <v/>
      </c>
    </row>
    <row r="8642">
      <c r="A8642">
        <f>IFERROR(INDEX('Email Cleaner'!$B$2:$B$10001,MATCH(8641,'Email Cleaner'!$H$2:$H$10001,0)),"")</f>
        <v/>
      </c>
    </row>
    <row r="8643">
      <c r="A8643">
        <f>IFERROR(INDEX('Email Cleaner'!$B$2:$B$10001,MATCH(8642,'Email Cleaner'!$H$2:$H$10001,0)),"")</f>
        <v/>
      </c>
    </row>
    <row r="8644">
      <c r="A8644">
        <f>IFERROR(INDEX('Email Cleaner'!$B$2:$B$10001,MATCH(8643,'Email Cleaner'!$H$2:$H$10001,0)),"")</f>
        <v/>
      </c>
    </row>
    <row r="8645">
      <c r="A8645">
        <f>IFERROR(INDEX('Email Cleaner'!$B$2:$B$10001,MATCH(8644,'Email Cleaner'!$H$2:$H$10001,0)),"")</f>
        <v/>
      </c>
    </row>
    <row r="8646">
      <c r="A8646">
        <f>IFERROR(INDEX('Email Cleaner'!$B$2:$B$10001,MATCH(8645,'Email Cleaner'!$H$2:$H$10001,0)),"")</f>
        <v/>
      </c>
    </row>
    <row r="8647">
      <c r="A8647">
        <f>IFERROR(INDEX('Email Cleaner'!$B$2:$B$10001,MATCH(8646,'Email Cleaner'!$H$2:$H$10001,0)),"")</f>
        <v/>
      </c>
    </row>
    <row r="8648">
      <c r="A8648">
        <f>IFERROR(INDEX('Email Cleaner'!$B$2:$B$10001,MATCH(8647,'Email Cleaner'!$H$2:$H$10001,0)),"")</f>
        <v/>
      </c>
    </row>
    <row r="8649">
      <c r="A8649">
        <f>IFERROR(INDEX('Email Cleaner'!$B$2:$B$10001,MATCH(8648,'Email Cleaner'!$H$2:$H$10001,0)),"")</f>
        <v/>
      </c>
    </row>
    <row r="8650">
      <c r="A8650">
        <f>IFERROR(INDEX('Email Cleaner'!$B$2:$B$10001,MATCH(8649,'Email Cleaner'!$H$2:$H$10001,0)),"")</f>
        <v/>
      </c>
    </row>
    <row r="8651">
      <c r="A8651">
        <f>IFERROR(INDEX('Email Cleaner'!$B$2:$B$10001,MATCH(8650,'Email Cleaner'!$H$2:$H$10001,0)),"")</f>
        <v/>
      </c>
    </row>
    <row r="8652">
      <c r="A8652">
        <f>IFERROR(INDEX('Email Cleaner'!$B$2:$B$10001,MATCH(8651,'Email Cleaner'!$H$2:$H$10001,0)),"")</f>
        <v/>
      </c>
    </row>
    <row r="8653">
      <c r="A8653">
        <f>IFERROR(INDEX('Email Cleaner'!$B$2:$B$10001,MATCH(8652,'Email Cleaner'!$H$2:$H$10001,0)),"")</f>
        <v/>
      </c>
    </row>
    <row r="8654">
      <c r="A8654">
        <f>IFERROR(INDEX('Email Cleaner'!$B$2:$B$10001,MATCH(8653,'Email Cleaner'!$H$2:$H$10001,0)),"")</f>
        <v/>
      </c>
    </row>
    <row r="8655">
      <c r="A8655">
        <f>IFERROR(INDEX('Email Cleaner'!$B$2:$B$10001,MATCH(8654,'Email Cleaner'!$H$2:$H$10001,0)),"")</f>
        <v/>
      </c>
    </row>
    <row r="8656">
      <c r="A8656">
        <f>IFERROR(INDEX('Email Cleaner'!$B$2:$B$10001,MATCH(8655,'Email Cleaner'!$H$2:$H$10001,0)),"")</f>
        <v/>
      </c>
    </row>
    <row r="8657">
      <c r="A8657">
        <f>IFERROR(INDEX('Email Cleaner'!$B$2:$B$10001,MATCH(8656,'Email Cleaner'!$H$2:$H$10001,0)),"")</f>
        <v/>
      </c>
    </row>
    <row r="8658">
      <c r="A8658">
        <f>IFERROR(INDEX('Email Cleaner'!$B$2:$B$10001,MATCH(8657,'Email Cleaner'!$H$2:$H$10001,0)),"")</f>
        <v/>
      </c>
    </row>
    <row r="8659">
      <c r="A8659">
        <f>IFERROR(INDEX('Email Cleaner'!$B$2:$B$10001,MATCH(8658,'Email Cleaner'!$H$2:$H$10001,0)),"")</f>
        <v/>
      </c>
    </row>
    <row r="8660">
      <c r="A8660">
        <f>IFERROR(INDEX('Email Cleaner'!$B$2:$B$10001,MATCH(8659,'Email Cleaner'!$H$2:$H$10001,0)),"")</f>
        <v/>
      </c>
    </row>
    <row r="8661">
      <c r="A8661">
        <f>IFERROR(INDEX('Email Cleaner'!$B$2:$B$10001,MATCH(8660,'Email Cleaner'!$H$2:$H$10001,0)),"")</f>
        <v/>
      </c>
    </row>
    <row r="8662">
      <c r="A8662">
        <f>IFERROR(INDEX('Email Cleaner'!$B$2:$B$10001,MATCH(8661,'Email Cleaner'!$H$2:$H$10001,0)),"")</f>
        <v/>
      </c>
    </row>
    <row r="8663">
      <c r="A8663">
        <f>IFERROR(INDEX('Email Cleaner'!$B$2:$B$10001,MATCH(8662,'Email Cleaner'!$H$2:$H$10001,0)),"")</f>
        <v/>
      </c>
    </row>
    <row r="8664">
      <c r="A8664">
        <f>IFERROR(INDEX('Email Cleaner'!$B$2:$B$10001,MATCH(8663,'Email Cleaner'!$H$2:$H$10001,0)),"")</f>
        <v/>
      </c>
    </row>
    <row r="8665">
      <c r="A8665">
        <f>IFERROR(INDEX('Email Cleaner'!$B$2:$B$10001,MATCH(8664,'Email Cleaner'!$H$2:$H$10001,0)),"")</f>
        <v/>
      </c>
    </row>
    <row r="8666">
      <c r="A8666">
        <f>IFERROR(INDEX('Email Cleaner'!$B$2:$B$10001,MATCH(8665,'Email Cleaner'!$H$2:$H$10001,0)),"")</f>
        <v/>
      </c>
    </row>
    <row r="8667">
      <c r="A8667">
        <f>IFERROR(INDEX('Email Cleaner'!$B$2:$B$10001,MATCH(8666,'Email Cleaner'!$H$2:$H$10001,0)),"")</f>
        <v/>
      </c>
    </row>
    <row r="8668">
      <c r="A8668">
        <f>IFERROR(INDEX('Email Cleaner'!$B$2:$B$10001,MATCH(8667,'Email Cleaner'!$H$2:$H$10001,0)),"")</f>
        <v/>
      </c>
    </row>
    <row r="8669">
      <c r="A8669">
        <f>IFERROR(INDEX('Email Cleaner'!$B$2:$B$10001,MATCH(8668,'Email Cleaner'!$H$2:$H$10001,0)),"")</f>
        <v/>
      </c>
    </row>
    <row r="8670">
      <c r="A8670">
        <f>IFERROR(INDEX('Email Cleaner'!$B$2:$B$10001,MATCH(8669,'Email Cleaner'!$H$2:$H$10001,0)),"")</f>
        <v/>
      </c>
    </row>
    <row r="8671">
      <c r="A8671">
        <f>IFERROR(INDEX('Email Cleaner'!$B$2:$B$10001,MATCH(8670,'Email Cleaner'!$H$2:$H$10001,0)),"")</f>
        <v/>
      </c>
    </row>
    <row r="8672">
      <c r="A8672">
        <f>IFERROR(INDEX('Email Cleaner'!$B$2:$B$10001,MATCH(8671,'Email Cleaner'!$H$2:$H$10001,0)),"")</f>
        <v/>
      </c>
    </row>
    <row r="8673">
      <c r="A8673">
        <f>IFERROR(INDEX('Email Cleaner'!$B$2:$B$10001,MATCH(8672,'Email Cleaner'!$H$2:$H$10001,0)),"")</f>
        <v/>
      </c>
    </row>
    <row r="8674">
      <c r="A8674">
        <f>IFERROR(INDEX('Email Cleaner'!$B$2:$B$10001,MATCH(8673,'Email Cleaner'!$H$2:$H$10001,0)),"")</f>
        <v/>
      </c>
    </row>
    <row r="8675">
      <c r="A8675">
        <f>IFERROR(INDEX('Email Cleaner'!$B$2:$B$10001,MATCH(8674,'Email Cleaner'!$H$2:$H$10001,0)),"")</f>
        <v/>
      </c>
    </row>
    <row r="8676">
      <c r="A8676">
        <f>IFERROR(INDEX('Email Cleaner'!$B$2:$B$10001,MATCH(8675,'Email Cleaner'!$H$2:$H$10001,0)),"")</f>
        <v/>
      </c>
    </row>
    <row r="8677">
      <c r="A8677">
        <f>IFERROR(INDEX('Email Cleaner'!$B$2:$B$10001,MATCH(8676,'Email Cleaner'!$H$2:$H$10001,0)),"")</f>
        <v/>
      </c>
    </row>
    <row r="8678">
      <c r="A8678">
        <f>IFERROR(INDEX('Email Cleaner'!$B$2:$B$10001,MATCH(8677,'Email Cleaner'!$H$2:$H$10001,0)),"")</f>
        <v/>
      </c>
    </row>
    <row r="8679">
      <c r="A8679">
        <f>IFERROR(INDEX('Email Cleaner'!$B$2:$B$10001,MATCH(8678,'Email Cleaner'!$H$2:$H$10001,0)),"")</f>
        <v/>
      </c>
    </row>
    <row r="8680">
      <c r="A8680">
        <f>IFERROR(INDEX('Email Cleaner'!$B$2:$B$10001,MATCH(8679,'Email Cleaner'!$H$2:$H$10001,0)),"")</f>
        <v/>
      </c>
    </row>
    <row r="8681">
      <c r="A8681">
        <f>IFERROR(INDEX('Email Cleaner'!$B$2:$B$10001,MATCH(8680,'Email Cleaner'!$H$2:$H$10001,0)),"")</f>
        <v/>
      </c>
    </row>
    <row r="8682">
      <c r="A8682">
        <f>IFERROR(INDEX('Email Cleaner'!$B$2:$B$10001,MATCH(8681,'Email Cleaner'!$H$2:$H$10001,0)),"")</f>
        <v/>
      </c>
    </row>
    <row r="8683">
      <c r="A8683">
        <f>IFERROR(INDEX('Email Cleaner'!$B$2:$B$10001,MATCH(8682,'Email Cleaner'!$H$2:$H$10001,0)),"")</f>
        <v/>
      </c>
    </row>
    <row r="8684">
      <c r="A8684">
        <f>IFERROR(INDEX('Email Cleaner'!$B$2:$B$10001,MATCH(8683,'Email Cleaner'!$H$2:$H$10001,0)),"")</f>
        <v/>
      </c>
    </row>
    <row r="8685">
      <c r="A8685">
        <f>IFERROR(INDEX('Email Cleaner'!$B$2:$B$10001,MATCH(8684,'Email Cleaner'!$H$2:$H$10001,0)),"")</f>
        <v/>
      </c>
    </row>
    <row r="8686">
      <c r="A8686">
        <f>IFERROR(INDEX('Email Cleaner'!$B$2:$B$10001,MATCH(8685,'Email Cleaner'!$H$2:$H$10001,0)),"")</f>
        <v/>
      </c>
    </row>
    <row r="8687">
      <c r="A8687">
        <f>IFERROR(INDEX('Email Cleaner'!$B$2:$B$10001,MATCH(8686,'Email Cleaner'!$H$2:$H$10001,0)),"")</f>
        <v/>
      </c>
    </row>
    <row r="8688">
      <c r="A8688">
        <f>IFERROR(INDEX('Email Cleaner'!$B$2:$B$10001,MATCH(8687,'Email Cleaner'!$H$2:$H$10001,0)),"")</f>
        <v/>
      </c>
    </row>
    <row r="8689">
      <c r="A8689">
        <f>IFERROR(INDEX('Email Cleaner'!$B$2:$B$10001,MATCH(8688,'Email Cleaner'!$H$2:$H$10001,0)),"")</f>
        <v/>
      </c>
    </row>
    <row r="8690">
      <c r="A8690">
        <f>IFERROR(INDEX('Email Cleaner'!$B$2:$B$10001,MATCH(8689,'Email Cleaner'!$H$2:$H$10001,0)),"")</f>
        <v/>
      </c>
    </row>
    <row r="8691">
      <c r="A8691">
        <f>IFERROR(INDEX('Email Cleaner'!$B$2:$B$10001,MATCH(8690,'Email Cleaner'!$H$2:$H$10001,0)),"")</f>
        <v/>
      </c>
    </row>
    <row r="8692">
      <c r="A8692">
        <f>IFERROR(INDEX('Email Cleaner'!$B$2:$B$10001,MATCH(8691,'Email Cleaner'!$H$2:$H$10001,0)),"")</f>
        <v/>
      </c>
    </row>
    <row r="8693">
      <c r="A8693">
        <f>IFERROR(INDEX('Email Cleaner'!$B$2:$B$10001,MATCH(8692,'Email Cleaner'!$H$2:$H$10001,0)),"")</f>
        <v/>
      </c>
    </row>
    <row r="8694">
      <c r="A8694">
        <f>IFERROR(INDEX('Email Cleaner'!$B$2:$B$10001,MATCH(8693,'Email Cleaner'!$H$2:$H$10001,0)),"")</f>
        <v/>
      </c>
    </row>
    <row r="8695">
      <c r="A8695">
        <f>IFERROR(INDEX('Email Cleaner'!$B$2:$B$10001,MATCH(8694,'Email Cleaner'!$H$2:$H$10001,0)),"")</f>
        <v/>
      </c>
    </row>
    <row r="8696">
      <c r="A8696">
        <f>IFERROR(INDEX('Email Cleaner'!$B$2:$B$10001,MATCH(8695,'Email Cleaner'!$H$2:$H$10001,0)),"")</f>
        <v/>
      </c>
    </row>
    <row r="8697">
      <c r="A8697">
        <f>IFERROR(INDEX('Email Cleaner'!$B$2:$B$10001,MATCH(8696,'Email Cleaner'!$H$2:$H$10001,0)),"")</f>
        <v/>
      </c>
    </row>
    <row r="8698">
      <c r="A8698">
        <f>IFERROR(INDEX('Email Cleaner'!$B$2:$B$10001,MATCH(8697,'Email Cleaner'!$H$2:$H$10001,0)),"")</f>
        <v/>
      </c>
    </row>
    <row r="8699">
      <c r="A8699">
        <f>IFERROR(INDEX('Email Cleaner'!$B$2:$B$10001,MATCH(8698,'Email Cleaner'!$H$2:$H$10001,0)),"")</f>
        <v/>
      </c>
    </row>
    <row r="8700">
      <c r="A8700">
        <f>IFERROR(INDEX('Email Cleaner'!$B$2:$B$10001,MATCH(8699,'Email Cleaner'!$H$2:$H$10001,0)),"")</f>
        <v/>
      </c>
    </row>
    <row r="8701">
      <c r="A8701">
        <f>IFERROR(INDEX('Email Cleaner'!$B$2:$B$10001,MATCH(8700,'Email Cleaner'!$H$2:$H$10001,0)),"")</f>
        <v/>
      </c>
    </row>
    <row r="8702">
      <c r="A8702">
        <f>IFERROR(INDEX('Email Cleaner'!$B$2:$B$10001,MATCH(8701,'Email Cleaner'!$H$2:$H$10001,0)),"")</f>
        <v/>
      </c>
    </row>
    <row r="8703">
      <c r="A8703">
        <f>IFERROR(INDEX('Email Cleaner'!$B$2:$B$10001,MATCH(8702,'Email Cleaner'!$H$2:$H$10001,0)),"")</f>
        <v/>
      </c>
    </row>
    <row r="8704">
      <c r="A8704">
        <f>IFERROR(INDEX('Email Cleaner'!$B$2:$B$10001,MATCH(8703,'Email Cleaner'!$H$2:$H$10001,0)),"")</f>
        <v/>
      </c>
    </row>
    <row r="8705">
      <c r="A8705">
        <f>IFERROR(INDEX('Email Cleaner'!$B$2:$B$10001,MATCH(8704,'Email Cleaner'!$H$2:$H$10001,0)),"")</f>
        <v/>
      </c>
    </row>
    <row r="8706">
      <c r="A8706">
        <f>IFERROR(INDEX('Email Cleaner'!$B$2:$B$10001,MATCH(8705,'Email Cleaner'!$H$2:$H$10001,0)),"")</f>
        <v/>
      </c>
    </row>
    <row r="8707">
      <c r="A8707">
        <f>IFERROR(INDEX('Email Cleaner'!$B$2:$B$10001,MATCH(8706,'Email Cleaner'!$H$2:$H$10001,0)),"")</f>
        <v/>
      </c>
    </row>
    <row r="8708">
      <c r="A8708">
        <f>IFERROR(INDEX('Email Cleaner'!$B$2:$B$10001,MATCH(8707,'Email Cleaner'!$H$2:$H$10001,0)),"")</f>
        <v/>
      </c>
    </row>
    <row r="8709">
      <c r="A8709">
        <f>IFERROR(INDEX('Email Cleaner'!$B$2:$B$10001,MATCH(8708,'Email Cleaner'!$H$2:$H$10001,0)),"")</f>
        <v/>
      </c>
    </row>
    <row r="8710">
      <c r="A8710">
        <f>IFERROR(INDEX('Email Cleaner'!$B$2:$B$10001,MATCH(8709,'Email Cleaner'!$H$2:$H$10001,0)),"")</f>
        <v/>
      </c>
    </row>
    <row r="8711">
      <c r="A8711">
        <f>IFERROR(INDEX('Email Cleaner'!$B$2:$B$10001,MATCH(8710,'Email Cleaner'!$H$2:$H$10001,0)),"")</f>
        <v/>
      </c>
    </row>
    <row r="8712">
      <c r="A8712">
        <f>IFERROR(INDEX('Email Cleaner'!$B$2:$B$10001,MATCH(8711,'Email Cleaner'!$H$2:$H$10001,0)),"")</f>
        <v/>
      </c>
    </row>
    <row r="8713">
      <c r="A8713">
        <f>IFERROR(INDEX('Email Cleaner'!$B$2:$B$10001,MATCH(8712,'Email Cleaner'!$H$2:$H$10001,0)),"")</f>
        <v/>
      </c>
    </row>
    <row r="8714">
      <c r="A8714">
        <f>IFERROR(INDEX('Email Cleaner'!$B$2:$B$10001,MATCH(8713,'Email Cleaner'!$H$2:$H$10001,0)),"")</f>
        <v/>
      </c>
    </row>
    <row r="8715">
      <c r="A8715">
        <f>IFERROR(INDEX('Email Cleaner'!$B$2:$B$10001,MATCH(8714,'Email Cleaner'!$H$2:$H$10001,0)),"")</f>
        <v/>
      </c>
    </row>
    <row r="8716">
      <c r="A8716">
        <f>IFERROR(INDEX('Email Cleaner'!$B$2:$B$10001,MATCH(8715,'Email Cleaner'!$H$2:$H$10001,0)),"")</f>
        <v/>
      </c>
    </row>
    <row r="8717">
      <c r="A8717">
        <f>IFERROR(INDEX('Email Cleaner'!$B$2:$B$10001,MATCH(8716,'Email Cleaner'!$H$2:$H$10001,0)),"")</f>
        <v/>
      </c>
    </row>
    <row r="8718">
      <c r="A8718">
        <f>IFERROR(INDEX('Email Cleaner'!$B$2:$B$10001,MATCH(8717,'Email Cleaner'!$H$2:$H$10001,0)),"")</f>
        <v/>
      </c>
    </row>
    <row r="8719">
      <c r="A8719">
        <f>IFERROR(INDEX('Email Cleaner'!$B$2:$B$10001,MATCH(8718,'Email Cleaner'!$H$2:$H$10001,0)),"")</f>
        <v/>
      </c>
    </row>
    <row r="8720">
      <c r="A8720">
        <f>IFERROR(INDEX('Email Cleaner'!$B$2:$B$10001,MATCH(8719,'Email Cleaner'!$H$2:$H$10001,0)),"")</f>
        <v/>
      </c>
    </row>
    <row r="8721">
      <c r="A8721">
        <f>IFERROR(INDEX('Email Cleaner'!$B$2:$B$10001,MATCH(8720,'Email Cleaner'!$H$2:$H$10001,0)),"")</f>
        <v/>
      </c>
    </row>
    <row r="8722">
      <c r="A8722">
        <f>IFERROR(INDEX('Email Cleaner'!$B$2:$B$10001,MATCH(8721,'Email Cleaner'!$H$2:$H$10001,0)),"")</f>
        <v/>
      </c>
    </row>
    <row r="8723">
      <c r="A8723">
        <f>IFERROR(INDEX('Email Cleaner'!$B$2:$B$10001,MATCH(8722,'Email Cleaner'!$H$2:$H$10001,0)),"")</f>
        <v/>
      </c>
    </row>
    <row r="8724">
      <c r="A8724">
        <f>IFERROR(INDEX('Email Cleaner'!$B$2:$B$10001,MATCH(8723,'Email Cleaner'!$H$2:$H$10001,0)),"")</f>
        <v/>
      </c>
    </row>
    <row r="8725">
      <c r="A8725">
        <f>IFERROR(INDEX('Email Cleaner'!$B$2:$B$10001,MATCH(8724,'Email Cleaner'!$H$2:$H$10001,0)),"")</f>
        <v/>
      </c>
    </row>
    <row r="8726">
      <c r="A8726">
        <f>IFERROR(INDEX('Email Cleaner'!$B$2:$B$10001,MATCH(8725,'Email Cleaner'!$H$2:$H$10001,0)),"")</f>
        <v/>
      </c>
    </row>
    <row r="8727">
      <c r="A8727">
        <f>IFERROR(INDEX('Email Cleaner'!$B$2:$B$10001,MATCH(8726,'Email Cleaner'!$H$2:$H$10001,0)),"")</f>
        <v/>
      </c>
    </row>
    <row r="8728">
      <c r="A8728">
        <f>IFERROR(INDEX('Email Cleaner'!$B$2:$B$10001,MATCH(8727,'Email Cleaner'!$H$2:$H$10001,0)),"")</f>
        <v/>
      </c>
    </row>
    <row r="8729">
      <c r="A8729">
        <f>IFERROR(INDEX('Email Cleaner'!$B$2:$B$10001,MATCH(8728,'Email Cleaner'!$H$2:$H$10001,0)),"")</f>
        <v/>
      </c>
    </row>
    <row r="8730">
      <c r="A8730">
        <f>IFERROR(INDEX('Email Cleaner'!$B$2:$B$10001,MATCH(8729,'Email Cleaner'!$H$2:$H$10001,0)),"")</f>
        <v/>
      </c>
    </row>
    <row r="8731">
      <c r="A8731">
        <f>IFERROR(INDEX('Email Cleaner'!$B$2:$B$10001,MATCH(8730,'Email Cleaner'!$H$2:$H$10001,0)),"")</f>
        <v/>
      </c>
    </row>
    <row r="8732">
      <c r="A8732">
        <f>IFERROR(INDEX('Email Cleaner'!$B$2:$B$10001,MATCH(8731,'Email Cleaner'!$H$2:$H$10001,0)),"")</f>
        <v/>
      </c>
    </row>
    <row r="8733">
      <c r="A8733">
        <f>IFERROR(INDEX('Email Cleaner'!$B$2:$B$10001,MATCH(8732,'Email Cleaner'!$H$2:$H$10001,0)),"")</f>
        <v/>
      </c>
    </row>
    <row r="8734">
      <c r="A8734">
        <f>IFERROR(INDEX('Email Cleaner'!$B$2:$B$10001,MATCH(8733,'Email Cleaner'!$H$2:$H$10001,0)),"")</f>
        <v/>
      </c>
    </row>
    <row r="8735">
      <c r="A8735">
        <f>IFERROR(INDEX('Email Cleaner'!$B$2:$B$10001,MATCH(8734,'Email Cleaner'!$H$2:$H$10001,0)),"")</f>
        <v/>
      </c>
    </row>
    <row r="8736">
      <c r="A8736">
        <f>IFERROR(INDEX('Email Cleaner'!$B$2:$B$10001,MATCH(8735,'Email Cleaner'!$H$2:$H$10001,0)),"")</f>
        <v/>
      </c>
    </row>
    <row r="8737">
      <c r="A8737">
        <f>IFERROR(INDEX('Email Cleaner'!$B$2:$B$10001,MATCH(8736,'Email Cleaner'!$H$2:$H$10001,0)),"")</f>
        <v/>
      </c>
    </row>
    <row r="8738">
      <c r="A8738">
        <f>IFERROR(INDEX('Email Cleaner'!$B$2:$B$10001,MATCH(8737,'Email Cleaner'!$H$2:$H$10001,0)),"")</f>
        <v/>
      </c>
    </row>
    <row r="8739">
      <c r="A8739">
        <f>IFERROR(INDEX('Email Cleaner'!$B$2:$B$10001,MATCH(8738,'Email Cleaner'!$H$2:$H$10001,0)),"")</f>
        <v/>
      </c>
    </row>
    <row r="8740">
      <c r="A8740">
        <f>IFERROR(INDEX('Email Cleaner'!$B$2:$B$10001,MATCH(8739,'Email Cleaner'!$H$2:$H$10001,0)),"")</f>
        <v/>
      </c>
    </row>
    <row r="8741">
      <c r="A8741">
        <f>IFERROR(INDEX('Email Cleaner'!$B$2:$B$10001,MATCH(8740,'Email Cleaner'!$H$2:$H$10001,0)),"")</f>
        <v/>
      </c>
    </row>
    <row r="8742">
      <c r="A8742">
        <f>IFERROR(INDEX('Email Cleaner'!$B$2:$B$10001,MATCH(8741,'Email Cleaner'!$H$2:$H$10001,0)),"")</f>
        <v/>
      </c>
    </row>
    <row r="8743">
      <c r="A8743">
        <f>IFERROR(INDEX('Email Cleaner'!$B$2:$B$10001,MATCH(8742,'Email Cleaner'!$H$2:$H$10001,0)),"")</f>
        <v/>
      </c>
    </row>
    <row r="8744">
      <c r="A8744">
        <f>IFERROR(INDEX('Email Cleaner'!$B$2:$B$10001,MATCH(8743,'Email Cleaner'!$H$2:$H$10001,0)),"")</f>
        <v/>
      </c>
    </row>
    <row r="8745">
      <c r="A8745">
        <f>IFERROR(INDEX('Email Cleaner'!$B$2:$B$10001,MATCH(8744,'Email Cleaner'!$H$2:$H$10001,0)),"")</f>
        <v/>
      </c>
    </row>
    <row r="8746">
      <c r="A8746">
        <f>IFERROR(INDEX('Email Cleaner'!$B$2:$B$10001,MATCH(8745,'Email Cleaner'!$H$2:$H$10001,0)),"")</f>
        <v/>
      </c>
    </row>
    <row r="8747">
      <c r="A8747">
        <f>IFERROR(INDEX('Email Cleaner'!$B$2:$B$10001,MATCH(8746,'Email Cleaner'!$H$2:$H$10001,0)),"")</f>
        <v/>
      </c>
    </row>
    <row r="8748">
      <c r="A8748">
        <f>IFERROR(INDEX('Email Cleaner'!$B$2:$B$10001,MATCH(8747,'Email Cleaner'!$H$2:$H$10001,0)),"")</f>
        <v/>
      </c>
    </row>
    <row r="8749">
      <c r="A8749">
        <f>IFERROR(INDEX('Email Cleaner'!$B$2:$B$10001,MATCH(8748,'Email Cleaner'!$H$2:$H$10001,0)),"")</f>
        <v/>
      </c>
    </row>
    <row r="8750">
      <c r="A8750">
        <f>IFERROR(INDEX('Email Cleaner'!$B$2:$B$10001,MATCH(8749,'Email Cleaner'!$H$2:$H$10001,0)),"")</f>
        <v/>
      </c>
    </row>
    <row r="8751">
      <c r="A8751">
        <f>IFERROR(INDEX('Email Cleaner'!$B$2:$B$10001,MATCH(8750,'Email Cleaner'!$H$2:$H$10001,0)),"")</f>
        <v/>
      </c>
    </row>
    <row r="8752">
      <c r="A8752">
        <f>IFERROR(INDEX('Email Cleaner'!$B$2:$B$10001,MATCH(8751,'Email Cleaner'!$H$2:$H$10001,0)),"")</f>
        <v/>
      </c>
    </row>
    <row r="8753">
      <c r="A8753">
        <f>IFERROR(INDEX('Email Cleaner'!$B$2:$B$10001,MATCH(8752,'Email Cleaner'!$H$2:$H$10001,0)),"")</f>
        <v/>
      </c>
    </row>
    <row r="8754">
      <c r="A8754">
        <f>IFERROR(INDEX('Email Cleaner'!$B$2:$B$10001,MATCH(8753,'Email Cleaner'!$H$2:$H$10001,0)),"")</f>
        <v/>
      </c>
    </row>
    <row r="8755">
      <c r="A8755">
        <f>IFERROR(INDEX('Email Cleaner'!$B$2:$B$10001,MATCH(8754,'Email Cleaner'!$H$2:$H$10001,0)),"")</f>
        <v/>
      </c>
    </row>
    <row r="8756">
      <c r="A8756">
        <f>IFERROR(INDEX('Email Cleaner'!$B$2:$B$10001,MATCH(8755,'Email Cleaner'!$H$2:$H$10001,0)),"")</f>
        <v/>
      </c>
    </row>
    <row r="8757">
      <c r="A8757">
        <f>IFERROR(INDEX('Email Cleaner'!$B$2:$B$10001,MATCH(8756,'Email Cleaner'!$H$2:$H$10001,0)),"")</f>
        <v/>
      </c>
    </row>
    <row r="8758">
      <c r="A8758">
        <f>IFERROR(INDEX('Email Cleaner'!$B$2:$B$10001,MATCH(8757,'Email Cleaner'!$H$2:$H$10001,0)),"")</f>
        <v/>
      </c>
    </row>
    <row r="8759">
      <c r="A8759">
        <f>IFERROR(INDEX('Email Cleaner'!$B$2:$B$10001,MATCH(8758,'Email Cleaner'!$H$2:$H$10001,0)),"")</f>
        <v/>
      </c>
    </row>
    <row r="8760">
      <c r="A8760">
        <f>IFERROR(INDEX('Email Cleaner'!$B$2:$B$10001,MATCH(8759,'Email Cleaner'!$H$2:$H$10001,0)),"")</f>
        <v/>
      </c>
    </row>
    <row r="8761">
      <c r="A8761">
        <f>IFERROR(INDEX('Email Cleaner'!$B$2:$B$10001,MATCH(8760,'Email Cleaner'!$H$2:$H$10001,0)),"")</f>
        <v/>
      </c>
    </row>
    <row r="8762">
      <c r="A8762">
        <f>IFERROR(INDEX('Email Cleaner'!$B$2:$B$10001,MATCH(8761,'Email Cleaner'!$H$2:$H$10001,0)),"")</f>
        <v/>
      </c>
    </row>
    <row r="8763">
      <c r="A8763">
        <f>IFERROR(INDEX('Email Cleaner'!$B$2:$B$10001,MATCH(8762,'Email Cleaner'!$H$2:$H$10001,0)),"")</f>
        <v/>
      </c>
    </row>
    <row r="8764">
      <c r="A8764">
        <f>IFERROR(INDEX('Email Cleaner'!$B$2:$B$10001,MATCH(8763,'Email Cleaner'!$H$2:$H$10001,0)),"")</f>
        <v/>
      </c>
    </row>
    <row r="8765">
      <c r="A8765">
        <f>IFERROR(INDEX('Email Cleaner'!$B$2:$B$10001,MATCH(8764,'Email Cleaner'!$H$2:$H$10001,0)),"")</f>
        <v/>
      </c>
    </row>
    <row r="8766">
      <c r="A8766">
        <f>IFERROR(INDEX('Email Cleaner'!$B$2:$B$10001,MATCH(8765,'Email Cleaner'!$H$2:$H$10001,0)),"")</f>
        <v/>
      </c>
    </row>
    <row r="8767">
      <c r="A8767">
        <f>IFERROR(INDEX('Email Cleaner'!$B$2:$B$10001,MATCH(8766,'Email Cleaner'!$H$2:$H$10001,0)),"")</f>
        <v/>
      </c>
    </row>
    <row r="8768">
      <c r="A8768">
        <f>IFERROR(INDEX('Email Cleaner'!$B$2:$B$10001,MATCH(8767,'Email Cleaner'!$H$2:$H$10001,0)),"")</f>
        <v/>
      </c>
    </row>
    <row r="8769">
      <c r="A8769">
        <f>IFERROR(INDEX('Email Cleaner'!$B$2:$B$10001,MATCH(8768,'Email Cleaner'!$H$2:$H$10001,0)),"")</f>
        <v/>
      </c>
    </row>
    <row r="8770">
      <c r="A8770">
        <f>IFERROR(INDEX('Email Cleaner'!$B$2:$B$10001,MATCH(8769,'Email Cleaner'!$H$2:$H$10001,0)),"")</f>
        <v/>
      </c>
    </row>
    <row r="8771">
      <c r="A8771">
        <f>IFERROR(INDEX('Email Cleaner'!$B$2:$B$10001,MATCH(8770,'Email Cleaner'!$H$2:$H$10001,0)),"")</f>
        <v/>
      </c>
    </row>
    <row r="8772">
      <c r="A8772">
        <f>IFERROR(INDEX('Email Cleaner'!$B$2:$B$10001,MATCH(8771,'Email Cleaner'!$H$2:$H$10001,0)),"")</f>
        <v/>
      </c>
    </row>
    <row r="8773">
      <c r="A8773">
        <f>IFERROR(INDEX('Email Cleaner'!$B$2:$B$10001,MATCH(8772,'Email Cleaner'!$H$2:$H$10001,0)),"")</f>
        <v/>
      </c>
    </row>
    <row r="8774">
      <c r="A8774">
        <f>IFERROR(INDEX('Email Cleaner'!$B$2:$B$10001,MATCH(8773,'Email Cleaner'!$H$2:$H$10001,0)),"")</f>
        <v/>
      </c>
    </row>
    <row r="8775">
      <c r="A8775">
        <f>IFERROR(INDEX('Email Cleaner'!$B$2:$B$10001,MATCH(8774,'Email Cleaner'!$H$2:$H$10001,0)),"")</f>
        <v/>
      </c>
    </row>
    <row r="8776">
      <c r="A8776">
        <f>IFERROR(INDEX('Email Cleaner'!$B$2:$B$10001,MATCH(8775,'Email Cleaner'!$H$2:$H$10001,0)),"")</f>
        <v/>
      </c>
    </row>
    <row r="8777">
      <c r="A8777">
        <f>IFERROR(INDEX('Email Cleaner'!$B$2:$B$10001,MATCH(8776,'Email Cleaner'!$H$2:$H$10001,0)),"")</f>
        <v/>
      </c>
    </row>
    <row r="8778">
      <c r="A8778">
        <f>IFERROR(INDEX('Email Cleaner'!$B$2:$B$10001,MATCH(8777,'Email Cleaner'!$H$2:$H$10001,0)),"")</f>
        <v/>
      </c>
    </row>
    <row r="8779">
      <c r="A8779">
        <f>IFERROR(INDEX('Email Cleaner'!$B$2:$B$10001,MATCH(8778,'Email Cleaner'!$H$2:$H$10001,0)),"")</f>
        <v/>
      </c>
    </row>
    <row r="8780">
      <c r="A8780">
        <f>IFERROR(INDEX('Email Cleaner'!$B$2:$B$10001,MATCH(8779,'Email Cleaner'!$H$2:$H$10001,0)),"")</f>
        <v/>
      </c>
    </row>
    <row r="8781">
      <c r="A8781">
        <f>IFERROR(INDEX('Email Cleaner'!$B$2:$B$10001,MATCH(8780,'Email Cleaner'!$H$2:$H$10001,0)),"")</f>
        <v/>
      </c>
    </row>
    <row r="8782">
      <c r="A8782">
        <f>IFERROR(INDEX('Email Cleaner'!$B$2:$B$10001,MATCH(8781,'Email Cleaner'!$H$2:$H$10001,0)),"")</f>
        <v/>
      </c>
    </row>
    <row r="8783">
      <c r="A8783">
        <f>IFERROR(INDEX('Email Cleaner'!$B$2:$B$10001,MATCH(8782,'Email Cleaner'!$H$2:$H$10001,0)),"")</f>
        <v/>
      </c>
    </row>
    <row r="8784">
      <c r="A8784">
        <f>IFERROR(INDEX('Email Cleaner'!$B$2:$B$10001,MATCH(8783,'Email Cleaner'!$H$2:$H$10001,0)),"")</f>
        <v/>
      </c>
    </row>
    <row r="8785">
      <c r="A8785">
        <f>IFERROR(INDEX('Email Cleaner'!$B$2:$B$10001,MATCH(8784,'Email Cleaner'!$H$2:$H$10001,0)),"")</f>
        <v/>
      </c>
    </row>
    <row r="8786">
      <c r="A8786">
        <f>IFERROR(INDEX('Email Cleaner'!$B$2:$B$10001,MATCH(8785,'Email Cleaner'!$H$2:$H$10001,0)),"")</f>
        <v/>
      </c>
    </row>
    <row r="8787">
      <c r="A8787">
        <f>IFERROR(INDEX('Email Cleaner'!$B$2:$B$10001,MATCH(8786,'Email Cleaner'!$H$2:$H$10001,0)),"")</f>
        <v/>
      </c>
    </row>
    <row r="8788">
      <c r="A8788">
        <f>IFERROR(INDEX('Email Cleaner'!$B$2:$B$10001,MATCH(8787,'Email Cleaner'!$H$2:$H$10001,0)),"")</f>
        <v/>
      </c>
    </row>
    <row r="8789">
      <c r="A8789">
        <f>IFERROR(INDEX('Email Cleaner'!$B$2:$B$10001,MATCH(8788,'Email Cleaner'!$H$2:$H$10001,0)),"")</f>
        <v/>
      </c>
    </row>
    <row r="8790">
      <c r="A8790">
        <f>IFERROR(INDEX('Email Cleaner'!$B$2:$B$10001,MATCH(8789,'Email Cleaner'!$H$2:$H$10001,0)),"")</f>
        <v/>
      </c>
    </row>
    <row r="8791">
      <c r="A8791">
        <f>IFERROR(INDEX('Email Cleaner'!$B$2:$B$10001,MATCH(8790,'Email Cleaner'!$H$2:$H$10001,0)),"")</f>
        <v/>
      </c>
    </row>
    <row r="8792">
      <c r="A8792">
        <f>IFERROR(INDEX('Email Cleaner'!$B$2:$B$10001,MATCH(8791,'Email Cleaner'!$H$2:$H$10001,0)),"")</f>
        <v/>
      </c>
    </row>
    <row r="8793">
      <c r="A8793">
        <f>IFERROR(INDEX('Email Cleaner'!$B$2:$B$10001,MATCH(8792,'Email Cleaner'!$H$2:$H$10001,0)),"")</f>
        <v/>
      </c>
    </row>
    <row r="8794">
      <c r="A8794">
        <f>IFERROR(INDEX('Email Cleaner'!$B$2:$B$10001,MATCH(8793,'Email Cleaner'!$H$2:$H$10001,0)),"")</f>
        <v/>
      </c>
    </row>
    <row r="8795">
      <c r="A8795">
        <f>IFERROR(INDEX('Email Cleaner'!$B$2:$B$10001,MATCH(8794,'Email Cleaner'!$H$2:$H$10001,0)),"")</f>
        <v/>
      </c>
    </row>
    <row r="8796">
      <c r="A8796">
        <f>IFERROR(INDEX('Email Cleaner'!$B$2:$B$10001,MATCH(8795,'Email Cleaner'!$H$2:$H$10001,0)),"")</f>
        <v/>
      </c>
    </row>
    <row r="8797">
      <c r="A8797">
        <f>IFERROR(INDEX('Email Cleaner'!$B$2:$B$10001,MATCH(8796,'Email Cleaner'!$H$2:$H$10001,0)),"")</f>
        <v/>
      </c>
    </row>
    <row r="8798">
      <c r="A8798">
        <f>IFERROR(INDEX('Email Cleaner'!$B$2:$B$10001,MATCH(8797,'Email Cleaner'!$H$2:$H$10001,0)),"")</f>
        <v/>
      </c>
    </row>
    <row r="8799">
      <c r="A8799">
        <f>IFERROR(INDEX('Email Cleaner'!$B$2:$B$10001,MATCH(8798,'Email Cleaner'!$H$2:$H$10001,0)),"")</f>
        <v/>
      </c>
    </row>
    <row r="8800">
      <c r="A8800">
        <f>IFERROR(INDEX('Email Cleaner'!$B$2:$B$10001,MATCH(8799,'Email Cleaner'!$H$2:$H$10001,0)),"")</f>
        <v/>
      </c>
    </row>
    <row r="8801">
      <c r="A8801">
        <f>IFERROR(INDEX('Email Cleaner'!$B$2:$B$10001,MATCH(8800,'Email Cleaner'!$H$2:$H$10001,0)),"")</f>
        <v/>
      </c>
    </row>
    <row r="8802">
      <c r="A8802">
        <f>IFERROR(INDEX('Email Cleaner'!$B$2:$B$10001,MATCH(8801,'Email Cleaner'!$H$2:$H$10001,0)),"")</f>
        <v/>
      </c>
    </row>
    <row r="8803">
      <c r="A8803">
        <f>IFERROR(INDEX('Email Cleaner'!$B$2:$B$10001,MATCH(8802,'Email Cleaner'!$H$2:$H$10001,0)),"")</f>
        <v/>
      </c>
    </row>
    <row r="8804">
      <c r="A8804">
        <f>IFERROR(INDEX('Email Cleaner'!$B$2:$B$10001,MATCH(8803,'Email Cleaner'!$H$2:$H$10001,0)),"")</f>
        <v/>
      </c>
    </row>
    <row r="8805">
      <c r="A8805">
        <f>IFERROR(INDEX('Email Cleaner'!$B$2:$B$10001,MATCH(8804,'Email Cleaner'!$H$2:$H$10001,0)),"")</f>
        <v/>
      </c>
    </row>
    <row r="8806">
      <c r="A8806">
        <f>IFERROR(INDEX('Email Cleaner'!$B$2:$B$10001,MATCH(8805,'Email Cleaner'!$H$2:$H$10001,0)),"")</f>
        <v/>
      </c>
    </row>
    <row r="8807">
      <c r="A8807">
        <f>IFERROR(INDEX('Email Cleaner'!$B$2:$B$10001,MATCH(8806,'Email Cleaner'!$H$2:$H$10001,0)),"")</f>
        <v/>
      </c>
    </row>
    <row r="8808">
      <c r="A8808">
        <f>IFERROR(INDEX('Email Cleaner'!$B$2:$B$10001,MATCH(8807,'Email Cleaner'!$H$2:$H$10001,0)),"")</f>
        <v/>
      </c>
    </row>
    <row r="8809">
      <c r="A8809">
        <f>IFERROR(INDEX('Email Cleaner'!$B$2:$B$10001,MATCH(8808,'Email Cleaner'!$H$2:$H$10001,0)),"")</f>
        <v/>
      </c>
    </row>
    <row r="8810">
      <c r="A8810">
        <f>IFERROR(INDEX('Email Cleaner'!$B$2:$B$10001,MATCH(8809,'Email Cleaner'!$H$2:$H$10001,0)),"")</f>
        <v/>
      </c>
    </row>
    <row r="8811">
      <c r="A8811">
        <f>IFERROR(INDEX('Email Cleaner'!$B$2:$B$10001,MATCH(8810,'Email Cleaner'!$H$2:$H$10001,0)),"")</f>
        <v/>
      </c>
    </row>
    <row r="8812">
      <c r="A8812">
        <f>IFERROR(INDEX('Email Cleaner'!$B$2:$B$10001,MATCH(8811,'Email Cleaner'!$H$2:$H$10001,0)),"")</f>
        <v/>
      </c>
    </row>
    <row r="8813">
      <c r="A8813">
        <f>IFERROR(INDEX('Email Cleaner'!$B$2:$B$10001,MATCH(8812,'Email Cleaner'!$H$2:$H$10001,0)),"")</f>
        <v/>
      </c>
    </row>
    <row r="8814">
      <c r="A8814">
        <f>IFERROR(INDEX('Email Cleaner'!$B$2:$B$10001,MATCH(8813,'Email Cleaner'!$H$2:$H$10001,0)),"")</f>
        <v/>
      </c>
    </row>
    <row r="8815">
      <c r="A8815">
        <f>IFERROR(INDEX('Email Cleaner'!$B$2:$B$10001,MATCH(8814,'Email Cleaner'!$H$2:$H$10001,0)),"")</f>
        <v/>
      </c>
    </row>
    <row r="8816">
      <c r="A8816">
        <f>IFERROR(INDEX('Email Cleaner'!$B$2:$B$10001,MATCH(8815,'Email Cleaner'!$H$2:$H$10001,0)),"")</f>
        <v/>
      </c>
    </row>
    <row r="8817">
      <c r="A8817">
        <f>IFERROR(INDEX('Email Cleaner'!$B$2:$B$10001,MATCH(8816,'Email Cleaner'!$H$2:$H$10001,0)),"")</f>
        <v/>
      </c>
    </row>
    <row r="8818">
      <c r="A8818">
        <f>IFERROR(INDEX('Email Cleaner'!$B$2:$B$10001,MATCH(8817,'Email Cleaner'!$H$2:$H$10001,0)),"")</f>
        <v/>
      </c>
    </row>
    <row r="8819">
      <c r="A8819">
        <f>IFERROR(INDEX('Email Cleaner'!$B$2:$B$10001,MATCH(8818,'Email Cleaner'!$H$2:$H$10001,0)),"")</f>
        <v/>
      </c>
    </row>
    <row r="8820">
      <c r="A8820">
        <f>IFERROR(INDEX('Email Cleaner'!$B$2:$B$10001,MATCH(8819,'Email Cleaner'!$H$2:$H$10001,0)),"")</f>
        <v/>
      </c>
    </row>
    <row r="8821">
      <c r="A8821">
        <f>IFERROR(INDEX('Email Cleaner'!$B$2:$B$10001,MATCH(8820,'Email Cleaner'!$H$2:$H$10001,0)),"")</f>
        <v/>
      </c>
    </row>
    <row r="8822">
      <c r="A8822">
        <f>IFERROR(INDEX('Email Cleaner'!$B$2:$B$10001,MATCH(8821,'Email Cleaner'!$H$2:$H$10001,0)),"")</f>
        <v/>
      </c>
    </row>
    <row r="8823">
      <c r="A8823">
        <f>IFERROR(INDEX('Email Cleaner'!$B$2:$B$10001,MATCH(8822,'Email Cleaner'!$H$2:$H$10001,0)),"")</f>
        <v/>
      </c>
    </row>
    <row r="8824">
      <c r="A8824">
        <f>IFERROR(INDEX('Email Cleaner'!$B$2:$B$10001,MATCH(8823,'Email Cleaner'!$H$2:$H$10001,0)),"")</f>
        <v/>
      </c>
    </row>
    <row r="8825">
      <c r="A8825">
        <f>IFERROR(INDEX('Email Cleaner'!$B$2:$B$10001,MATCH(8824,'Email Cleaner'!$H$2:$H$10001,0)),"")</f>
        <v/>
      </c>
    </row>
    <row r="8826">
      <c r="A8826">
        <f>IFERROR(INDEX('Email Cleaner'!$B$2:$B$10001,MATCH(8825,'Email Cleaner'!$H$2:$H$10001,0)),"")</f>
        <v/>
      </c>
    </row>
    <row r="8827">
      <c r="A8827">
        <f>IFERROR(INDEX('Email Cleaner'!$B$2:$B$10001,MATCH(8826,'Email Cleaner'!$H$2:$H$10001,0)),"")</f>
        <v/>
      </c>
    </row>
    <row r="8828">
      <c r="A8828">
        <f>IFERROR(INDEX('Email Cleaner'!$B$2:$B$10001,MATCH(8827,'Email Cleaner'!$H$2:$H$10001,0)),"")</f>
        <v/>
      </c>
    </row>
    <row r="8829">
      <c r="A8829">
        <f>IFERROR(INDEX('Email Cleaner'!$B$2:$B$10001,MATCH(8828,'Email Cleaner'!$H$2:$H$10001,0)),"")</f>
        <v/>
      </c>
    </row>
    <row r="8830">
      <c r="A8830">
        <f>IFERROR(INDEX('Email Cleaner'!$B$2:$B$10001,MATCH(8829,'Email Cleaner'!$H$2:$H$10001,0)),"")</f>
        <v/>
      </c>
    </row>
    <row r="8831">
      <c r="A8831">
        <f>IFERROR(INDEX('Email Cleaner'!$B$2:$B$10001,MATCH(8830,'Email Cleaner'!$H$2:$H$10001,0)),"")</f>
        <v/>
      </c>
    </row>
    <row r="8832">
      <c r="A8832">
        <f>IFERROR(INDEX('Email Cleaner'!$B$2:$B$10001,MATCH(8831,'Email Cleaner'!$H$2:$H$10001,0)),"")</f>
        <v/>
      </c>
    </row>
    <row r="8833">
      <c r="A8833">
        <f>IFERROR(INDEX('Email Cleaner'!$B$2:$B$10001,MATCH(8832,'Email Cleaner'!$H$2:$H$10001,0)),"")</f>
        <v/>
      </c>
    </row>
    <row r="8834">
      <c r="A8834">
        <f>IFERROR(INDEX('Email Cleaner'!$B$2:$B$10001,MATCH(8833,'Email Cleaner'!$H$2:$H$10001,0)),"")</f>
        <v/>
      </c>
    </row>
    <row r="8835">
      <c r="A8835">
        <f>IFERROR(INDEX('Email Cleaner'!$B$2:$B$10001,MATCH(8834,'Email Cleaner'!$H$2:$H$10001,0)),"")</f>
        <v/>
      </c>
    </row>
    <row r="8836">
      <c r="A8836">
        <f>IFERROR(INDEX('Email Cleaner'!$B$2:$B$10001,MATCH(8835,'Email Cleaner'!$H$2:$H$10001,0)),"")</f>
        <v/>
      </c>
    </row>
    <row r="8837">
      <c r="A8837">
        <f>IFERROR(INDEX('Email Cleaner'!$B$2:$B$10001,MATCH(8836,'Email Cleaner'!$H$2:$H$10001,0)),"")</f>
        <v/>
      </c>
    </row>
    <row r="8838">
      <c r="A8838">
        <f>IFERROR(INDEX('Email Cleaner'!$B$2:$B$10001,MATCH(8837,'Email Cleaner'!$H$2:$H$10001,0)),"")</f>
        <v/>
      </c>
    </row>
    <row r="8839">
      <c r="A8839">
        <f>IFERROR(INDEX('Email Cleaner'!$B$2:$B$10001,MATCH(8838,'Email Cleaner'!$H$2:$H$10001,0)),"")</f>
        <v/>
      </c>
    </row>
    <row r="8840">
      <c r="A8840">
        <f>IFERROR(INDEX('Email Cleaner'!$B$2:$B$10001,MATCH(8839,'Email Cleaner'!$H$2:$H$10001,0)),"")</f>
        <v/>
      </c>
    </row>
    <row r="8841">
      <c r="A8841">
        <f>IFERROR(INDEX('Email Cleaner'!$B$2:$B$10001,MATCH(8840,'Email Cleaner'!$H$2:$H$10001,0)),"")</f>
        <v/>
      </c>
    </row>
    <row r="8842">
      <c r="A8842">
        <f>IFERROR(INDEX('Email Cleaner'!$B$2:$B$10001,MATCH(8841,'Email Cleaner'!$H$2:$H$10001,0)),"")</f>
        <v/>
      </c>
    </row>
    <row r="8843">
      <c r="A8843">
        <f>IFERROR(INDEX('Email Cleaner'!$B$2:$B$10001,MATCH(8842,'Email Cleaner'!$H$2:$H$10001,0)),"")</f>
        <v/>
      </c>
    </row>
    <row r="8844">
      <c r="A8844">
        <f>IFERROR(INDEX('Email Cleaner'!$B$2:$B$10001,MATCH(8843,'Email Cleaner'!$H$2:$H$10001,0)),"")</f>
        <v/>
      </c>
    </row>
    <row r="8845">
      <c r="A8845">
        <f>IFERROR(INDEX('Email Cleaner'!$B$2:$B$10001,MATCH(8844,'Email Cleaner'!$H$2:$H$10001,0)),"")</f>
        <v/>
      </c>
    </row>
    <row r="8846">
      <c r="A8846">
        <f>IFERROR(INDEX('Email Cleaner'!$B$2:$B$10001,MATCH(8845,'Email Cleaner'!$H$2:$H$10001,0)),"")</f>
        <v/>
      </c>
    </row>
    <row r="8847">
      <c r="A8847">
        <f>IFERROR(INDEX('Email Cleaner'!$B$2:$B$10001,MATCH(8846,'Email Cleaner'!$H$2:$H$10001,0)),"")</f>
        <v/>
      </c>
    </row>
    <row r="8848">
      <c r="A8848">
        <f>IFERROR(INDEX('Email Cleaner'!$B$2:$B$10001,MATCH(8847,'Email Cleaner'!$H$2:$H$10001,0)),"")</f>
        <v/>
      </c>
    </row>
    <row r="8849">
      <c r="A8849">
        <f>IFERROR(INDEX('Email Cleaner'!$B$2:$B$10001,MATCH(8848,'Email Cleaner'!$H$2:$H$10001,0)),"")</f>
        <v/>
      </c>
    </row>
    <row r="8850">
      <c r="A8850">
        <f>IFERROR(INDEX('Email Cleaner'!$B$2:$B$10001,MATCH(8849,'Email Cleaner'!$H$2:$H$10001,0)),"")</f>
        <v/>
      </c>
    </row>
    <row r="8851">
      <c r="A8851">
        <f>IFERROR(INDEX('Email Cleaner'!$B$2:$B$10001,MATCH(8850,'Email Cleaner'!$H$2:$H$10001,0)),"")</f>
        <v/>
      </c>
    </row>
    <row r="8852">
      <c r="A8852">
        <f>IFERROR(INDEX('Email Cleaner'!$B$2:$B$10001,MATCH(8851,'Email Cleaner'!$H$2:$H$10001,0)),"")</f>
        <v/>
      </c>
    </row>
    <row r="8853">
      <c r="A8853">
        <f>IFERROR(INDEX('Email Cleaner'!$B$2:$B$10001,MATCH(8852,'Email Cleaner'!$H$2:$H$10001,0)),"")</f>
        <v/>
      </c>
    </row>
    <row r="8854">
      <c r="A8854">
        <f>IFERROR(INDEX('Email Cleaner'!$B$2:$B$10001,MATCH(8853,'Email Cleaner'!$H$2:$H$10001,0)),"")</f>
        <v/>
      </c>
    </row>
    <row r="8855">
      <c r="A8855">
        <f>IFERROR(INDEX('Email Cleaner'!$B$2:$B$10001,MATCH(8854,'Email Cleaner'!$H$2:$H$10001,0)),"")</f>
        <v/>
      </c>
    </row>
    <row r="8856">
      <c r="A8856">
        <f>IFERROR(INDEX('Email Cleaner'!$B$2:$B$10001,MATCH(8855,'Email Cleaner'!$H$2:$H$10001,0)),"")</f>
        <v/>
      </c>
    </row>
    <row r="8857">
      <c r="A8857">
        <f>IFERROR(INDEX('Email Cleaner'!$B$2:$B$10001,MATCH(8856,'Email Cleaner'!$H$2:$H$10001,0)),"")</f>
        <v/>
      </c>
    </row>
    <row r="8858">
      <c r="A8858">
        <f>IFERROR(INDEX('Email Cleaner'!$B$2:$B$10001,MATCH(8857,'Email Cleaner'!$H$2:$H$10001,0)),"")</f>
        <v/>
      </c>
    </row>
    <row r="8859">
      <c r="A8859">
        <f>IFERROR(INDEX('Email Cleaner'!$B$2:$B$10001,MATCH(8858,'Email Cleaner'!$H$2:$H$10001,0)),"")</f>
        <v/>
      </c>
    </row>
    <row r="8860">
      <c r="A8860">
        <f>IFERROR(INDEX('Email Cleaner'!$B$2:$B$10001,MATCH(8859,'Email Cleaner'!$H$2:$H$10001,0)),"")</f>
        <v/>
      </c>
    </row>
    <row r="8861">
      <c r="A8861">
        <f>IFERROR(INDEX('Email Cleaner'!$B$2:$B$10001,MATCH(8860,'Email Cleaner'!$H$2:$H$10001,0)),"")</f>
        <v/>
      </c>
    </row>
    <row r="8862">
      <c r="A8862">
        <f>IFERROR(INDEX('Email Cleaner'!$B$2:$B$10001,MATCH(8861,'Email Cleaner'!$H$2:$H$10001,0)),"")</f>
        <v/>
      </c>
    </row>
    <row r="8863">
      <c r="A8863">
        <f>IFERROR(INDEX('Email Cleaner'!$B$2:$B$10001,MATCH(8862,'Email Cleaner'!$H$2:$H$10001,0)),"")</f>
        <v/>
      </c>
    </row>
    <row r="8864">
      <c r="A8864">
        <f>IFERROR(INDEX('Email Cleaner'!$B$2:$B$10001,MATCH(8863,'Email Cleaner'!$H$2:$H$10001,0)),"")</f>
        <v/>
      </c>
    </row>
    <row r="8865">
      <c r="A8865">
        <f>IFERROR(INDEX('Email Cleaner'!$B$2:$B$10001,MATCH(8864,'Email Cleaner'!$H$2:$H$10001,0)),"")</f>
        <v/>
      </c>
    </row>
    <row r="8866">
      <c r="A8866">
        <f>IFERROR(INDEX('Email Cleaner'!$B$2:$B$10001,MATCH(8865,'Email Cleaner'!$H$2:$H$10001,0)),"")</f>
        <v/>
      </c>
    </row>
    <row r="8867">
      <c r="A8867">
        <f>IFERROR(INDEX('Email Cleaner'!$B$2:$B$10001,MATCH(8866,'Email Cleaner'!$H$2:$H$10001,0)),"")</f>
        <v/>
      </c>
    </row>
    <row r="8868">
      <c r="A8868">
        <f>IFERROR(INDEX('Email Cleaner'!$B$2:$B$10001,MATCH(8867,'Email Cleaner'!$H$2:$H$10001,0)),"")</f>
        <v/>
      </c>
    </row>
    <row r="8869">
      <c r="A8869">
        <f>IFERROR(INDEX('Email Cleaner'!$B$2:$B$10001,MATCH(8868,'Email Cleaner'!$H$2:$H$10001,0)),"")</f>
        <v/>
      </c>
    </row>
    <row r="8870">
      <c r="A8870">
        <f>IFERROR(INDEX('Email Cleaner'!$B$2:$B$10001,MATCH(8869,'Email Cleaner'!$H$2:$H$10001,0)),"")</f>
        <v/>
      </c>
    </row>
    <row r="8871">
      <c r="A8871">
        <f>IFERROR(INDEX('Email Cleaner'!$B$2:$B$10001,MATCH(8870,'Email Cleaner'!$H$2:$H$10001,0)),"")</f>
        <v/>
      </c>
    </row>
    <row r="8872">
      <c r="A8872">
        <f>IFERROR(INDEX('Email Cleaner'!$B$2:$B$10001,MATCH(8871,'Email Cleaner'!$H$2:$H$10001,0)),"")</f>
        <v/>
      </c>
    </row>
    <row r="8873">
      <c r="A8873">
        <f>IFERROR(INDEX('Email Cleaner'!$B$2:$B$10001,MATCH(8872,'Email Cleaner'!$H$2:$H$10001,0)),"")</f>
        <v/>
      </c>
    </row>
    <row r="8874">
      <c r="A8874">
        <f>IFERROR(INDEX('Email Cleaner'!$B$2:$B$10001,MATCH(8873,'Email Cleaner'!$H$2:$H$10001,0)),"")</f>
        <v/>
      </c>
    </row>
    <row r="8875">
      <c r="A8875">
        <f>IFERROR(INDEX('Email Cleaner'!$B$2:$B$10001,MATCH(8874,'Email Cleaner'!$H$2:$H$10001,0)),"")</f>
        <v/>
      </c>
    </row>
    <row r="8876">
      <c r="A8876">
        <f>IFERROR(INDEX('Email Cleaner'!$B$2:$B$10001,MATCH(8875,'Email Cleaner'!$H$2:$H$10001,0)),"")</f>
        <v/>
      </c>
    </row>
    <row r="8877">
      <c r="A8877">
        <f>IFERROR(INDEX('Email Cleaner'!$B$2:$B$10001,MATCH(8876,'Email Cleaner'!$H$2:$H$10001,0)),"")</f>
        <v/>
      </c>
    </row>
    <row r="8878">
      <c r="A8878">
        <f>IFERROR(INDEX('Email Cleaner'!$B$2:$B$10001,MATCH(8877,'Email Cleaner'!$H$2:$H$10001,0)),"")</f>
        <v/>
      </c>
    </row>
    <row r="8879">
      <c r="A8879">
        <f>IFERROR(INDEX('Email Cleaner'!$B$2:$B$10001,MATCH(8878,'Email Cleaner'!$H$2:$H$10001,0)),"")</f>
        <v/>
      </c>
    </row>
    <row r="8880">
      <c r="A8880">
        <f>IFERROR(INDEX('Email Cleaner'!$B$2:$B$10001,MATCH(8879,'Email Cleaner'!$H$2:$H$10001,0)),"")</f>
        <v/>
      </c>
    </row>
    <row r="8881">
      <c r="A8881">
        <f>IFERROR(INDEX('Email Cleaner'!$B$2:$B$10001,MATCH(8880,'Email Cleaner'!$H$2:$H$10001,0)),"")</f>
        <v/>
      </c>
    </row>
    <row r="8882">
      <c r="A8882">
        <f>IFERROR(INDEX('Email Cleaner'!$B$2:$B$10001,MATCH(8881,'Email Cleaner'!$H$2:$H$10001,0)),"")</f>
        <v/>
      </c>
    </row>
    <row r="8883">
      <c r="A8883">
        <f>IFERROR(INDEX('Email Cleaner'!$B$2:$B$10001,MATCH(8882,'Email Cleaner'!$H$2:$H$10001,0)),"")</f>
        <v/>
      </c>
    </row>
    <row r="8884">
      <c r="A8884">
        <f>IFERROR(INDEX('Email Cleaner'!$B$2:$B$10001,MATCH(8883,'Email Cleaner'!$H$2:$H$10001,0)),"")</f>
        <v/>
      </c>
    </row>
    <row r="8885">
      <c r="A8885">
        <f>IFERROR(INDEX('Email Cleaner'!$B$2:$B$10001,MATCH(8884,'Email Cleaner'!$H$2:$H$10001,0)),"")</f>
        <v/>
      </c>
    </row>
    <row r="8886">
      <c r="A8886">
        <f>IFERROR(INDEX('Email Cleaner'!$B$2:$B$10001,MATCH(8885,'Email Cleaner'!$H$2:$H$10001,0)),"")</f>
        <v/>
      </c>
    </row>
    <row r="8887">
      <c r="A8887">
        <f>IFERROR(INDEX('Email Cleaner'!$B$2:$B$10001,MATCH(8886,'Email Cleaner'!$H$2:$H$10001,0)),"")</f>
        <v/>
      </c>
    </row>
    <row r="8888">
      <c r="A8888">
        <f>IFERROR(INDEX('Email Cleaner'!$B$2:$B$10001,MATCH(8887,'Email Cleaner'!$H$2:$H$10001,0)),"")</f>
        <v/>
      </c>
    </row>
    <row r="8889">
      <c r="A8889">
        <f>IFERROR(INDEX('Email Cleaner'!$B$2:$B$10001,MATCH(8888,'Email Cleaner'!$H$2:$H$10001,0)),"")</f>
        <v/>
      </c>
    </row>
    <row r="8890">
      <c r="A8890">
        <f>IFERROR(INDEX('Email Cleaner'!$B$2:$B$10001,MATCH(8889,'Email Cleaner'!$H$2:$H$10001,0)),"")</f>
        <v/>
      </c>
    </row>
    <row r="8891">
      <c r="A8891">
        <f>IFERROR(INDEX('Email Cleaner'!$B$2:$B$10001,MATCH(8890,'Email Cleaner'!$H$2:$H$10001,0)),"")</f>
        <v/>
      </c>
    </row>
    <row r="8892">
      <c r="A8892">
        <f>IFERROR(INDEX('Email Cleaner'!$B$2:$B$10001,MATCH(8891,'Email Cleaner'!$H$2:$H$10001,0)),"")</f>
        <v/>
      </c>
    </row>
    <row r="8893">
      <c r="A8893">
        <f>IFERROR(INDEX('Email Cleaner'!$B$2:$B$10001,MATCH(8892,'Email Cleaner'!$H$2:$H$10001,0)),"")</f>
        <v/>
      </c>
    </row>
    <row r="8894">
      <c r="A8894">
        <f>IFERROR(INDEX('Email Cleaner'!$B$2:$B$10001,MATCH(8893,'Email Cleaner'!$H$2:$H$10001,0)),"")</f>
        <v/>
      </c>
    </row>
    <row r="8895">
      <c r="A8895">
        <f>IFERROR(INDEX('Email Cleaner'!$B$2:$B$10001,MATCH(8894,'Email Cleaner'!$H$2:$H$10001,0)),"")</f>
        <v/>
      </c>
    </row>
    <row r="8896">
      <c r="A8896">
        <f>IFERROR(INDEX('Email Cleaner'!$B$2:$B$10001,MATCH(8895,'Email Cleaner'!$H$2:$H$10001,0)),"")</f>
        <v/>
      </c>
    </row>
    <row r="8897">
      <c r="A8897">
        <f>IFERROR(INDEX('Email Cleaner'!$B$2:$B$10001,MATCH(8896,'Email Cleaner'!$H$2:$H$10001,0)),"")</f>
        <v/>
      </c>
    </row>
    <row r="8898">
      <c r="A8898">
        <f>IFERROR(INDEX('Email Cleaner'!$B$2:$B$10001,MATCH(8897,'Email Cleaner'!$H$2:$H$10001,0)),"")</f>
        <v/>
      </c>
    </row>
    <row r="8899">
      <c r="A8899">
        <f>IFERROR(INDEX('Email Cleaner'!$B$2:$B$10001,MATCH(8898,'Email Cleaner'!$H$2:$H$10001,0)),"")</f>
        <v/>
      </c>
    </row>
    <row r="8900">
      <c r="A8900">
        <f>IFERROR(INDEX('Email Cleaner'!$B$2:$B$10001,MATCH(8899,'Email Cleaner'!$H$2:$H$10001,0)),"")</f>
        <v/>
      </c>
    </row>
    <row r="8901">
      <c r="A8901">
        <f>IFERROR(INDEX('Email Cleaner'!$B$2:$B$10001,MATCH(8900,'Email Cleaner'!$H$2:$H$10001,0)),"")</f>
        <v/>
      </c>
    </row>
    <row r="8902">
      <c r="A8902">
        <f>IFERROR(INDEX('Email Cleaner'!$B$2:$B$10001,MATCH(8901,'Email Cleaner'!$H$2:$H$10001,0)),"")</f>
        <v/>
      </c>
    </row>
    <row r="8903">
      <c r="A8903">
        <f>IFERROR(INDEX('Email Cleaner'!$B$2:$B$10001,MATCH(8902,'Email Cleaner'!$H$2:$H$10001,0)),"")</f>
        <v/>
      </c>
    </row>
    <row r="8904">
      <c r="A8904">
        <f>IFERROR(INDEX('Email Cleaner'!$B$2:$B$10001,MATCH(8903,'Email Cleaner'!$H$2:$H$10001,0)),"")</f>
        <v/>
      </c>
    </row>
    <row r="8905">
      <c r="A8905">
        <f>IFERROR(INDEX('Email Cleaner'!$B$2:$B$10001,MATCH(8904,'Email Cleaner'!$H$2:$H$10001,0)),"")</f>
        <v/>
      </c>
    </row>
    <row r="8906">
      <c r="A8906">
        <f>IFERROR(INDEX('Email Cleaner'!$B$2:$B$10001,MATCH(8905,'Email Cleaner'!$H$2:$H$10001,0)),"")</f>
        <v/>
      </c>
    </row>
    <row r="8907">
      <c r="A8907">
        <f>IFERROR(INDEX('Email Cleaner'!$B$2:$B$10001,MATCH(8906,'Email Cleaner'!$H$2:$H$10001,0)),"")</f>
        <v/>
      </c>
    </row>
    <row r="8908">
      <c r="A8908">
        <f>IFERROR(INDEX('Email Cleaner'!$B$2:$B$10001,MATCH(8907,'Email Cleaner'!$H$2:$H$10001,0)),"")</f>
        <v/>
      </c>
    </row>
    <row r="8909">
      <c r="A8909">
        <f>IFERROR(INDEX('Email Cleaner'!$B$2:$B$10001,MATCH(8908,'Email Cleaner'!$H$2:$H$10001,0)),"")</f>
        <v/>
      </c>
    </row>
    <row r="8910">
      <c r="A8910">
        <f>IFERROR(INDEX('Email Cleaner'!$B$2:$B$10001,MATCH(8909,'Email Cleaner'!$H$2:$H$10001,0)),"")</f>
        <v/>
      </c>
    </row>
    <row r="8911">
      <c r="A8911">
        <f>IFERROR(INDEX('Email Cleaner'!$B$2:$B$10001,MATCH(8910,'Email Cleaner'!$H$2:$H$10001,0)),"")</f>
        <v/>
      </c>
    </row>
    <row r="8912">
      <c r="A8912">
        <f>IFERROR(INDEX('Email Cleaner'!$B$2:$B$10001,MATCH(8911,'Email Cleaner'!$H$2:$H$10001,0)),"")</f>
        <v/>
      </c>
    </row>
    <row r="8913">
      <c r="A8913">
        <f>IFERROR(INDEX('Email Cleaner'!$B$2:$B$10001,MATCH(8912,'Email Cleaner'!$H$2:$H$10001,0)),"")</f>
        <v/>
      </c>
    </row>
    <row r="8914">
      <c r="A8914">
        <f>IFERROR(INDEX('Email Cleaner'!$B$2:$B$10001,MATCH(8913,'Email Cleaner'!$H$2:$H$10001,0)),"")</f>
        <v/>
      </c>
    </row>
    <row r="8915">
      <c r="A8915">
        <f>IFERROR(INDEX('Email Cleaner'!$B$2:$B$10001,MATCH(8914,'Email Cleaner'!$H$2:$H$10001,0)),"")</f>
        <v/>
      </c>
    </row>
    <row r="8916">
      <c r="A8916">
        <f>IFERROR(INDEX('Email Cleaner'!$B$2:$B$10001,MATCH(8915,'Email Cleaner'!$H$2:$H$10001,0)),"")</f>
        <v/>
      </c>
    </row>
    <row r="8917">
      <c r="A8917">
        <f>IFERROR(INDEX('Email Cleaner'!$B$2:$B$10001,MATCH(8916,'Email Cleaner'!$H$2:$H$10001,0)),"")</f>
        <v/>
      </c>
    </row>
    <row r="8918">
      <c r="A8918">
        <f>IFERROR(INDEX('Email Cleaner'!$B$2:$B$10001,MATCH(8917,'Email Cleaner'!$H$2:$H$10001,0)),"")</f>
        <v/>
      </c>
    </row>
    <row r="8919">
      <c r="A8919">
        <f>IFERROR(INDEX('Email Cleaner'!$B$2:$B$10001,MATCH(8918,'Email Cleaner'!$H$2:$H$10001,0)),"")</f>
        <v/>
      </c>
    </row>
    <row r="8920">
      <c r="A8920">
        <f>IFERROR(INDEX('Email Cleaner'!$B$2:$B$10001,MATCH(8919,'Email Cleaner'!$H$2:$H$10001,0)),"")</f>
        <v/>
      </c>
    </row>
    <row r="8921">
      <c r="A8921">
        <f>IFERROR(INDEX('Email Cleaner'!$B$2:$B$10001,MATCH(8920,'Email Cleaner'!$H$2:$H$10001,0)),"")</f>
        <v/>
      </c>
    </row>
    <row r="8922">
      <c r="A8922">
        <f>IFERROR(INDEX('Email Cleaner'!$B$2:$B$10001,MATCH(8921,'Email Cleaner'!$H$2:$H$10001,0)),"")</f>
        <v/>
      </c>
    </row>
    <row r="8923">
      <c r="A8923">
        <f>IFERROR(INDEX('Email Cleaner'!$B$2:$B$10001,MATCH(8922,'Email Cleaner'!$H$2:$H$10001,0)),"")</f>
        <v/>
      </c>
    </row>
    <row r="8924">
      <c r="A8924">
        <f>IFERROR(INDEX('Email Cleaner'!$B$2:$B$10001,MATCH(8923,'Email Cleaner'!$H$2:$H$10001,0)),"")</f>
        <v/>
      </c>
    </row>
    <row r="8925">
      <c r="A8925">
        <f>IFERROR(INDEX('Email Cleaner'!$B$2:$B$10001,MATCH(8924,'Email Cleaner'!$H$2:$H$10001,0)),"")</f>
        <v/>
      </c>
    </row>
    <row r="8926">
      <c r="A8926">
        <f>IFERROR(INDEX('Email Cleaner'!$B$2:$B$10001,MATCH(8925,'Email Cleaner'!$H$2:$H$10001,0)),"")</f>
        <v/>
      </c>
    </row>
    <row r="8927">
      <c r="A8927">
        <f>IFERROR(INDEX('Email Cleaner'!$B$2:$B$10001,MATCH(8926,'Email Cleaner'!$H$2:$H$10001,0)),"")</f>
        <v/>
      </c>
    </row>
    <row r="8928">
      <c r="A8928">
        <f>IFERROR(INDEX('Email Cleaner'!$B$2:$B$10001,MATCH(8927,'Email Cleaner'!$H$2:$H$10001,0)),"")</f>
        <v/>
      </c>
    </row>
    <row r="8929">
      <c r="A8929">
        <f>IFERROR(INDEX('Email Cleaner'!$B$2:$B$10001,MATCH(8928,'Email Cleaner'!$H$2:$H$10001,0)),"")</f>
        <v/>
      </c>
    </row>
    <row r="8930">
      <c r="A8930">
        <f>IFERROR(INDEX('Email Cleaner'!$B$2:$B$10001,MATCH(8929,'Email Cleaner'!$H$2:$H$10001,0)),"")</f>
        <v/>
      </c>
    </row>
    <row r="8931">
      <c r="A8931">
        <f>IFERROR(INDEX('Email Cleaner'!$B$2:$B$10001,MATCH(8930,'Email Cleaner'!$H$2:$H$10001,0)),"")</f>
        <v/>
      </c>
    </row>
    <row r="8932">
      <c r="A8932">
        <f>IFERROR(INDEX('Email Cleaner'!$B$2:$B$10001,MATCH(8931,'Email Cleaner'!$H$2:$H$10001,0)),"")</f>
        <v/>
      </c>
    </row>
    <row r="8933">
      <c r="A8933">
        <f>IFERROR(INDEX('Email Cleaner'!$B$2:$B$10001,MATCH(8932,'Email Cleaner'!$H$2:$H$10001,0)),"")</f>
        <v/>
      </c>
    </row>
    <row r="8934">
      <c r="A8934">
        <f>IFERROR(INDEX('Email Cleaner'!$B$2:$B$10001,MATCH(8933,'Email Cleaner'!$H$2:$H$10001,0)),"")</f>
        <v/>
      </c>
    </row>
    <row r="8935">
      <c r="A8935">
        <f>IFERROR(INDEX('Email Cleaner'!$B$2:$B$10001,MATCH(8934,'Email Cleaner'!$H$2:$H$10001,0)),"")</f>
        <v/>
      </c>
    </row>
    <row r="8936">
      <c r="A8936">
        <f>IFERROR(INDEX('Email Cleaner'!$B$2:$B$10001,MATCH(8935,'Email Cleaner'!$H$2:$H$10001,0)),"")</f>
        <v/>
      </c>
    </row>
    <row r="8937">
      <c r="A8937">
        <f>IFERROR(INDEX('Email Cleaner'!$B$2:$B$10001,MATCH(8936,'Email Cleaner'!$H$2:$H$10001,0)),"")</f>
        <v/>
      </c>
    </row>
    <row r="8938">
      <c r="A8938">
        <f>IFERROR(INDEX('Email Cleaner'!$B$2:$B$10001,MATCH(8937,'Email Cleaner'!$H$2:$H$10001,0)),"")</f>
        <v/>
      </c>
    </row>
    <row r="8939">
      <c r="A8939">
        <f>IFERROR(INDEX('Email Cleaner'!$B$2:$B$10001,MATCH(8938,'Email Cleaner'!$H$2:$H$10001,0)),"")</f>
        <v/>
      </c>
    </row>
    <row r="8940">
      <c r="A8940">
        <f>IFERROR(INDEX('Email Cleaner'!$B$2:$B$10001,MATCH(8939,'Email Cleaner'!$H$2:$H$10001,0)),"")</f>
        <v/>
      </c>
    </row>
    <row r="8941">
      <c r="A8941">
        <f>IFERROR(INDEX('Email Cleaner'!$B$2:$B$10001,MATCH(8940,'Email Cleaner'!$H$2:$H$10001,0)),"")</f>
        <v/>
      </c>
    </row>
    <row r="8942">
      <c r="A8942">
        <f>IFERROR(INDEX('Email Cleaner'!$B$2:$B$10001,MATCH(8941,'Email Cleaner'!$H$2:$H$10001,0)),"")</f>
        <v/>
      </c>
    </row>
    <row r="8943">
      <c r="A8943">
        <f>IFERROR(INDEX('Email Cleaner'!$B$2:$B$10001,MATCH(8942,'Email Cleaner'!$H$2:$H$10001,0)),"")</f>
        <v/>
      </c>
    </row>
    <row r="8944">
      <c r="A8944">
        <f>IFERROR(INDEX('Email Cleaner'!$B$2:$B$10001,MATCH(8943,'Email Cleaner'!$H$2:$H$10001,0)),"")</f>
        <v/>
      </c>
    </row>
    <row r="8945">
      <c r="A8945">
        <f>IFERROR(INDEX('Email Cleaner'!$B$2:$B$10001,MATCH(8944,'Email Cleaner'!$H$2:$H$10001,0)),"")</f>
        <v/>
      </c>
    </row>
    <row r="8946">
      <c r="A8946">
        <f>IFERROR(INDEX('Email Cleaner'!$B$2:$B$10001,MATCH(8945,'Email Cleaner'!$H$2:$H$10001,0)),"")</f>
        <v/>
      </c>
    </row>
    <row r="8947">
      <c r="A8947">
        <f>IFERROR(INDEX('Email Cleaner'!$B$2:$B$10001,MATCH(8946,'Email Cleaner'!$H$2:$H$10001,0)),"")</f>
        <v/>
      </c>
    </row>
    <row r="8948">
      <c r="A8948">
        <f>IFERROR(INDEX('Email Cleaner'!$B$2:$B$10001,MATCH(8947,'Email Cleaner'!$H$2:$H$10001,0)),"")</f>
        <v/>
      </c>
    </row>
    <row r="8949">
      <c r="A8949">
        <f>IFERROR(INDEX('Email Cleaner'!$B$2:$B$10001,MATCH(8948,'Email Cleaner'!$H$2:$H$10001,0)),"")</f>
        <v/>
      </c>
    </row>
    <row r="8950">
      <c r="A8950">
        <f>IFERROR(INDEX('Email Cleaner'!$B$2:$B$10001,MATCH(8949,'Email Cleaner'!$H$2:$H$10001,0)),"")</f>
        <v/>
      </c>
    </row>
    <row r="8951">
      <c r="A8951">
        <f>IFERROR(INDEX('Email Cleaner'!$B$2:$B$10001,MATCH(8950,'Email Cleaner'!$H$2:$H$10001,0)),"")</f>
        <v/>
      </c>
    </row>
    <row r="8952">
      <c r="A8952">
        <f>IFERROR(INDEX('Email Cleaner'!$B$2:$B$10001,MATCH(8951,'Email Cleaner'!$H$2:$H$10001,0)),"")</f>
        <v/>
      </c>
    </row>
    <row r="8953">
      <c r="A8953">
        <f>IFERROR(INDEX('Email Cleaner'!$B$2:$B$10001,MATCH(8952,'Email Cleaner'!$H$2:$H$10001,0)),"")</f>
        <v/>
      </c>
    </row>
    <row r="8954">
      <c r="A8954">
        <f>IFERROR(INDEX('Email Cleaner'!$B$2:$B$10001,MATCH(8953,'Email Cleaner'!$H$2:$H$10001,0)),"")</f>
        <v/>
      </c>
    </row>
    <row r="8955">
      <c r="A8955">
        <f>IFERROR(INDEX('Email Cleaner'!$B$2:$B$10001,MATCH(8954,'Email Cleaner'!$H$2:$H$10001,0)),"")</f>
        <v/>
      </c>
    </row>
    <row r="8956">
      <c r="A8956">
        <f>IFERROR(INDEX('Email Cleaner'!$B$2:$B$10001,MATCH(8955,'Email Cleaner'!$H$2:$H$10001,0)),"")</f>
        <v/>
      </c>
    </row>
    <row r="8957">
      <c r="A8957">
        <f>IFERROR(INDEX('Email Cleaner'!$B$2:$B$10001,MATCH(8956,'Email Cleaner'!$H$2:$H$10001,0)),"")</f>
        <v/>
      </c>
    </row>
    <row r="8958">
      <c r="A8958">
        <f>IFERROR(INDEX('Email Cleaner'!$B$2:$B$10001,MATCH(8957,'Email Cleaner'!$H$2:$H$10001,0)),"")</f>
        <v/>
      </c>
    </row>
    <row r="8959">
      <c r="A8959">
        <f>IFERROR(INDEX('Email Cleaner'!$B$2:$B$10001,MATCH(8958,'Email Cleaner'!$H$2:$H$10001,0)),"")</f>
        <v/>
      </c>
    </row>
    <row r="8960">
      <c r="A8960">
        <f>IFERROR(INDEX('Email Cleaner'!$B$2:$B$10001,MATCH(8959,'Email Cleaner'!$H$2:$H$10001,0)),"")</f>
        <v/>
      </c>
    </row>
    <row r="8961">
      <c r="A8961">
        <f>IFERROR(INDEX('Email Cleaner'!$B$2:$B$10001,MATCH(8960,'Email Cleaner'!$H$2:$H$10001,0)),"")</f>
        <v/>
      </c>
    </row>
    <row r="8962">
      <c r="A8962">
        <f>IFERROR(INDEX('Email Cleaner'!$B$2:$B$10001,MATCH(8961,'Email Cleaner'!$H$2:$H$10001,0)),"")</f>
        <v/>
      </c>
    </row>
    <row r="8963">
      <c r="A8963">
        <f>IFERROR(INDEX('Email Cleaner'!$B$2:$B$10001,MATCH(8962,'Email Cleaner'!$H$2:$H$10001,0)),"")</f>
        <v/>
      </c>
    </row>
    <row r="8964">
      <c r="A8964">
        <f>IFERROR(INDEX('Email Cleaner'!$B$2:$B$10001,MATCH(8963,'Email Cleaner'!$H$2:$H$10001,0)),"")</f>
        <v/>
      </c>
    </row>
    <row r="8965">
      <c r="A8965">
        <f>IFERROR(INDEX('Email Cleaner'!$B$2:$B$10001,MATCH(8964,'Email Cleaner'!$H$2:$H$10001,0)),"")</f>
        <v/>
      </c>
    </row>
    <row r="8966">
      <c r="A8966">
        <f>IFERROR(INDEX('Email Cleaner'!$B$2:$B$10001,MATCH(8965,'Email Cleaner'!$H$2:$H$10001,0)),"")</f>
        <v/>
      </c>
    </row>
    <row r="8967">
      <c r="A8967">
        <f>IFERROR(INDEX('Email Cleaner'!$B$2:$B$10001,MATCH(8966,'Email Cleaner'!$H$2:$H$10001,0)),"")</f>
        <v/>
      </c>
    </row>
    <row r="8968">
      <c r="A8968">
        <f>IFERROR(INDEX('Email Cleaner'!$B$2:$B$10001,MATCH(8967,'Email Cleaner'!$H$2:$H$10001,0)),"")</f>
        <v/>
      </c>
    </row>
    <row r="8969">
      <c r="A8969">
        <f>IFERROR(INDEX('Email Cleaner'!$B$2:$B$10001,MATCH(8968,'Email Cleaner'!$H$2:$H$10001,0)),"")</f>
        <v/>
      </c>
    </row>
    <row r="8970">
      <c r="A8970">
        <f>IFERROR(INDEX('Email Cleaner'!$B$2:$B$10001,MATCH(8969,'Email Cleaner'!$H$2:$H$10001,0)),"")</f>
        <v/>
      </c>
    </row>
    <row r="8971">
      <c r="A8971">
        <f>IFERROR(INDEX('Email Cleaner'!$B$2:$B$10001,MATCH(8970,'Email Cleaner'!$H$2:$H$10001,0)),"")</f>
        <v/>
      </c>
    </row>
    <row r="8972">
      <c r="A8972">
        <f>IFERROR(INDEX('Email Cleaner'!$B$2:$B$10001,MATCH(8971,'Email Cleaner'!$H$2:$H$10001,0)),"")</f>
        <v/>
      </c>
    </row>
    <row r="8973">
      <c r="A8973">
        <f>IFERROR(INDEX('Email Cleaner'!$B$2:$B$10001,MATCH(8972,'Email Cleaner'!$H$2:$H$10001,0)),"")</f>
        <v/>
      </c>
    </row>
    <row r="8974">
      <c r="A8974">
        <f>IFERROR(INDEX('Email Cleaner'!$B$2:$B$10001,MATCH(8973,'Email Cleaner'!$H$2:$H$10001,0)),"")</f>
        <v/>
      </c>
    </row>
    <row r="8975">
      <c r="A8975">
        <f>IFERROR(INDEX('Email Cleaner'!$B$2:$B$10001,MATCH(8974,'Email Cleaner'!$H$2:$H$10001,0)),"")</f>
        <v/>
      </c>
    </row>
    <row r="8976">
      <c r="A8976">
        <f>IFERROR(INDEX('Email Cleaner'!$B$2:$B$10001,MATCH(8975,'Email Cleaner'!$H$2:$H$10001,0)),"")</f>
        <v/>
      </c>
    </row>
    <row r="8977">
      <c r="A8977">
        <f>IFERROR(INDEX('Email Cleaner'!$B$2:$B$10001,MATCH(8976,'Email Cleaner'!$H$2:$H$10001,0)),"")</f>
        <v/>
      </c>
    </row>
    <row r="8978">
      <c r="A8978">
        <f>IFERROR(INDEX('Email Cleaner'!$B$2:$B$10001,MATCH(8977,'Email Cleaner'!$H$2:$H$10001,0)),"")</f>
        <v/>
      </c>
    </row>
    <row r="8979">
      <c r="A8979">
        <f>IFERROR(INDEX('Email Cleaner'!$B$2:$B$10001,MATCH(8978,'Email Cleaner'!$H$2:$H$10001,0)),"")</f>
        <v/>
      </c>
    </row>
    <row r="8980">
      <c r="A8980">
        <f>IFERROR(INDEX('Email Cleaner'!$B$2:$B$10001,MATCH(8979,'Email Cleaner'!$H$2:$H$10001,0)),"")</f>
        <v/>
      </c>
    </row>
    <row r="8981">
      <c r="A8981">
        <f>IFERROR(INDEX('Email Cleaner'!$B$2:$B$10001,MATCH(8980,'Email Cleaner'!$H$2:$H$10001,0)),"")</f>
        <v/>
      </c>
    </row>
    <row r="8982">
      <c r="A8982">
        <f>IFERROR(INDEX('Email Cleaner'!$B$2:$B$10001,MATCH(8981,'Email Cleaner'!$H$2:$H$10001,0)),"")</f>
        <v/>
      </c>
    </row>
    <row r="8983">
      <c r="A8983">
        <f>IFERROR(INDEX('Email Cleaner'!$B$2:$B$10001,MATCH(8982,'Email Cleaner'!$H$2:$H$10001,0)),"")</f>
        <v/>
      </c>
    </row>
    <row r="8984">
      <c r="A8984">
        <f>IFERROR(INDEX('Email Cleaner'!$B$2:$B$10001,MATCH(8983,'Email Cleaner'!$H$2:$H$10001,0)),"")</f>
        <v/>
      </c>
    </row>
    <row r="8985">
      <c r="A8985">
        <f>IFERROR(INDEX('Email Cleaner'!$B$2:$B$10001,MATCH(8984,'Email Cleaner'!$H$2:$H$10001,0)),"")</f>
        <v/>
      </c>
    </row>
    <row r="8986">
      <c r="A8986">
        <f>IFERROR(INDEX('Email Cleaner'!$B$2:$B$10001,MATCH(8985,'Email Cleaner'!$H$2:$H$10001,0)),"")</f>
        <v/>
      </c>
    </row>
    <row r="8987">
      <c r="A8987">
        <f>IFERROR(INDEX('Email Cleaner'!$B$2:$B$10001,MATCH(8986,'Email Cleaner'!$H$2:$H$10001,0)),"")</f>
        <v/>
      </c>
    </row>
    <row r="8988">
      <c r="A8988">
        <f>IFERROR(INDEX('Email Cleaner'!$B$2:$B$10001,MATCH(8987,'Email Cleaner'!$H$2:$H$10001,0)),"")</f>
        <v/>
      </c>
    </row>
    <row r="8989">
      <c r="A8989">
        <f>IFERROR(INDEX('Email Cleaner'!$B$2:$B$10001,MATCH(8988,'Email Cleaner'!$H$2:$H$10001,0)),"")</f>
        <v/>
      </c>
    </row>
    <row r="8990">
      <c r="A8990">
        <f>IFERROR(INDEX('Email Cleaner'!$B$2:$B$10001,MATCH(8989,'Email Cleaner'!$H$2:$H$10001,0)),"")</f>
        <v/>
      </c>
    </row>
    <row r="8991">
      <c r="A8991">
        <f>IFERROR(INDEX('Email Cleaner'!$B$2:$B$10001,MATCH(8990,'Email Cleaner'!$H$2:$H$10001,0)),"")</f>
        <v/>
      </c>
    </row>
    <row r="8992">
      <c r="A8992">
        <f>IFERROR(INDEX('Email Cleaner'!$B$2:$B$10001,MATCH(8991,'Email Cleaner'!$H$2:$H$10001,0)),"")</f>
        <v/>
      </c>
    </row>
    <row r="8993">
      <c r="A8993">
        <f>IFERROR(INDEX('Email Cleaner'!$B$2:$B$10001,MATCH(8992,'Email Cleaner'!$H$2:$H$10001,0)),"")</f>
        <v/>
      </c>
    </row>
    <row r="8994">
      <c r="A8994">
        <f>IFERROR(INDEX('Email Cleaner'!$B$2:$B$10001,MATCH(8993,'Email Cleaner'!$H$2:$H$10001,0)),"")</f>
        <v/>
      </c>
    </row>
    <row r="8995">
      <c r="A8995">
        <f>IFERROR(INDEX('Email Cleaner'!$B$2:$B$10001,MATCH(8994,'Email Cleaner'!$H$2:$H$10001,0)),"")</f>
        <v/>
      </c>
    </row>
    <row r="8996">
      <c r="A8996">
        <f>IFERROR(INDEX('Email Cleaner'!$B$2:$B$10001,MATCH(8995,'Email Cleaner'!$H$2:$H$10001,0)),"")</f>
        <v/>
      </c>
    </row>
    <row r="8997">
      <c r="A8997">
        <f>IFERROR(INDEX('Email Cleaner'!$B$2:$B$10001,MATCH(8996,'Email Cleaner'!$H$2:$H$10001,0)),"")</f>
        <v/>
      </c>
    </row>
    <row r="8998">
      <c r="A8998">
        <f>IFERROR(INDEX('Email Cleaner'!$B$2:$B$10001,MATCH(8997,'Email Cleaner'!$H$2:$H$10001,0)),"")</f>
        <v/>
      </c>
    </row>
    <row r="8999">
      <c r="A8999">
        <f>IFERROR(INDEX('Email Cleaner'!$B$2:$B$10001,MATCH(8998,'Email Cleaner'!$H$2:$H$10001,0)),"")</f>
        <v/>
      </c>
    </row>
    <row r="9000">
      <c r="A9000">
        <f>IFERROR(INDEX('Email Cleaner'!$B$2:$B$10001,MATCH(8999,'Email Cleaner'!$H$2:$H$10001,0)),"")</f>
        <v/>
      </c>
    </row>
    <row r="9001">
      <c r="A9001">
        <f>IFERROR(INDEX('Email Cleaner'!$B$2:$B$10001,MATCH(9000,'Email Cleaner'!$H$2:$H$10001,0)),"")</f>
        <v/>
      </c>
    </row>
    <row r="9002">
      <c r="A9002">
        <f>IFERROR(INDEX('Email Cleaner'!$B$2:$B$10001,MATCH(9001,'Email Cleaner'!$H$2:$H$10001,0)),"")</f>
        <v/>
      </c>
    </row>
    <row r="9003">
      <c r="A9003">
        <f>IFERROR(INDEX('Email Cleaner'!$B$2:$B$10001,MATCH(9002,'Email Cleaner'!$H$2:$H$10001,0)),"")</f>
        <v/>
      </c>
    </row>
    <row r="9004">
      <c r="A9004">
        <f>IFERROR(INDEX('Email Cleaner'!$B$2:$B$10001,MATCH(9003,'Email Cleaner'!$H$2:$H$10001,0)),"")</f>
        <v/>
      </c>
    </row>
    <row r="9005">
      <c r="A9005">
        <f>IFERROR(INDEX('Email Cleaner'!$B$2:$B$10001,MATCH(9004,'Email Cleaner'!$H$2:$H$10001,0)),"")</f>
        <v/>
      </c>
    </row>
    <row r="9006">
      <c r="A9006">
        <f>IFERROR(INDEX('Email Cleaner'!$B$2:$B$10001,MATCH(9005,'Email Cleaner'!$H$2:$H$10001,0)),"")</f>
        <v/>
      </c>
    </row>
    <row r="9007">
      <c r="A9007">
        <f>IFERROR(INDEX('Email Cleaner'!$B$2:$B$10001,MATCH(9006,'Email Cleaner'!$H$2:$H$10001,0)),"")</f>
        <v/>
      </c>
    </row>
    <row r="9008">
      <c r="A9008">
        <f>IFERROR(INDEX('Email Cleaner'!$B$2:$B$10001,MATCH(9007,'Email Cleaner'!$H$2:$H$10001,0)),"")</f>
        <v/>
      </c>
    </row>
    <row r="9009">
      <c r="A9009">
        <f>IFERROR(INDEX('Email Cleaner'!$B$2:$B$10001,MATCH(9008,'Email Cleaner'!$H$2:$H$10001,0)),"")</f>
        <v/>
      </c>
    </row>
    <row r="9010">
      <c r="A9010">
        <f>IFERROR(INDEX('Email Cleaner'!$B$2:$B$10001,MATCH(9009,'Email Cleaner'!$H$2:$H$10001,0)),"")</f>
        <v/>
      </c>
    </row>
    <row r="9011">
      <c r="A9011">
        <f>IFERROR(INDEX('Email Cleaner'!$B$2:$B$10001,MATCH(9010,'Email Cleaner'!$H$2:$H$10001,0)),"")</f>
        <v/>
      </c>
    </row>
    <row r="9012">
      <c r="A9012">
        <f>IFERROR(INDEX('Email Cleaner'!$B$2:$B$10001,MATCH(9011,'Email Cleaner'!$H$2:$H$10001,0)),"")</f>
        <v/>
      </c>
    </row>
    <row r="9013">
      <c r="A9013">
        <f>IFERROR(INDEX('Email Cleaner'!$B$2:$B$10001,MATCH(9012,'Email Cleaner'!$H$2:$H$10001,0)),"")</f>
        <v/>
      </c>
    </row>
    <row r="9014">
      <c r="A9014">
        <f>IFERROR(INDEX('Email Cleaner'!$B$2:$B$10001,MATCH(9013,'Email Cleaner'!$H$2:$H$10001,0)),"")</f>
        <v/>
      </c>
    </row>
    <row r="9015">
      <c r="A9015">
        <f>IFERROR(INDEX('Email Cleaner'!$B$2:$B$10001,MATCH(9014,'Email Cleaner'!$H$2:$H$10001,0)),"")</f>
        <v/>
      </c>
    </row>
    <row r="9016">
      <c r="A9016">
        <f>IFERROR(INDEX('Email Cleaner'!$B$2:$B$10001,MATCH(9015,'Email Cleaner'!$H$2:$H$10001,0)),"")</f>
        <v/>
      </c>
    </row>
    <row r="9017">
      <c r="A9017">
        <f>IFERROR(INDEX('Email Cleaner'!$B$2:$B$10001,MATCH(9016,'Email Cleaner'!$H$2:$H$10001,0)),"")</f>
        <v/>
      </c>
    </row>
    <row r="9018">
      <c r="A9018">
        <f>IFERROR(INDEX('Email Cleaner'!$B$2:$B$10001,MATCH(9017,'Email Cleaner'!$H$2:$H$10001,0)),"")</f>
        <v/>
      </c>
    </row>
    <row r="9019">
      <c r="A9019">
        <f>IFERROR(INDEX('Email Cleaner'!$B$2:$B$10001,MATCH(9018,'Email Cleaner'!$H$2:$H$10001,0)),"")</f>
        <v/>
      </c>
    </row>
    <row r="9020">
      <c r="A9020">
        <f>IFERROR(INDEX('Email Cleaner'!$B$2:$B$10001,MATCH(9019,'Email Cleaner'!$H$2:$H$10001,0)),"")</f>
        <v/>
      </c>
    </row>
    <row r="9021">
      <c r="A9021">
        <f>IFERROR(INDEX('Email Cleaner'!$B$2:$B$10001,MATCH(9020,'Email Cleaner'!$H$2:$H$10001,0)),"")</f>
        <v/>
      </c>
    </row>
    <row r="9022">
      <c r="A9022">
        <f>IFERROR(INDEX('Email Cleaner'!$B$2:$B$10001,MATCH(9021,'Email Cleaner'!$H$2:$H$10001,0)),"")</f>
        <v/>
      </c>
    </row>
    <row r="9023">
      <c r="A9023">
        <f>IFERROR(INDEX('Email Cleaner'!$B$2:$B$10001,MATCH(9022,'Email Cleaner'!$H$2:$H$10001,0)),"")</f>
        <v/>
      </c>
    </row>
    <row r="9024">
      <c r="A9024">
        <f>IFERROR(INDEX('Email Cleaner'!$B$2:$B$10001,MATCH(9023,'Email Cleaner'!$H$2:$H$10001,0)),"")</f>
        <v/>
      </c>
    </row>
    <row r="9025">
      <c r="A9025">
        <f>IFERROR(INDEX('Email Cleaner'!$B$2:$B$10001,MATCH(9024,'Email Cleaner'!$H$2:$H$10001,0)),"")</f>
        <v/>
      </c>
    </row>
    <row r="9026">
      <c r="A9026">
        <f>IFERROR(INDEX('Email Cleaner'!$B$2:$B$10001,MATCH(9025,'Email Cleaner'!$H$2:$H$10001,0)),"")</f>
        <v/>
      </c>
    </row>
    <row r="9027">
      <c r="A9027">
        <f>IFERROR(INDEX('Email Cleaner'!$B$2:$B$10001,MATCH(9026,'Email Cleaner'!$H$2:$H$10001,0)),"")</f>
        <v/>
      </c>
    </row>
    <row r="9028">
      <c r="A9028">
        <f>IFERROR(INDEX('Email Cleaner'!$B$2:$B$10001,MATCH(9027,'Email Cleaner'!$H$2:$H$10001,0)),"")</f>
        <v/>
      </c>
    </row>
    <row r="9029">
      <c r="A9029">
        <f>IFERROR(INDEX('Email Cleaner'!$B$2:$B$10001,MATCH(9028,'Email Cleaner'!$H$2:$H$10001,0)),"")</f>
        <v/>
      </c>
    </row>
    <row r="9030">
      <c r="A9030">
        <f>IFERROR(INDEX('Email Cleaner'!$B$2:$B$10001,MATCH(9029,'Email Cleaner'!$H$2:$H$10001,0)),"")</f>
        <v/>
      </c>
    </row>
    <row r="9031">
      <c r="A9031">
        <f>IFERROR(INDEX('Email Cleaner'!$B$2:$B$10001,MATCH(9030,'Email Cleaner'!$H$2:$H$10001,0)),"")</f>
        <v/>
      </c>
    </row>
    <row r="9032">
      <c r="A9032">
        <f>IFERROR(INDEX('Email Cleaner'!$B$2:$B$10001,MATCH(9031,'Email Cleaner'!$H$2:$H$10001,0)),"")</f>
        <v/>
      </c>
    </row>
    <row r="9033">
      <c r="A9033">
        <f>IFERROR(INDEX('Email Cleaner'!$B$2:$B$10001,MATCH(9032,'Email Cleaner'!$H$2:$H$10001,0)),"")</f>
        <v/>
      </c>
    </row>
    <row r="9034">
      <c r="A9034">
        <f>IFERROR(INDEX('Email Cleaner'!$B$2:$B$10001,MATCH(9033,'Email Cleaner'!$H$2:$H$10001,0)),"")</f>
        <v/>
      </c>
    </row>
    <row r="9035">
      <c r="A9035">
        <f>IFERROR(INDEX('Email Cleaner'!$B$2:$B$10001,MATCH(9034,'Email Cleaner'!$H$2:$H$10001,0)),"")</f>
        <v/>
      </c>
    </row>
    <row r="9036">
      <c r="A9036">
        <f>IFERROR(INDEX('Email Cleaner'!$B$2:$B$10001,MATCH(9035,'Email Cleaner'!$H$2:$H$10001,0)),"")</f>
        <v/>
      </c>
    </row>
    <row r="9037">
      <c r="A9037">
        <f>IFERROR(INDEX('Email Cleaner'!$B$2:$B$10001,MATCH(9036,'Email Cleaner'!$H$2:$H$10001,0)),"")</f>
        <v/>
      </c>
    </row>
    <row r="9038">
      <c r="A9038">
        <f>IFERROR(INDEX('Email Cleaner'!$B$2:$B$10001,MATCH(9037,'Email Cleaner'!$H$2:$H$10001,0)),"")</f>
        <v/>
      </c>
    </row>
    <row r="9039">
      <c r="A9039">
        <f>IFERROR(INDEX('Email Cleaner'!$B$2:$B$10001,MATCH(9038,'Email Cleaner'!$H$2:$H$10001,0)),"")</f>
        <v/>
      </c>
    </row>
    <row r="9040">
      <c r="A9040">
        <f>IFERROR(INDEX('Email Cleaner'!$B$2:$B$10001,MATCH(9039,'Email Cleaner'!$H$2:$H$10001,0)),"")</f>
        <v/>
      </c>
    </row>
    <row r="9041">
      <c r="A9041">
        <f>IFERROR(INDEX('Email Cleaner'!$B$2:$B$10001,MATCH(9040,'Email Cleaner'!$H$2:$H$10001,0)),"")</f>
        <v/>
      </c>
    </row>
    <row r="9042">
      <c r="A9042">
        <f>IFERROR(INDEX('Email Cleaner'!$B$2:$B$10001,MATCH(9041,'Email Cleaner'!$H$2:$H$10001,0)),"")</f>
        <v/>
      </c>
    </row>
    <row r="9043">
      <c r="A9043">
        <f>IFERROR(INDEX('Email Cleaner'!$B$2:$B$10001,MATCH(9042,'Email Cleaner'!$H$2:$H$10001,0)),"")</f>
        <v/>
      </c>
    </row>
    <row r="9044">
      <c r="A9044">
        <f>IFERROR(INDEX('Email Cleaner'!$B$2:$B$10001,MATCH(9043,'Email Cleaner'!$H$2:$H$10001,0)),"")</f>
        <v/>
      </c>
    </row>
    <row r="9045">
      <c r="A9045">
        <f>IFERROR(INDEX('Email Cleaner'!$B$2:$B$10001,MATCH(9044,'Email Cleaner'!$H$2:$H$10001,0)),"")</f>
        <v/>
      </c>
    </row>
    <row r="9046">
      <c r="A9046">
        <f>IFERROR(INDEX('Email Cleaner'!$B$2:$B$10001,MATCH(9045,'Email Cleaner'!$H$2:$H$10001,0)),"")</f>
        <v/>
      </c>
    </row>
    <row r="9047">
      <c r="A9047">
        <f>IFERROR(INDEX('Email Cleaner'!$B$2:$B$10001,MATCH(9046,'Email Cleaner'!$H$2:$H$10001,0)),"")</f>
        <v/>
      </c>
    </row>
    <row r="9048">
      <c r="A9048">
        <f>IFERROR(INDEX('Email Cleaner'!$B$2:$B$10001,MATCH(9047,'Email Cleaner'!$H$2:$H$10001,0)),"")</f>
        <v/>
      </c>
    </row>
    <row r="9049">
      <c r="A9049">
        <f>IFERROR(INDEX('Email Cleaner'!$B$2:$B$10001,MATCH(9048,'Email Cleaner'!$H$2:$H$10001,0)),"")</f>
        <v/>
      </c>
    </row>
    <row r="9050">
      <c r="A9050">
        <f>IFERROR(INDEX('Email Cleaner'!$B$2:$B$10001,MATCH(9049,'Email Cleaner'!$H$2:$H$10001,0)),"")</f>
        <v/>
      </c>
    </row>
    <row r="9051">
      <c r="A9051">
        <f>IFERROR(INDEX('Email Cleaner'!$B$2:$B$10001,MATCH(9050,'Email Cleaner'!$H$2:$H$10001,0)),"")</f>
        <v/>
      </c>
    </row>
    <row r="9052">
      <c r="A9052">
        <f>IFERROR(INDEX('Email Cleaner'!$B$2:$B$10001,MATCH(9051,'Email Cleaner'!$H$2:$H$10001,0)),"")</f>
        <v/>
      </c>
    </row>
    <row r="9053">
      <c r="A9053">
        <f>IFERROR(INDEX('Email Cleaner'!$B$2:$B$10001,MATCH(9052,'Email Cleaner'!$H$2:$H$10001,0)),"")</f>
        <v/>
      </c>
    </row>
    <row r="9054">
      <c r="A9054">
        <f>IFERROR(INDEX('Email Cleaner'!$B$2:$B$10001,MATCH(9053,'Email Cleaner'!$H$2:$H$10001,0)),"")</f>
        <v/>
      </c>
    </row>
    <row r="9055">
      <c r="A9055">
        <f>IFERROR(INDEX('Email Cleaner'!$B$2:$B$10001,MATCH(9054,'Email Cleaner'!$H$2:$H$10001,0)),"")</f>
        <v/>
      </c>
    </row>
    <row r="9056">
      <c r="A9056">
        <f>IFERROR(INDEX('Email Cleaner'!$B$2:$B$10001,MATCH(9055,'Email Cleaner'!$H$2:$H$10001,0)),"")</f>
        <v/>
      </c>
    </row>
    <row r="9057">
      <c r="A9057">
        <f>IFERROR(INDEX('Email Cleaner'!$B$2:$B$10001,MATCH(9056,'Email Cleaner'!$H$2:$H$10001,0)),"")</f>
        <v/>
      </c>
    </row>
    <row r="9058">
      <c r="A9058">
        <f>IFERROR(INDEX('Email Cleaner'!$B$2:$B$10001,MATCH(9057,'Email Cleaner'!$H$2:$H$10001,0)),"")</f>
        <v/>
      </c>
    </row>
    <row r="9059">
      <c r="A9059">
        <f>IFERROR(INDEX('Email Cleaner'!$B$2:$B$10001,MATCH(9058,'Email Cleaner'!$H$2:$H$10001,0)),"")</f>
        <v/>
      </c>
    </row>
    <row r="9060">
      <c r="A9060">
        <f>IFERROR(INDEX('Email Cleaner'!$B$2:$B$10001,MATCH(9059,'Email Cleaner'!$H$2:$H$10001,0)),"")</f>
        <v/>
      </c>
    </row>
    <row r="9061">
      <c r="A9061">
        <f>IFERROR(INDEX('Email Cleaner'!$B$2:$B$10001,MATCH(9060,'Email Cleaner'!$H$2:$H$10001,0)),"")</f>
        <v/>
      </c>
    </row>
    <row r="9062">
      <c r="A9062">
        <f>IFERROR(INDEX('Email Cleaner'!$B$2:$B$10001,MATCH(9061,'Email Cleaner'!$H$2:$H$10001,0)),"")</f>
        <v/>
      </c>
    </row>
    <row r="9063">
      <c r="A9063">
        <f>IFERROR(INDEX('Email Cleaner'!$B$2:$B$10001,MATCH(9062,'Email Cleaner'!$H$2:$H$10001,0)),"")</f>
        <v/>
      </c>
    </row>
    <row r="9064">
      <c r="A9064">
        <f>IFERROR(INDEX('Email Cleaner'!$B$2:$B$10001,MATCH(9063,'Email Cleaner'!$H$2:$H$10001,0)),"")</f>
        <v/>
      </c>
    </row>
    <row r="9065">
      <c r="A9065">
        <f>IFERROR(INDEX('Email Cleaner'!$B$2:$B$10001,MATCH(9064,'Email Cleaner'!$H$2:$H$10001,0)),"")</f>
        <v/>
      </c>
    </row>
    <row r="9066">
      <c r="A9066">
        <f>IFERROR(INDEX('Email Cleaner'!$B$2:$B$10001,MATCH(9065,'Email Cleaner'!$H$2:$H$10001,0)),"")</f>
        <v/>
      </c>
    </row>
    <row r="9067">
      <c r="A9067">
        <f>IFERROR(INDEX('Email Cleaner'!$B$2:$B$10001,MATCH(9066,'Email Cleaner'!$H$2:$H$10001,0)),"")</f>
        <v/>
      </c>
    </row>
    <row r="9068">
      <c r="A9068">
        <f>IFERROR(INDEX('Email Cleaner'!$B$2:$B$10001,MATCH(9067,'Email Cleaner'!$H$2:$H$10001,0)),"")</f>
        <v/>
      </c>
    </row>
    <row r="9069">
      <c r="A9069">
        <f>IFERROR(INDEX('Email Cleaner'!$B$2:$B$10001,MATCH(9068,'Email Cleaner'!$H$2:$H$10001,0)),"")</f>
        <v/>
      </c>
    </row>
    <row r="9070">
      <c r="A9070">
        <f>IFERROR(INDEX('Email Cleaner'!$B$2:$B$10001,MATCH(9069,'Email Cleaner'!$H$2:$H$10001,0)),"")</f>
        <v/>
      </c>
    </row>
    <row r="9071">
      <c r="A9071">
        <f>IFERROR(INDEX('Email Cleaner'!$B$2:$B$10001,MATCH(9070,'Email Cleaner'!$H$2:$H$10001,0)),"")</f>
        <v/>
      </c>
    </row>
    <row r="9072">
      <c r="A9072">
        <f>IFERROR(INDEX('Email Cleaner'!$B$2:$B$10001,MATCH(9071,'Email Cleaner'!$H$2:$H$10001,0)),"")</f>
        <v/>
      </c>
    </row>
    <row r="9073">
      <c r="A9073">
        <f>IFERROR(INDEX('Email Cleaner'!$B$2:$B$10001,MATCH(9072,'Email Cleaner'!$H$2:$H$10001,0)),"")</f>
        <v/>
      </c>
    </row>
    <row r="9074">
      <c r="A9074">
        <f>IFERROR(INDEX('Email Cleaner'!$B$2:$B$10001,MATCH(9073,'Email Cleaner'!$H$2:$H$10001,0)),"")</f>
        <v/>
      </c>
    </row>
    <row r="9075">
      <c r="A9075">
        <f>IFERROR(INDEX('Email Cleaner'!$B$2:$B$10001,MATCH(9074,'Email Cleaner'!$H$2:$H$10001,0)),"")</f>
        <v/>
      </c>
    </row>
    <row r="9076">
      <c r="A9076">
        <f>IFERROR(INDEX('Email Cleaner'!$B$2:$B$10001,MATCH(9075,'Email Cleaner'!$H$2:$H$10001,0)),"")</f>
        <v/>
      </c>
    </row>
    <row r="9077">
      <c r="A9077">
        <f>IFERROR(INDEX('Email Cleaner'!$B$2:$B$10001,MATCH(9076,'Email Cleaner'!$H$2:$H$10001,0)),"")</f>
        <v/>
      </c>
    </row>
    <row r="9078">
      <c r="A9078">
        <f>IFERROR(INDEX('Email Cleaner'!$B$2:$B$10001,MATCH(9077,'Email Cleaner'!$H$2:$H$10001,0)),"")</f>
        <v/>
      </c>
    </row>
    <row r="9079">
      <c r="A9079">
        <f>IFERROR(INDEX('Email Cleaner'!$B$2:$B$10001,MATCH(9078,'Email Cleaner'!$H$2:$H$10001,0)),"")</f>
        <v/>
      </c>
    </row>
    <row r="9080">
      <c r="A9080">
        <f>IFERROR(INDEX('Email Cleaner'!$B$2:$B$10001,MATCH(9079,'Email Cleaner'!$H$2:$H$10001,0)),"")</f>
        <v/>
      </c>
    </row>
    <row r="9081">
      <c r="A9081">
        <f>IFERROR(INDEX('Email Cleaner'!$B$2:$B$10001,MATCH(9080,'Email Cleaner'!$H$2:$H$10001,0)),"")</f>
        <v/>
      </c>
    </row>
    <row r="9082">
      <c r="A9082">
        <f>IFERROR(INDEX('Email Cleaner'!$B$2:$B$10001,MATCH(9081,'Email Cleaner'!$H$2:$H$10001,0)),"")</f>
        <v/>
      </c>
    </row>
    <row r="9083">
      <c r="A9083">
        <f>IFERROR(INDEX('Email Cleaner'!$B$2:$B$10001,MATCH(9082,'Email Cleaner'!$H$2:$H$10001,0)),"")</f>
        <v/>
      </c>
    </row>
    <row r="9084">
      <c r="A9084">
        <f>IFERROR(INDEX('Email Cleaner'!$B$2:$B$10001,MATCH(9083,'Email Cleaner'!$H$2:$H$10001,0)),"")</f>
        <v/>
      </c>
    </row>
    <row r="9085">
      <c r="A9085">
        <f>IFERROR(INDEX('Email Cleaner'!$B$2:$B$10001,MATCH(9084,'Email Cleaner'!$H$2:$H$10001,0)),"")</f>
        <v/>
      </c>
    </row>
    <row r="9086">
      <c r="A9086">
        <f>IFERROR(INDEX('Email Cleaner'!$B$2:$B$10001,MATCH(9085,'Email Cleaner'!$H$2:$H$10001,0)),"")</f>
        <v/>
      </c>
    </row>
    <row r="9087">
      <c r="A9087">
        <f>IFERROR(INDEX('Email Cleaner'!$B$2:$B$10001,MATCH(9086,'Email Cleaner'!$H$2:$H$10001,0)),"")</f>
        <v/>
      </c>
    </row>
    <row r="9088">
      <c r="A9088">
        <f>IFERROR(INDEX('Email Cleaner'!$B$2:$B$10001,MATCH(9087,'Email Cleaner'!$H$2:$H$10001,0)),"")</f>
        <v/>
      </c>
    </row>
    <row r="9089">
      <c r="A9089">
        <f>IFERROR(INDEX('Email Cleaner'!$B$2:$B$10001,MATCH(9088,'Email Cleaner'!$H$2:$H$10001,0)),"")</f>
        <v/>
      </c>
    </row>
    <row r="9090">
      <c r="A9090">
        <f>IFERROR(INDEX('Email Cleaner'!$B$2:$B$10001,MATCH(9089,'Email Cleaner'!$H$2:$H$10001,0)),"")</f>
        <v/>
      </c>
    </row>
    <row r="9091">
      <c r="A9091">
        <f>IFERROR(INDEX('Email Cleaner'!$B$2:$B$10001,MATCH(9090,'Email Cleaner'!$H$2:$H$10001,0)),"")</f>
        <v/>
      </c>
    </row>
    <row r="9092">
      <c r="A9092">
        <f>IFERROR(INDEX('Email Cleaner'!$B$2:$B$10001,MATCH(9091,'Email Cleaner'!$H$2:$H$10001,0)),"")</f>
        <v/>
      </c>
    </row>
    <row r="9093">
      <c r="A9093">
        <f>IFERROR(INDEX('Email Cleaner'!$B$2:$B$10001,MATCH(9092,'Email Cleaner'!$H$2:$H$10001,0)),"")</f>
        <v/>
      </c>
    </row>
    <row r="9094">
      <c r="A9094">
        <f>IFERROR(INDEX('Email Cleaner'!$B$2:$B$10001,MATCH(9093,'Email Cleaner'!$H$2:$H$10001,0)),"")</f>
        <v/>
      </c>
    </row>
    <row r="9095">
      <c r="A9095">
        <f>IFERROR(INDEX('Email Cleaner'!$B$2:$B$10001,MATCH(9094,'Email Cleaner'!$H$2:$H$10001,0)),"")</f>
        <v/>
      </c>
    </row>
    <row r="9096">
      <c r="A9096">
        <f>IFERROR(INDEX('Email Cleaner'!$B$2:$B$10001,MATCH(9095,'Email Cleaner'!$H$2:$H$10001,0)),"")</f>
        <v/>
      </c>
    </row>
    <row r="9097">
      <c r="A9097">
        <f>IFERROR(INDEX('Email Cleaner'!$B$2:$B$10001,MATCH(9096,'Email Cleaner'!$H$2:$H$10001,0)),"")</f>
        <v/>
      </c>
    </row>
    <row r="9098">
      <c r="A9098">
        <f>IFERROR(INDEX('Email Cleaner'!$B$2:$B$10001,MATCH(9097,'Email Cleaner'!$H$2:$H$10001,0)),"")</f>
        <v/>
      </c>
    </row>
    <row r="9099">
      <c r="A9099">
        <f>IFERROR(INDEX('Email Cleaner'!$B$2:$B$10001,MATCH(9098,'Email Cleaner'!$H$2:$H$10001,0)),"")</f>
        <v/>
      </c>
    </row>
    <row r="9100">
      <c r="A9100">
        <f>IFERROR(INDEX('Email Cleaner'!$B$2:$B$10001,MATCH(9099,'Email Cleaner'!$H$2:$H$10001,0)),"")</f>
        <v/>
      </c>
    </row>
    <row r="9101">
      <c r="A9101">
        <f>IFERROR(INDEX('Email Cleaner'!$B$2:$B$10001,MATCH(9100,'Email Cleaner'!$H$2:$H$10001,0)),"")</f>
        <v/>
      </c>
    </row>
    <row r="9102">
      <c r="A9102">
        <f>IFERROR(INDEX('Email Cleaner'!$B$2:$B$10001,MATCH(9101,'Email Cleaner'!$H$2:$H$10001,0)),"")</f>
        <v/>
      </c>
    </row>
    <row r="9103">
      <c r="A9103">
        <f>IFERROR(INDEX('Email Cleaner'!$B$2:$B$10001,MATCH(9102,'Email Cleaner'!$H$2:$H$10001,0)),"")</f>
        <v/>
      </c>
    </row>
    <row r="9104">
      <c r="A9104">
        <f>IFERROR(INDEX('Email Cleaner'!$B$2:$B$10001,MATCH(9103,'Email Cleaner'!$H$2:$H$10001,0)),"")</f>
        <v/>
      </c>
    </row>
    <row r="9105">
      <c r="A9105">
        <f>IFERROR(INDEX('Email Cleaner'!$B$2:$B$10001,MATCH(9104,'Email Cleaner'!$H$2:$H$10001,0)),"")</f>
        <v/>
      </c>
    </row>
    <row r="9106">
      <c r="A9106">
        <f>IFERROR(INDEX('Email Cleaner'!$B$2:$B$10001,MATCH(9105,'Email Cleaner'!$H$2:$H$10001,0)),"")</f>
        <v/>
      </c>
    </row>
    <row r="9107">
      <c r="A9107">
        <f>IFERROR(INDEX('Email Cleaner'!$B$2:$B$10001,MATCH(9106,'Email Cleaner'!$H$2:$H$10001,0)),"")</f>
        <v/>
      </c>
    </row>
    <row r="9108">
      <c r="A9108">
        <f>IFERROR(INDEX('Email Cleaner'!$B$2:$B$10001,MATCH(9107,'Email Cleaner'!$H$2:$H$10001,0)),"")</f>
        <v/>
      </c>
    </row>
    <row r="9109">
      <c r="A9109">
        <f>IFERROR(INDEX('Email Cleaner'!$B$2:$B$10001,MATCH(9108,'Email Cleaner'!$H$2:$H$10001,0)),"")</f>
        <v/>
      </c>
    </row>
    <row r="9110">
      <c r="A9110">
        <f>IFERROR(INDEX('Email Cleaner'!$B$2:$B$10001,MATCH(9109,'Email Cleaner'!$H$2:$H$10001,0)),"")</f>
        <v/>
      </c>
    </row>
    <row r="9111">
      <c r="A9111">
        <f>IFERROR(INDEX('Email Cleaner'!$B$2:$B$10001,MATCH(9110,'Email Cleaner'!$H$2:$H$10001,0)),"")</f>
        <v/>
      </c>
    </row>
    <row r="9112">
      <c r="A9112">
        <f>IFERROR(INDEX('Email Cleaner'!$B$2:$B$10001,MATCH(9111,'Email Cleaner'!$H$2:$H$10001,0)),"")</f>
        <v/>
      </c>
    </row>
    <row r="9113">
      <c r="A9113">
        <f>IFERROR(INDEX('Email Cleaner'!$B$2:$B$10001,MATCH(9112,'Email Cleaner'!$H$2:$H$10001,0)),"")</f>
        <v/>
      </c>
    </row>
    <row r="9114">
      <c r="A9114">
        <f>IFERROR(INDEX('Email Cleaner'!$B$2:$B$10001,MATCH(9113,'Email Cleaner'!$H$2:$H$10001,0)),"")</f>
        <v/>
      </c>
    </row>
    <row r="9115">
      <c r="A9115">
        <f>IFERROR(INDEX('Email Cleaner'!$B$2:$B$10001,MATCH(9114,'Email Cleaner'!$H$2:$H$10001,0)),"")</f>
        <v/>
      </c>
    </row>
    <row r="9116">
      <c r="A9116">
        <f>IFERROR(INDEX('Email Cleaner'!$B$2:$B$10001,MATCH(9115,'Email Cleaner'!$H$2:$H$10001,0)),"")</f>
        <v/>
      </c>
    </row>
    <row r="9117">
      <c r="A9117">
        <f>IFERROR(INDEX('Email Cleaner'!$B$2:$B$10001,MATCH(9116,'Email Cleaner'!$H$2:$H$10001,0)),"")</f>
        <v/>
      </c>
    </row>
    <row r="9118">
      <c r="A9118">
        <f>IFERROR(INDEX('Email Cleaner'!$B$2:$B$10001,MATCH(9117,'Email Cleaner'!$H$2:$H$10001,0)),"")</f>
        <v/>
      </c>
    </row>
    <row r="9119">
      <c r="A9119">
        <f>IFERROR(INDEX('Email Cleaner'!$B$2:$B$10001,MATCH(9118,'Email Cleaner'!$H$2:$H$10001,0)),"")</f>
        <v/>
      </c>
    </row>
    <row r="9120">
      <c r="A9120">
        <f>IFERROR(INDEX('Email Cleaner'!$B$2:$B$10001,MATCH(9119,'Email Cleaner'!$H$2:$H$10001,0)),"")</f>
        <v/>
      </c>
    </row>
    <row r="9121">
      <c r="A9121">
        <f>IFERROR(INDEX('Email Cleaner'!$B$2:$B$10001,MATCH(9120,'Email Cleaner'!$H$2:$H$10001,0)),"")</f>
        <v/>
      </c>
    </row>
    <row r="9122">
      <c r="A9122">
        <f>IFERROR(INDEX('Email Cleaner'!$B$2:$B$10001,MATCH(9121,'Email Cleaner'!$H$2:$H$10001,0)),"")</f>
        <v/>
      </c>
    </row>
    <row r="9123">
      <c r="A9123">
        <f>IFERROR(INDEX('Email Cleaner'!$B$2:$B$10001,MATCH(9122,'Email Cleaner'!$H$2:$H$10001,0)),"")</f>
        <v/>
      </c>
    </row>
    <row r="9124">
      <c r="A9124">
        <f>IFERROR(INDEX('Email Cleaner'!$B$2:$B$10001,MATCH(9123,'Email Cleaner'!$H$2:$H$10001,0)),"")</f>
        <v/>
      </c>
    </row>
    <row r="9125">
      <c r="A9125">
        <f>IFERROR(INDEX('Email Cleaner'!$B$2:$B$10001,MATCH(9124,'Email Cleaner'!$H$2:$H$10001,0)),"")</f>
        <v/>
      </c>
    </row>
    <row r="9126">
      <c r="A9126">
        <f>IFERROR(INDEX('Email Cleaner'!$B$2:$B$10001,MATCH(9125,'Email Cleaner'!$H$2:$H$10001,0)),"")</f>
        <v/>
      </c>
    </row>
    <row r="9127">
      <c r="A9127">
        <f>IFERROR(INDEX('Email Cleaner'!$B$2:$B$10001,MATCH(9126,'Email Cleaner'!$H$2:$H$10001,0)),"")</f>
        <v/>
      </c>
    </row>
    <row r="9128">
      <c r="A9128">
        <f>IFERROR(INDEX('Email Cleaner'!$B$2:$B$10001,MATCH(9127,'Email Cleaner'!$H$2:$H$10001,0)),"")</f>
        <v/>
      </c>
    </row>
    <row r="9129">
      <c r="A9129">
        <f>IFERROR(INDEX('Email Cleaner'!$B$2:$B$10001,MATCH(9128,'Email Cleaner'!$H$2:$H$10001,0)),"")</f>
        <v/>
      </c>
    </row>
    <row r="9130">
      <c r="A9130">
        <f>IFERROR(INDEX('Email Cleaner'!$B$2:$B$10001,MATCH(9129,'Email Cleaner'!$H$2:$H$10001,0)),"")</f>
        <v/>
      </c>
    </row>
    <row r="9131">
      <c r="A9131">
        <f>IFERROR(INDEX('Email Cleaner'!$B$2:$B$10001,MATCH(9130,'Email Cleaner'!$H$2:$H$10001,0)),"")</f>
        <v/>
      </c>
    </row>
    <row r="9132">
      <c r="A9132">
        <f>IFERROR(INDEX('Email Cleaner'!$B$2:$B$10001,MATCH(9131,'Email Cleaner'!$H$2:$H$10001,0)),"")</f>
        <v/>
      </c>
    </row>
    <row r="9133">
      <c r="A9133">
        <f>IFERROR(INDEX('Email Cleaner'!$B$2:$B$10001,MATCH(9132,'Email Cleaner'!$H$2:$H$10001,0)),"")</f>
        <v/>
      </c>
    </row>
    <row r="9134">
      <c r="A9134">
        <f>IFERROR(INDEX('Email Cleaner'!$B$2:$B$10001,MATCH(9133,'Email Cleaner'!$H$2:$H$10001,0)),"")</f>
        <v/>
      </c>
    </row>
    <row r="9135">
      <c r="A9135">
        <f>IFERROR(INDEX('Email Cleaner'!$B$2:$B$10001,MATCH(9134,'Email Cleaner'!$H$2:$H$10001,0)),"")</f>
        <v/>
      </c>
    </row>
    <row r="9136">
      <c r="A9136">
        <f>IFERROR(INDEX('Email Cleaner'!$B$2:$B$10001,MATCH(9135,'Email Cleaner'!$H$2:$H$10001,0)),"")</f>
        <v/>
      </c>
    </row>
    <row r="9137">
      <c r="A9137">
        <f>IFERROR(INDEX('Email Cleaner'!$B$2:$B$10001,MATCH(9136,'Email Cleaner'!$H$2:$H$10001,0)),"")</f>
        <v/>
      </c>
    </row>
    <row r="9138">
      <c r="A9138">
        <f>IFERROR(INDEX('Email Cleaner'!$B$2:$B$10001,MATCH(9137,'Email Cleaner'!$H$2:$H$10001,0)),"")</f>
        <v/>
      </c>
    </row>
    <row r="9139">
      <c r="A9139">
        <f>IFERROR(INDEX('Email Cleaner'!$B$2:$B$10001,MATCH(9138,'Email Cleaner'!$H$2:$H$10001,0)),"")</f>
        <v/>
      </c>
    </row>
    <row r="9140">
      <c r="A9140">
        <f>IFERROR(INDEX('Email Cleaner'!$B$2:$B$10001,MATCH(9139,'Email Cleaner'!$H$2:$H$10001,0)),"")</f>
        <v/>
      </c>
    </row>
    <row r="9141">
      <c r="A9141">
        <f>IFERROR(INDEX('Email Cleaner'!$B$2:$B$10001,MATCH(9140,'Email Cleaner'!$H$2:$H$10001,0)),"")</f>
        <v/>
      </c>
    </row>
    <row r="9142">
      <c r="A9142">
        <f>IFERROR(INDEX('Email Cleaner'!$B$2:$B$10001,MATCH(9141,'Email Cleaner'!$H$2:$H$10001,0)),"")</f>
        <v/>
      </c>
    </row>
    <row r="9143">
      <c r="A9143">
        <f>IFERROR(INDEX('Email Cleaner'!$B$2:$B$10001,MATCH(9142,'Email Cleaner'!$H$2:$H$10001,0)),"")</f>
        <v/>
      </c>
    </row>
    <row r="9144">
      <c r="A9144">
        <f>IFERROR(INDEX('Email Cleaner'!$B$2:$B$10001,MATCH(9143,'Email Cleaner'!$H$2:$H$10001,0)),"")</f>
        <v/>
      </c>
    </row>
    <row r="9145">
      <c r="A9145">
        <f>IFERROR(INDEX('Email Cleaner'!$B$2:$B$10001,MATCH(9144,'Email Cleaner'!$H$2:$H$10001,0)),"")</f>
        <v/>
      </c>
    </row>
    <row r="9146">
      <c r="A9146">
        <f>IFERROR(INDEX('Email Cleaner'!$B$2:$B$10001,MATCH(9145,'Email Cleaner'!$H$2:$H$10001,0)),"")</f>
        <v/>
      </c>
    </row>
    <row r="9147">
      <c r="A9147">
        <f>IFERROR(INDEX('Email Cleaner'!$B$2:$B$10001,MATCH(9146,'Email Cleaner'!$H$2:$H$10001,0)),"")</f>
        <v/>
      </c>
    </row>
    <row r="9148">
      <c r="A9148">
        <f>IFERROR(INDEX('Email Cleaner'!$B$2:$B$10001,MATCH(9147,'Email Cleaner'!$H$2:$H$10001,0)),"")</f>
        <v/>
      </c>
    </row>
    <row r="9149">
      <c r="A9149">
        <f>IFERROR(INDEX('Email Cleaner'!$B$2:$B$10001,MATCH(9148,'Email Cleaner'!$H$2:$H$10001,0)),"")</f>
        <v/>
      </c>
    </row>
    <row r="9150">
      <c r="A9150">
        <f>IFERROR(INDEX('Email Cleaner'!$B$2:$B$10001,MATCH(9149,'Email Cleaner'!$H$2:$H$10001,0)),"")</f>
        <v/>
      </c>
    </row>
    <row r="9151">
      <c r="A9151">
        <f>IFERROR(INDEX('Email Cleaner'!$B$2:$B$10001,MATCH(9150,'Email Cleaner'!$H$2:$H$10001,0)),"")</f>
        <v/>
      </c>
    </row>
    <row r="9152">
      <c r="A9152">
        <f>IFERROR(INDEX('Email Cleaner'!$B$2:$B$10001,MATCH(9151,'Email Cleaner'!$H$2:$H$10001,0)),"")</f>
        <v/>
      </c>
    </row>
    <row r="9153">
      <c r="A9153">
        <f>IFERROR(INDEX('Email Cleaner'!$B$2:$B$10001,MATCH(9152,'Email Cleaner'!$H$2:$H$10001,0)),"")</f>
        <v/>
      </c>
    </row>
    <row r="9154">
      <c r="A9154">
        <f>IFERROR(INDEX('Email Cleaner'!$B$2:$B$10001,MATCH(9153,'Email Cleaner'!$H$2:$H$10001,0)),"")</f>
        <v/>
      </c>
    </row>
    <row r="9155">
      <c r="A9155">
        <f>IFERROR(INDEX('Email Cleaner'!$B$2:$B$10001,MATCH(9154,'Email Cleaner'!$H$2:$H$10001,0)),"")</f>
        <v/>
      </c>
    </row>
    <row r="9156">
      <c r="A9156">
        <f>IFERROR(INDEX('Email Cleaner'!$B$2:$B$10001,MATCH(9155,'Email Cleaner'!$H$2:$H$10001,0)),"")</f>
        <v/>
      </c>
    </row>
    <row r="9157">
      <c r="A9157">
        <f>IFERROR(INDEX('Email Cleaner'!$B$2:$B$10001,MATCH(9156,'Email Cleaner'!$H$2:$H$10001,0)),"")</f>
        <v/>
      </c>
    </row>
    <row r="9158">
      <c r="A9158">
        <f>IFERROR(INDEX('Email Cleaner'!$B$2:$B$10001,MATCH(9157,'Email Cleaner'!$H$2:$H$10001,0)),"")</f>
        <v/>
      </c>
    </row>
    <row r="9159">
      <c r="A9159">
        <f>IFERROR(INDEX('Email Cleaner'!$B$2:$B$10001,MATCH(9158,'Email Cleaner'!$H$2:$H$10001,0)),"")</f>
        <v/>
      </c>
    </row>
    <row r="9160">
      <c r="A9160">
        <f>IFERROR(INDEX('Email Cleaner'!$B$2:$B$10001,MATCH(9159,'Email Cleaner'!$H$2:$H$10001,0)),"")</f>
        <v/>
      </c>
    </row>
    <row r="9161">
      <c r="A9161">
        <f>IFERROR(INDEX('Email Cleaner'!$B$2:$B$10001,MATCH(9160,'Email Cleaner'!$H$2:$H$10001,0)),"")</f>
        <v/>
      </c>
    </row>
    <row r="9162">
      <c r="A9162">
        <f>IFERROR(INDEX('Email Cleaner'!$B$2:$B$10001,MATCH(9161,'Email Cleaner'!$H$2:$H$10001,0)),"")</f>
        <v/>
      </c>
    </row>
    <row r="9163">
      <c r="A9163">
        <f>IFERROR(INDEX('Email Cleaner'!$B$2:$B$10001,MATCH(9162,'Email Cleaner'!$H$2:$H$10001,0)),"")</f>
        <v/>
      </c>
    </row>
    <row r="9164">
      <c r="A9164">
        <f>IFERROR(INDEX('Email Cleaner'!$B$2:$B$10001,MATCH(9163,'Email Cleaner'!$H$2:$H$10001,0)),"")</f>
        <v/>
      </c>
    </row>
    <row r="9165">
      <c r="A9165">
        <f>IFERROR(INDEX('Email Cleaner'!$B$2:$B$10001,MATCH(9164,'Email Cleaner'!$H$2:$H$10001,0)),"")</f>
        <v/>
      </c>
    </row>
    <row r="9166">
      <c r="A9166">
        <f>IFERROR(INDEX('Email Cleaner'!$B$2:$B$10001,MATCH(9165,'Email Cleaner'!$H$2:$H$10001,0)),"")</f>
        <v/>
      </c>
    </row>
    <row r="9167">
      <c r="A9167">
        <f>IFERROR(INDEX('Email Cleaner'!$B$2:$B$10001,MATCH(9166,'Email Cleaner'!$H$2:$H$10001,0)),"")</f>
        <v/>
      </c>
    </row>
    <row r="9168">
      <c r="A9168">
        <f>IFERROR(INDEX('Email Cleaner'!$B$2:$B$10001,MATCH(9167,'Email Cleaner'!$H$2:$H$10001,0)),"")</f>
        <v/>
      </c>
    </row>
    <row r="9169">
      <c r="A9169">
        <f>IFERROR(INDEX('Email Cleaner'!$B$2:$B$10001,MATCH(9168,'Email Cleaner'!$H$2:$H$10001,0)),"")</f>
        <v/>
      </c>
    </row>
    <row r="9170">
      <c r="A9170">
        <f>IFERROR(INDEX('Email Cleaner'!$B$2:$B$10001,MATCH(9169,'Email Cleaner'!$H$2:$H$10001,0)),"")</f>
        <v/>
      </c>
    </row>
    <row r="9171">
      <c r="A9171">
        <f>IFERROR(INDEX('Email Cleaner'!$B$2:$B$10001,MATCH(9170,'Email Cleaner'!$H$2:$H$10001,0)),"")</f>
        <v/>
      </c>
    </row>
    <row r="9172">
      <c r="A9172">
        <f>IFERROR(INDEX('Email Cleaner'!$B$2:$B$10001,MATCH(9171,'Email Cleaner'!$H$2:$H$10001,0)),"")</f>
        <v/>
      </c>
    </row>
    <row r="9173">
      <c r="A9173">
        <f>IFERROR(INDEX('Email Cleaner'!$B$2:$B$10001,MATCH(9172,'Email Cleaner'!$H$2:$H$10001,0)),"")</f>
        <v/>
      </c>
    </row>
    <row r="9174">
      <c r="A9174">
        <f>IFERROR(INDEX('Email Cleaner'!$B$2:$B$10001,MATCH(9173,'Email Cleaner'!$H$2:$H$10001,0)),"")</f>
        <v/>
      </c>
    </row>
    <row r="9175">
      <c r="A9175">
        <f>IFERROR(INDEX('Email Cleaner'!$B$2:$B$10001,MATCH(9174,'Email Cleaner'!$H$2:$H$10001,0)),"")</f>
        <v/>
      </c>
    </row>
    <row r="9176">
      <c r="A9176">
        <f>IFERROR(INDEX('Email Cleaner'!$B$2:$B$10001,MATCH(9175,'Email Cleaner'!$H$2:$H$10001,0)),"")</f>
        <v/>
      </c>
    </row>
    <row r="9177">
      <c r="A9177">
        <f>IFERROR(INDEX('Email Cleaner'!$B$2:$B$10001,MATCH(9176,'Email Cleaner'!$H$2:$H$10001,0)),"")</f>
        <v/>
      </c>
    </row>
    <row r="9178">
      <c r="A9178">
        <f>IFERROR(INDEX('Email Cleaner'!$B$2:$B$10001,MATCH(9177,'Email Cleaner'!$H$2:$H$10001,0)),"")</f>
        <v/>
      </c>
    </row>
    <row r="9179">
      <c r="A9179">
        <f>IFERROR(INDEX('Email Cleaner'!$B$2:$B$10001,MATCH(9178,'Email Cleaner'!$H$2:$H$10001,0)),"")</f>
        <v/>
      </c>
    </row>
    <row r="9180">
      <c r="A9180">
        <f>IFERROR(INDEX('Email Cleaner'!$B$2:$B$10001,MATCH(9179,'Email Cleaner'!$H$2:$H$10001,0)),"")</f>
        <v/>
      </c>
    </row>
    <row r="9181">
      <c r="A9181">
        <f>IFERROR(INDEX('Email Cleaner'!$B$2:$B$10001,MATCH(9180,'Email Cleaner'!$H$2:$H$10001,0)),"")</f>
        <v/>
      </c>
    </row>
    <row r="9182">
      <c r="A9182">
        <f>IFERROR(INDEX('Email Cleaner'!$B$2:$B$10001,MATCH(9181,'Email Cleaner'!$H$2:$H$10001,0)),"")</f>
        <v/>
      </c>
    </row>
    <row r="9183">
      <c r="A9183">
        <f>IFERROR(INDEX('Email Cleaner'!$B$2:$B$10001,MATCH(9182,'Email Cleaner'!$H$2:$H$10001,0)),"")</f>
        <v/>
      </c>
    </row>
    <row r="9184">
      <c r="A9184">
        <f>IFERROR(INDEX('Email Cleaner'!$B$2:$B$10001,MATCH(9183,'Email Cleaner'!$H$2:$H$10001,0)),"")</f>
        <v/>
      </c>
    </row>
    <row r="9185">
      <c r="A9185">
        <f>IFERROR(INDEX('Email Cleaner'!$B$2:$B$10001,MATCH(9184,'Email Cleaner'!$H$2:$H$10001,0)),"")</f>
        <v/>
      </c>
    </row>
    <row r="9186">
      <c r="A9186">
        <f>IFERROR(INDEX('Email Cleaner'!$B$2:$B$10001,MATCH(9185,'Email Cleaner'!$H$2:$H$10001,0)),"")</f>
        <v/>
      </c>
    </row>
    <row r="9187">
      <c r="A9187">
        <f>IFERROR(INDEX('Email Cleaner'!$B$2:$B$10001,MATCH(9186,'Email Cleaner'!$H$2:$H$10001,0)),"")</f>
        <v/>
      </c>
    </row>
    <row r="9188">
      <c r="A9188">
        <f>IFERROR(INDEX('Email Cleaner'!$B$2:$B$10001,MATCH(9187,'Email Cleaner'!$H$2:$H$10001,0)),"")</f>
        <v/>
      </c>
    </row>
    <row r="9189">
      <c r="A9189">
        <f>IFERROR(INDEX('Email Cleaner'!$B$2:$B$10001,MATCH(9188,'Email Cleaner'!$H$2:$H$10001,0)),"")</f>
        <v/>
      </c>
    </row>
    <row r="9190">
      <c r="A9190">
        <f>IFERROR(INDEX('Email Cleaner'!$B$2:$B$10001,MATCH(9189,'Email Cleaner'!$H$2:$H$10001,0)),"")</f>
        <v/>
      </c>
    </row>
    <row r="9191">
      <c r="A9191">
        <f>IFERROR(INDEX('Email Cleaner'!$B$2:$B$10001,MATCH(9190,'Email Cleaner'!$H$2:$H$10001,0)),"")</f>
        <v/>
      </c>
    </row>
    <row r="9192">
      <c r="A9192">
        <f>IFERROR(INDEX('Email Cleaner'!$B$2:$B$10001,MATCH(9191,'Email Cleaner'!$H$2:$H$10001,0)),"")</f>
        <v/>
      </c>
    </row>
    <row r="9193">
      <c r="A9193">
        <f>IFERROR(INDEX('Email Cleaner'!$B$2:$B$10001,MATCH(9192,'Email Cleaner'!$H$2:$H$10001,0)),"")</f>
        <v/>
      </c>
    </row>
    <row r="9194">
      <c r="A9194">
        <f>IFERROR(INDEX('Email Cleaner'!$B$2:$B$10001,MATCH(9193,'Email Cleaner'!$H$2:$H$10001,0)),"")</f>
        <v/>
      </c>
    </row>
    <row r="9195">
      <c r="A9195">
        <f>IFERROR(INDEX('Email Cleaner'!$B$2:$B$10001,MATCH(9194,'Email Cleaner'!$H$2:$H$10001,0)),"")</f>
        <v/>
      </c>
    </row>
    <row r="9196">
      <c r="A9196">
        <f>IFERROR(INDEX('Email Cleaner'!$B$2:$B$10001,MATCH(9195,'Email Cleaner'!$H$2:$H$10001,0)),"")</f>
        <v/>
      </c>
    </row>
    <row r="9197">
      <c r="A9197">
        <f>IFERROR(INDEX('Email Cleaner'!$B$2:$B$10001,MATCH(9196,'Email Cleaner'!$H$2:$H$10001,0)),"")</f>
        <v/>
      </c>
    </row>
    <row r="9198">
      <c r="A9198">
        <f>IFERROR(INDEX('Email Cleaner'!$B$2:$B$10001,MATCH(9197,'Email Cleaner'!$H$2:$H$10001,0)),"")</f>
        <v/>
      </c>
    </row>
    <row r="9199">
      <c r="A9199">
        <f>IFERROR(INDEX('Email Cleaner'!$B$2:$B$10001,MATCH(9198,'Email Cleaner'!$H$2:$H$10001,0)),"")</f>
        <v/>
      </c>
    </row>
    <row r="9200">
      <c r="A9200">
        <f>IFERROR(INDEX('Email Cleaner'!$B$2:$B$10001,MATCH(9199,'Email Cleaner'!$H$2:$H$10001,0)),"")</f>
        <v/>
      </c>
    </row>
    <row r="9201">
      <c r="A9201">
        <f>IFERROR(INDEX('Email Cleaner'!$B$2:$B$10001,MATCH(9200,'Email Cleaner'!$H$2:$H$10001,0)),"")</f>
        <v/>
      </c>
    </row>
    <row r="9202">
      <c r="A9202">
        <f>IFERROR(INDEX('Email Cleaner'!$B$2:$B$10001,MATCH(9201,'Email Cleaner'!$H$2:$H$10001,0)),"")</f>
        <v/>
      </c>
    </row>
    <row r="9203">
      <c r="A9203">
        <f>IFERROR(INDEX('Email Cleaner'!$B$2:$B$10001,MATCH(9202,'Email Cleaner'!$H$2:$H$10001,0)),"")</f>
        <v/>
      </c>
    </row>
    <row r="9204">
      <c r="A9204">
        <f>IFERROR(INDEX('Email Cleaner'!$B$2:$B$10001,MATCH(9203,'Email Cleaner'!$H$2:$H$10001,0)),"")</f>
        <v/>
      </c>
    </row>
    <row r="9205">
      <c r="A9205">
        <f>IFERROR(INDEX('Email Cleaner'!$B$2:$B$10001,MATCH(9204,'Email Cleaner'!$H$2:$H$10001,0)),"")</f>
        <v/>
      </c>
    </row>
    <row r="9206">
      <c r="A9206">
        <f>IFERROR(INDEX('Email Cleaner'!$B$2:$B$10001,MATCH(9205,'Email Cleaner'!$H$2:$H$10001,0)),"")</f>
        <v/>
      </c>
    </row>
    <row r="9207">
      <c r="A9207">
        <f>IFERROR(INDEX('Email Cleaner'!$B$2:$B$10001,MATCH(9206,'Email Cleaner'!$H$2:$H$10001,0)),"")</f>
        <v/>
      </c>
    </row>
    <row r="9208">
      <c r="A9208">
        <f>IFERROR(INDEX('Email Cleaner'!$B$2:$B$10001,MATCH(9207,'Email Cleaner'!$H$2:$H$10001,0)),"")</f>
        <v/>
      </c>
    </row>
    <row r="9209">
      <c r="A9209">
        <f>IFERROR(INDEX('Email Cleaner'!$B$2:$B$10001,MATCH(9208,'Email Cleaner'!$H$2:$H$10001,0)),"")</f>
        <v/>
      </c>
    </row>
    <row r="9210">
      <c r="A9210">
        <f>IFERROR(INDEX('Email Cleaner'!$B$2:$B$10001,MATCH(9209,'Email Cleaner'!$H$2:$H$10001,0)),"")</f>
        <v/>
      </c>
    </row>
    <row r="9211">
      <c r="A9211">
        <f>IFERROR(INDEX('Email Cleaner'!$B$2:$B$10001,MATCH(9210,'Email Cleaner'!$H$2:$H$10001,0)),"")</f>
        <v/>
      </c>
    </row>
    <row r="9212">
      <c r="A9212">
        <f>IFERROR(INDEX('Email Cleaner'!$B$2:$B$10001,MATCH(9211,'Email Cleaner'!$H$2:$H$10001,0)),"")</f>
        <v/>
      </c>
    </row>
    <row r="9213">
      <c r="A9213">
        <f>IFERROR(INDEX('Email Cleaner'!$B$2:$B$10001,MATCH(9212,'Email Cleaner'!$H$2:$H$10001,0)),"")</f>
        <v/>
      </c>
    </row>
    <row r="9214">
      <c r="A9214">
        <f>IFERROR(INDEX('Email Cleaner'!$B$2:$B$10001,MATCH(9213,'Email Cleaner'!$H$2:$H$10001,0)),"")</f>
        <v/>
      </c>
    </row>
    <row r="9215">
      <c r="A9215">
        <f>IFERROR(INDEX('Email Cleaner'!$B$2:$B$10001,MATCH(9214,'Email Cleaner'!$H$2:$H$10001,0)),"")</f>
        <v/>
      </c>
    </row>
    <row r="9216">
      <c r="A9216">
        <f>IFERROR(INDEX('Email Cleaner'!$B$2:$B$10001,MATCH(9215,'Email Cleaner'!$H$2:$H$10001,0)),"")</f>
        <v/>
      </c>
    </row>
    <row r="9217">
      <c r="A9217">
        <f>IFERROR(INDEX('Email Cleaner'!$B$2:$B$10001,MATCH(9216,'Email Cleaner'!$H$2:$H$10001,0)),"")</f>
        <v/>
      </c>
    </row>
    <row r="9218">
      <c r="A9218">
        <f>IFERROR(INDEX('Email Cleaner'!$B$2:$B$10001,MATCH(9217,'Email Cleaner'!$H$2:$H$10001,0)),"")</f>
        <v/>
      </c>
    </row>
    <row r="9219">
      <c r="A9219">
        <f>IFERROR(INDEX('Email Cleaner'!$B$2:$B$10001,MATCH(9218,'Email Cleaner'!$H$2:$H$10001,0)),"")</f>
        <v/>
      </c>
    </row>
    <row r="9220">
      <c r="A9220">
        <f>IFERROR(INDEX('Email Cleaner'!$B$2:$B$10001,MATCH(9219,'Email Cleaner'!$H$2:$H$10001,0)),"")</f>
        <v/>
      </c>
    </row>
    <row r="9221">
      <c r="A9221">
        <f>IFERROR(INDEX('Email Cleaner'!$B$2:$B$10001,MATCH(9220,'Email Cleaner'!$H$2:$H$10001,0)),"")</f>
        <v/>
      </c>
    </row>
    <row r="9222">
      <c r="A9222">
        <f>IFERROR(INDEX('Email Cleaner'!$B$2:$B$10001,MATCH(9221,'Email Cleaner'!$H$2:$H$10001,0)),"")</f>
        <v/>
      </c>
    </row>
    <row r="9223">
      <c r="A9223">
        <f>IFERROR(INDEX('Email Cleaner'!$B$2:$B$10001,MATCH(9222,'Email Cleaner'!$H$2:$H$10001,0)),"")</f>
        <v/>
      </c>
    </row>
    <row r="9224">
      <c r="A9224">
        <f>IFERROR(INDEX('Email Cleaner'!$B$2:$B$10001,MATCH(9223,'Email Cleaner'!$H$2:$H$10001,0)),"")</f>
        <v/>
      </c>
    </row>
    <row r="9225">
      <c r="A9225">
        <f>IFERROR(INDEX('Email Cleaner'!$B$2:$B$10001,MATCH(9224,'Email Cleaner'!$H$2:$H$10001,0)),"")</f>
        <v/>
      </c>
    </row>
    <row r="9226">
      <c r="A9226">
        <f>IFERROR(INDEX('Email Cleaner'!$B$2:$B$10001,MATCH(9225,'Email Cleaner'!$H$2:$H$10001,0)),"")</f>
        <v/>
      </c>
    </row>
    <row r="9227">
      <c r="A9227">
        <f>IFERROR(INDEX('Email Cleaner'!$B$2:$B$10001,MATCH(9226,'Email Cleaner'!$H$2:$H$10001,0)),"")</f>
        <v/>
      </c>
    </row>
    <row r="9228">
      <c r="A9228">
        <f>IFERROR(INDEX('Email Cleaner'!$B$2:$B$10001,MATCH(9227,'Email Cleaner'!$H$2:$H$10001,0)),"")</f>
        <v/>
      </c>
    </row>
    <row r="9229">
      <c r="A9229">
        <f>IFERROR(INDEX('Email Cleaner'!$B$2:$B$10001,MATCH(9228,'Email Cleaner'!$H$2:$H$10001,0)),"")</f>
        <v/>
      </c>
    </row>
    <row r="9230">
      <c r="A9230">
        <f>IFERROR(INDEX('Email Cleaner'!$B$2:$B$10001,MATCH(9229,'Email Cleaner'!$H$2:$H$10001,0)),"")</f>
        <v/>
      </c>
    </row>
    <row r="9231">
      <c r="A9231">
        <f>IFERROR(INDEX('Email Cleaner'!$B$2:$B$10001,MATCH(9230,'Email Cleaner'!$H$2:$H$10001,0)),"")</f>
        <v/>
      </c>
    </row>
    <row r="9232">
      <c r="A9232">
        <f>IFERROR(INDEX('Email Cleaner'!$B$2:$B$10001,MATCH(9231,'Email Cleaner'!$H$2:$H$10001,0)),"")</f>
        <v/>
      </c>
    </row>
    <row r="9233">
      <c r="A9233">
        <f>IFERROR(INDEX('Email Cleaner'!$B$2:$B$10001,MATCH(9232,'Email Cleaner'!$H$2:$H$10001,0)),"")</f>
        <v/>
      </c>
    </row>
    <row r="9234">
      <c r="A9234">
        <f>IFERROR(INDEX('Email Cleaner'!$B$2:$B$10001,MATCH(9233,'Email Cleaner'!$H$2:$H$10001,0)),"")</f>
        <v/>
      </c>
    </row>
    <row r="9235">
      <c r="A9235">
        <f>IFERROR(INDEX('Email Cleaner'!$B$2:$B$10001,MATCH(9234,'Email Cleaner'!$H$2:$H$10001,0)),"")</f>
        <v/>
      </c>
    </row>
    <row r="9236">
      <c r="A9236">
        <f>IFERROR(INDEX('Email Cleaner'!$B$2:$B$10001,MATCH(9235,'Email Cleaner'!$H$2:$H$10001,0)),"")</f>
        <v/>
      </c>
    </row>
    <row r="9237">
      <c r="A9237">
        <f>IFERROR(INDEX('Email Cleaner'!$B$2:$B$10001,MATCH(9236,'Email Cleaner'!$H$2:$H$10001,0)),"")</f>
        <v/>
      </c>
    </row>
    <row r="9238">
      <c r="A9238">
        <f>IFERROR(INDEX('Email Cleaner'!$B$2:$B$10001,MATCH(9237,'Email Cleaner'!$H$2:$H$10001,0)),"")</f>
        <v/>
      </c>
    </row>
    <row r="9239">
      <c r="A9239">
        <f>IFERROR(INDEX('Email Cleaner'!$B$2:$B$10001,MATCH(9238,'Email Cleaner'!$H$2:$H$10001,0)),"")</f>
        <v/>
      </c>
    </row>
    <row r="9240">
      <c r="A9240">
        <f>IFERROR(INDEX('Email Cleaner'!$B$2:$B$10001,MATCH(9239,'Email Cleaner'!$H$2:$H$10001,0)),"")</f>
        <v/>
      </c>
    </row>
    <row r="9241">
      <c r="A9241">
        <f>IFERROR(INDEX('Email Cleaner'!$B$2:$B$10001,MATCH(9240,'Email Cleaner'!$H$2:$H$10001,0)),"")</f>
        <v/>
      </c>
    </row>
    <row r="9242">
      <c r="A9242">
        <f>IFERROR(INDEX('Email Cleaner'!$B$2:$B$10001,MATCH(9241,'Email Cleaner'!$H$2:$H$10001,0)),"")</f>
        <v/>
      </c>
    </row>
    <row r="9243">
      <c r="A9243">
        <f>IFERROR(INDEX('Email Cleaner'!$B$2:$B$10001,MATCH(9242,'Email Cleaner'!$H$2:$H$10001,0)),"")</f>
        <v/>
      </c>
    </row>
    <row r="9244">
      <c r="A9244">
        <f>IFERROR(INDEX('Email Cleaner'!$B$2:$B$10001,MATCH(9243,'Email Cleaner'!$H$2:$H$10001,0)),"")</f>
        <v/>
      </c>
    </row>
    <row r="9245">
      <c r="A9245">
        <f>IFERROR(INDEX('Email Cleaner'!$B$2:$B$10001,MATCH(9244,'Email Cleaner'!$H$2:$H$10001,0)),"")</f>
        <v/>
      </c>
    </row>
    <row r="9246">
      <c r="A9246">
        <f>IFERROR(INDEX('Email Cleaner'!$B$2:$B$10001,MATCH(9245,'Email Cleaner'!$H$2:$H$10001,0)),"")</f>
        <v/>
      </c>
    </row>
    <row r="9247">
      <c r="A9247">
        <f>IFERROR(INDEX('Email Cleaner'!$B$2:$B$10001,MATCH(9246,'Email Cleaner'!$H$2:$H$10001,0)),"")</f>
        <v/>
      </c>
    </row>
    <row r="9248">
      <c r="A9248">
        <f>IFERROR(INDEX('Email Cleaner'!$B$2:$B$10001,MATCH(9247,'Email Cleaner'!$H$2:$H$10001,0)),"")</f>
        <v/>
      </c>
    </row>
    <row r="9249">
      <c r="A9249">
        <f>IFERROR(INDEX('Email Cleaner'!$B$2:$B$10001,MATCH(9248,'Email Cleaner'!$H$2:$H$10001,0)),"")</f>
        <v/>
      </c>
    </row>
    <row r="9250">
      <c r="A9250">
        <f>IFERROR(INDEX('Email Cleaner'!$B$2:$B$10001,MATCH(9249,'Email Cleaner'!$H$2:$H$10001,0)),"")</f>
        <v/>
      </c>
    </row>
    <row r="9251">
      <c r="A9251">
        <f>IFERROR(INDEX('Email Cleaner'!$B$2:$B$10001,MATCH(9250,'Email Cleaner'!$H$2:$H$10001,0)),"")</f>
        <v/>
      </c>
    </row>
    <row r="9252">
      <c r="A9252">
        <f>IFERROR(INDEX('Email Cleaner'!$B$2:$B$10001,MATCH(9251,'Email Cleaner'!$H$2:$H$10001,0)),"")</f>
        <v/>
      </c>
    </row>
    <row r="9253">
      <c r="A9253">
        <f>IFERROR(INDEX('Email Cleaner'!$B$2:$B$10001,MATCH(9252,'Email Cleaner'!$H$2:$H$10001,0)),"")</f>
        <v/>
      </c>
    </row>
    <row r="9254">
      <c r="A9254">
        <f>IFERROR(INDEX('Email Cleaner'!$B$2:$B$10001,MATCH(9253,'Email Cleaner'!$H$2:$H$10001,0)),"")</f>
        <v/>
      </c>
    </row>
    <row r="9255">
      <c r="A9255">
        <f>IFERROR(INDEX('Email Cleaner'!$B$2:$B$10001,MATCH(9254,'Email Cleaner'!$H$2:$H$10001,0)),"")</f>
        <v/>
      </c>
    </row>
    <row r="9256">
      <c r="A9256">
        <f>IFERROR(INDEX('Email Cleaner'!$B$2:$B$10001,MATCH(9255,'Email Cleaner'!$H$2:$H$10001,0)),"")</f>
        <v/>
      </c>
    </row>
    <row r="9257">
      <c r="A9257">
        <f>IFERROR(INDEX('Email Cleaner'!$B$2:$B$10001,MATCH(9256,'Email Cleaner'!$H$2:$H$10001,0)),"")</f>
        <v/>
      </c>
    </row>
    <row r="9258">
      <c r="A9258">
        <f>IFERROR(INDEX('Email Cleaner'!$B$2:$B$10001,MATCH(9257,'Email Cleaner'!$H$2:$H$10001,0)),"")</f>
        <v/>
      </c>
    </row>
    <row r="9259">
      <c r="A9259">
        <f>IFERROR(INDEX('Email Cleaner'!$B$2:$B$10001,MATCH(9258,'Email Cleaner'!$H$2:$H$10001,0)),"")</f>
        <v/>
      </c>
    </row>
    <row r="9260">
      <c r="A9260">
        <f>IFERROR(INDEX('Email Cleaner'!$B$2:$B$10001,MATCH(9259,'Email Cleaner'!$H$2:$H$10001,0)),"")</f>
        <v/>
      </c>
    </row>
    <row r="9261">
      <c r="A9261">
        <f>IFERROR(INDEX('Email Cleaner'!$B$2:$B$10001,MATCH(9260,'Email Cleaner'!$H$2:$H$10001,0)),"")</f>
        <v/>
      </c>
    </row>
    <row r="9262">
      <c r="A9262">
        <f>IFERROR(INDEX('Email Cleaner'!$B$2:$B$10001,MATCH(9261,'Email Cleaner'!$H$2:$H$10001,0)),"")</f>
        <v/>
      </c>
    </row>
    <row r="9263">
      <c r="A9263">
        <f>IFERROR(INDEX('Email Cleaner'!$B$2:$B$10001,MATCH(9262,'Email Cleaner'!$H$2:$H$10001,0)),"")</f>
        <v/>
      </c>
    </row>
    <row r="9264">
      <c r="A9264">
        <f>IFERROR(INDEX('Email Cleaner'!$B$2:$B$10001,MATCH(9263,'Email Cleaner'!$H$2:$H$10001,0)),"")</f>
        <v/>
      </c>
    </row>
    <row r="9265">
      <c r="A9265">
        <f>IFERROR(INDEX('Email Cleaner'!$B$2:$B$10001,MATCH(9264,'Email Cleaner'!$H$2:$H$10001,0)),"")</f>
        <v/>
      </c>
    </row>
    <row r="9266">
      <c r="A9266">
        <f>IFERROR(INDEX('Email Cleaner'!$B$2:$B$10001,MATCH(9265,'Email Cleaner'!$H$2:$H$10001,0)),"")</f>
        <v/>
      </c>
    </row>
    <row r="9267">
      <c r="A9267">
        <f>IFERROR(INDEX('Email Cleaner'!$B$2:$B$10001,MATCH(9266,'Email Cleaner'!$H$2:$H$10001,0)),"")</f>
        <v/>
      </c>
    </row>
    <row r="9268">
      <c r="A9268">
        <f>IFERROR(INDEX('Email Cleaner'!$B$2:$B$10001,MATCH(9267,'Email Cleaner'!$H$2:$H$10001,0)),"")</f>
        <v/>
      </c>
    </row>
    <row r="9269">
      <c r="A9269">
        <f>IFERROR(INDEX('Email Cleaner'!$B$2:$B$10001,MATCH(9268,'Email Cleaner'!$H$2:$H$10001,0)),"")</f>
        <v/>
      </c>
    </row>
    <row r="9270">
      <c r="A9270">
        <f>IFERROR(INDEX('Email Cleaner'!$B$2:$B$10001,MATCH(9269,'Email Cleaner'!$H$2:$H$10001,0)),"")</f>
        <v/>
      </c>
    </row>
    <row r="9271">
      <c r="A9271">
        <f>IFERROR(INDEX('Email Cleaner'!$B$2:$B$10001,MATCH(9270,'Email Cleaner'!$H$2:$H$10001,0)),"")</f>
        <v/>
      </c>
    </row>
    <row r="9272">
      <c r="A9272">
        <f>IFERROR(INDEX('Email Cleaner'!$B$2:$B$10001,MATCH(9271,'Email Cleaner'!$H$2:$H$10001,0)),"")</f>
        <v/>
      </c>
    </row>
    <row r="9273">
      <c r="A9273">
        <f>IFERROR(INDEX('Email Cleaner'!$B$2:$B$10001,MATCH(9272,'Email Cleaner'!$H$2:$H$10001,0)),"")</f>
        <v/>
      </c>
    </row>
    <row r="9274">
      <c r="A9274">
        <f>IFERROR(INDEX('Email Cleaner'!$B$2:$B$10001,MATCH(9273,'Email Cleaner'!$H$2:$H$10001,0)),"")</f>
        <v/>
      </c>
    </row>
    <row r="9275">
      <c r="A9275">
        <f>IFERROR(INDEX('Email Cleaner'!$B$2:$B$10001,MATCH(9274,'Email Cleaner'!$H$2:$H$10001,0)),"")</f>
        <v/>
      </c>
    </row>
    <row r="9276">
      <c r="A9276">
        <f>IFERROR(INDEX('Email Cleaner'!$B$2:$B$10001,MATCH(9275,'Email Cleaner'!$H$2:$H$10001,0)),"")</f>
        <v/>
      </c>
    </row>
    <row r="9277">
      <c r="A9277">
        <f>IFERROR(INDEX('Email Cleaner'!$B$2:$B$10001,MATCH(9276,'Email Cleaner'!$H$2:$H$10001,0)),"")</f>
        <v/>
      </c>
    </row>
    <row r="9278">
      <c r="A9278">
        <f>IFERROR(INDEX('Email Cleaner'!$B$2:$B$10001,MATCH(9277,'Email Cleaner'!$H$2:$H$10001,0)),"")</f>
        <v/>
      </c>
    </row>
    <row r="9279">
      <c r="A9279">
        <f>IFERROR(INDEX('Email Cleaner'!$B$2:$B$10001,MATCH(9278,'Email Cleaner'!$H$2:$H$10001,0)),"")</f>
        <v/>
      </c>
    </row>
    <row r="9280">
      <c r="A9280">
        <f>IFERROR(INDEX('Email Cleaner'!$B$2:$B$10001,MATCH(9279,'Email Cleaner'!$H$2:$H$10001,0)),"")</f>
        <v/>
      </c>
    </row>
    <row r="9281">
      <c r="A9281">
        <f>IFERROR(INDEX('Email Cleaner'!$B$2:$B$10001,MATCH(9280,'Email Cleaner'!$H$2:$H$10001,0)),"")</f>
        <v/>
      </c>
    </row>
    <row r="9282">
      <c r="A9282">
        <f>IFERROR(INDEX('Email Cleaner'!$B$2:$B$10001,MATCH(9281,'Email Cleaner'!$H$2:$H$10001,0)),"")</f>
        <v/>
      </c>
    </row>
    <row r="9283">
      <c r="A9283">
        <f>IFERROR(INDEX('Email Cleaner'!$B$2:$B$10001,MATCH(9282,'Email Cleaner'!$H$2:$H$10001,0)),"")</f>
        <v/>
      </c>
    </row>
    <row r="9284">
      <c r="A9284">
        <f>IFERROR(INDEX('Email Cleaner'!$B$2:$B$10001,MATCH(9283,'Email Cleaner'!$H$2:$H$10001,0)),"")</f>
        <v/>
      </c>
    </row>
    <row r="9285">
      <c r="A9285">
        <f>IFERROR(INDEX('Email Cleaner'!$B$2:$B$10001,MATCH(9284,'Email Cleaner'!$H$2:$H$10001,0)),"")</f>
        <v/>
      </c>
    </row>
    <row r="9286">
      <c r="A9286">
        <f>IFERROR(INDEX('Email Cleaner'!$B$2:$B$10001,MATCH(9285,'Email Cleaner'!$H$2:$H$10001,0)),"")</f>
        <v/>
      </c>
    </row>
    <row r="9287">
      <c r="A9287">
        <f>IFERROR(INDEX('Email Cleaner'!$B$2:$B$10001,MATCH(9286,'Email Cleaner'!$H$2:$H$10001,0)),"")</f>
        <v/>
      </c>
    </row>
    <row r="9288">
      <c r="A9288">
        <f>IFERROR(INDEX('Email Cleaner'!$B$2:$B$10001,MATCH(9287,'Email Cleaner'!$H$2:$H$10001,0)),"")</f>
        <v/>
      </c>
    </row>
    <row r="9289">
      <c r="A9289">
        <f>IFERROR(INDEX('Email Cleaner'!$B$2:$B$10001,MATCH(9288,'Email Cleaner'!$H$2:$H$10001,0)),"")</f>
        <v/>
      </c>
    </row>
    <row r="9290">
      <c r="A9290">
        <f>IFERROR(INDEX('Email Cleaner'!$B$2:$B$10001,MATCH(9289,'Email Cleaner'!$H$2:$H$10001,0)),"")</f>
        <v/>
      </c>
    </row>
    <row r="9291">
      <c r="A9291">
        <f>IFERROR(INDEX('Email Cleaner'!$B$2:$B$10001,MATCH(9290,'Email Cleaner'!$H$2:$H$10001,0)),"")</f>
        <v/>
      </c>
    </row>
    <row r="9292">
      <c r="A9292">
        <f>IFERROR(INDEX('Email Cleaner'!$B$2:$B$10001,MATCH(9291,'Email Cleaner'!$H$2:$H$10001,0)),"")</f>
        <v/>
      </c>
    </row>
    <row r="9293">
      <c r="A9293">
        <f>IFERROR(INDEX('Email Cleaner'!$B$2:$B$10001,MATCH(9292,'Email Cleaner'!$H$2:$H$10001,0)),"")</f>
        <v/>
      </c>
    </row>
    <row r="9294">
      <c r="A9294">
        <f>IFERROR(INDEX('Email Cleaner'!$B$2:$B$10001,MATCH(9293,'Email Cleaner'!$H$2:$H$10001,0)),"")</f>
        <v/>
      </c>
    </row>
    <row r="9295">
      <c r="A9295">
        <f>IFERROR(INDEX('Email Cleaner'!$B$2:$B$10001,MATCH(9294,'Email Cleaner'!$H$2:$H$10001,0)),"")</f>
        <v/>
      </c>
    </row>
    <row r="9296">
      <c r="A9296">
        <f>IFERROR(INDEX('Email Cleaner'!$B$2:$B$10001,MATCH(9295,'Email Cleaner'!$H$2:$H$10001,0)),"")</f>
        <v/>
      </c>
    </row>
    <row r="9297">
      <c r="A9297">
        <f>IFERROR(INDEX('Email Cleaner'!$B$2:$B$10001,MATCH(9296,'Email Cleaner'!$H$2:$H$10001,0)),"")</f>
        <v/>
      </c>
    </row>
    <row r="9298">
      <c r="A9298">
        <f>IFERROR(INDEX('Email Cleaner'!$B$2:$B$10001,MATCH(9297,'Email Cleaner'!$H$2:$H$10001,0)),"")</f>
        <v/>
      </c>
    </row>
    <row r="9299">
      <c r="A9299">
        <f>IFERROR(INDEX('Email Cleaner'!$B$2:$B$10001,MATCH(9298,'Email Cleaner'!$H$2:$H$10001,0)),"")</f>
        <v/>
      </c>
    </row>
    <row r="9300">
      <c r="A9300">
        <f>IFERROR(INDEX('Email Cleaner'!$B$2:$B$10001,MATCH(9299,'Email Cleaner'!$H$2:$H$10001,0)),"")</f>
        <v/>
      </c>
    </row>
    <row r="9301">
      <c r="A9301">
        <f>IFERROR(INDEX('Email Cleaner'!$B$2:$B$10001,MATCH(9300,'Email Cleaner'!$H$2:$H$10001,0)),"")</f>
        <v/>
      </c>
    </row>
    <row r="9302">
      <c r="A9302">
        <f>IFERROR(INDEX('Email Cleaner'!$B$2:$B$10001,MATCH(9301,'Email Cleaner'!$H$2:$H$10001,0)),"")</f>
        <v/>
      </c>
    </row>
    <row r="9303">
      <c r="A9303">
        <f>IFERROR(INDEX('Email Cleaner'!$B$2:$B$10001,MATCH(9302,'Email Cleaner'!$H$2:$H$10001,0)),"")</f>
        <v/>
      </c>
    </row>
    <row r="9304">
      <c r="A9304">
        <f>IFERROR(INDEX('Email Cleaner'!$B$2:$B$10001,MATCH(9303,'Email Cleaner'!$H$2:$H$10001,0)),"")</f>
        <v/>
      </c>
    </row>
    <row r="9305">
      <c r="A9305">
        <f>IFERROR(INDEX('Email Cleaner'!$B$2:$B$10001,MATCH(9304,'Email Cleaner'!$H$2:$H$10001,0)),"")</f>
        <v/>
      </c>
    </row>
    <row r="9306">
      <c r="A9306">
        <f>IFERROR(INDEX('Email Cleaner'!$B$2:$B$10001,MATCH(9305,'Email Cleaner'!$H$2:$H$10001,0)),"")</f>
        <v/>
      </c>
    </row>
    <row r="9307">
      <c r="A9307">
        <f>IFERROR(INDEX('Email Cleaner'!$B$2:$B$10001,MATCH(9306,'Email Cleaner'!$H$2:$H$10001,0)),"")</f>
        <v/>
      </c>
    </row>
    <row r="9308">
      <c r="A9308">
        <f>IFERROR(INDEX('Email Cleaner'!$B$2:$B$10001,MATCH(9307,'Email Cleaner'!$H$2:$H$10001,0)),"")</f>
        <v/>
      </c>
    </row>
    <row r="9309">
      <c r="A9309">
        <f>IFERROR(INDEX('Email Cleaner'!$B$2:$B$10001,MATCH(9308,'Email Cleaner'!$H$2:$H$10001,0)),"")</f>
        <v/>
      </c>
    </row>
    <row r="9310">
      <c r="A9310">
        <f>IFERROR(INDEX('Email Cleaner'!$B$2:$B$10001,MATCH(9309,'Email Cleaner'!$H$2:$H$10001,0)),"")</f>
        <v/>
      </c>
    </row>
    <row r="9311">
      <c r="A9311">
        <f>IFERROR(INDEX('Email Cleaner'!$B$2:$B$10001,MATCH(9310,'Email Cleaner'!$H$2:$H$10001,0)),"")</f>
        <v/>
      </c>
    </row>
    <row r="9312">
      <c r="A9312">
        <f>IFERROR(INDEX('Email Cleaner'!$B$2:$B$10001,MATCH(9311,'Email Cleaner'!$H$2:$H$10001,0)),"")</f>
        <v/>
      </c>
    </row>
    <row r="9313">
      <c r="A9313">
        <f>IFERROR(INDEX('Email Cleaner'!$B$2:$B$10001,MATCH(9312,'Email Cleaner'!$H$2:$H$10001,0)),"")</f>
        <v/>
      </c>
    </row>
    <row r="9314">
      <c r="A9314">
        <f>IFERROR(INDEX('Email Cleaner'!$B$2:$B$10001,MATCH(9313,'Email Cleaner'!$H$2:$H$10001,0)),"")</f>
        <v/>
      </c>
    </row>
    <row r="9315">
      <c r="A9315">
        <f>IFERROR(INDEX('Email Cleaner'!$B$2:$B$10001,MATCH(9314,'Email Cleaner'!$H$2:$H$10001,0)),"")</f>
        <v/>
      </c>
    </row>
    <row r="9316">
      <c r="A9316">
        <f>IFERROR(INDEX('Email Cleaner'!$B$2:$B$10001,MATCH(9315,'Email Cleaner'!$H$2:$H$10001,0)),"")</f>
        <v/>
      </c>
    </row>
    <row r="9317">
      <c r="A9317">
        <f>IFERROR(INDEX('Email Cleaner'!$B$2:$B$10001,MATCH(9316,'Email Cleaner'!$H$2:$H$10001,0)),"")</f>
        <v/>
      </c>
    </row>
    <row r="9318">
      <c r="A9318">
        <f>IFERROR(INDEX('Email Cleaner'!$B$2:$B$10001,MATCH(9317,'Email Cleaner'!$H$2:$H$10001,0)),"")</f>
        <v/>
      </c>
    </row>
    <row r="9319">
      <c r="A9319">
        <f>IFERROR(INDEX('Email Cleaner'!$B$2:$B$10001,MATCH(9318,'Email Cleaner'!$H$2:$H$10001,0)),"")</f>
        <v/>
      </c>
    </row>
    <row r="9320">
      <c r="A9320">
        <f>IFERROR(INDEX('Email Cleaner'!$B$2:$B$10001,MATCH(9319,'Email Cleaner'!$H$2:$H$10001,0)),"")</f>
        <v/>
      </c>
    </row>
    <row r="9321">
      <c r="A9321">
        <f>IFERROR(INDEX('Email Cleaner'!$B$2:$B$10001,MATCH(9320,'Email Cleaner'!$H$2:$H$10001,0)),"")</f>
        <v/>
      </c>
    </row>
    <row r="9322">
      <c r="A9322">
        <f>IFERROR(INDEX('Email Cleaner'!$B$2:$B$10001,MATCH(9321,'Email Cleaner'!$H$2:$H$10001,0)),"")</f>
        <v/>
      </c>
    </row>
    <row r="9323">
      <c r="A9323">
        <f>IFERROR(INDEX('Email Cleaner'!$B$2:$B$10001,MATCH(9322,'Email Cleaner'!$H$2:$H$10001,0)),"")</f>
        <v/>
      </c>
    </row>
    <row r="9324">
      <c r="A9324">
        <f>IFERROR(INDEX('Email Cleaner'!$B$2:$B$10001,MATCH(9323,'Email Cleaner'!$H$2:$H$10001,0)),"")</f>
        <v/>
      </c>
    </row>
    <row r="9325">
      <c r="A9325">
        <f>IFERROR(INDEX('Email Cleaner'!$B$2:$B$10001,MATCH(9324,'Email Cleaner'!$H$2:$H$10001,0)),"")</f>
        <v/>
      </c>
    </row>
    <row r="9326">
      <c r="A9326">
        <f>IFERROR(INDEX('Email Cleaner'!$B$2:$B$10001,MATCH(9325,'Email Cleaner'!$H$2:$H$10001,0)),"")</f>
        <v/>
      </c>
    </row>
    <row r="9327">
      <c r="A9327">
        <f>IFERROR(INDEX('Email Cleaner'!$B$2:$B$10001,MATCH(9326,'Email Cleaner'!$H$2:$H$10001,0)),"")</f>
        <v/>
      </c>
    </row>
    <row r="9328">
      <c r="A9328">
        <f>IFERROR(INDEX('Email Cleaner'!$B$2:$B$10001,MATCH(9327,'Email Cleaner'!$H$2:$H$10001,0)),"")</f>
        <v/>
      </c>
    </row>
    <row r="9329">
      <c r="A9329">
        <f>IFERROR(INDEX('Email Cleaner'!$B$2:$B$10001,MATCH(9328,'Email Cleaner'!$H$2:$H$10001,0)),"")</f>
        <v/>
      </c>
    </row>
    <row r="9330">
      <c r="A9330">
        <f>IFERROR(INDEX('Email Cleaner'!$B$2:$B$10001,MATCH(9329,'Email Cleaner'!$H$2:$H$10001,0)),"")</f>
        <v/>
      </c>
    </row>
    <row r="9331">
      <c r="A9331">
        <f>IFERROR(INDEX('Email Cleaner'!$B$2:$B$10001,MATCH(9330,'Email Cleaner'!$H$2:$H$10001,0)),"")</f>
        <v/>
      </c>
    </row>
    <row r="9332">
      <c r="A9332">
        <f>IFERROR(INDEX('Email Cleaner'!$B$2:$B$10001,MATCH(9331,'Email Cleaner'!$H$2:$H$10001,0)),"")</f>
        <v/>
      </c>
    </row>
    <row r="9333">
      <c r="A9333">
        <f>IFERROR(INDEX('Email Cleaner'!$B$2:$B$10001,MATCH(9332,'Email Cleaner'!$H$2:$H$10001,0)),"")</f>
        <v/>
      </c>
    </row>
    <row r="9334">
      <c r="A9334">
        <f>IFERROR(INDEX('Email Cleaner'!$B$2:$B$10001,MATCH(9333,'Email Cleaner'!$H$2:$H$10001,0)),"")</f>
        <v/>
      </c>
    </row>
    <row r="9335">
      <c r="A9335">
        <f>IFERROR(INDEX('Email Cleaner'!$B$2:$B$10001,MATCH(9334,'Email Cleaner'!$H$2:$H$10001,0)),"")</f>
        <v/>
      </c>
    </row>
    <row r="9336">
      <c r="A9336">
        <f>IFERROR(INDEX('Email Cleaner'!$B$2:$B$10001,MATCH(9335,'Email Cleaner'!$H$2:$H$10001,0)),"")</f>
        <v/>
      </c>
    </row>
    <row r="9337">
      <c r="A9337">
        <f>IFERROR(INDEX('Email Cleaner'!$B$2:$B$10001,MATCH(9336,'Email Cleaner'!$H$2:$H$10001,0)),"")</f>
        <v/>
      </c>
    </row>
    <row r="9338">
      <c r="A9338">
        <f>IFERROR(INDEX('Email Cleaner'!$B$2:$B$10001,MATCH(9337,'Email Cleaner'!$H$2:$H$10001,0)),"")</f>
        <v/>
      </c>
    </row>
    <row r="9339">
      <c r="A9339">
        <f>IFERROR(INDEX('Email Cleaner'!$B$2:$B$10001,MATCH(9338,'Email Cleaner'!$H$2:$H$10001,0)),"")</f>
        <v/>
      </c>
    </row>
    <row r="9340">
      <c r="A9340">
        <f>IFERROR(INDEX('Email Cleaner'!$B$2:$B$10001,MATCH(9339,'Email Cleaner'!$H$2:$H$10001,0)),"")</f>
        <v/>
      </c>
    </row>
    <row r="9341">
      <c r="A9341">
        <f>IFERROR(INDEX('Email Cleaner'!$B$2:$B$10001,MATCH(9340,'Email Cleaner'!$H$2:$H$10001,0)),"")</f>
        <v/>
      </c>
    </row>
    <row r="9342">
      <c r="A9342">
        <f>IFERROR(INDEX('Email Cleaner'!$B$2:$B$10001,MATCH(9341,'Email Cleaner'!$H$2:$H$10001,0)),"")</f>
        <v/>
      </c>
    </row>
    <row r="9343">
      <c r="A9343">
        <f>IFERROR(INDEX('Email Cleaner'!$B$2:$B$10001,MATCH(9342,'Email Cleaner'!$H$2:$H$10001,0)),"")</f>
        <v/>
      </c>
    </row>
    <row r="9344">
      <c r="A9344">
        <f>IFERROR(INDEX('Email Cleaner'!$B$2:$B$10001,MATCH(9343,'Email Cleaner'!$H$2:$H$10001,0)),"")</f>
        <v/>
      </c>
    </row>
    <row r="9345">
      <c r="A9345">
        <f>IFERROR(INDEX('Email Cleaner'!$B$2:$B$10001,MATCH(9344,'Email Cleaner'!$H$2:$H$10001,0)),"")</f>
        <v/>
      </c>
    </row>
    <row r="9346">
      <c r="A9346">
        <f>IFERROR(INDEX('Email Cleaner'!$B$2:$B$10001,MATCH(9345,'Email Cleaner'!$H$2:$H$10001,0)),"")</f>
        <v/>
      </c>
    </row>
    <row r="9347">
      <c r="A9347">
        <f>IFERROR(INDEX('Email Cleaner'!$B$2:$B$10001,MATCH(9346,'Email Cleaner'!$H$2:$H$10001,0)),"")</f>
        <v/>
      </c>
    </row>
    <row r="9348">
      <c r="A9348">
        <f>IFERROR(INDEX('Email Cleaner'!$B$2:$B$10001,MATCH(9347,'Email Cleaner'!$H$2:$H$10001,0)),"")</f>
        <v/>
      </c>
    </row>
    <row r="9349">
      <c r="A9349">
        <f>IFERROR(INDEX('Email Cleaner'!$B$2:$B$10001,MATCH(9348,'Email Cleaner'!$H$2:$H$10001,0)),"")</f>
        <v/>
      </c>
    </row>
    <row r="9350">
      <c r="A9350">
        <f>IFERROR(INDEX('Email Cleaner'!$B$2:$B$10001,MATCH(9349,'Email Cleaner'!$H$2:$H$10001,0)),"")</f>
        <v/>
      </c>
    </row>
    <row r="9351">
      <c r="A9351">
        <f>IFERROR(INDEX('Email Cleaner'!$B$2:$B$10001,MATCH(9350,'Email Cleaner'!$H$2:$H$10001,0)),"")</f>
        <v/>
      </c>
    </row>
    <row r="9352">
      <c r="A9352">
        <f>IFERROR(INDEX('Email Cleaner'!$B$2:$B$10001,MATCH(9351,'Email Cleaner'!$H$2:$H$10001,0)),"")</f>
        <v/>
      </c>
    </row>
    <row r="9353">
      <c r="A9353">
        <f>IFERROR(INDEX('Email Cleaner'!$B$2:$B$10001,MATCH(9352,'Email Cleaner'!$H$2:$H$10001,0)),"")</f>
        <v/>
      </c>
    </row>
    <row r="9354">
      <c r="A9354">
        <f>IFERROR(INDEX('Email Cleaner'!$B$2:$B$10001,MATCH(9353,'Email Cleaner'!$H$2:$H$10001,0)),"")</f>
        <v/>
      </c>
    </row>
    <row r="9355">
      <c r="A9355">
        <f>IFERROR(INDEX('Email Cleaner'!$B$2:$B$10001,MATCH(9354,'Email Cleaner'!$H$2:$H$10001,0)),"")</f>
        <v/>
      </c>
    </row>
    <row r="9356">
      <c r="A9356">
        <f>IFERROR(INDEX('Email Cleaner'!$B$2:$B$10001,MATCH(9355,'Email Cleaner'!$H$2:$H$10001,0)),"")</f>
        <v/>
      </c>
    </row>
    <row r="9357">
      <c r="A9357">
        <f>IFERROR(INDEX('Email Cleaner'!$B$2:$B$10001,MATCH(9356,'Email Cleaner'!$H$2:$H$10001,0)),"")</f>
        <v/>
      </c>
    </row>
    <row r="9358">
      <c r="A9358">
        <f>IFERROR(INDEX('Email Cleaner'!$B$2:$B$10001,MATCH(9357,'Email Cleaner'!$H$2:$H$10001,0)),"")</f>
        <v/>
      </c>
    </row>
    <row r="9359">
      <c r="A9359">
        <f>IFERROR(INDEX('Email Cleaner'!$B$2:$B$10001,MATCH(9358,'Email Cleaner'!$H$2:$H$10001,0)),"")</f>
        <v/>
      </c>
    </row>
    <row r="9360">
      <c r="A9360">
        <f>IFERROR(INDEX('Email Cleaner'!$B$2:$B$10001,MATCH(9359,'Email Cleaner'!$H$2:$H$10001,0)),"")</f>
        <v/>
      </c>
    </row>
    <row r="9361">
      <c r="A9361">
        <f>IFERROR(INDEX('Email Cleaner'!$B$2:$B$10001,MATCH(9360,'Email Cleaner'!$H$2:$H$10001,0)),"")</f>
        <v/>
      </c>
    </row>
    <row r="9362">
      <c r="A9362">
        <f>IFERROR(INDEX('Email Cleaner'!$B$2:$B$10001,MATCH(9361,'Email Cleaner'!$H$2:$H$10001,0)),"")</f>
        <v/>
      </c>
    </row>
    <row r="9363">
      <c r="A9363">
        <f>IFERROR(INDEX('Email Cleaner'!$B$2:$B$10001,MATCH(9362,'Email Cleaner'!$H$2:$H$10001,0)),"")</f>
        <v/>
      </c>
    </row>
    <row r="9364">
      <c r="A9364">
        <f>IFERROR(INDEX('Email Cleaner'!$B$2:$B$10001,MATCH(9363,'Email Cleaner'!$H$2:$H$10001,0)),"")</f>
        <v/>
      </c>
    </row>
    <row r="9365">
      <c r="A9365">
        <f>IFERROR(INDEX('Email Cleaner'!$B$2:$B$10001,MATCH(9364,'Email Cleaner'!$H$2:$H$10001,0)),"")</f>
        <v/>
      </c>
    </row>
    <row r="9366">
      <c r="A9366">
        <f>IFERROR(INDEX('Email Cleaner'!$B$2:$B$10001,MATCH(9365,'Email Cleaner'!$H$2:$H$10001,0)),"")</f>
        <v/>
      </c>
    </row>
    <row r="9367">
      <c r="A9367">
        <f>IFERROR(INDEX('Email Cleaner'!$B$2:$B$10001,MATCH(9366,'Email Cleaner'!$H$2:$H$10001,0)),"")</f>
        <v/>
      </c>
    </row>
    <row r="9368">
      <c r="A9368">
        <f>IFERROR(INDEX('Email Cleaner'!$B$2:$B$10001,MATCH(9367,'Email Cleaner'!$H$2:$H$10001,0)),"")</f>
        <v/>
      </c>
    </row>
    <row r="9369">
      <c r="A9369">
        <f>IFERROR(INDEX('Email Cleaner'!$B$2:$B$10001,MATCH(9368,'Email Cleaner'!$H$2:$H$10001,0)),"")</f>
        <v/>
      </c>
    </row>
    <row r="9370">
      <c r="A9370">
        <f>IFERROR(INDEX('Email Cleaner'!$B$2:$B$10001,MATCH(9369,'Email Cleaner'!$H$2:$H$10001,0)),"")</f>
        <v/>
      </c>
    </row>
    <row r="9371">
      <c r="A9371">
        <f>IFERROR(INDEX('Email Cleaner'!$B$2:$B$10001,MATCH(9370,'Email Cleaner'!$H$2:$H$10001,0)),"")</f>
        <v/>
      </c>
    </row>
    <row r="9372">
      <c r="A9372">
        <f>IFERROR(INDEX('Email Cleaner'!$B$2:$B$10001,MATCH(9371,'Email Cleaner'!$H$2:$H$10001,0)),"")</f>
        <v/>
      </c>
    </row>
    <row r="9373">
      <c r="A9373">
        <f>IFERROR(INDEX('Email Cleaner'!$B$2:$B$10001,MATCH(9372,'Email Cleaner'!$H$2:$H$10001,0)),"")</f>
        <v/>
      </c>
    </row>
    <row r="9374">
      <c r="A9374">
        <f>IFERROR(INDEX('Email Cleaner'!$B$2:$B$10001,MATCH(9373,'Email Cleaner'!$H$2:$H$10001,0)),"")</f>
        <v/>
      </c>
    </row>
    <row r="9375">
      <c r="A9375">
        <f>IFERROR(INDEX('Email Cleaner'!$B$2:$B$10001,MATCH(9374,'Email Cleaner'!$H$2:$H$10001,0)),"")</f>
        <v/>
      </c>
    </row>
    <row r="9376">
      <c r="A9376">
        <f>IFERROR(INDEX('Email Cleaner'!$B$2:$B$10001,MATCH(9375,'Email Cleaner'!$H$2:$H$10001,0)),"")</f>
        <v/>
      </c>
    </row>
    <row r="9377">
      <c r="A9377">
        <f>IFERROR(INDEX('Email Cleaner'!$B$2:$B$10001,MATCH(9376,'Email Cleaner'!$H$2:$H$10001,0)),"")</f>
        <v/>
      </c>
    </row>
    <row r="9378">
      <c r="A9378">
        <f>IFERROR(INDEX('Email Cleaner'!$B$2:$B$10001,MATCH(9377,'Email Cleaner'!$H$2:$H$10001,0)),"")</f>
        <v/>
      </c>
    </row>
    <row r="9379">
      <c r="A9379">
        <f>IFERROR(INDEX('Email Cleaner'!$B$2:$B$10001,MATCH(9378,'Email Cleaner'!$H$2:$H$10001,0)),"")</f>
        <v/>
      </c>
    </row>
    <row r="9380">
      <c r="A9380">
        <f>IFERROR(INDEX('Email Cleaner'!$B$2:$B$10001,MATCH(9379,'Email Cleaner'!$H$2:$H$10001,0)),"")</f>
        <v/>
      </c>
    </row>
    <row r="9381">
      <c r="A9381">
        <f>IFERROR(INDEX('Email Cleaner'!$B$2:$B$10001,MATCH(9380,'Email Cleaner'!$H$2:$H$10001,0)),"")</f>
        <v/>
      </c>
    </row>
    <row r="9382">
      <c r="A9382">
        <f>IFERROR(INDEX('Email Cleaner'!$B$2:$B$10001,MATCH(9381,'Email Cleaner'!$H$2:$H$10001,0)),"")</f>
        <v/>
      </c>
    </row>
    <row r="9383">
      <c r="A9383">
        <f>IFERROR(INDEX('Email Cleaner'!$B$2:$B$10001,MATCH(9382,'Email Cleaner'!$H$2:$H$10001,0)),"")</f>
        <v/>
      </c>
    </row>
    <row r="9384">
      <c r="A9384">
        <f>IFERROR(INDEX('Email Cleaner'!$B$2:$B$10001,MATCH(9383,'Email Cleaner'!$H$2:$H$10001,0)),"")</f>
        <v/>
      </c>
    </row>
    <row r="9385">
      <c r="A9385">
        <f>IFERROR(INDEX('Email Cleaner'!$B$2:$B$10001,MATCH(9384,'Email Cleaner'!$H$2:$H$10001,0)),"")</f>
        <v/>
      </c>
    </row>
    <row r="9386">
      <c r="A9386">
        <f>IFERROR(INDEX('Email Cleaner'!$B$2:$B$10001,MATCH(9385,'Email Cleaner'!$H$2:$H$10001,0)),"")</f>
        <v/>
      </c>
    </row>
    <row r="9387">
      <c r="A9387">
        <f>IFERROR(INDEX('Email Cleaner'!$B$2:$B$10001,MATCH(9386,'Email Cleaner'!$H$2:$H$10001,0)),"")</f>
        <v/>
      </c>
    </row>
    <row r="9388">
      <c r="A9388">
        <f>IFERROR(INDEX('Email Cleaner'!$B$2:$B$10001,MATCH(9387,'Email Cleaner'!$H$2:$H$10001,0)),"")</f>
        <v/>
      </c>
    </row>
    <row r="9389">
      <c r="A9389">
        <f>IFERROR(INDEX('Email Cleaner'!$B$2:$B$10001,MATCH(9388,'Email Cleaner'!$H$2:$H$10001,0)),"")</f>
        <v/>
      </c>
    </row>
    <row r="9390">
      <c r="A9390">
        <f>IFERROR(INDEX('Email Cleaner'!$B$2:$B$10001,MATCH(9389,'Email Cleaner'!$H$2:$H$10001,0)),"")</f>
        <v/>
      </c>
    </row>
    <row r="9391">
      <c r="A9391">
        <f>IFERROR(INDEX('Email Cleaner'!$B$2:$B$10001,MATCH(9390,'Email Cleaner'!$H$2:$H$10001,0)),"")</f>
        <v/>
      </c>
    </row>
    <row r="9392">
      <c r="A9392">
        <f>IFERROR(INDEX('Email Cleaner'!$B$2:$B$10001,MATCH(9391,'Email Cleaner'!$H$2:$H$10001,0)),"")</f>
        <v/>
      </c>
    </row>
    <row r="9393">
      <c r="A9393">
        <f>IFERROR(INDEX('Email Cleaner'!$B$2:$B$10001,MATCH(9392,'Email Cleaner'!$H$2:$H$10001,0)),"")</f>
        <v/>
      </c>
    </row>
    <row r="9394">
      <c r="A9394">
        <f>IFERROR(INDEX('Email Cleaner'!$B$2:$B$10001,MATCH(9393,'Email Cleaner'!$H$2:$H$10001,0)),"")</f>
        <v/>
      </c>
    </row>
    <row r="9395">
      <c r="A9395">
        <f>IFERROR(INDEX('Email Cleaner'!$B$2:$B$10001,MATCH(9394,'Email Cleaner'!$H$2:$H$10001,0)),"")</f>
        <v/>
      </c>
    </row>
    <row r="9396">
      <c r="A9396">
        <f>IFERROR(INDEX('Email Cleaner'!$B$2:$B$10001,MATCH(9395,'Email Cleaner'!$H$2:$H$10001,0)),"")</f>
        <v/>
      </c>
    </row>
    <row r="9397">
      <c r="A9397">
        <f>IFERROR(INDEX('Email Cleaner'!$B$2:$B$10001,MATCH(9396,'Email Cleaner'!$H$2:$H$10001,0)),"")</f>
        <v/>
      </c>
    </row>
    <row r="9398">
      <c r="A9398">
        <f>IFERROR(INDEX('Email Cleaner'!$B$2:$B$10001,MATCH(9397,'Email Cleaner'!$H$2:$H$10001,0)),"")</f>
        <v/>
      </c>
    </row>
    <row r="9399">
      <c r="A9399">
        <f>IFERROR(INDEX('Email Cleaner'!$B$2:$B$10001,MATCH(9398,'Email Cleaner'!$H$2:$H$10001,0)),"")</f>
        <v/>
      </c>
    </row>
    <row r="9400">
      <c r="A9400">
        <f>IFERROR(INDEX('Email Cleaner'!$B$2:$B$10001,MATCH(9399,'Email Cleaner'!$H$2:$H$10001,0)),"")</f>
        <v/>
      </c>
    </row>
    <row r="9401">
      <c r="A9401">
        <f>IFERROR(INDEX('Email Cleaner'!$B$2:$B$10001,MATCH(9400,'Email Cleaner'!$H$2:$H$10001,0)),"")</f>
        <v/>
      </c>
    </row>
    <row r="9402">
      <c r="A9402">
        <f>IFERROR(INDEX('Email Cleaner'!$B$2:$B$10001,MATCH(9401,'Email Cleaner'!$H$2:$H$10001,0)),"")</f>
        <v/>
      </c>
    </row>
    <row r="9403">
      <c r="A9403">
        <f>IFERROR(INDEX('Email Cleaner'!$B$2:$B$10001,MATCH(9402,'Email Cleaner'!$H$2:$H$10001,0)),"")</f>
        <v/>
      </c>
    </row>
    <row r="9404">
      <c r="A9404">
        <f>IFERROR(INDEX('Email Cleaner'!$B$2:$B$10001,MATCH(9403,'Email Cleaner'!$H$2:$H$10001,0)),"")</f>
        <v/>
      </c>
    </row>
    <row r="9405">
      <c r="A9405">
        <f>IFERROR(INDEX('Email Cleaner'!$B$2:$B$10001,MATCH(9404,'Email Cleaner'!$H$2:$H$10001,0)),"")</f>
        <v/>
      </c>
    </row>
    <row r="9406">
      <c r="A9406">
        <f>IFERROR(INDEX('Email Cleaner'!$B$2:$B$10001,MATCH(9405,'Email Cleaner'!$H$2:$H$10001,0)),"")</f>
        <v/>
      </c>
    </row>
    <row r="9407">
      <c r="A9407">
        <f>IFERROR(INDEX('Email Cleaner'!$B$2:$B$10001,MATCH(9406,'Email Cleaner'!$H$2:$H$10001,0)),"")</f>
        <v/>
      </c>
    </row>
    <row r="9408">
      <c r="A9408">
        <f>IFERROR(INDEX('Email Cleaner'!$B$2:$B$10001,MATCH(9407,'Email Cleaner'!$H$2:$H$10001,0)),"")</f>
        <v/>
      </c>
    </row>
    <row r="9409">
      <c r="A9409">
        <f>IFERROR(INDEX('Email Cleaner'!$B$2:$B$10001,MATCH(9408,'Email Cleaner'!$H$2:$H$10001,0)),"")</f>
        <v/>
      </c>
    </row>
    <row r="9410">
      <c r="A9410">
        <f>IFERROR(INDEX('Email Cleaner'!$B$2:$B$10001,MATCH(9409,'Email Cleaner'!$H$2:$H$10001,0)),"")</f>
        <v/>
      </c>
    </row>
    <row r="9411">
      <c r="A9411">
        <f>IFERROR(INDEX('Email Cleaner'!$B$2:$B$10001,MATCH(9410,'Email Cleaner'!$H$2:$H$10001,0)),"")</f>
        <v/>
      </c>
    </row>
    <row r="9412">
      <c r="A9412">
        <f>IFERROR(INDEX('Email Cleaner'!$B$2:$B$10001,MATCH(9411,'Email Cleaner'!$H$2:$H$10001,0)),"")</f>
        <v/>
      </c>
    </row>
    <row r="9413">
      <c r="A9413">
        <f>IFERROR(INDEX('Email Cleaner'!$B$2:$B$10001,MATCH(9412,'Email Cleaner'!$H$2:$H$10001,0)),"")</f>
        <v/>
      </c>
    </row>
    <row r="9414">
      <c r="A9414">
        <f>IFERROR(INDEX('Email Cleaner'!$B$2:$B$10001,MATCH(9413,'Email Cleaner'!$H$2:$H$10001,0)),"")</f>
        <v/>
      </c>
    </row>
    <row r="9415">
      <c r="A9415">
        <f>IFERROR(INDEX('Email Cleaner'!$B$2:$B$10001,MATCH(9414,'Email Cleaner'!$H$2:$H$10001,0)),"")</f>
        <v/>
      </c>
    </row>
    <row r="9416">
      <c r="A9416">
        <f>IFERROR(INDEX('Email Cleaner'!$B$2:$B$10001,MATCH(9415,'Email Cleaner'!$H$2:$H$10001,0)),"")</f>
        <v/>
      </c>
    </row>
    <row r="9417">
      <c r="A9417">
        <f>IFERROR(INDEX('Email Cleaner'!$B$2:$B$10001,MATCH(9416,'Email Cleaner'!$H$2:$H$10001,0)),"")</f>
        <v/>
      </c>
    </row>
    <row r="9418">
      <c r="A9418">
        <f>IFERROR(INDEX('Email Cleaner'!$B$2:$B$10001,MATCH(9417,'Email Cleaner'!$H$2:$H$10001,0)),"")</f>
        <v/>
      </c>
    </row>
    <row r="9419">
      <c r="A9419">
        <f>IFERROR(INDEX('Email Cleaner'!$B$2:$B$10001,MATCH(9418,'Email Cleaner'!$H$2:$H$10001,0)),"")</f>
        <v/>
      </c>
    </row>
    <row r="9420">
      <c r="A9420">
        <f>IFERROR(INDEX('Email Cleaner'!$B$2:$B$10001,MATCH(9419,'Email Cleaner'!$H$2:$H$10001,0)),"")</f>
        <v/>
      </c>
    </row>
    <row r="9421">
      <c r="A9421">
        <f>IFERROR(INDEX('Email Cleaner'!$B$2:$B$10001,MATCH(9420,'Email Cleaner'!$H$2:$H$10001,0)),"")</f>
        <v/>
      </c>
    </row>
    <row r="9422">
      <c r="A9422">
        <f>IFERROR(INDEX('Email Cleaner'!$B$2:$B$10001,MATCH(9421,'Email Cleaner'!$H$2:$H$10001,0)),"")</f>
        <v/>
      </c>
    </row>
    <row r="9423">
      <c r="A9423">
        <f>IFERROR(INDEX('Email Cleaner'!$B$2:$B$10001,MATCH(9422,'Email Cleaner'!$H$2:$H$10001,0)),"")</f>
        <v/>
      </c>
    </row>
    <row r="9424">
      <c r="A9424">
        <f>IFERROR(INDEX('Email Cleaner'!$B$2:$B$10001,MATCH(9423,'Email Cleaner'!$H$2:$H$10001,0)),"")</f>
        <v/>
      </c>
    </row>
    <row r="9425">
      <c r="A9425">
        <f>IFERROR(INDEX('Email Cleaner'!$B$2:$B$10001,MATCH(9424,'Email Cleaner'!$H$2:$H$10001,0)),"")</f>
        <v/>
      </c>
    </row>
    <row r="9426">
      <c r="A9426">
        <f>IFERROR(INDEX('Email Cleaner'!$B$2:$B$10001,MATCH(9425,'Email Cleaner'!$H$2:$H$10001,0)),"")</f>
        <v/>
      </c>
    </row>
    <row r="9427">
      <c r="A9427">
        <f>IFERROR(INDEX('Email Cleaner'!$B$2:$B$10001,MATCH(9426,'Email Cleaner'!$H$2:$H$10001,0)),"")</f>
        <v/>
      </c>
    </row>
    <row r="9428">
      <c r="A9428">
        <f>IFERROR(INDEX('Email Cleaner'!$B$2:$B$10001,MATCH(9427,'Email Cleaner'!$H$2:$H$10001,0)),"")</f>
        <v/>
      </c>
    </row>
    <row r="9429">
      <c r="A9429">
        <f>IFERROR(INDEX('Email Cleaner'!$B$2:$B$10001,MATCH(9428,'Email Cleaner'!$H$2:$H$10001,0)),"")</f>
        <v/>
      </c>
    </row>
    <row r="9430">
      <c r="A9430">
        <f>IFERROR(INDEX('Email Cleaner'!$B$2:$B$10001,MATCH(9429,'Email Cleaner'!$H$2:$H$10001,0)),"")</f>
        <v/>
      </c>
    </row>
    <row r="9431">
      <c r="A9431">
        <f>IFERROR(INDEX('Email Cleaner'!$B$2:$B$10001,MATCH(9430,'Email Cleaner'!$H$2:$H$10001,0)),"")</f>
        <v/>
      </c>
    </row>
    <row r="9432">
      <c r="A9432">
        <f>IFERROR(INDEX('Email Cleaner'!$B$2:$B$10001,MATCH(9431,'Email Cleaner'!$H$2:$H$10001,0)),"")</f>
        <v/>
      </c>
    </row>
    <row r="9433">
      <c r="A9433">
        <f>IFERROR(INDEX('Email Cleaner'!$B$2:$B$10001,MATCH(9432,'Email Cleaner'!$H$2:$H$10001,0)),"")</f>
        <v/>
      </c>
    </row>
    <row r="9434">
      <c r="A9434">
        <f>IFERROR(INDEX('Email Cleaner'!$B$2:$B$10001,MATCH(9433,'Email Cleaner'!$H$2:$H$10001,0)),"")</f>
        <v/>
      </c>
    </row>
    <row r="9435">
      <c r="A9435">
        <f>IFERROR(INDEX('Email Cleaner'!$B$2:$B$10001,MATCH(9434,'Email Cleaner'!$H$2:$H$10001,0)),"")</f>
        <v/>
      </c>
    </row>
    <row r="9436">
      <c r="A9436">
        <f>IFERROR(INDEX('Email Cleaner'!$B$2:$B$10001,MATCH(9435,'Email Cleaner'!$H$2:$H$10001,0)),"")</f>
        <v/>
      </c>
    </row>
    <row r="9437">
      <c r="A9437">
        <f>IFERROR(INDEX('Email Cleaner'!$B$2:$B$10001,MATCH(9436,'Email Cleaner'!$H$2:$H$10001,0)),"")</f>
        <v/>
      </c>
    </row>
    <row r="9438">
      <c r="A9438">
        <f>IFERROR(INDEX('Email Cleaner'!$B$2:$B$10001,MATCH(9437,'Email Cleaner'!$H$2:$H$10001,0)),"")</f>
        <v/>
      </c>
    </row>
    <row r="9439">
      <c r="A9439">
        <f>IFERROR(INDEX('Email Cleaner'!$B$2:$B$10001,MATCH(9438,'Email Cleaner'!$H$2:$H$10001,0)),"")</f>
        <v/>
      </c>
    </row>
    <row r="9440">
      <c r="A9440">
        <f>IFERROR(INDEX('Email Cleaner'!$B$2:$B$10001,MATCH(9439,'Email Cleaner'!$H$2:$H$10001,0)),"")</f>
        <v/>
      </c>
    </row>
    <row r="9441">
      <c r="A9441">
        <f>IFERROR(INDEX('Email Cleaner'!$B$2:$B$10001,MATCH(9440,'Email Cleaner'!$H$2:$H$10001,0)),"")</f>
        <v/>
      </c>
    </row>
    <row r="9442">
      <c r="A9442">
        <f>IFERROR(INDEX('Email Cleaner'!$B$2:$B$10001,MATCH(9441,'Email Cleaner'!$H$2:$H$10001,0)),"")</f>
        <v/>
      </c>
    </row>
    <row r="9443">
      <c r="A9443">
        <f>IFERROR(INDEX('Email Cleaner'!$B$2:$B$10001,MATCH(9442,'Email Cleaner'!$H$2:$H$10001,0)),"")</f>
        <v/>
      </c>
    </row>
    <row r="9444">
      <c r="A9444">
        <f>IFERROR(INDEX('Email Cleaner'!$B$2:$B$10001,MATCH(9443,'Email Cleaner'!$H$2:$H$10001,0)),"")</f>
        <v/>
      </c>
    </row>
    <row r="9445">
      <c r="A9445">
        <f>IFERROR(INDEX('Email Cleaner'!$B$2:$B$10001,MATCH(9444,'Email Cleaner'!$H$2:$H$10001,0)),"")</f>
        <v/>
      </c>
    </row>
    <row r="9446">
      <c r="A9446">
        <f>IFERROR(INDEX('Email Cleaner'!$B$2:$B$10001,MATCH(9445,'Email Cleaner'!$H$2:$H$10001,0)),"")</f>
        <v/>
      </c>
    </row>
    <row r="9447">
      <c r="A9447">
        <f>IFERROR(INDEX('Email Cleaner'!$B$2:$B$10001,MATCH(9446,'Email Cleaner'!$H$2:$H$10001,0)),"")</f>
        <v/>
      </c>
    </row>
    <row r="9448">
      <c r="A9448">
        <f>IFERROR(INDEX('Email Cleaner'!$B$2:$B$10001,MATCH(9447,'Email Cleaner'!$H$2:$H$10001,0)),"")</f>
        <v/>
      </c>
    </row>
    <row r="9449">
      <c r="A9449">
        <f>IFERROR(INDEX('Email Cleaner'!$B$2:$B$10001,MATCH(9448,'Email Cleaner'!$H$2:$H$10001,0)),"")</f>
        <v/>
      </c>
    </row>
    <row r="9450">
      <c r="A9450">
        <f>IFERROR(INDEX('Email Cleaner'!$B$2:$B$10001,MATCH(9449,'Email Cleaner'!$H$2:$H$10001,0)),"")</f>
        <v/>
      </c>
    </row>
    <row r="9451">
      <c r="A9451">
        <f>IFERROR(INDEX('Email Cleaner'!$B$2:$B$10001,MATCH(9450,'Email Cleaner'!$H$2:$H$10001,0)),"")</f>
        <v/>
      </c>
    </row>
    <row r="9452">
      <c r="A9452">
        <f>IFERROR(INDEX('Email Cleaner'!$B$2:$B$10001,MATCH(9451,'Email Cleaner'!$H$2:$H$10001,0)),"")</f>
        <v/>
      </c>
    </row>
    <row r="9453">
      <c r="A9453">
        <f>IFERROR(INDEX('Email Cleaner'!$B$2:$B$10001,MATCH(9452,'Email Cleaner'!$H$2:$H$10001,0)),"")</f>
        <v/>
      </c>
    </row>
    <row r="9454">
      <c r="A9454">
        <f>IFERROR(INDEX('Email Cleaner'!$B$2:$B$10001,MATCH(9453,'Email Cleaner'!$H$2:$H$10001,0)),"")</f>
        <v/>
      </c>
    </row>
    <row r="9455">
      <c r="A9455">
        <f>IFERROR(INDEX('Email Cleaner'!$B$2:$B$10001,MATCH(9454,'Email Cleaner'!$H$2:$H$10001,0)),"")</f>
        <v/>
      </c>
    </row>
    <row r="9456">
      <c r="A9456">
        <f>IFERROR(INDEX('Email Cleaner'!$B$2:$B$10001,MATCH(9455,'Email Cleaner'!$H$2:$H$10001,0)),"")</f>
        <v/>
      </c>
    </row>
    <row r="9457">
      <c r="A9457">
        <f>IFERROR(INDEX('Email Cleaner'!$B$2:$B$10001,MATCH(9456,'Email Cleaner'!$H$2:$H$10001,0)),"")</f>
        <v/>
      </c>
    </row>
    <row r="9458">
      <c r="A9458">
        <f>IFERROR(INDEX('Email Cleaner'!$B$2:$B$10001,MATCH(9457,'Email Cleaner'!$H$2:$H$10001,0)),"")</f>
        <v/>
      </c>
    </row>
    <row r="9459">
      <c r="A9459">
        <f>IFERROR(INDEX('Email Cleaner'!$B$2:$B$10001,MATCH(9458,'Email Cleaner'!$H$2:$H$10001,0)),"")</f>
        <v/>
      </c>
    </row>
    <row r="9460">
      <c r="A9460">
        <f>IFERROR(INDEX('Email Cleaner'!$B$2:$B$10001,MATCH(9459,'Email Cleaner'!$H$2:$H$10001,0)),"")</f>
        <v/>
      </c>
    </row>
    <row r="9461">
      <c r="A9461">
        <f>IFERROR(INDEX('Email Cleaner'!$B$2:$B$10001,MATCH(9460,'Email Cleaner'!$H$2:$H$10001,0)),"")</f>
        <v/>
      </c>
    </row>
    <row r="9462">
      <c r="A9462">
        <f>IFERROR(INDEX('Email Cleaner'!$B$2:$B$10001,MATCH(9461,'Email Cleaner'!$H$2:$H$10001,0)),"")</f>
        <v/>
      </c>
    </row>
    <row r="9463">
      <c r="A9463">
        <f>IFERROR(INDEX('Email Cleaner'!$B$2:$B$10001,MATCH(9462,'Email Cleaner'!$H$2:$H$10001,0)),"")</f>
        <v/>
      </c>
    </row>
    <row r="9464">
      <c r="A9464">
        <f>IFERROR(INDEX('Email Cleaner'!$B$2:$B$10001,MATCH(9463,'Email Cleaner'!$H$2:$H$10001,0)),"")</f>
        <v/>
      </c>
    </row>
    <row r="9465">
      <c r="A9465">
        <f>IFERROR(INDEX('Email Cleaner'!$B$2:$B$10001,MATCH(9464,'Email Cleaner'!$H$2:$H$10001,0)),"")</f>
        <v/>
      </c>
    </row>
    <row r="9466">
      <c r="A9466">
        <f>IFERROR(INDEX('Email Cleaner'!$B$2:$B$10001,MATCH(9465,'Email Cleaner'!$H$2:$H$10001,0)),"")</f>
        <v/>
      </c>
    </row>
    <row r="9467">
      <c r="A9467">
        <f>IFERROR(INDEX('Email Cleaner'!$B$2:$B$10001,MATCH(9466,'Email Cleaner'!$H$2:$H$10001,0)),"")</f>
        <v/>
      </c>
    </row>
    <row r="9468">
      <c r="A9468">
        <f>IFERROR(INDEX('Email Cleaner'!$B$2:$B$10001,MATCH(9467,'Email Cleaner'!$H$2:$H$10001,0)),"")</f>
        <v/>
      </c>
    </row>
    <row r="9469">
      <c r="A9469">
        <f>IFERROR(INDEX('Email Cleaner'!$B$2:$B$10001,MATCH(9468,'Email Cleaner'!$H$2:$H$10001,0)),"")</f>
        <v/>
      </c>
    </row>
    <row r="9470">
      <c r="A9470">
        <f>IFERROR(INDEX('Email Cleaner'!$B$2:$B$10001,MATCH(9469,'Email Cleaner'!$H$2:$H$10001,0)),"")</f>
        <v/>
      </c>
    </row>
    <row r="9471">
      <c r="A9471">
        <f>IFERROR(INDEX('Email Cleaner'!$B$2:$B$10001,MATCH(9470,'Email Cleaner'!$H$2:$H$10001,0)),"")</f>
        <v/>
      </c>
    </row>
    <row r="9472">
      <c r="A9472">
        <f>IFERROR(INDEX('Email Cleaner'!$B$2:$B$10001,MATCH(9471,'Email Cleaner'!$H$2:$H$10001,0)),"")</f>
        <v/>
      </c>
    </row>
    <row r="9473">
      <c r="A9473">
        <f>IFERROR(INDEX('Email Cleaner'!$B$2:$B$10001,MATCH(9472,'Email Cleaner'!$H$2:$H$10001,0)),"")</f>
        <v/>
      </c>
    </row>
    <row r="9474">
      <c r="A9474">
        <f>IFERROR(INDEX('Email Cleaner'!$B$2:$B$10001,MATCH(9473,'Email Cleaner'!$H$2:$H$10001,0)),"")</f>
        <v/>
      </c>
    </row>
    <row r="9475">
      <c r="A9475">
        <f>IFERROR(INDEX('Email Cleaner'!$B$2:$B$10001,MATCH(9474,'Email Cleaner'!$H$2:$H$10001,0)),"")</f>
        <v/>
      </c>
    </row>
    <row r="9476">
      <c r="A9476">
        <f>IFERROR(INDEX('Email Cleaner'!$B$2:$B$10001,MATCH(9475,'Email Cleaner'!$H$2:$H$10001,0)),"")</f>
        <v/>
      </c>
    </row>
    <row r="9477">
      <c r="A9477">
        <f>IFERROR(INDEX('Email Cleaner'!$B$2:$B$10001,MATCH(9476,'Email Cleaner'!$H$2:$H$10001,0)),"")</f>
        <v/>
      </c>
    </row>
    <row r="9478">
      <c r="A9478">
        <f>IFERROR(INDEX('Email Cleaner'!$B$2:$B$10001,MATCH(9477,'Email Cleaner'!$H$2:$H$10001,0)),"")</f>
        <v/>
      </c>
    </row>
    <row r="9479">
      <c r="A9479">
        <f>IFERROR(INDEX('Email Cleaner'!$B$2:$B$10001,MATCH(9478,'Email Cleaner'!$H$2:$H$10001,0)),"")</f>
        <v/>
      </c>
    </row>
    <row r="9480">
      <c r="A9480">
        <f>IFERROR(INDEX('Email Cleaner'!$B$2:$B$10001,MATCH(9479,'Email Cleaner'!$H$2:$H$10001,0)),"")</f>
        <v/>
      </c>
    </row>
    <row r="9481">
      <c r="A9481">
        <f>IFERROR(INDEX('Email Cleaner'!$B$2:$B$10001,MATCH(9480,'Email Cleaner'!$H$2:$H$10001,0)),"")</f>
        <v/>
      </c>
    </row>
    <row r="9482">
      <c r="A9482">
        <f>IFERROR(INDEX('Email Cleaner'!$B$2:$B$10001,MATCH(9481,'Email Cleaner'!$H$2:$H$10001,0)),"")</f>
        <v/>
      </c>
    </row>
    <row r="9483">
      <c r="A9483">
        <f>IFERROR(INDEX('Email Cleaner'!$B$2:$B$10001,MATCH(9482,'Email Cleaner'!$H$2:$H$10001,0)),"")</f>
        <v/>
      </c>
    </row>
    <row r="9484">
      <c r="A9484">
        <f>IFERROR(INDEX('Email Cleaner'!$B$2:$B$10001,MATCH(9483,'Email Cleaner'!$H$2:$H$10001,0)),"")</f>
        <v/>
      </c>
    </row>
    <row r="9485">
      <c r="A9485">
        <f>IFERROR(INDEX('Email Cleaner'!$B$2:$B$10001,MATCH(9484,'Email Cleaner'!$H$2:$H$10001,0)),"")</f>
        <v/>
      </c>
    </row>
    <row r="9486">
      <c r="A9486">
        <f>IFERROR(INDEX('Email Cleaner'!$B$2:$B$10001,MATCH(9485,'Email Cleaner'!$H$2:$H$10001,0)),"")</f>
        <v/>
      </c>
    </row>
    <row r="9487">
      <c r="A9487">
        <f>IFERROR(INDEX('Email Cleaner'!$B$2:$B$10001,MATCH(9486,'Email Cleaner'!$H$2:$H$10001,0)),"")</f>
        <v/>
      </c>
    </row>
    <row r="9488">
      <c r="A9488">
        <f>IFERROR(INDEX('Email Cleaner'!$B$2:$B$10001,MATCH(9487,'Email Cleaner'!$H$2:$H$10001,0)),"")</f>
        <v/>
      </c>
    </row>
    <row r="9489">
      <c r="A9489">
        <f>IFERROR(INDEX('Email Cleaner'!$B$2:$B$10001,MATCH(9488,'Email Cleaner'!$H$2:$H$10001,0)),"")</f>
        <v/>
      </c>
    </row>
    <row r="9490">
      <c r="A9490">
        <f>IFERROR(INDEX('Email Cleaner'!$B$2:$B$10001,MATCH(9489,'Email Cleaner'!$H$2:$H$10001,0)),"")</f>
        <v/>
      </c>
    </row>
    <row r="9491">
      <c r="A9491">
        <f>IFERROR(INDEX('Email Cleaner'!$B$2:$B$10001,MATCH(9490,'Email Cleaner'!$H$2:$H$10001,0)),"")</f>
        <v/>
      </c>
    </row>
    <row r="9492">
      <c r="A9492">
        <f>IFERROR(INDEX('Email Cleaner'!$B$2:$B$10001,MATCH(9491,'Email Cleaner'!$H$2:$H$10001,0)),"")</f>
        <v/>
      </c>
    </row>
    <row r="9493">
      <c r="A9493">
        <f>IFERROR(INDEX('Email Cleaner'!$B$2:$B$10001,MATCH(9492,'Email Cleaner'!$H$2:$H$10001,0)),"")</f>
        <v/>
      </c>
    </row>
    <row r="9494">
      <c r="A9494">
        <f>IFERROR(INDEX('Email Cleaner'!$B$2:$B$10001,MATCH(9493,'Email Cleaner'!$H$2:$H$10001,0)),"")</f>
        <v/>
      </c>
    </row>
    <row r="9495">
      <c r="A9495">
        <f>IFERROR(INDEX('Email Cleaner'!$B$2:$B$10001,MATCH(9494,'Email Cleaner'!$H$2:$H$10001,0)),"")</f>
        <v/>
      </c>
    </row>
    <row r="9496">
      <c r="A9496">
        <f>IFERROR(INDEX('Email Cleaner'!$B$2:$B$10001,MATCH(9495,'Email Cleaner'!$H$2:$H$10001,0)),"")</f>
        <v/>
      </c>
    </row>
    <row r="9497">
      <c r="A9497">
        <f>IFERROR(INDEX('Email Cleaner'!$B$2:$B$10001,MATCH(9496,'Email Cleaner'!$H$2:$H$10001,0)),"")</f>
        <v/>
      </c>
    </row>
    <row r="9498">
      <c r="A9498">
        <f>IFERROR(INDEX('Email Cleaner'!$B$2:$B$10001,MATCH(9497,'Email Cleaner'!$H$2:$H$10001,0)),"")</f>
        <v/>
      </c>
    </row>
    <row r="9499">
      <c r="A9499">
        <f>IFERROR(INDEX('Email Cleaner'!$B$2:$B$10001,MATCH(9498,'Email Cleaner'!$H$2:$H$10001,0)),"")</f>
        <v/>
      </c>
    </row>
    <row r="9500">
      <c r="A9500">
        <f>IFERROR(INDEX('Email Cleaner'!$B$2:$B$10001,MATCH(9499,'Email Cleaner'!$H$2:$H$10001,0)),"")</f>
        <v/>
      </c>
    </row>
    <row r="9501">
      <c r="A9501">
        <f>IFERROR(INDEX('Email Cleaner'!$B$2:$B$10001,MATCH(9500,'Email Cleaner'!$H$2:$H$10001,0)),"")</f>
        <v/>
      </c>
    </row>
    <row r="9502">
      <c r="A9502">
        <f>IFERROR(INDEX('Email Cleaner'!$B$2:$B$10001,MATCH(9501,'Email Cleaner'!$H$2:$H$10001,0)),"")</f>
        <v/>
      </c>
    </row>
    <row r="9503">
      <c r="A9503">
        <f>IFERROR(INDEX('Email Cleaner'!$B$2:$B$10001,MATCH(9502,'Email Cleaner'!$H$2:$H$10001,0)),"")</f>
        <v/>
      </c>
    </row>
    <row r="9504">
      <c r="A9504">
        <f>IFERROR(INDEX('Email Cleaner'!$B$2:$B$10001,MATCH(9503,'Email Cleaner'!$H$2:$H$10001,0)),"")</f>
        <v/>
      </c>
    </row>
    <row r="9505">
      <c r="A9505">
        <f>IFERROR(INDEX('Email Cleaner'!$B$2:$B$10001,MATCH(9504,'Email Cleaner'!$H$2:$H$10001,0)),"")</f>
        <v/>
      </c>
    </row>
    <row r="9506">
      <c r="A9506">
        <f>IFERROR(INDEX('Email Cleaner'!$B$2:$B$10001,MATCH(9505,'Email Cleaner'!$H$2:$H$10001,0)),"")</f>
        <v/>
      </c>
    </row>
    <row r="9507">
      <c r="A9507">
        <f>IFERROR(INDEX('Email Cleaner'!$B$2:$B$10001,MATCH(9506,'Email Cleaner'!$H$2:$H$10001,0)),"")</f>
        <v/>
      </c>
    </row>
    <row r="9508">
      <c r="A9508">
        <f>IFERROR(INDEX('Email Cleaner'!$B$2:$B$10001,MATCH(9507,'Email Cleaner'!$H$2:$H$10001,0)),"")</f>
        <v/>
      </c>
    </row>
    <row r="9509">
      <c r="A9509">
        <f>IFERROR(INDEX('Email Cleaner'!$B$2:$B$10001,MATCH(9508,'Email Cleaner'!$H$2:$H$10001,0)),"")</f>
        <v/>
      </c>
    </row>
    <row r="9510">
      <c r="A9510">
        <f>IFERROR(INDEX('Email Cleaner'!$B$2:$B$10001,MATCH(9509,'Email Cleaner'!$H$2:$H$10001,0)),"")</f>
        <v/>
      </c>
    </row>
    <row r="9511">
      <c r="A9511">
        <f>IFERROR(INDEX('Email Cleaner'!$B$2:$B$10001,MATCH(9510,'Email Cleaner'!$H$2:$H$10001,0)),"")</f>
        <v/>
      </c>
    </row>
    <row r="9512">
      <c r="A9512">
        <f>IFERROR(INDEX('Email Cleaner'!$B$2:$B$10001,MATCH(9511,'Email Cleaner'!$H$2:$H$10001,0)),"")</f>
        <v/>
      </c>
    </row>
    <row r="9513">
      <c r="A9513">
        <f>IFERROR(INDEX('Email Cleaner'!$B$2:$B$10001,MATCH(9512,'Email Cleaner'!$H$2:$H$10001,0)),"")</f>
        <v/>
      </c>
    </row>
    <row r="9514">
      <c r="A9514">
        <f>IFERROR(INDEX('Email Cleaner'!$B$2:$B$10001,MATCH(9513,'Email Cleaner'!$H$2:$H$10001,0)),"")</f>
        <v/>
      </c>
    </row>
    <row r="9515">
      <c r="A9515">
        <f>IFERROR(INDEX('Email Cleaner'!$B$2:$B$10001,MATCH(9514,'Email Cleaner'!$H$2:$H$10001,0)),"")</f>
        <v/>
      </c>
    </row>
    <row r="9516">
      <c r="A9516">
        <f>IFERROR(INDEX('Email Cleaner'!$B$2:$B$10001,MATCH(9515,'Email Cleaner'!$H$2:$H$10001,0)),"")</f>
        <v/>
      </c>
    </row>
    <row r="9517">
      <c r="A9517">
        <f>IFERROR(INDEX('Email Cleaner'!$B$2:$B$10001,MATCH(9516,'Email Cleaner'!$H$2:$H$10001,0)),"")</f>
        <v/>
      </c>
    </row>
    <row r="9518">
      <c r="A9518">
        <f>IFERROR(INDEX('Email Cleaner'!$B$2:$B$10001,MATCH(9517,'Email Cleaner'!$H$2:$H$10001,0)),"")</f>
        <v/>
      </c>
    </row>
    <row r="9519">
      <c r="A9519">
        <f>IFERROR(INDEX('Email Cleaner'!$B$2:$B$10001,MATCH(9518,'Email Cleaner'!$H$2:$H$10001,0)),"")</f>
        <v/>
      </c>
    </row>
    <row r="9520">
      <c r="A9520">
        <f>IFERROR(INDEX('Email Cleaner'!$B$2:$B$10001,MATCH(9519,'Email Cleaner'!$H$2:$H$10001,0)),"")</f>
        <v/>
      </c>
    </row>
    <row r="9521">
      <c r="A9521">
        <f>IFERROR(INDEX('Email Cleaner'!$B$2:$B$10001,MATCH(9520,'Email Cleaner'!$H$2:$H$10001,0)),"")</f>
        <v/>
      </c>
    </row>
    <row r="9522">
      <c r="A9522">
        <f>IFERROR(INDEX('Email Cleaner'!$B$2:$B$10001,MATCH(9521,'Email Cleaner'!$H$2:$H$10001,0)),"")</f>
        <v/>
      </c>
    </row>
    <row r="9523">
      <c r="A9523">
        <f>IFERROR(INDEX('Email Cleaner'!$B$2:$B$10001,MATCH(9522,'Email Cleaner'!$H$2:$H$10001,0)),"")</f>
        <v/>
      </c>
    </row>
    <row r="9524">
      <c r="A9524">
        <f>IFERROR(INDEX('Email Cleaner'!$B$2:$B$10001,MATCH(9523,'Email Cleaner'!$H$2:$H$10001,0)),"")</f>
        <v/>
      </c>
    </row>
    <row r="9525">
      <c r="A9525">
        <f>IFERROR(INDEX('Email Cleaner'!$B$2:$B$10001,MATCH(9524,'Email Cleaner'!$H$2:$H$10001,0)),"")</f>
        <v/>
      </c>
    </row>
    <row r="9526">
      <c r="A9526">
        <f>IFERROR(INDEX('Email Cleaner'!$B$2:$B$10001,MATCH(9525,'Email Cleaner'!$H$2:$H$10001,0)),"")</f>
        <v/>
      </c>
    </row>
    <row r="9527">
      <c r="A9527">
        <f>IFERROR(INDEX('Email Cleaner'!$B$2:$B$10001,MATCH(9526,'Email Cleaner'!$H$2:$H$10001,0)),"")</f>
        <v/>
      </c>
    </row>
    <row r="9528">
      <c r="A9528">
        <f>IFERROR(INDEX('Email Cleaner'!$B$2:$B$10001,MATCH(9527,'Email Cleaner'!$H$2:$H$10001,0)),"")</f>
        <v/>
      </c>
    </row>
    <row r="9529">
      <c r="A9529">
        <f>IFERROR(INDEX('Email Cleaner'!$B$2:$B$10001,MATCH(9528,'Email Cleaner'!$H$2:$H$10001,0)),"")</f>
        <v/>
      </c>
    </row>
    <row r="9530">
      <c r="A9530">
        <f>IFERROR(INDEX('Email Cleaner'!$B$2:$B$10001,MATCH(9529,'Email Cleaner'!$H$2:$H$10001,0)),"")</f>
        <v/>
      </c>
    </row>
    <row r="9531">
      <c r="A9531">
        <f>IFERROR(INDEX('Email Cleaner'!$B$2:$B$10001,MATCH(9530,'Email Cleaner'!$H$2:$H$10001,0)),"")</f>
        <v/>
      </c>
    </row>
    <row r="9532">
      <c r="A9532">
        <f>IFERROR(INDEX('Email Cleaner'!$B$2:$B$10001,MATCH(9531,'Email Cleaner'!$H$2:$H$10001,0)),"")</f>
        <v/>
      </c>
    </row>
    <row r="9533">
      <c r="A9533">
        <f>IFERROR(INDEX('Email Cleaner'!$B$2:$B$10001,MATCH(9532,'Email Cleaner'!$H$2:$H$10001,0)),"")</f>
        <v/>
      </c>
    </row>
    <row r="9534">
      <c r="A9534">
        <f>IFERROR(INDEX('Email Cleaner'!$B$2:$B$10001,MATCH(9533,'Email Cleaner'!$H$2:$H$10001,0)),"")</f>
        <v/>
      </c>
    </row>
    <row r="9535">
      <c r="A9535">
        <f>IFERROR(INDEX('Email Cleaner'!$B$2:$B$10001,MATCH(9534,'Email Cleaner'!$H$2:$H$10001,0)),"")</f>
        <v/>
      </c>
    </row>
    <row r="9536">
      <c r="A9536">
        <f>IFERROR(INDEX('Email Cleaner'!$B$2:$B$10001,MATCH(9535,'Email Cleaner'!$H$2:$H$10001,0)),"")</f>
        <v/>
      </c>
    </row>
    <row r="9537">
      <c r="A9537">
        <f>IFERROR(INDEX('Email Cleaner'!$B$2:$B$10001,MATCH(9536,'Email Cleaner'!$H$2:$H$10001,0)),"")</f>
        <v/>
      </c>
    </row>
    <row r="9538">
      <c r="A9538">
        <f>IFERROR(INDEX('Email Cleaner'!$B$2:$B$10001,MATCH(9537,'Email Cleaner'!$H$2:$H$10001,0)),"")</f>
        <v/>
      </c>
    </row>
    <row r="9539">
      <c r="A9539">
        <f>IFERROR(INDEX('Email Cleaner'!$B$2:$B$10001,MATCH(9538,'Email Cleaner'!$H$2:$H$10001,0)),"")</f>
        <v/>
      </c>
    </row>
    <row r="9540">
      <c r="A9540">
        <f>IFERROR(INDEX('Email Cleaner'!$B$2:$B$10001,MATCH(9539,'Email Cleaner'!$H$2:$H$10001,0)),"")</f>
        <v/>
      </c>
    </row>
    <row r="9541">
      <c r="A9541">
        <f>IFERROR(INDEX('Email Cleaner'!$B$2:$B$10001,MATCH(9540,'Email Cleaner'!$H$2:$H$10001,0)),"")</f>
        <v/>
      </c>
    </row>
    <row r="9542">
      <c r="A9542">
        <f>IFERROR(INDEX('Email Cleaner'!$B$2:$B$10001,MATCH(9541,'Email Cleaner'!$H$2:$H$10001,0)),"")</f>
        <v/>
      </c>
    </row>
    <row r="9543">
      <c r="A9543">
        <f>IFERROR(INDEX('Email Cleaner'!$B$2:$B$10001,MATCH(9542,'Email Cleaner'!$H$2:$H$10001,0)),"")</f>
        <v/>
      </c>
    </row>
    <row r="9544">
      <c r="A9544">
        <f>IFERROR(INDEX('Email Cleaner'!$B$2:$B$10001,MATCH(9543,'Email Cleaner'!$H$2:$H$10001,0)),"")</f>
        <v/>
      </c>
    </row>
    <row r="9545">
      <c r="A9545">
        <f>IFERROR(INDEX('Email Cleaner'!$B$2:$B$10001,MATCH(9544,'Email Cleaner'!$H$2:$H$10001,0)),"")</f>
        <v/>
      </c>
    </row>
    <row r="9546">
      <c r="A9546">
        <f>IFERROR(INDEX('Email Cleaner'!$B$2:$B$10001,MATCH(9545,'Email Cleaner'!$H$2:$H$10001,0)),"")</f>
        <v/>
      </c>
    </row>
    <row r="9547">
      <c r="A9547">
        <f>IFERROR(INDEX('Email Cleaner'!$B$2:$B$10001,MATCH(9546,'Email Cleaner'!$H$2:$H$10001,0)),"")</f>
        <v/>
      </c>
    </row>
    <row r="9548">
      <c r="A9548">
        <f>IFERROR(INDEX('Email Cleaner'!$B$2:$B$10001,MATCH(9547,'Email Cleaner'!$H$2:$H$10001,0)),"")</f>
        <v/>
      </c>
    </row>
    <row r="9549">
      <c r="A9549">
        <f>IFERROR(INDEX('Email Cleaner'!$B$2:$B$10001,MATCH(9548,'Email Cleaner'!$H$2:$H$10001,0)),"")</f>
        <v/>
      </c>
    </row>
    <row r="9550">
      <c r="A9550">
        <f>IFERROR(INDEX('Email Cleaner'!$B$2:$B$10001,MATCH(9549,'Email Cleaner'!$H$2:$H$10001,0)),"")</f>
        <v/>
      </c>
    </row>
    <row r="9551">
      <c r="A9551">
        <f>IFERROR(INDEX('Email Cleaner'!$B$2:$B$10001,MATCH(9550,'Email Cleaner'!$H$2:$H$10001,0)),"")</f>
        <v/>
      </c>
    </row>
    <row r="9552">
      <c r="A9552">
        <f>IFERROR(INDEX('Email Cleaner'!$B$2:$B$10001,MATCH(9551,'Email Cleaner'!$H$2:$H$10001,0)),"")</f>
        <v/>
      </c>
    </row>
    <row r="9553">
      <c r="A9553">
        <f>IFERROR(INDEX('Email Cleaner'!$B$2:$B$10001,MATCH(9552,'Email Cleaner'!$H$2:$H$10001,0)),"")</f>
        <v/>
      </c>
    </row>
    <row r="9554">
      <c r="A9554">
        <f>IFERROR(INDEX('Email Cleaner'!$B$2:$B$10001,MATCH(9553,'Email Cleaner'!$H$2:$H$10001,0)),"")</f>
        <v/>
      </c>
    </row>
    <row r="9555">
      <c r="A9555">
        <f>IFERROR(INDEX('Email Cleaner'!$B$2:$B$10001,MATCH(9554,'Email Cleaner'!$H$2:$H$10001,0)),"")</f>
        <v/>
      </c>
    </row>
    <row r="9556">
      <c r="A9556">
        <f>IFERROR(INDEX('Email Cleaner'!$B$2:$B$10001,MATCH(9555,'Email Cleaner'!$H$2:$H$10001,0)),"")</f>
        <v/>
      </c>
    </row>
    <row r="9557">
      <c r="A9557">
        <f>IFERROR(INDEX('Email Cleaner'!$B$2:$B$10001,MATCH(9556,'Email Cleaner'!$H$2:$H$10001,0)),"")</f>
        <v/>
      </c>
    </row>
    <row r="9558">
      <c r="A9558">
        <f>IFERROR(INDEX('Email Cleaner'!$B$2:$B$10001,MATCH(9557,'Email Cleaner'!$H$2:$H$10001,0)),"")</f>
        <v/>
      </c>
    </row>
    <row r="9559">
      <c r="A9559">
        <f>IFERROR(INDEX('Email Cleaner'!$B$2:$B$10001,MATCH(9558,'Email Cleaner'!$H$2:$H$10001,0)),"")</f>
        <v/>
      </c>
    </row>
    <row r="9560">
      <c r="A9560">
        <f>IFERROR(INDEX('Email Cleaner'!$B$2:$B$10001,MATCH(9559,'Email Cleaner'!$H$2:$H$10001,0)),"")</f>
        <v/>
      </c>
    </row>
    <row r="9561">
      <c r="A9561">
        <f>IFERROR(INDEX('Email Cleaner'!$B$2:$B$10001,MATCH(9560,'Email Cleaner'!$H$2:$H$10001,0)),"")</f>
        <v/>
      </c>
    </row>
    <row r="9562">
      <c r="A9562">
        <f>IFERROR(INDEX('Email Cleaner'!$B$2:$B$10001,MATCH(9561,'Email Cleaner'!$H$2:$H$10001,0)),"")</f>
        <v/>
      </c>
    </row>
    <row r="9563">
      <c r="A9563">
        <f>IFERROR(INDEX('Email Cleaner'!$B$2:$B$10001,MATCH(9562,'Email Cleaner'!$H$2:$H$10001,0)),"")</f>
        <v/>
      </c>
    </row>
    <row r="9564">
      <c r="A9564">
        <f>IFERROR(INDEX('Email Cleaner'!$B$2:$B$10001,MATCH(9563,'Email Cleaner'!$H$2:$H$10001,0)),"")</f>
        <v/>
      </c>
    </row>
    <row r="9565">
      <c r="A9565">
        <f>IFERROR(INDEX('Email Cleaner'!$B$2:$B$10001,MATCH(9564,'Email Cleaner'!$H$2:$H$10001,0)),"")</f>
        <v/>
      </c>
    </row>
    <row r="9566">
      <c r="A9566">
        <f>IFERROR(INDEX('Email Cleaner'!$B$2:$B$10001,MATCH(9565,'Email Cleaner'!$H$2:$H$10001,0)),"")</f>
        <v/>
      </c>
    </row>
    <row r="9567">
      <c r="A9567">
        <f>IFERROR(INDEX('Email Cleaner'!$B$2:$B$10001,MATCH(9566,'Email Cleaner'!$H$2:$H$10001,0)),"")</f>
        <v/>
      </c>
    </row>
    <row r="9568">
      <c r="A9568">
        <f>IFERROR(INDEX('Email Cleaner'!$B$2:$B$10001,MATCH(9567,'Email Cleaner'!$H$2:$H$10001,0)),"")</f>
        <v/>
      </c>
    </row>
    <row r="9569">
      <c r="A9569">
        <f>IFERROR(INDEX('Email Cleaner'!$B$2:$B$10001,MATCH(9568,'Email Cleaner'!$H$2:$H$10001,0)),"")</f>
        <v/>
      </c>
    </row>
    <row r="9570">
      <c r="A9570">
        <f>IFERROR(INDEX('Email Cleaner'!$B$2:$B$10001,MATCH(9569,'Email Cleaner'!$H$2:$H$10001,0)),"")</f>
        <v/>
      </c>
    </row>
    <row r="9571">
      <c r="A9571">
        <f>IFERROR(INDEX('Email Cleaner'!$B$2:$B$10001,MATCH(9570,'Email Cleaner'!$H$2:$H$10001,0)),"")</f>
        <v/>
      </c>
    </row>
    <row r="9572">
      <c r="A9572">
        <f>IFERROR(INDEX('Email Cleaner'!$B$2:$B$10001,MATCH(9571,'Email Cleaner'!$H$2:$H$10001,0)),"")</f>
        <v/>
      </c>
    </row>
    <row r="9573">
      <c r="A9573">
        <f>IFERROR(INDEX('Email Cleaner'!$B$2:$B$10001,MATCH(9572,'Email Cleaner'!$H$2:$H$10001,0)),"")</f>
        <v/>
      </c>
    </row>
    <row r="9574">
      <c r="A9574">
        <f>IFERROR(INDEX('Email Cleaner'!$B$2:$B$10001,MATCH(9573,'Email Cleaner'!$H$2:$H$10001,0)),"")</f>
        <v/>
      </c>
    </row>
    <row r="9575">
      <c r="A9575">
        <f>IFERROR(INDEX('Email Cleaner'!$B$2:$B$10001,MATCH(9574,'Email Cleaner'!$H$2:$H$10001,0)),"")</f>
        <v/>
      </c>
    </row>
    <row r="9576">
      <c r="A9576">
        <f>IFERROR(INDEX('Email Cleaner'!$B$2:$B$10001,MATCH(9575,'Email Cleaner'!$H$2:$H$10001,0)),"")</f>
        <v/>
      </c>
    </row>
    <row r="9577">
      <c r="A9577">
        <f>IFERROR(INDEX('Email Cleaner'!$B$2:$B$10001,MATCH(9576,'Email Cleaner'!$H$2:$H$10001,0)),"")</f>
        <v/>
      </c>
    </row>
    <row r="9578">
      <c r="A9578">
        <f>IFERROR(INDEX('Email Cleaner'!$B$2:$B$10001,MATCH(9577,'Email Cleaner'!$H$2:$H$10001,0)),"")</f>
        <v/>
      </c>
    </row>
    <row r="9579">
      <c r="A9579">
        <f>IFERROR(INDEX('Email Cleaner'!$B$2:$B$10001,MATCH(9578,'Email Cleaner'!$H$2:$H$10001,0)),"")</f>
        <v/>
      </c>
    </row>
    <row r="9580">
      <c r="A9580">
        <f>IFERROR(INDEX('Email Cleaner'!$B$2:$B$10001,MATCH(9579,'Email Cleaner'!$H$2:$H$10001,0)),"")</f>
        <v/>
      </c>
    </row>
    <row r="9581">
      <c r="A9581">
        <f>IFERROR(INDEX('Email Cleaner'!$B$2:$B$10001,MATCH(9580,'Email Cleaner'!$H$2:$H$10001,0)),"")</f>
        <v/>
      </c>
    </row>
    <row r="9582">
      <c r="A9582">
        <f>IFERROR(INDEX('Email Cleaner'!$B$2:$B$10001,MATCH(9581,'Email Cleaner'!$H$2:$H$10001,0)),"")</f>
        <v/>
      </c>
    </row>
    <row r="9583">
      <c r="A9583">
        <f>IFERROR(INDEX('Email Cleaner'!$B$2:$B$10001,MATCH(9582,'Email Cleaner'!$H$2:$H$10001,0)),"")</f>
        <v/>
      </c>
    </row>
    <row r="9584">
      <c r="A9584">
        <f>IFERROR(INDEX('Email Cleaner'!$B$2:$B$10001,MATCH(9583,'Email Cleaner'!$H$2:$H$10001,0)),"")</f>
        <v/>
      </c>
    </row>
    <row r="9585">
      <c r="A9585">
        <f>IFERROR(INDEX('Email Cleaner'!$B$2:$B$10001,MATCH(9584,'Email Cleaner'!$H$2:$H$10001,0)),"")</f>
        <v/>
      </c>
    </row>
    <row r="9586">
      <c r="A9586">
        <f>IFERROR(INDEX('Email Cleaner'!$B$2:$B$10001,MATCH(9585,'Email Cleaner'!$H$2:$H$10001,0)),"")</f>
        <v/>
      </c>
    </row>
    <row r="9587">
      <c r="A9587">
        <f>IFERROR(INDEX('Email Cleaner'!$B$2:$B$10001,MATCH(9586,'Email Cleaner'!$H$2:$H$10001,0)),"")</f>
        <v/>
      </c>
    </row>
    <row r="9588">
      <c r="A9588">
        <f>IFERROR(INDEX('Email Cleaner'!$B$2:$B$10001,MATCH(9587,'Email Cleaner'!$H$2:$H$10001,0)),"")</f>
        <v/>
      </c>
    </row>
    <row r="9589">
      <c r="A9589">
        <f>IFERROR(INDEX('Email Cleaner'!$B$2:$B$10001,MATCH(9588,'Email Cleaner'!$H$2:$H$10001,0)),"")</f>
        <v/>
      </c>
    </row>
    <row r="9590">
      <c r="A9590">
        <f>IFERROR(INDEX('Email Cleaner'!$B$2:$B$10001,MATCH(9589,'Email Cleaner'!$H$2:$H$10001,0)),"")</f>
        <v/>
      </c>
    </row>
    <row r="9591">
      <c r="A9591">
        <f>IFERROR(INDEX('Email Cleaner'!$B$2:$B$10001,MATCH(9590,'Email Cleaner'!$H$2:$H$10001,0)),"")</f>
        <v/>
      </c>
    </row>
    <row r="9592">
      <c r="A9592">
        <f>IFERROR(INDEX('Email Cleaner'!$B$2:$B$10001,MATCH(9591,'Email Cleaner'!$H$2:$H$10001,0)),"")</f>
        <v/>
      </c>
    </row>
    <row r="9593">
      <c r="A9593">
        <f>IFERROR(INDEX('Email Cleaner'!$B$2:$B$10001,MATCH(9592,'Email Cleaner'!$H$2:$H$10001,0)),"")</f>
        <v/>
      </c>
    </row>
    <row r="9594">
      <c r="A9594">
        <f>IFERROR(INDEX('Email Cleaner'!$B$2:$B$10001,MATCH(9593,'Email Cleaner'!$H$2:$H$10001,0)),"")</f>
        <v/>
      </c>
    </row>
    <row r="9595">
      <c r="A9595">
        <f>IFERROR(INDEX('Email Cleaner'!$B$2:$B$10001,MATCH(9594,'Email Cleaner'!$H$2:$H$10001,0)),"")</f>
        <v/>
      </c>
    </row>
    <row r="9596">
      <c r="A9596">
        <f>IFERROR(INDEX('Email Cleaner'!$B$2:$B$10001,MATCH(9595,'Email Cleaner'!$H$2:$H$10001,0)),"")</f>
        <v/>
      </c>
    </row>
    <row r="9597">
      <c r="A9597">
        <f>IFERROR(INDEX('Email Cleaner'!$B$2:$B$10001,MATCH(9596,'Email Cleaner'!$H$2:$H$10001,0)),"")</f>
        <v/>
      </c>
    </row>
    <row r="9598">
      <c r="A9598">
        <f>IFERROR(INDEX('Email Cleaner'!$B$2:$B$10001,MATCH(9597,'Email Cleaner'!$H$2:$H$10001,0)),"")</f>
        <v/>
      </c>
    </row>
    <row r="9599">
      <c r="A9599">
        <f>IFERROR(INDEX('Email Cleaner'!$B$2:$B$10001,MATCH(9598,'Email Cleaner'!$H$2:$H$10001,0)),"")</f>
        <v/>
      </c>
    </row>
    <row r="9600">
      <c r="A9600">
        <f>IFERROR(INDEX('Email Cleaner'!$B$2:$B$10001,MATCH(9599,'Email Cleaner'!$H$2:$H$10001,0)),"")</f>
        <v/>
      </c>
    </row>
    <row r="9601">
      <c r="A9601">
        <f>IFERROR(INDEX('Email Cleaner'!$B$2:$B$10001,MATCH(9600,'Email Cleaner'!$H$2:$H$10001,0)),"")</f>
        <v/>
      </c>
    </row>
    <row r="9602">
      <c r="A9602">
        <f>IFERROR(INDEX('Email Cleaner'!$B$2:$B$10001,MATCH(9601,'Email Cleaner'!$H$2:$H$10001,0)),"")</f>
        <v/>
      </c>
    </row>
    <row r="9603">
      <c r="A9603">
        <f>IFERROR(INDEX('Email Cleaner'!$B$2:$B$10001,MATCH(9602,'Email Cleaner'!$H$2:$H$10001,0)),"")</f>
        <v/>
      </c>
    </row>
    <row r="9604">
      <c r="A9604">
        <f>IFERROR(INDEX('Email Cleaner'!$B$2:$B$10001,MATCH(9603,'Email Cleaner'!$H$2:$H$10001,0)),"")</f>
        <v/>
      </c>
    </row>
    <row r="9605">
      <c r="A9605">
        <f>IFERROR(INDEX('Email Cleaner'!$B$2:$B$10001,MATCH(9604,'Email Cleaner'!$H$2:$H$10001,0)),"")</f>
        <v/>
      </c>
    </row>
    <row r="9606">
      <c r="A9606">
        <f>IFERROR(INDEX('Email Cleaner'!$B$2:$B$10001,MATCH(9605,'Email Cleaner'!$H$2:$H$10001,0)),"")</f>
        <v/>
      </c>
    </row>
    <row r="9607">
      <c r="A9607">
        <f>IFERROR(INDEX('Email Cleaner'!$B$2:$B$10001,MATCH(9606,'Email Cleaner'!$H$2:$H$10001,0)),"")</f>
        <v/>
      </c>
    </row>
    <row r="9608">
      <c r="A9608">
        <f>IFERROR(INDEX('Email Cleaner'!$B$2:$B$10001,MATCH(9607,'Email Cleaner'!$H$2:$H$10001,0)),"")</f>
        <v/>
      </c>
    </row>
    <row r="9609">
      <c r="A9609">
        <f>IFERROR(INDEX('Email Cleaner'!$B$2:$B$10001,MATCH(9608,'Email Cleaner'!$H$2:$H$10001,0)),"")</f>
        <v/>
      </c>
    </row>
    <row r="9610">
      <c r="A9610">
        <f>IFERROR(INDEX('Email Cleaner'!$B$2:$B$10001,MATCH(9609,'Email Cleaner'!$H$2:$H$10001,0)),"")</f>
        <v/>
      </c>
    </row>
    <row r="9611">
      <c r="A9611">
        <f>IFERROR(INDEX('Email Cleaner'!$B$2:$B$10001,MATCH(9610,'Email Cleaner'!$H$2:$H$10001,0)),"")</f>
        <v/>
      </c>
    </row>
    <row r="9612">
      <c r="A9612">
        <f>IFERROR(INDEX('Email Cleaner'!$B$2:$B$10001,MATCH(9611,'Email Cleaner'!$H$2:$H$10001,0)),"")</f>
        <v/>
      </c>
    </row>
    <row r="9613">
      <c r="A9613">
        <f>IFERROR(INDEX('Email Cleaner'!$B$2:$B$10001,MATCH(9612,'Email Cleaner'!$H$2:$H$10001,0)),"")</f>
        <v/>
      </c>
    </row>
    <row r="9614">
      <c r="A9614">
        <f>IFERROR(INDEX('Email Cleaner'!$B$2:$B$10001,MATCH(9613,'Email Cleaner'!$H$2:$H$10001,0)),"")</f>
        <v/>
      </c>
    </row>
    <row r="9615">
      <c r="A9615">
        <f>IFERROR(INDEX('Email Cleaner'!$B$2:$B$10001,MATCH(9614,'Email Cleaner'!$H$2:$H$10001,0)),"")</f>
        <v/>
      </c>
    </row>
    <row r="9616">
      <c r="A9616">
        <f>IFERROR(INDEX('Email Cleaner'!$B$2:$B$10001,MATCH(9615,'Email Cleaner'!$H$2:$H$10001,0)),"")</f>
        <v/>
      </c>
    </row>
    <row r="9617">
      <c r="A9617">
        <f>IFERROR(INDEX('Email Cleaner'!$B$2:$B$10001,MATCH(9616,'Email Cleaner'!$H$2:$H$10001,0)),"")</f>
        <v/>
      </c>
    </row>
    <row r="9618">
      <c r="A9618">
        <f>IFERROR(INDEX('Email Cleaner'!$B$2:$B$10001,MATCH(9617,'Email Cleaner'!$H$2:$H$10001,0)),"")</f>
        <v/>
      </c>
    </row>
    <row r="9619">
      <c r="A9619">
        <f>IFERROR(INDEX('Email Cleaner'!$B$2:$B$10001,MATCH(9618,'Email Cleaner'!$H$2:$H$10001,0)),"")</f>
        <v/>
      </c>
    </row>
    <row r="9620">
      <c r="A9620">
        <f>IFERROR(INDEX('Email Cleaner'!$B$2:$B$10001,MATCH(9619,'Email Cleaner'!$H$2:$H$10001,0)),"")</f>
        <v/>
      </c>
    </row>
    <row r="9621">
      <c r="A9621">
        <f>IFERROR(INDEX('Email Cleaner'!$B$2:$B$10001,MATCH(9620,'Email Cleaner'!$H$2:$H$10001,0)),"")</f>
        <v/>
      </c>
    </row>
    <row r="9622">
      <c r="A9622">
        <f>IFERROR(INDEX('Email Cleaner'!$B$2:$B$10001,MATCH(9621,'Email Cleaner'!$H$2:$H$10001,0)),"")</f>
        <v/>
      </c>
    </row>
    <row r="9623">
      <c r="A9623">
        <f>IFERROR(INDEX('Email Cleaner'!$B$2:$B$10001,MATCH(9622,'Email Cleaner'!$H$2:$H$10001,0)),"")</f>
        <v/>
      </c>
    </row>
    <row r="9624">
      <c r="A9624">
        <f>IFERROR(INDEX('Email Cleaner'!$B$2:$B$10001,MATCH(9623,'Email Cleaner'!$H$2:$H$10001,0)),"")</f>
        <v/>
      </c>
    </row>
    <row r="9625">
      <c r="A9625">
        <f>IFERROR(INDEX('Email Cleaner'!$B$2:$B$10001,MATCH(9624,'Email Cleaner'!$H$2:$H$10001,0)),"")</f>
        <v/>
      </c>
    </row>
    <row r="9626">
      <c r="A9626">
        <f>IFERROR(INDEX('Email Cleaner'!$B$2:$B$10001,MATCH(9625,'Email Cleaner'!$H$2:$H$10001,0)),"")</f>
        <v/>
      </c>
    </row>
    <row r="9627">
      <c r="A9627">
        <f>IFERROR(INDEX('Email Cleaner'!$B$2:$B$10001,MATCH(9626,'Email Cleaner'!$H$2:$H$10001,0)),"")</f>
        <v/>
      </c>
    </row>
    <row r="9628">
      <c r="A9628">
        <f>IFERROR(INDEX('Email Cleaner'!$B$2:$B$10001,MATCH(9627,'Email Cleaner'!$H$2:$H$10001,0)),"")</f>
        <v/>
      </c>
    </row>
    <row r="9629">
      <c r="A9629">
        <f>IFERROR(INDEX('Email Cleaner'!$B$2:$B$10001,MATCH(9628,'Email Cleaner'!$H$2:$H$10001,0)),"")</f>
        <v/>
      </c>
    </row>
    <row r="9630">
      <c r="A9630">
        <f>IFERROR(INDEX('Email Cleaner'!$B$2:$B$10001,MATCH(9629,'Email Cleaner'!$H$2:$H$10001,0)),"")</f>
        <v/>
      </c>
    </row>
    <row r="9631">
      <c r="A9631">
        <f>IFERROR(INDEX('Email Cleaner'!$B$2:$B$10001,MATCH(9630,'Email Cleaner'!$H$2:$H$10001,0)),"")</f>
        <v/>
      </c>
    </row>
    <row r="9632">
      <c r="A9632">
        <f>IFERROR(INDEX('Email Cleaner'!$B$2:$B$10001,MATCH(9631,'Email Cleaner'!$H$2:$H$10001,0)),"")</f>
        <v/>
      </c>
    </row>
    <row r="9633">
      <c r="A9633">
        <f>IFERROR(INDEX('Email Cleaner'!$B$2:$B$10001,MATCH(9632,'Email Cleaner'!$H$2:$H$10001,0)),"")</f>
        <v/>
      </c>
    </row>
    <row r="9634">
      <c r="A9634">
        <f>IFERROR(INDEX('Email Cleaner'!$B$2:$B$10001,MATCH(9633,'Email Cleaner'!$H$2:$H$10001,0)),"")</f>
        <v/>
      </c>
    </row>
    <row r="9635">
      <c r="A9635">
        <f>IFERROR(INDEX('Email Cleaner'!$B$2:$B$10001,MATCH(9634,'Email Cleaner'!$H$2:$H$10001,0)),"")</f>
        <v/>
      </c>
    </row>
    <row r="9636">
      <c r="A9636">
        <f>IFERROR(INDEX('Email Cleaner'!$B$2:$B$10001,MATCH(9635,'Email Cleaner'!$H$2:$H$10001,0)),"")</f>
        <v/>
      </c>
    </row>
    <row r="9637">
      <c r="A9637">
        <f>IFERROR(INDEX('Email Cleaner'!$B$2:$B$10001,MATCH(9636,'Email Cleaner'!$H$2:$H$10001,0)),"")</f>
        <v/>
      </c>
    </row>
    <row r="9638">
      <c r="A9638">
        <f>IFERROR(INDEX('Email Cleaner'!$B$2:$B$10001,MATCH(9637,'Email Cleaner'!$H$2:$H$10001,0)),"")</f>
        <v/>
      </c>
    </row>
    <row r="9639">
      <c r="A9639">
        <f>IFERROR(INDEX('Email Cleaner'!$B$2:$B$10001,MATCH(9638,'Email Cleaner'!$H$2:$H$10001,0)),"")</f>
        <v/>
      </c>
    </row>
    <row r="9640">
      <c r="A9640">
        <f>IFERROR(INDEX('Email Cleaner'!$B$2:$B$10001,MATCH(9639,'Email Cleaner'!$H$2:$H$10001,0)),"")</f>
        <v/>
      </c>
    </row>
    <row r="9641">
      <c r="A9641">
        <f>IFERROR(INDEX('Email Cleaner'!$B$2:$B$10001,MATCH(9640,'Email Cleaner'!$H$2:$H$10001,0)),"")</f>
        <v/>
      </c>
    </row>
    <row r="9642">
      <c r="A9642">
        <f>IFERROR(INDEX('Email Cleaner'!$B$2:$B$10001,MATCH(9641,'Email Cleaner'!$H$2:$H$10001,0)),"")</f>
        <v/>
      </c>
    </row>
    <row r="9643">
      <c r="A9643">
        <f>IFERROR(INDEX('Email Cleaner'!$B$2:$B$10001,MATCH(9642,'Email Cleaner'!$H$2:$H$10001,0)),"")</f>
        <v/>
      </c>
    </row>
    <row r="9644">
      <c r="A9644">
        <f>IFERROR(INDEX('Email Cleaner'!$B$2:$B$10001,MATCH(9643,'Email Cleaner'!$H$2:$H$10001,0)),"")</f>
        <v/>
      </c>
    </row>
    <row r="9645">
      <c r="A9645">
        <f>IFERROR(INDEX('Email Cleaner'!$B$2:$B$10001,MATCH(9644,'Email Cleaner'!$H$2:$H$10001,0)),"")</f>
        <v/>
      </c>
    </row>
    <row r="9646">
      <c r="A9646">
        <f>IFERROR(INDEX('Email Cleaner'!$B$2:$B$10001,MATCH(9645,'Email Cleaner'!$H$2:$H$10001,0)),"")</f>
        <v/>
      </c>
    </row>
    <row r="9647">
      <c r="A9647">
        <f>IFERROR(INDEX('Email Cleaner'!$B$2:$B$10001,MATCH(9646,'Email Cleaner'!$H$2:$H$10001,0)),"")</f>
        <v/>
      </c>
    </row>
    <row r="9648">
      <c r="A9648">
        <f>IFERROR(INDEX('Email Cleaner'!$B$2:$B$10001,MATCH(9647,'Email Cleaner'!$H$2:$H$10001,0)),"")</f>
        <v/>
      </c>
    </row>
    <row r="9649">
      <c r="A9649">
        <f>IFERROR(INDEX('Email Cleaner'!$B$2:$B$10001,MATCH(9648,'Email Cleaner'!$H$2:$H$10001,0)),"")</f>
        <v/>
      </c>
    </row>
    <row r="9650">
      <c r="A9650">
        <f>IFERROR(INDEX('Email Cleaner'!$B$2:$B$10001,MATCH(9649,'Email Cleaner'!$H$2:$H$10001,0)),"")</f>
        <v/>
      </c>
    </row>
    <row r="9651">
      <c r="A9651">
        <f>IFERROR(INDEX('Email Cleaner'!$B$2:$B$10001,MATCH(9650,'Email Cleaner'!$H$2:$H$10001,0)),"")</f>
        <v/>
      </c>
    </row>
    <row r="9652">
      <c r="A9652">
        <f>IFERROR(INDEX('Email Cleaner'!$B$2:$B$10001,MATCH(9651,'Email Cleaner'!$H$2:$H$10001,0)),"")</f>
        <v/>
      </c>
    </row>
    <row r="9653">
      <c r="A9653">
        <f>IFERROR(INDEX('Email Cleaner'!$B$2:$B$10001,MATCH(9652,'Email Cleaner'!$H$2:$H$10001,0)),"")</f>
        <v/>
      </c>
    </row>
    <row r="9654">
      <c r="A9654">
        <f>IFERROR(INDEX('Email Cleaner'!$B$2:$B$10001,MATCH(9653,'Email Cleaner'!$H$2:$H$10001,0)),"")</f>
        <v/>
      </c>
    </row>
    <row r="9655">
      <c r="A9655">
        <f>IFERROR(INDEX('Email Cleaner'!$B$2:$B$10001,MATCH(9654,'Email Cleaner'!$H$2:$H$10001,0)),"")</f>
        <v/>
      </c>
    </row>
    <row r="9656">
      <c r="A9656">
        <f>IFERROR(INDEX('Email Cleaner'!$B$2:$B$10001,MATCH(9655,'Email Cleaner'!$H$2:$H$10001,0)),"")</f>
        <v/>
      </c>
    </row>
    <row r="9657">
      <c r="A9657">
        <f>IFERROR(INDEX('Email Cleaner'!$B$2:$B$10001,MATCH(9656,'Email Cleaner'!$H$2:$H$10001,0)),"")</f>
        <v/>
      </c>
    </row>
    <row r="9658">
      <c r="A9658">
        <f>IFERROR(INDEX('Email Cleaner'!$B$2:$B$10001,MATCH(9657,'Email Cleaner'!$H$2:$H$10001,0)),"")</f>
        <v/>
      </c>
    </row>
    <row r="9659">
      <c r="A9659">
        <f>IFERROR(INDEX('Email Cleaner'!$B$2:$B$10001,MATCH(9658,'Email Cleaner'!$H$2:$H$10001,0)),"")</f>
        <v/>
      </c>
    </row>
    <row r="9660">
      <c r="A9660">
        <f>IFERROR(INDEX('Email Cleaner'!$B$2:$B$10001,MATCH(9659,'Email Cleaner'!$H$2:$H$10001,0)),"")</f>
        <v/>
      </c>
    </row>
    <row r="9661">
      <c r="A9661">
        <f>IFERROR(INDEX('Email Cleaner'!$B$2:$B$10001,MATCH(9660,'Email Cleaner'!$H$2:$H$10001,0)),"")</f>
        <v/>
      </c>
    </row>
    <row r="9662">
      <c r="A9662">
        <f>IFERROR(INDEX('Email Cleaner'!$B$2:$B$10001,MATCH(9661,'Email Cleaner'!$H$2:$H$10001,0)),"")</f>
        <v/>
      </c>
    </row>
    <row r="9663">
      <c r="A9663">
        <f>IFERROR(INDEX('Email Cleaner'!$B$2:$B$10001,MATCH(9662,'Email Cleaner'!$H$2:$H$10001,0)),"")</f>
        <v/>
      </c>
    </row>
    <row r="9664">
      <c r="A9664">
        <f>IFERROR(INDEX('Email Cleaner'!$B$2:$B$10001,MATCH(9663,'Email Cleaner'!$H$2:$H$10001,0)),"")</f>
        <v/>
      </c>
    </row>
    <row r="9665">
      <c r="A9665">
        <f>IFERROR(INDEX('Email Cleaner'!$B$2:$B$10001,MATCH(9664,'Email Cleaner'!$H$2:$H$10001,0)),"")</f>
        <v/>
      </c>
    </row>
    <row r="9666">
      <c r="A9666">
        <f>IFERROR(INDEX('Email Cleaner'!$B$2:$B$10001,MATCH(9665,'Email Cleaner'!$H$2:$H$10001,0)),"")</f>
        <v/>
      </c>
    </row>
    <row r="9667">
      <c r="A9667">
        <f>IFERROR(INDEX('Email Cleaner'!$B$2:$B$10001,MATCH(9666,'Email Cleaner'!$H$2:$H$10001,0)),"")</f>
        <v/>
      </c>
    </row>
    <row r="9668">
      <c r="A9668">
        <f>IFERROR(INDEX('Email Cleaner'!$B$2:$B$10001,MATCH(9667,'Email Cleaner'!$H$2:$H$10001,0)),"")</f>
        <v/>
      </c>
    </row>
    <row r="9669">
      <c r="A9669">
        <f>IFERROR(INDEX('Email Cleaner'!$B$2:$B$10001,MATCH(9668,'Email Cleaner'!$H$2:$H$10001,0)),"")</f>
        <v/>
      </c>
    </row>
    <row r="9670">
      <c r="A9670">
        <f>IFERROR(INDEX('Email Cleaner'!$B$2:$B$10001,MATCH(9669,'Email Cleaner'!$H$2:$H$10001,0)),"")</f>
        <v/>
      </c>
    </row>
    <row r="9671">
      <c r="A9671">
        <f>IFERROR(INDEX('Email Cleaner'!$B$2:$B$10001,MATCH(9670,'Email Cleaner'!$H$2:$H$10001,0)),"")</f>
        <v/>
      </c>
    </row>
    <row r="9672">
      <c r="A9672">
        <f>IFERROR(INDEX('Email Cleaner'!$B$2:$B$10001,MATCH(9671,'Email Cleaner'!$H$2:$H$10001,0)),"")</f>
        <v/>
      </c>
    </row>
    <row r="9673">
      <c r="A9673">
        <f>IFERROR(INDEX('Email Cleaner'!$B$2:$B$10001,MATCH(9672,'Email Cleaner'!$H$2:$H$10001,0)),"")</f>
        <v/>
      </c>
    </row>
    <row r="9674">
      <c r="A9674">
        <f>IFERROR(INDEX('Email Cleaner'!$B$2:$B$10001,MATCH(9673,'Email Cleaner'!$H$2:$H$10001,0)),"")</f>
        <v/>
      </c>
    </row>
    <row r="9675">
      <c r="A9675">
        <f>IFERROR(INDEX('Email Cleaner'!$B$2:$B$10001,MATCH(9674,'Email Cleaner'!$H$2:$H$10001,0)),"")</f>
        <v/>
      </c>
    </row>
    <row r="9676">
      <c r="A9676">
        <f>IFERROR(INDEX('Email Cleaner'!$B$2:$B$10001,MATCH(9675,'Email Cleaner'!$H$2:$H$10001,0)),"")</f>
        <v/>
      </c>
    </row>
    <row r="9677">
      <c r="A9677">
        <f>IFERROR(INDEX('Email Cleaner'!$B$2:$B$10001,MATCH(9676,'Email Cleaner'!$H$2:$H$10001,0)),"")</f>
        <v/>
      </c>
    </row>
    <row r="9678">
      <c r="A9678">
        <f>IFERROR(INDEX('Email Cleaner'!$B$2:$B$10001,MATCH(9677,'Email Cleaner'!$H$2:$H$10001,0)),"")</f>
        <v/>
      </c>
    </row>
    <row r="9679">
      <c r="A9679">
        <f>IFERROR(INDEX('Email Cleaner'!$B$2:$B$10001,MATCH(9678,'Email Cleaner'!$H$2:$H$10001,0)),"")</f>
        <v/>
      </c>
    </row>
    <row r="9680">
      <c r="A9680">
        <f>IFERROR(INDEX('Email Cleaner'!$B$2:$B$10001,MATCH(9679,'Email Cleaner'!$H$2:$H$10001,0)),"")</f>
        <v/>
      </c>
    </row>
    <row r="9681">
      <c r="A9681">
        <f>IFERROR(INDEX('Email Cleaner'!$B$2:$B$10001,MATCH(9680,'Email Cleaner'!$H$2:$H$10001,0)),"")</f>
        <v/>
      </c>
    </row>
    <row r="9682">
      <c r="A9682">
        <f>IFERROR(INDEX('Email Cleaner'!$B$2:$B$10001,MATCH(9681,'Email Cleaner'!$H$2:$H$10001,0)),"")</f>
        <v/>
      </c>
    </row>
    <row r="9683">
      <c r="A9683">
        <f>IFERROR(INDEX('Email Cleaner'!$B$2:$B$10001,MATCH(9682,'Email Cleaner'!$H$2:$H$10001,0)),"")</f>
        <v/>
      </c>
    </row>
    <row r="9684">
      <c r="A9684">
        <f>IFERROR(INDEX('Email Cleaner'!$B$2:$B$10001,MATCH(9683,'Email Cleaner'!$H$2:$H$10001,0)),"")</f>
        <v/>
      </c>
    </row>
    <row r="9685">
      <c r="A9685">
        <f>IFERROR(INDEX('Email Cleaner'!$B$2:$B$10001,MATCH(9684,'Email Cleaner'!$H$2:$H$10001,0)),"")</f>
        <v/>
      </c>
    </row>
    <row r="9686">
      <c r="A9686">
        <f>IFERROR(INDEX('Email Cleaner'!$B$2:$B$10001,MATCH(9685,'Email Cleaner'!$H$2:$H$10001,0)),"")</f>
        <v/>
      </c>
    </row>
    <row r="9687">
      <c r="A9687">
        <f>IFERROR(INDEX('Email Cleaner'!$B$2:$B$10001,MATCH(9686,'Email Cleaner'!$H$2:$H$10001,0)),"")</f>
        <v/>
      </c>
    </row>
    <row r="9688">
      <c r="A9688">
        <f>IFERROR(INDEX('Email Cleaner'!$B$2:$B$10001,MATCH(9687,'Email Cleaner'!$H$2:$H$10001,0)),"")</f>
        <v/>
      </c>
    </row>
    <row r="9689">
      <c r="A9689">
        <f>IFERROR(INDEX('Email Cleaner'!$B$2:$B$10001,MATCH(9688,'Email Cleaner'!$H$2:$H$10001,0)),"")</f>
        <v/>
      </c>
    </row>
    <row r="9690">
      <c r="A9690">
        <f>IFERROR(INDEX('Email Cleaner'!$B$2:$B$10001,MATCH(9689,'Email Cleaner'!$H$2:$H$10001,0)),"")</f>
        <v/>
      </c>
    </row>
    <row r="9691">
      <c r="A9691">
        <f>IFERROR(INDEX('Email Cleaner'!$B$2:$B$10001,MATCH(9690,'Email Cleaner'!$H$2:$H$10001,0)),"")</f>
        <v/>
      </c>
    </row>
    <row r="9692">
      <c r="A9692">
        <f>IFERROR(INDEX('Email Cleaner'!$B$2:$B$10001,MATCH(9691,'Email Cleaner'!$H$2:$H$10001,0)),"")</f>
        <v/>
      </c>
    </row>
    <row r="9693">
      <c r="A9693">
        <f>IFERROR(INDEX('Email Cleaner'!$B$2:$B$10001,MATCH(9692,'Email Cleaner'!$H$2:$H$10001,0)),"")</f>
        <v/>
      </c>
    </row>
    <row r="9694">
      <c r="A9694">
        <f>IFERROR(INDEX('Email Cleaner'!$B$2:$B$10001,MATCH(9693,'Email Cleaner'!$H$2:$H$10001,0)),"")</f>
        <v/>
      </c>
    </row>
    <row r="9695">
      <c r="A9695">
        <f>IFERROR(INDEX('Email Cleaner'!$B$2:$B$10001,MATCH(9694,'Email Cleaner'!$H$2:$H$10001,0)),"")</f>
        <v/>
      </c>
    </row>
    <row r="9696">
      <c r="A9696">
        <f>IFERROR(INDEX('Email Cleaner'!$B$2:$B$10001,MATCH(9695,'Email Cleaner'!$H$2:$H$10001,0)),"")</f>
        <v/>
      </c>
    </row>
    <row r="9697">
      <c r="A9697">
        <f>IFERROR(INDEX('Email Cleaner'!$B$2:$B$10001,MATCH(9696,'Email Cleaner'!$H$2:$H$10001,0)),"")</f>
        <v/>
      </c>
    </row>
    <row r="9698">
      <c r="A9698">
        <f>IFERROR(INDEX('Email Cleaner'!$B$2:$B$10001,MATCH(9697,'Email Cleaner'!$H$2:$H$10001,0)),"")</f>
        <v/>
      </c>
    </row>
    <row r="9699">
      <c r="A9699">
        <f>IFERROR(INDEX('Email Cleaner'!$B$2:$B$10001,MATCH(9698,'Email Cleaner'!$H$2:$H$10001,0)),"")</f>
        <v/>
      </c>
    </row>
    <row r="9700">
      <c r="A9700">
        <f>IFERROR(INDEX('Email Cleaner'!$B$2:$B$10001,MATCH(9699,'Email Cleaner'!$H$2:$H$10001,0)),"")</f>
        <v/>
      </c>
    </row>
    <row r="9701">
      <c r="A9701">
        <f>IFERROR(INDEX('Email Cleaner'!$B$2:$B$10001,MATCH(9700,'Email Cleaner'!$H$2:$H$10001,0)),"")</f>
        <v/>
      </c>
    </row>
    <row r="9702">
      <c r="A9702">
        <f>IFERROR(INDEX('Email Cleaner'!$B$2:$B$10001,MATCH(9701,'Email Cleaner'!$H$2:$H$10001,0)),"")</f>
        <v/>
      </c>
    </row>
    <row r="9703">
      <c r="A9703">
        <f>IFERROR(INDEX('Email Cleaner'!$B$2:$B$10001,MATCH(9702,'Email Cleaner'!$H$2:$H$10001,0)),"")</f>
        <v/>
      </c>
    </row>
    <row r="9704">
      <c r="A9704">
        <f>IFERROR(INDEX('Email Cleaner'!$B$2:$B$10001,MATCH(9703,'Email Cleaner'!$H$2:$H$10001,0)),"")</f>
        <v/>
      </c>
    </row>
    <row r="9705">
      <c r="A9705">
        <f>IFERROR(INDEX('Email Cleaner'!$B$2:$B$10001,MATCH(9704,'Email Cleaner'!$H$2:$H$10001,0)),"")</f>
        <v/>
      </c>
    </row>
    <row r="9706">
      <c r="A9706">
        <f>IFERROR(INDEX('Email Cleaner'!$B$2:$B$10001,MATCH(9705,'Email Cleaner'!$H$2:$H$10001,0)),"")</f>
        <v/>
      </c>
    </row>
    <row r="9707">
      <c r="A9707">
        <f>IFERROR(INDEX('Email Cleaner'!$B$2:$B$10001,MATCH(9706,'Email Cleaner'!$H$2:$H$10001,0)),"")</f>
        <v/>
      </c>
    </row>
    <row r="9708">
      <c r="A9708">
        <f>IFERROR(INDEX('Email Cleaner'!$B$2:$B$10001,MATCH(9707,'Email Cleaner'!$H$2:$H$10001,0)),"")</f>
        <v/>
      </c>
    </row>
    <row r="9709">
      <c r="A9709">
        <f>IFERROR(INDEX('Email Cleaner'!$B$2:$B$10001,MATCH(9708,'Email Cleaner'!$H$2:$H$10001,0)),"")</f>
        <v/>
      </c>
    </row>
    <row r="9710">
      <c r="A9710">
        <f>IFERROR(INDEX('Email Cleaner'!$B$2:$B$10001,MATCH(9709,'Email Cleaner'!$H$2:$H$10001,0)),"")</f>
        <v/>
      </c>
    </row>
    <row r="9711">
      <c r="A9711">
        <f>IFERROR(INDEX('Email Cleaner'!$B$2:$B$10001,MATCH(9710,'Email Cleaner'!$H$2:$H$10001,0)),"")</f>
        <v/>
      </c>
    </row>
    <row r="9712">
      <c r="A9712">
        <f>IFERROR(INDEX('Email Cleaner'!$B$2:$B$10001,MATCH(9711,'Email Cleaner'!$H$2:$H$10001,0)),"")</f>
        <v/>
      </c>
    </row>
    <row r="9713">
      <c r="A9713">
        <f>IFERROR(INDEX('Email Cleaner'!$B$2:$B$10001,MATCH(9712,'Email Cleaner'!$H$2:$H$10001,0)),"")</f>
        <v/>
      </c>
    </row>
    <row r="9714">
      <c r="A9714">
        <f>IFERROR(INDEX('Email Cleaner'!$B$2:$B$10001,MATCH(9713,'Email Cleaner'!$H$2:$H$10001,0)),"")</f>
        <v/>
      </c>
    </row>
    <row r="9715">
      <c r="A9715">
        <f>IFERROR(INDEX('Email Cleaner'!$B$2:$B$10001,MATCH(9714,'Email Cleaner'!$H$2:$H$10001,0)),"")</f>
        <v/>
      </c>
    </row>
    <row r="9716">
      <c r="A9716">
        <f>IFERROR(INDEX('Email Cleaner'!$B$2:$B$10001,MATCH(9715,'Email Cleaner'!$H$2:$H$10001,0)),"")</f>
        <v/>
      </c>
    </row>
    <row r="9717">
      <c r="A9717">
        <f>IFERROR(INDEX('Email Cleaner'!$B$2:$B$10001,MATCH(9716,'Email Cleaner'!$H$2:$H$10001,0)),"")</f>
        <v/>
      </c>
    </row>
    <row r="9718">
      <c r="A9718">
        <f>IFERROR(INDEX('Email Cleaner'!$B$2:$B$10001,MATCH(9717,'Email Cleaner'!$H$2:$H$10001,0)),"")</f>
        <v/>
      </c>
    </row>
    <row r="9719">
      <c r="A9719">
        <f>IFERROR(INDEX('Email Cleaner'!$B$2:$B$10001,MATCH(9718,'Email Cleaner'!$H$2:$H$10001,0)),"")</f>
        <v/>
      </c>
    </row>
    <row r="9720">
      <c r="A9720">
        <f>IFERROR(INDEX('Email Cleaner'!$B$2:$B$10001,MATCH(9719,'Email Cleaner'!$H$2:$H$10001,0)),"")</f>
        <v/>
      </c>
    </row>
    <row r="9721">
      <c r="A9721">
        <f>IFERROR(INDEX('Email Cleaner'!$B$2:$B$10001,MATCH(9720,'Email Cleaner'!$H$2:$H$10001,0)),"")</f>
        <v/>
      </c>
    </row>
    <row r="9722">
      <c r="A9722">
        <f>IFERROR(INDEX('Email Cleaner'!$B$2:$B$10001,MATCH(9721,'Email Cleaner'!$H$2:$H$10001,0)),"")</f>
        <v/>
      </c>
    </row>
    <row r="9723">
      <c r="A9723">
        <f>IFERROR(INDEX('Email Cleaner'!$B$2:$B$10001,MATCH(9722,'Email Cleaner'!$H$2:$H$10001,0)),"")</f>
        <v/>
      </c>
    </row>
    <row r="9724">
      <c r="A9724">
        <f>IFERROR(INDEX('Email Cleaner'!$B$2:$B$10001,MATCH(9723,'Email Cleaner'!$H$2:$H$10001,0)),"")</f>
        <v/>
      </c>
    </row>
    <row r="9725">
      <c r="A9725">
        <f>IFERROR(INDEX('Email Cleaner'!$B$2:$B$10001,MATCH(9724,'Email Cleaner'!$H$2:$H$10001,0)),"")</f>
        <v/>
      </c>
    </row>
    <row r="9726">
      <c r="A9726">
        <f>IFERROR(INDEX('Email Cleaner'!$B$2:$B$10001,MATCH(9725,'Email Cleaner'!$H$2:$H$10001,0)),"")</f>
        <v/>
      </c>
    </row>
    <row r="9727">
      <c r="A9727">
        <f>IFERROR(INDEX('Email Cleaner'!$B$2:$B$10001,MATCH(9726,'Email Cleaner'!$H$2:$H$10001,0)),"")</f>
        <v/>
      </c>
    </row>
    <row r="9728">
      <c r="A9728">
        <f>IFERROR(INDEX('Email Cleaner'!$B$2:$B$10001,MATCH(9727,'Email Cleaner'!$H$2:$H$10001,0)),"")</f>
        <v/>
      </c>
    </row>
    <row r="9729">
      <c r="A9729">
        <f>IFERROR(INDEX('Email Cleaner'!$B$2:$B$10001,MATCH(9728,'Email Cleaner'!$H$2:$H$10001,0)),"")</f>
        <v/>
      </c>
    </row>
    <row r="9730">
      <c r="A9730">
        <f>IFERROR(INDEX('Email Cleaner'!$B$2:$B$10001,MATCH(9729,'Email Cleaner'!$H$2:$H$10001,0)),"")</f>
        <v/>
      </c>
    </row>
    <row r="9731">
      <c r="A9731">
        <f>IFERROR(INDEX('Email Cleaner'!$B$2:$B$10001,MATCH(9730,'Email Cleaner'!$H$2:$H$10001,0)),"")</f>
        <v/>
      </c>
    </row>
    <row r="9732">
      <c r="A9732">
        <f>IFERROR(INDEX('Email Cleaner'!$B$2:$B$10001,MATCH(9731,'Email Cleaner'!$H$2:$H$10001,0)),"")</f>
        <v/>
      </c>
    </row>
    <row r="9733">
      <c r="A9733">
        <f>IFERROR(INDEX('Email Cleaner'!$B$2:$B$10001,MATCH(9732,'Email Cleaner'!$H$2:$H$10001,0)),"")</f>
        <v/>
      </c>
    </row>
    <row r="9734">
      <c r="A9734">
        <f>IFERROR(INDEX('Email Cleaner'!$B$2:$B$10001,MATCH(9733,'Email Cleaner'!$H$2:$H$10001,0)),"")</f>
        <v/>
      </c>
    </row>
    <row r="9735">
      <c r="A9735">
        <f>IFERROR(INDEX('Email Cleaner'!$B$2:$B$10001,MATCH(9734,'Email Cleaner'!$H$2:$H$10001,0)),"")</f>
        <v/>
      </c>
    </row>
    <row r="9736">
      <c r="A9736">
        <f>IFERROR(INDEX('Email Cleaner'!$B$2:$B$10001,MATCH(9735,'Email Cleaner'!$H$2:$H$10001,0)),"")</f>
        <v/>
      </c>
    </row>
    <row r="9737">
      <c r="A9737">
        <f>IFERROR(INDEX('Email Cleaner'!$B$2:$B$10001,MATCH(9736,'Email Cleaner'!$H$2:$H$10001,0)),"")</f>
        <v/>
      </c>
    </row>
    <row r="9738">
      <c r="A9738">
        <f>IFERROR(INDEX('Email Cleaner'!$B$2:$B$10001,MATCH(9737,'Email Cleaner'!$H$2:$H$10001,0)),"")</f>
        <v/>
      </c>
    </row>
    <row r="9739">
      <c r="A9739">
        <f>IFERROR(INDEX('Email Cleaner'!$B$2:$B$10001,MATCH(9738,'Email Cleaner'!$H$2:$H$10001,0)),"")</f>
        <v/>
      </c>
    </row>
    <row r="9740">
      <c r="A9740">
        <f>IFERROR(INDEX('Email Cleaner'!$B$2:$B$10001,MATCH(9739,'Email Cleaner'!$H$2:$H$10001,0)),"")</f>
        <v/>
      </c>
    </row>
    <row r="9741">
      <c r="A9741">
        <f>IFERROR(INDEX('Email Cleaner'!$B$2:$B$10001,MATCH(9740,'Email Cleaner'!$H$2:$H$10001,0)),"")</f>
        <v/>
      </c>
    </row>
    <row r="9742">
      <c r="A9742">
        <f>IFERROR(INDEX('Email Cleaner'!$B$2:$B$10001,MATCH(9741,'Email Cleaner'!$H$2:$H$10001,0)),"")</f>
        <v/>
      </c>
    </row>
    <row r="9743">
      <c r="A9743">
        <f>IFERROR(INDEX('Email Cleaner'!$B$2:$B$10001,MATCH(9742,'Email Cleaner'!$H$2:$H$10001,0)),"")</f>
        <v/>
      </c>
    </row>
    <row r="9744">
      <c r="A9744">
        <f>IFERROR(INDEX('Email Cleaner'!$B$2:$B$10001,MATCH(9743,'Email Cleaner'!$H$2:$H$10001,0)),"")</f>
        <v/>
      </c>
    </row>
    <row r="9745">
      <c r="A9745">
        <f>IFERROR(INDEX('Email Cleaner'!$B$2:$B$10001,MATCH(9744,'Email Cleaner'!$H$2:$H$10001,0)),"")</f>
        <v/>
      </c>
    </row>
    <row r="9746">
      <c r="A9746">
        <f>IFERROR(INDEX('Email Cleaner'!$B$2:$B$10001,MATCH(9745,'Email Cleaner'!$H$2:$H$10001,0)),"")</f>
        <v/>
      </c>
    </row>
    <row r="9747">
      <c r="A9747">
        <f>IFERROR(INDEX('Email Cleaner'!$B$2:$B$10001,MATCH(9746,'Email Cleaner'!$H$2:$H$10001,0)),"")</f>
        <v/>
      </c>
    </row>
    <row r="9748">
      <c r="A9748">
        <f>IFERROR(INDEX('Email Cleaner'!$B$2:$B$10001,MATCH(9747,'Email Cleaner'!$H$2:$H$10001,0)),"")</f>
        <v/>
      </c>
    </row>
    <row r="9749">
      <c r="A9749">
        <f>IFERROR(INDEX('Email Cleaner'!$B$2:$B$10001,MATCH(9748,'Email Cleaner'!$H$2:$H$10001,0)),"")</f>
        <v/>
      </c>
    </row>
    <row r="9750">
      <c r="A9750">
        <f>IFERROR(INDEX('Email Cleaner'!$B$2:$B$10001,MATCH(9749,'Email Cleaner'!$H$2:$H$10001,0)),"")</f>
        <v/>
      </c>
    </row>
    <row r="9751">
      <c r="A9751">
        <f>IFERROR(INDEX('Email Cleaner'!$B$2:$B$10001,MATCH(9750,'Email Cleaner'!$H$2:$H$10001,0)),"")</f>
        <v/>
      </c>
    </row>
    <row r="9752">
      <c r="A9752">
        <f>IFERROR(INDEX('Email Cleaner'!$B$2:$B$10001,MATCH(9751,'Email Cleaner'!$H$2:$H$10001,0)),"")</f>
        <v/>
      </c>
    </row>
    <row r="9753">
      <c r="A9753">
        <f>IFERROR(INDEX('Email Cleaner'!$B$2:$B$10001,MATCH(9752,'Email Cleaner'!$H$2:$H$10001,0)),"")</f>
        <v/>
      </c>
    </row>
    <row r="9754">
      <c r="A9754">
        <f>IFERROR(INDEX('Email Cleaner'!$B$2:$B$10001,MATCH(9753,'Email Cleaner'!$H$2:$H$10001,0)),"")</f>
        <v/>
      </c>
    </row>
    <row r="9755">
      <c r="A9755">
        <f>IFERROR(INDEX('Email Cleaner'!$B$2:$B$10001,MATCH(9754,'Email Cleaner'!$H$2:$H$10001,0)),"")</f>
        <v/>
      </c>
    </row>
    <row r="9756">
      <c r="A9756">
        <f>IFERROR(INDEX('Email Cleaner'!$B$2:$B$10001,MATCH(9755,'Email Cleaner'!$H$2:$H$10001,0)),"")</f>
        <v/>
      </c>
    </row>
    <row r="9757">
      <c r="A9757">
        <f>IFERROR(INDEX('Email Cleaner'!$B$2:$B$10001,MATCH(9756,'Email Cleaner'!$H$2:$H$10001,0)),"")</f>
        <v/>
      </c>
    </row>
    <row r="9758">
      <c r="A9758">
        <f>IFERROR(INDEX('Email Cleaner'!$B$2:$B$10001,MATCH(9757,'Email Cleaner'!$H$2:$H$10001,0)),"")</f>
        <v/>
      </c>
    </row>
    <row r="9759">
      <c r="A9759">
        <f>IFERROR(INDEX('Email Cleaner'!$B$2:$B$10001,MATCH(9758,'Email Cleaner'!$H$2:$H$10001,0)),"")</f>
        <v/>
      </c>
    </row>
    <row r="9760">
      <c r="A9760">
        <f>IFERROR(INDEX('Email Cleaner'!$B$2:$B$10001,MATCH(9759,'Email Cleaner'!$H$2:$H$10001,0)),"")</f>
        <v/>
      </c>
    </row>
    <row r="9761">
      <c r="A9761">
        <f>IFERROR(INDEX('Email Cleaner'!$B$2:$B$10001,MATCH(9760,'Email Cleaner'!$H$2:$H$10001,0)),"")</f>
        <v/>
      </c>
    </row>
    <row r="9762">
      <c r="A9762">
        <f>IFERROR(INDEX('Email Cleaner'!$B$2:$B$10001,MATCH(9761,'Email Cleaner'!$H$2:$H$10001,0)),"")</f>
        <v/>
      </c>
    </row>
    <row r="9763">
      <c r="A9763">
        <f>IFERROR(INDEX('Email Cleaner'!$B$2:$B$10001,MATCH(9762,'Email Cleaner'!$H$2:$H$10001,0)),"")</f>
        <v/>
      </c>
    </row>
    <row r="9764">
      <c r="A9764">
        <f>IFERROR(INDEX('Email Cleaner'!$B$2:$B$10001,MATCH(9763,'Email Cleaner'!$H$2:$H$10001,0)),"")</f>
        <v/>
      </c>
    </row>
    <row r="9765">
      <c r="A9765">
        <f>IFERROR(INDEX('Email Cleaner'!$B$2:$B$10001,MATCH(9764,'Email Cleaner'!$H$2:$H$10001,0)),"")</f>
        <v/>
      </c>
    </row>
    <row r="9766">
      <c r="A9766">
        <f>IFERROR(INDEX('Email Cleaner'!$B$2:$B$10001,MATCH(9765,'Email Cleaner'!$H$2:$H$10001,0)),"")</f>
        <v/>
      </c>
    </row>
    <row r="9767">
      <c r="A9767">
        <f>IFERROR(INDEX('Email Cleaner'!$B$2:$B$10001,MATCH(9766,'Email Cleaner'!$H$2:$H$10001,0)),"")</f>
        <v/>
      </c>
    </row>
    <row r="9768">
      <c r="A9768">
        <f>IFERROR(INDEX('Email Cleaner'!$B$2:$B$10001,MATCH(9767,'Email Cleaner'!$H$2:$H$10001,0)),"")</f>
        <v/>
      </c>
    </row>
    <row r="9769">
      <c r="A9769">
        <f>IFERROR(INDEX('Email Cleaner'!$B$2:$B$10001,MATCH(9768,'Email Cleaner'!$H$2:$H$10001,0)),"")</f>
        <v/>
      </c>
    </row>
    <row r="9770">
      <c r="A9770">
        <f>IFERROR(INDEX('Email Cleaner'!$B$2:$B$10001,MATCH(9769,'Email Cleaner'!$H$2:$H$10001,0)),"")</f>
        <v/>
      </c>
    </row>
    <row r="9771">
      <c r="A9771">
        <f>IFERROR(INDEX('Email Cleaner'!$B$2:$B$10001,MATCH(9770,'Email Cleaner'!$H$2:$H$10001,0)),"")</f>
        <v/>
      </c>
    </row>
    <row r="9772">
      <c r="A9772">
        <f>IFERROR(INDEX('Email Cleaner'!$B$2:$B$10001,MATCH(9771,'Email Cleaner'!$H$2:$H$10001,0)),"")</f>
        <v/>
      </c>
    </row>
    <row r="9773">
      <c r="A9773">
        <f>IFERROR(INDEX('Email Cleaner'!$B$2:$B$10001,MATCH(9772,'Email Cleaner'!$H$2:$H$10001,0)),"")</f>
        <v/>
      </c>
    </row>
    <row r="9774">
      <c r="A9774">
        <f>IFERROR(INDEX('Email Cleaner'!$B$2:$B$10001,MATCH(9773,'Email Cleaner'!$H$2:$H$10001,0)),"")</f>
        <v/>
      </c>
    </row>
    <row r="9775">
      <c r="A9775">
        <f>IFERROR(INDEX('Email Cleaner'!$B$2:$B$10001,MATCH(9774,'Email Cleaner'!$H$2:$H$10001,0)),"")</f>
        <v/>
      </c>
    </row>
    <row r="9776">
      <c r="A9776">
        <f>IFERROR(INDEX('Email Cleaner'!$B$2:$B$10001,MATCH(9775,'Email Cleaner'!$H$2:$H$10001,0)),"")</f>
        <v/>
      </c>
    </row>
    <row r="9777">
      <c r="A9777">
        <f>IFERROR(INDEX('Email Cleaner'!$B$2:$B$10001,MATCH(9776,'Email Cleaner'!$H$2:$H$10001,0)),"")</f>
        <v/>
      </c>
    </row>
    <row r="9778">
      <c r="A9778">
        <f>IFERROR(INDEX('Email Cleaner'!$B$2:$B$10001,MATCH(9777,'Email Cleaner'!$H$2:$H$10001,0)),"")</f>
        <v/>
      </c>
    </row>
    <row r="9779">
      <c r="A9779">
        <f>IFERROR(INDEX('Email Cleaner'!$B$2:$B$10001,MATCH(9778,'Email Cleaner'!$H$2:$H$10001,0)),"")</f>
        <v/>
      </c>
    </row>
    <row r="9780">
      <c r="A9780">
        <f>IFERROR(INDEX('Email Cleaner'!$B$2:$B$10001,MATCH(9779,'Email Cleaner'!$H$2:$H$10001,0)),"")</f>
        <v/>
      </c>
    </row>
    <row r="9781">
      <c r="A9781">
        <f>IFERROR(INDEX('Email Cleaner'!$B$2:$B$10001,MATCH(9780,'Email Cleaner'!$H$2:$H$10001,0)),"")</f>
        <v/>
      </c>
    </row>
    <row r="9782">
      <c r="A9782">
        <f>IFERROR(INDEX('Email Cleaner'!$B$2:$B$10001,MATCH(9781,'Email Cleaner'!$H$2:$H$10001,0)),"")</f>
        <v/>
      </c>
    </row>
    <row r="9783">
      <c r="A9783">
        <f>IFERROR(INDEX('Email Cleaner'!$B$2:$B$10001,MATCH(9782,'Email Cleaner'!$H$2:$H$10001,0)),"")</f>
        <v/>
      </c>
    </row>
    <row r="9784">
      <c r="A9784">
        <f>IFERROR(INDEX('Email Cleaner'!$B$2:$B$10001,MATCH(9783,'Email Cleaner'!$H$2:$H$10001,0)),"")</f>
        <v/>
      </c>
    </row>
    <row r="9785">
      <c r="A9785">
        <f>IFERROR(INDEX('Email Cleaner'!$B$2:$B$10001,MATCH(9784,'Email Cleaner'!$H$2:$H$10001,0)),"")</f>
        <v/>
      </c>
    </row>
    <row r="9786">
      <c r="A9786">
        <f>IFERROR(INDEX('Email Cleaner'!$B$2:$B$10001,MATCH(9785,'Email Cleaner'!$H$2:$H$10001,0)),"")</f>
        <v/>
      </c>
    </row>
    <row r="9787">
      <c r="A9787">
        <f>IFERROR(INDEX('Email Cleaner'!$B$2:$B$10001,MATCH(9786,'Email Cleaner'!$H$2:$H$10001,0)),"")</f>
        <v/>
      </c>
    </row>
    <row r="9788">
      <c r="A9788">
        <f>IFERROR(INDEX('Email Cleaner'!$B$2:$B$10001,MATCH(9787,'Email Cleaner'!$H$2:$H$10001,0)),"")</f>
        <v/>
      </c>
    </row>
    <row r="9789">
      <c r="A9789">
        <f>IFERROR(INDEX('Email Cleaner'!$B$2:$B$10001,MATCH(9788,'Email Cleaner'!$H$2:$H$10001,0)),"")</f>
        <v/>
      </c>
    </row>
    <row r="9790">
      <c r="A9790">
        <f>IFERROR(INDEX('Email Cleaner'!$B$2:$B$10001,MATCH(9789,'Email Cleaner'!$H$2:$H$10001,0)),"")</f>
        <v/>
      </c>
    </row>
    <row r="9791">
      <c r="A9791">
        <f>IFERROR(INDEX('Email Cleaner'!$B$2:$B$10001,MATCH(9790,'Email Cleaner'!$H$2:$H$10001,0)),"")</f>
        <v/>
      </c>
    </row>
    <row r="9792">
      <c r="A9792">
        <f>IFERROR(INDEX('Email Cleaner'!$B$2:$B$10001,MATCH(9791,'Email Cleaner'!$H$2:$H$10001,0)),"")</f>
        <v/>
      </c>
    </row>
    <row r="9793">
      <c r="A9793">
        <f>IFERROR(INDEX('Email Cleaner'!$B$2:$B$10001,MATCH(9792,'Email Cleaner'!$H$2:$H$10001,0)),"")</f>
        <v/>
      </c>
    </row>
    <row r="9794">
      <c r="A9794">
        <f>IFERROR(INDEX('Email Cleaner'!$B$2:$B$10001,MATCH(9793,'Email Cleaner'!$H$2:$H$10001,0)),"")</f>
        <v/>
      </c>
    </row>
    <row r="9795">
      <c r="A9795">
        <f>IFERROR(INDEX('Email Cleaner'!$B$2:$B$10001,MATCH(9794,'Email Cleaner'!$H$2:$H$10001,0)),"")</f>
        <v/>
      </c>
    </row>
    <row r="9796">
      <c r="A9796">
        <f>IFERROR(INDEX('Email Cleaner'!$B$2:$B$10001,MATCH(9795,'Email Cleaner'!$H$2:$H$10001,0)),"")</f>
        <v/>
      </c>
    </row>
    <row r="9797">
      <c r="A9797">
        <f>IFERROR(INDEX('Email Cleaner'!$B$2:$B$10001,MATCH(9796,'Email Cleaner'!$H$2:$H$10001,0)),"")</f>
        <v/>
      </c>
    </row>
    <row r="9798">
      <c r="A9798">
        <f>IFERROR(INDEX('Email Cleaner'!$B$2:$B$10001,MATCH(9797,'Email Cleaner'!$H$2:$H$10001,0)),"")</f>
        <v/>
      </c>
    </row>
    <row r="9799">
      <c r="A9799">
        <f>IFERROR(INDEX('Email Cleaner'!$B$2:$B$10001,MATCH(9798,'Email Cleaner'!$H$2:$H$10001,0)),"")</f>
        <v/>
      </c>
    </row>
    <row r="9800">
      <c r="A9800">
        <f>IFERROR(INDEX('Email Cleaner'!$B$2:$B$10001,MATCH(9799,'Email Cleaner'!$H$2:$H$10001,0)),"")</f>
        <v/>
      </c>
    </row>
    <row r="9801">
      <c r="A9801">
        <f>IFERROR(INDEX('Email Cleaner'!$B$2:$B$10001,MATCH(9800,'Email Cleaner'!$H$2:$H$10001,0)),"")</f>
        <v/>
      </c>
    </row>
    <row r="9802">
      <c r="A9802">
        <f>IFERROR(INDEX('Email Cleaner'!$B$2:$B$10001,MATCH(9801,'Email Cleaner'!$H$2:$H$10001,0)),"")</f>
        <v/>
      </c>
    </row>
    <row r="9803">
      <c r="A9803">
        <f>IFERROR(INDEX('Email Cleaner'!$B$2:$B$10001,MATCH(9802,'Email Cleaner'!$H$2:$H$10001,0)),"")</f>
        <v/>
      </c>
    </row>
    <row r="9804">
      <c r="A9804">
        <f>IFERROR(INDEX('Email Cleaner'!$B$2:$B$10001,MATCH(9803,'Email Cleaner'!$H$2:$H$10001,0)),"")</f>
        <v/>
      </c>
    </row>
    <row r="9805">
      <c r="A9805">
        <f>IFERROR(INDEX('Email Cleaner'!$B$2:$B$10001,MATCH(9804,'Email Cleaner'!$H$2:$H$10001,0)),"")</f>
        <v/>
      </c>
    </row>
    <row r="9806">
      <c r="A9806">
        <f>IFERROR(INDEX('Email Cleaner'!$B$2:$B$10001,MATCH(9805,'Email Cleaner'!$H$2:$H$10001,0)),"")</f>
        <v/>
      </c>
    </row>
    <row r="9807">
      <c r="A9807">
        <f>IFERROR(INDEX('Email Cleaner'!$B$2:$B$10001,MATCH(9806,'Email Cleaner'!$H$2:$H$10001,0)),"")</f>
        <v/>
      </c>
    </row>
    <row r="9808">
      <c r="A9808">
        <f>IFERROR(INDEX('Email Cleaner'!$B$2:$B$10001,MATCH(9807,'Email Cleaner'!$H$2:$H$10001,0)),"")</f>
        <v/>
      </c>
    </row>
    <row r="9809">
      <c r="A9809">
        <f>IFERROR(INDEX('Email Cleaner'!$B$2:$B$10001,MATCH(9808,'Email Cleaner'!$H$2:$H$10001,0)),"")</f>
        <v/>
      </c>
    </row>
    <row r="9810">
      <c r="A9810">
        <f>IFERROR(INDEX('Email Cleaner'!$B$2:$B$10001,MATCH(9809,'Email Cleaner'!$H$2:$H$10001,0)),"")</f>
        <v/>
      </c>
    </row>
    <row r="9811">
      <c r="A9811">
        <f>IFERROR(INDEX('Email Cleaner'!$B$2:$B$10001,MATCH(9810,'Email Cleaner'!$H$2:$H$10001,0)),"")</f>
        <v/>
      </c>
    </row>
    <row r="9812">
      <c r="A9812">
        <f>IFERROR(INDEX('Email Cleaner'!$B$2:$B$10001,MATCH(9811,'Email Cleaner'!$H$2:$H$10001,0)),"")</f>
        <v/>
      </c>
    </row>
    <row r="9813">
      <c r="A9813">
        <f>IFERROR(INDEX('Email Cleaner'!$B$2:$B$10001,MATCH(9812,'Email Cleaner'!$H$2:$H$10001,0)),"")</f>
        <v/>
      </c>
    </row>
    <row r="9814">
      <c r="A9814">
        <f>IFERROR(INDEX('Email Cleaner'!$B$2:$B$10001,MATCH(9813,'Email Cleaner'!$H$2:$H$10001,0)),"")</f>
        <v/>
      </c>
    </row>
    <row r="9815">
      <c r="A9815">
        <f>IFERROR(INDEX('Email Cleaner'!$B$2:$B$10001,MATCH(9814,'Email Cleaner'!$H$2:$H$10001,0)),"")</f>
        <v/>
      </c>
    </row>
    <row r="9816">
      <c r="A9816">
        <f>IFERROR(INDEX('Email Cleaner'!$B$2:$B$10001,MATCH(9815,'Email Cleaner'!$H$2:$H$10001,0)),"")</f>
        <v/>
      </c>
    </row>
    <row r="9817">
      <c r="A9817">
        <f>IFERROR(INDEX('Email Cleaner'!$B$2:$B$10001,MATCH(9816,'Email Cleaner'!$H$2:$H$10001,0)),"")</f>
        <v/>
      </c>
    </row>
    <row r="9818">
      <c r="A9818">
        <f>IFERROR(INDEX('Email Cleaner'!$B$2:$B$10001,MATCH(9817,'Email Cleaner'!$H$2:$H$10001,0)),"")</f>
        <v/>
      </c>
    </row>
    <row r="9819">
      <c r="A9819">
        <f>IFERROR(INDEX('Email Cleaner'!$B$2:$B$10001,MATCH(9818,'Email Cleaner'!$H$2:$H$10001,0)),"")</f>
        <v/>
      </c>
    </row>
    <row r="9820">
      <c r="A9820">
        <f>IFERROR(INDEX('Email Cleaner'!$B$2:$B$10001,MATCH(9819,'Email Cleaner'!$H$2:$H$10001,0)),"")</f>
        <v/>
      </c>
    </row>
    <row r="9821">
      <c r="A9821">
        <f>IFERROR(INDEX('Email Cleaner'!$B$2:$B$10001,MATCH(9820,'Email Cleaner'!$H$2:$H$10001,0)),"")</f>
        <v/>
      </c>
    </row>
    <row r="9822">
      <c r="A9822">
        <f>IFERROR(INDEX('Email Cleaner'!$B$2:$B$10001,MATCH(9821,'Email Cleaner'!$H$2:$H$10001,0)),"")</f>
        <v/>
      </c>
    </row>
    <row r="9823">
      <c r="A9823">
        <f>IFERROR(INDEX('Email Cleaner'!$B$2:$B$10001,MATCH(9822,'Email Cleaner'!$H$2:$H$10001,0)),"")</f>
        <v/>
      </c>
    </row>
    <row r="9824">
      <c r="A9824">
        <f>IFERROR(INDEX('Email Cleaner'!$B$2:$B$10001,MATCH(9823,'Email Cleaner'!$H$2:$H$10001,0)),"")</f>
        <v/>
      </c>
    </row>
    <row r="9825">
      <c r="A9825">
        <f>IFERROR(INDEX('Email Cleaner'!$B$2:$B$10001,MATCH(9824,'Email Cleaner'!$H$2:$H$10001,0)),"")</f>
        <v/>
      </c>
    </row>
    <row r="9826">
      <c r="A9826">
        <f>IFERROR(INDEX('Email Cleaner'!$B$2:$B$10001,MATCH(9825,'Email Cleaner'!$H$2:$H$10001,0)),"")</f>
        <v/>
      </c>
    </row>
    <row r="9827">
      <c r="A9827">
        <f>IFERROR(INDEX('Email Cleaner'!$B$2:$B$10001,MATCH(9826,'Email Cleaner'!$H$2:$H$10001,0)),"")</f>
        <v/>
      </c>
    </row>
    <row r="9828">
      <c r="A9828">
        <f>IFERROR(INDEX('Email Cleaner'!$B$2:$B$10001,MATCH(9827,'Email Cleaner'!$H$2:$H$10001,0)),"")</f>
        <v/>
      </c>
    </row>
    <row r="9829">
      <c r="A9829">
        <f>IFERROR(INDEX('Email Cleaner'!$B$2:$B$10001,MATCH(9828,'Email Cleaner'!$H$2:$H$10001,0)),"")</f>
        <v/>
      </c>
    </row>
    <row r="9830">
      <c r="A9830">
        <f>IFERROR(INDEX('Email Cleaner'!$B$2:$B$10001,MATCH(9829,'Email Cleaner'!$H$2:$H$10001,0)),"")</f>
        <v/>
      </c>
    </row>
    <row r="9831">
      <c r="A9831">
        <f>IFERROR(INDEX('Email Cleaner'!$B$2:$B$10001,MATCH(9830,'Email Cleaner'!$H$2:$H$10001,0)),"")</f>
        <v/>
      </c>
    </row>
    <row r="9832">
      <c r="A9832">
        <f>IFERROR(INDEX('Email Cleaner'!$B$2:$B$10001,MATCH(9831,'Email Cleaner'!$H$2:$H$10001,0)),"")</f>
        <v/>
      </c>
    </row>
    <row r="9833">
      <c r="A9833">
        <f>IFERROR(INDEX('Email Cleaner'!$B$2:$B$10001,MATCH(9832,'Email Cleaner'!$H$2:$H$10001,0)),"")</f>
        <v/>
      </c>
    </row>
    <row r="9834">
      <c r="A9834">
        <f>IFERROR(INDEX('Email Cleaner'!$B$2:$B$10001,MATCH(9833,'Email Cleaner'!$H$2:$H$10001,0)),"")</f>
        <v/>
      </c>
    </row>
    <row r="9835">
      <c r="A9835">
        <f>IFERROR(INDEX('Email Cleaner'!$B$2:$B$10001,MATCH(9834,'Email Cleaner'!$H$2:$H$10001,0)),"")</f>
        <v/>
      </c>
    </row>
    <row r="9836">
      <c r="A9836">
        <f>IFERROR(INDEX('Email Cleaner'!$B$2:$B$10001,MATCH(9835,'Email Cleaner'!$H$2:$H$10001,0)),"")</f>
        <v/>
      </c>
    </row>
    <row r="9837">
      <c r="A9837">
        <f>IFERROR(INDEX('Email Cleaner'!$B$2:$B$10001,MATCH(9836,'Email Cleaner'!$H$2:$H$10001,0)),"")</f>
        <v/>
      </c>
    </row>
    <row r="9838">
      <c r="A9838">
        <f>IFERROR(INDEX('Email Cleaner'!$B$2:$B$10001,MATCH(9837,'Email Cleaner'!$H$2:$H$10001,0)),"")</f>
        <v/>
      </c>
    </row>
    <row r="9839">
      <c r="A9839">
        <f>IFERROR(INDEX('Email Cleaner'!$B$2:$B$10001,MATCH(9838,'Email Cleaner'!$H$2:$H$10001,0)),"")</f>
        <v/>
      </c>
    </row>
    <row r="9840">
      <c r="A9840">
        <f>IFERROR(INDEX('Email Cleaner'!$B$2:$B$10001,MATCH(9839,'Email Cleaner'!$H$2:$H$10001,0)),"")</f>
        <v/>
      </c>
    </row>
    <row r="9841">
      <c r="A9841">
        <f>IFERROR(INDEX('Email Cleaner'!$B$2:$B$10001,MATCH(9840,'Email Cleaner'!$H$2:$H$10001,0)),"")</f>
        <v/>
      </c>
    </row>
    <row r="9842">
      <c r="A9842">
        <f>IFERROR(INDEX('Email Cleaner'!$B$2:$B$10001,MATCH(9841,'Email Cleaner'!$H$2:$H$10001,0)),"")</f>
        <v/>
      </c>
    </row>
    <row r="9843">
      <c r="A9843">
        <f>IFERROR(INDEX('Email Cleaner'!$B$2:$B$10001,MATCH(9842,'Email Cleaner'!$H$2:$H$10001,0)),"")</f>
        <v/>
      </c>
    </row>
    <row r="9844">
      <c r="A9844">
        <f>IFERROR(INDEX('Email Cleaner'!$B$2:$B$10001,MATCH(9843,'Email Cleaner'!$H$2:$H$10001,0)),"")</f>
        <v/>
      </c>
    </row>
    <row r="9845">
      <c r="A9845">
        <f>IFERROR(INDEX('Email Cleaner'!$B$2:$B$10001,MATCH(9844,'Email Cleaner'!$H$2:$H$10001,0)),"")</f>
        <v/>
      </c>
    </row>
    <row r="9846">
      <c r="A9846">
        <f>IFERROR(INDEX('Email Cleaner'!$B$2:$B$10001,MATCH(9845,'Email Cleaner'!$H$2:$H$10001,0)),"")</f>
        <v/>
      </c>
    </row>
    <row r="9847">
      <c r="A9847">
        <f>IFERROR(INDEX('Email Cleaner'!$B$2:$B$10001,MATCH(9846,'Email Cleaner'!$H$2:$H$10001,0)),"")</f>
        <v/>
      </c>
    </row>
    <row r="9848">
      <c r="A9848">
        <f>IFERROR(INDEX('Email Cleaner'!$B$2:$B$10001,MATCH(9847,'Email Cleaner'!$H$2:$H$10001,0)),"")</f>
        <v/>
      </c>
    </row>
    <row r="9849">
      <c r="A9849">
        <f>IFERROR(INDEX('Email Cleaner'!$B$2:$B$10001,MATCH(9848,'Email Cleaner'!$H$2:$H$10001,0)),"")</f>
        <v/>
      </c>
    </row>
    <row r="9850">
      <c r="A9850">
        <f>IFERROR(INDEX('Email Cleaner'!$B$2:$B$10001,MATCH(9849,'Email Cleaner'!$H$2:$H$10001,0)),"")</f>
        <v/>
      </c>
    </row>
    <row r="9851">
      <c r="A9851">
        <f>IFERROR(INDEX('Email Cleaner'!$B$2:$B$10001,MATCH(9850,'Email Cleaner'!$H$2:$H$10001,0)),"")</f>
        <v/>
      </c>
    </row>
    <row r="9852">
      <c r="A9852">
        <f>IFERROR(INDEX('Email Cleaner'!$B$2:$B$10001,MATCH(9851,'Email Cleaner'!$H$2:$H$10001,0)),"")</f>
        <v/>
      </c>
    </row>
    <row r="9853">
      <c r="A9853">
        <f>IFERROR(INDEX('Email Cleaner'!$B$2:$B$10001,MATCH(9852,'Email Cleaner'!$H$2:$H$10001,0)),"")</f>
        <v/>
      </c>
    </row>
    <row r="9854">
      <c r="A9854">
        <f>IFERROR(INDEX('Email Cleaner'!$B$2:$B$10001,MATCH(9853,'Email Cleaner'!$H$2:$H$10001,0)),"")</f>
        <v/>
      </c>
    </row>
    <row r="9855">
      <c r="A9855">
        <f>IFERROR(INDEX('Email Cleaner'!$B$2:$B$10001,MATCH(9854,'Email Cleaner'!$H$2:$H$10001,0)),"")</f>
        <v/>
      </c>
    </row>
    <row r="9856">
      <c r="A9856">
        <f>IFERROR(INDEX('Email Cleaner'!$B$2:$B$10001,MATCH(9855,'Email Cleaner'!$H$2:$H$10001,0)),"")</f>
        <v/>
      </c>
    </row>
    <row r="9857">
      <c r="A9857">
        <f>IFERROR(INDEX('Email Cleaner'!$B$2:$B$10001,MATCH(9856,'Email Cleaner'!$H$2:$H$10001,0)),"")</f>
        <v/>
      </c>
    </row>
    <row r="9858">
      <c r="A9858">
        <f>IFERROR(INDEX('Email Cleaner'!$B$2:$B$10001,MATCH(9857,'Email Cleaner'!$H$2:$H$10001,0)),"")</f>
        <v/>
      </c>
    </row>
    <row r="9859">
      <c r="A9859">
        <f>IFERROR(INDEX('Email Cleaner'!$B$2:$B$10001,MATCH(9858,'Email Cleaner'!$H$2:$H$10001,0)),"")</f>
        <v/>
      </c>
    </row>
    <row r="9860">
      <c r="A9860">
        <f>IFERROR(INDEX('Email Cleaner'!$B$2:$B$10001,MATCH(9859,'Email Cleaner'!$H$2:$H$10001,0)),"")</f>
        <v/>
      </c>
    </row>
    <row r="9861">
      <c r="A9861">
        <f>IFERROR(INDEX('Email Cleaner'!$B$2:$B$10001,MATCH(9860,'Email Cleaner'!$H$2:$H$10001,0)),"")</f>
        <v/>
      </c>
    </row>
    <row r="9862">
      <c r="A9862">
        <f>IFERROR(INDEX('Email Cleaner'!$B$2:$B$10001,MATCH(9861,'Email Cleaner'!$H$2:$H$10001,0)),"")</f>
        <v/>
      </c>
    </row>
    <row r="9863">
      <c r="A9863">
        <f>IFERROR(INDEX('Email Cleaner'!$B$2:$B$10001,MATCH(9862,'Email Cleaner'!$H$2:$H$10001,0)),"")</f>
        <v/>
      </c>
    </row>
    <row r="9864">
      <c r="A9864">
        <f>IFERROR(INDEX('Email Cleaner'!$B$2:$B$10001,MATCH(9863,'Email Cleaner'!$H$2:$H$10001,0)),"")</f>
        <v/>
      </c>
    </row>
    <row r="9865">
      <c r="A9865">
        <f>IFERROR(INDEX('Email Cleaner'!$B$2:$B$10001,MATCH(9864,'Email Cleaner'!$H$2:$H$10001,0)),"")</f>
        <v/>
      </c>
    </row>
    <row r="9866">
      <c r="A9866">
        <f>IFERROR(INDEX('Email Cleaner'!$B$2:$B$10001,MATCH(9865,'Email Cleaner'!$H$2:$H$10001,0)),"")</f>
        <v/>
      </c>
    </row>
    <row r="9867">
      <c r="A9867">
        <f>IFERROR(INDEX('Email Cleaner'!$B$2:$B$10001,MATCH(9866,'Email Cleaner'!$H$2:$H$10001,0)),"")</f>
        <v/>
      </c>
    </row>
    <row r="9868">
      <c r="A9868">
        <f>IFERROR(INDEX('Email Cleaner'!$B$2:$B$10001,MATCH(9867,'Email Cleaner'!$H$2:$H$10001,0)),"")</f>
        <v/>
      </c>
    </row>
    <row r="9869">
      <c r="A9869">
        <f>IFERROR(INDEX('Email Cleaner'!$B$2:$B$10001,MATCH(9868,'Email Cleaner'!$H$2:$H$10001,0)),"")</f>
        <v/>
      </c>
    </row>
    <row r="9870">
      <c r="A9870">
        <f>IFERROR(INDEX('Email Cleaner'!$B$2:$B$10001,MATCH(9869,'Email Cleaner'!$H$2:$H$10001,0)),"")</f>
        <v/>
      </c>
    </row>
    <row r="9871">
      <c r="A9871">
        <f>IFERROR(INDEX('Email Cleaner'!$B$2:$B$10001,MATCH(9870,'Email Cleaner'!$H$2:$H$10001,0)),"")</f>
        <v/>
      </c>
    </row>
    <row r="9872">
      <c r="A9872">
        <f>IFERROR(INDEX('Email Cleaner'!$B$2:$B$10001,MATCH(9871,'Email Cleaner'!$H$2:$H$10001,0)),"")</f>
        <v/>
      </c>
    </row>
    <row r="9873">
      <c r="A9873">
        <f>IFERROR(INDEX('Email Cleaner'!$B$2:$B$10001,MATCH(9872,'Email Cleaner'!$H$2:$H$10001,0)),"")</f>
        <v/>
      </c>
    </row>
    <row r="9874">
      <c r="A9874">
        <f>IFERROR(INDEX('Email Cleaner'!$B$2:$B$10001,MATCH(9873,'Email Cleaner'!$H$2:$H$10001,0)),"")</f>
        <v/>
      </c>
    </row>
    <row r="9875">
      <c r="A9875">
        <f>IFERROR(INDEX('Email Cleaner'!$B$2:$B$10001,MATCH(9874,'Email Cleaner'!$H$2:$H$10001,0)),"")</f>
        <v/>
      </c>
    </row>
    <row r="9876">
      <c r="A9876">
        <f>IFERROR(INDEX('Email Cleaner'!$B$2:$B$10001,MATCH(9875,'Email Cleaner'!$H$2:$H$10001,0)),"")</f>
        <v/>
      </c>
    </row>
    <row r="9877">
      <c r="A9877">
        <f>IFERROR(INDEX('Email Cleaner'!$B$2:$B$10001,MATCH(9876,'Email Cleaner'!$H$2:$H$10001,0)),"")</f>
        <v/>
      </c>
    </row>
    <row r="9878">
      <c r="A9878">
        <f>IFERROR(INDEX('Email Cleaner'!$B$2:$B$10001,MATCH(9877,'Email Cleaner'!$H$2:$H$10001,0)),"")</f>
        <v/>
      </c>
    </row>
    <row r="9879">
      <c r="A9879">
        <f>IFERROR(INDEX('Email Cleaner'!$B$2:$B$10001,MATCH(9878,'Email Cleaner'!$H$2:$H$10001,0)),"")</f>
        <v/>
      </c>
    </row>
    <row r="9880">
      <c r="A9880">
        <f>IFERROR(INDEX('Email Cleaner'!$B$2:$B$10001,MATCH(9879,'Email Cleaner'!$H$2:$H$10001,0)),"")</f>
        <v/>
      </c>
    </row>
    <row r="9881">
      <c r="A9881">
        <f>IFERROR(INDEX('Email Cleaner'!$B$2:$B$10001,MATCH(9880,'Email Cleaner'!$H$2:$H$10001,0)),"")</f>
        <v/>
      </c>
    </row>
    <row r="9882">
      <c r="A9882">
        <f>IFERROR(INDEX('Email Cleaner'!$B$2:$B$10001,MATCH(9881,'Email Cleaner'!$H$2:$H$10001,0)),"")</f>
        <v/>
      </c>
    </row>
    <row r="9883">
      <c r="A9883">
        <f>IFERROR(INDEX('Email Cleaner'!$B$2:$B$10001,MATCH(9882,'Email Cleaner'!$H$2:$H$10001,0)),"")</f>
        <v/>
      </c>
    </row>
    <row r="9884">
      <c r="A9884">
        <f>IFERROR(INDEX('Email Cleaner'!$B$2:$B$10001,MATCH(9883,'Email Cleaner'!$H$2:$H$10001,0)),"")</f>
        <v/>
      </c>
    </row>
    <row r="9885">
      <c r="A9885">
        <f>IFERROR(INDEX('Email Cleaner'!$B$2:$B$10001,MATCH(9884,'Email Cleaner'!$H$2:$H$10001,0)),"")</f>
        <v/>
      </c>
    </row>
    <row r="9886">
      <c r="A9886">
        <f>IFERROR(INDEX('Email Cleaner'!$B$2:$B$10001,MATCH(9885,'Email Cleaner'!$H$2:$H$10001,0)),"")</f>
        <v/>
      </c>
    </row>
    <row r="9887">
      <c r="A9887">
        <f>IFERROR(INDEX('Email Cleaner'!$B$2:$B$10001,MATCH(9886,'Email Cleaner'!$H$2:$H$10001,0)),"")</f>
        <v/>
      </c>
    </row>
    <row r="9888">
      <c r="A9888">
        <f>IFERROR(INDEX('Email Cleaner'!$B$2:$B$10001,MATCH(9887,'Email Cleaner'!$H$2:$H$10001,0)),"")</f>
        <v/>
      </c>
    </row>
    <row r="9889">
      <c r="A9889">
        <f>IFERROR(INDEX('Email Cleaner'!$B$2:$B$10001,MATCH(9888,'Email Cleaner'!$H$2:$H$10001,0)),"")</f>
        <v/>
      </c>
    </row>
    <row r="9890">
      <c r="A9890">
        <f>IFERROR(INDEX('Email Cleaner'!$B$2:$B$10001,MATCH(9889,'Email Cleaner'!$H$2:$H$10001,0)),"")</f>
        <v/>
      </c>
    </row>
    <row r="9891">
      <c r="A9891">
        <f>IFERROR(INDEX('Email Cleaner'!$B$2:$B$10001,MATCH(9890,'Email Cleaner'!$H$2:$H$10001,0)),"")</f>
        <v/>
      </c>
    </row>
    <row r="9892">
      <c r="A9892">
        <f>IFERROR(INDEX('Email Cleaner'!$B$2:$B$10001,MATCH(9891,'Email Cleaner'!$H$2:$H$10001,0)),"")</f>
        <v/>
      </c>
    </row>
    <row r="9893">
      <c r="A9893">
        <f>IFERROR(INDEX('Email Cleaner'!$B$2:$B$10001,MATCH(9892,'Email Cleaner'!$H$2:$H$10001,0)),"")</f>
        <v/>
      </c>
    </row>
    <row r="9894">
      <c r="A9894">
        <f>IFERROR(INDEX('Email Cleaner'!$B$2:$B$10001,MATCH(9893,'Email Cleaner'!$H$2:$H$10001,0)),"")</f>
        <v/>
      </c>
    </row>
    <row r="9895">
      <c r="A9895">
        <f>IFERROR(INDEX('Email Cleaner'!$B$2:$B$10001,MATCH(9894,'Email Cleaner'!$H$2:$H$10001,0)),"")</f>
        <v/>
      </c>
    </row>
    <row r="9896">
      <c r="A9896">
        <f>IFERROR(INDEX('Email Cleaner'!$B$2:$B$10001,MATCH(9895,'Email Cleaner'!$H$2:$H$10001,0)),"")</f>
        <v/>
      </c>
    </row>
    <row r="9897">
      <c r="A9897">
        <f>IFERROR(INDEX('Email Cleaner'!$B$2:$B$10001,MATCH(9896,'Email Cleaner'!$H$2:$H$10001,0)),"")</f>
        <v/>
      </c>
    </row>
    <row r="9898">
      <c r="A9898">
        <f>IFERROR(INDEX('Email Cleaner'!$B$2:$B$10001,MATCH(9897,'Email Cleaner'!$H$2:$H$10001,0)),"")</f>
        <v/>
      </c>
    </row>
    <row r="9899">
      <c r="A9899">
        <f>IFERROR(INDEX('Email Cleaner'!$B$2:$B$10001,MATCH(9898,'Email Cleaner'!$H$2:$H$10001,0)),"")</f>
        <v/>
      </c>
    </row>
    <row r="9900">
      <c r="A9900">
        <f>IFERROR(INDEX('Email Cleaner'!$B$2:$B$10001,MATCH(9899,'Email Cleaner'!$H$2:$H$10001,0)),"")</f>
        <v/>
      </c>
    </row>
    <row r="9901">
      <c r="A9901">
        <f>IFERROR(INDEX('Email Cleaner'!$B$2:$B$10001,MATCH(9900,'Email Cleaner'!$H$2:$H$10001,0)),"")</f>
        <v/>
      </c>
    </row>
    <row r="9902">
      <c r="A9902">
        <f>IFERROR(INDEX('Email Cleaner'!$B$2:$B$10001,MATCH(9901,'Email Cleaner'!$H$2:$H$10001,0)),"")</f>
        <v/>
      </c>
    </row>
    <row r="9903">
      <c r="A9903">
        <f>IFERROR(INDEX('Email Cleaner'!$B$2:$B$10001,MATCH(9902,'Email Cleaner'!$H$2:$H$10001,0)),"")</f>
        <v/>
      </c>
    </row>
    <row r="9904">
      <c r="A9904">
        <f>IFERROR(INDEX('Email Cleaner'!$B$2:$B$10001,MATCH(9903,'Email Cleaner'!$H$2:$H$10001,0)),"")</f>
        <v/>
      </c>
    </row>
    <row r="9905">
      <c r="A9905">
        <f>IFERROR(INDEX('Email Cleaner'!$B$2:$B$10001,MATCH(9904,'Email Cleaner'!$H$2:$H$10001,0)),"")</f>
        <v/>
      </c>
    </row>
    <row r="9906">
      <c r="A9906">
        <f>IFERROR(INDEX('Email Cleaner'!$B$2:$B$10001,MATCH(9905,'Email Cleaner'!$H$2:$H$10001,0)),"")</f>
        <v/>
      </c>
    </row>
    <row r="9907">
      <c r="A9907">
        <f>IFERROR(INDEX('Email Cleaner'!$B$2:$B$10001,MATCH(9906,'Email Cleaner'!$H$2:$H$10001,0)),"")</f>
        <v/>
      </c>
    </row>
    <row r="9908">
      <c r="A9908">
        <f>IFERROR(INDEX('Email Cleaner'!$B$2:$B$10001,MATCH(9907,'Email Cleaner'!$H$2:$H$10001,0)),"")</f>
        <v/>
      </c>
    </row>
    <row r="9909">
      <c r="A9909">
        <f>IFERROR(INDEX('Email Cleaner'!$B$2:$B$10001,MATCH(9908,'Email Cleaner'!$H$2:$H$10001,0)),"")</f>
        <v/>
      </c>
    </row>
    <row r="9910">
      <c r="A9910">
        <f>IFERROR(INDEX('Email Cleaner'!$B$2:$B$10001,MATCH(9909,'Email Cleaner'!$H$2:$H$10001,0)),"")</f>
        <v/>
      </c>
    </row>
    <row r="9911">
      <c r="A9911">
        <f>IFERROR(INDEX('Email Cleaner'!$B$2:$B$10001,MATCH(9910,'Email Cleaner'!$H$2:$H$10001,0)),"")</f>
        <v/>
      </c>
    </row>
    <row r="9912">
      <c r="A9912">
        <f>IFERROR(INDEX('Email Cleaner'!$B$2:$B$10001,MATCH(9911,'Email Cleaner'!$H$2:$H$10001,0)),"")</f>
        <v/>
      </c>
    </row>
    <row r="9913">
      <c r="A9913">
        <f>IFERROR(INDEX('Email Cleaner'!$B$2:$B$10001,MATCH(9912,'Email Cleaner'!$H$2:$H$10001,0)),"")</f>
        <v/>
      </c>
    </row>
    <row r="9914">
      <c r="A9914">
        <f>IFERROR(INDEX('Email Cleaner'!$B$2:$B$10001,MATCH(9913,'Email Cleaner'!$H$2:$H$10001,0)),"")</f>
        <v/>
      </c>
    </row>
    <row r="9915">
      <c r="A9915">
        <f>IFERROR(INDEX('Email Cleaner'!$B$2:$B$10001,MATCH(9914,'Email Cleaner'!$H$2:$H$10001,0)),"")</f>
        <v/>
      </c>
    </row>
    <row r="9916">
      <c r="A9916">
        <f>IFERROR(INDEX('Email Cleaner'!$B$2:$B$10001,MATCH(9915,'Email Cleaner'!$H$2:$H$10001,0)),"")</f>
        <v/>
      </c>
    </row>
    <row r="9917">
      <c r="A9917">
        <f>IFERROR(INDEX('Email Cleaner'!$B$2:$B$10001,MATCH(9916,'Email Cleaner'!$H$2:$H$10001,0)),"")</f>
        <v/>
      </c>
    </row>
    <row r="9918">
      <c r="A9918">
        <f>IFERROR(INDEX('Email Cleaner'!$B$2:$B$10001,MATCH(9917,'Email Cleaner'!$H$2:$H$10001,0)),"")</f>
        <v/>
      </c>
    </row>
    <row r="9919">
      <c r="A9919">
        <f>IFERROR(INDEX('Email Cleaner'!$B$2:$B$10001,MATCH(9918,'Email Cleaner'!$H$2:$H$10001,0)),"")</f>
        <v/>
      </c>
    </row>
    <row r="9920">
      <c r="A9920">
        <f>IFERROR(INDEX('Email Cleaner'!$B$2:$B$10001,MATCH(9919,'Email Cleaner'!$H$2:$H$10001,0)),"")</f>
        <v/>
      </c>
    </row>
    <row r="9921">
      <c r="A9921">
        <f>IFERROR(INDEX('Email Cleaner'!$B$2:$B$10001,MATCH(9920,'Email Cleaner'!$H$2:$H$10001,0)),"")</f>
        <v/>
      </c>
    </row>
    <row r="9922">
      <c r="A9922">
        <f>IFERROR(INDEX('Email Cleaner'!$B$2:$B$10001,MATCH(9921,'Email Cleaner'!$H$2:$H$10001,0)),"")</f>
        <v/>
      </c>
    </row>
    <row r="9923">
      <c r="A9923">
        <f>IFERROR(INDEX('Email Cleaner'!$B$2:$B$10001,MATCH(9922,'Email Cleaner'!$H$2:$H$10001,0)),"")</f>
        <v/>
      </c>
    </row>
    <row r="9924">
      <c r="A9924">
        <f>IFERROR(INDEX('Email Cleaner'!$B$2:$B$10001,MATCH(9923,'Email Cleaner'!$H$2:$H$10001,0)),"")</f>
        <v/>
      </c>
    </row>
    <row r="9925">
      <c r="A9925">
        <f>IFERROR(INDEX('Email Cleaner'!$B$2:$B$10001,MATCH(9924,'Email Cleaner'!$H$2:$H$10001,0)),"")</f>
        <v/>
      </c>
    </row>
    <row r="9926">
      <c r="A9926">
        <f>IFERROR(INDEX('Email Cleaner'!$B$2:$B$10001,MATCH(9925,'Email Cleaner'!$H$2:$H$10001,0)),"")</f>
        <v/>
      </c>
    </row>
    <row r="9927">
      <c r="A9927">
        <f>IFERROR(INDEX('Email Cleaner'!$B$2:$B$10001,MATCH(9926,'Email Cleaner'!$H$2:$H$10001,0)),"")</f>
        <v/>
      </c>
    </row>
    <row r="9928">
      <c r="A9928">
        <f>IFERROR(INDEX('Email Cleaner'!$B$2:$B$10001,MATCH(9927,'Email Cleaner'!$H$2:$H$10001,0)),"")</f>
        <v/>
      </c>
    </row>
    <row r="9929">
      <c r="A9929">
        <f>IFERROR(INDEX('Email Cleaner'!$B$2:$B$10001,MATCH(9928,'Email Cleaner'!$H$2:$H$10001,0)),"")</f>
        <v/>
      </c>
    </row>
    <row r="9930">
      <c r="A9930">
        <f>IFERROR(INDEX('Email Cleaner'!$B$2:$B$10001,MATCH(9929,'Email Cleaner'!$H$2:$H$10001,0)),"")</f>
        <v/>
      </c>
    </row>
    <row r="9931">
      <c r="A9931">
        <f>IFERROR(INDEX('Email Cleaner'!$B$2:$B$10001,MATCH(9930,'Email Cleaner'!$H$2:$H$10001,0)),"")</f>
        <v/>
      </c>
    </row>
    <row r="9932">
      <c r="A9932">
        <f>IFERROR(INDEX('Email Cleaner'!$B$2:$B$10001,MATCH(9931,'Email Cleaner'!$H$2:$H$10001,0)),"")</f>
        <v/>
      </c>
    </row>
    <row r="9933">
      <c r="A9933">
        <f>IFERROR(INDEX('Email Cleaner'!$B$2:$B$10001,MATCH(9932,'Email Cleaner'!$H$2:$H$10001,0)),"")</f>
        <v/>
      </c>
    </row>
    <row r="9934">
      <c r="A9934">
        <f>IFERROR(INDEX('Email Cleaner'!$B$2:$B$10001,MATCH(9933,'Email Cleaner'!$H$2:$H$10001,0)),"")</f>
        <v/>
      </c>
    </row>
    <row r="9935">
      <c r="A9935">
        <f>IFERROR(INDEX('Email Cleaner'!$B$2:$B$10001,MATCH(9934,'Email Cleaner'!$H$2:$H$10001,0)),"")</f>
        <v/>
      </c>
    </row>
    <row r="9936">
      <c r="A9936">
        <f>IFERROR(INDEX('Email Cleaner'!$B$2:$B$10001,MATCH(9935,'Email Cleaner'!$H$2:$H$10001,0)),"")</f>
        <v/>
      </c>
    </row>
    <row r="9937">
      <c r="A9937">
        <f>IFERROR(INDEX('Email Cleaner'!$B$2:$B$10001,MATCH(9936,'Email Cleaner'!$H$2:$H$10001,0)),"")</f>
        <v/>
      </c>
    </row>
    <row r="9938">
      <c r="A9938">
        <f>IFERROR(INDEX('Email Cleaner'!$B$2:$B$10001,MATCH(9937,'Email Cleaner'!$H$2:$H$10001,0)),"")</f>
        <v/>
      </c>
    </row>
    <row r="9939">
      <c r="A9939">
        <f>IFERROR(INDEX('Email Cleaner'!$B$2:$B$10001,MATCH(9938,'Email Cleaner'!$H$2:$H$10001,0)),"")</f>
        <v/>
      </c>
    </row>
    <row r="9940">
      <c r="A9940">
        <f>IFERROR(INDEX('Email Cleaner'!$B$2:$B$10001,MATCH(9939,'Email Cleaner'!$H$2:$H$10001,0)),"")</f>
        <v/>
      </c>
    </row>
    <row r="9941">
      <c r="A9941">
        <f>IFERROR(INDEX('Email Cleaner'!$B$2:$B$10001,MATCH(9940,'Email Cleaner'!$H$2:$H$10001,0)),"")</f>
        <v/>
      </c>
    </row>
    <row r="9942">
      <c r="A9942">
        <f>IFERROR(INDEX('Email Cleaner'!$B$2:$B$10001,MATCH(9941,'Email Cleaner'!$H$2:$H$10001,0)),"")</f>
        <v/>
      </c>
    </row>
    <row r="9943">
      <c r="A9943">
        <f>IFERROR(INDEX('Email Cleaner'!$B$2:$B$10001,MATCH(9942,'Email Cleaner'!$H$2:$H$10001,0)),"")</f>
        <v/>
      </c>
    </row>
    <row r="9944">
      <c r="A9944">
        <f>IFERROR(INDEX('Email Cleaner'!$B$2:$B$10001,MATCH(9943,'Email Cleaner'!$H$2:$H$10001,0)),"")</f>
        <v/>
      </c>
    </row>
    <row r="9945">
      <c r="A9945">
        <f>IFERROR(INDEX('Email Cleaner'!$B$2:$B$10001,MATCH(9944,'Email Cleaner'!$H$2:$H$10001,0)),"")</f>
        <v/>
      </c>
    </row>
    <row r="9946">
      <c r="A9946">
        <f>IFERROR(INDEX('Email Cleaner'!$B$2:$B$10001,MATCH(9945,'Email Cleaner'!$H$2:$H$10001,0)),"")</f>
        <v/>
      </c>
    </row>
    <row r="9947">
      <c r="A9947">
        <f>IFERROR(INDEX('Email Cleaner'!$B$2:$B$10001,MATCH(9946,'Email Cleaner'!$H$2:$H$10001,0)),"")</f>
        <v/>
      </c>
    </row>
    <row r="9948">
      <c r="A9948">
        <f>IFERROR(INDEX('Email Cleaner'!$B$2:$B$10001,MATCH(9947,'Email Cleaner'!$H$2:$H$10001,0)),"")</f>
        <v/>
      </c>
    </row>
    <row r="9949">
      <c r="A9949">
        <f>IFERROR(INDEX('Email Cleaner'!$B$2:$B$10001,MATCH(9948,'Email Cleaner'!$H$2:$H$10001,0)),"")</f>
        <v/>
      </c>
    </row>
    <row r="9950">
      <c r="A9950">
        <f>IFERROR(INDEX('Email Cleaner'!$B$2:$B$10001,MATCH(9949,'Email Cleaner'!$H$2:$H$10001,0)),"")</f>
        <v/>
      </c>
    </row>
    <row r="9951">
      <c r="A9951">
        <f>IFERROR(INDEX('Email Cleaner'!$B$2:$B$10001,MATCH(9950,'Email Cleaner'!$H$2:$H$10001,0)),"")</f>
        <v/>
      </c>
    </row>
    <row r="9952">
      <c r="A9952">
        <f>IFERROR(INDEX('Email Cleaner'!$B$2:$B$10001,MATCH(9951,'Email Cleaner'!$H$2:$H$10001,0)),"")</f>
        <v/>
      </c>
    </row>
    <row r="9953">
      <c r="A9953">
        <f>IFERROR(INDEX('Email Cleaner'!$B$2:$B$10001,MATCH(9952,'Email Cleaner'!$H$2:$H$10001,0)),"")</f>
        <v/>
      </c>
    </row>
    <row r="9954">
      <c r="A9954">
        <f>IFERROR(INDEX('Email Cleaner'!$B$2:$B$10001,MATCH(9953,'Email Cleaner'!$H$2:$H$10001,0)),"")</f>
        <v/>
      </c>
    </row>
    <row r="9955">
      <c r="A9955">
        <f>IFERROR(INDEX('Email Cleaner'!$B$2:$B$10001,MATCH(9954,'Email Cleaner'!$H$2:$H$10001,0)),"")</f>
        <v/>
      </c>
    </row>
    <row r="9956">
      <c r="A9956">
        <f>IFERROR(INDEX('Email Cleaner'!$B$2:$B$10001,MATCH(9955,'Email Cleaner'!$H$2:$H$10001,0)),"")</f>
        <v/>
      </c>
    </row>
    <row r="9957">
      <c r="A9957">
        <f>IFERROR(INDEX('Email Cleaner'!$B$2:$B$10001,MATCH(9956,'Email Cleaner'!$H$2:$H$10001,0)),"")</f>
        <v/>
      </c>
    </row>
    <row r="9958">
      <c r="A9958">
        <f>IFERROR(INDEX('Email Cleaner'!$B$2:$B$10001,MATCH(9957,'Email Cleaner'!$H$2:$H$10001,0)),"")</f>
        <v/>
      </c>
    </row>
    <row r="9959">
      <c r="A9959">
        <f>IFERROR(INDEX('Email Cleaner'!$B$2:$B$10001,MATCH(9958,'Email Cleaner'!$H$2:$H$10001,0)),"")</f>
        <v/>
      </c>
    </row>
    <row r="9960">
      <c r="A9960">
        <f>IFERROR(INDEX('Email Cleaner'!$B$2:$B$10001,MATCH(9959,'Email Cleaner'!$H$2:$H$10001,0)),"")</f>
        <v/>
      </c>
    </row>
    <row r="9961">
      <c r="A9961">
        <f>IFERROR(INDEX('Email Cleaner'!$B$2:$B$10001,MATCH(9960,'Email Cleaner'!$H$2:$H$10001,0)),"")</f>
        <v/>
      </c>
    </row>
    <row r="9962">
      <c r="A9962">
        <f>IFERROR(INDEX('Email Cleaner'!$B$2:$B$10001,MATCH(9961,'Email Cleaner'!$H$2:$H$10001,0)),"")</f>
        <v/>
      </c>
    </row>
    <row r="9963">
      <c r="A9963">
        <f>IFERROR(INDEX('Email Cleaner'!$B$2:$B$10001,MATCH(9962,'Email Cleaner'!$H$2:$H$10001,0)),"")</f>
        <v/>
      </c>
    </row>
    <row r="9964">
      <c r="A9964">
        <f>IFERROR(INDEX('Email Cleaner'!$B$2:$B$10001,MATCH(9963,'Email Cleaner'!$H$2:$H$10001,0)),"")</f>
        <v/>
      </c>
    </row>
    <row r="9965">
      <c r="A9965">
        <f>IFERROR(INDEX('Email Cleaner'!$B$2:$B$10001,MATCH(9964,'Email Cleaner'!$H$2:$H$10001,0)),"")</f>
        <v/>
      </c>
    </row>
    <row r="9966">
      <c r="A9966">
        <f>IFERROR(INDEX('Email Cleaner'!$B$2:$B$10001,MATCH(9965,'Email Cleaner'!$H$2:$H$10001,0)),"")</f>
        <v/>
      </c>
    </row>
    <row r="9967">
      <c r="A9967">
        <f>IFERROR(INDEX('Email Cleaner'!$B$2:$B$10001,MATCH(9966,'Email Cleaner'!$H$2:$H$10001,0)),"")</f>
        <v/>
      </c>
    </row>
    <row r="9968">
      <c r="A9968">
        <f>IFERROR(INDEX('Email Cleaner'!$B$2:$B$10001,MATCH(9967,'Email Cleaner'!$H$2:$H$10001,0)),"")</f>
        <v/>
      </c>
    </row>
    <row r="9969">
      <c r="A9969">
        <f>IFERROR(INDEX('Email Cleaner'!$B$2:$B$10001,MATCH(9968,'Email Cleaner'!$H$2:$H$10001,0)),"")</f>
        <v/>
      </c>
    </row>
    <row r="9970">
      <c r="A9970">
        <f>IFERROR(INDEX('Email Cleaner'!$B$2:$B$10001,MATCH(9969,'Email Cleaner'!$H$2:$H$10001,0)),"")</f>
        <v/>
      </c>
    </row>
    <row r="9971">
      <c r="A9971">
        <f>IFERROR(INDEX('Email Cleaner'!$B$2:$B$10001,MATCH(9970,'Email Cleaner'!$H$2:$H$10001,0)),"")</f>
        <v/>
      </c>
    </row>
    <row r="9972">
      <c r="A9972">
        <f>IFERROR(INDEX('Email Cleaner'!$B$2:$B$10001,MATCH(9971,'Email Cleaner'!$H$2:$H$10001,0)),"")</f>
        <v/>
      </c>
    </row>
    <row r="9973">
      <c r="A9973">
        <f>IFERROR(INDEX('Email Cleaner'!$B$2:$B$10001,MATCH(9972,'Email Cleaner'!$H$2:$H$10001,0)),"")</f>
        <v/>
      </c>
    </row>
    <row r="9974">
      <c r="A9974">
        <f>IFERROR(INDEX('Email Cleaner'!$B$2:$B$10001,MATCH(9973,'Email Cleaner'!$H$2:$H$10001,0)),"")</f>
        <v/>
      </c>
    </row>
    <row r="9975">
      <c r="A9975">
        <f>IFERROR(INDEX('Email Cleaner'!$B$2:$B$10001,MATCH(9974,'Email Cleaner'!$H$2:$H$10001,0)),"")</f>
        <v/>
      </c>
    </row>
    <row r="9976">
      <c r="A9976">
        <f>IFERROR(INDEX('Email Cleaner'!$B$2:$B$10001,MATCH(9975,'Email Cleaner'!$H$2:$H$10001,0)),"")</f>
        <v/>
      </c>
    </row>
    <row r="9977">
      <c r="A9977">
        <f>IFERROR(INDEX('Email Cleaner'!$B$2:$B$10001,MATCH(9976,'Email Cleaner'!$H$2:$H$10001,0)),"")</f>
        <v/>
      </c>
    </row>
    <row r="9978">
      <c r="A9978">
        <f>IFERROR(INDEX('Email Cleaner'!$B$2:$B$10001,MATCH(9977,'Email Cleaner'!$H$2:$H$10001,0)),"")</f>
        <v/>
      </c>
    </row>
    <row r="9979">
      <c r="A9979">
        <f>IFERROR(INDEX('Email Cleaner'!$B$2:$B$10001,MATCH(9978,'Email Cleaner'!$H$2:$H$10001,0)),"")</f>
        <v/>
      </c>
    </row>
    <row r="9980">
      <c r="A9980">
        <f>IFERROR(INDEX('Email Cleaner'!$B$2:$B$10001,MATCH(9979,'Email Cleaner'!$H$2:$H$10001,0)),"")</f>
        <v/>
      </c>
    </row>
    <row r="9981">
      <c r="A9981">
        <f>IFERROR(INDEX('Email Cleaner'!$B$2:$B$10001,MATCH(9980,'Email Cleaner'!$H$2:$H$10001,0)),"")</f>
        <v/>
      </c>
    </row>
    <row r="9982">
      <c r="A9982">
        <f>IFERROR(INDEX('Email Cleaner'!$B$2:$B$10001,MATCH(9981,'Email Cleaner'!$H$2:$H$10001,0)),"")</f>
        <v/>
      </c>
    </row>
    <row r="9983">
      <c r="A9983">
        <f>IFERROR(INDEX('Email Cleaner'!$B$2:$B$10001,MATCH(9982,'Email Cleaner'!$H$2:$H$10001,0)),"")</f>
        <v/>
      </c>
    </row>
    <row r="9984">
      <c r="A9984">
        <f>IFERROR(INDEX('Email Cleaner'!$B$2:$B$10001,MATCH(9983,'Email Cleaner'!$H$2:$H$10001,0)),"")</f>
        <v/>
      </c>
    </row>
    <row r="9985">
      <c r="A9985">
        <f>IFERROR(INDEX('Email Cleaner'!$B$2:$B$10001,MATCH(9984,'Email Cleaner'!$H$2:$H$10001,0)),"")</f>
        <v/>
      </c>
    </row>
    <row r="9986">
      <c r="A9986">
        <f>IFERROR(INDEX('Email Cleaner'!$B$2:$B$10001,MATCH(9985,'Email Cleaner'!$H$2:$H$10001,0)),"")</f>
        <v/>
      </c>
    </row>
    <row r="9987">
      <c r="A9987">
        <f>IFERROR(INDEX('Email Cleaner'!$B$2:$B$10001,MATCH(9986,'Email Cleaner'!$H$2:$H$10001,0)),"")</f>
        <v/>
      </c>
    </row>
    <row r="9988">
      <c r="A9988">
        <f>IFERROR(INDEX('Email Cleaner'!$B$2:$B$10001,MATCH(9987,'Email Cleaner'!$H$2:$H$10001,0)),"")</f>
        <v/>
      </c>
    </row>
    <row r="9989">
      <c r="A9989">
        <f>IFERROR(INDEX('Email Cleaner'!$B$2:$B$10001,MATCH(9988,'Email Cleaner'!$H$2:$H$10001,0)),"")</f>
        <v/>
      </c>
    </row>
    <row r="9990">
      <c r="A9990">
        <f>IFERROR(INDEX('Email Cleaner'!$B$2:$B$10001,MATCH(9989,'Email Cleaner'!$H$2:$H$10001,0)),"")</f>
        <v/>
      </c>
    </row>
    <row r="9991">
      <c r="A9991">
        <f>IFERROR(INDEX('Email Cleaner'!$B$2:$B$10001,MATCH(9990,'Email Cleaner'!$H$2:$H$10001,0)),"")</f>
        <v/>
      </c>
    </row>
    <row r="9992">
      <c r="A9992">
        <f>IFERROR(INDEX('Email Cleaner'!$B$2:$B$10001,MATCH(9991,'Email Cleaner'!$H$2:$H$10001,0)),"")</f>
        <v/>
      </c>
    </row>
    <row r="9993">
      <c r="A9993">
        <f>IFERROR(INDEX('Email Cleaner'!$B$2:$B$10001,MATCH(9992,'Email Cleaner'!$H$2:$H$10001,0)),"")</f>
        <v/>
      </c>
    </row>
    <row r="9994">
      <c r="A9994">
        <f>IFERROR(INDEX('Email Cleaner'!$B$2:$B$10001,MATCH(9993,'Email Cleaner'!$H$2:$H$10001,0)),"")</f>
        <v/>
      </c>
    </row>
    <row r="9995">
      <c r="A9995">
        <f>IFERROR(INDEX('Email Cleaner'!$B$2:$B$10001,MATCH(9994,'Email Cleaner'!$H$2:$H$10001,0)),"")</f>
        <v/>
      </c>
    </row>
    <row r="9996">
      <c r="A9996">
        <f>IFERROR(INDEX('Email Cleaner'!$B$2:$B$10001,MATCH(9995,'Email Cleaner'!$H$2:$H$10001,0)),"")</f>
        <v/>
      </c>
    </row>
    <row r="9997">
      <c r="A9997">
        <f>IFERROR(INDEX('Email Cleaner'!$B$2:$B$10001,MATCH(9996,'Email Cleaner'!$H$2:$H$10001,0)),"")</f>
        <v/>
      </c>
    </row>
    <row r="9998">
      <c r="A9998">
        <f>IFERROR(INDEX('Email Cleaner'!$B$2:$B$10001,MATCH(9997,'Email Cleaner'!$H$2:$H$10001,0)),"")</f>
        <v/>
      </c>
    </row>
    <row r="9999">
      <c r="A9999">
        <f>IFERROR(INDEX('Email Cleaner'!$B$2:$B$10001,MATCH(9998,'Email Cleaner'!$H$2:$H$10001,0)),"")</f>
        <v/>
      </c>
    </row>
    <row r="10000">
      <c r="A10000">
        <f>IFERROR(INDEX('Email Cleaner'!$B$2:$B$10001,MATCH(9999,'Email Cleaner'!$H$2:$H$10001,0)),"")</f>
        <v/>
      </c>
    </row>
    <row r="10001">
      <c r="A10001">
        <f>IFERROR(INDEX('Email Cleaner'!$B$2:$B$10001,MATCH(10000,'Email Cleaner'!$H$2:$H$10001,0)),"")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Copy Gmail Emails From Here</t>
        </is>
      </c>
    </row>
    <row r="2">
      <c r="A2">
        <f>IFERROR(INDEX('Email Cleaner'!$B$2:$B$10001,MATCH(1,'Email Cleaner'!$I$2:$I$10001,0)),"")</f>
        <v/>
      </c>
    </row>
    <row r="3">
      <c r="A3">
        <f>IFERROR(INDEX('Email Cleaner'!$B$2:$B$10001,MATCH(2,'Email Cleaner'!$I$2:$I$10001,0)),"")</f>
        <v/>
      </c>
    </row>
    <row r="4">
      <c r="A4">
        <f>IFERROR(INDEX('Email Cleaner'!$B$2:$B$10001,MATCH(3,'Email Cleaner'!$I$2:$I$10001,0)),"")</f>
        <v/>
      </c>
    </row>
    <row r="5">
      <c r="A5">
        <f>IFERROR(INDEX('Email Cleaner'!$B$2:$B$10001,MATCH(4,'Email Cleaner'!$I$2:$I$10001,0)),"")</f>
        <v/>
      </c>
    </row>
    <row r="6">
      <c r="A6">
        <f>IFERROR(INDEX('Email Cleaner'!$B$2:$B$10001,MATCH(5,'Email Cleaner'!$I$2:$I$10001,0)),"")</f>
        <v/>
      </c>
    </row>
    <row r="7">
      <c r="A7">
        <f>IFERROR(INDEX('Email Cleaner'!$B$2:$B$10001,MATCH(6,'Email Cleaner'!$I$2:$I$10001,0)),"")</f>
        <v/>
      </c>
    </row>
    <row r="8">
      <c r="A8">
        <f>IFERROR(INDEX('Email Cleaner'!$B$2:$B$10001,MATCH(7,'Email Cleaner'!$I$2:$I$10001,0)),"")</f>
        <v/>
      </c>
    </row>
    <row r="9">
      <c r="A9">
        <f>IFERROR(INDEX('Email Cleaner'!$B$2:$B$10001,MATCH(8,'Email Cleaner'!$I$2:$I$10001,0)),"")</f>
        <v/>
      </c>
    </row>
    <row r="10">
      <c r="A10">
        <f>IFERROR(INDEX('Email Cleaner'!$B$2:$B$10001,MATCH(9,'Email Cleaner'!$I$2:$I$10001,0)),"")</f>
        <v/>
      </c>
    </row>
    <row r="11">
      <c r="A11">
        <f>IFERROR(INDEX('Email Cleaner'!$B$2:$B$10001,MATCH(10,'Email Cleaner'!$I$2:$I$10001,0)),"")</f>
        <v/>
      </c>
    </row>
    <row r="12">
      <c r="A12">
        <f>IFERROR(INDEX('Email Cleaner'!$B$2:$B$10001,MATCH(11,'Email Cleaner'!$I$2:$I$10001,0)),"")</f>
        <v/>
      </c>
    </row>
    <row r="13">
      <c r="A13">
        <f>IFERROR(INDEX('Email Cleaner'!$B$2:$B$10001,MATCH(12,'Email Cleaner'!$I$2:$I$10001,0)),"")</f>
        <v/>
      </c>
    </row>
    <row r="14">
      <c r="A14">
        <f>IFERROR(INDEX('Email Cleaner'!$B$2:$B$10001,MATCH(13,'Email Cleaner'!$I$2:$I$10001,0)),"")</f>
        <v/>
      </c>
    </row>
    <row r="15">
      <c r="A15">
        <f>IFERROR(INDEX('Email Cleaner'!$B$2:$B$10001,MATCH(14,'Email Cleaner'!$I$2:$I$10001,0)),"")</f>
        <v/>
      </c>
    </row>
    <row r="16">
      <c r="A16">
        <f>IFERROR(INDEX('Email Cleaner'!$B$2:$B$10001,MATCH(15,'Email Cleaner'!$I$2:$I$10001,0)),"")</f>
        <v/>
      </c>
    </row>
    <row r="17">
      <c r="A17">
        <f>IFERROR(INDEX('Email Cleaner'!$B$2:$B$10001,MATCH(16,'Email Cleaner'!$I$2:$I$10001,0)),"")</f>
        <v/>
      </c>
    </row>
    <row r="18">
      <c r="A18">
        <f>IFERROR(INDEX('Email Cleaner'!$B$2:$B$10001,MATCH(17,'Email Cleaner'!$I$2:$I$10001,0)),"")</f>
        <v/>
      </c>
    </row>
    <row r="19">
      <c r="A19">
        <f>IFERROR(INDEX('Email Cleaner'!$B$2:$B$10001,MATCH(18,'Email Cleaner'!$I$2:$I$10001,0)),"")</f>
        <v/>
      </c>
    </row>
    <row r="20">
      <c r="A20">
        <f>IFERROR(INDEX('Email Cleaner'!$B$2:$B$10001,MATCH(19,'Email Cleaner'!$I$2:$I$10001,0)),"")</f>
        <v/>
      </c>
    </row>
    <row r="21">
      <c r="A21">
        <f>IFERROR(INDEX('Email Cleaner'!$B$2:$B$10001,MATCH(20,'Email Cleaner'!$I$2:$I$10001,0)),"")</f>
        <v/>
      </c>
    </row>
    <row r="22">
      <c r="A22">
        <f>IFERROR(INDEX('Email Cleaner'!$B$2:$B$10001,MATCH(21,'Email Cleaner'!$I$2:$I$10001,0)),"")</f>
        <v/>
      </c>
    </row>
    <row r="23">
      <c r="A23">
        <f>IFERROR(INDEX('Email Cleaner'!$B$2:$B$10001,MATCH(22,'Email Cleaner'!$I$2:$I$10001,0)),"")</f>
        <v/>
      </c>
    </row>
    <row r="24">
      <c r="A24">
        <f>IFERROR(INDEX('Email Cleaner'!$B$2:$B$10001,MATCH(23,'Email Cleaner'!$I$2:$I$10001,0)),"")</f>
        <v/>
      </c>
    </row>
    <row r="25">
      <c r="A25">
        <f>IFERROR(INDEX('Email Cleaner'!$B$2:$B$10001,MATCH(24,'Email Cleaner'!$I$2:$I$10001,0)),"")</f>
        <v/>
      </c>
    </row>
    <row r="26">
      <c r="A26">
        <f>IFERROR(INDEX('Email Cleaner'!$B$2:$B$10001,MATCH(25,'Email Cleaner'!$I$2:$I$10001,0)),"")</f>
        <v/>
      </c>
    </row>
    <row r="27">
      <c r="A27">
        <f>IFERROR(INDEX('Email Cleaner'!$B$2:$B$10001,MATCH(26,'Email Cleaner'!$I$2:$I$10001,0)),"")</f>
        <v/>
      </c>
    </row>
    <row r="28">
      <c r="A28">
        <f>IFERROR(INDEX('Email Cleaner'!$B$2:$B$10001,MATCH(27,'Email Cleaner'!$I$2:$I$10001,0)),"")</f>
        <v/>
      </c>
    </row>
    <row r="29">
      <c r="A29">
        <f>IFERROR(INDEX('Email Cleaner'!$B$2:$B$10001,MATCH(28,'Email Cleaner'!$I$2:$I$10001,0)),"")</f>
        <v/>
      </c>
    </row>
    <row r="30">
      <c r="A30">
        <f>IFERROR(INDEX('Email Cleaner'!$B$2:$B$10001,MATCH(29,'Email Cleaner'!$I$2:$I$10001,0)),"")</f>
        <v/>
      </c>
    </row>
    <row r="31">
      <c r="A31">
        <f>IFERROR(INDEX('Email Cleaner'!$B$2:$B$10001,MATCH(30,'Email Cleaner'!$I$2:$I$10001,0)),"")</f>
        <v/>
      </c>
    </row>
    <row r="32">
      <c r="A32">
        <f>IFERROR(INDEX('Email Cleaner'!$B$2:$B$10001,MATCH(31,'Email Cleaner'!$I$2:$I$10001,0)),"")</f>
        <v/>
      </c>
    </row>
    <row r="33">
      <c r="A33">
        <f>IFERROR(INDEX('Email Cleaner'!$B$2:$B$10001,MATCH(32,'Email Cleaner'!$I$2:$I$10001,0)),"")</f>
        <v/>
      </c>
    </row>
    <row r="34">
      <c r="A34">
        <f>IFERROR(INDEX('Email Cleaner'!$B$2:$B$10001,MATCH(33,'Email Cleaner'!$I$2:$I$10001,0)),"")</f>
        <v/>
      </c>
    </row>
    <row r="35">
      <c r="A35">
        <f>IFERROR(INDEX('Email Cleaner'!$B$2:$B$10001,MATCH(34,'Email Cleaner'!$I$2:$I$10001,0)),"")</f>
        <v/>
      </c>
    </row>
    <row r="36">
      <c r="A36">
        <f>IFERROR(INDEX('Email Cleaner'!$B$2:$B$10001,MATCH(35,'Email Cleaner'!$I$2:$I$10001,0)),"")</f>
        <v/>
      </c>
    </row>
    <row r="37">
      <c r="A37">
        <f>IFERROR(INDEX('Email Cleaner'!$B$2:$B$10001,MATCH(36,'Email Cleaner'!$I$2:$I$10001,0)),"")</f>
        <v/>
      </c>
    </row>
    <row r="38">
      <c r="A38">
        <f>IFERROR(INDEX('Email Cleaner'!$B$2:$B$10001,MATCH(37,'Email Cleaner'!$I$2:$I$10001,0)),"")</f>
        <v/>
      </c>
    </row>
    <row r="39">
      <c r="A39">
        <f>IFERROR(INDEX('Email Cleaner'!$B$2:$B$10001,MATCH(38,'Email Cleaner'!$I$2:$I$10001,0)),"")</f>
        <v/>
      </c>
    </row>
    <row r="40">
      <c r="A40">
        <f>IFERROR(INDEX('Email Cleaner'!$B$2:$B$10001,MATCH(39,'Email Cleaner'!$I$2:$I$10001,0)),"")</f>
        <v/>
      </c>
    </row>
    <row r="41">
      <c r="A41">
        <f>IFERROR(INDEX('Email Cleaner'!$B$2:$B$10001,MATCH(40,'Email Cleaner'!$I$2:$I$10001,0)),"")</f>
        <v/>
      </c>
    </row>
    <row r="42">
      <c r="A42">
        <f>IFERROR(INDEX('Email Cleaner'!$B$2:$B$10001,MATCH(41,'Email Cleaner'!$I$2:$I$10001,0)),"")</f>
        <v/>
      </c>
    </row>
    <row r="43">
      <c r="A43">
        <f>IFERROR(INDEX('Email Cleaner'!$B$2:$B$10001,MATCH(42,'Email Cleaner'!$I$2:$I$10001,0)),"")</f>
        <v/>
      </c>
    </row>
    <row r="44">
      <c r="A44">
        <f>IFERROR(INDEX('Email Cleaner'!$B$2:$B$10001,MATCH(43,'Email Cleaner'!$I$2:$I$10001,0)),"")</f>
        <v/>
      </c>
    </row>
    <row r="45">
      <c r="A45">
        <f>IFERROR(INDEX('Email Cleaner'!$B$2:$B$10001,MATCH(44,'Email Cleaner'!$I$2:$I$10001,0)),"")</f>
        <v/>
      </c>
    </row>
    <row r="46">
      <c r="A46">
        <f>IFERROR(INDEX('Email Cleaner'!$B$2:$B$10001,MATCH(45,'Email Cleaner'!$I$2:$I$10001,0)),"")</f>
        <v/>
      </c>
    </row>
    <row r="47">
      <c r="A47">
        <f>IFERROR(INDEX('Email Cleaner'!$B$2:$B$10001,MATCH(46,'Email Cleaner'!$I$2:$I$10001,0)),"")</f>
        <v/>
      </c>
    </row>
    <row r="48">
      <c r="A48">
        <f>IFERROR(INDEX('Email Cleaner'!$B$2:$B$10001,MATCH(47,'Email Cleaner'!$I$2:$I$10001,0)),"")</f>
        <v/>
      </c>
    </row>
    <row r="49">
      <c r="A49">
        <f>IFERROR(INDEX('Email Cleaner'!$B$2:$B$10001,MATCH(48,'Email Cleaner'!$I$2:$I$10001,0)),"")</f>
        <v/>
      </c>
    </row>
    <row r="50">
      <c r="A50">
        <f>IFERROR(INDEX('Email Cleaner'!$B$2:$B$10001,MATCH(49,'Email Cleaner'!$I$2:$I$10001,0)),"")</f>
        <v/>
      </c>
    </row>
    <row r="51">
      <c r="A51">
        <f>IFERROR(INDEX('Email Cleaner'!$B$2:$B$10001,MATCH(50,'Email Cleaner'!$I$2:$I$10001,0)),"")</f>
        <v/>
      </c>
    </row>
    <row r="52">
      <c r="A52">
        <f>IFERROR(INDEX('Email Cleaner'!$B$2:$B$10001,MATCH(51,'Email Cleaner'!$I$2:$I$10001,0)),"")</f>
        <v/>
      </c>
    </row>
    <row r="53">
      <c r="A53">
        <f>IFERROR(INDEX('Email Cleaner'!$B$2:$B$10001,MATCH(52,'Email Cleaner'!$I$2:$I$10001,0)),"")</f>
        <v/>
      </c>
    </row>
    <row r="54">
      <c r="A54">
        <f>IFERROR(INDEX('Email Cleaner'!$B$2:$B$10001,MATCH(53,'Email Cleaner'!$I$2:$I$10001,0)),"")</f>
        <v/>
      </c>
    </row>
    <row r="55">
      <c r="A55">
        <f>IFERROR(INDEX('Email Cleaner'!$B$2:$B$10001,MATCH(54,'Email Cleaner'!$I$2:$I$10001,0)),"")</f>
        <v/>
      </c>
    </row>
    <row r="56">
      <c r="A56">
        <f>IFERROR(INDEX('Email Cleaner'!$B$2:$B$10001,MATCH(55,'Email Cleaner'!$I$2:$I$10001,0)),"")</f>
        <v/>
      </c>
    </row>
    <row r="57">
      <c r="A57">
        <f>IFERROR(INDEX('Email Cleaner'!$B$2:$B$10001,MATCH(56,'Email Cleaner'!$I$2:$I$10001,0)),"")</f>
        <v/>
      </c>
    </row>
    <row r="58">
      <c r="A58">
        <f>IFERROR(INDEX('Email Cleaner'!$B$2:$B$10001,MATCH(57,'Email Cleaner'!$I$2:$I$10001,0)),"")</f>
        <v/>
      </c>
    </row>
    <row r="59">
      <c r="A59">
        <f>IFERROR(INDEX('Email Cleaner'!$B$2:$B$10001,MATCH(58,'Email Cleaner'!$I$2:$I$10001,0)),"")</f>
        <v/>
      </c>
    </row>
    <row r="60">
      <c r="A60">
        <f>IFERROR(INDEX('Email Cleaner'!$B$2:$B$10001,MATCH(59,'Email Cleaner'!$I$2:$I$10001,0)),"")</f>
        <v/>
      </c>
    </row>
    <row r="61">
      <c r="A61">
        <f>IFERROR(INDEX('Email Cleaner'!$B$2:$B$10001,MATCH(60,'Email Cleaner'!$I$2:$I$10001,0)),"")</f>
        <v/>
      </c>
    </row>
    <row r="62">
      <c r="A62">
        <f>IFERROR(INDEX('Email Cleaner'!$B$2:$B$10001,MATCH(61,'Email Cleaner'!$I$2:$I$10001,0)),"")</f>
        <v/>
      </c>
    </row>
    <row r="63">
      <c r="A63">
        <f>IFERROR(INDEX('Email Cleaner'!$B$2:$B$10001,MATCH(62,'Email Cleaner'!$I$2:$I$10001,0)),"")</f>
        <v/>
      </c>
    </row>
    <row r="64">
      <c r="A64">
        <f>IFERROR(INDEX('Email Cleaner'!$B$2:$B$10001,MATCH(63,'Email Cleaner'!$I$2:$I$10001,0)),"")</f>
        <v/>
      </c>
    </row>
    <row r="65">
      <c r="A65">
        <f>IFERROR(INDEX('Email Cleaner'!$B$2:$B$10001,MATCH(64,'Email Cleaner'!$I$2:$I$10001,0)),"")</f>
        <v/>
      </c>
    </row>
    <row r="66">
      <c r="A66">
        <f>IFERROR(INDEX('Email Cleaner'!$B$2:$B$10001,MATCH(65,'Email Cleaner'!$I$2:$I$10001,0)),"")</f>
        <v/>
      </c>
    </row>
    <row r="67">
      <c r="A67">
        <f>IFERROR(INDEX('Email Cleaner'!$B$2:$B$10001,MATCH(66,'Email Cleaner'!$I$2:$I$10001,0)),"")</f>
        <v/>
      </c>
    </row>
    <row r="68">
      <c r="A68">
        <f>IFERROR(INDEX('Email Cleaner'!$B$2:$B$10001,MATCH(67,'Email Cleaner'!$I$2:$I$10001,0)),"")</f>
        <v/>
      </c>
    </row>
    <row r="69">
      <c r="A69">
        <f>IFERROR(INDEX('Email Cleaner'!$B$2:$B$10001,MATCH(68,'Email Cleaner'!$I$2:$I$10001,0)),"")</f>
        <v/>
      </c>
    </row>
    <row r="70">
      <c r="A70">
        <f>IFERROR(INDEX('Email Cleaner'!$B$2:$B$10001,MATCH(69,'Email Cleaner'!$I$2:$I$10001,0)),"")</f>
        <v/>
      </c>
    </row>
    <row r="71">
      <c r="A71">
        <f>IFERROR(INDEX('Email Cleaner'!$B$2:$B$10001,MATCH(70,'Email Cleaner'!$I$2:$I$10001,0)),"")</f>
        <v/>
      </c>
    </row>
    <row r="72">
      <c r="A72">
        <f>IFERROR(INDEX('Email Cleaner'!$B$2:$B$10001,MATCH(71,'Email Cleaner'!$I$2:$I$10001,0)),"")</f>
        <v/>
      </c>
    </row>
    <row r="73">
      <c r="A73">
        <f>IFERROR(INDEX('Email Cleaner'!$B$2:$B$10001,MATCH(72,'Email Cleaner'!$I$2:$I$10001,0)),"")</f>
        <v/>
      </c>
    </row>
    <row r="74">
      <c r="A74">
        <f>IFERROR(INDEX('Email Cleaner'!$B$2:$B$10001,MATCH(73,'Email Cleaner'!$I$2:$I$10001,0)),"")</f>
        <v/>
      </c>
    </row>
    <row r="75">
      <c r="A75">
        <f>IFERROR(INDEX('Email Cleaner'!$B$2:$B$10001,MATCH(74,'Email Cleaner'!$I$2:$I$10001,0)),"")</f>
        <v/>
      </c>
    </row>
    <row r="76">
      <c r="A76">
        <f>IFERROR(INDEX('Email Cleaner'!$B$2:$B$10001,MATCH(75,'Email Cleaner'!$I$2:$I$10001,0)),"")</f>
        <v/>
      </c>
    </row>
    <row r="77">
      <c r="A77">
        <f>IFERROR(INDEX('Email Cleaner'!$B$2:$B$10001,MATCH(76,'Email Cleaner'!$I$2:$I$10001,0)),"")</f>
        <v/>
      </c>
    </row>
    <row r="78">
      <c r="A78">
        <f>IFERROR(INDEX('Email Cleaner'!$B$2:$B$10001,MATCH(77,'Email Cleaner'!$I$2:$I$10001,0)),"")</f>
        <v/>
      </c>
    </row>
    <row r="79">
      <c r="A79">
        <f>IFERROR(INDEX('Email Cleaner'!$B$2:$B$10001,MATCH(78,'Email Cleaner'!$I$2:$I$10001,0)),"")</f>
        <v/>
      </c>
    </row>
    <row r="80">
      <c r="A80">
        <f>IFERROR(INDEX('Email Cleaner'!$B$2:$B$10001,MATCH(79,'Email Cleaner'!$I$2:$I$10001,0)),"")</f>
        <v/>
      </c>
    </row>
    <row r="81">
      <c r="A81">
        <f>IFERROR(INDEX('Email Cleaner'!$B$2:$B$10001,MATCH(80,'Email Cleaner'!$I$2:$I$10001,0)),"")</f>
        <v/>
      </c>
    </row>
    <row r="82">
      <c r="A82">
        <f>IFERROR(INDEX('Email Cleaner'!$B$2:$B$10001,MATCH(81,'Email Cleaner'!$I$2:$I$10001,0)),"")</f>
        <v/>
      </c>
    </row>
    <row r="83">
      <c r="A83">
        <f>IFERROR(INDEX('Email Cleaner'!$B$2:$B$10001,MATCH(82,'Email Cleaner'!$I$2:$I$10001,0)),"")</f>
        <v/>
      </c>
    </row>
    <row r="84">
      <c r="A84">
        <f>IFERROR(INDEX('Email Cleaner'!$B$2:$B$10001,MATCH(83,'Email Cleaner'!$I$2:$I$10001,0)),"")</f>
        <v/>
      </c>
    </row>
    <row r="85">
      <c r="A85">
        <f>IFERROR(INDEX('Email Cleaner'!$B$2:$B$10001,MATCH(84,'Email Cleaner'!$I$2:$I$10001,0)),"")</f>
        <v/>
      </c>
    </row>
    <row r="86">
      <c r="A86">
        <f>IFERROR(INDEX('Email Cleaner'!$B$2:$B$10001,MATCH(85,'Email Cleaner'!$I$2:$I$10001,0)),"")</f>
        <v/>
      </c>
    </row>
    <row r="87">
      <c r="A87">
        <f>IFERROR(INDEX('Email Cleaner'!$B$2:$B$10001,MATCH(86,'Email Cleaner'!$I$2:$I$10001,0)),"")</f>
        <v/>
      </c>
    </row>
    <row r="88">
      <c r="A88">
        <f>IFERROR(INDEX('Email Cleaner'!$B$2:$B$10001,MATCH(87,'Email Cleaner'!$I$2:$I$10001,0)),"")</f>
        <v/>
      </c>
    </row>
    <row r="89">
      <c r="A89">
        <f>IFERROR(INDEX('Email Cleaner'!$B$2:$B$10001,MATCH(88,'Email Cleaner'!$I$2:$I$10001,0)),"")</f>
        <v/>
      </c>
    </row>
    <row r="90">
      <c r="A90">
        <f>IFERROR(INDEX('Email Cleaner'!$B$2:$B$10001,MATCH(89,'Email Cleaner'!$I$2:$I$10001,0)),"")</f>
        <v/>
      </c>
    </row>
    <row r="91">
      <c r="A91">
        <f>IFERROR(INDEX('Email Cleaner'!$B$2:$B$10001,MATCH(90,'Email Cleaner'!$I$2:$I$10001,0)),"")</f>
        <v/>
      </c>
    </row>
    <row r="92">
      <c r="A92">
        <f>IFERROR(INDEX('Email Cleaner'!$B$2:$B$10001,MATCH(91,'Email Cleaner'!$I$2:$I$10001,0)),"")</f>
        <v/>
      </c>
    </row>
    <row r="93">
      <c r="A93">
        <f>IFERROR(INDEX('Email Cleaner'!$B$2:$B$10001,MATCH(92,'Email Cleaner'!$I$2:$I$10001,0)),"")</f>
        <v/>
      </c>
    </row>
    <row r="94">
      <c r="A94">
        <f>IFERROR(INDEX('Email Cleaner'!$B$2:$B$10001,MATCH(93,'Email Cleaner'!$I$2:$I$10001,0)),"")</f>
        <v/>
      </c>
    </row>
    <row r="95">
      <c r="A95">
        <f>IFERROR(INDEX('Email Cleaner'!$B$2:$B$10001,MATCH(94,'Email Cleaner'!$I$2:$I$10001,0)),"")</f>
        <v/>
      </c>
    </row>
    <row r="96">
      <c r="A96">
        <f>IFERROR(INDEX('Email Cleaner'!$B$2:$B$10001,MATCH(95,'Email Cleaner'!$I$2:$I$10001,0)),"")</f>
        <v/>
      </c>
    </row>
    <row r="97">
      <c r="A97">
        <f>IFERROR(INDEX('Email Cleaner'!$B$2:$B$10001,MATCH(96,'Email Cleaner'!$I$2:$I$10001,0)),"")</f>
        <v/>
      </c>
    </row>
    <row r="98">
      <c r="A98">
        <f>IFERROR(INDEX('Email Cleaner'!$B$2:$B$10001,MATCH(97,'Email Cleaner'!$I$2:$I$10001,0)),"")</f>
        <v/>
      </c>
    </row>
    <row r="99">
      <c r="A99">
        <f>IFERROR(INDEX('Email Cleaner'!$B$2:$B$10001,MATCH(98,'Email Cleaner'!$I$2:$I$10001,0)),"")</f>
        <v/>
      </c>
    </row>
    <row r="100">
      <c r="A100">
        <f>IFERROR(INDEX('Email Cleaner'!$B$2:$B$10001,MATCH(99,'Email Cleaner'!$I$2:$I$10001,0)),"")</f>
        <v/>
      </c>
    </row>
    <row r="101">
      <c r="A101">
        <f>IFERROR(INDEX('Email Cleaner'!$B$2:$B$10001,MATCH(100,'Email Cleaner'!$I$2:$I$10001,0)),"")</f>
        <v/>
      </c>
    </row>
    <row r="102">
      <c r="A102">
        <f>IFERROR(INDEX('Email Cleaner'!$B$2:$B$10001,MATCH(101,'Email Cleaner'!$I$2:$I$10001,0)),"")</f>
        <v/>
      </c>
    </row>
    <row r="103">
      <c r="A103">
        <f>IFERROR(INDEX('Email Cleaner'!$B$2:$B$10001,MATCH(102,'Email Cleaner'!$I$2:$I$10001,0)),"")</f>
        <v/>
      </c>
    </row>
    <row r="104">
      <c r="A104">
        <f>IFERROR(INDEX('Email Cleaner'!$B$2:$B$10001,MATCH(103,'Email Cleaner'!$I$2:$I$10001,0)),"")</f>
        <v/>
      </c>
    </row>
    <row r="105">
      <c r="A105">
        <f>IFERROR(INDEX('Email Cleaner'!$B$2:$B$10001,MATCH(104,'Email Cleaner'!$I$2:$I$10001,0)),"")</f>
        <v/>
      </c>
    </row>
    <row r="106">
      <c r="A106">
        <f>IFERROR(INDEX('Email Cleaner'!$B$2:$B$10001,MATCH(105,'Email Cleaner'!$I$2:$I$10001,0)),"")</f>
        <v/>
      </c>
    </row>
    <row r="107">
      <c r="A107">
        <f>IFERROR(INDEX('Email Cleaner'!$B$2:$B$10001,MATCH(106,'Email Cleaner'!$I$2:$I$10001,0)),"")</f>
        <v/>
      </c>
    </row>
    <row r="108">
      <c r="A108">
        <f>IFERROR(INDEX('Email Cleaner'!$B$2:$B$10001,MATCH(107,'Email Cleaner'!$I$2:$I$10001,0)),"")</f>
        <v/>
      </c>
    </row>
    <row r="109">
      <c r="A109">
        <f>IFERROR(INDEX('Email Cleaner'!$B$2:$B$10001,MATCH(108,'Email Cleaner'!$I$2:$I$10001,0)),"")</f>
        <v/>
      </c>
    </row>
    <row r="110">
      <c r="A110">
        <f>IFERROR(INDEX('Email Cleaner'!$B$2:$B$10001,MATCH(109,'Email Cleaner'!$I$2:$I$10001,0)),"")</f>
        <v/>
      </c>
    </row>
    <row r="111">
      <c r="A111">
        <f>IFERROR(INDEX('Email Cleaner'!$B$2:$B$10001,MATCH(110,'Email Cleaner'!$I$2:$I$10001,0)),"")</f>
        <v/>
      </c>
    </row>
    <row r="112">
      <c r="A112">
        <f>IFERROR(INDEX('Email Cleaner'!$B$2:$B$10001,MATCH(111,'Email Cleaner'!$I$2:$I$10001,0)),"")</f>
        <v/>
      </c>
    </row>
    <row r="113">
      <c r="A113">
        <f>IFERROR(INDEX('Email Cleaner'!$B$2:$B$10001,MATCH(112,'Email Cleaner'!$I$2:$I$10001,0)),"")</f>
        <v/>
      </c>
    </row>
    <row r="114">
      <c r="A114">
        <f>IFERROR(INDEX('Email Cleaner'!$B$2:$B$10001,MATCH(113,'Email Cleaner'!$I$2:$I$10001,0)),"")</f>
        <v/>
      </c>
    </row>
    <row r="115">
      <c r="A115">
        <f>IFERROR(INDEX('Email Cleaner'!$B$2:$B$10001,MATCH(114,'Email Cleaner'!$I$2:$I$10001,0)),"")</f>
        <v/>
      </c>
    </row>
    <row r="116">
      <c r="A116">
        <f>IFERROR(INDEX('Email Cleaner'!$B$2:$B$10001,MATCH(115,'Email Cleaner'!$I$2:$I$10001,0)),"")</f>
        <v/>
      </c>
    </row>
    <row r="117">
      <c r="A117">
        <f>IFERROR(INDEX('Email Cleaner'!$B$2:$B$10001,MATCH(116,'Email Cleaner'!$I$2:$I$10001,0)),"")</f>
        <v/>
      </c>
    </row>
    <row r="118">
      <c r="A118">
        <f>IFERROR(INDEX('Email Cleaner'!$B$2:$B$10001,MATCH(117,'Email Cleaner'!$I$2:$I$10001,0)),"")</f>
        <v/>
      </c>
    </row>
    <row r="119">
      <c r="A119">
        <f>IFERROR(INDEX('Email Cleaner'!$B$2:$B$10001,MATCH(118,'Email Cleaner'!$I$2:$I$10001,0)),"")</f>
        <v/>
      </c>
    </row>
    <row r="120">
      <c r="A120">
        <f>IFERROR(INDEX('Email Cleaner'!$B$2:$B$10001,MATCH(119,'Email Cleaner'!$I$2:$I$10001,0)),"")</f>
        <v/>
      </c>
    </row>
    <row r="121">
      <c r="A121">
        <f>IFERROR(INDEX('Email Cleaner'!$B$2:$B$10001,MATCH(120,'Email Cleaner'!$I$2:$I$10001,0)),"")</f>
        <v/>
      </c>
    </row>
    <row r="122">
      <c r="A122">
        <f>IFERROR(INDEX('Email Cleaner'!$B$2:$B$10001,MATCH(121,'Email Cleaner'!$I$2:$I$10001,0)),"")</f>
        <v/>
      </c>
    </row>
    <row r="123">
      <c r="A123">
        <f>IFERROR(INDEX('Email Cleaner'!$B$2:$B$10001,MATCH(122,'Email Cleaner'!$I$2:$I$10001,0)),"")</f>
        <v/>
      </c>
    </row>
    <row r="124">
      <c r="A124">
        <f>IFERROR(INDEX('Email Cleaner'!$B$2:$B$10001,MATCH(123,'Email Cleaner'!$I$2:$I$10001,0)),"")</f>
        <v/>
      </c>
    </row>
    <row r="125">
      <c r="A125">
        <f>IFERROR(INDEX('Email Cleaner'!$B$2:$B$10001,MATCH(124,'Email Cleaner'!$I$2:$I$10001,0)),"")</f>
        <v/>
      </c>
    </row>
    <row r="126">
      <c r="A126">
        <f>IFERROR(INDEX('Email Cleaner'!$B$2:$B$10001,MATCH(125,'Email Cleaner'!$I$2:$I$10001,0)),"")</f>
        <v/>
      </c>
    </row>
    <row r="127">
      <c r="A127">
        <f>IFERROR(INDEX('Email Cleaner'!$B$2:$B$10001,MATCH(126,'Email Cleaner'!$I$2:$I$10001,0)),"")</f>
        <v/>
      </c>
    </row>
    <row r="128">
      <c r="A128">
        <f>IFERROR(INDEX('Email Cleaner'!$B$2:$B$10001,MATCH(127,'Email Cleaner'!$I$2:$I$10001,0)),"")</f>
        <v/>
      </c>
    </row>
    <row r="129">
      <c r="A129">
        <f>IFERROR(INDEX('Email Cleaner'!$B$2:$B$10001,MATCH(128,'Email Cleaner'!$I$2:$I$10001,0)),"")</f>
        <v/>
      </c>
    </row>
    <row r="130">
      <c r="A130">
        <f>IFERROR(INDEX('Email Cleaner'!$B$2:$B$10001,MATCH(129,'Email Cleaner'!$I$2:$I$10001,0)),"")</f>
        <v/>
      </c>
    </row>
    <row r="131">
      <c r="A131">
        <f>IFERROR(INDEX('Email Cleaner'!$B$2:$B$10001,MATCH(130,'Email Cleaner'!$I$2:$I$10001,0)),"")</f>
        <v/>
      </c>
    </row>
    <row r="132">
      <c r="A132">
        <f>IFERROR(INDEX('Email Cleaner'!$B$2:$B$10001,MATCH(131,'Email Cleaner'!$I$2:$I$10001,0)),"")</f>
        <v/>
      </c>
    </row>
    <row r="133">
      <c r="A133">
        <f>IFERROR(INDEX('Email Cleaner'!$B$2:$B$10001,MATCH(132,'Email Cleaner'!$I$2:$I$10001,0)),"")</f>
        <v/>
      </c>
    </row>
    <row r="134">
      <c r="A134">
        <f>IFERROR(INDEX('Email Cleaner'!$B$2:$B$10001,MATCH(133,'Email Cleaner'!$I$2:$I$10001,0)),"")</f>
        <v/>
      </c>
    </row>
    <row r="135">
      <c r="A135">
        <f>IFERROR(INDEX('Email Cleaner'!$B$2:$B$10001,MATCH(134,'Email Cleaner'!$I$2:$I$10001,0)),"")</f>
        <v/>
      </c>
    </row>
    <row r="136">
      <c r="A136">
        <f>IFERROR(INDEX('Email Cleaner'!$B$2:$B$10001,MATCH(135,'Email Cleaner'!$I$2:$I$10001,0)),"")</f>
        <v/>
      </c>
    </row>
    <row r="137">
      <c r="A137">
        <f>IFERROR(INDEX('Email Cleaner'!$B$2:$B$10001,MATCH(136,'Email Cleaner'!$I$2:$I$10001,0)),"")</f>
        <v/>
      </c>
    </row>
    <row r="138">
      <c r="A138">
        <f>IFERROR(INDEX('Email Cleaner'!$B$2:$B$10001,MATCH(137,'Email Cleaner'!$I$2:$I$10001,0)),"")</f>
        <v/>
      </c>
    </row>
    <row r="139">
      <c r="A139">
        <f>IFERROR(INDEX('Email Cleaner'!$B$2:$B$10001,MATCH(138,'Email Cleaner'!$I$2:$I$10001,0)),"")</f>
        <v/>
      </c>
    </row>
    <row r="140">
      <c r="A140">
        <f>IFERROR(INDEX('Email Cleaner'!$B$2:$B$10001,MATCH(139,'Email Cleaner'!$I$2:$I$10001,0)),"")</f>
        <v/>
      </c>
    </row>
    <row r="141">
      <c r="A141">
        <f>IFERROR(INDEX('Email Cleaner'!$B$2:$B$10001,MATCH(140,'Email Cleaner'!$I$2:$I$10001,0)),"")</f>
        <v/>
      </c>
    </row>
    <row r="142">
      <c r="A142">
        <f>IFERROR(INDEX('Email Cleaner'!$B$2:$B$10001,MATCH(141,'Email Cleaner'!$I$2:$I$10001,0)),"")</f>
        <v/>
      </c>
    </row>
    <row r="143">
      <c r="A143">
        <f>IFERROR(INDEX('Email Cleaner'!$B$2:$B$10001,MATCH(142,'Email Cleaner'!$I$2:$I$10001,0)),"")</f>
        <v/>
      </c>
    </row>
    <row r="144">
      <c r="A144">
        <f>IFERROR(INDEX('Email Cleaner'!$B$2:$B$10001,MATCH(143,'Email Cleaner'!$I$2:$I$10001,0)),"")</f>
        <v/>
      </c>
    </row>
    <row r="145">
      <c r="A145">
        <f>IFERROR(INDEX('Email Cleaner'!$B$2:$B$10001,MATCH(144,'Email Cleaner'!$I$2:$I$10001,0)),"")</f>
        <v/>
      </c>
    </row>
    <row r="146">
      <c r="A146">
        <f>IFERROR(INDEX('Email Cleaner'!$B$2:$B$10001,MATCH(145,'Email Cleaner'!$I$2:$I$10001,0)),"")</f>
        <v/>
      </c>
    </row>
    <row r="147">
      <c r="A147">
        <f>IFERROR(INDEX('Email Cleaner'!$B$2:$B$10001,MATCH(146,'Email Cleaner'!$I$2:$I$10001,0)),"")</f>
        <v/>
      </c>
    </row>
    <row r="148">
      <c r="A148">
        <f>IFERROR(INDEX('Email Cleaner'!$B$2:$B$10001,MATCH(147,'Email Cleaner'!$I$2:$I$10001,0)),"")</f>
        <v/>
      </c>
    </row>
    <row r="149">
      <c r="A149">
        <f>IFERROR(INDEX('Email Cleaner'!$B$2:$B$10001,MATCH(148,'Email Cleaner'!$I$2:$I$10001,0)),"")</f>
        <v/>
      </c>
    </row>
    <row r="150">
      <c r="A150">
        <f>IFERROR(INDEX('Email Cleaner'!$B$2:$B$10001,MATCH(149,'Email Cleaner'!$I$2:$I$10001,0)),"")</f>
        <v/>
      </c>
    </row>
    <row r="151">
      <c r="A151">
        <f>IFERROR(INDEX('Email Cleaner'!$B$2:$B$10001,MATCH(150,'Email Cleaner'!$I$2:$I$10001,0)),"")</f>
        <v/>
      </c>
    </row>
    <row r="152">
      <c r="A152">
        <f>IFERROR(INDEX('Email Cleaner'!$B$2:$B$10001,MATCH(151,'Email Cleaner'!$I$2:$I$10001,0)),"")</f>
        <v/>
      </c>
    </row>
    <row r="153">
      <c r="A153">
        <f>IFERROR(INDEX('Email Cleaner'!$B$2:$B$10001,MATCH(152,'Email Cleaner'!$I$2:$I$10001,0)),"")</f>
        <v/>
      </c>
    </row>
    <row r="154">
      <c r="A154">
        <f>IFERROR(INDEX('Email Cleaner'!$B$2:$B$10001,MATCH(153,'Email Cleaner'!$I$2:$I$10001,0)),"")</f>
        <v/>
      </c>
    </row>
    <row r="155">
      <c r="A155">
        <f>IFERROR(INDEX('Email Cleaner'!$B$2:$B$10001,MATCH(154,'Email Cleaner'!$I$2:$I$10001,0)),"")</f>
        <v/>
      </c>
    </row>
    <row r="156">
      <c r="A156">
        <f>IFERROR(INDEX('Email Cleaner'!$B$2:$B$10001,MATCH(155,'Email Cleaner'!$I$2:$I$10001,0)),"")</f>
        <v/>
      </c>
    </row>
    <row r="157">
      <c r="A157">
        <f>IFERROR(INDEX('Email Cleaner'!$B$2:$B$10001,MATCH(156,'Email Cleaner'!$I$2:$I$10001,0)),"")</f>
        <v/>
      </c>
    </row>
    <row r="158">
      <c r="A158">
        <f>IFERROR(INDEX('Email Cleaner'!$B$2:$B$10001,MATCH(157,'Email Cleaner'!$I$2:$I$10001,0)),"")</f>
        <v/>
      </c>
    </row>
    <row r="159">
      <c r="A159">
        <f>IFERROR(INDEX('Email Cleaner'!$B$2:$B$10001,MATCH(158,'Email Cleaner'!$I$2:$I$10001,0)),"")</f>
        <v/>
      </c>
    </row>
    <row r="160">
      <c r="A160">
        <f>IFERROR(INDEX('Email Cleaner'!$B$2:$B$10001,MATCH(159,'Email Cleaner'!$I$2:$I$10001,0)),"")</f>
        <v/>
      </c>
    </row>
    <row r="161">
      <c r="A161">
        <f>IFERROR(INDEX('Email Cleaner'!$B$2:$B$10001,MATCH(160,'Email Cleaner'!$I$2:$I$10001,0)),"")</f>
        <v/>
      </c>
    </row>
    <row r="162">
      <c r="A162">
        <f>IFERROR(INDEX('Email Cleaner'!$B$2:$B$10001,MATCH(161,'Email Cleaner'!$I$2:$I$10001,0)),"")</f>
        <v/>
      </c>
    </row>
    <row r="163">
      <c r="A163">
        <f>IFERROR(INDEX('Email Cleaner'!$B$2:$B$10001,MATCH(162,'Email Cleaner'!$I$2:$I$10001,0)),"")</f>
        <v/>
      </c>
    </row>
    <row r="164">
      <c r="A164">
        <f>IFERROR(INDEX('Email Cleaner'!$B$2:$B$10001,MATCH(163,'Email Cleaner'!$I$2:$I$10001,0)),"")</f>
        <v/>
      </c>
    </row>
    <row r="165">
      <c r="A165">
        <f>IFERROR(INDEX('Email Cleaner'!$B$2:$B$10001,MATCH(164,'Email Cleaner'!$I$2:$I$10001,0)),"")</f>
        <v/>
      </c>
    </row>
    <row r="166">
      <c r="A166">
        <f>IFERROR(INDEX('Email Cleaner'!$B$2:$B$10001,MATCH(165,'Email Cleaner'!$I$2:$I$10001,0)),"")</f>
        <v/>
      </c>
    </row>
    <row r="167">
      <c r="A167">
        <f>IFERROR(INDEX('Email Cleaner'!$B$2:$B$10001,MATCH(166,'Email Cleaner'!$I$2:$I$10001,0)),"")</f>
        <v/>
      </c>
    </row>
    <row r="168">
      <c r="A168">
        <f>IFERROR(INDEX('Email Cleaner'!$B$2:$B$10001,MATCH(167,'Email Cleaner'!$I$2:$I$10001,0)),"")</f>
        <v/>
      </c>
    </row>
    <row r="169">
      <c r="A169">
        <f>IFERROR(INDEX('Email Cleaner'!$B$2:$B$10001,MATCH(168,'Email Cleaner'!$I$2:$I$10001,0)),"")</f>
        <v/>
      </c>
    </row>
    <row r="170">
      <c r="A170">
        <f>IFERROR(INDEX('Email Cleaner'!$B$2:$B$10001,MATCH(169,'Email Cleaner'!$I$2:$I$10001,0)),"")</f>
        <v/>
      </c>
    </row>
    <row r="171">
      <c r="A171">
        <f>IFERROR(INDEX('Email Cleaner'!$B$2:$B$10001,MATCH(170,'Email Cleaner'!$I$2:$I$10001,0)),"")</f>
        <v/>
      </c>
    </row>
    <row r="172">
      <c r="A172">
        <f>IFERROR(INDEX('Email Cleaner'!$B$2:$B$10001,MATCH(171,'Email Cleaner'!$I$2:$I$10001,0)),"")</f>
        <v/>
      </c>
    </row>
    <row r="173">
      <c r="A173">
        <f>IFERROR(INDEX('Email Cleaner'!$B$2:$B$10001,MATCH(172,'Email Cleaner'!$I$2:$I$10001,0)),"")</f>
        <v/>
      </c>
    </row>
    <row r="174">
      <c r="A174">
        <f>IFERROR(INDEX('Email Cleaner'!$B$2:$B$10001,MATCH(173,'Email Cleaner'!$I$2:$I$10001,0)),"")</f>
        <v/>
      </c>
    </row>
    <row r="175">
      <c r="A175">
        <f>IFERROR(INDEX('Email Cleaner'!$B$2:$B$10001,MATCH(174,'Email Cleaner'!$I$2:$I$10001,0)),"")</f>
        <v/>
      </c>
    </row>
    <row r="176">
      <c r="A176">
        <f>IFERROR(INDEX('Email Cleaner'!$B$2:$B$10001,MATCH(175,'Email Cleaner'!$I$2:$I$10001,0)),"")</f>
        <v/>
      </c>
    </row>
    <row r="177">
      <c r="A177">
        <f>IFERROR(INDEX('Email Cleaner'!$B$2:$B$10001,MATCH(176,'Email Cleaner'!$I$2:$I$10001,0)),"")</f>
        <v/>
      </c>
    </row>
    <row r="178">
      <c r="A178">
        <f>IFERROR(INDEX('Email Cleaner'!$B$2:$B$10001,MATCH(177,'Email Cleaner'!$I$2:$I$10001,0)),"")</f>
        <v/>
      </c>
    </row>
    <row r="179">
      <c r="A179">
        <f>IFERROR(INDEX('Email Cleaner'!$B$2:$B$10001,MATCH(178,'Email Cleaner'!$I$2:$I$10001,0)),"")</f>
        <v/>
      </c>
    </row>
    <row r="180">
      <c r="A180">
        <f>IFERROR(INDEX('Email Cleaner'!$B$2:$B$10001,MATCH(179,'Email Cleaner'!$I$2:$I$10001,0)),"")</f>
        <v/>
      </c>
    </row>
    <row r="181">
      <c r="A181">
        <f>IFERROR(INDEX('Email Cleaner'!$B$2:$B$10001,MATCH(180,'Email Cleaner'!$I$2:$I$10001,0)),"")</f>
        <v/>
      </c>
    </row>
    <row r="182">
      <c r="A182">
        <f>IFERROR(INDEX('Email Cleaner'!$B$2:$B$10001,MATCH(181,'Email Cleaner'!$I$2:$I$10001,0)),"")</f>
        <v/>
      </c>
    </row>
    <row r="183">
      <c r="A183">
        <f>IFERROR(INDEX('Email Cleaner'!$B$2:$B$10001,MATCH(182,'Email Cleaner'!$I$2:$I$10001,0)),"")</f>
        <v/>
      </c>
    </row>
    <row r="184">
      <c r="A184">
        <f>IFERROR(INDEX('Email Cleaner'!$B$2:$B$10001,MATCH(183,'Email Cleaner'!$I$2:$I$10001,0)),"")</f>
        <v/>
      </c>
    </row>
    <row r="185">
      <c r="A185">
        <f>IFERROR(INDEX('Email Cleaner'!$B$2:$B$10001,MATCH(184,'Email Cleaner'!$I$2:$I$10001,0)),"")</f>
        <v/>
      </c>
    </row>
    <row r="186">
      <c r="A186">
        <f>IFERROR(INDEX('Email Cleaner'!$B$2:$B$10001,MATCH(185,'Email Cleaner'!$I$2:$I$10001,0)),"")</f>
        <v/>
      </c>
    </row>
    <row r="187">
      <c r="A187">
        <f>IFERROR(INDEX('Email Cleaner'!$B$2:$B$10001,MATCH(186,'Email Cleaner'!$I$2:$I$10001,0)),"")</f>
        <v/>
      </c>
    </row>
    <row r="188">
      <c r="A188">
        <f>IFERROR(INDEX('Email Cleaner'!$B$2:$B$10001,MATCH(187,'Email Cleaner'!$I$2:$I$10001,0)),"")</f>
        <v/>
      </c>
    </row>
    <row r="189">
      <c r="A189">
        <f>IFERROR(INDEX('Email Cleaner'!$B$2:$B$10001,MATCH(188,'Email Cleaner'!$I$2:$I$10001,0)),"")</f>
        <v/>
      </c>
    </row>
    <row r="190">
      <c r="A190">
        <f>IFERROR(INDEX('Email Cleaner'!$B$2:$B$10001,MATCH(189,'Email Cleaner'!$I$2:$I$10001,0)),"")</f>
        <v/>
      </c>
    </row>
    <row r="191">
      <c r="A191">
        <f>IFERROR(INDEX('Email Cleaner'!$B$2:$B$10001,MATCH(190,'Email Cleaner'!$I$2:$I$10001,0)),"")</f>
        <v/>
      </c>
    </row>
    <row r="192">
      <c r="A192">
        <f>IFERROR(INDEX('Email Cleaner'!$B$2:$B$10001,MATCH(191,'Email Cleaner'!$I$2:$I$10001,0)),"")</f>
        <v/>
      </c>
    </row>
    <row r="193">
      <c r="A193">
        <f>IFERROR(INDEX('Email Cleaner'!$B$2:$B$10001,MATCH(192,'Email Cleaner'!$I$2:$I$10001,0)),"")</f>
        <v/>
      </c>
    </row>
    <row r="194">
      <c r="A194">
        <f>IFERROR(INDEX('Email Cleaner'!$B$2:$B$10001,MATCH(193,'Email Cleaner'!$I$2:$I$10001,0)),"")</f>
        <v/>
      </c>
    </row>
    <row r="195">
      <c r="A195">
        <f>IFERROR(INDEX('Email Cleaner'!$B$2:$B$10001,MATCH(194,'Email Cleaner'!$I$2:$I$10001,0)),"")</f>
        <v/>
      </c>
    </row>
    <row r="196">
      <c r="A196">
        <f>IFERROR(INDEX('Email Cleaner'!$B$2:$B$10001,MATCH(195,'Email Cleaner'!$I$2:$I$10001,0)),"")</f>
        <v/>
      </c>
    </row>
    <row r="197">
      <c r="A197">
        <f>IFERROR(INDEX('Email Cleaner'!$B$2:$B$10001,MATCH(196,'Email Cleaner'!$I$2:$I$10001,0)),"")</f>
        <v/>
      </c>
    </row>
    <row r="198">
      <c r="A198">
        <f>IFERROR(INDEX('Email Cleaner'!$B$2:$B$10001,MATCH(197,'Email Cleaner'!$I$2:$I$10001,0)),"")</f>
        <v/>
      </c>
    </row>
    <row r="199">
      <c r="A199">
        <f>IFERROR(INDEX('Email Cleaner'!$B$2:$B$10001,MATCH(198,'Email Cleaner'!$I$2:$I$10001,0)),"")</f>
        <v/>
      </c>
    </row>
    <row r="200">
      <c r="A200">
        <f>IFERROR(INDEX('Email Cleaner'!$B$2:$B$10001,MATCH(199,'Email Cleaner'!$I$2:$I$10001,0)),"")</f>
        <v/>
      </c>
    </row>
    <row r="201">
      <c r="A201">
        <f>IFERROR(INDEX('Email Cleaner'!$B$2:$B$10001,MATCH(200,'Email Cleaner'!$I$2:$I$10001,0)),"")</f>
        <v/>
      </c>
    </row>
    <row r="202">
      <c r="A202">
        <f>IFERROR(INDEX('Email Cleaner'!$B$2:$B$10001,MATCH(201,'Email Cleaner'!$I$2:$I$10001,0)),"")</f>
        <v/>
      </c>
    </row>
    <row r="203">
      <c r="A203">
        <f>IFERROR(INDEX('Email Cleaner'!$B$2:$B$10001,MATCH(202,'Email Cleaner'!$I$2:$I$10001,0)),"")</f>
        <v/>
      </c>
    </row>
    <row r="204">
      <c r="A204">
        <f>IFERROR(INDEX('Email Cleaner'!$B$2:$B$10001,MATCH(203,'Email Cleaner'!$I$2:$I$10001,0)),"")</f>
        <v/>
      </c>
    </row>
    <row r="205">
      <c r="A205">
        <f>IFERROR(INDEX('Email Cleaner'!$B$2:$B$10001,MATCH(204,'Email Cleaner'!$I$2:$I$10001,0)),"")</f>
        <v/>
      </c>
    </row>
    <row r="206">
      <c r="A206">
        <f>IFERROR(INDEX('Email Cleaner'!$B$2:$B$10001,MATCH(205,'Email Cleaner'!$I$2:$I$10001,0)),"")</f>
        <v/>
      </c>
    </row>
    <row r="207">
      <c r="A207">
        <f>IFERROR(INDEX('Email Cleaner'!$B$2:$B$10001,MATCH(206,'Email Cleaner'!$I$2:$I$10001,0)),"")</f>
        <v/>
      </c>
    </row>
    <row r="208">
      <c r="A208">
        <f>IFERROR(INDEX('Email Cleaner'!$B$2:$B$10001,MATCH(207,'Email Cleaner'!$I$2:$I$10001,0)),"")</f>
        <v/>
      </c>
    </row>
    <row r="209">
      <c r="A209">
        <f>IFERROR(INDEX('Email Cleaner'!$B$2:$B$10001,MATCH(208,'Email Cleaner'!$I$2:$I$10001,0)),"")</f>
        <v/>
      </c>
    </row>
    <row r="210">
      <c r="A210">
        <f>IFERROR(INDEX('Email Cleaner'!$B$2:$B$10001,MATCH(209,'Email Cleaner'!$I$2:$I$10001,0)),"")</f>
        <v/>
      </c>
    </row>
    <row r="211">
      <c r="A211">
        <f>IFERROR(INDEX('Email Cleaner'!$B$2:$B$10001,MATCH(210,'Email Cleaner'!$I$2:$I$10001,0)),"")</f>
        <v/>
      </c>
    </row>
    <row r="212">
      <c r="A212">
        <f>IFERROR(INDEX('Email Cleaner'!$B$2:$B$10001,MATCH(211,'Email Cleaner'!$I$2:$I$10001,0)),"")</f>
        <v/>
      </c>
    </row>
    <row r="213">
      <c r="A213">
        <f>IFERROR(INDEX('Email Cleaner'!$B$2:$B$10001,MATCH(212,'Email Cleaner'!$I$2:$I$10001,0)),"")</f>
        <v/>
      </c>
    </row>
    <row r="214">
      <c r="A214">
        <f>IFERROR(INDEX('Email Cleaner'!$B$2:$B$10001,MATCH(213,'Email Cleaner'!$I$2:$I$10001,0)),"")</f>
        <v/>
      </c>
    </row>
    <row r="215">
      <c r="A215">
        <f>IFERROR(INDEX('Email Cleaner'!$B$2:$B$10001,MATCH(214,'Email Cleaner'!$I$2:$I$10001,0)),"")</f>
        <v/>
      </c>
    </row>
    <row r="216">
      <c r="A216">
        <f>IFERROR(INDEX('Email Cleaner'!$B$2:$B$10001,MATCH(215,'Email Cleaner'!$I$2:$I$10001,0)),"")</f>
        <v/>
      </c>
    </row>
    <row r="217">
      <c r="A217">
        <f>IFERROR(INDEX('Email Cleaner'!$B$2:$B$10001,MATCH(216,'Email Cleaner'!$I$2:$I$10001,0)),"")</f>
        <v/>
      </c>
    </row>
    <row r="218">
      <c r="A218">
        <f>IFERROR(INDEX('Email Cleaner'!$B$2:$B$10001,MATCH(217,'Email Cleaner'!$I$2:$I$10001,0)),"")</f>
        <v/>
      </c>
    </row>
    <row r="219">
      <c r="A219">
        <f>IFERROR(INDEX('Email Cleaner'!$B$2:$B$10001,MATCH(218,'Email Cleaner'!$I$2:$I$10001,0)),"")</f>
        <v/>
      </c>
    </row>
    <row r="220">
      <c r="A220">
        <f>IFERROR(INDEX('Email Cleaner'!$B$2:$B$10001,MATCH(219,'Email Cleaner'!$I$2:$I$10001,0)),"")</f>
        <v/>
      </c>
    </row>
    <row r="221">
      <c r="A221">
        <f>IFERROR(INDEX('Email Cleaner'!$B$2:$B$10001,MATCH(220,'Email Cleaner'!$I$2:$I$10001,0)),"")</f>
        <v/>
      </c>
    </row>
    <row r="222">
      <c r="A222">
        <f>IFERROR(INDEX('Email Cleaner'!$B$2:$B$10001,MATCH(221,'Email Cleaner'!$I$2:$I$10001,0)),"")</f>
        <v/>
      </c>
    </row>
    <row r="223">
      <c r="A223">
        <f>IFERROR(INDEX('Email Cleaner'!$B$2:$B$10001,MATCH(222,'Email Cleaner'!$I$2:$I$10001,0)),"")</f>
        <v/>
      </c>
    </row>
    <row r="224">
      <c r="A224">
        <f>IFERROR(INDEX('Email Cleaner'!$B$2:$B$10001,MATCH(223,'Email Cleaner'!$I$2:$I$10001,0)),"")</f>
        <v/>
      </c>
    </row>
    <row r="225">
      <c r="A225">
        <f>IFERROR(INDEX('Email Cleaner'!$B$2:$B$10001,MATCH(224,'Email Cleaner'!$I$2:$I$10001,0)),"")</f>
        <v/>
      </c>
    </row>
    <row r="226">
      <c r="A226">
        <f>IFERROR(INDEX('Email Cleaner'!$B$2:$B$10001,MATCH(225,'Email Cleaner'!$I$2:$I$10001,0)),"")</f>
        <v/>
      </c>
    </row>
    <row r="227">
      <c r="A227">
        <f>IFERROR(INDEX('Email Cleaner'!$B$2:$B$10001,MATCH(226,'Email Cleaner'!$I$2:$I$10001,0)),"")</f>
        <v/>
      </c>
    </row>
    <row r="228">
      <c r="A228">
        <f>IFERROR(INDEX('Email Cleaner'!$B$2:$B$10001,MATCH(227,'Email Cleaner'!$I$2:$I$10001,0)),"")</f>
        <v/>
      </c>
    </row>
    <row r="229">
      <c r="A229">
        <f>IFERROR(INDEX('Email Cleaner'!$B$2:$B$10001,MATCH(228,'Email Cleaner'!$I$2:$I$10001,0)),"")</f>
        <v/>
      </c>
    </row>
    <row r="230">
      <c r="A230">
        <f>IFERROR(INDEX('Email Cleaner'!$B$2:$B$10001,MATCH(229,'Email Cleaner'!$I$2:$I$10001,0)),"")</f>
        <v/>
      </c>
    </row>
    <row r="231">
      <c r="A231">
        <f>IFERROR(INDEX('Email Cleaner'!$B$2:$B$10001,MATCH(230,'Email Cleaner'!$I$2:$I$10001,0)),"")</f>
        <v/>
      </c>
    </row>
    <row r="232">
      <c r="A232">
        <f>IFERROR(INDEX('Email Cleaner'!$B$2:$B$10001,MATCH(231,'Email Cleaner'!$I$2:$I$10001,0)),"")</f>
        <v/>
      </c>
    </row>
    <row r="233">
      <c r="A233">
        <f>IFERROR(INDEX('Email Cleaner'!$B$2:$B$10001,MATCH(232,'Email Cleaner'!$I$2:$I$10001,0)),"")</f>
        <v/>
      </c>
    </row>
    <row r="234">
      <c r="A234">
        <f>IFERROR(INDEX('Email Cleaner'!$B$2:$B$10001,MATCH(233,'Email Cleaner'!$I$2:$I$10001,0)),"")</f>
        <v/>
      </c>
    </row>
    <row r="235">
      <c r="A235">
        <f>IFERROR(INDEX('Email Cleaner'!$B$2:$B$10001,MATCH(234,'Email Cleaner'!$I$2:$I$10001,0)),"")</f>
        <v/>
      </c>
    </row>
    <row r="236">
      <c r="A236">
        <f>IFERROR(INDEX('Email Cleaner'!$B$2:$B$10001,MATCH(235,'Email Cleaner'!$I$2:$I$10001,0)),"")</f>
        <v/>
      </c>
    </row>
    <row r="237">
      <c r="A237">
        <f>IFERROR(INDEX('Email Cleaner'!$B$2:$B$10001,MATCH(236,'Email Cleaner'!$I$2:$I$10001,0)),"")</f>
        <v/>
      </c>
    </row>
    <row r="238">
      <c r="A238">
        <f>IFERROR(INDEX('Email Cleaner'!$B$2:$B$10001,MATCH(237,'Email Cleaner'!$I$2:$I$10001,0)),"")</f>
        <v/>
      </c>
    </row>
    <row r="239">
      <c r="A239">
        <f>IFERROR(INDEX('Email Cleaner'!$B$2:$B$10001,MATCH(238,'Email Cleaner'!$I$2:$I$10001,0)),"")</f>
        <v/>
      </c>
    </row>
    <row r="240">
      <c r="A240">
        <f>IFERROR(INDEX('Email Cleaner'!$B$2:$B$10001,MATCH(239,'Email Cleaner'!$I$2:$I$10001,0)),"")</f>
        <v/>
      </c>
    </row>
    <row r="241">
      <c r="A241">
        <f>IFERROR(INDEX('Email Cleaner'!$B$2:$B$10001,MATCH(240,'Email Cleaner'!$I$2:$I$10001,0)),"")</f>
        <v/>
      </c>
    </row>
    <row r="242">
      <c r="A242">
        <f>IFERROR(INDEX('Email Cleaner'!$B$2:$B$10001,MATCH(241,'Email Cleaner'!$I$2:$I$10001,0)),"")</f>
        <v/>
      </c>
    </row>
    <row r="243">
      <c r="A243">
        <f>IFERROR(INDEX('Email Cleaner'!$B$2:$B$10001,MATCH(242,'Email Cleaner'!$I$2:$I$10001,0)),"")</f>
        <v/>
      </c>
    </row>
    <row r="244">
      <c r="A244">
        <f>IFERROR(INDEX('Email Cleaner'!$B$2:$B$10001,MATCH(243,'Email Cleaner'!$I$2:$I$10001,0)),"")</f>
        <v/>
      </c>
    </row>
    <row r="245">
      <c r="A245">
        <f>IFERROR(INDEX('Email Cleaner'!$B$2:$B$10001,MATCH(244,'Email Cleaner'!$I$2:$I$10001,0)),"")</f>
        <v/>
      </c>
    </row>
    <row r="246">
      <c r="A246">
        <f>IFERROR(INDEX('Email Cleaner'!$B$2:$B$10001,MATCH(245,'Email Cleaner'!$I$2:$I$10001,0)),"")</f>
        <v/>
      </c>
    </row>
    <row r="247">
      <c r="A247">
        <f>IFERROR(INDEX('Email Cleaner'!$B$2:$B$10001,MATCH(246,'Email Cleaner'!$I$2:$I$10001,0)),"")</f>
        <v/>
      </c>
    </row>
    <row r="248">
      <c r="A248">
        <f>IFERROR(INDEX('Email Cleaner'!$B$2:$B$10001,MATCH(247,'Email Cleaner'!$I$2:$I$10001,0)),"")</f>
        <v/>
      </c>
    </row>
    <row r="249">
      <c r="A249">
        <f>IFERROR(INDEX('Email Cleaner'!$B$2:$B$10001,MATCH(248,'Email Cleaner'!$I$2:$I$10001,0)),"")</f>
        <v/>
      </c>
    </row>
    <row r="250">
      <c r="A250">
        <f>IFERROR(INDEX('Email Cleaner'!$B$2:$B$10001,MATCH(249,'Email Cleaner'!$I$2:$I$10001,0)),"")</f>
        <v/>
      </c>
    </row>
    <row r="251">
      <c r="A251">
        <f>IFERROR(INDEX('Email Cleaner'!$B$2:$B$10001,MATCH(250,'Email Cleaner'!$I$2:$I$10001,0)),"")</f>
        <v/>
      </c>
    </row>
    <row r="252">
      <c r="A252">
        <f>IFERROR(INDEX('Email Cleaner'!$B$2:$B$10001,MATCH(251,'Email Cleaner'!$I$2:$I$10001,0)),"")</f>
        <v/>
      </c>
    </row>
    <row r="253">
      <c r="A253">
        <f>IFERROR(INDEX('Email Cleaner'!$B$2:$B$10001,MATCH(252,'Email Cleaner'!$I$2:$I$10001,0)),"")</f>
        <v/>
      </c>
    </row>
    <row r="254">
      <c r="A254">
        <f>IFERROR(INDEX('Email Cleaner'!$B$2:$B$10001,MATCH(253,'Email Cleaner'!$I$2:$I$10001,0)),"")</f>
        <v/>
      </c>
    </row>
    <row r="255">
      <c r="A255">
        <f>IFERROR(INDEX('Email Cleaner'!$B$2:$B$10001,MATCH(254,'Email Cleaner'!$I$2:$I$10001,0)),"")</f>
        <v/>
      </c>
    </row>
    <row r="256">
      <c r="A256">
        <f>IFERROR(INDEX('Email Cleaner'!$B$2:$B$10001,MATCH(255,'Email Cleaner'!$I$2:$I$10001,0)),"")</f>
        <v/>
      </c>
    </row>
    <row r="257">
      <c r="A257">
        <f>IFERROR(INDEX('Email Cleaner'!$B$2:$B$10001,MATCH(256,'Email Cleaner'!$I$2:$I$10001,0)),"")</f>
        <v/>
      </c>
    </row>
    <row r="258">
      <c r="A258">
        <f>IFERROR(INDEX('Email Cleaner'!$B$2:$B$10001,MATCH(257,'Email Cleaner'!$I$2:$I$10001,0)),"")</f>
        <v/>
      </c>
    </row>
    <row r="259">
      <c r="A259">
        <f>IFERROR(INDEX('Email Cleaner'!$B$2:$B$10001,MATCH(258,'Email Cleaner'!$I$2:$I$10001,0)),"")</f>
        <v/>
      </c>
    </row>
    <row r="260">
      <c r="A260">
        <f>IFERROR(INDEX('Email Cleaner'!$B$2:$B$10001,MATCH(259,'Email Cleaner'!$I$2:$I$10001,0)),"")</f>
        <v/>
      </c>
    </row>
    <row r="261">
      <c r="A261">
        <f>IFERROR(INDEX('Email Cleaner'!$B$2:$B$10001,MATCH(260,'Email Cleaner'!$I$2:$I$10001,0)),"")</f>
        <v/>
      </c>
    </row>
    <row r="262">
      <c r="A262">
        <f>IFERROR(INDEX('Email Cleaner'!$B$2:$B$10001,MATCH(261,'Email Cleaner'!$I$2:$I$10001,0)),"")</f>
        <v/>
      </c>
    </row>
    <row r="263">
      <c r="A263">
        <f>IFERROR(INDEX('Email Cleaner'!$B$2:$B$10001,MATCH(262,'Email Cleaner'!$I$2:$I$10001,0)),"")</f>
        <v/>
      </c>
    </row>
    <row r="264">
      <c r="A264">
        <f>IFERROR(INDEX('Email Cleaner'!$B$2:$B$10001,MATCH(263,'Email Cleaner'!$I$2:$I$10001,0)),"")</f>
        <v/>
      </c>
    </row>
    <row r="265">
      <c r="A265">
        <f>IFERROR(INDEX('Email Cleaner'!$B$2:$B$10001,MATCH(264,'Email Cleaner'!$I$2:$I$10001,0)),"")</f>
        <v/>
      </c>
    </row>
    <row r="266">
      <c r="A266">
        <f>IFERROR(INDEX('Email Cleaner'!$B$2:$B$10001,MATCH(265,'Email Cleaner'!$I$2:$I$10001,0)),"")</f>
        <v/>
      </c>
    </row>
    <row r="267">
      <c r="A267">
        <f>IFERROR(INDEX('Email Cleaner'!$B$2:$B$10001,MATCH(266,'Email Cleaner'!$I$2:$I$10001,0)),"")</f>
        <v/>
      </c>
    </row>
    <row r="268">
      <c r="A268">
        <f>IFERROR(INDEX('Email Cleaner'!$B$2:$B$10001,MATCH(267,'Email Cleaner'!$I$2:$I$10001,0)),"")</f>
        <v/>
      </c>
    </row>
    <row r="269">
      <c r="A269">
        <f>IFERROR(INDEX('Email Cleaner'!$B$2:$B$10001,MATCH(268,'Email Cleaner'!$I$2:$I$10001,0)),"")</f>
        <v/>
      </c>
    </row>
    <row r="270">
      <c r="A270">
        <f>IFERROR(INDEX('Email Cleaner'!$B$2:$B$10001,MATCH(269,'Email Cleaner'!$I$2:$I$10001,0)),"")</f>
        <v/>
      </c>
    </row>
    <row r="271">
      <c r="A271">
        <f>IFERROR(INDEX('Email Cleaner'!$B$2:$B$10001,MATCH(270,'Email Cleaner'!$I$2:$I$10001,0)),"")</f>
        <v/>
      </c>
    </row>
    <row r="272">
      <c r="A272">
        <f>IFERROR(INDEX('Email Cleaner'!$B$2:$B$10001,MATCH(271,'Email Cleaner'!$I$2:$I$10001,0)),"")</f>
        <v/>
      </c>
    </row>
    <row r="273">
      <c r="A273">
        <f>IFERROR(INDEX('Email Cleaner'!$B$2:$B$10001,MATCH(272,'Email Cleaner'!$I$2:$I$10001,0)),"")</f>
        <v/>
      </c>
    </row>
    <row r="274">
      <c r="A274">
        <f>IFERROR(INDEX('Email Cleaner'!$B$2:$B$10001,MATCH(273,'Email Cleaner'!$I$2:$I$10001,0)),"")</f>
        <v/>
      </c>
    </row>
    <row r="275">
      <c r="A275">
        <f>IFERROR(INDEX('Email Cleaner'!$B$2:$B$10001,MATCH(274,'Email Cleaner'!$I$2:$I$10001,0)),"")</f>
        <v/>
      </c>
    </row>
    <row r="276">
      <c r="A276">
        <f>IFERROR(INDEX('Email Cleaner'!$B$2:$B$10001,MATCH(275,'Email Cleaner'!$I$2:$I$10001,0)),"")</f>
        <v/>
      </c>
    </row>
    <row r="277">
      <c r="A277">
        <f>IFERROR(INDEX('Email Cleaner'!$B$2:$B$10001,MATCH(276,'Email Cleaner'!$I$2:$I$10001,0)),"")</f>
        <v/>
      </c>
    </row>
    <row r="278">
      <c r="A278">
        <f>IFERROR(INDEX('Email Cleaner'!$B$2:$B$10001,MATCH(277,'Email Cleaner'!$I$2:$I$10001,0)),"")</f>
        <v/>
      </c>
    </row>
    <row r="279">
      <c r="A279">
        <f>IFERROR(INDEX('Email Cleaner'!$B$2:$B$10001,MATCH(278,'Email Cleaner'!$I$2:$I$10001,0)),"")</f>
        <v/>
      </c>
    </row>
    <row r="280">
      <c r="A280">
        <f>IFERROR(INDEX('Email Cleaner'!$B$2:$B$10001,MATCH(279,'Email Cleaner'!$I$2:$I$10001,0)),"")</f>
        <v/>
      </c>
    </row>
    <row r="281">
      <c r="A281">
        <f>IFERROR(INDEX('Email Cleaner'!$B$2:$B$10001,MATCH(280,'Email Cleaner'!$I$2:$I$10001,0)),"")</f>
        <v/>
      </c>
    </row>
    <row r="282">
      <c r="A282">
        <f>IFERROR(INDEX('Email Cleaner'!$B$2:$B$10001,MATCH(281,'Email Cleaner'!$I$2:$I$10001,0)),"")</f>
        <v/>
      </c>
    </row>
    <row r="283">
      <c r="A283">
        <f>IFERROR(INDEX('Email Cleaner'!$B$2:$B$10001,MATCH(282,'Email Cleaner'!$I$2:$I$10001,0)),"")</f>
        <v/>
      </c>
    </row>
    <row r="284">
      <c r="A284">
        <f>IFERROR(INDEX('Email Cleaner'!$B$2:$B$10001,MATCH(283,'Email Cleaner'!$I$2:$I$10001,0)),"")</f>
        <v/>
      </c>
    </row>
    <row r="285">
      <c r="A285">
        <f>IFERROR(INDEX('Email Cleaner'!$B$2:$B$10001,MATCH(284,'Email Cleaner'!$I$2:$I$10001,0)),"")</f>
        <v/>
      </c>
    </row>
    <row r="286">
      <c r="A286">
        <f>IFERROR(INDEX('Email Cleaner'!$B$2:$B$10001,MATCH(285,'Email Cleaner'!$I$2:$I$10001,0)),"")</f>
        <v/>
      </c>
    </row>
    <row r="287">
      <c r="A287">
        <f>IFERROR(INDEX('Email Cleaner'!$B$2:$B$10001,MATCH(286,'Email Cleaner'!$I$2:$I$10001,0)),"")</f>
        <v/>
      </c>
    </row>
    <row r="288">
      <c r="A288">
        <f>IFERROR(INDEX('Email Cleaner'!$B$2:$B$10001,MATCH(287,'Email Cleaner'!$I$2:$I$10001,0)),"")</f>
        <v/>
      </c>
    </row>
    <row r="289">
      <c r="A289">
        <f>IFERROR(INDEX('Email Cleaner'!$B$2:$B$10001,MATCH(288,'Email Cleaner'!$I$2:$I$10001,0)),"")</f>
        <v/>
      </c>
    </row>
    <row r="290">
      <c r="A290">
        <f>IFERROR(INDEX('Email Cleaner'!$B$2:$B$10001,MATCH(289,'Email Cleaner'!$I$2:$I$10001,0)),"")</f>
        <v/>
      </c>
    </row>
    <row r="291">
      <c r="A291">
        <f>IFERROR(INDEX('Email Cleaner'!$B$2:$B$10001,MATCH(290,'Email Cleaner'!$I$2:$I$10001,0)),"")</f>
        <v/>
      </c>
    </row>
    <row r="292">
      <c r="A292">
        <f>IFERROR(INDEX('Email Cleaner'!$B$2:$B$10001,MATCH(291,'Email Cleaner'!$I$2:$I$10001,0)),"")</f>
        <v/>
      </c>
    </row>
    <row r="293">
      <c r="A293">
        <f>IFERROR(INDEX('Email Cleaner'!$B$2:$B$10001,MATCH(292,'Email Cleaner'!$I$2:$I$10001,0)),"")</f>
        <v/>
      </c>
    </row>
    <row r="294">
      <c r="A294">
        <f>IFERROR(INDEX('Email Cleaner'!$B$2:$B$10001,MATCH(293,'Email Cleaner'!$I$2:$I$10001,0)),"")</f>
        <v/>
      </c>
    </row>
    <row r="295">
      <c r="A295">
        <f>IFERROR(INDEX('Email Cleaner'!$B$2:$B$10001,MATCH(294,'Email Cleaner'!$I$2:$I$10001,0)),"")</f>
        <v/>
      </c>
    </row>
    <row r="296">
      <c r="A296">
        <f>IFERROR(INDEX('Email Cleaner'!$B$2:$B$10001,MATCH(295,'Email Cleaner'!$I$2:$I$10001,0)),"")</f>
        <v/>
      </c>
    </row>
    <row r="297">
      <c r="A297">
        <f>IFERROR(INDEX('Email Cleaner'!$B$2:$B$10001,MATCH(296,'Email Cleaner'!$I$2:$I$10001,0)),"")</f>
        <v/>
      </c>
    </row>
    <row r="298">
      <c r="A298">
        <f>IFERROR(INDEX('Email Cleaner'!$B$2:$B$10001,MATCH(297,'Email Cleaner'!$I$2:$I$10001,0)),"")</f>
        <v/>
      </c>
    </row>
    <row r="299">
      <c r="A299">
        <f>IFERROR(INDEX('Email Cleaner'!$B$2:$B$10001,MATCH(298,'Email Cleaner'!$I$2:$I$10001,0)),"")</f>
        <v/>
      </c>
    </row>
    <row r="300">
      <c r="A300">
        <f>IFERROR(INDEX('Email Cleaner'!$B$2:$B$10001,MATCH(299,'Email Cleaner'!$I$2:$I$10001,0)),"")</f>
        <v/>
      </c>
    </row>
    <row r="301">
      <c r="A301">
        <f>IFERROR(INDEX('Email Cleaner'!$B$2:$B$10001,MATCH(300,'Email Cleaner'!$I$2:$I$10001,0)),"")</f>
        <v/>
      </c>
    </row>
    <row r="302">
      <c r="A302">
        <f>IFERROR(INDEX('Email Cleaner'!$B$2:$B$10001,MATCH(301,'Email Cleaner'!$I$2:$I$10001,0)),"")</f>
        <v/>
      </c>
    </row>
    <row r="303">
      <c r="A303">
        <f>IFERROR(INDEX('Email Cleaner'!$B$2:$B$10001,MATCH(302,'Email Cleaner'!$I$2:$I$10001,0)),"")</f>
        <v/>
      </c>
    </row>
    <row r="304">
      <c r="A304">
        <f>IFERROR(INDEX('Email Cleaner'!$B$2:$B$10001,MATCH(303,'Email Cleaner'!$I$2:$I$10001,0)),"")</f>
        <v/>
      </c>
    </row>
    <row r="305">
      <c r="A305">
        <f>IFERROR(INDEX('Email Cleaner'!$B$2:$B$10001,MATCH(304,'Email Cleaner'!$I$2:$I$10001,0)),"")</f>
        <v/>
      </c>
    </row>
    <row r="306">
      <c r="A306">
        <f>IFERROR(INDEX('Email Cleaner'!$B$2:$B$10001,MATCH(305,'Email Cleaner'!$I$2:$I$10001,0)),"")</f>
        <v/>
      </c>
    </row>
    <row r="307">
      <c r="A307">
        <f>IFERROR(INDEX('Email Cleaner'!$B$2:$B$10001,MATCH(306,'Email Cleaner'!$I$2:$I$10001,0)),"")</f>
        <v/>
      </c>
    </row>
    <row r="308">
      <c r="A308">
        <f>IFERROR(INDEX('Email Cleaner'!$B$2:$B$10001,MATCH(307,'Email Cleaner'!$I$2:$I$10001,0)),"")</f>
        <v/>
      </c>
    </row>
    <row r="309">
      <c r="A309">
        <f>IFERROR(INDEX('Email Cleaner'!$B$2:$B$10001,MATCH(308,'Email Cleaner'!$I$2:$I$10001,0)),"")</f>
        <v/>
      </c>
    </row>
    <row r="310">
      <c r="A310">
        <f>IFERROR(INDEX('Email Cleaner'!$B$2:$B$10001,MATCH(309,'Email Cleaner'!$I$2:$I$10001,0)),"")</f>
        <v/>
      </c>
    </row>
    <row r="311">
      <c r="A311">
        <f>IFERROR(INDEX('Email Cleaner'!$B$2:$B$10001,MATCH(310,'Email Cleaner'!$I$2:$I$10001,0)),"")</f>
        <v/>
      </c>
    </row>
    <row r="312">
      <c r="A312">
        <f>IFERROR(INDEX('Email Cleaner'!$B$2:$B$10001,MATCH(311,'Email Cleaner'!$I$2:$I$10001,0)),"")</f>
        <v/>
      </c>
    </row>
    <row r="313">
      <c r="A313">
        <f>IFERROR(INDEX('Email Cleaner'!$B$2:$B$10001,MATCH(312,'Email Cleaner'!$I$2:$I$10001,0)),"")</f>
        <v/>
      </c>
    </row>
    <row r="314">
      <c r="A314">
        <f>IFERROR(INDEX('Email Cleaner'!$B$2:$B$10001,MATCH(313,'Email Cleaner'!$I$2:$I$10001,0)),"")</f>
        <v/>
      </c>
    </row>
    <row r="315">
      <c r="A315">
        <f>IFERROR(INDEX('Email Cleaner'!$B$2:$B$10001,MATCH(314,'Email Cleaner'!$I$2:$I$10001,0)),"")</f>
        <v/>
      </c>
    </row>
    <row r="316">
      <c r="A316">
        <f>IFERROR(INDEX('Email Cleaner'!$B$2:$B$10001,MATCH(315,'Email Cleaner'!$I$2:$I$10001,0)),"")</f>
        <v/>
      </c>
    </row>
    <row r="317">
      <c r="A317">
        <f>IFERROR(INDEX('Email Cleaner'!$B$2:$B$10001,MATCH(316,'Email Cleaner'!$I$2:$I$10001,0)),"")</f>
        <v/>
      </c>
    </row>
    <row r="318">
      <c r="A318">
        <f>IFERROR(INDEX('Email Cleaner'!$B$2:$B$10001,MATCH(317,'Email Cleaner'!$I$2:$I$10001,0)),"")</f>
        <v/>
      </c>
    </row>
    <row r="319">
      <c r="A319">
        <f>IFERROR(INDEX('Email Cleaner'!$B$2:$B$10001,MATCH(318,'Email Cleaner'!$I$2:$I$10001,0)),"")</f>
        <v/>
      </c>
    </row>
    <row r="320">
      <c r="A320">
        <f>IFERROR(INDEX('Email Cleaner'!$B$2:$B$10001,MATCH(319,'Email Cleaner'!$I$2:$I$10001,0)),"")</f>
        <v/>
      </c>
    </row>
    <row r="321">
      <c r="A321">
        <f>IFERROR(INDEX('Email Cleaner'!$B$2:$B$10001,MATCH(320,'Email Cleaner'!$I$2:$I$10001,0)),"")</f>
        <v/>
      </c>
    </row>
    <row r="322">
      <c r="A322">
        <f>IFERROR(INDEX('Email Cleaner'!$B$2:$B$10001,MATCH(321,'Email Cleaner'!$I$2:$I$10001,0)),"")</f>
        <v/>
      </c>
    </row>
    <row r="323">
      <c r="A323">
        <f>IFERROR(INDEX('Email Cleaner'!$B$2:$B$10001,MATCH(322,'Email Cleaner'!$I$2:$I$10001,0)),"")</f>
        <v/>
      </c>
    </row>
    <row r="324">
      <c r="A324">
        <f>IFERROR(INDEX('Email Cleaner'!$B$2:$B$10001,MATCH(323,'Email Cleaner'!$I$2:$I$10001,0)),"")</f>
        <v/>
      </c>
    </row>
    <row r="325">
      <c r="A325">
        <f>IFERROR(INDEX('Email Cleaner'!$B$2:$B$10001,MATCH(324,'Email Cleaner'!$I$2:$I$10001,0)),"")</f>
        <v/>
      </c>
    </row>
    <row r="326">
      <c r="A326">
        <f>IFERROR(INDEX('Email Cleaner'!$B$2:$B$10001,MATCH(325,'Email Cleaner'!$I$2:$I$10001,0)),"")</f>
        <v/>
      </c>
    </row>
    <row r="327">
      <c r="A327">
        <f>IFERROR(INDEX('Email Cleaner'!$B$2:$B$10001,MATCH(326,'Email Cleaner'!$I$2:$I$10001,0)),"")</f>
        <v/>
      </c>
    </row>
    <row r="328">
      <c r="A328">
        <f>IFERROR(INDEX('Email Cleaner'!$B$2:$B$10001,MATCH(327,'Email Cleaner'!$I$2:$I$10001,0)),"")</f>
        <v/>
      </c>
    </row>
    <row r="329">
      <c r="A329">
        <f>IFERROR(INDEX('Email Cleaner'!$B$2:$B$10001,MATCH(328,'Email Cleaner'!$I$2:$I$10001,0)),"")</f>
        <v/>
      </c>
    </row>
    <row r="330">
      <c r="A330">
        <f>IFERROR(INDEX('Email Cleaner'!$B$2:$B$10001,MATCH(329,'Email Cleaner'!$I$2:$I$10001,0)),"")</f>
        <v/>
      </c>
    </row>
    <row r="331">
      <c r="A331">
        <f>IFERROR(INDEX('Email Cleaner'!$B$2:$B$10001,MATCH(330,'Email Cleaner'!$I$2:$I$10001,0)),"")</f>
        <v/>
      </c>
    </row>
    <row r="332">
      <c r="A332">
        <f>IFERROR(INDEX('Email Cleaner'!$B$2:$B$10001,MATCH(331,'Email Cleaner'!$I$2:$I$10001,0)),"")</f>
        <v/>
      </c>
    </row>
    <row r="333">
      <c r="A333">
        <f>IFERROR(INDEX('Email Cleaner'!$B$2:$B$10001,MATCH(332,'Email Cleaner'!$I$2:$I$10001,0)),"")</f>
        <v/>
      </c>
    </row>
    <row r="334">
      <c r="A334">
        <f>IFERROR(INDEX('Email Cleaner'!$B$2:$B$10001,MATCH(333,'Email Cleaner'!$I$2:$I$10001,0)),"")</f>
        <v/>
      </c>
    </row>
    <row r="335">
      <c r="A335">
        <f>IFERROR(INDEX('Email Cleaner'!$B$2:$B$10001,MATCH(334,'Email Cleaner'!$I$2:$I$10001,0)),"")</f>
        <v/>
      </c>
    </row>
    <row r="336">
      <c r="A336">
        <f>IFERROR(INDEX('Email Cleaner'!$B$2:$B$10001,MATCH(335,'Email Cleaner'!$I$2:$I$10001,0)),"")</f>
        <v/>
      </c>
    </row>
    <row r="337">
      <c r="A337">
        <f>IFERROR(INDEX('Email Cleaner'!$B$2:$B$10001,MATCH(336,'Email Cleaner'!$I$2:$I$10001,0)),"")</f>
        <v/>
      </c>
    </row>
    <row r="338">
      <c r="A338">
        <f>IFERROR(INDEX('Email Cleaner'!$B$2:$B$10001,MATCH(337,'Email Cleaner'!$I$2:$I$10001,0)),"")</f>
        <v/>
      </c>
    </row>
    <row r="339">
      <c r="A339">
        <f>IFERROR(INDEX('Email Cleaner'!$B$2:$B$10001,MATCH(338,'Email Cleaner'!$I$2:$I$10001,0)),"")</f>
        <v/>
      </c>
    </row>
    <row r="340">
      <c r="A340">
        <f>IFERROR(INDEX('Email Cleaner'!$B$2:$B$10001,MATCH(339,'Email Cleaner'!$I$2:$I$10001,0)),"")</f>
        <v/>
      </c>
    </row>
    <row r="341">
      <c r="A341">
        <f>IFERROR(INDEX('Email Cleaner'!$B$2:$B$10001,MATCH(340,'Email Cleaner'!$I$2:$I$10001,0)),"")</f>
        <v/>
      </c>
    </row>
    <row r="342">
      <c r="A342">
        <f>IFERROR(INDEX('Email Cleaner'!$B$2:$B$10001,MATCH(341,'Email Cleaner'!$I$2:$I$10001,0)),"")</f>
        <v/>
      </c>
    </row>
    <row r="343">
      <c r="A343">
        <f>IFERROR(INDEX('Email Cleaner'!$B$2:$B$10001,MATCH(342,'Email Cleaner'!$I$2:$I$10001,0)),"")</f>
        <v/>
      </c>
    </row>
    <row r="344">
      <c r="A344">
        <f>IFERROR(INDEX('Email Cleaner'!$B$2:$B$10001,MATCH(343,'Email Cleaner'!$I$2:$I$10001,0)),"")</f>
        <v/>
      </c>
    </row>
    <row r="345">
      <c r="A345">
        <f>IFERROR(INDEX('Email Cleaner'!$B$2:$B$10001,MATCH(344,'Email Cleaner'!$I$2:$I$10001,0)),"")</f>
        <v/>
      </c>
    </row>
    <row r="346">
      <c r="A346">
        <f>IFERROR(INDEX('Email Cleaner'!$B$2:$B$10001,MATCH(345,'Email Cleaner'!$I$2:$I$10001,0)),"")</f>
        <v/>
      </c>
    </row>
    <row r="347">
      <c r="A347">
        <f>IFERROR(INDEX('Email Cleaner'!$B$2:$B$10001,MATCH(346,'Email Cleaner'!$I$2:$I$10001,0)),"")</f>
        <v/>
      </c>
    </row>
    <row r="348">
      <c r="A348">
        <f>IFERROR(INDEX('Email Cleaner'!$B$2:$B$10001,MATCH(347,'Email Cleaner'!$I$2:$I$10001,0)),"")</f>
        <v/>
      </c>
    </row>
    <row r="349">
      <c r="A349">
        <f>IFERROR(INDEX('Email Cleaner'!$B$2:$B$10001,MATCH(348,'Email Cleaner'!$I$2:$I$10001,0)),"")</f>
        <v/>
      </c>
    </row>
    <row r="350">
      <c r="A350">
        <f>IFERROR(INDEX('Email Cleaner'!$B$2:$B$10001,MATCH(349,'Email Cleaner'!$I$2:$I$10001,0)),"")</f>
        <v/>
      </c>
    </row>
    <row r="351">
      <c r="A351">
        <f>IFERROR(INDEX('Email Cleaner'!$B$2:$B$10001,MATCH(350,'Email Cleaner'!$I$2:$I$10001,0)),"")</f>
        <v/>
      </c>
    </row>
    <row r="352">
      <c r="A352">
        <f>IFERROR(INDEX('Email Cleaner'!$B$2:$B$10001,MATCH(351,'Email Cleaner'!$I$2:$I$10001,0)),"")</f>
        <v/>
      </c>
    </row>
    <row r="353">
      <c r="A353">
        <f>IFERROR(INDEX('Email Cleaner'!$B$2:$B$10001,MATCH(352,'Email Cleaner'!$I$2:$I$10001,0)),"")</f>
        <v/>
      </c>
    </row>
    <row r="354">
      <c r="A354">
        <f>IFERROR(INDEX('Email Cleaner'!$B$2:$B$10001,MATCH(353,'Email Cleaner'!$I$2:$I$10001,0)),"")</f>
        <v/>
      </c>
    </row>
    <row r="355">
      <c r="A355">
        <f>IFERROR(INDEX('Email Cleaner'!$B$2:$B$10001,MATCH(354,'Email Cleaner'!$I$2:$I$10001,0)),"")</f>
        <v/>
      </c>
    </row>
    <row r="356">
      <c r="A356">
        <f>IFERROR(INDEX('Email Cleaner'!$B$2:$B$10001,MATCH(355,'Email Cleaner'!$I$2:$I$10001,0)),"")</f>
        <v/>
      </c>
    </row>
    <row r="357">
      <c r="A357">
        <f>IFERROR(INDEX('Email Cleaner'!$B$2:$B$10001,MATCH(356,'Email Cleaner'!$I$2:$I$10001,0)),"")</f>
        <v/>
      </c>
    </row>
    <row r="358">
      <c r="A358">
        <f>IFERROR(INDEX('Email Cleaner'!$B$2:$B$10001,MATCH(357,'Email Cleaner'!$I$2:$I$10001,0)),"")</f>
        <v/>
      </c>
    </row>
    <row r="359">
      <c r="A359">
        <f>IFERROR(INDEX('Email Cleaner'!$B$2:$B$10001,MATCH(358,'Email Cleaner'!$I$2:$I$10001,0)),"")</f>
        <v/>
      </c>
    </row>
    <row r="360">
      <c r="A360">
        <f>IFERROR(INDEX('Email Cleaner'!$B$2:$B$10001,MATCH(359,'Email Cleaner'!$I$2:$I$10001,0)),"")</f>
        <v/>
      </c>
    </row>
    <row r="361">
      <c r="A361">
        <f>IFERROR(INDEX('Email Cleaner'!$B$2:$B$10001,MATCH(360,'Email Cleaner'!$I$2:$I$10001,0)),"")</f>
        <v/>
      </c>
    </row>
    <row r="362">
      <c r="A362">
        <f>IFERROR(INDEX('Email Cleaner'!$B$2:$B$10001,MATCH(361,'Email Cleaner'!$I$2:$I$10001,0)),"")</f>
        <v/>
      </c>
    </row>
    <row r="363">
      <c r="A363">
        <f>IFERROR(INDEX('Email Cleaner'!$B$2:$B$10001,MATCH(362,'Email Cleaner'!$I$2:$I$10001,0)),"")</f>
        <v/>
      </c>
    </row>
    <row r="364">
      <c r="A364">
        <f>IFERROR(INDEX('Email Cleaner'!$B$2:$B$10001,MATCH(363,'Email Cleaner'!$I$2:$I$10001,0)),"")</f>
        <v/>
      </c>
    </row>
    <row r="365">
      <c r="A365">
        <f>IFERROR(INDEX('Email Cleaner'!$B$2:$B$10001,MATCH(364,'Email Cleaner'!$I$2:$I$10001,0)),"")</f>
        <v/>
      </c>
    </row>
    <row r="366">
      <c r="A366">
        <f>IFERROR(INDEX('Email Cleaner'!$B$2:$B$10001,MATCH(365,'Email Cleaner'!$I$2:$I$10001,0)),"")</f>
        <v/>
      </c>
    </row>
    <row r="367">
      <c r="A367">
        <f>IFERROR(INDEX('Email Cleaner'!$B$2:$B$10001,MATCH(366,'Email Cleaner'!$I$2:$I$10001,0)),"")</f>
        <v/>
      </c>
    </row>
    <row r="368">
      <c r="A368">
        <f>IFERROR(INDEX('Email Cleaner'!$B$2:$B$10001,MATCH(367,'Email Cleaner'!$I$2:$I$10001,0)),"")</f>
        <v/>
      </c>
    </row>
    <row r="369">
      <c r="A369">
        <f>IFERROR(INDEX('Email Cleaner'!$B$2:$B$10001,MATCH(368,'Email Cleaner'!$I$2:$I$10001,0)),"")</f>
        <v/>
      </c>
    </row>
    <row r="370">
      <c r="A370">
        <f>IFERROR(INDEX('Email Cleaner'!$B$2:$B$10001,MATCH(369,'Email Cleaner'!$I$2:$I$10001,0)),"")</f>
        <v/>
      </c>
    </row>
    <row r="371">
      <c r="A371">
        <f>IFERROR(INDEX('Email Cleaner'!$B$2:$B$10001,MATCH(370,'Email Cleaner'!$I$2:$I$10001,0)),"")</f>
        <v/>
      </c>
    </row>
    <row r="372">
      <c r="A372">
        <f>IFERROR(INDEX('Email Cleaner'!$B$2:$B$10001,MATCH(371,'Email Cleaner'!$I$2:$I$10001,0)),"")</f>
        <v/>
      </c>
    </row>
    <row r="373">
      <c r="A373">
        <f>IFERROR(INDEX('Email Cleaner'!$B$2:$B$10001,MATCH(372,'Email Cleaner'!$I$2:$I$10001,0)),"")</f>
        <v/>
      </c>
    </row>
    <row r="374">
      <c r="A374">
        <f>IFERROR(INDEX('Email Cleaner'!$B$2:$B$10001,MATCH(373,'Email Cleaner'!$I$2:$I$10001,0)),"")</f>
        <v/>
      </c>
    </row>
    <row r="375">
      <c r="A375">
        <f>IFERROR(INDEX('Email Cleaner'!$B$2:$B$10001,MATCH(374,'Email Cleaner'!$I$2:$I$10001,0)),"")</f>
        <v/>
      </c>
    </row>
    <row r="376">
      <c r="A376">
        <f>IFERROR(INDEX('Email Cleaner'!$B$2:$B$10001,MATCH(375,'Email Cleaner'!$I$2:$I$10001,0)),"")</f>
        <v/>
      </c>
    </row>
    <row r="377">
      <c r="A377">
        <f>IFERROR(INDEX('Email Cleaner'!$B$2:$B$10001,MATCH(376,'Email Cleaner'!$I$2:$I$10001,0)),"")</f>
        <v/>
      </c>
    </row>
    <row r="378">
      <c r="A378">
        <f>IFERROR(INDEX('Email Cleaner'!$B$2:$B$10001,MATCH(377,'Email Cleaner'!$I$2:$I$10001,0)),"")</f>
        <v/>
      </c>
    </row>
    <row r="379">
      <c r="A379">
        <f>IFERROR(INDEX('Email Cleaner'!$B$2:$B$10001,MATCH(378,'Email Cleaner'!$I$2:$I$10001,0)),"")</f>
        <v/>
      </c>
    </row>
    <row r="380">
      <c r="A380">
        <f>IFERROR(INDEX('Email Cleaner'!$B$2:$B$10001,MATCH(379,'Email Cleaner'!$I$2:$I$10001,0)),"")</f>
        <v/>
      </c>
    </row>
    <row r="381">
      <c r="A381">
        <f>IFERROR(INDEX('Email Cleaner'!$B$2:$B$10001,MATCH(380,'Email Cleaner'!$I$2:$I$10001,0)),"")</f>
        <v/>
      </c>
    </row>
    <row r="382">
      <c r="A382">
        <f>IFERROR(INDEX('Email Cleaner'!$B$2:$B$10001,MATCH(381,'Email Cleaner'!$I$2:$I$10001,0)),"")</f>
        <v/>
      </c>
    </row>
    <row r="383">
      <c r="A383">
        <f>IFERROR(INDEX('Email Cleaner'!$B$2:$B$10001,MATCH(382,'Email Cleaner'!$I$2:$I$10001,0)),"")</f>
        <v/>
      </c>
    </row>
    <row r="384">
      <c r="A384">
        <f>IFERROR(INDEX('Email Cleaner'!$B$2:$B$10001,MATCH(383,'Email Cleaner'!$I$2:$I$10001,0)),"")</f>
        <v/>
      </c>
    </row>
    <row r="385">
      <c r="A385">
        <f>IFERROR(INDEX('Email Cleaner'!$B$2:$B$10001,MATCH(384,'Email Cleaner'!$I$2:$I$10001,0)),"")</f>
        <v/>
      </c>
    </row>
    <row r="386">
      <c r="A386">
        <f>IFERROR(INDEX('Email Cleaner'!$B$2:$B$10001,MATCH(385,'Email Cleaner'!$I$2:$I$10001,0)),"")</f>
        <v/>
      </c>
    </row>
    <row r="387">
      <c r="A387">
        <f>IFERROR(INDEX('Email Cleaner'!$B$2:$B$10001,MATCH(386,'Email Cleaner'!$I$2:$I$10001,0)),"")</f>
        <v/>
      </c>
    </row>
    <row r="388">
      <c r="A388">
        <f>IFERROR(INDEX('Email Cleaner'!$B$2:$B$10001,MATCH(387,'Email Cleaner'!$I$2:$I$10001,0)),"")</f>
        <v/>
      </c>
    </row>
    <row r="389">
      <c r="A389">
        <f>IFERROR(INDEX('Email Cleaner'!$B$2:$B$10001,MATCH(388,'Email Cleaner'!$I$2:$I$10001,0)),"")</f>
        <v/>
      </c>
    </row>
    <row r="390">
      <c r="A390">
        <f>IFERROR(INDEX('Email Cleaner'!$B$2:$B$10001,MATCH(389,'Email Cleaner'!$I$2:$I$10001,0)),"")</f>
        <v/>
      </c>
    </row>
    <row r="391">
      <c r="A391">
        <f>IFERROR(INDEX('Email Cleaner'!$B$2:$B$10001,MATCH(390,'Email Cleaner'!$I$2:$I$10001,0)),"")</f>
        <v/>
      </c>
    </row>
    <row r="392">
      <c r="A392">
        <f>IFERROR(INDEX('Email Cleaner'!$B$2:$B$10001,MATCH(391,'Email Cleaner'!$I$2:$I$10001,0)),"")</f>
        <v/>
      </c>
    </row>
    <row r="393">
      <c r="A393">
        <f>IFERROR(INDEX('Email Cleaner'!$B$2:$B$10001,MATCH(392,'Email Cleaner'!$I$2:$I$10001,0)),"")</f>
        <v/>
      </c>
    </row>
    <row r="394">
      <c r="A394">
        <f>IFERROR(INDEX('Email Cleaner'!$B$2:$B$10001,MATCH(393,'Email Cleaner'!$I$2:$I$10001,0)),"")</f>
        <v/>
      </c>
    </row>
    <row r="395">
      <c r="A395">
        <f>IFERROR(INDEX('Email Cleaner'!$B$2:$B$10001,MATCH(394,'Email Cleaner'!$I$2:$I$10001,0)),"")</f>
        <v/>
      </c>
    </row>
    <row r="396">
      <c r="A396">
        <f>IFERROR(INDEX('Email Cleaner'!$B$2:$B$10001,MATCH(395,'Email Cleaner'!$I$2:$I$10001,0)),"")</f>
        <v/>
      </c>
    </row>
    <row r="397">
      <c r="A397">
        <f>IFERROR(INDEX('Email Cleaner'!$B$2:$B$10001,MATCH(396,'Email Cleaner'!$I$2:$I$10001,0)),"")</f>
        <v/>
      </c>
    </row>
    <row r="398">
      <c r="A398">
        <f>IFERROR(INDEX('Email Cleaner'!$B$2:$B$10001,MATCH(397,'Email Cleaner'!$I$2:$I$10001,0)),"")</f>
        <v/>
      </c>
    </row>
    <row r="399">
      <c r="A399">
        <f>IFERROR(INDEX('Email Cleaner'!$B$2:$B$10001,MATCH(398,'Email Cleaner'!$I$2:$I$10001,0)),"")</f>
        <v/>
      </c>
    </row>
    <row r="400">
      <c r="A400">
        <f>IFERROR(INDEX('Email Cleaner'!$B$2:$B$10001,MATCH(399,'Email Cleaner'!$I$2:$I$10001,0)),"")</f>
        <v/>
      </c>
    </row>
    <row r="401">
      <c r="A401">
        <f>IFERROR(INDEX('Email Cleaner'!$B$2:$B$10001,MATCH(400,'Email Cleaner'!$I$2:$I$10001,0)),"")</f>
        <v/>
      </c>
    </row>
    <row r="402">
      <c r="A402">
        <f>IFERROR(INDEX('Email Cleaner'!$B$2:$B$10001,MATCH(401,'Email Cleaner'!$I$2:$I$10001,0)),"")</f>
        <v/>
      </c>
    </row>
    <row r="403">
      <c r="A403">
        <f>IFERROR(INDEX('Email Cleaner'!$B$2:$B$10001,MATCH(402,'Email Cleaner'!$I$2:$I$10001,0)),"")</f>
        <v/>
      </c>
    </row>
    <row r="404">
      <c r="A404">
        <f>IFERROR(INDEX('Email Cleaner'!$B$2:$B$10001,MATCH(403,'Email Cleaner'!$I$2:$I$10001,0)),"")</f>
        <v/>
      </c>
    </row>
    <row r="405">
      <c r="A405">
        <f>IFERROR(INDEX('Email Cleaner'!$B$2:$B$10001,MATCH(404,'Email Cleaner'!$I$2:$I$10001,0)),"")</f>
        <v/>
      </c>
    </row>
    <row r="406">
      <c r="A406">
        <f>IFERROR(INDEX('Email Cleaner'!$B$2:$B$10001,MATCH(405,'Email Cleaner'!$I$2:$I$10001,0)),"")</f>
        <v/>
      </c>
    </row>
    <row r="407">
      <c r="A407">
        <f>IFERROR(INDEX('Email Cleaner'!$B$2:$B$10001,MATCH(406,'Email Cleaner'!$I$2:$I$10001,0)),"")</f>
        <v/>
      </c>
    </row>
    <row r="408">
      <c r="A408">
        <f>IFERROR(INDEX('Email Cleaner'!$B$2:$B$10001,MATCH(407,'Email Cleaner'!$I$2:$I$10001,0)),"")</f>
        <v/>
      </c>
    </row>
    <row r="409">
      <c r="A409">
        <f>IFERROR(INDEX('Email Cleaner'!$B$2:$B$10001,MATCH(408,'Email Cleaner'!$I$2:$I$10001,0)),"")</f>
        <v/>
      </c>
    </row>
    <row r="410">
      <c r="A410">
        <f>IFERROR(INDEX('Email Cleaner'!$B$2:$B$10001,MATCH(409,'Email Cleaner'!$I$2:$I$10001,0)),"")</f>
        <v/>
      </c>
    </row>
    <row r="411">
      <c r="A411">
        <f>IFERROR(INDEX('Email Cleaner'!$B$2:$B$10001,MATCH(410,'Email Cleaner'!$I$2:$I$10001,0)),"")</f>
        <v/>
      </c>
    </row>
    <row r="412">
      <c r="A412">
        <f>IFERROR(INDEX('Email Cleaner'!$B$2:$B$10001,MATCH(411,'Email Cleaner'!$I$2:$I$10001,0)),"")</f>
        <v/>
      </c>
    </row>
    <row r="413">
      <c r="A413">
        <f>IFERROR(INDEX('Email Cleaner'!$B$2:$B$10001,MATCH(412,'Email Cleaner'!$I$2:$I$10001,0)),"")</f>
        <v/>
      </c>
    </row>
    <row r="414">
      <c r="A414">
        <f>IFERROR(INDEX('Email Cleaner'!$B$2:$B$10001,MATCH(413,'Email Cleaner'!$I$2:$I$10001,0)),"")</f>
        <v/>
      </c>
    </row>
    <row r="415">
      <c r="A415">
        <f>IFERROR(INDEX('Email Cleaner'!$B$2:$B$10001,MATCH(414,'Email Cleaner'!$I$2:$I$10001,0)),"")</f>
        <v/>
      </c>
    </row>
    <row r="416">
      <c r="A416">
        <f>IFERROR(INDEX('Email Cleaner'!$B$2:$B$10001,MATCH(415,'Email Cleaner'!$I$2:$I$10001,0)),"")</f>
        <v/>
      </c>
    </row>
    <row r="417">
      <c r="A417">
        <f>IFERROR(INDEX('Email Cleaner'!$B$2:$B$10001,MATCH(416,'Email Cleaner'!$I$2:$I$10001,0)),"")</f>
        <v/>
      </c>
    </row>
    <row r="418">
      <c r="A418">
        <f>IFERROR(INDEX('Email Cleaner'!$B$2:$B$10001,MATCH(417,'Email Cleaner'!$I$2:$I$10001,0)),"")</f>
        <v/>
      </c>
    </row>
    <row r="419">
      <c r="A419">
        <f>IFERROR(INDEX('Email Cleaner'!$B$2:$B$10001,MATCH(418,'Email Cleaner'!$I$2:$I$10001,0)),"")</f>
        <v/>
      </c>
    </row>
    <row r="420">
      <c r="A420">
        <f>IFERROR(INDEX('Email Cleaner'!$B$2:$B$10001,MATCH(419,'Email Cleaner'!$I$2:$I$10001,0)),"")</f>
        <v/>
      </c>
    </row>
    <row r="421">
      <c r="A421">
        <f>IFERROR(INDEX('Email Cleaner'!$B$2:$B$10001,MATCH(420,'Email Cleaner'!$I$2:$I$10001,0)),"")</f>
        <v/>
      </c>
    </row>
    <row r="422">
      <c r="A422">
        <f>IFERROR(INDEX('Email Cleaner'!$B$2:$B$10001,MATCH(421,'Email Cleaner'!$I$2:$I$10001,0)),"")</f>
        <v/>
      </c>
    </row>
    <row r="423">
      <c r="A423">
        <f>IFERROR(INDEX('Email Cleaner'!$B$2:$B$10001,MATCH(422,'Email Cleaner'!$I$2:$I$10001,0)),"")</f>
        <v/>
      </c>
    </row>
    <row r="424">
      <c r="A424">
        <f>IFERROR(INDEX('Email Cleaner'!$B$2:$B$10001,MATCH(423,'Email Cleaner'!$I$2:$I$10001,0)),"")</f>
        <v/>
      </c>
    </row>
    <row r="425">
      <c r="A425">
        <f>IFERROR(INDEX('Email Cleaner'!$B$2:$B$10001,MATCH(424,'Email Cleaner'!$I$2:$I$10001,0)),"")</f>
        <v/>
      </c>
    </row>
    <row r="426">
      <c r="A426">
        <f>IFERROR(INDEX('Email Cleaner'!$B$2:$B$10001,MATCH(425,'Email Cleaner'!$I$2:$I$10001,0)),"")</f>
        <v/>
      </c>
    </row>
    <row r="427">
      <c r="A427">
        <f>IFERROR(INDEX('Email Cleaner'!$B$2:$B$10001,MATCH(426,'Email Cleaner'!$I$2:$I$10001,0)),"")</f>
        <v/>
      </c>
    </row>
    <row r="428">
      <c r="A428">
        <f>IFERROR(INDEX('Email Cleaner'!$B$2:$B$10001,MATCH(427,'Email Cleaner'!$I$2:$I$10001,0)),"")</f>
        <v/>
      </c>
    </row>
    <row r="429">
      <c r="A429">
        <f>IFERROR(INDEX('Email Cleaner'!$B$2:$B$10001,MATCH(428,'Email Cleaner'!$I$2:$I$10001,0)),"")</f>
        <v/>
      </c>
    </row>
    <row r="430">
      <c r="A430">
        <f>IFERROR(INDEX('Email Cleaner'!$B$2:$B$10001,MATCH(429,'Email Cleaner'!$I$2:$I$10001,0)),"")</f>
        <v/>
      </c>
    </row>
    <row r="431">
      <c r="A431">
        <f>IFERROR(INDEX('Email Cleaner'!$B$2:$B$10001,MATCH(430,'Email Cleaner'!$I$2:$I$10001,0)),"")</f>
        <v/>
      </c>
    </row>
    <row r="432">
      <c r="A432">
        <f>IFERROR(INDEX('Email Cleaner'!$B$2:$B$10001,MATCH(431,'Email Cleaner'!$I$2:$I$10001,0)),"")</f>
        <v/>
      </c>
    </row>
    <row r="433">
      <c r="A433">
        <f>IFERROR(INDEX('Email Cleaner'!$B$2:$B$10001,MATCH(432,'Email Cleaner'!$I$2:$I$10001,0)),"")</f>
        <v/>
      </c>
    </row>
    <row r="434">
      <c r="A434">
        <f>IFERROR(INDEX('Email Cleaner'!$B$2:$B$10001,MATCH(433,'Email Cleaner'!$I$2:$I$10001,0)),"")</f>
        <v/>
      </c>
    </row>
    <row r="435">
      <c r="A435">
        <f>IFERROR(INDEX('Email Cleaner'!$B$2:$B$10001,MATCH(434,'Email Cleaner'!$I$2:$I$10001,0)),"")</f>
        <v/>
      </c>
    </row>
    <row r="436">
      <c r="A436">
        <f>IFERROR(INDEX('Email Cleaner'!$B$2:$B$10001,MATCH(435,'Email Cleaner'!$I$2:$I$10001,0)),"")</f>
        <v/>
      </c>
    </row>
    <row r="437">
      <c r="A437">
        <f>IFERROR(INDEX('Email Cleaner'!$B$2:$B$10001,MATCH(436,'Email Cleaner'!$I$2:$I$10001,0)),"")</f>
        <v/>
      </c>
    </row>
    <row r="438">
      <c r="A438">
        <f>IFERROR(INDEX('Email Cleaner'!$B$2:$B$10001,MATCH(437,'Email Cleaner'!$I$2:$I$10001,0)),"")</f>
        <v/>
      </c>
    </row>
    <row r="439">
      <c r="A439">
        <f>IFERROR(INDEX('Email Cleaner'!$B$2:$B$10001,MATCH(438,'Email Cleaner'!$I$2:$I$10001,0)),"")</f>
        <v/>
      </c>
    </row>
    <row r="440">
      <c r="A440">
        <f>IFERROR(INDEX('Email Cleaner'!$B$2:$B$10001,MATCH(439,'Email Cleaner'!$I$2:$I$10001,0)),"")</f>
        <v/>
      </c>
    </row>
    <row r="441">
      <c r="A441">
        <f>IFERROR(INDEX('Email Cleaner'!$B$2:$B$10001,MATCH(440,'Email Cleaner'!$I$2:$I$10001,0)),"")</f>
        <v/>
      </c>
    </row>
    <row r="442">
      <c r="A442">
        <f>IFERROR(INDEX('Email Cleaner'!$B$2:$B$10001,MATCH(441,'Email Cleaner'!$I$2:$I$10001,0)),"")</f>
        <v/>
      </c>
    </row>
    <row r="443">
      <c r="A443">
        <f>IFERROR(INDEX('Email Cleaner'!$B$2:$B$10001,MATCH(442,'Email Cleaner'!$I$2:$I$10001,0)),"")</f>
        <v/>
      </c>
    </row>
    <row r="444">
      <c r="A444">
        <f>IFERROR(INDEX('Email Cleaner'!$B$2:$B$10001,MATCH(443,'Email Cleaner'!$I$2:$I$10001,0)),"")</f>
        <v/>
      </c>
    </row>
    <row r="445">
      <c r="A445">
        <f>IFERROR(INDEX('Email Cleaner'!$B$2:$B$10001,MATCH(444,'Email Cleaner'!$I$2:$I$10001,0)),"")</f>
        <v/>
      </c>
    </row>
    <row r="446">
      <c r="A446">
        <f>IFERROR(INDEX('Email Cleaner'!$B$2:$B$10001,MATCH(445,'Email Cleaner'!$I$2:$I$10001,0)),"")</f>
        <v/>
      </c>
    </row>
    <row r="447">
      <c r="A447">
        <f>IFERROR(INDEX('Email Cleaner'!$B$2:$B$10001,MATCH(446,'Email Cleaner'!$I$2:$I$10001,0)),"")</f>
        <v/>
      </c>
    </row>
    <row r="448">
      <c r="A448">
        <f>IFERROR(INDEX('Email Cleaner'!$B$2:$B$10001,MATCH(447,'Email Cleaner'!$I$2:$I$10001,0)),"")</f>
        <v/>
      </c>
    </row>
    <row r="449">
      <c r="A449">
        <f>IFERROR(INDEX('Email Cleaner'!$B$2:$B$10001,MATCH(448,'Email Cleaner'!$I$2:$I$10001,0)),"")</f>
        <v/>
      </c>
    </row>
    <row r="450">
      <c r="A450">
        <f>IFERROR(INDEX('Email Cleaner'!$B$2:$B$10001,MATCH(449,'Email Cleaner'!$I$2:$I$10001,0)),"")</f>
        <v/>
      </c>
    </row>
    <row r="451">
      <c r="A451">
        <f>IFERROR(INDEX('Email Cleaner'!$B$2:$B$10001,MATCH(450,'Email Cleaner'!$I$2:$I$10001,0)),"")</f>
        <v/>
      </c>
    </row>
    <row r="452">
      <c r="A452">
        <f>IFERROR(INDEX('Email Cleaner'!$B$2:$B$10001,MATCH(451,'Email Cleaner'!$I$2:$I$10001,0)),"")</f>
        <v/>
      </c>
    </row>
    <row r="453">
      <c r="A453">
        <f>IFERROR(INDEX('Email Cleaner'!$B$2:$B$10001,MATCH(452,'Email Cleaner'!$I$2:$I$10001,0)),"")</f>
        <v/>
      </c>
    </row>
    <row r="454">
      <c r="A454">
        <f>IFERROR(INDEX('Email Cleaner'!$B$2:$B$10001,MATCH(453,'Email Cleaner'!$I$2:$I$10001,0)),"")</f>
        <v/>
      </c>
    </row>
    <row r="455">
      <c r="A455">
        <f>IFERROR(INDEX('Email Cleaner'!$B$2:$B$10001,MATCH(454,'Email Cleaner'!$I$2:$I$10001,0)),"")</f>
        <v/>
      </c>
    </row>
    <row r="456">
      <c r="A456">
        <f>IFERROR(INDEX('Email Cleaner'!$B$2:$B$10001,MATCH(455,'Email Cleaner'!$I$2:$I$10001,0)),"")</f>
        <v/>
      </c>
    </row>
    <row r="457">
      <c r="A457">
        <f>IFERROR(INDEX('Email Cleaner'!$B$2:$B$10001,MATCH(456,'Email Cleaner'!$I$2:$I$10001,0)),"")</f>
        <v/>
      </c>
    </row>
    <row r="458">
      <c r="A458">
        <f>IFERROR(INDEX('Email Cleaner'!$B$2:$B$10001,MATCH(457,'Email Cleaner'!$I$2:$I$10001,0)),"")</f>
        <v/>
      </c>
    </row>
    <row r="459">
      <c r="A459">
        <f>IFERROR(INDEX('Email Cleaner'!$B$2:$B$10001,MATCH(458,'Email Cleaner'!$I$2:$I$10001,0)),"")</f>
        <v/>
      </c>
    </row>
    <row r="460">
      <c r="A460">
        <f>IFERROR(INDEX('Email Cleaner'!$B$2:$B$10001,MATCH(459,'Email Cleaner'!$I$2:$I$10001,0)),"")</f>
        <v/>
      </c>
    </row>
    <row r="461">
      <c r="A461">
        <f>IFERROR(INDEX('Email Cleaner'!$B$2:$B$10001,MATCH(460,'Email Cleaner'!$I$2:$I$10001,0)),"")</f>
        <v/>
      </c>
    </row>
    <row r="462">
      <c r="A462">
        <f>IFERROR(INDEX('Email Cleaner'!$B$2:$B$10001,MATCH(461,'Email Cleaner'!$I$2:$I$10001,0)),"")</f>
        <v/>
      </c>
    </row>
    <row r="463">
      <c r="A463">
        <f>IFERROR(INDEX('Email Cleaner'!$B$2:$B$10001,MATCH(462,'Email Cleaner'!$I$2:$I$10001,0)),"")</f>
        <v/>
      </c>
    </row>
    <row r="464">
      <c r="A464">
        <f>IFERROR(INDEX('Email Cleaner'!$B$2:$B$10001,MATCH(463,'Email Cleaner'!$I$2:$I$10001,0)),"")</f>
        <v/>
      </c>
    </row>
    <row r="465">
      <c r="A465">
        <f>IFERROR(INDEX('Email Cleaner'!$B$2:$B$10001,MATCH(464,'Email Cleaner'!$I$2:$I$10001,0)),"")</f>
        <v/>
      </c>
    </row>
    <row r="466">
      <c r="A466">
        <f>IFERROR(INDEX('Email Cleaner'!$B$2:$B$10001,MATCH(465,'Email Cleaner'!$I$2:$I$10001,0)),"")</f>
        <v/>
      </c>
    </row>
    <row r="467">
      <c r="A467">
        <f>IFERROR(INDEX('Email Cleaner'!$B$2:$B$10001,MATCH(466,'Email Cleaner'!$I$2:$I$10001,0)),"")</f>
        <v/>
      </c>
    </row>
    <row r="468">
      <c r="A468">
        <f>IFERROR(INDEX('Email Cleaner'!$B$2:$B$10001,MATCH(467,'Email Cleaner'!$I$2:$I$10001,0)),"")</f>
        <v/>
      </c>
    </row>
    <row r="469">
      <c r="A469">
        <f>IFERROR(INDEX('Email Cleaner'!$B$2:$B$10001,MATCH(468,'Email Cleaner'!$I$2:$I$10001,0)),"")</f>
        <v/>
      </c>
    </row>
    <row r="470">
      <c r="A470">
        <f>IFERROR(INDEX('Email Cleaner'!$B$2:$B$10001,MATCH(469,'Email Cleaner'!$I$2:$I$10001,0)),"")</f>
        <v/>
      </c>
    </row>
    <row r="471">
      <c r="A471">
        <f>IFERROR(INDEX('Email Cleaner'!$B$2:$B$10001,MATCH(470,'Email Cleaner'!$I$2:$I$10001,0)),"")</f>
        <v/>
      </c>
    </row>
    <row r="472">
      <c r="A472">
        <f>IFERROR(INDEX('Email Cleaner'!$B$2:$B$10001,MATCH(471,'Email Cleaner'!$I$2:$I$10001,0)),"")</f>
        <v/>
      </c>
    </row>
    <row r="473">
      <c r="A473">
        <f>IFERROR(INDEX('Email Cleaner'!$B$2:$B$10001,MATCH(472,'Email Cleaner'!$I$2:$I$10001,0)),"")</f>
        <v/>
      </c>
    </row>
    <row r="474">
      <c r="A474">
        <f>IFERROR(INDEX('Email Cleaner'!$B$2:$B$10001,MATCH(473,'Email Cleaner'!$I$2:$I$10001,0)),"")</f>
        <v/>
      </c>
    </row>
    <row r="475">
      <c r="A475">
        <f>IFERROR(INDEX('Email Cleaner'!$B$2:$B$10001,MATCH(474,'Email Cleaner'!$I$2:$I$10001,0)),"")</f>
        <v/>
      </c>
    </row>
    <row r="476">
      <c r="A476">
        <f>IFERROR(INDEX('Email Cleaner'!$B$2:$B$10001,MATCH(475,'Email Cleaner'!$I$2:$I$10001,0)),"")</f>
        <v/>
      </c>
    </row>
    <row r="477">
      <c r="A477">
        <f>IFERROR(INDEX('Email Cleaner'!$B$2:$B$10001,MATCH(476,'Email Cleaner'!$I$2:$I$10001,0)),"")</f>
        <v/>
      </c>
    </row>
    <row r="478">
      <c r="A478">
        <f>IFERROR(INDEX('Email Cleaner'!$B$2:$B$10001,MATCH(477,'Email Cleaner'!$I$2:$I$10001,0)),"")</f>
        <v/>
      </c>
    </row>
    <row r="479">
      <c r="A479">
        <f>IFERROR(INDEX('Email Cleaner'!$B$2:$B$10001,MATCH(478,'Email Cleaner'!$I$2:$I$10001,0)),"")</f>
        <v/>
      </c>
    </row>
    <row r="480">
      <c r="A480">
        <f>IFERROR(INDEX('Email Cleaner'!$B$2:$B$10001,MATCH(479,'Email Cleaner'!$I$2:$I$10001,0)),"")</f>
        <v/>
      </c>
    </row>
    <row r="481">
      <c r="A481">
        <f>IFERROR(INDEX('Email Cleaner'!$B$2:$B$10001,MATCH(480,'Email Cleaner'!$I$2:$I$10001,0)),"")</f>
        <v/>
      </c>
    </row>
    <row r="482">
      <c r="A482">
        <f>IFERROR(INDEX('Email Cleaner'!$B$2:$B$10001,MATCH(481,'Email Cleaner'!$I$2:$I$10001,0)),"")</f>
        <v/>
      </c>
    </row>
    <row r="483">
      <c r="A483">
        <f>IFERROR(INDEX('Email Cleaner'!$B$2:$B$10001,MATCH(482,'Email Cleaner'!$I$2:$I$10001,0)),"")</f>
        <v/>
      </c>
    </row>
    <row r="484">
      <c r="A484">
        <f>IFERROR(INDEX('Email Cleaner'!$B$2:$B$10001,MATCH(483,'Email Cleaner'!$I$2:$I$10001,0)),"")</f>
        <v/>
      </c>
    </row>
    <row r="485">
      <c r="A485">
        <f>IFERROR(INDEX('Email Cleaner'!$B$2:$B$10001,MATCH(484,'Email Cleaner'!$I$2:$I$10001,0)),"")</f>
        <v/>
      </c>
    </row>
    <row r="486">
      <c r="A486">
        <f>IFERROR(INDEX('Email Cleaner'!$B$2:$B$10001,MATCH(485,'Email Cleaner'!$I$2:$I$10001,0)),"")</f>
        <v/>
      </c>
    </row>
    <row r="487">
      <c r="A487">
        <f>IFERROR(INDEX('Email Cleaner'!$B$2:$B$10001,MATCH(486,'Email Cleaner'!$I$2:$I$10001,0)),"")</f>
        <v/>
      </c>
    </row>
    <row r="488">
      <c r="A488">
        <f>IFERROR(INDEX('Email Cleaner'!$B$2:$B$10001,MATCH(487,'Email Cleaner'!$I$2:$I$10001,0)),"")</f>
        <v/>
      </c>
    </row>
    <row r="489">
      <c r="A489">
        <f>IFERROR(INDEX('Email Cleaner'!$B$2:$B$10001,MATCH(488,'Email Cleaner'!$I$2:$I$10001,0)),"")</f>
        <v/>
      </c>
    </row>
    <row r="490">
      <c r="A490">
        <f>IFERROR(INDEX('Email Cleaner'!$B$2:$B$10001,MATCH(489,'Email Cleaner'!$I$2:$I$10001,0)),"")</f>
        <v/>
      </c>
    </row>
    <row r="491">
      <c r="A491">
        <f>IFERROR(INDEX('Email Cleaner'!$B$2:$B$10001,MATCH(490,'Email Cleaner'!$I$2:$I$10001,0)),"")</f>
        <v/>
      </c>
    </row>
    <row r="492">
      <c r="A492">
        <f>IFERROR(INDEX('Email Cleaner'!$B$2:$B$10001,MATCH(491,'Email Cleaner'!$I$2:$I$10001,0)),"")</f>
        <v/>
      </c>
    </row>
    <row r="493">
      <c r="A493">
        <f>IFERROR(INDEX('Email Cleaner'!$B$2:$B$10001,MATCH(492,'Email Cleaner'!$I$2:$I$10001,0)),"")</f>
        <v/>
      </c>
    </row>
    <row r="494">
      <c r="A494">
        <f>IFERROR(INDEX('Email Cleaner'!$B$2:$B$10001,MATCH(493,'Email Cleaner'!$I$2:$I$10001,0)),"")</f>
        <v/>
      </c>
    </row>
    <row r="495">
      <c r="A495">
        <f>IFERROR(INDEX('Email Cleaner'!$B$2:$B$10001,MATCH(494,'Email Cleaner'!$I$2:$I$10001,0)),"")</f>
        <v/>
      </c>
    </row>
    <row r="496">
      <c r="A496">
        <f>IFERROR(INDEX('Email Cleaner'!$B$2:$B$10001,MATCH(495,'Email Cleaner'!$I$2:$I$10001,0)),"")</f>
        <v/>
      </c>
    </row>
    <row r="497">
      <c r="A497">
        <f>IFERROR(INDEX('Email Cleaner'!$B$2:$B$10001,MATCH(496,'Email Cleaner'!$I$2:$I$10001,0)),"")</f>
        <v/>
      </c>
    </row>
    <row r="498">
      <c r="A498">
        <f>IFERROR(INDEX('Email Cleaner'!$B$2:$B$10001,MATCH(497,'Email Cleaner'!$I$2:$I$10001,0)),"")</f>
        <v/>
      </c>
    </row>
    <row r="499">
      <c r="A499">
        <f>IFERROR(INDEX('Email Cleaner'!$B$2:$B$10001,MATCH(498,'Email Cleaner'!$I$2:$I$10001,0)),"")</f>
        <v/>
      </c>
    </row>
    <row r="500">
      <c r="A500">
        <f>IFERROR(INDEX('Email Cleaner'!$B$2:$B$10001,MATCH(499,'Email Cleaner'!$I$2:$I$10001,0)),"")</f>
        <v/>
      </c>
    </row>
    <row r="501">
      <c r="A501">
        <f>IFERROR(INDEX('Email Cleaner'!$B$2:$B$10001,MATCH(500,'Email Cleaner'!$I$2:$I$10001,0)),"")</f>
        <v/>
      </c>
    </row>
    <row r="502">
      <c r="A502">
        <f>IFERROR(INDEX('Email Cleaner'!$B$2:$B$10001,MATCH(501,'Email Cleaner'!$I$2:$I$10001,0)),"")</f>
        <v/>
      </c>
    </row>
    <row r="503">
      <c r="A503">
        <f>IFERROR(INDEX('Email Cleaner'!$B$2:$B$10001,MATCH(502,'Email Cleaner'!$I$2:$I$10001,0)),"")</f>
        <v/>
      </c>
    </row>
    <row r="504">
      <c r="A504">
        <f>IFERROR(INDEX('Email Cleaner'!$B$2:$B$10001,MATCH(503,'Email Cleaner'!$I$2:$I$10001,0)),"")</f>
        <v/>
      </c>
    </row>
    <row r="505">
      <c r="A505">
        <f>IFERROR(INDEX('Email Cleaner'!$B$2:$B$10001,MATCH(504,'Email Cleaner'!$I$2:$I$10001,0)),"")</f>
        <v/>
      </c>
    </row>
    <row r="506">
      <c r="A506">
        <f>IFERROR(INDEX('Email Cleaner'!$B$2:$B$10001,MATCH(505,'Email Cleaner'!$I$2:$I$10001,0)),"")</f>
        <v/>
      </c>
    </row>
    <row r="507">
      <c r="A507">
        <f>IFERROR(INDEX('Email Cleaner'!$B$2:$B$10001,MATCH(506,'Email Cleaner'!$I$2:$I$10001,0)),"")</f>
        <v/>
      </c>
    </row>
    <row r="508">
      <c r="A508">
        <f>IFERROR(INDEX('Email Cleaner'!$B$2:$B$10001,MATCH(507,'Email Cleaner'!$I$2:$I$10001,0)),"")</f>
        <v/>
      </c>
    </row>
    <row r="509">
      <c r="A509">
        <f>IFERROR(INDEX('Email Cleaner'!$B$2:$B$10001,MATCH(508,'Email Cleaner'!$I$2:$I$10001,0)),"")</f>
        <v/>
      </c>
    </row>
    <row r="510">
      <c r="A510">
        <f>IFERROR(INDEX('Email Cleaner'!$B$2:$B$10001,MATCH(509,'Email Cleaner'!$I$2:$I$10001,0)),"")</f>
        <v/>
      </c>
    </row>
    <row r="511">
      <c r="A511">
        <f>IFERROR(INDEX('Email Cleaner'!$B$2:$B$10001,MATCH(510,'Email Cleaner'!$I$2:$I$10001,0)),"")</f>
        <v/>
      </c>
    </row>
    <row r="512">
      <c r="A512">
        <f>IFERROR(INDEX('Email Cleaner'!$B$2:$B$10001,MATCH(511,'Email Cleaner'!$I$2:$I$10001,0)),"")</f>
        <v/>
      </c>
    </row>
    <row r="513">
      <c r="A513">
        <f>IFERROR(INDEX('Email Cleaner'!$B$2:$B$10001,MATCH(512,'Email Cleaner'!$I$2:$I$10001,0)),"")</f>
        <v/>
      </c>
    </row>
    <row r="514">
      <c r="A514">
        <f>IFERROR(INDEX('Email Cleaner'!$B$2:$B$10001,MATCH(513,'Email Cleaner'!$I$2:$I$10001,0)),"")</f>
        <v/>
      </c>
    </row>
    <row r="515">
      <c r="A515">
        <f>IFERROR(INDEX('Email Cleaner'!$B$2:$B$10001,MATCH(514,'Email Cleaner'!$I$2:$I$10001,0)),"")</f>
        <v/>
      </c>
    </row>
    <row r="516">
      <c r="A516">
        <f>IFERROR(INDEX('Email Cleaner'!$B$2:$B$10001,MATCH(515,'Email Cleaner'!$I$2:$I$10001,0)),"")</f>
        <v/>
      </c>
    </row>
    <row r="517">
      <c r="A517">
        <f>IFERROR(INDEX('Email Cleaner'!$B$2:$B$10001,MATCH(516,'Email Cleaner'!$I$2:$I$10001,0)),"")</f>
        <v/>
      </c>
    </row>
    <row r="518">
      <c r="A518">
        <f>IFERROR(INDEX('Email Cleaner'!$B$2:$B$10001,MATCH(517,'Email Cleaner'!$I$2:$I$10001,0)),"")</f>
        <v/>
      </c>
    </row>
    <row r="519">
      <c r="A519">
        <f>IFERROR(INDEX('Email Cleaner'!$B$2:$B$10001,MATCH(518,'Email Cleaner'!$I$2:$I$10001,0)),"")</f>
        <v/>
      </c>
    </row>
    <row r="520">
      <c r="A520">
        <f>IFERROR(INDEX('Email Cleaner'!$B$2:$B$10001,MATCH(519,'Email Cleaner'!$I$2:$I$10001,0)),"")</f>
        <v/>
      </c>
    </row>
    <row r="521">
      <c r="A521">
        <f>IFERROR(INDEX('Email Cleaner'!$B$2:$B$10001,MATCH(520,'Email Cleaner'!$I$2:$I$10001,0)),"")</f>
        <v/>
      </c>
    </row>
    <row r="522">
      <c r="A522">
        <f>IFERROR(INDEX('Email Cleaner'!$B$2:$B$10001,MATCH(521,'Email Cleaner'!$I$2:$I$10001,0)),"")</f>
        <v/>
      </c>
    </row>
    <row r="523">
      <c r="A523">
        <f>IFERROR(INDEX('Email Cleaner'!$B$2:$B$10001,MATCH(522,'Email Cleaner'!$I$2:$I$10001,0)),"")</f>
        <v/>
      </c>
    </row>
    <row r="524">
      <c r="A524">
        <f>IFERROR(INDEX('Email Cleaner'!$B$2:$B$10001,MATCH(523,'Email Cleaner'!$I$2:$I$10001,0)),"")</f>
        <v/>
      </c>
    </row>
    <row r="525">
      <c r="A525">
        <f>IFERROR(INDEX('Email Cleaner'!$B$2:$B$10001,MATCH(524,'Email Cleaner'!$I$2:$I$10001,0)),"")</f>
        <v/>
      </c>
    </row>
    <row r="526">
      <c r="A526">
        <f>IFERROR(INDEX('Email Cleaner'!$B$2:$B$10001,MATCH(525,'Email Cleaner'!$I$2:$I$10001,0)),"")</f>
        <v/>
      </c>
    </row>
    <row r="527">
      <c r="A527">
        <f>IFERROR(INDEX('Email Cleaner'!$B$2:$B$10001,MATCH(526,'Email Cleaner'!$I$2:$I$10001,0)),"")</f>
        <v/>
      </c>
    </row>
    <row r="528">
      <c r="A528">
        <f>IFERROR(INDEX('Email Cleaner'!$B$2:$B$10001,MATCH(527,'Email Cleaner'!$I$2:$I$10001,0)),"")</f>
        <v/>
      </c>
    </row>
    <row r="529">
      <c r="A529">
        <f>IFERROR(INDEX('Email Cleaner'!$B$2:$B$10001,MATCH(528,'Email Cleaner'!$I$2:$I$10001,0)),"")</f>
        <v/>
      </c>
    </row>
    <row r="530">
      <c r="A530">
        <f>IFERROR(INDEX('Email Cleaner'!$B$2:$B$10001,MATCH(529,'Email Cleaner'!$I$2:$I$10001,0)),"")</f>
        <v/>
      </c>
    </row>
    <row r="531">
      <c r="A531">
        <f>IFERROR(INDEX('Email Cleaner'!$B$2:$B$10001,MATCH(530,'Email Cleaner'!$I$2:$I$10001,0)),"")</f>
        <v/>
      </c>
    </row>
    <row r="532">
      <c r="A532">
        <f>IFERROR(INDEX('Email Cleaner'!$B$2:$B$10001,MATCH(531,'Email Cleaner'!$I$2:$I$10001,0)),"")</f>
        <v/>
      </c>
    </row>
    <row r="533">
      <c r="A533">
        <f>IFERROR(INDEX('Email Cleaner'!$B$2:$B$10001,MATCH(532,'Email Cleaner'!$I$2:$I$10001,0)),"")</f>
        <v/>
      </c>
    </row>
    <row r="534">
      <c r="A534">
        <f>IFERROR(INDEX('Email Cleaner'!$B$2:$B$10001,MATCH(533,'Email Cleaner'!$I$2:$I$10001,0)),"")</f>
        <v/>
      </c>
    </row>
    <row r="535">
      <c r="A535">
        <f>IFERROR(INDEX('Email Cleaner'!$B$2:$B$10001,MATCH(534,'Email Cleaner'!$I$2:$I$10001,0)),"")</f>
        <v/>
      </c>
    </row>
    <row r="536">
      <c r="A536">
        <f>IFERROR(INDEX('Email Cleaner'!$B$2:$B$10001,MATCH(535,'Email Cleaner'!$I$2:$I$10001,0)),"")</f>
        <v/>
      </c>
    </row>
    <row r="537">
      <c r="A537">
        <f>IFERROR(INDEX('Email Cleaner'!$B$2:$B$10001,MATCH(536,'Email Cleaner'!$I$2:$I$10001,0)),"")</f>
        <v/>
      </c>
    </row>
    <row r="538">
      <c r="A538">
        <f>IFERROR(INDEX('Email Cleaner'!$B$2:$B$10001,MATCH(537,'Email Cleaner'!$I$2:$I$10001,0)),"")</f>
        <v/>
      </c>
    </row>
    <row r="539">
      <c r="A539">
        <f>IFERROR(INDEX('Email Cleaner'!$B$2:$B$10001,MATCH(538,'Email Cleaner'!$I$2:$I$10001,0)),"")</f>
        <v/>
      </c>
    </row>
    <row r="540">
      <c r="A540">
        <f>IFERROR(INDEX('Email Cleaner'!$B$2:$B$10001,MATCH(539,'Email Cleaner'!$I$2:$I$10001,0)),"")</f>
        <v/>
      </c>
    </row>
    <row r="541">
      <c r="A541">
        <f>IFERROR(INDEX('Email Cleaner'!$B$2:$B$10001,MATCH(540,'Email Cleaner'!$I$2:$I$10001,0)),"")</f>
        <v/>
      </c>
    </row>
    <row r="542">
      <c r="A542">
        <f>IFERROR(INDEX('Email Cleaner'!$B$2:$B$10001,MATCH(541,'Email Cleaner'!$I$2:$I$10001,0)),"")</f>
        <v/>
      </c>
    </row>
    <row r="543">
      <c r="A543">
        <f>IFERROR(INDEX('Email Cleaner'!$B$2:$B$10001,MATCH(542,'Email Cleaner'!$I$2:$I$10001,0)),"")</f>
        <v/>
      </c>
    </row>
    <row r="544">
      <c r="A544">
        <f>IFERROR(INDEX('Email Cleaner'!$B$2:$B$10001,MATCH(543,'Email Cleaner'!$I$2:$I$10001,0)),"")</f>
        <v/>
      </c>
    </row>
    <row r="545">
      <c r="A545">
        <f>IFERROR(INDEX('Email Cleaner'!$B$2:$B$10001,MATCH(544,'Email Cleaner'!$I$2:$I$10001,0)),"")</f>
        <v/>
      </c>
    </row>
    <row r="546">
      <c r="A546">
        <f>IFERROR(INDEX('Email Cleaner'!$B$2:$B$10001,MATCH(545,'Email Cleaner'!$I$2:$I$10001,0)),"")</f>
        <v/>
      </c>
    </row>
    <row r="547">
      <c r="A547">
        <f>IFERROR(INDEX('Email Cleaner'!$B$2:$B$10001,MATCH(546,'Email Cleaner'!$I$2:$I$10001,0)),"")</f>
        <v/>
      </c>
    </row>
    <row r="548">
      <c r="A548">
        <f>IFERROR(INDEX('Email Cleaner'!$B$2:$B$10001,MATCH(547,'Email Cleaner'!$I$2:$I$10001,0)),"")</f>
        <v/>
      </c>
    </row>
    <row r="549">
      <c r="A549">
        <f>IFERROR(INDEX('Email Cleaner'!$B$2:$B$10001,MATCH(548,'Email Cleaner'!$I$2:$I$10001,0)),"")</f>
        <v/>
      </c>
    </row>
    <row r="550">
      <c r="A550">
        <f>IFERROR(INDEX('Email Cleaner'!$B$2:$B$10001,MATCH(549,'Email Cleaner'!$I$2:$I$10001,0)),"")</f>
        <v/>
      </c>
    </row>
    <row r="551">
      <c r="A551">
        <f>IFERROR(INDEX('Email Cleaner'!$B$2:$B$10001,MATCH(550,'Email Cleaner'!$I$2:$I$10001,0)),"")</f>
        <v/>
      </c>
    </row>
    <row r="552">
      <c r="A552">
        <f>IFERROR(INDEX('Email Cleaner'!$B$2:$B$10001,MATCH(551,'Email Cleaner'!$I$2:$I$10001,0)),"")</f>
        <v/>
      </c>
    </row>
    <row r="553">
      <c r="A553">
        <f>IFERROR(INDEX('Email Cleaner'!$B$2:$B$10001,MATCH(552,'Email Cleaner'!$I$2:$I$10001,0)),"")</f>
        <v/>
      </c>
    </row>
    <row r="554">
      <c r="A554">
        <f>IFERROR(INDEX('Email Cleaner'!$B$2:$B$10001,MATCH(553,'Email Cleaner'!$I$2:$I$10001,0)),"")</f>
        <v/>
      </c>
    </row>
    <row r="555">
      <c r="A555">
        <f>IFERROR(INDEX('Email Cleaner'!$B$2:$B$10001,MATCH(554,'Email Cleaner'!$I$2:$I$10001,0)),"")</f>
        <v/>
      </c>
    </row>
    <row r="556">
      <c r="A556">
        <f>IFERROR(INDEX('Email Cleaner'!$B$2:$B$10001,MATCH(555,'Email Cleaner'!$I$2:$I$10001,0)),"")</f>
        <v/>
      </c>
    </row>
    <row r="557">
      <c r="A557">
        <f>IFERROR(INDEX('Email Cleaner'!$B$2:$B$10001,MATCH(556,'Email Cleaner'!$I$2:$I$10001,0)),"")</f>
        <v/>
      </c>
    </row>
    <row r="558">
      <c r="A558">
        <f>IFERROR(INDEX('Email Cleaner'!$B$2:$B$10001,MATCH(557,'Email Cleaner'!$I$2:$I$10001,0)),"")</f>
        <v/>
      </c>
    </row>
    <row r="559">
      <c r="A559">
        <f>IFERROR(INDEX('Email Cleaner'!$B$2:$B$10001,MATCH(558,'Email Cleaner'!$I$2:$I$10001,0)),"")</f>
        <v/>
      </c>
    </row>
    <row r="560">
      <c r="A560">
        <f>IFERROR(INDEX('Email Cleaner'!$B$2:$B$10001,MATCH(559,'Email Cleaner'!$I$2:$I$10001,0)),"")</f>
        <v/>
      </c>
    </row>
    <row r="561">
      <c r="A561">
        <f>IFERROR(INDEX('Email Cleaner'!$B$2:$B$10001,MATCH(560,'Email Cleaner'!$I$2:$I$10001,0)),"")</f>
        <v/>
      </c>
    </row>
    <row r="562">
      <c r="A562">
        <f>IFERROR(INDEX('Email Cleaner'!$B$2:$B$10001,MATCH(561,'Email Cleaner'!$I$2:$I$10001,0)),"")</f>
        <v/>
      </c>
    </row>
    <row r="563">
      <c r="A563">
        <f>IFERROR(INDEX('Email Cleaner'!$B$2:$B$10001,MATCH(562,'Email Cleaner'!$I$2:$I$10001,0)),"")</f>
        <v/>
      </c>
    </row>
    <row r="564">
      <c r="A564">
        <f>IFERROR(INDEX('Email Cleaner'!$B$2:$B$10001,MATCH(563,'Email Cleaner'!$I$2:$I$10001,0)),"")</f>
        <v/>
      </c>
    </row>
    <row r="565">
      <c r="A565">
        <f>IFERROR(INDEX('Email Cleaner'!$B$2:$B$10001,MATCH(564,'Email Cleaner'!$I$2:$I$10001,0)),"")</f>
        <v/>
      </c>
    </row>
    <row r="566">
      <c r="A566">
        <f>IFERROR(INDEX('Email Cleaner'!$B$2:$B$10001,MATCH(565,'Email Cleaner'!$I$2:$I$10001,0)),"")</f>
        <v/>
      </c>
    </row>
    <row r="567">
      <c r="A567">
        <f>IFERROR(INDEX('Email Cleaner'!$B$2:$B$10001,MATCH(566,'Email Cleaner'!$I$2:$I$10001,0)),"")</f>
        <v/>
      </c>
    </row>
    <row r="568">
      <c r="A568">
        <f>IFERROR(INDEX('Email Cleaner'!$B$2:$B$10001,MATCH(567,'Email Cleaner'!$I$2:$I$10001,0)),"")</f>
        <v/>
      </c>
    </row>
    <row r="569">
      <c r="A569">
        <f>IFERROR(INDEX('Email Cleaner'!$B$2:$B$10001,MATCH(568,'Email Cleaner'!$I$2:$I$10001,0)),"")</f>
        <v/>
      </c>
    </row>
    <row r="570">
      <c r="A570">
        <f>IFERROR(INDEX('Email Cleaner'!$B$2:$B$10001,MATCH(569,'Email Cleaner'!$I$2:$I$10001,0)),"")</f>
        <v/>
      </c>
    </row>
    <row r="571">
      <c r="A571">
        <f>IFERROR(INDEX('Email Cleaner'!$B$2:$B$10001,MATCH(570,'Email Cleaner'!$I$2:$I$10001,0)),"")</f>
        <v/>
      </c>
    </row>
    <row r="572">
      <c r="A572">
        <f>IFERROR(INDEX('Email Cleaner'!$B$2:$B$10001,MATCH(571,'Email Cleaner'!$I$2:$I$10001,0)),"")</f>
        <v/>
      </c>
    </row>
    <row r="573">
      <c r="A573">
        <f>IFERROR(INDEX('Email Cleaner'!$B$2:$B$10001,MATCH(572,'Email Cleaner'!$I$2:$I$10001,0)),"")</f>
        <v/>
      </c>
    </row>
    <row r="574">
      <c r="A574">
        <f>IFERROR(INDEX('Email Cleaner'!$B$2:$B$10001,MATCH(573,'Email Cleaner'!$I$2:$I$10001,0)),"")</f>
        <v/>
      </c>
    </row>
    <row r="575">
      <c r="A575">
        <f>IFERROR(INDEX('Email Cleaner'!$B$2:$B$10001,MATCH(574,'Email Cleaner'!$I$2:$I$10001,0)),"")</f>
        <v/>
      </c>
    </row>
    <row r="576">
      <c r="A576">
        <f>IFERROR(INDEX('Email Cleaner'!$B$2:$B$10001,MATCH(575,'Email Cleaner'!$I$2:$I$10001,0)),"")</f>
        <v/>
      </c>
    </row>
    <row r="577">
      <c r="A577">
        <f>IFERROR(INDEX('Email Cleaner'!$B$2:$B$10001,MATCH(576,'Email Cleaner'!$I$2:$I$10001,0)),"")</f>
        <v/>
      </c>
    </row>
    <row r="578">
      <c r="A578">
        <f>IFERROR(INDEX('Email Cleaner'!$B$2:$B$10001,MATCH(577,'Email Cleaner'!$I$2:$I$10001,0)),"")</f>
        <v/>
      </c>
    </row>
    <row r="579">
      <c r="A579">
        <f>IFERROR(INDEX('Email Cleaner'!$B$2:$B$10001,MATCH(578,'Email Cleaner'!$I$2:$I$10001,0)),"")</f>
        <v/>
      </c>
    </row>
    <row r="580">
      <c r="A580">
        <f>IFERROR(INDEX('Email Cleaner'!$B$2:$B$10001,MATCH(579,'Email Cleaner'!$I$2:$I$10001,0)),"")</f>
        <v/>
      </c>
    </row>
    <row r="581">
      <c r="A581">
        <f>IFERROR(INDEX('Email Cleaner'!$B$2:$B$10001,MATCH(580,'Email Cleaner'!$I$2:$I$10001,0)),"")</f>
        <v/>
      </c>
    </row>
    <row r="582">
      <c r="A582">
        <f>IFERROR(INDEX('Email Cleaner'!$B$2:$B$10001,MATCH(581,'Email Cleaner'!$I$2:$I$10001,0)),"")</f>
        <v/>
      </c>
    </row>
    <row r="583">
      <c r="A583">
        <f>IFERROR(INDEX('Email Cleaner'!$B$2:$B$10001,MATCH(582,'Email Cleaner'!$I$2:$I$10001,0)),"")</f>
        <v/>
      </c>
    </row>
    <row r="584">
      <c r="A584">
        <f>IFERROR(INDEX('Email Cleaner'!$B$2:$B$10001,MATCH(583,'Email Cleaner'!$I$2:$I$10001,0)),"")</f>
        <v/>
      </c>
    </row>
    <row r="585">
      <c r="A585">
        <f>IFERROR(INDEX('Email Cleaner'!$B$2:$B$10001,MATCH(584,'Email Cleaner'!$I$2:$I$10001,0)),"")</f>
        <v/>
      </c>
    </row>
    <row r="586">
      <c r="A586">
        <f>IFERROR(INDEX('Email Cleaner'!$B$2:$B$10001,MATCH(585,'Email Cleaner'!$I$2:$I$10001,0)),"")</f>
        <v/>
      </c>
    </row>
    <row r="587">
      <c r="A587">
        <f>IFERROR(INDEX('Email Cleaner'!$B$2:$B$10001,MATCH(586,'Email Cleaner'!$I$2:$I$10001,0)),"")</f>
        <v/>
      </c>
    </row>
    <row r="588">
      <c r="A588">
        <f>IFERROR(INDEX('Email Cleaner'!$B$2:$B$10001,MATCH(587,'Email Cleaner'!$I$2:$I$10001,0)),"")</f>
        <v/>
      </c>
    </row>
    <row r="589">
      <c r="A589">
        <f>IFERROR(INDEX('Email Cleaner'!$B$2:$B$10001,MATCH(588,'Email Cleaner'!$I$2:$I$10001,0)),"")</f>
        <v/>
      </c>
    </row>
    <row r="590">
      <c r="A590">
        <f>IFERROR(INDEX('Email Cleaner'!$B$2:$B$10001,MATCH(589,'Email Cleaner'!$I$2:$I$10001,0)),"")</f>
        <v/>
      </c>
    </row>
    <row r="591">
      <c r="A591">
        <f>IFERROR(INDEX('Email Cleaner'!$B$2:$B$10001,MATCH(590,'Email Cleaner'!$I$2:$I$10001,0)),"")</f>
        <v/>
      </c>
    </row>
    <row r="592">
      <c r="A592">
        <f>IFERROR(INDEX('Email Cleaner'!$B$2:$B$10001,MATCH(591,'Email Cleaner'!$I$2:$I$10001,0)),"")</f>
        <v/>
      </c>
    </row>
    <row r="593">
      <c r="A593">
        <f>IFERROR(INDEX('Email Cleaner'!$B$2:$B$10001,MATCH(592,'Email Cleaner'!$I$2:$I$10001,0)),"")</f>
        <v/>
      </c>
    </row>
    <row r="594">
      <c r="A594">
        <f>IFERROR(INDEX('Email Cleaner'!$B$2:$B$10001,MATCH(593,'Email Cleaner'!$I$2:$I$10001,0)),"")</f>
        <v/>
      </c>
    </row>
    <row r="595">
      <c r="A595">
        <f>IFERROR(INDEX('Email Cleaner'!$B$2:$B$10001,MATCH(594,'Email Cleaner'!$I$2:$I$10001,0)),"")</f>
        <v/>
      </c>
    </row>
    <row r="596">
      <c r="A596">
        <f>IFERROR(INDEX('Email Cleaner'!$B$2:$B$10001,MATCH(595,'Email Cleaner'!$I$2:$I$10001,0)),"")</f>
        <v/>
      </c>
    </row>
    <row r="597">
      <c r="A597">
        <f>IFERROR(INDEX('Email Cleaner'!$B$2:$B$10001,MATCH(596,'Email Cleaner'!$I$2:$I$10001,0)),"")</f>
        <v/>
      </c>
    </row>
    <row r="598">
      <c r="A598">
        <f>IFERROR(INDEX('Email Cleaner'!$B$2:$B$10001,MATCH(597,'Email Cleaner'!$I$2:$I$10001,0)),"")</f>
        <v/>
      </c>
    </row>
    <row r="599">
      <c r="A599">
        <f>IFERROR(INDEX('Email Cleaner'!$B$2:$B$10001,MATCH(598,'Email Cleaner'!$I$2:$I$10001,0)),"")</f>
        <v/>
      </c>
    </row>
    <row r="600">
      <c r="A600">
        <f>IFERROR(INDEX('Email Cleaner'!$B$2:$B$10001,MATCH(599,'Email Cleaner'!$I$2:$I$10001,0)),"")</f>
        <v/>
      </c>
    </row>
    <row r="601">
      <c r="A601">
        <f>IFERROR(INDEX('Email Cleaner'!$B$2:$B$10001,MATCH(600,'Email Cleaner'!$I$2:$I$10001,0)),"")</f>
        <v/>
      </c>
    </row>
    <row r="602">
      <c r="A602">
        <f>IFERROR(INDEX('Email Cleaner'!$B$2:$B$10001,MATCH(601,'Email Cleaner'!$I$2:$I$10001,0)),"")</f>
        <v/>
      </c>
    </row>
    <row r="603">
      <c r="A603">
        <f>IFERROR(INDEX('Email Cleaner'!$B$2:$B$10001,MATCH(602,'Email Cleaner'!$I$2:$I$10001,0)),"")</f>
        <v/>
      </c>
    </row>
    <row r="604">
      <c r="A604">
        <f>IFERROR(INDEX('Email Cleaner'!$B$2:$B$10001,MATCH(603,'Email Cleaner'!$I$2:$I$10001,0)),"")</f>
        <v/>
      </c>
    </row>
    <row r="605">
      <c r="A605">
        <f>IFERROR(INDEX('Email Cleaner'!$B$2:$B$10001,MATCH(604,'Email Cleaner'!$I$2:$I$10001,0)),"")</f>
        <v/>
      </c>
    </row>
    <row r="606">
      <c r="A606">
        <f>IFERROR(INDEX('Email Cleaner'!$B$2:$B$10001,MATCH(605,'Email Cleaner'!$I$2:$I$10001,0)),"")</f>
        <v/>
      </c>
    </row>
    <row r="607">
      <c r="A607">
        <f>IFERROR(INDEX('Email Cleaner'!$B$2:$B$10001,MATCH(606,'Email Cleaner'!$I$2:$I$10001,0)),"")</f>
        <v/>
      </c>
    </row>
    <row r="608">
      <c r="A608">
        <f>IFERROR(INDEX('Email Cleaner'!$B$2:$B$10001,MATCH(607,'Email Cleaner'!$I$2:$I$10001,0)),"")</f>
        <v/>
      </c>
    </row>
    <row r="609">
      <c r="A609">
        <f>IFERROR(INDEX('Email Cleaner'!$B$2:$B$10001,MATCH(608,'Email Cleaner'!$I$2:$I$10001,0)),"")</f>
        <v/>
      </c>
    </row>
    <row r="610">
      <c r="A610">
        <f>IFERROR(INDEX('Email Cleaner'!$B$2:$B$10001,MATCH(609,'Email Cleaner'!$I$2:$I$10001,0)),"")</f>
        <v/>
      </c>
    </row>
    <row r="611">
      <c r="A611">
        <f>IFERROR(INDEX('Email Cleaner'!$B$2:$B$10001,MATCH(610,'Email Cleaner'!$I$2:$I$10001,0)),"")</f>
        <v/>
      </c>
    </row>
    <row r="612">
      <c r="A612">
        <f>IFERROR(INDEX('Email Cleaner'!$B$2:$B$10001,MATCH(611,'Email Cleaner'!$I$2:$I$10001,0)),"")</f>
        <v/>
      </c>
    </row>
    <row r="613">
      <c r="A613">
        <f>IFERROR(INDEX('Email Cleaner'!$B$2:$B$10001,MATCH(612,'Email Cleaner'!$I$2:$I$10001,0)),"")</f>
        <v/>
      </c>
    </row>
    <row r="614">
      <c r="A614">
        <f>IFERROR(INDEX('Email Cleaner'!$B$2:$B$10001,MATCH(613,'Email Cleaner'!$I$2:$I$10001,0)),"")</f>
        <v/>
      </c>
    </row>
    <row r="615">
      <c r="A615">
        <f>IFERROR(INDEX('Email Cleaner'!$B$2:$B$10001,MATCH(614,'Email Cleaner'!$I$2:$I$10001,0)),"")</f>
        <v/>
      </c>
    </row>
    <row r="616">
      <c r="A616">
        <f>IFERROR(INDEX('Email Cleaner'!$B$2:$B$10001,MATCH(615,'Email Cleaner'!$I$2:$I$10001,0)),"")</f>
        <v/>
      </c>
    </row>
    <row r="617">
      <c r="A617">
        <f>IFERROR(INDEX('Email Cleaner'!$B$2:$B$10001,MATCH(616,'Email Cleaner'!$I$2:$I$10001,0)),"")</f>
        <v/>
      </c>
    </row>
    <row r="618">
      <c r="A618">
        <f>IFERROR(INDEX('Email Cleaner'!$B$2:$B$10001,MATCH(617,'Email Cleaner'!$I$2:$I$10001,0)),"")</f>
        <v/>
      </c>
    </row>
    <row r="619">
      <c r="A619">
        <f>IFERROR(INDEX('Email Cleaner'!$B$2:$B$10001,MATCH(618,'Email Cleaner'!$I$2:$I$10001,0)),"")</f>
        <v/>
      </c>
    </row>
    <row r="620">
      <c r="A620">
        <f>IFERROR(INDEX('Email Cleaner'!$B$2:$B$10001,MATCH(619,'Email Cleaner'!$I$2:$I$10001,0)),"")</f>
        <v/>
      </c>
    </row>
    <row r="621">
      <c r="A621">
        <f>IFERROR(INDEX('Email Cleaner'!$B$2:$B$10001,MATCH(620,'Email Cleaner'!$I$2:$I$10001,0)),"")</f>
        <v/>
      </c>
    </row>
    <row r="622">
      <c r="A622">
        <f>IFERROR(INDEX('Email Cleaner'!$B$2:$B$10001,MATCH(621,'Email Cleaner'!$I$2:$I$10001,0)),"")</f>
        <v/>
      </c>
    </row>
    <row r="623">
      <c r="A623">
        <f>IFERROR(INDEX('Email Cleaner'!$B$2:$B$10001,MATCH(622,'Email Cleaner'!$I$2:$I$10001,0)),"")</f>
        <v/>
      </c>
    </row>
    <row r="624">
      <c r="A624">
        <f>IFERROR(INDEX('Email Cleaner'!$B$2:$B$10001,MATCH(623,'Email Cleaner'!$I$2:$I$10001,0)),"")</f>
        <v/>
      </c>
    </row>
    <row r="625">
      <c r="A625">
        <f>IFERROR(INDEX('Email Cleaner'!$B$2:$B$10001,MATCH(624,'Email Cleaner'!$I$2:$I$10001,0)),"")</f>
        <v/>
      </c>
    </row>
    <row r="626">
      <c r="A626">
        <f>IFERROR(INDEX('Email Cleaner'!$B$2:$B$10001,MATCH(625,'Email Cleaner'!$I$2:$I$10001,0)),"")</f>
        <v/>
      </c>
    </row>
    <row r="627">
      <c r="A627">
        <f>IFERROR(INDEX('Email Cleaner'!$B$2:$B$10001,MATCH(626,'Email Cleaner'!$I$2:$I$10001,0)),"")</f>
        <v/>
      </c>
    </row>
    <row r="628">
      <c r="A628">
        <f>IFERROR(INDEX('Email Cleaner'!$B$2:$B$10001,MATCH(627,'Email Cleaner'!$I$2:$I$10001,0)),"")</f>
        <v/>
      </c>
    </row>
    <row r="629">
      <c r="A629">
        <f>IFERROR(INDEX('Email Cleaner'!$B$2:$B$10001,MATCH(628,'Email Cleaner'!$I$2:$I$10001,0)),"")</f>
        <v/>
      </c>
    </row>
    <row r="630">
      <c r="A630">
        <f>IFERROR(INDEX('Email Cleaner'!$B$2:$B$10001,MATCH(629,'Email Cleaner'!$I$2:$I$10001,0)),"")</f>
        <v/>
      </c>
    </row>
    <row r="631">
      <c r="A631">
        <f>IFERROR(INDEX('Email Cleaner'!$B$2:$B$10001,MATCH(630,'Email Cleaner'!$I$2:$I$10001,0)),"")</f>
        <v/>
      </c>
    </row>
    <row r="632">
      <c r="A632">
        <f>IFERROR(INDEX('Email Cleaner'!$B$2:$B$10001,MATCH(631,'Email Cleaner'!$I$2:$I$10001,0)),"")</f>
        <v/>
      </c>
    </row>
    <row r="633">
      <c r="A633">
        <f>IFERROR(INDEX('Email Cleaner'!$B$2:$B$10001,MATCH(632,'Email Cleaner'!$I$2:$I$10001,0)),"")</f>
        <v/>
      </c>
    </row>
    <row r="634">
      <c r="A634">
        <f>IFERROR(INDEX('Email Cleaner'!$B$2:$B$10001,MATCH(633,'Email Cleaner'!$I$2:$I$10001,0)),"")</f>
        <v/>
      </c>
    </row>
    <row r="635">
      <c r="A635">
        <f>IFERROR(INDEX('Email Cleaner'!$B$2:$B$10001,MATCH(634,'Email Cleaner'!$I$2:$I$10001,0)),"")</f>
        <v/>
      </c>
    </row>
    <row r="636">
      <c r="A636">
        <f>IFERROR(INDEX('Email Cleaner'!$B$2:$B$10001,MATCH(635,'Email Cleaner'!$I$2:$I$10001,0)),"")</f>
        <v/>
      </c>
    </row>
    <row r="637">
      <c r="A637">
        <f>IFERROR(INDEX('Email Cleaner'!$B$2:$B$10001,MATCH(636,'Email Cleaner'!$I$2:$I$10001,0)),"")</f>
        <v/>
      </c>
    </row>
    <row r="638">
      <c r="A638">
        <f>IFERROR(INDEX('Email Cleaner'!$B$2:$B$10001,MATCH(637,'Email Cleaner'!$I$2:$I$10001,0)),"")</f>
        <v/>
      </c>
    </row>
    <row r="639">
      <c r="A639">
        <f>IFERROR(INDEX('Email Cleaner'!$B$2:$B$10001,MATCH(638,'Email Cleaner'!$I$2:$I$10001,0)),"")</f>
        <v/>
      </c>
    </row>
    <row r="640">
      <c r="A640">
        <f>IFERROR(INDEX('Email Cleaner'!$B$2:$B$10001,MATCH(639,'Email Cleaner'!$I$2:$I$10001,0)),"")</f>
        <v/>
      </c>
    </row>
    <row r="641">
      <c r="A641">
        <f>IFERROR(INDEX('Email Cleaner'!$B$2:$B$10001,MATCH(640,'Email Cleaner'!$I$2:$I$10001,0)),"")</f>
        <v/>
      </c>
    </row>
    <row r="642">
      <c r="A642">
        <f>IFERROR(INDEX('Email Cleaner'!$B$2:$B$10001,MATCH(641,'Email Cleaner'!$I$2:$I$10001,0)),"")</f>
        <v/>
      </c>
    </row>
    <row r="643">
      <c r="A643">
        <f>IFERROR(INDEX('Email Cleaner'!$B$2:$B$10001,MATCH(642,'Email Cleaner'!$I$2:$I$10001,0)),"")</f>
        <v/>
      </c>
    </row>
    <row r="644">
      <c r="A644">
        <f>IFERROR(INDEX('Email Cleaner'!$B$2:$B$10001,MATCH(643,'Email Cleaner'!$I$2:$I$10001,0)),"")</f>
        <v/>
      </c>
    </row>
    <row r="645">
      <c r="A645">
        <f>IFERROR(INDEX('Email Cleaner'!$B$2:$B$10001,MATCH(644,'Email Cleaner'!$I$2:$I$10001,0)),"")</f>
        <v/>
      </c>
    </row>
    <row r="646">
      <c r="A646">
        <f>IFERROR(INDEX('Email Cleaner'!$B$2:$B$10001,MATCH(645,'Email Cleaner'!$I$2:$I$10001,0)),"")</f>
        <v/>
      </c>
    </row>
    <row r="647">
      <c r="A647">
        <f>IFERROR(INDEX('Email Cleaner'!$B$2:$B$10001,MATCH(646,'Email Cleaner'!$I$2:$I$10001,0)),"")</f>
        <v/>
      </c>
    </row>
    <row r="648">
      <c r="A648">
        <f>IFERROR(INDEX('Email Cleaner'!$B$2:$B$10001,MATCH(647,'Email Cleaner'!$I$2:$I$10001,0)),"")</f>
        <v/>
      </c>
    </row>
    <row r="649">
      <c r="A649">
        <f>IFERROR(INDEX('Email Cleaner'!$B$2:$B$10001,MATCH(648,'Email Cleaner'!$I$2:$I$10001,0)),"")</f>
        <v/>
      </c>
    </row>
    <row r="650">
      <c r="A650">
        <f>IFERROR(INDEX('Email Cleaner'!$B$2:$B$10001,MATCH(649,'Email Cleaner'!$I$2:$I$10001,0)),"")</f>
        <v/>
      </c>
    </row>
    <row r="651">
      <c r="A651">
        <f>IFERROR(INDEX('Email Cleaner'!$B$2:$B$10001,MATCH(650,'Email Cleaner'!$I$2:$I$10001,0)),"")</f>
        <v/>
      </c>
    </row>
    <row r="652">
      <c r="A652">
        <f>IFERROR(INDEX('Email Cleaner'!$B$2:$B$10001,MATCH(651,'Email Cleaner'!$I$2:$I$10001,0)),"")</f>
        <v/>
      </c>
    </row>
    <row r="653">
      <c r="A653">
        <f>IFERROR(INDEX('Email Cleaner'!$B$2:$B$10001,MATCH(652,'Email Cleaner'!$I$2:$I$10001,0)),"")</f>
        <v/>
      </c>
    </row>
    <row r="654">
      <c r="A654">
        <f>IFERROR(INDEX('Email Cleaner'!$B$2:$B$10001,MATCH(653,'Email Cleaner'!$I$2:$I$10001,0)),"")</f>
        <v/>
      </c>
    </row>
    <row r="655">
      <c r="A655">
        <f>IFERROR(INDEX('Email Cleaner'!$B$2:$B$10001,MATCH(654,'Email Cleaner'!$I$2:$I$10001,0)),"")</f>
        <v/>
      </c>
    </row>
    <row r="656">
      <c r="A656">
        <f>IFERROR(INDEX('Email Cleaner'!$B$2:$B$10001,MATCH(655,'Email Cleaner'!$I$2:$I$10001,0)),"")</f>
        <v/>
      </c>
    </row>
    <row r="657">
      <c r="A657">
        <f>IFERROR(INDEX('Email Cleaner'!$B$2:$B$10001,MATCH(656,'Email Cleaner'!$I$2:$I$10001,0)),"")</f>
        <v/>
      </c>
    </row>
    <row r="658">
      <c r="A658">
        <f>IFERROR(INDEX('Email Cleaner'!$B$2:$B$10001,MATCH(657,'Email Cleaner'!$I$2:$I$10001,0)),"")</f>
        <v/>
      </c>
    </row>
    <row r="659">
      <c r="A659">
        <f>IFERROR(INDEX('Email Cleaner'!$B$2:$B$10001,MATCH(658,'Email Cleaner'!$I$2:$I$10001,0)),"")</f>
        <v/>
      </c>
    </row>
    <row r="660">
      <c r="A660">
        <f>IFERROR(INDEX('Email Cleaner'!$B$2:$B$10001,MATCH(659,'Email Cleaner'!$I$2:$I$10001,0)),"")</f>
        <v/>
      </c>
    </row>
    <row r="661">
      <c r="A661">
        <f>IFERROR(INDEX('Email Cleaner'!$B$2:$B$10001,MATCH(660,'Email Cleaner'!$I$2:$I$10001,0)),"")</f>
        <v/>
      </c>
    </row>
    <row r="662">
      <c r="A662">
        <f>IFERROR(INDEX('Email Cleaner'!$B$2:$B$10001,MATCH(661,'Email Cleaner'!$I$2:$I$10001,0)),"")</f>
        <v/>
      </c>
    </row>
    <row r="663">
      <c r="A663">
        <f>IFERROR(INDEX('Email Cleaner'!$B$2:$B$10001,MATCH(662,'Email Cleaner'!$I$2:$I$10001,0)),"")</f>
        <v/>
      </c>
    </row>
    <row r="664">
      <c r="A664">
        <f>IFERROR(INDEX('Email Cleaner'!$B$2:$B$10001,MATCH(663,'Email Cleaner'!$I$2:$I$10001,0)),"")</f>
        <v/>
      </c>
    </row>
    <row r="665">
      <c r="A665">
        <f>IFERROR(INDEX('Email Cleaner'!$B$2:$B$10001,MATCH(664,'Email Cleaner'!$I$2:$I$10001,0)),"")</f>
        <v/>
      </c>
    </row>
    <row r="666">
      <c r="A666">
        <f>IFERROR(INDEX('Email Cleaner'!$B$2:$B$10001,MATCH(665,'Email Cleaner'!$I$2:$I$10001,0)),"")</f>
        <v/>
      </c>
    </row>
    <row r="667">
      <c r="A667">
        <f>IFERROR(INDEX('Email Cleaner'!$B$2:$B$10001,MATCH(666,'Email Cleaner'!$I$2:$I$10001,0)),"")</f>
        <v/>
      </c>
    </row>
    <row r="668">
      <c r="A668">
        <f>IFERROR(INDEX('Email Cleaner'!$B$2:$B$10001,MATCH(667,'Email Cleaner'!$I$2:$I$10001,0)),"")</f>
        <v/>
      </c>
    </row>
    <row r="669">
      <c r="A669">
        <f>IFERROR(INDEX('Email Cleaner'!$B$2:$B$10001,MATCH(668,'Email Cleaner'!$I$2:$I$10001,0)),"")</f>
        <v/>
      </c>
    </row>
    <row r="670">
      <c r="A670">
        <f>IFERROR(INDEX('Email Cleaner'!$B$2:$B$10001,MATCH(669,'Email Cleaner'!$I$2:$I$10001,0)),"")</f>
        <v/>
      </c>
    </row>
    <row r="671">
      <c r="A671">
        <f>IFERROR(INDEX('Email Cleaner'!$B$2:$B$10001,MATCH(670,'Email Cleaner'!$I$2:$I$10001,0)),"")</f>
        <v/>
      </c>
    </row>
    <row r="672">
      <c r="A672">
        <f>IFERROR(INDEX('Email Cleaner'!$B$2:$B$10001,MATCH(671,'Email Cleaner'!$I$2:$I$10001,0)),"")</f>
        <v/>
      </c>
    </row>
    <row r="673">
      <c r="A673">
        <f>IFERROR(INDEX('Email Cleaner'!$B$2:$B$10001,MATCH(672,'Email Cleaner'!$I$2:$I$10001,0)),"")</f>
        <v/>
      </c>
    </row>
    <row r="674">
      <c r="A674">
        <f>IFERROR(INDEX('Email Cleaner'!$B$2:$B$10001,MATCH(673,'Email Cleaner'!$I$2:$I$10001,0)),"")</f>
        <v/>
      </c>
    </row>
    <row r="675">
      <c r="A675">
        <f>IFERROR(INDEX('Email Cleaner'!$B$2:$B$10001,MATCH(674,'Email Cleaner'!$I$2:$I$10001,0)),"")</f>
        <v/>
      </c>
    </row>
    <row r="676">
      <c r="A676">
        <f>IFERROR(INDEX('Email Cleaner'!$B$2:$B$10001,MATCH(675,'Email Cleaner'!$I$2:$I$10001,0)),"")</f>
        <v/>
      </c>
    </row>
    <row r="677">
      <c r="A677">
        <f>IFERROR(INDEX('Email Cleaner'!$B$2:$B$10001,MATCH(676,'Email Cleaner'!$I$2:$I$10001,0)),"")</f>
        <v/>
      </c>
    </row>
    <row r="678">
      <c r="A678">
        <f>IFERROR(INDEX('Email Cleaner'!$B$2:$B$10001,MATCH(677,'Email Cleaner'!$I$2:$I$10001,0)),"")</f>
        <v/>
      </c>
    </row>
    <row r="679">
      <c r="A679">
        <f>IFERROR(INDEX('Email Cleaner'!$B$2:$B$10001,MATCH(678,'Email Cleaner'!$I$2:$I$10001,0)),"")</f>
        <v/>
      </c>
    </row>
    <row r="680">
      <c r="A680">
        <f>IFERROR(INDEX('Email Cleaner'!$B$2:$B$10001,MATCH(679,'Email Cleaner'!$I$2:$I$10001,0)),"")</f>
        <v/>
      </c>
    </row>
    <row r="681">
      <c r="A681">
        <f>IFERROR(INDEX('Email Cleaner'!$B$2:$B$10001,MATCH(680,'Email Cleaner'!$I$2:$I$10001,0)),"")</f>
        <v/>
      </c>
    </row>
    <row r="682">
      <c r="A682">
        <f>IFERROR(INDEX('Email Cleaner'!$B$2:$B$10001,MATCH(681,'Email Cleaner'!$I$2:$I$10001,0)),"")</f>
        <v/>
      </c>
    </row>
    <row r="683">
      <c r="A683">
        <f>IFERROR(INDEX('Email Cleaner'!$B$2:$B$10001,MATCH(682,'Email Cleaner'!$I$2:$I$10001,0)),"")</f>
        <v/>
      </c>
    </row>
    <row r="684">
      <c r="A684">
        <f>IFERROR(INDEX('Email Cleaner'!$B$2:$B$10001,MATCH(683,'Email Cleaner'!$I$2:$I$10001,0)),"")</f>
        <v/>
      </c>
    </row>
    <row r="685">
      <c r="A685">
        <f>IFERROR(INDEX('Email Cleaner'!$B$2:$B$10001,MATCH(684,'Email Cleaner'!$I$2:$I$10001,0)),"")</f>
        <v/>
      </c>
    </row>
    <row r="686">
      <c r="A686">
        <f>IFERROR(INDEX('Email Cleaner'!$B$2:$B$10001,MATCH(685,'Email Cleaner'!$I$2:$I$10001,0)),"")</f>
        <v/>
      </c>
    </row>
    <row r="687">
      <c r="A687">
        <f>IFERROR(INDEX('Email Cleaner'!$B$2:$B$10001,MATCH(686,'Email Cleaner'!$I$2:$I$10001,0)),"")</f>
        <v/>
      </c>
    </row>
    <row r="688">
      <c r="A688">
        <f>IFERROR(INDEX('Email Cleaner'!$B$2:$B$10001,MATCH(687,'Email Cleaner'!$I$2:$I$10001,0)),"")</f>
        <v/>
      </c>
    </row>
    <row r="689">
      <c r="A689">
        <f>IFERROR(INDEX('Email Cleaner'!$B$2:$B$10001,MATCH(688,'Email Cleaner'!$I$2:$I$10001,0)),"")</f>
        <v/>
      </c>
    </row>
    <row r="690">
      <c r="A690">
        <f>IFERROR(INDEX('Email Cleaner'!$B$2:$B$10001,MATCH(689,'Email Cleaner'!$I$2:$I$10001,0)),"")</f>
        <v/>
      </c>
    </row>
    <row r="691">
      <c r="A691">
        <f>IFERROR(INDEX('Email Cleaner'!$B$2:$B$10001,MATCH(690,'Email Cleaner'!$I$2:$I$10001,0)),"")</f>
        <v/>
      </c>
    </row>
    <row r="692">
      <c r="A692">
        <f>IFERROR(INDEX('Email Cleaner'!$B$2:$B$10001,MATCH(691,'Email Cleaner'!$I$2:$I$10001,0)),"")</f>
        <v/>
      </c>
    </row>
    <row r="693">
      <c r="A693">
        <f>IFERROR(INDEX('Email Cleaner'!$B$2:$B$10001,MATCH(692,'Email Cleaner'!$I$2:$I$10001,0)),"")</f>
        <v/>
      </c>
    </row>
    <row r="694">
      <c r="A694">
        <f>IFERROR(INDEX('Email Cleaner'!$B$2:$B$10001,MATCH(693,'Email Cleaner'!$I$2:$I$10001,0)),"")</f>
        <v/>
      </c>
    </row>
    <row r="695">
      <c r="A695">
        <f>IFERROR(INDEX('Email Cleaner'!$B$2:$B$10001,MATCH(694,'Email Cleaner'!$I$2:$I$10001,0)),"")</f>
        <v/>
      </c>
    </row>
    <row r="696">
      <c r="A696">
        <f>IFERROR(INDEX('Email Cleaner'!$B$2:$B$10001,MATCH(695,'Email Cleaner'!$I$2:$I$10001,0)),"")</f>
        <v/>
      </c>
    </row>
    <row r="697">
      <c r="A697">
        <f>IFERROR(INDEX('Email Cleaner'!$B$2:$B$10001,MATCH(696,'Email Cleaner'!$I$2:$I$10001,0)),"")</f>
        <v/>
      </c>
    </row>
    <row r="698">
      <c r="A698">
        <f>IFERROR(INDEX('Email Cleaner'!$B$2:$B$10001,MATCH(697,'Email Cleaner'!$I$2:$I$10001,0)),"")</f>
        <v/>
      </c>
    </row>
    <row r="699">
      <c r="A699">
        <f>IFERROR(INDEX('Email Cleaner'!$B$2:$B$10001,MATCH(698,'Email Cleaner'!$I$2:$I$10001,0)),"")</f>
        <v/>
      </c>
    </row>
    <row r="700">
      <c r="A700">
        <f>IFERROR(INDEX('Email Cleaner'!$B$2:$B$10001,MATCH(699,'Email Cleaner'!$I$2:$I$10001,0)),"")</f>
        <v/>
      </c>
    </row>
    <row r="701">
      <c r="A701">
        <f>IFERROR(INDEX('Email Cleaner'!$B$2:$B$10001,MATCH(700,'Email Cleaner'!$I$2:$I$10001,0)),"")</f>
        <v/>
      </c>
    </row>
    <row r="702">
      <c r="A702">
        <f>IFERROR(INDEX('Email Cleaner'!$B$2:$B$10001,MATCH(701,'Email Cleaner'!$I$2:$I$10001,0)),"")</f>
        <v/>
      </c>
    </row>
    <row r="703">
      <c r="A703">
        <f>IFERROR(INDEX('Email Cleaner'!$B$2:$B$10001,MATCH(702,'Email Cleaner'!$I$2:$I$10001,0)),"")</f>
        <v/>
      </c>
    </row>
    <row r="704">
      <c r="A704">
        <f>IFERROR(INDEX('Email Cleaner'!$B$2:$B$10001,MATCH(703,'Email Cleaner'!$I$2:$I$10001,0)),"")</f>
        <v/>
      </c>
    </row>
    <row r="705">
      <c r="A705">
        <f>IFERROR(INDEX('Email Cleaner'!$B$2:$B$10001,MATCH(704,'Email Cleaner'!$I$2:$I$10001,0)),"")</f>
        <v/>
      </c>
    </row>
    <row r="706">
      <c r="A706">
        <f>IFERROR(INDEX('Email Cleaner'!$B$2:$B$10001,MATCH(705,'Email Cleaner'!$I$2:$I$10001,0)),"")</f>
        <v/>
      </c>
    </row>
    <row r="707">
      <c r="A707">
        <f>IFERROR(INDEX('Email Cleaner'!$B$2:$B$10001,MATCH(706,'Email Cleaner'!$I$2:$I$10001,0)),"")</f>
        <v/>
      </c>
    </row>
    <row r="708">
      <c r="A708">
        <f>IFERROR(INDEX('Email Cleaner'!$B$2:$B$10001,MATCH(707,'Email Cleaner'!$I$2:$I$10001,0)),"")</f>
        <v/>
      </c>
    </row>
    <row r="709">
      <c r="A709">
        <f>IFERROR(INDEX('Email Cleaner'!$B$2:$B$10001,MATCH(708,'Email Cleaner'!$I$2:$I$10001,0)),"")</f>
        <v/>
      </c>
    </row>
    <row r="710">
      <c r="A710">
        <f>IFERROR(INDEX('Email Cleaner'!$B$2:$B$10001,MATCH(709,'Email Cleaner'!$I$2:$I$10001,0)),"")</f>
        <v/>
      </c>
    </row>
    <row r="711">
      <c r="A711">
        <f>IFERROR(INDEX('Email Cleaner'!$B$2:$B$10001,MATCH(710,'Email Cleaner'!$I$2:$I$10001,0)),"")</f>
        <v/>
      </c>
    </row>
    <row r="712">
      <c r="A712">
        <f>IFERROR(INDEX('Email Cleaner'!$B$2:$B$10001,MATCH(711,'Email Cleaner'!$I$2:$I$10001,0)),"")</f>
        <v/>
      </c>
    </row>
    <row r="713">
      <c r="A713">
        <f>IFERROR(INDEX('Email Cleaner'!$B$2:$B$10001,MATCH(712,'Email Cleaner'!$I$2:$I$10001,0)),"")</f>
        <v/>
      </c>
    </row>
    <row r="714">
      <c r="A714">
        <f>IFERROR(INDEX('Email Cleaner'!$B$2:$B$10001,MATCH(713,'Email Cleaner'!$I$2:$I$10001,0)),"")</f>
        <v/>
      </c>
    </row>
    <row r="715">
      <c r="A715">
        <f>IFERROR(INDEX('Email Cleaner'!$B$2:$B$10001,MATCH(714,'Email Cleaner'!$I$2:$I$10001,0)),"")</f>
        <v/>
      </c>
    </row>
    <row r="716">
      <c r="A716">
        <f>IFERROR(INDEX('Email Cleaner'!$B$2:$B$10001,MATCH(715,'Email Cleaner'!$I$2:$I$10001,0)),"")</f>
        <v/>
      </c>
    </row>
    <row r="717">
      <c r="A717">
        <f>IFERROR(INDEX('Email Cleaner'!$B$2:$B$10001,MATCH(716,'Email Cleaner'!$I$2:$I$10001,0)),"")</f>
        <v/>
      </c>
    </row>
    <row r="718">
      <c r="A718">
        <f>IFERROR(INDEX('Email Cleaner'!$B$2:$B$10001,MATCH(717,'Email Cleaner'!$I$2:$I$10001,0)),"")</f>
        <v/>
      </c>
    </row>
    <row r="719">
      <c r="A719">
        <f>IFERROR(INDEX('Email Cleaner'!$B$2:$B$10001,MATCH(718,'Email Cleaner'!$I$2:$I$10001,0)),"")</f>
        <v/>
      </c>
    </row>
    <row r="720">
      <c r="A720">
        <f>IFERROR(INDEX('Email Cleaner'!$B$2:$B$10001,MATCH(719,'Email Cleaner'!$I$2:$I$10001,0)),"")</f>
        <v/>
      </c>
    </row>
    <row r="721">
      <c r="A721">
        <f>IFERROR(INDEX('Email Cleaner'!$B$2:$B$10001,MATCH(720,'Email Cleaner'!$I$2:$I$10001,0)),"")</f>
        <v/>
      </c>
    </row>
    <row r="722">
      <c r="A722">
        <f>IFERROR(INDEX('Email Cleaner'!$B$2:$B$10001,MATCH(721,'Email Cleaner'!$I$2:$I$10001,0)),"")</f>
        <v/>
      </c>
    </row>
    <row r="723">
      <c r="A723">
        <f>IFERROR(INDEX('Email Cleaner'!$B$2:$B$10001,MATCH(722,'Email Cleaner'!$I$2:$I$10001,0)),"")</f>
        <v/>
      </c>
    </row>
    <row r="724">
      <c r="A724">
        <f>IFERROR(INDEX('Email Cleaner'!$B$2:$B$10001,MATCH(723,'Email Cleaner'!$I$2:$I$10001,0)),"")</f>
        <v/>
      </c>
    </row>
    <row r="725">
      <c r="A725">
        <f>IFERROR(INDEX('Email Cleaner'!$B$2:$B$10001,MATCH(724,'Email Cleaner'!$I$2:$I$10001,0)),"")</f>
        <v/>
      </c>
    </row>
    <row r="726">
      <c r="A726">
        <f>IFERROR(INDEX('Email Cleaner'!$B$2:$B$10001,MATCH(725,'Email Cleaner'!$I$2:$I$10001,0)),"")</f>
        <v/>
      </c>
    </row>
    <row r="727">
      <c r="A727">
        <f>IFERROR(INDEX('Email Cleaner'!$B$2:$B$10001,MATCH(726,'Email Cleaner'!$I$2:$I$10001,0)),"")</f>
        <v/>
      </c>
    </row>
    <row r="728">
      <c r="A728">
        <f>IFERROR(INDEX('Email Cleaner'!$B$2:$B$10001,MATCH(727,'Email Cleaner'!$I$2:$I$10001,0)),"")</f>
        <v/>
      </c>
    </row>
    <row r="729">
      <c r="A729">
        <f>IFERROR(INDEX('Email Cleaner'!$B$2:$B$10001,MATCH(728,'Email Cleaner'!$I$2:$I$10001,0)),"")</f>
        <v/>
      </c>
    </row>
    <row r="730">
      <c r="A730">
        <f>IFERROR(INDEX('Email Cleaner'!$B$2:$B$10001,MATCH(729,'Email Cleaner'!$I$2:$I$10001,0)),"")</f>
        <v/>
      </c>
    </row>
    <row r="731">
      <c r="A731">
        <f>IFERROR(INDEX('Email Cleaner'!$B$2:$B$10001,MATCH(730,'Email Cleaner'!$I$2:$I$10001,0)),"")</f>
        <v/>
      </c>
    </row>
    <row r="732">
      <c r="A732">
        <f>IFERROR(INDEX('Email Cleaner'!$B$2:$B$10001,MATCH(731,'Email Cleaner'!$I$2:$I$10001,0)),"")</f>
        <v/>
      </c>
    </row>
    <row r="733">
      <c r="A733">
        <f>IFERROR(INDEX('Email Cleaner'!$B$2:$B$10001,MATCH(732,'Email Cleaner'!$I$2:$I$10001,0)),"")</f>
        <v/>
      </c>
    </row>
    <row r="734">
      <c r="A734">
        <f>IFERROR(INDEX('Email Cleaner'!$B$2:$B$10001,MATCH(733,'Email Cleaner'!$I$2:$I$10001,0)),"")</f>
        <v/>
      </c>
    </row>
    <row r="735">
      <c r="A735">
        <f>IFERROR(INDEX('Email Cleaner'!$B$2:$B$10001,MATCH(734,'Email Cleaner'!$I$2:$I$10001,0)),"")</f>
        <v/>
      </c>
    </row>
    <row r="736">
      <c r="A736">
        <f>IFERROR(INDEX('Email Cleaner'!$B$2:$B$10001,MATCH(735,'Email Cleaner'!$I$2:$I$10001,0)),"")</f>
        <v/>
      </c>
    </row>
    <row r="737">
      <c r="A737">
        <f>IFERROR(INDEX('Email Cleaner'!$B$2:$B$10001,MATCH(736,'Email Cleaner'!$I$2:$I$10001,0)),"")</f>
        <v/>
      </c>
    </row>
    <row r="738">
      <c r="A738">
        <f>IFERROR(INDEX('Email Cleaner'!$B$2:$B$10001,MATCH(737,'Email Cleaner'!$I$2:$I$10001,0)),"")</f>
        <v/>
      </c>
    </row>
    <row r="739">
      <c r="A739">
        <f>IFERROR(INDEX('Email Cleaner'!$B$2:$B$10001,MATCH(738,'Email Cleaner'!$I$2:$I$10001,0)),"")</f>
        <v/>
      </c>
    </row>
    <row r="740">
      <c r="A740">
        <f>IFERROR(INDEX('Email Cleaner'!$B$2:$B$10001,MATCH(739,'Email Cleaner'!$I$2:$I$10001,0)),"")</f>
        <v/>
      </c>
    </row>
    <row r="741">
      <c r="A741">
        <f>IFERROR(INDEX('Email Cleaner'!$B$2:$B$10001,MATCH(740,'Email Cleaner'!$I$2:$I$10001,0)),"")</f>
        <v/>
      </c>
    </row>
    <row r="742">
      <c r="A742">
        <f>IFERROR(INDEX('Email Cleaner'!$B$2:$B$10001,MATCH(741,'Email Cleaner'!$I$2:$I$10001,0)),"")</f>
        <v/>
      </c>
    </row>
    <row r="743">
      <c r="A743">
        <f>IFERROR(INDEX('Email Cleaner'!$B$2:$B$10001,MATCH(742,'Email Cleaner'!$I$2:$I$10001,0)),"")</f>
        <v/>
      </c>
    </row>
    <row r="744">
      <c r="A744">
        <f>IFERROR(INDEX('Email Cleaner'!$B$2:$B$10001,MATCH(743,'Email Cleaner'!$I$2:$I$10001,0)),"")</f>
        <v/>
      </c>
    </row>
    <row r="745">
      <c r="A745">
        <f>IFERROR(INDEX('Email Cleaner'!$B$2:$B$10001,MATCH(744,'Email Cleaner'!$I$2:$I$10001,0)),"")</f>
        <v/>
      </c>
    </row>
    <row r="746">
      <c r="A746">
        <f>IFERROR(INDEX('Email Cleaner'!$B$2:$B$10001,MATCH(745,'Email Cleaner'!$I$2:$I$10001,0)),"")</f>
        <v/>
      </c>
    </row>
    <row r="747">
      <c r="A747">
        <f>IFERROR(INDEX('Email Cleaner'!$B$2:$B$10001,MATCH(746,'Email Cleaner'!$I$2:$I$10001,0)),"")</f>
        <v/>
      </c>
    </row>
    <row r="748">
      <c r="A748">
        <f>IFERROR(INDEX('Email Cleaner'!$B$2:$B$10001,MATCH(747,'Email Cleaner'!$I$2:$I$10001,0)),"")</f>
        <v/>
      </c>
    </row>
    <row r="749">
      <c r="A749">
        <f>IFERROR(INDEX('Email Cleaner'!$B$2:$B$10001,MATCH(748,'Email Cleaner'!$I$2:$I$10001,0)),"")</f>
        <v/>
      </c>
    </row>
    <row r="750">
      <c r="A750">
        <f>IFERROR(INDEX('Email Cleaner'!$B$2:$B$10001,MATCH(749,'Email Cleaner'!$I$2:$I$10001,0)),"")</f>
        <v/>
      </c>
    </row>
    <row r="751">
      <c r="A751">
        <f>IFERROR(INDEX('Email Cleaner'!$B$2:$B$10001,MATCH(750,'Email Cleaner'!$I$2:$I$10001,0)),"")</f>
        <v/>
      </c>
    </row>
    <row r="752">
      <c r="A752">
        <f>IFERROR(INDEX('Email Cleaner'!$B$2:$B$10001,MATCH(751,'Email Cleaner'!$I$2:$I$10001,0)),"")</f>
        <v/>
      </c>
    </row>
    <row r="753">
      <c r="A753">
        <f>IFERROR(INDEX('Email Cleaner'!$B$2:$B$10001,MATCH(752,'Email Cleaner'!$I$2:$I$10001,0)),"")</f>
        <v/>
      </c>
    </row>
    <row r="754">
      <c r="A754">
        <f>IFERROR(INDEX('Email Cleaner'!$B$2:$B$10001,MATCH(753,'Email Cleaner'!$I$2:$I$10001,0)),"")</f>
        <v/>
      </c>
    </row>
    <row r="755">
      <c r="A755">
        <f>IFERROR(INDEX('Email Cleaner'!$B$2:$B$10001,MATCH(754,'Email Cleaner'!$I$2:$I$10001,0)),"")</f>
        <v/>
      </c>
    </row>
    <row r="756">
      <c r="A756">
        <f>IFERROR(INDEX('Email Cleaner'!$B$2:$B$10001,MATCH(755,'Email Cleaner'!$I$2:$I$10001,0)),"")</f>
        <v/>
      </c>
    </row>
    <row r="757">
      <c r="A757">
        <f>IFERROR(INDEX('Email Cleaner'!$B$2:$B$10001,MATCH(756,'Email Cleaner'!$I$2:$I$10001,0)),"")</f>
        <v/>
      </c>
    </row>
    <row r="758">
      <c r="A758">
        <f>IFERROR(INDEX('Email Cleaner'!$B$2:$B$10001,MATCH(757,'Email Cleaner'!$I$2:$I$10001,0)),"")</f>
        <v/>
      </c>
    </row>
    <row r="759">
      <c r="A759">
        <f>IFERROR(INDEX('Email Cleaner'!$B$2:$B$10001,MATCH(758,'Email Cleaner'!$I$2:$I$10001,0)),"")</f>
        <v/>
      </c>
    </row>
    <row r="760">
      <c r="A760">
        <f>IFERROR(INDEX('Email Cleaner'!$B$2:$B$10001,MATCH(759,'Email Cleaner'!$I$2:$I$10001,0)),"")</f>
        <v/>
      </c>
    </row>
    <row r="761">
      <c r="A761">
        <f>IFERROR(INDEX('Email Cleaner'!$B$2:$B$10001,MATCH(760,'Email Cleaner'!$I$2:$I$10001,0)),"")</f>
        <v/>
      </c>
    </row>
    <row r="762">
      <c r="A762">
        <f>IFERROR(INDEX('Email Cleaner'!$B$2:$B$10001,MATCH(761,'Email Cleaner'!$I$2:$I$10001,0)),"")</f>
        <v/>
      </c>
    </row>
    <row r="763">
      <c r="A763">
        <f>IFERROR(INDEX('Email Cleaner'!$B$2:$B$10001,MATCH(762,'Email Cleaner'!$I$2:$I$10001,0)),"")</f>
        <v/>
      </c>
    </row>
    <row r="764">
      <c r="A764">
        <f>IFERROR(INDEX('Email Cleaner'!$B$2:$B$10001,MATCH(763,'Email Cleaner'!$I$2:$I$10001,0)),"")</f>
        <v/>
      </c>
    </row>
    <row r="765">
      <c r="A765">
        <f>IFERROR(INDEX('Email Cleaner'!$B$2:$B$10001,MATCH(764,'Email Cleaner'!$I$2:$I$10001,0)),"")</f>
        <v/>
      </c>
    </row>
    <row r="766">
      <c r="A766">
        <f>IFERROR(INDEX('Email Cleaner'!$B$2:$B$10001,MATCH(765,'Email Cleaner'!$I$2:$I$10001,0)),"")</f>
        <v/>
      </c>
    </row>
    <row r="767">
      <c r="A767">
        <f>IFERROR(INDEX('Email Cleaner'!$B$2:$B$10001,MATCH(766,'Email Cleaner'!$I$2:$I$10001,0)),"")</f>
        <v/>
      </c>
    </row>
    <row r="768">
      <c r="A768">
        <f>IFERROR(INDEX('Email Cleaner'!$B$2:$B$10001,MATCH(767,'Email Cleaner'!$I$2:$I$10001,0)),"")</f>
        <v/>
      </c>
    </row>
    <row r="769">
      <c r="A769">
        <f>IFERROR(INDEX('Email Cleaner'!$B$2:$B$10001,MATCH(768,'Email Cleaner'!$I$2:$I$10001,0)),"")</f>
        <v/>
      </c>
    </row>
    <row r="770">
      <c r="A770">
        <f>IFERROR(INDEX('Email Cleaner'!$B$2:$B$10001,MATCH(769,'Email Cleaner'!$I$2:$I$10001,0)),"")</f>
        <v/>
      </c>
    </row>
    <row r="771">
      <c r="A771">
        <f>IFERROR(INDEX('Email Cleaner'!$B$2:$B$10001,MATCH(770,'Email Cleaner'!$I$2:$I$10001,0)),"")</f>
        <v/>
      </c>
    </row>
    <row r="772">
      <c r="A772">
        <f>IFERROR(INDEX('Email Cleaner'!$B$2:$B$10001,MATCH(771,'Email Cleaner'!$I$2:$I$10001,0)),"")</f>
        <v/>
      </c>
    </row>
    <row r="773">
      <c r="A773">
        <f>IFERROR(INDEX('Email Cleaner'!$B$2:$B$10001,MATCH(772,'Email Cleaner'!$I$2:$I$10001,0)),"")</f>
        <v/>
      </c>
    </row>
    <row r="774">
      <c r="A774">
        <f>IFERROR(INDEX('Email Cleaner'!$B$2:$B$10001,MATCH(773,'Email Cleaner'!$I$2:$I$10001,0)),"")</f>
        <v/>
      </c>
    </row>
    <row r="775">
      <c r="A775">
        <f>IFERROR(INDEX('Email Cleaner'!$B$2:$B$10001,MATCH(774,'Email Cleaner'!$I$2:$I$10001,0)),"")</f>
        <v/>
      </c>
    </row>
    <row r="776">
      <c r="A776">
        <f>IFERROR(INDEX('Email Cleaner'!$B$2:$B$10001,MATCH(775,'Email Cleaner'!$I$2:$I$10001,0)),"")</f>
        <v/>
      </c>
    </row>
    <row r="777">
      <c r="A777">
        <f>IFERROR(INDEX('Email Cleaner'!$B$2:$B$10001,MATCH(776,'Email Cleaner'!$I$2:$I$10001,0)),"")</f>
        <v/>
      </c>
    </row>
    <row r="778">
      <c r="A778">
        <f>IFERROR(INDEX('Email Cleaner'!$B$2:$B$10001,MATCH(777,'Email Cleaner'!$I$2:$I$10001,0)),"")</f>
        <v/>
      </c>
    </row>
    <row r="779">
      <c r="A779">
        <f>IFERROR(INDEX('Email Cleaner'!$B$2:$B$10001,MATCH(778,'Email Cleaner'!$I$2:$I$10001,0)),"")</f>
        <v/>
      </c>
    </row>
    <row r="780">
      <c r="A780">
        <f>IFERROR(INDEX('Email Cleaner'!$B$2:$B$10001,MATCH(779,'Email Cleaner'!$I$2:$I$10001,0)),"")</f>
        <v/>
      </c>
    </row>
    <row r="781">
      <c r="A781">
        <f>IFERROR(INDEX('Email Cleaner'!$B$2:$B$10001,MATCH(780,'Email Cleaner'!$I$2:$I$10001,0)),"")</f>
        <v/>
      </c>
    </row>
    <row r="782">
      <c r="A782">
        <f>IFERROR(INDEX('Email Cleaner'!$B$2:$B$10001,MATCH(781,'Email Cleaner'!$I$2:$I$10001,0)),"")</f>
        <v/>
      </c>
    </row>
    <row r="783">
      <c r="A783">
        <f>IFERROR(INDEX('Email Cleaner'!$B$2:$B$10001,MATCH(782,'Email Cleaner'!$I$2:$I$10001,0)),"")</f>
        <v/>
      </c>
    </row>
    <row r="784">
      <c r="A784">
        <f>IFERROR(INDEX('Email Cleaner'!$B$2:$B$10001,MATCH(783,'Email Cleaner'!$I$2:$I$10001,0)),"")</f>
        <v/>
      </c>
    </row>
    <row r="785">
      <c r="A785">
        <f>IFERROR(INDEX('Email Cleaner'!$B$2:$B$10001,MATCH(784,'Email Cleaner'!$I$2:$I$10001,0)),"")</f>
        <v/>
      </c>
    </row>
    <row r="786">
      <c r="A786">
        <f>IFERROR(INDEX('Email Cleaner'!$B$2:$B$10001,MATCH(785,'Email Cleaner'!$I$2:$I$10001,0)),"")</f>
        <v/>
      </c>
    </row>
    <row r="787">
      <c r="A787">
        <f>IFERROR(INDEX('Email Cleaner'!$B$2:$B$10001,MATCH(786,'Email Cleaner'!$I$2:$I$10001,0)),"")</f>
        <v/>
      </c>
    </row>
    <row r="788">
      <c r="A788">
        <f>IFERROR(INDEX('Email Cleaner'!$B$2:$B$10001,MATCH(787,'Email Cleaner'!$I$2:$I$10001,0)),"")</f>
        <v/>
      </c>
    </row>
    <row r="789">
      <c r="A789">
        <f>IFERROR(INDEX('Email Cleaner'!$B$2:$B$10001,MATCH(788,'Email Cleaner'!$I$2:$I$10001,0)),"")</f>
        <v/>
      </c>
    </row>
    <row r="790">
      <c r="A790">
        <f>IFERROR(INDEX('Email Cleaner'!$B$2:$B$10001,MATCH(789,'Email Cleaner'!$I$2:$I$10001,0)),"")</f>
        <v/>
      </c>
    </row>
    <row r="791">
      <c r="A791">
        <f>IFERROR(INDEX('Email Cleaner'!$B$2:$B$10001,MATCH(790,'Email Cleaner'!$I$2:$I$10001,0)),"")</f>
        <v/>
      </c>
    </row>
    <row r="792">
      <c r="A792">
        <f>IFERROR(INDEX('Email Cleaner'!$B$2:$B$10001,MATCH(791,'Email Cleaner'!$I$2:$I$10001,0)),"")</f>
        <v/>
      </c>
    </row>
    <row r="793">
      <c r="A793">
        <f>IFERROR(INDEX('Email Cleaner'!$B$2:$B$10001,MATCH(792,'Email Cleaner'!$I$2:$I$10001,0)),"")</f>
        <v/>
      </c>
    </row>
    <row r="794">
      <c r="A794">
        <f>IFERROR(INDEX('Email Cleaner'!$B$2:$B$10001,MATCH(793,'Email Cleaner'!$I$2:$I$10001,0)),"")</f>
        <v/>
      </c>
    </row>
    <row r="795">
      <c r="A795">
        <f>IFERROR(INDEX('Email Cleaner'!$B$2:$B$10001,MATCH(794,'Email Cleaner'!$I$2:$I$10001,0)),"")</f>
        <v/>
      </c>
    </row>
    <row r="796">
      <c r="A796">
        <f>IFERROR(INDEX('Email Cleaner'!$B$2:$B$10001,MATCH(795,'Email Cleaner'!$I$2:$I$10001,0)),"")</f>
        <v/>
      </c>
    </row>
    <row r="797">
      <c r="A797">
        <f>IFERROR(INDEX('Email Cleaner'!$B$2:$B$10001,MATCH(796,'Email Cleaner'!$I$2:$I$10001,0)),"")</f>
        <v/>
      </c>
    </row>
    <row r="798">
      <c r="A798">
        <f>IFERROR(INDEX('Email Cleaner'!$B$2:$B$10001,MATCH(797,'Email Cleaner'!$I$2:$I$10001,0)),"")</f>
        <v/>
      </c>
    </row>
    <row r="799">
      <c r="A799">
        <f>IFERROR(INDEX('Email Cleaner'!$B$2:$B$10001,MATCH(798,'Email Cleaner'!$I$2:$I$10001,0)),"")</f>
        <v/>
      </c>
    </row>
    <row r="800">
      <c r="A800">
        <f>IFERROR(INDEX('Email Cleaner'!$B$2:$B$10001,MATCH(799,'Email Cleaner'!$I$2:$I$10001,0)),"")</f>
        <v/>
      </c>
    </row>
    <row r="801">
      <c r="A801">
        <f>IFERROR(INDEX('Email Cleaner'!$B$2:$B$10001,MATCH(800,'Email Cleaner'!$I$2:$I$10001,0)),"")</f>
        <v/>
      </c>
    </row>
    <row r="802">
      <c r="A802">
        <f>IFERROR(INDEX('Email Cleaner'!$B$2:$B$10001,MATCH(801,'Email Cleaner'!$I$2:$I$10001,0)),"")</f>
        <v/>
      </c>
    </row>
    <row r="803">
      <c r="A803">
        <f>IFERROR(INDEX('Email Cleaner'!$B$2:$B$10001,MATCH(802,'Email Cleaner'!$I$2:$I$10001,0)),"")</f>
        <v/>
      </c>
    </row>
    <row r="804">
      <c r="A804">
        <f>IFERROR(INDEX('Email Cleaner'!$B$2:$B$10001,MATCH(803,'Email Cleaner'!$I$2:$I$10001,0)),"")</f>
        <v/>
      </c>
    </row>
    <row r="805">
      <c r="A805">
        <f>IFERROR(INDEX('Email Cleaner'!$B$2:$B$10001,MATCH(804,'Email Cleaner'!$I$2:$I$10001,0)),"")</f>
        <v/>
      </c>
    </row>
    <row r="806">
      <c r="A806">
        <f>IFERROR(INDEX('Email Cleaner'!$B$2:$B$10001,MATCH(805,'Email Cleaner'!$I$2:$I$10001,0)),"")</f>
        <v/>
      </c>
    </row>
    <row r="807">
      <c r="A807">
        <f>IFERROR(INDEX('Email Cleaner'!$B$2:$B$10001,MATCH(806,'Email Cleaner'!$I$2:$I$10001,0)),"")</f>
        <v/>
      </c>
    </row>
    <row r="808">
      <c r="A808">
        <f>IFERROR(INDEX('Email Cleaner'!$B$2:$B$10001,MATCH(807,'Email Cleaner'!$I$2:$I$10001,0)),"")</f>
        <v/>
      </c>
    </row>
    <row r="809">
      <c r="A809">
        <f>IFERROR(INDEX('Email Cleaner'!$B$2:$B$10001,MATCH(808,'Email Cleaner'!$I$2:$I$10001,0)),"")</f>
        <v/>
      </c>
    </row>
    <row r="810">
      <c r="A810">
        <f>IFERROR(INDEX('Email Cleaner'!$B$2:$B$10001,MATCH(809,'Email Cleaner'!$I$2:$I$10001,0)),"")</f>
        <v/>
      </c>
    </row>
    <row r="811">
      <c r="A811">
        <f>IFERROR(INDEX('Email Cleaner'!$B$2:$B$10001,MATCH(810,'Email Cleaner'!$I$2:$I$10001,0)),"")</f>
        <v/>
      </c>
    </row>
    <row r="812">
      <c r="A812">
        <f>IFERROR(INDEX('Email Cleaner'!$B$2:$B$10001,MATCH(811,'Email Cleaner'!$I$2:$I$10001,0)),"")</f>
        <v/>
      </c>
    </row>
    <row r="813">
      <c r="A813">
        <f>IFERROR(INDEX('Email Cleaner'!$B$2:$B$10001,MATCH(812,'Email Cleaner'!$I$2:$I$10001,0)),"")</f>
        <v/>
      </c>
    </row>
    <row r="814">
      <c r="A814">
        <f>IFERROR(INDEX('Email Cleaner'!$B$2:$B$10001,MATCH(813,'Email Cleaner'!$I$2:$I$10001,0)),"")</f>
        <v/>
      </c>
    </row>
    <row r="815">
      <c r="A815">
        <f>IFERROR(INDEX('Email Cleaner'!$B$2:$B$10001,MATCH(814,'Email Cleaner'!$I$2:$I$10001,0)),"")</f>
        <v/>
      </c>
    </row>
    <row r="816">
      <c r="A816">
        <f>IFERROR(INDEX('Email Cleaner'!$B$2:$B$10001,MATCH(815,'Email Cleaner'!$I$2:$I$10001,0)),"")</f>
        <v/>
      </c>
    </row>
    <row r="817">
      <c r="A817">
        <f>IFERROR(INDEX('Email Cleaner'!$B$2:$B$10001,MATCH(816,'Email Cleaner'!$I$2:$I$10001,0)),"")</f>
        <v/>
      </c>
    </row>
    <row r="818">
      <c r="A818">
        <f>IFERROR(INDEX('Email Cleaner'!$B$2:$B$10001,MATCH(817,'Email Cleaner'!$I$2:$I$10001,0)),"")</f>
        <v/>
      </c>
    </row>
    <row r="819">
      <c r="A819">
        <f>IFERROR(INDEX('Email Cleaner'!$B$2:$B$10001,MATCH(818,'Email Cleaner'!$I$2:$I$10001,0)),"")</f>
        <v/>
      </c>
    </row>
    <row r="820">
      <c r="A820">
        <f>IFERROR(INDEX('Email Cleaner'!$B$2:$B$10001,MATCH(819,'Email Cleaner'!$I$2:$I$10001,0)),"")</f>
        <v/>
      </c>
    </row>
    <row r="821">
      <c r="A821">
        <f>IFERROR(INDEX('Email Cleaner'!$B$2:$B$10001,MATCH(820,'Email Cleaner'!$I$2:$I$10001,0)),"")</f>
        <v/>
      </c>
    </row>
    <row r="822">
      <c r="A822">
        <f>IFERROR(INDEX('Email Cleaner'!$B$2:$B$10001,MATCH(821,'Email Cleaner'!$I$2:$I$10001,0)),"")</f>
        <v/>
      </c>
    </row>
    <row r="823">
      <c r="A823">
        <f>IFERROR(INDEX('Email Cleaner'!$B$2:$B$10001,MATCH(822,'Email Cleaner'!$I$2:$I$10001,0)),"")</f>
        <v/>
      </c>
    </row>
    <row r="824">
      <c r="A824">
        <f>IFERROR(INDEX('Email Cleaner'!$B$2:$B$10001,MATCH(823,'Email Cleaner'!$I$2:$I$10001,0)),"")</f>
        <v/>
      </c>
    </row>
    <row r="825">
      <c r="A825">
        <f>IFERROR(INDEX('Email Cleaner'!$B$2:$B$10001,MATCH(824,'Email Cleaner'!$I$2:$I$10001,0)),"")</f>
        <v/>
      </c>
    </row>
    <row r="826">
      <c r="A826">
        <f>IFERROR(INDEX('Email Cleaner'!$B$2:$B$10001,MATCH(825,'Email Cleaner'!$I$2:$I$10001,0)),"")</f>
        <v/>
      </c>
    </row>
    <row r="827">
      <c r="A827">
        <f>IFERROR(INDEX('Email Cleaner'!$B$2:$B$10001,MATCH(826,'Email Cleaner'!$I$2:$I$10001,0)),"")</f>
        <v/>
      </c>
    </row>
    <row r="828">
      <c r="A828">
        <f>IFERROR(INDEX('Email Cleaner'!$B$2:$B$10001,MATCH(827,'Email Cleaner'!$I$2:$I$10001,0)),"")</f>
        <v/>
      </c>
    </row>
    <row r="829">
      <c r="A829">
        <f>IFERROR(INDEX('Email Cleaner'!$B$2:$B$10001,MATCH(828,'Email Cleaner'!$I$2:$I$10001,0)),"")</f>
        <v/>
      </c>
    </row>
    <row r="830">
      <c r="A830">
        <f>IFERROR(INDEX('Email Cleaner'!$B$2:$B$10001,MATCH(829,'Email Cleaner'!$I$2:$I$10001,0)),"")</f>
        <v/>
      </c>
    </row>
    <row r="831">
      <c r="A831">
        <f>IFERROR(INDEX('Email Cleaner'!$B$2:$B$10001,MATCH(830,'Email Cleaner'!$I$2:$I$10001,0)),"")</f>
        <v/>
      </c>
    </row>
    <row r="832">
      <c r="A832">
        <f>IFERROR(INDEX('Email Cleaner'!$B$2:$B$10001,MATCH(831,'Email Cleaner'!$I$2:$I$10001,0)),"")</f>
        <v/>
      </c>
    </row>
    <row r="833">
      <c r="A833">
        <f>IFERROR(INDEX('Email Cleaner'!$B$2:$B$10001,MATCH(832,'Email Cleaner'!$I$2:$I$10001,0)),"")</f>
        <v/>
      </c>
    </row>
    <row r="834">
      <c r="A834">
        <f>IFERROR(INDEX('Email Cleaner'!$B$2:$B$10001,MATCH(833,'Email Cleaner'!$I$2:$I$10001,0)),"")</f>
        <v/>
      </c>
    </row>
    <row r="835">
      <c r="A835">
        <f>IFERROR(INDEX('Email Cleaner'!$B$2:$B$10001,MATCH(834,'Email Cleaner'!$I$2:$I$10001,0)),"")</f>
        <v/>
      </c>
    </row>
    <row r="836">
      <c r="A836">
        <f>IFERROR(INDEX('Email Cleaner'!$B$2:$B$10001,MATCH(835,'Email Cleaner'!$I$2:$I$10001,0)),"")</f>
        <v/>
      </c>
    </row>
    <row r="837">
      <c r="A837">
        <f>IFERROR(INDEX('Email Cleaner'!$B$2:$B$10001,MATCH(836,'Email Cleaner'!$I$2:$I$10001,0)),"")</f>
        <v/>
      </c>
    </row>
    <row r="838">
      <c r="A838">
        <f>IFERROR(INDEX('Email Cleaner'!$B$2:$B$10001,MATCH(837,'Email Cleaner'!$I$2:$I$10001,0)),"")</f>
        <v/>
      </c>
    </row>
    <row r="839">
      <c r="A839">
        <f>IFERROR(INDEX('Email Cleaner'!$B$2:$B$10001,MATCH(838,'Email Cleaner'!$I$2:$I$10001,0)),"")</f>
        <v/>
      </c>
    </row>
    <row r="840">
      <c r="A840">
        <f>IFERROR(INDEX('Email Cleaner'!$B$2:$B$10001,MATCH(839,'Email Cleaner'!$I$2:$I$10001,0)),"")</f>
        <v/>
      </c>
    </row>
    <row r="841">
      <c r="A841">
        <f>IFERROR(INDEX('Email Cleaner'!$B$2:$B$10001,MATCH(840,'Email Cleaner'!$I$2:$I$10001,0)),"")</f>
        <v/>
      </c>
    </row>
    <row r="842">
      <c r="A842">
        <f>IFERROR(INDEX('Email Cleaner'!$B$2:$B$10001,MATCH(841,'Email Cleaner'!$I$2:$I$10001,0)),"")</f>
        <v/>
      </c>
    </row>
    <row r="843">
      <c r="A843">
        <f>IFERROR(INDEX('Email Cleaner'!$B$2:$B$10001,MATCH(842,'Email Cleaner'!$I$2:$I$10001,0)),"")</f>
        <v/>
      </c>
    </row>
    <row r="844">
      <c r="A844">
        <f>IFERROR(INDEX('Email Cleaner'!$B$2:$B$10001,MATCH(843,'Email Cleaner'!$I$2:$I$10001,0)),"")</f>
        <v/>
      </c>
    </row>
    <row r="845">
      <c r="A845">
        <f>IFERROR(INDEX('Email Cleaner'!$B$2:$B$10001,MATCH(844,'Email Cleaner'!$I$2:$I$10001,0)),"")</f>
        <v/>
      </c>
    </row>
    <row r="846">
      <c r="A846">
        <f>IFERROR(INDEX('Email Cleaner'!$B$2:$B$10001,MATCH(845,'Email Cleaner'!$I$2:$I$10001,0)),"")</f>
        <v/>
      </c>
    </row>
    <row r="847">
      <c r="A847">
        <f>IFERROR(INDEX('Email Cleaner'!$B$2:$B$10001,MATCH(846,'Email Cleaner'!$I$2:$I$10001,0)),"")</f>
        <v/>
      </c>
    </row>
    <row r="848">
      <c r="A848">
        <f>IFERROR(INDEX('Email Cleaner'!$B$2:$B$10001,MATCH(847,'Email Cleaner'!$I$2:$I$10001,0)),"")</f>
        <v/>
      </c>
    </row>
    <row r="849">
      <c r="A849">
        <f>IFERROR(INDEX('Email Cleaner'!$B$2:$B$10001,MATCH(848,'Email Cleaner'!$I$2:$I$10001,0)),"")</f>
        <v/>
      </c>
    </row>
    <row r="850">
      <c r="A850">
        <f>IFERROR(INDEX('Email Cleaner'!$B$2:$B$10001,MATCH(849,'Email Cleaner'!$I$2:$I$10001,0)),"")</f>
        <v/>
      </c>
    </row>
    <row r="851">
      <c r="A851">
        <f>IFERROR(INDEX('Email Cleaner'!$B$2:$B$10001,MATCH(850,'Email Cleaner'!$I$2:$I$10001,0)),"")</f>
        <v/>
      </c>
    </row>
    <row r="852">
      <c r="A852">
        <f>IFERROR(INDEX('Email Cleaner'!$B$2:$B$10001,MATCH(851,'Email Cleaner'!$I$2:$I$10001,0)),"")</f>
        <v/>
      </c>
    </row>
    <row r="853">
      <c r="A853">
        <f>IFERROR(INDEX('Email Cleaner'!$B$2:$B$10001,MATCH(852,'Email Cleaner'!$I$2:$I$10001,0)),"")</f>
        <v/>
      </c>
    </row>
    <row r="854">
      <c r="A854">
        <f>IFERROR(INDEX('Email Cleaner'!$B$2:$B$10001,MATCH(853,'Email Cleaner'!$I$2:$I$10001,0)),"")</f>
        <v/>
      </c>
    </row>
    <row r="855">
      <c r="A855">
        <f>IFERROR(INDEX('Email Cleaner'!$B$2:$B$10001,MATCH(854,'Email Cleaner'!$I$2:$I$10001,0)),"")</f>
        <v/>
      </c>
    </row>
    <row r="856">
      <c r="A856">
        <f>IFERROR(INDEX('Email Cleaner'!$B$2:$B$10001,MATCH(855,'Email Cleaner'!$I$2:$I$10001,0)),"")</f>
        <v/>
      </c>
    </row>
    <row r="857">
      <c r="A857">
        <f>IFERROR(INDEX('Email Cleaner'!$B$2:$B$10001,MATCH(856,'Email Cleaner'!$I$2:$I$10001,0)),"")</f>
        <v/>
      </c>
    </row>
    <row r="858">
      <c r="A858">
        <f>IFERROR(INDEX('Email Cleaner'!$B$2:$B$10001,MATCH(857,'Email Cleaner'!$I$2:$I$10001,0)),"")</f>
        <v/>
      </c>
    </row>
    <row r="859">
      <c r="A859">
        <f>IFERROR(INDEX('Email Cleaner'!$B$2:$B$10001,MATCH(858,'Email Cleaner'!$I$2:$I$10001,0)),"")</f>
        <v/>
      </c>
    </row>
    <row r="860">
      <c r="A860">
        <f>IFERROR(INDEX('Email Cleaner'!$B$2:$B$10001,MATCH(859,'Email Cleaner'!$I$2:$I$10001,0)),"")</f>
        <v/>
      </c>
    </row>
    <row r="861">
      <c r="A861">
        <f>IFERROR(INDEX('Email Cleaner'!$B$2:$B$10001,MATCH(860,'Email Cleaner'!$I$2:$I$10001,0)),"")</f>
        <v/>
      </c>
    </row>
    <row r="862">
      <c r="A862">
        <f>IFERROR(INDEX('Email Cleaner'!$B$2:$B$10001,MATCH(861,'Email Cleaner'!$I$2:$I$10001,0)),"")</f>
        <v/>
      </c>
    </row>
    <row r="863">
      <c r="A863">
        <f>IFERROR(INDEX('Email Cleaner'!$B$2:$B$10001,MATCH(862,'Email Cleaner'!$I$2:$I$10001,0)),"")</f>
        <v/>
      </c>
    </row>
    <row r="864">
      <c r="A864">
        <f>IFERROR(INDEX('Email Cleaner'!$B$2:$B$10001,MATCH(863,'Email Cleaner'!$I$2:$I$10001,0)),"")</f>
        <v/>
      </c>
    </row>
    <row r="865">
      <c r="A865">
        <f>IFERROR(INDEX('Email Cleaner'!$B$2:$B$10001,MATCH(864,'Email Cleaner'!$I$2:$I$10001,0)),"")</f>
        <v/>
      </c>
    </row>
    <row r="866">
      <c r="A866">
        <f>IFERROR(INDEX('Email Cleaner'!$B$2:$B$10001,MATCH(865,'Email Cleaner'!$I$2:$I$10001,0)),"")</f>
        <v/>
      </c>
    </row>
    <row r="867">
      <c r="A867">
        <f>IFERROR(INDEX('Email Cleaner'!$B$2:$B$10001,MATCH(866,'Email Cleaner'!$I$2:$I$10001,0)),"")</f>
        <v/>
      </c>
    </row>
    <row r="868">
      <c r="A868">
        <f>IFERROR(INDEX('Email Cleaner'!$B$2:$B$10001,MATCH(867,'Email Cleaner'!$I$2:$I$10001,0)),"")</f>
        <v/>
      </c>
    </row>
    <row r="869">
      <c r="A869">
        <f>IFERROR(INDEX('Email Cleaner'!$B$2:$B$10001,MATCH(868,'Email Cleaner'!$I$2:$I$10001,0)),"")</f>
        <v/>
      </c>
    </row>
    <row r="870">
      <c r="A870">
        <f>IFERROR(INDEX('Email Cleaner'!$B$2:$B$10001,MATCH(869,'Email Cleaner'!$I$2:$I$10001,0)),"")</f>
        <v/>
      </c>
    </row>
    <row r="871">
      <c r="A871">
        <f>IFERROR(INDEX('Email Cleaner'!$B$2:$B$10001,MATCH(870,'Email Cleaner'!$I$2:$I$10001,0)),"")</f>
        <v/>
      </c>
    </row>
    <row r="872">
      <c r="A872">
        <f>IFERROR(INDEX('Email Cleaner'!$B$2:$B$10001,MATCH(871,'Email Cleaner'!$I$2:$I$10001,0)),"")</f>
        <v/>
      </c>
    </row>
    <row r="873">
      <c r="A873">
        <f>IFERROR(INDEX('Email Cleaner'!$B$2:$B$10001,MATCH(872,'Email Cleaner'!$I$2:$I$10001,0)),"")</f>
        <v/>
      </c>
    </row>
    <row r="874">
      <c r="A874">
        <f>IFERROR(INDEX('Email Cleaner'!$B$2:$B$10001,MATCH(873,'Email Cleaner'!$I$2:$I$10001,0)),"")</f>
        <v/>
      </c>
    </row>
    <row r="875">
      <c r="A875">
        <f>IFERROR(INDEX('Email Cleaner'!$B$2:$B$10001,MATCH(874,'Email Cleaner'!$I$2:$I$10001,0)),"")</f>
        <v/>
      </c>
    </row>
    <row r="876">
      <c r="A876">
        <f>IFERROR(INDEX('Email Cleaner'!$B$2:$B$10001,MATCH(875,'Email Cleaner'!$I$2:$I$10001,0)),"")</f>
        <v/>
      </c>
    </row>
    <row r="877">
      <c r="A877">
        <f>IFERROR(INDEX('Email Cleaner'!$B$2:$B$10001,MATCH(876,'Email Cleaner'!$I$2:$I$10001,0)),"")</f>
        <v/>
      </c>
    </row>
    <row r="878">
      <c r="A878">
        <f>IFERROR(INDEX('Email Cleaner'!$B$2:$B$10001,MATCH(877,'Email Cleaner'!$I$2:$I$10001,0)),"")</f>
        <v/>
      </c>
    </row>
    <row r="879">
      <c r="A879">
        <f>IFERROR(INDEX('Email Cleaner'!$B$2:$B$10001,MATCH(878,'Email Cleaner'!$I$2:$I$10001,0)),"")</f>
        <v/>
      </c>
    </row>
    <row r="880">
      <c r="A880">
        <f>IFERROR(INDEX('Email Cleaner'!$B$2:$B$10001,MATCH(879,'Email Cleaner'!$I$2:$I$10001,0)),"")</f>
        <v/>
      </c>
    </row>
    <row r="881">
      <c r="A881">
        <f>IFERROR(INDEX('Email Cleaner'!$B$2:$B$10001,MATCH(880,'Email Cleaner'!$I$2:$I$10001,0)),"")</f>
        <v/>
      </c>
    </row>
    <row r="882">
      <c r="A882">
        <f>IFERROR(INDEX('Email Cleaner'!$B$2:$B$10001,MATCH(881,'Email Cleaner'!$I$2:$I$10001,0)),"")</f>
        <v/>
      </c>
    </row>
    <row r="883">
      <c r="A883">
        <f>IFERROR(INDEX('Email Cleaner'!$B$2:$B$10001,MATCH(882,'Email Cleaner'!$I$2:$I$10001,0)),"")</f>
        <v/>
      </c>
    </row>
    <row r="884">
      <c r="A884">
        <f>IFERROR(INDEX('Email Cleaner'!$B$2:$B$10001,MATCH(883,'Email Cleaner'!$I$2:$I$10001,0)),"")</f>
        <v/>
      </c>
    </row>
    <row r="885">
      <c r="A885">
        <f>IFERROR(INDEX('Email Cleaner'!$B$2:$B$10001,MATCH(884,'Email Cleaner'!$I$2:$I$10001,0)),"")</f>
        <v/>
      </c>
    </row>
    <row r="886">
      <c r="A886">
        <f>IFERROR(INDEX('Email Cleaner'!$B$2:$B$10001,MATCH(885,'Email Cleaner'!$I$2:$I$10001,0)),"")</f>
        <v/>
      </c>
    </row>
    <row r="887">
      <c r="A887">
        <f>IFERROR(INDEX('Email Cleaner'!$B$2:$B$10001,MATCH(886,'Email Cleaner'!$I$2:$I$10001,0)),"")</f>
        <v/>
      </c>
    </row>
    <row r="888">
      <c r="A888">
        <f>IFERROR(INDEX('Email Cleaner'!$B$2:$B$10001,MATCH(887,'Email Cleaner'!$I$2:$I$10001,0)),"")</f>
        <v/>
      </c>
    </row>
    <row r="889">
      <c r="A889">
        <f>IFERROR(INDEX('Email Cleaner'!$B$2:$B$10001,MATCH(888,'Email Cleaner'!$I$2:$I$10001,0)),"")</f>
        <v/>
      </c>
    </row>
    <row r="890">
      <c r="A890">
        <f>IFERROR(INDEX('Email Cleaner'!$B$2:$B$10001,MATCH(889,'Email Cleaner'!$I$2:$I$10001,0)),"")</f>
        <v/>
      </c>
    </row>
    <row r="891">
      <c r="A891">
        <f>IFERROR(INDEX('Email Cleaner'!$B$2:$B$10001,MATCH(890,'Email Cleaner'!$I$2:$I$10001,0)),"")</f>
        <v/>
      </c>
    </row>
    <row r="892">
      <c r="A892">
        <f>IFERROR(INDEX('Email Cleaner'!$B$2:$B$10001,MATCH(891,'Email Cleaner'!$I$2:$I$10001,0)),"")</f>
        <v/>
      </c>
    </row>
    <row r="893">
      <c r="A893">
        <f>IFERROR(INDEX('Email Cleaner'!$B$2:$B$10001,MATCH(892,'Email Cleaner'!$I$2:$I$10001,0)),"")</f>
        <v/>
      </c>
    </row>
    <row r="894">
      <c r="A894">
        <f>IFERROR(INDEX('Email Cleaner'!$B$2:$B$10001,MATCH(893,'Email Cleaner'!$I$2:$I$10001,0)),"")</f>
        <v/>
      </c>
    </row>
    <row r="895">
      <c r="A895">
        <f>IFERROR(INDEX('Email Cleaner'!$B$2:$B$10001,MATCH(894,'Email Cleaner'!$I$2:$I$10001,0)),"")</f>
        <v/>
      </c>
    </row>
    <row r="896">
      <c r="A896">
        <f>IFERROR(INDEX('Email Cleaner'!$B$2:$B$10001,MATCH(895,'Email Cleaner'!$I$2:$I$10001,0)),"")</f>
        <v/>
      </c>
    </row>
    <row r="897">
      <c r="A897">
        <f>IFERROR(INDEX('Email Cleaner'!$B$2:$B$10001,MATCH(896,'Email Cleaner'!$I$2:$I$10001,0)),"")</f>
        <v/>
      </c>
    </row>
    <row r="898">
      <c r="A898">
        <f>IFERROR(INDEX('Email Cleaner'!$B$2:$B$10001,MATCH(897,'Email Cleaner'!$I$2:$I$10001,0)),"")</f>
        <v/>
      </c>
    </row>
    <row r="899">
      <c r="A899">
        <f>IFERROR(INDEX('Email Cleaner'!$B$2:$B$10001,MATCH(898,'Email Cleaner'!$I$2:$I$10001,0)),"")</f>
        <v/>
      </c>
    </row>
    <row r="900">
      <c r="A900">
        <f>IFERROR(INDEX('Email Cleaner'!$B$2:$B$10001,MATCH(899,'Email Cleaner'!$I$2:$I$10001,0)),"")</f>
        <v/>
      </c>
    </row>
    <row r="901">
      <c r="A901">
        <f>IFERROR(INDEX('Email Cleaner'!$B$2:$B$10001,MATCH(900,'Email Cleaner'!$I$2:$I$10001,0)),"")</f>
        <v/>
      </c>
    </row>
    <row r="902">
      <c r="A902">
        <f>IFERROR(INDEX('Email Cleaner'!$B$2:$B$10001,MATCH(901,'Email Cleaner'!$I$2:$I$10001,0)),"")</f>
        <v/>
      </c>
    </row>
    <row r="903">
      <c r="A903">
        <f>IFERROR(INDEX('Email Cleaner'!$B$2:$B$10001,MATCH(902,'Email Cleaner'!$I$2:$I$10001,0)),"")</f>
        <v/>
      </c>
    </row>
    <row r="904">
      <c r="A904">
        <f>IFERROR(INDEX('Email Cleaner'!$B$2:$B$10001,MATCH(903,'Email Cleaner'!$I$2:$I$10001,0)),"")</f>
        <v/>
      </c>
    </row>
    <row r="905">
      <c r="A905">
        <f>IFERROR(INDEX('Email Cleaner'!$B$2:$B$10001,MATCH(904,'Email Cleaner'!$I$2:$I$10001,0)),"")</f>
        <v/>
      </c>
    </row>
    <row r="906">
      <c r="A906">
        <f>IFERROR(INDEX('Email Cleaner'!$B$2:$B$10001,MATCH(905,'Email Cleaner'!$I$2:$I$10001,0)),"")</f>
        <v/>
      </c>
    </row>
    <row r="907">
      <c r="A907">
        <f>IFERROR(INDEX('Email Cleaner'!$B$2:$B$10001,MATCH(906,'Email Cleaner'!$I$2:$I$10001,0)),"")</f>
        <v/>
      </c>
    </row>
    <row r="908">
      <c r="A908">
        <f>IFERROR(INDEX('Email Cleaner'!$B$2:$B$10001,MATCH(907,'Email Cleaner'!$I$2:$I$10001,0)),"")</f>
        <v/>
      </c>
    </row>
    <row r="909">
      <c r="A909">
        <f>IFERROR(INDEX('Email Cleaner'!$B$2:$B$10001,MATCH(908,'Email Cleaner'!$I$2:$I$10001,0)),"")</f>
        <v/>
      </c>
    </row>
    <row r="910">
      <c r="A910">
        <f>IFERROR(INDEX('Email Cleaner'!$B$2:$B$10001,MATCH(909,'Email Cleaner'!$I$2:$I$10001,0)),"")</f>
        <v/>
      </c>
    </row>
    <row r="911">
      <c r="A911">
        <f>IFERROR(INDEX('Email Cleaner'!$B$2:$B$10001,MATCH(910,'Email Cleaner'!$I$2:$I$10001,0)),"")</f>
        <v/>
      </c>
    </row>
    <row r="912">
      <c r="A912">
        <f>IFERROR(INDEX('Email Cleaner'!$B$2:$B$10001,MATCH(911,'Email Cleaner'!$I$2:$I$10001,0)),"")</f>
        <v/>
      </c>
    </row>
    <row r="913">
      <c r="A913">
        <f>IFERROR(INDEX('Email Cleaner'!$B$2:$B$10001,MATCH(912,'Email Cleaner'!$I$2:$I$10001,0)),"")</f>
        <v/>
      </c>
    </row>
    <row r="914">
      <c r="A914">
        <f>IFERROR(INDEX('Email Cleaner'!$B$2:$B$10001,MATCH(913,'Email Cleaner'!$I$2:$I$10001,0)),"")</f>
        <v/>
      </c>
    </row>
    <row r="915">
      <c r="A915">
        <f>IFERROR(INDEX('Email Cleaner'!$B$2:$B$10001,MATCH(914,'Email Cleaner'!$I$2:$I$10001,0)),"")</f>
        <v/>
      </c>
    </row>
    <row r="916">
      <c r="A916">
        <f>IFERROR(INDEX('Email Cleaner'!$B$2:$B$10001,MATCH(915,'Email Cleaner'!$I$2:$I$10001,0)),"")</f>
        <v/>
      </c>
    </row>
    <row r="917">
      <c r="A917">
        <f>IFERROR(INDEX('Email Cleaner'!$B$2:$B$10001,MATCH(916,'Email Cleaner'!$I$2:$I$10001,0)),"")</f>
        <v/>
      </c>
    </row>
    <row r="918">
      <c r="A918">
        <f>IFERROR(INDEX('Email Cleaner'!$B$2:$B$10001,MATCH(917,'Email Cleaner'!$I$2:$I$10001,0)),"")</f>
        <v/>
      </c>
    </row>
    <row r="919">
      <c r="A919">
        <f>IFERROR(INDEX('Email Cleaner'!$B$2:$B$10001,MATCH(918,'Email Cleaner'!$I$2:$I$10001,0)),"")</f>
        <v/>
      </c>
    </row>
    <row r="920">
      <c r="A920">
        <f>IFERROR(INDEX('Email Cleaner'!$B$2:$B$10001,MATCH(919,'Email Cleaner'!$I$2:$I$10001,0)),"")</f>
        <v/>
      </c>
    </row>
    <row r="921">
      <c r="A921">
        <f>IFERROR(INDEX('Email Cleaner'!$B$2:$B$10001,MATCH(920,'Email Cleaner'!$I$2:$I$10001,0)),"")</f>
        <v/>
      </c>
    </row>
    <row r="922">
      <c r="A922">
        <f>IFERROR(INDEX('Email Cleaner'!$B$2:$B$10001,MATCH(921,'Email Cleaner'!$I$2:$I$10001,0)),"")</f>
        <v/>
      </c>
    </row>
    <row r="923">
      <c r="A923">
        <f>IFERROR(INDEX('Email Cleaner'!$B$2:$B$10001,MATCH(922,'Email Cleaner'!$I$2:$I$10001,0)),"")</f>
        <v/>
      </c>
    </row>
    <row r="924">
      <c r="A924">
        <f>IFERROR(INDEX('Email Cleaner'!$B$2:$B$10001,MATCH(923,'Email Cleaner'!$I$2:$I$10001,0)),"")</f>
        <v/>
      </c>
    </row>
    <row r="925">
      <c r="A925">
        <f>IFERROR(INDEX('Email Cleaner'!$B$2:$B$10001,MATCH(924,'Email Cleaner'!$I$2:$I$10001,0)),"")</f>
        <v/>
      </c>
    </row>
    <row r="926">
      <c r="A926">
        <f>IFERROR(INDEX('Email Cleaner'!$B$2:$B$10001,MATCH(925,'Email Cleaner'!$I$2:$I$10001,0)),"")</f>
        <v/>
      </c>
    </row>
    <row r="927">
      <c r="A927">
        <f>IFERROR(INDEX('Email Cleaner'!$B$2:$B$10001,MATCH(926,'Email Cleaner'!$I$2:$I$10001,0)),"")</f>
        <v/>
      </c>
    </row>
    <row r="928">
      <c r="A928">
        <f>IFERROR(INDEX('Email Cleaner'!$B$2:$B$10001,MATCH(927,'Email Cleaner'!$I$2:$I$10001,0)),"")</f>
        <v/>
      </c>
    </row>
    <row r="929">
      <c r="A929">
        <f>IFERROR(INDEX('Email Cleaner'!$B$2:$B$10001,MATCH(928,'Email Cleaner'!$I$2:$I$10001,0)),"")</f>
        <v/>
      </c>
    </row>
    <row r="930">
      <c r="A930">
        <f>IFERROR(INDEX('Email Cleaner'!$B$2:$B$10001,MATCH(929,'Email Cleaner'!$I$2:$I$10001,0)),"")</f>
        <v/>
      </c>
    </row>
    <row r="931">
      <c r="A931">
        <f>IFERROR(INDEX('Email Cleaner'!$B$2:$B$10001,MATCH(930,'Email Cleaner'!$I$2:$I$10001,0)),"")</f>
        <v/>
      </c>
    </row>
    <row r="932">
      <c r="A932">
        <f>IFERROR(INDEX('Email Cleaner'!$B$2:$B$10001,MATCH(931,'Email Cleaner'!$I$2:$I$10001,0)),"")</f>
        <v/>
      </c>
    </row>
    <row r="933">
      <c r="A933">
        <f>IFERROR(INDEX('Email Cleaner'!$B$2:$B$10001,MATCH(932,'Email Cleaner'!$I$2:$I$10001,0)),"")</f>
        <v/>
      </c>
    </row>
    <row r="934">
      <c r="A934">
        <f>IFERROR(INDEX('Email Cleaner'!$B$2:$B$10001,MATCH(933,'Email Cleaner'!$I$2:$I$10001,0)),"")</f>
        <v/>
      </c>
    </row>
    <row r="935">
      <c r="A935">
        <f>IFERROR(INDEX('Email Cleaner'!$B$2:$B$10001,MATCH(934,'Email Cleaner'!$I$2:$I$10001,0)),"")</f>
        <v/>
      </c>
    </row>
    <row r="936">
      <c r="A936">
        <f>IFERROR(INDEX('Email Cleaner'!$B$2:$B$10001,MATCH(935,'Email Cleaner'!$I$2:$I$10001,0)),"")</f>
        <v/>
      </c>
    </row>
    <row r="937">
      <c r="A937">
        <f>IFERROR(INDEX('Email Cleaner'!$B$2:$B$10001,MATCH(936,'Email Cleaner'!$I$2:$I$10001,0)),"")</f>
        <v/>
      </c>
    </row>
    <row r="938">
      <c r="A938">
        <f>IFERROR(INDEX('Email Cleaner'!$B$2:$B$10001,MATCH(937,'Email Cleaner'!$I$2:$I$10001,0)),"")</f>
        <v/>
      </c>
    </row>
    <row r="939">
      <c r="A939">
        <f>IFERROR(INDEX('Email Cleaner'!$B$2:$B$10001,MATCH(938,'Email Cleaner'!$I$2:$I$10001,0)),"")</f>
        <v/>
      </c>
    </row>
    <row r="940">
      <c r="A940">
        <f>IFERROR(INDEX('Email Cleaner'!$B$2:$B$10001,MATCH(939,'Email Cleaner'!$I$2:$I$10001,0)),"")</f>
        <v/>
      </c>
    </row>
    <row r="941">
      <c r="A941">
        <f>IFERROR(INDEX('Email Cleaner'!$B$2:$B$10001,MATCH(940,'Email Cleaner'!$I$2:$I$10001,0)),"")</f>
        <v/>
      </c>
    </row>
    <row r="942">
      <c r="A942">
        <f>IFERROR(INDEX('Email Cleaner'!$B$2:$B$10001,MATCH(941,'Email Cleaner'!$I$2:$I$10001,0)),"")</f>
        <v/>
      </c>
    </row>
    <row r="943">
      <c r="A943">
        <f>IFERROR(INDEX('Email Cleaner'!$B$2:$B$10001,MATCH(942,'Email Cleaner'!$I$2:$I$10001,0)),"")</f>
        <v/>
      </c>
    </row>
    <row r="944">
      <c r="A944">
        <f>IFERROR(INDEX('Email Cleaner'!$B$2:$B$10001,MATCH(943,'Email Cleaner'!$I$2:$I$10001,0)),"")</f>
        <v/>
      </c>
    </row>
    <row r="945">
      <c r="A945">
        <f>IFERROR(INDEX('Email Cleaner'!$B$2:$B$10001,MATCH(944,'Email Cleaner'!$I$2:$I$10001,0)),"")</f>
        <v/>
      </c>
    </row>
    <row r="946">
      <c r="A946">
        <f>IFERROR(INDEX('Email Cleaner'!$B$2:$B$10001,MATCH(945,'Email Cleaner'!$I$2:$I$10001,0)),"")</f>
        <v/>
      </c>
    </row>
    <row r="947">
      <c r="A947">
        <f>IFERROR(INDEX('Email Cleaner'!$B$2:$B$10001,MATCH(946,'Email Cleaner'!$I$2:$I$10001,0)),"")</f>
        <v/>
      </c>
    </row>
    <row r="948">
      <c r="A948">
        <f>IFERROR(INDEX('Email Cleaner'!$B$2:$B$10001,MATCH(947,'Email Cleaner'!$I$2:$I$10001,0)),"")</f>
        <v/>
      </c>
    </row>
    <row r="949">
      <c r="A949">
        <f>IFERROR(INDEX('Email Cleaner'!$B$2:$B$10001,MATCH(948,'Email Cleaner'!$I$2:$I$10001,0)),"")</f>
        <v/>
      </c>
    </row>
    <row r="950">
      <c r="A950">
        <f>IFERROR(INDEX('Email Cleaner'!$B$2:$B$10001,MATCH(949,'Email Cleaner'!$I$2:$I$10001,0)),"")</f>
        <v/>
      </c>
    </row>
    <row r="951">
      <c r="A951">
        <f>IFERROR(INDEX('Email Cleaner'!$B$2:$B$10001,MATCH(950,'Email Cleaner'!$I$2:$I$10001,0)),"")</f>
        <v/>
      </c>
    </row>
    <row r="952">
      <c r="A952">
        <f>IFERROR(INDEX('Email Cleaner'!$B$2:$B$10001,MATCH(951,'Email Cleaner'!$I$2:$I$10001,0)),"")</f>
        <v/>
      </c>
    </row>
    <row r="953">
      <c r="A953">
        <f>IFERROR(INDEX('Email Cleaner'!$B$2:$B$10001,MATCH(952,'Email Cleaner'!$I$2:$I$10001,0)),"")</f>
        <v/>
      </c>
    </row>
    <row r="954">
      <c r="A954">
        <f>IFERROR(INDEX('Email Cleaner'!$B$2:$B$10001,MATCH(953,'Email Cleaner'!$I$2:$I$10001,0)),"")</f>
        <v/>
      </c>
    </row>
    <row r="955">
      <c r="A955">
        <f>IFERROR(INDEX('Email Cleaner'!$B$2:$B$10001,MATCH(954,'Email Cleaner'!$I$2:$I$10001,0)),"")</f>
        <v/>
      </c>
    </row>
    <row r="956">
      <c r="A956">
        <f>IFERROR(INDEX('Email Cleaner'!$B$2:$B$10001,MATCH(955,'Email Cleaner'!$I$2:$I$10001,0)),"")</f>
        <v/>
      </c>
    </row>
    <row r="957">
      <c r="A957">
        <f>IFERROR(INDEX('Email Cleaner'!$B$2:$B$10001,MATCH(956,'Email Cleaner'!$I$2:$I$10001,0)),"")</f>
        <v/>
      </c>
    </row>
    <row r="958">
      <c r="A958">
        <f>IFERROR(INDEX('Email Cleaner'!$B$2:$B$10001,MATCH(957,'Email Cleaner'!$I$2:$I$10001,0)),"")</f>
        <v/>
      </c>
    </row>
    <row r="959">
      <c r="A959">
        <f>IFERROR(INDEX('Email Cleaner'!$B$2:$B$10001,MATCH(958,'Email Cleaner'!$I$2:$I$10001,0)),"")</f>
        <v/>
      </c>
    </row>
    <row r="960">
      <c r="A960">
        <f>IFERROR(INDEX('Email Cleaner'!$B$2:$B$10001,MATCH(959,'Email Cleaner'!$I$2:$I$10001,0)),"")</f>
        <v/>
      </c>
    </row>
    <row r="961">
      <c r="A961">
        <f>IFERROR(INDEX('Email Cleaner'!$B$2:$B$10001,MATCH(960,'Email Cleaner'!$I$2:$I$10001,0)),"")</f>
        <v/>
      </c>
    </row>
    <row r="962">
      <c r="A962">
        <f>IFERROR(INDEX('Email Cleaner'!$B$2:$B$10001,MATCH(961,'Email Cleaner'!$I$2:$I$10001,0)),"")</f>
        <v/>
      </c>
    </row>
    <row r="963">
      <c r="A963">
        <f>IFERROR(INDEX('Email Cleaner'!$B$2:$B$10001,MATCH(962,'Email Cleaner'!$I$2:$I$10001,0)),"")</f>
        <v/>
      </c>
    </row>
    <row r="964">
      <c r="A964">
        <f>IFERROR(INDEX('Email Cleaner'!$B$2:$B$10001,MATCH(963,'Email Cleaner'!$I$2:$I$10001,0)),"")</f>
        <v/>
      </c>
    </row>
    <row r="965">
      <c r="A965">
        <f>IFERROR(INDEX('Email Cleaner'!$B$2:$B$10001,MATCH(964,'Email Cleaner'!$I$2:$I$10001,0)),"")</f>
        <v/>
      </c>
    </row>
    <row r="966">
      <c r="A966">
        <f>IFERROR(INDEX('Email Cleaner'!$B$2:$B$10001,MATCH(965,'Email Cleaner'!$I$2:$I$10001,0)),"")</f>
        <v/>
      </c>
    </row>
    <row r="967">
      <c r="A967">
        <f>IFERROR(INDEX('Email Cleaner'!$B$2:$B$10001,MATCH(966,'Email Cleaner'!$I$2:$I$10001,0)),"")</f>
        <v/>
      </c>
    </row>
    <row r="968">
      <c r="A968">
        <f>IFERROR(INDEX('Email Cleaner'!$B$2:$B$10001,MATCH(967,'Email Cleaner'!$I$2:$I$10001,0)),"")</f>
        <v/>
      </c>
    </row>
    <row r="969">
      <c r="A969">
        <f>IFERROR(INDEX('Email Cleaner'!$B$2:$B$10001,MATCH(968,'Email Cleaner'!$I$2:$I$10001,0)),"")</f>
        <v/>
      </c>
    </row>
    <row r="970">
      <c r="A970">
        <f>IFERROR(INDEX('Email Cleaner'!$B$2:$B$10001,MATCH(969,'Email Cleaner'!$I$2:$I$10001,0)),"")</f>
        <v/>
      </c>
    </row>
    <row r="971">
      <c r="A971">
        <f>IFERROR(INDEX('Email Cleaner'!$B$2:$B$10001,MATCH(970,'Email Cleaner'!$I$2:$I$10001,0)),"")</f>
        <v/>
      </c>
    </row>
    <row r="972">
      <c r="A972">
        <f>IFERROR(INDEX('Email Cleaner'!$B$2:$B$10001,MATCH(971,'Email Cleaner'!$I$2:$I$10001,0)),"")</f>
        <v/>
      </c>
    </row>
    <row r="973">
      <c r="A973">
        <f>IFERROR(INDEX('Email Cleaner'!$B$2:$B$10001,MATCH(972,'Email Cleaner'!$I$2:$I$10001,0)),"")</f>
        <v/>
      </c>
    </row>
    <row r="974">
      <c r="A974">
        <f>IFERROR(INDEX('Email Cleaner'!$B$2:$B$10001,MATCH(973,'Email Cleaner'!$I$2:$I$10001,0)),"")</f>
        <v/>
      </c>
    </row>
    <row r="975">
      <c r="A975">
        <f>IFERROR(INDEX('Email Cleaner'!$B$2:$B$10001,MATCH(974,'Email Cleaner'!$I$2:$I$10001,0)),"")</f>
        <v/>
      </c>
    </row>
    <row r="976">
      <c r="A976">
        <f>IFERROR(INDEX('Email Cleaner'!$B$2:$B$10001,MATCH(975,'Email Cleaner'!$I$2:$I$10001,0)),"")</f>
        <v/>
      </c>
    </row>
    <row r="977">
      <c r="A977">
        <f>IFERROR(INDEX('Email Cleaner'!$B$2:$B$10001,MATCH(976,'Email Cleaner'!$I$2:$I$10001,0)),"")</f>
        <v/>
      </c>
    </row>
    <row r="978">
      <c r="A978">
        <f>IFERROR(INDEX('Email Cleaner'!$B$2:$B$10001,MATCH(977,'Email Cleaner'!$I$2:$I$10001,0)),"")</f>
        <v/>
      </c>
    </row>
    <row r="979">
      <c r="A979">
        <f>IFERROR(INDEX('Email Cleaner'!$B$2:$B$10001,MATCH(978,'Email Cleaner'!$I$2:$I$10001,0)),"")</f>
        <v/>
      </c>
    </row>
    <row r="980">
      <c r="A980">
        <f>IFERROR(INDEX('Email Cleaner'!$B$2:$B$10001,MATCH(979,'Email Cleaner'!$I$2:$I$10001,0)),"")</f>
        <v/>
      </c>
    </row>
    <row r="981">
      <c r="A981">
        <f>IFERROR(INDEX('Email Cleaner'!$B$2:$B$10001,MATCH(980,'Email Cleaner'!$I$2:$I$10001,0)),"")</f>
        <v/>
      </c>
    </row>
    <row r="982">
      <c r="A982">
        <f>IFERROR(INDEX('Email Cleaner'!$B$2:$B$10001,MATCH(981,'Email Cleaner'!$I$2:$I$10001,0)),"")</f>
        <v/>
      </c>
    </row>
    <row r="983">
      <c r="A983">
        <f>IFERROR(INDEX('Email Cleaner'!$B$2:$B$10001,MATCH(982,'Email Cleaner'!$I$2:$I$10001,0)),"")</f>
        <v/>
      </c>
    </row>
    <row r="984">
      <c r="A984">
        <f>IFERROR(INDEX('Email Cleaner'!$B$2:$B$10001,MATCH(983,'Email Cleaner'!$I$2:$I$10001,0)),"")</f>
        <v/>
      </c>
    </row>
    <row r="985">
      <c r="A985">
        <f>IFERROR(INDEX('Email Cleaner'!$B$2:$B$10001,MATCH(984,'Email Cleaner'!$I$2:$I$10001,0)),"")</f>
        <v/>
      </c>
    </row>
    <row r="986">
      <c r="A986">
        <f>IFERROR(INDEX('Email Cleaner'!$B$2:$B$10001,MATCH(985,'Email Cleaner'!$I$2:$I$10001,0)),"")</f>
        <v/>
      </c>
    </row>
    <row r="987">
      <c r="A987">
        <f>IFERROR(INDEX('Email Cleaner'!$B$2:$B$10001,MATCH(986,'Email Cleaner'!$I$2:$I$10001,0)),"")</f>
        <v/>
      </c>
    </row>
    <row r="988">
      <c r="A988">
        <f>IFERROR(INDEX('Email Cleaner'!$B$2:$B$10001,MATCH(987,'Email Cleaner'!$I$2:$I$10001,0)),"")</f>
        <v/>
      </c>
    </row>
    <row r="989">
      <c r="A989">
        <f>IFERROR(INDEX('Email Cleaner'!$B$2:$B$10001,MATCH(988,'Email Cleaner'!$I$2:$I$10001,0)),"")</f>
        <v/>
      </c>
    </row>
    <row r="990">
      <c r="A990">
        <f>IFERROR(INDEX('Email Cleaner'!$B$2:$B$10001,MATCH(989,'Email Cleaner'!$I$2:$I$10001,0)),"")</f>
        <v/>
      </c>
    </row>
    <row r="991">
      <c r="A991">
        <f>IFERROR(INDEX('Email Cleaner'!$B$2:$B$10001,MATCH(990,'Email Cleaner'!$I$2:$I$10001,0)),"")</f>
        <v/>
      </c>
    </row>
    <row r="992">
      <c r="A992">
        <f>IFERROR(INDEX('Email Cleaner'!$B$2:$B$10001,MATCH(991,'Email Cleaner'!$I$2:$I$10001,0)),"")</f>
        <v/>
      </c>
    </row>
    <row r="993">
      <c r="A993">
        <f>IFERROR(INDEX('Email Cleaner'!$B$2:$B$10001,MATCH(992,'Email Cleaner'!$I$2:$I$10001,0)),"")</f>
        <v/>
      </c>
    </row>
    <row r="994">
      <c r="A994">
        <f>IFERROR(INDEX('Email Cleaner'!$B$2:$B$10001,MATCH(993,'Email Cleaner'!$I$2:$I$10001,0)),"")</f>
        <v/>
      </c>
    </row>
    <row r="995">
      <c r="A995">
        <f>IFERROR(INDEX('Email Cleaner'!$B$2:$B$10001,MATCH(994,'Email Cleaner'!$I$2:$I$10001,0)),"")</f>
        <v/>
      </c>
    </row>
    <row r="996">
      <c r="A996">
        <f>IFERROR(INDEX('Email Cleaner'!$B$2:$B$10001,MATCH(995,'Email Cleaner'!$I$2:$I$10001,0)),"")</f>
        <v/>
      </c>
    </row>
    <row r="997">
      <c r="A997">
        <f>IFERROR(INDEX('Email Cleaner'!$B$2:$B$10001,MATCH(996,'Email Cleaner'!$I$2:$I$10001,0)),"")</f>
        <v/>
      </c>
    </row>
    <row r="998">
      <c r="A998">
        <f>IFERROR(INDEX('Email Cleaner'!$B$2:$B$10001,MATCH(997,'Email Cleaner'!$I$2:$I$10001,0)),"")</f>
        <v/>
      </c>
    </row>
    <row r="999">
      <c r="A999">
        <f>IFERROR(INDEX('Email Cleaner'!$B$2:$B$10001,MATCH(998,'Email Cleaner'!$I$2:$I$10001,0)),"")</f>
        <v/>
      </c>
    </row>
    <row r="1000">
      <c r="A1000">
        <f>IFERROR(INDEX('Email Cleaner'!$B$2:$B$10001,MATCH(999,'Email Cleaner'!$I$2:$I$10001,0)),"")</f>
        <v/>
      </c>
    </row>
    <row r="1001">
      <c r="A1001">
        <f>IFERROR(INDEX('Email Cleaner'!$B$2:$B$10001,MATCH(1000,'Email Cleaner'!$I$2:$I$10001,0)),"")</f>
        <v/>
      </c>
    </row>
    <row r="1002">
      <c r="A1002">
        <f>IFERROR(INDEX('Email Cleaner'!$B$2:$B$10001,MATCH(1001,'Email Cleaner'!$I$2:$I$10001,0)),"")</f>
        <v/>
      </c>
    </row>
    <row r="1003">
      <c r="A1003">
        <f>IFERROR(INDEX('Email Cleaner'!$B$2:$B$10001,MATCH(1002,'Email Cleaner'!$I$2:$I$10001,0)),"")</f>
        <v/>
      </c>
    </row>
    <row r="1004">
      <c r="A1004">
        <f>IFERROR(INDEX('Email Cleaner'!$B$2:$B$10001,MATCH(1003,'Email Cleaner'!$I$2:$I$10001,0)),"")</f>
        <v/>
      </c>
    </row>
    <row r="1005">
      <c r="A1005">
        <f>IFERROR(INDEX('Email Cleaner'!$B$2:$B$10001,MATCH(1004,'Email Cleaner'!$I$2:$I$10001,0)),"")</f>
        <v/>
      </c>
    </row>
    <row r="1006">
      <c r="A1006">
        <f>IFERROR(INDEX('Email Cleaner'!$B$2:$B$10001,MATCH(1005,'Email Cleaner'!$I$2:$I$10001,0)),"")</f>
        <v/>
      </c>
    </row>
    <row r="1007">
      <c r="A1007">
        <f>IFERROR(INDEX('Email Cleaner'!$B$2:$B$10001,MATCH(1006,'Email Cleaner'!$I$2:$I$10001,0)),"")</f>
        <v/>
      </c>
    </row>
    <row r="1008">
      <c r="A1008">
        <f>IFERROR(INDEX('Email Cleaner'!$B$2:$B$10001,MATCH(1007,'Email Cleaner'!$I$2:$I$10001,0)),"")</f>
        <v/>
      </c>
    </row>
    <row r="1009">
      <c r="A1009">
        <f>IFERROR(INDEX('Email Cleaner'!$B$2:$B$10001,MATCH(1008,'Email Cleaner'!$I$2:$I$10001,0)),"")</f>
        <v/>
      </c>
    </row>
    <row r="1010">
      <c r="A1010">
        <f>IFERROR(INDEX('Email Cleaner'!$B$2:$B$10001,MATCH(1009,'Email Cleaner'!$I$2:$I$10001,0)),"")</f>
        <v/>
      </c>
    </row>
    <row r="1011">
      <c r="A1011">
        <f>IFERROR(INDEX('Email Cleaner'!$B$2:$B$10001,MATCH(1010,'Email Cleaner'!$I$2:$I$10001,0)),"")</f>
        <v/>
      </c>
    </row>
    <row r="1012">
      <c r="A1012">
        <f>IFERROR(INDEX('Email Cleaner'!$B$2:$B$10001,MATCH(1011,'Email Cleaner'!$I$2:$I$10001,0)),"")</f>
        <v/>
      </c>
    </row>
    <row r="1013">
      <c r="A1013">
        <f>IFERROR(INDEX('Email Cleaner'!$B$2:$B$10001,MATCH(1012,'Email Cleaner'!$I$2:$I$10001,0)),"")</f>
        <v/>
      </c>
    </row>
    <row r="1014">
      <c r="A1014">
        <f>IFERROR(INDEX('Email Cleaner'!$B$2:$B$10001,MATCH(1013,'Email Cleaner'!$I$2:$I$10001,0)),"")</f>
        <v/>
      </c>
    </row>
    <row r="1015">
      <c r="A1015">
        <f>IFERROR(INDEX('Email Cleaner'!$B$2:$B$10001,MATCH(1014,'Email Cleaner'!$I$2:$I$10001,0)),"")</f>
        <v/>
      </c>
    </row>
    <row r="1016">
      <c r="A1016">
        <f>IFERROR(INDEX('Email Cleaner'!$B$2:$B$10001,MATCH(1015,'Email Cleaner'!$I$2:$I$10001,0)),"")</f>
        <v/>
      </c>
    </row>
    <row r="1017">
      <c r="A1017">
        <f>IFERROR(INDEX('Email Cleaner'!$B$2:$B$10001,MATCH(1016,'Email Cleaner'!$I$2:$I$10001,0)),"")</f>
        <v/>
      </c>
    </row>
    <row r="1018">
      <c r="A1018">
        <f>IFERROR(INDEX('Email Cleaner'!$B$2:$B$10001,MATCH(1017,'Email Cleaner'!$I$2:$I$10001,0)),"")</f>
        <v/>
      </c>
    </row>
    <row r="1019">
      <c r="A1019">
        <f>IFERROR(INDEX('Email Cleaner'!$B$2:$B$10001,MATCH(1018,'Email Cleaner'!$I$2:$I$10001,0)),"")</f>
        <v/>
      </c>
    </row>
    <row r="1020">
      <c r="A1020">
        <f>IFERROR(INDEX('Email Cleaner'!$B$2:$B$10001,MATCH(1019,'Email Cleaner'!$I$2:$I$10001,0)),"")</f>
        <v/>
      </c>
    </row>
    <row r="1021">
      <c r="A1021">
        <f>IFERROR(INDEX('Email Cleaner'!$B$2:$B$10001,MATCH(1020,'Email Cleaner'!$I$2:$I$10001,0)),"")</f>
        <v/>
      </c>
    </row>
    <row r="1022">
      <c r="A1022">
        <f>IFERROR(INDEX('Email Cleaner'!$B$2:$B$10001,MATCH(1021,'Email Cleaner'!$I$2:$I$10001,0)),"")</f>
        <v/>
      </c>
    </row>
    <row r="1023">
      <c r="A1023">
        <f>IFERROR(INDEX('Email Cleaner'!$B$2:$B$10001,MATCH(1022,'Email Cleaner'!$I$2:$I$10001,0)),"")</f>
        <v/>
      </c>
    </row>
    <row r="1024">
      <c r="A1024">
        <f>IFERROR(INDEX('Email Cleaner'!$B$2:$B$10001,MATCH(1023,'Email Cleaner'!$I$2:$I$10001,0)),"")</f>
        <v/>
      </c>
    </row>
    <row r="1025">
      <c r="A1025">
        <f>IFERROR(INDEX('Email Cleaner'!$B$2:$B$10001,MATCH(1024,'Email Cleaner'!$I$2:$I$10001,0)),"")</f>
        <v/>
      </c>
    </row>
    <row r="1026">
      <c r="A1026">
        <f>IFERROR(INDEX('Email Cleaner'!$B$2:$B$10001,MATCH(1025,'Email Cleaner'!$I$2:$I$10001,0)),"")</f>
        <v/>
      </c>
    </row>
    <row r="1027">
      <c r="A1027">
        <f>IFERROR(INDEX('Email Cleaner'!$B$2:$B$10001,MATCH(1026,'Email Cleaner'!$I$2:$I$10001,0)),"")</f>
        <v/>
      </c>
    </row>
    <row r="1028">
      <c r="A1028">
        <f>IFERROR(INDEX('Email Cleaner'!$B$2:$B$10001,MATCH(1027,'Email Cleaner'!$I$2:$I$10001,0)),"")</f>
        <v/>
      </c>
    </row>
    <row r="1029">
      <c r="A1029">
        <f>IFERROR(INDEX('Email Cleaner'!$B$2:$B$10001,MATCH(1028,'Email Cleaner'!$I$2:$I$10001,0)),"")</f>
        <v/>
      </c>
    </row>
    <row r="1030">
      <c r="A1030">
        <f>IFERROR(INDEX('Email Cleaner'!$B$2:$B$10001,MATCH(1029,'Email Cleaner'!$I$2:$I$10001,0)),"")</f>
        <v/>
      </c>
    </row>
    <row r="1031">
      <c r="A1031">
        <f>IFERROR(INDEX('Email Cleaner'!$B$2:$B$10001,MATCH(1030,'Email Cleaner'!$I$2:$I$10001,0)),"")</f>
        <v/>
      </c>
    </row>
    <row r="1032">
      <c r="A1032">
        <f>IFERROR(INDEX('Email Cleaner'!$B$2:$B$10001,MATCH(1031,'Email Cleaner'!$I$2:$I$10001,0)),"")</f>
        <v/>
      </c>
    </row>
    <row r="1033">
      <c r="A1033">
        <f>IFERROR(INDEX('Email Cleaner'!$B$2:$B$10001,MATCH(1032,'Email Cleaner'!$I$2:$I$10001,0)),"")</f>
        <v/>
      </c>
    </row>
    <row r="1034">
      <c r="A1034">
        <f>IFERROR(INDEX('Email Cleaner'!$B$2:$B$10001,MATCH(1033,'Email Cleaner'!$I$2:$I$10001,0)),"")</f>
        <v/>
      </c>
    </row>
    <row r="1035">
      <c r="A1035">
        <f>IFERROR(INDEX('Email Cleaner'!$B$2:$B$10001,MATCH(1034,'Email Cleaner'!$I$2:$I$10001,0)),"")</f>
        <v/>
      </c>
    </row>
    <row r="1036">
      <c r="A1036">
        <f>IFERROR(INDEX('Email Cleaner'!$B$2:$B$10001,MATCH(1035,'Email Cleaner'!$I$2:$I$10001,0)),"")</f>
        <v/>
      </c>
    </row>
    <row r="1037">
      <c r="A1037">
        <f>IFERROR(INDEX('Email Cleaner'!$B$2:$B$10001,MATCH(1036,'Email Cleaner'!$I$2:$I$10001,0)),"")</f>
        <v/>
      </c>
    </row>
    <row r="1038">
      <c r="A1038">
        <f>IFERROR(INDEX('Email Cleaner'!$B$2:$B$10001,MATCH(1037,'Email Cleaner'!$I$2:$I$10001,0)),"")</f>
        <v/>
      </c>
    </row>
    <row r="1039">
      <c r="A1039">
        <f>IFERROR(INDEX('Email Cleaner'!$B$2:$B$10001,MATCH(1038,'Email Cleaner'!$I$2:$I$10001,0)),"")</f>
        <v/>
      </c>
    </row>
    <row r="1040">
      <c r="A1040">
        <f>IFERROR(INDEX('Email Cleaner'!$B$2:$B$10001,MATCH(1039,'Email Cleaner'!$I$2:$I$10001,0)),"")</f>
        <v/>
      </c>
    </row>
    <row r="1041">
      <c r="A1041">
        <f>IFERROR(INDEX('Email Cleaner'!$B$2:$B$10001,MATCH(1040,'Email Cleaner'!$I$2:$I$10001,0)),"")</f>
        <v/>
      </c>
    </row>
    <row r="1042">
      <c r="A1042">
        <f>IFERROR(INDEX('Email Cleaner'!$B$2:$B$10001,MATCH(1041,'Email Cleaner'!$I$2:$I$10001,0)),"")</f>
        <v/>
      </c>
    </row>
    <row r="1043">
      <c r="A1043">
        <f>IFERROR(INDEX('Email Cleaner'!$B$2:$B$10001,MATCH(1042,'Email Cleaner'!$I$2:$I$10001,0)),"")</f>
        <v/>
      </c>
    </row>
    <row r="1044">
      <c r="A1044">
        <f>IFERROR(INDEX('Email Cleaner'!$B$2:$B$10001,MATCH(1043,'Email Cleaner'!$I$2:$I$10001,0)),"")</f>
        <v/>
      </c>
    </row>
    <row r="1045">
      <c r="A1045">
        <f>IFERROR(INDEX('Email Cleaner'!$B$2:$B$10001,MATCH(1044,'Email Cleaner'!$I$2:$I$10001,0)),"")</f>
        <v/>
      </c>
    </row>
    <row r="1046">
      <c r="A1046">
        <f>IFERROR(INDEX('Email Cleaner'!$B$2:$B$10001,MATCH(1045,'Email Cleaner'!$I$2:$I$10001,0)),"")</f>
        <v/>
      </c>
    </row>
    <row r="1047">
      <c r="A1047">
        <f>IFERROR(INDEX('Email Cleaner'!$B$2:$B$10001,MATCH(1046,'Email Cleaner'!$I$2:$I$10001,0)),"")</f>
        <v/>
      </c>
    </row>
    <row r="1048">
      <c r="A1048">
        <f>IFERROR(INDEX('Email Cleaner'!$B$2:$B$10001,MATCH(1047,'Email Cleaner'!$I$2:$I$10001,0)),"")</f>
        <v/>
      </c>
    </row>
    <row r="1049">
      <c r="A1049">
        <f>IFERROR(INDEX('Email Cleaner'!$B$2:$B$10001,MATCH(1048,'Email Cleaner'!$I$2:$I$10001,0)),"")</f>
        <v/>
      </c>
    </row>
    <row r="1050">
      <c r="A1050">
        <f>IFERROR(INDEX('Email Cleaner'!$B$2:$B$10001,MATCH(1049,'Email Cleaner'!$I$2:$I$10001,0)),"")</f>
        <v/>
      </c>
    </row>
    <row r="1051">
      <c r="A1051">
        <f>IFERROR(INDEX('Email Cleaner'!$B$2:$B$10001,MATCH(1050,'Email Cleaner'!$I$2:$I$10001,0)),"")</f>
        <v/>
      </c>
    </row>
    <row r="1052">
      <c r="A1052">
        <f>IFERROR(INDEX('Email Cleaner'!$B$2:$B$10001,MATCH(1051,'Email Cleaner'!$I$2:$I$10001,0)),"")</f>
        <v/>
      </c>
    </row>
    <row r="1053">
      <c r="A1053">
        <f>IFERROR(INDEX('Email Cleaner'!$B$2:$B$10001,MATCH(1052,'Email Cleaner'!$I$2:$I$10001,0)),"")</f>
        <v/>
      </c>
    </row>
    <row r="1054">
      <c r="A1054">
        <f>IFERROR(INDEX('Email Cleaner'!$B$2:$B$10001,MATCH(1053,'Email Cleaner'!$I$2:$I$10001,0)),"")</f>
        <v/>
      </c>
    </row>
    <row r="1055">
      <c r="A1055">
        <f>IFERROR(INDEX('Email Cleaner'!$B$2:$B$10001,MATCH(1054,'Email Cleaner'!$I$2:$I$10001,0)),"")</f>
        <v/>
      </c>
    </row>
    <row r="1056">
      <c r="A1056">
        <f>IFERROR(INDEX('Email Cleaner'!$B$2:$B$10001,MATCH(1055,'Email Cleaner'!$I$2:$I$10001,0)),"")</f>
        <v/>
      </c>
    </row>
    <row r="1057">
      <c r="A1057">
        <f>IFERROR(INDEX('Email Cleaner'!$B$2:$B$10001,MATCH(1056,'Email Cleaner'!$I$2:$I$10001,0)),"")</f>
        <v/>
      </c>
    </row>
    <row r="1058">
      <c r="A1058">
        <f>IFERROR(INDEX('Email Cleaner'!$B$2:$B$10001,MATCH(1057,'Email Cleaner'!$I$2:$I$10001,0)),"")</f>
        <v/>
      </c>
    </row>
    <row r="1059">
      <c r="A1059">
        <f>IFERROR(INDEX('Email Cleaner'!$B$2:$B$10001,MATCH(1058,'Email Cleaner'!$I$2:$I$10001,0)),"")</f>
        <v/>
      </c>
    </row>
    <row r="1060">
      <c r="A1060">
        <f>IFERROR(INDEX('Email Cleaner'!$B$2:$B$10001,MATCH(1059,'Email Cleaner'!$I$2:$I$10001,0)),"")</f>
        <v/>
      </c>
    </row>
    <row r="1061">
      <c r="A1061">
        <f>IFERROR(INDEX('Email Cleaner'!$B$2:$B$10001,MATCH(1060,'Email Cleaner'!$I$2:$I$10001,0)),"")</f>
        <v/>
      </c>
    </row>
    <row r="1062">
      <c r="A1062">
        <f>IFERROR(INDEX('Email Cleaner'!$B$2:$B$10001,MATCH(1061,'Email Cleaner'!$I$2:$I$10001,0)),"")</f>
        <v/>
      </c>
    </row>
    <row r="1063">
      <c r="A1063">
        <f>IFERROR(INDEX('Email Cleaner'!$B$2:$B$10001,MATCH(1062,'Email Cleaner'!$I$2:$I$10001,0)),"")</f>
        <v/>
      </c>
    </row>
    <row r="1064">
      <c r="A1064">
        <f>IFERROR(INDEX('Email Cleaner'!$B$2:$B$10001,MATCH(1063,'Email Cleaner'!$I$2:$I$10001,0)),"")</f>
        <v/>
      </c>
    </row>
    <row r="1065">
      <c r="A1065">
        <f>IFERROR(INDEX('Email Cleaner'!$B$2:$B$10001,MATCH(1064,'Email Cleaner'!$I$2:$I$10001,0)),"")</f>
        <v/>
      </c>
    </row>
    <row r="1066">
      <c r="A1066">
        <f>IFERROR(INDEX('Email Cleaner'!$B$2:$B$10001,MATCH(1065,'Email Cleaner'!$I$2:$I$10001,0)),"")</f>
        <v/>
      </c>
    </row>
    <row r="1067">
      <c r="A1067">
        <f>IFERROR(INDEX('Email Cleaner'!$B$2:$B$10001,MATCH(1066,'Email Cleaner'!$I$2:$I$10001,0)),"")</f>
        <v/>
      </c>
    </row>
    <row r="1068">
      <c r="A1068">
        <f>IFERROR(INDEX('Email Cleaner'!$B$2:$B$10001,MATCH(1067,'Email Cleaner'!$I$2:$I$10001,0)),"")</f>
        <v/>
      </c>
    </row>
    <row r="1069">
      <c r="A1069">
        <f>IFERROR(INDEX('Email Cleaner'!$B$2:$B$10001,MATCH(1068,'Email Cleaner'!$I$2:$I$10001,0)),"")</f>
        <v/>
      </c>
    </row>
    <row r="1070">
      <c r="A1070">
        <f>IFERROR(INDEX('Email Cleaner'!$B$2:$B$10001,MATCH(1069,'Email Cleaner'!$I$2:$I$10001,0)),"")</f>
        <v/>
      </c>
    </row>
    <row r="1071">
      <c r="A1071">
        <f>IFERROR(INDEX('Email Cleaner'!$B$2:$B$10001,MATCH(1070,'Email Cleaner'!$I$2:$I$10001,0)),"")</f>
        <v/>
      </c>
    </row>
    <row r="1072">
      <c r="A1072">
        <f>IFERROR(INDEX('Email Cleaner'!$B$2:$B$10001,MATCH(1071,'Email Cleaner'!$I$2:$I$10001,0)),"")</f>
        <v/>
      </c>
    </row>
    <row r="1073">
      <c r="A1073">
        <f>IFERROR(INDEX('Email Cleaner'!$B$2:$B$10001,MATCH(1072,'Email Cleaner'!$I$2:$I$10001,0)),"")</f>
        <v/>
      </c>
    </row>
    <row r="1074">
      <c r="A1074">
        <f>IFERROR(INDEX('Email Cleaner'!$B$2:$B$10001,MATCH(1073,'Email Cleaner'!$I$2:$I$10001,0)),"")</f>
        <v/>
      </c>
    </row>
    <row r="1075">
      <c r="A1075">
        <f>IFERROR(INDEX('Email Cleaner'!$B$2:$B$10001,MATCH(1074,'Email Cleaner'!$I$2:$I$10001,0)),"")</f>
        <v/>
      </c>
    </row>
    <row r="1076">
      <c r="A1076">
        <f>IFERROR(INDEX('Email Cleaner'!$B$2:$B$10001,MATCH(1075,'Email Cleaner'!$I$2:$I$10001,0)),"")</f>
        <v/>
      </c>
    </row>
    <row r="1077">
      <c r="A1077">
        <f>IFERROR(INDEX('Email Cleaner'!$B$2:$B$10001,MATCH(1076,'Email Cleaner'!$I$2:$I$10001,0)),"")</f>
        <v/>
      </c>
    </row>
    <row r="1078">
      <c r="A1078">
        <f>IFERROR(INDEX('Email Cleaner'!$B$2:$B$10001,MATCH(1077,'Email Cleaner'!$I$2:$I$10001,0)),"")</f>
        <v/>
      </c>
    </row>
    <row r="1079">
      <c r="A1079">
        <f>IFERROR(INDEX('Email Cleaner'!$B$2:$B$10001,MATCH(1078,'Email Cleaner'!$I$2:$I$10001,0)),"")</f>
        <v/>
      </c>
    </row>
    <row r="1080">
      <c r="A1080">
        <f>IFERROR(INDEX('Email Cleaner'!$B$2:$B$10001,MATCH(1079,'Email Cleaner'!$I$2:$I$10001,0)),"")</f>
        <v/>
      </c>
    </row>
    <row r="1081">
      <c r="A1081">
        <f>IFERROR(INDEX('Email Cleaner'!$B$2:$B$10001,MATCH(1080,'Email Cleaner'!$I$2:$I$10001,0)),"")</f>
        <v/>
      </c>
    </row>
    <row r="1082">
      <c r="A1082">
        <f>IFERROR(INDEX('Email Cleaner'!$B$2:$B$10001,MATCH(1081,'Email Cleaner'!$I$2:$I$10001,0)),"")</f>
        <v/>
      </c>
    </row>
    <row r="1083">
      <c r="A1083">
        <f>IFERROR(INDEX('Email Cleaner'!$B$2:$B$10001,MATCH(1082,'Email Cleaner'!$I$2:$I$10001,0)),"")</f>
        <v/>
      </c>
    </row>
    <row r="1084">
      <c r="A1084">
        <f>IFERROR(INDEX('Email Cleaner'!$B$2:$B$10001,MATCH(1083,'Email Cleaner'!$I$2:$I$10001,0)),"")</f>
        <v/>
      </c>
    </row>
    <row r="1085">
      <c r="A1085">
        <f>IFERROR(INDEX('Email Cleaner'!$B$2:$B$10001,MATCH(1084,'Email Cleaner'!$I$2:$I$10001,0)),"")</f>
        <v/>
      </c>
    </row>
    <row r="1086">
      <c r="A1086">
        <f>IFERROR(INDEX('Email Cleaner'!$B$2:$B$10001,MATCH(1085,'Email Cleaner'!$I$2:$I$10001,0)),"")</f>
        <v/>
      </c>
    </row>
    <row r="1087">
      <c r="A1087">
        <f>IFERROR(INDEX('Email Cleaner'!$B$2:$B$10001,MATCH(1086,'Email Cleaner'!$I$2:$I$10001,0)),"")</f>
        <v/>
      </c>
    </row>
    <row r="1088">
      <c r="A1088">
        <f>IFERROR(INDEX('Email Cleaner'!$B$2:$B$10001,MATCH(1087,'Email Cleaner'!$I$2:$I$10001,0)),"")</f>
        <v/>
      </c>
    </row>
    <row r="1089">
      <c r="A1089">
        <f>IFERROR(INDEX('Email Cleaner'!$B$2:$B$10001,MATCH(1088,'Email Cleaner'!$I$2:$I$10001,0)),"")</f>
        <v/>
      </c>
    </row>
    <row r="1090">
      <c r="A1090">
        <f>IFERROR(INDEX('Email Cleaner'!$B$2:$B$10001,MATCH(1089,'Email Cleaner'!$I$2:$I$10001,0)),"")</f>
        <v/>
      </c>
    </row>
    <row r="1091">
      <c r="A1091">
        <f>IFERROR(INDEX('Email Cleaner'!$B$2:$B$10001,MATCH(1090,'Email Cleaner'!$I$2:$I$10001,0)),"")</f>
        <v/>
      </c>
    </row>
    <row r="1092">
      <c r="A1092">
        <f>IFERROR(INDEX('Email Cleaner'!$B$2:$B$10001,MATCH(1091,'Email Cleaner'!$I$2:$I$10001,0)),"")</f>
        <v/>
      </c>
    </row>
    <row r="1093">
      <c r="A1093">
        <f>IFERROR(INDEX('Email Cleaner'!$B$2:$B$10001,MATCH(1092,'Email Cleaner'!$I$2:$I$10001,0)),"")</f>
        <v/>
      </c>
    </row>
    <row r="1094">
      <c r="A1094">
        <f>IFERROR(INDEX('Email Cleaner'!$B$2:$B$10001,MATCH(1093,'Email Cleaner'!$I$2:$I$10001,0)),"")</f>
        <v/>
      </c>
    </row>
    <row r="1095">
      <c r="A1095">
        <f>IFERROR(INDEX('Email Cleaner'!$B$2:$B$10001,MATCH(1094,'Email Cleaner'!$I$2:$I$10001,0)),"")</f>
        <v/>
      </c>
    </row>
    <row r="1096">
      <c r="A1096">
        <f>IFERROR(INDEX('Email Cleaner'!$B$2:$B$10001,MATCH(1095,'Email Cleaner'!$I$2:$I$10001,0)),"")</f>
        <v/>
      </c>
    </row>
    <row r="1097">
      <c r="A1097">
        <f>IFERROR(INDEX('Email Cleaner'!$B$2:$B$10001,MATCH(1096,'Email Cleaner'!$I$2:$I$10001,0)),"")</f>
        <v/>
      </c>
    </row>
    <row r="1098">
      <c r="A1098">
        <f>IFERROR(INDEX('Email Cleaner'!$B$2:$B$10001,MATCH(1097,'Email Cleaner'!$I$2:$I$10001,0)),"")</f>
        <v/>
      </c>
    </row>
    <row r="1099">
      <c r="A1099">
        <f>IFERROR(INDEX('Email Cleaner'!$B$2:$B$10001,MATCH(1098,'Email Cleaner'!$I$2:$I$10001,0)),"")</f>
        <v/>
      </c>
    </row>
    <row r="1100">
      <c r="A1100">
        <f>IFERROR(INDEX('Email Cleaner'!$B$2:$B$10001,MATCH(1099,'Email Cleaner'!$I$2:$I$10001,0)),"")</f>
        <v/>
      </c>
    </row>
    <row r="1101">
      <c r="A1101">
        <f>IFERROR(INDEX('Email Cleaner'!$B$2:$B$10001,MATCH(1100,'Email Cleaner'!$I$2:$I$10001,0)),"")</f>
        <v/>
      </c>
    </row>
    <row r="1102">
      <c r="A1102">
        <f>IFERROR(INDEX('Email Cleaner'!$B$2:$B$10001,MATCH(1101,'Email Cleaner'!$I$2:$I$10001,0)),"")</f>
        <v/>
      </c>
    </row>
    <row r="1103">
      <c r="A1103">
        <f>IFERROR(INDEX('Email Cleaner'!$B$2:$B$10001,MATCH(1102,'Email Cleaner'!$I$2:$I$10001,0)),"")</f>
        <v/>
      </c>
    </row>
    <row r="1104">
      <c r="A1104">
        <f>IFERROR(INDEX('Email Cleaner'!$B$2:$B$10001,MATCH(1103,'Email Cleaner'!$I$2:$I$10001,0)),"")</f>
        <v/>
      </c>
    </row>
    <row r="1105">
      <c r="A1105">
        <f>IFERROR(INDEX('Email Cleaner'!$B$2:$B$10001,MATCH(1104,'Email Cleaner'!$I$2:$I$10001,0)),"")</f>
        <v/>
      </c>
    </row>
    <row r="1106">
      <c r="A1106">
        <f>IFERROR(INDEX('Email Cleaner'!$B$2:$B$10001,MATCH(1105,'Email Cleaner'!$I$2:$I$10001,0)),"")</f>
        <v/>
      </c>
    </row>
    <row r="1107">
      <c r="A1107">
        <f>IFERROR(INDEX('Email Cleaner'!$B$2:$B$10001,MATCH(1106,'Email Cleaner'!$I$2:$I$10001,0)),"")</f>
        <v/>
      </c>
    </row>
    <row r="1108">
      <c r="A1108">
        <f>IFERROR(INDEX('Email Cleaner'!$B$2:$B$10001,MATCH(1107,'Email Cleaner'!$I$2:$I$10001,0)),"")</f>
        <v/>
      </c>
    </row>
    <row r="1109">
      <c r="A1109">
        <f>IFERROR(INDEX('Email Cleaner'!$B$2:$B$10001,MATCH(1108,'Email Cleaner'!$I$2:$I$10001,0)),"")</f>
        <v/>
      </c>
    </row>
    <row r="1110">
      <c r="A1110">
        <f>IFERROR(INDEX('Email Cleaner'!$B$2:$B$10001,MATCH(1109,'Email Cleaner'!$I$2:$I$10001,0)),"")</f>
        <v/>
      </c>
    </row>
    <row r="1111">
      <c r="A1111">
        <f>IFERROR(INDEX('Email Cleaner'!$B$2:$B$10001,MATCH(1110,'Email Cleaner'!$I$2:$I$10001,0)),"")</f>
        <v/>
      </c>
    </row>
    <row r="1112">
      <c r="A1112">
        <f>IFERROR(INDEX('Email Cleaner'!$B$2:$B$10001,MATCH(1111,'Email Cleaner'!$I$2:$I$10001,0)),"")</f>
        <v/>
      </c>
    </row>
    <row r="1113">
      <c r="A1113">
        <f>IFERROR(INDEX('Email Cleaner'!$B$2:$B$10001,MATCH(1112,'Email Cleaner'!$I$2:$I$10001,0)),"")</f>
        <v/>
      </c>
    </row>
    <row r="1114">
      <c r="A1114">
        <f>IFERROR(INDEX('Email Cleaner'!$B$2:$B$10001,MATCH(1113,'Email Cleaner'!$I$2:$I$10001,0)),"")</f>
        <v/>
      </c>
    </row>
    <row r="1115">
      <c r="A1115">
        <f>IFERROR(INDEX('Email Cleaner'!$B$2:$B$10001,MATCH(1114,'Email Cleaner'!$I$2:$I$10001,0)),"")</f>
        <v/>
      </c>
    </row>
    <row r="1116">
      <c r="A1116">
        <f>IFERROR(INDEX('Email Cleaner'!$B$2:$B$10001,MATCH(1115,'Email Cleaner'!$I$2:$I$10001,0)),"")</f>
        <v/>
      </c>
    </row>
    <row r="1117">
      <c r="A1117">
        <f>IFERROR(INDEX('Email Cleaner'!$B$2:$B$10001,MATCH(1116,'Email Cleaner'!$I$2:$I$10001,0)),"")</f>
        <v/>
      </c>
    </row>
    <row r="1118">
      <c r="A1118">
        <f>IFERROR(INDEX('Email Cleaner'!$B$2:$B$10001,MATCH(1117,'Email Cleaner'!$I$2:$I$10001,0)),"")</f>
        <v/>
      </c>
    </row>
    <row r="1119">
      <c r="A1119">
        <f>IFERROR(INDEX('Email Cleaner'!$B$2:$B$10001,MATCH(1118,'Email Cleaner'!$I$2:$I$10001,0)),"")</f>
        <v/>
      </c>
    </row>
    <row r="1120">
      <c r="A1120">
        <f>IFERROR(INDEX('Email Cleaner'!$B$2:$B$10001,MATCH(1119,'Email Cleaner'!$I$2:$I$10001,0)),"")</f>
        <v/>
      </c>
    </row>
    <row r="1121">
      <c r="A1121">
        <f>IFERROR(INDEX('Email Cleaner'!$B$2:$B$10001,MATCH(1120,'Email Cleaner'!$I$2:$I$10001,0)),"")</f>
        <v/>
      </c>
    </row>
    <row r="1122">
      <c r="A1122">
        <f>IFERROR(INDEX('Email Cleaner'!$B$2:$B$10001,MATCH(1121,'Email Cleaner'!$I$2:$I$10001,0)),"")</f>
        <v/>
      </c>
    </row>
    <row r="1123">
      <c r="A1123">
        <f>IFERROR(INDEX('Email Cleaner'!$B$2:$B$10001,MATCH(1122,'Email Cleaner'!$I$2:$I$10001,0)),"")</f>
        <v/>
      </c>
    </row>
    <row r="1124">
      <c r="A1124">
        <f>IFERROR(INDEX('Email Cleaner'!$B$2:$B$10001,MATCH(1123,'Email Cleaner'!$I$2:$I$10001,0)),"")</f>
        <v/>
      </c>
    </row>
    <row r="1125">
      <c r="A1125">
        <f>IFERROR(INDEX('Email Cleaner'!$B$2:$B$10001,MATCH(1124,'Email Cleaner'!$I$2:$I$10001,0)),"")</f>
        <v/>
      </c>
    </row>
    <row r="1126">
      <c r="A1126">
        <f>IFERROR(INDEX('Email Cleaner'!$B$2:$B$10001,MATCH(1125,'Email Cleaner'!$I$2:$I$10001,0)),"")</f>
        <v/>
      </c>
    </row>
    <row r="1127">
      <c r="A1127">
        <f>IFERROR(INDEX('Email Cleaner'!$B$2:$B$10001,MATCH(1126,'Email Cleaner'!$I$2:$I$10001,0)),"")</f>
        <v/>
      </c>
    </row>
    <row r="1128">
      <c r="A1128">
        <f>IFERROR(INDEX('Email Cleaner'!$B$2:$B$10001,MATCH(1127,'Email Cleaner'!$I$2:$I$10001,0)),"")</f>
        <v/>
      </c>
    </row>
    <row r="1129">
      <c r="A1129">
        <f>IFERROR(INDEX('Email Cleaner'!$B$2:$B$10001,MATCH(1128,'Email Cleaner'!$I$2:$I$10001,0)),"")</f>
        <v/>
      </c>
    </row>
    <row r="1130">
      <c r="A1130">
        <f>IFERROR(INDEX('Email Cleaner'!$B$2:$B$10001,MATCH(1129,'Email Cleaner'!$I$2:$I$10001,0)),"")</f>
        <v/>
      </c>
    </row>
    <row r="1131">
      <c r="A1131">
        <f>IFERROR(INDEX('Email Cleaner'!$B$2:$B$10001,MATCH(1130,'Email Cleaner'!$I$2:$I$10001,0)),"")</f>
        <v/>
      </c>
    </row>
    <row r="1132">
      <c r="A1132">
        <f>IFERROR(INDEX('Email Cleaner'!$B$2:$B$10001,MATCH(1131,'Email Cleaner'!$I$2:$I$10001,0)),"")</f>
        <v/>
      </c>
    </row>
    <row r="1133">
      <c r="A1133">
        <f>IFERROR(INDEX('Email Cleaner'!$B$2:$B$10001,MATCH(1132,'Email Cleaner'!$I$2:$I$10001,0)),"")</f>
        <v/>
      </c>
    </row>
    <row r="1134">
      <c r="A1134">
        <f>IFERROR(INDEX('Email Cleaner'!$B$2:$B$10001,MATCH(1133,'Email Cleaner'!$I$2:$I$10001,0)),"")</f>
        <v/>
      </c>
    </row>
    <row r="1135">
      <c r="A1135">
        <f>IFERROR(INDEX('Email Cleaner'!$B$2:$B$10001,MATCH(1134,'Email Cleaner'!$I$2:$I$10001,0)),"")</f>
        <v/>
      </c>
    </row>
    <row r="1136">
      <c r="A1136">
        <f>IFERROR(INDEX('Email Cleaner'!$B$2:$B$10001,MATCH(1135,'Email Cleaner'!$I$2:$I$10001,0)),"")</f>
        <v/>
      </c>
    </row>
    <row r="1137">
      <c r="A1137">
        <f>IFERROR(INDEX('Email Cleaner'!$B$2:$B$10001,MATCH(1136,'Email Cleaner'!$I$2:$I$10001,0)),"")</f>
        <v/>
      </c>
    </row>
    <row r="1138">
      <c r="A1138">
        <f>IFERROR(INDEX('Email Cleaner'!$B$2:$B$10001,MATCH(1137,'Email Cleaner'!$I$2:$I$10001,0)),"")</f>
        <v/>
      </c>
    </row>
    <row r="1139">
      <c r="A1139">
        <f>IFERROR(INDEX('Email Cleaner'!$B$2:$B$10001,MATCH(1138,'Email Cleaner'!$I$2:$I$10001,0)),"")</f>
        <v/>
      </c>
    </row>
    <row r="1140">
      <c r="A1140">
        <f>IFERROR(INDEX('Email Cleaner'!$B$2:$B$10001,MATCH(1139,'Email Cleaner'!$I$2:$I$10001,0)),"")</f>
        <v/>
      </c>
    </row>
    <row r="1141">
      <c r="A1141">
        <f>IFERROR(INDEX('Email Cleaner'!$B$2:$B$10001,MATCH(1140,'Email Cleaner'!$I$2:$I$10001,0)),"")</f>
        <v/>
      </c>
    </row>
    <row r="1142">
      <c r="A1142">
        <f>IFERROR(INDEX('Email Cleaner'!$B$2:$B$10001,MATCH(1141,'Email Cleaner'!$I$2:$I$10001,0)),"")</f>
        <v/>
      </c>
    </row>
    <row r="1143">
      <c r="A1143">
        <f>IFERROR(INDEX('Email Cleaner'!$B$2:$B$10001,MATCH(1142,'Email Cleaner'!$I$2:$I$10001,0)),"")</f>
        <v/>
      </c>
    </row>
    <row r="1144">
      <c r="A1144">
        <f>IFERROR(INDEX('Email Cleaner'!$B$2:$B$10001,MATCH(1143,'Email Cleaner'!$I$2:$I$10001,0)),"")</f>
        <v/>
      </c>
    </row>
    <row r="1145">
      <c r="A1145">
        <f>IFERROR(INDEX('Email Cleaner'!$B$2:$B$10001,MATCH(1144,'Email Cleaner'!$I$2:$I$10001,0)),"")</f>
        <v/>
      </c>
    </row>
    <row r="1146">
      <c r="A1146">
        <f>IFERROR(INDEX('Email Cleaner'!$B$2:$B$10001,MATCH(1145,'Email Cleaner'!$I$2:$I$10001,0)),"")</f>
        <v/>
      </c>
    </row>
    <row r="1147">
      <c r="A1147">
        <f>IFERROR(INDEX('Email Cleaner'!$B$2:$B$10001,MATCH(1146,'Email Cleaner'!$I$2:$I$10001,0)),"")</f>
        <v/>
      </c>
    </row>
    <row r="1148">
      <c r="A1148">
        <f>IFERROR(INDEX('Email Cleaner'!$B$2:$B$10001,MATCH(1147,'Email Cleaner'!$I$2:$I$10001,0)),"")</f>
        <v/>
      </c>
    </row>
    <row r="1149">
      <c r="A1149">
        <f>IFERROR(INDEX('Email Cleaner'!$B$2:$B$10001,MATCH(1148,'Email Cleaner'!$I$2:$I$10001,0)),"")</f>
        <v/>
      </c>
    </row>
    <row r="1150">
      <c r="A1150">
        <f>IFERROR(INDEX('Email Cleaner'!$B$2:$B$10001,MATCH(1149,'Email Cleaner'!$I$2:$I$10001,0)),"")</f>
        <v/>
      </c>
    </row>
    <row r="1151">
      <c r="A1151">
        <f>IFERROR(INDEX('Email Cleaner'!$B$2:$B$10001,MATCH(1150,'Email Cleaner'!$I$2:$I$10001,0)),"")</f>
        <v/>
      </c>
    </row>
    <row r="1152">
      <c r="A1152">
        <f>IFERROR(INDEX('Email Cleaner'!$B$2:$B$10001,MATCH(1151,'Email Cleaner'!$I$2:$I$10001,0)),"")</f>
        <v/>
      </c>
    </row>
    <row r="1153">
      <c r="A1153">
        <f>IFERROR(INDEX('Email Cleaner'!$B$2:$B$10001,MATCH(1152,'Email Cleaner'!$I$2:$I$10001,0)),"")</f>
        <v/>
      </c>
    </row>
    <row r="1154">
      <c r="A1154">
        <f>IFERROR(INDEX('Email Cleaner'!$B$2:$B$10001,MATCH(1153,'Email Cleaner'!$I$2:$I$10001,0)),"")</f>
        <v/>
      </c>
    </row>
    <row r="1155">
      <c r="A1155">
        <f>IFERROR(INDEX('Email Cleaner'!$B$2:$B$10001,MATCH(1154,'Email Cleaner'!$I$2:$I$10001,0)),"")</f>
        <v/>
      </c>
    </row>
    <row r="1156">
      <c r="A1156">
        <f>IFERROR(INDEX('Email Cleaner'!$B$2:$B$10001,MATCH(1155,'Email Cleaner'!$I$2:$I$10001,0)),"")</f>
        <v/>
      </c>
    </row>
    <row r="1157">
      <c r="A1157">
        <f>IFERROR(INDEX('Email Cleaner'!$B$2:$B$10001,MATCH(1156,'Email Cleaner'!$I$2:$I$10001,0)),"")</f>
        <v/>
      </c>
    </row>
    <row r="1158">
      <c r="A1158">
        <f>IFERROR(INDEX('Email Cleaner'!$B$2:$B$10001,MATCH(1157,'Email Cleaner'!$I$2:$I$10001,0)),"")</f>
        <v/>
      </c>
    </row>
    <row r="1159">
      <c r="A1159">
        <f>IFERROR(INDEX('Email Cleaner'!$B$2:$B$10001,MATCH(1158,'Email Cleaner'!$I$2:$I$10001,0)),"")</f>
        <v/>
      </c>
    </row>
    <row r="1160">
      <c r="A1160">
        <f>IFERROR(INDEX('Email Cleaner'!$B$2:$B$10001,MATCH(1159,'Email Cleaner'!$I$2:$I$10001,0)),"")</f>
        <v/>
      </c>
    </row>
    <row r="1161">
      <c r="A1161">
        <f>IFERROR(INDEX('Email Cleaner'!$B$2:$B$10001,MATCH(1160,'Email Cleaner'!$I$2:$I$10001,0)),"")</f>
        <v/>
      </c>
    </row>
    <row r="1162">
      <c r="A1162">
        <f>IFERROR(INDEX('Email Cleaner'!$B$2:$B$10001,MATCH(1161,'Email Cleaner'!$I$2:$I$10001,0)),"")</f>
        <v/>
      </c>
    </row>
    <row r="1163">
      <c r="A1163">
        <f>IFERROR(INDEX('Email Cleaner'!$B$2:$B$10001,MATCH(1162,'Email Cleaner'!$I$2:$I$10001,0)),"")</f>
        <v/>
      </c>
    </row>
    <row r="1164">
      <c r="A1164">
        <f>IFERROR(INDEX('Email Cleaner'!$B$2:$B$10001,MATCH(1163,'Email Cleaner'!$I$2:$I$10001,0)),"")</f>
        <v/>
      </c>
    </row>
    <row r="1165">
      <c r="A1165">
        <f>IFERROR(INDEX('Email Cleaner'!$B$2:$B$10001,MATCH(1164,'Email Cleaner'!$I$2:$I$10001,0)),"")</f>
        <v/>
      </c>
    </row>
    <row r="1166">
      <c r="A1166">
        <f>IFERROR(INDEX('Email Cleaner'!$B$2:$B$10001,MATCH(1165,'Email Cleaner'!$I$2:$I$10001,0)),"")</f>
        <v/>
      </c>
    </row>
    <row r="1167">
      <c r="A1167">
        <f>IFERROR(INDEX('Email Cleaner'!$B$2:$B$10001,MATCH(1166,'Email Cleaner'!$I$2:$I$10001,0)),"")</f>
        <v/>
      </c>
    </row>
    <row r="1168">
      <c r="A1168">
        <f>IFERROR(INDEX('Email Cleaner'!$B$2:$B$10001,MATCH(1167,'Email Cleaner'!$I$2:$I$10001,0)),"")</f>
        <v/>
      </c>
    </row>
    <row r="1169">
      <c r="A1169">
        <f>IFERROR(INDEX('Email Cleaner'!$B$2:$B$10001,MATCH(1168,'Email Cleaner'!$I$2:$I$10001,0)),"")</f>
        <v/>
      </c>
    </row>
    <row r="1170">
      <c r="A1170">
        <f>IFERROR(INDEX('Email Cleaner'!$B$2:$B$10001,MATCH(1169,'Email Cleaner'!$I$2:$I$10001,0)),"")</f>
        <v/>
      </c>
    </row>
    <row r="1171">
      <c r="A1171">
        <f>IFERROR(INDEX('Email Cleaner'!$B$2:$B$10001,MATCH(1170,'Email Cleaner'!$I$2:$I$10001,0)),"")</f>
        <v/>
      </c>
    </row>
    <row r="1172">
      <c r="A1172">
        <f>IFERROR(INDEX('Email Cleaner'!$B$2:$B$10001,MATCH(1171,'Email Cleaner'!$I$2:$I$10001,0)),"")</f>
        <v/>
      </c>
    </row>
    <row r="1173">
      <c r="A1173">
        <f>IFERROR(INDEX('Email Cleaner'!$B$2:$B$10001,MATCH(1172,'Email Cleaner'!$I$2:$I$10001,0)),"")</f>
        <v/>
      </c>
    </row>
    <row r="1174">
      <c r="A1174">
        <f>IFERROR(INDEX('Email Cleaner'!$B$2:$B$10001,MATCH(1173,'Email Cleaner'!$I$2:$I$10001,0)),"")</f>
        <v/>
      </c>
    </row>
    <row r="1175">
      <c r="A1175">
        <f>IFERROR(INDEX('Email Cleaner'!$B$2:$B$10001,MATCH(1174,'Email Cleaner'!$I$2:$I$10001,0)),"")</f>
        <v/>
      </c>
    </row>
    <row r="1176">
      <c r="A1176">
        <f>IFERROR(INDEX('Email Cleaner'!$B$2:$B$10001,MATCH(1175,'Email Cleaner'!$I$2:$I$10001,0)),"")</f>
        <v/>
      </c>
    </row>
    <row r="1177">
      <c r="A1177">
        <f>IFERROR(INDEX('Email Cleaner'!$B$2:$B$10001,MATCH(1176,'Email Cleaner'!$I$2:$I$10001,0)),"")</f>
        <v/>
      </c>
    </row>
    <row r="1178">
      <c r="A1178">
        <f>IFERROR(INDEX('Email Cleaner'!$B$2:$B$10001,MATCH(1177,'Email Cleaner'!$I$2:$I$10001,0)),"")</f>
        <v/>
      </c>
    </row>
    <row r="1179">
      <c r="A1179">
        <f>IFERROR(INDEX('Email Cleaner'!$B$2:$B$10001,MATCH(1178,'Email Cleaner'!$I$2:$I$10001,0)),"")</f>
        <v/>
      </c>
    </row>
    <row r="1180">
      <c r="A1180">
        <f>IFERROR(INDEX('Email Cleaner'!$B$2:$B$10001,MATCH(1179,'Email Cleaner'!$I$2:$I$10001,0)),"")</f>
        <v/>
      </c>
    </row>
    <row r="1181">
      <c r="A1181">
        <f>IFERROR(INDEX('Email Cleaner'!$B$2:$B$10001,MATCH(1180,'Email Cleaner'!$I$2:$I$10001,0)),"")</f>
        <v/>
      </c>
    </row>
    <row r="1182">
      <c r="A1182">
        <f>IFERROR(INDEX('Email Cleaner'!$B$2:$B$10001,MATCH(1181,'Email Cleaner'!$I$2:$I$10001,0)),"")</f>
        <v/>
      </c>
    </row>
    <row r="1183">
      <c r="A1183">
        <f>IFERROR(INDEX('Email Cleaner'!$B$2:$B$10001,MATCH(1182,'Email Cleaner'!$I$2:$I$10001,0)),"")</f>
        <v/>
      </c>
    </row>
    <row r="1184">
      <c r="A1184">
        <f>IFERROR(INDEX('Email Cleaner'!$B$2:$B$10001,MATCH(1183,'Email Cleaner'!$I$2:$I$10001,0)),"")</f>
        <v/>
      </c>
    </row>
    <row r="1185">
      <c r="A1185">
        <f>IFERROR(INDEX('Email Cleaner'!$B$2:$B$10001,MATCH(1184,'Email Cleaner'!$I$2:$I$10001,0)),"")</f>
        <v/>
      </c>
    </row>
    <row r="1186">
      <c r="A1186">
        <f>IFERROR(INDEX('Email Cleaner'!$B$2:$B$10001,MATCH(1185,'Email Cleaner'!$I$2:$I$10001,0)),"")</f>
        <v/>
      </c>
    </row>
    <row r="1187">
      <c r="A1187">
        <f>IFERROR(INDEX('Email Cleaner'!$B$2:$B$10001,MATCH(1186,'Email Cleaner'!$I$2:$I$10001,0)),"")</f>
        <v/>
      </c>
    </row>
    <row r="1188">
      <c r="A1188">
        <f>IFERROR(INDEX('Email Cleaner'!$B$2:$B$10001,MATCH(1187,'Email Cleaner'!$I$2:$I$10001,0)),"")</f>
        <v/>
      </c>
    </row>
    <row r="1189">
      <c r="A1189">
        <f>IFERROR(INDEX('Email Cleaner'!$B$2:$B$10001,MATCH(1188,'Email Cleaner'!$I$2:$I$10001,0)),"")</f>
        <v/>
      </c>
    </row>
    <row r="1190">
      <c r="A1190">
        <f>IFERROR(INDEX('Email Cleaner'!$B$2:$B$10001,MATCH(1189,'Email Cleaner'!$I$2:$I$10001,0)),"")</f>
        <v/>
      </c>
    </row>
    <row r="1191">
      <c r="A1191">
        <f>IFERROR(INDEX('Email Cleaner'!$B$2:$B$10001,MATCH(1190,'Email Cleaner'!$I$2:$I$10001,0)),"")</f>
        <v/>
      </c>
    </row>
    <row r="1192">
      <c r="A1192">
        <f>IFERROR(INDEX('Email Cleaner'!$B$2:$B$10001,MATCH(1191,'Email Cleaner'!$I$2:$I$10001,0)),"")</f>
        <v/>
      </c>
    </row>
    <row r="1193">
      <c r="A1193">
        <f>IFERROR(INDEX('Email Cleaner'!$B$2:$B$10001,MATCH(1192,'Email Cleaner'!$I$2:$I$10001,0)),"")</f>
        <v/>
      </c>
    </row>
    <row r="1194">
      <c r="A1194">
        <f>IFERROR(INDEX('Email Cleaner'!$B$2:$B$10001,MATCH(1193,'Email Cleaner'!$I$2:$I$10001,0)),"")</f>
        <v/>
      </c>
    </row>
    <row r="1195">
      <c r="A1195">
        <f>IFERROR(INDEX('Email Cleaner'!$B$2:$B$10001,MATCH(1194,'Email Cleaner'!$I$2:$I$10001,0)),"")</f>
        <v/>
      </c>
    </row>
    <row r="1196">
      <c r="A1196">
        <f>IFERROR(INDEX('Email Cleaner'!$B$2:$B$10001,MATCH(1195,'Email Cleaner'!$I$2:$I$10001,0)),"")</f>
        <v/>
      </c>
    </row>
    <row r="1197">
      <c r="A1197">
        <f>IFERROR(INDEX('Email Cleaner'!$B$2:$B$10001,MATCH(1196,'Email Cleaner'!$I$2:$I$10001,0)),"")</f>
        <v/>
      </c>
    </row>
    <row r="1198">
      <c r="A1198">
        <f>IFERROR(INDEX('Email Cleaner'!$B$2:$B$10001,MATCH(1197,'Email Cleaner'!$I$2:$I$10001,0)),"")</f>
        <v/>
      </c>
    </row>
    <row r="1199">
      <c r="A1199">
        <f>IFERROR(INDEX('Email Cleaner'!$B$2:$B$10001,MATCH(1198,'Email Cleaner'!$I$2:$I$10001,0)),"")</f>
        <v/>
      </c>
    </row>
    <row r="1200">
      <c r="A1200">
        <f>IFERROR(INDEX('Email Cleaner'!$B$2:$B$10001,MATCH(1199,'Email Cleaner'!$I$2:$I$10001,0)),"")</f>
        <v/>
      </c>
    </row>
    <row r="1201">
      <c r="A1201">
        <f>IFERROR(INDEX('Email Cleaner'!$B$2:$B$10001,MATCH(1200,'Email Cleaner'!$I$2:$I$10001,0)),"")</f>
        <v/>
      </c>
    </row>
    <row r="1202">
      <c r="A1202">
        <f>IFERROR(INDEX('Email Cleaner'!$B$2:$B$10001,MATCH(1201,'Email Cleaner'!$I$2:$I$10001,0)),"")</f>
        <v/>
      </c>
    </row>
    <row r="1203">
      <c r="A1203">
        <f>IFERROR(INDEX('Email Cleaner'!$B$2:$B$10001,MATCH(1202,'Email Cleaner'!$I$2:$I$10001,0)),"")</f>
        <v/>
      </c>
    </row>
    <row r="1204">
      <c r="A1204">
        <f>IFERROR(INDEX('Email Cleaner'!$B$2:$B$10001,MATCH(1203,'Email Cleaner'!$I$2:$I$10001,0)),"")</f>
        <v/>
      </c>
    </row>
    <row r="1205">
      <c r="A1205">
        <f>IFERROR(INDEX('Email Cleaner'!$B$2:$B$10001,MATCH(1204,'Email Cleaner'!$I$2:$I$10001,0)),"")</f>
        <v/>
      </c>
    </row>
    <row r="1206">
      <c r="A1206">
        <f>IFERROR(INDEX('Email Cleaner'!$B$2:$B$10001,MATCH(1205,'Email Cleaner'!$I$2:$I$10001,0)),"")</f>
        <v/>
      </c>
    </row>
    <row r="1207">
      <c r="A1207">
        <f>IFERROR(INDEX('Email Cleaner'!$B$2:$B$10001,MATCH(1206,'Email Cleaner'!$I$2:$I$10001,0)),"")</f>
        <v/>
      </c>
    </row>
    <row r="1208">
      <c r="A1208">
        <f>IFERROR(INDEX('Email Cleaner'!$B$2:$B$10001,MATCH(1207,'Email Cleaner'!$I$2:$I$10001,0)),"")</f>
        <v/>
      </c>
    </row>
    <row r="1209">
      <c r="A1209">
        <f>IFERROR(INDEX('Email Cleaner'!$B$2:$B$10001,MATCH(1208,'Email Cleaner'!$I$2:$I$10001,0)),"")</f>
        <v/>
      </c>
    </row>
    <row r="1210">
      <c r="A1210">
        <f>IFERROR(INDEX('Email Cleaner'!$B$2:$B$10001,MATCH(1209,'Email Cleaner'!$I$2:$I$10001,0)),"")</f>
        <v/>
      </c>
    </row>
    <row r="1211">
      <c r="A1211">
        <f>IFERROR(INDEX('Email Cleaner'!$B$2:$B$10001,MATCH(1210,'Email Cleaner'!$I$2:$I$10001,0)),"")</f>
        <v/>
      </c>
    </row>
    <row r="1212">
      <c r="A1212">
        <f>IFERROR(INDEX('Email Cleaner'!$B$2:$B$10001,MATCH(1211,'Email Cleaner'!$I$2:$I$10001,0)),"")</f>
        <v/>
      </c>
    </row>
    <row r="1213">
      <c r="A1213">
        <f>IFERROR(INDEX('Email Cleaner'!$B$2:$B$10001,MATCH(1212,'Email Cleaner'!$I$2:$I$10001,0)),"")</f>
        <v/>
      </c>
    </row>
    <row r="1214">
      <c r="A1214">
        <f>IFERROR(INDEX('Email Cleaner'!$B$2:$B$10001,MATCH(1213,'Email Cleaner'!$I$2:$I$10001,0)),"")</f>
        <v/>
      </c>
    </row>
    <row r="1215">
      <c r="A1215">
        <f>IFERROR(INDEX('Email Cleaner'!$B$2:$B$10001,MATCH(1214,'Email Cleaner'!$I$2:$I$10001,0)),"")</f>
        <v/>
      </c>
    </row>
    <row r="1216">
      <c r="A1216">
        <f>IFERROR(INDEX('Email Cleaner'!$B$2:$B$10001,MATCH(1215,'Email Cleaner'!$I$2:$I$10001,0)),"")</f>
        <v/>
      </c>
    </row>
    <row r="1217">
      <c r="A1217">
        <f>IFERROR(INDEX('Email Cleaner'!$B$2:$B$10001,MATCH(1216,'Email Cleaner'!$I$2:$I$10001,0)),"")</f>
        <v/>
      </c>
    </row>
    <row r="1218">
      <c r="A1218">
        <f>IFERROR(INDEX('Email Cleaner'!$B$2:$B$10001,MATCH(1217,'Email Cleaner'!$I$2:$I$10001,0)),"")</f>
        <v/>
      </c>
    </row>
    <row r="1219">
      <c r="A1219">
        <f>IFERROR(INDEX('Email Cleaner'!$B$2:$B$10001,MATCH(1218,'Email Cleaner'!$I$2:$I$10001,0)),"")</f>
        <v/>
      </c>
    </row>
    <row r="1220">
      <c r="A1220">
        <f>IFERROR(INDEX('Email Cleaner'!$B$2:$B$10001,MATCH(1219,'Email Cleaner'!$I$2:$I$10001,0)),"")</f>
        <v/>
      </c>
    </row>
    <row r="1221">
      <c r="A1221">
        <f>IFERROR(INDEX('Email Cleaner'!$B$2:$B$10001,MATCH(1220,'Email Cleaner'!$I$2:$I$10001,0)),"")</f>
        <v/>
      </c>
    </row>
    <row r="1222">
      <c r="A1222">
        <f>IFERROR(INDEX('Email Cleaner'!$B$2:$B$10001,MATCH(1221,'Email Cleaner'!$I$2:$I$10001,0)),"")</f>
        <v/>
      </c>
    </row>
    <row r="1223">
      <c r="A1223">
        <f>IFERROR(INDEX('Email Cleaner'!$B$2:$B$10001,MATCH(1222,'Email Cleaner'!$I$2:$I$10001,0)),"")</f>
        <v/>
      </c>
    </row>
    <row r="1224">
      <c r="A1224">
        <f>IFERROR(INDEX('Email Cleaner'!$B$2:$B$10001,MATCH(1223,'Email Cleaner'!$I$2:$I$10001,0)),"")</f>
        <v/>
      </c>
    </row>
    <row r="1225">
      <c r="A1225">
        <f>IFERROR(INDEX('Email Cleaner'!$B$2:$B$10001,MATCH(1224,'Email Cleaner'!$I$2:$I$10001,0)),"")</f>
        <v/>
      </c>
    </row>
    <row r="1226">
      <c r="A1226">
        <f>IFERROR(INDEX('Email Cleaner'!$B$2:$B$10001,MATCH(1225,'Email Cleaner'!$I$2:$I$10001,0)),"")</f>
        <v/>
      </c>
    </row>
    <row r="1227">
      <c r="A1227">
        <f>IFERROR(INDEX('Email Cleaner'!$B$2:$B$10001,MATCH(1226,'Email Cleaner'!$I$2:$I$10001,0)),"")</f>
        <v/>
      </c>
    </row>
    <row r="1228">
      <c r="A1228">
        <f>IFERROR(INDEX('Email Cleaner'!$B$2:$B$10001,MATCH(1227,'Email Cleaner'!$I$2:$I$10001,0)),"")</f>
        <v/>
      </c>
    </row>
    <row r="1229">
      <c r="A1229">
        <f>IFERROR(INDEX('Email Cleaner'!$B$2:$B$10001,MATCH(1228,'Email Cleaner'!$I$2:$I$10001,0)),"")</f>
        <v/>
      </c>
    </row>
    <row r="1230">
      <c r="A1230">
        <f>IFERROR(INDEX('Email Cleaner'!$B$2:$B$10001,MATCH(1229,'Email Cleaner'!$I$2:$I$10001,0)),"")</f>
        <v/>
      </c>
    </row>
    <row r="1231">
      <c r="A1231">
        <f>IFERROR(INDEX('Email Cleaner'!$B$2:$B$10001,MATCH(1230,'Email Cleaner'!$I$2:$I$10001,0)),"")</f>
        <v/>
      </c>
    </row>
    <row r="1232">
      <c r="A1232">
        <f>IFERROR(INDEX('Email Cleaner'!$B$2:$B$10001,MATCH(1231,'Email Cleaner'!$I$2:$I$10001,0)),"")</f>
        <v/>
      </c>
    </row>
    <row r="1233">
      <c r="A1233">
        <f>IFERROR(INDEX('Email Cleaner'!$B$2:$B$10001,MATCH(1232,'Email Cleaner'!$I$2:$I$10001,0)),"")</f>
        <v/>
      </c>
    </row>
    <row r="1234">
      <c r="A1234">
        <f>IFERROR(INDEX('Email Cleaner'!$B$2:$B$10001,MATCH(1233,'Email Cleaner'!$I$2:$I$10001,0)),"")</f>
        <v/>
      </c>
    </row>
    <row r="1235">
      <c r="A1235">
        <f>IFERROR(INDEX('Email Cleaner'!$B$2:$B$10001,MATCH(1234,'Email Cleaner'!$I$2:$I$10001,0)),"")</f>
        <v/>
      </c>
    </row>
    <row r="1236">
      <c r="A1236">
        <f>IFERROR(INDEX('Email Cleaner'!$B$2:$B$10001,MATCH(1235,'Email Cleaner'!$I$2:$I$10001,0)),"")</f>
        <v/>
      </c>
    </row>
    <row r="1237">
      <c r="A1237">
        <f>IFERROR(INDEX('Email Cleaner'!$B$2:$B$10001,MATCH(1236,'Email Cleaner'!$I$2:$I$10001,0)),"")</f>
        <v/>
      </c>
    </row>
    <row r="1238">
      <c r="A1238">
        <f>IFERROR(INDEX('Email Cleaner'!$B$2:$B$10001,MATCH(1237,'Email Cleaner'!$I$2:$I$10001,0)),"")</f>
        <v/>
      </c>
    </row>
    <row r="1239">
      <c r="A1239">
        <f>IFERROR(INDEX('Email Cleaner'!$B$2:$B$10001,MATCH(1238,'Email Cleaner'!$I$2:$I$10001,0)),"")</f>
        <v/>
      </c>
    </row>
    <row r="1240">
      <c r="A1240">
        <f>IFERROR(INDEX('Email Cleaner'!$B$2:$B$10001,MATCH(1239,'Email Cleaner'!$I$2:$I$10001,0)),"")</f>
        <v/>
      </c>
    </row>
    <row r="1241">
      <c r="A1241">
        <f>IFERROR(INDEX('Email Cleaner'!$B$2:$B$10001,MATCH(1240,'Email Cleaner'!$I$2:$I$10001,0)),"")</f>
        <v/>
      </c>
    </row>
    <row r="1242">
      <c r="A1242">
        <f>IFERROR(INDEX('Email Cleaner'!$B$2:$B$10001,MATCH(1241,'Email Cleaner'!$I$2:$I$10001,0)),"")</f>
        <v/>
      </c>
    </row>
    <row r="1243">
      <c r="A1243">
        <f>IFERROR(INDEX('Email Cleaner'!$B$2:$B$10001,MATCH(1242,'Email Cleaner'!$I$2:$I$10001,0)),"")</f>
        <v/>
      </c>
    </row>
    <row r="1244">
      <c r="A1244">
        <f>IFERROR(INDEX('Email Cleaner'!$B$2:$B$10001,MATCH(1243,'Email Cleaner'!$I$2:$I$10001,0)),"")</f>
        <v/>
      </c>
    </row>
    <row r="1245">
      <c r="A1245">
        <f>IFERROR(INDEX('Email Cleaner'!$B$2:$B$10001,MATCH(1244,'Email Cleaner'!$I$2:$I$10001,0)),"")</f>
        <v/>
      </c>
    </row>
    <row r="1246">
      <c r="A1246">
        <f>IFERROR(INDEX('Email Cleaner'!$B$2:$B$10001,MATCH(1245,'Email Cleaner'!$I$2:$I$10001,0)),"")</f>
        <v/>
      </c>
    </row>
    <row r="1247">
      <c r="A1247">
        <f>IFERROR(INDEX('Email Cleaner'!$B$2:$B$10001,MATCH(1246,'Email Cleaner'!$I$2:$I$10001,0)),"")</f>
        <v/>
      </c>
    </row>
    <row r="1248">
      <c r="A1248">
        <f>IFERROR(INDEX('Email Cleaner'!$B$2:$B$10001,MATCH(1247,'Email Cleaner'!$I$2:$I$10001,0)),"")</f>
        <v/>
      </c>
    </row>
    <row r="1249">
      <c r="A1249">
        <f>IFERROR(INDEX('Email Cleaner'!$B$2:$B$10001,MATCH(1248,'Email Cleaner'!$I$2:$I$10001,0)),"")</f>
        <v/>
      </c>
    </row>
    <row r="1250">
      <c r="A1250">
        <f>IFERROR(INDEX('Email Cleaner'!$B$2:$B$10001,MATCH(1249,'Email Cleaner'!$I$2:$I$10001,0)),"")</f>
        <v/>
      </c>
    </row>
    <row r="1251">
      <c r="A1251">
        <f>IFERROR(INDEX('Email Cleaner'!$B$2:$B$10001,MATCH(1250,'Email Cleaner'!$I$2:$I$10001,0)),"")</f>
        <v/>
      </c>
    </row>
    <row r="1252">
      <c r="A1252">
        <f>IFERROR(INDEX('Email Cleaner'!$B$2:$B$10001,MATCH(1251,'Email Cleaner'!$I$2:$I$10001,0)),"")</f>
        <v/>
      </c>
    </row>
    <row r="1253">
      <c r="A1253">
        <f>IFERROR(INDEX('Email Cleaner'!$B$2:$B$10001,MATCH(1252,'Email Cleaner'!$I$2:$I$10001,0)),"")</f>
        <v/>
      </c>
    </row>
    <row r="1254">
      <c r="A1254">
        <f>IFERROR(INDEX('Email Cleaner'!$B$2:$B$10001,MATCH(1253,'Email Cleaner'!$I$2:$I$10001,0)),"")</f>
        <v/>
      </c>
    </row>
    <row r="1255">
      <c r="A1255">
        <f>IFERROR(INDEX('Email Cleaner'!$B$2:$B$10001,MATCH(1254,'Email Cleaner'!$I$2:$I$10001,0)),"")</f>
        <v/>
      </c>
    </row>
    <row r="1256">
      <c r="A1256">
        <f>IFERROR(INDEX('Email Cleaner'!$B$2:$B$10001,MATCH(1255,'Email Cleaner'!$I$2:$I$10001,0)),"")</f>
        <v/>
      </c>
    </row>
    <row r="1257">
      <c r="A1257">
        <f>IFERROR(INDEX('Email Cleaner'!$B$2:$B$10001,MATCH(1256,'Email Cleaner'!$I$2:$I$10001,0)),"")</f>
        <v/>
      </c>
    </row>
    <row r="1258">
      <c r="A1258">
        <f>IFERROR(INDEX('Email Cleaner'!$B$2:$B$10001,MATCH(1257,'Email Cleaner'!$I$2:$I$10001,0)),"")</f>
        <v/>
      </c>
    </row>
    <row r="1259">
      <c r="A1259">
        <f>IFERROR(INDEX('Email Cleaner'!$B$2:$B$10001,MATCH(1258,'Email Cleaner'!$I$2:$I$10001,0)),"")</f>
        <v/>
      </c>
    </row>
    <row r="1260">
      <c r="A1260">
        <f>IFERROR(INDEX('Email Cleaner'!$B$2:$B$10001,MATCH(1259,'Email Cleaner'!$I$2:$I$10001,0)),"")</f>
        <v/>
      </c>
    </row>
    <row r="1261">
      <c r="A1261">
        <f>IFERROR(INDEX('Email Cleaner'!$B$2:$B$10001,MATCH(1260,'Email Cleaner'!$I$2:$I$10001,0)),"")</f>
        <v/>
      </c>
    </row>
    <row r="1262">
      <c r="A1262">
        <f>IFERROR(INDEX('Email Cleaner'!$B$2:$B$10001,MATCH(1261,'Email Cleaner'!$I$2:$I$10001,0)),"")</f>
        <v/>
      </c>
    </row>
    <row r="1263">
      <c r="A1263">
        <f>IFERROR(INDEX('Email Cleaner'!$B$2:$B$10001,MATCH(1262,'Email Cleaner'!$I$2:$I$10001,0)),"")</f>
        <v/>
      </c>
    </row>
    <row r="1264">
      <c r="A1264">
        <f>IFERROR(INDEX('Email Cleaner'!$B$2:$B$10001,MATCH(1263,'Email Cleaner'!$I$2:$I$10001,0)),"")</f>
        <v/>
      </c>
    </row>
    <row r="1265">
      <c r="A1265">
        <f>IFERROR(INDEX('Email Cleaner'!$B$2:$B$10001,MATCH(1264,'Email Cleaner'!$I$2:$I$10001,0)),"")</f>
        <v/>
      </c>
    </row>
    <row r="1266">
      <c r="A1266">
        <f>IFERROR(INDEX('Email Cleaner'!$B$2:$B$10001,MATCH(1265,'Email Cleaner'!$I$2:$I$10001,0)),"")</f>
        <v/>
      </c>
    </row>
    <row r="1267">
      <c r="A1267">
        <f>IFERROR(INDEX('Email Cleaner'!$B$2:$B$10001,MATCH(1266,'Email Cleaner'!$I$2:$I$10001,0)),"")</f>
        <v/>
      </c>
    </row>
    <row r="1268">
      <c r="A1268">
        <f>IFERROR(INDEX('Email Cleaner'!$B$2:$B$10001,MATCH(1267,'Email Cleaner'!$I$2:$I$10001,0)),"")</f>
        <v/>
      </c>
    </row>
    <row r="1269">
      <c r="A1269">
        <f>IFERROR(INDEX('Email Cleaner'!$B$2:$B$10001,MATCH(1268,'Email Cleaner'!$I$2:$I$10001,0)),"")</f>
        <v/>
      </c>
    </row>
    <row r="1270">
      <c r="A1270">
        <f>IFERROR(INDEX('Email Cleaner'!$B$2:$B$10001,MATCH(1269,'Email Cleaner'!$I$2:$I$10001,0)),"")</f>
        <v/>
      </c>
    </row>
    <row r="1271">
      <c r="A1271">
        <f>IFERROR(INDEX('Email Cleaner'!$B$2:$B$10001,MATCH(1270,'Email Cleaner'!$I$2:$I$10001,0)),"")</f>
        <v/>
      </c>
    </row>
    <row r="1272">
      <c r="A1272">
        <f>IFERROR(INDEX('Email Cleaner'!$B$2:$B$10001,MATCH(1271,'Email Cleaner'!$I$2:$I$10001,0)),"")</f>
        <v/>
      </c>
    </row>
    <row r="1273">
      <c r="A1273">
        <f>IFERROR(INDEX('Email Cleaner'!$B$2:$B$10001,MATCH(1272,'Email Cleaner'!$I$2:$I$10001,0)),"")</f>
        <v/>
      </c>
    </row>
    <row r="1274">
      <c r="A1274">
        <f>IFERROR(INDEX('Email Cleaner'!$B$2:$B$10001,MATCH(1273,'Email Cleaner'!$I$2:$I$10001,0)),"")</f>
        <v/>
      </c>
    </row>
    <row r="1275">
      <c r="A1275">
        <f>IFERROR(INDEX('Email Cleaner'!$B$2:$B$10001,MATCH(1274,'Email Cleaner'!$I$2:$I$10001,0)),"")</f>
        <v/>
      </c>
    </row>
    <row r="1276">
      <c r="A1276">
        <f>IFERROR(INDEX('Email Cleaner'!$B$2:$B$10001,MATCH(1275,'Email Cleaner'!$I$2:$I$10001,0)),"")</f>
        <v/>
      </c>
    </row>
    <row r="1277">
      <c r="A1277">
        <f>IFERROR(INDEX('Email Cleaner'!$B$2:$B$10001,MATCH(1276,'Email Cleaner'!$I$2:$I$10001,0)),"")</f>
        <v/>
      </c>
    </row>
    <row r="1278">
      <c r="A1278">
        <f>IFERROR(INDEX('Email Cleaner'!$B$2:$B$10001,MATCH(1277,'Email Cleaner'!$I$2:$I$10001,0)),"")</f>
        <v/>
      </c>
    </row>
    <row r="1279">
      <c r="A1279">
        <f>IFERROR(INDEX('Email Cleaner'!$B$2:$B$10001,MATCH(1278,'Email Cleaner'!$I$2:$I$10001,0)),"")</f>
        <v/>
      </c>
    </row>
    <row r="1280">
      <c r="A1280">
        <f>IFERROR(INDEX('Email Cleaner'!$B$2:$B$10001,MATCH(1279,'Email Cleaner'!$I$2:$I$10001,0)),"")</f>
        <v/>
      </c>
    </row>
    <row r="1281">
      <c r="A1281">
        <f>IFERROR(INDEX('Email Cleaner'!$B$2:$B$10001,MATCH(1280,'Email Cleaner'!$I$2:$I$10001,0)),"")</f>
        <v/>
      </c>
    </row>
    <row r="1282">
      <c r="A1282">
        <f>IFERROR(INDEX('Email Cleaner'!$B$2:$B$10001,MATCH(1281,'Email Cleaner'!$I$2:$I$10001,0)),"")</f>
        <v/>
      </c>
    </row>
    <row r="1283">
      <c r="A1283">
        <f>IFERROR(INDEX('Email Cleaner'!$B$2:$B$10001,MATCH(1282,'Email Cleaner'!$I$2:$I$10001,0)),"")</f>
        <v/>
      </c>
    </row>
    <row r="1284">
      <c r="A1284">
        <f>IFERROR(INDEX('Email Cleaner'!$B$2:$B$10001,MATCH(1283,'Email Cleaner'!$I$2:$I$10001,0)),"")</f>
        <v/>
      </c>
    </row>
    <row r="1285">
      <c r="A1285">
        <f>IFERROR(INDEX('Email Cleaner'!$B$2:$B$10001,MATCH(1284,'Email Cleaner'!$I$2:$I$10001,0)),"")</f>
        <v/>
      </c>
    </row>
    <row r="1286">
      <c r="A1286">
        <f>IFERROR(INDEX('Email Cleaner'!$B$2:$B$10001,MATCH(1285,'Email Cleaner'!$I$2:$I$10001,0)),"")</f>
        <v/>
      </c>
    </row>
    <row r="1287">
      <c r="A1287">
        <f>IFERROR(INDEX('Email Cleaner'!$B$2:$B$10001,MATCH(1286,'Email Cleaner'!$I$2:$I$10001,0)),"")</f>
        <v/>
      </c>
    </row>
    <row r="1288">
      <c r="A1288">
        <f>IFERROR(INDEX('Email Cleaner'!$B$2:$B$10001,MATCH(1287,'Email Cleaner'!$I$2:$I$10001,0)),"")</f>
        <v/>
      </c>
    </row>
    <row r="1289">
      <c r="A1289">
        <f>IFERROR(INDEX('Email Cleaner'!$B$2:$B$10001,MATCH(1288,'Email Cleaner'!$I$2:$I$10001,0)),"")</f>
        <v/>
      </c>
    </row>
    <row r="1290">
      <c r="A1290">
        <f>IFERROR(INDEX('Email Cleaner'!$B$2:$B$10001,MATCH(1289,'Email Cleaner'!$I$2:$I$10001,0)),"")</f>
        <v/>
      </c>
    </row>
    <row r="1291">
      <c r="A1291">
        <f>IFERROR(INDEX('Email Cleaner'!$B$2:$B$10001,MATCH(1290,'Email Cleaner'!$I$2:$I$10001,0)),"")</f>
        <v/>
      </c>
    </row>
    <row r="1292">
      <c r="A1292">
        <f>IFERROR(INDEX('Email Cleaner'!$B$2:$B$10001,MATCH(1291,'Email Cleaner'!$I$2:$I$10001,0)),"")</f>
        <v/>
      </c>
    </row>
    <row r="1293">
      <c r="A1293">
        <f>IFERROR(INDEX('Email Cleaner'!$B$2:$B$10001,MATCH(1292,'Email Cleaner'!$I$2:$I$10001,0)),"")</f>
        <v/>
      </c>
    </row>
    <row r="1294">
      <c r="A1294">
        <f>IFERROR(INDEX('Email Cleaner'!$B$2:$B$10001,MATCH(1293,'Email Cleaner'!$I$2:$I$10001,0)),"")</f>
        <v/>
      </c>
    </row>
    <row r="1295">
      <c r="A1295">
        <f>IFERROR(INDEX('Email Cleaner'!$B$2:$B$10001,MATCH(1294,'Email Cleaner'!$I$2:$I$10001,0)),"")</f>
        <v/>
      </c>
    </row>
    <row r="1296">
      <c r="A1296">
        <f>IFERROR(INDEX('Email Cleaner'!$B$2:$B$10001,MATCH(1295,'Email Cleaner'!$I$2:$I$10001,0)),"")</f>
        <v/>
      </c>
    </row>
    <row r="1297">
      <c r="A1297">
        <f>IFERROR(INDEX('Email Cleaner'!$B$2:$B$10001,MATCH(1296,'Email Cleaner'!$I$2:$I$10001,0)),"")</f>
        <v/>
      </c>
    </row>
    <row r="1298">
      <c r="A1298">
        <f>IFERROR(INDEX('Email Cleaner'!$B$2:$B$10001,MATCH(1297,'Email Cleaner'!$I$2:$I$10001,0)),"")</f>
        <v/>
      </c>
    </row>
    <row r="1299">
      <c r="A1299">
        <f>IFERROR(INDEX('Email Cleaner'!$B$2:$B$10001,MATCH(1298,'Email Cleaner'!$I$2:$I$10001,0)),"")</f>
        <v/>
      </c>
    </row>
    <row r="1300">
      <c r="A1300">
        <f>IFERROR(INDEX('Email Cleaner'!$B$2:$B$10001,MATCH(1299,'Email Cleaner'!$I$2:$I$10001,0)),"")</f>
        <v/>
      </c>
    </row>
    <row r="1301">
      <c r="A1301">
        <f>IFERROR(INDEX('Email Cleaner'!$B$2:$B$10001,MATCH(1300,'Email Cleaner'!$I$2:$I$10001,0)),"")</f>
        <v/>
      </c>
    </row>
    <row r="1302">
      <c r="A1302">
        <f>IFERROR(INDEX('Email Cleaner'!$B$2:$B$10001,MATCH(1301,'Email Cleaner'!$I$2:$I$10001,0)),"")</f>
        <v/>
      </c>
    </row>
    <row r="1303">
      <c r="A1303">
        <f>IFERROR(INDEX('Email Cleaner'!$B$2:$B$10001,MATCH(1302,'Email Cleaner'!$I$2:$I$10001,0)),"")</f>
        <v/>
      </c>
    </row>
    <row r="1304">
      <c r="A1304">
        <f>IFERROR(INDEX('Email Cleaner'!$B$2:$B$10001,MATCH(1303,'Email Cleaner'!$I$2:$I$10001,0)),"")</f>
        <v/>
      </c>
    </row>
    <row r="1305">
      <c r="A1305">
        <f>IFERROR(INDEX('Email Cleaner'!$B$2:$B$10001,MATCH(1304,'Email Cleaner'!$I$2:$I$10001,0)),"")</f>
        <v/>
      </c>
    </row>
    <row r="1306">
      <c r="A1306">
        <f>IFERROR(INDEX('Email Cleaner'!$B$2:$B$10001,MATCH(1305,'Email Cleaner'!$I$2:$I$10001,0)),"")</f>
        <v/>
      </c>
    </row>
    <row r="1307">
      <c r="A1307">
        <f>IFERROR(INDEX('Email Cleaner'!$B$2:$B$10001,MATCH(1306,'Email Cleaner'!$I$2:$I$10001,0)),"")</f>
        <v/>
      </c>
    </row>
    <row r="1308">
      <c r="A1308">
        <f>IFERROR(INDEX('Email Cleaner'!$B$2:$B$10001,MATCH(1307,'Email Cleaner'!$I$2:$I$10001,0)),"")</f>
        <v/>
      </c>
    </row>
    <row r="1309">
      <c r="A1309">
        <f>IFERROR(INDEX('Email Cleaner'!$B$2:$B$10001,MATCH(1308,'Email Cleaner'!$I$2:$I$10001,0)),"")</f>
        <v/>
      </c>
    </row>
    <row r="1310">
      <c r="A1310">
        <f>IFERROR(INDEX('Email Cleaner'!$B$2:$B$10001,MATCH(1309,'Email Cleaner'!$I$2:$I$10001,0)),"")</f>
        <v/>
      </c>
    </row>
    <row r="1311">
      <c r="A1311">
        <f>IFERROR(INDEX('Email Cleaner'!$B$2:$B$10001,MATCH(1310,'Email Cleaner'!$I$2:$I$10001,0)),"")</f>
        <v/>
      </c>
    </row>
    <row r="1312">
      <c r="A1312">
        <f>IFERROR(INDEX('Email Cleaner'!$B$2:$B$10001,MATCH(1311,'Email Cleaner'!$I$2:$I$10001,0)),"")</f>
        <v/>
      </c>
    </row>
    <row r="1313">
      <c r="A1313">
        <f>IFERROR(INDEX('Email Cleaner'!$B$2:$B$10001,MATCH(1312,'Email Cleaner'!$I$2:$I$10001,0)),"")</f>
        <v/>
      </c>
    </row>
    <row r="1314">
      <c r="A1314">
        <f>IFERROR(INDEX('Email Cleaner'!$B$2:$B$10001,MATCH(1313,'Email Cleaner'!$I$2:$I$10001,0)),"")</f>
        <v/>
      </c>
    </row>
    <row r="1315">
      <c r="A1315">
        <f>IFERROR(INDEX('Email Cleaner'!$B$2:$B$10001,MATCH(1314,'Email Cleaner'!$I$2:$I$10001,0)),"")</f>
        <v/>
      </c>
    </row>
    <row r="1316">
      <c r="A1316">
        <f>IFERROR(INDEX('Email Cleaner'!$B$2:$B$10001,MATCH(1315,'Email Cleaner'!$I$2:$I$10001,0)),"")</f>
        <v/>
      </c>
    </row>
    <row r="1317">
      <c r="A1317">
        <f>IFERROR(INDEX('Email Cleaner'!$B$2:$B$10001,MATCH(1316,'Email Cleaner'!$I$2:$I$10001,0)),"")</f>
        <v/>
      </c>
    </row>
    <row r="1318">
      <c r="A1318">
        <f>IFERROR(INDEX('Email Cleaner'!$B$2:$B$10001,MATCH(1317,'Email Cleaner'!$I$2:$I$10001,0)),"")</f>
        <v/>
      </c>
    </row>
    <row r="1319">
      <c r="A1319">
        <f>IFERROR(INDEX('Email Cleaner'!$B$2:$B$10001,MATCH(1318,'Email Cleaner'!$I$2:$I$10001,0)),"")</f>
        <v/>
      </c>
    </row>
    <row r="1320">
      <c r="A1320">
        <f>IFERROR(INDEX('Email Cleaner'!$B$2:$B$10001,MATCH(1319,'Email Cleaner'!$I$2:$I$10001,0)),"")</f>
        <v/>
      </c>
    </row>
    <row r="1321">
      <c r="A1321">
        <f>IFERROR(INDEX('Email Cleaner'!$B$2:$B$10001,MATCH(1320,'Email Cleaner'!$I$2:$I$10001,0)),"")</f>
        <v/>
      </c>
    </row>
    <row r="1322">
      <c r="A1322">
        <f>IFERROR(INDEX('Email Cleaner'!$B$2:$B$10001,MATCH(1321,'Email Cleaner'!$I$2:$I$10001,0)),"")</f>
        <v/>
      </c>
    </row>
    <row r="1323">
      <c r="A1323">
        <f>IFERROR(INDEX('Email Cleaner'!$B$2:$B$10001,MATCH(1322,'Email Cleaner'!$I$2:$I$10001,0)),"")</f>
        <v/>
      </c>
    </row>
    <row r="1324">
      <c r="A1324">
        <f>IFERROR(INDEX('Email Cleaner'!$B$2:$B$10001,MATCH(1323,'Email Cleaner'!$I$2:$I$10001,0)),"")</f>
        <v/>
      </c>
    </row>
    <row r="1325">
      <c r="A1325">
        <f>IFERROR(INDEX('Email Cleaner'!$B$2:$B$10001,MATCH(1324,'Email Cleaner'!$I$2:$I$10001,0)),"")</f>
        <v/>
      </c>
    </row>
    <row r="1326">
      <c r="A1326">
        <f>IFERROR(INDEX('Email Cleaner'!$B$2:$B$10001,MATCH(1325,'Email Cleaner'!$I$2:$I$10001,0)),"")</f>
        <v/>
      </c>
    </row>
    <row r="1327">
      <c r="A1327">
        <f>IFERROR(INDEX('Email Cleaner'!$B$2:$B$10001,MATCH(1326,'Email Cleaner'!$I$2:$I$10001,0)),"")</f>
        <v/>
      </c>
    </row>
    <row r="1328">
      <c r="A1328">
        <f>IFERROR(INDEX('Email Cleaner'!$B$2:$B$10001,MATCH(1327,'Email Cleaner'!$I$2:$I$10001,0)),"")</f>
        <v/>
      </c>
    </row>
    <row r="1329">
      <c r="A1329">
        <f>IFERROR(INDEX('Email Cleaner'!$B$2:$B$10001,MATCH(1328,'Email Cleaner'!$I$2:$I$10001,0)),"")</f>
        <v/>
      </c>
    </row>
    <row r="1330">
      <c r="A1330">
        <f>IFERROR(INDEX('Email Cleaner'!$B$2:$B$10001,MATCH(1329,'Email Cleaner'!$I$2:$I$10001,0)),"")</f>
        <v/>
      </c>
    </row>
    <row r="1331">
      <c r="A1331">
        <f>IFERROR(INDEX('Email Cleaner'!$B$2:$B$10001,MATCH(1330,'Email Cleaner'!$I$2:$I$10001,0)),"")</f>
        <v/>
      </c>
    </row>
    <row r="1332">
      <c r="A1332">
        <f>IFERROR(INDEX('Email Cleaner'!$B$2:$B$10001,MATCH(1331,'Email Cleaner'!$I$2:$I$10001,0)),"")</f>
        <v/>
      </c>
    </row>
    <row r="1333">
      <c r="A1333">
        <f>IFERROR(INDEX('Email Cleaner'!$B$2:$B$10001,MATCH(1332,'Email Cleaner'!$I$2:$I$10001,0)),"")</f>
        <v/>
      </c>
    </row>
    <row r="1334">
      <c r="A1334">
        <f>IFERROR(INDEX('Email Cleaner'!$B$2:$B$10001,MATCH(1333,'Email Cleaner'!$I$2:$I$10001,0)),"")</f>
        <v/>
      </c>
    </row>
    <row r="1335">
      <c r="A1335">
        <f>IFERROR(INDEX('Email Cleaner'!$B$2:$B$10001,MATCH(1334,'Email Cleaner'!$I$2:$I$10001,0)),"")</f>
        <v/>
      </c>
    </row>
    <row r="1336">
      <c r="A1336">
        <f>IFERROR(INDEX('Email Cleaner'!$B$2:$B$10001,MATCH(1335,'Email Cleaner'!$I$2:$I$10001,0)),"")</f>
        <v/>
      </c>
    </row>
    <row r="1337">
      <c r="A1337">
        <f>IFERROR(INDEX('Email Cleaner'!$B$2:$B$10001,MATCH(1336,'Email Cleaner'!$I$2:$I$10001,0)),"")</f>
        <v/>
      </c>
    </row>
    <row r="1338">
      <c r="A1338">
        <f>IFERROR(INDEX('Email Cleaner'!$B$2:$B$10001,MATCH(1337,'Email Cleaner'!$I$2:$I$10001,0)),"")</f>
        <v/>
      </c>
    </row>
    <row r="1339">
      <c r="A1339">
        <f>IFERROR(INDEX('Email Cleaner'!$B$2:$B$10001,MATCH(1338,'Email Cleaner'!$I$2:$I$10001,0)),"")</f>
        <v/>
      </c>
    </row>
    <row r="1340">
      <c r="A1340">
        <f>IFERROR(INDEX('Email Cleaner'!$B$2:$B$10001,MATCH(1339,'Email Cleaner'!$I$2:$I$10001,0)),"")</f>
        <v/>
      </c>
    </row>
    <row r="1341">
      <c r="A1341">
        <f>IFERROR(INDEX('Email Cleaner'!$B$2:$B$10001,MATCH(1340,'Email Cleaner'!$I$2:$I$10001,0)),"")</f>
        <v/>
      </c>
    </row>
    <row r="1342">
      <c r="A1342">
        <f>IFERROR(INDEX('Email Cleaner'!$B$2:$B$10001,MATCH(1341,'Email Cleaner'!$I$2:$I$10001,0)),"")</f>
        <v/>
      </c>
    </row>
    <row r="1343">
      <c r="A1343">
        <f>IFERROR(INDEX('Email Cleaner'!$B$2:$B$10001,MATCH(1342,'Email Cleaner'!$I$2:$I$10001,0)),"")</f>
        <v/>
      </c>
    </row>
    <row r="1344">
      <c r="A1344">
        <f>IFERROR(INDEX('Email Cleaner'!$B$2:$B$10001,MATCH(1343,'Email Cleaner'!$I$2:$I$10001,0)),"")</f>
        <v/>
      </c>
    </row>
    <row r="1345">
      <c r="A1345">
        <f>IFERROR(INDEX('Email Cleaner'!$B$2:$B$10001,MATCH(1344,'Email Cleaner'!$I$2:$I$10001,0)),"")</f>
        <v/>
      </c>
    </row>
    <row r="1346">
      <c r="A1346">
        <f>IFERROR(INDEX('Email Cleaner'!$B$2:$B$10001,MATCH(1345,'Email Cleaner'!$I$2:$I$10001,0)),"")</f>
        <v/>
      </c>
    </row>
    <row r="1347">
      <c r="A1347">
        <f>IFERROR(INDEX('Email Cleaner'!$B$2:$B$10001,MATCH(1346,'Email Cleaner'!$I$2:$I$10001,0)),"")</f>
        <v/>
      </c>
    </row>
    <row r="1348">
      <c r="A1348">
        <f>IFERROR(INDEX('Email Cleaner'!$B$2:$B$10001,MATCH(1347,'Email Cleaner'!$I$2:$I$10001,0)),"")</f>
        <v/>
      </c>
    </row>
    <row r="1349">
      <c r="A1349">
        <f>IFERROR(INDEX('Email Cleaner'!$B$2:$B$10001,MATCH(1348,'Email Cleaner'!$I$2:$I$10001,0)),"")</f>
        <v/>
      </c>
    </row>
    <row r="1350">
      <c r="A1350">
        <f>IFERROR(INDEX('Email Cleaner'!$B$2:$B$10001,MATCH(1349,'Email Cleaner'!$I$2:$I$10001,0)),"")</f>
        <v/>
      </c>
    </row>
    <row r="1351">
      <c r="A1351">
        <f>IFERROR(INDEX('Email Cleaner'!$B$2:$B$10001,MATCH(1350,'Email Cleaner'!$I$2:$I$10001,0)),"")</f>
        <v/>
      </c>
    </row>
    <row r="1352">
      <c r="A1352">
        <f>IFERROR(INDEX('Email Cleaner'!$B$2:$B$10001,MATCH(1351,'Email Cleaner'!$I$2:$I$10001,0)),"")</f>
        <v/>
      </c>
    </row>
    <row r="1353">
      <c r="A1353">
        <f>IFERROR(INDEX('Email Cleaner'!$B$2:$B$10001,MATCH(1352,'Email Cleaner'!$I$2:$I$10001,0)),"")</f>
        <v/>
      </c>
    </row>
    <row r="1354">
      <c r="A1354">
        <f>IFERROR(INDEX('Email Cleaner'!$B$2:$B$10001,MATCH(1353,'Email Cleaner'!$I$2:$I$10001,0)),"")</f>
        <v/>
      </c>
    </row>
    <row r="1355">
      <c r="A1355">
        <f>IFERROR(INDEX('Email Cleaner'!$B$2:$B$10001,MATCH(1354,'Email Cleaner'!$I$2:$I$10001,0)),"")</f>
        <v/>
      </c>
    </row>
    <row r="1356">
      <c r="A1356">
        <f>IFERROR(INDEX('Email Cleaner'!$B$2:$B$10001,MATCH(1355,'Email Cleaner'!$I$2:$I$10001,0)),"")</f>
        <v/>
      </c>
    </row>
    <row r="1357">
      <c r="A1357">
        <f>IFERROR(INDEX('Email Cleaner'!$B$2:$B$10001,MATCH(1356,'Email Cleaner'!$I$2:$I$10001,0)),"")</f>
        <v/>
      </c>
    </row>
    <row r="1358">
      <c r="A1358">
        <f>IFERROR(INDEX('Email Cleaner'!$B$2:$B$10001,MATCH(1357,'Email Cleaner'!$I$2:$I$10001,0)),"")</f>
        <v/>
      </c>
    </row>
    <row r="1359">
      <c r="A1359">
        <f>IFERROR(INDEX('Email Cleaner'!$B$2:$B$10001,MATCH(1358,'Email Cleaner'!$I$2:$I$10001,0)),"")</f>
        <v/>
      </c>
    </row>
    <row r="1360">
      <c r="A1360">
        <f>IFERROR(INDEX('Email Cleaner'!$B$2:$B$10001,MATCH(1359,'Email Cleaner'!$I$2:$I$10001,0)),"")</f>
        <v/>
      </c>
    </row>
    <row r="1361">
      <c r="A1361">
        <f>IFERROR(INDEX('Email Cleaner'!$B$2:$B$10001,MATCH(1360,'Email Cleaner'!$I$2:$I$10001,0)),"")</f>
        <v/>
      </c>
    </row>
    <row r="1362">
      <c r="A1362">
        <f>IFERROR(INDEX('Email Cleaner'!$B$2:$B$10001,MATCH(1361,'Email Cleaner'!$I$2:$I$10001,0)),"")</f>
        <v/>
      </c>
    </row>
    <row r="1363">
      <c r="A1363">
        <f>IFERROR(INDEX('Email Cleaner'!$B$2:$B$10001,MATCH(1362,'Email Cleaner'!$I$2:$I$10001,0)),"")</f>
        <v/>
      </c>
    </row>
    <row r="1364">
      <c r="A1364">
        <f>IFERROR(INDEX('Email Cleaner'!$B$2:$B$10001,MATCH(1363,'Email Cleaner'!$I$2:$I$10001,0)),"")</f>
        <v/>
      </c>
    </row>
    <row r="1365">
      <c r="A1365">
        <f>IFERROR(INDEX('Email Cleaner'!$B$2:$B$10001,MATCH(1364,'Email Cleaner'!$I$2:$I$10001,0)),"")</f>
        <v/>
      </c>
    </row>
    <row r="1366">
      <c r="A1366">
        <f>IFERROR(INDEX('Email Cleaner'!$B$2:$B$10001,MATCH(1365,'Email Cleaner'!$I$2:$I$10001,0)),"")</f>
        <v/>
      </c>
    </row>
    <row r="1367">
      <c r="A1367">
        <f>IFERROR(INDEX('Email Cleaner'!$B$2:$B$10001,MATCH(1366,'Email Cleaner'!$I$2:$I$10001,0)),"")</f>
        <v/>
      </c>
    </row>
    <row r="1368">
      <c r="A1368">
        <f>IFERROR(INDEX('Email Cleaner'!$B$2:$B$10001,MATCH(1367,'Email Cleaner'!$I$2:$I$10001,0)),"")</f>
        <v/>
      </c>
    </row>
    <row r="1369">
      <c r="A1369">
        <f>IFERROR(INDEX('Email Cleaner'!$B$2:$B$10001,MATCH(1368,'Email Cleaner'!$I$2:$I$10001,0)),"")</f>
        <v/>
      </c>
    </row>
    <row r="1370">
      <c r="A1370">
        <f>IFERROR(INDEX('Email Cleaner'!$B$2:$B$10001,MATCH(1369,'Email Cleaner'!$I$2:$I$10001,0)),"")</f>
        <v/>
      </c>
    </row>
    <row r="1371">
      <c r="A1371">
        <f>IFERROR(INDEX('Email Cleaner'!$B$2:$B$10001,MATCH(1370,'Email Cleaner'!$I$2:$I$10001,0)),"")</f>
        <v/>
      </c>
    </row>
    <row r="1372">
      <c r="A1372">
        <f>IFERROR(INDEX('Email Cleaner'!$B$2:$B$10001,MATCH(1371,'Email Cleaner'!$I$2:$I$10001,0)),"")</f>
        <v/>
      </c>
    </row>
    <row r="1373">
      <c r="A1373">
        <f>IFERROR(INDEX('Email Cleaner'!$B$2:$B$10001,MATCH(1372,'Email Cleaner'!$I$2:$I$10001,0)),"")</f>
        <v/>
      </c>
    </row>
    <row r="1374">
      <c r="A1374">
        <f>IFERROR(INDEX('Email Cleaner'!$B$2:$B$10001,MATCH(1373,'Email Cleaner'!$I$2:$I$10001,0)),"")</f>
        <v/>
      </c>
    </row>
    <row r="1375">
      <c r="A1375">
        <f>IFERROR(INDEX('Email Cleaner'!$B$2:$B$10001,MATCH(1374,'Email Cleaner'!$I$2:$I$10001,0)),"")</f>
        <v/>
      </c>
    </row>
    <row r="1376">
      <c r="A1376">
        <f>IFERROR(INDEX('Email Cleaner'!$B$2:$B$10001,MATCH(1375,'Email Cleaner'!$I$2:$I$10001,0)),"")</f>
        <v/>
      </c>
    </row>
    <row r="1377">
      <c r="A1377">
        <f>IFERROR(INDEX('Email Cleaner'!$B$2:$B$10001,MATCH(1376,'Email Cleaner'!$I$2:$I$10001,0)),"")</f>
        <v/>
      </c>
    </row>
    <row r="1378">
      <c r="A1378">
        <f>IFERROR(INDEX('Email Cleaner'!$B$2:$B$10001,MATCH(1377,'Email Cleaner'!$I$2:$I$10001,0)),"")</f>
        <v/>
      </c>
    </row>
    <row r="1379">
      <c r="A1379">
        <f>IFERROR(INDEX('Email Cleaner'!$B$2:$B$10001,MATCH(1378,'Email Cleaner'!$I$2:$I$10001,0)),"")</f>
        <v/>
      </c>
    </row>
    <row r="1380">
      <c r="A1380">
        <f>IFERROR(INDEX('Email Cleaner'!$B$2:$B$10001,MATCH(1379,'Email Cleaner'!$I$2:$I$10001,0)),"")</f>
        <v/>
      </c>
    </row>
    <row r="1381">
      <c r="A1381">
        <f>IFERROR(INDEX('Email Cleaner'!$B$2:$B$10001,MATCH(1380,'Email Cleaner'!$I$2:$I$10001,0)),"")</f>
        <v/>
      </c>
    </row>
    <row r="1382">
      <c r="A1382">
        <f>IFERROR(INDEX('Email Cleaner'!$B$2:$B$10001,MATCH(1381,'Email Cleaner'!$I$2:$I$10001,0)),"")</f>
        <v/>
      </c>
    </row>
    <row r="1383">
      <c r="A1383">
        <f>IFERROR(INDEX('Email Cleaner'!$B$2:$B$10001,MATCH(1382,'Email Cleaner'!$I$2:$I$10001,0)),"")</f>
        <v/>
      </c>
    </row>
    <row r="1384">
      <c r="A1384">
        <f>IFERROR(INDEX('Email Cleaner'!$B$2:$B$10001,MATCH(1383,'Email Cleaner'!$I$2:$I$10001,0)),"")</f>
        <v/>
      </c>
    </row>
    <row r="1385">
      <c r="A1385">
        <f>IFERROR(INDEX('Email Cleaner'!$B$2:$B$10001,MATCH(1384,'Email Cleaner'!$I$2:$I$10001,0)),"")</f>
        <v/>
      </c>
    </row>
    <row r="1386">
      <c r="A1386">
        <f>IFERROR(INDEX('Email Cleaner'!$B$2:$B$10001,MATCH(1385,'Email Cleaner'!$I$2:$I$10001,0)),"")</f>
        <v/>
      </c>
    </row>
    <row r="1387">
      <c r="A1387">
        <f>IFERROR(INDEX('Email Cleaner'!$B$2:$B$10001,MATCH(1386,'Email Cleaner'!$I$2:$I$10001,0)),"")</f>
        <v/>
      </c>
    </row>
    <row r="1388">
      <c r="A1388">
        <f>IFERROR(INDEX('Email Cleaner'!$B$2:$B$10001,MATCH(1387,'Email Cleaner'!$I$2:$I$10001,0)),"")</f>
        <v/>
      </c>
    </row>
    <row r="1389">
      <c r="A1389">
        <f>IFERROR(INDEX('Email Cleaner'!$B$2:$B$10001,MATCH(1388,'Email Cleaner'!$I$2:$I$10001,0)),"")</f>
        <v/>
      </c>
    </row>
    <row r="1390">
      <c r="A1390">
        <f>IFERROR(INDEX('Email Cleaner'!$B$2:$B$10001,MATCH(1389,'Email Cleaner'!$I$2:$I$10001,0)),"")</f>
        <v/>
      </c>
    </row>
    <row r="1391">
      <c r="A1391">
        <f>IFERROR(INDEX('Email Cleaner'!$B$2:$B$10001,MATCH(1390,'Email Cleaner'!$I$2:$I$10001,0)),"")</f>
        <v/>
      </c>
    </row>
    <row r="1392">
      <c r="A1392">
        <f>IFERROR(INDEX('Email Cleaner'!$B$2:$B$10001,MATCH(1391,'Email Cleaner'!$I$2:$I$10001,0)),"")</f>
        <v/>
      </c>
    </row>
    <row r="1393">
      <c r="A1393">
        <f>IFERROR(INDEX('Email Cleaner'!$B$2:$B$10001,MATCH(1392,'Email Cleaner'!$I$2:$I$10001,0)),"")</f>
        <v/>
      </c>
    </row>
    <row r="1394">
      <c r="A1394">
        <f>IFERROR(INDEX('Email Cleaner'!$B$2:$B$10001,MATCH(1393,'Email Cleaner'!$I$2:$I$10001,0)),"")</f>
        <v/>
      </c>
    </row>
    <row r="1395">
      <c r="A1395">
        <f>IFERROR(INDEX('Email Cleaner'!$B$2:$B$10001,MATCH(1394,'Email Cleaner'!$I$2:$I$10001,0)),"")</f>
        <v/>
      </c>
    </row>
    <row r="1396">
      <c r="A1396">
        <f>IFERROR(INDEX('Email Cleaner'!$B$2:$B$10001,MATCH(1395,'Email Cleaner'!$I$2:$I$10001,0)),"")</f>
        <v/>
      </c>
    </row>
    <row r="1397">
      <c r="A1397">
        <f>IFERROR(INDEX('Email Cleaner'!$B$2:$B$10001,MATCH(1396,'Email Cleaner'!$I$2:$I$10001,0)),"")</f>
        <v/>
      </c>
    </row>
    <row r="1398">
      <c r="A1398">
        <f>IFERROR(INDEX('Email Cleaner'!$B$2:$B$10001,MATCH(1397,'Email Cleaner'!$I$2:$I$10001,0)),"")</f>
        <v/>
      </c>
    </row>
    <row r="1399">
      <c r="A1399">
        <f>IFERROR(INDEX('Email Cleaner'!$B$2:$B$10001,MATCH(1398,'Email Cleaner'!$I$2:$I$10001,0)),"")</f>
        <v/>
      </c>
    </row>
    <row r="1400">
      <c r="A1400">
        <f>IFERROR(INDEX('Email Cleaner'!$B$2:$B$10001,MATCH(1399,'Email Cleaner'!$I$2:$I$10001,0)),"")</f>
        <v/>
      </c>
    </row>
    <row r="1401">
      <c r="A1401">
        <f>IFERROR(INDEX('Email Cleaner'!$B$2:$B$10001,MATCH(1400,'Email Cleaner'!$I$2:$I$10001,0)),"")</f>
        <v/>
      </c>
    </row>
    <row r="1402">
      <c r="A1402">
        <f>IFERROR(INDEX('Email Cleaner'!$B$2:$B$10001,MATCH(1401,'Email Cleaner'!$I$2:$I$10001,0)),"")</f>
        <v/>
      </c>
    </row>
    <row r="1403">
      <c r="A1403">
        <f>IFERROR(INDEX('Email Cleaner'!$B$2:$B$10001,MATCH(1402,'Email Cleaner'!$I$2:$I$10001,0)),"")</f>
        <v/>
      </c>
    </row>
    <row r="1404">
      <c r="A1404">
        <f>IFERROR(INDEX('Email Cleaner'!$B$2:$B$10001,MATCH(1403,'Email Cleaner'!$I$2:$I$10001,0)),"")</f>
        <v/>
      </c>
    </row>
    <row r="1405">
      <c r="A1405">
        <f>IFERROR(INDEX('Email Cleaner'!$B$2:$B$10001,MATCH(1404,'Email Cleaner'!$I$2:$I$10001,0)),"")</f>
        <v/>
      </c>
    </row>
    <row r="1406">
      <c r="A1406">
        <f>IFERROR(INDEX('Email Cleaner'!$B$2:$B$10001,MATCH(1405,'Email Cleaner'!$I$2:$I$10001,0)),"")</f>
        <v/>
      </c>
    </row>
    <row r="1407">
      <c r="A1407">
        <f>IFERROR(INDEX('Email Cleaner'!$B$2:$B$10001,MATCH(1406,'Email Cleaner'!$I$2:$I$10001,0)),"")</f>
        <v/>
      </c>
    </row>
    <row r="1408">
      <c r="A1408">
        <f>IFERROR(INDEX('Email Cleaner'!$B$2:$B$10001,MATCH(1407,'Email Cleaner'!$I$2:$I$10001,0)),"")</f>
        <v/>
      </c>
    </row>
    <row r="1409">
      <c r="A1409">
        <f>IFERROR(INDEX('Email Cleaner'!$B$2:$B$10001,MATCH(1408,'Email Cleaner'!$I$2:$I$10001,0)),"")</f>
        <v/>
      </c>
    </row>
    <row r="1410">
      <c r="A1410">
        <f>IFERROR(INDEX('Email Cleaner'!$B$2:$B$10001,MATCH(1409,'Email Cleaner'!$I$2:$I$10001,0)),"")</f>
        <v/>
      </c>
    </row>
    <row r="1411">
      <c r="A1411">
        <f>IFERROR(INDEX('Email Cleaner'!$B$2:$B$10001,MATCH(1410,'Email Cleaner'!$I$2:$I$10001,0)),"")</f>
        <v/>
      </c>
    </row>
    <row r="1412">
      <c r="A1412">
        <f>IFERROR(INDEX('Email Cleaner'!$B$2:$B$10001,MATCH(1411,'Email Cleaner'!$I$2:$I$10001,0)),"")</f>
        <v/>
      </c>
    </row>
    <row r="1413">
      <c r="A1413">
        <f>IFERROR(INDEX('Email Cleaner'!$B$2:$B$10001,MATCH(1412,'Email Cleaner'!$I$2:$I$10001,0)),"")</f>
        <v/>
      </c>
    </row>
    <row r="1414">
      <c r="A1414">
        <f>IFERROR(INDEX('Email Cleaner'!$B$2:$B$10001,MATCH(1413,'Email Cleaner'!$I$2:$I$10001,0)),"")</f>
        <v/>
      </c>
    </row>
    <row r="1415">
      <c r="A1415">
        <f>IFERROR(INDEX('Email Cleaner'!$B$2:$B$10001,MATCH(1414,'Email Cleaner'!$I$2:$I$10001,0)),"")</f>
        <v/>
      </c>
    </row>
    <row r="1416">
      <c r="A1416">
        <f>IFERROR(INDEX('Email Cleaner'!$B$2:$B$10001,MATCH(1415,'Email Cleaner'!$I$2:$I$10001,0)),"")</f>
        <v/>
      </c>
    </row>
    <row r="1417">
      <c r="A1417">
        <f>IFERROR(INDEX('Email Cleaner'!$B$2:$B$10001,MATCH(1416,'Email Cleaner'!$I$2:$I$10001,0)),"")</f>
        <v/>
      </c>
    </row>
    <row r="1418">
      <c r="A1418">
        <f>IFERROR(INDEX('Email Cleaner'!$B$2:$B$10001,MATCH(1417,'Email Cleaner'!$I$2:$I$10001,0)),"")</f>
        <v/>
      </c>
    </row>
    <row r="1419">
      <c r="A1419">
        <f>IFERROR(INDEX('Email Cleaner'!$B$2:$B$10001,MATCH(1418,'Email Cleaner'!$I$2:$I$10001,0)),"")</f>
        <v/>
      </c>
    </row>
    <row r="1420">
      <c r="A1420">
        <f>IFERROR(INDEX('Email Cleaner'!$B$2:$B$10001,MATCH(1419,'Email Cleaner'!$I$2:$I$10001,0)),"")</f>
        <v/>
      </c>
    </row>
    <row r="1421">
      <c r="A1421">
        <f>IFERROR(INDEX('Email Cleaner'!$B$2:$B$10001,MATCH(1420,'Email Cleaner'!$I$2:$I$10001,0)),"")</f>
        <v/>
      </c>
    </row>
    <row r="1422">
      <c r="A1422">
        <f>IFERROR(INDEX('Email Cleaner'!$B$2:$B$10001,MATCH(1421,'Email Cleaner'!$I$2:$I$10001,0)),"")</f>
        <v/>
      </c>
    </row>
    <row r="1423">
      <c r="A1423">
        <f>IFERROR(INDEX('Email Cleaner'!$B$2:$B$10001,MATCH(1422,'Email Cleaner'!$I$2:$I$10001,0)),"")</f>
        <v/>
      </c>
    </row>
    <row r="1424">
      <c r="A1424">
        <f>IFERROR(INDEX('Email Cleaner'!$B$2:$B$10001,MATCH(1423,'Email Cleaner'!$I$2:$I$10001,0)),"")</f>
        <v/>
      </c>
    </row>
    <row r="1425">
      <c r="A1425">
        <f>IFERROR(INDEX('Email Cleaner'!$B$2:$B$10001,MATCH(1424,'Email Cleaner'!$I$2:$I$10001,0)),"")</f>
        <v/>
      </c>
    </row>
    <row r="1426">
      <c r="A1426">
        <f>IFERROR(INDEX('Email Cleaner'!$B$2:$B$10001,MATCH(1425,'Email Cleaner'!$I$2:$I$10001,0)),"")</f>
        <v/>
      </c>
    </row>
    <row r="1427">
      <c r="A1427">
        <f>IFERROR(INDEX('Email Cleaner'!$B$2:$B$10001,MATCH(1426,'Email Cleaner'!$I$2:$I$10001,0)),"")</f>
        <v/>
      </c>
    </row>
    <row r="1428">
      <c r="A1428">
        <f>IFERROR(INDEX('Email Cleaner'!$B$2:$B$10001,MATCH(1427,'Email Cleaner'!$I$2:$I$10001,0)),"")</f>
        <v/>
      </c>
    </row>
    <row r="1429">
      <c r="A1429">
        <f>IFERROR(INDEX('Email Cleaner'!$B$2:$B$10001,MATCH(1428,'Email Cleaner'!$I$2:$I$10001,0)),"")</f>
        <v/>
      </c>
    </row>
    <row r="1430">
      <c r="A1430">
        <f>IFERROR(INDEX('Email Cleaner'!$B$2:$B$10001,MATCH(1429,'Email Cleaner'!$I$2:$I$10001,0)),"")</f>
        <v/>
      </c>
    </row>
    <row r="1431">
      <c r="A1431">
        <f>IFERROR(INDEX('Email Cleaner'!$B$2:$B$10001,MATCH(1430,'Email Cleaner'!$I$2:$I$10001,0)),"")</f>
        <v/>
      </c>
    </row>
    <row r="1432">
      <c r="A1432">
        <f>IFERROR(INDEX('Email Cleaner'!$B$2:$B$10001,MATCH(1431,'Email Cleaner'!$I$2:$I$10001,0)),"")</f>
        <v/>
      </c>
    </row>
    <row r="1433">
      <c r="A1433">
        <f>IFERROR(INDEX('Email Cleaner'!$B$2:$B$10001,MATCH(1432,'Email Cleaner'!$I$2:$I$10001,0)),"")</f>
        <v/>
      </c>
    </row>
    <row r="1434">
      <c r="A1434">
        <f>IFERROR(INDEX('Email Cleaner'!$B$2:$B$10001,MATCH(1433,'Email Cleaner'!$I$2:$I$10001,0)),"")</f>
        <v/>
      </c>
    </row>
    <row r="1435">
      <c r="A1435">
        <f>IFERROR(INDEX('Email Cleaner'!$B$2:$B$10001,MATCH(1434,'Email Cleaner'!$I$2:$I$10001,0)),"")</f>
        <v/>
      </c>
    </row>
    <row r="1436">
      <c r="A1436">
        <f>IFERROR(INDEX('Email Cleaner'!$B$2:$B$10001,MATCH(1435,'Email Cleaner'!$I$2:$I$10001,0)),"")</f>
        <v/>
      </c>
    </row>
    <row r="1437">
      <c r="A1437">
        <f>IFERROR(INDEX('Email Cleaner'!$B$2:$B$10001,MATCH(1436,'Email Cleaner'!$I$2:$I$10001,0)),"")</f>
        <v/>
      </c>
    </row>
    <row r="1438">
      <c r="A1438">
        <f>IFERROR(INDEX('Email Cleaner'!$B$2:$B$10001,MATCH(1437,'Email Cleaner'!$I$2:$I$10001,0)),"")</f>
        <v/>
      </c>
    </row>
    <row r="1439">
      <c r="A1439">
        <f>IFERROR(INDEX('Email Cleaner'!$B$2:$B$10001,MATCH(1438,'Email Cleaner'!$I$2:$I$10001,0)),"")</f>
        <v/>
      </c>
    </row>
    <row r="1440">
      <c r="A1440">
        <f>IFERROR(INDEX('Email Cleaner'!$B$2:$B$10001,MATCH(1439,'Email Cleaner'!$I$2:$I$10001,0)),"")</f>
        <v/>
      </c>
    </row>
    <row r="1441">
      <c r="A1441">
        <f>IFERROR(INDEX('Email Cleaner'!$B$2:$B$10001,MATCH(1440,'Email Cleaner'!$I$2:$I$10001,0)),"")</f>
        <v/>
      </c>
    </row>
    <row r="1442">
      <c r="A1442">
        <f>IFERROR(INDEX('Email Cleaner'!$B$2:$B$10001,MATCH(1441,'Email Cleaner'!$I$2:$I$10001,0)),"")</f>
        <v/>
      </c>
    </row>
    <row r="1443">
      <c r="A1443">
        <f>IFERROR(INDEX('Email Cleaner'!$B$2:$B$10001,MATCH(1442,'Email Cleaner'!$I$2:$I$10001,0)),"")</f>
        <v/>
      </c>
    </row>
    <row r="1444">
      <c r="A1444">
        <f>IFERROR(INDEX('Email Cleaner'!$B$2:$B$10001,MATCH(1443,'Email Cleaner'!$I$2:$I$10001,0)),"")</f>
        <v/>
      </c>
    </row>
    <row r="1445">
      <c r="A1445">
        <f>IFERROR(INDEX('Email Cleaner'!$B$2:$B$10001,MATCH(1444,'Email Cleaner'!$I$2:$I$10001,0)),"")</f>
        <v/>
      </c>
    </row>
    <row r="1446">
      <c r="A1446">
        <f>IFERROR(INDEX('Email Cleaner'!$B$2:$B$10001,MATCH(1445,'Email Cleaner'!$I$2:$I$10001,0)),"")</f>
        <v/>
      </c>
    </row>
    <row r="1447">
      <c r="A1447">
        <f>IFERROR(INDEX('Email Cleaner'!$B$2:$B$10001,MATCH(1446,'Email Cleaner'!$I$2:$I$10001,0)),"")</f>
        <v/>
      </c>
    </row>
    <row r="1448">
      <c r="A1448">
        <f>IFERROR(INDEX('Email Cleaner'!$B$2:$B$10001,MATCH(1447,'Email Cleaner'!$I$2:$I$10001,0)),"")</f>
        <v/>
      </c>
    </row>
    <row r="1449">
      <c r="A1449">
        <f>IFERROR(INDEX('Email Cleaner'!$B$2:$B$10001,MATCH(1448,'Email Cleaner'!$I$2:$I$10001,0)),"")</f>
        <v/>
      </c>
    </row>
    <row r="1450">
      <c r="A1450">
        <f>IFERROR(INDEX('Email Cleaner'!$B$2:$B$10001,MATCH(1449,'Email Cleaner'!$I$2:$I$10001,0)),"")</f>
        <v/>
      </c>
    </row>
    <row r="1451">
      <c r="A1451">
        <f>IFERROR(INDEX('Email Cleaner'!$B$2:$B$10001,MATCH(1450,'Email Cleaner'!$I$2:$I$10001,0)),"")</f>
        <v/>
      </c>
    </row>
    <row r="1452">
      <c r="A1452">
        <f>IFERROR(INDEX('Email Cleaner'!$B$2:$B$10001,MATCH(1451,'Email Cleaner'!$I$2:$I$10001,0)),"")</f>
        <v/>
      </c>
    </row>
    <row r="1453">
      <c r="A1453">
        <f>IFERROR(INDEX('Email Cleaner'!$B$2:$B$10001,MATCH(1452,'Email Cleaner'!$I$2:$I$10001,0)),"")</f>
        <v/>
      </c>
    </row>
    <row r="1454">
      <c r="A1454">
        <f>IFERROR(INDEX('Email Cleaner'!$B$2:$B$10001,MATCH(1453,'Email Cleaner'!$I$2:$I$10001,0)),"")</f>
        <v/>
      </c>
    </row>
    <row r="1455">
      <c r="A1455">
        <f>IFERROR(INDEX('Email Cleaner'!$B$2:$B$10001,MATCH(1454,'Email Cleaner'!$I$2:$I$10001,0)),"")</f>
        <v/>
      </c>
    </row>
    <row r="1456">
      <c r="A1456">
        <f>IFERROR(INDEX('Email Cleaner'!$B$2:$B$10001,MATCH(1455,'Email Cleaner'!$I$2:$I$10001,0)),"")</f>
        <v/>
      </c>
    </row>
    <row r="1457">
      <c r="A1457">
        <f>IFERROR(INDEX('Email Cleaner'!$B$2:$B$10001,MATCH(1456,'Email Cleaner'!$I$2:$I$10001,0)),"")</f>
        <v/>
      </c>
    </row>
    <row r="1458">
      <c r="A1458">
        <f>IFERROR(INDEX('Email Cleaner'!$B$2:$B$10001,MATCH(1457,'Email Cleaner'!$I$2:$I$10001,0)),"")</f>
        <v/>
      </c>
    </row>
    <row r="1459">
      <c r="A1459">
        <f>IFERROR(INDEX('Email Cleaner'!$B$2:$B$10001,MATCH(1458,'Email Cleaner'!$I$2:$I$10001,0)),"")</f>
        <v/>
      </c>
    </row>
    <row r="1460">
      <c r="A1460">
        <f>IFERROR(INDEX('Email Cleaner'!$B$2:$B$10001,MATCH(1459,'Email Cleaner'!$I$2:$I$10001,0)),"")</f>
        <v/>
      </c>
    </row>
    <row r="1461">
      <c r="A1461">
        <f>IFERROR(INDEX('Email Cleaner'!$B$2:$B$10001,MATCH(1460,'Email Cleaner'!$I$2:$I$10001,0)),"")</f>
        <v/>
      </c>
    </row>
    <row r="1462">
      <c r="A1462">
        <f>IFERROR(INDEX('Email Cleaner'!$B$2:$B$10001,MATCH(1461,'Email Cleaner'!$I$2:$I$10001,0)),"")</f>
        <v/>
      </c>
    </row>
    <row r="1463">
      <c r="A1463">
        <f>IFERROR(INDEX('Email Cleaner'!$B$2:$B$10001,MATCH(1462,'Email Cleaner'!$I$2:$I$10001,0)),"")</f>
        <v/>
      </c>
    </row>
    <row r="1464">
      <c r="A1464">
        <f>IFERROR(INDEX('Email Cleaner'!$B$2:$B$10001,MATCH(1463,'Email Cleaner'!$I$2:$I$10001,0)),"")</f>
        <v/>
      </c>
    </row>
    <row r="1465">
      <c r="A1465">
        <f>IFERROR(INDEX('Email Cleaner'!$B$2:$B$10001,MATCH(1464,'Email Cleaner'!$I$2:$I$10001,0)),"")</f>
        <v/>
      </c>
    </row>
    <row r="1466">
      <c r="A1466">
        <f>IFERROR(INDEX('Email Cleaner'!$B$2:$B$10001,MATCH(1465,'Email Cleaner'!$I$2:$I$10001,0)),"")</f>
        <v/>
      </c>
    </row>
    <row r="1467">
      <c r="A1467">
        <f>IFERROR(INDEX('Email Cleaner'!$B$2:$B$10001,MATCH(1466,'Email Cleaner'!$I$2:$I$10001,0)),"")</f>
        <v/>
      </c>
    </row>
    <row r="1468">
      <c r="A1468">
        <f>IFERROR(INDEX('Email Cleaner'!$B$2:$B$10001,MATCH(1467,'Email Cleaner'!$I$2:$I$10001,0)),"")</f>
        <v/>
      </c>
    </row>
    <row r="1469">
      <c r="A1469">
        <f>IFERROR(INDEX('Email Cleaner'!$B$2:$B$10001,MATCH(1468,'Email Cleaner'!$I$2:$I$10001,0)),"")</f>
        <v/>
      </c>
    </row>
    <row r="1470">
      <c r="A1470">
        <f>IFERROR(INDEX('Email Cleaner'!$B$2:$B$10001,MATCH(1469,'Email Cleaner'!$I$2:$I$10001,0)),"")</f>
        <v/>
      </c>
    </row>
    <row r="1471">
      <c r="A1471">
        <f>IFERROR(INDEX('Email Cleaner'!$B$2:$B$10001,MATCH(1470,'Email Cleaner'!$I$2:$I$10001,0)),"")</f>
        <v/>
      </c>
    </row>
    <row r="1472">
      <c r="A1472">
        <f>IFERROR(INDEX('Email Cleaner'!$B$2:$B$10001,MATCH(1471,'Email Cleaner'!$I$2:$I$10001,0)),"")</f>
        <v/>
      </c>
    </row>
    <row r="1473">
      <c r="A1473">
        <f>IFERROR(INDEX('Email Cleaner'!$B$2:$B$10001,MATCH(1472,'Email Cleaner'!$I$2:$I$10001,0)),"")</f>
        <v/>
      </c>
    </row>
    <row r="1474">
      <c r="A1474">
        <f>IFERROR(INDEX('Email Cleaner'!$B$2:$B$10001,MATCH(1473,'Email Cleaner'!$I$2:$I$10001,0)),"")</f>
        <v/>
      </c>
    </row>
    <row r="1475">
      <c r="A1475">
        <f>IFERROR(INDEX('Email Cleaner'!$B$2:$B$10001,MATCH(1474,'Email Cleaner'!$I$2:$I$10001,0)),"")</f>
        <v/>
      </c>
    </row>
    <row r="1476">
      <c r="A1476">
        <f>IFERROR(INDEX('Email Cleaner'!$B$2:$B$10001,MATCH(1475,'Email Cleaner'!$I$2:$I$10001,0)),"")</f>
        <v/>
      </c>
    </row>
    <row r="1477">
      <c r="A1477">
        <f>IFERROR(INDEX('Email Cleaner'!$B$2:$B$10001,MATCH(1476,'Email Cleaner'!$I$2:$I$10001,0)),"")</f>
        <v/>
      </c>
    </row>
    <row r="1478">
      <c r="A1478">
        <f>IFERROR(INDEX('Email Cleaner'!$B$2:$B$10001,MATCH(1477,'Email Cleaner'!$I$2:$I$10001,0)),"")</f>
        <v/>
      </c>
    </row>
    <row r="1479">
      <c r="A1479">
        <f>IFERROR(INDEX('Email Cleaner'!$B$2:$B$10001,MATCH(1478,'Email Cleaner'!$I$2:$I$10001,0)),"")</f>
        <v/>
      </c>
    </row>
    <row r="1480">
      <c r="A1480">
        <f>IFERROR(INDEX('Email Cleaner'!$B$2:$B$10001,MATCH(1479,'Email Cleaner'!$I$2:$I$10001,0)),"")</f>
        <v/>
      </c>
    </row>
    <row r="1481">
      <c r="A1481">
        <f>IFERROR(INDEX('Email Cleaner'!$B$2:$B$10001,MATCH(1480,'Email Cleaner'!$I$2:$I$10001,0)),"")</f>
        <v/>
      </c>
    </row>
    <row r="1482">
      <c r="A1482">
        <f>IFERROR(INDEX('Email Cleaner'!$B$2:$B$10001,MATCH(1481,'Email Cleaner'!$I$2:$I$10001,0)),"")</f>
        <v/>
      </c>
    </row>
    <row r="1483">
      <c r="A1483">
        <f>IFERROR(INDEX('Email Cleaner'!$B$2:$B$10001,MATCH(1482,'Email Cleaner'!$I$2:$I$10001,0)),"")</f>
        <v/>
      </c>
    </row>
    <row r="1484">
      <c r="A1484">
        <f>IFERROR(INDEX('Email Cleaner'!$B$2:$B$10001,MATCH(1483,'Email Cleaner'!$I$2:$I$10001,0)),"")</f>
        <v/>
      </c>
    </row>
    <row r="1485">
      <c r="A1485">
        <f>IFERROR(INDEX('Email Cleaner'!$B$2:$B$10001,MATCH(1484,'Email Cleaner'!$I$2:$I$10001,0)),"")</f>
        <v/>
      </c>
    </row>
    <row r="1486">
      <c r="A1486">
        <f>IFERROR(INDEX('Email Cleaner'!$B$2:$B$10001,MATCH(1485,'Email Cleaner'!$I$2:$I$10001,0)),"")</f>
        <v/>
      </c>
    </row>
    <row r="1487">
      <c r="A1487">
        <f>IFERROR(INDEX('Email Cleaner'!$B$2:$B$10001,MATCH(1486,'Email Cleaner'!$I$2:$I$10001,0)),"")</f>
        <v/>
      </c>
    </row>
    <row r="1488">
      <c r="A1488">
        <f>IFERROR(INDEX('Email Cleaner'!$B$2:$B$10001,MATCH(1487,'Email Cleaner'!$I$2:$I$10001,0)),"")</f>
        <v/>
      </c>
    </row>
    <row r="1489">
      <c r="A1489">
        <f>IFERROR(INDEX('Email Cleaner'!$B$2:$B$10001,MATCH(1488,'Email Cleaner'!$I$2:$I$10001,0)),"")</f>
        <v/>
      </c>
    </row>
    <row r="1490">
      <c r="A1490">
        <f>IFERROR(INDEX('Email Cleaner'!$B$2:$B$10001,MATCH(1489,'Email Cleaner'!$I$2:$I$10001,0)),"")</f>
        <v/>
      </c>
    </row>
    <row r="1491">
      <c r="A1491">
        <f>IFERROR(INDEX('Email Cleaner'!$B$2:$B$10001,MATCH(1490,'Email Cleaner'!$I$2:$I$10001,0)),"")</f>
        <v/>
      </c>
    </row>
    <row r="1492">
      <c r="A1492">
        <f>IFERROR(INDEX('Email Cleaner'!$B$2:$B$10001,MATCH(1491,'Email Cleaner'!$I$2:$I$10001,0)),"")</f>
        <v/>
      </c>
    </row>
    <row r="1493">
      <c r="A1493">
        <f>IFERROR(INDEX('Email Cleaner'!$B$2:$B$10001,MATCH(1492,'Email Cleaner'!$I$2:$I$10001,0)),"")</f>
        <v/>
      </c>
    </row>
    <row r="1494">
      <c r="A1494">
        <f>IFERROR(INDEX('Email Cleaner'!$B$2:$B$10001,MATCH(1493,'Email Cleaner'!$I$2:$I$10001,0)),"")</f>
        <v/>
      </c>
    </row>
    <row r="1495">
      <c r="A1495">
        <f>IFERROR(INDEX('Email Cleaner'!$B$2:$B$10001,MATCH(1494,'Email Cleaner'!$I$2:$I$10001,0)),"")</f>
        <v/>
      </c>
    </row>
    <row r="1496">
      <c r="A1496">
        <f>IFERROR(INDEX('Email Cleaner'!$B$2:$B$10001,MATCH(1495,'Email Cleaner'!$I$2:$I$10001,0)),"")</f>
        <v/>
      </c>
    </row>
    <row r="1497">
      <c r="A1497">
        <f>IFERROR(INDEX('Email Cleaner'!$B$2:$B$10001,MATCH(1496,'Email Cleaner'!$I$2:$I$10001,0)),"")</f>
        <v/>
      </c>
    </row>
    <row r="1498">
      <c r="A1498">
        <f>IFERROR(INDEX('Email Cleaner'!$B$2:$B$10001,MATCH(1497,'Email Cleaner'!$I$2:$I$10001,0)),"")</f>
        <v/>
      </c>
    </row>
    <row r="1499">
      <c r="A1499">
        <f>IFERROR(INDEX('Email Cleaner'!$B$2:$B$10001,MATCH(1498,'Email Cleaner'!$I$2:$I$10001,0)),"")</f>
        <v/>
      </c>
    </row>
    <row r="1500">
      <c r="A1500">
        <f>IFERROR(INDEX('Email Cleaner'!$B$2:$B$10001,MATCH(1499,'Email Cleaner'!$I$2:$I$10001,0)),"")</f>
        <v/>
      </c>
    </row>
    <row r="1501">
      <c r="A1501">
        <f>IFERROR(INDEX('Email Cleaner'!$B$2:$B$10001,MATCH(1500,'Email Cleaner'!$I$2:$I$10001,0)),"")</f>
        <v/>
      </c>
    </row>
    <row r="1502">
      <c r="A1502">
        <f>IFERROR(INDEX('Email Cleaner'!$B$2:$B$10001,MATCH(1501,'Email Cleaner'!$I$2:$I$10001,0)),"")</f>
        <v/>
      </c>
    </row>
    <row r="1503">
      <c r="A1503">
        <f>IFERROR(INDEX('Email Cleaner'!$B$2:$B$10001,MATCH(1502,'Email Cleaner'!$I$2:$I$10001,0)),"")</f>
        <v/>
      </c>
    </row>
    <row r="1504">
      <c r="A1504">
        <f>IFERROR(INDEX('Email Cleaner'!$B$2:$B$10001,MATCH(1503,'Email Cleaner'!$I$2:$I$10001,0)),"")</f>
        <v/>
      </c>
    </row>
    <row r="1505">
      <c r="A1505">
        <f>IFERROR(INDEX('Email Cleaner'!$B$2:$B$10001,MATCH(1504,'Email Cleaner'!$I$2:$I$10001,0)),"")</f>
        <v/>
      </c>
    </row>
    <row r="1506">
      <c r="A1506">
        <f>IFERROR(INDEX('Email Cleaner'!$B$2:$B$10001,MATCH(1505,'Email Cleaner'!$I$2:$I$10001,0)),"")</f>
        <v/>
      </c>
    </row>
    <row r="1507">
      <c r="A1507">
        <f>IFERROR(INDEX('Email Cleaner'!$B$2:$B$10001,MATCH(1506,'Email Cleaner'!$I$2:$I$10001,0)),"")</f>
        <v/>
      </c>
    </row>
    <row r="1508">
      <c r="A1508">
        <f>IFERROR(INDEX('Email Cleaner'!$B$2:$B$10001,MATCH(1507,'Email Cleaner'!$I$2:$I$10001,0)),"")</f>
        <v/>
      </c>
    </row>
    <row r="1509">
      <c r="A1509">
        <f>IFERROR(INDEX('Email Cleaner'!$B$2:$B$10001,MATCH(1508,'Email Cleaner'!$I$2:$I$10001,0)),"")</f>
        <v/>
      </c>
    </row>
    <row r="1510">
      <c r="A1510">
        <f>IFERROR(INDEX('Email Cleaner'!$B$2:$B$10001,MATCH(1509,'Email Cleaner'!$I$2:$I$10001,0)),"")</f>
        <v/>
      </c>
    </row>
    <row r="1511">
      <c r="A1511">
        <f>IFERROR(INDEX('Email Cleaner'!$B$2:$B$10001,MATCH(1510,'Email Cleaner'!$I$2:$I$10001,0)),"")</f>
        <v/>
      </c>
    </row>
    <row r="1512">
      <c r="A1512">
        <f>IFERROR(INDEX('Email Cleaner'!$B$2:$B$10001,MATCH(1511,'Email Cleaner'!$I$2:$I$10001,0)),"")</f>
        <v/>
      </c>
    </row>
    <row r="1513">
      <c r="A1513">
        <f>IFERROR(INDEX('Email Cleaner'!$B$2:$B$10001,MATCH(1512,'Email Cleaner'!$I$2:$I$10001,0)),"")</f>
        <v/>
      </c>
    </row>
    <row r="1514">
      <c r="A1514">
        <f>IFERROR(INDEX('Email Cleaner'!$B$2:$B$10001,MATCH(1513,'Email Cleaner'!$I$2:$I$10001,0)),"")</f>
        <v/>
      </c>
    </row>
    <row r="1515">
      <c r="A1515">
        <f>IFERROR(INDEX('Email Cleaner'!$B$2:$B$10001,MATCH(1514,'Email Cleaner'!$I$2:$I$10001,0)),"")</f>
        <v/>
      </c>
    </row>
    <row r="1516">
      <c r="A1516">
        <f>IFERROR(INDEX('Email Cleaner'!$B$2:$B$10001,MATCH(1515,'Email Cleaner'!$I$2:$I$10001,0)),"")</f>
        <v/>
      </c>
    </row>
    <row r="1517">
      <c r="A1517">
        <f>IFERROR(INDEX('Email Cleaner'!$B$2:$B$10001,MATCH(1516,'Email Cleaner'!$I$2:$I$10001,0)),"")</f>
        <v/>
      </c>
    </row>
    <row r="1518">
      <c r="A1518">
        <f>IFERROR(INDEX('Email Cleaner'!$B$2:$B$10001,MATCH(1517,'Email Cleaner'!$I$2:$I$10001,0)),"")</f>
        <v/>
      </c>
    </row>
    <row r="1519">
      <c r="A1519">
        <f>IFERROR(INDEX('Email Cleaner'!$B$2:$B$10001,MATCH(1518,'Email Cleaner'!$I$2:$I$10001,0)),"")</f>
        <v/>
      </c>
    </row>
    <row r="1520">
      <c r="A1520">
        <f>IFERROR(INDEX('Email Cleaner'!$B$2:$B$10001,MATCH(1519,'Email Cleaner'!$I$2:$I$10001,0)),"")</f>
        <v/>
      </c>
    </row>
    <row r="1521">
      <c r="A1521">
        <f>IFERROR(INDEX('Email Cleaner'!$B$2:$B$10001,MATCH(1520,'Email Cleaner'!$I$2:$I$10001,0)),"")</f>
        <v/>
      </c>
    </row>
    <row r="1522">
      <c r="A1522">
        <f>IFERROR(INDEX('Email Cleaner'!$B$2:$B$10001,MATCH(1521,'Email Cleaner'!$I$2:$I$10001,0)),"")</f>
        <v/>
      </c>
    </row>
    <row r="1523">
      <c r="A1523">
        <f>IFERROR(INDEX('Email Cleaner'!$B$2:$B$10001,MATCH(1522,'Email Cleaner'!$I$2:$I$10001,0)),"")</f>
        <v/>
      </c>
    </row>
    <row r="1524">
      <c r="A1524">
        <f>IFERROR(INDEX('Email Cleaner'!$B$2:$B$10001,MATCH(1523,'Email Cleaner'!$I$2:$I$10001,0)),"")</f>
        <v/>
      </c>
    </row>
    <row r="1525">
      <c r="A1525">
        <f>IFERROR(INDEX('Email Cleaner'!$B$2:$B$10001,MATCH(1524,'Email Cleaner'!$I$2:$I$10001,0)),"")</f>
        <v/>
      </c>
    </row>
    <row r="1526">
      <c r="A1526">
        <f>IFERROR(INDEX('Email Cleaner'!$B$2:$B$10001,MATCH(1525,'Email Cleaner'!$I$2:$I$10001,0)),"")</f>
        <v/>
      </c>
    </row>
    <row r="1527">
      <c r="A1527">
        <f>IFERROR(INDEX('Email Cleaner'!$B$2:$B$10001,MATCH(1526,'Email Cleaner'!$I$2:$I$10001,0)),"")</f>
        <v/>
      </c>
    </row>
    <row r="1528">
      <c r="A1528">
        <f>IFERROR(INDEX('Email Cleaner'!$B$2:$B$10001,MATCH(1527,'Email Cleaner'!$I$2:$I$10001,0)),"")</f>
        <v/>
      </c>
    </row>
    <row r="1529">
      <c r="A1529">
        <f>IFERROR(INDEX('Email Cleaner'!$B$2:$B$10001,MATCH(1528,'Email Cleaner'!$I$2:$I$10001,0)),"")</f>
        <v/>
      </c>
    </row>
    <row r="1530">
      <c r="A1530">
        <f>IFERROR(INDEX('Email Cleaner'!$B$2:$B$10001,MATCH(1529,'Email Cleaner'!$I$2:$I$10001,0)),"")</f>
        <v/>
      </c>
    </row>
    <row r="1531">
      <c r="A1531">
        <f>IFERROR(INDEX('Email Cleaner'!$B$2:$B$10001,MATCH(1530,'Email Cleaner'!$I$2:$I$10001,0)),"")</f>
        <v/>
      </c>
    </row>
    <row r="1532">
      <c r="A1532">
        <f>IFERROR(INDEX('Email Cleaner'!$B$2:$B$10001,MATCH(1531,'Email Cleaner'!$I$2:$I$10001,0)),"")</f>
        <v/>
      </c>
    </row>
    <row r="1533">
      <c r="A1533">
        <f>IFERROR(INDEX('Email Cleaner'!$B$2:$B$10001,MATCH(1532,'Email Cleaner'!$I$2:$I$10001,0)),"")</f>
        <v/>
      </c>
    </row>
    <row r="1534">
      <c r="A1534">
        <f>IFERROR(INDEX('Email Cleaner'!$B$2:$B$10001,MATCH(1533,'Email Cleaner'!$I$2:$I$10001,0)),"")</f>
        <v/>
      </c>
    </row>
    <row r="1535">
      <c r="A1535">
        <f>IFERROR(INDEX('Email Cleaner'!$B$2:$B$10001,MATCH(1534,'Email Cleaner'!$I$2:$I$10001,0)),"")</f>
        <v/>
      </c>
    </row>
    <row r="1536">
      <c r="A1536">
        <f>IFERROR(INDEX('Email Cleaner'!$B$2:$B$10001,MATCH(1535,'Email Cleaner'!$I$2:$I$10001,0)),"")</f>
        <v/>
      </c>
    </row>
    <row r="1537">
      <c r="A1537">
        <f>IFERROR(INDEX('Email Cleaner'!$B$2:$B$10001,MATCH(1536,'Email Cleaner'!$I$2:$I$10001,0)),"")</f>
        <v/>
      </c>
    </row>
    <row r="1538">
      <c r="A1538">
        <f>IFERROR(INDEX('Email Cleaner'!$B$2:$B$10001,MATCH(1537,'Email Cleaner'!$I$2:$I$10001,0)),"")</f>
        <v/>
      </c>
    </row>
    <row r="1539">
      <c r="A1539">
        <f>IFERROR(INDEX('Email Cleaner'!$B$2:$B$10001,MATCH(1538,'Email Cleaner'!$I$2:$I$10001,0)),"")</f>
        <v/>
      </c>
    </row>
    <row r="1540">
      <c r="A1540">
        <f>IFERROR(INDEX('Email Cleaner'!$B$2:$B$10001,MATCH(1539,'Email Cleaner'!$I$2:$I$10001,0)),"")</f>
        <v/>
      </c>
    </row>
    <row r="1541">
      <c r="A1541">
        <f>IFERROR(INDEX('Email Cleaner'!$B$2:$B$10001,MATCH(1540,'Email Cleaner'!$I$2:$I$10001,0)),"")</f>
        <v/>
      </c>
    </row>
    <row r="1542">
      <c r="A1542">
        <f>IFERROR(INDEX('Email Cleaner'!$B$2:$B$10001,MATCH(1541,'Email Cleaner'!$I$2:$I$10001,0)),"")</f>
        <v/>
      </c>
    </row>
    <row r="1543">
      <c r="A1543">
        <f>IFERROR(INDEX('Email Cleaner'!$B$2:$B$10001,MATCH(1542,'Email Cleaner'!$I$2:$I$10001,0)),"")</f>
        <v/>
      </c>
    </row>
    <row r="1544">
      <c r="A1544">
        <f>IFERROR(INDEX('Email Cleaner'!$B$2:$B$10001,MATCH(1543,'Email Cleaner'!$I$2:$I$10001,0)),"")</f>
        <v/>
      </c>
    </row>
    <row r="1545">
      <c r="A1545">
        <f>IFERROR(INDEX('Email Cleaner'!$B$2:$B$10001,MATCH(1544,'Email Cleaner'!$I$2:$I$10001,0)),"")</f>
        <v/>
      </c>
    </row>
    <row r="1546">
      <c r="A1546">
        <f>IFERROR(INDEX('Email Cleaner'!$B$2:$B$10001,MATCH(1545,'Email Cleaner'!$I$2:$I$10001,0)),"")</f>
        <v/>
      </c>
    </row>
    <row r="1547">
      <c r="A1547">
        <f>IFERROR(INDEX('Email Cleaner'!$B$2:$B$10001,MATCH(1546,'Email Cleaner'!$I$2:$I$10001,0)),"")</f>
        <v/>
      </c>
    </row>
    <row r="1548">
      <c r="A1548">
        <f>IFERROR(INDEX('Email Cleaner'!$B$2:$B$10001,MATCH(1547,'Email Cleaner'!$I$2:$I$10001,0)),"")</f>
        <v/>
      </c>
    </row>
    <row r="1549">
      <c r="A1549">
        <f>IFERROR(INDEX('Email Cleaner'!$B$2:$B$10001,MATCH(1548,'Email Cleaner'!$I$2:$I$10001,0)),"")</f>
        <v/>
      </c>
    </row>
    <row r="1550">
      <c r="A1550">
        <f>IFERROR(INDEX('Email Cleaner'!$B$2:$B$10001,MATCH(1549,'Email Cleaner'!$I$2:$I$10001,0)),"")</f>
        <v/>
      </c>
    </row>
    <row r="1551">
      <c r="A1551">
        <f>IFERROR(INDEX('Email Cleaner'!$B$2:$B$10001,MATCH(1550,'Email Cleaner'!$I$2:$I$10001,0)),"")</f>
        <v/>
      </c>
    </row>
    <row r="1552">
      <c r="A1552">
        <f>IFERROR(INDEX('Email Cleaner'!$B$2:$B$10001,MATCH(1551,'Email Cleaner'!$I$2:$I$10001,0)),"")</f>
        <v/>
      </c>
    </row>
    <row r="1553">
      <c r="A1553">
        <f>IFERROR(INDEX('Email Cleaner'!$B$2:$B$10001,MATCH(1552,'Email Cleaner'!$I$2:$I$10001,0)),"")</f>
        <v/>
      </c>
    </row>
    <row r="1554">
      <c r="A1554">
        <f>IFERROR(INDEX('Email Cleaner'!$B$2:$B$10001,MATCH(1553,'Email Cleaner'!$I$2:$I$10001,0)),"")</f>
        <v/>
      </c>
    </row>
    <row r="1555">
      <c r="A1555">
        <f>IFERROR(INDEX('Email Cleaner'!$B$2:$B$10001,MATCH(1554,'Email Cleaner'!$I$2:$I$10001,0)),"")</f>
        <v/>
      </c>
    </row>
    <row r="1556">
      <c r="A1556">
        <f>IFERROR(INDEX('Email Cleaner'!$B$2:$B$10001,MATCH(1555,'Email Cleaner'!$I$2:$I$10001,0)),"")</f>
        <v/>
      </c>
    </row>
    <row r="1557">
      <c r="A1557">
        <f>IFERROR(INDEX('Email Cleaner'!$B$2:$B$10001,MATCH(1556,'Email Cleaner'!$I$2:$I$10001,0)),"")</f>
        <v/>
      </c>
    </row>
    <row r="1558">
      <c r="A1558">
        <f>IFERROR(INDEX('Email Cleaner'!$B$2:$B$10001,MATCH(1557,'Email Cleaner'!$I$2:$I$10001,0)),"")</f>
        <v/>
      </c>
    </row>
    <row r="1559">
      <c r="A1559">
        <f>IFERROR(INDEX('Email Cleaner'!$B$2:$B$10001,MATCH(1558,'Email Cleaner'!$I$2:$I$10001,0)),"")</f>
        <v/>
      </c>
    </row>
    <row r="1560">
      <c r="A1560">
        <f>IFERROR(INDEX('Email Cleaner'!$B$2:$B$10001,MATCH(1559,'Email Cleaner'!$I$2:$I$10001,0)),"")</f>
        <v/>
      </c>
    </row>
    <row r="1561">
      <c r="A1561">
        <f>IFERROR(INDEX('Email Cleaner'!$B$2:$B$10001,MATCH(1560,'Email Cleaner'!$I$2:$I$10001,0)),"")</f>
        <v/>
      </c>
    </row>
    <row r="1562">
      <c r="A1562">
        <f>IFERROR(INDEX('Email Cleaner'!$B$2:$B$10001,MATCH(1561,'Email Cleaner'!$I$2:$I$10001,0)),"")</f>
        <v/>
      </c>
    </row>
    <row r="1563">
      <c r="A1563">
        <f>IFERROR(INDEX('Email Cleaner'!$B$2:$B$10001,MATCH(1562,'Email Cleaner'!$I$2:$I$10001,0)),"")</f>
        <v/>
      </c>
    </row>
    <row r="1564">
      <c r="A1564">
        <f>IFERROR(INDEX('Email Cleaner'!$B$2:$B$10001,MATCH(1563,'Email Cleaner'!$I$2:$I$10001,0)),"")</f>
        <v/>
      </c>
    </row>
    <row r="1565">
      <c r="A1565">
        <f>IFERROR(INDEX('Email Cleaner'!$B$2:$B$10001,MATCH(1564,'Email Cleaner'!$I$2:$I$10001,0)),"")</f>
        <v/>
      </c>
    </row>
    <row r="1566">
      <c r="A1566">
        <f>IFERROR(INDEX('Email Cleaner'!$B$2:$B$10001,MATCH(1565,'Email Cleaner'!$I$2:$I$10001,0)),"")</f>
        <v/>
      </c>
    </row>
    <row r="1567">
      <c r="A1567">
        <f>IFERROR(INDEX('Email Cleaner'!$B$2:$B$10001,MATCH(1566,'Email Cleaner'!$I$2:$I$10001,0)),"")</f>
        <v/>
      </c>
    </row>
    <row r="1568">
      <c r="A1568">
        <f>IFERROR(INDEX('Email Cleaner'!$B$2:$B$10001,MATCH(1567,'Email Cleaner'!$I$2:$I$10001,0)),"")</f>
        <v/>
      </c>
    </row>
    <row r="1569">
      <c r="A1569">
        <f>IFERROR(INDEX('Email Cleaner'!$B$2:$B$10001,MATCH(1568,'Email Cleaner'!$I$2:$I$10001,0)),"")</f>
        <v/>
      </c>
    </row>
    <row r="1570">
      <c r="A1570">
        <f>IFERROR(INDEX('Email Cleaner'!$B$2:$B$10001,MATCH(1569,'Email Cleaner'!$I$2:$I$10001,0)),"")</f>
        <v/>
      </c>
    </row>
    <row r="1571">
      <c r="A1571">
        <f>IFERROR(INDEX('Email Cleaner'!$B$2:$B$10001,MATCH(1570,'Email Cleaner'!$I$2:$I$10001,0)),"")</f>
        <v/>
      </c>
    </row>
    <row r="1572">
      <c r="A1572">
        <f>IFERROR(INDEX('Email Cleaner'!$B$2:$B$10001,MATCH(1571,'Email Cleaner'!$I$2:$I$10001,0)),"")</f>
        <v/>
      </c>
    </row>
    <row r="1573">
      <c r="A1573">
        <f>IFERROR(INDEX('Email Cleaner'!$B$2:$B$10001,MATCH(1572,'Email Cleaner'!$I$2:$I$10001,0)),"")</f>
        <v/>
      </c>
    </row>
    <row r="1574">
      <c r="A1574">
        <f>IFERROR(INDEX('Email Cleaner'!$B$2:$B$10001,MATCH(1573,'Email Cleaner'!$I$2:$I$10001,0)),"")</f>
        <v/>
      </c>
    </row>
    <row r="1575">
      <c r="A1575">
        <f>IFERROR(INDEX('Email Cleaner'!$B$2:$B$10001,MATCH(1574,'Email Cleaner'!$I$2:$I$10001,0)),"")</f>
        <v/>
      </c>
    </row>
    <row r="1576">
      <c r="A1576">
        <f>IFERROR(INDEX('Email Cleaner'!$B$2:$B$10001,MATCH(1575,'Email Cleaner'!$I$2:$I$10001,0)),"")</f>
        <v/>
      </c>
    </row>
    <row r="1577">
      <c r="A1577">
        <f>IFERROR(INDEX('Email Cleaner'!$B$2:$B$10001,MATCH(1576,'Email Cleaner'!$I$2:$I$10001,0)),"")</f>
        <v/>
      </c>
    </row>
    <row r="1578">
      <c r="A1578">
        <f>IFERROR(INDEX('Email Cleaner'!$B$2:$B$10001,MATCH(1577,'Email Cleaner'!$I$2:$I$10001,0)),"")</f>
        <v/>
      </c>
    </row>
    <row r="1579">
      <c r="A1579">
        <f>IFERROR(INDEX('Email Cleaner'!$B$2:$B$10001,MATCH(1578,'Email Cleaner'!$I$2:$I$10001,0)),"")</f>
        <v/>
      </c>
    </row>
    <row r="1580">
      <c r="A1580">
        <f>IFERROR(INDEX('Email Cleaner'!$B$2:$B$10001,MATCH(1579,'Email Cleaner'!$I$2:$I$10001,0)),"")</f>
        <v/>
      </c>
    </row>
    <row r="1581">
      <c r="A1581">
        <f>IFERROR(INDEX('Email Cleaner'!$B$2:$B$10001,MATCH(1580,'Email Cleaner'!$I$2:$I$10001,0)),"")</f>
        <v/>
      </c>
    </row>
    <row r="1582">
      <c r="A1582">
        <f>IFERROR(INDEX('Email Cleaner'!$B$2:$B$10001,MATCH(1581,'Email Cleaner'!$I$2:$I$10001,0)),"")</f>
        <v/>
      </c>
    </row>
    <row r="1583">
      <c r="A1583">
        <f>IFERROR(INDEX('Email Cleaner'!$B$2:$B$10001,MATCH(1582,'Email Cleaner'!$I$2:$I$10001,0)),"")</f>
        <v/>
      </c>
    </row>
    <row r="1584">
      <c r="A1584">
        <f>IFERROR(INDEX('Email Cleaner'!$B$2:$B$10001,MATCH(1583,'Email Cleaner'!$I$2:$I$10001,0)),"")</f>
        <v/>
      </c>
    </row>
    <row r="1585">
      <c r="A1585">
        <f>IFERROR(INDEX('Email Cleaner'!$B$2:$B$10001,MATCH(1584,'Email Cleaner'!$I$2:$I$10001,0)),"")</f>
        <v/>
      </c>
    </row>
    <row r="1586">
      <c r="A1586">
        <f>IFERROR(INDEX('Email Cleaner'!$B$2:$B$10001,MATCH(1585,'Email Cleaner'!$I$2:$I$10001,0)),"")</f>
        <v/>
      </c>
    </row>
    <row r="1587">
      <c r="A1587">
        <f>IFERROR(INDEX('Email Cleaner'!$B$2:$B$10001,MATCH(1586,'Email Cleaner'!$I$2:$I$10001,0)),"")</f>
        <v/>
      </c>
    </row>
    <row r="1588">
      <c r="A1588">
        <f>IFERROR(INDEX('Email Cleaner'!$B$2:$B$10001,MATCH(1587,'Email Cleaner'!$I$2:$I$10001,0)),"")</f>
        <v/>
      </c>
    </row>
    <row r="1589">
      <c r="A1589">
        <f>IFERROR(INDEX('Email Cleaner'!$B$2:$B$10001,MATCH(1588,'Email Cleaner'!$I$2:$I$10001,0)),"")</f>
        <v/>
      </c>
    </row>
    <row r="1590">
      <c r="A1590">
        <f>IFERROR(INDEX('Email Cleaner'!$B$2:$B$10001,MATCH(1589,'Email Cleaner'!$I$2:$I$10001,0)),"")</f>
        <v/>
      </c>
    </row>
    <row r="1591">
      <c r="A1591">
        <f>IFERROR(INDEX('Email Cleaner'!$B$2:$B$10001,MATCH(1590,'Email Cleaner'!$I$2:$I$10001,0)),"")</f>
        <v/>
      </c>
    </row>
    <row r="1592">
      <c r="A1592">
        <f>IFERROR(INDEX('Email Cleaner'!$B$2:$B$10001,MATCH(1591,'Email Cleaner'!$I$2:$I$10001,0)),"")</f>
        <v/>
      </c>
    </row>
    <row r="1593">
      <c r="A1593">
        <f>IFERROR(INDEX('Email Cleaner'!$B$2:$B$10001,MATCH(1592,'Email Cleaner'!$I$2:$I$10001,0)),"")</f>
        <v/>
      </c>
    </row>
    <row r="1594">
      <c r="A1594">
        <f>IFERROR(INDEX('Email Cleaner'!$B$2:$B$10001,MATCH(1593,'Email Cleaner'!$I$2:$I$10001,0)),"")</f>
        <v/>
      </c>
    </row>
    <row r="1595">
      <c r="A1595">
        <f>IFERROR(INDEX('Email Cleaner'!$B$2:$B$10001,MATCH(1594,'Email Cleaner'!$I$2:$I$10001,0)),"")</f>
        <v/>
      </c>
    </row>
    <row r="1596">
      <c r="A1596">
        <f>IFERROR(INDEX('Email Cleaner'!$B$2:$B$10001,MATCH(1595,'Email Cleaner'!$I$2:$I$10001,0)),"")</f>
        <v/>
      </c>
    </row>
    <row r="1597">
      <c r="A1597">
        <f>IFERROR(INDEX('Email Cleaner'!$B$2:$B$10001,MATCH(1596,'Email Cleaner'!$I$2:$I$10001,0)),"")</f>
        <v/>
      </c>
    </row>
    <row r="1598">
      <c r="A1598">
        <f>IFERROR(INDEX('Email Cleaner'!$B$2:$B$10001,MATCH(1597,'Email Cleaner'!$I$2:$I$10001,0)),"")</f>
        <v/>
      </c>
    </row>
    <row r="1599">
      <c r="A1599">
        <f>IFERROR(INDEX('Email Cleaner'!$B$2:$B$10001,MATCH(1598,'Email Cleaner'!$I$2:$I$10001,0)),"")</f>
        <v/>
      </c>
    </row>
    <row r="1600">
      <c r="A1600">
        <f>IFERROR(INDEX('Email Cleaner'!$B$2:$B$10001,MATCH(1599,'Email Cleaner'!$I$2:$I$10001,0)),"")</f>
        <v/>
      </c>
    </row>
    <row r="1601">
      <c r="A1601">
        <f>IFERROR(INDEX('Email Cleaner'!$B$2:$B$10001,MATCH(1600,'Email Cleaner'!$I$2:$I$10001,0)),"")</f>
        <v/>
      </c>
    </row>
    <row r="1602">
      <c r="A1602">
        <f>IFERROR(INDEX('Email Cleaner'!$B$2:$B$10001,MATCH(1601,'Email Cleaner'!$I$2:$I$10001,0)),"")</f>
        <v/>
      </c>
    </row>
    <row r="1603">
      <c r="A1603">
        <f>IFERROR(INDEX('Email Cleaner'!$B$2:$B$10001,MATCH(1602,'Email Cleaner'!$I$2:$I$10001,0)),"")</f>
        <v/>
      </c>
    </row>
    <row r="1604">
      <c r="A1604">
        <f>IFERROR(INDEX('Email Cleaner'!$B$2:$B$10001,MATCH(1603,'Email Cleaner'!$I$2:$I$10001,0)),"")</f>
        <v/>
      </c>
    </row>
    <row r="1605">
      <c r="A1605">
        <f>IFERROR(INDEX('Email Cleaner'!$B$2:$B$10001,MATCH(1604,'Email Cleaner'!$I$2:$I$10001,0)),"")</f>
        <v/>
      </c>
    </row>
    <row r="1606">
      <c r="A1606">
        <f>IFERROR(INDEX('Email Cleaner'!$B$2:$B$10001,MATCH(1605,'Email Cleaner'!$I$2:$I$10001,0)),"")</f>
        <v/>
      </c>
    </row>
    <row r="1607">
      <c r="A1607">
        <f>IFERROR(INDEX('Email Cleaner'!$B$2:$B$10001,MATCH(1606,'Email Cleaner'!$I$2:$I$10001,0)),"")</f>
        <v/>
      </c>
    </row>
    <row r="1608">
      <c r="A1608">
        <f>IFERROR(INDEX('Email Cleaner'!$B$2:$B$10001,MATCH(1607,'Email Cleaner'!$I$2:$I$10001,0)),"")</f>
        <v/>
      </c>
    </row>
    <row r="1609">
      <c r="A1609">
        <f>IFERROR(INDEX('Email Cleaner'!$B$2:$B$10001,MATCH(1608,'Email Cleaner'!$I$2:$I$10001,0)),"")</f>
        <v/>
      </c>
    </row>
    <row r="1610">
      <c r="A1610">
        <f>IFERROR(INDEX('Email Cleaner'!$B$2:$B$10001,MATCH(1609,'Email Cleaner'!$I$2:$I$10001,0)),"")</f>
        <v/>
      </c>
    </row>
    <row r="1611">
      <c r="A1611">
        <f>IFERROR(INDEX('Email Cleaner'!$B$2:$B$10001,MATCH(1610,'Email Cleaner'!$I$2:$I$10001,0)),"")</f>
        <v/>
      </c>
    </row>
    <row r="1612">
      <c r="A1612">
        <f>IFERROR(INDEX('Email Cleaner'!$B$2:$B$10001,MATCH(1611,'Email Cleaner'!$I$2:$I$10001,0)),"")</f>
        <v/>
      </c>
    </row>
    <row r="1613">
      <c r="A1613">
        <f>IFERROR(INDEX('Email Cleaner'!$B$2:$B$10001,MATCH(1612,'Email Cleaner'!$I$2:$I$10001,0)),"")</f>
        <v/>
      </c>
    </row>
    <row r="1614">
      <c r="A1614">
        <f>IFERROR(INDEX('Email Cleaner'!$B$2:$B$10001,MATCH(1613,'Email Cleaner'!$I$2:$I$10001,0)),"")</f>
        <v/>
      </c>
    </row>
    <row r="1615">
      <c r="A1615">
        <f>IFERROR(INDEX('Email Cleaner'!$B$2:$B$10001,MATCH(1614,'Email Cleaner'!$I$2:$I$10001,0)),"")</f>
        <v/>
      </c>
    </row>
    <row r="1616">
      <c r="A1616">
        <f>IFERROR(INDEX('Email Cleaner'!$B$2:$B$10001,MATCH(1615,'Email Cleaner'!$I$2:$I$10001,0)),"")</f>
        <v/>
      </c>
    </row>
    <row r="1617">
      <c r="A1617">
        <f>IFERROR(INDEX('Email Cleaner'!$B$2:$B$10001,MATCH(1616,'Email Cleaner'!$I$2:$I$10001,0)),"")</f>
        <v/>
      </c>
    </row>
    <row r="1618">
      <c r="A1618">
        <f>IFERROR(INDEX('Email Cleaner'!$B$2:$B$10001,MATCH(1617,'Email Cleaner'!$I$2:$I$10001,0)),"")</f>
        <v/>
      </c>
    </row>
    <row r="1619">
      <c r="A1619">
        <f>IFERROR(INDEX('Email Cleaner'!$B$2:$B$10001,MATCH(1618,'Email Cleaner'!$I$2:$I$10001,0)),"")</f>
        <v/>
      </c>
    </row>
    <row r="1620">
      <c r="A1620">
        <f>IFERROR(INDEX('Email Cleaner'!$B$2:$B$10001,MATCH(1619,'Email Cleaner'!$I$2:$I$10001,0)),"")</f>
        <v/>
      </c>
    </row>
    <row r="1621">
      <c r="A1621">
        <f>IFERROR(INDEX('Email Cleaner'!$B$2:$B$10001,MATCH(1620,'Email Cleaner'!$I$2:$I$10001,0)),"")</f>
        <v/>
      </c>
    </row>
    <row r="1622">
      <c r="A1622">
        <f>IFERROR(INDEX('Email Cleaner'!$B$2:$B$10001,MATCH(1621,'Email Cleaner'!$I$2:$I$10001,0)),"")</f>
        <v/>
      </c>
    </row>
    <row r="1623">
      <c r="A1623">
        <f>IFERROR(INDEX('Email Cleaner'!$B$2:$B$10001,MATCH(1622,'Email Cleaner'!$I$2:$I$10001,0)),"")</f>
        <v/>
      </c>
    </row>
    <row r="1624">
      <c r="A1624">
        <f>IFERROR(INDEX('Email Cleaner'!$B$2:$B$10001,MATCH(1623,'Email Cleaner'!$I$2:$I$10001,0)),"")</f>
        <v/>
      </c>
    </row>
    <row r="1625">
      <c r="A1625">
        <f>IFERROR(INDEX('Email Cleaner'!$B$2:$B$10001,MATCH(1624,'Email Cleaner'!$I$2:$I$10001,0)),"")</f>
        <v/>
      </c>
    </row>
    <row r="1626">
      <c r="A1626">
        <f>IFERROR(INDEX('Email Cleaner'!$B$2:$B$10001,MATCH(1625,'Email Cleaner'!$I$2:$I$10001,0)),"")</f>
        <v/>
      </c>
    </row>
    <row r="1627">
      <c r="A1627">
        <f>IFERROR(INDEX('Email Cleaner'!$B$2:$B$10001,MATCH(1626,'Email Cleaner'!$I$2:$I$10001,0)),"")</f>
        <v/>
      </c>
    </row>
    <row r="1628">
      <c r="A1628">
        <f>IFERROR(INDEX('Email Cleaner'!$B$2:$B$10001,MATCH(1627,'Email Cleaner'!$I$2:$I$10001,0)),"")</f>
        <v/>
      </c>
    </row>
    <row r="1629">
      <c r="A1629">
        <f>IFERROR(INDEX('Email Cleaner'!$B$2:$B$10001,MATCH(1628,'Email Cleaner'!$I$2:$I$10001,0)),"")</f>
        <v/>
      </c>
    </row>
    <row r="1630">
      <c r="A1630">
        <f>IFERROR(INDEX('Email Cleaner'!$B$2:$B$10001,MATCH(1629,'Email Cleaner'!$I$2:$I$10001,0)),"")</f>
        <v/>
      </c>
    </row>
    <row r="1631">
      <c r="A1631">
        <f>IFERROR(INDEX('Email Cleaner'!$B$2:$B$10001,MATCH(1630,'Email Cleaner'!$I$2:$I$10001,0)),"")</f>
        <v/>
      </c>
    </row>
    <row r="1632">
      <c r="A1632">
        <f>IFERROR(INDEX('Email Cleaner'!$B$2:$B$10001,MATCH(1631,'Email Cleaner'!$I$2:$I$10001,0)),"")</f>
        <v/>
      </c>
    </row>
    <row r="1633">
      <c r="A1633">
        <f>IFERROR(INDEX('Email Cleaner'!$B$2:$B$10001,MATCH(1632,'Email Cleaner'!$I$2:$I$10001,0)),"")</f>
        <v/>
      </c>
    </row>
    <row r="1634">
      <c r="A1634">
        <f>IFERROR(INDEX('Email Cleaner'!$B$2:$B$10001,MATCH(1633,'Email Cleaner'!$I$2:$I$10001,0)),"")</f>
        <v/>
      </c>
    </row>
    <row r="1635">
      <c r="A1635">
        <f>IFERROR(INDEX('Email Cleaner'!$B$2:$B$10001,MATCH(1634,'Email Cleaner'!$I$2:$I$10001,0)),"")</f>
        <v/>
      </c>
    </row>
    <row r="1636">
      <c r="A1636">
        <f>IFERROR(INDEX('Email Cleaner'!$B$2:$B$10001,MATCH(1635,'Email Cleaner'!$I$2:$I$10001,0)),"")</f>
        <v/>
      </c>
    </row>
    <row r="1637">
      <c r="A1637">
        <f>IFERROR(INDEX('Email Cleaner'!$B$2:$B$10001,MATCH(1636,'Email Cleaner'!$I$2:$I$10001,0)),"")</f>
        <v/>
      </c>
    </row>
    <row r="1638">
      <c r="A1638">
        <f>IFERROR(INDEX('Email Cleaner'!$B$2:$B$10001,MATCH(1637,'Email Cleaner'!$I$2:$I$10001,0)),"")</f>
        <v/>
      </c>
    </row>
    <row r="1639">
      <c r="A1639">
        <f>IFERROR(INDEX('Email Cleaner'!$B$2:$B$10001,MATCH(1638,'Email Cleaner'!$I$2:$I$10001,0)),"")</f>
        <v/>
      </c>
    </row>
    <row r="1640">
      <c r="A1640">
        <f>IFERROR(INDEX('Email Cleaner'!$B$2:$B$10001,MATCH(1639,'Email Cleaner'!$I$2:$I$10001,0)),"")</f>
        <v/>
      </c>
    </row>
    <row r="1641">
      <c r="A1641">
        <f>IFERROR(INDEX('Email Cleaner'!$B$2:$B$10001,MATCH(1640,'Email Cleaner'!$I$2:$I$10001,0)),"")</f>
        <v/>
      </c>
    </row>
    <row r="1642">
      <c r="A1642">
        <f>IFERROR(INDEX('Email Cleaner'!$B$2:$B$10001,MATCH(1641,'Email Cleaner'!$I$2:$I$10001,0)),"")</f>
        <v/>
      </c>
    </row>
    <row r="1643">
      <c r="A1643">
        <f>IFERROR(INDEX('Email Cleaner'!$B$2:$B$10001,MATCH(1642,'Email Cleaner'!$I$2:$I$10001,0)),"")</f>
        <v/>
      </c>
    </row>
    <row r="1644">
      <c r="A1644">
        <f>IFERROR(INDEX('Email Cleaner'!$B$2:$B$10001,MATCH(1643,'Email Cleaner'!$I$2:$I$10001,0)),"")</f>
        <v/>
      </c>
    </row>
    <row r="1645">
      <c r="A1645">
        <f>IFERROR(INDEX('Email Cleaner'!$B$2:$B$10001,MATCH(1644,'Email Cleaner'!$I$2:$I$10001,0)),"")</f>
        <v/>
      </c>
    </row>
    <row r="1646">
      <c r="A1646">
        <f>IFERROR(INDEX('Email Cleaner'!$B$2:$B$10001,MATCH(1645,'Email Cleaner'!$I$2:$I$10001,0)),"")</f>
        <v/>
      </c>
    </row>
    <row r="1647">
      <c r="A1647">
        <f>IFERROR(INDEX('Email Cleaner'!$B$2:$B$10001,MATCH(1646,'Email Cleaner'!$I$2:$I$10001,0)),"")</f>
        <v/>
      </c>
    </row>
    <row r="1648">
      <c r="A1648">
        <f>IFERROR(INDEX('Email Cleaner'!$B$2:$B$10001,MATCH(1647,'Email Cleaner'!$I$2:$I$10001,0)),"")</f>
        <v/>
      </c>
    </row>
    <row r="1649">
      <c r="A1649">
        <f>IFERROR(INDEX('Email Cleaner'!$B$2:$B$10001,MATCH(1648,'Email Cleaner'!$I$2:$I$10001,0)),"")</f>
        <v/>
      </c>
    </row>
    <row r="1650">
      <c r="A1650">
        <f>IFERROR(INDEX('Email Cleaner'!$B$2:$B$10001,MATCH(1649,'Email Cleaner'!$I$2:$I$10001,0)),"")</f>
        <v/>
      </c>
    </row>
    <row r="1651">
      <c r="A1651">
        <f>IFERROR(INDEX('Email Cleaner'!$B$2:$B$10001,MATCH(1650,'Email Cleaner'!$I$2:$I$10001,0)),"")</f>
        <v/>
      </c>
    </row>
    <row r="1652">
      <c r="A1652">
        <f>IFERROR(INDEX('Email Cleaner'!$B$2:$B$10001,MATCH(1651,'Email Cleaner'!$I$2:$I$10001,0)),"")</f>
        <v/>
      </c>
    </row>
    <row r="1653">
      <c r="A1653">
        <f>IFERROR(INDEX('Email Cleaner'!$B$2:$B$10001,MATCH(1652,'Email Cleaner'!$I$2:$I$10001,0)),"")</f>
        <v/>
      </c>
    </row>
    <row r="1654">
      <c r="A1654">
        <f>IFERROR(INDEX('Email Cleaner'!$B$2:$B$10001,MATCH(1653,'Email Cleaner'!$I$2:$I$10001,0)),"")</f>
        <v/>
      </c>
    </row>
    <row r="1655">
      <c r="A1655">
        <f>IFERROR(INDEX('Email Cleaner'!$B$2:$B$10001,MATCH(1654,'Email Cleaner'!$I$2:$I$10001,0)),"")</f>
        <v/>
      </c>
    </row>
    <row r="1656">
      <c r="A1656">
        <f>IFERROR(INDEX('Email Cleaner'!$B$2:$B$10001,MATCH(1655,'Email Cleaner'!$I$2:$I$10001,0)),"")</f>
        <v/>
      </c>
    </row>
    <row r="1657">
      <c r="A1657">
        <f>IFERROR(INDEX('Email Cleaner'!$B$2:$B$10001,MATCH(1656,'Email Cleaner'!$I$2:$I$10001,0)),"")</f>
        <v/>
      </c>
    </row>
    <row r="1658">
      <c r="A1658">
        <f>IFERROR(INDEX('Email Cleaner'!$B$2:$B$10001,MATCH(1657,'Email Cleaner'!$I$2:$I$10001,0)),"")</f>
        <v/>
      </c>
    </row>
    <row r="1659">
      <c r="A1659">
        <f>IFERROR(INDEX('Email Cleaner'!$B$2:$B$10001,MATCH(1658,'Email Cleaner'!$I$2:$I$10001,0)),"")</f>
        <v/>
      </c>
    </row>
    <row r="1660">
      <c r="A1660">
        <f>IFERROR(INDEX('Email Cleaner'!$B$2:$B$10001,MATCH(1659,'Email Cleaner'!$I$2:$I$10001,0)),"")</f>
        <v/>
      </c>
    </row>
    <row r="1661">
      <c r="A1661">
        <f>IFERROR(INDEX('Email Cleaner'!$B$2:$B$10001,MATCH(1660,'Email Cleaner'!$I$2:$I$10001,0)),"")</f>
        <v/>
      </c>
    </row>
    <row r="1662">
      <c r="A1662">
        <f>IFERROR(INDEX('Email Cleaner'!$B$2:$B$10001,MATCH(1661,'Email Cleaner'!$I$2:$I$10001,0)),"")</f>
        <v/>
      </c>
    </row>
    <row r="1663">
      <c r="A1663">
        <f>IFERROR(INDEX('Email Cleaner'!$B$2:$B$10001,MATCH(1662,'Email Cleaner'!$I$2:$I$10001,0)),"")</f>
        <v/>
      </c>
    </row>
    <row r="1664">
      <c r="A1664">
        <f>IFERROR(INDEX('Email Cleaner'!$B$2:$B$10001,MATCH(1663,'Email Cleaner'!$I$2:$I$10001,0)),"")</f>
        <v/>
      </c>
    </row>
    <row r="1665">
      <c r="A1665">
        <f>IFERROR(INDEX('Email Cleaner'!$B$2:$B$10001,MATCH(1664,'Email Cleaner'!$I$2:$I$10001,0)),"")</f>
        <v/>
      </c>
    </row>
    <row r="1666">
      <c r="A1666">
        <f>IFERROR(INDEX('Email Cleaner'!$B$2:$B$10001,MATCH(1665,'Email Cleaner'!$I$2:$I$10001,0)),"")</f>
        <v/>
      </c>
    </row>
    <row r="1667">
      <c r="A1667">
        <f>IFERROR(INDEX('Email Cleaner'!$B$2:$B$10001,MATCH(1666,'Email Cleaner'!$I$2:$I$10001,0)),"")</f>
        <v/>
      </c>
    </row>
    <row r="1668">
      <c r="A1668">
        <f>IFERROR(INDEX('Email Cleaner'!$B$2:$B$10001,MATCH(1667,'Email Cleaner'!$I$2:$I$10001,0)),"")</f>
        <v/>
      </c>
    </row>
    <row r="1669">
      <c r="A1669">
        <f>IFERROR(INDEX('Email Cleaner'!$B$2:$B$10001,MATCH(1668,'Email Cleaner'!$I$2:$I$10001,0)),"")</f>
        <v/>
      </c>
    </row>
    <row r="1670">
      <c r="A1670">
        <f>IFERROR(INDEX('Email Cleaner'!$B$2:$B$10001,MATCH(1669,'Email Cleaner'!$I$2:$I$10001,0)),"")</f>
        <v/>
      </c>
    </row>
    <row r="1671">
      <c r="A1671">
        <f>IFERROR(INDEX('Email Cleaner'!$B$2:$B$10001,MATCH(1670,'Email Cleaner'!$I$2:$I$10001,0)),"")</f>
        <v/>
      </c>
    </row>
    <row r="1672">
      <c r="A1672">
        <f>IFERROR(INDEX('Email Cleaner'!$B$2:$B$10001,MATCH(1671,'Email Cleaner'!$I$2:$I$10001,0)),"")</f>
        <v/>
      </c>
    </row>
    <row r="1673">
      <c r="A1673">
        <f>IFERROR(INDEX('Email Cleaner'!$B$2:$B$10001,MATCH(1672,'Email Cleaner'!$I$2:$I$10001,0)),"")</f>
        <v/>
      </c>
    </row>
    <row r="1674">
      <c r="A1674">
        <f>IFERROR(INDEX('Email Cleaner'!$B$2:$B$10001,MATCH(1673,'Email Cleaner'!$I$2:$I$10001,0)),"")</f>
        <v/>
      </c>
    </row>
    <row r="1675">
      <c r="A1675">
        <f>IFERROR(INDEX('Email Cleaner'!$B$2:$B$10001,MATCH(1674,'Email Cleaner'!$I$2:$I$10001,0)),"")</f>
        <v/>
      </c>
    </row>
    <row r="1676">
      <c r="A1676">
        <f>IFERROR(INDEX('Email Cleaner'!$B$2:$B$10001,MATCH(1675,'Email Cleaner'!$I$2:$I$10001,0)),"")</f>
        <v/>
      </c>
    </row>
    <row r="1677">
      <c r="A1677">
        <f>IFERROR(INDEX('Email Cleaner'!$B$2:$B$10001,MATCH(1676,'Email Cleaner'!$I$2:$I$10001,0)),"")</f>
        <v/>
      </c>
    </row>
    <row r="1678">
      <c r="A1678">
        <f>IFERROR(INDEX('Email Cleaner'!$B$2:$B$10001,MATCH(1677,'Email Cleaner'!$I$2:$I$10001,0)),"")</f>
        <v/>
      </c>
    </row>
    <row r="1679">
      <c r="A1679">
        <f>IFERROR(INDEX('Email Cleaner'!$B$2:$B$10001,MATCH(1678,'Email Cleaner'!$I$2:$I$10001,0)),"")</f>
        <v/>
      </c>
    </row>
    <row r="1680">
      <c r="A1680">
        <f>IFERROR(INDEX('Email Cleaner'!$B$2:$B$10001,MATCH(1679,'Email Cleaner'!$I$2:$I$10001,0)),"")</f>
        <v/>
      </c>
    </row>
    <row r="1681">
      <c r="A1681">
        <f>IFERROR(INDEX('Email Cleaner'!$B$2:$B$10001,MATCH(1680,'Email Cleaner'!$I$2:$I$10001,0)),"")</f>
        <v/>
      </c>
    </row>
    <row r="1682">
      <c r="A1682">
        <f>IFERROR(INDEX('Email Cleaner'!$B$2:$B$10001,MATCH(1681,'Email Cleaner'!$I$2:$I$10001,0)),"")</f>
        <v/>
      </c>
    </row>
    <row r="1683">
      <c r="A1683">
        <f>IFERROR(INDEX('Email Cleaner'!$B$2:$B$10001,MATCH(1682,'Email Cleaner'!$I$2:$I$10001,0)),"")</f>
        <v/>
      </c>
    </row>
    <row r="1684">
      <c r="A1684">
        <f>IFERROR(INDEX('Email Cleaner'!$B$2:$B$10001,MATCH(1683,'Email Cleaner'!$I$2:$I$10001,0)),"")</f>
        <v/>
      </c>
    </row>
    <row r="1685">
      <c r="A1685">
        <f>IFERROR(INDEX('Email Cleaner'!$B$2:$B$10001,MATCH(1684,'Email Cleaner'!$I$2:$I$10001,0)),"")</f>
        <v/>
      </c>
    </row>
    <row r="1686">
      <c r="A1686">
        <f>IFERROR(INDEX('Email Cleaner'!$B$2:$B$10001,MATCH(1685,'Email Cleaner'!$I$2:$I$10001,0)),"")</f>
        <v/>
      </c>
    </row>
    <row r="1687">
      <c r="A1687">
        <f>IFERROR(INDEX('Email Cleaner'!$B$2:$B$10001,MATCH(1686,'Email Cleaner'!$I$2:$I$10001,0)),"")</f>
        <v/>
      </c>
    </row>
    <row r="1688">
      <c r="A1688">
        <f>IFERROR(INDEX('Email Cleaner'!$B$2:$B$10001,MATCH(1687,'Email Cleaner'!$I$2:$I$10001,0)),"")</f>
        <v/>
      </c>
    </row>
    <row r="1689">
      <c r="A1689">
        <f>IFERROR(INDEX('Email Cleaner'!$B$2:$B$10001,MATCH(1688,'Email Cleaner'!$I$2:$I$10001,0)),"")</f>
        <v/>
      </c>
    </row>
    <row r="1690">
      <c r="A1690">
        <f>IFERROR(INDEX('Email Cleaner'!$B$2:$B$10001,MATCH(1689,'Email Cleaner'!$I$2:$I$10001,0)),"")</f>
        <v/>
      </c>
    </row>
    <row r="1691">
      <c r="A1691">
        <f>IFERROR(INDEX('Email Cleaner'!$B$2:$B$10001,MATCH(1690,'Email Cleaner'!$I$2:$I$10001,0)),"")</f>
        <v/>
      </c>
    </row>
    <row r="1692">
      <c r="A1692">
        <f>IFERROR(INDEX('Email Cleaner'!$B$2:$B$10001,MATCH(1691,'Email Cleaner'!$I$2:$I$10001,0)),"")</f>
        <v/>
      </c>
    </row>
    <row r="1693">
      <c r="A1693">
        <f>IFERROR(INDEX('Email Cleaner'!$B$2:$B$10001,MATCH(1692,'Email Cleaner'!$I$2:$I$10001,0)),"")</f>
        <v/>
      </c>
    </row>
    <row r="1694">
      <c r="A1694">
        <f>IFERROR(INDEX('Email Cleaner'!$B$2:$B$10001,MATCH(1693,'Email Cleaner'!$I$2:$I$10001,0)),"")</f>
        <v/>
      </c>
    </row>
    <row r="1695">
      <c r="A1695">
        <f>IFERROR(INDEX('Email Cleaner'!$B$2:$B$10001,MATCH(1694,'Email Cleaner'!$I$2:$I$10001,0)),"")</f>
        <v/>
      </c>
    </row>
    <row r="1696">
      <c r="A1696">
        <f>IFERROR(INDEX('Email Cleaner'!$B$2:$B$10001,MATCH(1695,'Email Cleaner'!$I$2:$I$10001,0)),"")</f>
        <v/>
      </c>
    </row>
    <row r="1697">
      <c r="A1697">
        <f>IFERROR(INDEX('Email Cleaner'!$B$2:$B$10001,MATCH(1696,'Email Cleaner'!$I$2:$I$10001,0)),"")</f>
        <v/>
      </c>
    </row>
    <row r="1698">
      <c r="A1698">
        <f>IFERROR(INDEX('Email Cleaner'!$B$2:$B$10001,MATCH(1697,'Email Cleaner'!$I$2:$I$10001,0)),"")</f>
        <v/>
      </c>
    </row>
    <row r="1699">
      <c r="A1699">
        <f>IFERROR(INDEX('Email Cleaner'!$B$2:$B$10001,MATCH(1698,'Email Cleaner'!$I$2:$I$10001,0)),"")</f>
        <v/>
      </c>
    </row>
    <row r="1700">
      <c r="A1700">
        <f>IFERROR(INDEX('Email Cleaner'!$B$2:$B$10001,MATCH(1699,'Email Cleaner'!$I$2:$I$10001,0)),"")</f>
        <v/>
      </c>
    </row>
    <row r="1701">
      <c r="A1701">
        <f>IFERROR(INDEX('Email Cleaner'!$B$2:$B$10001,MATCH(1700,'Email Cleaner'!$I$2:$I$10001,0)),"")</f>
        <v/>
      </c>
    </row>
    <row r="1702">
      <c r="A1702">
        <f>IFERROR(INDEX('Email Cleaner'!$B$2:$B$10001,MATCH(1701,'Email Cleaner'!$I$2:$I$10001,0)),"")</f>
        <v/>
      </c>
    </row>
    <row r="1703">
      <c r="A1703">
        <f>IFERROR(INDEX('Email Cleaner'!$B$2:$B$10001,MATCH(1702,'Email Cleaner'!$I$2:$I$10001,0)),"")</f>
        <v/>
      </c>
    </row>
    <row r="1704">
      <c r="A1704">
        <f>IFERROR(INDEX('Email Cleaner'!$B$2:$B$10001,MATCH(1703,'Email Cleaner'!$I$2:$I$10001,0)),"")</f>
        <v/>
      </c>
    </row>
    <row r="1705">
      <c r="A1705">
        <f>IFERROR(INDEX('Email Cleaner'!$B$2:$B$10001,MATCH(1704,'Email Cleaner'!$I$2:$I$10001,0)),"")</f>
        <v/>
      </c>
    </row>
    <row r="1706">
      <c r="A1706">
        <f>IFERROR(INDEX('Email Cleaner'!$B$2:$B$10001,MATCH(1705,'Email Cleaner'!$I$2:$I$10001,0)),"")</f>
        <v/>
      </c>
    </row>
    <row r="1707">
      <c r="A1707">
        <f>IFERROR(INDEX('Email Cleaner'!$B$2:$B$10001,MATCH(1706,'Email Cleaner'!$I$2:$I$10001,0)),"")</f>
        <v/>
      </c>
    </row>
    <row r="1708">
      <c r="A1708">
        <f>IFERROR(INDEX('Email Cleaner'!$B$2:$B$10001,MATCH(1707,'Email Cleaner'!$I$2:$I$10001,0)),"")</f>
        <v/>
      </c>
    </row>
    <row r="1709">
      <c r="A1709">
        <f>IFERROR(INDEX('Email Cleaner'!$B$2:$B$10001,MATCH(1708,'Email Cleaner'!$I$2:$I$10001,0)),"")</f>
        <v/>
      </c>
    </row>
    <row r="1710">
      <c r="A1710">
        <f>IFERROR(INDEX('Email Cleaner'!$B$2:$B$10001,MATCH(1709,'Email Cleaner'!$I$2:$I$10001,0)),"")</f>
        <v/>
      </c>
    </row>
    <row r="1711">
      <c r="A1711">
        <f>IFERROR(INDEX('Email Cleaner'!$B$2:$B$10001,MATCH(1710,'Email Cleaner'!$I$2:$I$10001,0)),"")</f>
        <v/>
      </c>
    </row>
    <row r="1712">
      <c r="A1712">
        <f>IFERROR(INDEX('Email Cleaner'!$B$2:$B$10001,MATCH(1711,'Email Cleaner'!$I$2:$I$10001,0)),"")</f>
        <v/>
      </c>
    </row>
    <row r="1713">
      <c r="A1713">
        <f>IFERROR(INDEX('Email Cleaner'!$B$2:$B$10001,MATCH(1712,'Email Cleaner'!$I$2:$I$10001,0)),"")</f>
        <v/>
      </c>
    </row>
    <row r="1714">
      <c r="A1714">
        <f>IFERROR(INDEX('Email Cleaner'!$B$2:$B$10001,MATCH(1713,'Email Cleaner'!$I$2:$I$10001,0)),"")</f>
        <v/>
      </c>
    </row>
    <row r="1715">
      <c r="A1715">
        <f>IFERROR(INDEX('Email Cleaner'!$B$2:$B$10001,MATCH(1714,'Email Cleaner'!$I$2:$I$10001,0)),"")</f>
        <v/>
      </c>
    </row>
    <row r="1716">
      <c r="A1716">
        <f>IFERROR(INDEX('Email Cleaner'!$B$2:$B$10001,MATCH(1715,'Email Cleaner'!$I$2:$I$10001,0)),"")</f>
        <v/>
      </c>
    </row>
    <row r="1717">
      <c r="A1717">
        <f>IFERROR(INDEX('Email Cleaner'!$B$2:$B$10001,MATCH(1716,'Email Cleaner'!$I$2:$I$10001,0)),"")</f>
        <v/>
      </c>
    </row>
    <row r="1718">
      <c r="A1718">
        <f>IFERROR(INDEX('Email Cleaner'!$B$2:$B$10001,MATCH(1717,'Email Cleaner'!$I$2:$I$10001,0)),"")</f>
        <v/>
      </c>
    </row>
    <row r="1719">
      <c r="A1719">
        <f>IFERROR(INDEX('Email Cleaner'!$B$2:$B$10001,MATCH(1718,'Email Cleaner'!$I$2:$I$10001,0)),"")</f>
        <v/>
      </c>
    </row>
    <row r="1720">
      <c r="A1720">
        <f>IFERROR(INDEX('Email Cleaner'!$B$2:$B$10001,MATCH(1719,'Email Cleaner'!$I$2:$I$10001,0)),"")</f>
        <v/>
      </c>
    </row>
    <row r="1721">
      <c r="A1721">
        <f>IFERROR(INDEX('Email Cleaner'!$B$2:$B$10001,MATCH(1720,'Email Cleaner'!$I$2:$I$10001,0)),"")</f>
        <v/>
      </c>
    </row>
    <row r="1722">
      <c r="A1722">
        <f>IFERROR(INDEX('Email Cleaner'!$B$2:$B$10001,MATCH(1721,'Email Cleaner'!$I$2:$I$10001,0)),"")</f>
        <v/>
      </c>
    </row>
    <row r="1723">
      <c r="A1723">
        <f>IFERROR(INDEX('Email Cleaner'!$B$2:$B$10001,MATCH(1722,'Email Cleaner'!$I$2:$I$10001,0)),"")</f>
        <v/>
      </c>
    </row>
    <row r="1724">
      <c r="A1724">
        <f>IFERROR(INDEX('Email Cleaner'!$B$2:$B$10001,MATCH(1723,'Email Cleaner'!$I$2:$I$10001,0)),"")</f>
        <v/>
      </c>
    </row>
    <row r="1725">
      <c r="A1725">
        <f>IFERROR(INDEX('Email Cleaner'!$B$2:$B$10001,MATCH(1724,'Email Cleaner'!$I$2:$I$10001,0)),"")</f>
        <v/>
      </c>
    </row>
    <row r="1726">
      <c r="A1726">
        <f>IFERROR(INDEX('Email Cleaner'!$B$2:$B$10001,MATCH(1725,'Email Cleaner'!$I$2:$I$10001,0)),"")</f>
        <v/>
      </c>
    </row>
    <row r="1727">
      <c r="A1727">
        <f>IFERROR(INDEX('Email Cleaner'!$B$2:$B$10001,MATCH(1726,'Email Cleaner'!$I$2:$I$10001,0)),"")</f>
        <v/>
      </c>
    </row>
    <row r="1728">
      <c r="A1728">
        <f>IFERROR(INDEX('Email Cleaner'!$B$2:$B$10001,MATCH(1727,'Email Cleaner'!$I$2:$I$10001,0)),"")</f>
        <v/>
      </c>
    </row>
    <row r="1729">
      <c r="A1729">
        <f>IFERROR(INDEX('Email Cleaner'!$B$2:$B$10001,MATCH(1728,'Email Cleaner'!$I$2:$I$10001,0)),"")</f>
        <v/>
      </c>
    </row>
    <row r="1730">
      <c r="A1730">
        <f>IFERROR(INDEX('Email Cleaner'!$B$2:$B$10001,MATCH(1729,'Email Cleaner'!$I$2:$I$10001,0)),"")</f>
        <v/>
      </c>
    </row>
    <row r="1731">
      <c r="A1731">
        <f>IFERROR(INDEX('Email Cleaner'!$B$2:$B$10001,MATCH(1730,'Email Cleaner'!$I$2:$I$10001,0)),"")</f>
        <v/>
      </c>
    </row>
    <row r="1732">
      <c r="A1732">
        <f>IFERROR(INDEX('Email Cleaner'!$B$2:$B$10001,MATCH(1731,'Email Cleaner'!$I$2:$I$10001,0)),"")</f>
        <v/>
      </c>
    </row>
    <row r="1733">
      <c r="A1733">
        <f>IFERROR(INDEX('Email Cleaner'!$B$2:$B$10001,MATCH(1732,'Email Cleaner'!$I$2:$I$10001,0)),"")</f>
        <v/>
      </c>
    </row>
    <row r="1734">
      <c r="A1734">
        <f>IFERROR(INDEX('Email Cleaner'!$B$2:$B$10001,MATCH(1733,'Email Cleaner'!$I$2:$I$10001,0)),"")</f>
        <v/>
      </c>
    </row>
    <row r="1735">
      <c r="A1735">
        <f>IFERROR(INDEX('Email Cleaner'!$B$2:$B$10001,MATCH(1734,'Email Cleaner'!$I$2:$I$10001,0)),"")</f>
        <v/>
      </c>
    </row>
    <row r="1736">
      <c r="A1736">
        <f>IFERROR(INDEX('Email Cleaner'!$B$2:$B$10001,MATCH(1735,'Email Cleaner'!$I$2:$I$10001,0)),"")</f>
        <v/>
      </c>
    </row>
    <row r="1737">
      <c r="A1737">
        <f>IFERROR(INDEX('Email Cleaner'!$B$2:$B$10001,MATCH(1736,'Email Cleaner'!$I$2:$I$10001,0)),"")</f>
        <v/>
      </c>
    </row>
    <row r="1738">
      <c r="A1738">
        <f>IFERROR(INDEX('Email Cleaner'!$B$2:$B$10001,MATCH(1737,'Email Cleaner'!$I$2:$I$10001,0)),"")</f>
        <v/>
      </c>
    </row>
    <row r="1739">
      <c r="A1739">
        <f>IFERROR(INDEX('Email Cleaner'!$B$2:$B$10001,MATCH(1738,'Email Cleaner'!$I$2:$I$10001,0)),"")</f>
        <v/>
      </c>
    </row>
    <row r="1740">
      <c r="A1740">
        <f>IFERROR(INDEX('Email Cleaner'!$B$2:$B$10001,MATCH(1739,'Email Cleaner'!$I$2:$I$10001,0)),"")</f>
        <v/>
      </c>
    </row>
    <row r="1741">
      <c r="A1741">
        <f>IFERROR(INDEX('Email Cleaner'!$B$2:$B$10001,MATCH(1740,'Email Cleaner'!$I$2:$I$10001,0)),"")</f>
        <v/>
      </c>
    </row>
    <row r="1742">
      <c r="A1742">
        <f>IFERROR(INDEX('Email Cleaner'!$B$2:$B$10001,MATCH(1741,'Email Cleaner'!$I$2:$I$10001,0)),"")</f>
        <v/>
      </c>
    </row>
    <row r="1743">
      <c r="A1743">
        <f>IFERROR(INDEX('Email Cleaner'!$B$2:$B$10001,MATCH(1742,'Email Cleaner'!$I$2:$I$10001,0)),"")</f>
        <v/>
      </c>
    </row>
    <row r="1744">
      <c r="A1744">
        <f>IFERROR(INDEX('Email Cleaner'!$B$2:$B$10001,MATCH(1743,'Email Cleaner'!$I$2:$I$10001,0)),"")</f>
        <v/>
      </c>
    </row>
    <row r="1745">
      <c r="A1745">
        <f>IFERROR(INDEX('Email Cleaner'!$B$2:$B$10001,MATCH(1744,'Email Cleaner'!$I$2:$I$10001,0)),"")</f>
        <v/>
      </c>
    </row>
    <row r="1746">
      <c r="A1746">
        <f>IFERROR(INDEX('Email Cleaner'!$B$2:$B$10001,MATCH(1745,'Email Cleaner'!$I$2:$I$10001,0)),"")</f>
        <v/>
      </c>
    </row>
    <row r="1747">
      <c r="A1747">
        <f>IFERROR(INDEX('Email Cleaner'!$B$2:$B$10001,MATCH(1746,'Email Cleaner'!$I$2:$I$10001,0)),"")</f>
        <v/>
      </c>
    </row>
    <row r="1748">
      <c r="A1748">
        <f>IFERROR(INDEX('Email Cleaner'!$B$2:$B$10001,MATCH(1747,'Email Cleaner'!$I$2:$I$10001,0)),"")</f>
        <v/>
      </c>
    </row>
    <row r="1749">
      <c r="A1749">
        <f>IFERROR(INDEX('Email Cleaner'!$B$2:$B$10001,MATCH(1748,'Email Cleaner'!$I$2:$I$10001,0)),"")</f>
        <v/>
      </c>
    </row>
    <row r="1750">
      <c r="A1750">
        <f>IFERROR(INDEX('Email Cleaner'!$B$2:$B$10001,MATCH(1749,'Email Cleaner'!$I$2:$I$10001,0)),"")</f>
        <v/>
      </c>
    </row>
    <row r="1751">
      <c r="A1751">
        <f>IFERROR(INDEX('Email Cleaner'!$B$2:$B$10001,MATCH(1750,'Email Cleaner'!$I$2:$I$10001,0)),"")</f>
        <v/>
      </c>
    </row>
    <row r="1752">
      <c r="A1752">
        <f>IFERROR(INDEX('Email Cleaner'!$B$2:$B$10001,MATCH(1751,'Email Cleaner'!$I$2:$I$10001,0)),"")</f>
        <v/>
      </c>
    </row>
    <row r="1753">
      <c r="A1753">
        <f>IFERROR(INDEX('Email Cleaner'!$B$2:$B$10001,MATCH(1752,'Email Cleaner'!$I$2:$I$10001,0)),"")</f>
        <v/>
      </c>
    </row>
    <row r="1754">
      <c r="A1754">
        <f>IFERROR(INDEX('Email Cleaner'!$B$2:$B$10001,MATCH(1753,'Email Cleaner'!$I$2:$I$10001,0)),"")</f>
        <v/>
      </c>
    </row>
    <row r="1755">
      <c r="A1755">
        <f>IFERROR(INDEX('Email Cleaner'!$B$2:$B$10001,MATCH(1754,'Email Cleaner'!$I$2:$I$10001,0)),"")</f>
        <v/>
      </c>
    </row>
    <row r="1756">
      <c r="A1756">
        <f>IFERROR(INDEX('Email Cleaner'!$B$2:$B$10001,MATCH(1755,'Email Cleaner'!$I$2:$I$10001,0)),"")</f>
        <v/>
      </c>
    </row>
    <row r="1757">
      <c r="A1757">
        <f>IFERROR(INDEX('Email Cleaner'!$B$2:$B$10001,MATCH(1756,'Email Cleaner'!$I$2:$I$10001,0)),"")</f>
        <v/>
      </c>
    </row>
    <row r="1758">
      <c r="A1758">
        <f>IFERROR(INDEX('Email Cleaner'!$B$2:$B$10001,MATCH(1757,'Email Cleaner'!$I$2:$I$10001,0)),"")</f>
        <v/>
      </c>
    </row>
    <row r="1759">
      <c r="A1759">
        <f>IFERROR(INDEX('Email Cleaner'!$B$2:$B$10001,MATCH(1758,'Email Cleaner'!$I$2:$I$10001,0)),"")</f>
        <v/>
      </c>
    </row>
    <row r="1760">
      <c r="A1760">
        <f>IFERROR(INDEX('Email Cleaner'!$B$2:$B$10001,MATCH(1759,'Email Cleaner'!$I$2:$I$10001,0)),"")</f>
        <v/>
      </c>
    </row>
    <row r="1761">
      <c r="A1761">
        <f>IFERROR(INDEX('Email Cleaner'!$B$2:$B$10001,MATCH(1760,'Email Cleaner'!$I$2:$I$10001,0)),"")</f>
        <v/>
      </c>
    </row>
    <row r="1762">
      <c r="A1762">
        <f>IFERROR(INDEX('Email Cleaner'!$B$2:$B$10001,MATCH(1761,'Email Cleaner'!$I$2:$I$10001,0)),"")</f>
        <v/>
      </c>
    </row>
    <row r="1763">
      <c r="A1763">
        <f>IFERROR(INDEX('Email Cleaner'!$B$2:$B$10001,MATCH(1762,'Email Cleaner'!$I$2:$I$10001,0)),"")</f>
        <v/>
      </c>
    </row>
    <row r="1764">
      <c r="A1764">
        <f>IFERROR(INDEX('Email Cleaner'!$B$2:$B$10001,MATCH(1763,'Email Cleaner'!$I$2:$I$10001,0)),"")</f>
        <v/>
      </c>
    </row>
    <row r="1765">
      <c r="A1765">
        <f>IFERROR(INDEX('Email Cleaner'!$B$2:$B$10001,MATCH(1764,'Email Cleaner'!$I$2:$I$10001,0)),"")</f>
        <v/>
      </c>
    </row>
    <row r="1766">
      <c r="A1766">
        <f>IFERROR(INDEX('Email Cleaner'!$B$2:$B$10001,MATCH(1765,'Email Cleaner'!$I$2:$I$10001,0)),"")</f>
        <v/>
      </c>
    </row>
    <row r="1767">
      <c r="A1767">
        <f>IFERROR(INDEX('Email Cleaner'!$B$2:$B$10001,MATCH(1766,'Email Cleaner'!$I$2:$I$10001,0)),"")</f>
        <v/>
      </c>
    </row>
    <row r="1768">
      <c r="A1768">
        <f>IFERROR(INDEX('Email Cleaner'!$B$2:$B$10001,MATCH(1767,'Email Cleaner'!$I$2:$I$10001,0)),"")</f>
        <v/>
      </c>
    </row>
    <row r="1769">
      <c r="A1769">
        <f>IFERROR(INDEX('Email Cleaner'!$B$2:$B$10001,MATCH(1768,'Email Cleaner'!$I$2:$I$10001,0)),"")</f>
        <v/>
      </c>
    </row>
    <row r="1770">
      <c r="A1770">
        <f>IFERROR(INDEX('Email Cleaner'!$B$2:$B$10001,MATCH(1769,'Email Cleaner'!$I$2:$I$10001,0)),"")</f>
        <v/>
      </c>
    </row>
    <row r="1771">
      <c r="A1771">
        <f>IFERROR(INDEX('Email Cleaner'!$B$2:$B$10001,MATCH(1770,'Email Cleaner'!$I$2:$I$10001,0)),"")</f>
        <v/>
      </c>
    </row>
    <row r="1772">
      <c r="A1772">
        <f>IFERROR(INDEX('Email Cleaner'!$B$2:$B$10001,MATCH(1771,'Email Cleaner'!$I$2:$I$10001,0)),"")</f>
        <v/>
      </c>
    </row>
    <row r="1773">
      <c r="A1773">
        <f>IFERROR(INDEX('Email Cleaner'!$B$2:$B$10001,MATCH(1772,'Email Cleaner'!$I$2:$I$10001,0)),"")</f>
        <v/>
      </c>
    </row>
    <row r="1774">
      <c r="A1774">
        <f>IFERROR(INDEX('Email Cleaner'!$B$2:$B$10001,MATCH(1773,'Email Cleaner'!$I$2:$I$10001,0)),"")</f>
        <v/>
      </c>
    </row>
    <row r="1775">
      <c r="A1775">
        <f>IFERROR(INDEX('Email Cleaner'!$B$2:$B$10001,MATCH(1774,'Email Cleaner'!$I$2:$I$10001,0)),"")</f>
        <v/>
      </c>
    </row>
    <row r="1776">
      <c r="A1776">
        <f>IFERROR(INDEX('Email Cleaner'!$B$2:$B$10001,MATCH(1775,'Email Cleaner'!$I$2:$I$10001,0)),"")</f>
        <v/>
      </c>
    </row>
    <row r="1777">
      <c r="A1777">
        <f>IFERROR(INDEX('Email Cleaner'!$B$2:$B$10001,MATCH(1776,'Email Cleaner'!$I$2:$I$10001,0)),"")</f>
        <v/>
      </c>
    </row>
    <row r="1778">
      <c r="A1778">
        <f>IFERROR(INDEX('Email Cleaner'!$B$2:$B$10001,MATCH(1777,'Email Cleaner'!$I$2:$I$10001,0)),"")</f>
        <v/>
      </c>
    </row>
    <row r="1779">
      <c r="A1779">
        <f>IFERROR(INDEX('Email Cleaner'!$B$2:$B$10001,MATCH(1778,'Email Cleaner'!$I$2:$I$10001,0)),"")</f>
        <v/>
      </c>
    </row>
    <row r="1780">
      <c r="A1780">
        <f>IFERROR(INDEX('Email Cleaner'!$B$2:$B$10001,MATCH(1779,'Email Cleaner'!$I$2:$I$10001,0)),"")</f>
        <v/>
      </c>
    </row>
    <row r="1781">
      <c r="A1781">
        <f>IFERROR(INDEX('Email Cleaner'!$B$2:$B$10001,MATCH(1780,'Email Cleaner'!$I$2:$I$10001,0)),"")</f>
        <v/>
      </c>
    </row>
    <row r="1782">
      <c r="A1782">
        <f>IFERROR(INDEX('Email Cleaner'!$B$2:$B$10001,MATCH(1781,'Email Cleaner'!$I$2:$I$10001,0)),"")</f>
        <v/>
      </c>
    </row>
    <row r="1783">
      <c r="A1783">
        <f>IFERROR(INDEX('Email Cleaner'!$B$2:$B$10001,MATCH(1782,'Email Cleaner'!$I$2:$I$10001,0)),"")</f>
        <v/>
      </c>
    </row>
    <row r="1784">
      <c r="A1784">
        <f>IFERROR(INDEX('Email Cleaner'!$B$2:$B$10001,MATCH(1783,'Email Cleaner'!$I$2:$I$10001,0)),"")</f>
        <v/>
      </c>
    </row>
    <row r="1785">
      <c r="A1785">
        <f>IFERROR(INDEX('Email Cleaner'!$B$2:$B$10001,MATCH(1784,'Email Cleaner'!$I$2:$I$10001,0)),"")</f>
        <v/>
      </c>
    </row>
    <row r="1786">
      <c r="A1786">
        <f>IFERROR(INDEX('Email Cleaner'!$B$2:$B$10001,MATCH(1785,'Email Cleaner'!$I$2:$I$10001,0)),"")</f>
        <v/>
      </c>
    </row>
    <row r="1787">
      <c r="A1787">
        <f>IFERROR(INDEX('Email Cleaner'!$B$2:$B$10001,MATCH(1786,'Email Cleaner'!$I$2:$I$10001,0)),"")</f>
        <v/>
      </c>
    </row>
    <row r="1788">
      <c r="A1788">
        <f>IFERROR(INDEX('Email Cleaner'!$B$2:$B$10001,MATCH(1787,'Email Cleaner'!$I$2:$I$10001,0)),"")</f>
        <v/>
      </c>
    </row>
    <row r="1789">
      <c r="A1789">
        <f>IFERROR(INDEX('Email Cleaner'!$B$2:$B$10001,MATCH(1788,'Email Cleaner'!$I$2:$I$10001,0)),"")</f>
        <v/>
      </c>
    </row>
    <row r="1790">
      <c r="A1790">
        <f>IFERROR(INDEX('Email Cleaner'!$B$2:$B$10001,MATCH(1789,'Email Cleaner'!$I$2:$I$10001,0)),"")</f>
        <v/>
      </c>
    </row>
    <row r="1791">
      <c r="A1791">
        <f>IFERROR(INDEX('Email Cleaner'!$B$2:$B$10001,MATCH(1790,'Email Cleaner'!$I$2:$I$10001,0)),"")</f>
        <v/>
      </c>
    </row>
    <row r="1792">
      <c r="A1792">
        <f>IFERROR(INDEX('Email Cleaner'!$B$2:$B$10001,MATCH(1791,'Email Cleaner'!$I$2:$I$10001,0)),"")</f>
        <v/>
      </c>
    </row>
    <row r="1793">
      <c r="A1793">
        <f>IFERROR(INDEX('Email Cleaner'!$B$2:$B$10001,MATCH(1792,'Email Cleaner'!$I$2:$I$10001,0)),"")</f>
        <v/>
      </c>
    </row>
    <row r="1794">
      <c r="A1794">
        <f>IFERROR(INDEX('Email Cleaner'!$B$2:$B$10001,MATCH(1793,'Email Cleaner'!$I$2:$I$10001,0)),"")</f>
        <v/>
      </c>
    </row>
    <row r="1795">
      <c r="A1795">
        <f>IFERROR(INDEX('Email Cleaner'!$B$2:$B$10001,MATCH(1794,'Email Cleaner'!$I$2:$I$10001,0)),"")</f>
        <v/>
      </c>
    </row>
    <row r="1796">
      <c r="A1796">
        <f>IFERROR(INDEX('Email Cleaner'!$B$2:$B$10001,MATCH(1795,'Email Cleaner'!$I$2:$I$10001,0)),"")</f>
        <v/>
      </c>
    </row>
    <row r="1797">
      <c r="A1797">
        <f>IFERROR(INDEX('Email Cleaner'!$B$2:$B$10001,MATCH(1796,'Email Cleaner'!$I$2:$I$10001,0)),"")</f>
        <v/>
      </c>
    </row>
    <row r="1798">
      <c r="A1798">
        <f>IFERROR(INDEX('Email Cleaner'!$B$2:$B$10001,MATCH(1797,'Email Cleaner'!$I$2:$I$10001,0)),"")</f>
        <v/>
      </c>
    </row>
    <row r="1799">
      <c r="A1799">
        <f>IFERROR(INDEX('Email Cleaner'!$B$2:$B$10001,MATCH(1798,'Email Cleaner'!$I$2:$I$10001,0)),"")</f>
        <v/>
      </c>
    </row>
    <row r="1800">
      <c r="A1800">
        <f>IFERROR(INDEX('Email Cleaner'!$B$2:$B$10001,MATCH(1799,'Email Cleaner'!$I$2:$I$10001,0)),"")</f>
        <v/>
      </c>
    </row>
    <row r="1801">
      <c r="A1801">
        <f>IFERROR(INDEX('Email Cleaner'!$B$2:$B$10001,MATCH(1800,'Email Cleaner'!$I$2:$I$10001,0)),"")</f>
        <v/>
      </c>
    </row>
    <row r="1802">
      <c r="A1802">
        <f>IFERROR(INDEX('Email Cleaner'!$B$2:$B$10001,MATCH(1801,'Email Cleaner'!$I$2:$I$10001,0)),"")</f>
        <v/>
      </c>
    </row>
    <row r="1803">
      <c r="A1803">
        <f>IFERROR(INDEX('Email Cleaner'!$B$2:$B$10001,MATCH(1802,'Email Cleaner'!$I$2:$I$10001,0)),"")</f>
        <v/>
      </c>
    </row>
    <row r="1804">
      <c r="A1804">
        <f>IFERROR(INDEX('Email Cleaner'!$B$2:$B$10001,MATCH(1803,'Email Cleaner'!$I$2:$I$10001,0)),"")</f>
        <v/>
      </c>
    </row>
    <row r="1805">
      <c r="A1805">
        <f>IFERROR(INDEX('Email Cleaner'!$B$2:$B$10001,MATCH(1804,'Email Cleaner'!$I$2:$I$10001,0)),"")</f>
        <v/>
      </c>
    </row>
    <row r="1806">
      <c r="A1806">
        <f>IFERROR(INDEX('Email Cleaner'!$B$2:$B$10001,MATCH(1805,'Email Cleaner'!$I$2:$I$10001,0)),"")</f>
        <v/>
      </c>
    </row>
    <row r="1807">
      <c r="A1807">
        <f>IFERROR(INDEX('Email Cleaner'!$B$2:$B$10001,MATCH(1806,'Email Cleaner'!$I$2:$I$10001,0)),"")</f>
        <v/>
      </c>
    </row>
    <row r="1808">
      <c r="A1808">
        <f>IFERROR(INDEX('Email Cleaner'!$B$2:$B$10001,MATCH(1807,'Email Cleaner'!$I$2:$I$10001,0)),"")</f>
        <v/>
      </c>
    </row>
    <row r="1809">
      <c r="A1809">
        <f>IFERROR(INDEX('Email Cleaner'!$B$2:$B$10001,MATCH(1808,'Email Cleaner'!$I$2:$I$10001,0)),"")</f>
        <v/>
      </c>
    </row>
    <row r="1810">
      <c r="A1810">
        <f>IFERROR(INDEX('Email Cleaner'!$B$2:$B$10001,MATCH(1809,'Email Cleaner'!$I$2:$I$10001,0)),"")</f>
        <v/>
      </c>
    </row>
    <row r="1811">
      <c r="A1811">
        <f>IFERROR(INDEX('Email Cleaner'!$B$2:$B$10001,MATCH(1810,'Email Cleaner'!$I$2:$I$10001,0)),"")</f>
        <v/>
      </c>
    </row>
    <row r="1812">
      <c r="A1812">
        <f>IFERROR(INDEX('Email Cleaner'!$B$2:$B$10001,MATCH(1811,'Email Cleaner'!$I$2:$I$10001,0)),"")</f>
        <v/>
      </c>
    </row>
    <row r="1813">
      <c r="A1813">
        <f>IFERROR(INDEX('Email Cleaner'!$B$2:$B$10001,MATCH(1812,'Email Cleaner'!$I$2:$I$10001,0)),"")</f>
        <v/>
      </c>
    </row>
    <row r="1814">
      <c r="A1814">
        <f>IFERROR(INDEX('Email Cleaner'!$B$2:$B$10001,MATCH(1813,'Email Cleaner'!$I$2:$I$10001,0)),"")</f>
        <v/>
      </c>
    </row>
    <row r="1815">
      <c r="A1815">
        <f>IFERROR(INDEX('Email Cleaner'!$B$2:$B$10001,MATCH(1814,'Email Cleaner'!$I$2:$I$10001,0)),"")</f>
        <v/>
      </c>
    </row>
    <row r="1816">
      <c r="A1816">
        <f>IFERROR(INDEX('Email Cleaner'!$B$2:$B$10001,MATCH(1815,'Email Cleaner'!$I$2:$I$10001,0)),"")</f>
        <v/>
      </c>
    </row>
    <row r="1817">
      <c r="A1817">
        <f>IFERROR(INDEX('Email Cleaner'!$B$2:$B$10001,MATCH(1816,'Email Cleaner'!$I$2:$I$10001,0)),"")</f>
        <v/>
      </c>
    </row>
    <row r="1818">
      <c r="A1818">
        <f>IFERROR(INDEX('Email Cleaner'!$B$2:$B$10001,MATCH(1817,'Email Cleaner'!$I$2:$I$10001,0)),"")</f>
        <v/>
      </c>
    </row>
    <row r="1819">
      <c r="A1819">
        <f>IFERROR(INDEX('Email Cleaner'!$B$2:$B$10001,MATCH(1818,'Email Cleaner'!$I$2:$I$10001,0)),"")</f>
        <v/>
      </c>
    </row>
    <row r="1820">
      <c r="A1820">
        <f>IFERROR(INDEX('Email Cleaner'!$B$2:$B$10001,MATCH(1819,'Email Cleaner'!$I$2:$I$10001,0)),"")</f>
        <v/>
      </c>
    </row>
    <row r="1821">
      <c r="A1821">
        <f>IFERROR(INDEX('Email Cleaner'!$B$2:$B$10001,MATCH(1820,'Email Cleaner'!$I$2:$I$10001,0)),"")</f>
        <v/>
      </c>
    </row>
    <row r="1822">
      <c r="A1822">
        <f>IFERROR(INDEX('Email Cleaner'!$B$2:$B$10001,MATCH(1821,'Email Cleaner'!$I$2:$I$10001,0)),"")</f>
        <v/>
      </c>
    </row>
    <row r="1823">
      <c r="A1823">
        <f>IFERROR(INDEX('Email Cleaner'!$B$2:$B$10001,MATCH(1822,'Email Cleaner'!$I$2:$I$10001,0)),"")</f>
        <v/>
      </c>
    </row>
    <row r="1824">
      <c r="A1824">
        <f>IFERROR(INDEX('Email Cleaner'!$B$2:$B$10001,MATCH(1823,'Email Cleaner'!$I$2:$I$10001,0)),"")</f>
        <v/>
      </c>
    </row>
    <row r="1825">
      <c r="A1825">
        <f>IFERROR(INDEX('Email Cleaner'!$B$2:$B$10001,MATCH(1824,'Email Cleaner'!$I$2:$I$10001,0)),"")</f>
        <v/>
      </c>
    </row>
    <row r="1826">
      <c r="A1826">
        <f>IFERROR(INDEX('Email Cleaner'!$B$2:$B$10001,MATCH(1825,'Email Cleaner'!$I$2:$I$10001,0)),"")</f>
        <v/>
      </c>
    </row>
    <row r="1827">
      <c r="A1827">
        <f>IFERROR(INDEX('Email Cleaner'!$B$2:$B$10001,MATCH(1826,'Email Cleaner'!$I$2:$I$10001,0)),"")</f>
        <v/>
      </c>
    </row>
    <row r="1828">
      <c r="A1828">
        <f>IFERROR(INDEX('Email Cleaner'!$B$2:$B$10001,MATCH(1827,'Email Cleaner'!$I$2:$I$10001,0)),"")</f>
        <v/>
      </c>
    </row>
    <row r="1829">
      <c r="A1829">
        <f>IFERROR(INDEX('Email Cleaner'!$B$2:$B$10001,MATCH(1828,'Email Cleaner'!$I$2:$I$10001,0)),"")</f>
        <v/>
      </c>
    </row>
    <row r="1830">
      <c r="A1830">
        <f>IFERROR(INDEX('Email Cleaner'!$B$2:$B$10001,MATCH(1829,'Email Cleaner'!$I$2:$I$10001,0)),"")</f>
        <v/>
      </c>
    </row>
    <row r="1831">
      <c r="A1831">
        <f>IFERROR(INDEX('Email Cleaner'!$B$2:$B$10001,MATCH(1830,'Email Cleaner'!$I$2:$I$10001,0)),"")</f>
        <v/>
      </c>
    </row>
    <row r="1832">
      <c r="A1832">
        <f>IFERROR(INDEX('Email Cleaner'!$B$2:$B$10001,MATCH(1831,'Email Cleaner'!$I$2:$I$10001,0)),"")</f>
        <v/>
      </c>
    </row>
    <row r="1833">
      <c r="A1833">
        <f>IFERROR(INDEX('Email Cleaner'!$B$2:$B$10001,MATCH(1832,'Email Cleaner'!$I$2:$I$10001,0)),"")</f>
        <v/>
      </c>
    </row>
    <row r="1834">
      <c r="A1834">
        <f>IFERROR(INDEX('Email Cleaner'!$B$2:$B$10001,MATCH(1833,'Email Cleaner'!$I$2:$I$10001,0)),"")</f>
        <v/>
      </c>
    </row>
    <row r="1835">
      <c r="A1835">
        <f>IFERROR(INDEX('Email Cleaner'!$B$2:$B$10001,MATCH(1834,'Email Cleaner'!$I$2:$I$10001,0)),"")</f>
        <v/>
      </c>
    </row>
    <row r="1836">
      <c r="A1836">
        <f>IFERROR(INDEX('Email Cleaner'!$B$2:$B$10001,MATCH(1835,'Email Cleaner'!$I$2:$I$10001,0)),"")</f>
        <v/>
      </c>
    </row>
    <row r="1837">
      <c r="A1837">
        <f>IFERROR(INDEX('Email Cleaner'!$B$2:$B$10001,MATCH(1836,'Email Cleaner'!$I$2:$I$10001,0)),"")</f>
        <v/>
      </c>
    </row>
    <row r="1838">
      <c r="A1838">
        <f>IFERROR(INDEX('Email Cleaner'!$B$2:$B$10001,MATCH(1837,'Email Cleaner'!$I$2:$I$10001,0)),"")</f>
        <v/>
      </c>
    </row>
    <row r="1839">
      <c r="A1839">
        <f>IFERROR(INDEX('Email Cleaner'!$B$2:$B$10001,MATCH(1838,'Email Cleaner'!$I$2:$I$10001,0)),"")</f>
        <v/>
      </c>
    </row>
    <row r="1840">
      <c r="A1840">
        <f>IFERROR(INDEX('Email Cleaner'!$B$2:$B$10001,MATCH(1839,'Email Cleaner'!$I$2:$I$10001,0)),"")</f>
        <v/>
      </c>
    </row>
    <row r="1841">
      <c r="A1841">
        <f>IFERROR(INDEX('Email Cleaner'!$B$2:$B$10001,MATCH(1840,'Email Cleaner'!$I$2:$I$10001,0)),"")</f>
        <v/>
      </c>
    </row>
    <row r="1842">
      <c r="A1842">
        <f>IFERROR(INDEX('Email Cleaner'!$B$2:$B$10001,MATCH(1841,'Email Cleaner'!$I$2:$I$10001,0)),"")</f>
        <v/>
      </c>
    </row>
    <row r="1843">
      <c r="A1843">
        <f>IFERROR(INDEX('Email Cleaner'!$B$2:$B$10001,MATCH(1842,'Email Cleaner'!$I$2:$I$10001,0)),"")</f>
        <v/>
      </c>
    </row>
    <row r="1844">
      <c r="A1844">
        <f>IFERROR(INDEX('Email Cleaner'!$B$2:$B$10001,MATCH(1843,'Email Cleaner'!$I$2:$I$10001,0)),"")</f>
        <v/>
      </c>
    </row>
    <row r="1845">
      <c r="A1845">
        <f>IFERROR(INDEX('Email Cleaner'!$B$2:$B$10001,MATCH(1844,'Email Cleaner'!$I$2:$I$10001,0)),"")</f>
        <v/>
      </c>
    </row>
    <row r="1846">
      <c r="A1846">
        <f>IFERROR(INDEX('Email Cleaner'!$B$2:$B$10001,MATCH(1845,'Email Cleaner'!$I$2:$I$10001,0)),"")</f>
        <v/>
      </c>
    </row>
    <row r="1847">
      <c r="A1847">
        <f>IFERROR(INDEX('Email Cleaner'!$B$2:$B$10001,MATCH(1846,'Email Cleaner'!$I$2:$I$10001,0)),"")</f>
        <v/>
      </c>
    </row>
    <row r="1848">
      <c r="A1848">
        <f>IFERROR(INDEX('Email Cleaner'!$B$2:$B$10001,MATCH(1847,'Email Cleaner'!$I$2:$I$10001,0)),"")</f>
        <v/>
      </c>
    </row>
    <row r="1849">
      <c r="A1849">
        <f>IFERROR(INDEX('Email Cleaner'!$B$2:$B$10001,MATCH(1848,'Email Cleaner'!$I$2:$I$10001,0)),"")</f>
        <v/>
      </c>
    </row>
    <row r="1850">
      <c r="A1850">
        <f>IFERROR(INDEX('Email Cleaner'!$B$2:$B$10001,MATCH(1849,'Email Cleaner'!$I$2:$I$10001,0)),"")</f>
        <v/>
      </c>
    </row>
    <row r="1851">
      <c r="A1851">
        <f>IFERROR(INDEX('Email Cleaner'!$B$2:$B$10001,MATCH(1850,'Email Cleaner'!$I$2:$I$10001,0)),"")</f>
        <v/>
      </c>
    </row>
    <row r="1852">
      <c r="A1852">
        <f>IFERROR(INDEX('Email Cleaner'!$B$2:$B$10001,MATCH(1851,'Email Cleaner'!$I$2:$I$10001,0)),"")</f>
        <v/>
      </c>
    </row>
    <row r="1853">
      <c r="A1853">
        <f>IFERROR(INDEX('Email Cleaner'!$B$2:$B$10001,MATCH(1852,'Email Cleaner'!$I$2:$I$10001,0)),"")</f>
        <v/>
      </c>
    </row>
    <row r="1854">
      <c r="A1854">
        <f>IFERROR(INDEX('Email Cleaner'!$B$2:$B$10001,MATCH(1853,'Email Cleaner'!$I$2:$I$10001,0)),"")</f>
        <v/>
      </c>
    </row>
    <row r="1855">
      <c r="A1855">
        <f>IFERROR(INDEX('Email Cleaner'!$B$2:$B$10001,MATCH(1854,'Email Cleaner'!$I$2:$I$10001,0)),"")</f>
        <v/>
      </c>
    </row>
    <row r="1856">
      <c r="A1856">
        <f>IFERROR(INDEX('Email Cleaner'!$B$2:$B$10001,MATCH(1855,'Email Cleaner'!$I$2:$I$10001,0)),"")</f>
        <v/>
      </c>
    </row>
    <row r="1857">
      <c r="A1857">
        <f>IFERROR(INDEX('Email Cleaner'!$B$2:$B$10001,MATCH(1856,'Email Cleaner'!$I$2:$I$10001,0)),"")</f>
        <v/>
      </c>
    </row>
    <row r="1858">
      <c r="A1858">
        <f>IFERROR(INDEX('Email Cleaner'!$B$2:$B$10001,MATCH(1857,'Email Cleaner'!$I$2:$I$10001,0)),"")</f>
        <v/>
      </c>
    </row>
    <row r="1859">
      <c r="A1859">
        <f>IFERROR(INDEX('Email Cleaner'!$B$2:$B$10001,MATCH(1858,'Email Cleaner'!$I$2:$I$10001,0)),"")</f>
        <v/>
      </c>
    </row>
    <row r="1860">
      <c r="A1860">
        <f>IFERROR(INDEX('Email Cleaner'!$B$2:$B$10001,MATCH(1859,'Email Cleaner'!$I$2:$I$10001,0)),"")</f>
        <v/>
      </c>
    </row>
    <row r="1861">
      <c r="A1861">
        <f>IFERROR(INDEX('Email Cleaner'!$B$2:$B$10001,MATCH(1860,'Email Cleaner'!$I$2:$I$10001,0)),"")</f>
        <v/>
      </c>
    </row>
    <row r="1862">
      <c r="A1862">
        <f>IFERROR(INDEX('Email Cleaner'!$B$2:$B$10001,MATCH(1861,'Email Cleaner'!$I$2:$I$10001,0)),"")</f>
        <v/>
      </c>
    </row>
    <row r="1863">
      <c r="A1863">
        <f>IFERROR(INDEX('Email Cleaner'!$B$2:$B$10001,MATCH(1862,'Email Cleaner'!$I$2:$I$10001,0)),"")</f>
        <v/>
      </c>
    </row>
    <row r="1864">
      <c r="A1864">
        <f>IFERROR(INDEX('Email Cleaner'!$B$2:$B$10001,MATCH(1863,'Email Cleaner'!$I$2:$I$10001,0)),"")</f>
        <v/>
      </c>
    </row>
    <row r="1865">
      <c r="A1865">
        <f>IFERROR(INDEX('Email Cleaner'!$B$2:$B$10001,MATCH(1864,'Email Cleaner'!$I$2:$I$10001,0)),"")</f>
        <v/>
      </c>
    </row>
    <row r="1866">
      <c r="A1866">
        <f>IFERROR(INDEX('Email Cleaner'!$B$2:$B$10001,MATCH(1865,'Email Cleaner'!$I$2:$I$10001,0)),"")</f>
        <v/>
      </c>
    </row>
    <row r="1867">
      <c r="A1867">
        <f>IFERROR(INDEX('Email Cleaner'!$B$2:$B$10001,MATCH(1866,'Email Cleaner'!$I$2:$I$10001,0)),"")</f>
        <v/>
      </c>
    </row>
    <row r="1868">
      <c r="A1868">
        <f>IFERROR(INDEX('Email Cleaner'!$B$2:$B$10001,MATCH(1867,'Email Cleaner'!$I$2:$I$10001,0)),"")</f>
        <v/>
      </c>
    </row>
    <row r="1869">
      <c r="A1869">
        <f>IFERROR(INDEX('Email Cleaner'!$B$2:$B$10001,MATCH(1868,'Email Cleaner'!$I$2:$I$10001,0)),"")</f>
        <v/>
      </c>
    </row>
    <row r="1870">
      <c r="A1870">
        <f>IFERROR(INDEX('Email Cleaner'!$B$2:$B$10001,MATCH(1869,'Email Cleaner'!$I$2:$I$10001,0)),"")</f>
        <v/>
      </c>
    </row>
    <row r="1871">
      <c r="A1871">
        <f>IFERROR(INDEX('Email Cleaner'!$B$2:$B$10001,MATCH(1870,'Email Cleaner'!$I$2:$I$10001,0)),"")</f>
        <v/>
      </c>
    </row>
    <row r="1872">
      <c r="A1872">
        <f>IFERROR(INDEX('Email Cleaner'!$B$2:$B$10001,MATCH(1871,'Email Cleaner'!$I$2:$I$10001,0)),"")</f>
        <v/>
      </c>
    </row>
    <row r="1873">
      <c r="A1873">
        <f>IFERROR(INDEX('Email Cleaner'!$B$2:$B$10001,MATCH(1872,'Email Cleaner'!$I$2:$I$10001,0)),"")</f>
        <v/>
      </c>
    </row>
    <row r="1874">
      <c r="A1874">
        <f>IFERROR(INDEX('Email Cleaner'!$B$2:$B$10001,MATCH(1873,'Email Cleaner'!$I$2:$I$10001,0)),"")</f>
        <v/>
      </c>
    </row>
    <row r="1875">
      <c r="A1875">
        <f>IFERROR(INDEX('Email Cleaner'!$B$2:$B$10001,MATCH(1874,'Email Cleaner'!$I$2:$I$10001,0)),"")</f>
        <v/>
      </c>
    </row>
    <row r="1876">
      <c r="A1876">
        <f>IFERROR(INDEX('Email Cleaner'!$B$2:$B$10001,MATCH(1875,'Email Cleaner'!$I$2:$I$10001,0)),"")</f>
        <v/>
      </c>
    </row>
    <row r="1877">
      <c r="A1877">
        <f>IFERROR(INDEX('Email Cleaner'!$B$2:$B$10001,MATCH(1876,'Email Cleaner'!$I$2:$I$10001,0)),"")</f>
        <v/>
      </c>
    </row>
    <row r="1878">
      <c r="A1878">
        <f>IFERROR(INDEX('Email Cleaner'!$B$2:$B$10001,MATCH(1877,'Email Cleaner'!$I$2:$I$10001,0)),"")</f>
        <v/>
      </c>
    </row>
    <row r="1879">
      <c r="A1879">
        <f>IFERROR(INDEX('Email Cleaner'!$B$2:$B$10001,MATCH(1878,'Email Cleaner'!$I$2:$I$10001,0)),"")</f>
        <v/>
      </c>
    </row>
    <row r="1880">
      <c r="A1880">
        <f>IFERROR(INDEX('Email Cleaner'!$B$2:$B$10001,MATCH(1879,'Email Cleaner'!$I$2:$I$10001,0)),"")</f>
        <v/>
      </c>
    </row>
    <row r="1881">
      <c r="A1881">
        <f>IFERROR(INDEX('Email Cleaner'!$B$2:$B$10001,MATCH(1880,'Email Cleaner'!$I$2:$I$10001,0)),"")</f>
        <v/>
      </c>
    </row>
    <row r="1882">
      <c r="A1882">
        <f>IFERROR(INDEX('Email Cleaner'!$B$2:$B$10001,MATCH(1881,'Email Cleaner'!$I$2:$I$10001,0)),"")</f>
        <v/>
      </c>
    </row>
    <row r="1883">
      <c r="A1883">
        <f>IFERROR(INDEX('Email Cleaner'!$B$2:$B$10001,MATCH(1882,'Email Cleaner'!$I$2:$I$10001,0)),"")</f>
        <v/>
      </c>
    </row>
    <row r="1884">
      <c r="A1884">
        <f>IFERROR(INDEX('Email Cleaner'!$B$2:$B$10001,MATCH(1883,'Email Cleaner'!$I$2:$I$10001,0)),"")</f>
        <v/>
      </c>
    </row>
    <row r="1885">
      <c r="A1885">
        <f>IFERROR(INDEX('Email Cleaner'!$B$2:$B$10001,MATCH(1884,'Email Cleaner'!$I$2:$I$10001,0)),"")</f>
        <v/>
      </c>
    </row>
    <row r="1886">
      <c r="A1886">
        <f>IFERROR(INDEX('Email Cleaner'!$B$2:$B$10001,MATCH(1885,'Email Cleaner'!$I$2:$I$10001,0)),"")</f>
        <v/>
      </c>
    </row>
    <row r="1887">
      <c r="A1887">
        <f>IFERROR(INDEX('Email Cleaner'!$B$2:$B$10001,MATCH(1886,'Email Cleaner'!$I$2:$I$10001,0)),"")</f>
        <v/>
      </c>
    </row>
    <row r="1888">
      <c r="A1888">
        <f>IFERROR(INDEX('Email Cleaner'!$B$2:$B$10001,MATCH(1887,'Email Cleaner'!$I$2:$I$10001,0)),"")</f>
        <v/>
      </c>
    </row>
    <row r="1889">
      <c r="A1889">
        <f>IFERROR(INDEX('Email Cleaner'!$B$2:$B$10001,MATCH(1888,'Email Cleaner'!$I$2:$I$10001,0)),"")</f>
        <v/>
      </c>
    </row>
    <row r="1890">
      <c r="A1890">
        <f>IFERROR(INDEX('Email Cleaner'!$B$2:$B$10001,MATCH(1889,'Email Cleaner'!$I$2:$I$10001,0)),"")</f>
        <v/>
      </c>
    </row>
    <row r="1891">
      <c r="A1891">
        <f>IFERROR(INDEX('Email Cleaner'!$B$2:$B$10001,MATCH(1890,'Email Cleaner'!$I$2:$I$10001,0)),"")</f>
        <v/>
      </c>
    </row>
    <row r="1892">
      <c r="A1892">
        <f>IFERROR(INDEX('Email Cleaner'!$B$2:$B$10001,MATCH(1891,'Email Cleaner'!$I$2:$I$10001,0)),"")</f>
        <v/>
      </c>
    </row>
    <row r="1893">
      <c r="A1893">
        <f>IFERROR(INDEX('Email Cleaner'!$B$2:$B$10001,MATCH(1892,'Email Cleaner'!$I$2:$I$10001,0)),"")</f>
        <v/>
      </c>
    </row>
    <row r="1894">
      <c r="A1894">
        <f>IFERROR(INDEX('Email Cleaner'!$B$2:$B$10001,MATCH(1893,'Email Cleaner'!$I$2:$I$10001,0)),"")</f>
        <v/>
      </c>
    </row>
    <row r="1895">
      <c r="A1895">
        <f>IFERROR(INDEX('Email Cleaner'!$B$2:$B$10001,MATCH(1894,'Email Cleaner'!$I$2:$I$10001,0)),"")</f>
        <v/>
      </c>
    </row>
    <row r="1896">
      <c r="A1896">
        <f>IFERROR(INDEX('Email Cleaner'!$B$2:$B$10001,MATCH(1895,'Email Cleaner'!$I$2:$I$10001,0)),"")</f>
        <v/>
      </c>
    </row>
    <row r="1897">
      <c r="A1897">
        <f>IFERROR(INDEX('Email Cleaner'!$B$2:$B$10001,MATCH(1896,'Email Cleaner'!$I$2:$I$10001,0)),"")</f>
        <v/>
      </c>
    </row>
    <row r="1898">
      <c r="A1898">
        <f>IFERROR(INDEX('Email Cleaner'!$B$2:$B$10001,MATCH(1897,'Email Cleaner'!$I$2:$I$10001,0)),"")</f>
        <v/>
      </c>
    </row>
    <row r="1899">
      <c r="A1899">
        <f>IFERROR(INDEX('Email Cleaner'!$B$2:$B$10001,MATCH(1898,'Email Cleaner'!$I$2:$I$10001,0)),"")</f>
        <v/>
      </c>
    </row>
    <row r="1900">
      <c r="A1900">
        <f>IFERROR(INDEX('Email Cleaner'!$B$2:$B$10001,MATCH(1899,'Email Cleaner'!$I$2:$I$10001,0)),"")</f>
        <v/>
      </c>
    </row>
    <row r="1901">
      <c r="A1901">
        <f>IFERROR(INDEX('Email Cleaner'!$B$2:$B$10001,MATCH(1900,'Email Cleaner'!$I$2:$I$10001,0)),"")</f>
        <v/>
      </c>
    </row>
    <row r="1902">
      <c r="A1902">
        <f>IFERROR(INDEX('Email Cleaner'!$B$2:$B$10001,MATCH(1901,'Email Cleaner'!$I$2:$I$10001,0)),"")</f>
        <v/>
      </c>
    </row>
    <row r="1903">
      <c r="A1903">
        <f>IFERROR(INDEX('Email Cleaner'!$B$2:$B$10001,MATCH(1902,'Email Cleaner'!$I$2:$I$10001,0)),"")</f>
        <v/>
      </c>
    </row>
    <row r="1904">
      <c r="A1904">
        <f>IFERROR(INDEX('Email Cleaner'!$B$2:$B$10001,MATCH(1903,'Email Cleaner'!$I$2:$I$10001,0)),"")</f>
        <v/>
      </c>
    </row>
    <row r="1905">
      <c r="A1905">
        <f>IFERROR(INDEX('Email Cleaner'!$B$2:$B$10001,MATCH(1904,'Email Cleaner'!$I$2:$I$10001,0)),"")</f>
        <v/>
      </c>
    </row>
    <row r="1906">
      <c r="A1906">
        <f>IFERROR(INDEX('Email Cleaner'!$B$2:$B$10001,MATCH(1905,'Email Cleaner'!$I$2:$I$10001,0)),"")</f>
        <v/>
      </c>
    </row>
    <row r="1907">
      <c r="A1907">
        <f>IFERROR(INDEX('Email Cleaner'!$B$2:$B$10001,MATCH(1906,'Email Cleaner'!$I$2:$I$10001,0)),"")</f>
        <v/>
      </c>
    </row>
    <row r="1908">
      <c r="A1908">
        <f>IFERROR(INDEX('Email Cleaner'!$B$2:$B$10001,MATCH(1907,'Email Cleaner'!$I$2:$I$10001,0)),"")</f>
        <v/>
      </c>
    </row>
    <row r="1909">
      <c r="A1909">
        <f>IFERROR(INDEX('Email Cleaner'!$B$2:$B$10001,MATCH(1908,'Email Cleaner'!$I$2:$I$10001,0)),"")</f>
        <v/>
      </c>
    </row>
    <row r="1910">
      <c r="A1910">
        <f>IFERROR(INDEX('Email Cleaner'!$B$2:$B$10001,MATCH(1909,'Email Cleaner'!$I$2:$I$10001,0)),"")</f>
        <v/>
      </c>
    </row>
    <row r="1911">
      <c r="A1911">
        <f>IFERROR(INDEX('Email Cleaner'!$B$2:$B$10001,MATCH(1910,'Email Cleaner'!$I$2:$I$10001,0)),"")</f>
        <v/>
      </c>
    </row>
    <row r="1912">
      <c r="A1912">
        <f>IFERROR(INDEX('Email Cleaner'!$B$2:$B$10001,MATCH(1911,'Email Cleaner'!$I$2:$I$10001,0)),"")</f>
        <v/>
      </c>
    </row>
    <row r="1913">
      <c r="A1913">
        <f>IFERROR(INDEX('Email Cleaner'!$B$2:$B$10001,MATCH(1912,'Email Cleaner'!$I$2:$I$10001,0)),"")</f>
        <v/>
      </c>
    </row>
    <row r="1914">
      <c r="A1914">
        <f>IFERROR(INDEX('Email Cleaner'!$B$2:$B$10001,MATCH(1913,'Email Cleaner'!$I$2:$I$10001,0)),"")</f>
        <v/>
      </c>
    </row>
    <row r="1915">
      <c r="A1915">
        <f>IFERROR(INDEX('Email Cleaner'!$B$2:$B$10001,MATCH(1914,'Email Cleaner'!$I$2:$I$10001,0)),"")</f>
        <v/>
      </c>
    </row>
    <row r="1916">
      <c r="A1916">
        <f>IFERROR(INDEX('Email Cleaner'!$B$2:$B$10001,MATCH(1915,'Email Cleaner'!$I$2:$I$10001,0)),"")</f>
        <v/>
      </c>
    </row>
    <row r="1917">
      <c r="A1917">
        <f>IFERROR(INDEX('Email Cleaner'!$B$2:$B$10001,MATCH(1916,'Email Cleaner'!$I$2:$I$10001,0)),"")</f>
        <v/>
      </c>
    </row>
    <row r="1918">
      <c r="A1918">
        <f>IFERROR(INDEX('Email Cleaner'!$B$2:$B$10001,MATCH(1917,'Email Cleaner'!$I$2:$I$10001,0)),"")</f>
        <v/>
      </c>
    </row>
    <row r="1919">
      <c r="A1919">
        <f>IFERROR(INDEX('Email Cleaner'!$B$2:$B$10001,MATCH(1918,'Email Cleaner'!$I$2:$I$10001,0)),"")</f>
        <v/>
      </c>
    </row>
    <row r="1920">
      <c r="A1920">
        <f>IFERROR(INDEX('Email Cleaner'!$B$2:$B$10001,MATCH(1919,'Email Cleaner'!$I$2:$I$10001,0)),"")</f>
        <v/>
      </c>
    </row>
    <row r="1921">
      <c r="A1921">
        <f>IFERROR(INDEX('Email Cleaner'!$B$2:$B$10001,MATCH(1920,'Email Cleaner'!$I$2:$I$10001,0)),"")</f>
        <v/>
      </c>
    </row>
    <row r="1922">
      <c r="A1922">
        <f>IFERROR(INDEX('Email Cleaner'!$B$2:$B$10001,MATCH(1921,'Email Cleaner'!$I$2:$I$10001,0)),"")</f>
        <v/>
      </c>
    </row>
    <row r="1923">
      <c r="A1923">
        <f>IFERROR(INDEX('Email Cleaner'!$B$2:$B$10001,MATCH(1922,'Email Cleaner'!$I$2:$I$10001,0)),"")</f>
        <v/>
      </c>
    </row>
    <row r="1924">
      <c r="A1924">
        <f>IFERROR(INDEX('Email Cleaner'!$B$2:$B$10001,MATCH(1923,'Email Cleaner'!$I$2:$I$10001,0)),"")</f>
        <v/>
      </c>
    </row>
    <row r="1925">
      <c r="A1925">
        <f>IFERROR(INDEX('Email Cleaner'!$B$2:$B$10001,MATCH(1924,'Email Cleaner'!$I$2:$I$10001,0)),"")</f>
        <v/>
      </c>
    </row>
    <row r="1926">
      <c r="A1926">
        <f>IFERROR(INDEX('Email Cleaner'!$B$2:$B$10001,MATCH(1925,'Email Cleaner'!$I$2:$I$10001,0)),"")</f>
        <v/>
      </c>
    </row>
    <row r="1927">
      <c r="A1927">
        <f>IFERROR(INDEX('Email Cleaner'!$B$2:$B$10001,MATCH(1926,'Email Cleaner'!$I$2:$I$10001,0)),"")</f>
        <v/>
      </c>
    </row>
    <row r="1928">
      <c r="A1928">
        <f>IFERROR(INDEX('Email Cleaner'!$B$2:$B$10001,MATCH(1927,'Email Cleaner'!$I$2:$I$10001,0)),"")</f>
        <v/>
      </c>
    </row>
    <row r="1929">
      <c r="A1929">
        <f>IFERROR(INDEX('Email Cleaner'!$B$2:$B$10001,MATCH(1928,'Email Cleaner'!$I$2:$I$10001,0)),"")</f>
        <v/>
      </c>
    </row>
    <row r="1930">
      <c r="A1930">
        <f>IFERROR(INDEX('Email Cleaner'!$B$2:$B$10001,MATCH(1929,'Email Cleaner'!$I$2:$I$10001,0)),"")</f>
        <v/>
      </c>
    </row>
    <row r="1931">
      <c r="A1931">
        <f>IFERROR(INDEX('Email Cleaner'!$B$2:$B$10001,MATCH(1930,'Email Cleaner'!$I$2:$I$10001,0)),"")</f>
        <v/>
      </c>
    </row>
    <row r="1932">
      <c r="A1932">
        <f>IFERROR(INDEX('Email Cleaner'!$B$2:$B$10001,MATCH(1931,'Email Cleaner'!$I$2:$I$10001,0)),"")</f>
        <v/>
      </c>
    </row>
    <row r="1933">
      <c r="A1933">
        <f>IFERROR(INDEX('Email Cleaner'!$B$2:$B$10001,MATCH(1932,'Email Cleaner'!$I$2:$I$10001,0)),"")</f>
        <v/>
      </c>
    </row>
    <row r="1934">
      <c r="A1934">
        <f>IFERROR(INDEX('Email Cleaner'!$B$2:$B$10001,MATCH(1933,'Email Cleaner'!$I$2:$I$10001,0)),"")</f>
        <v/>
      </c>
    </row>
    <row r="1935">
      <c r="A1935">
        <f>IFERROR(INDEX('Email Cleaner'!$B$2:$B$10001,MATCH(1934,'Email Cleaner'!$I$2:$I$10001,0)),"")</f>
        <v/>
      </c>
    </row>
    <row r="1936">
      <c r="A1936">
        <f>IFERROR(INDEX('Email Cleaner'!$B$2:$B$10001,MATCH(1935,'Email Cleaner'!$I$2:$I$10001,0)),"")</f>
        <v/>
      </c>
    </row>
    <row r="1937">
      <c r="A1937">
        <f>IFERROR(INDEX('Email Cleaner'!$B$2:$B$10001,MATCH(1936,'Email Cleaner'!$I$2:$I$10001,0)),"")</f>
        <v/>
      </c>
    </row>
    <row r="1938">
      <c r="A1938">
        <f>IFERROR(INDEX('Email Cleaner'!$B$2:$B$10001,MATCH(1937,'Email Cleaner'!$I$2:$I$10001,0)),"")</f>
        <v/>
      </c>
    </row>
    <row r="1939">
      <c r="A1939">
        <f>IFERROR(INDEX('Email Cleaner'!$B$2:$B$10001,MATCH(1938,'Email Cleaner'!$I$2:$I$10001,0)),"")</f>
        <v/>
      </c>
    </row>
    <row r="1940">
      <c r="A1940">
        <f>IFERROR(INDEX('Email Cleaner'!$B$2:$B$10001,MATCH(1939,'Email Cleaner'!$I$2:$I$10001,0)),"")</f>
        <v/>
      </c>
    </row>
    <row r="1941">
      <c r="A1941">
        <f>IFERROR(INDEX('Email Cleaner'!$B$2:$B$10001,MATCH(1940,'Email Cleaner'!$I$2:$I$10001,0)),"")</f>
        <v/>
      </c>
    </row>
    <row r="1942">
      <c r="A1942">
        <f>IFERROR(INDEX('Email Cleaner'!$B$2:$B$10001,MATCH(1941,'Email Cleaner'!$I$2:$I$10001,0)),"")</f>
        <v/>
      </c>
    </row>
    <row r="1943">
      <c r="A1943">
        <f>IFERROR(INDEX('Email Cleaner'!$B$2:$B$10001,MATCH(1942,'Email Cleaner'!$I$2:$I$10001,0)),"")</f>
        <v/>
      </c>
    </row>
    <row r="1944">
      <c r="A1944">
        <f>IFERROR(INDEX('Email Cleaner'!$B$2:$B$10001,MATCH(1943,'Email Cleaner'!$I$2:$I$10001,0)),"")</f>
        <v/>
      </c>
    </row>
    <row r="1945">
      <c r="A1945">
        <f>IFERROR(INDEX('Email Cleaner'!$B$2:$B$10001,MATCH(1944,'Email Cleaner'!$I$2:$I$10001,0)),"")</f>
        <v/>
      </c>
    </row>
    <row r="1946">
      <c r="A1946">
        <f>IFERROR(INDEX('Email Cleaner'!$B$2:$B$10001,MATCH(1945,'Email Cleaner'!$I$2:$I$10001,0)),"")</f>
        <v/>
      </c>
    </row>
    <row r="1947">
      <c r="A1947">
        <f>IFERROR(INDEX('Email Cleaner'!$B$2:$B$10001,MATCH(1946,'Email Cleaner'!$I$2:$I$10001,0)),"")</f>
        <v/>
      </c>
    </row>
    <row r="1948">
      <c r="A1948">
        <f>IFERROR(INDEX('Email Cleaner'!$B$2:$B$10001,MATCH(1947,'Email Cleaner'!$I$2:$I$10001,0)),"")</f>
        <v/>
      </c>
    </row>
    <row r="1949">
      <c r="A1949">
        <f>IFERROR(INDEX('Email Cleaner'!$B$2:$B$10001,MATCH(1948,'Email Cleaner'!$I$2:$I$10001,0)),"")</f>
        <v/>
      </c>
    </row>
    <row r="1950">
      <c r="A1950">
        <f>IFERROR(INDEX('Email Cleaner'!$B$2:$B$10001,MATCH(1949,'Email Cleaner'!$I$2:$I$10001,0)),"")</f>
        <v/>
      </c>
    </row>
    <row r="1951">
      <c r="A1951">
        <f>IFERROR(INDEX('Email Cleaner'!$B$2:$B$10001,MATCH(1950,'Email Cleaner'!$I$2:$I$10001,0)),"")</f>
        <v/>
      </c>
    </row>
    <row r="1952">
      <c r="A1952">
        <f>IFERROR(INDEX('Email Cleaner'!$B$2:$B$10001,MATCH(1951,'Email Cleaner'!$I$2:$I$10001,0)),"")</f>
        <v/>
      </c>
    </row>
    <row r="1953">
      <c r="A1953">
        <f>IFERROR(INDEX('Email Cleaner'!$B$2:$B$10001,MATCH(1952,'Email Cleaner'!$I$2:$I$10001,0)),"")</f>
        <v/>
      </c>
    </row>
    <row r="1954">
      <c r="A1954">
        <f>IFERROR(INDEX('Email Cleaner'!$B$2:$B$10001,MATCH(1953,'Email Cleaner'!$I$2:$I$10001,0)),"")</f>
        <v/>
      </c>
    </row>
    <row r="1955">
      <c r="A1955">
        <f>IFERROR(INDEX('Email Cleaner'!$B$2:$B$10001,MATCH(1954,'Email Cleaner'!$I$2:$I$10001,0)),"")</f>
        <v/>
      </c>
    </row>
    <row r="1956">
      <c r="A1956">
        <f>IFERROR(INDEX('Email Cleaner'!$B$2:$B$10001,MATCH(1955,'Email Cleaner'!$I$2:$I$10001,0)),"")</f>
        <v/>
      </c>
    </row>
    <row r="1957">
      <c r="A1957">
        <f>IFERROR(INDEX('Email Cleaner'!$B$2:$B$10001,MATCH(1956,'Email Cleaner'!$I$2:$I$10001,0)),"")</f>
        <v/>
      </c>
    </row>
    <row r="1958">
      <c r="A1958">
        <f>IFERROR(INDEX('Email Cleaner'!$B$2:$B$10001,MATCH(1957,'Email Cleaner'!$I$2:$I$10001,0)),"")</f>
        <v/>
      </c>
    </row>
    <row r="1959">
      <c r="A1959">
        <f>IFERROR(INDEX('Email Cleaner'!$B$2:$B$10001,MATCH(1958,'Email Cleaner'!$I$2:$I$10001,0)),"")</f>
        <v/>
      </c>
    </row>
    <row r="1960">
      <c r="A1960">
        <f>IFERROR(INDEX('Email Cleaner'!$B$2:$B$10001,MATCH(1959,'Email Cleaner'!$I$2:$I$10001,0)),"")</f>
        <v/>
      </c>
    </row>
    <row r="1961">
      <c r="A1961">
        <f>IFERROR(INDEX('Email Cleaner'!$B$2:$B$10001,MATCH(1960,'Email Cleaner'!$I$2:$I$10001,0)),"")</f>
        <v/>
      </c>
    </row>
    <row r="1962">
      <c r="A1962">
        <f>IFERROR(INDEX('Email Cleaner'!$B$2:$B$10001,MATCH(1961,'Email Cleaner'!$I$2:$I$10001,0)),"")</f>
        <v/>
      </c>
    </row>
    <row r="1963">
      <c r="A1963">
        <f>IFERROR(INDEX('Email Cleaner'!$B$2:$B$10001,MATCH(1962,'Email Cleaner'!$I$2:$I$10001,0)),"")</f>
        <v/>
      </c>
    </row>
    <row r="1964">
      <c r="A1964">
        <f>IFERROR(INDEX('Email Cleaner'!$B$2:$B$10001,MATCH(1963,'Email Cleaner'!$I$2:$I$10001,0)),"")</f>
        <v/>
      </c>
    </row>
    <row r="1965">
      <c r="A1965">
        <f>IFERROR(INDEX('Email Cleaner'!$B$2:$B$10001,MATCH(1964,'Email Cleaner'!$I$2:$I$10001,0)),"")</f>
        <v/>
      </c>
    </row>
    <row r="1966">
      <c r="A1966">
        <f>IFERROR(INDEX('Email Cleaner'!$B$2:$B$10001,MATCH(1965,'Email Cleaner'!$I$2:$I$10001,0)),"")</f>
        <v/>
      </c>
    </row>
    <row r="1967">
      <c r="A1967">
        <f>IFERROR(INDEX('Email Cleaner'!$B$2:$B$10001,MATCH(1966,'Email Cleaner'!$I$2:$I$10001,0)),"")</f>
        <v/>
      </c>
    </row>
    <row r="1968">
      <c r="A1968">
        <f>IFERROR(INDEX('Email Cleaner'!$B$2:$B$10001,MATCH(1967,'Email Cleaner'!$I$2:$I$10001,0)),"")</f>
        <v/>
      </c>
    </row>
    <row r="1969">
      <c r="A1969">
        <f>IFERROR(INDEX('Email Cleaner'!$B$2:$B$10001,MATCH(1968,'Email Cleaner'!$I$2:$I$10001,0)),"")</f>
        <v/>
      </c>
    </row>
    <row r="1970">
      <c r="A1970">
        <f>IFERROR(INDEX('Email Cleaner'!$B$2:$B$10001,MATCH(1969,'Email Cleaner'!$I$2:$I$10001,0)),"")</f>
        <v/>
      </c>
    </row>
    <row r="1971">
      <c r="A1971">
        <f>IFERROR(INDEX('Email Cleaner'!$B$2:$B$10001,MATCH(1970,'Email Cleaner'!$I$2:$I$10001,0)),"")</f>
        <v/>
      </c>
    </row>
    <row r="1972">
      <c r="A1972">
        <f>IFERROR(INDEX('Email Cleaner'!$B$2:$B$10001,MATCH(1971,'Email Cleaner'!$I$2:$I$10001,0)),"")</f>
        <v/>
      </c>
    </row>
    <row r="1973">
      <c r="A1973">
        <f>IFERROR(INDEX('Email Cleaner'!$B$2:$B$10001,MATCH(1972,'Email Cleaner'!$I$2:$I$10001,0)),"")</f>
        <v/>
      </c>
    </row>
    <row r="1974">
      <c r="A1974">
        <f>IFERROR(INDEX('Email Cleaner'!$B$2:$B$10001,MATCH(1973,'Email Cleaner'!$I$2:$I$10001,0)),"")</f>
        <v/>
      </c>
    </row>
    <row r="1975">
      <c r="A1975">
        <f>IFERROR(INDEX('Email Cleaner'!$B$2:$B$10001,MATCH(1974,'Email Cleaner'!$I$2:$I$10001,0)),"")</f>
        <v/>
      </c>
    </row>
    <row r="1976">
      <c r="A1976">
        <f>IFERROR(INDEX('Email Cleaner'!$B$2:$B$10001,MATCH(1975,'Email Cleaner'!$I$2:$I$10001,0)),"")</f>
        <v/>
      </c>
    </row>
    <row r="1977">
      <c r="A1977">
        <f>IFERROR(INDEX('Email Cleaner'!$B$2:$B$10001,MATCH(1976,'Email Cleaner'!$I$2:$I$10001,0)),"")</f>
        <v/>
      </c>
    </row>
    <row r="1978">
      <c r="A1978">
        <f>IFERROR(INDEX('Email Cleaner'!$B$2:$B$10001,MATCH(1977,'Email Cleaner'!$I$2:$I$10001,0)),"")</f>
        <v/>
      </c>
    </row>
    <row r="1979">
      <c r="A1979">
        <f>IFERROR(INDEX('Email Cleaner'!$B$2:$B$10001,MATCH(1978,'Email Cleaner'!$I$2:$I$10001,0)),"")</f>
        <v/>
      </c>
    </row>
    <row r="1980">
      <c r="A1980">
        <f>IFERROR(INDEX('Email Cleaner'!$B$2:$B$10001,MATCH(1979,'Email Cleaner'!$I$2:$I$10001,0)),"")</f>
        <v/>
      </c>
    </row>
    <row r="1981">
      <c r="A1981">
        <f>IFERROR(INDEX('Email Cleaner'!$B$2:$B$10001,MATCH(1980,'Email Cleaner'!$I$2:$I$10001,0)),"")</f>
        <v/>
      </c>
    </row>
    <row r="1982">
      <c r="A1982">
        <f>IFERROR(INDEX('Email Cleaner'!$B$2:$B$10001,MATCH(1981,'Email Cleaner'!$I$2:$I$10001,0)),"")</f>
        <v/>
      </c>
    </row>
    <row r="1983">
      <c r="A1983">
        <f>IFERROR(INDEX('Email Cleaner'!$B$2:$B$10001,MATCH(1982,'Email Cleaner'!$I$2:$I$10001,0)),"")</f>
        <v/>
      </c>
    </row>
    <row r="1984">
      <c r="A1984">
        <f>IFERROR(INDEX('Email Cleaner'!$B$2:$B$10001,MATCH(1983,'Email Cleaner'!$I$2:$I$10001,0)),"")</f>
        <v/>
      </c>
    </row>
    <row r="1985">
      <c r="A1985">
        <f>IFERROR(INDEX('Email Cleaner'!$B$2:$B$10001,MATCH(1984,'Email Cleaner'!$I$2:$I$10001,0)),"")</f>
        <v/>
      </c>
    </row>
    <row r="1986">
      <c r="A1986">
        <f>IFERROR(INDEX('Email Cleaner'!$B$2:$B$10001,MATCH(1985,'Email Cleaner'!$I$2:$I$10001,0)),"")</f>
        <v/>
      </c>
    </row>
    <row r="1987">
      <c r="A1987">
        <f>IFERROR(INDEX('Email Cleaner'!$B$2:$B$10001,MATCH(1986,'Email Cleaner'!$I$2:$I$10001,0)),"")</f>
        <v/>
      </c>
    </row>
    <row r="1988">
      <c r="A1988">
        <f>IFERROR(INDEX('Email Cleaner'!$B$2:$B$10001,MATCH(1987,'Email Cleaner'!$I$2:$I$10001,0)),"")</f>
        <v/>
      </c>
    </row>
    <row r="1989">
      <c r="A1989">
        <f>IFERROR(INDEX('Email Cleaner'!$B$2:$B$10001,MATCH(1988,'Email Cleaner'!$I$2:$I$10001,0)),"")</f>
        <v/>
      </c>
    </row>
    <row r="1990">
      <c r="A1990">
        <f>IFERROR(INDEX('Email Cleaner'!$B$2:$B$10001,MATCH(1989,'Email Cleaner'!$I$2:$I$10001,0)),"")</f>
        <v/>
      </c>
    </row>
    <row r="1991">
      <c r="A1991">
        <f>IFERROR(INDEX('Email Cleaner'!$B$2:$B$10001,MATCH(1990,'Email Cleaner'!$I$2:$I$10001,0)),"")</f>
        <v/>
      </c>
    </row>
    <row r="1992">
      <c r="A1992">
        <f>IFERROR(INDEX('Email Cleaner'!$B$2:$B$10001,MATCH(1991,'Email Cleaner'!$I$2:$I$10001,0)),"")</f>
        <v/>
      </c>
    </row>
    <row r="1993">
      <c r="A1993">
        <f>IFERROR(INDEX('Email Cleaner'!$B$2:$B$10001,MATCH(1992,'Email Cleaner'!$I$2:$I$10001,0)),"")</f>
        <v/>
      </c>
    </row>
    <row r="1994">
      <c r="A1994">
        <f>IFERROR(INDEX('Email Cleaner'!$B$2:$B$10001,MATCH(1993,'Email Cleaner'!$I$2:$I$10001,0)),"")</f>
        <v/>
      </c>
    </row>
    <row r="1995">
      <c r="A1995">
        <f>IFERROR(INDEX('Email Cleaner'!$B$2:$B$10001,MATCH(1994,'Email Cleaner'!$I$2:$I$10001,0)),"")</f>
        <v/>
      </c>
    </row>
    <row r="1996">
      <c r="A1996">
        <f>IFERROR(INDEX('Email Cleaner'!$B$2:$B$10001,MATCH(1995,'Email Cleaner'!$I$2:$I$10001,0)),"")</f>
        <v/>
      </c>
    </row>
    <row r="1997">
      <c r="A1997">
        <f>IFERROR(INDEX('Email Cleaner'!$B$2:$B$10001,MATCH(1996,'Email Cleaner'!$I$2:$I$10001,0)),"")</f>
        <v/>
      </c>
    </row>
    <row r="1998">
      <c r="A1998">
        <f>IFERROR(INDEX('Email Cleaner'!$B$2:$B$10001,MATCH(1997,'Email Cleaner'!$I$2:$I$10001,0)),"")</f>
        <v/>
      </c>
    </row>
    <row r="1999">
      <c r="A1999">
        <f>IFERROR(INDEX('Email Cleaner'!$B$2:$B$10001,MATCH(1998,'Email Cleaner'!$I$2:$I$10001,0)),"")</f>
        <v/>
      </c>
    </row>
    <row r="2000">
      <c r="A2000">
        <f>IFERROR(INDEX('Email Cleaner'!$B$2:$B$10001,MATCH(1999,'Email Cleaner'!$I$2:$I$10001,0)),"")</f>
        <v/>
      </c>
    </row>
    <row r="2001">
      <c r="A2001">
        <f>IFERROR(INDEX('Email Cleaner'!$B$2:$B$10001,MATCH(2000,'Email Cleaner'!$I$2:$I$10001,0)),"")</f>
        <v/>
      </c>
    </row>
    <row r="2002">
      <c r="A2002">
        <f>IFERROR(INDEX('Email Cleaner'!$B$2:$B$10001,MATCH(2001,'Email Cleaner'!$I$2:$I$10001,0)),"")</f>
        <v/>
      </c>
    </row>
    <row r="2003">
      <c r="A2003">
        <f>IFERROR(INDEX('Email Cleaner'!$B$2:$B$10001,MATCH(2002,'Email Cleaner'!$I$2:$I$10001,0)),"")</f>
        <v/>
      </c>
    </row>
    <row r="2004">
      <c r="A2004">
        <f>IFERROR(INDEX('Email Cleaner'!$B$2:$B$10001,MATCH(2003,'Email Cleaner'!$I$2:$I$10001,0)),"")</f>
        <v/>
      </c>
    </row>
    <row r="2005">
      <c r="A2005">
        <f>IFERROR(INDEX('Email Cleaner'!$B$2:$B$10001,MATCH(2004,'Email Cleaner'!$I$2:$I$10001,0)),"")</f>
        <v/>
      </c>
    </row>
    <row r="2006">
      <c r="A2006">
        <f>IFERROR(INDEX('Email Cleaner'!$B$2:$B$10001,MATCH(2005,'Email Cleaner'!$I$2:$I$10001,0)),"")</f>
        <v/>
      </c>
    </row>
    <row r="2007">
      <c r="A2007">
        <f>IFERROR(INDEX('Email Cleaner'!$B$2:$B$10001,MATCH(2006,'Email Cleaner'!$I$2:$I$10001,0)),"")</f>
        <v/>
      </c>
    </row>
    <row r="2008">
      <c r="A2008">
        <f>IFERROR(INDEX('Email Cleaner'!$B$2:$B$10001,MATCH(2007,'Email Cleaner'!$I$2:$I$10001,0)),"")</f>
        <v/>
      </c>
    </row>
    <row r="2009">
      <c r="A2009">
        <f>IFERROR(INDEX('Email Cleaner'!$B$2:$B$10001,MATCH(2008,'Email Cleaner'!$I$2:$I$10001,0)),"")</f>
        <v/>
      </c>
    </row>
    <row r="2010">
      <c r="A2010">
        <f>IFERROR(INDEX('Email Cleaner'!$B$2:$B$10001,MATCH(2009,'Email Cleaner'!$I$2:$I$10001,0)),"")</f>
        <v/>
      </c>
    </row>
    <row r="2011">
      <c r="A2011">
        <f>IFERROR(INDEX('Email Cleaner'!$B$2:$B$10001,MATCH(2010,'Email Cleaner'!$I$2:$I$10001,0)),"")</f>
        <v/>
      </c>
    </row>
    <row r="2012">
      <c r="A2012">
        <f>IFERROR(INDEX('Email Cleaner'!$B$2:$B$10001,MATCH(2011,'Email Cleaner'!$I$2:$I$10001,0)),"")</f>
        <v/>
      </c>
    </row>
    <row r="2013">
      <c r="A2013">
        <f>IFERROR(INDEX('Email Cleaner'!$B$2:$B$10001,MATCH(2012,'Email Cleaner'!$I$2:$I$10001,0)),"")</f>
        <v/>
      </c>
    </row>
    <row r="2014">
      <c r="A2014">
        <f>IFERROR(INDEX('Email Cleaner'!$B$2:$B$10001,MATCH(2013,'Email Cleaner'!$I$2:$I$10001,0)),"")</f>
        <v/>
      </c>
    </row>
    <row r="2015">
      <c r="A2015">
        <f>IFERROR(INDEX('Email Cleaner'!$B$2:$B$10001,MATCH(2014,'Email Cleaner'!$I$2:$I$10001,0)),"")</f>
        <v/>
      </c>
    </row>
    <row r="2016">
      <c r="A2016">
        <f>IFERROR(INDEX('Email Cleaner'!$B$2:$B$10001,MATCH(2015,'Email Cleaner'!$I$2:$I$10001,0)),"")</f>
        <v/>
      </c>
    </row>
    <row r="2017">
      <c r="A2017">
        <f>IFERROR(INDEX('Email Cleaner'!$B$2:$B$10001,MATCH(2016,'Email Cleaner'!$I$2:$I$10001,0)),"")</f>
        <v/>
      </c>
    </row>
    <row r="2018">
      <c r="A2018">
        <f>IFERROR(INDEX('Email Cleaner'!$B$2:$B$10001,MATCH(2017,'Email Cleaner'!$I$2:$I$10001,0)),"")</f>
        <v/>
      </c>
    </row>
    <row r="2019">
      <c r="A2019">
        <f>IFERROR(INDEX('Email Cleaner'!$B$2:$B$10001,MATCH(2018,'Email Cleaner'!$I$2:$I$10001,0)),"")</f>
        <v/>
      </c>
    </row>
    <row r="2020">
      <c r="A2020">
        <f>IFERROR(INDEX('Email Cleaner'!$B$2:$B$10001,MATCH(2019,'Email Cleaner'!$I$2:$I$10001,0)),"")</f>
        <v/>
      </c>
    </row>
    <row r="2021">
      <c r="A2021">
        <f>IFERROR(INDEX('Email Cleaner'!$B$2:$B$10001,MATCH(2020,'Email Cleaner'!$I$2:$I$10001,0)),"")</f>
        <v/>
      </c>
    </row>
    <row r="2022">
      <c r="A2022">
        <f>IFERROR(INDEX('Email Cleaner'!$B$2:$B$10001,MATCH(2021,'Email Cleaner'!$I$2:$I$10001,0)),"")</f>
        <v/>
      </c>
    </row>
    <row r="2023">
      <c r="A2023">
        <f>IFERROR(INDEX('Email Cleaner'!$B$2:$B$10001,MATCH(2022,'Email Cleaner'!$I$2:$I$10001,0)),"")</f>
        <v/>
      </c>
    </row>
    <row r="2024">
      <c r="A2024">
        <f>IFERROR(INDEX('Email Cleaner'!$B$2:$B$10001,MATCH(2023,'Email Cleaner'!$I$2:$I$10001,0)),"")</f>
        <v/>
      </c>
    </row>
    <row r="2025">
      <c r="A2025">
        <f>IFERROR(INDEX('Email Cleaner'!$B$2:$B$10001,MATCH(2024,'Email Cleaner'!$I$2:$I$10001,0)),"")</f>
        <v/>
      </c>
    </row>
    <row r="2026">
      <c r="A2026">
        <f>IFERROR(INDEX('Email Cleaner'!$B$2:$B$10001,MATCH(2025,'Email Cleaner'!$I$2:$I$10001,0)),"")</f>
        <v/>
      </c>
    </row>
    <row r="2027">
      <c r="A2027">
        <f>IFERROR(INDEX('Email Cleaner'!$B$2:$B$10001,MATCH(2026,'Email Cleaner'!$I$2:$I$10001,0)),"")</f>
        <v/>
      </c>
    </row>
    <row r="2028">
      <c r="A2028">
        <f>IFERROR(INDEX('Email Cleaner'!$B$2:$B$10001,MATCH(2027,'Email Cleaner'!$I$2:$I$10001,0)),"")</f>
        <v/>
      </c>
    </row>
    <row r="2029">
      <c r="A2029">
        <f>IFERROR(INDEX('Email Cleaner'!$B$2:$B$10001,MATCH(2028,'Email Cleaner'!$I$2:$I$10001,0)),"")</f>
        <v/>
      </c>
    </row>
    <row r="2030">
      <c r="A2030">
        <f>IFERROR(INDEX('Email Cleaner'!$B$2:$B$10001,MATCH(2029,'Email Cleaner'!$I$2:$I$10001,0)),"")</f>
        <v/>
      </c>
    </row>
    <row r="2031">
      <c r="A2031">
        <f>IFERROR(INDEX('Email Cleaner'!$B$2:$B$10001,MATCH(2030,'Email Cleaner'!$I$2:$I$10001,0)),"")</f>
        <v/>
      </c>
    </row>
    <row r="2032">
      <c r="A2032">
        <f>IFERROR(INDEX('Email Cleaner'!$B$2:$B$10001,MATCH(2031,'Email Cleaner'!$I$2:$I$10001,0)),"")</f>
        <v/>
      </c>
    </row>
    <row r="2033">
      <c r="A2033">
        <f>IFERROR(INDEX('Email Cleaner'!$B$2:$B$10001,MATCH(2032,'Email Cleaner'!$I$2:$I$10001,0)),"")</f>
        <v/>
      </c>
    </row>
    <row r="2034">
      <c r="A2034">
        <f>IFERROR(INDEX('Email Cleaner'!$B$2:$B$10001,MATCH(2033,'Email Cleaner'!$I$2:$I$10001,0)),"")</f>
        <v/>
      </c>
    </row>
    <row r="2035">
      <c r="A2035">
        <f>IFERROR(INDEX('Email Cleaner'!$B$2:$B$10001,MATCH(2034,'Email Cleaner'!$I$2:$I$10001,0)),"")</f>
        <v/>
      </c>
    </row>
    <row r="2036">
      <c r="A2036">
        <f>IFERROR(INDEX('Email Cleaner'!$B$2:$B$10001,MATCH(2035,'Email Cleaner'!$I$2:$I$10001,0)),"")</f>
        <v/>
      </c>
    </row>
    <row r="2037">
      <c r="A2037">
        <f>IFERROR(INDEX('Email Cleaner'!$B$2:$B$10001,MATCH(2036,'Email Cleaner'!$I$2:$I$10001,0)),"")</f>
        <v/>
      </c>
    </row>
    <row r="2038">
      <c r="A2038">
        <f>IFERROR(INDEX('Email Cleaner'!$B$2:$B$10001,MATCH(2037,'Email Cleaner'!$I$2:$I$10001,0)),"")</f>
        <v/>
      </c>
    </row>
    <row r="2039">
      <c r="A2039">
        <f>IFERROR(INDEX('Email Cleaner'!$B$2:$B$10001,MATCH(2038,'Email Cleaner'!$I$2:$I$10001,0)),"")</f>
        <v/>
      </c>
    </row>
    <row r="2040">
      <c r="A2040">
        <f>IFERROR(INDEX('Email Cleaner'!$B$2:$B$10001,MATCH(2039,'Email Cleaner'!$I$2:$I$10001,0)),"")</f>
        <v/>
      </c>
    </row>
    <row r="2041">
      <c r="A2041">
        <f>IFERROR(INDEX('Email Cleaner'!$B$2:$B$10001,MATCH(2040,'Email Cleaner'!$I$2:$I$10001,0)),"")</f>
        <v/>
      </c>
    </row>
    <row r="2042">
      <c r="A2042">
        <f>IFERROR(INDEX('Email Cleaner'!$B$2:$B$10001,MATCH(2041,'Email Cleaner'!$I$2:$I$10001,0)),"")</f>
        <v/>
      </c>
    </row>
    <row r="2043">
      <c r="A2043">
        <f>IFERROR(INDEX('Email Cleaner'!$B$2:$B$10001,MATCH(2042,'Email Cleaner'!$I$2:$I$10001,0)),"")</f>
        <v/>
      </c>
    </row>
    <row r="2044">
      <c r="A2044">
        <f>IFERROR(INDEX('Email Cleaner'!$B$2:$B$10001,MATCH(2043,'Email Cleaner'!$I$2:$I$10001,0)),"")</f>
        <v/>
      </c>
    </row>
    <row r="2045">
      <c r="A2045">
        <f>IFERROR(INDEX('Email Cleaner'!$B$2:$B$10001,MATCH(2044,'Email Cleaner'!$I$2:$I$10001,0)),"")</f>
        <v/>
      </c>
    </row>
    <row r="2046">
      <c r="A2046">
        <f>IFERROR(INDEX('Email Cleaner'!$B$2:$B$10001,MATCH(2045,'Email Cleaner'!$I$2:$I$10001,0)),"")</f>
        <v/>
      </c>
    </row>
    <row r="2047">
      <c r="A2047">
        <f>IFERROR(INDEX('Email Cleaner'!$B$2:$B$10001,MATCH(2046,'Email Cleaner'!$I$2:$I$10001,0)),"")</f>
        <v/>
      </c>
    </row>
    <row r="2048">
      <c r="A2048">
        <f>IFERROR(INDEX('Email Cleaner'!$B$2:$B$10001,MATCH(2047,'Email Cleaner'!$I$2:$I$10001,0)),"")</f>
        <v/>
      </c>
    </row>
    <row r="2049">
      <c r="A2049">
        <f>IFERROR(INDEX('Email Cleaner'!$B$2:$B$10001,MATCH(2048,'Email Cleaner'!$I$2:$I$10001,0)),"")</f>
        <v/>
      </c>
    </row>
    <row r="2050">
      <c r="A2050">
        <f>IFERROR(INDEX('Email Cleaner'!$B$2:$B$10001,MATCH(2049,'Email Cleaner'!$I$2:$I$10001,0)),"")</f>
        <v/>
      </c>
    </row>
    <row r="2051">
      <c r="A2051">
        <f>IFERROR(INDEX('Email Cleaner'!$B$2:$B$10001,MATCH(2050,'Email Cleaner'!$I$2:$I$10001,0)),"")</f>
        <v/>
      </c>
    </row>
    <row r="2052">
      <c r="A2052">
        <f>IFERROR(INDEX('Email Cleaner'!$B$2:$B$10001,MATCH(2051,'Email Cleaner'!$I$2:$I$10001,0)),"")</f>
        <v/>
      </c>
    </row>
    <row r="2053">
      <c r="A2053">
        <f>IFERROR(INDEX('Email Cleaner'!$B$2:$B$10001,MATCH(2052,'Email Cleaner'!$I$2:$I$10001,0)),"")</f>
        <v/>
      </c>
    </row>
    <row r="2054">
      <c r="A2054">
        <f>IFERROR(INDEX('Email Cleaner'!$B$2:$B$10001,MATCH(2053,'Email Cleaner'!$I$2:$I$10001,0)),"")</f>
        <v/>
      </c>
    </row>
    <row r="2055">
      <c r="A2055">
        <f>IFERROR(INDEX('Email Cleaner'!$B$2:$B$10001,MATCH(2054,'Email Cleaner'!$I$2:$I$10001,0)),"")</f>
        <v/>
      </c>
    </row>
    <row r="2056">
      <c r="A2056">
        <f>IFERROR(INDEX('Email Cleaner'!$B$2:$B$10001,MATCH(2055,'Email Cleaner'!$I$2:$I$10001,0)),"")</f>
        <v/>
      </c>
    </row>
    <row r="2057">
      <c r="A2057">
        <f>IFERROR(INDEX('Email Cleaner'!$B$2:$B$10001,MATCH(2056,'Email Cleaner'!$I$2:$I$10001,0)),"")</f>
        <v/>
      </c>
    </row>
    <row r="2058">
      <c r="A2058">
        <f>IFERROR(INDEX('Email Cleaner'!$B$2:$B$10001,MATCH(2057,'Email Cleaner'!$I$2:$I$10001,0)),"")</f>
        <v/>
      </c>
    </row>
    <row r="2059">
      <c r="A2059">
        <f>IFERROR(INDEX('Email Cleaner'!$B$2:$B$10001,MATCH(2058,'Email Cleaner'!$I$2:$I$10001,0)),"")</f>
        <v/>
      </c>
    </row>
    <row r="2060">
      <c r="A2060">
        <f>IFERROR(INDEX('Email Cleaner'!$B$2:$B$10001,MATCH(2059,'Email Cleaner'!$I$2:$I$10001,0)),"")</f>
        <v/>
      </c>
    </row>
    <row r="2061">
      <c r="A2061">
        <f>IFERROR(INDEX('Email Cleaner'!$B$2:$B$10001,MATCH(2060,'Email Cleaner'!$I$2:$I$10001,0)),"")</f>
        <v/>
      </c>
    </row>
    <row r="2062">
      <c r="A2062">
        <f>IFERROR(INDEX('Email Cleaner'!$B$2:$B$10001,MATCH(2061,'Email Cleaner'!$I$2:$I$10001,0)),"")</f>
        <v/>
      </c>
    </row>
    <row r="2063">
      <c r="A2063">
        <f>IFERROR(INDEX('Email Cleaner'!$B$2:$B$10001,MATCH(2062,'Email Cleaner'!$I$2:$I$10001,0)),"")</f>
        <v/>
      </c>
    </row>
    <row r="2064">
      <c r="A2064">
        <f>IFERROR(INDEX('Email Cleaner'!$B$2:$B$10001,MATCH(2063,'Email Cleaner'!$I$2:$I$10001,0)),"")</f>
        <v/>
      </c>
    </row>
    <row r="2065">
      <c r="A2065">
        <f>IFERROR(INDEX('Email Cleaner'!$B$2:$B$10001,MATCH(2064,'Email Cleaner'!$I$2:$I$10001,0)),"")</f>
        <v/>
      </c>
    </row>
    <row r="2066">
      <c r="A2066">
        <f>IFERROR(INDEX('Email Cleaner'!$B$2:$B$10001,MATCH(2065,'Email Cleaner'!$I$2:$I$10001,0)),"")</f>
        <v/>
      </c>
    </row>
    <row r="2067">
      <c r="A2067">
        <f>IFERROR(INDEX('Email Cleaner'!$B$2:$B$10001,MATCH(2066,'Email Cleaner'!$I$2:$I$10001,0)),"")</f>
        <v/>
      </c>
    </row>
    <row r="2068">
      <c r="A2068">
        <f>IFERROR(INDEX('Email Cleaner'!$B$2:$B$10001,MATCH(2067,'Email Cleaner'!$I$2:$I$10001,0)),"")</f>
        <v/>
      </c>
    </row>
    <row r="2069">
      <c r="A2069">
        <f>IFERROR(INDEX('Email Cleaner'!$B$2:$B$10001,MATCH(2068,'Email Cleaner'!$I$2:$I$10001,0)),"")</f>
        <v/>
      </c>
    </row>
    <row r="2070">
      <c r="A2070">
        <f>IFERROR(INDEX('Email Cleaner'!$B$2:$B$10001,MATCH(2069,'Email Cleaner'!$I$2:$I$10001,0)),"")</f>
        <v/>
      </c>
    </row>
    <row r="2071">
      <c r="A2071">
        <f>IFERROR(INDEX('Email Cleaner'!$B$2:$B$10001,MATCH(2070,'Email Cleaner'!$I$2:$I$10001,0)),"")</f>
        <v/>
      </c>
    </row>
    <row r="2072">
      <c r="A2072">
        <f>IFERROR(INDEX('Email Cleaner'!$B$2:$B$10001,MATCH(2071,'Email Cleaner'!$I$2:$I$10001,0)),"")</f>
        <v/>
      </c>
    </row>
    <row r="2073">
      <c r="A2073">
        <f>IFERROR(INDEX('Email Cleaner'!$B$2:$B$10001,MATCH(2072,'Email Cleaner'!$I$2:$I$10001,0)),"")</f>
        <v/>
      </c>
    </row>
    <row r="2074">
      <c r="A2074">
        <f>IFERROR(INDEX('Email Cleaner'!$B$2:$B$10001,MATCH(2073,'Email Cleaner'!$I$2:$I$10001,0)),"")</f>
        <v/>
      </c>
    </row>
    <row r="2075">
      <c r="A2075">
        <f>IFERROR(INDEX('Email Cleaner'!$B$2:$B$10001,MATCH(2074,'Email Cleaner'!$I$2:$I$10001,0)),"")</f>
        <v/>
      </c>
    </row>
    <row r="2076">
      <c r="A2076">
        <f>IFERROR(INDEX('Email Cleaner'!$B$2:$B$10001,MATCH(2075,'Email Cleaner'!$I$2:$I$10001,0)),"")</f>
        <v/>
      </c>
    </row>
    <row r="2077">
      <c r="A2077">
        <f>IFERROR(INDEX('Email Cleaner'!$B$2:$B$10001,MATCH(2076,'Email Cleaner'!$I$2:$I$10001,0)),"")</f>
        <v/>
      </c>
    </row>
    <row r="2078">
      <c r="A2078">
        <f>IFERROR(INDEX('Email Cleaner'!$B$2:$B$10001,MATCH(2077,'Email Cleaner'!$I$2:$I$10001,0)),"")</f>
        <v/>
      </c>
    </row>
    <row r="2079">
      <c r="A2079">
        <f>IFERROR(INDEX('Email Cleaner'!$B$2:$B$10001,MATCH(2078,'Email Cleaner'!$I$2:$I$10001,0)),"")</f>
        <v/>
      </c>
    </row>
    <row r="2080">
      <c r="A2080">
        <f>IFERROR(INDEX('Email Cleaner'!$B$2:$B$10001,MATCH(2079,'Email Cleaner'!$I$2:$I$10001,0)),"")</f>
        <v/>
      </c>
    </row>
    <row r="2081">
      <c r="A2081">
        <f>IFERROR(INDEX('Email Cleaner'!$B$2:$B$10001,MATCH(2080,'Email Cleaner'!$I$2:$I$10001,0)),"")</f>
        <v/>
      </c>
    </row>
    <row r="2082">
      <c r="A2082">
        <f>IFERROR(INDEX('Email Cleaner'!$B$2:$B$10001,MATCH(2081,'Email Cleaner'!$I$2:$I$10001,0)),"")</f>
        <v/>
      </c>
    </row>
    <row r="2083">
      <c r="A2083">
        <f>IFERROR(INDEX('Email Cleaner'!$B$2:$B$10001,MATCH(2082,'Email Cleaner'!$I$2:$I$10001,0)),"")</f>
        <v/>
      </c>
    </row>
    <row r="2084">
      <c r="A2084">
        <f>IFERROR(INDEX('Email Cleaner'!$B$2:$B$10001,MATCH(2083,'Email Cleaner'!$I$2:$I$10001,0)),"")</f>
        <v/>
      </c>
    </row>
    <row r="2085">
      <c r="A2085">
        <f>IFERROR(INDEX('Email Cleaner'!$B$2:$B$10001,MATCH(2084,'Email Cleaner'!$I$2:$I$10001,0)),"")</f>
        <v/>
      </c>
    </row>
    <row r="2086">
      <c r="A2086">
        <f>IFERROR(INDEX('Email Cleaner'!$B$2:$B$10001,MATCH(2085,'Email Cleaner'!$I$2:$I$10001,0)),"")</f>
        <v/>
      </c>
    </row>
    <row r="2087">
      <c r="A2087">
        <f>IFERROR(INDEX('Email Cleaner'!$B$2:$B$10001,MATCH(2086,'Email Cleaner'!$I$2:$I$10001,0)),"")</f>
        <v/>
      </c>
    </row>
    <row r="2088">
      <c r="A2088">
        <f>IFERROR(INDEX('Email Cleaner'!$B$2:$B$10001,MATCH(2087,'Email Cleaner'!$I$2:$I$10001,0)),"")</f>
        <v/>
      </c>
    </row>
    <row r="2089">
      <c r="A2089">
        <f>IFERROR(INDEX('Email Cleaner'!$B$2:$B$10001,MATCH(2088,'Email Cleaner'!$I$2:$I$10001,0)),"")</f>
        <v/>
      </c>
    </row>
    <row r="2090">
      <c r="A2090">
        <f>IFERROR(INDEX('Email Cleaner'!$B$2:$B$10001,MATCH(2089,'Email Cleaner'!$I$2:$I$10001,0)),"")</f>
        <v/>
      </c>
    </row>
    <row r="2091">
      <c r="A2091">
        <f>IFERROR(INDEX('Email Cleaner'!$B$2:$B$10001,MATCH(2090,'Email Cleaner'!$I$2:$I$10001,0)),"")</f>
        <v/>
      </c>
    </row>
    <row r="2092">
      <c r="A2092">
        <f>IFERROR(INDEX('Email Cleaner'!$B$2:$B$10001,MATCH(2091,'Email Cleaner'!$I$2:$I$10001,0)),"")</f>
        <v/>
      </c>
    </row>
    <row r="2093">
      <c r="A2093">
        <f>IFERROR(INDEX('Email Cleaner'!$B$2:$B$10001,MATCH(2092,'Email Cleaner'!$I$2:$I$10001,0)),"")</f>
        <v/>
      </c>
    </row>
    <row r="2094">
      <c r="A2094">
        <f>IFERROR(INDEX('Email Cleaner'!$B$2:$B$10001,MATCH(2093,'Email Cleaner'!$I$2:$I$10001,0)),"")</f>
        <v/>
      </c>
    </row>
    <row r="2095">
      <c r="A2095">
        <f>IFERROR(INDEX('Email Cleaner'!$B$2:$B$10001,MATCH(2094,'Email Cleaner'!$I$2:$I$10001,0)),"")</f>
        <v/>
      </c>
    </row>
    <row r="2096">
      <c r="A2096">
        <f>IFERROR(INDEX('Email Cleaner'!$B$2:$B$10001,MATCH(2095,'Email Cleaner'!$I$2:$I$10001,0)),"")</f>
        <v/>
      </c>
    </row>
    <row r="2097">
      <c r="A2097">
        <f>IFERROR(INDEX('Email Cleaner'!$B$2:$B$10001,MATCH(2096,'Email Cleaner'!$I$2:$I$10001,0)),"")</f>
        <v/>
      </c>
    </row>
    <row r="2098">
      <c r="A2098">
        <f>IFERROR(INDEX('Email Cleaner'!$B$2:$B$10001,MATCH(2097,'Email Cleaner'!$I$2:$I$10001,0)),"")</f>
        <v/>
      </c>
    </row>
    <row r="2099">
      <c r="A2099">
        <f>IFERROR(INDEX('Email Cleaner'!$B$2:$B$10001,MATCH(2098,'Email Cleaner'!$I$2:$I$10001,0)),"")</f>
        <v/>
      </c>
    </row>
    <row r="2100">
      <c r="A2100">
        <f>IFERROR(INDEX('Email Cleaner'!$B$2:$B$10001,MATCH(2099,'Email Cleaner'!$I$2:$I$10001,0)),"")</f>
        <v/>
      </c>
    </row>
    <row r="2101">
      <c r="A2101">
        <f>IFERROR(INDEX('Email Cleaner'!$B$2:$B$10001,MATCH(2100,'Email Cleaner'!$I$2:$I$10001,0)),"")</f>
        <v/>
      </c>
    </row>
    <row r="2102">
      <c r="A2102">
        <f>IFERROR(INDEX('Email Cleaner'!$B$2:$B$10001,MATCH(2101,'Email Cleaner'!$I$2:$I$10001,0)),"")</f>
        <v/>
      </c>
    </row>
    <row r="2103">
      <c r="A2103">
        <f>IFERROR(INDEX('Email Cleaner'!$B$2:$B$10001,MATCH(2102,'Email Cleaner'!$I$2:$I$10001,0)),"")</f>
        <v/>
      </c>
    </row>
    <row r="2104">
      <c r="A2104">
        <f>IFERROR(INDEX('Email Cleaner'!$B$2:$B$10001,MATCH(2103,'Email Cleaner'!$I$2:$I$10001,0)),"")</f>
        <v/>
      </c>
    </row>
    <row r="2105">
      <c r="A2105">
        <f>IFERROR(INDEX('Email Cleaner'!$B$2:$B$10001,MATCH(2104,'Email Cleaner'!$I$2:$I$10001,0)),"")</f>
        <v/>
      </c>
    </row>
    <row r="2106">
      <c r="A2106">
        <f>IFERROR(INDEX('Email Cleaner'!$B$2:$B$10001,MATCH(2105,'Email Cleaner'!$I$2:$I$10001,0)),"")</f>
        <v/>
      </c>
    </row>
    <row r="2107">
      <c r="A2107">
        <f>IFERROR(INDEX('Email Cleaner'!$B$2:$B$10001,MATCH(2106,'Email Cleaner'!$I$2:$I$10001,0)),"")</f>
        <v/>
      </c>
    </row>
    <row r="2108">
      <c r="A2108">
        <f>IFERROR(INDEX('Email Cleaner'!$B$2:$B$10001,MATCH(2107,'Email Cleaner'!$I$2:$I$10001,0)),"")</f>
        <v/>
      </c>
    </row>
    <row r="2109">
      <c r="A2109">
        <f>IFERROR(INDEX('Email Cleaner'!$B$2:$B$10001,MATCH(2108,'Email Cleaner'!$I$2:$I$10001,0)),"")</f>
        <v/>
      </c>
    </row>
    <row r="2110">
      <c r="A2110">
        <f>IFERROR(INDEX('Email Cleaner'!$B$2:$B$10001,MATCH(2109,'Email Cleaner'!$I$2:$I$10001,0)),"")</f>
        <v/>
      </c>
    </row>
    <row r="2111">
      <c r="A2111">
        <f>IFERROR(INDEX('Email Cleaner'!$B$2:$B$10001,MATCH(2110,'Email Cleaner'!$I$2:$I$10001,0)),"")</f>
        <v/>
      </c>
    </row>
    <row r="2112">
      <c r="A2112">
        <f>IFERROR(INDEX('Email Cleaner'!$B$2:$B$10001,MATCH(2111,'Email Cleaner'!$I$2:$I$10001,0)),"")</f>
        <v/>
      </c>
    </row>
    <row r="2113">
      <c r="A2113">
        <f>IFERROR(INDEX('Email Cleaner'!$B$2:$B$10001,MATCH(2112,'Email Cleaner'!$I$2:$I$10001,0)),"")</f>
        <v/>
      </c>
    </row>
    <row r="2114">
      <c r="A2114">
        <f>IFERROR(INDEX('Email Cleaner'!$B$2:$B$10001,MATCH(2113,'Email Cleaner'!$I$2:$I$10001,0)),"")</f>
        <v/>
      </c>
    </row>
    <row r="2115">
      <c r="A2115">
        <f>IFERROR(INDEX('Email Cleaner'!$B$2:$B$10001,MATCH(2114,'Email Cleaner'!$I$2:$I$10001,0)),"")</f>
        <v/>
      </c>
    </row>
    <row r="2116">
      <c r="A2116">
        <f>IFERROR(INDEX('Email Cleaner'!$B$2:$B$10001,MATCH(2115,'Email Cleaner'!$I$2:$I$10001,0)),"")</f>
        <v/>
      </c>
    </row>
    <row r="2117">
      <c r="A2117">
        <f>IFERROR(INDEX('Email Cleaner'!$B$2:$B$10001,MATCH(2116,'Email Cleaner'!$I$2:$I$10001,0)),"")</f>
        <v/>
      </c>
    </row>
    <row r="2118">
      <c r="A2118">
        <f>IFERROR(INDEX('Email Cleaner'!$B$2:$B$10001,MATCH(2117,'Email Cleaner'!$I$2:$I$10001,0)),"")</f>
        <v/>
      </c>
    </row>
    <row r="2119">
      <c r="A2119">
        <f>IFERROR(INDEX('Email Cleaner'!$B$2:$B$10001,MATCH(2118,'Email Cleaner'!$I$2:$I$10001,0)),"")</f>
        <v/>
      </c>
    </row>
    <row r="2120">
      <c r="A2120">
        <f>IFERROR(INDEX('Email Cleaner'!$B$2:$B$10001,MATCH(2119,'Email Cleaner'!$I$2:$I$10001,0)),"")</f>
        <v/>
      </c>
    </row>
    <row r="2121">
      <c r="A2121">
        <f>IFERROR(INDEX('Email Cleaner'!$B$2:$B$10001,MATCH(2120,'Email Cleaner'!$I$2:$I$10001,0)),"")</f>
        <v/>
      </c>
    </row>
    <row r="2122">
      <c r="A2122">
        <f>IFERROR(INDEX('Email Cleaner'!$B$2:$B$10001,MATCH(2121,'Email Cleaner'!$I$2:$I$10001,0)),"")</f>
        <v/>
      </c>
    </row>
    <row r="2123">
      <c r="A2123">
        <f>IFERROR(INDEX('Email Cleaner'!$B$2:$B$10001,MATCH(2122,'Email Cleaner'!$I$2:$I$10001,0)),"")</f>
        <v/>
      </c>
    </row>
    <row r="2124">
      <c r="A2124">
        <f>IFERROR(INDEX('Email Cleaner'!$B$2:$B$10001,MATCH(2123,'Email Cleaner'!$I$2:$I$10001,0)),"")</f>
        <v/>
      </c>
    </row>
    <row r="2125">
      <c r="A2125">
        <f>IFERROR(INDEX('Email Cleaner'!$B$2:$B$10001,MATCH(2124,'Email Cleaner'!$I$2:$I$10001,0)),"")</f>
        <v/>
      </c>
    </row>
    <row r="2126">
      <c r="A2126">
        <f>IFERROR(INDEX('Email Cleaner'!$B$2:$B$10001,MATCH(2125,'Email Cleaner'!$I$2:$I$10001,0)),"")</f>
        <v/>
      </c>
    </row>
    <row r="2127">
      <c r="A2127">
        <f>IFERROR(INDEX('Email Cleaner'!$B$2:$B$10001,MATCH(2126,'Email Cleaner'!$I$2:$I$10001,0)),"")</f>
        <v/>
      </c>
    </row>
    <row r="2128">
      <c r="A2128">
        <f>IFERROR(INDEX('Email Cleaner'!$B$2:$B$10001,MATCH(2127,'Email Cleaner'!$I$2:$I$10001,0)),"")</f>
        <v/>
      </c>
    </row>
    <row r="2129">
      <c r="A2129">
        <f>IFERROR(INDEX('Email Cleaner'!$B$2:$B$10001,MATCH(2128,'Email Cleaner'!$I$2:$I$10001,0)),"")</f>
        <v/>
      </c>
    </row>
    <row r="2130">
      <c r="A2130">
        <f>IFERROR(INDEX('Email Cleaner'!$B$2:$B$10001,MATCH(2129,'Email Cleaner'!$I$2:$I$10001,0)),"")</f>
        <v/>
      </c>
    </row>
    <row r="2131">
      <c r="A2131">
        <f>IFERROR(INDEX('Email Cleaner'!$B$2:$B$10001,MATCH(2130,'Email Cleaner'!$I$2:$I$10001,0)),"")</f>
        <v/>
      </c>
    </row>
    <row r="2132">
      <c r="A2132">
        <f>IFERROR(INDEX('Email Cleaner'!$B$2:$B$10001,MATCH(2131,'Email Cleaner'!$I$2:$I$10001,0)),"")</f>
        <v/>
      </c>
    </row>
    <row r="2133">
      <c r="A2133">
        <f>IFERROR(INDEX('Email Cleaner'!$B$2:$B$10001,MATCH(2132,'Email Cleaner'!$I$2:$I$10001,0)),"")</f>
        <v/>
      </c>
    </row>
    <row r="2134">
      <c r="A2134">
        <f>IFERROR(INDEX('Email Cleaner'!$B$2:$B$10001,MATCH(2133,'Email Cleaner'!$I$2:$I$10001,0)),"")</f>
        <v/>
      </c>
    </row>
    <row r="2135">
      <c r="A2135">
        <f>IFERROR(INDEX('Email Cleaner'!$B$2:$B$10001,MATCH(2134,'Email Cleaner'!$I$2:$I$10001,0)),"")</f>
        <v/>
      </c>
    </row>
    <row r="2136">
      <c r="A2136">
        <f>IFERROR(INDEX('Email Cleaner'!$B$2:$B$10001,MATCH(2135,'Email Cleaner'!$I$2:$I$10001,0)),"")</f>
        <v/>
      </c>
    </row>
    <row r="2137">
      <c r="A2137">
        <f>IFERROR(INDEX('Email Cleaner'!$B$2:$B$10001,MATCH(2136,'Email Cleaner'!$I$2:$I$10001,0)),"")</f>
        <v/>
      </c>
    </row>
    <row r="2138">
      <c r="A2138">
        <f>IFERROR(INDEX('Email Cleaner'!$B$2:$B$10001,MATCH(2137,'Email Cleaner'!$I$2:$I$10001,0)),"")</f>
        <v/>
      </c>
    </row>
    <row r="2139">
      <c r="A2139">
        <f>IFERROR(INDEX('Email Cleaner'!$B$2:$B$10001,MATCH(2138,'Email Cleaner'!$I$2:$I$10001,0)),"")</f>
        <v/>
      </c>
    </row>
    <row r="2140">
      <c r="A2140">
        <f>IFERROR(INDEX('Email Cleaner'!$B$2:$B$10001,MATCH(2139,'Email Cleaner'!$I$2:$I$10001,0)),"")</f>
        <v/>
      </c>
    </row>
    <row r="2141">
      <c r="A2141">
        <f>IFERROR(INDEX('Email Cleaner'!$B$2:$B$10001,MATCH(2140,'Email Cleaner'!$I$2:$I$10001,0)),"")</f>
        <v/>
      </c>
    </row>
    <row r="2142">
      <c r="A2142">
        <f>IFERROR(INDEX('Email Cleaner'!$B$2:$B$10001,MATCH(2141,'Email Cleaner'!$I$2:$I$10001,0)),"")</f>
        <v/>
      </c>
    </row>
    <row r="2143">
      <c r="A2143">
        <f>IFERROR(INDEX('Email Cleaner'!$B$2:$B$10001,MATCH(2142,'Email Cleaner'!$I$2:$I$10001,0)),"")</f>
        <v/>
      </c>
    </row>
    <row r="2144">
      <c r="A2144">
        <f>IFERROR(INDEX('Email Cleaner'!$B$2:$B$10001,MATCH(2143,'Email Cleaner'!$I$2:$I$10001,0)),"")</f>
        <v/>
      </c>
    </row>
    <row r="2145">
      <c r="A2145">
        <f>IFERROR(INDEX('Email Cleaner'!$B$2:$B$10001,MATCH(2144,'Email Cleaner'!$I$2:$I$10001,0)),"")</f>
        <v/>
      </c>
    </row>
    <row r="2146">
      <c r="A2146">
        <f>IFERROR(INDEX('Email Cleaner'!$B$2:$B$10001,MATCH(2145,'Email Cleaner'!$I$2:$I$10001,0)),"")</f>
        <v/>
      </c>
    </row>
    <row r="2147">
      <c r="A2147">
        <f>IFERROR(INDEX('Email Cleaner'!$B$2:$B$10001,MATCH(2146,'Email Cleaner'!$I$2:$I$10001,0)),"")</f>
        <v/>
      </c>
    </row>
    <row r="2148">
      <c r="A2148">
        <f>IFERROR(INDEX('Email Cleaner'!$B$2:$B$10001,MATCH(2147,'Email Cleaner'!$I$2:$I$10001,0)),"")</f>
        <v/>
      </c>
    </row>
    <row r="2149">
      <c r="A2149">
        <f>IFERROR(INDEX('Email Cleaner'!$B$2:$B$10001,MATCH(2148,'Email Cleaner'!$I$2:$I$10001,0)),"")</f>
        <v/>
      </c>
    </row>
    <row r="2150">
      <c r="A2150">
        <f>IFERROR(INDEX('Email Cleaner'!$B$2:$B$10001,MATCH(2149,'Email Cleaner'!$I$2:$I$10001,0)),"")</f>
        <v/>
      </c>
    </row>
    <row r="2151">
      <c r="A2151">
        <f>IFERROR(INDEX('Email Cleaner'!$B$2:$B$10001,MATCH(2150,'Email Cleaner'!$I$2:$I$10001,0)),"")</f>
        <v/>
      </c>
    </row>
    <row r="2152">
      <c r="A2152">
        <f>IFERROR(INDEX('Email Cleaner'!$B$2:$B$10001,MATCH(2151,'Email Cleaner'!$I$2:$I$10001,0)),"")</f>
        <v/>
      </c>
    </row>
    <row r="2153">
      <c r="A2153">
        <f>IFERROR(INDEX('Email Cleaner'!$B$2:$B$10001,MATCH(2152,'Email Cleaner'!$I$2:$I$10001,0)),"")</f>
        <v/>
      </c>
    </row>
    <row r="2154">
      <c r="A2154">
        <f>IFERROR(INDEX('Email Cleaner'!$B$2:$B$10001,MATCH(2153,'Email Cleaner'!$I$2:$I$10001,0)),"")</f>
        <v/>
      </c>
    </row>
    <row r="2155">
      <c r="A2155">
        <f>IFERROR(INDEX('Email Cleaner'!$B$2:$B$10001,MATCH(2154,'Email Cleaner'!$I$2:$I$10001,0)),"")</f>
        <v/>
      </c>
    </row>
    <row r="2156">
      <c r="A2156">
        <f>IFERROR(INDEX('Email Cleaner'!$B$2:$B$10001,MATCH(2155,'Email Cleaner'!$I$2:$I$10001,0)),"")</f>
        <v/>
      </c>
    </row>
    <row r="2157">
      <c r="A2157">
        <f>IFERROR(INDEX('Email Cleaner'!$B$2:$B$10001,MATCH(2156,'Email Cleaner'!$I$2:$I$10001,0)),"")</f>
        <v/>
      </c>
    </row>
    <row r="2158">
      <c r="A2158">
        <f>IFERROR(INDEX('Email Cleaner'!$B$2:$B$10001,MATCH(2157,'Email Cleaner'!$I$2:$I$10001,0)),"")</f>
        <v/>
      </c>
    </row>
    <row r="2159">
      <c r="A2159">
        <f>IFERROR(INDEX('Email Cleaner'!$B$2:$B$10001,MATCH(2158,'Email Cleaner'!$I$2:$I$10001,0)),"")</f>
        <v/>
      </c>
    </row>
    <row r="2160">
      <c r="A2160">
        <f>IFERROR(INDEX('Email Cleaner'!$B$2:$B$10001,MATCH(2159,'Email Cleaner'!$I$2:$I$10001,0)),"")</f>
        <v/>
      </c>
    </row>
    <row r="2161">
      <c r="A2161">
        <f>IFERROR(INDEX('Email Cleaner'!$B$2:$B$10001,MATCH(2160,'Email Cleaner'!$I$2:$I$10001,0)),"")</f>
        <v/>
      </c>
    </row>
    <row r="2162">
      <c r="A2162">
        <f>IFERROR(INDEX('Email Cleaner'!$B$2:$B$10001,MATCH(2161,'Email Cleaner'!$I$2:$I$10001,0)),"")</f>
        <v/>
      </c>
    </row>
    <row r="2163">
      <c r="A2163">
        <f>IFERROR(INDEX('Email Cleaner'!$B$2:$B$10001,MATCH(2162,'Email Cleaner'!$I$2:$I$10001,0)),"")</f>
        <v/>
      </c>
    </row>
    <row r="2164">
      <c r="A2164">
        <f>IFERROR(INDEX('Email Cleaner'!$B$2:$B$10001,MATCH(2163,'Email Cleaner'!$I$2:$I$10001,0)),"")</f>
        <v/>
      </c>
    </row>
    <row r="2165">
      <c r="A2165">
        <f>IFERROR(INDEX('Email Cleaner'!$B$2:$B$10001,MATCH(2164,'Email Cleaner'!$I$2:$I$10001,0)),"")</f>
        <v/>
      </c>
    </row>
    <row r="2166">
      <c r="A2166">
        <f>IFERROR(INDEX('Email Cleaner'!$B$2:$B$10001,MATCH(2165,'Email Cleaner'!$I$2:$I$10001,0)),"")</f>
        <v/>
      </c>
    </row>
    <row r="2167">
      <c r="A2167">
        <f>IFERROR(INDEX('Email Cleaner'!$B$2:$B$10001,MATCH(2166,'Email Cleaner'!$I$2:$I$10001,0)),"")</f>
        <v/>
      </c>
    </row>
    <row r="2168">
      <c r="A2168">
        <f>IFERROR(INDEX('Email Cleaner'!$B$2:$B$10001,MATCH(2167,'Email Cleaner'!$I$2:$I$10001,0)),"")</f>
        <v/>
      </c>
    </row>
    <row r="2169">
      <c r="A2169">
        <f>IFERROR(INDEX('Email Cleaner'!$B$2:$B$10001,MATCH(2168,'Email Cleaner'!$I$2:$I$10001,0)),"")</f>
        <v/>
      </c>
    </row>
    <row r="2170">
      <c r="A2170">
        <f>IFERROR(INDEX('Email Cleaner'!$B$2:$B$10001,MATCH(2169,'Email Cleaner'!$I$2:$I$10001,0)),"")</f>
        <v/>
      </c>
    </row>
    <row r="2171">
      <c r="A2171">
        <f>IFERROR(INDEX('Email Cleaner'!$B$2:$B$10001,MATCH(2170,'Email Cleaner'!$I$2:$I$10001,0)),"")</f>
        <v/>
      </c>
    </row>
    <row r="2172">
      <c r="A2172">
        <f>IFERROR(INDEX('Email Cleaner'!$B$2:$B$10001,MATCH(2171,'Email Cleaner'!$I$2:$I$10001,0)),"")</f>
        <v/>
      </c>
    </row>
    <row r="2173">
      <c r="A2173">
        <f>IFERROR(INDEX('Email Cleaner'!$B$2:$B$10001,MATCH(2172,'Email Cleaner'!$I$2:$I$10001,0)),"")</f>
        <v/>
      </c>
    </row>
    <row r="2174">
      <c r="A2174">
        <f>IFERROR(INDEX('Email Cleaner'!$B$2:$B$10001,MATCH(2173,'Email Cleaner'!$I$2:$I$10001,0)),"")</f>
        <v/>
      </c>
    </row>
    <row r="2175">
      <c r="A2175">
        <f>IFERROR(INDEX('Email Cleaner'!$B$2:$B$10001,MATCH(2174,'Email Cleaner'!$I$2:$I$10001,0)),"")</f>
        <v/>
      </c>
    </row>
    <row r="2176">
      <c r="A2176">
        <f>IFERROR(INDEX('Email Cleaner'!$B$2:$B$10001,MATCH(2175,'Email Cleaner'!$I$2:$I$10001,0)),"")</f>
        <v/>
      </c>
    </row>
    <row r="2177">
      <c r="A2177">
        <f>IFERROR(INDEX('Email Cleaner'!$B$2:$B$10001,MATCH(2176,'Email Cleaner'!$I$2:$I$10001,0)),"")</f>
        <v/>
      </c>
    </row>
    <row r="2178">
      <c r="A2178">
        <f>IFERROR(INDEX('Email Cleaner'!$B$2:$B$10001,MATCH(2177,'Email Cleaner'!$I$2:$I$10001,0)),"")</f>
        <v/>
      </c>
    </row>
    <row r="2179">
      <c r="A2179">
        <f>IFERROR(INDEX('Email Cleaner'!$B$2:$B$10001,MATCH(2178,'Email Cleaner'!$I$2:$I$10001,0)),"")</f>
        <v/>
      </c>
    </row>
    <row r="2180">
      <c r="A2180">
        <f>IFERROR(INDEX('Email Cleaner'!$B$2:$B$10001,MATCH(2179,'Email Cleaner'!$I$2:$I$10001,0)),"")</f>
        <v/>
      </c>
    </row>
    <row r="2181">
      <c r="A2181">
        <f>IFERROR(INDEX('Email Cleaner'!$B$2:$B$10001,MATCH(2180,'Email Cleaner'!$I$2:$I$10001,0)),"")</f>
        <v/>
      </c>
    </row>
    <row r="2182">
      <c r="A2182">
        <f>IFERROR(INDEX('Email Cleaner'!$B$2:$B$10001,MATCH(2181,'Email Cleaner'!$I$2:$I$10001,0)),"")</f>
        <v/>
      </c>
    </row>
    <row r="2183">
      <c r="A2183">
        <f>IFERROR(INDEX('Email Cleaner'!$B$2:$B$10001,MATCH(2182,'Email Cleaner'!$I$2:$I$10001,0)),"")</f>
        <v/>
      </c>
    </row>
    <row r="2184">
      <c r="A2184">
        <f>IFERROR(INDEX('Email Cleaner'!$B$2:$B$10001,MATCH(2183,'Email Cleaner'!$I$2:$I$10001,0)),"")</f>
        <v/>
      </c>
    </row>
    <row r="2185">
      <c r="A2185">
        <f>IFERROR(INDEX('Email Cleaner'!$B$2:$B$10001,MATCH(2184,'Email Cleaner'!$I$2:$I$10001,0)),"")</f>
        <v/>
      </c>
    </row>
    <row r="2186">
      <c r="A2186">
        <f>IFERROR(INDEX('Email Cleaner'!$B$2:$B$10001,MATCH(2185,'Email Cleaner'!$I$2:$I$10001,0)),"")</f>
        <v/>
      </c>
    </row>
    <row r="2187">
      <c r="A2187">
        <f>IFERROR(INDEX('Email Cleaner'!$B$2:$B$10001,MATCH(2186,'Email Cleaner'!$I$2:$I$10001,0)),"")</f>
        <v/>
      </c>
    </row>
    <row r="2188">
      <c r="A2188">
        <f>IFERROR(INDEX('Email Cleaner'!$B$2:$B$10001,MATCH(2187,'Email Cleaner'!$I$2:$I$10001,0)),"")</f>
        <v/>
      </c>
    </row>
    <row r="2189">
      <c r="A2189">
        <f>IFERROR(INDEX('Email Cleaner'!$B$2:$B$10001,MATCH(2188,'Email Cleaner'!$I$2:$I$10001,0)),"")</f>
        <v/>
      </c>
    </row>
    <row r="2190">
      <c r="A2190">
        <f>IFERROR(INDEX('Email Cleaner'!$B$2:$B$10001,MATCH(2189,'Email Cleaner'!$I$2:$I$10001,0)),"")</f>
        <v/>
      </c>
    </row>
    <row r="2191">
      <c r="A2191">
        <f>IFERROR(INDEX('Email Cleaner'!$B$2:$B$10001,MATCH(2190,'Email Cleaner'!$I$2:$I$10001,0)),"")</f>
        <v/>
      </c>
    </row>
    <row r="2192">
      <c r="A2192">
        <f>IFERROR(INDEX('Email Cleaner'!$B$2:$B$10001,MATCH(2191,'Email Cleaner'!$I$2:$I$10001,0)),"")</f>
        <v/>
      </c>
    </row>
    <row r="2193">
      <c r="A2193">
        <f>IFERROR(INDEX('Email Cleaner'!$B$2:$B$10001,MATCH(2192,'Email Cleaner'!$I$2:$I$10001,0)),"")</f>
        <v/>
      </c>
    </row>
    <row r="2194">
      <c r="A2194">
        <f>IFERROR(INDEX('Email Cleaner'!$B$2:$B$10001,MATCH(2193,'Email Cleaner'!$I$2:$I$10001,0)),"")</f>
        <v/>
      </c>
    </row>
    <row r="2195">
      <c r="A2195">
        <f>IFERROR(INDEX('Email Cleaner'!$B$2:$B$10001,MATCH(2194,'Email Cleaner'!$I$2:$I$10001,0)),"")</f>
        <v/>
      </c>
    </row>
    <row r="2196">
      <c r="A2196">
        <f>IFERROR(INDEX('Email Cleaner'!$B$2:$B$10001,MATCH(2195,'Email Cleaner'!$I$2:$I$10001,0)),"")</f>
        <v/>
      </c>
    </row>
    <row r="2197">
      <c r="A2197">
        <f>IFERROR(INDEX('Email Cleaner'!$B$2:$B$10001,MATCH(2196,'Email Cleaner'!$I$2:$I$10001,0)),"")</f>
        <v/>
      </c>
    </row>
    <row r="2198">
      <c r="A2198">
        <f>IFERROR(INDEX('Email Cleaner'!$B$2:$B$10001,MATCH(2197,'Email Cleaner'!$I$2:$I$10001,0)),"")</f>
        <v/>
      </c>
    </row>
    <row r="2199">
      <c r="A2199">
        <f>IFERROR(INDEX('Email Cleaner'!$B$2:$B$10001,MATCH(2198,'Email Cleaner'!$I$2:$I$10001,0)),"")</f>
        <v/>
      </c>
    </row>
    <row r="2200">
      <c r="A2200">
        <f>IFERROR(INDEX('Email Cleaner'!$B$2:$B$10001,MATCH(2199,'Email Cleaner'!$I$2:$I$10001,0)),"")</f>
        <v/>
      </c>
    </row>
    <row r="2201">
      <c r="A2201">
        <f>IFERROR(INDEX('Email Cleaner'!$B$2:$B$10001,MATCH(2200,'Email Cleaner'!$I$2:$I$10001,0)),"")</f>
        <v/>
      </c>
    </row>
    <row r="2202">
      <c r="A2202">
        <f>IFERROR(INDEX('Email Cleaner'!$B$2:$B$10001,MATCH(2201,'Email Cleaner'!$I$2:$I$10001,0)),"")</f>
        <v/>
      </c>
    </row>
    <row r="2203">
      <c r="A2203">
        <f>IFERROR(INDEX('Email Cleaner'!$B$2:$B$10001,MATCH(2202,'Email Cleaner'!$I$2:$I$10001,0)),"")</f>
        <v/>
      </c>
    </row>
    <row r="2204">
      <c r="A2204">
        <f>IFERROR(INDEX('Email Cleaner'!$B$2:$B$10001,MATCH(2203,'Email Cleaner'!$I$2:$I$10001,0)),"")</f>
        <v/>
      </c>
    </row>
    <row r="2205">
      <c r="A2205">
        <f>IFERROR(INDEX('Email Cleaner'!$B$2:$B$10001,MATCH(2204,'Email Cleaner'!$I$2:$I$10001,0)),"")</f>
        <v/>
      </c>
    </row>
    <row r="2206">
      <c r="A2206">
        <f>IFERROR(INDEX('Email Cleaner'!$B$2:$B$10001,MATCH(2205,'Email Cleaner'!$I$2:$I$10001,0)),"")</f>
        <v/>
      </c>
    </row>
    <row r="2207">
      <c r="A2207">
        <f>IFERROR(INDEX('Email Cleaner'!$B$2:$B$10001,MATCH(2206,'Email Cleaner'!$I$2:$I$10001,0)),"")</f>
        <v/>
      </c>
    </row>
    <row r="2208">
      <c r="A2208">
        <f>IFERROR(INDEX('Email Cleaner'!$B$2:$B$10001,MATCH(2207,'Email Cleaner'!$I$2:$I$10001,0)),"")</f>
        <v/>
      </c>
    </row>
    <row r="2209">
      <c r="A2209">
        <f>IFERROR(INDEX('Email Cleaner'!$B$2:$B$10001,MATCH(2208,'Email Cleaner'!$I$2:$I$10001,0)),"")</f>
        <v/>
      </c>
    </row>
    <row r="2210">
      <c r="A2210">
        <f>IFERROR(INDEX('Email Cleaner'!$B$2:$B$10001,MATCH(2209,'Email Cleaner'!$I$2:$I$10001,0)),"")</f>
        <v/>
      </c>
    </row>
    <row r="2211">
      <c r="A2211">
        <f>IFERROR(INDEX('Email Cleaner'!$B$2:$B$10001,MATCH(2210,'Email Cleaner'!$I$2:$I$10001,0)),"")</f>
        <v/>
      </c>
    </row>
    <row r="2212">
      <c r="A2212">
        <f>IFERROR(INDEX('Email Cleaner'!$B$2:$B$10001,MATCH(2211,'Email Cleaner'!$I$2:$I$10001,0)),"")</f>
        <v/>
      </c>
    </row>
    <row r="2213">
      <c r="A2213">
        <f>IFERROR(INDEX('Email Cleaner'!$B$2:$B$10001,MATCH(2212,'Email Cleaner'!$I$2:$I$10001,0)),"")</f>
        <v/>
      </c>
    </row>
    <row r="2214">
      <c r="A2214">
        <f>IFERROR(INDEX('Email Cleaner'!$B$2:$B$10001,MATCH(2213,'Email Cleaner'!$I$2:$I$10001,0)),"")</f>
        <v/>
      </c>
    </row>
    <row r="2215">
      <c r="A2215">
        <f>IFERROR(INDEX('Email Cleaner'!$B$2:$B$10001,MATCH(2214,'Email Cleaner'!$I$2:$I$10001,0)),"")</f>
        <v/>
      </c>
    </row>
    <row r="2216">
      <c r="A2216">
        <f>IFERROR(INDEX('Email Cleaner'!$B$2:$B$10001,MATCH(2215,'Email Cleaner'!$I$2:$I$10001,0)),"")</f>
        <v/>
      </c>
    </row>
    <row r="2217">
      <c r="A2217">
        <f>IFERROR(INDEX('Email Cleaner'!$B$2:$B$10001,MATCH(2216,'Email Cleaner'!$I$2:$I$10001,0)),"")</f>
        <v/>
      </c>
    </row>
    <row r="2218">
      <c r="A2218">
        <f>IFERROR(INDEX('Email Cleaner'!$B$2:$B$10001,MATCH(2217,'Email Cleaner'!$I$2:$I$10001,0)),"")</f>
        <v/>
      </c>
    </row>
    <row r="2219">
      <c r="A2219">
        <f>IFERROR(INDEX('Email Cleaner'!$B$2:$B$10001,MATCH(2218,'Email Cleaner'!$I$2:$I$10001,0)),"")</f>
        <v/>
      </c>
    </row>
    <row r="2220">
      <c r="A2220">
        <f>IFERROR(INDEX('Email Cleaner'!$B$2:$B$10001,MATCH(2219,'Email Cleaner'!$I$2:$I$10001,0)),"")</f>
        <v/>
      </c>
    </row>
    <row r="2221">
      <c r="A2221">
        <f>IFERROR(INDEX('Email Cleaner'!$B$2:$B$10001,MATCH(2220,'Email Cleaner'!$I$2:$I$10001,0)),"")</f>
        <v/>
      </c>
    </row>
    <row r="2222">
      <c r="A2222">
        <f>IFERROR(INDEX('Email Cleaner'!$B$2:$B$10001,MATCH(2221,'Email Cleaner'!$I$2:$I$10001,0)),"")</f>
        <v/>
      </c>
    </row>
    <row r="2223">
      <c r="A2223">
        <f>IFERROR(INDEX('Email Cleaner'!$B$2:$B$10001,MATCH(2222,'Email Cleaner'!$I$2:$I$10001,0)),"")</f>
        <v/>
      </c>
    </row>
    <row r="2224">
      <c r="A2224">
        <f>IFERROR(INDEX('Email Cleaner'!$B$2:$B$10001,MATCH(2223,'Email Cleaner'!$I$2:$I$10001,0)),"")</f>
        <v/>
      </c>
    </row>
    <row r="2225">
      <c r="A2225">
        <f>IFERROR(INDEX('Email Cleaner'!$B$2:$B$10001,MATCH(2224,'Email Cleaner'!$I$2:$I$10001,0)),"")</f>
        <v/>
      </c>
    </row>
    <row r="2226">
      <c r="A2226">
        <f>IFERROR(INDEX('Email Cleaner'!$B$2:$B$10001,MATCH(2225,'Email Cleaner'!$I$2:$I$10001,0)),"")</f>
        <v/>
      </c>
    </row>
    <row r="2227">
      <c r="A2227">
        <f>IFERROR(INDEX('Email Cleaner'!$B$2:$B$10001,MATCH(2226,'Email Cleaner'!$I$2:$I$10001,0)),"")</f>
        <v/>
      </c>
    </row>
    <row r="2228">
      <c r="A2228">
        <f>IFERROR(INDEX('Email Cleaner'!$B$2:$B$10001,MATCH(2227,'Email Cleaner'!$I$2:$I$10001,0)),"")</f>
        <v/>
      </c>
    </row>
    <row r="2229">
      <c r="A2229">
        <f>IFERROR(INDEX('Email Cleaner'!$B$2:$B$10001,MATCH(2228,'Email Cleaner'!$I$2:$I$10001,0)),"")</f>
        <v/>
      </c>
    </row>
    <row r="2230">
      <c r="A2230">
        <f>IFERROR(INDEX('Email Cleaner'!$B$2:$B$10001,MATCH(2229,'Email Cleaner'!$I$2:$I$10001,0)),"")</f>
        <v/>
      </c>
    </row>
    <row r="2231">
      <c r="A2231">
        <f>IFERROR(INDEX('Email Cleaner'!$B$2:$B$10001,MATCH(2230,'Email Cleaner'!$I$2:$I$10001,0)),"")</f>
        <v/>
      </c>
    </row>
    <row r="2232">
      <c r="A2232">
        <f>IFERROR(INDEX('Email Cleaner'!$B$2:$B$10001,MATCH(2231,'Email Cleaner'!$I$2:$I$10001,0)),"")</f>
        <v/>
      </c>
    </row>
    <row r="2233">
      <c r="A2233">
        <f>IFERROR(INDEX('Email Cleaner'!$B$2:$B$10001,MATCH(2232,'Email Cleaner'!$I$2:$I$10001,0)),"")</f>
        <v/>
      </c>
    </row>
    <row r="2234">
      <c r="A2234">
        <f>IFERROR(INDEX('Email Cleaner'!$B$2:$B$10001,MATCH(2233,'Email Cleaner'!$I$2:$I$10001,0)),"")</f>
        <v/>
      </c>
    </row>
    <row r="2235">
      <c r="A2235">
        <f>IFERROR(INDEX('Email Cleaner'!$B$2:$B$10001,MATCH(2234,'Email Cleaner'!$I$2:$I$10001,0)),"")</f>
        <v/>
      </c>
    </row>
    <row r="2236">
      <c r="A2236">
        <f>IFERROR(INDEX('Email Cleaner'!$B$2:$B$10001,MATCH(2235,'Email Cleaner'!$I$2:$I$10001,0)),"")</f>
        <v/>
      </c>
    </row>
    <row r="2237">
      <c r="A2237">
        <f>IFERROR(INDEX('Email Cleaner'!$B$2:$B$10001,MATCH(2236,'Email Cleaner'!$I$2:$I$10001,0)),"")</f>
        <v/>
      </c>
    </row>
    <row r="2238">
      <c r="A2238">
        <f>IFERROR(INDEX('Email Cleaner'!$B$2:$B$10001,MATCH(2237,'Email Cleaner'!$I$2:$I$10001,0)),"")</f>
        <v/>
      </c>
    </row>
    <row r="2239">
      <c r="A2239">
        <f>IFERROR(INDEX('Email Cleaner'!$B$2:$B$10001,MATCH(2238,'Email Cleaner'!$I$2:$I$10001,0)),"")</f>
        <v/>
      </c>
    </row>
    <row r="2240">
      <c r="A2240">
        <f>IFERROR(INDEX('Email Cleaner'!$B$2:$B$10001,MATCH(2239,'Email Cleaner'!$I$2:$I$10001,0)),"")</f>
        <v/>
      </c>
    </row>
    <row r="2241">
      <c r="A2241">
        <f>IFERROR(INDEX('Email Cleaner'!$B$2:$B$10001,MATCH(2240,'Email Cleaner'!$I$2:$I$10001,0)),"")</f>
        <v/>
      </c>
    </row>
    <row r="2242">
      <c r="A2242">
        <f>IFERROR(INDEX('Email Cleaner'!$B$2:$B$10001,MATCH(2241,'Email Cleaner'!$I$2:$I$10001,0)),"")</f>
        <v/>
      </c>
    </row>
    <row r="2243">
      <c r="A2243">
        <f>IFERROR(INDEX('Email Cleaner'!$B$2:$B$10001,MATCH(2242,'Email Cleaner'!$I$2:$I$10001,0)),"")</f>
        <v/>
      </c>
    </row>
    <row r="2244">
      <c r="A2244">
        <f>IFERROR(INDEX('Email Cleaner'!$B$2:$B$10001,MATCH(2243,'Email Cleaner'!$I$2:$I$10001,0)),"")</f>
        <v/>
      </c>
    </row>
    <row r="2245">
      <c r="A2245">
        <f>IFERROR(INDEX('Email Cleaner'!$B$2:$B$10001,MATCH(2244,'Email Cleaner'!$I$2:$I$10001,0)),"")</f>
        <v/>
      </c>
    </row>
    <row r="2246">
      <c r="A2246">
        <f>IFERROR(INDEX('Email Cleaner'!$B$2:$B$10001,MATCH(2245,'Email Cleaner'!$I$2:$I$10001,0)),"")</f>
        <v/>
      </c>
    </row>
    <row r="2247">
      <c r="A2247">
        <f>IFERROR(INDEX('Email Cleaner'!$B$2:$B$10001,MATCH(2246,'Email Cleaner'!$I$2:$I$10001,0)),"")</f>
        <v/>
      </c>
    </row>
    <row r="2248">
      <c r="A2248">
        <f>IFERROR(INDEX('Email Cleaner'!$B$2:$B$10001,MATCH(2247,'Email Cleaner'!$I$2:$I$10001,0)),"")</f>
        <v/>
      </c>
    </row>
    <row r="2249">
      <c r="A2249">
        <f>IFERROR(INDEX('Email Cleaner'!$B$2:$B$10001,MATCH(2248,'Email Cleaner'!$I$2:$I$10001,0)),"")</f>
        <v/>
      </c>
    </row>
    <row r="2250">
      <c r="A2250">
        <f>IFERROR(INDEX('Email Cleaner'!$B$2:$B$10001,MATCH(2249,'Email Cleaner'!$I$2:$I$10001,0)),"")</f>
        <v/>
      </c>
    </row>
    <row r="2251">
      <c r="A2251">
        <f>IFERROR(INDEX('Email Cleaner'!$B$2:$B$10001,MATCH(2250,'Email Cleaner'!$I$2:$I$10001,0)),"")</f>
        <v/>
      </c>
    </row>
    <row r="2252">
      <c r="A2252">
        <f>IFERROR(INDEX('Email Cleaner'!$B$2:$B$10001,MATCH(2251,'Email Cleaner'!$I$2:$I$10001,0)),"")</f>
        <v/>
      </c>
    </row>
    <row r="2253">
      <c r="A2253">
        <f>IFERROR(INDEX('Email Cleaner'!$B$2:$B$10001,MATCH(2252,'Email Cleaner'!$I$2:$I$10001,0)),"")</f>
        <v/>
      </c>
    </row>
    <row r="2254">
      <c r="A2254">
        <f>IFERROR(INDEX('Email Cleaner'!$B$2:$B$10001,MATCH(2253,'Email Cleaner'!$I$2:$I$10001,0)),"")</f>
        <v/>
      </c>
    </row>
    <row r="2255">
      <c r="A2255">
        <f>IFERROR(INDEX('Email Cleaner'!$B$2:$B$10001,MATCH(2254,'Email Cleaner'!$I$2:$I$10001,0)),"")</f>
        <v/>
      </c>
    </row>
    <row r="2256">
      <c r="A2256">
        <f>IFERROR(INDEX('Email Cleaner'!$B$2:$B$10001,MATCH(2255,'Email Cleaner'!$I$2:$I$10001,0)),"")</f>
        <v/>
      </c>
    </row>
    <row r="2257">
      <c r="A2257">
        <f>IFERROR(INDEX('Email Cleaner'!$B$2:$B$10001,MATCH(2256,'Email Cleaner'!$I$2:$I$10001,0)),"")</f>
        <v/>
      </c>
    </row>
    <row r="2258">
      <c r="A2258">
        <f>IFERROR(INDEX('Email Cleaner'!$B$2:$B$10001,MATCH(2257,'Email Cleaner'!$I$2:$I$10001,0)),"")</f>
        <v/>
      </c>
    </row>
    <row r="2259">
      <c r="A2259">
        <f>IFERROR(INDEX('Email Cleaner'!$B$2:$B$10001,MATCH(2258,'Email Cleaner'!$I$2:$I$10001,0)),"")</f>
        <v/>
      </c>
    </row>
    <row r="2260">
      <c r="A2260">
        <f>IFERROR(INDEX('Email Cleaner'!$B$2:$B$10001,MATCH(2259,'Email Cleaner'!$I$2:$I$10001,0)),"")</f>
        <v/>
      </c>
    </row>
    <row r="2261">
      <c r="A2261">
        <f>IFERROR(INDEX('Email Cleaner'!$B$2:$B$10001,MATCH(2260,'Email Cleaner'!$I$2:$I$10001,0)),"")</f>
        <v/>
      </c>
    </row>
    <row r="2262">
      <c r="A2262">
        <f>IFERROR(INDEX('Email Cleaner'!$B$2:$B$10001,MATCH(2261,'Email Cleaner'!$I$2:$I$10001,0)),"")</f>
        <v/>
      </c>
    </row>
    <row r="2263">
      <c r="A2263">
        <f>IFERROR(INDEX('Email Cleaner'!$B$2:$B$10001,MATCH(2262,'Email Cleaner'!$I$2:$I$10001,0)),"")</f>
        <v/>
      </c>
    </row>
    <row r="2264">
      <c r="A2264">
        <f>IFERROR(INDEX('Email Cleaner'!$B$2:$B$10001,MATCH(2263,'Email Cleaner'!$I$2:$I$10001,0)),"")</f>
        <v/>
      </c>
    </row>
    <row r="2265">
      <c r="A2265">
        <f>IFERROR(INDEX('Email Cleaner'!$B$2:$B$10001,MATCH(2264,'Email Cleaner'!$I$2:$I$10001,0)),"")</f>
        <v/>
      </c>
    </row>
    <row r="2266">
      <c r="A2266">
        <f>IFERROR(INDEX('Email Cleaner'!$B$2:$B$10001,MATCH(2265,'Email Cleaner'!$I$2:$I$10001,0)),"")</f>
        <v/>
      </c>
    </row>
    <row r="2267">
      <c r="A2267">
        <f>IFERROR(INDEX('Email Cleaner'!$B$2:$B$10001,MATCH(2266,'Email Cleaner'!$I$2:$I$10001,0)),"")</f>
        <v/>
      </c>
    </row>
    <row r="2268">
      <c r="A2268">
        <f>IFERROR(INDEX('Email Cleaner'!$B$2:$B$10001,MATCH(2267,'Email Cleaner'!$I$2:$I$10001,0)),"")</f>
        <v/>
      </c>
    </row>
    <row r="2269">
      <c r="A2269">
        <f>IFERROR(INDEX('Email Cleaner'!$B$2:$B$10001,MATCH(2268,'Email Cleaner'!$I$2:$I$10001,0)),"")</f>
        <v/>
      </c>
    </row>
    <row r="2270">
      <c r="A2270">
        <f>IFERROR(INDEX('Email Cleaner'!$B$2:$B$10001,MATCH(2269,'Email Cleaner'!$I$2:$I$10001,0)),"")</f>
        <v/>
      </c>
    </row>
    <row r="2271">
      <c r="A2271">
        <f>IFERROR(INDEX('Email Cleaner'!$B$2:$B$10001,MATCH(2270,'Email Cleaner'!$I$2:$I$10001,0)),"")</f>
        <v/>
      </c>
    </row>
    <row r="2272">
      <c r="A2272">
        <f>IFERROR(INDEX('Email Cleaner'!$B$2:$B$10001,MATCH(2271,'Email Cleaner'!$I$2:$I$10001,0)),"")</f>
        <v/>
      </c>
    </row>
    <row r="2273">
      <c r="A2273">
        <f>IFERROR(INDEX('Email Cleaner'!$B$2:$B$10001,MATCH(2272,'Email Cleaner'!$I$2:$I$10001,0)),"")</f>
        <v/>
      </c>
    </row>
    <row r="2274">
      <c r="A2274">
        <f>IFERROR(INDEX('Email Cleaner'!$B$2:$B$10001,MATCH(2273,'Email Cleaner'!$I$2:$I$10001,0)),"")</f>
        <v/>
      </c>
    </row>
    <row r="2275">
      <c r="A2275">
        <f>IFERROR(INDEX('Email Cleaner'!$B$2:$B$10001,MATCH(2274,'Email Cleaner'!$I$2:$I$10001,0)),"")</f>
        <v/>
      </c>
    </row>
    <row r="2276">
      <c r="A2276">
        <f>IFERROR(INDEX('Email Cleaner'!$B$2:$B$10001,MATCH(2275,'Email Cleaner'!$I$2:$I$10001,0)),"")</f>
        <v/>
      </c>
    </row>
    <row r="2277">
      <c r="A2277">
        <f>IFERROR(INDEX('Email Cleaner'!$B$2:$B$10001,MATCH(2276,'Email Cleaner'!$I$2:$I$10001,0)),"")</f>
        <v/>
      </c>
    </row>
    <row r="2278">
      <c r="A2278">
        <f>IFERROR(INDEX('Email Cleaner'!$B$2:$B$10001,MATCH(2277,'Email Cleaner'!$I$2:$I$10001,0)),"")</f>
        <v/>
      </c>
    </row>
    <row r="2279">
      <c r="A2279">
        <f>IFERROR(INDEX('Email Cleaner'!$B$2:$B$10001,MATCH(2278,'Email Cleaner'!$I$2:$I$10001,0)),"")</f>
        <v/>
      </c>
    </row>
    <row r="2280">
      <c r="A2280">
        <f>IFERROR(INDEX('Email Cleaner'!$B$2:$B$10001,MATCH(2279,'Email Cleaner'!$I$2:$I$10001,0)),"")</f>
        <v/>
      </c>
    </row>
    <row r="2281">
      <c r="A2281">
        <f>IFERROR(INDEX('Email Cleaner'!$B$2:$B$10001,MATCH(2280,'Email Cleaner'!$I$2:$I$10001,0)),"")</f>
        <v/>
      </c>
    </row>
    <row r="2282">
      <c r="A2282">
        <f>IFERROR(INDEX('Email Cleaner'!$B$2:$B$10001,MATCH(2281,'Email Cleaner'!$I$2:$I$10001,0)),"")</f>
        <v/>
      </c>
    </row>
    <row r="2283">
      <c r="A2283">
        <f>IFERROR(INDEX('Email Cleaner'!$B$2:$B$10001,MATCH(2282,'Email Cleaner'!$I$2:$I$10001,0)),"")</f>
        <v/>
      </c>
    </row>
    <row r="2284">
      <c r="A2284">
        <f>IFERROR(INDEX('Email Cleaner'!$B$2:$B$10001,MATCH(2283,'Email Cleaner'!$I$2:$I$10001,0)),"")</f>
        <v/>
      </c>
    </row>
    <row r="2285">
      <c r="A2285">
        <f>IFERROR(INDEX('Email Cleaner'!$B$2:$B$10001,MATCH(2284,'Email Cleaner'!$I$2:$I$10001,0)),"")</f>
        <v/>
      </c>
    </row>
    <row r="2286">
      <c r="A2286">
        <f>IFERROR(INDEX('Email Cleaner'!$B$2:$B$10001,MATCH(2285,'Email Cleaner'!$I$2:$I$10001,0)),"")</f>
        <v/>
      </c>
    </row>
    <row r="2287">
      <c r="A2287">
        <f>IFERROR(INDEX('Email Cleaner'!$B$2:$B$10001,MATCH(2286,'Email Cleaner'!$I$2:$I$10001,0)),"")</f>
        <v/>
      </c>
    </row>
    <row r="2288">
      <c r="A2288">
        <f>IFERROR(INDEX('Email Cleaner'!$B$2:$B$10001,MATCH(2287,'Email Cleaner'!$I$2:$I$10001,0)),"")</f>
        <v/>
      </c>
    </row>
    <row r="2289">
      <c r="A2289">
        <f>IFERROR(INDEX('Email Cleaner'!$B$2:$B$10001,MATCH(2288,'Email Cleaner'!$I$2:$I$10001,0)),"")</f>
        <v/>
      </c>
    </row>
    <row r="2290">
      <c r="A2290">
        <f>IFERROR(INDEX('Email Cleaner'!$B$2:$B$10001,MATCH(2289,'Email Cleaner'!$I$2:$I$10001,0)),"")</f>
        <v/>
      </c>
    </row>
    <row r="2291">
      <c r="A2291">
        <f>IFERROR(INDEX('Email Cleaner'!$B$2:$B$10001,MATCH(2290,'Email Cleaner'!$I$2:$I$10001,0)),"")</f>
        <v/>
      </c>
    </row>
    <row r="2292">
      <c r="A2292">
        <f>IFERROR(INDEX('Email Cleaner'!$B$2:$B$10001,MATCH(2291,'Email Cleaner'!$I$2:$I$10001,0)),"")</f>
        <v/>
      </c>
    </row>
    <row r="2293">
      <c r="A2293">
        <f>IFERROR(INDEX('Email Cleaner'!$B$2:$B$10001,MATCH(2292,'Email Cleaner'!$I$2:$I$10001,0)),"")</f>
        <v/>
      </c>
    </row>
    <row r="2294">
      <c r="A2294">
        <f>IFERROR(INDEX('Email Cleaner'!$B$2:$B$10001,MATCH(2293,'Email Cleaner'!$I$2:$I$10001,0)),"")</f>
        <v/>
      </c>
    </row>
    <row r="2295">
      <c r="A2295">
        <f>IFERROR(INDEX('Email Cleaner'!$B$2:$B$10001,MATCH(2294,'Email Cleaner'!$I$2:$I$10001,0)),"")</f>
        <v/>
      </c>
    </row>
    <row r="2296">
      <c r="A2296">
        <f>IFERROR(INDEX('Email Cleaner'!$B$2:$B$10001,MATCH(2295,'Email Cleaner'!$I$2:$I$10001,0)),"")</f>
        <v/>
      </c>
    </row>
    <row r="2297">
      <c r="A2297">
        <f>IFERROR(INDEX('Email Cleaner'!$B$2:$B$10001,MATCH(2296,'Email Cleaner'!$I$2:$I$10001,0)),"")</f>
        <v/>
      </c>
    </row>
    <row r="2298">
      <c r="A2298">
        <f>IFERROR(INDEX('Email Cleaner'!$B$2:$B$10001,MATCH(2297,'Email Cleaner'!$I$2:$I$10001,0)),"")</f>
        <v/>
      </c>
    </row>
    <row r="2299">
      <c r="A2299">
        <f>IFERROR(INDEX('Email Cleaner'!$B$2:$B$10001,MATCH(2298,'Email Cleaner'!$I$2:$I$10001,0)),"")</f>
        <v/>
      </c>
    </row>
    <row r="2300">
      <c r="A2300">
        <f>IFERROR(INDEX('Email Cleaner'!$B$2:$B$10001,MATCH(2299,'Email Cleaner'!$I$2:$I$10001,0)),"")</f>
        <v/>
      </c>
    </row>
    <row r="2301">
      <c r="A2301">
        <f>IFERROR(INDEX('Email Cleaner'!$B$2:$B$10001,MATCH(2300,'Email Cleaner'!$I$2:$I$10001,0)),"")</f>
        <v/>
      </c>
    </row>
    <row r="2302">
      <c r="A2302">
        <f>IFERROR(INDEX('Email Cleaner'!$B$2:$B$10001,MATCH(2301,'Email Cleaner'!$I$2:$I$10001,0)),"")</f>
        <v/>
      </c>
    </row>
    <row r="2303">
      <c r="A2303">
        <f>IFERROR(INDEX('Email Cleaner'!$B$2:$B$10001,MATCH(2302,'Email Cleaner'!$I$2:$I$10001,0)),"")</f>
        <v/>
      </c>
    </row>
    <row r="2304">
      <c r="A2304">
        <f>IFERROR(INDEX('Email Cleaner'!$B$2:$B$10001,MATCH(2303,'Email Cleaner'!$I$2:$I$10001,0)),"")</f>
        <v/>
      </c>
    </row>
    <row r="2305">
      <c r="A2305">
        <f>IFERROR(INDEX('Email Cleaner'!$B$2:$B$10001,MATCH(2304,'Email Cleaner'!$I$2:$I$10001,0)),"")</f>
        <v/>
      </c>
    </row>
    <row r="2306">
      <c r="A2306">
        <f>IFERROR(INDEX('Email Cleaner'!$B$2:$B$10001,MATCH(2305,'Email Cleaner'!$I$2:$I$10001,0)),"")</f>
        <v/>
      </c>
    </row>
    <row r="2307">
      <c r="A2307">
        <f>IFERROR(INDEX('Email Cleaner'!$B$2:$B$10001,MATCH(2306,'Email Cleaner'!$I$2:$I$10001,0)),"")</f>
        <v/>
      </c>
    </row>
    <row r="2308">
      <c r="A2308">
        <f>IFERROR(INDEX('Email Cleaner'!$B$2:$B$10001,MATCH(2307,'Email Cleaner'!$I$2:$I$10001,0)),"")</f>
        <v/>
      </c>
    </row>
    <row r="2309">
      <c r="A2309">
        <f>IFERROR(INDEX('Email Cleaner'!$B$2:$B$10001,MATCH(2308,'Email Cleaner'!$I$2:$I$10001,0)),"")</f>
        <v/>
      </c>
    </row>
    <row r="2310">
      <c r="A2310">
        <f>IFERROR(INDEX('Email Cleaner'!$B$2:$B$10001,MATCH(2309,'Email Cleaner'!$I$2:$I$10001,0)),"")</f>
        <v/>
      </c>
    </row>
    <row r="2311">
      <c r="A2311">
        <f>IFERROR(INDEX('Email Cleaner'!$B$2:$B$10001,MATCH(2310,'Email Cleaner'!$I$2:$I$10001,0)),"")</f>
        <v/>
      </c>
    </row>
    <row r="2312">
      <c r="A2312">
        <f>IFERROR(INDEX('Email Cleaner'!$B$2:$B$10001,MATCH(2311,'Email Cleaner'!$I$2:$I$10001,0)),"")</f>
        <v/>
      </c>
    </row>
    <row r="2313">
      <c r="A2313">
        <f>IFERROR(INDEX('Email Cleaner'!$B$2:$B$10001,MATCH(2312,'Email Cleaner'!$I$2:$I$10001,0)),"")</f>
        <v/>
      </c>
    </row>
    <row r="2314">
      <c r="A2314">
        <f>IFERROR(INDEX('Email Cleaner'!$B$2:$B$10001,MATCH(2313,'Email Cleaner'!$I$2:$I$10001,0)),"")</f>
        <v/>
      </c>
    </row>
    <row r="2315">
      <c r="A2315">
        <f>IFERROR(INDEX('Email Cleaner'!$B$2:$B$10001,MATCH(2314,'Email Cleaner'!$I$2:$I$10001,0)),"")</f>
        <v/>
      </c>
    </row>
    <row r="2316">
      <c r="A2316">
        <f>IFERROR(INDEX('Email Cleaner'!$B$2:$B$10001,MATCH(2315,'Email Cleaner'!$I$2:$I$10001,0)),"")</f>
        <v/>
      </c>
    </row>
    <row r="2317">
      <c r="A2317">
        <f>IFERROR(INDEX('Email Cleaner'!$B$2:$B$10001,MATCH(2316,'Email Cleaner'!$I$2:$I$10001,0)),"")</f>
        <v/>
      </c>
    </row>
    <row r="2318">
      <c r="A2318">
        <f>IFERROR(INDEX('Email Cleaner'!$B$2:$B$10001,MATCH(2317,'Email Cleaner'!$I$2:$I$10001,0)),"")</f>
        <v/>
      </c>
    </row>
    <row r="2319">
      <c r="A2319">
        <f>IFERROR(INDEX('Email Cleaner'!$B$2:$B$10001,MATCH(2318,'Email Cleaner'!$I$2:$I$10001,0)),"")</f>
        <v/>
      </c>
    </row>
    <row r="2320">
      <c r="A2320">
        <f>IFERROR(INDEX('Email Cleaner'!$B$2:$B$10001,MATCH(2319,'Email Cleaner'!$I$2:$I$10001,0)),"")</f>
        <v/>
      </c>
    </row>
    <row r="2321">
      <c r="A2321">
        <f>IFERROR(INDEX('Email Cleaner'!$B$2:$B$10001,MATCH(2320,'Email Cleaner'!$I$2:$I$10001,0)),"")</f>
        <v/>
      </c>
    </row>
    <row r="2322">
      <c r="A2322">
        <f>IFERROR(INDEX('Email Cleaner'!$B$2:$B$10001,MATCH(2321,'Email Cleaner'!$I$2:$I$10001,0)),"")</f>
        <v/>
      </c>
    </row>
    <row r="2323">
      <c r="A2323">
        <f>IFERROR(INDEX('Email Cleaner'!$B$2:$B$10001,MATCH(2322,'Email Cleaner'!$I$2:$I$10001,0)),"")</f>
        <v/>
      </c>
    </row>
    <row r="2324">
      <c r="A2324">
        <f>IFERROR(INDEX('Email Cleaner'!$B$2:$B$10001,MATCH(2323,'Email Cleaner'!$I$2:$I$10001,0)),"")</f>
        <v/>
      </c>
    </row>
    <row r="2325">
      <c r="A2325">
        <f>IFERROR(INDEX('Email Cleaner'!$B$2:$B$10001,MATCH(2324,'Email Cleaner'!$I$2:$I$10001,0)),"")</f>
        <v/>
      </c>
    </row>
    <row r="2326">
      <c r="A2326">
        <f>IFERROR(INDEX('Email Cleaner'!$B$2:$B$10001,MATCH(2325,'Email Cleaner'!$I$2:$I$10001,0)),"")</f>
        <v/>
      </c>
    </row>
    <row r="2327">
      <c r="A2327">
        <f>IFERROR(INDEX('Email Cleaner'!$B$2:$B$10001,MATCH(2326,'Email Cleaner'!$I$2:$I$10001,0)),"")</f>
        <v/>
      </c>
    </row>
    <row r="2328">
      <c r="A2328">
        <f>IFERROR(INDEX('Email Cleaner'!$B$2:$B$10001,MATCH(2327,'Email Cleaner'!$I$2:$I$10001,0)),"")</f>
        <v/>
      </c>
    </row>
    <row r="2329">
      <c r="A2329">
        <f>IFERROR(INDEX('Email Cleaner'!$B$2:$B$10001,MATCH(2328,'Email Cleaner'!$I$2:$I$10001,0)),"")</f>
        <v/>
      </c>
    </row>
    <row r="2330">
      <c r="A2330">
        <f>IFERROR(INDEX('Email Cleaner'!$B$2:$B$10001,MATCH(2329,'Email Cleaner'!$I$2:$I$10001,0)),"")</f>
        <v/>
      </c>
    </row>
    <row r="2331">
      <c r="A2331">
        <f>IFERROR(INDEX('Email Cleaner'!$B$2:$B$10001,MATCH(2330,'Email Cleaner'!$I$2:$I$10001,0)),"")</f>
        <v/>
      </c>
    </row>
    <row r="2332">
      <c r="A2332">
        <f>IFERROR(INDEX('Email Cleaner'!$B$2:$B$10001,MATCH(2331,'Email Cleaner'!$I$2:$I$10001,0)),"")</f>
        <v/>
      </c>
    </row>
    <row r="2333">
      <c r="A2333">
        <f>IFERROR(INDEX('Email Cleaner'!$B$2:$B$10001,MATCH(2332,'Email Cleaner'!$I$2:$I$10001,0)),"")</f>
        <v/>
      </c>
    </row>
    <row r="2334">
      <c r="A2334">
        <f>IFERROR(INDEX('Email Cleaner'!$B$2:$B$10001,MATCH(2333,'Email Cleaner'!$I$2:$I$10001,0)),"")</f>
        <v/>
      </c>
    </row>
    <row r="2335">
      <c r="A2335">
        <f>IFERROR(INDEX('Email Cleaner'!$B$2:$B$10001,MATCH(2334,'Email Cleaner'!$I$2:$I$10001,0)),"")</f>
        <v/>
      </c>
    </row>
    <row r="2336">
      <c r="A2336">
        <f>IFERROR(INDEX('Email Cleaner'!$B$2:$B$10001,MATCH(2335,'Email Cleaner'!$I$2:$I$10001,0)),"")</f>
        <v/>
      </c>
    </row>
    <row r="2337">
      <c r="A2337">
        <f>IFERROR(INDEX('Email Cleaner'!$B$2:$B$10001,MATCH(2336,'Email Cleaner'!$I$2:$I$10001,0)),"")</f>
        <v/>
      </c>
    </row>
    <row r="2338">
      <c r="A2338">
        <f>IFERROR(INDEX('Email Cleaner'!$B$2:$B$10001,MATCH(2337,'Email Cleaner'!$I$2:$I$10001,0)),"")</f>
        <v/>
      </c>
    </row>
    <row r="2339">
      <c r="A2339">
        <f>IFERROR(INDEX('Email Cleaner'!$B$2:$B$10001,MATCH(2338,'Email Cleaner'!$I$2:$I$10001,0)),"")</f>
        <v/>
      </c>
    </row>
    <row r="2340">
      <c r="A2340">
        <f>IFERROR(INDEX('Email Cleaner'!$B$2:$B$10001,MATCH(2339,'Email Cleaner'!$I$2:$I$10001,0)),"")</f>
        <v/>
      </c>
    </row>
    <row r="2341">
      <c r="A2341">
        <f>IFERROR(INDEX('Email Cleaner'!$B$2:$B$10001,MATCH(2340,'Email Cleaner'!$I$2:$I$10001,0)),"")</f>
        <v/>
      </c>
    </row>
    <row r="2342">
      <c r="A2342">
        <f>IFERROR(INDEX('Email Cleaner'!$B$2:$B$10001,MATCH(2341,'Email Cleaner'!$I$2:$I$10001,0)),"")</f>
        <v/>
      </c>
    </row>
    <row r="2343">
      <c r="A2343">
        <f>IFERROR(INDEX('Email Cleaner'!$B$2:$B$10001,MATCH(2342,'Email Cleaner'!$I$2:$I$10001,0)),"")</f>
        <v/>
      </c>
    </row>
    <row r="2344">
      <c r="A2344">
        <f>IFERROR(INDEX('Email Cleaner'!$B$2:$B$10001,MATCH(2343,'Email Cleaner'!$I$2:$I$10001,0)),"")</f>
        <v/>
      </c>
    </row>
    <row r="2345">
      <c r="A2345">
        <f>IFERROR(INDEX('Email Cleaner'!$B$2:$B$10001,MATCH(2344,'Email Cleaner'!$I$2:$I$10001,0)),"")</f>
        <v/>
      </c>
    </row>
    <row r="2346">
      <c r="A2346">
        <f>IFERROR(INDEX('Email Cleaner'!$B$2:$B$10001,MATCH(2345,'Email Cleaner'!$I$2:$I$10001,0)),"")</f>
        <v/>
      </c>
    </row>
    <row r="2347">
      <c r="A2347">
        <f>IFERROR(INDEX('Email Cleaner'!$B$2:$B$10001,MATCH(2346,'Email Cleaner'!$I$2:$I$10001,0)),"")</f>
        <v/>
      </c>
    </row>
    <row r="2348">
      <c r="A2348">
        <f>IFERROR(INDEX('Email Cleaner'!$B$2:$B$10001,MATCH(2347,'Email Cleaner'!$I$2:$I$10001,0)),"")</f>
        <v/>
      </c>
    </row>
    <row r="2349">
      <c r="A2349">
        <f>IFERROR(INDEX('Email Cleaner'!$B$2:$B$10001,MATCH(2348,'Email Cleaner'!$I$2:$I$10001,0)),"")</f>
        <v/>
      </c>
    </row>
    <row r="2350">
      <c r="A2350">
        <f>IFERROR(INDEX('Email Cleaner'!$B$2:$B$10001,MATCH(2349,'Email Cleaner'!$I$2:$I$10001,0)),"")</f>
        <v/>
      </c>
    </row>
    <row r="2351">
      <c r="A2351">
        <f>IFERROR(INDEX('Email Cleaner'!$B$2:$B$10001,MATCH(2350,'Email Cleaner'!$I$2:$I$10001,0)),"")</f>
        <v/>
      </c>
    </row>
    <row r="2352">
      <c r="A2352">
        <f>IFERROR(INDEX('Email Cleaner'!$B$2:$B$10001,MATCH(2351,'Email Cleaner'!$I$2:$I$10001,0)),"")</f>
        <v/>
      </c>
    </row>
    <row r="2353">
      <c r="A2353">
        <f>IFERROR(INDEX('Email Cleaner'!$B$2:$B$10001,MATCH(2352,'Email Cleaner'!$I$2:$I$10001,0)),"")</f>
        <v/>
      </c>
    </row>
    <row r="2354">
      <c r="A2354">
        <f>IFERROR(INDEX('Email Cleaner'!$B$2:$B$10001,MATCH(2353,'Email Cleaner'!$I$2:$I$10001,0)),"")</f>
        <v/>
      </c>
    </row>
    <row r="2355">
      <c r="A2355">
        <f>IFERROR(INDEX('Email Cleaner'!$B$2:$B$10001,MATCH(2354,'Email Cleaner'!$I$2:$I$10001,0)),"")</f>
        <v/>
      </c>
    </row>
    <row r="2356">
      <c r="A2356">
        <f>IFERROR(INDEX('Email Cleaner'!$B$2:$B$10001,MATCH(2355,'Email Cleaner'!$I$2:$I$10001,0)),"")</f>
        <v/>
      </c>
    </row>
    <row r="2357">
      <c r="A2357">
        <f>IFERROR(INDEX('Email Cleaner'!$B$2:$B$10001,MATCH(2356,'Email Cleaner'!$I$2:$I$10001,0)),"")</f>
        <v/>
      </c>
    </row>
    <row r="2358">
      <c r="A2358">
        <f>IFERROR(INDEX('Email Cleaner'!$B$2:$B$10001,MATCH(2357,'Email Cleaner'!$I$2:$I$10001,0)),"")</f>
        <v/>
      </c>
    </row>
    <row r="2359">
      <c r="A2359">
        <f>IFERROR(INDEX('Email Cleaner'!$B$2:$B$10001,MATCH(2358,'Email Cleaner'!$I$2:$I$10001,0)),"")</f>
        <v/>
      </c>
    </row>
    <row r="2360">
      <c r="A2360">
        <f>IFERROR(INDEX('Email Cleaner'!$B$2:$B$10001,MATCH(2359,'Email Cleaner'!$I$2:$I$10001,0)),"")</f>
        <v/>
      </c>
    </row>
    <row r="2361">
      <c r="A2361">
        <f>IFERROR(INDEX('Email Cleaner'!$B$2:$B$10001,MATCH(2360,'Email Cleaner'!$I$2:$I$10001,0)),"")</f>
        <v/>
      </c>
    </row>
    <row r="2362">
      <c r="A2362">
        <f>IFERROR(INDEX('Email Cleaner'!$B$2:$B$10001,MATCH(2361,'Email Cleaner'!$I$2:$I$10001,0)),"")</f>
        <v/>
      </c>
    </row>
    <row r="2363">
      <c r="A2363">
        <f>IFERROR(INDEX('Email Cleaner'!$B$2:$B$10001,MATCH(2362,'Email Cleaner'!$I$2:$I$10001,0)),"")</f>
        <v/>
      </c>
    </row>
    <row r="2364">
      <c r="A2364">
        <f>IFERROR(INDEX('Email Cleaner'!$B$2:$B$10001,MATCH(2363,'Email Cleaner'!$I$2:$I$10001,0)),"")</f>
        <v/>
      </c>
    </row>
    <row r="2365">
      <c r="A2365">
        <f>IFERROR(INDEX('Email Cleaner'!$B$2:$B$10001,MATCH(2364,'Email Cleaner'!$I$2:$I$10001,0)),"")</f>
        <v/>
      </c>
    </row>
    <row r="2366">
      <c r="A2366">
        <f>IFERROR(INDEX('Email Cleaner'!$B$2:$B$10001,MATCH(2365,'Email Cleaner'!$I$2:$I$10001,0)),"")</f>
        <v/>
      </c>
    </row>
    <row r="2367">
      <c r="A2367">
        <f>IFERROR(INDEX('Email Cleaner'!$B$2:$B$10001,MATCH(2366,'Email Cleaner'!$I$2:$I$10001,0)),"")</f>
        <v/>
      </c>
    </row>
    <row r="2368">
      <c r="A2368">
        <f>IFERROR(INDEX('Email Cleaner'!$B$2:$B$10001,MATCH(2367,'Email Cleaner'!$I$2:$I$10001,0)),"")</f>
        <v/>
      </c>
    </row>
    <row r="2369">
      <c r="A2369">
        <f>IFERROR(INDEX('Email Cleaner'!$B$2:$B$10001,MATCH(2368,'Email Cleaner'!$I$2:$I$10001,0)),"")</f>
        <v/>
      </c>
    </row>
    <row r="2370">
      <c r="A2370">
        <f>IFERROR(INDEX('Email Cleaner'!$B$2:$B$10001,MATCH(2369,'Email Cleaner'!$I$2:$I$10001,0)),"")</f>
        <v/>
      </c>
    </row>
    <row r="2371">
      <c r="A2371">
        <f>IFERROR(INDEX('Email Cleaner'!$B$2:$B$10001,MATCH(2370,'Email Cleaner'!$I$2:$I$10001,0)),"")</f>
        <v/>
      </c>
    </row>
    <row r="2372">
      <c r="A2372">
        <f>IFERROR(INDEX('Email Cleaner'!$B$2:$B$10001,MATCH(2371,'Email Cleaner'!$I$2:$I$10001,0)),"")</f>
        <v/>
      </c>
    </row>
    <row r="2373">
      <c r="A2373">
        <f>IFERROR(INDEX('Email Cleaner'!$B$2:$B$10001,MATCH(2372,'Email Cleaner'!$I$2:$I$10001,0)),"")</f>
        <v/>
      </c>
    </row>
    <row r="2374">
      <c r="A2374">
        <f>IFERROR(INDEX('Email Cleaner'!$B$2:$B$10001,MATCH(2373,'Email Cleaner'!$I$2:$I$10001,0)),"")</f>
        <v/>
      </c>
    </row>
    <row r="2375">
      <c r="A2375">
        <f>IFERROR(INDEX('Email Cleaner'!$B$2:$B$10001,MATCH(2374,'Email Cleaner'!$I$2:$I$10001,0)),"")</f>
        <v/>
      </c>
    </row>
    <row r="2376">
      <c r="A2376">
        <f>IFERROR(INDEX('Email Cleaner'!$B$2:$B$10001,MATCH(2375,'Email Cleaner'!$I$2:$I$10001,0)),"")</f>
        <v/>
      </c>
    </row>
    <row r="2377">
      <c r="A2377">
        <f>IFERROR(INDEX('Email Cleaner'!$B$2:$B$10001,MATCH(2376,'Email Cleaner'!$I$2:$I$10001,0)),"")</f>
        <v/>
      </c>
    </row>
    <row r="2378">
      <c r="A2378">
        <f>IFERROR(INDEX('Email Cleaner'!$B$2:$B$10001,MATCH(2377,'Email Cleaner'!$I$2:$I$10001,0)),"")</f>
        <v/>
      </c>
    </row>
    <row r="2379">
      <c r="A2379">
        <f>IFERROR(INDEX('Email Cleaner'!$B$2:$B$10001,MATCH(2378,'Email Cleaner'!$I$2:$I$10001,0)),"")</f>
        <v/>
      </c>
    </row>
    <row r="2380">
      <c r="A2380">
        <f>IFERROR(INDEX('Email Cleaner'!$B$2:$B$10001,MATCH(2379,'Email Cleaner'!$I$2:$I$10001,0)),"")</f>
        <v/>
      </c>
    </row>
    <row r="2381">
      <c r="A2381">
        <f>IFERROR(INDEX('Email Cleaner'!$B$2:$B$10001,MATCH(2380,'Email Cleaner'!$I$2:$I$10001,0)),"")</f>
        <v/>
      </c>
    </row>
    <row r="2382">
      <c r="A2382">
        <f>IFERROR(INDEX('Email Cleaner'!$B$2:$B$10001,MATCH(2381,'Email Cleaner'!$I$2:$I$10001,0)),"")</f>
        <v/>
      </c>
    </row>
    <row r="2383">
      <c r="A2383">
        <f>IFERROR(INDEX('Email Cleaner'!$B$2:$B$10001,MATCH(2382,'Email Cleaner'!$I$2:$I$10001,0)),"")</f>
        <v/>
      </c>
    </row>
    <row r="2384">
      <c r="A2384">
        <f>IFERROR(INDEX('Email Cleaner'!$B$2:$B$10001,MATCH(2383,'Email Cleaner'!$I$2:$I$10001,0)),"")</f>
        <v/>
      </c>
    </row>
    <row r="2385">
      <c r="A2385">
        <f>IFERROR(INDEX('Email Cleaner'!$B$2:$B$10001,MATCH(2384,'Email Cleaner'!$I$2:$I$10001,0)),"")</f>
        <v/>
      </c>
    </row>
    <row r="2386">
      <c r="A2386">
        <f>IFERROR(INDEX('Email Cleaner'!$B$2:$B$10001,MATCH(2385,'Email Cleaner'!$I$2:$I$10001,0)),"")</f>
        <v/>
      </c>
    </row>
    <row r="2387">
      <c r="A2387">
        <f>IFERROR(INDEX('Email Cleaner'!$B$2:$B$10001,MATCH(2386,'Email Cleaner'!$I$2:$I$10001,0)),"")</f>
        <v/>
      </c>
    </row>
    <row r="2388">
      <c r="A2388">
        <f>IFERROR(INDEX('Email Cleaner'!$B$2:$B$10001,MATCH(2387,'Email Cleaner'!$I$2:$I$10001,0)),"")</f>
        <v/>
      </c>
    </row>
    <row r="2389">
      <c r="A2389">
        <f>IFERROR(INDEX('Email Cleaner'!$B$2:$B$10001,MATCH(2388,'Email Cleaner'!$I$2:$I$10001,0)),"")</f>
        <v/>
      </c>
    </row>
    <row r="2390">
      <c r="A2390">
        <f>IFERROR(INDEX('Email Cleaner'!$B$2:$B$10001,MATCH(2389,'Email Cleaner'!$I$2:$I$10001,0)),"")</f>
        <v/>
      </c>
    </row>
    <row r="2391">
      <c r="A2391">
        <f>IFERROR(INDEX('Email Cleaner'!$B$2:$B$10001,MATCH(2390,'Email Cleaner'!$I$2:$I$10001,0)),"")</f>
        <v/>
      </c>
    </row>
    <row r="2392">
      <c r="A2392">
        <f>IFERROR(INDEX('Email Cleaner'!$B$2:$B$10001,MATCH(2391,'Email Cleaner'!$I$2:$I$10001,0)),"")</f>
        <v/>
      </c>
    </row>
    <row r="2393">
      <c r="A2393">
        <f>IFERROR(INDEX('Email Cleaner'!$B$2:$B$10001,MATCH(2392,'Email Cleaner'!$I$2:$I$10001,0)),"")</f>
        <v/>
      </c>
    </row>
    <row r="2394">
      <c r="A2394">
        <f>IFERROR(INDEX('Email Cleaner'!$B$2:$B$10001,MATCH(2393,'Email Cleaner'!$I$2:$I$10001,0)),"")</f>
        <v/>
      </c>
    </row>
    <row r="2395">
      <c r="A2395">
        <f>IFERROR(INDEX('Email Cleaner'!$B$2:$B$10001,MATCH(2394,'Email Cleaner'!$I$2:$I$10001,0)),"")</f>
        <v/>
      </c>
    </row>
    <row r="2396">
      <c r="A2396">
        <f>IFERROR(INDEX('Email Cleaner'!$B$2:$B$10001,MATCH(2395,'Email Cleaner'!$I$2:$I$10001,0)),"")</f>
        <v/>
      </c>
    </row>
    <row r="2397">
      <c r="A2397">
        <f>IFERROR(INDEX('Email Cleaner'!$B$2:$B$10001,MATCH(2396,'Email Cleaner'!$I$2:$I$10001,0)),"")</f>
        <v/>
      </c>
    </row>
    <row r="2398">
      <c r="A2398">
        <f>IFERROR(INDEX('Email Cleaner'!$B$2:$B$10001,MATCH(2397,'Email Cleaner'!$I$2:$I$10001,0)),"")</f>
        <v/>
      </c>
    </row>
    <row r="2399">
      <c r="A2399">
        <f>IFERROR(INDEX('Email Cleaner'!$B$2:$B$10001,MATCH(2398,'Email Cleaner'!$I$2:$I$10001,0)),"")</f>
        <v/>
      </c>
    </row>
    <row r="2400">
      <c r="A2400">
        <f>IFERROR(INDEX('Email Cleaner'!$B$2:$B$10001,MATCH(2399,'Email Cleaner'!$I$2:$I$10001,0)),"")</f>
        <v/>
      </c>
    </row>
    <row r="2401">
      <c r="A2401">
        <f>IFERROR(INDEX('Email Cleaner'!$B$2:$B$10001,MATCH(2400,'Email Cleaner'!$I$2:$I$10001,0)),"")</f>
        <v/>
      </c>
    </row>
    <row r="2402">
      <c r="A2402">
        <f>IFERROR(INDEX('Email Cleaner'!$B$2:$B$10001,MATCH(2401,'Email Cleaner'!$I$2:$I$10001,0)),"")</f>
        <v/>
      </c>
    </row>
    <row r="2403">
      <c r="A2403">
        <f>IFERROR(INDEX('Email Cleaner'!$B$2:$B$10001,MATCH(2402,'Email Cleaner'!$I$2:$I$10001,0)),"")</f>
        <v/>
      </c>
    </row>
    <row r="2404">
      <c r="A2404">
        <f>IFERROR(INDEX('Email Cleaner'!$B$2:$B$10001,MATCH(2403,'Email Cleaner'!$I$2:$I$10001,0)),"")</f>
        <v/>
      </c>
    </row>
    <row r="2405">
      <c r="A2405">
        <f>IFERROR(INDEX('Email Cleaner'!$B$2:$B$10001,MATCH(2404,'Email Cleaner'!$I$2:$I$10001,0)),"")</f>
        <v/>
      </c>
    </row>
    <row r="2406">
      <c r="A2406">
        <f>IFERROR(INDEX('Email Cleaner'!$B$2:$B$10001,MATCH(2405,'Email Cleaner'!$I$2:$I$10001,0)),"")</f>
        <v/>
      </c>
    </row>
    <row r="2407">
      <c r="A2407">
        <f>IFERROR(INDEX('Email Cleaner'!$B$2:$B$10001,MATCH(2406,'Email Cleaner'!$I$2:$I$10001,0)),"")</f>
        <v/>
      </c>
    </row>
    <row r="2408">
      <c r="A2408">
        <f>IFERROR(INDEX('Email Cleaner'!$B$2:$B$10001,MATCH(2407,'Email Cleaner'!$I$2:$I$10001,0)),"")</f>
        <v/>
      </c>
    </row>
    <row r="2409">
      <c r="A2409">
        <f>IFERROR(INDEX('Email Cleaner'!$B$2:$B$10001,MATCH(2408,'Email Cleaner'!$I$2:$I$10001,0)),"")</f>
        <v/>
      </c>
    </row>
    <row r="2410">
      <c r="A2410">
        <f>IFERROR(INDEX('Email Cleaner'!$B$2:$B$10001,MATCH(2409,'Email Cleaner'!$I$2:$I$10001,0)),"")</f>
        <v/>
      </c>
    </row>
    <row r="2411">
      <c r="A2411">
        <f>IFERROR(INDEX('Email Cleaner'!$B$2:$B$10001,MATCH(2410,'Email Cleaner'!$I$2:$I$10001,0)),"")</f>
        <v/>
      </c>
    </row>
    <row r="2412">
      <c r="A2412">
        <f>IFERROR(INDEX('Email Cleaner'!$B$2:$B$10001,MATCH(2411,'Email Cleaner'!$I$2:$I$10001,0)),"")</f>
        <v/>
      </c>
    </row>
    <row r="2413">
      <c r="A2413">
        <f>IFERROR(INDEX('Email Cleaner'!$B$2:$B$10001,MATCH(2412,'Email Cleaner'!$I$2:$I$10001,0)),"")</f>
        <v/>
      </c>
    </row>
    <row r="2414">
      <c r="A2414">
        <f>IFERROR(INDEX('Email Cleaner'!$B$2:$B$10001,MATCH(2413,'Email Cleaner'!$I$2:$I$10001,0)),"")</f>
        <v/>
      </c>
    </row>
    <row r="2415">
      <c r="A2415">
        <f>IFERROR(INDEX('Email Cleaner'!$B$2:$B$10001,MATCH(2414,'Email Cleaner'!$I$2:$I$10001,0)),"")</f>
        <v/>
      </c>
    </row>
    <row r="2416">
      <c r="A2416">
        <f>IFERROR(INDEX('Email Cleaner'!$B$2:$B$10001,MATCH(2415,'Email Cleaner'!$I$2:$I$10001,0)),"")</f>
        <v/>
      </c>
    </row>
    <row r="2417">
      <c r="A2417">
        <f>IFERROR(INDEX('Email Cleaner'!$B$2:$B$10001,MATCH(2416,'Email Cleaner'!$I$2:$I$10001,0)),"")</f>
        <v/>
      </c>
    </row>
    <row r="2418">
      <c r="A2418">
        <f>IFERROR(INDEX('Email Cleaner'!$B$2:$B$10001,MATCH(2417,'Email Cleaner'!$I$2:$I$10001,0)),"")</f>
        <v/>
      </c>
    </row>
    <row r="2419">
      <c r="A2419">
        <f>IFERROR(INDEX('Email Cleaner'!$B$2:$B$10001,MATCH(2418,'Email Cleaner'!$I$2:$I$10001,0)),"")</f>
        <v/>
      </c>
    </row>
    <row r="2420">
      <c r="A2420">
        <f>IFERROR(INDEX('Email Cleaner'!$B$2:$B$10001,MATCH(2419,'Email Cleaner'!$I$2:$I$10001,0)),"")</f>
        <v/>
      </c>
    </row>
    <row r="2421">
      <c r="A2421">
        <f>IFERROR(INDEX('Email Cleaner'!$B$2:$B$10001,MATCH(2420,'Email Cleaner'!$I$2:$I$10001,0)),"")</f>
        <v/>
      </c>
    </row>
    <row r="2422">
      <c r="A2422">
        <f>IFERROR(INDEX('Email Cleaner'!$B$2:$B$10001,MATCH(2421,'Email Cleaner'!$I$2:$I$10001,0)),"")</f>
        <v/>
      </c>
    </row>
    <row r="2423">
      <c r="A2423">
        <f>IFERROR(INDEX('Email Cleaner'!$B$2:$B$10001,MATCH(2422,'Email Cleaner'!$I$2:$I$10001,0)),"")</f>
        <v/>
      </c>
    </row>
    <row r="2424">
      <c r="A2424">
        <f>IFERROR(INDEX('Email Cleaner'!$B$2:$B$10001,MATCH(2423,'Email Cleaner'!$I$2:$I$10001,0)),"")</f>
        <v/>
      </c>
    </row>
    <row r="2425">
      <c r="A2425">
        <f>IFERROR(INDEX('Email Cleaner'!$B$2:$B$10001,MATCH(2424,'Email Cleaner'!$I$2:$I$10001,0)),"")</f>
        <v/>
      </c>
    </row>
    <row r="2426">
      <c r="A2426">
        <f>IFERROR(INDEX('Email Cleaner'!$B$2:$B$10001,MATCH(2425,'Email Cleaner'!$I$2:$I$10001,0)),"")</f>
        <v/>
      </c>
    </row>
    <row r="2427">
      <c r="A2427">
        <f>IFERROR(INDEX('Email Cleaner'!$B$2:$B$10001,MATCH(2426,'Email Cleaner'!$I$2:$I$10001,0)),"")</f>
        <v/>
      </c>
    </row>
    <row r="2428">
      <c r="A2428">
        <f>IFERROR(INDEX('Email Cleaner'!$B$2:$B$10001,MATCH(2427,'Email Cleaner'!$I$2:$I$10001,0)),"")</f>
        <v/>
      </c>
    </row>
    <row r="2429">
      <c r="A2429">
        <f>IFERROR(INDEX('Email Cleaner'!$B$2:$B$10001,MATCH(2428,'Email Cleaner'!$I$2:$I$10001,0)),"")</f>
        <v/>
      </c>
    </row>
    <row r="2430">
      <c r="A2430">
        <f>IFERROR(INDEX('Email Cleaner'!$B$2:$B$10001,MATCH(2429,'Email Cleaner'!$I$2:$I$10001,0)),"")</f>
        <v/>
      </c>
    </row>
    <row r="2431">
      <c r="A2431">
        <f>IFERROR(INDEX('Email Cleaner'!$B$2:$B$10001,MATCH(2430,'Email Cleaner'!$I$2:$I$10001,0)),"")</f>
        <v/>
      </c>
    </row>
    <row r="2432">
      <c r="A2432">
        <f>IFERROR(INDEX('Email Cleaner'!$B$2:$B$10001,MATCH(2431,'Email Cleaner'!$I$2:$I$10001,0)),"")</f>
        <v/>
      </c>
    </row>
    <row r="2433">
      <c r="A2433">
        <f>IFERROR(INDEX('Email Cleaner'!$B$2:$B$10001,MATCH(2432,'Email Cleaner'!$I$2:$I$10001,0)),"")</f>
        <v/>
      </c>
    </row>
    <row r="2434">
      <c r="A2434">
        <f>IFERROR(INDEX('Email Cleaner'!$B$2:$B$10001,MATCH(2433,'Email Cleaner'!$I$2:$I$10001,0)),"")</f>
        <v/>
      </c>
    </row>
    <row r="2435">
      <c r="A2435">
        <f>IFERROR(INDEX('Email Cleaner'!$B$2:$B$10001,MATCH(2434,'Email Cleaner'!$I$2:$I$10001,0)),"")</f>
        <v/>
      </c>
    </row>
    <row r="2436">
      <c r="A2436">
        <f>IFERROR(INDEX('Email Cleaner'!$B$2:$B$10001,MATCH(2435,'Email Cleaner'!$I$2:$I$10001,0)),"")</f>
        <v/>
      </c>
    </row>
    <row r="2437">
      <c r="A2437">
        <f>IFERROR(INDEX('Email Cleaner'!$B$2:$B$10001,MATCH(2436,'Email Cleaner'!$I$2:$I$10001,0)),"")</f>
        <v/>
      </c>
    </row>
    <row r="2438">
      <c r="A2438">
        <f>IFERROR(INDEX('Email Cleaner'!$B$2:$B$10001,MATCH(2437,'Email Cleaner'!$I$2:$I$10001,0)),"")</f>
        <v/>
      </c>
    </row>
    <row r="2439">
      <c r="A2439">
        <f>IFERROR(INDEX('Email Cleaner'!$B$2:$B$10001,MATCH(2438,'Email Cleaner'!$I$2:$I$10001,0)),"")</f>
        <v/>
      </c>
    </row>
    <row r="2440">
      <c r="A2440">
        <f>IFERROR(INDEX('Email Cleaner'!$B$2:$B$10001,MATCH(2439,'Email Cleaner'!$I$2:$I$10001,0)),"")</f>
        <v/>
      </c>
    </row>
    <row r="2441">
      <c r="A2441">
        <f>IFERROR(INDEX('Email Cleaner'!$B$2:$B$10001,MATCH(2440,'Email Cleaner'!$I$2:$I$10001,0)),"")</f>
        <v/>
      </c>
    </row>
    <row r="2442">
      <c r="A2442">
        <f>IFERROR(INDEX('Email Cleaner'!$B$2:$B$10001,MATCH(2441,'Email Cleaner'!$I$2:$I$10001,0)),"")</f>
        <v/>
      </c>
    </row>
    <row r="2443">
      <c r="A2443">
        <f>IFERROR(INDEX('Email Cleaner'!$B$2:$B$10001,MATCH(2442,'Email Cleaner'!$I$2:$I$10001,0)),"")</f>
        <v/>
      </c>
    </row>
    <row r="2444">
      <c r="A2444">
        <f>IFERROR(INDEX('Email Cleaner'!$B$2:$B$10001,MATCH(2443,'Email Cleaner'!$I$2:$I$10001,0)),"")</f>
        <v/>
      </c>
    </row>
    <row r="2445">
      <c r="A2445">
        <f>IFERROR(INDEX('Email Cleaner'!$B$2:$B$10001,MATCH(2444,'Email Cleaner'!$I$2:$I$10001,0)),"")</f>
        <v/>
      </c>
    </row>
    <row r="2446">
      <c r="A2446">
        <f>IFERROR(INDEX('Email Cleaner'!$B$2:$B$10001,MATCH(2445,'Email Cleaner'!$I$2:$I$10001,0)),"")</f>
        <v/>
      </c>
    </row>
    <row r="2447">
      <c r="A2447">
        <f>IFERROR(INDEX('Email Cleaner'!$B$2:$B$10001,MATCH(2446,'Email Cleaner'!$I$2:$I$10001,0)),"")</f>
        <v/>
      </c>
    </row>
    <row r="2448">
      <c r="A2448">
        <f>IFERROR(INDEX('Email Cleaner'!$B$2:$B$10001,MATCH(2447,'Email Cleaner'!$I$2:$I$10001,0)),"")</f>
        <v/>
      </c>
    </row>
    <row r="2449">
      <c r="A2449">
        <f>IFERROR(INDEX('Email Cleaner'!$B$2:$B$10001,MATCH(2448,'Email Cleaner'!$I$2:$I$10001,0)),"")</f>
        <v/>
      </c>
    </row>
    <row r="2450">
      <c r="A2450">
        <f>IFERROR(INDEX('Email Cleaner'!$B$2:$B$10001,MATCH(2449,'Email Cleaner'!$I$2:$I$10001,0)),"")</f>
        <v/>
      </c>
    </row>
    <row r="2451">
      <c r="A2451">
        <f>IFERROR(INDEX('Email Cleaner'!$B$2:$B$10001,MATCH(2450,'Email Cleaner'!$I$2:$I$10001,0)),"")</f>
        <v/>
      </c>
    </row>
    <row r="2452">
      <c r="A2452">
        <f>IFERROR(INDEX('Email Cleaner'!$B$2:$B$10001,MATCH(2451,'Email Cleaner'!$I$2:$I$10001,0)),"")</f>
        <v/>
      </c>
    </row>
    <row r="2453">
      <c r="A2453">
        <f>IFERROR(INDEX('Email Cleaner'!$B$2:$B$10001,MATCH(2452,'Email Cleaner'!$I$2:$I$10001,0)),"")</f>
        <v/>
      </c>
    </row>
    <row r="2454">
      <c r="A2454">
        <f>IFERROR(INDEX('Email Cleaner'!$B$2:$B$10001,MATCH(2453,'Email Cleaner'!$I$2:$I$10001,0)),"")</f>
        <v/>
      </c>
    </row>
    <row r="2455">
      <c r="A2455">
        <f>IFERROR(INDEX('Email Cleaner'!$B$2:$B$10001,MATCH(2454,'Email Cleaner'!$I$2:$I$10001,0)),"")</f>
        <v/>
      </c>
    </row>
    <row r="2456">
      <c r="A2456">
        <f>IFERROR(INDEX('Email Cleaner'!$B$2:$B$10001,MATCH(2455,'Email Cleaner'!$I$2:$I$10001,0)),"")</f>
        <v/>
      </c>
    </row>
    <row r="2457">
      <c r="A2457">
        <f>IFERROR(INDEX('Email Cleaner'!$B$2:$B$10001,MATCH(2456,'Email Cleaner'!$I$2:$I$10001,0)),"")</f>
        <v/>
      </c>
    </row>
    <row r="2458">
      <c r="A2458">
        <f>IFERROR(INDEX('Email Cleaner'!$B$2:$B$10001,MATCH(2457,'Email Cleaner'!$I$2:$I$10001,0)),"")</f>
        <v/>
      </c>
    </row>
    <row r="2459">
      <c r="A2459">
        <f>IFERROR(INDEX('Email Cleaner'!$B$2:$B$10001,MATCH(2458,'Email Cleaner'!$I$2:$I$10001,0)),"")</f>
        <v/>
      </c>
    </row>
    <row r="2460">
      <c r="A2460">
        <f>IFERROR(INDEX('Email Cleaner'!$B$2:$B$10001,MATCH(2459,'Email Cleaner'!$I$2:$I$10001,0)),"")</f>
        <v/>
      </c>
    </row>
    <row r="2461">
      <c r="A2461">
        <f>IFERROR(INDEX('Email Cleaner'!$B$2:$B$10001,MATCH(2460,'Email Cleaner'!$I$2:$I$10001,0)),"")</f>
        <v/>
      </c>
    </row>
    <row r="2462">
      <c r="A2462">
        <f>IFERROR(INDEX('Email Cleaner'!$B$2:$B$10001,MATCH(2461,'Email Cleaner'!$I$2:$I$10001,0)),"")</f>
        <v/>
      </c>
    </row>
    <row r="2463">
      <c r="A2463">
        <f>IFERROR(INDEX('Email Cleaner'!$B$2:$B$10001,MATCH(2462,'Email Cleaner'!$I$2:$I$10001,0)),"")</f>
        <v/>
      </c>
    </row>
    <row r="2464">
      <c r="A2464">
        <f>IFERROR(INDEX('Email Cleaner'!$B$2:$B$10001,MATCH(2463,'Email Cleaner'!$I$2:$I$10001,0)),"")</f>
        <v/>
      </c>
    </row>
    <row r="2465">
      <c r="A2465">
        <f>IFERROR(INDEX('Email Cleaner'!$B$2:$B$10001,MATCH(2464,'Email Cleaner'!$I$2:$I$10001,0)),"")</f>
        <v/>
      </c>
    </row>
    <row r="2466">
      <c r="A2466">
        <f>IFERROR(INDEX('Email Cleaner'!$B$2:$B$10001,MATCH(2465,'Email Cleaner'!$I$2:$I$10001,0)),"")</f>
        <v/>
      </c>
    </row>
    <row r="2467">
      <c r="A2467">
        <f>IFERROR(INDEX('Email Cleaner'!$B$2:$B$10001,MATCH(2466,'Email Cleaner'!$I$2:$I$10001,0)),"")</f>
        <v/>
      </c>
    </row>
    <row r="2468">
      <c r="A2468">
        <f>IFERROR(INDEX('Email Cleaner'!$B$2:$B$10001,MATCH(2467,'Email Cleaner'!$I$2:$I$10001,0)),"")</f>
        <v/>
      </c>
    </row>
    <row r="2469">
      <c r="A2469">
        <f>IFERROR(INDEX('Email Cleaner'!$B$2:$B$10001,MATCH(2468,'Email Cleaner'!$I$2:$I$10001,0)),"")</f>
        <v/>
      </c>
    </row>
    <row r="2470">
      <c r="A2470">
        <f>IFERROR(INDEX('Email Cleaner'!$B$2:$B$10001,MATCH(2469,'Email Cleaner'!$I$2:$I$10001,0)),"")</f>
        <v/>
      </c>
    </row>
    <row r="2471">
      <c r="A2471">
        <f>IFERROR(INDEX('Email Cleaner'!$B$2:$B$10001,MATCH(2470,'Email Cleaner'!$I$2:$I$10001,0)),"")</f>
        <v/>
      </c>
    </row>
    <row r="2472">
      <c r="A2472">
        <f>IFERROR(INDEX('Email Cleaner'!$B$2:$B$10001,MATCH(2471,'Email Cleaner'!$I$2:$I$10001,0)),"")</f>
        <v/>
      </c>
    </row>
    <row r="2473">
      <c r="A2473">
        <f>IFERROR(INDEX('Email Cleaner'!$B$2:$B$10001,MATCH(2472,'Email Cleaner'!$I$2:$I$10001,0)),"")</f>
        <v/>
      </c>
    </row>
    <row r="2474">
      <c r="A2474">
        <f>IFERROR(INDEX('Email Cleaner'!$B$2:$B$10001,MATCH(2473,'Email Cleaner'!$I$2:$I$10001,0)),"")</f>
        <v/>
      </c>
    </row>
    <row r="2475">
      <c r="A2475">
        <f>IFERROR(INDEX('Email Cleaner'!$B$2:$B$10001,MATCH(2474,'Email Cleaner'!$I$2:$I$10001,0)),"")</f>
        <v/>
      </c>
    </row>
    <row r="2476">
      <c r="A2476">
        <f>IFERROR(INDEX('Email Cleaner'!$B$2:$B$10001,MATCH(2475,'Email Cleaner'!$I$2:$I$10001,0)),"")</f>
        <v/>
      </c>
    </row>
    <row r="2477">
      <c r="A2477">
        <f>IFERROR(INDEX('Email Cleaner'!$B$2:$B$10001,MATCH(2476,'Email Cleaner'!$I$2:$I$10001,0)),"")</f>
        <v/>
      </c>
    </row>
    <row r="2478">
      <c r="A2478">
        <f>IFERROR(INDEX('Email Cleaner'!$B$2:$B$10001,MATCH(2477,'Email Cleaner'!$I$2:$I$10001,0)),"")</f>
        <v/>
      </c>
    </row>
    <row r="2479">
      <c r="A2479">
        <f>IFERROR(INDEX('Email Cleaner'!$B$2:$B$10001,MATCH(2478,'Email Cleaner'!$I$2:$I$10001,0)),"")</f>
        <v/>
      </c>
    </row>
    <row r="2480">
      <c r="A2480">
        <f>IFERROR(INDEX('Email Cleaner'!$B$2:$B$10001,MATCH(2479,'Email Cleaner'!$I$2:$I$10001,0)),"")</f>
        <v/>
      </c>
    </row>
    <row r="2481">
      <c r="A2481">
        <f>IFERROR(INDEX('Email Cleaner'!$B$2:$B$10001,MATCH(2480,'Email Cleaner'!$I$2:$I$10001,0)),"")</f>
        <v/>
      </c>
    </row>
    <row r="2482">
      <c r="A2482">
        <f>IFERROR(INDEX('Email Cleaner'!$B$2:$B$10001,MATCH(2481,'Email Cleaner'!$I$2:$I$10001,0)),"")</f>
        <v/>
      </c>
    </row>
    <row r="2483">
      <c r="A2483">
        <f>IFERROR(INDEX('Email Cleaner'!$B$2:$B$10001,MATCH(2482,'Email Cleaner'!$I$2:$I$10001,0)),"")</f>
        <v/>
      </c>
    </row>
    <row r="2484">
      <c r="A2484">
        <f>IFERROR(INDEX('Email Cleaner'!$B$2:$B$10001,MATCH(2483,'Email Cleaner'!$I$2:$I$10001,0)),"")</f>
        <v/>
      </c>
    </row>
    <row r="2485">
      <c r="A2485">
        <f>IFERROR(INDEX('Email Cleaner'!$B$2:$B$10001,MATCH(2484,'Email Cleaner'!$I$2:$I$10001,0)),"")</f>
        <v/>
      </c>
    </row>
    <row r="2486">
      <c r="A2486">
        <f>IFERROR(INDEX('Email Cleaner'!$B$2:$B$10001,MATCH(2485,'Email Cleaner'!$I$2:$I$10001,0)),"")</f>
        <v/>
      </c>
    </row>
    <row r="2487">
      <c r="A2487">
        <f>IFERROR(INDEX('Email Cleaner'!$B$2:$B$10001,MATCH(2486,'Email Cleaner'!$I$2:$I$10001,0)),"")</f>
        <v/>
      </c>
    </row>
    <row r="2488">
      <c r="A2488">
        <f>IFERROR(INDEX('Email Cleaner'!$B$2:$B$10001,MATCH(2487,'Email Cleaner'!$I$2:$I$10001,0)),"")</f>
        <v/>
      </c>
    </row>
    <row r="2489">
      <c r="A2489">
        <f>IFERROR(INDEX('Email Cleaner'!$B$2:$B$10001,MATCH(2488,'Email Cleaner'!$I$2:$I$10001,0)),"")</f>
        <v/>
      </c>
    </row>
    <row r="2490">
      <c r="A2490">
        <f>IFERROR(INDEX('Email Cleaner'!$B$2:$B$10001,MATCH(2489,'Email Cleaner'!$I$2:$I$10001,0)),"")</f>
        <v/>
      </c>
    </row>
    <row r="2491">
      <c r="A2491">
        <f>IFERROR(INDEX('Email Cleaner'!$B$2:$B$10001,MATCH(2490,'Email Cleaner'!$I$2:$I$10001,0)),"")</f>
        <v/>
      </c>
    </row>
    <row r="2492">
      <c r="A2492">
        <f>IFERROR(INDEX('Email Cleaner'!$B$2:$B$10001,MATCH(2491,'Email Cleaner'!$I$2:$I$10001,0)),"")</f>
        <v/>
      </c>
    </row>
    <row r="2493">
      <c r="A2493">
        <f>IFERROR(INDEX('Email Cleaner'!$B$2:$B$10001,MATCH(2492,'Email Cleaner'!$I$2:$I$10001,0)),"")</f>
        <v/>
      </c>
    </row>
    <row r="2494">
      <c r="A2494">
        <f>IFERROR(INDEX('Email Cleaner'!$B$2:$B$10001,MATCH(2493,'Email Cleaner'!$I$2:$I$10001,0)),"")</f>
        <v/>
      </c>
    </row>
    <row r="2495">
      <c r="A2495">
        <f>IFERROR(INDEX('Email Cleaner'!$B$2:$B$10001,MATCH(2494,'Email Cleaner'!$I$2:$I$10001,0)),"")</f>
        <v/>
      </c>
    </row>
    <row r="2496">
      <c r="A2496">
        <f>IFERROR(INDEX('Email Cleaner'!$B$2:$B$10001,MATCH(2495,'Email Cleaner'!$I$2:$I$10001,0)),"")</f>
        <v/>
      </c>
    </row>
    <row r="2497">
      <c r="A2497">
        <f>IFERROR(INDEX('Email Cleaner'!$B$2:$B$10001,MATCH(2496,'Email Cleaner'!$I$2:$I$10001,0)),"")</f>
        <v/>
      </c>
    </row>
    <row r="2498">
      <c r="A2498">
        <f>IFERROR(INDEX('Email Cleaner'!$B$2:$B$10001,MATCH(2497,'Email Cleaner'!$I$2:$I$10001,0)),"")</f>
        <v/>
      </c>
    </row>
    <row r="2499">
      <c r="A2499">
        <f>IFERROR(INDEX('Email Cleaner'!$B$2:$B$10001,MATCH(2498,'Email Cleaner'!$I$2:$I$10001,0)),"")</f>
        <v/>
      </c>
    </row>
    <row r="2500">
      <c r="A2500">
        <f>IFERROR(INDEX('Email Cleaner'!$B$2:$B$10001,MATCH(2499,'Email Cleaner'!$I$2:$I$10001,0)),"")</f>
        <v/>
      </c>
    </row>
    <row r="2501">
      <c r="A2501">
        <f>IFERROR(INDEX('Email Cleaner'!$B$2:$B$10001,MATCH(2500,'Email Cleaner'!$I$2:$I$10001,0)),"")</f>
        <v/>
      </c>
    </row>
    <row r="2502">
      <c r="A2502">
        <f>IFERROR(INDEX('Email Cleaner'!$B$2:$B$10001,MATCH(2501,'Email Cleaner'!$I$2:$I$10001,0)),"")</f>
        <v/>
      </c>
    </row>
    <row r="2503">
      <c r="A2503">
        <f>IFERROR(INDEX('Email Cleaner'!$B$2:$B$10001,MATCH(2502,'Email Cleaner'!$I$2:$I$10001,0)),"")</f>
        <v/>
      </c>
    </row>
    <row r="2504">
      <c r="A2504">
        <f>IFERROR(INDEX('Email Cleaner'!$B$2:$B$10001,MATCH(2503,'Email Cleaner'!$I$2:$I$10001,0)),"")</f>
        <v/>
      </c>
    </row>
    <row r="2505">
      <c r="A2505">
        <f>IFERROR(INDEX('Email Cleaner'!$B$2:$B$10001,MATCH(2504,'Email Cleaner'!$I$2:$I$10001,0)),"")</f>
        <v/>
      </c>
    </row>
    <row r="2506">
      <c r="A2506">
        <f>IFERROR(INDEX('Email Cleaner'!$B$2:$B$10001,MATCH(2505,'Email Cleaner'!$I$2:$I$10001,0)),"")</f>
        <v/>
      </c>
    </row>
    <row r="2507">
      <c r="A2507">
        <f>IFERROR(INDEX('Email Cleaner'!$B$2:$B$10001,MATCH(2506,'Email Cleaner'!$I$2:$I$10001,0)),"")</f>
        <v/>
      </c>
    </row>
    <row r="2508">
      <c r="A2508">
        <f>IFERROR(INDEX('Email Cleaner'!$B$2:$B$10001,MATCH(2507,'Email Cleaner'!$I$2:$I$10001,0)),"")</f>
        <v/>
      </c>
    </row>
    <row r="2509">
      <c r="A2509">
        <f>IFERROR(INDEX('Email Cleaner'!$B$2:$B$10001,MATCH(2508,'Email Cleaner'!$I$2:$I$10001,0)),"")</f>
        <v/>
      </c>
    </row>
    <row r="2510">
      <c r="A2510">
        <f>IFERROR(INDEX('Email Cleaner'!$B$2:$B$10001,MATCH(2509,'Email Cleaner'!$I$2:$I$10001,0)),"")</f>
        <v/>
      </c>
    </row>
    <row r="2511">
      <c r="A2511">
        <f>IFERROR(INDEX('Email Cleaner'!$B$2:$B$10001,MATCH(2510,'Email Cleaner'!$I$2:$I$10001,0)),"")</f>
        <v/>
      </c>
    </row>
    <row r="2512">
      <c r="A2512">
        <f>IFERROR(INDEX('Email Cleaner'!$B$2:$B$10001,MATCH(2511,'Email Cleaner'!$I$2:$I$10001,0)),"")</f>
        <v/>
      </c>
    </row>
    <row r="2513">
      <c r="A2513">
        <f>IFERROR(INDEX('Email Cleaner'!$B$2:$B$10001,MATCH(2512,'Email Cleaner'!$I$2:$I$10001,0)),"")</f>
        <v/>
      </c>
    </row>
    <row r="2514">
      <c r="A2514">
        <f>IFERROR(INDEX('Email Cleaner'!$B$2:$B$10001,MATCH(2513,'Email Cleaner'!$I$2:$I$10001,0)),"")</f>
        <v/>
      </c>
    </row>
    <row r="2515">
      <c r="A2515">
        <f>IFERROR(INDEX('Email Cleaner'!$B$2:$B$10001,MATCH(2514,'Email Cleaner'!$I$2:$I$10001,0)),"")</f>
        <v/>
      </c>
    </row>
    <row r="2516">
      <c r="A2516">
        <f>IFERROR(INDEX('Email Cleaner'!$B$2:$B$10001,MATCH(2515,'Email Cleaner'!$I$2:$I$10001,0)),"")</f>
        <v/>
      </c>
    </row>
    <row r="2517">
      <c r="A2517">
        <f>IFERROR(INDEX('Email Cleaner'!$B$2:$B$10001,MATCH(2516,'Email Cleaner'!$I$2:$I$10001,0)),"")</f>
        <v/>
      </c>
    </row>
    <row r="2518">
      <c r="A2518">
        <f>IFERROR(INDEX('Email Cleaner'!$B$2:$B$10001,MATCH(2517,'Email Cleaner'!$I$2:$I$10001,0)),"")</f>
        <v/>
      </c>
    </row>
    <row r="2519">
      <c r="A2519">
        <f>IFERROR(INDEX('Email Cleaner'!$B$2:$B$10001,MATCH(2518,'Email Cleaner'!$I$2:$I$10001,0)),"")</f>
        <v/>
      </c>
    </row>
    <row r="2520">
      <c r="A2520">
        <f>IFERROR(INDEX('Email Cleaner'!$B$2:$B$10001,MATCH(2519,'Email Cleaner'!$I$2:$I$10001,0)),"")</f>
        <v/>
      </c>
    </row>
    <row r="2521">
      <c r="A2521">
        <f>IFERROR(INDEX('Email Cleaner'!$B$2:$B$10001,MATCH(2520,'Email Cleaner'!$I$2:$I$10001,0)),"")</f>
        <v/>
      </c>
    </row>
    <row r="2522">
      <c r="A2522">
        <f>IFERROR(INDEX('Email Cleaner'!$B$2:$B$10001,MATCH(2521,'Email Cleaner'!$I$2:$I$10001,0)),"")</f>
        <v/>
      </c>
    </row>
    <row r="2523">
      <c r="A2523">
        <f>IFERROR(INDEX('Email Cleaner'!$B$2:$B$10001,MATCH(2522,'Email Cleaner'!$I$2:$I$10001,0)),"")</f>
        <v/>
      </c>
    </row>
    <row r="2524">
      <c r="A2524">
        <f>IFERROR(INDEX('Email Cleaner'!$B$2:$B$10001,MATCH(2523,'Email Cleaner'!$I$2:$I$10001,0)),"")</f>
        <v/>
      </c>
    </row>
    <row r="2525">
      <c r="A2525">
        <f>IFERROR(INDEX('Email Cleaner'!$B$2:$B$10001,MATCH(2524,'Email Cleaner'!$I$2:$I$10001,0)),"")</f>
        <v/>
      </c>
    </row>
    <row r="2526">
      <c r="A2526">
        <f>IFERROR(INDEX('Email Cleaner'!$B$2:$B$10001,MATCH(2525,'Email Cleaner'!$I$2:$I$10001,0)),"")</f>
        <v/>
      </c>
    </row>
    <row r="2527">
      <c r="A2527">
        <f>IFERROR(INDEX('Email Cleaner'!$B$2:$B$10001,MATCH(2526,'Email Cleaner'!$I$2:$I$10001,0)),"")</f>
        <v/>
      </c>
    </row>
    <row r="2528">
      <c r="A2528">
        <f>IFERROR(INDEX('Email Cleaner'!$B$2:$B$10001,MATCH(2527,'Email Cleaner'!$I$2:$I$10001,0)),"")</f>
        <v/>
      </c>
    </row>
    <row r="2529">
      <c r="A2529">
        <f>IFERROR(INDEX('Email Cleaner'!$B$2:$B$10001,MATCH(2528,'Email Cleaner'!$I$2:$I$10001,0)),"")</f>
        <v/>
      </c>
    </row>
    <row r="2530">
      <c r="A2530">
        <f>IFERROR(INDEX('Email Cleaner'!$B$2:$B$10001,MATCH(2529,'Email Cleaner'!$I$2:$I$10001,0)),"")</f>
        <v/>
      </c>
    </row>
    <row r="2531">
      <c r="A2531">
        <f>IFERROR(INDEX('Email Cleaner'!$B$2:$B$10001,MATCH(2530,'Email Cleaner'!$I$2:$I$10001,0)),"")</f>
        <v/>
      </c>
    </row>
    <row r="2532">
      <c r="A2532">
        <f>IFERROR(INDEX('Email Cleaner'!$B$2:$B$10001,MATCH(2531,'Email Cleaner'!$I$2:$I$10001,0)),"")</f>
        <v/>
      </c>
    </row>
    <row r="2533">
      <c r="A2533">
        <f>IFERROR(INDEX('Email Cleaner'!$B$2:$B$10001,MATCH(2532,'Email Cleaner'!$I$2:$I$10001,0)),"")</f>
        <v/>
      </c>
    </row>
    <row r="2534">
      <c r="A2534">
        <f>IFERROR(INDEX('Email Cleaner'!$B$2:$B$10001,MATCH(2533,'Email Cleaner'!$I$2:$I$10001,0)),"")</f>
        <v/>
      </c>
    </row>
    <row r="2535">
      <c r="A2535">
        <f>IFERROR(INDEX('Email Cleaner'!$B$2:$B$10001,MATCH(2534,'Email Cleaner'!$I$2:$I$10001,0)),"")</f>
        <v/>
      </c>
    </row>
    <row r="2536">
      <c r="A2536">
        <f>IFERROR(INDEX('Email Cleaner'!$B$2:$B$10001,MATCH(2535,'Email Cleaner'!$I$2:$I$10001,0)),"")</f>
        <v/>
      </c>
    </row>
    <row r="2537">
      <c r="A2537">
        <f>IFERROR(INDEX('Email Cleaner'!$B$2:$B$10001,MATCH(2536,'Email Cleaner'!$I$2:$I$10001,0)),"")</f>
        <v/>
      </c>
    </row>
    <row r="2538">
      <c r="A2538">
        <f>IFERROR(INDEX('Email Cleaner'!$B$2:$B$10001,MATCH(2537,'Email Cleaner'!$I$2:$I$10001,0)),"")</f>
        <v/>
      </c>
    </row>
    <row r="2539">
      <c r="A2539">
        <f>IFERROR(INDEX('Email Cleaner'!$B$2:$B$10001,MATCH(2538,'Email Cleaner'!$I$2:$I$10001,0)),"")</f>
        <v/>
      </c>
    </row>
    <row r="2540">
      <c r="A2540">
        <f>IFERROR(INDEX('Email Cleaner'!$B$2:$B$10001,MATCH(2539,'Email Cleaner'!$I$2:$I$10001,0)),"")</f>
        <v/>
      </c>
    </row>
    <row r="2541">
      <c r="A2541">
        <f>IFERROR(INDEX('Email Cleaner'!$B$2:$B$10001,MATCH(2540,'Email Cleaner'!$I$2:$I$10001,0)),"")</f>
        <v/>
      </c>
    </row>
    <row r="2542">
      <c r="A2542">
        <f>IFERROR(INDEX('Email Cleaner'!$B$2:$B$10001,MATCH(2541,'Email Cleaner'!$I$2:$I$10001,0)),"")</f>
        <v/>
      </c>
    </row>
    <row r="2543">
      <c r="A2543">
        <f>IFERROR(INDEX('Email Cleaner'!$B$2:$B$10001,MATCH(2542,'Email Cleaner'!$I$2:$I$10001,0)),"")</f>
        <v/>
      </c>
    </row>
    <row r="2544">
      <c r="A2544">
        <f>IFERROR(INDEX('Email Cleaner'!$B$2:$B$10001,MATCH(2543,'Email Cleaner'!$I$2:$I$10001,0)),"")</f>
        <v/>
      </c>
    </row>
    <row r="2545">
      <c r="A2545">
        <f>IFERROR(INDEX('Email Cleaner'!$B$2:$B$10001,MATCH(2544,'Email Cleaner'!$I$2:$I$10001,0)),"")</f>
        <v/>
      </c>
    </row>
    <row r="2546">
      <c r="A2546">
        <f>IFERROR(INDEX('Email Cleaner'!$B$2:$B$10001,MATCH(2545,'Email Cleaner'!$I$2:$I$10001,0)),"")</f>
        <v/>
      </c>
    </row>
    <row r="2547">
      <c r="A2547">
        <f>IFERROR(INDEX('Email Cleaner'!$B$2:$B$10001,MATCH(2546,'Email Cleaner'!$I$2:$I$10001,0)),"")</f>
        <v/>
      </c>
    </row>
    <row r="2548">
      <c r="A2548">
        <f>IFERROR(INDEX('Email Cleaner'!$B$2:$B$10001,MATCH(2547,'Email Cleaner'!$I$2:$I$10001,0)),"")</f>
        <v/>
      </c>
    </row>
    <row r="2549">
      <c r="A2549">
        <f>IFERROR(INDEX('Email Cleaner'!$B$2:$B$10001,MATCH(2548,'Email Cleaner'!$I$2:$I$10001,0)),"")</f>
        <v/>
      </c>
    </row>
    <row r="2550">
      <c r="A2550">
        <f>IFERROR(INDEX('Email Cleaner'!$B$2:$B$10001,MATCH(2549,'Email Cleaner'!$I$2:$I$10001,0)),"")</f>
        <v/>
      </c>
    </row>
    <row r="2551">
      <c r="A2551">
        <f>IFERROR(INDEX('Email Cleaner'!$B$2:$B$10001,MATCH(2550,'Email Cleaner'!$I$2:$I$10001,0)),"")</f>
        <v/>
      </c>
    </row>
    <row r="2552">
      <c r="A2552">
        <f>IFERROR(INDEX('Email Cleaner'!$B$2:$B$10001,MATCH(2551,'Email Cleaner'!$I$2:$I$10001,0)),"")</f>
        <v/>
      </c>
    </row>
    <row r="2553">
      <c r="A2553">
        <f>IFERROR(INDEX('Email Cleaner'!$B$2:$B$10001,MATCH(2552,'Email Cleaner'!$I$2:$I$10001,0)),"")</f>
        <v/>
      </c>
    </row>
    <row r="2554">
      <c r="A2554">
        <f>IFERROR(INDEX('Email Cleaner'!$B$2:$B$10001,MATCH(2553,'Email Cleaner'!$I$2:$I$10001,0)),"")</f>
        <v/>
      </c>
    </row>
    <row r="2555">
      <c r="A2555">
        <f>IFERROR(INDEX('Email Cleaner'!$B$2:$B$10001,MATCH(2554,'Email Cleaner'!$I$2:$I$10001,0)),"")</f>
        <v/>
      </c>
    </row>
    <row r="2556">
      <c r="A2556">
        <f>IFERROR(INDEX('Email Cleaner'!$B$2:$B$10001,MATCH(2555,'Email Cleaner'!$I$2:$I$10001,0)),"")</f>
        <v/>
      </c>
    </row>
    <row r="2557">
      <c r="A2557">
        <f>IFERROR(INDEX('Email Cleaner'!$B$2:$B$10001,MATCH(2556,'Email Cleaner'!$I$2:$I$10001,0)),"")</f>
        <v/>
      </c>
    </row>
    <row r="2558">
      <c r="A2558">
        <f>IFERROR(INDEX('Email Cleaner'!$B$2:$B$10001,MATCH(2557,'Email Cleaner'!$I$2:$I$10001,0)),"")</f>
        <v/>
      </c>
    </row>
    <row r="2559">
      <c r="A2559">
        <f>IFERROR(INDEX('Email Cleaner'!$B$2:$B$10001,MATCH(2558,'Email Cleaner'!$I$2:$I$10001,0)),"")</f>
        <v/>
      </c>
    </row>
    <row r="2560">
      <c r="A2560">
        <f>IFERROR(INDEX('Email Cleaner'!$B$2:$B$10001,MATCH(2559,'Email Cleaner'!$I$2:$I$10001,0)),"")</f>
        <v/>
      </c>
    </row>
    <row r="2561">
      <c r="A2561">
        <f>IFERROR(INDEX('Email Cleaner'!$B$2:$B$10001,MATCH(2560,'Email Cleaner'!$I$2:$I$10001,0)),"")</f>
        <v/>
      </c>
    </row>
    <row r="2562">
      <c r="A2562">
        <f>IFERROR(INDEX('Email Cleaner'!$B$2:$B$10001,MATCH(2561,'Email Cleaner'!$I$2:$I$10001,0)),"")</f>
        <v/>
      </c>
    </row>
    <row r="2563">
      <c r="A2563">
        <f>IFERROR(INDEX('Email Cleaner'!$B$2:$B$10001,MATCH(2562,'Email Cleaner'!$I$2:$I$10001,0)),"")</f>
        <v/>
      </c>
    </row>
    <row r="2564">
      <c r="A2564">
        <f>IFERROR(INDEX('Email Cleaner'!$B$2:$B$10001,MATCH(2563,'Email Cleaner'!$I$2:$I$10001,0)),"")</f>
        <v/>
      </c>
    </row>
    <row r="2565">
      <c r="A2565">
        <f>IFERROR(INDEX('Email Cleaner'!$B$2:$B$10001,MATCH(2564,'Email Cleaner'!$I$2:$I$10001,0)),"")</f>
        <v/>
      </c>
    </row>
    <row r="2566">
      <c r="A2566">
        <f>IFERROR(INDEX('Email Cleaner'!$B$2:$B$10001,MATCH(2565,'Email Cleaner'!$I$2:$I$10001,0)),"")</f>
        <v/>
      </c>
    </row>
    <row r="2567">
      <c r="A2567">
        <f>IFERROR(INDEX('Email Cleaner'!$B$2:$B$10001,MATCH(2566,'Email Cleaner'!$I$2:$I$10001,0)),"")</f>
        <v/>
      </c>
    </row>
    <row r="2568">
      <c r="A2568">
        <f>IFERROR(INDEX('Email Cleaner'!$B$2:$B$10001,MATCH(2567,'Email Cleaner'!$I$2:$I$10001,0)),"")</f>
        <v/>
      </c>
    </row>
    <row r="2569">
      <c r="A2569">
        <f>IFERROR(INDEX('Email Cleaner'!$B$2:$B$10001,MATCH(2568,'Email Cleaner'!$I$2:$I$10001,0)),"")</f>
        <v/>
      </c>
    </row>
    <row r="2570">
      <c r="A2570">
        <f>IFERROR(INDEX('Email Cleaner'!$B$2:$B$10001,MATCH(2569,'Email Cleaner'!$I$2:$I$10001,0)),"")</f>
        <v/>
      </c>
    </row>
    <row r="2571">
      <c r="A2571">
        <f>IFERROR(INDEX('Email Cleaner'!$B$2:$B$10001,MATCH(2570,'Email Cleaner'!$I$2:$I$10001,0)),"")</f>
        <v/>
      </c>
    </row>
    <row r="2572">
      <c r="A2572">
        <f>IFERROR(INDEX('Email Cleaner'!$B$2:$B$10001,MATCH(2571,'Email Cleaner'!$I$2:$I$10001,0)),"")</f>
        <v/>
      </c>
    </row>
    <row r="2573">
      <c r="A2573">
        <f>IFERROR(INDEX('Email Cleaner'!$B$2:$B$10001,MATCH(2572,'Email Cleaner'!$I$2:$I$10001,0)),"")</f>
        <v/>
      </c>
    </row>
    <row r="2574">
      <c r="A2574">
        <f>IFERROR(INDEX('Email Cleaner'!$B$2:$B$10001,MATCH(2573,'Email Cleaner'!$I$2:$I$10001,0)),"")</f>
        <v/>
      </c>
    </row>
    <row r="2575">
      <c r="A2575">
        <f>IFERROR(INDEX('Email Cleaner'!$B$2:$B$10001,MATCH(2574,'Email Cleaner'!$I$2:$I$10001,0)),"")</f>
        <v/>
      </c>
    </row>
    <row r="2576">
      <c r="A2576">
        <f>IFERROR(INDEX('Email Cleaner'!$B$2:$B$10001,MATCH(2575,'Email Cleaner'!$I$2:$I$10001,0)),"")</f>
        <v/>
      </c>
    </row>
    <row r="2577">
      <c r="A2577">
        <f>IFERROR(INDEX('Email Cleaner'!$B$2:$B$10001,MATCH(2576,'Email Cleaner'!$I$2:$I$10001,0)),"")</f>
        <v/>
      </c>
    </row>
    <row r="2578">
      <c r="A2578">
        <f>IFERROR(INDEX('Email Cleaner'!$B$2:$B$10001,MATCH(2577,'Email Cleaner'!$I$2:$I$10001,0)),"")</f>
        <v/>
      </c>
    </row>
    <row r="2579">
      <c r="A2579">
        <f>IFERROR(INDEX('Email Cleaner'!$B$2:$B$10001,MATCH(2578,'Email Cleaner'!$I$2:$I$10001,0)),"")</f>
        <v/>
      </c>
    </row>
    <row r="2580">
      <c r="A2580">
        <f>IFERROR(INDEX('Email Cleaner'!$B$2:$B$10001,MATCH(2579,'Email Cleaner'!$I$2:$I$10001,0)),"")</f>
        <v/>
      </c>
    </row>
    <row r="2581">
      <c r="A2581">
        <f>IFERROR(INDEX('Email Cleaner'!$B$2:$B$10001,MATCH(2580,'Email Cleaner'!$I$2:$I$10001,0)),"")</f>
        <v/>
      </c>
    </row>
    <row r="2582">
      <c r="A2582">
        <f>IFERROR(INDEX('Email Cleaner'!$B$2:$B$10001,MATCH(2581,'Email Cleaner'!$I$2:$I$10001,0)),"")</f>
        <v/>
      </c>
    </row>
    <row r="2583">
      <c r="A2583">
        <f>IFERROR(INDEX('Email Cleaner'!$B$2:$B$10001,MATCH(2582,'Email Cleaner'!$I$2:$I$10001,0)),"")</f>
        <v/>
      </c>
    </row>
    <row r="2584">
      <c r="A2584">
        <f>IFERROR(INDEX('Email Cleaner'!$B$2:$B$10001,MATCH(2583,'Email Cleaner'!$I$2:$I$10001,0)),"")</f>
        <v/>
      </c>
    </row>
    <row r="2585">
      <c r="A2585">
        <f>IFERROR(INDEX('Email Cleaner'!$B$2:$B$10001,MATCH(2584,'Email Cleaner'!$I$2:$I$10001,0)),"")</f>
        <v/>
      </c>
    </row>
    <row r="2586">
      <c r="A2586">
        <f>IFERROR(INDEX('Email Cleaner'!$B$2:$B$10001,MATCH(2585,'Email Cleaner'!$I$2:$I$10001,0)),"")</f>
        <v/>
      </c>
    </row>
    <row r="2587">
      <c r="A2587">
        <f>IFERROR(INDEX('Email Cleaner'!$B$2:$B$10001,MATCH(2586,'Email Cleaner'!$I$2:$I$10001,0)),"")</f>
        <v/>
      </c>
    </row>
    <row r="2588">
      <c r="A2588">
        <f>IFERROR(INDEX('Email Cleaner'!$B$2:$B$10001,MATCH(2587,'Email Cleaner'!$I$2:$I$10001,0)),"")</f>
        <v/>
      </c>
    </row>
    <row r="2589">
      <c r="A2589">
        <f>IFERROR(INDEX('Email Cleaner'!$B$2:$B$10001,MATCH(2588,'Email Cleaner'!$I$2:$I$10001,0)),"")</f>
        <v/>
      </c>
    </row>
    <row r="2590">
      <c r="A2590">
        <f>IFERROR(INDEX('Email Cleaner'!$B$2:$B$10001,MATCH(2589,'Email Cleaner'!$I$2:$I$10001,0)),"")</f>
        <v/>
      </c>
    </row>
    <row r="2591">
      <c r="A2591">
        <f>IFERROR(INDEX('Email Cleaner'!$B$2:$B$10001,MATCH(2590,'Email Cleaner'!$I$2:$I$10001,0)),"")</f>
        <v/>
      </c>
    </row>
    <row r="2592">
      <c r="A2592">
        <f>IFERROR(INDEX('Email Cleaner'!$B$2:$B$10001,MATCH(2591,'Email Cleaner'!$I$2:$I$10001,0)),"")</f>
        <v/>
      </c>
    </row>
    <row r="2593">
      <c r="A2593">
        <f>IFERROR(INDEX('Email Cleaner'!$B$2:$B$10001,MATCH(2592,'Email Cleaner'!$I$2:$I$10001,0)),"")</f>
        <v/>
      </c>
    </row>
    <row r="2594">
      <c r="A2594">
        <f>IFERROR(INDEX('Email Cleaner'!$B$2:$B$10001,MATCH(2593,'Email Cleaner'!$I$2:$I$10001,0)),"")</f>
        <v/>
      </c>
    </row>
    <row r="2595">
      <c r="A2595">
        <f>IFERROR(INDEX('Email Cleaner'!$B$2:$B$10001,MATCH(2594,'Email Cleaner'!$I$2:$I$10001,0)),"")</f>
        <v/>
      </c>
    </row>
    <row r="2596">
      <c r="A2596">
        <f>IFERROR(INDEX('Email Cleaner'!$B$2:$B$10001,MATCH(2595,'Email Cleaner'!$I$2:$I$10001,0)),"")</f>
        <v/>
      </c>
    </row>
    <row r="2597">
      <c r="A2597">
        <f>IFERROR(INDEX('Email Cleaner'!$B$2:$B$10001,MATCH(2596,'Email Cleaner'!$I$2:$I$10001,0)),"")</f>
        <v/>
      </c>
    </row>
    <row r="2598">
      <c r="A2598">
        <f>IFERROR(INDEX('Email Cleaner'!$B$2:$B$10001,MATCH(2597,'Email Cleaner'!$I$2:$I$10001,0)),"")</f>
        <v/>
      </c>
    </row>
    <row r="2599">
      <c r="A2599">
        <f>IFERROR(INDEX('Email Cleaner'!$B$2:$B$10001,MATCH(2598,'Email Cleaner'!$I$2:$I$10001,0)),"")</f>
        <v/>
      </c>
    </row>
    <row r="2600">
      <c r="A2600">
        <f>IFERROR(INDEX('Email Cleaner'!$B$2:$B$10001,MATCH(2599,'Email Cleaner'!$I$2:$I$10001,0)),"")</f>
        <v/>
      </c>
    </row>
    <row r="2601">
      <c r="A2601">
        <f>IFERROR(INDEX('Email Cleaner'!$B$2:$B$10001,MATCH(2600,'Email Cleaner'!$I$2:$I$10001,0)),"")</f>
        <v/>
      </c>
    </row>
    <row r="2602">
      <c r="A2602">
        <f>IFERROR(INDEX('Email Cleaner'!$B$2:$B$10001,MATCH(2601,'Email Cleaner'!$I$2:$I$10001,0)),"")</f>
        <v/>
      </c>
    </row>
    <row r="2603">
      <c r="A2603">
        <f>IFERROR(INDEX('Email Cleaner'!$B$2:$B$10001,MATCH(2602,'Email Cleaner'!$I$2:$I$10001,0)),"")</f>
        <v/>
      </c>
    </row>
    <row r="2604">
      <c r="A2604">
        <f>IFERROR(INDEX('Email Cleaner'!$B$2:$B$10001,MATCH(2603,'Email Cleaner'!$I$2:$I$10001,0)),"")</f>
        <v/>
      </c>
    </row>
    <row r="2605">
      <c r="A2605">
        <f>IFERROR(INDEX('Email Cleaner'!$B$2:$B$10001,MATCH(2604,'Email Cleaner'!$I$2:$I$10001,0)),"")</f>
        <v/>
      </c>
    </row>
    <row r="2606">
      <c r="A2606">
        <f>IFERROR(INDEX('Email Cleaner'!$B$2:$B$10001,MATCH(2605,'Email Cleaner'!$I$2:$I$10001,0)),"")</f>
        <v/>
      </c>
    </row>
    <row r="2607">
      <c r="A2607">
        <f>IFERROR(INDEX('Email Cleaner'!$B$2:$B$10001,MATCH(2606,'Email Cleaner'!$I$2:$I$10001,0)),"")</f>
        <v/>
      </c>
    </row>
    <row r="2608">
      <c r="A2608">
        <f>IFERROR(INDEX('Email Cleaner'!$B$2:$B$10001,MATCH(2607,'Email Cleaner'!$I$2:$I$10001,0)),"")</f>
        <v/>
      </c>
    </row>
    <row r="2609">
      <c r="A2609">
        <f>IFERROR(INDEX('Email Cleaner'!$B$2:$B$10001,MATCH(2608,'Email Cleaner'!$I$2:$I$10001,0)),"")</f>
        <v/>
      </c>
    </row>
    <row r="2610">
      <c r="A2610">
        <f>IFERROR(INDEX('Email Cleaner'!$B$2:$B$10001,MATCH(2609,'Email Cleaner'!$I$2:$I$10001,0)),"")</f>
        <v/>
      </c>
    </row>
    <row r="2611">
      <c r="A2611">
        <f>IFERROR(INDEX('Email Cleaner'!$B$2:$B$10001,MATCH(2610,'Email Cleaner'!$I$2:$I$10001,0)),"")</f>
        <v/>
      </c>
    </row>
    <row r="2612">
      <c r="A2612">
        <f>IFERROR(INDEX('Email Cleaner'!$B$2:$B$10001,MATCH(2611,'Email Cleaner'!$I$2:$I$10001,0)),"")</f>
        <v/>
      </c>
    </row>
    <row r="2613">
      <c r="A2613">
        <f>IFERROR(INDEX('Email Cleaner'!$B$2:$B$10001,MATCH(2612,'Email Cleaner'!$I$2:$I$10001,0)),"")</f>
        <v/>
      </c>
    </row>
    <row r="2614">
      <c r="A2614">
        <f>IFERROR(INDEX('Email Cleaner'!$B$2:$B$10001,MATCH(2613,'Email Cleaner'!$I$2:$I$10001,0)),"")</f>
        <v/>
      </c>
    </row>
    <row r="2615">
      <c r="A2615">
        <f>IFERROR(INDEX('Email Cleaner'!$B$2:$B$10001,MATCH(2614,'Email Cleaner'!$I$2:$I$10001,0)),"")</f>
        <v/>
      </c>
    </row>
    <row r="2616">
      <c r="A2616">
        <f>IFERROR(INDEX('Email Cleaner'!$B$2:$B$10001,MATCH(2615,'Email Cleaner'!$I$2:$I$10001,0)),"")</f>
        <v/>
      </c>
    </row>
    <row r="2617">
      <c r="A2617">
        <f>IFERROR(INDEX('Email Cleaner'!$B$2:$B$10001,MATCH(2616,'Email Cleaner'!$I$2:$I$10001,0)),"")</f>
        <v/>
      </c>
    </row>
    <row r="2618">
      <c r="A2618">
        <f>IFERROR(INDEX('Email Cleaner'!$B$2:$B$10001,MATCH(2617,'Email Cleaner'!$I$2:$I$10001,0)),"")</f>
        <v/>
      </c>
    </row>
    <row r="2619">
      <c r="A2619">
        <f>IFERROR(INDEX('Email Cleaner'!$B$2:$B$10001,MATCH(2618,'Email Cleaner'!$I$2:$I$10001,0)),"")</f>
        <v/>
      </c>
    </row>
    <row r="2620">
      <c r="A2620">
        <f>IFERROR(INDEX('Email Cleaner'!$B$2:$B$10001,MATCH(2619,'Email Cleaner'!$I$2:$I$10001,0)),"")</f>
        <v/>
      </c>
    </row>
    <row r="2621">
      <c r="A2621">
        <f>IFERROR(INDEX('Email Cleaner'!$B$2:$B$10001,MATCH(2620,'Email Cleaner'!$I$2:$I$10001,0)),"")</f>
        <v/>
      </c>
    </row>
    <row r="2622">
      <c r="A2622">
        <f>IFERROR(INDEX('Email Cleaner'!$B$2:$B$10001,MATCH(2621,'Email Cleaner'!$I$2:$I$10001,0)),"")</f>
        <v/>
      </c>
    </row>
    <row r="2623">
      <c r="A2623">
        <f>IFERROR(INDEX('Email Cleaner'!$B$2:$B$10001,MATCH(2622,'Email Cleaner'!$I$2:$I$10001,0)),"")</f>
        <v/>
      </c>
    </row>
    <row r="2624">
      <c r="A2624">
        <f>IFERROR(INDEX('Email Cleaner'!$B$2:$B$10001,MATCH(2623,'Email Cleaner'!$I$2:$I$10001,0)),"")</f>
        <v/>
      </c>
    </row>
    <row r="2625">
      <c r="A2625">
        <f>IFERROR(INDEX('Email Cleaner'!$B$2:$B$10001,MATCH(2624,'Email Cleaner'!$I$2:$I$10001,0)),"")</f>
        <v/>
      </c>
    </row>
    <row r="2626">
      <c r="A2626">
        <f>IFERROR(INDEX('Email Cleaner'!$B$2:$B$10001,MATCH(2625,'Email Cleaner'!$I$2:$I$10001,0)),"")</f>
        <v/>
      </c>
    </row>
    <row r="2627">
      <c r="A2627">
        <f>IFERROR(INDEX('Email Cleaner'!$B$2:$B$10001,MATCH(2626,'Email Cleaner'!$I$2:$I$10001,0)),"")</f>
        <v/>
      </c>
    </row>
    <row r="2628">
      <c r="A2628">
        <f>IFERROR(INDEX('Email Cleaner'!$B$2:$B$10001,MATCH(2627,'Email Cleaner'!$I$2:$I$10001,0)),"")</f>
        <v/>
      </c>
    </row>
    <row r="2629">
      <c r="A2629">
        <f>IFERROR(INDEX('Email Cleaner'!$B$2:$B$10001,MATCH(2628,'Email Cleaner'!$I$2:$I$10001,0)),"")</f>
        <v/>
      </c>
    </row>
    <row r="2630">
      <c r="A2630">
        <f>IFERROR(INDEX('Email Cleaner'!$B$2:$B$10001,MATCH(2629,'Email Cleaner'!$I$2:$I$10001,0)),"")</f>
        <v/>
      </c>
    </row>
    <row r="2631">
      <c r="A2631">
        <f>IFERROR(INDEX('Email Cleaner'!$B$2:$B$10001,MATCH(2630,'Email Cleaner'!$I$2:$I$10001,0)),"")</f>
        <v/>
      </c>
    </row>
    <row r="2632">
      <c r="A2632">
        <f>IFERROR(INDEX('Email Cleaner'!$B$2:$B$10001,MATCH(2631,'Email Cleaner'!$I$2:$I$10001,0)),"")</f>
        <v/>
      </c>
    </row>
    <row r="2633">
      <c r="A2633">
        <f>IFERROR(INDEX('Email Cleaner'!$B$2:$B$10001,MATCH(2632,'Email Cleaner'!$I$2:$I$10001,0)),"")</f>
        <v/>
      </c>
    </row>
    <row r="2634">
      <c r="A2634">
        <f>IFERROR(INDEX('Email Cleaner'!$B$2:$B$10001,MATCH(2633,'Email Cleaner'!$I$2:$I$10001,0)),"")</f>
        <v/>
      </c>
    </row>
    <row r="2635">
      <c r="A2635">
        <f>IFERROR(INDEX('Email Cleaner'!$B$2:$B$10001,MATCH(2634,'Email Cleaner'!$I$2:$I$10001,0)),"")</f>
        <v/>
      </c>
    </row>
    <row r="2636">
      <c r="A2636">
        <f>IFERROR(INDEX('Email Cleaner'!$B$2:$B$10001,MATCH(2635,'Email Cleaner'!$I$2:$I$10001,0)),"")</f>
        <v/>
      </c>
    </row>
    <row r="2637">
      <c r="A2637">
        <f>IFERROR(INDEX('Email Cleaner'!$B$2:$B$10001,MATCH(2636,'Email Cleaner'!$I$2:$I$10001,0)),"")</f>
        <v/>
      </c>
    </row>
    <row r="2638">
      <c r="A2638">
        <f>IFERROR(INDEX('Email Cleaner'!$B$2:$B$10001,MATCH(2637,'Email Cleaner'!$I$2:$I$10001,0)),"")</f>
        <v/>
      </c>
    </row>
    <row r="2639">
      <c r="A2639">
        <f>IFERROR(INDEX('Email Cleaner'!$B$2:$B$10001,MATCH(2638,'Email Cleaner'!$I$2:$I$10001,0)),"")</f>
        <v/>
      </c>
    </row>
    <row r="2640">
      <c r="A2640">
        <f>IFERROR(INDEX('Email Cleaner'!$B$2:$B$10001,MATCH(2639,'Email Cleaner'!$I$2:$I$10001,0)),"")</f>
        <v/>
      </c>
    </row>
    <row r="2641">
      <c r="A2641">
        <f>IFERROR(INDEX('Email Cleaner'!$B$2:$B$10001,MATCH(2640,'Email Cleaner'!$I$2:$I$10001,0)),"")</f>
        <v/>
      </c>
    </row>
    <row r="2642">
      <c r="A2642">
        <f>IFERROR(INDEX('Email Cleaner'!$B$2:$B$10001,MATCH(2641,'Email Cleaner'!$I$2:$I$10001,0)),"")</f>
        <v/>
      </c>
    </row>
    <row r="2643">
      <c r="A2643">
        <f>IFERROR(INDEX('Email Cleaner'!$B$2:$B$10001,MATCH(2642,'Email Cleaner'!$I$2:$I$10001,0)),"")</f>
        <v/>
      </c>
    </row>
    <row r="2644">
      <c r="A2644">
        <f>IFERROR(INDEX('Email Cleaner'!$B$2:$B$10001,MATCH(2643,'Email Cleaner'!$I$2:$I$10001,0)),"")</f>
        <v/>
      </c>
    </row>
    <row r="2645">
      <c r="A2645">
        <f>IFERROR(INDEX('Email Cleaner'!$B$2:$B$10001,MATCH(2644,'Email Cleaner'!$I$2:$I$10001,0)),"")</f>
        <v/>
      </c>
    </row>
    <row r="2646">
      <c r="A2646">
        <f>IFERROR(INDEX('Email Cleaner'!$B$2:$B$10001,MATCH(2645,'Email Cleaner'!$I$2:$I$10001,0)),"")</f>
        <v/>
      </c>
    </row>
    <row r="2647">
      <c r="A2647">
        <f>IFERROR(INDEX('Email Cleaner'!$B$2:$B$10001,MATCH(2646,'Email Cleaner'!$I$2:$I$10001,0)),"")</f>
        <v/>
      </c>
    </row>
    <row r="2648">
      <c r="A2648">
        <f>IFERROR(INDEX('Email Cleaner'!$B$2:$B$10001,MATCH(2647,'Email Cleaner'!$I$2:$I$10001,0)),"")</f>
        <v/>
      </c>
    </row>
    <row r="2649">
      <c r="A2649">
        <f>IFERROR(INDEX('Email Cleaner'!$B$2:$B$10001,MATCH(2648,'Email Cleaner'!$I$2:$I$10001,0)),"")</f>
        <v/>
      </c>
    </row>
    <row r="2650">
      <c r="A2650">
        <f>IFERROR(INDEX('Email Cleaner'!$B$2:$B$10001,MATCH(2649,'Email Cleaner'!$I$2:$I$10001,0)),"")</f>
        <v/>
      </c>
    </row>
    <row r="2651">
      <c r="A2651">
        <f>IFERROR(INDEX('Email Cleaner'!$B$2:$B$10001,MATCH(2650,'Email Cleaner'!$I$2:$I$10001,0)),"")</f>
        <v/>
      </c>
    </row>
    <row r="2652">
      <c r="A2652">
        <f>IFERROR(INDEX('Email Cleaner'!$B$2:$B$10001,MATCH(2651,'Email Cleaner'!$I$2:$I$10001,0)),"")</f>
        <v/>
      </c>
    </row>
    <row r="2653">
      <c r="A2653">
        <f>IFERROR(INDEX('Email Cleaner'!$B$2:$B$10001,MATCH(2652,'Email Cleaner'!$I$2:$I$10001,0)),"")</f>
        <v/>
      </c>
    </row>
    <row r="2654">
      <c r="A2654">
        <f>IFERROR(INDEX('Email Cleaner'!$B$2:$B$10001,MATCH(2653,'Email Cleaner'!$I$2:$I$10001,0)),"")</f>
        <v/>
      </c>
    </row>
    <row r="2655">
      <c r="A2655">
        <f>IFERROR(INDEX('Email Cleaner'!$B$2:$B$10001,MATCH(2654,'Email Cleaner'!$I$2:$I$10001,0)),"")</f>
        <v/>
      </c>
    </row>
    <row r="2656">
      <c r="A2656">
        <f>IFERROR(INDEX('Email Cleaner'!$B$2:$B$10001,MATCH(2655,'Email Cleaner'!$I$2:$I$10001,0)),"")</f>
        <v/>
      </c>
    </row>
    <row r="2657">
      <c r="A2657">
        <f>IFERROR(INDEX('Email Cleaner'!$B$2:$B$10001,MATCH(2656,'Email Cleaner'!$I$2:$I$10001,0)),"")</f>
        <v/>
      </c>
    </row>
    <row r="2658">
      <c r="A2658">
        <f>IFERROR(INDEX('Email Cleaner'!$B$2:$B$10001,MATCH(2657,'Email Cleaner'!$I$2:$I$10001,0)),"")</f>
        <v/>
      </c>
    </row>
    <row r="2659">
      <c r="A2659">
        <f>IFERROR(INDEX('Email Cleaner'!$B$2:$B$10001,MATCH(2658,'Email Cleaner'!$I$2:$I$10001,0)),"")</f>
        <v/>
      </c>
    </row>
    <row r="2660">
      <c r="A2660">
        <f>IFERROR(INDEX('Email Cleaner'!$B$2:$B$10001,MATCH(2659,'Email Cleaner'!$I$2:$I$10001,0)),"")</f>
        <v/>
      </c>
    </row>
    <row r="2661">
      <c r="A2661">
        <f>IFERROR(INDEX('Email Cleaner'!$B$2:$B$10001,MATCH(2660,'Email Cleaner'!$I$2:$I$10001,0)),"")</f>
        <v/>
      </c>
    </row>
    <row r="2662">
      <c r="A2662">
        <f>IFERROR(INDEX('Email Cleaner'!$B$2:$B$10001,MATCH(2661,'Email Cleaner'!$I$2:$I$10001,0)),"")</f>
        <v/>
      </c>
    </row>
    <row r="2663">
      <c r="A2663">
        <f>IFERROR(INDEX('Email Cleaner'!$B$2:$B$10001,MATCH(2662,'Email Cleaner'!$I$2:$I$10001,0)),"")</f>
        <v/>
      </c>
    </row>
    <row r="2664">
      <c r="A2664">
        <f>IFERROR(INDEX('Email Cleaner'!$B$2:$B$10001,MATCH(2663,'Email Cleaner'!$I$2:$I$10001,0)),"")</f>
        <v/>
      </c>
    </row>
    <row r="2665">
      <c r="A2665">
        <f>IFERROR(INDEX('Email Cleaner'!$B$2:$B$10001,MATCH(2664,'Email Cleaner'!$I$2:$I$10001,0)),"")</f>
        <v/>
      </c>
    </row>
    <row r="2666">
      <c r="A2666">
        <f>IFERROR(INDEX('Email Cleaner'!$B$2:$B$10001,MATCH(2665,'Email Cleaner'!$I$2:$I$10001,0)),"")</f>
        <v/>
      </c>
    </row>
    <row r="2667">
      <c r="A2667">
        <f>IFERROR(INDEX('Email Cleaner'!$B$2:$B$10001,MATCH(2666,'Email Cleaner'!$I$2:$I$10001,0)),"")</f>
        <v/>
      </c>
    </row>
    <row r="2668">
      <c r="A2668">
        <f>IFERROR(INDEX('Email Cleaner'!$B$2:$B$10001,MATCH(2667,'Email Cleaner'!$I$2:$I$10001,0)),"")</f>
        <v/>
      </c>
    </row>
    <row r="2669">
      <c r="A2669">
        <f>IFERROR(INDEX('Email Cleaner'!$B$2:$B$10001,MATCH(2668,'Email Cleaner'!$I$2:$I$10001,0)),"")</f>
        <v/>
      </c>
    </row>
    <row r="2670">
      <c r="A2670">
        <f>IFERROR(INDEX('Email Cleaner'!$B$2:$B$10001,MATCH(2669,'Email Cleaner'!$I$2:$I$10001,0)),"")</f>
        <v/>
      </c>
    </row>
    <row r="2671">
      <c r="A2671">
        <f>IFERROR(INDEX('Email Cleaner'!$B$2:$B$10001,MATCH(2670,'Email Cleaner'!$I$2:$I$10001,0)),"")</f>
        <v/>
      </c>
    </row>
    <row r="2672">
      <c r="A2672">
        <f>IFERROR(INDEX('Email Cleaner'!$B$2:$B$10001,MATCH(2671,'Email Cleaner'!$I$2:$I$10001,0)),"")</f>
        <v/>
      </c>
    </row>
    <row r="2673">
      <c r="A2673">
        <f>IFERROR(INDEX('Email Cleaner'!$B$2:$B$10001,MATCH(2672,'Email Cleaner'!$I$2:$I$10001,0)),"")</f>
        <v/>
      </c>
    </row>
    <row r="2674">
      <c r="A2674">
        <f>IFERROR(INDEX('Email Cleaner'!$B$2:$B$10001,MATCH(2673,'Email Cleaner'!$I$2:$I$10001,0)),"")</f>
        <v/>
      </c>
    </row>
    <row r="2675">
      <c r="A2675">
        <f>IFERROR(INDEX('Email Cleaner'!$B$2:$B$10001,MATCH(2674,'Email Cleaner'!$I$2:$I$10001,0)),"")</f>
        <v/>
      </c>
    </row>
    <row r="2676">
      <c r="A2676">
        <f>IFERROR(INDEX('Email Cleaner'!$B$2:$B$10001,MATCH(2675,'Email Cleaner'!$I$2:$I$10001,0)),"")</f>
        <v/>
      </c>
    </row>
    <row r="2677">
      <c r="A2677">
        <f>IFERROR(INDEX('Email Cleaner'!$B$2:$B$10001,MATCH(2676,'Email Cleaner'!$I$2:$I$10001,0)),"")</f>
        <v/>
      </c>
    </row>
    <row r="2678">
      <c r="A2678">
        <f>IFERROR(INDEX('Email Cleaner'!$B$2:$B$10001,MATCH(2677,'Email Cleaner'!$I$2:$I$10001,0)),"")</f>
        <v/>
      </c>
    </row>
    <row r="2679">
      <c r="A2679">
        <f>IFERROR(INDEX('Email Cleaner'!$B$2:$B$10001,MATCH(2678,'Email Cleaner'!$I$2:$I$10001,0)),"")</f>
        <v/>
      </c>
    </row>
    <row r="2680">
      <c r="A2680">
        <f>IFERROR(INDEX('Email Cleaner'!$B$2:$B$10001,MATCH(2679,'Email Cleaner'!$I$2:$I$10001,0)),"")</f>
        <v/>
      </c>
    </row>
    <row r="2681">
      <c r="A2681">
        <f>IFERROR(INDEX('Email Cleaner'!$B$2:$B$10001,MATCH(2680,'Email Cleaner'!$I$2:$I$10001,0)),"")</f>
        <v/>
      </c>
    </row>
    <row r="2682">
      <c r="A2682">
        <f>IFERROR(INDEX('Email Cleaner'!$B$2:$B$10001,MATCH(2681,'Email Cleaner'!$I$2:$I$10001,0)),"")</f>
        <v/>
      </c>
    </row>
    <row r="2683">
      <c r="A2683">
        <f>IFERROR(INDEX('Email Cleaner'!$B$2:$B$10001,MATCH(2682,'Email Cleaner'!$I$2:$I$10001,0)),"")</f>
        <v/>
      </c>
    </row>
    <row r="2684">
      <c r="A2684">
        <f>IFERROR(INDEX('Email Cleaner'!$B$2:$B$10001,MATCH(2683,'Email Cleaner'!$I$2:$I$10001,0)),"")</f>
        <v/>
      </c>
    </row>
    <row r="2685">
      <c r="A2685">
        <f>IFERROR(INDEX('Email Cleaner'!$B$2:$B$10001,MATCH(2684,'Email Cleaner'!$I$2:$I$10001,0)),"")</f>
        <v/>
      </c>
    </row>
    <row r="2686">
      <c r="A2686">
        <f>IFERROR(INDEX('Email Cleaner'!$B$2:$B$10001,MATCH(2685,'Email Cleaner'!$I$2:$I$10001,0)),"")</f>
        <v/>
      </c>
    </row>
    <row r="2687">
      <c r="A2687">
        <f>IFERROR(INDEX('Email Cleaner'!$B$2:$B$10001,MATCH(2686,'Email Cleaner'!$I$2:$I$10001,0)),"")</f>
        <v/>
      </c>
    </row>
    <row r="2688">
      <c r="A2688">
        <f>IFERROR(INDEX('Email Cleaner'!$B$2:$B$10001,MATCH(2687,'Email Cleaner'!$I$2:$I$10001,0)),"")</f>
        <v/>
      </c>
    </row>
    <row r="2689">
      <c r="A2689">
        <f>IFERROR(INDEX('Email Cleaner'!$B$2:$B$10001,MATCH(2688,'Email Cleaner'!$I$2:$I$10001,0)),"")</f>
        <v/>
      </c>
    </row>
    <row r="2690">
      <c r="A2690">
        <f>IFERROR(INDEX('Email Cleaner'!$B$2:$B$10001,MATCH(2689,'Email Cleaner'!$I$2:$I$10001,0)),"")</f>
        <v/>
      </c>
    </row>
    <row r="2691">
      <c r="A2691">
        <f>IFERROR(INDEX('Email Cleaner'!$B$2:$B$10001,MATCH(2690,'Email Cleaner'!$I$2:$I$10001,0)),"")</f>
        <v/>
      </c>
    </row>
    <row r="2692">
      <c r="A2692">
        <f>IFERROR(INDEX('Email Cleaner'!$B$2:$B$10001,MATCH(2691,'Email Cleaner'!$I$2:$I$10001,0)),"")</f>
        <v/>
      </c>
    </row>
    <row r="2693">
      <c r="A2693">
        <f>IFERROR(INDEX('Email Cleaner'!$B$2:$B$10001,MATCH(2692,'Email Cleaner'!$I$2:$I$10001,0)),"")</f>
        <v/>
      </c>
    </row>
    <row r="2694">
      <c r="A2694">
        <f>IFERROR(INDEX('Email Cleaner'!$B$2:$B$10001,MATCH(2693,'Email Cleaner'!$I$2:$I$10001,0)),"")</f>
        <v/>
      </c>
    </row>
    <row r="2695">
      <c r="A2695">
        <f>IFERROR(INDEX('Email Cleaner'!$B$2:$B$10001,MATCH(2694,'Email Cleaner'!$I$2:$I$10001,0)),"")</f>
        <v/>
      </c>
    </row>
    <row r="2696">
      <c r="A2696">
        <f>IFERROR(INDEX('Email Cleaner'!$B$2:$B$10001,MATCH(2695,'Email Cleaner'!$I$2:$I$10001,0)),"")</f>
        <v/>
      </c>
    </row>
    <row r="2697">
      <c r="A2697">
        <f>IFERROR(INDEX('Email Cleaner'!$B$2:$B$10001,MATCH(2696,'Email Cleaner'!$I$2:$I$10001,0)),"")</f>
        <v/>
      </c>
    </row>
    <row r="2698">
      <c r="A2698">
        <f>IFERROR(INDEX('Email Cleaner'!$B$2:$B$10001,MATCH(2697,'Email Cleaner'!$I$2:$I$10001,0)),"")</f>
        <v/>
      </c>
    </row>
    <row r="2699">
      <c r="A2699">
        <f>IFERROR(INDEX('Email Cleaner'!$B$2:$B$10001,MATCH(2698,'Email Cleaner'!$I$2:$I$10001,0)),"")</f>
        <v/>
      </c>
    </row>
    <row r="2700">
      <c r="A2700">
        <f>IFERROR(INDEX('Email Cleaner'!$B$2:$B$10001,MATCH(2699,'Email Cleaner'!$I$2:$I$10001,0)),"")</f>
        <v/>
      </c>
    </row>
    <row r="2701">
      <c r="A2701">
        <f>IFERROR(INDEX('Email Cleaner'!$B$2:$B$10001,MATCH(2700,'Email Cleaner'!$I$2:$I$10001,0)),"")</f>
        <v/>
      </c>
    </row>
    <row r="2702">
      <c r="A2702">
        <f>IFERROR(INDEX('Email Cleaner'!$B$2:$B$10001,MATCH(2701,'Email Cleaner'!$I$2:$I$10001,0)),"")</f>
        <v/>
      </c>
    </row>
    <row r="2703">
      <c r="A2703">
        <f>IFERROR(INDEX('Email Cleaner'!$B$2:$B$10001,MATCH(2702,'Email Cleaner'!$I$2:$I$10001,0)),"")</f>
        <v/>
      </c>
    </row>
    <row r="2704">
      <c r="A2704">
        <f>IFERROR(INDEX('Email Cleaner'!$B$2:$B$10001,MATCH(2703,'Email Cleaner'!$I$2:$I$10001,0)),"")</f>
        <v/>
      </c>
    </row>
    <row r="2705">
      <c r="A2705">
        <f>IFERROR(INDEX('Email Cleaner'!$B$2:$B$10001,MATCH(2704,'Email Cleaner'!$I$2:$I$10001,0)),"")</f>
        <v/>
      </c>
    </row>
    <row r="2706">
      <c r="A2706">
        <f>IFERROR(INDEX('Email Cleaner'!$B$2:$B$10001,MATCH(2705,'Email Cleaner'!$I$2:$I$10001,0)),"")</f>
        <v/>
      </c>
    </row>
    <row r="2707">
      <c r="A2707">
        <f>IFERROR(INDEX('Email Cleaner'!$B$2:$B$10001,MATCH(2706,'Email Cleaner'!$I$2:$I$10001,0)),"")</f>
        <v/>
      </c>
    </row>
    <row r="2708">
      <c r="A2708">
        <f>IFERROR(INDEX('Email Cleaner'!$B$2:$B$10001,MATCH(2707,'Email Cleaner'!$I$2:$I$10001,0)),"")</f>
        <v/>
      </c>
    </row>
    <row r="2709">
      <c r="A2709">
        <f>IFERROR(INDEX('Email Cleaner'!$B$2:$B$10001,MATCH(2708,'Email Cleaner'!$I$2:$I$10001,0)),"")</f>
        <v/>
      </c>
    </row>
    <row r="2710">
      <c r="A2710">
        <f>IFERROR(INDEX('Email Cleaner'!$B$2:$B$10001,MATCH(2709,'Email Cleaner'!$I$2:$I$10001,0)),"")</f>
        <v/>
      </c>
    </row>
    <row r="2711">
      <c r="A2711">
        <f>IFERROR(INDEX('Email Cleaner'!$B$2:$B$10001,MATCH(2710,'Email Cleaner'!$I$2:$I$10001,0)),"")</f>
        <v/>
      </c>
    </row>
    <row r="2712">
      <c r="A2712">
        <f>IFERROR(INDEX('Email Cleaner'!$B$2:$B$10001,MATCH(2711,'Email Cleaner'!$I$2:$I$10001,0)),"")</f>
        <v/>
      </c>
    </row>
    <row r="2713">
      <c r="A2713">
        <f>IFERROR(INDEX('Email Cleaner'!$B$2:$B$10001,MATCH(2712,'Email Cleaner'!$I$2:$I$10001,0)),"")</f>
        <v/>
      </c>
    </row>
    <row r="2714">
      <c r="A2714">
        <f>IFERROR(INDEX('Email Cleaner'!$B$2:$B$10001,MATCH(2713,'Email Cleaner'!$I$2:$I$10001,0)),"")</f>
        <v/>
      </c>
    </row>
    <row r="2715">
      <c r="A2715">
        <f>IFERROR(INDEX('Email Cleaner'!$B$2:$B$10001,MATCH(2714,'Email Cleaner'!$I$2:$I$10001,0)),"")</f>
        <v/>
      </c>
    </row>
    <row r="2716">
      <c r="A2716">
        <f>IFERROR(INDEX('Email Cleaner'!$B$2:$B$10001,MATCH(2715,'Email Cleaner'!$I$2:$I$10001,0)),"")</f>
        <v/>
      </c>
    </row>
    <row r="2717">
      <c r="A2717">
        <f>IFERROR(INDEX('Email Cleaner'!$B$2:$B$10001,MATCH(2716,'Email Cleaner'!$I$2:$I$10001,0)),"")</f>
        <v/>
      </c>
    </row>
    <row r="2718">
      <c r="A2718">
        <f>IFERROR(INDEX('Email Cleaner'!$B$2:$B$10001,MATCH(2717,'Email Cleaner'!$I$2:$I$10001,0)),"")</f>
        <v/>
      </c>
    </row>
    <row r="2719">
      <c r="A2719">
        <f>IFERROR(INDEX('Email Cleaner'!$B$2:$B$10001,MATCH(2718,'Email Cleaner'!$I$2:$I$10001,0)),"")</f>
        <v/>
      </c>
    </row>
    <row r="2720">
      <c r="A2720">
        <f>IFERROR(INDEX('Email Cleaner'!$B$2:$B$10001,MATCH(2719,'Email Cleaner'!$I$2:$I$10001,0)),"")</f>
        <v/>
      </c>
    </row>
    <row r="2721">
      <c r="A2721">
        <f>IFERROR(INDEX('Email Cleaner'!$B$2:$B$10001,MATCH(2720,'Email Cleaner'!$I$2:$I$10001,0)),"")</f>
        <v/>
      </c>
    </row>
    <row r="2722">
      <c r="A2722">
        <f>IFERROR(INDEX('Email Cleaner'!$B$2:$B$10001,MATCH(2721,'Email Cleaner'!$I$2:$I$10001,0)),"")</f>
        <v/>
      </c>
    </row>
    <row r="2723">
      <c r="A2723">
        <f>IFERROR(INDEX('Email Cleaner'!$B$2:$B$10001,MATCH(2722,'Email Cleaner'!$I$2:$I$10001,0)),"")</f>
        <v/>
      </c>
    </row>
    <row r="2724">
      <c r="A2724">
        <f>IFERROR(INDEX('Email Cleaner'!$B$2:$B$10001,MATCH(2723,'Email Cleaner'!$I$2:$I$10001,0)),"")</f>
        <v/>
      </c>
    </row>
    <row r="2725">
      <c r="A2725">
        <f>IFERROR(INDEX('Email Cleaner'!$B$2:$B$10001,MATCH(2724,'Email Cleaner'!$I$2:$I$10001,0)),"")</f>
        <v/>
      </c>
    </row>
    <row r="2726">
      <c r="A2726">
        <f>IFERROR(INDEX('Email Cleaner'!$B$2:$B$10001,MATCH(2725,'Email Cleaner'!$I$2:$I$10001,0)),"")</f>
        <v/>
      </c>
    </row>
    <row r="2727">
      <c r="A2727">
        <f>IFERROR(INDEX('Email Cleaner'!$B$2:$B$10001,MATCH(2726,'Email Cleaner'!$I$2:$I$10001,0)),"")</f>
        <v/>
      </c>
    </row>
    <row r="2728">
      <c r="A2728">
        <f>IFERROR(INDEX('Email Cleaner'!$B$2:$B$10001,MATCH(2727,'Email Cleaner'!$I$2:$I$10001,0)),"")</f>
        <v/>
      </c>
    </row>
    <row r="2729">
      <c r="A2729">
        <f>IFERROR(INDEX('Email Cleaner'!$B$2:$B$10001,MATCH(2728,'Email Cleaner'!$I$2:$I$10001,0)),"")</f>
        <v/>
      </c>
    </row>
    <row r="2730">
      <c r="A2730">
        <f>IFERROR(INDEX('Email Cleaner'!$B$2:$B$10001,MATCH(2729,'Email Cleaner'!$I$2:$I$10001,0)),"")</f>
        <v/>
      </c>
    </row>
    <row r="2731">
      <c r="A2731">
        <f>IFERROR(INDEX('Email Cleaner'!$B$2:$B$10001,MATCH(2730,'Email Cleaner'!$I$2:$I$10001,0)),"")</f>
        <v/>
      </c>
    </row>
    <row r="2732">
      <c r="A2732">
        <f>IFERROR(INDEX('Email Cleaner'!$B$2:$B$10001,MATCH(2731,'Email Cleaner'!$I$2:$I$10001,0)),"")</f>
        <v/>
      </c>
    </row>
    <row r="2733">
      <c r="A2733">
        <f>IFERROR(INDEX('Email Cleaner'!$B$2:$B$10001,MATCH(2732,'Email Cleaner'!$I$2:$I$10001,0)),"")</f>
        <v/>
      </c>
    </row>
    <row r="2734">
      <c r="A2734">
        <f>IFERROR(INDEX('Email Cleaner'!$B$2:$B$10001,MATCH(2733,'Email Cleaner'!$I$2:$I$10001,0)),"")</f>
        <v/>
      </c>
    </row>
    <row r="2735">
      <c r="A2735">
        <f>IFERROR(INDEX('Email Cleaner'!$B$2:$B$10001,MATCH(2734,'Email Cleaner'!$I$2:$I$10001,0)),"")</f>
        <v/>
      </c>
    </row>
    <row r="2736">
      <c r="A2736">
        <f>IFERROR(INDEX('Email Cleaner'!$B$2:$B$10001,MATCH(2735,'Email Cleaner'!$I$2:$I$10001,0)),"")</f>
        <v/>
      </c>
    </row>
    <row r="2737">
      <c r="A2737">
        <f>IFERROR(INDEX('Email Cleaner'!$B$2:$B$10001,MATCH(2736,'Email Cleaner'!$I$2:$I$10001,0)),"")</f>
        <v/>
      </c>
    </row>
    <row r="2738">
      <c r="A2738">
        <f>IFERROR(INDEX('Email Cleaner'!$B$2:$B$10001,MATCH(2737,'Email Cleaner'!$I$2:$I$10001,0)),"")</f>
        <v/>
      </c>
    </row>
    <row r="2739">
      <c r="A2739">
        <f>IFERROR(INDEX('Email Cleaner'!$B$2:$B$10001,MATCH(2738,'Email Cleaner'!$I$2:$I$10001,0)),"")</f>
        <v/>
      </c>
    </row>
    <row r="2740">
      <c r="A2740">
        <f>IFERROR(INDEX('Email Cleaner'!$B$2:$B$10001,MATCH(2739,'Email Cleaner'!$I$2:$I$10001,0)),"")</f>
        <v/>
      </c>
    </row>
    <row r="2741">
      <c r="A2741">
        <f>IFERROR(INDEX('Email Cleaner'!$B$2:$B$10001,MATCH(2740,'Email Cleaner'!$I$2:$I$10001,0)),"")</f>
        <v/>
      </c>
    </row>
    <row r="2742">
      <c r="A2742">
        <f>IFERROR(INDEX('Email Cleaner'!$B$2:$B$10001,MATCH(2741,'Email Cleaner'!$I$2:$I$10001,0)),"")</f>
        <v/>
      </c>
    </row>
    <row r="2743">
      <c r="A2743">
        <f>IFERROR(INDEX('Email Cleaner'!$B$2:$B$10001,MATCH(2742,'Email Cleaner'!$I$2:$I$10001,0)),"")</f>
        <v/>
      </c>
    </row>
    <row r="2744">
      <c r="A2744">
        <f>IFERROR(INDEX('Email Cleaner'!$B$2:$B$10001,MATCH(2743,'Email Cleaner'!$I$2:$I$10001,0)),"")</f>
        <v/>
      </c>
    </row>
    <row r="2745">
      <c r="A2745">
        <f>IFERROR(INDEX('Email Cleaner'!$B$2:$B$10001,MATCH(2744,'Email Cleaner'!$I$2:$I$10001,0)),"")</f>
        <v/>
      </c>
    </row>
    <row r="2746">
      <c r="A2746">
        <f>IFERROR(INDEX('Email Cleaner'!$B$2:$B$10001,MATCH(2745,'Email Cleaner'!$I$2:$I$10001,0)),"")</f>
        <v/>
      </c>
    </row>
    <row r="2747">
      <c r="A2747">
        <f>IFERROR(INDEX('Email Cleaner'!$B$2:$B$10001,MATCH(2746,'Email Cleaner'!$I$2:$I$10001,0)),"")</f>
        <v/>
      </c>
    </row>
    <row r="2748">
      <c r="A2748">
        <f>IFERROR(INDEX('Email Cleaner'!$B$2:$B$10001,MATCH(2747,'Email Cleaner'!$I$2:$I$10001,0)),"")</f>
        <v/>
      </c>
    </row>
    <row r="2749">
      <c r="A2749">
        <f>IFERROR(INDEX('Email Cleaner'!$B$2:$B$10001,MATCH(2748,'Email Cleaner'!$I$2:$I$10001,0)),"")</f>
        <v/>
      </c>
    </row>
    <row r="2750">
      <c r="A2750">
        <f>IFERROR(INDEX('Email Cleaner'!$B$2:$B$10001,MATCH(2749,'Email Cleaner'!$I$2:$I$10001,0)),"")</f>
        <v/>
      </c>
    </row>
    <row r="2751">
      <c r="A2751">
        <f>IFERROR(INDEX('Email Cleaner'!$B$2:$B$10001,MATCH(2750,'Email Cleaner'!$I$2:$I$10001,0)),"")</f>
        <v/>
      </c>
    </row>
    <row r="2752">
      <c r="A2752">
        <f>IFERROR(INDEX('Email Cleaner'!$B$2:$B$10001,MATCH(2751,'Email Cleaner'!$I$2:$I$10001,0)),"")</f>
        <v/>
      </c>
    </row>
    <row r="2753">
      <c r="A2753">
        <f>IFERROR(INDEX('Email Cleaner'!$B$2:$B$10001,MATCH(2752,'Email Cleaner'!$I$2:$I$10001,0)),"")</f>
        <v/>
      </c>
    </row>
    <row r="2754">
      <c r="A2754">
        <f>IFERROR(INDEX('Email Cleaner'!$B$2:$B$10001,MATCH(2753,'Email Cleaner'!$I$2:$I$10001,0)),"")</f>
        <v/>
      </c>
    </row>
    <row r="2755">
      <c r="A2755">
        <f>IFERROR(INDEX('Email Cleaner'!$B$2:$B$10001,MATCH(2754,'Email Cleaner'!$I$2:$I$10001,0)),"")</f>
        <v/>
      </c>
    </row>
    <row r="2756">
      <c r="A2756">
        <f>IFERROR(INDEX('Email Cleaner'!$B$2:$B$10001,MATCH(2755,'Email Cleaner'!$I$2:$I$10001,0)),"")</f>
        <v/>
      </c>
    </row>
    <row r="2757">
      <c r="A2757">
        <f>IFERROR(INDEX('Email Cleaner'!$B$2:$B$10001,MATCH(2756,'Email Cleaner'!$I$2:$I$10001,0)),"")</f>
        <v/>
      </c>
    </row>
    <row r="2758">
      <c r="A2758">
        <f>IFERROR(INDEX('Email Cleaner'!$B$2:$B$10001,MATCH(2757,'Email Cleaner'!$I$2:$I$10001,0)),"")</f>
        <v/>
      </c>
    </row>
    <row r="2759">
      <c r="A2759">
        <f>IFERROR(INDEX('Email Cleaner'!$B$2:$B$10001,MATCH(2758,'Email Cleaner'!$I$2:$I$10001,0)),"")</f>
        <v/>
      </c>
    </row>
    <row r="2760">
      <c r="A2760">
        <f>IFERROR(INDEX('Email Cleaner'!$B$2:$B$10001,MATCH(2759,'Email Cleaner'!$I$2:$I$10001,0)),"")</f>
        <v/>
      </c>
    </row>
    <row r="2761">
      <c r="A2761">
        <f>IFERROR(INDEX('Email Cleaner'!$B$2:$B$10001,MATCH(2760,'Email Cleaner'!$I$2:$I$10001,0)),"")</f>
        <v/>
      </c>
    </row>
    <row r="2762">
      <c r="A2762">
        <f>IFERROR(INDEX('Email Cleaner'!$B$2:$B$10001,MATCH(2761,'Email Cleaner'!$I$2:$I$10001,0)),"")</f>
        <v/>
      </c>
    </row>
    <row r="2763">
      <c r="A2763">
        <f>IFERROR(INDEX('Email Cleaner'!$B$2:$B$10001,MATCH(2762,'Email Cleaner'!$I$2:$I$10001,0)),"")</f>
        <v/>
      </c>
    </row>
    <row r="2764">
      <c r="A2764">
        <f>IFERROR(INDEX('Email Cleaner'!$B$2:$B$10001,MATCH(2763,'Email Cleaner'!$I$2:$I$10001,0)),"")</f>
        <v/>
      </c>
    </row>
    <row r="2765">
      <c r="A2765">
        <f>IFERROR(INDEX('Email Cleaner'!$B$2:$B$10001,MATCH(2764,'Email Cleaner'!$I$2:$I$10001,0)),"")</f>
        <v/>
      </c>
    </row>
    <row r="2766">
      <c r="A2766">
        <f>IFERROR(INDEX('Email Cleaner'!$B$2:$B$10001,MATCH(2765,'Email Cleaner'!$I$2:$I$10001,0)),"")</f>
        <v/>
      </c>
    </row>
    <row r="2767">
      <c r="A2767">
        <f>IFERROR(INDEX('Email Cleaner'!$B$2:$B$10001,MATCH(2766,'Email Cleaner'!$I$2:$I$10001,0)),"")</f>
        <v/>
      </c>
    </row>
    <row r="2768">
      <c r="A2768">
        <f>IFERROR(INDEX('Email Cleaner'!$B$2:$B$10001,MATCH(2767,'Email Cleaner'!$I$2:$I$10001,0)),"")</f>
        <v/>
      </c>
    </row>
    <row r="2769">
      <c r="A2769">
        <f>IFERROR(INDEX('Email Cleaner'!$B$2:$B$10001,MATCH(2768,'Email Cleaner'!$I$2:$I$10001,0)),"")</f>
        <v/>
      </c>
    </row>
    <row r="2770">
      <c r="A2770">
        <f>IFERROR(INDEX('Email Cleaner'!$B$2:$B$10001,MATCH(2769,'Email Cleaner'!$I$2:$I$10001,0)),"")</f>
        <v/>
      </c>
    </row>
    <row r="2771">
      <c r="A2771">
        <f>IFERROR(INDEX('Email Cleaner'!$B$2:$B$10001,MATCH(2770,'Email Cleaner'!$I$2:$I$10001,0)),"")</f>
        <v/>
      </c>
    </row>
    <row r="2772">
      <c r="A2772">
        <f>IFERROR(INDEX('Email Cleaner'!$B$2:$B$10001,MATCH(2771,'Email Cleaner'!$I$2:$I$10001,0)),"")</f>
        <v/>
      </c>
    </row>
    <row r="2773">
      <c r="A2773">
        <f>IFERROR(INDEX('Email Cleaner'!$B$2:$B$10001,MATCH(2772,'Email Cleaner'!$I$2:$I$10001,0)),"")</f>
        <v/>
      </c>
    </row>
    <row r="2774">
      <c r="A2774">
        <f>IFERROR(INDEX('Email Cleaner'!$B$2:$B$10001,MATCH(2773,'Email Cleaner'!$I$2:$I$10001,0)),"")</f>
        <v/>
      </c>
    </row>
    <row r="2775">
      <c r="A2775">
        <f>IFERROR(INDEX('Email Cleaner'!$B$2:$B$10001,MATCH(2774,'Email Cleaner'!$I$2:$I$10001,0)),"")</f>
        <v/>
      </c>
    </row>
    <row r="2776">
      <c r="A2776">
        <f>IFERROR(INDEX('Email Cleaner'!$B$2:$B$10001,MATCH(2775,'Email Cleaner'!$I$2:$I$10001,0)),"")</f>
        <v/>
      </c>
    </row>
    <row r="2777">
      <c r="A2777">
        <f>IFERROR(INDEX('Email Cleaner'!$B$2:$B$10001,MATCH(2776,'Email Cleaner'!$I$2:$I$10001,0)),"")</f>
        <v/>
      </c>
    </row>
    <row r="2778">
      <c r="A2778">
        <f>IFERROR(INDEX('Email Cleaner'!$B$2:$B$10001,MATCH(2777,'Email Cleaner'!$I$2:$I$10001,0)),"")</f>
        <v/>
      </c>
    </row>
    <row r="2779">
      <c r="A2779">
        <f>IFERROR(INDEX('Email Cleaner'!$B$2:$B$10001,MATCH(2778,'Email Cleaner'!$I$2:$I$10001,0)),"")</f>
        <v/>
      </c>
    </row>
    <row r="2780">
      <c r="A2780">
        <f>IFERROR(INDEX('Email Cleaner'!$B$2:$B$10001,MATCH(2779,'Email Cleaner'!$I$2:$I$10001,0)),"")</f>
        <v/>
      </c>
    </row>
    <row r="2781">
      <c r="A2781">
        <f>IFERROR(INDEX('Email Cleaner'!$B$2:$B$10001,MATCH(2780,'Email Cleaner'!$I$2:$I$10001,0)),"")</f>
        <v/>
      </c>
    </row>
    <row r="2782">
      <c r="A2782">
        <f>IFERROR(INDEX('Email Cleaner'!$B$2:$B$10001,MATCH(2781,'Email Cleaner'!$I$2:$I$10001,0)),"")</f>
        <v/>
      </c>
    </row>
    <row r="2783">
      <c r="A2783">
        <f>IFERROR(INDEX('Email Cleaner'!$B$2:$B$10001,MATCH(2782,'Email Cleaner'!$I$2:$I$10001,0)),"")</f>
        <v/>
      </c>
    </row>
    <row r="2784">
      <c r="A2784">
        <f>IFERROR(INDEX('Email Cleaner'!$B$2:$B$10001,MATCH(2783,'Email Cleaner'!$I$2:$I$10001,0)),"")</f>
        <v/>
      </c>
    </row>
    <row r="2785">
      <c r="A2785">
        <f>IFERROR(INDEX('Email Cleaner'!$B$2:$B$10001,MATCH(2784,'Email Cleaner'!$I$2:$I$10001,0)),"")</f>
        <v/>
      </c>
    </row>
    <row r="2786">
      <c r="A2786">
        <f>IFERROR(INDEX('Email Cleaner'!$B$2:$B$10001,MATCH(2785,'Email Cleaner'!$I$2:$I$10001,0)),"")</f>
        <v/>
      </c>
    </row>
    <row r="2787">
      <c r="A2787">
        <f>IFERROR(INDEX('Email Cleaner'!$B$2:$B$10001,MATCH(2786,'Email Cleaner'!$I$2:$I$10001,0)),"")</f>
        <v/>
      </c>
    </row>
    <row r="2788">
      <c r="A2788">
        <f>IFERROR(INDEX('Email Cleaner'!$B$2:$B$10001,MATCH(2787,'Email Cleaner'!$I$2:$I$10001,0)),"")</f>
        <v/>
      </c>
    </row>
    <row r="2789">
      <c r="A2789">
        <f>IFERROR(INDEX('Email Cleaner'!$B$2:$B$10001,MATCH(2788,'Email Cleaner'!$I$2:$I$10001,0)),"")</f>
        <v/>
      </c>
    </row>
    <row r="2790">
      <c r="A2790">
        <f>IFERROR(INDEX('Email Cleaner'!$B$2:$B$10001,MATCH(2789,'Email Cleaner'!$I$2:$I$10001,0)),"")</f>
        <v/>
      </c>
    </row>
    <row r="2791">
      <c r="A2791">
        <f>IFERROR(INDEX('Email Cleaner'!$B$2:$B$10001,MATCH(2790,'Email Cleaner'!$I$2:$I$10001,0)),"")</f>
        <v/>
      </c>
    </row>
    <row r="2792">
      <c r="A2792">
        <f>IFERROR(INDEX('Email Cleaner'!$B$2:$B$10001,MATCH(2791,'Email Cleaner'!$I$2:$I$10001,0)),"")</f>
        <v/>
      </c>
    </row>
    <row r="2793">
      <c r="A2793">
        <f>IFERROR(INDEX('Email Cleaner'!$B$2:$B$10001,MATCH(2792,'Email Cleaner'!$I$2:$I$10001,0)),"")</f>
        <v/>
      </c>
    </row>
    <row r="2794">
      <c r="A2794">
        <f>IFERROR(INDEX('Email Cleaner'!$B$2:$B$10001,MATCH(2793,'Email Cleaner'!$I$2:$I$10001,0)),"")</f>
        <v/>
      </c>
    </row>
    <row r="2795">
      <c r="A2795">
        <f>IFERROR(INDEX('Email Cleaner'!$B$2:$B$10001,MATCH(2794,'Email Cleaner'!$I$2:$I$10001,0)),"")</f>
        <v/>
      </c>
    </row>
    <row r="2796">
      <c r="A2796">
        <f>IFERROR(INDEX('Email Cleaner'!$B$2:$B$10001,MATCH(2795,'Email Cleaner'!$I$2:$I$10001,0)),"")</f>
        <v/>
      </c>
    </row>
    <row r="2797">
      <c r="A2797">
        <f>IFERROR(INDEX('Email Cleaner'!$B$2:$B$10001,MATCH(2796,'Email Cleaner'!$I$2:$I$10001,0)),"")</f>
        <v/>
      </c>
    </row>
    <row r="2798">
      <c r="A2798">
        <f>IFERROR(INDEX('Email Cleaner'!$B$2:$B$10001,MATCH(2797,'Email Cleaner'!$I$2:$I$10001,0)),"")</f>
        <v/>
      </c>
    </row>
    <row r="2799">
      <c r="A2799">
        <f>IFERROR(INDEX('Email Cleaner'!$B$2:$B$10001,MATCH(2798,'Email Cleaner'!$I$2:$I$10001,0)),"")</f>
        <v/>
      </c>
    </row>
    <row r="2800">
      <c r="A2800">
        <f>IFERROR(INDEX('Email Cleaner'!$B$2:$B$10001,MATCH(2799,'Email Cleaner'!$I$2:$I$10001,0)),"")</f>
        <v/>
      </c>
    </row>
    <row r="2801">
      <c r="A2801">
        <f>IFERROR(INDEX('Email Cleaner'!$B$2:$B$10001,MATCH(2800,'Email Cleaner'!$I$2:$I$10001,0)),"")</f>
        <v/>
      </c>
    </row>
    <row r="2802">
      <c r="A2802">
        <f>IFERROR(INDEX('Email Cleaner'!$B$2:$B$10001,MATCH(2801,'Email Cleaner'!$I$2:$I$10001,0)),"")</f>
        <v/>
      </c>
    </row>
    <row r="2803">
      <c r="A2803">
        <f>IFERROR(INDEX('Email Cleaner'!$B$2:$B$10001,MATCH(2802,'Email Cleaner'!$I$2:$I$10001,0)),"")</f>
        <v/>
      </c>
    </row>
    <row r="2804">
      <c r="A2804">
        <f>IFERROR(INDEX('Email Cleaner'!$B$2:$B$10001,MATCH(2803,'Email Cleaner'!$I$2:$I$10001,0)),"")</f>
        <v/>
      </c>
    </row>
    <row r="2805">
      <c r="A2805">
        <f>IFERROR(INDEX('Email Cleaner'!$B$2:$B$10001,MATCH(2804,'Email Cleaner'!$I$2:$I$10001,0)),"")</f>
        <v/>
      </c>
    </row>
    <row r="2806">
      <c r="A2806">
        <f>IFERROR(INDEX('Email Cleaner'!$B$2:$B$10001,MATCH(2805,'Email Cleaner'!$I$2:$I$10001,0)),"")</f>
        <v/>
      </c>
    </row>
    <row r="2807">
      <c r="A2807">
        <f>IFERROR(INDEX('Email Cleaner'!$B$2:$B$10001,MATCH(2806,'Email Cleaner'!$I$2:$I$10001,0)),"")</f>
        <v/>
      </c>
    </row>
    <row r="2808">
      <c r="A2808">
        <f>IFERROR(INDEX('Email Cleaner'!$B$2:$B$10001,MATCH(2807,'Email Cleaner'!$I$2:$I$10001,0)),"")</f>
        <v/>
      </c>
    </row>
    <row r="2809">
      <c r="A2809">
        <f>IFERROR(INDEX('Email Cleaner'!$B$2:$B$10001,MATCH(2808,'Email Cleaner'!$I$2:$I$10001,0)),"")</f>
        <v/>
      </c>
    </row>
    <row r="2810">
      <c r="A2810">
        <f>IFERROR(INDEX('Email Cleaner'!$B$2:$B$10001,MATCH(2809,'Email Cleaner'!$I$2:$I$10001,0)),"")</f>
        <v/>
      </c>
    </row>
    <row r="2811">
      <c r="A2811">
        <f>IFERROR(INDEX('Email Cleaner'!$B$2:$B$10001,MATCH(2810,'Email Cleaner'!$I$2:$I$10001,0)),"")</f>
        <v/>
      </c>
    </row>
    <row r="2812">
      <c r="A2812">
        <f>IFERROR(INDEX('Email Cleaner'!$B$2:$B$10001,MATCH(2811,'Email Cleaner'!$I$2:$I$10001,0)),"")</f>
        <v/>
      </c>
    </row>
    <row r="2813">
      <c r="A2813">
        <f>IFERROR(INDEX('Email Cleaner'!$B$2:$B$10001,MATCH(2812,'Email Cleaner'!$I$2:$I$10001,0)),"")</f>
        <v/>
      </c>
    </row>
    <row r="2814">
      <c r="A2814">
        <f>IFERROR(INDEX('Email Cleaner'!$B$2:$B$10001,MATCH(2813,'Email Cleaner'!$I$2:$I$10001,0)),"")</f>
        <v/>
      </c>
    </row>
    <row r="2815">
      <c r="A2815">
        <f>IFERROR(INDEX('Email Cleaner'!$B$2:$B$10001,MATCH(2814,'Email Cleaner'!$I$2:$I$10001,0)),"")</f>
        <v/>
      </c>
    </row>
    <row r="2816">
      <c r="A2816">
        <f>IFERROR(INDEX('Email Cleaner'!$B$2:$B$10001,MATCH(2815,'Email Cleaner'!$I$2:$I$10001,0)),"")</f>
        <v/>
      </c>
    </row>
    <row r="2817">
      <c r="A2817">
        <f>IFERROR(INDEX('Email Cleaner'!$B$2:$B$10001,MATCH(2816,'Email Cleaner'!$I$2:$I$10001,0)),"")</f>
        <v/>
      </c>
    </row>
    <row r="2818">
      <c r="A2818">
        <f>IFERROR(INDEX('Email Cleaner'!$B$2:$B$10001,MATCH(2817,'Email Cleaner'!$I$2:$I$10001,0)),"")</f>
        <v/>
      </c>
    </row>
    <row r="2819">
      <c r="A2819">
        <f>IFERROR(INDEX('Email Cleaner'!$B$2:$B$10001,MATCH(2818,'Email Cleaner'!$I$2:$I$10001,0)),"")</f>
        <v/>
      </c>
    </row>
    <row r="2820">
      <c r="A2820">
        <f>IFERROR(INDEX('Email Cleaner'!$B$2:$B$10001,MATCH(2819,'Email Cleaner'!$I$2:$I$10001,0)),"")</f>
        <v/>
      </c>
    </row>
    <row r="2821">
      <c r="A2821">
        <f>IFERROR(INDEX('Email Cleaner'!$B$2:$B$10001,MATCH(2820,'Email Cleaner'!$I$2:$I$10001,0)),"")</f>
        <v/>
      </c>
    </row>
    <row r="2822">
      <c r="A2822">
        <f>IFERROR(INDEX('Email Cleaner'!$B$2:$B$10001,MATCH(2821,'Email Cleaner'!$I$2:$I$10001,0)),"")</f>
        <v/>
      </c>
    </row>
    <row r="2823">
      <c r="A2823">
        <f>IFERROR(INDEX('Email Cleaner'!$B$2:$B$10001,MATCH(2822,'Email Cleaner'!$I$2:$I$10001,0)),"")</f>
        <v/>
      </c>
    </row>
    <row r="2824">
      <c r="A2824">
        <f>IFERROR(INDEX('Email Cleaner'!$B$2:$B$10001,MATCH(2823,'Email Cleaner'!$I$2:$I$10001,0)),"")</f>
        <v/>
      </c>
    </row>
    <row r="2825">
      <c r="A2825">
        <f>IFERROR(INDEX('Email Cleaner'!$B$2:$B$10001,MATCH(2824,'Email Cleaner'!$I$2:$I$10001,0)),"")</f>
        <v/>
      </c>
    </row>
    <row r="2826">
      <c r="A2826">
        <f>IFERROR(INDEX('Email Cleaner'!$B$2:$B$10001,MATCH(2825,'Email Cleaner'!$I$2:$I$10001,0)),"")</f>
        <v/>
      </c>
    </row>
    <row r="2827">
      <c r="A2827">
        <f>IFERROR(INDEX('Email Cleaner'!$B$2:$B$10001,MATCH(2826,'Email Cleaner'!$I$2:$I$10001,0)),"")</f>
        <v/>
      </c>
    </row>
    <row r="2828">
      <c r="A2828">
        <f>IFERROR(INDEX('Email Cleaner'!$B$2:$B$10001,MATCH(2827,'Email Cleaner'!$I$2:$I$10001,0)),"")</f>
        <v/>
      </c>
    </row>
    <row r="2829">
      <c r="A2829">
        <f>IFERROR(INDEX('Email Cleaner'!$B$2:$B$10001,MATCH(2828,'Email Cleaner'!$I$2:$I$10001,0)),"")</f>
        <v/>
      </c>
    </row>
    <row r="2830">
      <c r="A2830">
        <f>IFERROR(INDEX('Email Cleaner'!$B$2:$B$10001,MATCH(2829,'Email Cleaner'!$I$2:$I$10001,0)),"")</f>
        <v/>
      </c>
    </row>
    <row r="2831">
      <c r="A2831">
        <f>IFERROR(INDEX('Email Cleaner'!$B$2:$B$10001,MATCH(2830,'Email Cleaner'!$I$2:$I$10001,0)),"")</f>
        <v/>
      </c>
    </row>
    <row r="2832">
      <c r="A2832">
        <f>IFERROR(INDEX('Email Cleaner'!$B$2:$B$10001,MATCH(2831,'Email Cleaner'!$I$2:$I$10001,0)),"")</f>
        <v/>
      </c>
    </row>
    <row r="2833">
      <c r="A2833">
        <f>IFERROR(INDEX('Email Cleaner'!$B$2:$B$10001,MATCH(2832,'Email Cleaner'!$I$2:$I$10001,0)),"")</f>
        <v/>
      </c>
    </row>
    <row r="2834">
      <c r="A2834">
        <f>IFERROR(INDEX('Email Cleaner'!$B$2:$B$10001,MATCH(2833,'Email Cleaner'!$I$2:$I$10001,0)),"")</f>
        <v/>
      </c>
    </row>
    <row r="2835">
      <c r="A2835">
        <f>IFERROR(INDEX('Email Cleaner'!$B$2:$B$10001,MATCH(2834,'Email Cleaner'!$I$2:$I$10001,0)),"")</f>
        <v/>
      </c>
    </row>
    <row r="2836">
      <c r="A2836">
        <f>IFERROR(INDEX('Email Cleaner'!$B$2:$B$10001,MATCH(2835,'Email Cleaner'!$I$2:$I$10001,0)),"")</f>
        <v/>
      </c>
    </row>
    <row r="2837">
      <c r="A2837">
        <f>IFERROR(INDEX('Email Cleaner'!$B$2:$B$10001,MATCH(2836,'Email Cleaner'!$I$2:$I$10001,0)),"")</f>
        <v/>
      </c>
    </row>
    <row r="2838">
      <c r="A2838">
        <f>IFERROR(INDEX('Email Cleaner'!$B$2:$B$10001,MATCH(2837,'Email Cleaner'!$I$2:$I$10001,0)),"")</f>
        <v/>
      </c>
    </row>
    <row r="2839">
      <c r="A2839">
        <f>IFERROR(INDEX('Email Cleaner'!$B$2:$B$10001,MATCH(2838,'Email Cleaner'!$I$2:$I$10001,0)),"")</f>
        <v/>
      </c>
    </row>
    <row r="2840">
      <c r="A2840">
        <f>IFERROR(INDEX('Email Cleaner'!$B$2:$B$10001,MATCH(2839,'Email Cleaner'!$I$2:$I$10001,0)),"")</f>
        <v/>
      </c>
    </row>
    <row r="2841">
      <c r="A2841">
        <f>IFERROR(INDEX('Email Cleaner'!$B$2:$B$10001,MATCH(2840,'Email Cleaner'!$I$2:$I$10001,0)),"")</f>
        <v/>
      </c>
    </row>
    <row r="2842">
      <c r="A2842">
        <f>IFERROR(INDEX('Email Cleaner'!$B$2:$B$10001,MATCH(2841,'Email Cleaner'!$I$2:$I$10001,0)),"")</f>
        <v/>
      </c>
    </row>
    <row r="2843">
      <c r="A2843">
        <f>IFERROR(INDEX('Email Cleaner'!$B$2:$B$10001,MATCH(2842,'Email Cleaner'!$I$2:$I$10001,0)),"")</f>
        <v/>
      </c>
    </row>
    <row r="2844">
      <c r="A2844">
        <f>IFERROR(INDEX('Email Cleaner'!$B$2:$B$10001,MATCH(2843,'Email Cleaner'!$I$2:$I$10001,0)),"")</f>
        <v/>
      </c>
    </row>
    <row r="2845">
      <c r="A2845">
        <f>IFERROR(INDEX('Email Cleaner'!$B$2:$B$10001,MATCH(2844,'Email Cleaner'!$I$2:$I$10001,0)),"")</f>
        <v/>
      </c>
    </row>
    <row r="2846">
      <c r="A2846">
        <f>IFERROR(INDEX('Email Cleaner'!$B$2:$B$10001,MATCH(2845,'Email Cleaner'!$I$2:$I$10001,0)),"")</f>
        <v/>
      </c>
    </row>
    <row r="2847">
      <c r="A2847">
        <f>IFERROR(INDEX('Email Cleaner'!$B$2:$B$10001,MATCH(2846,'Email Cleaner'!$I$2:$I$10001,0)),"")</f>
        <v/>
      </c>
    </row>
    <row r="2848">
      <c r="A2848">
        <f>IFERROR(INDEX('Email Cleaner'!$B$2:$B$10001,MATCH(2847,'Email Cleaner'!$I$2:$I$10001,0)),"")</f>
        <v/>
      </c>
    </row>
    <row r="2849">
      <c r="A2849">
        <f>IFERROR(INDEX('Email Cleaner'!$B$2:$B$10001,MATCH(2848,'Email Cleaner'!$I$2:$I$10001,0)),"")</f>
        <v/>
      </c>
    </row>
    <row r="2850">
      <c r="A2850">
        <f>IFERROR(INDEX('Email Cleaner'!$B$2:$B$10001,MATCH(2849,'Email Cleaner'!$I$2:$I$10001,0)),"")</f>
        <v/>
      </c>
    </row>
    <row r="2851">
      <c r="A2851">
        <f>IFERROR(INDEX('Email Cleaner'!$B$2:$B$10001,MATCH(2850,'Email Cleaner'!$I$2:$I$10001,0)),"")</f>
        <v/>
      </c>
    </row>
    <row r="2852">
      <c r="A2852">
        <f>IFERROR(INDEX('Email Cleaner'!$B$2:$B$10001,MATCH(2851,'Email Cleaner'!$I$2:$I$10001,0)),"")</f>
        <v/>
      </c>
    </row>
    <row r="2853">
      <c r="A2853">
        <f>IFERROR(INDEX('Email Cleaner'!$B$2:$B$10001,MATCH(2852,'Email Cleaner'!$I$2:$I$10001,0)),"")</f>
        <v/>
      </c>
    </row>
    <row r="2854">
      <c r="A2854">
        <f>IFERROR(INDEX('Email Cleaner'!$B$2:$B$10001,MATCH(2853,'Email Cleaner'!$I$2:$I$10001,0)),"")</f>
        <v/>
      </c>
    </row>
    <row r="2855">
      <c r="A2855">
        <f>IFERROR(INDEX('Email Cleaner'!$B$2:$B$10001,MATCH(2854,'Email Cleaner'!$I$2:$I$10001,0)),"")</f>
        <v/>
      </c>
    </row>
    <row r="2856">
      <c r="A2856">
        <f>IFERROR(INDEX('Email Cleaner'!$B$2:$B$10001,MATCH(2855,'Email Cleaner'!$I$2:$I$10001,0)),"")</f>
        <v/>
      </c>
    </row>
    <row r="2857">
      <c r="A2857">
        <f>IFERROR(INDEX('Email Cleaner'!$B$2:$B$10001,MATCH(2856,'Email Cleaner'!$I$2:$I$10001,0)),"")</f>
        <v/>
      </c>
    </row>
    <row r="2858">
      <c r="A2858">
        <f>IFERROR(INDEX('Email Cleaner'!$B$2:$B$10001,MATCH(2857,'Email Cleaner'!$I$2:$I$10001,0)),"")</f>
        <v/>
      </c>
    </row>
    <row r="2859">
      <c r="A2859">
        <f>IFERROR(INDEX('Email Cleaner'!$B$2:$B$10001,MATCH(2858,'Email Cleaner'!$I$2:$I$10001,0)),"")</f>
        <v/>
      </c>
    </row>
    <row r="2860">
      <c r="A2860">
        <f>IFERROR(INDEX('Email Cleaner'!$B$2:$B$10001,MATCH(2859,'Email Cleaner'!$I$2:$I$10001,0)),"")</f>
        <v/>
      </c>
    </row>
    <row r="2861">
      <c r="A2861">
        <f>IFERROR(INDEX('Email Cleaner'!$B$2:$B$10001,MATCH(2860,'Email Cleaner'!$I$2:$I$10001,0)),"")</f>
        <v/>
      </c>
    </row>
    <row r="2862">
      <c r="A2862">
        <f>IFERROR(INDEX('Email Cleaner'!$B$2:$B$10001,MATCH(2861,'Email Cleaner'!$I$2:$I$10001,0)),"")</f>
        <v/>
      </c>
    </row>
    <row r="2863">
      <c r="A2863">
        <f>IFERROR(INDEX('Email Cleaner'!$B$2:$B$10001,MATCH(2862,'Email Cleaner'!$I$2:$I$10001,0)),"")</f>
        <v/>
      </c>
    </row>
    <row r="2864">
      <c r="A2864">
        <f>IFERROR(INDEX('Email Cleaner'!$B$2:$B$10001,MATCH(2863,'Email Cleaner'!$I$2:$I$10001,0)),"")</f>
        <v/>
      </c>
    </row>
    <row r="2865">
      <c r="A2865">
        <f>IFERROR(INDEX('Email Cleaner'!$B$2:$B$10001,MATCH(2864,'Email Cleaner'!$I$2:$I$10001,0)),"")</f>
        <v/>
      </c>
    </row>
    <row r="2866">
      <c r="A2866">
        <f>IFERROR(INDEX('Email Cleaner'!$B$2:$B$10001,MATCH(2865,'Email Cleaner'!$I$2:$I$10001,0)),"")</f>
        <v/>
      </c>
    </row>
    <row r="2867">
      <c r="A2867">
        <f>IFERROR(INDEX('Email Cleaner'!$B$2:$B$10001,MATCH(2866,'Email Cleaner'!$I$2:$I$10001,0)),"")</f>
        <v/>
      </c>
    </row>
    <row r="2868">
      <c r="A2868">
        <f>IFERROR(INDEX('Email Cleaner'!$B$2:$B$10001,MATCH(2867,'Email Cleaner'!$I$2:$I$10001,0)),"")</f>
        <v/>
      </c>
    </row>
    <row r="2869">
      <c r="A2869">
        <f>IFERROR(INDEX('Email Cleaner'!$B$2:$B$10001,MATCH(2868,'Email Cleaner'!$I$2:$I$10001,0)),"")</f>
        <v/>
      </c>
    </row>
    <row r="2870">
      <c r="A2870">
        <f>IFERROR(INDEX('Email Cleaner'!$B$2:$B$10001,MATCH(2869,'Email Cleaner'!$I$2:$I$10001,0)),"")</f>
        <v/>
      </c>
    </row>
    <row r="2871">
      <c r="A2871">
        <f>IFERROR(INDEX('Email Cleaner'!$B$2:$B$10001,MATCH(2870,'Email Cleaner'!$I$2:$I$10001,0)),"")</f>
        <v/>
      </c>
    </row>
    <row r="2872">
      <c r="A2872">
        <f>IFERROR(INDEX('Email Cleaner'!$B$2:$B$10001,MATCH(2871,'Email Cleaner'!$I$2:$I$10001,0)),"")</f>
        <v/>
      </c>
    </row>
    <row r="2873">
      <c r="A2873">
        <f>IFERROR(INDEX('Email Cleaner'!$B$2:$B$10001,MATCH(2872,'Email Cleaner'!$I$2:$I$10001,0)),"")</f>
        <v/>
      </c>
    </row>
    <row r="2874">
      <c r="A2874">
        <f>IFERROR(INDEX('Email Cleaner'!$B$2:$B$10001,MATCH(2873,'Email Cleaner'!$I$2:$I$10001,0)),"")</f>
        <v/>
      </c>
    </row>
    <row r="2875">
      <c r="A2875">
        <f>IFERROR(INDEX('Email Cleaner'!$B$2:$B$10001,MATCH(2874,'Email Cleaner'!$I$2:$I$10001,0)),"")</f>
        <v/>
      </c>
    </row>
    <row r="2876">
      <c r="A2876">
        <f>IFERROR(INDEX('Email Cleaner'!$B$2:$B$10001,MATCH(2875,'Email Cleaner'!$I$2:$I$10001,0)),"")</f>
        <v/>
      </c>
    </row>
    <row r="2877">
      <c r="A2877">
        <f>IFERROR(INDEX('Email Cleaner'!$B$2:$B$10001,MATCH(2876,'Email Cleaner'!$I$2:$I$10001,0)),"")</f>
        <v/>
      </c>
    </row>
    <row r="2878">
      <c r="A2878">
        <f>IFERROR(INDEX('Email Cleaner'!$B$2:$B$10001,MATCH(2877,'Email Cleaner'!$I$2:$I$10001,0)),"")</f>
        <v/>
      </c>
    </row>
    <row r="2879">
      <c r="A2879">
        <f>IFERROR(INDEX('Email Cleaner'!$B$2:$B$10001,MATCH(2878,'Email Cleaner'!$I$2:$I$10001,0)),"")</f>
        <v/>
      </c>
    </row>
    <row r="2880">
      <c r="A2880">
        <f>IFERROR(INDEX('Email Cleaner'!$B$2:$B$10001,MATCH(2879,'Email Cleaner'!$I$2:$I$10001,0)),"")</f>
        <v/>
      </c>
    </row>
    <row r="2881">
      <c r="A2881">
        <f>IFERROR(INDEX('Email Cleaner'!$B$2:$B$10001,MATCH(2880,'Email Cleaner'!$I$2:$I$10001,0)),"")</f>
        <v/>
      </c>
    </row>
    <row r="2882">
      <c r="A2882">
        <f>IFERROR(INDEX('Email Cleaner'!$B$2:$B$10001,MATCH(2881,'Email Cleaner'!$I$2:$I$10001,0)),"")</f>
        <v/>
      </c>
    </row>
    <row r="2883">
      <c r="A2883">
        <f>IFERROR(INDEX('Email Cleaner'!$B$2:$B$10001,MATCH(2882,'Email Cleaner'!$I$2:$I$10001,0)),"")</f>
        <v/>
      </c>
    </row>
    <row r="2884">
      <c r="A2884">
        <f>IFERROR(INDEX('Email Cleaner'!$B$2:$B$10001,MATCH(2883,'Email Cleaner'!$I$2:$I$10001,0)),"")</f>
        <v/>
      </c>
    </row>
    <row r="2885">
      <c r="A2885">
        <f>IFERROR(INDEX('Email Cleaner'!$B$2:$B$10001,MATCH(2884,'Email Cleaner'!$I$2:$I$10001,0)),"")</f>
        <v/>
      </c>
    </row>
    <row r="2886">
      <c r="A2886">
        <f>IFERROR(INDEX('Email Cleaner'!$B$2:$B$10001,MATCH(2885,'Email Cleaner'!$I$2:$I$10001,0)),"")</f>
        <v/>
      </c>
    </row>
    <row r="2887">
      <c r="A2887">
        <f>IFERROR(INDEX('Email Cleaner'!$B$2:$B$10001,MATCH(2886,'Email Cleaner'!$I$2:$I$10001,0)),"")</f>
        <v/>
      </c>
    </row>
    <row r="2888">
      <c r="A2888">
        <f>IFERROR(INDEX('Email Cleaner'!$B$2:$B$10001,MATCH(2887,'Email Cleaner'!$I$2:$I$10001,0)),"")</f>
        <v/>
      </c>
    </row>
    <row r="2889">
      <c r="A2889">
        <f>IFERROR(INDEX('Email Cleaner'!$B$2:$B$10001,MATCH(2888,'Email Cleaner'!$I$2:$I$10001,0)),"")</f>
        <v/>
      </c>
    </row>
    <row r="2890">
      <c r="A2890">
        <f>IFERROR(INDEX('Email Cleaner'!$B$2:$B$10001,MATCH(2889,'Email Cleaner'!$I$2:$I$10001,0)),"")</f>
        <v/>
      </c>
    </row>
    <row r="2891">
      <c r="A2891">
        <f>IFERROR(INDEX('Email Cleaner'!$B$2:$B$10001,MATCH(2890,'Email Cleaner'!$I$2:$I$10001,0)),"")</f>
        <v/>
      </c>
    </row>
    <row r="2892">
      <c r="A2892">
        <f>IFERROR(INDEX('Email Cleaner'!$B$2:$B$10001,MATCH(2891,'Email Cleaner'!$I$2:$I$10001,0)),"")</f>
        <v/>
      </c>
    </row>
    <row r="2893">
      <c r="A2893">
        <f>IFERROR(INDEX('Email Cleaner'!$B$2:$B$10001,MATCH(2892,'Email Cleaner'!$I$2:$I$10001,0)),"")</f>
        <v/>
      </c>
    </row>
    <row r="2894">
      <c r="A2894">
        <f>IFERROR(INDEX('Email Cleaner'!$B$2:$B$10001,MATCH(2893,'Email Cleaner'!$I$2:$I$10001,0)),"")</f>
        <v/>
      </c>
    </row>
    <row r="2895">
      <c r="A2895">
        <f>IFERROR(INDEX('Email Cleaner'!$B$2:$B$10001,MATCH(2894,'Email Cleaner'!$I$2:$I$10001,0)),"")</f>
        <v/>
      </c>
    </row>
    <row r="2896">
      <c r="A2896">
        <f>IFERROR(INDEX('Email Cleaner'!$B$2:$B$10001,MATCH(2895,'Email Cleaner'!$I$2:$I$10001,0)),"")</f>
        <v/>
      </c>
    </row>
    <row r="2897">
      <c r="A2897">
        <f>IFERROR(INDEX('Email Cleaner'!$B$2:$B$10001,MATCH(2896,'Email Cleaner'!$I$2:$I$10001,0)),"")</f>
        <v/>
      </c>
    </row>
    <row r="2898">
      <c r="A2898">
        <f>IFERROR(INDEX('Email Cleaner'!$B$2:$B$10001,MATCH(2897,'Email Cleaner'!$I$2:$I$10001,0)),"")</f>
        <v/>
      </c>
    </row>
    <row r="2899">
      <c r="A2899">
        <f>IFERROR(INDEX('Email Cleaner'!$B$2:$B$10001,MATCH(2898,'Email Cleaner'!$I$2:$I$10001,0)),"")</f>
        <v/>
      </c>
    </row>
    <row r="2900">
      <c r="A2900">
        <f>IFERROR(INDEX('Email Cleaner'!$B$2:$B$10001,MATCH(2899,'Email Cleaner'!$I$2:$I$10001,0)),"")</f>
        <v/>
      </c>
    </row>
    <row r="2901">
      <c r="A2901">
        <f>IFERROR(INDEX('Email Cleaner'!$B$2:$B$10001,MATCH(2900,'Email Cleaner'!$I$2:$I$10001,0)),"")</f>
        <v/>
      </c>
    </row>
    <row r="2902">
      <c r="A2902">
        <f>IFERROR(INDEX('Email Cleaner'!$B$2:$B$10001,MATCH(2901,'Email Cleaner'!$I$2:$I$10001,0)),"")</f>
        <v/>
      </c>
    </row>
    <row r="2903">
      <c r="A2903">
        <f>IFERROR(INDEX('Email Cleaner'!$B$2:$B$10001,MATCH(2902,'Email Cleaner'!$I$2:$I$10001,0)),"")</f>
        <v/>
      </c>
    </row>
    <row r="2904">
      <c r="A2904">
        <f>IFERROR(INDEX('Email Cleaner'!$B$2:$B$10001,MATCH(2903,'Email Cleaner'!$I$2:$I$10001,0)),"")</f>
        <v/>
      </c>
    </row>
    <row r="2905">
      <c r="A2905">
        <f>IFERROR(INDEX('Email Cleaner'!$B$2:$B$10001,MATCH(2904,'Email Cleaner'!$I$2:$I$10001,0)),"")</f>
        <v/>
      </c>
    </row>
    <row r="2906">
      <c r="A2906">
        <f>IFERROR(INDEX('Email Cleaner'!$B$2:$B$10001,MATCH(2905,'Email Cleaner'!$I$2:$I$10001,0)),"")</f>
        <v/>
      </c>
    </row>
    <row r="2907">
      <c r="A2907">
        <f>IFERROR(INDEX('Email Cleaner'!$B$2:$B$10001,MATCH(2906,'Email Cleaner'!$I$2:$I$10001,0)),"")</f>
        <v/>
      </c>
    </row>
    <row r="2908">
      <c r="A2908">
        <f>IFERROR(INDEX('Email Cleaner'!$B$2:$B$10001,MATCH(2907,'Email Cleaner'!$I$2:$I$10001,0)),"")</f>
        <v/>
      </c>
    </row>
    <row r="2909">
      <c r="A2909">
        <f>IFERROR(INDEX('Email Cleaner'!$B$2:$B$10001,MATCH(2908,'Email Cleaner'!$I$2:$I$10001,0)),"")</f>
        <v/>
      </c>
    </row>
    <row r="2910">
      <c r="A2910">
        <f>IFERROR(INDEX('Email Cleaner'!$B$2:$B$10001,MATCH(2909,'Email Cleaner'!$I$2:$I$10001,0)),"")</f>
        <v/>
      </c>
    </row>
    <row r="2911">
      <c r="A2911">
        <f>IFERROR(INDEX('Email Cleaner'!$B$2:$B$10001,MATCH(2910,'Email Cleaner'!$I$2:$I$10001,0)),"")</f>
        <v/>
      </c>
    </row>
    <row r="2912">
      <c r="A2912">
        <f>IFERROR(INDEX('Email Cleaner'!$B$2:$B$10001,MATCH(2911,'Email Cleaner'!$I$2:$I$10001,0)),"")</f>
        <v/>
      </c>
    </row>
    <row r="2913">
      <c r="A2913">
        <f>IFERROR(INDEX('Email Cleaner'!$B$2:$B$10001,MATCH(2912,'Email Cleaner'!$I$2:$I$10001,0)),"")</f>
        <v/>
      </c>
    </row>
    <row r="2914">
      <c r="A2914">
        <f>IFERROR(INDEX('Email Cleaner'!$B$2:$B$10001,MATCH(2913,'Email Cleaner'!$I$2:$I$10001,0)),"")</f>
        <v/>
      </c>
    </row>
    <row r="2915">
      <c r="A2915">
        <f>IFERROR(INDEX('Email Cleaner'!$B$2:$B$10001,MATCH(2914,'Email Cleaner'!$I$2:$I$10001,0)),"")</f>
        <v/>
      </c>
    </row>
    <row r="2916">
      <c r="A2916">
        <f>IFERROR(INDEX('Email Cleaner'!$B$2:$B$10001,MATCH(2915,'Email Cleaner'!$I$2:$I$10001,0)),"")</f>
        <v/>
      </c>
    </row>
    <row r="2917">
      <c r="A2917">
        <f>IFERROR(INDEX('Email Cleaner'!$B$2:$B$10001,MATCH(2916,'Email Cleaner'!$I$2:$I$10001,0)),"")</f>
        <v/>
      </c>
    </row>
    <row r="2918">
      <c r="A2918">
        <f>IFERROR(INDEX('Email Cleaner'!$B$2:$B$10001,MATCH(2917,'Email Cleaner'!$I$2:$I$10001,0)),"")</f>
        <v/>
      </c>
    </row>
    <row r="2919">
      <c r="A2919">
        <f>IFERROR(INDEX('Email Cleaner'!$B$2:$B$10001,MATCH(2918,'Email Cleaner'!$I$2:$I$10001,0)),"")</f>
        <v/>
      </c>
    </row>
    <row r="2920">
      <c r="A2920">
        <f>IFERROR(INDEX('Email Cleaner'!$B$2:$B$10001,MATCH(2919,'Email Cleaner'!$I$2:$I$10001,0)),"")</f>
        <v/>
      </c>
    </row>
    <row r="2921">
      <c r="A2921">
        <f>IFERROR(INDEX('Email Cleaner'!$B$2:$B$10001,MATCH(2920,'Email Cleaner'!$I$2:$I$10001,0)),"")</f>
        <v/>
      </c>
    </row>
    <row r="2922">
      <c r="A2922">
        <f>IFERROR(INDEX('Email Cleaner'!$B$2:$B$10001,MATCH(2921,'Email Cleaner'!$I$2:$I$10001,0)),"")</f>
        <v/>
      </c>
    </row>
    <row r="2923">
      <c r="A2923">
        <f>IFERROR(INDEX('Email Cleaner'!$B$2:$B$10001,MATCH(2922,'Email Cleaner'!$I$2:$I$10001,0)),"")</f>
        <v/>
      </c>
    </row>
    <row r="2924">
      <c r="A2924">
        <f>IFERROR(INDEX('Email Cleaner'!$B$2:$B$10001,MATCH(2923,'Email Cleaner'!$I$2:$I$10001,0)),"")</f>
        <v/>
      </c>
    </row>
    <row r="2925">
      <c r="A2925">
        <f>IFERROR(INDEX('Email Cleaner'!$B$2:$B$10001,MATCH(2924,'Email Cleaner'!$I$2:$I$10001,0)),"")</f>
        <v/>
      </c>
    </row>
    <row r="2926">
      <c r="A2926">
        <f>IFERROR(INDEX('Email Cleaner'!$B$2:$B$10001,MATCH(2925,'Email Cleaner'!$I$2:$I$10001,0)),"")</f>
        <v/>
      </c>
    </row>
    <row r="2927">
      <c r="A2927">
        <f>IFERROR(INDEX('Email Cleaner'!$B$2:$B$10001,MATCH(2926,'Email Cleaner'!$I$2:$I$10001,0)),"")</f>
        <v/>
      </c>
    </row>
    <row r="2928">
      <c r="A2928">
        <f>IFERROR(INDEX('Email Cleaner'!$B$2:$B$10001,MATCH(2927,'Email Cleaner'!$I$2:$I$10001,0)),"")</f>
        <v/>
      </c>
    </row>
    <row r="2929">
      <c r="A2929">
        <f>IFERROR(INDEX('Email Cleaner'!$B$2:$B$10001,MATCH(2928,'Email Cleaner'!$I$2:$I$10001,0)),"")</f>
        <v/>
      </c>
    </row>
    <row r="2930">
      <c r="A2930">
        <f>IFERROR(INDEX('Email Cleaner'!$B$2:$B$10001,MATCH(2929,'Email Cleaner'!$I$2:$I$10001,0)),"")</f>
        <v/>
      </c>
    </row>
    <row r="2931">
      <c r="A2931">
        <f>IFERROR(INDEX('Email Cleaner'!$B$2:$B$10001,MATCH(2930,'Email Cleaner'!$I$2:$I$10001,0)),"")</f>
        <v/>
      </c>
    </row>
    <row r="2932">
      <c r="A2932">
        <f>IFERROR(INDEX('Email Cleaner'!$B$2:$B$10001,MATCH(2931,'Email Cleaner'!$I$2:$I$10001,0)),"")</f>
        <v/>
      </c>
    </row>
    <row r="2933">
      <c r="A2933">
        <f>IFERROR(INDEX('Email Cleaner'!$B$2:$B$10001,MATCH(2932,'Email Cleaner'!$I$2:$I$10001,0)),"")</f>
        <v/>
      </c>
    </row>
    <row r="2934">
      <c r="A2934">
        <f>IFERROR(INDEX('Email Cleaner'!$B$2:$B$10001,MATCH(2933,'Email Cleaner'!$I$2:$I$10001,0)),"")</f>
        <v/>
      </c>
    </row>
    <row r="2935">
      <c r="A2935">
        <f>IFERROR(INDEX('Email Cleaner'!$B$2:$B$10001,MATCH(2934,'Email Cleaner'!$I$2:$I$10001,0)),"")</f>
        <v/>
      </c>
    </row>
    <row r="2936">
      <c r="A2936">
        <f>IFERROR(INDEX('Email Cleaner'!$B$2:$B$10001,MATCH(2935,'Email Cleaner'!$I$2:$I$10001,0)),"")</f>
        <v/>
      </c>
    </row>
    <row r="2937">
      <c r="A2937">
        <f>IFERROR(INDEX('Email Cleaner'!$B$2:$B$10001,MATCH(2936,'Email Cleaner'!$I$2:$I$10001,0)),"")</f>
        <v/>
      </c>
    </row>
    <row r="2938">
      <c r="A2938">
        <f>IFERROR(INDEX('Email Cleaner'!$B$2:$B$10001,MATCH(2937,'Email Cleaner'!$I$2:$I$10001,0)),"")</f>
        <v/>
      </c>
    </row>
    <row r="2939">
      <c r="A2939">
        <f>IFERROR(INDEX('Email Cleaner'!$B$2:$B$10001,MATCH(2938,'Email Cleaner'!$I$2:$I$10001,0)),"")</f>
        <v/>
      </c>
    </row>
    <row r="2940">
      <c r="A2940">
        <f>IFERROR(INDEX('Email Cleaner'!$B$2:$B$10001,MATCH(2939,'Email Cleaner'!$I$2:$I$10001,0)),"")</f>
        <v/>
      </c>
    </row>
    <row r="2941">
      <c r="A2941">
        <f>IFERROR(INDEX('Email Cleaner'!$B$2:$B$10001,MATCH(2940,'Email Cleaner'!$I$2:$I$10001,0)),"")</f>
        <v/>
      </c>
    </row>
    <row r="2942">
      <c r="A2942">
        <f>IFERROR(INDEX('Email Cleaner'!$B$2:$B$10001,MATCH(2941,'Email Cleaner'!$I$2:$I$10001,0)),"")</f>
        <v/>
      </c>
    </row>
    <row r="2943">
      <c r="A2943">
        <f>IFERROR(INDEX('Email Cleaner'!$B$2:$B$10001,MATCH(2942,'Email Cleaner'!$I$2:$I$10001,0)),"")</f>
        <v/>
      </c>
    </row>
    <row r="2944">
      <c r="A2944">
        <f>IFERROR(INDEX('Email Cleaner'!$B$2:$B$10001,MATCH(2943,'Email Cleaner'!$I$2:$I$10001,0)),"")</f>
        <v/>
      </c>
    </row>
    <row r="2945">
      <c r="A2945">
        <f>IFERROR(INDEX('Email Cleaner'!$B$2:$B$10001,MATCH(2944,'Email Cleaner'!$I$2:$I$10001,0)),"")</f>
        <v/>
      </c>
    </row>
    <row r="2946">
      <c r="A2946">
        <f>IFERROR(INDEX('Email Cleaner'!$B$2:$B$10001,MATCH(2945,'Email Cleaner'!$I$2:$I$10001,0)),"")</f>
        <v/>
      </c>
    </row>
    <row r="2947">
      <c r="A2947">
        <f>IFERROR(INDEX('Email Cleaner'!$B$2:$B$10001,MATCH(2946,'Email Cleaner'!$I$2:$I$10001,0)),"")</f>
        <v/>
      </c>
    </row>
    <row r="2948">
      <c r="A2948">
        <f>IFERROR(INDEX('Email Cleaner'!$B$2:$B$10001,MATCH(2947,'Email Cleaner'!$I$2:$I$10001,0)),"")</f>
        <v/>
      </c>
    </row>
    <row r="2949">
      <c r="A2949">
        <f>IFERROR(INDEX('Email Cleaner'!$B$2:$B$10001,MATCH(2948,'Email Cleaner'!$I$2:$I$10001,0)),"")</f>
        <v/>
      </c>
    </row>
    <row r="2950">
      <c r="A2950">
        <f>IFERROR(INDEX('Email Cleaner'!$B$2:$B$10001,MATCH(2949,'Email Cleaner'!$I$2:$I$10001,0)),"")</f>
        <v/>
      </c>
    </row>
    <row r="2951">
      <c r="A2951">
        <f>IFERROR(INDEX('Email Cleaner'!$B$2:$B$10001,MATCH(2950,'Email Cleaner'!$I$2:$I$10001,0)),"")</f>
        <v/>
      </c>
    </row>
    <row r="2952">
      <c r="A2952">
        <f>IFERROR(INDEX('Email Cleaner'!$B$2:$B$10001,MATCH(2951,'Email Cleaner'!$I$2:$I$10001,0)),"")</f>
        <v/>
      </c>
    </row>
    <row r="2953">
      <c r="A2953">
        <f>IFERROR(INDEX('Email Cleaner'!$B$2:$B$10001,MATCH(2952,'Email Cleaner'!$I$2:$I$10001,0)),"")</f>
        <v/>
      </c>
    </row>
    <row r="2954">
      <c r="A2954">
        <f>IFERROR(INDEX('Email Cleaner'!$B$2:$B$10001,MATCH(2953,'Email Cleaner'!$I$2:$I$10001,0)),"")</f>
        <v/>
      </c>
    </row>
    <row r="2955">
      <c r="A2955">
        <f>IFERROR(INDEX('Email Cleaner'!$B$2:$B$10001,MATCH(2954,'Email Cleaner'!$I$2:$I$10001,0)),"")</f>
        <v/>
      </c>
    </row>
    <row r="2956">
      <c r="A2956">
        <f>IFERROR(INDEX('Email Cleaner'!$B$2:$B$10001,MATCH(2955,'Email Cleaner'!$I$2:$I$10001,0)),"")</f>
        <v/>
      </c>
    </row>
    <row r="2957">
      <c r="A2957">
        <f>IFERROR(INDEX('Email Cleaner'!$B$2:$B$10001,MATCH(2956,'Email Cleaner'!$I$2:$I$10001,0)),"")</f>
        <v/>
      </c>
    </row>
    <row r="2958">
      <c r="A2958">
        <f>IFERROR(INDEX('Email Cleaner'!$B$2:$B$10001,MATCH(2957,'Email Cleaner'!$I$2:$I$10001,0)),"")</f>
        <v/>
      </c>
    </row>
    <row r="2959">
      <c r="A2959">
        <f>IFERROR(INDEX('Email Cleaner'!$B$2:$B$10001,MATCH(2958,'Email Cleaner'!$I$2:$I$10001,0)),"")</f>
        <v/>
      </c>
    </row>
    <row r="2960">
      <c r="A2960">
        <f>IFERROR(INDEX('Email Cleaner'!$B$2:$B$10001,MATCH(2959,'Email Cleaner'!$I$2:$I$10001,0)),"")</f>
        <v/>
      </c>
    </row>
    <row r="2961">
      <c r="A2961">
        <f>IFERROR(INDEX('Email Cleaner'!$B$2:$B$10001,MATCH(2960,'Email Cleaner'!$I$2:$I$10001,0)),"")</f>
        <v/>
      </c>
    </row>
    <row r="2962">
      <c r="A2962">
        <f>IFERROR(INDEX('Email Cleaner'!$B$2:$B$10001,MATCH(2961,'Email Cleaner'!$I$2:$I$10001,0)),"")</f>
        <v/>
      </c>
    </row>
    <row r="2963">
      <c r="A2963">
        <f>IFERROR(INDEX('Email Cleaner'!$B$2:$B$10001,MATCH(2962,'Email Cleaner'!$I$2:$I$10001,0)),"")</f>
        <v/>
      </c>
    </row>
    <row r="2964">
      <c r="A2964">
        <f>IFERROR(INDEX('Email Cleaner'!$B$2:$B$10001,MATCH(2963,'Email Cleaner'!$I$2:$I$10001,0)),"")</f>
        <v/>
      </c>
    </row>
    <row r="2965">
      <c r="A2965">
        <f>IFERROR(INDEX('Email Cleaner'!$B$2:$B$10001,MATCH(2964,'Email Cleaner'!$I$2:$I$10001,0)),"")</f>
        <v/>
      </c>
    </row>
    <row r="2966">
      <c r="A2966">
        <f>IFERROR(INDEX('Email Cleaner'!$B$2:$B$10001,MATCH(2965,'Email Cleaner'!$I$2:$I$10001,0)),"")</f>
        <v/>
      </c>
    </row>
    <row r="2967">
      <c r="A2967">
        <f>IFERROR(INDEX('Email Cleaner'!$B$2:$B$10001,MATCH(2966,'Email Cleaner'!$I$2:$I$10001,0)),"")</f>
        <v/>
      </c>
    </row>
    <row r="2968">
      <c r="A2968">
        <f>IFERROR(INDEX('Email Cleaner'!$B$2:$B$10001,MATCH(2967,'Email Cleaner'!$I$2:$I$10001,0)),"")</f>
        <v/>
      </c>
    </row>
    <row r="2969">
      <c r="A2969">
        <f>IFERROR(INDEX('Email Cleaner'!$B$2:$B$10001,MATCH(2968,'Email Cleaner'!$I$2:$I$10001,0)),"")</f>
        <v/>
      </c>
    </row>
    <row r="2970">
      <c r="A2970">
        <f>IFERROR(INDEX('Email Cleaner'!$B$2:$B$10001,MATCH(2969,'Email Cleaner'!$I$2:$I$10001,0)),"")</f>
        <v/>
      </c>
    </row>
    <row r="2971">
      <c r="A2971">
        <f>IFERROR(INDEX('Email Cleaner'!$B$2:$B$10001,MATCH(2970,'Email Cleaner'!$I$2:$I$10001,0)),"")</f>
        <v/>
      </c>
    </row>
    <row r="2972">
      <c r="A2972">
        <f>IFERROR(INDEX('Email Cleaner'!$B$2:$B$10001,MATCH(2971,'Email Cleaner'!$I$2:$I$10001,0)),"")</f>
        <v/>
      </c>
    </row>
    <row r="2973">
      <c r="A2973">
        <f>IFERROR(INDEX('Email Cleaner'!$B$2:$B$10001,MATCH(2972,'Email Cleaner'!$I$2:$I$10001,0)),"")</f>
        <v/>
      </c>
    </row>
    <row r="2974">
      <c r="A2974">
        <f>IFERROR(INDEX('Email Cleaner'!$B$2:$B$10001,MATCH(2973,'Email Cleaner'!$I$2:$I$10001,0)),"")</f>
        <v/>
      </c>
    </row>
    <row r="2975">
      <c r="A2975">
        <f>IFERROR(INDEX('Email Cleaner'!$B$2:$B$10001,MATCH(2974,'Email Cleaner'!$I$2:$I$10001,0)),"")</f>
        <v/>
      </c>
    </row>
    <row r="2976">
      <c r="A2976">
        <f>IFERROR(INDEX('Email Cleaner'!$B$2:$B$10001,MATCH(2975,'Email Cleaner'!$I$2:$I$10001,0)),"")</f>
        <v/>
      </c>
    </row>
    <row r="2977">
      <c r="A2977">
        <f>IFERROR(INDEX('Email Cleaner'!$B$2:$B$10001,MATCH(2976,'Email Cleaner'!$I$2:$I$10001,0)),"")</f>
        <v/>
      </c>
    </row>
    <row r="2978">
      <c r="A2978">
        <f>IFERROR(INDEX('Email Cleaner'!$B$2:$B$10001,MATCH(2977,'Email Cleaner'!$I$2:$I$10001,0)),"")</f>
        <v/>
      </c>
    </row>
    <row r="2979">
      <c r="A2979">
        <f>IFERROR(INDEX('Email Cleaner'!$B$2:$B$10001,MATCH(2978,'Email Cleaner'!$I$2:$I$10001,0)),"")</f>
        <v/>
      </c>
    </row>
    <row r="2980">
      <c r="A2980">
        <f>IFERROR(INDEX('Email Cleaner'!$B$2:$B$10001,MATCH(2979,'Email Cleaner'!$I$2:$I$10001,0)),"")</f>
        <v/>
      </c>
    </row>
    <row r="2981">
      <c r="A2981">
        <f>IFERROR(INDEX('Email Cleaner'!$B$2:$B$10001,MATCH(2980,'Email Cleaner'!$I$2:$I$10001,0)),"")</f>
        <v/>
      </c>
    </row>
    <row r="2982">
      <c r="A2982">
        <f>IFERROR(INDEX('Email Cleaner'!$B$2:$B$10001,MATCH(2981,'Email Cleaner'!$I$2:$I$10001,0)),"")</f>
        <v/>
      </c>
    </row>
    <row r="2983">
      <c r="A2983">
        <f>IFERROR(INDEX('Email Cleaner'!$B$2:$B$10001,MATCH(2982,'Email Cleaner'!$I$2:$I$10001,0)),"")</f>
        <v/>
      </c>
    </row>
    <row r="2984">
      <c r="A2984">
        <f>IFERROR(INDEX('Email Cleaner'!$B$2:$B$10001,MATCH(2983,'Email Cleaner'!$I$2:$I$10001,0)),"")</f>
        <v/>
      </c>
    </row>
    <row r="2985">
      <c r="A2985">
        <f>IFERROR(INDEX('Email Cleaner'!$B$2:$B$10001,MATCH(2984,'Email Cleaner'!$I$2:$I$10001,0)),"")</f>
        <v/>
      </c>
    </row>
    <row r="2986">
      <c r="A2986">
        <f>IFERROR(INDEX('Email Cleaner'!$B$2:$B$10001,MATCH(2985,'Email Cleaner'!$I$2:$I$10001,0)),"")</f>
        <v/>
      </c>
    </row>
    <row r="2987">
      <c r="A2987">
        <f>IFERROR(INDEX('Email Cleaner'!$B$2:$B$10001,MATCH(2986,'Email Cleaner'!$I$2:$I$10001,0)),"")</f>
        <v/>
      </c>
    </row>
    <row r="2988">
      <c r="A2988">
        <f>IFERROR(INDEX('Email Cleaner'!$B$2:$B$10001,MATCH(2987,'Email Cleaner'!$I$2:$I$10001,0)),"")</f>
        <v/>
      </c>
    </row>
    <row r="2989">
      <c r="A2989">
        <f>IFERROR(INDEX('Email Cleaner'!$B$2:$B$10001,MATCH(2988,'Email Cleaner'!$I$2:$I$10001,0)),"")</f>
        <v/>
      </c>
    </row>
    <row r="2990">
      <c r="A2990">
        <f>IFERROR(INDEX('Email Cleaner'!$B$2:$B$10001,MATCH(2989,'Email Cleaner'!$I$2:$I$10001,0)),"")</f>
        <v/>
      </c>
    </row>
    <row r="2991">
      <c r="A2991">
        <f>IFERROR(INDEX('Email Cleaner'!$B$2:$B$10001,MATCH(2990,'Email Cleaner'!$I$2:$I$10001,0)),"")</f>
        <v/>
      </c>
    </row>
    <row r="2992">
      <c r="A2992">
        <f>IFERROR(INDEX('Email Cleaner'!$B$2:$B$10001,MATCH(2991,'Email Cleaner'!$I$2:$I$10001,0)),"")</f>
        <v/>
      </c>
    </row>
    <row r="2993">
      <c r="A2993">
        <f>IFERROR(INDEX('Email Cleaner'!$B$2:$B$10001,MATCH(2992,'Email Cleaner'!$I$2:$I$10001,0)),"")</f>
        <v/>
      </c>
    </row>
    <row r="2994">
      <c r="A2994">
        <f>IFERROR(INDEX('Email Cleaner'!$B$2:$B$10001,MATCH(2993,'Email Cleaner'!$I$2:$I$10001,0)),"")</f>
        <v/>
      </c>
    </row>
    <row r="2995">
      <c r="A2995">
        <f>IFERROR(INDEX('Email Cleaner'!$B$2:$B$10001,MATCH(2994,'Email Cleaner'!$I$2:$I$10001,0)),"")</f>
        <v/>
      </c>
    </row>
    <row r="2996">
      <c r="A2996">
        <f>IFERROR(INDEX('Email Cleaner'!$B$2:$B$10001,MATCH(2995,'Email Cleaner'!$I$2:$I$10001,0)),"")</f>
        <v/>
      </c>
    </row>
    <row r="2997">
      <c r="A2997">
        <f>IFERROR(INDEX('Email Cleaner'!$B$2:$B$10001,MATCH(2996,'Email Cleaner'!$I$2:$I$10001,0)),"")</f>
        <v/>
      </c>
    </row>
    <row r="2998">
      <c r="A2998">
        <f>IFERROR(INDEX('Email Cleaner'!$B$2:$B$10001,MATCH(2997,'Email Cleaner'!$I$2:$I$10001,0)),"")</f>
        <v/>
      </c>
    </row>
    <row r="2999">
      <c r="A2999">
        <f>IFERROR(INDEX('Email Cleaner'!$B$2:$B$10001,MATCH(2998,'Email Cleaner'!$I$2:$I$10001,0)),"")</f>
        <v/>
      </c>
    </row>
    <row r="3000">
      <c r="A3000">
        <f>IFERROR(INDEX('Email Cleaner'!$B$2:$B$10001,MATCH(2999,'Email Cleaner'!$I$2:$I$10001,0)),"")</f>
        <v/>
      </c>
    </row>
    <row r="3001">
      <c r="A3001">
        <f>IFERROR(INDEX('Email Cleaner'!$B$2:$B$10001,MATCH(3000,'Email Cleaner'!$I$2:$I$10001,0)),"")</f>
        <v/>
      </c>
    </row>
    <row r="3002">
      <c r="A3002">
        <f>IFERROR(INDEX('Email Cleaner'!$B$2:$B$10001,MATCH(3001,'Email Cleaner'!$I$2:$I$10001,0)),"")</f>
        <v/>
      </c>
    </row>
    <row r="3003">
      <c r="A3003">
        <f>IFERROR(INDEX('Email Cleaner'!$B$2:$B$10001,MATCH(3002,'Email Cleaner'!$I$2:$I$10001,0)),"")</f>
        <v/>
      </c>
    </row>
    <row r="3004">
      <c r="A3004">
        <f>IFERROR(INDEX('Email Cleaner'!$B$2:$B$10001,MATCH(3003,'Email Cleaner'!$I$2:$I$10001,0)),"")</f>
        <v/>
      </c>
    </row>
    <row r="3005">
      <c r="A3005">
        <f>IFERROR(INDEX('Email Cleaner'!$B$2:$B$10001,MATCH(3004,'Email Cleaner'!$I$2:$I$10001,0)),"")</f>
        <v/>
      </c>
    </row>
    <row r="3006">
      <c r="A3006">
        <f>IFERROR(INDEX('Email Cleaner'!$B$2:$B$10001,MATCH(3005,'Email Cleaner'!$I$2:$I$10001,0)),"")</f>
        <v/>
      </c>
    </row>
    <row r="3007">
      <c r="A3007">
        <f>IFERROR(INDEX('Email Cleaner'!$B$2:$B$10001,MATCH(3006,'Email Cleaner'!$I$2:$I$10001,0)),"")</f>
        <v/>
      </c>
    </row>
    <row r="3008">
      <c r="A3008">
        <f>IFERROR(INDEX('Email Cleaner'!$B$2:$B$10001,MATCH(3007,'Email Cleaner'!$I$2:$I$10001,0)),"")</f>
        <v/>
      </c>
    </row>
    <row r="3009">
      <c r="A3009">
        <f>IFERROR(INDEX('Email Cleaner'!$B$2:$B$10001,MATCH(3008,'Email Cleaner'!$I$2:$I$10001,0)),"")</f>
        <v/>
      </c>
    </row>
    <row r="3010">
      <c r="A3010">
        <f>IFERROR(INDEX('Email Cleaner'!$B$2:$B$10001,MATCH(3009,'Email Cleaner'!$I$2:$I$10001,0)),"")</f>
        <v/>
      </c>
    </row>
    <row r="3011">
      <c r="A3011">
        <f>IFERROR(INDEX('Email Cleaner'!$B$2:$B$10001,MATCH(3010,'Email Cleaner'!$I$2:$I$10001,0)),"")</f>
        <v/>
      </c>
    </row>
    <row r="3012">
      <c r="A3012">
        <f>IFERROR(INDEX('Email Cleaner'!$B$2:$B$10001,MATCH(3011,'Email Cleaner'!$I$2:$I$10001,0)),"")</f>
        <v/>
      </c>
    </row>
    <row r="3013">
      <c r="A3013">
        <f>IFERROR(INDEX('Email Cleaner'!$B$2:$B$10001,MATCH(3012,'Email Cleaner'!$I$2:$I$10001,0)),"")</f>
        <v/>
      </c>
    </row>
    <row r="3014">
      <c r="A3014">
        <f>IFERROR(INDEX('Email Cleaner'!$B$2:$B$10001,MATCH(3013,'Email Cleaner'!$I$2:$I$10001,0)),"")</f>
        <v/>
      </c>
    </row>
    <row r="3015">
      <c r="A3015">
        <f>IFERROR(INDEX('Email Cleaner'!$B$2:$B$10001,MATCH(3014,'Email Cleaner'!$I$2:$I$10001,0)),"")</f>
        <v/>
      </c>
    </row>
    <row r="3016">
      <c r="A3016">
        <f>IFERROR(INDEX('Email Cleaner'!$B$2:$B$10001,MATCH(3015,'Email Cleaner'!$I$2:$I$10001,0)),"")</f>
        <v/>
      </c>
    </row>
    <row r="3017">
      <c r="A3017">
        <f>IFERROR(INDEX('Email Cleaner'!$B$2:$B$10001,MATCH(3016,'Email Cleaner'!$I$2:$I$10001,0)),"")</f>
        <v/>
      </c>
    </row>
    <row r="3018">
      <c r="A3018">
        <f>IFERROR(INDEX('Email Cleaner'!$B$2:$B$10001,MATCH(3017,'Email Cleaner'!$I$2:$I$10001,0)),"")</f>
        <v/>
      </c>
    </row>
    <row r="3019">
      <c r="A3019">
        <f>IFERROR(INDEX('Email Cleaner'!$B$2:$B$10001,MATCH(3018,'Email Cleaner'!$I$2:$I$10001,0)),"")</f>
        <v/>
      </c>
    </row>
    <row r="3020">
      <c r="A3020">
        <f>IFERROR(INDEX('Email Cleaner'!$B$2:$B$10001,MATCH(3019,'Email Cleaner'!$I$2:$I$10001,0)),"")</f>
        <v/>
      </c>
    </row>
    <row r="3021">
      <c r="A3021">
        <f>IFERROR(INDEX('Email Cleaner'!$B$2:$B$10001,MATCH(3020,'Email Cleaner'!$I$2:$I$10001,0)),"")</f>
        <v/>
      </c>
    </row>
    <row r="3022">
      <c r="A3022">
        <f>IFERROR(INDEX('Email Cleaner'!$B$2:$B$10001,MATCH(3021,'Email Cleaner'!$I$2:$I$10001,0)),"")</f>
        <v/>
      </c>
    </row>
    <row r="3023">
      <c r="A3023">
        <f>IFERROR(INDEX('Email Cleaner'!$B$2:$B$10001,MATCH(3022,'Email Cleaner'!$I$2:$I$10001,0)),"")</f>
        <v/>
      </c>
    </row>
    <row r="3024">
      <c r="A3024">
        <f>IFERROR(INDEX('Email Cleaner'!$B$2:$B$10001,MATCH(3023,'Email Cleaner'!$I$2:$I$10001,0)),"")</f>
        <v/>
      </c>
    </row>
    <row r="3025">
      <c r="A3025">
        <f>IFERROR(INDEX('Email Cleaner'!$B$2:$B$10001,MATCH(3024,'Email Cleaner'!$I$2:$I$10001,0)),"")</f>
        <v/>
      </c>
    </row>
    <row r="3026">
      <c r="A3026">
        <f>IFERROR(INDEX('Email Cleaner'!$B$2:$B$10001,MATCH(3025,'Email Cleaner'!$I$2:$I$10001,0)),"")</f>
        <v/>
      </c>
    </row>
    <row r="3027">
      <c r="A3027">
        <f>IFERROR(INDEX('Email Cleaner'!$B$2:$B$10001,MATCH(3026,'Email Cleaner'!$I$2:$I$10001,0)),"")</f>
        <v/>
      </c>
    </row>
    <row r="3028">
      <c r="A3028">
        <f>IFERROR(INDEX('Email Cleaner'!$B$2:$B$10001,MATCH(3027,'Email Cleaner'!$I$2:$I$10001,0)),"")</f>
        <v/>
      </c>
    </row>
    <row r="3029">
      <c r="A3029">
        <f>IFERROR(INDEX('Email Cleaner'!$B$2:$B$10001,MATCH(3028,'Email Cleaner'!$I$2:$I$10001,0)),"")</f>
        <v/>
      </c>
    </row>
    <row r="3030">
      <c r="A3030">
        <f>IFERROR(INDEX('Email Cleaner'!$B$2:$B$10001,MATCH(3029,'Email Cleaner'!$I$2:$I$10001,0)),"")</f>
        <v/>
      </c>
    </row>
    <row r="3031">
      <c r="A3031">
        <f>IFERROR(INDEX('Email Cleaner'!$B$2:$B$10001,MATCH(3030,'Email Cleaner'!$I$2:$I$10001,0)),"")</f>
        <v/>
      </c>
    </row>
    <row r="3032">
      <c r="A3032">
        <f>IFERROR(INDEX('Email Cleaner'!$B$2:$B$10001,MATCH(3031,'Email Cleaner'!$I$2:$I$10001,0)),"")</f>
        <v/>
      </c>
    </row>
    <row r="3033">
      <c r="A3033">
        <f>IFERROR(INDEX('Email Cleaner'!$B$2:$B$10001,MATCH(3032,'Email Cleaner'!$I$2:$I$10001,0)),"")</f>
        <v/>
      </c>
    </row>
    <row r="3034">
      <c r="A3034">
        <f>IFERROR(INDEX('Email Cleaner'!$B$2:$B$10001,MATCH(3033,'Email Cleaner'!$I$2:$I$10001,0)),"")</f>
        <v/>
      </c>
    </row>
    <row r="3035">
      <c r="A3035">
        <f>IFERROR(INDEX('Email Cleaner'!$B$2:$B$10001,MATCH(3034,'Email Cleaner'!$I$2:$I$10001,0)),"")</f>
        <v/>
      </c>
    </row>
    <row r="3036">
      <c r="A3036">
        <f>IFERROR(INDEX('Email Cleaner'!$B$2:$B$10001,MATCH(3035,'Email Cleaner'!$I$2:$I$10001,0)),"")</f>
        <v/>
      </c>
    </row>
    <row r="3037">
      <c r="A3037">
        <f>IFERROR(INDEX('Email Cleaner'!$B$2:$B$10001,MATCH(3036,'Email Cleaner'!$I$2:$I$10001,0)),"")</f>
        <v/>
      </c>
    </row>
    <row r="3038">
      <c r="A3038">
        <f>IFERROR(INDEX('Email Cleaner'!$B$2:$B$10001,MATCH(3037,'Email Cleaner'!$I$2:$I$10001,0)),"")</f>
        <v/>
      </c>
    </row>
    <row r="3039">
      <c r="A3039">
        <f>IFERROR(INDEX('Email Cleaner'!$B$2:$B$10001,MATCH(3038,'Email Cleaner'!$I$2:$I$10001,0)),"")</f>
        <v/>
      </c>
    </row>
    <row r="3040">
      <c r="A3040">
        <f>IFERROR(INDEX('Email Cleaner'!$B$2:$B$10001,MATCH(3039,'Email Cleaner'!$I$2:$I$10001,0)),"")</f>
        <v/>
      </c>
    </row>
    <row r="3041">
      <c r="A3041">
        <f>IFERROR(INDEX('Email Cleaner'!$B$2:$B$10001,MATCH(3040,'Email Cleaner'!$I$2:$I$10001,0)),"")</f>
        <v/>
      </c>
    </row>
    <row r="3042">
      <c r="A3042">
        <f>IFERROR(INDEX('Email Cleaner'!$B$2:$B$10001,MATCH(3041,'Email Cleaner'!$I$2:$I$10001,0)),"")</f>
        <v/>
      </c>
    </row>
    <row r="3043">
      <c r="A3043">
        <f>IFERROR(INDEX('Email Cleaner'!$B$2:$B$10001,MATCH(3042,'Email Cleaner'!$I$2:$I$10001,0)),"")</f>
        <v/>
      </c>
    </row>
    <row r="3044">
      <c r="A3044">
        <f>IFERROR(INDEX('Email Cleaner'!$B$2:$B$10001,MATCH(3043,'Email Cleaner'!$I$2:$I$10001,0)),"")</f>
        <v/>
      </c>
    </row>
    <row r="3045">
      <c r="A3045">
        <f>IFERROR(INDEX('Email Cleaner'!$B$2:$B$10001,MATCH(3044,'Email Cleaner'!$I$2:$I$10001,0)),"")</f>
        <v/>
      </c>
    </row>
    <row r="3046">
      <c r="A3046">
        <f>IFERROR(INDEX('Email Cleaner'!$B$2:$B$10001,MATCH(3045,'Email Cleaner'!$I$2:$I$10001,0)),"")</f>
        <v/>
      </c>
    </row>
    <row r="3047">
      <c r="A3047">
        <f>IFERROR(INDEX('Email Cleaner'!$B$2:$B$10001,MATCH(3046,'Email Cleaner'!$I$2:$I$10001,0)),"")</f>
        <v/>
      </c>
    </row>
    <row r="3048">
      <c r="A3048">
        <f>IFERROR(INDEX('Email Cleaner'!$B$2:$B$10001,MATCH(3047,'Email Cleaner'!$I$2:$I$10001,0)),"")</f>
        <v/>
      </c>
    </row>
    <row r="3049">
      <c r="A3049">
        <f>IFERROR(INDEX('Email Cleaner'!$B$2:$B$10001,MATCH(3048,'Email Cleaner'!$I$2:$I$10001,0)),"")</f>
        <v/>
      </c>
    </row>
    <row r="3050">
      <c r="A3050">
        <f>IFERROR(INDEX('Email Cleaner'!$B$2:$B$10001,MATCH(3049,'Email Cleaner'!$I$2:$I$10001,0)),"")</f>
        <v/>
      </c>
    </row>
    <row r="3051">
      <c r="A3051">
        <f>IFERROR(INDEX('Email Cleaner'!$B$2:$B$10001,MATCH(3050,'Email Cleaner'!$I$2:$I$10001,0)),"")</f>
        <v/>
      </c>
    </row>
    <row r="3052">
      <c r="A3052">
        <f>IFERROR(INDEX('Email Cleaner'!$B$2:$B$10001,MATCH(3051,'Email Cleaner'!$I$2:$I$10001,0)),"")</f>
        <v/>
      </c>
    </row>
    <row r="3053">
      <c r="A3053">
        <f>IFERROR(INDEX('Email Cleaner'!$B$2:$B$10001,MATCH(3052,'Email Cleaner'!$I$2:$I$10001,0)),"")</f>
        <v/>
      </c>
    </row>
    <row r="3054">
      <c r="A3054">
        <f>IFERROR(INDEX('Email Cleaner'!$B$2:$B$10001,MATCH(3053,'Email Cleaner'!$I$2:$I$10001,0)),"")</f>
        <v/>
      </c>
    </row>
    <row r="3055">
      <c r="A3055">
        <f>IFERROR(INDEX('Email Cleaner'!$B$2:$B$10001,MATCH(3054,'Email Cleaner'!$I$2:$I$10001,0)),"")</f>
        <v/>
      </c>
    </row>
    <row r="3056">
      <c r="A3056">
        <f>IFERROR(INDEX('Email Cleaner'!$B$2:$B$10001,MATCH(3055,'Email Cleaner'!$I$2:$I$10001,0)),"")</f>
        <v/>
      </c>
    </row>
    <row r="3057">
      <c r="A3057">
        <f>IFERROR(INDEX('Email Cleaner'!$B$2:$B$10001,MATCH(3056,'Email Cleaner'!$I$2:$I$10001,0)),"")</f>
        <v/>
      </c>
    </row>
    <row r="3058">
      <c r="A3058">
        <f>IFERROR(INDEX('Email Cleaner'!$B$2:$B$10001,MATCH(3057,'Email Cleaner'!$I$2:$I$10001,0)),"")</f>
        <v/>
      </c>
    </row>
    <row r="3059">
      <c r="A3059">
        <f>IFERROR(INDEX('Email Cleaner'!$B$2:$B$10001,MATCH(3058,'Email Cleaner'!$I$2:$I$10001,0)),"")</f>
        <v/>
      </c>
    </row>
    <row r="3060">
      <c r="A3060">
        <f>IFERROR(INDEX('Email Cleaner'!$B$2:$B$10001,MATCH(3059,'Email Cleaner'!$I$2:$I$10001,0)),"")</f>
        <v/>
      </c>
    </row>
    <row r="3061">
      <c r="A3061">
        <f>IFERROR(INDEX('Email Cleaner'!$B$2:$B$10001,MATCH(3060,'Email Cleaner'!$I$2:$I$10001,0)),"")</f>
        <v/>
      </c>
    </row>
    <row r="3062">
      <c r="A3062">
        <f>IFERROR(INDEX('Email Cleaner'!$B$2:$B$10001,MATCH(3061,'Email Cleaner'!$I$2:$I$10001,0)),"")</f>
        <v/>
      </c>
    </row>
    <row r="3063">
      <c r="A3063">
        <f>IFERROR(INDEX('Email Cleaner'!$B$2:$B$10001,MATCH(3062,'Email Cleaner'!$I$2:$I$10001,0)),"")</f>
        <v/>
      </c>
    </row>
    <row r="3064">
      <c r="A3064">
        <f>IFERROR(INDEX('Email Cleaner'!$B$2:$B$10001,MATCH(3063,'Email Cleaner'!$I$2:$I$10001,0)),"")</f>
        <v/>
      </c>
    </row>
    <row r="3065">
      <c r="A3065">
        <f>IFERROR(INDEX('Email Cleaner'!$B$2:$B$10001,MATCH(3064,'Email Cleaner'!$I$2:$I$10001,0)),"")</f>
        <v/>
      </c>
    </row>
    <row r="3066">
      <c r="A3066">
        <f>IFERROR(INDEX('Email Cleaner'!$B$2:$B$10001,MATCH(3065,'Email Cleaner'!$I$2:$I$10001,0)),"")</f>
        <v/>
      </c>
    </row>
    <row r="3067">
      <c r="A3067">
        <f>IFERROR(INDEX('Email Cleaner'!$B$2:$B$10001,MATCH(3066,'Email Cleaner'!$I$2:$I$10001,0)),"")</f>
        <v/>
      </c>
    </row>
    <row r="3068">
      <c r="A3068">
        <f>IFERROR(INDEX('Email Cleaner'!$B$2:$B$10001,MATCH(3067,'Email Cleaner'!$I$2:$I$10001,0)),"")</f>
        <v/>
      </c>
    </row>
    <row r="3069">
      <c r="A3069">
        <f>IFERROR(INDEX('Email Cleaner'!$B$2:$B$10001,MATCH(3068,'Email Cleaner'!$I$2:$I$10001,0)),"")</f>
        <v/>
      </c>
    </row>
    <row r="3070">
      <c r="A3070">
        <f>IFERROR(INDEX('Email Cleaner'!$B$2:$B$10001,MATCH(3069,'Email Cleaner'!$I$2:$I$10001,0)),"")</f>
        <v/>
      </c>
    </row>
    <row r="3071">
      <c r="A3071">
        <f>IFERROR(INDEX('Email Cleaner'!$B$2:$B$10001,MATCH(3070,'Email Cleaner'!$I$2:$I$10001,0)),"")</f>
        <v/>
      </c>
    </row>
    <row r="3072">
      <c r="A3072">
        <f>IFERROR(INDEX('Email Cleaner'!$B$2:$B$10001,MATCH(3071,'Email Cleaner'!$I$2:$I$10001,0)),"")</f>
        <v/>
      </c>
    </row>
    <row r="3073">
      <c r="A3073">
        <f>IFERROR(INDEX('Email Cleaner'!$B$2:$B$10001,MATCH(3072,'Email Cleaner'!$I$2:$I$10001,0)),"")</f>
        <v/>
      </c>
    </row>
    <row r="3074">
      <c r="A3074">
        <f>IFERROR(INDEX('Email Cleaner'!$B$2:$B$10001,MATCH(3073,'Email Cleaner'!$I$2:$I$10001,0)),"")</f>
        <v/>
      </c>
    </row>
    <row r="3075">
      <c r="A3075">
        <f>IFERROR(INDEX('Email Cleaner'!$B$2:$B$10001,MATCH(3074,'Email Cleaner'!$I$2:$I$10001,0)),"")</f>
        <v/>
      </c>
    </row>
    <row r="3076">
      <c r="A3076">
        <f>IFERROR(INDEX('Email Cleaner'!$B$2:$B$10001,MATCH(3075,'Email Cleaner'!$I$2:$I$10001,0)),"")</f>
        <v/>
      </c>
    </row>
    <row r="3077">
      <c r="A3077">
        <f>IFERROR(INDEX('Email Cleaner'!$B$2:$B$10001,MATCH(3076,'Email Cleaner'!$I$2:$I$10001,0)),"")</f>
        <v/>
      </c>
    </row>
    <row r="3078">
      <c r="A3078">
        <f>IFERROR(INDEX('Email Cleaner'!$B$2:$B$10001,MATCH(3077,'Email Cleaner'!$I$2:$I$10001,0)),"")</f>
        <v/>
      </c>
    </row>
    <row r="3079">
      <c r="A3079">
        <f>IFERROR(INDEX('Email Cleaner'!$B$2:$B$10001,MATCH(3078,'Email Cleaner'!$I$2:$I$10001,0)),"")</f>
        <v/>
      </c>
    </row>
    <row r="3080">
      <c r="A3080">
        <f>IFERROR(INDEX('Email Cleaner'!$B$2:$B$10001,MATCH(3079,'Email Cleaner'!$I$2:$I$10001,0)),"")</f>
        <v/>
      </c>
    </row>
    <row r="3081">
      <c r="A3081">
        <f>IFERROR(INDEX('Email Cleaner'!$B$2:$B$10001,MATCH(3080,'Email Cleaner'!$I$2:$I$10001,0)),"")</f>
        <v/>
      </c>
    </row>
    <row r="3082">
      <c r="A3082">
        <f>IFERROR(INDEX('Email Cleaner'!$B$2:$B$10001,MATCH(3081,'Email Cleaner'!$I$2:$I$10001,0)),"")</f>
        <v/>
      </c>
    </row>
    <row r="3083">
      <c r="A3083">
        <f>IFERROR(INDEX('Email Cleaner'!$B$2:$B$10001,MATCH(3082,'Email Cleaner'!$I$2:$I$10001,0)),"")</f>
        <v/>
      </c>
    </row>
    <row r="3084">
      <c r="A3084">
        <f>IFERROR(INDEX('Email Cleaner'!$B$2:$B$10001,MATCH(3083,'Email Cleaner'!$I$2:$I$10001,0)),"")</f>
        <v/>
      </c>
    </row>
    <row r="3085">
      <c r="A3085">
        <f>IFERROR(INDEX('Email Cleaner'!$B$2:$B$10001,MATCH(3084,'Email Cleaner'!$I$2:$I$10001,0)),"")</f>
        <v/>
      </c>
    </row>
    <row r="3086">
      <c r="A3086">
        <f>IFERROR(INDEX('Email Cleaner'!$B$2:$B$10001,MATCH(3085,'Email Cleaner'!$I$2:$I$10001,0)),"")</f>
        <v/>
      </c>
    </row>
    <row r="3087">
      <c r="A3087">
        <f>IFERROR(INDEX('Email Cleaner'!$B$2:$B$10001,MATCH(3086,'Email Cleaner'!$I$2:$I$10001,0)),"")</f>
        <v/>
      </c>
    </row>
    <row r="3088">
      <c r="A3088">
        <f>IFERROR(INDEX('Email Cleaner'!$B$2:$B$10001,MATCH(3087,'Email Cleaner'!$I$2:$I$10001,0)),"")</f>
        <v/>
      </c>
    </row>
    <row r="3089">
      <c r="A3089">
        <f>IFERROR(INDEX('Email Cleaner'!$B$2:$B$10001,MATCH(3088,'Email Cleaner'!$I$2:$I$10001,0)),"")</f>
        <v/>
      </c>
    </row>
    <row r="3090">
      <c r="A3090">
        <f>IFERROR(INDEX('Email Cleaner'!$B$2:$B$10001,MATCH(3089,'Email Cleaner'!$I$2:$I$10001,0)),"")</f>
        <v/>
      </c>
    </row>
    <row r="3091">
      <c r="A3091">
        <f>IFERROR(INDEX('Email Cleaner'!$B$2:$B$10001,MATCH(3090,'Email Cleaner'!$I$2:$I$10001,0)),"")</f>
        <v/>
      </c>
    </row>
    <row r="3092">
      <c r="A3092">
        <f>IFERROR(INDEX('Email Cleaner'!$B$2:$B$10001,MATCH(3091,'Email Cleaner'!$I$2:$I$10001,0)),"")</f>
        <v/>
      </c>
    </row>
    <row r="3093">
      <c r="A3093">
        <f>IFERROR(INDEX('Email Cleaner'!$B$2:$B$10001,MATCH(3092,'Email Cleaner'!$I$2:$I$10001,0)),"")</f>
        <v/>
      </c>
    </row>
    <row r="3094">
      <c r="A3094">
        <f>IFERROR(INDEX('Email Cleaner'!$B$2:$B$10001,MATCH(3093,'Email Cleaner'!$I$2:$I$10001,0)),"")</f>
        <v/>
      </c>
    </row>
    <row r="3095">
      <c r="A3095">
        <f>IFERROR(INDEX('Email Cleaner'!$B$2:$B$10001,MATCH(3094,'Email Cleaner'!$I$2:$I$10001,0)),"")</f>
        <v/>
      </c>
    </row>
    <row r="3096">
      <c r="A3096">
        <f>IFERROR(INDEX('Email Cleaner'!$B$2:$B$10001,MATCH(3095,'Email Cleaner'!$I$2:$I$10001,0)),"")</f>
        <v/>
      </c>
    </row>
    <row r="3097">
      <c r="A3097">
        <f>IFERROR(INDEX('Email Cleaner'!$B$2:$B$10001,MATCH(3096,'Email Cleaner'!$I$2:$I$10001,0)),"")</f>
        <v/>
      </c>
    </row>
    <row r="3098">
      <c r="A3098">
        <f>IFERROR(INDEX('Email Cleaner'!$B$2:$B$10001,MATCH(3097,'Email Cleaner'!$I$2:$I$10001,0)),"")</f>
        <v/>
      </c>
    </row>
    <row r="3099">
      <c r="A3099">
        <f>IFERROR(INDEX('Email Cleaner'!$B$2:$B$10001,MATCH(3098,'Email Cleaner'!$I$2:$I$10001,0)),"")</f>
        <v/>
      </c>
    </row>
    <row r="3100">
      <c r="A3100">
        <f>IFERROR(INDEX('Email Cleaner'!$B$2:$B$10001,MATCH(3099,'Email Cleaner'!$I$2:$I$10001,0)),"")</f>
        <v/>
      </c>
    </row>
    <row r="3101">
      <c r="A3101">
        <f>IFERROR(INDEX('Email Cleaner'!$B$2:$B$10001,MATCH(3100,'Email Cleaner'!$I$2:$I$10001,0)),"")</f>
        <v/>
      </c>
    </row>
    <row r="3102">
      <c r="A3102">
        <f>IFERROR(INDEX('Email Cleaner'!$B$2:$B$10001,MATCH(3101,'Email Cleaner'!$I$2:$I$10001,0)),"")</f>
        <v/>
      </c>
    </row>
    <row r="3103">
      <c r="A3103">
        <f>IFERROR(INDEX('Email Cleaner'!$B$2:$B$10001,MATCH(3102,'Email Cleaner'!$I$2:$I$10001,0)),"")</f>
        <v/>
      </c>
    </row>
    <row r="3104">
      <c r="A3104">
        <f>IFERROR(INDEX('Email Cleaner'!$B$2:$B$10001,MATCH(3103,'Email Cleaner'!$I$2:$I$10001,0)),"")</f>
        <v/>
      </c>
    </row>
    <row r="3105">
      <c r="A3105">
        <f>IFERROR(INDEX('Email Cleaner'!$B$2:$B$10001,MATCH(3104,'Email Cleaner'!$I$2:$I$10001,0)),"")</f>
        <v/>
      </c>
    </row>
    <row r="3106">
      <c r="A3106">
        <f>IFERROR(INDEX('Email Cleaner'!$B$2:$B$10001,MATCH(3105,'Email Cleaner'!$I$2:$I$10001,0)),"")</f>
        <v/>
      </c>
    </row>
    <row r="3107">
      <c r="A3107">
        <f>IFERROR(INDEX('Email Cleaner'!$B$2:$B$10001,MATCH(3106,'Email Cleaner'!$I$2:$I$10001,0)),"")</f>
        <v/>
      </c>
    </row>
    <row r="3108">
      <c r="A3108">
        <f>IFERROR(INDEX('Email Cleaner'!$B$2:$B$10001,MATCH(3107,'Email Cleaner'!$I$2:$I$10001,0)),"")</f>
        <v/>
      </c>
    </row>
    <row r="3109">
      <c r="A3109">
        <f>IFERROR(INDEX('Email Cleaner'!$B$2:$B$10001,MATCH(3108,'Email Cleaner'!$I$2:$I$10001,0)),"")</f>
        <v/>
      </c>
    </row>
    <row r="3110">
      <c r="A3110">
        <f>IFERROR(INDEX('Email Cleaner'!$B$2:$B$10001,MATCH(3109,'Email Cleaner'!$I$2:$I$10001,0)),"")</f>
        <v/>
      </c>
    </row>
    <row r="3111">
      <c r="A3111">
        <f>IFERROR(INDEX('Email Cleaner'!$B$2:$B$10001,MATCH(3110,'Email Cleaner'!$I$2:$I$10001,0)),"")</f>
        <v/>
      </c>
    </row>
    <row r="3112">
      <c r="A3112">
        <f>IFERROR(INDEX('Email Cleaner'!$B$2:$B$10001,MATCH(3111,'Email Cleaner'!$I$2:$I$10001,0)),"")</f>
        <v/>
      </c>
    </row>
    <row r="3113">
      <c r="A3113">
        <f>IFERROR(INDEX('Email Cleaner'!$B$2:$B$10001,MATCH(3112,'Email Cleaner'!$I$2:$I$10001,0)),"")</f>
        <v/>
      </c>
    </row>
    <row r="3114">
      <c r="A3114">
        <f>IFERROR(INDEX('Email Cleaner'!$B$2:$B$10001,MATCH(3113,'Email Cleaner'!$I$2:$I$10001,0)),"")</f>
        <v/>
      </c>
    </row>
    <row r="3115">
      <c r="A3115">
        <f>IFERROR(INDEX('Email Cleaner'!$B$2:$B$10001,MATCH(3114,'Email Cleaner'!$I$2:$I$10001,0)),"")</f>
        <v/>
      </c>
    </row>
    <row r="3116">
      <c r="A3116">
        <f>IFERROR(INDEX('Email Cleaner'!$B$2:$B$10001,MATCH(3115,'Email Cleaner'!$I$2:$I$10001,0)),"")</f>
        <v/>
      </c>
    </row>
    <row r="3117">
      <c r="A3117">
        <f>IFERROR(INDEX('Email Cleaner'!$B$2:$B$10001,MATCH(3116,'Email Cleaner'!$I$2:$I$10001,0)),"")</f>
        <v/>
      </c>
    </row>
    <row r="3118">
      <c r="A3118">
        <f>IFERROR(INDEX('Email Cleaner'!$B$2:$B$10001,MATCH(3117,'Email Cleaner'!$I$2:$I$10001,0)),"")</f>
        <v/>
      </c>
    </row>
    <row r="3119">
      <c r="A3119">
        <f>IFERROR(INDEX('Email Cleaner'!$B$2:$B$10001,MATCH(3118,'Email Cleaner'!$I$2:$I$10001,0)),"")</f>
        <v/>
      </c>
    </row>
    <row r="3120">
      <c r="A3120">
        <f>IFERROR(INDEX('Email Cleaner'!$B$2:$B$10001,MATCH(3119,'Email Cleaner'!$I$2:$I$10001,0)),"")</f>
        <v/>
      </c>
    </row>
    <row r="3121">
      <c r="A3121">
        <f>IFERROR(INDEX('Email Cleaner'!$B$2:$B$10001,MATCH(3120,'Email Cleaner'!$I$2:$I$10001,0)),"")</f>
        <v/>
      </c>
    </row>
    <row r="3122">
      <c r="A3122">
        <f>IFERROR(INDEX('Email Cleaner'!$B$2:$B$10001,MATCH(3121,'Email Cleaner'!$I$2:$I$10001,0)),"")</f>
        <v/>
      </c>
    </row>
    <row r="3123">
      <c r="A3123">
        <f>IFERROR(INDEX('Email Cleaner'!$B$2:$B$10001,MATCH(3122,'Email Cleaner'!$I$2:$I$10001,0)),"")</f>
        <v/>
      </c>
    </row>
    <row r="3124">
      <c r="A3124">
        <f>IFERROR(INDEX('Email Cleaner'!$B$2:$B$10001,MATCH(3123,'Email Cleaner'!$I$2:$I$10001,0)),"")</f>
        <v/>
      </c>
    </row>
    <row r="3125">
      <c r="A3125">
        <f>IFERROR(INDEX('Email Cleaner'!$B$2:$B$10001,MATCH(3124,'Email Cleaner'!$I$2:$I$10001,0)),"")</f>
        <v/>
      </c>
    </row>
    <row r="3126">
      <c r="A3126">
        <f>IFERROR(INDEX('Email Cleaner'!$B$2:$B$10001,MATCH(3125,'Email Cleaner'!$I$2:$I$10001,0)),"")</f>
        <v/>
      </c>
    </row>
    <row r="3127">
      <c r="A3127">
        <f>IFERROR(INDEX('Email Cleaner'!$B$2:$B$10001,MATCH(3126,'Email Cleaner'!$I$2:$I$10001,0)),"")</f>
        <v/>
      </c>
    </row>
    <row r="3128">
      <c r="A3128">
        <f>IFERROR(INDEX('Email Cleaner'!$B$2:$B$10001,MATCH(3127,'Email Cleaner'!$I$2:$I$10001,0)),"")</f>
        <v/>
      </c>
    </row>
    <row r="3129">
      <c r="A3129">
        <f>IFERROR(INDEX('Email Cleaner'!$B$2:$B$10001,MATCH(3128,'Email Cleaner'!$I$2:$I$10001,0)),"")</f>
        <v/>
      </c>
    </row>
    <row r="3130">
      <c r="A3130">
        <f>IFERROR(INDEX('Email Cleaner'!$B$2:$B$10001,MATCH(3129,'Email Cleaner'!$I$2:$I$10001,0)),"")</f>
        <v/>
      </c>
    </row>
    <row r="3131">
      <c r="A3131">
        <f>IFERROR(INDEX('Email Cleaner'!$B$2:$B$10001,MATCH(3130,'Email Cleaner'!$I$2:$I$10001,0)),"")</f>
        <v/>
      </c>
    </row>
    <row r="3132">
      <c r="A3132">
        <f>IFERROR(INDEX('Email Cleaner'!$B$2:$B$10001,MATCH(3131,'Email Cleaner'!$I$2:$I$10001,0)),"")</f>
        <v/>
      </c>
    </row>
    <row r="3133">
      <c r="A3133">
        <f>IFERROR(INDEX('Email Cleaner'!$B$2:$B$10001,MATCH(3132,'Email Cleaner'!$I$2:$I$10001,0)),"")</f>
        <v/>
      </c>
    </row>
    <row r="3134">
      <c r="A3134">
        <f>IFERROR(INDEX('Email Cleaner'!$B$2:$B$10001,MATCH(3133,'Email Cleaner'!$I$2:$I$10001,0)),"")</f>
        <v/>
      </c>
    </row>
    <row r="3135">
      <c r="A3135">
        <f>IFERROR(INDEX('Email Cleaner'!$B$2:$B$10001,MATCH(3134,'Email Cleaner'!$I$2:$I$10001,0)),"")</f>
        <v/>
      </c>
    </row>
    <row r="3136">
      <c r="A3136">
        <f>IFERROR(INDEX('Email Cleaner'!$B$2:$B$10001,MATCH(3135,'Email Cleaner'!$I$2:$I$10001,0)),"")</f>
        <v/>
      </c>
    </row>
    <row r="3137">
      <c r="A3137">
        <f>IFERROR(INDEX('Email Cleaner'!$B$2:$B$10001,MATCH(3136,'Email Cleaner'!$I$2:$I$10001,0)),"")</f>
        <v/>
      </c>
    </row>
    <row r="3138">
      <c r="A3138">
        <f>IFERROR(INDEX('Email Cleaner'!$B$2:$B$10001,MATCH(3137,'Email Cleaner'!$I$2:$I$10001,0)),"")</f>
        <v/>
      </c>
    </row>
    <row r="3139">
      <c r="A3139">
        <f>IFERROR(INDEX('Email Cleaner'!$B$2:$B$10001,MATCH(3138,'Email Cleaner'!$I$2:$I$10001,0)),"")</f>
        <v/>
      </c>
    </row>
    <row r="3140">
      <c r="A3140">
        <f>IFERROR(INDEX('Email Cleaner'!$B$2:$B$10001,MATCH(3139,'Email Cleaner'!$I$2:$I$10001,0)),"")</f>
        <v/>
      </c>
    </row>
    <row r="3141">
      <c r="A3141">
        <f>IFERROR(INDEX('Email Cleaner'!$B$2:$B$10001,MATCH(3140,'Email Cleaner'!$I$2:$I$10001,0)),"")</f>
        <v/>
      </c>
    </row>
    <row r="3142">
      <c r="A3142">
        <f>IFERROR(INDEX('Email Cleaner'!$B$2:$B$10001,MATCH(3141,'Email Cleaner'!$I$2:$I$10001,0)),"")</f>
        <v/>
      </c>
    </row>
    <row r="3143">
      <c r="A3143">
        <f>IFERROR(INDEX('Email Cleaner'!$B$2:$B$10001,MATCH(3142,'Email Cleaner'!$I$2:$I$10001,0)),"")</f>
        <v/>
      </c>
    </row>
    <row r="3144">
      <c r="A3144">
        <f>IFERROR(INDEX('Email Cleaner'!$B$2:$B$10001,MATCH(3143,'Email Cleaner'!$I$2:$I$10001,0)),"")</f>
        <v/>
      </c>
    </row>
    <row r="3145">
      <c r="A3145">
        <f>IFERROR(INDEX('Email Cleaner'!$B$2:$B$10001,MATCH(3144,'Email Cleaner'!$I$2:$I$10001,0)),"")</f>
        <v/>
      </c>
    </row>
    <row r="3146">
      <c r="A3146">
        <f>IFERROR(INDEX('Email Cleaner'!$B$2:$B$10001,MATCH(3145,'Email Cleaner'!$I$2:$I$10001,0)),"")</f>
        <v/>
      </c>
    </row>
    <row r="3147">
      <c r="A3147">
        <f>IFERROR(INDEX('Email Cleaner'!$B$2:$B$10001,MATCH(3146,'Email Cleaner'!$I$2:$I$10001,0)),"")</f>
        <v/>
      </c>
    </row>
    <row r="3148">
      <c r="A3148">
        <f>IFERROR(INDEX('Email Cleaner'!$B$2:$B$10001,MATCH(3147,'Email Cleaner'!$I$2:$I$10001,0)),"")</f>
        <v/>
      </c>
    </row>
    <row r="3149">
      <c r="A3149">
        <f>IFERROR(INDEX('Email Cleaner'!$B$2:$B$10001,MATCH(3148,'Email Cleaner'!$I$2:$I$10001,0)),"")</f>
        <v/>
      </c>
    </row>
    <row r="3150">
      <c r="A3150">
        <f>IFERROR(INDEX('Email Cleaner'!$B$2:$B$10001,MATCH(3149,'Email Cleaner'!$I$2:$I$10001,0)),"")</f>
        <v/>
      </c>
    </row>
    <row r="3151">
      <c r="A3151">
        <f>IFERROR(INDEX('Email Cleaner'!$B$2:$B$10001,MATCH(3150,'Email Cleaner'!$I$2:$I$10001,0)),"")</f>
        <v/>
      </c>
    </row>
    <row r="3152">
      <c r="A3152">
        <f>IFERROR(INDEX('Email Cleaner'!$B$2:$B$10001,MATCH(3151,'Email Cleaner'!$I$2:$I$10001,0)),"")</f>
        <v/>
      </c>
    </row>
    <row r="3153">
      <c r="A3153">
        <f>IFERROR(INDEX('Email Cleaner'!$B$2:$B$10001,MATCH(3152,'Email Cleaner'!$I$2:$I$10001,0)),"")</f>
        <v/>
      </c>
    </row>
    <row r="3154">
      <c r="A3154">
        <f>IFERROR(INDEX('Email Cleaner'!$B$2:$B$10001,MATCH(3153,'Email Cleaner'!$I$2:$I$10001,0)),"")</f>
        <v/>
      </c>
    </row>
    <row r="3155">
      <c r="A3155">
        <f>IFERROR(INDEX('Email Cleaner'!$B$2:$B$10001,MATCH(3154,'Email Cleaner'!$I$2:$I$10001,0)),"")</f>
        <v/>
      </c>
    </row>
    <row r="3156">
      <c r="A3156">
        <f>IFERROR(INDEX('Email Cleaner'!$B$2:$B$10001,MATCH(3155,'Email Cleaner'!$I$2:$I$10001,0)),"")</f>
        <v/>
      </c>
    </row>
    <row r="3157">
      <c r="A3157">
        <f>IFERROR(INDEX('Email Cleaner'!$B$2:$B$10001,MATCH(3156,'Email Cleaner'!$I$2:$I$10001,0)),"")</f>
        <v/>
      </c>
    </row>
    <row r="3158">
      <c r="A3158">
        <f>IFERROR(INDEX('Email Cleaner'!$B$2:$B$10001,MATCH(3157,'Email Cleaner'!$I$2:$I$10001,0)),"")</f>
        <v/>
      </c>
    </row>
    <row r="3159">
      <c r="A3159">
        <f>IFERROR(INDEX('Email Cleaner'!$B$2:$B$10001,MATCH(3158,'Email Cleaner'!$I$2:$I$10001,0)),"")</f>
        <v/>
      </c>
    </row>
    <row r="3160">
      <c r="A3160">
        <f>IFERROR(INDEX('Email Cleaner'!$B$2:$B$10001,MATCH(3159,'Email Cleaner'!$I$2:$I$10001,0)),"")</f>
        <v/>
      </c>
    </row>
    <row r="3161">
      <c r="A3161">
        <f>IFERROR(INDEX('Email Cleaner'!$B$2:$B$10001,MATCH(3160,'Email Cleaner'!$I$2:$I$10001,0)),"")</f>
        <v/>
      </c>
    </row>
    <row r="3162">
      <c r="A3162">
        <f>IFERROR(INDEX('Email Cleaner'!$B$2:$B$10001,MATCH(3161,'Email Cleaner'!$I$2:$I$10001,0)),"")</f>
        <v/>
      </c>
    </row>
    <row r="3163">
      <c r="A3163">
        <f>IFERROR(INDEX('Email Cleaner'!$B$2:$B$10001,MATCH(3162,'Email Cleaner'!$I$2:$I$10001,0)),"")</f>
        <v/>
      </c>
    </row>
    <row r="3164">
      <c r="A3164">
        <f>IFERROR(INDEX('Email Cleaner'!$B$2:$B$10001,MATCH(3163,'Email Cleaner'!$I$2:$I$10001,0)),"")</f>
        <v/>
      </c>
    </row>
    <row r="3165">
      <c r="A3165">
        <f>IFERROR(INDEX('Email Cleaner'!$B$2:$B$10001,MATCH(3164,'Email Cleaner'!$I$2:$I$10001,0)),"")</f>
        <v/>
      </c>
    </row>
    <row r="3166">
      <c r="A3166">
        <f>IFERROR(INDEX('Email Cleaner'!$B$2:$B$10001,MATCH(3165,'Email Cleaner'!$I$2:$I$10001,0)),"")</f>
        <v/>
      </c>
    </row>
    <row r="3167">
      <c r="A3167">
        <f>IFERROR(INDEX('Email Cleaner'!$B$2:$B$10001,MATCH(3166,'Email Cleaner'!$I$2:$I$10001,0)),"")</f>
        <v/>
      </c>
    </row>
    <row r="3168">
      <c r="A3168">
        <f>IFERROR(INDEX('Email Cleaner'!$B$2:$B$10001,MATCH(3167,'Email Cleaner'!$I$2:$I$10001,0)),"")</f>
        <v/>
      </c>
    </row>
    <row r="3169">
      <c r="A3169">
        <f>IFERROR(INDEX('Email Cleaner'!$B$2:$B$10001,MATCH(3168,'Email Cleaner'!$I$2:$I$10001,0)),"")</f>
        <v/>
      </c>
    </row>
    <row r="3170">
      <c r="A3170">
        <f>IFERROR(INDEX('Email Cleaner'!$B$2:$B$10001,MATCH(3169,'Email Cleaner'!$I$2:$I$10001,0)),"")</f>
        <v/>
      </c>
    </row>
    <row r="3171">
      <c r="A3171">
        <f>IFERROR(INDEX('Email Cleaner'!$B$2:$B$10001,MATCH(3170,'Email Cleaner'!$I$2:$I$10001,0)),"")</f>
        <v/>
      </c>
    </row>
    <row r="3172">
      <c r="A3172">
        <f>IFERROR(INDEX('Email Cleaner'!$B$2:$B$10001,MATCH(3171,'Email Cleaner'!$I$2:$I$10001,0)),"")</f>
        <v/>
      </c>
    </row>
    <row r="3173">
      <c r="A3173">
        <f>IFERROR(INDEX('Email Cleaner'!$B$2:$B$10001,MATCH(3172,'Email Cleaner'!$I$2:$I$10001,0)),"")</f>
        <v/>
      </c>
    </row>
    <row r="3174">
      <c r="A3174">
        <f>IFERROR(INDEX('Email Cleaner'!$B$2:$B$10001,MATCH(3173,'Email Cleaner'!$I$2:$I$10001,0)),"")</f>
        <v/>
      </c>
    </row>
    <row r="3175">
      <c r="A3175">
        <f>IFERROR(INDEX('Email Cleaner'!$B$2:$B$10001,MATCH(3174,'Email Cleaner'!$I$2:$I$10001,0)),"")</f>
        <v/>
      </c>
    </row>
    <row r="3176">
      <c r="A3176">
        <f>IFERROR(INDEX('Email Cleaner'!$B$2:$B$10001,MATCH(3175,'Email Cleaner'!$I$2:$I$10001,0)),"")</f>
        <v/>
      </c>
    </row>
    <row r="3177">
      <c r="A3177">
        <f>IFERROR(INDEX('Email Cleaner'!$B$2:$B$10001,MATCH(3176,'Email Cleaner'!$I$2:$I$10001,0)),"")</f>
        <v/>
      </c>
    </row>
    <row r="3178">
      <c r="A3178">
        <f>IFERROR(INDEX('Email Cleaner'!$B$2:$B$10001,MATCH(3177,'Email Cleaner'!$I$2:$I$10001,0)),"")</f>
        <v/>
      </c>
    </row>
    <row r="3179">
      <c r="A3179">
        <f>IFERROR(INDEX('Email Cleaner'!$B$2:$B$10001,MATCH(3178,'Email Cleaner'!$I$2:$I$10001,0)),"")</f>
        <v/>
      </c>
    </row>
    <row r="3180">
      <c r="A3180">
        <f>IFERROR(INDEX('Email Cleaner'!$B$2:$B$10001,MATCH(3179,'Email Cleaner'!$I$2:$I$10001,0)),"")</f>
        <v/>
      </c>
    </row>
    <row r="3181">
      <c r="A3181">
        <f>IFERROR(INDEX('Email Cleaner'!$B$2:$B$10001,MATCH(3180,'Email Cleaner'!$I$2:$I$10001,0)),"")</f>
        <v/>
      </c>
    </row>
    <row r="3182">
      <c r="A3182">
        <f>IFERROR(INDEX('Email Cleaner'!$B$2:$B$10001,MATCH(3181,'Email Cleaner'!$I$2:$I$10001,0)),"")</f>
        <v/>
      </c>
    </row>
    <row r="3183">
      <c r="A3183">
        <f>IFERROR(INDEX('Email Cleaner'!$B$2:$B$10001,MATCH(3182,'Email Cleaner'!$I$2:$I$10001,0)),"")</f>
        <v/>
      </c>
    </row>
    <row r="3184">
      <c r="A3184">
        <f>IFERROR(INDEX('Email Cleaner'!$B$2:$B$10001,MATCH(3183,'Email Cleaner'!$I$2:$I$10001,0)),"")</f>
        <v/>
      </c>
    </row>
    <row r="3185">
      <c r="A3185">
        <f>IFERROR(INDEX('Email Cleaner'!$B$2:$B$10001,MATCH(3184,'Email Cleaner'!$I$2:$I$10001,0)),"")</f>
        <v/>
      </c>
    </row>
    <row r="3186">
      <c r="A3186">
        <f>IFERROR(INDEX('Email Cleaner'!$B$2:$B$10001,MATCH(3185,'Email Cleaner'!$I$2:$I$10001,0)),"")</f>
        <v/>
      </c>
    </row>
    <row r="3187">
      <c r="A3187">
        <f>IFERROR(INDEX('Email Cleaner'!$B$2:$B$10001,MATCH(3186,'Email Cleaner'!$I$2:$I$10001,0)),"")</f>
        <v/>
      </c>
    </row>
    <row r="3188">
      <c r="A3188">
        <f>IFERROR(INDEX('Email Cleaner'!$B$2:$B$10001,MATCH(3187,'Email Cleaner'!$I$2:$I$10001,0)),"")</f>
        <v/>
      </c>
    </row>
    <row r="3189">
      <c r="A3189">
        <f>IFERROR(INDEX('Email Cleaner'!$B$2:$B$10001,MATCH(3188,'Email Cleaner'!$I$2:$I$10001,0)),"")</f>
        <v/>
      </c>
    </row>
    <row r="3190">
      <c r="A3190">
        <f>IFERROR(INDEX('Email Cleaner'!$B$2:$B$10001,MATCH(3189,'Email Cleaner'!$I$2:$I$10001,0)),"")</f>
        <v/>
      </c>
    </row>
    <row r="3191">
      <c r="A3191">
        <f>IFERROR(INDEX('Email Cleaner'!$B$2:$B$10001,MATCH(3190,'Email Cleaner'!$I$2:$I$10001,0)),"")</f>
        <v/>
      </c>
    </row>
    <row r="3192">
      <c r="A3192">
        <f>IFERROR(INDEX('Email Cleaner'!$B$2:$B$10001,MATCH(3191,'Email Cleaner'!$I$2:$I$10001,0)),"")</f>
        <v/>
      </c>
    </row>
    <row r="3193">
      <c r="A3193">
        <f>IFERROR(INDEX('Email Cleaner'!$B$2:$B$10001,MATCH(3192,'Email Cleaner'!$I$2:$I$10001,0)),"")</f>
        <v/>
      </c>
    </row>
    <row r="3194">
      <c r="A3194">
        <f>IFERROR(INDEX('Email Cleaner'!$B$2:$B$10001,MATCH(3193,'Email Cleaner'!$I$2:$I$10001,0)),"")</f>
        <v/>
      </c>
    </row>
    <row r="3195">
      <c r="A3195">
        <f>IFERROR(INDEX('Email Cleaner'!$B$2:$B$10001,MATCH(3194,'Email Cleaner'!$I$2:$I$10001,0)),"")</f>
        <v/>
      </c>
    </row>
    <row r="3196">
      <c r="A3196">
        <f>IFERROR(INDEX('Email Cleaner'!$B$2:$B$10001,MATCH(3195,'Email Cleaner'!$I$2:$I$10001,0)),"")</f>
        <v/>
      </c>
    </row>
    <row r="3197">
      <c r="A3197">
        <f>IFERROR(INDEX('Email Cleaner'!$B$2:$B$10001,MATCH(3196,'Email Cleaner'!$I$2:$I$10001,0)),"")</f>
        <v/>
      </c>
    </row>
    <row r="3198">
      <c r="A3198">
        <f>IFERROR(INDEX('Email Cleaner'!$B$2:$B$10001,MATCH(3197,'Email Cleaner'!$I$2:$I$10001,0)),"")</f>
        <v/>
      </c>
    </row>
    <row r="3199">
      <c r="A3199">
        <f>IFERROR(INDEX('Email Cleaner'!$B$2:$B$10001,MATCH(3198,'Email Cleaner'!$I$2:$I$10001,0)),"")</f>
        <v/>
      </c>
    </row>
    <row r="3200">
      <c r="A3200">
        <f>IFERROR(INDEX('Email Cleaner'!$B$2:$B$10001,MATCH(3199,'Email Cleaner'!$I$2:$I$10001,0)),"")</f>
        <v/>
      </c>
    </row>
    <row r="3201">
      <c r="A3201">
        <f>IFERROR(INDEX('Email Cleaner'!$B$2:$B$10001,MATCH(3200,'Email Cleaner'!$I$2:$I$10001,0)),"")</f>
        <v/>
      </c>
    </row>
    <row r="3202">
      <c r="A3202">
        <f>IFERROR(INDEX('Email Cleaner'!$B$2:$B$10001,MATCH(3201,'Email Cleaner'!$I$2:$I$10001,0)),"")</f>
        <v/>
      </c>
    </row>
    <row r="3203">
      <c r="A3203">
        <f>IFERROR(INDEX('Email Cleaner'!$B$2:$B$10001,MATCH(3202,'Email Cleaner'!$I$2:$I$10001,0)),"")</f>
        <v/>
      </c>
    </row>
    <row r="3204">
      <c r="A3204">
        <f>IFERROR(INDEX('Email Cleaner'!$B$2:$B$10001,MATCH(3203,'Email Cleaner'!$I$2:$I$10001,0)),"")</f>
        <v/>
      </c>
    </row>
    <row r="3205">
      <c r="A3205">
        <f>IFERROR(INDEX('Email Cleaner'!$B$2:$B$10001,MATCH(3204,'Email Cleaner'!$I$2:$I$10001,0)),"")</f>
        <v/>
      </c>
    </row>
    <row r="3206">
      <c r="A3206">
        <f>IFERROR(INDEX('Email Cleaner'!$B$2:$B$10001,MATCH(3205,'Email Cleaner'!$I$2:$I$10001,0)),"")</f>
        <v/>
      </c>
    </row>
    <row r="3207">
      <c r="A3207">
        <f>IFERROR(INDEX('Email Cleaner'!$B$2:$B$10001,MATCH(3206,'Email Cleaner'!$I$2:$I$10001,0)),"")</f>
        <v/>
      </c>
    </row>
    <row r="3208">
      <c r="A3208">
        <f>IFERROR(INDEX('Email Cleaner'!$B$2:$B$10001,MATCH(3207,'Email Cleaner'!$I$2:$I$10001,0)),"")</f>
        <v/>
      </c>
    </row>
    <row r="3209">
      <c r="A3209">
        <f>IFERROR(INDEX('Email Cleaner'!$B$2:$B$10001,MATCH(3208,'Email Cleaner'!$I$2:$I$10001,0)),"")</f>
        <v/>
      </c>
    </row>
    <row r="3210">
      <c r="A3210">
        <f>IFERROR(INDEX('Email Cleaner'!$B$2:$B$10001,MATCH(3209,'Email Cleaner'!$I$2:$I$10001,0)),"")</f>
        <v/>
      </c>
    </row>
    <row r="3211">
      <c r="A3211">
        <f>IFERROR(INDEX('Email Cleaner'!$B$2:$B$10001,MATCH(3210,'Email Cleaner'!$I$2:$I$10001,0)),"")</f>
        <v/>
      </c>
    </row>
    <row r="3212">
      <c r="A3212">
        <f>IFERROR(INDEX('Email Cleaner'!$B$2:$B$10001,MATCH(3211,'Email Cleaner'!$I$2:$I$10001,0)),"")</f>
        <v/>
      </c>
    </row>
    <row r="3213">
      <c r="A3213">
        <f>IFERROR(INDEX('Email Cleaner'!$B$2:$B$10001,MATCH(3212,'Email Cleaner'!$I$2:$I$10001,0)),"")</f>
        <v/>
      </c>
    </row>
    <row r="3214">
      <c r="A3214">
        <f>IFERROR(INDEX('Email Cleaner'!$B$2:$B$10001,MATCH(3213,'Email Cleaner'!$I$2:$I$10001,0)),"")</f>
        <v/>
      </c>
    </row>
    <row r="3215">
      <c r="A3215">
        <f>IFERROR(INDEX('Email Cleaner'!$B$2:$B$10001,MATCH(3214,'Email Cleaner'!$I$2:$I$10001,0)),"")</f>
        <v/>
      </c>
    </row>
    <row r="3216">
      <c r="A3216">
        <f>IFERROR(INDEX('Email Cleaner'!$B$2:$B$10001,MATCH(3215,'Email Cleaner'!$I$2:$I$10001,0)),"")</f>
        <v/>
      </c>
    </row>
    <row r="3217">
      <c r="A3217">
        <f>IFERROR(INDEX('Email Cleaner'!$B$2:$B$10001,MATCH(3216,'Email Cleaner'!$I$2:$I$10001,0)),"")</f>
        <v/>
      </c>
    </row>
    <row r="3218">
      <c r="A3218">
        <f>IFERROR(INDEX('Email Cleaner'!$B$2:$B$10001,MATCH(3217,'Email Cleaner'!$I$2:$I$10001,0)),"")</f>
        <v/>
      </c>
    </row>
    <row r="3219">
      <c r="A3219">
        <f>IFERROR(INDEX('Email Cleaner'!$B$2:$B$10001,MATCH(3218,'Email Cleaner'!$I$2:$I$10001,0)),"")</f>
        <v/>
      </c>
    </row>
    <row r="3220">
      <c r="A3220">
        <f>IFERROR(INDEX('Email Cleaner'!$B$2:$B$10001,MATCH(3219,'Email Cleaner'!$I$2:$I$10001,0)),"")</f>
        <v/>
      </c>
    </row>
    <row r="3221">
      <c r="A3221">
        <f>IFERROR(INDEX('Email Cleaner'!$B$2:$B$10001,MATCH(3220,'Email Cleaner'!$I$2:$I$10001,0)),"")</f>
        <v/>
      </c>
    </row>
    <row r="3222">
      <c r="A3222">
        <f>IFERROR(INDEX('Email Cleaner'!$B$2:$B$10001,MATCH(3221,'Email Cleaner'!$I$2:$I$10001,0)),"")</f>
        <v/>
      </c>
    </row>
    <row r="3223">
      <c r="A3223">
        <f>IFERROR(INDEX('Email Cleaner'!$B$2:$B$10001,MATCH(3222,'Email Cleaner'!$I$2:$I$10001,0)),"")</f>
        <v/>
      </c>
    </row>
    <row r="3224">
      <c r="A3224">
        <f>IFERROR(INDEX('Email Cleaner'!$B$2:$B$10001,MATCH(3223,'Email Cleaner'!$I$2:$I$10001,0)),"")</f>
        <v/>
      </c>
    </row>
    <row r="3225">
      <c r="A3225">
        <f>IFERROR(INDEX('Email Cleaner'!$B$2:$B$10001,MATCH(3224,'Email Cleaner'!$I$2:$I$10001,0)),"")</f>
        <v/>
      </c>
    </row>
    <row r="3226">
      <c r="A3226">
        <f>IFERROR(INDEX('Email Cleaner'!$B$2:$B$10001,MATCH(3225,'Email Cleaner'!$I$2:$I$10001,0)),"")</f>
        <v/>
      </c>
    </row>
    <row r="3227">
      <c r="A3227">
        <f>IFERROR(INDEX('Email Cleaner'!$B$2:$B$10001,MATCH(3226,'Email Cleaner'!$I$2:$I$10001,0)),"")</f>
        <v/>
      </c>
    </row>
    <row r="3228">
      <c r="A3228">
        <f>IFERROR(INDEX('Email Cleaner'!$B$2:$B$10001,MATCH(3227,'Email Cleaner'!$I$2:$I$10001,0)),"")</f>
        <v/>
      </c>
    </row>
    <row r="3229">
      <c r="A3229">
        <f>IFERROR(INDEX('Email Cleaner'!$B$2:$B$10001,MATCH(3228,'Email Cleaner'!$I$2:$I$10001,0)),"")</f>
        <v/>
      </c>
    </row>
    <row r="3230">
      <c r="A3230">
        <f>IFERROR(INDEX('Email Cleaner'!$B$2:$B$10001,MATCH(3229,'Email Cleaner'!$I$2:$I$10001,0)),"")</f>
        <v/>
      </c>
    </row>
    <row r="3231">
      <c r="A3231">
        <f>IFERROR(INDEX('Email Cleaner'!$B$2:$B$10001,MATCH(3230,'Email Cleaner'!$I$2:$I$10001,0)),"")</f>
        <v/>
      </c>
    </row>
    <row r="3232">
      <c r="A3232">
        <f>IFERROR(INDEX('Email Cleaner'!$B$2:$B$10001,MATCH(3231,'Email Cleaner'!$I$2:$I$10001,0)),"")</f>
        <v/>
      </c>
    </row>
    <row r="3233">
      <c r="A3233">
        <f>IFERROR(INDEX('Email Cleaner'!$B$2:$B$10001,MATCH(3232,'Email Cleaner'!$I$2:$I$10001,0)),"")</f>
        <v/>
      </c>
    </row>
    <row r="3234">
      <c r="A3234">
        <f>IFERROR(INDEX('Email Cleaner'!$B$2:$B$10001,MATCH(3233,'Email Cleaner'!$I$2:$I$10001,0)),"")</f>
        <v/>
      </c>
    </row>
    <row r="3235">
      <c r="A3235">
        <f>IFERROR(INDEX('Email Cleaner'!$B$2:$B$10001,MATCH(3234,'Email Cleaner'!$I$2:$I$10001,0)),"")</f>
        <v/>
      </c>
    </row>
    <row r="3236">
      <c r="A3236">
        <f>IFERROR(INDEX('Email Cleaner'!$B$2:$B$10001,MATCH(3235,'Email Cleaner'!$I$2:$I$10001,0)),"")</f>
        <v/>
      </c>
    </row>
    <row r="3237">
      <c r="A3237">
        <f>IFERROR(INDEX('Email Cleaner'!$B$2:$B$10001,MATCH(3236,'Email Cleaner'!$I$2:$I$10001,0)),"")</f>
        <v/>
      </c>
    </row>
    <row r="3238">
      <c r="A3238">
        <f>IFERROR(INDEX('Email Cleaner'!$B$2:$B$10001,MATCH(3237,'Email Cleaner'!$I$2:$I$10001,0)),"")</f>
        <v/>
      </c>
    </row>
    <row r="3239">
      <c r="A3239">
        <f>IFERROR(INDEX('Email Cleaner'!$B$2:$B$10001,MATCH(3238,'Email Cleaner'!$I$2:$I$10001,0)),"")</f>
        <v/>
      </c>
    </row>
    <row r="3240">
      <c r="A3240">
        <f>IFERROR(INDEX('Email Cleaner'!$B$2:$B$10001,MATCH(3239,'Email Cleaner'!$I$2:$I$10001,0)),"")</f>
        <v/>
      </c>
    </row>
    <row r="3241">
      <c r="A3241">
        <f>IFERROR(INDEX('Email Cleaner'!$B$2:$B$10001,MATCH(3240,'Email Cleaner'!$I$2:$I$10001,0)),"")</f>
        <v/>
      </c>
    </row>
    <row r="3242">
      <c r="A3242">
        <f>IFERROR(INDEX('Email Cleaner'!$B$2:$B$10001,MATCH(3241,'Email Cleaner'!$I$2:$I$10001,0)),"")</f>
        <v/>
      </c>
    </row>
    <row r="3243">
      <c r="A3243">
        <f>IFERROR(INDEX('Email Cleaner'!$B$2:$B$10001,MATCH(3242,'Email Cleaner'!$I$2:$I$10001,0)),"")</f>
        <v/>
      </c>
    </row>
    <row r="3244">
      <c r="A3244">
        <f>IFERROR(INDEX('Email Cleaner'!$B$2:$B$10001,MATCH(3243,'Email Cleaner'!$I$2:$I$10001,0)),"")</f>
        <v/>
      </c>
    </row>
    <row r="3245">
      <c r="A3245">
        <f>IFERROR(INDEX('Email Cleaner'!$B$2:$B$10001,MATCH(3244,'Email Cleaner'!$I$2:$I$10001,0)),"")</f>
        <v/>
      </c>
    </row>
    <row r="3246">
      <c r="A3246">
        <f>IFERROR(INDEX('Email Cleaner'!$B$2:$B$10001,MATCH(3245,'Email Cleaner'!$I$2:$I$10001,0)),"")</f>
        <v/>
      </c>
    </row>
    <row r="3247">
      <c r="A3247">
        <f>IFERROR(INDEX('Email Cleaner'!$B$2:$B$10001,MATCH(3246,'Email Cleaner'!$I$2:$I$10001,0)),"")</f>
        <v/>
      </c>
    </row>
    <row r="3248">
      <c r="A3248">
        <f>IFERROR(INDEX('Email Cleaner'!$B$2:$B$10001,MATCH(3247,'Email Cleaner'!$I$2:$I$10001,0)),"")</f>
        <v/>
      </c>
    </row>
    <row r="3249">
      <c r="A3249">
        <f>IFERROR(INDEX('Email Cleaner'!$B$2:$B$10001,MATCH(3248,'Email Cleaner'!$I$2:$I$10001,0)),"")</f>
        <v/>
      </c>
    </row>
    <row r="3250">
      <c r="A3250">
        <f>IFERROR(INDEX('Email Cleaner'!$B$2:$B$10001,MATCH(3249,'Email Cleaner'!$I$2:$I$10001,0)),"")</f>
        <v/>
      </c>
    </row>
    <row r="3251">
      <c r="A3251">
        <f>IFERROR(INDEX('Email Cleaner'!$B$2:$B$10001,MATCH(3250,'Email Cleaner'!$I$2:$I$10001,0)),"")</f>
        <v/>
      </c>
    </row>
    <row r="3252">
      <c r="A3252">
        <f>IFERROR(INDEX('Email Cleaner'!$B$2:$B$10001,MATCH(3251,'Email Cleaner'!$I$2:$I$10001,0)),"")</f>
        <v/>
      </c>
    </row>
    <row r="3253">
      <c r="A3253">
        <f>IFERROR(INDEX('Email Cleaner'!$B$2:$B$10001,MATCH(3252,'Email Cleaner'!$I$2:$I$10001,0)),"")</f>
        <v/>
      </c>
    </row>
    <row r="3254">
      <c r="A3254">
        <f>IFERROR(INDEX('Email Cleaner'!$B$2:$B$10001,MATCH(3253,'Email Cleaner'!$I$2:$I$10001,0)),"")</f>
        <v/>
      </c>
    </row>
    <row r="3255">
      <c r="A3255">
        <f>IFERROR(INDEX('Email Cleaner'!$B$2:$B$10001,MATCH(3254,'Email Cleaner'!$I$2:$I$10001,0)),"")</f>
        <v/>
      </c>
    </row>
    <row r="3256">
      <c r="A3256">
        <f>IFERROR(INDEX('Email Cleaner'!$B$2:$B$10001,MATCH(3255,'Email Cleaner'!$I$2:$I$10001,0)),"")</f>
        <v/>
      </c>
    </row>
    <row r="3257">
      <c r="A3257">
        <f>IFERROR(INDEX('Email Cleaner'!$B$2:$B$10001,MATCH(3256,'Email Cleaner'!$I$2:$I$10001,0)),"")</f>
        <v/>
      </c>
    </row>
    <row r="3258">
      <c r="A3258">
        <f>IFERROR(INDEX('Email Cleaner'!$B$2:$B$10001,MATCH(3257,'Email Cleaner'!$I$2:$I$10001,0)),"")</f>
        <v/>
      </c>
    </row>
    <row r="3259">
      <c r="A3259">
        <f>IFERROR(INDEX('Email Cleaner'!$B$2:$B$10001,MATCH(3258,'Email Cleaner'!$I$2:$I$10001,0)),"")</f>
        <v/>
      </c>
    </row>
    <row r="3260">
      <c r="A3260">
        <f>IFERROR(INDEX('Email Cleaner'!$B$2:$B$10001,MATCH(3259,'Email Cleaner'!$I$2:$I$10001,0)),"")</f>
        <v/>
      </c>
    </row>
    <row r="3261">
      <c r="A3261">
        <f>IFERROR(INDEX('Email Cleaner'!$B$2:$B$10001,MATCH(3260,'Email Cleaner'!$I$2:$I$10001,0)),"")</f>
        <v/>
      </c>
    </row>
    <row r="3262">
      <c r="A3262">
        <f>IFERROR(INDEX('Email Cleaner'!$B$2:$B$10001,MATCH(3261,'Email Cleaner'!$I$2:$I$10001,0)),"")</f>
        <v/>
      </c>
    </row>
    <row r="3263">
      <c r="A3263">
        <f>IFERROR(INDEX('Email Cleaner'!$B$2:$B$10001,MATCH(3262,'Email Cleaner'!$I$2:$I$10001,0)),"")</f>
        <v/>
      </c>
    </row>
    <row r="3264">
      <c r="A3264">
        <f>IFERROR(INDEX('Email Cleaner'!$B$2:$B$10001,MATCH(3263,'Email Cleaner'!$I$2:$I$10001,0)),"")</f>
        <v/>
      </c>
    </row>
    <row r="3265">
      <c r="A3265">
        <f>IFERROR(INDEX('Email Cleaner'!$B$2:$B$10001,MATCH(3264,'Email Cleaner'!$I$2:$I$10001,0)),"")</f>
        <v/>
      </c>
    </row>
    <row r="3266">
      <c r="A3266">
        <f>IFERROR(INDEX('Email Cleaner'!$B$2:$B$10001,MATCH(3265,'Email Cleaner'!$I$2:$I$10001,0)),"")</f>
        <v/>
      </c>
    </row>
    <row r="3267">
      <c r="A3267">
        <f>IFERROR(INDEX('Email Cleaner'!$B$2:$B$10001,MATCH(3266,'Email Cleaner'!$I$2:$I$10001,0)),"")</f>
        <v/>
      </c>
    </row>
    <row r="3268">
      <c r="A3268">
        <f>IFERROR(INDEX('Email Cleaner'!$B$2:$B$10001,MATCH(3267,'Email Cleaner'!$I$2:$I$10001,0)),"")</f>
        <v/>
      </c>
    </row>
    <row r="3269">
      <c r="A3269">
        <f>IFERROR(INDEX('Email Cleaner'!$B$2:$B$10001,MATCH(3268,'Email Cleaner'!$I$2:$I$10001,0)),"")</f>
        <v/>
      </c>
    </row>
    <row r="3270">
      <c r="A3270">
        <f>IFERROR(INDEX('Email Cleaner'!$B$2:$B$10001,MATCH(3269,'Email Cleaner'!$I$2:$I$10001,0)),"")</f>
        <v/>
      </c>
    </row>
    <row r="3271">
      <c r="A3271">
        <f>IFERROR(INDEX('Email Cleaner'!$B$2:$B$10001,MATCH(3270,'Email Cleaner'!$I$2:$I$10001,0)),"")</f>
        <v/>
      </c>
    </row>
    <row r="3272">
      <c r="A3272">
        <f>IFERROR(INDEX('Email Cleaner'!$B$2:$B$10001,MATCH(3271,'Email Cleaner'!$I$2:$I$10001,0)),"")</f>
        <v/>
      </c>
    </row>
    <row r="3273">
      <c r="A3273">
        <f>IFERROR(INDEX('Email Cleaner'!$B$2:$B$10001,MATCH(3272,'Email Cleaner'!$I$2:$I$10001,0)),"")</f>
        <v/>
      </c>
    </row>
    <row r="3274">
      <c r="A3274">
        <f>IFERROR(INDEX('Email Cleaner'!$B$2:$B$10001,MATCH(3273,'Email Cleaner'!$I$2:$I$10001,0)),"")</f>
        <v/>
      </c>
    </row>
    <row r="3275">
      <c r="A3275">
        <f>IFERROR(INDEX('Email Cleaner'!$B$2:$B$10001,MATCH(3274,'Email Cleaner'!$I$2:$I$10001,0)),"")</f>
        <v/>
      </c>
    </row>
    <row r="3276">
      <c r="A3276">
        <f>IFERROR(INDEX('Email Cleaner'!$B$2:$B$10001,MATCH(3275,'Email Cleaner'!$I$2:$I$10001,0)),"")</f>
        <v/>
      </c>
    </row>
    <row r="3277">
      <c r="A3277">
        <f>IFERROR(INDEX('Email Cleaner'!$B$2:$B$10001,MATCH(3276,'Email Cleaner'!$I$2:$I$10001,0)),"")</f>
        <v/>
      </c>
    </row>
    <row r="3278">
      <c r="A3278">
        <f>IFERROR(INDEX('Email Cleaner'!$B$2:$B$10001,MATCH(3277,'Email Cleaner'!$I$2:$I$10001,0)),"")</f>
        <v/>
      </c>
    </row>
    <row r="3279">
      <c r="A3279">
        <f>IFERROR(INDEX('Email Cleaner'!$B$2:$B$10001,MATCH(3278,'Email Cleaner'!$I$2:$I$10001,0)),"")</f>
        <v/>
      </c>
    </row>
    <row r="3280">
      <c r="A3280">
        <f>IFERROR(INDEX('Email Cleaner'!$B$2:$B$10001,MATCH(3279,'Email Cleaner'!$I$2:$I$10001,0)),"")</f>
        <v/>
      </c>
    </row>
    <row r="3281">
      <c r="A3281">
        <f>IFERROR(INDEX('Email Cleaner'!$B$2:$B$10001,MATCH(3280,'Email Cleaner'!$I$2:$I$10001,0)),"")</f>
        <v/>
      </c>
    </row>
    <row r="3282">
      <c r="A3282">
        <f>IFERROR(INDEX('Email Cleaner'!$B$2:$B$10001,MATCH(3281,'Email Cleaner'!$I$2:$I$10001,0)),"")</f>
        <v/>
      </c>
    </row>
    <row r="3283">
      <c r="A3283">
        <f>IFERROR(INDEX('Email Cleaner'!$B$2:$B$10001,MATCH(3282,'Email Cleaner'!$I$2:$I$10001,0)),"")</f>
        <v/>
      </c>
    </row>
    <row r="3284">
      <c r="A3284">
        <f>IFERROR(INDEX('Email Cleaner'!$B$2:$B$10001,MATCH(3283,'Email Cleaner'!$I$2:$I$10001,0)),"")</f>
        <v/>
      </c>
    </row>
    <row r="3285">
      <c r="A3285">
        <f>IFERROR(INDEX('Email Cleaner'!$B$2:$B$10001,MATCH(3284,'Email Cleaner'!$I$2:$I$10001,0)),"")</f>
        <v/>
      </c>
    </row>
    <row r="3286">
      <c r="A3286">
        <f>IFERROR(INDEX('Email Cleaner'!$B$2:$B$10001,MATCH(3285,'Email Cleaner'!$I$2:$I$10001,0)),"")</f>
        <v/>
      </c>
    </row>
    <row r="3287">
      <c r="A3287">
        <f>IFERROR(INDEX('Email Cleaner'!$B$2:$B$10001,MATCH(3286,'Email Cleaner'!$I$2:$I$10001,0)),"")</f>
        <v/>
      </c>
    </row>
    <row r="3288">
      <c r="A3288">
        <f>IFERROR(INDEX('Email Cleaner'!$B$2:$B$10001,MATCH(3287,'Email Cleaner'!$I$2:$I$10001,0)),"")</f>
        <v/>
      </c>
    </row>
    <row r="3289">
      <c r="A3289">
        <f>IFERROR(INDEX('Email Cleaner'!$B$2:$B$10001,MATCH(3288,'Email Cleaner'!$I$2:$I$10001,0)),"")</f>
        <v/>
      </c>
    </row>
    <row r="3290">
      <c r="A3290">
        <f>IFERROR(INDEX('Email Cleaner'!$B$2:$B$10001,MATCH(3289,'Email Cleaner'!$I$2:$I$10001,0)),"")</f>
        <v/>
      </c>
    </row>
    <row r="3291">
      <c r="A3291">
        <f>IFERROR(INDEX('Email Cleaner'!$B$2:$B$10001,MATCH(3290,'Email Cleaner'!$I$2:$I$10001,0)),"")</f>
        <v/>
      </c>
    </row>
    <row r="3292">
      <c r="A3292">
        <f>IFERROR(INDEX('Email Cleaner'!$B$2:$B$10001,MATCH(3291,'Email Cleaner'!$I$2:$I$10001,0)),"")</f>
        <v/>
      </c>
    </row>
    <row r="3293">
      <c r="A3293">
        <f>IFERROR(INDEX('Email Cleaner'!$B$2:$B$10001,MATCH(3292,'Email Cleaner'!$I$2:$I$10001,0)),"")</f>
        <v/>
      </c>
    </row>
    <row r="3294">
      <c r="A3294">
        <f>IFERROR(INDEX('Email Cleaner'!$B$2:$B$10001,MATCH(3293,'Email Cleaner'!$I$2:$I$10001,0)),"")</f>
        <v/>
      </c>
    </row>
    <row r="3295">
      <c r="A3295">
        <f>IFERROR(INDEX('Email Cleaner'!$B$2:$B$10001,MATCH(3294,'Email Cleaner'!$I$2:$I$10001,0)),"")</f>
        <v/>
      </c>
    </row>
    <row r="3296">
      <c r="A3296">
        <f>IFERROR(INDEX('Email Cleaner'!$B$2:$B$10001,MATCH(3295,'Email Cleaner'!$I$2:$I$10001,0)),"")</f>
        <v/>
      </c>
    </row>
    <row r="3297">
      <c r="A3297">
        <f>IFERROR(INDEX('Email Cleaner'!$B$2:$B$10001,MATCH(3296,'Email Cleaner'!$I$2:$I$10001,0)),"")</f>
        <v/>
      </c>
    </row>
    <row r="3298">
      <c r="A3298">
        <f>IFERROR(INDEX('Email Cleaner'!$B$2:$B$10001,MATCH(3297,'Email Cleaner'!$I$2:$I$10001,0)),"")</f>
        <v/>
      </c>
    </row>
    <row r="3299">
      <c r="A3299">
        <f>IFERROR(INDEX('Email Cleaner'!$B$2:$B$10001,MATCH(3298,'Email Cleaner'!$I$2:$I$10001,0)),"")</f>
        <v/>
      </c>
    </row>
    <row r="3300">
      <c r="A3300">
        <f>IFERROR(INDEX('Email Cleaner'!$B$2:$B$10001,MATCH(3299,'Email Cleaner'!$I$2:$I$10001,0)),"")</f>
        <v/>
      </c>
    </row>
    <row r="3301">
      <c r="A3301">
        <f>IFERROR(INDEX('Email Cleaner'!$B$2:$B$10001,MATCH(3300,'Email Cleaner'!$I$2:$I$10001,0)),"")</f>
        <v/>
      </c>
    </row>
    <row r="3302">
      <c r="A3302">
        <f>IFERROR(INDEX('Email Cleaner'!$B$2:$B$10001,MATCH(3301,'Email Cleaner'!$I$2:$I$10001,0)),"")</f>
        <v/>
      </c>
    </row>
    <row r="3303">
      <c r="A3303">
        <f>IFERROR(INDEX('Email Cleaner'!$B$2:$B$10001,MATCH(3302,'Email Cleaner'!$I$2:$I$10001,0)),"")</f>
        <v/>
      </c>
    </row>
    <row r="3304">
      <c r="A3304">
        <f>IFERROR(INDEX('Email Cleaner'!$B$2:$B$10001,MATCH(3303,'Email Cleaner'!$I$2:$I$10001,0)),"")</f>
        <v/>
      </c>
    </row>
    <row r="3305">
      <c r="A3305">
        <f>IFERROR(INDEX('Email Cleaner'!$B$2:$B$10001,MATCH(3304,'Email Cleaner'!$I$2:$I$10001,0)),"")</f>
        <v/>
      </c>
    </row>
    <row r="3306">
      <c r="A3306">
        <f>IFERROR(INDEX('Email Cleaner'!$B$2:$B$10001,MATCH(3305,'Email Cleaner'!$I$2:$I$10001,0)),"")</f>
        <v/>
      </c>
    </row>
    <row r="3307">
      <c r="A3307">
        <f>IFERROR(INDEX('Email Cleaner'!$B$2:$B$10001,MATCH(3306,'Email Cleaner'!$I$2:$I$10001,0)),"")</f>
        <v/>
      </c>
    </row>
    <row r="3308">
      <c r="A3308">
        <f>IFERROR(INDEX('Email Cleaner'!$B$2:$B$10001,MATCH(3307,'Email Cleaner'!$I$2:$I$10001,0)),"")</f>
        <v/>
      </c>
    </row>
    <row r="3309">
      <c r="A3309">
        <f>IFERROR(INDEX('Email Cleaner'!$B$2:$B$10001,MATCH(3308,'Email Cleaner'!$I$2:$I$10001,0)),"")</f>
        <v/>
      </c>
    </row>
    <row r="3310">
      <c r="A3310">
        <f>IFERROR(INDEX('Email Cleaner'!$B$2:$B$10001,MATCH(3309,'Email Cleaner'!$I$2:$I$10001,0)),"")</f>
        <v/>
      </c>
    </row>
    <row r="3311">
      <c r="A3311">
        <f>IFERROR(INDEX('Email Cleaner'!$B$2:$B$10001,MATCH(3310,'Email Cleaner'!$I$2:$I$10001,0)),"")</f>
        <v/>
      </c>
    </row>
    <row r="3312">
      <c r="A3312">
        <f>IFERROR(INDEX('Email Cleaner'!$B$2:$B$10001,MATCH(3311,'Email Cleaner'!$I$2:$I$10001,0)),"")</f>
        <v/>
      </c>
    </row>
    <row r="3313">
      <c r="A3313">
        <f>IFERROR(INDEX('Email Cleaner'!$B$2:$B$10001,MATCH(3312,'Email Cleaner'!$I$2:$I$10001,0)),"")</f>
        <v/>
      </c>
    </row>
    <row r="3314">
      <c r="A3314">
        <f>IFERROR(INDEX('Email Cleaner'!$B$2:$B$10001,MATCH(3313,'Email Cleaner'!$I$2:$I$10001,0)),"")</f>
        <v/>
      </c>
    </row>
    <row r="3315">
      <c r="A3315">
        <f>IFERROR(INDEX('Email Cleaner'!$B$2:$B$10001,MATCH(3314,'Email Cleaner'!$I$2:$I$10001,0)),"")</f>
        <v/>
      </c>
    </row>
    <row r="3316">
      <c r="A3316">
        <f>IFERROR(INDEX('Email Cleaner'!$B$2:$B$10001,MATCH(3315,'Email Cleaner'!$I$2:$I$10001,0)),"")</f>
        <v/>
      </c>
    </row>
    <row r="3317">
      <c r="A3317">
        <f>IFERROR(INDEX('Email Cleaner'!$B$2:$B$10001,MATCH(3316,'Email Cleaner'!$I$2:$I$10001,0)),"")</f>
        <v/>
      </c>
    </row>
    <row r="3318">
      <c r="A3318">
        <f>IFERROR(INDEX('Email Cleaner'!$B$2:$B$10001,MATCH(3317,'Email Cleaner'!$I$2:$I$10001,0)),"")</f>
        <v/>
      </c>
    </row>
    <row r="3319">
      <c r="A3319">
        <f>IFERROR(INDEX('Email Cleaner'!$B$2:$B$10001,MATCH(3318,'Email Cleaner'!$I$2:$I$10001,0)),"")</f>
        <v/>
      </c>
    </row>
    <row r="3320">
      <c r="A3320">
        <f>IFERROR(INDEX('Email Cleaner'!$B$2:$B$10001,MATCH(3319,'Email Cleaner'!$I$2:$I$10001,0)),"")</f>
        <v/>
      </c>
    </row>
    <row r="3321">
      <c r="A3321">
        <f>IFERROR(INDEX('Email Cleaner'!$B$2:$B$10001,MATCH(3320,'Email Cleaner'!$I$2:$I$10001,0)),"")</f>
        <v/>
      </c>
    </row>
    <row r="3322">
      <c r="A3322">
        <f>IFERROR(INDEX('Email Cleaner'!$B$2:$B$10001,MATCH(3321,'Email Cleaner'!$I$2:$I$10001,0)),"")</f>
        <v/>
      </c>
    </row>
    <row r="3323">
      <c r="A3323">
        <f>IFERROR(INDEX('Email Cleaner'!$B$2:$B$10001,MATCH(3322,'Email Cleaner'!$I$2:$I$10001,0)),"")</f>
        <v/>
      </c>
    </row>
    <row r="3324">
      <c r="A3324">
        <f>IFERROR(INDEX('Email Cleaner'!$B$2:$B$10001,MATCH(3323,'Email Cleaner'!$I$2:$I$10001,0)),"")</f>
        <v/>
      </c>
    </row>
    <row r="3325">
      <c r="A3325">
        <f>IFERROR(INDEX('Email Cleaner'!$B$2:$B$10001,MATCH(3324,'Email Cleaner'!$I$2:$I$10001,0)),"")</f>
        <v/>
      </c>
    </row>
    <row r="3326">
      <c r="A3326">
        <f>IFERROR(INDEX('Email Cleaner'!$B$2:$B$10001,MATCH(3325,'Email Cleaner'!$I$2:$I$10001,0)),"")</f>
        <v/>
      </c>
    </row>
    <row r="3327">
      <c r="A3327">
        <f>IFERROR(INDEX('Email Cleaner'!$B$2:$B$10001,MATCH(3326,'Email Cleaner'!$I$2:$I$10001,0)),"")</f>
        <v/>
      </c>
    </row>
    <row r="3328">
      <c r="A3328">
        <f>IFERROR(INDEX('Email Cleaner'!$B$2:$B$10001,MATCH(3327,'Email Cleaner'!$I$2:$I$10001,0)),"")</f>
        <v/>
      </c>
    </row>
    <row r="3329">
      <c r="A3329">
        <f>IFERROR(INDEX('Email Cleaner'!$B$2:$B$10001,MATCH(3328,'Email Cleaner'!$I$2:$I$10001,0)),"")</f>
        <v/>
      </c>
    </row>
    <row r="3330">
      <c r="A3330">
        <f>IFERROR(INDEX('Email Cleaner'!$B$2:$B$10001,MATCH(3329,'Email Cleaner'!$I$2:$I$10001,0)),"")</f>
        <v/>
      </c>
    </row>
    <row r="3331">
      <c r="A3331">
        <f>IFERROR(INDEX('Email Cleaner'!$B$2:$B$10001,MATCH(3330,'Email Cleaner'!$I$2:$I$10001,0)),"")</f>
        <v/>
      </c>
    </row>
    <row r="3332">
      <c r="A3332">
        <f>IFERROR(INDEX('Email Cleaner'!$B$2:$B$10001,MATCH(3331,'Email Cleaner'!$I$2:$I$10001,0)),"")</f>
        <v/>
      </c>
    </row>
    <row r="3333">
      <c r="A3333">
        <f>IFERROR(INDEX('Email Cleaner'!$B$2:$B$10001,MATCH(3332,'Email Cleaner'!$I$2:$I$10001,0)),"")</f>
        <v/>
      </c>
    </row>
    <row r="3334">
      <c r="A3334">
        <f>IFERROR(INDEX('Email Cleaner'!$B$2:$B$10001,MATCH(3333,'Email Cleaner'!$I$2:$I$10001,0)),"")</f>
        <v/>
      </c>
    </row>
    <row r="3335">
      <c r="A3335">
        <f>IFERROR(INDEX('Email Cleaner'!$B$2:$B$10001,MATCH(3334,'Email Cleaner'!$I$2:$I$10001,0)),"")</f>
        <v/>
      </c>
    </row>
    <row r="3336">
      <c r="A3336">
        <f>IFERROR(INDEX('Email Cleaner'!$B$2:$B$10001,MATCH(3335,'Email Cleaner'!$I$2:$I$10001,0)),"")</f>
        <v/>
      </c>
    </row>
    <row r="3337">
      <c r="A3337">
        <f>IFERROR(INDEX('Email Cleaner'!$B$2:$B$10001,MATCH(3336,'Email Cleaner'!$I$2:$I$10001,0)),"")</f>
        <v/>
      </c>
    </row>
    <row r="3338">
      <c r="A3338">
        <f>IFERROR(INDEX('Email Cleaner'!$B$2:$B$10001,MATCH(3337,'Email Cleaner'!$I$2:$I$10001,0)),"")</f>
        <v/>
      </c>
    </row>
    <row r="3339">
      <c r="A3339">
        <f>IFERROR(INDEX('Email Cleaner'!$B$2:$B$10001,MATCH(3338,'Email Cleaner'!$I$2:$I$10001,0)),"")</f>
        <v/>
      </c>
    </row>
    <row r="3340">
      <c r="A3340">
        <f>IFERROR(INDEX('Email Cleaner'!$B$2:$B$10001,MATCH(3339,'Email Cleaner'!$I$2:$I$10001,0)),"")</f>
        <v/>
      </c>
    </row>
    <row r="3341">
      <c r="A3341">
        <f>IFERROR(INDEX('Email Cleaner'!$B$2:$B$10001,MATCH(3340,'Email Cleaner'!$I$2:$I$10001,0)),"")</f>
        <v/>
      </c>
    </row>
    <row r="3342">
      <c r="A3342">
        <f>IFERROR(INDEX('Email Cleaner'!$B$2:$B$10001,MATCH(3341,'Email Cleaner'!$I$2:$I$10001,0)),"")</f>
        <v/>
      </c>
    </row>
    <row r="3343">
      <c r="A3343">
        <f>IFERROR(INDEX('Email Cleaner'!$B$2:$B$10001,MATCH(3342,'Email Cleaner'!$I$2:$I$10001,0)),"")</f>
        <v/>
      </c>
    </row>
    <row r="3344">
      <c r="A3344">
        <f>IFERROR(INDEX('Email Cleaner'!$B$2:$B$10001,MATCH(3343,'Email Cleaner'!$I$2:$I$10001,0)),"")</f>
        <v/>
      </c>
    </row>
    <row r="3345">
      <c r="A3345">
        <f>IFERROR(INDEX('Email Cleaner'!$B$2:$B$10001,MATCH(3344,'Email Cleaner'!$I$2:$I$10001,0)),"")</f>
        <v/>
      </c>
    </row>
    <row r="3346">
      <c r="A3346">
        <f>IFERROR(INDEX('Email Cleaner'!$B$2:$B$10001,MATCH(3345,'Email Cleaner'!$I$2:$I$10001,0)),"")</f>
        <v/>
      </c>
    </row>
    <row r="3347">
      <c r="A3347">
        <f>IFERROR(INDEX('Email Cleaner'!$B$2:$B$10001,MATCH(3346,'Email Cleaner'!$I$2:$I$10001,0)),"")</f>
        <v/>
      </c>
    </row>
    <row r="3348">
      <c r="A3348">
        <f>IFERROR(INDEX('Email Cleaner'!$B$2:$B$10001,MATCH(3347,'Email Cleaner'!$I$2:$I$10001,0)),"")</f>
        <v/>
      </c>
    </row>
    <row r="3349">
      <c r="A3349">
        <f>IFERROR(INDEX('Email Cleaner'!$B$2:$B$10001,MATCH(3348,'Email Cleaner'!$I$2:$I$10001,0)),"")</f>
        <v/>
      </c>
    </row>
    <row r="3350">
      <c r="A3350">
        <f>IFERROR(INDEX('Email Cleaner'!$B$2:$B$10001,MATCH(3349,'Email Cleaner'!$I$2:$I$10001,0)),"")</f>
        <v/>
      </c>
    </row>
    <row r="3351">
      <c r="A3351">
        <f>IFERROR(INDEX('Email Cleaner'!$B$2:$B$10001,MATCH(3350,'Email Cleaner'!$I$2:$I$10001,0)),"")</f>
        <v/>
      </c>
    </row>
    <row r="3352">
      <c r="A3352">
        <f>IFERROR(INDEX('Email Cleaner'!$B$2:$B$10001,MATCH(3351,'Email Cleaner'!$I$2:$I$10001,0)),"")</f>
        <v/>
      </c>
    </row>
    <row r="3353">
      <c r="A3353">
        <f>IFERROR(INDEX('Email Cleaner'!$B$2:$B$10001,MATCH(3352,'Email Cleaner'!$I$2:$I$10001,0)),"")</f>
        <v/>
      </c>
    </row>
    <row r="3354">
      <c r="A3354">
        <f>IFERROR(INDEX('Email Cleaner'!$B$2:$B$10001,MATCH(3353,'Email Cleaner'!$I$2:$I$10001,0)),"")</f>
        <v/>
      </c>
    </row>
    <row r="3355">
      <c r="A3355">
        <f>IFERROR(INDEX('Email Cleaner'!$B$2:$B$10001,MATCH(3354,'Email Cleaner'!$I$2:$I$10001,0)),"")</f>
        <v/>
      </c>
    </row>
    <row r="3356">
      <c r="A3356">
        <f>IFERROR(INDEX('Email Cleaner'!$B$2:$B$10001,MATCH(3355,'Email Cleaner'!$I$2:$I$10001,0)),"")</f>
        <v/>
      </c>
    </row>
    <row r="3357">
      <c r="A3357">
        <f>IFERROR(INDEX('Email Cleaner'!$B$2:$B$10001,MATCH(3356,'Email Cleaner'!$I$2:$I$10001,0)),"")</f>
        <v/>
      </c>
    </row>
    <row r="3358">
      <c r="A3358">
        <f>IFERROR(INDEX('Email Cleaner'!$B$2:$B$10001,MATCH(3357,'Email Cleaner'!$I$2:$I$10001,0)),"")</f>
        <v/>
      </c>
    </row>
    <row r="3359">
      <c r="A3359">
        <f>IFERROR(INDEX('Email Cleaner'!$B$2:$B$10001,MATCH(3358,'Email Cleaner'!$I$2:$I$10001,0)),"")</f>
        <v/>
      </c>
    </row>
    <row r="3360">
      <c r="A3360">
        <f>IFERROR(INDEX('Email Cleaner'!$B$2:$B$10001,MATCH(3359,'Email Cleaner'!$I$2:$I$10001,0)),"")</f>
        <v/>
      </c>
    </row>
    <row r="3361">
      <c r="A3361">
        <f>IFERROR(INDEX('Email Cleaner'!$B$2:$B$10001,MATCH(3360,'Email Cleaner'!$I$2:$I$10001,0)),"")</f>
        <v/>
      </c>
    </row>
    <row r="3362">
      <c r="A3362">
        <f>IFERROR(INDEX('Email Cleaner'!$B$2:$B$10001,MATCH(3361,'Email Cleaner'!$I$2:$I$10001,0)),"")</f>
        <v/>
      </c>
    </row>
    <row r="3363">
      <c r="A3363">
        <f>IFERROR(INDEX('Email Cleaner'!$B$2:$B$10001,MATCH(3362,'Email Cleaner'!$I$2:$I$10001,0)),"")</f>
        <v/>
      </c>
    </row>
    <row r="3364">
      <c r="A3364">
        <f>IFERROR(INDEX('Email Cleaner'!$B$2:$B$10001,MATCH(3363,'Email Cleaner'!$I$2:$I$10001,0)),"")</f>
        <v/>
      </c>
    </row>
    <row r="3365">
      <c r="A3365">
        <f>IFERROR(INDEX('Email Cleaner'!$B$2:$B$10001,MATCH(3364,'Email Cleaner'!$I$2:$I$10001,0)),"")</f>
        <v/>
      </c>
    </row>
    <row r="3366">
      <c r="A3366">
        <f>IFERROR(INDEX('Email Cleaner'!$B$2:$B$10001,MATCH(3365,'Email Cleaner'!$I$2:$I$10001,0)),"")</f>
        <v/>
      </c>
    </row>
    <row r="3367">
      <c r="A3367">
        <f>IFERROR(INDEX('Email Cleaner'!$B$2:$B$10001,MATCH(3366,'Email Cleaner'!$I$2:$I$10001,0)),"")</f>
        <v/>
      </c>
    </row>
    <row r="3368">
      <c r="A3368">
        <f>IFERROR(INDEX('Email Cleaner'!$B$2:$B$10001,MATCH(3367,'Email Cleaner'!$I$2:$I$10001,0)),"")</f>
        <v/>
      </c>
    </row>
    <row r="3369">
      <c r="A3369">
        <f>IFERROR(INDEX('Email Cleaner'!$B$2:$B$10001,MATCH(3368,'Email Cleaner'!$I$2:$I$10001,0)),"")</f>
        <v/>
      </c>
    </row>
    <row r="3370">
      <c r="A3370">
        <f>IFERROR(INDEX('Email Cleaner'!$B$2:$B$10001,MATCH(3369,'Email Cleaner'!$I$2:$I$10001,0)),"")</f>
        <v/>
      </c>
    </row>
    <row r="3371">
      <c r="A3371">
        <f>IFERROR(INDEX('Email Cleaner'!$B$2:$B$10001,MATCH(3370,'Email Cleaner'!$I$2:$I$10001,0)),"")</f>
        <v/>
      </c>
    </row>
    <row r="3372">
      <c r="A3372">
        <f>IFERROR(INDEX('Email Cleaner'!$B$2:$B$10001,MATCH(3371,'Email Cleaner'!$I$2:$I$10001,0)),"")</f>
        <v/>
      </c>
    </row>
    <row r="3373">
      <c r="A3373">
        <f>IFERROR(INDEX('Email Cleaner'!$B$2:$B$10001,MATCH(3372,'Email Cleaner'!$I$2:$I$10001,0)),"")</f>
        <v/>
      </c>
    </row>
    <row r="3374">
      <c r="A3374">
        <f>IFERROR(INDEX('Email Cleaner'!$B$2:$B$10001,MATCH(3373,'Email Cleaner'!$I$2:$I$10001,0)),"")</f>
        <v/>
      </c>
    </row>
    <row r="3375">
      <c r="A3375">
        <f>IFERROR(INDEX('Email Cleaner'!$B$2:$B$10001,MATCH(3374,'Email Cleaner'!$I$2:$I$10001,0)),"")</f>
        <v/>
      </c>
    </row>
    <row r="3376">
      <c r="A3376">
        <f>IFERROR(INDEX('Email Cleaner'!$B$2:$B$10001,MATCH(3375,'Email Cleaner'!$I$2:$I$10001,0)),"")</f>
        <v/>
      </c>
    </row>
    <row r="3377">
      <c r="A3377">
        <f>IFERROR(INDEX('Email Cleaner'!$B$2:$B$10001,MATCH(3376,'Email Cleaner'!$I$2:$I$10001,0)),"")</f>
        <v/>
      </c>
    </row>
    <row r="3378">
      <c r="A3378">
        <f>IFERROR(INDEX('Email Cleaner'!$B$2:$B$10001,MATCH(3377,'Email Cleaner'!$I$2:$I$10001,0)),"")</f>
        <v/>
      </c>
    </row>
    <row r="3379">
      <c r="A3379">
        <f>IFERROR(INDEX('Email Cleaner'!$B$2:$B$10001,MATCH(3378,'Email Cleaner'!$I$2:$I$10001,0)),"")</f>
        <v/>
      </c>
    </row>
    <row r="3380">
      <c r="A3380">
        <f>IFERROR(INDEX('Email Cleaner'!$B$2:$B$10001,MATCH(3379,'Email Cleaner'!$I$2:$I$10001,0)),"")</f>
        <v/>
      </c>
    </row>
    <row r="3381">
      <c r="A3381">
        <f>IFERROR(INDEX('Email Cleaner'!$B$2:$B$10001,MATCH(3380,'Email Cleaner'!$I$2:$I$10001,0)),"")</f>
        <v/>
      </c>
    </row>
    <row r="3382">
      <c r="A3382">
        <f>IFERROR(INDEX('Email Cleaner'!$B$2:$B$10001,MATCH(3381,'Email Cleaner'!$I$2:$I$10001,0)),"")</f>
        <v/>
      </c>
    </row>
    <row r="3383">
      <c r="A3383">
        <f>IFERROR(INDEX('Email Cleaner'!$B$2:$B$10001,MATCH(3382,'Email Cleaner'!$I$2:$I$10001,0)),"")</f>
        <v/>
      </c>
    </row>
    <row r="3384">
      <c r="A3384">
        <f>IFERROR(INDEX('Email Cleaner'!$B$2:$B$10001,MATCH(3383,'Email Cleaner'!$I$2:$I$10001,0)),"")</f>
        <v/>
      </c>
    </row>
    <row r="3385">
      <c r="A3385">
        <f>IFERROR(INDEX('Email Cleaner'!$B$2:$B$10001,MATCH(3384,'Email Cleaner'!$I$2:$I$10001,0)),"")</f>
        <v/>
      </c>
    </row>
    <row r="3386">
      <c r="A3386">
        <f>IFERROR(INDEX('Email Cleaner'!$B$2:$B$10001,MATCH(3385,'Email Cleaner'!$I$2:$I$10001,0)),"")</f>
        <v/>
      </c>
    </row>
    <row r="3387">
      <c r="A3387">
        <f>IFERROR(INDEX('Email Cleaner'!$B$2:$B$10001,MATCH(3386,'Email Cleaner'!$I$2:$I$10001,0)),"")</f>
        <v/>
      </c>
    </row>
    <row r="3388">
      <c r="A3388">
        <f>IFERROR(INDEX('Email Cleaner'!$B$2:$B$10001,MATCH(3387,'Email Cleaner'!$I$2:$I$10001,0)),"")</f>
        <v/>
      </c>
    </row>
    <row r="3389">
      <c r="A3389">
        <f>IFERROR(INDEX('Email Cleaner'!$B$2:$B$10001,MATCH(3388,'Email Cleaner'!$I$2:$I$10001,0)),"")</f>
        <v/>
      </c>
    </row>
    <row r="3390">
      <c r="A3390">
        <f>IFERROR(INDEX('Email Cleaner'!$B$2:$B$10001,MATCH(3389,'Email Cleaner'!$I$2:$I$10001,0)),"")</f>
        <v/>
      </c>
    </row>
    <row r="3391">
      <c r="A3391">
        <f>IFERROR(INDEX('Email Cleaner'!$B$2:$B$10001,MATCH(3390,'Email Cleaner'!$I$2:$I$10001,0)),"")</f>
        <v/>
      </c>
    </row>
    <row r="3392">
      <c r="A3392">
        <f>IFERROR(INDEX('Email Cleaner'!$B$2:$B$10001,MATCH(3391,'Email Cleaner'!$I$2:$I$10001,0)),"")</f>
        <v/>
      </c>
    </row>
    <row r="3393">
      <c r="A3393">
        <f>IFERROR(INDEX('Email Cleaner'!$B$2:$B$10001,MATCH(3392,'Email Cleaner'!$I$2:$I$10001,0)),"")</f>
        <v/>
      </c>
    </row>
    <row r="3394">
      <c r="A3394">
        <f>IFERROR(INDEX('Email Cleaner'!$B$2:$B$10001,MATCH(3393,'Email Cleaner'!$I$2:$I$10001,0)),"")</f>
        <v/>
      </c>
    </row>
    <row r="3395">
      <c r="A3395">
        <f>IFERROR(INDEX('Email Cleaner'!$B$2:$B$10001,MATCH(3394,'Email Cleaner'!$I$2:$I$10001,0)),"")</f>
        <v/>
      </c>
    </row>
    <row r="3396">
      <c r="A3396">
        <f>IFERROR(INDEX('Email Cleaner'!$B$2:$B$10001,MATCH(3395,'Email Cleaner'!$I$2:$I$10001,0)),"")</f>
        <v/>
      </c>
    </row>
    <row r="3397">
      <c r="A3397">
        <f>IFERROR(INDEX('Email Cleaner'!$B$2:$B$10001,MATCH(3396,'Email Cleaner'!$I$2:$I$10001,0)),"")</f>
        <v/>
      </c>
    </row>
    <row r="3398">
      <c r="A3398">
        <f>IFERROR(INDEX('Email Cleaner'!$B$2:$B$10001,MATCH(3397,'Email Cleaner'!$I$2:$I$10001,0)),"")</f>
        <v/>
      </c>
    </row>
    <row r="3399">
      <c r="A3399">
        <f>IFERROR(INDEX('Email Cleaner'!$B$2:$B$10001,MATCH(3398,'Email Cleaner'!$I$2:$I$10001,0)),"")</f>
        <v/>
      </c>
    </row>
    <row r="3400">
      <c r="A3400">
        <f>IFERROR(INDEX('Email Cleaner'!$B$2:$B$10001,MATCH(3399,'Email Cleaner'!$I$2:$I$10001,0)),"")</f>
        <v/>
      </c>
    </row>
    <row r="3401">
      <c r="A3401">
        <f>IFERROR(INDEX('Email Cleaner'!$B$2:$B$10001,MATCH(3400,'Email Cleaner'!$I$2:$I$10001,0)),"")</f>
        <v/>
      </c>
    </row>
    <row r="3402">
      <c r="A3402">
        <f>IFERROR(INDEX('Email Cleaner'!$B$2:$B$10001,MATCH(3401,'Email Cleaner'!$I$2:$I$10001,0)),"")</f>
        <v/>
      </c>
    </row>
    <row r="3403">
      <c r="A3403">
        <f>IFERROR(INDEX('Email Cleaner'!$B$2:$B$10001,MATCH(3402,'Email Cleaner'!$I$2:$I$10001,0)),"")</f>
        <v/>
      </c>
    </row>
    <row r="3404">
      <c r="A3404">
        <f>IFERROR(INDEX('Email Cleaner'!$B$2:$B$10001,MATCH(3403,'Email Cleaner'!$I$2:$I$10001,0)),"")</f>
        <v/>
      </c>
    </row>
    <row r="3405">
      <c r="A3405">
        <f>IFERROR(INDEX('Email Cleaner'!$B$2:$B$10001,MATCH(3404,'Email Cleaner'!$I$2:$I$10001,0)),"")</f>
        <v/>
      </c>
    </row>
    <row r="3406">
      <c r="A3406">
        <f>IFERROR(INDEX('Email Cleaner'!$B$2:$B$10001,MATCH(3405,'Email Cleaner'!$I$2:$I$10001,0)),"")</f>
        <v/>
      </c>
    </row>
    <row r="3407">
      <c r="A3407">
        <f>IFERROR(INDEX('Email Cleaner'!$B$2:$B$10001,MATCH(3406,'Email Cleaner'!$I$2:$I$10001,0)),"")</f>
        <v/>
      </c>
    </row>
    <row r="3408">
      <c r="A3408">
        <f>IFERROR(INDEX('Email Cleaner'!$B$2:$B$10001,MATCH(3407,'Email Cleaner'!$I$2:$I$10001,0)),"")</f>
        <v/>
      </c>
    </row>
    <row r="3409">
      <c r="A3409">
        <f>IFERROR(INDEX('Email Cleaner'!$B$2:$B$10001,MATCH(3408,'Email Cleaner'!$I$2:$I$10001,0)),"")</f>
        <v/>
      </c>
    </row>
    <row r="3410">
      <c r="A3410">
        <f>IFERROR(INDEX('Email Cleaner'!$B$2:$B$10001,MATCH(3409,'Email Cleaner'!$I$2:$I$10001,0)),"")</f>
        <v/>
      </c>
    </row>
    <row r="3411">
      <c r="A3411">
        <f>IFERROR(INDEX('Email Cleaner'!$B$2:$B$10001,MATCH(3410,'Email Cleaner'!$I$2:$I$10001,0)),"")</f>
        <v/>
      </c>
    </row>
    <row r="3412">
      <c r="A3412">
        <f>IFERROR(INDEX('Email Cleaner'!$B$2:$B$10001,MATCH(3411,'Email Cleaner'!$I$2:$I$10001,0)),"")</f>
        <v/>
      </c>
    </row>
    <row r="3413">
      <c r="A3413">
        <f>IFERROR(INDEX('Email Cleaner'!$B$2:$B$10001,MATCH(3412,'Email Cleaner'!$I$2:$I$10001,0)),"")</f>
        <v/>
      </c>
    </row>
    <row r="3414">
      <c r="A3414">
        <f>IFERROR(INDEX('Email Cleaner'!$B$2:$B$10001,MATCH(3413,'Email Cleaner'!$I$2:$I$10001,0)),"")</f>
        <v/>
      </c>
    </row>
    <row r="3415">
      <c r="A3415">
        <f>IFERROR(INDEX('Email Cleaner'!$B$2:$B$10001,MATCH(3414,'Email Cleaner'!$I$2:$I$10001,0)),"")</f>
        <v/>
      </c>
    </row>
    <row r="3416">
      <c r="A3416">
        <f>IFERROR(INDEX('Email Cleaner'!$B$2:$B$10001,MATCH(3415,'Email Cleaner'!$I$2:$I$10001,0)),"")</f>
        <v/>
      </c>
    </row>
    <row r="3417">
      <c r="A3417">
        <f>IFERROR(INDEX('Email Cleaner'!$B$2:$B$10001,MATCH(3416,'Email Cleaner'!$I$2:$I$10001,0)),"")</f>
        <v/>
      </c>
    </row>
    <row r="3418">
      <c r="A3418">
        <f>IFERROR(INDEX('Email Cleaner'!$B$2:$B$10001,MATCH(3417,'Email Cleaner'!$I$2:$I$10001,0)),"")</f>
        <v/>
      </c>
    </row>
    <row r="3419">
      <c r="A3419">
        <f>IFERROR(INDEX('Email Cleaner'!$B$2:$B$10001,MATCH(3418,'Email Cleaner'!$I$2:$I$10001,0)),"")</f>
        <v/>
      </c>
    </row>
    <row r="3420">
      <c r="A3420">
        <f>IFERROR(INDEX('Email Cleaner'!$B$2:$B$10001,MATCH(3419,'Email Cleaner'!$I$2:$I$10001,0)),"")</f>
        <v/>
      </c>
    </row>
    <row r="3421">
      <c r="A3421">
        <f>IFERROR(INDEX('Email Cleaner'!$B$2:$B$10001,MATCH(3420,'Email Cleaner'!$I$2:$I$10001,0)),"")</f>
        <v/>
      </c>
    </row>
    <row r="3422">
      <c r="A3422">
        <f>IFERROR(INDEX('Email Cleaner'!$B$2:$B$10001,MATCH(3421,'Email Cleaner'!$I$2:$I$10001,0)),"")</f>
        <v/>
      </c>
    </row>
    <row r="3423">
      <c r="A3423">
        <f>IFERROR(INDEX('Email Cleaner'!$B$2:$B$10001,MATCH(3422,'Email Cleaner'!$I$2:$I$10001,0)),"")</f>
        <v/>
      </c>
    </row>
    <row r="3424">
      <c r="A3424">
        <f>IFERROR(INDEX('Email Cleaner'!$B$2:$B$10001,MATCH(3423,'Email Cleaner'!$I$2:$I$10001,0)),"")</f>
        <v/>
      </c>
    </row>
    <row r="3425">
      <c r="A3425">
        <f>IFERROR(INDEX('Email Cleaner'!$B$2:$B$10001,MATCH(3424,'Email Cleaner'!$I$2:$I$10001,0)),"")</f>
        <v/>
      </c>
    </row>
    <row r="3426">
      <c r="A3426">
        <f>IFERROR(INDEX('Email Cleaner'!$B$2:$B$10001,MATCH(3425,'Email Cleaner'!$I$2:$I$10001,0)),"")</f>
        <v/>
      </c>
    </row>
    <row r="3427">
      <c r="A3427">
        <f>IFERROR(INDEX('Email Cleaner'!$B$2:$B$10001,MATCH(3426,'Email Cleaner'!$I$2:$I$10001,0)),"")</f>
        <v/>
      </c>
    </row>
    <row r="3428">
      <c r="A3428">
        <f>IFERROR(INDEX('Email Cleaner'!$B$2:$B$10001,MATCH(3427,'Email Cleaner'!$I$2:$I$10001,0)),"")</f>
        <v/>
      </c>
    </row>
    <row r="3429">
      <c r="A3429">
        <f>IFERROR(INDEX('Email Cleaner'!$B$2:$B$10001,MATCH(3428,'Email Cleaner'!$I$2:$I$10001,0)),"")</f>
        <v/>
      </c>
    </row>
    <row r="3430">
      <c r="A3430">
        <f>IFERROR(INDEX('Email Cleaner'!$B$2:$B$10001,MATCH(3429,'Email Cleaner'!$I$2:$I$10001,0)),"")</f>
        <v/>
      </c>
    </row>
    <row r="3431">
      <c r="A3431">
        <f>IFERROR(INDEX('Email Cleaner'!$B$2:$B$10001,MATCH(3430,'Email Cleaner'!$I$2:$I$10001,0)),"")</f>
        <v/>
      </c>
    </row>
    <row r="3432">
      <c r="A3432">
        <f>IFERROR(INDEX('Email Cleaner'!$B$2:$B$10001,MATCH(3431,'Email Cleaner'!$I$2:$I$10001,0)),"")</f>
        <v/>
      </c>
    </row>
    <row r="3433">
      <c r="A3433">
        <f>IFERROR(INDEX('Email Cleaner'!$B$2:$B$10001,MATCH(3432,'Email Cleaner'!$I$2:$I$10001,0)),"")</f>
        <v/>
      </c>
    </row>
    <row r="3434">
      <c r="A3434">
        <f>IFERROR(INDEX('Email Cleaner'!$B$2:$B$10001,MATCH(3433,'Email Cleaner'!$I$2:$I$10001,0)),"")</f>
        <v/>
      </c>
    </row>
    <row r="3435">
      <c r="A3435">
        <f>IFERROR(INDEX('Email Cleaner'!$B$2:$B$10001,MATCH(3434,'Email Cleaner'!$I$2:$I$10001,0)),"")</f>
        <v/>
      </c>
    </row>
    <row r="3436">
      <c r="A3436">
        <f>IFERROR(INDEX('Email Cleaner'!$B$2:$B$10001,MATCH(3435,'Email Cleaner'!$I$2:$I$10001,0)),"")</f>
        <v/>
      </c>
    </row>
    <row r="3437">
      <c r="A3437">
        <f>IFERROR(INDEX('Email Cleaner'!$B$2:$B$10001,MATCH(3436,'Email Cleaner'!$I$2:$I$10001,0)),"")</f>
        <v/>
      </c>
    </row>
    <row r="3438">
      <c r="A3438">
        <f>IFERROR(INDEX('Email Cleaner'!$B$2:$B$10001,MATCH(3437,'Email Cleaner'!$I$2:$I$10001,0)),"")</f>
        <v/>
      </c>
    </row>
    <row r="3439">
      <c r="A3439">
        <f>IFERROR(INDEX('Email Cleaner'!$B$2:$B$10001,MATCH(3438,'Email Cleaner'!$I$2:$I$10001,0)),"")</f>
        <v/>
      </c>
    </row>
    <row r="3440">
      <c r="A3440">
        <f>IFERROR(INDEX('Email Cleaner'!$B$2:$B$10001,MATCH(3439,'Email Cleaner'!$I$2:$I$10001,0)),"")</f>
        <v/>
      </c>
    </row>
    <row r="3441">
      <c r="A3441">
        <f>IFERROR(INDEX('Email Cleaner'!$B$2:$B$10001,MATCH(3440,'Email Cleaner'!$I$2:$I$10001,0)),"")</f>
        <v/>
      </c>
    </row>
    <row r="3442">
      <c r="A3442">
        <f>IFERROR(INDEX('Email Cleaner'!$B$2:$B$10001,MATCH(3441,'Email Cleaner'!$I$2:$I$10001,0)),"")</f>
        <v/>
      </c>
    </row>
    <row r="3443">
      <c r="A3443">
        <f>IFERROR(INDEX('Email Cleaner'!$B$2:$B$10001,MATCH(3442,'Email Cleaner'!$I$2:$I$10001,0)),"")</f>
        <v/>
      </c>
    </row>
    <row r="3444">
      <c r="A3444">
        <f>IFERROR(INDEX('Email Cleaner'!$B$2:$B$10001,MATCH(3443,'Email Cleaner'!$I$2:$I$10001,0)),"")</f>
        <v/>
      </c>
    </row>
    <row r="3445">
      <c r="A3445">
        <f>IFERROR(INDEX('Email Cleaner'!$B$2:$B$10001,MATCH(3444,'Email Cleaner'!$I$2:$I$10001,0)),"")</f>
        <v/>
      </c>
    </row>
    <row r="3446">
      <c r="A3446">
        <f>IFERROR(INDEX('Email Cleaner'!$B$2:$B$10001,MATCH(3445,'Email Cleaner'!$I$2:$I$10001,0)),"")</f>
        <v/>
      </c>
    </row>
    <row r="3447">
      <c r="A3447">
        <f>IFERROR(INDEX('Email Cleaner'!$B$2:$B$10001,MATCH(3446,'Email Cleaner'!$I$2:$I$10001,0)),"")</f>
        <v/>
      </c>
    </row>
    <row r="3448">
      <c r="A3448">
        <f>IFERROR(INDEX('Email Cleaner'!$B$2:$B$10001,MATCH(3447,'Email Cleaner'!$I$2:$I$10001,0)),"")</f>
        <v/>
      </c>
    </row>
    <row r="3449">
      <c r="A3449">
        <f>IFERROR(INDEX('Email Cleaner'!$B$2:$B$10001,MATCH(3448,'Email Cleaner'!$I$2:$I$10001,0)),"")</f>
        <v/>
      </c>
    </row>
    <row r="3450">
      <c r="A3450">
        <f>IFERROR(INDEX('Email Cleaner'!$B$2:$B$10001,MATCH(3449,'Email Cleaner'!$I$2:$I$10001,0)),"")</f>
        <v/>
      </c>
    </row>
    <row r="3451">
      <c r="A3451">
        <f>IFERROR(INDEX('Email Cleaner'!$B$2:$B$10001,MATCH(3450,'Email Cleaner'!$I$2:$I$10001,0)),"")</f>
        <v/>
      </c>
    </row>
    <row r="3452">
      <c r="A3452">
        <f>IFERROR(INDEX('Email Cleaner'!$B$2:$B$10001,MATCH(3451,'Email Cleaner'!$I$2:$I$10001,0)),"")</f>
        <v/>
      </c>
    </row>
    <row r="3453">
      <c r="A3453">
        <f>IFERROR(INDEX('Email Cleaner'!$B$2:$B$10001,MATCH(3452,'Email Cleaner'!$I$2:$I$10001,0)),"")</f>
        <v/>
      </c>
    </row>
    <row r="3454">
      <c r="A3454">
        <f>IFERROR(INDEX('Email Cleaner'!$B$2:$B$10001,MATCH(3453,'Email Cleaner'!$I$2:$I$10001,0)),"")</f>
        <v/>
      </c>
    </row>
    <row r="3455">
      <c r="A3455">
        <f>IFERROR(INDEX('Email Cleaner'!$B$2:$B$10001,MATCH(3454,'Email Cleaner'!$I$2:$I$10001,0)),"")</f>
        <v/>
      </c>
    </row>
    <row r="3456">
      <c r="A3456">
        <f>IFERROR(INDEX('Email Cleaner'!$B$2:$B$10001,MATCH(3455,'Email Cleaner'!$I$2:$I$10001,0)),"")</f>
        <v/>
      </c>
    </row>
    <row r="3457">
      <c r="A3457">
        <f>IFERROR(INDEX('Email Cleaner'!$B$2:$B$10001,MATCH(3456,'Email Cleaner'!$I$2:$I$10001,0)),"")</f>
        <v/>
      </c>
    </row>
    <row r="3458">
      <c r="A3458">
        <f>IFERROR(INDEX('Email Cleaner'!$B$2:$B$10001,MATCH(3457,'Email Cleaner'!$I$2:$I$10001,0)),"")</f>
        <v/>
      </c>
    </row>
    <row r="3459">
      <c r="A3459">
        <f>IFERROR(INDEX('Email Cleaner'!$B$2:$B$10001,MATCH(3458,'Email Cleaner'!$I$2:$I$10001,0)),"")</f>
        <v/>
      </c>
    </row>
    <row r="3460">
      <c r="A3460">
        <f>IFERROR(INDEX('Email Cleaner'!$B$2:$B$10001,MATCH(3459,'Email Cleaner'!$I$2:$I$10001,0)),"")</f>
        <v/>
      </c>
    </row>
    <row r="3461">
      <c r="A3461">
        <f>IFERROR(INDEX('Email Cleaner'!$B$2:$B$10001,MATCH(3460,'Email Cleaner'!$I$2:$I$10001,0)),"")</f>
        <v/>
      </c>
    </row>
    <row r="3462">
      <c r="A3462">
        <f>IFERROR(INDEX('Email Cleaner'!$B$2:$B$10001,MATCH(3461,'Email Cleaner'!$I$2:$I$10001,0)),"")</f>
        <v/>
      </c>
    </row>
    <row r="3463">
      <c r="A3463">
        <f>IFERROR(INDEX('Email Cleaner'!$B$2:$B$10001,MATCH(3462,'Email Cleaner'!$I$2:$I$10001,0)),"")</f>
        <v/>
      </c>
    </row>
    <row r="3464">
      <c r="A3464">
        <f>IFERROR(INDEX('Email Cleaner'!$B$2:$B$10001,MATCH(3463,'Email Cleaner'!$I$2:$I$10001,0)),"")</f>
        <v/>
      </c>
    </row>
    <row r="3465">
      <c r="A3465">
        <f>IFERROR(INDEX('Email Cleaner'!$B$2:$B$10001,MATCH(3464,'Email Cleaner'!$I$2:$I$10001,0)),"")</f>
        <v/>
      </c>
    </row>
    <row r="3466">
      <c r="A3466">
        <f>IFERROR(INDEX('Email Cleaner'!$B$2:$B$10001,MATCH(3465,'Email Cleaner'!$I$2:$I$10001,0)),"")</f>
        <v/>
      </c>
    </row>
    <row r="3467">
      <c r="A3467">
        <f>IFERROR(INDEX('Email Cleaner'!$B$2:$B$10001,MATCH(3466,'Email Cleaner'!$I$2:$I$10001,0)),"")</f>
        <v/>
      </c>
    </row>
    <row r="3468">
      <c r="A3468">
        <f>IFERROR(INDEX('Email Cleaner'!$B$2:$B$10001,MATCH(3467,'Email Cleaner'!$I$2:$I$10001,0)),"")</f>
        <v/>
      </c>
    </row>
    <row r="3469">
      <c r="A3469">
        <f>IFERROR(INDEX('Email Cleaner'!$B$2:$B$10001,MATCH(3468,'Email Cleaner'!$I$2:$I$10001,0)),"")</f>
        <v/>
      </c>
    </row>
    <row r="3470">
      <c r="A3470">
        <f>IFERROR(INDEX('Email Cleaner'!$B$2:$B$10001,MATCH(3469,'Email Cleaner'!$I$2:$I$10001,0)),"")</f>
        <v/>
      </c>
    </row>
    <row r="3471">
      <c r="A3471">
        <f>IFERROR(INDEX('Email Cleaner'!$B$2:$B$10001,MATCH(3470,'Email Cleaner'!$I$2:$I$10001,0)),"")</f>
        <v/>
      </c>
    </row>
    <row r="3472">
      <c r="A3472">
        <f>IFERROR(INDEX('Email Cleaner'!$B$2:$B$10001,MATCH(3471,'Email Cleaner'!$I$2:$I$10001,0)),"")</f>
        <v/>
      </c>
    </row>
    <row r="3473">
      <c r="A3473">
        <f>IFERROR(INDEX('Email Cleaner'!$B$2:$B$10001,MATCH(3472,'Email Cleaner'!$I$2:$I$10001,0)),"")</f>
        <v/>
      </c>
    </row>
    <row r="3474">
      <c r="A3474">
        <f>IFERROR(INDEX('Email Cleaner'!$B$2:$B$10001,MATCH(3473,'Email Cleaner'!$I$2:$I$10001,0)),"")</f>
        <v/>
      </c>
    </row>
    <row r="3475">
      <c r="A3475">
        <f>IFERROR(INDEX('Email Cleaner'!$B$2:$B$10001,MATCH(3474,'Email Cleaner'!$I$2:$I$10001,0)),"")</f>
        <v/>
      </c>
    </row>
    <row r="3476">
      <c r="A3476">
        <f>IFERROR(INDEX('Email Cleaner'!$B$2:$B$10001,MATCH(3475,'Email Cleaner'!$I$2:$I$10001,0)),"")</f>
        <v/>
      </c>
    </row>
    <row r="3477">
      <c r="A3477">
        <f>IFERROR(INDEX('Email Cleaner'!$B$2:$B$10001,MATCH(3476,'Email Cleaner'!$I$2:$I$10001,0)),"")</f>
        <v/>
      </c>
    </row>
    <row r="3478">
      <c r="A3478">
        <f>IFERROR(INDEX('Email Cleaner'!$B$2:$B$10001,MATCH(3477,'Email Cleaner'!$I$2:$I$10001,0)),"")</f>
        <v/>
      </c>
    </row>
    <row r="3479">
      <c r="A3479">
        <f>IFERROR(INDEX('Email Cleaner'!$B$2:$B$10001,MATCH(3478,'Email Cleaner'!$I$2:$I$10001,0)),"")</f>
        <v/>
      </c>
    </row>
    <row r="3480">
      <c r="A3480">
        <f>IFERROR(INDEX('Email Cleaner'!$B$2:$B$10001,MATCH(3479,'Email Cleaner'!$I$2:$I$10001,0)),"")</f>
        <v/>
      </c>
    </row>
    <row r="3481">
      <c r="A3481">
        <f>IFERROR(INDEX('Email Cleaner'!$B$2:$B$10001,MATCH(3480,'Email Cleaner'!$I$2:$I$10001,0)),"")</f>
        <v/>
      </c>
    </row>
    <row r="3482">
      <c r="A3482">
        <f>IFERROR(INDEX('Email Cleaner'!$B$2:$B$10001,MATCH(3481,'Email Cleaner'!$I$2:$I$10001,0)),"")</f>
        <v/>
      </c>
    </row>
    <row r="3483">
      <c r="A3483">
        <f>IFERROR(INDEX('Email Cleaner'!$B$2:$B$10001,MATCH(3482,'Email Cleaner'!$I$2:$I$10001,0)),"")</f>
        <v/>
      </c>
    </row>
    <row r="3484">
      <c r="A3484">
        <f>IFERROR(INDEX('Email Cleaner'!$B$2:$B$10001,MATCH(3483,'Email Cleaner'!$I$2:$I$10001,0)),"")</f>
        <v/>
      </c>
    </row>
    <row r="3485">
      <c r="A3485">
        <f>IFERROR(INDEX('Email Cleaner'!$B$2:$B$10001,MATCH(3484,'Email Cleaner'!$I$2:$I$10001,0)),"")</f>
        <v/>
      </c>
    </row>
    <row r="3486">
      <c r="A3486">
        <f>IFERROR(INDEX('Email Cleaner'!$B$2:$B$10001,MATCH(3485,'Email Cleaner'!$I$2:$I$10001,0)),"")</f>
        <v/>
      </c>
    </row>
    <row r="3487">
      <c r="A3487">
        <f>IFERROR(INDEX('Email Cleaner'!$B$2:$B$10001,MATCH(3486,'Email Cleaner'!$I$2:$I$10001,0)),"")</f>
        <v/>
      </c>
    </row>
    <row r="3488">
      <c r="A3488">
        <f>IFERROR(INDEX('Email Cleaner'!$B$2:$B$10001,MATCH(3487,'Email Cleaner'!$I$2:$I$10001,0)),"")</f>
        <v/>
      </c>
    </row>
    <row r="3489">
      <c r="A3489">
        <f>IFERROR(INDEX('Email Cleaner'!$B$2:$B$10001,MATCH(3488,'Email Cleaner'!$I$2:$I$10001,0)),"")</f>
        <v/>
      </c>
    </row>
    <row r="3490">
      <c r="A3490">
        <f>IFERROR(INDEX('Email Cleaner'!$B$2:$B$10001,MATCH(3489,'Email Cleaner'!$I$2:$I$10001,0)),"")</f>
        <v/>
      </c>
    </row>
    <row r="3491">
      <c r="A3491">
        <f>IFERROR(INDEX('Email Cleaner'!$B$2:$B$10001,MATCH(3490,'Email Cleaner'!$I$2:$I$10001,0)),"")</f>
        <v/>
      </c>
    </row>
    <row r="3492">
      <c r="A3492">
        <f>IFERROR(INDEX('Email Cleaner'!$B$2:$B$10001,MATCH(3491,'Email Cleaner'!$I$2:$I$10001,0)),"")</f>
        <v/>
      </c>
    </row>
    <row r="3493">
      <c r="A3493">
        <f>IFERROR(INDEX('Email Cleaner'!$B$2:$B$10001,MATCH(3492,'Email Cleaner'!$I$2:$I$10001,0)),"")</f>
        <v/>
      </c>
    </row>
    <row r="3494">
      <c r="A3494">
        <f>IFERROR(INDEX('Email Cleaner'!$B$2:$B$10001,MATCH(3493,'Email Cleaner'!$I$2:$I$10001,0)),"")</f>
        <v/>
      </c>
    </row>
    <row r="3495">
      <c r="A3495">
        <f>IFERROR(INDEX('Email Cleaner'!$B$2:$B$10001,MATCH(3494,'Email Cleaner'!$I$2:$I$10001,0)),"")</f>
        <v/>
      </c>
    </row>
    <row r="3496">
      <c r="A3496">
        <f>IFERROR(INDEX('Email Cleaner'!$B$2:$B$10001,MATCH(3495,'Email Cleaner'!$I$2:$I$10001,0)),"")</f>
        <v/>
      </c>
    </row>
    <row r="3497">
      <c r="A3497">
        <f>IFERROR(INDEX('Email Cleaner'!$B$2:$B$10001,MATCH(3496,'Email Cleaner'!$I$2:$I$10001,0)),"")</f>
        <v/>
      </c>
    </row>
    <row r="3498">
      <c r="A3498">
        <f>IFERROR(INDEX('Email Cleaner'!$B$2:$B$10001,MATCH(3497,'Email Cleaner'!$I$2:$I$10001,0)),"")</f>
        <v/>
      </c>
    </row>
    <row r="3499">
      <c r="A3499">
        <f>IFERROR(INDEX('Email Cleaner'!$B$2:$B$10001,MATCH(3498,'Email Cleaner'!$I$2:$I$10001,0)),"")</f>
        <v/>
      </c>
    </row>
    <row r="3500">
      <c r="A3500">
        <f>IFERROR(INDEX('Email Cleaner'!$B$2:$B$10001,MATCH(3499,'Email Cleaner'!$I$2:$I$10001,0)),"")</f>
        <v/>
      </c>
    </row>
    <row r="3501">
      <c r="A3501">
        <f>IFERROR(INDEX('Email Cleaner'!$B$2:$B$10001,MATCH(3500,'Email Cleaner'!$I$2:$I$10001,0)),"")</f>
        <v/>
      </c>
    </row>
    <row r="3502">
      <c r="A3502">
        <f>IFERROR(INDEX('Email Cleaner'!$B$2:$B$10001,MATCH(3501,'Email Cleaner'!$I$2:$I$10001,0)),"")</f>
        <v/>
      </c>
    </row>
    <row r="3503">
      <c r="A3503">
        <f>IFERROR(INDEX('Email Cleaner'!$B$2:$B$10001,MATCH(3502,'Email Cleaner'!$I$2:$I$10001,0)),"")</f>
        <v/>
      </c>
    </row>
    <row r="3504">
      <c r="A3504">
        <f>IFERROR(INDEX('Email Cleaner'!$B$2:$B$10001,MATCH(3503,'Email Cleaner'!$I$2:$I$10001,0)),"")</f>
        <v/>
      </c>
    </row>
    <row r="3505">
      <c r="A3505">
        <f>IFERROR(INDEX('Email Cleaner'!$B$2:$B$10001,MATCH(3504,'Email Cleaner'!$I$2:$I$10001,0)),"")</f>
        <v/>
      </c>
    </row>
    <row r="3506">
      <c r="A3506">
        <f>IFERROR(INDEX('Email Cleaner'!$B$2:$B$10001,MATCH(3505,'Email Cleaner'!$I$2:$I$10001,0)),"")</f>
        <v/>
      </c>
    </row>
    <row r="3507">
      <c r="A3507">
        <f>IFERROR(INDEX('Email Cleaner'!$B$2:$B$10001,MATCH(3506,'Email Cleaner'!$I$2:$I$10001,0)),"")</f>
        <v/>
      </c>
    </row>
    <row r="3508">
      <c r="A3508">
        <f>IFERROR(INDEX('Email Cleaner'!$B$2:$B$10001,MATCH(3507,'Email Cleaner'!$I$2:$I$10001,0)),"")</f>
        <v/>
      </c>
    </row>
    <row r="3509">
      <c r="A3509">
        <f>IFERROR(INDEX('Email Cleaner'!$B$2:$B$10001,MATCH(3508,'Email Cleaner'!$I$2:$I$10001,0)),"")</f>
        <v/>
      </c>
    </row>
    <row r="3510">
      <c r="A3510">
        <f>IFERROR(INDEX('Email Cleaner'!$B$2:$B$10001,MATCH(3509,'Email Cleaner'!$I$2:$I$10001,0)),"")</f>
        <v/>
      </c>
    </row>
    <row r="3511">
      <c r="A3511">
        <f>IFERROR(INDEX('Email Cleaner'!$B$2:$B$10001,MATCH(3510,'Email Cleaner'!$I$2:$I$10001,0)),"")</f>
        <v/>
      </c>
    </row>
    <row r="3512">
      <c r="A3512">
        <f>IFERROR(INDEX('Email Cleaner'!$B$2:$B$10001,MATCH(3511,'Email Cleaner'!$I$2:$I$10001,0)),"")</f>
        <v/>
      </c>
    </row>
    <row r="3513">
      <c r="A3513">
        <f>IFERROR(INDEX('Email Cleaner'!$B$2:$B$10001,MATCH(3512,'Email Cleaner'!$I$2:$I$10001,0)),"")</f>
        <v/>
      </c>
    </row>
    <row r="3514">
      <c r="A3514">
        <f>IFERROR(INDEX('Email Cleaner'!$B$2:$B$10001,MATCH(3513,'Email Cleaner'!$I$2:$I$10001,0)),"")</f>
        <v/>
      </c>
    </row>
    <row r="3515">
      <c r="A3515">
        <f>IFERROR(INDEX('Email Cleaner'!$B$2:$B$10001,MATCH(3514,'Email Cleaner'!$I$2:$I$10001,0)),"")</f>
        <v/>
      </c>
    </row>
    <row r="3516">
      <c r="A3516">
        <f>IFERROR(INDEX('Email Cleaner'!$B$2:$B$10001,MATCH(3515,'Email Cleaner'!$I$2:$I$10001,0)),"")</f>
        <v/>
      </c>
    </row>
    <row r="3517">
      <c r="A3517">
        <f>IFERROR(INDEX('Email Cleaner'!$B$2:$B$10001,MATCH(3516,'Email Cleaner'!$I$2:$I$10001,0)),"")</f>
        <v/>
      </c>
    </row>
    <row r="3518">
      <c r="A3518">
        <f>IFERROR(INDEX('Email Cleaner'!$B$2:$B$10001,MATCH(3517,'Email Cleaner'!$I$2:$I$10001,0)),"")</f>
        <v/>
      </c>
    </row>
    <row r="3519">
      <c r="A3519">
        <f>IFERROR(INDEX('Email Cleaner'!$B$2:$B$10001,MATCH(3518,'Email Cleaner'!$I$2:$I$10001,0)),"")</f>
        <v/>
      </c>
    </row>
    <row r="3520">
      <c r="A3520">
        <f>IFERROR(INDEX('Email Cleaner'!$B$2:$B$10001,MATCH(3519,'Email Cleaner'!$I$2:$I$10001,0)),"")</f>
        <v/>
      </c>
    </row>
    <row r="3521">
      <c r="A3521">
        <f>IFERROR(INDEX('Email Cleaner'!$B$2:$B$10001,MATCH(3520,'Email Cleaner'!$I$2:$I$10001,0)),"")</f>
        <v/>
      </c>
    </row>
    <row r="3522">
      <c r="A3522">
        <f>IFERROR(INDEX('Email Cleaner'!$B$2:$B$10001,MATCH(3521,'Email Cleaner'!$I$2:$I$10001,0)),"")</f>
        <v/>
      </c>
    </row>
    <row r="3523">
      <c r="A3523">
        <f>IFERROR(INDEX('Email Cleaner'!$B$2:$B$10001,MATCH(3522,'Email Cleaner'!$I$2:$I$10001,0)),"")</f>
        <v/>
      </c>
    </row>
    <row r="3524">
      <c r="A3524">
        <f>IFERROR(INDEX('Email Cleaner'!$B$2:$B$10001,MATCH(3523,'Email Cleaner'!$I$2:$I$10001,0)),"")</f>
        <v/>
      </c>
    </row>
    <row r="3525">
      <c r="A3525">
        <f>IFERROR(INDEX('Email Cleaner'!$B$2:$B$10001,MATCH(3524,'Email Cleaner'!$I$2:$I$10001,0)),"")</f>
        <v/>
      </c>
    </row>
    <row r="3526">
      <c r="A3526">
        <f>IFERROR(INDEX('Email Cleaner'!$B$2:$B$10001,MATCH(3525,'Email Cleaner'!$I$2:$I$10001,0)),"")</f>
        <v/>
      </c>
    </row>
    <row r="3527">
      <c r="A3527">
        <f>IFERROR(INDEX('Email Cleaner'!$B$2:$B$10001,MATCH(3526,'Email Cleaner'!$I$2:$I$10001,0)),"")</f>
        <v/>
      </c>
    </row>
    <row r="3528">
      <c r="A3528">
        <f>IFERROR(INDEX('Email Cleaner'!$B$2:$B$10001,MATCH(3527,'Email Cleaner'!$I$2:$I$10001,0)),"")</f>
        <v/>
      </c>
    </row>
    <row r="3529">
      <c r="A3529">
        <f>IFERROR(INDEX('Email Cleaner'!$B$2:$B$10001,MATCH(3528,'Email Cleaner'!$I$2:$I$10001,0)),"")</f>
        <v/>
      </c>
    </row>
    <row r="3530">
      <c r="A3530">
        <f>IFERROR(INDEX('Email Cleaner'!$B$2:$B$10001,MATCH(3529,'Email Cleaner'!$I$2:$I$10001,0)),"")</f>
        <v/>
      </c>
    </row>
    <row r="3531">
      <c r="A3531">
        <f>IFERROR(INDEX('Email Cleaner'!$B$2:$B$10001,MATCH(3530,'Email Cleaner'!$I$2:$I$10001,0)),"")</f>
        <v/>
      </c>
    </row>
    <row r="3532">
      <c r="A3532">
        <f>IFERROR(INDEX('Email Cleaner'!$B$2:$B$10001,MATCH(3531,'Email Cleaner'!$I$2:$I$10001,0)),"")</f>
        <v/>
      </c>
    </row>
    <row r="3533">
      <c r="A3533">
        <f>IFERROR(INDEX('Email Cleaner'!$B$2:$B$10001,MATCH(3532,'Email Cleaner'!$I$2:$I$10001,0)),"")</f>
        <v/>
      </c>
    </row>
    <row r="3534">
      <c r="A3534">
        <f>IFERROR(INDEX('Email Cleaner'!$B$2:$B$10001,MATCH(3533,'Email Cleaner'!$I$2:$I$10001,0)),"")</f>
        <v/>
      </c>
    </row>
    <row r="3535">
      <c r="A3535">
        <f>IFERROR(INDEX('Email Cleaner'!$B$2:$B$10001,MATCH(3534,'Email Cleaner'!$I$2:$I$10001,0)),"")</f>
        <v/>
      </c>
    </row>
    <row r="3536">
      <c r="A3536">
        <f>IFERROR(INDEX('Email Cleaner'!$B$2:$B$10001,MATCH(3535,'Email Cleaner'!$I$2:$I$10001,0)),"")</f>
        <v/>
      </c>
    </row>
    <row r="3537">
      <c r="A3537">
        <f>IFERROR(INDEX('Email Cleaner'!$B$2:$B$10001,MATCH(3536,'Email Cleaner'!$I$2:$I$10001,0)),"")</f>
        <v/>
      </c>
    </row>
    <row r="3538">
      <c r="A3538">
        <f>IFERROR(INDEX('Email Cleaner'!$B$2:$B$10001,MATCH(3537,'Email Cleaner'!$I$2:$I$10001,0)),"")</f>
        <v/>
      </c>
    </row>
    <row r="3539">
      <c r="A3539">
        <f>IFERROR(INDEX('Email Cleaner'!$B$2:$B$10001,MATCH(3538,'Email Cleaner'!$I$2:$I$10001,0)),"")</f>
        <v/>
      </c>
    </row>
    <row r="3540">
      <c r="A3540">
        <f>IFERROR(INDEX('Email Cleaner'!$B$2:$B$10001,MATCH(3539,'Email Cleaner'!$I$2:$I$10001,0)),"")</f>
        <v/>
      </c>
    </row>
    <row r="3541">
      <c r="A3541">
        <f>IFERROR(INDEX('Email Cleaner'!$B$2:$B$10001,MATCH(3540,'Email Cleaner'!$I$2:$I$10001,0)),"")</f>
        <v/>
      </c>
    </row>
    <row r="3542">
      <c r="A3542">
        <f>IFERROR(INDEX('Email Cleaner'!$B$2:$B$10001,MATCH(3541,'Email Cleaner'!$I$2:$I$10001,0)),"")</f>
        <v/>
      </c>
    </row>
    <row r="3543">
      <c r="A3543">
        <f>IFERROR(INDEX('Email Cleaner'!$B$2:$B$10001,MATCH(3542,'Email Cleaner'!$I$2:$I$10001,0)),"")</f>
        <v/>
      </c>
    </row>
    <row r="3544">
      <c r="A3544">
        <f>IFERROR(INDEX('Email Cleaner'!$B$2:$B$10001,MATCH(3543,'Email Cleaner'!$I$2:$I$10001,0)),"")</f>
        <v/>
      </c>
    </row>
    <row r="3545">
      <c r="A3545">
        <f>IFERROR(INDEX('Email Cleaner'!$B$2:$B$10001,MATCH(3544,'Email Cleaner'!$I$2:$I$10001,0)),"")</f>
        <v/>
      </c>
    </row>
    <row r="3546">
      <c r="A3546">
        <f>IFERROR(INDEX('Email Cleaner'!$B$2:$B$10001,MATCH(3545,'Email Cleaner'!$I$2:$I$10001,0)),"")</f>
        <v/>
      </c>
    </row>
    <row r="3547">
      <c r="A3547">
        <f>IFERROR(INDEX('Email Cleaner'!$B$2:$B$10001,MATCH(3546,'Email Cleaner'!$I$2:$I$10001,0)),"")</f>
        <v/>
      </c>
    </row>
    <row r="3548">
      <c r="A3548">
        <f>IFERROR(INDEX('Email Cleaner'!$B$2:$B$10001,MATCH(3547,'Email Cleaner'!$I$2:$I$10001,0)),"")</f>
        <v/>
      </c>
    </row>
    <row r="3549">
      <c r="A3549">
        <f>IFERROR(INDEX('Email Cleaner'!$B$2:$B$10001,MATCH(3548,'Email Cleaner'!$I$2:$I$10001,0)),"")</f>
        <v/>
      </c>
    </row>
    <row r="3550">
      <c r="A3550">
        <f>IFERROR(INDEX('Email Cleaner'!$B$2:$B$10001,MATCH(3549,'Email Cleaner'!$I$2:$I$10001,0)),"")</f>
        <v/>
      </c>
    </row>
    <row r="3551">
      <c r="A3551">
        <f>IFERROR(INDEX('Email Cleaner'!$B$2:$B$10001,MATCH(3550,'Email Cleaner'!$I$2:$I$10001,0)),"")</f>
        <v/>
      </c>
    </row>
    <row r="3552">
      <c r="A3552">
        <f>IFERROR(INDEX('Email Cleaner'!$B$2:$B$10001,MATCH(3551,'Email Cleaner'!$I$2:$I$10001,0)),"")</f>
        <v/>
      </c>
    </row>
    <row r="3553">
      <c r="A3553">
        <f>IFERROR(INDEX('Email Cleaner'!$B$2:$B$10001,MATCH(3552,'Email Cleaner'!$I$2:$I$10001,0)),"")</f>
        <v/>
      </c>
    </row>
    <row r="3554">
      <c r="A3554">
        <f>IFERROR(INDEX('Email Cleaner'!$B$2:$B$10001,MATCH(3553,'Email Cleaner'!$I$2:$I$10001,0)),"")</f>
        <v/>
      </c>
    </row>
    <row r="3555">
      <c r="A3555">
        <f>IFERROR(INDEX('Email Cleaner'!$B$2:$B$10001,MATCH(3554,'Email Cleaner'!$I$2:$I$10001,0)),"")</f>
        <v/>
      </c>
    </row>
    <row r="3556">
      <c r="A3556">
        <f>IFERROR(INDEX('Email Cleaner'!$B$2:$B$10001,MATCH(3555,'Email Cleaner'!$I$2:$I$10001,0)),"")</f>
        <v/>
      </c>
    </row>
    <row r="3557">
      <c r="A3557">
        <f>IFERROR(INDEX('Email Cleaner'!$B$2:$B$10001,MATCH(3556,'Email Cleaner'!$I$2:$I$10001,0)),"")</f>
        <v/>
      </c>
    </row>
    <row r="3558">
      <c r="A3558">
        <f>IFERROR(INDEX('Email Cleaner'!$B$2:$B$10001,MATCH(3557,'Email Cleaner'!$I$2:$I$10001,0)),"")</f>
        <v/>
      </c>
    </row>
    <row r="3559">
      <c r="A3559">
        <f>IFERROR(INDEX('Email Cleaner'!$B$2:$B$10001,MATCH(3558,'Email Cleaner'!$I$2:$I$10001,0)),"")</f>
        <v/>
      </c>
    </row>
    <row r="3560">
      <c r="A3560">
        <f>IFERROR(INDEX('Email Cleaner'!$B$2:$B$10001,MATCH(3559,'Email Cleaner'!$I$2:$I$10001,0)),"")</f>
        <v/>
      </c>
    </row>
    <row r="3561">
      <c r="A3561">
        <f>IFERROR(INDEX('Email Cleaner'!$B$2:$B$10001,MATCH(3560,'Email Cleaner'!$I$2:$I$10001,0)),"")</f>
        <v/>
      </c>
    </row>
    <row r="3562">
      <c r="A3562">
        <f>IFERROR(INDEX('Email Cleaner'!$B$2:$B$10001,MATCH(3561,'Email Cleaner'!$I$2:$I$10001,0)),"")</f>
        <v/>
      </c>
    </row>
    <row r="3563">
      <c r="A3563">
        <f>IFERROR(INDEX('Email Cleaner'!$B$2:$B$10001,MATCH(3562,'Email Cleaner'!$I$2:$I$10001,0)),"")</f>
        <v/>
      </c>
    </row>
    <row r="3564">
      <c r="A3564">
        <f>IFERROR(INDEX('Email Cleaner'!$B$2:$B$10001,MATCH(3563,'Email Cleaner'!$I$2:$I$10001,0)),"")</f>
        <v/>
      </c>
    </row>
    <row r="3565">
      <c r="A3565">
        <f>IFERROR(INDEX('Email Cleaner'!$B$2:$B$10001,MATCH(3564,'Email Cleaner'!$I$2:$I$10001,0)),"")</f>
        <v/>
      </c>
    </row>
    <row r="3566">
      <c r="A3566">
        <f>IFERROR(INDEX('Email Cleaner'!$B$2:$B$10001,MATCH(3565,'Email Cleaner'!$I$2:$I$10001,0)),"")</f>
        <v/>
      </c>
    </row>
    <row r="3567">
      <c r="A3567">
        <f>IFERROR(INDEX('Email Cleaner'!$B$2:$B$10001,MATCH(3566,'Email Cleaner'!$I$2:$I$10001,0)),"")</f>
        <v/>
      </c>
    </row>
    <row r="3568">
      <c r="A3568">
        <f>IFERROR(INDEX('Email Cleaner'!$B$2:$B$10001,MATCH(3567,'Email Cleaner'!$I$2:$I$10001,0)),"")</f>
        <v/>
      </c>
    </row>
    <row r="3569">
      <c r="A3569">
        <f>IFERROR(INDEX('Email Cleaner'!$B$2:$B$10001,MATCH(3568,'Email Cleaner'!$I$2:$I$10001,0)),"")</f>
        <v/>
      </c>
    </row>
    <row r="3570">
      <c r="A3570">
        <f>IFERROR(INDEX('Email Cleaner'!$B$2:$B$10001,MATCH(3569,'Email Cleaner'!$I$2:$I$10001,0)),"")</f>
        <v/>
      </c>
    </row>
    <row r="3571">
      <c r="A3571">
        <f>IFERROR(INDEX('Email Cleaner'!$B$2:$B$10001,MATCH(3570,'Email Cleaner'!$I$2:$I$10001,0)),"")</f>
        <v/>
      </c>
    </row>
    <row r="3572">
      <c r="A3572">
        <f>IFERROR(INDEX('Email Cleaner'!$B$2:$B$10001,MATCH(3571,'Email Cleaner'!$I$2:$I$10001,0)),"")</f>
        <v/>
      </c>
    </row>
    <row r="3573">
      <c r="A3573">
        <f>IFERROR(INDEX('Email Cleaner'!$B$2:$B$10001,MATCH(3572,'Email Cleaner'!$I$2:$I$10001,0)),"")</f>
        <v/>
      </c>
    </row>
    <row r="3574">
      <c r="A3574">
        <f>IFERROR(INDEX('Email Cleaner'!$B$2:$B$10001,MATCH(3573,'Email Cleaner'!$I$2:$I$10001,0)),"")</f>
        <v/>
      </c>
    </row>
    <row r="3575">
      <c r="A3575">
        <f>IFERROR(INDEX('Email Cleaner'!$B$2:$B$10001,MATCH(3574,'Email Cleaner'!$I$2:$I$10001,0)),"")</f>
        <v/>
      </c>
    </row>
    <row r="3576">
      <c r="A3576">
        <f>IFERROR(INDEX('Email Cleaner'!$B$2:$B$10001,MATCH(3575,'Email Cleaner'!$I$2:$I$10001,0)),"")</f>
        <v/>
      </c>
    </row>
    <row r="3577">
      <c r="A3577">
        <f>IFERROR(INDEX('Email Cleaner'!$B$2:$B$10001,MATCH(3576,'Email Cleaner'!$I$2:$I$10001,0)),"")</f>
        <v/>
      </c>
    </row>
    <row r="3578">
      <c r="A3578">
        <f>IFERROR(INDEX('Email Cleaner'!$B$2:$B$10001,MATCH(3577,'Email Cleaner'!$I$2:$I$10001,0)),"")</f>
        <v/>
      </c>
    </row>
    <row r="3579">
      <c r="A3579">
        <f>IFERROR(INDEX('Email Cleaner'!$B$2:$B$10001,MATCH(3578,'Email Cleaner'!$I$2:$I$10001,0)),"")</f>
        <v/>
      </c>
    </row>
    <row r="3580">
      <c r="A3580">
        <f>IFERROR(INDEX('Email Cleaner'!$B$2:$B$10001,MATCH(3579,'Email Cleaner'!$I$2:$I$10001,0)),"")</f>
        <v/>
      </c>
    </row>
    <row r="3581">
      <c r="A3581">
        <f>IFERROR(INDEX('Email Cleaner'!$B$2:$B$10001,MATCH(3580,'Email Cleaner'!$I$2:$I$10001,0)),"")</f>
        <v/>
      </c>
    </row>
    <row r="3582">
      <c r="A3582">
        <f>IFERROR(INDEX('Email Cleaner'!$B$2:$B$10001,MATCH(3581,'Email Cleaner'!$I$2:$I$10001,0)),"")</f>
        <v/>
      </c>
    </row>
    <row r="3583">
      <c r="A3583">
        <f>IFERROR(INDEX('Email Cleaner'!$B$2:$B$10001,MATCH(3582,'Email Cleaner'!$I$2:$I$10001,0)),"")</f>
        <v/>
      </c>
    </row>
    <row r="3584">
      <c r="A3584">
        <f>IFERROR(INDEX('Email Cleaner'!$B$2:$B$10001,MATCH(3583,'Email Cleaner'!$I$2:$I$10001,0)),"")</f>
        <v/>
      </c>
    </row>
    <row r="3585">
      <c r="A3585">
        <f>IFERROR(INDEX('Email Cleaner'!$B$2:$B$10001,MATCH(3584,'Email Cleaner'!$I$2:$I$10001,0)),"")</f>
        <v/>
      </c>
    </row>
    <row r="3586">
      <c r="A3586">
        <f>IFERROR(INDEX('Email Cleaner'!$B$2:$B$10001,MATCH(3585,'Email Cleaner'!$I$2:$I$10001,0)),"")</f>
        <v/>
      </c>
    </row>
    <row r="3587">
      <c r="A3587">
        <f>IFERROR(INDEX('Email Cleaner'!$B$2:$B$10001,MATCH(3586,'Email Cleaner'!$I$2:$I$10001,0)),"")</f>
        <v/>
      </c>
    </row>
    <row r="3588">
      <c r="A3588">
        <f>IFERROR(INDEX('Email Cleaner'!$B$2:$B$10001,MATCH(3587,'Email Cleaner'!$I$2:$I$10001,0)),"")</f>
        <v/>
      </c>
    </row>
    <row r="3589">
      <c r="A3589">
        <f>IFERROR(INDEX('Email Cleaner'!$B$2:$B$10001,MATCH(3588,'Email Cleaner'!$I$2:$I$10001,0)),"")</f>
        <v/>
      </c>
    </row>
    <row r="3590">
      <c r="A3590">
        <f>IFERROR(INDEX('Email Cleaner'!$B$2:$B$10001,MATCH(3589,'Email Cleaner'!$I$2:$I$10001,0)),"")</f>
        <v/>
      </c>
    </row>
    <row r="3591">
      <c r="A3591">
        <f>IFERROR(INDEX('Email Cleaner'!$B$2:$B$10001,MATCH(3590,'Email Cleaner'!$I$2:$I$10001,0)),"")</f>
        <v/>
      </c>
    </row>
    <row r="3592">
      <c r="A3592">
        <f>IFERROR(INDEX('Email Cleaner'!$B$2:$B$10001,MATCH(3591,'Email Cleaner'!$I$2:$I$10001,0)),"")</f>
        <v/>
      </c>
    </row>
    <row r="3593">
      <c r="A3593">
        <f>IFERROR(INDEX('Email Cleaner'!$B$2:$B$10001,MATCH(3592,'Email Cleaner'!$I$2:$I$10001,0)),"")</f>
        <v/>
      </c>
    </row>
    <row r="3594">
      <c r="A3594">
        <f>IFERROR(INDEX('Email Cleaner'!$B$2:$B$10001,MATCH(3593,'Email Cleaner'!$I$2:$I$10001,0)),"")</f>
        <v/>
      </c>
    </row>
    <row r="3595">
      <c r="A3595">
        <f>IFERROR(INDEX('Email Cleaner'!$B$2:$B$10001,MATCH(3594,'Email Cleaner'!$I$2:$I$10001,0)),"")</f>
        <v/>
      </c>
    </row>
    <row r="3596">
      <c r="A3596">
        <f>IFERROR(INDEX('Email Cleaner'!$B$2:$B$10001,MATCH(3595,'Email Cleaner'!$I$2:$I$10001,0)),"")</f>
        <v/>
      </c>
    </row>
    <row r="3597">
      <c r="A3597">
        <f>IFERROR(INDEX('Email Cleaner'!$B$2:$B$10001,MATCH(3596,'Email Cleaner'!$I$2:$I$10001,0)),"")</f>
        <v/>
      </c>
    </row>
    <row r="3598">
      <c r="A3598">
        <f>IFERROR(INDEX('Email Cleaner'!$B$2:$B$10001,MATCH(3597,'Email Cleaner'!$I$2:$I$10001,0)),"")</f>
        <v/>
      </c>
    </row>
    <row r="3599">
      <c r="A3599">
        <f>IFERROR(INDEX('Email Cleaner'!$B$2:$B$10001,MATCH(3598,'Email Cleaner'!$I$2:$I$10001,0)),"")</f>
        <v/>
      </c>
    </row>
    <row r="3600">
      <c r="A3600">
        <f>IFERROR(INDEX('Email Cleaner'!$B$2:$B$10001,MATCH(3599,'Email Cleaner'!$I$2:$I$10001,0)),"")</f>
        <v/>
      </c>
    </row>
    <row r="3601">
      <c r="A3601">
        <f>IFERROR(INDEX('Email Cleaner'!$B$2:$B$10001,MATCH(3600,'Email Cleaner'!$I$2:$I$10001,0)),"")</f>
        <v/>
      </c>
    </row>
    <row r="3602">
      <c r="A3602">
        <f>IFERROR(INDEX('Email Cleaner'!$B$2:$B$10001,MATCH(3601,'Email Cleaner'!$I$2:$I$10001,0)),"")</f>
        <v/>
      </c>
    </row>
    <row r="3603">
      <c r="A3603">
        <f>IFERROR(INDEX('Email Cleaner'!$B$2:$B$10001,MATCH(3602,'Email Cleaner'!$I$2:$I$10001,0)),"")</f>
        <v/>
      </c>
    </row>
    <row r="3604">
      <c r="A3604">
        <f>IFERROR(INDEX('Email Cleaner'!$B$2:$B$10001,MATCH(3603,'Email Cleaner'!$I$2:$I$10001,0)),"")</f>
        <v/>
      </c>
    </row>
    <row r="3605">
      <c r="A3605">
        <f>IFERROR(INDEX('Email Cleaner'!$B$2:$B$10001,MATCH(3604,'Email Cleaner'!$I$2:$I$10001,0)),"")</f>
        <v/>
      </c>
    </row>
    <row r="3606">
      <c r="A3606">
        <f>IFERROR(INDEX('Email Cleaner'!$B$2:$B$10001,MATCH(3605,'Email Cleaner'!$I$2:$I$10001,0)),"")</f>
        <v/>
      </c>
    </row>
    <row r="3607">
      <c r="A3607">
        <f>IFERROR(INDEX('Email Cleaner'!$B$2:$B$10001,MATCH(3606,'Email Cleaner'!$I$2:$I$10001,0)),"")</f>
        <v/>
      </c>
    </row>
    <row r="3608">
      <c r="A3608">
        <f>IFERROR(INDEX('Email Cleaner'!$B$2:$B$10001,MATCH(3607,'Email Cleaner'!$I$2:$I$10001,0)),"")</f>
        <v/>
      </c>
    </row>
    <row r="3609">
      <c r="A3609">
        <f>IFERROR(INDEX('Email Cleaner'!$B$2:$B$10001,MATCH(3608,'Email Cleaner'!$I$2:$I$10001,0)),"")</f>
        <v/>
      </c>
    </row>
    <row r="3610">
      <c r="A3610">
        <f>IFERROR(INDEX('Email Cleaner'!$B$2:$B$10001,MATCH(3609,'Email Cleaner'!$I$2:$I$10001,0)),"")</f>
        <v/>
      </c>
    </row>
    <row r="3611">
      <c r="A3611">
        <f>IFERROR(INDEX('Email Cleaner'!$B$2:$B$10001,MATCH(3610,'Email Cleaner'!$I$2:$I$10001,0)),"")</f>
        <v/>
      </c>
    </row>
    <row r="3612">
      <c r="A3612">
        <f>IFERROR(INDEX('Email Cleaner'!$B$2:$B$10001,MATCH(3611,'Email Cleaner'!$I$2:$I$10001,0)),"")</f>
        <v/>
      </c>
    </row>
    <row r="3613">
      <c r="A3613">
        <f>IFERROR(INDEX('Email Cleaner'!$B$2:$B$10001,MATCH(3612,'Email Cleaner'!$I$2:$I$10001,0)),"")</f>
        <v/>
      </c>
    </row>
    <row r="3614">
      <c r="A3614">
        <f>IFERROR(INDEX('Email Cleaner'!$B$2:$B$10001,MATCH(3613,'Email Cleaner'!$I$2:$I$10001,0)),"")</f>
        <v/>
      </c>
    </row>
    <row r="3615">
      <c r="A3615">
        <f>IFERROR(INDEX('Email Cleaner'!$B$2:$B$10001,MATCH(3614,'Email Cleaner'!$I$2:$I$10001,0)),"")</f>
        <v/>
      </c>
    </row>
    <row r="3616">
      <c r="A3616">
        <f>IFERROR(INDEX('Email Cleaner'!$B$2:$B$10001,MATCH(3615,'Email Cleaner'!$I$2:$I$10001,0)),"")</f>
        <v/>
      </c>
    </row>
    <row r="3617">
      <c r="A3617">
        <f>IFERROR(INDEX('Email Cleaner'!$B$2:$B$10001,MATCH(3616,'Email Cleaner'!$I$2:$I$10001,0)),"")</f>
        <v/>
      </c>
    </row>
    <row r="3618">
      <c r="A3618">
        <f>IFERROR(INDEX('Email Cleaner'!$B$2:$B$10001,MATCH(3617,'Email Cleaner'!$I$2:$I$10001,0)),"")</f>
        <v/>
      </c>
    </row>
    <row r="3619">
      <c r="A3619">
        <f>IFERROR(INDEX('Email Cleaner'!$B$2:$B$10001,MATCH(3618,'Email Cleaner'!$I$2:$I$10001,0)),"")</f>
        <v/>
      </c>
    </row>
    <row r="3620">
      <c r="A3620">
        <f>IFERROR(INDEX('Email Cleaner'!$B$2:$B$10001,MATCH(3619,'Email Cleaner'!$I$2:$I$10001,0)),"")</f>
        <v/>
      </c>
    </row>
    <row r="3621">
      <c r="A3621">
        <f>IFERROR(INDEX('Email Cleaner'!$B$2:$B$10001,MATCH(3620,'Email Cleaner'!$I$2:$I$10001,0)),"")</f>
        <v/>
      </c>
    </row>
    <row r="3622">
      <c r="A3622">
        <f>IFERROR(INDEX('Email Cleaner'!$B$2:$B$10001,MATCH(3621,'Email Cleaner'!$I$2:$I$10001,0)),"")</f>
        <v/>
      </c>
    </row>
    <row r="3623">
      <c r="A3623">
        <f>IFERROR(INDEX('Email Cleaner'!$B$2:$B$10001,MATCH(3622,'Email Cleaner'!$I$2:$I$10001,0)),"")</f>
        <v/>
      </c>
    </row>
    <row r="3624">
      <c r="A3624">
        <f>IFERROR(INDEX('Email Cleaner'!$B$2:$B$10001,MATCH(3623,'Email Cleaner'!$I$2:$I$10001,0)),"")</f>
        <v/>
      </c>
    </row>
    <row r="3625">
      <c r="A3625">
        <f>IFERROR(INDEX('Email Cleaner'!$B$2:$B$10001,MATCH(3624,'Email Cleaner'!$I$2:$I$10001,0)),"")</f>
        <v/>
      </c>
    </row>
    <row r="3626">
      <c r="A3626">
        <f>IFERROR(INDEX('Email Cleaner'!$B$2:$B$10001,MATCH(3625,'Email Cleaner'!$I$2:$I$10001,0)),"")</f>
        <v/>
      </c>
    </row>
    <row r="3627">
      <c r="A3627">
        <f>IFERROR(INDEX('Email Cleaner'!$B$2:$B$10001,MATCH(3626,'Email Cleaner'!$I$2:$I$10001,0)),"")</f>
        <v/>
      </c>
    </row>
    <row r="3628">
      <c r="A3628">
        <f>IFERROR(INDEX('Email Cleaner'!$B$2:$B$10001,MATCH(3627,'Email Cleaner'!$I$2:$I$10001,0)),"")</f>
        <v/>
      </c>
    </row>
    <row r="3629">
      <c r="A3629">
        <f>IFERROR(INDEX('Email Cleaner'!$B$2:$B$10001,MATCH(3628,'Email Cleaner'!$I$2:$I$10001,0)),"")</f>
        <v/>
      </c>
    </row>
    <row r="3630">
      <c r="A3630">
        <f>IFERROR(INDEX('Email Cleaner'!$B$2:$B$10001,MATCH(3629,'Email Cleaner'!$I$2:$I$10001,0)),"")</f>
        <v/>
      </c>
    </row>
    <row r="3631">
      <c r="A3631">
        <f>IFERROR(INDEX('Email Cleaner'!$B$2:$B$10001,MATCH(3630,'Email Cleaner'!$I$2:$I$10001,0)),"")</f>
        <v/>
      </c>
    </row>
    <row r="3632">
      <c r="A3632">
        <f>IFERROR(INDEX('Email Cleaner'!$B$2:$B$10001,MATCH(3631,'Email Cleaner'!$I$2:$I$10001,0)),"")</f>
        <v/>
      </c>
    </row>
    <row r="3633">
      <c r="A3633">
        <f>IFERROR(INDEX('Email Cleaner'!$B$2:$B$10001,MATCH(3632,'Email Cleaner'!$I$2:$I$10001,0)),"")</f>
        <v/>
      </c>
    </row>
    <row r="3634">
      <c r="A3634">
        <f>IFERROR(INDEX('Email Cleaner'!$B$2:$B$10001,MATCH(3633,'Email Cleaner'!$I$2:$I$10001,0)),"")</f>
        <v/>
      </c>
    </row>
    <row r="3635">
      <c r="A3635">
        <f>IFERROR(INDEX('Email Cleaner'!$B$2:$B$10001,MATCH(3634,'Email Cleaner'!$I$2:$I$10001,0)),"")</f>
        <v/>
      </c>
    </row>
    <row r="3636">
      <c r="A3636">
        <f>IFERROR(INDEX('Email Cleaner'!$B$2:$B$10001,MATCH(3635,'Email Cleaner'!$I$2:$I$10001,0)),"")</f>
        <v/>
      </c>
    </row>
    <row r="3637">
      <c r="A3637">
        <f>IFERROR(INDEX('Email Cleaner'!$B$2:$B$10001,MATCH(3636,'Email Cleaner'!$I$2:$I$10001,0)),"")</f>
        <v/>
      </c>
    </row>
    <row r="3638">
      <c r="A3638">
        <f>IFERROR(INDEX('Email Cleaner'!$B$2:$B$10001,MATCH(3637,'Email Cleaner'!$I$2:$I$10001,0)),"")</f>
        <v/>
      </c>
    </row>
    <row r="3639">
      <c r="A3639">
        <f>IFERROR(INDEX('Email Cleaner'!$B$2:$B$10001,MATCH(3638,'Email Cleaner'!$I$2:$I$10001,0)),"")</f>
        <v/>
      </c>
    </row>
    <row r="3640">
      <c r="A3640">
        <f>IFERROR(INDEX('Email Cleaner'!$B$2:$B$10001,MATCH(3639,'Email Cleaner'!$I$2:$I$10001,0)),"")</f>
        <v/>
      </c>
    </row>
    <row r="3641">
      <c r="A3641">
        <f>IFERROR(INDEX('Email Cleaner'!$B$2:$B$10001,MATCH(3640,'Email Cleaner'!$I$2:$I$10001,0)),"")</f>
        <v/>
      </c>
    </row>
    <row r="3642">
      <c r="A3642">
        <f>IFERROR(INDEX('Email Cleaner'!$B$2:$B$10001,MATCH(3641,'Email Cleaner'!$I$2:$I$10001,0)),"")</f>
        <v/>
      </c>
    </row>
    <row r="3643">
      <c r="A3643">
        <f>IFERROR(INDEX('Email Cleaner'!$B$2:$B$10001,MATCH(3642,'Email Cleaner'!$I$2:$I$10001,0)),"")</f>
        <v/>
      </c>
    </row>
    <row r="3644">
      <c r="A3644">
        <f>IFERROR(INDEX('Email Cleaner'!$B$2:$B$10001,MATCH(3643,'Email Cleaner'!$I$2:$I$10001,0)),"")</f>
        <v/>
      </c>
    </row>
    <row r="3645">
      <c r="A3645">
        <f>IFERROR(INDEX('Email Cleaner'!$B$2:$B$10001,MATCH(3644,'Email Cleaner'!$I$2:$I$10001,0)),"")</f>
        <v/>
      </c>
    </row>
    <row r="3646">
      <c r="A3646">
        <f>IFERROR(INDEX('Email Cleaner'!$B$2:$B$10001,MATCH(3645,'Email Cleaner'!$I$2:$I$10001,0)),"")</f>
        <v/>
      </c>
    </row>
    <row r="3647">
      <c r="A3647">
        <f>IFERROR(INDEX('Email Cleaner'!$B$2:$B$10001,MATCH(3646,'Email Cleaner'!$I$2:$I$10001,0)),"")</f>
        <v/>
      </c>
    </row>
    <row r="3648">
      <c r="A3648">
        <f>IFERROR(INDEX('Email Cleaner'!$B$2:$B$10001,MATCH(3647,'Email Cleaner'!$I$2:$I$10001,0)),"")</f>
        <v/>
      </c>
    </row>
    <row r="3649">
      <c r="A3649">
        <f>IFERROR(INDEX('Email Cleaner'!$B$2:$B$10001,MATCH(3648,'Email Cleaner'!$I$2:$I$10001,0)),"")</f>
        <v/>
      </c>
    </row>
    <row r="3650">
      <c r="A3650">
        <f>IFERROR(INDEX('Email Cleaner'!$B$2:$B$10001,MATCH(3649,'Email Cleaner'!$I$2:$I$10001,0)),"")</f>
        <v/>
      </c>
    </row>
    <row r="3651">
      <c r="A3651">
        <f>IFERROR(INDEX('Email Cleaner'!$B$2:$B$10001,MATCH(3650,'Email Cleaner'!$I$2:$I$10001,0)),"")</f>
        <v/>
      </c>
    </row>
    <row r="3652">
      <c r="A3652">
        <f>IFERROR(INDEX('Email Cleaner'!$B$2:$B$10001,MATCH(3651,'Email Cleaner'!$I$2:$I$10001,0)),"")</f>
        <v/>
      </c>
    </row>
    <row r="3653">
      <c r="A3653">
        <f>IFERROR(INDEX('Email Cleaner'!$B$2:$B$10001,MATCH(3652,'Email Cleaner'!$I$2:$I$10001,0)),"")</f>
        <v/>
      </c>
    </row>
    <row r="3654">
      <c r="A3654">
        <f>IFERROR(INDEX('Email Cleaner'!$B$2:$B$10001,MATCH(3653,'Email Cleaner'!$I$2:$I$10001,0)),"")</f>
        <v/>
      </c>
    </row>
    <row r="3655">
      <c r="A3655">
        <f>IFERROR(INDEX('Email Cleaner'!$B$2:$B$10001,MATCH(3654,'Email Cleaner'!$I$2:$I$10001,0)),"")</f>
        <v/>
      </c>
    </row>
    <row r="3656">
      <c r="A3656">
        <f>IFERROR(INDEX('Email Cleaner'!$B$2:$B$10001,MATCH(3655,'Email Cleaner'!$I$2:$I$10001,0)),"")</f>
        <v/>
      </c>
    </row>
    <row r="3657">
      <c r="A3657">
        <f>IFERROR(INDEX('Email Cleaner'!$B$2:$B$10001,MATCH(3656,'Email Cleaner'!$I$2:$I$10001,0)),"")</f>
        <v/>
      </c>
    </row>
    <row r="3658">
      <c r="A3658">
        <f>IFERROR(INDEX('Email Cleaner'!$B$2:$B$10001,MATCH(3657,'Email Cleaner'!$I$2:$I$10001,0)),"")</f>
        <v/>
      </c>
    </row>
    <row r="3659">
      <c r="A3659">
        <f>IFERROR(INDEX('Email Cleaner'!$B$2:$B$10001,MATCH(3658,'Email Cleaner'!$I$2:$I$10001,0)),"")</f>
        <v/>
      </c>
    </row>
    <row r="3660">
      <c r="A3660">
        <f>IFERROR(INDEX('Email Cleaner'!$B$2:$B$10001,MATCH(3659,'Email Cleaner'!$I$2:$I$10001,0)),"")</f>
        <v/>
      </c>
    </row>
    <row r="3661">
      <c r="A3661">
        <f>IFERROR(INDEX('Email Cleaner'!$B$2:$B$10001,MATCH(3660,'Email Cleaner'!$I$2:$I$10001,0)),"")</f>
        <v/>
      </c>
    </row>
    <row r="3662">
      <c r="A3662">
        <f>IFERROR(INDEX('Email Cleaner'!$B$2:$B$10001,MATCH(3661,'Email Cleaner'!$I$2:$I$10001,0)),"")</f>
        <v/>
      </c>
    </row>
    <row r="3663">
      <c r="A3663">
        <f>IFERROR(INDEX('Email Cleaner'!$B$2:$B$10001,MATCH(3662,'Email Cleaner'!$I$2:$I$10001,0)),"")</f>
        <v/>
      </c>
    </row>
    <row r="3664">
      <c r="A3664">
        <f>IFERROR(INDEX('Email Cleaner'!$B$2:$B$10001,MATCH(3663,'Email Cleaner'!$I$2:$I$10001,0)),"")</f>
        <v/>
      </c>
    </row>
    <row r="3665">
      <c r="A3665">
        <f>IFERROR(INDEX('Email Cleaner'!$B$2:$B$10001,MATCH(3664,'Email Cleaner'!$I$2:$I$10001,0)),"")</f>
        <v/>
      </c>
    </row>
    <row r="3666">
      <c r="A3666">
        <f>IFERROR(INDEX('Email Cleaner'!$B$2:$B$10001,MATCH(3665,'Email Cleaner'!$I$2:$I$10001,0)),"")</f>
        <v/>
      </c>
    </row>
    <row r="3667">
      <c r="A3667">
        <f>IFERROR(INDEX('Email Cleaner'!$B$2:$B$10001,MATCH(3666,'Email Cleaner'!$I$2:$I$10001,0)),"")</f>
        <v/>
      </c>
    </row>
    <row r="3668">
      <c r="A3668">
        <f>IFERROR(INDEX('Email Cleaner'!$B$2:$B$10001,MATCH(3667,'Email Cleaner'!$I$2:$I$10001,0)),"")</f>
        <v/>
      </c>
    </row>
    <row r="3669">
      <c r="A3669">
        <f>IFERROR(INDEX('Email Cleaner'!$B$2:$B$10001,MATCH(3668,'Email Cleaner'!$I$2:$I$10001,0)),"")</f>
        <v/>
      </c>
    </row>
    <row r="3670">
      <c r="A3670">
        <f>IFERROR(INDEX('Email Cleaner'!$B$2:$B$10001,MATCH(3669,'Email Cleaner'!$I$2:$I$10001,0)),"")</f>
        <v/>
      </c>
    </row>
    <row r="3671">
      <c r="A3671">
        <f>IFERROR(INDEX('Email Cleaner'!$B$2:$B$10001,MATCH(3670,'Email Cleaner'!$I$2:$I$10001,0)),"")</f>
        <v/>
      </c>
    </row>
    <row r="3672">
      <c r="A3672">
        <f>IFERROR(INDEX('Email Cleaner'!$B$2:$B$10001,MATCH(3671,'Email Cleaner'!$I$2:$I$10001,0)),"")</f>
        <v/>
      </c>
    </row>
    <row r="3673">
      <c r="A3673">
        <f>IFERROR(INDEX('Email Cleaner'!$B$2:$B$10001,MATCH(3672,'Email Cleaner'!$I$2:$I$10001,0)),"")</f>
        <v/>
      </c>
    </row>
    <row r="3674">
      <c r="A3674">
        <f>IFERROR(INDEX('Email Cleaner'!$B$2:$B$10001,MATCH(3673,'Email Cleaner'!$I$2:$I$10001,0)),"")</f>
        <v/>
      </c>
    </row>
    <row r="3675">
      <c r="A3675">
        <f>IFERROR(INDEX('Email Cleaner'!$B$2:$B$10001,MATCH(3674,'Email Cleaner'!$I$2:$I$10001,0)),"")</f>
        <v/>
      </c>
    </row>
    <row r="3676">
      <c r="A3676">
        <f>IFERROR(INDEX('Email Cleaner'!$B$2:$B$10001,MATCH(3675,'Email Cleaner'!$I$2:$I$10001,0)),"")</f>
        <v/>
      </c>
    </row>
    <row r="3677">
      <c r="A3677">
        <f>IFERROR(INDEX('Email Cleaner'!$B$2:$B$10001,MATCH(3676,'Email Cleaner'!$I$2:$I$10001,0)),"")</f>
        <v/>
      </c>
    </row>
    <row r="3678">
      <c r="A3678">
        <f>IFERROR(INDEX('Email Cleaner'!$B$2:$B$10001,MATCH(3677,'Email Cleaner'!$I$2:$I$10001,0)),"")</f>
        <v/>
      </c>
    </row>
    <row r="3679">
      <c r="A3679">
        <f>IFERROR(INDEX('Email Cleaner'!$B$2:$B$10001,MATCH(3678,'Email Cleaner'!$I$2:$I$10001,0)),"")</f>
        <v/>
      </c>
    </row>
    <row r="3680">
      <c r="A3680">
        <f>IFERROR(INDEX('Email Cleaner'!$B$2:$B$10001,MATCH(3679,'Email Cleaner'!$I$2:$I$10001,0)),"")</f>
        <v/>
      </c>
    </row>
    <row r="3681">
      <c r="A3681">
        <f>IFERROR(INDEX('Email Cleaner'!$B$2:$B$10001,MATCH(3680,'Email Cleaner'!$I$2:$I$10001,0)),"")</f>
        <v/>
      </c>
    </row>
    <row r="3682">
      <c r="A3682">
        <f>IFERROR(INDEX('Email Cleaner'!$B$2:$B$10001,MATCH(3681,'Email Cleaner'!$I$2:$I$10001,0)),"")</f>
        <v/>
      </c>
    </row>
    <row r="3683">
      <c r="A3683">
        <f>IFERROR(INDEX('Email Cleaner'!$B$2:$B$10001,MATCH(3682,'Email Cleaner'!$I$2:$I$10001,0)),"")</f>
        <v/>
      </c>
    </row>
    <row r="3684">
      <c r="A3684">
        <f>IFERROR(INDEX('Email Cleaner'!$B$2:$B$10001,MATCH(3683,'Email Cleaner'!$I$2:$I$10001,0)),"")</f>
        <v/>
      </c>
    </row>
    <row r="3685">
      <c r="A3685">
        <f>IFERROR(INDEX('Email Cleaner'!$B$2:$B$10001,MATCH(3684,'Email Cleaner'!$I$2:$I$10001,0)),"")</f>
        <v/>
      </c>
    </row>
    <row r="3686">
      <c r="A3686">
        <f>IFERROR(INDEX('Email Cleaner'!$B$2:$B$10001,MATCH(3685,'Email Cleaner'!$I$2:$I$10001,0)),"")</f>
        <v/>
      </c>
    </row>
    <row r="3687">
      <c r="A3687">
        <f>IFERROR(INDEX('Email Cleaner'!$B$2:$B$10001,MATCH(3686,'Email Cleaner'!$I$2:$I$10001,0)),"")</f>
        <v/>
      </c>
    </row>
    <row r="3688">
      <c r="A3688">
        <f>IFERROR(INDEX('Email Cleaner'!$B$2:$B$10001,MATCH(3687,'Email Cleaner'!$I$2:$I$10001,0)),"")</f>
        <v/>
      </c>
    </row>
    <row r="3689">
      <c r="A3689">
        <f>IFERROR(INDEX('Email Cleaner'!$B$2:$B$10001,MATCH(3688,'Email Cleaner'!$I$2:$I$10001,0)),"")</f>
        <v/>
      </c>
    </row>
    <row r="3690">
      <c r="A3690">
        <f>IFERROR(INDEX('Email Cleaner'!$B$2:$B$10001,MATCH(3689,'Email Cleaner'!$I$2:$I$10001,0)),"")</f>
        <v/>
      </c>
    </row>
    <row r="3691">
      <c r="A3691">
        <f>IFERROR(INDEX('Email Cleaner'!$B$2:$B$10001,MATCH(3690,'Email Cleaner'!$I$2:$I$10001,0)),"")</f>
        <v/>
      </c>
    </row>
    <row r="3692">
      <c r="A3692">
        <f>IFERROR(INDEX('Email Cleaner'!$B$2:$B$10001,MATCH(3691,'Email Cleaner'!$I$2:$I$10001,0)),"")</f>
        <v/>
      </c>
    </row>
    <row r="3693">
      <c r="A3693">
        <f>IFERROR(INDEX('Email Cleaner'!$B$2:$B$10001,MATCH(3692,'Email Cleaner'!$I$2:$I$10001,0)),"")</f>
        <v/>
      </c>
    </row>
    <row r="3694">
      <c r="A3694">
        <f>IFERROR(INDEX('Email Cleaner'!$B$2:$B$10001,MATCH(3693,'Email Cleaner'!$I$2:$I$10001,0)),"")</f>
        <v/>
      </c>
    </row>
    <row r="3695">
      <c r="A3695">
        <f>IFERROR(INDEX('Email Cleaner'!$B$2:$B$10001,MATCH(3694,'Email Cleaner'!$I$2:$I$10001,0)),"")</f>
        <v/>
      </c>
    </row>
    <row r="3696">
      <c r="A3696">
        <f>IFERROR(INDEX('Email Cleaner'!$B$2:$B$10001,MATCH(3695,'Email Cleaner'!$I$2:$I$10001,0)),"")</f>
        <v/>
      </c>
    </row>
    <row r="3697">
      <c r="A3697">
        <f>IFERROR(INDEX('Email Cleaner'!$B$2:$B$10001,MATCH(3696,'Email Cleaner'!$I$2:$I$10001,0)),"")</f>
        <v/>
      </c>
    </row>
    <row r="3698">
      <c r="A3698">
        <f>IFERROR(INDEX('Email Cleaner'!$B$2:$B$10001,MATCH(3697,'Email Cleaner'!$I$2:$I$10001,0)),"")</f>
        <v/>
      </c>
    </row>
    <row r="3699">
      <c r="A3699">
        <f>IFERROR(INDEX('Email Cleaner'!$B$2:$B$10001,MATCH(3698,'Email Cleaner'!$I$2:$I$10001,0)),"")</f>
        <v/>
      </c>
    </row>
    <row r="3700">
      <c r="A3700">
        <f>IFERROR(INDEX('Email Cleaner'!$B$2:$B$10001,MATCH(3699,'Email Cleaner'!$I$2:$I$10001,0)),"")</f>
        <v/>
      </c>
    </row>
    <row r="3701">
      <c r="A3701">
        <f>IFERROR(INDEX('Email Cleaner'!$B$2:$B$10001,MATCH(3700,'Email Cleaner'!$I$2:$I$10001,0)),"")</f>
        <v/>
      </c>
    </row>
    <row r="3702">
      <c r="A3702">
        <f>IFERROR(INDEX('Email Cleaner'!$B$2:$B$10001,MATCH(3701,'Email Cleaner'!$I$2:$I$10001,0)),"")</f>
        <v/>
      </c>
    </row>
    <row r="3703">
      <c r="A3703">
        <f>IFERROR(INDEX('Email Cleaner'!$B$2:$B$10001,MATCH(3702,'Email Cleaner'!$I$2:$I$10001,0)),"")</f>
        <v/>
      </c>
    </row>
    <row r="3704">
      <c r="A3704">
        <f>IFERROR(INDEX('Email Cleaner'!$B$2:$B$10001,MATCH(3703,'Email Cleaner'!$I$2:$I$10001,0)),"")</f>
        <v/>
      </c>
    </row>
    <row r="3705">
      <c r="A3705">
        <f>IFERROR(INDEX('Email Cleaner'!$B$2:$B$10001,MATCH(3704,'Email Cleaner'!$I$2:$I$10001,0)),"")</f>
        <v/>
      </c>
    </row>
    <row r="3706">
      <c r="A3706">
        <f>IFERROR(INDEX('Email Cleaner'!$B$2:$B$10001,MATCH(3705,'Email Cleaner'!$I$2:$I$10001,0)),"")</f>
        <v/>
      </c>
    </row>
    <row r="3707">
      <c r="A3707">
        <f>IFERROR(INDEX('Email Cleaner'!$B$2:$B$10001,MATCH(3706,'Email Cleaner'!$I$2:$I$10001,0)),"")</f>
        <v/>
      </c>
    </row>
    <row r="3708">
      <c r="A3708">
        <f>IFERROR(INDEX('Email Cleaner'!$B$2:$B$10001,MATCH(3707,'Email Cleaner'!$I$2:$I$10001,0)),"")</f>
        <v/>
      </c>
    </row>
    <row r="3709">
      <c r="A3709">
        <f>IFERROR(INDEX('Email Cleaner'!$B$2:$B$10001,MATCH(3708,'Email Cleaner'!$I$2:$I$10001,0)),"")</f>
        <v/>
      </c>
    </row>
    <row r="3710">
      <c r="A3710">
        <f>IFERROR(INDEX('Email Cleaner'!$B$2:$B$10001,MATCH(3709,'Email Cleaner'!$I$2:$I$10001,0)),"")</f>
        <v/>
      </c>
    </row>
    <row r="3711">
      <c r="A3711">
        <f>IFERROR(INDEX('Email Cleaner'!$B$2:$B$10001,MATCH(3710,'Email Cleaner'!$I$2:$I$10001,0)),"")</f>
        <v/>
      </c>
    </row>
    <row r="3712">
      <c r="A3712">
        <f>IFERROR(INDEX('Email Cleaner'!$B$2:$B$10001,MATCH(3711,'Email Cleaner'!$I$2:$I$10001,0)),"")</f>
        <v/>
      </c>
    </row>
    <row r="3713">
      <c r="A3713">
        <f>IFERROR(INDEX('Email Cleaner'!$B$2:$B$10001,MATCH(3712,'Email Cleaner'!$I$2:$I$10001,0)),"")</f>
        <v/>
      </c>
    </row>
    <row r="3714">
      <c r="A3714">
        <f>IFERROR(INDEX('Email Cleaner'!$B$2:$B$10001,MATCH(3713,'Email Cleaner'!$I$2:$I$10001,0)),"")</f>
        <v/>
      </c>
    </row>
    <row r="3715">
      <c r="A3715">
        <f>IFERROR(INDEX('Email Cleaner'!$B$2:$B$10001,MATCH(3714,'Email Cleaner'!$I$2:$I$10001,0)),"")</f>
        <v/>
      </c>
    </row>
    <row r="3716">
      <c r="A3716">
        <f>IFERROR(INDEX('Email Cleaner'!$B$2:$B$10001,MATCH(3715,'Email Cleaner'!$I$2:$I$10001,0)),"")</f>
        <v/>
      </c>
    </row>
    <row r="3717">
      <c r="A3717">
        <f>IFERROR(INDEX('Email Cleaner'!$B$2:$B$10001,MATCH(3716,'Email Cleaner'!$I$2:$I$10001,0)),"")</f>
        <v/>
      </c>
    </row>
    <row r="3718">
      <c r="A3718">
        <f>IFERROR(INDEX('Email Cleaner'!$B$2:$B$10001,MATCH(3717,'Email Cleaner'!$I$2:$I$10001,0)),"")</f>
        <v/>
      </c>
    </row>
    <row r="3719">
      <c r="A3719">
        <f>IFERROR(INDEX('Email Cleaner'!$B$2:$B$10001,MATCH(3718,'Email Cleaner'!$I$2:$I$10001,0)),"")</f>
        <v/>
      </c>
    </row>
    <row r="3720">
      <c r="A3720">
        <f>IFERROR(INDEX('Email Cleaner'!$B$2:$B$10001,MATCH(3719,'Email Cleaner'!$I$2:$I$10001,0)),"")</f>
        <v/>
      </c>
    </row>
    <row r="3721">
      <c r="A3721">
        <f>IFERROR(INDEX('Email Cleaner'!$B$2:$B$10001,MATCH(3720,'Email Cleaner'!$I$2:$I$10001,0)),"")</f>
        <v/>
      </c>
    </row>
    <row r="3722">
      <c r="A3722">
        <f>IFERROR(INDEX('Email Cleaner'!$B$2:$B$10001,MATCH(3721,'Email Cleaner'!$I$2:$I$10001,0)),"")</f>
        <v/>
      </c>
    </row>
    <row r="3723">
      <c r="A3723">
        <f>IFERROR(INDEX('Email Cleaner'!$B$2:$B$10001,MATCH(3722,'Email Cleaner'!$I$2:$I$10001,0)),"")</f>
        <v/>
      </c>
    </row>
    <row r="3724">
      <c r="A3724">
        <f>IFERROR(INDEX('Email Cleaner'!$B$2:$B$10001,MATCH(3723,'Email Cleaner'!$I$2:$I$10001,0)),"")</f>
        <v/>
      </c>
    </row>
    <row r="3725">
      <c r="A3725">
        <f>IFERROR(INDEX('Email Cleaner'!$B$2:$B$10001,MATCH(3724,'Email Cleaner'!$I$2:$I$10001,0)),"")</f>
        <v/>
      </c>
    </row>
    <row r="3726">
      <c r="A3726">
        <f>IFERROR(INDEX('Email Cleaner'!$B$2:$B$10001,MATCH(3725,'Email Cleaner'!$I$2:$I$10001,0)),"")</f>
        <v/>
      </c>
    </row>
    <row r="3727">
      <c r="A3727">
        <f>IFERROR(INDEX('Email Cleaner'!$B$2:$B$10001,MATCH(3726,'Email Cleaner'!$I$2:$I$10001,0)),"")</f>
        <v/>
      </c>
    </row>
    <row r="3728">
      <c r="A3728">
        <f>IFERROR(INDEX('Email Cleaner'!$B$2:$B$10001,MATCH(3727,'Email Cleaner'!$I$2:$I$10001,0)),"")</f>
        <v/>
      </c>
    </row>
    <row r="3729">
      <c r="A3729">
        <f>IFERROR(INDEX('Email Cleaner'!$B$2:$B$10001,MATCH(3728,'Email Cleaner'!$I$2:$I$10001,0)),"")</f>
        <v/>
      </c>
    </row>
    <row r="3730">
      <c r="A3730">
        <f>IFERROR(INDEX('Email Cleaner'!$B$2:$B$10001,MATCH(3729,'Email Cleaner'!$I$2:$I$10001,0)),"")</f>
        <v/>
      </c>
    </row>
    <row r="3731">
      <c r="A3731">
        <f>IFERROR(INDEX('Email Cleaner'!$B$2:$B$10001,MATCH(3730,'Email Cleaner'!$I$2:$I$10001,0)),"")</f>
        <v/>
      </c>
    </row>
    <row r="3732">
      <c r="A3732">
        <f>IFERROR(INDEX('Email Cleaner'!$B$2:$B$10001,MATCH(3731,'Email Cleaner'!$I$2:$I$10001,0)),"")</f>
        <v/>
      </c>
    </row>
    <row r="3733">
      <c r="A3733">
        <f>IFERROR(INDEX('Email Cleaner'!$B$2:$B$10001,MATCH(3732,'Email Cleaner'!$I$2:$I$10001,0)),"")</f>
        <v/>
      </c>
    </row>
    <row r="3734">
      <c r="A3734">
        <f>IFERROR(INDEX('Email Cleaner'!$B$2:$B$10001,MATCH(3733,'Email Cleaner'!$I$2:$I$10001,0)),"")</f>
        <v/>
      </c>
    </row>
    <row r="3735">
      <c r="A3735">
        <f>IFERROR(INDEX('Email Cleaner'!$B$2:$B$10001,MATCH(3734,'Email Cleaner'!$I$2:$I$10001,0)),"")</f>
        <v/>
      </c>
    </row>
    <row r="3736">
      <c r="A3736">
        <f>IFERROR(INDEX('Email Cleaner'!$B$2:$B$10001,MATCH(3735,'Email Cleaner'!$I$2:$I$10001,0)),"")</f>
        <v/>
      </c>
    </row>
    <row r="3737">
      <c r="A3737">
        <f>IFERROR(INDEX('Email Cleaner'!$B$2:$B$10001,MATCH(3736,'Email Cleaner'!$I$2:$I$10001,0)),"")</f>
        <v/>
      </c>
    </row>
    <row r="3738">
      <c r="A3738">
        <f>IFERROR(INDEX('Email Cleaner'!$B$2:$B$10001,MATCH(3737,'Email Cleaner'!$I$2:$I$10001,0)),"")</f>
        <v/>
      </c>
    </row>
    <row r="3739">
      <c r="A3739">
        <f>IFERROR(INDEX('Email Cleaner'!$B$2:$B$10001,MATCH(3738,'Email Cleaner'!$I$2:$I$10001,0)),"")</f>
        <v/>
      </c>
    </row>
    <row r="3740">
      <c r="A3740">
        <f>IFERROR(INDEX('Email Cleaner'!$B$2:$B$10001,MATCH(3739,'Email Cleaner'!$I$2:$I$10001,0)),"")</f>
        <v/>
      </c>
    </row>
    <row r="3741">
      <c r="A3741">
        <f>IFERROR(INDEX('Email Cleaner'!$B$2:$B$10001,MATCH(3740,'Email Cleaner'!$I$2:$I$10001,0)),"")</f>
        <v/>
      </c>
    </row>
    <row r="3742">
      <c r="A3742">
        <f>IFERROR(INDEX('Email Cleaner'!$B$2:$B$10001,MATCH(3741,'Email Cleaner'!$I$2:$I$10001,0)),"")</f>
        <v/>
      </c>
    </row>
    <row r="3743">
      <c r="A3743">
        <f>IFERROR(INDEX('Email Cleaner'!$B$2:$B$10001,MATCH(3742,'Email Cleaner'!$I$2:$I$10001,0)),"")</f>
        <v/>
      </c>
    </row>
    <row r="3744">
      <c r="A3744">
        <f>IFERROR(INDEX('Email Cleaner'!$B$2:$B$10001,MATCH(3743,'Email Cleaner'!$I$2:$I$10001,0)),"")</f>
        <v/>
      </c>
    </row>
    <row r="3745">
      <c r="A3745">
        <f>IFERROR(INDEX('Email Cleaner'!$B$2:$B$10001,MATCH(3744,'Email Cleaner'!$I$2:$I$10001,0)),"")</f>
        <v/>
      </c>
    </row>
    <row r="3746">
      <c r="A3746">
        <f>IFERROR(INDEX('Email Cleaner'!$B$2:$B$10001,MATCH(3745,'Email Cleaner'!$I$2:$I$10001,0)),"")</f>
        <v/>
      </c>
    </row>
    <row r="3747">
      <c r="A3747">
        <f>IFERROR(INDEX('Email Cleaner'!$B$2:$B$10001,MATCH(3746,'Email Cleaner'!$I$2:$I$10001,0)),"")</f>
        <v/>
      </c>
    </row>
    <row r="3748">
      <c r="A3748">
        <f>IFERROR(INDEX('Email Cleaner'!$B$2:$B$10001,MATCH(3747,'Email Cleaner'!$I$2:$I$10001,0)),"")</f>
        <v/>
      </c>
    </row>
    <row r="3749">
      <c r="A3749">
        <f>IFERROR(INDEX('Email Cleaner'!$B$2:$B$10001,MATCH(3748,'Email Cleaner'!$I$2:$I$10001,0)),"")</f>
        <v/>
      </c>
    </row>
    <row r="3750">
      <c r="A3750">
        <f>IFERROR(INDEX('Email Cleaner'!$B$2:$B$10001,MATCH(3749,'Email Cleaner'!$I$2:$I$10001,0)),"")</f>
        <v/>
      </c>
    </row>
    <row r="3751">
      <c r="A3751">
        <f>IFERROR(INDEX('Email Cleaner'!$B$2:$B$10001,MATCH(3750,'Email Cleaner'!$I$2:$I$10001,0)),"")</f>
        <v/>
      </c>
    </row>
    <row r="3752">
      <c r="A3752">
        <f>IFERROR(INDEX('Email Cleaner'!$B$2:$B$10001,MATCH(3751,'Email Cleaner'!$I$2:$I$10001,0)),"")</f>
        <v/>
      </c>
    </row>
    <row r="3753">
      <c r="A3753">
        <f>IFERROR(INDEX('Email Cleaner'!$B$2:$B$10001,MATCH(3752,'Email Cleaner'!$I$2:$I$10001,0)),"")</f>
        <v/>
      </c>
    </row>
    <row r="3754">
      <c r="A3754">
        <f>IFERROR(INDEX('Email Cleaner'!$B$2:$B$10001,MATCH(3753,'Email Cleaner'!$I$2:$I$10001,0)),"")</f>
        <v/>
      </c>
    </row>
    <row r="3755">
      <c r="A3755">
        <f>IFERROR(INDEX('Email Cleaner'!$B$2:$B$10001,MATCH(3754,'Email Cleaner'!$I$2:$I$10001,0)),"")</f>
        <v/>
      </c>
    </row>
    <row r="3756">
      <c r="A3756">
        <f>IFERROR(INDEX('Email Cleaner'!$B$2:$B$10001,MATCH(3755,'Email Cleaner'!$I$2:$I$10001,0)),"")</f>
        <v/>
      </c>
    </row>
    <row r="3757">
      <c r="A3757">
        <f>IFERROR(INDEX('Email Cleaner'!$B$2:$B$10001,MATCH(3756,'Email Cleaner'!$I$2:$I$10001,0)),"")</f>
        <v/>
      </c>
    </row>
    <row r="3758">
      <c r="A3758">
        <f>IFERROR(INDEX('Email Cleaner'!$B$2:$B$10001,MATCH(3757,'Email Cleaner'!$I$2:$I$10001,0)),"")</f>
        <v/>
      </c>
    </row>
    <row r="3759">
      <c r="A3759">
        <f>IFERROR(INDEX('Email Cleaner'!$B$2:$B$10001,MATCH(3758,'Email Cleaner'!$I$2:$I$10001,0)),"")</f>
        <v/>
      </c>
    </row>
    <row r="3760">
      <c r="A3760">
        <f>IFERROR(INDEX('Email Cleaner'!$B$2:$B$10001,MATCH(3759,'Email Cleaner'!$I$2:$I$10001,0)),"")</f>
        <v/>
      </c>
    </row>
    <row r="3761">
      <c r="A3761">
        <f>IFERROR(INDEX('Email Cleaner'!$B$2:$B$10001,MATCH(3760,'Email Cleaner'!$I$2:$I$10001,0)),"")</f>
        <v/>
      </c>
    </row>
    <row r="3762">
      <c r="A3762">
        <f>IFERROR(INDEX('Email Cleaner'!$B$2:$B$10001,MATCH(3761,'Email Cleaner'!$I$2:$I$10001,0)),"")</f>
        <v/>
      </c>
    </row>
    <row r="3763">
      <c r="A3763">
        <f>IFERROR(INDEX('Email Cleaner'!$B$2:$B$10001,MATCH(3762,'Email Cleaner'!$I$2:$I$10001,0)),"")</f>
        <v/>
      </c>
    </row>
    <row r="3764">
      <c r="A3764">
        <f>IFERROR(INDEX('Email Cleaner'!$B$2:$B$10001,MATCH(3763,'Email Cleaner'!$I$2:$I$10001,0)),"")</f>
        <v/>
      </c>
    </row>
    <row r="3765">
      <c r="A3765">
        <f>IFERROR(INDEX('Email Cleaner'!$B$2:$B$10001,MATCH(3764,'Email Cleaner'!$I$2:$I$10001,0)),"")</f>
        <v/>
      </c>
    </row>
    <row r="3766">
      <c r="A3766">
        <f>IFERROR(INDEX('Email Cleaner'!$B$2:$B$10001,MATCH(3765,'Email Cleaner'!$I$2:$I$10001,0)),"")</f>
        <v/>
      </c>
    </row>
    <row r="3767">
      <c r="A3767">
        <f>IFERROR(INDEX('Email Cleaner'!$B$2:$B$10001,MATCH(3766,'Email Cleaner'!$I$2:$I$10001,0)),"")</f>
        <v/>
      </c>
    </row>
    <row r="3768">
      <c r="A3768">
        <f>IFERROR(INDEX('Email Cleaner'!$B$2:$B$10001,MATCH(3767,'Email Cleaner'!$I$2:$I$10001,0)),"")</f>
        <v/>
      </c>
    </row>
    <row r="3769">
      <c r="A3769">
        <f>IFERROR(INDEX('Email Cleaner'!$B$2:$B$10001,MATCH(3768,'Email Cleaner'!$I$2:$I$10001,0)),"")</f>
        <v/>
      </c>
    </row>
    <row r="3770">
      <c r="A3770">
        <f>IFERROR(INDEX('Email Cleaner'!$B$2:$B$10001,MATCH(3769,'Email Cleaner'!$I$2:$I$10001,0)),"")</f>
        <v/>
      </c>
    </row>
    <row r="3771">
      <c r="A3771">
        <f>IFERROR(INDEX('Email Cleaner'!$B$2:$B$10001,MATCH(3770,'Email Cleaner'!$I$2:$I$10001,0)),"")</f>
        <v/>
      </c>
    </row>
    <row r="3772">
      <c r="A3772">
        <f>IFERROR(INDEX('Email Cleaner'!$B$2:$B$10001,MATCH(3771,'Email Cleaner'!$I$2:$I$10001,0)),"")</f>
        <v/>
      </c>
    </row>
    <row r="3773">
      <c r="A3773">
        <f>IFERROR(INDEX('Email Cleaner'!$B$2:$B$10001,MATCH(3772,'Email Cleaner'!$I$2:$I$10001,0)),"")</f>
        <v/>
      </c>
    </row>
    <row r="3774">
      <c r="A3774">
        <f>IFERROR(INDEX('Email Cleaner'!$B$2:$B$10001,MATCH(3773,'Email Cleaner'!$I$2:$I$10001,0)),"")</f>
        <v/>
      </c>
    </row>
    <row r="3775">
      <c r="A3775">
        <f>IFERROR(INDEX('Email Cleaner'!$B$2:$B$10001,MATCH(3774,'Email Cleaner'!$I$2:$I$10001,0)),"")</f>
        <v/>
      </c>
    </row>
    <row r="3776">
      <c r="A3776">
        <f>IFERROR(INDEX('Email Cleaner'!$B$2:$B$10001,MATCH(3775,'Email Cleaner'!$I$2:$I$10001,0)),"")</f>
        <v/>
      </c>
    </row>
    <row r="3777">
      <c r="A3777">
        <f>IFERROR(INDEX('Email Cleaner'!$B$2:$B$10001,MATCH(3776,'Email Cleaner'!$I$2:$I$10001,0)),"")</f>
        <v/>
      </c>
    </row>
    <row r="3778">
      <c r="A3778">
        <f>IFERROR(INDEX('Email Cleaner'!$B$2:$B$10001,MATCH(3777,'Email Cleaner'!$I$2:$I$10001,0)),"")</f>
        <v/>
      </c>
    </row>
    <row r="3779">
      <c r="A3779">
        <f>IFERROR(INDEX('Email Cleaner'!$B$2:$B$10001,MATCH(3778,'Email Cleaner'!$I$2:$I$10001,0)),"")</f>
        <v/>
      </c>
    </row>
    <row r="3780">
      <c r="A3780">
        <f>IFERROR(INDEX('Email Cleaner'!$B$2:$B$10001,MATCH(3779,'Email Cleaner'!$I$2:$I$10001,0)),"")</f>
        <v/>
      </c>
    </row>
    <row r="3781">
      <c r="A3781">
        <f>IFERROR(INDEX('Email Cleaner'!$B$2:$B$10001,MATCH(3780,'Email Cleaner'!$I$2:$I$10001,0)),"")</f>
        <v/>
      </c>
    </row>
    <row r="3782">
      <c r="A3782">
        <f>IFERROR(INDEX('Email Cleaner'!$B$2:$B$10001,MATCH(3781,'Email Cleaner'!$I$2:$I$10001,0)),"")</f>
        <v/>
      </c>
    </row>
    <row r="3783">
      <c r="A3783">
        <f>IFERROR(INDEX('Email Cleaner'!$B$2:$B$10001,MATCH(3782,'Email Cleaner'!$I$2:$I$10001,0)),"")</f>
        <v/>
      </c>
    </row>
    <row r="3784">
      <c r="A3784">
        <f>IFERROR(INDEX('Email Cleaner'!$B$2:$B$10001,MATCH(3783,'Email Cleaner'!$I$2:$I$10001,0)),"")</f>
        <v/>
      </c>
    </row>
    <row r="3785">
      <c r="A3785">
        <f>IFERROR(INDEX('Email Cleaner'!$B$2:$B$10001,MATCH(3784,'Email Cleaner'!$I$2:$I$10001,0)),"")</f>
        <v/>
      </c>
    </row>
    <row r="3786">
      <c r="A3786">
        <f>IFERROR(INDEX('Email Cleaner'!$B$2:$B$10001,MATCH(3785,'Email Cleaner'!$I$2:$I$10001,0)),"")</f>
        <v/>
      </c>
    </row>
    <row r="3787">
      <c r="A3787">
        <f>IFERROR(INDEX('Email Cleaner'!$B$2:$B$10001,MATCH(3786,'Email Cleaner'!$I$2:$I$10001,0)),"")</f>
        <v/>
      </c>
    </row>
    <row r="3788">
      <c r="A3788">
        <f>IFERROR(INDEX('Email Cleaner'!$B$2:$B$10001,MATCH(3787,'Email Cleaner'!$I$2:$I$10001,0)),"")</f>
        <v/>
      </c>
    </row>
    <row r="3789">
      <c r="A3789">
        <f>IFERROR(INDEX('Email Cleaner'!$B$2:$B$10001,MATCH(3788,'Email Cleaner'!$I$2:$I$10001,0)),"")</f>
        <v/>
      </c>
    </row>
    <row r="3790">
      <c r="A3790">
        <f>IFERROR(INDEX('Email Cleaner'!$B$2:$B$10001,MATCH(3789,'Email Cleaner'!$I$2:$I$10001,0)),"")</f>
        <v/>
      </c>
    </row>
    <row r="3791">
      <c r="A3791">
        <f>IFERROR(INDEX('Email Cleaner'!$B$2:$B$10001,MATCH(3790,'Email Cleaner'!$I$2:$I$10001,0)),"")</f>
        <v/>
      </c>
    </row>
    <row r="3792">
      <c r="A3792">
        <f>IFERROR(INDEX('Email Cleaner'!$B$2:$B$10001,MATCH(3791,'Email Cleaner'!$I$2:$I$10001,0)),"")</f>
        <v/>
      </c>
    </row>
    <row r="3793">
      <c r="A3793">
        <f>IFERROR(INDEX('Email Cleaner'!$B$2:$B$10001,MATCH(3792,'Email Cleaner'!$I$2:$I$10001,0)),"")</f>
        <v/>
      </c>
    </row>
    <row r="3794">
      <c r="A3794">
        <f>IFERROR(INDEX('Email Cleaner'!$B$2:$B$10001,MATCH(3793,'Email Cleaner'!$I$2:$I$10001,0)),"")</f>
        <v/>
      </c>
    </row>
    <row r="3795">
      <c r="A3795">
        <f>IFERROR(INDEX('Email Cleaner'!$B$2:$B$10001,MATCH(3794,'Email Cleaner'!$I$2:$I$10001,0)),"")</f>
        <v/>
      </c>
    </row>
    <row r="3796">
      <c r="A3796">
        <f>IFERROR(INDEX('Email Cleaner'!$B$2:$B$10001,MATCH(3795,'Email Cleaner'!$I$2:$I$10001,0)),"")</f>
        <v/>
      </c>
    </row>
    <row r="3797">
      <c r="A3797">
        <f>IFERROR(INDEX('Email Cleaner'!$B$2:$B$10001,MATCH(3796,'Email Cleaner'!$I$2:$I$10001,0)),"")</f>
        <v/>
      </c>
    </row>
    <row r="3798">
      <c r="A3798">
        <f>IFERROR(INDEX('Email Cleaner'!$B$2:$B$10001,MATCH(3797,'Email Cleaner'!$I$2:$I$10001,0)),"")</f>
        <v/>
      </c>
    </row>
    <row r="3799">
      <c r="A3799">
        <f>IFERROR(INDEX('Email Cleaner'!$B$2:$B$10001,MATCH(3798,'Email Cleaner'!$I$2:$I$10001,0)),"")</f>
        <v/>
      </c>
    </row>
    <row r="3800">
      <c r="A3800">
        <f>IFERROR(INDEX('Email Cleaner'!$B$2:$B$10001,MATCH(3799,'Email Cleaner'!$I$2:$I$10001,0)),"")</f>
        <v/>
      </c>
    </row>
    <row r="3801">
      <c r="A3801">
        <f>IFERROR(INDEX('Email Cleaner'!$B$2:$B$10001,MATCH(3800,'Email Cleaner'!$I$2:$I$10001,0)),"")</f>
        <v/>
      </c>
    </row>
    <row r="3802">
      <c r="A3802">
        <f>IFERROR(INDEX('Email Cleaner'!$B$2:$B$10001,MATCH(3801,'Email Cleaner'!$I$2:$I$10001,0)),"")</f>
        <v/>
      </c>
    </row>
    <row r="3803">
      <c r="A3803">
        <f>IFERROR(INDEX('Email Cleaner'!$B$2:$B$10001,MATCH(3802,'Email Cleaner'!$I$2:$I$10001,0)),"")</f>
        <v/>
      </c>
    </row>
    <row r="3804">
      <c r="A3804">
        <f>IFERROR(INDEX('Email Cleaner'!$B$2:$B$10001,MATCH(3803,'Email Cleaner'!$I$2:$I$10001,0)),"")</f>
        <v/>
      </c>
    </row>
    <row r="3805">
      <c r="A3805">
        <f>IFERROR(INDEX('Email Cleaner'!$B$2:$B$10001,MATCH(3804,'Email Cleaner'!$I$2:$I$10001,0)),"")</f>
        <v/>
      </c>
    </row>
    <row r="3806">
      <c r="A3806">
        <f>IFERROR(INDEX('Email Cleaner'!$B$2:$B$10001,MATCH(3805,'Email Cleaner'!$I$2:$I$10001,0)),"")</f>
        <v/>
      </c>
    </row>
    <row r="3807">
      <c r="A3807">
        <f>IFERROR(INDEX('Email Cleaner'!$B$2:$B$10001,MATCH(3806,'Email Cleaner'!$I$2:$I$10001,0)),"")</f>
        <v/>
      </c>
    </row>
    <row r="3808">
      <c r="A3808">
        <f>IFERROR(INDEX('Email Cleaner'!$B$2:$B$10001,MATCH(3807,'Email Cleaner'!$I$2:$I$10001,0)),"")</f>
        <v/>
      </c>
    </row>
    <row r="3809">
      <c r="A3809">
        <f>IFERROR(INDEX('Email Cleaner'!$B$2:$B$10001,MATCH(3808,'Email Cleaner'!$I$2:$I$10001,0)),"")</f>
        <v/>
      </c>
    </row>
    <row r="3810">
      <c r="A3810">
        <f>IFERROR(INDEX('Email Cleaner'!$B$2:$B$10001,MATCH(3809,'Email Cleaner'!$I$2:$I$10001,0)),"")</f>
        <v/>
      </c>
    </row>
    <row r="3811">
      <c r="A3811">
        <f>IFERROR(INDEX('Email Cleaner'!$B$2:$B$10001,MATCH(3810,'Email Cleaner'!$I$2:$I$10001,0)),"")</f>
        <v/>
      </c>
    </row>
    <row r="3812">
      <c r="A3812">
        <f>IFERROR(INDEX('Email Cleaner'!$B$2:$B$10001,MATCH(3811,'Email Cleaner'!$I$2:$I$10001,0)),"")</f>
        <v/>
      </c>
    </row>
    <row r="3813">
      <c r="A3813">
        <f>IFERROR(INDEX('Email Cleaner'!$B$2:$B$10001,MATCH(3812,'Email Cleaner'!$I$2:$I$10001,0)),"")</f>
        <v/>
      </c>
    </row>
    <row r="3814">
      <c r="A3814">
        <f>IFERROR(INDEX('Email Cleaner'!$B$2:$B$10001,MATCH(3813,'Email Cleaner'!$I$2:$I$10001,0)),"")</f>
        <v/>
      </c>
    </row>
    <row r="3815">
      <c r="A3815">
        <f>IFERROR(INDEX('Email Cleaner'!$B$2:$B$10001,MATCH(3814,'Email Cleaner'!$I$2:$I$10001,0)),"")</f>
        <v/>
      </c>
    </row>
    <row r="3816">
      <c r="A3816">
        <f>IFERROR(INDEX('Email Cleaner'!$B$2:$B$10001,MATCH(3815,'Email Cleaner'!$I$2:$I$10001,0)),"")</f>
        <v/>
      </c>
    </row>
    <row r="3817">
      <c r="A3817">
        <f>IFERROR(INDEX('Email Cleaner'!$B$2:$B$10001,MATCH(3816,'Email Cleaner'!$I$2:$I$10001,0)),"")</f>
        <v/>
      </c>
    </row>
    <row r="3818">
      <c r="A3818">
        <f>IFERROR(INDEX('Email Cleaner'!$B$2:$B$10001,MATCH(3817,'Email Cleaner'!$I$2:$I$10001,0)),"")</f>
        <v/>
      </c>
    </row>
    <row r="3819">
      <c r="A3819">
        <f>IFERROR(INDEX('Email Cleaner'!$B$2:$B$10001,MATCH(3818,'Email Cleaner'!$I$2:$I$10001,0)),"")</f>
        <v/>
      </c>
    </row>
    <row r="3820">
      <c r="A3820">
        <f>IFERROR(INDEX('Email Cleaner'!$B$2:$B$10001,MATCH(3819,'Email Cleaner'!$I$2:$I$10001,0)),"")</f>
        <v/>
      </c>
    </row>
    <row r="3821">
      <c r="A3821">
        <f>IFERROR(INDEX('Email Cleaner'!$B$2:$B$10001,MATCH(3820,'Email Cleaner'!$I$2:$I$10001,0)),"")</f>
        <v/>
      </c>
    </row>
    <row r="3822">
      <c r="A3822">
        <f>IFERROR(INDEX('Email Cleaner'!$B$2:$B$10001,MATCH(3821,'Email Cleaner'!$I$2:$I$10001,0)),"")</f>
        <v/>
      </c>
    </row>
    <row r="3823">
      <c r="A3823">
        <f>IFERROR(INDEX('Email Cleaner'!$B$2:$B$10001,MATCH(3822,'Email Cleaner'!$I$2:$I$10001,0)),"")</f>
        <v/>
      </c>
    </row>
    <row r="3824">
      <c r="A3824">
        <f>IFERROR(INDEX('Email Cleaner'!$B$2:$B$10001,MATCH(3823,'Email Cleaner'!$I$2:$I$10001,0)),"")</f>
        <v/>
      </c>
    </row>
    <row r="3825">
      <c r="A3825">
        <f>IFERROR(INDEX('Email Cleaner'!$B$2:$B$10001,MATCH(3824,'Email Cleaner'!$I$2:$I$10001,0)),"")</f>
        <v/>
      </c>
    </row>
    <row r="3826">
      <c r="A3826">
        <f>IFERROR(INDEX('Email Cleaner'!$B$2:$B$10001,MATCH(3825,'Email Cleaner'!$I$2:$I$10001,0)),"")</f>
        <v/>
      </c>
    </row>
    <row r="3827">
      <c r="A3827">
        <f>IFERROR(INDEX('Email Cleaner'!$B$2:$B$10001,MATCH(3826,'Email Cleaner'!$I$2:$I$10001,0)),"")</f>
        <v/>
      </c>
    </row>
    <row r="3828">
      <c r="A3828">
        <f>IFERROR(INDEX('Email Cleaner'!$B$2:$B$10001,MATCH(3827,'Email Cleaner'!$I$2:$I$10001,0)),"")</f>
        <v/>
      </c>
    </row>
    <row r="3829">
      <c r="A3829">
        <f>IFERROR(INDEX('Email Cleaner'!$B$2:$B$10001,MATCH(3828,'Email Cleaner'!$I$2:$I$10001,0)),"")</f>
        <v/>
      </c>
    </row>
    <row r="3830">
      <c r="A3830">
        <f>IFERROR(INDEX('Email Cleaner'!$B$2:$B$10001,MATCH(3829,'Email Cleaner'!$I$2:$I$10001,0)),"")</f>
        <v/>
      </c>
    </row>
    <row r="3831">
      <c r="A3831">
        <f>IFERROR(INDEX('Email Cleaner'!$B$2:$B$10001,MATCH(3830,'Email Cleaner'!$I$2:$I$10001,0)),"")</f>
        <v/>
      </c>
    </row>
    <row r="3832">
      <c r="A3832">
        <f>IFERROR(INDEX('Email Cleaner'!$B$2:$B$10001,MATCH(3831,'Email Cleaner'!$I$2:$I$10001,0)),"")</f>
        <v/>
      </c>
    </row>
    <row r="3833">
      <c r="A3833">
        <f>IFERROR(INDEX('Email Cleaner'!$B$2:$B$10001,MATCH(3832,'Email Cleaner'!$I$2:$I$10001,0)),"")</f>
        <v/>
      </c>
    </row>
    <row r="3834">
      <c r="A3834">
        <f>IFERROR(INDEX('Email Cleaner'!$B$2:$B$10001,MATCH(3833,'Email Cleaner'!$I$2:$I$10001,0)),"")</f>
        <v/>
      </c>
    </row>
    <row r="3835">
      <c r="A3835">
        <f>IFERROR(INDEX('Email Cleaner'!$B$2:$B$10001,MATCH(3834,'Email Cleaner'!$I$2:$I$10001,0)),"")</f>
        <v/>
      </c>
    </row>
    <row r="3836">
      <c r="A3836">
        <f>IFERROR(INDEX('Email Cleaner'!$B$2:$B$10001,MATCH(3835,'Email Cleaner'!$I$2:$I$10001,0)),"")</f>
        <v/>
      </c>
    </row>
    <row r="3837">
      <c r="A3837">
        <f>IFERROR(INDEX('Email Cleaner'!$B$2:$B$10001,MATCH(3836,'Email Cleaner'!$I$2:$I$10001,0)),"")</f>
        <v/>
      </c>
    </row>
    <row r="3838">
      <c r="A3838">
        <f>IFERROR(INDEX('Email Cleaner'!$B$2:$B$10001,MATCH(3837,'Email Cleaner'!$I$2:$I$10001,0)),"")</f>
        <v/>
      </c>
    </row>
    <row r="3839">
      <c r="A3839">
        <f>IFERROR(INDEX('Email Cleaner'!$B$2:$B$10001,MATCH(3838,'Email Cleaner'!$I$2:$I$10001,0)),"")</f>
        <v/>
      </c>
    </row>
    <row r="3840">
      <c r="A3840">
        <f>IFERROR(INDEX('Email Cleaner'!$B$2:$B$10001,MATCH(3839,'Email Cleaner'!$I$2:$I$10001,0)),"")</f>
        <v/>
      </c>
    </row>
    <row r="3841">
      <c r="A3841">
        <f>IFERROR(INDEX('Email Cleaner'!$B$2:$B$10001,MATCH(3840,'Email Cleaner'!$I$2:$I$10001,0)),"")</f>
        <v/>
      </c>
    </row>
    <row r="3842">
      <c r="A3842">
        <f>IFERROR(INDEX('Email Cleaner'!$B$2:$B$10001,MATCH(3841,'Email Cleaner'!$I$2:$I$10001,0)),"")</f>
        <v/>
      </c>
    </row>
    <row r="3843">
      <c r="A3843">
        <f>IFERROR(INDEX('Email Cleaner'!$B$2:$B$10001,MATCH(3842,'Email Cleaner'!$I$2:$I$10001,0)),"")</f>
        <v/>
      </c>
    </row>
    <row r="3844">
      <c r="A3844">
        <f>IFERROR(INDEX('Email Cleaner'!$B$2:$B$10001,MATCH(3843,'Email Cleaner'!$I$2:$I$10001,0)),"")</f>
        <v/>
      </c>
    </row>
    <row r="3845">
      <c r="A3845">
        <f>IFERROR(INDEX('Email Cleaner'!$B$2:$B$10001,MATCH(3844,'Email Cleaner'!$I$2:$I$10001,0)),"")</f>
        <v/>
      </c>
    </row>
    <row r="3846">
      <c r="A3846">
        <f>IFERROR(INDEX('Email Cleaner'!$B$2:$B$10001,MATCH(3845,'Email Cleaner'!$I$2:$I$10001,0)),"")</f>
        <v/>
      </c>
    </row>
    <row r="3847">
      <c r="A3847">
        <f>IFERROR(INDEX('Email Cleaner'!$B$2:$B$10001,MATCH(3846,'Email Cleaner'!$I$2:$I$10001,0)),"")</f>
        <v/>
      </c>
    </row>
    <row r="3848">
      <c r="A3848">
        <f>IFERROR(INDEX('Email Cleaner'!$B$2:$B$10001,MATCH(3847,'Email Cleaner'!$I$2:$I$10001,0)),"")</f>
        <v/>
      </c>
    </row>
    <row r="3849">
      <c r="A3849">
        <f>IFERROR(INDEX('Email Cleaner'!$B$2:$B$10001,MATCH(3848,'Email Cleaner'!$I$2:$I$10001,0)),"")</f>
        <v/>
      </c>
    </row>
    <row r="3850">
      <c r="A3850">
        <f>IFERROR(INDEX('Email Cleaner'!$B$2:$B$10001,MATCH(3849,'Email Cleaner'!$I$2:$I$10001,0)),"")</f>
        <v/>
      </c>
    </row>
    <row r="3851">
      <c r="A3851">
        <f>IFERROR(INDEX('Email Cleaner'!$B$2:$B$10001,MATCH(3850,'Email Cleaner'!$I$2:$I$10001,0)),"")</f>
        <v/>
      </c>
    </row>
    <row r="3852">
      <c r="A3852">
        <f>IFERROR(INDEX('Email Cleaner'!$B$2:$B$10001,MATCH(3851,'Email Cleaner'!$I$2:$I$10001,0)),"")</f>
        <v/>
      </c>
    </row>
    <row r="3853">
      <c r="A3853">
        <f>IFERROR(INDEX('Email Cleaner'!$B$2:$B$10001,MATCH(3852,'Email Cleaner'!$I$2:$I$10001,0)),"")</f>
        <v/>
      </c>
    </row>
    <row r="3854">
      <c r="A3854">
        <f>IFERROR(INDEX('Email Cleaner'!$B$2:$B$10001,MATCH(3853,'Email Cleaner'!$I$2:$I$10001,0)),"")</f>
        <v/>
      </c>
    </row>
    <row r="3855">
      <c r="A3855">
        <f>IFERROR(INDEX('Email Cleaner'!$B$2:$B$10001,MATCH(3854,'Email Cleaner'!$I$2:$I$10001,0)),"")</f>
        <v/>
      </c>
    </row>
    <row r="3856">
      <c r="A3856">
        <f>IFERROR(INDEX('Email Cleaner'!$B$2:$B$10001,MATCH(3855,'Email Cleaner'!$I$2:$I$10001,0)),"")</f>
        <v/>
      </c>
    </row>
    <row r="3857">
      <c r="A3857">
        <f>IFERROR(INDEX('Email Cleaner'!$B$2:$B$10001,MATCH(3856,'Email Cleaner'!$I$2:$I$10001,0)),"")</f>
        <v/>
      </c>
    </row>
    <row r="3858">
      <c r="A3858">
        <f>IFERROR(INDEX('Email Cleaner'!$B$2:$B$10001,MATCH(3857,'Email Cleaner'!$I$2:$I$10001,0)),"")</f>
        <v/>
      </c>
    </row>
    <row r="3859">
      <c r="A3859">
        <f>IFERROR(INDEX('Email Cleaner'!$B$2:$B$10001,MATCH(3858,'Email Cleaner'!$I$2:$I$10001,0)),"")</f>
        <v/>
      </c>
    </row>
    <row r="3860">
      <c r="A3860">
        <f>IFERROR(INDEX('Email Cleaner'!$B$2:$B$10001,MATCH(3859,'Email Cleaner'!$I$2:$I$10001,0)),"")</f>
        <v/>
      </c>
    </row>
    <row r="3861">
      <c r="A3861">
        <f>IFERROR(INDEX('Email Cleaner'!$B$2:$B$10001,MATCH(3860,'Email Cleaner'!$I$2:$I$10001,0)),"")</f>
        <v/>
      </c>
    </row>
    <row r="3862">
      <c r="A3862">
        <f>IFERROR(INDEX('Email Cleaner'!$B$2:$B$10001,MATCH(3861,'Email Cleaner'!$I$2:$I$10001,0)),"")</f>
        <v/>
      </c>
    </row>
    <row r="3863">
      <c r="A3863">
        <f>IFERROR(INDEX('Email Cleaner'!$B$2:$B$10001,MATCH(3862,'Email Cleaner'!$I$2:$I$10001,0)),"")</f>
        <v/>
      </c>
    </row>
    <row r="3864">
      <c r="A3864">
        <f>IFERROR(INDEX('Email Cleaner'!$B$2:$B$10001,MATCH(3863,'Email Cleaner'!$I$2:$I$10001,0)),"")</f>
        <v/>
      </c>
    </row>
    <row r="3865">
      <c r="A3865">
        <f>IFERROR(INDEX('Email Cleaner'!$B$2:$B$10001,MATCH(3864,'Email Cleaner'!$I$2:$I$10001,0)),"")</f>
        <v/>
      </c>
    </row>
    <row r="3866">
      <c r="A3866">
        <f>IFERROR(INDEX('Email Cleaner'!$B$2:$B$10001,MATCH(3865,'Email Cleaner'!$I$2:$I$10001,0)),"")</f>
        <v/>
      </c>
    </row>
    <row r="3867">
      <c r="A3867">
        <f>IFERROR(INDEX('Email Cleaner'!$B$2:$B$10001,MATCH(3866,'Email Cleaner'!$I$2:$I$10001,0)),"")</f>
        <v/>
      </c>
    </row>
    <row r="3868">
      <c r="A3868">
        <f>IFERROR(INDEX('Email Cleaner'!$B$2:$B$10001,MATCH(3867,'Email Cleaner'!$I$2:$I$10001,0)),"")</f>
        <v/>
      </c>
    </row>
    <row r="3869">
      <c r="A3869">
        <f>IFERROR(INDEX('Email Cleaner'!$B$2:$B$10001,MATCH(3868,'Email Cleaner'!$I$2:$I$10001,0)),"")</f>
        <v/>
      </c>
    </row>
    <row r="3870">
      <c r="A3870">
        <f>IFERROR(INDEX('Email Cleaner'!$B$2:$B$10001,MATCH(3869,'Email Cleaner'!$I$2:$I$10001,0)),"")</f>
        <v/>
      </c>
    </row>
    <row r="3871">
      <c r="A3871">
        <f>IFERROR(INDEX('Email Cleaner'!$B$2:$B$10001,MATCH(3870,'Email Cleaner'!$I$2:$I$10001,0)),"")</f>
        <v/>
      </c>
    </row>
    <row r="3872">
      <c r="A3872">
        <f>IFERROR(INDEX('Email Cleaner'!$B$2:$B$10001,MATCH(3871,'Email Cleaner'!$I$2:$I$10001,0)),"")</f>
        <v/>
      </c>
    </row>
    <row r="3873">
      <c r="A3873">
        <f>IFERROR(INDEX('Email Cleaner'!$B$2:$B$10001,MATCH(3872,'Email Cleaner'!$I$2:$I$10001,0)),"")</f>
        <v/>
      </c>
    </row>
    <row r="3874">
      <c r="A3874">
        <f>IFERROR(INDEX('Email Cleaner'!$B$2:$B$10001,MATCH(3873,'Email Cleaner'!$I$2:$I$10001,0)),"")</f>
        <v/>
      </c>
    </row>
    <row r="3875">
      <c r="A3875">
        <f>IFERROR(INDEX('Email Cleaner'!$B$2:$B$10001,MATCH(3874,'Email Cleaner'!$I$2:$I$10001,0)),"")</f>
        <v/>
      </c>
    </row>
    <row r="3876">
      <c r="A3876">
        <f>IFERROR(INDEX('Email Cleaner'!$B$2:$B$10001,MATCH(3875,'Email Cleaner'!$I$2:$I$10001,0)),"")</f>
        <v/>
      </c>
    </row>
    <row r="3877">
      <c r="A3877">
        <f>IFERROR(INDEX('Email Cleaner'!$B$2:$B$10001,MATCH(3876,'Email Cleaner'!$I$2:$I$10001,0)),"")</f>
        <v/>
      </c>
    </row>
    <row r="3878">
      <c r="A3878">
        <f>IFERROR(INDEX('Email Cleaner'!$B$2:$B$10001,MATCH(3877,'Email Cleaner'!$I$2:$I$10001,0)),"")</f>
        <v/>
      </c>
    </row>
    <row r="3879">
      <c r="A3879">
        <f>IFERROR(INDEX('Email Cleaner'!$B$2:$B$10001,MATCH(3878,'Email Cleaner'!$I$2:$I$10001,0)),"")</f>
        <v/>
      </c>
    </row>
    <row r="3880">
      <c r="A3880">
        <f>IFERROR(INDEX('Email Cleaner'!$B$2:$B$10001,MATCH(3879,'Email Cleaner'!$I$2:$I$10001,0)),"")</f>
        <v/>
      </c>
    </row>
    <row r="3881">
      <c r="A3881">
        <f>IFERROR(INDEX('Email Cleaner'!$B$2:$B$10001,MATCH(3880,'Email Cleaner'!$I$2:$I$10001,0)),"")</f>
        <v/>
      </c>
    </row>
    <row r="3882">
      <c r="A3882">
        <f>IFERROR(INDEX('Email Cleaner'!$B$2:$B$10001,MATCH(3881,'Email Cleaner'!$I$2:$I$10001,0)),"")</f>
        <v/>
      </c>
    </row>
    <row r="3883">
      <c r="A3883">
        <f>IFERROR(INDEX('Email Cleaner'!$B$2:$B$10001,MATCH(3882,'Email Cleaner'!$I$2:$I$10001,0)),"")</f>
        <v/>
      </c>
    </row>
    <row r="3884">
      <c r="A3884">
        <f>IFERROR(INDEX('Email Cleaner'!$B$2:$B$10001,MATCH(3883,'Email Cleaner'!$I$2:$I$10001,0)),"")</f>
        <v/>
      </c>
    </row>
    <row r="3885">
      <c r="A3885">
        <f>IFERROR(INDEX('Email Cleaner'!$B$2:$B$10001,MATCH(3884,'Email Cleaner'!$I$2:$I$10001,0)),"")</f>
        <v/>
      </c>
    </row>
    <row r="3886">
      <c r="A3886">
        <f>IFERROR(INDEX('Email Cleaner'!$B$2:$B$10001,MATCH(3885,'Email Cleaner'!$I$2:$I$10001,0)),"")</f>
        <v/>
      </c>
    </row>
    <row r="3887">
      <c r="A3887">
        <f>IFERROR(INDEX('Email Cleaner'!$B$2:$B$10001,MATCH(3886,'Email Cleaner'!$I$2:$I$10001,0)),"")</f>
        <v/>
      </c>
    </row>
    <row r="3888">
      <c r="A3888">
        <f>IFERROR(INDEX('Email Cleaner'!$B$2:$B$10001,MATCH(3887,'Email Cleaner'!$I$2:$I$10001,0)),"")</f>
        <v/>
      </c>
    </row>
    <row r="3889">
      <c r="A3889">
        <f>IFERROR(INDEX('Email Cleaner'!$B$2:$B$10001,MATCH(3888,'Email Cleaner'!$I$2:$I$10001,0)),"")</f>
        <v/>
      </c>
    </row>
    <row r="3890">
      <c r="A3890">
        <f>IFERROR(INDEX('Email Cleaner'!$B$2:$B$10001,MATCH(3889,'Email Cleaner'!$I$2:$I$10001,0)),"")</f>
        <v/>
      </c>
    </row>
    <row r="3891">
      <c r="A3891">
        <f>IFERROR(INDEX('Email Cleaner'!$B$2:$B$10001,MATCH(3890,'Email Cleaner'!$I$2:$I$10001,0)),"")</f>
        <v/>
      </c>
    </row>
    <row r="3892">
      <c r="A3892">
        <f>IFERROR(INDEX('Email Cleaner'!$B$2:$B$10001,MATCH(3891,'Email Cleaner'!$I$2:$I$10001,0)),"")</f>
        <v/>
      </c>
    </row>
    <row r="3893">
      <c r="A3893">
        <f>IFERROR(INDEX('Email Cleaner'!$B$2:$B$10001,MATCH(3892,'Email Cleaner'!$I$2:$I$10001,0)),"")</f>
        <v/>
      </c>
    </row>
    <row r="3894">
      <c r="A3894">
        <f>IFERROR(INDEX('Email Cleaner'!$B$2:$B$10001,MATCH(3893,'Email Cleaner'!$I$2:$I$10001,0)),"")</f>
        <v/>
      </c>
    </row>
    <row r="3895">
      <c r="A3895">
        <f>IFERROR(INDEX('Email Cleaner'!$B$2:$B$10001,MATCH(3894,'Email Cleaner'!$I$2:$I$10001,0)),"")</f>
        <v/>
      </c>
    </row>
    <row r="3896">
      <c r="A3896">
        <f>IFERROR(INDEX('Email Cleaner'!$B$2:$B$10001,MATCH(3895,'Email Cleaner'!$I$2:$I$10001,0)),"")</f>
        <v/>
      </c>
    </row>
    <row r="3897">
      <c r="A3897">
        <f>IFERROR(INDEX('Email Cleaner'!$B$2:$B$10001,MATCH(3896,'Email Cleaner'!$I$2:$I$10001,0)),"")</f>
        <v/>
      </c>
    </row>
    <row r="3898">
      <c r="A3898">
        <f>IFERROR(INDEX('Email Cleaner'!$B$2:$B$10001,MATCH(3897,'Email Cleaner'!$I$2:$I$10001,0)),"")</f>
        <v/>
      </c>
    </row>
    <row r="3899">
      <c r="A3899">
        <f>IFERROR(INDEX('Email Cleaner'!$B$2:$B$10001,MATCH(3898,'Email Cleaner'!$I$2:$I$10001,0)),"")</f>
        <v/>
      </c>
    </row>
    <row r="3900">
      <c r="A3900">
        <f>IFERROR(INDEX('Email Cleaner'!$B$2:$B$10001,MATCH(3899,'Email Cleaner'!$I$2:$I$10001,0)),"")</f>
        <v/>
      </c>
    </row>
    <row r="3901">
      <c r="A3901">
        <f>IFERROR(INDEX('Email Cleaner'!$B$2:$B$10001,MATCH(3900,'Email Cleaner'!$I$2:$I$10001,0)),"")</f>
        <v/>
      </c>
    </row>
    <row r="3902">
      <c r="A3902">
        <f>IFERROR(INDEX('Email Cleaner'!$B$2:$B$10001,MATCH(3901,'Email Cleaner'!$I$2:$I$10001,0)),"")</f>
        <v/>
      </c>
    </row>
    <row r="3903">
      <c r="A3903">
        <f>IFERROR(INDEX('Email Cleaner'!$B$2:$B$10001,MATCH(3902,'Email Cleaner'!$I$2:$I$10001,0)),"")</f>
        <v/>
      </c>
    </row>
    <row r="3904">
      <c r="A3904">
        <f>IFERROR(INDEX('Email Cleaner'!$B$2:$B$10001,MATCH(3903,'Email Cleaner'!$I$2:$I$10001,0)),"")</f>
        <v/>
      </c>
    </row>
    <row r="3905">
      <c r="A3905">
        <f>IFERROR(INDEX('Email Cleaner'!$B$2:$B$10001,MATCH(3904,'Email Cleaner'!$I$2:$I$10001,0)),"")</f>
        <v/>
      </c>
    </row>
    <row r="3906">
      <c r="A3906">
        <f>IFERROR(INDEX('Email Cleaner'!$B$2:$B$10001,MATCH(3905,'Email Cleaner'!$I$2:$I$10001,0)),"")</f>
        <v/>
      </c>
    </row>
    <row r="3907">
      <c r="A3907">
        <f>IFERROR(INDEX('Email Cleaner'!$B$2:$B$10001,MATCH(3906,'Email Cleaner'!$I$2:$I$10001,0)),"")</f>
        <v/>
      </c>
    </row>
    <row r="3908">
      <c r="A3908">
        <f>IFERROR(INDEX('Email Cleaner'!$B$2:$B$10001,MATCH(3907,'Email Cleaner'!$I$2:$I$10001,0)),"")</f>
        <v/>
      </c>
    </row>
    <row r="3909">
      <c r="A3909">
        <f>IFERROR(INDEX('Email Cleaner'!$B$2:$B$10001,MATCH(3908,'Email Cleaner'!$I$2:$I$10001,0)),"")</f>
        <v/>
      </c>
    </row>
    <row r="3910">
      <c r="A3910">
        <f>IFERROR(INDEX('Email Cleaner'!$B$2:$B$10001,MATCH(3909,'Email Cleaner'!$I$2:$I$10001,0)),"")</f>
        <v/>
      </c>
    </row>
    <row r="3911">
      <c r="A3911">
        <f>IFERROR(INDEX('Email Cleaner'!$B$2:$B$10001,MATCH(3910,'Email Cleaner'!$I$2:$I$10001,0)),"")</f>
        <v/>
      </c>
    </row>
    <row r="3912">
      <c r="A3912">
        <f>IFERROR(INDEX('Email Cleaner'!$B$2:$B$10001,MATCH(3911,'Email Cleaner'!$I$2:$I$10001,0)),"")</f>
        <v/>
      </c>
    </row>
    <row r="3913">
      <c r="A3913">
        <f>IFERROR(INDEX('Email Cleaner'!$B$2:$B$10001,MATCH(3912,'Email Cleaner'!$I$2:$I$10001,0)),"")</f>
        <v/>
      </c>
    </row>
    <row r="3914">
      <c r="A3914">
        <f>IFERROR(INDEX('Email Cleaner'!$B$2:$B$10001,MATCH(3913,'Email Cleaner'!$I$2:$I$10001,0)),"")</f>
        <v/>
      </c>
    </row>
    <row r="3915">
      <c r="A3915">
        <f>IFERROR(INDEX('Email Cleaner'!$B$2:$B$10001,MATCH(3914,'Email Cleaner'!$I$2:$I$10001,0)),"")</f>
        <v/>
      </c>
    </row>
    <row r="3916">
      <c r="A3916">
        <f>IFERROR(INDEX('Email Cleaner'!$B$2:$B$10001,MATCH(3915,'Email Cleaner'!$I$2:$I$10001,0)),"")</f>
        <v/>
      </c>
    </row>
    <row r="3917">
      <c r="A3917">
        <f>IFERROR(INDEX('Email Cleaner'!$B$2:$B$10001,MATCH(3916,'Email Cleaner'!$I$2:$I$10001,0)),"")</f>
        <v/>
      </c>
    </row>
    <row r="3918">
      <c r="A3918">
        <f>IFERROR(INDEX('Email Cleaner'!$B$2:$B$10001,MATCH(3917,'Email Cleaner'!$I$2:$I$10001,0)),"")</f>
        <v/>
      </c>
    </row>
    <row r="3919">
      <c r="A3919">
        <f>IFERROR(INDEX('Email Cleaner'!$B$2:$B$10001,MATCH(3918,'Email Cleaner'!$I$2:$I$10001,0)),"")</f>
        <v/>
      </c>
    </row>
    <row r="3920">
      <c r="A3920">
        <f>IFERROR(INDEX('Email Cleaner'!$B$2:$B$10001,MATCH(3919,'Email Cleaner'!$I$2:$I$10001,0)),"")</f>
        <v/>
      </c>
    </row>
    <row r="3921">
      <c r="A3921">
        <f>IFERROR(INDEX('Email Cleaner'!$B$2:$B$10001,MATCH(3920,'Email Cleaner'!$I$2:$I$10001,0)),"")</f>
        <v/>
      </c>
    </row>
    <row r="3922">
      <c r="A3922">
        <f>IFERROR(INDEX('Email Cleaner'!$B$2:$B$10001,MATCH(3921,'Email Cleaner'!$I$2:$I$10001,0)),"")</f>
        <v/>
      </c>
    </row>
    <row r="3923">
      <c r="A3923">
        <f>IFERROR(INDEX('Email Cleaner'!$B$2:$B$10001,MATCH(3922,'Email Cleaner'!$I$2:$I$10001,0)),"")</f>
        <v/>
      </c>
    </row>
    <row r="3924">
      <c r="A3924">
        <f>IFERROR(INDEX('Email Cleaner'!$B$2:$B$10001,MATCH(3923,'Email Cleaner'!$I$2:$I$10001,0)),"")</f>
        <v/>
      </c>
    </row>
    <row r="3925">
      <c r="A3925">
        <f>IFERROR(INDEX('Email Cleaner'!$B$2:$B$10001,MATCH(3924,'Email Cleaner'!$I$2:$I$10001,0)),"")</f>
        <v/>
      </c>
    </row>
    <row r="3926">
      <c r="A3926">
        <f>IFERROR(INDEX('Email Cleaner'!$B$2:$B$10001,MATCH(3925,'Email Cleaner'!$I$2:$I$10001,0)),"")</f>
        <v/>
      </c>
    </row>
    <row r="3927">
      <c r="A3927">
        <f>IFERROR(INDEX('Email Cleaner'!$B$2:$B$10001,MATCH(3926,'Email Cleaner'!$I$2:$I$10001,0)),"")</f>
        <v/>
      </c>
    </row>
    <row r="3928">
      <c r="A3928">
        <f>IFERROR(INDEX('Email Cleaner'!$B$2:$B$10001,MATCH(3927,'Email Cleaner'!$I$2:$I$10001,0)),"")</f>
        <v/>
      </c>
    </row>
    <row r="3929">
      <c r="A3929">
        <f>IFERROR(INDEX('Email Cleaner'!$B$2:$B$10001,MATCH(3928,'Email Cleaner'!$I$2:$I$10001,0)),"")</f>
        <v/>
      </c>
    </row>
    <row r="3930">
      <c r="A3930">
        <f>IFERROR(INDEX('Email Cleaner'!$B$2:$B$10001,MATCH(3929,'Email Cleaner'!$I$2:$I$10001,0)),"")</f>
        <v/>
      </c>
    </row>
    <row r="3931">
      <c r="A3931">
        <f>IFERROR(INDEX('Email Cleaner'!$B$2:$B$10001,MATCH(3930,'Email Cleaner'!$I$2:$I$10001,0)),"")</f>
        <v/>
      </c>
    </row>
    <row r="3932">
      <c r="A3932">
        <f>IFERROR(INDEX('Email Cleaner'!$B$2:$B$10001,MATCH(3931,'Email Cleaner'!$I$2:$I$10001,0)),"")</f>
        <v/>
      </c>
    </row>
    <row r="3933">
      <c r="A3933">
        <f>IFERROR(INDEX('Email Cleaner'!$B$2:$B$10001,MATCH(3932,'Email Cleaner'!$I$2:$I$10001,0)),"")</f>
        <v/>
      </c>
    </row>
    <row r="3934">
      <c r="A3934">
        <f>IFERROR(INDEX('Email Cleaner'!$B$2:$B$10001,MATCH(3933,'Email Cleaner'!$I$2:$I$10001,0)),"")</f>
        <v/>
      </c>
    </row>
    <row r="3935">
      <c r="A3935">
        <f>IFERROR(INDEX('Email Cleaner'!$B$2:$B$10001,MATCH(3934,'Email Cleaner'!$I$2:$I$10001,0)),"")</f>
        <v/>
      </c>
    </row>
    <row r="3936">
      <c r="A3936">
        <f>IFERROR(INDEX('Email Cleaner'!$B$2:$B$10001,MATCH(3935,'Email Cleaner'!$I$2:$I$10001,0)),"")</f>
        <v/>
      </c>
    </row>
    <row r="3937">
      <c r="A3937">
        <f>IFERROR(INDEX('Email Cleaner'!$B$2:$B$10001,MATCH(3936,'Email Cleaner'!$I$2:$I$10001,0)),"")</f>
        <v/>
      </c>
    </row>
    <row r="3938">
      <c r="A3938">
        <f>IFERROR(INDEX('Email Cleaner'!$B$2:$B$10001,MATCH(3937,'Email Cleaner'!$I$2:$I$10001,0)),"")</f>
        <v/>
      </c>
    </row>
    <row r="3939">
      <c r="A3939">
        <f>IFERROR(INDEX('Email Cleaner'!$B$2:$B$10001,MATCH(3938,'Email Cleaner'!$I$2:$I$10001,0)),"")</f>
        <v/>
      </c>
    </row>
    <row r="3940">
      <c r="A3940">
        <f>IFERROR(INDEX('Email Cleaner'!$B$2:$B$10001,MATCH(3939,'Email Cleaner'!$I$2:$I$10001,0)),"")</f>
        <v/>
      </c>
    </row>
    <row r="3941">
      <c r="A3941">
        <f>IFERROR(INDEX('Email Cleaner'!$B$2:$B$10001,MATCH(3940,'Email Cleaner'!$I$2:$I$10001,0)),"")</f>
        <v/>
      </c>
    </row>
    <row r="3942">
      <c r="A3942">
        <f>IFERROR(INDEX('Email Cleaner'!$B$2:$B$10001,MATCH(3941,'Email Cleaner'!$I$2:$I$10001,0)),"")</f>
        <v/>
      </c>
    </row>
    <row r="3943">
      <c r="A3943">
        <f>IFERROR(INDEX('Email Cleaner'!$B$2:$B$10001,MATCH(3942,'Email Cleaner'!$I$2:$I$10001,0)),"")</f>
        <v/>
      </c>
    </row>
    <row r="3944">
      <c r="A3944">
        <f>IFERROR(INDEX('Email Cleaner'!$B$2:$B$10001,MATCH(3943,'Email Cleaner'!$I$2:$I$10001,0)),"")</f>
        <v/>
      </c>
    </row>
    <row r="3945">
      <c r="A3945">
        <f>IFERROR(INDEX('Email Cleaner'!$B$2:$B$10001,MATCH(3944,'Email Cleaner'!$I$2:$I$10001,0)),"")</f>
        <v/>
      </c>
    </row>
    <row r="3946">
      <c r="A3946">
        <f>IFERROR(INDEX('Email Cleaner'!$B$2:$B$10001,MATCH(3945,'Email Cleaner'!$I$2:$I$10001,0)),"")</f>
        <v/>
      </c>
    </row>
    <row r="3947">
      <c r="A3947">
        <f>IFERROR(INDEX('Email Cleaner'!$B$2:$B$10001,MATCH(3946,'Email Cleaner'!$I$2:$I$10001,0)),"")</f>
        <v/>
      </c>
    </row>
    <row r="3948">
      <c r="A3948">
        <f>IFERROR(INDEX('Email Cleaner'!$B$2:$B$10001,MATCH(3947,'Email Cleaner'!$I$2:$I$10001,0)),"")</f>
        <v/>
      </c>
    </row>
    <row r="3949">
      <c r="A3949">
        <f>IFERROR(INDEX('Email Cleaner'!$B$2:$B$10001,MATCH(3948,'Email Cleaner'!$I$2:$I$10001,0)),"")</f>
        <v/>
      </c>
    </row>
    <row r="3950">
      <c r="A3950">
        <f>IFERROR(INDEX('Email Cleaner'!$B$2:$B$10001,MATCH(3949,'Email Cleaner'!$I$2:$I$10001,0)),"")</f>
        <v/>
      </c>
    </row>
    <row r="3951">
      <c r="A3951">
        <f>IFERROR(INDEX('Email Cleaner'!$B$2:$B$10001,MATCH(3950,'Email Cleaner'!$I$2:$I$10001,0)),"")</f>
        <v/>
      </c>
    </row>
    <row r="3952">
      <c r="A3952">
        <f>IFERROR(INDEX('Email Cleaner'!$B$2:$B$10001,MATCH(3951,'Email Cleaner'!$I$2:$I$10001,0)),"")</f>
        <v/>
      </c>
    </row>
    <row r="3953">
      <c r="A3953">
        <f>IFERROR(INDEX('Email Cleaner'!$B$2:$B$10001,MATCH(3952,'Email Cleaner'!$I$2:$I$10001,0)),"")</f>
        <v/>
      </c>
    </row>
    <row r="3954">
      <c r="A3954">
        <f>IFERROR(INDEX('Email Cleaner'!$B$2:$B$10001,MATCH(3953,'Email Cleaner'!$I$2:$I$10001,0)),"")</f>
        <v/>
      </c>
    </row>
    <row r="3955">
      <c r="A3955">
        <f>IFERROR(INDEX('Email Cleaner'!$B$2:$B$10001,MATCH(3954,'Email Cleaner'!$I$2:$I$10001,0)),"")</f>
        <v/>
      </c>
    </row>
    <row r="3956">
      <c r="A3956">
        <f>IFERROR(INDEX('Email Cleaner'!$B$2:$B$10001,MATCH(3955,'Email Cleaner'!$I$2:$I$10001,0)),"")</f>
        <v/>
      </c>
    </row>
    <row r="3957">
      <c r="A3957">
        <f>IFERROR(INDEX('Email Cleaner'!$B$2:$B$10001,MATCH(3956,'Email Cleaner'!$I$2:$I$10001,0)),"")</f>
        <v/>
      </c>
    </row>
    <row r="3958">
      <c r="A3958">
        <f>IFERROR(INDEX('Email Cleaner'!$B$2:$B$10001,MATCH(3957,'Email Cleaner'!$I$2:$I$10001,0)),"")</f>
        <v/>
      </c>
    </row>
    <row r="3959">
      <c r="A3959">
        <f>IFERROR(INDEX('Email Cleaner'!$B$2:$B$10001,MATCH(3958,'Email Cleaner'!$I$2:$I$10001,0)),"")</f>
        <v/>
      </c>
    </row>
    <row r="3960">
      <c r="A3960">
        <f>IFERROR(INDEX('Email Cleaner'!$B$2:$B$10001,MATCH(3959,'Email Cleaner'!$I$2:$I$10001,0)),"")</f>
        <v/>
      </c>
    </row>
    <row r="3961">
      <c r="A3961">
        <f>IFERROR(INDEX('Email Cleaner'!$B$2:$B$10001,MATCH(3960,'Email Cleaner'!$I$2:$I$10001,0)),"")</f>
        <v/>
      </c>
    </row>
    <row r="3962">
      <c r="A3962">
        <f>IFERROR(INDEX('Email Cleaner'!$B$2:$B$10001,MATCH(3961,'Email Cleaner'!$I$2:$I$10001,0)),"")</f>
        <v/>
      </c>
    </row>
    <row r="3963">
      <c r="A3963">
        <f>IFERROR(INDEX('Email Cleaner'!$B$2:$B$10001,MATCH(3962,'Email Cleaner'!$I$2:$I$10001,0)),"")</f>
        <v/>
      </c>
    </row>
    <row r="3964">
      <c r="A3964">
        <f>IFERROR(INDEX('Email Cleaner'!$B$2:$B$10001,MATCH(3963,'Email Cleaner'!$I$2:$I$10001,0)),"")</f>
        <v/>
      </c>
    </row>
    <row r="3965">
      <c r="A3965">
        <f>IFERROR(INDEX('Email Cleaner'!$B$2:$B$10001,MATCH(3964,'Email Cleaner'!$I$2:$I$10001,0)),"")</f>
        <v/>
      </c>
    </row>
    <row r="3966">
      <c r="A3966">
        <f>IFERROR(INDEX('Email Cleaner'!$B$2:$B$10001,MATCH(3965,'Email Cleaner'!$I$2:$I$10001,0)),"")</f>
        <v/>
      </c>
    </row>
    <row r="3967">
      <c r="A3967">
        <f>IFERROR(INDEX('Email Cleaner'!$B$2:$B$10001,MATCH(3966,'Email Cleaner'!$I$2:$I$10001,0)),"")</f>
        <v/>
      </c>
    </row>
    <row r="3968">
      <c r="A3968">
        <f>IFERROR(INDEX('Email Cleaner'!$B$2:$B$10001,MATCH(3967,'Email Cleaner'!$I$2:$I$10001,0)),"")</f>
        <v/>
      </c>
    </row>
    <row r="3969">
      <c r="A3969">
        <f>IFERROR(INDEX('Email Cleaner'!$B$2:$B$10001,MATCH(3968,'Email Cleaner'!$I$2:$I$10001,0)),"")</f>
        <v/>
      </c>
    </row>
    <row r="3970">
      <c r="A3970">
        <f>IFERROR(INDEX('Email Cleaner'!$B$2:$B$10001,MATCH(3969,'Email Cleaner'!$I$2:$I$10001,0)),"")</f>
        <v/>
      </c>
    </row>
    <row r="3971">
      <c r="A3971">
        <f>IFERROR(INDEX('Email Cleaner'!$B$2:$B$10001,MATCH(3970,'Email Cleaner'!$I$2:$I$10001,0)),"")</f>
        <v/>
      </c>
    </row>
    <row r="3972">
      <c r="A3972">
        <f>IFERROR(INDEX('Email Cleaner'!$B$2:$B$10001,MATCH(3971,'Email Cleaner'!$I$2:$I$10001,0)),"")</f>
        <v/>
      </c>
    </row>
    <row r="3973">
      <c r="A3973">
        <f>IFERROR(INDEX('Email Cleaner'!$B$2:$B$10001,MATCH(3972,'Email Cleaner'!$I$2:$I$10001,0)),"")</f>
        <v/>
      </c>
    </row>
    <row r="3974">
      <c r="A3974">
        <f>IFERROR(INDEX('Email Cleaner'!$B$2:$B$10001,MATCH(3973,'Email Cleaner'!$I$2:$I$10001,0)),"")</f>
        <v/>
      </c>
    </row>
    <row r="3975">
      <c r="A3975">
        <f>IFERROR(INDEX('Email Cleaner'!$B$2:$B$10001,MATCH(3974,'Email Cleaner'!$I$2:$I$10001,0)),"")</f>
        <v/>
      </c>
    </row>
    <row r="3976">
      <c r="A3976">
        <f>IFERROR(INDEX('Email Cleaner'!$B$2:$B$10001,MATCH(3975,'Email Cleaner'!$I$2:$I$10001,0)),"")</f>
        <v/>
      </c>
    </row>
    <row r="3977">
      <c r="A3977">
        <f>IFERROR(INDEX('Email Cleaner'!$B$2:$B$10001,MATCH(3976,'Email Cleaner'!$I$2:$I$10001,0)),"")</f>
        <v/>
      </c>
    </row>
    <row r="3978">
      <c r="A3978">
        <f>IFERROR(INDEX('Email Cleaner'!$B$2:$B$10001,MATCH(3977,'Email Cleaner'!$I$2:$I$10001,0)),"")</f>
        <v/>
      </c>
    </row>
    <row r="3979">
      <c r="A3979">
        <f>IFERROR(INDEX('Email Cleaner'!$B$2:$B$10001,MATCH(3978,'Email Cleaner'!$I$2:$I$10001,0)),"")</f>
        <v/>
      </c>
    </row>
    <row r="3980">
      <c r="A3980">
        <f>IFERROR(INDEX('Email Cleaner'!$B$2:$B$10001,MATCH(3979,'Email Cleaner'!$I$2:$I$10001,0)),"")</f>
        <v/>
      </c>
    </row>
    <row r="3981">
      <c r="A3981">
        <f>IFERROR(INDEX('Email Cleaner'!$B$2:$B$10001,MATCH(3980,'Email Cleaner'!$I$2:$I$10001,0)),"")</f>
        <v/>
      </c>
    </row>
    <row r="3982">
      <c r="A3982">
        <f>IFERROR(INDEX('Email Cleaner'!$B$2:$B$10001,MATCH(3981,'Email Cleaner'!$I$2:$I$10001,0)),"")</f>
        <v/>
      </c>
    </row>
    <row r="3983">
      <c r="A3983">
        <f>IFERROR(INDEX('Email Cleaner'!$B$2:$B$10001,MATCH(3982,'Email Cleaner'!$I$2:$I$10001,0)),"")</f>
        <v/>
      </c>
    </row>
    <row r="3984">
      <c r="A3984">
        <f>IFERROR(INDEX('Email Cleaner'!$B$2:$B$10001,MATCH(3983,'Email Cleaner'!$I$2:$I$10001,0)),"")</f>
        <v/>
      </c>
    </row>
    <row r="3985">
      <c r="A3985">
        <f>IFERROR(INDEX('Email Cleaner'!$B$2:$B$10001,MATCH(3984,'Email Cleaner'!$I$2:$I$10001,0)),"")</f>
        <v/>
      </c>
    </row>
    <row r="3986">
      <c r="A3986">
        <f>IFERROR(INDEX('Email Cleaner'!$B$2:$B$10001,MATCH(3985,'Email Cleaner'!$I$2:$I$10001,0)),"")</f>
        <v/>
      </c>
    </row>
    <row r="3987">
      <c r="A3987">
        <f>IFERROR(INDEX('Email Cleaner'!$B$2:$B$10001,MATCH(3986,'Email Cleaner'!$I$2:$I$10001,0)),"")</f>
        <v/>
      </c>
    </row>
    <row r="3988">
      <c r="A3988">
        <f>IFERROR(INDEX('Email Cleaner'!$B$2:$B$10001,MATCH(3987,'Email Cleaner'!$I$2:$I$10001,0)),"")</f>
        <v/>
      </c>
    </row>
    <row r="3989">
      <c r="A3989">
        <f>IFERROR(INDEX('Email Cleaner'!$B$2:$B$10001,MATCH(3988,'Email Cleaner'!$I$2:$I$10001,0)),"")</f>
        <v/>
      </c>
    </row>
    <row r="3990">
      <c r="A3990">
        <f>IFERROR(INDEX('Email Cleaner'!$B$2:$B$10001,MATCH(3989,'Email Cleaner'!$I$2:$I$10001,0)),"")</f>
        <v/>
      </c>
    </row>
    <row r="3991">
      <c r="A3991">
        <f>IFERROR(INDEX('Email Cleaner'!$B$2:$B$10001,MATCH(3990,'Email Cleaner'!$I$2:$I$10001,0)),"")</f>
        <v/>
      </c>
    </row>
    <row r="3992">
      <c r="A3992">
        <f>IFERROR(INDEX('Email Cleaner'!$B$2:$B$10001,MATCH(3991,'Email Cleaner'!$I$2:$I$10001,0)),"")</f>
        <v/>
      </c>
    </row>
    <row r="3993">
      <c r="A3993">
        <f>IFERROR(INDEX('Email Cleaner'!$B$2:$B$10001,MATCH(3992,'Email Cleaner'!$I$2:$I$10001,0)),"")</f>
        <v/>
      </c>
    </row>
    <row r="3994">
      <c r="A3994">
        <f>IFERROR(INDEX('Email Cleaner'!$B$2:$B$10001,MATCH(3993,'Email Cleaner'!$I$2:$I$10001,0)),"")</f>
        <v/>
      </c>
    </row>
    <row r="3995">
      <c r="A3995">
        <f>IFERROR(INDEX('Email Cleaner'!$B$2:$B$10001,MATCH(3994,'Email Cleaner'!$I$2:$I$10001,0)),"")</f>
        <v/>
      </c>
    </row>
    <row r="3996">
      <c r="A3996">
        <f>IFERROR(INDEX('Email Cleaner'!$B$2:$B$10001,MATCH(3995,'Email Cleaner'!$I$2:$I$10001,0)),"")</f>
        <v/>
      </c>
    </row>
    <row r="3997">
      <c r="A3997">
        <f>IFERROR(INDEX('Email Cleaner'!$B$2:$B$10001,MATCH(3996,'Email Cleaner'!$I$2:$I$10001,0)),"")</f>
        <v/>
      </c>
    </row>
    <row r="3998">
      <c r="A3998">
        <f>IFERROR(INDEX('Email Cleaner'!$B$2:$B$10001,MATCH(3997,'Email Cleaner'!$I$2:$I$10001,0)),"")</f>
        <v/>
      </c>
    </row>
    <row r="3999">
      <c r="A3999">
        <f>IFERROR(INDEX('Email Cleaner'!$B$2:$B$10001,MATCH(3998,'Email Cleaner'!$I$2:$I$10001,0)),"")</f>
        <v/>
      </c>
    </row>
    <row r="4000">
      <c r="A4000">
        <f>IFERROR(INDEX('Email Cleaner'!$B$2:$B$10001,MATCH(3999,'Email Cleaner'!$I$2:$I$10001,0)),"")</f>
        <v/>
      </c>
    </row>
    <row r="4001">
      <c r="A4001">
        <f>IFERROR(INDEX('Email Cleaner'!$B$2:$B$10001,MATCH(4000,'Email Cleaner'!$I$2:$I$10001,0)),"")</f>
        <v/>
      </c>
    </row>
    <row r="4002">
      <c r="A4002">
        <f>IFERROR(INDEX('Email Cleaner'!$B$2:$B$10001,MATCH(4001,'Email Cleaner'!$I$2:$I$10001,0)),"")</f>
        <v/>
      </c>
    </row>
    <row r="4003">
      <c r="A4003">
        <f>IFERROR(INDEX('Email Cleaner'!$B$2:$B$10001,MATCH(4002,'Email Cleaner'!$I$2:$I$10001,0)),"")</f>
        <v/>
      </c>
    </row>
    <row r="4004">
      <c r="A4004">
        <f>IFERROR(INDEX('Email Cleaner'!$B$2:$B$10001,MATCH(4003,'Email Cleaner'!$I$2:$I$10001,0)),"")</f>
        <v/>
      </c>
    </row>
    <row r="4005">
      <c r="A4005">
        <f>IFERROR(INDEX('Email Cleaner'!$B$2:$B$10001,MATCH(4004,'Email Cleaner'!$I$2:$I$10001,0)),"")</f>
        <v/>
      </c>
    </row>
    <row r="4006">
      <c r="A4006">
        <f>IFERROR(INDEX('Email Cleaner'!$B$2:$B$10001,MATCH(4005,'Email Cleaner'!$I$2:$I$10001,0)),"")</f>
        <v/>
      </c>
    </row>
    <row r="4007">
      <c r="A4007">
        <f>IFERROR(INDEX('Email Cleaner'!$B$2:$B$10001,MATCH(4006,'Email Cleaner'!$I$2:$I$10001,0)),"")</f>
        <v/>
      </c>
    </row>
    <row r="4008">
      <c r="A4008">
        <f>IFERROR(INDEX('Email Cleaner'!$B$2:$B$10001,MATCH(4007,'Email Cleaner'!$I$2:$I$10001,0)),"")</f>
        <v/>
      </c>
    </row>
    <row r="4009">
      <c r="A4009">
        <f>IFERROR(INDEX('Email Cleaner'!$B$2:$B$10001,MATCH(4008,'Email Cleaner'!$I$2:$I$10001,0)),"")</f>
        <v/>
      </c>
    </row>
    <row r="4010">
      <c r="A4010">
        <f>IFERROR(INDEX('Email Cleaner'!$B$2:$B$10001,MATCH(4009,'Email Cleaner'!$I$2:$I$10001,0)),"")</f>
        <v/>
      </c>
    </row>
    <row r="4011">
      <c r="A4011">
        <f>IFERROR(INDEX('Email Cleaner'!$B$2:$B$10001,MATCH(4010,'Email Cleaner'!$I$2:$I$10001,0)),"")</f>
        <v/>
      </c>
    </row>
    <row r="4012">
      <c r="A4012">
        <f>IFERROR(INDEX('Email Cleaner'!$B$2:$B$10001,MATCH(4011,'Email Cleaner'!$I$2:$I$10001,0)),"")</f>
        <v/>
      </c>
    </row>
    <row r="4013">
      <c r="A4013">
        <f>IFERROR(INDEX('Email Cleaner'!$B$2:$B$10001,MATCH(4012,'Email Cleaner'!$I$2:$I$10001,0)),"")</f>
        <v/>
      </c>
    </row>
    <row r="4014">
      <c r="A4014">
        <f>IFERROR(INDEX('Email Cleaner'!$B$2:$B$10001,MATCH(4013,'Email Cleaner'!$I$2:$I$10001,0)),"")</f>
        <v/>
      </c>
    </row>
    <row r="4015">
      <c r="A4015">
        <f>IFERROR(INDEX('Email Cleaner'!$B$2:$B$10001,MATCH(4014,'Email Cleaner'!$I$2:$I$10001,0)),"")</f>
        <v/>
      </c>
    </row>
    <row r="4016">
      <c r="A4016">
        <f>IFERROR(INDEX('Email Cleaner'!$B$2:$B$10001,MATCH(4015,'Email Cleaner'!$I$2:$I$10001,0)),"")</f>
        <v/>
      </c>
    </row>
    <row r="4017">
      <c r="A4017">
        <f>IFERROR(INDEX('Email Cleaner'!$B$2:$B$10001,MATCH(4016,'Email Cleaner'!$I$2:$I$10001,0)),"")</f>
        <v/>
      </c>
    </row>
    <row r="4018">
      <c r="A4018">
        <f>IFERROR(INDEX('Email Cleaner'!$B$2:$B$10001,MATCH(4017,'Email Cleaner'!$I$2:$I$10001,0)),"")</f>
        <v/>
      </c>
    </row>
    <row r="4019">
      <c r="A4019">
        <f>IFERROR(INDEX('Email Cleaner'!$B$2:$B$10001,MATCH(4018,'Email Cleaner'!$I$2:$I$10001,0)),"")</f>
        <v/>
      </c>
    </row>
    <row r="4020">
      <c r="A4020">
        <f>IFERROR(INDEX('Email Cleaner'!$B$2:$B$10001,MATCH(4019,'Email Cleaner'!$I$2:$I$10001,0)),"")</f>
        <v/>
      </c>
    </row>
    <row r="4021">
      <c r="A4021">
        <f>IFERROR(INDEX('Email Cleaner'!$B$2:$B$10001,MATCH(4020,'Email Cleaner'!$I$2:$I$10001,0)),"")</f>
        <v/>
      </c>
    </row>
    <row r="4022">
      <c r="A4022">
        <f>IFERROR(INDEX('Email Cleaner'!$B$2:$B$10001,MATCH(4021,'Email Cleaner'!$I$2:$I$10001,0)),"")</f>
        <v/>
      </c>
    </row>
    <row r="4023">
      <c r="A4023">
        <f>IFERROR(INDEX('Email Cleaner'!$B$2:$B$10001,MATCH(4022,'Email Cleaner'!$I$2:$I$10001,0)),"")</f>
        <v/>
      </c>
    </row>
    <row r="4024">
      <c r="A4024">
        <f>IFERROR(INDEX('Email Cleaner'!$B$2:$B$10001,MATCH(4023,'Email Cleaner'!$I$2:$I$10001,0)),"")</f>
        <v/>
      </c>
    </row>
    <row r="4025">
      <c r="A4025">
        <f>IFERROR(INDEX('Email Cleaner'!$B$2:$B$10001,MATCH(4024,'Email Cleaner'!$I$2:$I$10001,0)),"")</f>
        <v/>
      </c>
    </row>
    <row r="4026">
      <c r="A4026">
        <f>IFERROR(INDEX('Email Cleaner'!$B$2:$B$10001,MATCH(4025,'Email Cleaner'!$I$2:$I$10001,0)),"")</f>
        <v/>
      </c>
    </row>
    <row r="4027">
      <c r="A4027">
        <f>IFERROR(INDEX('Email Cleaner'!$B$2:$B$10001,MATCH(4026,'Email Cleaner'!$I$2:$I$10001,0)),"")</f>
        <v/>
      </c>
    </row>
    <row r="4028">
      <c r="A4028">
        <f>IFERROR(INDEX('Email Cleaner'!$B$2:$B$10001,MATCH(4027,'Email Cleaner'!$I$2:$I$10001,0)),"")</f>
        <v/>
      </c>
    </row>
    <row r="4029">
      <c r="A4029">
        <f>IFERROR(INDEX('Email Cleaner'!$B$2:$B$10001,MATCH(4028,'Email Cleaner'!$I$2:$I$10001,0)),"")</f>
        <v/>
      </c>
    </row>
    <row r="4030">
      <c r="A4030">
        <f>IFERROR(INDEX('Email Cleaner'!$B$2:$B$10001,MATCH(4029,'Email Cleaner'!$I$2:$I$10001,0)),"")</f>
        <v/>
      </c>
    </row>
    <row r="4031">
      <c r="A4031">
        <f>IFERROR(INDEX('Email Cleaner'!$B$2:$B$10001,MATCH(4030,'Email Cleaner'!$I$2:$I$10001,0)),"")</f>
        <v/>
      </c>
    </row>
    <row r="4032">
      <c r="A4032">
        <f>IFERROR(INDEX('Email Cleaner'!$B$2:$B$10001,MATCH(4031,'Email Cleaner'!$I$2:$I$10001,0)),"")</f>
        <v/>
      </c>
    </row>
    <row r="4033">
      <c r="A4033">
        <f>IFERROR(INDEX('Email Cleaner'!$B$2:$B$10001,MATCH(4032,'Email Cleaner'!$I$2:$I$10001,0)),"")</f>
        <v/>
      </c>
    </row>
    <row r="4034">
      <c r="A4034">
        <f>IFERROR(INDEX('Email Cleaner'!$B$2:$B$10001,MATCH(4033,'Email Cleaner'!$I$2:$I$10001,0)),"")</f>
        <v/>
      </c>
    </row>
    <row r="4035">
      <c r="A4035">
        <f>IFERROR(INDEX('Email Cleaner'!$B$2:$B$10001,MATCH(4034,'Email Cleaner'!$I$2:$I$10001,0)),"")</f>
        <v/>
      </c>
    </row>
    <row r="4036">
      <c r="A4036">
        <f>IFERROR(INDEX('Email Cleaner'!$B$2:$B$10001,MATCH(4035,'Email Cleaner'!$I$2:$I$10001,0)),"")</f>
        <v/>
      </c>
    </row>
    <row r="4037">
      <c r="A4037">
        <f>IFERROR(INDEX('Email Cleaner'!$B$2:$B$10001,MATCH(4036,'Email Cleaner'!$I$2:$I$10001,0)),"")</f>
        <v/>
      </c>
    </row>
    <row r="4038">
      <c r="A4038">
        <f>IFERROR(INDEX('Email Cleaner'!$B$2:$B$10001,MATCH(4037,'Email Cleaner'!$I$2:$I$10001,0)),"")</f>
        <v/>
      </c>
    </row>
    <row r="4039">
      <c r="A4039">
        <f>IFERROR(INDEX('Email Cleaner'!$B$2:$B$10001,MATCH(4038,'Email Cleaner'!$I$2:$I$10001,0)),"")</f>
        <v/>
      </c>
    </row>
    <row r="4040">
      <c r="A4040">
        <f>IFERROR(INDEX('Email Cleaner'!$B$2:$B$10001,MATCH(4039,'Email Cleaner'!$I$2:$I$10001,0)),"")</f>
        <v/>
      </c>
    </row>
    <row r="4041">
      <c r="A4041">
        <f>IFERROR(INDEX('Email Cleaner'!$B$2:$B$10001,MATCH(4040,'Email Cleaner'!$I$2:$I$10001,0)),"")</f>
        <v/>
      </c>
    </row>
    <row r="4042">
      <c r="A4042">
        <f>IFERROR(INDEX('Email Cleaner'!$B$2:$B$10001,MATCH(4041,'Email Cleaner'!$I$2:$I$10001,0)),"")</f>
        <v/>
      </c>
    </row>
    <row r="4043">
      <c r="A4043">
        <f>IFERROR(INDEX('Email Cleaner'!$B$2:$B$10001,MATCH(4042,'Email Cleaner'!$I$2:$I$10001,0)),"")</f>
        <v/>
      </c>
    </row>
    <row r="4044">
      <c r="A4044">
        <f>IFERROR(INDEX('Email Cleaner'!$B$2:$B$10001,MATCH(4043,'Email Cleaner'!$I$2:$I$10001,0)),"")</f>
        <v/>
      </c>
    </row>
    <row r="4045">
      <c r="A4045">
        <f>IFERROR(INDEX('Email Cleaner'!$B$2:$B$10001,MATCH(4044,'Email Cleaner'!$I$2:$I$10001,0)),"")</f>
        <v/>
      </c>
    </row>
    <row r="4046">
      <c r="A4046">
        <f>IFERROR(INDEX('Email Cleaner'!$B$2:$B$10001,MATCH(4045,'Email Cleaner'!$I$2:$I$10001,0)),"")</f>
        <v/>
      </c>
    </row>
    <row r="4047">
      <c r="A4047">
        <f>IFERROR(INDEX('Email Cleaner'!$B$2:$B$10001,MATCH(4046,'Email Cleaner'!$I$2:$I$10001,0)),"")</f>
        <v/>
      </c>
    </row>
    <row r="4048">
      <c r="A4048">
        <f>IFERROR(INDEX('Email Cleaner'!$B$2:$B$10001,MATCH(4047,'Email Cleaner'!$I$2:$I$10001,0)),"")</f>
        <v/>
      </c>
    </row>
    <row r="4049">
      <c r="A4049">
        <f>IFERROR(INDEX('Email Cleaner'!$B$2:$B$10001,MATCH(4048,'Email Cleaner'!$I$2:$I$10001,0)),"")</f>
        <v/>
      </c>
    </row>
    <row r="4050">
      <c r="A4050">
        <f>IFERROR(INDEX('Email Cleaner'!$B$2:$B$10001,MATCH(4049,'Email Cleaner'!$I$2:$I$10001,0)),"")</f>
        <v/>
      </c>
    </row>
    <row r="4051">
      <c r="A4051">
        <f>IFERROR(INDEX('Email Cleaner'!$B$2:$B$10001,MATCH(4050,'Email Cleaner'!$I$2:$I$10001,0)),"")</f>
        <v/>
      </c>
    </row>
    <row r="4052">
      <c r="A4052">
        <f>IFERROR(INDEX('Email Cleaner'!$B$2:$B$10001,MATCH(4051,'Email Cleaner'!$I$2:$I$10001,0)),"")</f>
        <v/>
      </c>
    </row>
    <row r="4053">
      <c r="A4053">
        <f>IFERROR(INDEX('Email Cleaner'!$B$2:$B$10001,MATCH(4052,'Email Cleaner'!$I$2:$I$10001,0)),"")</f>
        <v/>
      </c>
    </row>
    <row r="4054">
      <c r="A4054">
        <f>IFERROR(INDEX('Email Cleaner'!$B$2:$B$10001,MATCH(4053,'Email Cleaner'!$I$2:$I$10001,0)),"")</f>
        <v/>
      </c>
    </row>
    <row r="4055">
      <c r="A4055">
        <f>IFERROR(INDEX('Email Cleaner'!$B$2:$B$10001,MATCH(4054,'Email Cleaner'!$I$2:$I$10001,0)),"")</f>
        <v/>
      </c>
    </row>
    <row r="4056">
      <c r="A4056">
        <f>IFERROR(INDEX('Email Cleaner'!$B$2:$B$10001,MATCH(4055,'Email Cleaner'!$I$2:$I$10001,0)),"")</f>
        <v/>
      </c>
    </row>
    <row r="4057">
      <c r="A4057">
        <f>IFERROR(INDEX('Email Cleaner'!$B$2:$B$10001,MATCH(4056,'Email Cleaner'!$I$2:$I$10001,0)),"")</f>
        <v/>
      </c>
    </row>
    <row r="4058">
      <c r="A4058">
        <f>IFERROR(INDEX('Email Cleaner'!$B$2:$B$10001,MATCH(4057,'Email Cleaner'!$I$2:$I$10001,0)),"")</f>
        <v/>
      </c>
    </row>
    <row r="4059">
      <c r="A4059">
        <f>IFERROR(INDEX('Email Cleaner'!$B$2:$B$10001,MATCH(4058,'Email Cleaner'!$I$2:$I$10001,0)),"")</f>
        <v/>
      </c>
    </row>
    <row r="4060">
      <c r="A4060">
        <f>IFERROR(INDEX('Email Cleaner'!$B$2:$B$10001,MATCH(4059,'Email Cleaner'!$I$2:$I$10001,0)),"")</f>
        <v/>
      </c>
    </row>
    <row r="4061">
      <c r="A4061">
        <f>IFERROR(INDEX('Email Cleaner'!$B$2:$B$10001,MATCH(4060,'Email Cleaner'!$I$2:$I$10001,0)),"")</f>
        <v/>
      </c>
    </row>
    <row r="4062">
      <c r="A4062">
        <f>IFERROR(INDEX('Email Cleaner'!$B$2:$B$10001,MATCH(4061,'Email Cleaner'!$I$2:$I$10001,0)),"")</f>
        <v/>
      </c>
    </row>
    <row r="4063">
      <c r="A4063">
        <f>IFERROR(INDEX('Email Cleaner'!$B$2:$B$10001,MATCH(4062,'Email Cleaner'!$I$2:$I$10001,0)),"")</f>
        <v/>
      </c>
    </row>
    <row r="4064">
      <c r="A4064">
        <f>IFERROR(INDEX('Email Cleaner'!$B$2:$B$10001,MATCH(4063,'Email Cleaner'!$I$2:$I$10001,0)),"")</f>
        <v/>
      </c>
    </row>
    <row r="4065">
      <c r="A4065">
        <f>IFERROR(INDEX('Email Cleaner'!$B$2:$B$10001,MATCH(4064,'Email Cleaner'!$I$2:$I$10001,0)),"")</f>
        <v/>
      </c>
    </row>
    <row r="4066">
      <c r="A4066">
        <f>IFERROR(INDEX('Email Cleaner'!$B$2:$B$10001,MATCH(4065,'Email Cleaner'!$I$2:$I$10001,0)),"")</f>
        <v/>
      </c>
    </row>
    <row r="4067">
      <c r="A4067">
        <f>IFERROR(INDEX('Email Cleaner'!$B$2:$B$10001,MATCH(4066,'Email Cleaner'!$I$2:$I$10001,0)),"")</f>
        <v/>
      </c>
    </row>
    <row r="4068">
      <c r="A4068">
        <f>IFERROR(INDEX('Email Cleaner'!$B$2:$B$10001,MATCH(4067,'Email Cleaner'!$I$2:$I$10001,0)),"")</f>
        <v/>
      </c>
    </row>
    <row r="4069">
      <c r="A4069">
        <f>IFERROR(INDEX('Email Cleaner'!$B$2:$B$10001,MATCH(4068,'Email Cleaner'!$I$2:$I$10001,0)),"")</f>
        <v/>
      </c>
    </row>
    <row r="4070">
      <c r="A4070">
        <f>IFERROR(INDEX('Email Cleaner'!$B$2:$B$10001,MATCH(4069,'Email Cleaner'!$I$2:$I$10001,0)),"")</f>
        <v/>
      </c>
    </row>
    <row r="4071">
      <c r="A4071">
        <f>IFERROR(INDEX('Email Cleaner'!$B$2:$B$10001,MATCH(4070,'Email Cleaner'!$I$2:$I$10001,0)),"")</f>
        <v/>
      </c>
    </row>
    <row r="4072">
      <c r="A4072">
        <f>IFERROR(INDEX('Email Cleaner'!$B$2:$B$10001,MATCH(4071,'Email Cleaner'!$I$2:$I$10001,0)),"")</f>
        <v/>
      </c>
    </row>
    <row r="4073">
      <c r="A4073">
        <f>IFERROR(INDEX('Email Cleaner'!$B$2:$B$10001,MATCH(4072,'Email Cleaner'!$I$2:$I$10001,0)),"")</f>
        <v/>
      </c>
    </row>
    <row r="4074">
      <c r="A4074">
        <f>IFERROR(INDEX('Email Cleaner'!$B$2:$B$10001,MATCH(4073,'Email Cleaner'!$I$2:$I$10001,0)),"")</f>
        <v/>
      </c>
    </row>
    <row r="4075">
      <c r="A4075">
        <f>IFERROR(INDEX('Email Cleaner'!$B$2:$B$10001,MATCH(4074,'Email Cleaner'!$I$2:$I$10001,0)),"")</f>
        <v/>
      </c>
    </row>
    <row r="4076">
      <c r="A4076">
        <f>IFERROR(INDEX('Email Cleaner'!$B$2:$B$10001,MATCH(4075,'Email Cleaner'!$I$2:$I$10001,0)),"")</f>
        <v/>
      </c>
    </row>
    <row r="4077">
      <c r="A4077">
        <f>IFERROR(INDEX('Email Cleaner'!$B$2:$B$10001,MATCH(4076,'Email Cleaner'!$I$2:$I$10001,0)),"")</f>
        <v/>
      </c>
    </row>
    <row r="4078">
      <c r="A4078">
        <f>IFERROR(INDEX('Email Cleaner'!$B$2:$B$10001,MATCH(4077,'Email Cleaner'!$I$2:$I$10001,0)),"")</f>
        <v/>
      </c>
    </row>
    <row r="4079">
      <c r="A4079">
        <f>IFERROR(INDEX('Email Cleaner'!$B$2:$B$10001,MATCH(4078,'Email Cleaner'!$I$2:$I$10001,0)),"")</f>
        <v/>
      </c>
    </row>
    <row r="4080">
      <c r="A4080">
        <f>IFERROR(INDEX('Email Cleaner'!$B$2:$B$10001,MATCH(4079,'Email Cleaner'!$I$2:$I$10001,0)),"")</f>
        <v/>
      </c>
    </row>
    <row r="4081">
      <c r="A4081">
        <f>IFERROR(INDEX('Email Cleaner'!$B$2:$B$10001,MATCH(4080,'Email Cleaner'!$I$2:$I$10001,0)),"")</f>
        <v/>
      </c>
    </row>
    <row r="4082">
      <c r="A4082">
        <f>IFERROR(INDEX('Email Cleaner'!$B$2:$B$10001,MATCH(4081,'Email Cleaner'!$I$2:$I$10001,0)),"")</f>
        <v/>
      </c>
    </row>
    <row r="4083">
      <c r="A4083">
        <f>IFERROR(INDEX('Email Cleaner'!$B$2:$B$10001,MATCH(4082,'Email Cleaner'!$I$2:$I$10001,0)),"")</f>
        <v/>
      </c>
    </row>
    <row r="4084">
      <c r="A4084">
        <f>IFERROR(INDEX('Email Cleaner'!$B$2:$B$10001,MATCH(4083,'Email Cleaner'!$I$2:$I$10001,0)),"")</f>
        <v/>
      </c>
    </row>
    <row r="4085">
      <c r="A4085">
        <f>IFERROR(INDEX('Email Cleaner'!$B$2:$B$10001,MATCH(4084,'Email Cleaner'!$I$2:$I$10001,0)),"")</f>
        <v/>
      </c>
    </row>
    <row r="4086">
      <c r="A4086">
        <f>IFERROR(INDEX('Email Cleaner'!$B$2:$B$10001,MATCH(4085,'Email Cleaner'!$I$2:$I$10001,0)),"")</f>
        <v/>
      </c>
    </row>
    <row r="4087">
      <c r="A4087">
        <f>IFERROR(INDEX('Email Cleaner'!$B$2:$B$10001,MATCH(4086,'Email Cleaner'!$I$2:$I$10001,0)),"")</f>
        <v/>
      </c>
    </row>
    <row r="4088">
      <c r="A4088">
        <f>IFERROR(INDEX('Email Cleaner'!$B$2:$B$10001,MATCH(4087,'Email Cleaner'!$I$2:$I$10001,0)),"")</f>
        <v/>
      </c>
    </row>
    <row r="4089">
      <c r="A4089">
        <f>IFERROR(INDEX('Email Cleaner'!$B$2:$B$10001,MATCH(4088,'Email Cleaner'!$I$2:$I$10001,0)),"")</f>
        <v/>
      </c>
    </row>
    <row r="4090">
      <c r="A4090">
        <f>IFERROR(INDEX('Email Cleaner'!$B$2:$B$10001,MATCH(4089,'Email Cleaner'!$I$2:$I$10001,0)),"")</f>
        <v/>
      </c>
    </row>
    <row r="4091">
      <c r="A4091">
        <f>IFERROR(INDEX('Email Cleaner'!$B$2:$B$10001,MATCH(4090,'Email Cleaner'!$I$2:$I$10001,0)),"")</f>
        <v/>
      </c>
    </row>
    <row r="4092">
      <c r="A4092">
        <f>IFERROR(INDEX('Email Cleaner'!$B$2:$B$10001,MATCH(4091,'Email Cleaner'!$I$2:$I$10001,0)),"")</f>
        <v/>
      </c>
    </row>
    <row r="4093">
      <c r="A4093">
        <f>IFERROR(INDEX('Email Cleaner'!$B$2:$B$10001,MATCH(4092,'Email Cleaner'!$I$2:$I$10001,0)),"")</f>
        <v/>
      </c>
    </row>
    <row r="4094">
      <c r="A4094">
        <f>IFERROR(INDEX('Email Cleaner'!$B$2:$B$10001,MATCH(4093,'Email Cleaner'!$I$2:$I$10001,0)),"")</f>
        <v/>
      </c>
    </row>
    <row r="4095">
      <c r="A4095">
        <f>IFERROR(INDEX('Email Cleaner'!$B$2:$B$10001,MATCH(4094,'Email Cleaner'!$I$2:$I$10001,0)),"")</f>
        <v/>
      </c>
    </row>
    <row r="4096">
      <c r="A4096">
        <f>IFERROR(INDEX('Email Cleaner'!$B$2:$B$10001,MATCH(4095,'Email Cleaner'!$I$2:$I$10001,0)),"")</f>
        <v/>
      </c>
    </row>
    <row r="4097">
      <c r="A4097">
        <f>IFERROR(INDEX('Email Cleaner'!$B$2:$B$10001,MATCH(4096,'Email Cleaner'!$I$2:$I$10001,0)),"")</f>
        <v/>
      </c>
    </row>
    <row r="4098">
      <c r="A4098">
        <f>IFERROR(INDEX('Email Cleaner'!$B$2:$B$10001,MATCH(4097,'Email Cleaner'!$I$2:$I$10001,0)),"")</f>
        <v/>
      </c>
    </row>
    <row r="4099">
      <c r="A4099">
        <f>IFERROR(INDEX('Email Cleaner'!$B$2:$B$10001,MATCH(4098,'Email Cleaner'!$I$2:$I$10001,0)),"")</f>
        <v/>
      </c>
    </row>
    <row r="4100">
      <c r="A4100">
        <f>IFERROR(INDEX('Email Cleaner'!$B$2:$B$10001,MATCH(4099,'Email Cleaner'!$I$2:$I$10001,0)),"")</f>
        <v/>
      </c>
    </row>
    <row r="4101">
      <c r="A4101">
        <f>IFERROR(INDEX('Email Cleaner'!$B$2:$B$10001,MATCH(4100,'Email Cleaner'!$I$2:$I$10001,0)),"")</f>
        <v/>
      </c>
    </row>
    <row r="4102">
      <c r="A4102">
        <f>IFERROR(INDEX('Email Cleaner'!$B$2:$B$10001,MATCH(4101,'Email Cleaner'!$I$2:$I$10001,0)),"")</f>
        <v/>
      </c>
    </row>
    <row r="4103">
      <c r="A4103">
        <f>IFERROR(INDEX('Email Cleaner'!$B$2:$B$10001,MATCH(4102,'Email Cleaner'!$I$2:$I$10001,0)),"")</f>
        <v/>
      </c>
    </row>
    <row r="4104">
      <c r="A4104">
        <f>IFERROR(INDEX('Email Cleaner'!$B$2:$B$10001,MATCH(4103,'Email Cleaner'!$I$2:$I$10001,0)),"")</f>
        <v/>
      </c>
    </row>
    <row r="4105">
      <c r="A4105">
        <f>IFERROR(INDEX('Email Cleaner'!$B$2:$B$10001,MATCH(4104,'Email Cleaner'!$I$2:$I$10001,0)),"")</f>
        <v/>
      </c>
    </row>
    <row r="4106">
      <c r="A4106">
        <f>IFERROR(INDEX('Email Cleaner'!$B$2:$B$10001,MATCH(4105,'Email Cleaner'!$I$2:$I$10001,0)),"")</f>
        <v/>
      </c>
    </row>
    <row r="4107">
      <c r="A4107">
        <f>IFERROR(INDEX('Email Cleaner'!$B$2:$B$10001,MATCH(4106,'Email Cleaner'!$I$2:$I$10001,0)),"")</f>
        <v/>
      </c>
    </row>
    <row r="4108">
      <c r="A4108">
        <f>IFERROR(INDEX('Email Cleaner'!$B$2:$B$10001,MATCH(4107,'Email Cleaner'!$I$2:$I$10001,0)),"")</f>
        <v/>
      </c>
    </row>
    <row r="4109">
      <c r="A4109">
        <f>IFERROR(INDEX('Email Cleaner'!$B$2:$B$10001,MATCH(4108,'Email Cleaner'!$I$2:$I$10001,0)),"")</f>
        <v/>
      </c>
    </row>
    <row r="4110">
      <c r="A4110">
        <f>IFERROR(INDEX('Email Cleaner'!$B$2:$B$10001,MATCH(4109,'Email Cleaner'!$I$2:$I$10001,0)),"")</f>
        <v/>
      </c>
    </row>
    <row r="4111">
      <c r="A4111">
        <f>IFERROR(INDEX('Email Cleaner'!$B$2:$B$10001,MATCH(4110,'Email Cleaner'!$I$2:$I$10001,0)),"")</f>
        <v/>
      </c>
    </row>
    <row r="4112">
      <c r="A4112">
        <f>IFERROR(INDEX('Email Cleaner'!$B$2:$B$10001,MATCH(4111,'Email Cleaner'!$I$2:$I$10001,0)),"")</f>
        <v/>
      </c>
    </row>
    <row r="4113">
      <c r="A4113">
        <f>IFERROR(INDEX('Email Cleaner'!$B$2:$B$10001,MATCH(4112,'Email Cleaner'!$I$2:$I$10001,0)),"")</f>
        <v/>
      </c>
    </row>
    <row r="4114">
      <c r="A4114">
        <f>IFERROR(INDEX('Email Cleaner'!$B$2:$B$10001,MATCH(4113,'Email Cleaner'!$I$2:$I$10001,0)),"")</f>
        <v/>
      </c>
    </row>
    <row r="4115">
      <c r="A4115">
        <f>IFERROR(INDEX('Email Cleaner'!$B$2:$B$10001,MATCH(4114,'Email Cleaner'!$I$2:$I$10001,0)),"")</f>
        <v/>
      </c>
    </row>
    <row r="4116">
      <c r="A4116">
        <f>IFERROR(INDEX('Email Cleaner'!$B$2:$B$10001,MATCH(4115,'Email Cleaner'!$I$2:$I$10001,0)),"")</f>
        <v/>
      </c>
    </row>
    <row r="4117">
      <c r="A4117">
        <f>IFERROR(INDEX('Email Cleaner'!$B$2:$B$10001,MATCH(4116,'Email Cleaner'!$I$2:$I$10001,0)),"")</f>
        <v/>
      </c>
    </row>
    <row r="4118">
      <c r="A4118">
        <f>IFERROR(INDEX('Email Cleaner'!$B$2:$B$10001,MATCH(4117,'Email Cleaner'!$I$2:$I$10001,0)),"")</f>
        <v/>
      </c>
    </row>
    <row r="4119">
      <c r="A4119">
        <f>IFERROR(INDEX('Email Cleaner'!$B$2:$B$10001,MATCH(4118,'Email Cleaner'!$I$2:$I$10001,0)),"")</f>
        <v/>
      </c>
    </row>
    <row r="4120">
      <c r="A4120">
        <f>IFERROR(INDEX('Email Cleaner'!$B$2:$B$10001,MATCH(4119,'Email Cleaner'!$I$2:$I$10001,0)),"")</f>
        <v/>
      </c>
    </row>
    <row r="4121">
      <c r="A4121">
        <f>IFERROR(INDEX('Email Cleaner'!$B$2:$B$10001,MATCH(4120,'Email Cleaner'!$I$2:$I$10001,0)),"")</f>
        <v/>
      </c>
    </row>
    <row r="4122">
      <c r="A4122">
        <f>IFERROR(INDEX('Email Cleaner'!$B$2:$B$10001,MATCH(4121,'Email Cleaner'!$I$2:$I$10001,0)),"")</f>
        <v/>
      </c>
    </row>
    <row r="4123">
      <c r="A4123">
        <f>IFERROR(INDEX('Email Cleaner'!$B$2:$B$10001,MATCH(4122,'Email Cleaner'!$I$2:$I$10001,0)),"")</f>
        <v/>
      </c>
    </row>
    <row r="4124">
      <c r="A4124">
        <f>IFERROR(INDEX('Email Cleaner'!$B$2:$B$10001,MATCH(4123,'Email Cleaner'!$I$2:$I$10001,0)),"")</f>
        <v/>
      </c>
    </row>
    <row r="4125">
      <c r="A4125">
        <f>IFERROR(INDEX('Email Cleaner'!$B$2:$B$10001,MATCH(4124,'Email Cleaner'!$I$2:$I$10001,0)),"")</f>
        <v/>
      </c>
    </row>
    <row r="4126">
      <c r="A4126">
        <f>IFERROR(INDEX('Email Cleaner'!$B$2:$B$10001,MATCH(4125,'Email Cleaner'!$I$2:$I$10001,0)),"")</f>
        <v/>
      </c>
    </row>
    <row r="4127">
      <c r="A4127">
        <f>IFERROR(INDEX('Email Cleaner'!$B$2:$B$10001,MATCH(4126,'Email Cleaner'!$I$2:$I$10001,0)),"")</f>
        <v/>
      </c>
    </row>
    <row r="4128">
      <c r="A4128">
        <f>IFERROR(INDEX('Email Cleaner'!$B$2:$B$10001,MATCH(4127,'Email Cleaner'!$I$2:$I$10001,0)),"")</f>
        <v/>
      </c>
    </row>
    <row r="4129">
      <c r="A4129">
        <f>IFERROR(INDEX('Email Cleaner'!$B$2:$B$10001,MATCH(4128,'Email Cleaner'!$I$2:$I$10001,0)),"")</f>
        <v/>
      </c>
    </row>
    <row r="4130">
      <c r="A4130">
        <f>IFERROR(INDEX('Email Cleaner'!$B$2:$B$10001,MATCH(4129,'Email Cleaner'!$I$2:$I$10001,0)),"")</f>
        <v/>
      </c>
    </row>
    <row r="4131">
      <c r="A4131">
        <f>IFERROR(INDEX('Email Cleaner'!$B$2:$B$10001,MATCH(4130,'Email Cleaner'!$I$2:$I$10001,0)),"")</f>
        <v/>
      </c>
    </row>
    <row r="4132">
      <c r="A4132">
        <f>IFERROR(INDEX('Email Cleaner'!$B$2:$B$10001,MATCH(4131,'Email Cleaner'!$I$2:$I$10001,0)),"")</f>
        <v/>
      </c>
    </row>
    <row r="4133">
      <c r="A4133">
        <f>IFERROR(INDEX('Email Cleaner'!$B$2:$B$10001,MATCH(4132,'Email Cleaner'!$I$2:$I$10001,0)),"")</f>
        <v/>
      </c>
    </row>
    <row r="4134">
      <c r="A4134">
        <f>IFERROR(INDEX('Email Cleaner'!$B$2:$B$10001,MATCH(4133,'Email Cleaner'!$I$2:$I$10001,0)),"")</f>
        <v/>
      </c>
    </row>
    <row r="4135">
      <c r="A4135">
        <f>IFERROR(INDEX('Email Cleaner'!$B$2:$B$10001,MATCH(4134,'Email Cleaner'!$I$2:$I$10001,0)),"")</f>
        <v/>
      </c>
    </row>
    <row r="4136">
      <c r="A4136">
        <f>IFERROR(INDEX('Email Cleaner'!$B$2:$B$10001,MATCH(4135,'Email Cleaner'!$I$2:$I$10001,0)),"")</f>
        <v/>
      </c>
    </row>
    <row r="4137">
      <c r="A4137">
        <f>IFERROR(INDEX('Email Cleaner'!$B$2:$B$10001,MATCH(4136,'Email Cleaner'!$I$2:$I$10001,0)),"")</f>
        <v/>
      </c>
    </row>
    <row r="4138">
      <c r="A4138">
        <f>IFERROR(INDEX('Email Cleaner'!$B$2:$B$10001,MATCH(4137,'Email Cleaner'!$I$2:$I$10001,0)),"")</f>
        <v/>
      </c>
    </row>
    <row r="4139">
      <c r="A4139">
        <f>IFERROR(INDEX('Email Cleaner'!$B$2:$B$10001,MATCH(4138,'Email Cleaner'!$I$2:$I$10001,0)),"")</f>
        <v/>
      </c>
    </row>
    <row r="4140">
      <c r="A4140">
        <f>IFERROR(INDEX('Email Cleaner'!$B$2:$B$10001,MATCH(4139,'Email Cleaner'!$I$2:$I$10001,0)),"")</f>
        <v/>
      </c>
    </row>
    <row r="4141">
      <c r="A4141">
        <f>IFERROR(INDEX('Email Cleaner'!$B$2:$B$10001,MATCH(4140,'Email Cleaner'!$I$2:$I$10001,0)),"")</f>
        <v/>
      </c>
    </row>
    <row r="4142">
      <c r="A4142">
        <f>IFERROR(INDEX('Email Cleaner'!$B$2:$B$10001,MATCH(4141,'Email Cleaner'!$I$2:$I$10001,0)),"")</f>
        <v/>
      </c>
    </row>
    <row r="4143">
      <c r="A4143">
        <f>IFERROR(INDEX('Email Cleaner'!$B$2:$B$10001,MATCH(4142,'Email Cleaner'!$I$2:$I$10001,0)),"")</f>
        <v/>
      </c>
    </row>
    <row r="4144">
      <c r="A4144">
        <f>IFERROR(INDEX('Email Cleaner'!$B$2:$B$10001,MATCH(4143,'Email Cleaner'!$I$2:$I$10001,0)),"")</f>
        <v/>
      </c>
    </row>
    <row r="4145">
      <c r="A4145">
        <f>IFERROR(INDEX('Email Cleaner'!$B$2:$B$10001,MATCH(4144,'Email Cleaner'!$I$2:$I$10001,0)),"")</f>
        <v/>
      </c>
    </row>
    <row r="4146">
      <c r="A4146">
        <f>IFERROR(INDEX('Email Cleaner'!$B$2:$B$10001,MATCH(4145,'Email Cleaner'!$I$2:$I$10001,0)),"")</f>
        <v/>
      </c>
    </row>
    <row r="4147">
      <c r="A4147">
        <f>IFERROR(INDEX('Email Cleaner'!$B$2:$B$10001,MATCH(4146,'Email Cleaner'!$I$2:$I$10001,0)),"")</f>
        <v/>
      </c>
    </row>
    <row r="4148">
      <c r="A4148">
        <f>IFERROR(INDEX('Email Cleaner'!$B$2:$B$10001,MATCH(4147,'Email Cleaner'!$I$2:$I$10001,0)),"")</f>
        <v/>
      </c>
    </row>
    <row r="4149">
      <c r="A4149">
        <f>IFERROR(INDEX('Email Cleaner'!$B$2:$B$10001,MATCH(4148,'Email Cleaner'!$I$2:$I$10001,0)),"")</f>
        <v/>
      </c>
    </row>
    <row r="4150">
      <c r="A4150">
        <f>IFERROR(INDEX('Email Cleaner'!$B$2:$B$10001,MATCH(4149,'Email Cleaner'!$I$2:$I$10001,0)),"")</f>
        <v/>
      </c>
    </row>
    <row r="4151">
      <c r="A4151">
        <f>IFERROR(INDEX('Email Cleaner'!$B$2:$B$10001,MATCH(4150,'Email Cleaner'!$I$2:$I$10001,0)),"")</f>
        <v/>
      </c>
    </row>
    <row r="4152">
      <c r="A4152">
        <f>IFERROR(INDEX('Email Cleaner'!$B$2:$B$10001,MATCH(4151,'Email Cleaner'!$I$2:$I$10001,0)),"")</f>
        <v/>
      </c>
    </row>
    <row r="4153">
      <c r="A4153">
        <f>IFERROR(INDEX('Email Cleaner'!$B$2:$B$10001,MATCH(4152,'Email Cleaner'!$I$2:$I$10001,0)),"")</f>
        <v/>
      </c>
    </row>
    <row r="4154">
      <c r="A4154">
        <f>IFERROR(INDEX('Email Cleaner'!$B$2:$B$10001,MATCH(4153,'Email Cleaner'!$I$2:$I$10001,0)),"")</f>
        <v/>
      </c>
    </row>
    <row r="4155">
      <c r="A4155">
        <f>IFERROR(INDEX('Email Cleaner'!$B$2:$B$10001,MATCH(4154,'Email Cleaner'!$I$2:$I$10001,0)),"")</f>
        <v/>
      </c>
    </row>
    <row r="4156">
      <c r="A4156">
        <f>IFERROR(INDEX('Email Cleaner'!$B$2:$B$10001,MATCH(4155,'Email Cleaner'!$I$2:$I$10001,0)),"")</f>
        <v/>
      </c>
    </row>
    <row r="4157">
      <c r="A4157">
        <f>IFERROR(INDEX('Email Cleaner'!$B$2:$B$10001,MATCH(4156,'Email Cleaner'!$I$2:$I$10001,0)),"")</f>
        <v/>
      </c>
    </row>
    <row r="4158">
      <c r="A4158">
        <f>IFERROR(INDEX('Email Cleaner'!$B$2:$B$10001,MATCH(4157,'Email Cleaner'!$I$2:$I$10001,0)),"")</f>
        <v/>
      </c>
    </row>
    <row r="4159">
      <c r="A4159">
        <f>IFERROR(INDEX('Email Cleaner'!$B$2:$B$10001,MATCH(4158,'Email Cleaner'!$I$2:$I$10001,0)),"")</f>
        <v/>
      </c>
    </row>
    <row r="4160">
      <c r="A4160">
        <f>IFERROR(INDEX('Email Cleaner'!$B$2:$B$10001,MATCH(4159,'Email Cleaner'!$I$2:$I$10001,0)),"")</f>
        <v/>
      </c>
    </row>
    <row r="4161">
      <c r="A4161">
        <f>IFERROR(INDEX('Email Cleaner'!$B$2:$B$10001,MATCH(4160,'Email Cleaner'!$I$2:$I$10001,0)),"")</f>
        <v/>
      </c>
    </row>
    <row r="4162">
      <c r="A4162">
        <f>IFERROR(INDEX('Email Cleaner'!$B$2:$B$10001,MATCH(4161,'Email Cleaner'!$I$2:$I$10001,0)),"")</f>
        <v/>
      </c>
    </row>
    <row r="4163">
      <c r="A4163">
        <f>IFERROR(INDEX('Email Cleaner'!$B$2:$B$10001,MATCH(4162,'Email Cleaner'!$I$2:$I$10001,0)),"")</f>
        <v/>
      </c>
    </row>
    <row r="4164">
      <c r="A4164">
        <f>IFERROR(INDEX('Email Cleaner'!$B$2:$B$10001,MATCH(4163,'Email Cleaner'!$I$2:$I$10001,0)),"")</f>
        <v/>
      </c>
    </row>
    <row r="4165">
      <c r="A4165">
        <f>IFERROR(INDEX('Email Cleaner'!$B$2:$B$10001,MATCH(4164,'Email Cleaner'!$I$2:$I$10001,0)),"")</f>
        <v/>
      </c>
    </row>
    <row r="4166">
      <c r="A4166">
        <f>IFERROR(INDEX('Email Cleaner'!$B$2:$B$10001,MATCH(4165,'Email Cleaner'!$I$2:$I$10001,0)),"")</f>
        <v/>
      </c>
    </row>
    <row r="4167">
      <c r="A4167">
        <f>IFERROR(INDEX('Email Cleaner'!$B$2:$B$10001,MATCH(4166,'Email Cleaner'!$I$2:$I$10001,0)),"")</f>
        <v/>
      </c>
    </row>
    <row r="4168">
      <c r="A4168">
        <f>IFERROR(INDEX('Email Cleaner'!$B$2:$B$10001,MATCH(4167,'Email Cleaner'!$I$2:$I$10001,0)),"")</f>
        <v/>
      </c>
    </row>
    <row r="4169">
      <c r="A4169">
        <f>IFERROR(INDEX('Email Cleaner'!$B$2:$B$10001,MATCH(4168,'Email Cleaner'!$I$2:$I$10001,0)),"")</f>
        <v/>
      </c>
    </row>
    <row r="4170">
      <c r="A4170">
        <f>IFERROR(INDEX('Email Cleaner'!$B$2:$B$10001,MATCH(4169,'Email Cleaner'!$I$2:$I$10001,0)),"")</f>
        <v/>
      </c>
    </row>
    <row r="4171">
      <c r="A4171">
        <f>IFERROR(INDEX('Email Cleaner'!$B$2:$B$10001,MATCH(4170,'Email Cleaner'!$I$2:$I$10001,0)),"")</f>
        <v/>
      </c>
    </row>
    <row r="4172">
      <c r="A4172">
        <f>IFERROR(INDEX('Email Cleaner'!$B$2:$B$10001,MATCH(4171,'Email Cleaner'!$I$2:$I$10001,0)),"")</f>
        <v/>
      </c>
    </row>
    <row r="4173">
      <c r="A4173">
        <f>IFERROR(INDEX('Email Cleaner'!$B$2:$B$10001,MATCH(4172,'Email Cleaner'!$I$2:$I$10001,0)),"")</f>
        <v/>
      </c>
    </row>
    <row r="4174">
      <c r="A4174">
        <f>IFERROR(INDEX('Email Cleaner'!$B$2:$B$10001,MATCH(4173,'Email Cleaner'!$I$2:$I$10001,0)),"")</f>
        <v/>
      </c>
    </row>
    <row r="4175">
      <c r="A4175">
        <f>IFERROR(INDEX('Email Cleaner'!$B$2:$B$10001,MATCH(4174,'Email Cleaner'!$I$2:$I$10001,0)),"")</f>
        <v/>
      </c>
    </row>
    <row r="4176">
      <c r="A4176">
        <f>IFERROR(INDEX('Email Cleaner'!$B$2:$B$10001,MATCH(4175,'Email Cleaner'!$I$2:$I$10001,0)),"")</f>
        <v/>
      </c>
    </row>
    <row r="4177">
      <c r="A4177">
        <f>IFERROR(INDEX('Email Cleaner'!$B$2:$B$10001,MATCH(4176,'Email Cleaner'!$I$2:$I$10001,0)),"")</f>
        <v/>
      </c>
    </row>
    <row r="4178">
      <c r="A4178">
        <f>IFERROR(INDEX('Email Cleaner'!$B$2:$B$10001,MATCH(4177,'Email Cleaner'!$I$2:$I$10001,0)),"")</f>
        <v/>
      </c>
    </row>
    <row r="4179">
      <c r="A4179">
        <f>IFERROR(INDEX('Email Cleaner'!$B$2:$B$10001,MATCH(4178,'Email Cleaner'!$I$2:$I$10001,0)),"")</f>
        <v/>
      </c>
    </row>
    <row r="4180">
      <c r="A4180">
        <f>IFERROR(INDEX('Email Cleaner'!$B$2:$B$10001,MATCH(4179,'Email Cleaner'!$I$2:$I$10001,0)),"")</f>
        <v/>
      </c>
    </row>
    <row r="4181">
      <c r="A4181">
        <f>IFERROR(INDEX('Email Cleaner'!$B$2:$B$10001,MATCH(4180,'Email Cleaner'!$I$2:$I$10001,0)),"")</f>
        <v/>
      </c>
    </row>
    <row r="4182">
      <c r="A4182">
        <f>IFERROR(INDEX('Email Cleaner'!$B$2:$B$10001,MATCH(4181,'Email Cleaner'!$I$2:$I$10001,0)),"")</f>
        <v/>
      </c>
    </row>
    <row r="4183">
      <c r="A4183">
        <f>IFERROR(INDEX('Email Cleaner'!$B$2:$B$10001,MATCH(4182,'Email Cleaner'!$I$2:$I$10001,0)),"")</f>
        <v/>
      </c>
    </row>
    <row r="4184">
      <c r="A4184">
        <f>IFERROR(INDEX('Email Cleaner'!$B$2:$B$10001,MATCH(4183,'Email Cleaner'!$I$2:$I$10001,0)),"")</f>
        <v/>
      </c>
    </row>
    <row r="4185">
      <c r="A4185">
        <f>IFERROR(INDEX('Email Cleaner'!$B$2:$B$10001,MATCH(4184,'Email Cleaner'!$I$2:$I$10001,0)),"")</f>
        <v/>
      </c>
    </row>
    <row r="4186">
      <c r="A4186">
        <f>IFERROR(INDEX('Email Cleaner'!$B$2:$B$10001,MATCH(4185,'Email Cleaner'!$I$2:$I$10001,0)),"")</f>
        <v/>
      </c>
    </row>
    <row r="4187">
      <c r="A4187">
        <f>IFERROR(INDEX('Email Cleaner'!$B$2:$B$10001,MATCH(4186,'Email Cleaner'!$I$2:$I$10001,0)),"")</f>
        <v/>
      </c>
    </row>
    <row r="4188">
      <c r="A4188">
        <f>IFERROR(INDEX('Email Cleaner'!$B$2:$B$10001,MATCH(4187,'Email Cleaner'!$I$2:$I$10001,0)),"")</f>
        <v/>
      </c>
    </row>
    <row r="4189">
      <c r="A4189">
        <f>IFERROR(INDEX('Email Cleaner'!$B$2:$B$10001,MATCH(4188,'Email Cleaner'!$I$2:$I$10001,0)),"")</f>
        <v/>
      </c>
    </row>
    <row r="4190">
      <c r="A4190">
        <f>IFERROR(INDEX('Email Cleaner'!$B$2:$B$10001,MATCH(4189,'Email Cleaner'!$I$2:$I$10001,0)),"")</f>
        <v/>
      </c>
    </row>
    <row r="4191">
      <c r="A4191">
        <f>IFERROR(INDEX('Email Cleaner'!$B$2:$B$10001,MATCH(4190,'Email Cleaner'!$I$2:$I$10001,0)),"")</f>
        <v/>
      </c>
    </row>
    <row r="4192">
      <c r="A4192">
        <f>IFERROR(INDEX('Email Cleaner'!$B$2:$B$10001,MATCH(4191,'Email Cleaner'!$I$2:$I$10001,0)),"")</f>
        <v/>
      </c>
    </row>
    <row r="4193">
      <c r="A4193">
        <f>IFERROR(INDEX('Email Cleaner'!$B$2:$B$10001,MATCH(4192,'Email Cleaner'!$I$2:$I$10001,0)),"")</f>
        <v/>
      </c>
    </row>
    <row r="4194">
      <c r="A4194">
        <f>IFERROR(INDEX('Email Cleaner'!$B$2:$B$10001,MATCH(4193,'Email Cleaner'!$I$2:$I$10001,0)),"")</f>
        <v/>
      </c>
    </row>
    <row r="4195">
      <c r="A4195">
        <f>IFERROR(INDEX('Email Cleaner'!$B$2:$B$10001,MATCH(4194,'Email Cleaner'!$I$2:$I$10001,0)),"")</f>
        <v/>
      </c>
    </row>
    <row r="4196">
      <c r="A4196">
        <f>IFERROR(INDEX('Email Cleaner'!$B$2:$B$10001,MATCH(4195,'Email Cleaner'!$I$2:$I$10001,0)),"")</f>
        <v/>
      </c>
    </row>
    <row r="4197">
      <c r="A4197">
        <f>IFERROR(INDEX('Email Cleaner'!$B$2:$B$10001,MATCH(4196,'Email Cleaner'!$I$2:$I$10001,0)),"")</f>
        <v/>
      </c>
    </row>
    <row r="4198">
      <c r="A4198">
        <f>IFERROR(INDEX('Email Cleaner'!$B$2:$B$10001,MATCH(4197,'Email Cleaner'!$I$2:$I$10001,0)),"")</f>
        <v/>
      </c>
    </row>
    <row r="4199">
      <c r="A4199">
        <f>IFERROR(INDEX('Email Cleaner'!$B$2:$B$10001,MATCH(4198,'Email Cleaner'!$I$2:$I$10001,0)),"")</f>
        <v/>
      </c>
    </row>
    <row r="4200">
      <c r="A4200">
        <f>IFERROR(INDEX('Email Cleaner'!$B$2:$B$10001,MATCH(4199,'Email Cleaner'!$I$2:$I$10001,0)),"")</f>
        <v/>
      </c>
    </row>
    <row r="4201">
      <c r="A4201">
        <f>IFERROR(INDEX('Email Cleaner'!$B$2:$B$10001,MATCH(4200,'Email Cleaner'!$I$2:$I$10001,0)),"")</f>
        <v/>
      </c>
    </row>
    <row r="4202">
      <c r="A4202">
        <f>IFERROR(INDEX('Email Cleaner'!$B$2:$B$10001,MATCH(4201,'Email Cleaner'!$I$2:$I$10001,0)),"")</f>
        <v/>
      </c>
    </row>
    <row r="4203">
      <c r="A4203">
        <f>IFERROR(INDEX('Email Cleaner'!$B$2:$B$10001,MATCH(4202,'Email Cleaner'!$I$2:$I$10001,0)),"")</f>
        <v/>
      </c>
    </row>
    <row r="4204">
      <c r="A4204">
        <f>IFERROR(INDEX('Email Cleaner'!$B$2:$B$10001,MATCH(4203,'Email Cleaner'!$I$2:$I$10001,0)),"")</f>
        <v/>
      </c>
    </row>
    <row r="4205">
      <c r="A4205">
        <f>IFERROR(INDEX('Email Cleaner'!$B$2:$B$10001,MATCH(4204,'Email Cleaner'!$I$2:$I$10001,0)),"")</f>
        <v/>
      </c>
    </row>
    <row r="4206">
      <c r="A4206">
        <f>IFERROR(INDEX('Email Cleaner'!$B$2:$B$10001,MATCH(4205,'Email Cleaner'!$I$2:$I$10001,0)),"")</f>
        <v/>
      </c>
    </row>
    <row r="4207">
      <c r="A4207">
        <f>IFERROR(INDEX('Email Cleaner'!$B$2:$B$10001,MATCH(4206,'Email Cleaner'!$I$2:$I$10001,0)),"")</f>
        <v/>
      </c>
    </row>
    <row r="4208">
      <c r="A4208">
        <f>IFERROR(INDEX('Email Cleaner'!$B$2:$B$10001,MATCH(4207,'Email Cleaner'!$I$2:$I$10001,0)),"")</f>
        <v/>
      </c>
    </row>
    <row r="4209">
      <c r="A4209">
        <f>IFERROR(INDEX('Email Cleaner'!$B$2:$B$10001,MATCH(4208,'Email Cleaner'!$I$2:$I$10001,0)),"")</f>
        <v/>
      </c>
    </row>
    <row r="4210">
      <c r="A4210">
        <f>IFERROR(INDEX('Email Cleaner'!$B$2:$B$10001,MATCH(4209,'Email Cleaner'!$I$2:$I$10001,0)),"")</f>
        <v/>
      </c>
    </row>
    <row r="4211">
      <c r="A4211">
        <f>IFERROR(INDEX('Email Cleaner'!$B$2:$B$10001,MATCH(4210,'Email Cleaner'!$I$2:$I$10001,0)),"")</f>
        <v/>
      </c>
    </row>
    <row r="4212">
      <c r="A4212">
        <f>IFERROR(INDEX('Email Cleaner'!$B$2:$B$10001,MATCH(4211,'Email Cleaner'!$I$2:$I$10001,0)),"")</f>
        <v/>
      </c>
    </row>
    <row r="4213">
      <c r="A4213">
        <f>IFERROR(INDEX('Email Cleaner'!$B$2:$B$10001,MATCH(4212,'Email Cleaner'!$I$2:$I$10001,0)),"")</f>
        <v/>
      </c>
    </row>
    <row r="4214">
      <c r="A4214">
        <f>IFERROR(INDEX('Email Cleaner'!$B$2:$B$10001,MATCH(4213,'Email Cleaner'!$I$2:$I$10001,0)),"")</f>
        <v/>
      </c>
    </row>
    <row r="4215">
      <c r="A4215">
        <f>IFERROR(INDEX('Email Cleaner'!$B$2:$B$10001,MATCH(4214,'Email Cleaner'!$I$2:$I$10001,0)),"")</f>
        <v/>
      </c>
    </row>
    <row r="4216">
      <c r="A4216">
        <f>IFERROR(INDEX('Email Cleaner'!$B$2:$B$10001,MATCH(4215,'Email Cleaner'!$I$2:$I$10001,0)),"")</f>
        <v/>
      </c>
    </row>
    <row r="4217">
      <c r="A4217">
        <f>IFERROR(INDEX('Email Cleaner'!$B$2:$B$10001,MATCH(4216,'Email Cleaner'!$I$2:$I$10001,0)),"")</f>
        <v/>
      </c>
    </row>
    <row r="4218">
      <c r="A4218">
        <f>IFERROR(INDEX('Email Cleaner'!$B$2:$B$10001,MATCH(4217,'Email Cleaner'!$I$2:$I$10001,0)),"")</f>
        <v/>
      </c>
    </row>
    <row r="4219">
      <c r="A4219">
        <f>IFERROR(INDEX('Email Cleaner'!$B$2:$B$10001,MATCH(4218,'Email Cleaner'!$I$2:$I$10001,0)),"")</f>
        <v/>
      </c>
    </row>
    <row r="4220">
      <c r="A4220">
        <f>IFERROR(INDEX('Email Cleaner'!$B$2:$B$10001,MATCH(4219,'Email Cleaner'!$I$2:$I$10001,0)),"")</f>
        <v/>
      </c>
    </row>
    <row r="4221">
      <c r="A4221">
        <f>IFERROR(INDEX('Email Cleaner'!$B$2:$B$10001,MATCH(4220,'Email Cleaner'!$I$2:$I$10001,0)),"")</f>
        <v/>
      </c>
    </row>
    <row r="4222">
      <c r="A4222">
        <f>IFERROR(INDEX('Email Cleaner'!$B$2:$B$10001,MATCH(4221,'Email Cleaner'!$I$2:$I$10001,0)),"")</f>
        <v/>
      </c>
    </row>
    <row r="4223">
      <c r="A4223">
        <f>IFERROR(INDEX('Email Cleaner'!$B$2:$B$10001,MATCH(4222,'Email Cleaner'!$I$2:$I$10001,0)),"")</f>
        <v/>
      </c>
    </row>
    <row r="4224">
      <c r="A4224">
        <f>IFERROR(INDEX('Email Cleaner'!$B$2:$B$10001,MATCH(4223,'Email Cleaner'!$I$2:$I$10001,0)),"")</f>
        <v/>
      </c>
    </row>
    <row r="4225">
      <c r="A4225">
        <f>IFERROR(INDEX('Email Cleaner'!$B$2:$B$10001,MATCH(4224,'Email Cleaner'!$I$2:$I$10001,0)),"")</f>
        <v/>
      </c>
    </row>
    <row r="4226">
      <c r="A4226">
        <f>IFERROR(INDEX('Email Cleaner'!$B$2:$B$10001,MATCH(4225,'Email Cleaner'!$I$2:$I$10001,0)),"")</f>
        <v/>
      </c>
    </row>
    <row r="4227">
      <c r="A4227">
        <f>IFERROR(INDEX('Email Cleaner'!$B$2:$B$10001,MATCH(4226,'Email Cleaner'!$I$2:$I$10001,0)),"")</f>
        <v/>
      </c>
    </row>
    <row r="4228">
      <c r="A4228">
        <f>IFERROR(INDEX('Email Cleaner'!$B$2:$B$10001,MATCH(4227,'Email Cleaner'!$I$2:$I$10001,0)),"")</f>
        <v/>
      </c>
    </row>
    <row r="4229">
      <c r="A4229">
        <f>IFERROR(INDEX('Email Cleaner'!$B$2:$B$10001,MATCH(4228,'Email Cleaner'!$I$2:$I$10001,0)),"")</f>
        <v/>
      </c>
    </row>
    <row r="4230">
      <c r="A4230">
        <f>IFERROR(INDEX('Email Cleaner'!$B$2:$B$10001,MATCH(4229,'Email Cleaner'!$I$2:$I$10001,0)),"")</f>
        <v/>
      </c>
    </row>
    <row r="4231">
      <c r="A4231">
        <f>IFERROR(INDEX('Email Cleaner'!$B$2:$B$10001,MATCH(4230,'Email Cleaner'!$I$2:$I$10001,0)),"")</f>
        <v/>
      </c>
    </row>
    <row r="4232">
      <c r="A4232">
        <f>IFERROR(INDEX('Email Cleaner'!$B$2:$B$10001,MATCH(4231,'Email Cleaner'!$I$2:$I$10001,0)),"")</f>
        <v/>
      </c>
    </row>
    <row r="4233">
      <c r="A4233">
        <f>IFERROR(INDEX('Email Cleaner'!$B$2:$B$10001,MATCH(4232,'Email Cleaner'!$I$2:$I$10001,0)),"")</f>
        <v/>
      </c>
    </row>
    <row r="4234">
      <c r="A4234">
        <f>IFERROR(INDEX('Email Cleaner'!$B$2:$B$10001,MATCH(4233,'Email Cleaner'!$I$2:$I$10001,0)),"")</f>
        <v/>
      </c>
    </row>
    <row r="4235">
      <c r="A4235">
        <f>IFERROR(INDEX('Email Cleaner'!$B$2:$B$10001,MATCH(4234,'Email Cleaner'!$I$2:$I$10001,0)),"")</f>
        <v/>
      </c>
    </row>
    <row r="4236">
      <c r="A4236">
        <f>IFERROR(INDEX('Email Cleaner'!$B$2:$B$10001,MATCH(4235,'Email Cleaner'!$I$2:$I$10001,0)),"")</f>
        <v/>
      </c>
    </row>
    <row r="4237">
      <c r="A4237">
        <f>IFERROR(INDEX('Email Cleaner'!$B$2:$B$10001,MATCH(4236,'Email Cleaner'!$I$2:$I$10001,0)),"")</f>
        <v/>
      </c>
    </row>
    <row r="4238">
      <c r="A4238">
        <f>IFERROR(INDEX('Email Cleaner'!$B$2:$B$10001,MATCH(4237,'Email Cleaner'!$I$2:$I$10001,0)),"")</f>
        <v/>
      </c>
    </row>
    <row r="4239">
      <c r="A4239">
        <f>IFERROR(INDEX('Email Cleaner'!$B$2:$B$10001,MATCH(4238,'Email Cleaner'!$I$2:$I$10001,0)),"")</f>
        <v/>
      </c>
    </row>
    <row r="4240">
      <c r="A4240">
        <f>IFERROR(INDEX('Email Cleaner'!$B$2:$B$10001,MATCH(4239,'Email Cleaner'!$I$2:$I$10001,0)),"")</f>
        <v/>
      </c>
    </row>
    <row r="4241">
      <c r="A4241">
        <f>IFERROR(INDEX('Email Cleaner'!$B$2:$B$10001,MATCH(4240,'Email Cleaner'!$I$2:$I$10001,0)),"")</f>
        <v/>
      </c>
    </row>
    <row r="4242">
      <c r="A4242">
        <f>IFERROR(INDEX('Email Cleaner'!$B$2:$B$10001,MATCH(4241,'Email Cleaner'!$I$2:$I$10001,0)),"")</f>
        <v/>
      </c>
    </row>
    <row r="4243">
      <c r="A4243">
        <f>IFERROR(INDEX('Email Cleaner'!$B$2:$B$10001,MATCH(4242,'Email Cleaner'!$I$2:$I$10001,0)),"")</f>
        <v/>
      </c>
    </row>
    <row r="4244">
      <c r="A4244">
        <f>IFERROR(INDEX('Email Cleaner'!$B$2:$B$10001,MATCH(4243,'Email Cleaner'!$I$2:$I$10001,0)),"")</f>
        <v/>
      </c>
    </row>
    <row r="4245">
      <c r="A4245">
        <f>IFERROR(INDEX('Email Cleaner'!$B$2:$B$10001,MATCH(4244,'Email Cleaner'!$I$2:$I$10001,0)),"")</f>
        <v/>
      </c>
    </row>
    <row r="4246">
      <c r="A4246">
        <f>IFERROR(INDEX('Email Cleaner'!$B$2:$B$10001,MATCH(4245,'Email Cleaner'!$I$2:$I$10001,0)),"")</f>
        <v/>
      </c>
    </row>
    <row r="4247">
      <c r="A4247">
        <f>IFERROR(INDEX('Email Cleaner'!$B$2:$B$10001,MATCH(4246,'Email Cleaner'!$I$2:$I$10001,0)),"")</f>
        <v/>
      </c>
    </row>
    <row r="4248">
      <c r="A4248">
        <f>IFERROR(INDEX('Email Cleaner'!$B$2:$B$10001,MATCH(4247,'Email Cleaner'!$I$2:$I$10001,0)),"")</f>
        <v/>
      </c>
    </row>
    <row r="4249">
      <c r="A4249">
        <f>IFERROR(INDEX('Email Cleaner'!$B$2:$B$10001,MATCH(4248,'Email Cleaner'!$I$2:$I$10001,0)),"")</f>
        <v/>
      </c>
    </row>
    <row r="4250">
      <c r="A4250">
        <f>IFERROR(INDEX('Email Cleaner'!$B$2:$B$10001,MATCH(4249,'Email Cleaner'!$I$2:$I$10001,0)),"")</f>
        <v/>
      </c>
    </row>
    <row r="4251">
      <c r="A4251">
        <f>IFERROR(INDEX('Email Cleaner'!$B$2:$B$10001,MATCH(4250,'Email Cleaner'!$I$2:$I$10001,0)),"")</f>
        <v/>
      </c>
    </row>
    <row r="4252">
      <c r="A4252">
        <f>IFERROR(INDEX('Email Cleaner'!$B$2:$B$10001,MATCH(4251,'Email Cleaner'!$I$2:$I$10001,0)),"")</f>
        <v/>
      </c>
    </row>
    <row r="4253">
      <c r="A4253">
        <f>IFERROR(INDEX('Email Cleaner'!$B$2:$B$10001,MATCH(4252,'Email Cleaner'!$I$2:$I$10001,0)),"")</f>
        <v/>
      </c>
    </row>
    <row r="4254">
      <c r="A4254">
        <f>IFERROR(INDEX('Email Cleaner'!$B$2:$B$10001,MATCH(4253,'Email Cleaner'!$I$2:$I$10001,0)),"")</f>
        <v/>
      </c>
    </row>
    <row r="4255">
      <c r="A4255">
        <f>IFERROR(INDEX('Email Cleaner'!$B$2:$B$10001,MATCH(4254,'Email Cleaner'!$I$2:$I$10001,0)),"")</f>
        <v/>
      </c>
    </row>
    <row r="4256">
      <c r="A4256">
        <f>IFERROR(INDEX('Email Cleaner'!$B$2:$B$10001,MATCH(4255,'Email Cleaner'!$I$2:$I$10001,0)),"")</f>
        <v/>
      </c>
    </row>
    <row r="4257">
      <c r="A4257">
        <f>IFERROR(INDEX('Email Cleaner'!$B$2:$B$10001,MATCH(4256,'Email Cleaner'!$I$2:$I$10001,0)),"")</f>
        <v/>
      </c>
    </row>
    <row r="4258">
      <c r="A4258">
        <f>IFERROR(INDEX('Email Cleaner'!$B$2:$B$10001,MATCH(4257,'Email Cleaner'!$I$2:$I$10001,0)),"")</f>
        <v/>
      </c>
    </row>
    <row r="4259">
      <c r="A4259">
        <f>IFERROR(INDEX('Email Cleaner'!$B$2:$B$10001,MATCH(4258,'Email Cleaner'!$I$2:$I$10001,0)),"")</f>
        <v/>
      </c>
    </row>
    <row r="4260">
      <c r="A4260">
        <f>IFERROR(INDEX('Email Cleaner'!$B$2:$B$10001,MATCH(4259,'Email Cleaner'!$I$2:$I$10001,0)),"")</f>
        <v/>
      </c>
    </row>
    <row r="4261">
      <c r="A4261">
        <f>IFERROR(INDEX('Email Cleaner'!$B$2:$B$10001,MATCH(4260,'Email Cleaner'!$I$2:$I$10001,0)),"")</f>
        <v/>
      </c>
    </row>
    <row r="4262">
      <c r="A4262">
        <f>IFERROR(INDEX('Email Cleaner'!$B$2:$B$10001,MATCH(4261,'Email Cleaner'!$I$2:$I$10001,0)),"")</f>
        <v/>
      </c>
    </row>
    <row r="4263">
      <c r="A4263">
        <f>IFERROR(INDEX('Email Cleaner'!$B$2:$B$10001,MATCH(4262,'Email Cleaner'!$I$2:$I$10001,0)),"")</f>
        <v/>
      </c>
    </row>
    <row r="4264">
      <c r="A4264">
        <f>IFERROR(INDEX('Email Cleaner'!$B$2:$B$10001,MATCH(4263,'Email Cleaner'!$I$2:$I$10001,0)),"")</f>
        <v/>
      </c>
    </row>
    <row r="4265">
      <c r="A4265">
        <f>IFERROR(INDEX('Email Cleaner'!$B$2:$B$10001,MATCH(4264,'Email Cleaner'!$I$2:$I$10001,0)),"")</f>
        <v/>
      </c>
    </row>
    <row r="4266">
      <c r="A4266">
        <f>IFERROR(INDEX('Email Cleaner'!$B$2:$B$10001,MATCH(4265,'Email Cleaner'!$I$2:$I$10001,0)),"")</f>
        <v/>
      </c>
    </row>
    <row r="4267">
      <c r="A4267">
        <f>IFERROR(INDEX('Email Cleaner'!$B$2:$B$10001,MATCH(4266,'Email Cleaner'!$I$2:$I$10001,0)),"")</f>
        <v/>
      </c>
    </row>
    <row r="4268">
      <c r="A4268">
        <f>IFERROR(INDEX('Email Cleaner'!$B$2:$B$10001,MATCH(4267,'Email Cleaner'!$I$2:$I$10001,0)),"")</f>
        <v/>
      </c>
    </row>
    <row r="4269">
      <c r="A4269">
        <f>IFERROR(INDEX('Email Cleaner'!$B$2:$B$10001,MATCH(4268,'Email Cleaner'!$I$2:$I$10001,0)),"")</f>
        <v/>
      </c>
    </row>
    <row r="4270">
      <c r="A4270">
        <f>IFERROR(INDEX('Email Cleaner'!$B$2:$B$10001,MATCH(4269,'Email Cleaner'!$I$2:$I$10001,0)),"")</f>
        <v/>
      </c>
    </row>
    <row r="4271">
      <c r="A4271">
        <f>IFERROR(INDEX('Email Cleaner'!$B$2:$B$10001,MATCH(4270,'Email Cleaner'!$I$2:$I$10001,0)),"")</f>
        <v/>
      </c>
    </row>
    <row r="4272">
      <c r="A4272">
        <f>IFERROR(INDEX('Email Cleaner'!$B$2:$B$10001,MATCH(4271,'Email Cleaner'!$I$2:$I$10001,0)),"")</f>
        <v/>
      </c>
    </row>
    <row r="4273">
      <c r="A4273">
        <f>IFERROR(INDEX('Email Cleaner'!$B$2:$B$10001,MATCH(4272,'Email Cleaner'!$I$2:$I$10001,0)),"")</f>
        <v/>
      </c>
    </row>
    <row r="4274">
      <c r="A4274">
        <f>IFERROR(INDEX('Email Cleaner'!$B$2:$B$10001,MATCH(4273,'Email Cleaner'!$I$2:$I$10001,0)),"")</f>
        <v/>
      </c>
    </row>
    <row r="4275">
      <c r="A4275">
        <f>IFERROR(INDEX('Email Cleaner'!$B$2:$B$10001,MATCH(4274,'Email Cleaner'!$I$2:$I$10001,0)),"")</f>
        <v/>
      </c>
    </row>
    <row r="4276">
      <c r="A4276">
        <f>IFERROR(INDEX('Email Cleaner'!$B$2:$B$10001,MATCH(4275,'Email Cleaner'!$I$2:$I$10001,0)),"")</f>
        <v/>
      </c>
    </row>
    <row r="4277">
      <c r="A4277">
        <f>IFERROR(INDEX('Email Cleaner'!$B$2:$B$10001,MATCH(4276,'Email Cleaner'!$I$2:$I$10001,0)),"")</f>
        <v/>
      </c>
    </row>
    <row r="4278">
      <c r="A4278">
        <f>IFERROR(INDEX('Email Cleaner'!$B$2:$B$10001,MATCH(4277,'Email Cleaner'!$I$2:$I$10001,0)),"")</f>
        <v/>
      </c>
    </row>
    <row r="4279">
      <c r="A4279">
        <f>IFERROR(INDEX('Email Cleaner'!$B$2:$B$10001,MATCH(4278,'Email Cleaner'!$I$2:$I$10001,0)),"")</f>
        <v/>
      </c>
    </row>
    <row r="4280">
      <c r="A4280">
        <f>IFERROR(INDEX('Email Cleaner'!$B$2:$B$10001,MATCH(4279,'Email Cleaner'!$I$2:$I$10001,0)),"")</f>
        <v/>
      </c>
    </row>
    <row r="4281">
      <c r="A4281">
        <f>IFERROR(INDEX('Email Cleaner'!$B$2:$B$10001,MATCH(4280,'Email Cleaner'!$I$2:$I$10001,0)),"")</f>
        <v/>
      </c>
    </row>
    <row r="4282">
      <c r="A4282">
        <f>IFERROR(INDEX('Email Cleaner'!$B$2:$B$10001,MATCH(4281,'Email Cleaner'!$I$2:$I$10001,0)),"")</f>
        <v/>
      </c>
    </row>
    <row r="4283">
      <c r="A4283">
        <f>IFERROR(INDEX('Email Cleaner'!$B$2:$B$10001,MATCH(4282,'Email Cleaner'!$I$2:$I$10001,0)),"")</f>
        <v/>
      </c>
    </row>
    <row r="4284">
      <c r="A4284">
        <f>IFERROR(INDEX('Email Cleaner'!$B$2:$B$10001,MATCH(4283,'Email Cleaner'!$I$2:$I$10001,0)),"")</f>
        <v/>
      </c>
    </row>
    <row r="4285">
      <c r="A4285">
        <f>IFERROR(INDEX('Email Cleaner'!$B$2:$B$10001,MATCH(4284,'Email Cleaner'!$I$2:$I$10001,0)),"")</f>
        <v/>
      </c>
    </row>
    <row r="4286">
      <c r="A4286">
        <f>IFERROR(INDEX('Email Cleaner'!$B$2:$B$10001,MATCH(4285,'Email Cleaner'!$I$2:$I$10001,0)),"")</f>
        <v/>
      </c>
    </row>
    <row r="4287">
      <c r="A4287">
        <f>IFERROR(INDEX('Email Cleaner'!$B$2:$B$10001,MATCH(4286,'Email Cleaner'!$I$2:$I$10001,0)),"")</f>
        <v/>
      </c>
    </row>
    <row r="4288">
      <c r="A4288">
        <f>IFERROR(INDEX('Email Cleaner'!$B$2:$B$10001,MATCH(4287,'Email Cleaner'!$I$2:$I$10001,0)),"")</f>
        <v/>
      </c>
    </row>
    <row r="4289">
      <c r="A4289">
        <f>IFERROR(INDEX('Email Cleaner'!$B$2:$B$10001,MATCH(4288,'Email Cleaner'!$I$2:$I$10001,0)),"")</f>
        <v/>
      </c>
    </row>
    <row r="4290">
      <c r="A4290">
        <f>IFERROR(INDEX('Email Cleaner'!$B$2:$B$10001,MATCH(4289,'Email Cleaner'!$I$2:$I$10001,0)),"")</f>
        <v/>
      </c>
    </row>
    <row r="4291">
      <c r="A4291">
        <f>IFERROR(INDEX('Email Cleaner'!$B$2:$B$10001,MATCH(4290,'Email Cleaner'!$I$2:$I$10001,0)),"")</f>
        <v/>
      </c>
    </row>
    <row r="4292">
      <c r="A4292">
        <f>IFERROR(INDEX('Email Cleaner'!$B$2:$B$10001,MATCH(4291,'Email Cleaner'!$I$2:$I$10001,0)),"")</f>
        <v/>
      </c>
    </row>
    <row r="4293">
      <c r="A4293">
        <f>IFERROR(INDEX('Email Cleaner'!$B$2:$B$10001,MATCH(4292,'Email Cleaner'!$I$2:$I$10001,0)),"")</f>
        <v/>
      </c>
    </row>
    <row r="4294">
      <c r="A4294">
        <f>IFERROR(INDEX('Email Cleaner'!$B$2:$B$10001,MATCH(4293,'Email Cleaner'!$I$2:$I$10001,0)),"")</f>
        <v/>
      </c>
    </row>
    <row r="4295">
      <c r="A4295">
        <f>IFERROR(INDEX('Email Cleaner'!$B$2:$B$10001,MATCH(4294,'Email Cleaner'!$I$2:$I$10001,0)),"")</f>
        <v/>
      </c>
    </row>
    <row r="4296">
      <c r="A4296">
        <f>IFERROR(INDEX('Email Cleaner'!$B$2:$B$10001,MATCH(4295,'Email Cleaner'!$I$2:$I$10001,0)),"")</f>
        <v/>
      </c>
    </row>
    <row r="4297">
      <c r="A4297">
        <f>IFERROR(INDEX('Email Cleaner'!$B$2:$B$10001,MATCH(4296,'Email Cleaner'!$I$2:$I$10001,0)),"")</f>
        <v/>
      </c>
    </row>
    <row r="4298">
      <c r="A4298">
        <f>IFERROR(INDEX('Email Cleaner'!$B$2:$B$10001,MATCH(4297,'Email Cleaner'!$I$2:$I$10001,0)),"")</f>
        <v/>
      </c>
    </row>
    <row r="4299">
      <c r="A4299">
        <f>IFERROR(INDEX('Email Cleaner'!$B$2:$B$10001,MATCH(4298,'Email Cleaner'!$I$2:$I$10001,0)),"")</f>
        <v/>
      </c>
    </row>
    <row r="4300">
      <c r="A4300">
        <f>IFERROR(INDEX('Email Cleaner'!$B$2:$B$10001,MATCH(4299,'Email Cleaner'!$I$2:$I$10001,0)),"")</f>
        <v/>
      </c>
    </row>
    <row r="4301">
      <c r="A4301">
        <f>IFERROR(INDEX('Email Cleaner'!$B$2:$B$10001,MATCH(4300,'Email Cleaner'!$I$2:$I$10001,0)),"")</f>
        <v/>
      </c>
    </row>
    <row r="4302">
      <c r="A4302">
        <f>IFERROR(INDEX('Email Cleaner'!$B$2:$B$10001,MATCH(4301,'Email Cleaner'!$I$2:$I$10001,0)),"")</f>
        <v/>
      </c>
    </row>
    <row r="4303">
      <c r="A4303">
        <f>IFERROR(INDEX('Email Cleaner'!$B$2:$B$10001,MATCH(4302,'Email Cleaner'!$I$2:$I$10001,0)),"")</f>
        <v/>
      </c>
    </row>
    <row r="4304">
      <c r="A4304">
        <f>IFERROR(INDEX('Email Cleaner'!$B$2:$B$10001,MATCH(4303,'Email Cleaner'!$I$2:$I$10001,0)),"")</f>
        <v/>
      </c>
    </row>
    <row r="4305">
      <c r="A4305">
        <f>IFERROR(INDEX('Email Cleaner'!$B$2:$B$10001,MATCH(4304,'Email Cleaner'!$I$2:$I$10001,0)),"")</f>
        <v/>
      </c>
    </row>
    <row r="4306">
      <c r="A4306">
        <f>IFERROR(INDEX('Email Cleaner'!$B$2:$B$10001,MATCH(4305,'Email Cleaner'!$I$2:$I$10001,0)),"")</f>
        <v/>
      </c>
    </row>
    <row r="4307">
      <c r="A4307">
        <f>IFERROR(INDEX('Email Cleaner'!$B$2:$B$10001,MATCH(4306,'Email Cleaner'!$I$2:$I$10001,0)),"")</f>
        <v/>
      </c>
    </row>
    <row r="4308">
      <c r="A4308">
        <f>IFERROR(INDEX('Email Cleaner'!$B$2:$B$10001,MATCH(4307,'Email Cleaner'!$I$2:$I$10001,0)),"")</f>
        <v/>
      </c>
    </row>
    <row r="4309">
      <c r="A4309">
        <f>IFERROR(INDEX('Email Cleaner'!$B$2:$B$10001,MATCH(4308,'Email Cleaner'!$I$2:$I$10001,0)),"")</f>
        <v/>
      </c>
    </row>
    <row r="4310">
      <c r="A4310">
        <f>IFERROR(INDEX('Email Cleaner'!$B$2:$B$10001,MATCH(4309,'Email Cleaner'!$I$2:$I$10001,0)),"")</f>
        <v/>
      </c>
    </row>
    <row r="4311">
      <c r="A4311">
        <f>IFERROR(INDEX('Email Cleaner'!$B$2:$B$10001,MATCH(4310,'Email Cleaner'!$I$2:$I$10001,0)),"")</f>
        <v/>
      </c>
    </row>
    <row r="4312">
      <c r="A4312">
        <f>IFERROR(INDEX('Email Cleaner'!$B$2:$B$10001,MATCH(4311,'Email Cleaner'!$I$2:$I$10001,0)),"")</f>
        <v/>
      </c>
    </row>
    <row r="4313">
      <c r="A4313">
        <f>IFERROR(INDEX('Email Cleaner'!$B$2:$B$10001,MATCH(4312,'Email Cleaner'!$I$2:$I$10001,0)),"")</f>
        <v/>
      </c>
    </row>
    <row r="4314">
      <c r="A4314">
        <f>IFERROR(INDEX('Email Cleaner'!$B$2:$B$10001,MATCH(4313,'Email Cleaner'!$I$2:$I$10001,0)),"")</f>
        <v/>
      </c>
    </row>
    <row r="4315">
      <c r="A4315">
        <f>IFERROR(INDEX('Email Cleaner'!$B$2:$B$10001,MATCH(4314,'Email Cleaner'!$I$2:$I$10001,0)),"")</f>
        <v/>
      </c>
    </row>
    <row r="4316">
      <c r="A4316">
        <f>IFERROR(INDEX('Email Cleaner'!$B$2:$B$10001,MATCH(4315,'Email Cleaner'!$I$2:$I$10001,0)),"")</f>
        <v/>
      </c>
    </row>
    <row r="4317">
      <c r="A4317">
        <f>IFERROR(INDEX('Email Cleaner'!$B$2:$B$10001,MATCH(4316,'Email Cleaner'!$I$2:$I$10001,0)),"")</f>
        <v/>
      </c>
    </row>
    <row r="4318">
      <c r="A4318">
        <f>IFERROR(INDEX('Email Cleaner'!$B$2:$B$10001,MATCH(4317,'Email Cleaner'!$I$2:$I$10001,0)),"")</f>
        <v/>
      </c>
    </row>
    <row r="4319">
      <c r="A4319">
        <f>IFERROR(INDEX('Email Cleaner'!$B$2:$B$10001,MATCH(4318,'Email Cleaner'!$I$2:$I$10001,0)),"")</f>
        <v/>
      </c>
    </row>
    <row r="4320">
      <c r="A4320">
        <f>IFERROR(INDEX('Email Cleaner'!$B$2:$B$10001,MATCH(4319,'Email Cleaner'!$I$2:$I$10001,0)),"")</f>
        <v/>
      </c>
    </row>
    <row r="4321">
      <c r="A4321">
        <f>IFERROR(INDEX('Email Cleaner'!$B$2:$B$10001,MATCH(4320,'Email Cleaner'!$I$2:$I$10001,0)),"")</f>
        <v/>
      </c>
    </row>
    <row r="4322">
      <c r="A4322">
        <f>IFERROR(INDEX('Email Cleaner'!$B$2:$B$10001,MATCH(4321,'Email Cleaner'!$I$2:$I$10001,0)),"")</f>
        <v/>
      </c>
    </row>
    <row r="4323">
      <c r="A4323">
        <f>IFERROR(INDEX('Email Cleaner'!$B$2:$B$10001,MATCH(4322,'Email Cleaner'!$I$2:$I$10001,0)),"")</f>
        <v/>
      </c>
    </row>
    <row r="4324">
      <c r="A4324">
        <f>IFERROR(INDEX('Email Cleaner'!$B$2:$B$10001,MATCH(4323,'Email Cleaner'!$I$2:$I$10001,0)),"")</f>
        <v/>
      </c>
    </row>
    <row r="4325">
      <c r="A4325">
        <f>IFERROR(INDEX('Email Cleaner'!$B$2:$B$10001,MATCH(4324,'Email Cleaner'!$I$2:$I$10001,0)),"")</f>
        <v/>
      </c>
    </row>
    <row r="4326">
      <c r="A4326">
        <f>IFERROR(INDEX('Email Cleaner'!$B$2:$B$10001,MATCH(4325,'Email Cleaner'!$I$2:$I$10001,0)),"")</f>
        <v/>
      </c>
    </row>
    <row r="4327">
      <c r="A4327">
        <f>IFERROR(INDEX('Email Cleaner'!$B$2:$B$10001,MATCH(4326,'Email Cleaner'!$I$2:$I$10001,0)),"")</f>
        <v/>
      </c>
    </row>
    <row r="4328">
      <c r="A4328">
        <f>IFERROR(INDEX('Email Cleaner'!$B$2:$B$10001,MATCH(4327,'Email Cleaner'!$I$2:$I$10001,0)),"")</f>
        <v/>
      </c>
    </row>
    <row r="4329">
      <c r="A4329">
        <f>IFERROR(INDEX('Email Cleaner'!$B$2:$B$10001,MATCH(4328,'Email Cleaner'!$I$2:$I$10001,0)),"")</f>
        <v/>
      </c>
    </row>
    <row r="4330">
      <c r="A4330">
        <f>IFERROR(INDEX('Email Cleaner'!$B$2:$B$10001,MATCH(4329,'Email Cleaner'!$I$2:$I$10001,0)),"")</f>
        <v/>
      </c>
    </row>
    <row r="4331">
      <c r="A4331">
        <f>IFERROR(INDEX('Email Cleaner'!$B$2:$B$10001,MATCH(4330,'Email Cleaner'!$I$2:$I$10001,0)),"")</f>
        <v/>
      </c>
    </row>
    <row r="4332">
      <c r="A4332">
        <f>IFERROR(INDEX('Email Cleaner'!$B$2:$B$10001,MATCH(4331,'Email Cleaner'!$I$2:$I$10001,0)),"")</f>
        <v/>
      </c>
    </row>
    <row r="4333">
      <c r="A4333">
        <f>IFERROR(INDEX('Email Cleaner'!$B$2:$B$10001,MATCH(4332,'Email Cleaner'!$I$2:$I$10001,0)),"")</f>
        <v/>
      </c>
    </row>
    <row r="4334">
      <c r="A4334">
        <f>IFERROR(INDEX('Email Cleaner'!$B$2:$B$10001,MATCH(4333,'Email Cleaner'!$I$2:$I$10001,0)),"")</f>
        <v/>
      </c>
    </row>
    <row r="4335">
      <c r="A4335">
        <f>IFERROR(INDEX('Email Cleaner'!$B$2:$B$10001,MATCH(4334,'Email Cleaner'!$I$2:$I$10001,0)),"")</f>
        <v/>
      </c>
    </row>
    <row r="4336">
      <c r="A4336">
        <f>IFERROR(INDEX('Email Cleaner'!$B$2:$B$10001,MATCH(4335,'Email Cleaner'!$I$2:$I$10001,0)),"")</f>
        <v/>
      </c>
    </row>
    <row r="4337">
      <c r="A4337">
        <f>IFERROR(INDEX('Email Cleaner'!$B$2:$B$10001,MATCH(4336,'Email Cleaner'!$I$2:$I$10001,0)),"")</f>
        <v/>
      </c>
    </row>
    <row r="4338">
      <c r="A4338">
        <f>IFERROR(INDEX('Email Cleaner'!$B$2:$B$10001,MATCH(4337,'Email Cleaner'!$I$2:$I$10001,0)),"")</f>
        <v/>
      </c>
    </row>
    <row r="4339">
      <c r="A4339">
        <f>IFERROR(INDEX('Email Cleaner'!$B$2:$B$10001,MATCH(4338,'Email Cleaner'!$I$2:$I$10001,0)),"")</f>
        <v/>
      </c>
    </row>
    <row r="4340">
      <c r="A4340">
        <f>IFERROR(INDEX('Email Cleaner'!$B$2:$B$10001,MATCH(4339,'Email Cleaner'!$I$2:$I$10001,0)),"")</f>
        <v/>
      </c>
    </row>
    <row r="4341">
      <c r="A4341">
        <f>IFERROR(INDEX('Email Cleaner'!$B$2:$B$10001,MATCH(4340,'Email Cleaner'!$I$2:$I$10001,0)),"")</f>
        <v/>
      </c>
    </row>
    <row r="4342">
      <c r="A4342">
        <f>IFERROR(INDEX('Email Cleaner'!$B$2:$B$10001,MATCH(4341,'Email Cleaner'!$I$2:$I$10001,0)),"")</f>
        <v/>
      </c>
    </row>
    <row r="4343">
      <c r="A4343">
        <f>IFERROR(INDEX('Email Cleaner'!$B$2:$B$10001,MATCH(4342,'Email Cleaner'!$I$2:$I$10001,0)),"")</f>
        <v/>
      </c>
    </row>
    <row r="4344">
      <c r="A4344">
        <f>IFERROR(INDEX('Email Cleaner'!$B$2:$B$10001,MATCH(4343,'Email Cleaner'!$I$2:$I$10001,0)),"")</f>
        <v/>
      </c>
    </row>
    <row r="4345">
      <c r="A4345">
        <f>IFERROR(INDEX('Email Cleaner'!$B$2:$B$10001,MATCH(4344,'Email Cleaner'!$I$2:$I$10001,0)),"")</f>
        <v/>
      </c>
    </row>
    <row r="4346">
      <c r="A4346">
        <f>IFERROR(INDEX('Email Cleaner'!$B$2:$B$10001,MATCH(4345,'Email Cleaner'!$I$2:$I$10001,0)),"")</f>
        <v/>
      </c>
    </row>
    <row r="4347">
      <c r="A4347">
        <f>IFERROR(INDEX('Email Cleaner'!$B$2:$B$10001,MATCH(4346,'Email Cleaner'!$I$2:$I$10001,0)),"")</f>
        <v/>
      </c>
    </row>
    <row r="4348">
      <c r="A4348">
        <f>IFERROR(INDEX('Email Cleaner'!$B$2:$B$10001,MATCH(4347,'Email Cleaner'!$I$2:$I$10001,0)),"")</f>
        <v/>
      </c>
    </row>
    <row r="4349">
      <c r="A4349">
        <f>IFERROR(INDEX('Email Cleaner'!$B$2:$B$10001,MATCH(4348,'Email Cleaner'!$I$2:$I$10001,0)),"")</f>
        <v/>
      </c>
    </row>
    <row r="4350">
      <c r="A4350">
        <f>IFERROR(INDEX('Email Cleaner'!$B$2:$B$10001,MATCH(4349,'Email Cleaner'!$I$2:$I$10001,0)),"")</f>
        <v/>
      </c>
    </row>
    <row r="4351">
      <c r="A4351">
        <f>IFERROR(INDEX('Email Cleaner'!$B$2:$B$10001,MATCH(4350,'Email Cleaner'!$I$2:$I$10001,0)),"")</f>
        <v/>
      </c>
    </row>
    <row r="4352">
      <c r="A4352">
        <f>IFERROR(INDEX('Email Cleaner'!$B$2:$B$10001,MATCH(4351,'Email Cleaner'!$I$2:$I$10001,0)),"")</f>
        <v/>
      </c>
    </row>
    <row r="4353">
      <c r="A4353">
        <f>IFERROR(INDEX('Email Cleaner'!$B$2:$B$10001,MATCH(4352,'Email Cleaner'!$I$2:$I$10001,0)),"")</f>
        <v/>
      </c>
    </row>
    <row r="4354">
      <c r="A4354">
        <f>IFERROR(INDEX('Email Cleaner'!$B$2:$B$10001,MATCH(4353,'Email Cleaner'!$I$2:$I$10001,0)),"")</f>
        <v/>
      </c>
    </row>
    <row r="4355">
      <c r="A4355">
        <f>IFERROR(INDEX('Email Cleaner'!$B$2:$B$10001,MATCH(4354,'Email Cleaner'!$I$2:$I$10001,0)),"")</f>
        <v/>
      </c>
    </row>
    <row r="4356">
      <c r="A4356">
        <f>IFERROR(INDEX('Email Cleaner'!$B$2:$B$10001,MATCH(4355,'Email Cleaner'!$I$2:$I$10001,0)),"")</f>
        <v/>
      </c>
    </row>
    <row r="4357">
      <c r="A4357">
        <f>IFERROR(INDEX('Email Cleaner'!$B$2:$B$10001,MATCH(4356,'Email Cleaner'!$I$2:$I$10001,0)),"")</f>
        <v/>
      </c>
    </row>
    <row r="4358">
      <c r="A4358">
        <f>IFERROR(INDEX('Email Cleaner'!$B$2:$B$10001,MATCH(4357,'Email Cleaner'!$I$2:$I$10001,0)),"")</f>
        <v/>
      </c>
    </row>
    <row r="4359">
      <c r="A4359">
        <f>IFERROR(INDEX('Email Cleaner'!$B$2:$B$10001,MATCH(4358,'Email Cleaner'!$I$2:$I$10001,0)),"")</f>
        <v/>
      </c>
    </row>
    <row r="4360">
      <c r="A4360">
        <f>IFERROR(INDEX('Email Cleaner'!$B$2:$B$10001,MATCH(4359,'Email Cleaner'!$I$2:$I$10001,0)),"")</f>
        <v/>
      </c>
    </row>
    <row r="4361">
      <c r="A4361">
        <f>IFERROR(INDEX('Email Cleaner'!$B$2:$B$10001,MATCH(4360,'Email Cleaner'!$I$2:$I$10001,0)),"")</f>
        <v/>
      </c>
    </row>
    <row r="4362">
      <c r="A4362">
        <f>IFERROR(INDEX('Email Cleaner'!$B$2:$B$10001,MATCH(4361,'Email Cleaner'!$I$2:$I$10001,0)),"")</f>
        <v/>
      </c>
    </row>
    <row r="4363">
      <c r="A4363">
        <f>IFERROR(INDEX('Email Cleaner'!$B$2:$B$10001,MATCH(4362,'Email Cleaner'!$I$2:$I$10001,0)),"")</f>
        <v/>
      </c>
    </row>
    <row r="4364">
      <c r="A4364">
        <f>IFERROR(INDEX('Email Cleaner'!$B$2:$B$10001,MATCH(4363,'Email Cleaner'!$I$2:$I$10001,0)),"")</f>
        <v/>
      </c>
    </row>
    <row r="4365">
      <c r="A4365">
        <f>IFERROR(INDEX('Email Cleaner'!$B$2:$B$10001,MATCH(4364,'Email Cleaner'!$I$2:$I$10001,0)),"")</f>
        <v/>
      </c>
    </row>
    <row r="4366">
      <c r="A4366">
        <f>IFERROR(INDEX('Email Cleaner'!$B$2:$B$10001,MATCH(4365,'Email Cleaner'!$I$2:$I$10001,0)),"")</f>
        <v/>
      </c>
    </row>
    <row r="4367">
      <c r="A4367">
        <f>IFERROR(INDEX('Email Cleaner'!$B$2:$B$10001,MATCH(4366,'Email Cleaner'!$I$2:$I$10001,0)),"")</f>
        <v/>
      </c>
    </row>
    <row r="4368">
      <c r="A4368">
        <f>IFERROR(INDEX('Email Cleaner'!$B$2:$B$10001,MATCH(4367,'Email Cleaner'!$I$2:$I$10001,0)),"")</f>
        <v/>
      </c>
    </row>
    <row r="4369">
      <c r="A4369">
        <f>IFERROR(INDEX('Email Cleaner'!$B$2:$B$10001,MATCH(4368,'Email Cleaner'!$I$2:$I$10001,0)),"")</f>
        <v/>
      </c>
    </row>
    <row r="4370">
      <c r="A4370">
        <f>IFERROR(INDEX('Email Cleaner'!$B$2:$B$10001,MATCH(4369,'Email Cleaner'!$I$2:$I$10001,0)),"")</f>
        <v/>
      </c>
    </row>
    <row r="4371">
      <c r="A4371">
        <f>IFERROR(INDEX('Email Cleaner'!$B$2:$B$10001,MATCH(4370,'Email Cleaner'!$I$2:$I$10001,0)),"")</f>
        <v/>
      </c>
    </row>
    <row r="4372">
      <c r="A4372">
        <f>IFERROR(INDEX('Email Cleaner'!$B$2:$B$10001,MATCH(4371,'Email Cleaner'!$I$2:$I$10001,0)),"")</f>
        <v/>
      </c>
    </row>
    <row r="4373">
      <c r="A4373">
        <f>IFERROR(INDEX('Email Cleaner'!$B$2:$B$10001,MATCH(4372,'Email Cleaner'!$I$2:$I$10001,0)),"")</f>
        <v/>
      </c>
    </row>
    <row r="4374">
      <c r="A4374">
        <f>IFERROR(INDEX('Email Cleaner'!$B$2:$B$10001,MATCH(4373,'Email Cleaner'!$I$2:$I$10001,0)),"")</f>
        <v/>
      </c>
    </row>
    <row r="4375">
      <c r="A4375">
        <f>IFERROR(INDEX('Email Cleaner'!$B$2:$B$10001,MATCH(4374,'Email Cleaner'!$I$2:$I$10001,0)),"")</f>
        <v/>
      </c>
    </row>
    <row r="4376">
      <c r="A4376">
        <f>IFERROR(INDEX('Email Cleaner'!$B$2:$B$10001,MATCH(4375,'Email Cleaner'!$I$2:$I$10001,0)),"")</f>
        <v/>
      </c>
    </row>
    <row r="4377">
      <c r="A4377">
        <f>IFERROR(INDEX('Email Cleaner'!$B$2:$B$10001,MATCH(4376,'Email Cleaner'!$I$2:$I$10001,0)),"")</f>
        <v/>
      </c>
    </row>
    <row r="4378">
      <c r="A4378">
        <f>IFERROR(INDEX('Email Cleaner'!$B$2:$B$10001,MATCH(4377,'Email Cleaner'!$I$2:$I$10001,0)),"")</f>
        <v/>
      </c>
    </row>
    <row r="4379">
      <c r="A4379">
        <f>IFERROR(INDEX('Email Cleaner'!$B$2:$B$10001,MATCH(4378,'Email Cleaner'!$I$2:$I$10001,0)),"")</f>
        <v/>
      </c>
    </row>
    <row r="4380">
      <c r="A4380">
        <f>IFERROR(INDEX('Email Cleaner'!$B$2:$B$10001,MATCH(4379,'Email Cleaner'!$I$2:$I$10001,0)),"")</f>
        <v/>
      </c>
    </row>
    <row r="4381">
      <c r="A4381">
        <f>IFERROR(INDEX('Email Cleaner'!$B$2:$B$10001,MATCH(4380,'Email Cleaner'!$I$2:$I$10001,0)),"")</f>
        <v/>
      </c>
    </row>
    <row r="4382">
      <c r="A4382">
        <f>IFERROR(INDEX('Email Cleaner'!$B$2:$B$10001,MATCH(4381,'Email Cleaner'!$I$2:$I$10001,0)),"")</f>
        <v/>
      </c>
    </row>
    <row r="4383">
      <c r="A4383">
        <f>IFERROR(INDEX('Email Cleaner'!$B$2:$B$10001,MATCH(4382,'Email Cleaner'!$I$2:$I$10001,0)),"")</f>
        <v/>
      </c>
    </row>
    <row r="4384">
      <c r="A4384">
        <f>IFERROR(INDEX('Email Cleaner'!$B$2:$B$10001,MATCH(4383,'Email Cleaner'!$I$2:$I$10001,0)),"")</f>
        <v/>
      </c>
    </row>
    <row r="4385">
      <c r="A4385">
        <f>IFERROR(INDEX('Email Cleaner'!$B$2:$B$10001,MATCH(4384,'Email Cleaner'!$I$2:$I$10001,0)),"")</f>
        <v/>
      </c>
    </row>
    <row r="4386">
      <c r="A4386">
        <f>IFERROR(INDEX('Email Cleaner'!$B$2:$B$10001,MATCH(4385,'Email Cleaner'!$I$2:$I$10001,0)),"")</f>
        <v/>
      </c>
    </row>
    <row r="4387">
      <c r="A4387">
        <f>IFERROR(INDEX('Email Cleaner'!$B$2:$B$10001,MATCH(4386,'Email Cleaner'!$I$2:$I$10001,0)),"")</f>
        <v/>
      </c>
    </row>
    <row r="4388">
      <c r="A4388">
        <f>IFERROR(INDEX('Email Cleaner'!$B$2:$B$10001,MATCH(4387,'Email Cleaner'!$I$2:$I$10001,0)),"")</f>
        <v/>
      </c>
    </row>
    <row r="4389">
      <c r="A4389">
        <f>IFERROR(INDEX('Email Cleaner'!$B$2:$B$10001,MATCH(4388,'Email Cleaner'!$I$2:$I$10001,0)),"")</f>
        <v/>
      </c>
    </row>
    <row r="4390">
      <c r="A4390">
        <f>IFERROR(INDEX('Email Cleaner'!$B$2:$B$10001,MATCH(4389,'Email Cleaner'!$I$2:$I$10001,0)),"")</f>
        <v/>
      </c>
    </row>
    <row r="4391">
      <c r="A4391">
        <f>IFERROR(INDEX('Email Cleaner'!$B$2:$B$10001,MATCH(4390,'Email Cleaner'!$I$2:$I$10001,0)),"")</f>
        <v/>
      </c>
    </row>
    <row r="4392">
      <c r="A4392">
        <f>IFERROR(INDEX('Email Cleaner'!$B$2:$B$10001,MATCH(4391,'Email Cleaner'!$I$2:$I$10001,0)),"")</f>
        <v/>
      </c>
    </row>
    <row r="4393">
      <c r="A4393">
        <f>IFERROR(INDEX('Email Cleaner'!$B$2:$B$10001,MATCH(4392,'Email Cleaner'!$I$2:$I$10001,0)),"")</f>
        <v/>
      </c>
    </row>
    <row r="4394">
      <c r="A4394">
        <f>IFERROR(INDEX('Email Cleaner'!$B$2:$B$10001,MATCH(4393,'Email Cleaner'!$I$2:$I$10001,0)),"")</f>
        <v/>
      </c>
    </row>
    <row r="4395">
      <c r="A4395">
        <f>IFERROR(INDEX('Email Cleaner'!$B$2:$B$10001,MATCH(4394,'Email Cleaner'!$I$2:$I$10001,0)),"")</f>
        <v/>
      </c>
    </row>
    <row r="4396">
      <c r="A4396">
        <f>IFERROR(INDEX('Email Cleaner'!$B$2:$B$10001,MATCH(4395,'Email Cleaner'!$I$2:$I$10001,0)),"")</f>
        <v/>
      </c>
    </row>
    <row r="4397">
      <c r="A4397">
        <f>IFERROR(INDEX('Email Cleaner'!$B$2:$B$10001,MATCH(4396,'Email Cleaner'!$I$2:$I$10001,0)),"")</f>
        <v/>
      </c>
    </row>
    <row r="4398">
      <c r="A4398">
        <f>IFERROR(INDEX('Email Cleaner'!$B$2:$B$10001,MATCH(4397,'Email Cleaner'!$I$2:$I$10001,0)),"")</f>
        <v/>
      </c>
    </row>
    <row r="4399">
      <c r="A4399">
        <f>IFERROR(INDEX('Email Cleaner'!$B$2:$B$10001,MATCH(4398,'Email Cleaner'!$I$2:$I$10001,0)),"")</f>
        <v/>
      </c>
    </row>
    <row r="4400">
      <c r="A4400">
        <f>IFERROR(INDEX('Email Cleaner'!$B$2:$B$10001,MATCH(4399,'Email Cleaner'!$I$2:$I$10001,0)),"")</f>
        <v/>
      </c>
    </row>
    <row r="4401">
      <c r="A4401">
        <f>IFERROR(INDEX('Email Cleaner'!$B$2:$B$10001,MATCH(4400,'Email Cleaner'!$I$2:$I$10001,0)),"")</f>
        <v/>
      </c>
    </row>
    <row r="4402">
      <c r="A4402">
        <f>IFERROR(INDEX('Email Cleaner'!$B$2:$B$10001,MATCH(4401,'Email Cleaner'!$I$2:$I$10001,0)),"")</f>
        <v/>
      </c>
    </row>
    <row r="4403">
      <c r="A4403">
        <f>IFERROR(INDEX('Email Cleaner'!$B$2:$B$10001,MATCH(4402,'Email Cleaner'!$I$2:$I$10001,0)),"")</f>
        <v/>
      </c>
    </row>
    <row r="4404">
      <c r="A4404">
        <f>IFERROR(INDEX('Email Cleaner'!$B$2:$B$10001,MATCH(4403,'Email Cleaner'!$I$2:$I$10001,0)),"")</f>
        <v/>
      </c>
    </row>
    <row r="4405">
      <c r="A4405">
        <f>IFERROR(INDEX('Email Cleaner'!$B$2:$B$10001,MATCH(4404,'Email Cleaner'!$I$2:$I$10001,0)),"")</f>
        <v/>
      </c>
    </row>
    <row r="4406">
      <c r="A4406">
        <f>IFERROR(INDEX('Email Cleaner'!$B$2:$B$10001,MATCH(4405,'Email Cleaner'!$I$2:$I$10001,0)),"")</f>
        <v/>
      </c>
    </row>
    <row r="4407">
      <c r="A4407">
        <f>IFERROR(INDEX('Email Cleaner'!$B$2:$B$10001,MATCH(4406,'Email Cleaner'!$I$2:$I$10001,0)),"")</f>
        <v/>
      </c>
    </row>
    <row r="4408">
      <c r="A4408">
        <f>IFERROR(INDEX('Email Cleaner'!$B$2:$B$10001,MATCH(4407,'Email Cleaner'!$I$2:$I$10001,0)),"")</f>
        <v/>
      </c>
    </row>
    <row r="4409">
      <c r="A4409">
        <f>IFERROR(INDEX('Email Cleaner'!$B$2:$B$10001,MATCH(4408,'Email Cleaner'!$I$2:$I$10001,0)),"")</f>
        <v/>
      </c>
    </row>
    <row r="4410">
      <c r="A4410">
        <f>IFERROR(INDEX('Email Cleaner'!$B$2:$B$10001,MATCH(4409,'Email Cleaner'!$I$2:$I$10001,0)),"")</f>
        <v/>
      </c>
    </row>
    <row r="4411">
      <c r="A4411">
        <f>IFERROR(INDEX('Email Cleaner'!$B$2:$B$10001,MATCH(4410,'Email Cleaner'!$I$2:$I$10001,0)),"")</f>
        <v/>
      </c>
    </row>
    <row r="4412">
      <c r="A4412">
        <f>IFERROR(INDEX('Email Cleaner'!$B$2:$B$10001,MATCH(4411,'Email Cleaner'!$I$2:$I$10001,0)),"")</f>
        <v/>
      </c>
    </row>
    <row r="4413">
      <c r="A4413">
        <f>IFERROR(INDEX('Email Cleaner'!$B$2:$B$10001,MATCH(4412,'Email Cleaner'!$I$2:$I$10001,0)),"")</f>
        <v/>
      </c>
    </row>
    <row r="4414">
      <c r="A4414">
        <f>IFERROR(INDEX('Email Cleaner'!$B$2:$B$10001,MATCH(4413,'Email Cleaner'!$I$2:$I$10001,0)),"")</f>
        <v/>
      </c>
    </row>
    <row r="4415">
      <c r="A4415">
        <f>IFERROR(INDEX('Email Cleaner'!$B$2:$B$10001,MATCH(4414,'Email Cleaner'!$I$2:$I$10001,0)),"")</f>
        <v/>
      </c>
    </row>
    <row r="4416">
      <c r="A4416">
        <f>IFERROR(INDEX('Email Cleaner'!$B$2:$B$10001,MATCH(4415,'Email Cleaner'!$I$2:$I$10001,0)),"")</f>
        <v/>
      </c>
    </row>
    <row r="4417">
      <c r="A4417">
        <f>IFERROR(INDEX('Email Cleaner'!$B$2:$B$10001,MATCH(4416,'Email Cleaner'!$I$2:$I$10001,0)),"")</f>
        <v/>
      </c>
    </row>
    <row r="4418">
      <c r="A4418">
        <f>IFERROR(INDEX('Email Cleaner'!$B$2:$B$10001,MATCH(4417,'Email Cleaner'!$I$2:$I$10001,0)),"")</f>
        <v/>
      </c>
    </row>
    <row r="4419">
      <c r="A4419">
        <f>IFERROR(INDEX('Email Cleaner'!$B$2:$B$10001,MATCH(4418,'Email Cleaner'!$I$2:$I$10001,0)),"")</f>
        <v/>
      </c>
    </row>
    <row r="4420">
      <c r="A4420">
        <f>IFERROR(INDEX('Email Cleaner'!$B$2:$B$10001,MATCH(4419,'Email Cleaner'!$I$2:$I$10001,0)),"")</f>
        <v/>
      </c>
    </row>
    <row r="4421">
      <c r="A4421">
        <f>IFERROR(INDEX('Email Cleaner'!$B$2:$B$10001,MATCH(4420,'Email Cleaner'!$I$2:$I$10001,0)),"")</f>
        <v/>
      </c>
    </row>
    <row r="4422">
      <c r="A4422">
        <f>IFERROR(INDEX('Email Cleaner'!$B$2:$B$10001,MATCH(4421,'Email Cleaner'!$I$2:$I$10001,0)),"")</f>
        <v/>
      </c>
    </row>
    <row r="4423">
      <c r="A4423">
        <f>IFERROR(INDEX('Email Cleaner'!$B$2:$B$10001,MATCH(4422,'Email Cleaner'!$I$2:$I$10001,0)),"")</f>
        <v/>
      </c>
    </row>
    <row r="4424">
      <c r="A4424">
        <f>IFERROR(INDEX('Email Cleaner'!$B$2:$B$10001,MATCH(4423,'Email Cleaner'!$I$2:$I$10001,0)),"")</f>
        <v/>
      </c>
    </row>
    <row r="4425">
      <c r="A4425">
        <f>IFERROR(INDEX('Email Cleaner'!$B$2:$B$10001,MATCH(4424,'Email Cleaner'!$I$2:$I$10001,0)),"")</f>
        <v/>
      </c>
    </row>
    <row r="4426">
      <c r="A4426">
        <f>IFERROR(INDEX('Email Cleaner'!$B$2:$B$10001,MATCH(4425,'Email Cleaner'!$I$2:$I$10001,0)),"")</f>
        <v/>
      </c>
    </row>
    <row r="4427">
      <c r="A4427">
        <f>IFERROR(INDEX('Email Cleaner'!$B$2:$B$10001,MATCH(4426,'Email Cleaner'!$I$2:$I$10001,0)),"")</f>
        <v/>
      </c>
    </row>
    <row r="4428">
      <c r="A4428">
        <f>IFERROR(INDEX('Email Cleaner'!$B$2:$B$10001,MATCH(4427,'Email Cleaner'!$I$2:$I$10001,0)),"")</f>
        <v/>
      </c>
    </row>
    <row r="4429">
      <c r="A4429">
        <f>IFERROR(INDEX('Email Cleaner'!$B$2:$B$10001,MATCH(4428,'Email Cleaner'!$I$2:$I$10001,0)),"")</f>
        <v/>
      </c>
    </row>
    <row r="4430">
      <c r="A4430">
        <f>IFERROR(INDEX('Email Cleaner'!$B$2:$B$10001,MATCH(4429,'Email Cleaner'!$I$2:$I$10001,0)),"")</f>
        <v/>
      </c>
    </row>
    <row r="4431">
      <c r="A4431">
        <f>IFERROR(INDEX('Email Cleaner'!$B$2:$B$10001,MATCH(4430,'Email Cleaner'!$I$2:$I$10001,0)),"")</f>
        <v/>
      </c>
    </row>
    <row r="4432">
      <c r="A4432">
        <f>IFERROR(INDEX('Email Cleaner'!$B$2:$B$10001,MATCH(4431,'Email Cleaner'!$I$2:$I$10001,0)),"")</f>
        <v/>
      </c>
    </row>
    <row r="4433">
      <c r="A4433">
        <f>IFERROR(INDEX('Email Cleaner'!$B$2:$B$10001,MATCH(4432,'Email Cleaner'!$I$2:$I$10001,0)),"")</f>
        <v/>
      </c>
    </row>
    <row r="4434">
      <c r="A4434">
        <f>IFERROR(INDEX('Email Cleaner'!$B$2:$B$10001,MATCH(4433,'Email Cleaner'!$I$2:$I$10001,0)),"")</f>
        <v/>
      </c>
    </row>
    <row r="4435">
      <c r="A4435">
        <f>IFERROR(INDEX('Email Cleaner'!$B$2:$B$10001,MATCH(4434,'Email Cleaner'!$I$2:$I$10001,0)),"")</f>
        <v/>
      </c>
    </row>
    <row r="4436">
      <c r="A4436">
        <f>IFERROR(INDEX('Email Cleaner'!$B$2:$B$10001,MATCH(4435,'Email Cleaner'!$I$2:$I$10001,0)),"")</f>
        <v/>
      </c>
    </row>
    <row r="4437">
      <c r="A4437">
        <f>IFERROR(INDEX('Email Cleaner'!$B$2:$B$10001,MATCH(4436,'Email Cleaner'!$I$2:$I$10001,0)),"")</f>
        <v/>
      </c>
    </row>
    <row r="4438">
      <c r="A4438">
        <f>IFERROR(INDEX('Email Cleaner'!$B$2:$B$10001,MATCH(4437,'Email Cleaner'!$I$2:$I$10001,0)),"")</f>
        <v/>
      </c>
    </row>
    <row r="4439">
      <c r="A4439">
        <f>IFERROR(INDEX('Email Cleaner'!$B$2:$B$10001,MATCH(4438,'Email Cleaner'!$I$2:$I$10001,0)),"")</f>
        <v/>
      </c>
    </row>
    <row r="4440">
      <c r="A4440">
        <f>IFERROR(INDEX('Email Cleaner'!$B$2:$B$10001,MATCH(4439,'Email Cleaner'!$I$2:$I$10001,0)),"")</f>
        <v/>
      </c>
    </row>
    <row r="4441">
      <c r="A4441">
        <f>IFERROR(INDEX('Email Cleaner'!$B$2:$B$10001,MATCH(4440,'Email Cleaner'!$I$2:$I$10001,0)),"")</f>
        <v/>
      </c>
    </row>
    <row r="4442">
      <c r="A4442">
        <f>IFERROR(INDEX('Email Cleaner'!$B$2:$B$10001,MATCH(4441,'Email Cleaner'!$I$2:$I$10001,0)),"")</f>
        <v/>
      </c>
    </row>
    <row r="4443">
      <c r="A4443">
        <f>IFERROR(INDEX('Email Cleaner'!$B$2:$B$10001,MATCH(4442,'Email Cleaner'!$I$2:$I$10001,0)),"")</f>
        <v/>
      </c>
    </row>
    <row r="4444">
      <c r="A4444">
        <f>IFERROR(INDEX('Email Cleaner'!$B$2:$B$10001,MATCH(4443,'Email Cleaner'!$I$2:$I$10001,0)),"")</f>
        <v/>
      </c>
    </row>
    <row r="4445">
      <c r="A4445">
        <f>IFERROR(INDEX('Email Cleaner'!$B$2:$B$10001,MATCH(4444,'Email Cleaner'!$I$2:$I$10001,0)),"")</f>
        <v/>
      </c>
    </row>
    <row r="4446">
      <c r="A4446">
        <f>IFERROR(INDEX('Email Cleaner'!$B$2:$B$10001,MATCH(4445,'Email Cleaner'!$I$2:$I$10001,0)),"")</f>
        <v/>
      </c>
    </row>
    <row r="4447">
      <c r="A4447">
        <f>IFERROR(INDEX('Email Cleaner'!$B$2:$B$10001,MATCH(4446,'Email Cleaner'!$I$2:$I$10001,0)),"")</f>
        <v/>
      </c>
    </row>
    <row r="4448">
      <c r="A4448">
        <f>IFERROR(INDEX('Email Cleaner'!$B$2:$B$10001,MATCH(4447,'Email Cleaner'!$I$2:$I$10001,0)),"")</f>
        <v/>
      </c>
    </row>
    <row r="4449">
      <c r="A4449">
        <f>IFERROR(INDEX('Email Cleaner'!$B$2:$B$10001,MATCH(4448,'Email Cleaner'!$I$2:$I$10001,0)),"")</f>
        <v/>
      </c>
    </row>
    <row r="4450">
      <c r="A4450">
        <f>IFERROR(INDEX('Email Cleaner'!$B$2:$B$10001,MATCH(4449,'Email Cleaner'!$I$2:$I$10001,0)),"")</f>
        <v/>
      </c>
    </row>
    <row r="4451">
      <c r="A4451">
        <f>IFERROR(INDEX('Email Cleaner'!$B$2:$B$10001,MATCH(4450,'Email Cleaner'!$I$2:$I$10001,0)),"")</f>
        <v/>
      </c>
    </row>
    <row r="4452">
      <c r="A4452">
        <f>IFERROR(INDEX('Email Cleaner'!$B$2:$B$10001,MATCH(4451,'Email Cleaner'!$I$2:$I$10001,0)),"")</f>
        <v/>
      </c>
    </row>
    <row r="4453">
      <c r="A4453">
        <f>IFERROR(INDEX('Email Cleaner'!$B$2:$B$10001,MATCH(4452,'Email Cleaner'!$I$2:$I$10001,0)),"")</f>
        <v/>
      </c>
    </row>
    <row r="4454">
      <c r="A4454">
        <f>IFERROR(INDEX('Email Cleaner'!$B$2:$B$10001,MATCH(4453,'Email Cleaner'!$I$2:$I$10001,0)),"")</f>
        <v/>
      </c>
    </row>
    <row r="4455">
      <c r="A4455">
        <f>IFERROR(INDEX('Email Cleaner'!$B$2:$B$10001,MATCH(4454,'Email Cleaner'!$I$2:$I$10001,0)),"")</f>
        <v/>
      </c>
    </row>
    <row r="4456">
      <c r="A4456">
        <f>IFERROR(INDEX('Email Cleaner'!$B$2:$B$10001,MATCH(4455,'Email Cleaner'!$I$2:$I$10001,0)),"")</f>
        <v/>
      </c>
    </row>
    <row r="4457">
      <c r="A4457">
        <f>IFERROR(INDEX('Email Cleaner'!$B$2:$B$10001,MATCH(4456,'Email Cleaner'!$I$2:$I$10001,0)),"")</f>
        <v/>
      </c>
    </row>
    <row r="4458">
      <c r="A4458">
        <f>IFERROR(INDEX('Email Cleaner'!$B$2:$B$10001,MATCH(4457,'Email Cleaner'!$I$2:$I$10001,0)),"")</f>
        <v/>
      </c>
    </row>
    <row r="4459">
      <c r="A4459">
        <f>IFERROR(INDEX('Email Cleaner'!$B$2:$B$10001,MATCH(4458,'Email Cleaner'!$I$2:$I$10001,0)),"")</f>
        <v/>
      </c>
    </row>
    <row r="4460">
      <c r="A4460">
        <f>IFERROR(INDEX('Email Cleaner'!$B$2:$B$10001,MATCH(4459,'Email Cleaner'!$I$2:$I$10001,0)),"")</f>
        <v/>
      </c>
    </row>
    <row r="4461">
      <c r="A4461">
        <f>IFERROR(INDEX('Email Cleaner'!$B$2:$B$10001,MATCH(4460,'Email Cleaner'!$I$2:$I$10001,0)),"")</f>
        <v/>
      </c>
    </row>
    <row r="4462">
      <c r="A4462">
        <f>IFERROR(INDEX('Email Cleaner'!$B$2:$B$10001,MATCH(4461,'Email Cleaner'!$I$2:$I$10001,0)),"")</f>
        <v/>
      </c>
    </row>
    <row r="4463">
      <c r="A4463">
        <f>IFERROR(INDEX('Email Cleaner'!$B$2:$B$10001,MATCH(4462,'Email Cleaner'!$I$2:$I$10001,0)),"")</f>
        <v/>
      </c>
    </row>
    <row r="4464">
      <c r="A4464">
        <f>IFERROR(INDEX('Email Cleaner'!$B$2:$B$10001,MATCH(4463,'Email Cleaner'!$I$2:$I$10001,0)),"")</f>
        <v/>
      </c>
    </row>
    <row r="4465">
      <c r="A4465">
        <f>IFERROR(INDEX('Email Cleaner'!$B$2:$B$10001,MATCH(4464,'Email Cleaner'!$I$2:$I$10001,0)),"")</f>
        <v/>
      </c>
    </row>
    <row r="4466">
      <c r="A4466">
        <f>IFERROR(INDEX('Email Cleaner'!$B$2:$B$10001,MATCH(4465,'Email Cleaner'!$I$2:$I$10001,0)),"")</f>
        <v/>
      </c>
    </row>
    <row r="4467">
      <c r="A4467">
        <f>IFERROR(INDEX('Email Cleaner'!$B$2:$B$10001,MATCH(4466,'Email Cleaner'!$I$2:$I$10001,0)),"")</f>
        <v/>
      </c>
    </row>
    <row r="4468">
      <c r="A4468">
        <f>IFERROR(INDEX('Email Cleaner'!$B$2:$B$10001,MATCH(4467,'Email Cleaner'!$I$2:$I$10001,0)),"")</f>
        <v/>
      </c>
    </row>
    <row r="4469">
      <c r="A4469">
        <f>IFERROR(INDEX('Email Cleaner'!$B$2:$B$10001,MATCH(4468,'Email Cleaner'!$I$2:$I$10001,0)),"")</f>
        <v/>
      </c>
    </row>
    <row r="4470">
      <c r="A4470">
        <f>IFERROR(INDEX('Email Cleaner'!$B$2:$B$10001,MATCH(4469,'Email Cleaner'!$I$2:$I$10001,0)),"")</f>
        <v/>
      </c>
    </row>
    <row r="4471">
      <c r="A4471">
        <f>IFERROR(INDEX('Email Cleaner'!$B$2:$B$10001,MATCH(4470,'Email Cleaner'!$I$2:$I$10001,0)),"")</f>
        <v/>
      </c>
    </row>
    <row r="4472">
      <c r="A4472">
        <f>IFERROR(INDEX('Email Cleaner'!$B$2:$B$10001,MATCH(4471,'Email Cleaner'!$I$2:$I$10001,0)),"")</f>
        <v/>
      </c>
    </row>
    <row r="4473">
      <c r="A4473">
        <f>IFERROR(INDEX('Email Cleaner'!$B$2:$B$10001,MATCH(4472,'Email Cleaner'!$I$2:$I$10001,0)),"")</f>
        <v/>
      </c>
    </row>
    <row r="4474">
      <c r="A4474">
        <f>IFERROR(INDEX('Email Cleaner'!$B$2:$B$10001,MATCH(4473,'Email Cleaner'!$I$2:$I$10001,0)),"")</f>
        <v/>
      </c>
    </row>
    <row r="4475">
      <c r="A4475">
        <f>IFERROR(INDEX('Email Cleaner'!$B$2:$B$10001,MATCH(4474,'Email Cleaner'!$I$2:$I$10001,0)),"")</f>
        <v/>
      </c>
    </row>
    <row r="4476">
      <c r="A4476">
        <f>IFERROR(INDEX('Email Cleaner'!$B$2:$B$10001,MATCH(4475,'Email Cleaner'!$I$2:$I$10001,0)),"")</f>
        <v/>
      </c>
    </row>
    <row r="4477">
      <c r="A4477">
        <f>IFERROR(INDEX('Email Cleaner'!$B$2:$B$10001,MATCH(4476,'Email Cleaner'!$I$2:$I$10001,0)),"")</f>
        <v/>
      </c>
    </row>
    <row r="4478">
      <c r="A4478">
        <f>IFERROR(INDEX('Email Cleaner'!$B$2:$B$10001,MATCH(4477,'Email Cleaner'!$I$2:$I$10001,0)),"")</f>
        <v/>
      </c>
    </row>
    <row r="4479">
      <c r="A4479">
        <f>IFERROR(INDEX('Email Cleaner'!$B$2:$B$10001,MATCH(4478,'Email Cleaner'!$I$2:$I$10001,0)),"")</f>
        <v/>
      </c>
    </row>
    <row r="4480">
      <c r="A4480">
        <f>IFERROR(INDEX('Email Cleaner'!$B$2:$B$10001,MATCH(4479,'Email Cleaner'!$I$2:$I$10001,0)),"")</f>
        <v/>
      </c>
    </row>
    <row r="4481">
      <c r="A4481">
        <f>IFERROR(INDEX('Email Cleaner'!$B$2:$B$10001,MATCH(4480,'Email Cleaner'!$I$2:$I$10001,0)),"")</f>
        <v/>
      </c>
    </row>
    <row r="4482">
      <c r="A4482">
        <f>IFERROR(INDEX('Email Cleaner'!$B$2:$B$10001,MATCH(4481,'Email Cleaner'!$I$2:$I$10001,0)),"")</f>
        <v/>
      </c>
    </row>
    <row r="4483">
      <c r="A4483">
        <f>IFERROR(INDEX('Email Cleaner'!$B$2:$B$10001,MATCH(4482,'Email Cleaner'!$I$2:$I$10001,0)),"")</f>
        <v/>
      </c>
    </row>
    <row r="4484">
      <c r="A4484">
        <f>IFERROR(INDEX('Email Cleaner'!$B$2:$B$10001,MATCH(4483,'Email Cleaner'!$I$2:$I$10001,0)),"")</f>
        <v/>
      </c>
    </row>
    <row r="4485">
      <c r="A4485">
        <f>IFERROR(INDEX('Email Cleaner'!$B$2:$B$10001,MATCH(4484,'Email Cleaner'!$I$2:$I$10001,0)),"")</f>
        <v/>
      </c>
    </row>
    <row r="4486">
      <c r="A4486">
        <f>IFERROR(INDEX('Email Cleaner'!$B$2:$B$10001,MATCH(4485,'Email Cleaner'!$I$2:$I$10001,0)),"")</f>
        <v/>
      </c>
    </row>
    <row r="4487">
      <c r="A4487">
        <f>IFERROR(INDEX('Email Cleaner'!$B$2:$B$10001,MATCH(4486,'Email Cleaner'!$I$2:$I$10001,0)),"")</f>
        <v/>
      </c>
    </row>
    <row r="4488">
      <c r="A4488">
        <f>IFERROR(INDEX('Email Cleaner'!$B$2:$B$10001,MATCH(4487,'Email Cleaner'!$I$2:$I$10001,0)),"")</f>
        <v/>
      </c>
    </row>
    <row r="4489">
      <c r="A4489">
        <f>IFERROR(INDEX('Email Cleaner'!$B$2:$B$10001,MATCH(4488,'Email Cleaner'!$I$2:$I$10001,0)),"")</f>
        <v/>
      </c>
    </row>
    <row r="4490">
      <c r="A4490">
        <f>IFERROR(INDEX('Email Cleaner'!$B$2:$B$10001,MATCH(4489,'Email Cleaner'!$I$2:$I$10001,0)),"")</f>
        <v/>
      </c>
    </row>
    <row r="4491">
      <c r="A4491">
        <f>IFERROR(INDEX('Email Cleaner'!$B$2:$B$10001,MATCH(4490,'Email Cleaner'!$I$2:$I$10001,0)),"")</f>
        <v/>
      </c>
    </row>
    <row r="4492">
      <c r="A4492">
        <f>IFERROR(INDEX('Email Cleaner'!$B$2:$B$10001,MATCH(4491,'Email Cleaner'!$I$2:$I$10001,0)),"")</f>
        <v/>
      </c>
    </row>
    <row r="4493">
      <c r="A4493">
        <f>IFERROR(INDEX('Email Cleaner'!$B$2:$B$10001,MATCH(4492,'Email Cleaner'!$I$2:$I$10001,0)),"")</f>
        <v/>
      </c>
    </row>
    <row r="4494">
      <c r="A4494">
        <f>IFERROR(INDEX('Email Cleaner'!$B$2:$B$10001,MATCH(4493,'Email Cleaner'!$I$2:$I$10001,0)),"")</f>
        <v/>
      </c>
    </row>
    <row r="4495">
      <c r="A4495">
        <f>IFERROR(INDEX('Email Cleaner'!$B$2:$B$10001,MATCH(4494,'Email Cleaner'!$I$2:$I$10001,0)),"")</f>
        <v/>
      </c>
    </row>
    <row r="4496">
      <c r="A4496">
        <f>IFERROR(INDEX('Email Cleaner'!$B$2:$B$10001,MATCH(4495,'Email Cleaner'!$I$2:$I$10001,0)),"")</f>
        <v/>
      </c>
    </row>
    <row r="4497">
      <c r="A4497">
        <f>IFERROR(INDEX('Email Cleaner'!$B$2:$B$10001,MATCH(4496,'Email Cleaner'!$I$2:$I$10001,0)),"")</f>
        <v/>
      </c>
    </row>
    <row r="4498">
      <c r="A4498">
        <f>IFERROR(INDEX('Email Cleaner'!$B$2:$B$10001,MATCH(4497,'Email Cleaner'!$I$2:$I$10001,0)),"")</f>
        <v/>
      </c>
    </row>
    <row r="4499">
      <c r="A4499">
        <f>IFERROR(INDEX('Email Cleaner'!$B$2:$B$10001,MATCH(4498,'Email Cleaner'!$I$2:$I$10001,0)),"")</f>
        <v/>
      </c>
    </row>
    <row r="4500">
      <c r="A4500">
        <f>IFERROR(INDEX('Email Cleaner'!$B$2:$B$10001,MATCH(4499,'Email Cleaner'!$I$2:$I$10001,0)),"")</f>
        <v/>
      </c>
    </row>
    <row r="4501">
      <c r="A4501">
        <f>IFERROR(INDEX('Email Cleaner'!$B$2:$B$10001,MATCH(4500,'Email Cleaner'!$I$2:$I$10001,0)),"")</f>
        <v/>
      </c>
    </row>
    <row r="4502">
      <c r="A4502">
        <f>IFERROR(INDEX('Email Cleaner'!$B$2:$B$10001,MATCH(4501,'Email Cleaner'!$I$2:$I$10001,0)),"")</f>
        <v/>
      </c>
    </row>
    <row r="4503">
      <c r="A4503">
        <f>IFERROR(INDEX('Email Cleaner'!$B$2:$B$10001,MATCH(4502,'Email Cleaner'!$I$2:$I$10001,0)),"")</f>
        <v/>
      </c>
    </row>
    <row r="4504">
      <c r="A4504">
        <f>IFERROR(INDEX('Email Cleaner'!$B$2:$B$10001,MATCH(4503,'Email Cleaner'!$I$2:$I$10001,0)),"")</f>
        <v/>
      </c>
    </row>
    <row r="4505">
      <c r="A4505">
        <f>IFERROR(INDEX('Email Cleaner'!$B$2:$B$10001,MATCH(4504,'Email Cleaner'!$I$2:$I$10001,0)),"")</f>
        <v/>
      </c>
    </row>
    <row r="4506">
      <c r="A4506">
        <f>IFERROR(INDEX('Email Cleaner'!$B$2:$B$10001,MATCH(4505,'Email Cleaner'!$I$2:$I$10001,0)),"")</f>
        <v/>
      </c>
    </row>
    <row r="4507">
      <c r="A4507">
        <f>IFERROR(INDEX('Email Cleaner'!$B$2:$B$10001,MATCH(4506,'Email Cleaner'!$I$2:$I$10001,0)),"")</f>
        <v/>
      </c>
    </row>
    <row r="4508">
      <c r="A4508">
        <f>IFERROR(INDEX('Email Cleaner'!$B$2:$B$10001,MATCH(4507,'Email Cleaner'!$I$2:$I$10001,0)),"")</f>
        <v/>
      </c>
    </row>
    <row r="4509">
      <c r="A4509">
        <f>IFERROR(INDEX('Email Cleaner'!$B$2:$B$10001,MATCH(4508,'Email Cleaner'!$I$2:$I$10001,0)),"")</f>
        <v/>
      </c>
    </row>
    <row r="4510">
      <c r="A4510">
        <f>IFERROR(INDEX('Email Cleaner'!$B$2:$B$10001,MATCH(4509,'Email Cleaner'!$I$2:$I$10001,0)),"")</f>
        <v/>
      </c>
    </row>
    <row r="4511">
      <c r="A4511">
        <f>IFERROR(INDEX('Email Cleaner'!$B$2:$B$10001,MATCH(4510,'Email Cleaner'!$I$2:$I$10001,0)),"")</f>
        <v/>
      </c>
    </row>
    <row r="4512">
      <c r="A4512">
        <f>IFERROR(INDEX('Email Cleaner'!$B$2:$B$10001,MATCH(4511,'Email Cleaner'!$I$2:$I$10001,0)),"")</f>
        <v/>
      </c>
    </row>
    <row r="4513">
      <c r="A4513">
        <f>IFERROR(INDEX('Email Cleaner'!$B$2:$B$10001,MATCH(4512,'Email Cleaner'!$I$2:$I$10001,0)),"")</f>
        <v/>
      </c>
    </row>
    <row r="4514">
      <c r="A4514">
        <f>IFERROR(INDEX('Email Cleaner'!$B$2:$B$10001,MATCH(4513,'Email Cleaner'!$I$2:$I$10001,0)),"")</f>
        <v/>
      </c>
    </row>
    <row r="4515">
      <c r="A4515">
        <f>IFERROR(INDEX('Email Cleaner'!$B$2:$B$10001,MATCH(4514,'Email Cleaner'!$I$2:$I$10001,0)),"")</f>
        <v/>
      </c>
    </row>
    <row r="4516">
      <c r="A4516">
        <f>IFERROR(INDEX('Email Cleaner'!$B$2:$B$10001,MATCH(4515,'Email Cleaner'!$I$2:$I$10001,0)),"")</f>
        <v/>
      </c>
    </row>
    <row r="4517">
      <c r="A4517">
        <f>IFERROR(INDEX('Email Cleaner'!$B$2:$B$10001,MATCH(4516,'Email Cleaner'!$I$2:$I$10001,0)),"")</f>
        <v/>
      </c>
    </row>
    <row r="4518">
      <c r="A4518">
        <f>IFERROR(INDEX('Email Cleaner'!$B$2:$B$10001,MATCH(4517,'Email Cleaner'!$I$2:$I$10001,0)),"")</f>
        <v/>
      </c>
    </row>
    <row r="4519">
      <c r="A4519">
        <f>IFERROR(INDEX('Email Cleaner'!$B$2:$B$10001,MATCH(4518,'Email Cleaner'!$I$2:$I$10001,0)),"")</f>
        <v/>
      </c>
    </row>
    <row r="4520">
      <c r="A4520">
        <f>IFERROR(INDEX('Email Cleaner'!$B$2:$B$10001,MATCH(4519,'Email Cleaner'!$I$2:$I$10001,0)),"")</f>
        <v/>
      </c>
    </row>
    <row r="4521">
      <c r="A4521">
        <f>IFERROR(INDEX('Email Cleaner'!$B$2:$B$10001,MATCH(4520,'Email Cleaner'!$I$2:$I$10001,0)),"")</f>
        <v/>
      </c>
    </row>
    <row r="4522">
      <c r="A4522">
        <f>IFERROR(INDEX('Email Cleaner'!$B$2:$B$10001,MATCH(4521,'Email Cleaner'!$I$2:$I$10001,0)),"")</f>
        <v/>
      </c>
    </row>
    <row r="4523">
      <c r="A4523">
        <f>IFERROR(INDEX('Email Cleaner'!$B$2:$B$10001,MATCH(4522,'Email Cleaner'!$I$2:$I$10001,0)),"")</f>
        <v/>
      </c>
    </row>
    <row r="4524">
      <c r="A4524">
        <f>IFERROR(INDEX('Email Cleaner'!$B$2:$B$10001,MATCH(4523,'Email Cleaner'!$I$2:$I$10001,0)),"")</f>
        <v/>
      </c>
    </row>
    <row r="4525">
      <c r="A4525">
        <f>IFERROR(INDEX('Email Cleaner'!$B$2:$B$10001,MATCH(4524,'Email Cleaner'!$I$2:$I$10001,0)),"")</f>
        <v/>
      </c>
    </row>
    <row r="4526">
      <c r="A4526">
        <f>IFERROR(INDEX('Email Cleaner'!$B$2:$B$10001,MATCH(4525,'Email Cleaner'!$I$2:$I$10001,0)),"")</f>
        <v/>
      </c>
    </row>
    <row r="4527">
      <c r="A4527">
        <f>IFERROR(INDEX('Email Cleaner'!$B$2:$B$10001,MATCH(4526,'Email Cleaner'!$I$2:$I$10001,0)),"")</f>
        <v/>
      </c>
    </row>
    <row r="4528">
      <c r="A4528">
        <f>IFERROR(INDEX('Email Cleaner'!$B$2:$B$10001,MATCH(4527,'Email Cleaner'!$I$2:$I$10001,0)),"")</f>
        <v/>
      </c>
    </row>
    <row r="4529">
      <c r="A4529">
        <f>IFERROR(INDEX('Email Cleaner'!$B$2:$B$10001,MATCH(4528,'Email Cleaner'!$I$2:$I$10001,0)),"")</f>
        <v/>
      </c>
    </row>
    <row r="4530">
      <c r="A4530">
        <f>IFERROR(INDEX('Email Cleaner'!$B$2:$B$10001,MATCH(4529,'Email Cleaner'!$I$2:$I$10001,0)),"")</f>
        <v/>
      </c>
    </row>
    <row r="4531">
      <c r="A4531">
        <f>IFERROR(INDEX('Email Cleaner'!$B$2:$B$10001,MATCH(4530,'Email Cleaner'!$I$2:$I$10001,0)),"")</f>
        <v/>
      </c>
    </row>
    <row r="4532">
      <c r="A4532">
        <f>IFERROR(INDEX('Email Cleaner'!$B$2:$B$10001,MATCH(4531,'Email Cleaner'!$I$2:$I$10001,0)),"")</f>
        <v/>
      </c>
    </row>
    <row r="4533">
      <c r="A4533">
        <f>IFERROR(INDEX('Email Cleaner'!$B$2:$B$10001,MATCH(4532,'Email Cleaner'!$I$2:$I$10001,0)),"")</f>
        <v/>
      </c>
    </row>
    <row r="4534">
      <c r="A4534">
        <f>IFERROR(INDEX('Email Cleaner'!$B$2:$B$10001,MATCH(4533,'Email Cleaner'!$I$2:$I$10001,0)),"")</f>
        <v/>
      </c>
    </row>
    <row r="4535">
      <c r="A4535">
        <f>IFERROR(INDEX('Email Cleaner'!$B$2:$B$10001,MATCH(4534,'Email Cleaner'!$I$2:$I$10001,0)),"")</f>
        <v/>
      </c>
    </row>
    <row r="4536">
      <c r="A4536">
        <f>IFERROR(INDEX('Email Cleaner'!$B$2:$B$10001,MATCH(4535,'Email Cleaner'!$I$2:$I$10001,0)),"")</f>
        <v/>
      </c>
    </row>
    <row r="4537">
      <c r="A4537">
        <f>IFERROR(INDEX('Email Cleaner'!$B$2:$B$10001,MATCH(4536,'Email Cleaner'!$I$2:$I$10001,0)),"")</f>
        <v/>
      </c>
    </row>
    <row r="4538">
      <c r="A4538">
        <f>IFERROR(INDEX('Email Cleaner'!$B$2:$B$10001,MATCH(4537,'Email Cleaner'!$I$2:$I$10001,0)),"")</f>
        <v/>
      </c>
    </row>
    <row r="4539">
      <c r="A4539">
        <f>IFERROR(INDEX('Email Cleaner'!$B$2:$B$10001,MATCH(4538,'Email Cleaner'!$I$2:$I$10001,0)),"")</f>
        <v/>
      </c>
    </row>
    <row r="4540">
      <c r="A4540">
        <f>IFERROR(INDEX('Email Cleaner'!$B$2:$B$10001,MATCH(4539,'Email Cleaner'!$I$2:$I$10001,0)),"")</f>
        <v/>
      </c>
    </row>
    <row r="4541">
      <c r="A4541">
        <f>IFERROR(INDEX('Email Cleaner'!$B$2:$B$10001,MATCH(4540,'Email Cleaner'!$I$2:$I$10001,0)),"")</f>
        <v/>
      </c>
    </row>
    <row r="4542">
      <c r="A4542">
        <f>IFERROR(INDEX('Email Cleaner'!$B$2:$B$10001,MATCH(4541,'Email Cleaner'!$I$2:$I$10001,0)),"")</f>
        <v/>
      </c>
    </row>
    <row r="4543">
      <c r="A4543">
        <f>IFERROR(INDEX('Email Cleaner'!$B$2:$B$10001,MATCH(4542,'Email Cleaner'!$I$2:$I$10001,0)),"")</f>
        <v/>
      </c>
    </row>
    <row r="4544">
      <c r="A4544">
        <f>IFERROR(INDEX('Email Cleaner'!$B$2:$B$10001,MATCH(4543,'Email Cleaner'!$I$2:$I$10001,0)),"")</f>
        <v/>
      </c>
    </row>
    <row r="4545">
      <c r="A4545">
        <f>IFERROR(INDEX('Email Cleaner'!$B$2:$B$10001,MATCH(4544,'Email Cleaner'!$I$2:$I$10001,0)),"")</f>
        <v/>
      </c>
    </row>
    <row r="4546">
      <c r="A4546">
        <f>IFERROR(INDEX('Email Cleaner'!$B$2:$B$10001,MATCH(4545,'Email Cleaner'!$I$2:$I$10001,0)),"")</f>
        <v/>
      </c>
    </row>
    <row r="4547">
      <c r="A4547">
        <f>IFERROR(INDEX('Email Cleaner'!$B$2:$B$10001,MATCH(4546,'Email Cleaner'!$I$2:$I$10001,0)),"")</f>
        <v/>
      </c>
    </row>
    <row r="4548">
      <c r="A4548">
        <f>IFERROR(INDEX('Email Cleaner'!$B$2:$B$10001,MATCH(4547,'Email Cleaner'!$I$2:$I$10001,0)),"")</f>
        <v/>
      </c>
    </row>
    <row r="4549">
      <c r="A4549">
        <f>IFERROR(INDEX('Email Cleaner'!$B$2:$B$10001,MATCH(4548,'Email Cleaner'!$I$2:$I$10001,0)),"")</f>
        <v/>
      </c>
    </row>
    <row r="4550">
      <c r="A4550">
        <f>IFERROR(INDEX('Email Cleaner'!$B$2:$B$10001,MATCH(4549,'Email Cleaner'!$I$2:$I$10001,0)),"")</f>
        <v/>
      </c>
    </row>
    <row r="4551">
      <c r="A4551">
        <f>IFERROR(INDEX('Email Cleaner'!$B$2:$B$10001,MATCH(4550,'Email Cleaner'!$I$2:$I$10001,0)),"")</f>
        <v/>
      </c>
    </row>
    <row r="4552">
      <c r="A4552">
        <f>IFERROR(INDEX('Email Cleaner'!$B$2:$B$10001,MATCH(4551,'Email Cleaner'!$I$2:$I$10001,0)),"")</f>
        <v/>
      </c>
    </row>
    <row r="4553">
      <c r="A4553">
        <f>IFERROR(INDEX('Email Cleaner'!$B$2:$B$10001,MATCH(4552,'Email Cleaner'!$I$2:$I$10001,0)),"")</f>
        <v/>
      </c>
    </row>
    <row r="4554">
      <c r="A4554">
        <f>IFERROR(INDEX('Email Cleaner'!$B$2:$B$10001,MATCH(4553,'Email Cleaner'!$I$2:$I$10001,0)),"")</f>
        <v/>
      </c>
    </row>
    <row r="4555">
      <c r="A4555">
        <f>IFERROR(INDEX('Email Cleaner'!$B$2:$B$10001,MATCH(4554,'Email Cleaner'!$I$2:$I$10001,0)),"")</f>
        <v/>
      </c>
    </row>
    <row r="4556">
      <c r="A4556">
        <f>IFERROR(INDEX('Email Cleaner'!$B$2:$B$10001,MATCH(4555,'Email Cleaner'!$I$2:$I$10001,0)),"")</f>
        <v/>
      </c>
    </row>
    <row r="4557">
      <c r="A4557">
        <f>IFERROR(INDEX('Email Cleaner'!$B$2:$B$10001,MATCH(4556,'Email Cleaner'!$I$2:$I$10001,0)),"")</f>
        <v/>
      </c>
    </row>
    <row r="4558">
      <c r="A4558">
        <f>IFERROR(INDEX('Email Cleaner'!$B$2:$B$10001,MATCH(4557,'Email Cleaner'!$I$2:$I$10001,0)),"")</f>
        <v/>
      </c>
    </row>
    <row r="4559">
      <c r="A4559">
        <f>IFERROR(INDEX('Email Cleaner'!$B$2:$B$10001,MATCH(4558,'Email Cleaner'!$I$2:$I$10001,0)),"")</f>
        <v/>
      </c>
    </row>
    <row r="4560">
      <c r="A4560">
        <f>IFERROR(INDEX('Email Cleaner'!$B$2:$B$10001,MATCH(4559,'Email Cleaner'!$I$2:$I$10001,0)),"")</f>
        <v/>
      </c>
    </row>
    <row r="4561">
      <c r="A4561">
        <f>IFERROR(INDEX('Email Cleaner'!$B$2:$B$10001,MATCH(4560,'Email Cleaner'!$I$2:$I$10001,0)),"")</f>
        <v/>
      </c>
    </row>
    <row r="4562">
      <c r="A4562">
        <f>IFERROR(INDEX('Email Cleaner'!$B$2:$B$10001,MATCH(4561,'Email Cleaner'!$I$2:$I$10001,0)),"")</f>
        <v/>
      </c>
    </row>
    <row r="4563">
      <c r="A4563">
        <f>IFERROR(INDEX('Email Cleaner'!$B$2:$B$10001,MATCH(4562,'Email Cleaner'!$I$2:$I$10001,0)),"")</f>
        <v/>
      </c>
    </row>
    <row r="4564">
      <c r="A4564">
        <f>IFERROR(INDEX('Email Cleaner'!$B$2:$B$10001,MATCH(4563,'Email Cleaner'!$I$2:$I$10001,0)),"")</f>
        <v/>
      </c>
    </row>
    <row r="4565">
      <c r="A4565">
        <f>IFERROR(INDEX('Email Cleaner'!$B$2:$B$10001,MATCH(4564,'Email Cleaner'!$I$2:$I$10001,0)),"")</f>
        <v/>
      </c>
    </row>
    <row r="4566">
      <c r="A4566">
        <f>IFERROR(INDEX('Email Cleaner'!$B$2:$B$10001,MATCH(4565,'Email Cleaner'!$I$2:$I$10001,0)),"")</f>
        <v/>
      </c>
    </row>
    <row r="4567">
      <c r="A4567">
        <f>IFERROR(INDEX('Email Cleaner'!$B$2:$B$10001,MATCH(4566,'Email Cleaner'!$I$2:$I$10001,0)),"")</f>
        <v/>
      </c>
    </row>
    <row r="4568">
      <c r="A4568">
        <f>IFERROR(INDEX('Email Cleaner'!$B$2:$B$10001,MATCH(4567,'Email Cleaner'!$I$2:$I$10001,0)),"")</f>
        <v/>
      </c>
    </row>
    <row r="4569">
      <c r="A4569">
        <f>IFERROR(INDEX('Email Cleaner'!$B$2:$B$10001,MATCH(4568,'Email Cleaner'!$I$2:$I$10001,0)),"")</f>
        <v/>
      </c>
    </row>
    <row r="4570">
      <c r="A4570">
        <f>IFERROR(INDEX('Email Cleaner'!$B$2:$B$10001,MATCH(4569,'Email Cleaner'!$I$2:$I$10001,0)),"")</f>
        <v/>
      </c>
    </row>
    <row r="4571">
      <c r="A4571">
        <f>IFERROR(INDEX('Email Cleaner'!$B$2:$B$10001,MATCH(4570,'Email Cleaner'!$I$2:$I$10001,0)),"")</f>
        <v/>
      </c>
    </row>
    <row r="4572">
      <c r="A4572">
        <f>IFERROR(INDEX('Email Cleaner'!$B$2:$B$10001,MATCH(4571,'Email Cleaner'!$I$2:$I$10001,0)),"")</f>
        <v/>
      </c>
    </row>
    <row r="4573">
      <c r="A4573">
        <f>IFERROR(INDEX('Email Cleaner'!$B$2:$B$10001,MATCH(4572,'Email Cleaner'!$I$2:$I$10001,0)),"")</f>
        <v/>
      </c>
    </row>
    <row r="4574">
      <c r="A4574">
        <f>IFERROR(INDEX('Email Cleaner'!$B$2:$B$10001,MATCH(4573,'Email Cleaner'!$I$2:$I$10001,0)),"")</f>
        <v/>
      </c>
    </row>
    <row r="4575">
      <c r="A4575">
        <f>IFERROR(INDEX('Email Cleaner'!$B$2:$B$10001,MATCH(4574,'Email Cleaner'!$I$2:$I$10001,0)),"")</f>
        <v/>
      </c>
    </row>
    <row r="4576">
      <c r="A4576">
        <f>IFERROR(INDEX('Email Cleaner'!$B$2:$B$10001,MATCH(4575,'Email Cleaner'!$I$2:$I$10001,0)),"")</f>
        <v/>
      </c>
    </row>
    <row r="4577">
      <c r="A4577">
        <f>IFERROR(INDEX('Email Cleaner'!$B$2:$B$10001,MATCH(4576,'Email Cleaner'!$I$2:$I$10001,0)),"")</f>
        <v/>
      </c>
    </row>
    <row r="4578">
      <c r="A4578">
        <f>IFERROR(INDEX('Email Cleaner'!$B$2:$B$10001,MATCH(4577,'Email Cleaner'!$I$2:$I$10001,0)),"")</f>
        <v/>
      </c>
    </row>
    <row r="4579">
      <c r="A4579">
        <f>IFERROR(INDEX('Email Cleaner'!$B$2:$B$10001,MATCH(4578,'Email Cleaner'!$I$2:$I$10001,0)),"")</f>
        <v/>
      </c>
    </row>
    <row r="4580">
      <c r="A4580">
        <f>IFERROR(INDEX('Email Cleaner'!$B$2:$B$10001,MATCH(4579,'Email Cleaner'!$I$2:$I$10001,0)),"")</f>
        <v/>
      </c>
    </row>
    <row r="4581">
      <c r="A4581">
        <f>IFERROR(INDEX('Email Cleaner'!$B$2:$B$10001,MATCH(4580,'Email Cleaner'!$I$2:$I$10001,0)),"")</f>
        <v/>
      </c>
    </row>
    <row r="4582">
      <c r="A4582">
        <f>IFERROR(INDEX('Email Cleaner'!$B$2:$B$10001,MATCH(4581,'Email Cleaner'!$I$2:$I$10001,0)),"")</f>
        <v/>
      </c>
    </row>
    <row r="4583">
      <c r="A4583">
        <f>IFERROR(INDEX('Email Cleaner'!$B$2:$B$10001,MATCH(4582,'Email Cleaner'!$I$2:$I$10001,0)),"")</f>
        <v/>
      </c>
    </row>
    <row r="4584">
      <c r="A4584">
        <f>IFERROR(INDEX('Email Cleaner'!$B$2:$B$10001,MATCH(4583,'Email Cleaner'!$I$2:$I$10001,0)),"")</f>
        <v/>
      </c>
    </row>
    <row r="4585">
      <c r="A4585">
        <f>IFERROR(INDEX('Email Cleaner'!$B$2:$B$10001,MATCH(4584,'Email Cleaner'!$I$2:$I$10001,0)),"")</f>
        <v/>
      </c>
    </row>
    <row r="4586">
      <c r="A4586">
        <f>IFERROR(INDEX('Email Cleaner'!$B$2:$B$10001,MATCH(4585,'Email Cleaner'!$I$2:$I$10001,0)),"")</f>
        <v/>
      </c>
    </row>
    <row r="4587">
      <c r="A4587">
        <f>IFERROR(INDEX('Email Cleaner'!$B$2:$B$10001,MATCH(4586,'Email Cleaner'!$I$2:$I$10001,0)),"")</f>
        <v/>
      </c>
    </row>
    <row r="4588">
      <c r="A4588">
        <f>IFERROR(INDEX('Email Cleaner'!$B$2:$B$10001,MATCH(4587,'Email Cleaner'!$I$2:$I$10001,0)),"")</f>
        <v/>
      </c>
    </row>
    <row r="4589">
      <c r="A4589">
        <f>IFERROR(INDEX('Email Cleaner'!$B$2:$B$10001,MATCH(4588,'Email Cleaner'!$I$2:$I$10001,0)),"")</f>
        <v/>
      </c>
    </row>
    <row r="4590">
      <c r="A4590">
        <f>IFERROR(INDEX('Email Cleaner'!$B$2:$B$10001,MATCH(4589,'Email Cleaner'!$I$2:$I$10001,0)),"")</f>
        <v/>
      </c>
    </row>
    <row r="4591">
      <c r="A4591">
        <f>IFERROR(INDEX('Email Cleaner'!$B$2:$B$10001,MATCH(4590,'Email Cleaner'!$I$2:$I$10001,0)),"")</f>
        <v/>
      </c>
    </row>
    <row r="4592">
      <c r="A4592">
        <f>IFERROR(INDEX('Email Cleaner'!$B$2:$B$10001,MATCH(4591,'Email Cleaner'!$I$2:$I$10001,0)),"")</f>
        <v/>
      </c>
    </row>
    <row r="4593">
      <c r="A4593">
        <f>IFERROR(INDEX('Email Cleaner'!$B$2:$B$10001,MATCH(4592,'Email Cleaner'!$I$2:$I$10001,0)),"")</f>
        <v/>
      </c>
    </row>
    <row r="4594">
      <c r="A4594">
        <f>IFERROR(INDEX('Email Cleaner'!$B$2:$B$10001,MATCH(4593,'Email Cleaner'!$I$2:$I$10001,0)),"")</f>
        <v/>
      </c>
    </row>
    <row r="4595">
      <c r="A4595">
        <f>IFERROR(INDEX('Email Cleaner'!$B$2:$B$10001,MATCH(4594,'Email Cleaner'!$I$2:$I$10001,0)),"")</f>
        <v/>
      </c>
    </row>
    <row r="4596">
      <c r="A4596">
        <f>IFERROR(INDEX('Email Cleaner'!$B$2:$B$10001,MATCH(4595,'Email Cleaner'!$I$2:$I$10001,0)),"")</f>
        <v/>
      </c>
    </row>
    <row r="4597">
      <c r="A4597">
        <f>IFERROR(INDEX('Email Cleaner'!$B$2:$B$10001,MATCH(4596,'Email Cleaner'!$I$2:$I$10001,0)),"")</f>
        <v/>
      </c>
    </row>
    <row r="4598">
      <c r="A4598">
        <f>IFERROR(INDEX('Email Cleaner'!$B$2:$B$10001,MATCH(4597,'Email Cleaner'!$I$2:$I$10001,0)),"")</f>
        <v/>
      </c>
    </row>
    <row r="4599">
      <c r="A4599">
        <f>IFERROR(INDEX('Email Cleaner'!$B$2:$B$10001,MATCH(4598,'Email Cleaner'!$I$2:$I$10001,0)),"")</f>
        <v/>
      </c>
    </row>
    <row r="4600">
      <c r="A4600">
        <f>IFERROR(INDEX('Email Cleaner'!$B$2:$B$10001,MATCH(4599,'Email Cleaner'!$I$2:$I$10001,0)),"")</f>
        <v/>
      </c>
    </row>
    <row r="4601">
      <c r="A4601">
        <f>IFERROR(INDEX('Email Cleaner'!$B$2:$B$10001,MATCH(4600,'Email Cleaner'!$I$2:$I$10001,0)),"")</f>
        <v/>
      </c>
    </row>
    <row r="4602">
      <c r="A4602">
        <f>IFERROR(INDEX('Email Cleaner'!$B$2:$B$10001,MATCH(4601,'Email Cleaner'!$I$2:$I$10001,0)),"")</f>
        <v/>
      </c>
    </row>
    <row r="4603">
      <c r="A4603">
        <f>IFERROR(INDEX('Email Cleaner'!$B$2:$B$10001,MATCH(4602,'Email Cleaner'!$I$2:$I$10001,0)),"")</f>
        <v/>
      </c>
    </row>
    <row r="4604">
      <c r="A4604">
        <f>IFERROR(INDEX('Email Cleaner'!$B$2:$B$10001,MATCH(4603,'Email Cleaner'!$I$2:$I$10001,0)),"")</f>
        <v/>
      </c>
    </row>
    <row r="4605">
      <c r="A4605">
        <f>IFERROR(INDEX('Email Cleaner'!$B$2:$B$10001,MATCH(4604,'Email Cleaner'!$I$2:$I$10001,0)),"")</f>
        <v/>
      </c>
    </row>
    <row r="4606">
      <c r="A4606">
        <f>IFERROR(INDEX('Email Cleaner'!$B$2:$B$10001,MATCH(4605,'Email Cleaner'!$I$2:$I$10001,0)),"")</f>
        <v/>
      </c>
    </row>
    <row r="4607">
      <c r="A4607">
        <f>IFERROR(INDEX('Email Cleaner'!$B$2:$B$10001,MATCH(4606,'Email Cleaner'!$I$2:$I$10001,0)),"")</f>
        <v/>
      </c>
    </row>
    <row r="4608">
      <c r="A4608">
        <f>IFERROR(INDEX('Email Cleaner'!$B$2:$B$10001,MATCH(4607,'Email Cleaner'!$I$2:$I$10001,0)),"")</f>
        <v/>
      </c>
    </row>
    <row r="4609">
      <c r="A4609">
        <f>IFERROR(INDEX('Email Cleaner'!$B$2:$B$10001,MATCH(4608,'Email Cleaner'!$I$2:$I$10001,0)),"")</f>
        <v/>
      </c>
    </row>
    <row r="4610">
      <c r="A4610">
        <f>IFERROR(INDEX('Email Cleaner'!$B$2:$B$10001,MATCH(4609,'Email Cleaner'!$I$2:$I$10001,0)),"")</f>
        <v/>
      </c>
    </row>
    <row r="4611">
      <c r="A4611">
        <f>IFERROR(INDEX('Email Cleaner'!$B$2:$B$10001,MATCH(4610,'Email Cleaner'!$I$2:$I$10001,0)),"")</f>
        <v/>
      </c>
    </row>
    <row r="4612">
      <c r="A4612">
        <f>IFERROR(INDEX('Email Cleaner'!$B$2:$B$10001,MATCH(4611,'Email Cleaner'!$I$2:$I$10001,0)),"")</f>
        <v/>
      </c>
    </row>
    <row r="4613">
      <c r="A4613">
        <f>IFERROR(INDEX('Email Cleaner'!$B$2:$B$10001,MATCH(4612,'Email Cleaner'!$I$2:$I$10001,0)),"")</f>
        <v/>
      </c>
    </row>
    <row r="4614">
      <c r="A4614">
        <f>IFERROR(INDEX('Email Cleaner'!$B$2:$B$10001,MATCH(4613,'Email Cleaner'!$I$2:$I$10001,0)),"")</f>
        <v/>
      </c>
    </row>
    <row r="4615">
      <c r="A4615">
        <f>IFERROR(INDEX('Email Cleaner'!$B$2:$B$10001,MATCH(4614,'Email Cleaner'!$I$2:$I$10001,0)),"")</f>
        <v/>
      </c>
    </row>
    <row r="4616">
      <c r="A4616">
        <f>IFERROR(INDEX('Email Cleaner'!$B$2:$B$10001,MATCH(4615,'Email Cleaner'!$I$2:$I$10001,0)),"")</f>
        <v/>
      </c>
    </row>
    <row r="4617">
      <c r="A4617">
        <f>IFERROR(INDEX('Email Cleaner'!$B$2:$B$10001,MATCH(4616,'Email Cleaner'!$I$2:$I$10001,0)),"")</f>
        <v/>
      </c>
    </row>
    <row r="4618">
      <c r="A4618">
        <f>IFERROR(INDEX('Email Cleaner'!$B$2:$B$10001,MATCH(4617,'Email Cleaner'!$I$2:$I$10001,0)),"")</f>
        <v/>
      </c>
    </row>
    <row r="4619">
      <c r="A4619">
        <f>IFERROR(INDEX('Email Cleaner'!$B$2:$B$10001,MATCH(4618,'Email Cleaner'!$I$2:$I$10001,0)),"")</f>
        <v/>
      </c>
    </row>
    <row r="4620">
      <c r="A4620">
        <f>IFERROR(INDEX('Email Cleaner'!$B$2:$B$10001,MATCH(4619,'Email Cleaner'!$I$2:$I$10001,0)),"")</f>
        <v/>
      </c>
    </row>
    <row r="4621">
      <c r="A4621">
        <f>IFERROR(INDEX('Email Cleaner'!$B$2:$B$10001,MATCH(4620,'Email Cleaner'!$I$2:$I$10001,0)),"")</f>
        <v/>
      </c>
    </row>
    <row r="4622">
      <c r="A4622">
        <f>IFERROR(INDEX('Email Cleaner'!$B$2:$B$10001,MATCH(4621,'Email Cleaner'!$I$2:$I$10001,0)),"")</f>
        <v/>
      </c>
    </row>
    <row r="4623">
      <c r="A4623">
        <f>IFERROR(INDEX('Email Cleaner'!$B$2:$B$10001,MATCH(4622,'Email Cleaner'!$I$2:$I$10001,0)),"")</f>
        <v/>
      </c>
    </row>
    <row r="4624">
      <c r="A4624">
        <f>IFERROR(INDEX('Email Cleaner'!$B$2:$B$10001,MATCH(4623,'Email Cleaner'!$I$2:$I$10001,0)),"")</f>
        <v/>
      </c>
    </row>
    <row r="4625">
      <c r="A4625">
        <f>IFERROR(INDEX('Email Cleaner'!$B$2:$B$10001,MATCH(4624,'Email Cleaner'!$I$2:$I$10001,0)),"")</f>
        <v/>
      </c>
    </row>
    <row r="4626">
      <c r="A4626">
        <f>IFERROR(INDEX('Email Cleaner'!$B$2:$B$10001,MATCH(4625,'Email Cleaner'!$I$2:$I$10001,0)),"")</f>
        <v/>
      </c>
    </row>
    <row r="4627">
      <c r="A4627">
        <f>IFERROR(INDEX('Email Cleaner'!$B$2:$B$10001,MATCH(4626,'Email Cleaner'!$I$2:$I$10001,0)),"")</f>
        <v/>
      </c>
    </row>
    <row r="4628">
      <c r="A4628">
        <f>IFERROR(INDEX('Email Cleaner'!$B$2:$B$10001,MATCH(4627,'Email Cleaner'!$I$2:$I$10001,0)),"")</f>
        <v/>
      </c>
    </row>
    <row r="4629">
      <c r="A4629">
        <f>IFERROR(INDEX('Email Cleaner'!$B$2:$B$10001,MATCH(4628,'Email Cleaner'!$I$2:$I$10001,0)),"")</f>
        <v/>
      </c>
    </row>
    <row r="4630">
      <c r="A4630">
        <f>IFERROR(INDEX('Email Cleaner'!$B$2:$B$10001,MATCH(4629,'Email Cleaner'!$I$2:$I$10001,0)),"")</f>
        <v/>
      </c>
    </row>
    <row r="4631">
      <c r="A4631">
        <f>IFERROR(INDEX('Email Cleaner'!$B$2:$B$10001,MATCH(4630,'Email Cleaner'!$I$2:$I$10001,0)),"")</f>
        <v/>
      </c>
    </row>
    <row r="4632">
      <c r="A4632">
        <f>IFERROR(INDEX('Email Cleaner'!$B$2:$B$10001,MATCH(4631,'Email Cleaner'!$I$2:$I$10001,0)),"")</f>
        <v/>
      </c>
    </row>
    <row r="4633">
      <c r="A4633">
        <f>IFERROR(INDEX('Email Cleaner'!$B$2:$B$10001,MATCH(4632,'Email Cleaner'!$I$2:$I$10001,0)),"")</f>
        <v/>
      </c>
    </row>
    <row r="4634">
      <c r="A4634">
        <f>IFERROR(INDEX('Email Cleaner'!$B$2:$B$10001,MATCH(4633,'Email Cleaner'!$I$2:$I$10001,0)),"")</f>
        <v/>
      </c>
    </row>
    <row r="4635">
      <c r="A4635">
        <f>IFERROR(INDEX('Email Cleaner'!$B$2:$B$10001,MATCH(4634,'Email Cleaner'!$I$2:$I$10001,0)),"")</f>
        <v/>
      </c>
    </row>
    <row r="4636">
      <c r="A4636">
        <f>IFERROR(INDEX('Email Cleaner'!$B$2:$B$10001,MATCH(4635,'Email Cleaner'!$I$2:$I$10001,0)),"")</f>
        <v/>
      </c>
    </row>
    <row r="4637">
      <c r="A4637">
        <f>IFERROR(INDEX('Email Cleaner'!$B$2:$B$10001,MATCH(4636,'Email Cleaner'!$I$2:$I$10001,0)),"")</f>
        <v/>
      </c>
    </row>
    <row r="4638">
      <c r="A4638">
        <f>IFERROR(INDEX('Email Cleaner'!$B$2:$B$10001,MATCH(4637,'Email Cleaner'!$I$2:$I$10001,0)),"")</f>
        <v/>
      </c>
    </row>
    <row r="4639">
      <c r="A4639">
        <f>IFERROR(INDEX('Email Cleaner'!$B$2:$B$10001,MATCH(4638,'Email Cleaner'!$I$2:$I$10001,0)),"")</f>
        <v/>
      </c>
    </row>
    <row r="4640">
      <c r="A4640">
        <f>IFERROR(INDEX('Email Cleaner'!$B$2:$B$10001,MATCH(4639,'Email Cleaner'!$I$2:$I$10001,0)),"")</f>
        <v/>
      </c>
    </row>
    <row r="4641">
      <c r="A4641">
        <f>IFERROR(INDEX('Email Cleaner'!$B$2:$B$10001,MATCH(4640,'Email Cleaner'!$I$2:$I$10001,0)),"")</f>
        <v/>
      </c>
    </row>
    <row r="4642">
      <c r="A4642">
        <f>IFERROR(INDEX('Email Cleaner'!$B$2:$B$10001,MATCH(4641,'Email Cleaner'!$I$2:$I$10001,0)),"")</f>
        <v/>
      </c>
    </row>
    <row r="4643">
      <c r="A4643">
        <f>IFERROR(INDEX('Email Cleaner'!$B$2:$B$10001,MATCH(4642,'Email Cleaner'!$I$2:$I$10001,0)),"")</f>
        <v/>
      </c>
    </row>
    <row r="4644">
      <c r="A4644">
        <f>IFERROR(INDEX('Email Cleaner'!$B$2:$B$10001,MATCH(4643,'Email Cleaner'!$I$2:$I$10001,0)),"")</f>
        <v/>
      </c>
    </row>
    <row r="4645">
      <c r="A4645">
        <f>IFERROR(INDEX('Email Cleaner'!$B$2:$B$10001,MATCH(4644,'Email Cleaner'!$I$2:$I$10001,0)),"")</f>
        <v/>
      </c>
    </row>
    <row r="4646">
      <c r="A4646">
        <f>IFERROR(INDEX('Email Cleaner'!$B$2:$B$10001,MATCH(4645,'Email Cleaner'!$I$2:$I$10001,0)),"")</f>
        <v/>
      </c>
    </row>
    <row r="4647">
      <c r="A4647">
        <f>IFERROR(INDEX('Email Cleaner'!$B$2:$B$10001,MATCH(4646,'Email Cleaner'!$I$2:$I$10001,0)),"")</f>
        <v/>
      </c>
    </row>
    <row r="4648">
      <c r="A4648">
        <f>IFERROR(INDEX('Email Cleaner'!$B$2:$B$10001,MATCH(4647,'Email Cleaner'!$I$2:$I$10001,0)),"")</f>
        <v/>
      </c>
    </row>
    <row r="4649">
      <c r="A4649">
        <f>IFERROR(INDEX('Email Cleaner'!$B$2:$B$10001,MATCH(4648,'Email Cleaner'!$I$2:$I$10001,0)),"")</f>
        <v/>
      </c>
    </row>
    <row r="4650">
      <c r="A4650">
        <f>IFERROR(INDEX('Email Cleaner'!$B$2:$B$10001,MATCH(4649,'Email Cleaner'!$I$2:$I$10001,0)),"")</f>
        <v/>
      </c>
    </row>
    <row r="4651">
      <c r="A4651">
        <f>IFERROR(INDEX('Email Cleaner'!$B$2:$B$10001,MATCH(4650,'Email Cleaner'!$I$2:$I$10001,0)),"")</f>
        <v/>
      </c>
    </row>
    <row r="4652">
      <c r="A4652">
        <f>IFERROR(INDEX('Email Cleaner'!$B$2:$B$10001,MATCH(4651,'Email Cleaner'!$I$2:$I$10001,0)),"")</f>
        <v/>
      </c>
    </row>
    <row r="4653">
      <c r="A4653">
        <f>IFERROR(INDEX('Email Cleaner'!$B$2:$B$10001,MATCH(4652,'Email Cleaner'!$I$2:$I$10001,0)),"")</f>
        <v/>
      </c>
    </row>
    <row r="4654">
      <c r="A4654">
        <f>IFERROR(INDEX('Email Cleaner'!$B$2:$B$10001,MATCH(4653,'Email Cleaner'!$I$2:$I$10001,0)),"")</f>
        <v/>
      </c>
    </row>
    <row r="4655">
      <c r="A4655">
        <f>IFERROR(INDEX('Email Cleaner'!$B$2:$B$10001,MATCH(4654,'Email Cleaner'!$I$2:$I$10001,0)),"")</f>
        <v/>
      </c>
    </row>
    <row r="4656">
      <c r="A4656">
        <f>IFERROR(INDEX('Email Cleaner'!$B$2:$B$10001,MATCH(4655,'Email Cleaner'!$I$2:$I$10001,0)),"")</f>
        <v/>
      </c>
    </row>
    <row r="4657">
      <c r="A4657">
        <f>IFERROR(INDEX('Email Cleaner'!$B$2:$B$10001,MATCH(4656,'Email Cleaner'!$I$2:$I$10001,0)),"")</f>
        <v/>
      </c>
    </row>
    <row r="4658">
      <c r="A4658">
        <f>IFERROR(INDEX('Email Cleaner'!$B$2:$B$10001,MATCH(4657,'Email Cleaner'!$I$2:$I$10001,0)),"")</f>
        <v/>
      </c>
    </row>
    <row r="4659">
      <c r="A4659">
        <f>IFERROR(INDEX('Email Cleaner'!$B$2:$B$10001,MATCH(4658,'Email Cleaner'!$I$2:$I$10001,0)),"")</f>
        <v/>
      </c>
    </row>
    <row r="4660">
      <c r="A4660">
        <f>IFERROR(INDEX('Email Cleaner'!$B$2:$B$10001,MATCH(4659,'Email Cleaner'!$I$2:$I$10001,0)),"")</f>
        <v/>
      </c>
    </row>
    <row r="4661">
      <c r="A4661">
        <f>IFERROR(INDEX('Email Cleaner'!$B$2:$B$10001,MATCH(4660,'Email Cleaner'!$I$2:$I$10001,0)),"")</f>
        <v/>
      </c>
    </row>
    <row r="4662">
      <c r="A4662">
        <f>IFERROR(INDEX('Email Cleaner'!$B$2:$B$10001,MATCH(4661,'Email Cleaner'!$I$2:$I$10001,0)),"")</f>
        <v/>
      </c>
    </row>
    <row r="4663">
      <c r="A4663">
        <f>IFERROR(INDEX('Email Cleaner'!$B$2:$B$10001,MATCH(4662,'Email Cleaner'!$I$2:$I$10001,0)),"")</f>
        <v/>
      </c>
    </row>
    <row r="4664">
      <c r="A4664">
        <f>IFERROR(INDEX('Email Cleaner'!$B$2:$B$10001,MATCH(4663,'Email Cleaner'!$I$2:$I$10001,0)),"")</f>
        <v/>
      </c>
    </row>
    <row r="4665">
      <c r="A4665">
        <f>IFERROR(INDEX('Email Cleaner'!$B$2:$B$10001,MATCH(4664,'Email Cleaner'!$I$2:$I$10001,0)),"")</f>
        <v/>
      </c>
    </row>
    <row r="4666">
      <c r="A4666">
        <f>IFERROR(INDEX('Email Cleaner'!$B$2:$B$10001,MATCH(4665,'Email Cleaner'!$I$2:$I$10001,0)),"")</f>
        <v/>
      </c>
    </row>
    <row r="4667">
      <c r="A4667">
        <f>IFERROR(INDEX('Email Cleaner'!$B$2:$B$10001,MATCH(4666,'Email Cleaner'!$I$2:$I$10001,0)),"")</f>
        <v/>
      </c>
    </row>
    <row r="4668">
      <c r="A4668">
        <f>IFERROR(INDEX('Email Cleaner'!$B$2:$B$10001,MATCH(4667,'Email Cleaner'!$I$2:$I$10001,0)),"")</f>
        <v/>
      </c>
    </row>
    <row r="4669">
      <c r="A4669">
        <f>IFERROR(INDEX('Email Cleaner'!$B$2:$B$10001,MATCH(4668,'Email Cleaner'!$I$2:$I$10001,0)),"")</f>
        <v/>
      </c>
    </row>
    <row r="4670">
      <c r="A4670">
        <f>IFERROR(INDEX('Email Cleaner'!$B$2:$B$10001,MATCH(4669,'Email Cleaner'!$I$2:$I$10001,0)),"")</f>
        <v/>
      </c>
    </row>
    <row r="4671">
      <c r="A4671">
        <f>IFERROR(INDEX('Email Cleaner'!$B$2:$B$10001,MATCH(4670,'Email Cleaner'!$I$2:$I$10001,0)),"")</f>
        <v/>
      </c>
    </row>
    <row r="4672">
      <c r="A4672">
        <f>IFERROR(INDEX('Email Cleaner'!$B$2:$B$10001,MATCH(4671,'Email Cleaner'!$I$2:$I$10001,0)),"")</f>
        <v/>
      </c>
    </row>
    <row r="4673">
      <c r="A4673">
        <f>IFERROR(INDEX('Email Cleaner'!$B$2:$B$10001,MATCH(4672,'Email Cleaner'!$I$2:$I$10001,0)),"")</f>
        <v/>
      </c>
    </row>
    <row r="4674">
      <c r="A4674">
        <f>IFERROR(INDEX('Email Cleaner'!$B$2:$B$10001,MATCH(4673,'Email Cleaner'!$I$2:$I$10001,0)),"")</f>
        <v/>
      </c>
    </row>
    <row r="4675">
      <c r="A4675">
        <f>IFERROR(INDEX('Email Cleaner'!$B$2:$B$10001,MATCH(4674,'Email Cleaner'!$I$2:$I$10001,0)),"")</f>
        <v/>
      </c>
    </row>
    <row r="4676">
      <c r="A4676">
        <f>IFERROR(INDEX('Email Cleaner'!$B$2:$B$10001,MATCH(4675,'Email Cleaner'!$I$2:$I$10001,0)),"")</f>
        <v/>
      </c>
    </row>
    <row r="4677">
      <c r="A4677">
        <f>IFERROR(INDEX('Email Cleaner'!$B$2:$B$10001,MATCH(4676,'Email Cleaner'!$I$2:$I$10001,0)),"")</f>
        <v/>
      </c>
    </row>
    <row r="4678">
      <c r="A4678">
        <f>IFERROR(INDEX('Email Cleaner'!$B$2:$B$10001,MATCH(4677,'Email Cleaner'!$I$2:$I$10001,0)),"")</f>
        <v/>
      </c>
    </row>
    <row r="4679">
      <c r="A4679">
        <f>IFERROR(INDEX('Email Cleaner'!$B$2:$B$10001,MATCH(4678,'Email Cleaner'!$I$2:$I$10001,0)),"")</f>
        <v/>
      </c>
    </row>
    <row r="4680">
      <c r="A4680">
        <f>IFERROR(INDEX('Email Cleaner'!$B$2:$B$10001,MATCH(4679,'Email Cleaner'!$I$2:$I$10001,0)),"")</f>
        <v/>
      </c>
    </row>
    <row r="4681">
      <c r="A4681">
        <f>IFERROR(INDEX('Email Cleaner'!$B$2:$B$10001,MATCH(4680,'Email Cleaner'!$I$2:$I$10001,0)),"")</f>
        <v/>
      </c>
    </row>
    <row r="4682">
      <c r="A4682">
        <f>IFERROR(INDEX('Email Cleaner'!$B$2:$B$10001,MATCH(4681,'Email Cleaner'!$I$2:$I$10001,0)),"")</f>
        <v/>
      </c>
    </row>
    <row r="4683">
      <c r="A4683">
        <f>IFERROR(INDEX('Email Cleaner'!$B$2:$B$10001,MATCH(4682,'Email Cleaner'!$I$2:$I$10001,0)),"")</f>
        <v/>
      </c>
    </row>
    <row r="4684">
      <c r="A4684">
        <f>IFERROR(INDEX('Email Cleaner'!$B$2:$B$10001,MATCH(4683,'Email Cleaner'!$I$2:$I$10001,0)),"")</f>
        <v/>
      </c>
    </row>
    <row r="4685">
      <c r="A4685">
        <f>IFERROR(INDEX('Email Cleaner'!$B$2:$B$10001,MATCH(4684,'Email Cleaner'!$I$2:$I$10001,0)),"")</f>
        <v/>
      </c>
    </row>
    <row r="4686">
      <c r="A4686">
        <f>IFERROR(INDEX('Email Cleaner'!$B$2:$B$10001,MATCH(4685,'Email Cleaner'!$I$2:$I$10001,0)),"")</f>
        <v/>
      </c>
    </row>
    <row r="4687">
      <c r="A4687">
        <f>IFERROR(INDEX('Email Cleaner'!$B$2:$B$10001,MATCH(4686,'Email Cleaner'!$I$2:$I$10001,0)),"")</f>
        <v/>
      </c>
    </row>
    <row r="4688">
      <c r="A4688">
        <f>IFERROR(INDEX('Email Cleaner'!$B$2:$B$10001,MATCH(4687,'Email Cleaner'!$I$2:$I$10001,0)),"")</f>
        <v/>
      </c>
    </row>
    <row r="4689">
      <c r="A4689">
        <f>IFERROR(INDEX('Email Cleaner'!$B$2:$B$10001,MATCH(4688,'Email Cleaner'!$I$2:$I$10001,0)),"")</f>
        <v/>
      </c>
    </row>
    <row r="4690">
      <c r="A4690">
        <f>IFERROR(INDEX('Email Cleaner'!$B$2:$B$10001,MATCH(4689,'Email Cleaner'!$I$2:$I$10001,0)),"")</f>
        <v/>
      </c>
    </row>
    <row r="4691">
      <c r="A4691">
        <f>IFERROR(INDEX('Email Cleaner'!$B$2:$B$10001,MATCH(4690,'Email Cleaner'!$I$2:$I$10001,0)),"")</f>
        <v/>
      </c>
    </row>
    <row r="4692">
      <c r="A4692">
        <f>IFERROR(INDEX('Email Cleaner'!$B$2:$B$10001,MATCH(4691,'Email Cleaner'!$I$2:$I$10001,0)),"")</f>
        <v/>
      </c>
    </row>
    <row r="4693">
      <c r="A4693">
        <f>IFERROR(INDEX('Email Cleaner'!$B$2:$B$10001,MATCH(4692,'Email Cleaner'!$I$2:$I$10001,0)),"")</f>
        <v/>
      </c>
    </row>
    <row r="4694">
      <c r="A4694">
        <f>IFERROR(INDEX('Email Cleaner'!$B$2:$B$10001,MATCH(4693,'Email Cleaner'!$I$2:$I$10001,0)),"")</f>
        <v/>
      </c>
    </row>
    <row r="4695">
      <c r="A4695">
        <f>IFERROR(INDEX('Email Cleaner'!$B$2:$B$10001,MATCH(4694,'Email Cleaner'!$I$2:$I$10001,0)),"")</f>
        <v/>
      </c>
    </row>
    <row r="4696">
      <c r="A4696">
        <f>IFERROR(INDEX('Email Cleaner'!$B$2:$B$10001,MATCH(4695,'Email Cleaner'!$I$2:$I$10001,0)),"")</f>
        <v/>
      </c>
    </row>
    <row r="4697">
      <c r="A4697">
        <f>IFERROR(INDEX('Email Cleaner'!$B$2:$B$10001,MATCH(4696,'Email Cleaner'!$I$2:$I$10001,0)),"")</f>
        <v/>
      </c>
    </row>
    <row r="4698">
      <c r="A4698">
        <f>IFERROR(INDEX('Email Cleaner'!$B$2:$B$10001,MATCH(4697,'Email Cleaner'!$I$2:$I$10001,0)),"")</f>
        <v/>
      </c>
    </row>
    <row r="4699">
      <c r="A4699">
        <f>IFERROR(INDEX('Email Cleaner'!$B$2:$B$10001,MATCH(4698,'Email Cleaner'!$I$2:$I$10001,0)),"")</f>
        <v/>
      </c>
    </row>
    <row r="4700">
      <c r="A4700">
        <f>IFERROR(INDEX('Email Cleaner'!$B$2:$B$10001,MATCH(4699,'Email Cleaner'!$I$2:$I$10001,0)),"")</f>
        <v/>
      </c>
    </row>
    <row r="4701">
      <c r="A4701">
        <f>IFERROR(INDEX('Email Cleaner'!$B$2:$B$10001,MATCH(4700,'Email Cleaner'!$I$2:$I$10001,0)),"")</f>
        <v/>
      </c>
    </row>
    <row r="4702">
      <c r="A4702">
        <f>IFERROR(INDEX('Email Cleaner'!$B$2:$B$10001,MATCH(4701,'Email Cleaner'!$I$2:$I$10001,0)),"")</f>
        <v/>
      </c>
    </row>
    <row r="4703">
      <c r="A4703">
        <f>IFERROR(INDEX('Email Cleaner'!$B$2:$B$10001,MATCH(4702,'Email Cleaner'!$I$2:$I$10001,0)),"")</f>
        <v/>
      </c>
    </row>
    <row r="4704">
      <c r="A4704">
        <f>IFERROR(INDEX('Email Cleaner'!$B$2:$B$10001,MATCH(4703,'Email Cleaner'!$I$2:$I$10001,0)),"")</f>
        <v/>
      </c>
    </row>
    <row r="4705">
      <c r="A4705">
        <f>IFERROR(INDEX('Email Cleaner'!$B$2:$B$10001,MATCH(4704,'Email Cleaner'!$I$2:$I$10001,0)),"")</f>
        <v/>
      </c>
    </row>
    <row r="4706">
      <c r="A4706">
        <f>IFERROR(INDEX('Email Cleaner'!$B$2:$B$10001,MATCH(4705,'Email Cleaner'!$I$2:$I$10001,0)),"")</f>
        <v/>
      </c>
    </row>
    <row r="4707">
      <c r="A4707">
        <f>IFERROR(INDEX('Email Cleaner'!$B$2:$B$10001,MATCH(4706,'Email Cleaner'!$I$2:$I$10001,0)),"")</f>
        <v/>
      </c>
    </row>
    <row r="4708">
      <c r="A4708">
        <f>IFERROR(INDEX('Email Cleaner'!$B$2:$B$10001,MATCH(4707,'Email Cleaner'!$I$2:$I$10001,0)),"")</f>
        <v/>
      </c>
    </row>
    <row r="4709">
      <c r="A4709">
        <f>IFERROR(INDEX('Email Cleaner'!$B$2:$B$10001,MATCH(4708,'Email Cleaner'!$I$2:$I$10001,0)),"")</f>
        <v/>
      </c>
    </row>
    <row r="4710">
      <c r="A4710">
        <f>IFERROR(INDEX('Email Cleaner'!$B$2:$B$10001,MATCH(4709,'Email Cleaner'!$I$2:$I$10001,0)),"")</f>
        <v/>
      </c>
    </row>
    <row r="4711">
      <c r="A4711">
        <f>IFERROR(INDEX('Email Cleaner'!$B$2:$B$10001,MATCH(4710,'Email Cleaner'!$I$2:$I$10001,0)),"")</f>
        <v/>
      </c>
    </row>
    <row r="4712">
      <c r="A4712">
        <f>IFERROR(INDEX('Email Cleaner'!$B$2:$B$10001,MATCH(4711,'Email Cleaner'!$I$2:$I$10001,0)),"")</f>
        <v/>
      </c>
    </row>
    <row r="4713">
      <c r="A4713">
        <f>IFERROR(INDEX('Email Cleaner'!$B$2:$B$10001,MATCH(4712,'Email Cleaner'!$I$2:$I$10001,0)),"")</f>
        <v/>
      </c>
    </row>
    <row r="4714">
      <c r="A4714">
        <f>IFERROR(INDEX('Email Cleaner'!$B$2:$B$10001,MATCH(4713,'Email Cleaner'!$I$2:$I$10001,0)),"")</f>
        <v/>
      </c>
    </row>
    <row r="4715">
      <c r="A4715">
        <f>IFERROR(INDEX('Email Cleaner'!$B$2:$B$10001,MATCH(4714,'Email Cleaner'!$I$2:$I$10001,0)),"")</f>
        <v/>
      </c>
    </row>
    <row r="4716">
      <c r="A4716">
        <f>IFERROR(INDEX('Email Cleaner'!$B$2:$B$10001,MATCH(4715,'Email Cleaner'!$I$2:$I$10001,0)),"")</f>
        <v/>
      </c>
    </row>
    <row r="4717">
      <c r="A4717">
        <f>IFERROR(INDEX('Email Cleaner'!$B$2:$B$10001,MATCH(4716,'Email Cleaner'!$I$2:$I$10001,0)),"")</f>
        <v/>
      </c>
    </row>
    <row r="4718">
      <c r="A4718">
        <f>IFERROR(INDEX('Email Cleaner'!$B$2:$B$10001,MATCH(4717,'Email Cleaner'!$I$2:$I$10001,0)),"")</f>
        <v/>
      </c>
    </row>
    <row r="4719">
      <c r="A4719">
        <f>IFERROR(INDEX('Email Cleaner'!$B$2:$B$10001,MATCH(4718,'Email Cleaner'!$I$2:$I$10001,0)),"")</f>
        <v/>
      </c>
    </row>
    <row r="4720">
      <c r="A4720">
        <f>IFERROR(INDEX('Email Cleaner'!$B$2:$B$10001,MATCH(4719,'Email Cleaner'!$I$2:$I$10001,0)),"")</f>
        <v/>
      </c>
    </row>
    <row r="4721">
      <c r="A4721">
        <f>IFERROR(INDEX('Email Cleaner'!$B$2:$B$10001,MATCH(4720,'Email Cleaner'!$I$2:$I$10001,0)),"")</f>
        <v/>
      </c>
    </row>
    <row r="4722">
      <c r="A4722">
        <f>IFERROR(INDEX('Email Cleaner'!$B$2:$B$10001,MATCH(4721,'Email Cleaner'!$I$2:$I$10001,0)),"")</f>
        <v/>
      </c>
    </row>
    <row r="4723">
      <c r="A4723">
        <f>IFERROR(INDEX('Email Cleaner'!$B$2:$B$10001,MATCH(4722,'Email Cleaner'!$I$2:$I$10001,0)),"")</f>
        <v/>
      </c>
    </row>
    <row r="4724">
      <c r="A4724">
        <f>IFERROR(INDEX('Email Cleaner'!$B$2:$B$10001,MATCH(4723,'Email Cleaner'!$I$2:$I$10001,0)),"")</f>
        <v/>
      </c>
    </row>
    <row r="4725">
      <c r="A4725">
        <f>IFERROR(INDEX('Email Cleaner'!$B$2:$B$10001,MATCH(4724,'Email Cleaner'!$I$2:$I$10001,0)),"")</f>
        <v/>
      </c>
    </row>
    <row r="4726">
      <c r="A4726">
        <f>IFERROR(INDEX('Email Cleaner'!$B$2:$B$10001,MATCH(4725,'Email Cleaner'!$I$2:$I$10001,0)),"")</f>
        <v/>
      </c>
    </row>
    <row r="4727">
      <c r="A4727">
        <f>IFERROR(INDEX('Email Cleaner'!$B$2:$B$10001,MATCH(4726,'Email Cleaner'!$I$2:$I$10001,0)),"")</f>
        <v/>
      </c>
    </row>
    <row r="4728">
      <c r="A4728">
        <f>IFERROR(INDEX('Email Cleaner'!$B$2:$B$10001,MATCH(4727,'Email Cleaner'!$I$2:$I$10001,0)),"")</f>
        <v/>
      </c>
    </row>
    <row r="4729">
      <c r="A4729">
        <f>IFERROR(INDEX('Email Cleaner'!$B$2:$B$10001,MATCH(4728,'Email Cleaner'!$I$2:$I$10001,0)),"")</f>
        <v/>
      </c>
    </row>
    <row r="4730">
      <c r="A4730">
        <f>IFERROR(INDEX('Email Cleaner'!$B$2:$B$10001,MATCH(4729,'Email Cleaner'!$I$2:$I$10001,0)),"")</f>
        <v/>
      </c>
    </row>
    <row r="4731">
      <c r="A4731">
        <f>IFERROR(INDEX('Email Cleaner'!$B$2:$B$10001,MATCH(4730,'Email Cleaner'!$I$2:$I$10001,0)),"")</f>
        <v/>
      </c>
    </row>
    <row r="4732">
      <c r="A4732">
        <f>IFERROR(INDEX('Email Cleaner'!$B$2:$B$10001,MATCH(4731,'Email Cleaner'!$I$2:$I$10001,0)),"")</f>
        <v/>
      </c>
    </row>
    <row r="4733">
      <c r="A4733">
        <f>IFERROR(INDEX('Email Cleaner'!$B$2:$B$10001,MATCH(4732,'Email Cleaner'!$I$2:$I$10001,0)),"")</f>
        <v/>
      </c>
    </row>
    <row r="4734">
      <c r="A4734">
        <f>IFERROR(INDEX('Email Cleaner'!$B$2:$B$10001,MATCH(4733,'Email Cleaner'!$I$2:$I$10001,0)),"")</f>
        <v/>
      </c>
    </row>
    <row r="4735">
      <c r="A4735">
        <f>IFERROR(INDEX('Email Cleaner'!$B$2:$B$10001,MATCH(4734,'Email Cleaner'!$I$2:$I$10001,0)),"")</f>
        <v/>
      </c>
    </row>
    <row r="4736">
      <c r="A4736">
        <f>IFERROR(INDEX('Email Cleaner'!$B$2:$B$10001,MATCH(4735,'Email Cleaner'!$I$2:$I$10001,0)),"")</f>
        <v/>
      </c>
    </row>
    <row r="4737">
      <c r="A4737">
        <f>IFERROR(INDEX('Email Cleaner'!$B$2:$B$10001,MATCH(4736,'Email Cleaner'!$I$2:$I$10001,0)),"")</f>
        <v/>
      </c>
    </row>
    <row r="4738">
      <c r="A4738">
        <f>IFERROR(INDEX('Email Cleaner'!$B$2:$B$10001,MATCH(4737,'Email Cleaner'!$I$2:$I$10001,0)),"")</f>
        <v/>
      </c>
    </row>
    <row r="4739">
      <c r="A4739">
        <f>IFERROR(INDEX('Email Cleaner'!$B$2:$B$10001,MATCH(4738,'Email Cleaner'!$I$2:$I$10001,0)),"")</f>
        <v/>
      </c>
    </row>
    <row r="4740">
      <c r="A4740">
        <f>IFERROR(INDEX('Email Cleaner'!$B$2:$B$10001,MATCH(4739,'Email Cleaner'!$I$2:$I$10001,0)),"")</f>
        <v/>
      </c>
    </row>
    <row r="4741">
      <c r="A4741">
        <f>IFERROR(INDEX('Email Cleaner'!$B$2:$B$10001,MATCH(4740,'Email Cleaner'!$I$2:$I$10001,0)),"")</f>
        <v/>
      </c>
    </row>
    <row r="4742">
      <c r="A4742">
        <f>IFERROR(INDEX('Email Cleaner'!$B$2:$B$10001,MATCH(4741,'Email Cleaner'!$I$2:$I$10001,0)),"")</f>
        <v/>
      </c>
    </row>
    <row r="4743">
      <c r="A4743">
        <f>IFERROR(INDEX('Email Cleaner'!$B$2:$B$10001,MATCH(4742,'Email Cleaner'!$I$2:$I$10001,0)),"")</f>
        <v/>
      </c>
    </row>
    <row r="4744">
      <c r="A4744">
        <f>IFERROR(INDEX('Email Cleaner'!$B$2:$B$10001,MATCH(4743,'Email Cleaner'!$I$2:$I$10001,0)),"")</f>
        <v/>
      </c>
    </row>
    <row r="4745">
      <c r="A4745">
        <f>IFERROR(INDEX('Email Cleaner'!$B$2:$B$10001,MATCH(4744,'Email Cleaner'!$I$2:$I$10001,0)),"")</f>
        <v/>
      </c>
    </row>
    <row r="4746">
      <c r="A4746">
        <f>IFERROR(INDEX('Email Cleaner'!$B$2:$B$10001,MATCH(4745,'Email Cleaner'!$I$2:$I$10001,0)),"")</f>
        <v/>
      </c>
    </row>
    <row r="4747">
      <c r="A4747">
        <f>IFERROR(INDEX('Email Cleaner'!$B$2:$B$10001,MATCH(4746,'Email Cleaner'!$I$2:$I$10001,0)),"")</f>
        <v/>
      </c>
    </row>
    <row r="4748">
      <c r="A4748">
        <f>IFERROR(INDEX('Email Cleaner'!$B$2:$B$10001,MATCH(4747,'Email Cleaner'!$I$2:$I$10001,0)),"")</f>
        <v/>
      </c>
    </row>
    <row r="4749">
      <c r="A4749">
        <f>IFERROR(INDEX('Email Cleaner'!$B$2:$B$10001,MATCH(4748,'Email Cleaner'!$I$2:$I$10001,0)),"")</f>
        <v/>
      </c>
    </row>
    <row r="4750">
      <c r="A4750">
        <f>IFERROR(INDEX('Email Cleaner'!$B$2:$B$10001,MATCH(4749,'Email Cleaner'!$I$2:$I$10001,0)),"")</f>
        <v/>
      </c>
    </row>
    <row r="4751">
      <c r="A4751">
        <f>IFERROR(INDEX('Email Cleaner'!$B$2:$B$10001,MATCH(4750,'Email Cleaner'!$I$2:$I$10001,0)),"")</f>
        <v/>
      </c>
    </row>
    <row r="4752">
      <c r="A4752">
        <f>IFERROR(INDEX('Email Cleaner'!$B$2:$B$10001,MATCH(4751,'Email Cleaner'!$I$2:$I$10001,0)),"")</f>
        <v/>
      </c>
    </row>
    <row r="4753">
      <c r="A4753">
        <f>IFERROR(INDEX('Email Cleaner'!$B$2:$B$10001,MATCH(4752,'Email Cleaner'!$I$2:$I$10001,0)),"")</f>
        <v/>
      </c>
    </row>
    <row r="4754">
      <c r="A4754">
        <f>IFERROR(INDEX('Email Cleaner'!$B$2:$B$10001,MATCH(4753,'Email Cleaner'!$I$2:$I$10001,0)),"")</f>
        <v/>
      </c>
    </row>
    <row r="4755">
      <c r="A4755">
        <f>IFERROR(INDEX('Email Cleaner'!$B$2:$B$10001,MATCH(4754,'Email Cleaner'!$I$2:$I$10001,0)),"")</f>
        <v/>
      </c>
    </row>
    <row r="4756">
      <c r="A4756">
        <f>IFERROR(INDEX('Email Cleaner'!$B$2:$B$10001,MATCH(4755,'Email Cleaner'!$I$2:$I$10001,0)),"")</f>
        <v/>
      </c>
    </row>
    <row r="4757">
      <c r="A4757">
        <f>IFERROR(INDEX('Email Cleaner'!$B$2:$B$10001,MATCH(4756,'Email Cleaner'!$I$2:$I$10001,0)),"")</f>
        <v/>
      </c>
    </row>
    <row r="4758">
      <c r="A4758">
        <f>IFERROR(INDEX('Email Cleaner'!$B$2:$B$10001,MATCH(4757,'Email Cleaner'!$I$2:$I$10001,0)),"")</f>
        <v/>
      </c>
    </row>
    <row r="4759">
      <c r="A4759">
        <f>IFERROR(INDEX('Email Cleaner'!$B$2:$B$10001,MATCH(4758,'Email Cleaner'!$I$2:$I$10001,0)),"")</f>
        <v/>
      </c>
    </row>
    <row r="4760">
      <c r="A4760">
        <f>IFERROR(INDEX('Email Cleaner'!$B$2:$B$10001,MATCH(4759,'Email Cleaner'!$I$2:$I$10001,0)),"")</f>
        <v/>
      </c>
    </row>
    <row r="4761">
      <c r="A4761">
        <f>IFERROR(INDEX('Email Cleaner'!$B$2:$B$10001,MATCH(4760,'Email Cleaner'!$I$2:$I$10001,0)),"")</f>
        <v/>
      </c>
    </row>
    <row r="4762">
      <c r="A4762">
        <f>IFERROR(INDEX('Email Cleaner'!$B$2:$B$10001,MATCH(4761,'Email Cleaner'!$I$2:$I$10001,0)),"")</f>
        <v/>
      </c>
    </row>
    <row r="4763">
      <c r="A4763">
        <f>IFERROR(INDEX('Email Cleaner'!$B$2:$B$10001,MATCH(4762,'Email Cleaner'!$I$2:$I$10001,0)),"")</f>
        <v/>
      </c>
    </row>
    <row r="4764">
      <c r="A4764">
        <f>IFERROR(INDEX('Email Cleaner'!$B$2:$B$10001,MATCH(4763,'Email Cleaner'!$I$2:$I$10001,0)),"")</f>
        <v/>
      </c>
    </row>
    <row r="4765">
      <c r="A4765">
        <f>IFERROR(INDEX('Email Cleaner'!$B$2:$B$10001,MATCH(4764,'Email Cleaner'!$I$2:$I$10001,0)),"")</f>
        <v/>
      </c>
    </row>
    <row r="4766">
      <c r="A4766">
        <f>IFERROR(INDEX('Email Cleaner'!$B$2:$B$10001,MATCH(4765,'Email Cleaner'!$I$2:$I$10001,0)),"")</f>
        <v/>
      </c>
    </row>
    <row r="4767">
      <c r="A4767">
        <f>IFERROR(INDEX('Email Cleaner'!$B$2:$B$10001,MATCH(4766,'Email Cleaner'!$I$2:$I$10001,0)),"")</f>
        <v/>
      </c>
    </row>
    <row r="4768">
      <c r="A4768">
        <f>IFERROR(INDEX('Email Cleaner'!$B$2:$B$10001,MATCH(4767,'Email Cleaner'!$I$2:$I$10001,0)),"")</f>
        <v/>
      </c>
    </row>
    <row r="4769">
      <c r="A4769">
        <f>IFERROR(INDEX('Email Cleaner'!$B$2:$B$10001,MATCH(4768,'Email Cleaner'!$I$2:$I$10001,0)),"")</f>
        <v/>
      </c>
    </row>
    <row r="4770">
      <c r="A4770">
        <f>IFERROR(INDEX('Email Cleaner'!$B$2:$B$10001,MATCH(4769,'Email Cleaner'!$I$2:$I$10001,0)),"")</f>
        <v/>
      </c>
    </row>
    <row r="4771">
      <c r="A4771">
        <f>IFERROR(INDEX('Email Cleaner'!$B$2:$B$10001,MATCH(4770,'Email Cleaner'!$I$2:$I$10001,0)),"")</f>
        <v/>
      </c>
    </row>
    <row r="4772">
      <c r="A4772">
        <f>IFERROR(INDEX('Email Cleaner'!$B$2:$B$10001,MATCH(4771,'Email Cleaner'!$I$2:$I$10001,0)),"")</f>
        <v/>
      </c>
    </row>
    <row r="4773">
      <c r="A4773">
        <f>IFERROR(INDEX('Email Cleaner'!$B$2:$B$10001,MATCH(4772,'Email Cleaner'!$I$2:$I$10001,0)),"")</f>
        <v/>
      </c>
    </row>
    <row r="4774">
      <c r="A4774">
        <f>IFERROR(INDEX('Email Cleaner'!$B$2:$B$10001,MATCH(4773,'Email Cleaner'!$I$2:$I$10001,0)),"")</f>
        <v/>
      </c>
    </row>
    <row r="4775">
      <c r="A4775">
        <f>IFERROR(INDEX('Email Cleaner'!$B$2:$B$10001,MATCH(4774,'Email Cleaner'!$I$2:$I$10001,0)),"")</f>
        <v/>
      </c>
    </row>
    <row r="4776">
      <c r="A4776">
        <f>IFERROR(INDEX('Email Cleaner'!$B$2:$B$10001,MATCH(4775,'Email Cleaner'!$I$2:$I$10001,0)),"")</f>
        <v/>
      </c>
    </row>
    <row r="4777">
      <c r="A4777">
        <f>IFERROR(INDEX('Email Cleaner'!$B$2:$B$10001,MATCH(4776,'Email Cleaner'!$I$2:$I$10001,0)),"")</f>
        <v/>
      </c>
    </row>
    <row r="4778">
      <c r="A4778">
        <f>IFERROR(INDEX('Email Cleaner'!$B$2:$B$10001,MATCH(4777,'Email Cleaner'!$I$2:$I$10001,0)),"")</f>
        <v/>
      </c>
    </row>
    <row r="4779">
      <c r="A4779">
        <f>IFERROR(INDEX('Email Cleaner'!$B$2:$B$10001,MATCH(4778,'Email Cleaner'!$I$2:$I$10001,0)),"")</f>
        <v/>
      </c>
    </row>
    <row r="4780">
      <c r="A4780">
        <f>IFERROR(INDEX('Email Cleaner'!$B$2:$B$10001,MATCH(4779,'Email Cleaner'!$I$2:$I$10001,0)),"")</f>
        <v/>
      </c>
    </row>
    <row r="4781">
      <c r="A4781">
        <f>IFERROR(INDEX('Email Cleaner'!$B$2:$B$10001,MATCH(4780,'Email Cleaner'!$I$2:$I$10001,0)),"")</f>
        <v/>
      </c>
    </row>
    <row r="4782">
      <c r="A4782">
        <f>IFERROR(INDEX('Email Cleaner'!$B$2:$B$10001,MATCH(4781,'Email Cleaner'!$I$2:$I$10001,0)),"")</f>
        <v/>
      </c>
    </row>
    <row r="4783">
      <c r="A4783">
        <f>IFERROR(INDEX('Email Cleaner'!$B$2:$B$10001,MATCH(4782,'Email Cleaner'!$I$2:$I$10001,0)),"")</f>
        <v/>
      </c>
    </row>
    <row r="4784">
      <c r="A4784">
        <f>IFERROR(INDEX('Email Cleaner'!$B$2:$B$10001,MATCH(4783,'Email Cleaner'!$I$2:$I$10001,0)),"")</f>
        <v/>
      </c>
    </row>
    <row r="4785">
      <c r="A4785">
        <f>IFERROR(INDEX('Email Cleaner'!$B$2:$B$10001,MATCH(4784,'Email Cleaner'!$I$2:$I$10001,0)),"")</f>
        <v/>
      </c>
    </row>
    <row r="4786">
      <c r="A4786">
        <f>IFERROR(INDEX('Email Cleaner'!$B$2:$B$10001,MATCH(4785,'Email Cleaner'!$I$2:$I$10001,0)),"")</f>
        <v/>
      </c>
    </row>
    <row r="4787">
      <c r="A4787">
        <f>IFERROR(INDEX('Email Cleaner'!$B$2:$B$10001,MATCH(4786,'Email Cleaner'!$I$2:$I$10001,0)),"")</f>
        <v/>
      </c>
    </row>
    <row r="4788">
      <c r="A4788">
        <f>IFERROR(INDEX('Email Cleaner'!$B$2:$B$10001,MATCH(4787,'Email Cleaner'!$I$2:$I$10001,0)),"")</f>
        <v/>
      </c>
    </row>
    <row r="4789">
      <c r="A4789">
        <f>IFERROR(INDEX('Email Cleaner'!$B$2:$B$10001,MATCH(4788,'Email Cleaner'!$I$2:$I$10001,0)),"")</f>
        <v/>
      </c>
    </row>
    <row r="4790">
      <c r="A4790">
        <f>IFERROR(INDEX('Email Cleaner'!$B$2:$B$10001,MATCH(4789,'Email Cleaner'!$I$2:$I$10001,0)),"")</f>
        <v/>
      </c>
    </row>
    <row r="4791">
      <c r="A4791">
        <f>IFERROR(INDEX('Email Cleaner'!$B$2:$B$10001,MATCH(4790,'Email Cleaner'!$I$2:$I$10001,0)),"")</f>
        <v/>
      </c>
    </row>
    <row r="4792">
      <c r="A4792">
        <f>IFERROR(INDEX('Email Cleaner'!$B$2:$B$10001,MATCH(4791,'Email Cleaner'!$I$2:$I$10001,0)),"")</f>
        <v/>
      </c>
    </row>
    <row r="4793">
      <c r="A4793">
        <f>IFERROR(INDEX('Email Cleaner'!$B$2:$B$10001,MATCH(4792,'Email Cleaner'!$I$2:$I$10001,0)),"")</f>
        <v/>
      </c>
    </row>
    <row r="4794">
      <c r="A4794">
        <f>IFERROR(INDEX('Email Cleaner'!$B$2:$B$10001,MATCH(4793,'Email Cleaner'!$I$2:$I$10001,0)),"")</f>
        <v/>
      </c>
    </row>
    <row r="4795">
      <c r="A4795">
        <f>IFERROR(INDEX('Email Cleaner'!$B$2:$B$10001,MATCH(4794,'Email Cleaner'!$I$2:$I$10001,0)),"")</f>
        <v/>
      </c>
    </row>
    <row r="4796">
      <c r="A4796">
        <f>IFERROR(INDEX('Email Cleaner'!$B$2:$B$10001,MATCH(4795,'Email Cleaner'!$I$2:$I$10001,0)),"")</f>
        <v/>
      </c>
    </row>
    <row r="4797">
      <c r="A4797">
        <f>IFERROR(INDEX('Email Cleaner'!$B$2:$B$10001,MATCH(4796,'Email Cleaner'!$I$2:$I$10001,0)),"")</f>
        <v/>
      </c>
    </row>
    <row r="4798">
      <c r="A4798">
        <f>IFERROR(INDEX('Email Cleaner'!$B$2:$B$10001,MATCH(4797,'Email Cleaner'!$I$2:$I$10001,0)),"")</f>
        <v/>
      </c>
    </row>
    <row r="4799">
      <c r="A4799">
        <f>IFERROR(INDEX('Email Cleaner'!$B$2:$B$10001,MATCH(4798,'Email Cleaner'!$I$2:$I$10001,0)),"")</f>
        <v/>
      </c>
    </row>
    <row r="4800">
      <c r="A4800">
        <f>IFERROR(INDEX('Email Cleaner'!$B$2:$B$10001,MATCH(4799,'Email Cleaner'!$I$2:$I$10001,0)),"")</f>
        <v/>
      </c>
    </row>
    <row r="4801">
      <c r="A4801">
        <f>IFERROR(INDEX('Email Cleaner'!$B$2:$B$10001,MATCH(4800,'Email Cleaner'!$I$2:$I$10001,0)),"")</f>
        <v/>
      </c>
    </row>
    <row r="4802">
      <c r="A4802">
        <f>IFERROR(INDEX('Email Cleaner'!$B$2:$B$10001,MATCH(4801,'Email Cleaner'!$I$2:$I$10001,0)),"")</f>
        <v/>
      </c>
    </row>
    <row r="4803">
      <c r="A4803">
        <f>IFERROR(INDEX('Email Cleaner'!$B$2:$B$10001,MATCH(4802,'Email Cleaner'!$I$2:$I$10001,0)),"")</f>
        <v/>
      </c>
    </row>
    <row r="4804">
      <c r="A4804">
        <f>IFERROR(INDEX('Email Cleaner'!$B$2:$B$10001,MATCH(4803,'Email Cleaner'!$I$2:$I$10001,0)),"")</f>
        <v/>
      </c>
    </row>
    <row r="4805">
      <c r="A4805">
        <f>IFERROR(INDEX('Email Cleaner'!$B$2:$B$10001,MATCH(4804,'Email Cleaner'!$I$2:$I$10001,0)),"")</f>
        <v/>
      </c>
    </row>
    <row r="4806">
      <c r="A4806">
        <f>IFERROR(INDEX('Email Cleaner'!$B$2:$B$10001,MATCH(4805,'Email Cleaner'!$I$2:$I$10001,0)),"")</f>
        <v/>
      </c>
    </row>
    <row r="4807">
      <c r="A4807">
        <f>IFERROR(INDEX('Email Cleaner'!$B$2:$B$10001,MATCH(4806,'Email Cleaner'!$I$2:$I$10001,0)),"")</f>
        <v/>
      </c>
    </row>
    <row r="4808">
      <c r="A4808">
        <f>IFERROR(INDEX('Email Cleaner'!$B$2:$B$10001,MATCH(4807,'Email Cleaner'!$I$2:$I$10001,0)),"")</f>
        <v/>
      </c>
    </row>
    <row r="4809">
      <c r="A4809">
        <f>IFERROR(INDEX('Email Cleaner'!$B$2:$B$10001,MATCH(4808,'Email Cleaner'!$I$2:$I$10001,0)),"")</f>
        <v/>
      </c>
    </row>
    <row r="4810">
      <c r="A4810">
        <f>IFERROR(INDEX('Email Cleaner'!$B$2:$B$10001,MATCH(4809,'Email Cleaner'!$I$2:$I$10001,0)),"")</f>
        <v/>
      </c>
    </row>
    <row r="4811">
      <c r="A4811">
        <f>IFERROR(INDEX('Email Cleaner'!$B$2:$B$10001,MATCH(4810,'Email Cleaner'!$I$2:$I$10001,0)),"")</f>
        <v/>
      </c>
    </row>
    <row r="4812">
      <c r="A4812">
        <f>IFERROR(INDEX('Email Cleaner'!$B$2:$B$10001,MATCH(4811,'Email Cleaner'!$I$2:$I$10001,0)),"")</f>
        <v/>
      </c>
    </row>
    <row r="4813">
      <c r="A4813">
        <f>IFERROR(INDEX('Email Cleaner'!$B$2:$B$10001,MATCH(4812,'Email Cleaner'!$I$2:$I$10001,0)),"")</f>
        <v/>
      </c>
    </row>
    <row r="4814">
      <c r="A4814">
        <f>IFERROR(INDEX('Email Cleaner'!$B$2:$B$10001,MATCH(4813,'Email Cleaner'!$I$2:$I$10001,0)),"")</f>
        <v/>
      </c>
    </row>
    <row r="4815">
      <c r="A4815">
        <f>IFERROR(INDEX('Email Cleaner'!$B$2:$B$10001,MATCH(4814,'Email Cleaner'!$I$2:$I$10001,0)),"")</f>
        <v/>
      </c>
    </row>
    <row r="4816">
      <c r="A4816">
        <f>IFERROR(INDEX('Email Cleaner'!$B$2:$B$10001,MATCH(4815,'Email Cleaner'!$I$2:$I$10001,0)),"")</f>
        <v/>
      </c>
    </row>
    <row r="4817">
      <c r="A4817">
        <f>IFERROR(INDEX('Email Cleaner'!$B$2:$B$10001,MATCH(4816,'Email Cleaner'!$I$2:$I$10001,0)),"")</f>
        <v/>
      </c>
    </row>
    <row r="4818">
      <c r="A4818">
        <f>IFERROR(INDEX('Email Cleaner'!$B$2:$B$10001,MATCH(4817,'Email Cleaner'!$I$2:$I$10001,0)),"")</f>
        <v/>
      </c>
    </row>
    <row r="4819">
      <c r="A4819">
        <f>IFERROR(INDEX('Email Cleaner'!$B$2:$B$10001,MATCH(4818,'Email Cleaner'!$I$2:$I$10001,0)),"")</f>
        <v/>
      </c>
    </row>
    <row r="4820">
      <c r="A4820">
        <f>IFERROR(INDEX('Email Cleaner'!$B$2:$B$10001,MATCH(4819,'Email Cleaner'!$I$2:$I$10001,0)),"")</f>
        <v/>
      </c>
    </row>
    <row r="4821">
      <c r="A4821">
        <f>IFERROR(INDEX('Email Cleaner'!$B$2:$B$10001,MATCH(4820,'Email Cleaner'!$I$2:$I$10001,0)),"")</f>
        <v/>
      </c>
    </row>
    <row r="4822">
      <c r="A4822">
        <f>IFERROR(INDEX('Email Cleaner'!$B$2:$B$10001,MATCH(4821,'Email Cleaner'!$I$2:$I$10001,0)),"")</f>
        <v/>
      </c>
    </row>
    <row r="4823">
      <c r="A4823">
        <f>IFERROR(INDEX('Email Cleaner'!$B$2:$B$10001,MATCH(4822,'Email Cleaner'!$I$2:$I$10001,0)),"")</f>
        <v/>
      </c>
    </row>
    <row r="4824">
      <c r="A4824">
        <f>IFERROR(INDEX('Email Cleaner'!$B$2:$B$10001,MATCH(4823,'Email Cleaner'!$I$2:$I$10001,0)),"")</f>
        <v/>
      </c>
    </row>
    <row r="4825">
      <c r="A4825">
        <f>IFERROR(INDEX('Email Cleaner'!$B$2:$B$10001,MATCH(4824,'Email Cleaner'!$I$2:$I$10001,0)),"")</f>
        <v/>
      </c>
    </row>
    <row r="4826">
      <c r="A4826">
        <f>IFERROR(INDEX('Email Cleaner'!$B$2:$B$10001,MATCH(4825,'Email Cleaner'!$I$2:$I$10001,0)),"")</f>
        <v/>
      </c>
    </row>
    <row r="4827">
      <c r="A4827">
        <f>IFERROR(INDEX('Email Cleaner'!$B$2:$B$10001,MATCH(4826,'Email Cleaner'!$I$2:$I$10001,0)),"")</f>
        <v/>
      </c>
    </row>
    <row r="4828">
      <c r="A4828">
        <f>IFERROR(INDEX('Email Cleaner'!$B$2:$B$10001,MATCH(4827,'Email Cleaner'!$I$2:$I$10001,0)),"")</f>
        <v/>
      </c>
    </row>
    <row r="4829">
      <c r="A4829">
        <f>IFERROR(INDEX('Email Cleaner'!$B$2:$B$10001,MATCH(4828,'Email Cleaner'!$I$2:$I$10001,0)),"")</f>
        <v/>
      </c>
    </row>
    <row r="4830">
      <c r="A4830">
        <f>IFERROR(INDEX('Email Cleaner'!$B$2:$B$10001,MATCH(4829,'Email Cleaner'!$I$2:$I$10001,0)),"")</f>
        <v/>
      </c>
    </row>
    <row r="4831">
      <c r="A4831">
        <f>IFERROR(INDEX('Email Cleaner'!$B$2:$B$10001,MATCH(4830,'Email Cleaner'!$I$2:$I$10001,0)),"")</f>
        <v/>
      </c>
    </row>
    <row r="4832">
      <c r="A4832">
        <f>IFERROR(INDEX('Email Cleaner'!$B$2:$B$10001,MATCH(4831,'Email Cleaner'!$I$2:$I$10001,0)),"")</f>
        <v/>
      </c>
    </row>
    <row r="4833">
      <c r="A4833">
        <f>IFERROR(INDEX('Email Cleaner'!$B$2:$B$10001,MATCH(4832,'Email Cleaner'!$I$2:$I$10001,0)),"")</f>
        <v/>
      </c>
    </row>
    <row r="4834">
      <c r="A4834">
        <f>IFERROR(INDEX('Email Cleaner'!$B$2:$B$10001,MATCH(4833,'Email Cleaner'!$I$2:$I$10001,0)),"")</f>
        <v/>
      </c>
    </row>
    <row r="4835">
      <c r="A4835">
        <f>IFERROR(INDEX('Email Cleaner'!$B$2:$B$10001,MATCH(4834,'Email Cleaner'!$I$2:$I$10001,0)),"")</f>
        <v/>
      </c>
    </row>
    <row r="4836">
      <c r="A4836">
        <f>IFERROR(INDEX('Email Cleaner'!$B$2:$B$10001,MATCH(4835,'Email Cleaner'!$I$2:$I$10001,0)),"")</f>
        <v/>
      </c>
    </row>
    <row r="4837">
      <c r="A4837">
        <f>IFERROR(INDEX('Email Cleaner'!$B$2:$B$10001,MATCH(4836,'Email Cleaner'!$I$2:$I$10001,0)),"")</f>
        <v/>
      </c>
    </row>
    <row r="4838">
      <c r="A4838">
        <f>IFERROR(INDEX('Email Cleaner'!$B$2:$B$10001,MATCH(4837,'Email Cleaner'!$I$2:$I$10001,0)),"")</f>
        <v/>
      </c>
    </row>
    <row r="4839">
      <c r="A4839">
        <f>IFERROR(INDEX('Email Cleaner'!$B$2:$B$10001,MATCH(4838,'Email Cleaner'!$I$2:$I$10001,0)),"")</f>
        <v/>
      </c>
    </row>
    <row r="4840">
      <c r="A4840">
        <f>IFERROR(INDEX('Email Cleaner'!$B$2:$B$10001,MATCH(4839,'Email Cleaner'!$I$2:$I$10001,0)),"")</f>
        <v/>
      </c>
    </row>
    <row r="4841">
      <c r="A4841">
        <f>IFERROR(INDEX('Email Cleaner'!$B$2:$B$10001,MATCH(4840,'Email Cleaner'!$I$2:$I$10001,0)),"")</f>
        <v/>
      </c>
    </row>
    <row r="4842">
      <c r="A4842">
        <f>IFERROR(INDEX('Email Cleaner'!$B$2:$B$10001,MATCH(4841,'Email Cleaner'!$I$2:$I$10001,0)),"")</f>
        <v/>
      </c>
    </row>
    <row r="4843">
      <c r="A4843">
        <f>IFERROR(INDEX('Email Cleaner'!$B$2:$B$10001,MATCH(4842,'Email Cleaner'!$I$2:$I$10001,0)),"")</f>
        <v/>
      </c>
    </row>
    <row r="4844">
      <c r="A4844">
        <f>IFERROR(INDEX('Email Cleaner'!$B$2:$B$10001,MATCH(4843,'Email Cleaner'!$I$2:$I$10001,0)),"")</f>
        <v/>
      </c>
    </row>
    <row r="4845">
      <c r="A4845">
        <f>IFERROR(INDEX('Email Cleaner'!$B$2:$B$10001,MATCH(4844,'Email Cleaner'!$I$2:$I$10001,0)),"")</f>
        <v/>
      </c>
    </row>
    <row r="4846">
      <c r="A4846">
        <f>IFERROR(INDEX('Email Cleaner'!$B$2:$B$10001,MATCH(4845,'Email Cleaner'!$I$2:$I$10001,0)),"")</f>
        <v/>
      </c>
    </row>
    <row r="4847">
      <c r="A4847">
        <f>IFERROR(INDEX('Email Cleaner'!$B$2:$B$10001,MATCH(4846,'Email Cleaner'!$I$2:$I$10001,0)),"")</f>
        <v/>
      </c>
    </row>
    <row r="4848">
      <c r="A4848">
        <f>IFERROR(INDEX('Email Cleaner'!$B$2:$B$10001,MATCH(4847,'Email Cleaner'!$I$2:$I$10001,0)),"")</f>
        <v/>
      </c>
    </row>
    <row r="4849">
      <c r="A4849">
        <f>IFERROR(INDEX('Email Cleaner'!$B$2:$B$10001,MATCH(4848,'Email Cleaner'!$I$2:$I$10001,0)),"")</f>
        <v/>
      </c>
    </row>
    <row r="4850">
      <c r="A4850">
        <f>IFERROR(INDEX('Email Cleaner'!$B$2:$B$10001,MATCH(4849,'Email Cleaner'!$I$2:$I$10001,0)),"")</f>
        <v/>
      </c>
    </row>
    <row r="4851">
      <c r="A4851">
        <f>IFERROR(INDEX('Email Cleaner'!$B$2:$B$10001,MATCH(4850,'Email Cleaner'!$I$2:$I$10001,0)),"")</f>
        <v/>
      </c>
    </row>
    <row r="4852">
      <c r="A4852">
        <f>IFERROR(INDEX('Email Cleaner'!$B$2:$B$10001,MATCH(4851,'Email Cleaner'!$I$2:$I$10001,0)),"")</f>
        <v/>
      </c>
    </row>
    <row r="4853">
      <c r="A4853">
        <f>IFERROR(INDEX('Email Cleaner'!$B$2:$B$10001,MATCH(4852,'Email Cleaner'!$I$2:$I$10001,0)),"")</f>
        <v/>
      </c>
    </row>
    <row r="4854">
      <c r="A4854">
        <f>IFERROR(INDEX('Email Cleaner'!$B$2:$B$10001,MATCH(4853,'Email Cleaner'!$I$2:$I$10001,0)),"")</f>
        <v/>
      </c>
    </row>
    <row r="4855">
      <c r="A4855">
        <f>IFERROR(INDEX('Email Cleaner'!$B$2:$B$10001,MATCH(4854,'Email Cleaner'!$I$2:$I$10001,0)),"")</f>
        <v/>
      </c>
    </row>
    <row r="4856">
      <c r="A4856">
        <f>IFERROR(INDEX('Email Cleaner'!$B$2:$B$10001,MATCH(4855,'Email Cleaner'!$I$2:$I$10001,0)),"")</f>
        <v/>
      </c>
    </row>
    <row r="4857">
      <c r="A4857">
        <f>IFERROR(INDEX('Email Cleaner'!$B$2:$B$10001,MATCH(4856,'Email Cleaner'!$I$2:$I$10001,0)),"")</f>
        <v/>
      </c>
    </row>
    <row r="4858">
      <c r="A4858">
        <f>IFERROR(INDEX('Email Cleaner'!$B$2:$B$10001,MATCH(4857,'Email Cleaner'!$I$2:$I$10001,0)),"")</f>
        <v/>
      </c>
    </row>
    <row r="4859">
      <c r="A4859">
        <f>IFERROR(INDEX('Email Cleaner'!$B$2:$B$10001,MATCH(4858,'Email Cleaner'!$I$2:$I$10001,0)),"")</f>
        <v/>
      </c>
    </row>
    <row r="4860">
      <c r="A4860">
        <f>IFERROR(INDEX('Email Cleaner'!$B$2:$B$10001,MATCH(4859,'Email Cleaner'!$I$2:$I$10001,0)),"")</f>
        <v/>
      </c>
    </row>
    <row r="4861">
      <c r="A4861">
        <f>IFERROR(INDEX('Email Cleaner'!$B$2:$B$10001,MATCH(4860,'Email Cleaner'!$I$2:$I$10001,0)),"")</f>
        <v/>
      </c>
    </row>
    <row r="4862">
      <c r="A4862">
        <f>IFERROR(INDEX('Email Cleaner'!$B$2:$B$10001,MATCH(4861,'Email Cleaner'!$I$2:$I$10001,0)),"")</f>
        <v/>
      </c>
    </row>
    <row r="4863">
      <c r="A4863">
        <f>IFERROR(INDEX('Email Cleaner'!$B$2:$B$10001,MATCH(4862,'Email Cleaner'!$I$2:$I$10001,0)),"")</f>
        <v/>
      </c>
    </row>
    <row r="4864">
      <c r="A4864">
        <f>IFERROR(INDEX('Email Cleaner'!$B$2:$B$10001,MATCH(4863,'Email Cleaner'!$I$2:$I$10001,0)),"")</f>
        <v/>
      </c>
    </row>
    <row r="4865">
      <c r="A4865">
        <f>IFERROR(INDEX('Email Cleaner'!$B$2:$B$10001,MATCH(4864,'Email Cleaner'!$I$2:$I$10001,0)),"")</f>
        <v/>
      </c>
    </row>
    <row r="4866">
      <c r="A4866">
        <f>IFERROR(INDEX('Email Cleaner'!$B$2:$B$10001,MATCH(4865,'Email Cleaner'!$I$2:$I$10001,0)),"")</f>
        <v/>
      </c>
    </row>
    <row r="4867">
      <c r="A4867">
        <f>IFERROR(INDEX('Email Cleaner'!$B$2:$B$10001,MATCH(4866,'Email Cleaner'!$I$2:$I$10001,0)),"")</f>
        <v/>
      </c>
    </row>
    <row r="4868">
      <c r="A4868">
        <f>IFERROR(INDEX('Email Cleaner'!$B$2:$B$10001,MATCH(4867,'Email Cleaner'!$I$2:$I$10001,0)),"")</f>
        <v/>
      </c>
    </row>
    <row r="4869">
      <c r="A4869">
        <f>IFERROR(INDEX('Email Cleaner'!$B$2:$B$10001,MATCH(4868,'Email Cleaner'!$I$2:$I$10001,0)),"")</f>
        <v/>
      </c>
    </row>
    <row r="4870">
      <c r="A4870">
        <f>IFERROR(INDEX('Email Cleaner'!$B$2:$B$10001,MATCH(4869,'Email Cleaner'!$I$2:$I$10001,0)),"")</f>
        <v/>
      </c>
    </row>
    <row r="4871">
      <c r="A4871">
        <f>IFERROR(INDEX('Email Cleaner'!$B$2:$B$10001,MATCH(4870,'Email Cleaner'!$I$2:$I$10001,0)),"")</f>
        <v/>
      </c>
    </row>
    <row r="4872">
      <c r="A4872">
        <f>IFERROR(INDEX('Email Cleaner'!$B$2:$B$10001,MATCH(4871,'Email Cleaner'!$I$2:$I$10001,0)),"")</f>
        <v/>
      </c>
    </row>
    <row r="4873">
      <c r="A4873">
        <f>IFERROR(INDEX('Email Cleaner'!$B$2:$B$10001,MATCH(4872,'Email Cleaner'!$I$2:$I$10001,0)),"")</f>
        <v/>
      </c>
    </row>
    <row r="4874">
      <c r="A4874">
        <f>IFERROR(INDEX('Email Cleaner'!$B$2:$B$10001,MATCH(4873,'Email Cleaner'!$I$2:$I$10001,0)),"")</f>
        <v/>
      </c>
    </row>
    <row r="4875">
      <c r="A4875">
        <f>IFERROR(INDEX('Email Cleaner'!$B$2:$B$10001,MATCH(4874,'Email Cleaner'!$I$2:$I$10001,0)),"")</f>
        <v/>
      </c>
    </row>
    <row r="4876">
      <c r="A4876">
        <f>IFERROR(INDEX('Email Cleaner'!$B$2:$B$10001,MATCH(4875,'Email Cleaner'!$I$2:$I$10001,0)),"")</f>
        <v/>
      </c>
    </row>
    <row r="4877">
      <c r="A4877">
        <f>IFERROR(INDEX('Email Cleaner'!$B$2:$B$10001,MATCH(4876,'Email Cleaner'!$I$2:$I$10001,0)),"")</f>
        <v/>
      </c>
    </row>
    <row r="4878">
      <c r="A4878">
        <f>IFERROR(INDEX('Email Cleaner'!$B$2:$B$10001,MATCH(4877,'Email Cleaner'!$I$2:$I$10001,0)),"")</f>
        <v/>
      </c>
    </row>
    <row r="4879">
      <c r="A4879">
        <f>IFERROR(INDEX('Email Cleaner'!$B$2:$B$10001,MATCH(4878,'Email Cleaner'!$I$2:$I$10001,0)),"")</f>
        <v/>
      </c>
    </row>
    <row r="4880">
      <c r="A4880">
        <f>IFERROR(INDEX('Email Cleaner'!$B$2:$B$10001,MATCH(4879,'Email Cleaner'!$I$2:$I$10001,0)),"")</f>
        <v/>
      </c>
    </row>
    <row r="4881">
      <c r="A4881">
        <f>IFERROR(INDEX('Email Cleaner'!$B$2:$B$10001,MATCH(4880,'Email Cleaner'!$I$2:$I$10001,0)),"")</f>
        <v/>
      </c>
    </row>
    <row r="4882">
      <c r="A4882">
        <f>IFERROR(INDEX('Email Cleaner'!$B$2:$B$10001,MATCH(4881,'Email Cleaner'!$I$2:$I$10001,0)),"")</f>
        <v/>
      </c>
    </row>
    <row r="4883">
      <c r="A4883">
        <f>IFERROR(INDEX('Email Cleaner'!$B$2:$B$10001,MATCH(4882,'Email Cleaner'!$I$2:$I$10001,0)),"")</f>
        <v/>
      </c>
    </row>
    <row r="4884">
      <c r="A4884">
        <f>IFERROR(INDEX('Email Cleaner'!$B$2:$B$10001,MATCH(4883,'Email Cleaner'!$I$2:$I$10001,0)),"")</f>
        <v/>
      </c>
    </row>
    <row r="4885">
      <c r="A4885">
        <f>IFERROR(INDEX('Email Cleaner'!$B$2:$B$10001,MATCH(4884,'Email Cleaner'!$I$2:$I$10001,0)),"")</f>
        <v/>
      </c>
    </row>
    <row r="4886">
      <c r="A4886">
        <f>IFERROR(INDEX('Email Cleaner'!$B$2:$B$10001,MATCH(4885,'Email Cleaner'!$I$2:$I$10001,0)),"")</f>
        <v/>
      </c>
    </row>
    <row r="4887">
      <c r="A4887">
        <f>IFERROR(INDEX('Email Cleaner'!$B$2:$B$10001,MATCH(4886,'Email Cleaner'!$I$2:$I$10001,0)),"")</f>
        <v/>
      </c>
    </row>
    <row r="4888">
      <c r="A4888">
        <f>IFERROR(INDEX('Email Cleaner'!$B$2:$B$10001,MATCH(4887,'Email Cleaner'!$I$2:$I$10001,0)),"")</f>
        <v/>
      </c>
    </row>
    <row r="4889">
      <c r="A4889">
        <f>IFERROR(INDEX('Email Cleaner'!$B$2:$B$10001,MATCH(4888,'Email Cleaner'!$I$2:$I$10001,0)),"")</f>
        <v/>
      </c>
    </row>
    <row r="4890">
      <c r="A4890">
        <f>IFERROR(INDEX('Email Cleaner'!$B$2:$B$10001,MATCH(4889,'Email Cleaner'!$I$2:$I$10001,0)),"")</f>
        <v/>
      </c>
    </row>
    <row r="4891">
      <c r="A4891">
        <f>IFERROR(INDEX('Email Cleaner'!$B$2:$B$10001,MATCH(4890,'Email Cleaner'!$I$2:$I$10001,0)),"")</f>
        <v/>
      </c>
    </row>
    <row r="4892">
      <c r="A4892">
        <f>IFERROR(INDEX('Email Cleaner'!$B$2:$B$10001,MATCH(4891,'Email Cleaner'!$I$2:$I$10001,0)),"")</f>
        <v/>
      </c>
    </row>
    <row r="4893">
      <c r="A4893">
        <f>IFERROR(INDEX('Email Cleaner'!$B$2:$B$10001,MATCH(4892,'Email Cleaner'!$I$2:$I$10001,0)),"")</f>
        <v/>
      </c>
    </row>
    <row r="4894">
      <c r="A4894">
        <f>IFERROR(INDEX('Email Cleaner'!$B$2:$B$10001,MATCH(4893,'Email Cleaner'!$I$2:$I$10001,0)),"")</f>
        <v/>
      </c>
    </row>
    <row r="4895">
      <c r="A4895">
        <f>IFERROR(INDEX('Email Cleaner'!$B$2:$B$10001,MATCH(4894,'Email Cleaner'!$I$2:$I$10001,0)),"")</f>
        <v/>
      </c>
    </row>
    <row r="4896">
      <c r="A4896">
        <f>IFERROR(INDEX('Email Cleaner'!$B$2:$B$10001,MATCH(4895,'Email Cleaner'!$I$2:$I$10001,0)),"")</f>
        <v/>
      </c>
    </row>
    <row r="4897">
      <c r="A4897">
        <f>IFERROR(INDEX('Email Cleaner'!$B$2:$B$10001,MATCH(4896,'Email Cleaner'!$I$2:$I$10001,0)),"")</f>
        <v/>
      </c>
    </row>
    <row r="4898">
      <c r="A4898">
        <f>IFERROR(INDEX('Email Cleaner'!$B$2:$B$10001,MATCH(4897,'Email Cleaner'!$I$2:$I$10001,0)),"")</f>
        <v/>
      </c>
    </row>
    <row r="4899">
      <c r="A4899">
        <f>IFERROR(INDEX('Email Cleaner'!$B$2:$B$10001,MATCH(4898,'Email Cleaner'!$I$2:$I$10001,0)),"")</f>
        <v/>
      </c>
    </row>
    <row r="4900">
      <c r="A4900">
        <f>IFERROR(INDEX('Email Cleaner'!$B$2:$B$10001,MATCH(4899,'Email Cleaner'!$I$2:$I$10001,0)),"")</f>
        <v/>
      </c>
    </row>
    <row r="4901">
      <c r="A4901">
        <f>IFERROR(INDEX('Email Cleaner'!$B$2:$B$10001,MATCH(4900,'Email Cleaner'!$I$2:$I$10001,0)),"")</f>
        <v/>
      </c>
    </row>
    <row r="4902">
      <c r="A4902">
        <f>IFERROR(INDEX('Email Cleaner'!$B$2:$B$10001,MATCH(4901,'Email Cleaner'!$I$2:$I$10001,0)),"")</f>
        <v/>
      </c>
    </row>
    <row r="4903">
      <c r="A4903">
        <f>IFERROR(INDEX('Email Cleaner'!$B$2:$B$10001,MATCH(4902,'Email Cleaner'!$I$2:$I$10001,0)),"")</f>
        <v/>
      </c>
    </row>
    <row r="4904">
      <c r="A4904">
        <f>IFERROR(INDEX('Email Cleaner'!$B$2:$B$10001,MATCH(4903,'Email Cleaner'!$I$2:$I$10001,0)),"")</f>
        <v/>
      </c>
    </row>
    <row r="4905">
      <c r="A4905">
        <f>IFERROR(INDEX('Email Cleaner'!$B$2:$B$10001,MATCH(4904,'Email Cleaner'!$I$2:$I$10001,0)),"")</f>
        <v/>
      </c>
    </row>
    <row r="4906">
      <c r="A4906">
        <f>IFERROR(INDEX('Email Cleaner'!$B$2:$B$10001,MATCH(4905,'Email Cleaner'!$I$2:$I$10001,0)),"")</f>
        <v/>
      </c>
    </row>
    <row r="4907">
      <c r="A4907">
        <f>IFERROR(INDEX('Email Cleaner'!$B$2:$B$10001,MATCH(4906,'Email Cleaner'!$I$2:$I$10001,0)),"")</f>
        <v/>
      </c>
    </row>
    <row r="4908">
      <c r="A4908">
        <f>IFERROR(INDEX('Email Cleaner'!$B$2:$B$10001,MATCH(4907,'Email Cleaner'!$I$2:$I$10001,0)),"")</f>
        <v/>
      </c>
    </row>
    <row r="4909">
      <c r="A4909">
        <f>IFERROR(INDEX('Email Cleaner'!$B$2:$B$10001,MATCH(4908,'Email Cleaner'!$I$2:$I$10001,0)),"")</f>
        <v/>
      </c>
    </row>
    <row r="4910">
      <c r="A4910">
        <f>IFERROR(INDEX('Email Cleaner'!$B$2:$B$10001,MATCH(4909,'Email Cleaner'!$I$2:$I$10001,0)),"")</f>
        <v/>
      </c>
    </row>
    <row r="4911">
      <c r="A4911">
        <f>IFERROR(INDEX('Email Cleaner'!$B$2:$B$10001,MATCH(4910,'Email Cleaner'!$I$2:$I$10001,0)),"")</f>
        <v/>
      </c>
    </row>
    <row r="4912">
      <c r="A4912">
        <f>IFERROR(INDEX('Email Cleaner'!$B$2:$B$10001,MATCH(4911,'Email Cleaner'!$I$2:$I$10001,0)),"")</f>
        <v/>
      </c>
    </row>
    <row r="4913">
      <c r="A4913">
        <f>IFERROR(INDEX('Email Cleaner'!$B$2:$B$10001,MATCH(4912,'Email Cleaner'!$I$2:$I$10001,0)),"")</f>
        <v/>
      </c>
    </row>
    <row r="4914">
      <c r="A4914">
        <f>IFERROR(INDEX('Email Cleaner'!$B$2:$B$10001,MATCH(4913,'Email Cleaner'!$I$2:$I$10001,0)),"")</f>
        <v/>
      </c>
    </row>
    <row r="4915">
      <c r="A4915">
        <f>IFERROR(INDEX('Email Cleaner'!$B$2:$B$10001,MATCH(4914,'Email Cleaner'!$I$2:$I$10001,0)),"")</f>
        <v/>
      </c>
    </row>
    <row r="4916">
      <c r="A4916">
        <f>IFERROR(INDEX('Email Cleaner'!$B$2:$B$10001,MATCH(4915,'Email Cleaner'!$I$2:$I$10001,0)),"")</f>
        <v/>
      </c>
    </row>
    <row r="4917">
      <c r="A4917">
        <f>IFERROR(INDEX('Email Cleaner'!$B$2:$B$10001,MATCH(4916,'Email Cleaner'!$I$2:$I$10001,0)),"")</f>
        <v/>
      </c>
    </row>
    <row r="4918">
      <c r="A4918">
        <f>IFERROR(INDEX('Email Cleaner'!$B$2:$B$10001,MATCH(4917,'Email Cleaner'!$I$2:$I$10001,0)),"")</f>
        <v/>
      </c>
    </row>
    <row r="4919">
      <c r="A4919">
        <f>IFERROR(INDEX('Email Cleaner'!$B$2:$B$10001,MATCH(4918,'Email Cleaner'!$I$2:$I$10001,0)),"")</f>
        <v/>
      </c>
    </row>
    <row r="4920">
      <c r="A4920">
        <f>IFERROR(INDEX('Email Cleaner'!$B$2:$B$10001,MATCH(4919,'Email Cleaner'!$I$2:$I$10001,0)),"")</f>
        <v/>
      </c>
    </row>
    <row r="4921">
      <c r="A4921">
        <f>IFERROR(INDEX('Email Cleaner'!$B$2:$B$10001,MATCH(4920,'Email Cleaner'!$I$2:$I$10001,0)),"")</f>
        <v/>
      </c>
    </row>
    <row r="4922">
      <c r="A4922">
        <f>IFERROR(INDEX('Email Cleaner'!$B$2:$B$10001,MATCH(4921,'Email Cleaner'!$I$2:$I$10001,0)),"")</f>
        <v/>
      </c>
    </row>
    <row r="4923">
      <c r="A4923">
        <f>IFERROR(INDEX('Email Cleaner'!$B$2:$B$10001,MATCH(4922,'Email Cleaner'!$I$2:$I$10001,0)),"")</f>
        <v/>
      </c>
    </row>
    <row r="4924">
      <c r="A4924">
        <f>IFERROR(INDEX('Email Cleaner'!$B$2:$B$10001,MATCH(4923,'Email Cleaner'!$I$2:$I$10001,0)),"")</f>
        <v/>
      </c>
    </row>
    <row r="4925">
      <c r="A4925">
        <f>IFERROR(INDEX('Email Cleaner'!$B$2:$B$10001,MATCH(4924,'Email Cleaner'!$I$2:$I$10001,0)),"")</f>
        <v/>
      </c>
    </row>
    <row r="4926">
      <c r="A4926">
        <f>IFERROR(INDEX('Email Cleaner'!$B$2:$B$10001,MATCH(4925,'Email Cleaner'!$I$2:$I$10001,0)),"")</f>
        <v/>
      </c>
    </row>
    <row r="4927">
      <c r="A4927">
        <f>IFERROR(INDEX('Email Cleaner'!$B$2:$B$10001,MATCH(4926,'Email Cleaner'!$I$2:$I$10001,0)),"")</f>
        <v/>
      </c>
    </row>
    <row r="4928">
      <c r="A4928">
        <f>IFERROR(INDEX('Email Cleaner'!$B$2:$B$10001,MATCH(4927,'Email Cleaner'!$I$2:$I$10001,0)),"")</f>
        <v/>
      </c>
    </row>
    <row r="4929">
      <c r="A4929">
        <f>IFERROR(INDEX('Email Cleaner'!$B$2:$B$10001,MATCH(4928,'Email Cleaner'!$I$2:$I$10001,0)),"")</f>
        <v/>
      </c>
    </row>
    <row r="4930">
      <c r="A4930">
        <f>IFERROR(INDEX('Email Cleaner'!$B$2:$B$10001,MATCH(4929,'Email Cleaner'!$I$2:$I$10001,0)),"")</f>
        <v/>
      </c>
    </row>
    <row r="4931">
      <c r="A4931">
        <f>IFERROR(INDEX('Email Cleaner'!$B$2:$B$10001,MATCH(4930,'Email Cleaner'!$I$2:$I$10001,0)),"")</f>
        <v/>
      </c>
    </row>
    <row r="4932">
      <c r="A4932">
        <f>IFERROR(INDEX('Email Cleaner'!$B$2:$B$10001,MATCH(4931,'Email Cleaner'!$I$2:$I$10001,0)),"")</f>
        <v/>
      </c>
    </row>
    <row r="4933">
      <c r="A4933">
        <f>IFERROR(INDEX('Email Cleaner'!$B$2:$B$10001,MATCH(4932,'Email Cleaner'!$I$2:$I$10001,0)),"")</f>
        <v/>
      </c>
    </row>
    <row r="4934">
      <c r="A4934">
        <f>IFERROR(INDEX('Email Cleaner'!$B$2:$B$10001,MATCH(4933,'Email Cleaner'!$I$2:$I$10001,0)),"")</f>
        <v/>
      </c>
    </row>
    <row r="4935">
      <c r="A4935">
        <f>IFERROR(INDEX('Email Cleaner'!$B$2:$B$10001,MATCH(4934,'Email Cleaner'!$I$2:$I$10001,0)),"")</f>
        <v/>
      </c>
    </row>
    <row r="4936">
      <c r="A4936">
        <f>IFERROR(INDEX('Email Cleaner'!$B$2:$B$10001,MATCH(4935,'Email Cleaner'!$I$2:$I$10001,0)),"")</f>
        <v/>
      </c>
    </row>
    <row r="4937">
      <c r="A4937">
        <f>IFERROR(INDEX('Email Cleaner'!$B$2:$B$10001,MATCH(4936,'Email Cleaner'!$I$2:$I$10001,0)),"")</f>
        <v/>
      </c>
    </row>
    <row r="4938">
      <c r="A4938">
        <f>IFERROR(INDEX('Email Cleaner'!$B$2:$B$10001,MATCH(4937,'Email Cleaner'!$I$2:$I$10001,0)),"")</f>
        <v/>
      </c>
    </row>
    <row r="4939">
      <c r="A4939">
        <f>IFERROR(INDEX('Email Cleaner'!$B$2:$B$10001,MATCH(4938,'Email Cleaner'!$I$2:$I$10001,0)),"")</f>
        <v/>
      </c>
    </row>
    <row r="4940">
      <c r="A4940">
        <f>IFERROR(INDEX('Email Cleaner'!$B$2:$B$10001,MATCH(4939,'Email Cleaner'!$I$2:$I$10001,0)),"")</f>
        <v/>
      </c>
    </row>
    <row r="4941">
      <c r="A4941">
        <f>IFERROR(INDEX('Email Cleaner'!$B$2:$B$10001,MATCH(4940,'Email Cleaner'!$I$2:$I$10001,0)),"")</f>
        <v/>
      </c>
    </row>
    <row r="4942">
      <c r="A4942">
        <f>IFERROR(INDEX('Email Cleaner'!$B$2:$B$10001,MATCH(4941,'Email Cleaner'!$I$2:$I$10001,0)),"")</f>
        <v/>
      </c>
    </row>
    <row r="4943">
      <c r="A4943">
        <f>IFERROR(INDEX('Email Cleaner'!$B$2:$B$10001,MATCH(4942,'Email Cleaner'!$I$2:$I$10001,0)),"")</f>
        <v/>
      </c>
    </row>
    <row r="4944">
      <c r="A4944">
        <f>IFERROR(INDEX('Email Cleaner'!$B$2:$B$10001,MATCH(4943,'Email Cleaner'!$I$2:$I$10001,0)),"")</f>
        <v/>
      </c>
    </row>
    <row r="4945">
      <c r="A4945">
        <f>IFERROR(INDEX('Email Cleaner'!$B$2:$B$10001,MATCH(4944,'Email Cleaner'!$I$2:$I$10001,0)),"")</f>
        <v/>
      </c>
    </row>
    <row r="4946">
      <c r="A4946">
        <f>IFERROR(INDEX('Email Cleaner'!$B$2:$B$10001,MATCH(4945,'Email Cleaner'!$I$2:$I$10001,0)),"")</f>
        <v/>
      </c>
    </row>
    <row r="4947">
      <c r="A4947">
        <f>IFERROR(INDEX('Email Cleaner'!$B$2:$B$10001,MATCH(4946,'Email Cleaner'!$I$2:$I$10001,0)),"")</f>
        <v/>
      </c>
    </row>
    <row r="4948">
      <c r="A4948">
        <f>IFERROR(INDEX('Email Cleaner'!$B$2:$B$10001,MATCH(4947,'Email Cleaner'!$I$2:$I$10001,0)),"")</f>
        <v/>
      </c>
    </row>
    <row r="4949">
      <c r="A4949">
        <f>IFERROR(INDEX('Email Cleaner'!$B$2:$B$10001,MATCH(4948,'Email Cleaner'!$I$2:$I$10001,0)),"")</f>
        <v/>
      </c>
    </row>
    <row r="4950">
      <c r="A4950">
        <f>IFERROR(INDEX('Email Cleaner'!$B$2:$B$10001,MATCH(4949,'Email Cleaner'!$I$2:$I$10001,0)),"")</f>
        <v/>
      </c>
    </row>
    <row r="4951">
      <c r="A4951">
        <f>IFERROR(INDEX('Email Cleaner'!$B$2:$B$10001,MATCH(4950,'Email Cleaner'!$I$2:$I$10001,0)),"")</f>
        <v/>
      </c>
    </row>
    <row r="4952">
      <c r="A4952">
        <f>IFERROR(INDEX('Email Cleaner'!$B$2:$B$10001,MATCH(4951,'Email Cleaner'!$I$2:$I$10001,0)),"")</f>
        <v/>
      </c>
    </row>
    <row r="4953">
      <c r="A4953">
        <f>IFERROR(INDEX('Email Cleaner'!$B$2:$B$10001,MATCH(4952,'Email Cleaner'!$I$2:$I$10001,0)),"")</f>
        <v/>
      </c>
    </row>
    <row r="4954">
      <c r="A4954">
        <f>IFERROR(INDEX('Email Cleaner'!$B$2:$B$10001,MATCH(4953,'Email Cleaner'!$I$2:$I$10001,0)),"")</f>
        <v/>
      </c>
    </row>
    <row r="4955">
      <c r="A4955">
        <f>IFERROR(INDEX('Email Cleaner'!$B$2:$B$10001,MATCH(4954,'Email Cleaner'!$I$2:$I$10001,0)),"")</f>
        <v/>
      </c>
    </row>
    <row r="4956">
      <c r="A4956">
        <f>IFERROR(INDEX('Email Cleaner'!$B$2:$B$10001,MATCH(4955,'Email Cleaner'!$I$2:$I$10001,0)),"")</f>
        <v/>
      </c>
    </row>
    <row r="4957">
      <c r="A4957">
        <f>IFERROR(INDEX('Email Cleaner'!$B$2:$B$10001,MATCH(4956,'Email Cleaner'!$I$2:$I$10001,0)),"")</f>
        <v/>
      </c>
    </row>
    <row r="4958">
      <c r="A4958">
        <f>IFERROR(INDEX('Email Cleaner'!$B$2:$B$10001,MATCH(4957,'Email Cleaner'!$I$2:$I$10001,0)),"")</f>
        <v/>
      </c>
    </row>
    <row r="4959">
      <c r="A4959">
        <f>IFERROR(INDEX('Email Cleaner'!$B$2:$B$10001,MATCH(4958,'Email Cleaner'!$I$2:$I$10001,0)),"")</f>
        <v/>
      </c>
    </row>
    <row r="4960">
      <c r="A4960">
        <f>IFERROR(INDEX('Email Cleaner'!$B$2:$B$10001,MATCH(4959,'Email Cleaner'!$I$2:$I$10001,0)),"")</f>
        <v/>
      </c>
    </row>
    <row r="4961">
      <c r="A4961">
        <f>IFERROR(INDEX('Email Cleaner'!$B$2:$B$10001,MATCH(4960,'Email Cleaner'!$I$2:$I$10001,0)),"")</f>
        <v/>
      </c>
    </row>
    <row r="4962">
      <c r="A4962">
        <f>IFERROR(INDEX('Email Cleaner'!$B$2:$B$10001,MATCH(4961,'Email Cleaner'!$I$2:$I$10001,0)),"")</f>
        <v/>
      </c>
    </row>
    <row r="4963">
      <c r="A4963">
        <f>IFERROR(INDEX('Email Cleaner'!$B$2:$B$10001,MATCH(4962,'Email Cleaner'!$I$2:$I$10001,0)),"")</f>
        <v/>
      </c>
    </row>
    <row r="4964">
      <c r="A4964">
        <f>IFERROR(INDEX('Email Cleaner'!$B$2:$B$10001,MATCH(4963,'Email Cleaner'!$I$2:$I$10001,0)),"")</f>
        <v/>
      </c>
    </row>
    <row r="4965">
      <c r="A4965">
        <f>IFERROR(INDEX('Email Cleaner'!$B$2:$B$10001,MATCH(4964,'Email Cleaner'!$I$2:$I$10001,0)),"")</f>
        <v/>
      </c>
    </row>
    <row r="4966">
      <c r="A4966">
        <f>IFERROR(INDEX('Email Cleaner'!$B$2:$B$10001,MATCH(4965,'Email Cleaner'!$I$2:$I$10001,0)),"")</f>
        <v/>
      </c>
    </row>
    <row r="4967">
      <c r="A4967">
        <f>IFERROR(INDEX('Email Cleaner'!$B$2:$B$10001,MATCH(4966,'Email Cleaner'!$I$2:$I$10001,0)),"")</f>
        <v/>
      </c>
    </row>
    <row r="4968">
      <c r="A4968">
        <f>IFERROR(INDEX('Email Cleaner'!$B$2:$B$10001,MATCH(4967,'Email Cleaner'!$I$2:$I$10001,0)),"")</f>
        <v/>
      </c>
    </row>
    <row r="4969">
      <c r="A4969">
        <f>IFERROR(INDEX('Email Cleaner'!$B$2:$B$10001,MATCH(4968,'Email Cleaner'!$I$2:$I$10001,0)),"")</f>
        <v/>
      </c>
    </row>
    <row r="4970">
      <c r="A4970">
        <f>IFERROR(INDEX('Email Cleaner'!$B$2:$B$10001,MATCH(4969,'Email Cleaner'!$I$2:$I$10001,0)),"")</f>
        <v/>
      </c>
    </row>
    <row r="4971">
      <c r="A4971">
        <f>IFERROR(INDEX('Email Cleaner'!$B$2:$B$10001,MATCH(4970,'Email Cleaner'!$I$2:$I$10001,0)),"")</f>
        <v/>
      </c>
    </row>
    <row r="4972">
      <c r="A4972">
        <f>IFERROR(INDEX('Email Cleaner'!$B$2:$B$10001,MATCH(4971,'Email Cleaner'!$I$2:$I$10001,0)),"")</f>
        <v/>
      </c>
    </row>
    <row r="4973">
      <c r="A4973">
        <f>IFERROR(INDEX('Email Cleaner'!$B$2:$B$10001,MATCH(4972,'Email Cleaner'!$I$2:$I$10001,0)),"")</f>
        <v/>
      </c>
    </row>
    <row r="4974">
      <c r="A4974">
        <f>IFERROR(INDEX('Email Cleaner'!$B$2:$B$10001,MATCH(4973,'Email Cleaner'!$I$2:$I$10001,0)),"")</f>
        <v/>
      </c>
    </row>
    <row r="4975">
      <c r="A4975">
        <f>IFERROR(INDEX('Email Cleaner'!$B$2:$B$10001,MATCH(4974,'Email Cleaner'!$I$2:$I$10001,0)),"")</f>
        <v/>
      </c>
    </row>
    <row r="4976">
      <c r="A4976">
        <f>IFERROR(INDEX('Email Cleaner'!$B$2:$B$10001,MATCH(4975,'Email Cleaner'!$I$2:$I$10001,0)),"")</f>
        <v/>
      </c>
    </row>
    <row r="4977">
      <c r="A4977">
        <f>IFERROR(INDEX('Email Cleaner'!$B$2:$B$10001,MATCH(4976,'Email Cleaner'!$I$2:$I$10001,0)),"")</f>
        <v/>
      </c>
    </row>
    <row r="4978">
      <c r="A4978">
        <f>IFERROR(INDEX('Email Cleaner'!$B$2:$B$10001,MATCH(4977,'Email Cleaner'!$I$2:$I$10001,0)),"")</f>
        <v/>
      </c>
    </row>
    <row r="4979">
      <c r="A4979">
        <f>IFERROR(INDEX('Email Cleaner'!$B$2:$B$10001,MATCH(4978,'Email Cleaner'!$I$2:$I$10001,0)),"")</f>
        <v/>
      </c>
    </row>
    <row r="4980">
      <c r="A4980">
        <f>IFERROR(INDEX('Email Cleaner'!$B$2:$B$10001,MATCH(4979,'Email Cleaner'!$I$2:$I$10001,0)),"")</f>
        <v/>
      </c>
    </row>
    <row r="4981">
      <c r="A4981">
        <f>IFERROR(INDEX('Email Cleaner'!$B$2:$B$10001,MATCH(4980,'Email Cleaner'!$I$2:$I$10001,0)),"")</f>
        <v/>
      </c>
    </row>
    <row r="4982">
      <c r="A4982">
        <f>IFERROR(INDEX('Email Cleaner'!$B$2:$B$10001,MATCH(4981,'Email Cleaner'!$I$2:$I$10001,0)),"")</f>
        <v/>
      </c>
    </row>
    <row r="4983">
      <c r="A4983">
        <f>IFERROR(INDEX('Email Cleaner'!$B$2:$B$10001,MATCH(4982,'Email Cleaner'!$I$2:$I$10001,0)),"")</f>
        <v/>
      </c>
    </row>
    <row r="4984">
      <c r="A4984">
        <f>IFERROR(INDEX('Email Cleaner'!$B$2:$B$10001,MATCH(4983,'Email Cleaner'!$I$2:$I$10001,0)),"")</f>
        <v/>
      </c>
    </row>
    <row r="4985">
      <c r="A4985">
        <f>IFERROR(INDEX('Email Cleaner'!$B$2:$B$10001,MATCH(4984,'Email Cleaner'!$I$2:$I$10001,0)),"")</f>
        <v/>
      </c>
    </row>
    <row r="4986">
      <c r="A4986">
        <f>IFERROR(INDEX('Email Cleaner'!$B$2:$B$10001,MATCH(4985,'Email Cleaner'!$I$2:$I$10001,0)),"")</f>
        <v/>
      </c>
    </row>
    <row r="4987">
      <c r="A4987">
        <f>IFERROR(INDEX('Email Cleaner'!$B$2:$B$10001,MATCH(4986,'Email Cleaner'!$I$2:$I$10001,0)),"")</f>
        <v/>
      </c>
    </row>
    <row r="4988">
      <c r="A4988">
        <f>IFERROR(INDEX('Email Cleaner'!$B$2:$B$10001,MATCH(4987,'Email Cleaner'!$I$2:$I$10001,0)),"")</f>
        <v/>
      </c>
    </row>
    <row r="4989">
      <c r="A4989">
        <f>IFERROR(INDEX('Email Cleaner'!$B$2:$B$10001,MATCH(4988,'Email Cleaner'!$I$2:$I$10001,0)),"")</f>
        <v/>
      </c>
    </row>
    <row r="4990">
      <c r="A4990">
        <f>IFERROR(INDEX('Email Cleaner'!$B$2:$B$10001,MATCH(4989,'Email Cleaner'!$I$2:$I$10001,0)),"")</f>
        <v/>
      </c>
    </row>
    <row r="4991">
      <c r="A4991">
        <f>IFERROR(INDEX('Email Cleaner'!$B$2:$B$10001,MATCH(4990,'Email Cleaner'!$I$2:$I$10001,0)),"")</f>
        <v/>
      </c>
    </row>
    <row r="4992">
      <c r="A4992">
        <f>IFERROR(INDEX('Email Cleaner'!$B$2:$B$10001,MATCH(4991,'Email Cleaner'!$I$2:$I$10001,0)),"")</f>
        <v/>
      </c>
    </row>
    <row r="4993">
      <c r="A4993">
        <f>IFERROR(INDEX('Email Cleaner'!$B$2:$B$10001,MATCH(4992,'Email Cleaner'!$I$2:$I$10001,0)),"")</f>
        <v/>
      </c>
    </row>
    <row r="4994">
      <c r="A4994">
        <f>IFERROR(INDEX('Email Cleaner'!$B$2:$B$10001,MATCH(4993,'Email Cleaner'!$I$2:$I$10001,0)),"")</f>
        <v/>
      </c>
    </row>
    <row r="4995">
      <c r="A4995">
        <f>IFERROR(INDEX('Email Cleaner'!$B$2:$B$10001,MATCH(4994,'Email Cleaner'!$I$2:$I$10001,0)),"")</f>
        <v/>
      </c>
    </row>
    <row r="4996">
      <c r="A4996">
        <f>IFERROR(INDEX('Email Cleaner'!$B$2:$B$10001,MATCH(4995,'Email Cleaner'!$I$2:$I$10001,0)),"")</f>
        <v/>
      </c>
    </row>
    <row r="4997">
      <c r="A4997">
        <f>IFERROR(INDEX('Email Cleaner'!$B$2:$B$10001,MATCH(4996,'Email Cleaner'!$I$2:$I$10001,0)),"")</f>
        <v/>
      </c>
    </row>
    <row r="4998">
      <c r="A4998">
        <f>IFERROR(INDEX('Email Cleaner'!$B$2:$B$10001,MATCH(4997,'Email Cleaner'!$I$2:$I$10001,0)),"")</f>
        <v/>
      </c>
    </row>
    <row r="4999">
      <c r="A4999">
        <f>IFERROR(INDEX('Email Cleaner'!$B$2:$B$10001,MATCH(4998,'Email Cleaner'!$I$2:$I$10001,0)),"")</f>
        <v/>
      </c>
    </row>
    <row r="5000">
      <c r="A5000">
        <f>IFERROR(INDEX('Email Cleaner'!$B$2:$B$10001,MATCH(4999,'Email Cleaner'!$I$2:$I$10001,0)),"")</f>
        <v/>
      </c>
    </row>
    <row r="5001">
      <c r="A5001">
        <f>IFERROR(INDEX('Email Cleaner'!$B$2:$B$10001,MATCH(5000,'Email Cleaner'!$I$2:$I$10001,0)),"")</f>
        <v/>
      </c>
    </row>
    <row r="5002">
      <c r="A5002">
        <f>IFERROR(INDEX('Email Cleaner'!$B$2:$B$10001,MATCH(5001,'Email Cleaner'!$I$2:$I$10001,0)),"")</f>
        <v/>
      </c>
    </row>
    <row r="5003">
      <c r="A5003">
        <f>IFERROR(INDEX('Email Cleaner'!$B$2:$B$10001,MATCH(5002,'Email Cleaner'!$I$2:$I$10001,0)),"")</f>
        <v/>
      </c>
    </row>
    <row r="5004">
      <c r="A5004">
        <f>IFERROR(INDEX('Email Cleaner'!$B$2:$B$10001,MATCH(5003,'Email Cleaner'!$I$2:$I$10001,0)),"")</f>
        <v/>
      </c>
    </row>
    <row r="5005">
      <c r="A5005">
        <f>IFERROR(INDEX('Email Cleaner'!$B$2:$B$10001,MATCH(5004,'Email Cleaner'!$I$2:$I$10001,0)),"")</f>
        <v/>
      </c>
    </row>
    <row r="5006">
      <c r="A5006">
        <f>IFERROR(INDEX('Email Cleaner'!$B$2:$B$10001,MATCH(5005,'Email Cleaner'!$I$2:$I$10001,0)),"")</f>
        <v/>
      </c>
    </row>
    <row r="5007">
      <c r="A5007">
        <f>IFERROR(INDEX('Email Cleaner'!$B$2:$B$10001,MATCH(5006,'Email Cleaner'!$I$2:$I$10001,0)),"")</f>
        <v/>
      </c>
    </row>
    <row r="5008">
      <c r="A5008">
        <f>IFERROR(INDEX('Email Cleaner'!$B$2:$B$10001,MATCH(5007,'Email Cleaner'!$I$2:$I$10001,0)),"")</f>
        <v/>
      </c>
    </row>
    <row r="5009">
      <c r="A5009">
        <f>IFERROR(INDEX('Email Cleaner'!$B$2:$B$10001,MATCH(5008,'Email Cleaner'!$I$2:$I$10001,0)),"")</f>
        <v/>
      </c>
    </row>
    <row r="5010">
      <c r="A5010">
        <f>IFERROR(INDEX('Email Cleaner'!$B$2:$B$10001,MATCH(5009,'Email Cleaner'!$I$2:$I$10001,0)),"")</f>
        <v/>
      </c>
    </row>
    <row r="5011">
      <c r="A5011">
        <f>IFERROR(INDEX('Email Cleaner'!$B$2:$B$10001,MATCH(5010,'Email Cleaner'!$I$2:$I$10001,0)),"")</f>
        <v/>
      </c>
    </row>
    <row r="5012">
      <c r="A5012">
        <f>IFERROR(INDEX('Email Cleaner'!$B$2:$B$10001,MATCH(5011,'Email Cleaner'!$I$2:$I$10001,0)),"")</f>
        <v/>
      </c>
    </row>
    <row r="5013">
      <c r="A5013">
        <f>IFERROR(INDEX('Email Cleaner'!$B$2:$B$10001,MATCH(5012,'Email Cleaner'!$I$2:$I$10001,0)),"")</f>
        <v/>
      </c>
    </row>
    <row r="5014">
      <c r="A5014">
        <f>IFERROR(INDEX('Email Cleaner'!$B$2:$B$10001,MATCH(5013,'Email Cleaner'!$I$2:$I$10001,0)),"")</f>
        <v/>
      </c>
    </row>
    <row r="5015">
      <c r="A5015">
        <f>IFERROR(INDEX('Email Cleaner'!$B$2:$B$10001,MATCH(5014,'Email Cleaner'!$I$2:$I$10001,0)),"")</f>
        <v/>
      </c>
    </row>
    <row r="5016">
      <c r="A5016">
        <f>IFERROR(INDEX('Email Cleaner'!$B$2:$B$10001,MATCH(5015,'Email Cleaner'!$I$2:$I$10001,0)),"")</f>
        <v/>
      </c>
    </row>
    <row r="5017">
      <c r="A5017">
        <f>IFERROR(INDEX('Email Cleaner'!$B$2:$B$10001,MATCH(5016,'Email Cleaner'!$I$2:$I$10001,0)),"")</f>
        <v/>
      </c>
    </row>
    <row r="5018">
      <c r="A5018">
        <f>IFERROR(INDEX('Email Cleaner'!$B$2:$B$10001,MATCH(5017,'Email Cleaner'!$I$2:$I$10001,0)),"")</f>
        <v/>
      </c>
    </row>
    <row r="5019">
      <c r="A5019">
        <f>IFERROR(INDEX('Email Cleaner'!$B$2:$B$10001,MATCH(5018,'Email Cleaner'!$I$2:$I$10001,0)),"")</f>
        <v/>
      </c>
    </row>
    <row r="5020">
      <c r="A5020">
        <f>IFERROR(INDEX('Email Cleaner'!$B$2:$B$10001,MATCH(5019,'Email Cleaner'!$I$2:$I$10001,0)),"")</f>
        <v/>
      </c>
    </row>
    <row r="5021">
      <c r="A5021">
        <f>IFERROR(INDEX('Email Cleaner'!$B$2:$B$10001,MATCH(5020,'Email Cleaner'!$I$2:$I$10001,0)),"")</f>
        <v/>
      </c>
    </row>
    <row r="5022">
      <c r="A5022">
        <f>IFERROR(INDEX('Email Cleaner'!$B$2:$B$10001,MATCH(5021,'Email Cleaner'!$I$2:$I$10001,0)),"")</f>
        <v/>
      </c>
    </row>
    <row r="5023">
      <c r="A5023">
        <f>IFERROR(INDEX('Email Cleaner'!$B$2:$B$10001,MATCH(5022,'Email Cleaner'!$I$2:$I$10001,0)),"")</f>
        <v/>
      </c>
    </row>
    <row r="5024">
      <c r="A5024">
        <f>IFERROR(INDEX('Email Cleaner'!$B$2:$B$10001,MATCH(5023,'Email Cleaner'!$I$2:$I$10001,0)),"")</f>
        <v/>
      </c>
    </row>
    <row r="5025">
      <c r="A5025">
        <f>IFERROR(INDEX('Email Cleaner'!$B$2:$B$10001,MATCH(5024,'Email Cleaner'!$I$2:$I$10001,0)),"")</f>
        <v/>
      </c>
    </row>
    <row r="5026">
      <c r="A5026">
        <f>IFERROR(INDEX('Email Cleaner'!$B$2:$B$10001,MATCH(5025,'Email Cleaner'!$I$2:$I$10001,0)),"")</f>
        <v/>
      </c>
    </row>
    <row r="5027">
      <c r="A5027">
        <f>IFERROR(INDEX('Email Cleaner'!$B$2:$B$10001,MATCH(5026,'Email Cleaner'!$I$2:$I$10001,0)),"")</f>
        <v/>
      </c>
    </row>
    <row r="5028">
      <c r="A5028">
        <f>IFERROR(INDEX('Email Cleaner'!$B$2:$B$10001,MATCH(5027,'Email Cleaner'!$I$2:$I$10001,0)),"")</f>
        <v/>
      </c>
    </row>
    <row r="5029">
      <c r="A5029">
        <f>IFERROR(INDEX('Email Cleaner'!$B$2:$B$10001,MATCH(5028,'Email Cleaner'!$I$2:$I$10001,0)),"")</f>
        <v/>
      </c>
    </row>
    <row r="5030">
      <c r="A5030">
        <f>IFERROR(INDEX('Email Cleaner'!$B$2:$B$10001,MATCH(5029,'Email Cleaner'!$I$2:$I$10001,0)),"")</f>
        <v/>
      </c>
    </row>
    <row r="5031">
      <c r="A5031">
        <f>IFERROR(INDEX('Email Cleaner'!$B$2:$B$10001,MATCH(5030,'Email Cleaner'!$I$2:$I$10001,0)),"")</f>
        <v/>
      </c>
    </row>
    <row r="5032">
      <c r="A5032">
        <f>IFERROR(INDEX('Email Cleaner'!$B$2:$B$10001,MATCH(5031,'Email Cleaner'!$I$2:$I$10001,0)),"")</f>
        <v/>
      </c>
    </row>
    <row r="5033">
      <c r="A5033">
        <f>IFERROR(INDEX('Email Cleaner'!$B$2:$B$10001,MATCH(5032,'Email Cleaner'!$I$2:$I$10001,0)),"")</f>
        <v/>
      </c>
    </row>
    <row r="5034">
      <c r="A5034">
        <f>IFERROR(INDEX('Email Cleaner'!$B$2:$B$10001,MATCH(5033,'Email Cleaner'!$I$2:$I$10001,0)),"")</f>
        <v/>
      </c>
    </row>
    <row r="5035">
      <c r="A5035">
        <f>IFERROR(INDEX('Email Cleaner'!$B$2:$B$10001,MATCH(5034,'Email Cleaner'!$I$2:$I$10001,0)),"")</f>
        <v/>
      </c>
    </row>
    <row r="5036">
      <c r="A5036">
        <f>IFERROR(INDEX('Email Cleaner'!$B$2:$B$10001,MATCH(5035,'Email Cleaner'!$I$2:$I$10001,0)),"")</f>
        <v/>
      </c>
    </row>
    <row r="5037">
      <c r="A5037">
        <f>IFERROR(INDEX('Email Cleaner'!$B$2:$B$10001,MATCH(5036,'Email Cleaner'!$I$2:$I$10001,0)),"")</f>
        <v/>
      </c>
    </row>
    <row r="5038">
      <c r="A5038">
        <f>IFERROR(INDEX('Email Cleaner'!$B$2:$B$10001,MATCH(5037,'Email Cleaner'!$I$2:$I$10001,0)),"")</f>
        <v/>
      </c>
    </row>
    <row r="5039">
      <c r="A5039">
        <f>IFERROR(INDEX('Email Cleaner'!$B$2:$B$10001,MATCH(5038,'Email Cleaner'!$I$2:$I$10001,0)),"")</f>
        <v/>
      </c>
    </row>
    <row r="5040">
      <c r="A5040">
        <f>IFERROR(INDEX('Email Cleaner'!$B$2:$B$10001,MATCH(5039,'Email Cleaner'!$I$2:$I$10001,0)),"")</f>
        <v/>
      </c>
    </row>
    <row r="5041">
      <c r="A5041">
        <f>IFERROR(INDEX('Email Cleaner'!$B$2:$B$10001,MATCH(5040,'Email Cleaner'!$I$2:$I$10001,0)),"")</f>
        <v/>
      </c>
    </row>
    <row r="5042">
      <c r="A5042">
        <f>IFERROR(INDEX('Email Cleaner'!$B$2:$B$10001,MATCH(5041,'Email Cleaner'!$I$2:$I$10001,0)),"")</f>
        <v/>
      </c>
    </row>
    <row r="5043">
      <c r="A5043">
        <f>IFERROR(INDEX('Email Cleaner'!$B$2:$B$10001,MATCH(5042,'Email Cleaner'!$I$2:$I$10001,0)),"")</f>
        <v/>
      </c>
    </row>
    <row r="5044">
      <c r="A5044">
        <f>IFERROR(INDEX('Email Cleaner'!$B$2:$B$10001,MATCH(5043,'Email Cleaner'!$I$2:$I$10001,0)),"")</f>
        <v/>
      </c>
    </row>
    <row r="5045">
      <c r="A5045">
        <f>IFERROR(INDEX('Email Cleaner'!$B$2:$B$10001,MATCH(5044,'Email Cleaner'!$I$2:$I$10001,0)),"")</f>
        <v/>
      </c>
    </row>
    <row r="5046">
      <c r="A5046">
        <f>IFERROR(INDEX('Email Cleaner'!$B$2:$B$10001,MATCH(5045,'Email Cleaner'!$I$2:$I$10001,0)),"")</f>
        <v/>
      </c>
    </row>
    <row r="5047">
      <c r="A5047">
        <f>IFERROR(INDEX('Email Cleaner'!$B$2:$B$10001,MATCH(5046,'Email Cleaner'!$I$2:$I$10001,0)),"")</f>
        <v/>
      </c>
    </row>
    <row r="5048">
      <c r="A5048">
        <f>IFERROR(INDEX('Email Cleaner'!$B$2:$B$10001,MATCH(5047,'Email Cleaner'!$I$2:$I$10001,0)),"")</f>
        <v/>
      </c>
    </row>
    <row r="5049">
      <c r="A5049">
        <f>IFERROR(INDEX('Email Cleaner'!$B$2:$B$10001,MATCH(5048,'Email Cleaner'!$I$2:$I$10001,0)),"")</f>
        <v/>
      </c>
    </row>
    <row r="5050">
      <c r="A5050">
        <f>IFERROR(INDEX('Email Cleaner'!$B$2:$B$10001,MATCH(5049,'Email Cleaner'!$I$2:$I$10001,0)),"")</f>
        <v/>
      </c>
    </row>
    <row r="5051">
      <c r="A5051">
        <f>IFERROR(INDEX('Email Cleaner'!$B$2:$B$10001,MATCH(5050,'Email Cleaner'!$I$2:$I$10001,0)),"")</f>
        <v/>
      </c>
    </row>
    <row r="5052">
      <c r="A5052">
        <f>IFERROR(INDEX('Email Cleaner'!$B$2:$B$10001,MATCH(5051,'Email Cleaner'!$I$2:$I$10001,0)),"")</f>
        <v/>
      </c>
    </row>
    <row r="5053">
      <c r="A5053">
        <f>IFERROR(INDEX('Email Cleaner'!$B$2:$B$10001,MATCH(5052,'Email Cleaner'!$I$2:$I$10001,0)),"")</f>
        <v/>
      </c>
    </row>
    <row r="5054">
      <c r="A5054">
        <f>IFERROR(INDEX('Email Cleaner'!$B$2:$B$10001,MATCH(5053,'Email Cleaner'!$I$2:$I$10001,0)),"")</f>
        <v/>
      </c>
    </row>
    <row r="5055">
      <c r="A5055">
        <f>IFERROR(INDEX('Email Cleaner'!$B$2:$B$10001,MATCH(5054,'Email Cleaner'!$I$2:$I$10001,0)),"")</f>
        <v/>
      </c>
    </row>
    <row r="5056">
      <c r="A5056">
        <f>IFERROR(INDEX('Email Cleaner'!$B$2:$B$10001,MATCH(5055,'Email Cleaner'!$I$2:$I$10001,0)),"")</f>
        <v/>
      </c>
    </row>
    <row r="5057">
      <c r="A5057">
        <f>IFERROR(INDEX('Email Cleaner'!$B$2:$B$10001,MATCH(5056,'Email Cleaner'!$I$2:$I$10001,0)),"")</f>
        <v/>
      </c>
    </row>
    <row r="5058">
      <c r="A5058">
        <f>IFERROR(INDEX('Email Cleaner'!$B$2:$B$10001,MATCH(5057,'Email Cleaner'!$I$2:$I$10001,0)),"")</f>
        <v/>
      </c>
    </row>
    <row r="5059">
      <c r="A5059">
        <f>IFERROR(INDEX('Email Cleaner'!$B$2:$B$10001,MATCH(5058,'Email Cleaner'!$I$2:$I$10001,0)),"")</f>
        <v/>
      </c>
    </row>
    <row r="5060">
      <c r="A5060">
        <f>IFERROR(INDEX('Email Cleaner'!$B$2:$B$10001,MATCH(5059,'Email Cleaner'!$I$2:$I$10001,0)),"")</f>
        <v/>
      </c>
    </row>
    <row r="5061">
      <c r="A5061">
        <f>IFERROR(INDEX('Email Cleaner'!$B$2:$B$10001,MATCH(5060,'Email Cleaner'!$I$2:$I$10001,0)),"")</f>
        <v/>
      </c>
    </row>
    <row r="5062">
      <c r="A5062">
        <f>IFERROR(INDEX('Email Cleaner'!$B$2:$B$10001,MATCH(5061,'Email Cleaner'!$I$2:$I$10001,0)),"")</f>
        <v/>
      </c>
    </row>
    <row r="5063">
      <c r="A5063">
        <f>IFERROR(INDEX('Email Cleaner'!$B$2:$B$10001,MATCH(5062,'Email Cleaner'!$I$2:$I$10001,0)),"")</f>
        <v/>
      </c>
    </row>
    <row r="5064">
      <c r="A5064">
        <f>IFERROR(INDEX('Email Cleaner'!$B$2:$B$10001,MATCH(5063,'Email Cleaner'!$I$2:$I$10001,0)),"")</f>
        <v/>
      </c>
    </row>
    <row r="5065">
      <c r="A5065">
        <f>IFERROR(INDEX('Email Cleaner'!$B$2:$B$10001,MATCH(5064,'Email Cleaner'!$I$2:$I$10001,0)),"")</f>
        <v/>
      </c>
    </row>
    <row r="5066">
      <c r="A5066">
        <f>IFERROR(INDEX('Email Cleaner'!$B$2:$B$10001,MATCH(5065,'Email Cleaner'!$I$2:$I$10001,0)),"")</f>
        <v/>
      </c>
    </row>
    <row r="5067">
      <c r="A5067">
        <f>IFERROR(INDEX('Email Cleaner'!$B$2:$B$10001,MATCH(5066,'Email Cleaner'!$I$2:$I$10001,0)),"")</f>
        <v/>
      </c>
    </row>
    <row r="5068">
      <c r="A5068">
        <f>IFERROR(INDEX('Email Cleaner'!$B$2:$B$10001,MATCH(5067,'Email Cleaner'!$I$2:$I$10001,0)),"")</f>
        <v/>
      </c>
    </row>
    <row r="5069">
      <c r="A5069">
        <f>IFERROR(INDEX('Email Cleaner'!$B$2:$B$10001,MATCH(5068,'Email Cleaner'!$I$2:$I$10001,0)),"")</f>
        <v/>
      </c>
    </row>
    <row r="5070">
      <c r="A5070">
        <f>IFERROR(INDEX('Email Cleaner'!$B$2:$B$10001,MATCH(5069,'Email Cleaner'!$I$2:$I$10001,0)),"")</f>
        <v/>
      </c>
    </row>
    <row r="5071">
      <c r="A5071">
        <f>IFERROR(INDEX('Email Cleaner'!$B$2:$B$10001,MATCH(5070,'Email Cleaner'!$I$2:$I$10001,0)),"")</f>
        <v/>
      </c>
    </row>
    <row r="5072">
      <c r="A5072">
        <f>IFERROR(INDEX('Email Cleaner'!$B$2:$B$10001,MATCH(5071,'Email Cleaner'!$I$2:$I$10001,0)),"")</f>
        <v/>
      </c>
    </row>
    <row r="5073">
      <c r="A5073">
        <f>IFERROR(INDEX('Email Cleaner'!$B$2:$B$10001,MATCH(5072,'Email Cleaner'!$I$2:$I$10001,0)),"")</f>
        <v/>
      </c>
    </row>
    <row r="5074">
      <c r="A5074">
        <f>IFERROR(INDEX('Email Cleaner'!$B$2:$B$10001,MATCH(5073,'Email Cleaner'!$I$2:$I$10001,0)),"")</f>
        <v/>
      </c>
    </row>
    <row r="5075">
      <c r="A5075">
        <f>IFERROR(INDEX('Email Cleaner'!$B$2:$B$10001,MATCH(5074,'Email Cleaner'!$I$2:$I$10001,0)),"")</f>
        <v/>
      </c>
    </row>
    <row r="5076">
      <c r="A5076">
        <f>IFERROR(INDEX('Email Cleaner'!$B$2:$B$10001,MATCH(5075,'Email Cleaner'!$I$2:$I$10001,0)),"")</f>
        <v/>
      </c>
    </row>
    <row r="5077">
      <c r="A5077">
        <f>IFERROR(INDEX('Email Cleaner'!$B$2:$B$10001,MATCH(5076,'Email Cleaner'!$I$2:$I$10001,0)),"")</f>
        <v/>
      </c>
    </row>
    <row r="5078">
      <c r="A5078">
        <f>IFERROR(INDEX('Email Cleaner'!$B$2:$B$10001,MATCH(5077,'Email Cleaner'!$I$2:$I$10001,0)),"")</f>
        <v/>
      </c>
    </row>
    <row r="5079">
      <c r="A5079">
        <f>IFERROR(INDEX('Email Cleaner'!$B$2:$B$10001,MATCH(5078,'Email Cleaner'!$I$2:$I$10001,0)),"")</f>
        <v/>
      </c>
    </row>
    <row r="5080">
      <c r="A5080">
        <f>IFERROR(INDEX('Email Cleaner'!$B$2:$B$10001,MATCH(5079,'Email Cleaner'!$I$2:$I$10001,0)),"")</f>
        <v/>
      </c>
    </row>
    <row r="5081">
      <c r="A5081">
        <f>IFERROR(INDEX('Email Cleaner'!$B$2:$B$10001,MATCH(5080,'Email Cleaner'!$I$2:$I$10001,0)),"")</f>
        <v/>
      </c>
    </row>
    <row r="5082">
      <c r="A5082">
        <f>IFERROR(INDEX('Email Cleaner'!$B$2:$B$10001,MATCH(5081,'Email Cleaner'!$I$2:$I$10001,0)),"")</f>
        <v/>
      </c>
    </row>
    <row r="5083">
      <c r="A5083">
        <f>IFERROR(INDEX('Email Cleaner'!$B$2:$B$10001,MATCH(5082,'Email Cleaner'!$I$2:$I$10001,0)),"")</f>
        <v/>
      </c>
    </row>
    <row r="5084">
      <c r="A5084">
        <f>IFERROR(INDEX('Email Cleaner'!$B$2:$B$10001,MATCH(5083,'Email Cleaner'!$I$2:$I$10001,0)),"")</f>
        <v/>
      </c>
    </row>
    <row r="5085">
      <c r="A5085">
        <f>IFERROR(INDEX('Email Cleaner'!$B$2:$B$10001,MATCH(5084,'Email Cleaner'!$I$2:$I$10001,0)),"")</f>
        <v/>
      </c>
    </row>
    <row r="5086">
      <c r="A5086">
        <f>IFERROR(INDEX('Email Cleaner'!$B$2:$B$10001,MATCH(5085,'Email Cleaner'!$I$2:$I$10001,0)),"")</f>
        <v/>
      </c>
    </row>
    <row r="5087">
      <c r="A5087">
        <f>IFERROR(INDEX('Email Cleaner'!$B$2:$B$10001,MATCH(5086,'Email Cleaner'!$I$2:$I$10001,0)),"")</f>
        <v/>
      </c>
    </row>
    <row r="5088">
      <c r="A5088">
        <f>IFERROR(INDEX('Email Cleaner'!$B$2:$B$10001,MATCH(5087,'Email Cleaner'!$I$2:$I$10001,0)),"")</f>
        <v/>
      </c>
    </row>
    <row r="5089">
      <c r="A5089">
        <f>IFERROR(INDEX('Email Cleaner'!$B$2:$B$10001,MATCH(5088,'Email Cleaner'!$I$2:$I$10001,0)),"")</f>
        <v/>
      </c>
    </row>
    <row r="5090">
      <c r="A5090">
        <f>IFERROR(INDEX('Email Cleaner'!$B$2:$B$10001,MATCH(5089,'Email Cleaner'!$I$2:$I$10001,0)),"")</f>
        <v/>
      </c>
    </row>
    <row r="5091">
      <c r="A5091">
        <f>IFERROR(INDEX('Email Cleaner'!$B$2:$B$10001,MATCH(5090,'Email Cleaner'!$I$2:$I$10001,0)),"")</f>
        <v/>
      </c>
    </row>
    <row r="5092">
      <c r="A5092">
        <f>IFERROR(INDEX('Email Cleaner'!$B$2:$B$10001,MATCH(5091,'Email Cleaner'!$I$2:$I$10001,0)),"")</f>
        <v/>
      </c>
    </row>
    <row r="5093">
      <c r="A5093">
        <f>IFERROR(INDEX('Email Cleaner'!$B$2:$B$10001,MATCH(5092,'Email Cleaner'!$I$2:$I$10001,0)),"")</f>
        <v/>
      </c>
    </row>
    <row r="5094">
      <c r="A5094">
        <f>IFERROR(INDEX('Email Cleaner'!$B$2:$B$10001,MATCH(5093,'Email Cleaner'!$I$2:$I$10001,0)),"")</f>
        <v/>
      </c>
    </row>
    <row r="5095">
      <c r="A5095">
        <f>IFERROR(INDEX('Email Cleaner'!$B$2:$B$10001,MATCH(5094,'Email Cleaner'!$I$2:$I$10001,0)),"")</f>
        <v/>
      </c>
    </row>
    <row r="5096">
      <c r="A5096">
        <f>IFERROR(INDEX('Email Cleaner'!$B$2:$B$10001,MATCH(5095,'Email Cleaner'!$I$2:$I$10001,0)),"")</f>
        <v/>
      </c>
    </row>
    <row r="5097">
      <c r="A5097">
        <f>IFERROR(INDEX('Email Cleaner'!$B$2:$B$10001,MATCH(5096,'Email Cleaner'!$I$2:$I$10001,0)),"")</f>
        <v/>
      </c>
    </row>
    <row r="5098">
      <c r="A5098">
        <f>IFERROR(INDEX('Email Cleaner'!$B$2:$B$10001,MATCH(5097,'Email Cleaner'!$I$2:$I$10001,0)),"")</f>
        <v/>
      </c>
    </row>
    <row r="5099">
      <c r="A5099">
        <f>IFERROR(INDEX('Email Cleaner'!$B$2:$B$10001,MATCH(5098,'Email Cleaner'!$I$2:$I$10001,0)),"")</f>
        <v/>
      </c>
    </row>
    <row r="5100">
      <c r="A5100">
        <f>IFERROR(INDEX('Email Cleaner'!$B$2:$B$10001,MATCH(5099,'Email Cleaner'!$I$2:$I$10001,0)),"")</f>
        <v/>
      </c>
    </row>
    <row r="5101">
      <c r="A5101">
        <f>IFERROR(INDEX('Email Cleaner'!$B$2:$B$10001,MATCH(5100,'Email Cleaner'!$I$2:$I$10001,0)),"")</f>
        <v/>
      </c>
    </row>
    <row r="5102">
      <c r="A5102">
        <f>IFERROR(INDEX('Email Cleaner'!$B$2:$B$10001,MATCH(5101,'Email Cleaner'!$I$2:$I$10001,0)),"")</f>
        <v/>
      </c>
    </row>
    <row r="5103">
      <c r="A5103">
        <f>IFERROR(INDEX('Email Cleaner'!$B$2:$B$10001,MATCH(5102,'Email Cleaner'!$I$2:$I$10001,0)),"")</f>
        <v/>
      </c>
    </row>
    <row r="5104">
      <c r="A5104">
        <f>IFERROR(INDEX('Email Cleaner'!$B$2:$B$10001,MATCH(5103,'Email Cleaner'!$I$2:$I$10001,0)),"")</f>
        <v/>
      </c>
    </row>
    <row r="5105">
      <c r="A5105">
        <f>IFERROR(INDEX('Email Cleaner'!$B$2:$B$10001,MATCH(5104,'Email Cleaner'!$I$2:$I$10001,0)),"")</f>
        <v/>
      </c>
    </row>
    <row r="5106">
      <c r="A5106">
        <f>IFERROR(INDEX('Email Cleaner'!$B$2:$B$10001,MATCH(5105,'Email Cleaner'!$I$2:$I$10001,0)),"")</f>
        <v/>
      </c>
    </row>
    <row r="5107">
      <c r="A5107">
        <f>IFERROR(INDEX('Email Cleaner'!$B$2:$B$10001,MATCH(5106,'Email Cleaner'!$I$2:$I$10001,0)),"")</f>
        <v/>
      </c>
    </row>
    <row r="5108">
      <c r="A5108">
        <f>IFERROR(INDEX('Email Cleaner'!$B$2:$B$10001,MATCH(5107,'Email Cleaner'!$I$2:$I$10001,0)),"")</f>
        <v/>
      </c>
    </row>
    <row r="5109">
      <c r="A5109">
        <f>IFERROR(INDEX('Email Cleaner'!$B$2:$B$10001,MATCH(5108,'Email Cleaner'!$I$2:$I$10001,0)),"")</f>
        <v/>
      </c>
    </row>
    <row r="5110">
      <c r="A5110">
        <f>IFERROR(INDEX('Email Cleaner'!$B$2:$B$10001,MATCH(5109,'Email Cleaner'!$I$2:$I$10001,0)),"")</f>
        <v/>
      </c>
    </row>
    <row r="5111">
      <c r="A5111">
        <f>IFERROR(INDEX('Email Cleaner'!$B$2:$B$10001,MATCH(5110,'Email Cleaner'!$I$2:$I$10001,0)),"")</f>
        <v/>
      </c>
    </row>
    <row r="5112">
      <c r="A5112">
        <f>IFERROR(INDEX('Email Cleaner'!$B$2:$B$10001,MATCH(5111,'Email Cleaner'!$I$2:$I$10001,0)),"")</f>
        <v/>
      </c>
    </row>
    <row r="5113">
      <c r="A5113">
        <f>IFERROR(INDEX('Email Cleaner'!$B$2:$B$10001,MATCH(5112,'Email Cleaner'!$I$2:$I$10001,0)),"")</f>
        <v/>
      </c>
    </row>
    <row r="5114">
      <c r="A5114">
        <f>IFERROR(INDEX('Email Cleaner'!$B$2:$B$10001,MATCH(5113,'Email Cleaner'!$I$2:$I$10001,0)),"")</f>
        <v/>
      </c>
    </row>
    <row r="5115">
      <c r="A5115">
        <f>IFERROR(INDEX('Email Cleaner'!$B$2:$B$10001,MATCH(5114,'Email Cleaner'!$I$2:$I$10001,0)),"")</f>
        <v/>
      </c>
    </row>
    <row r="5116">
      <c r="A5116">
        <f>IFERROR(INDEX('Email Cleaner'!$B$2:$B$10001,MATCH(5115,'Email Cleaner'!$I$2:$I$10001,0)),"")</f>
        <v/>
      </c>
    </row>
    <row r="5117">
      <c r="A5117">
        <f>IFERROR(INDEX('Email Cleaner'!$B$2:$B$10001,MATCH(5116,'Email Cleaner'!$I$2:$I$10001,0)),"")</f>
        <v/>
      </c>
    </row>
    <row r="5118">
      <c r="A5118">
        <f>IFERROR(INDEX('Email Cleaner'!$B$2:$B$10001,MATCH(5117,'Email Cleaner'!$I$2:$I$10001,0)),"")</f>
        <v/>
      </c>
    </row>
    <row r="5119">
      <c r="A5119">
        <f>IFERROR(INDEX('Email Cleaner'!$B$2:$B$10001,MATCH(5118,'Email Cleaner'!$I$2:$I$10001,0)),"")</f>
        <v/>
      </c>
    </row>
    <row r="5120">
      <c r="A5120">
        <f>IFERROR(INDEX('Email Cleaner'!$B$2:$B$10001,MATCH(5119,'Email Cleaner'!$I$2:$I$10001,0)),"")</f>
        <v/>
      </c>
    </row>
    <row r="5121">
      <c r="A5121">
        <f>IFERROR(INDEX('Email Cleaner'!$B$2:$B$10001,MATCH(5120,'Email Cleaner'!$I$2:$I$10001,0)),"")</f>
        <v/>
      </c>
    </row>
    <row r="5122">
      <c r="A5122">
        <f>IFERROR(INDEX('Email Cleaner'!$B$2:$B$10001,MATCH(5121,'Email Cleaner'!$I$2:$I$10001,0)),"")</f>
        <v/>
      </c>
    </row>
    <row r="5123">
      <c r="A5123">
        <f>IFERROR(INDEX('Email Cleaner'!$B$2:$B$10001,MATCH(5122,'Email Cleaner'!$I$2:$I$10001,0)),"")</f>
        <v/>
      </c>
    </row>
    <row r="5124">
      <c r="A5124">
        <f>IFERROR(INDEX('Email Cleaner'!$B$2:$B$10001,MATCH(5123,'Email Cleaner'!$I$2:$I$10001,0)),"")</f>
        <v/>
      </c>
    </row>
    <row r="5125">
      <c r="A5125">
        <f>IFERROR(INDEX('Email Cleaner'!$B$2:$B$10001,MATCH(5124,'Email Cleaner'!$I$2:$I$10001,0)),"")</f>
        <v/>
      </c>
    </row>
    <row r="5126">
      <c r="A5126">
        <f>IFERROR(INDEX('Email Cleaner'!$B$2:$B$10001,MATCH(5125,'Email Cleaner'!$I$2:$I$10001,0)),"")</f>
        <v/>
      </c>
    </row>
    <row r="5127">
      <c r="A5127">
        <f>IFERROR(INDEX('Email Cleaner'!$B$2:$B$10001,MATCH(5126,'Email Cleaner'!$I$2:$I$10001,0)),"")</f>
        <v/>
      </c>
    </row>
    <row r="5128">
      <c r="A5128">
        <f>IFERROR(INDEX('Email Cleaner'!$B$2:$B$10001,MATCH(5127,'Email Cleaner'!$I$2:$I$10001,0)),"")</f>
        <v/>
      </c>
    </row>
    <row r="5129">
      <c r="A5129">
        <f>IFERROR(INDEX('Email Cleaner'!$B$2:$B$10001,MATCH(5128,'Email Cleaner'!$I$2:$I$10001,0)),"")</f>
        <v/>
      </c>
    </row>
    <row r="5130">
      <c r="A5130">
        <f>IFERROR(INDEX('Email Cleaner'!$B$2:$B$10001,MATCH(5129,'Email Cleaner'!$I$2:$I$10001,0)),"")</f>
        <v/>
      </c>
    </row>
    <row r="5131">
      <c r="A5131">
        <f>IFERROR(INDEX('Email Cleaner'!$B$2:$B$10001,MATCH(5130,'Email Cleaner'!$I$2:$I$10001,0)),"")</f>
        <v/>
      </c>
    </row>
    <row r="5132">
      <c r="A5132">
        <f>IFERROR(INDEX('Email Cleaner'!$B$2:$B$10001,MATCH(5131,'Email Cleaner'!$I$2:$I$10001,0)),"")</f>
        <v/>
      </c>
    </row>
    <row r="5133">
      <c r="A5133">
        <f>IFERROR(INDEX('Email Cleaner'!$B$2:$B$10001,MATCH(5132,'Email Cleaner'!$I$2:$I$10001,0)),"")</f>
        <v/>
      </c>
    </row>
    <row r="5134">
      <c r="A5134">
        <f>IFERROR(INDEX('Email Cleaner'!$B$2:$B$10001,MATCH(5133,'Email Cleaner'!$I$2:$I$10001,0)),"")</f>
        <v/>
      </c>
    </row>
    <row r="5135">
      <c r="A5135">
        <f>IFERROR(INDEX('Email Cleaner'!$B$2:$B$10001,MATCH(5134,'Email Cleaner'!$I$2:$I$10001,0)),"")</f>
        <v/>
      </c>
    </row>
    <row r="5136">
      <c r="A5136">
        <f>IFERROR(INDEX('Email Cleaner'!$B$2:$B$10001,MATCH(5135,'Email Cleaner'!$I$2:$I$10001,0)),"")</f>
        <v/>
      </c>
    </row>
    <row r="5137">
      <c r="A5137">
        <f>IFERROR(INDEX('Email Cleaner'!$B$2:$B$10001,MATCH(5136,'Email Cleaner'!$I$2:$I$10001,0)),"")</f>
        <v/>
      </c>
    </row>
    <row r="5138">
      <c r="A5138">
        <f>IFERROR(INDEX('Email Cleaner'!$B$2:$B$10001,MATCH(5137,'Email Cleaner'!$I$2:$I$10001,0)),"")</f>
        <v/>
      </c>
    </row>
    <row r="5139">
      <c r="A5139">
        <f>IFERROR(INDEX('Email Cleaner'!$B$2:$B$10001,MATCH(5138,'Email Cleaner'!$I$2:$I$10001,0)),"")</f>
        <v/>
      </c>
    </row>
    <row r="5140">
      <c r="A5140">
        <f>IFERROR(INDEX('Email Cleaner'!$B$2:$B$10001,MATCH(5139,'Email Cleaner'!$I$2:$I$10001,0)),"")</f>
        <v/>
      </c>
    </row>
    <row r="5141">
      <c r="A5141">
        <f>IFERROR(INDEX('Email Cleaner'!$B$2:$B$10001,MATCH(5140,'Email Cleaner'!$I$2:$I$10001,0)),"")</f>
        <v/>
      </c>
    </row>
    <row r="5142">
      <c r="A5142">
        <f>IFERROR(INDEX('Email Cleaner'!$B$2:$B$10001,MATCH(5141,'Email Cleaner'!$I$2:$I$10001,0)),"")</f>
        <v/>
      </c>
    </row>
    <row r="5143">
      <c r="A5143">
        <f>IFERROR(INDEX('Email Cleaner'!$B$2:$B$10001,MATCH(5142,'Email Cleaner'!$I$2:$I$10001,0)),"")</f>
        <v/>
      </c>
    </row>
    <row r="5144">
      <c r="A5144">
        <f>IFERROR(INDEX('Email Cleaner'!$B$2:$B$10001,MATCH(5143,'Email Cleaner'!$I$2:$I$10001,0)),"")</f>
        <v/>
      </c>
    </row>
    <row r="5145">
      <c r="A5145">
        <f>IFERROR(INDEX('Email Cleaner'!$B$2:$B$10001,MATCH(5144,'Email Cleaner'!$I$2:$I$10001,0)),"")</f>
        <v/>
      </c>
    </row>
    <row r="5146">
      <c r="A5146">
        <f>IFERROR(INDEX('Email Cleaner'!$B$2:$B$10001,MATCH(5145,'Email Cleaner'!$I$2:$I$10001,0)),"")</f>
        <v/>
      </c>
    </row>
    <row r="5147">
      <c r="A5147">
        <f>IFERROR(INDEX('Email Cleaner'!$B$2:$B$10001,MATCH(5146,'Email Cleaner'!$I$2:$I$10001,0)),"")</f>
        <v/>
      </c>
    </row>
    <row r="5148">
      <c r="A5148">
        <f>IFERROR(INDEX('Email Cleaner'!$B$2:$B$10001,MATCH(5147,'Email Cleaner'!$I$2:$I$10001,0)),"")</f>
        <v/>
      </c>
    </row>
    <row r="5149">
      <c r="A5149">
        <f>IFERROR(INDEX('Email Cleaner'!$B$2:$B$10001,MATCH(5148,'Email Cleaner'!$I$2:$I$10001,0)),"")</f>
        <v/>
      </c>
    </row>
    <row r="5150">
      <c r="A5150">
        <f>IFERROR(INDEX('Email Cleaner'!$B$2:$B$10001,MATCH(5149,'Email Cleaner'!$I$2:$I$10001,0)),"")</f>
        <v/>
      </c>
    </row>
    <row r="5151">
      <c r="A5151">
        <f>IFERROR(INDEX('Email Cleaner'!$B$2:$B$10001,MATCH(5150,'Email Cleaner'!$I$2:$I$10001,0)),"")</f>
        <v/>
      </c>
    </row>
    <row r="5152">
      <c r="A5152">
        <f>IFERROR(INDEX('Email Cleaner'!$B$2:$B$10001,MATCH(5151,'Email Cleaner'!$I$2:$I$10001,0)),"")</f>
        <v/>
      </c>
    </row>
    <row r="5153">
      <c r="A5153">
        <f>IFERROR(INDEX('Email Cleaner'!$B$2:$B$10001,MATCH(5152,'Email Cleaner'!$I$2:$I$10001,0)),"")</f>
        <v/>
      </c>
    </row>
    <row r="5154">
      <c r="A5154">
        <f>IFERROR(INDEX('Email Cleaner'!$B$2:$B$10001,MATCH(5153,'Email Cleaner'!$I$2:$I$10001,0)),"")</f>
        <v/>
      </c>
    </row>
    <row r="5155">
      <c r="A5155">
        <f>IFERROR(INDEX('Email Cleaner'!$B$2:$B$10001,MATCH(5154,'Email Cleaner'!$I$2:$I$10001,0)),"")</f>
        <v/>
      </c>
    </row>
    <row r="5156">
      <c r="A5156">
        <f>IFERROR(INDEX('Email Cleaner'!$B$2:$B$10001,MATCH(5155,'Email Cleaner'!$I$2:$I$10001,0)),"")</f>
        <v/>
      </c>
    </row>
    <row r="5157">
      <c r="A5157">
        <f>IFERROR(INDEX('Email Cleaner'!$B$2:$B$10001,MATCH(5156,'Email Cleaner'!$I$2:$I$10001,0)),"")</f>
        <v/>
      </c>
    </row>
    <row r="5158">
      <c r="A5158">
        <f>IFERROR(INDEX('Email Cleaner'!$B$2:$B$10001,MATCH(5157,'Email Cleaner'!$I$2:$I$10001,0)),"")</f>
        <v/>
      </c>
    </row>
    <row r="5159">
      <c r="A5159">
        <f>IFERROR(INDEX('Email Cleaner'!$B$2:$B$10001,MATCH(5158,'Email Cleaner'!$I$2:$I$10001,0)),"")</f>
        <v/>
      </c>
    </row>
    <row r="5160">
      <c r="A5160">
        <f>IFERROR(INDEX('Email Cleaner'!$B$2:$B$10001,MATCH(5159,'Email Cleaner'!$I$2:$I$10001,0)),"")</f>
        <v/>
      </c>
    </row>
    <row r="5161">
      <c r="A5161">
        <f>IFERROR(INDEX('Email Cleaner'!$B$2:$B$10001,MATCH(5160,'Email Cleaner'!$I$2:$I$10001,0)),"")</f>
        <v/>
      </c>
    </row>
    <row r="5162">
      <c r="A5162">
        <f>IFERROR(INDEX('Email Cleaner'!$B$2:$B$10001,MATCH(5161,'Email Cleaner'!$I$2:$I$10001,0)),"")</f>
        <v/>
      </c>
    </row>
    <row r="5163">
      <c r="A5163">
        <f>IFERROR(INDEX('Email Cleaner'!$B$2:$B$10001,MATCH(5162,'Email Cleaner'!$I$2:$I$10001,0)),"")</f>
        <v/>
      </c>
    </row>
    <row r="5164">
      <c r="A5164">
        <f>IFERROR(INDEX('Email Cleaner'!$B$2:$B$10001,MATCH(5163,'Email Cleaner'!$I$2:$I$10001,0)),"")</f>
        <v/>
      </c>
    </row>
    <row r="5165">
      <c r="A5165">
        <f>IFERROR(INDEX('Email Cleaner'!$B$2:$B$10001,MATCH(5164,'Email Cleaner'!$I$2:$I$10001,0)),"")</f>
        <v/>
      </c>
    </row>
    <row r="5166">
      <c r="A5166">
        <f>IFERROR(INDEX('Email Cleaner'!$B$2:$B$10001,MATCH(5165,'Email Cleaner'!$I$2:$I$10001,0)),"")</f>
        <v/>
      </c>
    </row>
    <row r="5167">
      <c r="A5167">
        <f>IFERROR(INDEX('Email Cleaner'!$B$2:$B$10001,MATCH(5166,'Email Cleaner'!$I$2:$I$10001,0)),"")</f>
        <v/>
      </c>
    </row>
    <row r="5168">
      <c r="A5168">
        <f>IFERROR(INDEX('Email Cleaner'!$B$2:$B$10001,MATCH(5167,'Email Cleaner'!$I$2:$I$10001,0)),"")</f>
        <v/>
      </c>
    </row>
    <row r="5169">
      <c r="A5169">
        <f>IFERROR(INDEX('Email Cleaner'!$B$2:$B$10001,MATCH(5168,'Email Cleaner'!$I$2:$I$10001,0)),"")</f>
        <v/>
      </c>
    </row>
    <row r="5170">
      <c r="A5170">
        <f>IFERROR(INDEX('Email Cleaner'!$B$2:$B$10001,MATCH(5169,'Email Cleaner'!$I$2:$I$10001,0)),"")</f>
        <v/>
      </c>
    </row>
    <row r="5171">
      <c r="A5171">
        <f>IFERROR(INDEX('Email Cleaner'!$B$2:$B$10001,MATCH(5170,'Email Cleaner'!$I$2:$I$10001,0)),"")</f>
        <v/>
      </c>
    </row>
    <row r="5172">
      <c r="A5172">
        <f>IFERROR(INDEX('Email Cleaner'!$B$2:$B$10001,MATCH(5171,'Email Cleaner'!$I$2:$I$10001,0)),"")</f>
        <v/>
      </c>
    </row>
    <row r="5173">
      <c r="A5173">
        <f>IFERROR(INDEX('Email Cleaner'!$B$2:$B$10001,MATCH(5172,'Email Cleaner'!$I$2:$I$10001,0)),"")</f>
        <v/>
      </c>
    </row>
    <row r="5174">
      <c r="A5174">
        <f>IFERROR(INDEX('Email Cleaner'!$B$2:$B$10001,MATCH(5173,'Email Cleaner'!$I$2:$I$10001,0)),"")</f>
        <v/>
      </c>
    </row>
    <row r="5175">
      <c r="A5175">
        <f>IFERROR(INDEX('Email Cleaner'!$B$2:$B$10001,MATCH(5174,'Email Cleaner'!$I$2:$I$10001,0)),"")</f>
        <v/>
      </c>
    </row>
    <row r="5176">
      <c r="A5176">
        <f>IFERROR(INDEX('Email Cleaner'!$B$2:$B$10001,MATCH(5175,'Email Cleaner'!$I$2:$I$10001,0)),"")</f>
        <v/>
      </c>
    </row>
    <row r="5177">
      <c r="A5177">
        <f>IFERROR(INDEX('Email Cleaner'!$B$2:$B$10001,MATCH(5176,'Email Cleaner'!$I$2:$I$10001,0)),"")</f>
        <v/>
      </c>
    </row>
    <row r="5178">
      <c r="A5178">
        <f>IFERROR(INDEX('Email Cleaner'!$B$2:$B$10001,MATCH(5177,'Email Cleaner'!$I$2:$I$10001,0)),"")</f>
        <v/>
      </c>
    </row>
    <row r="5179">
      <c r="A5179">
        <f>IFERROR(INDEX('Email Cleaner'!$B$2:$B$10001,MATCH(5178,'Email Cleaner'!$I$2:$I$10001,0)),"")</f>
        <v/>
      </c>
    </row>
    <row r="5180">
      <c r="A5180">
        <f>IFERROR(INDEX('Email Cleaner'!$B$2:$B$10001,MATCH(5179,'Email Cleaner'!$I$2:$I$10001,0)),"")</f>
        <v/>
      </c>
    </row>
    <row r="5181">
      <c r="A5181">
        <f>IFERROR(INDEX('Email Cleaner'!$B$2:$B$10001,MATCH(5180,'Email Cleaner'!$I$2:$I$10001,0)),"")</f>
        <v/>
      </c>
    </row>
    <row r="5182">
      <c r="A5182">
        <f>IFERROR(INDEX('Email Cleaner'!$B$2:$B$10001,MATCH(5181,'Email Cleaner'!$I$2:$I$10001,0)),"")</f>
        <v/>
      </c>
    </row>
    <row r="5183">
      <c r="A5183">
        <f>IFERROR(INDEX('Email Cleaner'!$B$2:$B$10001,MATCH(5182,'Email Cleaner'!$I$2:$I$10001,0)),"")</f>
        <v/>
      </c>
    </row>
    <row r="5184">
      <c r="A5184">
        <f>IFERROR(INDEX('Email Cleaner'!$B$2:$B$10001,MATCH(5183,'Email Cleaner'!$I$2:$I$10001,0)),"")</f>
        <v/>
      </c>
    </row>
    <row r="5185">
      <c r="A5185">
        <f>IFERROR(INDEX('Email Cleaner'!$B$2:$B$10001,MATCH(5184,'Email Cleaner'!$I$2:$I$10001,0)),"")</f>
        <v/>
      </c>
    </row>
    <row r="5186">
      <c r="A5186">
        <f>IFERROR(INDEX('Email Cleaner'!$B$2:$B$10001,MATCH(5185,'Email Cleaner'!$I$2:$I$10001,0)),"")</f>
        <v/>
      </c>
    </row>
    <row r="5187">
      <c r="A5187">
        <f>IFERROR(INDEX('Email Cleaner'!$B$2:$B$10001,MATCH(5186,'Email Cleaner'!$I$2:$I$10001,0)),"")</f>
        <v/>
      </c>
    </row>
    <row r="5188">
      <c r="A5188">
        <f>IFERROR(INDEX('Email Cleaner'!$B$2:$B$10001,MATCH(5187,'Email Cleaner'!$I$2:$I$10001,0)),"")</f>
        <v/>
      </c>
    </row>
    <row r="5189">
      <c r="A5189">
        <f>IFERROR(INDEX('Email Cleaner'!$B$2:$B$10001,MATCH(5188,'Email Cleaner'!$I$2:$I$10001,0)),"")</f>
        <v/>
      </c>
    </row>
    <row r="5190">
      <c r="A5190">
        <f>IFERROR(INDEX('Email Cleaner'!$B$2:$B$10001,MATCH(5189,'Email Cleaner'!$I$2:$I$10001,0)),"")</f>
        <v/>
      </c>
    </row>
    <row r="5191">
      <c r="A5191">
        <f>IFERROR(INDEX('Email Cleaner'!$B$2:$B$10001,MATCH(5190,'Email Cleaner'!$I$2:$I$10001,0)),"")</f>
        <v/>
      </c>
    </row>
    <row r="5192">
      <c r="A5192">
        <f>IFERROR(INDEX('Email Cleaner'!$B$2:$B$10001,MATCH(5191,'Email Cleaner'!$I$2:$I$10001,0)),"")</f>
        <v/>
      </c>
    </row>
    <row r="5193">
      <c r="A5193">
        <f>IFERROR(INDEX('Email Cleaner'!$B$2:$B$10001,MATCH(5192,'Email Cleaner'!$I$2:$I$10001,0)),"")</f>
        <v/>
      </c>
    </row>
    <row r="5194">
      <c r="A5194">
        <f>IFERROR(INDEX('Email Cleaner'!$B$2:$B$10001,MATCH(5193,'Email Cleaner'!$I$2:$I$10001,0)),"")</f>
        <v/>
      </c>
    </row>
    <row r="5195">
      <c r="A5195">
        <f>IFERROR(INDEX('Email Cleaner'!$B$2:$B$10001,MATCH(5194,'Email Cleaner'!$I$2:$I$10001,0)),"")</f>
        <v/>
      </c>
    </row>
    <row r="5196">
      <c r="A5196">
        <f>IFERROR(INDEX('Email Cleaner'!$B$2:$B$10001,MATCH(5195,'Email Cleaner'!$I$2:$I$10001,0)),"")</f>
        <v/>
      </c>
    </row>
    <row r="5197">
      <c r="A5197">
        <f>IFERROR(INDEX('Email Cleaner'!$B$2:$B$10001,MATCH(5196,'Email Cleaner'!$I$2:$I$10001,0)),"")</f>
        <v/>
      </c>
    </row>
    <row r="5198">
      <c r="A5198">
        <f>IFERROR(INDEX('Email Cleaner'!$B$2:$B$10001,MATCH(5197,'Email Cleaner'!$I$2:$I$10001,0)),"")</f>
        <v/>
      </c>
    </row>
    <row r="5199">
      <c r="A5199">
        <f>IFERROR(INDEX('Email Cleaner'!$B$2:$B$10001,MATCH(5198,'Email Cleaner'!$I$2:$I$10001,0)),"")</f>
        <v/>
      </c>
    </row>
    <row r="5200">
      <c r="A5200">
        <f>IFERROR(INDEX('Email Cleaner'!$B$2:$B$10001,MATCH(5199,'Email Cleaner'!$I$2:$I$10001,0)),"")</f>
        <v/>
      </c>
    </row>
    <row r="5201">
      <c r="A5201">
        <f>IFERROR(INDEX('Email Cleaner'!$B$2:$B$10001,MATCH(5200,'Email Cleaner'!$I$2:$I$10001,0)),"")</f>
        <v/>
      </c>
    </row>
    <row r="5202">
      <c r="A5202">
        <f>IFERROR(INDEX('Email Cleaner'!$B$2:$B$10001,MATCH(5201,'Email Cleaner'!$I$2:$I$10001,0)),"")</f>
        <v/>
      </c>
    </row>
    <row r="5203">
      <c r="A5203">
        <f>IFERROR(INDEX('Email Cleaner'!$B$2:$B$10001,MATCH(5202,'Email Cleaner'!$I$2:$I$10001,0)),"")</f>
        <v/>
      </c>
    </row>
    <row r="5204">
      <c r="A5204">
        <f>IFERROR(INDEX('Email Cleaner'!$B$2:$B$10001,MATCH(5203,'Email Cleaner'!$I$2:$I$10001,0)),"")</f>
        <v/>
      </c>
    </row>
    <row r="5205">
      <c r="A5205">
        <f>IFERROR(INDEX('Email Cleaner'!$B$2:$B$10001,MATCH(5204,'Email Cleaner'!$I$2:$I$10001,0)),"")</f>
        <v/>
      </c>
    </row>
    <row r="5206">
      <c r="A5206">
        <f>IFERROR(INDEX('Email Cleaner'!$B$2:$B$10001,MATCH(5205,'Email Cleaner'!$I$2:$I$10001,0)),"")</f>
        <v/>
      </c>
    </row>
    <row r="5207">
      <c r="A5207">
        <f>IFERROR(INDEX('Email Cleaner'!$B$2:$B$10001,MATCH(5206,'Email Cleaner'!$I$2:$I$10001,0)),"")</f>
        <v/>
      </c>
    </row>
    <row r="5208">
      <c r="A5208">
        <f>IFERROR(INDEX('Email Cleaner'!$B$2:$B$10001,MATCH(5207,'Email Cleaner'!$I$2:$I$10001,0)),"")</f>
        <v/>
      </c>
    </row>
    <row r="5209">
      <c r="A5209">
        <f>IFERROR(INDEX('Email Cleaner'!$B$2:$B$10001,MATCH(5208,'Email Cleaner'!$I$2:$I$10001,0)),"")</f>
        <v/>
      </c>
    </row>
    <row r="5210">
      <c r="A5210">
        <f>IFERROR(INDEX('Email Cleaner'!$B$2:$B$10001,MATCH(5209,'Email Cleaner'!$I$2:$I$10001,0)),"")</f>
        <v/>
      </c>
    </row>
    <row r="5211">
      <c r="A5211">
        <f>IFERROR(INDEX('Email Cleaner'!$B$2:$B$10001,MATCH(5210,'Email Cleaner'!$I$2:$I$10001,0)),"")</f>
        <v/>
      </c>
    </row>
    <row r="5212">
      <c r="A5212">
        <f>IFERROR(INDEX('Email Cleaner'!$B$2:$B$10001,MATCH(5211,'Email Cleaner'!$I$2:$I$10001,0)),"")</f>
        <v/>
      </c>
    </row>
    <row r="5213">
      <c r="A5213">
        <f>IFERROR(INDEX('Email Cleaner'!$B$2:$B$10001,MATCH(5212,'Email Cleaner'!$I$2:$I$10001,0)),"")</f>
        <v/>
      </c>
    </row>
    <row r="5214">
      <c r="A5214">
        <f>IFERROR(INDEX('Email Cleaner'!$B$2:$B$10001,MATCH(5213,'Email Cleaner'!$I$2:$I$10001,0)),"")</f>
        <v/>
      </c>
    </row>
    <row r="5215">
      <c r="A5215">
        <f>IFERROR(INDEX('Email Cleaner'!$B$2:$B$10001,MATCH(5214,'Email Cleaner'!$I$2:$I$10001,0)),"")</f>
        <v/>
      </c>
    </row>
    <row r="5216">
      <c r="A5216">
        <f>IFERROR(INDEX('Email Cleaner'!$B$2:$B$10001,MATCH(5215,'Email Cleaner'!$I$2:$I$10001,0)),"")</f>
        <v/>
      </c>
    </row>
    <row r="5217">
      <c r="A5217">
        <f>IFERROR(INDEX('Email Cleaner'!$B$2:$B$10001,MATCH(5216,'Email Cleaner'!$I$2:$I$10001,0)),"")</f>
        <v/>
      </c>
    </row>
    <row r="5218">
      <c r="A5218">
        <f>IFERROR(INDEX('Email Cleaner'!$B$2:$B$10001,MATCH(5217,'Email Cleaner'!$I$2:$I$10001,0)),"")</f>
        <v/>
      </c>
    </row>
    <row r="5219">
      <c r="A5219">
        <f>IFERROR(INDEX('Email Cleaner'!$B$2:$B$10001,MATCH(5218,'Email Cleaner'!$I$2:$I$10001,0)),"")</f>
        <v/>
      </c>
    </row>
    <row r="5220">
      <c r="A5220">
        <f>IFERROR(INDEX('Email Cleaner'!$B$2:$B$10001,MATCH(5219,'Email Cleaner'!$I$2:$I$10001,0)),"")</f>
        <v/>
      </c>
    </row>
    <row r="5221">
      <c r="A5221">
        <f>IFERROR(INDEX('Email Cleaner'!$B$2:$B$10001,MATCH(5220,'Email Cleaner'!$I$2:$I$10001,0)),"")</f>
        <v/>
      </c>
    </row>
    <row r="5222">
      <c r="A5222">
        <f>IFERROR(INDEX('Email Cleaner'!$B$2:$B$10001,MATCH(5221,'Email Cleaner'!$I$2:$I$10001,0)),"")</f>
        <v/>
      </c>
    </row>
    <row r="5223">
      <c r="A5223">
        <f>IFERROR(INDEX('Email Cleaner'!$B$2:$B$10001,MATCH(5222,'Email Cleaner'!$I$2:$I$10001,0)),"")</f>
        <v/>
      </c>
    </row>
    <row r="5224">
      <c r="A5224">
        <f>IFERROR(INDEX('Email Cleaner'!$B$2:$B$10001,MATCH(5223,'Email Cleaner'!$I$2:$I$10001,0)),"")</f>
        <v/>
      </c>
    </row>
    <row r="5225">
      <c r="A5225">
        <f>IFERROR(INDEX('Email Cleaner'!$B$2:$B$10001,MATCH(5224,'Email Cleaner'!$I$2:$I$10001,0)),"")</f>
        <v/>
      </c>
    </row>
    <row r="5226">
      <c r="A5226">
        <f>IFERROR(INDEX('Email Cleaner'!$B$2:$B$10001,MATCH(5225,'Email Cleaner'!$I$2:$I$10001,0)),"")</f>
        <v/>
      </c>
    </row>
    <row r="5227">
      <c r="A5227">
        <f>IFERROR(INDEX('Email Cleaner'!$B$2:$B$10001,MATCH(5226,'Email Cleaner'!$I$2:$I$10001,0)),"")</f>
        <v/>
      </c>
    </row>
    <row r="5228">
      <c r="A5228">
        <f>IFERROR(INDEX('Email Cleaner'!$B$2:$B$10001,MATCH(5227,'Email Cleaner'!$I$2:$I$10001,0)),"")</f>
        <v/>
      </c>
    </row>
    <row r="5229">
      <c r="A5229">
        <f>IFERROR(INDEX('Email Cleaner'!$B$2:$B$10001,MATCH(5228,'Email Cleaner'!$I$2:$I$10001,0)),"")</f>
        <v/>
      </c>
    </row>
    <row r="5230">
      <c r="A5230">
        <f>IFERROR(INDEX('Email Cleaner'!$B$2:$B$10001,MATCH(5229,'Email Cleaner'!$I$2:$I$10001,0)),"")</f>
        <v/>
      </c>
    </row>
    <row r="5231">
      <c r="A5231">
        <f>IFERROR(INDEX('Email Cleaner'!$B$2:$B$10001,MATCH(5230,'Email Cleaner'!$I$2:$I$10001,0)),"")</f>
        <v/>
      </c>
    </row>
    <row r="5232">
      <c r="A5232">
        <f>IFERROR(INDEX('Email Cleaner'!$B$2:$B$10001,MATCH(5231,'Email Cleaner'!$I$2:$I$10001,0)),"")</f>
        <v/>
      </c>
    </row>
    <row r="5233">
      <c r="A5233">
        <f>IFERROR(INDEX('Email Cleaner'!$B$2:$B$10001,MATCH(5232,'Email Cleaner'!$I$2:$I$10001,0)),"")</f>
        <v/>
      </c>
    </row>
    <row r="5234">
      <c r="A5234">
        <f>IFERROR(INDEX('Email Cleaner'!$B$2:$B$10001,MATCH(5233,'Email Cleaner'!$I$2:$I$10001,0)),"")</f>
        <v/>
      </c>
    </row>
    <row r="5235">
      <c r="A5235">
        <f>IFERROR(INDEX('Email Cleaner'!$B$2:$B$10001,MATCH(5234,'Email Cleaner'!$I$2:$I$10001,0)),"")</f>
        <v/>
      </c>
    </row>
    <row r="5236">
      <c r="A5236">
        <f>IFERROR(INDEX('Email Cleaner'!$B$2:$B$10001,MATCH(5235,'Email Cleaner'!$I$2:$I$10001,0)),"")</f>
        <v/>
      </c>
    </row>
    <row r="5237">
      <c r="A5237">
        <f>IFERROR(INDEX('Email Cleaner'!$B$2:$B$10001,MATCH(5236,'Email Cleaner'!$I$2:$I$10001,0)),"")</f>
        <v/>
      </c>
    </row>
    <row r="5238">
      <c r="A5238">
        <f>IFERROR(INDEX('Email Cleaner'!$B$2:$B$10001,MATCH(5237,'Email Cleaner'!$I$2:$I$10001,0)),"")</f>
        <v/>
      </c>
    </row>
    <row r="5239">
      <c r="A5239">
        <f>IFERROR(INDEX('Email Cleaner'!$B$2:$B$10001,MATCH(5238,'Email Cleaner'!$I$2:$I$10001,0)),"")</f>
        <v/>
      </c>
    </row>
    <row r="5240">
      <c r="A5240">
        <f>IFERROR(INDEX('Email Cleaner'!$B$2:$B$10001,MATCH(5239,'Email Cleaner'!$I$2:$I$10001,0)),"")</f>
        <v/>
      </c>
    </row>
    <row r="5241">
      <c r="A5241">
        <f>IFERROR(INDEX('Email Cleaner'!$B$2:$B$10001,MATCH(5240,'Email Cleaner'!$I$2:$I$10001,0)),"")</f>
        <v/>
      </c>
    </row>
    <row r="5242">
      <c r="A5242">
        <f>IFERROR(INDEX('Email Cleaner'!$B$2:$B$10001,MATCH(5241,'Email Cleaner'!$I$2:$I$10001,0)),"")</f>
        <v/>
      </c>
    </row>
    <row r="5243">
      <c r="A5243">
        <f>IFERROR(INDEX('Email Cleaner'!$B$2:$B$10001,MATCH(5242,'Email Cleaner'!$I$2:$I$10001,0)),"")</f>
        <v/>
      </c>
    </row>
    <row r="5244">
      <c r="A5244">
        <f>IFERROR(INDEX('Email Cleaner'!$B$2:$B$10001,MATCH(5243,'Email Cleaner'!$I$2:$I$10001,0)),"")</f>
        <v/>
      </c>
    </row>
    <row r="5245">
      <c r="A5245">
        <f>IFERROR(INDEX('Email Cleaner'!$B$2:$B$10001,MATCH(5244,'Email Cleaner'!$I$2:$I$10001,0)),"")</f>
        <v/>
      </c>
    </row>
    <row r="5246">
      <c r="A5246">
        <f>IFERROR(INDEX('Email Cleaner'!$B$2:$B$10001,MATCH(5245,'Email Cleaner'!$I$2:$I$10001,0)),"")</f>
        <v/>
      </c>
    </row>
    <row r="5247">
      <c r="A5247">
        <f>IFERROR(INDEX('Email Cleaner'!$B$2:$B$10001,MATCH(5246,'Email Cleaner'!$I$2:$I$10001,0)),"")</f>
        <v/>
      </c>
    </row>
    <row r="5248">
      <c r="A5248">
        <f>IFERROR(INDEX('Email Cleaner'!$B$2:$B$10001,MATCH(5247,'Email Cleaner'!$I$2:$I$10001,0)),"")</f>
        <v/>
      </c>
    </row>
    <row r="5249">
      <c r="A5249">
        <f>IFERROR(INDEX('Email Cleaner'!$B$2:$B$10001,MATCH(5248,'Email Cleaner'!$I$2:$I$10001,0)),"")</f>
        <v/>
      </c>
    </row>
    <row r="5250">
      <c r="A5250">
        <f>IFERROR(INDEX('Email Cleaner'!$B$2:$B$10001,MATCH(5249,'Email Cleaner'!$I$2:$I$10001,0)),"")</f>
        <v/>
      </c>
    </row>
    <row r="5251">
      <c r="A5251">
        <f>IFERROR(INDEX('Email Cleaner'!$B$2:$B$10001,MATCH(5250,'Email Cleaner'!$I$2:$I$10001,0)),"")</f>
        <v/>
      </c>
    </row>
    <row r="5252">
      <c r="A5252">
        <f>IFERROR(INDEX('Email Cleaner'!$B$2:$B$10001,MATCH(5251,'Email Cleaner'!$I$2:$I$10001,0)),"")</f>
        <v/>
      </c>
    </row>
    <row r="5253">
      <c r="A5253">
        <f>IFERROR(INDEX('Email Cleaner'!$B$2:$B$10001,MATCH(5252,'Email Cleaner'!$I$2:$I$10001,0)),"")</f>
        <v/>
      </c>
    </row>
    <row r="5254">
      <c r="A5254">
        <f>IFERROR(INDEX('Email Cleaner'!$B$2:$B$10001,MATCH(5253,'Email Cleaner'!$I$2:$I$10001,0)),"")</f>
        <v/>
      </c>
    </row>
    <row r="5255">
      <c r="A5255">
        <f>IFERROR(INDEX('Email Cleaner'!$B$2:$B$10001,MATCH(5254,'Email Cleaner'!$I$2:$I$10001,0)),"")</f>
        <v/>
      </c>
    </row>
    <row r="5256">
      <c r="A5256">
        <f>IFERROR(INDEX('Email Cleaner'!$B$2:$B$10001,MATCH(5255,'Email Cleaner'!$I$2:$I$10001,0)),"")</f>
        <v/>
      </c>
    </row>
    <row r="5257">
      <c r="A5257">
        <f>IFERROR(INDEX('Email Cleaner'!$B$2:$B$10001,MATCH(5256,'Email Cleaner'!$I$2:$I$10001,0)),"")</f>
        <v/>
      </c>
    </row>
    <row r="5258">
      <c r="A5258">
        <f>IFERROR(INDEX('Email Cleaner'!$B$2:$B$10001,MATCH(5257,'Email Cleaner'!$I$2:$I$10001,0)),"")</f>
        <v/>
      </c>
    </row>
    <row r="5259">
      <c r="A5259">
        <f>IFERROR(INDEX('Email Cleaner'!$B$2:$B$10001,MATCH(5258,'Email Cleaner'!$I$2:$I$10001,0)),"")</f>
        <v/>
      </c>
    </row>
    <row r="5260">
      <c r="A5260">
        <f>IFERROR(INDEX('Email Cleaner'!$B$2:$B$10001,MATCH(5259,'Email Cleaner'!$I$2:$I$10001,0)),"")</f>
        <v/>
      </c>
    </row>
    <row r="5261">
      <c r="A5261">
        <f>IFERROR(INDEX('Email Cleaner'!$B$2:$B$10001,MATCH(5260,'Email Cleaner'!$I$2:$I$10001,0)),"")</f>
        <v/>
      </c>
    </row>
    <row r="5262">
      <c r="A5262">
        <f>IFERROR(INDEX('Email Cleaner'!$B$2:$B$10001,MATCH(5261,'Email Cleaner'!$I$2:$I$10001,0)),"")</f>
        <v/>
      </c>
    </row>
    <row r="5263">
      <c r="A5263">
        <f>IFERROR(INDEX('Email Cleaner'!$B$2:$B$10001,MATCH(5262,'Email Cleaner'!$I$2:$I$10001,0)),"")</f>
        <v/>
      </c>
    </row>
    <row r="5264">
      <c r="A5264">
        <f>IFERROR(INDEX('Email Cleaner'!$B$2:$B$10001,MATCH(5263,'Email Cleaner'!$I$2:$I$10001,0)),"")</f>
        <v/>
      </c>
    </row>
    <row r="5265">
      <c r="A5265">
        <f>IFERROR(INDEX('Email Cleaner'!$B$2:$B$10001,MATCH(5264,'Email Cleaner'!$I$2:$I$10001,0)),"")</f>
        <v/>
      </c>
    </row>
    <row r="5266">
      <c r="A5266">
        <f>IFERROR(INDEX('Email Cleaner'!$B$2:$B$10001,MATCH(5265,'Email Cleaner'!$I$2:$I$10001,0)),"")</f>
        <v/>
      </c>
    </row>
    <row r="5267">
      <c r="A5267">
        <f>IFERROR(INDEX('Email Cleaner'!$B$2:$B$10001,MATCH(5266,'Email Cleaner'!$I$2:$I$10001,0)),"")</f>
        <v/>
      </c>
    </row>
    <row r="5268">
      <c r="A5268">
        <f>IFERROR(INDEX('Email Cleaner'!$B$2:$B$10001,MATCH(5267,'Email Cleaner'!$I$2:$I$10001,0)),"")</f>
        <v/>
      </c>
    </row>
    <row r="5269">
      <c r="A5269">
        <f>IFERROR(INDEX('Email Cleaner'!$B$2:$B$10001,MATCH(5268,'Email Cleaner'!$I$2:$I$10001,0)),"")</f>
        <v/>
      </c>
    </row>
    <row r="5270">
      <c r="A5270">
        <f>IFERROR(INDEX('Email Cleaner'!$B$2:$B$10001,MATCH(5269,'Email Cleaner'!$I$2:$I$10001,0)),"")</f>
        <v/>
      </c>
    </row>
    <row r="5271">
      <c r="A5271">
        <f>IFERROR(INDEX('Email Cleaner'!$B$2:$B$10001,MATCH(5270,'Email Cleaner'!$I$2:$I$10001,0)),"")</f>
        <v/>
      </c>
    </row>
    <row r="5272">
      <c r="A5272">
        <f>IFERROR(INDEX('Email Cleaner'!$B$2:$B$10001,MATCH(5271,'Email Cleaner'!$I$2:$I$10001,0)),"")</f>
        <v/>
      </c>
    </row>
    <row r="5273">
      <c r="A5273">
        <f>IFERROR(INDEX('Email Cleaner'!$B$2:$B$10001,MATCH(5272,'Email Cleaner'!$I$2:$I$10001,0)),"")</f>
        <v/>
      </c>
    </row>
    <row r="5274">
      <c r="A5274">
        <f>IFERROR(INDEX('Email Cleaner'!$B$2:$B$10001,MATCH(5273,'Email Cleaner'!$I$2:$I$10001,0)),"")</f>
        <v/>
      </c>
    </row>
    <row r="5275">
      <c r="A5275">
        <f>IFERROR(INDEX('Email Cleaner'!$B$2:$B$10001,MATCH(5274,'Email Cleaner'!$I$2:$I$10001,0)),"")</f>
        <v/>
      </c>
    </row>
    <row r="5276">
      <c r="A5276">
        <f>IFERROR(INDEX('Email Cleaner'!$B$2:$B$10001,MATCH(5275,'Email Cleaner'!$I$2:$I$10001,0)),"")</f>
        <v/>
      </c>
    </row>
    <row r="5277">
      <c r="A5277">
        <f>IFERROR(INDEX('Email Cleaner'!$B$2:$B$10001,MATCH(5276,'Email Cleaner'!$I$2:$I$10001,0)),"")</f>
        <v/>
      </c>
    </row>
    <row r="5278">
      <c r="A5278">
        <f>IFERROR(INDEX('Email Cleaner'!$B$2:$B$10001,MATCH(5277,'Email Cleaner'!$I$2:$I$10001,0)),"")</f>
        <v/>
      </c>
    </row>
    <row r="5279">
      <c r="A5279">
        <f>IFERROR(INDEX('Email Cleaner'!$B$2:$B$10001,MATCH(5278,'Email Cleaner'!$I$2:$I$10001,0)),"")</f>
        <v/>
      </c>
    </row>
    <row r="5280">
      <c r="A5280">
        <f>IFERROR(INDEX('Email Cleaner'!$B$2:$B$10001,MATCH(5279,'Email Cleaner'!$I$2:$I$10001,0)),"")</f>
        <v/>
      </c>
    </row>
    <row r="5281">
      <c r="A5281">
        <f>IFERROR(INDEX('Email Cleaner'!$B$2:$B$10001,MATCH(5280,'Email Cleaner'!$I$2:$I$10001,0)),"")</f>
        <v/>
      </c>
    </row>
    <row r="5282">
      <c r="A5282">
        <f>IFERROR(INDEX('Email Cleaner'!$B$2:$B$10001,MATCH(5281,'Email Cleaner'!$I$2:$I$10001,0)),"")</f>
        <v/>
      </c>
    </row>
    <row r="5283">
      <c r="A5283">
        <f>IFERROR(INDEX('Email Cleaner'!$B$2:$B$10001,MATCH(5282,'Email Cleaner'!$I$2:$I$10001,0)),"")</f>
        <v/>
      </c>
    </row>
    <row r="5284">
      <c r="A5284">
        <f>IFERROR(INDEX('Email Cleaner'!$B$2:$B$10001,MATCH(5283,'Email Cleaner'!$I$2:$I$10001,0)),"")</f>
        <v/>
      </c>
    </row>
    <row r="5285">
      <c r="A5285">
        <f>IFERROR(INDEX('Email Cleaner'!$B$2:$B$10001,MATCH(5284,'Email Cleaner'!$I$2:$I$10001,0)),"")</f>
        <v/>
      </c>
    </row>
    <row r="5286">
      <c r="A5286">
        <f>IFERROR(INDEX('Email Cleaner'!$B$2:$B$10001,MATCH(5285,'Email Cleaner'!$I$2:$I$10001,0)),"")</f>
        <v/>
      </c>
    </row>
    <row r="5287">
      <c r="A5287">
        <f>IFERROR(INDEX('Email Cleaner'!$B$2:$B$10001,MATCH(5286,'Email Cleaner'!$I$2:$I$10001,0)),"")</f>
        <v/>
      </c>
    </row>
    <row r="5288">
      <c r="A5288">
        <f>IFERROR(INDEX('Email Cleaner'!$B$2:$B$10001,MATCH(5287,'Email Cleaner'!$I$2:$I$10001,0)),"")</f>
        <v/>
      </c>
    </row>
    <row r="5289">
      <c r="A5289">
        <f>IFERROR(INDEX('Email Cleaner'!$B$2:$B$10001,MATCH(5288,'Email Cleaner'!$I$2:$I$10001,0)),"")</f>
        <v/>
      </c>
    </row>
    <row r="5290">
      <c r="A5290">
        <f>IFERROR(INDEX('Email Cleaner'!$B$2:$B$10001,MATCH(5289,'Email Cleaner'!$I$2:$I$10001,0)),"")</f>
        <v/>
      </c>
    </row>
    <row r="5291">
      <c r="A5291">
        <f>IFERROR(INDEX('Email Cleaner'!$B$2:$B$10001,MATCH(5290,'Email Cleaner'!$I$2:$I$10001,0)),"")</f>
        <v/>
      </c>
    </row>
    <row r="5292">
      <c r="A5292">
        <f>IFERROR(INDEX('Email Cleaner'!$B$2:$B$10001,MATCH(5291,'Email Cleaner'!$I$2:$I$10001,0)),"")</f>
        <v/>
      </c>
    </row>
    <row r="5293">
      <c r="A5293">
        <f>IFERROR(INDEX('Email Cleaner'!$B$2:$B$10001,MATCH(5292,'Email Cleaner'!$I$2:$I$10001,0)),"")</f>
        <v/>
      </c>
    </row>
    <row r="5294">
      <c r="A5294">
        <f>IFERROR(INDEX('Email Cleaner'!$B$2:$B$10001,MATCH(5293,'Email Cleaner'!$I$2:$I$10001,0)),"")</f>
        <v/>
      </c>
    </row>
    <row r="5295">
      <c r="A5295">
        <f>IFERROR(INDEX('Email Cleaner'!$B$2:$B$10001,MATCH(5294,'Email Cleaner'!$I$2:$I$10001,0)),"")</f>
        <v/>
      </c>
    </row>
    <row r="5296">
      <c r="A5296">
        <f>IFERROR(INDEX('Email Cleaner'!$B$2:$B$10001,MATCH(5295,'Email Cleaner'!$I$2:$I$10001,0)),"")</f>
        <v/>
      </c>
    </row>
    <row r="5297">
      <c r="A5297">
        <f>IFERROR(INDEX('Email Cleaner'!$B$2:$B$10001,MATCH(5296,'Email Cleaner'!$I$2:$I$10001,0)),"")</f>
        <v/>
      </c>
    </row>
    <row r="5298">
      <c r="A5298">
        <f>IFERROR(INDEX('Email Cleaner'!$B$2:$B$10001,MATCH(5297,'Email Cleaner'!$I$2:$I$10001,0)),"")</f>
        <v/>
      </c>
    </row>
    <row r="5299">
      <c r="A5299">
        <f>IFERROR(INDEX('Email Cleaner'!$B$2:$B$10001,MATCH(5298,'Email Cleaner'!$I$2:$I$10001,0)),"")</f>
        <v/>
      </c>
    </row>
    <row r="5300">
      <c r="A5300">
        <f>IFERROR(INDEX('Email Cleaner'!$B$2:$B$10001,MATCH(5299,'Email Cleaner'!$I$2:$I$10001,0)),"")</f>
        <v/>
      </c>
    </row>
    <row r="5301">
      <c r="A5301">
        <f>IFERROR(INDEX('Email Cleaner'!$B$2:$B$10001,MATCH(5300,'Email Cleaner'!$I$2:$I$10001,0)),"")</f>
        <v/>
      </c>
    </row>
    <row r="5302">
      <c r="A5302">
        <f>IFERROR(INDEX('Email Cleaner'!$B$2:$B$10001,MATCH(5301,'Email Cleaner'!$I$2:$I$10001,0)),"")</f>
        <v/>
      </c>
    </row>
    <row r="5303">
      <c r="A5303">
        <f>IFERROR(INDEX('Email Cleaner'!$B$2:$B$10001,MATCH(5302,'Email Cleaner'!$I$2:$I$10001,0)),"")</f>
        <v/>
      </c>
    </row>
    <row r="5304">
      <c r="A5304">
        <f>IFERROR(INDEX('Email Cleaner'!$B$2:$B$10001,MATCH(5303,'Email Cleaner'!$I$2:$I$10001,0)),"")</f>
        <v/>
      </c>
    </row>
    <row r="5305">
      <c r="A5305">
        <f>IFERROR(INDEX('Email Cleaner'!$B$2:$B$10001,MATCH(5304,'Email Cleaner'!$I$2:$I$10001,0)),"")</f>
        <v/>
      </c>
    </row>
    <row r="5306">
      <c r="A5306">
        <f>IFERROR(INDEX('Email Cleaner'!$B$2:$B$10001,MATCH(5305,'Email Cleaner'!$I$2:$I$10001,0)),"")</f>
        <v/>
      </c>
    </row>
    <row r="5307">
      <c r="A5307">
        <f>IFERROR(INDEX('Email Cleaner'!$B$2:$B$10001,MATCH(5306,'Email Cleaner'!$I$2:$I$10001,0)),"")</f>
        <v/>
      </c>
    </row>
    <row r="5308">
      <c r="A5308">
        <f>IFERROR(INDEX('Email Cleaner'!$B$2:$B$10001,MATCH(5307,'Email Cleaner'!$I$2:$I$10001,0)),"")</f>
        <v/>
      </c>
    </row>
    <row r="5309">
      <c r="A5309">
        <f>IFERROR(INDEX('Email Cleaner'!$B$2:$B$10001,MATCH(5308,'Email Cleaner'!$I$2:$I$10001,0)),"")</f>
        <v/>
      </c>
    </row>
    <row r="5310">
      <c r="A5310">
        <f>IFERROR(INDEX('Email Cleaner'!$B$2:$B$10001,MATCH(5309,'Email Cleaner'!$I$2:$I$10001,0)),"")</f>
        <v/>
      </c>
    </row>
    <row r="5311">
      <c r="A5311">
        <f>IFERROR(INDEX('Email Cleaner'!$B$2:$B$10001,MATCH(5310,'Email Cleaner'!$I$2:$I$10001,0)),"")</f>
        <v/>
      </c>
    </row>
    <row r="5312">
      <c r="A5312">
        <f>IFERROR(INDEX('Email Cleaner'!$B$2:$B$10001,MATCH(5311,'Email Cleaner'!$I$2:$I$10001,0)),"")</f>
        <v/>
      </c>
    </row>
    <row r="5313">
      <c r="A5313">
        <f>IFERROR(INDEX('Email Cleaner'!$B$2:$B$10001,MATCH(5312,'Email Cleaner'!$I$2:$I$10001,0)),"")</f>
        <v/>
      </c>
    </row>
    <row r="5314">
      <c r="A5314">
        <f>IFERROR(INDEX('Email Cleaner'!$B$2:$B$10001,MATCH(5313,'Email Cleaner'!$I$2:$I$10001,0)),"")</f>
        <v/>
      </c>
    </row>
    <row r="5315">
      <c r="A5315">
        <f>IFERROR(INDEX('Email Cleaner'!$B$2:$B$10001,MATCH(5314,'Email Cleaner'!$I$2:$I$10001,0)),"")</f>
        <v/>
      </c>
    </row>
    <row r="5316">
      <c r="A5316">
        <f>IFERROR(INDEX('Email Cleaner'!$B$2:$B$10001,MATCH(5315,'Email Cleaner'!$I$2:$I$10001,0)),"")</f>
        <v/>
      </c>
    </row>
    <row r="5317">
      <c r="A5317">
        <f>IFERROR(INDEX('Email Cleaner'!$B$2:$B$10001,MATCH(5316,'Email Cleaner'!$I$2:$I$10001,0)),"")</f>
        <v/>
      </c>
    </row>
    <row r="5318">
      <c r="A5318">
        <f>IFERROR(INDEX('Email Cleaner'!$B$2:$B$10001,MATCH(5317,'Email Cleaner'!$I$2:$I$10001,0)),"")</f>
        <v/>
      </c>
    </row>
    <row r="5319">
      <c r="A5319">
        <f>IFERROR(INDEX('Email Cleaner'!$B$2:$B$10001,MATCH(5318,'Email Cleaner'!$I$2:$I$10001,0)),"")</f>
        <v/>
      </c>
    </row>
    <row r="5320">
      <c r="A5320">
        <f>IFERROR(INDEX('Email Cleaner'!$B$2:$B$10001,MATCH(5319,'Email Cleaner'!$I$2:$I$10001,0)),"")</f>
        <v/>
      </c>
    </row>
    <row r="5321">
      <c r="A5321">
        <f>IFERROR(INDEX('Email Cleaner'!$B$2:$B$10001,MATCH(5320,'Email Cleaner'!$I$2:$I$10001,0)),"")</f>
        <v/>
      </c>
    </row>
    <row r="5322">
      <c r="A5322">
        <f>IFERROR(INDEX('Email Cleaner'!$B$2:$B$10001,MATCH(5321,'Email Cleaner'!$I$2:$I$10001,0)),"")</f>
        <v/>
      </c>
    </row>
    <row r="5323">
      <c r="A5323">
        <f>IFERROR(INDEX('Email Cleaner'!$B$2:$B$10001,MATCH(5322,'Email Cleaner'!$I$2:$I$10001,0)),"")</f>
        <v/>
      </c>
    </row>
    <row r="5324">
      <c r="A5324">
        <f>IFERROR(INDEX('Email Cleaner'!$B$2:$B$10001,MATCH(5323,'Email Cleaner'!$I$2:$I$10001,0)),"")</f>
        <v/>
      </c>
    </row>
    <row r="5325">
      <c r="A5325">
        <f>IFERROR(INDEX('Email Cleaner'!$B$2:$B$10001,MATCH(5324,'Email Cleaner'!$I$2:$I$10001,0)),"")</f>
        <v/>
      </c>
    </row>
    <row r="5326">
      <c r="A5326">
        <f>IFERROR(INDEX('Email Cleaner'!$B$2:$B$10001,MATCH(5325,'Email Cleaner'!$I$2:$I$10001,0)),"")</f>
        <v/>
      </c>
    </row>
    <row r="5327">
      <c r="A5327">
        <f>IFERROR(INDEX('Email Cleaner'!$B$2:$B$10001,MATCH(5326,'Email Cleaner'!$I$2:$I$10001,0)),"")</f>
        <v/>
      </c>
    </row>
    <row r="5328">
      <c r="A5328">
        <f>IFERROR(INDEX('Email Cleaner'!$B$2:$B$10001,MATCH(5327,'Email Cleaner'!$I$2:$I$10001,0)),"")</f>
        <v/>
      </c>
    </row>
    <row r="5329">
      <c r="A5329">
        <f>IFERROR(INDEX('Email Cleaner'!$B$2:$B$10001,MATCH(5328,'Email Cleaner'!$I$2:$I$10001,0)),"")</f>
        <v/>
      </c>
    </row>
    <row r="5330">
      <c r="A5330">
        <f>IFERROR(INDEX('Email Cleaner'!$B$2:$B$10001,MATCH(5329,'Email Cleaner'!$I$2:$I$10001,0)),"")</f>
        <v/>
      </c>
    </row>
    <row r="5331">
      <c r="A5331">
        <f>IFERROR(INDEX('Email Cleaner'!$B$2:$B$10001,MATCH(5330,'Email Cleaner'!$I$2:$I$10001,0)),"")</f>
        <v/>
      </c>
    </row>
    <row r="5332">
      <c r="A5332">
        <f>IFERROR(INDEX('Email Cleaner'!$B$2:$B$10001,MATCH(5331,'Email Cleaner'!$I$2:$I$10001,0)),"")</f>
        <v/>
      </c>
    </row>
    <row r="5333">
      <c r="A5333">
        <f>IFERROR(INDEX('Email Cleaner'!$B$2:$B$10001,MATCH(5332,'Email Cleaner'!$I$2:$I$10001,0)),"")</f>
        <v/>
      </c>
    </row>
    <row r="5334">
      <c r="A5334">
        <f>IFERROR(INDEX('Email Cleaner'!$B$2:$B$10001,MATCH(5333,'Email Cleaner'!$I$2:$I$10001,0)),"")</f>
        <v/>
      </c>
    </row>
    <row r="5335">
      <c r="A5335">
        <f>IFERROR(INDEX('Email Cleaner'!$B$2:$B$10001,MATCH(5334,'Email Cleaner'!$I$2:$I$10001,0)),"")</f>
        <v/>
      </c>
    </row>
    <row r="5336">
      <c r="A5336">
        <f>IFERROR(INDEX('Email Cleaner'!$B$2:$B$10001,MATCH(5335,'Email Cleaner'!$I$2:$I$10001,0)),"")</f>
        <v/>
      </c>
    </row>
    <row r="5337">
      <c r="A5337">
        <f>IFERROR(INDEX('Email Cleaner'!$B$2:$B$10001,MATCH(5336,'Email Cleaner'!$I$2:$I$10001,0)),"")</f>
        <v/>
      </c>
    </row>
    <row r="5338">
      <c r="A5338">
        <f>IFERROR(INDEX('Email Cleaner'!$B$2:$B$10001,MATCH(5337,'Email Cleaner'!$I$2:$I$10001,0)),"")</f>
        <v/>
      </c>
    </row>
    <row r="5339">
      <c r="A5339">
        <f>IFERROR(INDEX('Email Cleaner'!$B$2:$B$10001,MATCH(5338,'Email Cleaner'!$I$2:$I$10001,0)),"")</f>
        <v/>
      </c>
    </row>
    <row r="5340">
      <c r="A5340">
        <f>IFERROR(INDEX('Email Cleaner'!$B$2:$B$10001,MATCH(5339,'Email Cleaner'!$I$2:$I$10001,0)),"")</f>
        <v/>
      </c>
    </row>
    <row r="5341">
      <c r="A5341">
        <f>IFERROR(INDEX('Email Cleaner'!$B$2:$B$10001,MATCH(5340,'Email Cleaner'!$I$2:$I$10001,0)),"")</f>
        <v/>
      </c>
    </row>
    <row r="5342">
      <c r="A5342">
        <f>IFERROR(INDEX('Email Cleaner'!$B$2:$B$10001,MATCH(5341,'Email Cleaner'!$I$2:$I$10001,0)),"")</f>
        <v/>
      </c>
    </row>
    <row r="5343">
      <c r="A5343">
        <f>IFERROR(INDEX('Email Cleaner'!$B$2:$B$10001,MATCH(5342,'Email Cleaner'!$I$2:$I$10001,0)),"")</f>
        <v/>
      </c>
    </row>
    <row r="5344">
      <c r="A5344">
        <f>IFERROR(INDEX('Email Cleaner'!$B$2:$B$10001,MATCH(5343,'Email Cleaner'!$I$2:$I$10001,0)),"")</f>
        <v/>
      </c>
    </row>
    <row r="5345">
      <c r="A5345">
        <f>IFERROR(INDEX('Email Cleaner'!$B$2:$B$10001,MATCH(5344,'Email Cleaner'!$I$2:$I$10001,0)),"")</f>
        <v/>
      </c>
    </row>
    <row r="5346">
      <c r="A5346">
        <f>IFERROR(INDEX('Email Cleaner'!$B$2:$B$10001,MATCH(5345,'Email Cleaner'!$I$2:$I$10001,0)),"")</f>
        <v/>
      </c>
    </row>
    <row r="5347">
      <c r="A5347">
        <f>IFERROR(INDEX('Email Cleaner'!$B$2:$B$10001,MATCH(5346,'Email Cleaner'!$I$2:$I$10001,0)),"")</f>
        <v/>
      </c>
    </row>
    <row r="5348">
      <c r="A5348">
        <f>IFERROR(INDEX('Email Cleaner'!$B$2:$B$10001,MATCH(5347,'Email Cleaner'!$I$2:$I$10001,0)),"")</f>
        <v/>
      </c>
    </row>
    <row r="5349">
      <c r="A5349">
        <f>IFERROR(INDEX('Email Cleaner'!$B$2:$B$10001,MATCH(5348,'Email Cleaner'!$I$2:$I$10001,0)),"")</f>
        <v/>
      </c>
    </row>
    <row r="5350">
      <c r="A5350">
        <f>IFERROR(INDEX('Email Cleaner'!$B$2:$B$10001,MATCH(5349,'Email Cleaner'!$I$2:$I$10001,0)),"")</f>
        <v/>
      </c>
    </row>
    <row r="5351">
      <c r="A5351">
        <f>IFERROR(INDEX('Email Cleaner'!$B$2:$B$10001,MATCH(5350,'Email Cleaner'!$I$2:$I$10001,0)),"")</f>
        <v/>
      </c>
    </row>
    <row r="5352">
      <c r="A5352">
        <f>IFERROR(INDEX('Email Cleaner'!$B$2:$B$10001,MATCH(5351,'Email Cleaner'!$I$2:$I$10001,0)),"")</f>
        <v/>
      </c>
    </row>
    <row r="5353">
      <c r="A5353">
        <f>IFERROR(INDEX('Email Cleaner'!$B$2:$B$10001,MATCH(5352,'Email Cleaner'!$I$2:$I$10001,0)),"")</f>
        <v/>
      </c>
    </row>
    <row r="5354">
      <c r="A5354">
        <f>IFERROR(INDEX('Email Cleaner'!$B$2:$B$10001,MATCH(5353,'Email Cleaner'!$I$2:$I$10001,0)),"")</f>
        <v/>
      </c>
    </row>
    <row r="5355">
      <c r="A5355">
        <f>IFERROR(INDEX('Email Cleaner'!$B$2:$B$10001,MATCH(5354,'Email Cleaner'!$I$2:$I$10001,0)),"")</f>
        <v/>
      </c>
    </row>
    <row r="5356">
      <c r="A5356">
        <f>IFERROR(INDEX('Email Cleaner'!$B$2:$B$10001,MATCH(5355,'Email Cleaner'!$I$2:$I$10001,0)),"")</f>
        <v/>
      </c>
    </row>
    <row r="5357">
      <c r="A5357">
        <f>IFERROR(INDEX('Email Cleaner'!$B$2:$B$10001,MATCH(5356,'Email Cleaner'!$I$2:$I$10001,0)),"")</f>
        <v/>
      </c>
    </row>
    <row r="5358">
      <c r="A5358">
        <f>IFERROR(INDEX('Email Cleaner'!$B$2:$B$10001,MATCH(5357,'Email Cleaner'!$I$2:$I$10001,0)),"")</f>
        <v/>
      </c>
    </row>
    <row r="5359">
      <c r="A5359">
        <f>IFERROR(INDEX('Email Cleaner'!$B$2:$B$10001,MATCH(5358,'Email Cleaner'!$I$2:$I$10001,0)),"")</f>
        <v/>
      </c>
    </row>
    <row r="5360">
      <c r="A5360">
        <f>IFERROR(INDEX('Email Cleaner'!$B$2:$B$10001,MATCH(5359,'Email Cleaner'!$I$2:$I$10001,0)),"")</f>
        <v/>
      </c>
    </row>
    <row r="5361">
      <c r="A5361">
        <f>IFERROR(INDEX('Email Cleaner'!$B$2:$B$10001,MATCH(5360,'Email Cleaner'!$I$2:$I$10001,0)),"")</f>
        <v/>
      </c>
    </row>
    <row r="5362">
      <c r="A5362">
        <f>IFERROR(INDEX('Email Cleaner'!$B$2:$B$10001,MATCH(5361,'Email Cleaner'!$I$2:$I$10001,0)),"")</f>
        <v/>
      </c>
    </row>
    <row r="5363">
      <c r="A5363">
        <f>IFERROR(INDEX('Email Cleaner'!$B$2:$B$10001,MATCH(5362,'Email Cleaner'!$I$2:$I$10001,0)),"")</f>
        <v/>
      </c>
    </row>
    <row r="5364">
      <c r="A5364">
        <f>IFERROR(INDEX('Email Cleaner'!$B$2:$B$10001,MATCH(5363,'Email Cleaner'!$I$2:$I$10001,0)),"")</f>
        <v/>
      </c>
    </row>
    <row r="5365">
      <c r="A5365">
        <f>IFERROR(INDEX('Email Cleaner'!$B$2:$B$10001,MATCH(5364,'Email Cleaner'!$I$2:$I$10001,0)),"")</f>
        <v/>
      </c>
    </row>
    <row r="5366">
      <c r="A5366">
        <f>IFERROR(INDEX('Email Cleaner'!$B$2:$B$10001,MATCH(5365,'Email Cleaner'!$I$2:$I$10001,0)),"")</f>
        <v/>
      </c>
    </row>
    <row r="5367">
      <c r="A5367">
        <f>IFERROR(INDEX('Email Cleaner'!$B$2:$B$10001,MATCH(5366,'Email Cleaner'!$I$2:$I$10001,0)),"")</f>
        <v/>
      </c>
    </row>
    <row r="5368">
      <c r="A5368">
        <f>IFERROR(INDEX('Email Cleaner'!$B$2:$B$10001,MATCH(5367,'Email Cleaner'!$I$2:$I$10001,0)),"")</f>
        <v/>
      </c>
    </row>
    <row r="5369">
      <c r="A5369">
        <f>IFERROR(INDEX('Email Cleaner'!$B$2:$B$10001,MATCH(5368,'Email Cleaner'!$I$2:$I$10001,0)),"")</f>
        <v/>
      </c>
    </row>
    <row r="5370">
      <c r="A5370">
        <f>IFERROR(INDEX('Email Cleaner'!$B$2:$B$10001,MATCH(5369,'Email Cleaner'!$I$2:$I$10001,0)),"")</f>
        <v/>
      </c>
    </row>
    <row r="5371">
      <c r="A5371">
        <f>IFERROR(INDEX('Email Cleaner'!$B$2:$B$10001,MATCH(5370,'Email Cleaner'!$I$2:$I$10001,0)),"")</f>
        <v/>
      </c>
    </row>
    <row r="5372">
      <c r="A5372">
        <f>IFERROR(INDEX('Email Cleaner'!$B$2:$B$10001,MATCH(5371,'Email Cleaner'!$I$2:$I$10001,0)),"")</f>
        <v/>
      </c>
    </row>
    <row r="5373">
      <c r="A5373">
        <f>IFERROR(INDEX('Email Cleaner'!$B$2:$B$10001,MATCH(5372,'Email Cleaner'!$I$2:$I$10001,0)),"")</f>
        <v/>
      </c>
    </row>
    <row r="5374">
      <c r="A5374">
        <f>IFERROR(INDEX('Email Cleaner'!$B$2:$B$10001,MATCH(5373,'Email Cleaner'!$I$2:$I$10001,0)),"")</f>
        <v/>
      </c>
    </row>
    <row r="5375">
      <c r="A5375">
        <f>IFERROR(INDEX('Email Cleaner'!$B$2:$B$10001,MATCH(5374,'Email Cleaner'!$I$2:$I$10001,0)),"")</f>
        <v/>
      </c>
    </row>
    <row r="5376">
      <c r="A5376">
        <f>IFERROR(INDEX('Email Cleaner'!$B$2:$B$10001,MATCH(5375,'Email Cleaner'!$I$2:$I$10001,0)),"")</f>
        <v/>
      </c>
    </row>
    <row r="5377">
      <c r="A5377">
        <f>IFERROR(INDEX('Email Cleaner'!$B$2:$B$10001,MATCH(5376,'Email Cleaner'!$I$2:$I$10001,0)),"")</f>
        <v/>
      </c>
    </row>
    <row r="5378">
      <c r="A5378">
        <f>IFERROR(INDEX('Email Cleaner'!$B$2:$B$10001,MATCH(5377,'Email Cleaner'!$I$2:$I$10001,0)),"")</f>
        <v/>
      </c>
    </row>
    <row r="5379">
      <c r="A5379">
        <f>IFERROR(INDEX('Email Cleaner'!$B$2:$B$10001,MATCH(5378,'Email Cleaner'!$I$2:$I$10001,0)),"")</f>
        <v/>
      </c>
    </row>
    <row r="5380">
      <c r="A5380">
        <f>IFERROR(INDEX('Email Cleaner'!$B$2:$B$10001,MATCH(5379,'Email Cleaner'!$I$2:$I$10001,0)),"")</f>
        <v/>
      </c>
    </row>
    <row r="5381">
      <c r="A5381">
        <f>IFERROR(INDEX('Email Cleaner'!$B$2:$B$10001,MATCH(5380,'Email Cleaner'!$I$2:$I$10001,0)),"")</f>
        <v/>
      </c>
    </row>
    <row r="5382">
      <c r="A5382">
        <f>IFERROR(INDEX('Email Cleaner'!$B$2:$B$10001,MATCH(5381,'Email Cleaner'!$I$2:$I$10001,0)),"")</f>
        <v/>
      </c>
    </row>
    <row r="5383">
      <c r="A5383">
        <f>IFERROR(INDEX('Email Cleaner'!$B$2:$B$10001,MATCH(5382,'Email Cleaner'!$I$2:$I$10001,0)),"")</f>
        <v/>
      </c>
    </row>
    <row r="5384">
      <c r="A5384">
        <f>IFERROR(INDEX('Email Cleaner'!$B$2:$B$10001,MATCH(5383,'Email Cleaner'!$I$2:$I$10001,0)),"")</f>
        <v/>
      </c>
    </row>
    <row r="5385">
      <c r="A5385">
        <f>IFERROR(INDEX('Email Cleaner'!$B$2:$B$10001,MATCH(5384,'Email Cleaner'!$I$2:$I$10001,0)),"")</f>
        <v/>
      </c>
    </row>
    <row r="5386">
      <c r="A5386">
        <f>IFERROR(INDEX('Email Cleaner'!$B$2:$B$10001,MATCH(5385,'Email Cleaner'!$I$2:$I$10001,0)),"")</f>
        <v/>
      </c>
    </row>
    <row r="5387">
      <c r="A5387">
        <f>IFERROR(INDEX('Email Cleaner'!$B$2:$B$10001,MATCH(5386,'Email Cleaner'!$I$2:$I$10001,0)),"")</f>
        <v/>
      </c>
    </row>
    <row r="5388">
      <c r="A5388">
        <f>IFERROR(INDEX('Email Cleaner'!$B$2:$B$10001,MATCH(5387,'Email Cleaner'!$I$2:$I$10001,0)),"")</f>
        <v/>
      </c>
    </row>
    <row r="5389">
      <c r="A5389">
        <f>IFERROR(INDEX('Email Cleaner'!$B$2:$B$10001,MATCH(5388,'Email Cleaner'!$I$2:$I$10001,0)),"")</f>
        <v/>
      </c>
    </row>
    <row r="5390">
      <c r="A5390">
        <f>IFERROR(INDEX('Email Cleaner'!$B$2:$B$10001,MATCH(5389,'Email Cleaner'!$I$2:$I$10001,0)),"")</f>
        <v/>
      </c>
    </row>
    <row r="5391">
      <c r="A5391">
        <f>IFERROR(INDEX('Email Cleaner'!$B$2:$B$10001,MATCH(5390,'Email Cleaner'!$I$2:$I$10001,0)),"")</f>
        <v/>
      </c>
    </row>
    <row r="5392">
      <c r="A5392">
        <f>IFERROR(INDEX('Email Cleaner'!$B$2:$B$10001,MATCH(5391,'Email Cleaner'!$I$2:$I$10001,0)),"")</f>
        <v/>
      </c>
    </row>
    <row r="5393">
      <c r="A5393">
        <f>IFERROR(INDEX('Email Cleaner'!$B$2:$B$10001,MATCH(5392,'Email Cleaner'!$I$2:$I$10001,0)),"")</f>
        <v/>
      </c>
    </row>
    <row r="5394">
      <c r="A5394">
        <f>IFERROR(INDEX('Email Cleaner'!$B$2:$B$10001,MATCH(5393,'Email Cleaner'!$I$2:$I$10001,0)),"")</f>
        <v/>
      </c>
    </row>
    <row r="5395">
      <c r="A5395">
        <f>IFERROR(INDEX('Email Cleaner'!$B$2:$B$10001,MATCH(5394,'Email Cleaner'!$I$2:$I$10001,0)),"")</f>
        <v/>
      </c>
    </row>
    <row r="5396">
      <c r="A5396">
        <f>IFERROR(INDEX('Email Cleaner'!$B$2:$B$10001,MATCH(5395,'Email Cleaner'!$I$2:$I$10001,0)),"")</f>
        <v/>
      </c>
    </row>
    <row r="5397">
      <c r="A5397">
        <f>IFERROR(INDEX('Email Cleaner'!$B$2:$B$10001,MATCH(5396,'Email Cleaner'!$I$2:$I$10001,0)),"")</f>
        <v/>
      </c>
    </row>
    <row r="5398">
      <c r="A5398">
        <f>IFERROR(INDEX('Email Cleaner'!$B$2:$B$10001,MATCH(5397,'Email Cleaner'!$I$2:$I$10001,0)),"")</f>
        <v/>
      </c>
    </row>
    <row r="5399">
      <c r="A5399">
        <f>IFERROR(INDEX('Email Cleaner'!$B$2:$B$10001,MATCH(5398,'Email Cleaner'!$I$2:$I$10001,0)),"")</f>
        <v/>
      </c>
    </row>
    <row r="5400">
      <c r="A5400">
        <f>IFERROR(INDEX('Email Cleaner'!$B$2:$B$10001,MATCH(5399,'Email Cleaner'!$I$2:$I$10001,0)),"")</f>
        <v/>
      </c>
    </row>
    <row r="5401">
      <c r="A5401">
        <f>IFERROR(INDEX('Email Cleaner'!$B$2:$B$10001,MATCH(5400,'Email Cleaner'!$I$2:$I$10001,0)),"")</f>
        <v/>
      </c>
    </row>
    <row r="5402">
      <c r="A5402">
        <f>IFERROR(INDEX('Email Cleaner'!$B$2:$B$10001,MATCH(5401,'Email Cleaner'!$I$2:$I$10001,0)),"")</f>
        <v/>
      </c>
    </row>
    <row r="5403">
      <c r="A5403">
        <f>IFERROR(INDEX('Email Cleaner'!$B$2:$B$10001,MATCH(5402,'Email Cleaner'!$I$2:$I$10001,0)),"")</f>
        <v/>
      </c>
    </row>
    <row r="5404">
      <c r="A5404">
        <f>IFERROR(INDEX('Email Cleaner'!$B$2:$B$10001,MATCH(5403,'Email Cleaner'!$I$2:$I$10001,0)),"")</f>
        <v/>
      </c>
    </row>
    <row r="5405">
      <c r="A5405">
        <f>IFERROR(INDEX('Email Cleaner'!$B$2:$B$10001,MATCH(5404,'Email Cleaner'!$I$2:$I$10001,0)),"")</f>
        <v/>
      </c>
    </row>
    <row r="5406">
      <c r="A5406">
        <f>IFERROR(INDEX('Email Cleaner'!$B$2:$B$10001,MATCH(5405,'Email Cleaner'!$I$2:$I$10001,0)),"")</f>
        <v/>
      </c>
    </row>
    <row r="5407">
      <c r="A5407">
        <f>IFERROR(INDEX('Email Cleaner'!$B$2:$B$10001,MATCH(5406,'Email Cleaner'!$I$2:$I$10001,0)),"")</f>
        <v/>
      </c>
    </row>
    <row r="5408">
      <c r="A5408">
        <f>IFERROR(INDEX('Email Cleaner'!$B$2:$B$10001,MATCH(5407,'Email Cleaner'!$I$2:$I$10001,0)),"")</f>
        <v/>
      </c>
    </row>
    <row r="5409">
      <c r="A5409">
        <f>IFERROR(INDEX('Email Cleaner'!$B$2:$B$10001,MATCH(5408,'Email Cleaner'!$I$2:$I$10001,0)),"")</f>
        <v/>
      </c>
    </row>
    <row r="5410">
      <c r="A5410">
        <f>IFERROR(INDEX('Email Cleaner'!$B$2:$B$10001,MATCH(5409,'Email Cleaner'!$I$2:$I$10001,0)),"")</f>
        <v/>
      </c>
    </row>
    <row r="5411">
      <c r="A5411">
        <f>IFERROR(INDEX('Email Cleaner'!$B$2:$B$10001,MATCH(5410,'Email Cleaner'!$I$2:$I$10001,0)),"")</f>
        <v/>
      </c>
    </row>
    <row r="5412">
      <c r="A5412">
        <f>IFERROR(INDEX('Email Cleaner'!$B$2:$B$10001,MATCH(5411,'Email Cleaner'!$I$2:$I$10001,0)),"")</f>
        <v/>
      </c>
    </row>
    <row r="5413">
      <c r="A5413">
        <f>IFERROR(INDEX('Email Cleaner'!$B$2:$B$10001,MATCH(5412,'Email Cleaner'!$I$2:$I$10001,0)),"")</f>
        <v/>
      </c>
    </row>
    <row r="5414">
      <c r="A5414">
        <f>IFERROR(INDEX('Email Cleaner'!$B$2:$B$10001,MATCH(5413,'Email Cleaner'!$I$2:$I$10001,0)),"")</f>
        <v/>
      </c>
    </row>
    <row r="5415">
      <c r="A5415">
        <f>IFERROR(INDEX('Email Cleaner'!$B$2:$B$10001,MATCH(5414,'Email Cleaner'!$I$2:$I$10001,0)),"")</f>
        <v/>
      </c>
    </row>
    <row r="5416">
      <c r="A5416">
        <f>IFERROR(INDEX('Email Cleaner'!$B$2:$B$10001,MATCH(5415,'Email Cleaner'!$I$2:$I$10001,0)),"")</f>
        <v/>
      </c>
    </row>
    <row r="5417">
      <c r="A5417">
        <f>IFERROR(INDEX('Email Cleaner'!$B$2:$B$10001,MATCH(5416,'Email Cleaner'!$I$2:$I$10001,0)),"")</f>
        <v/>
      </c>
    </row>
    <row r="5418">
      <c r="A5418">
        <f>IFERROR(INDEX('Email Cleaner'!$B$2:$B$10001,MATCH(5417,'Email Cleaner'!$I$2:$I$10001,0)),"")</f>
        <v/>
      </c>
    </row>
    <row r="5419">
      <c r="A5419">
        <f>IFERROR(INDEX('Email Cleaner'!$B$2:$B$10001,MATCH(5418,'Email Cleaner'!$I$2:$I$10001,0)),"")</f>
        <v/>
      </c>
    </row>
    <row r="5420">
      <c r="A5420">
        <f>IFERROR(INDEX('Email Cleaner'!$B$2:$B$10001,MATCH(5419,'Email Cleaner'!$I$2:$I$10001,0)),"")</f>
        <v/>
      </c>
    </row>
    <row r="5421">
      <c r="A5421">
        <f>IFERROR(INDEX('Email Cleaner'!$B$2:$B$10001,MATCH(5420,'Email Cleaner'!$I$2:$I$10001,0)),"")</f>
        <v/>
      </c>
    </row>
    <row r="5422">
      <c r="A5422">
        <f>IFERROR(INDEX('Email Cleaner'!$B$2:$B$10001,MATCH(5421,'Email Cleaner'!$I$2:$I$10001,0)),"")</f>
        <v/>
      </c>
    </row>
    <row r="5423">
      <c r="A5423">
        <f>IFERROR(INDEX('Email Cleaner'!$B$2:$B$10001,MATCH(5422,'Email Cleaner'!$I$2:$I$10001,0)),"")</f>
        <v/>
      </c>
    </row>
    <row r="5424">
      <c r="A5424">
        <f>IFERROR(INDEX('Email Cleaner'!$B$2:$B$10001,MATCH(5423,'Email Cleaner'!$I$2:$I$10001,0)),"")</f>
        <v/>
      </c>
    </row>
    <row r="5425">
      <c r="A5425">
        <f>IFERROR(INDEX('Email Cleaner'!$B$2:$B$10001,MATCH(5424,'Email Cleaner'!$I$2:$I$10001,0)),"")</f>
        <v/>
      </c>
    </row>
    <row r="5426">
      <c r="A5426">
        <f>IFERROR(INDEX('Email Cleaner'!$B$2:$B$10001,MATCH(5425,'Email Cleaner'!$I$2:$I$10001,0)),"")</f>
        <v/>
      </c>
    </row>
    <row r="5427">
      <c r="A5427">
        <f>IFERROR(INDEX('Email Cleaner'!$B$2:$B$10001,MATCH(5426,'Email Cleaner'!$I$2:$I$10001,0)),"")</f>
        <v/>
      </c>
    </row>
    <row r="5428">
      <c r="A5428">
        <f>IFERROR(INDEX('Email Cleaner'!$B$2:$B$10001,MATCH(5427,'Email Cleaner'!$I$2:$I$10001,0)),"")</f>
        <v/>
      </c>
    </row>
    <row r="5429">
      <c r="A5429">
        <f>IFERROR(INDEX('Email Cleaner'!$B$2:$B$10001,MATCH(5428,'Email Cleaner'!$I$2:$I$10001,0)),"")</f>
        <v/>
      </c>
    </row>
    <row r="5430">
      <c r="A5430">
        <f>IFERROR(INDEX('Email Cleaner'!$B$2:$B$10001,MATCH(5429,'Email Cleaner'!$I$2:$I$10001,0)),"")</f>
        <v/>
      </c>
    </row>
    <row r="5431">
      <c r="A5431">
        <f>IFERROR(INDEX('Email Cleaner'!$B$2:$B$10001,MATCH(5430,'Email Cleaner'!$I$2:$I$10001,0)),"")</f>
        <v/>
      </c>
    </row>
    <row r="5432">
      <c r="A5432">
        <f>IFERROR(INDEX('Email Cleaner'!$B$2:$B$10001,MATCH(5431,'Email Cleaner'!$I$2:$I$10001,0)),"")</f>
        <v/>
      </c>
    </row>
    <row r="5433">
      <c r="A5433">
        <f>IFERROR(INDEX('Email Cleaner'!$B$2:$B$10001,MATCH(5432,'Email Cleaner'!$I$2:$I$10001,0)),"")</f>
        <v/>
      </c>
    </row>
    <row r="5434">
      <c r="A5434">
        <f>IFERROR(INDEX('Email Cleaner'!$B$2:$B$10001,MATCH(5433,'Email Cleaner'!$I$2:$I$10001,0)),"")</f>
        <v/>
      </c>
    </row>
    <row r="5435">
      <c r="A5435">
        <f>IFERROR(INDEX('Email Cleaner'!$B$2:$B$10001,MATCH(5434,'Email Cleaner'!$I$2:$I$10001,0)),"")</f>
        <v/>
      </c>
    </row>
    <row r="5436">
      <c r="A5436">
        <f>IFERROR(INDEX('Email Cleaner'!$B$2:$B$10001,MATCH(5435,'Email Cleaner'!$I$2:$I$10001,0)),"")</f>
        <v/>
      </c>
    </row>
    <row r="5437">
      <c r="A5437">
        <f>IFERROR(INDEX('Email Cleaner'!$B$2:$B$10001,MATCH(5436,'Email Cleaner'!$I$2:$I$10001,0)),"")</f>
        <v/>
      </c>
    </row>
    <row r="5438">
      <c r="A5438">
        <f>IFERROR(INDEX('Email Cleaner'!$B$2:$B$10001,MATCH(5437,'Email Cleaner'!$I$2:$I$10001,0)),"")</f>
        <v/>
      </c>
    </row>
    <row r="5439">
      <c r="A5439">
        <f>IFERROR(INDEX('Email Cleaner'!$B$2:$B$10001,MATCH(5438,'Email Cleaner'!$I$2:$I$10001,0)),"")</f>
        <v/>
      </c>
    </row>
    <row r="5440">
      <c r="A5440">
        <f>IFERROR(INDEX('Email Cleaner'!$B$2:$B$10001,MATCH(5439,'Email Cleaner'!$I$2:$I$10001,0)),"")</f>
        <v/>
      </c>
    </row>
    <row r="5441">
      <c r="A5441">
        <f>IFERROR(INDEX('Email Cleaner'!$B$2:$B$10001,MATCH(5440,'Email Cleaner'!$I$2:$I$10001,0)),"")</f>
        <v/>
      </c>
    </row>
    <row r="5442">
      <c r="A5442">
        <f>IFERROR(INDEX('Email Cleaner'!$B$2:$B$10001,MATCH(5441,'Email Cleaner'!$I$2:$I$10001,0)),"")</f>
        <v/>
      </c>
    </row>
    <row r="5443">
      <c r="A5443">
        <f>IFERROR(INDEX('Email Cleaner'!$B$2:$B$10001,MATCH(5442,'Email Cleaner'!$I$2:$I$10001,0)),"")</f>
        <v/>
      </c>
    </row>
    <row r="5444">
      <c r="A5444">
        <f>IFERROR(INDEX('Email Cleaner'!$B$2:$B$10001,MATCH(5443,'Email Cleaner'!$I$2:$I$10001,0)),"")</f>
        <v/>
      </c>
    </row>
    <row r="5445">
      <c r="A5445">
        <f>IFERROR(INDEX('Email Cleaner'!$B$2:$B$10001,MATCH(5444,'Email Cleaner'!$I$2:$I$10001,0)),"")</f>
        <v/>
      </c>
    </row>
    <row r="5446">
      <c r="A5446">
        <f>IFERROR(INDEX('Email Cleaner'!$B$2:$B$10001,MATCH(5445,'Email Cleaner'!$I$2:$I$10001,0)),"")</f>
        <v/>
      </c>
    </row>
    <row r="5447">
      <c r="A5447">
        <f>IFERROR(INDEX('Email Cleaner'!$B$2:$B$10001,MATCH(5446,'Email Cleaner'!$I$2:$I$10001,0)),"")</f>
        <v/>
      </c>
    </row>
    <row r="5448">
      <c r="A5448">
        <f>IFERROR(INDEX('Email Cleaner'!$B$2:$B$10001,MATCH(5447,'Email Cleaner'!$I$2:$I$10001,0)),"")</f>
        <v/>
      </c>
    </row>
    <row r="5449">
      <c r="A5449">
        <f>IFERROR(INDEX('Email Cleaner'!$B$2:$B$10001,MATCH(5448,'Email Cleaner'!$I$2:$I$10001,0)),"")</f>
        <v/>
      </c>
    </row>
    <row r="5450">
      <c r="A5450">
        <f>IFERROR(INDEX('Email Cleaner'!$B$2:$B$10001,MATCH(5449,'Email Cleaner'!$I$2:$I$10001,0)),"")</f>
        <v/>
      </c>
    </row>
    <row r="5451">
      <c r="A5451">
        <f>IFERROR(INDEX('Email Cleaner'!$B$2:$B$10001,MATCH(5450,'Email Cleaner'!$I$2:$I$10001,0)),"")</f>
        <v/>
      </c>
    </row>
    <row r="5452">
      <c r="A5452">
        <f>IFERROR(INDEX('Email Cleaner'!$B$2:$B$10001,MATCH(5451,'Email Cleaner'!$I$2:$I$10001,0)),"")</f>
        <v/>
      </c>
    </row>
    <row r="5453">
      <c r="A5453">
        <f>IFERROR(INDEX('Email Cleaner'!$B$2:$B$10001,MATCH(5452,'Email Cleaner'!$I$2:$I$10001,0)),"")</f>
        <v/>
      </c>
    </row>
    <row r="5454">
      <c r="A5454">
        <f>IFERROR(INDEX('Email Cleaner'!$B$2:$B$10001,MATCH(5453,'Email Cleaner'!$I$2:$I$10001,0)),"")</f>
        <v/>
      </c>
    </row>
    <row r="5455">
      <c r="A5455">
        <f>IFERROR(INDEX('Email Cleaner'!$B$2:$B$10001,MATCH(5454,'Email Cleaner'!$I$2:$I$10001,0)),"")</f>
        <v/>
      </c>
    </row>
    <row r="5456">
      <c r="A5456">
        <f>IFERROR(INDEX('Email Cleaner'!$B$2:$B$10001,MATCH(5455,'Email Cleaner'!$I$2:$I$10001,0)),"")</f>
        <v/>
      </c>
    </row>
    <row r="5457">
      <c r="A5457">
        <f>IFERROR(INDEX('Email Cleaner'!$B$2:$B$10001,MATCH(5456,'Email Cleaner'!$I$2:$I$10001,0)),"")</f>
        <v/>
      </c>
    </row>
    <row r="5458">
      <c r="A5458">
        <f>IFERROR(INDEX('Email Cleaner'!$B$2:$B$10001,MATCH(5457,'Email Cleaner'!$I$2:$I$10001,0)),"")</f>
        <v/>
      </c>
    </row>
    <row r="5459">
      <c r="A5459">
        <f>IFERROR(INDEX('Email Cleaner'!$B$2:$B$10001,MATCH(5458,'Email Cleaner'!$I$2:$I$10001,0)),"")</f>
        <v/>
      </c>
    </row>
    <row r="5460">
      <c r="A5460">
        <f>IFERROR(INDEX('Email Cleaner'!$B$2:$B$10001,MATCH(5459,'Email Cleaner'!$I$2:$I$10001,0)),"")</f>
        <v/>
      </c>
    </row>
    <row r="5461">
      <c r="A5461">
        <f>IFERROR(INDEX('Email Cleaner'!$B$2:$B$10001,MATCH(5460,'Email Cleaner'!$I$2:$I$10001,0)),"")</f>
        <v/>
      </c>
    </row>
    <row r="5462">
      <c r="A5462">
        <f>IFERROR(INDEX('Email Cleaner'!$B$2:$B$10001,MATCH(5461,'Email Cleaner'!$I$2:$I$10001,0)),"")</f>
        <v/>
      </c>
    </row>
    <row r="5463">
      <c r="A5463">
        <f>IFERROR(INDEX('Email Cleaner'!$B$2:$B$10001,MATCH(5462,'Email Cleaner'!$I$2:$I$10001,0)),"")</f>
        <v/>
      </c>
    </row>
    <row r="5464">
      <c r="A5464">
        <f>IFERROR(INDEX('Email Cleaner'!$B$2:$B$10001,MATCH(5463,'Email Cleaner'!$I$2:$I$10001,0)),"")</f>
        <v/>
      </c>
    </row>
    <row r="5465">
      <c r="A5465">
        <f>IFERROR(INDEX('Email Cleaner'!$B$2:$B$10001,MATCH(5464,'Email Cleaner'!$I$2:$I$10001,0)),"")</f>
        <v/>
      </c>
    </row>
    <row r="5466">
      <c r="A5466">
        <f>IFERROR(INDEX('Email Cleaner'!$B$2:$B$10001,MATCH(5465,'Email Cleaner'!$I$2:$I$10001,0)),"")</f>
        <v/>
      </c>
    </row>
    <row r="5467">
      <c r="A5467">
        <f>IFERROR(INDEX('Email Cleaner'!$B$2:$B$10001,MATCH(5466,'Email Cleaner'!$I$2:$I$10001,0)),"")</f>
        <v/>
      </c>
    </row>
    <row r="5468">
      <c r="A5468">
        <f>IFERROR(INDEX('Email Cleaner'!$B$2:$B$10001,MATCH(5467,'Email Cleaner'!$I$2:$I$10001,0)),"")</f>
        <v/>
      </c>
    </row>
    <row r="5469">
      <c r="A5469">
        <f>IFERROR(INDEX('Email Cleaner'!$B$2:$B$10001,MATCH(5468,'Email Cleaner'!$I$2:$I$10001,0)),"")</f>
        <v/>
      </c>
    </row>
    <row r="5470">
      <c r="A5470">
        <f>IFERROR(INDEX('Email Cleaner'!$B$2:$B$10001,MATCH(5469,'Email Cleaner'!$I$2:$I$10001,0)),"")</f>
        <v/>
      </c>
    </row>
    <row r="5471">
      <c r="A5471">
        <f>IFERROR(INDEX('Email Cleaner'!$B$2:$B$10001,MATCH(5470,'Email Cleaner'!$I$2:$I$10001,0)),"")</f>
        <v/>
      </c>
    </row>
    <row r="5472">
      <c r="A5472">
        <f>IFERROR(INDEX('Email Cleaner'!$B$2:$B$10001,MATCH(5471,'Email Cleaner'!$I$2:$I$10001,0)),"")</f>
        <v/>
      </c>
    </row>
    <row r="5473">
      <c r="A5473">
        <f>IFERROR(INDEX('Email Cleaner'!$B$2:$B$10001,MATCH(5472,'Email Cleaner'!$I$2:$I$10001,0)),"")</f>
        <v/>
      </c>
    </row>
    <row r="5474">
      <c r="A5474">
        <f>IFERROR(INDEX('Email Cleaner'!$B$2:$B$10001,MATCH(5473,'Email Cleaner'!$I$2:$I$10001,0)),"")</f>
        <v/>
      </c>
    </row>
    <row r="5475">
      <c r="A5475">
        <f>IFERROR(INDEX('Email Cleaner'!$B$2:$B$10001,MATCH(5474,'Email Cleaner'!$I$2:$I$10001,0)),"")</f>
        <v/>
      </c>
    </row>
    <row r="5476">
      <c r="A5476">
        <f>IFERROR(INDEX('Email Cleaner'!$B$2:$B$10001,MATCH(5475,'Email Cleaner'!$I$2:$I$10001,0)),"")</f>
        <v/>
      </c>
    </row>
    <row r="5477">
      <c r="A5477">
        <f>IFERROR(INDEX('Email Cleaner'!$B$2:$B$10001,MATCH(5476,'Email Cleaner'!$I$2:$I$10001,0)),"")</f>
        <v/>
      </c>
    </row>
    <row r="5478">
      <c r="A5478">
        <f>IFERROR(INDEX('Email Cleaner'!$B$2:$B$10001,MATCH(5477,'Email Cleaner'!$I$2:$I$10001,0)),"")</f>
        <v/>
      </c>
    </row>
    <row r="5479">
      <c r="A5479">
        <f>IFERROR(INDEX('Email Cleaner'!$B$2:$B$10001,MATCH(5478,'Email Cleaner'!$I$2:$I$10001,0)),"")</f>
        <v/>
      </c>
    </row>
    <row r="5480">
      <c r="A5480">
        <f>IFERROR(INDEX('Email Cleaner'!$B$2:$B$10001,MATCH(5479,'Email Cleaner'!$I$2:$I$10001,0)),"")</f>
        <v/>
      </c>
    </row>
    <row r="5481">
      <c r="A5481">
        <f>IFERROR(INDEX('Email Cleaner'!$B$2:$B$10001,MATCH(5480,'Email Cleaner'!$I$2:$I$10001,0)),"")</f>
        <v/>
      </c>
    </row>
    <row r="5482">
      <c r="A5482">
        <f>IFERROR(INDEX('Email Cleaner'!$B$2:$B$10001,MATCH(5481,'Email Cleaner'!$I$2:$I$10001,0)),"")</f>
        <v/>
      </c>
    </row>
    <row r="5483">
      <c r="A5483">
        <f>IFERROR(INDEX('Email Cleaner'!$B$2:$B$10001,MATCH(5482,'Email Cleaner'!$I$2:$I$10001,0)),"")</f>
        <v/>
      </c>
    </row>
    <row r="5484">
      <c r="A5484">
        <f>IFERROR(INDEX('Email Cleaner'!$B$2:$B$10001,MATCH(5483,'Email Cleaner'!$I$2:$I$10001,0)),"")</f>
        <v/>
      </c>
    </row>
    <row r="5485">
      <c r="A5485">
        <f>IFERROR(INDEX('Email Cleaner'!$B$2:$B$10001,MATCH(5484,'Email Cleaner'!$I$2:$I$10001,0)),"")</f>
        <v/>
      </c>
    </row>
    <row r="5486">
      <c r="A5486">
        <f>IFERROR(INDEX('Email Cleaner'!$B$2:$B$10001,MATCH(5485,'Email Cleaner'!$I$2:$I$10001,0)),"")</f>
        <v/>
      </c>
    </row>
    <row r="5487">
      <c r="A5487">
        <f>IFERROR(INDEX('Email Cleaner'!$B$2:$B$10001,MATCH(5486,'Email Cleaner'!$I$2:$I$10001,0)),"")</f>
        <v/>
      </c>
    </row>
    <row r="5488">
      <c r="A5488">
        <f>IFERROR(INDEX('Email Cleaner'!$B$2:$B$10001,MATCH(5487,'Email Cleaner'!$I$2:$I$10001,0)),"")</f>
        <v/>
      </c>
    </row>
    <row r="5489">
      <c r="A5489">
        <f>IFERROR(INDEX('Email Cleaner'!$B$2:$B$10001,MATCH(5488,'Email Cleaner'!$I$2:$I$10001,0)),"")</f>
        <v/>
      </c>
    </row>
    <row r="5490">
      <c r="A5490">
        <f>IFERROR(INDEX('Email Cleaner'!$B$2:$B$10001,MATCH(5489,'Email Cleaner'!$I$2:$I$10001,0)),"")</f>
        <v/>
      </c>
    </row>
    <row r="5491">
      <c r="A5491">
        <f>IFERROR(INDEX('Email Cleaner'!$B$2:$B$10001,MATCH(5490,'Email Cleaner'!$I$2:$I$10001,0)),"")</f>
        <v/>
      </c>
    </row>
    <row r="5492">
      <c r="A5492">
        <f>IFERROR(INDEX('Email Cleaner'!$B$2:$B$10001,MATCH(5491,'Email Cleaner'!$I$2:$I$10001,0)),"")</f>
        <v/>
      </c>
    </row>
    <row r="5493">
      <c r="A5493">
        <f>IFERROR(INDEX('Email Cleaner'!$B$2:$B$10001,MATCH(5492,'Email Cleaner'!$I$2:$I$10001,0)),"")</f>
        <v/>
      </c>
    </row>
    <row r="5494">
      <c r="A5494">
        <f>IFERROR(INDEX('Email Cleaner'!$B$2:$B$10001,MATCH(5493,'Email Cleaner'!$I$2:$I$10001,0)),"")</f>
        <v/>
      </c>
    </row>
    <row r="5495">
      <c r="A5495">
        <f>IFERROR(INDEX('Email Cleaner'!$B$2:$B$10001,MATCH(5494,'Email Cleaner'!$I$2:$I$10001,0)),"")</f>
        <v/>
      </c>
    </row>
    <row r="5496">
      <c r="A5496">
        <f>IFERROR(INDEX('Email Cleaner'!$B$2:$B$10001,MATCH(5495,'Email Cleaner'!$I$2:$I$10001,0)),"")</f>
        <v/>
      </c>
    </row>
    <row r="5497">
      <c r="A5497">
        <f>IFERROR(INDEX('Email Cleaner'!$B$2:$B$10001,MATCH(5496,'Email Cleaner'!$I$2:$I$10001,0)),"")</f>
        <v/>
      </c>
    </row>
    <row r="5498">
      <c r="A5498">
        <f>IFERROR(INDEX('Email Cleaner'!$B$2:$B$10001,MATCH(5497,'Email Cleaner'!$I$2:$I$10001,0)),"")</f>
        <v/>
      </c>
    </row>
    <row r="5499">
      <c r="A5499">
        <f>IFERROR(INDEX('Email Cleaner'!$B$2:$B$10001,MATCH(5498,'Email Cleaner'!$I$2:$I$10001,0)),"")</f>
        <v/>
      </c>
    </row>
    <row r="5500">
      <c r="A5500">
        <f>IFERROR(INDEX('Email Cleaner'!$B$2:$B$10001,MATCH(5499,'Email Cleaner'!$I$2:$I$10001,0)),"")</f>
        <v/>
      </c>
    </row>
    <row r="5501">
      <c r="A5501">
        <f>IFERROR(INDEX('Email Cleaner'!$B$2:$B$10001,MATCH(5500,'Email Cleaner'!$I$2:$I$10001,0)),"")</f>
        <v/>
      </c>
    </row>
    <row r="5502">
      <c r="A5502">
        <f>IFERROR(INDEX('Email Cleaner'!$B$2:$B$10001,MATCH(5501,'Email Cleaner'!$I$2:$I$10001,0)),"")</f>
        <v/>
      </c>
    </row>
    <row r="5503">
      <c r="A5503">
        <f>IFERROR(INDEX('Email Cleaner'!$B$2:$B$10001,MATCH(5502,'Email Cleaner'!$I$2:$I$10001,0)),"")</f>
        <v/>
      </c>
    </row>
    <row r="5504">
      <c r="A5504">
        <f>IFERROR(INDEX('Email Cleaner'!$B$2:$B$10001,MATCH(5503,'Email Cleaner'!$I$2:$I$10001,0)),"")</f>
        <v/>
      </c>
    </row>
    <row r="5505">
      <c r="A5505">
        <f>IFERROR(INDEX('Email Cleaner'!$B$2:$B$10001,MATCH(5504,'Email Cleaner'!$I$2:$I$10001,0)),"")</f>
        <v/>
      </c>
    </row>
    <row r="5506">
      <c r="A5506">
        <f>IFERROR(INDEX('Email Cleaner'!$B$2:$B$10001,MATCH(5505,'Email Cleaner'!$I$2:$I$10001,0)),"")</f>
        <v/>
      </c>
    </row>
    <row r="5507">
      <c r="A5507">
        <f>IFERROR(INDEX('Email Cleaner'!$B$2:$B$10001,MATCH(5506,'Email Cleaner'!$I$2:$I$10001,0)),"")</f>
        <v/>
      </c>
    </row>
    <row r="5508">
      <c r="A5508">
        <f>IFERROR(INDEX('Email Cleaner'!$B$2:$B$10001,MATCH(5507,'Email Cleaner'!$I$2:$I$10001,0)),"")</f>
        <v/>
      </c>
    </row>
    <row r="5509">
      <c r="A5509">
        <f>IFERROR(INDEX('Email Cleaner'!$B$2:$B$10001,MATCH(5508,'Email Cleaner'!$I$2:$I$10001,0)),"")</f>
        <v/>
      </c>
    </row>
    <row r="5510">
      <c r="A5510">
        <f>IFERROR(INDEX('Email Cleaner'!$B$2:$B$10001,MATCH(5509,'Email Cleaner'!$I$2:$I$10001,0)),"")</f>
        <v/>
      </c>
    </row>
    <row r="5511">
      <c r="A5511">
        <f>IFERROR(INDEX('Email Cleaner'!$B$2:$B$10001,MATCH(5510,'Email Cleaner'!$I$2:$I$10001,0)),"")</f>
        <v/>
      </c>
    </row>
    <row r="5512">
      <c r="A5512">
        <f>IFERROR(INDEX('Email Cleaner'!$B$2:$B$10001,MATCH(5511,'Email Cleaner'!$I$2:$I$10001,0)),"")</f>
        <v/>
      </c>
    </row>
    <row r="5513">
      <c r="A5513">
        <f>IFERROR(INDEX('Email Cleaner'!$B$2:$B$10001,MATCH(5512,'Email Cleaner'!$I$2:$I$10001,0)),"")</f>
        <v/>
      </c>
    </row>
    <row r="5514">
      <c r="A5514">
        <f>IFERROR(INDEX('Email Cleaner'!$B$2:$B$10001,MATCH(5513,'Email Cleaner'!$I$2:$I$10001,0)),"")</f>
        <v/>
      </c>
    </row>
    <row r="5515">
      <c r="A5515">
        <f>IFERROR(INDEX('Email Cleaner'!$B$2:$B$10001,MATCH(5514,'Email Cleaner'!$I$2:$I$10001,0)),"")</f>
        <v/>
      </c>
    </row>
    <row r="5516">
      <c r="A5516">
        <f>IFERROR(INDEX('Email Cleaner'!$B$2:$B$10001,MATCH(5515,'Email Cleaner'!$I$2:$I$10001,0)),"")</f>
        <v/>
      </c>
    </row>
    <row r="5517">
      <c r="A5517">
        <f>IFERROR(INDEX('Email Cleaner'!$B$2:$B$10001,MATCH(5516,'Email Cleaner'!$I$2:$I$10001,0)),"")</f>
        <v/>
      </c>
    </row>
    <row r="5518">
      <c r="A5518">
        <f>IFERROR(INDEX('Email Cleaner'!$B$2:$B$10001,MATCH(5517,'Email Cleaner'!$I$2:$I$10001,0)),"")</f>
        <v/>
      </c>
    </row>
    <row r="5519">
      <c r="A5519">
        <f>IFERROR(INDEX('Email Cleaner'!$B$2:$B$10001,MATCH(5518,'Email Cleaner'!$I$2:$I$10001,0)),"")</f>
        <v/>
      </c>
    </row>
    <row r="5520">
      <c r="A5520">
        <f>IFERROR(INDEX('Email Cleaner'!$B$2:$B$10001,MATCH(5519,'Email Cleaner'!$I$2:$I$10001,0)),"")</f>
        <v/>
      </c>
    </row>
    <row r="5521">
      <c r="A5521">
        <f>IFERROR(INDEX('Email Cleaner'!$B$2:$B$10001,MATCH(5520,'Email Cleaner'!$I$2:$I$10001,0)),"")</f>
        <v/>
      </c>
    </row>
    <row r="5522">
      <c r="A5522">
        <f>IFERROR(INDEX('Email Cleaner'!$B$2:$B$10001,MATCH(5521,'Email Cleaner'!$I$2:$I$10001,0)),"")</f>
        <v/>
      </c>
    </row>
    <row r="5523">
      <c r="A5523">
        <f>IFERROR(INDEX('Email Cleaner'!$B$2:$B$10001,MATCH(5522,'Email Cleaner'!$I$2:$I$10001,0)),"")</f>
        <v/>
      </c>
    </row>
    <row r="5524">
      <c r="A5524">
        <f>IFERROR(INDEX('Email Cleaner'!$B$2:$B$10001,MATCH(5523,'Email Cleaner'!$I$2:$I$10001,0)),"")</f>
        <v/>
      </c>
    </row>
    <row r="5525">
      <c r="A5525">
        <f>IFERROR(INDEX('Email Cleaner'!$B$2:$B$10001,MATCH(5524,'Email Cleaner'!$I$2:$I$10001,0)),"")</f>
        <v/>
      </c>
    </row>
    <row r="5526">
      <c r="A5526">
        <f>IFERROR(INDEX('Email Cleaner'!$B$2:$B$10001,MATCH(5525,'Email Cleaner'!$I$2:$I$10001,0)),"")</f>
        <v/>
      </c>
    </row>
    <row r="5527">
      <c r="A5527">
        <f>IFERROR(INDEX('Email Cleaner'!$B$2:$B$10001,MATCH(5526,'Email Cleaner'!$I$2:$I$10001,0)),"")</f>
        <v/>
      </c>
    </row>
    <row r="5528">
      <c r="A5528">
        <f>IFERROR(INDEX('Email Cleaner'!$B$2:$B$10001,MATCH(5527,'Email Cleaner'!$I$2:$I$10001,0)),"")</f>
        <v/>
      </c>
    </row>
    <row r="5529">
      <c r="A5529">
        <f>IFERROR(INDEX('Email Cleaner'!$B$2:$B$10001,MATCH(5528,'Email Cleaner'!$I$2:$I$10001,0)),"")</f>
        <v/>
      </c>
    </row>
    <row r="5530">
      <c r="A5530">
        <f>IFERROR(INDEX('Email Cleaner'!$B$2:$B$10001,MATCH(5529,'Email Cleaner'!$I$2:$I$10001,0)),"")</f>
        <v/>
      </c>
    </row>
    <row r="5531">
      <c r="A5531">
        <f>IFERROR(INDEX('Email Cleaner'!$B$2:$B$10001,MATCH(5530,'Email Cleaner'!$I$2:$I$10001,0)),"")</f>
        <v/>
      </c>
    </row>
    <row r="5532">
      <c r="A5532">
        <f>IFERROR(INDEX('Email Cleaner'!$B$2:$B$10001,MATCH(5531,'Email Cleaner'!$I$2:$I$10001,0)),"")</f>
        <v/>
      </c>
    </row>
    <row r="5533">
      <c r="A5533">
        <f>IFERROR(INDEX('Email Cleaner'!$B$2:$B$10001,MATCH(5532,'Email Cleaner'!$I$2:$I$10001,0)),"")</f>
        <v/>
      </c>
    </row>
    <row r="5534">
      <c r="A5534">
        <f>IFERROR(INDEX('Email Cleaner'!$B$2:$B$10001,MATCH(5533,'Email Cleaner'!$I$2:$I$10001,0)),"")</f>
        <v/>
      </c>
    </row>
    <row r="5535">
      <c r="A5535">
        <f>IFERROR(INDEX('Email Cleaner'!$B$2:$B$10001,MATCH(5534,'Email Cleaner'!$I$2:$I$10001,0)),"")</f>
        <v/>
      </c>
    </row>
    <row r="5536">
      <c r="A5536">
        <f>IFERROR(INDEX('Email Cleaner'!$B$2:$B$10001,MATCH(5535,'Email Cleaner'!$I$2:$I$10001,0)),"")</f>
        <v/>
      </c>
    </row>
    <row r="5537">
      <c r="A5537">
        <f>IFERROR(INDEX('Email Cleaner'!$B$2:$B$10001,MATCH(5536,'Email Cleaner'!$I$2:$I$10001,0)),"")</f>
        <v/>
      </c>
    </row>
    <row r="5538">
      <c r="A5538">
        <f>IFERROR(INDEX('Email Cleaner'!$B$2:$B$10001,MATCH(5537,'Email Cleaner'!$I$2:$I$10001,0)),"")</f>
        <v/>
      </c>
    </row>
    <row r="5539">
      <c r="A5539">
        <f>IFERROR(INDEX('Email Cleaner'!$B$2:$B$10001,MATCH(5538,'Email Cleaner'!$I$2:$I$10001,0)),"")</f>
        <v/>
      </c>
    </row>
    <row r="5540">
      <c r="A5540">
        <f>IFERROR(INDEX('Email Cleaner'!$B$2:$B$10001,MATCH(5539,'Email Cleaner'!$I$2:$I$10001,0)),"")</f>
        <v/>
      </c>
    </row>
    <row r="5541">
      <c r="A5541">
        <f>IFERROR(INDEX('Email Cleaner'!$B$2:$B$10001,MATCH(5540,'Email Cleaner'!$I$2:$I$10001,0)),"")</f>
        <v/>
      </c>
    </row>
    <row r="5542">
      <c r="A5542">
        <f>IFERROR(INDEX('Email Cleaner'!$B$2:$B$10001,MATCH(5541,'Email Cleaner'!$I$2:$I$10001,0)),"")</f>
        <v/>
      </c>
    </row>
    <row r="5543">
      <c r="A5543">
        <f>IFERROR(INDEX('Email Cleaner'!$B$2:$B$10001,MATCH(5542,'Email Cleaner'!$I$2:$I$10001,0)),"")</f>
        <v/>
      </c>
    </row>
    <row r="5544">
      <c r="A5544">
        <f>IFERROR(INDEX('Email Cleaner'!$B$2:$B$10001,MATCH(5543,'Email Cleaner'!$I$2:$I$10001,0)),"")</f>
        <v/>
      </c>
    </row>
    <row r="5545">
      <c r="A5545">
        <f>IFERROR(INDEX('Email Cleaner'!$B$2:$B$10001,MATCH(5544,'Email Cleaner'!$I$2:$I$10001,0)),"")</f>
        <v/>
      </c>
    </row>
    <row r="5546">
      <c r="A5546">
        <f>IFERROR(INDEX('Email Cleaner'!$B$2:$B$10001,MATCH(5545,'Email Cleaner'!$I$2:$I$10001,0)),"")</f>
        <v/>
      </c>
    </row>
    <row r="5547">
      <c r="A5547">
        <f>IFERROR(INDEX('Email Cleaner'!$B$2:$B$10001,MATCH(5546,'Email Cleaner'!$I$2:$I$10001,0)),"")</f>
        <v/>
      </c>
    </row>
    <row r="5548">
      <c r="A5548">
        <f>IFERROR(INDEX('Email Cleaner'!$B$2:$B$10001,MATCH(5547,'Email Cleaner'!$I$2:$I$10001,0)),"")</f>
        <v/>
      </c>
    </row>
    <row r="5549">
      <c r="A5549">
        <f>IFERROR(INDEX('Email Cleaner'!$B$2:$B$10001,MATCH(5548,'Email Cleaner'!$I$2:$I$10001,0)),"")</f>
        <v/>
      </c>
    </row>
    <row r="5550">
      <c r="A5550">
        <f>IFERROR(INDEX('Email Cleaner'!$B$2:$B$10001,MATCH(5549,'Email Cleaner'!$I$2:$I$10001,0)),"")</f>
        <v/>
      </c>
    </row>
    <row r="5551">
      <c r="A5551">
        <f>IFERROR(INDEX('Email Cleaner'!$B$2:$B$10001,MATCH(5550,'Email Cleaner'!$I$2:$I$10001,0)),"")</f>
        <v/>
      </c>
    </row>
    <row r="5552">
      <c r="A5552">
        <f>IFERROR(INDEX('Email Cleaner'!$B$2:$B$10001,MATCH(5551,'Email Cleaner'!$I$2:$I$10001,0)),"")</f>
        <v/>
      </c>
    </row>
    <row r="5553">
      <c r="A5553">
        <f>IFERROR(INDEX('Email Cleaner'!$B$2:$B$10001,MATCH(5552,'Email Cleaner'!$I$2:$I$10001,0)),"")</f>
        <v/>
      </c>
    </row>
    <row r="5554">
      <c r="A5554">
        <f>IFERROR(INDEX('Email Cleaner'!$B$2:$B$10001,MATCH(5553,'Email Cleaner'!$I$2:$I$10001,0)),"")</f>
        <v/>
      </c>
    </row>
    <row r="5555">
      <c r="A5555">
        <f>IFERROR(INDEX('Email Cleaner'!$B$2:$B$10001,MATCH(5554,'Email Cleaner'!$I$2:$I$10001,0)),"")</f>
        <v/>
      </c>
    </row>
    <row r="5556">
      <c r="A5556">
        <f>IFERROR(INDEX('Email Cleaner'!$B$2:$B$10001,MATCH(5555,'Email Cleaner'!$I$2:$I$10001,0)),"")</f>
        <v/>
      </c>
    </row>
    <row r="5557">
      <c r="A5557">
        <f>IFERROR(INDEX('Email Cleaner'!$B$2:$B$10001,MATCH(5556,'Email Cleaner'!$I$2:$I$10001,0)),"")</f>
        <v/>
      </c>
    </row>
    <row r="5558">
      <c r="A5558">
        <f>IFERROR(INDEX('Email Cleaner'!$B$2:$B$10001,MATCH(5557,'Email Cleaner'!$I$2:$I$10001,0)),"")</f>
        <v/>
      </c>
    </row>
    <row r="5559">
      <c r="A5559">
        <f>IFERROR(INDEX('Email Cleaner'!$B$2:$B$10001,MATCH(5558,'Email Cleaner'!$I$2:$I$10001,0)),"")</f>
        <v/>
      </c>
    </row>
    <row r="5560">
      <c r="A5560">
        <f>IFERROR(INDEX('Email Cleaner'!$B$2:$B$10001,MATCH(5559,'Email Cleaner'!$I$2:$I$10001,0)),"")</f>
        <v/>
      </c>
    </row>
    <row r="5561">
      <c r="A5561">
        <f>IFERROR(INDEX('Email Cleaner'!$B$2:$B$10001,MATCH(5560,'Email Cleaner'!$I$2:$I$10001,0)),"")</f>
        <v/>
      </c>
    </row>
    <row r="5562">
      <c r="A5562">
        <f>IFERROR(INDEX('Email Cleaner'!$B$2:$B$10001,MATCH(5561,'Email Cleaner'!$I$2:$I$10001,0)),"")</f>
        <v/>
      </c>
    </row>
    <row r="5563">
      <c r="A5563">
        <f>IFERROR(INDEX('Email Cleaner'!$B$2:$B$10001,MATCH(5562,'Email Cleaner'!$I$2:$I$10001,0)),"")</f>
        <v/>
      </c>
    </row>
    <row r="5564">
      <c r="A5564">
        <f>IFERROR(INDEX('Email Cleaner'!$B$2:$B$10001,MATCH(5563,'Email Cleaner'!$I$2:$I$10001,0)),"")</f>
        <v/>
      </c>
    </row>
    <row r="5565">
      <c r="A5565">
        <f>IFERROR(INDEX('Email Cleaner'!$B$2:$B$10001,MATCH(5564,'Email Cleaner'!$I$2:$I$10001,0)),"")</f>
        <v/>
      </c>
    </row>
    <row r="5566">
      <c r="A5566">
        <f>IFERROR(INDEX('Email Cleaner'!$B$2:$B$10001,MATCH(5565,'Email Cleaner'!$I$2:$I$10001,0)),"")</f>
        <v/>
      </c>
    </row>
    <row r="5567">
      <c r="A5567">
        <f>IFERROR(INDEX('Email Cleaner'!$B$2:$B$10001,MATCH(5566,'Email Cleaner'!$I$2:$I$10001,0)),"")</f>
        <v/>
      </c>
    </row>
    <row r="5568">
      <c r="A5568">
        <f>IFERROR(INDEX('Email Cleaner'!$B$2:$B$10001,MATCH(5567,'Email Cleaner'!$I$2:$I$10001,0)),"")</f>
        <v/>
      </c>
    </row>
    <row r="5569">
      <c r="A5569">
        <f>IFERROR(INDEX('Email Cleaner'!$B$2:$B$10001,MATCH(5568,'Email Cleaner'!$I$2:$I$10001,0)),"")</f>
        <v/>
      </c>
    </row>
    <row r="5570">
      <c r="A5570">
        <f>IFERROR(INDEX('Email Cleaner'!$B$2:$B$10001,MATCH(5569,'Email Cleaner'!$I$2:$I$10001,0)),"")</f>
        <v/>
      </c>
    </row>
    <row r="5571">
      <c r="A5571">
        <f>IFERROR(INDEX('Email Cleaner'!$B$2:$B$10001,MATCH(5570,'Email Cleaner'!$I$2:$I$10001,0)),"")</f>
        <v/>
      </c>
    </row>
    <row r="5572">
      <c r="A5572">
        <f>IFERROR(INDEX('Email Cleaner'!$B$2:$B$10001,MATCH(5571,'Email Cleaner'!$I$2:$I$10001,0)),"")</f>
        <v/>
      </c>
    </row>
    <row r="5573">
      <c r="A5573">
        <f>IFERROR(INDEX('Email Cleaner'!$B$2:$B$10001,MATCH(5572,'Email Cleaner'!$I$2:$I$10001,0)),"")</f>
        <v/>
      </c>
    </row>
    <row r="5574">
      <c r="A5574">
        <f>IFERROR(INDEX('Email Cleaner'!$B$2:$B$10001,MATCH(5573,'Email Cleaner'!$I$2:$I$10001,0)),"")</f>
        <v/>
      </c>
    </row>
    <row r="5575">
      <c r="A5575">
        <f>IFERROR(INDEX('Email Cleaner'!$B$2:$B$10001,MATCH(5574,'Email Cleaner'!$I$2:$I$10001,0)),"")</f>
        <v/>
      </c>
    </row>
    <row r="5576">
      <c r="A5576">
        <f>IFERROR(INDEX('Email Cleaner'!$B$2:$B$10001,MATCH(5575,'Email Cleaner'!$I$2:$I$10001,0)),"")</f>
        <v/>
      </c>
    </row>
    <row r="5577">
      <c r="A5577">
        <f>IFERROR(INDEX('Email Cleaner'!$B$2:$B$10001,MATCH(5576,'Email Cleaner'!$I$2:$I$10001,0)),"")</f>
        <v/>
      </c>
    </row>
    <row r="5578">
      <c r="A5578">
        <f>IFERROR(INDEX('Email Cleaner'!$B$2:$B$10001,MATCH(5577,'Email Cleaner'!$I$2:$I$10001,0)),"")</f>
        <v/>
      </c>
    </row>
    <row r="5579">
      <c r="A5579">
        <f>IFERROR(INDEX('Email Cleaner'!$B$2:$B$10001,MATCH(5578,'Email Cleaner'!$I$2:$I$10001,0)),"")</f>
        <v/>
      </c>
    </row>
    <row r="5580">
      <c r="A5580">
        <f>IFERROR(INDEX('Email Cleaner'!$B$2:$B$10001,MATCH(5579,'Email Cleaner'!$I$2:$I$10001,0)),"")</f>
        <v/>
      </c>
    </row>
    <row r="5581">
      <c r="A5581">
        <f>IFERROR(INDEX('Email Cleaner'!$B$2:$B$10001,MATCH(5580,'Email Cleaner'!$I$2:$I$10001,0)),"")</f>
        <v/>
      </c>
    </row>
    <row r="5582">
      <c r="A5582">
        <f>IFERROR(INDEX('Email Cleaner'!$B$2:$B$10001,MATCH(5581,'Email Cleaner'!$I$2:$I$10001,0)),"")</f>
        <v/>
      </c>
    </row>
    <row r="5583">
      <c r="A5583">
        <f>IFERROR(INDEX('Email Cleaner'!$B$2:$B$10001,MATCH(5582,'Email Cleaner'!$I$2:$I$10001,0)),"")</f>
        <v/>
      </c>
    </row>
    <row r="5584">
      <c r="A5584">
        <f>IFERROR(INDEX('Email Cleaner'!$B$2:$B$10001,MATCH(5583,'Email Cleaner'!$I$2:$I$10001,0)),"")</f>
        <v/>
      </c>
    </row>
    <row r="5585">
      <c r="A5585">
        <f>IFERROR(INDEX('Email Cleaner'!$B$2:$B$10001,MATCH(5584,'Email Cleaner'!$I$2:$I$10001,0)),"")</f>
        <v/>
      </c>
    </row>
    <row r="5586">
      <c r="A5586">
        <f>IFERROR(INDEX('Email Cleaner'!$B$2:$B$10001,MATCH(5585,'Email Cleaner'!$I$2:$I$10001,0)),"")</f>
        <v/>
      </c>
    </row>
    <row r="5587">
      <c r="A5587">
        <f>IFERROR(INDEX('Email Cleaner'!$B$2:$B$10001,MATCH(5586,'Email Cleaner'!$I$2:$I$10001,0)),"")</f>
        <v/>
      </c>
    </row>
    <row r="5588">
      <c r="A5588">
        <f>IFERROR(INDEX('Email Cleaner'!$B$2:$B$10001,MATCH(5587,'Email Cleaner'!$I$2:$I$10001,0)),"")</f>
        <v/>
      </c>
    </row>
    <row r="5589">
      <c r="A5589">
        <f>IFERROR(INDEX('Email Cleaner'!$B$2:$B$10001,MATCH(5588,'Email Cleaner'!$I$2:$I$10001,0)),"")</f>
        <v/>
      </c>
    </row>
    <row r="5590">
      <c r="A5590">
        <f>IFERROR(INDEX('Email Cleaner'!$B$2:$B$10001,MATCH(5589,'Email Cleaner'!$I$2:$I$10001,0)),"")</f>
        <v/>
      </c>
    </row>
    <row r="5591">
      <c r="A5591">
        <f>IFERROR(INDEX('Email Cleaner'!$B$2:$B$10001,MATCH(5590,'Email Cleaner'!$I$2:$I$10001,0)),"")</f>
        <v/>
      </c>
    </row>
    <row r="5592">
      <c r="A5592">
        <f>IFERROR(INDEX('Email Cleaner'!$B$2:$B$10001,MATCH(5591,'Email Cleaner'!$I$2:$I$10001,0)),"")</f>
        <v/>
      </c>
    </row>
    <row r="5593">
      <c r="A5593">
        <f>IFERROR(INDEX('Email Cleaner'!$B$2:$B$10001,MATCH(5592,'Email Cleaner'!$I$2:$I$10001,0)),"")</f>
        <v/>
      </c>
    </row>
    <row r="5594">
      <c r="A5594">
        <f>IFERROR(INDEX('Email Cleaner'!$B$2:$B$10001,MATCH(5593,'Email Cleaner'!$I$2:$I$10001,0)),"")</f>
        <v/>
      </c>
    </row>
    <row r="5595">
      <c r="A5595">
        <f>IFERROR(INDEX('Email Cleaner'!$B$2:$B$10001,MATCH(5594,'Email Cleaner'!$I$2:$I$10001,0)),"")</f>
        <v/>
      </c>
    </row>
    <row r="5596">
      <c r="A5596">
        <f>IFERROR(INDEX('Email Cleaner'!$B$2:$B$10001,MATCH(5595,'Email Cleaner'!$I$2:$I$10001,0)),"")</f>
        <v/>
      </c>
    </row>
    <row r="5597">
      <c r="A5597">
        <f>IFERROR(INDEX('Email Cleaner'!$B$2:$B$10001,MATCH(5596,'Email Cleaner'!$I$2:$I$10001,0)),"")</f>
        <v/>
      </c>
    </row>
    <row r="5598">
      <c r="A5598">
        <f>IFERROR(INDEX('Email Cleaner'!$B$2:$B$10001,MATCH(5597,'Email Cleaner'!$I$2:$I$10001,0)),"")</f>
        <v/>
      </c>
    </row>
    <row r="5599">
      <c r="A5599">
        <f>IFERROR(INDEX('Email Cleaner'!$B$2:$B$10001,MATCH(5598,'Email Cleaner'!$I$2:$I$10001,0)),"")</f>
        <v/>
      </c>
    </row>
    <row r="5600">
      <c r="A5600">
        <f>IFERROR(INDEX('Email Cleaner'!$B$2:$B$10001,MATCH(5599,'Email Cleaner'!$I$2:$I$10001,0)),"")</f>
        <v/>
      </c>
    </row>
    <row r="5601">
      <c r="A5601">
        <f>IFERROR(INDEX('Email Cleaner'!$B$2:$B$10001,MATCH(5600,'Email Cleaner'!$I$2:$I$10001,0)),"")</f>
        <v/>
      </c>
    </row>
    <row r="5602">
      <c r="A5602">
        <f>IFERROR(INDEX('Email Cleaner'!$B$2:$B$10001,MATCH(5601,'Email Cleaner'!$I$2:$I$10001,0)),"")</f>
        <v/>
      </c>
    </row>
    <row r="5603">
      <c r="A5603">
        <f>IFERROR(INDEX('Email Cleaner'!$B$2:$B$10001,MATCH(5602,'Email Cleaner'!$I$2:$I$10001,0)),"")</f>
        <v/>
      </c>
    </row>
    <row r="5604">
      <c r="A5604">
        <f>IFERROR(INDEX('Email Cleaner'!$B$2:$B$10001,MATCH(5603,'Email Cleaner'!$I$2:$I$10001,0)),"")</f>
        <v/>
      </c>
    </row>
    <row r="5605">
      <c r="A5605">
        <f>IFERROR(INDEX('Email Cleaner'!$B$2:$B$10001,MATCH(5604,'Email Cleaner'!$I$2:$I$10001,0)),"")</f>
        <v/>
      </c>
    </row>
    <row r="5606">
      <c r="A5606">
        <f>IFERROR(INDEX('Email Cleaner'!$B$2:$B$10001,MATCH(5605,'Email Cleaner'!$I$2:$I$10001,0)),"")</f>
        <v/>
      </c>
    </row>
    <row r="5607">
      <c r="A5607">
        <f>IFERROR(INDEX('Email Cleaner'!$B$2:$B$10001,MATCH(5606,'Email Cleaner'!$I$2:$I$10001,0)),"")</f>
        <v/>
      </c>
    </row>
    <row r="5608">
      <c r="A5608">
        <f>IFERROR(INDEX('Email Cleaner'!$B$2:$B$10001,MATCH(5607,'Email Cleaner'!$I$2:$I$10001,0)),"")</f>
        <v/>
      </c>
    </row>
    <row r="5609">
      <c r="A5609">
        <f>IFERROR(INDEX('Email Cleaner'!$B$2:$B$10001,MATCH(5608,'Email Cleaner'!$I$2:$I$10001,0)),"")</f>
        <v/>
      </c>
    </row>
    <row r="5610">
      <c r="A5610">
        <f>IFERROR(INDEX('Email Cleaner'!$B$2:$B$10001,MATCH(5609,'Email Cleaner'!$I$2:$I$10001,0)),"")</f>
        <v/>
      </c>
    </row>
    <row r="5611">
      <c r="A5611">
        <f>IFERROR(INDEX('Email Cleaner'!$B$2:$B$10001,MATCH(5610,'Email Cleaner'!$I$2:$I$10001,0)),"")</f>
        <v/>
      </c>
    </row>
    <row r="5612">
      <c r="A5612">
        <f>IFERROR(INDEX('Email Cleaner'!$B$2:$B$10001,MATCH(5611,'Email Cleaner'!$I$2:$I$10001,0)),"")</f>
        <v/>
      </c>
    </row>
    <row r="5613">
      <c r="A5613">
        <f>IFERROR(INDEX('Email Cleaner'!$B$2:$B$10001,MATCH(5612,'Email Cleaner'!$I$2:$I$10001,0)),"")</f>
        <v/>
      </c>
    </row>
    <row r="5614">
      <c r="A5614">
        <f>IFERROR(INDEX('Email Cleaner'!$B$2:$B$10001,MATCH(5613,'Email Cleaner'!$I$2:$I$10001,0)),"")</f>
        <v/>
      </c>
    </row>
    <row r="5615">
      <c r="A5615">
        <f>IFERROR(INDEX('Email Cleaner'!$B$2:$B$10001,MATCH(5614,'Email Cleaner'!$I$2:$I$10001,0)),"")</f>
        <v/>
      </c>
    </row>
    <row r="5616">
      <c r="A5616">
        <f>IFERROR(INDEX('Email Cleaner'!$B$2:$B$10001,MATCH(5615,'Email Cleaner'!$I$2:$I$10001,0)),"")</f>
        <v/>
      </c>
    </row>
    <row r="5617">
      <c r="A5617">
        <f>IFERROR(INDEX('Email Cleaner'!$B$2:$B$10001,MATCH(5616,'Email Cleaner'!$I$2:$I$10001,0)),"")</f>
        <v/>
      </c>
    </row>
    <row r="5618">
      <c r="A5618">
        <f>IFERROR(INDEX('Email Cleaner'!$B$2:$B$10001,MATCH(5617,'Email Cleaner'!$I$2:$I$10001,0)),"")</f>
        <v/>
      </c>
    </row>
    <row r="5619">
      <c r="A5619">
        <f>IFERROR(INDEX('Email Cleaner'!$B$2:$B$10001,MATCH(5618,'Email Cleaner'!$I$2:$I$10001,0)),"")</f>
        <v/>
      </c>
    </row>
    <row r="5620">
      <c r="A5620">
        <f>IFERROR(INDEX('Email Cleaner'!$B$2:$B$10001,MATCH(5619,'Email Cleaner'!$I$2:$I$10001,0)),"")</f>
        <v/>
      </c>
    </row>
    <row r="5621">
      <c r="A5621">
        <f>IFERROR(INDEX('Email Cleaner'!$B$2:$B$10001,MATCH(5620,'Email Cleaner'!$I$2:$I$10001,0)),"")</f>
        <v/>
      </c>
    </row>
    <row r="5622">
      <c r="A5622">
        <f>IFERROR(INDEX('Email Cleaner'!$B$2:$B$10001,MATCH(5621,'Email Cleaner'!$I$2:$I$10001,0)),"")</f>
        <v/>
      </c>
    </row>
    <row r="5623">
      <c r="A5623">
        <f>IFERROR(INDEX('Email Cleaner'!$B$2:$B$10001,MATCH(5622,'Email Cleaner'!$I$2:$I$10001,0)),"")</f>
        <v/>
      </c>
    </row>
    <row r="5624">
      <c r="A5624">
        <f>IFERROR(INDEX('Email Cleaner'!$B$2:$B$10001,MATCH(5623,'Email Cleaner'!$I$2:$I$10001,0)),"")</f>
        <v/>
      </c>
    </row>
    <row r="5625">
      <c r="A5625">
        <f>IFERROR(INDEX('Email Cleaner'!$B$2:$B$10001,MATCH(5624,'Email Cleaner'!$I$2:$I$10001,0)),"")</f>
        <v/>
      </c>
    </row>
    <row r="5626">
      <c r="A5626">
        <f>IFERROR(INDEX('Email Cleaner'!$B$2:$B$10001,MATCH(5625,'Email Cleaner'!$I$2:$I$10001,0)),"")</f>
        <v/>
      </c>
    </row>
    <row r="5627">
      <c r="A5627">
        <f>IFERROR(INDEX('Email Cleaner'!$B$2:$B$10001,MATCH(5626,'Email Cleaner'!$I$2:$I$10001,0)),"")</f>
        <v/>
      </c>
    </row>
    <row r="5628">
      <c r="A5628">
        <f>IFERROR(INDEX('Email Cleaner'!$B$2:$B$10001,MATCH(5627,'Email Cleaner'!$I$2:$I$10001,0)),"")</f>
        <v/>
      </c>
    </row>
    <row r="5629">
      <c r="A5629">
        <f>IFERROR(INDEX('Email Cleaner'!$B$2:$B$10001,MATCH(5628,'Email Cleaner'!$I$2:$I$10001,0)),"")</f>
        <v/>
      </c>
    </row>
    <row r="5630">
      <c r="A5630">
        <f>IFERROR(INDEX('Email Cleaner'!$B$2:$B$10001,MATCH(5629,'Email Cleaner'!$I$2:$I$10001,0)),"")</f>
        <v/>
      </c>
    </row>
    <row r="5631">
      <c r="A5631">
        <f>IFERROR(INDEX('Email Cleaner'!$B$2:$B$10001,MATCH(5630,'Email Cleaner'!$I$2:$I$10001,0)),"")</f>
        <v/>
      </c>
    </row>
    <row r="5632">
      <c r="A5632">
        <f>IFERROR(INDEX('Email Cleaner'!$B$2:$B$10001,MATCH(5631,'Email Cleaner'!$I$2:$I$10001,0)),"")</f>
        <v/>
      </c>
    </row>
    <row r="5633">
      <c r="A5633">
        <f>IFERROR(INDEX('Email Cleaner'!$B$2:$B$10001,MATCH(5632,'Email Cleaner'!$I$2:$I$10001,0)),"")</f>
        <v/>
      </c>
    </row>
    <row r="5634">
      <c r="A5634">
        <f>IFERROR(INDEX('Email Cleaner'!$B$2:$B$10001,MATCH(5633,'Email Cleaner'!$I$2:$I$10001,0)),"")</f>
        <v/>
      </c>
    </row>
    <row r="5635">
      <c r="A5635">
        <f>IFERROR(INDEX('Email Cleaner'!$B$2:$B$10001,MATCH(5634,'Email Cleaner'!$I$2:$I$10001,0)),"")</f>
        <v/>
      </c>
    </row>
    <row r="5636">
      <c r="A5636">
        <f>IFERROR(INDEX('Email Cleaner'!$B$2:$B$10001,MATCH(5635,'Email Cleaner'!$I$2:$I$10001,0)),"")</f>
        <v/>
      </c>
    </row>
    <row r="5637">
      <c r="A5637">
        <f>IFERROR(INDEX('Email Cleaner'!$B$2:$B$10001,MATCH(5636,'Email Cleaner'!$I$2:$I$10001,0)),"")</f>
        <v/>
      </c>
    </row>
    <row r="5638">
      <c r="A5638">
        <f>IFERROR(INDEX('Email Cleaner'!$B$2:$B$10001,MATCH(5637,'Email Cleaner'!$I$2:$I$10001,0)),"")</f>
        <v/>
      </c>
    </row>
    <row r="5639">
      <c r="A5639">
        <f>IFERROR(INDEX('Email Cleaner'!$B$2:$B$10001,MATCH(5638,'Email Cleaner'!$I$2:$I$10001,0)),"")</f>
        <v/>
      </c>
    </row>
    <row r="5640">
      <c r="A5640">
        <f>IFERROR(INDEX('Email Cleaner'!$B$2:$B$10001,MATCH(5639,'Email Cleaner'!$I$2:$I$10001,0)),"")</f>
        <v/>
      </c>
    </row>
    <row r="5641">
      <c r="A5641">
        <f>IFERROR(INDEX('Email Cleaner'!$B$2:$B$10001,MATCH(5640,'Email Cleaner'!$I$2:$I$10001,0)),"")</f>
        <v/>
      </c>
    </row>
    <row r="5642">
      <c r="A5642">
        <f>IFERROR(INDEX('Email Cleaner'!$B$2:$B$10001,MATCH(5641,'Email Cleaner'!$I$2:$I$10001,0)),"")</f>
        <v/>
      </c>
    </row>
    <row r="5643">
      <c r="A5643">
        <f>IFERROR(INDEX('Email Cleaner'!$B$2:$B$10001,MATCH(5642,'Email Cleaner'!$I$2:$I$10001,0)),"")</f>
        <v/>
      </c>
    </row>
    <row r="5644">
      <c r="A5644">
        <f>IFERROR(INDEX('Email Cleaner'!$B$2:$B$10001,MATCH(5643,'Email Cleaner'!$I$2:$I$10001,0)),"")</f>
        <v/>
      </c>
    </row>
    <row r="5645">
      <c r="A5645">
        <f>IFERROR(INDEX('Email Cleaner'!$B$2:$B$10001,MATCH(5644,'Email Cleaner'!$I$2:$I$10001,0)),"")</f>
        <v/>
      </c>
    </row>
    <row r="5646">
      <c r="A5646">
        <f>IFERROR(INDEX('Email Cleaner'!$B$2:$B$10001,MATCH(5645,'Email Cleaner'!$I$2:$I$10001,0)),"")</f>
        <v/>
      </c>
    </row>
    <row r="5647">
      <c r="A5647">
        <f>IFERROR(INDEX('Email Cleaner'!$B$2:$B$10001,MATCH(5646,'Email Cleaner'!$I$2:$I$10001,0)),"")</f>
        <v/>
      </c>
    </row>
    <row r="5648">
      <c r="A5648">
        <f>IFERROR(INDEX('Email Cleaner'!$B$2:$B$10001,MATCH(5647,'Email Cleaner'!$I$2:$I$10001,0)),"")</f>
        <v/>
      </c>
    </row>
    <row r="5649">
      <c r="A5649">
        <f>IFERROR(INDEX('Email Cleaner'!$B$2:$B$10001,MATCH(5648,'Email Cleaner'!$I$2:$I$10001,0)),"")</f>
        <v/>
      </c>
    </row>
    <row r="5650">
      <c r="A5650">
        <f>IFERROR(INDEX('Email Cleaner'!$B$2:$B$10001,MATCH(5649,'Email Cleaner'!$I$2:$I$10001,0)),"")</f>
        <v/>
      </c>
    </row>
    <row r="5651">
      <c r="A5651">
        <f>IFERROR(INDEX('Email Cleaner'!$B$2:$B$10001,MATCH(5650,'Email Cleaner'!$I$2:$I$10001,0)),"")</f>
        <v/>
      </c>
    </row>
    <row r="5652">
      <c r="A5652">
        <f>IFERROR(INDEX('Email Cleaner'!$B$2:$B$10001,MATCH(5651,'Email Cleaner'!$I$2:$I$10001,0)),"")</f>
        <v/>
      </c>
    </row>
    <row r="5653">
      <c r="A5653">
        <f>IFERROR(INDEX('Email Cleaner'!$B$2:$B$10001,MATCH(5652,'Email Cleaner'!$I$2:$I$10001,0)),"")</f>
        <v/>
      </c>
    </row>
    <row r="5654">
      <c r="A5654">
        <f>IFERROR(INDEX('Email Cleaner'!$B$2:$B$10001,MATCH(5653,'Email Cleaner'!$I$2:$I$10001,0)),"")</f>
        <v/>
      </c>
    </row>
    <row r="5655">
      <c r="A5655">
        <f>IFERROR(INDEX('Email Cleaner'!$B$2:$B$10001,MATCH(5654,'Email Cleaner'!$I$2:$I$10001,0)),"")</f>
        <v/>
      </c>
    </row>
    <row r="5656">
      <c r="A5656">
        <f>IFERROR(INDEX('Email Cleaner'!$B$2:$B$10001,MATCH(5655,'Email Cleaner'!$I$2:$I$10001,0)),"")</f>
        <v/>
      </c>
    </row>
    <row r="5657">
      <c r="A5657">
        <f>IFERROR(INDEX('Email Cleaner'!$B$2:$B$10001,MATCH(5656,'Email Cleaner'!$I$2:$I$10001,0)),"")</f>
        <v/>
      </c>
    </row>
    <row r="5658">
      <c r="A5658">
        <f>IFERROR(INDEX('Email Cleaner'!$B$2:$B$10001,MATCH(5657,'Email Cleaner'!$I$2:$I$10001,0)),"")</f>
        <v/>
      </c>
    </row>
    <row r="5659">
      <c r="A5659">
        <f>IFERROR(INDEX('Email Cleaner'!$B$2:$B$10001,MATCH(5658,'Email Cleaner'!$I$2:$I$10001,0)),"")</f>
        <v/>
      </c>
    </row>
    <row r="5660">
      <c r="A5660">
        <f>IFERROR(INDEX('Email Cleaner'!$B$2:$B$10001,MATCH(5659,'Email Cleaner'!$I$2:$I$10001,0)),"")</f>
        <v/>
      </c>
    </row>
    <row r="5661">
      <c r="A5661">
        <f>IFERROR(INDEX('Email Cleaner'!$B$2:$B$10001,MATCH(5660,'Email Cleaner'!$I$2:$I$10001,0)),"")</f>
        <v/>
      </c>
    </row>
    <row r="5662">
      <c r="A5662">
        <f>IFERROR(INDEX('Email Cleaner'!$B$2:$B$10001,MATCH(5661,'Email Cleaner'!$I$2:$I$10001,0)),"")</f>
        <v/>
      </c>
    </row>
    <row r="5663">
      <c r="A5663">
        <f>IFERROR(INDEX('Email Cleaner'!$B$2:$B$10001,MATCH(5662,'Email Cleaner'!$I$2:$I$10001,0)),"")</f>
        <v/>
      </c>
    </row>
    <row r="5664">
      <c r="A5664">
        <f>IFERROR(INDEX('Email Cleaner'!$B$2:$B$10001,MATCH(5663,'Email Cleaner'!$I$2:$I$10001,0)),"")</f>
        <v/>
      </c>
    </row>
    <row r="5665">
      <c r="A5665">
        <f>IFERROR(INDEX('Email Cleaner'!$B$2:$B$10001,MATCH(5664,'Email Cleaner'!$I$2:$I$10001,0)),"")</f>
        <v/>
      </c>
    </row>
    <row r="5666">
      <c r="A5666">
        <f>IFERROR(INDEX('Email Cleaner'!$B$2:$B$10001,MATCH(5665,'Email Cleaner'!$I$2:$I$10001,0)),"")</f>
        <v/>
      </c>
    </row>
    <row r="5667">
      <c r="A5667">
        <f>IFERROR(INDEX('Email Cleaner'!$B$2:$B$10001,MATCH(5666,'Email Cleaner'!$I$2:$I$10001,0)),"")</f>
        <v/>
      </c>
    </row>
    <row r="5668">
      <c r="A5668">
        <f>IFERROR(INDEX('Email Cleaner'!$B$2:$B$10001,MATCH(5667,'Email Cleaner'!$I$2:$I$10001,0)),"")</f>
        <v/>
      </c>
    </row>
    <row r="5669">
      <c r="A5669">
        <f>IFERROR(INDEX('Email Cleaner'!$B$2:$B$10001,MATCH(5668,'Email Cleaner'!$I$2:$I$10001,0)),"")</f>
        <v/>
      </c>
    </row>
    <row r="5670">
      <c r="A5670">
        <f>IFERROR(INDEX('Email Cleaner'!$B$2:$B$10001,MATCH(5669,'Email Cleaner'!$I$2:$I$10001,0)),"")</f>
        <v/>
      </c>
    </row>
    <row r="5671">
      <c r="A5671">
        <f>IFERROR(INDEX('Email Cleaner'!$B$2:$B$10001,MATCH(5670,'Email Cleaner'!$I$2:$I$10001,0)),"")</f>
        <v/>
      </c>
    </row>
    <row r="5672">
      <c r="A5672">
        <f>IFERROR(INDEX('Email Cleaner'!$B$2:$B$10001,MATCH(5671,'Email Cleaner'!$I$2:$I$10001,0)),"")</f>
        <v/>
      </c>
    </row>
    <row r="5673">
      <c r="A5673">
        <f>IFERROR(INDEX('Email Cleaner'!$B$2:$B$10001,MATCH(5672,'Email Cleaner'!$I$2:$I$10001,0)),"")</f>
        <v/>
      </c>
    </row>
    <row r="5674">
      <c r="A5674">
        <f>IFERROR(INDEX('Email Cleaner'!$B$2:$B$10001,MATCH(5673,'Email Cleaner'!$I$2:$I$10001,0)),"")</f>
        <v/>
      </c>
    </row>
    <row r="5675">
      <c r="A5675">
        <f>IFERROR(INDEX('Email Cleaner'!$B$2:$B$10001,MATCH(5674,'Email Cleaner'!$I$2:$I$10001,0)),"")</f>
        <v/>
      </c>
    </row>
    <row r="5676">
      <c r="A5676">
        <f>IFERROR(INDEX('Email Cleaner'!$B$2:$B$10001,MATCH(5675,'Email Cleaner'!$I$2:$I$10001,0)),"")</f>
        <v/>
      </c>
    </row>
    <row r="5677">
      <c r="A5677">
        <f>IFERROR(INDEX('Email Cleaner'!$B$2:$B$10001,MATCH(5676,'Email Cleaner'!$I$2:$I$10001,0)),"")</f>
        <v/>
      </c>
    </row>
    <row r="5678">
      <c r="A5678">
        <f>IFERROR(INDEX('Email Cleaner'!$B$2:$B$10001,MATCH(5677,'Email Cleaner'!$I$2:$I$10001,0)),"")</f>
        <v/>
      </c>
    </row>
    <row r="5679">
      <c r="A5679">
        <f>IFERROR(INDEX('Email Cleaner'!$B$2:$B$10001,MATCH(5678,'Email Cleaner'!$I$2:$I$10001,0)),"")</f>
        <v/>
      </c>
    </row>
    <row r="5680">
      <c r="A5680">
        <f>IFERROR(INDEX('Email Cleaner'!$B$2:$B$10001,MATCH(5679,'Email Cleaner'!$I$2:$I$10001,0)),"")</f>
        <v/>
      </c>
    </row>
    <row r="5681">
      <c r="A5681">
        <f>IFERROR(INDEX('Email Cleaner'!$B$2:$B$10001,MATCH(5680,'Email Cleaner'!$I$2:$I$10001,0)),"")</f>
        <v/>
      </c>
    </row>
    <row r="5682">
      <c r="A5682">
        <f>IFERROR(INDEX('Email Cleaner'!$B$2:$B$10001,MATCH(5681,'Email Cleaner'!$I$2:$I$10001,0)),"")</f>
        <v/>
      </c>
    </row>
    <row r="5683">
      <c r="A5683">
        <f>IFERROR(INDEX('Email Cleaner'!$B$2:$B$10001,MATCH(5682,'Email Cleaner'!$I$2:$I$10001,0)),"")</f>
        <v/>
      </c>
    </row>
    <row r="5684">
      <c r="A5684">
        <f>IFERROR(INDEX('Email Cleaner'!$B$2:$B$10001,MATCH(5683,'Email Cleaner'!$I$2:$I$10001,0)),"")</f>
        <v/>
      </c>
    </row>
    <row r="5685">
      <c r="A5685">
        <f>IFERROR(INDEX('Email Cleaner'!$B$2:$B$10001,MATCH(5684,'Email Cleaner'!$I$2:$I$10001,0)),"")</f>
        <v/>
      </c>
    </row>
    <row r="5686">
      <c r="A5686">
        <f>IFERROR(INDEX('Email Cleaner'!$B$2:$B$10001,MATCH(5685,'Email Cleaner'!$I$2:$I$10001,0)),"")</f>
        <v/>
      </c>
    </row>
    <row r="5687">
      <c r="A5687">
        <f>IFERROR(INDEX('Email Cleaner'!$B$2:$B$10001,MATCH(5686,'Email Cleaner'!$I$2:$I$10001,0)),"")</f>
        <v/>
      </c>
    </row>
    <row r="5688">
      <c r="A5688">
        <f>IFERROR(INDEX('Email Cleaner'!$B$2:$B$10001,MATCH(5687,'Email Cleaner'!$I$2:$I$10001,0)),"")</f>
        <v/>
      </c>
    </row>
    <row r="5689">
      <c r="A5689">
        <f>IFERROR(INDEX('Email Cleaner'!$B$2:$B$10001,MATCH(5688,'Email Cleaner'!$I$2:$I$10001,0)),"")</f>
        <v/>
      </c>
    </row>
    <row r="5690">
      <c r="A5690">
        <f>IFERROR(INDEX('Email Cleaner'!$B$2:$B$10001,MATCH(5689,'Email Cleaner'!$I$2:$I$10001,0)),"")</f>
        <v/>
      </c>
    </row>
    <row r="5691">
      <c r="A5691">
        <f>IFERROR(INDEX('Email Cleaner'!$B$2:$B$10001,MATCH(5690,'Email Cleaner'!$I$2:$I$10001,0)),"")</f>
        <v/>
      </c>
    </row>
    <row r="5692">
      <c r="A5692">
        <f>IFERROR(INDEX('Email Cleaner'!$B$2:$B$10001,MATCH(5691,'Email Cleaner'!$I$2:$I$10001,0)),"")</f>
        <v/>
      </c>
    </row>
    <row r="5693">
      <c r="A5693">
        <f>IFERROR(INDEX('Email Cleaner'!$B$2:$B$10001,MATCH(5692,'Email Cleaner'!$I$2:$I$10001,0)),"")</f>
        <v/>
      </c>
    </row>
    <row r="5694">
      <c r="A5694">
        <f>IFERROR(INDEX('Email Cleaner'!$B$2:$B$10001,MATCH(5693,'Email Cleaner'!$I$2:$I$10001,0)),"")</f>
        <v/>
      </c>
    </row>
    <row r="5695">
      <c r="A5695">
        <f>IFERROR(INDEX('Email Cleaner'!$B$2:$B$10001,MATCH(5694,'Email Cleaner'!$I$2:$I$10001,0)),"")</f>
        <v/>
      </c>
    </row>
    <row r="5696">
      <c r="A5696">
        <f>IFERROR(INDEX('Email Cleaner'!$B$2:$B$10001,MATCH(5695,'Email Cleaner'!$I$2:$I$10001,0)),"")</f>
        <v/>
      </c>
    </row>
    <row r="5697">
      <c r="A5697">
        <f>IFERROR(INDEX('Email Cleaner'!$B$2:$B$10001,MATCH(5696,'Email Cleaner'!$I$2:$I$10001,0)),"")</f>
        <v/>
      </c>
    </row>
    <row r="5698">
      <c r="A5698">
        <f>IFERROR(INDEX('Email Cleaner'!$B$2:$B$10001,MATCH(5697,'Email Cleaner'!$I$2:$I$10001,0)),"")</f>
        <v/>
      </c>
    </row>
    <row r="5699">
      <c r="A5699">
        <f>IFERROR(INDEX('Email Cleaner'!$B$2:$B$10001,MATCH(5698,'Email Cleaner'!$I$2:$I$10001,0)),"")</f>
        <v/>
      </c>
    </row>
    <row r="5700">
      <c r="A5700">
        <f>IFERROR(INDEX('Email Cleaner'!$B$2:$B$10001,MATCH(5699,'Email Cleaner'!$I$2:$I$10001,0)),"")</f>
        <v/>
      </c>
    </row>
    <row r="5701">
      <c r="A5701">
        <f>IFERROR(INDEX('Email Cleaner'!$B$2:$B$10001,MATCH(5700,'Email Cleaner'!$I$2:$I$10001,0)),"")</f>
        <v/>
      </c>
    </row>
    <row r="5702">
      <c r="A5702">
        <f>IFERROR(INDEX('Email Cleaner'!$B$2:$B$10001,MATCH(5701,'Email Cleaner'!$I$2:$I$10001,0)),"")</f>
        <v/>
      </c>
    </row>
    <row r="5703">
      <c r="A5703">
        <f>IFERROR(INDEX('Email Cleaner'!$B$2:$B$10001,MATCH(5702,'Email Cleaner'!$I$2:$I$10001,0)),"")</f>
        <v/>
      </c>
    </row>
    <row r="5704">
      <c r="A5704">
        <f>IFERROR(INDEX('Email Cleaner'!$B$2:$B$10001,MATCH(5703,'Email Cleaner'!$I$2:$I$10001,0)),"")</f>
        <v/>
      </c>
    </row>
    <row r="5705">
      <c r="A5705">
        <f>IFERROR(INDEX('Email Cleaner'!$B$2:$B$10001,MATCH(5704,'Email Cleaner'!$I$2:$I$10001,0)),"")</f>
        <v/>
      </c>
    </row>
    <row r="5706">
      <c r="A5706">
        <f>IFERROR(INDEX('Email Cleaner'!$B$2:$B$10001,MATCH(5705,'Email Cleaner'!$I$2:$I$10001,0)),"")</f>
        <v/>
      </c>
    </row>
    <row r="5707">
      <c r="A5707">
        <f>IFERROR(INDEX('Email Cleaner'!$B$2:$B$10001,MATCH(5706,'Email Cleaner'!$I$2:$I$10001,0)),"")</f>
        <v/>
      </c>
    </row>
    <row r="5708">
      <c r="A5708">
        <f>IFERROR(INDEX('Email Cleaner'!$B$2:$B$10001,MATCH(5707,'Email Cleaner'!$I$2:$I$10001,0)),"")</f>
        <v/>
      </c>
    </row>
    <row r="5709">
      <c r="A5709">
        <f>IFERROR(INDEX('Email Cleaner'!$B$2:$B$10001,MATCH(5708,'Email Cleaner'!$I$2:$I$10001,0)),"")</f>
        <v/>
      </c>
    </row>
    <row r="5710">
      <c r="A5710">
        <f>IFERROR(INDEX('Email Cleaner'!$B$2:$B$10001,MATCH(5709,'Email Cleaner'!$I$2:$I$10001,0)),"")</f>
        <v/>
      </c>
    </row>
    <row r="5711">
      <c r="A5711">
        <f>IFERROR(INDEX('Email Cleaner'!$B$2:$B$10001,MATCH(5710,'Email Cleaner'!$I$2:$I$10001,0)),"")</f>
        <v/>
      </c>
    </row>
    <row r="5712">
      <c r="A5712">
        <f>IFERROR(INDEX('Email Cleaner'!$B$2:$B$10001,MATCH(5711,'Email Cleaner'!$I$2:$I$10001,0)),"")</f>
        <v/>
      </c>
    </row>
    <row r="5713">
      <c r="A5713">
        <f>IFERROR(INDEX('Email Cleaner'!$B$2:$B$10001,MATCH(5712,'Email Cleaner'!$I$2:$I$10001,0)),"")</f>
        <v/>
      </c>
    </row>
    <row r="5714">
      <c r="A5714">
        <f>IFERROR(INDEX('Email Cleaner'!$B$2:$B$10001,MATCH(5713,'Email Cleaner'!$I$2:$I$10001,0)),"")</f>
        <v/>
      </c>
    </row>
    <row r="5715">
      <c r="A5715">
        <f>IFERROR(INDEX('Email Cleaner'!$B$2:$B$10001,MATCH(5714,'Email Cleaner'!$I$2:$I$10001,0)),"")</f>
        <v/>
      </c>
    </row>
    <row r="5716">
      <c r="A5716">
        <f>IFERROR(INDEX('Email Cleaner'!$B$2:$B$10001,MATCH(5715,'Email Cleaner'!$I$2:$I$10001,0)),"")</f>
        <v/>
      </c>
    </row>
    <row r="5717">
      <c r="A5717">
        <f>IFERROR(INDEX('Email Cleaner'!$B$2:$B$10001,MATCH(5716,'Email Cleaner'!$I$2:$I$10001,0)),"")</f>
        <v/>
      </c>
    </row>
    <row r="5718">
      <c r="A5718">
        <f>IFERROR(INDEX('Email Cleaner'!$B$2:$B$10001,MATCH(5717,'Email Cleaner'!$I$2:$I$10001,0)),"")</f>
        <v/>
      </c>
    </row>
    <row r="5719">
      <c r="A5719">
        <f>IFERROR(INDEX('Email Cleaner'!$B$2:$B$10001,MATCH(5718,'Email Cleaner'!$I$2:$I$10001,0)),"")</f>
        <v/>
      </c>
    </row>
    <row r="5720">
      <c r="A5720">
        <f>IFERROR(INDEX('Email Cleaner'!$B$2:$B$10001,MATCH(5719,'Email Cleaner'!$I$2:$I$10001,0)),"")</f>
        <v/>
      </c>
    </row>
    <row r="5721">
      <c r="A5721">
        <f>IFERROR(INDEX('Email Cleaner'!$B$2:$B$10001,MATCH(5720,'Email Cleaner'!$I$2:$I$10001,0)),"")</f>
        <v/>
      </c>
    </row>
    <row r="5722">
      <c r="A5722">
        <f>IFERROR(INDEX('Email Cleaner'!$B$2:$B$10001,MATCH(5721,'Email Cleaner'!$I$2:$I$10001,0)),"")</f>
        <v/>
      </c>
    </row>
    <row r="5723">
      <c r="A5723">
        <f>IFERROR(INDEX('Email Cleaner'!$B$2:$B$10001,MATCH(5722,'Email Cleaner'!$I$2:$I$10001,0)),"")</f>
        <v/>
      </c>
    </row>
    <row r="5724">
      <c r="A5724">
        <f>IFERROR(INDEX('Email Cleaner'!$B$2:$B$10001,MATCH(5723,'Email Cleaner'!$I$2:$I$10001,0)),"")</f>
        <v/>
      </c>
    </row>
    <row r="5725">
      <c r="A5725">
        <f>IFERROR(INDEX('Email Cleaner'!$B$2:$B$10001,MATCH(5724,'Email Cleaner'!$I$2:$I$10001,0)),"")</f>
        <v/>
      </c>
    </row>
    <row r="5726">
      <c r="A5726">
        <f>IFERROR(INDEX('Email Cleaner'!$B$2:$B$10001,MATCH(5725,'Email Cleaner'!$I$2:$I$10001,0)),"")</f>
        <v/>
      </c>
    </row>
    <row r="5727">
      <c r="A5727">
        <f>IFERROR(INDEX('Email Cleaner'!$B$2:$B$10001,MATCH(5726,'Email Cleaner'!$I$2:$I$10001,0)),"")</f>
        <v/>
      </c>
    </row>
    <row r="5728">
      <c r="A5728">
        <f>IFERROR(INDEX('Email Cleaner'!$B$2:$B$10001,MATCH(5727,'Email Cleaner'!$I$2:$I$10001,0)),"")</f>
        <v/>
      </c>
    </row>
    <row r="5729">
      <c r="A5729">
        <f>IFERROR(INDEX('Email Cleaner'!$B$2:$B$10001,MATCH(5728,'Email Cleaner'!$I$2:$I$10001,0)),"")</f>
        <v/>
      </c>
    </row>
    <row r="5730">
      <c r="A5730">
        <f>IFERROR(INDEX('Email Cleaner'!$B$2:$B$10001,MATCH(5729,'Email Cleaner'!$I$2:$I$10001,0)),"")</f>
        <v/>
      </c>
    </row>
    <row r="5731">
      <c r="A5731">
        <f>IFERROR(INDEX('Email Cleaner'!$B$2:$B$10001,MATCH(5730,'Email Cleaner'!$I$2:$I$10001,0)),"")</f>
        <v/>
      </c>
    </row>
    <row r="5732">
      <c r="A5732">
        <f>IFERROR(INDEX('Email Cleaner'!$B$2:$B$10001,MATCH(5731,'Email Cleaner'!$I$2:$I$10001,0)),"")</f>
        <v/>
      </c>
    </row>
    <row r="5733">
      <c r="A5733">
        <f>IFERROR(INDEX('Email Cleaner'!$B$2:$B$10001,MATCH(5732,'Email Cleaner'!$I$2:$I$10001,0)),"")</f>
        <v/>
      </c>
    </row>
    <row r="5734">
      <c r="A5734">
        <f>IFERROR(INDEX('Email Cleaner'!$B$2:$B$10001,MATCH(5733,'Email Cleaner'!$I$2:$I$10001,0)),"")</f>
        <v/>
      </c>
    </row>
    <row r="5735">
      <c r="A5735">
        <f>IFERROR(INDEX('Email Cleaner'!$B$2:$B$10001,MATCH(5734,'Email Cleaner'!$I$2:$I$10001,0)),"")</f>
        <v/>
      </c>
    </row>
    <row r="5736">
      <c r="A5736">
        <f>IFERROR(INDEX('Email Cleaner'!$B$2:$B$10001,MATCH(5735,'Email Cleaner'!$I$2:$I$10001,0)),"")</f>
        <v/>
      </c>
    </row>
    <row r="5737">
      <c r="A5737">
        <f>IFERROR(INDEX('Email Cleaner'!$B$2:$B$10001,MATCH(5736,'Email Cleaner'!$I$2:$I$10001,0)),"")</f>
        <v/>
      </c>
    </row>
    <row r="5738">
      <c r="A5738">
        <f>IFERROR(INDEX('Email Cleaner'!$B$2:$B$10001,MATCH(5737,'Email Cleaner'!$I$2:$I$10001,0)),"")</f>
        <v/>
      </c>
    </row>
    <row r="5739">
      <c r="A5739">
        <f>IFERROR(INDEX('Email Cleaner'!$B$2:$B$10001,MATCH(5738,'Email Cleaner'!$I$2:$I$10001,0)),"")</f>
        <v/>
      </c>
    </row>
    <row r="5740">
      <c r="A5740">
        <f>IFERROR(INDEX('Email Cleaner'!$B$2:$B$10001,MATCH(5739,'Email Cleaner'!$I$2:$I$10001,0)),"")</f>
        <v/>
      </c>
    </row>
    <row r="5741">
      <c r="A5741">
        <f>IFERROR(INDEX('Email Cleaner'!$B$2:$B$10001,MATCH(5740,'Email Cleaner'!$I$2:$I$10001,0)),"")</f>
        <v/>
      </c>
    </row>
    <row r="5742">
      <c r="A5742">
        <f>IFERROR(INDEX('Email Cleaner'!$B$2:$B$10001,MATCH(5741,'Email Cleaner'!$I$2:$I$10001,0)),"")</f>
        <v/>
      </c>
    </row>
    <row r="5743">
      <c r="A5743">
        <f>IFERROR(INDEX('Email Cleaner'!$B$2:$B$10001,MATCH(5742,'Email Cleaner'!$I$2:$I$10001,0)),"")</f>
        <v/>
      </c>
    </row>
    <row r="5744">
      <c r="A5744">
        <f>IFERROR(INDEX('Email Cleaner'!$B$2:$B$10001,MATCH(5743,'Email Cleaner'!$I$2:$I$10001,0)),"")</f>
        <v/>
      </c>
    </row>
    <row r="5745">
      <c r="A5745">
        <f>IFERROR(INDEX('Email Cleaner'!$B$2:$B$10001,MATCH(5744,'Email Cleaner'!$I$2:$I$10001,0)),"")</f>
        <v/>
      </c>
    </row>
    <row r="5746">
      <c r="A5746">
        <f>IFERROR(INDEX('Email Cleaner'!$B$2:$B$10001,MATCH(5745,'Email Cleaner'!$I$2:$I$10001,0)),"")</f>
        <v/>
      </c>
    </row>
    <row r="5747">
      <c r="A5747">
        <f>IFERROR(INDEX('Email Cleaner'!$B$2:$B$10001,MATCH(5746,'Email Cleaner'!$I$2:$I$10001,0)),"")</f>
        <v/>
      </c>
    </row>
    <row r="5748">
      <c r="A5748">
        <f>IFERROR(INDEX('Email Cleaner'!$B$2:$B$10001,MATCH(5747,'Email Cleaner'!$I$2:$I$10001,0)),"")</f>
        <v/>
      </c>
    </row>
    <row r="5749">
      <c r="A5749">
        <f>IFERROR(INDEX('Email Cleaner'!$B$2:$B$10001,MATCH(5748,'Email Cleaner'!$I$2:$I$10001,0)),"")</f>
        <v/>
      </c>
    </row>
    <row r="5750">
      <c r="A5750">
        <f>IFERROR(INDEX('Email Cleaner'!$B$2:$B$10001,MATCH(5749,'Email Cleaner'!$I$2:$I$10001,0)),"")</f>
        <v/>
      </c>
    </row>
    <row r="5751">
      <c r="A5751">
        <f>IFERROR(INDEX('Email Cleaner'!$B$2:$B$10001,MATCH(5750,'Email Cleaner'!$I$2:$I$10001,0)),"")</f>
        <v/>
      </c>
    </row>
    <row r="5752">
      <c r="A5752">
        <f>IFERROR(INDEX('Email Cleaner'!$B$2:$B$10001,MATCH(5751,'Email Cleaner'!$I$2:$I$10001,0)),"")</f>
        <v/>
      </c>
    </row>
    <row r="5753">
      <c r="A5753">
        <f>IFERROR(INDEX('Email Cleaner'!$B$2:$B$10001,MATCH(5752,'Email Cleaner'!$I$2:$I$10001,0)),"")</f>
        <v/>
      </c>
    </row>
    <row r="5754">
      <c r="A5754">
        <f>IFERROR(INDEX('Email Cleaner'!$B$2:$B$10001,MATCH(5753,'Email Cleaner'!$I$2:$I$10001,0)),"")</f>
        <v/>
      </c>
    </row>
    <row r="5755">
      <c r="A5755">
        <f>IFERROR(INDEX('Email Cleaner'!$B$2:$B$10001,MATCH(5754,'Email Cleaner'!$I$2:$I$10001,0)),"")</f>
        <v/>
      </c>
    </row>
    <row r="5756">
      <c r="A5756">
        <f>IFERROR(INDEX('Email Cleaner'!$B$2:$B$10001,MATCH(5755,'Email Cleaner'!$I$2:$I$10001,0)),"")</f>
        <v/>
      </c>
    </row>
    <row r="5757">
      <c r="A5757">
        <f>IFERROR(INDEX('Email Cleaner'!$B$2:$B$10001,MATCH(5756,'Email Cleaner'!$I$2:$I$10001,0)),"")</f>
        <v/>
      </c>
    </row>
    <row r="5758">
      <c r="A5758">
        <f>IFERROR(INDEX('Email Cleaner'!$B$2:$B$10001,MATCH(5757,'Email Cleaner'!$I$2:$I$10001,0)),"")</f>
        <v/>
      </c>
    </row>
    <row r="5759">
      <c r="A5759">
        <f>IFERROR(INDEX('Email Cleaner'!$B$2:$B$10001,MATCH(5758,'Email Cleaner'!$I$2:$I$10001,0)),"")</f>
        <v/>
      </c>
    </row>
    <row r="5760">
      <c r="A5760">
        <f>IFERROR(INDEX('Email Cleaner'!$B$2:$B$10001,MATCH(5759,'Email Cleaner'!$I$2:$I$10001,0)),"")</f>
        <v/>
      </c>
    </row>
    <row r="5761">
      <c r="A5761">
        <f>IFERROR(INDEX('Email Cleaner'!$B$2:$B$10001,MATCH(5760,'Email Cleaner'!$I$2:$I$10001,0)),"")</f>
        <v/>
      </c>
    </row>
    <row r="5762">
      <c r="A5762">
        <f>IFERROR(INDEX('Email Cleaner'!$B$2:$B$10001,MATCH(5761,'Email Cleaner'!$I$2:$I$10001,0)),"")</f>
        <v/>
      </c>
    </row>
    <row r="5763">
      <c r="A5763">
        <f>IFERROR(INDEX('Email Cleaner'!$B$2:$B$10001,MATCH(5762,'Email Cleaner'!$I$2:$I$10001,0)),"")</f>
        <v/>
      </c>
    </row>
    <row r="5764">
      <c r="A5764">
        <f>IFERROR(INDEX('Email Cleaner'!$B$2:$B$10001,MATCH(5763,'Email Cleaner'!$I$2:$I$10001,0)),"")</f>
        <v/>
      </c>
    </row>
    <row r="5765">
      <c r="A5765">
        <f>IFERROR(INDEX('Email Cleaner'!$B$2:$B$10001,MATCH(5764,'Email Cleaner'!$I$2:$I$10001,0)),"")</f>
        <v/>
      </c>
    </row>
    <row r="5766">
      <c r="A5766">
        <f>IFERROR(INDEX('Email Cleaner'!$B$2:$B$10001,MATCH(5765,'Email Cleaner'!$I$2:$I$10001,0)),"")</f>
        <v/>
      </c>
    </row>
    <row r="5767">
      <c r="A5767">
        <f>IFERROR(INDEX('Email Cleaner'!$B$2:$B$10001,MATCH(5766,'Email Cleaner'!$I$2:$I$10001,0)),"")</f>
        <v/>
      </c>
    </row>
    <row r="5768">
      <c r="A5768">
        <f>IFERROR(INDEX('Email Cleaner'!$B$2:$B$10001,MATCH(5767,'Email Cleaner'!$I$2:$I$10001,0)),"")</f>
        <v/>
      </c>
    </row>
    <row r="5769">
      <c r="A5769">
        <f>IFERROR(INDEX('Email Cleaner'!$B$2:$B$10001,MATCH(5768,'Email Cleaner'!$I$2:$I$10001,0)),"")</f>
        <v/>
      </c>
    </row>
    <row r="5770">
      <c r="A5770">
        <f>IFERROR(INDEX('Email Cleaner'!$B$2:$B$10001,MATCH(5769,'Email Cleaner'!$I$2:$I$10001,0)),"")</f>
        <v/>
      </c>
    </row>
    <row r="5771">
      <c r="A5771">
        <f>IFERROR(INDEX('Email Cleaner'!$B$2:$B$10001,MATCH(5770,'Email Cleaner'!$I$2:$I$10001,0)),"")</f>
        <v/>
      </c>
    </row>
    <row r="5772">
      <c r="A5772">
        <f>IFERROR(INDEX('Email Cleaner'!$B$2:$B$10001,MATCH(5771,'Email Cleaner'!$I$2:$I$10001,0)),"")</f>
        <v/>
      </c>
    </row>
    <row r="5773">
      <c r="A5773">
        <f>IFERROR(INDEX('Email Cleaner'!$B$2:$B$10001,MATCH(5772,'Email Cleaner'!$I$2:$I$10001,0)),"")</f>
        <v/>
      </c>
    </row>
    <row r="5774">
      <c r="A5774">
        <f>IFERROR(INDEX('Email Cleaner'!$B$2:$B$10001,MATCH(5773,'Email Cleaner'!$I$2:$I$10001,0)),"")</f>
        <v/>
      </c>
    </row>
    <row r="5775">
      <c r="A5775">
        <f>IFERROR(INDEX('Email Cleaner'!$B$2:$B$10001,MATCH(5774,'Email Cleaner'!$I$2:$I$10001,0)),"")</f>
        <v/>
      </c>
    </row>
    <row r="5776">
      <c r="A5776">
        <f>IFERROR(INDEX('Email Cleaner'!$B$2:$B$10001,MATCH(5775,'Email Cleaner'!$I$2:$I$10001,0)),"")</f>
        <v/>
      </c>
    </row>
    <row r="5777">
      <c r="A5777">
        <f>IFERROR(INDEX('Email Cleaner'!$B$2:$B$10001,MATCH(5776,'Email Cleaner'!$I$2:$I$10001,0)),"")</f>
        <v/>
      </c>
    </row>
    <row r="5778">
      <c r="A5778">
        <f>IFERROR(INDEX('Email Cleaner'!$B$2:$B$10001,MATCH(5777,'Email Cleaner'!$I$2:$I$10001,0)),"")</f>
        <v/>
      </c>
    </row>
    <row r="5779">
      <c r="A5779">
        <f>IFERROR(INDEX('Email Cleaner'!$B$2:$B$10001,MATCH(5778,'Email Cleaner'!$I$2:$I$10001,0)),"")</f>
        <v/>
      </c>
    </row>
    <row r="5780">
      <c r="A5780">
        <f>IFERROR(INDEX('Email Cleaner'!$B$2:$B$10001,MATCH(5779,'Email Cleaner'!$I$2:$I$10001,0)),"")</f>
        <v/>
      </c>
    </row>
    <row r="5781">
      <c r="A5781">
        <f>IFERROR(INDEX('Email Cleaner'!$B$2:$B$10001,MATCH(5780,'Email Cleaner'!$I$2:$I$10001,0)),"")</f>
        <v/>
      </c>
    </row>
    <row r="5782">
      <c r="A5782">
        <f>IFERROR(INDEX('Email Cleaner'!$B$2:$B$10001,MATCH(5781,'Email Cleaner'!$I$2:$I$10001,0)),"")</f>
        <v/>
      </c>
    </row>
    <row r="5783">
      <c r="A5783">
        <f>IFERROR(INDEX('Email Cleaner'!$B$2:$B$10001,MATCH(5782,'Email Cleaner'!$I$2:$I$10001,0)),"")</f>
        <v/>
      </c>
    </row>
    <row r="5784">
      <c r="A5784">
        <f>IFERROR(INDEX('Email Cleaner'!$B$2:$B$10001,MATCH(5783,'Email Cleaner'!$I$2:$I$10001,0)),"")</f>
        <v/>
      </c>
    </row>
    <row r="5785">
      <c r="A5785">
        <f>IFERROR(INDEX('Email Cleaner'!$B$2:$B$10001,MATCH(5784,'Email Cleaner'!$I$2:$I$10001,0)),"")</f>
        <v/>
      </c>
    </row>
    <row r="5786">
      <c r="A5786">
        <f>IFERROR(INDEX('Email Cleaner'!$B$2:$B$10001,MATCH(5785,'Email Cleaner'!$I$2:$I$10001,0)),"")</f>
        <v/>
      </c>
    </row>
    <row r="5787">
      <c r="A5787">
        <f>IFERROR(INDEX('Email Cleaner'!$B$2:$B$10001,MATCH(5786,'Email Cleaner'!$I$2:$I$10001,0)),"")</f>
        <v/>
      </c>
    </row>
    <row r="5788">
      <c r="A5788">
        <f>IFERROR(INDEX('Email Cleaner'!$B$2:$B$10001,MATCH(5787,'Email Cleaner'!$I$2:$I$10001,0)),"")</f>
        <v/>
      </c>
    </row>
    <row r="5789">
      <c r="A5789">
        <f>IFERROR(INDEX('Email Cleaner'!$B$2:$B$10001,MATCH(5788,'Email Cleaner'!$I$2:$I$10001,0)),"")</f>
        <v/>
      </c>
    </row>
    <row r="5790">
      <c r="A5790">
        <f>IFERROR(INDEX('Email Cleaner'!$B$2:$B$10001,MATCH(5789,'Email Cleaner'!$I$2:$I$10001,0)),"")</f>
        <v/>
      </c>
    </row>
    <row r="5791">
      <c r="A5791">
        <f>IFERROR(INDEX('Email Cleaner'!$B$2:$B$10001,MATCH(5790,'Email Cleaner'!$I$2:$I$10001,0)),"")</f>
        <v/>
      </c>
    </row>
    <row r="5792">
      <c r="A5792">
        <f>IFERROR(INDEX('Email Cleaner'!$B$2:$B$10001,MATCH(5791,'Email Cleaner'!$I$2:$I$10001,0)),"")</f>
        <v/>
      </c>
    </row>
    <row r="5793">
      <c r="A5793">
        <f>IFERROR(INDEX('Email Cleaner'!$B$2:$B$10001,MATCH(5792,'Email Cleaner'!$I$2:$I$10001,0)),"")</f>
        <v/>
      </c>
    </row>
    <row r="5794">
      <c r="A5794">
        <f>IFERROR(INDEX('Email Cleaner'!$B$2:$B$10001,MATCH(5793,'Email Cleaner'!$I$2:$I$10001,0)),"")</f>
        <v/>
      </c>
    </row>
    <row r="5795">
      <c r="A5795">
        <f>IFERROR(INDEX('Email Cleaner'!$B$2:$B$10001,MATCH(5794,'Email Cleaner'!$I$2:$I$10001,0)),"")</f>
        <v/>
      </c>
    </row>
    <row r="5796">
      <c r="A5796">
        <f>IFERROR(INDEX('Email Cleaner'!$B$2:$B$10001,MATCH(5795,'Email Cleaner'!$I$2:$I$10001,0)),"")</f>
        <v/>
      </c>
    </row>
    <row r="5797">
      <c r="A5797">
        <f>IFERROR(INDEX('Email Cleaner'!$B$2:$B$10001,MATCH(5796,'Email Cleaner'!$I$2:$I$10001,0)),"")</f>
        <v/>
      </c>
    </row>
    <row r="5798">
      <c r="A5798">
        <f>IFERROR(INDEX('Email Cleaner'!$B$2:$B$10001,MATCH(5797,'Email Cleaner'!$I$2:$I$10001,0)),"")</f>
        <v/>
      </c>
    </row>
    <row r="5799">
      <c r="A5799">
        <f>IFERROR(INDEX('Email Cleaner'!$B$2:$B$10001,MATCH(5798,'Email Cleaner'!$I$2:$I$10001,0)),"")</f>
        <v/>
      </c>
    </row>
    <row r="5800">
      <c r="A5800">
        <f>IFERROR(INDEX('Email Cleaner'!$B$2:$B$10001,MATCH(5799,'Email Cleaner'!$I$2:$I$10001,0)),"")</f>
        <v/>
      </c>
    </row>
    <row r="5801">
      <c r="A5801">
        <f>IFERROR(INDEX('Email Cleaner'!$B$2:$B$10001,MATCH(5800,'Email Cleaner'!$I$2:$I$10001,0)),"")</f>
        <v/>
      </c>
    </row>
    <row r="5802">
      <c r="A5802">
        <f>IFERROR(INDEX('Email Cleaner'!$B$2:$B$10001,MATCH(5801,'Email Cleaner'!$I$2:$I$10001,0)),"")</f>
        <v/>
      </c>
    </row>
    <row r="5803">
      <c r="A5803">
        <f>IFERROR(INDEX('Email Cleaner'!$B$2:$B$10001,MATCH(5802,'Email Cleaner'!$I$2:$I$10001,0)),"")</f>
        <v/>
      </c>
    </row>
    <row r="5804">
      <c r="A5804">
        <f>IFERROR(INDEX('Email Cleaner'!$B$2:$B$10001,MATCH(5803,'Email Cleaner'!$I$2:$I$10001,0)),"")</f>
        <v/>
      </c>
    </row>
    <row r="5805">
      <c r="A5805">
        <f>IFERROR(INDEX('Email Cleaner'!$B$2:$B$10001,MATCH(5804,'Email Cleaner'!$I$2:$I$10001,0)),"")</f>
        <v/>
      </c>
    </row>
    <row r="5806">
      <c r="A5806">
        <f>IFERROR(INDEX('Email Cleaner'!$B$2:$B$10001,MATCH(5805,'Email Cleaner'!$I$2:$I$10001,0)),"")</f>
        <v/>
      </c>
    </row>
    <row r="5807">
      <c r="A5807">
        <f>IFERROR(INDEX('Email Cleaner'!$B$2:$B$10001,MATCH(5806,'Email Cleaner'!$I$2:$I$10001,0)),"")</f>
        <v/>
      </c>
    </row>
    <row r="5808">
      <c r="A5808">
        <f>IFERROR(INDEX('Email Cleaner'!$B$2:$B$10001,MATCH(5807,'Email Cleaner'!$I$2:$I$10001,0)),"")</f>
        <v/>
      </c>
    </row>
    <row r="5809">
      <c r="A5809">
        <f>IFERROR(INDEX('Email Cleaner'!$B$2:$B$10001,MATCH(5808,'Email Cleaner'!$I$2:$I$10001,0)),"")</f>
        <v/>
      </c>
    </row>
    <row r="5810">
      <c r="A5810">
        <f>IFERROR(INDEX('Email Cleaner'!$B$2:$B$10001,MATCH(5809,'Email Cleaner'!$I$2:$I$10001,0)),"")</f>
        <v/>
      </c>
    </row>
    <row r="5811">
      <c r="A5811">
        <f>IFERROR(INDEX('Email Cleaner'!$B$2:$B$10001,MATCH(5810,'Email Cleaner'!$I$2:$I$10001,0)),"")</f>
        <v/>
      </c>
    </row>
    <row r="5812">
      <c r="A5812">
        <f>IFERROR(INDEX('Email Cleaner'!$B$2:$B$10001,MATCH(5811,'Email Cleaner'!$I$2:$I$10001,0)),"")</f>
        <v/>
      </c>
    </row>
    <row r="5813">
      <c r="A5813">
        <f>IFERROR(INDEX('Email Cleaner'!$B$2:$B$10001,MATCH(5812,'Email Cleaner'!$I$2:$I$10001,0)),"")</f>
        <v/>
      </c>
    </row>
    <row r="5814">
      <c r="A5814">
        <f>IFERROR(INDEX('Email Cleaner'!$B$2:$B$10001,MATCH(5813,'Email Cleaner'!$I$2:$I$10001,0)),"")</f>
        <v/>
      </c>
    </row>
    <row r="5815">
      <c r="A5815">
        <f>IFERROR(INDEX('Email Cleaner'!$B$2:$B$10001,MATCH(5814,'Email Cleaner'!$I$2:$I$10001,0)),"")</f>
        <v/>
      </c>
    </row>
    <row r="5816">
      <c r="A5816">
        <f>IFERROR(INDEX('Email Cleaner'!$B$2:$B$10001,MATCH(5815,'Email Cleaner'!$I$2:$I$10001,0)),"")</f>
        <v/>
      </c>
    </row>
    <row r="5817">
      <c r="A5817">
        <f>IFERROR(INDEX('Email Cleaner'!$B$2:$B$10001,MATCH(5816,'Email Cleaner'!$I$2:$I$10001,0)),"")</f>
        <v/>
      </c>
    </row>
    <row r="5818">
      <c r="A5818">
        <f>IFERROR(INDEX('Email Cleaner'!$B$2:$B$10001,MATCH(5817,'Email Cleaner'!$I$2:$I$10001,0)),"")</f>
        <v/>
      </c>
    </row>
    <row r="5819">
      <c r="A5819">
        <f>IFERROR(INDEX('Email Cleaner'!$B$2:$B$10001,MATCH(5818,'Email Cleaner'!$I$2:$I$10001,0)),"")</f>
        <v/>
      </c>
    </row>
    <row r="5820">
      <c r="A5820">
        <f>IFERROR(INDEX('Email Cleaner'!$B$2:$B$10001,MATCH(5819,'Email Cleaner'!$I$2:$I$10001,0)),"")</f>
        <v/>
      </c>
    </row>
    <row r="5821">
      <c r="A5821">
        <f>IFERROR(INDEX('Email Cleaner'!$B$2:$B$10001,MATCH(5820,'Email Cleaner'!$I$2:$I$10001,0)),"")</f>
        <v/>
      </c>
    </row>
    <row r="5822">
      <c r="A5822">
        <f>IFERROR(INDEX('Email Cleaner'!$B$2:$B$10001,MATCH(5821,'Email Cleaner'!$I$2:$I$10001,0)),"")</f>
        <v/>
      </c>
    </row>
    <row r="5823">
      <c r="A5823">
        <f>IFERROR(INDEX('Email Cleaner'!$B$2:$B$10001,MATCH(5822,'Email Cleaner'!$I$2:$I$10001,0)),"")</f>
        <v/>
      </c>
    </row>
    <row r="5824">
      <c r="A5824">
        <f>IFERROR(INDEX('Email Cleaner'!$B$2:$B$10001,MATCH(5823,'Email Cleaner'!$I$2:$I$10001,0)),"")</f>
        <v/>
      </c>
    </row>
    <row r="5825">
      <c r="A5825">
        <f>IFERROR(INDEX('Email Cleaner'!$B$2:$B$10001,MATCH(5824,'Email Cleaner'!$I$2:$I$10001,0)),"")</f>
        <v/>
      </c>
    </row>
    <row r="5826">
      <c r="A5826">
        <f>IFERROR(INDEX('Email Cleaner'!$B$2:$B$10001,MATCH(5825,'Email Cleaner'!$I$2:$I$10001,0)),"")</f>
        <v/>
      </c>
    </row>
    <row r="5827">
      <c r="A5827">
        <f>IFERROR(INDEX('Email Cleaner'!$B$2:$B$10001,MATCH(5826,'Email Cleaner'!$I$2:$I$10001,0)),"")</f>
        <v/>
      </c>
    </row>
    <row r="5828">
      <c r="A5828">
        <f>IFERROR(INDEX('Email Cleaner'!$B$2:$B$10001,MATCH(5827,'Email Cleaner'!$I$2:$I$10001,0)),"")</f>
        <v/>
      </c>
    </row>
    <row r="5829">
      <c r="A5829">
        <f>IFERROR(INDEX('Email Cleaner'!$B$2:$B$10001,MATCH(5828,'Email Cleaner'!$I$2:$I$10001,0)),"")</f>
        <v/>
      </c>
    </row>
    <row r="5830">
      <c r="A5830">
        <f>IFERROR(INDEX('Email Cleaner'!$B$2:$B$10001,MATCH(5829,'Email Cleaner'!$I$2:$I$10001,0)),"")</f>
        <v/>
      </c>
    </row>
    <row r="5831">
      <c r="A5831">
        <f>IFERROR(INDEX('Email Cleaner'!$B$2:$B$10001,MATCH(5830,'Email Cleaner'!$I$2:$I$10001,0)),"")</f>
        <v/>
      </c>
    </row>
    <row r="5832">
      <c r="A5832">
        <f>IFERROR(INDEX('Email Cleaner'!$B$2:$B$10001,MATCH(5831,'Email Cleaner'!$I$2:$I$10001,0)),"")</f>
        <v/>
      </c>
    </row>
    <row r="5833">
      <c r="A5833">
        <f>IFERROR(INDEX('Email Cleaner'!$B$2:$B$10001,MATCH(5832,'Email Cleaner'!$I$2:$I$10001,0)),"")</f>
        <v/>
      </c>
    </row>
    <row r="5834">
      <c r="A5834">
        <f>IFERROR(INDEX('Email Cleaner'!$B$2:$B$10001,MATCH(5833,'Email Cleaner'!$I$2:$I$10001,0)),"")</f>
        <v/>
      </c>
    </row>
    <row r="5835">
      <c r="A5835">
        <f>IFERROR(INDEX('Email Cleaner'!$B$2:$B$10001,MATCH(5834,'Email Cleaner'!$I$2:$I$10001,0)),"")</f>
        <v/>
      </c>
    </row>
    <row r="5836">
      <c r="A5836">
        <f>IFERROR(INDEX('Email Cleaner'!$B$2:$B$10001,MATCH(5835,'Email Cleaner'!$I$2:$I$10001,0)),"")</f>
        <v/>
      </c>
    </row>
    <row r="5837">
      <c r="A5837">
        <f>IFERROR(INDEX('Email Cleaner'!$B$2:$B$10001,MATCH(5836,'Email Cleaner'!$I$2:$I$10001,0)),"")</f>
        <v/>
      </c>
    </row>
    <row r="5838">
      <c r="A5838">
        <f>IFERROR(INDEX('Email Cleaner'!$B$2:$B$10001,MATCH(5837,'Email Cleaner'!$I$2:$I$10001,0)),"")</f>
        <v/>
      </c>
    </row>
    <row r="5839">
      <c r="A5839">
        <f>IFERROR(INDEX('Email Cleaner'!$B$2:$B$10001,MATCH(5838,'Email Cleaner'!$I$2:$I$10001,0)),"")</f>
        <v/>
      </c>
    </row>
    <row r="5840">
      <c r="A5840">
        <f>IFERROR(INDEX('Email Cleaner'!$B$2:$B$10001,MATCH(5839,'Email Cleaner'!$I$2:$I$10001,0)),"")</f>
        <v/>
      </c>
    </row>
    <row r="5841">
      <c r="A5841">
        <f>IFERROR(INDEX('Email Cleaner'!$B$2:$B$10001,MATCH(5840,'Email Cleaner'!$I$2:$I$10001,0)),"")</f>
        <v/>
      </c>
    </row>
    <row r="5842">
      <c r="A5842">
        <f>IFERROR(INDEX('Email Cleaner'!$B$2:$B$10001,MATCH(5841,'Email Cleaner'!$I$2:$I$10001,0)),"")</f>
        <v/>
      </c>
    </row>
    <row r="5843">
      <c r="A5843">
        <f>IFERROR(INDEX('Email Cleaner'!$B$2:$B$10001,MATCH(5842,'Email Cleaner'!$I$2:$I$10001,0)),"")</f>
        <v/>
      </c>
    </row>
    <row r="5844">
      <c r="A5844">
        <f>IFERROR(INDEX('Email Cleaner'!$B$2:$B$10001,MATCH(5843,'Email Cleaner'!$I$2:$I$10001,0)),"")</f>
        <v/>
      </c>
    </row>
    <row r="5845">
      <c r="A5845">
        <f>IFERROR(INDEX('Email Cleaner'!$B$2:$B$10001,MATCH(5844,'Email Cleaner'!$I$2:$I$10001,0)),"")</f>
        <v/>
      </c>
    </row>
    <row r="5846">
      <c r="A5846">
        <f>IFERROR(INDEX('Email Cleaner'!$B$2:$B$10001,MATCH(5845,'Email Cleaner'!$I$2:$I$10001,0)),"")</f>
        <v/>
      </c>
    </row>
    <row r="5847">
      <c r="A5847">
        <f>IFERROR(INDEX('Email Cleaner'!$B$2:$B$10001,MATCH(5846,'Email Cleaner'!$I$2:$I$10001,0)),"")</f>
        <v/>
      </c>
    </row>
    <row r="5848">
      <c r="A5848">
        <f>IFERROR(INDEX('Email Cleaner'!$B$2:$B$10001,MATCH(5847,'Email Cleaner'!$I$2:$I$10001,0)),"")</f>
        <v/>
      </c>
    </row>
    <row r="5849">
      <c r="A5849">
        <f>IFERROR(INDEX('Email Cleaner'!$B$2:$B$10001,MATCH(5848,'Email Cleaner'!$I$2:$I$10001,0)),"")</f>
        <v/>
      </c>
    </row>
    <row r="5850">
      <c r="A5850">
        <f>IFERROR(INDEX('Email Cleaner'!$B$2:$B$10001,MATCH(5849,'Email Cleaner'!$I$2:$I$10001,0)),"")</f>
        <v/>
      </c>
    </row>
    <row r="5851">
      <c r="A5851">
        <f>IFERROR(INDEX('Email Cleaner'!$B$2:$B$10001,MATCH(5850,'Email Cleaner'!$I$2:$I$10001,0)),"")</f>
        <v/>
      </c>
    </row>
    <row r="5852">
      <c r="A5852">
        <f>IFERROR(INDEX('Email Cleaner'!$B$2:$B$10001,MATCH(5851,'Email Cleaner'!$I$2:$I$10001,0)),"")</f>
        <v/>
      </c>
    </row>
    <row r="5853">
      <c r="A5853">
        <f>IFERROR(INDEX('Email Cleaner'!$B$2:$B$10001,MATCH(5852,'Email Cleaner'!$I$2:$I$10001,0)),"")</f>
        <v/>
      </c>
    </row>
    <row r="5854">
      <c r="A5854">
        <f>IFERROR(INDEX('Email Cleaner'!$B$2:$B$10001,MATCH(5853,'Email Cleaner'!$I$2:$I$10001,0)),"")</f>
        <v/>
      </c>
    </row>
    <row r="5855">
      <c r="A5855">
        <f>IFERROR(INDEX('Email Cleaner'!$B$2:$B$10001,MATCH(5854,'Email Cleaner'!$I$2:$I$10001,0)),"")</f>
        <v/>
      </c>
    </row>
    <row r="5856">
      <c r="A5856">
        <f>IFERROR(INDEX('Email Cleaner'!$B$2:$B$10001,MATCH(5855,'Email Cleaner'!$I$2:$I$10001,0)),"")</f>
        <v/>
      </c>
    </row>
    <row r="5857">
      <c r="A5857">
        <f>IFERROR(INDEX('Email Cleaner'!$B$2:$B$10001,MATCH(5856,'Email Cleaner'!$I$2:$I$10001,0)),"")</f>
        <v/>
      </c>
    </row>
    <row r="5858">
      <c r="A5858">
        <f>IFERROR(INDEX('Email Cleaner'!$B$2:$B$10001,MATCH(5857,'Email Cleaner'!$I$2:$I$10001,0)),"")</f>
        <v/>
      </c>
    </row>
    <row r="5859">
      <c r="A5859">
        <f>IFERROR(INDEX('Email Cleaner'!$B$2:$B$10001,MATCH(5858,'Email Cleaner'!$I$2:$I$10001,0)),"")</f>
        <v/>
      </c>
    </row>
    <row r="5860">
      <c r="A5860">
        <f>IFERROR(INDEX('Email Cleaner'!$B$2:$B$10001,MATCH(5859,'Email Cleaner'!$I$2:$I$10001,0)),"")</f>
        <v/>
      </c>
    </row>
    <row r="5861">
      <c r="A5861">
        <f>IFERROR(INDEX('Email Cleaner'!$B$2:$B$10001,MATCH(5860,'Email Cleaner'!$I$2:$I$10001,0)),"")</f>
        <v/>
      </c>
    </row>
    <row r="5862">
      <c r="A5862">
        <f>IFERROR(INDEX('Email Cleaner'!$B$2:$B$10001,MATCH(5861,'Email Cleaner'!$I$2:$I$10001,0)),"")</f>
        <v/>
      </c>
    </row>
    <row r="5863">
      <c r="A5863">
        <f>IFERROR(INDEX('Email Cleaner'!$B$2:$B$10001,MATCH(5862,'Email Cleaner'!$I$2:$I$10001,0)),"")</f>
        <v/>
      </c>
    </row>
    <row r="5864">
      <c r="A5864">
        <f>IFERROR(INDEX('Email Cleaner'!$B$2:$B$10001,MATCH(5863,'Email Cleaner'!$I$2:$I$10001,0)),"")</f>
        <v/>
      </c>
    </row>
    <row r="5865">
      <c r="A5865">
        <f>IFERROR(INDEX('Email Cleaner'!$B$2:$B$10001,MATCH(5864,'Email Cleaner'!$I$2:$I$10001,0)),"")</f>
        <v/>
      </c>
    </row>
    <row r="5866">
      <c r="A5866">
        <f>IFERROR(INDEX('Email Cleaner'!$B$2:$B$10001,MATCH(5865,'Email Cleaner'!$I$2:$I$10001,0)),"")</f>
        <v/>
      </c>
    </row>
    <row r="5867">
      <c r="A5867">
        <f>IFERROR(INDEX('Email Cleaner'!$B$2:$B$10001,MATCH(5866,'Email Cleaner'!$I$2:$I$10001,0)),"")</f>
        <v/>
      </c>
    </row>
    <row r="5868">
      <c r="A5868">
        <f>IFERROR(INDEX('Email Cleaner'!$B$2:$B$10001,MATCH(5867,'Email Cleaner'!$I$2:$I$10001,0)),"")</f>
        <v/>
      </c>
    </row>
    <row r="5869">
      <c r="A5869">
        <f>IFERROR(INDEX('Email Cleaner'!$B$2:$B$10001,MATCH(5868,'Email Cleaner'!$I$2:$I$10001,0)),"")</f>
        <v/>
      </c>
    </row>
    <row r="5870">
      <c r="A5870">
        <f>IFERROR(INDEX('Email Cleaner'!$B$2:$B$10001,MATCH(5869,'Email Cleaner'!$I$2:$I$10001,0)),"")</f>
        <v/>
      </c>
    </row>
    <row r="5871">
      <c r="A5871">
        <f>IFERROR(INDEX('Email Cleaner'!$B$2:$B$10001,MATCH(5870,'Email Cleaner'!$I$2:$I$10001,0)),"")</f>
        <v/>
      </c>
    </row>
    <row r="5872">
      <c r="A5872">
        <f>IFERROR(INDEX('Email Cleaner'!$B$2:$B$10001,MATCH(5871,'Email Cleaner'!$I$2:$I$10001,0)),"")</f>
        <v/>
      </c>
    </row>
    <row r="5873">
      <c r="A5873">
        <f>IFERROR(INDEX('Email Cleaner'!$B$2:$B$10001,MATCH(5872,'Email Cleaner'!$I$2:$I$10001,0)),"")</f>
        <v/>
      </c>
    </row>
    <row r="5874">
      <c r="A5874">
        <f>IFERROR(INDEX('Email Cleaner'!$B$2:$B$10001,MATCH(5873,'Email Cleaner'!$I$2:$I$10001,0)),"")</f>
        <v/>
      </c>
    </row>
    <row r="5875">
      <c r="A5875">
        <f>IFERROR(INDEX('Email Cleaner'!$B$2:$B$10001,MATCH(5874,'Email Cleaner'!$I$2:$I$10001,0)),"")</f>
        <v/>
      </c>
    </row>
    <row r="5876">
      <c r="A5876">
        <f>IFERROR(INDEX('Email Cleaner'!$B$2:$B$10001,MATCH(5875,'Email Cleaner'!$I$2:$I$10001,0)),"")</f>
        <v/>
      </c>
    </row>
    <row r="5877">
      <c r="A5877">
        <f>IFERROR(INDEX('Email Cleaner'!$B$2:$B$10001,MATCH(5876,'Email Cleaner'!$I$2:$I$10001,0)),"")</f>
        <v/>
      </c>
    </row>
    <row r="5878">
      <c r="A5878">
        <f>IFERROR(INDEX('Email Cleaner'!$B$2:$B$10001,MATCH(5877,'Email Cleaner'!$I$2:$I$10001,0)),"")</f>
        <v/>
      </c>
    </row>
    <row r="5879">
      <c r="A5879">
        <f>IFERROR(INDEX('Email Cleaner'!$B$2:$B$10001,MATCH(5878,'Email Cleaner'!$I$2:$I$10001,0)),"")</f>
        <v/>
      </c>
    </row>
    <row r="5880">
      <c r="A5880">
        <f>IFERROR(INDEX('Email Cleaner'!$B$2:$B$10001,MATCH(5879,'Email Cleaner'!$I$2:$I$10001,0)),"")</f>
        <v/>
      </c>
    </row>
    <row r="5881">
      <c r="A5881">
        <f>IFERROR(INDEX('Email Cleaner'!$B$2:$B$10001,MATCH(5880,'Email Cleaner'!$I$2:$I$10001,0)),"")</f>
        <v/>
      </c>
    </row>
    <row r="5882">
      <c r="A5882">
        <f>IFERROR(INDEX('Email Cleaner'!$B$2:$B$10001,MATCH(5881,'Email Cleaner'!$I$2:$I$10001,0)),"")</f>
        <v/>
      </c>
    </row>
    <row r="5883">
      <c r="A5883">
        <f>IFERROR(INDEX('Email Cleaner'!$B$2:$B$10001,MATCH(5882,'Email Cleaner'!$I$2:$I$10001,0)),"")</f>
        <v/>
      </c>
    </row>
    <row r="5884">
      <c r="A5884">
        <f>IFERROR(INDEX('Email Cleaner'!$B$2:$B$10001,MATCH(5883,'Email Cleaner'!$I$2:$I$10001,0)),"")</f>
        <v/>
      </c>
    </row>
    <row r="5885">
      <c r="A5885">
        <f>IFERROR(INDEX('Email Cleaner'!$B$2:$B$10001,MATCH(5884,'Email Cleaner'!$I$2:$I$10001,0)),"")</f>
        <v/>
      </c>
    </row>
    <row r="5886">
      <c r="A5886">
        <f>IFERROR(INDEX('Email Cleaner'!$B$2:$B$10001,MATCH(5885,'Email Cleaner'!$I$2:$I$10001,0)),"")</f>
        <v/>
      </c>
    </row>
    <row r="5887">
      <c r="A5887">
        <f>IFERROR(INDEX('Email Cleaner'!$B$2:$B$10001,MATCH(5886,'Email Cleaner'!$I$2:$I$10001,0)),"")</f>
        <v/>
      </c>
    </row>
    <row r="5888">
      <c r="A5888">
        <f>IFERROR(INDEX('Email Cleaner'!$B$2:$B$10001,MATCH(5887,'Email Cleaner'!$I$2:$I$10001,0)),"")</f>
        <v/>
      </c>
    </row>
    <row r="5889">
      <c r="A5889">
        <f>IFERROR(INDEX('Email Cleaner'!$B$2:$B$10001,MATCH(5888,'Email Cleaner'!$I$2:$I$10001,0)),"")</f>
        <v/>
      </c>
    </row>
    <row r="5890">
      <c r="A5890">
        <f>IFERROR(INDEX('Email Cleaner'!$B$2:$B$10001,MATCH(5889,'Email Cleaner'!$I$2:$I$10001,0)),"")</f>
        <v/>
      </c>
    </row>
    <row r="5891">
      <c r="A5891">
        <f>IFERROR(INDEX('Email Cleaner'!$B$2:$B$10001,MATCH(5890,'Email Cleaner'!$I$2:$I$10001,0)),"")</f>
        <v/>
      </c>
    </row>
    <row r="5892">
      <c r="A5892">
        <f>IFERROR(INDEX('Email Cleaner'!$B$2:$B$10001,MATCH(5891,'Email Cleaner'!$I$2:$I$10001,0)),"")</f>
        <v/>
      </c>
    </row>
    <row r="5893">
      <c r="A5893">
        <f>IFERROR(INDEX('Email Cleaner'!$B$2:$B$10001,MATCH(5892,'Email Cleaner'!$I$2:$I$10001,0)),"")</f>
        <v/>
      </c>
    </row>
    <row r="5894">
      <c r="A5894">
        <f>IFERROR(INDEX('Email Cleaner'!$B$2:$B$10001,MATCH(5893,'Email Cleaner'!$I$2:$I$10001,0)),"")</f>
        <v/>
      </c>
    </row>
    <row r="5895">
      <c r="A5895">
        <f>IFERROR(INDEX('Email Cleaner'!$B$2:$B$10001,MATCH(5894,'Email Cleaner'!$I$2:$I$10001,0)),"")</f>
        <v/>
      </c>
    </row>
    <row r="5896">
      <c r="A5896">
        <f>IFERROR(INDEX('Email Cleaner'!$B$2:$B$10001,MATCH(5895,'Email Cleaner'!$I$2:$I$10001,0)),"")</f>
        <v/>
      </c>
    </row>
    <row r="5897">
      <c r="A5897">
        <f>IFERROR(INDEX('Email Cleaner'!$B$2:$B$10001,MATCH(5896,'Email Cleaner'!$I$2:$I$10001,0)),"")</f>
        <v/>
      </c>
    </row>
    <row r="5898">
      <c r="A5898">
        <f>IFERROR(INDEX('Email Cleaner'!$B$2:$B$10001,MATCH(5897,'Email Cleaner'!$I$2:$I$10001,0)),"")</f>
        <v/>
      </c>
    </row>
    <row r="5899">
      <c r="A5899">
        <f>IFERROR(INDEX('Email Cleaner'!$B$2:$B$10001,MATCH(5898,'Email Cleaner'!$I$2:$I$10001,0)),"")</f>
        <v/>
      </c>
    </row>
    <row r="5900">
      <c r="A5900">
        <f>IFERROR(INDEX('Email Cleaner'!$B$2:$B$10001,MATCH(5899,'Email Cleaner'!$I$2:$I$10001,0)),"")</f>
        <v/>
      </c>
    </row>
    <row r="5901">
      <c r="A5901">
        <f>IFERROR(INDEX('Email Cleaner'!$B$2:$B$10001,MATCH(5900,'Email Cleaner'!$I$2:$I$10001,0)),"")</f>
        <v/>
      </c>
    </row>
    <row r="5902">
      <c r="A5902">
        <f>IFERROR(INDEX('Email Cleaner'!$B$2:$B$10001,MATCH(5901,'Email Cleaner'!$I$2:$I$10001,0)),"")</f>
        <v/>
      </c>
    </row>
    <row r="5903">
      <c r="A5903">
        <f>IFERROR(INDEX('Email Cleaner'!$B$2:$B$10001,MATCH(5902,'Email Cleaner'!$I$2:$I$10001,0)),"")</f>
        <v/>
      </c>
    </row>
    <row r="5904">
      <c r="A5904">
        <f>IFERROR(INDEX('Email Cleaner'!$B$2:$B$10001,MATCH(5903,'Email Cleaner'!$I$2:$I$10001,0)),"")</f>
        <v/>
      </c>
    </row>
    <row r="5905">
      <c r="A5905">
        <f>IFERROR(INDEX('Email Cleaner'!$B$2:$B$10001,MATCH(5904,'Email Cleaner'!$I$2:$I$10001,0)),"")</f>
        <v/>
      </c>
    </row>
    <row r="5906">
      <c r="A5906">
        <f>IFERROR(INDEX('Email Cleaner'!$B$2:$B$10001,MATCH(5905,'Email Cleaner'!$I$2:$I$10001,0)),"")</f>
        <v/>
      </c>
    </row>
    <row r="5907">
      <c r="A5907">
        <f>IFERROR(INDEX('Email Cleaner'!$B$2:$B$10001,MATCH(5906,'Email Cleaner'!$I$2:$I$10001,0)),"")</f>
        <v/>
      </c>
    </row>
    <row r="5908">
      <c r="A5908">
        <f>IFERROR(INDEX('Email Cleaner'!$B$2:$B$10001,MATCH(5907,'Email Cleaner'!$I$2:$I$10001,0)),"")</f>
        <v/>
      </c>
    </row>
    <row r="5909">
      <c r="A5909">
        <f>IFERROR(INDEX('Email Cleaner'!$B$2:$B$10001,MATCH(5908,'Email Cleaner'!$I$2:$I$10001,0)),"")</f>
        <v/>
      </c>
    </row>
    <row r="5910">
      <c r="A5910">
        <f>IFERROR(INDEX('Email Cleaner'!$B$2:$B$10001,MATCH(5909,'Email Cleaner'!$I$2:$I$10001,0)),"")</f>
        <v/>
      </c>
    </row>
    <row r="5911">
      <c r="A5911">
        <f>IFERROR(INDEX('Email Cleaner'!$B$2:$B$10001,MATCH(5910,'Email Cleaner'!$I$2:$I$10001,0)),"")</f>
        <v/>
      </c>
    </row>
    <row r="5912">
      <c r="A5912">
        <f>IFERROR(INDEX('Email Cleaner'!$B$2:$B$10001,MATCH(5911,'Email Cleaner'!$I$2:$I$10001,0)),"")</f>
        <v/>
      </c>
    </row>
    <row r="5913">
      <c r="A5913">
        <f>IFERROR(INDEX('Email Cleaner'!$B$2:$B$10001,MATCH(5912,'Email Cleaner'!$I$2:$I$10001,0)),"")</f>
        <v/>
      </c>
    </row>
    <row r="5914">
      <c r="A5914">
        <f>IFERROR(INDEX('Email Cleaner'!$B$2:$B$10001,MATCH(5913,'Email Cleaner'!$I$2:$I$10001,0)),"")</f>
        <v/>
      </c>
    </row>
    <row r="5915">
      <c r="A5915">
        <f>IFERROR(INDEX('Email Cleaner'!$B$2:$B$10001,MATCH(5914,'Email Cleaner'!$I$2:$I$10001,0)),"")</f>
        <v/>
      </c>
    </row>
    <row r="5916">
      <c r="A5916">
        <f>IFERROR(INDEX('Email Cleaner'!$B$2:$B$10001,MATCH(5915,'Email Cleaner'!$I$2:$I$10001,0)),"")</f>
        <v/>
      </c>
    </row>
    <row r="5917">
      <c r="A5917">
        <f>IFERROR(INDEX('Email Cleaner'!$B$2:$B$10001,MATCH(5916,'Email Cleaner'!$I$2:$I$10001,0)),"")</f>
        <v/>
      </c>
    </row>
    <row r="5918">
      <c r="A5918">
        <f>IFERROR(INDEX('Email Cleaner'!$B$2:$B$10001,MATCH(5917,'Email Cleaner'!$I$2:$I$10001,0)),"")</f>
        <v/>
      </c>
    </row>
    <row r="5919">
      <c r="A5919">
        <f>IFERROR(INDEX('Email Cleaner'!$B$2:$B$10001,MATCH(5918,'Email Cleaner'!$I$2:$I$10001,0)),"")</f>
        <v/>
      </c>
    </row>
    <row r="5920">
      <c r="A5920">
        <f>IFERROR(INDEX('Email Cleaner'!$B$2:$B$10001,MATCH(5919,'Email Cleaner'!$I$2:$I$10001,0)),"")</f>
        <v/>
      </c>
    </row>
    <row r="5921">
      <c r="A5921">
        <f>IFERROR(INDEX('Email Cleaner'!$B$2:$B$10001,MATCH(5920,'Email Cleaner'!$I$2:$I$10001,0)),"")</f>
        <v/>
      </c>
    </row>
    <row r="5922">
      <c r="A5922">
        <f>IFERROR(INDEX('Email Cleaner'!$B$2:$B$10001,MATCH(5921,'Email Cleaner'!$I$2:$I$10001,0)),"")</f>
        <v/>
      </c>
    </row>
    <row r="5923">
      <c r="A5923">
        <f>IFERROR(INDEX('Email Cleaner'!$B$2:$B$10001,MATCH(5922,'Email Cleaner'!$I$2:$I$10001,0)),"")</f>
        <v/>
      </c>
    </row>
    <row r="5924">
      <c r="A5924">
        <f>IFERROR(INDEX('Email Cleaner'!$B$2:$B$10001,MATCH(5923,'Email Cleaner'!$I$2:$I$10001,0)),"")</f>
        <v/>
      </c>
    </row>
    <row r="5925">
      <c r="A5925">
        <f>IFERROR(INDEX('Email Cleaner'!$B$2:$B$10001,MATCH(5924,'Email Cleaner'!$I$2:$I$10001,0)),"")</f>
        <v/>
      </c>
    </row>
    <row r="5926">
      <c r="A5926">
        <f>IFERROR(INDEX('Email Cleaner'!$B$2:$B$10001,MATCH(5925,'Email Cleaner'!$I$2:$I$10001,0)),"")</f>
        <v/>
      </c>
    </row>
    <row r="5927">
      <c r="A5927">
        <f>IFERROR(INDEX('Email Cleaner'!$B$2:$B$10001,MATCH(5926,'Email Cleaner'!$I$2:$I$10001,0)),"")</f>
        <v/>
      </c>
    </row>
    <row r="5928">
      <c r="A5928">
        <f>IFERROR(INDEX('Email Cleaner'!$B$2:$B$10001,MATCH(5927,'Email Cleaner'!$I$2:$I$10001,0)),"")</f>
        <v/>
      </c>
    </row>
    <row r="5929">
      <c r="A5929">
        <f>IFERROR(INDEX('Email Cleaner'!$B$2:$B$10001,MATCH(5928,'Email Cleaner'!$I$2:$I$10001,0)),"")</f>
        <v/>
      </c>
    </row>
    <row r="5930">
      <c r="A5930">
        <f>IFERROR(INDEX('Email Cleaner'!$B$2:$B$10001,MATCH(5929,'Email Cleaner'!$I$2:$I$10001,0)),"")</f>
        <v/>
      </c>
    </row>
    <row r="5931">
      <c r="A5931">
        <f>IFERROR(INDEX('Email Cleaner'!$B$2:$B$10001,MATCH(5930,'Email Cleaner'!$I$2:$I$10001,0)),"")</f>
        <v/>
      </c>
    </row>
    <row r="5932">
      <c r="A5932">
        <f>IFERROR(INDEX('Email Cleaner'!$B$2:$B$10001,MATCH(5931,'Email Cleaner'!$I$2:$I$10001,0)),"")</f>
        <v/>
      </c>
    </row>
    <row r="5933">
      <c r="A5933">
        <f>IFERROR(INDEX('Email Cleaner'!$B$2:$B$10001,MATCH(5932,'Email Cleaner'!$I$2:$I$10001,0)),"")</f>
        <v/>
      </c>
    </row>
    <row r="5934">
      <c r="A5934">
        <f>IFERROR(INDEX('Email Cleaner'!$B$2:$B$10001,MATCH(5933,'Email Cleaner'!$I$2:$I$10001,0)),"")</f>
        <v/>
      </c>
    </row>
    <row r="5935">
      <c r="A5935">
        <f>IFERROR(INDEX('Email Cleaner'!$B$2:$B$10001,MATCH(5934,'Email Cleaner'!$I$2:$I$10001,0)),"")</f>
        <v/>
      </c>
    </row>
    <row r="5936">
      <c r="A5936">
        <f>IFERROR(INDEX('Email Cleaner'!$B$2:$B$10001,MATCH(5935,'Email Cleaner'!$I$2:$I$10001,0)),"")</f>
        <v/>
      </c>
    </row>
    <row r="5937">
      <c r="A5937">
        <f>IFERROR(INDEX('Email Cleaner'!$B$2:$B$10001,MATCH(5936,'Email Cleaner'!$I$2:$I$10001,0)),"")</f>
        <v/>
      </c>
    </row>
    <row r="5938">
      <c r="A5938">
        <f>IFERROR(INDEX('Email Cleaner'!$B$2:$B$10001,MATCH(5937,'Email Cleaner'!$I$2:$I$10001,0)),"")</f>
        <v/>
      </c>
    </row>
    <row r="5939">
      <c r="A5939">
        <f>IFERROR(INDEX('Email Cleaner'!$B$2:$B$10001,MATCH(5938,'Email Cleaner'!$I$2:$I$10001,0)),"")</f>
        <v/>
      </c>
    </row>
    <row r="5940">
      <c r="A5940">
        <f>IFERROR(INDEX('Email Cleaner'!$B$2:$B$10001,MATCH(5939,'Email Cleaner'!$I$2:$I$10001,0)),"")</f>
        <v/>
      </c>
    </row>
    <row r="5941">
      <c r="A5941">
        <f>IFERROR(INDEX('Email Cleaner'!$B$2:$B$10001,MATCH(5940,'Email Cleaner'!$I$2:$I$10001,0)),"")</f>
        <v/>
      </c>
    </row>
    <row r="5942">
      <c r="A5942">
        <f>IFERROR(INDEX('Email Cleaner'!$B$2:$B$10001,MATCH(5941,'Email Cleaner'!$I$2:$I$10001,0)),"")</f>
        <v/>
      </c>
    </row>
    <row r="5943">
      <c r="A5943">
        <f>IFERROR(INDEX('Email Cleaner'!$B$2:$B$10001,MATCH(5942,'Email Cleaner'!$I$2:$I$10001,0)),"")</f>
        <v/>
      </c>
    </row>
    <row r="5944">
      <c r="A5944">
        <f>IFERROR(INDEX('Email Cleaner'!$B$2:$B$10001,MATCH(5943,'Email Cleaner'!$I$2:$I$10001,0)),"")</f>
        <v/>
      </c>
    </row>
    <row r="5945">
      <c r="A5945">
        <f>IFERROR(INDEX('Email Cleaner'!$B$2:$B$10001,MATCH(5944,'Email Cleaner'!$I$2:$I$10001,0)),"")</f>
        <v/>
      </c>
    </row>
    <row r="5946">
      <c r="A5946">
        <f>IFERROR(INDEX('Email Cleaner'!$B$2:$B$10001,MATCH(5945,'Email Cleaner'!$I$2:$I$10001,0)),"")</f>
        <v/>
      </c>
    </row>
    <row r="5947">
      <c r="A5947">
        <f>IFERROR(INDEX('Email Cleaner'!$B$2:$B$10001,MATCH(5946,'Email Cleaner'!$I$2:$I$10001,0)),"")</f>
        <v/>
      </c>
    </row>
    <row r="5948">
      <c r="A5948">
        <f>IFERROR(INDEX('Email Cleaner'!$B$2:$B$10001,MATCH(5947,'Email Cleaner'!$I$2:$I$10001,0)),"")</f>
        <v/>
      </c>
    </row>
    <row r="5949">
      <c r="A5949">
        <f>IFERROR(INDEX('Email Cleaner'!$B$2:$B$10001,MATCH(5948,'Email Cleaner'!$I$2:$I$10001,0)),"")</f>
        <v/>
      </c>
    </row>
    <row r="5950">
      <c r="A5950">
        <f>IFERROR(INDEX('Email Cleaner'!$B$2:$B$10001,MATCH(5949,'Email Cleaner'!$I$2:$I$10001,0)),"")</f>
        <v/>
      </c>
    </row>
    <row r="5951">
      <c r="A5951">
        <f>IFERROR(INDEX('Email Cleaner'!$B$2:$B$10001,MATCH(5950,'Email Cleaner'!$I$2:$I$10001,0)),"")</f>
        <v/>
      </c>
    </row>
    <row r="5952">
      <c r="A5952">
        <f>IFERROR(INDEX('Email Cleaner'!$B$2:$B$10001,MATCH(5951,'Email Cleaner'!$I$2:$I$10001,0)),"")</f>
        <v/>
      </c>
    </row>
    <row r="5953">
      <c r="A5953">
        <f>IFERROR(INDEX('Email Cleaner'!$B$2:$B$10001,MATCH(5952,'Email Cleaner'!$I$2:$I$10001,0)),"")</f>
        <v/>
      </c>
    </row>
    <row r="5954">
      <c r="A5954">
        <f>IFERROR(INDEX('Email Cleaner'!$B$2:$B$10001,MATCH(5953,'Email Cleaner'!$I$2:$I$10001,0)),"")</f>
        <v/>
      </c>
    </row>
    <row r="5955">
      <c r="A5955">
        <f>IFERROR(INDEX('Email Cleaner'!$B$2:$B$10001,MATCH(5954,'Email Cleaner'!$I$2:$I$10001,0)),"")</f>
        <v/>
      </c>
    </row>
    <row r="5956">
      <c r="A5956">
        <f>IFERROR(INDEX('Email Cleaner'!$B$2:$B$10001,MATCH(5955,'Email Cleaner'!$I$2:$I$10001,0)),"")</f>
        <v/>
      </c>
    </row>
    <row r="5957">
      <c r="A5957">
        <f>IFERROR(INDEX('Email Cleaner'!$B$2:$B$10001,MATCH(5956,'Email Cleaner'!$I$2:$I$10001,0)),"")</f>
        <v/>
      </c>
    </row>
    <row r="5958">
      <c r="A5958">
        <f>IFERROR(INDEX('Email Cleaner'!$B$2:$B$10001,MATCH(5957,'Email Cleaner'!$I$2:$I$10001,0)),"")</f>
        <v/>
      </c>
    </row>
    <row r="5959">
      <c r="A5959">
        <f>IFERROR(INDEX('Email Cleaner'!$B$2:$B$10001,MATCH(5958,'Email Cleaner'!$I$2:$I$10001,0)),"")</f>
        <v/>
      </c>
    </row>
    <row r="5960">
      <c r="A5960">
        <f>IFERROR(INDEX('Email Cleaner'!$B$2:$B$10001,MATCH(5959,'Email Cleaner'!$I$2:$I$10001,0)),"")</f>
        <v/>
      </c>
    </row>
    <row r="5961">
      <c r="A5961">
        <f>IFERROR(INDEX('Email Cleaner'!$B$2:$B$10001,MATCH(5960,'Email Cleaner'!$I$2:$I$10001,0)),"")</f>
        <v/>
      </c>
    </row>
    <row r="5962">
      <c r="A5962">
        <f>IFERROR(INDEX('Email Cleaner'!$B$2:$B$10001,MATCH(5961,'Email Cleaner'!$I$2:$I$10001,0)),"")</f>
        <v/>
      </c>
    </row>
    <row r="5963">
      <c r="A5963">
        <f>IFERROR(INDEX('Email Cleaner'!$B$2:$B$10001,MATCH(5962,'Email Cleaner'!$I$2:$I$10001,0)),"")</f>
        <v/>
      </c>
    </row>
    <row r="5964">
      <c r="A5964">
        <f>IFERROR(INDEX('Email Cleaner'!$B$2:$B$10001,MATCH(5963,'Email Cleaner'!$I$2:$I$10001,0)),"")</f>
        <v/>
      </c>
    </row>
    <row r="5965">
      <c r="A5965">
        <f>IFERROR(INDEX('Email Cleaner'!$B$2:$B$10001,MATCH(5964,'Email Cleaner'!$I$2:$I$10001,0)),"")</f>
        <v/>
      </c>
    </row>
    <row r="5966">
      <c r="A5966">
        <f>IFERROR(INDEX('Email Cleaner'!$B$2:$B$10001,MATCH(5965,'Email Cleaner'!$I$2:$I$10001,0)),"")</f>
        <v/>
      </c>
    </row>
    <row r="5967">
      <c r="A5967">
        <f>IFERROR(INDEX('Email Cleaner'!$B$2:$B$10001,MATCH(5966,'Email Cleaner'!$I$2:$I$10001,0)),"")</f>
        <v/>
      </c>
    </row>
    <row r="5968">
      <c r="A5968">
        <f>IFERROR(INDEX('Email Cleaner'!$B$2:$B$10001,MATCH(5967,'Email Cleaner'!$I$2:$I$10001,0)),"")</f>
        <v/>
      </c>
    </row>
    <row r="5969">
      <c r="A5969">
        <f>IFERROR(INDEX('Email Cleaner'!$B$2:$B$10001,MATCH(5968,'Email Cleaner'!$I$2:$I$10001,0)),"")</f>
        <v/>
      </c>
    </row>
    <row r="5970">
      <c r="A5970">
        <f>IFERROR(INDEX('Email Cleaner'!$B$2:$B$10001,MATCH(5969,'Email Cleaner'!$I$2:$I$10001,0)),"")</f>
        <v/>
      </c>
    </row>
    <row r="5971">
      <c r="A5971">
        <f>IFERROR(INDEX('Email Cleaner'!$B$2:$B$10001,MATCH(5970,'Email Cleaner'!$I$2:$I$10001,0)),"")</f>
        <v/>
      </c>
    </row>
    <row r="5972">
      <c r="A5972">
        <f>IFERROR(INDEX('Email Cleaner'!$B$2:$B$10001,MATCH(5971,'Email Cleaner'!$I$2:$I$10001,0)),"")</f>
        <v/>
      </c>
    </row>
    <row r="5973">
      <c r="A5973">
        <f>IFERROR(INDEX('Email Cleaner'!$B$2:$B$10001,MATCH(5972,'Email Cleaner'!$I$2:$I$10001,0)),"")</f>
        <v/>
      </c>
    </row>
    <row r="5974">
      <c r="A5974">
        <f>IFERROR(INDEX('Email Cleaner'!$B$2:$B$10001,MATCH(5973,'Email Cleaner'!$I$2:$I$10001,0)),"")</f>
        <v/>
      </c>
    </row>
    <row r="5975">
      <c r="A5975">
        <f>IFERROR(INDEX('Email Cleaner'!$B$2:$B$10001,MATCH(5974,'Email Cleaner'!$I$2:$I$10001,0)),"")</f>
        <v/>
      </c>
    </row>
    <row r="5976">
      <c r="A5976">
        <f>IFERROR(INDEX('Email Cleaner'!$B$2:$B$10001,MATCH(5975,'Email Cleaner'!$I$2:$I$10001,0)),"")</f>
        <v/>
      </c>
    </row>
    <row r="5977">
      <c r="A5977">
        <f>IFERROR(INDEX('Email Cleaner'!$B$2:$B$10001,MATCH(5976,'Email Cleaner'!$I$2:$I$10001,0)),"")</f>
        <v/>
      </c>
    </row>
    <row r="5978">
      <c r="A5978">
        <f>IFERROR(INDEX('Email Cleaner'!$B$2:$B$10001,MATCH(5977,'Email Cleaner'!$I$2:$I$10001,0)),"")</f>
        <v/>
      </c>
    </row>
    <row r="5979">
      <c r="A5979">
        <f>IFERROR(INDEX('Email Cleaner'!$B$2:$B$10001,MATCH(5978,'Email Cleaner'!$I$2:$I$10001,0)),"")</f>
        <v/>
      </c>
    </row>
    <row r="5980">
      <c r="A5980">
        <f>IFERROR(INDEX('Email Cleaner'!$B$2:$B$10001,MATCH(5979,'Email Cleaner'!$I$2:$I$10001,0)),"")</f>
        <v/>
      </c>
    </row>
    <row r="5981">
      <c r="A5981">
        <f>IFERROR(INDEX('Email Cleaner'!$B$2:$B$10001,MATCH(5980,'Email Cleaner'!$I$2:$I$10001,0)),"")</f>
        <v/>
      </c>
    </row>
    <row r="5982">
      <c r="A5982">
        <f>IFERROR(INDEX('Email Cleaner'!$B$2:$B$10001,MATCH(5981,'Email Cleaner'!$I$2:$I$10001,0)),"")</f>
        <v/>
      </c>
    </row>
    <row r="5983">
      <c r="A5983">
        <f>IFERROR(INDEX('Email Cleaner'!$B$2:$B$10001,MATCH(5982,'Email Cleaner'!$I$2:$I$10001,0)),"")</f>
        <v/>
      </c>
    </row>
    <row r="5984">
      <c r="A5984">
        <f>IFERROR(INDEX('Email Cleaner'!$B$2:$B$10001,MATCH(5983,'Email Cleaner'!$I$2:$I$10001,0)),"")</f>
        <v/>
      </c>
    </row>
    <row r="5985">
      <c r="A5985">
        <f>IFERROR(INDEX('Email Cleaner'!$B$2:$B$10001,MATCH(5984,'Email Cleaner'!$I$2:$I$10001,0)),"")</f>
        <v/>
      </c>
    </row>
    <row r="5986">
      <c r="A5986">
        <f>IFERROR(INDEX('Email Cleaner'!$B$2:$B$10001,MATCH(5985,'Email Cleaner'!$I$2:$I$10001,0)),"")</f>
        <v/>
      </c>
    </row>
    <row r="5987">
      <c r="A5987">
        <f>IFERROR(INDEX('Email Cleaner'!$B$2:$B$10001,MATCH(5986,'Email Cleaner'!$I$2:$I$10001,0)),"")</f>
        <v/>
      </c>
    </row>
    <row r="5988">
      <c r="A5988">
        <f>IFERROR(INDEX('Email Cleaner'!$B$2:$B$10001,MATCH(5987,'Email Cleaner'!$I$2:$I$10001,0)),"")</f>
        <v/>
      </c>
    </row>
    <row r="5989">
      <c r="A5989">
        <f>IFERROR(INDEX('Email Cleaner'!$B$2:$B$10001,MATCH(5988,'Email Cleaner'!$I$2:$I$10001,0)),"")</f>
        <v/>
      </c>
    </row>
    <row r="5990">
      <c r="A5990">
        <f>IFERROR(INDEX('Email Cleaner'!$B$2:$B$10001,MATCH(5989,'Email Cleaner'!$I$2:$I$10001,0)),"")</f>
        <v/>
      </c>
    </row>
    <row r="5991">
      <c r="A5991">
        <f>IFERROR(INDEX('Email Cleaner'!$B$2:$B$10001,MATCH(5990,'Email Cleaner'!$I$2:$I$10001,0)),"")</f>
        <v/>
      </c>
    </row>
    <row r="5992">
      <c r="A5992">
        <f>IFERROR(INDEX('Email Cleaner'!$B$2:$B$10001,MATCH(5991,'Email Cleaner'!$I$2:$I$10001,0)),"")</f>
        <v/>
      </c>
    </row>
    <row r="5993">
      <c r="A5993">
        <f>IFERROR(INDEX('Email Cleaner'!$B$2:$B$10001,MATCH(5992,'Email Cleaner'!$I$2:$I$10001,0)),"")</f>
        <v/>
      </c>
    </row>
    <row r="5994">
      <c r="A5994">
        <f>IFERROR(INDEX('Email Cleaner'!$B$2:$B$10001,MATCH(5993,'Email Cleaner'!$I$2:$I$10001,0)),"")</f>
        <v/>
      </c>
    </row>
    <row r="5995">
      <c r="A5995">
        <f>IFERROR(INDEX('Email Cleaner'!$B$2:$B$10001,MATCH(5994,'Email Cleaner'!$I$2:$I$10001,0)),"")</f>
        <v/>
      </c>
    </row>
    <row r="5996">
      <c r="A5996">
        <f>IFERROR(INDEX('Email Cleaner'!$B$2:$B$10001,MATCH(5995,'Email Cleaner'!$I$2:$I$10001,0)),"")</f>
        <v/>
      </c>
    </row>
    <row r="5997">
      <c r="A5997">
        <f>IFERROR(INDEX('Email Cleaner'!$B$2:$B$10001,MATCH(5996,'Email Cleaner'!$I$2:$I$10001,0)),"")</f>
        <v/>
      </c>
    </row>
    <row r="5998">
      <c r="A5998">
        <f>IFERROR(INDEX('Email Cleaner'!$B$2:$B$10001,MATCH(5997,'Email Cleaner'!$I$2:$I$10001,0)),"")</f>
        <v/>
      </c>
    </row>
    <row r="5999">
      <c r="A5999">
        <f>IFERROR(INDEX('Email Cleaner'!$B$2:$B$10001,MATCH(5998,'Email Cleaner'!$I$2:$I$10001,0)),"")</f>
        <v/>
      </c>
    </row>
    <row r="6000">
      <c r="A6000">
        <f>IFERROR(INDEX('Email Cleaner'!$B$2:$B$10001,MATCH(5999,'Email Cleaner'!$I$2:$I$10001,0)),"")</f>
        <v/>
      </c>
    </row>
    <row r="6001">
      <c r="A6001">
        <f>IFERROR(INDEX('Email Cleaner'!$B$2:$B$10001,MATCH(6000,'Email Cleaner'!$I$2:$I$10001,0)),"")</f>
        <v/>
      </c>
    </row>
    <row r="6002">
      <c r="A6002">
        <f>IFERROR(INDEX('Email Cleaner'!$B$2:$B$10001,MATCH(6001,'Email Cleaner'!$I$2:$I$10001,0)),"")</f>
        <v/>
      </c>
    </row>
    <row r="6003">
      <c r="A6003">
        <f>IFERROR(INDEX('Email Cleaner'!$B$2:$B$10001,MATCH(6002,'Email Cleaner'!$I$2:$I$10001,0)),"")</f>
        <v/>
      </c>
    </row>
    <row r="6004">
      <c r="A6004">
        <f>IFERROR(INDEX('Email Cleaner'!$B$2:$B$10001,MATCH(6003,'Email Cleaner'!$I$2:$I$10001,0)),"")</f>
        <v/>
      </c>
    </row>
    <row r="6005">
      <c r="A6005">
        <f>IFERROR(INDEX('Email Cleaner'!$B$2:$B$10001,MATCH(6004,'Email Cleaner'!$I$2:$I$10001,0)),"")</f>
        <v/>
      </c>
    </row>
    <row r="6006">
      <c r="A6006">
        <f>IFERROR(INDEX('Email Cleaner'!$B$2:$B$10001,MATCH(6005,'Email Cleaner'!$I$2:$I$10001,0)),"")</f>
        <v/>
      </c>
    </row>
    <row r="6007">
      <c r="A6007">
        <f>IFERROR(INDEX('Email Cleaner'!$B$2:$B$10001,MATCH(6006,'Email Cleaner'!$I$2:$I$10001,0)),"")</f>
        <v/>
      </c>
    </row>
    <row r="6008">
      <c r="A6008">
        <f>IFERROR(INDEX('Email Cleaner'!$B$2:$B$10001,MATCH(6007,'Email Cleaner'!$I$2:$I$10001,0)),"")</f>
        <v/>
      </c>
    </row>
    <row r="6009">
      <c r="A6009">
        <f>IFERROR(INDEX('Email Cleaner'!$B$2:$B$10001,MATCH(6008,'Email Cleaner'!$I$2:$I$10001,0)),"")</f>
        <v/>
      </c>
    </row>
    <row r="6010">
      <c r="A6010">
        <f>IFERROR(INDEX('Email Cleaner'!$B$2:$B$10001,MATCH(6009,'Email Cleaner'!$I$2:$I$10001,0)),"")</f>
        <v/>
      </c>
    </row>
    <row r="6011">
      <c r="A6011">
        <f>IFERROR(INDEX('Email Cleaner'!$B$2:$B$10001,MATCH(6010,'Email Cleaner'!$I$2:$I$10001,0)),"")</f>
        <v/>
      </c>
    </row>
    <row r="6012">
      <c r="A6012">
        <f>IFERROR(INDEX('Email Cleaner'!$B$2:$B$10001,MATCH(6011,'Email Cleaner'!$I$2:$I$10001,0)),"")</f>
        <v/>
      </c>
    </row>
    <row r="6013">
      <c r="A6013">
        <f>IFERROR(INDEX('Email Cleaner'!$B$2:$B$10001,MATCH(6012,'Email Cleaner'!$I$2:$I$10001,0)),"")</f>
        <v/>
      </c>
    </row>
    <row r="6014">
      <c r="A6014">
        <f>IFERROR(INDEX('Email Cleaner'!$B$2:$B$10001,MATCH(6013,'Email Cleaner'!$I$2:$I$10001,0)),"")</f>
        <v/>
      </c>
    </row>
    <row r="6015">
      <c r="A6015">
        <f>IFERROR(INDEX('Email Cleaner'!$B$2:$B$10001,MATCH(6014,'Email Cleaner'!$I$2:$I$10001,0)),"")</f>
        <v/>
      </c>
    </row>
    <row r="6016">
      <c r="A6016">
        <f>IFERROR(INDEX('Email Cleaner'!$B$2:$B$10001,MATCH(6015,'Email Cleaner'!$I$2:$I$10001,0)),"")</f>
        <v/>
      </c>
    </row>
    <row r="6017">
      <c r="A6017">
        <f>IFERROR(INDEX('Email Cleaner'!$B$2:$B$10001,MATCH(6016,'Email Cleaner'!$I$2:$I$10001,0)),"")</f>
        <v/>
      </c>
    </row>
    <row r="6018">
      <c r="A6018">
        <f>IFERROR(INDEX('Email Cleaner'!$B$2:$B$10001,MATCH(6017,'Email Cleaner'!$I$2:$I$10001,0)),"")</f>
        <v/>
      </c>
    </row>
    <row r="6019">
      <c r="A6019">
        <f>IFERROR(INDEX('Email Cleaner'!$B$2:$B$10001,MATCH(6018,'Email Cleaner'!$I$2:$I$10001,0)),"")</f>
        <v/>
      </c>
    </row>
    <row r="6020">
      <c r="A6020">
        <f>IFERROR(INDEX('Email Cleaner'!$B$2:$B$10001,MATCH(6019,'Email Cleaner'!$I$2:$I$10001,0)),"")</f>
        <v/>
      </c>
    </row>
    <row r="6021">
      <c r="A6021">
        <f>IFERROR(INDEX('Email Cleaner'!$B$2:$B$10001,MATCH(6020,'Email Cleaner'!$I$2:$I$10001,0)),"")</f>
        <v/>
      </c>
    </row>
    <row r="6022">
      <c r="A6022">
        <f>IFERROR(INDEX('Email Cleaner'!$B$2:$B$10001,MATCH(6021,'Email Cleaner'!$I$2:$I$10001,0)),"")</f>
        <v/>
      </c>
    </row>
    <row r="6023">
      <c r="A6023">
        <f>IFERROR(INDEX('Email Cleaner'!$B$2:$B$10001,MATCH(6022,'Email Cleaner'!$I$2:$I$10001,0)),"")</f>
        <v/>
      </c>
    </row>
    <row r="6024">
      <c r="A6024">
        <f>IFERROR(INDEX('Email Cleaner'!$B$2:$B$10001,MATCH(6023,'Email Cleaner'!$I$2:$I$10001,0)),"")</f>
        <v/>
      </c>
    </row>
    <row r="6025">
      <c r="A6025">
        <f>IFERROR(INDEX('Email Cleaner'!$B$2:$B$10001,MATCH(6024,'Email Cleaner'!$I$2:$I$10001,0)),"")</f>
        <v/>
      </c>
    </row>
    <row r="6026">
      <c r="A6026">
        <f>IFERROR(INDEX('Email Cleaner'!$B$2:$B$10001,MATCH(6025,'Email Cleaner'!$I$2:$I$10001,0)),"")</f>
        <v/>
      </c>
    </row>
    <row r="6027">
      <c r="A6027">
        <f>IFERROR(INDEX('Email Cleaner'!$B$2:$B$10001,MATCH(6026,'Email Cleaner'!$I$2:$I$10001,0)),"")</f>
        <v/>
      </c>
    </row>
    <row r="6028">
      <c r="A6028">
        <f>IFERROR(INDEX('Email Cleaner'!$B$2:$B$10001,MATCH(6027,'Email Cleaner'!$I$2:$I$10001,0)),"")</f>
        <v/>
      </c>
    </row>
    <row r="6029">
      <c r="A6029">
        <f>IFERROR(INDEX('Email Cleaner'!$B$2:$B$10001,MATCH(6028,'Email Cleaner'!$I$2:$I$10001,0)),"")</f>
        <v/>
      </c>
    </row>
    <row r="6030">
      <c r="A6030">
        <f>IFERROR(INDEX('Email Cleaner'!$B$2:$B$10001,MATCH(6029,'Email Cleaner'!$I$2:$I$10001,0)),"")</f>
        <v/>
      </c>
    </row>
    <row r="6031">
      <c r="A6031">
        <f>IFERROR(INDEX('Email Cleaner'!$B$2:$B$10001,MATCH(6030,'Email Cleaner'!$I$2:$I$10001,0)),"")</f>
        <v/>
      </c>
    </row>
    <row r="6032">
      <c r="A6032">
        <f>IFERROR(INDEX('Email Cleaner'!$B$2:$B$10001,MATCH(6031,'Email Cleaner'!$I$2:$I$10001,0)),"")</f>
        <v/>
      </c>
    </row>
    <row r="6033">
      <c r="A6033">
        <f>IFERROR(INDEX('Email Cleaner'!$B$2:$B$10001,MATCH(6032,'Email Cleaner'!$I$2:$I$10001,0)),"")</f>
        <v/>
      </c>
    </row>
    <row r="6034">
      <c r="A6034">
        <f>IFERROR(INDEX('Email Cleaner'!$B$2:$B$10001,MATCH(6033,'Email Cleaner'!$I$2:$I$10001,0)),"")</f>
        <v/>
      </c>
    </row>
    <row r="6035">
      <c r="A6035">
        <f>IFERROR(INDEX('Email Cleaner'!$B$2:$B$10001,MATCH(6034,'Email Cleaner'!$I$2:$I$10001,0)),"")</f>
        <v/>
      </c>
    </row>
    <row r="6036">
      <c r="A6036">
        <f>IFERROR(INDEX('Email Cleaner'!$B$2:$B$10001,MATCH(6035,'Email Cleaner'!$I$2:$I$10001,0)),"")</f>
        <v/>
      </c>
    </row>
    <row r="6037">
      <c r="A6037">
        <f>IFERROR(INDEX('Email Cleaner'!$B$2:$B$10001,MATCH(6036,'Email Cleaner'!$I$2:$I$10001,0)),"")</f>
        <v/>
      </c>
    </row>
    <row r="6038">
      <c r="A6038">
        <f>IFERROR(INDEX('Email Cleaner'!$B$2:$B$10001,MATCH(6037,'Email Cleaner'!$I$2:$I$10001,0)),"")</f>
        <v/>
      </c>
    </row>
    <row r="6039">
      <c r="A6039">
        <f>IFERROR(INDEX('Email Cleaner'!$B$2:$B$10001,MATCH(6038,'Email Cleaner'!$I$2:$I$10001,0)),"")</f>
        <v/>
      </c>
    </row>
    <row r="6040">
      <c r="A6040">
        <f>IFERROR(INDEX('Email Cleaner'!$B$2:$B$10001,MATCH(6039,'Email Cleaner'!$I$2:$I$10001,0)),"")</f>
        <v/>
      </c>
    </row>
    <row r="6041">
      <c r="A6041">
        <f>IFERROR(INDEX('Email Cleaner'!$B$2:$B$10001,MATCH(6040,'Email Cleaner'!$I$2:$I$10001,0)),"")</f>
        <v/>
      </c>
    </row>
    <row r="6042">
      <c r="A6042">
        <f>IFERROR(INDEX('Email Cleaner'!$B$2:$B$10001,MATCH(6041,'Email Cleaner'!$I$2:$I$10001,0)),"")</f>
        <v/>
      </c>
    </row>
    <row r="6043">
      <c r="A6043">
        <f>IFERROR(INDEX('Email Cleaner'!$B$2:$B$10001,MATCH(6042,'Email Cleaner'!$I$2:$I$10001,0)),"")</f>
        <v/>
      </c>
    </row>
    <row r="6044">
      <c r="A6044">
        <f>IFERROR(INDEX('Email Cleaner'!$B$2:$B$10001,MATCH(6043,'Email Cleaner'!$I$2:$I$10001,0)),"")</f>
        <v/>
      </c>
    </row>
    <row r="6045">
      <c r="A6045">
        <f>IFERROR(INDEX('Email Cleaner'!$B$2:$B$10001,MATCH(6044,'Email Cleaner'!$I$2:$I$10001,0)),"")</f>
        <v/>
      </c>
    </row>
    <row r="6046">
      <c r="A6046">
        <f>IFERROR(INDEX('Email Cleaner'!$B$2:$B$10001,MATCH(6045,'Email Cleaner'!$I$2:$I$10001,0)),"")</f>
        <v/>
      </c>
    </row>
    <row r="6047">
      <c r="A6047">
        <f>IFERROR(INDEX('Email Cleaner'!$B$2:$B$10001,MATCH(6046,'Email Cleaner'!$I$2:$I$10001,0)),"")</f>
        <v/>
      </c>
    </row>
    <row r="6048">
      <c r="A6048">
        <f>IFERROR(INDEX('Email Cleaner'!$B$2:$B$10001,MATCH(6047,'Email Cleaner'!$I$2:$I$10001,0)),"")</f>
        <v/>
      </c>
    </row>
    <row r="6049">
      <c r="A6049">
        <f>IFERROR(INDEX('Email Cleaner'!$B$2:$B$10001,MATCH(6048,'Email Cleaner'!$I$2:$I$10001,0)),"")</f>
        <v/>
      </c>
    </row>
    <row r="6050">
      <c r="A6050">
        <f>IFERROR(INDEX('Email Cleaner'!$B$2:$B$10001,MATCH(6049,'Email Cleaner'!$I$2:$I$10001,0)),"")</f>
        <v/>
      </c>
    </row>
    <row r="6051">
      <c r="A6051">
        <f>IFERROR(INDEX('Email Cleaner'!$B$2:$B$10001,MATCH(6050,'Email Cleaner'!$I$2:$I$10001,0)),"")</f>
        <v/>
      </c>
    </row>
    <row r="6052">
      <c r="A6052">
        <f>IFERROR(INDEX('Email Cleaner'!$B$2:$B$10001,MATCH(6051,'Email Cleaner'!$I$2:$I$10001,0)),"")</f>
        <v/>
      </c>
    </row>
    <row r="6053">
      <c r="A6053">
        <f>IFERROR(INDEX('Email Cleaner'!$B$2:$B$10001,MATCH(6052,'Email Cleaner'!$I$2:$I$10001,0)),"")</f>
        <v/>
      </c>
    </row>
    <row r="6054">
      <c r="A6054">
        <f>IFERROR(INDEX('Email Cleaner'!$B$2:$B$10001,MATCH(6053,'Email Cleaner'!$I$2:$I$10001,0)),"")</f>
        <v/>
      </c>
    </row>
    <row r="6055">
      <c r="A6055">
        <f>IFERROR(INDEX('Email Cleaner'!$B$2:$B$10001,MATCH(6054,'Email Cleaner'!$I$2:$I$10001,0)),"")</f>
        <v/>
      </c>
    </row>
    <row r="6056">
      <c r="A6056">
        <f>IFERROR(INDEX('Email Cleaner'!$B$2:$B$10001,MATCH(6055,'Email Cleaner'!$I$2:$I$10001,0)),"")</f>
        <v/>
      </c>
    </row>
    <row r="6057">
      <c r="A6057">
        <f>IFERROR(INDEX('Email Cleaner'!$B$2:$B$10001,MATCH(6056,'Email Cleaner'!$I$2:$I$10001,0)),"")</f>
        <v/>
      </c>
    </row>
    <row r="6058">
      <c r="A6058">
        <f>IFERROR(INDEX('Email Cleaner'!$B$2:$B$10001,MATCH(6057,'Email Cleaner'!$I$2:$I$10001,0)),"")</f>
        <v/>
      </c>
    </row>
    <row r="6059">
      <c r="A6059">
        <f>IFERROR(INDEX('Email Cleaner'!$B$2:$B$10001,MATCH(6058,'Email Cleaner'!$I$2:$I$10001,0)),"")</f>
        <v/>
      </c>
    </row>
    <row r="6060">
      <c r="A6060">
        <f>IFERROR(INDEX('Email Cleaner'!$B$2:$B$10001,MATCH(6059,'Email Cleaner'!$I$2:$I$10001,0)),"")</f>
        <v/>
      </c>
    </row>
    <row r="6061">
      <c r="A6061">
        <f>IFERROR(INDEX('Email Cleaner'!$B$2:$B$10001,MATCH(6060,'Email Cleaner'!$I$2:$I$10001,0)),"")</f>
        <v/>
      </c>
    </row>
    <row r="6062">
      <c r="A6062">
        <f>IFERROR(INDEX('Email Cleaner'!$B$2:$B$10001,MATCH(6061,'Email Cleaner'!$I$2:$I$10001,0)),"")</f>
        <v/>
      </c>
    </row>
    <row r="6063">
      <c r="A6063">
        <f>IFERROR(INDEX('Email Cleaner'!$B$2:$B$10001,MATCH(6062,'Email Cleaner'!$I$2:$I$10001,0)),"")</f>
        <v/>
      </c>
    </row>
    <row r="6064">
      <c r="A6064">
        <f>IFERROR(INDEX('Email Cleaner'!$B$2:$B$10001,MATCH(6063,'Email Cleaner'!$I$2:$I$10001,0)),"")</f>
        <v/>
      </c>
    </row>
    <row r="6065">
      <c r="A6065">
        <f>IFERROR(INDEX('Email Cleaner'!$B$2:$B$10001,MATCH(6064,'Email Cleaner'!$I$2:$I$10001,0)),"")</f>
        <v/>
      </c>
    </row>
    <row r="6066">
      <c r="A6066">
        <f>IFERROR(INDEX('Email Cleaner'!$B$2:$B$10001,MATCH(6065,'Email Cleaner'!$I$2:$I$10001,0)),"")</f>
        <v/>
      </c>
    </row>
    <row r="6067">
      <c r="A6067">
        <f>IFERROR(INDEX('Email Cleaner'!$B$2:$B$10001,MATCH(6066,'Email Cleaner'!$I$2:$I$10001,0)),"")</f>
        <v/>
      </c>
    </row>
    <row r="6068">
      <c r="A6068">
        <f>IFERROR(INDEX('Email Cleaner'!$B$2:$B$10001,MATCH(6067,'Email Cleaner'!$I$2:$I$10001,0)),"")</f>
        <v/>
      </c>
    </row>
    <row r="6069">
      <c r="A6069">
        <f>IFERROR(INDEX('Email Cleaner'!$B$2:$B$10001,MATCH(6068,'Email Cleaner'!$I$2:$I$10001,0)),"")</f>
        <v/>
      </c>
    </row>
    <row r="6070">
      <c r="A6070">
        <f>IFERROR(INDEX('Email Cleaner'!$B$2:$B$10001,MATCH(6069,'Email Cleaner'!$I$2:$I$10001,0)),"")</f>
        <v/>
      </c>
    </row>
    <row r="6071">
      <c r="A6071">
        <f>IFERROR(INDEX('Email Cleaner'!$B$2:$B$10001,MATCH(6070,'Email Cleaner'!$I$2:$I$10001,0)),"")</f>
        <v/>
      </c>
    </row>
    <row r="6072">
      <c r="A6072">
        <f>IFERROR(INDEX('Email Cleaner'!$B$2:$B$10001,MATCH(6071,'Email Cleaner'!$I$2:$I$10001,0)),"")</f>
        <v/>
      </c>
    </row>
    <row r="6073">
      <c r="A6073">
        <f>IFERROR(INDEX('Email Cleaner'!$B$2:$B$10001,MATCH(6072,'Email Cleaner'!$I$2:$I$10001,0)),"")</f>
        <v/>
      </c>
    </row>
    <row r="6074">
      <c r="A6074">
        <f>IFERROR(INDEX('Email Cleaner'!$B$2:$B$10001,MATCH(6073,'Email Cleaner'!$I$2:$I$10001,0)),"")</f>
        <v/>
      </c>
    </row>
    <row r="6075">
      <c r="A6075">
        <f>IFERROR(INDEX('Email Cleaner'!$B$2:$B$10001,MATCH(6074,'Email Cleaner'!$I$2:$I$10001,0)),"")</f>
        <v/>
      </c>
    </row>
    <row r="6076">
      <c r="A6076">
        <f>IFERROR(INDEX('Email Cleaner'!$B$2:$B$10001,MATCH(6075,'Email Cleaner'!$I$2:$I$10001,0)),"")</f>
        <v/>
      </c>
    </row>
    <row r="6077">
      <c r="A6077">
        <f>IFERROR(INDEX('Email Cleaner'!$B$2:$B$10001,MATCH(6076,'Email Cleaner'!$I$2:$I$10001,0)),"")</f>
        <v/>
      </c>
    </row>
    <row r="6078">
      <c r="A6078">
        <f>IFERROR(INDEX('Email Cleaner'!$B$2:$B$10001,MATCH(6077,'Email Cleaner'!$I$2:$I$10001,0)),"")</f>
        <v/>
      </c>
    </row>
    <row r="6079">
      <c r="A6079">
        <f>IFERROR(INDEX('Email Cleaner'!$B$2:$B$10001,MATCH(6078,'Email Cleaner'!$I$2:$I$10001,0)),"")</f>
        <v/>
      </c>
    </row>
    <row r="6080">
      <c r="A6080">
        <f>IFERROR(INDEX('Email Cleaner'!$B$2:$B$10001,MATCH(6079,'Email Cleaner'!$I$2:$I$10001,0)),"")</f>
        <v/>
      </c>
    </row>
    <row r="6081">
      <c r="A6081">
        <f>IFERROR(INDEX('Email Cleaner'!$B$2:$B$10001,MATCH(6080,'Email Cleaner'!$I$2:$I$10001,0)),"")</f>
        <v/>
      </c>
    </row>
    <row r="6082">
      <c r="A6082">
        <f>IFERROR(INDEX('Email Cleaner'!$B$2:$B$10001,MATCH(6081,'Email Cleaner'!$I$2:$I$10001,0)),"")</f>
        <v/>
      </c>
    </row>
    <row r="6083">
      <c r="A6083">
        <f>IFERROR(INDEX('Email Cleaner'!$B$2:$B$10001,MATCH(6082,'Email Cleaner'!$I$2:$I$10001,0)),"")</f>
        <v/>
      </c>
    </row>
    <row r="6084">
      <c r="A6084">
        <f>IFERROR(INDEX('Email Cleaner'!$B$2:$B$10001,MATCH(6083,'Email Cleaner'!$I$2:$I$10001,0)),"")</f>
        <v/>
      </c>
    </row>
    <row r="6085">
      <c r="A6085">
        <f>IFERROR(INDEX('Email Cleaner'!$B$2:$B$10001,MATCH(6084,'Email Cleaner'!$I$2:$I$10001,0)),"")</f>
        <v/>
      </c>
    </row>
    <row r="6086">
      <c r="A6086">
        <f>IFERROR(INDEX('Email Cleaner'!$B$2:$B$10001,MATCH(6085,'Email Cleaner'!$I$2:$I$10001,0)),"")</f>
        <v/>
      </c>
    </row>
    <row r="6087">
      <c r="A6087">
        <f>IFERROR(INDEX('Email Cleaner'!$B$2:$B$10001,MATCH(6086,'Email Cleaner'!$I$2:$I$10001,0)),"")</f>
        <v/>
      </c>
    </row>
    <row r="6088">
      <c r="A6088">
        <f>IFERROR(INDEX('Email Cleaner'!$B$2:$B$10001,MATCH(6087,'Email Cleaner'!$I$2:$I$10001,0)),"")</f>
        <v/>
      </c>
    </row>
    <row r="6089">
      <c r="A6089">
        <f>IFERROR(INDEX('Email Cleaner'!$B$2:$B$10001,MATCH(6088,'Email Cleaner'!$I$2:$I$10001,0)),"")</f>
        <v/>
      </c>
    </row>
    <row r="6090">
      <c r="A6090">
        <f>IFERROR(INDEX('Email Cleaner'!$B$2:$B$10001,MATCH(6089,'Email Cleaner'!$I$2:$I$10001,0)),"")</f>
        <v/>
      </c>
    </row>
    <row r="6091">
      <c r="A6091">
        <f>IFERROR(INDEX('Email Cleaner'!$B$2:$B$10001,MATCH(6090,'Email Cleaner'!$I$2:$I$10001,0)),"")</f>
        <v/>
      </c>
    </row>
    <row r="6092">
      <c r="A6092">
        <f>IFERROR(INDEX('Email Cleaner'!$B$2:$B$10001,MATCH(6091,'Email Cleaner'!$I$2:$I$10001,0)),"")</f>
        <v/>
      </c>
    </row>
    <row r="6093">
      <c r="A6093">
        <f>IFERROR(INDEX('Email Cleaner'!$B$2:$B$10001,MATCH(6092,'Email Cleaner'!$I$2:$I$10001,0)),"")</f>
        <v/>
      </c>
    </row>
    <row r="6094">
      <c r="A6094">
        <f>IFERROR(INDEX('Email Cleaner'!$B$2:$B$10001,MATCH(6093,'Email Cleaner'!$I$2:$I$10001,0)),"")</f>
        <v/>
      </c>
    </row>
    <row r="6095">
      <c r="A6095">
        <f>IFERROR(INDEX('Email Cleaner'!$B$2:$B$10001,MATCH(6094,'Email Cleaner'!$I$2:$I$10001,0)),"")</f>
        <v/>
      </c>
    </row>
    <row r="6096">
      <c r="A6096">
        <f>IFERROR(INDEX('Email Cleaner'!$B$2:$B$10001,MATCH(6095,'Email Cleaner'!$I$2:$I$10001,0)),"")</f>
        <v/>
      </c>
    </row>
    <row r="6097">
      <c r="A6097">
        <f>IFERROR(INDEX('Email Cleaner'!$B$2:$B$10001,MATCH(6096,'Email Cleaner'!$I$2:$I$10001,0)),"")</f>
        <v/>
      </c>
    </row>
    <row r="6098">
      <c r="A6098">
        <f>IFERROR(INDEX('Email Cleaner'!$B$2:$B$10001,MATCH(6097,'Email Cleaner'!$I$2:$I$10001,0)),"")</f>
        <v/>
      </c>
    </row>
    <row r="6099">
      <c r="A6099">
        <f>IFERROR(INDEX('Email Cleaner'!$B$2:$B$10001,MATCH(6098,'Email Cleaner'!$I$2:$I$10001,0)),"")</f>
        <v/>
      </c>
    </row>
    <row r="6100">
      <c r="A6100">
        <f>IFERROR(INDEX('Email Cleaner'!$B$2:$B$10001,MATCH(6099,'Email Cleaner'!$I$2:$I$10001,0)),"")</f>
        <v/>
      </c>
    </row>
    <row r="6101">
      <c r="A6101">
        <f>IFERROR(INDEX('Email Cleaner'!$B$2:$B$10001,MATCH(6100,'Email Cleaner'!$I$2:$I$10001,0)),"")</f>
        <v/>
      </c>
    </row>
    <row r="6102">
      <c r="A6102">
        <f>IFERROR(INDEX('Email Cleaner'!$B$2:$B$10001,MATCH(6101,'Email Cleaner'!$I$2:$I$10001,0)),"")</f>
        <v/>
      </c>
    </row>
    <row r="6103">
      <c r="A6103">
        <f>IFERROR(INDEX('Email Cleaner'!$B$2:$B$10001,MATCH(6102,'Email Cleaner'!$I$2:$I$10001,0)),"")</f>
        <v/>
      </c>
    </row>
    <row r="6104">
      <c r="A6104">
        <f>IFERROR(INDEX('Email Cleaner'!$B$2:$B$10001,MATCH(6103,'Email Cleaner'!$I$2:$I$10001,0)),"")</f>
        <v/>
      </c>
    </row>
    <row r="6105">
      <c r="A6105">
        <f>IFERROR(INDEX('Email Cleaner'!$B$2:$B$10001,MATCH(6104,'Email Cleaner'!$I$2:$I$10001,0)),"")</f>
        <v/>
      </c>
    </row>
    <row r="6106">
      <c r="A6106">
        <f>IFERROR(INDEX('Email Cleaner'!$B$2:$B$10001,MATCH(6105,'Email Cleaner'!$I$2:$I$10001,0)),"")</f>
        <v/>
      </c>
    </row>
    <row r="6107">
      <c r="A6107">
        <f>IFERROR(INDEX('Email Cleaner'!$B$2:$B$10001,MATCH(6106,'Email Cleaner'!$I$2:$I$10001,0)),"")</f>
        <v/>
      </c>
    </row>
    <row r="6108">
      <c r="A6108">
        <f>IFERROR(INDEX('Email Cleaner'!$B$2:$B$10001,MATCH(6107,'Email Cleaner'!$I$2:$I$10001,0)),"")</f>
        <v/>
      </c>
    </row>
    <row r="6109">
      <c r="A6109">
        <f>IFERROR(INDEX('Email Cleaner'!$B$2:$B$10001,MATCH(6108,'Email Cleaner'!$I$2:$I$10001,0)),"")</f>
        <v/>
      </c>
    </row>
    <row r="6110">
      <c r="A6110">
        <f>IFERROR(INDEX('Email Cleaner'!$B$2:$B$10001,MATCH(6109,'Email Cleaner'!$I$2:$I$10001,0)),"")</f>
        <v/>
      </c>
    </row>
    <row r="6111">
      <c r="A6111">
        <f>IFERROR(INDEX('Email Cleaner'!$B$2:$B$10001,MATCH(6110,'Email Cleaner'!$I$2:$I$10001,0)),"")</f>
        <v/>
      </c>
    </row>
    <row r="6112">
      <c r="A6112">
        <f>IFERROR(INDEX('Email Cleaner'!$B$2:$B$10001,MATCH(6111,'Email Cleaner'!$I$2:$I$10001,0)),"")</f>
        <v/>
      </c>
    </row>
    <row r="6113">
      <c r="A6113">
        <f>IFERROR(INDEX('Email Cleaner'!$B$2:$B$10001,MATCH(6112,'Email Cleaner'!$I$2:$I$10001,0)),"")</f>
        <v/>
      </c>
    </row>
    <row r="6114">
      <c r="A6114">
        <f>IFERROR(INDEX('Email Cleaner'!$B$2:$B$10001,MATCH(6113,'Email Cleaner'!$I$2:$I$10001,0)),"")</f>
        <v/>
      </c>
    </row>
    <row r="6115">
      <c r="A6115">
        <f>IFERROR(INDEX('Email Cleaner'!$B$2:$B$10001,MATCH(6114,'Email Cleaner'!$I$2:$I$10001,0)),"")</f>
        <v/>
      </c>
    </row>
    <row r="6116">
      <c r="A6116">
        <f>IFERROR(INDEX('Email Cleaner'!$B$2:$B$10001,MATCH(6115,'Email Cleaner'!$I$2:$I$10001,0)),"")</f>
        <v/>
      </c>
    </row>
    <row r="6117">
      <c r="A6117">
        <f>IFERROR(INDEX('Email Cleaner'!$B$2:$B$10001,MATCH(6116,'Email Cleaner'!$I$2:$I$10001,0)),"")</f>
        <v/>
      </c>
    </row>
    <row r="6118">
      <c r="A6118">
        <f>IFERROR(INDEX('Email Cleaner'!$B$2:$B$10001,MATCH(6117,'Email Cleaner'!$I$2:$I$10001,0)),"")</f>
        <v/>
      </c>
    </row>
    <row r="6119">
      <c r="A6119">
        <f>IFERROR(INDEX('Email Cleaner'!$B$2:$B$10001,MATCH(6118,'Email Cleaner'!$I$2:$I$10001,0)),"")</f>
        <v/>
      </c>
    </row>
    <row r="6120">
      <c r="A6120">
        <f>IFERROR(INDEX('Email Cleaner'!$B$2:$B$10001,MATCH(6119,'Email Cleaner'!$I$2:$I$10001,0)),"")</f>
        <v/>
      </c>
    </row>
    <row r="6121">
      <c r="A6121">
        <f>IFERROR(INDEX('Email Cleaner'!$B$2:$B$10001,MATCH(6120,'Email Cleaner'!$I$2:$I$10001,0)),"")</f>
        <v/>
      </c>
    </row>
    <row r="6122">
      <c r="A6122">
        <f>IFERROR(INDEX('Email Cleaner'!$B$2:$B$10001,MATCH(6121,'Email Cleaner'!$I$2:$I$10001,0)),"")</f>
        <v/>
      </c>
    </row>
    <row r="6123">
      <c r="A6123">
        <f>IFERROR(INDEX('Email Cleaner'!$B$2:$B$10001,MATCH(6122,'Email Cleaner'!$I$2:$I$10001,0)),"")</f>
        <v/>
      </c>
    </row>
    <row r="6124">
      <c r="A6124">
        <f>IFERROR(INDEX('Email Cleaner'!$B$2:$B$10001,MATCH(6123,'Email Cleaner'!$I$2:$I$10001,0)),"")</f>
        <v/>
      </c>
    </row>
    <row r="6125">
      <c r="A6125">
        <f>IFERROR(INDEX('Email Cleaner'!$B$2:$B$10001,MATCH(6124,'Email Cleaner'!$I$2:$I$10001,0)),"")</f>
        <v/>
      </c>
    </row>
    <row r="6126">
      <c r="A6126">
        <f>IFERROR(INDEX('Email Cleaner'!$B$2:$B$10001,MATCH(6125,'Email Cleaner'!$I$2:$I$10001,0)),"")</f>
        <v/>
      </c>
    </row>
    <row r="6127">
      <c r="A6127">
        <f>IFERROR(INDEX('Email Cleaner'!$B$2:$B$10001,MATCH(6126,'Email Cleaner'!$I$2:$I$10001,0)),"")</f>
        <v/>
      </c>
    </row>
    <row r="6128">
      <c r="A6128">
        <f>IFERROR(INDEX('Email Cleaner'!$B$2:$B$10001,MATCH(6127,'Email Cleaner'!$I$2:$I$10001,0)),"")</f>
        <v/>
      </c>
    </row>
    <row r="6129">
      <c r="A6129">
        <f>IFERROR(INDEX('Email Cleaner'!$B$2:$B$10001,MATCH(6128,'Email Cleaner'!$I$2:$I$10001,0)),"")</f>
        <v/>
      </c>
    </row>
    <row r="6130">
      <c r="A6130">
        <f>IFERROR(INDEX('Email Cleaner'!$B$2:$B$10001,MATCH(6129,'Email Cleaner'!$I$2:$I$10001,0)),"")</f>
        <v/>
      </c>
    </row>
    <row r="6131">
      <c r="A6131">
        <f>IFERROR(INDEX('Email Cleaner'!$B$2:$B$10001,MATCH(6130,'Email Cleaner'!$I$2:$I$10001,0)),"")</f>
        <v/>
      </c>
    </row>
    <row r="6132">
      <c r="A6132">
        <f>IFERROR(INDEX('Email Cleaner'!$B$2:$B$10001,MATCH(6131,'Email Cleaner'!$I$2:$I$10001,0)),"")</f>
        <v/>
      </c>
    </row>
    <row r="6133">
      <c r="A6133">
        <f>IFERROR(INDEX('Email Cleaner'!$B$2:$B$10001,MATCH(6132,'Email Cleaner'!$I$2:$I$10001,0)),"")</f>
        <v/>
      </c>
    </row>
    <row r="6134">
      <c r="A6134">
        <f>IFERROR(INDEX('Email Cleaner'!$B$2:$B$10001,MATCH(6133,'Email Cleaner'!$I$2:$I$10001,0)),"")</f>
        <v/>
      </c>
    </row>
    <row r="6135">
      <c r="A6135">
        <f>IFERROR(INDEX('Email Cleaner'!$B$2:$B$10001,MATCH(6134,'Email Cleaner'!$I$2:$I$10001,0)),"")</f>
        <v/>
      </c>
    </row>
    <row r="6136">
      <c r="A6136">
        <f>IFERROR(INDEX('Email Cleaner'!$B$2:$B$10001,MATCH(6135,'Email Cleaner'!$I$2:$I$10001,0)),"")</f>
        <v/>
      </c>
    </row>
    <row r="6137">
      <c r="A6137">
        <f>IFERROR(INDEX('Email Cleaner'!$B$2:$B$10001,MATCH(6136,'Email Cleaner'!$I$2:$I$10001,0)),"")</f>
        <v/>
      </c>
    </row>
    <row r="6138">
      <c r="A6138">
        <f>IFERROR(INDEX('Email Cleaner'!$B$2:$B$10001,MATCH(6137,'Email Cleaner'!$I$2:$I$10001,0)),"")</f>
        <v/>
      </c>
    </row>
    <row r="6139">
      <c r="A6139">
        <f>IFERROR(INDEX('Email Cleaner'!$B$2:$B$10001,MATCH(6138,'Email Cleaner'!$I$2:$I$10001,0)),"")</f>
        <v/>
      </c>
    </row>
    <row r="6140">
      <c r="A6140">
        <f>IFERROR(INDEX('Email Cleaner'!$B$2:$B$10001,MATCH(6139,'Email Cleaner'!$I$2:$I$10001,0)),"")</f>
        <v/>
      </c>
    </row>
    <row r="6141">
      <c r="A6141">
        <f>IFERROR(INDEX('Email Cleaner'!$B$2:$B$10001,MATCH(6140,'Email Cleaner'!$I$2:$I$10001,0)),"")</f>
        <v/>
      </c>
    </row>
    <row r="6142">
      <c r="A6142">
        <f>IFERROR(INDEX('Email Cleaner'!$B$2:$B$10001,MATCH(6141,'Email Cleaner'!$I$2:$I$10001,0)),"")</f>
        <v/>
      </c>
    </row>
    <row r="6143">
      <c r="A6143">
        <f>IFERROR(INDEX('Email Cleaner'!$B$2:$B$10001,MATCH(6142,'Email Cleaner'!$I$2:$I$10001,0)),"")</f>
        <v/>
      </c>
    </row>
    <row r="6144">
      <c r="A6144">
        <f>IFERROR(INDEX('Email Cleaner'!$B$2:$B$10001,MATCH(6143,'Email Cleaner'!$I$2:$I$10001,0)),"")</f>
        <v/>
      </c>
    </row>
    <row r="6145">
      <c r="A6145">
        <f>IFERROR(INDEX('Email Cleaner'!$B$2:$B$10001,MATCH(6144,'Email Cleaner'!$I$2:$I$10001,0)),"")</f>
        <v/>
      </c>
    </row>
    <row r="6146">
      <c r="A6146">
        <f>IFERROR(INDEX('Email Cleaner'!$B$2:$B$10001,MATCH(6145,'Email Cleaner'!$I$2:$I$10001,0)),"")</f>
        <v/>
      </c>
    </row>
    <row r="6147">
      <c r="A6147">
        <f>IFERROR(INDEX('Email Cleaner'!$B$2:$B$10001,MATCH(6146,'Email Cleaner'!$I$2:$I$10001,0)),"")</f>
        <v/>
      </c>
    </row>
    <row r="6148">
      <c r="A6148">
        <f>IFERROR(INDEX('Email Cleaner'!$B$2:$B$10001,MATCH(6147,'Email Cleaner'!$I$2:$I$10001,0)),"")</f>
        <v/>
      </c>
    </row>
    <row r="6149">
      <c r="A6149">
        <f>IFERROR(INDEX('Email Cleaner'!$B$2:$B$10001,MATCH(6148,'Email Cleaner'!$I$2:$I$10001,0)),"")</f>
        <v/>
      </c>
    </row>
    <row r="6150">
      <c r="A6150">
        <f>IFERROR(INDEX('Email Cleaner'!$B$2:$B$10001,MATCH(6149,'Email Cleaner'!$I$2:$I$10001,0)),"")</f>
        <v/>
      </c>
    </row>
    <row r="6151">
      <c r="A6151">
        <f>IFERROR(INDEX('Email Cleaner'!$B$2:$B$10001,MATCH(6150,'Email Cleaner'!$I$2:$I$10001,0)),"")</f>
        <v/>
      </c>
    </row>
    <row r="6152">
      <c r="A6152">
        <f>IFERROR(INDEX('Email Cleaner'!$B$2:$B$10001,MATCH(6151,'Email Cleaner'!$I$2:$I$10001,0)),"")</f>
        <v/>
      </c>
    </row>
    <row r="6153">
      <c r="A6153">
        <f>IFERROR(INDEX('Email Cleaner'!$B$2:$B$10001,MATCH(6152,'Email Cleaner'!$I$2:$I$10001,0)),"")</f>
        <v/>
      </c>
    </row>
    <row r="6154">
      <c r="A6154">
        <f>IFERROR(INDEX('Email Cleaner'!$B$2:$B$10001,MATCH(6153,'Email Cleaner'!$I$2:$I$10001,0)),"")</f>
        <v/>
      </c>
    </row>
    <row r="6155">
      <c r="A6155">
        <f>IFERROR(INDEX('Email Cleaner'!$B$2:$B$10001,MATCH(6154,'Email Cleaner'!$I$2:$I$10001,0)),"")</f>
        <v/>
      </c>
    </row>
    <row r="6156">
      <c r="A6156">
        <f>IFERROR(INDEX('Email Cleaner'!$B$2:$B$10001,MATCH(6155,'Email Cleaner'!$I$2:$I$10001,0)),"")</f>
        <v/>
      </c>
    </row>
    <row r="6157">
      <c r="A6157">
        <f>IFERROR(INDEX('Email Cleaner'!$B$2:$B$10001,MATCH(6156,'Email Cleaner'!$I$2:$I$10001,0)),"")</f>
        <v/>
      </c>
    </row>
    <row r="6158">
      <c r="A6158">
        <f>IFERROR(INDEX('Email Cleaner'!$B$2:$B$10001,MATCH(6157,'Email Cleaner'!$I$2:$I$10001,0)),"")</f>
        <v/>
      </c>
    </row>
    <row r="6159">
      <c r="A6159">
        <f>IFERROR(INDEX('Email Cleaner'!$B$2:$B$10001,MATCH(6158,'Email Cleaner'!$I$2:$I$10001,0)),"")</f>
        <v/>
      </c>
    </row>
    <row r="6160">
      <c r="A6160">
        <f>IFERROR(INDEX('Email Cleaner'!$B$2:$B$10001,MATCH(6159,'Email Cleaner'!$I$2:$I$10001,0)),"")</f>
        <v/>
      </c>
    </row>
    <row r="6161">
      <c r="A6161">
        <f>IFERROR(INDEX('Email Cleaner'!$B$2:$B$10001,MATCH(6160,'Email Cleaner'!$I$2:$I$10001,0)),"")</f>
        <v/>
      </c>
    </row>
    <row r="6162">
      <c r="A6162">
        <f>IFERROR(INDEX('Email Cleaner'!$B$2:$B$10001,MATCH(6161,'Email Cleaner'!$I$2:$I$10001,0)),"")</f>
        <v/>
      </c>
    </row>
    <row r="6163">
      <c r="A6163">
        <f>IFERROR(INDEX('Email Cleaner'!$B$2:$B$10001,MATCH(6162,'Email Cleaner'!$I$2:$I$10001,0)),"")</f>
        <v/>
      </c>
    </row>
    <row r="6164">
      <c r="A6164">
        <f>IFERROR(INDEX('Email Cleaner'!$B$2:$B$10001,MATCH(6163,'Email Cleaner'!$I$2:$I$10001,0)),"")</f>
        <v/>
      </c>
    </row>
    <row r="6165">
      <c r="A6165">
        <f>IFERROR(INDEX('Email Cleaner'!$B$2:$B$10001,MATCH(6164,'Email Cleaner'!$I$2:$I$10001,0)),"")</f>
        <v/>
      </c>
    </row>
    <row r="6166">
      <c r="A6166">
        <f>IFERROR(INDEX('Email Cleaner'!$B$2:$B$10001,MATCH(6165,'Email Cleaner'!$I$2:$I$10001,0)),"")</f>
        <v/>
      </c>
    </row>
    <row r="6167">
      <c r="A6167">
        <f>IFERROR(INDEX('Email Cleaner'!$B$2:$B$10001,MATCH(6166,'Email Cleaner'!$I$2:$I$10001,0)),"")</f>
        <v/>
      </c>
    </row>
    <row r="6168">
      <c r="A6168">
        <f>IFERROR(INDEX('Email Cleaner'!$B$2:$B$10001,MATCH(6167,'Email Cleaner'!$I$2:$I$10001,0)),"")</f>
        <v/>
      </c>
    </row>
    <row r="6169">
      <c r="A6169">
        <f>IFERROR(INDEX('Email Cleaner'!$B$2:$B$10001,MATCH(6168,'Email Cleaner'!$I$2:$I$10001,0)),"")</f>
        <v/>
      </c>
    </row>
    <row r="6170">
      <c r="A6170">
        <f>IFERROR(INDEX('Email Cleaner'!$B$2:$B$10001,MATCH(6169,'Email Cleaner'!$I$2:$I$10001,0)),"")</f>
        <v/>
      </c>
    </row>
    <row r="6171">
      <c r="A6171">
        <f>IFERROR(INDEX('Email Cleaner'!$B$2:$B$10001,MATCH(6170,'Email Cleaner'!$I$2:$I$10001,0)),"")</f>
        <v/>
      </c>
    </row>
    <row r="6172">
      <c r="A6172">
        <f>IFERROR(INDEX('Email Cleaner'!$B$2:$B$10001,MATCH(6171,'Email Cleaner'!$I$2:$I$10001,0)),"")</f>
        <v/>
      </c>
    </row>
    <row r="6173">
      <c r="A6173">
        <f>IFERROR(INDEX('Email Cleaner'!$B$2:$B$10001,MATCH(6172,'Email Cleaner'!$I$2:$I$10001,0)),"")</f>
        <v/>
      </c>
    </row>
    <row r="6174">
      <c r="A6174">
        <f>IFERROR(INDEX('Email Cleaner'!$B$2:$B$10001,MATCH(6173,'Email Cleaner'!$I$2:$I$10001,0)),"")</f>
        <v/>
      </c>
    </row>
    <row r="6175">
      <c r="A6175">
        <f>IFERROR(INDEX('Email Cleaner'!$B$2:$B$10001,MATCH(6174,'Email Cleaner'!$I$2:$I$10001,0)),"")</f>
        <v/>
      </c>
    </row>
    <row r="6176">
      <c r="A6176">
        <f>IFERROR(INDEX('Email Cleaner'!$B$2:$B$10001,MATCH(6175,'Email Cleaner'!$I$2:$I$10001,0)),"")</f>
        <v/>
      </c>
    </row>
    <row r="6177">
      <c r="A6177">
        <f>IFERROR(INDEX('Email Cleaner'!$B$2:$B$10001,MATCH(6176,'Email Cleaner'!$I$2:$I$10001,0)),"")</f>
        <v/>
      </c>
    </row>
    <row r="6178">
      <c r="A6178">
        <f>IFERROR(INDEX('Email Cleaner'!$B$2:$B$10001,MATCH(6177,'Email Cleaner'!$I$2:$I$10001,0)),"")</f>
        <v/>
      </c>
    </row>
    <row r="6179">
      <c r="A6179">
        <f>IFERROR(INDEX('Email Cleaner'!$B$2:$B$10001,MATCH(6178,'Email Cleaner'!$I$2:$I$10001,0)),"")</f>
        <v/>
      </c>
    </row>
    <row r="6180">
      <c r="A6180">
        <f>IFERROR(INDEX('Email Cleaner'!$B$2:$B$10001,MATCH(6179,'Email Cleaner'!$I$2:$I$10001,0)),"")</f>
        <v/>
      </c>
    </row>
    <row r="6181">
      <c r="A6181">
        <f>IFERROR(INDEX('Email Cleaner'!$B$2:$B$10001,MATCH(6180,'Email Cleaner'!$I$2:$I$10001,0)),"")</f>
        <v/>
      </c>
    </row>
    <row r="6182">
      <c r="A6182">
        <f>IFERROR(INDEX('Email Cleaner'!$B$2:$B$10001,MATCH(6181,'Email Cleaner'!$I$2:$I$10001,0)),"")</f>
        <v/>
      </c>
    </row>
    <row r="6183">
      <c r="A6183">
        <f>IFERROR(INDEX('Email Cleaner'!$B$2:$B$10001,MATCH(6182,'Email Cleaner'!$I$2:$I$10001,0)),"")</f>
        <v/>
      </c>
    </row>
    <row r="6184">
      <c r="A6184">
        <f>IFERROR(INDEX('Email Cleaner'!$B$2:$B$10001,MATCH(6183,'Email Cleaner'!$I$2:$I$10001,0)),"")</f>
        <v/>
      </c>
    </row>
    <row r="6185">
      <c r="A6185">
        <f>IFERROR(INDEX('Email Cleaner'!$B$2:$B$10001,MATCH(6184,'Email Cleaner'!$I$2:$I$10001,0)),"")</f>
        <v/>
      </c>
    </row>
    <row r="6186">
      <c r="A6186">
        <f>IFERROR(INDEX('Email Cleaner'!$B$2:$B$10001,MATCH(6185,'Email Cleaner'!$I$2:$I$10001,0)),"")</f>
        <v/>
      </c>
    </row>
    <row r="6187">
      <c r="A6187">
        <f>IFERROR(INDEX('Email Cleaner'!$B$2:$B$10001,MATCH(6186,'Email Cleaner'!$I$2:$I$10001,0)),"")</f>
        <v/>
      </c>
    </row>
    <row r="6188">
      <c r="A6188">
        <f>IFERROR(INDEX('Email Cleaner'!$B$2:$B$10001,MATCH(6187,'Email Cleaner'!$I$2:$I$10001,0)),"")</f>
        <v/>
      </c>
    </row>
    <row r="6189">
      <c r="A6189">
        <f>IFERROR(INDEX('Email Cleaner'!$B$2:$B$10001,MATCH(6188,'Email Cleaner'!$I$2:$I$10001,0)),"")</f>
        <v/>
      </c>
    </row>
    <row r="6190">
      <c r="A6190">
        <f>IFERROR(INDEX('Email Cleaner'!$B$2:$B$10001,MATCH(6189,'Email Cleaner'!$I$2:$I$10001,0)),"")</f>
        <v/>
      </c>
    </row>
    <row r="6191">
      <c r="A6191">
        <f>IFERROR(INDEX('Email Cleaner'!$B$2:$B$10001,MATCH(6190,'Email Cleaner'!$I$2:$I$10001,0)),"")</f>
        <v/>
      </c>
    </row>
    <row r="6192">
      <c r="A6192">
        <f>IFERROR(INDEX('Email Cleaner'!$B$2:$B$10001,MATCH(6191,'Email Cleaner'!$I$2:$I$10001,0)),"")</f>
        <v/>
      </c>
    </row>
    <row r="6193">
      <c r="A6193">
        <f>IFERROR(INDEX('Email Cleaner'!$B$2:$B$10001,MATCH(6192,'Email Cleaner'!$I$2:$I$10001,0)),"")</f>
        <v/>
      </c>
    </row>
    <row r="6194">
      <c r="A6194">
        <f>IFERROR(INDEX('Email Cleaner'!$B$2:$B$10001,MATCH(6193,'Email Cleaner'!$I$2:$I$10001,0)),"")</f>
        <v/>
      </c>
    </row>
    <row r="6195">
      <c r="A6195">
        <f>IFERROR(INDEX('Email Cleaner'!$B$2:$B$10001,MATCH(6194,'Email Cleaner'!$I$2:$I$10001,0)),"")</f>
        <v/>
      </c>
    </row>
    <row r="6196">
      <c r="A6196">
        <f>IFERROR(INDEX('Email Cleaner'!$B$2:$B$10001,MATCH(6195,'Email Cleaner'!$I$2:$I$10001,0)),"")</f>
        <v/>
      </c>
    </row>
    <row r="6197">
      <c r="A6197">
        <f>IFERROR(INDEX('Email Cleaner'!$B$2:$B$10001,MATCH(6196,'Email Cleaner'!$I$2:$I$10001,0)),"")</f>
        <v/>
      </c>
    </row>
    <row r="6198">
      <c r="A6198">
        <f>IFERROR(INDEX('Email Cleaner'!$B$2:$B$10001,MATCH(6197,'Email Cleaner'!$I$2:$I$10001,0)),"")</f>
        <v/>
      </c>
    </row>
    <row r="6199">
      <c r="A6199">
        <f>IFERROR(INDEX('Email Cleaner'!$B$2:$B$10001,MATCH(6198,'Email Cleaner'!$I$2:$I$10001,0)),"")</f>
        <v/>
      </c>
    </row>
    <row r="6200">
      <c r="A6200">
        <f>IFERROR(INDEX('Email Cleaner'!$B$2:$B$10001,MATCH(6199,'Email Cleaner'!$I$2:$I$10001,0)),"")</f>
        <v/>
      </c>
    </row>
    <row r="6201">
      <c r="A6201">
        <f>IFERROR(INDEX('Email Cleaner'!$B$2:$B$10001,MATCH(6200,'Email Cleaner'!$I$2:$I$10001,0)),"")</f>
        <v/>
      </c>
    </row>
    <row r="6202">
      <c r="A6202">
        <f>IFERROR(INDEX('Email Cleaner'!$B$2:$B$10001,MATCH(6201,'Email Cleaner'!$I$2:$I$10001,0)),"")</f>
        <v/>
      </c>
    </row>
    <row r="6203">
      <c r="A6203">
        <f>IFERROR(INDEX('Email Cleaner'!$B$2:$B$10001,MATCH(6202,'Email Cleaner'!$I$2:$I$10001,0)),"")</f>
        <v/>
      </c>
    </row>
    <row r="6204">
      <c r="A6204">
        <f>IFERROR(INDEX('Email Cleaner'!$B$2:$B$10001,MATCH(6203,'Email Cleaner'!$I$2:$I$10001,0)),"")</f>
        <v/>
      </c>
    </row>
    <row r="6205">
      <c r="A6205">
        <f>IFERROR(INDEX('Email Cleaner'!$B$2:$B$10001,MATCH(6204,'Email Cleaner'!$I$2:$I$10001,0)),"")</f>
        <v/>
      </c>
    </row>
    <row r="6206">
      <c r="A6206">
        <f>IFERROR(INDEX('Email Cleaner'!$B$2:$B$10001,MATCH(6205,'Email Cleaner'!$I$2:$I$10001,0)),"")</f>
        <v/>
      </c>
    </row>
    <row r="6207">
      <c r="A6207">
        <f>IFERROR(INDEX('Email Cleaner'!$B$2:$B$10001,MATCH(6206,'Email Cleaner'!$I$2:$I$10001,0)),"")</f>
        <v/>
      </c>
    </row>
    <row r="6208">
      <c r="A6208">
        <f>IFERROR(INDEX('Email Cleaner'!$B$2:$B$10001,MATCH(6207,'Email Cleaner'!$I$2:$I$10001,0)),"")</f>
        <v/>
      </c>
    </row>
    <row r="6209">
      <c r="A6209">
        <f>IFERROR(INDEX('Email Cleaner'!$B$2:$B$10001,MATCH(6208,'Email Cleaner'!$I$2:$I$10001,0)),"")</f>
        <v/>
      </c>
    </row>
    <row r="6210">
      <c r="A6210">
        <f>IFERROR(INDEX('Email Cleaner'!$B$2:$B$10001,MATCH(6209,'Email Cleaner'!$I$2:$I$10001,0)),"")</f>
        <v/>
      </c>
    </row>
    <row r="6211">
      <c r="A6211">
        <f>IFERROR(INDEX('Email Cleaner'!$B$2:$B$10001,MATCH(6210,'Email Cleaner'!$I$2:$I$10001,0)),"")</f>
        <v/>
      </c>
    </row>
    <row r="6212">
      <c r="A6212">
        <f>IFERROR(INDEX('Email Cleaner'!$B$2:$B$10001,MATCH(6211,'Email Cleaner'!$I$2:$I$10001,0)),"")</f>
        <v/>
      </c>
    </row>
    <row r="6213">
      <c r="A6213">
        <f>IFERROR(INDEX('Email Cleaner'!$B$2:$B$10001,MATCH(6212,'Email Cleaner'!$I$2:$I$10001,0)),"")</f>
        <v/>
      </c>
    </row>
    <row r="6214">
      <c r="A6214">
        <f>IFERROR(INDEX('Email Cleaner'!$B$2:$B$10001,MATCH(6213,'Email Cleaner'!$I$2:$I$10001,0)),"")</f>
        <v/>
      </c>
    </row>
    <row r="6215">
      <c r="A6215">
        <f>IFERROR(INDEX('Email Cleaner'!$B$2:$B$10001,MATCH(6214,'Email Cleaner'!$I$2:$I$10001,0)),"")</f>
        <v/>
      </c>
    </row>
    <row r="6216">
      <c r="A6216">
        <f>IFERROR(INDEX('Email Cleaner'!$B$2:$B$10001,MATCH(6215,'Email Cleaner'!$I$2:$I$10001,0)),"")</f>
        <v/>
      </c>
    </row>
    <row r="6217">
      <c r="A6217">
        <f>IFERROR(INDEX('Email Cleaner'!$B$2:$B$10001,MATCH(6216,'Email Cleaner'!$I$2:$I$10001,0)),"")</f>
        <v/>
      </c>
    </row>
    <row r="6218">
      <c r="A6218">
        <f>IFERROR(INDEX('Email Cleaner'!$B$2:$B$10001,MATCH(6217,'Email Cleaner'!$I$2:$I$10001,0)),"")</f>
        <v/>
      </c>
    </row>
    <row r="6219">
      <c r="A6219">
        <f>IFERROR(INDEX('Email Cleaner'!$B$2:$B$10001,MATCH(6218,'Email Cleaner'!$I$2:$I$10001,0)),"")</f>
        <v/>
      </c>
    </row>
    <row r="6220">
      <c r="A6220">
        <f>IFERROR(INDEX('Email Cleaner'!$B$2:$B$10001,MATCH(6219,'Email Cleaner'!$I$2:$I$10001,0)),"")</f>
        <v/>
      </c>
    </row>
    <row r="6221">
      <c r="A6221">
        <f>IFERROR(INDEX('Email Cleaner'!$B$2:$B$10001,MATCH(6220,'Email Cleaner'!$I$2:$I$10001,0)),"")</f>
        <v/>
      </c>
    </row>
    <row r="6222">
      <c r="A6222">
        <f>IFERROR(INDEX('Email Cleaner'!$B$2:$B$10001,MATCH(6221,'Email Cleaner'!$I$2:$I$10001,0)),"")</f>
        <v/>
      </c>
    </row>
    <row r="6223">
      <c r="A6223">
        <f>IFERROR(INDEX('Email Cleaner'!$B$2:$B$10001,MATCH(6222,'Email Cleaner'!$I$2:$I$10001,0)),"")</f>
        <v/>
      </c>
    </row>
    <row r="6224">
      <c r="A6224">
        <f>IFERROR(INDEX('Email Cleaner'!$B$2:$B$10001,MATCH(6223,'Email Cleaner'!$I$2:$I$10001,0)),"")</f>
        <v/>
      </c>
    </row>
    <row r="6225">
      <c r="A6225">
        <f>IFERROR(INDEX('Email Cleaner'!$B$2:$B$10001,MATCH(6224,'Email Cleaner'!$I$2:$I$10001,0)),"")</f>
        <v/>
      </c>
    </row>
    <row r="6226">
      <c r="A6226">
        <f>IFERROR(INDEX('Email Cleaner'!$B$2:$B$10001,MATCH(6225,'Email Cleaner'!$I$2:$I$10001,0)),"")</f>
        <v/>
      </c>
    </row>
    <row r="6227">
      <c r="A6227">
        <f>IFERROR(INDEX('Email Cleaner'!$B$2:$B$10001,MATCH(6226,'Email Cleaner'!$I$2:$I$10001,0)),"")</f>
        <v/>
      </c>
    </row>
    <row r="6228">
      <c r="A6228">
        <f>IFERROR(INDEX('Email Cleaner'!$B$2:$B$10001,MATCH(6227,'Email Cleaner'!$I$2:$I$10001,0)),"")</f>
        <v/>
      </c>
    </row>
    <row r="6229">
      <c r="A6229">
        <f>IFERROR(INDEX('Email Cleaner'!$B$2:$B$10001,MATCH(6228,'Email Cleaner'!$I$2:$I$10001,0)),"")</f>
        <v/>
      </c>
    </row>
    <row r="6230">
      <c r="A6230">
        <f>IFERROR(INDEX('Email Cleaner'!$B$2:$B$10001,MATCH(6229,'Email Cleaner'!$I$2:$I$10001,0)),"")</f>
        <v/>
      </c>
    </row>
    <row r="6231">
      <c r="A6231">
        <f>IFERROR(INDEX('Email Cleaner'!$B$2:$B$10001,MATCH(6230,'Email Cleaner'!$I$2:$I$10001,0)),"")</f>
        <v/>
      </c>
    </row>
    <row r="6232">
      <c r="A6232">
        <f>IFERROR(INDEX('Email Cleaner'!$B$2:$B$10001,MATCH(6231,'Email Cleaner'!$I$2:$I$10001,0)),"")</f>
        <v/>
      </c>
    </row>
    <row r="6233">
      <c r="A6233">
        <f>IFERROR(INDEX('Email Cleaner'!$B$2:$B$10001,MATCH(6232,'Email Cleaner'!$I$2:$I$10001,0)),"")</f>
        <v/>
      </c>
    </row>
    <row r="6234">
      <c r="A6234">
        <f>IFERROR(INDEX('Email Cleaner'!$B$2:$B$10001,MATCH(6233,'Email Cleaner'!$I$2:$I$10001,0)),"")</f>
        <v/>
      </c>
    </row>
    <row r="6235">
      <c r="A6235">
        <f>IFERROR(INDEX('Email Cleaner'!$B$2:$B$10001,MATCH(6234,'Email Cleaner'!$I$2:$I$10001,0)),"")</f>
        <v/>
      </c>
    </row>
    <row r="6236">
      <c r="A6236">
        <f>IFERROR(INDEX('Email Cleaner'!$B$2:$B$10001,MATCH(6235,'Email Cleaner'!$I$2:$I$10001,0)),"")</f>
        <v/>
      </c>
    </row>
    <row r="6237">
      <c r="A6237">
        <f>IFERROR(INDEX('Email Cleaner'!$B$2:$B$10001,MATCH(6236,'Email Cleaner'!$I$2:$I$10001,0)),"")</f>
        <v/>
      </c>
    </row>
    <row r="6238">
      <c r="A6238">
        <f>IFERROR(INDEX('Email Cleaner'!$B$2:$B$10001,MATCH(6237,'Email Cleaner'!$I$2:$I$10001,0)),"")</f>
        <v/>
      </c>
    </row>
    <row r="6239">
      <c r="A6239">
        <f>IFERROR(INDEX('Email Cleaner'!$B$2:$B$10001,MATCH(6238,'Email Cleaner'!$I$2:$I$10001,0)),"")</f>
        <v/>
      </c>
    </row>
    <row r="6240">
      <c r="A6240">
        <f>IFERROR(INDEX('Email Cleaner'!$B$2:$B$10001,MATCH(6239,'Email Cleaner'!$I$2:$I$10001,0)),"")</f>
        <v/>
      </c>
    </row>
    <row r="6241">
      <c r="A6241">
        <f>IFERROR(INDEX('Email Cleaner'!$B$2:$B$10001,MATCH(6240,'Email Cleaner'!$I$2:$I$10001,0)),"")</f>
        <v/>
      </c>
    </row>
    <row r="6242">
      <c r="A6242">
        <f>IFERROR(INDEX('Email Cleaner'!$B$2:$B$10001,MATCH(6241,'Email Cleaner'!$I$2:$I$10001,0)),"")</f>
        <v/>
      </c>
    </row>
    <row r="6243">
      <c r="A6243">
        <f>IFERROR(INDEX('Email Cleaner'!$B$2:$B$10001,MATCH(6242,'Email Cleaner'!$I$2:$I$10001,0)),"")</f>
        <v/>
      </c>
    </row>
    <row r="6244">
      <c r="A6244">
        <f>IFERROR(INDEX('Email Cleaner'!$B$2:$B$10001,MATCH(6243,'Email Cleaner'!$I$2:$I$10001,0)),"")</f>
        <v/>
      </c>
    </row>
    <row r="6245">
      <c r="A6245">
        <f>IFERROR(INDEX('Email Cleaner'!$B$2:$B$10001,MATCH(6244,'Email Cleaner'!$I$2:$I$10001,0)),"")</f>
        <v/>
      </c>
    </row>
    <row r="6246">
      <c r="A6246">
        <f>IFERROR(INDEX('Email Cleaner'!$B$2:$B$10001,MATCH(6245,'Email Cleaner'!$I$2:$I$10001,0)),"")</f>
        <v/>
      </c>
    </row>
    <row r="6247">
      <c r="A6247">
        <f>IFERROR(INDEX('Email Cleaner'!$B$2:$B$10001,MATCH(6246,'Email Cleaner'!$I$2:$I$10001,0)),"")</f>
        <v/>
      </c>
    </row>
    <row r="6248">
      <c r="A6248">
        <f>IFERROR(INDEX('Email Cleaner'!$B$2:$B$10001,MATCH(6247,'Email Cleaner'!$I$2:$I$10001,0)),"")</f>
        <v/>
      </c>
    </row>
    <row r="6249">
      <c r="A6249">
        <f>IFERROR(INDEX('Email Cleaner'!$B$2:$B$10001,MATCH(6248,'Email Cleaner'!$I$2:$I$10001,0)),"")</f>
        <v/>
      </c>
    </row>
    <row r="6250">
      <c r="A6250">
        <f>IFERROR(INDEX('Email Cleaner'!$B$2:$B$10001,MATCH(6249,'Email Cleaner'!$I$2:$I$10001,0)),"")</f>
        <v/>
      </c>
    </row>
    <row r="6251">
      <c r="A6251">
        <f>IFERROR(INDEX('Email Cleaner'!$B$2:$B$10001,MATCH(6250,'Email Cleaner'!$I$2:$I$10001,0)),"")</f>
        <v/>
      </c>
    </row>
    <row r="6252">
      <c r="A6252">
        <f>IFERROR(INDEX('Email Cleaner'!$B$2:$B$10001,MATCH(6251,'Email Cleaner'!$I$2:$I$10001,0)),"")</f>
        <v/>
      </c>
    </row>
    <row r="6253">
      <c r="A6253">
        <f>IFERROR(INDEX('Email Cleaner'!$B$2:$B$10001,MATCH(6252,'Email Cleaner'!$I$2:$I$10001,0)),"")</f>
        <v/>
      </c>
    </row>
    <row r="6254">
      <c r="A6254">
        <f>IFERROR(INDEX('Email Cleaner'!$B$2:$B$10001,MATCH(6253,'Email Cleaner'!$I$2:$I$10001,0)),"")</f>
        <v/>
      </c>
    </row>
    <row r="6255">
      <c r="A6255">
        <f>IFERROR(INDEX('Email Cleaner'!$B$2:$B$10001,MATCH(6254,'Email Cleaner'!$I$2:$I$10001,0)),"")</f>
        <v/>
      </c>
    </row>
    <row r="6256">
      <c r="A6256">
        <f>IFERROR(INDEX('Email Cleaner'!$B$2:$B$10001,MATCH(6255,'Email Cleaner'!$I$2:$I$10001,0)),"")</f>
        <v/>
      </c>
    </row>
    <row r="6257">
      <c r="A6257">
        <f>IFERROR(INDEX('Email Cleaner'!$B$2:$B$10001,MATCH(6256,'Email Cleaner'!$I$2:$I$10001,0)),"")</f>
        <v/>
      </c>
    </row>
    <row r="6258">
      <c r="A6258">
        <f>IFERROR(INDEX('Email Cleaner'!$B$2:$B$10001,MATCH(6257,'Email Cleaner'!$I$2:$I$10001,0)),"")</f>
        <v/>
      </c>
    </row>
    <row r="6259">
      <c r="A6259">
        <f>IFERROR(INDEX('Email Cleaner'!$B$2:$B$10001,MATCH(6258,'Email Cleaner'!$I$2:$I$10001,0)),"")</f>
        <v/>
      </c>
    </row>
    <row r="6260">
      <c r="A6260">
        <f>IFERROR(INDEX('Email Cleaner'!$B$2:$B$10001,MATCH(6259,'Email Cleaner'!$I$2:$I$10001,0)),"")</f>
        <v/>
      </c>
    </row>
    <row r="6261">
      <c r="A6261">
        <f>IFERROR(INDEX('Email Cleaner'!$B$2:$B$10001,MATCH(6260,'Email Cleaner'!$I$2:$I$10001,0)),"")</f>
        <v/>
      </c>
    </row>
    <row r="6262">
      <c r="A6262">
        <f>IFERROR(INDEX('Email Cleaner'!$B$2:$B$10001,MATCH(6261,'Email Cleaner'!$I$2:$I$10001,0)),"")</f>
        <v/>
      </c>
    </row>
    <row r="6263">
      <c r="A6263">
        <f>IFERROR(INDEX('Email Cleaner'!$B$2:$B$10001,MATCH(6262,'Email Cleaner'!$I$2:$I$10001,0)),"")</f>
        <v/>
      </c>
    </row>
    <row r="6264">
      <c r="A6264">
        <f>IFERROR(INDEX('Email Cleaner'!$B$2:$B$10001,MATCH(6263,'Email Cleaner'!$I$2:$I$10001,0)),"")</f>
        <v/>
      </c>
    </row>
    <row r="6265">
      <c r="A6265">
        <f>IFERROR(INDEX('Email Cleaner'!$B$2:$B$10001,MATCH(6264,'Email Cleaner'!$I$2:$I$10001,0)),"")</f>
        <v/>
      </c>
    </row>
    <row r="6266">
      <c r="A6266">
        <f>IFERROR(INDEX('Email Cleaner'!$B$2:$B$10001,MATCH(6265,'Email Cleaner'!$I$2:$I$10001,0)),"")</f>
        <v/>
      </c>
    </row>
    <row r="6267">
      <c r="A6267">
        <f>IFERROR(INDEX('Email Cleaner'!$B$2:$B$10001,MATCH(6266,'Email Cleaner'!$I$2:$I$10001,0)),"")</f>
        <v/>
      </c>
    </row>
    <row r="6268">
      <c r="A6268">
        <f>IFERROR(INDEX('Email Cleaner'!$B$2:$B$10001,MATCH(6267,'Email Cleaner'!$I$2:$I$10001,0)),"")</f>
        <v/>
      </c>
    </row>
    <row r="6269">
      <c r="A6269">
        <f>IFERROR(INDEX('Email Cleaner'!$B$2:$B$10001,MATCH(6268,'Email Cleaner'!$I$2:$I$10001,0)),"")</f>
        <v/>
      </c>
    </row>
    <row r="6270">
      <c r="A6270">
        <f>IFERROR(INDEX('Email Cleaner'!$B$2:$B$10001,MATCH(6269,'Email Cleaner'!$I$2:$I$10001,0)),"")</f>
        <v/>
      </c>
    </row>
    <row r="6271">
      <c r="A6271">
        <f>IFERROR(INDEX('Email Cleaner'!$B$2:$B$10001,MATCH(6270,'Email Cleaner'!$I$2:$I$10001,0)),"")</f>
        <v/>
      </c>
    </row>
    <row r="6272">
      <c r="A6272">
        <f>IFERROR(INDEX('Email Cleaner'!$B$2:$B$10001,MATCH(6271,'Email Cleaner'!$I$2:$I$10001,0)),"")</f>
        <v/>
      </c>
    </row>
    <row r="6273">
      <c r="A6273">
        <f>IFERROR(INDEX('Email Cleaner'!$B$2:$B$10001,MATCH(6272,'Email Cleaner'!$I$2:$I$10001,0)),"")</f>
        <v/>
      </c>
    </row>
    <row r="6274">
      <c r="A6274">
        <f>IFERROR(INDEX('Email Cleaner'!$B$2:$B$10001,MATCH(6273,'Email Cleaner'!$I$2:$I$10001,0)),"")</f>
        <v/>
      </c>
    </row>
    <row r="6275">
      <c r="A6275">
        <f>IFERROR(INDEX('Email Cleaner'!$B$2:$B$10001,MATCH(6274,'Email Cleaner'!$I$2:$I$10001,0)),"")</f>
        <v/>
      </c>
    </row>
    <row r="6276">
      <c r="A6276">
        <f>IFERROR(INDEX('Email Cleaner'!$B$2:$B$10001,MATCH(6275,'Email Cleaner'!$I$2:$I$10001,0)),"")</f>
        <v/>
      </c>
    </row>
    <row r="6277">
      <c r="A6277">
        <f>IFERROR(INDEX('Email Cleaner'!$B$2:$B$10001,MATCH(6276,'Email Cleaner'!$I$2:$I$10001,0)),"")</f>
        <v/>
      </c>
    </row>
    <row r="6278">
      <c r="A6278">
        <f>IFERROR(INDEX('Email Cleaner'!$B$2:$B$10001,MATCH(6277,'Email Cleaner'!$I$2:$I$10001,0)),"")</f>
        <v/>
      </c>
    </row>
    <row r="6279">
      <c r="A6279">
        <f>IFERROR(INDEX('Email Cleaner'!$B$2:$B$10001,MATCH(6278,'Email Cleaner'!$I$2:$I$10001,0)),"")</f>
        <v/>
      </c>
    </row>
    <row r="6280">
      <c r="A6280">
        <f>IFERROR(INDEX('Email Cleaner'!$B$2:$B$10001,MATCH(6279,'Email Cleaner'!$I$2:$I$10001,0)),"")</f>
        <v/>
      </c>
    </row>
    <row r="6281">
      <c r="A6281">
        <f>IFERROR(INDEX('Email Cleaner'!$B$2:$B$10001,MATCH(6280,'Email Cleaner'!$I$2:$I$10001,0)),"")</f>
        <v/>
      </c>
    </row>
    <row r="6282">
      <c r="A6282">
        <f>IFERROR(INDEX('Email Cleaner'!$B$2:$B$10001,MATCH(6281,'Email Cleaner'!$I$2:$I$10001,0)),"")</f>
        <v/>
      </c>
    </row>
    <row r="6283">
      <c r="A6283">
        <f>IFERROR(INDEX('Email Cleaner'!$B$2:$B$10001,MATCH(6282,'Email Cleaner'!$I$2:$I$10001,0)),"")</f>
        <v/>
      </c>
    </row>
    <row r="6284">
      <c r="A6284">
        <f>IFERROR(INDEX('Email Cleaner'!$B$2:$B$10001,MATCH(6283,'Email Cleaner'!$I$2:$I$10001,0)),"")</f>
        <v/>
      </c>
    </row>
    <row r="6285">
      <c r="A6285">
        <f>IFERROR(INDEX('Email Cleaner'!$B$2:$B$10001,MATCH(6284,'Email Cleaner'!$I$2:$I$10001,0)),"")</f>
        <v/>
      </c>
    </row>
    <row r="6286">
      <c r="A6286">
        <f>IFERROR(INDEX('Email Cleaner'!$B$2:$B$10001,MATCH(6285,'Email Cleaner'!$I$2:$I$10001,0)),"")</f>
        <v/>
      </c>
    </row>
    <row r="6287">
      <c r="A6287">
        <f>IFERROR(INDEX('Email Cleaner'!$B$2:$B$10001,MATCH(6286,'Email Cleaner'!$I$2:$I$10001,0)),"")</f>
        <v/>
      </c>
    </row>
    <row r="6288">
      <c r="A6288">
        <f>IFERROR(INDEX('Email Cleaner'!$B$2:$B$10001,MATCH(6287,'Email Cleaner'!$I$2:$I$10001,0)),"")</f>
        <v/>
      </c>
    </row>
    <row r="6289">
      <c r="A6289">
        <f>IFERROR(INDEX('Email Cleaner'!$B$2:$B$10001,MATCH(6288,'Email Cleaner'!$I$2:$I$10001,0)),"")</f>
        <v/>
      </c>
    </row>
    <row r="6290">
      <c r="A6290">
        <f>IFERROR(INDEX('Email Cleaner'!$B$2:$B$10001,MATCH(6289,'Email Cleaner'!$I$2:$I$10001,0)),"")</f>
        <v/>
      </c>
    </row>
    <row r="6291">
      <c r="A6291">
        <f>IFERROR(INDEX('Email Cleaner'!$B$2:$B$10001,MATCH(6290,'Email Cleaner'!$I$2:$I$10001,0)),"")</f>
        <v/>
      </c>
    </row>
    <row r="6292">
      <c r="A6292">
        <f>IFERROR(INDEX('Email Cleaner'!$B$2:$B$10001,MATCH(6291,'Email Cleaner'!$I$2:$I$10001,0)),"")</f>
        <v/>
      </c>
    </row>
    <row r="6293">
      <c r="A6293">
        <f>IFERROR(INDEX('Email Cleaner'!$B$2:$B$10001,MATCH(6292,'Email Cleaner'!$I$2:$I$10001,0)),"")</f>
        <v/>
      </c>
    </row>
    <row r="6294">
      <c r="A6294">
        <f>IFERROR(INDEX('Email Cleaner'!$B$2:$B$10001,MATCH(6293,'Email Cleaner'!$I$2:$I$10001,0)),"")</f>
        <v/>
      </c>
    </row>
    <row r="6295">
      <c r="A6295">
        <f>IFERROR(INDEX('Email Cleaner'!$B$2:$B$10001,MATCH(6294,'Email Cleaner'!$I$2:$I$10001,0)),"")</f>
        <v/>
      </c>
    </row>
    <row r="6296">
      <c r="A6296">
        <f>IFERROR(INDEX('Email Cleaner'!$B$2:$B$10001,MATCH(6295,'Email Cleaner'!$I$2:$I$10001,0)),"")</f>
        <v/>
      </c>
    </row>
    <row r="6297">
      <c r="A6297">
        <f>IFERROR(INDEX('Email Cleaner'!$B$2:$B$10001,MATCH(6296,'Email Cleaner'!$I$2:$I$10001,0)),"")</f>
        <v/>
      </c>
    </row>
    <row r="6298">
      <c r="A6298">
        <f>IFERROR(INDEX('Email Cleaner'!$B$2:$B$10001,MATCH(6297,'Email Cleaner'!$I$2:$I$10001,0)),"")</f>
        <v/>
      </c>
    </row>
    <row r="6299">
      <c r="A6299">
        <f>IFERROR(INDEX('Email Cleaner'!$B$2:$B$10001,MATCH(6298,'Email Cleaner'!$I$2:$I$10001,0)),"")</f>
        <v/>
      </c>
    </row>
    <row r="6300">
      <c r="A6300">
        <f>IFERROR(INDEX('Email Cleaner'!$B$2:$B$10001,MATCH(6299,'Email Cleaner'!$I$2:$I$10001,0)),"")</f>
        <v/>
      </c>
    </row>
    <row r="6301">
      <c r="A6301">
        <f>IFERROR(INDEX('Email Cleaner'!$B$2:$B$10001,MATCH(6300,'Email Cleaner'!$I$2:$I$10001,0)),"")</f>
        <v/>
      </c>
    </row>
    <row r="6302">
      <c r="A6302">
        <f>IFERROR(INDEX('Email Cleaner'!$B$2:$B$10001,MATCH(6301,'Email Cleaner'!$I$2:$I$10001,0)),"")</f>
        <v/>
      </c>
    </row>
    <row r="6303">
      <c r="A6303">
        <f>IFERROR(INDEX('Email Cleaner'!$B$2:$B$10001,MATCH(6302,'Email Cleaner'!$I$2:$I$10001,0)),"")</f>
        <v/>
      </c>
    </row>
    <row r="6304">
      <c r="A6304">
        <f>IFERROR(INDEX('Email Cleaner'!$B$2:$B$10001,MATCH(6303,'Email Cleaner'!$I$2:$I$10001,0)),"")</f>
        <v/>
      </c>
    </row>
    <row r="6305">
      <c r="A6305">
        <f>IFERROR(INDEX('Email Cleaner'!$B$2:$B$10001,MATCH(6304,'Email Cleaner'!$I$2:$I$10001,0)),"")</f>
        <v/>
      </c>
    </row>
    <row r="6306">
      <c r="A6306">
        <f>IFERROR(INDEX('Email Cleaner'!$B$2:$B$10001,MATCH(6305,'Email Cleaner'!$I$2:$I$10001,0)),"")</f>
        <v/>
      </c>
    </row>
    <row r="6307">
      <c r="A6307">
        <f>IFERROR(INDEX('Email Cleaner'!$B$2:$B$10001,MATCH(6306,'Email Cleaner'!$I$2:$I$10001,0)),"")</f>
        <v/>
      </c>
    </row>
    <row r="6308">
      <c r="A6308">
        <f>IFERROR(INDEX('Email Cleaner'!$B$2:$B$10001,MATCH(6307,'Email Cleaner'!$I$2:$I$10001,0)),"")</f>
        <v/>
      </c>
    </row>
    <row r="6309">
      <c r="A6309">
        <f>IFERROR(INDEX('Email Cleaner'!$B$2:$B$10001,MATCH(6308,'Email Cleaner'!$I$2:$I$10001,0)),"")</f>
        <v/>
      </c>
    </row>
    <row r="6310">
      <c r="A6310">
        <f>IFERROR(INDEX('Email Cleaner'!$B$2:$B$10001,MATCH(6309,'Email Cleaner'!$I$2:$I$10001,0)),"")</f>
        <v/>
      </c>
    </row>
    <row r="6311">
      <c r="A6311">
        <f>IFERROR(INDEX('Email Cleaner'!$B$2:$B$10001,MATCH(6310,'Email Cleaner'!$I$2:$I$10001,0)),"")</f>
        <v/>
      </c>
    </row>
    <row r="6312">
      <c r="A6312">
        <f>IFERROR(INDEX('Email Cleaner'!$B$2:$B$10001,MATCH(6311,'Email Cleaner'!$I$2:$I$10001,0)),"")</f>
        <v/>
      </c>
    </row>
    <row r="6313">
      <c r="A6313">
        <f>IFERROR(INDEX('Email Cleaner'!$B$2:$B$10001,MATCH(6312,'Email Cleaner'!$I$2:$I$10001,0)),"")</f>
        <v/>
      </c>
    </row>
    <row r="6314">
      <c r="A6314">
        <f>IFERROR(INDEX('Email Cleaner'!$B$2:$B$10001,MATCH(6313,'Email Cleaner'!$I$2:$I$10001,0)),"")</f>
        <v/>
      </c>
    </row>
    <row r="6315">
      <c r="A6315">
        <f>IFERROR(INDEX('Email Cleaner'!$B$2:$B$10001,MATCH(6314,'Email Cleaner'!$I$2:$I$10001,0)),"")</f>
        <v/>
      </c>
    </row>
    <row r="6316">
      <c r="A6316">
        <f>IFERROR(INDEX('Email Cleaner'!$B$2:$B$10001,MATCH(6315,'Email Cleaner'!$I$2:$I$10001,0)),"")</f>
        <v/>
      </c>
    </row>
    <row r="6317">
      <c r="A6317">
        <f>IFERROR(INDEX('Email Cleaner'!$B$2:$B$10001,MATCH(6316,'Email Cleaner'!$I$2:$I$10001,0)),"")</f>
        <v/>
      </c>
    </row>
    <row r="6318">
      <c r="A6318">
        <f>IFERROR(INDEX('Email Cleaner'!$B$2:$B$10001,MATCH(6317,'Email Cleaner'!$I$2:$I$10001,0)),"")</f>
        <v/>
      </c>
    </row>
    <row r="6319">
      <c r="A6319">
        <f>IFERROR(INDEX('Email Cleaner'!$B$2:$B$10001,MATCH(6318,'Email Cleaner'!$I$2:$I$10001,0)),"")</f>
        <v/>
      </c>
    </row>
    <row r="6320">
      <c r="A6320">
        <f>IFERROR(INDEX('Email Cleaner'!$B$2:$B$10001,MATCH(6319,'Email Cleaner'!$I$2:$I$10001,0)),"")</f>
        <v/>
      </c>
    </row>
    <row r="6321">
      <c r="A6321">
        <f>IFERROR(INDEX('Email Cleaner'!$B$2:$B$10001,MATCH(6320,'Email Cleaner'!$I$2:$I$10001,0)),"")</f>
        <v/>
      </c>
    </row>
    <row r="6322">
      <c r="A6322">
        <f>IFERROR(INDEX('Email Cleaner'!$B$2:$B$10001,MATCH(6321,'Email Cleaner'!$I$2:$I$10001,0)),"")</f>
        <v/>
      </c>
    </row>
    <row r="6323">
      <c r="A6323">
        <f>IFERROR(INDEX('Email Cleaner'!$B$2:$B$10001,MATCH(6322,'Email Cleaner'!$I$2:$I$10001,0)),"")</f>
        <v/>
      </c>
    </row>
    <row r="6324">
      <c r="A6324">
        <f>IFERROR(INDEX('Email Cleaner'!$B$2:$B$10001,MATCH(6323,'Email Cleaner'!$I$2:$I$10001,0)),"")</f>
        <v/>
      </c>
    </row>
    <row r="6325">
      <c r="A6325">
        <f>IFERROR(INDEX('Email Cleaner'!$B$2:$B$10001,MATCH(6324,'Email Cleaner'!$I$2:$I$10001,0)),"")</f>
        <v/>
      </c>
    </row>
    <row r="6326">
      <c r="A6326">
        <f>IFERROR(INDEX('Email Cleaner'!$B$2:$B$10001,MATCH(6325,'Email Cleaner'!$I$2:$I$10001,0)),"")</f>
        <v/>
      </c>
    </row>
    <row r="6327">
      <c r="A6327">
        <f>IFERROR(INDEX('Email Cleaner'!$B$2:$B$10001,MATCH(6326,'Email Cleaner'!$I$2:$I$10001,0)),"")</f>
        <v/>
      </c>
    </row>
    <row r="6328">
      <c r="A6328">
        <f>IFERROR(INDEX('Email Cleaner'!$B$2:$B$10001,MATCH(6327,'Email Cleaner'!$I$2:$I$10001,0)),"")</f>
        <v/>
      </c>
    </row>
    <row r="6329">
      <c r="A6329">
        <f>IFERROR(INDEX('Email Cleaner'!$B$2:$B$10001,MATCH(6328,'Email Cleaner'!$I$2:$I$10001,0)),"")</f>
        <v/>
      </c>
    </row>
    <row r="6330">
      <c r="A6330">
        <f>IFERROR(INDEX('Email Cleaner'!$B$2:$B$10001,MATCH(6329,'Email Cleaner'!$I$2:$I$10001,0)),"")</f>
        <v/>
      </c>
    </row>
    <row r="6331">
      <c r="A6331">
        <f>IFERROR(INDEX('Email Cleaner'!$B$2:$B$10001,MATCH(6330,'Email Cleaner'!$I$2:$I$10001,0)),"")</f>
        <v/>
      </c>
    </row>
    <row r="6332">
      <c r="A6332">
        <f>IFERROR(INDEX('Email Cleaner'!$B$2:$B$10001,MATCH(6331,'Email Cleaner'!$I$2:$I$10001,0)),"")</f>
        <v/>
      </c>
    </row>
    <row r="6333">
      <c r="A6333">
        <f>IFERROR(INDEX('Email Cleaner'!$B$2:$B$10001,MATCH(6332,'Email Cleaner'!$I$2:$I$10001,0)),"")</f>
        <v/>
      </c>
    </row>
    <row r="6334">
      <c r="A6334">
        <f>IFERROR(INDEX('Email Cleaner'!$B$2:$B$10001,MATCH(6333,'Email Cleaner'!$I$2:$I$10001,0)),"")</f>
        <v/>
      </c>
    </row>
    <row r="6335">
      <c r="A6335">
        <f>IFERROR(INDEX('Email Cleaner'!$B$2:$B$10001,MATCH(6334,'Email Cleaner'!$I$2:$I$10001,0)),"")</f>
        <v/>
      </c>
    </row>
    <row r="6336">
      <c r="A6336">
        <f>IFERROR(INDEX('Email Cleaner'!$B$2:$B$10001,MATCH(6335,'Email Cleaner'!$I$2:$I$10001,0)),"")</f>
        <v/>
      </c>
    </row>
    <row r="6337">
      <c r="A6337">
        <f>IFERROR(INDEX('Email Cleaner'!$B$2:$B$10001,MATCH(6336,'Email Cleaner'!$I$2:$I$10001,0)),"")</f>
        <v/>
      </c>
    </row>
    <row r="6338">
      <c r="A6338">
        <f>IFERROR(INDEX('Email Cleaner'!$B$2:$B$10001,MATCH(6337,'Email Cleaner'!$I$2:$I$10001,0)),"")</f>
        <v/>
      </c>
    </row>
    <row r="6339">
      <c r="A6339">
        <f>IFERROR(INDEX('Email Cleaner'!$B$2:$B$10001,MATCH(6338,'Email Cleaner'!$I$2:$I$10001,0)),"")</f>
        <v/>
      </c>
    </row>
    <row r="6340">
      <c r="A6340">
        <f>IFERROR(INDEX('Email Cleaner'!$B$2:$B$10001,MATCH(6339,'Email Cleaner'!$I$2:$I$10001,0)),"")</f>
        <v/>
      </c>
    </row>
    <row r="6341">
      <c r="A6341">
        <f>IFERROR(INDEX('Email Cleaner'!$B$2:$B$10001,MATCH(6340,'Email Cleaner'!$I$2:$I$10001,0)),"")</f>
        <v/>
      </c>
    </row>
    <row r="6342">
      <c r="A6342">
        <f>IFERROR(INDEX('Email Cleaner'!$B$2:$B$10001,MATCH(6341,'Email Cleaner'!$I$2:$I$10001,0)),"")</f>
        <v/>
      </c>
    </row>
    <row r="6343">
      <c r="A6343">
        <f>IFERROR(INDEX('Email Cleaner'!$B$2:$B$10001,MATCH(6342,'Email Cleaner'!$I$2:$I$10001,0)),"")</f>
        <v/>
      </c>
    </row>
    <row r="6344">
      <c r="A6344">
        <f>IFERROR(INDEX('Email Cleaner'!$B$2:$B$10001,MATCH(6343,'Email Cleaner'!$I$2:$I$10001,0)),"")</f>
        <v/>
      </c>
    </row>
    <row r="6345">
      <c r="A6345">
        <f>IFERROR(INDEX('Email Cleaner'!$B$2:$B$10001,MATCH(6344,'Email Cleaner'!$I$2:$I$10001,0)),"")</f>
        <v/>
      </c>
    </row>
    <row r="6346">
      <c r="A6346">
        <f>IFERROR(INDEX('Email Cleaner'!$B$2:$B$10001,MATCH(6345,'Email Cleaner'!$I$2:$I$10001,0)),"")</f>
        <v/>
      </c>
    </row>
    <row r="6347">
      <c r="A6347">
        <f>IFERROR(INDEX('Email Cleaner'!$B$2:$B$10001,MATCH(6346,'Email Cleaner'!$I$2:$I$10001,0)),"")</f>
        <v/>
      </c>
    </row>
    <row r="6348">
      <c r="A6348">
        <f>IFERROR(INDEX('Email Cleaner'!$B$2:$B$10001,MATCH(6347,'Email Cleaner'!$I$2:$I$10001,0)),"")</f>
        <v/>
      </c>
    </row>
    <row r="6349">
      <c r="A6349">
        <f>IFERROR(INDEX('Email Cleaner'!$B$2:$B$10001,MATCH(6348,'Email Cleaner'!$I$2:$I$10001,0)),"")</f>
        <v/>
      </c>
    </row>
    <row r="6350">
      <c r="A6350">
        <f>IFERROR(INDEX('Email Cleaner'!$B$2:$B$10001,MATCH(6349,'Email Cleaner'!$I$2:$I$10001,0)),"")</f>
        <v/>
      </c>
    </row>
    <row r="6351">
      <c r="A6351">
        <f>IFERROR(INDEX('Email Cleaner'!$B$2:$B$10001,MATCH(6350,'Email Cleaner'!$I$2:$I$10001,0)),"")</f>
        <v/>
      </c>
    </row>
    <row r="6352">
      <c r="A6352">
        <f>IFERROR(INDEX('Email Cleaner'!$B$2:$B$10001,MATCH(6351,'Email Cleaner'!$I$2:$I$10001,0)),"")</f>
        <v/>
      </c>
    </row>
    <row r="6353">
      <c r="A6353">
        <f>IFERROR(INDEX('Email Cleaner'!$B$2:$B$10001,MATCH(6352,'Email Cleaner'!$I$2:$I$10001,0)),"")</f>
        <v/>
      </c>
    </row>
    <row r="6354">
      <c r="A6354">
        <f>IFERROR(INDEX('Email Cleaner'!$B$2:$B$10001,MATCH(6353,'Email Cleaner'!$I$2:$I$10001,0)),"")</f>
        <v/>
      </c>
    </row>
    <row r="6355">
      <c r="A6355">
        <f>IFERROR(INDEX('Email Cleaner'!$B$2:$B$10001,MATCH(6354,'Email Cleaner'!$I$2:$I$10001,0)),"")</f>
        <v/>
      </c>
    </row>
    <row r="6356">
      <c r="A6356">
        <f>IFERROR(INDEX('Email Cleaner'!$B$2:$B$10001,MATCH(6355,'Email Cleaner'!$I$2:$I$10001,0)),"")</f>
        <v/>
      </c>
    </row>
    <row r="6357">
      <c r="A6357">
        <f>IFERROR(INDEX('Email Cleaner'!$B$2:$B$10001,MATCH(6356,'Email Cleaner'!$I$2:$I$10001,0)),"")</f>
        <v/>
      </c>
    </row>
    <row r="6358">
      <c r="A6358">
        <f>IFERROR(INDEX('Email Cleaner'!$B$2:$B$10001,MATCH(6357,'Email Cleaner'!$I$2:$I$10001,0)),"")</f>
        <v/>
      </c>
    </row>
    <row r="6359">
      <c r="A6359">
        <f>IFERROR(INDEX('Email Cleaner'!$B$2:$B$10001,MATCH(6358,'Email Cleaner'!$I$2:$I$10001,0)),"")</f>
        <v/>
      </c>
    </row>
    <row r="6360">
      <c r="A6360">
        <f>IFERROR(INDEX('Email Cleaner'!$B$2:$B$10001,MATCH(6359,'Email Cleaner'!$I$2:$I$10001,0)),"")</f>
        <v/>
      </c>
    </row>
    <row r="6361">
      <c r="A6361">
        <f>IFERROR(INDEX('Email Cleaner'!$B$2:$B$10001,MATCH(6360,'Email Cleaner'!$I$2:$I$10001,0)),"")</f>
        <v/>
      </c>
    </row>
    <row r="6362">
      <c r="A6362">
        <f>IFERROR(INDEX('Email Cleaner'!$B$2:$B$10001,MATCH(6361,'Email Cleaner'!$I$2:$I$10001,0)),"")</f>
        <v/>
      </c>
    </row>
    <row r="6363">
      <c r="A6363">
        <f>IFERROR(INDEX('Email Cleaner'!$B$2:$B$10001,MATCH(6362,'Email Cleaner'!$I$2:$I$10001,0)),"")</f>
        <v/>
      </c>
    </row>
    <row r="6364">
      <c r="A6364">
        <f>IFERROR(INDEX('Email Cleaner'!$B$2:$B$10001,MATCH(6363,'Email Cleaner'!$I$2:$I$10001,0)),"")</f>
        <v/>
      </c>
    </row>
    <row r="6365">
      <c r="A6365">
        <f>IFERROR(INDEX('Email Cleaner'!$B$2:$B$10001,MATCH(6364,'Email Cleaner'!$I$2:$I$10001,0)),"")</f>
        <v/>
      </c>
    </row>
    <row r="6366">
      <c r="A6366">
        <f>IFERROR(INDEX('Email Cleaner'!$B$2:$B$10001,MATCH(6365,'Email Cleaner'!$I$2:$I$10001,0)),"")</f>
        <v/>
      </c>
    </row>
    <row r="6367">
      <c r="A6367">
        <f>IFERROR(INDEX('Email Cleaner'!$B$2:$B$10001,MATCH(6366,'Email Cleaner'!$I$2:$I$10001,0)),"")</f>
        <v/>
      </c>
    </row>
    <row r="6368">
      <c r="A6368">
        <f>IFERROR(INDEX('Email Cleaner'!$B$2:$B$10001,MATCH(6367,'Email Cleaner'!$I$2:$I$10001,0)),"")</f>
        <v/>
      </c>
    </row>
    <row r="6369">
      <c r="A6369">
        <f>IFERROR(INDEX('Email Cleaner'!$B$2:$B$10001,MATCH(6368,'Email Cleaner'!$I$2:$I$10001,0)),"")</f>
        <v/>
      </c>
    </row>
    <row r="6370">
      <c r="A6370">
        <f>IFERROR(INDEX('Email Cleaner'!$B$2:$B$10001,MATCH(6369,'Email Cleaner'!$I$2:$I$10001,0)),"")</f>
        <v/>
      </c>
    </row>
    <row r="6371">
      <c r="A6371">
        <f>IFERROR(INDEX('Email Cleaner'!$B$2:$B$10001,MATCH(6370,'Email Cleaner'!$I$2:$I$10001,0)),"")</f>
        <v/>
      </c>
    </row>
    <row r="6372">
      <c r="A6372">
        <f>IFERROR(INDEX('Email Cleaner'!$B$2:$B$10001,MATCH(6371,'Email Cleaner'!$I$2:$I$10001,0)),"")</f>
        <v/>
      </c>
    </row>
    <row r="6373">
      <c r="A6373">
        <f>IFERROR(INDEX('Email Cleaner'!$B$2:$B$10001,MATCH(6372,'Email Cleaner'!$I$2:$I$10001,0)),"")</f>
        <v/>
      </c>
    </row>
    <row r="6374">
      <c r="A6374">
        <f>IFERROR(INDEX('Email Cleaner'!$B$2:$B$10001,MATCH(6373,'Email Cleaner'!$I$2:$I$10001,0)),"")</f>
        <v/>
      </c>
    </row>
    <row r="6375">
      <c r="A6375">
        <f>IFERROR(INDEX('Email Cleaner'!$B$2:$B$10001,MATCH(6374,'Email Cleaner'!$I$2:$I$10001,0)),"")</f>
        <v/>
      </c>
    </row>
    <row r="6376">
      <c r="A6376">
        <f>IFERROR(INDEX('Email Cleaner'!$B$2:$B$10001,MATCH(6375,'Email Cleaner'!$I$2:$I$10001,0)),"")</f>
        <v/>
      </c>
    </row>
    <row r="6377">
      <c r="A6377">
        <f>IFERROR(INDEX('Email Cleaner'!$B$2:$B$10001,MATCH(6376,'Email Cleaner'!$I$2:$I$10001,0)),"")</f>
        <v/>
      </c>
    </row>
    <row r="6378">
      <c r="A6378">
        <f>IFERROR(INDEX('Email Cleaner'!$B$2:$B$10001,MATCH(6377,'Email Cleaner'!$I$2:$I$10001,0)),"")</f>
        <v/>
      </c>
    </row>
    <row r="6379">
      <c r="A6379">
        <f>IFERROR(INDEX('Email Cleaner'!$B$2:$B$10001,MATCH(6378,'Email Cleaner'!$I$2:$I$10001,0)),"")</f>
        <v/>
      </c>
    </row>
    <row r="6380">
      <c r="A6380">
        <f>IFERROR(INDEX('Email Cleaner'!$B$2:$B$10001,MATCH(6379,'Email Cleaner'!$I$2:$I$10001,0)),"")</f>
        <v/>
      </c>
    </row>
    <row r="6381">
      <c r="A6381">
        <f>IFERROR(INDEX('Email Cleaner'!$B$2:$B$10001,MATCH(6380,'Email Cleaner'!$I$2:$I$10001,0)),"")</f>
        <v/>
      </c>
    </row>
    <row r="6382">
      <c r="A6382">
        <f>IFERROR(INDEX('Email Cleaner'!$B$2:$B$10001,MATCH(6381,'Email Cleaner'!$I$2:$I$10001,0)),"")</f>
        <v/>
      </c>
    </row>
    <row r="6383">
      <c r="A6383">
        <f>IFERROR(INDEX('Email Cleaner'!$B$2:$B$10001,MATCH(6382,'Email Cleaner'!$I$2:$I$10001,0)),"")</f>
        <v/>
      </c>
    </row>
    <row r="6384">
      <c r="A6384">
        <f>IFERROR(INDEX('Email Cleaner'!$B$2:$B$10001,MATCH(6383,'Email Cleaner'!$I$2:$I$10001,0)),"")</f>
        <v/>
      </c>
    </row>
    <row r="6385">
      <c r="A6385">
        <f>IFERROR(INDEX('Email Cleaner'!$B$2:$B$10001,MATCH(6384,'Email Cleaner'!$I$2:$I$10001,0)),"")</f>
        <v/>
      </c>
    </row>
    <row r="6386">
      <c r="A6386">
        <f>IFERROR(INDEX('Email Cleaner'!$B$2:$B$10001,MATCH(6385,'Email Cleaner'!$I$2:$I$10001,0)),"")</f>
        <v/>
      </c>
    </row>
    <row r="6387">
      <c r="A6387">
        <f>IFERROR(INDEX('Email Cleaner'!$B$2:$B$10001,MATCH(6386,'Email Cleaner'!$I$2:$I$10001,0)),"")</f>
        <v/>
      </c>
    </row>
    <row r="6388">
      <c r="A6388">
        <f>IFERROR(INDEX('Email Cleaner'!$B$2:$B$10001,MATCH(6387,'Email Cleaner'!$I$2:$I$10001,0)),"")</f>
        <v/>
      </c>
    </row>
    <row r="6389">
      <c r="A6389">
        <f>IFERROR(INDEX('Email Cleaner'!$B$2:$B$10001,MATCH(6388,'Email Cleaner'!$I$2:$I$10001,0)),"")</f>
        <v/>
      </c>
    </row>
    <row r="6390">
      <c r="A6390">
        <f>IFERROR(INDEX('Email Cleaner'!$B$2:$B$10001,MATCH(6389,'Email Cleaner'!$I$2:$I$10001,0)),"")</f>
        <v/>
      </c>
    </row>
    <row r="6391">
      <c r="A6391">
        <f>IFERROR(INDEX('Email Cleaner'!$B$2:$B$10001,MATCH(6390,'Email Cleaner'!$I$2:$I$10001,0)),"")</f>
        <v/>
      </c>
    </row>
    <row r="6392">
      <c r="A6392">
        <f>IFERROR(INDEX('Email Cleaner'!$B$2:$B$10001,MATCH(6391,'Email Cleaner'!$I$2:$I$10001,0)),"")</f>
        <v/>
      </c>
    </row>
    <row r="6393">
      <c r="A6393">
        <f>IFERROR(INDEX('Email Cleaner'!$B$2:$B$10001,MATCH(6392,'Email Cleaner'!$I$2:$I$10001,0)),"")</f>
        <v/>
      </c>
    </row>
    <row r="6394">
      <c r="A6394">
        <f>IFERROR(INDEX('Email Cleaner'!$B$2:$B$10001,MATCH(6393,'Email Cleaner'!$I$2:$I$10001,0)),"")</f>
        <v/>
      </c>
    </row>
    <row r="6395">
      <c r="A6395">
        <f>IFERROR(INDEX('Email Cleaner'!$B$2:$B$10001,MATCH(6394,'Email Cleaner'!$I$2:$I$10001,0)),"")</f>
        <v/>
      </c>
    </row>
    <row r="6396">
      <c r="A6396">
        <f>IFERROR(INDEX('Email Cleaner'!$B$2:$B$10001,MATCH(6395,'Email Cleaner'!$I$2:$I$10001,0)),"")</f>
        <v/>
      </c>
    </row>
    <row r="6397">
      <c r="A6397">
        <f>IFERROR(INDEX('Email Cleaner'!$B$2:$B$10001,MATCH(6396,'Email Cleaner'!$I$2:$I$10001,0)),"")</f>
        <v/>
      </c>
    </row>
    <row r="6398">
      <c r="A6398">
        <f>IFERROR(INDEX('Email Cleaner'!$B$2:$B$10001,MATCH(6397,'Email Cleaner'!$I$2:$I$10001,0)),"")</f>
        <v/>
      </c>
    </row>
    <row r="6399">
      <c r="A6399">
        <f>IFERROR(INDEX('Email Cleaner'!$B$2:$B$10001,MATCH(6398,'Email Cleaner'!$I$2:$I$10001,0)),"")</f>
        <v/>
      </c>
    </row>
    <row r="6400">
      <c r="A6400">
        <f>IFERROR(INDEX('Email Cleaner'!$B$2:$B$10001,MATCH(6399,'Email Cleaner'!$I$2:$I$10001,0)),"")</f>
        <v/>
      </c>
    </row>
    <row r="6401">
      <c r="A6401">
        <f>IFERROR(INDEX('Email Cleaner'!$B$2:$B$10001,MATCH(6400,'Email Cleaner'!$I$2:$I$10001,0)),"")</f>
        <v/>
      </c>
    </row>
    <row r="6402">
      <c r="A6402">
        <f>IFERROR(INDEX('Email Cleaner'!$B$2:$B$10001,MATCH(6401,'Email Cleaner'!$I$2:$I$10001,0)),"")</f>
        <v/>
      </c>
    </row>
    <row r="6403">
      <c r="A6403">
        <f>IFERROR(INDEX('Email Cleaner'!$B$2:$B$10001,MATCH(6402,'Email Cleaner'!$I$2:$I$10001,0)),"")</f>
        <v/>
      </c>
    </row>
    <row r="6404">
      <c r="A6404">
        <f>IFERROR(INDEX('Email Cleaner'!$B$2:$B$10001,MATCH(6403,'Email Cleaner'!$I$2:$I$10001,0)),"")</f>
        <v/>
      </c>
    </row>
    <row r="6405">
      <c r="A6405">
        <f>IFERROR(INDEX('Email Cleaner'!$B$2:$B$10001,MATCH(6404,'Email Cleaner'!$I$2:$I$10001,0)),"")</f>
        <v/>
      </c>
    </row>
    <row r="6406">
      <c r="A6406">
        <f>IFERROR(INDEX('Email Cleaner'!$B$2:$B$10001,MATCH(6405,'Email Cleaner'!$I$2:$I$10001,0)),"")</f>
        <v/>
      </c>
    </row>
    <row r="6407">
      <c r="A6407">
        <f>IFERROR(INDEX('Email Cleaner'!$B$2:$B$10001,MATCH(6406,'Email Cleaner'!$I$2:$I$10001,0)),"")</f>
        <v/>
      </c>
    </row>
    <row r="6408">
      <c r="A6408">
        <f>IFERROR(INDEX('Email Cleaner'!$B$2:$B$10001,MATCH(6407,'Email Cleaner'!$I$2:$I$10001,0)),"")</f>
        <v/>
      </c>
    </row>
    <row r="6409">
      <c r="A6409">
        <f>IFERROR(INDEX('Email Cleaner'!$B$2:$B$10001,MATCH(6408,'Email Cleaner'!$I$2:$I$10001,0)),"")</f>
        <v/>
      </c>
    </row>
    <row r="6410">
      <c r="A6410">
        <f>IFERROR(INDEX('Email Cleaner'!$B$2:$B$10001,MATCH(6409,'Email Cleaner'!$I$2:$I$10001,0)),"")</f>
        <v/>
      </c>
    </row>
    <row r="6411">
      <c r="A6411">
        <f>IFERROR(INDEX('Email Cleaner'!$B$2:$B$10001,MATCH(6410,'Email Cleaner'!$I$2:$I$10001,0)),"")</f>
        <v/>
      </c>
    </row>
    <row r="6412">
      <c r="A6412">
        <f>IFERROR(INDEX('Email Cleaner'!$B$2:$B$10001,MATCH(6411,'Email Cleaner'!$I$2:$I$10001,0)),"")</f>
        <v/>
      </c>
    </row>
    <row r="6413">
      <c r="A6413">
        <f>IFERROR(INDEX('Email Cleaner'!$B$2:$B$10001,MATCH(6412,'Email Cleaner'!$I$2:$I$10001,0)),"")</f>
        <v/>
      </c>
    </row>
    <row r="6414">
      <c r="A6414">
        <f>IFERROR(INDEX('Email Cleaner'!$B$2:$B$10001,MATCH(6413,'Email Cleaner'!$I$2:$I$10001,0)),"")</f>
        <v/>
      </c>
    </row>
    <row r="6415">
      <c r="A6415">
        <f>IFERROR(INDEX('Email Cleaner'!$B$2:$B$10001,MATCH(6414,'Email Cleaner'!$I$2:$I$10001,0)),"")</f>
        <v/>
      </c>
    </row>
    <row r="6416">
      <c r="A6416">
        <f>IFERROR(INDEX('Email Cleaner'!$B$2:$B$10001,MATCH(6415,'Email Cleaner'!$I$2:$I$10001,0)),"")</f>
        <v/>
      </c>
    </row>
    <row r="6417">
      <c r="A6417">
        <f>IFERROR(INDEX('Email Cleaner'!$B$2:$B$10001,MATCH(6416,'Email Cleaner'!$I$2:$I$10001,0)),"")</f>
        <v/>
      </c>
    </row>
    <row r="6418">
      <c r="A6418">
        <f>IFERROR(INDEX('Email Cleaner'!$B$2:$B$10001,MATCH(6417,'Email Cleaner'!$I$2:$I$10001,0)),"")</f>
        <v/>
      </c>
    </row>
    <row r="6419">
      <c r="A6419">
        <f>IFERROR(INDEX('Email Cleaner'!$B$2:$B$10001,MATCH(6418,'Email Cleaner'!$I$2:$I$10001,0)),"")</f>
        <v/>
      </c>
    </row>
    <row r="6420">
      <c r="A6420">
        <f>IFERROR(INDEX('Email Cleaner'!$B$2:$B$10001,MATCH(6419,'Email Cleaner'!$I$2:$I$10001,0)),"")</f>
        <v/>
      </c>
    </row>
    <row r="6421">
      <c r="A6421">
        <f>IFERROR(INDEX('Email Cleaner'!$B$2:$B$10001,MATCH(6420,'Email Cleaner'!$I$2:$I$10001,0)),"")</f>
        <v/>
      </c>
    </row>
    <row r="6422">
      <c r="A6422">
        <f>IFERROR(INDEX('Email Cleaner'!$B$2:$B$10001,MATCH(6421,'Email Cleaner'!$I$2:$I$10001,0)),"")</f>
        <v/>
      </c>
    </row>
    <row r="6423">
      <c r="A6423">
        <f>IFERROR(INDEX('Email Cleaner'!$B$2:$B$10001,MATCH(6422,'Email Cleaner'!$I$2:$I$10001,0)),"")</f>
        <v/>
      </c>
    </row>
    <row r="6424">
      <c r="A6424">
        <f>IFERROR(INDEX('Email Cleaner'!$B$2:$B$10001,MATCH(6423,'Email Cleaner'!$I$2:$I$10001,0)),"")</f>
        <v/>
      </c>
    </row>
    <row r="6425">
      <c r="A6425">
        <f>IFERROR(INDEX('Email Cleaner'!$B$2:$B$10001,MATCH(6424,'Email Cleaner'!$I$2:$I$10001,0)),"")</f>
        <v/>
      </c>
    </row>
    <row r="6426">
      <c r="A6426">
        <f>IFERROR(INDEX('Email Cleaner'!$B$2:$B$10001,MATCH(6425,'Email Cleaner'!$I$2:$I$10001,0)),"")</f>
        <v/>
      </c>
    </row>
    <row r="6427">
      <c r="A6427">
        <f>IFERROR(INDEX('Email Cleaner'!$B$2:$B$10001,MATCH(6426,'Email Cleaner'!$I$2:$I$10001,0)),"")</f>
        <v/>
      </c>
    </row>
    <row r="6428">
      <c r="A6428">
        <f>IFERROR(INDEX('Email Cleaner'!$B$2:$B$10001,MATCH(6427,'Email Cleaner'!$I$2:$I$10001,0)),"")</f>
        <v/>
      </c>
    </row>
    <row r="6429">
      <c r="A6429">
        <f>IFERROR(INDEX('Email Cleaner'!$B$2:$B$10001,MATCH(6428,'Email Cleaner'!$I$2:$I$10001,0)),"")</f>
        <v/>
      </c>
    </row>
    <row r="6430">
      <c r="A6430">
        <f>IFERROR(INDEX('Email Cleaner'!$B$2:$B$10001,MATCH(6429,'Email Cleaner'!$I$2:$I$10001,0)),"")</f>
        <v/>
      </c>
    </row>
    <row r="6431">
      <c r="A6431">
        <f>IFERROR(INDEX('Email Cleaner'!$B$2:$B$10001,MATCH(6430,'Email Cleaner'!$I$2:$I$10001,0)),"")</f>
        <v/>
      </c>
    </row>
    <row r="6432">
      <c r="A6432">
        <f>IFERROR(INDEX('Email Cleaner'!$B$2:$B$10001,MATCH(6431,'Email Cleaner'!$I$2:$I$10001,0)),"")</f>
        <v/>
      </c>
    </row>
    <row r="6433">
      <c r="A6433">
        <f>IFERROR(INDEX('Email Cleaner'!$B$2:$B$10001,MATCH(6432,'Email Cleaner'!$I$2:$I$10001,0)),"")</f>
        <v/>
      </c>
    </row>
    <row r="6434">
      <c r="A6434">
        <f>IFERROR(INDEX('Email Cleaner'!$B$2:$B$10001,MATCH(6433,'Email Cleaner'!$I$2:$I$10001,0)),"")</f>
        <v/>
      </c>
    </row>
    <row r="6435">
      <c r="A6435">
        <f>IFERROR(INDEX('Email Cleaner'!$B$2:$B$10001,MATCH(6434,'Email Cleaner'!$I$2:$I$10001,0)),"")</f>
        <v/>
      </c>
    </row>
    <row r="6436">
      <c r="A6436">
        <f>IFERROR(INDEX('Email Cleaner'!$B$2:$B$10001,MATCH(6435,'Email Cleaner'!$I$2:$I$10001,0)),"")</f>
        <v/>
      </c>
    </row>
    <row r="6437">
      <c r="A6437">
        <f>IFERROR(INDEX('Email Cleaner'!$B$2:$B$10001,MATCH(6436,'Email Cleaner'!$I$2:$I$10001,0)),"")</f>
        <v/>
      </c>
    </row>
    <row r="6438">
      <c r="A6438">
        <f>IFERROR(INDEX('Email Cleaner'!$B$2:$B$10001,MATCH(6437,'Email Cleaner'!$I$2:$I$10001,0)),"")</f>
        <v/>
      </c>
    </row>
    <row r="6439">
      <c r="A6439">
        <f>IFERROR(INDEX('Email Cleaner'!$B$2:$B$10001,MATCH(6438,'Email Cleaner'!$I$2:$I$10001,0)),"")</f>
        <v/>
      </c>
    </row>
    <row r="6440">
      <c r="A6440">
        <f>IFERROR(INDEX('Email Cleaner'!$B$2:$B$10001,MATCH(6439,'Email Cleaner'!$I$2:$I$10001,0)),"")</f>
        <v/>
      </c>
    </row>
    <row r="6441">
      <c r="A6441">
        <f>IFERROR(INDEX('Email Cleaner'!$B$2:$B$10001,MATCH(6440,'Email Cleaner'!$I$2:$I$10001,0)),"")</f>
        <v/>
      </c>
    </row>
    <row r="6442">
      <c r="A6442">
        <f>IFERROR(INDEX('Email Cleaner'!$B$2:$B$10001,MATCH(6441,'Email Cleaner'!$I$2:$I$10001,0)),"")</f>
        <v/>
      </c>
    </row>
    <row r="6443">
      <c r="A6443">
        <f>IFERROR(INDEX('Email Cleaner'!$B$2:$B$10001,MATCH(6442,'Email Cleaner'!$I$2:$I$10001,0)),"")</f>
        <v/>
      </c>
    </row>
    <row r="6444">
      <c r="A6444">
        <f>IFERROR(INDEX('Email Cleaner'!$B$2:$B$10001,MATCH(6443,'Email Cleaner'!$I$2:$I$10001,0)),"")</f>
        <v/>
      </c>
    </row>
    <row r="6445">
      <c r="A6445">
        <f>IFERROR(INDEX('Email Cleaner'!$B$2:$B$10001,MATCH(6444,'Email Cleaner'!$I$2:$I$10001,0)),"")</f>
        <v/>
      </c>
    </row>
    <row r="6446">
      <c r="A6446">
        <f>IFERROR(INDEX('Email Cleaner'!$B$2:$B$10001,MATCH(6445,'Email Cleaner'!$I$2:$I$10001,0)),"")</f>
        <v/>
      </c>
    </row>
    <row r="6447">
      <c r="A6447">
        <f>IFERROR(INDEX('Email Cleaner'!$B$2:$B$10001,MATCH(6446,'Email Cleaner'!$I$2:$I$10001,0)),"")</f>
        <v/>
      </c>
    </row>
    <row r="6448">
      <c r="A6448">
        <f>IFERROR(INDEX('Email Cleaner'!$B$2:$B$10001,MATCH(6447,'Email Cleaner'!$I$2:$I$10001,0)),"")</f>
        <v/>
      </c>
    </row>
    <row r="6449">
      <c r="A6449">
        <f>IFERROR(INDEX('Email Cleaner'!$B$2:$B$10001,MATCH(6448,'Email Cleaner'!$I$2:$I$10001,0)),"")</f>
        <v/>
      </c>
    </row>
    <row r="6450">
      <c r="A6450">
        <f>IFERROR(INDEX('Email Cleaner'!$B$2:$B$10001,MATCH(6449,'Email Cleaner'!$I$2:$I$10001,0)),"")</f>
        <v/>
      </c>
    </row>
    <row r="6451">
      <c r="A6451">
        <f>IFERROR(INDEX('Email Cleaner'!$B$2:$B$10001,MATCH(6450,'Email Cleaner'!$I$2:$I$10001,0)),"")</f>
        <v/>
      </c>
    </row>
    <row r="6452">
      <c r="A6452">
        <f>IFERROR(INDEX('Email Cleaner'!$B$2:$B$10001,MATCH(6451,'Email Cleaner'!$I$2:$I$10001,0)),"")</f>
        <v/>
      </c>
    </row>
    <row r="6453">
      <c r="A6453">
        <f>IFERROR(INDEX('Email Cleaner'!$B$2:$B$10001,MATCH(6452,'Email Cleaner'!$I$2:$I$10001,0)),"")</f>
        <v/>
      </c>
    </row>
    <row r="6454">
      <c r="A6454">
        <f>IFERROR(INDEX('Email Cleaner'!$B$2:$B$10001,MATCH(6453,'Email Cleaner'!$I$2:$I$10001,0)),"")</f>
        <v/>
      </c>
    </row>
    <row r="6455">
      <c r="A6455">
        <f>IFERROR(INDEX('Email Cleaner'!$B$2:$B$10001,MATCH(6454,'Email Cleaner'!$I$2:$I$10001,0)),"")</f>
        <v/>
      </c>
    </row>
    <row r="6456">
      <c r="A6456">
        <f>IFERROR(INDEX('Email Cleaner'!$B$2:$B$10001,MATCH(6455,'Email Cleaner'!$I$2:$I$10001,0)),"")</f>
        <v/>
      </c>
    </row>
    <row r="6457">
      <c r="A6457">
        <f>IFERROR(INDEX('Email Cleaner'!$B$2:$B$10001,MATCH(6456,'Email Cleaner'!$I$2:$I$10001,0)),"")</f>
        <v/>
      </c>
    </row>
    <row r="6458">
      <c r="A6458">
        <f>IFERROR(INDEX('Email Cleaner'!$B$2:$B$10001,MATCH(6457,'Email Cleaner'!$I$2:$I$10001,0)),"")</f>
        <v/>
      </c>
    </row>
    <row r="6459">
      <c r="A6459">
        <f>IFERROR(INDEX('Email Cleaner'!$B$2:$B$10001,MATCH(6458,'Email Cleaner'!$I$2:$I$10001,0)),"")</f>
        <v/>
      </c>
    </row>
    <row r="6460">
      <c r="A6460">
        <f>IFERROR(INDEX('Email Cleaner'!$B$2:$B$10001,MATCH(6459,'Email Cleaner'!$I$2:$I$10001,0)),"")</f>
        <v/>
      </c>
    </row>
    <row r="6461">
      <c r="A6461">
        <f>IFERROR(INDEX('Email Cleaner'!$B$2:$B$10001,MATCH(6460,'Email Cleaner'!$I$2:$I$10001,0)),"")</f>
        <v/>
      </c>
    </row>
    <row r="6462">
      <c r="A6462">
        <f>IFERROR(INDEX('Email Cleaner'!$B$2:$B$10001,MATCH(6461,'Email Cleaner'!$I$2:$I$10001,0)),"")</f>
        <v/>
      </c>
    </row>
    <row r="6463">
      <c r="A6463">
        <f>IFERROR(INDEX('Email Cleaner'!$B$2:$B$10001,MATCH(6462,'Email Cleaner'!$I$2:$I$10001,0)),"")</f>
        <v/>
      </c>
    </row>
    <row r="6464">
      <c r="A6464">
        <f>IFERROR(INDEX('Email Cleaner'!$B$2:$B$10001,MATCH(6463,'Email Cleaner'!$I$2:$I$10001,0)),"")</f>
        <v/>
      </c>
    </row>
    <row r="6465">
      <c r="A6465">
        <f>IFERROR(INDEX('Email Cleaner'!$B$2:$B$10001,MATCH(6464,'Email Cleaner'!$I$2:$I$10001,0)),"")</f>
        <v/>
      </c>
    </row>
    <row r="6466">
      <c r="A6466">
        <f>IFERROR(INDEX('Email Cleaner'!$B$2:$B$10001,MATCH(6465,'Email Cleaner'!$I$2:$I$10001,0)),"")</f>
        <v/>
      </c>
    </row>
    <row r="6467">
      <c r="A6467">
        <f>IFERROR(INDEX('Email Cleaner'!$B$2:$B$10001,MATCH(6466,'Email Cleaner'!$I$2:$I$10001,0)),"")</f>
        <v/>
      </c>
    </row>
    <row r="6468">
      <c r="A6468">
        <f>IFERROR(INDEX('Email Cleaner'!$B$2:$B$10001,MATCH(6467,'Email Cleaner'!$I$2:$I$10001,0)),"")</f>
        <v/>
      </c>
    </row>
    <row r="6469">
      <c r="A6469">
        <f>IFERROR(INDEX('Email Cleaner'!$B$2:$B$10001,MATCH(6468,'Email Cleaner'!$I$2:$I$10001,0)),"")</f>
        <v/>
      </c>
    </row>
    <row r="6470">
      <c r="A6470">
        <f>IFERROR(INDEX('Email Cleaner'!$B$2:$B$10001,MATCH(6469,'Email Cleaner'!$I$2:$I$10001,0)),"")</f>
        <v/>
      </c>
    </row>
    <row r="6471">
      <c r="A6471">
        <f>IFERROR(INDEX('Email Cleaner'!$B$2:$B$10001,MATCH(6470,'Email Cleaner'!$I$2:$I$10001,0)),"")</f>
        <v/>
      </c>
    </row>
    <row r="6472">
      <c r="A6472">
        <f>IFERROR(INDEX('Email Cleaner'!$B$2:$B$10001,MATCH(6471,'Email Cleaner'!$I$2:$I$10001,0)),"")</f>
        <v/>
      </c>
    </row>
    <row r="6473">
      <c r="A6473">
        <f>IFERROR(INDEX('Email Cleaner'!$B$2:$B$10001,MATCH(6472,'Email Cleaner'!$I$2:$I$10001,0)),"")</f>
        <v/>
      </c>
    </row>
    <row r="6474">
      <c r="A6474">
        <f>IFERROR(INDEX('Email Cleaner'!$B$2:$B$10001,MATCH(6473,'Email Cleaner'!$I$2:$I$10001,0)),"")</f>
        <v/>
      </c>
    </row>
    <row r="6475">
      <c r="A6475">
        <f>IFERROR(INDEX('Email Cleaner'!$B$2:$B$10001,MATCH(6474,'Email Cleaner'!$I$2:$I$10001,0)),"")</f>
        <v/>
      </c>
    </row>
    <row r="6476">
      <c r="A6476">
        <f>IFERROR(INDEX('Email Cleaner'!$B$2:$B$10001,MATCH(6475,'Email Cleaner'!$I$2:$I$10001,0)),"")</f>
        <v/>
      </c>
    </row>
    <row r="6477">
      <c r="A6477">
        <f>IFERROR(INDEX('Email Cleaner'!$B$2:$B$10001,MATCH(6476,'Email Cleaner'!$I$2:$I$10001,0)),"")</f>
        <v/>
      </c>
    </row>
    <row r="6478">
      <c r="A6478">
        <f>IFERROR(INDEX('Email Cleaner'!$B$2:$B$10001,MATCH(6477,'Email Cleaner'!$I$2:$I$10001,0)),"")</f>
        <v/>
      </c>
    </row>
    <row r="6479">
      <c r="A6479">
        <f>IFERROR(INDEX('Email Cleaner'!$B$2:$B$10001,MATCH(6478,'Email Cleaner'!$I$2:$I$10001,0)),"")</f>
        <v/>
      </c>
    </row>
    <row r="6480">
      <c r="A6480">
        <f>IFERROR(INDEX('Email Cleaner'!$B$2:$B$10001,MATCH(6479,'Email Cleaner'!$I$2:$I$10001,0)),"")</f>
        <v/>
      </c>
    </row>
    <row r="6481">
      <c r="A6481">
        <f>IFERROR(INDEX('Email Cleaner'!$B$2:$B$10001,MATCH(6480,'Email Cleaner'!$I$2:$I$10001,0)),"")</f>
        <v/>
      </c>
    </row>
    <row r="6482">
      <c r="A6482">
        <f>IFERROR(INDEX('Email Cleaner'!$B$2:$B$10001,MATCH(6481,'Email Cleaner'!$I$2:$I$10001,0)),"")</f>
        <v/>
      </c>
    </row>
    <row r="6483">
      <c r="A6483">
        <f>IFERROR(INDEX('Email Cleaner'!$B$2:$B$10001,MATCH(6482,'Email Cleaner'!$I$2:$I$10001,0)),"")</f>
        <v/>
      </c>
    </row>
    <row r="6484">
      <c r="A6484">
        <f>IFERROR(INDEX('Email Cleaner'!$B$2:$B$10001,MATCH(6483,'Email Cleaner'!$I$2:$I$10001,0)),"")</f>
        <v/>
      </c>
    </row>
    <row r="6485">
      <c r="A6485">
        <f>IFERROR(INDEX('Email Cleaner'!$B$2:$B$10001,MATCH(6484,'Email Cleaner'!$I$2:$I$10001,0)),"")</f>
        <v/>
      </c>
    </row>
    <row r="6486">
      <c r="A6486">
        <f>IFERROR(INDEX('Email Cleaner'!$B$2:$B$10001,MATCH(6485,'Email Cleaner'!$I$2:$I$10001,0)),"")</f>
        <v/>
      </c>
    </row>
    <row r="6487">
      <c r="A6487">
        <f>IFERROR(INDEX('Email Cleaner'!$B$2:$B$10001,MATCH(6486,'Email Cleaner'!$I$2:$I$10001,0)),"")</f>
        <v/>
      </c>
    </row>
    <row r="6488">
      <c r="A6488">
        <f>IFERROR(INDEX('Email Cleaner'!$B$2:$B$10001,MATCH(6487,'Email Cleaner'!$I$2:$I$10001,0)),"")</f>
        <v/>
      </c>
    </row>
    <row r="6489">
      <c r="A6489">
        <f>IFERROR(INDEX('Email Cleaner'!$B$2:$B$10001,MATCH(6488,'Email Cleaner'!$I$2:$I$10001,0)),"")</f>
        <v/>
      </c>
    </row>
    <row r="6490">
      <c r="A6490">
        <f>IFERROR(INDEX('Email Cleaner'!$B$2:$B$10001,MATCH(6489,'Email Cleaner'!$I$2:$I$10001,0)),"")</f>
        <v/>
      </c>
    </row>
    <row r="6491">
      <c r="A6491">
        <f>IFERROR(INDEX('Email Cleaner'!$B$2:$B$10001,MATCH(6490,'Email Cleaner'!$I$2:$I$10001,0)),"")</f>
        <v/>
      </c>
    </row>
    <row r="6492">
      <c r="A6492">
        <f>IFERROR(INDEX('Email Cleaner'!$B$2:$B$10001,MATCH(6491,'Email Cleaner'!$I$2:$I$10001,0)),"")</f>
        <v/>
      </c>
    </row>
    <row r="6493">
      <c r="A6493">
        <f>IFERROR(INDEX('Email Cleaner'!$B$2:$B$10001,MATCH(6492,'Email Cleaner'!$I$2:$I$10001,0)),"")</f>
        <v/>
      </c>
    </row>
    <row r="6494">
      <c r="A6494">
        <f>IFERROR(INDEX('Email Cleaner'!$B$2:$B$10001,MATCH(6493,'Email Cleaner'!$I$2:$I$10001,0)),"")</f>
        <v/>
      </c>
    </row>
    <row r="6495">
      <c r="A6495">
        <f>IFERROR(INDEX('Email Cleaner'!$B$2:$B$10001,MATCH(6494,'Email Cleaner'!$I$2:$I$10001,0)),"")</f>
        <v/>
      </c>
    </row>
    <row r="6496">
      <c r="A6496">
        <f>IFERROR(INDEX('Email Cleaner'!$B$2:$B$10001,MATCH(6495,'Email Cleaner'!$I$2:$I$10001,0)),"")</f>
        <v/>
      </c>
    </row>
    <row r="6497">
      <c r="A6497">
        <f>IFERROR(INDEX('Email Cleaner'!$B$2:$B$10001,MATCH(6496,'Email Cleaner'!$I$2:$I$10001,0)),"")</f>
        <v/>
      </c>
    </row>
    <row r="6498">
      <c r="A6498">
        <f>IFERROR(INDEX('Email Cleaner'!$B$2:$B$10001,MATCH(6497,'Email Cleaner'!$I$2:$I$10001,0)),"")</f>
        <v/>
      </c>
    </row>
    <row r="6499">
      <c r="A6499">
        <f>IFERROR(INDEX('Email Cleaner'!$B$2:$B$10001,MATCH(6498,'Email Cleaner'!$I$2:$I$10001,0)),"")</f>
        <v/>
      </c>
    </row>
    <row r="6500">
      <c r="A6500">
        <f>IFERROR(INDEX('Email Cleaner'!$B$2:$B$10001,MATCH(6499,'Email Cleaner'!$I$2:$I$10001,0)),"")</f>
        <v/>
      </c>
    </row>
    <row r="6501">
      <c r="A6501">
        <f>IFERROR(INDEX('Email Cleaner'!$B$2:$B$10001,MATCH(6500,'Email Cleaner'!$I$2:$I$10001,0)),"")</f>
        <v/>
      </c>
    </row>
    <row r="6502">
      <c r="A6502">
        <f>IFERROR(INDEX('Email Cleaner'!$B$2:$B$10001,MATCH(6501,'Email Cleaner'!$I$2:$I$10001,0)),"")</f>
        <v/>
      </c>
    </row>
    <row r="6503">
      <c r="A6503">
        <f>IFERROR(INDEX('Email Cleaner'!$B$2:$B$10001,MATCH(6502,'Email Cleaner'!$I$2:$I$10001,0)),"")</f>
        <v/>
      </c>
    </row>
    <row r="6504">
      <c r="A6504">
        <f>IFERROR(INDEX('Email Cleaner'!$B$2:$B$10001,MATCH(6503,'Email Cleaner'!$I$2:$I$10001,0)),"")</f>
        <v/>
      </c>
    </row>
    <row r="6505">
      <c r="A6505">
        <f>IFERROR(INDEX('Email Cleaner'!$B$2:$B$10001,MATCH(6504,'Email Cleaner'!$I$2:$I$10001,0)),"")</f>
        <v/>
      </c>
    </row>
    <row r="6506">
      <c r="A6506">
        <f>IFERROR(INDEX('Email Cleaner'!$B$2:$B$10001,MATCH(6505,'Email Cleaner'!$I$2:$I$10001,0)),"")</f>
        <v/>
      </c>
    </row>
    <row r="6507">
      <c r="A6507">
        <f>IFERROR(INDEX('Email Cleaner'!$B$2:$B$10001,MATCH(6506,'Email Cleaner'!$I$2:$I$10001,0)),"")</f>
        <v/>
      </c>
    </row>
    <row r="6508">
      <c r="A6508">
        <f>IFERROR(INDEX('Email Cleaner'!$B$2:$B$10001,MATCH(6507,'Email Cleaner'!$I$2:$I$10001,0)),"")</f>
        <v/>
      </c>
    </row>
    <row r="6509">
      <c r="A6509">
        <f>IFERROR(INDEX('Email Cleaner'!$B$2:$B$10001,MATCH(6508,'Email Cleaner'!$I$2:$I$10001,0)),"")</f>
        <v/>
      </c>
    </row>
    <row r="6510">
      <c r="A6510">
        <f>IFERROR(INDEX('Email Cleaner'!$B$2:$B$10001,MATCH(6509,'Email Cleaner'!$I$2:$I$10001,0)),"")</f>
        <v/>
      </c>
    </row>
    <row r="6511">
      <c r="A6511">
        <f>IFERROR(INDEX('Email Cleaner'!$B$2:$B$10001,MATCH(6510,'Email Cleaner'!$I$2:$I$10001,0)),"")</f>
        <v/>
      </c>
    </row>
    <row r="6512">
      <c r="A6512">
        <f>IFERROR(INDEX('Email Cleaner'!$B$2:$B$10001,MATCH(6511,'Email Cleaner'!$I$2:$I$10001,0)),"")</f>
        <v/>
      </c>
    </row>
    <row r="6513">
      <c r="A6513">
        <f>IFERROR(INDEX('Email Cleaner'!$B$2:$B$10001,MATCH(6512,'Email Cleaner'!$I$2:$I$10001,0)),"")</f>
        <v/>
      </c>
    </row>
    <row r="6514">
      <c r="A6514">
        <f>IFERROR(INDEX('Email Cleaner'!$B$2:$B$10001,MATCH(6513,'Email Cleaner'!$I$2:$I$10001,0)),"")</f>
        <v/>
      </c>
    </row>
    <row r="6515">
      <c r="A6515">
        <f>IFERROR(INDEX('Email Cleaner'!$B$2:$B$10001,MATCH(6514,'Email Cleaner'!$I$2:$I$10001,0)),"")</f>
        <v/>
      </c>
    </row>
    <row r="6516">
      <c r="A6516">
        <f>IFERROR(INDEX('Email Cleaner'!$B$2:$B$10001,MATCH(6515,'Email Cleaner'!$I$2:$I$10001,0)),"")</f>
        <v/>
      </c>
    </row>
    <row r="6517">
      <c r="A6517">
        <f>IFERROR(INDEX('Email Cleaner'!$B$2:$B$10001,MATCH(6516,'Email Cleaner'!$I$2:$I$10001,0)),"")</f>
        <v/>
      </c>
    </row>
    <row r="6518">
      <c r="A6518">
        <f>IFERROR(INDEX('Email Cleaner'!$B$2:$B$10001,MATCH(6517,'Email Cleaner'!$I$2:$I$10001,0)),"")</f>
        <v/>
      </c>
    </row>
    <row r="6519">
      <c r="A6519">
        <f>IFERROR(INDEX('Email Cleaner'!$B$2:$B$10001,MATCH(6518,'Email Cleaner'!$I$2:$I$10001,0)),"")</f>
        <v/>
      </c>
    </row>
    <row r="6520">
      <c r="A6520">
        <f>IFERROR(INDEX('Email Cleaner'!$B$2:$B$10001,MATCH(6519,'Email Cleaner'!$I$2:$I$10001,0)),"")</f>
        <v/>
      </c>
    </row>
    <row r="6521">
      <c r="A6521">
        <f>IFERROR(INDEX('Email Cleaner'!$B$2:$B$10001,MATCH(6520,'Email Cleaner'!$I$2:$I$10001,0)),"")</f>
        <v/>
      </c>
    </row>
    <row r="6522">
      <c r="A6522">
        <f>IFERROR(INDEX('Email Cleaner'!$B$2:$B$10001,MATCH(6521,'Email Cleaner'!$I$2:$I$10001,0)),"")</f>
        <v/>
      </c>
    </row>
    <row r="6523">
      <c r="A6523">
        <f>IFERROR(INDEX('Email Cleaner'!$B$2:$B$10001,MATCH(6522,'Email Cleaner'!$I$2:$I$10001,0)),"")</f>
        <v/>
      </c>
    </row>
    <row r="6524">
      <c r="A6524">
        <f>IFERROR(INDEX('Email Cleaner'!$B$2:$B$10001,MATCH(6523,'Email Cleaner'!$I$2:$I$10001,0)),"")</f>
        <v/>
      </c>
    </row>
    <row r="6525">
      <c r="A6525">
        <f>IFERROR(INDEX('Email Cleaner'!$B$2:$B$10001,MATCH(6524,'Email Cleaner'!$I$2:$I$10001,0)),"")</f>
        <v/>
      </c>
    </row>
    <row r="6526">
      <c r="A6526">
        <f>IFERROR(INDEX('Email Cleaner'!$B$2:$B$10001,MATCH(6525,'Email Cleaner'!$I$2:$I$10001,0)),"")</f>
        <v/>
      </c>
    </row>
    <row r="6527">
      <c r="A6527">
        <f>IFERROR(INDEX('Email Cleaner'!$B$2:$B$10001,MATCH(6526,'Email Cleaner'!$I$2:$I$10001,0)),"")</f>
        <v/>
      </c>
    </row>
    <row r="6528">
      <c r="A6528">
        <f>IFERROR(INDEX('Email Cleaner'!$B$2:$B$10001,MATCH(6527,'Email Cleaner'!$I$2:$I$10001,0)),"")</f>
        <v/>
      </c>
    </row>
    <row r="6529">
      <c r="A6529">
        <f>IFERROR(INDEX('Email Cleaner'!$B$2:$B$10001,MATCH(6528,'Email Cleaner'!$I$2:$I$10001,0)),"")</f>
        <v/>
      </c>
    </row>
    <row r="6530">
      <c r="A6530">
        <f>IFERROR(INDEX('Email Cleaner'!$B$2:$B$10001,MATCH(6529,'Email Cleaner'!$I$2:$I$10001,0)),"")</f>
        <v/>
      </c>
    </row>
    <row r="6531">
      <c r="A6531">
        <f>IFERROR(INDEX('Email Cleaner'!$B$2:$B$10001,MATCH(6530,'Email Cleaner'!$I$2:$I$10001,0)),"")</f>
        <v/>
      </c>
    </row>
    <row r="6532">
      <c r="A6532">
        <f>IFERROR(INDEX('Email Cleaner'!$B$2:$B$10001,MATCH(6531,'Email Cleaner'!$I$2:$I$10001,0)),"")</f>
        <v/>
      </c>
    </row>
    <row r="6533">
      <c r="A6533">
        <f>IFERROR(INDEX('Email Cleaner'!$B$2:$B$10001,MATCH(6532,'Email Cleaner'!$I$2:$I$10001,0)),"")</f>
        <v/>
      </c>
    </row>
    <row r="6534">
      <c r="A6534">
        <f>IFERROR(INDEX('Email Cleaner'!$B$2:$B$10001,MATCH(6533,'Email Cleaner'!$I$2:$I$10001,0)),"")</f>
        <v/>
      </c>
    </row>
    <row r="6535">
      <c r="A6535">
        <f>IFERROR(INDEX('Email Cleaner'!$B$2:$B$10001,MATCH(6534,'Email Cleaner'!$I$2:$I$10001,0)),"")</f>
        <v/>
      </c>
    </row>
    <row r="6536">
      <c r="A6536">
        <f>IFERROR(INDEX('Email Cleaner'!$B$2:$B$10001,MATCH(6535,'Email Cleaner'!$I$2:$I$10001,0)),"")</f>
        <v/>
      </c>
    </row>
    <row r="6537">
      <c r="A6537">
        <f>IFERROR(INDEX('Email Cleaner'!$B$2:$B$10001,MATCH(6536,'Email Cleaner'!$I$2:$I$10001,0)),"")</f>
        <v/>
      </c>
    </row>
    <row r="6538">
      <c r="A6538">
        <f>IFERROR(INDEX('Email Cleaner'!$B$2:$B$10001,MATCH(6537,'Email Cleaner'!$I$2:$I$10001,0)),"")</f>
        <v/>
      </c>
    </row>
    <row r="6539">
      <c r="A6539">
        <f>IFERROR(INDEX('Email Cleaner'!$B$2:$B$10001,MATCH(6538,'Email Cleaner'!$I$2:$I$10001,0)),"")</f>
        <v/>
      </c>
    </row>
    <row r="6540">
      <c r="A6540">
        <f>IFERROR(INDEX('Email Cleaner'!$B$2:$B$10001,MATCH(6539,'Email Cleaner'!$I$2:$I$10001,0)),"")</f>
        <v/>
      </c>
    </row>
    <row r="6541">
      <c r="A6541">
        <f>IFERROR(INDEX('Email Cleaner'!$B$2:$B$10001,MATCH(6540,'Email Cleaner'!$I$2:$I$10001,0)),"")</f>
        <v/>
      </c>
    </row>
    <row r="6542">
      <c r="A6542">
        <f>IFERROR(INDEX('Email Cleaner'!$B$2:$B$10001,MATCH(6541,'Email Cleaner'!$I$2:$I$10001,0)),"")</f>
        <v/>
      </c>
    </row>
    <row r="6543">
      <c r="A6543">
        <f>IFERROR(INDEX('Email Cleaner'!$B$2:$B$10001,MATCH(6542,'Email Cleaner'!$I$2:$I$10001,0)),"")</f>
        <v/>
      </c>
    </row>
    <row r="6544">
      <c r="A6544">
        <f>IFERROR(INDEX('Email Cleaner'!$B$2:$B$10001,MATCH(6543,'Email Cleaner'!$I$2:$I$10001,0)),"")</f>
        <v/>
      </c>
    </row>
    <row r="6545">
      <c r="A6545">
        <f>IFERROR(INDEX('Email Cleaner'!$B$2:$B$10001,MATCH(6544,'Email Cleaner'!$I$2:$I$10001,0)),"")</f>
        <v/>
      </c>
    </row>
    <row r="6546">
      <c r="A6546">
        <f>IFERROR(INDEX('Email Cleaner'!$B$2:$B$10001,MATCH(6545,'Email Cleaner'!$I$2:$I$10001,0)),"")</f>
        <v/>
      </c>
    </row>
    <row r="6547">
      <c r="A6547">
        <f>IFERROR(INDEX('Email Cleaner'!$B$2:$B$10001,MATCH(6546,'Email Cleaner'!$I$2:$I$10001,0)),"")</f>
        <v/>
      </c>
    </row>
    <row r="6548">
      <c r="A6548">
        <f>IFERROR(INDEX('Email Cleaner'!$B$2:$B$10001,MATCH(6547,'Email Cleaner'!$I$2:$I$10001,0)),"")</f>
        <v/>
      </c>
    </row>
    <row r="6549">
      <c r="A6549">
        <f>IFERROR(INDEX('Email Cleaner'!$B$2:$B$10001,MATCH(6548,'Email Cleaner'!$I$2:$I$10001,0)),"")</f>
        <v/>
      </c>
    </row>
    <row r="6550">
      <c r="A6550">
        <f>IFERROR(INDEX('Email Cleaner'!$B$2:$B$10001,MATCH(6549,'Email Cleaner'!$I$2:$I$10001,0)),"")</f>
        <v/>
      </c>
    </row>
    <row r="6551">
      <c r="A6551">
        <f>IFERROR(INDEX('Email Cleaner'!$B$2:$B$10001,MATCH(6550,'Email Cleaner'!$I$2:$I$10001,0)),"")</f>
        <v/>
      </c>
    </row>
    <row r="6552">
      <c r="A6552">
        <f>IFERROR(INDEX('Email Cleaner'!$B$2:$B$10001,MATCH(6551,'Email Cleaner'!$I$2:$I$10001,0)),"")</f>
        <v/>
      </c>
    </row>
    <row r="6553">
      <c r="A6553">
        <f>IFERROR(INDEX('Email Cleaner'!$B$2:$B$10001,MATCH(6552,'Email Cleaner'!$I$2:$I$10001,0)),"")</f>
        <v/>
      </c>
    </row>
    <row r="6554">
      <c r="A6554">
        <f>IFERROR(INDEX('Email Cleaner'!$B$2:$B$10001,MATCH(6553,'Email Cleaner'!$I$2:$I$10001,0)),"")</f>
        <v/>
      </c>
    </row>
    <row r="6555">
      <c r="A6555">
        <f>IFERROR(INDEX('Email Cleaner'!$B$2:$B$10001,MATCH(6554,'Email Cleaner'!$I$2:$I$10001,0)),"")</f>
        <v/>
      </c>
    </row>
    <row r="6556">
      <c r="A6556">
        <f>IFERROR(INDEX('Email Cleaner'!$B$2:$B$10001,MATCH(6555,'Email Cleaner'!$I$2:$I$10001,0)),"")</f>
        <v/>
      </c>
    </row>
    <row r="6557">
      <c r="A6557">
        <f>IFERROR(INDEX('Email Cleaner'!$B$2:$B$10001,MATCH(6556,'Email Cleaner'!$I$2:$I$10001,0)),"")</f>
        <v/>
      </c>
    </row>
    <row r="6558">
      <c r="A6558">
        <f>IFERROR(INDEX('Email Cleaner'!$B$2:$B$10001,MATCH(6557,'Email Cleaner'!$I$2:$I$10001,0)),"")</f>
        <v/>
      </c>
    </row>
    <row r="6559">
      <c r="A6559">
        <f>IFERROR(INDEX('Email Cleaner'!$B$2:$B$10001,MATCH(6558,'Email Cleaner'!$I$2:$I$10001,0)),"")</f>
        <v/>
      </c>
    </row>
    <row r="6560">
      <c r="A6560">
        <f>IFERROR(INDEX('Email Cleaner'!$B$2:$B$10001,MATCH(6559,'Email Cleaner'!$I$2:$I$10001,0)),"")</f>
        <v/>
      </c>
    </row>
    <row r="6561">
      <c r="A6561">
        <f>IFERROR(INDEX('Email Cleaner'!$B$2:$B$10001,MATCH(6560,'Email Cleaner'!$I$2:$I$10001,0)),"")</f>
        <v/>
      </c>
    </row>
    <row r="6562">
      <c r="A6562">
        <f>IFERROR(INDEX('Email Cleaner'!$B$2:$B$10001,MATCH(6561,'Email Cleaner'!$I$2:$I$10001,0)),"")</f>
        <v/>
      </c>
    </row>
    <row r="6563">
      <c r="A6563">
        <f>IFERROR(INDEX('Email Cleaner'!$B$2:$B$10001,MATCH(6562,'Email Cleaner'!$I$2:$I$10001,0)),"")</f>
        <v/>
      </c>
    </row>
    <row r="6564">
      <c r="A6564">
        <f>IFERROR(INDEX('Email Cleaner'!$B$2:$B$10001,MATCH(6563,'Email Cleaner'!$I$2:$I$10001,0)),"")</f>
        <v/>
      </c>
    </row>
    <row r="6565">
      <c r="A6565">
        <f>IFERROR(INDEX('Email Cleaner'!$B$2:$B$10001,MATCH(6564,'Email Cleaner'!$I$2:$I$10001,0)),"")</f>
        <v/>
      </c>
    </row>
    <row r="6566">
      <c r="A6566">
        <f>IFERROR(INDEX('Email Cleaner'!$B$2:$B$10001,MATCH(6565,'Email Cleaner'!$I$2:$I$10001,0)),"")</f>
        <v/>
      </c>
    </row>
    <row r="6567">
      <c r="A6567">
        <f>IFERROR(INDEX('Email Cleaner'!$B$2:$B$10001,MATCH(6566,'Email Cleaner'!$I$2:$I$10001,0)),"")</f>
        <v/>
      </c>
    </row>
    <row r="6568">
      <c r="A6568">
        <f>IFERROR(INDEX('Email Cleaner'!$B$2:$B$10001,MATCH(6567,'Email Cleaner'!$I$2:$I$10001,0)),"")</f>
        <v/>
      </c>
    </row>
    <row r="6569">
      <c r="A6569">
        <f>IFERROR(INDEX('Email Cleaner'!$B$2:$B$10001,MATCH(6568,'Email Cleaner'!$I$2:$I$10001,0)),"")</f>
        <v/>
      </c>
    </row>
    <row r="6570">
      <c r="A6570">
        <f>IFERROR(INDEX('Email Cleaner'!$B$2:$B$10001,MATCH(6569,'Email Cleaner'!$I$2:$I$10001,0)),"")</f>
        <v/>
      </c>
    </row>
    <row r="6571">
      <c r="A6571">
        <f>IFERROR(INDEX('Email Cleaner'!$B$2:$B$10001,MATCH(6570,'Email Cleaner'!$I$2:$I$10001,0)),"")</f>
        <v/>
      </c>
    </row>
    <row r="6572">
      <c r="A6572">
        <f>IFERROR(INDEX('Email Cleaner'!$B$2:$B$10001,MATCH(6571,'Email Cleaner'!$I$2:$I$10001,0)),"")</f>
        <v/>
      </c>
    </row>
    <row r="6573">
      <c r="A6573">
        <f>IFERROR(INDEX('Email Cleaner'!$B$2:$B$10001,MATCH(6572,'Email Cleaner'!$I$2:$I$10001,0)),"")</f>
        <v/>
      </c>
    </row>
    <row r="6574">
      <c r="A6574">
        <f>IFERROR(INDEX('Email Cleaner'!$B$2:$B$10001,MATCH(6573,'Email Cleaner'!$I$2:$I$10001,0)),"")</f>
        <v/>
      </c>
    </row>
    <row r="6575">
      <c r="A6575">
        <f>IFERROR(INDEX('Email Cleaner'!$B$2:$B$10001,MATCH(6574,'Email Cleaner'!$I$2:$I$10001,0)),"")</f>
        <v/>
      </c>
    </row>
    <row r="6576">
      <c r="A6576">
        <f>IFERROR(INDEX('Email Cleaner'!$B$2:$B$10001,MATCH(6575,'Email Cleaner'!$I$2:$I$10001,0)),"")</f>
        <v/>
      </c>
    </row>
    <row r="6577">
      <c r="A6577">
        <f>IFERROR(INDEX('Email Cleaner'!$B$2:$B$10001,MATCH(6576,'Email Cleaner'!$I$2:$I$10001,0)),"")</f>
        <v/>
      </c>
    </row>
    <row r="6578">
      <c r="A6578">
        <f>IFERROR(INDEX('Email Cleaner'!$B$2:$B$10001,MATCH(6577,'Email Cleaner'!$I$2:$I$10001,0)),"")</f>
        <v/>
      </c>
    </row>
    <row r="6579">
      <c r="A6579">
        <f>IFERROR(INDEX('Email Cleaner'!$B$2:$B$10001,MATCH(6578,'Email Cleaner'!$I$2:$I$10001,0)),"")</f>
        <v/>
      </c>
    </row>
    <row r="6580">
      <c r="A6580">
        <f>IFERROR(INDEX('Email Cleaner'!$B$2:$B$10001,MATCH(6579,'Email Cleaner'!$I$2:$I$10001,0)),"")</f>
        <v/>
      </c>
    </row>
    <row r="6581">
      <c r="A6581">
        <f>IFERROR(INDEX('Email Cleaner'!$B$2:$B$10001,MATCH(6580,'Email Cleaner'!$I$2:$I$10001,0)),"")</f>
        <v/>
      </c>
    </row>
    <row r="6582">
      <c r="A6582">
        <f>IFERROR(INDEX('Email Cleaner'!$B$2:$B$10001,MATCH(6581,'Email Cleaner'!$I$2:$I$10001,0)),"")</f>
        <v/>
      </c>
    </row>
    <row r="6583">
      <c r="A6583">
        <f>IFERROR(INDEX('Email Cleaner'!$B$2:$B$10001,MATCH(6582,'Email Cleaner'!$I$2:$I$10001,0)),"")</f>
        <v/>
      </c>
    </row>
    <row r="6584">
      <c r="A6584">
        <f>IFERROR(INDEX('Email Cleaner'!$B$2:$B$10001,MATCH(6583,'Email Cleaner'!$I$2:$I$10001,0)),"")</f>
        <v/>
      </c>
    </row>
    <row r="6585">
      <c r="A6585">
        <f>IFERROR(INDEX('Email Cleaner'!$B$2:$B$10001,MATCH(6584,'Email Cleaner'!$I$2:$I$10001,0)),"")</f>
        <v/>
      </c>
    </row>
    <row r="6586">
      <c r="A6586">
        <f>IFERROR(INDEX('Email Cleaner'!$B$2:$B$10001,MATCH(6585,'Email Cleaner'!$I$2:$I$10001,0)),"")</f>
        <v/>
      </c>
    </row>
    <row r="6587">
      <c r="A6587">
        <f>IFERROR(INDEX('Email Cleaner'!$B$2:$B$10001,MATCH(6586,'Email Cleaner'!$I$2:$I$10001,0)),"")</f>
        <v/>
      </c>
    </row>
    <row r="6588">
      <c r="A6588">
        <f>IFERROR(INDEX('Email Cleaner'!$B$2:$B$10001,MATCH(6587,'Email Cleaner'!$I$2:$I$10001,0)),"")</f>
        <v/>
      </c>
    </row>
    <row r="6589">
      <c r="A6589">
        <f>IFERROR(INDEX('Email Cleaner'!$B$2:$B$10001,MATCH(6588,'Email Cleaner'!$I$2:$I$10001,0)),"")</f>
        <v/>
      </c>
    </row>
    <row r="6590">
      <c r="A6590">
        <f>IFERROR(INDEX('Email Cleaner'!$B$2:$B$10001,MATCH(6589,'Email Cleaner'!$I$2:$I$10001,0)),"")</f>
        <v/>
      </c>
    </row>
    <row r="6591">
      <c r="A6591">
        <f>IFERROR(INDEX('Email Cleaner'!$B$2:$B$10001,MATCH(6590,'Email Cleaner'!$I$2:$I$10001,0)),"")</f>
        <v/>
      </c>
    </row>
    <row r="6592">
      <c r="A6592">
        <f>IFERROR(INDEX('Email Cleaner'!$B$2:$B$10001,MATCH(6591,'Email Cleaner'!$I$2:$I$10001,0)),"")</f>
        <v/>
      </c>
    </row>
    <row r="6593">
      <c r="A6593">
        <f>IFERROR(INDEX('Email Cleaner'!$B$2:$B$10001,MATCH(6592,'Email Cleaner'!$I$2:$I$10001,0)),"")</f>
        <v/>
      </c>
    </row>
    <row r="6594">
      <c r="A6594">
        <f>IFERROR(INDEX('Email Cleaner'!$B$2:$B$10001,MATCH(6593,'Email Cleaner'!$I$2:$I$10001,0)),"")</f>
        <v/>
      </c>
    </row>
    <row r="6595">
      <c r="A6595">
        <f>IFERROR(INDEX('Email Cleaner'!$B$2:$B$10001,MATCH(6594,'Email Cleaner'!$I$2:$I$10001,0)),"")</f>
        <v/>
      </c>
    </row>
    <row r="6596">
      <c r="A6596">
        <f>IFERROR(INDEX('Email Cleaner'!$B$2:$B$10001,MATCH(6595,'Email Cleaner'!$I$2:$I$10001,0)),"")</f>
        <v/>
      </c>
    </row>
    <row r="6597">
      <c r="A6597">
        <f>IFERROR(INDEX('Email Cleaner'!$B$2:$B$10001,MATCH(6596,'Email Cleaner'!$I$2:$I$10001,0)),"")</f>
        <v/>
      </c>
    </row>
    <row r="6598">
      <c r="A6598">
        <f>IFERROR(INDEX('Email Cleaner'!$B$2:$B$10001,MATCH(6597,'Email Cleaner'!$I$2:$I$10001,0)),"")</f>
        <v/>
      </c>
    </row>
    <row r="6599">
      <c r="A6599">
        <f>IFERROR(INDEX('Email Cleaner'!$B$2:$B$10001,MATCH(6598,'Email Cleaner'!$I$2:$I$10001,0)),"")</f>
        <v/>
      </c>
    </row>
    <row r="6600">
      <c r="A6600">
        <f>IFERROR(INDEX('Email Cleaner'!$B$2:$B$10001,MATCH(6599,'Email Cleaner'!$I$2:$I$10001,0)),"")</f>
        <v/>
      </c>
    </row>
    <row r="6601">
      <c r="A6601">
        <f>IFERROR(INDEX('Email Cleaner'!$B$2:$B$10001,MATCH(6600,'Email Cleaner'!$I$2:$I$10001,0)),"")</f>
        <v/>
      </c>
    </row>
    <row r="6602">
      <c r="A6602">
        <f>IFERROR(INDEX('Email Cleaner'!$B$2:$B$10001,MATCH(6601,'Email Cleaner'!$I$2:$I$10001,0)),"")</f>
        <v/>
      </c>
    </row>
    <row r="6603">
      <c r="A6603">
        <f>IFERROR(INDEX('Email Cleaner'!$B$2:$B$10001,MATCH(6602,'Email Cleaner'!$I$2:$I$10001,0)),"")</f>
        <v/>
      </c>
    </row>
    <row r="6604">
      <c r="A6604">
        <f>IFERROR(INDEX('Email Cleaner'!$B$2:$B$10001,MATCH(6603,'Email Cleaner'!$I$2:$I$10001,0)),"")</f>
        <v/>
      </c>
    </row>
    <row r="6605">
      <c r="A6605">
        <f>IFERROR(INDEX('Email Cleaner'!$B$2:$B$10001,MATCH(6604,'Email Cleaner'!$I$2:$I$10001,0)),"")</f>
        <v/>
      </c>
    </row>
    <row r="6606">
      <c r="A6606">
        <f>IFERROR(INDEX('Email Cleaner'!$B$2:$B$10001,MATCH(6605,'Email Cleaner'!$I$2:$I$10001,0)),"")</f>
        <v/>
      </c>
    </row>
    <row r="6607">
      <c r="A6607">
        <f>IFERROR(INDEX('Email Cleaner'!$B$2:$B$10001,MATCH(6606,'Email Cleaner'!$I$2:$I$10001,0)),"")</f>
        <v/>
      </c>
    </row>
    <row r="6608">
      <c r="A6608">
        <f>IFERROR(INDEX('Email Cleaner'!$B$2:$B$10001,MATCH(6607,'Email Cleaner'!$I$2:$I$10001,0)),"")</f>
        <v/>
      </c>
    </row>
    <row r="6609">
      <c r="A6609">
        <f>IFERROR(INDEX('Email Cleaner'!$B$2:$B$10001,MATCH(6608,'Email Cleaner'!$I$2:$I$10001,0)),"")</f>
        <v/>
      </c>
    </row>
    <row r="6610">
      <c r="A6610">
        <f>IFERROR(INDEX('Email Cleaner'!$B$2:$B$10001,MATCH(6609,'Email Cleaner'!$I$2:$I$10001,0)),"")</f>
        <v/>
      </c>
    </row>
    <row r="6611">
      <c r="A6611">
        <f>IFERROR(INDEX('Email Cleaner'!$B$2:$B$10001,MATCH(6610,'Email Cleaner'!$I$2:$I$10001,0)),"")</f>
        <v/>
      </c>
    </row>
    <row r="6612">
      <c r="A6612">
        <f>IFERROR(INDEX('Email Cleaner'!$B$2:$B$10001,MATCH(6611,'Email Cleaner'!$I$2:$I$10001,0)),"")</f>
        <v/>
      </c>
    </row>
    <row r="6613">
      <c r="A6613">
        <f>IFERROR(INDEX('Email Cleaner'!$B$2:$B$10001,MATCH(6612,'Email Cleaner'!$I$2:$I$10001,0)),"")</f>
        <v/>
      </c>
    </row>
    <row r="6614">
      <c r="A6614">
        <f>IFERROR(INDEX('Email Cleaner'!$B$2:$B$10001,MATCH(6613,'Email Cleaner'!$I$2:$I$10001,0)),"")</f>
        <v/>
      </c>
    </row>
    <row r="6615">
      <c r="A6615">
        <f>IFERROR(INDEX('Email Cleaner'!$B$2:$B$10001,MATCH(6614,'Email Cleaner'!$I$2:$I$10001,0)),"")</f>
        <v/>
      </c>
    </row>
    <row r="6616">
      <c r="A6616">
        <f>IFERROR(INDEX('Email Cleaner'!$B$2:$B$10001,MATCH(6615,'Email Cleaner'!$I$2:$I$10001,0)),"")</f>
        <v/>
      </c>
    </row>
    <row r="6617">
      <c r="A6617">
        <f>IFERROR(INDEX('Email Cleaner'!$B$2:$B$10001,MATCH(6616,'Email Cleaner'!$I$2:$I$10001,0)),"")</f>
        <v/>
      </c>
    </row>
    <row r="6618">
      <c r="A6618">
        <f>IFERROR(INDEX('Email Cleaner'!$B$2:$B$10001,MATCH(6617,'Email Cleaner'!$I$2:$I$10001,0)),"")</f>
        <v/>
      </c>
    </row>
    <row r="6619">
      <c r="A6619">
        <f>IFERROR(INDEX('Email Cleaner'!$B$2:$B$10001,MATCH(6618,'Email Cleaner'!$I$2:$I$10001,0)),"")</f>
        <v/>
      </c>
    </row>
    <row r="6620">
      <c r="A6620">
        <f>IFERROR(INDEX('Email Cleaner'!$B$2:$B$10001,MATCH(6619,'Email Cleaner'!$I$2:$I$10001,0)),"")</f>
        <v/>
      </c>
    </row>
    <row r="6621">
      <c r="A6621">
        <f>IFERROR(INDEX('Email Cleaner'!$B$2:$B$10001,MATCH(6620,'Email Cleaner'!$I$2:$I$10001,0)),"")</f>
        <v/>
      </c>
    </row>
    <row r="6622">
      <c r="A6622">
        <f>IFERROR(INDEX('Email Cleaner'!$B$2:$B$10001,MATCH(6621,'Email Cleaner'!$I$2:$I$10001,0)),"")</f>
        <v/>
      </c>
    </row>
    <row r="6623">
      <c r="A6623">
        <f>IFERROR(INDEX('Email Cleaner'!$B$2:$B$10001,MATCH(6622,'Email Cleaner'!$I$2:$I$10001,0)),"")</f>
        <v/>
      </c>
    </row>
    <row r="6624">
      <c r="A6624">
        <f>IFERROR(INDEX('Email Cleaner'!$B$2:$B$10001,MATCH(6623,'Email Cleaner'!$I$2:$I$10001,0)),"")</f>
        <v/>
      </c>
    </row>
    <row r="6625">
      <c r="A6625">
        <f>IFERROR(INDEX('Email Cleaner'!$B$2:$B$10001,MATCH(6624,'Email Cleaner'!$I$2:$I$10001,0)),"")</f>
        <v/>
      </c>
    </row>
    <row r="6626">
      <c r="A6626">
        <f>IFERROR(INDEX('Email Cleaner'!$B$2:$B$10001,MATCH(6625,'Email Cleaner'!$I$2:$I$10001,0)),"")</f>
        <v/>
      </c>
    </row>
    <row r="6627">
      <c r="A6627">
        <f>IFERROR(INDEX('Email Cleaner'!$B$2:$B$10001,MATCH(6626,'Email Cleaner'!$I$2:$I$10001,0)),"")</f>
        <v/>
      </c>
    </row>
    <row r="6628">
      <c r="A6628">
        <f>IFERROR(INDEX('Email Cleaner'!$B$2:$B$10001,MATCH(6627,'Email Cleaner'!$I$2:$I$10001,0)),"")</f>
        <v/>
      </c>
    </row>
    <row r="6629">
      <c r="A6629">
        <f>IFERROR(INDEX('Email Cleaner'!$B$2:$B$10001,MATCH(6628,'Email Cleaner'!$I$2:$I$10001,0)),"")</f>
        <v/>
      </c>
    </row>
    <row r="6630">
      <c r="A6630">
        <f>IFERROR(INDEX('Email Cleaner'!$B$2:$B$10001,MATCH(6629,'Email Cleaner'!$I$2:$I$10001,0)),"")</f>
        <v/>
      </c>
    </row>
    <row r="6631">
      <c r="A6631">
        <f>IFERROR(INDEX('Email Cleaner'!$B$2:$B$10001,MATCH(6630,'Email Cleaner'!$I$2:$I$10001,0)),"")</f>
        <v/>
      </c>
    </row>
    <row r="6632">
      <c r="A6632">
        <f>IFERROR(INDEX('Email Cleaner'!$B$2:$B$10001,MATCH(6631,'Email Cleaner'!$I$2:$I$10001,0)),"")</f>
        <v/>
      </c>
    </row>
    <row r="6633">
      <c r="A6633">
        <f>IFERROR(INDEX('Email Cleaner'!$B$2:$B$10001,MATCH(6632,'Email Cleaner'!$I$2:$I$10001,0)),"")</f>
        <v/>
      </c>
    </row>
    <row r="6634">
      <c r="A6634">
        <f>IFERROR(INDEX('Email Cleaner'!$B$2:$B$10001,MATCH(6633,'Email Cleaner'!$I$2:$I$10001,0)),"")</f>
        <v/>
      </c>
    </row>
    <row r="6635">
      <c r="A6635">
        <f>IFERROR(INDEX('Email Cleaner'!$B$2:$B$10001,MATCH(6634,'Email Cleaner'!$I$2:$I$10001,0)),"")</f>
        <v/>
      </c>
    </row>
    <row r="6636">
      <c r="A6636">
        <f>IFERROR(INDEX('Email Cleaner'!$B$2:$B$10001,MATCH(6635,'Email Cleaner'!$I$2:$I$10001,0)),"")</f>
        <v/>
      </c>
    </row>
    <row r="6637">
      <c r="A6637">
        <f>IFERROR(INDEX('Email Cleaner'!$B$2:$B$10001,MATCH(6636,'Email Cleaner'!$I$2:$I$10001,0)),"")</f>
        <v/>
      </c>
    </row>
    <row r="6638">
      <c r="A6638">
        <f>IFERROR(INDEX('Email Cleaner'!$B$2:$B$10001,MATCH(6637,'Email Cleaner'!$I$2:$I$10001,0)),"")</f>
        <v/>
      </c>
    </row>
    <row r="6639">
      <c r="A6639">
        <f>IFERROR(INDEX('Email Cleaner'!$B$2:$B$10001,MATCH(6638,'Email Cleaner'!$I$2:$I$10001,0)),"")</f>
        <v/>
      </c>
    </row>
    <row r="6640">
      <c r="A6640">
        <f>IFERROR(INDEX('Email Cleaner'!$B$2:$B$10001,MATCH(6639,'Email Cleaner'!$I$2:$I$10001,0)),"")</f>
        <v/>
      </c>
    </row>
    <row r="6641">
      <c r="A6641">
        <f>IFERROR(INDEX('Email Cleaner'!$B$2:$B$10001,MATCH(6640,'Email Cleaner'!$I$2:$I$10001,0)),"")</f>
        <v/>
      </c>
    </row>
    <row r="6642">
      <c r="A6642">
        <f>IFERROR(INDEX('Email Cleaner'!$B$2:$B$10001,MATCH(6641,'Email Cleaner'!$I$2:$I$10001,0)),"")</f>
        <v/>
      </c>
    </row>
    <row r="6643">
      <c r="A6643">
        <f>IFERROR(INDEX('Email Cleaner'!$B$2:$B$10001,MATCH(6642,'Email Cleaner'!$I$2:$I$10001,0)),"")</f>
        <v/>
      </c>
    </row>
    <row r="6644">
      <c r="A6644">
        <f>IFERROR(INDEX('Email Cleaner'!$B$2:$B$10001,MATCH(6643,'Email Cleaner'!$I$2:$I$10001,0)),"")</f>
        <v/>
      </c>
    </row>
    <row r="6645">
      <c r="A6645">
        <f>IFERROR(INDEX('Email Cleaner'!$B$2:$B$10001,MATCH(6644,'Email Cleaner'!$I$2:$I$10001,0)),"")</f>
        <v/>
      </c>
    </row>
    <row r="6646">
      <c r="A6646">
        <f>IFERROR(INDEX('Email Cleaner'!$B$2:$B$10001,MATCH(6645,'Email Cleaner'!$I$2:$I$10001,0)),"")</f>
        <v/>
      </c>
    </row>
    <row r="6647">
      <c r="A6647">
        <f>IFERROR(INDEX('Email Cleaner'!$B$2:$B$10001,MATCH(6646,'Email Cleaner'!$I$2:$I$10001,0)),"")</f>
        <v/>
      </c>
    </row>
    <row r="6648">
      <c r="A6648">
        <f>IFERROR(INDEX('Email Cleaner'!$B$2:$B$10001,MATCH(6647,'Email Cleaner'!$I$2:$I$10001,0)),"")</f>
        <v/>
      </c>
    </row>
    <row r="6649">
      <c r="A6649">
        <f>IFERROR(INDEX('Email Cleaner'!$B$2:$B$10001,MATCH(6648,'Email Cleaner'!$I$2:$I$10001,0)),"")</f>
        <v/>
      </c>
    </row>
    <row r="6650">
      <c r="A6650">
        <f>IFERROR(INDEX('Email Cleaner'!$B$2:$B$10001,MATCH(6649,'Email Cleaner'!$I$2:$I$10001,0)),"")</f>
        <v/>
      </c>
    </row>
    <row r="6651">
      <c r="A6651">
        <f>IFERROR(INDEX('Email Cleaner'!$B$2:$B$10001,MATCH(6650,'Email Cleaner'!$I$2:$I$10001,0)),"")</f>
        <v/>
      </c>
    </row>
    <row r="6652">
      <c r="A6652">
        <f>IFERROR(INDEX('Email Cleaner'!$B$2:$B$10001,MATCH(6651,'Email Cleaner'!$I$2:$I$10001,0)),"")</f>
        <v/>
      </c>
    </row>
    <row r="6653">
      <c r="A6653">
        <f>IFERROR(INDEX('Email Cleaner'!$B$2:$B$10001,MATCH(6652,'Email Cleaner'!$I$2:$I$10001,0)),"")</f>
        <v/>
      </c>
    </row>
    <row r="6654">
      <c r="A6654">
        <f>IFERROR(INDEX('Email Cleaner'!$B$2:$B$10001,MATCH(6653,'Email Cleaner'!$I$2:$I$10001,0)),"")</f>
        <v/>
      </c>
    </row>
    <row r="6655">
      <c r="A6655">
        <f>IFERROR(INDEX('Email Cleaner'!$B$2:$B$10001,MATCH(6654,'Email Cleaner'!$I$2:$I$10001,0)),"")</f>
        <v/>
      </c>
    </row>
    <row r="6656">
      <c r="A6656">
        <f>IFERROR(INDEX('Email Cleaner'!$B$2:$B$10001,MATCH(6655,'Email Cleaner'!$I$2:$I$10001,0)),"")</f>
        <v/>
      </c>
    </row>
    <row r="6657">
      <c r="A6657">
        <f>IFERROR(INDEX('Email Cleaner'!$B$2:$B$10001,MATCH(6656,'Email Cleaner'!$I$2:$I$10001,0)),"")</f>
        <v/>
      </c>
    </row>
    <row r="6658">
      <c r="A6658">
        <f>IFERROR(INDEX('Email Cleaner'!$B$2:$B$10001,MATCH(6657,'Email Cleaner'!$I$2:$I$10001,0)),"")</f>
        <v/>
      </c>
    </row>
    <row r="6659">
      <c r="A6659">
        <f>IFERROR(INDEX('Email Cleaner'!$B$2:$B$10001,MATCH(6658,'Email Cleaner'!$I$2:$I$10001,0)),"")</f>
        <v/>
      </c>
    </row>
    <row r="6660">
      <c r="A6660">
        <f>IFERROR(INDEX('Email Cleaner'!$B$2:$B$10001,MATCH(6659,'Email Cleaner'!$I$2:$I$10001,0)),"")</f>
        <v/>
      </c>
    </row>
    <row r="6661">
      <c r="A6661">
        <f>IFERROR(INDEX('Email Cleaner'!$B$2:$B$10001,MATCH(6660,'Email Cleaner'!$I$2:$I$10001,0)),"")</f>
        <v/>
      </c>
    </row>
    <row r="6662">
      <c r="A6662">
        <f>IFERROR(INDEX('Email Cleaner'!$B$2:$B$10001,MATCH(6661,'Email Cleaner'!$I$2:$I$10001,0)),"")</f>
        <v/>
      </c>
    </row>
    <row r="6663">
      <c r="A6663">
        <f>IFERROR(INDEX('Email Cleaner'!$B$2:$B$10001,MATCH(6662,'Email Cleaner'!$I$2:$I$10001,0)),"")</f>
        <v/>
      </c>
    </row>
    <row r="6664">
      <c r="A6664">
        <f>IFERROR(INDEX('Email Cleaner'!$B$2:$B$10001,MATCH(6663,'Email Cleaner'!$I$2:$I$10001,0)),"")</f>
        <v/>
      </c>
    </row>
    <row r="6665">
      <c r="A6665">
        <f>IFERROR(INDEX('Email Cleaner'!$B$2:$B$10001,MATCH(6664,'Email Cleaner'!$I$2:$I$10001,0)),"")</f>
        <v/>
      </c>
    </row>
    <row r="6666">
      <c r="A6666">
        <f>IFERROR(INDEX('Email Cleaner'!$B$2:$B$10001,MATCH(6665,'Email Cleaner'!$I$2:$I$10001,0)),"")</f>
        <v/>
      </c>
    </row>
    <row r="6667">
      <c r="A6667">
        <f>IFERROR(INDEX('Email Cleaner'!$B$2:$B$10001,MATCH(6666,'Email Cleaner'!$I$2:$I$10001,0)),"")</f>
        <v/>
      </c>
    </row>
    <row r="6668">
      <c r="A6668">
        <f>IFERROR(INDEX('Email Cleaner'!$B$2:$B$10001,MATCH(6667,'Email Cleaner'!$I$2:$I$10001,0)),"")</f>
        <v/>
      </c>
    </row>
    <row r="6669">
      <c r="A6669">
        <f>IFERROR(INDEX('Email Cleaner'!$B$2:$B$10001,MATCH(6668,'Email Cleaner'!$I$2:$I$10001,0)),"")</f>
        <v/>
      </c>
    </row>
    <row r="6670">
      <c r="A6670">
        <f>IFERROR(INDEX('Email Cleaner'!$B$2:$B$10001,MATCH(6669,'Email Cleaner'!$I$2:$I$10001,0)),"")</f>
        <v/>
      </c>
    </row>
    <row r="6671">
      <c r="A6671">
        <f>IFERROR(INDEX('Email Cleaner'!$B$2:$B$10001,MATCH(6670,'Email Cleaner'!$I$2:$I$10001,0)),"")</f>
        <v/>
      </c>
    </row>
    <row r="6672">
      <c r="A6672">
        <f>IFERROR(INDEX('Email Cleaner'!$B$2:$B$10001,MATCH(6671,'Email Cleaner'!$I$2:$I$10001,0)),"")</f>
        <v/>
      </c>
    </row>
    <row r="6673">
      <c r="A6673">
        <f>IFERROR(INDEX('Email Cleaner'!$B$2:$B$10001,MATCH(6672,'Email Cleaner'!$I$2:$I$10001,0)),"")</f>
        <v/>
      </c>
    </row>
    <row r="6674">
      <c r="A6674">
        <f>IFERROR(INDEX('Email Cleaner'!$B$2:$B$10001,MATCH(6673,'Email Cleaner'!$I$2:$I$10001,0)),"")</f>
        <v/>
      </c>
    </row>
    <row r="6675">
      <c r="A6675">
        <f>IFERROR(INDEX('Email Cleaner'!$B$2:$B$10001,MATCH(6674,'Email Cleaner'!$I$2:$I$10001,0)),"")</f>
        <v/>
      </c>
    </row>
    <row r="6676">
      <c r="A6676">
        <f>IFERROR(INDEX('Email Cleaner'!$B$2:$B$10001,MATCH(6675,'Email Cleaner'!$I$2:$I$10001,0)),"")</f>
        <v/>
      </c>
    </row>
    <row r="6677">
      <c r="A6677">
        <f>IFERROR(INDEX('Email Cleaner'!$B$2:$B$10001,MATCH(6676,'Email Cleaner'!$I$2:$I$10001,0)),"")</f>
        <v/>
      </c>
    </row>
    <row r="6678">
      <c r="A6678">
        <f>IFERROR(INDEX('Email Cleaner'!$B$2:$B$10001,MATCH(6677,'Email Cleaner'!$I$2:$I$10001,0)),"")</f>
        <v/>
      </c>
    </row>
    <row r="6679">
      <c r="A6679">
        <f>IFERROR(INDEX('Email Cleaner'!$B$2:$B$10001,MATCH(6678,'Email Cleaner'!$I$2:$I$10001,0)),"")</f>
        <v/>
      </c>
    </row>
    <row r="6680">
      <c r="A6680">
        <f>IFERROR(INDEX('Email Cleaner'!$B$2:$B$10001,MATCH(6679,'Email Cleaner'!$I$2:$I$10001,0)),"")</f>
        <v/>
      </c>
    </row>
    <row r="6681">
      <c r="A6681">
        <f>IFERROR(INDEX('Email Cleaner'!$B$2:$B$10001,MATCH(6680,'Email Cleaner'!$I$2:$I$10001,0)),"")</f>
        <v/>
      </c>
    </row>
    <row r="6682">
      <c r="A6682">
        <f>IFERROR(INDEX('Email Cleaner'!$B$2:$B$10001,MATCH(6681,'Email Cleaner'!$I$2:$I$10001,0)),"")</f>
        <v/>
      </c>
    </row>
    <row r="6683">
      <c r="A6683">
        <f>IFERROR(INDEX('Email Cleaner'!$B$2:$B$10001,MATCH(6682,'Email Cleaner'!$I$2:$I$10001,0)),"")</f>
        <v/>
      </c>
    </row>
    <row r="6684">
      <c r="A6684">
        <f>IFERROR(INDEX('Email Cleaner'!$B$2:$B$10001,MATCH(6683,'Email Cleaner'!$I$2:$I$10001,0)),"")</f>
        <v/>
      </c>
    </row>
    <row r="6685">
      <c r="A6685">
        <f>IFERROR(INDEX('Email Cleaner'!$B$2:$B$10001,MATCH(6684,'Email Cleaner'!$I$2:$I$10001,0)),"")</f>
        <v/>
      </c>
    </row>
    <row r="6686">
      <c r="A6686">
        <f>IFERROR(INDEX('Email Cleaner'!$B$2:$B$10001,MATCH(6685,'Email Cleaner'!$I$2:$I$10001,0)),"")</f>
        <v/>
      </c>
    </row>
    <row r="6687">
      <c r="A6687">
        <f>IFERROR(INDEX('Email Cleaner'!$B$2:$B$10001,MATCH(6686,'Email Cleaner'!$I$2:$I$10001,0)),"")</f>
        <v/>
      </c>
    </row>
    <row r="6688">
      <c r="A6688">
        <f>IFERROR(INDEX('Email Cleaner'!$B$2:$B$10001,MATCH(6687,'Email Cleaner'!$I$2:$I$10001,0)),"")</f>
        <v/>
      </c>
    </row>
    <row r="6689">
      <c r="A6689">
        <f>IFERROR(INDEX('Email Cleaner'!$B$2:$B$10001,MATCH(6688,'Email Cleaner'!$I$2:$I$10001,0)),"")</f>
        <v/>
      </c>
    </row>
    <row r="6690">
      <c r="A6690">
        <f>IFERROR(INDEX('Email Cleaner'!$B$2:$B$10001,MATCH(6689,'Email Cleaner'!$I$2:$I$10001,0)),"")</f>
        <v/>
      </c>
    </row>
    <row r="6691">
      <c r="A6691">
        <f>IFERROR(INDEX('Email Cleaner'!$B$2:$B$10001,MATCH(6690,'Email Cleaner'!$I$2:$I$10001,0)),"")</f>
        <v/>
      </c>
    </row>
    <row r="6692">
      <c r="A6692">
        <f>IFERROR(INDEX('Email Cleaner'!$B$2:$B$10001,MATCH(6691,'Email Cleaner'!$I$2:$I$10001,0)),"")</f>
        <v/>
      </c>
    </row>
    <row r="6693">
      <c r="A6693">
        <f>IFERROR(INDEX('Email Cleaner'!$B$2:$B$10001,MATCH(6692,'Email Cleaner'!$I$2:$I$10001,0)),"")</f>
        <v/>
      </c>
    </row>
    <row r="6694">
      <c r="A6694">
        <f>IFERROR(INDEX('Email Cleaner'!$B$2:$B$10001,MATCH(6693,'Email Cleaner'!$I$2:$I$10001,0)),"")</f>
        <v/>
      </c>
    </row>
    <row r="6695">
      <c r="A6695">
        <f>IFERROR(INDEX('Email Cleaner'!$B$2:$B$10001,MATCH(6694,'Email Cleaner'!$I$2:$I$10001,0)),"")</f>
        <v/>
      </c>
    </row>
    <row r="6696">
      <c r="A6696">
        <f>IFERROR(INDEX('Email Cleaner'!$B$2:$B$10001,MATCH(6695,'Email Cleaner'!$I$2:$I$10001,0)),"")</f>
        <v/>
      </c>
    </row>
    <row r="6697">
      <c r="A6697">
        <f>IFERROR(INDEX('Email Cleaner'!$B$2:$B$10001,MATCH(6696,'Email Cleaner'!$I$2:$I$10001,0)),"")</f>
        <v/>
      </c>
    </row>
    <row r="6698">
      <c r="A6698">
        <f>IFERROR(INDEX('Email Cleaner'!$B$2:$B$10001,MATCH(6697,'Email Cleaner'!$I$2:$I$10001,0)),"")</f>
        <v/>
      </c>
    </row>
    <row r="6699">
      <c r="A6699">
        <f>IFERROR(INDEX('Email Cleaner'!$B$2:$B$10001,MATCH(6698,'Email Cleaner'!$I$2:$I$10001,0)),"")</f>
        <v/>
      </c>
    </row>
    <row r="6700">
      <c r="A6700">
        <f>IFERROR(INDEX('Email Cleaner'!$B$2:$B$10001,MATCH(6699,'Email Cleaner'!$I$2:$I$10001,0)),"")</f>
        <v/>
      </c>
    </row>
    <row r="6701">
      <c r="A6701">
        <f>IFERROR(INDEX('Email Cleaner'!$B$2:$B$10001,MATCH(6700,'Email Cleaner'!$I$2:$I$10001,0)),"")</f>
        <v/>
      </c>
    </row>
    <row r="6702">
      <c r="A6702">
        <f>IFERROR(INDEX('Email Cleaner'!$B$2:$B$10001,MATCH(6701,'Email Cleaner'!$I$2:$I$10001,0)),"")</f>
        <v/>
      </c>
    </row>
    <row r="6703">
      <c r="A6703">
        <f>IFERROR(INDEX('Email Cleaner'!$B$2:$B$10001,MATCH(6702,'Email Cleaner'!$I$2:$I$10001,0)),"")</f>
        <v/>
      </c>
    </row>
    <row r="6704">
      <c r="A6704">
        <f>IFERROR(INDEX('Email Cleaner'!$B$2:$B$10001,MATCH(6703,'Email Cleaner'!$I$2:$I$10001,0)),"")</f>
        <v/>
      </c>
    </row>
    <row r="6705">
      <c r="A6705">
        <f>IFERROR(INDEX('Email Cleaner'!$B$2:$B$10001,MATCH(6704,'Email Cleaner'!$I$2:$I$10001,0)),"")</f>
        <v/>
      </c>
    </row>
    <row r="6706">
      <c r="A6706">
        <f>IFERROR(INDEX('Email Cleaner'!$B$2:$B$10001,MATCH(6705,'Email Cleaner'!$I$2:$I$10001,0)),"")</f>
        <v/>
      </c>
    </row>
    <row r="6707">
      <c r="A6707">
        <f>IFERROR(INDEX('Email Cleaner'!$B$2:$B$10001,MATCH(6706,'Email Cleaner'!$I$2:$I$10001,0)),"")</f>
        <v/>
      </c>
    </row>
    <row r="6708">
      <c r="A6708">
        <f>IFERROR(INDEX('Email Cleaner'!$B$2:$B$10001,MATCH(6707,'Email Cleaner'!$I$2:$I$10001,0)),"")</f>
        <v/>
      </c>
    </row>
    <row r="6709">
      <c r="A6709">
        <f>IFERROR(INDEX('Email Cleaner'!$B$2:$B$10001,MATCH(6708,'Email Cleaner'!$I$2:$I$10001,0)),"")</f>
        <v/>
      </c>
    </row>
    <row r="6710">
      <c r="A6710">
        <f>IFERROR(INDEX('Email Cleaner'!$B$2:$B$10001,MATCH(6709,'Email Cleaner'!$I$2:$I$10001,0)),"")</f>
        <v/>
      </c>
    </row>
    <row r="6711">
      <c r="A6711">
        <f>IFERROR(INDEX('Email Cleaner'!$B$2:$B$10001,MATCH(6710,'Email Cleaner'!$I$2:$I$10001,0)),"")</f>
        <v/>
      </c>
    </row>
    <row r="6712">
      <c r="A6712">
        <f>IFERROR(INDEX('Email Cleaner'!$B$2:$B$10001,MATCH(6711,'Email Cleaner'!$I$2:$I$10001,0)),"")</f>
        <v/>
      </c>
    </row>
    <row r="6713">
      <c r="A6713">
        <f>IFERROR(INDEX('Email Cleaner'!$B$2:$B$10001,MATCH(6712,'Email Cleaner'!$I$2:$I$10001,0)),"")</f>
        <v/>
      </c>
    </row>
    <row r="6714">
      <c r="A6714">
        <f>IFERROR(INDEX('Email Cleaner'!$B$2:$B$10001,MATCH(6713,'Email Cleaner'!$I$2:$I$10001,0)),"")</f>
        <v/>
      </c>
    </row>
    <row r="6715">
      <c r="A6715">
        <f>IFERROR(INDEX('Email Cleaner'!$B$2:$B$10001,MATCH(6714,'Email Cleaner'!$I$2:$I$10001,0)),"")</f>
        <v/>
      </c>
    </row>
    <row r="6716">
      <c r="A6716">
        <f>IFERROR(INDEX('Email Cleaner'!$B$2:$B$10001,MATCH(6715,'Email Cleaner'!$I$2:$I$10001,0)),"")</f>
        <v/>
      </c>
    </row>
    <row r="6717">
      <c r="A6717">
        <f>IFERROR(INDEX('Email Cleaner'!$B$2:$B$10001,MATCH(6716,'Email Cleaner'!$I$2:$I$10001,0)),"")</f>
        <v/>
      </c>
    </row>
    <row r="6718">
      <c r="A6718">
        <f>IFERROR(INDEX('Email Cleaner'!$B$2:$B$10001,MATCH(6717,'Email Cleaner'!$I$2:$I$10001,0)),"")</f>
        <v/>
      </c>
    </row>
    <row r="6719">
      <c r="A6719">
        <f>IFERROR(INDEX('Email Cleaner'!$B$2:$B$10001,MATCH(6718,'Email Cleaner'!$I$2:$I$10001,0)),"")</f>
        <v/>
      </c>
    </row>
    <row r="6720">
      <c r="A6720">
        <f>IFERROR(INDEX('Email Cleaner'!$B$2:$B$10001,MATCH(6719,'Email Cleaner'!$I$2:$I$10001,0)),"")</f>
        <v/>
      </c>
    </row>
    <row r="6721">
      <c r="A6721">
        <f>IFERROR(INDEX('Email Cleaner'!$B$2:$B$10001,MATCH(6720,'Email Cleaner'!$I$2:$I$10001,0)),"")</f>
        <v/>
      </c>
    </row>
    <row r="6722">
      <c r="A6722">
        <f>IFERROR(INDEX('Email Cleaner'!$B$2:$B$10001,MATCH(6721,'Email Cleaner'!$I$2:$I$10001,0)),"")</f>
        <v/>
      </c>
    </row>
    <row r="6723">
      <c r="A6723">
        <f>IFERROR(INDEX('Email Cleaner'!$B$2:$B$10001,MATCH(6722,'Email Cleaner'!$I$2:$I$10001,0)),"")</f>
        <v/>
      </c>
    </row>
    <row r="6724">
      <c r="A6724">
        <f>IFERROR(INDEX('Email Cleaner'!$B$2:$B$10001,MATCH(6723,'Email Cleaner'!$I$2:$I$10001,0)),"")</f>
        <v/>
      </c>
    </row>
    <row r="6725">
      <c r="A6725">
        <f>IFERROR(INDEX('Email Cleaner'!$B$2:$B$10001,MATCH(6724,'Email Cleaner'!$I$2:$I$10001,0)),"")</f>
        <v/>
      </c>
    </row>
    <row r="6726">
      <c r="A6726">
        <f>IFERROR(INDEX('Email Cleaner'!$B$2:$B$10001,MATCH(6725,'Email Cleaner'!$I$2:$I$10001,0)),"")</f>
        <v/>
      </c>
    </row>
    <row r="6727">
      <c r="A6727">
        <f>IFERROR(INDEX('Email Cleaner'!$B$2:$B$10001,MATCH(6726,'Email Cleaner'!$I$2:$I$10001,0)),"")</f>
        <v/>
      </c>
    </row>
    <row r="6728">
      <c r="A6728">
        <f>IFERROR(INDEX('Email Cleaner'!$B$2:$B$10001,MATCH(6727,'Email Cleaner'!$I$2:$I$10001,0)),"")</f>
        <v/>
      </c>
    </row>
    <row r="6729">
      <c r="A6729">
        <f>IFERROR(INDEX('Email Cleaner'!$B$2:$B$10001,MATCH(6728,'Email Cleaner'!$I$2:$I$10001,0)),"")</f>
        <v/>
      </c>
    </row>
    <row r="6730">
      <c r="A6730">
        <f>IFERROR(INDEX('Email Cleaner'!$B$2:$B$10001,MATCH(6729,'Email Cleaner'!$I$2:$I$10001,0)),"")</f>
        <v/>
      </c>
    </row>
    <row r="6731">
      <c r="A6731">
        <f>IFERROR(INDEX('Email Cleaner'!$B$2:$B$10001,MATCH(6730,'Email Cleaner'!$I$2:$I$10001,0)),"")</f>
        <v/>
      </c>
    </row>
    <row r="6732">
      <c r="A6732">
        <f>IFERROR(INDEX('Email Cleaner'!$B$2:$B$10001,MATCH(6731,'Email Cleaner'!$I$2:$I$10001,0)),"")</f>
        <v/>
      </c>
    </row>
    <row r="6733">
      <c r="A6733">
        <f>IFERROR(INDEX('Email Cleaner'!$B$2:$B$10001,MATCH(6732,'Email Cleaner'!$I$2:$I$10001,0)),"")</f>
        <v/>
      </c>
    </row>
    <row r="6734">
      <c r="A6734">
        <f>IFERROR(INDEX('Email Cleaner'!$B$2:$B$10001,MATCH(6733,'Email Cleaner'!$I$2:$I$10001,0)),"")</f>
        <v/>
      </c>
    </row>
    <row r="6735">
      <c r="A6735">
        <f>IFERROR(INDEX('Email Cleaner'!$B$2:$B$10001,MATCH(6734,'Email Cleaner'!$I$2:$I$10001,0)),"")</f>
        <v/>
      </c>
    </row>
    <row r="6736">
      <c r="A6736">
        <f>IFERROR(INDEX('Email Cleaner'!$B$2:$B$10001,MATCH(6735,'Email Cleaner'!$I$2:$I$10001,0)),"")</f>
        <v/>
      </c>
    </row>
    <row r="6737">
      <c r="A6737">
        <f>IFERROR(INDEX('Email Cleaner'!$B$2:$B$10001,MATCH(6736,'Email Cleaner'!$I$2:$I$10001,0)),"")</f>
        <v/>
      </c>
    </row>
    <row r="6738">
      <c r="A6738">
        <f>IFERROR(INDEX('Email Cleaner'!$B$2:$B$10001,MATCH(6737,'Email Cleaner'!$I$2:$I$10001,0)),"")</f>
        <v/>
      </c>
    </row>
    <row r="6739">
      <c r="A6739">
        <f>IFERROR(INDEX('Email Cleaner'!$B$2:$B$10001,MATCH(6738,'Email Cleaner'!$I$2:$I$10001,0)),"")</f>
        <v/>
      </c>
    </row>
    <row r="6740">
      <c r="A6740">
        <f>IFERROR(INDEX('Email Cleaner'!$B$2:$B$10001,MATCH(6739,'Email Cleaner'!$I$2:$I$10001,0)),"")</f>
        <v/>
      </c>
    </row>
    <row r="6741">
      <c r="A6741">
        <f>IFERROR(INDEX('Email Cleaner'!$B$2:$B$10001,MATCH(6740,'Email Cleaner'!$I$2:$I$10001,0)),"")</f>
        <v/>
      </c>
    </row>
    <row r="6742">
      <c r="A6742">
        <f>IFERROR(INDEX('Email Cleaner'!$B$2:$B$10001,MATCH(6741,'Email Cleaner'!$I$2:$I$10001,0)),"")</f>
        <v/>
      </c>
    </row>
    <row r="6743">
      <c r="A6743">
        <f>IFERROR(INDEX('Email Cleaner'!$B$2:$B$10001,MATCH(6742,'Email Cleaner'!$I$2:$I$10001,0)),"")</f>
        <v/>
      </c>
    </row>
    <row r="6744">
      <c r="A6744">
        <f>IFERROR(INDEX('Email Cleaner'!$B$2:$B$10001,MATCH(6743,'Email Cleaner'!$I$2:$I$10001,0)),"")</f>
        <v/>
      </c>
    </row>
    <row r="6745">
      <c r="A6745">
        <f>IFERROR(INDEX('Email Cleaner'!$B$2:$B$10001,MATCH(6744,'Email Cleaner'!$I$2:$I$10001,0)),"")</f>
        <v/>
      </c>
    </row>
    <row r="6746">
      <c r="A6746">
        <f>IFERROR(INDEX('Email Cleaner'!$B$2:$B$10001,MATCH(6745,'Email Cleaner'!$I$2:$I$10001,0)),"")</f>
        <v/>
      </c>
    </row>
    <row r="6747">
      <c r="A6747">
        <f>IFERROR(INDEX('Email Cleaner'!$B$2:$B$10001,MATCH(6746,'Email Cleaner'!$I$2:$I$10001,0)),"")</f>
        <v/>
      </c>
    </row>
    <row r="6748">
      <c r="A6748">
        <f>IFERROR(INDEX('Email Cleaner'!$B$2:$B$10001,MATCH(6747,'Email Cleaner'!$I$2:$I$10001,0)),"")</f>
        <v/>
      </c>
    </row>
    <row r="6749">
      <c r="A6749">
        <f>IFERROR(INDEX('Email Cleaner'!$B$2:$B$10001,MATCH(6748,'Email Cleaner'!$I$2:$I$10001,0)),"")</f>
        <v/>
      </c>
    </row>
    <row r="6750">
      <c r="A6750">
        <f>IFERROR(INDEX('Email Cleaner'!$B$2:$B$10001,MATCH(6749,'Email Cleaner'!$I$2:$I$10001,0)),"")</f>
        <v/>
      </c>
    </row>
    <row r="6751">
      <c r="A6751">
        <f>IFERROR(INDEX('Email Cleaner'!$B$2:$B$10001,MATCH(6750,'Email Cleaner'!$I$2:$I$10001,0)),"")</f>
        <v/>
      </c>
    </row>
    <row r="6752">
      <c r="A6752">
        <f>IFERROR(INDEX('Email Cleaner'!$B$2:$B$10001,MATCH(6751,'Email Cleaner'!$I$2:$I$10001,0)),"")</f>
        <v/>
      </c>
    </row>
    <row r="6753">
      <c r="A6753">
        <f>IFERROR(INDEX('Email Cleaner'!$B$2:$B$10001,MATCH(6752,'Email Cleaner'!$I$2:$I$10001,0)),"")</f>
        <v/>
      </c>
    </row>
    <row r="6754">
      <c r="A6754">
        <f>IFERROR(INDEX('Email Cleaner'!$B$2:$B$10001,MATCH(6753,'Email Cleaner'!$I$2:$I$10001,0)),"")</f>
        <v/>
      </c>
    </row>
    <row r="6755">
      <c r="A6755">
        <f>IFERROR(INDEX('Email Cleaner'!$B$2:$B$10001,MATCH(6754,'Email Cleaner'!$I$2:$I$10001,0)),"")</f>
        <v/>
      </c>
    </row>
    <row r="6756">
      <c r="A6756">
        <f>IFERROR(INDEX('Email Cleaner'!$B$2:$B$10001,MATCH(6755,'Email Cleaner'!$I$2:$I$10001,0)),"")</f>
        <v/>
      </c>
    </row>
    <row r="6757">
      <c r="A6757">
        <f>IFERROR(INDEX('Email Cleaner'!$B$2:$B$10001,MATCH(6756,'Email Cleaner'!$I$2:$I$10001,0)),"")</f>
        <v/>
      </c>
    </row>
    <row r="6758">
      <c r="A6758">
        <f>IFERROR(INDEX('Email Cleaner'!$B$2:$B$10001,MATCH(6757,'Email Cleaner'!$I$2:$I$10001,0)),"")</f>
        <v/>
      </c>
    </row>
    <row r="6759">
      <c r="A6759">
        <f>IFERROR(INDEX('Email Cleaner'!$B$2:$B$10001,MATCH(6758,'Email Cleaner'!$I$2:$I$10001,0)),"")</f>
        <v/>
      </c>
    </row>
    <row r="6760">
      <c r="A6760">
        <f>IFERROR(INDEX('Email Cleaner'!$B$2:$B$10001,MATCH(6759,'Email Cleaner'!$I$2:$I$10001,0)),"")</f>
        <v/>
      </c>
    </row>
    <row r="6761">
      <c r="A6761">
        <f>IFERROR(INDEX('Email Cleaner'!$B$2:$B$10001,MATCH(6760,'Email Cleaner'!$I$2:$I$10001,0)),"")</f>
        <v/>
      </c>
    </row>
    <row r="6762">
      <c r="A6762">
        <f>IFERROR(INDEX('Email Cleaner'!$B$2:$B$10001,MATCH(6761,'Email Cleaner'!$I$2:$I$10001,0)),"")</f>
        <v/>
      </c>
    </row>
    <row r="6763">
      <c r="A6763">
        <f>IFERROR(INDEX('Email Cleaner'!$B$2:$B$10001,MATCH(6762,'Email Cleaner'!$I$2:$I$10001,0)),"")</f>
        <v/>
      </c>
    </row>
    <row r="6764">
      <c r="A6764">
        <f>IFERROR(INDEX('Email Cleaner'!$B$2:$B$10001,MATCH(6763,'Email Cleaner'!$I$2:$I$10001,0)),"")</f>
        <v/>
      </c>
    </row>
    <row r="6765">
      <c r="A6765">
        <f>IFERROR(INDEX('Email Cleaner'!$B$2:$B$10001,MATCH(6764,'Email Cleaner'!$I$2:$I$10001,0)),"")</f>
        <v/>
      </c>
    </row>
    <row r="6766">
      <c r="A6766">
        <f>IFERROR(INDEX('Email Cleaner'!$B$2:$B$10001,MATCH(6765,'Email Cleaner'!$I$2:$I$10001,0)),"")</f>
        <v/>
      </c>
    </row>
    <row r="6767">
      <c r="A6767">
        <f>IFERROR(INDEX('Email Cleaner'!$B$2:$B$10001,MATCH(6766,'Email Cleaner'!$I$2:$I$10001,0)),"")</f>
        <v/>
      </c>
    </row>
    <row r="6768">
      <c r="A6768">
        <f>IFERROR(INDEX('Email Cleaner'!$B$2:$B$10001,MATCH(6767,'Email Cleaner'!$I$2:$I$10001,0)),"")</f>
        <v/>
      </c>
    </row>
    <row r="6769">
      <c r="A6769">
        <f>IFERROR(INDEX('Email Cleaner'!$B$2:$B$10001,MATCH(6768,'Email Cleaner'!$I$2:$I$10001,0)),"")</f>
        <v/>
      </c>
    </row>
    <row r="6770">
      <c r="A6770">
        <f>IFERROR(INDEX('Email Cleaner'!$B$2:$B$10001,MATCH(6769,'Email Cleaner'!$I$2:$I$10001,0)),"")</f>
        <v/>
      </c>
    </row>
    <row r="6771">
      <c r="A6771">
        <f>IFERROR(INDEX('Email Cleaner'!$B$2:$B$10001,MATCH(6770,'Email Cleaner'!$I$2:$I$10001,0)),"")</f>
        <v/>
      </c>
    </row>
    <row r="6772">
      <c r="A6772">
        <f>IFERROR(INDEX('Email Cleaner'!$B$2:$B$10001,MATCH(6771,'Email Cleaner'!$I$2:$I$10001,0)),"")</f>
        <v/>
      </c>
    </row>
    <row r="6773">
      <c r="A6773">
        <f>IFERROR(INDEX('Email Cleaner'!$B$2:$B$10001,MATCH(6772,'Email Cleaner'!$I$2:$I$10001,0)),"")</f>
        <v/>
      </c>
    </row>
    <row r="6774">
      <c r="A6774">
        <f>IFERROR(INDEX('Email Cleaner'!$B$2:$B$10001,MATCH(6773,'Email Cleaner'!$I$2:$I$10001,0)),"")</f>
        <v/>
      </c>
    </row>
    <row r="6775">
      <c r="A6775">
        <f>IFERROR(INDEX('Email Cleaner'!$B$2:$B$10001,MATCH(6774,'Email Cleaner'!$I$2:$I$10001,0)),"")</f>
        <v/>
      </c>
    </row>
    <row r="6776">
      <c r="A6776">
        <f>IFERROR(INDEX('Email Cleaner'!$B$2:$B$10001,MATCH(6775,'Email Cleaner'!$I$2:$I$10001,0)),"")</f>
        <v/>
      </c>
    </row>
    <row r="6777">
      <c r="A6777">
        <f>IFERROR(INDEX('Email Cleaner'!$B$2:$B$10001,MATCH(6776,'Email Cleaner'!$I$2:$I$10001,0)),"")</f>
        <v/>
      </c>
    </row>
    <row r="6778">
      <c r="A6778">
        <f>IFERROR(INDEX('Email Cleaner'!$B$2:$B$10001,MATCH(6777,'Email Cleaner'!$I$2:$I$10001,0)),"")</f>
        <v/>
      </c>
    </row>
    <row r="6779">
      <c r="A6779">
        <f>IFERROR(INDEX('Email Cleaner'!$B$2:$B$10001,MATCH(6778,'Email Cleaner'!$I$2:$I$10001,0)),"")</f>
        <v/>
      </c>
    </row>
    <row r="6780">
      <c r="A6780">
        <f>IFERROR(INDEX('Email Cleaner'!$B$2:$B$10001,MATCH(6779,'Email Cleaner'!$I$2:$I$10001,0)),"")</f>
        <v/>
      </c>
    </row>
    <row r="6781">
      <c r="A6781">
        <f>IFERROR(INDEX('Email Cleaner'!$B$2:$B$10001,MATCH(6780,'Email Cleaner'!$I$2:$I$10001,0)),"")</f>
        <v/>
      </c>
    </row>
    <row r="6782">
      <c r="A6782">
        <f>IFERROR(INDEX('Email Cleaner'!$B$2:$B$10001,MATCH(6781,'Email Cleaner'!$I$2:$I$10001,0)),"")</f>
        <v/>
      </c>
    </row>
    <row r="6783">
      <c r="A6783">
        <f>IFERROR(INDEX('Email Cleaner'!$B$2:$B$10001,MATCH(6782,'Email Cleaner'!$I$2:$I$10001,0)),"")</f>
        <v/>
      </c>
    </row>
    <row r="6784">
      <c r="A6784">
        <f>IFERROR(INDEX('Email Cleaner'!$B$2:$B$10001,MATCH(6783,'Email Cleaner'!$I$2:$I$10001,0)),"")</f>
        <v/>
      </c>
    </row>
    <row r="6785">
      <c r="A6785">
        <f>IFERROR(INDEX('Email Cleaner'!$B$2:$B$10001,MATCH(6784,'Email Cleaner'!$I$2:$I$10001,0)),"")</f>
        <v/>
      </c>
    </row>
    <row r="6786">
      <c r="A6786">
        <f>IFERROR(INDEX('Email Cleaner'!$B$2:$B$10001,MATCH(6785,'Email Cleaner'!$I$2:$I$10001,0)),"")</f>
        <v/>
      </c>
    </row>
    <row r="6787">
      <c r="A6787">
        <f>IFERROR(INDEX('Email Cleaner'!$B$2:$B$10001,MATCH(6786,'Email Cleaner'!$I$2:$I$10001,0)),"")</f>
        <v/>
      </c>
    </row>
    <row r="6788">
      <c r="A6788">
        <f>IFERROR(INDEX('Email Cleaner'!$B$2:$B$10001,MATCH(6787,'Email Cleaner'!$I$2:$I$10001,0)),"")</f>
        <v/>
      </c>
    </row>
    <row r="6789">
      <c r="A6789">
        <f>IFERROR(INDEX('Email Cleaner'!$B$2:$B$10001,MATCH(6788,'Email Cleaner'!$I$2:$I$10001,0)),"")</f>
        <v/>
      </c>
    </row>
    <row r="6790">
      <c r="A6790">
        <f>IFERROR(INDEX('Email Cleaner'!$B$2:$B$10001,MATCH(6789,'Email Cleaner'!$I$2:$I$10001,0)),"")</f>
        <v/>
      </c>
    </row>
    <row r="6791">
      <c r="A6791">
        <f>IFERROR(INDEX('Email Cleaner'!$B$2:$B$10001,MATCH(6790,'Email Cleaner'!$I$2:$I$10001,0)),"")</f>
        <v/>
      </c>
    </row>
    <row r="6792">
      <c r="A6792">
        <f>IFERROR(INDEX('Email Cleaner'!$B$2:$B$10001,MATCH(6791,'Email Cleaner'!$I$2:$I$10001,0)),"")</f>
        <v/>
      </c>
    </row>
    <row r="6793">
      <c r="A6793">
        <f>IFERROR(INDEX('Email Cleaner'!$B$2:$B$10001,MATCH(6792,'Email Cleaner'!$I$2:$I$10001,0)),"")</f>
        <v/>
      </c>
    </row>
    <row r="6794">
      <c r="A6794">
        <f>IFERROR(INDEX('Email Cleaner'!$B$2:$B$10001,MATCH(6793,'Email Cleaner'!$I$2:$I$10001,0)),"")</f>
        <v/>
      </c>
    </row>
    <row r="6795">
      <c r="A6795">
        <f>IFERROR(INDEX('Email Cleaner'!$B$2:$B$10001,MATCH(6794,'Email Cleaner'!$I$2:$I$10001,0)),"")</f>
        <v/>
      </c>
    </row>
    <row r="6796">
      <c r="A6796">
        <f>IFERROR(INDEX('Email Cleaner'!$B$2:$B$10001,MATCH(6795,'Email Cleaner'!$I$2:$I$10001,0)),"")</f>
        <v/>
      </c>
    </row>
    <row r="6797">
      <c r="A6797">
        <f>IFERROR(INDEX('Email Cleaner'!$B$2:$B$10001,MATCH(6796,'Email Cleaner'!$I$2:$I$10001,0)),"")</f>
        <v/>
      </c>
    </row>
    <row r="6798">
      <c r="A6798">
        <f>IFERROR(INDEX('Email Cleaner'!$B$2:$B$10001,MATCH(6797,'Email Cleaner'!$I$2:$I$10001,0)),"")</f>
        <v/>
      </c>
    </row>
    <row r="6799">
      <c r="A6799">
        <f>IFERROR(INDEX('Email Cleaner'!$B$2:$B$10001,MATCH(6798,'Email Cleaner'!$I$2:$I$10001,0)),"")</f>
        <v/>
      </c>
    </row>
    <row r="6800">
      <c r="A6800">
        <f>IFERROR(INDEX('Email Cleaner'!$B$2:$B$10001,MATCH(6799,'Email Cleaner'!$I$2:$I$10001,0)),"")</f>
        <v/>
      </c>
    </row>
    <row r="6801">
      <c r="A6801">
        <f>IFERROR(INDEX('Email Cleaner'!$B$2:$B$10001,MATCH(6800,'Email Cleaner'!$I$2:$I$10001,0)),"")</f>
        <v/>
      </c>
    </row>
    <row r="6802">
      <c r="A6802">
        <f>IFERROR(INDEX('Email Cleaner'!$B$2:$B$10001,MATCH(6801,'Email Cleaner'!$I$2:$I$10001,0)),"")</f>
        <v/>
      </c>
    </row>
    <row r="6803">
      <c r="A6803">
        <f>IFERROR(INDEX('Email Cleaner'!$B$2:$B$10001,MATCH(6802,'Email Cleaner'!$I$2:$I$10001,0)),"")</f>
        <v/>
      </c>
    </row>
    <row r="6804">
      <c r="A6804">
        <f>IFERROR(INDEX('Email Cleaner'!$B$2:$B$10001,MATCH(6803,'Email Cleaner'!$I$2:$I$10001,0)),"")</f>
        <v/>
      </c>
    </row>
    <row r="6805">
      <c r="A6805">
        <f>IFERROR(INDEX('Email Cleaner'!$B$2:$B$10001,MATCH(6804,'Email Cleaner'!$I$2:$I$10001,0)),"")</f>
        <v/>
      </c>
    </row>
    <row r="6806">
      <c r="A6806">
        <f>IFERROR(INDEX('Email Cleaner'!$B$2:$B$10001,MATCH(6805,'Email Cleaner'!$I$2:$I$10001,0)),"")</f>
        <v/>
      </c>
    </row>
    <row r="6807">
      <c r="A6807">
        <f>IFERROR(INDEX('Email Cleaner'!$B$2:$B$10001,MATCH(6806,'Email Cleaner'!$I$2:$I$10001,0)),"")</f>
        <v/>
      </c>
    </row>
    <row r="6808">
      <c r="A6808">
        <f>IFERROR(INDEX('Email Cleaner'!$B$2:$B$10001,MATCH(6807,'Email Cleaner'!$I$2:$I$10001,0)),"")</f>
        <v/>
      </c>
    </row>
    <row r="6809">
      <c r="A6809">
        <f>IFERROR(INDEX('Email Cleaner'!$B$2:$B$10001,MATCH(6808,'Email Cleaner'!$I$2:$I$10001,0)),"")</f>
        <v/>
      </c>
    </row>
    <row r="6810">
      <c r="A6810">
        <f>IFERROR(INDEX('Email Cleaner'!$B$2:$B$10001,MATCH(6809,'Email Cleaner'!$I$2:$I$10001,0)),"")</f>
        <v/>
      </c>
    </row>
    <row r="6811">
      <c r="A6811">
        <f>IFERROR(INDEX('Email Cleaner'!$B$2:$B$10001,MATCH(6810,'Email Cleaner'!$I$2:$I$10001,0)),"")</f>
        <v/>
      </c>
    </row>
    <row r="6812">
      <c r="A6812">
        <f>IFERROR(INDEX('Email Cleaner'!$B$2:$B$10001,MATCH(6811,'Email Cleaner'!$I$2:$I$10001,0)),"")</f>
        <v/>
      </c>
    </row>
    <row r="6813">
      <c r="A6813">
        <f>IFERROR(INDEX('Email Cleaner'!$B$2:$B$10001,MATCH(6812,'Email Cleaner'!$I$2:$I$10001,0)),"")</f>
        <v/>
      </c>
    </row>
    <row r="6814">
      <c r="A6814">
        <f>IFERROR(INDEX('Email Cleaner'!$B$2:$B$10001,MATCH(6813,'Email Cleaner'!$I$2:$I$10001,0)),"")</f>
        <v/>
      </c>
    </row>
    <row r="6815">
      <c r="A6815">
        <f>IFERROR(INDEX('Email Cleaner'!$B$2:$B$10001,MATCH(6814,'Email Cleaner'!$I$2:$I$10001,0)),"")</f>
        <v/>
      </c>
    </row>
    <row r="6816">
      <c r="A6816">
        <f>IFERROR(INDEX('Email Cleaner'!$B$2:$B$10001,MATCH(6815,'Email Cleaner'!$I$2:$I$10001,0)),"")</f>
        <v/>
      </c>
    </row>
    <row r="6817">
      <c r="A6817">
        <f>IFERROR(INDEX('Email Cleaner'!$B$2:$B$10001,MATCH(6816,'Email Cleaner'!$I$2:$I$10001,0)),"")</f>
        <v/>
      </c>
    </row>
    <row r="6818">
      <c r="A6818">
        <f>IFERROR(INDEX('Email Cleaner'!$B$2:$B$10001,MATCH(6817,'Email Cleaner'!$I$2:$I$10001,0)),"")</f>
        <v/>
      </c>
    </row>
    <row r="6819">
      <c r="A6819">
        <f>IFERROR(INDEX('Email Cleaner'!$B$2:$B$10001,MATCH(6818,'Email Cleaner'!$I$2:$I$10001,0)),"")</f>
        <v/>
      </c>
    </row>
    <row r="6820">
      <c r="A6820">
        <f>IFERROR(INDEX('Email Cleaner'!$B$2:$B$10001,MATCH(6819,'Email Cleaner'!$I$2:$I$10001,0)),"")</f>
        <v/>
      </c>
    </row>
    <row r="6821">
      <c r="A6821">
        <f>IFERROR(INDEX('Email Cleaner'!$B$2:$B$10001,MATCH(6820,'Email Cleaner'!$I$2:$I$10001,0)),"")</f>
        <v/>
      </c>
    </row>
    <row r="6822">
      <c r="A6822">
        <f>IFERROR(INDEX('Email Cleaner'!$B$2:$B$10001,MATCH(6821,'Email Cleaner'!$I$2:$I$10001,0)),"")</f>
        <v/>
      </c>
    </row>
    <row r="6823">
      <c r="A6823">
        <f>IFERROR(INDEX('Email Cleaner'!$B$2:$B$10001,MATCH(6822,'Email Cleaner'!$I$2:$I$10001,0)),"")</f>
        <v/>
      </c>
    </row>
    <row r="6824">
      <c r="A6824">
        <f>IFERROR(INDEX('Email Cleaner'!$B$2:$B$10001,MATCH(6823,'Email Cleaner'!$I$2:$I$10001,0)),"")</f>
        <v/>
      </c>
    </row>
    <row r="6825">
      <c r="A6825">
        <f>IFERROR(INDEX('Email Cleaner'!$B$2:$B$10001,MATCH(6824,'Email Cleaner'!$I$2:$I$10001,0)),"")</f>
        <v/>
      </c>
    </row>
    <row r="6826">
      <c r="A6826">
        <f>IFERROR(INDEX('Email Cleaner'!$B$2:$B$10001,MATCH(6825,'Email Cleaner'!$I$2:$I$10001,0)),"")</f>
        <v/>
      </c>
    </row>
    <row r="6827">
      <c r="A6827">
        <f>IFERROR(INDEX('Email Cleaner'!$B$2:$B$10001,MATCH(6826,'Email Cleaner'!$I$2:$I$10001,0)),"")</f>
        <v/>
      </c>
    </row>
    <row r="6828">
      <c r="A6828">
        <f>IFERROR(INDEX('Email Cleaner'!$B$2:$B$10001,MATCH(6827,'Email Cleaner'!$I$2:$I$10001,0)),"")</f>
        <v/>
      </c>
    </row>
    <row r="6829">
      <c r="A6829">
        <f>IFERROR(INDEX('Email Cleaner'!$B$2:$B$10001,MATCH(6828,'Email Cleaner'!$I$2:$I$10001,0)),"")</f>
        <v/>
      </c>
    </row>
    <row r="6830">
      <c r="A6830">
        <f>IFERROR(INDEX('Email Cleaner'!$B$2:$B$10001,MATCH(6829,'Email Cleaner'!$I$2:$I$10001,0)),"")</f>
        <v/>
      </c>
    </row>
    <row r="6831">
      <c r="A6831">
        <f>IFERROR(INDEX('Email Cleaner'!$B$2:$B$10001,MATCH(6830,'Email Cleaner'!$I$2:$I$10001,0)),"")</f>
        <v/>
      </c>
    </row>
    <row r="6832">
      <c r="A6832">
        <f>IFERROR(INDEX('Email Cleaner'!$B$2:$B$10001,MATCH(6831,'Email Cleaner'!$I$2:$I$10001,0)),"")</f>
        <v/>
      </c>
    </row>
    <row r="6833">
      <c r="A6833">
        <f>IFERROR(INDEX('Email Cleaner'!$B$2:$B$10001,MATCH(6832,'Email Cleaner'!$I$2:$I$10001,0)),"")</f>
        <v/>
      </c>
    </row>
    <row r="6834">
      <c r="A6834">
        <f>IFERROR(INDEX('Email Cleaner'!$B$2:$B$10001,MATCH(6833,'Email Cleaner'!$I$2:$I$10001,0)),"")</f>
        <v/>
      </c>
    </row>
    <row r="6835">
      <c r="A6835">
        <f>IFERROR(INDEX('Email Cleaner'!$B$2:$B$10001,MATCH(6834,'Email Cleaner'!$I$2:$I$10001,0)),"")</f>
        <v/>
      </c>
    </row>
    <row r="6836">
      <c r="A6836">
        <f>IFERROR(INDEX('Email Cleaner'!$B$2:$B$10001,MATCH(6835,'Email Cleaner'!$I$2:$I$10001,0)),"")</f>
        <v/>
      </c>
    </row>
    <row r="6837">
      <c r="A6837">
        <f>IFERROR(INDEX('Email Cleaner'!$B$2:$B$10001,MATCH(6836,'Email Cleaner'!$I$2:$I$10001,0)),"")</f>
        <v/>
      </c>
    </row>
    <row r="6838">
      <c r="A6838">
        <f>IFERROR(INDEX('Email Cleaner'!$B$2:$B$10001,MATCH(6837,'Email Cleaner'!$I$2:$I$10001,0)),"")</f>
        <v/>
      </c>
    </row>
    <row r="6839">
      <c r="A6839">
        <f>IFERROR(INDEX('Email Cleaner'!$B$2:$B$10001,MATCH(6838,'Email Cleaner'!$I$2:$I$10001,0)),"")</f>
        <v/>
      </c>
    </row>
    <row r="6840">
      <c r="A6840">
        <f>IFERROR(INDEX('Email Cleaner'!$B$2:$B$10001,MATCH(6839,'Email Cleaner'!$I$2:$I$10001,0)),"")</f>
        <v/>
      </c>
    </row>
    <row r="6841">
      <c r="A6841">
        <f>IFERROR(INDEX('Email Cleaner'!$B$2:$B$10001,MATCH(6840,'Email Cleaner'!$I$2:$I$10001,0)),"")</f>
        <v/>
      </c>
    </row>
    <row r="6842">
      <c r="A6842">
        <f>IFERROR(INDEX('Email Cleaner'!$B$2:$B$10001,MATCH(6841,'Email Cleaner'!$I$2:$I$10001,0)),"")</f>
        <v/>
      </c>
    </row>
    <row r="6843">
      <c r="A6843">
        <f>IFERROR(INDEX('Email Cleaner'!$B$2:$B$10001,MATCH(6842,'Email Cleaner'!$I$2:$I$10001,0)),"")</f>
        <v/>
      </c>
    </row>
    <row r="6844">
      <c r="A6844">
        <f>IFERROR(INDEX('Email Cleaner'!$B$2:$B$10001,MATCH(6843,'Email Cleaner'!$I$2:$I$10001,0)),"")</f>
        <v/>
      </c>
    </row>
    <row r="6845">
      <c r="A6845">
        <f>IFERROR(INDEX('Email Cleaner'!$B$2:$B$10001,MATCH(6844,'Email Cleaner'!$I$2:$I$10001,0)),"")</f>
        <v/>
      </c>
    </row>
    <row r="6846">
      <c r="A6846">
        <f>IFERROR(INDEX('Email Cleaner'!$B$2:$B$10001,MATCH(6845,'Email Cleaner'!$I$2:$I$10001,0)),"")</f>
        <v/>
      </c>
    </row>
    <row r="6847">
      <c r="A6847">
        <f>IFERROR(INDEX('Email Cleaner'!$B$2:$B$10001,MATCH(6846,'Email Cleaner'!$I$2:$I$10001,0)),"")</f>
        <v/>
      </c>
    </row>
    <row r="6848">
      <c r="A6848">
        <f>IFERROR(INDEX('Email Cleaner'!$B$2:$B$10001,MATCH(6847,'Email Cleaner'!$I$2:$I$10001,0)),"")</f>
        <v/>
      </c>
    </row>
    <row r="6849">
      <c r="A6849">
        <f>IFERROR(INDEX('Email Cleaner'!$B$2:$B$10001,MATCH(6848,'Email Cleaner'!$I$2:$I$10001,0)),"")</f>
        <v/>
      </c>
    </row>
    <row r="6850">
      <c r="A6850">
        <f>IFERROR(INDEX('Email Cleaner'!$B$2:$B$10001,MATCH(6849,'Email Cleaner'!$I$2:$I$10001,0)),"")</f>
        <v/>
      </c>
    </row>
    <row r="6851">
      <c r="A6851">
        <f>IFERROR(INDEX('Email Cleaner'!$B$2:$B$10001,MATCH(6850,'Email Cleaner'!$I$2:$I$10001,0)),"")</f>
        <v/>
      </c>
    </row>
    <row r="6852">
      <c r="A6852">
        <f>IFERROR(INDEX('Email Cleaner'!$B$2:$B$10001,MATCH(6851,'Email Cleaner'!$I$2:$I$10001,0)),"")</f>
        <v/>
      </c>
    </row>
    <row r="6853">
      <c r="A6853">
        <f>IFERROR(INDEX('Email Cleaner'!$B$2:$B$10001,MATCH(6852,'Email Cleaner'!$I$2:$I$10001,0)),"")</f>
        <v/>
      </c>
    </row>
    <row r="6854">
      <c r="A6854">
        <f>IFERROR(INDEX('Email Cleaner'!$B$2:$B$10001,MATCH(6853,'Email Cleaner'!$I$2:$I$10001,0)),"")</f>
        <v/>
      </c>
    </row>
    <row r="6855">
      <c r="A6855">
        <f>IFERROR(INDEX('Email Cleaner'!$B$2:$B$10001,MATCH(6854,'Email Cleaner'!$I$2:$I$10001,0)),"")</f>
        <v/>
      </c>
    </row>
    <row r="6856">
      <c r="A6856">
        <f>IFERROR(INDEX('Email Cleaner'!$B$2:$B$10001,MATCH(6855,'Email Cleaner'!$I$2:$I$10001,0)),"")</f>
        <v/>
      </c>
    </row>
    <row r="6857">
      <c r="A6857">
        <f>IFERROR(INDEX('Email Cleaner'!$B$2:$B$10001,MATCH(6856,'Email Cleaner'!$I$2:$I$10001,0)),"")</f>
        <v/>
      </c>
    </row>
    <row r="6858">
      <c r="A6858">
        <f>IFERROR(INDEX('Email Cleaner'!$B$2:$B$10001,MATCH(6857,'Email Cleaner'!$I$2:$I$10001,0)),"")</f>
        <v/>
      </c>
    </row>
    <row r="6859">
      <c r="A6859">
        <f>IFERROR(INDEX('Email Cleaner'!$B$2:$B$10001,MATCH(6858,'Email Cleaner'!$I$2:$I$10001,0)),"")</f>
        <v/>
      </c>
    </row>
    <row r="6860">
      <c r="A6860">
        <f>IFERROR(INDEX('Email Cleaner'!$B$2:$B$10001,MATCH(6859,'Email Cleaner'!$I$2:$I$10001,0)),"")</f>
        <v/>
      </c>
    </row>
    <row r="6861">
      <c r="A6861">
        <f>IFERROR(INDEX('Email Cleaner'!$B$2:$B$10001,MATCH(6860,'Email Cleaner'!$I$2:$I$10001,0)),"")</f>
        <v/>
      </c>
    </row>
    <row r="6862">
      <c r="A6862">
        <f>IFERROR(INDEX('Email Cleaner'!$B$2:$B$10001,MATCH(6861,'Email Cleaner'!$I$2:$I$10001,0)),"")</f>
        <v/>
      </c>
    </row>
    <row r="6863">
      <c r="A6863">
        <f>IFERROR(INDEX('Email Cleaner'!$B$2:$B$10001,MATCH(6862,'Email Cleaner'!$I$2:$I$10001,0)),"")</f>
        <v/>
      </c>
    </row>
    <row r="6864">
      <c r="A6864">
        <f>IFERROR(INDEX('Email Cleaner'!$B$2:$B$10001,MATCH(6863,'Email Cleaner'!$I$2:$I$10001,0)),"")</f>
        <v/>
      </c>
    </row>
    <row r="6865">
      <c r="A6865">
        <f>IFERROR(INDEX('Email Cleaner'!$B$2:$B$10001,MATCH(6864,'Email Cleaner'!$I$2:$I$10001,0)),"")</f>
        <v/>
      </c>
    </row>
    <row r="6866">
      <c r="A6866">
        <f>IFERROR(INDEX('Email Cleaner'!$B$2:$B$10001,MATCH(6865,'Email Cleaner'!$I$2:$I$10001,0)),"")</f>
        <v/>
      </c>
    </row>
    <row r="6867">
      <c r="A6867">
        <f>IFERROR(INDEX('Email Cleaner'!$B$2:$B$10001,MATCH(6866,'Email Cleaner'!$I$2:$I$10001,0)),"")</f>
        <v/>
      </c>
    </row>
    <row r="6868">
      <c r="A6868">
        <f>IFERROR(INDEX('Email Cleaner'!$B$2:$B$10001,MATCH(6867,'Email Cleaner'!$I$2:$I$10001,0)),"")</f>
        <v/>
      </c>
    </row>
    <row r="6869">
      <c r="A6869">
        <f>IFERROR(INDEX('Email Cleaner'!$B$2:$B$10001,MATCH(6868,'Email Cleaner'!$I$2:$I$10001,0)),"")</f>
        <v/>
      </c>
    </row>
    <row r="6870">
      <c r="A6870">
        <f>IFERROR(INDEX('Email Cleaner'!$B$2:$B$10001,MATCH(6869,'Email Cleaner'!$I$2:$I$10001,0)),"")</f>
        <v/>
      </c>
    </row>
    <row r="6871">
      <c r="A6871">
        <f>IFERROR(INDEX('Email Cleaner'!$B$2:$B$10001,MATCH(6870,'Email Cleaner'!$I$2:$I$10001,0)),"")</f>
        <v/>
      </c>
    </row>
    <row r="6872">
      <c r="A6872">
        <f>IFERROR(INDEX('Email Cleaner'!$B$2:$B$10001,MATCH(6871,'Email Cleaner'!$I$2:$I$10001,0)),"")</f>
        <v/>
      </c>
    </row>
    <row r="6873">
      <c r="A6873">
        <f>IFERROR(INDEX('Email Cleaner'!$B$2:$B$10001,MATCH(6872,'Email Cleaner'!$I$2:$I$10001,0)),"")</f>
        <v/>
      </c>
    </row>
    <row r="6874">
      <c r="A6874">
        <f>IFERROR(INDEX('Email Cleaner'!$B$2:$B$10001,MATCH(6873,'Email Cleaner'!$I$2:$I$10001,0)),"")</f>
        <v/>
      </c>
    </row>
    <row r="6875">
      <c r="A6875">
        <f>IFERROR(INDEX('Email Cleaner'!$B$2:$B$10001,MATCH(6874,'Email Cleaner'!$I$2:$I$10001,0)),"")</f>
        <v/>
      </c>
    </row>
    <row r="6876">
      <c r="A6876">
        <f>IFERROR(INDEX('Email Cleaner'!$B$2:$B$10001,MATCH(6875,'Email Cleaner'!$I$2:$I$10001,0)),"")</f>
        <v/>
      </c>
    </row>
    <row r="6877">
      <c r="A6877">
        <f>IFERROR(INDEX('Email Cleaner'!$B$2:$B$10001,MATCH(6876,'Email Cleaner'!$I$2:$I$10001,0)),"")</f>
        <v/>
      </c>
    </row>
    <row r="6878">
      <c r="A6878">
        <f>IFERROR(INDEX('Email Cleaner'!$B$2:$B$10001,MATCH(6877,'Email Cleaner'!$I$2:$I$10001,0)),"")</f>
        <v/>
      </c>
    </row>
    <row r="6879">
      <c r="A6879">
        <f>IFERROR(INDEX('Email Cleaner'!$B$2:$B$10001,MATCH(6878,'Email Cleaner'!$I$2:$I$10001,0)),"")</f>
        <v/>
      </c>
    </row>
    <row r="6880">
      <c r="A6880">
        <f>IFERROR(INDEX('Email Cleaner'!$B$2:$B$10001,MATCH(6879,'Email Cleaner'!$I$2:$I$10001,0)),"")</f>
        <v/>
      </c>
    </row>
    <row r="6881">
      <c r="A6881">
        <f>IFERROR(INDEX('Email Cleaner'!$B$2:$B$10001,MATCH(6880,'Email Cleaner'!$I$2:$I$10001,0)),"")</f>
        <v/>
      </c>
    </row>
    <row r="6882">
      <c r="A6882">
        <f>IFERROR(INDEX('Email Cleaner'!$B$2:$B$10001,MATCH(6881,'Email Cleaner'!$I$2:$I$10001,0)),"")</f>
        <v/>
      </c>
    </row>
    <row r="6883">
      <c r="A6883">
        <f>IFERROR(INDEX('Email Cleaner'!$B$2:$B$10001,MATCH(6882,'Email Cleaner'!$I$2:$I$10001,0)),"")</f>
        <v/>
      </c>
    </row>
    <row r="6884">
      <c r="A6884">
        <f>IFERROR(INDEX('Email Cleaner'!$B$2:$B$10001,MATCH(6883,'Email Cleaner'!$I$2:$I$10001,0)),"")</f>
        <v/>
      </c>
    </row>
    <row r="6885">
      <c r="A6885">
        <f>IFERROR(INDEX('Email Cleaner'!$B$2:$B$10001,MATCH(6884,'Email Cleaner'!$I$2:$I$10001,0)),"")</f>
        <v/>
      </c>
    </row>
    <row r="6886">
      <c r="A6886">
        <f>IFERROR(INDEX('Email Cleaner'!$B$2:$B$10001,MATCH(6885,'Email Cleaner'!$I$2:$I$10001,0)),"")</f>
        <v/>
      </c>
    </row>
    <row r="6887">
      <c r="A6887">
        <f>IFERROR(INDEX('Email Cleaner'!$B$2:$B$10001,MATCH(6886,'Email Cleaner'!$I$2:$I$10001,0)),"")</f>
        <v/>
      </c>
    </row>
    <row r="6888">
      <c r="A6888">
        <f>IFERROR(INDEX('Email Cleaner'!$B$2:$B$10001,MATCH(6887,'Email Cleaner'!$I$2:$I$10001,0)),"")</f>
        <v/>
      </c>
    </row>
    <row r="6889">
      <c r="A6889">
        <f>IFERROR(INDEX('Email Cleaner'!$B$2:$B$10001,MATCH(6888,'Email Cleaner'!$I$2:$I$10001,0)),"")</f>
        <v/>
      </c>
    </row>
    <row r="6890">
      <c r="A6890">
        <f>IFERROR(INDEX('Email Cleaner'!$B$2:$B$10001,MATCH(6889,'Email Cleaner'!$I$2:$I$10001,0)),"")</f>
        <v/>
      </c>
    </row>
    <row r="6891">
      <c r="A6891">
        <f>IFERROR(INDEX('Email Cleaner'!$B$2:$B$10001,MATCH(6890,'Email Cleaner'!$I$2:$I$10001,0)),"")</f>
        <v/>
      </c>
    </row>
    <row r="6892">
      <c r="A6892">
        <f>IFERROR(INDEX('Email Cleaner'!$B$2:$B$10001,MATCH(6891,'Email Cleaner'!$I$2:$I$10001,0)),"")</f>
        <v/>
      </c>
    </row>
    <row r="6893">
      <c r="A6893">
        <f>IFERROR(INDEX('Email Cleaner'!$B$2:$B$10001,MATCH(6892,'Email Cleaner'!$I$2:$I$10001,0)),"")</f>
        <v/>
      </c>
    </row>
    <row r="6894">
      <c r="A6894">
        <f>IFERROR(INDEX('Email Cleaner'!$B$2:$B$10001,MATCH(6893,'Email Cleaner'!$I$2:$I$10001,0)),"")</f>
        <v/>
      </c>
    </row>
    <row r="6895">
      <c r="A6895">
        <f>IFERROR(INDEX('Email Cleaner'!$B$2:$B$10001,MATCH(6894,'Email Cleaner'!$I$2:$I$10001,0)),"")</f>
        <v/>
      </c>
    </row>
    <row r="6896">
      <c r="A6896">
        <f>IFERROR(INDEX('Email Cleaner'!$B$2:$B$10001,MATCH(6895,'Email Cleaner'!$I$2:$I$10001,0)),"")</f>
        <v/>
      </c>
    </row>
    <row r="6897">
      <c r="A6897">
        <f>IFERROR(INDEX('Email Cleaner'!$B$2:$B$10001,MATCH(6896,'Email Cleaner'!$I$2:$I$10001,0)),"")</f>
        <v/>
      </c>
    </row>
    <row r="6898">
      <c r="A6898">
        <f>IFERROR(INDEX('Email Cleaner'!$B$2:$B$10001,MATCH(6897,'Email Cleaner'!$I$2:$I$10001,0)),"")</f>
        <v/>
      </c>
    </row>
    <row r="6899">
      <c r="A6899">
        <f>IFERROR(INDEX('Email Cleaner'!$B$2:$B$10001,MATCH(6898,'Email Cleaner'!$I$2:$I$10001,0)),"")</f>
        <v/>
      </c>
    </row>
    <row r="6900">
      <c r="A6900">
        <f>IFERROR(INDEX('Email Cleaner'!$B$2:$B$10001,MATCH(6899,'Email Cleaner'!$I$2:$I$10001,0)),"")</f>
        <v/>
      </c>
    </row>
    <row r="6901">
      <c r="A6901">
        <f>IFERROR(INDEX('Email Cleaner'!$B$2:$B$10001,MATCH(6900,'Email Cleaner'!$I$2:$I$10001,0)),"")</f>
        <v/>
      </c>
    </row>
    <row r="6902">
      <c r="A6902">
        <f>IFERROR(INDEX('Email Cleaner'!$B$2:$B$10001,MATCH(6901,'Email Cleaner'!$I$2:$I$10001,0)),"")</f>
        <v/>
      </c>
    </row>
    <row r="6903">
      <c r="A6903">
        <f>IFERROR(INDEX('Email Cleaner'!$B$2:$B$10001,MATCH(6902,'Email Cleaner'!$I$2:$I$10001,0)),"")</f>
        <v/>
      </c>
    </row>
    <row r="6904">
      <c r="A6904">
        <f>IFERROR(INDEX('Email Cleaner'!$B$2:$B$10001,MATCH(6903,'Email Cleaner'!$I$2:$I$10001,0)),"")</f>
        <v/>
      </c>
    </row>
    <row r="6905">
      <c r="A6905">
        <f>IFERROR(INDEX('Email Cleaner'!$B$2:$B$10001,MATCH(6904,'Email Cleaner'!$I$2:$I$10001,0)),"")</f>
        <v/>
      </c>
    </row>
    <row r="6906">
      <c r="A6906">
        <f>IFERROR(INDEX('Email Cleaner'!$B$2:$B$10001,MATCH(6905,'Email Cleaner'!$I$2:$I$10001,0)),"")</f>
        <v/>
      </c>
    </row>
    <row r="6907">
      <c r="A6907">
        <f>IFERROR(INDEX('Email Cleaner'!$B$2:$B$10001,MATCH(6906,'Email Cleaner'!$I$2:$I$10001,0)),"")</f>
        <v/>
      </c>
    </row>
    <row r="6908">
      <c r="A6908">
        <f>IFERROR(INDEX('Email Cleaner'!$B$2:$B$10001,MATCH(6907,'Email Cleaner'!$I$2:$I$10001,0)),"")</f>
        <v/>
      </c>
    </row>
    <row r="6909">
      <c r="A6909">
        <f>IFERROR(INDEX('Email Cleaner'!$B$2:$B$10001,MATCH(6908,'Email Cleaner'!$I$2:$I$10001,0)),"")</f>
        <v/>
      </c>
    </row>
    <row r="6910">
      <c r="A6910">
        <f>IFERROR(INDEX('Email Cleaner'!$B$2:$B$10001,MATCH(6909,'Email Cleaner'!$I$2:$I$10001,0)),"")</f>
        <v/>
      </c>
    </row>
    <row r="6911">
      <c r="A6911">
        <f>IFERROR(INDEX('Email Cleaner'!$B$2:$B$10001,MATCH(6910,'Email Cleaner'!$I$2:$I$10001,0)),"")</f>
        <v/>
      </c>
    </row>
    <row r="6912">
      <c r="A6912">
        <f>IFERROR(INDEX('Email Cleaner'!$B$2:$B$10001,MATCH(6911,'Email Cleaner'!$I$2:$I$10001,0)),"")</f>
        <v/>
      </c>
    </row>
    <row r="6913">
      <c r="A6913">
        <f>IFERROR(INDEX('Email Cleaner'!$B$2:$B$10001,MATCH(6912,'Email Cleaner'!$I$2:$I$10001,0)),"")</f>
        <v/>
      </c>
    </row>
    <row r="6914">
      <c r="A6914">
        <f>IFERROR(INDEX('Email Cleaner'!$B$2:$B$10001,MATCH(6913,'Email Cleaner'!$I$2:$I$10001,0)),"")</f>
        <v/>
      </c>
    </row>
    <row r="6915">
      <c r="A6915">
        <f>IFERROR(INDEX('Email Cleaner'!$B$2:$B$10001,MATCH(6914,'Email Cleaner'!$I$2:$I$10001,0)),"")</f>
        <v/>
      </c>
    </row>
    <row r="6916">
      <c r="A6916">
        <f>IFERROR(INDEX('Email Cleaner'!$B$2:$B$10001,MATCH(6915,'Email Cleaner'!$I$2:$I$10001,0)),"")</f>
        <v/>
      </c>
    </row>
    <row r="6917">
      <c r="A6917">
        <f>IFERROR(INDEX('Email Cleaner'!$B$2:$B$10001,MATCH(6916,'Email Cleaner'!$I$2:$I$10001,0)),"")</f>
        <v/>
      </c>
    </row>
    <row r="6918">
      <c r="A6918">
        <f>IFERROR(INDEX('Email Cleaner'!$B$2:$B$10001,MATCH(6917,'Email Cleaner'!$I$2:$I$10001,0)),"")</f>
        <v/>
      </c>
    </row>
    <row r="6919">
      <c r="A6919">
        <f>IFERROR(INDEX('Email Cleaner'!$B$2:$B$10001,MATCH(6918,'Email Cleaner'!$I$2:$I$10001,0)),"")</f>
        <v/>
      </c>
    </row>
    <row r="6920">
      <c r="A6920">
        <f>IFERROR(INDEX('Email Cleaner'!$B$2:$B$10001,MATCH(6919,'Email Cleaner'!$I$2:$I$10001,0)),"")</f>
        <v/>
      </c>
    </row>
    <row r="6921">
      <c r="A6921">
        <f>IFERROR(INDEX('Email Cleaner'!$B$2:$B$10001,MATCH(6920,'Email Cleaner'!$I$2:$I$10001,0)),"")</f>
        <v/>
      </c>
    </row>
    <row r="6922">
      <c r="A6922">
        <f>IFERROR(INDEX('Email Cleaner'!$B$2:$B$10001,MATCH(6921,'Email Cleaner'!$I$2:$I$10001,0)),"")</f>
        <v/>
      </c>
    </row>
    <row r="6923">
      <c r="A6923">
        <f>IFERROR(INDEX('Email Cleaner'!$B$2:$B$10001,MATCH(6922,'Email Cleaner'!$I$2:$I$10001,0)),"")</f>
        <v/>
      </c>
    </row>
    <row r="6924">
      <c r="A6924">
        <f>IFERROR(INDEX('Email Cleaner'!$B$2:$B$10001,MATCH(6923,'Email Cleaner'!$I$2:$I$10001,0)),"")</f>
        <v/>
      </c>
    </row>
    <row r="6925">
      <c r="A6925">
        <f>IFERROR(INDEX('Email Cleaner'!$B$2:$B$10001,MATCH(6924,'Email Cleaner'!$I$2:$I$10001,0)),"")</f>
        <v/>
      </c>
    </row>
    <row r="6926">
      <c r="A6926">
        <f>IFERROR(INDEX('Email Cleaner'!$B$2:$B$10001,MATCH(6925,'Email Cleaner'!$I$2:$I$10001,0)),"")</f>
        <v/>
      </c>
    </row>
    <row r="6927">
      <c r="A6927">
        <f>IFERROR(INDEX('Email Cleaner'!$B$2:$B$10001,MATCH(6926,'Email Cleaner'!$I$2:$I$10001,0)),"")</f>
        <v/>
      </c>
    </row>
    <row r="6928">
      <c r="A6928">
        <f>IFERROR(INDEX('Email Cleaner'!$B$2:$B$10001,MATCH(6927,'Email Cleaner'!$I$2:$I$10001,0)),"")</f>
        <v/>
      </c>
    </row>
    <row r="6929">
      <c r="A6929">
        <f>IFERROR(INDEX('Email Cleaner'!$B$2:$B$10001,MATCH(6928,'Email Cleaner'!$I$2:$I$10001,0)),"")</f>
        <v/>
      </c>
    </row>
    <row r="6930">
      <c r="A6930">
        <f>IFERROR(INDEX('Email Cleaner'!$B$2:$B$10001,MATCH(6929,'Email Cleaner'!$I$2:$I$10001,0)),"")</f>
        <v/>
      </c>
    </row>
    <row r="6931">
      <c r="A6931">
        <f>IFERROR(INDEX('Email Cleaner'!$B$2:$B$10001,MATCH(6930,'Email Cleaner'!$I$2:$I$10001,0)),"")</f>
        <v/>
      </c>
    </row>
    <row r="6932">
      <c r="A6932">
        <f>IFERROR(INDEX('Email Cleaner'!$B$2:$B$10001,MATCH(6931,'Email Cleaner'!$I$2:$I$10001,0)),"")</f>
        <v/>
      </c>
    </row>
    <row r="6933">
      <c r="A6933">
        <f>IFERROR(INDEX('Email Cleaner'!$B$2:$B$10001,MATCH(6932,'Email Cleaner'!$I$2:$I$10001,0)),"")</f>
        <v/>
      </c>
    </row>
    <row r="6934">
      <c r="A6934">
        <f>IFERROR(INDEX('Email Cleaner'!$B$2:$B$10001,MATCH(6933,'Email Cleaner'!$I$2:$I$10001,0)),"")</f>
        <v/>
      </c>
    </row>
    <row r="6935">
      <c r="A6935">
        <f>IFERROR(INDEX('Email Cleaner'!$B$2:$B$10001,MATCH(6934,'Email Cleaner'!$I$2:$I$10001,0)),"")</f>
        <v/>
      </c>
    </row>
    <row r="6936">
      <c r="A6936">
        <f>IFERROR(INDEX('Email Cleaner'!$B$2:$B$10001,MATCH(6935,'Email Cleaner'!$I$2:$I$10001,0)),"")</f>
        <v/>
      </c>
    </row>
    <row r="6937">
      <c r="A6937">
        <f>IFERROR(INDEX('Email Cleaner'!$B$2:$B$10001,MATCH(6936,'Email Cleaner'!$I$2:$I$10001,0)),"")</f>
        <v/>
      </c>
    </row>
    <row r="6938">
      <c r="A6938">
        <f>IFERROR(INDEX('Email Cleaner'!$B$2:$B$10001,MATCH(6937,'Email Cleaner'!$I$2:$I$10001,0)),"")</f>
        <v/>
      </c>
    </row>
    <row r="6939">
      <c r="A6939">
        <f>IFERROR(INDEX('Email Cleaner'!$B$2:$B$10001,MATCH(6938,'Email Cleaner'!$I$2:$I$10001,0)),"")</f>
        <v/>
      </c>
    </row>
    <row r="6940">
      <c r="A6940">
        <f>IFERROR(INDEX('Email Cleaner'!$B$2:$B$10001,MATCH(6939,'Email Cleaner'!$I$2:$I$10001,0)),"")</f>
        <v/>
      </c>
    </row>
    <row r="6941">
      <c r="A6941">
        <f>IFERROR(INDEX('Email Cleaner'!$B$2:$B$10001,MATCH(6940,'Email Cleaner'!$I$2:$I$10001,0)),"")</f>
        <v/>
      </c>
    </row>
    <row r="6942">
      <c r="A6942">
        <f>IFERROR(INDEX('Email Cleaner'!$B$2:$B$10001,MATCH(6941,'Email Cleaner'!$I$2:$I$10001,0)),"")</f>
        <v/>
      </c>
    </row>
    <row r="6943">
      <c r="A6943">
        <f>IFERROR(INDEX('Email Cleaner'!$B$2:$B$10001,MATCH(6942,'Email Cleaner'!$I$2:$I$10001,0)),"")</f>
        <v/>
      </c>
    </row>
    <row r="6944">
      <c r="A6944">
        <f>IFERROR(INDEX('Email Cleaner'!$B$2:$B$10001,MATCH(6943,'Email Cleaner'!$I$2:$I$10001,0)),"")</f>
        <v/>
      </c>
    </row>
    <row r="6945">
      <c r="A6945">
        <f>IFERROR(INDEX('Email Cleaner'!$B$2:$B$10001,MATCH(6944,'Email Cleaner'!$I$2:$I$10001,0)),"")</f>
        <v/>
      </c>
    </row>
    <row r="6946">
      <c r="A6946">
        <f>IFERROR(INDEX('Email Cleaner'!$B$2:$B$10001,MATCH(6945,'Email Cleaner'!$I$2:$I$10001,0)),"")</f>
        <v/>
      </c>
    </row>
    <row r="6947">
      <c r="A6947">
        <f>IFERROR(INDEX('Email Cleaner'!$B$2:$B$10001,MATCH(6946,'Email Cleaner'!$I$2:$I$10001,0)),"")</f>
        <v/>
      </c>
    </row>
    <row r="6948">
      <c r="A6948">
        <f>IFERROR(INDEX('Email Cleaner'!$B$2:$B$10001,MATCH(6947,'Email Cleaner'!$I$2:$I$10001,0)),"")</f>
        <v/>
      </c>
    </row>
    <row r="6949">
      <c r="A6949">
        <f>IFERROR(INDEX('Email Cleaner'!$B$2:$B$10001,MATCH(6948,'Email Cleaner'!$I$2:$I$10001,0)),"")</f>
        <v/>
      </c>
    </row>
    <row r="6950">
      <c r="A6950">
        <f>IFERROR(INDEX('Email Cleaner'!$B$2:$B$10001,MATCH(6949,'Email Cleaner'!$I$2:$I$10001,0)),"")</f>
        <v/>
      </c>
    </row>
    <row r="6951">
      <c r="A6951">
        <f>IFERROR(INDEX('Email Cleaner'!$B$2:$B$10001,MATCH(6950,'Email Cleaner'!$I$2:$I$10001,0)),"")</f>
        <v/>
      </c>
    </row>
    <row r="6952">
      <c r="A6952">
        <f>IFERROR(INDEX('Email Cleaner'!$B$2:$B$10001,MATCH(6951,'Email Cleaner'!$I$2:$I$10001,0)),"")</f>
        <v/>
      </c>
    </row>
    <row r="6953">
      <c r="A6953">
        <f>IFERROR(INDEX('Email Cleaner'!$B$2:$B$10001,MATCH(6952,'Email Cleaner'!$I$2:$I$10001,0)),"")</f>
        <v/>
      </c>
    </row>
    <row r="6954">
      <c r="A6954">
        <f>IFERROR(INDEX('Email Cleaner'!$B$2:$B$10001,MATCH(6953,'Email Cleaner'!$I$2:$I$10001,0)),"")</f>
        <v/>
      </c>
    </row>
    <row r="6955">
      <c r="A6955">
        <f>IFERROR(INDEX('Email Cleaner'!$B$2:$B$10001,MATCH(6954,'Email Cleaner'!$I$2:$I$10001,0)),"")</f>
        <v/>
      </c>
    </row>
    <row r="6956">
      <c r="A6956">
        <f>IFERROR(INDEX('Email Cleaner'!$B$2:$B$10001,MATCH(6955,'Email Cleaner'!$I$2:$I$10001,0)),"")</f>
        <v/>
      </c>
    </row>
    <row r="6957">
      <c r="A6957">
        <f>IFERROR(INDEX('Email Cleaner'!$B$2:$B$10001,MATCH(6956,'Email Cleaner'!$I$2:$I$10001,0)),"")</f>
        <v/>
      </c>
    </row>
    <row r="6958">
      <c r="A6958">
        <f>IFERROR(INDEX('Email Cleaner'!$B$2:$B$10001,MATCH(6957,'Email Cleaner'!$I$2:$I$10001,0)),"")</f>
        <v/>
      </c>
    </row>
    <row r="6959">
      <c r="A6959">
        <f>IFERROR(INDEX('Email Cleaner'!$B$2:$B$10001,MATCH(6958,'Email Cleaner'!$I$2:$I$10001,0)),"")</f>
        <v/>
      </c>
    </row>
    <row r="6960">
      <c r="A6960">
        <f>IFERROR(INDEX('Email Cleaner'!$B$2:$B$10001,MATCH(6959,'Email Cleaner'!$I$2:$I$10001,0)),"")</f>
        <v/>
      </c>
    </row>
    <row r="6961">
      <c r="A6961">
        <f>IFERROR(INDEX('Email Cleaner'!$B$2:$B$10001,MATCH(6960,'Email Cleaner'!$I$2:$I$10001,0)),"")</f>
        <v/>
      </c>
    </row>
    <row r="6962">
      <c r="A6962">
        <f>IFERROR(INDEX('Email Cleaner'!$B$2:$B$10001,MATCH(6961,'Email Cleaner'!$I$2:$I$10001,0)),"")</f>
        <v/>
      </c>
    </row>
    <row r="6963">
      <c r="A6963">
        <f>IFERROR(INDEX('Email Cleaner'!$B$2:$B$10001,MATCH(6962,'Email Cleaner'!$I$2:$I$10001,0)),"")</f>
        <v/>
      </c>
    </row>
    <row r="6964">
      <c r="A6964">
        <f>IFERROR(INDEX('Email Cleaner'!$B$2:$B$10001,MATCH(6963,'Email Cleaner'!$I$2:$I$10001,0)),"")</f>
        <v/>
      </c>
    </row>
    <row r="6965">
      <c r="A6965">
        <f>IFERROR(INDEX('Email Cleaner'!$B$2:$B$10001,MATCH(6964,'Email Cleaner'!$I$2:$I$10001,0)),"")</f>
        <v/>
      </c>
    </row>
    <row r="6966">
      <c r="A6966">
        <f>IFERROR(INDEX('Email Cleaner'!$B$2:$B$10001,MATCH(6965,'Email Cleaner'!$I$2:$I$10001,0)),"")</f>
        <v/>
      </c>
    </row>
    <row r="6967">
      <c r="A6967">
        <f>IFERROR(INDEX('Email Cleaner'!$B$2:$B$10001,MATCH(6966,'Email Cleaner'!$I$2:$I$10001,0)),"")</f>
        <v/>
      </c>
    </row>
    <row r="6968">
      <c r="A6968">
        <f>IFERROR(INDEX('Email Cleaner'!$B$2:$B$10001,MATCH(6967,'Email Cleaner'!$I$2:$I$10001,0)),"")</f>
        <v/>
      </c>
    </row>
    <row r="6969">
      <c r="A6969">
        <f>IFERROR(INDEX('Email Cleaner'!$B$2:$B$10001,MATCH(6968,'Email Cleaner'!$I$2:$I$10001,0)),"")</f>
        <v/>
      </c>
    </row>
    <row r="6970">
      <c r="A6970">
        <f>IFERROR(INDEX('Email Cleaner'!$B$2:$B$10001,MATCH(6969,'Email Cleaner'!$I$2:$I$10001,0)),"")</f>
        <v/>
      </c>
    </row>
    <row r="6971">
      <c r="A6971">
        <f>IFERROR(INDEX('Email Cleaner'!$B$2:$B$10001,MATCH(6970,'Email Cleaner'!$I$2:$I$10001,0)),"")</f>
        <v/>
      </c>
    </row>
    <row r="6972">
      <c r="A6972">
        <f>IFERROR(INDEX('Email Cleaner'!$B$2:$B$10001,MATCH(6971,'Email Cleaner'!$I$2:$I$10001,0)),"")</f>
        <v/>
      </c>
    </row>
    <row r="6973">
      <c r="A6973">
        <f>IFERROR(INDEX('Email Cleaner'!$B$2:$B$10001,MATCH(6972,'Email Cleaner'!$I$2:$I$10001,0)),"")</f>
        <v/>
      </c>
    </row>
    <row r="6974">
      <c r="A6974">
        <f>IFERROR(INDEX('Email Cleaner'!$B$2:$B$10001,MATCH(6973,'Email Cleaner'!$I$2:$I$10001,0)),"")</f>
        <v/>
      </c>
    </row>
    <row r="6975">
      <c r="A6975">
        <f>IFERROR(INDEX('Email Cleaner'!$B$2:$B$10001,MATCH(6974,'Email Cleaner'!$I$2:$I$10001,0)),"")</f>
        <v/>
      </c>
    </row>
    <row r="6976">
      <c r="A6976">
        <f>IFERROR(INDEX('Email Cleaner'!$B$2:$B$10001,MATCH(6975,'Email Cleaner'!$I$2:$I$10001,0)),"")</f>
        <v/>
      </c>
    </row>
    <row r="6977">
      <c r="A6977">
        <f>IFERROR(INDEX('Email Cleaner'!$B$2:$B$10001,MATCH(6976,'Email Cleaner'!$I$2:$I$10001,0)),"")</f>
        <v/>
      </c>
    </row>
    <row r="6978">
      <c r="A6978">
        <f>IFERROR(INDEX('Email Cleaner'!$B$2:$B$10001,MATCH(6977,'Email Cleaner'!$I$2:$I$10001,0)),"")</f>
        <v/>
      </c>
    </row>
    <row r="6979">
      <c r="A6979">
        <f>IFERROR(INDEX('Email Cleaner'!$B$2:$B$10001,MATCH(6978,'Email Cleaner'!$I$2:$I$10001,0)),"")</f>
        <v/>
      </c>
    </row>
    <row r="6980">
      <c r="A6980">
        <f>IFERROR(INDEX('Email Cleaner'!$B$2:$B$10001,MATCH(6979,'Email Cleaner'!$I$2:$I$10001,0)),"")</f>
        <v/>
      </c>
    </row>
    <row r="6981">
      <c r="A6981">
        <f>IFERROR(INDEX('Email Cleaner'!$B$2:$B$10001,MATCH(6980,'Email Cleaner'!$I$2:$I$10001,0)),"")</f>
        <v/>
      </c>
    </row>
    <row r="6982">
      <c r="A6982">
        <f>IFERROR(INDEX('Email Cleaner'!$B$2:$B$10001,MATCH(6981,'Email Cleaner'!$I$2:$I$10001,0)),"")</f>
        <v/>
      </c>
    </row>
    <row r="6983">
      <c r="A6983">
        <f>IFERROR(INDEX('Email Cleaner'!$B$2:$B$10001,MATCH(6982,'Email Cleaner'!$I$2:$I$10001,0)),"")</f>
        <v/>
      </c>
    </row>
    <row r="6984">
      <c r="A6984">
        <f>IFERROR(INDEX('Email Cleaner'!$B$2:$B$10001,MATCH(6983,'Email Cleaner'!$I$2:$I$10001,0)),"")</f>
        <v/>
      </c>
    </row>
    <row r="6985">
      <c r="A6985">
        <f>IFERROR(INDEX('Email Cleaner'!$B$2:$B$10001,MATCH(6984,'Email Cleaner'!$I$2:$I$10001,0)),"")</f>
        <v/>
      </c>
    </row>
    <row r="6986">
      <c r="A6986">
        <f>IFERROR(INDEX('Email Cleaner'!$B$2:$B$10001,MATCH(6985,'Email Cleaner'!$I$2:$I$10001,0)),"")</f>
        <v/>
      </c>
    </row>
    <row r="6987">
      <c r="A6987">
        <f>IFERROR(INDEX('Email Cleaner'!$B$2:$B$10001,MATCH(6986,'Email Cleaner'!$I$2:$I$10001,0)),"")</f>
        <v/>
      </c>
    </row>
    <row r="6988">
      <c r="A6988">
        <f>IFERROR(INDEX('Email Cleaner'!$B$2:$B$10001,MATCH(6987,'Email Cleaner'!$I$2:$I$10001,0)),"")</f>
        <v/>
      </c>
    </row>
    <row r="6989">
      <c r="A6989">
        <f>IFERROR(INDEX('Email Cleaner'!$B$2:$B$10001,MATCH(6988,'Email Cleaner'!$I$2:$I$10001,0)),"")</f>
        <v/>
      </c>
    </row>
    <row r="6990">
      <c r="A6990">
        <f>IFERROR(INDEX('Email Cleaner'!$B$2:$B$10001,MATCH(6989,'Email Cleaner'!$I$2:$I$10001,0)),"")</f>
        <v/>
      </c>
    </row>
    <row r="6991">
      <c r="A6991">
        <f>IFERROR(INDEX('Email Cleaner'!$B$2:$B$10001,MATCH(6990,'Email Cleaner'!$I$2:$I$10001,0)),"")</f>
        <v/>
      </c>
    </row>
    <row r="6992">
      <c r="A6992">
        <f>IFERROR(INDEX('Email Cleaner'!$B$2:$B$10001,MATCH(6991,'Email Cleaner'!$I$2:$I$10001,0)),"")</f>
        <v/>
      </c>
    </row>
    <row r="6993">
      <c r="A6993">
        <f>IFERROR(INDEX('Email Cleaner'!$B$2:$B$10001,MATCH(6992,'Email Cleaner'!$I$2:$I$10001,0)),"")</f>
        <v/>
      </c>
    </row>
    <row r="6994">
      <c r="A6994">
        <f>IFERROR(INDEX('Email Cleaner'!$B$2:$B$10001,MATCH(6993,'Email Cleaner'!$I$2:$I$10001,0)),"")</f>
        <v/>
      </c>
    </row>
    <row r="6995">
      <c r="A6995">
        <f>IFERROR(INDEX('Email Cleaner'!$B$2:$B$10001,MATCH(6994,'Email Cleaner'!$I$2:$I$10001,0)),"")</f>
        <v/>
      </c>
    </row>
    <row r="6996">
      <c r="A6996">
        <f>IFERROR(INDEX('Email Cleaner'!$B$2:$B$10001,MATCH(6995,'Email Cleaner'!$I$2:$I$10001,0)),"")</f>
        <v/>
      </c>
    </row>
    <row r="6997">
      <c r="A6997">
        <f>IFERROR(INDEX('Email Cleaner'!$B$2:$B$10001,MATCH(6996,'Email Cleaner'!$I$2:$I$10001,0)),"")</f>
        <v/>
      </c>
    </row>
    <row r="6998">
      <c r="A6998">
        <f>IFERROR(INDEX('Email Cleaner'!$B$2:$B$10001,MATCH(6997,'Email Cleaner'!$I$2:$I$10001,0)),"")</f>
        <v/>
      </c>
    </row>
    <row r="6999">
      <c r="A6999">
        <f>IFERROR(INDEX('Email Cleaner'!$B$2:$B$10001,MATCH(6998,'Email Cleaner'!$I$2:$I$10001,0)),"")</f>
        <v/>
      </c>
    </row>
    <row r="7000">
      <c r="A7000">
        <f>IFERROR(INDEX('Email Cleaner'!$B$2:$B$10001,MATCH(6999,'Email Cleaner'!$I$2:$I$10001,0)),"")</f>
        <v/>
      </c>
    </row>
    <row r="7001">
      <c r="A7001">
        <f>IFERROR(INDEX('Email Cleaner'!$B$2:$B$10001,MATCH(7000,'Email Cleaner'!$I$2:$I$10001,0)),"")</f>
        <v/>
      </c>
    </row>
    <row r="7002">
      <c r="A7002">
        <f>IFERROR(INDEX('Email Cleaner'!$B$2:$B$10001,MATCH(7001,'Email Cleaner'!$I$2:$I$10001,0)),"")</f>
        <v/>
      </c>
    </row>
    <row r="7003">
      <c r="A7003">
        <f>IFERROR(INDEX('Email Cleaner'!$B$2:$B$10001,MATCH(7002,'Email Cleaner'!$I$2:$I$10001,0)),"")</f>
        <v/>
      </c>
    </row>
    <row r="7004">
      <c r="A7004">
        <f>IFERROR(INDEX('Email Cleaner'!$B$2:$B$10001,MATCH(7003,'Email Cleaner'!$I$2:$I$10001,0)),"")</f>
        <v/>
      </c>
    </row>
    <row r="7005">
      <c r="A7005">
        <f>IFERROR(INDEX('Email Cleaner'!$B$2:$B$10001,MATCH(7004,'Email Cleaner'!$I$2:$I$10001,0)),"")</f>
        <v/>
      </c>
    </row>
    <row r="7006">
      <c r="A7006">
        <f>IFERROR(INDEX('Email Cleaner'!$B$2:$B$10001,MATCH(7005,'Email Cleaner'!$I$2:$I$10001,0)),"")</f>
        <v/>
      </c>
    </row>
    <row r="7007">
      <c r="A7007">
        <f>IFERROR(INDEX('Email Cleaner'!$B$2:$B$10001,MATCH(7006,'Email Cleaner'!$I$2:$I$10001,0)),"")</f>
        <v/>
      </c>
    </row>
    <row r="7008">
      <c r="A7008">
        <f>IFERROR(INDEX('Email Cleaner'!$B$2:$B$10001,MATCH(7007,'Email Cleaner'!$I$2:$I$10001,0)),"")</f>
        <v/>
      </c>
    </row>
    <row r="7009">
      <c r="A7009">
        <f>IFERROR(INDEX('Email Cleaner'!$B$2:$B$10001,MATCH(7008,'Email Cleaner'!$I$2:$I$10001,0)),"")</f>
        <v/>
      </c>
    </row>
    <row r="7010">
      <c r="A7010">
        <f>IFERROR(INDEX('Email Cleaner'!$B$2:$B$10001,MATCH(7009,'Email Cleaner'!$I$2:$I$10001,0)),"")</f>
        <v/>
      </c>
    </row>
    <row r="7011">
      <c r="A7011">
        <f>IFERROR(INDEX('Email Cleaner'!$B$2:$B$10001,MATCH(7010,'Email Cleaner'!$I$2:$I$10001,0)),"")</f>
        <v/>
      </c>
    </row>
    <row r="7012">
      <c r="A7012">
        <f>IFERROR(INDEX('Email Cleaner'!$B$2:$B$10001,MATCH(7011,'Email Cleaner'!$I$2:$I$10001,0)),"")</f>
        <v/>
      </c>
    </row>
    <row r="7013">
      <c r="A7013">
        <f>IFERROR(INDEX('Email Cleaner'!$B$2:$B$10001,MATCH(7012,'Email Cleaner'!$I$2:$I$10001,0)),"")</f>
        <v/>
      </c>
    </row>
    <row r="7014">
      <c r="A7014">
        <f>IFERROR(INDEX('Email Cleaner'!$B$2:$B$10001,MATCH(7013,'Email Cleaner'!$I$2:$I$10001,0)),"")</f>
        <v/>
      </c>
    </row>
    <row r="7015">
      <c r="A7015">
        <f>IFERROR(INDEX('Email Cleaner'!$B$2:$B$10001,MATCH(7014,'Email Cleaner'!$I$2:$I$10001,0)),"")</f>
        <v/>
      </c>
    </row>
    <row r="7016">
      <c r="A7016">
        <f>IFERROR(INDEX('Email Cleaner'!$B$2:$B$10001,MATCH(7015,'Email Cleaner'!$I$2:$I$10001,0)),"")</f>
        <v/>
      </c>
    </row>
    <row r="7017">
      <c r="A7017">
        <f>IFERROR(INDEX('Email Cleaner'!$B$2:$B$10001,MATCH(7016,'Email Cleaner'!$I$2:$I$10001,0)),"")</f>
        <v/>
      </c>
    </row>
    <row r="7018">
      <c r="A7018">
        <f>IFERROR(INDEX('Email Cleaner'!$B$2:$B$10001,MATCH(7017,'Email Cleaner'!$I$2:$I$10001,0)),"")</f>
        <v/>
      </c>
    </row>
    <row r="7019">
      <c r="A7019">
        <f>IFERROR(INDEX('Email Cleaner'!$B$2:$B$10001,MATCH(7018,'Email Cleaner'!$I$2:$I$10001,0)),"")</f>
        <v/>
      </c>
    </row>
    <row r="7020">
      <c r="A7020">
        <f>IFERROR(INDEX('Email Cleaner'!$B$2:$B$10001,MATCH(7019,'Email Cleaner'!$I$2:$I$10001,0)),"")</f>
        <v/>
      </c>
    </row>
    <row r="7021">
      <c r="A7021">
        <f>IFERROR(INDEX('Email Cleaner'!$B$2:$B$10001,MATCH(7020,'Email Cleaner'!$I$2:$I$10001,0)),"")</f>
        <v/>
      </c>
    </row>
    <row r="7022">
      <c r="A7022">
        <f>IFERROR(INDEX('Email Cleaner'!$B$2:$B$10001,MATCH(7021,'Email Cleaner'!$I$2:$I$10001,0)),"")</f>
        <v/>
      </c>
    </row>
    <row r="7023">
      <c r="A7023">
        <f>IFERROR(INDEX('Email Cleaner'!$B$2:$B$10001,MATCH(7022,'Email Cleaner'!$I$2:$I$10001,0)),"")</f>
        <v/>
      </c>
    </row>
    <row r="7024">
      <c r="A7024">
        <f>IFERROR(INDEX('Email Cleaner'!$B$2:$B$10001,MATCH(7023,'Email Cleaner'!$I$2:$I$10001,0)),"")</f>
        <v/>
      </c>
    </row>
    <row r="7025">
      <c r="A7025">
        <f>IFERROR(INDEX('Email Cleaner'!$B$2:$B$10001,MATCH(7024,'Email Cleaner'!$I$2:$I$10001,0)),"")</f>
        <v/>
      </c>
    </row>
    <row r="7026">
      <c r="A7026">
        <f>IFERROR(INDEX('Email Cleaner'!$B$2:$B$10001,MATCH(7025,'Email Cleaner'!$I$2:$I$10001,0)),"")</f>
        <v/>
      </c>
    </row>
    <row r="7027">
      <c r="A7027">
        <f>IFERROR(INDEX('Email Cleaner'!$B$2:$B$10001,MATCH(7026,'Email Cleaner'!$I$2:$I$10001,0)),"")</f>
        <v/>
      </c>
    </row>
    <row r="7028">
      <c r="A7028">
        <f>IFERROR(INDEX('Email Cleaner'!$B$2:$B$10001,MATCH(7027,'Email Cleaner'!$I$2:$I$10001,0)),"")</f>
        <v/>
      </c>
    </row>
    <row r="7029">
      <c r="A7029">
        <f>IFERROR(INDEX('Email Cleaner'!$B$2:$B$10001,MATCH(7028,'Email Cleaner'!$I$2:$I$10001,0)),"")</f>
        <v/>
      </c>
    </row>
    <row r="7030">
      <c r="A7030">
        <f>IFERROR(INDEX('Email Cleaner'!$B$2:$B$10001,MATCH(7029,'Email Cleaner'!$I$2:$I$10001,0)),"")</f>
        <v/>
      </c>
    </row>
    <row r="7031">
      <c r="A7031">
        <f>IFERROR(INDEX('Email Cleaner'!$B$2:$B$10001,MATCH(7030,'Email Cleaner'!$I$2:$I$10001,0)),"")</f>
        <v/>
      </c>
    </row>
    <row r="7032">
      <c r="A7032">
        <f>IFERROR(INDEX('Email Cleaner'!$B$2:$B$10001,MATCH(7031,'Email Cleaner'!$I$2:$I$10001,0)),"")</f>
        <v/>
      </c>
    </row>
    <row r="7033">
      <c r="A7033">
        <f>IFERROR(INDEX('Email Cleaner'!$B$2:$B$10001,MATCH(7032,'Email Cleaner'!$I$2:$I$10001,0)),"")</f>
        <v/>
      </c>
    </row>
    <row r="7034">
      <c r="A7034">
        <f>IFERROR(INDEX('Email Cleaner'!$B$2:$B$10001,MATCH(7033,'Email Cleaner'!$I$2:$I$10001,0)),"")</f>
        <v/>
      </c>
    </row>
    <row r="7035">
      <c r="A7035">
        <f>IFERROR(INDEX('Email Cleaner'!$B$2:$B$10001,MATCH(7034,'Email Cleaner'!$I$2:$I$10001,0)),"")</f>
        <v/>
      </c>
    </row>
    <row r="7036">
      <c r="A7036">
        <f>IFERROR(INDEX('Email Cleaner'!$B$2:$B$10001,MATCH(7035,'Email Cleaner'!$I$2:$I$10001,0)),"")</f>
        <v/>
      </c>
    </row>
    <row r="7037">
      <c r="A7037">
        <f>IFERROR(INDEX('Email Cleaner'!$B$2:$B$10001,MATCH(7036,'Email Cleaner'!$I$2:$I$10001,0)),"")</f>
        <v/>
      </c>
    </row>
    <row r="7038">
      <c r="A7038">
        <f>IFERROR(INDEX('Email Cleaner'!$B$2:$B$10001,MATCH(7037,'Email Cleaner'!$I$2:$I$10001,0)),"")</f>
        <v/>
      </c>
    </row>
    <row r="7039">
      <c r="A7039">
        <f>IFERROR(INDEX('Email Cleaner'!$B$2:$B$10001,MATCH(7038,'Email Cleaner'!$I$2:$I$10001,0)),"")</f>
        <v/>
      </c>
    </row>
    <row r="7040">
      <c r="A7040">
        <f>IFERROR(INDEX('Email Cleaner'!$B$2:$B$10001,MATCH(7039,'Email Cleaner'!$I$2:$I$10001,0)),"")</f>
        <v/>
      </c>
    </row>
    <row r="7041">
      <c r="A7041">
        <f>IFERROR(INDEX('Email Cleaner'!$B$2:$B$10001,MATCH(7040,'Email Cleaner'!$I$2:$I$10001,0)),"")</f>
        <v/>
      </c>
    </row>
    <row r="7042">
      <c r="A7042">
        <f>IFERROR(INDEX('Email Cleaner'!$B$2:$B$10001,MATCH(7041,'Email Cleaner'!$I$2:$I$10001,0)),"")</f>
        <v/>
      </c>
    </row>
    <row r="7043">
      <c r="A7043">
        <f>IFERROR(INDEX('Email Cleaner'!$B$2:$B$10001,MATCH(7042,'Email Cleaner'!$I$2:$I$10001,0)),"")</f>
        <v/>
      </c>
    </row>
    <row r="7044">
      <c r="A7044">
        <f>IFERROR(INDEX('Email Cleaner'!$B$2:$B$10001,MATCH(7043,'Email Cleaner'!$I$2:$I$10001,0)),"")</f>
        <v/>
      </c>
    </row>
    <row r="7045">
      <c r="A7045">
        <f>IFERROR(INDEX('Email Cleaner'!$B$2:$B$10001,MATCH(7044,'Email Cleaner'!$I$2:$I$10001,0)),"")</f>
        <v/>
      </c>
    </row>
    <row r="7046">
      <c r="A7046">
        <f>IFERROR(INDEX('Email Cleaner'!$B$2:$B$10001,MATCH(7045,'Email Cleaner'!$I$2:$I$10001,0)),"")</f>
        <v/>
      </c>
    </row>
    <row r="7047">
      <c r="A7047">
        <f>IFERROR(INDEX('Email Cleaner'!$B$2:$B$10001,MATCH(7046,'Email Cleaner'!$I$2:$I$10001,0)),"")</f>
        <v/>
      </c>
    </row>
    <row r="7048">
      <c r="A7048">
        <f>IFERROR(INDEX('Email Cleaner'!$B$2:$B$10001,MATCH(7047,'Email Cleaner'!$I$2:$I$10001,0)),"")</f>
        <v/>
      </c>
    </row>
    <row r="7049">
      <c r="A7049">
        <f>IFERROR(INDEX('Email Cleaner'!$B$2:$B$10001,MATCH(7048,'Email Cleaner'!$I$2:$I$10001,0)),"")</f>
        <v/>
      </c>
    </row>
    <row r="7050">
      <c r="A7050">
        <f>IFERROR(INDEX('Email Cleaner'!$B$2:$B$10001,MATCH(7049,'Email Cleaner'!$I$2:$I$10001,0)),"")</f>
        <v/>
      </c>
    </row>
    <row r="7051">
      <c r="A7051">
        <f>IFERROR(INDEX('Email Cleaner'!$B$2:$B$10001,MATCH(7050,'Email Cleaner'!$I$2:$I$10001,0)),"")</f>
        <v/>
      </c>
    </row>
    <row r="7052">
      <c r="A7052">
        <f>IFERROR(INDEX('Email Cleaner'!$B$2:$B$10001,MATCH(7051,'Email Cleaner'!$I$2:$I$10001,0)),"")</f>
        <v/>
      </c>
    </row>
    <row r="7053">
      <c r="A7053">
        <f>IFERROR(INDEX('Email Cleaner'!$B$2:$B$10001,MATCH(7052,'Email Cleaner'!$I$2:$I$10001,0)),"")</f>
        <v/>
      </c>
    </row>
    <row r="7054">
      <c r="A7054">
        <f>IFERROR(INDEX('Email Cleaner'!$B$2:$B$10001,MATCH(7053,'Email Cleaner'!$I$2:$I$10001,0)),"")</f>
        <v/>
      </c>
    </row>
    <row r="7055">
      <c r="A7055">
        <f>IFERROR(INDEX('Email Cleaner'!$B$2:$B$10001,MATCH(7054,'Email Cleaner'!$I$2:$I$10001,0)),"")</f>
        <v/>
      </c>
    </row>
    <row r="7056">
      <c r="A7056">
        <f>IFERROR(INDEX('Email Cleaner'!$B$2:$B$10001,MATCH(7055,'Email Cleaner'!$I$2:$I$10001,0)),"")</f>
        <v/>
      </c>
    </row>
    <row r="7057">
      <c r="A7057">
        <f>IFERROR(INDEX('Email Cleaner'!$B$2:$B$10001,MATCH(7056,'Email Cleaner'!$I$2:$I$10001,0)),"")</f>
        <v/>
      </c>
    </row>
    <row r="7058">
      <c r="A7058">
        <f>IFERROR(INDEX('Email Cleaner'!$B$2:$B$10001,MATCH(7057,'Email Cleaner'!$I$2:$I$10001,0)),"")</f>
        <v/>
      </c>
    </row>
    <row r="7059">
      <c r="A7059">
        <f>IFERROR(INDEX('Email Cleaner'!$B$2:$B$10001,MATCH(7058,'Email Cleaner'!$I$2:$I$10001,0)),"")</f>
        <v/>
      </c>
    </row>
    <row r="7060">
      <c r="A7060">
        <f>IFERROR(INDEX('Email Cleaner'!$B$2:$B$10001,MATCH(7059,'Email Cleaner'!$I$2:$I$10001,0)),"")</f>
        <v/>
      </c>
    </row>
    <row r="7061">
      <c r="A7061">
        <f>IFERROR(INDEX('Email Cleaner'!$B$2:$B$10001,MATCH(7060,'Email Cleaner'!$I$2:$I$10001,0)),"")</f>
        <v/>
      </c>
    </row>
    <row r="7062">
      <c r="A7062">
        <f>IFERROR(INDEX('Email Cleaner'!$B$2:$B$10001,MATCH(7061,'Email Cleaner'!$I$2:$I$10001,0)),"")</f>
        <v/>
      </c>
    </row>
    <row r="7063">
      <c r="A7063">
        <f>IFERROR(INDEX('Email Cleaner'!$B$2:$B$10001,MATCH(7062,'Email Cleaner'!$I$2:$I$10001,0)),"")</f>
        <v/>
      </c>
    </row>
    <row r="7064">
      <c r="A7064">
        <f>IFERROR(INDEX('Email Cleaner'!$B$2:$B$10001,MATCH(7063,'Email Cleaner'!$I$2:$I$10001,0)),"")</f>
        <v/>
      </c>
    </row>
    <row r="7065">
      <c r="A7065">
        <f>IFERROR(INDEX('Email Cleaner'!$B$2:$B$10001,MATCH(7064,'Email Cleaner'!$I$2:$I$10001,0)),"")</f>
        <v/>
      </c>
    </row>
    <row r="7066">
      <c r="A7066">
        <f>IFERROR(INDEX('Email Cleaner'!$B$2:$B$10001,MATCH(7065,'Email Cleaner'!$I$2:$I$10001,0)),"")</f>
        <v/>
      </c>
    </row>
    <row r="7067">
      <c r="A7067">
        <f>IFERROR(INDEX('Email Cleaner'!$B$2:$B$10001,MATCH(7066,'Email Cleaner'!$I$2:$I$10001,0)),"")</f>
        <v/>
      </c>
    </row>
    <row r="7068">
      <c r="A7068">
        <f>IFERROR(INDEX('Email Cleaner'!$B$2:$B$10001,MATCH(7067,'Email Cleaner'!$I$2:$I$10001,0)),"")</f>
        <v/>
      </c>
    </row>
    <row r="7069">
      <c r="A7069">
        <f>IFERROR(INDEX('Email Cleaner'!$B$2:$B$10001,MATCH(7068,'Email Cleaner'!$I$2:$I$10001,0)),"")</f>
        <v/>
      </c>
    </row>
    <row r="7070">
      <c r="A7070">
        <f>IFERROR(INDEX('Email Cleaner'!$B$2:$B$10001,MATCH(7069,'Email Cleaner'!$I$2:$I$10001,0)),"")</f>
        <v/>
      </c>
    </row>
    <row r="7071">
      <c r="A7071">
        <f>IFERROR(INDEX('Email Cleaner'!$B$2:$B$10001,MATCH(7070,'Email Cleaner'!$I$2:$I$10001,0)),"")</f>
        <v/>
      </c>
    </row>
    <row r="7072">
      <c r="A7072">
        <f>IFERROR(INDEX('Email Cleaner'!$B$2:$B$10001,MATCH(7071,'Email Cleaner'!$I$2:$I$10001,0)),"")</f>
        <v/>
      </c>
    </row>
    <row r="7073">
      <c r="A7073">
        <f>IFERROR(INDEX('Email Cleaner'!$B$2:$B$10001,MATCH(7072,'Email Cleaner'!$I$2:$I$10001,0)),"")</f>
        <v/>
      </c>
    </row>
    <row r="7074">
      <c r="A7074">
        <f>IFERROR(INDEX('Email Cleaner'!$B$2:$B$10001,MATCH(7073,'Email Cleaner'!$I$2:$I$10001,0)),"")</f>
        <v/>
      </c>
    </row>
    <row r="7075">
      <c r="A7075">
        <f>IFERROR(INDEX('Email Cleaner'!$B$2:$B$10001,MATCH(7074,'Email Cleaner'!$I$2:$I$10001,0)),"")</f>
        <v/>
      </c>
    </row>
    <row r="7076">
      <c r="A7076">
        <f>IFERROR(INDEX('Email Cleaner'!$B$2:$B$10001,MATCH(7075,'Email Cleaner'!$I$2:$I$10001,0)),"")</f>
        <v/>
      </c>
    </row>
    <row r="7077">
      <c r="A7077">
        <f>IFERROR(INDEX('Email Cleaner'!$B$2:$B$10001,MATCH(7076,'Email Cleaner'!$I$2:$I$10001,0)),"")</f>
        <v/>
      </c>
    </row>
    <row r="7078">
      <c r="A7078">
        <f>IFERROR(INDEX('Email Cleaner'!$B$2:$B$10001,MATCH(7077,'Email Cleaner'!$I$2:$I$10001,0)),"")</f>
        <v/>
      </c>
    </row>
    <row r="7079">
      <c r="A7079">
        <f>IFERROR(INDEX('Email Cleaner'!$B$2:$B$10001,MATCH(7078,'Email Cleaner'!$I$2:$I$10001,0)),"")</f>
        <v/>
      </c>
    </row>
    <row r="7080">
      <c r="A7080">
        <f>IFERROR(INDEX('Email Cleaner'!$B$2:$B$10001,MATCH(7079,'Email Cleaner'!$I$2:$I$10001,0)),"")</f>
        <v/>
      </c>
    </row>
    <row r="7081">
      <c r="A7081">
        <f>IFERROR(INDEX('Email Cleaner'!$B$2:$B$10001,MATCH(7080,'Email Cleaner'!$I$2:$I$10001,0)),"")</f>
        <v/>
      </c>
    </row>
    <row r="7082">
      <c r="A7082">
        <f>IFERROR(INDEX('Email Cleaner'!$B$2:$B$10001,MATCH(7081,'Email Cleaner'!$I$2:$I$10001,0)),"")</f>
        <v/>
      </c>
    </row>
    <row r="7083">
      <c r="A7083">
        <f>IFERROR(INDEX('Email Cleaner'!$B$2:$B$10001,MATCH(7082,'Email Cleaner'!$I$2:$I$10001,0)),"")</f>
        <v/>
      </c>
    </row>
    <row r="7084">
      <c r="A7084">
        <f>IFERROR(INDEX('Email Cleaner'!$B$2:$B$10001,MATCH(7083,'Email Cleaner'!$I$2:$I$10001,0)),"")</f>
        <v/>
      </c>
    </row>
    <row r="7085">
      <c r="A7085">
        <f>IFERROR(INDEX('Email Cleaner'!$B$2:$B$10001,MATCH(7084,'Email Cleaner'!$I$2:$I$10001,0)),"")</f>
        <v/>
      </c>
    </row>
    <row r="7086">
      <c r="A7086">
        <f>IFERROR(INDEX('Email Cleaner'!$B$2:$B$10001,MATCH(7085,'Email Cleaner'!$I$2:$I$10001,0)),"")</f>
        <v/>
      </c>
    </row>
    <row r="7087">
      <c r="A7087">
        <f>IFERROR(INDEX('Email Cleaner'!$B$2:$B$10001,MATCH(7086,'Email Cleaner'!$I$2:$I$10001,0)),"")</f>
        <v/>
      </c>
    </row>
    <row r="7088">
      <c r="A7088">
        <f>IFERROR(INDEX('Email Cleaner'!$B$2:$B$10001,MATCH(7087,'Email Cleaner'!$I$2:$I$10001,0)),"")</f>
        <v/>
      </c>
    </row>
    <row r="7089">
      <c r="A7089">
        <f>IFERROR(INDEX('Email Cleaner'!$B$2:$B$10001,MATCH(7088,'Email Cleaner'!$I$2:$I$10001,0)),"")</f>
        <v/>
      </c>
    </row>
    <row r="7090">
      <c r="A7090">
        <f>IFERROR(INDEX('Email Cleaner'!$B$2:$B$10001,MATCH(7089,'Email Cleaner'!$I$2:$I$10001,0)),"")</f>
        <v/>
      </c>
    </row>
    <row r="7091">
      <c r="A7091">
        <f>IFERROR(INDEX('Email Cleaner'!$B$2:$B$10001,MATCH(7090,'Email Cleaner'!$I$2:$I$10001,0)),"")</f>
        <v/>
      </c>
    </row>
    <row r="7092">
      <c r="A7092">
        <f>IFERROR(INDEX('Email Cleaner'!$B$2:$B$10001,MATCH(7091,'Email Cleaner'!$I$2:$I$10001,0)),"")</f>
        <v/>
      </c>
    </row>
    <row r="7093">
      <c r="A7093">
        <f>IFERROR(INDEX('Email Cleaner'!$B$2:$B$10001,MATCH(7092,'Email Cleaner'!$I$2:$I$10001,0)),"")</f>
        <v/>
      </c>
    </row>
    <row r="7094">
      <c r="A7094">
        <f>IFERROR(INDEX('Email Cleaner'!$B$2:$B$10001,MATCH(7093,'Email Cleaner'!$I$2:$I$10001,0)),"")</f>
        <v/>
      </c>
    </row>
    <row r="7095">
      <c r="A7095">
        <f>IFERROR(INDEX('Email Cleaner'!$B$2:$B$10001,MATCH(7094,'Email Cleaner'!$I$2:$I$10001,0)),"")</f>
        <v/>
      </c>
    </row>
    <row r="7096">
      <c r="A7096">
        <f>IFERROR(INDEX('Email Cleaner'!$B$2:$B$10001,MATCH(7095,'Email Cleaner'!$I$2:$I$10001,0)),"")</f>
        <v/>
      </c>
    </row>
    <row r="7097">
      <c r="A7097">
        <f>IFERROR(INDEX('Email Cleaner'!$B$2:$B$10001,MATCH(7096,'Email Cleaner'!$I$2:$I$10001,0)),"")</f>
        <v/>
      </c>
    </row>
    <row r="7098">
      <c r="A7098">
        <f>IFERROR(INDEX('Email Cleaner'!$B$2:$B$10001,MATCH(7097,'Email Cleaner'!$I$2:$I$10001,0)),"")</f>
        <v/>
      </c>
    </row>
    <row r="7099">
      <c r="A7099">
        <f>IFERROR(INDEX('Email Cleaner'!$B$2:$B$10001,MATCH(7098,'Email Cleaner'!$I$2:$I$10001,0)),"")</f>
        <v/>
      </c>
    </row>
    <row r="7100">
      <c r="A7100">
        <f>IFERROR(INDEX('Email Cleaner'!$B$2:$B$10001,MATCH(7099,'Email Cleaner'!$I$2:$I$10001,0)),"")</f>
        <v/>
      </c>
    </row>
    <row r="7101">
      <c r="A7101">
        <f>IFERROR(INDEX('Email Cleaner'!$B$2:$B$10001,MATCH(7100,'Email Cleaner'!$I$2:$I$10001,0)),"")</f>
        <v/>
      </c>
    </row>
    <row r="7102">
      <c r="A7102">
        <f>IFERROR(INDEX('Email Cleaner'!$B$2:$B$10001,MATCH(7101,'Email Cleaner'!$I$2:$I$10001,0)),"")</f>
        <v/>
      </c>
    </row>
    <row r="7103">
      <c r="A7103">
        <f>IFERROR(INDEX('Email Cleaner'!$B$2:$B$10001,MATCH(7102,'Email Cleaner'!$I$2:$I$10001,0)),"")</f>
        <v/>
      </c>
    </row>
    <row r="7104">
      <c r="A7104">
        <f>IFERROR(INDEX('Email Cleaner'!$B$2:$B$10001,MATCH(7103,'Email Cleaner'!$I$2:$I$10001,0)),"")</f>
        <v/>
      </c>
    </row>
    <row r="7105">
      <c r="A7105">
        <f>IFERROR(INDEX('Email Cleaner'!$B$2:$B$10001,MATCH(7104,'Email Cleaner'!$I$2:$I$10001,0)),"")</f>
        <v/>
      </c>
    </row>
    <row r="7106">
      <c r="A7106">
        <f>IFERROR(INDEX('Email Cleaner'!$B$2:$B$10001,MATCH(7105,'Email Cleaner'!$I$2:$I$10001,0)),"")</f>
        <v/>
      </c>
    </row>
    <row r="7107">
      <c r="A7107">
        <f>IFERROR(INDEX('Email Cleaner'!$B$2:$B$10001,MATCH(7106,'Email Cleaner'!$I$2:$I$10001,0)),"")</f>
        <v/>
      </c>
    </row>
    <row r="7108">
      <c r="A7108">
        <f>IFERROR(INDEX('Email Cleaner'!$B$2:$B$10001,MATCH(7107,'Email Cleaner'!$I$2:$I$10001,0)),"")</f>
        <v/>
      </c>
    </row>
    <row r="7109">
      <c r="A7109">
        <f>IFERROR(INDEX('Email Cleaner'!$B$2:$B$10001,MATCH(7108,'Email Cleaner'!$I$2:$I$10001,0)),"")</f>
        <v/>
      </c>
    </row>
    <row r="7110">
      <c r="A7110">
        <f>IFERROR(INDEX('Email Cleaner'!$B$2:$B$10001,MATCH(7109,'Email Cleaner'!$I$2:$I$10001,0)),"")</f>
        <v/>
      </c>
    </row>
    <row r="7111">
      <c r="A7111">
        <f>IFERROR(INDEX('Email Cleaner'!$B$2:$B$10001,MATCH(7110,'Email Cleaner'!$I$2:$I$10001,0)),"")</f>
        <v/>
      </c>
    </row>
    <row r="7112">
      <c r="A7112">
        <f>IFERROR(INDEX('Email Cleaner'!$B$2:$B$10001,MATCH(7111,'Email Cleaner'!$I$2:$I$10001,0)),"")</f>
        <v/>
      </c>
    </row>
    <row r="7113">
      <c r="A7113">
        <f>IFERROR(INDEX('Email Cleaner'!$B$2:$B$10001,MATCH(7112,'Email Cleaner'!$I$2:$I$10001,0)),"")</f>
        <v/>
      </c>
    </row>
    <row r="7114">
      <c r="A7114">
        <f>IFERROR(INDEX('Email Cleaner'!$B$2:$B$10001,MATCH(7113,'Email Cleaner'!$I$2:$I$10001,0)),"")</f>
        <v/>
      </c>
    </row>
    <row r="7115">
      <c r="A7115">
        <f>IFERROR(INDEX('Email Cleaner'!$B$2:$B$10001,MATCH(7114,'Email Cleaner'!$I$2:$I$10001,0)),"")</f>
        <v/>
      </c>
    </row>
    <row r="7116">
      <c r="A7116">
        <f>IFERROR(INDEX('Email Cleaner'!$B$2:$B$10001,MATCH(7115,'Email Cleaner'!$I$2:$I$10001,0)),"")</f>
        <v/>
      </c>
    </row>
    <row r="7117">
      <c r="A7117">
        <f>IFERROR(INDEX('Email Cleaner'!$B$2:$B$10001,MATCH(7116,'Email Cleaner'!$I$2:$I$10001,0)),"")</f>
        <v/>
      </c>
    </row>
    <row r="7118">
      <c r="A7118">
        <f>IFERROR(INDEX('Email Cleaner'!$B$2:$B$10001,MATCH(7117,'Email Cleaner'!$I$2:$I$10001,0)),"")</f>
        <v/>
      </c>
    </row>
    <row r="7119">
      <c r="A7119">
        <f>IFERROR(INDEX('Email Cleaner'!$B$2:$B$10001,MATCH(7118,'Email Cleaner'!$I$2:$I$10001,0)),"")</f>
        <v/>
      </c>
    </row>
    <row r="7120">
      <c r="A7120">
        <f>IFERROR(INDEX('Email Cleaner'!$B$2:$B$10001,MATCH(7119,'Email Cleaner'!$I$2:$I$10001,0)),"")</f>
        <v/>
      </c>
    </row>
    <row r="7121">
      <c r="A7121">
        <f>IFERROR(INDEX('Email Cleaner'!$B$2:$B$10001,MATCH(7120,'Email Cleaner'!$I$2:$I$10001,0)),"")</f>
        <v/>
      </c>
    </row>
    <row r="7122">
      <c r="A7122">
        <f>IFERROR(INDEX('Email Cleaner'!$B$2:$B$10001,MATCH(7121,'Email Cleaner'!$I$2:$I$10001,0)),"")</f>
        <v/>
      </c>
    </row>
    <row r="7123">
      <c r="A7123">
        <f>IFERROR(INDEX('Email Cleaner'!$B$2:$B$10001,MATCH(7122,'Email Cleaner'!$I$2:$I$10001,0)),"")</f>
        <v/>
      </c>
    </row>
    <row r="7124">
      <c r="A7124">
        <f>IFERROR(INDEX('Email Cleaner'!$B$2:$B$10001,MATCH(7123,'Email Cleaner'!$I$2:$I$10001,0)),"")</f>
        <v/>
      </c>
    </row>
    <row r="7125">
      <c r="A7125">
        <f>IFERROR(INDEX('Email Cleaner'!$B$2:$B$10001,MATCH(7124,'Email Cleaner'!$I$2:$I$10001,0)),"")</f>
        <v/>
      </c>
    </row>
    <row r="7126">
      <c r="A7126">
        <f>IFERROR(INDEX('Email Cleaner'!$B$2:$B$10001,MATCH(7125,'Email Cleaner'!$I$2:$I$10001,0)),"")</f>
        <v/>
      </c>
    </row>
    <row r="7127">
      <c r="A7127">
        <f>IFERROR(INDEX('Email Cleaner'!$B$2:$B$10001,MATCH(7126,'Email Cleaner'!$I$2:$I$10001,0)),"")</f>
        <v/>
      </c>
    </row>
    <row r="7128">
      <c r="A7128">
        <f>IFERROR(INDEX('Email Cleaner'!$B$2:$B$10001,MATCH(7127,'Email Cleaner'!$I$2:$I$10001,0)),"")</f>
        <v/>
      </c>
    </row>
    <row r="7129">
      <c r="A7129">
        <f>IFERROR(INDEX('Email Cleaner'!$B$2:$B$10001,MATCH(7128,'Email Cleaner'!$I$2:$I$10001,0)),"")</f>
        <v/>
      </c>
    </row>
    <row r="7130">
      <c r="A7130">
        <f>IFERROR(INDEX('Email Cleaner'!$B$2:$B$10001,MATCH(7129,'Email Cleaner'!$I$2:$I$10001,0)),"")</f>
        <v/>
      </c>
    </row>
    <row r="7131">
      <c r="A7131">
        <f>IFERROR(INDEX('Email Cleaner'!$B$2:$B$10001,MATCH(7130,'Email Cleaner'!$I$2:$I$10001,0)),"")</f>
        <v/>
      </c>
    </row>
    <row r="7132">
      <c r="A7132">
        <f>IFERROR(INDEX('Email Cleaner'!$B$2:$B$10001,MATCH(7131,'Email Cleaner'!$I$2:$I$10001,0)),"")</f>
        <v/>
      </c>
    </row>
    <row r="7133">
      <c r="A7133">
        <f>IFERROR(INDEX('Email Cleaner'!$B$2:$B$10001,MATCH(7132,'Email Cleaner'!$I$2:$I$10001,0)),"")</f>
        <v/>
      </c>
    </row>
    <row r="7134">
      <c r="A7134">
        <f>IFERROR(INDEX('Email Cleaner'!$B$2:$B$10001,MATCH(7133,'Email Cleaner'!$I$2:$I$10001,0)),"")</f>
        <v/>
      </c>
    </row>
    <row r="7135">
      <c r="A7135">
        <f>IFERROR(INDEX('Email Cleaner'!$B$2:$B$10001,MATCH(7134,'Email Cleaner'!$I$2:$I$10001,0)),"")</f>
        <v/>
      </c>
    </row>
    <row r="7136">
      <c r="A7136">
        <f>IFERROR(INDEX('Email Cleaner'!$B$2:$B$10001,MATCH(7135,'Email Cleaner'!$I$2:$I$10001,0)),"")</f>
        <v/>
      </c>
    </row>
    <row r="7137">
      <c r="A7137">
        <f>IFERROR(INDEX('Email Cleaner'!$B$2:$B$10001,MATCH(7136,'Email Cleaner'!$I$2:$I$10001,0)),"")</f>
        <v/>
      </c>
    </row>
    <row r="7138">
      <c r="A7138">
        <f>IFERROR(INDEX('Email Cleaner'!$B$2:$B$10001,MATCH(7137,'Email Cleaner'!$I$2:$I$10001,0)),"")</f>
        <v/>
      </c>
    </row>
    <row r="7139">
      <c r="A7139">
        <f>IFERROR(INDEX('Email Cleaner'!$B$2:$B$10001,MATCH(7138,'Email Cleaner'!$I$2:$I$10001,0)),"")</f>
        <v/>
      </c>
    </row>
    <row r="7140">
      <c r="A7140">
        <f>IFERROR(INDEX('Email Cleaner'!$B$2:$B$10001,MATCH(7139,'Email Cleaner'!$I$2:$I$10001,0)),"")</f>
        <v/>
      </c>
    </row>
    <row r="7141">
      <c r="A7141">
        <f>IFERROR(INDEX('Email Cleaner'!$B$2:$B$10001,MATCH(7140,'Email Cleaner'!$I$2:$I$10001,0)),"")</f>
        <v/>
      </c>
    </row>
    <row r="7142">
      <c r="A7142">
        <f>IFERROR(INDEX('Email Cleaner'!$B$2:$B$10001,MATCH(7141,'Email Cleaner'!$I$2:$I$10001,0)),"")</f>
        <v/>
      </c>
    </row>
    <row r="7143">
      <c r="A7143">
        <f>IFERROR(INDEX('Email Cleaner'!$B$2:$B$10001,MATCH(7142,'Email Cleaner'!$I$2:$I$10001,0)),"")</f>
        <v/>
      </c>
    </row>
    <row r="7144">
      <c r="A7144">
        <f>IFERROR(INDEX('Email Cleaner'!$B$2:$B$10001,MATCH(7143,'Email Cleaner'!$I$2:$I$10001,0)),"")</f>
        <v/>
      </c>
    </row>
    <row r="7145">
      <c r="A7145">
        <f>IFERROR(INDEX('Email Cleaner'!$B$2:$B$10001,MATCH(7144,'Email Cleaner'!$I$2:$I$10001,0)),"")</f>
        <v/>
      </c>
    </row>
    <row r="7146">
      <c r="A7146">
        <f>IFERROR(INDEX('Email Cleaner'!$B$2:$B$10001,MATCH(7145,'Email Cleaner'!$I$2:$I$10001,0)),"")</f>
        <v/>
      </c>
    </row>
    <row r="7147">
      <c r="A7147">
        <f>IFERROR(INDEX('Email Cleaner'!$B$2:$B$10001,MATCH(7146,'Email Cleaner'!$I$2:$I$10001,0)),"")</f>
        <v/>
      </c>
    </row>
    <row r="7148">
      <c r="A7148">
        <f>IFERROR(INDEX('Email Cleaner'!$B$2:$B$10001,MATCH(7147,'Email Cleaner'!$I$2:$I$10001,0)),"")</f>
        <v/>
      </c>
    </row>
    <row r="7149">
      <c r="A7149">
        <f>IFERROR(INDEX('Email Cleaner'!$B$2:$B$10001,MATCH(7148,'Email Cleaner'!$I$2:$I$10001,0)),"")</f>
        <v/>
      </c>
    </row>
    <row r="7150">
      <c r="A7150">
        <f>IFERROR(INDEX('Email Cleaner'!$B$2:$B$10001,MATCH(7149,'Email Cleaner'!$I$2:$I$10001,0)),"")</f>
        <v/>
      </c>
    </row>
    <row r="7151">
      <c r="A7151">
        <f>IFERROR(INDEX('Email Cleaner'!$B$2:$B$10001,MATCH(7150,'Email Cleaner'!$I$2:$I$10001,0)),"")</f>
        <v/>
      </c>
    </row>
    <row r="7152">
      <c r="A7152">
        <f>IFERROR(INDEX('Email Cleaner'!$B$2:$B$10001,MATCH(7151,'Email Cleaner'!$I$2:$I$10001,0)),"")</f>
        <v/>
      </c>
    </row>
    <row r="7153">
      <c r="A7153">
        <f>IFERROR(INDEX('Email Cleaner'!$B$2:$B$10001,MATCH(7152,'Email Cleaner'!$I$2:$I$10001,0)),"")</f>
        <v/>
      </c>
    </row>
    <row r="7154">
      <c r="A7154">
        <f>IFERROR(INDEX('Email Cleaner'!$B$2:$B$10001,MATCH(7153,'Email Cleaner'!$I$2:$I$10001,0)),"")</f>
        <v/>
      </c>
    </row>
    <row r="7155">
      <c r="A7155">
        <f>IFERROR(INDEX('Email Cleaner'!$B$2:$B$10001,MATCH(7154,'Email Cleaner'!$I$2:$I$10001,0)),"")</f>
        <v/>
      </c>
    </row>
    <row r="7156">
      <c r="A7156">
        <f>IFERROR(INDEX('Email Cleaner'!$B$2:$B$10001,MATCH(7155,'Email Cleaner'!$I$2:$I$10001,0)),"")</f>
        <v/>
      </c>
    </row>
    <row r="7157">
      <c r="A7157">
        <f>IFERROR(INDEX('Email Cleaner'!$B$2:$B$10001,MATCH(7156,'Email Cleaner'!$I$2:$I$10001,0)),"")</f>
        <v/>
      </c>
    </row>
    <row r="7158">
      <c r="A7158">
        <f>IFERROR(INDEX('Email Cleaner'!$B$2:$B$10001,MATCH(7157,'Email Cleaner'!$I$2:$I$10001,0)),"")</f>
        <v/>
      </c>
    </row>
    <row r="7159">
      <c r="A7159">
        <f>IFERROR(INDEX('Email Cleaner'!$B$2:$B$10001,MATCH(7158,'Email Cleaner'!$I$2:$I$10001,0)),"")</f>
        <v/>
      </c>
    </row>
    <row r="7160">
      <c r="A7160">
        <f>IFERROR(INDEX('Email Cleaner'!$B$2:$B$10001,MATCH(7159,'Email Cleaner'!$I$2:$I$10001,0)),"")</f>
        <v/>
      </c>
    </row>
    <row r="7161">
      <c r="A7161">
        <f>IFERROR(INDEX('Email Cleaner'!$B$2:$B$10001,MATCH(7160,'Email Cleaner'!$I$2:$I$10001,0)),"")</f>
        <v/>
      </c>
    </row>
    <row r="7162">
      <c r="A7162">
        <f>IFERROR(INDEX('Email Cleaner'!$B$2:$B$10001,MATCH(7161,'Email Cleaner'!$I$2:$I$10001,0)),"")</f>
        <v/>
      </c>
    </row>
    <row r="7163">
      <c r="A7163">
        <f>IFERROR(INDEX('Email Cleaner'!$B$2:$B$10001,MATCH(7162,'Email Cleaner'!$I$2:$I$10001,0)),"")</f>
        <v/>
      </c>
    </row>
    <row r="7164">
      <c r="A7164">
        <f>IFERROR(INDEX('Email Cleaner'!$B$2:$B$10001,MATCH(7163,'Email Cleaner'!$I$2:$I$10001,0)),"")</f>
        <v/>
      </c>
    </row>
    <row r="7165">
      <c r="A7165">
        <f>IFERROR(INDEX('Email Cleaner'!$B$2:$B$10001,MATCH(7164,'Email Cleaner'!$I$2:$I$10001,0)),"")</f>
        <v/>
      </c>
    </row>
    <row r="7166">
      <c r="A7166">
        <f>IFERROR(INDEX('Email Cleaner'!$B$2:$B$10001,MATCH(7165,'Email Cleaner'!$I$2:$I$10001,0)),"")</f>
        <v/>
      </c>
    </row>
    <row r="7167">
      <c r="A7167">
        <f>IFERROR(INDEX('Email Cleaner'!$B$2:$B$10001,MATCH(7166,'Email Cleaner'!$I$2:$I$10001,0)),"")</f>
        <v/>
      </c>
    </row>
    <row r="7168">
      <c r="A7168">
        <f>IFERROR(INDEX('Email Cleaner'!$B$2:$B$10001,MATCH(7167,'Email Cleaner'!$I$2:$I$10001,0)),"")</f>
        <v/>
      </c>
    </row>
    <row r="7169">
      <c r="A7169">
        <f>IFERROR(INDEX('Email Cleaner'!$B$2:$B$10001,MATCH(7168,'Email Cleaner'!$I$2:$I$10001,0)),"")</f>
        <v/>
      </c>
    </row>
    <row r="7170">
      <c r="A7170">
        <f>IFERROR(INDEX('Email Cleaner'!$B$2:$B$10001,MATCH(7169,'Email Cleaner'!$I$2:$I$10001,0)),"")</f>
        <v/>
      </c>
    </row>
    <row r="7171">
      <c r="A7171">
        <f>IFERROR(INDEX('Email Cleaner'!$B$2:$B$10001,MATCH(7170,'Email Cleaner'!$I$2:$I$10001,0)),"")</f>
        <v/>
      </c>
    </row>
    <row r="7172">
      <c r="A7172">
        <f>IFERROR(INDEX('Email Cleaner'!$B$2:$B$10001,MATCH(7171,'Email Cleaner'!$I$2:$I$10001,0)),"")</f>
        <v/>
      </c>
    </row>
    <row r="7173">
      <c r="A7173">
        <f>IFERROR(INDEX('Email Cleaner'!$B$2:$B$10001,MATCH(7172,'Email Cleaner'!$I$2:$I$10001,0)),"")</f>
        <v/>
      </c>
    </row>
    <row r="7174">
      <c r="A7174">
        <f>IFERROR(INDEX('Email Cleaner'!$B$2:$B$10001,MATCH(7173,'Email Cleaner'!$I$2:$I$10001,0)),"")</f>
        <v/>
      </c>
    </row>
    <row r="7175">
      <c r="A7175">
        <f>IFERROR(INDEX('Email Cleaner'!$B$2:$B$10001,MATCH(7174,'Email Cleaner'!$I$2:$I$10001,0)),"")</f>
        <v/>
      </c>
    </row>
    <row r="7176">
      <c r="A7176">
        <f>IFERROR(INDEX('Email Cleaner'!$B$2:$B$10001,MATCH(7175,'Email Cleaner'!$I$2:$I$10001,0)),"")</f>
        <v/>
      </c>
    </row>
    <row r="7177">
      <c r="A7177">
        <f>IFERROR(INDEX('Email Cleaner'!$B$2:$B$10001,MATCH(7176,'Email Cleaner'!$I$2:$I$10001,0)),"")</f>
        <v/>
      </c>
    </row>
    <row r="7178">
      <c r="A7178">
        <f>IFERROR(INDEX('Email Cleaner'!$B$2:$B$10001,MATCH(7177,'Email Cleaner'!$I$2:$I$10001,0)),"")</f>
        <v/>
      </c>
    </row>
    <row r="7179">
      <c r="A7179">
        <f>IFERROR(INDEX('Email Cleaner'!$B$2:$B$10001,MATCH(7178,'Email Cleaner'!$I$2:$I$10001,0)),"")</f>
        <v/>
      </c>
    </row>
    <row r="7180">
      <c r="A7180">
        <f>IFERROR(INDEX('Email Cleaner'!$B$2:$B$10001,MATCH(7179,'Email Cleaner'!$I$2:$I$10001,0)),"")</f>
        <v/>
      </c>
    </row>
    <row r="7181">
      <c r="A7181">
        <f>IFERROR(INDEX('Email Cleaner'!$B$2:$B$10001,MATCH(7180,'Email Cleaner'!$I$2:$I$10001,0)),"")</f>
        <v/>
      </c>
    </row>
    <row r="7182">
      <c r="A7182">
        <f>IFERROR(INDEX('Email Cleaner'!$B$2:$B$10001,MATCH(7181,'Email Cleaner'!$I$2:$I$10001,0)),"")</f>
        <v/>
      </c>
    </row>
    <row r="7183">
      <c r="A7183">
        <f>IFERROR(INDEX('Email Cleaner'!$B$2:$B$10001,MATCH(7182,'Email Cleaner'!$I$2:$I$10001,0)),"")</f>
        <v/>
      </c>
    </row>
    <row r="7184">
      <c r="A7184">
        <f>IFERROR(INDEX('Email Cleaner'!$B$2:$B$10001,MATCH(7183,'Email Cleaner'!$I$2:$I$10001,0)),"")</f>
        <v/>
      </c>
    </row>
    <row r="7185">
      <c r="A7185">
        <f>IFERROR(INDEX('Email Cleaner'!$B$2:$B$10001,MATCH(7184,'Email Cleaner'!$I$2:$I$10001,0)),"")</f>
        <v/>
      </c>
    </row>
    <row r="7186">
      <c r="A7186">
        <f>IFERROR(INDEX('Email Cleaner'!$B$2:$B$10001,MATCH(7185,'Email Cleaner'!$I$2:$I$10001,0)),"")</f>
        <v/>
      </c>
    </row>
    <row r="7187">
      <c r="A7187">
        <f>IFERROR(INDEX('Email Cleaner'!$B$2:$B$10001,MATCH(7186,'Email Cleaner'!$I$2:$I$10001,0)),"")</f>
        <v/>
      </c>
    </row>
    <row r="7188">
      <c r="A7188">
        <f>IFERROR(INDEX('Email Cleaner'!$B$2:$B$10001,MATCH(7187,'Email Cleaner'!$I$2:$I$10001,0)),"")</f>
        <v/>
      </c>
    </row>
    <row r="7189">
      <c r="A7189">
        <f>IFERROR(INDEX('Email Cleaner'!$B$2:$B$10001,MATCH(7188,'Email Cleaner'!$I$2:$I$10001,0)),"")</f>
        <v/>
      </c>
    </row>
    <row r="7190">
      <c r="A7190">
        <f>IFERROR(INDEX('Email Cleaner'!$B$2:$B$10001,MATCH(7189,'Email Cleaner'!$I$2:$I$10001,0)),"")</f>
        <v/>
      </c>
    </row>
    <row r="7191">
      <c r="A7191">
        <f>IFERROR(INDEX('Email Cleaner'!$B$2:$B$10001,MATCH(7190,'Email Cleaner'!$I$2:$I$10001,0)),"")</f>
        <v/>
      </c>
    </row>
    <row r="7192">
      <c r="A7192">
        <f>IFERROR(INDEX('Email Cleaner'!$B$2:$B$10001,MATCH(7191,'Email Cleaner'!$I$2:$I$10001,0)),"")</f>
        <v/>
      </c>
    </row>
    <row r="7193">
      <c r="A7193">
        <f>IFERROR(INDEX('Email Cleaner'!$B$2:$B$10001,MATCH(7192,'Email Cleaner'!$I$2:$I$10001,0)),"")</f>
        <v/>
      </c>
    </row>
    <row r="7194">
      <c r="A7194">
        <f>IFERROR(INDEX('Email Cleaner'!$B$2:$B$10001,MATCH(7193,'Email Cleaner'!$I$2:$I$10001,0)),"")</f>
        <v/>
      </c>
    </row>
    <row r="7195">
      <c r="A7195">
        <f>IFERROR(INDEX('Email Cleaner'!$B$2:$B$10001,MATCH(7194,'Email Cleaner'!$I$2:$I$10001,0)),"")</f>
        <v/>
      </c>
    </row>
    <row r="7196">
      <c r="A7196">
        <f>IFERROR(INDEX('Email Cleaner'!$B$2:$B$10001,MATCH(7195,'Email Cleaner'!$I$2:$I$10001,0)),"")</f>
        <v/>
      </c>
    </row>
    <row r="7197">
      <c r="A7197">
        <f>IFERROR(INDEX('Email Cleaner'!$B$2:$B$10001,MATCH(7196,'Email Cleaner'!$I$2:$I$10001,0)),"")</f>
        <v/>
      </c>
    </row>
    <row r="7198">
      <c r="A7198">
        <f>IFERROR(INDEX('Email Cleaner'!$B$2:$B$10001,MATCH(7197,'Email Cleaner'!$I$2:$I$10001,0)),"")</f>
        <v/>
      </c>
    </row>
    <row r="7199">
      <c r="A7199">
        <f>IFERROR(INDEX('Email Cleaner'!$B$2:$B$10001,MATCH(7198,'Email Cleaner'!$I$2:$I$10001,0)),"")</f>
        <v/>
      </c>
    </row>
    <row r="7200">
      <c r="A7200">
        <f>IFERROR(INDEX('Email Cleaner'!$B$2:$B$10001,MATCH(7199,'Email Cleaner'!$I$2:$I$10001,0)),"")</f>
        <v/>
      </c>
    </row>
    <row r="7201">
      <c r="A7201">
        <f>IFERROR(INDEX('Email Cleaner'!$B$2:$B$10001,MATCH(7200,'Email Cleaner'!$I$2:$I$10001,0)),"")</f>
        <v/>
      </c>
    </row>
    <row r="7202">
      <c r="A7202">
        <f>IFERROR(INDEX('Email Cleaner'!$B$2:$B$10001,MATCH(7201,'Email Cleaner'!$I$2:$I$10001,0)),"")</f>
        <v/>
      </c>
    </row>
    <row r="7203">
      <c r="A7203">
        <f>IFERROR(INDEX('Email Cleaner'!$B$2:$B$10001,MATCH(7202,'Email Cleaner'!$I$2:$I$10001,0)),"")</f>
        <v/>
      </c>
    </row>
    <row r="7204">
      <c r="A7204">
        <f>IFERROR(INDEX('Email Cleaner'!$B$2:$B$10001,MATCH(7203,'Email Cleaner'!$I$2:$I$10001,0)),"")</f>
        <v/>
      </c>
    </row>
    <row r="7205">
      <c r="A7205">
        <f>IFERROR(INDEX('Email Cleaner'!$B$2:$B$10001,MATCH(7204,'Email Cleaner'!$I$2:$I$10001,0)),"")</f>
        <v/>
      </c>
    </row>
    <row r="7206">
      <c r="A7206">
        <f>IFERROR(INDEX('Email Cleaner'!$B$2:$B$10001,MATCH(7205,'Email Cleaner'!$I$2:$I$10001,0)),"")</f>
        <v/>
      </c>
    </row>
    <row r="7207">
      <c r="A7207">
        <f>IFERROR(INDEX('Email Cleaner'!$B$2:$B$10001,MATCH(7206,'Email Cleaner'!$I$2:$I$10001,0)),"")</f>
        <v/>
      </c>
    </row>
    <row r="7208">
      <c r="A7208">
        <f>IFERROR(INDEX('Email Cleaner'!$B$2:$B$10001,MATCH(7207,'Email Cleaner'!$I$2:$I$10001,0)),"")</f>
        <v/>
      </c>
    </row>
    <row r="7209">
      <c r="A7209">
        <f>IFERROR(INDEX('Email Cleaner'!$B$2:$B$10001,MATCH(7208,'Email Cleaner'!$I$2:$I$10001,0)),"")</f>
        <v/>
      </c>
    </row>
    <row r="7210">
      <c r="A7210">
        <f>IFERROR(INDEX('Email Cleaner'!$B$2:$B$10001,MATCH(7209,'Email Cleaner'!$I$2:$I$10001,0)),"")</f>
        <v/>
      </c>
    </row>
    <row r="7211">
      <c r="A7211">
        <f>IFERROR(INDEX('Email Cleaner'!$B$2:$B$10001,MATCH(7210,'Email Cleaner'!$I$2:$I$10001,0)),"")</f>
        <v/>
      </c>
    </row>
    <row r="7212">
      <c r="A7212">
        <f>IFERROR(INDEX('Email Cleaner'!$B$2:$B$10001,MATCH(7211,'Email Cleaner'!$I$2:$I$10001,0)),"")</f>
        <v/>
      </c>
    </row>
    <row r="7213">
      <c r="A7213">
        <f>IFERROR(INDEX('Email Cleaner'!$B$2:$B$10001,MATCH(7212,'Email Cleaner'!$I$2:$I$10001,0)),"")</f>
        <v/>
      </c>
    </row>
    <row r="7214">
      <c r="A7214">
        <f>IFERROR(INDEX('Email Cleaner'!$B$2:$B$10001,MATCH(7213,'Email Cleaner'!$I$2:$I$10001,0)),"")</f>
        <v/>
      </c>
    </row>
    <row r="7215">
      <c r="A7215">
        <f>IFERROR(INDEX('Email Cleaner'!$B$2:$B$10001,MATCH(7214,'Email Cleaner'!$I$2:$I$10001,0)),"")</f>
        <v/>
      </c>
    </row>
    <row r="7216">
      <c r="A7216">
        <f>IFERROR(INDEX('Email Cleaner'!$B$2:$B$10001,MATCH(7215,'Email Cleaner'!$I$2:$I$10001,0)),"")</f>
        <v/>
      </c>
    </row>
    <row r="7217">
      <c r="A7217">
        <f>IFERROR(INDEX('Email Cleaner'!$B$2:$B$10001,MATCH(7216,'Email Cleaner'!$I$2:$I$10001,0)),"")</f>
        <v/>
      </c>
    </row>
    <row r="7218">
      <c r="A7218">
        <f>IFERROR(INDEX('Email Cleaner'!$B$2:$B$10001,MATCH(7217,'Email Cleaner'!$I$2:$I$10001,0)),"")</f>
        <v/>
      </c>
    </row>
    <row r="7219">
      <c r="A7219">
        <f>IFERROR(INDEX('Email Cleaner'!$B$2:$B$10001,MATCH(7218,'Email Cleaner'!$I$2:$I$10001,0)),"")</f>
        <v/>
      </c>
    </row>
    <row r="7220">
      <c r="A7220">
        <f>IFERROR(INDEX('Email Cleaner'!$B$2:$B$10001,MATCH(7219,'Email Cleaner'!$I$2:$I$10001,0)),"")</f>
        <v/>
      </c>
    </row>
    <row r="7221">
      <c r="A7221">
        <f>IFERROR(INDEX('Email Cleaner'!$B$2:$B$10001,MATCH(7220,'Email Cleaner'!$I$2:$I$10001,0)),"")</f>
        <v/>
      </c>
    </row>
    <row r="7222">
      <c r="A7222">
        <f>IFERROR(INDEX('Email Cleaner'!$B$2:$B$10001,MATCH(7221,'Email Cleaner'!$I$2:$I$10001,0)),"")</f>
        <v/>
      </c>
    </row>
    <row r="7223">
      <c r="A7223">
        <f>IFERROR(INDEX('Email Cleaner'!$B$2:$B$10001,MATCH(7222,'Email Cleaner'!$I$2:$I$10001,0)),"")</f>
        <v/>
      </c>
    </row>
    <row r="7224">
      <c r="A7224">
        <f>IFERROR(INDEX('Email Cleaner'!$B$2:$B$10001,MATCH(7223,'Email Cleaner'!$I$2:$I$10001,0)),"")</f>
        <v/>
      </c>
    </row>
    <row r="7225">
      <c r="A7225">
        <f>IFERROR(INDEX('Email Cleaner'!$B$2:$B$10001,MATCH(7224,'Email Cleaner'!$I$2:$I$10001,0)),"")</f>
        <v/>
      </c>
    </row>
    <row r="7226">
      <c r="A7226">
        <f>IFERROR(INDEX('Email Cleaner'!$B$2:$B$10001,MATCH(7225,'Email Cleaner'!$I$2:$I$10001,0)),"")</f>
        <v/>
      </c>
    </row>
    <row r="7227">
      <c r="A7227">
        <f>IFERROR(INDEX('Email Cleaner'!$B$2:$B$10001,MATCH(7226,'Email Cleaner'!$I$2:$I$10001,0)),"")</f>
        <v/>
      </c>
    </row>
    <row r="7228">
      <c r="A7228">
        <f>IFERROR(INDEX('Email Cleaner'!$B$2:$B$10001,MATCH(7227,'Email Cleaner'!$I$2:$I$10001,0)),"")</f>
        <v/>
      </c>
    </row>
    <row r="7229">
      <c r="A7229">
        <f>IFERROR(INDEX('Email Cleaner'!$B$2:$B$10001,MATCH(7228,'Email Cleaner'!$I$2:$I$10001,0)),"")</f>
        <v/>
      </c>
    </row>
    <row r="7230">
      <c r="A7230">
        <f>IFERROR(INDEX('Email Cleaner'!$B$2:$B$10001,MATCH(7229,'Email Cleaner'!$I$2:$I$10001,0)),"")</f>
        <v/>
      </c>
    </row>
    <row r="7231">
      <c r="A7231">
        <f>IFERROR(INDEX('Email Cleaner'!$B$2:$B$10001,MATCH(7230,'Email Cleaner'!$I$2:$I$10001,0)),"")</f>
        <v/>
      </c>
    </row>
    <row r="7232">
      <c r="A7232">
        <f>IFERROR(INDEX('Email Cleaner'!$B$2:$B$10001,MATCH(7231,'Email Cleaner'!$I$2:$I$10001,0)),"")</f>
        <v/>
      </c>
    </row>
    <row r="7233">
      <c r="A7233">
        <f>IFERROR(INDEX('Email Cleaner'!$B$2:$B$10001,MATCH(7232,'Email Cleaner'!$I$2:$I$10001,0)),"")</f>
        <v/>
      </c>
    </row>
    <row r="7234">
      <c r="A7234">
        <f>IFERROR(INDEX('Email Cleaner'!$B$2:$B$10001,MATCH(7233,'Email Cleaner'!$I$2:$I$10001,0)),"")</f>
        <v/>
      </c>
    </row>
    <row r="7235">
      <c r="A7235">
        <f>IFERROR(INDEX('Email Cleaner'!$B$2:$B$10001,MATCH(7234,'Email Cleaner'!$I$2:$I$10001,0)),"")</f>
        <v/>
      </c>
    </row>
    <row r="7236">
      <c r="A7236">
        <f>IFERROR(INDEX('Email Cleaner'!$B$2:$B$10001,MATCH(7235,'Email Cleaner'!$I$2:$I$10001,0)),"")</f>
        <v/>
      </c>
    </row>
    <row r="7237">
      <c r="A7237">
        <f>IFERROR(INDEX('Email Cleaner'!$B$2:$B$10001,MATCH(7236,'Email Cleaner'!$I$2:$I$10001,0)),"")</f>
        <v/>
      </c>
    </row>
    <row r="7238">
      <c r="A7238">
        <f>IFERROR(INDEX('Email Cleaner'!$B$2:$B$10001,MATCH(7237,'Email Cleaner'!$I$2:$I$10001,0)),"")</f>
        <v/>
      </c>
    </row>
    <row r="7239">
      <c r="A7239">
        <f>IFERROR(INDEX('Email Cleaner'!$B$2:$B$10001,MATCH(7238,'Email Cleaner'!$I$2:$I$10001,0)),"")</f>
        <v/>
      </c>
    </row>
    <row r="7240">
      <c r="A7240">
        <f>IFERROR(INDEX('Email Cleaner'!$B$2:$B$10001,MATCH(7239,'Email Cleaner'!$I$2:$I$10001,0)),"")</f>
        <v/>
      </c>
    </row>
    <row r="7241">
      <c r="A7241">
        <f>IFERROR(INDEX('Email Cleaner'!$B$2:$B$10001,MATCH(7240,'Email Cleaner'!$I$2:$I$10001,0)),"")</f>
        <v/>
      </c>
    </row>
    <row r="7242">
      <c r="A7242">
        <f>IFERROR(INDEX('Email Cleaner'!$B$2:$B$10001,MATCH(7241,'Email Cleaner'!$I$2:$I$10001,0)),"")</f>
        <v/>
      </c>
    </row>
    <row r="7243">
      <c r="A7243">
        <f>IFERROR(INDEX('Email Cleaner'!$B$2:$B$10001,MATCH(7242,'Email Cleaner'!$I$2:$I$10001,0)),"")</f>
        <v/>
      </c>
    </row>
    <row r="7244">
      <c r="A7244">
        <f>IFERROR(INDEX('Email Cleaner'!$B$2:$B$10001,MATCH(7243,'Email Cleaner'!$I$2:$I$10001,0)),"")</f>
        <v/>
      </c>
    </row>
    <row r="7245">
      <c r="A7245">
        <f>IFERROR(INDEX('Email Cleaner'!$B$2:$B$10001,MATCH(7244,'Email Cleaner'!$I$2:$I$10001,0)),"")</f>
        <v/>
      </c>
    </row>
    <row r="7246">
      <c r="A7246">
        <f>IFERROR(INDEX('Email Cleaner'!$B$2:$B$10001,MATCH(7245,'Email Cleaner'!$I$2:$I$10001,0)),"")</f>
        <v/>
      </c>
    </row>
    <row r="7247">
      <c r="A7247">
        <f>IFERROR(INDEX('Email Cleaner'!$B$2:$B$10001,MATCH(7246,'Email Cleaner'!$I$2:$I$10001,0)),"")</f>
        <v/>
      </c>
    </row>
    <row r="7248">
      <c r="A7248">
        <f>IFERROR(INDEX('Email Cleaner'!$B$2:$B$10001,MATCH(7247,'Email Cleaner'!$I$2:$I$10001,0)),"")</f>
        <v/>
      </c>
    </row>
    <row r="7249">
      <c r="A7249">
        <f>IFERROR(INDEX('Email Cleaner'!$B$2:$B$10001,MATCH(7248,'Email Cleaner'!$I$2:$I$10001,0)),"")</f>
        <v/>
      </c>
    </row>
    <row r="7250">
      <c r="A7250">
        <f>IFERROR(INDEX('Email Cleaner'!$B$2:$B$10001,MATCH(7249,'Email Cleaner'!$I$2:$I$10001,0)),"")</f>
        <v/>
      </c>
    </row>
    <row r="7251">
      <c r="A7251">
        <f>IFERROR(INDEX('Email Cleaner'!$B$2:$B$10001,MATCH(7250,'Email Cleaner'!$I$2:$I$10001,0)),"")</f>
        <v/>
      </c>
    </row>
    <row r="7252">
      <c r="A7252">
        <f>IFERROR(INDEX('Email Cleaner'!$B$2:$B$10001,MATCH(7251,'Email Cleaner'!$I$2:$I$10001,0)),"")</f>
        <v/>
      </c>
    </row>
    <row r="7253">
      <c r="A7253">
        <f>IFERROR(INDEX('Email Cleaner'!$B$2:$B$10001,MATCH(7252,'Email Cleaner'!$I$2:$I$10001,0)),"")</f>
        <v/>
      </c>
    </row>
    <row r="7254">
      <c r="A7254">
        <f>IFERROR(INDEX('Email Cleaner'!$B$2:$B$10001,MATCH(7253,'Email Cleaner'!$I$2:$I$10001,0)),"")</f>
        <v/>
      </c>
    </row>
    <row r="7255">
      <c r="A7255">
        <f>IFERROR(INDEX('Email Cleaner'!$B$2:$B$10001,MATCH(7254,'Email Cleaner'!$I$2:$I$10001,0)),"")</f>
        <v/>
      </c>
    </row>
    <row r="7256">
      <c r="A7256">
        <f>IFERROR(INDEX('Email Cleaner'!$B$2:$B$10001,MATCH(7255,'Email Cleaner'!$I$2:$I$10001,0)),"")</f>
        <v/>
      </c>
    </row>
    <row r="7257">
      <c r="A7257">
        <f>IFERROR(INDEX('Email Cleaner'!$B$2:$B$10001,MATCH(7256,'Email Cleaner'!$I$2:$I$10001,0)),"")</f>
        <v/>
      </c>
    </row>
    <row r="7258">
      <c r="A7258">
        <f>IFERROR(INDEX('Email Cleaner'!$B$2:$B$10001,MATCH(7257,'Email Cleaner'!$I$2:$I$10001,0)),"")</f>
        <v/>
      </c>
    </row>
    <row r="7259">
      <c r="A7259">
        <f>IFERROR(INDEX('Email Cleaner'!$B$2:$B$10001,MATCH(7258,'Email Cleaner'!$I$2:$I$10001,0)),"")</f>
        <v/>
      </c>
    </row>
    <row r="7260">
      <c r="A7260">
        <f>IFERROR(INDEX('Email Cleaner'!$B$2:$B$10001,MATCH(7259,'Email Cleaner'!$I$2:$I$10001,0)),"")</f>
        <v/>
      </c>
    </row>
    <row r="7261">
      <c r="A7261">
        <f>IFERROR(INDEX('Email Cleaner'!$B$2:$B$10001,MATCH(7260,'Email Cleaner'!$I$2:$I$10001,0)),"")</f>
        <v/>
      </c>
    </row>
    <row r="7262">
      <c r="A7262">
        <f>IFERROR(INDEX('Email Cleaner'!$B$2:$B$10001,MATCH(7261,'Email Cleaner'!$I$2:$I$10001,0)),"")</f>
        <v/>
      </c>
    </row>
    <row r="7263">
      <c r="A7263">
        <f>IFERROR(INDEX('Email Cleaner'!$B$2:$B$10001,MATCH(7262,'Email Cleaner'!$I$2:$I$10001,0)),"")</f>
        <v/>
      </c>
    </row>
    <row r="7264">
      <c r="A7264">
        <f>IFERROR(INDEX('Email Cleaner'!$B$2:$B$10001,MATCH(7263,'Email Cleaner'!$I$2:$I$10001,0)),"")</f>
        <v/>
      </c>
    </row>
    <row r="7265">
      <c r="A7265">
        <f>IFERROR(INDEX('Email Cleaner'!$B$2:$B$10001,MATCH(7264,'Email Cleaner'!$I$2:$I$10001,0)),"")</f>
        <v/>
      </c>
    </row>
    <row r="7266">
      <c r="A7266">
        <f>IFERROR(INDEX('Email Cleaner'!$B$2:$B$10001,MATCH(7265,'Email Cleaner'!$I$2:$I$10001,0)),"")</f>
        <v/>
      </c>
    </row>
    <row r="7267">
      <c r="A7267">
        <f>IFERROR(INDEX('Email Cleaner'!$B$2:$B$10001,MATCH(7266,'Email Cleaner'!$I$2:$I$10001,0)),"")</f>
        <v/>
      </c>
    </row>
    <row r="7268">
      <c r="A7268">
        <f>IFERROR(INDEX('Email Cleaner'!$B$2:$B$10001,MATCH(7267,'Email Cleaner'!$I$2:$I$10001,0)),"")</f>
        <v/>
      </c>
    </row>
    <row r="7269">
      <c r="A7269">
        <f>IFERROR(INDEX('Email Cleaner'!$B$2:$B$10001,MATCH(7268,'Email Cleaner'!$I$2:$I$10001,0)),"")</f>
        <v/>
      </c>
    </row>
    <row r="7270">
      <c r="A7270">
        <f>IFERROR(INDEX('Email Cleaner'!$B$2:$B$10001,MATCH(7269,'Email Cleaner'!$I$2:$I$10001,0)),"")</f>
        <v/>
      </c>
    </row>
    <row r="7271">
      <c r="A7271">
        <f>IFERROR(INDEX('Email Cleaner'!$B$2:$B$10001,MATCH(7270,'Email Cleaner'!$I$2:$I$10001,0)),"")</f>
        <v/>
      </c>
    </row>
    <row r="7272">
      <c r="A7272">
        <f>IFERROR(INDEX('Email Cleaner'!$B$2:$B$10001,MATCH(7271,'Email Cleaner'!$I$2:$I$10001,0)),"")</f>
        <v/>
      </c>
    </row>
    <row r="7273">
      <c r="A7273">
        <f>IFERROR(INDEX('Email Cleaner'!$B$2:$B$10001,MATCH(7272,'Email Cleaner'!$I$2:$I$10001,0)),"")</f>
        <v/>
      </c>
    </row>
    <row r="7274">
      <c r="A7274">
        <f>IFERROR(INDEX('Email Cleaner'!$B$2:$B$10001,MATCH(7273,'Email Cleaner'!$I$2:$I$10001,0)),"")</f>
        <v/>
      </c>
    </row>
    <row r="7275">
      <c r="A7275">
        <f>IFERROR(INDEX('Email Cleaner'!$B$2:$B$10001,MATCH(7274,'Email Cleaner'!$I$2:$I$10001,0)),"")</f>
        <v/>
      </c>
    </row>
    <row r="7276">
      <c r="A7276">
        <f>IFERROR(INDEX('Email Cleaner'!$B$2:$B$10001,MATCH(7275,'Email Cleaner'!$I$2:$I$10001,0)),"")</f>
        <v/>
      </c>
    </row>
    <row r="7277">
      <c r="A7277">
        <f>IFERROR(INDEX('Email Cleaner'!$B$2:$B$10001,MATCH(7276,'Email Cleaner'!$I$2:$I$10001,0)),"")</f>
        <v/>
      </c>
    </row>
    <row r="7278">
      <c r="A7278">
        <f>IFERROR(INDEX('Email Cleaner'!$B$2:$B$10001,MATCH(7277,'Email Cleaner'!$I$2:$I$10001,0)),"")</f>
        <v/>
      </c>
    </row>
    <row r="7279">
      <c r="A7279">
        <f>IFERROR(INDEX('Email Cleaner'!$B$2:$B$10001,MATCH(7278,'Email Cleaner'!$I$2:$I$10001,0)),"")</f>
        <v/>
      </c>
    </row>
    <row r="7280">
      <c r="A7280">
        <f>IFERROR(INDEX('Email Cleaner'!$B$2:$B$10001,MATCH(7279,'Email Cleaner'!$I$2:$I$10001,0)),"")</f>
        <v/>
      </c>
    </row>
    <row r="7281">
      <c r="A7281">
        <f>IFERROR(INDEX('Email Cleaner'!$B$2:$B$10001,MATCH(7280,'Email Cleaner'!$I$2:$I$10001,0)),"")</f>
        <v/>
      </c>
    </row>
    <row r="7282">
      <c r="A7282">
        <f>IFERROR(INDEX('Email Cleaner'!$B$2:$B$10001,MATCH(7281,'Email Cleaner'!$I$2:$I$10001,0)),"")</f>
        <v/>
      </c>
    </row>
    <row r="7283">
      <c r="A7283">
        <f>IFERROR(INDEX('Email Cleaner'!$B$2:$B$10001,MATCH(7282,'Email Cleaner'!$I$2:$I$10001,0)),"")</f>
        <v/>
      </c>
    </row>
    <row r="7284">
      <c r="A7284">
        <f>IFERROR(INDEX('Email Cleaner'!$B$2:$B$10001,MATCH(7283,'Email Cleaner'!$I$2:$I$10001,0)),"")</f>
        <v/>
      </c>
    </row>
    <row r="7285">
      <c r="A7285">
        <f>IFERROR(INDEX('Email Cleaner'!$B$2:$B$10001,MATCH(7284,'Email Cleaner'!$I$2:$I$10001,0)),"")</f>
        <v/>
      </c>
    </row>
    <row r="7286">
      <c r="A7286">
        <f>IFERROR(INDEX('Email Cleaner'!$B$2:$B$10001,MATCH(7285,'Email Cleaner'!$I$2:$I$10001,0)),"")</f>
        <v/>
      </c>
    </row>
    <row r="7287">
      <c r="A7287">
        <f>IFERROR(INDEX('Email Cleaner'!$B$2:$B$10001,MATCH(7286,'Email Cleaner'!$I$2:$I$10001,0)),"")</f>
        <v/>
      </c>
    </row>
    <row r="7288">
      <c r="A7288">
        <f>IFERROR(INDEX('Email Cleaner'!$B$2:$B$10001,MATCH(7287,'Email Cleaner'!$I$2:$I$10001,0)),"")</f>
        <v/>
      </c>
    </row>
    <row r="7289">
      <c r="A7289">
        <f>IFERROR(INDEX('Email Cleaner'!$B$2:$B$10001,MATCH(7288,'Email Cleaner'!$I$2:$I$10001,0)),"")</f>
        <v/>
      </c>
    </row>
    <row r="7290">
      <c r="A7290">
        <f>IFERROR(INDEX('Email Cleaner'!$B$2:$B$10001,MATCH(7289,'Email Cleaner'!$I$2:$I$10001,0)),"")</f>
        <v/>
      </c>
    </row>
    <row r="7291">
      <c r="A7291">
        <f>IFERROR(INDEX('Email Cleaner'!$B$2:$B$10001,MATCH(7290,'Email Cleaner'!$I$2:$I$10001,0)),"")</f>
        <v/>
      </c>
    </row>
    <row r="7292">
      <c r="A7292">
        <f>IFERROR(INDEX('Email Cleaner'!$B$2:$B$10001,MATCH(7291,'Email Cleaner'!$I$2:$I$10001,0)),"")</f>
        <v/>
      </c>
    </row>
    <row r="7293">
      <c r="A7293">
        <f>IFERROR(INDEX('Email Cleaner'!$B$2:$B$10001,MATCH(7292,'Email Cleaner'!$I$2:$I$10001,0)),"")</f>
        <v/>
      </c>
    </row>
    <row r="7294">
      <c r="A7294">
        <f>IFERROR(INDEX('Email Cleaner'!$B$2:$B$10001,MATCH(7293,'Email Cleaner'!$I$2:$I$10001,0)),"")</f>
        <v/>
      </c>
    </row>
    <row r="7295">
      <c r="A7295">
        <f>IFERROR(INDEX('Email Cleaner'!$B$2:$B$10001,MATCH(7294,'Email Cleaner'!$I$2:$I$10001,0)),"")</f>
        <v/>
      </c>
    </row>
    <row r="7296">
      <c r="A7296">
        <f>IFERROR(INDEX('Email Cleaner'!$B$2:$B$10001,MATCH(7295,'Email Cleaner'!$I$2:$I$10001,0)),"")</f>
        <v/>
      </c>
    </row>
    <row r="7297">
      <c r="A7297">
        <f>IFERROR(INDEX('Email Cleaner'!$B$2:$B$10001,MATCH(7296,'Email Cleaner'!$I$2:$I$10001,0)),"")</f>
        <v/>
      </c>
    </row>
    <row r="7298">
      <c r="A7298">
        <f>IFERROR(INDEX('Email Cleaner'!$B$2:$B$10001,MATCH(7297,'Email Cleaner'!$I$2:$I$10001,0)),"")</f>
        <v/>
      </c>
    </row>
    <row r="7299">
      <c r="A7299">
        <f>IFERROR(INDEX('Email Cleaner'!$B$2:$B$10001,MATCH(7298,'Email Cleaner'!$I$2:$I$10001,0)),"")</f>
        <v/>
      </c>
    </row>
    <row r="7300">
      <c r="A7300">
        <f>IFERROR(INDEX('Email Cleaner'!$B$2:$B$10001,MATCH(7299,'Email Cleaner'!$I$2:$I$10001,0)),"")</f>
        <v/>
      </c>
    </row>
    <row r="7301">
      <c r="A7301">
        <f>IFERROR(INDEX('Email Cleaner'!$B$2:$B$10001,MATCH(7300,'Email Cleaner'!$I$2:$I$10001,0)),"")</f>
        <v/>
      </c>
    </row>
    <row r="7302">
      <c r="A7302">
        <f>IFERROR(INDEX('Email Cleaner'!$B$2:$B$10001,MATCH(7301,'Email Cleaner'!$I$2:$I$10001,0)),"")</f>
        <v/>
      </c>
    </row>
    <row r="7303">
      <c r="A7303">
        <f>IFERROR(INDEX('Email Cleaner'!$B$2:$B$10001,MATCH(7302,'Email Cleaner'!$I$2:$I$10001,0)),"")</f>
        <v/>
      </c>
    </row>
    <row r="7304">
      <c r="A7304">
        <f>IFERROR(INDEX('Email Cleaner'!$B$2:$B$10001,MATCH(7303,'Email Cleaner'!$I$2:$I$10001,0)),"")</f>
        <v/>
      </c>
    </row>
    <row r="7305">
      <c r="A7305">
        <f>IFERROR(INDEX('Email Cleaner'!$B$2:$B$10001,MATCH(7304,'Email Cleaner'!$I$2:$I$10001,0)),"")</f>
        <v/>
      </c>
    </row>
    <row r="7306">
      <c r="A7306">
        <f>IFERROR(INDEX('Email Cleaner'!$B$2:$B$10001,MATCH(7305,'Email Cleaner'!$I$2:$I$10001,0)),"")</f>
        <v/>
      </c>
    </row>
    <row r="7307">
      <c r="A7307">
        <f>IFERROR(INDEX('Email Cleaner'!$B$2:$B$10001,MATCH(7306,'Email Cleaner'!$I$2:$I$10001,0)),"")</f>
        <v/>
      </c>
    </row>
    <row r="7308">
      <c r="A7308">
        <f>IFERROR(INDEX('Email Cleaner'!$B$2:$B$10001,MATCH(7307,'Email Cleaner'!$I$2:$I$10001,0)),"")</f>
        <v/>
      </c>
    </row>
    <row r="7309">
      <c r="A7309">
        <f>IFERROR(INDEX('Email Cleaner'!$B$2:$B$10001,MATCH(7308,'Email Cleaner'!$I$2:$I$10001,0)),"")</f>
        <v/>
      </c>
    </row>
    <row r="7310">
      <c r="A7310">
        <f>IFERROR(INDEX('Email Cleaner'!$B$2:$B$10001,MATCH(7309,'Email Cleaner'!$I$2:$I$10001,0)),"")</f>
        <v/>
      </c>
    </row>
    <row r="7311">
      <c r="A7311">
        <f>IFERROR(INDEX('Email Cleaner'!$B$2:$B$10001,MATCH(7310,'Email Cleaner'!$I$2:$I$10001,0)),"")</f>
        <v/>
      </c>
    </row>
    <row r="7312">
      <c r="A7312">
        <f>IFERROR(INDEX('Email Cleaner'!$B$2:$B$10001,MATCH(7311,'Email Cleaner'!$I$2:$I$10001,0)),"")</f>
        <v/>
      </c>
    </row>
    <row r="7313">
      <c r="A7313">
        <f>IFERROR(INDEX('Email Cleaner'!$B$2:$B$10001,MATCH(7312,'Email Cleaner'!$I$2:$I$10001,0)),"")</f>
        <v/>
      </c>
    </row>
    <row r="7314">
      <c r="A7314">
        <f>IFERROR(INDEX('Email Cleaner'!$B$2:$B$10001,MATCH(7313,'Email Cleaner'!$I$2:$I$10001,0)),"")</f>
        <v/>
      </c>
    </row>
    <row r="7315">
      <c r="A7315">
        <f>IFERROR(INDEX('Email Cleaner'!$B$2:$B$10001,MATCH(7314,'Email Cleaner'!$I$2:$I$10001,0)),"")</f>
        <v/>
      </c>
    </row>
    <row r="7316">
      <c r="A7316">
        <f>IFERROR(INDEX('Email Cleaner'!$B$2:$B$10001,MATCH(7315,'Email Cleaner'!$I$2:$I$10001,0)),"")</f>
        <v/>
      </c>
    </row>
    <row r="7317">
      <c r="A7317">
        <f>IFERROR(INDEX('Email Cleaner'!$B$2:$B$10001,MATCH(7316,'Email Cleaner'!$I$2:$I$10001,0)),"")</f>
        <v/>
      </c>
    </row>
    <row r="7318">
      <c r="A7318">
        <f>IFERROR(INDEX('Email Cleaner'!$B$2:$B$10001,MATCH(7317,'Email Cleaner'!$I$2:$I$10001,0)),"")</f>
        <v/>
      </c>
    </row>
    <row r="7319">
      <c r="A7319">
        <f>IFERROR(INDEX('Email Cleaner'!$B$2:$B$10001,MATCH(7318,'Email Cleaner'!$I$2:$I$10001,0)),"")</f>
        <v/>
      </c>
    </row>
    <row r="7320">
      <c r="A7320">
        <f>IFERROR(INDEX('Email Cleaner'!$B$2:$B$10001,MATCH(7319,'Email Cleaner'!$I$2:$I$10001,0)),"")</f>
        <v/>
      </c>
    </row>
    <row r="7321">
      <c r="A7321">
        <f>IFERROR(INDEX('Email Cleaner'!$B$2:$B$10001,MATCH(7320,'Email Cleaner'!$I$2:$I$10001,0)),"")</f>
        <v/>
      </c>
    </row>
    <row r="7322">
      <c r="A7322">
        <f>IFERROR(INDEX('Email Cleaner'!$B$2:$B$10001,MATCH(7321,'Email Cleaner'!$I$2:$I$10001,0)),"")</f>
        <v/>
      </c>
    </row>
    <row r="7323">
      <c r="A7323">
        <f>IFERROR(INDEX('Email Cleaner'!$B$2:$B$10001,MATCH(7322,'Email Cleaner'!$I$2:$I$10001,0)),"")</f>
        <v/>
      </c>
    </row>
    <row r="7324">
      <c r="A7324">
        <f>IFERROR(INDEX('Email Cleaner'!$B$2:$B$10001,MATCH(7323,'Email Cleaner'!$I$2:$I$10001,0)),"")</f>
        <v/>
      </c>
    </row>
    <row r="7325">
      <c r="A7325">
        <f>IFERROR(INDEX('Email Cleaner'!$B$2:$B$10001,MATCH(7324,'Email Cleaner'!$I$2:$I$10001,0)),"")</f>
        <v/>
      </c>
    </row>
    <row r="7326">
      <c r="A7326">
        <f>IFERROR(INDEX('Email Cleaner'!$B$2:$B$10001,MATCH(7325,'Email Cleaner'!$I$2:$I$10001,0)),"")</f>
        <v/>
      </c>
    </row>
    <row r="7327">
      <c r="A7327">
        <f>IFERROR(INDEX('Email Cleaner'!$B$2:$B$10001,MATCH(7326,'Email Cleaner'!$I$2:$I$10001,0)),"")</f>
        <v/>
      </c>
    </row>
    <row r="7328">
      <c r="A7328">
        <f>IFERROR(INDEX('Email Cleaner'!$B$2:$B$10001,MATCH(7327,'Email Cleaner'!$I$2:$I$10001,0)),"")</f>
        <v/>
      </c>
    </row>
    <row r="7329">
      <c r="A7329">
        <f>IFERROR(INDEX('Email Cleaner'!$B$2:$B$10001,MATCH(7328,'Email Cleaner'!$I$2:$I$10001,0)),"")</f>
        <v/>
      </c>
    </row>
    <row r="7330">
      <c r="A7330">
        <f>IFERROR(INDEX('Email Cleaner'!$B$2:$B$10001,MATCH(7329,'Email Cleaner'!$I$2:$I$10001,0)),"")</f>
        <v/>
      </c>
    </row>
    <row r="7331">
      <c r="A7331">
        <f>IFERROR(INDEX('Email Cleaner'!$B$2:$B$10001,MATCH(7330,'Email Cleaner'!$I$2:$I$10001,0)),"")</f>
        <v/>
      </c>
    </row>
    <row r="7332">
      <c r="A7332">
        <f>IFERROR(INDEX('Email Cleaner'!$B$2:$B$10001,MATCH(7331,'Email Cleaner'!$I$2:$I$10001,0)),"")</f>
        <v/>
      </c>
    </row>
    <row r="7333">
      <c r="A7333">
        <f>IFERROR(INDEX('Email Cleaner'!$B$2:$B$10001,MATCH(7332,'Email Cleaner'!$I$2:$I$10001,0)),"")</f>
        <v/>
      </c>
    </row>
    <row r="7334">
      <c r="A7334">
        <f>IFERROR(INDEX('Email Cleaner'!$B$2:$B$10001,MATCH(7333,'Email Cleaner'!$I$2:$I$10001,0)),"")</f>
        <v/>
      </c>
    </row>
    <row r="7335">
      <c r="A7335">
        <f>IFERROR(INDEX('Email Cleaner'!$B$2:$B$10001,MATCH(7334,'Email Cleaner'!$I$2:$I$10001,0)),"")</f>
        <v/>
      </c>
    </row>
    <row r="7336">
      <c r="A7336">
        <f>IFERROR(INDEX('Email Cleaner'!$B$2:$B$10001,MATCH(7335,'Email Cleaner'!$I$2:$I$10001,0)),"")</f>
        <v/>
      </c>
    </row>
    <row r="7337">
      <c r="A7337">
        <f>IFERROR(INDEX('Email Cleaner'!$B$2:$B$10001,MATCH(7336,'Email Cleaner'!$I$2:$I$10001,0)),"")</f>
        <v/>
      </c>
    </row>
    <row r="7338">
      <c r="A7338">
        <f>IFERROR(INDEX('Email Cleaner'!$B$2:$B$10001,MATCH(7337,'Email Cleaner'!$I$2:$I$10001,0)),"")</f>
        <v/>
      </c>
    </row>
    <row r="7339">
      <c r="A7339">
        <f>IFERROR(INDEX('Email Cleaner'!$B$2:$B$10001,MATCH(7338,'Email Cleaner'!$I$2:$I$10001,0)),"")</f>
        <v/>
      </c>
    </row>
    <row r="7340">
      <c r="A7340">
        <f>IFERROR(INDEX('Email Cleaner'!$B$2:$B$10001,MATCH(7339,'Email Cleaner'!$I$2:$I$10001,0)),"")</f>
        <v/>
      </c>
    </row>
    <row r="7341">
      <c r="A7341">
        <f>IFERROR(INDEX('Email Cleaner'!$B$2:$B$10001,MATCH(7340,'Email Cleaner'!$I$2:$I$10001,0)),"")</f>
        <v/>
      </c>
    </row>
    <row r="7342">
      <c r="A7342">
        <f>IFERROR(INDEX('Email Cleaner'!$B$2:$B$10001,MATCH(7341,'Email Cleaner'!$I$2:$I$10001,0)),"")</f>
        <v/>
      </c>
    </row>
    <row r="7343">
      <c r="A7343">
        <f>IFERROR(INDEX('Email Cleaner'!$B$2:$B$10001,MATCH(7342,'Email Cleaner'!$I$2:$I$10001,0)),"")</f>
        <v/>
      </c>
    </row>
    <row r="7344">
      <c r="A7344">
        <f>IFERROR(INDEX('Email Cleaner'!$B$2:$B$10001,MATCH(7343,'Email Cleaner'!$I$2:$I$10001,0)),"")</f>
        <v/>
      </c>
    </row>
    <row r="7345">
      <c r="A7345">
        <f>IFERROR(INDEX('Email Cleaner'!$B$2:$B$10001,MATCH(7344,'Email Cleaner'!$I$2:$I$10001,0)),"")</f>
        <v/>
      </c>
    </row>
    <row r="7346">
      <c r="A7346">
        <f>IFERROR(INDEX('Email Cleaner'!$B$2:$B$10001,MATCH(7345,'Email Cleaner'!$I$2:$I$10001,0)),"")</f>
        <v/>
      </c>
    </row>
    <row r="7347">
      <c r="A7347">
        <f>IFERROR(INDEX('Email Cleaner'!$B$2:$B$10001,MATCH(7346,'Email Cleaner'!$I$2:$I$10001,0)),"")</f>
        <v/>
      </c>
    </row>
    <row r="7348">
      <c r="A7348">
        <f>IFERROR(INDEX('Email Cleaner'!$B$2:$B$10001,MATCH(7347,'Email Cleaner'!$I$2:$I$10001,0)),"")</f>
        <v/>
      </c>
    </row>
    <row r="7349">
      <c r="A7349">
        <f>IFERROR(INDEX('Email Cleaner'!$B$2:$B$10001,MATCH(7348,'Email Cleaner'!$I$2:$I$10001,0)),"")</f>
        <v/>
      </c>
    </row>
    <row r="7350">
      <c r="A7350">
        <f>IFERROR(INDEX('Email Cleaner'!$B$2:$B$10001,MATCH(7349,'Email Cleaner'!$I$2:$I$10001,0)),"")</f>
        <v/>
      </c>
    </row>
    <row r="7351">
      <c r="A7351">
        <f>IFERROR(INDEX('Email Cleaner'!$B$2:$B$10001,MATCH(7350,'Email Cleaner'!$I$2:$I$10001,0)),"")</f>
        <v/>
      </c>
    </row>
    <row r="7352">
      <c r="A7352">
        <f>IFERROR(INDEX('Email Cleaner'!$B$2:$B$10001,MATCH(7351,'Email Cleaner'!$I$2:$I$10001,0)),"")</f>
        <v/>
      </c>
    </row>
    <row r="7353">
      <c r="A7353">
        <f>IFERROR(INDEX('Email Cleaner'!$B$2:$B$10001,MATCH(7352,'Email Cleaner'!$I$2:$I$10001,0)),"")</f>
        <v/>
      </c>
    </row>
    <row r="7354">
      <c r="A7354">
        <f>IFERROR(INDEX('Email Cleaner'!$B$2:$B$10001,MATCH(7353,'Email Cleaner'!$I$2:$I$10001,0)),"")</f>
        <v/>
      </c>
    </row>
    <row r="7355">
      <c r="A7355">
        <f>IFERROR(INDEX('Email Cleaner'!$B$2:$B$10001,MATCH(7354,'Email Cleaner'!$I$2:$I$10001,0)),"")</f>
        <v/>
      </c>
    </row>
    <row r="7356">
      <c r="A7356">
        <f>IFERROR(INDEX('Email Cleaner'!$B$2:$B$10001,MATCH(7355,'Email Cleaner'!$I$2:$I$10001,0)),"")</f>
        <v/>
      </c>
    </row>
    <row r="7357">
      <c r="A7357">
        <f>IFERROR(INDEX('Email Cleaner'!$B$2:$B$10001,MATCH(7356,'Email Cleaner'!$I$2:$I$10001,0)),"")</f>
        <v/>
      </c>
    </row>
    <row r="7358">
      <c r="A7358">
        <f>IFERROR(INDEX('Email Cleaner'!$B$2:$B$10001,MATCH(7357,'Email Cleaner'!$I$2:$I$10001,0)),"")</f>
        <v/>
      </c>
    </row>
    <row r="7359">
      <c r="A7359">
        <f>IFERROR(INDEX('Email Cleaner'!$B$2:$B$10001,MATCH(7358,'Email Cleaner'!$I$2:$I$10001,0)),"")</f>
        <v/>
      </c>
    </row>
    <row r="7360">
      <c r="A7360">
        <f>IFERROR(INDEX('Email Cleaner'!$B$2:$B$10001,MATCH(7359,'Email Cleaner'!$I$2:$I$10001,0)),"")</f>
        <v/>
      </c>
    </row>
    <row r="7361">
      <c r="A7361">
        <f>IFERROR(INDEX('Email Cleaner'!$B$2:$B$10001,MATCH(7360,'Email Cleaner'!$I$2:$I$10001,0)),"")</f>
        <v/>
      </c>
    </row>
    <row r="7362">
      <c r="A7362">
        <f>IFERROR(INDEX('Email Cleaner'!$B$2:$B$10001,MATCH(7361,'Email Cleaner'!$I$2:$I$10001,0)),"")</f>
        <v/>
      </c>
    </row>
    <row r="7363">
      <c r="A7363">
        <f>IFERROR(INDEX('Email Cleaner'!$B$2:$B$10001,MATCH(7362,'Email Cleaner'!$I$2:$I$10001,0)),"")</f>
        <v/>
      </c>
    </row>
    <row r="7364">
      <c r="A7364">
        <f>IFERROR(INDEX('Email Cleaner'!$B$2:$B$10001,MATCH(7363,'Email Cleaner'!$I$2:$I$10001,0)),"")</f>
        <v/>
      </c>
    </row>
    <row r="7365">
      <c r="A7365">
        <f>IFERROR(INDEX('Email Cleaner'!$B$2:$B$10001,MATCH(7364,'Email Cleaner'!$I$2:$I$10001,0)),"")</f>
        <v/>
      </c>
    </row>
    <row r="7366">
      <c r="A7366">
        <f>IFERROR(INDEX('Email Cleaner'!$B$2:$B$10001,MATCH(7365,'Email Cleaner'!$I$2:$I$10001,0)),"")</f>
        <v/>
      </c>
    </row>
    <row r="7367">
      <c r="A7367">
        <f>IFERROR(INDEX('Email Cleaner'!$B$2:$B$10001,MATCH(7366,'Email Cleaner'!$I$2:$I$10001,0)),"")</f>
        <v/>
      </c>
    </row>
    <row r="7368">
      <c r="A7368">
        <f>IFERROR(INDEX('Email Cleaner'!$B$2:$B$10001,MATCH(7367,'Email Cleaner'!$I$2:$I$10001,0)),"")</f>
        <v/>
      </c>
    </row>
    <row r="7369">
      <c r="A7369">
        <f>IFERROR(INDEX('Email Cleaner'!$B$2:$B$10001,MATCH(7368,'Email Cleaner'!$I$2:$I$10001,0)),"")</f>
        <v/>
      </c>
    </row>
    <row r="7370">
      <c r="A7370">
        <f>IFERROR(INDEX('Email Cleaner'!$B$2:$B$10001,MATCH(7369,'Email Cleaner'!$I$2:$I$10001,0)),"")</f>
        <v/>
      </c>
    </row>
    <row r="7371">
      <c r="A7371">
        <f>IFERROR(INDEX('Email Cleaner'!$B$2:$B$10001,MATCH(7370,'Email Cleaner'!$I$2:$I$10001,0)),"")</f>
        <v/>
      </c>
    </row>
    <row r="7372">
      <c r="A7372">
        <f>IFERROR(INDEX('Email Cleaner'!$B$2:$B$10001,MATCH(7371,'Email Cleaner'!$I$2:$I$10001,0)),"")</f>
        <v/>
      </c>
    </row>
    <row r="7373">
      <c r="A7373">
        <f>IFERROR(INDEX('Email Cleaner'!$B$2:$B$10001,MATCH(7372,'Email Cleaner'!$I$2:$I$10001,0)),"")</f>
        <v/>
      </c>
    </row>
    <row r="7374">
      <c r="A7374">
        <f>IFERROR(INDEX('Email Cleaner'!$B$2:$B$10001,MATCH(7373,'Email Cleaner'!$I$2:$I$10001,0)),"")</f>
        <v/>
      </c>
    </row>
    <row r="7375">
      <c r="A7375">
        <f>IFERROR(INDEX('Email Cleaner'!$B$2:$B$10001,MATCH(7374,'Email Cleaner'!$I$2:$I$10001,0)),"")</f>
        <v/>
      </c>
    </row>
    <row r="7376">
      <c r="A7376">
        <f>IFERROR(INDEX('Email Cleaner'!$B$2:$B$10001,MATCH(7375,'Email Cleaner'!$I$2:$I$10001,0)),"")</f>
        <v/>
      </c>
    </row>
    <row r="7377">
      <c r="A7377">
        <f>IFERROR(INDEX('Email Cleaner'!$B$2:$B$10001,MATCH(7376,'Email Cleaner'!$I$2:$I$10001,0)),"")</f>
        <v/>
      </c>
    </row>
    <row r="7378">
      <c r="A7378">
        <f>IFERROR(INDEX('Email Cleaner'!$B$2:$B$10001,MATCH(7377,'Email Cleaner'!$I$2:$I$10001,0)),"")</f>
        <v/>
      </c>
    </row>
    <row r="7379">
      <c r="A7379">
        <f>IFERROR(INDEX('Email Cleaner'!$B$2:$B$10001,MATCH(7378,'Email Cleaner'!$I$2:$I$10001,0)),"")</f>
        <v/>
      </c>
    </row>
    <row r="7380">
      <c r="A7380">
        <f>IFERROR(INDEX('Email Cleaner'!$B$2:$B$10001,MATCH(7379,'Email Cleaner'!$I$2:$I$10001,0)),"")</f>
        <v/>
      </c>
    </row>
    <row r="7381">
      <c r="A7381">
        <f>IFERROR(INDEX('Email Cleaner'!$B$2:$B$10001,MATCH(7380,'Email Cleaner'!$I$2:$I$10001,0)),"")</f>
        <v/>
      </c>
    </row>
    <row r="7382">
      <c r="A7382">
        <f>IFERROR(INDEX('Email Cleaner'!$B$2:$B$10001,MATCH(7381,'Email Cleaner'!$I$2:$I$10001,0)),"")</f>
        <v/>
      </c>
    </row>
    <row r="7383">
      <c r="A7383">
        <f>IFERROR(INDEX('Email Cleaner'!$B$2:$B$10001,MATCH(7382,'Email Cleaner'!$I$2:$I$10001,0)),"")</f>
        <v/>
      </c>
    </row>
    <row r="7384">
      <c r="A7384">
        <f>IFERROR(INDEX('Email Cleaner'!$B$2:$B$10001,MATCH(7383,'Email Cleaner'!$I$2:$I$10001,0)),"")</f>
        <v/>
      </c>
    </row>
    <row r="7385">
      <c r="A7385">
        <f>IFERROR(INDEX('Email Cleaner'!$B$2:$B$10001,MATCH(7384,'Email Cleaner'!$I$2:$I$10001,0)),"")</f>
        <v/>
      </c>
    </row>
    <row r="7386">
      <c r="A7386">
        <f>IFERROR(INDEX('Email Cleaner'!$B$2:$B$10001,MATCH(7385,'Email Cleaner'!$I$2:$I$10001,0)),"")</f>
        <v/>
      </c>
    </row>
    <row r="7387">
      <c r="A7387">
        <f>IFERROR(INDEX('Email Cleaner'!$B$2:$B$10001,MATCH(7386,'Email Cleaner'!$I$2:$I$10001,0)),"")</f>
        <v/>
      </c>
    </row>
    <row r="7388">
      <c r="A7388">
        <f>IFERROR(INDEX('Email Cleaner'!$B$2:$B$10001,MATCH(7387,'Email Cleaner'!$I$2:$I$10001,0)),"")</f>
        <v/>
      </c>
    </row>
    <row r="7389">
      <c r="A7389">
        <f>IFERROR(INDEX('Email Cleaner'!$B$2:$B$10001,MATCH(7388,'Email Cleaner'!$I$2:$I$10001,0)),"")</f>
        <v/>
      </c>
    </row>
    <row r="7390">
      <c r="A7390">
        <f>IFERROR(INDEX('Email Cleaner'!$B$2:$B$10001,MATCH(7389,'Email Cleaner'!$I$2:$I$10001,0)),"")</f>
        <v/>
      </c>
    </row>
    <row r="7391">
      <c r="A7391">
        <f>IFERROR(INDEX('Email Cleaner'!$B$2:$B$10001,MATCH(7390,'Email Cleaner'!$I$2:$I$10001,0)),"")</f>
        <v/>
      </c>
    </row>
    <row r="7392">
      <c r="A7392">
        <f>IFERROR(INDEX('Email Cleaner'!$B$2:$B$10001,MATCH(7391,'Email Cleaner'!$I$2:$I$10001,0)),"")</f>
        <v/>
      </c>
    </row>
    <row r="7393">
      <c r="A7393">
        <f>IFERROR(INDEX('Email Cleaner'!$B$2:$B$10001,MATCH(7392,'Email Cleaner'!$I$2:$I$10001,0)),"")</f>
        <v/>
      </c>
    </row>
    <row r="7394">
      <c r="A7394">
        <f>IFERROR(INDEX('Email Cleaner'!$B$2:$B$10001,MATCH(7393,'Email Cleaner'!$I$2:$I$10001,0)),"")</f>
        <v/>
      </c>
    </row>
    <row r="7395">
      <c r="A7395">
        <f>IFERROR(INDEX('Email Cleaner'!$B$2:$B$10001,MATCH(7394,'Email Cleaner'!$I$2:$I$10001,0)),"")</f>
        <v/>
      </c>
    </row>
    <row r="7396">
      <c r="A7396">
        <f>IFERROR(INDEX('Email Cleaner'!$B$2:$B$10001,MATCH(7395,'Email Cleaner'!$I$2:$I$10001,0)),"")</f>
        <v/>
      </c>
    </row>
    <row r="7397">
      <c r="A7397">
        <f>IFERROR(INDEX('Email Cleaner'!$B$2:$B$10001,MATCH(7396,'Email Cleaner'!$I$2:$I$10001,0)),"")</f>
        <v/>
      </c>
    </row>
    <row r="7398">
      <c r="A7398">
        <f>IFERROR(INDEX('Email Cleaner'!$B$2:$B$10001,MATCH(7397,'Email Cleaner'!$I$2:$I$10001,0)),"")</f>
        <v/>
      </c>
    </row>
    <row r="7399">
      <c r="A7399">
        <f>IFERROR(INDEX('Email Cleaner'!$B$2:$B$10001,MATCH(7398,'Email Cleaner'!$I$2:$I$10001,0)),"")</f>
        <v/>
      </c>
    </row>
    <row r="7400">
      <c r="A7400">
        <f>IFERROR(INDEX('Email Cleaner'!$B$2:$B$10001,MATCH(7399,'Email Cleaner'!$I$2:$I$10001,0)),"")</f>
        <v/>
      </c>
    </row>
    <row r="7401">
      <c r="A7401">
        <f>IFERROR(INDEX('Email Cleaner'!$B$2:$B$10001,MATCH(7400,'Email Cleaner'!$I$2:$I$10001,0)),"")</f>
        <v/>
      </c>
    </row>
    <row r="7402">
      <c r="A7402">
        <f>IFERROR(INDEX('Email Cleaner'!$B$2:$B$10001,MATCH(7401,'Email Cleaner'!$I$2:$I$10001,0)),"")</f>
        <v/>
      </c>
    </row>
    <row r="7403">
      <c r="A7403">
        <f>IFERROR(INDEX('Email Cleaner'!$B$2:$B$10001,MATCH(7402,'Email Cleaner'!$I$2:$I$10001,0)),"")</f>
        <v/>
      </c>
    </row>
    <row r="7404">
      <c r="A7404">
        <f>IFERROR(INDEX('Email Cleaner'!$B$2:$B$10001,MATCH(7403,'Email Cleaner'!$I$2:$I$10001,0)),"")</f>
        <v/>
      </c>
    </row>
    <row r="7405">
      <c r="A7405">
        <f>IFERROR(INDEX('Email Cleaner'!$B$2:$B$10001,MATCH(7404,'Email Cleaner'!$I$2:$I$10001,0)),"")</f>
        <v/>
      </c>
    </row>
    <row r="7406">
      <c r="A7406">
        <f>IFERROR(INDEX('Email Cleaner'!$B$2:$B$10001,MATCH(7405,'Email Cleaner'!$I$2:$I$10001,0)),"")</f>
        <v/>
      </c>
    </row>
    <row r="7407">
      <c r="A7407">
        <f>IFERROR(INDEX('Email Cleaner'!$B$2:$B$10001,MATCH(7406,'Email Cleaner'!$I$2:$I$10001,0)),"")</f>
        <v/>
      </c>
    </row>
    <row r="7408">
      <c r="A7408">
        <f>IFERROR(INDEX('Email Cleaner'!$B$2:$B$10001,MATCH(7407,'Email Cleaner'!$I$2:$I$10001,0)),"")</f>
        <v/>
      </c>
    </row>
    <row r="7409">
      <c r="A7409">
        <f>IFERROR(INDEX('Email Cleaner'!$B$2:$B$10001,MATCH(7408,'Email Cleaner'!$I$2:$I$10001,0)),"")</f>
        <v/>
      </c>
    </row>
    <row r="7410">
      <c r="A7410">
        <f>IFERROR(INDEX('Email Cleaner'!$B$2:$B$10001,MATCH(7409,'Email Cleaner'!$I$2:$I$10001,0)),"")</f>
        <v/>
      </c>
    </row>
    <row r="7411">
      <c r="A7411">
        <f>IFERROR(INDEX('Email Cleaner'!$B$2:$B$10001,MATCH(7410,'Email Cleaner'!$I$2:$I$10001,0)),"")</f>
        <v/>
      </c>
    </row>
    <row r="7412">
      <c r="A7412">
        <f>IFERROR(INDEX('Email Cleaner'!$B$2:$B$10001,MATCH(7411,'Email Cleaner'!$I$2:$I$10001,0)),"")</f>
        <v/>
      </c>
    </row>
    <row r="7413">
      <c r="A7413">
        <f>IFERROR(INDEX('Email Cleaner'!$B$2:$B$10001,MATCH(7412,'Email Cleaner'!$I$2:$I$10001,0)),"")</f>
        <v/>
      </c>
    </row>
    <row r="7414">
      <c r="A7414">
        <f>IFERROR(INDEX('Email Cleaner'!$B$2:$B$10001,MATCH(7413,'Email Cleaner'!$I$2:$I$10001,0)),"")</f>
        <v/>
      </c>
    </row>
    <row r="7415">
      <c r="A7415">
        <f>IFERROR(INDEX('Email Cleaner'!$B$2:$B$10001,MATCH(7414,'Email Cleaner'!$I$2:$I$10001,0)),"")</f>
        <v/>
      </c>
    </row>
    <row r="7416">
      <c r="A7416">
        <f>IFERROR(INDEX('Email Cleaner'!$B$2:$B$10001,MATCH(7415,'Email Cleaner'!$I$2:$I$10001,0)),"")</f>
        <v/>
      </c>
    </row>
    <row r="7417">
      <c r="A7417">
        <f>IFERROR(INDEX('Email Cleaner'!$B$2:$B$10001,MATCH(7416,'Email Cleaner'!$I$2:$I$10001,0)),"")</f>
        <v/>
      </c>
    </row>
    <row r="7418">
      <c r="A7418">
        <f>IFERROR(INDEX('Email Cleaner'!$B$2:$B$10001,MATCH(7417,'Email Cleaner'!$I$2:$I$10001,0)),"")</f>
        <v/>
      </c>
    </row>
    <row r="7419">
      <c r="A7419">
        <f>IFERROR(INDEX('Email Cleaner'!$B$2:$B$10001,MATCH(7418,'Email Cleaner'!$I$2:$I$10001,0)),"")</f>
        <v/>
      </c>
    </row>
    <row r="7420">
      <c r="A7420">
        <f>IFERROR(INDEX('Email Cleaner'!$B$2:$B$10001,MATCH(7419,'Email Cleaner'!$I$2:$I$10001,0)),"")</f>
        <v/>
      </c>
    </row>
    <row r="7421">
      <c r="A7421">
        <f>IFERROR(INDEX('Email Cleaner'!$B$2:$B$10001,MATCH(7420,'Email Cleaner'!$I$2:$I$10001,0)),"")</f>
        <v/>
      </c>
    </row>
    <row r="7422">
      <c r="A7422">
        <f>IFERROR(INDEX('Email Cleaner'!$B$2:$B$10001,MATCH(7421,'Email Cleaner'!$I$2:$I$10001,0)),"")</f>
        <v/>
      </c>
    </row>
    <row r="7423">
      <c r="A7423">
        <f>IFERROR(INDEX('Email Cleaner'!$B$2:$B$10001,MATCH(7422,'Email Cleaner'!$I$2:$I$10001,0)),"")</f>
        <v/>
      </c>
    </row>
    <row r="7424">
      <c r="A7424">
        <f>IFERROR(INDEX('Email Cleaner'!$B$2:$B$10001,MATCH(7423,'Email Cleaner'!$I$2:$I$10001,0)),"")</f>
        <v/>
      </c>
    </row>
    <row r="7425">
      <c r="A7425">
        <f>IFERROR(INDEX('Email Cleaner'!$B$2:$B$10001,MATCH(7424,'Email Cleaner'!$I$2:$I$10001,0)),"")</f>
        <v/>
      </c>
    </row>
    <row r="7426">
      <c r="A7426">
        <f>IFERROR(INDEX('Email Cleaner'!$B$2:$B$10001,MATCH(7425,'Email Cleaner'!$I$2:$I$10001,0)),"")</f>
        <v/>
      </c>
    </row>
    <row r="7427">
      <c r="A7427">
        <f>IFERROR(INDEX('Email Cleaner'!$B$2:$B$10001,MATCH(7426,'Email Cleaner'!$I$2:$I$10001,0)),"")</f>
        <v/>
      </c>
    </row>
    <row r="7428">
      <c r="A7428">
        <f>IFERROR(INDEX('Email Cleaner'!$B$2:$B$10001,MATCH(7427,'Email Cleaner'!$I$2:$I$10001,0)),"")</f>
        <v/>
      </c>
    </row>
    <row r="7429">
      <c r="A7429">
        <f>IFERROR(INDEX('Email Cleaner'!$B$2:$B$10001,MATCH(7428,'Email Cleaner'!$I$2:$I$10001,0)),"")</f>
        <v/>
      </c>
    </row>
    <row r="7430">
      <c r="A7430">
        <f>IFERROR(INDEX('Email Cleaner'!$B$2:$B$10001,MATCH(7429,'Email Cleaner'!$I$2:$I$10001,0)),"")</f>
        <v/>
      </c>
    </row>
    <row r="7431">
      <c r="A7431">
        <f>IFERROR(INDEX('Email Cleaner'!$B$2:$B$10001,MATCH(7430,'Email Cleaner'!$I$2:$I$10001,0)),"")</f>
        <v/>
      </c>
    </row>
    <row r="7432">
      <c r="A7432">
        <f>IFERROR(INDEX('Email Cleaner'!$B$2:$B$10001,MATCH(7431,'Email Cleaner'!$I$2:$I$10001,0)),"")</f>
        <v/>
      </c>
    </row>
    <row r="7433">
      <c r="A7433">
        <f>IFERROR(INDEX('Email Cleaner'!$B$2:$B$10001,MATCH(7432,'Email Cleaner'!$I$2:$I$10001,0)),"")</f>
        <v/>
      </c>
    </row>
    <row r="7434">
      <c r="A7434">
        <f>IFERROR(INDEX('Email Cleaner'!$B$2:$B$10001,MATCH(7433,'Email Cleaner'!$I$2:$I$10001,0)),"")</f>
        <v/>
      </c>
    </row>
    <row r="7435">
      <c r="A7435">
        <f>IFERROR(INDEX('Email Cleaner'!$B$2:$B$10001,MATCH(7434,'Email Cleaner'!$I$2:$I$10001,0)),"")</f>
        <v/>
      </c>
    </row>
    <row r="7436">
      <c r="A7436">
        <f>IFERROR(INDEX('Email Cleaner'!$B$2:$B$10001,MATCH(7435,'Email Cleaner'!$I$2:$I$10001,0)),"")</f>
        <v/>
      </c>
    </row>
    <row r="7437">
      <c r="A7437">
        <f>IFERROR(INDEX('Email Cleaner'!$B$2:$B$10001,MATCH(7436,'Email Cleaner'!$I$2:$I$10001,0)),"")</f>
        <v/>
      </c>
    </row>
    <row r="7438">
      <c r="A7438">
        <f>IFERROR(INDEX('Email Cleaner'!$B$2:$B$10001,MATCH(7437,'Email Cleaner'!$I$2:$I$10001,0)),"")</f>
        <v/>
      </c>
    </row>
    <row r="7439">
      <c r="A7439">
        <f>IFERROR(INDEX('Email Cleaner'!$B$2:$B$10001,MATCH(7438,'Email Cleaner'!$I$2:$I$10001,0)),"")</f>
        <v/>
      </c>
    </row>
    <row r="7440">
      <c r="A7440">
        <f>IFERROR(INDEX('Email Cleaner'!$B$2:$B$10001,MATCH(7439,'Email Cleaner'!$I$2:$I$10001,0)),"")</f>
        <v/>
      </c>
    </row>
    <row r="7441">
      <c r="A7441">
        <f>IFERROR(INDEX('Email Cleaner'!$B$2:$B$10001,MATCH(7440,'Email Cleaner'!$I$2:$I$10001,0)),"")</f>
        <v/>
      </c>
    </row>
    <row r="7442">
      <c r="A7442">
        <f>IFERROR(INDEX('Email Cleaner'!$B$2:$B$10001,MATCH(7441,'Email Cleaner'!$I$2:$I$10001,0)),"")</f>
        <v/>
      </c>
    </row>
    <row r="7443">
      <c r="A7443">
        <f>IFERROR(INDEX('Email Cleaner'!$B$2:$B$10001,MATCH(7442,'Email Cleaner'!$I$2:$I$10001,0)),"")</f>
        <v/>
      </c>
    </row>
    <row r="7444">
      <c r="A7444">
        <f>IFERROR(INDEX('Email Cleaner'!$B$2:$B$10001,MATCH(7443,'Email Cleaner'!$I$2:$I$10001,0)),"")</f>
        <v/>
      </c>
    </row>
    <row r="7445">
      <c r="A7445">
        <f>IFERROR(INDEX('Email Cleaner'!$B$2:$B$10001,MATCH(7444,'Email Cleaner'!$I$2:$I$10001,0)),"")</f>
        <v/>
      </c>
    </row>
    <row r="7446">
      <c r="A7446">
        <f>IFERROR(INDEX('Email Cleaner'!$B$2:$B$10001,MATCH(7445,'Email Cleaner'!$I$2:$I$10001,0)),"")</f>
        <v/>
      </c>
    </row>
    <row r="7447">
      <c r="A7447">
        <f>IFERROR(INDEX('Email Cleaner'!$B$2:$B$10001,MATCH(7446,'Email Cleaner'!$I$2:$I$10001,0)),"")</f>
        <v/>
      </c>
    </row>
    <row r="7448">
      <c r="A7448">
        <f>IFERROR(INDEX('Email Cleaner'!$B$2:$B$10001,MATCH(7447,'Email Cleaner'!$I$2:$I$10001,0)),"")</f>
        <v/>
      </c>
    </row>
    <row r="7449">
      <c r="A7449">
        <f>IFERROR(INDEX('Email Cleaner'!$B$2:$B$10001,MATCH(7448,'Email Cleaner'!$I$2:$I$10001,0)),"")</f>
        <v/>
      </c>
    </row>
    <row r="7450">
      <c r="A7450">
        <f>IFERROR(INDEX('Email Cleaner'!$B$2:$B$10001,MATCH(7449,'Email Cleaner'!$I$2:$I$10001,0)),"")</f>
        <v/>
      </c>
    </row>
    <row r="7451">
      <c r="A7451">
        <f>IFERROR(INDEX('Email Cleaner'!$B$2:$B$10001,MATCH(7450,'Email Cleaner'!$I$2:$I$10001,0)),"")</f>
        <v/>
      </c>
    </row>
    <row r="7452">
      <c r="A7452">
        <f>IFERROR(INDEX('Email Cleaner'!$B$2:$B$10001,MATCH(7451,'Email Cleaner'!$I$2:$I$10001,0)),"")</f>
        <v/>
      </c>
    </row>
    <row r="7453">
      <c r="A7453">
        <f>IFERROR(INDEX('Email Cleaner'!$B$2:$B$10001,MATCH(7452,'Email Cleaner'!$I$2:$I$10001,0)),"")</f>
        <v/>
      </c>
    </row>
    <row r="7454">
      <c r="A7454">
        <f>IFERROR(INDEX('Email Cleaner'!$B$2:$B$10001,MATCH(7453,'Email Cleaner'!$I$2:$I$10001,0)),"")</f>
        <v/>
      </c>
    </row>
    <row r="7455">
      <c r="A7455">
        <f>IFERROR(INDEX('Email Cleaner'!$B$2:$B$10001,MATCH(7454,'Email Cleaner'!$I$2:$I$10001,0)),"")</f>
        <v/>
      </c>
    </row>
    <row r="7456">
      <c r="A7456">
        <f>IFERROR(INDEX('Email Cleaner'!$B$2:$B$10001,MATCH(7455,'Email Cleaner'!$I$2:$I$10001,0)),"")</f>
        <v/>
      </c>
    </row>
    <row r="7457">
      <c r="A7457">
        <f>IFERROR(INDEX('Email Cleaner'!$B$2:$B$10001,MATCH(7456,'Email Cleaner'!$I$2:$I$10001,0)),"")</f>
        <v/>
      </c>
    </row>
    <row r="7458">
      <c r="A7458">
        <f>IFERROR(INDEX('Email Cleaner'!$B$2:$B$10001,MATCH(7457,'Email Cleaner'!$I$2:$I$10001,0)),"")</f>
        <v/>
      </c>
    </row>
    <row r="7459">
      <c r="A7459">
        <f>IFERROR(INDEX('Email Cleaner'!$B$2:$B$10001,MATCH(7458,'Email Cleaner'!$I$2:$I$10001,0)),"")</f>
        <v/>
      </c>
    </row>
    <row r="7460">
      <c r="A7460">
        <f>IFERROR(INDEX('Email Cleaner'!$B$2:$B$10001,MATCH(7459,'Email Cleaner'!$I$2:$I$10001,0)),"")</f>
        <v/>
      </c>
    </row>
    <row r="7461">
      <c r="A7461">
        <f>IFERROR(INDEX('Email Cleaner'!$B$2:$B$10001,MATCH(7460,'Email Cleaner'!$I$2:$I$10001,0)),"")</f>
        <v/>
      </c>
    </row>
    <row r="7462">
      <c r="A7462">
        <f>IFERROR(INDEX('Email Cleaner'!$B$2:$B$10001,MATCH(7461,'Email Cleaner'!$I$2:$I$10001,0)),"")</f>
        <v/>
      </c>
    </row>
    <row r="7463">
      <c r="A7463">
        <f>IFERROR(INDEX('Email Cleaner'!$B$2:$B$10001,MATCH(7462,'Email Cleaner'!$I$2:$I$10001,0)),"")</f>
        <v/>
      </c>
    </row>
    <row r="7464">
      <c r="A7464">
        <f>IFERROR(INDEX('Email Cleaner'!$B$2:$B$10001,MATCH(7463,'Email Cleaner'!$I$2:$I$10001,0)),"")</f>
        <v/>
      </c>
    </row>
    <row r="7465">
      <c r="A7465">
        <f>IFERROR(INDEX('Email Cleaner'!$B$2:$B$10001,MATCH(7464,'Email Cleaner'!$I$2:$I$10001,0)),"")</f>
        <v/>
      </c>
    </row>
    <row r="7466">
      <c r="A7466">
        <f>IFERROR(INDEX('Email Cleaner'!$B$2:$B$10001,MATCH(7465,'Email Cleaner'!$I$2:$I$10001,0)),"")</f>
        <v/>
      </c>
    </row>
    <row r="7467">
      <c r="A7467">
        <f>IFERROR(INDEX('Email Cleaner'!$B$2:$B$10001,MATCH(7466,'Email Cleaner'!$I$2:$I$10001,0)),"")</f>
        <v/>
      </c>
    </row>
    <row r="7468">
      <c r="A7468">
        <f>IFERROR(INDEX('Email Cleaner'!$B$2:$B$10001,MATCH(7467,'Email Cleaner'!$I$2:$I$10001,0)),"")</f>
        <v/>
      </c>
    </row>
    <row r="7469">
      <c r="A7469">
        <f>IFERROR(INDEX('Email Cleaner'!$B$2:$B$10001,MATCH(7468,'Email Cleaner'!$I$2:$I$10001,0)),"")</f>
        <v/>
      </c>
    </row>
    <row r="7470">
      <c r="A7470">
        <f>IFERROR(INDEX('Email Cleaner'!$B$2:$B$10001,MATCH(7469,'Email Cleaner'!$I$2:$I$10001,0)),"")</f>
        <v/>
      </c>
    </row>
    <row r="7471">
      <c r="A7471">
        <f>IFERROR(INDEX('Email Cleaner'!$B$2:$B$10001,MATCH(7470,'Email Cleaner'!$I$2:$I$10001,0)),"")</f>
        <v/>
      </c>
    </row>
    <row r="7472">
      <c r="A7472">
        <f>IFERROR(INDEX('Email Cleaner'!$B$2:$B$10001,MATCH(7471,'Email Cleaner'!$I$2:$I$10001,0)),"")</f>
        <v/>
      </c>
    </row>
    <row r="7473">
      <c r="A7473">
        <f>IFERROR(INDEX('Email Cleaner'!$B$2:$B$10001,MATCH(7472,'Email Cleaner'!$I$2:$I$10001,0)),"")</f>
        <v/>
      </c>
    </row>
    <row r="7474">
      <c r="A7474">
        <f>IFERROR(INDEX('Email Cleaner'!$B$2:$B$10001,MATCH(7473,'Email Cleaner'!$I$2:$I$10001,0)),"")</f>
        <v/>
      </c>
    </row>
    <row r="7475">
      <c r="A7475">
        <f>IFERROR(INDEX('Email Cleaner'!$B$2:$B$10001,MATCH(7474,'Email Cleaner'!$I$2:$I$10001,0)),"")</f>
        <v/>
      </c>
    </row>
    <row r="7476">
      <c r="A7476">
        <f>IFERROR(INDEX('Email Cleaner'!$B$2:$B$10001,MATCH(7475,'Email Cleaner'!$I$2:$I$10001,0)),"")</f>
        <v/>
      </c>
    </row>
    <row r="7477">
      <c r="A7477">
        <f>IFERROR(INDEX('Email Cleaner'!$B$2:$B$10001,MATCH(7476,'Email Cleaner'!$I$2:$I$10001,0)),"")</f>
        <v/>
      </c>
    </row>
    <row r="7478">
      <c r="A7478">
        <f>IFERROR(INDEX('Email Cleaner'!$B$2:$B$10001,MATCH(7477,'Email Cleaner'!$I$2:$I$10001,0)),"")</f>
        <v/>
      </c>
    </row>
    <row r="7479">
      <c r="A7479">
        <f>IFERROR(INDEX('Email Cleaner'!$B$2:$B$10001,MATCH(7478,'Email Cleaner'!$I$2:$I$10001,0)),"")</f>
        <v/>
      </c>
    </row>
    <row r="7480">
      <c r="A7480">
        <f>IFERROR(INDEX('Email Cleaner'!$B$2:$B$10001,MATCH(7479,'Email Cleaner'!$I$2:$I$10001,0)),"")</f>
        <v/>
      </c>
    </row>
    <row r="7481">
      <c r="A7481">
        <f>IFERROR(INDEX('Email Cleaner'!$B$2:$B$10001,MATCH(7480,'Email Cleaner'!$I$2:$I$10001,0)),"")</f>
        <v/>
      </c>
    </row>
    <row r="7482">
      <c r="A7482">
        <f>IFERROR(INDEX('Email Cleaner'!$B$2:$B$10001,MATCH(7481,'Email Cleaner'!$I$2:$I$10001,0)),"")</f>
        <v/>
      </c>
    </row>
    <row r="7483">
      <c r="A7483">
        <f>IFERROR(INDEX('Email Cleaner'!$B$2:$B$10001,MATCH(7482,'Email Cleaner'!$I$2:$I$10001,0)),"")</f>
        <v/>
      </c>
    </row>
    <row r="7484">
      <c r="A7484">
        <f>IFERROR(INDEX('Email Cleaner'!$B$2:$B$10001,MATCH(7483,'Email Cleaner'!$I$2:$I$10001,0)),"")</f>
        <v/>
      </c>
    </row>
    <row r="7485">
      <c r="A7485">
        <f>IFERROR(INDEX('Email Cleaner'!$B$2:$B$10001,MATCH(7484,'Email Cleaner'!$I$2:$I$10001,0)),"")</f>
        <v/>
      </c>
    </row>
    <row r="7486">
      <c r="A7486">
        <f>IFERROR(INDEX('Email Cleaner'!$B$2:$B$10001,MATCH(7485,'Email Cleaner'!$I$2:$I$10001,0)),"")</f>
        <v/>
      </c>
    </row>
    <row r="7487">
      <c r="A7487">
        <f>IFERROR(INDEX('Email Cleaner'!$B$2:$B$10001,MATCH(7486,'Email Cleaner'!$I$2:$I$10001,0)),"")</f>
        <v/>
      </c>
    </row>
    <row r="7488">
      <c r="A7488">
        <f>IFERROR(INDEX('Email Cleaner'!$B$2:$B$10001,MATCH(7487,'Email Cleaner'!$I$2:$I$10001,0)),"")</f>
        <v/>
      </c>
    </row>
    <row r="7489">
      <c r="A7489">
        <f>IFERROR(INDEX('Email Cleaner'!$B$2:$B$10001,MATCH(7488,'Email Cleaner'!$I$2:$I$10001,0)),"")</f>
        <v/>
      </c>
    </row>
    <row r="7490">
      <c r="A7490">
        <f>IFERROR(INDEX('Email Cleaner'!$B$2:$B$10001,MATCH(7489,'Email Cleaner'!$I$2:$I$10001,0)),"")</f>
        <v/>
      </c>
    </row>
    <row r="7491">
      <c r="A7491">
        <f>IFERROR(INDEX('Email Cleaner'!$B$2:$B$10001,MATCH(7490,'Email Cleaner'!$I$2:$I$10001,0)),"")</f>
        <v/>
      </c>
    </row>
    <row r="7492">
      <c r="A7492">
        <f>IFERROR(INDEX('Email Cleaner'!$B$2:$B$10001,MATCH(7491,'Email Cleaner'!$I$2:$I$10001,0)),"")</f>
        <v/>
      </c>
    </row>
    <row r="7493">
      <c r="A7493">
        <f>IFERROR(INDEX('Email Cleaner'!$B$2:$B$10001,MATCH(7492,'Email Cleaner'!$I$2:$I$10001,0)),"")</f>
        <v/>
      </c>
    </row>
    <row r="7494">
      <c r="A7494">
        <f>IFERROR(INDEX('Email Cleaner'!$B$2:$B$10001,MATCH(7493,'Email Cleaner'!$I$2:$I$10001,0)),"")</f>
        <v/>
      </c>
    </row>
    <row r="7495">
      <c r="A7495">
        <f>IFERROR(INDEX('Email Cleaner'!$B$2:$B$10001,MATCH(7494,'Email Cleaner'!$I$2:$I$10001,0)),"")</f>
        <v/>
      </c>
    </row>
    <row r="7496">
      <c r="A7496">
        <f>IFERROR(INDEX('Email Cleaner'!$B$2:$B$10001,MATCH(7495,'Email Cleaner'!$I$2:$I$10001,0)),"")</f>
        <v/>
      </c>
    </row>
    <row r="7497">
      <c r="A7497">
        <f>IFERROR(INDEX('Email Cleaner'!$B$2:$B$10001,MATCH(7496,'Email Cleaner'!$I$2:$I$10001,0)),"")</f>
        <v/>
      </c>
    </row>
    <row r="7498">
      <c r="A7498">
        <f>IFERROR(INDEX('Email Cleaner'!$B$2:$B$10001,MATCH(7497,'Email Cleaner'!$I$2:$I$10001,0)),"")</f>
        <v/>
      </c>
    </row>
    <row r="7499">
      <c r="A7499">
        <f>IFERROR(INDEX('Email Cleaner'!$B$2:$B$10001,MATCH(7498,'Email Cleaner'!$I$2:$I$10001,0)),"")</f>
        <v/>
      </c>
    </row>
    <row r="7500">
      <c r="A7500">
        <f>IFERROR(INDEX('Email Cleaner'!$B$2:$B$10001,MATCH(7499,'Email Cleaner'!$I$2:$I$10001,0)),"")</f>
        <v/>
      </c>
    </row>
    <row r="7501">
      <c r="A7501">
        <f>IFERROR(INDEX('Email Cleaner'!$B$2:$B$10001,MATCH(7500,'Email Cleaner'!$I$2:$I$10001,0)),"")</f>
        <v/>
      </c>
    </row>
    <row r="7502">
      <c r="A7502">
        <f>IFERROR(INDEX('Email Cleaner'!$B$2:$B$10001,MATCH(7501,'Email Cleaner'!$I$2:$I$10001,0)),"")</f>
        <v/>
      </c>
    </row>
    <row r="7503">
      <c r="A7503">
        <f>IFERROR(INDEX('Email Cleaner'!$B$2:$B$10001,MATCH(7502,'Email Cleaner'!$I$2:$I$10001,0)),"")</f>
        <v/>
      </c>
    </row>
    <row r="7504">
      <c r="A7504">
        <f>IFERROR(INDEX('Email Cleaner'!$B$2:$B$10001,MATCH(7503,'Email Cleaner'!$I$2:$I$10001,0)),"")</f>
        <v/>
      </c>
    </row>
    <row r="7505">
      <c r="A7505">
        <f>IFERROR(INDEX('Email Cleaner'!$B$2:$B$10001,MATCH(7504,'Email Cleaner'!$I$2:$I$10001,0)),"")</f>
        <v/>
      </c>
    </row>
    <row r="7506">
      <c r="A7506">
        <f>IFERROR(INDEX('Email Cleaner'!$B$2:$B$10001,MATCH(7505,'Email Cleaner'!$I$2:$I$10001,0)),"")</f>
        <v/>
      </c>
    </row>
    <row r="7507">
      <c r="A7507">
        <f>IFERROR(INDEX('Email Cleaner'!$B$2:$B$10001,MATCH(7506,'Email Cleaner'!$I$2:$I$10001,0)),"")</f>
        <v/>
      </c>
    </row>
    <row r="7508">
      <c r="A7508">
        <f>IFERROR(INDEX('Email Cleaner'!$B$2:$B$10001,MATCH(7507,'Email Cleaner'!$I$2:$I$10001,0)),"")</f>
        <v/>
      </c>
    </row>
    <row r="7509">
      <c r="A7509">
        <f>IFERROR(INDEX('Email Cleaner'!$B$2:$B$10001,MATCH(7508,'Email Cleaner'!$I$2:$I$10001,0)),"")</f>
        <v/>
      </c>
    </row>
    <row r="7510">
      <c r="A7510">
        <f>IFERROR(INDEX('Email Cleaner'!$B$2:$B$10001,MATCH(7509,'Email Cleaner'!$I$2:$I$10001,0)),"")</f>
        <v/>
      </c>
    </row>
    <row r="7511">
      <c r="A7511">
        <f>IFERROR(INDEX('Email Cleaner'!$B$2:$B$10001,MATCH(7510,'Email Cleaner'!$I$2:$I$10001,0)),"")</f>
        <v/>
      </c>
    </row>
    <row r="7512">
      <c r="A7512">
        <f>IFERROR(INDEX('Email Cleaner'!$B$2:$B$10001,MATCH(7511,'Email Cleaner'!$I$2:$I$10001,0)),"")</f>
        <v/>
      </c>
    </row>
    <row r="7513">
      <c r="A7513">
        <f>IFERROR(INDEX('Email Cleaner'!$B$2:$B$10001,MATCH(7512,'Email Cleaner'!$I$2:$I$10001,0)),"")</f>
        <v/>
      </c>
    </row>
    <row r="7514">
      <c r="A7514">
        <f>IFERROR(INDEX('Email Cleaner'!$B$2:$B$10001,MATCH(7513,'Email Cleaner'!$I$2:$I$10001,0)),"")</f>
        <v/>
      </c>
    </row>
    <row r="7515">
      <c r="A7515">
        <f>IFERROR(INDEX('Email Cleaner'!$B$2:$B$10001,MATCH(7514,'Email Cleaner'!$I$2:$I$10001,0)),"")</f>
        <v/>
      </c>
    </row>
    <row r="7516">
      <c r="A7516">
        <f>IFERROR(INDEX('Email Cleaner'!$B$2:$B$10001,MATCH(7515,'Email Cleaner'!$I$2:$I$10001,0)),"")</f>
        <v/>
      </c>
    </row>
    <row r="7517">
      <c r="A7517">
        <f>IFERROR(INDEX('Email Cleaner'!$B$2:$B$10001,MATCH(7516,'Email Cleaner'!$I$2:$I$10001,0)),"")</f>
        <v/>
      </c>
    </row>
    <row r="7518">
      <c r="A7518">
        <f>IFERROR(INDEX('Email Cleaner'!$B$2:$B$10001,MATCH(7517,'Email Cleaner'!$I$2:$I$10001,0)),"")</f>
        <v/>
      </c>
    </row>
    <row r="7519">
      <c r="A7519">
        <f>IFERROR(INDEX('Email Cleaner'!$B$2:$B$10001,MATCH(7518,'Email Cleaner'!$I$2:$I$10001,0)),"")</f>
        <v/>
      </c>
    </row>
    <row r="7520">
      <c r="A7520">
        <f>IFERROR(INDEX('Email Cleaner'!$B$2:$B$10001,MATCH(7519,'Email Cleaner'!$I$2:$I$10001,0)),"")</f>
        <v/>
      </c>
    </row>
    <row r="7521">
      <c r="A7521">
        <f>IFERROR(INDEX('Email Cleaner'!$B$2:$B$10001,MATCH(7520,'Email Cleaner'!$I$2:$I$10001,0)),"")</f>
        <v/>
      </c>
    </row>
    <row r="7522">
      <c r="A7522">
        <f>IFERROR(INDEX('Email Cleaner'!$B$2:$B$10001,MATCH(7521,'Email Cleaner'!$I$2:$I$10001,0)),"")</f>
        <v/>
      </c>
    </row>
    <row r="7523">
      <c r="A7523">
        <f>IFERROR(INDEX('Email Cleaner'!$B$2:$B$10001,MATCH(7522,'Email Cleaner'!$I$2:$I$10001,0)),"")</f>
        <v/>
      </c>
    </row>
    <row r="7524">
      <c r="A7524">
        <f>IFERROR(INDEX('Email Cleaner'!$B$2:$B$10001,MATCH(7523,'Email Cleaner'!$I$2:$I$10001,0)),"")</f>
        <v/>
      </c>
    </row>
    <row r="7525">
      <c r="A7525">
        <f>IFERROR(INDEX('Email Cleaner'!$B$2:$B$10001,MATCH(7524,'Email Cleaner'!$I$2:$I$10001,0)),"")</f>
        <v/>
      </c>
    </row>
    <row r="7526">
      <c r="A7526">
        <f>IFERROR(INDEX('Email Cleaner'!$B$2:$B$10001,MATCH(7525,'Email Cleaner'!$I$2:$I$10001,0)),"")</f>
        <v/>
      </c>
    </row>
    <row r="7527">
      <c r="A7527">
        <f>IFERROR(INDEX('Email Cleaner'!$B$2:$B$10001,MATCH(7526,'Email Cleaner'!$I$2:$I$10001,0)),"")</f>
        <v/>
      </c>
    </row>
    <row r="7528">
      <c r="A7528">
        <f>IFERROR(INDEX('Email Cleaner'!$B$2:$B$10001,MATCH(7527,'Email Cleaner'!$I$2:$I$10001,0)),"")</f>
        <v/>
      </c>
    </row>
    <row r="7529">
      <c r="A7529">
        <f>IFERROR(INDEX('Email Cleaner'!$B$2:$B$10001,MATCH(7528,'Email Cleaner'!$I$2:$I$10001,0)),"")</f>
        <v/>
      </c>
    </row>
    <row r="7530">
      <c r="A7530">
        <f>IFERROR(INDEX('Email Cleaner'!$B$2:$B$10001,MATCH(7529,'Email Cleaner'!$I$2:$I$10001,0)),"")</f>
        <v/>
      </c>
    </row>
    <row r="7531">
      <c r="A7531">
        <f>IFERROR(INDEX('Email Cleaner'!$B$2:$B$10001,MATCH(7530,'Email Cleaner'!$I$2:$I$10001,0)),"")</f>
        <v/>
      </c>
    </row>
    <row r="7532">
      <c r="A7532">
        <f>IFERROR(INDEX('Email Cleaner'!$B$2:$B$10001,MATCH(7531,'Email Cleaner'!$I$2:$I$10001,0)),"")</f>
        <v/>
      </c>
    </row>
    <row r="7533">
      <c r="A7533">
        <f>IFERROR(INDEX('Email Cleaner'!$B$2:$B$10001,MATCH(7532,'Email Cleaner'!$I$2:$I$10001,0)),"")</f>
        <v/>
      </c>
    </row>
    <row r="7534">
      <c r="A7534">
        <f>IFERROR(INDEX('Email Cleaner'!$B$2:$B$10001,MATCH(7533,'Email Cleaner'!$I$2:$I$10001,0)),"")</f>
        <v/>
      </c>
    </row>
    <row r="7535">
      <c r="A7535">
        <f>IFERROR(INDEX('Email Cleaner'!$B$2:$B$10001,MATCH(7534,'Email Cleaner'!$I$2:$I$10001,0)),"")</f>
        <v/>
      </c>
    </row>
    <row r="7536">
      <c r="A7536">
        <f>IFERROR(INDEX('Email Cleaner'!$B$2:$B$10001,MATCH(7535,'Email Cleaner'!$I$2:$I$10001,0)),"")</f>
        <v/>
      </c>
    </row>
    <row r="7537">
      <c r="A7537">
        <f>IFERROR(INDEX('Email Cleaner'!$B$2:$B$10001,MATCH(7536,'Email Cleaner'!$I$2:$I$10001,0)),"")</f>
        <v/>
      </c>
    </row>
    <row r="7538">
      <c r="A7538">
        <f>IFERROR(INDEX('Email Cleaner'!$B$2:$B$10001,MATCH(7537,'Email Cleaner'!$I$2:$I$10001,0)),"")</f>
        <v/>
      </c>
    </row>
    <row r="7539">
      <c r="A7539">
        <f>IFERROR(INDEX('Email Cleaner'!$B$2:$B$10001,MATCH(7538,'Email Cleaner'!$I$2:$I$10001,0)),"")</f>
        <v/>
      </c>
    </row>
    <row r="7540">
      <c r="A7540">
        <f>IFERROR(INDEX('Email Cleaner'!$B$2:$B$10001,MATCH(7539,'Email Cleaner'!$I$2:$I$10001,0)),"")</f>
        <v/>
      </c>
    </row>
    <row r="7541">
      <c r="A7541">
        <f>IFERROR(INDEX('Email Cleaner'!$B$2:$B$10001,MATCH(7540,'Email Cleaner'!$I$2:$I$10001,0)),"")</f>
        <v/>
      </c>
    </row>
    <row r="7542">
      <c r="A7542">
        <f>IFERROR(INDEX('Email Cleaner'!$B$2:$B$10001,MATCH(7541,'Email Cleaner'!$I$2:$I$10001,0)),"")</f>
        <v/>
      </c>
    </row>
    <row r="7543">
      <c r="A7543">
        <f>IFERROR(INDEX('Email Cleaner'!$B$2:$B$10001,MATCH(7542,'Email Cleaner'!$I$2:$I$10001,0)),"")</f>
        <v/>
      </c>
    </row>
    <row r="7544">
      <c r="A7544">
        <f>IFERROR(INDEX('Email Cleaner'!$B$2:$B$10001,MATCH(7543,'Email Cleaner'!$I$2:$I$10001,0)),"")</f>
        <v/>
      </c>
    </row>
    <row r="7545">
      <c r="A7545">
        <f>IFERROR(INDEX('Email Cleaner'!$B$2:$B$10001,MATCH(7544,'Email Cleaner'!$I$2:$I$10001,0)),"")</f>
        <v/>
      </c>
    </row>
    <row r="7546">
      <c r="A7546">
        <f>IFERROR(INDEX('Email Cleaner'!$B$2:$B$10001,MATCH(7545,'Email Cleaner'!$I$2:$I$10001,0)),"")</f>
        <v/>
      </c>
    </row>
    <row r="7547">
      <c r="A7547">
        <f>IFERROR(INDEX('Email Cleaner'!$B$2:$B$10001,MATCH(7546,'Email Cleaner'!$I$2:$I$10001,0)),"")</f>
        <v/>
      </c>
    </row>
    <row r="7548">
      <c r="A7548">
        <f>IFERROR(INDEX('Email Cleaner'!$B$2:$B$10001,MATCH(7547,'Email Cleaner'!$I$2:$I$10001,0)),"")</f>
        <v/>
      </c>
    </row>
    <row r="7549">
      <c r="A7549">
        <f>IFERROR(INDEX('Email Cleaner'!$B$2:$B$10001,MATCH(7548,'Email Cleaner'!$I$2:$I$10001,0)),"")</f>
        <v/>
      </c>
    </row>
    <row r="7550">
      <c r="A7550">
        <f>IFERROR(INDEX('Email Cleaner'!$B$2:$B$10001,MATCH(7549,'Email Cleaner'!$I$2:$I$10001,0)),"")</f>
        <v/>
      </c>
    </row>
    <row r="7551">
      <c r="A7551">
        <f>IFERROR(INDEX('Email Cleaner'!$B$2:$B$10001,MATCH(7550,'Email Cleaner'!$I$2:$I$10001,0)),"")</f>
        <v/>
      </c>
    </row>
    <row r="7552">
      <c r="A7552">
        <f>IFERROR(INDEX('Email Cleaner'!$B$2:$B$10001,MATCH(7551,'Email Cleaner'!$I$2:$I$10001,0)),"")</f>
        <v/>
      </c>
    </row>
    <row r="7553">
      <c r="A7553">
        <f>IFERROR(INDEX('Email Cleaner'!$B$2:$B$10001,MATCH(7552,'Email Cleaner'!$I$2:$I$10001,0)),"")</f>
        <v/>
      </c>
    </row>
    <row r="7554">
      <c r="A7554">
        <f>IFERROR(INDEX('Email Cleaner'!$B$2:$B$10001,MATCH(7553,'Email Cleaner'!$I$2:$I$10001,0)),"")</f>
        <v/>
      </c>
    </row>
    <row r="7555">
      <c r="A7555">
        <f>IFERROR(INDEX('Email Cleaner'!$B$2:$B$10001,MATCH(7554,'Email Cleaner'!$I$2:$I$10001,0)),"")</f>
        <v/>
      </c>
    </row>
    <row r="7556">
      <c r="A7556">
        <f>IFERROR(INDEX('Email Cleaner'!$B$2:$B$10001,MATCH(7555,'Email Cleaner'!$I$2:$I$10001,0)),"")</f>
        <v/>
      </c>
    </row>
    <row r="7557">
      <c r="A7557">
        <f>IFERROR(INDEX('Email Cleaner'!$B$2:$B$10001,MATCH(7556,'Email Cleaner'!$I$2:$I$10001,0)),"")</f>
        <v/>
      </c>
    </row>
    <row r="7558">
      <c r="A7558">
        <f>IFERROR(INDEX('Email Cleaner'!$B$2:$B$10001,MATCH(7557,'Email Cleaner'!$I$2:$I$10001,0)),"")</f>
        <v/>
      </c>
    </row>
    <row r="7559">
      <c r="A7559">
        <f>IFERROR(INDEX('Email Cleaner'!$B$2:$B$10001,MATCH(7558,'Email Cleaner'!$I$2:$I$10001,0)),"")</f>
        <v/>
      </c>
    </row>
    <row r="7560">
      <c r="A7560">
        <f>IFERROR(INDEX('Email Cleaner'!$B$2:$B$10001,MATCH(7559,'Email Cleaner'!$I$2:$I$10001,0)),"")</f>
        <v/>
      </c>
    </row>
    <row r="7561">
      <c r="A7561">
        <f>IFERROR(INDEX('Email Cleaner'!$B$2:$B$10001,MATCH(7560,'Email Cleaner'!$I$2:$I$10001,0)),"")</f>
        <v/>
      </c>
    </row>
    <row r="7562">
      <c r="A7562">
        <f>IFERROR(INDEX('Email Cleaner'!$B$2:$B$10001,MATCH(7561,'Email Cleaner'!$I$2:$I$10001,0)),"")</f>
        <v/>
      </c>
    </row>
    <row r="7563">
      <c r="A7563">
        <f>IFERROR(INDEX('Email Cleaner'!$B$2:$B$10001,MATCH(7562,'Email Cleaner'!$I$2:$I$10001,0)),"")</f>
        <v/>
      </c>
    </row>
    <row r="7564">
      <c r="A7564">
        <f>IFERROR(INDEX('Email Cleaner'!$B$2:$B$10001,MATCH(7563,'Email Cleaner'!$I$2:$I$10001,0)),"")</f>
        <v/>
      </c>
    </row>
    <row r="7565">
      <c r="A7565">
        <f>IFERROR(INDEX('Email Cleaner'!$B$2:$B$10001,MATCH(7564,'Email Cleaner'!$I$2:$I$10001,0)),"")</f>
        <v/>
      </c>
    </row>
    <row r="7566">
      <c r="A7566">
        <f>IFERROR(INDEX('Email Cleaner'!$B$2:$B$10001,MATCH(7565,'Email Cleaner'!$I$2:$I$10001,0)),"")</f>
        <v/>
      </c>
    </row>
    <row r="7567">
      <c r="A7567">
        <f>IFERROR(INDEX('Email Cleaner'!$B$2:$B$10001,MATCH(7566,'Email Cleaner'!$I$2:$I$10001,0)),"")</f>
        <v/>
      </c>
    </row>
    <row r="7568">
      <c r="A7568">
        <f>IFERROR(INDEX('Email Cleaner'!$B$2:$B$10001,MATCH(7567,'Email Cleaner'!$I$2:$I$10001,0)),"")</f>
        <v/>
      </c>
    </row>
    <row r="7569">
      <c r="A7569">
        <f>IFERROR(INDEX('Email Cleaner'!$B$2:$B$10001,MATCH(7568,'Email Cleaner'!$I$2:$I$10001,0)),"")</f>
        <v/>
      </c>
    </row>
    <row r="7570">
      <c r="A7570">
        <f>IFERROR(INDEX('Email Cleaner'!$B$2:$B$10001,MATCH(7569,'Email Cleaner'!$I$2:$I$10001,0)),"")</f>
        <v/>
      </c>
    </row>
    <row r="7571">
      <c r="A7571">
        <f>IFERROR(INDEX('Email Cleaner'!$B$2:$B$10001,MATCH(7570,'Email Cleaner'!$I$2:$I$10001,0)),"")</f>
        <v/>
      </c>
    </row>
    <row r="7572">
      <c r="A7572">
        <f>IFERROR(INDEX('Email Cleaner'!$B$2:$B$10001,MATCH(7571,'Email Cleaner'!$I$2:$I$10001,0)),"")</f>
        <v/>
      </c>
    </row>
    <row r="7573">
      <c r="A7573">
        <f>IFERROR(INDEX('Email Cleaner'!$B$2:$B$10001,MATCH(7572,'Email Cleaner'!$I$2:$I$10001,0)),"")</f>
        <v/>
      </c>
    </row>
    <row r="7574">
      <c r="A7574">
        <f>IFERROR(INDEX('Email Cleaner'!$B$2:$B$10001,MATCH(7573,'Email Cleaner'!$I$2:$I$10001,0)),"")</f>
        <v/>
      </c>
    </row>
    <row r="7575">
      <c r="A7575">
        <f>IFERROR(INDEX('Email Cleaner'!$B$2:$B$10001,MATCH(7574,'Email Cleaner'!$I$2:$I$10001,0)),"")</f>
        <v/>
      </c>
    </row>
    <row r="7576">
      <c r="A7576">
        <f>IFERROR(INDEX('Email Cleaner'!$B$2:$B$10001,MATCH(7575,'Email Cleaner'!$I$2:$I$10001,0)),"")</f>
        <v/>
      </c>
    </row>
    <row r="7577">
      <c r="A7577">
        <f>IFERROR(INDEX('Email Cleaner'!$B$2:$B$10001,MATCH(7576,'Email Cleaner'!$I$2:$I$10001,0)),"")</f>
        <v/>
      </c>
    </row>
    <row r="7578">
      <c r="A7578">
        <f>IFERROR(INDEX('Email Cleaner'!$B$2:$B$10001,MATCH(7577,'Email Cleaner'!$I$2:$I$10001,0)),"")</f>
        <v/>
      </c>
    </row>
    <row r="7579">
      <c r="A7579">
        <f>IFERROR(INDEX('Email Cleaner'!$B$2:$B$10001,MATCH(7578,'Email Cleaner'!$I$2:$I$10001,0)),"")</f>
        <v/>
      </c>
    </row>
    <row r="7580">
      <c r="A7580">
        <f>IFERROR(INDEX('Email Cleaner'!$B$2:$B$10001,MATCH(7579,'Email Cleaner'!$I$2:$I$10001,0)),"")</f>
        <v/>
      </c>
    </row>
    <row r="7581">
      <c r="A7581">
        <f>IFERROR(INDEX('Email Cleaner'!$B$2:$B$10001,MATCH(7580,'Email Cleaner'!$I$2:$I$10001,0)),"")</f>
        <v/>
      </c>
    </row>
    <row r="7582">
      <c r="A7582">
        <f>IFERROR(INDEX('Email Cleaner'!$B$2:$B$10001,MATCH(7581,'Email Cleaner'!$I$2:$I$10001,0)),"")</f>
        <v/>
      </c>
    </row>
    <row r="7583">
      <c r="A7583">
        <f>IFERROR(INDEX('Email Cleaner'!$B$2:$B$10001,MATCH(7582,'Email Cleaner'!$I$2:$I$10001,0)),"")</f>
        <v/>
      </c>
    </row>
    <row r="7584">
      <c r="A7584">
        <f>IFERROR(INDEX('Email Cleaner'!$B$2:$B$10001,MATCH(7583,'Email Cleaner'!$I$2:$I$10001,0)),"")</f>
        <v/>
      </c>
    </row>
    <row r="7585">
      <c r="A7585">
        <f>IFERROR(INDEX('Email Cleaner'!$B$2:$B$10001,MATCH(7584,'Email Cleaner'!$I$2:$I$10001,0)),"")</f>
        <v/>
      </c>
    </row>
    <row r="7586">
      <c r="A7586">
        <f>IFERROR(INDEX('Email Cleaner'!$B$2:$B$10001,MATCH(7585,'Email Cleaner'!$I$2:$I$10001,0)),"")</f>
        <v/>
      </c>
    </row>
    <row r="7587">
      <c r="A7587">
        <f>IFERROR(INDEX('Email Cleaner'!$B$2:$B$10001,MATCH(7586,'Email Cleaner'!$I$2:$I$10001,0)),"")</f>
        <v/>
      </c>
    </row>
    <row r="7588">
      <c r="A7588">
        <f>IFERROR(INDEX('Email Cleaner'!$B$2:$B$10001,MATCH(7587,'Email Cleaner'!$I$2:$I$10001,0)),"")</f>
        <v/>
      </c>
    </row>
    <row r="7589">
      <c r="A7589">
        <f>IFERROR(INDEX('Email Cleaner'!$B$2:$B$10001,MATCH(7588,'Email Cleaner'!$I$2:$I$10001,0)),"")</f>
        <v/>
      </c>
    </row>
    <row r="7590">
      <c r="A7590">
        <f>IFERROR(INDEX('Email Cleaner'!$B$2:$B$10001,MATCH(7589,'Email Cleaner'!$I$2:$I$10001,0)),"")</f>
        <v/>
      </c>
    </row>
    <row r="7591">
      <c r="A7591">
        <f>IFERROR(INDEX('Email Cleaner'!$B$2:$B$10001,MATCH(7590,'Email Cleaner'!$I$2:$I$10001,0)),"")</f>
        <v/>
      </c>
    </row>
    <row r="7592">
      <c r="A7592">
        <f>IFERROR(INDEX('Email Cleaner'!$B$2:$B$10001,MATCH(7591,'Email Cleaner'!$I$2:$I$10001,0)),"")</f>
        <v/>
      </c>
    </row>
    <row r="7593">
      <c r="A7593">
        <f>IFERROR(INDEX('Email Cleaner'!$B$2:$B$10001,MATCH(7592,'Email Cleaner'!$I$2:$I$10001,0)),"")</f>
        <v/>
      </c>
    </row>
    <row r="7594">
      <c r="A7594">
        <f>IFERROR(INDEX('Email Cleaner'!$B$2:$B$10001,MATCH(7593,'Email Cleaner'!$I$2:$I$10001,0)),"")</f>
        <v/>
      </c>
    </row>
    <row r="7595">
      <c r="A7595">
        <f>IFERROR(INDEX('Email Cleaner'!$B$2:$B$10001,MATCH(7594,'Email Cleaner'!$I$2:$I$10001,0)),"")</f>
        <v/>
      </c>
    </row>
    <row r="7596">
      <c r="A7596">
        <f>IFERROR(INDEX('Email Cleaner'!$B$2:$B$10001,MATCH(7595,'Email Cleaner'!$I$2:$I$10001,0)),"")</f>
        <v/>
      </c>
    </row>
    <row r="7597">
      <c r="A7597">
        <f>IFERROR(INDEX('Email Cleaner'!$B$2:$B$10001,MATCH(7596,'Email Cleaner'!$I$2:$I$10001,0)),"")</f>
        <v/>
      </c>
    </row>
    <row r="7598">
      <c r="A7598">
        <f>IFERROR(INDEX('Email Cleaner'!$B$2:$B$10001,MATCH(7597,'Email Cleaner'!$I$2:$I$10001,0)),"")</f>
        <v/>
      </c>
    </row>
    <row r="7599">
      <c r="A7599">
        <f>IFERROR(INDEX('Email Cleaner'!$B$2:$B$10001,MATCH(7598,'Email Cleaner'!$I$2:$I$10001,0)),"")</f>
        <v/>
      </c>
    </row>
    <row r="7600">
      <c r="A7600">
        <f>IFERROR(INDEX('Email Cleaner'!$B$2:$B$10001,MATCH(7599,'Email Cleaner'!$I$2:$I$10001,0)),"")</f>
        <v/>
      </c>
    </row>
    <row r="7601">
      <c r="A7601">
        <f>IFERROR(INDEX('Email Cleaner'!$B$2:$B$10001,MATCH(7600,'Email Cleaner'!$I$2:$I$10001,0)),"")</f>
        <v/>
      </c>
    </row>
    <row r="7602">
      <c r="A7602">
        <f>IFERROR(INDEX('Email Cleaner'!$B$2:$B$10001,MATCH(7601,'Email Cleaner'!$I$2:$I$10001,0)),"")</f>
        <v/>
      </c>
    </row>
    <row r="7603">
      <c r="A7603">
        <f>IFERROR(INDEX('Email Cleaner'!$B$2:$B$10001,MATCH(7602,'Email Cleaner'!$I$2:$I$10001,0)),"")</f>
        <v/>
      </c>
    </row>
    <row r="7604">
      <c r="A7604">
        <f>IFERROR(INDEX('Email Cleaner'!$B$2:$B$10001,MATCH(7603,'Email Cleaner'!$I$2:$I$10001,0)),"")</f>
        <v/>
      </c>
    </row>
    <row r="7605">
      <c r="A7605">
        <f>IFERROR(INDEX('Email Cleaner'!$B$2:$B$10001,MATCH(7604,'Email Cleaner'!$I$2:$I$10001,0)),"")</f>
        <v/>
      </c>
    </row>
    <row r="7606">
      <c r="A7606">
        <f>IFERROR(INDEX('Email Cleaner'!$B$2:$B$10001,MATCH(7605,'Email Cleaner'!$I$2:$I$10001,0)),"")</f>
        <v/>
      </c>
    </row>
    <row r="7607">
      <c r="A7607">
        <f>IFERROR(INDEX('Email Cleaner'!$B$2:$B$10001,MATCH(7606,'Email Cleaner'!$I$2:$I$10001,0)),"")</f>
        <v/>
      </c>
    </row>
    <row r="7608">
      <c r="A7608">
        <f>IFERROR(INDEX('Email Cleaner'!$B$2:$B$10001,MATCH(7607,'Email Cleaner'!$I$2:$I$10001,0)),"")</f>
        <v/>
      </c>
    </row>
    <row r="7609">
      <c r="A7609">
        <f>IFERROR(INDEX('Email Cleaner'!$B$2:$B$10001,MATCH(7608,'Email Cleaner'!$I$2:$I$10001,0)),"")</f>
        <v/>
      </c>
    </row>
    <row r="7610">
      <c r="A7610">
        <f>IFERROR(INDEX('Email Cleaner'!$B$2:$B$10001,MATCH(7609,'Email Cleaner'!$I$2:$I$10001,0)),"")</f>
        <v/>
      </c>
    </row>
    <row r="7611">
      <c r="A7611">
        <f>IFERROR(INDEX('Email Cleaner'!$B$2:$B$10001,MATCH(7610,'Email Cleaner'!$I$2:$I$10001,0)),"")</f>
        <v/>
      </c>
    </row>
    <row r="7612">
      <c r="A7612">
        <f>IFERROR(INDEX('Email Cleaner'!$B$2:$B$10001,MATCH(7611,'Email Cleaner'!$I$2:$I$10001,0)),"")</f>
        <v/>
      </c>
    </row>
    <row r="7613">
      <c r="A7613">
        <f>IFERROR(INDEX('Email Cleaner'!$B$2:$B$10001,MATCH(7612,'Email Cleaner'!$I$2:$I$10001,0)),"")</f>
        <v/>
      </c>
    </row>
    <row r="7614">
      <c r="A7614">
        <f>IFERROR(INDEX('Email Cleaner'!$B$2:$B$10001,MATCH(7613,'Email Cleaner'!$I$2:$I$10001,0)),"")</f>
        <v/>
      </c>
    </row>
    <row r="7615">
      <c r="A7615">
        <f>IFERROR(INDEX('Email Cleaner'!$B$2:$B$10001,MATCH(7614,'Email Cleaner'!$I$2:$I$10001,0)),"")</f>
        <v/>
      </c>
    </row>
    <row r="7616">
      <c r="A7616">
        <f>IFERROR(INDEX('Email Cleaner'!$B$2:$B$10001,MATCH(7615,'Email Cleaner'!$I$2:$I$10001,0)),"")</f>
        <v/>
      </c>
    </row>
    <row r="7617">
      <c r="A7617">
        <f>IFERROR(INDEX('Email Cleaner'!$B$2:$B$10001,MATCH(7616,'Email Cleaner'!$I$2:$I$10001,0)),"")</f>
        <v/>
      </c>
    </row>
    <row r="7618">
      <c r="A7618">
        <f>IFERROR(INDEX('Email Cleaner'!$B$2:$B$10001,MATCH(7617,'Email Cleaner'!$I$2:$I$10001,0)),"")</f>
        <v/>
      </c>
    </row>
    <row r="7619">
      <c r="A7619">
        <f>IFERROR(INDEX('Email Cleaner'!$B$2:$B$10001,MATCH(7618,'Email Cleaner'!$I$2:$I$10001,0)),"")</f>
        <v/>
      </c>
    </row>
    <row r="7620">
      <c r="A7620">
        <f>IFERROR(INDEX('Email Cleaner'!$B$2:$B$10001,MATCH(7619,'Email Cleaner'!$I$2:$I$10001,0)),"")</f>
        <v/>
      </c>
    </row>
    <row r="7621">
      <c r="A7621">
        <f>IFERROR(INDEX('Email Cleaner'!$B$2:$B$10001,MATCH(7620,'Email Cleaner'!$I$2:$I$10001,0)),"")</f>
        <v/>
      </c>
    </row>
    <row r="7622">
      <c r="A7622">
        <f>IFERROR(INDEX('Email Cleaner'!$B$2:$B$10001,MATCH(7621,'Email Cleaner'!$I$2:$I$10001,0)),"")</f>
        <v/>
      </c>
    </row>
    <row r="7623">
      <c r="A7623">
        <f>IFERROR(INDEX('Email Cleaner'!$B$2:$B$10001,MATCH(7622,'Email Cleaner'!$I$2:$I$10001,0)),"")</f>
        <v/>
      </c>
    </row>
    <row r="7624">
      <c r="A7624">
        <f>IFERROR(INDEX('Email Cleaner'!$B$2:$B$10001,MATCH(7623,'Email Cleaner'!$I$2:$I$10001,0)),"")</f>
        <v/>
      </c>
    </row>
    <row r="7625">
      <c r="A7625">
        <f>IFERROR(INDEX('Email Cleaner'!$B$2:$B$10001,MATCH(7624,'Email Cleaner'!$I$2:$I$10001,0)),"")</f>
        <v/>
      </c>
    </row>
    <row r="7626">
      <c r="A7626">
        <f>IFERROR(INDEX('Email Cleaner'!$B$2:$B$10001,MATCH(7625,'Email Cleaner'!$I$2:$I$10001,0)),"")</f>
        <v/>
      </c>
    </row>
    <row r="7627">
      <c r="A7627">
        <f>IFERROR(INDEX('Email Cleaner'!$B$2:$B$10001,MATCH(7626,'Email Cleaner'!$I$2:$I$10001,0)),"")</f>
        <v/>
      </c>
    </row>
    <row r="7628">
      <c r="A7628">
        <f>IFERROR(INDEX('Email Cleaner'!$B$2:$B$10001,MATCH(7627,'Email Cleaner'!$I$2:$I$10001,0)),"")</f>
        <v/>
      </c>
    </row>
    <row r="7629">
      <c r="A7629">
        <f>IFERROR(INDEX('Email Cleaner'!$B$2:$B$10001,MATCH(7628,'Email Cleaner'!$I$2:$I$10001,0)),"")</f>
        <v/>
      </c>
    </row>
    <row r="7630">
      <c r="A7630">
        <f>IFERROR(INDEX('Email Cleaner'!$B$2:$B$10001,MATCH(7629,'Email Cleaner'!$I$2:$I$10001,0)),"")</f>
        <v/>
      </c>
    </row>
    <row r="7631">
      <c r="A7631">
        <f>IFERROR(INDEX('Email Cleaner'!$B$2:$B$10001,MATCH(7630,'Email Cleaner'!$I$2:$I$10001,0)),"")</f>
        <v/>
      </c>
    </row>
    <row r="7632">
      <c r="A7632">
        <f>IFERROR(INDEX('Email Cleaner'!$B$2:$B$10001,MATCH(7631,'Email Cleaner'!$I$2:$I$10001,0)),"")</f>
        <v/>
      </c>
    </row>
    <row r="7633">
      <c r="A7633">
        <f>IFERROR(INDEX('Email Cleaner'!$B$2:$B$10001,MATCH(7632,'Email Cleaner'!$I$2:$I$10001,0)),"")</f>
        <v/>
      </c>
    </row>
    <row r="7634">
      <c r="A7634">
        <f>IFERROR(INDEX('Email Cleaner'!$B$2:$B$10001,MATCH(7633,'Email Cleaner'!$I$2:$I$10001,0)),"")</f>
        <v/>
      </c>
    </row>
    <row r="7635">
      <c r="A7635">
        <f>IFERROR(INDEX('Email Cleaner'!$B$2:$B$10001,MATCH(7634,'Email Cleaner'!$I$2:$I$10001,0)),"")</f>
        <v/>
      </c>
    </row>
    <row r="7636">
      <c r="A7636">
        <f>IFERROR(INDEX('Email Cleaner'!$B$2:$B$10001,MATCH(7635,'Email Cleaner'!$I$2:$I$10001,0)),"")</f>
        <v/>
      </c>
    </row>
    <row r="7637">
      <c r="A7637">
        <f>IFERROR(INDEX('Email Cleaner'!$B$2:$B$10001,MATCH(7636,'Email Cleaner'!$I$2:$I$10001,0)),"")</f>
        <v/>
      </c>
    </row>
    <row r="7638">
      <c r="A7638">
        <f>IFERROR(INDEX('Email Cleaner'!$B$2:$B$10001,MATCH(7637,'Email Cleaner'!$I$2:$I$10001,0)),"")</f>
        <v/>
      </c>
    </row>
    <row r="7639">
      <c r="A7639">
        <f>IFERROR(INDEX('Email Cleaner'!$B$2:$B$10001,MATCH(7638,'Email Cleaner'!$I$2:$I$10001,0)),"")</f>
        <v/>
      </c>
    </row>
    <row r="7640">
      <c r="A7640">
        <f>IFERROR(INDEX('Email Cleaner'!$B$2:$B$10001,MATCH(7639,'Email Cleaner'!$I$2:$I$10001,0)),"")</f>
        <v/>
      </c>
    </row>
    <row r="7641">
      <c r="A7641">
        <f>IFERROR(INDEX('Email Cleaner'!$B$2:$B$10001,MATCH(7640,'Email Cleaner'!$I$2:$I$10001,0)),"")</f>
        <v/>
      </c>
    </row>
    <row r="7642">
      <c r="A7642">
        <f>IFERROR(INDEX('Email Cleaner'!$B$2:$B$10001,MATCH(7641,'Email Cleaner'!$I$2:$I$10001,0)),"")</f>
        <v/>
      </c>
    </row>
    <row r="7643">
      <c r="A7643">
        <f>IFERROR(INDEX('Email Cleaner'!$B$2:$B$10001,MATCH(7642,'Email Cleaner'!$I$2:$I$10001,0)),"")</f>
        <v/>
      </c>
    </row>
    <row r="7644">
      <c r="A7644">
        <f>IFERROR(INDEX('Email Cleaner'!$B$2:$B$10001,MATCH(7643,'Email Cleaner'!$I$2:$I$10001,0)),"")</f>
        <v/>
      </c>
    </row>
    <row r="7645">
      <c r="A7645">
        <f>IFERROR(INDEX('Email Cleaner'!$B$2:$B$10001,MATCH(7644,'Email Cleaner'!$I$2:$I$10001,0)),"")</f>
        <v/>
      </c>
    </row>
    <row r="7646">
      <c r="A7646">
        <f>IFERROR(INDEX('Email Cleaner'!$B$2:$B$10001,MATCH(7645,'Email Cleaner'!$I$2:$I$10001,0)),"")</f>
        <v/>
      </c>
    </row>
    <row r="7647">
      <c r="A7647">
        <f>IFERROR(INDEX('Email Cleaner'!$B$2:$B$10001,MATCH(7646,'Email Cleaner'!$I$2:$I$10001,0)),"")</f>
        <v/>
      </c>
    </row>
    <row r="7648">
      <c r="A7648">
        <f>IFERROR(INDEX('Email Cleaner'!$B$2:$B$10001,MATCH(7647,'Email Cleaner'!$I$2:$I$10001,0)),"")</f>
        <v/>
      </c>
    </row>
    <row r="7649">
      <c r="A7649">
        <f>IFERROR(INDEX('Email Cleaner'!$B$2:$B$10001,MATCH(7648,'Email Cleaner'!$I$2:$I$10001,0)),"")</f>
        <v/>
      </c>
    </row>
    <row r="7650">
      <c r="A7650">
        <f>IFERROR(INDEX('Email Cleaner'!$B$2:$B$10001,MATCH(7649,'Email Cleaner'!$I$2:$I$10001,0)),"")</f>
        <v/>
      </c>
    </row>
    <row r="7651">
      <c r="A7651">
        <f>IFERROR(INDEX('Email Cleaner'!$B$2:$B$10001,MATCH(7650,'Email Cleaner'!$I$2:$I$10001,0)),"")</f>
        <v/>
      </c>
    </row>
    <row r="7652">
      <c r="A7652">
        <f>IFERROR(INDEX('Email Cleaner'!$B$2:$B$10001,MATCH(7651,'Email Cleaner'!$I$2:$I$10001,0)),"")</f>
        <v/>
      </c>
    </row>
    <row r="7653">
      <c r="A7653">
        <f>IFERROR(INDEX('Email Cleaner'!$B$2:$B$10001,MATCH(7652,'Email Cleaner'!$I$2:$I$10001,0)),"")</f>
        <v/>
      </c>
    </row>
    <row r="7654">
      <c r="A7654">
        <f>IFERROR(INDEX('Email Cleaner'!$B$2:$B$10001,MATCH(7653,'Email Cleaner'!$I$2:$I$10001,0)),"")</f>
        <v/>
      </c>
    </row>
    <row r="7655">
      <c r="A7655">
        <f>IFERROR(INDEX('Email Cleaner'!$B$2:$B$10001,MATCH(7654,'Email Cleaner'!$I$2:$I$10001,0)),"")</f>
        <v/>
      </c>
    </row>
    <row r="7656">
      <c r="A7656">
        <f>IFERROR(INDEX('Email Cleaner'!$B$2:$B$10001,MATCH(7655,'Email Cleaner'!$I$2:$I$10001,0)),"")</f>
        <v/>
      </c>
    </row>
    <row r="7657">
      <c r="A7657">
        <f>IFERROR(INDEX('Email Cleaner'!$B$2:$B$10001,MATCH(7656,'Email Cleaner'!$I$2:$I$10001,0)),"")</f>
        <v/>
      </c>
    </row>
    <row r="7658">
      <c r="A7658">
        <f>IFERROR(INDEX('Email Cleaner'!$B$2:$B$10001,MATCH(7657,'Email Cleaner'!$I$2:$I$10001,0)),"")</f>
        <v/>
      </c>
    </row>
    <row r="7659">
      <c r="A7659">
        <f>IFERROR(INDEX('Email Cleaner'!$B$2:$B$10001,MATCH(7658,'Email Cleaner'!$I$2:$I$10001,0)),"")</f>
        <v/>
      </c>
    </row>
    <row r="7660">
      <c r="A7660">
        <f>IFERROR(INDEX('Email Cleaner'!$B$2:$B$10001,MATCH(7659,'Email Cleaner'!$I$2:$I$10001,0)),"")</f>
        <v/>
      </c>
    </row>
    <row r="7661">
      <c r="A7661">
        <f>IFERROR(INDEX('Email Cleaner'!$B$2:$B$10001,MATCH(7660,'Email Cleaner'!$I$2:$I$10001,0)),"")</f>
        <v/>
      </c>
    </row>
    <row r="7662">
      <c r="A7662">
        <f>IFERROR(INDEX('Email Cleaner'!$B$2:$B$10001,MATCH(7661,'Email Cleaner'!$I$2:$I$10001,0)),"")</f>
        <v/>
      </c>
    </row>
    <row r="7663">
      <c r="A7663">
        <f>IFERROR(INDEX('Email Cleaner'!$B$2:$B$10001,MATCH(7662,'Email Cleaner'!$I$2:$I$10001,0)),"")</f>
        <v/>
      </c>
    </row>
    <row r="7664">
      <c r="A7664">
        <f>IFERROR(INDEX('Email Cleaner'!$B$2:$B$10001,MATCH(7663,'Email Cleaner'!$I$2:$I$10001,0)),"")</f>
        <v/>
      </c>
    </row>
    <row r="7665">
      <c r="A7665">
        <f>IFERROR(INDEX('Email Cleaner'!$B$2:$B$10001,MATCH(7664,'Email Cleaner'!$I$2:$I$10001,0)),"")</f>
        <v/>
      </c>
    </row>
    <row r="7666">
      <c r="A7666">
        <f>IFERROR(INDEX('Email Cleaner'!$B$2:$B$10001,MATCH(7665,'Email Cleaner'!$I$2:$I$10001,0)),"")</f>
        <v/>
      </c>
    </row>
    <row r="7667">
      <c r="A7667">
        <f>IFERROR(INDEX('Email Cleaner'!$B$2:$B$10001,MATCH(7666,'Email Cleaner'!$I$2:$I$10001,0)),"")</f>
        <v/>
      </c>
    </row>
    <row r="7668">
      <c r="A7668">
        <f>IFERROR(INDEX('Email Cleaner'!$B$2:$B$10001,MATCH(7667,'Email Cleaner'!$I$2:$I$10001,0)),"")</f>
        <v/>
      </c>
    </row>
    <row r="7669">
      <c r="A7669">
        <f>IFERROR(INDEX('Email Cleaner'!$B$2:$B$10001,MATCH(7668,'Email Cleaner'!$I$2:$I$10001,0)),"")</f>
        <v/>
      </c>
    </row>
    <row r="7670">
      <c r="A7670">
        <f>IFERROR(INDEX('Email Cleaner'!$B$2:$B$10001,MATCH(7669,'Email Cleaner'!$I$2:$I$10001,0)),"")</f>
        <v/>
      </c>
    </row>
    <row r="7671">
      <c r="A7671">
        <f>IFERROR(INDEX('Email Cleaner'!$B$2:$B$10001,MATCH(7670,'Email Cleaner'!$I$2:$I$10001,0)),"")</f>
        <v/>
      </c>
    </row>
    <row r="7672">
      <c r="A7672">
        <f>IFERROR(INDEX('Email Cleaner'!$B$2:$B$10001,MATCH(7671,'Email Cleaner'!$I$2:$I$10001,0)),"")</f>
        <v/>
      </c>
    </row>
    <row r="7673">
      <c r="A7673">
        <f>IFERROR(INDEX('Email Cleaner'!$B$2:$B$10001,MATCH(7672,'Email Cleaner'!$I$2:$I$10001,0)),"")</f>
        <v/>
      </c>
    </row>
    <row r="7674">
      <c r="A7674">
        <f>IFERROR(INDEX('Email Cleaner'!$B$2:$B$10001,MATCH(7673,'Email Cleaner'!$I$2:$I$10001,0)),"")</f>
        <v/>
      </c>
    </row>
    <row r="7675">
      <c r="A7675">
        <f>IFERROR(INDEX('Email Cleaner'!$B$2:$B$10001,MATCH(7674,'Email Cleaner'!$I$2:$I$10001,0)),"")</f>
        <v/>
      </c>
    </row>
    <row r="7676">
      <c r="A7676">
        <f>IFERROR(INDEX('Email Cleaner'!$B$2:$B$10001,MATCH(7675,'Email Cleaner'!$I$2:$I$10001,0)),"")</f>
        <v/>
      </c>
    </row>
    <row r="7677">
      <c r="A7677">
        <f>IFERROR(INDEX('Email Cleaner'!$B$2:$B$10001,MATCH(7676,'Email Cleaner'!$I$2:$I$10001,0)),"")</f>
        <v/>
      </c>
    </row>
    <row r="7678">
      <c r="A7678">
        <f>IFERROR(INDEX('Email Cleaner'!$B$2:$B$10001,MATCH(7677,'Email Cleaner'!$I$2:$I$10001,0)),"")</f>
        <v/>
      </c>
    </row>
    <row r="7679">
      <c r="A7679">
        <f>IFERROR(INDEX('Email Cleaner'!$B$2:$B$10001,MATCH(7678,'Email Cleaner'!$I$2:$I$10001,0)),"")</f>
        <v/>
      </c>
    </row>
    <row r="7680">
      <c r="A7680">
        <f>IFERROR(INDEX('Email Cleaner'!$B$2:$B$10001,MATCH(7679,'Email Cleaner'!$I$2:$I$10001,0)),"")</f>
        <v/>
      </c>
    </row>
    <row r="7681">
      <c r="A7681">
        <f>IFERROR(INDEX('Email Cleaner'!$B$2:$B$10001,MATCH(7680,'Email Cleaner'!$I$2:$I$10001,0)),"")</f>
        <v/>
      </c>
    </row>
    <row r="7682">
      <c r="A7682">
        <f>IFERROR(INDEX('Email Cleaner'!$B$2:$B$10001,MATCH(7681,'Email Cleaner'!$I$2:$I$10001,0)),"")</f>
        <v/>
      </c>
    </row>
    <row r="7683">
      <c r="A7683">
        <f>IFERROR(INDEX('Email Cleaner'!$B$2:$B$10001,MATCH(7682,'Email Cleaner'!$I$2:$I$10001,0)),"")</f>
        <v/>
      </c>
    </row>
    <row r="7684">
      <c r="A7684">
        <f>IFERROR(INDEX('Email Cleaner'!$B$2:$B$10001,MATCH(7683,'Email Cleaner'!$I$2:$I$10001,0)),"")</f>
        <v/>
      </c>
    </row>
    <row r="7685">
      <c r="A7685">
        <f>IFERROR(INDEX('Email Cleaner'!$B$2:$B$10001,MATCH(7684,'Email Cleaner'!$I$2:$I$10001,0)),"")</f>
        <v/>
      </c>
    </row>
    <row r="7686">
      <c r="A7686">
        <f>IFERROR(INDEX('Email Cleaner'!$B$2:$B$10001,MATCH(7685,'Email Cleaner'!$I$2:$I$10001,0)),"")</f>
        <v/>
      </c>
    </row>
    <row r="7687">
      <c r="A7687">
        <f>IFERROR(INDEX('Email Cleaner'!$B$2:$B$10001,MATCH(7686,'Email Cleaner'!$I$2:$I$10001,0)),"")</f>
        <v/>
      </c>
    </row>
    <row r="7688">
      <c r="A7688">
        <f>IFERROR(INDEX('Email Cleaner'!$B$2:$B$10001,MATCH(7687,'Email Cleaner'!$I$2:$I$10001,0)),"")</f>
        <v/>
      </c>
    </row>
    <row r="7689">
      <c r="A7689">
        <f>IFERROR(INDEX('Email Cleaner'!$B$2:$B$10001,MATCH(7688,'Email Cleaner'!$I$2:$I$10001,0)),"")</f>
        <v/>
      </c>
    </row>
    <row r="7690">
      <c r="A7690">
        <f>IFERROR(INDEX('Email Cleaner'!$B$2:$B$10001,MATCH(7689,'Email Cleaner'!$I$2:$I$10001,0)),"")</f>
        <v/>
      </c>
    </row>
    <row r="7691">
      <c r="A7691">
        <f>IFERROR(INDEX('Email Cleaner'!$B$2:$B$10001,MATCH(7690,'Email Cleaner'!$I$2:$I$10001,0)),"")</f>
        <v/>
      </c>
    </row>
    <row r="7692">
      <c r="A7692">
        <f>IFERROR(INDEX('Email Cleaner'!$B$2:$B$10001,MATCH(7691,'Email Cleaner'!$I$2:$I$10001,0)),"")</f>
        <v/>
      </c>
    </row>
    <row r="7693">
      <c r="A7693">
        <f>IFERROR(INDEX('Email Cleaner'!$B$2:$B$10001,MATCH(7692,'Email Cleaner'!$I$2:$I$10001,0)),"")</f>
        <v/>
      </c>
    </row>
    <row r="7694">
      <c r="A7694">
        <f>IFERROR(INDEX('Email Cleaner'!$B$2:$B$10001,MATCH(7693,'Email Cleaner'!$I$2:$I$10001,0)),"")</f>
        <v/>
      </c>
    </row>
    <row r="7695">
      <c r="A7695">
        <f>IFERROR(INDEX('Email Cleaner'!$B$2:$B$10001,MATCH(7694,'Email Cleaner'!$I$2:$I$10001,0)),"")</f>
        <v/>
      </c>
    </row>
    <row r="7696">
      <c r="A7696">
        <f>IFERROR(INDEX('Email Cleaner'!$B$2:$B$10001,MATCH(7695,'Email Cleaner'!$I$2:$I$10001,0)),"")</f>
        <v/>
      </c>
    </row>
    <row r="7697">
      <c r="A7697">
        <f>IFERROR(INDEX('Email Cleaner'!$B$2:$B$10001,MATCH(7696,'Email Cleaner'!$I$2:$I$10001,0)),"")</f>
        <v/>
      </c>
    </row>
    <row r="7698">
      <c r="A7698">
        <f>IFERROR(INDEX('Email Cleaner'!$B$2:$B$10001,MATCH(7697,'Email Cleaner'!$I$2:$I$10001,0)),"")</f>
        <v/>
      </c>
    </row>
    <row r="7699">
      <c r="A7699">
        <f>IFERROR(INDEX('Email Cleaner'!$B$2:$B$10001,MATCH(7698,'Email Cleaner'!$I$2:$I$10001,0)),"")</f>
        <v/>
      </c>
    </row>
    <row r="7700">
      <c r="A7700">
        <f>IFERROR(INDEX('Email Cleaner'!$B$2:$B$10001,MATCH(7699,'Email Cleaner'!$I$2:$I$10001,0)),"")</f>
        <v/>
      </c>
    </row>
    <row r="7701">
      <c r="A7701">
        <f>IFERROR(INDEX('Email Cleaner'!$B$2:$B$10001,MATCH(7700,'Email Cleaner'!$I$2:$I$10001,0)),"")</f>
        <v/>
      </c>
    </row>
    <row r="7702">
      <c r="A7702">
        <f>IFERROR(INDEX('Email Cleaner'!$B$2:$B$10001,MATCH(7701,'Email Cleaner'!$I$2:$I$10001,0)),"")</f>
        <v/>
      </c>
    </row>
    <row r="7703">
      <c r="A7703">
        <f>IFERROR(INDEX('Email Cleaner'!$B$2:$B$10001,MATCH(7702,'Email Cleaner'!$I$2:$I$10001,0)),"")</f>
        <v/>
      </c>
    </row>
    <row r="7704">
      <c r="A7704">
        <f>IFERROR(INDEX('Email Cleaner'!$B$2:$B$10001,MATCH(7703,'Email Cleaner'!$I$2:$I$10001,0)),"")</f>
        <v/>
      </c>
    </row>
    <row r="7705">
      <c r="A7705">
        <f>IFERROR(INDEX('Email Cleaner'!$B$2:$B$10001,MATCH(7704,'Email Cleaner'!$I$2:$I$10001,0)),"")</f>
        <v/>
      </c>
    </row>
    <row r="7706">
      <c r="A7706">
        <f>IFERROR(INDEX('Email Cleaner'!$B$2:$B$10001,MATCH(7705,'Email Cleaner'!$I$2:$I$10001,0)),"")</f>
        <v/>
      </c>
    </row>
    <row r="7707">
      <c r="A7707">
        <f>IFERROR(INDEX('Email Cleaner'!$B$2:$B$10001,MATCH(7706,'Email Cleaner'!$I$2:$I$10001,0)),"")</f>
        <v/>
      </c>
    </row>
    <row r="7708">
      <c r="A7708">
        <f>IFERROR(INDEX('Email Cleaner'!$B$2:$B$10001,MATCH(7707,'Email Cleaner'!$I$2:$I$10001,0)),"")</f>
        <v/>
      </c>
    </row>
    <row r="7709">
      <c r="A7709">
        <f>IFERROR(INDEX('Email Cleaner'!$B$2:$B$10001,MATCH(7708,'Email Cleaner'!$I$2:$I$10001,0)),"")</f>
        <v/>
      </c>
    </row>
    <row r="7710">
      <c r="A7710">
        <f>IFERROR(INDEX('Email Cleaner'!$B$2:$B$10001,MATCH(7709,'Email Cleaner'!$I$2:$I$10001,0)),"")</f>
        <v/>
      </c>
    </row>
    <row r="7711">
      <c r="A7711">
        <f>IFERROR(INDEX('Email Cleaner'!$B$2:$B$10001,MATCH(7710,'Email Cleaner'!$I$2:$I$10001,0)),"")</f>
        <v/>
      </c>
    </row>
    <row r="7712">
      <c r="A7712">
        <f>IFERROR(INDEX('Email Cleaner'!$B$2:$B$10001,MATCH(7711,'Email Cleaner'!$I$2:$I$10001,0)),"")</f>
        <v/>
      </c>
    </row>
    <row r="7713">
      <c r="A7713">
        <f>IFERROR(INDEX('Email Cleaner'!$B$2:$B$10001,MATCH(7712,'Email Cleaner'!$I$2:$I$10001,0)),"")</f>
        <v/>
      </c>
    </row>
    <row r="7714">
      <c r="A7714">
        <f>IFERROR(INDEX('Email Cleaner'!$B$2:$B$10001,MATCH(7713,'Email Cleaner'!$I$2:$I$10001,0)),"")</f>
        <v/>
      </c>
    </row>
    <row r="7715">
      <c r="A7715">
        <f>IFERROR(INDEX('Email Cleaner'!$B$2:$B$10001,MATCH(7714,'Email Cleaner'!$I$2:$I$10001,0)),"")</f>
        <v/>
      </c>
    </row>
    <row r="7716">
      <c r="A7716">
        <f>IFERROR(INDEX('Email Cleaner'!$B$2:$B$10001,MATCH(7715,'Email Cleaner'!$I$2:$I$10001,0)),"")</f>
        <v/>
      </c>
    </row>
    <row r="7717">
      <c r="A7717">
        <f>IFERROR(INDEX('Email Cleaner'!$B$2:$B$10001,MATCH(7716,'Email Cleaner'!$I$2:$I$10001,0)),"")</f>
        <v/>
      </c>
    </row>
    <row r="7718">
      <c r="A7718">
        <f>IFERROR(INDEX('Email Cleaner'!$B$2:$B$10001,MATCH(7717,'Email Cleaner'!$I$2:$I$10001,0)),"")</f>
        <v/>
      </c>
    </row>
    <row r="7719">
      <c r="A7719">
        <f>IFERROR(INDEX('Email Cleaner'!$B$2:$B$10001,MATCH(7718,'Email Cleaner'!$I$2:$I$10001,0)),"")</f>
        <v/>
      </c>
    </row>
    <row r="7720">
      <c r="A7720">
        <f>IFERROR(INDEX('Email Cleaner'!$B$2:$B$10001,MATCH(7719,'Email Cleaner'!$I$2:$I$10001,0)),"")</f>
        <v/>
      </c>
    </row>
    <row r="7721">
      <c r="A7721">
        <f>IFERROR(INDEX('Email Cleaner'!$B$2:$B$10001,MATCH(7720,'Email Cleaner'!$I$2:$I$10001,0)),"")</f>
        <v/>
      </c>
    </row>
    <row r="7722">
      <c r="A7722">
        <f>IFERROR(INDEX('Email Cleaner'!$B$2:$B$10001,MATCH(7721,'Email Cleaner'!$I$2:$I$10001,0)),"")</f>
        <v/>
      </c>
    </row>
    <row r="7723">
      <c r="A7723">
        <f>IFERROR(INDEX('Email Cleaner'!$B$2:$B$10001,MATCH(7722,'Email Cleaner'!$I$2:$I$10001,0)),"")</f>
        <v/>
      </c>
    </row>
    <row r="7724">
      <c r="A7724">
        <f>IFERROR(INDEX('Email Cleaner'!$B$2:$B$10001,MATCH(7723,'Email Cleaner'!$I$2:$I$10001,0)),"")</f>
        <v/>
      </c>
    </row>
    <row r="7725">
      <c r="A7725">
        <f>IFERROR(INDEX('Email Cleaner'!$B$2:$B$10001,MATCH(7724,'Email Cleaner'!$I$2:$I$10001,0)),"")</f>
        <v/>
      </c>
    </row>
    <row r="7726">
      <c r="A7726">
        <f>IFERROR(INDEX('Email Cleaner'!$B$2:$B$10001,MATCH(7725,'Email Cleaner'!$I$2:$I$10001,0)),"")</f>
        <v/>
      </c>
    </row>
    <row r="7727">
      <c r="A7727">
        <f>IFERROR(INDEX('Email Cleaner'!$B$2:$B$10001,MATCH(7726,'Email Cleaner'!$I$2:$I$10001,0)),"")</f>
        <v/>
      </c>
    </row>
    <row r="7728">
      <c r="A7728">
        <f>IFERROR(INDEX('Email Cleaner'!$B$2:$B$10001,MATCH(7727,'Email Cleaner'!$I$2:$I$10001,0)),"")</f>
        <v/>
      </c>
    </row>
    <row r="7729">
      <c r="A7729">
        <f>IFERROR(INDEX('Email Cleaner'!$B$2:$B$10001,MATCH(7728,'Email Cleaner'!$I$2:$I$10001,0)),"")</f>
        <v/>
      </c>
    </row>
    <row r="7730">
      <c r="A7730">
        <f>IFERROR(INDEX('Email Cleaner'!$B$2:$B$10001,MATCH(7729,'Email Cleaner'!$I$2:$I$10001,0)),"")</f>
        <v/>
      </c>
    </row>
    <row r="7731">
      <c r="A7731">
        <f>IFERROR(INDEX('Email Cleaner'!$B$2:$B$10001,MATCH(7730,'Email Cleaner'!$I$2:$I$10001,0)),"")</f>
        <v/>
      </c>
    </row>
    <row r="7732">
      <c r="A7732">
        <f>IFERROR(INDEX('Email Cleaner'!$B$2:$B$10001,MATCH(7731,'Email Cleaner'!$I$2:$I$10001,0)),"")</f>
        <v/>
      </c>
    </row>
    <row r="7733">
      <c r="A7733">
        <f>IFERROR(INDEX('Email Cleaner'!$B$2:$B$10001,MATCH(7732,'Email Cleaner'!$I$2:$I$10001,0)),"")</f>
        <v/>
      </c>
    </row>
    <row r="7734">
      <c r="A7734">
        <f>IFERROR(INDEX('Email Cleaner'!$B$2:$B$10001,MATCH(7733,'Email Cleaner'!$I$2:$I$10001,0)),"")</f>
        <v/>
      </c>
    </row>
    <row r="7735">
      <c r="A7735">
        <f>IFERROR(INDEX('Email Cleaner'!$B$2:$B$10001,MATCH(7734,'Email Cleaner'!$I$2:$I$10001,0)),"")</f>
        <v/>
      </c>
    </row>
    <row r="7736">
      <c r="A7736">
        <f>IFERROR(INDEX('Email Cleaner'!$B$2:$B$10001,MATCH(7735,'Email Cleaner'!$I$2:$I$10001,0)),"")</f>
        <v/>
      </c>
    </row>
    <row r="7737">
      <c r="A7737">
        <f>IFERROR(INDEX('Email Cleaner'!$B$2:$B$10001,MATCH(7736,'Email Cleaner'!$I$2:$I$10001,0)),"")</f>
        <v/>
      </c>
    </row>
    <row r="7738">
      <c r="A7738">
        <f>IFERROR(INDEX('Email Cleaner'!$B$2:$B$10001,MATCH(7737,'Email Cleaner'!$I$2:$I$10001,0)),"")</f>
        <v/>
      </c>
    </row>
    <row r="7739">
      <c r="A7739">
        <f>IFERROR(INDEX('Email Cleaner'!$B$2:$B$10001,MATCH(7738,'Email Cleaner'!$I$2:$I$10001,0)),"")</f>
        <v/>
      </c>
    </row>
    <row r="7740">
      <c r="A7740">
        <f>IFERROR(INDEX('Email Cleaner'!$B$2:$B$10001,MATCH(7739,'Email Cleaner'!$I$2:$I$10001,0)),"")</f>
        <v/>
      </c>
    </row>
    <row r="7741">
      <c r="A7741">
        <f>IFERROR(INDEX('Email Cleaner'!$B$2:$B$10001,MATCH(7740,'Email Cleaner'!$I$2:$I$10001,0)),"")</f>
        <v/>
      </c>
    </row>
    <row r="7742">
      <c r="A7742">
        <f>IFERROR(INDEX('Email Cleaner'!$B$2:$B$10001,MATCH(7741,'Email Cleaner'!$I$2:$I$10001,0)),"")</f>
        <v/>
      </c>
    </row>
    <row r="7743">
      <c r="A7743">
        <f>IFERROR(INDEX('Email Cleaner'!$B$2:$B$10001,MATCH(7742,'Email Cleaner'!$I$2:$I$10001,0)),"")</f>
        <v/>
      </c>
    </row>
    <row r="7744">
      <c r="A7744">
        <f>IFERROR(INDEX('Email Cleaner'!$B$2:$B$10001,MATCH(7743,'Email Cleaner'!$I$2:$I$10001,0)),"")</f>
        <v/>
      </c>
    </row>
    <row r="7745">
      <c r="A7745">
        <f>IFERROR(INDEX('Email Cleaner'!$B$2:$B$10001,MATCH(7744,'Email Cleaner'!$I$2:$I$10001,0)),"")</f>
        <v/>
      </c>
    </row>
    <row r="7746">
      <c r="A7746">
        <f>IFERROR(INDEX('Email Cleaner'!$B$2:$B$10001,MATCH(7745,'Email Cleaner'!$I$2:$I$10001,0)),"")</f>
        <v/>
      </c>
    </row>
    <row r="7747">
      <c r="A7747">
        <f>IFERROR(INDEX('Email Cleaner'!$B$2:$B$10001,MATCH(7746,'Email Cleaner'!$I$2:$I$10001,0)),"")</f>
        <v/>
      </c>
    </row>
    <row r="7748">
      <c r="A7748">
        <f>IFERROR(INDEX('Email Cleaner'!$B$2:$B$10001,MATCH(7747,'Email Cleaner'!$I$2:$I$10001,0)),"")</f>
        <v/>
      </c>
    </row>
    <row r="7749">
      <c r="A7749">
        <f>IFERROR(INDEX('Email Cleaner'!$B$2:$B$10001,MATCH(7748,'Email Cleaner'!$I$2:$I$10001,0)),"")</f>
        <v/>
      </c>
    </row>
    <row r="7750">
      <c r="A7750">
        <f>IFERROR(INDEX('Email Cleaner'!$B$2:$B$10001,MATCH(7749,'Email Cleaner'!$I$2:$I$10001,0)),"")</f>
        <v/>
      </c>
    </row>
    <row r="7751">
      <c r="A7751">
        <f>IFERROR(INDEX('Email Cleaner'!$B$2:$B$10001,MATCH(7750,'Email Cleaner'!$I$2:$I$10001,0)),"")</f>
        <v/>
      </c>
    </row>
    <row r="7752">
      <c r="A7752">
        <f>IFERROR(INDEX('Email Cleaner'!$B$2:$B$10001,MATCH(7751,'Email Cleaner'!$I$2:$I$10001,0)),"")</f>
        <v/>
      </c>
    </row>
    <row r="7753">
      <c r="A7753">
        <f>IFERROR(INDEX('Email Cleaner'!$B$2:$B$10001,MATCH(7752,'Email Cleaner'!$I$2:$I$10001,0)),"")</f>
        <v/>
      </c>
    </row>
    <row r="7754">
      <c r="A7754">
        <f>IFERROR(INDEX('Email Cleaner'!$B$2:$B$10001,MATCH(7753,'Email Cleaner'!$I$2:$I$10001,0)),"")</f>
        <v/>
      </c>
    </row>
    <row r="7755">
      <c r="A7755">
        <f>IFERROR(INDEX('Email Cleaner'!$B$2:$B$10001,MATCH(7754,'Email Cleaner'!$I$2:$I$10001,0)),"")</f>
        <v/>
      </c>
    </row>
    <row r="7756">
      <c r="A7756">
        <f>IFERROR(INDEX('Email Cleaner'!$B$2:$B$10001,MATCH(7755,'Email Cleaner'!$I$2:$I$10001,0)),"")</f>
        <v/>
      </c>
    </row>
    <row r="7757">
      <c r="A7757">
        <f>IFERROR(INDEX('Email Cleaner'!$B$2:$B$10001,MATCH(7756,'Email Cleaner'!$I$2:$I$10001,0)),"")</f>
        <v/>
      </c>
    </row>
    <row r="7758">
      <c r="A7758">
        <f>IFERROR(INDEX('Email Cleaner'!$B$2:$B$10001,MATCH(7757,'Email Cleaner'!$I$2:$I$10001,0)),"")</f>
        <v/>
      </c>
    </row>
    <row r="7759">
      <c r="A7759">
        <f>IFERROR(INDEX('Email Cleaner'!$B$2:$B$10001,MATCH(7758,'Email Cleaner'!$I$2:$I$10001,0)),"")</f>
        <v/>
      </c>
    </row>
    <row r="7760">
      <c r="A7760">
        <f>IFERROR(INDEX('Email Cleaner'!$B$2:$B$10001,MATCH(7759,'Email Cleaner'!$I$2:$I$10001,0)),"")</f>
        <v/>
      </c>
    </row>
    <row r="7761">
      <c r="A7761">
        <f>IFERROR(INDEX('Email Cleaner'!$B$2:$B$10001,MATCH(7760,'Email Cleaner'!$I$2:$I$10001,0)),"")</f>
        <v/>
      </c>
    </row>
    <row r="7762">
      <c r="A7762">
        <f>IFERROR(INDEX('Email Cleaner'!$B$2:$B$10001,MATCH(7761,'Email Cleaner'!$I$2:$I$10001,0)),"")</f>
        <v/>
      </c>
    </row>
    <row r="7763">
      <c r="A7763">
        <f>IFERROR(INDEX('Email Cleaner'!$B$2:$B$10001,MATCH(7762,'Email Cleaner'!$I$2:$I$10001,0)),"")</f>
        <v/>
      </c>
    </row>
    <row r="7764">
      <c r="A7764">
        <f>IFERROR(INDEX('Email Cleaner'!$B$2:$B$10001,MATCH(7763,'Email Cleaner'!$I$2:$I$10001,0)),"")</f>
        <v/>
      </c>
    </row>
    <row r="7765">
      <c r="A7765">
        <f>IFERROR(INDEX('Email Cleaner'!$B$2:$B$10001,MATCH(7764,'Email Cleaner'!$I$2:$I$10001,0)),"")</f>
        <v/>
      </c>
    </row>
    <row r="7766">
      <c r="A7766">
        <f>IFERROR(INDEX('Email Cleaner'!$B$2:$B$10001,MATCH(7765,'Email Cleaner'!$I$2:$I$10001,0)),"")</f>
        <v/>
      </c>
    </row>
    <row r="7767">
      <c r="A7767">
        <f>IFERROR(INDEX('Email Cleaner'!$B$2:$B$10001,MATCH(7766,'Email Cleaner'!$I$2:$I$10001,0)),"")</f>
        <v/>
      </c>
    </row>
    <row r="7768">
      <c r="A7768">
        <f>IFERROR(INDEX('Email Cleaner'!$B$2:$B$10001,MATCH(7767,'Email Cleaner'!$I$2:$I$10001,0)),"")</f>
        <v/>
      </c>
    </row>
    <row r="7769">
      <c r="A7769">
        <f>IFERROR(INDEX('Email Cleaner'!$B$2:$B$10001,MATCH(7768,'Email Cleaner'!$I$2:$I$10001,0)),"")</f>
        <v/>
      </c>
    </row>
    <row r="7770">
      <c r="A7770">
        <f>IFERROR(INDEX('Email Cleaner'!$B$2:$B$10001,MATCH(7769,'Email Cleaner'!$I$2:$I$10001,0)),"")</f>
        <v/>
      </c>
    </row>
    <row r="7771">
      <c r="A7771">
        <f>IFERROR(INDEX('Email Cleaner'!$B$2:$B$10001,MATCH(7770,'Email Cleaner'!$I$2:$I$10001,0)),"")</f>
        <v/>
      </c>
    </row>
    <row r="7772">
      <c r="A7772">
        <f>IFERROR(INDEX('Email Cleaner'!$B$2:$B$10001,MATCH(7771,'Email Cleaner'!$I$2:$I$10001,0)),"")</f>
        <v/>
      </c>
    </row>
    <row r="7773">
      <c r="A7773">
        <f>IFERROR(INDEX('Email Cleaner'!$B$2:$B$10001,MATCH(7772,'Email Cleaner'!$I$2:$I$10001,0)),"")</f>
        <v/>
      </c>
    </row>
    <row r="7774">
      <c r="A7774">
        <f>IFERROR(INDEX('Email Cleaner'!$B$2:$B$10001,MATCH(7773,'Email Cleaner'!$I$2:$I$10001,0)),"")</f>
        <v/>
      </c>
    </row>
    <row r="7775">
      <c r="A7775">
        <f>IFERROR(INDEX('Email Cleaner'!$B$2:$B$10001,MATCH(7774,'Email Cleaner'!$I$2:$I$10001,0)),"")</f>
        <v/>
      </c>
    </row>
    <row r="7776">
      <c r="A7776">
        <f>IFERROR(INDEX('Email Cleaner'!$B$2:$B$10001,MATCH(7775,'Email Cleaner'!$I$2:$I$10001,0)),"")</f>
        <v/>
      </c>
    </row>
    <row r="7777">
      <c r="A7777">
        <f>IFERROR(INDEX('Email Cleaner'!$B$2:$B$10001,MATCH(7776,'Email Cleaner'!$I$2:$I$10001,0)),"")</f>
        <v/>
      </c>
    </row>
    <row r="7778">
      <c r="A7778">
        <f>IFERROR(INDEX('Email Cleaner'!$B$2:$B$10001,MATCH(7777,'Email Cleaner'!$I$2:$I$10001,0)),"")</f>
        <v/>
      </c>
    </row>
    <row r="7779">
      <c r="A7779">
        <f>IFERROR(INDEX('Email Cleaner'!$B$2:$B$10001,MATCH(7778,'Email Cleaner'!$I$2:$I$10001,0)),"")</f>
        <v/>
      </c>
    </row>
    <row r="7780">
      <c r="A7780">
        <f>IFERROR(INDEX('Email Cleaner'!$B$2:$B$10001,MATCH(7779,'Email Cleaner'!$I$2:$I$10001,0)),"")</f>
        <v/>
      </c>
    </row>
    <row r="7781">
      <c r="A7781">
        <f>IFERROR(INDEX('Email Cleaner'!$B$2:$B$10001,MATCH(7780,'Email Cleaner'!$I$2:$I$10001,0)),"")</f>
        <v/>
      </c>
    </row>
    <row r="7782">
      <c r="A7782">
        <f>IFERROR(INDEX('Email Cleaner'!$B$2:$B$10001,MATCH(7781,'Email Cleaner'!$I$2:$I$10001,0)),"")</f>
        <v/>
      </c>
    </row>
    <row r="7783">
      <c r="A7783">
        <f>IFERROR(INDEX('Email Cleaner'!$B$2:$B$10001,MATCH(7782,'Email Cleaner'!$I$2:$I$10001,0)),"")</f>
        <v/>
      </c>
    </row>
    <row r="7784">
      <c r="A7784">
        <f>IFERROR(INDEX('Email Cleaner'!$B$2:$B$10001,MATCH(7783,'Email Cleaner'!$I$2:$I$10001,0)),"")</f>
        <v/>
      </c>
    </row>
    <row r="7785">
      <c r="A7785">
        <f>IFERROR(INDEX('Email Cleaner'!$B$2:$B$10001,MATCH(7784,'Email Cleaner'!$I$2:$I$10001,0)),"")</f>
        <v/>
      </c>
    </row>
    <row r="7786">
      <c r="A7786">
        <f>IFERROR(INDEX('Email Cleaner'!$B$2:$B$10001,MATCH(7785,'Email Cleaner'!$I$2:$I$10001,0)),"")</f>
        <v/>
      </c>
    </row>
    <row r="7787">
      <c r="A7787">
        <f>IFERROR(INDEX('Email Cleaner'!$B$2:$B$10001,MATCH(7786,'Email Cleaner'!$I$2:$I$10001,0)),"")</f>
        <v/>
      </c>
    </row>
    <row r="7788">
      <c r="A7788">
        <f>IFERROR(INDEX('Email Cleaner'!$B$2:$B$10001,MATCH(7787,'Email Cleaner'!$I$2:$I$10001,0)),"")</f>
        <v/>
      </c>
    </row>
    <row r="7789">
      <c r="A7789">
        <f>IFERROR(INDEX('Email Cleaner'!$B$2:$B$10001,MATCH(7788,'Email Cleaner'!$I$2:$I$10001,0)),"")</f>
        <v/>
      </c>
    </row>
    <row r="7790">
      <c r="A7790">
        <f>IFERROR(INDEX('Email Cleaner'!$B$2:$B$10001,MATCH(7789,'Email Cleaner'!$I$2:$I$10001,0)),"")</f>
        <v/>
      </c>
    </row>
    <row r="7791">
      <c r="A7791">
        <f>IFERROR(INDEX('Email Cleaner'!$B$2:$B$10001,MATCH(7790,'Email Cleaner'!$I$2:$I$10001,0)),"")</f>
        <v/>
      </c>
    </row>
    <row r="7792">
      <c r="A7792">
        <f>IFERROR(INDEX('Email Cleaner'!$B$2:$B$10001,MATCH(7791,'Email Cleaner'!$I$2:$I$10001,0)),"")</f>
        <v/>
      </c>
    </row>
    <row r="7793">
      <c r="A7793">
        <f>IFERROR(INDEX('Email Cleaner'!$B$2:$B$10001,MATCH(7792,'Email Cleaner'!$I$2:$I$10001,0)),"")</f>
        <v/>
      </c>
    </row>
    <row r="7794">
      <c r="A7794">
        <f>IFERROR(INDEX('Email Cleaner'!$B$2:$B$10001,MATCH(7793,'Email Cleaner'!$I$2:$I$10001,0)),"")</f>
        <v/>
      </c>
    </row>
    <row r="7795">
      <c r="A7795">
        <f>IFERROR(INDEX('Email Cleaner'!$B$2:$B$10001,MATCH(7794,'Email Cleaner'!$I$2:$I$10001,0)),"")</f>
        <v/>
      </c>
    </row>
    <row r="7796">
      <c r="A7796">
        <f>IFERROR(INDEX('Email Cleaner'!$B$2:$B$10001,MATCH(7795,'Email Cleaner'!$I$2:$I$10001,0)),"")</f>
        <v/>
      </c>
    </row>
    <row r="7797">
      <c r="A7797">
        <f>IFERROR(INDEX('Email Cleaner'!$B$2:$B$10001,MATCH(7796,'Email Cleaner'!$I$2:$I$10001,0)),"")</f>
        <v/>
      </c>
    </row>
    <row r="7798">
      <c r="A7798">
        <f>IFERROR(INDEX('Email Cleaner'!$B$2:$B$10001,MATCH(7797,'Email Cleaner'!$I$2:$I$10001,0)),"")</f>
        <v/>
      </c>
    </row>
    <row r="7799">
      <c r="A7799">
        <f>IFERROR(INDEX('Email Cleaner'!$B$2:$B$10001,MATCH(7798,'Email Cleaner'!$I$2:$I$10001,0)),"")</f>
        <v/>
      </c>
    </row>
    <row r="7800">
      <c r="A7800">
        <f>IFERROR(INDEX('Email Cleaner'!$B$2:$B$10001,MATCH(7799,'Email Cleaner'!$I$2:$I$10001,0)),"")</f>
        <v/>
      </c>
    </row>
    <row r="7801">
      <c r="A7801">
        <f>IFERROR(INDEX('Email Cleaner'!$B$2:$B$10001,MATCH(7800,'Email Cleaner'!$I$2:$I$10001,0)),"")</f>
        <v/>
      </c>
    </row>
    <row r="7802">
      <c r="A7802">
        <f>IFERROR(INDEX('Email Cleaner'!$B$2:$B$10001,MATCH(7801,'Email Cleaner'!$I$2:$I$10001,0)),"")</f>
        <v/>
      </c>
    </row>
    <row r="7803">
      <c r="A7803">
        <f>IFERROR(INDEX('Email Cleaner'!$B$2:$B$10001,MATCH(7802,'Email Cleaner'!$I$2:$I$10001,0)),"")</f>
        <v/>
      </c>
    </row>
    <row r="7804">
      <c r="A7804">
        <f>IFERROR(INDEX('Email Cleaner'!$B$2:$B$10001,MATCH(7803,'Email Cleaner'!$I$2:$I$10001,0)),"")</f>
        <v/>
      </c>
    </row>
    <row r="7805">
      <c r="A7805">
        <f>IFERROR(INDEX('Email Cleaner'!$B$2:$B$10001,MATCH(7804,'Email Cleaner'!$I$2:$I$10001,0)),"")</f>
        <v/>
      </c>
    </row>
    <row r="7806">
      <c r="A7806">
        <f>IFERROR(INDEX('Email Cleaner'!$B$2:$B$10001,MATCH(7805,'Email Cleaner'!$I$2:$I$10001,0)),"")</f>
        <v/>
      </c>
    </row>
    <row r="7807">
      <c r="A7807">
        <f>IFERROR(INDEX('Email Cleaner'!$B$2:$B$10001,MATCH(7806,'Email Cleaner'!$I$2:$I$10001,0)),"")</f>
        <v/>
      </c>
    </row>
    <row r="7808">
      <c r="A7808">
        <f>IFERROR(INDEX('Email Cleaner'!$B$2:$B$10001,MATCH(7807,'Email Cleaner'!$I$2:$I$10001,0)),"")</f>
        <v/>
      </c>
    </row>
    <row r="7809">
      <c r="A7809">
        <f>IFERROR(INDEX('Email Cleaner'!$B$2:$B$10001,MATCH(7808,'Email Cleaner'!$I$2:$I$10001,0)),"")</f>
        <v/>
      </c>
    </row>
    <row r="7810">
      <c r="A7810">
        <f>IFERROR(INDEX('Email Cleaner'!$B$2:$B$10001,MATCH(7809,'Email Cleaner'!$I$2:$I$10001,0)),"")</f>
        <v/>
      </c>
    </row>
    <row r="7811">
      <c r="A7811">
        <f>IFERROR(INDEX('Email Cleaner'!$B$2:$B$10001,MATCH(7810,'Email Cleaner'!$I$2:$I$10001,0)),"")</f>
        <v/>
      </c>
    </row>
    <row r="7812">
      <c r="A7812">
        <f>IFERROR(INDEX('Email Cleaner'!$B$2:$B$10001,MATCH(7811,'Email Cleaner'!$I$2:$I$10001,0)),"")</f>
        <v/>
      </c>
    </row>
    <row r="7813">
      <c r="A7813">
        <f>IFERROR(INDEX('Email Cleaner'!$B$2:$B$10001,MATCH(7812,'Email Cleaner'!$I$2:$I$10001,0)),"")</f>
        <v/>
      </c>
    </row>
    <row r="7814">
      <c r="A7814">
        <f>IFERROR(INDEX('Email Cleaner'!$B$2:$B$10001,MATCH(7813,'Email Cleaner'!$I$2:$I$10001,0)),"")</f>
        <v/>
      </c>
    </row>
    <row r="7815">
      <c r="A7815">
        <f>IFERROR(INDEX('Email Cleaner'!$B$2:$B$10001,MATCH(7814,'Email Cleaner'!$I$2:$I$10001,0)),"")</f>
        <v/>
      </c>
    </row>
    <row r="7816">
      <c r="A7816">
        <f>IFERROR(INDEX('Email Cleaner'!$B$2:$B$10001,MATCH(7815,'Email Cleaner'!$I$2:$I$10001,0)),"")</f>
        <v/>
      </c>
    </row>
    <row r="7817">
      <c r="A7817">
        <f>IFERROR(INDEX('Email Cleaner'!$B$2:$B$10001,MATCH(7816,'Email Cleaner'!$I$2:$I$10001,0)),"")</f>
        <v/>
      </c>
    </row>
    <row r="7818">
      <c r="A7818">
        <f>IFERROR(INDEX('Email Cleaner'!$B$2:$B$10001,MATCH(7817,'Email Cleaner'!$I$2:$I$10001,0)),"")</f>
        <v/>
      </c>
    </row>
    <row r="7819">
      <c r="A7819">
        <f>IFERROR(INDEX('Email Cleaner'!$B$2:$B$10001,MATCH(7818,'Email Cleaner'!$I$2:$I$10001,0)),"")</f>
        <v/>
      </c>
    </row>
    <row r="7820">
      <c r="A7820">
        <f>IFERROR(INDEX('Email Cleaner'!$B$2:$B$10001,MATCH(7819,'Email Cleaner'!$I$2:$I$10001,0)),"")</f>
        <v/>
      </c>
    </row>
    <row r="7821">
      <c r="A7821">
        <f>IFERROR(INDEX('Email Cleaner'!$B$2:$B$10001,MATCH(7820,'Email Cleaner'!$I$2:$I$10001,0)),"")</f>
        <v/>
      </c>
    </row>
    <row r="7822">
      <c r="A7822">
        <f>IFERROR(INDEX('Email Cleaner'!$B$2:$B$10001,MATCH(7821,'Email Cleaner'!$I$2:$I$10001,0)),"")</f>
        <v/>
      </c>
    </row>
    <row r="7823">
      <c r="A7823">
        <f>IFERROR(INDEX('Email Cleaner'!$B$2:$B$10001,MATCH(7822,'Email Cleaner'!$I$2:$I$10001,0)),"")</f>
        <v/>
      </c>
    </row>
    <row r="7824">
      <c r="A7824">
        <f>IFERROR(INDEX('Email Cleaner'!$B$2:$B$10001,MATCH(7823,'Email Cleaner'!$I$2:$I$10001,0)),"")</f>
        <v/>
      </c>
    </row>
    <row r="7825">
      <c r="A7825">
        <f>IFERROR(INDEX('Email Cleaner'!$B$2:$B$10001,MATCH(7824,'Email Cleaner'!$I$2:$I$10001,0)),"")</f>
        <v/>
      </c>
    </row>
    <row r="7826">
      <c r="A7826">
        <f>IFERROR(INDEX('Email Cleaner'!$B$2:$B$10001,MATCH(7825,'Email Cleaner'!$I$2:$I$10001,0)),"")</f>
        <v/>
      </c>
    </row>
    <row r="7827">
      <c r="A7827">
        <f>IFERROR(INDEX('Email Cleaner'!$B$2:$B$10001,MATCH(7826,'Email Cleaner'!$I$2:$I$10001,0)),"")</f>
        <v/>
      </c>
    </row>
    <row r="7828">
      <c r="A7828">
        <f>IFERROR(INDEX('Email Cleaner'!$B$2:$B$10001,MATCH(7827,'Email Cleaner'!$I$2:$I$10001,0)),"")</f>
        <v/>
      </c>
    </row>
    <row r="7829">
      <c r="A7829">
        <f>IFERROR(INDEX('Email Cleaner'!$B$2:$B$10001,MATCH(7828,'Email Cleaner'!$I$2:$I$10001,0)),"")</f>
        <v/>
      </c>
    </row>
    <row r="7830">
      <c r="A7830">
        <f>IFERROR(INDEX('Email Cleaner'!$B$2:$B$10001,MATCH(7829,'Email Cleaner'!$I$2:$I$10001,0)),"")</f>
        <v/>
      </c>
    </row>
    <row r="7831">
      <c r="A7831">
        <f>IFERROR(INDEX('Email Cleaner'!$B$2:$B$10001,MATCH(7830,'Email Cleaner'!$I$2:$I$10001,0)),"")</f>
        <v/>
      </c>
    </row>
    <row r="7832">
      <c r="A7832">
        <f>IFERROR(INDEX('Email Cleaner'!$B$2:$B$10001,MATCH(7831,'Email Cleaner'!$I$2:$I$10001,0)),"")</f>
        <v/>
      </c>
    </row>
    <row r="7833">
      <c r="A7833">
        <f>IFERROR(INDEX('Email Cleaner'!$B$2:$B$10001,MATCH(7832,'Email Cleaner'!$I$2:$I$10001,0)),"")</f>
        <v/>
      </c>
    </row>
    <row r="7834">
      <c r="A7834">
        <f>IFERROR(INDEX('Email Cleaner'!$B$2:$B$10001,MATCH(7833,'Email Cleaner'!$I$2:$I$10001,0)),"")</f>
        <v/>
      </c>
    </row>
    <row r="7835">
      <c r="A7835">
        <f>IFERROR(INDEX('Email Cleaner'!$B$2:$B$10001,MATCH(7834,'Email Cleaner'!$I$2:$I$10001,0)),"")</f>
        <v/>
      </c>
    </row>
    <row r="7836">
      <c r="A7836">
        <f>IFERROR(INDEX('Email Cleaner'!$B$2:$B$10001,MATCH(7835,'Email Cleaner'!$I$2:$I$10001,0)),"")</f>
        <v/>
      </c>
    </row>
    <row r="7837">
      <c r="A7837">
        <f>IFERROR(INDEX('Email Cleaner'!$B$2:$B$10001,MATCH(7836,'Email Cleaner'!$I$2:$I$10001,0)),"")</f>
        <v/>
      </c>
    </row>
    <row r="7838">
      <c r="A7838">
        <f>IFERROR(INDEX('Email Cleaner'!$B$2:$B$10001,MATCH(7837,'Email Cleaner'!$I$2:$I$10001,0)),"")</f>
        <v/>
      </c>
    </row>
    <row r="7839">
      <c r="A7839">
        <f>IFERROR(INDEX('Email Cleaner'!$B$2:$B$10001,MATCH(7838,'Email Cleaner'!$I$2:$I$10001,0)),"")</f>
        <v/>
      </c>
    </row>
    <row r="7840">
      <c r="A7840">
        <f>IFERROR(INDEX('Email Cleaner'!$B$2:$B$10001,MATCH(7839,'Email Cleaner'!$I$2:$I$10001,0)),"")</f>
        <v/>
      </c>
    </row>
    <row r="7841">
      <c r="A7841">
        <f>IFERROR(INDEX('Email Cleaner'!$B$2:$B$10001,MATCH(7840,'Email Cleaner'!$I$2:$I$10001,0)),"")</f>
        <v/>
      </c>
    </row>
    <row r="7842">
      <c r="A7842">
        <f>IFERROR(INDEX('Email Cleaner'!$B$2:$B$10001,MATCH(7841,'Email Cleaner'!$I$2:$I$10001,0)),"")</f>
        <v/>
      </c>
    </row>
    <row r="7843">
      <c r="A7843">
        <f>IFERROR(INDEX('Email Cleaner'!$B$2:$B$10001,MATCH(7842,'Email Cleaner'!$I$2:$I$10001,0)),"")</f>
        <v/>
      </c>
    </row>
    <row r="7844">
      <c r="A7844">
        <f>IFERROR(INDEX('Email Cleaner'!$B$2:$B$10001,MATCH(7843,'Email Cleaner'!$I$2:$I$10001,0)),"")</f>
        <v/>
      </c>
    </row>
    <row r="7845">
      <c r="A7845">
        <f>IFERROR(INDEX('Email Cleaner'!$B$2:$B$10001,MATCH(7844,'Email Cleaner'!$I$2:$I$10001,0)),"")</f>
        <v/>
      </c>
    </row>
    <row r="7846">
      <c r="A7846">
        <f>IFERROR(INDEX('Email Cleaner'!$B$2:$B$10001,MATCH(7845,'Email Cleaner'!$I$2:$I$10001,0)),"")</f>
        <v/>
      </c>
    </row>
    <row r="7847">
      <c r="A7847">
        <f>IFERROR(INDEX('Email Cleaner'!$B$2:$B$10001,MATCH(7846,'Email Cleaner'!$I$2:$I$10001,0)),"")</f>
        <v/>
      </c>
    </row>
    <row r="7848">
      <c r="A7848">
        <f>IFERROR(INDEX('Email Cleaner'!$B$2:$B$10001,MATCH(7847,'Email Cleaner'!$I$2:$I$10001,0)),"")</f>
        <v/>
      </c>
    </row>
    <row r="7849">
      <c r="A7849">
        <f>IFERROR(INDEX('Email Cleaner'!$B$2:$B$10001,MATCH(7848,'Email Cleaner'!$I$2:$I$10001,0)),"")</f>
        <v/>
      </c>
    </row>
    <row r="7850">
      <c r="A7850">
        <f>IFERROR(INDEX('Email Cleaner'!$B$2:$B$10001,MATCH(7849,'Email Cleaner'!$I$2:$I$10001,0)),"")</f>
        <v/>
      </c>
    </row>
    <row r="7851">
      <c r="A7851">
        <f>IFERROR(INDEX('Email Cleaner'!$B$2:$B$10001,MATCH(7850,'Email Cleaner'!$I$2:$I$10001,0)),"")</f>
        <v/>
      </c>
    </row>
    <row r="7852">
      <c r="A7852">
        <f>IFERROR(INDEX('Email Cleaner'!$B$2:$B$10001,MATCH(7851,'Email Cleaner'!$I$2:$I$10001,0)),"")</f>
        <v/>
      </c>
    </row>
    <row r="7853">
      <c r="A7853">
        <f>IFERROR(INDEX('Email Cleaner'!$B$2:$B$10001,MATCH(7852,'Email Cleaner'!$I$2:$I$10001,0)),"")</f>
        <v/>
      </c>
    </row>
    <row r="7854">
      <c r="A7854">
        <f>IFERROR(INDEX('Email Cleaner'!$B$2:$B$10001,MATCH(7853,'Email Cleaner'!$I$2:$I$10001,0)),"")</f>
        <v/>
      </c>
    </row>
    <row r="7855">
      <c r="A7855">
        <f>IFERROR(INDEX('Email Cleaner'!$B$2:$B$10001,MATCH(7854,'Email Cleaner'!$I$2:$I$10001,0)),"")</f>
        <v/>
      </c>
    </row>
    <row r="7856">
      <c r="A7856">
        <f>IFERROR(INDEX('Email Cleaner'!$B$2:$B$10001,MATCH(7855,'Email Cleaner'!$I$2:$I$10001,0)),"")</f>
        <v/>
      </c>
    </row>
    <row r="7857">
      <c r="A7857">
        <f>IFERROR(INDEX('Email Cleaner'!$B$2:$B$10001,MATCH(7856,'Email Cleaner'!$I$2:$I$10001,0)),"")</f>
        <v/>
      </c>
    </row>
    <row r="7858">
      <c r="A7858">
        <f>IFERROR(INDEX('Email Cleaner'!$B$2:$B$10001,MATCH(7857,'Email Cleaner'!$I$2:$I$10001,0)),"")</f>
        <v/>
      </c>
    </row>
    <row r="7859">
      <c r="A7859">
        <f>IFERROR(INDEX('Email Cleaner'!$B$2:$B$10001,MATCH(7858,'Email Cleaner'!$I$2:$I$10001,0)),"")</f>
        <v/>
      </c>
    </row>
    <row r="7860">
      <c r="A7860">
        <f>IFERROR(INDEX('Email Cleaner'!$B$2:$B$10001,MATCH(7859,'Email Cleaner'!$I$2:$I$10001,0)),"")</f>
        <v/>
      </c>
    </row>
    <row r="7861">
      <c r="A7861">
        <f>IFERROR(INDEX('Email Cleaner'!$B$2:$B$10001,MATCH(7860,'Email Cleaner'!$I$2:$I$10001,0)),"")</f>
        <v/>
      </c>
    </row>
    <row r="7862">
      <c r="A7862">
        <f>IFERROR(INDEX('Email Cleaner'!$B$2:$B$10001,MATCH(7861,'Email Cleaner'!$I$2:$I$10001,0)),"")</f>
        <v/>
      </c>
    </row>
    <row r="7863">
      <c r="A7863">
        <f>IFERROR(INDEX('Email Cleaner'!$B$2:$B$10001,MATCH(7862,'Email Cleaner'!$I$2:$I$10001,0)),"")</f>
        <v/>
      </c>
    </row>
    <row r="7864">
      <c r="A7864">
        <f>IFERROR(INDEX('Email Cleaner'!$B$2:$B$10001,MATCH(7863,'Email Cleaner'!$I$2:$I$10001,0)),"")</f>
        <v/>
      </c>
    </row>
    <row r="7865">
      <c r="A7865">
        <f>IFERROR(INDEX('Email Cleaner'!$B$2:$B$10001,MATCH(7864,'Email Cleaner'!$I$2:$I$10001,0)),"")</f>
        <v/>
      </c>
    </row>
    <row r="7866">
      <c r="A7866">
        <f>IFERROR(INDEX('Email Cleaner'!$B$2:$B$10001,MATCH(7865,'Email Cleaner'!$I$2:$I$10001,0)),"")</f>
        <v/>
      </c>
    </row>
    <row r="7867">
      <c r="A7867">
        <f>IFERROR(INDEX('Email Cleaner'!$B$2:$B$10001,MATCH(7866,'Email Cleaner'!$I$2:$I$10001,0)),"")</f>
        <v/>
      </c>
    </row>
    <row r="7868">
      <c r="A7868">
        <f>IFERROR(INDEX('Email Cleaner'!$B$2:$B$10001,MATCH(7867,'Email Cleaner'!$I$2:$I$10001,0)),"")</f>
        <v/>
      </c>
    </row>
    <row r="7869">
      <c r="A7869">
        <f>IFERROR(INDEX('Email Cleaner'!$B$2:$B$10001,MATCH(7868,'Email Cleaner'!$I$2:$I$10001,0)),"")</f>
        <v/>
      </c>
    </row>
    <row r="7870">
      <c r="A7870">
        <f>IFERROR(INDEX('Email Cleaner'!$B$2:$B$10001,MATCH(7869,'Email Cleaner'!$I$2:$I$10001,0)),"")</f>
        <v/>
      </c>
    </row>
    <row r="7871">
      <c r="A7871">
        <f>IFERROR(INDEX('Email Cleaner'!$B$2:$B$10001,MATCH(7870,'Email Cleaner'!$I$2:$I$10001,0)),"")</f>
        <v/>
      </c>
    </row>
    <row r="7872">
      <c r="A7872">
        <f>IFERROR(INDEX('Email Cleaner'!$B$2:$B$10001,MATCH(7871,'Email Cleaner'!$I$2:$I$10001,0)),"")</f>
        <v/>
      </c>
    </row>
    <row r="7873">
      <c r="A7873">
        <f>IFERROR(INDEX('Email Cleaner'!$B$2:$B$10001,MATCH(7872,'Email Cleaner'!$I$2:$I$10001,0)),"")</f>
        <v/>
      </c>
    </row>
    <row r="7874">
      <c r="A7874">
        <f>IFERROR(INDEX('Email Cleaner'!$B$2:$B$10001,MATCH(7873,'Email Cleaner'!$I$2:$I$10001,0)),"")</f>
        <v/>
      </c>
    </row>
    <row r="7875">
      <c r="A7875">
        <f>IFERROR(INDEX('Email Cleaner'!$B$2:$B$10001,MATCH(7874,'Email Cleaner'!$I$2:$I$10001,0)),"")</f>
        <v/>
      </c>
    </row>
    <row r="7876">
      <c r="A7876">
        <f>IFERROR(INDEX('Email Cleaner'!$B$2:$B$10001,MATCH(7875,'Email Cleaner'!$I$2:$I$10001,0)),"")</f>
        <v/>
      </c>
    </row>
    <row r="7877">
      <c r="A7877">
        <f>IFERROR(INDEX('Email Cleaner'!$B$2:$B$10001,MATCH(7876,'Email Cleaner'!$I$2:$I$10001,0)),"")</f>
        <v/>
      </c>
    </row>
    <row r="7878">
      <c r="A7878">
        <f>IFERROR(INDEX('Email Cleaner'!$B$2:$B$10001,MATCH(7877,'Email Cleaner'!$I$2:$I$10001,0)),"")</f>
        <v/>
      </c>
    </row>
    <row r="7879">
      <c r="A7879">
        <f>IFERROR(INDEX('Email Cleaner'!$B$2:$B$10001,MATCH(7878,'Email Cleaner'!$I$2:$I$10001,0)),"")</f>
        <v/>
      </c>
    </row>
    <row r="7880">
      <c r="A7880">
        <f>IFERROR(INDEX('Email Cleaner'!$B$2:$B$10001,MATCH(7879,'Email Cleaner'!$I$2:$I$10001,0)),"")</f>
        <v/>
      </c>
    </row>
    <row r="7881">
      <c r="A7881">
        <f>IFERROR(INDEX('Email Cleaner'!$B$2:$B$10001,MATCH(7880,'Email Cleaner'!$I$2:$I$10001,0)),"")</f>
        <v/>
      </c>
    </row>
    <row r="7882">
      <c r="A7882">
        <f>IFERROR(INDEX('Email Cleaner'!$B$2:$B$10001,MATCH(7881,'Email Cleaner'!$I$2:$I$10001,0)),"")</f>
        <v/>
      </c>
    </row>
    <row r="7883">
      <c r="A7883">
        <f>IFERROR(INDEX('Email Cleaner'!$B$2:$B$10001,MATCH(7882,'Email Cleaner'!$I$2:$I$10001,0)),"")</f>
        <v/>
      </c>
    </row>
    <row r="7884">
      <c r="A7884">
        <f>IFERROR(INDEX('Email Cleaner'!$B$2:$B$10001,MATCH(7883,'Email Cleaner'!$I$2:$I$10001,0)),"")</f>
        <v/>
      </c>
    </row>
    <row r="7885">
      <c r="A7885">
        <f>IFERROR(INDEX('Email Cleaner'!$B$2:$B$10001,MATCH(7884,'Email Cleaner'!$I$2:$I$10001,0)),"")</f>
        <v/>
      </c>
    </row>
    <row r="7886">
      <c r="A7886">
        <f>IFERROR(INDEX('Email Cleaner'!$B$2:$B$10001,MATCH(7885,'Email Cleaner'!$I$2:$I$10001,0)),"")</f>
        <v/>
      </c>
    </row>
    <row r="7887">
      <c r="A7887">
        <f>IFERROR(INDEX('Email Cleaner'!$B$2:$B$10001,MATCH(7886,'Email Cleaner'!$I$2:$I$10001,0)),"")</f>
        <v/>
      </c>
    </row>
    <row r="7888">
      <c r="A7888">
        <f>IFERROR(INDEX('Email Cleaner'!$B$2:$B$10001,MATCH(7887,'Email Cleaner'!$I$2:$I$10001,0)),"")</f>
        <v/>
      </c>
    </row>
    <row r="7889">
      <c r="A7889">
        <f>IFERROR(INDEX('Email Cleaner'!$B$2:$B$10001,MATCH(7888,'Email Cleaner'!$I$2:$I$10001,0)),"")</f>
        <v/>
      </c>
    </row>
    <row r="7890">
      <c r="A7890">
        <f>IFERROR(INDEX('Email Cleaner'!$B$2:$B$10001,MATCH(7889,'Email Cleaner'!$I$2:$I$10001,0)),"")</f>
        <v/>
      </c>
    </row>
    <row r="7891">
      <c r="A7891">
        <f>IFERROR(INDEX('Email Cleaner'!$B$2:$B$10001,MATCH(7890,'Email Cleaner'!$I$2:$I$10001,0)),"")</f>
        <v/>
      </c>
    </row>
    <row r="7892">
      <c r="A7892">
        <f>IFERROR(INDEX('Email Cleaner'!$B$2:$B$10001,MATCH(7891,'Email Cleaner'!$I$2:$I$10001,0)),"")</f>
        <v/>
      </c>
    </row>
    <row r="7893">
      <c r="A7893">
        <f>IFERROR(INDEX('Email Cleaner'!$B$2:$B$10001,MATCH(7892,'Email Cleaner'!$I$2:$I$10001,0)),"")</f>
        <v/>
      </c>
    </row>
    <row r="7894">
      <c r="A7894">
        <f>IFERROR(INDEX('Email Cleaner'!$B$2:$B$10001,MATCH(7893,'Email Cleaner'!$I$2:$I$10001,0)),"")</f>
        <v/>
      </c>
    </row>
    <row r="7895">
      <c r="A7895">
        <f>IFERROR(INDEX('Email Cleaner'!$B$2:$B$10001,MATCH(7894,'Email Cleaner'!$I$2:$I$10001,0)),"")</f>
        <v/>
      </c>
    </row>
    <row r="7896">
      <c r="A7896">
        <f>IFERROR(INDEX('Email Cleaner'!$B$2:$B$10001,MATCH(7895,'Email Cleaner'!$I$2:$I$10001,0)),"")</f>
        <v/>
      </c>
    </row>
    <row r="7897">
      <c r="A7897">
        <f>IFERROR(INDEX('Email Cleaner'!$B$2:$B$10001,MATCH(7896,'Email Cleaner'!$I$2:$I$10001,0)),"")</f>
        <v/>
      </c>
    </row>
    <row r="7898">
      <c r="A7898">
        <f>IFERROR(INDEX('Email Cleaner'!$B$2:$B$10001,MATCH(7897,'Email Cleaner'!$I$2:$I$10001,0)),"")</f>
        <v/>
      </c>
    </row>
    <row r="7899">
      <c r="A7899">
        <f>IFERROR(INDEX('Email Cleaner'!$B$2:$B$10001,MATCH(7898,'Email Cleaner'!$I$2:$I$10001,0)),"")</f>
        <v/>
      </c>
    </row>
    <row r="7900">
      <c r="A7900">
        <f>IFERROR(INDEX('Email Cleaner'!$B$2:$B$10001,MATCH(7899,'Email Cleaner'!$I$2:$I$10001,0)),"")</f>
        <v/>
      </c>
    </row>
    <row r="7901">
      <c r="A7901">
        <f>IFERROR(INDEX('Email Cleaner'!$B$2:$B$10001,MATCH(7900,'Email Cleaner'!$I$2:$I$10001,0)),"")</f>
        <v/>
      </c>
    </row>
    <row r="7902">
      <c r="A7902">
        <f>IFERROR(INDEX('Email Cleaner'!$B$2:$B$10001,MATCH(7901,'Email Cleaner'!$I$2:$I$10001,0)),"")</f>
        <v/>
      </c>
    </row>
    <row r="7903">
      <c r="A7903">
        <f>IFERROR(INDEX('Email Cleaner'!$B$2:$B$10001,MATCH(7902,'Email Cleaner'!$I$2:$I$10001,0)),"")</f>
        <v/>
      </c>
    </row>
    <row r="7904">
      <c r="A7904">
        <f>IFERROR(INDEX('Email Cleaner'!$B$2:$B$10001,MATCH(7903,'Email Cleaner'!$I$2:$I$10001,0)),"")</f>
        <v/>
      </c>
    </row>
    <row r="7905">
      <c r="A7905">
        <f>IFERROR(INDEX('Email Cleaner'!$B$2:$B$10001,MATCH(7904,'Email Cleaner'!$I$2:$I$10001,0)),"")</f>
        <v/>
      </c>
    </row>
    <row r="7906">
      <c r="A7906">
        <f>IFERROR(INDEX('Email Cleaner'!$B$2:$B$10001,MATCH(7905,'Email Cleaner'!$I$2:$I$10001,0)),"")</f>
        <v/>
      </c>
    </row>
    <row r="7907">
      <c r="A7907">
        <f>IFERROR(INDEX('Email Cleaner'!$B$2:$B$10001,MATCH(7906,'Email Cleaner'!$I$2:$I$10001,0)),"")</f>
        <v/>
      </c>
    </row>
    <row r="7908">
      <c r="A7908">
        <f>IFERROR(INDEX('Email Cleaner'!$B$2:$B$10001,MATCH(7907,'Email Cleaner'!$I$2:$I$10001,0)),"")</f>
        <v/>
      </c>
    </row>
    <row r="7909">
      <c r="A7909">
        <f>IFERROR(INDEX('Email Cleaner'!$B$2:$B$10001,MATCH(7908,'Email Cleaner'!$I$2:$I$10001,0)),"")</f>
        <v/>
      </c>
    </row>
    <row r="7910">
      <c r="A7910">
        <f>IFERROR(INDEX('Email Cleaner'!$B$2:$B$10001,MATCH(7909,'Email Cleaner'!$I$2:$I$10001,0)),"")</f>
        <v/>
      </c>
    </row>
    <row r="7911">
      <c r="A7911">
        <f>IFERROR(INDEX('Email Cleaner'!$B$2:$B$10001,MATCH(7910,'Email Cleaner'!$I$2:$I$10001,0)),"")</f>
        <v/>
      </c>
    </row>
    <row r="7912">
      <c r="A7912">
        <f>IFERROR(INDEX('Email Cleaner'!$B$2:$B$10001,MATCH(7911,'Email Cleaner'!$I$2:$I$10001,0)),"")</f>
        <v/>
      </c>
    </row>
    <row r="7913">
      <c r="A7913">
        <f>IFERROR(INDEX('Email Cleaner'!$B$2:$B$10001,MATCH(7912,'Email Cleaner'!$I$2:$I$10001,0)),"")</f>
        <v/>
      </c>
    </row>
    <row r="7914">
      <c r="A7914">
        <f>IFERROR(INDEX('Email Cleaner'!$B$2:$B$10001,MATCH(7913,'Email Cleaner'!$I$2:$I$10001,0)),"")</f>
        <v/>
      </c>
    </row>
    <row r="7915">
      <c r="A7915">
        <f>IFERROR(INDEX('Email Cleaner'!$B$2:$B$10001,MATCH(7914,'Email Cleaner'!$I$2:$I$10001,0)),"")</f>
        <v/>
      </c>
    </row>
    <row r="7916">
      <c r="A7916">
        <f>IFERROR(INDEX('Email Cleaner'!$B$2:$B$10001,MATCH(7915,'Email Cleaner'!$I$2:$I$10001,0)),"")</f>
        <v/>
      </c>
    </row>
    <row r="7917">
      <c r="A7917">
        <f>IFERROR(INDEX('Email Cleaner'!$B$2:$B$10001,MATCH(7916,'Email Cleaner'!$I$2:$I$10001,0)),"")</f>
        <v/>
      </c>
    </row>
    <row r="7918">
      <c r="A7918">
        <f>IFERROR(INDEX('Email Cleaner'!$B$2:$B$10001,MATCH(7917,'Email Cleaner'!$I$2:$I$10001,0)),"")</f>
        <v/>
      </c>
    </row>
    <row r="7919">
      <c r="A7919">
        <f>IFERROR(INDEX('Email Cleaner'!$B$2:$B$10001,MATCH(7918,'Email Cleaner'!$I$2:$I$10001,0)),"")</f>
        <v/>
      </c>
    </row>
    <row r="7920">
      <c r="A7920">
        <f>IFERROR(INDEX('Email Cleaner'!$B$2:$B$10001,MATCH(7919,'Email Cleaner'!$I$2:$I$10001,0)),"")</f>
        <v/>
      </c>
    </row>
    <row r="7921">
      <c r="A7921">
        <f>IFERROR(INDEX('Email Cleaner'!$B$2:$B$10001,MATCH(7920,'Email Cleaner'!$I$2:$I$10001,0)),"")</f>
        <v/>
      </c>
    </row>
    <row r="7922">
      <c r="A7922">
        <f>IFERROR(INDEX('Email Cleaner'!$B$2:$B$10001,MATCH(7921,'Email Cleaner'!$I$2:$I$10001,0)),"")</f>
        <v/>
      </c>
    </row>
    <row r="7923">
      <c r="A7923">
        <f>IFERROR(INDEX('Email Cleaner'!$B$2:$B$10001,MATCH(7922,'Email Cleaner'!$I$2:$I$10001,0)),"")</f>
        <v/>
      </c>
    </row>
    <row r="7924">
      <c r="A7924">
        <f>IFERROR(INDEX('Email Cleaner'!$B$2:$B$10001,MATCH(7923,'Email Cleaner'!$I$2:$I$10001,0)),"")</f>
        <v/>
      </c>
    </row>
    <row r="7925">
      <c r="A7925">
        <f>IFERROR(INDEX('Email Cleaner'!$B$2:$B$10001,MATCH(7924,'Email Cleaner'!$I$2:$I$10001,0)),"")</f>
        <v/>
      </c>
    </row>
    <row r="7926">
      <c r="A7926">
        <f>IFERROR(INDEX('Email Cleaner'!$B$2:$B$10001,MATCH(7925,'Email Cleaner'!$I$2:$I$10001,0)),"")</f>
        <v/>
      </c>
    </row>
    <row r="7927">
      <c r="A7927">
        <f>IFERROR(INDEX('Email Cleaner'!$B$2:$B$10001,MATCH(7926,'Email Cleaner'!$I$2:$I$10001,0)),"")</f>
        <v/>
      </c>
    </row>
    <row r="7928">
      <c r="A7928">
        <f>IFERROR(INDEX('Email Cleaner'!$B$2:$B$10001,MATCH(7927,'Email Cleaner'!$I$2:$I$10001,0)),"")</f>
        <v/>
      </c>
    </row>
    <row r="7929">
      <c r="A7929">
        <f>IFERROR(INDEX('Email Cleaner'!$B$2:$B$10001,MATCH(7928,'Email Cleaner'!$I$2:$I$10001,0)),"")</f>
        <v/>
      </c>
    </row>
    <row r="7930">
      <c r="A7930">
        <f>IFERROR(INDEX('Email Cleaner'!$B$2:$B$10001,MATCH(7929,'Email Cleaner'!$I$2:$I$10001,0)),"")</f>
        <v/>
      </c>
    </row>
    <row r="7931">
      <c r="A7931">
        <f>IFERROR(INDEX('Email Cleaner'!$B$2:$B$10001,MATCH(7930,'Email Cleaner'!$I$2:$I$10001,0)),"")</f>
        <v/>
      </c>
    </row>
    <row r="7932">
      <c r="A7932">
        <f>IFERROR(INDEX('Email Cleaner'!$B$2:$B$10001,MATCH(7931,'Email Cleaner'!$I$2:$I$10001,0)),"")</f>
        <v/>
      </c>
    </row>
    <row r="7933">
      <c r="A7933">
        <f>IFERROR(INDEX('Email Cleaner'!$B$2:$B$10001,MATCH(7932,'Email Cleaner'!$I$2:$I$10001,0)),"")</f>
        <v/>
      </c>
    </row>
    <row r="7934">
      <c r="A7934">
        <f>IFERROR(INDEX('Email Cleaner'!$B$2:$B$10001,MATCH(7933,'Email Cleaner'!$I$2:$I$10001,0)),"")</f>
        <v/>
      </c>
    </row>
    <row r="7935">
      <c r="A7935">
        <f>IFERROR(INDEX('Email Cleaner'!$B$2:$B$10001,MATCH(7934,'Email Cleaner'!$I$2:$I$10001,0)),"")</f>
        <v/>
      </c>
    </row>
    <row r="7936">
      <c r="A7936">
        <f>IFERROR(INDEX('Email Cleaner'!$B$2:$B$10001,MATCH(7935,'Email Cleaner'!$I$2:$I$10001,0)),"")</f>
        <v/>
      </c>
    </row>
    <row r="7937">
      <c r="A7937">
        <f>IFERROR(INDEX('Email Cleaner'!$B$2:$B$10001,MATCH(7936,'Email Cleaner'!$I$2:$I$10001,0)),"")</f>
        <v/>
      </c>
    </row>
    <row r="7938">
      <c r="A7938">
        <f>IFERROR(INDEX('Email Cleaner'!$B$2:$B$10001,MATCH(7937,'Email Cleaner'!$I$2:$I$10001,0)),"")</f>
        <v/>
      </c>
    </row>
    <row r="7939">
      <c r="A7939">
        <f>IFERROR(INDEX('Email Cleaner'!$B$2:$B$10001,MATCH(7938,'Email Cleaner'!$I$2:$I$10001,0)),"")</f>
        <v/>
      </c>
    </row>
    <row r="7940">
      <c r="A7940">
        <f>IFERROR(INDEX('Email Cleaner'!$B$2:$B$10001,MATCH(7939,'Email Cleaner'!$I$2:$I$10001,0)),"")</f>
        <v/>
      </c>
    </row>
    <row r="7941">
      <c r="A7941">
        <f>IFERROR(INDEX('Email Cleaner'!$B$2:$B$10001,MATCH(7940,'Email Cleaner'!$I$2:$I$10001,0)),"")</f>
        <v/>
      </c>
    </row>
    <row r="7942">
      <c r="A7942">
        <f>IFERROR(INDEX('Email Cleaner'!$B$2:$B$10001,MATCH(7941,'Email Cleaner'!$I$2:$I$10001,0)),"")</f>
        <v/>
      </c>
    </row>
    <row r="7943">
      <c r="A7943">
        <f>IFERROR(INDEX('Email Cleaner'!$B$2:$B$10001,MATCH(7942,'Email Cleaner'!$I$2:$I$10001,0)),"")</f>
        <v/>
      </c>
    </row>
    <row r="7944">
      <c r="A7944">
        <f>IFERROR(INDEX('Email Cleaner'!$B$2:$B$10001,MATCH(7943,'Email Cleaner'!$I$2:$I$10001,0)),"")</f>
        <v/>
      </c>
    </row>
    <row r="7945">
      <c r="A7945">
        <f>IFERROR(INDEX('Email Cleaner'!$B$2:$B$10001,MATCH(7944,'Email Cleaner'!$I$2:$I$10001,0)),"")</f>
        <v/>
      </c>
    </row>
    <row r="7946">
      <c r="A7946">
        <f>IFERROR(INDEX('Email Cleaner'!$B$2:$B$10001,MATCH(7945,'Email Cleaner'!$I$2:$I$10001,0)),"")</f>
        <v/>
      </c>
    </row>
    <row r="7947">
      <c r="A7947">
        <f>IFERROR(INDEX('Email Cleaner'!$B$2:$B$10001,MATCH(7946,'Email Cleaner'!$I$2:$I$10001,0)),"")</f>
        <v/>
      </c>
    </row>
    <row r="7948">
      <c r="A7948">
        <f>IFERROR(INDEX('Email Cleaner'!$B$2:$B$10001,MATCH(7947,'Email Cleaner'!$I$2:$I$10001,0)),"")</f>
        <v/>
      </c>
    </row>
    <row r="7949">
      <c r="A7949">
        <f>IFERROR(INDEX('Email Cleaner'!$B$2:$B$10001,MATCH(7948,'Email Cleaner'!$I$2:$I$10001,0)),"")</f>
        <v/>
      </c>
    </row>
    <row r="7950">
      <c r="A7950">
        <f>IFERROR(INDEX('Email Cleaner'!$B$2:$B$10001,MATCH(7949,'Email Cleaner'!$I$2:$I$10001,0)),"")</f>
        <v/>
      </c>
    </row>
    <row r="7951">
      <c r="A7951">
        <f>IFERROR(INDEX('Email Cleaner'!$B$2:$B$10001,MATCH(7950,'Email Cleaner'!$I$2:$I$10001,0)),"")</f>
        <v/>
      </c>
    </row>
    <row r="7952">
      <c r="A7952">
        <f>IFERROR(INDEX('Email Cleaner'!$B$2:$B$10001,MATCH(7951,'Email Cleaner'!$I$2:$I$10001,0)),"")</f>
        <v/>
      </c>
    </row>
    <row r="7953">
      <c r="A7953">
        <f>IFERROR(INDEX('Email Cleaner'!$B$2:$B$10001,MATCH(7952,'Email Cleaner'!$I$2:$I$10001,0)),"")</f>
        <v/>
      </c>
    </row>
    <row r="7954">
      <c r="A7954">
        <f>IFERROR(INDEX('Email Cleaner'!$B$2:$B$10001,MATCH(7953,'Email Cleaner'!$I$2:$I$10001,0)),"")</f>
        <v/>
      </c>
    </row>
    <row r="7955">
      <c r="A7955">
        <f>IFERROR(INDEX('Email Cleaner'!$B$2:$B$10001,MATCH(7954,'Email Cleaner'!$I$2:$I$10001,0)),"")</f>
        <v/>
      </c>
    </row>
    <row r="7956">
      <c r="A7956">
        <f>IFERROR(INDEX('Email Cleaner'!$B$2:$B$10001,MATCH(7955,'Email Cleaner'!$I$2:$I$10001,0)),"")</f>
        <v/>
      </c>
    </row>
    <row r="7957">
      <c r="A7957">
        <f>IFERROR(INDEX('Email Cleaner'!$B$2:$B$10001,MATCH(7956,'Email Cleaner'!$I$2:$I$10001,0)),"")</f>
        <v/>
      </c>
    </row>
    <row r="7958">
      <c r="A7958">
        <f>IFERROR(INDEX('Email Cleaner'!$B$2:$B$10001,MATCH(7957,'Email Cleaner'!$I$2:$I$10001,0)),"")</f>
        <v/>
      </c>
    </row>
    <row r="7959">
      <c r="A7959">
        <f>IFERROR(INDEX('Email Cleaner'!$B$2:$B$10001,MATCH(7958,'Email Cleaner'!$I$2:$I$10001,0)),"")</f>
        <v/>
      </c>
    </row>
    <row r="7960">
      <c r="A7960">
        <f>IFERROR(INDEX('Email Cleaner'!$B$2:$B$10001,MATCH(7959,'Email Cleaner'!$I$2:$I$10001,0)),"")</f>
        <v/>
      </c>
    </row>
    <row r="7961">
      <c r="A7961">
        <f>IFERROR(INDEX('Email Cleaner'!$B$2:$B$10001,MATCH(7960,'Email Cleaner'!$I$2:$I$10001,0)),"")</f>
        <v/>
      </c>
    </row>
    <row r="7962">
      <c r="A7962">
        <f>IFERROR(INDEX('Email Cleaner'!$B$2:$B$10001,MATCH(7961,'Email Cleaner'!$I$2:$I$10001,0)),"")</f>
        <v/>
      </c>
    </row>
    <row r="7963">
      <c r="A7963">
        <f>IFERROR(INDEX('Email Cleaner'!$B$2:$B$10001,MATCH(7962,'Email Cleaner'!$I$2:$I$10001,0)),"")</f>
        <v/>
      </c>
    </row>
    <row r="7964">
      <c r="A7964">
        <f>IFERROR(INDEX('Email Cleaner'!$B$2:$B$10001,MATCH(7963,'Email Cleaner'!$I$2:$I$10001,0)),"")</f>
        <v/>
      </c>
    </row>
    <row r="7965">
      <c r="A7965">
        <f>IFERROR(INDEX('Email Cleaner'!$B$2:$B$10001,MATCH(7964,'Email Cleaner'!$I$2:$I$10001,0)),"")</f>
        <v/>
      </c>
    </row>
    <row r="7966">
      <c r="A7966">
        <f>IFERROR(INDEX('Email Cleaner'!$B$2:$B$10001,MATCH(7965,'Email Cleaner'!$I$2:$I$10001,0)),"")</f>
        <v/>
      </c>
    </row>
    <row r="7967">
      <c r="A7967">
        <f>IFERROR(INDEX('Email Cleaner'!$B$2:$B$10001,MATCH(7966,'Email Cleaner'!$I$2:$I$10001,0)),"")</f>
        <v/>
      </c>
    </row>
    <row r="7968">
      <c r="A7968">
        <f>IFERROR(INDEX('Email Cleaner'!$B$2:$B$10001,MATCH(7967,'Email Cleaner'!$I$2:$I$10001,0)),"")</f>
        <v/>
      </c>
    </row>
    <row r="7969">
      <c r="A7969">
        <f>IFERROR(INDEX('Email Cleaner'!$B$2:$B$10001,MATCH(7968,'Email Cleaner'!$I$2:$I$10001,0)),"")</f>
        <v/>
      </c>
    </row>
    <row r="7970">
      <c r="A7970">
        <f>IFERROR(INDEX('Email Cleaner'!$B$2:$B$10001,MATCH(7969,'Email Cleaner'!$I$2:$I$10001,0)),"")</f>
        <v/>
      </c>
    </row>
    <row r="7971">
      <c r="A7971">
        <f>IFERROR(INDEX('Email Cleaner'!$B$2:$B$10001,MATCH(7970,'Email Cleaner'!$I$2:$I$10001,0)),"")</f>
        <v/>
      </c>
    </row>
    <row r="7972">
      <c r="A7972">
        <f>IFERROR(INDEX('Email Cleaner'!$B$2:$B$10001,MATCH(7971,'Email Cleaner'!$I$2:$I$10001,0)),"")</f>
        <v/>
      </c>
    </row>
    <row r="7973">
      <c r="A7973">
        <f>IFERROR(INDEX('Email Cleaner'!$B$2:$B$10001,MATCH(7972,'Email Cleaner'!$I$2:$I$10001,0)),"")</f>
        <v/>
      </c>
    </row>
    <row r="7974">
      <c r="A7974">
        <f>IFERROR(INDEX('Email Cleaner'!$B$2:$B$10001,MATCH(7973,'Email Cleaner'!$I$2:$I$10001,0)),"")</f>
        <v/>
      </c>
    </row>
    <row r="7975">
      <c r="A7975">
        <f>IFERROR(INDEX('Email Cleaner'!$B$2:$B$10001,MATCH(7974,'Email Cleaner'!$I$2:$I$10001,0)),"")</f>
        <v/>
      </c>
    </row>
    <row r="7976">
      <c r="A7976">
        <f>IFERROR(INDEX('Email Cleaner'!$B$2:$B$10001,MATCH(7975,'Email Cleaner'!$I$2:$I$10001,0)),"")</f>
        <v/>
      </c>
    </row>
    <row r="7977">
      <c r="A7977">
        <f>IFERROR(INDEX('Email Cleaner'!$B$2:$B$10001,MATCH(7976,'Email Cleaner'!$I$2:$I$10001,0)),"")</f>
        <v/>
      </c>
    </row>
    <row r="7978">
      <c r="A7978">
        <f>IFERROR(INDEX('Email Cleaner'!$B$2:$B$10001,MATCH(7977,'Email Cleaner'!$I$2:$I$10001,0)),"")</f>
        <v/>
      </c>
    </row>
    <row r="7979">
      <c r="A7979">
        <f>IFERROR(INDEX('Email Cleaner'!$B$2:$B$10001,MATCH(7978,'Email Cleaner'!$I$2:$I$10001,0)),"")</f>
        <v/>
      </c>
    </row>
    <row r="7980">
      <c r="A7980">
        <f>IFERROR(INDEX('Email Cleaner'!$B$2:$B$10001,MATCH(7979,'Email Cleaner'!$I$2:$I$10001,0)),"")</f>
        <v/>
      </c>
    </row>
    <row r="7981">
      <c r="A7981">
        <f>IFERROR(INDEX('Email Cleaner'!$B$2:$B$10001,MATCH(7980,'Email Cleaner'!$I$2:$I$10001,0)),"")</f>
        <v/>
      </c>
    </row>
    <row r="7982">
      <c r="A7982">
        <f>IFERROR(INDEX('Email Cleaner'!$B$2:$B$10001,MATCH(7981,'Email Cleaner'!$I$2:$I$10001,0)),"")</f>
        <v/>
      </c>
    </row>
    <row r="7983">
      <c r="A7983">
        <f>IFERROR(INDEX('Email Cleaner'!$B$2:$B$10001,MATCH(7982,'Email Cleaner'!$I$2:$I$10001,0)),"")</f>
        <v/>
      </c>
    </row>
    <row r="7984">
      <c r="A7984">
        <f>IFERROR(INDEX('Email Cleaner'!$B$2:$B$10001,MATCH(7983,'Email Cleaner'!$I$2:$I$10001,0)),"")</f>
        <v/>
      </c>
    </row>
    <row r="7985">
      <c r="A7985">
        <f>IFERROR(INDEX('Email Cleaner'!$B$2:$B$10001,MATCH(7984,'Email Cleaner'!$I$2:$I$10001,0)),"")</f>
        <v/>
      </c>
    </row>
    <row r="7986">
      <c r="A7986">
        <f>IFERROR(INDEX('Email Cleaner'!$B$2:$B$10001,MATCH(7985,'Email Cleaner'!$I$2:$I$10001,0)),"")</f>
        <v/>
      </c>
    </row>
    <row r="7987">
      <c r="A7987">
        <f>IFERROR(INDEX('Email Cleaner'!$B$2:$B$10001,MATCH(7986,'Email Cleaner'!$I$2:$I$10001,0)),"")</f>
        <v/>
      </c>
    </row>
    <row r="7988">
      <c r="A7988">
        <f>IFERROR(INDEX('Email Cleaner'!$B$2:$B$10001,MATCH(7987,'Email Cleaner'!$I$2:$I$10001,0)),"")</f>
        <v/>
      </c>
    </row>
    <row r="7989">
      <c r="A7989">
        <f>IFERROR(INDEX('Email Cleaner'!$B$2:$B$10001,MATCH(7988,'Email Cleaner'!$I$2:$I$10001,0)),"")</f>
        <v/>
      </c>
    </row>
    <row r="7990">
      <c r="A7990">
        <f>IFERROR(INDEX('Email Cleaner'!$B$2:$B$10001,MATCH(7989,'Email Cleaner'!$I$2:$I$10001,0)),"")</f>
        <v/>
      </c>
    </row>
    <row r="7991">
      <c r="A7991">
        <f>IFERROR(INDEX('Email Cleaner'!$B$2:$B$10001,MATCH(7990,'Email Cleaner'!$I$2:$I$10001,0)),"")</f>
        <v/>
      </c>
    </row>
    <row r="7992">
      <c r="A7992">
        <f>IFERROR(INDEX('Email Cleaner'!$B$2:$B$10001,MATCH(7991,'Email Cleaner'!$I$2:$I$10001,0)),"")</f>
        <v/>
      </c>
    </row>
    <row r="7993">
      <c r="A7993">
        <f>IFERROR(INDEX('Email Cleaner'!$B$2:$B$10001,MATCH(7992,'Email Cleaner'!$I$2:$I$10001,0)),"")</f>
        <v/>
      </c>
    </row>
    <row r="7994">
      <c r="A7994">
        <f>IFERROR(INDEX('Email Cleaner'!$B$2:$B$10001,MATCH(7993,'Email Cleaner'!$I$2:$I$10001,0)),"")</f>
        <v/>
      </c>
    </row>
    <row r="7995">
      <c r="A7995">
        <f>IFERROR(INDEX('Email Cleaner'!$B$2:$B$10001,MATCH(7994,'Email Cleaner'!$I$2:$I$10001,0)),"")</f>
        <v/>
      </c>
    </row>
    <row r="7996">
      <c r="A7996">
        <f>IFERROR(INDEX('Email Cleaner'!$B$2:$B$10001,MATCH(7995,'Email Cleaner'!$I$2:$I$10001,0)),"")</f>
        <v/>
      </c>
    </row>
    <row r="7997">
      <c r="A7997">
        <f>IFERROR(INDEX('Email Cleaner'!$B$2:$B$10001,MATCH(7996,'Email Cleaner'!$I$2:$I$10001,0)),"")</f>
        <v/>
      </c>
    </row>
    <row r="7998">
      <c r="A7998">
        <f>IFERROR(INDEX('Email Cleaner'!$B$2:$B$10001,MATCH(7997,'Email Cleaner'!$I$2:$I$10001,0)),"")</f>
        <v/>
      </c>
    </row>
    <row r="7999">
      <c r="A7999">
        <f>IFERROR(INDEX('Email Cleaner'!$B$2:$B$10001,MATCH(7998,'Email Cleaner'!$I$2:$I$10001,0)),"")</f>
        <v/>
      </c>
    </row>
    <row r="8000">
      <c r="A8000">
        <f>IFERROR(INDEX('Email Cleaner'!$B$2:$B$10001,MATCH(7999,'Email Cleaner'!$I$2:$I$10001,0)),"")</f>
        <v/>
      </c>
    </row>
    <row r="8001">
      <c r="A8001">
        <f>IFERROR(INDEX('Email Cleaner'!$B$2:$B$10001,MATCH(8000,'Email Cleaner'!$I$2:$I$10001,0)),"")</f>
        <v/>
      </c>
    </row>
    <row r="8002">
      <c r="A8002">
        <f>IFERROR(INDEX('Email Cleaner'!$B$2:$B$10001,MATCH(8001,'Email Cleaner'!$I$2:$I$10001,0)),"")</f>
        <v/>
      </c>
    </row>
    <row r="8003">
      <c r="A8003">
        <f>IFERROR(INDEX('Email Cleaner'!$B$2:$B$10001,MATCH(8002,'Email Cleaner'!$I$2:$I$10001,0)),"")</f>
        <v/>
      </c>
    </row>
    <row r="8004">
      <c r="A8004">
        <f>IFERROR(INDEX('Email Cleaner'!$B$2:$B$10001,MATCH(8003,'Email Cleaner'!$I$2:$I$10001,0)),"")</f>
        <v/>
      </c>
    </row>
    <row r="8005">
      <c r="A8005">
        <f>IFERROR(INDEX('Email Cleaner'!$B$2:$B$10001,MATCH(8004,'Email Cleaner'!$I$2:$I$10001,0)),"")</f>
        <v/>
      </c>
    </row>
    <row r="8006">
      <c r="A8006">
        <f>IFERROR(INDEX('Email Cleaner'!$B$2:$B$10001,MATCH(8005,'Email Cleaner'!$I$2:$I$10001,0)),"")</f>
        <v/>
      </c>
    </row>
    <row r="8007">
      <c r="A8007">
        <f>IFERROR(INDEX('Email Cleaner'!$B$2:$B$10001,MATCH(8006,'Email Cleaner'!$I$2:$I$10001,0)),"")</f>
        <v/>
      </c>
    </row>
    <row r="8008">
      <c r="A8008">
        <f>IFERROR(INDEX('Email Cleaner'!$B$2:$B$10001,MATCH(8007,'Email Cleaner'!$I$2:$I$10001,0)),"")</f>
        <v/>
      </c>
    </row>
    <row r="8009">
      <c r="A8009">
        <f>IFERROR(INDEX('Email Cleaner'!$B$2:$B$10001,MATCH(8008,'Email Cleaner'!$I$2:$I$10001,0)),"")</f>
        <v/>
      </c>
    </row>
    <row r="8010">
      <c r="A8010">
        <f>IFERROR(INDEX('Email Cleaner'!$B$2:$B$10001,MATCH(8009,'Email Cleaner'!$I$2:$I$10001,0)),"")</f>
        <v/>
      </c>
    </row>
    <row r="8011">
      <c r="A8011">
        <f>IFERROR(INDEX('Email Cleaner'!$B$2:$B$10001,MATCH(8010,'Email Cleaner'!$I$2:$I$10001,0)),"")</f>
        <v/>
      </c>
    </row>
    <row r="8012">
      <c r="A8012">
        <f>IFERROR(INDEX('Email Cleaner'!$B$2:$B$10001,MATCH(8011,'Email Cleaner'!$I$2:$I$10001,0)),"")</f>
        <v/>
      </c>
    </row>
    <row r="8013">
      <c r="A8013">
        <f>IFERROR(INDEX('Email Cleaner'!$B$2:$B$10001,MATCH(8012,'Email Cleaner'!$I$2:$I$10001,0)),"")</f>
        <v/>
      </c>
    </row>
    <row r="8014">
      <c r="A8014">
        <f>IFERROR(INDEX('Email Cleaner'!$B$2:$B$10001,MATCH(8013,'Email Cleaner'!$I$2:$I$10001,0)),"")</f>
        <v/>
      </c>
    </row>
    <row r="8015">
      <c r="A8015">
        <f>IFERROR(INDEX('Email Cleaner'!$B$2:$B$10001,MATCH(8014,'Email Cleaner'!$I$2:$I$10001,0)),"")</f>
        <v/>
      </c>
    </row>
    <row r="8016">
      <c r="A8016">
        <f>IFERROR(INDEX('Email Cleaner'!$B$2:$B$10001,MATCH(8015,'Email Cleaner'!$I$2:$I$10001,0)),"")</f>
        <v/>
      </c>
    </row>
    <row r="8017">
      <c r="A8017">
        <f>IFERROR(INDEX('Email Cleaner'!$B$2:$B$10001,MATCH(8016,'Email Cleaner'!$I$2:$I$10001,0)),"")</f>
        <v/>
      </c>
    </row>
    <row r="8018">
      <c r="A8018">
        <f>IFERROR(INDEX('Email Cleaner'!$B$2:$B$10001,MATCH(8017,'Email Cleaner'!$I$2:$I$10001,0)),"")</f>
        <v/>
      </c>
    </row>
    <row r="8019">
      <c r="A8019">
        <f>IFERROR(INDEX('Email Cleaner'!$B$2:$B$10001,MATCH(8018,'Email Cleaner'!$I$2:$I$10001,0)),"")</f>
        <v/>
      </c>
    </row>
    <row r="8020">
      <c r="A8020">
        <f>IFERROR(INDEX('Email Cleaner'!$B$2:$B$10001,MATCH(8019,'Email Cleaner'!$I$2:$I$10001,0)),"")</f>
        <v/>
      </c>
    </row>
    <row r="8021">
      <c r="A8021">
        <f>IFERROR(INDEX('Email Cleaner'!$B$2:$B$10001,MATCH(8020,'Email Cleaner'!$I$2:$I$10001,0)),"")</f>
        <v/>
      </c>
    </row>
    <row r="8022">
      <c r="A8022">
        <f>IFERROR(INDEX('Email Cleaner'!$B$2:$B$10001,MATCH(8021,'Email Cleaner'!$I$2:$I$10001,0)),"")</f>
        <v/>
      </c>
    </row>
    <row r="8023">
      <c r="A8023">
        <f>IFERROR(INDEX('Email Cleaner'!$B$2:$B$10001,MATCH(8022,'Email Cleaner'!$I$2:$I$10001,0)),"")</f>
        <v/>
      </c>
    </row>
    <row r="8024">
      <c r="A8024">
        <f>IFERROR(INDEX('Email Cleaner'!$B$2:$B$10001,MATCH(8023,'Email Cleaner'!$I$2:$I$10001,0)),"")</f>
        <v/>
      </c>
    </row>
    <row r="8025">
      <c r="A8025">
        <f>IFERROR(INDEX('Email Cleaner'!$B$2:$B$10001,MATCH(8024,'Email Cleaner'!$I$2:$I$10001,0)),"")</f>
        <v/>
      </c>
    </row>
    <row r="8026">
      <c r="A8026">
        <f>IFERROR(INDEX('Email Cleaner'!$B$2:$B$10001,MATCH(8025,'Email Cleaner'!$I$2:$I$10001,0)),"")</f>
        <v/>
      </c>
    </row>
    <row r="8027">
      <c r="A8027">
        <f>IFERROR(INDEX('Email Cleaner'!$B$2:$B$10001,MATCH(8026,'Email Cleaner'!$I$2:$I$10001,0)),"")</f>
        <v/>
      </c>
    </row>
    <row r="8028">
      <c r="A8028">
        <f>IFERROR(INDEX('Email Cleaner'!$B$2:$B$10001,MATCH(8027,'Email Cleaner'!$I$2:$I$10001,0)),"")</f>
        <v/>
      </c>
    </row>
    <row r="8029">
      <c r="A8029">
        <f>IFERROR(INDEX('Email Cleaner'!$B$2:$B$10001,MATCH(8028,'Email Cleaner'!$I$2:$I$10001,0)),"")</f>
        <v/>
      </c>
    </row>
    <row r="8030">
      <c r="A8030">
        <f>IFERROR(INDEX('Email Cleaner'!$B$2:$B$10001,MATCH(8029,'Email Cleaner'!$I$2:$I$10001,0)),"")</f>
        <v/>
      </c>
    </row>
    <row r="8031">
      <c r="A8031">
        <f>IFERROR(INDEX('Email Cleaner'!$B$2:$B$10001,MATCH(8030,'Email Cleaner'!$I$2:$I$10001,0)),"")</f>
        <v/>
      </c>
    </row>
    <row r="8032">
      <c r="A8032">
        <f>IFERROR(INDEX('Email Cleaner'!$B$2:$B$10001,MATCH(8031,'Email Cleaner'!$I$2:$I$10001,0)),"")</f>
        <v/>
      </c>
    </row>
    <row r="8033">
      <c r="A8033">
        <f>IFERROR(INDEX('Email Cleaner'!$B$2:$B$10001,MATCH(8032,'Email Cleaner'!$I$2:$I$10001,0)),"")</f>
        <v/>
      </c>
    </row>
    <row r="8034">
      <c r="A8034">
        <f>IFERROR(INDEX('Email Cleaner'!$B$2:$B$10001,MATCH(8033,'Email Cleaner'!$I$2:$I$10001,0)),"")</f>
        <v/>
      </c>
    </row>
    <row r="8035">
      <c r="A8035">
        <f>IFERROR(INDEX('Email Cleaner'!$B$2:$B$10001,MATCH(8034,'Email Cleaner'!$I$2:$I$10001,0)),"")</f>
        <v/>
      </c>
    </row>
    <row r="8036">
      <c r="A8036">
        <f>IFERROR(INDEX('Email Cleaner'!$B$2:$B$10001,MATCH(8035,'Email Cleaner'!$I$2:$I$10001,0)),"")</f>
        <v/>
      </c>
    </row>
    <row r="8037">
      <c r="A8037">
        <f>IFERROR(INDEX('Email Cleaner'!$B$2:$B$10001,MATCH(8036,'Email Cleaner'!$I$2:$I$10001,0)),"")</f>
        <v/>
      </c>
    </row>
    <row r="8038">
      <c r="A8038">
        <f>IFERROR(INDEX('Email Cleaner'!$B$2:$B$10001,MATCH(8037,'Email Cleaner'!$I$2:$I$10001,0)),"")</f>
        <v/>
      </c>
    </row>
    <row r="8039">
      <c r="A8039">
        <f>IFERROR(INDEX('Email Cleaner'!$B$2:$B$10001,MATCH(8038,'Email Cleaner'!$I$2:$I$10001,0)),"")</f>
        <v/>
      </c>
    </row>
    <row r="8040">
      <c r="A8040">
        <f>IFERROR(INDEX('Email Cleaner'!$B$2:$B$10001,MATCH(8039,'Email Cleaner'!$I$2:$I$10001,0)),"")</f>
        <v/>
      </c>
    </row>
    <row r="8041">
      <c r="A8041">
        <f>IFERROR(INDEX('Email Cleaner'!$B$2:$B$10001,MATCH(8040,'Email Cleaner'!$I$2:$I$10001,0)),"")</f>
        <v/>
      </c>
    </row>
    <row r="8042">
      <c r="A8042">
        <f>IFERROR(INDEX('Email Cleaner'!$B$2:$B$10001,MATCH(8041,'Email Cleaner'!$I$2:$I$10001,0)),"")</f>
        <v/>
      </c>
    </row>
    <row r="8043">
      <c r="A8043">
        <f>IFERROR(INDEX('Email Cleaner'!$B$2:$B$10001,MATCH(8042,'Email Cleaner'!$I$2:$I$10001,0)),"")</f>
        <v/>
      </c>
    </row>
    <row r="8044">
      <c r="A8044">
        <f>IFERROR(INDEX('Email Cleaner'!$B$2:$B$10001,MATCH(8043,'Email Cleaner'!$I$2:$I$10001,0)),"")</f>
        <v/>
      </c>
    </row>
    <row r="8045">
      <c r="A8045">
        <f>IFERROR(INDEX('Email Cleaner'!$B$2:$B$10001,MATCH(8044,'Email Cleaner'!$I$2:$I$10001,0)),"")</f>
        <v/>
      </c>
    </row>
    <row r="8046">
      <c r="A8046">
        <f>IFERROR(INDEX('Email Cleaner'!$B$2:$B$10001,MATCH(8045,'Email Cleaner'!$I$2:$I$10001,0)),"")</f>
        <v/>
      </c>
    </row>
    <row r="8047">
      <c r="A8047">
        <f>IFERROR(INDEX('Email Cleaner'!$B$2:$B$10001,MATCH(8046,'Email Cleaner'!$I$2:$I$10001,0)),"")</f>
        <v/>
      </c>
    </row>
    <row r="8048">
      <c r="A8048">
        <f>IFERROR(INDEX('Email Cleaner'!$B$2:$B$10001,MATCH(8047,'Email Cleaner'!$I$2:$I$10001,0)),"")</f>
        <v/>
      </c>
    </row>
    <row r="8049">
      <c r="A8049">
        <f>IFERROR(INDEX('Email Cleaner'!$B$2:$B$10001,MATCH(8048,'Email Cleaner'!$I$2:$I$10001,0)),"")</f>
        <v/>
      </c>
    </row>
    <row r="8050">
      <c r="A8050">
        <f>IFERROR(INDEX('Email Cleaner'!$B$2:$B$10001,MATCH(8049,'Email Cleaner'!$I$2:$I$10001,0)),"")</f>
        <v/>
      </c>
    </row>
    <row r="8051">
      <c r="A8051">
        <f>IFERROR(INDEX('Email Cleaner'!$B$2:$B$10001,MATCH(8050,'Email Cleaner'!$I$2:$I$10001,0)),"")</f>
        <v/>
      </c>
    </row>
    <row r="8052">
      <c r="A8052">
        <f>IFERROR(INDEX('Email Cleaner'!$B$2:$B$10001,MATCH(8051,'Email Cleaner'!$I$2:$I$10001,0)),"")</f>
        <v/>
      </c>
    </row>
    <row r="8053">
      <c r="A8053">
        <f>IFERROR(INDEX('Email Cleaner'!$B$2:$B$10001,MATCH(8052,'Email Cleaner'!$I$2:$I$10001,0)),"")</f>
        <v/>
      </c>
    </row>
    <row r="8054">
      <c r="A8054">
        <f>IFERROR(INDEX('Email Cleaner'!$B$2:$B$10001,MATCH(8053,'Email Cleaner'!$I$2:$I$10001,0)),"")</f>
        <v/>
      </c>
    </row>
    <row r="8055">
      <c r="A8055">
        <f>IFERROR(INDEX('Email Cleaner'!$B$2:$B$10001,MATCH(8054,'Email Cleaner'!$I$2:$I$10001,0)),"")</f>
        <v/>
      </c>
    </row>
    <row r="8056">
      <c r="A8056">
        <f>IFERROR(INDEX('Email Cleaner'!$B$2:$B$10001,MATCH(8055,'Email Cleaner'!$I$2:$I$10001,0)),"")</f>
        <v/>
      </c>
    </row>
    <row r="8057">
      <c r="A8057">
        <f>IFERROR(INDEX('Email Cleaner'!$B$2:$B$10001,MATCH(8056,'Email Cleaner'!$I$2:$I$10001,0)),"")</f>
        <v/>
      </c>
    </row>
    <row r="8058">
      <c r="A8058">
        <f>IFERROR(INDEX('Email Cleaner'!$B$2:$B$10001,MATCH(8057,'Email Cleaner'!$I$2:$I$10001,0)),"")</f>
        <v/>
      </c>
    </row>
    <row r="8059">
      <c r="A8059">
        <f>IFERROR(INDEX('Email Cleaner'!$B$2:$B$10001,MATCH(8058,'Email Cleaner'!$I$2:$I$10001,0)),"")</f>
        <v/>
      </c>
    </row>
    <row r="8060">
      <c r="A8060">
        <f>IFERROR(INDEX('Email Cleaner'!$B$2:$B$10001,MATCH(8059,'Email Cleaner'!$I$2:$I$10001,0)),"")</f>
        <v/>
      </c>
    </row>
    <row r="8061">
      <c r="A8061">
        <f>IFERROR(INDEX('Email Cleaner'!$B$2:$B$10001,MATCH(8060,'Email Cleaner'!$I$2:$I$10001,0)),"")</f>
        <v/>
      </c>
    </row>
    <row r="8062">
      <c r="A8062">
        <f>IFERROR(INDEX('Email Cleaner'!$B$2:$B$10001,MATCH(8061,'Email Cleaner'!$I$2:$I$10001,0)),"")</f>
        <v/>
      </c>
    </row>
    <row r="8063">
      <c r="A8063">
        <f>IFERROR(INDEX('Email Cleaner'!$B$2:$B$10001,MATCH(8062,'Email Cleaner'!$I$2:$I$10001,0)),"")</f>
        <v/>
      </c>
    </row>
    <row r="8064">
      <c r="A8064">
        <f>IFERROR(INDEX('Email Cleaner'!$B$2:$B$10001,MATCH(8063,'Email Cleaner'!$I$2:$I$10001,0)),"")</f>
        <v/>
      </c>
    </row>
    <row r="8065">
      <c r="A8065">
        <f>IFERROR(INDEX('Email Cleaner'!$B$2:$B$10001,MATCH(8064,'Email Cleaner'!$I$2:$I$10001,0)),"")</f>
        <v/>
      </c>
    </row>
    <row r="8066">
      <c r="A8066">
        <f>IFERROR(INDEX('Email Cleaner'!$B$2:$B$10001,MATCH(8065,'Email Cleaner'!$I$2:$I$10001,0)),"")</f>
        <v/>
      </c>
    </row>
    <row r="8067">
      <c r="A8067">
        <f>IFERROR(INDEX('Email Cleaner'!$B$2:$B$10001,MATCH(8066,'Email Cleaner'!$I$2:$I$10001,0)),"")</f>
        <v/>
      </c>
    </row>
    <row r="8068">
      <c r="A8068">
        <f>IFERROR(INDEX('Email Cleaner'!$B$2:$B$10001,MATCH(8067,'Email Cleaner'!$I$2:$I$10001,0)),"")</f>
        <v/>
      </c>
    </row>
    <row r="8069">
      <c r="A8069">
        <f>IFERROR(INDEX('Email Cleaner'!$B$2:$B$10001,MATCH(8068,'Email Cleaner'!$I$2:$I$10001,0)),"")</f>
        <v/>
      </c>
    </row>
    <row r="8070">
      <c r="A8070">
        <f>IFERROR(INDEX('Email Cleaner'!$B$2:$B$10001,MATCH(8069,'Email Cleaner'!$I$2:$I$10001,0)),"")</f>
        <v/>
      </c>
    </row>
    <row r="8071">
      <c r="A8071">
        <f>IFERROR(INDEX('Email Cleaner'!$B$2:$B$10001,MATCH(8070,'Email Cleaner'!$I$2:$I$10001,0)),"")</f>
        <v/>
      </c>
    </row>
    <row r="8072">
      <c r="A8072">
        <f>IFERROR(INDEX('Email Cleaner'!$B$2:$B$10001,MATCH(8071,'Email Cleaner'!$I$2:$I$10001,0)),"")</f>
        <v/>
      </c>
    </row>
    <row r="8073">
      <c r="A8073">
        <f>IFERROR(INDEX('Email Cleaner'!$B$2:$B$10001,MATCH(8072,'Email Cleaner'!$I$2:$I$10001,0)),"")</f>
        <v/>
      </c>
    </row>
    <row r="8074">
      <c r="A8074">
        <f>IFERROR(INDEX('Email Cleaner'!$B$2:$B$10001,MATCH(8073,'Email Cleaner'!$I$2:$I$10001,0)),"")</f>
        <v/>
      </c>
    </row>
    <row r="8075">
      <c r="A8075">
        <f>IFERROR(INDEX('Email Cleaner'!$B$2:$B$10001,MATCH(8074,'Email Cleaner'!$I$2:$I$10001,0)),"")</f>
        <v/>
      </c>
    </row>
    <row r="8076">
      <c r="A8076">
        <f>IFERROR(INDEX('Email Cleaner'!$B$2:$B$10001,MATCH(8075,'Email Cleaner'!$I$2:$I$10001,0)),"")</f>
        <v/>
      </c>
    </row>
    <row r="8077">
      <c r="A8077">
        <f>IFERROR(INDEX('Email Cleaner'!$B$2:$B$10001,MATCH(8076,'Email Cleaner'!$I$2:$I$10001,0)),"")</f>
        <v/>
      </c>
    </row>
    <row r="8078">
      <c r="A8078">
        <f>IFERROR(INDEX('Email Cleaner'!$B$2:$B$10001,MATCH(8077,'Email Cleaner'!$I$2:$I$10001,0)),"")</f>
        <v/>
      </c>
    </row>
    <row r="8079">
      <c r="A8079">
        <f>IFERROR(INDEX('Email Cleaner'!$B$2:$B$10001,MATCH(8078,'Email Cleaner'!$I$2:$I$10001,0)),"")</f>
        <v/>
      </c>
    </row>
    <row r="8080">
      <c r="A8080">
        <f>IFERROR(INDEX('Email Cleaner'!$B$2:$B$10001,MATCH(8079,'Email Cleaner'!$I$2:$I$10001,0)),"")</f>
        <v/>
      </c>
    </row>
    <row r="8081">
      <c r="A8081">
        <f>IFERROR(INDEX('Email Cleaner'!$B$2:$B$10001,MATCH(8080,'Email Cleaner'!$I$2:$I$10001,0)),"")</f>
        <v/>
      </c>
    </row>
    <row r="8082">
      <c r="A8082">
        <f>IFERROR(INDEX('Email Cleaner'!$B$2:$B$10001,MATCH(8081,'Email Cleaner'!$I$2:$I$10001,0)),"")</f>
        <v/>
      </c>
    </row>
    <row r="8083">
      <c r="A8083">
        <f>IFERROR(INDEX('Email Cleaner'!$B$2:$B$10001,MATCH(8082,'Email Cleaner'!$I$2:$I$10001,0)),"")</f>
        <v/>
      </c>
    </row>
    <row r="8084">
      <c r="A8084">
        <f>IFERROR(INDEX('Email Cleaner'!$B$2:$B$10001,MATCH(8083,'Email Cleaner'!$I$2:$I$10001,0)),"")</f>
        <v/>
      </c>
    </row>
    <row r="8085">
      <c r="A8085">
        <f>IFERROR(INDEX('Email Cleaner'!$B$2:$B$10001,MATCH(8084,'Email Cleaner'!$I$2:$I$10001,0)),"")</f>
        <v/>
      </c>
    </row>
    <row r="8086">
      <c r="A8086">
        <f>IFERROR(INDEX('Email Cleaner'!$B$2:$B$10001,MATCH(8085,'Email Cleaner'!$I$2:$I$10001,0)),"")</f>
        <v/>
      </c>
    </row>
    <row r="8087">
      <c r="A8087">
        <f>IFERROR(INDEX('Email Cleaner'!$B$2:$B$10001,MATCH(8086,'Email Cleaner'!$I$2:$I$10001,0)),"")</f>
        <v/>
      </c>
    </row>
    <row r="8088">
      <c r="A8088">
        <f>IFERROR(INDEX('Email Cleaner'!$B$2:$B$10001,MATCH(8087,'Email Cleaner'!$I$2:$I$10001,0)),"")</f>
        <v/>
      </c>
    </row>
    <row r="8089">
      <c r="A8089">
        <f>IFERROR(INDEX('Email Cleaner'!$B$2:$B$10001,MATCH(8088,'Email Cleaner'!$I$2:$I$10001,0)),"")</f>
        <v/>
      </c>
    </row>
    <row r="8090">
      <c r="A8090">
        <f>IFERROR(INDEX('Email Cleaner'!$B$2:$B$10001,MATCH(8089,'Email Cleaner'!$I$2:$I$10001,0)),"")</f>
        <v/>
      </c>
    </row>
    <row r="8091">
      <c r="A8091">
        <f>IFERROR(INDEX('Email Cleaner'!$B$2:$B$10001,MATCH(8090,'Email Cleaner'!$I$2:$I$10001,0)),"")</f>
        <v/>
      </c>
    </row>
    <row r="8092">
      <c r="A8092">
        <f>IFERROR(INDEX('Email Cleaner'!$B$2:$B$10001,MATCH(8091,'Email Cleaner'!$I$2:$I$10001,0)),"")</f>
        <v/>
      </c>
    </row>
    <row r="8093">
      <c r="A8093">
        <f>IFERROR(INDEX('Email Cleaner'!$B$2:$B$10001,MATCH(8092,'Email Cleaner'!$I$2:$I$10001,0)),"")</f>
        <v/>
      </c>
    </row>
    <row r="8094">
      <c r="A8094">
        <f>IFERROR(INDEX('Email Cleaner'!$B$2:$B$10001,MATCH(8093,'Email Cleaner'!$I$2:$I$10001,0)),"")</f>
        <v/>
      </c>
    </row>
    <row r="8095">
      <c r="A8095">
        <f>IFERROR(INDEX('Email Cleaner'!$B$2:$B$10001,MATCH(8094,'Email Cleaner'!$I$2:$I$10001,0)),"")</f>
        <v/>
      </c>
    </row>
    <row r="8096">
      <c r="A8096">
        <f>IFERROR(INDEX('Email Cleaner'!$B$2:$B$10001,MATCH(8095,'Email Cleaner'!$I$2:$I$10001,0)),"")</f>
        <v/>
      </c>
    </row>
    <row r="8097">
      <c r="A8097">
        <f>IFERROR(INDEX('Email Cleaner'!$B$2:$B$10001,MATCH(8096,'Email Cleaner'!$I$2:$I$10001,0)),"")</f>
        <v/>
      </c>
    </row>
    <row r="8098">
      <c r="A8098">
        <f>IFERROR(INDEX('Email Cleaner'!$B$2:$B$10001,MATCH(8097,'Email Cleaner'!$I$2:$I$10001,0)),"")</f>
        <v/>
      </c>
    </row>
    <row r="8099">
      <c r="A8099">
        <f>IFERROR(INDEX('Email Cleaner'!$B$2:$B$10001,MATCH(8098,'Email Cleaner'!$I$2:$I$10001,0)),"")</f>
        <v/>
      </c>
    </row>
    <row r="8100">
      <c r="A8100">
        <f>IFERROR(INDEX('Email Cleaner'!$B$2:$B$10001,MATCH(8099,'Email Cleaner'!$I$2:$I$10001,0)),"")</f>
        <v/>
      </c>
    </row>
    <row r="8101">
      <c r="A8101">
        <f>IFERROR(INDEX('Email Cleaner'!$B$2:$B$10001,MATCH(8100,'Email Cleaner'!$I$2:$I$10001,0)),"")</f>
        <v/>
      </c>
    </row>
    <row r="8102">
      <c r="A8102">
        <f>IFERROR(INDEX('Email Cleaner'!$B$2:$B$10001,MATCH(8101,'Email Cleaner'!$I$2:$I$10001,0)),"")</f>
        <v/>
      </c>
    </row>
    <row r="8103">
      <c r="A8103">
        <f>IFERROR(INDEX('Email Cleaner'!$B$2:$B$10001,MATCH(8102,'Email Cleaner'!$I$2:$I$10001,0)),"")</f>
        <v/>
      </c>
    </row>
    <row r="8104">
      <c r="A8104">
        <f>IFERROR(INDEX('Email Cleaner'!$B$2:$B$10001,MATCH(8103,'Email Cleaner'!$I$2:$I$10001,0)),"")</f>
        <v/>
      </c>
    </row>
    <row r="8105">
      <c r="A8105">
        <f>IFERROR(INDEX('Email Cleaner'!$B$2:$B$10001,MATCH(8104,'Email Cleaner'!$I$2:$I$10001,0)),"")</f>
        <v/>
      </c>
    </row>
    <row r="8106">
      <c r="A8106">
        <f>IFERROR(INDEX('Email Cleaner'!$B$2:$B$10001,MATCH(8105,'Email Cleaner'!$I$2:$I$10001,0)),"")</f>
        <v/>
      </c>
    </row>
    <row r="8107">
      <c r="A8107">
        <f>IFERROR(INDEX('Email Cleaner'!$B$2:$B$10001,MATCH(8106,'Email Cleaner'!$I$2:$I$10001,0)),"")</f>
        <v/>
      </c>
    </row>
    <row r="8108">
      <c r="A8108">
        <f>IFERROR(INDEX('Email Cleaner'!$B$2:$B$10001,MATCH(8107,'Email Cleaner'!$I$2:$I$10001,0)),"")</f>
        <v/>
      </c>
    </row>
    <row r="8109">
      <c r="A8109">
        <f>IFERROR(INDEX('Email Cleaner'!$B$2:$B$10001,MATCH(8108,'Email Cleaner'!$I$2:$I$10001,0)),"")</f>
        <v/>
      </c>
    </row>
    <row r="8110">
      <c r="A8110">
        <f>IFERROR(INDEX('Email Cleaner'!$B$2:$B$10001,MATCH(8109,'Email Cleaner'!$I$2:$I$10001,0)),"")</f>
        <v/>
      </c>
    </row>
    <row r="8111">
      <c r="A8111">
        <f>IFERROR(INDEX('Email Cleaner'!$B$2:$B$10001,MATCH(8110,'Email Cleaner'!$I$2:$I$10001,0)),"")</f>
        <v/>
      </c>
    </row>
    <row r="8112">
      <c r="A8112">
        <f>IFERROR(INDEX('Email Cleaner'!$B$2:$B$10001,MATCH(8111,'Email Cleaner'!$I$2:$I$10001,0)),"")</f>
        <v/>
      </c>
    </row>
    <row r="8113">
      <c r="A8113">
        <f>IFERROR(INDEX('Email Cleaner'!$B$2:$B$10001,MATCH(8112,'Email Cleaner'!$I$2:$I$10001,0)),"")</f>
        <v/>
      </c>
    </row>
    <row r="8114">
      <c r="A8114">
        <f>IFERROR(INDEX('Email Cleaner'!$B$2:$B$10001,MATCH(8113,'Email Cleaner'!$I$2:$I$10001,0)),"")</f>
        <v/>
      </c>
    </row>
    <row r="8115">
      <c r="A8115">
        <f>IFERROR(INDEX('Email Cleaner'!$B$2:$B$10001,MATCH(8114,'Email Cleaner'!$I$2:$I$10001,0)),"")</f>
        <v/>
      </c>
    </row>
    <row r="8116">
      <c r="A8116">
        <f>IFERROR(INDEX('Email Cleaner'!$B$2:$B$10001,MATCH(8115,'Email Cleaner'!$I$2:$I$10001,0)),"")</f>
        <v/>
      </c>
    </row>
    <row r="8117">
      <c r="A8117">
        <f>IFERROR(INDEX('Email Cleaner'!$B$2:$B$10001,MATCH(8116,'Email Cleaner'!$I$2:$I$10001,0)),"")</f>
        <v/>
      </c>
    </row>
    <row r="8118">
      <c r="A8118">
        <f>IFERROR(INDEX('Email Cleaner'!$B$2:$B$10001,MATCH(8117,'Email Cleaner'!$I$2:$I$10001,0)),"")</f>
        <v/>
      </c>
    </row>
    <row r="8119">
      <c r="A8119">
        <f>IFERROR(INDEX('Email Cleaner'!$B$2:$B$10001,MATCH(8118,'Email Cleaner'!$I$2:$I$10001,0)),"")</f>
        <v/>
      </c>
    </row>
    <row r="8120">
      <c r="A8120">
        <f>IFERROR(INDEX('Email Cleaner'!$B$2:$B$10001,MATCH(8119,'Email Cleaner'!$I$2:$I$10001,0)),"")</f>
        <v/>
      </c>
    </row>
    <row r="8121">
      <c r="A8121">
        <f>IFERROR(INDEX('Email Cleaner'!$B$2:$B$10001,MATCH(8120,'Email Cleaner'!$I$2:$I$10001,0)),"")</f>
        <v/>
      </c>
    </row>
    <row r="8122">
      <c r="A8122">
        <f>IFERROR(INDEX('Email Cleaner'!$B$2:$B$10001,MATCH(8121,'Email Cleaner'!$I$2:$I$10001,0)),"")</f>
        <v/>
      </c>
    </row>
    <row r="8123">
      <c r="A8123">
        <f>IFERROR(INDEX('Email Cleaner'!$B$2:$B$10001,MATCH(8122,'Email Cleaner'!$I$2:$I$10001,0)),"")</f>
        <v/>
      </c>
    </row>
    <row r="8124">
      <c r="A8124">
        <f>IFERROR(INDEX('Email Cleaner'!$B$2:$B$10001,MATCH(8123,'Email Cleaner'!$I$2:$I$10001,0)),"")</f>
        <v/>
      </c>
    </row>
    <row r="8125">
      <c r="A8125">
        <f>IFERROR(INDEX('Email Cleaner'!$B$2:$B$10001,MATCH(8124,'Email Cleaner'!$I$2:$I$10001,0)),"")</f>
        <v/>
      </c>
    </row>
    <row r="8126">
      <c r="A8126">
        <f>IFERROR(INDEX('Email Cleaner'!$B$2:$B$10001,MATCH(8125,'Email Cleaner'!$I$2:$I$10001,0)),"")</f>
        <v/>
      </c>
    </row>
    <row r="8127">
      <c r="A8127">
        <f>IFERROR(INDEX('Email Cleaner'!$B$2:$B$10001,MATCH(8126,'Email Cleaner'!$I$2:$I$10001,0)),"")</f>
        <v/>
      </c>
    </row>
    <row r="8128">
      <c r="A8128">
        <f>IFERROR(INDEX('Email Cleaner'!$B$2:$B$10001,MATCH(8127,'Email Cleaner'!$I$2:$I$10001,0)),"")</f>
        <v/>
      </c>
    </row>
    <row r="8129">
      <c r="A8129">
        <f>IFERROR(INDEX('Email Cleaner'!$B$2:$B$10001,MATCH(8128,'Email Cleaner'!$I$2:$I$10001,0)),"")</f>
        <v/>
      </c>
    </row>
    <row r="8130">
      <c r="A8130">
        <f>IFERROR(INDEX('Email Cleaner'!$B$2:$B$10001,MATCH(8129,'Email Cleaner'!$I$2:$I$10001,0)),"")</f>
        <v/>
      </c>
    </row>
    <row r="8131">
      <c r="A8131">
        <f>IFERROR(INDEX('Email Cleaner'!$B$2:$B$10001,MATCH(8130,'Email Cleaner'!$I$2:$I$10001,0)),"")</f>
        <v/>
      </c>
    </row>
    <row r="8132">
      <c r="A8132">
        <f>IFERROR(INDEX('Email Cleaner'!$B$2:$B$10001,MATCH(8131,'Email Cleaner'!$I$2:$I$10001,0)),"")</f>
        <v/>
      </c>
    </row>
    <row r="8133">
      <c r="A8133">
        <f>IFERROR(INDEX('Email Cleaner'!$B$2:$B$10001,MATCH(8132,'Email Cleaner'!$I$2:$I$10001,0)),"")</f>
        <v/>
      </c>
    </row>
    <row r="8134">
      <c r="A8134">
        <f>IFERROR(INDEX('Email Cleaner'!$B$2:$B$10001,MATCH(8133,'Email Cleaner'!$I$2:$I$10001,0)),"")</f>
        <v/>
      </c>
    </row>
    <row r="8135">
      <c r="A8135">
        <f>IFERROR(INDEX('Email Cleaner'!$B$2:$B$10001,MATCH(8134,'Email Cleaner'!$I$2:$I$10001,0)),"")</f>
        <v/>
      </c>
    </row>
    <row r="8136">
      <c r="A8136">
        <f>IFERROR(INDEX('Email Cleaner'!$B$2:$B$10001,MATCH(8135,'Email Cleaner'!$I$2:$I$10001,0)),"")</f>
        <v/>
      </c>
    </row>
    <row r="8137">
      <c r="A8137">
        <f>IFERROR(INDEX('Email Cleaner'!$B$2:$B$10001,MATCH(8136,'Email Cleaner'!$I$2:$I$10001,0)),"")</f>
        <v/>
      </c>
    </row>
    <row r="8138">
      <c r="A8138">
        <f>IFERROR(INDEX('Email Cleaner'!$B$2:$B$10001,MATCH(8137,'Email Cleaner'!$I$2:$I$10001,0)),"")</f>
        <v/>
      </c>
    </row>
    <row r="8139">
      <c r="A8139">
        <f>IFERROR(INDEX('Email Cleaner'!$B$2:$B$10001,MATCH(8138,'Email Cleaner'!$I$2:$I$10001,0)),"")</f>
        <v/>
      </c>
    </row>
    <row r="8140">
      <c r="A8140">
        <f>IFERROR(INDEX('Email Cleaner'!$B$2:$B$10001,MATCH(8139,'Email Cleaner'!$I$2:$I$10001,0)),"")</f>
        <v/>
      </c>
    </row>
    <row r="8141">
      <c r="A8141">
        <f>IFERROR(INDEX('Email Cleaner'!$B$2:$B$10001,MATCH(8140,'Email Cleaner'!$I$2:$I$10001,0)),"")</f>
        <v/>
      </c>
    </row>
    <row r="8142">
      <c r="A8142">
        <f>IFERROR(INDEX('Email Cleaner'!$B$2:$B$10001,MATCH(8141,'Email Cleaner'!$I$2:$I$10001,0)),"")</f>
        <v/>
      </c>
    </row>
    <row r="8143">
      <c r="A8143">
        <f>IFERROR(INDEX('Email Cleaner'!$B$2:$B$10001,MATCH(8142,'Email Cleaner'!$I$2:$I$10001,0)),"")</f>
        <v/>
      </c>
    </row>
    <row r="8144">
      <c r="A8144">
        <f>IFERROR(INDEX('Email Cleaner'!$B$2:$B$10001,MATCH(8143,'Email Cleaner'!$I$2:$I$10001,0)),"")</f>
        <v/>
      </c>
    </row>
    <row r="8145">
      <c r="A8145">
        <f>IFERROR(INDEX('Email Cleaner'!$B$2:$B$10001,MATCH(8144,'Email Cleaner'!$I$2:$I$10001,0)),"")</f>
        <v/>
      </c>
    </row>
    <row r="8146">
      <c r="A8146">
        <f>IFERROR(INDEX('Email Cleaner'!$B$2:$B$10001,MATCH(8145,'Email Cleaner'!$I$2:$I$10001,0)),"")</f>
        <v/>
      </c>
    </row>
    <row r="8147">
      <c r="A8147">
        <f>IFERROR(INDEX('Email Cleaner'!$B$2:$B$10001,MATCH(8146,'Email Cleaner'!$I$2:$I$10001,0)),"")</f>
        <v/>
      </c>
    </row>
    <row r="8148">
      <c r="A8148">
        <f>IFERROR(INDEX('Email Cleaner'!$B$2:$B$10001,MATCH(8147,'Email Cleaner'!$I$2:$I$10001,0)),"")</f>
        <v/>
      </c>
    </row>
    <row r="8149">
      <c r="A8149">
        <f>IFERROR(INDEX('Email Cleaner'!$B$2:$B$10001,MATCH(8148,'Email Cleaner'!$I$2:$I$10001,0)),"")</f>
        <v/>
      </c>
    </row>
    <row r="8150">
      <c r="A8150">
        <f>IFERROR(INDEX('Email Cleaner'!$B$2:$B$10001,MATCH(8149,'Email Cleaner'!$I$2:$I$10001,0)),"")</f>
        <v/>
      </c>
    </row>
    <row r="8151">
      <c r="A8151">
        <f>IFERROR(INDEX('Email Cleaner'!$B$2:$B$10001,MATCH(8150,'Email Cleaner'!$I$2:$I$10001,0)),"")</f>
        <v/>
      </c>
    </row>
    <row r="8152">
      <c r="A8152">
        <f>IFERROR(INDEX('Email Cleaner'!$B$2:$B$10001,MATCH(8151,'Email Cleaner'!$I$2:$I$10001,0)),"")</f>
        <v/>
      </c>
    </row>
    <row r="8153">
      <c r="A8153">
        <f>IFERROR(INDEX('Email Cleaner'!$B$2:$B$10001,MATCH(8152,'Email Cleaner'!$I$2:$I$10001,0)),"")</f>
        <v/>
      </c>
    </row>
    <row r="8154">
      <c r="A8154">
        <f>IFERROR(INDEX('Email Cleaner'!$B$2:$B$10001,MATCH(8153,'Email Cleaner'!$I$2:$I$10001,0)),"")</f>
        <v/>
      </c>
    </row>
    <row r="8155">
      <c r="A8155">
        <f>IFERROR(INDEX('Email Cleaner'!$B$2:$B$10001,MATCH(8154,'Email Cleaner'!$I$2:$I$10001,0)),"")</f>
        <v/>
      </c>
    </row>
    <row r="8156">
      <c r="A8156">
        <f>IFERROR(INDEX('Email Cleaner'!$B$2:$B$10001,MATCH(8155,'Email Cleaner'!$I$2:$I$10001,0)),"")</f>
        <v/>
      </c>
    </row>
    <row r="8157">
      <c r="A8157">
        <f>IFERROR(INDEX('Email Cleaner'!$B$2:$B$10001,MATCH(8156,'Email Cleaner'!$I$2:$I$10001,0)),"")</f>
        <v/>
      </c>
    </row>
    <row r="8158">
      <c r="A8158">
        <f>IFERROR(INDEX('Email Cleaner'!$B$2:$B$10001,MATCH(8157,'Email Cleaner'!$I$2:$I$10001,0)),"")</f>
        <v/>
      </c>
    </row>
    <row r="8159">
      <c r="A8159">
        <f>IFERROR(INDEX('Email Cleaner'!$B$2:$B$10001,MATCH(8158,'Email Cleaner'!$I$2:$I$10001,0)),"")</f>
        <v/>
      </c>
    </row>
    <row r="8160">
      <c r="A8160">
        <f>IFERROR(INDEX('Email Cleaner'!$B$2:$B$10001,MATCH(8159,'Email Cleaner'!$I$2:$I$10001,0)),"")</f>
        <v/>
      </c>
    </row>
    <row r="8161">
      <c r="A8161">
        <f>IFERROR(INDEX('Email Cleaner'!$B$2:$B$10001,MATCH(8160,'Email Cleaner'!$I$2:$I$10001,0)),"")</f>
        <v/>
      </c>
    </row>
    <row r="8162">
      <c r="A8162">
        <f>IFERROR(INDEX('Email Cleaner'!$B$2:$B$10001,MATCH(8161,'Email Cleaner'!$I$2:$I$10001,0)),"")</f>
        <v/>
      </c>
    </row>
    <row r="8163">
      <c r="A8163">
        <f>IFERROR(INDEX('Email Cleaner'!$B$2:$B$10001,MATCH(8162,'Email Cleaner'!$I$2:$I$10001,0)),"")</f>
        <v/>
      </c>
    </row>
    <row r="8164">
      <c r="A8164">
        <f>IFERROR(INDEX('Email Cleaner'!$B$2:$B$10001,MATCH(8163,'Email Cleaner'!$I$2:$I$10001,0)),"")</f>
        <v/>
      </c>
    </row>
    <row r="8165">
      <c r="A8165">
        <f>IFERROR(INDEX('Email Cleaner'!$B$2:$B$10001,MATCH(8164,'Email Cleaner'!$I$2:$I$10001,0)),"")</f>
        <v/>
      </c>
    </row>
    <row r="8166">
      <c r="A8166">
        <f>IFERROR(INDEX('Email Cleaner'!$B$2:$B$10001,MATCH(8165,'Email Cleaner'!$I$2:$I$10001,0)),"")</f>
        <v/>
      </c>
    </row>
    <row r="8167">
      <c r="A8167">
        <f>IFERROR(INDEX('Email Cleaner'!$B$2:$B$10001,MATCH(8166,'Email Cleaner'!$I$2:$I$10001,0)),"")</f>
        <v/>
      </c>
    </row>
    <row r="8168">
      <c r="A8168">
        <f>IFERROR(INDEX('Email Cleaner'!$B$2:$B$10001,MATCH(8167,'Email Cleaner'!$I$2:$I$10001,0)),"")</f>
        <v/>
      </c>
    </row>
    <row r="8169">
      <c r="A8169">
        <f>IFERROR(INDEX('Email Cleaner'!$B$2:$B$10001,MATCH(8168,'Email Cleaner'!$I$2:$I$10001,0)),"")</f>
        <v/>
      </c>
    </row>
    <row r="8170">
      <c r="A8170">
        <f>IFERROR(INDEX('Email Cleaner'!$B$2:$B$10001,MATCH(8169,'Email Cleaner'!$I$2:$I$10001,0)),"")</f>
        <v/>
      </c>
    </row>
    <row r="8171">
      <c r="A8171">
        <f>IFERROR(INDEX('Email Cleaner'!$B$2:$B$10001,MATCH(8170,'Email Cleaner'!$I$2:$I$10001,0)),"")</f>
        <v/>
      </c>
    </row>
    <row r="8172">
      <c r="A8172">
        <f>IFERROR(INDEX('Email Cleaner'!$B$2:$B$10001,MATCH(8171,'Email Cleaner'!$I$2:$I$10001,0)),"")</f>
        <v/>
      </c>
    </row>
    <row r="8173">
      <c r="A8173">
        <f>IFERROR(INDEX('Email Cleaner'!$B$2:$B$10001,MATCH(8172,'Email Cleaner'!$I$2:$I$10001,0)),"")</f>
        <v/>
      </c>
    </row>
    <row r="8174">
      <c r="A8174">
        <f>IFERROR(INDEX('Email Cleaner'!$B$2:$B$10001,MATCH(8173,'Email Cleaner'!$I$2:$I$10001,0)),"")</f>
        <v/>
      </c>
    </row>
    <row r="8175">
      <c r="A8175">
        <f>IFERROR(INDEX('Email Cleaner'!$B$2:$B$10001,MATCH(8174,'Email Cleaner'!$I$2:$I$10001,0)),"")</f>
        <v/>
      </c>
    </row>
    <row r="8176">
      <c r="A8176">
        <f>IFERROR(INDEX('Email Cleaner'!$B$2:$B$10001,MATCH(8175,'Email Cleaner'!$I$2:$I$10001,0)),"")</f>
        <v/>
      </c>
    </row>
    <row r="8177">
      <c r="A8177">
        <f>IFERROR(INDEX('Email Cleaner'!$B$2:$B$10001,MATCH(8176,'Email Cleaner'!$I$2:$I$10001,0)),"")</f>
        <v/>
      </c>
    </row>
    <row r="8178">
      <c r="A8178">
        <f>IFERROR(INDEX('Email Cleaner'!$B$2:$B$10001,MATCH(8177,'Email Cleaner'!$I$2:$I$10001,0)),"")</f>
        <v/>
      </c>
    </row>
    <row r="8179">
      <c r="A8179">
        <f>IFERROR(INDEX('Email Cleaner'!$B$2:$B$10001,MATCH(8178,'Email Cleaner'!$I$2:$I$10001,0)),"")</f>
        <v/>
      </c>
    </row>
    <row r="8180">
      <c r="A8180">
        <f>IFERROR(INDEX('Email Cleaner'!$B$2:$B$10001,MATCH(8179,'Email Cleaner'!$I$2:$I$10001,0)),"")</f>
        <v/>
      </c>
    </row>
    <row r="8181">
      <c r="A8181">
        <f>IFERROR(INDEX('Email Cleaner'!$B$2:$B$10001,MATCH(8180,'Email Cleaner'!$I$2:$I$10001,0)),"")</f>
        <v/>
      </c>
    </row>
    <row r="8182">
      <c r="A8182">
        <f>IFERROR(INDEX('Email Cleaner'!$B$2:$B$10001,MATCH(8181,'Email Cleaner'!$I$2:$I$10001,0)),"")</f>
        <v/>
      </c>
    </row>
    <row r="8183">
      <c r="A8183">
        <f>IFERROR(INDEX('Email Cleaner'!$B$2:$B$10001,MATCH(8182,'Email Cleaner'!$I$2:$I$10001,0)),"")</f>
        <v/>
      </c>
    </row>
    <row r="8184">
      <c r="A8184">
        <f>IFERROR(INDEX('Email Cleaner'!$B$2:$B$10001,MATCH(8183,'Email Cleaner'!$I$2:$I$10001,0)),"")</f>
        <v/>
      </c>
    </row>
    <row r="8185">
      <c r="A8185">
        <f>IFERROR(INDEX('Email Cleaner'!$B$2:$B$10001,MATCH(8184,'Email Cleaner'!$I$2:$I$10001,0)),"")</f>
        <v/>
      </c>
    </row>
    <row r="8186">
      <c r="A8186">
        <f>IFERROR(INDEX('Email Cleaner'!$B$2:$B$10001,MATCH(8185,'Email Cleaner'!$I$2:$I$10001,0)),"")</f>
        <v/>
      </c>
    </row>
    <row r="8187">
      <c r="A8187">
        <f>IFERROR(INDEX('Email Cleaner'!$B$2:$B$10001,MATCH(8186,'Email Cleaner'!$I$2:$I$10001,0)),"")</f>
        <v/>
      </c>
    </row>
    <row r="8188">
      <c r="A8188">
        <f>IFERROR(INDEX('Email Cleaner'!$B$2:$B$10001,MATCH(8187,'Email Cleaner'!$I$2:$I$10001,0)),"")</f>
        <v/>
      </c>
    </row>
    <row r="8189">
      <c r="A8189">
        <f>IFERROR(INDEX('Email Cleaner'!$B$2:$B$10001,MATCH(8188,'Email Cleaner'!$I$2:$I$10001,0)),"")</f>
        <v/>
      </c>
    </row>
    <row r="8190">
      <c r="A8190">
        <f>IFERROR(INDEX('Email Cleaner'!$B$2:$B$10001,MATCH(8189,'Email Cleaner'!$I$2:$I$10001,0)),"")</f>
        <v/>
      </c>
    </row>
    <row r="8191">
      <c r="A8191">
        <f>IFERROR(INDEX('Email Cleaner'!$B$2:$B$10001,MATCH(8190,'Email Cleaner'!$I$2:$I$10001,0)),"")</f>
        <v/>
      </c>
    </row>
    <row r="8192">
      <c r="A8192">
        <f>IFERROR(INDEX('Email Cleaner'!$B$2:$B$10001,MATCH(8191,'Email Cleaner'!$I$2:$I$10001,0)),"")</f>
        <v/>
      </c>
    </row>
    <row r="8193">
      <c r="A8193">
        <f>IFERROR(INDEX('Email Cleaner'!$B$2:$B$10001,MATCH(8192,'Email Cleaner'!$I$2:$I$10001,0)),"")</f>
        <v/>
      </c>
    </row>
    <row r="8194">
      <c r="A8194">
        <f>IFERROR(INDEX('Email Cleaner'!$B$2:$B$10001,MATCH(8193,'Email Cleaner'!$I$2:$I$10001,0)),"")</f>
        <v/>
      </c>
    </row>
    <row r="8195">
      <c r="A8195">
        <f>IFERROR(INDEX('Email Cleaner'!$B$2:$B$10001,MATCH(8194,'Email Cleaner'!$I$2:$I$10001,0)),"")</f>
        <v/>
      </c>
    </row>
    <row r="8196">
      <c r="A8196">
        <f>IFERROR(INDEX('Email Cleaner'!$B$2:$B$10001,MATCH(8195,'Email Cleaner'!$I$2:$I$10001,0)),"")</f>
        <v/>
      </c>
    </row>
    <row r="8197">
      <c r="A8197">
        <f>IFERROR(INDEX('Email Cleaner'!$B$2:$B$10001,MATCH(8196,'Email Cleaner'!$I$2:$I$10001,0)),"")</f>
        <v/>
      </c>
    </row>
    <row r="8198">
      <c r="A8198">
        <f>IFERROR(INDEX('Email Cleaner'!$B$2:$B$10001,MATCH(8197,'Email Cleaner'!$I$2:$I$10001,0)),"")</f>
        <v/>
      </c>
    </row>
    <row r="8199">
      <c r="A8199">
        <f>IFERROR(INDEX('Email Cleaner'!$B$2:$B$10001,MATCH(8198,'Email Cleaner'!$I$2:$I$10001,0)),"")</f>
        <v/>
      </c>
    </row>
    <row r="8200">
      <c r="A8200">
        <f>IFERROR(INDEX('Email Cleaner'!$B$2:$B$10001,MATCH(8199,'Email Cleaner'!$I$2:$I$10001,0)),"")</f>
        <v/>
      </c>
    </row>
    <row r="8201">
      <c r="A8201">
        <f>IFERROR(INDEX('Email Cleaner'!$B$2:$B$10001,MATCH(8200,'Email Cleaner'!$I$2:$I$10001,0)),"")</f>
        <v/>
      </c>
    </row>
    <row r="8202">
      <c r="A8202">
        <f>IFERROR(INDEX('Email Cleaner'!$B$2:$B$10001,MATCH(8201,'Email Cleaner'!$I$2:$I$10001,0)),"")</f>
        <v/>
      </c>
    </row>
    <row r="8203">
      <c r="A8203">
        <f>IFERROR(INDEX('Email Cleaner'!$B$2:$B$10001,MATCH(8202,'Email Cleaner'!$I$2:$I$10001,0)),"")</f>
        <v/>
      </c>
    </row>
    <row r="8204">
      <c r="A8204">
        <f>IFERROR(INDEX('Email Cleaner'!$B$2:$B$10001,MATCH(8203,'Email Cleaner'!$I$2:$I$10001,0)),"")</f>
        <v/>
      </c>
    </row>
    <row r="8205">
      <c r="A8205">
        <f>IFERROR(INDEX('Email Cleaner'!$B$2:$B$10001,MATCH(8204,'Email Cleaner'!$I$2:$I$10001,0)),"")</f>
        <v/>
      </c>
    </row>
    <row r="8206">
      <c r="A8206">
        <f>IFERROR(INDEX('Email Cleaner'!$B$2:$B$10001,MATCH(8205,'Email Cleaner'!$I$2:$I$10001,0)),"")</f>
        <v/>
      </c>
    </row>
    <row r="8207">
      <c r="A8207">
        <f>IFERROR(INDEX('Email Cleaner'!$B$2:$B$10001,MATCH(8206,'Email Cleaner'!$I$2:$I$10001,0)),"")</f>
        <v/>
      </c>
    </row>
    <row r="8208">
      <c r="A8208">
        <f>IFERROR(INDEX('Email Cleaner'!$B$2:$B$10001,MATCH(8207,'Email Cleaner'!$I$2:$I$10001,0)),"")</f>
        <v/>
      </c>
    </row>
    <row r="8209">
      <c r="A8209">
        <f>IFERROR(INDEX('Email Cleaner'!$B$2:$B$10001,MATCH(8208,'Email Cleaner'!$I$2:$I$10001,0)),"")</f>
        <v/>
      </c>
    </row>
    <row r="8210">
      <c r="A8210">
        <f>IFERROR(INDEX('Email Cleaner'!$B$2:$B$10001,MATCH(8209,'Email Cleaner'!$I$2:$I$10001,0)),"")</f>
        <v/>
      </c>
    </row>
    <row r="8211">
      <c r="A8211">
        <f>IFERROR(INDEX('Email Cleaner'!$B$2:$B$10001,MATCH(8210,'Email Cleaner'!$I$2:$I$10001,0)),"")</f>
        <v/>
      </c>
    </row>
    <row r="8212">
      <c r="A8212">
        <f>IFERROR(INDEX('Email Cleaner'!$B$2:$B$10001,MATCH(8211,'Email Cleaner'!$I$2:$I$10001,0)),"")</f>
        <v/>
      </c>
    </row>
    <row r="8213">
      <c r="A8213">
        <f>IFERROR(INDEX('Email Cleaner'!$B$2:$B$10001,MATCH(8212,'Email Cleaner'!$I$2:$I$10001,0)),"")</f>
        <v/>
      </c>
    </row>
    <row r="8214">
      <c r="A8214">
        <f>IFERROR(INDEX('Email Cleaner'!$B$2:$B$10001,MATCH(8213,'Email Cleaner'!$I$2:$I$10001,0)),"")</f>
        <v/>
      </c>
    </row>
    <row r="8215">
      <c r="A8215">
        <f>IFERROR(INDEX('Email Cleaner'!$B$2:$B$10001,MATCH(8214,'Email Cleaner'!$I$2:$I$10001,0)),"")</f>
        <v/>
      </c>
    </row>
    <row r="8216">
      <c r="A8216">
        <f>IFERROR(INDEX('Email Cleaner'!$B$2:$B$10001,MATCH(8215,'Email Cleaner'!$I$2:$I$10001,0)),"")</f>
        <v/>
      </c>
    </row>
    <row r="8217">
      <c r="A8217">
        <f>IFERROR(INDEX('Email Cleaner'!$B$2:$B$10001,MATCH(8216,'Email Cleaner'!$I$2:$I$10001,0)),"")</f>
        <v/>
      </c>
    </row>
    <row r="8218">
      <c r="A8218">
        <f>IFERROR(INDEX('Email Cleaner'!$B$2:$B$10001,MATCH(8217,'Email Cleaner'!$I$2:$I$10001,0)),"")</f>
        <v/>
      </c>
    </row>
    <row r="8219">
      <c r="A8219">
        <f>IFERROR(INDEX('Email Cleaner'!$B$2:$B$10001,MATCH(8218,'Email Cleaner'!$I$2:$I$10001,0)),"")</f>
        <v/>
      </c>
    </row>
    <row r="8220">
      <c r="A8220">
        <f>IFERROR(INDEX('Email Cleaner'!$B$2:$B$10001,MATCH(8219,'Email Cleaner'!$I$2:$I$10001,0)),"")</f>
        <v/>
      </c>
    </row>
    <row r="8221">
      <c r="A8221">
        <f>IFERROR(INDEX('Email Cleaner'!$B$2:$B$10001,MATCH(8220,'Email Cleaner'!$I$2:$I$10001,0)),"")</f>
        <v/>
      </c>
    </row>
    <row r="8222">
      <c r="A8222">
        <f>IFERROR(INDEX('Email Cleaner'!$B$2:$B$10001,MATCH(8221,'Email Cleaner'!$I$2:$I$10001,0)),"")</f>
        <v/>
      </c>
    </row>
    <row r="8223">
      <c r="A8223">
        <f>IFERROR(INDEX('Email Cleaner'!$B$2:$B$10001,MATCH(8222,'Email Cleaner'!$I$2:$I$10001,0)),"")</f>
        <v/>
      </c>
    </row>
    <row r="8224">
      <c r="A8224">
        <f>IFERROR(INDEX('Email Cleaner'!$B$2:$B$10001,MATCH(8223,'Email Cleaner'!$I$2:$I$10001,0)),"")</f>
        <v/>
      </c>
    </row>
    <row r="8225">
      <c r="A8225">
        <f>IFERROR(INDEX('Email Cleaner'!$B$2:$B$10001,MATCH(8224,'Email Cleaner'!$I$2:$I$10001,0)),"")</f>
        <v/>
      </c>
    </row>
    <row r="8226">
      <c r="A8226">
        <f>IFERROR(INDEX('Email Cleaner'!$B$2:$B$10001,MATCH(8225,'Email Cleaner'!$I$2:$I$10001,0)),"")</f>
        <v/>
      </c>
    </row>
    <row r="8227">
      <c r="A8227">
        <f>IFERROR(INDEX('Email Cleaner'!$B$2:$B$10001,MATCH(8226,'Email Cleaner'!$I$2:$I$10001,0)),"")</f>
        <v/>
      </c>
    </row>
    <row r="8228">
      <c r="A8228">
        <f>IFERROR(INDEX('Email Cleaner'!$B$2:$B$10001,MATCH(8227,'Email Cleaner'!$I$2:$I$10001,0)),"")</f>
        <v/>
      </c>
    </row>
    <row r="8229">
      <c r="A8229">
        <f>IFERROR(INDEX('Email Cleaner'!$B$2:$B$10001,MATCH(8228,'Email Cleaner'!$I$2:$I$10001,0)),"")</f>
        <v/>
      </c>
    </row>
    <row r="8230">
      <c r="A8230">
        <f>IFERROR(INDEX('Email Cleaner'!$B$2:$B$10001,MATCH(8229,'Email Cleaner'!$I$2:$I$10001,0)),"")</f>
        <v/>
      </c>
    </row>
    <row r="8231">
      <c r="A8231">
        <f>IFERROR(INDEX('Email Cleaner'!$B$2:$B$10001,MATCH(8230,'Email Cleaner'!$I$2:$I$10001,0)),"")</f>
        <v/>
      </c>
    </row>
    <row r="8232">
      <c r="A8232">
        <f>IFERROR(INDEX('Email Cleaner'!$B$2:$B$10001,MATCH(8231,'Email Cleaner'!$I$2:$I$10001,0)),"")</f>
        <v/>
      </c>
    </row>
    <row r="8233">
      <c r="A8233">
        <f>IFERROR(INDEX('Email Cleaner'!$B$2:$B$10001,MATCH(8232,'Email Cleaner'!$I$2:$I$10001,0)),"")</f>
        <v/>
      </c>
    </row>
    <row r="8234">
      <c r="A8234">
        <f>IFERROR(INDEX('Email Cleaner'!$B$2:$B$10001,MATCH(8233,'Email Cleaner'!$I$2:$I$10001,0)),"")</f>
        <v/>
      </c>
    </row>
    <row r="8235">
      <c r="A8235">
        <f>IFERROR(INDEX('Email Cleaner'!$B$2:$B$10001,MATCH(8234,'Email Cleaner'!$I$2:$I$10001,0)),"")</f>
        <v/>
      </c>
    </row>
    <row r="8236">
      <c r="A8236">
        <f>IFERROR(INDEX('Email Cleaner'!$B$2:$B$10001,MATCH(8235,'Email Cleaner'!$I$2:$I$10001,0)),"")</f>
        <v/>
      </c>
    </row>
    <row r="8237">
      <c r="A8237">
        <f>IFERROR(INDEX('Email Cleaner'!$B$2:$B$10001,MATCH(8236,'Email Cleaner'!$I$2:$I$10001,0)),"")</f>
        <v/>
      </c>
    </row>
    <row r="8238">
      <c r="A8238">
        <f>IFERROR(INDEX('Email Cleaner'!$B$2:$B$10001,MATCH(8237,'Email Cleaner'!$I$2:$I$10001,0)),"")</f>
        <v/>
      </c>
    </row>
    <row r="8239">
      <c r="A8239">
        <f>IFERROR(INDEX('Email Cleaner'!$B$2:$B$10001,MATCH(8238,'Email Cleaner'!$I$2:$I$10001,0)),"")</f>
        <v/>
      </c>
    </row>
    <row r="8240">
      <c r="A8240">
        <f>IFERROR(INDEX('Email Cleaner'!$B$2:$B$10001,MATCH(8239,'Email Cleaner'!$I$2:$I$10001,0)),"")</f>
        <v/>
      </c>
    </row>
    <row r="8241">
      <c r="A8241">
        <f>IFERROR(INDEX('Email Cleaner'!$B$2:$B$10001,MATCH(8240,'Email Cleaner'!$I$2:$I$10001,0)),"")</f>
        <v/>
      </c>
    </row>
    <row r="8242">
      <c r="A8242">
        <f>IFERROR(INDEX('Email Cleaner'!$B$2:$B$10001,MATCH(8241,'Email Cleaner'!$I$2:$I$10001,0)),"")</f>
        <v/>
      </c>
    </row>
    <row r="8243">
      <c r="A8243">
        <f>IFERROR(INDEX('Email Cleaner'!$B$2:$B$10001,MATCH(8242,'Email Cleaner'!$I$2:$I$10001,0)),"")</f>
        <v/>
      </c>
    </row>
    <row r="8244">
      <c r="A8244">
        <f>IFERROR(INDEX('Email Cleaner'!$B$2:$B$10001,MATCH(8243,'Email Cleaner'!$I$2:$I$10001,0)),"")</f>
        <v/>
      </c>
    </row>
    <row r="8245">
      <c r="A8245">
        <f>IFERROR(INDEX('Email Cleaner'!$B$2:$B$10001,MATCH(8244,'Email Cleaner'!$I$2:$I$10001,0)),"")</f>
        <v/>
      </c>
    </row>
    <row r="8246">
      <c r="A8246">
        <f>IFERROR(INDEX('Email Cleaner'!$B$2:$B$10001,MATCH(8245,'Email Cleaner'!$I$2:$I$10001,0)),"")</f>
        <v/>
      </c>
    </row>
    <row r="8247">
      <c r="A8247">
        <f>IFERROR(INDEX('Email Cleaner'!$B$2:$B$10001,MATCH(8246,'Email Cleaner'!$I$2:$I$10001,0)),"")</f>
        <v/>
      </c>
    </row>
    <row r="8248">
      <c r="A8248">
        <f>IFERROR(INDEX('Email Cleaner'!$B$2:$B$10001,MATCH(8247,'Email Cleaner'!$I$2:$I$10001,0)),"")</f>
        <v/>
      </c>
    </row>
    <row r="8249">
      <c r="A8249">
        <f>IFERROR(INDEX('Email Cleaner'!$B$2:$B$10001,MATCH(8248,'Email Cleaner'!$I$2:$I$10001,0)),"")</f>
        <v/>
      </c>
    </row>
    <row r="8250">
      <c r="A8250">
        <f>IFERROR(INDEX('Email Cleaner'!$B$2:$B$10001,MATCH(8249,'Email Cleaner'!$I$2:$I$10001,0)),"")</f>
        <v/>
      </c>
    </row>
    <row r="8251">
      <c r="A8251">
        <f>IFERROR(INDEX('Email Cleaner'!$B$2:$B$10001,MATCH(8250,'Email Cleaner'!$I$2:$I$10001,0)),"")</f>
        <v/>
      </c>
    </row>
    <row r="8252">
      <c r="A8252">
        <f>IFERROR(INDEX('Email Cleaner'!$B$2:$B$10001,MATCH(8251,'Email Cleaner'!$I$2:$I$10001,0)),"")</f>
        <v/>
      </c>
    </row>
    <row r="8253">
      <c r="A8253">
        <f>IFERROR(INDEX('Email Cleaner'!$B$2:$B$10001,MATCH(8252,'Email Cleaner'!$I$2:$I$10001,0)),"")</f>
        <v/>
      </c>
    </row>
    <row r="8254">
      <c r="A8254">
        <f>IFERROR(INDEX('Email Cleaner'!$B$2:$B$10001,MATCH(8253,'Email Cleaner'!$I$2:$I$10001,0)),"")</f>
        <v/>
      </c>
    </row>
    <row r="8255">
      <c r="A8255">
        <f>IFERROR(INDEX('Email Cleaner'!$B$2:$B$10001,MATCH(8254,'Email Cleaner'!$I$2:$I$10001,0)),"")</f>
        <v/>
      </c>
    </row>
    <row r="8256">
      <c r="A8256">
        <f>IFERROR(INDEX('Email Cleaner'!$B$2:$B$10001,MATCH(8255,'Email Cleaner'!$I$2:$I$10001,0)),"")</f>
        <v/>
      </c>
    </row>
    <row r="8257">
      <c r="A8257">
        <f>IFERROR(INDEX('Email Cleaner'!$B$2:$B$10001,MATCH(8256,'Email Cleaner'!$I$2:$I$10001,0)),"")</f>
        <v/>
      </c>
    </row>
    <row r="8258">
      <c r="A8258">
        <f>IFERROR(INDEX('Email Cleaner'!$B$2:$B$10001,MATCH(8257,'Email Cleaner'!$I$2:$I$10001,0)),"")</f>
        <v/>
      </c>
    </row>
    <row r="8259">
      <c r="A8259">
        <f>IFERROR(INDEX('Email Cleaner'!$B$2:$B$10001,MATCH(8258,'Email Cleaner'!$I$2:$I$10001,0)),"")</f>
        <v/>
      </c>
    </row>
    <row r="8260">
      <c r="A8260">
        <f>IFERROR(INDEX('Email Cleaner'!$B$2:$B$10001,MATCH(8259,'Email Cleaner'!$I$2:$I$10001,0)),"")</f>
        <v/>
      </c>
    </row>
    <row r="8261">
      <c r="A8261">
        <f>IFERROR(INDEX('Email Cleaner'!$B$2:$B$10001,MATCH(8260,'Email Cleaner'!$I$2:$I$10001,0)),"")</f>
        <v/>
      </c>
    </row>
    <row r="8262">
      <c r="A8262">
        <f>IFERROR(INDEX('Email Cleaner'!$B$2:$B$10001,MATCH(8261,'Email Cleaner'!$I$2:$I$10001,0)),"")</f>
        <v/>
      </c>
    </row>
    <row r="8263">
      <c r="A8263">
        <f>IFERROR(INDEX('Email Cleaner'!$B$2:$B$10001,MATCH(8262,'Email Cleaner'!$I$2:$I$10001,0)),"")</f>
        <v/>
      </c>
    </row>
    <row r="8264">
      <c r="A8264">
        <f>IFERROR(INDEX('Email Cleaner'!$B$2:$B$10001,MATCH(8263,'Email Cleaner'!$I$2:$I$10001,0)),"")</f>
        <v/>
      </c>
    </row>
    <row r="8265">
      <c r="A8265">
        <f>IFERROR(INDEX('Email Cleaner'!$B$2:$B$10001,MATCH(8264,'Email Cleaner'!$I$2:$I$10001,0)),"")</f>
        <v/>
      </c>
    </row>
    <row r="8266">
      <c r="A8266">
        <f>IFERROR(INDEX('Email Cleaner'!$B$2:$B$10001,MATCH(8265,'Email Cleaner'!$I$2:$I$10001,0)),"")</f>
        <v/>
      </c>
    </row>
    <row r="8267">
      <c r="A8267">
        <f>IFERROR(INDEX('Email Cleaner'!$B$2:$B$10001,MATCH(8266,'Email Cleaner'!$I$2:$I$10001,0)),"")</f>
        <v/>
      </c>
    </row>
    <row r="8268">
      <c r="A8268">
        <f>IFERROR(INDEX('Email Cleaner'!$B$2:$B$10001,MATCH(8267,'Email Cleaner'!$I$2:$I$10001,0)),"")</f>
        <v/>
      </c>
    </row>
    <row r="8269">
      <c r="A8269">
        <f>IFERROR(INDEX('Email Cleaner'!$B$2:$B$10001,MATCH(8268,'Email Cleaner'!$I$2:$I$10001,0)),"")</f>
        <v/>
      </c>
    </row>
    <row r="8270">
      <c r="A8270">
        <f>IFERROR(INDEX('Email Cleaner'!$B$2:$B$10001,MATCH(8269,'Email Cleaner'!$I$2:$I$10001,0)),"")</f>
        <v/>
      </c>
    </row>
    <row r="8271">
      <c r="A8271">
        <f>IFERROR(INDEX('Email Cleaner'!$B$2:$B$10001,MATCH(8270,'Email Cleaner'!$I$2:$I$10001,0)),"")</f>
        <v/>
      </c>
    </row>
    <row r="8272">
      <c r="A8272">
        <f>IFERROR(INDEX('Email Cleaner'!$B$2:$B$10001,MATCH(8271,'Email Cleaner'!$I$2:$I$10001,0)),"")</f>
        <v/>
      </c>
    </row>
    <row r="8273">
      <c r="A8273">
        <f>IFERROR(INDEX('Email Cleaner'!$B$2:$B$10001,MATCH(8272,'Email Cleaner'!$I$2:$I$10001,0)),"")</f>
        <v/>
      </c>
    </row>
    <row r="8274">
      <c r="A8274">
        <f>IFERROR(INDEX('Email Cleaner'!$B$2:$B$10001,MATCH(8273,'Email Cleaner'!$I$2:$I$10001,0)),"")</f>
        <v/>
      </c>
    </row>
    <row r="8275">
      <c r="A8275">
        <f>IFERROR(INDEX('Email Cleaner'!$B$2:$B$10001,MATCH(8274,'Email Cleaner'!$I$2:$I$10001,0)),"")</f>
        <v/>
      </c>
    </row>
    <row r="8276">
      <c r="A8276">
        <f>IFERROR(INDEX('Email Cleaner'!$B$2:$B$10001,MATCH(8275,'Email Cleaner'!$I$2:$I$10001,0)),"")</f>
        <v/>
      </c>
    </row>
    <row r="8277">
      <c r="A8277">
        <f>IFERROR(INDEX('Email Cleaner'!$B$2:$B$10001,MATCH(8276,'Email Cleaner'!$I$2:$I$10001,0)),"")</f>
        <v/>
      </c>
    </row>
    <row r="8278">
      <c r="A8278">
        <f>IFERROR(INDEX('Email Cleaner'!$B$2:$B$10001,MATCH(8277,'Email Cleaner'!$I$2:$I$10001,0)),"")</f>
        <v/>
      </c>
    </row>
    <row r="8279">
      <c r="A8279">
        <f>IFERROR(INDEX('Email Cleaner'!$B$2:$B$10001,MATCH(8278,'Email Cleaner'!$I$2:$I$10001,0)),"")</f>
        <v/>
      </c>
    </row>
    <row r="8280">
      <c r="A8280">
        <f>IFERROR(INDEX('Email Cleaner'!$B$2:$B$10001,MATCH(8279,'Email Cleaner'!$I$2:$I$10001,0)),"")</f>
        <v/>
      </c>
    </row>
    <row r="8281">
      <c r="A8281">
        <f>IFERROR(INDEX('Email Cleaner'!$B$2:$B$10001,MATCH(8280,'Email Cleaner'!$I$2:$I$10001,0)),"")</f>
        <v/>
      </c>
    </row>
    <row r="8282">
      <c r="A8282">
        <f>IFERROR(INDEX('Email Cleaner'!$B$2:$B$10001,MATCH(8281,'Email Cleaner'!$I$2:$I$10001,0)),"")</f>
        <v/>
      </c>
    </row>
    <row r="8283">
      <c r="A8283">
        <f>IFERROR(INDEX('Email Cleaner'!$B$2:$B$10001,MATCH(8282,'Email Cleaner'!$I$2:$I$10001,0)),"")</f>
        <v/>
      </c>
    </row>
    <row r="8284">
      <c r="A8284">
        <f>IFERROR(INDEX('Email Cleaner'!$B$2:$B$10001,MATCH(8283,'Email Cleaner'!$I$2:$I$10001,0)),"")</f>
        <v/>
      </c>
    </row>
    <row r="8285">
      <c r="A8285">
        <f>IFERROR(INDEX('Email Cleaner'!$B$2:$B$10001,MATCH(8284,'Email Cleaner'!$I$2:$I$10001,0)),"")</f>
        <v/>
      </c>
    </row>
    <row r="8286">
      <c r="A8286">
        <f>IFERROR(INDEX('Email Cleaner'!$B$2:$B$10001,MATCH(8285,'Email Cleaner'!$I$2:$I$10001,0)),"")</f>
        <v/>
      </c>
    </row>
    <row r="8287">
      <c r="A8287">
        <f>IFERROR(INDEX('Email Cleaner'!$B$2:$B$10001,MATCH(8286,'Email Cleaner'!$I$2:$I$10001,0)),"")</f>
        <v/>
      </c>
    </row>
    <row r="8288">
      <c r="A8288">
        <f>IFERROR(INDEX('Email Cleaner'!$B$2:$B$10001,MATCH(8287,'Email Cleaner'!$I$2:$I$10001,0)),"")</f>
        <v/>
      </c>
    </row>
    <row r="8289">
      <c r="A8289">
        <f>IFERROR(INDEX('Email Cleaner'!$B$2:$B$10001,MATCH(8288,'Email Cleaner'!$I$2:$I$10001,0)),"")</f>
        <v/>
      </c>
    </row>
    <row r="8290">
      <c r="A8290">
        <f>IFERROR(INDEX('Email Cleaner'!$B$2:$B$10001,MATCH(8289,'Email Cleaner'!$I$2:$I$10001,0)),"")</f>
        <v/>
      </c>
    </row>
    <row r="8291">
      <c r="A8291">
        <f>IFERROR(INDEX('Email Cleaner'!$B$2:$B$10001,MATCH(8290,'Email Cleaner'!$I$2:$I$10001,0)),"")</f>
        <v/>
      </c>
    </row>
    <row r="8292">
      <c r="A8292">
        <f>IFERROR(INDEX('Email Cleaner'!$B$2:$B$10001,MATCH(8291,'Email Cleaner'!$I$2:$I$10001,0)),"")</f>
        <v/>
      </c>
    </row>
    <row r="8293">
      <c r="A8293">
        <f>IFERROR(INDEX('Email Cleaner'!$B$2:$B$10001,MATCH(8292,'Email Cleaner'!$I$2:$I$10001,0)),"")</f>
        <v/>
      </c>
    </row>
    <row r="8294">
      <c r="A8294">
        <f>IFERROR(INDEX('Email Cleaner'!$B$2:$B$10001,MATCH(8293,'Email Cleaner'!$I$2:$I$10001,0)),"")</f>
        <v/>
      </c>
    </row>
    <row r="8295">
      <c r="A8295">
        <f>IFERROR(INDEX('Email Cleaner'!$B$2:$B$10001,MATCH(8294,'Email Cleaner'!$I$2:$I$10001,0)),"")</f>
        <v/>
      </c>
    </row>
    <row r="8296">
      <c r="A8296">
        <f>IFERROR(INDEX('Email Cleaner'!$B$2:$B$10001,MATCH(8295,'Email Cleaner'!$I$2:$I$10001,0)),"")</f>
        <v/>
      </c>
    </row>
    <row r="8297">
      <c r="A8297">
        <f>IFERROR(INDEX('Email Cleaner'!$B$2:$B$10001,MATCH(8296,'Email Cleaner'!$I$2:$I$10001,0)),"")</f>
        <v/>
      </c>
    </row>
    <row r="8298">
      <c r="A8298">
        <f>IFERROR(INDEX('Email Cleaner'!$B$2:$B$10001,MATCH(8297,'Email Cleaner'!$I$2:$I$10001,0)),"")</f>
        <v/>
      </c>
    </row>
    <row r="8299">
      <c r="A8299">
        <f>IFERROR(INDEX('Email Cleaner'!$B$2:$B$10001,MATCH(8298,'Email Cleaner'!$I$2:$I$10001,0)),"")</f>
        <v/>
      </c>
    </row>
    <row r="8300">
      <c r="A8300">
        <f>IFERROR(INDEX('Email Cleaner'!$B$2:$B$10001,MATCH(8299,'Email Cleaner'!$I$2:$I$10001,0)),"")</f>
        <v/>
      </c>
    </row>
    <row r="8301">
      <c r="A8301">
        <f>IFERROR(INDEX('Email Cleaner'!$B$2:$B$10001,MATCH(8300,'Email Cleaner'!$I$2:$I$10001,0)),"")</f>
        <v/>
      </c>
    </row>
    <row r="8302">
      <c r="A8302">
        <f>IFERROR(INDEX('Email Cleaner'!$B$2:$B$10001,MATCH(8301,'Email Cleaner'!$I$2:$I$10001,0)),"")</f>
        <v/>
      </c>
    </row>
    <row r="8303">
      <c r="A8303">
        <f>IFERROR(INDEX('Email Cleaner'!$B$2:$B$10001,MATCH(8302,'Email Cleaner'!$I$2:$I$10001,0)),"")</f>
        <v/>
      </c>
    </row>
    <row r="8304">
      <c r="A8304">
        <f>IFERROR(INDEX('Email Cleaner'!$B$2:$B$10001,MATCH(8303,'Email Cleaner'!$I$2:$I$10001,0)),"")</f>
        <v/>
      </c>
    </row>
    <row r="8305">
      <c r="A8305">
        <f>IFERROR(INDEX('Email Cleaner'!$B$2:$B$10001,MATCH(8304,'Email Cleaner'!$I$2:$I$10001,0)),"")</f>
        <v/>
      </c>
    </row>
    <row r="8306">
      <c r="A8306">
        <f>IFERROR(INDEX('Email Cleaner'!$B$2:$B$10001,MATCH(8305,'Email Cleaner'!$I$2:$I$10001,0)),"")</f>
        <v/>
      </c>
    </row>
    <row r="8307">
      <c r="A8307">
        <f>IFERROR(INDEX('Email Cleaner'!$B$2:$B$10001,MATCH(8306,'Email Cleaner'!$I$2:$I$10001,0)),"")</f>
        <v/>
      </c>
    </row>
    <row r="8308">
      <c r="A8308">
        <f>IFERROR(INDEX('Email Cleaner'!$B$2:$B$10001,MATCH(8307,'Email Cleaner'!$I$2:$I$10001,0)),"")</f>
        <v/>
      </c>
    </row>
    <row r="8309">
      <c r="A8309">
        <f>IFERROR(INDEX('Email Cleaner'!$B$2:$B$10001,MATCH(8308,'Email Cleaner'!$I$2:$I$10001,0)),"")</f>
        <v/>
      </c>
    </row>
    <row r="8310">
      <c r="A8310">
        <f>IFERROR(INDEX('Email Cleaner'!$B$2:$B$10001,MATCH(8309,'Email Cleaner'!$I$2:$I$10001,0)),"")</f>
        <v/>
      </c>
    </row>
    <row r="8311">
      <c r="A8311">
        <f>IFERROR(INDEX('Email Cleaner'!$B$2:$B$10001,MATCH(8310,'Email Cleaner'!$I$2:$I$10001,0)),"")</f>
        <v/>
      </c>
    </row>
    <row r="8312">
      <c r="A8312">
        <f>IFERROR(INDEX('Email Cleaner'!$B$2:$B$10001,MATCH(8311,'Email Cleaner'!$I$2:$I$10001,0)),"")</f>
        <v/>
      </c>
    </row>
    <row r="8313">
      <c r="A8313">
        <f>IFERROR(INDEX('Email Cleaner'!$B$2:$B$10001,MATCH(8312,'Email Cleaner'!$I$2:$I$10001,0)),"")</f>
        <v/>
      </c>
    </row>
    <row r="8314">
      <c r="A8314">
        <f>IFERROR(INDEX('Email Cleaner'!$B$2:$B$10001,MATCH(8313,'Email Cleaner'!$I$2:$I$10001,0)),"")</f>
        <v/>
      </c>
    </row>
    <row r="8315">
      <c r="A8315">
        <f>IFERROR(INDEX('Email Cleaner'!$B$2:$B$10001,MATCH(8314,'Email Cleaner'!$I$2:$I$10001,0)),"")</f>
        <v/>
      </c>
    </row>
    <row r="8316">
      <c r="A8316">
        <f>IFERROR(INDEX('Email Cleaner'!$B$2:$B$10001,MATCH(8315,'Email Cleaner'!$I$2:$I$10001,0)),"")</f>
        <v/>
      </c>
    </row>
    <row r="8317">
      <c r="A8317">
        <f>IFERROR(INDEX('Email Cleaner'!$B$2:$B$10001,MATCH(8316,'Email Cleaner'!$I$2:$I$10001,0)),"")</f>
        <v/>
      </c>
    </row>
    <row r="8318">
      <c r="A8318">
        <f>IFERROR(INDEX('Email Cleaner'!$B$2:$B$10001,MATCH(8317,'Email Cleaner'!$I$2:$I$10001,0)),"")</f>
        <v/>
      </c>
    </row>
    <row r="8319">
      <c r="A8319">
        <f>IFERROR(INDEX('Email Cleaner'!$B$2:$B$10001,MATCH(8318,'Email Cleaner'!$I$2:$I$10001,0)),"")</f>
        <v/>
      </c>
    </row>
    <row r="8320">
      <c r="A8320">
        <f>IFERROR(INDEX('Email Cleaner'!$B$2:$B$10001,MATCH(8319,'Email Cleaner'!$I$2:$I$10001,0)),"")</f>
        <v/>
      </c>
    </row>
    <row r="8321">
      <c r="A8321">
        <f>IFERROR(INDEX('Email Cleaner'!$B$2:$B$10001,MATCH(8320,'Email Cleaner'!$I$2:$I$10001,0)),"")</f>
        <v/>
      </c>
    </row>
    <row r="8322">
      <c r="A8322">
        <f>IFERROR(INDEX('Email Cleaner'!$B$2:$B$10001,MATCH(8321,'Email Cleaner'!$I$2:$I$10001,0)),"")</f>
        <v/>
      </c>
    </row>
    <row r="8323">
      <c r="A8323">
        <f>IFERROR(INDEX('Email Cleaner'!$B$2:$B$10001,MATCH(8322,'Email Cleaner'!$I$2:$I$10001,0)),"")</f>
        <v/>
      </c>
    </row>
    <row r="8324">
      <c r="A8324">
        <f>IFERROR(INDEX('Email Cleaner'!$B$2:$B$10001,MATCH(8323,'Email Cleaner'!$I$2:$I$10001,0)),"")</f>
        <v/>
      </c>
    </row>
    <row r="8325">
      <c r="A8325">
        <f>IFERROR(INDEX('Email Cleaner'!$B$2:$B$10001,MATCH(8324,'Email Cleaner'!$I$2:$I$10001,0)),"")</f>
        <v/>
      </c>
    </row>
    <row r="8326">
      <c r="A8326">
        <f>IFERROR(INDEX('Email Cleaner'!$B$2:$B$10001,MATCH(8325,'Email Cleaner'!$I$2:$I$10001,0)),"")</f>
        <v/>
      </c>
    </row>
    <row r="8327">
      <c r="A8327">
        <f>IFERROR(INDEX('Email Cleaner'!$B$2:$B$10001,MATCH(8326,'Email Cleaner'!$I$2:$I$10001,0)),"")</f>
        <v/>
      </c>
    </row>
    <row r="8328">
      <c r="A8328">
        <f>IFERROR(INDEX('Email Cleaner'!$B$2:$B$10001,MATCH(8327,'Email Cleaner'!$I$2:$I$10001,0)),"")</f>
        <v/>
      </c>
    </row>
    <row r="8329">
      <c r="A8329">
        <f>IFERROR(INDEX('Email Cleaner'!$B$2:$B$10001,MATCH(8328,'Email Cleaner'!$I$2:$I$10001,0)),"")</f>
        <v/>
      </c>
    </row>
    <row r="8330">
      <c r="A8330">
        <f>IFERROR(INDEX('Email Cleaner'!$B$2:$B$10001,MATCH(8329,'Email Cleaner'!$I$2:$I$10001,0)),"")</f>
        <v/>
      </c>
    </row>
    <row r="8331">
      <c r="A8331">
        <f>IFERROR(INDEX('Email Cleaner'!$B$2:$B$10001,MATCH(8330,'Email Cleaner'!$I$2:$I$10001,0)),"")</f>
        <v/>
      </c>
    </row>
    <row r="8332">
      <c r="A8332">
        <f>IFERROR(INDEX('Email Cleaner'!$B$2:$B$10001,MATCH(8331,'Email Cleaner'!$I$2:$I$10001,0)),"")</f>
        <v/>
      </c>
    </row>
    <row r="8333">
      <c r="A8333">
        <f>IFERROR(INDEX('Email Cleaner'!$B$2:$B$10001,MATCH(8332,'Email Cleaner'!$I$2:$I$10001,0)),"")</f>
        <v/>
      </c>
    </row>
    <row r="8334">
      <c r="A8334">
        <f>IFERROR(INDEX('Email Cleaner'!$B$2:$B$10001,MATCH(8333,'Email Cleaner'!$I$2:$I$10001,0)),"")</f>
        <v/>
      </c>
    </row>
    <row r="8335">
      <c r="A8335">
        <f>IFERROR(INDEX('Email Cleaner'!$B$2:$B$10001,MATCH(8334,'Email Cleaner'!$I$2:$I$10001,0)),"")</f>
        <v/>
      </c>
    </row>
    <row r="8336">
      <c r="A8336">
        <f>IFERROR(INDEX('Email Cleaner'!$B$2:$B$10001,MATCH(8335,'Email Cleaner'!$I$2:$I$10001,0)),"")</f>
        <v/>
      </c>
    </row>
    <row r="8337">
      <c r="A8337">
        <f>IFERROR(INDEX('Email Cleaner'!$B$2:$B$10001,MATCH(8336,'Email Cleaner'!$I$2:$I$10001,0)),"")</f>
        <v/>
      </c>
    </row>
    <row r="8338">
      <c r="A8338">
        <f>IFERROR(INDEX('Email Cleaner'!$B$2:$B$10001,MATCH(8337,'Email Cleaner'!$I$2:$I$10001,0)),"")</f>
        <v/>
      </c>
    </row>
    <row r="8339">
      <c r="A8339">
        <f>IFERROR(INDEX('Email Cleaner'!$B$2:$B$10001,MATCH(8338,'Email Cleaner'!$I$2:$I$10001,0)),"")</f>
        <v/>
      </c>
    </row>
    <row r="8340">
      <c r="A8340">
        <f>IFERROR(INDEX('Email Cleaner'!$B$2:$B$10001,MATCH(8339,'Email Cleaner'!$I$2:$I$10001,0)),"")</f>
        <v/>
      </c>
    </row>
    <row r="8341">
      <c r="A8341">
        <f>IFERROR(INDEX('Email Cleaner'!$B$2:$B$10001,MATCH(8340,'Email Cleaner'!$I$2:$I$10001,0)),"")</f>
        <v/>
      </c>
    </row>
    <row r="8342">
      <c r="A8342">
        <f>IFERROR(INDEX('Email Cleaner'!$B$2:$B$10001,MATCH(8341,'Email Cleaner'!$I$2:$I$10001,0)),"")</f>
        <v/>
      </c>
    </row>
    <row r="8343">
      <c r="A8343">
        <f>IFERROR(INDEX('Email Cleaner'!$B$2:$B$10001,MATCH(8342,'Email Cleaner'!$I$2:$I$10001,0)),"")</f>
        <v/>
      </c>
    </row>
    <row r="8344">
      <c r="A8344">
        <f>IFERROR(INDEX('Email Cleaner'!$B$2:$B$10001,MATCH(8343,'Email Cleaner'!$I$2:$I$10001,0)),"")</f>
        <v/>
      </c>
    </row>
    <row r="8345">
      <c r="A8345">
        <f>IFERROR(INDEX('Email Cleaner'!$B$2:$B$10001,MATCH(8344,'Email Cleaner'!$I$2:$I$10001,0)),"")</f>
        <v/>
      </c>
    </row>
    <row r="8346">
      <c r="A8346">
        <f>IFERROR(INDEX('Email Cleaner'!$B$2:$B$10001,MATCH(8345,'Email Cleaner'!$I$2:$I$10001,0)),"")</f>
        <v/>
      </c>
    </row>
    <row r="8347">
      <c r="A8347">
        <f>IFERROR(INDEX('Email Cleaner'!$B$2:$B$10001,MATCH(8346,'Email Cleaner'!$I$2:$I$10001,0)),"")</f>
        <v/>
      </c>
    </row>
    <row r="8348">
      <c r="A8348">
        <f>IFERROR(INDEX('Email Cleaner'!$B$2:$B$10001,MATCH(8347,'Email Cleaner'!$I$2:$I$10001,0)),"")</f>
        <v/>
      </c>
    </row>
    <row r="8349">
      <c r="A8349">
        <f>IFERROR(INDEX('Email Cleaner'!$B$2:$B$10001,MATCH(8348,'Email Cleaner'!$I$2:$I$10001,0)),"")</f>
        <v/>
      </c>
    </row>
    <row r="8350">
      <c r="A8350">
        <f>IFERROR(INDEX('Email Cleaner'!$B$2:$B$10001,MATCH(8349,'Email Cleaner'!$I$2:$I$10001,0)),"")</f>
        <v/>
      </c>
    </row>
    <row r="8351">
      <c r="A8351">
        <f>IFERROR(INDEX('Email Cleaner'!$B$2:$B$10001,MATCH(8350,'Email Cleaner'!$I$2:$I$10001,0)),"")</f>
        <v/>
      </c>
    </row>
    <row r="8352">
      <c r="A8352">
        <f>IFERROR(INDEX('Email Cleaner'!$B$2:$B$10001,MATCH(8351,'Email Cleaner'!$I$2:$I$10001,0)),"")</f>
        <v/>
      </c>
    </row>
    <row r="8353">
      <c r="A8353">
        <f>IFERROR(INDEX('Email Cleaner'!$B$2:$B$10001,MATCH(8352,'Email Cleaner'!$I$2:$I$10001,0)),"")</f>
        <v/>
      </c>
    </row>
    <row r="8354">
      <c r="A8354">
        <f>IFERROR(INDEX('Email Cleaner'!$B$2:$B$10001,MATCH(8353,'Email Cleaner'!$I$2:$I$10001,0)),"")</f>
        <v/>
      </c>
    </row>
    <row r="8355">
      <c r="A8355">
        <f>IFERROR(INDEX('Email Cleaner'!$B$2:$B$10001,MATCH(8354,'Email Cleaner'!$I$2:$I$10001,0)),"")</f>
        <v/>
      </c>
    </row>
    <row r="8356">
      <c r="A8356">
        <f>IFERROR(INDEX('Email Cleaner'!$B$2:$B$10001,MATCH(8355,'Email Cleaner'!$I$2:$I$10001,0)),"")</f>
        <v/>
      </c>
    </row>
    <row r="8357">
      <c r="A8357">
        <f>IFERROR(INDEX('Email Cleaner'!$B$2:$B$10001,MATCH(8356,'Email Cleaner'!$I$2:$I$10001,0)),"")</f>
        <v/>
      </c>
    </row>
    <row r="8358">
      <c r="A8358">
        <f>IFERROR(INDEX('Email Cleaner'!$B$2:$B$10001,MATCH(8357,'Email Cleaner'!$I$2:$I$10001,0)),"")</f>
        <v/>
      </c>
    </row>
    <row r="8359">
      <c r="A8359">
        <f>IFERROR(INDEX('Email Cleaner'!$B$2:$B$10001,MATCH(8358,'Email Cleaner'!$I$2:$I$10001,0)),"")</f>
        <v/>
      </c>
    </row>
    <row r="8360">
      <c r="A8360">
        <f>IFERROR(INDEX('Email Cleaner'!$B$2:$B$10001,MATCH(8359,'Email Cleaner'!$I$2:$I$10001,0)),"")</f>
        <v/>
      </c>
    </row>
    <row r="8361">
      <c r="A8361">
        <f>IFERROR(INDEX('Email Cleaner'!$B$2:$B$10001,MATCH(8360,'Email Cleaner'!$I$2:$I$10001,0)),"")</f>
        <v/>
      </c>
    </row>
    <row r="8362">
      <c r="A8362">
        <f>IFERROR(INDEX('Email Cleaner'!$B$2:$B$10001,MATCH(8361,'Email Cleaner'!$I$2:$I$10001,0)),"")</f>
        <v/>
      </c>
    </row>
    <row r="8363">
      <c r="A8363">
        <f>IFERROR(INDEX('Email Cleaner'!$B$2:$B$10001,MATCH(8362,'Email Cleaner'!$I$2:$I$10001,0)),"")</f>
        <v/>
      </c>
    </row>
    <row r="8364">
      <c r="A8364">
        <f>IFERROR(INDEX('Email Cleaner'!$B$2:$B$10001,MATCH(8363,'Email Cleaner'!$I$2:$I$10001,0)),"")</f>
        <v/>
      </c>
    </row>
    <row r="8365">
      <c r="A8365">
        <f>IFERROR(INDEX('Email Cleaner'!$B$2:$B$10001,MATCH(8364,'Email Cleaner'!$I$2:$I$10001,0)),"")</f>
        <v/>
      </c>
    </row>
    <row r="8366">
      <c r="A8366">
        <f>IFERROR(INDEX('Email Cleaner'!$B$2:$B$10001,MATCH(8365,'Email Cleaner'!$I$2:$I$10001,0)),"")</f>
        <v/>
      </c>
    </row>
    <row r="8367">
      <c r="A8367">
        <f>IFERROR(INDEX('Email Cleaner'!$B$2:$B$10001,MATCH(8366,'Email Cleaner'!$I$2:$I$10001,0)),"")</f>
        <v/>
      </c>
    </row>
    <row r="8368">
      <c r="A8368">
        <f>IFERROR(INDEX('Email Cleaner'!$B$2:$B$10001,MATCH(8367,'Email Cleaner'!$I$2:$I$10001,0)),"")</f>
        <v/>
      </c>
    </row>
    <row r="8369">
      <c r="A8369">
        <f>IFERROR(INDEX('Email Cleaner'!$B$2:$B$10001,MATCH(8368,'Email Cleaner'!$I$2:$I$10001,0)),"")</f>
        <v/>
      </c>
    </row>
    <row r="8370">
      <c r="A8370">
        <f>IFERROR(INDEX('Email Cleaner'!$B$2:$B$10001,MATCH(8369,'Email Cleaner'!$I$2:$I$10001,0)),"")</f>
        <v/>
      </c>
    </row>
    <row r="8371">
      <c r="A8371">
        <f>IFERROR(INDEX('Email Cleaner'!$B$2:$B$10001,MATCH(8370,'Email Cleaner'!$I$2:$I$10001,0)),"")</f>
        <v/>
      </c>
    </row>
    <row r="8372">
      <c r="A8372">
        <f>IFERROR(INDEX('Email Cleaner'!$B$2:$B$10001,MATCH(8371,'Email Cleaner'!$I$2:$I$10001,0)),"")</f>
        <v/>
      </c>
    </row>
    <row r="8373">
      <c r="A8373">
        <f>IFERROR(INDEX('Email Cleaner'!$B$2:$B$10001,MATCH(8372,'Email Cleaner'!$I$2:$I$10001,0)),"")</f>
        <v/>
      </c>
    </row>
    <row r="8374">
      <c r="A8374">
        <f>IFERROR(INDEX('Email Cleaner'!$B$2:$B$10001,MATCH(8373,'Email Cleaner'!$I$2:$I$10001,0)),"")</f>
        <v/>
      </c>
    </row>
    <row r="8375">
      <c r="A8375">
        <f>IFERROR(INDEX('Email Cleaner'!$B$2:$B$10001,MATCH(8374,'Email Cleaner'!$I$2:$I$10001,0)),"")</f>
        <v/>
      </c>
    </row>
    <row r="8376">
      <c r="A8376">
        <f>IFERROR(INDEX('Email Cleaner'!$B$2:$B$10001,MATCH(8375,'Email Cleaner'!$I$2:$I$10001,0)),"")</f>
        <v/>
      </c>
    </row>
    <row r="8377">
      <c r="A8377">
        <f>IFERROR(INDEX('Email Cleaner'!$B$2:$B$10001,MATCH(8376,'Email Cleaner'!$I$2:$I$10001,0)),"")</f>
        <v/>
      </c>
    </row>
    <row r="8378">
      <c r="A8378">
        <f>IFERROR(INDEX('Email Cleaner'!$B$2:$B$10001,MATCH(8377,'Email Cleaner'!$I$2:$I$10001,0)),"")</f>
        <v/>
      </c>
    </row>
    <row r="8379">
      <c r="A8379">
        <f>IFERROR(INDEX('Email Cleaner'!$B$2:$B$10001,MATCH(8378,'Email Cleaner'!$I$2:$I$10001,0)),"")</f>
        <v/>
      </c>
    </row>
    <row r="8380">
      <c r="A8380">
        <f>IFERROR(INDEX('Email Cleaner'!$B$2:$B$10001,MATCH(8379,'Email Cleaner'!$I$2:$I$10001,0)),"")</f>
        <v/>
      </c>
    </row>
    <row r="8381">
      <c r="A8381">
        <f>IFERROR(INDEX('Email Cleaner'!$B$2:$B$10001,MATCH(8380,'Email Cleaner'!$I$2:$I$10001,0)),"")</f>
        <v/>
      </c>
    </row>
    <row r="8382">
      <c r="A8382">
        <f>IFERROR(INDEX('Email Cleaner'!$B$2:$B$10001,MATCH(8381,'Email Cleaner'!$I$2:$I$10001,0)),"")</f>
        <v/>
      </c>
    </row>
    <row r="8383">
      <c r="A8383">
        <f>IFERROR(INDEX('Email Cleaner'!$B$2:$B$10001,MATCH(8382,'Email Cleaner'!$I$2:$I$10001,0)),"")</f>
        <v/>
      </c>
    </row>
    <row r="8384">
      <c r="A8384">
        <f>IFERROR(INDEX('Email Cleaner'!$B$2:$B$10001,MATCH(8383,'Email Cleaner'!$I$2:$I$10001,0)),"")</f>
        <v/>
      </c>
    </row>
    <row r="8385">
      <c r="A8385">
        <f>IFERROR(INDEX('Email Cleaner'!$B$2:$B$10001,MATCH(8384,'Email Cleaner'!$I$2:$I$10001,0)),"")</f>
        <v/>
      </c>
    </row>
    <row r="8386">
      <c r="A8386">
        <f>IFERROR(INDEX('Email Cleaner'!$B$2:$B$10001,MATCH(8385,'Email Cleaner'!$I$2:$I$10001,0)),"")</f>
        <v/>
      </c>
    </row>
    <row r="8387">
      <c r="A8387">
        <f>IFERROR(INDEX('Email Cleaner'!$B$2:$B$10001,MATCH(8386,'Email Cleaner'!$I$2:$I$10001,0)),"")</f>
        <v/>
      </c>
    </row>
    <row r="8388">
      <c r="A8388">
        <f>IFERROR(INDEX('Email Cleaner'!$B$2:$B$10001,MATCH(8387,'Email Cleaner'!$I$2:$I$10001,0)),"")</f>
        <v/>
      </c>
    </row>
    <row r="8389">
      <c r="A8389">
        <f>IFERROR(INDEX('Email Cleaner'!$B$2:$B$10001,MATCH(8388,'Email Cleaner'!$I$2:$I$10001,0)),"")</f>
        <v/>
      </c>
    </row>
    <row r="8390">
      <c r="A8390">
        <f>IFERROR(INDEX('Email Cleaner'!$B$2:$B$10001,MATCH(8389,'Email Cleaner'!$I$2:$I$10001,0)),"")</f>
        <v/>
      </c>
    </row>
    <row r="8391">
      <c r="A8391">
        <f>IFERROR(INDEX('Email Cleaner'!$B$2:$B$10001,MATCH(8390,'Email Cleaner'!$I$2:$I$10001,0)),"")</f>
        <v/>
      </c>
    </row>
    <row r="8392">
      <c r="A8392">
        <f>IFERROR(INDEX('Email Cleaner'!$B$2:$B$10001,MATCH(8391,'Email Cleaner'!$I$2:$I$10001,0)),"")</f>
        <v/>
      </c>
    </row>
    <row r="8393">
      <c r="A8393">
        <f>IFERROR(INDEX('Email Cleaner'!$B$2:$B$10001,MATCH(8392,'Email Cleaner'!$I$2:$I$10001,0)),"")</f>
        <v/>
      </c>
    </row>
    <row r="8394">
      <c r="A8394">
        <f>IFERROR(INDEX('Email Cleaner'!$B$2:$B$10001,MATCH(8393,'Email Cleaner'!$I$2:$I$10001,0)),"")</f>
        <v/>
      </c>
    </row>
    <row r="8395">
      <c r="A8395">
        <f>IFERROR(INDEX('Email Cleaner'!$B$2:$B$10001,MATCH(8394,'Email Cleaner'!$I$2:$I$10001,0)),"")</f>
        <v/>
      </c>
    </row>
    <row r="8396">
      <c r="A8396">
        <f>IFERROR(INDEX('Email Cleaner'!$B$2:$B$10001,MATCH(8395,'Email Cleaner'!$I$2:$I$10001,0)),"")</f>
        <v/>
      </c>
    </row>
    <row r="8397">
      <c r="A8397">
        <f>IFERROR(INDEX('Email Cleaner'!$B$2:$B$10001,MATCH(8396,'Email Cleaner'!$I$2:$I$10001,0)),"")</f>
        <v/>
      </c>
    </row>
    <row r="8398">
      <c r="A8398">
        <f>IFERROR(INDEX('Email Cleaner'!$B$2:$B$10001,MATCH(8397,'Email Cleaner'!$I$2:$I$10001,0)),"")</f>
        <v/>
      </c>
    </row>
    <row r="8399">
      <c r="A8399">
        <f>IFERROR(INDEX('Email Cleaner'!$B$2:$B$10001,MATCH(8398,'Email Cleaner'!$I$2:$I$10001,0)),"")</f>
        <v/>
      </c>
    </row>
    <row r="8400">
      <c r="A8400">
        <f>IFERROR(INDEX('Email Cleaner'!$B$2:$B$10001,MATCH(8399,'Email Cleaner'!$I$2:$I$10001,0)),"")</f>
        <v/>
      </c>
    </row>
    <row r="8401">
      <c r="A8401">
        <f>IFERROR(INDEX('Email Cleaner'!$B$2:$B$10001,MATCH(8400,'Email Cleaner'!$I$2:$I$10001,0)),"")</f>
        <v/>
      </c>
    </row>
    <row r="8402">
      <c r="A8402">
        <f>IFERROR(INDEX('Email Cleaner'!$B$2:$B$10001,MATCH(8401,'Email Cleaner'!$I$2:$I$10001,0)),"")</f>
        <v/>
      </c>
    </row>
    <row r="8403">
      <c r="A8403">
        <f>IFERROR(INDEX('Email Cleaner'!$B$2:$B$10001,MATCH(8402,'Email Cleaner'!$I$2:$I$10001,0)),"")</f>
        <v/>
      </c>
    </row>
    <row r="8404">
      <c r="A8404">
        <f>IFERROR(INDEX('Email Cleaner'!$B$2:$B$10001,MATCH(8403,'Email Cleaner'!$I$2:$I$10001,0)),"")</f>
        <v/>
      </c>
    </row>
    <row r="8405">
      <c r="A8405">
        <f>IFERROR(INDEX('Email Cleaner'!$B$2:$B$10001,MATCH(8404,'Email Cleaner'!$I$2:$I$10001,0)),"")</f>
        <v/>
      </c>
    </row>
    <row r="8406">
      <c r="A8406">
        <f>IFERROR(INDEX('Email Cleaner'!$B$2:$B$10001,MATCH(8405,'Email Cleaner'!$I$2:$I$10001,0)),"")</f>
        <v/>
      </c>
    </row>
    <row r="8407">
      <c r="A8407">
        <f>IFERROR(INDEX('Email Cleaner'!$B$2:$B$10001,MATCH(8406,'Email Cleaner'!$I$2:$I$10001,0)),"")</f>
        <v/>
      </c>
    </row>
    <row r="8408">
      <c r="A8408">
        <f>IFERROR(INDEX('Email Cleaner'!$B$2:$B$10001,MATCH(8407,'Email Cleaner'!$I$2:$I$10001,0)),"")</f>
        <v/>
      </c>
    </row>
    <row r="8409">
      <c r="A8409">
        <f>IFERROR(INDEX('Email Cleaner'!$B$2:$B$10001,MATCH(8408,'Email Cleaner'!$I$2:$I$10001,0)),"")</f>
        <v/>
      </c>
    </row>
    <row r="8410">
      <c r="A8410">
        <f>IFERROR(INDEX('Email Cleaner'!$B$2:$B$10001,MATCH(8409,'Email Cleaner'!$I$2:$I$10001,0)),"")</f>
        <v/>
      </c>
    </row>
    <row r="8411">
      <c r="A8411">
        <f>IFERROR(INDEX('Email Cleaner'!$B$2:$B$10001,MATCH(8410,'Email Cleaner'!$I$2:$I$10001,0)),"")</f>
        <v/>
      </c>
    </row>
    <row r="8412">
      <c r="A8412">
        <f>IFERROR(INDEX('Email Cleaner'!$B$2:$B$10001,MATCH(8411,'Email Cleaner'!$I$2:$I$10001,0)),"")</f>
        <v/>
      </c>
    </row>
    <row r="8413">
      <c r="A8413">
        <f>IFERROR(INDEX('Email Cleaner'!$B$2:$B$10001,MATCH(8412,'Email Cleaner'!$I$2:$I$10001,0)),"")</f>
        <v/>
      </c>
    </row>
    <row r="8414">
      <c r="A8414">
        <f>IFERROR(INDEX('Email Cleaner'!$B$2:$B$10001,MATCH(8413,'Email Cleaner'!$I$2:$I$10001,0)),"")</f>
        <v/>
      </c>
    </row>
    <row r="8415">
      <c r="A8415">
        <f>IFERROR(INDEX('Email Cleaner'!$B$2:$B$10001,MATCH(8414,'Email Cleaner'!$I$2:$I$10001,0)),"")</f>
        <v/>
      </c>
    </row>
    <row r="8416">
      <c r="A8416">
        <f>IFERROR(INDEX('Email Cleaner'!$B$2:$B$10001,MATCH(8415,'Email Cleaner'!$I$2:$I$10001,0)),"")</f>
        <v/>
      </c>
    </row>
    <row r="8417">
      <c r="A8417">
        <f>IFERROR(INDEX('Email Cleaner'!$B$2:$B$10001,MATCH(8416,'Email Cleaner'!$I$2:$I$10001,0)),"")</f>
        <v/>
      </c>
    </row>
    <row r="8418">
      <c r="A8418">
        <f>IFERROR(INDEX('Email Cleaner'!$B$2:$B$10001,MATCH(8417,'Email Cleaner'!$I$2:$I$10001,0)),"")</f>
        <v/>
      </c>
    </row>
    <row r="8419">
      <c r="A8419">
        <f>IFERROR(INDEX('Email Cleaner'!$B$2:$B$10001,MATCH(8418,'Email Cleaner'!$I$2:$I$10001,0)),"")</f>
        <v/>
      </c>
    </row>
    <row r="8420">
      <c r="A8420">
        <f>IFERROR(INDEX('Email Cleaner'!$B$2:$B$10001,MATCH(8419,'Email Cleaner'!$I$2:$I$10001,0)),"")</f>
        <v/>
      </c>
    </row>
    <row r="8421">
      <c r="A8421">
        <f>IFERROR(INDEX('Email Cleaner'!$B$2:$B$10001,MATCH(8420,'Email Cleaner'!$I$2:$I$10001,0)),"")</f>
        <v/>
      </c>
    </row>
    <row r="8422">
      <c r="A8422">
        <f>IFERROR(INDEX('Email Cleaner'!$B$2:$B$10001,MATCH(8421,'Email Cleaner'!$I$2:$I$10001,0)),"")</f>
        <v/>
      </c>
    </row>
    <row r="8423">
      <c r="A8423">
        <f>IFERROR(INDEX('Email Cleaner'!$B$2:$B$10001,MATCH(8422,'Email Cleaner'!$I$2:$I$10001,0)),"")</f>
        <v/>
      </c>
    </row>
    <row r="8424">
      <c r="A8424">
        <f>IFERROR(INDEX('Email Cleaner'!$B$2:$B$10001,MATCH(8423,'Email Cleaner'!$I$2:$I$10001,0)),"")</f>
        <v/>
      </c>
    </row>
    <row r="8425">
      <c r="A8425">
        <f>IFERROR(INDEX('Email Cleaner'!$B$2:$B$10001,MATCH(8424,'Email Cleaner'!$I$2:$I$10001,0)),"")</f>
        <v/>
      </c>
    </row>
    <row r="8426">
      <c r="A8426">
        <f>IFERROR(INDEX('Email Cleaner'!$B$2:$B$10001,MATCH(8425,'Email Cleaner'!$I$2:$I$10001,0)),"")</f>
        <v/>
      </c>
    </row>
    <row r="8427">
      <c r="A8427">
        <f>IFERROR(INDEX('Email Cleaner'!$B$2:$B$10001,MATCH(8426,'Email Cleaner'!$I$2:$I$10001,0)),"")</f>
        <v/>
      </c>
    </row>
    <row r="8428">
      <c r="A8428">
        <f>IFERROR(INDEX('Email Cleaner'!$B$2:$B$10001,MATCH(8427,'Email Cleaner'!$I$2:$I$10001,0)),"")</f>
        <v/>
      </c>
    </row>
    <row r="8429">
      <c r="A8429">
        <f>IFERROR(INDEX('Email Cleaner'!$B$2:$B$10001,MATCH(8428,'Email Cleaner'!$I$2:$I$10001,0)),"")</f>
        <v/>
      </c>
    </row>
    <row r="8430">
      <c r="A8430">
        <f>IFERROR(INDEX('Email Cleaner'!$B$2:$B$10001,MATCH(8429,'Email Cleaner'!$I$2:$I$10001,0)),"")</f>
        <v/>
      </c>
    </row>
    <row r="8431">
      <c r="A8431">
        <f>IFERROR(INDEX('Email Cleaner'!$B$2:$B$10001,MATCH(8430,'Email Cleaner'!$I$2:$I$10001,0)),"")</f>
        <v/>
      </c>
    </row>
    <row r="8432">
      <c r="A8432">
        <f>IFERROR(INDEX('Email Cleaner'!$B$2:$B$10001,MATCH(8431,'Email Cleaner'!$I$2:$I$10001,0)),"")</f>
        <v/>
      </c>
    </row>
    <row r="8433">
      <c r="A8433">
        <f>IFERROR(INDEX('Email Cleaner'!$B$2:$B$10001,MATCH(8432,'Email Cleaner'!$I$2:$I$10001,0)),"")</f>
        <v/>
      </c>
    </row>
    <row r="8434">
      <c r="A8434">
        <f>IFERROR(INDEX('Email Cleaner'!$B$2:$B$10001,MATCH(8433,'Email Cleaner'!$I$2:$I$10001,0)),"")</f>
        <v/>
      </c>
    </row>
    <row r="8435">
      <c r="A8435">
        <f>IFERROR(INDEX('Email Cleaner'!$B$2:$B$10001,MATCH(8434,'Email Cleaner'!$I$2:$I$10001,0)),"")</f>
        <v/>
      </c>
    </row>
    <row r="8436">
      <c r="A8436">
        <f>IFERROR(INDEX('Email Cleaner'!$B$2:$B$10001,MATCH(8435,'Email Cleaner'!$I$2:$I$10001,0)),"")</f>
        <v/>
      </c>
    </row>
    <row r="8437">
      <c r="A8437">
        <f>IFERROR(INDEX('Email Cleaner'!$B$2:$B$10001,MATCH(8436,'Email Cleaner'!$I$2:$I$10001,0)),"")</f>
        <v/>
      </c>
    </row>
    <row r="8438">
      <c r="A8438">
        <f>IFERROR(INDEX('Email Cleaner'!$B$2:$B$10001,MATCH(8437,'Email Cleaner'!$I$2:$I$10001,0)),"")</f>
        <v/>
      </c>
    </row>
    <row r="8439">
      <c r="A8439">
        <f>IFERROR(INDEX('Email Cleaner'!$B$2:$B$10001,MATCH(8438,'Email Cleaner'!$I$2:$I$10001,0)),"")</f>
        <v/>
      </c>
    </row>
    <row r="8440">
      <c r="A8440">
        <f>IFERROR(INDEX('Email Cleaner'!$B$2:$B$10001,MATCH(8439,'Email Cleaner'!$I$2:$I$10001,0)),"")</f>
        <v/>
      </c>
    </row>
    <row r="8441">
      <c r="A8441">
        <f>IFERROR(INDEX('Email Cleaner'!$B$2:$B$10001,MATCH(8440,'Email Cleaner'!$I$2:$I$10001,0)),"")</f>
        <v/>
      </c>
    </row>
    <row r="8442">
      <c r="A8442">
        <f>IFERROR(INDEX('Email Cleaner'!$B$2:$B$10001,MATCH(8441,'Email Cleaner'!$I$2:$I$10001,0)),"")</f>
        <v/>
      </c>
    </row>
    <row r="8443">
      <c r="A8443">
        <f>IFERROR(INDEX('Email Cleaner'!$B$2:$B$10001,MATCH(8442,'Email Cleaner'!$I$2:$I$10001,0)),"")</f>
        <v/>
      </c>
    </row>
    <row r="8444">
      <c r="A8444">
        <f>IFERROR(INDEX('Email Cleaner'!$B$2:$B$10001,MATCH(8443,'Email Cleaner'!$I$2:$I$10001,0)),"")</f>
        <v/>
      </c>
    </row>
    <row r="8445">
      <c r="A8445">
        <f>IFERROR(INDEX('Email Cleaner'!$B$2:$B$10001,MATCH(8444,'Email Cleaner'!$I$2:$I$10001,0)),"")</f>
        <v/>
      </c>
    </row>
    <row r="8446">
      <c r="A8446">
        <f>IFERROR(INDEX('Email Cleaner'!$B$2:$B$10001,MATCH(8445,'Email Cleaner'!$I$2:$I$10001,0)),"")</f>
        <v/>
      </c>
    </row>
    <row r="8447">
      <c r="A8447">
        <f>IFERROR(INDEX('Email Cleaner'!$B$2:$B$10001,MATCH(8446,'Email Cleaner'!$I$2:$I$10001,0)),"")</f>
        <v/>
      </c>
    </row>
    <row r="8448">
      <c r="A8448">
        <f>IFERROR(INDEX('Email Cleaner'!$B$2:$B$10001,MATCH(8447,'Email Cleaner'!$I$2:$I$10001,0)),"")</f>
        <v/>
      </c>
    </row>
    <row r="8449">
      <c r="A8449">
        <f>IFERROR(INDEX('Email Cleaner'!$B$2:$B$10001,MATCH(8448,'Email Cleaner'!$I$2:$I$10001,0)),"")</f>
        <v/>
      </c>
    </row>
    <row r="8450">
      <c r="A8450">
        <f>IFERROR(INDEX('Email Cleaner'!$B$2:$B$10001,MATCH(8449,'Email Cleaner'!$I$2:$I$10001,0)),"")</f>
        <v/>
      </c>
    </row>
    <row r="8451">
      <c r="A8451">
        <f>IFERROR(INDEX('Email Cleaner'!$B$2:$B$10001,MATCH(8450,'Email Cleaner'!$I$2:$I$10001,0)),"")</f>
        <v/>
      </c>
    </row>
    <row r="8452">
      <c r="A8452">
        <f>IFERROR(INDEX('Email Cleaner'!$B$2:$B$10001,MATCH(8451,'Email Cleaner'!$I$2:$I$10001,0)),"")</f>
        <v/>
      </c>
    </row>
    <row r="8453">
      <c r="A8453">
        <f>IFERROR(INDEX('Email Cleaner'!$B$2:$B$10001,MATCH(8452,'Email Cleaner'!$I$2:$I$10001,0)),"")</f>
        <v/>
      </c>
    </row>
    <row r="8454">
      <c r="A8454">
        <f>IFERROR(INDEX('Email Cleaner'!$B$2:$B$10001,MATCH(8453,'Email Cleaner'!$I$2:$I$10001,0)),"")</f>
        <v/>
      </c>
    </row>
    <row r="8455">
      <c r="A8455">
        <f>IFERROR(INDEX('Email Cleaner'!$B$2:$B$10001,MATCH(8454,'Email Cleaner'!$I$2:$I$10001,0)),"")</f>
        <v/>
      </c>
    </row>
    <row r="8456">
      <c r="A8456">
        <f>IFERROR(INDEX('Email Cleaner'!$B$2:$B$10001,MATCH(8455,'Email Cleaner'!$I$2:$I$10001,0)),"")</f>
        <v/>
      </c>
    </row>
    <row r="8457">
      <c r="A8457">
        <f>IFERROR(INDEX('Email Cleaner'!$B$2:$B$10001,MATCH(8456,'Email Cleaner'!$I$2:$I$10001,0)),"")</f>
        <v/>
      </c>
    </row>
    <row r="8458">
      <c r="A8458">
        <f>IFERROR(INDEX('Email Cleaner'!$B$2:$B$10001,MATCH(8457,'Email Cleaner'!$I$2:$I$10001,0)),"")</f>
        <v/>
      </c>
    </row>
    <row r="8459">
      <c r="A8459">
        <f>IFERROR(INDEX('Email Cleaner'!$B$2:$B$10001,MATCH(8458,'Email Cleaner'!$I$2:$I$10001,0)),"")</f>
        <v/>
      </c>
    </row>
    <row r="8460">
      <c r="A8460">
        <f>IFERROR(INDEX('Email Cleaner'!$B$2:$B$10001,MATCH(8459,'Email Cleaner'!$I$2:$I$10001,0)),"")</f>
        <v/>
      </c>
    </row>
    <row r="8461">
      <c r="A8461">
        <f>IFERROR(INDEX('Email Cleaner'!$B$2:$B$10001,MATCH(8460,'Email Cleaner'!$I$2:$I$10001,0)),"")</f>
        <v/>
      </c>
    </row>
    <row r="8462">
      <c r="A8462">
        <f>IFERROR(INDEX('Email Cleaner'!$B$2:$B$10001,MATCH(8461,'Email Cleaner'!$I$2:$I$10001,0)),"")</f>
        <v/>
      </c>
    </row>
    <row r="8463">
      <c r="A8463">
        <f>IFERROR(INDEX('Email Cleaner'!$B$2:$B$10001,MATCH(8462,'Email Cleaner'!$I$2:$I$10001,0)),"")</f>
        <v/>
      </c>
    </row>
    <row r="8464">
      <c r="A8464">
        <f>IFERROR(INDEX('Email Cleaner'!$B$2:$B$10001,MATCH(8463,'Email Cleaner'!$I$2:$I$10001,0)),"")</f>
        <v/>
      </c>
    </row>
    <row r="8465">
      <c r="A8465">
        <f>IFERROR(INDEX('Email Cleaner'!$B$2:$B$10001,MATCH(8464,'Email Cleaner'!$I$2:$I$10001,0)),"")</f>
        <v/>
      </c>
    </row>
    <row r="8466">
      <c r="A8466">
        <f>IFERROR(INDEX('Email Cleaner'!$B$2:$B$10001,MATCH(8465,'Email Cleaner'!$I$2:$I$10001,0)),"")</f>
        <v/>
      </c>
    </row>
    <row r="8467">
      <c r="A8467">
        <f>IFERROR(INDEX('Email Cleaner'!$B$2:$B$10001,MATCH(8466,'Email Cleaner'!$I$2:$I$10001,0)),"")</f>
        <v/>
      </c>
    </row>
    <row r="8468">
      <c r="A8468">
        <f>IFERROR(INDEX('Email Cleaner'!$B$2:$B$10001,MATCH(8467,'Email Cleaner'!$I$2:$I$10001,0)),"")</f>
        <v/>
      </c>
    </row>
    <row r="8469">
      <c r="A8469">
        <f>IFERROR(INDEX('Email Cleaner'!$B$2:$B$10001,MATCH(8468,'Email Cleaner'!$I$2:$I$10001,0)),"")</f>
        <v/>
      </c>
    </row>
    <row r="8470">
      <c r="A8470">
        <f>IFERROR(INDEX('Email Cleaner'!$B$2:$B$10001,MATCH(8469,'Email Cleaner'!$I$2:$I$10001,0)),"")</f>
        <v/>
      </c>
    </row>
    <row r="8471">
      <c r="A8471">
        <f>IFERROR(INDEX('Email Cleaner'!$B$2:$B$10001,MATCH(8470,'Email Cleaner'!$I$2:$I$10001,0)),"")</f>
        <v/>
      </c>
    </row>
    <row r="8472">
      <c r="A8472">
        <f>IFERROR(INDEX('Email Cleaner'!$B$2:$B$10001,MATCH(8471,'Email Cleaner'!$I$2:$I$10001,0)),"")</f>
        <v/>
      </c>
    </row>
    <row r="8473">
      <c r="A8473">
        <f>IFERROR(INDEX('Email Cleaner'!$B$2:$B$10001,MATCH(8472,'Email Cleaner'!$I$2:$I$10001,0)),"")</f>
        <v/>
      </c>
    </row>
    <row r="8474">
      <c r="A8474">
        <f>IFERROR(INDEX('Email Cleaner'!$B$2:$B$10001,MATCH(8473,'Email Cleaner'!$I$2:$I$10001,0)),"")</f>
        <v/>
      </c>
    </row>
    <row r="8475">
      <c r="A8475">
        <f>IFERROR(INDEX('Email Cleaner'!$B$2:$B$10001,MATCH(8474,'Email Cleaner'!$I$2:$I$10001,0)),"")</f>
        <v/>
      </c>
    </row>
    <row r="8476">
      <c r="A8476">
        <f>IFERROR(INDEX('Email Cleaner'!$B$2:$B$10001,MATCH(8475,'Email Cleaner'!$I$2:$I$10001,0)),"")</f>
        <v/>
      </c>
    </row>
    <row r="8477">
      <c r="A8477">
        <f>IFERROR(INDEX('Email Cleaner'!$B$2:$B$10001,MATCH(8476,'Email Cleaner'!$I$2:$I$10001,0)),"")</f>
        <v/>
      </c>
    </row>
    <row r="8478">
      <c r="A8478">
        <f>IFERROR(INDEX('Email Cleaner'!$B$2:$B$10001,MATCH(8477,'Email Cleaner'!$I$2:$I$10001,0)),"")</f>
        <v/>
      </c>
    </row>
    <row r="8479">
      <c r="A8479">
        <f>IFERROR(INDEX('Email Cleaner'!$B$2:$B$10001,MATCH(8478,'Email Cleaner'!$I$2:$I$10001,0)),"")</f>
        <v/>
      </c>
    </row>
    <row r="8480">
      <c r="A8480">
        <f>IFERROR(INDEX('Email Cleaner'!$B$2:$B$10001,MATCH(8479,'Email Cleaner'!$I$2:$I$10001,0)),"")</f>
        <v/>
      </c>
    </row>
    <row r="8481">
      <c r="A8481">
        <f>IFERROR(INDEX('Email Cleaner'!$B$2:$B$10001,MATCH(8480,'Email Cleaner'!$I$2:$I$10001,0)),"")</f>
        <v/>
      </c>
    </row>
    <row r="8482">
      <c r="A8482">
        <f>IFERROR(INDEX('Email Cleaner'!$B$2:$B$10001,MATCH(8481,'Email Cleaner'!$I$2:$I$10001,0)),"")</f>
        <v/>
      </c>
    </row>
    <row r="8483">
      <c r="A8483">
        <f>IFERROR(INDEX('Email Cleaner'!$B$2:$B$10001,MATCH(8482,'Email Cleaner'!$I$2:$I$10001,0)),"")</f>
        <v/>
      </c>
    </row>
    <row r="8484">
      <c r="A8484">
        <f>IFERROR(INDEX('Email Cleaner'!$B$2:$B$10001,MATCH(8483,'Email Cleaner'!$I$2:$I$10001,0)),"")</f>
        <v/>
      </c>
    </row>
    <row r="8485">
      <c r="A8485">
        <f>IFERROR(INDEX('Email Cleaner'!$B$2:$B$10001,MATCH(8484,'Email Cleaner'!$I$2:$I$10001,0)),"")</f>
        <v/>
      </c>
    </row>
    <row r="8486">
      <c r="A8486">
        <f>IFERROR(INDEX('Email Cleaner'!$B$2:$B$10001,MATCH(8485,'Email Cleaner'!$I$2:$I$10001,0)),"")</f>
        <v/>
      </c>
    </row>
    <row r="8487">
      <c r="A8487">
        <f>IFERROR(INDEX('Email Cleaner'!$B$2:$B$10001,MATCH(8486,'Email Cleaner'!$I$2:$I$10001,0)),"")</f>
        <v/>
      </c>
    </row>
    <row r="8488">
      <c r="A8488">
        <f>IFERROR(INDEX('Email Cleaner'!$B$2:$B$10001,MATCH(8487,'Email Cleaner'!$I$2:$I$10001,0)),"")</f>
        <v/>
      </c>
    </row>
    <row r="8489">
      <c r="A8489">
        <f>IFERROR(INDEX('Email Cleaner'!$B$2:$B$10001,MATCH(8488,'Email Cleaner'!$I$2:$I$10001,0)),"")</f>
        <v/>
      </c>
    </row>
    <row r="8490">
      <c r="A8490">
        <f>IFERROR(INDEX('Email Cleaner'!$B$2:$B$10001,MATCH(8489,'Email Cleaner'!$I$2:$I$10001,0)),"")</f>
        <v/>
      </c>
    </row>
    <row r="8491">
      <c r="A8491">
        <f>IFERROR(INDEX('Email Cleaner'!$B$2:$B$10001,MATCH(8490,'Email Cleaner'!$I$2:$I$10001,0)),"")</f>
        <v/>
      </c>
    </row>
    <row r="8492">
      <c r="A8492">
        <f>IFERROR(INDEX('Email Cleaner'!$B$2:$B$10001,MATCH(8491,'Email Cleaner'!$I$2:$I$10001,0)),"")</f>
        <v/>
      </c>
    </row>
    <row r="8493">
      <c r="A8493">
        <f>IFERROR(INDEX('Email Cleaner'!$B$2:$B$10001,MATCH(8492,'Email Cleaner'!$I$2:$I$10001,0)),"")</f>
        <v/>
      </c>
    </row>
    <row r="8494">
      <c r="A8494">
        <f>IFERROR(INDEX('Email Cleaner'!$B$2:$B$10001,MATCH(8493,'Email Cleaner'!$I$2:$I$10001,0)),"")</f>
        <v/>
      </c>
    </row>
    <row r="8495">
      <c r="A8495">
        <f>IFERROR(INDEX('Email Cleaner'!$B$2:$B$10001,MATCH(8494,'Email Cleaner'!$I$2:$I$10001,0)),"")</f>
        <v/>
      </c>
    </row>
    <row r="8496">
      <c r="A8496">
        <f>IFERROR(INDEX('Email Cleaner'!$B$2:$B$10001,MATCH(8495,'Email Cleaner'!$I$2:$I$10001,0)),"")</f>
        <v/>
      </c>
    </row>
    <row r="8497">
      <c r="A8497">
        <f>IFERROR(INDEX('Email Cleaner'!$B$2:$B$10001,MATCH(8496,'Email Cleaner'!$I$2:$I$10001,0)),"")</f>
        <v/>
      </c>
    </row>
    <row r="8498">
      <c r="A8498">
        <f>IFERROR(INDEX('Email Cleaner'!$B$2:$B$10001,MATCH(8497,'Email Cleaner'!$I$2:$I$10001,0)),"")</f>
        <v/>
      </c>
    </row>
    <row r="8499">
      <c r="A8499">
        <f>IFERROR(INDEX('Email Cleaner'!$B$2:$B$10001,MATCH(8498,'Email Cleaner'!$I$2:$I$10001,0)),"")</f>
        <v/>
      </c>
    </row>
    <row r="8500">
      <c r="A8500">
        <f>IFERROR(INDEX('Email Cleaner'!$B$2:$B$10001,MATCH(8499,'Email Cleaner'!$I$2:$I$10001,0)),"")</f>
        <v/>
      </c>
    </row>
    <row r="8501">
      <c r="A8501">
        <f>IFERROR(INDEX('Email Cleaner'!$B$2:$B$10001,MATCH(8500,'Email Cleaner'!$I$2:$I$10001,0)),"")</f>
        <v/>
      </c>
    </row>
    <row r="8502">
      <c r="A8502">
        <f>IFERROR(INDEX('Email Cleaner'!$B$2:$B$10001,MATCH(8501,'Email Cleaner'!$I$2:$I$10001,0)),"")</f>
        <v/>
      </c>
    </row>
    <row r="8503">
      <c r="A8503">
        <f>IFERROR(INDEX('Email Cleaner'!$B$2:$B$10001,MATCH(8502,'Email Cleaner'!$I$2:$I$10001,0)),"")</f>
        <v/>
      </c>
    </row>
    <row r="8504">
      <c r="A8504">
        <f>IFERROR(INDEX('Email Cleaner'!$B$2:$B$10001,MATCH(8503,'Email Cleaner'!$I$2:$I$10001,0)),"")</f>
        <v/>
      </c>
    </row>
    <row r="8505">
      <c r="A8505">
        <f>IFERROR(INDEX('Email Cleaner'!$B$2:$B$10001,MATCH(8504,'Email Cleaner'!$I$2:$I$10001,0)),"")</f>
        <v/>
      </c>
    </row>
    <row r="8506">
      <c r="A8506">
        <f>IFERROR(INDEX('Email Cleaner'!$B$2:$B$10001,MATCH(8505,'Email Cleaner'!$I$2:$I$10001,0)),"")</f>
        <v/>
      </c>
    </row>
    <row r="8507">
      <c r="A8507">
        <f>IFERROR(INDEX('Email Cleaner'!$B$2:$B$10001,MATCH(8506,'Email Cleaner'!$I$2:$I$10001,0)),"")</f>
        <v/>
      </c>
    </row>
    <row r="8508">
      <c r="A8508">
        <f>IFERROR(INDEX('Email Cleaner'!$B$2:$B$10001,MATCH(8507,'Email Cleaner'!$I$2:$I$10001,0)),"")</f>
        <v/>
      </c>
    </row>
    <row r="8509">
      <c r="A8509">
        <f>IFERROR(INDEX('Email Cleaner'!$B$2:$B$10001,MATCH(8508,'Email Cleaner'!$I$2:$I$10001,0)),"")</f>
        <v/>
      </c>
    </row>
    <row r="8510">
      <c r="A8510">
        <f>IFERROR(INDEX('Email Cleaner'!$B$2:$B$10001,MATCH(8509,'Email Cleaner'!$I$2:$I$10001,0)),"")</f>
        <v/>
      </c>
    </row>
    <row r="8511">
      <c r="A8511">
        <f>IFERROR(INDEX('Email Cleaner'!$B$2:$B$10001,MATCH(8510,'Email Cleaner'!$I$2:$I$10001,0)),"")</f>
        <v/>
      </c>
    </row>
    <row r="8512">
      <c r="A8512">
        <f>IFERROR(INDEX('Email Cleaner'!$B$2:$B$10001,MATCH(8511,'Email Cleaner'!$I$2:$I$10001,0)),"")</f>
        <v/>
      </c>
    </row>
    <row r="8513">
      <c r="A8513">
        <f>IFERROR(INDEX('Email Cleaner'!$B$2:$B$10001,MATCH(8512,'Email Cleaner'!$I$2:$I$10001,0)),"")</f>
        <v/>
      </c>
    </row>
    <row r="8514">
      <c r="A8514">
        <f>IFERROR(INDEX('Email Cleaner'!$B$2:$B$10001,MATCH(8513,'Email Cleaner'!$I$2:$I$10001,0)),"")</f>
        <v/>
      </c>
    </row>
    <row r="8515">
      <c r="A8515">
        <f>IFERROR(INDEX('Email Cleaner'!$B$2:$B$10001,MATCH(8514,'Email Cleaner'!$I$2:$I$10001,0)),"")</f>
        <v/>
      </c>
    </row>
    <row r="8516">
      <c r="A8516">
        <f>IFERROR(INDEX('Email Cleaner'!$B$2:$B$10001,MATCH(8515,'Email Cleaner'!$I$2:$I$10001,0)),"")</f>
        <v/>
      </c>
    </row>
    <row r="8517">
      <c r="A8517">
        <f>IFERROR(INDEX('Email Cleaner'!$B$2:$B$10001,MATCH(8516,'Email Cleaner'!$I$2:$I$10001,0)),"")</f>
        <v/>
      </c>
    </row>
    <row r="8518">
      <c r="A8518">
        <f>IFERROR(INDEX('Email Cleaner'!$B$2:$B$10001,MATCH(8517,'Email Cleaner'!$I$2:$I$10001,0)),"")</f>
        <v/>
      </c>
    </row>
    <row r="8519">
      <c r="A8519">
        <f>IFERROR(INDEX('Email Cleaner'!$B$2:$B$10001,MATCH(8518,'Email Cleaner'!$I$2:$I$10001,0)),"")</f>
        <v/>
      </c>
    </row>
    <row r="8520">
      <c r="A8520">
        <f>IFERROR(INDEX('Email Cleaner'!$B$2:$B$10001,MATCH(8519,'Email Cleaner'!$I$2:$I$10001,0)),"")</f>
        <v/>
      </c>
    </row>
    <row r="8521">
      <c r="A8521">
        <f>IFERROR(INDEX('Email Cleaner'!$B$2:$B$10001,MATCH(8520,'Email Cleaner'!$I$2:$I$10001,0)),"")</f>
        <v/>
      </c>
    </row>
    <row r="8522">
      <c r="A8522">
        <f>IFERROR(INDEX('Email Cleaner'!$B$2:$B$10001,MATCH(8521,'Email Cleaner'!$I$2:$I$10001,0)),"")</f>
        <v/>
      </c>
    </row>
    <row r="8523">
      <c r="A8523">
        <f>IFERROR(INDEX('Email Cleaner'!$B$2:$B$10001,MATCH(8522,'Email Cleaner'!$I$2:$I$10001,0)),"")</f>
        <v/>
      </c>
    </row>
    <row r="8524">
      <c r="A8524">
        <f>IFERROR(INDEX('Email Cleaner'!$B$2:$B$10001,MATCH(8523,'Email Cleaner'!$I$2:$I$10001,0)),"")</f>
        <v/>
      </c>
    </row>
    <row r="8525">
      <c r="A8525">
        <f>IFERROR(INDEX('Email Cleaner'!$B$2:$B$10001,MATCH(8524,'Email Cleaner'!$I$2:$I$10001,0)),"")</f>
        <v/>
      </c>
    </row>
    <row r="8526">
      <c r="A8526">
        <f>IFERROR(INDEX('Email Cleaner'!$B$2:$B$10001,MATCH(8525,'Email Cleaner'!$I$2:$I$10001,0)),"")</f>
        <v/>
      </c>
    </row>
    <row r="8527">
      <c r="A8527">
        <f>IFERROR(INDEX('Email Cleaner'!$B$2:$B$10001,MATCH(8526,'Email Cleaner'!$I$2:$I$10001,0)),"")</f>
        <v/>
      </c>
    </row>
    <row r="8528">
      <c r="A8528">
        <f>IFERROR(INDEX('Email Cleaner'!$B$2:$B$10001,MATCH(8527,'Email Cleaner'!$I$2:$I$10001,0)),"")</f>
        <v/>
      </c>
    </row>
    <row r="8529">
      <c r="A8529">
        <f>IFERROR(INDEX('Email Cleaner'!$B$2:$B$10001,MATCH(8528,'Email Cleaner'!$I$2:$I$10001,0)),"")</f>
        <v/>
      </c>
    </row>
    <row r="8530">
      <c r="A8530">
        <f>IFERROR(INDEX('Email Cleaner'!$B$2:$B$10001,MATCH(8529,'Email Cleaner'!$I$2:$I$10001,0)),"")</f>
        <v/>
      </c>
    </row>
    <row r="8531">
      <c r="A8531">
        <f>IFERROR(INDEX('Email Cleaner'!$B$2:$B$10001,MATCH(8530,'Email Cleaner'!$I$2:$I$10001,0)),"")</f>
        <v/>
      </c>
    </row>
    <row r="8532">
      <c r="A8532">
        <f>IFERROR(INDEX('Email Cleaner'!$B$2:$B$10001,MATCH(8531,'Email Cleaner'!$I$2:$I$10001,0)),"")</f>
        <v/>
      </c>
    </row>
    <row r="8533">
      <c r="A8533">
        <f>IFERROR(INDEX('Email Cleaner'!$B$2:$B$10001,MATCH(8532,'Email Cleaner'!$I$2:$I$10001,0)),"")</f>
        <v/>
      </c>
    </row>
    <row r="8534">
      <c r="A8534">
        <f>IFERROR(INDEX('Email Cleaner'!$B$2:$B$10001,MATCH(8533,'Email Cleaner'!$I$2:$I$10001,0)),"")</f>
        <v/>
      </c>
    </row>
    <row r="8535">
      <c r="A8535">
        <f>IFERROR(INDEX('Email Cleaner'!$B$2:$B$10001,MATCH(8534,'Email Cleaner'!$I$2:$I$10001,0)),"")</f>
        <v/>
      </c>
    </row>
    <row r="8536">
      <c r="A8536">
        <f>IFERROR(INDEX('Email Cleaner'!$B$2:$B$10001,MATCH(8535,'Email Cleaner'!$I$2:$I$10001,0)),"")</f>
        <v/>
      </c>
    </row>
    <row r="8537">
      <c r="A8537">
        <f>IFERROR(INDEX('Email Cleaner'!$B$2:$B$10001,MATCH(8536,'Email Cleaner'!$I$2:$I$10001,0)),"")</f>
        <v/>
      </c>
    </row>
    <row r="8538">
      <c r="A8538">
        <f>IFERROR(INDEX('Email Cleaner'!$B$2:$B$10001,MATCH(8537,'Email Cleaner'!$I$2:$I$10001,0)),"")</f>
        <v/>
      </c>
    </row>
    <row r="8539">
      <c r="A8539">
        <f>IFERROR(INDEX('Email Cleaner'!$B$2:$B$10001,MATCH(8538,'Email Cleaner'!$I$2:$I$10001,0)),"")</f>
        <v/>
      </c>
    </row>
    <row r="8540">
      <c r="A8540">
        <f>IFERROR(INDEX('Email Cleaner'!$B$2:$B$10001,MATCH(8539,'Email Cleaner'!$I$2:$I$10001,0)),"")</f>
        <v/>
      </c>
    </row>
    <row r="8541">
      <c r="A8541">
        <f>IFERROR(INDEX('Email Cleaner'!$B$2:$B$10001,MATCH(8540,'Email Cleaner'!$I$2:$I$10001,0)),"")</f>
        <v/>
      </c>
    </row>
    <row r="8542">
      <c r="A8542">
        <f>IFERROR(INDEX('Email Cleaner'!$B$2:$B$10001,MATCH(8541,'Email Cleaner'!$I$2:$I$10001,0)),"")</f>
        <v/>
      </c>
    </row>
    <row r="8543">
      <c r="A8543">
        <f>IFERROR(INDEX('Email Cleaner'!$B$2:$B$10001,MATCH(8542,'Email Cleaner'!$I$2:$I$10001,0)),"")</f>
        <v/>
      </c>
    </row>
    <row r="8544">
      <c r="A8544">
        <f>IFERROR(INDEX('Email Cleaner'!$B$2:$B$10001,MATCH(8543,'Email Cleaner'!$I$2:$I$10001,0)),"")</f>
        <v/>
      </c>
    </row>
    <row r="8545">
      <c r="A8545">
        <f>IFERROR(INDEX('Email Cleaner'!$B$2:$B$10001,MATCH(8544,'Email Cleaner'!$I$2:$I$10001,0)),"")</f>
        <v/>
      </c>
    </row>
    <row r="8546">
      <c r="A8546">
        <f>IFERROR(INDEX('Email Cleaner'!$B$2:$B$10001,MATCH(8545,'Email Cleaner'!$I$2:$I$10001,0)),"")</f>
        <v/>
      </c>
    </row>
    <row r="8547">
      <c r="A8547">
        <f>IFERROR(INDEX('Email Cleaner'!$B$2:$B$10001,MATCH(8546,'Email Cleaner'!$I$2:$I$10001,0)),"")</f>
        <v/>
      </c>
    </row>
    <row r="8548">
      <c r="A8548">
        <f>IFERROR(INDEX('Email Cleaner'!$B$2:$B$10001,MATCH(8547,'Email Cleaner'!$I$2:$I$10001,0)),"")</f>
        <v/>
      </c>
    </row>
    <row r="8549">
      <c r="A8549">
        <f>IFERROR(INDEX('Email Cleaner'!$B$2:$B$10001,MATCH(8548,'Email Cleaner'!$I$2:$I$10001,0)),"")</f>
        <v/>
      </c>
    </row>
    <row r="8550">
      <c r="A8550">
        <f>IFERROR(INDEX('Email Cleaner'!$B$2:$B$10001,MATCH(8549,'Email Cleaner'!$I$2:$I$10001,0)),"")</f>
        <v/>
      </c>
    </row>
    <row r="8551">
      <c r="A8551">
        <f>IFERROR(INDEX('Email Cleaner'!$B$2:$B$10001,MATCH(8550,'Email Cleaner'!$I$2:$I$10001,0)),"")</f>
        <v/>
      </c>
    </row>
    <row r="8552">
      <c r="A8552">
        <f>IFERROR(INDEX('Email Cleaner'!$B$2:$B$10001,MATCH(8551,'Email Cleaner'!$I$2:$I$10001,0)),"")</f>
        <v/>
      </c>
    </row>
    <row r="8553">
      <c r="A8553">
        <f>IFERROR(INDEX('Email Cleaner'!$B$2:$B$10001,MATCH(8552,'Email Cleaner'!$I$2:$I$10001,0)),"")</f>
        <v/>
      </c>
    </row>
    <row r="8554">
      <c r="A8554">
        <f>IFERROR(INDEX('Email Cleaner'!$B$2:$B$10001,MATCH(8553,'Email Cleaner'!$I$2:$I$10001,0)),"")</f>
        <v/>
      </c>
    </row>
    <row r="8555">
      <c r="A8555">
        <f>IFERROR(INDEX('Email Cleaner'!$B$2:$B$10001,MATCH(8554,'Email Cleaner'!$I$2:$I$10001,0)),"")</f>
        <v/>
      </c>
    </row>
    <row r="8556">
      <c r="A8556">
        <f>IFERROR(INDEX('Email Cleaner'!$B$2:$B$10001,MATCH(8555,'Email Cleaner'!$I$2:$I$10001,0)),"")</f>
        <v/>
      </c>
    </row>
    <row r="8557">
      <c r="A8557">
        <f>IFERROR(INDEX('Email Cleaner'!$B$2:$B$10001,MATCH(8556,'Email Cleaner'!$I$2:$I$10001,0)),"")</f>
        <v/>
      </c>
    </row>
    <row r="8558">
      <c r="A8558">
        <f>IFERROR(INDEX('Email Cleaner'!$B$2:$B$10001,MATCH(8557,'Email Cleaner'!$I$2:$I$10001,0)),"")</f>
        <v/>
      </c>
    </row>
    <row r="8559">
      <c r="A8559">
        <f>IFERROR(INDEX('Email Cleaner'!$B$2:$B$10001,MATCH(8558,'Email Cleaner'!$I$2:$I$10001,0)),"")</f>
        <v/>
      </c>
    </row>
    <row r="8560">
      <c r="A8560">
        <f>IFERROR(INDEX('Email Cleaner'!$B$2:$B$10001,MATCH(8559,'Email Cleaner'!$I$2:$I$10001,0)),"")</f>
        <v/>
      </c>
    </row>
    <row r="8561">
      <c r="A8561">
        <f>IFERROR(INDEX('Email Cleaner'!$B$2:$B$10001,MATCH(8560,'Email Cleaner'!$I$2:$I$10001,0)),"")</f>
        <v/>
      </c>
    </row>
    <row r="8562">
      <c r="A8562">
        <f>IFERROR(INDEX('Email Cleaner'!$B$2:$B$10001,MATCH(8561,'Email Cleaner'!$I$2:$I$10001,0)),"")</f>
        <v/>
      </c>
    </row>
    <row r="8563">
      <c r="A8563">
        <f>IFERROR(INDEX('Email Cleaner'!$B$2:$B$10001,MATCH(8562,'Email Cleaner'!$I$2:$I$10001,0)),"")</f>
        <v/>
      </c>
    </row>
    <row r="8564">
      <c r="A8564">
        <f>IFERROR(INDEX('Email Cleaner'!$B$2:$B$10001,MATCH(8563,'Email Cleaner'!$I$2:$I$10001,0)),"")</f>
        <v/>
      </c>
    </row>
    <row r="8565">
      <c r="A8565">
        <f>IFERROR(INDEX('Email Cleaner'!$B$2:$B$10001,MATCH(8564,'Email Cleaner'!$I$2:$I$10001,0)),"")</f>
        <v/>
      </c>
    </row>
    <row r="8566">
      <c r="A8566">
        <f>IFERROR(INDEX('Email Cleaner'!$B$2:$B$10001,MATCH(8565,'Email Cleaner'!$I$2:$I$10001,0)),"")</f>
        <v/>
      </c>
    </row>
    <row r="8567">
      <c r="A8567">
        <f>IFERROR(INDEX('Email Cleaner'!$B$2:$B$10001,MATCH(8566,'Email Cleaner'!$I$2:$I$10001,0)),"")</f>
        <v/>
      </c>
    </row>
    <row r="8568">
      <c r="A8568">
        <f>IFERROR(INDEX('Email Cleaner'!$B$2:$B$10001,MATCH(8567,'Email Cleaner'!$I$2:$I$10001,0)),"")</f>
        <v/>
      </c>
    </row>
    <row r="8569">
      <c r="A8569">
        <f>IFERROR(INDEX('Email Cleaner'!$B$2:$B$10001,MATCH(8568,'Email Cleaner'!$I$2:$I$10001,0)),"")</f>
        <v/>
      </c>
    </row>
    <row r="8570">
      <c r="A8570">
        <f>IFERROR(INDEX('Email Cleaner'!$B$2:$B$10001,MATCH(8569,'Email Cleaner'!$I$2:$I$10001,0)),"")</f>
        <v/>
      </c>
    </row>
    <row r="8571">
      <c r="A8571">
        <f>IFERROR(INDEX('Email Cleaner'!$B$2:$B$10001,MATCH(8570,'Email Cleaner'!$I$2:$I$10001,0)),"")</f>
        <v/>
      </c>
    </row>
    <row r="8572">
      <c r="A8572">
        <f>IFERROR(INDEX('Email Cleaner'!$B$2:$B$10001,MATCH(8571,'Email Cleaner'!$I$2:$I$10001,0)),"")</f>
        <v/>
      </c>
    </row>
    <row r="8573">
      <c r="A8573">
        <f>IFERROR(INDEX('Email Cleaner'!$B$2:$B$10001,MATCH(8572,'Email Cleaner'!$I$2:$I$10001,0)),"")</f>
        <v/>
      </c>
    </row>
    <row r="8574">
      <c r="A8574">
        <f>IFERROR(INDEX('Email Cleaner'!$B$2:$B$10001,MATCH(8573,'Email Cleaner'!$I$2:$I$10001,0)),"")</f>
        <v/>
      </c>
    </row>
    <row r="8575">
      <c r="A8575">
        <f>IFERROR(INDEX('Email Cleaner'!$B$2:$B$10001,MATCH(8574,'Email Cleaner'!$I$2:$I$10001,0)),"")</f>
        <v/>
      </c>
    </row>
    <row r="8576">
      <c r="A8576">
        <f>IFERROR(INDEX('Email Cleaner'!$B$2:$B$10001,MATCH(8575,'Email Cleaner'!$I$2:$I$10001,0)),"")</f>
        <v/>
      </c>
    </row>
    <row r="8577">
      <c r="A8577">
        <f>IFERROR(INDEX('Email Cleaner'!$B$2:$B$10001,MATCH(8576,'Email Cleaner'!$I$2:$I$10001,0)),"")</f>
        <v/>
      </c>
    </row>
    <row r="8578">
      <c r="A8578">
        <f>IFERROR(INDEX('Email Cleaner'!$B$2:$B$10001,MATCH(8577,'Email Cleaner'!$I$2:$I$10001,0)),"")</f>
        <v/>
      </c>
    </row>
    <row r="8579">
      <c r="A8579">
        <f>IFERROR(INDEX('Email Cleaner'!$B$2:$B$10001,MATCH(8578,'Email Cleaner'!$I$2:$I$10001,0)),"")</f>
        <v/>
      </c>
    </row>
    <row r="8580">
      <c r="A8580">
        <f>IFERROR(INDEX('Email Cleaner'!$B$2:$B$10001,MATCH(8579,'Email Cleaner'!$I$2:$I$10001,0)),"")</f>
        <v/>
      </c>
    </row>
    <row r="8581">
      <c r="A8581">
        <f>IFERROR(INDEX('Email Cleaner'!$B$2:$B$10001,MATCH(8580,'Email Cleaner'!$I$2:$I$10001,0)),"")</f>
        <v/>
      </c>
    </row>
    <row r="8582">
      <c r="A8582">
        <f>IFERROR(INDEX('Email Cleaner'!$B$2:$B$10001,MATCH(8581,'Email Cleaner'!$I$2:$I$10001,0)),"")</f>
        <v/>
      </c>
    </row>
    <row r="8583">
      <c r="A8583">
        <f>IFERROR(INDEX('Email Cleaner'!$B$2:$B$10001,MATCH(8582,'Email Cleaner'!$I$2:$I$10001,0)),"")</f>
        <v/>
      </c>
    </row>
    <row r="8584">
      <c r="A8584">
        <f>IFERROR(INDEX('Email Cleaner'!$B$2:$B$10001,MATCH(8583,'Email Cleaner'!$I$2:$I$10001,0)),"")</f>
        <v/>
      </c>
    </row>
    <row r="8585">
      <c r="A8585">
        <f>IFERROR(INDEX('Email Cleaner'!$B$2:$B$10001,MATCH(8584,'Email Cleaner'!$I$2:$I$10001,0)),"")</f>
        <v/>
      </c>
    </row>
    <row r="8586">
      <c r="A8586">
        <f>IFERROR(INDEX('Email Cleaner'!$B$2:$B$10001,MATCH(8585,'Email Cleaner'!$I$2:$I$10001,0)),"")</f>
        <v/>
      </c>
    </row>
    <row r="8587">
      <c r="A8587">
        <f>IFERROR(INDEX('Email Cleaner'!$B$2:$B$10001,MATCH(8586,'Email Cleaner'!$I$2:$I$10001,0)),"")</f>
        <v/>
      </c>
    </row>
    <row r="8588">
      <c r="A8588">
        <f>IFERROR(INDEX('Email Cleaner'!$B$2:$B$10001,MATCH(8587,'Email Cleaner'!$I$2:$I$10001,0)),"")</f>
        <v/>
      </c>
    </row>
    <row r="8589">
      <c r="A8589">
        <f>IFERROR(INDEX('Email Cleaner'!$B$2:$B$10001,MATCH(8588,'Email Cleaner'!$I$2:$I$10001,0)),"")</f>
        <v/>
      </c>
    </row>
    <row r="8590">
      <c r="A8590">
        <f>IFERROR(INDEX('Email Cleaner'!$B$2:$B$10001,MATCH(8589,'Email Cleaner'!$I$2:$I$10001,0)),"")</f>
        <v/>
      </c>
    </row>
    <row r="8591">
      <c r="A8591">
        <f>IFERROR(INDEX('Email Cleaner'!$B$2:$B$10001,MATCH(8590,'Email Cleaner'!$I$2:$I$10001,0)),"")</f>
        <v/>
      </c>
    </row>
    <row r="8592">
      <c r="A8592">
        <f>IFERROR(INDEX('Email Cleaner'!$B$2:$B$10001,MATCH(8591,'Email Cleaner'!$I$2:$I$10001,0)),"")</f>
        <v/>
      </c>
    </row>
    <row r="8593">
      <c r="A8593">
        <f>IFERROR(INDEX('Email Cleaner'!$B$2:$B$10001,MATCH(8592,'Email Cleaner'!$I$2:$I$10001,0)),"")</f>
        <v/>
      </c>
    </row>
    <row r="8594">
      <c r="A8594">
        <f>IFERROR(INDEX('Email Cleaner'!$B$2:$B$10001,MATCH(8593,'Email Cleaner'!$I$2:$I$10001,0)),"")</f>
        <v/>
      </c>
    </row>
    <row r="8595">
      <c r="A8595">
        <f>IFERROR(INDEX('Email Cleaner'!$B$2:$B$10001,MATCH(8594,'Email Cleaner'!$I$2:$I$10001,0)),"")</f>
        <v/>
      </c>
    </row>
    <row r="8596">
      <c r="A8596">
        <f>IFERROR(INDEX('Email Cleaner'!$B$2:$B$10001,MATCH(8595,'Email Cleaner'!$I$2:$I$10001,0)),"")</f>
        <v/>
      </c>
    </row>
    <row r="8597">
      <c r="A8597">
        <f>IFERROR(INDEX('Email Cleaner'!$B$2:$B$10001,MATCH(8596,'Email Cleaner'!$I$2:$I$10001,0)),"")</f>
        <v/>
      </c>
    </row>
    <row r="8598">
      <c r="A8598">
        <f>IFERROR(INDEX('Email Cleaner'!$B$2:$B$10001,MATCH(8597,'Email Cleaner'!$I$2:$I$10001,0)),"")</f>
        <v/>
      </c>
    </row>
    <row r="8599">
      <c r="A8599">
        <f>IFERROR(INDEX('Email Cleaner'!$B$2:$B$10001,MATCH(8598,'Email Cleaner'!$I$2:$I$10001,0)),"")</f>
        <v/>
      </c>
    </row>
    <row r="8600">
      <c r="A8600">
        <f>IFERROR(INDEX('Email Cleaner'!$B$2:$B$10001,MATCH(8599,'Email Cleaner'!$I$2:$I$10001,0)),"")</f>
        <v/>
      </c>
    </row>
    <row r="8601">
      <c r="A8601">
        <f>IFERROR(INDEX('Email Cleaner'!$B$2:$B$10001,MATCH(8600,'Email Cleaner'!$I$2:$I$10001,0)),"")</f>
        <v/>
      </c>
    </row>
    <row r="8602">
      <c r="A8602">
        <f>IFERROR(INDEX('Email Cleaner'!$B$2:$B$10001,MATCH(8601,'Email Cleaner'!$I$2:$I$10001,0)),"")</f>
        <v/>
      </c>
    </row>
    <row r="8603">
      <c r="A8603">
        <f>IFERROR(INDEX('Email Cleaner'!$B$2:$B$10001,MATCH(8602,'Email Cleaner'!$I$2:$I$10001,0)),"")</f>
        <v/>
      </c>
    </row>
    <row r="8604">
      <c r="A8604">
        <f>IFERROR(INDEX('Email Cleaner'!$B$2:$B$10001,MATCH(8603,'Email Cleaner'!$I$2:$I$10001,0)),"")</f>
        <v/>
      </c>
    </row>
    <row r="8605">
      <c r="A8605">
        <f>IFERROR(INDEX('Email Cleaner'!$B$2:$B$10001,MATCH(8604,'Email Cleaner'!$I$2:$I$10001,0)),"")</f>
        <v/>
      </c>
    </row>
    <row r="8606">
      <c r="A8606">
        <f>IFERROR(INDEX('Email Cleaner'!$B$2:$B$10001,MATCH(8605,'Email Cleaner'!$I$2:$I$10001,0)),"")</f>
        <v/>
      </c>
    </row>
    <row r="8607">
      <c r="A8607">
        <f>IFERROR(INDEX('Email Cleaner'!$B$2:$B$10001,MATCH(8606,'Email Cleaner'!$I$2:$I$10001,0)),"")</f>
        <v/>
      </c>
    </row>
    <row r="8608">
      <c r="A8608">
        <f>IFERROR(INDEX('Email Cleaner'!$B$2:$B$10001,MATCH(8607,'Email Cleaner'!$I$2:$I$10001,0)),"")</f>
        <v/>
      </c>
    </row>
    <row r="8609">
      <c r="A8609">
        <f>IFERROR(INDEX('Email Cleaner'!$B$2:$B$10001,MATCH(8608,'Email Cleaner'!$I$2:$I$10001,0)),"")</f>
        <v/>
      </c>
    </row>
    <row r="8610">
      <c r="A8610">
        <f>IFERROR(INDEX('Email Cleaner'!$B$2:$B$10001,MATCH(8609,'Email Cleaner'!$I$2:$I$10001,0)),"")</f>
        <v/>
      </c>
    </row>
    <row r="8611">
      <c r="A8611">
        <f>IFERROR(INDEX('Email Cleaner'!$B$2:$B$10001,MATCH(8610,'Email Cleaner'!$I$2:$I$10001,0)),"")</f>
        <v/>
      </c>
    </row>
    <row r="8612">
      <c r="A8612">
        <f>IFERROR(INDEX('Email Cleaner'!$B$2:$B$10001,MATCH(8611,'Email Cleaner'!$I$2:$I$10001,0)),"")</f>
        <v/>
      </c>
    </row>
    <row r="8613">
      <c r="A8613">
        <f>IFERROR(INDEX('Email Cleaner'!$B$2:$B$10001,MATCH(8612,'Email Cleaner'!$I$2:$I$10001,0)),"")</f>
        <v/>
      </c>
    </row>
    <row r="8614">
      <c r="A8614">
        <f>IFERROR(INDEX('Email Cleaner'!$B$2:$B$10001,MATCH(8613,'Email Cleaner'!$I$2:$I$10001,0)),"")</f>
        <v/>
      </c>
    </row>
    <row r="8615">
      <c r="A8615">
        <f>IFERROR(INDEX('Email Cleaner'!$B$2:$B$10001,MATCH(8614,'Email Cleaner'!$I$2:$I$10001,0)),"")</f>
        <v/>
      </c>
    </row>
    <row r="8616">
      <c r="A8616">
        <f>IFERROR(INDEX('Email Cleaner'!$B$2:$B$10001,MATCH(8615,'Email Cleaner'!$I$2:$I$10001,0)),"")</f>
        <v/>
      </c>
    </row>
    <row r="8617">
      <c r="A8617">
        <f>IFERROR(INDEX('Email Cleaner'!$B$2:$B$10001,MATCH(8616,'Email Cleaner'!$I$2:$I$10001,0)),"")</f>
        <v/>
      </c>
    </row>
    <row r="8618">
      <c r="A8618">
        <f>IFERROR(INDEX('Email Cleaner'!$B$2:$B$10001,MATCH(8617,'Email Cleaner'!$I$2:$I$10001,0)),"")</f>
        <v/>
      </c>
    </row>
    <row r="8619">
      <c r="A8619">
        <f>IFERROR(INDEX('Email Cleaner'!$B$2:$B$10001,MATCH(8618,'Email Cleaner'!$I$2:$I$10001,0)),"")</f>
        <v/>
      </c>
    </row>
    <row r="8620">
      <c r="A8620">
        <f>IFERROR(INDEX('Email Cleaner'!$B$2:$B$10001,MATCH(8619,'Email Cleaner'!$I$2:$I$10001,0)),"")</f>
        <v/>
      </c>
    </row>
    <row r="8621">
      <c r="A8621">
        <f>IFERROR(INDEX('Email Cleaner'!$B$2:$B$10001,MATCH(8620,'Email Cleaner'!$I$2:$I$10001,0)),"")</f>
        <v/>
      </c>
    </row>
    <row r="8622">
      <c r="A8622">
        <f>IFERROR(INDEX('Email Cleaner'!$B$2:$B$10001,MATCH(8621,'Email Cleaner'!$I$2:$I$10001,0)),"")</f>
        <v/>
      </c>
    </row>
    <row r="8623">
      <c r="A8623">
        <f>IFERROR(INDEX('Email Cleaner'!$B$2:$B$10001,MATCH(8622,'Email Cleaner'!$I$2:$I$10001,0)),"")</f>
        <v/>
      </c>
    </row>
    <row r="8624">
      <c r="A8624">
        <f>IFERROR(INDEX('Email Cleaner'!$B$2:$B$10001,MATCH(8623,'Email Cleaner'!$I$2:$I$10001,0)),"")</f>
        <v/>
      </c>
    </row>
    <row r="8625">
      <c r="A8625">
        <f>IFERROR(INDEX('Email Cleaner'!$B$2:$B$10001,MATCH(8624,'Email Cleaner'!$I$2:$I$10001,0)),"")</f>
        <v/>
      </c>
    </row>
    <row r="8626">
      <c r="A8626">
        <f>IFERROR(INDEX('Email Cleaner'!$B$2:$B$10001,MATCH(8625,'Email Cleaner'!$I$2:$I$10001,0)),"")</f>
        <v/>
      </c>
    </row>
    <row r="8627">
      <c r="A8627">
        <f>IFERROR(INDEX('Email Cleaner'!$B$2:$B$10001,MATCH(8626,'Email Cleaner'!$I$2:$I$10001,0)),"")</f>
        <v/>
      </c>
    </row>
    <row r="8628">
      <c r="A8628">
        <f>IFERROR(INDEX('Email Cleaner'!$B$2:$B$10001,MATCH(8627,'Email Cleaner'!$I$2:$I$10001,0)),"")</f>
        <v/>
      </c>
    </row>
    <row r="8629">
      <c r="A8629">
        <f>IFERROR(INDEX('Email Cleaner'!$B$2:$B$10001,MATCH(8628,'Email Cleaner'!$I$2:$I$10001,0)),"")</f>
        <v/>
      </c>
    </row>
    <row r="8630">
      <c r="A8630">
        <f>IFERROR(INDEX('Email Cleaner'!$B$2:$B$10001,MATCH(8629,'Email Cleaner'!$I$2:$I$10001,0)),"")</f>
        <v/>
      </c>
    </row>
    <row r="8631">
      <c r="A8631">
        <f>IFERROR(INDEX('Email Cleaner'!$B$2:$B$10001,MATCH(8630,'Email Cleaner'!$I$2:$I$10001,0)),"")</f>
        <v/>
      </c>
    </row>
    <row r="8632">
      <c r="A8632">
        <f>IFERROR(INDEX('Email Cleaner'!$B$2:$B$10001,MATCH(8631,'Email Cleaner'!$I$2:$I$10001,0)),"")</f>
        <v/>
      </c>
    </row>
    <row r="8633">
      <c r="A8633">
        <f>IFERROR(INDEX('Email Cleaner'!$B$2:$B$10001,MATCH(8632,'Email Cleaner'!$I$2:$I$10001,0)),"")</f>
        <v/>
      </c>
    </row>
    <row r="8634">
      <c r="A8634">
        <f>IFERROR(INDEX('Email Cleaner'!$B$2:$B$10001,MATCH(8633,'Email Cleaner'!$I$2:$I$10001,0)),"")</f>
        <v/>
      </c>
    </row>
    <row r="8635">
      <c r="A8635">
        <f>IFERROR(INDEX('Email Cleaner'!$B$2:$B$10001,MATCH(8634,'Email Cleaner'!$I$2:$I$10001,0)),"")</f>
        <v/>
      </c>
    </row>
    <row r="8636">
      <c r="A8636">
        <f>IFERROR(INDEX('Email Cleaner'!$B$2:$B$10001,MATCH(8635,'Email Cleaner'!$I$2:$I$10001,0)),"")</f>
        <v/>
      </c>
    </row>
    <row r="8637">
      <c r="A8637">
        <f>IFERROR(INDEX('Email Cleaner'!$B$2:$B$10001,MATCH(8636,'Email Cleaner'!$I$2:$I$10001,0)),"")</f>
        <v/>
      </c>
    </row>
    <row r="8638">
      <c r="A8638">
        <f>IFERROR(INDEX('Email Cleaner'!$B$2:$B$10001,MATCH(8637,'Email Cleaner'!$I$2:$I$10001,0)),"")</f>
        <v/>
      </c>
    </row>
    <row r="8639">
      <c r="A8639">
        <f>IFERROR(INDEX('Email Cleaner'!$B$2:$B$10001,MATCH(8638,'Email Cleaner'!$I$2:$I$10001,0)),"")</f>
        <v/>
      </c>
    </row>
    <row r="8640">
      <c r="A8640">
        <f>IFERROR(INDEX('Email Cleaner'!$B$2:$B$10001,MATCH(8639,'Email Cleaner'!$I$2:$I$10001,0)),"")</f>
        <v/>
      </c>
    </row>
    <row r="8641">
      <c r="A8641">
        <f>IFERROR(INDEX('Email Cleaner'!$B$2:$B$10001,MATCH(8640,'Email Cleaner'!$I$2:$I$10001,0)),"")</f>
        <v/>
      </c>
    </row>
    <row r="8642">
      <c r="A8642">
        <f>IFERROR(INDEX('Email Cleaner'!$B$2:$B$10001,MATCH(8641,'Email Cleaner'!$I$2:$I$10001,0)),"")</f>
        <v/>
      </c>
    </row>
    <row r="8643">
      <c r="A8643">
        <f>IFERROR(INDEX('Email Cleaner'!$B$2:$B$10001,MATCH(8642,'Email Cleaner'!$I$2:$I$10001,0)),"")</f>
        <v/>
      </c>
    </row>
    <row r="8644">
      <c r="A8644">
        <f>IFERROR(INDEX('Email Cleaner'!$B$2:$B$10001,MATCH(8643,'Email Cleaner'!$I$2:$I$10001,0)),"")</f>
        <v/>
      </c>
    </row>
    <row r="8645">
      <c r="A8645">
        <f>IFERROR(INDEX('Email Cleaner'!$B$2:$B$10001,MATCH(8644,'Email Cleaner'!$I$2:$I$10001,0)),"")</f>
        <v/>
      </c>
    </row>
    <row r="8646">
      <c r="A8646">
        <f>IFERROR(INDEX('Email Cleaner'!$B$2:$B$10001,MATCH(8645,'Email Cleaner'!$I$2:$I$10001,0)),"")</f>
        <v/>
      </c>
    </row>
    <row r="8647">
      <c r="A8647">
        <f>IFERROR(INDEX('Email Cleaner'!$B$2:$B$10001,MATCH(8646,'Email Cleaner'!$I$2:$I$10001,0)),"")</f>
        <v/>
      </c>
    </row>
    <row r="8648">
      <c r="A8648">
        <f>IFERROR(INDEX('Email Cleaner'!$B$2:$B$10001,MATCH(8647,'Email Cleaner'!$I$2:$I$10001,0)),"")</f>
        <v/>
      </c>
    </row>
    <row r="8649">
      <c r="A8649">
        <f>IFERROR(INDEX('Email Cleaner'!$B$2:$B$10001,MATCH(8648,'Email Cleaner'!$I$2:$I$10001,0)),"")</f>
        <v/>
      </c>
    </row>
    <row r="8650">
      <c r="A8650">
        <f>IFERROR(INDEX('Email Cleaner'!$B$2:$B$10001,MATCH(8649,'Email Cleaner'!$I$2:$I$10001,0)),"")</f>
        <v/>
      </c>
    </row>
    <row r="8651">
      <c r="A8651">
        <f>IFERROR(INDEX('Email Cleaner'!$B$2:$B$10001,MATCH(8650,'Email Cleaner'!$I$2:$I$10001,0)),"")</f>
        <v/>
      </c>
    </row>
    <row r="8652">
      <c r="A8652">
        <f>IFERROR(INDEX('Email Cleaner'!$B$2:$B$10001,MATCH(8651,'Email Cleaner'!$I$2:$I$10001,0)),"")</f>
        <v/>
      </c>
    </row>
    <row r="8653">
      <c r="A8653">
        <f>IFERROR(INDEX('Email Cleaner'!$B$2:$B$10001,MATCH(8652,'Email Cleaner'!$I$2:$I$10001,0)),"")</f>
        <v/>
      </c>
    </row>
    <row r="8654">
      <c r="A8654">
        <f>IFERROR(INDEX('Email Cleaner'!$B$2:$B$10001,MATCH(8653,'Email Cleaner'!$I$2:$I$10001,0)),"")</f>
        <v/>
      </c>
    </row>
    <row r="8655">
      <c r="A8655">
        <f>IFERROR(INDEX('Email Cleaner'!$B$2:$B$10001,MATCH(8654,'Email Cleaner'!$I$2:$I$10001,0)),"")</f>
        <v/>
      </c>
    </row>
    <row r="8656">
      <c r="A8656">
        <f>IFERROR(INDEX('Email Cleaner'!$B$2:$B$10001,MATCH(8655,'Email Cleaner'!$I$2:$I$10001,0)),"")</f>
        <v/>
      </c>
    </row>
    <row r="8657">
      <c r="A8657">
        <f>IFERROR(INDEX('Email Cleaner'!$B$2:$B$10001,MATCH(8656,'Email Cleaner'!$I$2:$I$10001,0)),"")</f>
        <v/>
      </c>
    </row>
    <row r="8658">
      <c r="A8658">
        <f>IFERROR(INDEX('Email Cleaner'!$B$2:$B$10001,MATCH(8657,'Email Cleaner'!$I$2:$I$10001,0)),"")</f>
        <v/>
      </c>
    </row>
    <row r="8659">
      <c r="A8659">
        <f>IFERROR(INDEX('Email Cleaner'!$B$2:$B$10001,MATCH(8658,'Email Cleaner'!$I$2:$I$10001,0)),"")</f>
        <v/>
      </c>
    </row>
    <row r="8660">
      <c r="A8660">
        <f>IFERROR(INDEX('Email Cleaner'!$B$2:$B$10001,MATCH(8659,'Email Cleaner'!$I$2:$I$10001,0)),"")</f>
        <v/>
      </c>
    </row>
    <row r="8661">
      <c r="A8661">
        <f>IFERROR(INDEX('Email Cleaner'!$B$2:$B$10001,MATCH(8660,'Email Cleaner'!$I$2:$I$10001,0)),"")</f>
        <v/>
      </c>
    </row>
    <row r="8662">
      <c r="A8662">
        <f>IFERROR(INDEX('Email Cleaner'!$B$2:$B$10001,MATCH(8661,'Email Cleaner'!$I$2:$I$10001,0)),"")</f>
        <v/>
      </c>
    </row>
    <row r="8663">
      <c r="A8663">
        <f>IFERROR(INDEX('Email Cleaner'!$B$2:$B$10001,MATCH(8662,'Email Cleaner'!$I$2:$I$10001,0)),"")</f>
        <v/>
      </c>
    </row>
    <row r="8664">
      <c r="A8664">
        <f>IFERROR(INDEX('Email Cleaner'!$B$2:$B$10001,MATCH(8663,'Email Cleaner'!$I$2:$I$10001,0)),"")</f>
        <v/>
      </c>
    </row>
    <row r="8665">
      <c r="A8665">
        <f>IFERROR(INDEX('Email Cleaner'!$B$2:$B$10001,MATCH(8664,'Email Cleaner'!$I$2:$I$10001,0)),"")</f>
        <v/>
      </c>
    </row>
    <row r="8666">
      <c r="A8666">
        <f>IFERROR(INDEX('Email Cleaner'!$B$2:$B$10001,MATCH(8665,'Email Cleaner'!$I$2:$I$10001,0)),"")</f>
        <v/>
      </c>
    </row>
    <row r="8667">
      <c r="A8667">
        <f>IFERROR(INDEX('Email Cleaner'!$B$2:$B$10001,MATCH(8666,'Email Cleaner'!$I$2:$I$10001,0)),"")</f>
        <v/>
      </c>
    </row>
    <row r="8668">
      <c r="A8668">
        <f>IFERROR(INDEX('Email Cleaner'!$B$2:$B$10001,MATCH(8667,'Email Cleaner'!$I$2:$I$10001,0)),"")</f>
        <v/>
      </c>
    </row>
    <row r="8669">
      <c r="A8669">
        <f>IFERROR(INDEX('Email Cleaner'!$B$2:$B$10001,MATCH(8668,'Email Cleaner'!$I$2:$I$10001,0)),"")</f>
        <v/>
      </c>
    </row>
    <row r="8670">
      <c r="A8670">
        <f>IFERROR(INDEX('Email Cleaner'!$B$2:$B$10001,MATCH(8669,'Email Cleaner'!$I$2:$I$10001,0)),"")</f>
        <v/>
      </c>
    </row>
    <row r="8671">
      <c r="A8671">
        <f>IFERROR(INDEX('Email Cleaner'!$B$2:$B$10001,MATCH(8670,'Email Cleaner'!$I$2:$I$10001,0)),"")</f>
        <v/>
      </c>
    </row>
    <row r="8672">
      <c r="A8672">
        <f>IFERROR(INDEX('Email Cleaner'!$B$2:$B$10001,MATCH(8671,'Email Cleaner'!$I$2:$I$10001,0)),"")</f>
        <v/>
      </c>
    </row>
    <row r="8673">
      <c r="A8673">
        <f>IFERROR(INDEX('Email Cleaner'!$B$2:$B$10001,MATCH(8672,'Email Cleaner'!$I$2:$I$10001,0)),"")</f>
        <v/>
      </c>
    </row>
    <row r="8674">
      <c r="A8674">
        <f>IFERROR(INDEX('Email Cleaner'!$B$2:$B$10001,MATCH(8673,'Email Cleaner'!$I$2:$I$10001,0)),"")</f>
        <v/>
      </c>
    </row>
    <row r="8675">
      <c r="A8675">
        <f>IFERROR(INDEX('Email Cleaner'!$B$2:$B$10001,MATCH(8674,'Email Cleaner'!$I$2:$I$10001,0)),"")</f>
        <v/>
      </c>
    </row>
    <row r="8676">
      <c r="A8676">
        <f>IFERROR(INDEX('Email Cleaner'!$B$2:$B$10001,MATCH(8675,'Email Cleaner'!$I$2:$I$10001,0)),"")</f>
        <v/>
      </c>
    </row>
    <row r="8677">
      <c r="A8677">
        <f>IFERROR(INDEX('Email Cleaner'!$B$2:$B$10001,MATCH(8676,'Email Cleaner'!$I$2:$I$10001,0)),"")</f>
        <v/>
      </c>
    </row>
    <row r="8678">
      <c r="A8678">
        <f>IFERROR(INDEX('Email Cleaner'!$B$2:$B$10001,MATCH(8677,'Email Cleaner'!$I$2:$I$10001,0)),"")</f>
        <v/>
      </c>
    </row>
    <row r="8679">
      <c r="A8679">
        <f>IFERROR(INDEX('Email Cleaner'!$B$2:$B$10001,MATCH(8678,'Email Cleaner'!$I$2:$I$10001,0)),"")</f>
        <v/>
      </c>
    </row>
    <row r="8680">
      <c r="A8680">
        <f>IFERROR(INDEX('Email Cleaner'!$B$2:$B$10001,MATCH(8679,'Email Cleaner'!$I$2:$I$10001,0)),"")</f>
        <v/>
      </c>
    </row>
    <row r="8681">
      <c r="A8681">
        <f>IFERROR(INDEX('Email Cleaner'!$B$2:$B$10001,MATCH(8680,'Email Cleaner'!$I$2:$I$10001,0)),"")</f>
        <v/>
      </c>
    </row>
    <row r="8682">
      <c r="A8682">
        <f>IFERROR(INDEX('Email Cleaner'!$B$2:$B$10001,MATCH(8681,'Email Cleaner'!$I$2:$I$10001,0)),"")</f>
        <v/>
      </c>
    </row>
    <row r="8683">
      <c r="A8683">
        <f>IFERROR(INDEX('Email Cleaner'!$B$2:$B$10001,MATCH(8682,'Email Cleaner'!$I$2:$I$10001,0)),"")</f>
        <v/>
      </c>
    </row>
    <row r="8684">
      <c r="A8684">
        <f>IFERROR(INDEX('Email Cleaner'!$B$2:$B$10001,MATCH(8683,'Email Cleaner'!$I$2:$I$10001,0)),"")</f>
        <v/>
      </c>
    </row>
    <row r="8685">
      <c r="A8685">
        <f>IFERROR(INDEX('Email Cleaner'!$B$2:$B$10001,MATCH(8684,'Email Cleaner'!$I$2:$I$10001,0)),"")</f>
        <v/>
      </c>
    </row>
    <row r="8686">
      <c r="A8686">
        <f>IFERROR(INDEX('Email Cleaner'!$B$2:$B$10001,MATCH(8685,'Email Cleaner'!$I$2:$I$10001,0)),"")</f>
        <v/>
      </c>
    </row>
    <row r="8687">
      <c r="A8687">
        <f>IFERROR(INDEX('Email Cleaner'!$B$2:$B$10001,MATCH(8686,'Email Cleaner'!$I$2:$I$10001,0)),"")</f>
        <v/>
      </c>
    </row>
    <row r="8688">
      <c r="A8688">
        <f>IFERROR(INDEX('Email Cleaner'!$B$2:$B$10001,MATCH(8687,'Email Cleaner'!$I$2:$I$10001,0)),"")</f>
        <v/>
      </c>
    </row>
    <row r="8689">
      <c r="A8689">
        <f>IFERROR(INDEX('Email Cleaner'!$B$2:$B$10001,MATCH(8688,'Email Cleaner'!$I$2:$I$10001,0)),"")</f>
        <v/>
      </c>
    </row>
    <row r="8690">
      <c r="A8690">
        <f>IFERROR(INDEX('Email Cleaner'!$B$2:$B$10001,MATCH(8689,'Email Cleaner'!$I$2:$I$10001,0)),"")</f>
        <v/>
      </c>
    </row>
    <row r="8691">
      <c r="A8691">
        <f>IFERROR(INDEX('Email Cleaner'!$B$2:$B$10001,MATCH(8690,'Email Cleaner'!$I$2:$I$10001,0)),"")</f>
        <v/>
      </c>
    </row>
    <row r="8692">
      <c r="A8692">
        <f>IFERROR(INDEX('Email Cleaner'!$B$2:$B$10001,MATCH(8691,'Email Cleaner'!$I$2:$I$10001,0)),"")</f>
        <v/>
      </c>
    </row>
    <row r="8693">
      <c r="A8693">
        <f>IFERROR(INDEX('Email Cleaner'!$B$2:$B$10001,MATCH(8692,'Email Cleaner'!$I$2:$I$10001,0)),"")</f>
        <v/>
      </c>
    </row>
    <row r="8694">
      <c r="A8694">
        <f>IFERROR(INDEX('Email Cleaner'!$B$2:$B$10001,MATCH(8693,'Email Cleaner'!$I$2:$I$10001,0)),"")</f>
        <v/>
      </c>
    </row>
    <row r="8695">
      <c r="A8695">
        <f>IFERROR(INDEX('Email Cleaner'!$B$2:$B$10001,MATCH(8694,'Email Cleaner'!$I$2:$I$10001,0)),"")</f>
        <v/>
      </c>
    </row>
    <row r="8696">
      <c r="A8696">
        <f>IFERROR(INDEX('Email Cleaner'!$B$2:$B$10001,MATCH(8695,'Email Cleaner'!$I$2:$I$10001,0)),"")</f>
        <v/>
      </c>
    </row>
    <row r="8697">
      <c r="A8697">
        <f>IFERROR(INDEX('Email Cleaner'!$B$2:$B$10001,MATCH(8696,'Email Cleaner'!$I$2:$I$10001,0)),"")</f>
        <v/>
      </c>
    </row>
    <row r="8698">
      <c r="A8698">
        <f>IFERROR(INDEX('Email Cleaner'!$B$2:$B$10001,MATCH(8697,'Email Cleaner'!$I$2:$I$10001,0)),"")</f>
        <v/>
      </c>
    </row>
    <row r="8699">
      <c r="A8699">
        <f>IFERROR(INDEX('Email Cleaner'!$B$2:$B$10001,MATCH(8698,'Email Cleaner'!$I$2:$I$10001,0)),"")</f>
        <v/>
      </c>
    </row>
    <row r="8700">
      <c r="A8700">
        <f>IFERROR(INDEX('Email Cleaner'!$B$2:$B$10001,MATCH(8699,'Email Cleaner'!$I$2:$I$10001,0)),"")</f>
        <v/>
      </c>
    </row>
    <row r="8701">
      <c r="A8701">
        <f>IFERROR(INDEX('Email Cleaner'!$B$2:$B$10001,MATCH(8700,'Email Cleaner'!$I$2:$I$10001,0)),"")</f>
        <v/>
      </c>
    </row>
    <row r="8702">
      <c r="A8702">
        <f>IFERROR(INDEX('Email Cleaner'!$B$2:$B$10001,MATCH(8701,'Email Cleaner'!$I$2:$I$10001,0)),"")</f>
        <v/>
      </c>
    </row>
    <row r="8703">
      <c r="A8703">
        <f>IFERROR(INDEX('Email Cleaner'!$B$2:$B$10001,MATCH(8702,'Email Cleaner'!$I$2:$I$10001,0)),"")</f>
        <v/>
      </c>
    </row>
    <row r="8704">
      <c r="A8704">
        <f>IFERROR(INDEX('Email Cleaner'!$B$2:$B$10001,MATCH(8703,'Email Cleaner'!$I$2:$I$10001,0)),"")</f>
        <v/>
      </c>
    </row>
    <row r="8705">
      <c r="A8705">
        <f>IFERROR(INDEX('Email Cleaner'!$B$2:$B$10001,MATCH(8704,'Email Cleaner'!$I$2:$I$10001,0)),"")</f>
        <v/>
      </c>
    </row>
    <row r="8706">
      <c r="A8706">
        <f>IFERROR(INDEX('Email Cleaner'!$B$2:$B$10001,MATCH(8705,'Email Cleaner'!$I$2:$I$10001,0)),"")</f>
        <v/>
      </c>
    </row>
    <row r="8707">
      <c r="A8707">
        <f>IFERROR(INDEX('Email Cleaner'!$B$2:$B$10001,MATCH(8706,'Email Cleaner'!$I$2:$I$10001,0)),"")</f>
        <v/>
      </c>
    </row>
    <row r="8708">
      <c r="A8708">
        <f>IFERROR(INDEX('Email Cleaner'!$B$2:$B$10001,MATCH(8707,'Email Cleaner'!$I$2:$I$10001,0)),"")</f>
        <v/>
      </c>
    </row>
    <row r="8709">
      <c r="A8709">
        <f>IFERROR(INDEX('Email Cleaner'!$B$2:$B$10001,MATCH(8708,'Email Cleaner'!$I$2:$I$10001,0)),"")</f>
        <v/>
      </c>
    </row>
    <row r="8710">
      <c r="A8710">
        <f>IFERROR(INDEX('Email Cleaner'!$B$2:$B$10001,MATCH(8709,'Email Cleaner'!$I$2:$I$10001,0)),"")</f>
        <v/>
      </c>
    </row>
    <row r="8711">
      <c r="A8711">
        <f>IFERROR(INDEX('Email Cleaner'!$B$2:$B$10001,MATCH(8710,'Email Cleaner'!$I$2:$I$10001,0)),"")</f>
        <v/>
      </c>
    </row>
    <row r="8712">
      <c r="A8712">
        <f>IFERROR(INDEX('Email Cleaner'!$B$2:$B$10001,MATCH(8711,'Email Cleaner'!$I$2:$I$10001,0)),"")</f>
        <v/>
      </c>
    </row>
    <row r="8713">
      <c r="A8713">
        <f>IFERROR(INDEX('Email Cleaner'!$B$2:$B$10001,MATCH(8712,'Email Cleaner'!$I$2:$I$10001,0)),"")</f>
        <v/>
      </c>
    </row>
    <row r="8714">
      <c r="A8714">
        <f>IFERROR(INDEX('Email Cleaner'!$B$2:$B$10001,MATCH(8713,'Email Cleaner'!$I$2:$I$10001,0)),"")</f>
        <v/>
      </c>
    </row>
    <row r="8715">
      <c r="A8715">
        <f>IFERROR(INDEX('Email Cleaner'!$B$2:$B$10001,MATCH(8714,'Email Cleaner'!$I$2:$I$10001,0)),"")</f>
        <v/>
      </c>
    </row>
    <row r="8716">
      <c r="A8716">
        <f>IFERROR(INDEX('Email Cleaner'!$B$2:$B$10001,MATCH(8715,'Email Cleaner'!$I$2:$I$10001,0)),"")</f>
        <v/>
      </c>
    </row>
    <row r="8717">
      <c r="A8717">
        <f>IFERROR(INDEX('Email Cleaner'!$B$2:$B$10001,MATCH(8716,'Email Cleaner'!$I$2:$I$10001,0)),"")</f>
        <v/>
      </c>
    </row>
    <row r="8718">
      <c r="A8718">
        <f>IFERROR(INDEX('Email Cleaner'!$B$2:$B$10001,MATCH(8717,'Email Cleaner'!$I$2:$I$10001,0)),"")</f>
        <v/>
      </c>
    </row>
    <row r="8719">
      <c r="A8719">
        <f>IFERROR(INDEX('Email Cleaner'!$B$2:$B$10001,MATCH(8718,'Email Cleaner'!$I$2:$I$10001,0)),"")</f>
        <v/>
      </c>
    </row>
    <row r="8720">
      <c r="A8720">
        <f>IFERROR(INDEX('Email Cleaner'!$B$2:$B$10001,MATCH(8719,'Email Cleaner'!$I$2:$I$10001,0)),"")</f>
        <v/>
      </c>
    </row>
    <row r="8721">
      <c r="A8721">
        <f>IFERROR(INDEX('Email Cleaner'!$B$2:$B$10001,MATCH(8720,'Email Cleaner'!$I$2:$I$10001,0)),"")</f>
        <v/>
      </c>
    </row>
    <row r="8722">
      <c r="A8722">
        <f>IFERROR(INDEX('Email Cleaner'!$B$2:$B$10001,MATCH(8721,'Email Cleaner'!$I$2:$I$10001,0)),"")</f>
        <v/>
      </c>
    </row>
    <row r="8723">
      <c r="A8723">
        <f>IFERROR(INDEX('Email Cleaner'!$B$2:$B$10001,MATCH(8722,'Email Cleaner'!$I$2:$I$10001,0)),"")</f>
        <v/>
      </c>
    </row>
    <row r="8724">
      <c r="A8724">
        <f>IFERROR(INDEX('Email Cleaner'!$B$2:$B$10001,MATCH(8723,'Email Cleaner'!$I$2:$I$10001,0)),"")</f>
        <v/>
      </c>
    </row>
    <row r="8725">
      <c r="A8725">
        <f>IFERROR(INDEX('Email Cleaner'!$B$2:$B$10001,MATCH(8724,'Email Cleaner'!$I$2:$I$10001,0)),"")</f>
        <v/>
      </c>
    </row>
    <row r="8726">
      <c r="A8726">
        <f>IFERROR(INDEX('Email Cleaner'!$B$2:$B$10001,MATCH(8725,'Email Cleaner'!$I$2:$I$10001,0)),"")</f>
        <v/>
      </c>
    </row>
    <row r="8727">
      <c r="A8727">
        <f>IFERROR(INDEX('Email Cleaner'!$B$2:$B$10001,MATCH(8726,'Email Cleaner'!$I$2:$I$10001,0)),"")</f>
        <v/>
      </c>
    </row>
    <row r="8728">
      <c r="A8728">
        <f>IFERROR(INDEX('Email Cleaner'!$B$2:$B$10001,MATCH(8727,'Email Cleaner'!$I$2:$I$10001,0)),"")</f>
        <v/>
      </c>
    </row>
    <row r="8729">
      <c r="A8729">
        <f>IFERROR(INDEX('Email Cleaner'!$B$2:$B$10001,MATCH(8728,'Email Cleaner'!$I$2:$I$10001,0)),"")</f>
        <v/>
      </c>
    </row>
    <row r="8730">
      <c r="A8730">
        <f>IFERROR(INDEX('Email Cleaner'!$B$2:$B$10001,MATCH(8729,'Email Cleaner'!$I$2:$I$10001,0)),"")</f>
        <v/>
      </c>
    </row>
    <row r="8731">
      <c r="A8731">
        <f>IFERROR(INDEX('Email Cleaner'!$B$2:$B$10001,MATCH(8730,'Email Cleaner'!$I$2:$I$10001,0)),"")</f>
        <v/>
      </c>
    </row>
    <row r="8732">
      <c r="A8732">
        <f>IFERROR(INDEX('Email Cleaner'!$B$2:$B$10001,MATCH(8731,'Email Cleaner'!$I$2:$I$10001,0)),"")</f>
        <v/>
      </c>
    </row>
    <row r="8733">
      <c r="A8733">
        <f>IFERROR(INDEX('Email Cleaner'!$B$2:$B$10001,MATCH(8732,'Email Cleaner'!$I$2:$I$10001,0)),"")</f>
        <v/>
      </c>
    </row>
    <row r="8734">
      <c r="A8734">
        <f>IFERROR(INDEX('Email Cleaner'!$B$2:$B$10001,MATCH(8733,'Email Cleaner'!$I$2:$I$10001,0)),"")</f>
        <v/>
      </c>
    </row>
    <row r="8735">
      <c r="A8735">
        <f>IFERROR(INDEX('Email Cleaner'!$B$2:$B$10001,MATCH(8734,'Email Cleaner'!$I$2:$I$10001,0)),"")</f>
        <v/>
      </c>
    </row>
    <row r="8736">
      <c r="A8736">
        <f>IFERROR(INDEX('Email Cleaner'!$B$2:$B$10001,MATCH(8735,'Email Cleaner'!$I$2:$I$10001,0)),"")</f>
        <v/>
      </c>
    </row>
    <row r="8737">
      <c r="A8737">
        <f>IFERROR(INDEX('Email Cleaner'!$B$2:$B$10001,MATCH(8736,'Email Cleaner'!$I$2:$I$10001,0)),"")</f>
        <v/>
      </c>
    </row>
    <row r="8738">
      <c r="A8738">
        <f>IFERROR(INDEX('Email Cleaner'!$B$2:$B$10001,MATCH(8737,'Email Cleaner'!$I$2:$I$10001,0)),"")</f>
        <v/>
      </c>
    </row>
    <row r="8739">
      <c r="A8739">
        <f>IFERROR(INDEX('Email Cleaner'!$B$2:$B$10001,MATCH(8738,'Email Cleaner'!$I$2:$I$10001,0)),"")</f>
        <v/>
      </c>
    </row>
    <row r="8740">
      <c r="A8740">
        <f>IFERROR(INDEX('Email Cleaner'!$B$2:$B$10001,MATCH(8739,'Email Cleaner'!$I$2:$I$10001,0)),"")</f>
        <v/>
      </c>
    </row>
    <row r="8741">
      <c r="A8741">
        <f>IFERROR(INDEX('Email Cleaner'!$B$2:$B$10001,MATCH(8740,'Email Cleaner'!$I$2:$I$10001,0)),"")</f>
        <v/>
      </c>
    </row>
    <row r="8742">
      <c r="A8742">
        <f>IFERROR(INDEX('Email Cleaner'!$B$2:$B$10001,MATCH(8741,'Email Cleaner'!$I$2:$I$10001,0)),"")</f>
        <v/>
      </c>
    </row>
    <row r="8743">
      <c r="A8743">
        <f>IFERROR(INDEX('Email Cleaner'!$B$2:$B$10001,MATCH(8742,'Email Cleaner'!$I$2:$I$10001,0)),"")</f>
        <v/>
      </c>
    </row>
    <row r="8744">
      <c r="A8744">
        <f>IFERROR(INDEX('Email Cleaner'!$B$2:$B$10001,MATCH(8743,'Email Cleaner'!$I$2:$I$10001,0)),"")</f>
        <v/>
      </c>
    </row>
    <row r="8745">
      <c r="A8745">
        <f>IFERROR(INDEX('Email Cleaner'!$B$2:$B$10001,MATCH(8744,'Email Cleaner'!$I$2:$I$10001,0)),"")</f>
        <v/>
      </c>
    </row>
    <row r="8746">
      <c r="A8746">
        <f>IFERROR(INDEX('Email Cleaner'!$B$2:$B$10001,MATCH(8745,'Email Cleaner'!$I$2:$I$10001,0)),"")</f>
        <v/>
      </c>
    </row>
    <row r="8747">
      <c r="A8747">
        <f>IFERROR(INDEX('Email Cleaner'!$B$2:$B$10001,MATCH(8746,'Email Cleaner'!$I$2:$I$10001,0)),"")</f>
        <v/>
      </c>
    </row>
    <row r="8748">
      <c r="A8748">
        <f>IFERROR(INDEX('Email Cleaner'!$B$2:$B$10001,MATCH(8747,'Email Cleaner'!$I$2:$I$10001,0)),"")</f>
        <v/>
      </c>
    </row>
    <row r="8749">
      <c r="A8749">
        <f>IFERROR(INDEX('Email Cleaner'!$B$2:$B$10001,MATCH(8748,'Email Cleaner'!$I$2:$I$10001,0)),"")</f>
        <v/>
      </c>
    </row>
    <row r="8750">
      <c r="A8750">
        <f>IFERROR(INDEX('Email Cleaner'!$B$2:$B$10001,MATCH(8749,'Email Cleaner'!$I$2:$I$10001,0)),"")</f>
        <v/>
      </c>
    </row>
    <row r="8751">
      <c r="A8751">
        <f>IFERROR(INDEX('Email Cleaner'!$B$2:$B$10001,MATCH(8750,'Email Cleaner'!$I$2:$I$10001,0)),"")</f>
        <v/>
      </c>
    </row>
    <row r="8752">
      <c r="A8752">
        <f>IFERROR(INDEX('Email Cleaner'!$B$2:$B$10001,MATCH(8751,'Email Cleaner'!$I$2:$I$10001,0)),"")</f>
        <v/>
      </c>
    </row>
    <row r="8753">
      <c r="A8753">
        <f>IFERROR(INDEX('Email Cleaner'!$B$2:$B$10001,MATCH(8752,'Email Cleaner'!$I$2:$I$10001,0)),"")</f>
        <v/>
      </c>
    </row>
    <row r="8754">
      <c r="A8754">
        <f>IFERROR(INDEX('Email Cleaner'!$B$2:$B$10001,MATCH(8753,'Email Cleaner'!$I$2:$I$10001,0)),"")</f>
        <v/>
      </c>
    </row>
    <row r="8755">
      <c r="A8755">
        <f>IFERROR(INDEX('Email Cleaner'!$B$2:$B$10001,MATCH(8754,'Email Cleaner'!$I$2:$I$10001,0)),"")</f>
        <v/>
      </c>
    </row>
    <row r="8756">
      <c r="A8756">
        <f>IFERROR(INDEX('Email Cleaner'!$B$2:$B$10001,MATCH(8755,'Email Cleaner'!$I$2:$I$10001,0)),"")</f>
        <v/>
      </c>
    </row>
    <row r="8757">
      <c r="A8757">
        <f>IFERROR(INDEX('Email Cleaner'!$B$2:$B$10001,MATCH(8756,'Email Cleaner'!$I$2:$I$10001,0)),"")</f>
        <v/>
      </c>
    </row>
    <row r="8758">
      <c r="A8758">
        <f>IFERROR(INDEX('Email Cleaner'!$B$2:$B$10001,MATCH(8757,'Email Cleaner'!$I$2:$I$10001,0)),"")</f>
        <v/>
      </c>
    </row>
    <row r="8759">
      <c r="A8759">
        <f>IFERROR(INDEX('Email Cleaner'!$B$2:$B$10001,MATCH(8758,'Email Cleaner'!$I$2:$I$10001,0)),"")</f>
        <v/>
      </c>
    </row>
    <row r="8760">
      <c r="A8760">
        <f>IFERROR(INDEX('Email Cleaner'!$B$2:$B$10001,MATCH(8759,'Email Cleaner'!$I$2:$I$10001,0)),"")</f>
        <v/>
      </c>
    </row>
    <row r="8761">
      <c r="A8761">
        <f>IFERROR(INDEX('Email Cleaner'!$B$2:$B$10001,MATCH(8760,'Email Cleaner'!$I$2:$I$10001,0)),"")</f>
        <v/>
      </c>
    </row>
    <row r="8762">
      <c r="A8762">
        <f>IFERROR(INDEX('Email Cleaner'!$B$2:$B$10001,MATCH(8761,'Email Cleaner'!$I$2:$I$10001,0)),"")</f>
        <v/>
      </c>
    </row>
    <row r="8763">
      <c r="A8763">
        <f>IFERROR(INDEX('Email Cleaner'!$B$2:$B$10001,MATCH(8762,'Email Cleaner'!$I$2:$I$10001,0)),"")</f>
        <v/>
      </c>
    </row>
    <row r="8764">
      <c r="A8764">
        <f>IFERROR(INDEX('Email Cleaner'!$B$2:$B$10001,MATCH(8763,'Email Cleaner'!$I$2:$I$10001,0)),"")</f>
        <v/>
      </c>
    </row>
    <row r="8765">
      <c r="A8765">
        <f>IFERROR(INDEX('Email Cleaner'!$B$2:$B$10001,MATCH(8764,'Email Cleaner'!$I$2:$I$10001,0)),"")</f>
        <v/>
      </c>
    </row>
    <row r="8766">
      <c r="A8766">
        <f>IFERROR(INDEX('Email Cleaner'!$B$2:$B$10001,MATCH(8765,'Email Cleaner'!$I$2:$I$10001,0)),"")</f>
        <v/>
      </c>
    </row>
    <row r="8767">
      <c r="A8767">
        <f>IFERROR(INDEX('Email Cleaner'!$B$2:$B$10001,MATCH(8766,'Email Cleaner'!$I$2:$I$10001,0)),"")</f>
        <v/>
      </c>
    </row>
    <row r="8768">
      <c r="A8768">
        <f>IFERROR(INDEX('Email Cleaner'!$B$2:$B$10001,MATCH(8767,'Email Cleaner'!$I$2:$I$10001,0)),"")</f>
        <v/>
      </c>
    </row>
    <row r="8769">
      <c r="A8769">
        <f>IFERROR(INDEX('Email Cleaner'!$B$2:$B$10001,MATCH(8768,'Email Cleaner'!$I$2:$I$10001,0)),"")</f>
        <v/>
      </c>
    </row>
    <row r="8770">
      <c r="A8770">
        <f>IFERROR(INDEX('Email Cleaner'!$B$2:$B$10001,MATCH(8769,'Email Cleaner'!$I$2:$I$10001,0)),"")</f>
        <v/>
      </c>
    </row>
    <row r="8771">
      <c r="A8771">
        <f>IFERROR(INDEX('Email Cleaner'!$B$2:$B$10001,MATCH(8770,'Email Cleaner'!$I$2:$I$10001,0)),"")</f>
        <v/>
      </c>
    </row>
    <row r="8772">
      <c r="A8772">
        <f>IFERROR(INDEX('Email Cleaner'!$B$2:$B$10001,MATCH(8771,'Email Cleaner'!$I$2:$I$10001,0)),"")</f>
        <v/>
      </c>
    </row>
    <row r="8773">
      <c r="A8773">
        <f>IFERROR(INDEX('Email Cleaner'!$B$2:$B$10001,MATCH(8772,'Email Cleaner'!$I$2:$I$10001,0)),"")</f>
        <v/>
      </c>
    </row>
    <row r="8774">
      <c r="A8774">
        <f>IFERROR(INDEX('Email Cleaner'!$B$2:$B$10001,MATCH(8773,'Email Cleaner'!$I$2:$I$10001,0)),"")</f>
        <v/>
      </c>
    </row>
    <row r="8775">
      <c r="A8775">
        <f>IFERROR(INDEX('Email Cleaner'!$B$2:$B$10001,MATCH(8774,'Email Cleaner'!$I$2:$I$10001,0)),"")</f>
        <v/>
      </c>
    </row>
    <row r="8776">
      <c r="A8776">
        <f>IFERROR(INDEX('Email Cleaner'!$B$2:$B$10001,MATCH(8775,'Email Cleaner'!$I$2:$I$10001,0)),"")</f>
        <v/>
      </c>
    </row>
    <row r="8777">
      <c r="A8777">
        <f>IFERROR(INDEX('Email Cleaner'!$B$2:$B$10001,MATCH(8776,'Email Cleaner'!$I$2:$I$10001,0)),"")</f>
        <v/>
      </c>
    </row>
    <row r="8778">
      <c r="A8778">
        <f>IFERROR(INDEX('Email Cleaner'!$B$2:$B$10001,MATCH(8777,'Email Cleaner'!$I$2:$I$10001,0)),"")</f>
        <v/>
      </c>
    </row>
    <row r="8779">
      <c r="A8779">
        <f>IFERROR(INDEX('Email Cleaner'!$B$2:$B$10001,MATCH(8778,'Email Cleaner'!$I$2:$I$10001,0)),"")</f>
        <v/>
      </c>
    </row>
    <row r="8780">
      <c r="A8780">
        <f>IFERROR(INDEX('Email Cleaner'!$B$2:$B$10001,MATCH(8779,'Email Cleaner'!$I$2:$I$10001,0)),"")</f>
        <v/>
      </c>
    </row>
    <row r="8781">
      <c r="A8781">
        <f>IFERROR(INDEX('Email Cleaner'!$B$2:$B$10001,MATCH(8780,'Email Cleaner'!$I$2:$I$10001,0)),"")</f>
        <v/>
      </c>
    </row>
    <row r="8782">
      <c r="A8782">
        <f>IFERROR(INDEX('Email Cleaner'!$B$2:$B$10001,MATCH(8781,'Email Cleaner'!$I$2:$I$10001,0)),"")</f>
        <v/>
      </c>
    </row>
    <row r="8783">
      <c r="A8783">
        <f>IFERROR(INDEX('Email Cleaner'!$B$2:$B$10001,MATCH(8782,'Email Cleaner'!$I$2:$I$10001,0)),"")</f>
        <v/>
      </c>
    </row>
    <row r="8784">
      <c r="A8784">
        <f>IFERROR(INDEX('Email Cleaner'!$B$2:$B$10001,MATCH(8783,'Email Cleaner'!$I$2:$I$10001,0)),"")</f>
        <v/>
      </c>
    </row>
    <row r="8785">
      <c r="A8785">
        <f>IFERROR(INDEX('Email Cleaner'!$B$2:$B$10001,MATCH(8784,'Email Cleaner'!$I$2:$I$10001,0)),"")</f>
        <v/>
      </c>
    </row>
    <row r="8786">
      <c r="A8786">
        <f>IFERROR(INDEX('Email Cleaner'!$B$2:$B$10001,MATCH(8785,'Email Cleaner'!$I$2:$I$10001,0)),"")</f>
        <v/>
      </c>
    </row>
    <row r="8787">
      <c r="A8787">
        <f>IFERROR(INDEX('Email Cleaner'!$B$2:$B$10001,MATCH(8786,'Email Cleaner'!$I$2:$I$10001,0)),"")</f>
        <v/>
      </c>
    </row>
    <row r="8788">
      <c r="A8788">
        <f>IFERROR(INDEX('Email Cleaner'!$B$2:$B$10001,MATCH(8787,'Email Cleaner'!$I$2:$I$10001,0)),"")</f>
        <v/>
      </c>
    </row>
    <row r="8789">
      <c r="A8789">
        <f>IFERROR(INDEX('Email Cleaner'!$B$2:$B$10001,MATCH(8788,'Email Cleaner'!$I$2:$I$10001,0)),"")</f>
        <v/>
      </c>
    </row>
    <row r="8790">
      <c r="A8790">
        <f>IFERROR(INDEX('Email Cleaner'!$B$2:$B$10001,MATCH(8789,'Email Cleaner'!$I$2:$I$10001,0)),"")</f>
        <v/>
      </c>
    </row>
    <row r="8791">
      <c r="A8791">
        <f>IFERROR(INDEX('Email Cleaner'!$B$2:$B$10001,MATCH(8790,'Email Cleaner'!$I$2:$I$10001,0)),"")</f>
        <v/>
      </c>
    </row>
    <row r="8792">
      <c r="A8792">
        <f>IFERROR(INDEX('Email Cleaner'!$B$2:$B$10001,MATCH(8791,'Email Cleaner'!$I$2:$I$10001,0)),"")</f>
        <v/>
      </c>
    </row>
    <row r="8793">
      <c r="A8793">
        <f>IFERROR(INDEX('Email Cleaner'!$B$2:$B$10001,MATCH(8792,'Email Cleaner'!$I$2:$I$10001,0)),"")</f>
        <v/>
      </c>
    </row>
    <row r="8794">
      <c r="A8794">
        <f>IFERROR(INDEX('Email Cleaner'!$B$2:$B$10001,MATCH(8793,'Email Cleaner'!$I$2:$I$10001,0)),"")</f>
        <v/>
      </c>
    </row>
    <row r="8795">
      <c r="A8795">
        <f>IFERROR(INDEX('Email Cleaner'!$B$2:$B$10001,MATCH(8794,'Email Cleaner'!$I$2:$I$10001,0)),"")</f>
        <v/>
      </c>
    </row>
    <row r="8796">
      <c r="A8796">
        <f>IFERROR(INDEX('Email Cleaner'!$B$2:$B$10001,MATCH(8795,'Email Cleaner'!$I$2:$I$10001,0)),"")</f>
        <v/>
      </c>
    </row>
    <row r="8797">
      <c r="A8797">
        <f>IFERROR(INDEX('Email Cleaner'!$B$2:$B$10001,MATCH(8796,'Email Cleaner'!$I$2:$I$10001,0)),"")</f>
        <v/>
      </c>
    </row>
    <row r="8798">
      <c r="A8798">
        <f>IFERROR(INDEX('Email Cleaner'!$B$2:$B$10001,MATCH(8797,'Email Cleaner'!$I$2:$I$10001,0)),"")</f>
        <v/>
      </c>
    </row>
    <row r="8799">
      <c r="A8799">
        <f>IFERROR(INDEX('Email Cleaner'!$B$2:$B$10001,MATCH(8798,'Email Cleaner'!$I$2:$I$10001,0)),"")</f>
        <v/>
      </c>
    </row>
    <row r="8800">
      <c r="A8800">
        <f>IFERROR(INDEX('Email Cleaner'!$B$2:$B$10001,MATCH(8799,'Email Cleaner'!$I$2:$I$10001,0)),"")</f>
        <v/>
      </c>
    </row>
    <row r="8801">
      <c r="A8801">
        <f>IFERROR(INDEX('Email Cleaner'!$B$2:$B$10001,MATCH(8800,'Email Cleaner'!$I$2:$I$10001,0)),"")</f>
        <v/>
      </c>
    </row>
    <row r="8802">
      <c r="A8802">
        <f>IFERROR(INDEX('Email Cleaner'!$B$2:$B$10001,MATCH(8801,'Email Cleaner'!$I$2:$I$10001,0)),"")</f>
        <v/>
      </c>
    </row>
    <row r="8803">
      <c r="A8803">
        <f>IFERROR(INDEX('Email Cleaner'!$B$2:$B$10001,MATCH(8802,'Email Cleaner'!$I$2:$I$10001,0)),"")</f>
        <v/>
      </c>
    </row>
    <row r="8804">
      <c r="A8804">
        <f>IFERROR(INDEX('Email Cleaner'!$B$2:$B$10001,MATCH(8803,'Email Cleaner'!$I$2:$I$10001,0)),"")</f>
        <v/>
      </c>
    </row>
    <row r="8805">
      <c r="A8805">
        <f>IFERROR(INDEX('Email Cleaner'!$B$2:$B$10001,MATCH(8804,'Email Cleaner'!$I$2:$I$10001,0)),"")</f>
        <v/>
      </c>
    </row>
    <row r="8806">
      <c r="A8806">
        <f>IFERROR(INDEX('Email Cleaner'!$B$2:$B$10001,MATCH(8805,'Email Cleaner'!$I$2:$I$10001,0)),"")</f>
        <v/>
      </c>
    </row>
    <row r="8807">
      <c r="A8807">
        <f>IFERROR(INDEX('Email Cleaner'!$B$2:$B$10001,MATCH(8806,'Email Cleaner'!$I$2:$I$10001,0)),"")</f>
        <v/>
      </c>
    </row>
    <row r="8808">
      <c r="A8808">
        <f>IFERROR(INDEX('Email Cleaner'!$B$2:$B$10001,MATCH(8807,'Email Cleaner'!$I$2:$I$10001,0)),"")</f>
        <v/>
      </c>
    </row>
    <row r="8809">
      <c r="A8809">
        <f>IFERROR(INDEX('Email Cleaner'!$B$2:$B$10001,MATCH(8808,'Email Cleaner'!$I$2:$I$10001,0)),"")</f>
        <v/>
      </c>
    </row>
    <row r="8810">
      <c r="A8810">
        <f>IFERROR(INDEX('Email Cleaner'!$B$2:$B$10001,MATCH(8809,'Email Cleaner'!$I$2:$I$10001,0)),"")</f>
        <v/>
      </c>
    </row>
    <row r="8811">
      <c r="A8811">
        <f>IFERROR(INDEX('Email Cleaner'!$B$2:$B$10001,MATCH(8810,'Email Cleaner'!$I$2:$I$10001,0)),"")</f>
        <v/>
      </c>
    </row>
    <row r="8812">
      <c r="A8812">
        <f>IFERROR(INDEX('Email Cleaner'!$B$2:$B$10001,MATCH(8811,'Email Cleaner'!$I$2:$I$10001,0)),"")</f>
        <v/>
      </c>
    </row>
    <row r="8813">
      <c r="A8813">
        <f>IFERROR(INDEX('Email Cleaner'!$B$2:$B$10001,MATCH(8812,'Email Cleaner'!$I$2:$I$10001,0)),"")</f>
        <v/>
      </c>
    </row>
    <row r="8814">
      <c r="A8814">
        <f>IFERROR(INDEX('Email Cleaner'!$B$2:$B$10001,MATCH(8813,'Email Cleaner'!$I$2:$I$10001,0)),"")</f>
        <v/>
      </c>
    </row>
    <row r="8815">
      <c r="A8815">
        <f>IFERROR(INDEX('Email Cleaner'!$B$2:$B$10001,MATCH(8814,'Email Cleaner'!$I$2:$I$10001,0)),"")</f>
        <v/>
      </c>
    </row>
    <row r="8816">
      <c r="A8816">
        <f>IFERROR(INDEX('Email Cleaner'!$B$2:$B$10001,MATCH(8815,'Email Cleaner'!$I$2:$I$10001,0)),"")</f>
        <v/>
      </c>
    </row>
    <row r="8817">
      <c r="A8817">
        <f>IFERROR(INDEX('Email Cleaner'!$B$2:$B$10001,MATCH(8816,'Email Cleaner'!$I$2:$I$10001,0)),"")</f>
        <v/>
      </c>
    </row>
    <row r="8818">
      <c r="A8818">
        <f>IFERROR(INDEX('Email Cleaner'!$B$2:$B$10001,MATCH(8817,'Email Cleaner'!$I$2:$I$10001,0)),"")</f>
        <v/>
      </c>
    </row>
    <row r="8819">
      <c r="A8819">
        <f>IFERROR(INDEX('Email Cleaner'!$B$2:$B$10001,MATCH(8818,'Email Cleaner'!$I$2:$I$10001,0)),"")</f>
        <v/>
      </c>
    </row>
    <row r="8820">
      <c r="A8820">
        <f>IFERROR(INDEX('Email Cleaner'!$B$2:$B$10001,MATCH(8819,'Email Cleaner'!$I$2:$I$10001,0)),"")</f>
        <v/>
      </c>
    </row>
    <row r="8821">
      <c r="A8821">
        <f>IFERROR(INDEX('Email Cleaner'!$B$2:$B$10001,MATCH(8820,'Email Cleaner'!$I$2:$I$10001,0)),"")</f>
        <v/>
      </c>
    </row>
    <row r="8822">
      <c r="A8822">
        <f>IFERROR(INDEX('Email Cleaner'!$B$2:$B$10001,MATCH(8821,'Email Cleaner'!$I$2:$I$10001,0)),"")</f>
        <v/>
      </c>
    </row>
    <row r="8823">
      <c r="A8823">
        <f>IFERROR(INDEX('Email Cleaner'!$B$2:$B$10001,MATCH(8822,'Email Cleaner'!$I$2:$I$10001,0)),"")</f>
        <v/>
      </c>
    </row>
    <row r="8824">
      <c r="A8824">
        <f>IFERROR(INDEX('Email Cleaner'!$B$2:$B$10001,MATCH(8823,'Email Cleaner'!$I$2:$I$10001,0)),"")</f>
        <v/>
      </c>
    </row>
    <row r="8825">
      <c r="A8825">
        <f>IFERROR(INDEX('Email Cleaner'!$B$2:$B$10001,MATCH(8824,'Email Cleaner'!$I$2:$I$10001,0)),"")</f>
        <v/>
      </c>
    </row>
    <row r="8826">
      <c r="A8826">
        <f>IFERROR(INDEX('Email Cleaner'!$B$2:$B$10001,MATCH(8825,'Email Cleaner'!$I$2:$I$10001,0)),"")</f>
        <v/>
      </c>
    </row>
    <row r="8827">
      <c r="A8827">
        <f>IFERROR(INDEX('Email Cleaner'!$B$2:$B$10001,MATCH(8826,'Email Cleaner'!$I$2:$I$10001,0)),"")</f>
        <v/>
      </c>
    </row>
    <row r="8828">
      <c r="A8828">
        <f>IFERROR(INDEX('Email Cleaner'!$B$2:$B$10001,MATCH(8827,'Email Cleaner'!$I$2:$I$10001,0)),"")</f>
        <v/>
      </c>
    </row>
    <row r="8829">
      <c r="A8829">
        <f>IFERROR(INDEX('Email Cleaner'!$B$2:$B$10001,MATCH(8828,'Email Cleaner'!$I$2:$I$10001,0)),"")</f>
        <v/>
      </c>
    </row>
    <row r="8830">
      <c r="A8830">
        <f>IFERROR(INDEX('Email Cleaner'!$B$2:$B$10001,MATCH(8829,'Email Cleaner'!$I$2:$I$10001,0)),"")</f>
        <v/>
      </c>
    </row>
    <row r="8831">
      <c r="A8831">
        <f>IFERROR(INDEX('Email Cleaner'!$B$2:$B$10001,MATCH(8830,'Email Cleaner'!$I$2:$I$10001,0)),"")</f>
        <v/>
      </c>
    </row>
    <row r="8832">
      <c r="A8832">
        <f>IFERROR(INDEX('Email Cleaner'!$B$2:$B$10001,MATCH(8831,'Email Cleaner'!$I$2:$I$10001,0)),"")</f>
        <v/>
      </c>
    </row>
    <row r="8833">
      <c r="A8833">
        <f>IFERROR(INDEX('Email Cleaner'!$B$2:$B$10001,MATCH(8832,'Email Cleaner'!$I$2:$I$10001,0)),"")</f>
        <v/>
      </c>
    </row>
    <row r="8834">
      <c r="A8834">
        <f>IFERROR(INDEX('Email Cleaner'!$B$2:$B$10001,MATCH(8833,'Email Cleaner'!$I$2:$I$10001,0)),"")</f>
        <v/>
      </c>
    </row>
    <row r="8835">
      <c r="A8835">
        <f>IFERROR(INDEX('Email Cleaner'!$B$2:$B$10001,MATCH(8834,'Email Cleaner'!$I$2:$I$10001,0)),"")</f>
        <v/>
      </c>
    </row>
    <row r="8836">
      <c r="A8836">
        <f>IFERROR(INDEX('Email Cleaner'!$B$2:$B$10001,MATCH(8835,'Email Cleaner'!$I$2:$I$10001,0)),"")</f>
        <v/>
      </c>
    </row>
    <row r="8837">
      <c r="A8837">
        <f>IFERROR(INDEX('Email Cleaner'!$B$2:$B$10001,MATCH(8836,'Email Cleaner'!$I$2:$I$10001,0)),"")</f>
        <v/>
      </c>
    </row>
    <row r="8838">
      <c r="A8838">
        <f>IFERROR(INDEX('Email Cleaner'!$B$2:$B$10001,MATCH(8837,'Email Cleaner'!$I$2:$I$10001,0)),"")</f>
        <v/>
      </c>
    </row>
    <row r="8839">
      <c r="A8839">
        <f>IFERROR(INDEX('Email Cleaner'!$B$2:$B$10001,MATCH(8838,'Email Cleaner'!$I$2:$I$10001,0)),"")</f>
        <v/>
      </c>
    </row>
    <row r="8840">
      <c r="A8840">
        <f>IFERROR(INDEX('Email Cleaner'!$B$2:$B$10001,MATCH(8839,'Email Cleaner'!$I$2:$I$10001,0)),"")</f>
        <v/>
      </c>
    </row>
    <row r="8841">
      <c r="A8841">
        <f>IFERROR(INDEX('Email Cleaner'!$B$2:$B$10001,MATCH(8840,'Email Cleaner'!$I$2:$I$10001,0)),"")</f>
        <v/>
      </c>
    </row>
    <row r="8842">
      <c r="A8842">
        <f>IFERROR(INDEX('Email Cleaner'!$B$2:$B$10001,MATCH(8841,'Email Cleaner'!$I$2:$I$10001,0)),"")</f>
        <v/>
      </c>
    </row>
    <row r="8843">
      <c r="A8843">
        <f>IFERROR(INDEX('Email Cleaner'!$B$2:$B$10001,MATCH(8842,'Email Cleaner'!$I$2:$I$10001,0)),"")</f>
        <v/>
      </c>
    </row>
    <row r="8844">
      <c r="A8844">
        <f>IFERROR(INDEX('Email Cleaner'!$B$2:$B$10001,MATCH(8843,'Email Cleaner'!$I$2:$I$10001,0)),"")</f>
        <v/>
      </c>
    </row>
    <row r="8845">
      <c r="A8845">
        <f>IFERROR(INDEX('Email Cleaner'!$B$2:$B$10001,MATCH(8844,'Email Cleaner'!$I$2:$I$10001,0)),"")</f>
        <v/>
      </c>
    </row>
    <row r="8846">
      <c r="A8846">
        <f>IFERROR(INDEX('Email Cleaner'!$B$2:$B$10001,MATCH(8845,'Email Cleaner'!$I$2:$I$10001,0)),"")</f>
        <v/>
      </c>
    </row>
    <row r="8847">
      <c r="A8847">
        <f>IFERROR(INDEX('Email Cleaner'!$B$2:$B$10001,MATCH(8846,'Email Cleaner'!$I$2:$I$10001,0)),"")</f>
        <v/>
      </c>
    </row>
    <row r="8848">
      <c r="A8848">
        <f>IFERROR(INDEX('Email Cleaner'!$B$2:$B$10001,MATCH(8847,'Email Cleaner'!$I$2:$I$10001,0)),"")</f>
        <v/>
      </c>
    </row>
    <row r="8849">
      <c r="A8849">
        <f>IFERROR(INDEX('Email Cleaner'!$B$2:$B$10001,MATCH(8848,'Email Cleaner'!$I$2:$I$10001,0)),"")</f>
        <v/>
      </c>
    </row>
    <row r="8850">
      <c r="A8850">
        <f>IFERROR(INDEX('Email Cleaner'!$B$2:$B$10001,MATCH(8849,'Email Cleaner'!$I$2:$I$10001,0)),"")</f>
        <v/>
      </c>
    </row>
    <row r="8851">
      <c r="A8851">
        <f>IFERROR(INDEX('Email Cleaner'!$B$2:$B$10001,MATCH(8850,'Email Cleaner'!$I$2:$I$10001,0)),"")</f>
        <v/>
      </c>
    </row>
    <row r="8852">
      <c r="A8852">
        <f>IFERROR(INDEX('Email Cleaner'!$B$2:$B$10001,MATCH(8851,'Email Cleaner'!$I$2:$I$10001,0)),"")</f>
        <v/>
      </c>
    </row>
    <row r="8853">
      <c r="A8853">
        <f>IFERROR(INDEX('Email Cleaner'!$B$2:$B$10001,MATCH(8852,'Email Cleaner'!$I$2:$I$10001,0)),"")</f>
        <v/>
      </c>
    </row>
    <row r="8854">
      <c r="A8854">
        <f>IFERROR(INDEX('Email Cleaner'!$B$2:$B$10001,MATCH(8853,'Email Cleaner'!$I$2:$I$10001,0)),"")</f>
        <v/>
      </c>
    </row>
    <row r="8855">
      <c r="A8855">
        <f>IFERROR(INDEX('Email Cleaner'!$B$2:$B$10001,MATCH(8854,'Email Cleaner'!$I$2:$I$10001,0)),"")</f>
        <v/>
      </c>
    </row>
    <row r="8856">
      <c r="A8856">
        <f>IFERROR(INDEX('Email Cleaner'!$B$2:$B$10001,MATCH(8855,'Email Cleaner'!$I$2:$I$10001,0)),"")</f>
        <v/>
      </c>
    </row>
    <row r="8857">
      <c r="A8857">
        <f>IFERROR(INDEX('Email Cleaner'!$B$2:$B$10001,MATCH(8856,'Email Cleaner'!$I$2:$I$10001,0)),"")</f>
        <v/>
      </c>
    </row>
    <row r="8858">
      <c r="A8858">
        <f>IFERROR(INDEX('Email Cleaner'!$B$2:$B$10001,MATCH(8857,'Email Cleaner'!$I$2:$I$10001,0)),"")</f>
        <v/>
      </c>
    </row>
    <row r="8859">
      <c r="A8859">
        <f>IFERROR(INDEX('Email Cleaner'!$B$2:$B$10001,MATCH(8858,'Email Cleaner'!$I$2:$I$10001,0)),"")</f>
        <v/>
      </c>
    </row>
    <row r="8860">
      <c r="A8860">
        <f>IFERROR(INDEX('Email Cleaner'!$B$2:$B$10001,MATCH(8859,'Email Cleaner'!$I$2:$I$10001,0)),"")</f>
        <v/>
      </c>
    </row>
    <row r="8861">
      <c r="A8861">
        <f>IFERROR(INDEX('Email Cleaner'!$B$2:$B$10001,MATCH(8860,'Email Cleaner'!$I$2:$I$10001,0)),"")</f>
        <v/>
      </c>
    </row>
    <row r="8862">
      <c r="A8862">
        <f>IFERROR(INDEX('Email Cleaner'!$B$2:$B$10001,MATCH(8861,'Email Cleaner'!$I$2:$I$10001,0)),"")</f>
        <v/>
      </c>
    </row>
    <row r="8863">
      <c r="A8863">
        <f>IFERROR(INDEX('Email Cleaner'!$B$2:$B$10001,MATCH(8862,'Email Cleaner'!$I$2:$I$10001,0)),"")</f>
        <v/>
      </c>
    </row>
    <row r="8864">
      <c r="A8864">
        <f>IFERROR(INDEX('Email Cleaner'!$B$2:$B$10001,MATCH(8863,'Email Cleaner'!$I$2:$I$10001,0)),"")</f>
        <v/>
      </c>
    </row>
    <row r="8865">
      <c r="A8865">
        <f>IFERROR(INDEX('Email Cleaner'!$B$2:$B$10001,MATCH(8864,'Email Cleaner'!$I$2:$I$10001,0)),"")</f>
        <v/>
      </c>
    </row>
    <row r="8866">
      <c r="A8866">
        <f>IFERROR(INDEX('Email Cleaner'!$B$2:$B$10001,MATCH(8865,'Email Cleaner'!$I$2:$I$10001,0)),"")</f>
        <v/>
      </c>
    </row>
    <row r="8867">
      <c r="A8867">
        <f>IFERROR(INDEX('Email Cleaner'!$B$2:$B$10001,MATCH(8866,'Email Cleaner'!$I$2:$I$10001,0)),"")</f>
        <v/>
      </c>
    </row>
    <row r="8868">
      <c r="A8868">
        <f>IFERROR(INDEX('Email Cleaner'!$B$2:$B$10001,MATCH(8867,'Email Cleaner'!$I$2:$I$10001,0)),"")</f>
        <v/>
      </c>
    </row>
    <row r="8869">
      <c r="A8869">
        <f>IFERROR(INDEX('Email Cleaner'!$B$2:$B$10001,MATCH(8868,'Email Cleaner'!$I$2:$I$10001,0)),"")</f>
        <v/>
      </c>
    </row>
    <row r="8870">
      <c r="A8870">
        <f>IFERROR(INDEX('Email Cleaner'!$B$2:$B$10001,MATCH(8869,'Email Cleaner'!$I$2:$I$10001,0)),"")</f>
        <v/>
      </c>
    </row>
    <row r="8871">
      <c r="A8871">
        <f>IFERROR(INDEX('Email Cleaner'!$B$2:$B$10001,MATCH(8870,'Email Cleaner'!$I$2:$I$10001,0)),"")</f>
        <v/>
      </c>
    </row>
    <row r="8872">
      <c r="A8872">
        <f>IFERROR(INDEX('Email Cleaner'!$B$2:$B$10001,MATCH(8871,'Email Cleaner'!$I$2:$I$10001,0)),"")</f>
        <v/>
      </c>
    </row>
    <row r="8873">
      <c r="A8873">
        <f>IFERROR(INDEX('Email Cleaner'!$B$2:$B$10001,MATCH(8872,'Email Cleaner'!$I$2:$I$10001,0)),"")</f>
        <v/>
      </c>
    </row>
    <row r="8874">
      <c r="A8874">
        <f>IFERROR(INDEX('Email Cleaner'!$B$2:$B$10001,MATCH(8873,'Email Cleaner'!$I$2:$I$10001,0)),"")</f>
        <v/>
      </c>
    </row>
    <row r="8875">
      <c r="A8875">
        <f>IFERROR(INDEX('Email Cleaner'!$B$2:$B$10001,MATCH(8874,'Email Cleaner'!$I$2:$I$10001,0)),"")</f>
        <v/>
      </c>
    </row>
    <row r="8876">
      <c r="A8876">
        <f>IFERROR(INDEX('Email Cleaner'!$B$2:$B$10001,MATCH(8875,'Email Cleaner'!$I$2:$I$10001,0)),"")</f>
        <v/>
      </c>
    </row>
    <row r="8877">
      <c r="A8877">
        <f>IFERROR(INDEX('Email Cleaner'!$B$2:$B$10001,MATCH(8876,'Email Cleaner'!$I$2:$I$10001,0)),"")</f>
        <v/>
      </c>
    </row>
    <row r="8878">
      <c r="A8878">
        <f>IFERROR(INDEX('Email Cleaner'!$B$2:$B$10001,MATCH(8877,'Email Cleaner'!$I$2:$I$10001,0)),"")</f>
        <v/>
      </c>
    </row>
    <row r="8879">
      <c r="A8879">
        <f>IFERROR(INDEX('Email Cleaner'!$B$2:$B$10001,MATCH(8878,'Email Cleaner'!$I$2:$I$10001,0)),"")</f>
        <v/>
      </c>
    </row>
    <row r="8880">
      <c r="A8880">
        <f>IFERROR(INDEX('Email Cleaner'!$B$2:$B$10001,MATCH(8879,'Email Cleaner'!$I$2:$I$10001,0)),"")</f>
        <v/>
      </c>
    </row>
    <row r="8881">
      <c r="A8881">
        <f>IFERROR(INDEX('Email Cleaner'!$B$2:$B$10001,MATCH(8880,'Email Cleaner'!$I$2:$I$10001,0)),"")</f>
        <v/>
      </c>
    </row>
    <row r="8882">
      <c r="A8882">
        <f>IFERROR(INDEX('Email Cleaner'!$B$2:$B$10001,MATCH(8881,'Email Cleaner'!$I$2:$I$10001,0)),"")</f>
        <v/>
      </c>
    </row>
    <row r="8883">
      <c r="A8883">
        <f>IFERROR(INDEX('Email Cleaner'!$B$2:$B$10001,MATCH(8882,'Email Cleaner'!$I$2:$I$10001,0)),"")</f>
        <v/>
      </c>
    </row>
    <row r="8884">
      <c r="A8884">
        <f>IFERROR(INDEX('Email Cleaner'!$B$2:$B$10001,MATCH(8883,'Email Cleaner'!$I$2:$I$10001,0)),"")</f>
        <v/>
      </c>
    </row>
    <row r="8885">
      <c r="A8885">
        <f>IFERROR(INDEX('Email Cleaner'!$B$2:$B$10001,MATCH(8884,'Email Cleaner'!$I$2:$I$10001,0)),"")</f>
        <v/>
      </c>
    </row>
    <row r="8886">
      <c r="A8886">
        <f>IFERROR(INDEX('Email Cleaner'!$B$2:$B$10001,MATCH(8885,'Email Cleaner'!$I$2:$I$10001,0)),"")</f>
        <v/>
      </c>
    </row>
    <row r="8887">
      <c r="A8887">
        <f>IFERROR(INDEX('Email Cleaner'!$B$2:$B$10001,MATCH(8886,'Email Cleaner'!$I$2:$I$10001,0)),"")</f>
        <v/>
      </c>
    </row>
    <row r="8888">
      <c r="A8888">
        <f>IFERROR(INDEX('Email Cleaner'!$B$2:$B$10001,MATCH(8887,'Email Cleaner'!$I$2:$I$10001,0)),"")</f>
        <v/>
      </c>
    </row>
    <row r="8889">
      <c r="A8889">
        <f>IFERROR(INDEX('Email Cleaner'!$B$2:$B$10001,MATCH(8888,'Email Cleaner'!$I$2:$I$10001,0)),"")</f>
        <v/>
      </c>
    </row>
    <row r="8890">
      <c r="A8890">
        <f>IFERROR(INDEX('Email Cleaner'!$B$2:$B$10001,MATCH(8889,'Email Cleaner'!$I$2:$I$10001,0)),"")</f>
        <v/>
      </c>
    </row>
    <row r="8891">
      <c r="A8891">
        <f>IFERROR(INDEX('Email Cleaner'!$B$2:$B$10001,MATCH(8890,'Email Cleaner'!$I$2:$I$10001,0)),"")</f>
        <v/>
      </c>
    </row>
    <row r="8892">
      <c r="A8892">
        <f>IFERROR(INDEX('Email Cleaner'!$B$2:$B$10001,MATCH(8891,'Email Cleaner'!$I$2:$I$10001,0)),"")</f>
        <v/>
      </c>
    </row>
    <row r="8893">
      <c r="A8893">
        <f>IFERROR(INDEX('Email Cleaner'!$B$2:$B$10001,MATCH(8892,'Email Cleaner'!$I$2:$I$10001,0)),"")</f>
        <v/>
      </c>
    </row>
    <row r="8894">
      <c r="A8894">
        <f>IFERROR(INDEX('Email Cleaner'!$B$2:$B$10001,MATCH(8893,'Email Cleaner'!$I$2:$I$10001,0)),"")</f>
        <v/>
      </c>
    </row>
    <row r="8895">
      <c r="A8895">
        <f>IFERROR(INDEX('Email Cleaner'!$B$2:$B$10001,MATCH(8894,'Email Cleaner'!$I$2:$I$10001,0)),"")</f>
        <v/>
      </c>
    </row>
    <row r="8896">
      <c r="A8896">
        <f>IFERROR(INDEX('Email Cleaner'!$B$2:$B$10001,MATCH(8895,'Email Cleaner'!$I$2:$I$10001,0)),"")</f>
        <v/>
      </c>
    </row>
    <row r="8897">
      <c r="A8897">
        <f>IFERROR(INDEX('Email Cleaner'!$B$2:$B$10001,MATCH(8896,'Email Cleaner'!$I$2:$I$10001,0)),"")</f>
        <v/>
      </c>
    </row>
    <row r="8898">
      <c r="A8898">
        <f>IFERROR(INDEX('Email Cleaner'!$B$2:$B$10001,MATCH(8897,'Email Cleaner'!$I$2:$I$10001,0)),"")</f>
        <v/>
      </c>
    </row>
    <row r="8899">
      <c r="A8899">
        <f>IFERROR(INDEX('Email Cleaner'!$B$2:$B$10001,MATCH(8898,'Email Cleaner'!$I$2:$I$10001,0)),"")</f>
        <v/>
      </c>
    </row>
    <row r="8900">
      <c r="A8900">
        <f>IFERROR(INDEX('Email Cleaner'!$B$2:$B$10001,MATCH(8899,'Email Cleaner'!$I$2:$I$10001,0)),"")</f>
        <v/>
      </c>
    </row>
    <row r="8901">
      <c r="A8901">
        <f>IFERROR(INDEX('Email Cleaner'!$B$2:$B$10001,MATCH(8900,'Email Cleaner'!$I$2:$I$10001,0)),"")</f>
        <v/>
      </c>
    </row>
    <row r="8902">
      <c r="A8902">
        <f>IFERROR(INDEX('Email Cleaner'!$B$2:$B$10001,MATCH(8901,'Email Cleaner'!$I$2:$I$10001,0)),"")</f>
        <v/>
      </c>
    </row>
    <row r="8903">
      <c r="A8903">
        <f>IFERROR(INDEX('Email Cleaner'!$B$2:$B$10001,MATCH(8902,'Email Cleaner'!$I$2:$I$10001,0)),"")</f>
        <v/>
      </c>
    </row>
    <row r="8904">
      <c r="A8904">
        <f>IFERROR(INDEX('Email Cleaner'!$B$2:$B$10001,MATCH(8903,'Email Cleaner'!$I$2:$I$10001,0)),"")</f>
        <v/>
      </c>
    </row>
    <row r="8905">
      <c r="A8905">
        <f>IFERROR(INDEX('Email Cleaner'!$B$2:$B$10001,MATCH(8904,'Email Cleaner'!$I$2:$I$10001,0)),"")</f>
        <v/>
      </c>
    </row>
    <row r="8906">
      <c r="A8906">
        <f>IFERROR(INDEX('Email Cleaner'!$B$2:$B$10001,MATCH(8905,'Email Cleaner'!$I$2:$I$10001,0)),"")</f>
        <v/>
      </c>
    </row>
    <row r="8907">
      <c r="A8907">
        <f>IFERROR(INDEX('Email Cleaner'!$B$2:$B$10001,MATCH(8906,'Email Cleaner'!$I$2:$I$10001,0)),"")</f>
        <v/>
      </c>
    </row>
    <row r="8908">
      <c r="A8908">
        <f>IFERROR(INDEX('Email Cleaner'!$B$2:$B$10001,MATCH(8907,'Email Cleaner'!$I$2:$I$10001,0)),"")</f>
        <v/>
      </c>
    </row>
    <row r="8909">
      <c r="A8909">
        <f>IFERROR(INDEX('Email Cleaner'!$B$2:$B$10001,MATCH(8908,'Email Cleaner'!$I$2:$I$10001,0)),"")</f>
        <v/>
      </c>
    </row>
    <row r="8910">
      <c r="A8910">
        <f>IFERROR(INDEX('Email Cleaner'!$B$2:$B$10001,MATCH(8909,'Email Cleaner'!$I$2:$I$10001,0)),"")</f>
        <v/>
      </c>
    </row>
    <row r="8911">
      <c r="A8911">
        <f>IFERROR(INDEX('Email Cleaner'!$B$2:$B$10001,MATCH(8910,'Email Cleaner'!$I$2:$I$10001,0)),"")</f>
        <v/>
      </c>
    </row>
    <row r="8912">
      <c r="A8912">
        <f>IFERROR(INDEX('Email Cleaner'!$B$2:$B$10001,MATCH(8911,'Email Cleaner'!$I$2:$I$10001,0)),"")</f>
        <v/>
      </c>
    </row>
    <row r="8913">
      <c r="A8913">
        <f>IFERROR(INDEX('Email Cleaner'!$B$2:$B$10001,MATCH(8912,'Email Cleaner'!$I$2:$I$10001,0)),"")</f>
        <v/>
      </c>
    </row>
    <row r="8914">
      <c r="A8914">
        <f>IFERROR(INDEX('Email Cleaner'!$B$2:$B$10001,MATCH(8913,'Email Cleaner'!$I$2:$I$10001,0)),"")</f>
        <v/>
      </c>
    </row>
    <row r="8915">
      <c r="A8915">
        <f>IFERROR(INDEX('Email Cleaner'!$B$2:$B$10001,MATCH(8914,'Email Cleaner'!$I$2:$I$10001,0)),"")</f>
        <v/>
      </c>
    </row>
    <row r="8916">
      <c r="A8916">
        <f>IFERROR(INDEX('Email Cleaner'!$B$2:$B$10001,MATCH(8915,'Email Cleaner'!$I$2:$I$10001,0)),"")</f>
        <v/>
      </c>
    </row>
    <row r="8917">
      <c r="A8917">
        <f>IFERROR(INDEX('Email Cleaner'!$B$2:$B$10001,MATCH(8916,'Email Cleaner'!$I$2:$I$10001,0)),"")</f>
        <v/>
      </c>
    </row>
    <row r="8918">
      <c r="A8918">
        <f>IFERROR(INDEX('Email Cleaner'!$B$2:$B$10001,MATCH(8917,'Email Cleaner'!$I$2:$I$10001,0)),"")</f>
        <v/>
      </c>
    </row>
    <row r="8919">
      <c r="A8919">
        <f>IFERROR(INDEX('Email Cleaner'!$B$2:$B$10001,MATCH(8918,'Email Cleaner'!$I$2:$I$10001,0)),"")</f>
        <v/>
      </c>
    </row>
    <row r="8920">
      <c r="A8920">
        <f>IFERROR(INDEX('Email Cleaner'!$B$2:$B$10001,MATCH(8919,'Email Cleaner'!$I$2:$I$10001,0)),"")</f>
        <v/>
      </c>
    </row>
    <row r="8921">
      <c r="A8921">
        <f>IFERROR(INDEX('Email Cleaner'!$B$2:$B$10001,MATCH(8920,'Email Cleaner'!$I$2:$I$10001,0)),"")</f>
        <v/>
      </c>
    </row>
    <row r="8922">
      <c r="A8922">
        <f>IFERROR(INDEX('Email Cleaner'!$B$2:$B$10001,MATCH(8921,'Email Cleaner'!$I$2:$I$10001,0)),"")</f>
        <v/>
      </c>
    </row>
    <row r="8923">
      <c r="A8923">
        <f>IFERROR(INDEX('Email Cleaner'!$B$2:$B$10001,MATCH(8922,'Email Cleaner'!$I$2:$I$10001,0)),"")</f>
        <v/>
      </c>
    </row>
    <row r="8924">
      <c r="A8924">
        <f>IFERROR(INDEX('Email Cleaner'!$B$2:$B$10001,MATCH(8923,'Email Cleaner'!$I$2:$I$10001,0)),"")</f>
        <v/>
      </c>
    </row>
    <row r="8925">
      <c r="A8925">
        <f>IFERROR(INDEX('Email Cleaner'!$B$2:$B$10001,MATCH(8924,'Email Cleaner'!$I$2:$I$10001,0)),"")</f>
        <v/>
      </c>
    </row>
    <row r="8926">
      <c r="A8926">
        <f>IFERROR(INDEX('Email Cleaner'!$B$2:$B$10001,MATCH(8925,'Email Cleaner'!$I$2:$I$10001,0)),"")</f>
        <v/>
      </c>
    </row>
    <row r="8927">
      <c r="A8927">
        <f>IFERROR(INDEX('Email Cleaner'!$B$2:$B$10001,MATCH(8926,'Email Cleaner'!$I$2:$I$10001,0)),"")</f>
        <v/>
      </c>
    </row>
    <row r="8928">
      <c r="A8928">
        <f>IFERROR(INDEX('Email Cleaner'!$B$2:$B$10001,MATCH(8927,'Email Cleaner'!$I$2:$I$10001,0)),"")</f>
        <v/>
      </c>
    </row>
    <row r="8929">
      <c r="A8929">
        <f>IFERROR(INDEX('Email Cleaner'!$B$2:$B$10001,MATCH(8928,'Email Cleaner'!$I$2:$I$10001,0)),"")</f>
        <v/>
      </c>
    </row>
    <row r="8930">
      <c r="A8930">
        <f>IFERROR(INDEX('Email Cleaner'!$B$2:$B$10001,MATCH(8929,'Email Cleaner'!$I$2:$I$10001,0)),"")</f>
        <v/>
      </c>
    </row>
    <row r="8931">
      <c r="A8931">
        <f>IFERROR(INDEX('Email Cleaner'!$B$2:$B$10001,MATCH(8930,'Email Cleaner'!$I$2:$I$10001,0)),"")</f>
        <v/>
      </c>
    </row>
    <row r="8932">
      <c r="A8932">
        <f>IFERROR(INDEX('Email Cleaner'!$B$2:$B$10001,MATCH(8931,'Email Cleaner'!$I$2:$I$10001,0)),"")</f>
        <v/>
      </c>
    </row>
    <row r="8933">
      <c r="A8933">
        <f>IFERROR(INDEX('Email Cleaner'!$B$2:$B$10001,MATCH(8932,'Email Cleaner'!$I$2:$I$10001,0)),"")</f>
        <v/>
      </c>
    </row>
    <row r="8934">
      <c r="A8934">
        <f>IFERROR(INDEX('Email Cleaner'!$B$2:$B$10001,MATCH(8933,'Email Cleaner'!$I$2:$I$10001,0)),"")</f>
        <v/>
      </c>
    </row>
    <row r="8935">
      <c r="A8935">
        <f>IFERROR(INDEX('Email Cleaner'!$B$2:$B$10001,MATCH(8934,'Email Cleaner'!$I$2:$I$10001,0)),"")</f>
        <v/>
      </c>
    </row>
    <row r="8936">
      <c r="A8936">
        <f>IFERROR(INDEX('Email Cleaner'!$B$2:$B$10001,MATCH(8935,'Email Cleaner'!$I$2:$I$10001,0)),"")</f>
        <v/>
      </c>
    </row>
    <row r="8937">
      <c r="A8937">
        <f>IFERROR(INDEX('Email Cleaner'!$B$2:$B$10001,MATCH(8936,'Email Cleaner'!$I$2:$I$10001,0)),"")</f>
        <v/>
      </c>
    </row>
    <row r="8938">
      <c r="A8938">
        <f>IFERROR(INDEX('Email Cleaner'!$B$2:$B$10001,MATCH(8937,'Email Cleaner'!$I$2:$I$10001,0)),"")</f>
        <v/>
      </c>
    </row>
    <row r="8939">
      <c r="A8939">
        <f>IFERROR(INDEX('Email Cleaner'!$B$2:$B$10001,MATCH(8938,'Email Cleaner'!$I$2:$I$10001,0)),"")</f>
        <v/>
      </c>
    </row>
    <row r="8940">
      <c r="A8940">
        <f>IFERROR(INDEX('Email Cleaner'!$B$2:$B$10001,MATCH(8939,'Email Cleaner'!$I$2:$I$10001,0)),"")</f>
        <v/>
      </c>
    </row>
    <row r="8941">
      <c r="A8941">
        <f>IFERROR(INDEX('Email Cleaner'!$B$2:$B$10001,MATCH(8940,'Email Cleaner'!$I$2:$I$10001,0)),"")</f>
        <v/>
      </c>
    </row>
    <row r="8942">
      <c r="A8942">
        <f>IFERROR(INDEX('Email Cleaner'!$B$2:$B$10001,MATCH(8941,'Email Cleaner'!$I$2:$I$10001,0)),"")</f>
        <v/>
      </c>
    </row>
    <row r="8943">
      <c r="A8943">
        <f>IFERROR(INDEX('Email Cleaner'!$B$2:$B$10001,MATCH(8942,'Email Cleaner'!$I$2:$I$10001,0)),"")</f>
        <v/>
      </c>
    </row>
    <row r="8944">
      <c r="A8944">
        <f>IFERROR(INDEX('Email Cleaner'!$B$2:$B$10001,MATCH(8943,'Email Cleaner'!$I$2:$I$10001,0)),"")</f>
        <v/>
      </c>
    </row>
    <row r="8945">
      <c r="A8945">
        <f>IFERROR(INDEX('Email Cleaner'!$B$2:$B$10001,MATCH(8944,'Email Cleaner'!$I$2:$I$10001,0)),"")</f>
        <v/>
      </c>
    </row>
    <row r="8946">
      <c r="A8946">
        <f>IFERROR(INDEX('Email Cleaner'!$B$2:$B$10001,MATCH(8945,'Email Cleaner'!$I$2:$I$10001,0)),"")</f>
        <v/>
      </c>
    </row>
    <row r="8947">
      <c r="A8947">
        <f>IFERROR(INDEX('Email Cleaner'!$B$2:$B$10001,MATCH(8946,'Email Cleaner'!$I$2:$I$10001,0)),"")</f>
        <v/>
      </c>
    </row>
    <row r="8948">
      <c r="A8948">
        <f>IFERROR(INDEX('Email Cleaner'!$B$2:$B$10001,MATCH(8947,'Email Cleaner'!$I$2:$I$10001,0)),"")</f>
        <v/>
      </c>
    </row>
    <row r="8949">
      <c r="A8949">
        <f>IFERROR(INDEX('Email Cleaner'!$B$2:$B$10001,MATCH(8948,'Email Cleaner'!$I$2:$I$10001,0)),"")</f>
        <v/>
      </c>
    </row>
    <row r="8950">
      <c r="A8950">
        <f>IFERROR(INDEX('Email Cleaner'!$B$2:$B$10001,MATCH(8949,'Email Cleaner'!$I$2:$I$10001,0)),"")</f>
        <v/>
      </c>
    </row>
    <row r="8951">
      <c r="A8951">
        <f>IFERROR(INDEX('Email Cleaner'!$B$2:$B$10001,MATCH(8950,'Email Cleaner'!$I$2:$I$10001,0)),"")</f>
        <v/>
      </c>
    </row>
    <row r="8952">
      <c r="A8952">
        <f>IFERROR(INDEX('Email Cleaner'!$B$2:$B$10001,MATCH(8951,'Email Cleaner'!$I$2:$I$10001,0)),"")</f>
        <v/>
      </c>
    </row>
    <row r="8953">
      <c r="A8953">
        <f>IFERROR(INDEX('Email Cleaner'!$B$2:$B$10001,MATCH(8952,'Email Cleaner'!$I$2:$I$10001,0)),"")</f>
        <v/>
      </c>
    </row>
    <row r="8954">
      <c r="A8954">
        <f>IFERROR(INDEX('Email Cleaner'!$B$2:$B$10001,MATCH(8953,'Email Cleaner'!$I$2:$I$10001,0)),"")</f>
        <v/>
      </c>
    </row>
    <row r="8955">
      <c r="A8955">
        <f>IFERROR(INDEX('Email Cleaner'!$B$2:$B$10001,MATCH(8954,'Email Cleaner'!$I$2:$I$10001,0)),"")</f>
        <v/>
      </c>
    </row>
    <row r="8956">
      <c r="A8956">
        <f>IFERROR(INDEX('Email Cleaner'!$B$2:$B$10001,MATCH(8955,'Email Cleaner'!$I$2:$I$10001,0)),"")</f>
        <v/>
      </c>
    </row>
    <row r="8957">
      <c r="A8957">
        <f>IFERROR(INDEX('Email Cleaner'!$B$2:$B$10001,MATCH(8956,'Email Cleaner'!$I$2:$I$10001,0)),"")</f>
        <v/>
      </c>
    </row>
    <row r="8958">
      <c r="A8958">
        <f>IFERROR(INDEX('Email Cleaner'!$B$2:$B$10001,MATCH(8957,'Email Cleaner'!$I$2:$I$10001,0)),"")</f>
        <v/>
      </c>
    </row>
    <row r="8959">
      <c r="A8959">
        <f>IFERROR(INDEX('Email Cleaner'!$B$2:$B$10001,MATCH(8958,'Email Cleaner'!$I$2:$I$10001,0)),"")</f>
        <v/>
      </c>
    </row>
    <row r="8960">
      <c r="A8960">
        <f>IFERROR(INDEX('Email Cleaner'!$B$2:$B$10001,MATCH(8959,'Email Cleaner'!$I$2:$I$10001,0)),"")</f>
        <v/>
      </c>
    </row>
    <row r="8961">
      <c r="A8961">
        <f>IFERROR(INDEX('Email Cleaner'!$B$2:$B$10001,MATCH(8960,'Email Cleaner'!$I$2:$I$10001,0)),"")</f>
        <v/>
      </c>
    </row>
    <row r="8962">
      <c r="A8962">
        <f>IFERROR(INDEX('Email Cleaner'!$B$2:$B$10001,MATCH(8961,'Email Cleaner'!$I$2:$I$10001,0)),"")</f>
        <v/>
      </c>
    </row>
    <row r="8963">
      <c r="A8963">
        <f>IFERROR(INDEX('Email Cleaner'!$B$2:$B$10001,MATCH(8962,'Email Cleaner'!$I$2:$I$10001,0)),"")</f>
        <v/>
      </c>
    </row>
    <row r="8964">
      <c r="A8964">
        <f>IFERROR(INDEX('Email Cleaner'!$B$2:$B$10001,MATCH(8963,'Email Cleaner'!$I$2:$I$10001,0)),"")</f>
        <v/>
      </c>
    </row>
    <row r="8965">
      <c r="A8965">
        <f>IFERROR(INDEX('Email Cleaner'!$B$2:$B$10001,MATCH(8964,'Email Cleaner'!$I$2:$I$10001,0)),"")</f>
        <v/>
      </c>
    </row>
    <row r="8966">
      <c r="A8966">
        <f>IFERROR(INDEX('Email Cleaner'!$B$2:$B$10001,MATCH(8965,'Email Cleaner'!$I$2:$I$10001,0)),"")</f>
        <v/>
      </c>
    </row>
    <row r="8967">
      <c r="A8967">
        <f>IFERROR(INDEX('Email Cleaner'!$B$2:$B$10001,MATCH(8966,'Email Cleaner'!$I$2:$I$10001,0)),"")</f>
        <v/>
      </c>
    </row>
    <row r="8968">
      <c r="A8968">
        <f>IFERROR(INDEX('Email Cleaner'!$B$2:$B$10001,MATCH(8967,'Email Cleaner'!$I$2:$I$10001,0)),"")</f>
        <v/>
      </c>
    </row>
    <row r="8969">
      <c r="A8969">
        <f>IFERROR(INDEX('Email Cleaner'!$B$2:$B$10001,MATCH(8968,'Email Cleaner'!$I$2:$I$10001,0)),"")</f>
        <v/>
      </c>
    </row>
    <row r="8970">
      <c r="A8970">
        <f>IFERROR(INDEX('Email Cleaner'!$B$2:$B$10001,MATCH(8969,'Email Cleaner'!$I$2:$I$10001,0)),"")</f>
        <v/>
      </c>
    </row>
    <row r="8971">
      <c r="A8971">
        <f>IFERROR(INDEX('Email Cleaner'!$B$2:$B$10001,MATCH(8970,'Email Cleaner'!$I$2:$I$10001,0)),"")</f>
        <v/>
      </c>
    </row>
    <row r="8972">
      <c r="A8972">
        <f>IFERROR(INDEX('Email Cleaner'!$B$2:$B$10001,MATCH(8971,'Email Cleaner'!$I$2:$I$10001,0)),"")</f>
        <v/>
      </c>
    </row>
    <row r="8973">
      <c r="A8973">
        <f>IFERROR(INDEX('Email Cleaner'!$B$2:$B$10001,MATCH(8972,'Email Cleaner'!$I$2:$I$10001,0)),"")</f>
        <v/>
      </c>
    </row>
    <row r="8974">
      <c r="A8974">
        <f>IFERROR(INDEX('Email Cleaner'!$B$2:$B$10001,MATCH(8973,'Email Cleaner'!$I$2:$I$10001,0)),"")</f>
        <v/>
      </c>
    </row>
    <row r="8975">
      <c r="A8975">
        <f>IFERROR(INDEX('Email Cleaner'!$B$2:$B$10001,MATCH(8974,'Email Cleaner'!$I$2:$I$10001,0)),"")</f>
        <v/>
      </c>
    </row>
    <row r="8976">
      <c r="A8976">
        <f>IFERROR(INDEX('Email Cleaner'!$B$2:$B$10001,MATCH(8975,'Email Cleaner'!$I$2:$I$10001,0)),"")</f>
        <v/>
      </c>
    </row>
    <row r="8977">
      <c r="A8977">
        <f>IFERROR(INDEX('Email Cleaner'!$B$2:$B$10001,MATCH(8976,'Email Cleaner'!$I$2:$I$10001,0)),"")</f>
        <v/>
      </c>
    </row>
    <row r="8978">
      <c r="A8978">
        <f>IFERROR(INDEX('Email Cleaner'!$B$2:$B$10001,MATCH(8977,'Email Cleaner'!$I$2:$I$10001,0)),"")</f>
        <v/>
      </c>
    </row>
    <row r="8979">
      <c r="A8979">
        <f>IFERROR(INDEX('Email Cleaner'!$B$2:$B$10001,MATCH(8978,'Email Cleaner'!$I$2:$I$10001,0)),"")</f>
        <v/>
      </c>
    </row>
    <row r="8980">
      <c r="A8980">
        <f>IFERROR(INDEX('Email Cleaner'!$B$2:$B$10001,MATCH(8979,'Email Cleaner'!$I$2:$I$10001,0)),"")</f>
        <v/>
      </c>
    </row>
    <row r="8981">
      <c r="A8981">
        <f>IFERROR(INDEX('Email Cleaner'!$B$2:$B$10001,MATCH(8980,'Email Cleaner'!$I$2:$I$10001,0)),"")</f>
        <v/>
      </c>
    </row>
    <row r="8982">
      <c r="A8982">
        <f>IFERROR(INDEX('Email Cleaner'!$B$2:$B$10001,MATCH(8981,'Email Cleaner'!$I$2:$I$10001,0)),"")</f>
        <v/>
      </c>
    </row>
    <row r="8983">
      <c r="A8983">
        <f>IFERROR(INDEX('Email Cleaner'!$B$2:$B$10001,MATCH(8982,'Email Cleaner'!$I$2:$I$10001,0)),"")</f>
        <v/>
      </c>
    </row>
    <row r="8984">
      <c r="A8984">
        <f>IFERROR(INDEX('Email Cleaner'!$B$2:$B$10001,MATCH(8983,'Email Cleaner'!$I$2:$I$10001,0)),"")</f>
        <v/>
      </c>
    </row>
    <row r="8985">
      <c r="A8985">
        <f>IFERROR(INDEX('Email Cleaner'!$B$2:$B$10001,MATCH(8984,'Email Cleaner'!$I$2:$I$10001,0)),"")</f>
        <v/>
      </c>
    </row>
    <row r="8986">
      <c r="A8986">
        <f>IFERROR(INDEX('Email Cleaner'!$B$2:$B$10001,MATCH(8985,'Email Cleaner'!$I$2:$I$10001,0)),"")</f>
        <v/>
      </c>
    </row>
    <row r="8987">
      <c r="A8987">
        <f>IFERROR(INDEX('Email Cleaner'!$B$2:$B$10001,MATCH(8986,'Email Cleaner'!$I$2:$I$10001,0)),"")</f>
        <v/>
      </c>
    </row>
    <row r="8988">
      <c r="A8988">
        <f>IFERROR(INDEX('Email Cleaner'!$B$2:$B$10001,MATCH(8987,'Email Cleaner'!$I$2:$I$10001,0)),"")</f>
        <v/>
      </c>
    </row>
    <row r="8989">
      <c r="A8989">
        <f>IFERROR(INDEX('Email Cleaner'!$B$2:$B$10001,MATCH(8988,'Email Cleaner'!$I$2:$I$10001,0)),"")</f>
        <v/>
      </c>
    </row>
    <row r="8990">
      <c r="A8990">
        <f>IFERROR(INDEX('Email Cleaner'!$B$2:$B$10001,MATCH(8989,'Email Cleaner'!$I$2:$I$10001,0)),"")</f>
        <v/>
      </c>
    </row>
    <row r="8991">
      <c r="A8991">
        <f>IFERROR(INDEX('Email Cleaner'!$B$2:$B$10001,MATCH(8990,'Email Cleaner'!$I$2:$I$10001,0)),"")</f>
        <v/>
      </c>
    </row>
    <row r="8992">
      <c r="A8992">
        <f>IFERROR(INDEX('Email Cleaner'!$B$2:$B$10001,MATCH(8991,'Email Cleaner'!$I$2:$I$10001,0)),"")</f>
        <v/>
      </c>
    </row>
    <row r="8993">
      <c r="A8993">
        <f>IFERROR(INDEX('Email Cleaner'!$B$2:$B$10001,MATCH(8992,'Email Cleaner'!$I$2:$I$10001,0)),"")</f>
        <v/>
      </c>
    </row>
    <row r="8994">
      <c r="A8994">
        <f>IFERROR(INDEX('Email Cleaner'!$B$2:$B$10001,MATCH(8993,'Email Cleaner'!$I$2:$I$10001,0)),"")</f>
        <v/>
      </c>
    </row>
    <row r="8995">
      <c r="A8995">
        <f>IFERROR(INDEX('Email Cleaner'!$B$2:$B$10001,MATCH(8994,'Email Cleaner'!$I$2:$I$10001,0)),"")</f>
        <v/>
      </c>
    </row>
    <row r="8996">
      <c r="A8996">
        <f>IFERROR(INDEX('Email Cleaner'!$B$2:$B$10001,MATCH(8995,'Email Cleaner'!$I$2:$I$10001,0)),"")</f>
        <v/>
      </c>
    </row>
    <row r="8997">
      <c r="A8997">
        <f>IFERROR(INDEX('Email Cleaner'!$B$2:$B$10001,MATCH(8996,'Email Cleaner'!$I$2:$I$10001,0)),"")</f>
        <v/>
      </c>
    </row>
    <row r="8998">
      <c r="A8998">
        <f>IFERROR(INDEX('Email Cleaner'!$B$2:$B$10001,MATCH(8997,'Email Cleaner'!$I$2:$I$10001,0)),"")</f>
        <v/>
      </c>
    </row>
    <row r="8999">
      <c r="A8999">
        <f>IFERROR(INDEX('Email Cleaner'!$B$2:$B$10001,MATCH(8998,'Email Cleaner'!$I$2:$I$10001,0)),"")</f>
        <v/>
      </c>
    </row>
    <row r="9000">
      <c r="A9000">
        <f>IFERROR(INDEX('Email Cleaner'!$B$2:$B$10001,MATCH(8999,'Email Cleaner'!$I$2:$I$10001,0)),"")</f>
        <v/>
      </c>
    </row>
    <row r="9001">
      <c r="A9001">
        <f>IFERROR(INDEX('Email Cleaner'!$B$2:$B$10001,MATCH(9000,'Email Cleaner'!$I$2:$I$10001,0)),"")</f>
        <v/>
      </c>
    </row>
    <row r="9002">
      <c r="A9002">
        <f>IFERROR(INDEX('Email Cleaner'!$B$2:$B$10001,MATCH(9001,'Email Cleaner'!$I$2:$I$10001,0)),"")</f>
        <v/>
      </c>
    </row>
    <row r="9003">
      <c r="A9003">
        <f>IFERROR(INDEX('Email Cleaner'!$B$2:$B$10001,MATCH(9002,'Email Cleaner'!$I$2:$I$10001,0)),"")</f>
        <v/>
      </c>
    </row>
    <row r="9004">
      <c r="A9004">
        <f>IFERROR(INDEX('Email Cleaner'!$B$2:$B$10001,MATCH(9003,'Email Cleaner'!$I$2:$I$10001,0)),"")</f>
        <v/>
      </c>
    </row>
    <row r="9005">
      <c r="A9005">
        <f>IFERROR(INDEX('Email Cleaner'!$B$2:$B$10001,MATCH(9004,'Email Cleaner'!$I$2:$I$10001,0)),"")</f>
        <v/>
      </c>
    </row>
    <row r="9006">
      <c r="A9006">
        <f>IFERROR(INDEX('Email Cleaner'!$B$2:$B$10001,MATCH(9005,'Email Cleaner'!$I$2:$I$10001,0)),"")</f>
        <v/>
      </c>
    </row>
    <row r="9007">
      <c r="A9007">
        <f>IFERROR(INDEX('Email Cleaner'!$B$2:$B$10001,MATCH(9006,'Email Cleaner'!$I$2:$I$10001,0)),"")</f>
        <v/>
      </c>
    </row>
    <row r="9008">
      <c r="A9008">
        <f>IFERROR(INDEX('Email Cleaner'!$B$2:$B$10001,MATCH(9007,'Email Cleaner'!$I$2:$I$10001,0)),"")</f>
        <v/>
      </c>
    </row>
    <row r="9009">
      <c r="A9009">
        <f>IFERROR(INDEX('Email Cleaner'!$B$2:$B$10001,MATCH(9008,'Email Cleaner'!$I$2:$I$10001,0)),"")</f>
        <v/>
      </c>
    </row>
    <row r="9010">
      <c r="A9010">
        <f>IFERROR(INDEX('Email Cleaner'!$B$2:$B$10001,MATCH(9009,'Email Cleaner'!$I$2:$I$10001,0)),"")</f>
        <v/>
      </c>
    </row>
    <row r="9011">
      <c r="A9011">
        <f>IFERROR(INDEX('Email Cleaner'!$B$2:$B$10001,MATCH(9010,'Email Cleaner'!$I$2:$I$10001,0)),"")</f>
        <v/>
      </c>
    </row>
    <row r="9012">
      <c r="A9012">
        <f>IFERROR(INDEX('Email Cleaner'!$B$2:$B$10001,MATCH(9011,'Email Cleaner'!$I$2:$I$10001,0)),"")</f>
        <v/>
      </c>
    </row>
    <row r="9013">
      <c r="A9013">
        <f>IFERROR(INDEX('Email Cleaner'!$B$2:$B$10001,MATCH(9012,'Email Cleaner'!$I$2:$I$10001,0)),"")</f>
        <v/>
      </c>
    </row>
    <row r="9014">
      <c r="A9014">
        <f>IFERROR(INDEX('Email Cleaner'!$B$2:$B$10001,MATCH(9013,'Email Cleaner'!$I$2:$I$10001,0)),"")</f>
        <v/>
      </c>
    </row>
    <row r="9015">
      <c r="A9015">
        <f>IFERROR(INDEX('Email Cleaner'!$B$2:$B$10001,MATCH(9014,'Email Cleaner'!$I$2:$I$10001,0)),"")</f>
        <v/>
      </c>
    </row>
    <row r="9016">
      <c r="A9016">
        <f>IFERROR(INDEX('Email Cleaner'!$B$2:$B$10001,MATCH(9015,'Email Cleaner'!$I$2:$I$10001,0)),"")</f>
        <v/>
      </c>
    </row>
    <row r="9017">
      <c r="A9017">
        <f>IFERROR(INDEX('Email Cleaner'!$B$2:$B$10001,MATCH(9016,'Email Cleaner'!$I$2:$I$10001,0)),"")</f>
        <v/>
      </c>
    </row>
    <row r="9018">
      <c r="A9018">
        <f>IFERROR(INDEX('Email Cleaner'!$B$2:$B$10001,MATCH(9017,'Email Cleaner'!$I$2:$I$10001,0)),"")</f>
        <v/>
      </c>
    </row>
    <row r="9019">
      <c r="A9019">
        <f>IFERROR(INDEX('Email Cleaner'!$B$2:$B$10001,MATCH(9018,'Email Cleaner'!$I$2:$I$10001,0)),"")</f>
        <v/>
      </c>
    </row>
    <row r="9020">
      <c r="A9020">
        <f>IFERROR(INDEX('Email Cleaner'!$B$2:$B$10001,MATCH(9019,'Email Cleaner'!$I$2:$I$10001,0)),"")</f>
        <v/>
      </c>
    </row>
    <row r="9021">
      <c r="A9021">
        <f>IFERROR(INDEX('Email Cleaner'!$B$2:$B$10001,MATCH(9020,'Email Cleaner'!$I$2:$I$10001,0)),"")</f>
        <v/>
      </c>
    </row>
    <row r="9022">
      <c r="A9022">
        <f>IFERROR(INDEX('Email Cleaner'!$B$2:$B$10001,MATCH(9021,'Email Cleaner'!$I$2:$I$10001,0)),"")</f>
        <v/>
      </c>
    </row>
    <row r="9023">
      <c r="A9023">
        <f>IFERROR(INDEX('Email Cleaner'!$B$2:$B$10001,MATCH(9022,'Email Cleaner'!$I$2:$I$10001,0)),"")</f>
        <v/>
      </c>
    </row>
    <row r="9024">
      <c r="A9024">
        <f>IFERROR(INDEX('Email Cleaner'!$B$2:$B$10001,MATCH(9023,'Email Cleaner'!$I$2:$I$10001,0)),"")</f>
        <v/>
      </c>
    </row>
    <row r="9025">
      <c r="A9025">
        <f>IFERROR(INDEX('Email Cleaner'!$B$2:$B$10001,MATCH(9024,'Email Cleaner'!$I$2:$I$10001,0)),"")</f>
        <v/>
      </c>
    </row>
    <row r="9026">
      <c r="A9026">
        <f>IFERROR(INDEX('Email Cleaner'!$B$2:$B$10001,MATCH(9025,'Email Cleaner'!$I$2:$I$10001,0)),"")</f>
        <v/>
      </c>
    </row>
    <row r="9027">
      <c r="A9027">
        <f>IFERROR(INDEX('Email Cleaner'!$B$2:$B$10001,MATCH(9026,'Email Cleaner'!$I$2:$I$10001,0)),"")</f>
        <v/>
      </c>
    </row>
    <row r="9028">
      <c r="A9028">
        <f>IFERROR(INDEX('Email Cleaner'!$B$2:$B$10001,MATCH(9027,'Email Cleaner'!$I$2:$I$10001,0)),"")</f>
        <v/>
      </c>
    </row>
    <row r="9029">
      <c r="A9029">
        <f>IFERROR(INDEX('Email Cleaner'!$B$2:$B$10001,MATCH(9028,'Email Cleaner'!$I$2:$I$10001,0)),"")</f>
        <v/>
      </c>
    </row>
    <row r="9030">
      <c r="A9030">
        <f>IFERROR(INDEX('Email Cleaner'!$B$2:$B$10001,MATCH(9029,'Email Cleaner'!$I$2:$I$10001,0)),"")</f>
        <v/>
      </c>
    </row>
    <row r="9031">
      <c r="A9031">
        <f>IFERROR(INDEX('Email Cleaner'!$B$2:$B$10001,MATCH(9030,'Email Cleaner'!$I$2:$I$10001,0)),"")</f>
        <v/>
      </c>
    </row>
    <row r="9032">
      <c r="A9032">
        <f>IFERROR(INDEX('Email Cleaner'!$B$2:$B$10001,MATCH(9031,'Email Cleaner'!$I$2:$I$10001,0)),"")</f>
        <v/>
      </c>
    </row>
    <row r="9033">
      <c r="A9033">
        <f>IFERROR(INDEX('Email Cleaner'!$B$2:$B$10001,MATCH(9032,'Email Cleaner'!$I$2:$I$10001,0)),"")</f>
        <v/>
      </c>
    </row>
    <row r="9034">
      <c r="A9034">
        <f>IFERROR(INDEX('Email Cleaner'!$B$2:$B$10001,MATCH(9033,'Email Cleaner'!$I$2:$I$10001,0)),"")</f>
        <v/>
      </c>
    </row>
    <row r="9035">
      <c r="A9035">
        <f>IFERROR(INDEX('Email Cleaner'!$B$2:$B$10001,MATCH(9034,'Email Cleaner'!$I$2:$I$10001,0)),"")</f>
        <v/>
      </c>
    </row>
    <row r="9036">
      <c r="A9036">
        <f>IFERROR(INDEX('Email Cleaner'!$B$2:$B$10001,MATCH(9035,'Email Cleaner'!$I$2:$I$10001,0)),"")</f>
        <v/>
      </c>
    </row>
    <row r="9037">
      <c r="A9037">
        <f>IFERROR(INDEX('Email Cleaner'!$B$2:$B$10001,MATCH(9036,'Email Cleaner'!$I$2:$I$10001,0)),"")</f>
        <v/>
      </c>
    </row>
    <row r="9038">
      <c r="A9038">
        <f>IFERROR(INDEX('Email Cleaner'!$B$2:$B$10001,MATCH(9037,'Email Cleaner'!$I$2:$I$10001,0)),"")</f>
        <v/>
      </c>
    </row>
    <row r="9039">
      <c r="A9039">
        <f>IFERROR(INDEX('Email Cleaner'!$B$2:$B$10001,MATCH(9038,'Email Cleaner'!$I$2:$I$10001,0)),"")</f>
        <v/>
      </c>
    </row>
    <row r="9040">
      <c r="A9040">
        <f>IFERROR(INDEX('Email Cleaner'!$B$2:$B$10001,MATCH(9039,'Email Cleaner'!$I$2:$I$10001,0)),"")</f>
        <v/>
      </c>
    </row>
    <row r="9041">
      <c r="A9041">
        <f>IFERROR(INDEX('Email Cleaner'!$B$2:$B$10001,MATCH(9040,'Email Cleaner'!$I$2:$I$10001,0)),"")</f>
        <v/>
      </c>
    </row>
    <row r="9042">
      <c r="A9042">
        <f>IFERROR(INDEX('Email Cleaner'!$B$2:$B$10001,MATCH(9041,'Email Cleaner'!$I$2:$I$10001,0)),"")</f>
        <v/>
      </c>
    </row>
    <row r="9043">
      <c r="A9043">
        <f>IFERROR(INDEX('Email Cleaner'!$B$2:$B$10001,MATCH(9042,'Email Cleaner'!$I$2:$I$10001,0)),"")</f>
        <v/>
      </c>
    </row>
    <row r="9044">
      <c r="A9044">
        <f>IFERROR(INDEX('Email Cleaner'!$B$2:$B$10001,MATCH(9043,'Email Cleaner'!$I$2:$I$10001,0)),"")</f>
        <v/>
      </c>
    </row>
    <row r="9045">
      <c r="A9045">
        <f>IFERROR(INDEX('Email Cleaner'!$B$2:$B$10001,MATCH(9044,'Email Cleaner'!$I$2:$I$10001,0)),"")</f>
        <v/>
      </c>
    </row>
    <row r="9046">
      <c r="A9046">
        <f>IFERROR(INDEX('Email Cleaner'!$B$2:$B$10001,MATCH(9045,'Email Cleaner'!$I$2:$I$10001,0)),"")</f>
        <v/>
      </c>
    </row>
    <row r="9047">
      <c r="A9047">
        <f>IFERROR(INDEX('Email Cleaner'!$B$2:$B$10001,MATCH(9046,'Email Cleaner'!$I$2:$I$10001,0)),"")</f>
        <v/>
      </c>
    </row>
    <row r="9048">
      <c r="A9048">
        <f>IFERROR(INDEX('Email Cleaner'!$B$2:$B$10001,MATCH(9047,'Email Cleaner'!$I$2:$I$10001,0)),"")</f>
        <v/>
      </c>
    </row>
    <row r="9049">
      <c r="A9049">
        <f>IFERROR(INDEX('Email Cleaner'!$B$2:$B$10001,MATCH(9048,'Email Cleaner'!$I$2:$I$10001,0)),"")</f>
        <v/>
      </c>
    </row>
    <row r="9050">
      <c r="A9050">
        <f>IFERROR(INDEX('Email Cleaner'!$B$2:$B$10001,MATCH(9049,'Email Cleaner'!$I$2:$I$10001,0)),"")</f>
        <v/>
      </c>
    </row>
    <row r="9051">
      <c r="A9051">
        <f>IFERROR(INDEX('Email Cleaner'!$B$2:$B$10001,MATCH(9050,'Email Cleaner'!$I$2:$I$10001,0)),"")</f>
        <v/>
      </c>
    </row>
    <row r="9052">
      <c r="A9052">
        <f>IFERROR(INDEX('Email Cleaner'!$B$2:$B$10001,MATCH(9051,'Email Cleaner'!$I$2:$I$10001,0)),"")</f>
        <v/>
      </c>
    </row>
    <row r="9053">
      <c r="A9053">
        <f>IFERROR(INDEX('Email Cleaner'!$B$2:$B$10001,MATCH(9052,'Email Cleaner'!$I$2:$I$10001,0)),"")</f>
        <v/>
      </c>
    </row>
    <row r="9054">
      <c r="A9054">
        <f>IFERROR(INDEX('Email Cleaner'!$B$2:$B$10001,MATCH(9053,'Email Cleaner'!$I$2:$I$10001,0)),"")</f>
        <v/>
      </c>
    </row>
    <row r="9055">
      <c r="A9055">
        <f>IFERROR(INDEX('Email Cleaner'!$B$2:$B$10001,MATCH(9054,'Email Cleaner'!$I$2:$I$10001,0)),"")</f>
        <v/>
      </c>
    </row>
    <row r="9056">
      <c r="A9056">
        <f>IFERROR(INDEX('Email Cleaner'!$B$2:$B$10001,MATCH(9055,'Email Cleaner'!$I$2:$I$10001,0)),"")</f>
        <v/>
      </c>
    </row>
    <row r="9057">
      <c r="A9057">
        <f>IFERROR(INDEX('Email Cleaner'!$B$2:$B$10001,MATCH(9056,'Email Cleaner'!$I$2:$I$10001,0)),"")</f>
        <v/>
      </c>
    </row>
    <row r="9058">
      <c r="A9058">
        <f>IFERROR(INDEX('Email Cleaner'!$B$2:$B$10001,MATCH(9057,'Email Cleaner'!$I$2:$I$10001,0)),"")</f>
        <v/>
      </c>
    </row>
    <row r="9059">
      <c r="A9059">
        <f>IFERROR(INDEX('Email Cleaner'!$B$2:$B$10001,MATCH(9058,'Email Cleaner'!$I$2:$I$10001,0)),"")</f>
        <v/>
      </c>
    </row>
    <row r="9060">
      <c r="A9060">
        <f>IFERROR(INDEX('Email Cleaner'!$B$2:$B$10001,MATCH(9059,'Email Cleaner'!$I$2:$I$10001,0)),"")</f>
        <v/>
      </c>
    </row>
    <row r="9061">
      <c r="A9061">
        <f>IFERROR(INDEX('Email Cleaner'!$B$2:$B$10001,MATCH(9060,'Email Cleaner'!$I$2:$I$10001,0)),"")</f>
        <v/>
      </c>
    </row>
    <row r="9062">
      <c r="A9062">
        <f>IFERROR(INDEX('Email Cleaner'!$B$2:$B$10001,MATCH(9061,'Email Cleaner'!$I$2:$I$10001,0)),"")</f>
        <v/>
      </c>
    </row>
    <row r="9063">
      <c r="A9063">
        <f>IFERROR(INDEX('Email Cleaner'!$B$2:$B$10001,MATCH(9062,'Email Cleaner'!$I$2:$I$10001,0)),"")</f>
        <v/>
      </c>
    </row>
    <row r="9064">
      <c r="A9064">
        <f>IFERROR(INDEX('Email Cleaner'!$B$2:$B$10001,MATCH(9063,'Email Cleaner'!$I$2:$I$10001,0)),"")</f>
        <v/>
      </c>
    </row>
    <row r="9065">
      <c r="A9065">
        <f>IFERROR(INDEX('Email Cleaner'!$B$2:$B$10001,MATCH(9064,'Email Cleaner'!$I$2:$I$10001,0)),"")</f>
        <v/>
      </c>
    </row>
    <row r="9066">
      <c r="A9066">
        <f>IFERROR(INDEX('Email Cleaner'!$B$2:$B$10001,MATCH(9065,'Email Cleaner'!$I$2:$I$10001,0)),"")</f>
        <v/>
      </c>
    </row>
    <row r="9067">
      <c r="A9067">
        <f>IFERROR(INDEX('Email Cleaner'!$B$2:$B$10001,MATCH(9066,'Email Cleaner'!$I$2:$I$10001,0)),"")</f>
        <v/>
      </c>
    </row>
    <row r="9068">
      <c r="A9068">
        <f>IFERROR(INDEX('Email Cleaner'!$B$2:$B$10001,MATCH(9067,'Email Cleaner'!$I$2:$I$10001,0)),"")</f>
        <v/>
      </c>
    </row>
    <row r="9069">
      <c r="A9069">
        <f>IFERROR(INDEX('Email Cleaner'!$B$2:$B$10001,MATCH(9068,'Email Cleaner'!$I$2:$I$10001,0)),"")</f>
        <v/>
      </c>
    </row>
    <row r="9070">
      <c r="A9070">
        <f>IFERROR(INDEX('Email Cleaner'!$B$2:$B$10001,MATCH(9069,'Email Cleaner'!$I$2:$I$10001,0)),"")</f>
        <v/>
      </c>
    </row>
    <row r="9071">
      <c r="A9071">
        <f>IFERROR(INDEX('Email Cleaner'!$B$2:$B$10001,MATCH(9070,'Email Cleaner'!$I$2:$I$10001,0)),"")</f>
        <v/>
      </c>
    </row>
    <row r="9072">
      <c r="A9072">
        <f>IFERROR(INDEX('Email Cleaner'!$B$2:$B$10001,MATCH(9071,'Email Cleaner'!$I$2:$I$10001,0)),"")</f>
        <v/>
      </c>
    </row>
    <row r="9073">
      <c r="A9073">
        <f>IFERROR(INDEX('Email Cleaner'!$B$2:$B$10001,MATCH(9072,'Email Cleaner'!$I$2:$I$10001,0)),"")</f>
        <v/>
      </c>
    </row>
    <row r="9074">
      <c r="A9074">
        <f>IFERROR(INDEX('Email Cleaner'!$B$2:$B$10001,MATCH(9073,'Email Cleaner'!$I$2:$I$10001,0)),"")</f>
        <v/>
      </c>
    </row>
    <row r="9075">
      <c r="A9075">
        <f>IFERROR(INDEX('Email Cleaner'!$B$2:$B$10001,MATCH(9074,'Email Cleaner'!$I$2:$I$10001,0)),"")</f>
        <v/>
      </c>
    </row>
    <row r="9076">
      <c r="A9076">
        <f>IFERROR(INDEX('Email Cleaner'!$B$2:$B$10001,MATCH(9075,'Email Cleaner'!$I$2:$I$10001,0)),"")</f>
        <v/>
      </c>
    </row>
    <row r="9077">
      <c r="A9077">
        <f>IFERROR(INDEX('Email Cleaner'!$B$2:$B$10001,MATCH(9076,'Email Cleaner'!$I$2:$I$10001,0)),"")</f>
        <v/>
      </c>
    </row>
    <row r="9078">
      <c r="A9078">
        <f>IFERROR(INDEX('Email Cleaner'!$B$2:$B$10001,MATCH(9077,'Email Cleaner'!$I$2:$I$10001,0)),"")</f>
        <v/>
      </c>
    </row>
    <row r="9079">
      <c r="A9079">
        <f>IFERROR(INDEX('Email Cleaner'!$B$2:$B$10001,MATCH(9078,'Email Cleaner'!$I$2:$I$10001,0)),"")</f>
        <v/>
      </c>
    </row>
    <row r="9080">
      <c r="A9080">
        <f>IFERROR(INDEX('Email Cleaner'!$B$2:$B$10001,MATCH(9079,'Email Cleaner'!$I$2:$I$10001,0)),"")</f>
        <v/>
      </c>
    </row>
    <row r="9081">
      <c r="A9081">
        <f>IFERROR(INDEX('Email Cleaner'!$B$2:$B$10001,MATCH(9080,'Email Cleaner'!$I$2:$I$10001,0)),"")</f>
        <v/>
      </c>
    </row>
    <row r="9082">
      <c r="A9082">
        <f>IFERROR(INDEX('Email Cleaner'!$B$2:$B$10001,MATCH(9081,'Email Cleaner'!$I$2:$I$10001,0)),"")</f>
        <v/>
      </c>
    </row>
    <row r="9083">
      <c r="A9083">
        <f>IFERROR(INDEX('Email Cleaner'!$B$2:$B$10001,MATCH(9082,'Email Cleaner'!$I$2:$I$10001,0)),"")</f>
        <v/>
      </c>
    </row>
    <row r="9084">
      <c r="A9084">
        <f>IFERROR(INDEX('Email Cleaner'!$B$2:$B$10001,MATCH(9083,'Email Cleaner'!$I$2:$I$10001,0)),"")</f>
        <v/>
      </c>
    </row>
    <row r="9085">
      <c r="A9085">
        <f>IFERROR(INDEX('Email Cleaner'!$B$2:$B$10001,MATCH(9084,'Email Cleaner'!$I$2:$I$10001,0)),"")</f>
        <v/>
      </c>
    </row>
    <row r="9086">
      <c r="A9086">
        <f>IFERROR(INDEX('Email Cleaner'!$B$2:$B$10001,MATCH(9085,'Email Cleaner'!$I$2:$I$10001,0)),"")</f>
        <v/>
      </c>
    </row>
    <row r="9087">
      <c r="A9087">
        <f>IFERROR(INDEX('Email Cleaner'!$B$2:$B$10001,MATCH(9086,'Email Cleaner'!$I$2:$I$10001,0)),"")</f>
        <v/>
      </c>
    </row>
    <row r="9088">
      <c r="A9088">
        <f>IFERROR(INDEX('Email Cleaner'!$B$2:$B$10001,MATCH(9087,'Email Cleaner'!$I$2:$I$10001,0)),"")</f>
        <v/>
      </c>
    </row>
    <row r="9089">
      <c r="A9089">
        <f>IFERROR(INDEX('Email Cleaner'!$B$2:$B$10001,MATCH(9088,'Email Cleaner'!$I$2:$I$10001,0)),"")</f>
        <v/>
      </c>
    </row>
    <row r="9090">
      <c r="A9090">
        <f>IFERROR(INDEX('Email Cleaner'!$B$2:$B$10001,MATCH(9089,'Email Cleaner'!$I$2:$I$10001,0)),"")</f>
        <v/>
      </c>
    </row>
    <row r="9091">
      <c r="A9091">
        <f>IFERROR(INDEX('Email Cleaner'!$B$2:$B$10001,MATCH(9090,'Email Cleaner'!$I$2:$I$10001,0)),"")</f>
        <v/>
      </c>
    </row>
    <row r="9092">
      <c r="A9092">
        <f>IFERROR(INDEX('Email Cleaner'!$B$2:$B$10001,MATCH(9091,'Email Cleaner'!$I$2:$I$10001,0)),"")</f>
        <v/>
      </c>
    </row>
    <row r="9093">
      <c r="A9093">
        <f>IFERROR(INDEX('Email Cleaner'!$B$2:$B$10001,MATCH(9092,'Email Cleaner'!$I$2:$I$10001,0)),"")</f>
        <v/>
      </c>
    </row>
    <row r="9094">
      <c r="A9094">
        <f>IFERROR(INDEX('Email Cleaner'!$B$2:$B$10001,MATCH(9093,'Email Cleaner'!$I$2:$I$10001,0)),"")</f>
        <v/>
      </c>
    </row>
    <row r="9095">
      <c r="A9095">
        <f>IFERROR(INDEX('Email Cleaner'!$B$2:$B$10001,MATCH(9094,'Email Cleaner'!$I$2:$I$10001,0)),"")</f>
        <v/>
      </c>
    </row>
    <row r="9096">
      <c r="A9096">
        <f>IFERROR(INDEX('Email Cleaner'!$B$2:$B$10001,MATCH(9095,'Email Cleaner'!$I$2:$I$10001,0)),"")</f>
        <v/>
      </c>
    </row>
    <row r="9097">
      <c r="A9097">
        <f>IFERROR(INDEX('Email Cleaner'!$B$2:$B$10001,MATCH(9096,'Email Cleaner'!$I$2:$I$10001,0)),"")</f>
        <v/>
      </c>
    </row>
    <row r="9098">
      <c r="A9098">
        <f>IFERROR(INDEX('Email Cleaner'!$B$2:$B$10001,MATCH(9097,'Email Cleaner'!$I$2:$I$10001,0)),"")</f>
        <v/>
      </c>
    </row>
    <row r="9099">
      <c r="A9099">
        <f>IFERROR(INDEX('Email Cleaner'!$B$2:$B$10001,MATCH(9098,'Email Cleaner'!$I$2:$I$10001,0)),"")</f>
        <v/>
      </c>
    </row>
    <row r="9100">
      <c r="A9100">
        <f>IFERROR(INDEX('Email Cleaner'!$B$2:$B$10001,MATCH(9099,'Email Cleaner'!$I$2:$I$10001,0)),"")</f>
        <v/>
      </c>
    </row>
    <row r="9101">
      <c r="A9101">
        <f>IFERROR(INDEX('Email Cleaner'!$B$2:$B$10001,MATCH(9100,'Email Cleaner'!$I$2:$I$10001,0)),"")</f>
        <v/>
      </c>
    </row>
    <row r="9102">
      <c r="A9102">
        <f>IFERROR(INDEX('Email Cleaner'!$B$2:$B$10001,MATCH(9101,'Email Cleaner'!$I$2:$I$10001,0)),"")</f>
        <v/>
      </c>
    </row>
    <row r="9103">
      <c r="A9103">
        <f>IFERROR(INDEX('Email Cleaner'!$B$2:$B$10001,MATCH(9102,'Email Cleaner'!$I$2:$I$10001,0)),"")</f>
        <v/>
      </c>
    </row>
    <row r="9104">
      <c r="A9104">
        <f>IFERROR(INDEX('Email Cleaner'!$B$2:$B$10001,MATCH(9103,'Email Cleaner'!$I$2:$I$10001,0)),"")</f>
        <v/>
      </c>
    </row>
    <row r="9105">
      <c r="A9105">
        <f>IFERROR(INDEX('Email Cleaner'!$B$2:$B$10001,MATCH(9104,'Email Cleaner'!$I$2:$I$10001,0)),"")</f>
        <v/>
      </c>
    </row>
    <row r="9106">
      <c r="A9106">
        <f>IFERROR(INDEX('Email Cleaner'!$B$2:$B$10001,MATCH(9105,'Email Cleaner'!$I$2:$I$10001,0)),"")</f>
        <v/>
      </c>
    </row>
    <row r="9107">
      <c r="A9107">
        <f>IFERROR(INDEX('Email Cleaner'!$B$2:$B$10001,MATCH(9106,'Email Cleaner'!$I$2:$I$10001,0)),"")</f>
        <v/>
      </c>
    </row>
    <row r="9108">
      <c r="A9108">
        <f>IFERROR(INDEX('Email Cleaner'!$B$2:$B$10001,MATCH(9107,'Email Cleaner'!$I$2:$I$10001,0)),"")</f>
        <v/>
      </c>
    </row>
    <row r="9109">
      <c r="A9109">
        <f>IFERROR(INDEX('Email Cleaner'!$B$2:$B$10001,MATCH(9108,'Email Cleaner'!$I$2:$I$10001,0)),"")</f>
        <v/>
      </c>
    </row>
    <row r="9110">
      <c r="A9110">
        <f>IFERROR(INDEX('Email Cleaner'!$B$2:$B$10001,MATCH(9109,'Email Cleaner'!$I$2:$I$10001,0)),"")</f>
        <v/>
      </c>
    </row>
    <row r="9111">
      <c r="A9111">
        <f>IFERROR(INDEX('Email Cleaner'!$B$2:$B$10001,MATCH(9110,'Email Cleaner'!$I$2:$I$10001,0)),"")</f>
        <v/>
      </c>
    </row>
    <row r="9112">
      <c r="A9112">
        <f>IFERROR(INDEX('Email Cleaner'!$B$2:$B$10001,MATCH(9111,'Email Cleaner'!$I$2:$I$10001,0)),"")</f>
        <v/>
      </c>
    </row>
    <row r="9113">
      <c r="A9113">
        <f>IFERROR(INDEX('Email Cleaner'!$B$2:$B$10001,MATCH(9112,'Email Cleaner'!$I$2:$I$10001,0)),"")</f>
        <v/>
      </c>
    </row>
    <row r="9114">
      <c r="A9114">
        <f>IFERROR(INDEX('Email Cleaner'!$B$2:$B$10001,MATCH(9113,'Email Cleaner'!$I$2:$I$10001,0)),"")</f>
        <v/>
      </c>
    </row>
    <row r="9115">
      <c r="A9115">
        <f>IFERROR(INDEX('Email Cleaner'!$B$2:$B$10001,MATCH(9114,'Email Cleaner'!$I$2:$I$10001,0)),"")</f>
        <v/>
      </c>
    </row>
    <row r="9116">
      <c r="A9116">
        <f>IFERROR(INDEX('Email Cleaner'!$B$2:$B$10001,MATCH(9115,'Email Cleaner'!$I$2:$I$10001,0)),"")</f>
        <v/>
      </c>
    </row>
    <row r="9117">
      <c r="A9117">
        <f>IFERROR(INDEX('Email Cleaner'!$B$2:$B$10001,MATCH(9116,'Email Cleaner'!$I$2:$I$10001,0)),"")</f>
        <v/>
      </c>
    </row>
    <row r="9118">
      <c r="A9118">
        <f>IFERROR(INDEX('Email Cleaner'!$B$2:$B$10001,MATCH(9117,'Email Cleaner'!$I$2:$I$10001,0)),"")</f>
        <v/>
      </c>
    </row>
    <row r="9119">
      <c r="A9119">
        <f>IFERROR(INDEX('Email Cleaner'!$B$2:$B$10001,MATCH(9118,'Email Cleaner'!$I$2:$I$10001,0)),"")</f>
        <v/>
      </c>
    </row>
    <row r="9120">
      <c r="A9120">
        <f>IFERROR(INDEX('Email Cleaner'!$B$2:$B$10001,MATCH(9119,'Email Cleaner'!$I$2:$I$10001,0)),"")</f>
        <v/>
      </c>
    </row>
    <row r="9121">
      <c r="A9121">
        <f>IFERROR(INDEX('Email Cleaner'!$B$2:$B$10001,MATCH(9120,'Email Cleaner'!$I$2:$I$10001,0)),"")</f>
        <v/>
      </c>
    </row>
    <row r="9122">
      <c r="A9122">
        <f>IFERROR(INDEX('Email Cleaner'!$B$2:$B$10001,MATCH(9121,'Email Cleaner'!$I$2:$I$10001,0)),"")</f>
        <v/>
      </c>
    </row>
    <row r="9123">
      <c r="A9123">
        <f>IFERROR(INDEX('Email Cleaner'!$B$2:$B$10001,MATCH(9122,'Email Cleaner'!$I$2:$I$10001,0)),"")</f>
        <v/>
      </c>
    </row>
    <row r="9124">
      <c r="A9124">
        <f>IFERROR(INDEX('Email Cleaner'!$B$2:$B$10001,MATCH(9123,'Email Cleaner'!$I$2:$I$10001,0)),"")</f>
        <v/>
      </c>
    </row>
    <row r="9125">
      <c r="A9125">
        <f>IFERROR(INDEX('Email Cleaner'!$B$2:$B$10001,MATCH(9124,'Email Cleaner'!$I$2:$I$10001,0)),"")</f>
        <v/>
      </c>
    </row>
    <row r="9126">
      <c r="A9126">
        <f>IFERROR(INDEX('Email Cleaner'!$B$2:$B$10001,MATCH(9125,'Email Cleaner'!$I$2:$I$10001,0)),"")</f>
        <v/>
      </c>
    </row>
    <row r="9127">
      <c r="A9127">
        <f>IFERROR(INDEX('Email Cleaner'!$B$2:$B$10001,MATCH(9126,'Email Cleaner'!$I$2:$I$10001,0)),"")</f>
        <v/>
      </c>
    </row>
    <row r="9128">
      <c r="A9128">
        <f>IFERROR(INDEX('Email Cleaner'!$B$2:$B$10001,MATCH(9127,'Email Cleaner'!$I$2:$I$10001,0)),"")</f>
        <v/>
      </c>
    </row>
    <row r="9129">
      <c r="A9129">
        <f>IFERROR(INDEX('Email Cleaner'!$B$2:$B$10001,MATCH(9128,'Email Cleaner'!$I$2:$I$10001,0)),"")</f>
        <v/>
      </c>
    </row>
    <row r="9130">
      <c r="A9130">
        <f>IFERROR(INDEX('Email Cleaner'!$B$2:$B$10001,MATCH(9129,'Email Cleaner'!$I$2:$I$10001,0)),"")</f>
        <v/>
      </c>
    </row>
    <row r="9131">
      <c r="A9131">
        <f>IFERROR(INDEX('Email Cleaner'!$B$2:$B$10001,MATCH(9130,'Email Cleaner'!$I$2:$I$10001,0)),"")</f>
        <v/>
      </c>
    </row>
    <row r="9132">
      <c r="A9132">
        <f>IFERROR(INDEX('Email Cleaner'!$B$2:$B$10001,MATCH(9131,'Email Cleaner'!$I$2:$I$10001,0)),"")</f>
        <v/>
      </c>
    </row>
    <row r="9133">
      <c r="A9133">
        <f>IFERROR(INDEX('Email Cleaner'!$B$2:$B$10001,MATCH(9132,'Email Cleaner'!$I$2:$I$10001,0)),"")</f>
        <v/>
      </c>
    </row>
    <row r="9134">
      <c r="A9134">
        <f>IFERROR(INDEX('Email Cleaner'!$B$2:$B$10001,MATCH(9133,'Email Cleaner'!$I$2:$I$10001,0)),"")</f>
        <v/>
      </c>
    </row>
    <row r="9135">
      <c r="A9135">
        <f>IFERROR(INDEX('Email Cleaner'!$B$2:$B$10001,MATCH(9134,'Email Cleaner'!$I$2:$I$10001,0)),"")</f>
        <v/>
      </c>
    </row>
    <row r="9136">
      <c r="A9136">
        <f>IFERROR(INDEX('Email Cleaner'!$B$2:$B$10001,MATCH(9135,'Email Cleaner'!$I$2:$I$10001,0)),"")</f>
        <v/>
      </c>
    </row>
    <row r="9137">
      <c r="A9137">
        <f>IFERROR(INDEX('Email Cleaner'!$B$2:$B$10001,MATCH(9136,'Email Cleaner'!$I$2:$I$10001,0)),"")</f>
        <v/>
      </c>
    </row>
    <row r="9138">
      <c r="A9138">
        <f>IFERROR(INDEX('Email Cleaner'!$B$2:$B$10001,MATCH(9137,'Email Cleaner'!$I$2:$I$10001,0)),"")</f>
        <v/>
      </c>
    </row>
    <row r="9139">
      <c r="A9139">
        <f>IFERROR(INDEX('Email Cleaner'!$B$2:$B$10001,MATCH(9138,'Email Cleaner'!$I$2:$I$10001,0)),"")</f>
        <v/>
      </c>
    </row>
    <row r="9140">
      <c r="A9140">
        <f>IFERROR(INDEX('Email Cleaner'!$B$2:$B$10001,MATCH(9139,'Email Cleaner'!$I$2:$I$10001,0)),"")</f>
        <v/>
      </c>
    </row>
    <row r="9141">
      <c r="A9141">
        <f>IFERROR(INDEX('Email Cleaner'!$B$2:$B$10001,MATCH(9140,'Email Cleaner'!$I$2:$I$10001,0)),"")</f>
        <v/>
      </c>
    </row>
    <row r="9142">
      <c r="A9142">
        <f>IFERROR(INDEX('Email Cleaner'!$B$2:$B$10001,MATCH(9141,'Email Cleaner'!$I$2:$I$10001,0)),"")</f>
        <v/>
      </c>
    </row>
    <row r="9143">
      <c r="A9143">
        <f>IFERROR(INDEX('Email Cleaner'!$B$2:$B$10001,MATCH(9142,'Email Cleaner'!$I$2:$I$10001,0)),"")</f>
        <v/>
      </c>
    </row>
    <row r="9144">
      <c r="A9144">
        <f>IFERROR(INDEX('Email Cleaner'!$B$2:$B$10001,MATCH(9143,'Email Cleaner'!$I$2:$I$10001,0)),"")</f>
        <v/>
      </c>
    </row>
    <row r="9145">
      <c r="A9145">
        <f>IFERROR(INDEX('Email Cleaner'!$B$2:$B$10001,MATCH(9144,'Email Cleaner'!$I$2:$I$10001,0)),"")</f>
        <v/>
      </c>
    </row>
    <row r="9146">
      <c r="A9146">
        <f>IFERROR(INDEX('Email Cleaner'!$B$2:$B$10001,MATCH(9145,'Email Cleaner'!$I$2:$I$10001,0)),"")</f>
        <v/>
      </c>
    </row>
    <row r="9147">
      <c r="A9147">
        <f>IFERROR(INDEX('Email Cleaner'!$B$2:$B$10001,MATCH(9146,'Email Cleaner'!$I$2:$I$10001,0)),"")</f>
        <v/>
      </c>
    </row>
    <row r="9148">
      <c r="A9148">
        <f>IFERROR(INDEX('Email Cleaner'!$B$2:$B$10001,MATCH(9147,'Email Cleaner'!$I$2:$I$10001,0)),"")</f>
        <v/>
      </c>
    </row>
    <row r="9149">
      <c r="A9149">
        <f>IFERROR(INDEX('Email Cleaner'!$B$2:$B$10001,MATCH(9148,'Email Cleaner'!$I$2:$I$10001,0)),"")</f>
        <v/>
      </c>
    </row>
    <row r="9150">
      <c r="A9150">
        <f>IFERROR(INDEX('Email Cleaner'!$B$2:$B$10001,MATCH(9149,'Email Cleaner'!$I$2:$I$10001,0)),"")</f>
        <v/>
      </c>
    </row>
    <row r="9151">
      <c r="A9151">
        <f>IFERROR(INDEX('Email Cleaner'!$B$2:$B$10001,MATCH(9150,'Email Cleaner'!$I$2:$I$10001,0)),"")</f>
        <v/>
      </c>
    </row>
    <row r="9152">
      <c r="A9152">
        <f>IFERROR(INDEX('Email Cleaner'!$B$2:$B$10001,MATCH(9151,'Email Cleaner'!$I$2:$I$10001,0)),"")</f>
        <v/>
      </c>
    </row>
    <row r="9153">
      <c r="A9153">
        <f>IFERROR(INDEX('Email Cleaner'!$B$2:$B$10001,MATCH(9152,'Email Cleaner'!$I$2:$I$10001,0)),"")</f>
        <v/>
      </c>
    </row>
    <row r="9154">
      <c r="A9154">
        <f>IFERROR(INDEX('Email Cleaner'!$B$2:$B$10001,MATCH(9153,'Email Cleaner'!$I$2:$I$10001,0)),"")</f>
        <v/>
      </c>
    </row>
    <row r="9155">
      <c r="A9155">
        <f>IFERROR(INDEX('Email Cleaner'!$B$2:$B$10001,MATCH(9154,'Email Cleaner'!$I$2:$I$10001,0)),"")</f>
        <v/>
      </c>
    </row>
    <row r="9156">
      <c r="A9156">
        <f>IFERROR(INDEX('Email Cleaner'!$B$2:$B$10001,MATCH(9155,'Email Cleaner'!$I$2:$I$10001,0)),"")</f>
        <v/>
      </c>
    </row>
    <row r="9157">
      <c r="A9157">
        <f>IFERROR(INDEX('Email Cleaner'!$B$2:$B$10001,MATCH(9156,'Email Cleaner'!$I$2:$I$10001,0)),"")</f>
        <v/>
      </c>
    </row>
    <row r="9158">
      <c r="A9158">
        <f>IFERROR(INDEX('Email Cleaner'!$B$2:$B$10001,MATCH(9157,'Email Cleaner'!$I$2:$I$10001,0)),"")</f>
        <v/>
      </c>
    </row>
    <row r="9159">
      <c r="A9159">
        <f>IFERROR(INDEX('Email Cleaner'!$B$2:$B$10001,MATCH(9158,'Email Cleaner'!$I$2:$I$10001,0)),"")</f>
        <v/>
      </c>
    </row>
    <row r="9160">
      <c r="A9160">
        <f>IFERROR(INDEX('Email Cleaner'!$B$2:$B$10001,MATCH(9159,'Email Cleaner'!$I$2:$I$10001,0)),"")</f>
        <v/>
      </c>
    </row>
    <row r="9161">
      <c r="A9161">
        <f>IFERROR(INDEX('Email Cleaner'!$B$2:$B$10001,MATCH(9160,'Email Cleaner'!$I$2:$I$10001,0)),"")</f>
        <v/>
      </c>
    </row>
    <row r="9162">
      <c r="A9162">
        <f>IFERROR(INDEX('Email Cleaner'!$B$2:$B$10001,MATCH(9161,'Email Cleaner'!$I$2:$I$10001,0)),"")</f>
        <v/>
      </c>
    </row>
    <row r="9163">
      <c r="A9163">
        <f>IFERROR(INDEX('Email Cleaner'!$B$2:$B$10001,MATCH(9162,'Email Cleaner'!$I$2:$I$10001,0)),"")</f>
        <v/>
      </c>
    </row>
    <row r="9164">
      <c r="A9164">
        <f>IFERROR(INDEX('Email Cleaner'!$B$2:$B$10001,MATCH(9163,'Email Cleaner'!$I$2:$I$10001,0)),"")</f>
        <v/>
      </c>
    </row>
    <row r="9165">
      <c r="A9165">
        <f>IFERROR(INDEX('Email Cleaner'!$B$2:$B$10001,MATCH(9164,'Email Cleaner'!$I$2:$I$10001,0)),"")</f>
        <v/>
      </c>
    </row>
    <row r="9166">
      <c r="A9166">
        <f>IFERROR(INDEX('Email Cleaner'!$B$2:$B$10001,MATCH(9165,'Email Cleaner'!$I$2:$I$10001,0)),"")</f>
        <v/>
      </c>
    </row>
    <row r="9167">
      <c r="A9167">
        <f>IFERROR(INDEX('Email Cleaner'!$B$2:$B$10001,MATCH(9166,'Email Cleaner'!$I$2:$I$10001,0)),"")</f>
        <v/>
      </c>
    </row>
    <row r="9168">
      <c r="A9168">
        <f>IFERROR(INDEX('Email Cleaner'!$B$2:$B$10001,MATCH(9167,'Email Cleaner'!$I$2:$I$10001,0)),"")</f>
        <v/>
      </c>
    </row>
    <row r="9169">
      <c r="A9169">
        <f>IFERROR(INDEX('Email Cleaner'!$B$2:$B$10001,MATCH(9168,'Email Cleaner'!$I$2:$I$10001,0)),"")</f>
        <v/>
      </c>
    </row>
    <row r="9170">
      <c r="A9170">
        <f>IFERROR(INDEX('Email Cleaner'!$B$2:$B$10001,MATCH(9169,'Email Cleaner'!$I$2:$I$10001,0)),"")</f>
        <v/>
      </c>
    </row>
    <row r="9171">
      <c r="A9171">
        <f>IFERROR(INDEX('Email Cleaner'!$B$2:$B$10001,MATCH(9170,'Email Cleaner'!$I$2:$I$10001,0)),"")</f>
        <v/>
      </c>
    </row>
    <row r="9172">
      <c r="A9172">
        <f>IFERROR(INDEX('Email Cleaner'!$B$2:$B$10001,MATCH(9171,'Email Cleaner'!$I$2:$I$10001,0)),"")</f>
        <v/>
      </c>
    </row>
    <row r="9173">
      <c r="A9173">
        <f>IFERROR(INDEX('Email Cleaner'!$B$2:$B$10001,MATCH(9172,'Email Cleaner'!$I$2:$I$10001,0)),"")</f>
        <v/>
      </c>
    </row>
    <row r="9174">
      <c r="A9174">
        <f>IFERROR(INDEX('Email Cleaner'!$B$2:$B$10001,MATCH(9173,'Email Cleaner'!$I$2:$I$10001,0)),"")</f>
        <v/>
      </c>
    </row>
    <row r="9175">
      <c r="A9175">
        <f>IFERROR(INDEX('Email Cleaner'!$B$2:$B$10001,MATCH(9174,'Email Cleaner'!$I$2:$I$10001,0)),"")</f>
        <v/>
      </c>
    </row>
    <row r="9176">
      <c r="A9176">
        <f>IFERROR(INDEX('Email Cleaner'!$B$2:$B$10001,MATCH(9175,'Email Cleaner'!$I$2:$I$10001,0)),"")</f>
        <v/>
      </c>
    </row>
    <row r="9177">
      <c r="A9177">
        <f>IFERROR(INDEX('Email Cleaner'!$B$2:$B$10001,MATCH(9176,'Email Cleaner'!$I$2:$I$10001,0)),"")</f>
        <v/>
      </c>
    </row>
    <row r="9178">
      <c r="A9178">
        <f>IFERROR(INDEX('Email Cleaner'!$B$2:$B$10001,MATCH(9177,'Email Cleaner'!$I$2:$I$10001,0)),"")</f>
        <v/>
      </c>
    </row>
    <row r="9179">
      <c r="A9179">
        <f>IFERROR(INDEX('Email Cleaner'!$B$2:$B$10001,MATCH(9178,'Email Cleaner'!$I$2:$I$10001,0)),"")</f>
        <v/>
      </c>
    </row>
    <row r="9180">
      <c r="A9180">
        <f>IFERROR(INDEX('Email Cleaner'!$B$2:$B$10001,MATCH(9179,'Email Cleaner'!$I$2:$I$10001,0)),"")</f>
        <v/>
      </c>
    </row>
    <row r="9181">
      <c r="A9181">
        <f>IFERROR(INDEX('Email Cleaner'!$B$2:$B$10001,MATCH(9180,'Email Cleaner'!$I$2:$I$10001,0)),"")</f>
        <v/>
      </c>
    </row>
    <row r="9182">
      <c r="A9182">
        <f>IFERROR(INDEX('Email Cleaner'!$B$2:$B$10001,MATCH(9181,'Email Cleaner'!$I$2:$I$10001,0)),"")</f>
        <v/>
      </c>
    </row>
    <row r="9183">
      <c r="A9183">
        <f>IFERROR(INDEX('Email Cleaner'!$B$2:$B$10001,MATCH(9182,'Email Cleaner'!$I$2:$I$10001,0)),"")</f>
        <v/>
      </c>
    </row>
    <row r="9184">
      <c r="A9184">
        <f>IFERROR(INDEX('Email Cleaner'!$B$2:$B$10001,MATCH(9183,'Email Cleaner'!$I$2:$I$10001,0)),"")</f>
        <v/>
      </c>
    </row>
    <row r="9185">
      <c r="A9185">
        <f>IFERROR(INDEX('Email Cleaner'!$B$2:$B$10001,MATCH(9184,'Email Cleaner'!$I$2:$I$10001,0)),"")</f>
        <v/>
      </c>
    </row>
    <row r="9186">
      <c r="A9186">
        <f>IFERROR(INDEX('Email Cleaner'!$B$2:$B$10001,MATCH(9185,'Email Cleaner'!$I$2:$I$10001,0)),"")</f>
        <v/>
      </c>
    </row>
    <row r="9187">
      <c r="A9187">
        <f>IFERROR(INDEX('Email Cleaner'!$B$2:$B$10001,MATCH(9186,'Email Cleaner'!$I$2:$I$10001,0)),"")</f>
        <v/>
      </c>
    </row>
    <row r="9188">
      <c r="A9188">
        <f>IFERROR(INDEX('Email Cleaner'!$B$2:$B$10001,MATCH(9187,'Email Cleaner'!$I$2:$I$10001,0)),"")</f>
        <v/>
      </c>
    </row>
    <row r="9189">
      <c r="A9189">
        <f>IFERROR(INDEX('Email Cleaner'!$B$2:$B$10001,MATCH(9188,'Email Cleaner'!$I$2:$I$10001,0)),"")</f>
        <v/>
      </c>
    </row>
    <row r="9190">
      <c r="A9190">
        <f>IFERROR(INDEX('Email Cleaner'!$B$2:$B$10001,MATCH(9189,'Email Cleaner'!$I$2:$I$10001,0)),"")</f>
        <v/>
      </c>
    </row>
    <row r="9191">
      <c r="A9191">
        <f>IFERROR(INDEX('Email Cleaner'!$B$2:$B$10001,MATCH(9190,'Email Cleaner'!$I$2:$I$10001,0)),"")</f>
        <v/>
      </c>
    </row>
    <row r="9192">
      <c r="A9192">
        <f>IFERROR(INDEX('Email Cleaner'!$B$2:$B$10001,MATCH(9191,'Email Cleaner'!$I$2:$I$10001,0)),"")</f>
        <v/>
      </c>
    </row>
    <row r="9193">
      <c r="A9193">
        <f>IFERROR(INDEX('Email Cleaner'!$B$2:$B$10001,MATCH(9192,'Email Cleaner'!$I$2:$I$10001,0)),"")</f>
        <v/>
      </c>
    </row>
    <row r="9194">
      <c r="A9194">
        <f>IFERROR(INDEX('Email Cleaner'!$B$2:$B$10001,MATCH(9193,'Email Cleaner'!$I$2:$I$10001,0)),"")</f>
        <v/>
      </c>
    </row>
    <row r="9195">
      <c r="A9195">
        <f>IFERROR(INDEX('Email Cleaner'!$B$2:$B$10001,MATCH(9194,'Email Cleaner'!$I$2:$I$10001,0)),"")</f>
        <v/>
      </c>
    </row>
    <row r="9196">
      <c r="A9196">
        <f>IFERROR(INDEX('Email Cleaner'!$B$2:$B$10001,MATCH(9195,'Email Cleaner'!$I$2:$I$10001,0)),"")</f>
        <v/>
      </c>
    </row>
    <row r="9197">
      <c r="A9197">
        <f>IFERROR(INDEX('Email Cleaner'!$B$2:$B$10001,MATCH(9196,'Email Cleaner'!$I$2:$I$10001,0)),"")</f>
        <v/>
      </c>
    </row>
    <row r="9198">
      <c r="A9198">
        <f>IFERROR(INDEX('Email Cleaner'!$B$2:$B$10001,MATCH(9197,'Email Cleaner'!$I$2:$I$10001,0)),"")</f>
        <v/>
      </c>
    </row>
    <row r="9199">
      <c r="A9199">
        <f>IFERROR(INDEX('Email Cleaner'!$B$2:$B$10001,MATCH(9198,'Email Cleaner'!$I$2:$I$10001,0)),"")</f>
        <v/>
      </c>
    </row>
    <row r="9200">
      <c r="A9200">
        <f>IFERROR(INDEX('Email Cleaner'!$B$2:$B$10001,MATCH(9199,'Email Cleaner'!$I$2:$I$10001,0)),"")</f>
        <v/>
      </c>
    </row>
    <row r="9201">
      <c r="A9201">
        <f>IFERROR(INDEX('Email Cleaner'!$B$2:$B$10001,MATCH(9200,'Email Cleaner'!$I$2:$I$10001,0)),"")</f>
        <v/>
      </c>
    </row>
    <row r="9202">
      <c r="A9202">
        <f>IFERROR(INDEX('Email Cleaner'!$B$2:$B$10001,MATCH(9201,'Email Cleaner'!$I$2:$I$10001,0)),"")</f>
        <v/>
      </c>
    </row>
    <row r="9203">
      <c r="A9203">
        <f>IFERROR(INDEX('Email Cleaner'!$B$2:$B$10001,MATCH(9202,'Email Cleaner'!$I$2:$I$10001,0)),"")</f>
        <v/>
      </c>
    </row>
    <row r="9204">
      <c r="A9204">
        <f>IFERROR(INDEX('Email Cleaner'!$B$2:$B$10001,MATCH(9203,'Email Cleaner'!$I$2:$I$10001,0)),"")</f>
        <v/>
      </c>
    </row>
    <row r="9205">
      <c r="A9205">
        <f>IFERROR(INDEX('Email Cleaner'!$B$2:$B$10001,MATCH(9204,'Email Cleaner'!$I$2:$I$10001,0)),"")</f>
        <v/>
      </c>
    </row>
    <row r="9206">
      <c r="A9206">
        <f>IFERROR(INDEX('Email Cleaner'!$B$2:$B$10001,MATCH(9205,'Email Cleaner'!$I$2:$I$10001,0)),"")</f>
        <v/>
      </c>
    </row>
    <row r="9207">
      <c r="A9207">
        <f>IFERROR(INDEX('Email Cleaner'!$B$2:$B$10001,MATCH(9206,'Email Cleaner'!$I$2:$I$10001,0)),"")</f>
        <v/>
      </c>
    </row>
    <row r="9208">
      <c r="A9208">
        <f>IFERROR(INDEX('Email Cleaner'!$B$2:$B$10001,MATCH(9207,'Email Cleaner'!$I$2:$I$10001,0)),"")</f>
        <v/>
      </c>
    </row>
    <row r="9209">
      <c r="A9209">
        <f>IFERROR(INDEX('Email Cleaner'!$B$2:$B$10001,MATCH(9208,'Email Cleaner'!$I$2:$I$10001,0)),"")</f>
        <v/>
      </c>
    </row>
    <row r="9210">
      <c r="A9210">
        <f>IFERROR(INDEX('Email Cleaner'!$B$2:$B$10001,MATCH(9209,'Email Cleaner'!$I$2:$I$10001,0)),"")</f>
        <v/>
      </c>
    </row>
    <row r="9211">
      <c r="A9211">
        <f>IFERROR(INDEX('Email Cleaner'!$B$2:$B$10001,MATCH(9210,'Email Cleaner'!$I$2:$I$10001,0)),"")</f>
        <v/>
      </c>
    </row>
    <row r="9212">
      <c r="A9212">
        <f>IFERROR(INDEX('Email Cleaner'!$B$2:$B$10001,MATCH(9211,'Email Cleaner'!$I$2:$I$10001,0)),"")</f>
        <v/>
      </c>
    </row>
    <row r="9213">
      <c r="A9213">
        <f>IFERROR(INDEX('Email Cleaner'!$B$2:$B$10001,MATCH(9212,'Email Cleaner'!$I$2:$I$10001,0)),"")</f>
        <v/>
      </c>
    </row>
    <row r="9214">
      <c r="A9214">
        <f>IFERROR(INDEX('Email Cleaner'!$B$2:$B$10001,MATCH(9213,'Email Cleaner'!$I$2:$I$10001,0)),"")</f>
        <v/>
      </c>
    </row>
    <row r="9215">
      <c r="A9215">
        <f>IFERROR(INDEX('Email Cleaner'!$B$2:$B$10001,MATCH(9214,'Email Cleaner'!$I$2:$I$10001,0)),"")</f>
        <v/>
      </c>
    </row>
    <row r="9216">
      <c r="A9216">
        <f>IFERROR(INDEX('Email Cleaner'!$B$2:$B$10001,MATCH(9215,'Email Cleaner'!$I$2:$I$10001,0)),"")</f>
        <v/>
      </c>
    </row>
    <row r="9217">
      <c r="A9217">
        <f>IFERROR(INDEX('Email Cleaner'!$B$2:$B$10001,MATCH(9216,'Email Cleaner'!$I$2:$I$10001,0)),"")</f>
        <v/>
      </c>
    </row>
    <row r="9218">
      <c r="A9218">
        <f>IFERROR(INDEX('Email Cleaner'!$B$2:$B$10001,MATCH(9217,'Email Cleaner'!$I$2:$I$10001,0)),"")</f>
        <v/>
      </c>
    </row>
    <row r="9219">
      <c r="A9219">
        <f>IFERROR(INDEX('Email Cleaner'!$B$2:$B$10001,MATCH(9218,'Email Cleaner'!$I$2:$I$10001,0)),"")</f>
        <v/>
      </c>
    </row>
    <row r="9220">
      <c r="A9220">
        <f>IFERROR(INDEX('Email Cleaner'!$B$2:$B$10001,MATCH(9219,'Email Cleaner'!$I$2:$I$10001,0)),"")</f>
        <v/>
      </c>
    </row>
    <row r="9221">
      <c r="A9221">
        <f>IFERROR(INDEX('Email Cleaner'!$B$2:$B$10001,MATCH(9220,'Email Cleaner'!$I$2:$I$10001,0)),"")</f>
        <v/>
      </c>
    </row>
    <row r="9222">
      <c r="A9222">
        <f>IFERROR(INDEX('Email Cleaner'!$B$2:$B$10001,MATCH(9221,'Email Cleaner'!$I$2:$I$10001,0)),"")</f>
        <v/>
      </c>
    </row>
    <row r="9223">
      <c r="A9223">
        <f>IFERROR(INDEX('Email Cleaner'!$B$2:$B$10001,MATCH(9222,'Email Cleaner'!$I$2:$I$10001,0)),"")</f>
        <v/>
      </c>
    </row>
    <row r="9224">
      <c r="A9224">
        <f>IFERROR(INDEX('Email Cleaner'!$B$2:$B$10001,MATCH(9223,'Email Cleaner'!$I$2:$I$10001,0)),"")</f>
        <v/>
      </c>
    </row>
    <row r="9225">
      <c r="A9225">
        <f>IFERROR(INDEX('Email Cleaner'!$B$2:$B$10001,MATCH(9224,'Email Cleaner'!$I$2:$I$10001,0)),"")</f>
        <v/>
      </c>
    </row>
    <row r="9226">
      <c r="A9226">
        <f>IFERROR(INDEX('Email Cleaner'!$B$2:$B$10001,MATCH(9225,'Email Cleaner'!$I$2:$I$10001,0)),"")</f>
        <v/>
      </c>
    </row>
    <row r="9227">
      <c r="A9227">
        <f>IFERROR(INDEX('Email Cleaner'!$B$2:$B$10001,MATCH(9226,'Email Cleaner'!$I$2:$I$10001,0)),"")</f>
        <v/>
      </c>
    </row>
    <row r="9228">
      <c r="A9228">
        <f>IFERROR(INDEX('Email Cleaner'!$B$2:$B$10001,MATCH(9227,'Email Cleaner'!$I$2:$I$10001,0)),"")</f>
        <v/>
      </c>
    </row>
    <row r="9229">
      <c r="A9229">
        <f>IFERROR(INDEX('Email Cleaner'!$B$2:$B$10001,MATCH(9228,'Email Cleaner'!$I$2:$I$10001,0)),"")</f>
        <v/>
      </c>
    </row>
    <row r="9230">
      <c r="A9230">
        <f>IFERROR(INDEX('Email Cleaner'!$B$2:$B$10001,MATCH(9229,'Email Cleaner'!$I$2:$I$10001,0)),"")</f>
        <v/>
      </c>
    </row>
    <row r="9231">
      <c r="A9231">
        <f>IFERROR(INDEX('Email Cleaner'!$B$2:$B$10001,MATCH(9230,'Email Cleaner'!$I$2:$I$10001,0)),"")</f>
        <v/>
      </c>
    </row>
    <row r="9232">
      <c r="A9232">
        <f>IFERROR(INDEX('Email Cleaner'!$B$2:$B$10001,MATCH(9231,'Email Cleaner'!$I$2:$I$10001,0)),"")</f>
        <v/>
      </c>
    </row>
    <row r="9233">
      <c r="A9233">
        <f>IFERROR(INDEX('Email Cleaner'!$B$2:$B$10001,MATCH(9232,'Email Cleaner'!$I$2:$I$10001,0)),"")</f>
        <v/>
      </c>
    </row>
    <row r="9234">
      <c r="A9234">
        <f>IFERROR(INDEX('Email Cleaner'!$B$2:$B$10001,MATCH(9233,'Email Cleaner'!$I$2:$I$10001,0)),"")</f>
        <v/>
      </c>
    </row>
    <row r="9235">
      <c r="A9235">
        <f>IFERROR(INDEX('Email Cleaner'!$B$2:$B$10001,MATCH(9234,'Email Cleaner'!$I$2:$I$10001,0)),"")</f>
        <v/>
      </c>
    </row>
    <row r="9236">
      <c r="A9236">
        <f>IFERROR(INDEX('Email Cleaner'!$B$2:$B$10001,MATCH(9235,'Email Cleaner'!$I$2:$I$10001,0)),"")</f>
        <v/>
      </c>
    </row>
    <row r="9237">
      <c r="A9237">
        <f>IFERROR(INDEX('Email Cleaner'!$B$2:$B$10001,MATCH(9236,'Email Cleaner'!$I$2:$I$10001,0)),"")</f>
        <v/>
      </c>
    </row>
    <row r="9238">
      <c r="A9238">
        <f>IFERROR(INDEX('Email Cleaner'!$B$2:$B$10001,MATCH(9237,'Email Cleaner'!$I$2:$I$10001,0)),"")</f>
        <v/>
      </c>
    </row>
    <row r="9239">
      <c r="A9239">
        <f>IFERROR(INDEX('Email Cleaner'!$B$2:$B$10001,MATCH(9238,'Email Cleaner'!$I$2:$I$10001,0)),"")</f>
        <v/>
      </c>
    </row>
    <row r="9240">
      <c r="A9240">
        <f>IFERROR(INDEX('Email Cleaner'!$B$2:$B$10001,MATCH(9239,'Email Cleaner'!$I$2:$I$10001,0)),"")</f>
        <v/>
      </c>
    </row>
    <row r="9241">
      <c r="A9241">
        <f>IFERROR(INDEX('Email Cleaner'!$B$2:$B$10001,MATCH(9240,'Email Cleaner'!$I$2:$I$10001,0)),"")</f>
        <v/>
      </c>
    </row>
    <row r="9242">
      <c r="A9242">
        <f>IFERROR(INDEX('Email Cleaner'!$B$2:$B$10001,MATCH(9241,'Email Cleaner'!$I$2:$I$10001,0)),"")</f>
        <v/>
      </c>
    </row>
    <row r="9243">
      <c r="A9243">
        <f>IFERROR(INDEX('Email Cleaner'!$B$2:$B$10001,MATCH(9242,'Email Cleaner'!$I$2:$I$10001,0)),"")</f>
        <v/>
      </c>
    </row>
    <row r="9244">
      <c r="A9244">
        <f>IFERROR(INDEX('Email Cleaner'!$B$2:$B$10001,MATCH(9243,'Email Cleaner'!$I$2:$I$10001,0)),"")</f>
        <v/>
      </c>
    </row>
    <row r="9245">
      <c r="A9245">
        <f>IFERROR(INDEX('Email Cleaner'!$B$2:$B$10001,MATCH(9244,'Email Cleaner'!$I$2:$I$10001,0)),"")</f>
        <v/>
      </c>
    </row>
    <row r="9246">
      <c r="A9246">
        <f>IFERROR(INDEX('Email Cleaner'!$B$2:$B$10001,MATCH(9245,'Email Cleaner'!$I$2:$I$10001,0)),"")</f>
        <v/>
      </c>
    </row>
    <row r="9247">
      <c r="A9247">
        <f>IFERROR(INDEX('Email Cleaner'!$B$2:$B$10001,MATCH(9246,'Email Cleaner'!$I$2:$I$10001,0)),"")</f>
        <v/>
      </c>
    </row>
    <row r="9248">
      <c r="A9248">
        <f>IFERROR(INDEX('Email Cleaner'!$B$2:$B$10001,MATCH(9247,'Email Cleaner'!$I$2:$I$10001,0)),"")</f>
        <v/>
      </c>
    </row>
    <row r="9249">
      <c r="A9249">
        <f>IFERROR(INDEX('Email Cleaner'!$B$2:$B$10001,MATCH(9248,'Email Cleaner'!$I$2:$I$10001,0)),"")</f>
        <v/>
      </c>
    </row>
    <row r="9250">
      <c r="A9250">
        <f>IFERROR(INDEX('Email Cleaner'!$B$2:$B$10001,MATCH(9249,'Email Cleaner'!$I$2:$I$10001,0)),"")</f>
        <v/>
      </c>
    </row>
    <row r="9251">
      <c r="A9251">
        <f>IFERROR(INDEX('Email Cleaner'!$B$2:$B$10001,MATCH(9250,'Email Cleaner'!$I$2:$I$10001,0)),"")</f>
        <v/>
      </c>
    </row>
    <row r="9252">
      <c r="A9252">
        <f>IFERROR(INDEX('Email Cleaner'!$B$2:$B$10001,MATCH(9251,'Email Cleaner'!$I$2:$I$10001,0)),"")</f>
        <v/>
      </c>
    </row>
    <row r="9253">
      <c r="A9253">
        <f>IFERROR(INDEX('Email Cleaner'!$B$2:$B$10001,MATCH(9252,'Email Cleaner'!$I$2:$I$10001,0)),"")</f>
        <v/>
      </c>
    </row>
    <row r="9254">
      <c r="A9254">
        <f>IFERROR(INDEX('Email Cleaner'!$B$2:$B$10001,MATCH(9253,'Email Cleaner'!$I$2:$I$10001,0)),"")</f>
        <v/>
      </c>
    </row>
    <row r="9255">
      <c r="A9255">
        <f>IFERROR(INDEX('Email Cleaner'!$B$2:$B$10001,MATCH(9254,'Email Cleaner'!$I$2:$I$10001,0)),"")</f>
        <v/>
      </c>
    </row>
    <row r="9256">
      <c r="A9256">
        <f>IFERROR(INDEX('Email Cleaner'!$B$2:$B$10001,MATCH(9255,'Email Cleaner'!$I$2:$I$10001,0)),"")</f>
        <v/>
      </c>
    </row>
    <row r="9257">
      <c r="A9257">
        <f>IFERROR(INDEX('Email Cleaner'!$B$2:$B$10001,MATCH(9256,'Email Cleaner'!$I$2:$I$10001,0)),"")</f>
        <v/>
      </c>
    </row>
    <row r="9258">
      <c r="A9258">
        <f>IFERROR(INDEX('Email Cleaner'!$B$2:$B$10001,MATCH(9257,'Email Cleaner'!$I$2:$I$10001,0)),"")</f>
        <v/>
      </c>
    </row>
    <row r="9259">
      <c r="A9259">
        <f>IFERROR(INDEX('Email Cleaner'!$B$2:$B$10001,MATCH(9258,'Email Cleaner'!$I$2:$I$10001,0)),"")</f>
        <v/>
      </c>
    </row>
    <row r="9260">
      <c r="A9260">
        <f>IFERROR(INDEX('Email Cleaner'!$B$2:$B$10001,MATCH(9259,'Email Cleaner'!$I$2:$I$10001,0)),"")</f>
        <v/>
      </c>
    </row>
    <row r="9261">
      <c r="A9261">
        <f>IFERROR(INDEX('Email Cleaner'!$B$2:$B$10001,MATCH(9260,'Email Cleaner'!$I$2:$I$10001,0)),"")</f>
        <v/>
      </c>
    </row>
    <row r="9262">
      <c r="A9262">
        <f>IFERROR(INDEX('Email Cleaner'!$B$2:$B$10001,MATCH(9261,'Email Cleaner'!$I$2:$I$10001,0)),"")</f>
        <v/>
      </c>
    </row>
    <row r="9263">
      <c r="A9263">
        <f>IFERROR(INDEX('Email Cleaner'!$B$2:$B$10001,MATCH(9262,'Email Cleaner'!$I$2:$I$10001,0)),"")</f>
        <v/>
      </c>
    </row>
    <row r="9264">
      <c r="A9264">
        <f>IFERROR(INDEX('Email Cleaner'!$B$2:$B$10001,MATCH(9263,'Email Cleaner'!$I$2:$I$10001,0)),"")</f>
        <v/>
      </c>
    </row>
    <row r="9265">
      <c r="A9265">
        <f>IFERROR(INDEX('Email Cleaner'!$B$2:$B$10001,MATCH(9264,'Email Cleaner'!$I$2:$I$10001,0)),"")</f>
        <v/>
      </c>
    </row>
    <row r="9266">
      <c r="A9266">
        <f>IFERROR(INDEX('Email Cleaner'!$B$2:$B$10001,MATCH(9265,'Email Cleaner'!$I$2:$I$10001,0)),"")</f>
        <v/>
      </c>
    </row>
    <row r="9267">
      <c r="A9267">
        <f>IFERROR(INDEX('Email Cleaner'!$B$2:$B$10001,MATCH(9266,'Email Cleaner'!$I$2:$I$10001,0)),"")</f>
        <v/>
      </c>
    </row>
    <row r="9268">
      <c r="A9268">
        <f>IFERROR(INDEX('Email Cleaner'!$B$2:$B$10001,MATCH(9267,'Email Cleaner'!$I$2:$I$10001,0)),"")</f>
        <v/>
      </c>
    </row>
    <row r="9269">
      <c r="A9269">
        <f>IFERROR(INDEX('Email Cleaner'!$B$2:$B$10001,MATCH(9268,'Email Cleaner'!$I$2:$I$10001,0)),"")</f>
        <v/>
      </c>
    </row>
    <row r="9270">
      <c r="A9270">
        <f>IFERROR(INDEX('Email Cleaner'!$B$2:$B$10001,MATCH(9269,'Email Cleaner'!$I$2:$I$10001,0)),"")</f>
        <v/>
      </c>
    </row>
    <row r="9271">
      <c r="A9271">
        <f>IFERROR(INDEX('Email Cleaner'!$B$2:$B$10001,MATCH(9270,'Email Cleaner'!$I$2:$I$10001,0)),"")</f>
        <v/>
      </c>
    </row>
    <row r="9272">
      <c r="A9272">
        <f>IFERROR(INDEX('Email Cleaner'!$B$2:$B$10001,MATCH(9271,'Email Cleaner'!$I$2:$I$10001,0)),"")</f>
        <v/>
      </c>
    </row>
    <row r="9273">
      <c r="A9273">
        <f>IFERROR(INDEX('Email Cleaner'!$B$2:$B$10001,MATCH(9272,'Email Cleaner'!$I$2:$I$10001,0)),"")</f>
        <v/>
      </c>
    </row>
    <row r="9274">
      <c r="A9274">
        <f>IFERROR(INDEX('Email Cleaner'!$B$2:$B$10001,MATCH(9273,'Email Cleaner'!$I$2:$I$10001,0)),"")</f>
        <v/>
      </c>
    </row>
    <row r="9275">
      <c r="A9275">
        <f>IFERROR(INDEX('Email Cleaner'!$B$2:$B$10001,MATCH(9274,'Email Cleaner'!$I$2:$I$10001,0)),"")</f>
        <v/>
      </c>
    </row>
    <row r="9276">
      <c r="A9276">
        <f>IFERROR(INDEX('Email Cleaner'!$B$2:$B$10001,MATCH(9275,'Email Cleaner'!$I$2:$I$10001,0)),"")</f>
        <v/>
      </c>
    </row>
    <row r="9277">
      <c r="A9277">
        <f>IFERROR(INDEX('Email Cleaner'!$B$2:$B$10001,MATCH(9276,'Email Cleaner'!$I$2:$I$10001,0)),"")</f>
        <v/>
      </c>
    </row>
    <row r="9278">
      <c r="A9278">
        <f>IFERROR(INDEX('Email Cleaner'!$B$2:$B$10001,MATCH(9277,'Email Cleaner'!$I$2:$I$10001,0)),"")</f>
        <v/>
      </c>
    </row>
    <row r="9279">
      <c r="A9279">
        <f>IFERROR(INDEX('Email Cleaner'!$B$2:$B$10001,MATCH(9278,'Email Cleaner'!$I$2:$I$10001,0)),"")</f>
        <v/>
      </c>
    </row>
    <row r="9280">
      <c r="A9280">
        <f>IFERROR(INDEX('Email Cleaner'!$B$2:$B$10001,MATCH(9279,'Email Cleaner'!$I$2:$I$10001,0)),"")</f>
        <v/>
      </c>
    </row>
    <row r="9281">
      <c r="A9281">
        <f>IFERROR(INDEX('Email Cleaner'!$B$2:$B$10001,MATCH(9280,'Email Cleaner'!$I$2:$I$10001,0)),"")</f>
        <v/>
      </c>
    </row>
    <row r="9282">
      <c r="A9282">
        <f>IFERROR(INDEX('Email Cleaner'!$B$2:$B$10001,MATCH(9281,'Email Cleaner'!$I$2:$I$10001,0)),"")</f>
        <v/>
      </c>
    </row>
    <row r="9283">
      <c r="A9283">
        <f>IFERROR(INDEX('Email Cleaner'!$B$2:$B$10001,MATCH(9282,'Email Cleaner'!$I$2:$I$10001,0)),"")</f>
        <v/>
      </c>
    </row>
    <row r="9284">
      <c r="A9284">
        <f>IFERROR(INDEX('Email Cleaner'!$B$2:$B$10001,MATCH(9283,'Email Cleaner'!$I$2:$I$10001,0)),"")</f>
        <v/>
      </c>
    </row>
    <row r="9285">
      <c r="A9285">
        <f>IFERROR(INDEX('Email Cleaner'!$B$2:$B$10001,MATCH(9284,'Email Cleaner'!$I$2:$I$10001,0)),"")</f>
        <v/>
      </c>
    </row>
    <row r="9286">
      <c r="A9286">
        <f>IFERROR(INDEX('Email Cleaner'!$B$2:$B$10001,MATCH(9285,'Email Cleaner'!$I$2:$I$10001,0)),"")</f>
        <v/>
      </c>
    </row>
    <row r="9287">
      <c r="A9287">
        <f>IFERROR(INDEX('Email Cleaner'!$B$2:$B$10001,MATCH(9286,'Email Cleaner'!$I$2:$I$10001,0)),"")</f>
        <v/>
      </c>
    </row>
    <row r="9288">
      <c r="A9288">
        <f>IFERROR(INDEX('Email Cleaner'!$B$2:$B$10001,MATCH(9287,'Email Cleaner'!$I$2:$I$10001,0)),"")</f>
        <v/>
      </c>
    </row>
    <row r="9289">
      <c r="A9289">
        <f>IFERROR(INDEX('Email Cleaner'!$B$2:$B$10001,MATCH(9288,'Email Cleaner'!$I$2:$I$10001,0)),"")</f>
        <v/>
      </c>
    </row>
    <row r="9290">
      <c r="A9290">
        <f>IFERROR(INDEX('Email Cleaner'!$B$2:$B$10001,MATCH(9289,'Email Cleaner'!$I$2:$I$10001,0)),"")</f>
        <v/>
      </c>
    </row>
    <row r="9291">
      <c r="A9291">
        <f>IFERROR(INDEX('Email Cleaner'!$B$2:$B$10001,MATCH(9290,'Email Cleaner'!$I$2:$I$10001,0)),"")</f>
        <v/>
      </c>
    </row>
    <row r="9292">
      <c r="A9292">
        <f>IFERROR(INDEX('Email Cleaner'!$B$2:$B$10001,MATCH(9291,'Email Cleaner'!$I$2:$I$10001,0)),"")</f>
        <v/>
      </c>
    </row>
    <row r="9293">
      <c r="A9293">
        <f>IFERROR(INDEX('Email Cleaner'!$B$2:$B$10001,MATCH(9292,'Email Cleaner'!$I$2:$I$10001,0)),"")</f>
        <v/>
      </c>
    </row>
    <row r="9294">
      <c r="A9294">
        <f>IFERROR(INDEX('Email Cleaner'!$B$2:$B$10001,MATCH(9293,'Email Cleaner'!$I$2:$I$10001,0)),"")</f>
        <v/>
      </c>
    </row>
    <row r="9295">
      <c r="A9295">
        <f>IFERROR(INDEX('Email Cleaner'!$B$2:$B$10001,MATCH(9294,'Email Cleaner'!$I$2:$I$10001,0)),"")</f>
        <v/>
      </c>
    </row>
    <row r="9296">
      <c r="A9296">
        <f>IFERROR(INDEX('Email Cleaner'!$B$2:$B$10001,MATCH(9295,'Email Cleaner'!$I$2:$I$10001,0)),"")</f>
        <v/>
      </c>
    </row>
    <row r="9297">
      <c r="A9297">
        <f>IFERROR(INDEX('Email Cleaner'!$B$2:$B$10001,MATCH(9296,'Email Cleaner'!$I$2:$I$10001,0)),"")</f>
        <v/>
      </c>
    </row>
    <row r="9298">
      <c r="A9298">
        <f>IFERROR(INDEX('Email Cleaner'!$B$2:$B$10001,MATCH(9297,'Email Cleaner'!$I$2:$I$10001,0)),"")</f>
        <v/>
      </c>
    </row>
    <row r="9299">
      <c r="A9299">
        <f>IFERROR(INDEX('Email Cleaner'!$B$2:$B$10001,MATCH(9298,'Email Cleaner'!$I$2:$I$10001,0)),"")</f>
        <v/>
      </c>
    </row>
    <row r="9300">
      <c r="A9300">
        <f>IFERROR(INDEX('Email Cleaner'!$B$2:$B$10001,MATCH(9299,'Email Cleaner'!$I$2:$I$10001,0)),"")</f>
        <v/>
      </c>
    </row>
    <row r="9301">
      <c r="A9301">
        <f>IFERROR(INDEX('Email Cleaner'!$B$2:$B$10001,MATCH(9300,'Email Cleaner'!$I$2:$I$10001,0)),"")</f>
        <v/>
      </c>
    </row>
    <row r="9302">
      <c r="A9302">
        <f>IFERROR(INDEX('Email Cleaner'!$B$2:$B$10001,MATCH(9301,'Email Cleaner'!$I$2:$I$10001,0)),"")</f>
        <v/>
      </c>
    </row>
    <row r="9303">
      <c r="A9303">
        <f>IFERROR(INDEX('Email Cleaner'!$B$2:$B$10001,MATCH(9302,'Email Cleaner'!$I$2:$I$10001,0)),"")</f>
        <v/>
      </c>
    </row>
    <row r="9304">
      <c r="A9304">
        <f>IFERROR(INDEX('Email Cleaner'!$B$2:$B$10001,MATCH(9303,'Email Cleaner'!$I$2:$I$10001,0)),"")</f>
        <v/>
      </c>
    </row>
    <row r="9305">
      <c r="A9305">
        <f>IFERROR(INDEX('Email Cleaner'!$B$2:$B$10001,MATCH(9304,'Email Cleaner'!$I$2:$I$10001,0)),"")</f>
        <v/>
      </c>
    </row>
    <row r="9306">
      <c r="A9306">
        <f>IFERROR(INDEX('Email Cleaner'!$B$2:$B$10001,MATCH(9305,'Email Cleaner'!$I$2:$I$10001,0)),"")</f>
        <v/>
      </c>
    </row>
    <row r="9307">
      <c r="A9307">
        <f>IFERROR(INDEX('Email Cleaner'!$B$2:$B$10001,MATCH(9306,'Email Cleaner'!$I$2:$I$10001,0)),"")</f>
        <v/>
      </c>
    </row>
    <row r="9308">
      <c r="A9308">
        <f>IFERROR(INDEX('Email Cleaner'!$B$2:$B$10001,MATCH(9307,'Email Cleaner'!$I$2:$I$10001,0)),"")</f>
        <v/>
      </c>
    </row>
    <row r="9309">
      <c r="A9309">
        <f>IFERROR(INDEX('Email Cleaner'!$B$2:$B$10001,MATCH(9308,'Email Cleaner'!$I$2:$I$10001,0)),"")</f>
        <v/>
      </c>
    </row>
    <row r="9310">
      <c r="A9310">
        <f>IFERROR(INDEX('Email Cleaner'!$B$2:$B$10001,MATCH(9309,'Email Cleaner'!$I$2:$I$10001,0)),"")</f>
        <v/>
      </c>
    </row>
    <row r="9311">
      <c r="A9311">
        <f>IFERROR(INDEX('Email Cleaner'!$B$2:$B$10001,MATCH(9310,'Email Cleaner'!$I$2:$I$10001,0)),"")</f>
        <v/>
      </c>
    </row>
    <row r="9312">
      <c r="A9312">
        <f>IFERROR(INDEX('Email Cleaner'!$B$2:$B$10001,MATCH(9311,'Email Cleaner'!$I$2:$I$10001,0)),"")</f>
        <v/>
      </c>
    </row>
    <row r="9313">
      <c r="A9313">
        <f>IFERROR(INDEX('Email Cleaner'!$B$2:$B$10001,MATCH(9312,'Email Cleaner'!$I$2:$I$10001,0)),"")</f>
        <v/>
      </c>
    </row>
    <row r="9314">
      <c r="A9314">
        <f>IFERROR(INDEX('Email Cleaner'!$B$2:$B$10001,MATCH(9313,'Email Cleaner'!$I$2:$I$10001,0)),"")</f>
        <v/>
      </c>
    </row>
    <row r="9315">
      <c r="A9315">
        <f>IFERROR(INDEX('Email Cleaner'!$B$2:$B$10001,MATCH(9314,'Email Cleaner'!$I$2:$I$10001,0)),"")</f>
        <v/>
      </c>
    </row>
    <row r="9316">
      <c r="A9316">
        <f>IFERROR(INDEX('Email Cleaner'!$B$2:$B$10001,MATCH(9315,'Email Cleaner'!$I$2:$I$10001,0)),"")</f>
        <v/>
      </c>
    </row>
    <row r="9317">
      <c r="A9317">
        <f>IFERROR(INDEX('Email Cleaner'!$B$2:$B$10001,MATCH(9316,'Email Cleaner'!$I$2:$I$10001,0)),"")</f>
        <v/>
      </c>
    </row>
    <row r="9318">
      <c r="A9318">
        <f>IFERROR(INDEX('Email Cleaner'!$B$2:$B$10001,MATCH(9317,'Email Cleaner'!$I$2:$I$10001,0)),"")</f>
        <v/>
      </c>
    </row>
    <row r="9319">
      <c r="A9319">
        <f>IFERROR(INDEX('Email Cleaner'!$B$2:$B$10001,MATCH(9318,'Email Cleaner'!$I$2:$I$10001,0)),"")</f>
        <v/>
      </c>
    </row>
    <row r="9320">
      <c r="A9320">
        <f>IFERROR(INDEX('Email Cleaner'!$B$2:$B$10001,MATCH(9319,'Email Cleaner'!$I$2:$I$10001,0)),"")</f>
        <v/>
      </c>
    </row>
    <row r="9321">
      <c r="A9321">
        <f>IFERROR(INDEX('Email Cleaner'!$B$2:$B$10001,MATCH(9320,'Email Cleaner'!$I$2:$I$10001,0)),"")</f>
        <v/>
      </c>
    </row>
    <row r="9322">
      <c r="A9322">
        <f>IFERROR(INDEX('Email Cleaner'!$B$2:$B$10001,MATCH(9321,'Email Cleaner'!$I$2:$I$10001,0)),"")</f>
        <v/>
      </c>
    </row>
    <row r="9323">
      <c r="A9323">
        <f>IFERROR(INDEX('Email Cleaner'!$B$2:$B$10001,MATCH(9322,'Email Cleaner'!$I$2:$I$10001,0)),"")</f>
        <v/>
      </c>
    </row>
    <row r="9324">
      <c r="A9324">
        <f>IFERROR(INDEX('Email Cleaner'!$B$2:$B$10001,MATCH(9323,'Email Cleaner'!$I$2:$I$10001,0)),"")</f>
        <v/>
      </c>
    </row>
    <row r="9325">
      <c r="A9325">
        <f>IFERROR(INDEX('Email Cleaner'!$B$2:$B$10001,MATCH(9324,'Email Cleaner'!$I$2:$I$10001,0)),"")</f>
        <v/>
      </c>
    </row>
    <row r="9326">
      <c r="A9326">
        <f>IFERROR(INDEX('Email Cleaner'!$B$2:$B$10001,MATCH(9325,'Email Cleaner'!$I$2:$I$10001,0)),"")</f>
        <v/>
      </c>
    </row>
    <row r="9327">
      <c r="A9327">
        <f>IFERROR(INDEX('Email Cleaner'!$B$2:$B$10001,MATCH(9326,'Email Cleaner'!$I$2:$I$10001,0)),"")</f>
        <v/>
      </c>
    </row>
    <row r="9328">
      <c r="A9328">
        <f>IFERROR(INDEX('Email Cleaner'!$B$2:$B$10001,MATCH(9327,'Email Cleaner'!$I$2:$I$10001,0)),"")</f>
        <v/>
      </c>
    </row>
    <row r="9329">
      <c r="A9329">
        <f>IFERROR(INDEX('Email Cleaner'!$B$2:$B$10001,MATCH(9328,'Email Cleaner'!$I$2:$I$10001,0)),"")</f>
        <v/>
      </c>
    </row>
    <row r="9330">
      <c r="A9330">
        <f>IFERROR(INDEX('Email Cleaner'!$B$2:$B$10001,MATCH(9329,'Email Cleaner'!$I$2:$I$10001,0)),"")</f>
        <v/>
      </c>
    </row>
    <row r="9331">
      <c r="A9331">
        <f>IFERROR(INDEX('Email Cleaner'!$B$2:$B$10001,MATCH(9330,'Email Cleaner'!$I$2:$I$10001,0)),"")</f>
        <v/>
      </c>
    </row>
    <row r="9332">
      <c r="A9332">
        <f>IFERROR(INDEX('Email Cleaner'!$B$2:$B$10001,MATCH(9331,'Email Cleaner'!$I$2:$I$10001,0)),"")</f>
        <v/>
      </c>
    </row>
    <row r="9333">
      <c r="A9333">
        <f>IFERROR(INDEX('Email Cleaner'!$B$2:$B$10001,MATCH(9332,'Email Cleaner'!$I$2:$I$10001,0)),"")</f>
        <v/>
      </c>
    </row>
    <row r="9334">
      <c r="A9334">
        <f>IFERROR(INDEX('Email Cleaner'!$B$2:$B$10001,MATCH(9333,'Email Cleaner'!$I$2:$I$10001,0)),"")</f>
        <v/>
      </c>
    </row>
    <row r="9335">
      <c r="A9335">
        <f>IFERROR(INDEX('Email Cleaner'!$B$2:$B$10001,MATCH(9334,'Email Cleaner'!$I$2:$I$10001,0)),"")</f>
        <v/>
      </c>
    </row>
    <row r="9336">
      <c r="A9336">
        <f>IFERROR(INDEX('Email Cleaner'!$B$2:$B$10001,MATCH(9335,'Email Cleaner'!$I$2:$I$10001,0)),"")</f>
        <v/>
      </c>
    </row>
    <row r="9337">
      <c r="A9337">
        <f>IFERROR(INDEX('Email Cleaner'!$B$2:$B$10001,MATCH(9336,'Email Cleaner'!$I$2:$I$10001,0)),"")</f>
        <v/>
      </c>
    </row>
    <row r="9338">
      <c r="A9338">
        <f>IFERROR(INDEX('Email Cleaner'!$B$2:$B$10001,MATCH(9337,'Email Cleaner'!$I$2:$I$10001,0)),"")</f>
        <v/>
      </c>
    </row>
    <row r="9339">
      <c r="A9339">
        <f>IFERROR(INDEX('Email Cleaner'!$B$2:$B$10001,MATCH(9338,'Email Cleaner'!$I$2:$I$10001,0)),"")</f>
        <v/>
      </c>
    </row>
    <row r="9340">
      <c r="A9340">
        <f>IFERROR(INDEX('Email Cleaner'!$B$2:$B$10001,MATCH(9339,'Email Cleaner'!$I$2:$I$10001,0)),"")</f>
        <v/>
      </c>
    </row>
    <row r="9341">
      <c r="A9341">
        <f>IFERROR(INDEX('Email Cleaner'!$B$2:$B$10001,MATCH(9340,'Email Cleaner'!$I$2:$I$10001,0)),"")</f>
        <v/>
      </c>
    </row>
    <row r="9342">
      <c r="A9342">
        <f>IFERROR(INDEX('Email Cleaner'!$B$2:$B$10001,MATCH(9341,'Email Cleaner'!$I$2:$I$10001,0)),"")</f>
        <v/>
      </c>
    </row>
    <row r="9343">
      <c r="A9343">
        <f>IFERROR(INDEX('Email Cleaner'!$B$2:$B$10001,MATCH(9342,'Email Cleaner'!$I$2:$I$10001,0)),"")</f>
        <v/>
      </c>
    </row>
    <row r="9344">
      <c r="A9344">
        <f>IFERROR(INDEX('Email Cleaner'!$B$2:$B$10001,MATCH(9343,'Email Cleaner'!$I$2:$I$10001,0)),"")</f>
        <v/>
      </c>
    </row>
    <row r="9345">
      <c r="A9345">
        <f>IFERROR(INDEX('Email Cleaner'!$B$2:$B$10001,MATCH(9344,'Email Cleaner'!$I$2:$I$10001,0)),"")</f>
        <v/>
      </c>
    </row>
    <row r="9346">
      <c r="A9346">
        <f>IFERROR(INDEX('Email Cleaner'!$B$2:$B$10001,MATCH(9345,'Email Cleaner'!$I$2:$I$10001,0)),"")</f>
        <v/>
      </c>
    </row>
    <row r="9347">
      <c r="A9347">
        <f>IFERROR(INDEX('Email Cleaner'!$B$2:$B$10001,MATCH(9346,'Email Cleaner'!$I$2:$I$10001,0)),"")</f>
        <v/>
      </c>
    </row>
    <row r="9348">
      <c r="A9348">
        <f>IFERROR(INDEX('Email Cleaner'!$B$2:$B$10001,MATCH(9347,'Email Cleaner'!$I$2:$I$10001,0)),"")</f>
        <v/>
      </c>
    </row>
    <row r="9349">
      <c r="A9349">
        <f>IFERROR(INDEX('Email Cleaner'!$B$2:$B$10001,MATCH(9348,'Email Cleaner'!$I$2:$I$10001,0)),"")</f>
        <v/>
      </c>
    </row>
    <row r="9350">
      <c r="A9350">
        <f>IFERROR(INDEX('Email Cleaner'!$B$2:$B$10001,MATCH(9349,'Email Cleaner'!$I$2:$I$10001,0)),"")</f>
        <v/>
      </c>
    </row>
    <row r="9351">
      <c r="A9351">
        <f>IFERROR(INDEX('Email Cleaner'!$B$2:$B$10001,MATCH(9350,'Email Cleaner'!$I$2:$I$10001,0)),"")</f>
        <v/>
      </c>
    </row>
    <row r="9352">
      <c r="A9352">
        <f>IFERROR(INDEX('Email Cleaner'!$B$2:$B$10001,MATCH(9351,'Email Cleaner'!$I$2:$I$10001,0)),"")</f>
        <v/>
      </c>
    </row>
    <row r="9353">
      <c r="A9353">
        <f>IFERROR(INDEX('Email Cleaner'!$B$2:$B$10001,MATCH(9352,'Email Cleaner'!$I$2:$I$10001,0)),"")</f>
        <v/>
      </c>
    </row>
    <row r="9354">
      <c r="A9354">
        <f>IFERROR(INDEX('Email Cleaner'!$B$2:$B$10001,MATCH(9353,'Email Cleaner'!$I$2:$I$10001,0)),"")</f>
        <v/>
      </c>
    </row>
    <row r="9355">
      <c r="A9355">
        <f>IFERROR(INDEX('Email Cleaner'!$B$2:$B$10001,MATCH(9354,'Email Cleaner'!$I$2:$I$10001,0)),"")</f>
        <v/>
      </c>
    </row>
    <row r="9356">
      <c r="A9356">
        <f>IFERROR(INDEX('Email Cleaner'!$B$2:$B$10001,MATCH(9355,'Email Cleaner'!$I$2:$I$10001,0)),"")</f>
        <v/>
      </c>
    </row>
    <row r="9357">
      <c r="A9357">
        <f>IFERROR(INDEX('Email Cleaner'!$B$2:$B$10001,MATCH(9356,'Email Cleaner'!$I$2:$I$10001,0)),"")</f>
        <v/>
      </c>
    </row>
    <row r="9358">
      <c r="A9358">
        <f>IFERROR(INDEX('Email Cleaner'!$B$2:$B$10001,MATCH(9357,'Email Cleaner'!$I$2:$I$10001,0)),"")</f>
        <v/>
      </c>
    </row>
    <row r="9359">
      <c r="A9359">
        <f>IFERROR(INDEX('Email Cleaner'!$B$2:$B$10001,MATCH(9358,'Email Cleaner'!$I$2:$I$10001,0)),"")</f>
        <v/>
      </c>
    </row>
    <row r="9360">
      <c r="A9360">
        <f>IFERROR(INDEX('Email Cleaner'!$B$2:$B$10001,MATCH(9359,'Email Cleaner'!$I$2:$I$10001,0)),"")</f>
        <v/>
      </c>
    </row>
    <row r="9361">
      <c r="A9361">
        <f>IFERROR(INDEX('Email Cleaner'!$B$2:$B$10001,MATCH(9360,'Email Cleaner'!$I$2:$I$10001,0)),"")</f>
        <v/>
      </c>
    </row>
    <row r="9362">
      <c r="A9362">
        <f>IFERROR(INDEX('Email Cleaner'!$B$2:$B$10001,MATCH(9361,'Email Cleaner'!$I$2:$I$10001,0)),"")</f>
        <v/>
      </c>
    </row>
    <row r="9363">
      <c r="A9363">
        <f>IFERROR(INDEX('Email Cleaner'!$B$2:$B$10001,MATCH(9362,'Email Cleaner'!$I$2:$I$10001,0)),"")</f>
        <v/>
      </c>
    </row>
    <row r="9364">
      <c r="A9364">
        <f>IFERROR(INDEX('Email Cleaner'!$B$2:$B$10001,MATCH(9363,'Email Cleaner'!$I$2:$I$10001,0)),"")</f>
        <v/>
      </c>
    </row>
    <row r="9365">
      <c r="A9365">
        <f>IFERROR(INDEX('Email Cleaner'!$B$2:$B$10001,MATCH(9364,'Email Cleaner'!$I$2:$I$10001,0)),"")</f>
        <v/>
      </c>
    </row>
    <row r="9366">
      <c r="A9366">
        <f>IFERROR(INDEX('Email Cleaner'!$B$2:$B$10001,MATCH(9365,'Email Cleaner'!$I$2:$I$10001,0)),"")</f>
        <v/>
      </c>
    </row>
    <row r="9367">
      <c r="A9367">
        <f>IFERROR(INDEX('Email Cleaner'!$B$2:$B$10001,MATCH(9366,'Email Cleaner'!$I$2:$I$10001,0)),"")</f>
        <v/>
      </c>
    </row>
    <row r="9368">
      <c r="A9368">
        <f>IFERROR(INDEX('Email Cleaner'!$B$2:$B$10001,MATCH(9367,'Email Cleaner'!$I$2:$I$10001,0)),"")</f>
        <v/>
      </c>
    </row>
    <row r="9369">
      <c r="A9369">
        <f>IFERROR(INDEX('Email Cleaner'!$B$2:$B$10001,MATCH(9368,'Email Cleaner'!$I$2:$I$10001,0)),"")</f>
        <v/>
      </c>
    </row>
    <row r="9370">
      <c r="A9370">
        <f>IFERROR(INDEX('Email Cleaner'!$B$2:$B$10001,MATCH(9369,'Email Cleaner'!$I$2:$I$10001,0)),"")</f>
        <v/>
      </c>
    </row>
    <row r="9371">
      <c r="A9371">
        <f>IFERROR(INDEX('Email Cleaner'!$B$2:$B$10001,MATCH(9370,'Email Cleaner'!$I$2:$I$10001,0)),"")</f>
        <v/>
      </c>
    </row>
    <row r="9372">
      <c r="A9372">
        <f>IFERROR(INDEX('Email Cleaner'!$B$2:$B$10001,MATCH(9371,'Email Cleaner'!$I$2:$I$10001,0)),"")</f>
        <v/>
      </c>
    </row>
    <row r="9373">
      <c r="A9373">
        <f>IFERROR(INDEX('Email Cleaner'!$B$2:$B$10001,MATCH(9372,'Email Cleaner'!$I$2:$I$10001,0)),"")</f>
        <v/>
      </c>
    </row>
    <row r="9374">
      <c r="A9374">
        <f>IFERROR(INDEX('Email Cleaner'!$B$2:$B$10001,MATCH(9373,'Email Cleaner'!$I$2:$I$10001,0)),"")</f>
        <v/>
      </c>
    </row>
    <row r="9375">
      <c r="A9375">
        <f>IFERROR(INDEX('Email Cleaner'!$B$2:$B$10001,MATCH(9374,'Email Cleaner'!$I$2:$I$10001,0)),"")</f>
        <v/>
      </c>
    </row>
    <row r="9376">
      <c r="A9376">
        <f>IFERROR(INDEX('Email Cleaner'!$B$2:$B$10001,MATCH(9375,'Email Cleaner'!$I$2:$I$10001,0)),"")</f>
        <v/>
      </c>
    </row>
    <row r="9377">
      <c r="A9377">
        <f>IFERROR(INDEX('Email Cleaner'!$B$2:$B$10001,MATCH(9376,'Email Cleaner'!$I$2:$I$10001,0)),"")</f>
        <v/>
      </c>
    </row>
    <row r="9378">
      <c r="A9378">
        <f>IFERROR(INDEX('Email Cleaner'!$B$2:$B$10001,MATCH(9377,'Email Cleaner'!$I$2:$I$10001,0)),"")</f>
        <v/>
      </c>
    </row>
    <row r="9379">
      <c r="A9379">
        <f>IFERROR(INDEX('Email Cleaner'!$B$2:$B$10001,MATCH(9378,'Email Cleaner'!$I$2:$I$10001,0)),"")</f>
        <v/>
      </c>
    </row>
    <row r="9380">
      <c r="A9380">
        <f>IFERROR(INDEX('Email Cleaner'!$B$2:$B$10001,MATCH(9379,'Email Cleaner'!$I$2:$I$10001,0)),"")</f>
        <v/>
      </c>
    </row>
    <row r="9381">
      <c r="A9381">
        <f>IFERROR(INDEX('Email Cleaner'!$B$2:$B$10001,MATCH(9380,'Email Cleaner'!$I$2:$I$10001,0)),"")</f>
        <v/>
      </c>
    </row>
    <row r="9382">
      <c r="A9382">
        <f>IFERROR(INDEX('Email Cleaner'!$B$2:$B$10001,MATCH(9381,'Email Cleaner'!$I$2:$I$10001,0)),"")</f>
        <v/>
      </c>
    </row>
    <row r="9383">
      <c r="A9383">
        <f>IFERROR(INDEX('Email Cleaner'!$B$2:$B$10001,MATCH(9382,'Email Cleaner'!$I$2:$I$10001,0)),"")</f>
        <v/>
      </c>
    </row>
    <row r="9384">
      <c r="A9384">
        <f>IFERROR(INDEX('Email Cleaner'!$B$2:$B$10001,MATCH(9383,'Email Cleaner'!$I$2:$I$10001,0)),"")</f>
        <v/>
      </c>
    </row>
    <row r="9385">
      <c r="A9385">
        <f>IFERROR(INDEX('Email Cleaner'!$B$2:$B$10001,MATCH(9384,'Email Cleaner'!$I$2:$I$10001,0)),"")</f>
        <v/>
      </c>
    </row>
    <row r="9386">
      <c r="A9386">
        <f>IFERROR(INDEX('Email Cleaner'!$B$2:$B$10001,MATCH(9385,'Email Cleaner'!$I$2:$I$10001,0)),"")</f>
        <v/>
      </c>
    </row>
    <row r="9387">
      <c r="A9387">
        <f>IFERROR(INDEX('Email Cleaner'!$B$2:$B$10001,MATCH(9386,'Email Cleaner'!$I$2:$I$10001,0)),"")</f>
        <v/>
      </c>
    </row>
    <row r="9388">
      <c r="A9388">
        <f>IFERROR(INDEX('Email Cleaner'!$B$2:$B$10001,MATCH(9387,'Email Cleaner'!$I$2:$I$10001,0)),"")</f>
        <v/>
      </c>
    </row>
    <row r="9389">
      <c r="A9389">
        <f>IFERROR(INDEX('Email Cleaner'!$B$2:$B$10001,MATCH(9388,'Email Cleaner'!$I$2:$I$10001,0)),"")</f>
        <v/>
      </c>
    </row>
    <row r="9390">
      <c r="A9390">
        <f>IFERROR(INDEX('Email Cleaner'!$B$2:$B$10001,MATCH(9389,'Email Cleaner'!$I$2:$I$10001,0)),"")</f>
        <v/>
      </c>
    </row>
    <row r="9391">
      <c r="A9391">
        <f>IFERROR(INDEX('Email Cleaner'!$B$2:$B$10001,MATCH(9390,'Email Cleaner'!$I$2:$I$10001,0)),"")</f>
        <v/>
      </c>
    </row>
    <row r="9392">
      <c r="A9392">
        <f>IFERROR(INDEX('Email Cleaner'!$B$2:$B$10001,MATCH(9391,'Email Cleaner'!$I$2:$I$10001,0)),"")</f>
        <v/>
      </c>
    </row>
    <row r="9393">
      <c r="A9393">
        <f>IFERROR(INDEX('Email Cleaner'!$B$2:$B$10001,MATCH(9392,'Email Cleaner'!$I$2:$I$10001,0)),"")</f>
        <v/>
      </c>
    </row>
    <row r="9394">
      <c r="A9394">
        <f>IFERROR(INDEX('Email Cleaner'!$B$2:$B$10001,MATCH(9393,'Email Cleaner'!$I$2:$I$10001,0)),"")</f>
        <v/>
      </c>
    </row>
    <row r="9395">
      <c r="A9395">
        <f>IFERROR(INDEX('Email Cleaner'!$B$2:$B$10001,MATCH(9394,'Email Cleaner'!$I$2:$I$10001,0)),"")</f>
        <v/>
      </c>
    </row>
    <row r="9396">
      <c r="A9396">
        <f>IFERROR(INDEX('Email Cleaner'!$B$2:$B$10001,MATCH(9395,'Email Cleaner'!$I$2:$I$10001,0)),"")</f>
        <v/>
      </c>
    </row>
    <row r="9397">
      <c r="A9397">
        <f>IFERROR(INDEX('Email Cleaner'!$B$2:$B$10001,MATCH(9396,'Email Cleaner'!$I$2:$I$10001,0)),"")</f>
        <v/>
      </c>
    </row>
    <row r="9398">
      <c r="A9398">
        <f>IFERROR(INDEX('Email Cleaner'!$B$2:$B$10001,MATCH(9397,'Email Cleaner'!$I$2:$I$10001,0)),"")</f>
        <v/>
      </c>
    </row>
    <row r="9399">
      <c r="A9399">
        <f>IFERROR(INDEX('Email Cleaner'!$B$2:$B$10001,MATCH(9398,'Email Cleaner'!$I$2:$I$10001,0)),"")</f>
        <v/>
      </c>
    </row>
    <row r="9400">
      <c r="A9400">
        <f>IFERROR(INDEX('Email Cleaner'!$B$2:$B$10001,MATCH(9399,'Email Cleaner'!$I$2:$I$10001,0)),"")</f>
        <v/>
      </c>
    </row>
    <row r="9401">
      <c r="A9401">
        <f>IFERROR(INDEX('Email Cleaner'!$B$2:$B$10001,MATCH(9400,'Email Cleaner'!$I$2:$I$10001,0)),"")</f>
        <v/>
      </c>
    </row>
    <row r="9402">
      <c r="A9402">
        <f>IFERROR(INDEX('Email Cleaner'!$B$2:$B$10001,MATCH(9401,'Email Cleaner'!$I$2:$I$10001,0)),"")</f>
        <v/>
      </c>
    </row>
    <row r="9403">
      <c r="A9403">
        <f>IFERROR(INDEX('Email Cleaner'!$B$2:$B$10001,MATCH(9402,'Email Cleaner'!$I$2:$I$10001,0)),"")</f>
        <v/>
      </c>
    </row>
    <row r="9404">
      <c r="A9404">
        <f>IFERROR(INDEX('Email Cleaner'!$B$2:$B$10001,MATCH(9403,'Email Cleaner'!$I$2:$I$10001,0)),"")</f>
        <v/>
      </c>
    </row>
    <row r="9405">
      <c r="A9405">
        <f>IFERROR(INDEX('Email Cleaner'!$B$2:$B$10001,MATCH(9404,'Email Cleaner'!$I$2:$I$10001,0)),"")</f>
        <v/>
      </c>
    </row>
    <row r="9406">
      <c r="A9406">
        <f>IFERROR(INDEX('Email Cleaner'!$B$2:$B$10001,MATCH(9405,'Email Cleaner'!$I$2:$I$10001,0)),"")</f>
        <v/>
      </c>
    </row>
    <row r="9407">
      <c r="A9407">
        <f>IFERROR(INDEX('Email Cleaner'!$B$2:$B$10001,MATCH(9406,'Email Cleaner'!$I$2:$I$10001,0)),"")</f>
        <v/>
      </c>
    </row>
    <row r="9408">
      <c r="A9408">
        <f>IFERROR(INDEX('Email Cleaner'!$B$2:$B$10001,MATCH(9407,'Email Cleaner'!$I$2:$I$10001,0)),"")</f>
        <v/>
      </c>
    </row>
    <row r="9409">
      <c r="A9409">
        <f>IFERROR(INDEX('Email Cleaner'!$B$2:$B$10001,MATCH(9408,'Email Cleaner'!$I$2:$I$10001,0)),"")</f>
        <v/>
      </c>
    </row>
    <row r="9410">
      <c r="A9410">
        <f>IFERROR(INDEX('Email Cleaner'!$B$2:$B$10001,MATCH(9409,'Email Cleaner'!$I$2:$I$10001,0)),"")</f>
        <v/>
      </c>
    </row>
    <row r="9411">
      <c r="A9411">
        <f>IFERROR(INDEX('Email Cleaner'!$B$2:$B$10001,MATCH(9410,'Email Cleaner'!$I$2:$I$10001,0)),"")</f>
        <v/>
      </c>
    </row>
    <row r="9412">
      <c r="A9412">
        <f>IFERROR(INDEX('Email Cleaner'!$B$2:$B$10001,MATCH(9411,'Email Cleaner'!$I$2:$I$10001,0)),"")</f>
        <v/>
      </c>
    </row>
    <row r="9413">
      <c r="A9413">
        <f>IFERROR(INDEX('Email Cleaner'!$B$2:$B$10001,MATCH(9412,'Email Cleaner'!$I$2:$I$10001,0)),"")</f>
        <v/>
      </c>
    </row>
    <row r="9414">
      <c r="A9414">
        <f>IFERROR(INDEX('Email Cleaner'!$B$2:$B$10001,MATCH(9413,'Email Cleaner'!$I$2:$I$10001,0)),"")</f>
        <v/>
      </c>
    </row>
    <row r="9415">
      <c r="A9415">
        <f>IFERROR(INDEX('Email Cleaner'!$B$2:$B$10001,MATCH(9414,'Email Cleaner'!$I$2:$I$10001,0)),"")</f>
        <v/>
      </c>
    </row>
    <row r="9416">
      <c r="A9416">
        <f>IFERROR(INDEX('Email Cleaner'!$B$2:$B$10001,MATCH(9415,'Email Cleaner'!$I$2:$I$10001,0)),"")</f>
        <v/>
      </c>
    </row>
    <row r="9417">
      <c r="A9417">
        <f>IFERROR(INDEX('Email Cleaner'!$B$2:$B$10001,MATCH(9416,'Email Cleaner'!$I$2:$I$10001,0)),"")</f>
        <v/>
      </c>
    </row>
    <row r="9418">
      <c r="A9418">
        <f>IFERROR(INDEX('Email Cleaner'!$B$2:$B$10001,MATCH(9417,'Email Cleaner'!$I$2:$I$10001,0)),"")</f>
        <v/>
      </c>
    </row>
    <row r="9419">
      <c r="A9419">
        <f>IFERROR(INDEX('Email Cleaner'!$B$2:$B$10001,MATCH(9418,'Email Cleaner'!$I$2:$I$10001,0)),"")</f>
        <v/>
      </c>
    </row>
    <row r="9420">
      <c r="A9420">
        <f>IFERROR(INDEX('Email Cleaner'!$B$2:$B$10001,MATCH(9419,'Email Cleaner'!$I$2:$I$10001,0)),"")</f>
        <v/>
      </c>
    </row>
    <row r="9421">
      <c r="A9421">
        <f>IFERROR(INDEX('Email Cleaner'!$B$2:$B$10001,MATCH(9420,'Email Cleaner'!$I$2:$I$10001,0)),"")</f>
        <v/>
      </c>
    </row>
    <row r="9422">
      <c r="A9422">
        <f>IFERROR(INDEX('Email Cleaner'!$B$2:$B$10001,MATCH(9421,'Email Cleaner'!$I$2:$I$10001,0)),"")</f>
        <v/>
      </c>
    </row>
    <row r="9423">
      <c r="A9423">
        <f>IFERROR(INDEX('Email Cleaner'!$B$2:$B$10001,MATCH(9422,'Email Cleaner'!$I$2:$I$10001,0)),"")</f>
        <v/>
      </c>
    </row>
    <row r="9424">
      <c r="A9424">
        <f>IFERROR(INDEX('Email Cleaner'!$B$2:$B$10001,MATCH(9423,'Email Cleaner'!$I$2:$I$10001,0)),"")</f>
        <v/>
      </c>
    </row>
    <row r="9425">
      <c r="A9425">
        <f>IFERROR(INDEX('Email Cleaner'!$B$2:$B$10001,MATCH(9424,'Email Cleaner'!$I$2:$I$10001,0)),"")</f>
        <v/>
      </c>
    </row>
    <row r="9426">
      <c r="A9426">
        <f>IFERROR(INDEX('Email Cleaner'!$B$2:$B$10001,MATCH(9425,'Email Cleaner'!$I$2:$I$10001,0)),"")</f>
        <v/>
      </c>
    </row>
    <row r="9427">
      <c r="A9427">
        <f>IFERROR(INDEX('Email Cleaner'!$B$2:$B$10001,MATCH(9426,'Email Cleaner'!$I$2:$I$10001,0)),"")</f>
        <v/>
      </c>
    </row>
    <row r="9428">
      <c r="A9428">
        <f>IFERROR(INDEX('Email Cleaner'!$B$2:$B$10001,MATCH(9427,'Email Cleaner'!$I$2:$I$10001,0)),"")</f>
        <v/>
      </c>
    </row>
    <row r="9429">
      <c r="A9429">
        <f>IFERROR(INDEX('Email Cleaner'!$B$2:$B$10001,MATCH(9428,'Email Cleaner'!$I$2:$I$10001,0)),"")</f>
        <v/>
      </c>
    </row>
    <row r="9430">
      <c r="A9430">
        <f>IFERROR(INDEX('Email Cleaner'!$B$2:$B$10001,MATCH(9429,'Email Cleaner'!$I$2:$I$10001,0)),"")</f>
        <v/>
      </c>
    </row>
    <row r="9431">
      <c r="A9431">
        <f>IFERROR(INDEX('Email Cleaner'!$B$2:$B$10001,MATCH(9430,'Email Cleaner'!$I$2:$I$10001,0)),"")</f>
        <v/>
      </c>
    </row>
    <row r="9432">
      <c r="A9432">
        <f>IFERROR(INDEX('Email Cleaner'!$B$2:$B$10001,MATCH(9431,'Email Cleaner'!$I$2:$I$10001,0)),"")</f>
        <v/>
      </c>
    </row>
    <row r="9433">
      <c r="A9433">
        <f>IFERROR(INDEX('Email Cleaner'!$B$2:$B$10001,MATCH(9432,'Email Cleaner'!$I$2:$I$10001,0)),"")</f>
        <v/>
      </c>
    </row>
    <row r="9434">
      <c r="A9434">
        <f>IFERROR(INDEX('Email Cleaner'!$B$2:$B$10001,MATCH(9433,'Email Cleaner'!$I$2:$I$10001,0)),"")</f>
        <v/>
      </c>
    </row>
    <row r="9435">
      <c r="A9435">
        <f>IFERROR(INDEX('Email Cleaner'!$B$2:$B$10001,MATCH(9434,'Email Cleaner'!$I$2:$I$10001,0)),"")</f>
        <v/>
      </c>
    </row>
    <row r="9436">
      <c r="A9436">
        <f>IFERROR(INDEX('Email Cleaner'!$B$2:$B$10001,MATCH(9435,'Email Cleaner'!$I$2:$I$10001,0)),"")</f>
        <v/>
      </c>
    </row>
    <row r="9437">
      <c r="A9437">
        <f>IFERROR(INDEX('Email Cleaner'!$B$2:$B$10001,MATCH(9436,'Email Cleaner'!$I$2:$I$10001,0)),"")</f>
        <v/>
      </c>
    </row>
    <row r="9438">
      <c r="A9438">
        <f>IFERROR(INDEX('Email Cleaner'!$B$2:$B$10001,MATCH(9437,'Email Cleaner'!$I$2:$I$10001,0)),"")</f>
        <v/>
      </c>
    </row>
    <row r="9439">
      <c r="A9439">
        <f>IFERROR(INDEX('Email Cleaner'!$B$2:$B$10001,MATCH(9438,'Email Cleaner'!$I$2:$I$10001,0)),"")</f>
        <v/>
      </c>
    </row>
    <row r="9440">
      <c r="A9440">
        <f>IFERROR(INDEX('Email Cleaner'!$B$2:$B$10001,MATCH(9439,'Email Cleaner'!$I$2:$I$10001,0)),"")</f>
        <v/>
      </c>
    </row>
    <row r="9441">
      <c r="A9441">
        <f>IFERROR(INDEX('Email Cleaner'!$B$2:$B$10001,MATCH(9440,'Email Cleaner'!$I$2:$I$10001,0)),"")</f>
        <v/>
      </c>
    </row>
    <row r="9442">
      <c r="A9442">
        <f>IFERROR(INDEX('Email Cleaner'!$B$2:$B$10001,MATCH(9441,'Email Cleaner'!$I$2:$I$10001,0)),"")</f>
        <v/>
      </c>
    </row>
    <row r="9443">
      <c r="A9443">
        <f>IFERROR(INDEX('Email Cleaner'!$B$2:$B$10001,MATCH(9442,'Email Cleaner'!$I$2:$I$10001,0)),"")</f>
        <v/>
      </c>
    </row>
    <row r="9444">
      <c r="A9444">
        <f>IFERROR(INDEX('Email Cleaner'!$B$2:$B$10001,MATCH(9443,'Email Cleaner'!$I$2:$I$10001,0)),"")</f>
        <v/>
      </c>
    </row>
    <row r="9445">
      <c r="A9445">
        <f>IFERROR(INDEX('Email Cleaner'!$B$2:$B$10001,MATCH(9444,'Email Cleaner'!$I$2:$I$10001,0)),"")</f>
        <v/>
      </c>
    </row>
    <row r="9446">
      <c r="A9446">
        <f>IFERROR(INDEX('Email Cleaner'!$B$2:$B$10001,MATCH(9445,'Email Cleaner'!$I$2:$I$10001,0)),"")</f>
        <v/>
      </c>
    </row>
    <row r="9447">
      <c r="A9447">
        <f>IFERROR(INDEX('Email Cleaner'!$B$2:$B$10001,MATCH(9446,'Email Cleaner'!$I$2:$I$10001,0)),"")</f>
        <v/>
      </c>
    </row>
    <row r="9448">
      <c r="A9448">
        <f>IFERROR(INDEX('Email Cleaner'!$B$2:$B$10001,MATCH(9447,'Email Cleaner'!$I$2:$I$10001,0)),"")</f>
        <v/>
      </c>
    </row>
    <row r="9449">
      <c r="A9449">
        <f>IFERROR(INDEX('Email Cleaner'!$B$2:$B$10001,MATCH(9448,'Email Cleaner'!$I$2:$I$10001,0)),"")</f>
        <v/>
      </c>
    </row>
    <row r="9450">
      <c r="A9450">
        <f>IFERROR(INDEX('Email Cleaner'!$B$2:$B$10001,MATCH(9449,'Email Cleaner'!$I$2:$I$10001,0)),"")</f>
        <v/>
      </c>
    </row>
    <row r="9451">
      <c r="A9451">
        <f>IFERROR(INDEX('Email Cleaner'!$B$2:$B$10001,MATCH(9450,'Email Cleaner'!$I$2:$I$10001,0)),"")</f>
        <v/>
      </c>
    </row>
    <row r="9452">
      <c r="A9452">
        <f>IFERROR(INDEX('Email Cleaner'!$B$2:$B$10001,MATCH(9451,'Email Cleaner'!$I$2:$I$10001,0)),"")</f>
        <v/>
      </c>
    </row>
    <row r="9453">
      <c r="A9453">
        <f>IFERROR(INDEX('Email Cleaner'!$B$2:$B$10001,MATCH(9452,'Email Cleaner'!$I$2:$I$10001,0)),"")</f>
        <v/>
      </c>
    </row>
    <row r="9454">
      <c r="A9454">
        <f>IFERROR(INDEX('Email Cleaner'!$B$2:$B$10001,MATCH(9453,'Email Cleaner'!$I$2:$I$10001,0)),"")</f>
        <v/>
      </c>
    </row>
    <row r="9455">
      <c r="A9455">
        <f>IFERROR(INDEX('Email Cleaner'!$B$2:$B$10001,MATCH(9454,'Email Cleaner'!$I$2:$I$10001,0)),"")</f>
        <v/>
      </c>
    </row>
    <row r="9456">
      <c r="A9456">
        <f>IFERROR(INDEX('Email Cleaner'!$B$2:$B$10001,MATCH(9455,'Email Cleaner'!$I$2:$I$10001,0)),"")</f>
        <v/>
      </c>
    </row>
    <row r="9457">
      <c r="A9457">
        <f>IFERROR(INDEX('Email Cleaner'!$B$2:$B$10001,MATCH(9456,'Email Cleaner'!$I$2:$I$10001,0)),"")</f>
        <v/>
      </c>
    </row>
    <row r="9458">
      <c r="A9458">
        <f>IFERROR(INDEX('Email Cleaner'!$B$2:$B$10001,MATCH(9457,'Email Cleaner'!$I$2:$I$10001,0)),"")</f>
        <v/>
      </c>
    </row>
    <row r="9459">
      <c r="A9459">
        <f>IFERROR(INDEX('Email Cleaner'!$B$2:$B$10001,MATCH(9458,'Email Cleaner'!$I$2:$I$10001,0)),"")</f>
        <v/>
      </c>
    </row>
    <row r="9460">
      <c r="A9460">
        <f>IFERROR(INDEX('Email Cleaner'!$B$2:$B$10001,MATCH(9459,'Email Cleaner'!$I$2:$I$10001,0)),"")</f>
        <v/>
      </c>
    </row>
    <row r="9461">
      <c r="A9461">
        <f>IFERROR(INDEX('Email Cleaner'!$B$2:$B$10001,MATCH(9460,'Email Cleaner'!$I$2:$I$10001,0)),"")</f>
        <v/>
      </c>
    </row>
    <row r="9462">
      <c r="A9462">
        <f>IFERROR(INDEX('Email Cleaner'!$B$2:$B$10001,MATCH(9461,'Email Cleaner'!$I$2:$I$10001,0)),"")</f>
        <v/>
      </c>
    </row>
    <row r="9463">
      <c r="A9463">
        <f>IFERROR(INDEX('Email Cleaner'!$B$2:$B$10001,MATCH(9462,'Email Cleaner'!$I$2:$I$10001,0)),"")</f>
        <v/>
      </c>
    </row>
    <row r="9464">
      <c r="A9464">
        <f>IFERROR(INDEX('Email Cleaner'!$B$2:$B$10001,MATCH(9463,'Email Cleaner'!$I$2:$I$10001,0)),"")</f>
        <v/>
      </c>
    </row>
    <row r="9465">
      <c r="A9465">
        <f>IFERROR(INDEX('Email Cleaner'!$B$2:$B$10001,MATCH(9464,'Email Cleaner'!$I$2:$I$10001,0)),"")</f>
        <v/>
      </c>
    </row>
    <row r="9466">
      <c r="A9466">
        <f>IFERROR(INDEX('Email Cleaner'!$B$2:$B$10001,MATCH(9465,'Email Cleaner'!$I$2:$I$10001,0)),"")</f>
        <v/>
      </c>
    </row>
    <row r="9467">
      <c r="A9467">
        <f>IFERROR(INDEX('Email Cleaner'!$B$2:$B$10001,MATCH(9466,'Email Cleaner'!$I$2:$I$10001,0)),"")</f>
        <v/>
      </c>
    </row>
    <row r="9468">
      <c r="A9468">
        <f>IFERROR(INDEX('Email Cleaner'!$B$2:$B$10001,MATCH(9467,'Email Cleaner'!$I$2:$I$10001,0)),"")</f>
        <v/>
      </c>
    </row>
    <row r="9469">
      <c r="A9469">
        <f>IFERROR(INDEX('Email Cleaner'!$B$2:$B$10001,MATCH(9468,'Email Cleaner'!$I$2:$I$10001,0)),"")</f>
        <v/>
      </c>
    </row>
    <row r="9470">
      <c r="A9470">
        <f>IFERROR(INDEX('Email Cleaner'!$B$2:$B$10001,MATCH(9469,'Email Cleaner'!$I$2:$I$10001,0)),"")</f>
        <v/>
      </c>
    </row>
    <row r="9471">
      <c r="A9471">
        <f>IFERROR(INDEX('Email Cleaner'!$B$2:$B$10001,MATCH(9470,'Email Cleaner'!$I$2:$I$10001,0)),"")</f>
        <v/>
      </c>
    </row>
    <row r="9472">
      <c r="A9472">
        <f>IFERROR(INDEX('Email Cleaner'!$B$2:$B$10001,MATCH(9471,'Email Cleaner'!$I$2:$I$10001,0)),"")</f>
        <v/>
      </c>
    </row>
    <row r="9473">
      <c r="A9473">
        <f>IFERROR(INDEX('Email Cleaner'!$B$2:$B$10001,MATCH(9472,'Email Cleaner'!$I$2:$I$10001,0)),"")</f>
        <v/>
      </c>
    </row>
    <row r="9474">
      <c r="A9474">
        <f>IFERROR(INDEX('Email Cleaner'!$B$2:$B$10001,MATCH(9473,'Email Cleaner'!$I$2:$I$10001,0)),"")</f>
        <v/>
      </c>
    </row>
    <row r="9475">
      <c r="A9475">
        <f>IFERROR(INDEX('Email Cleaner'!$B$2:$B$10001,MATCH(9474,'Email Cleaner'!$I$2:$I$10001,0)),"")</f>
        <v/>
      </c>
    </row>
    <row r="9476">
      <c r="A9476">
        <f>IFERROR(INDEX('Email Cleaner'!$B$2:$B$10001,MATCH(9475,'Email Cleaner'!$I$2:$I$10001,0)),"")</f>
        <v/>
      </c>
    </row>
    <row r="9477">
      <c r="A9477">
        <f>IFERROR(INDEX('Email Cleaner'!$B$2:$B$10001,MATCH(9476,'Email Cleaner'!$I$2:$I$10001,0)),"")</f>
        <v/>
      </c>
    </row>
    <row r="9478">
      <c r="A9478">
        <f>IFERROR(INDEX('Email Cleaner'!$B$2:$B$10001,MATCH(9477,'Email Cleaner'!$I$2:$I$10001,0)),"")</f>
        <v/>
      </c>
    </row>
    <row r="9479">
      <c r="A9479">
        <f>IFERROR(INDEX('Email Cleaner'!$B$2:$B$10001,MATCH(9478,'Email Cleaner'!$I$2:$I$10001,0)),"")</f>
        <v/>
      </c>
    </row>
    <row r="9480">
      <c r="A9480">
        <f>IFERROR(INDEX('Email Cleaner'!$B$2:$B$10001,MATCH(9479,'Email Cleaner'!$I$2:$I$10001,0)),"")</f>
        <v/>
      </c>
    </row>
    <row r="9481">
      <c r="A9481">
        <f>IFERROR(INDEX('Email Cleaner'!$B$2:$B$10001,MATCH(9480,'Email Cleaner'!$I$2:$I$10001,0)),"")</f>
        <v/>
      </c>
    </row>
    <row r="9482">
      <c r="A9482">
        <f>IFERROR(INDEX('Email Cleaner'!$B$2:$B$10001,MATCH(9481,'Email Cleaner'!$I$2:$I$10001,0)),"")</f>
        <v/>
      </c>
    </row>
    <row r="9483">
      <c r="A9483">
        <f>IFERROR(INDEX('Email Cleaner'!$B$2:$B$10001,MATCH(9482,'Email Cleaner'!$I$2:$I$10001,0)),"")</f>
        <v/>
      </c>
    </row>
    <row r="9484">
      <c r="A9484">
        <f>IFERROR(INDEX('Email Cleaner'!$B$2:$B$10001,MATCH(9483,'Email Cleaner'!$I$2:$I$10001,0)),"")</f>
        <v/>
      </c>
    </row>
    <row r="9485">
      <c r="A9485">
        <f>IFERROR(INDEX('Email Cleaner'!$B$2:$B$10001,MATCH(9484,'Email Cleaner'!$I$2:$I$10001,0)),"")</f>
        <v/>
      </c>
    </row>
    <row r="9486">
      <c r="A9486">
        <f>IFERROR(INDEX('Email Cleaner'!$B$2:$B$10001,MATCH(9485,'Email Cleaner'!$I$2:$I$10001,0)),"")</f>
        <v/>
      </c>
    </row>
    <row r="9487">
      <c r="A9487">
        <f>IFERROR(INDEX('Email Cleaner'!$B$2:$B$10001,MATCH(9486,'Email Cleaner'!$I$2:$I$10001,0)),"")</f>
        <v/>
      </c>
    </row>
    <row r="9488">
      <c r="A9488">
        <f>IFERROR(INDEX('Email Cleaner'!$B$2:$B$10001,MATCH(9487,'Email Cleaner'!$I$2:$I$10001,0)),"")</f>
        <v/>
      </c>
    </row>
    <row r="9489">
      <c r="A9489">
        <f>IFERROR(INDEX('Email Cleaner'!$B$2:$B$10001,MATCH(9488,'Email Cleaner'!$I$2:$I$10001,0)),"")</f>
        <v/>
      </c>
    </row>
    <row r="9490">
      <c r="A9490">
        <f>IFERROR(INDEX('Email Cleaner'!$B$2:$B$10001,MATCH(9489,'Email Cleaner'!$I$2:$I$10001,0)),"")</f>
        <v/>
      </c>
    </row>
    <row r="9491">
      <c r="A9491">
        <f>IFERROR(INDEX('Email Cleaner'!$B$2:$B$10001,MATCH(9490,'Email Cleaner'!$I$2:$I$10001,0)),"")</f>
        <v/>
      </c>
    </row>
    <row r="9492">
      <c r="A9492">
        <f>IFERROR(INDEX('Email Cleaner'!$B$2:$B$10001,MATCH(9491,'Email Cleaner'!$I$2:$I$10001,0)),"")</f>
        <v/>
      </c>
    </row>
    <row r="9493">
      <c r="A9493">
        <f>IFERROR(INDEX('Email Cleaner'!$B$2:$B$10001,MATCH(9492,'Email Cleaner'!$I$2:$I$10001,0)),"")</f>
        <v/>
      </c>
    </row>
    <row r="9494">
      <c r="A9494">
        <f>IFERROR(INDEX('Email Cleaner'!$B$2:$B$10001,MATCH(9493,'Email Cleaner'!$I$2:$I$10001,0)),"")</f>
        <v/>
      </c>
    </row>
    <row r="9495">
      <c r="A9495">
        <f>IFERROR(INDEX('Email Cleaner'!$B$2:$B$10001,MATCH(9494,'Email Cleaner'!$I$2:$I$10001,0)),"")</f>
        <v/>
      </c>
    </row>
    <row r="9496">
      <c r="A9496">
        <f>IFERROR(INDEX('Email Cleaner'!$B$2:$B$10001,MATCH(9495,'Email Cleaner'!$I$2:$I$10001,0)),"")</f>
        <v/>
      </c>
    </row>
    <row r="9497">
      <c r="A9497">
        <f>IFERROR(INDEX('Email Cleaner'!$B$2:$B$10001,MATCH(9496,'Email Cleaner'!$I$2:$I$10001,0)),"")</f>
        <v/>
      </c>
    </row>
    <row r="9498">
      <c r="A9498">
        <f>IFERROR(INDEX('Email Cleaner'!$B$2:$B$10001,MATCH(9497,'Email Cleaner'!$I$2:$I$10001,0)),"")</f>
        <v/>
      </c>
    </row>
    <row r="9499">
      <c r="A9499">
        <f>IFERROR(INDEX('Email Cleaner'!$B$2:$B$10001,MATCH(9498,'Email Cleaner'!$I$2:$I$10001,0)),"")</f>
        <v/>
      </c>
    </row>
    <row r="9500">
      <c r="A9500">
        <f>IFERROR(INDEX('Email Cleaner'!$B$2:$B$10001,MATCH(9499,'Email Cleaner'!$I$2:$I$10001,0)),"")</f>
        <v/>
      </c>
    </row>
    <row r="9501">
      <c r="A9501">
        <f>IFERROR(INDEX('Email Cleaner'!$B$2:$B$10001,MATCH(9500,'Email Cleaner'!$I$2:$I$10001,0)),"")</f>
        <v/>
      </c>
    </row>
    <row r="9502">
      <c r="A9502">
        <f>IFERROR(INDEX('Email Cleaner'!$B$2:$B$10001,MATCH(9501,'Email Cleaner'!$I$2:$I$10001,0)),"")</f>
        <v/>
      </c>
    </row>
    <row r="9503">
      <c r="A9503">
        <f>IFERROR(INDEX('Email Cleaner'!$B$2:$B$10001,MATCH(9502,'Email Cleaner'!$I$2:$I$10001,0)),"")</f>
        <v/>
      </c>
    </row>
    <row r="9504">
      <c r="A9504">
        <f>IFERROR(INDEX('Email Cleaner'!$B$2:$B$10001,MATCH(9503,'Email Cleaner'!$I$2:$I$10001,0)),"")</f>
        <v/>
      </c>
    </row>
    <row r="9505">
      <c r="A9505">
        <f>IFERROR(INDEX('Email Cleaner'!$B$2:$B$10001,MATCH(9504,'Email Cleaner'!$I$2:$I$10001,0)),"")</f>
        <v/>
      </c>
    </row>
    <row r="9506">
      <c r="A9506">
        <f>IFERROR(INDEX('Email Cleaner'!$B$2:$B$10001,MATCH(9505,'Email Cleaner'!$I$2:$I$10001,0)),"")</f>
        <v/>
      </c>
    </row>
    <row r="9507">
      <c r="A9507">
        <f>IFERROR(INDEX('Email Cleaner'!$B$2:$B$10001,MATCH(9506,'Email Cleaner'!$I$2:$I$10001,0)),"")</f>
        <v/>
      </c>
    </row>
    <row r="9508">
      <c r="A9508">
        <f>IFERROR(INDEX('Email Cleaner'!$B$2:$B$10001,MATCH(9507,'Email Cleaner'!$I$2:$I$10001,0)),"")</f>
        <v/>
      </c>
    </row>
    <row r="9509">
      <c r="A9509">
        <f>IFERROR(INDEX('Email Cleaner'!$B$2:$B$10001,MATCH(9508,'Email Cleaner'!$I$2:$I$10001,0)),"")</f>
        <v/>
      </c>
    </row>
    <row r="9510">
      <c r="A9510">
        <f>IFERROR(INDEX('Email Cleaner'!$B$2:$B$10001,MATCH(9509,'Email Cleaner'!$I$2:$I$10001,0)),"")</f>
        <v/>
      </c>
    </row>
    <row r="9511">
      <c r="A9511">
        <f>IFERROR(INDEX('Email Cleaner'!$B$2:$B$10001,MATCH(9510,'Email Cleaner'!$I$2:$I$10001,0)),"")</f>
        <v/>
      </c>
    </row>
    <row r="9512">
      <c r="A9512">
        <f>IFERROR(INDEX('Email Cleaner'!$B$2:$B$10001,MATCH(9511,'Email Cleaner'!$I$2:$I$10001,0)),"")</f>
        <v/>
      </c>
    </row>
    <row r="9513">
      <c r="A9513">
        <f>IFERROR(INDEX('Email Cleaner'!$B$2:$B$10001,MATCH(9512,'Email Cleaner'!$I$2:$I$10001,0)),"")</f>
        <v/>
      </c>
    </row>
    <row r="9514">
      <c r="A9514">
        <f>IFERROR(INDEX('Email Cleaner'!$B$2:$B$10001,MATCH(9513,'Email Cleaner'!$I$2:$I$10001,0)),"")</f>
        <v/>
      </c>
    </row>
    <row r="9515">
      <c r="A9515">
        <f>IFERROR(INDEX('Email Cleaner'!$B$2:$B$10001,MATCH(9514,'Email Cleaner'!$I$2:$I$10001,0)),"")</f>
        <v/>
      </c>
    </row>
    <row r="9516">
      <c r="A9516">
        <f>IFERROR(INDEX('Email Cleaner'!$B$2:$B$10001,MATCH(9515,'Email Cleaner'!$I$2:$I$10001,0)),"")</f>
        <v/>
      </c>
    </row>
    <row r="9517">
      <c r="A9517">
        <f>IFERROR(INDEX('Email Cleaner'!$B$2:$B$10001,MATCH(9516,'Email Cleaner'!$I$2:$I$10001,0)),"")</f>
        <v/>
      </c>
    </row>
    <row r="9518">
      <c r="A9518">
        <f>IFERROR(INDEX('Email Cleaner'!$B$2:$B$10001,MATCH(9517,'Email Cleaner'!$I$2:$I$10001,0)),"")</f>
        <v/>
      </c>
    </row>
    <row r="9519">
      <c r="A9519">
        <f>IFERROR(INDEX('Email Cleaner'!$B$2:$B$10001,MATCH(9518,'Email Cleaner'!$I$2:$I$10001,0)),"")</f>
        <v/>
      </c>
    </row>
    <row r="9520">
      <c r="A9520">
        <f>IFERROR(INDEX('Email Cleaner'!$B$2:$B$10001,MATCH(9519,'Email Cleaner'!$I$2:$I$10001,0)),"")</f>
        <v/>
      </c>
    </row>
    <row r="9521">
      <c r="A9521">
        <f>IFERROR(INDEX('Email Cleaner'!$B$2:$B$10001,MATCH(9520,'Email Cleaner'!$I$2:$I$10001,0)),"")</f>
        <v/>
      </c>
    </row>
    <row r="9522">
      <c r="A9522">
        <f>IFERROR(INDEX('Email Cleaner'!$B$2:$B$10001,MATCH(9521,'Email Cleaner'!$I$2:$I$10001,0)),"")</f>
        <v/>
      </c>
    </row>
    <row r="9523">
      <c r="A9523">
        <f>IFERROR(INDEX('Email Cleaner'!$B$2:$B$10001,MATCH(9522,'Email Cleaner'!$I$2:$I$10001,0)),"")</f>
        <v/>
      </c>
    </row>
    <row r="9524">
      <c r="A9524">
        <f>IFERROR(INDEX('Email Cleaner'!$B$2:$B$10001,MATCH(9523,'Email Cleaner'!$I$2:$I$10001,0)),"")</f>
        <v/>
      </c>
    </row>
    <row r="9525">
      <c r="A9525">
        <f>IFERROR(INDEX('Email Cleaner'!$B$2:$B$10001,MATCH(9524,'Email Cleaner'!$I$2:$I$10001,0)),"")</f>
        <v/>
      </c>
    </row>
    <row r="9526">
      <c r="A9526">
        <f>IFERROR(INDEX('Email Cleaner'!$B$2:$B$10001,MATCH(9525,'Email Cleaner'!$I$2:$I$10001,0)),"")</f>
        <v/>
      </c>
    </row>
    <row r="9527">
      <c r="A9527">
        <f>IFERROR(INDEX('Email Cleaner'!$B$2:$B$10001,MATCH(9526,'Email Cleaner'!$I$2:$I$10001,0)),"")</f>
        <v/>
      </c>
    </row>
    <row r="9528">
      <c r="A9528">
        <f>IFERROR(INDEX('Email Cleaner'!$B$2:$B$10001,MATCH(9527,'Email Cleaner'!$I$2:$I$10001,0)),"")</f>
        <v/>
      </c>
    </row>
    <row r="9529">
      <c r="A9529">
        <f>IFERROR(INDEX('Email Cleaner'!$B$2:$B$10001,MATCH(9528,'Email Cleaner'!$I$2:$I$10001,0)),"")</f>
        <v/>
      </c>
    </row>
    <row r="9530">
      <c r="A9530">
        <f>IFERROR(INDEX('Email Cleaner'!$B$2:$B$10001,MATCH(9529,'Email Cleaner'!$I$2:$I$10001,0)),"")</f>
        <v/>
      </c>
    </row>
    <row r="9531">
      <c r="A9531">
        <f>IFERROR(INDEX('Email Cleaner'!$B$2:$B$10001,MATCH(9530,'Email Cleaner'!$I$2:$I$10001,0)),"")</f>
        <v/>
      </c>
    </row>
    <row r="9532">
      <c r="A9532">
        <f>IFERROR(INDEX('Email Cleaner'!$B$2:$B$10001,MATCH(9531,'Email Cleaner'!$I$2:$I$10001,0)),"")</f>
        <v/>
      </c>
    </row>
    <row r="9533">
      <c r="A9533">
        <f>IFERROR(INDEX('Email Cleaner'!$B$2:$B$10001,MATCH(9532,'Email Cleaner'!$I$2:$I$10001,0)),"")</f>
        <v/>
      </c>
    </row>
    <row r="9534">
      <c r="A9534">
        <f>IFERROR(INDEX('Email Cleaner'!$B$2:$B$10001,MATCH(9533,'Email Cleaner'!$I$2:$I$10001,0)),"")</f>
        <v/>
      </c>
    </row>
    <row r="9535">
      <c r="A9535">
        <f>IFERROR(INDEX('Email Cleaner'!$B$2:$B$10001,MATCH(9534,'Email Cleaner'!$I$2:$I$10001,0)),"")</f>
        <v/>
      </c>
    </row>
    <row r="9536">
      <c r="A9536">
        <f>IFERROR(INDEX('Email Cleaner'!$B$2:$B$10001,MATCH(9535,'Email Cleaner'!$I$2:$I$10001,0)),"")</f>
        <v/>
      </c>
    </row>
    <row r="9537">
      <c r="A9537">
        <f>IFERROR(INDEX('Email Cleaner'!$B$2:$B$10001,MATCH(9536,'Email Cleaner'!$I$2:$I$10001,0)),"")</f>
        <v/>
      </c>
    </row>
    <row r="9538">
      <c r="A9538">
        <f>IFERROR(INDEX('Email Cleaner'!$B$2:$B$10001,MATCH(9537,'Email Cleaner'!$I$2:$I$10001,0)),"")</f>
        <v/>
      </c>
    </row>
    <row r="9539">
      <c r="A9539">
        <f>IFERROR(INDEX('Email Cleaner'!$B$2:$B$10001,MATCH(9538,'Email Cleaner'!$I$2:$I$10001,0)),"")</f>
        <v/>
      </c>
    </row>
    <row r="9540">
      <c r="A9540">
        <f>IFERROR(INDEX('Email Cleaner'!$B$2:$B$10001,MATCH(9539,'Email Cleaner'!$I$2:$I$10001,0)),"")</f>
        <v/>
      </c>
    </row>
    <row r="9541">
      <c r="A9541">
        <f>IFERROR(INDEX('Email Cleaner'!$B$2:$B$10001,MATCH(9540,'Email Cleaner'!$I$2:$I$10001,0)),"")</f>
        <v/>
      </c>
    </row>
    <row r="9542">
      <c r="A9542">
        <f>IFERROR(INDEX('Email Cleaner'!$B$2:$B$10001,MATCH(9541,'Email Cleaner'!$I$2:$I$10001,0)),"")</f>
        <v/>
      </c>
    </row>
    <row r="9543">
      <c r="A9543">
        <f>IFERROR(INDEX('Email Cleaner'!$B$2:$B$10001,MATCH(9542,'Email Cleaner'!$I$2:$I$10001,0)),"")</f>
        <v/>
      </c>
    </row>
    <row r="9544">
      <c r="A9544">
        <f>IFERROR(INDEX('Email Cleaner'!$B$2:$B$10001,MATCH(9543,'Email Cleaner'!$I$2:$I$10001,0)),"")</f>
        <v/>
      </c>
    </row>
    <row r="9545">
      <c r="A9545">
        <f>IFERROR(INDEX('Email Cleaner'!$B$2:$B$10001,MATCH(9544,'Email Cleaner'!$I$2:$I$10001,0)),"")</f>
        <v/>
      </c>
    </row>
    <row r="9546">
      <c r="A9546">
        <f>IFERROR(INDEX('Email Cleaner'!$B$2:$B$10001,MATCH(9545,'Email Cleaner'!$I$2:$I$10001,0)),"")</f>
        <v/>
      </c>
    </row>
    <row r="9547">
      <c r="A9547">
        <f>IFERROR(INDEX('Email Cleaner'!$B$2:$B$10001,MATCH(9546,'Email Cleaner'!$I$2:$I$10001,0)),"")</f>
        <v/>
      </c>
    </row>
    <row r="9548">
      <c r="A9548">
        <f>IFERROR(INDEX('Email Cleaner'!$B$2:$B$10001,MATCH(9547,'Email Cleaner'!$I$2:$I$10001,0)),"")</f>
        <v/>
      </c>
    </row>
    <row r="9549">
      <c r="A9549">
        <f>IFERROR(INDEX('Email Cleaner'!$B$2:$B$10001,MATCH(9548,'Email Cleaner'!$I$2:$I$10001,0)),"")</f>
        <v/>
      </c>
    </row>
    <row r="9550">
      <c r="A9550">
        <f>IFERROR(INDEX('Email Cleaner'!$B$2:$B$10001,MATCH(9549,'Email Cleaner'!$I$2:$I$10001,0)),"")</f>
        <v/>
      </c>
    </row>
    <row r="9551">
      <c r="A9551">
        <f>IFERROR(INDEX('Email Cleaner'!$B$2:$B$10001,MATCH(9550,'Email Cleaner'!$I$2:$I$10001,0)),"")</f>
        <v/>
      </c>
    </row>
    <row r="9552">
      <c r="A9552">
        <f>IFERROR(INDEX('Email Cleaner'!$B$2:$B$10001,MATCH(9551,'Email Cleaner'!$I$2:$I$10001,0)),"")</f>
        <v/>
      </c>
    </row>
    <row r="9553">
      <c r="A9553">
        <f>IFERROR(INDEX('Email Cleaner'!$B$2:$B$10001,MATCH(9552,'Email Cleaner'!$I$2:$I$10001,0)),"")</f>
        <v/>
      </c>
    </row>
    <row r="9554">
      <c r="A9554">
        <f>IFERROR(INDEX('Email Cleaner'!$B$2:$B$10001,MATCH(9553,'Email Cleaner'!$I$2:$I$10001,0)),"")</f>
        <v/>
      </c>
    </row>
    <row r="9555">
      <c r="A9555">
        <f>IFERROR(INDEX('Email Cleaner'!$B$2:$B$10001,MATCH(9554,'Email Cleaner'!$I$2:$I$10001,0)),"")</f>
        <v/>
      </c>
    </row>
    <row r="9556">
      <c r="A9556">
        <f>IFERROR(INDEX('Email Cleaner'!$B$2:$B$10001,MATCH(9555,'Email Cleaner'!$I$2:$I$10001,0)),"")</f>
        <v/>
      </c>
    </row>
    <row r="9557">
      <c r="A9557">
        <f>IFERROR(INDEX('Email Cleaner'!$B$2:$B$10001,MATCH(9556,'Email Cleaner'!$I$2:$I$10001,0)),"")</f>
        <v/>
      </c>
    </row>
    <row r="9558">
      <c r="A9558">
        <f>IFERROR(INDEX('Email Cleaner'!$B$2:$B$10001,MATCH(9557,'Email Cleaner'!$I$2:$I$10001,0)),"")</f>
        <v/>
      </c>
    </row>
    <row r="9559">
      <c r="A9559">
        <f>IFERROR(INDEX('Email Cleaner'!$B$2:$B$10001,MATCH(9558,'Email Cleaner'!$I$2:$I$10001,0)),"")</f>
        <v/>
      </c>
    </row>
    <row r="9560">
      <c r="A9560">
        <f>IFERROR(INDEX('Email Cleaner'!$B$2:$B$10001,MATCH(9559,'Email Cleaner'!$I$2:$I$10001,0)),"")</f>
        <v/>
      </c>
    </row>
    <row r="9561">
      <c r="A9561">
        <f>IFERROR(INDEX('Email Cleaner'!$B$2:$B$10001,MATCH(9560,'Email Cleaner'!$I$2:$I$10001,0)),"")</f>
        <v/>
      </c>
    </row>
    <row r="9562">
      <c r="A9562">
        <f>IFERROR(INDEX('Email Cleaner'!$B$2:$B$10001,MATCH(9561,'Email Cleaner'!$I$2:$I$10001,0)),"")</f>
        <v/>
      </c>
    </row>
    <row r="9563">
      <c r="A9563">
        <f>IFERROR(INDEX('Email Cleaner'!$B$2:$B$10001,MATCH(9562,'Email Cleaner'!$I$2:$I$10001,0)),"")</f>
        <v/>
      </c>
    </row>
    <row r="9564">
      <c r="A9564">
        <f>IFERROR(INDEX('Email Cleaner'!$B$2:$B$10001,MATCH(9563,'Email Cleaner'!$I$2:$I$10001,0)),"")</f>
        <v/>
      </c>
    </row>
    <row r="9565">
      <c r="A9565">
        <f>IFERROR(INDEX('Email Cleaner'!$B$2:$B$10001,MATCH(9564,'Email Cleaner'!$I$2:$I$10001,0)),"")</f>
        <v/>
      </c>
    </row>
    <row r="9566">
      <c r="A9566">
        <f>IFERROR(INDEX('Email Cleaner'!$B$2:$B$10001,MATCH(9565,'Email Cleaner'!$I$2:$I$10001,0)),"")</f>
        <v/>
      </c>
    </row>
    <row r="9567">
      <c r="A9567">
        <f>IFERROR(INDEX('Email Cleaner'!$B$2:$B$10001,MATCH(9566,'Email Cleaner'!$I$2:$I$10001,0)),"")</f>
        <v/>
      </c>
    </row>
    <row r="9568">
      <c r="A9568">
        <f>IFERROR(INDEX('Email Cleaner'!$B$2:$B$10001,MATCH(9567,'Email Cleaner'!$I$2:$I$10001,0)),"")</f>
        <v/>
      </c>
    </row>
    <row r="9569">
      <c r="A9569">
        <f>IFERROR(INDEX('Email Cleaner'!$B$2:$B$10001,MATCH(9568,'Email Cleaner'!$I$2:$I$10001,0)),"")</f>
        <v/>
      </c>
    </row>
    <row r="9570">
      <c r="A9570">
        <f>IFERROR(INDEX('Email Cleaner'!$B$2:$B$10001,MATCH(9569,'Email Cleaner'!$I$2:$I$10001,0)),"")</f>
        <v/>
      </c>
    </row>
    <row r="9571">
      <c r="A9571">
        <f>IFERROR(INDEX('Email Cleaner'!$B$2:$B$10001,MATCH(9570,'Email Cleaner'!$I$2:$I$10001,0)),"")</f>
        <v/>
      </c>
    </row>
    <row r="9572">
      <c r="A9572">
        <f>IFERROR(INDEX('Email Cleaner'!$B$2:$B$10001,MATCH(9571,'Email Cleaner'!$I$2:$I$10001,0)),"")</f>
        <v/>
      </c>
    </row>
    <row r="9573">
      <c r="A9573">
        <f>IFERROR(INDEX('Email Cleaner'!$B$2:$B$10001,MATCH(9572,'Email Cleaner'!$I$2:$I$10001,0)),"")</f>
        <v/>
      </c>
    </row>
    <row r="9574">
      <c r="A9574">
        <f>IFERROR(INDEX('Email Cleaner'!$B$2:$B$10001,MATCH(9573,'Email Cleaner'!$I$2:$I$10001,0)),"")</f>
        <v/>
      </c>
    </row>
    <row r="9575">
      <c r="A9575">
        <f>IFERROR(INDEX('Email Cleaner'!$B$2:$B$10001,MATCH(9574,'Email Cleaner'!$I$2:$I$10001,0)),"")</f>
        <v/>
      </c>
    </row>
    <row r="9576">
      <c r="A9576">
        <f>IFERROR(INDEX('Email Cleaner'!$B$2:$B$10001,MATCH(9575,'Email Cleaner'!$I$2:$I$10001,0)),"")</f>
        <v/>
      </c>
    </row>
    <row r="9577">
      <c r="A9577">
        <f>IFERROR(INDEX('Email Cleaner'!$B$2:$B$10001,MATCH(9576,'Email Cleaner'!$I$2:$I$10001,0)),"")</f>
        <v/>
      </c>
    </row>
    <row r="9578">
      <c r="A9578">
        <f>IFERROR(INDEX('Email Cleaner'!$B$2:$B$10001,MATCH(9577,'Email Cleaner'!$I$2:$I$10001,0)),"")</f>
        <v/>
      </c>
    </row>
    <row r="9579">
      <c r="A9579">
        <f>IFERROR(INDEX('Email Cleaner'!$B$2:$B$10001,MATCH(9578,'Email Cleaner'!$I$2:$I$10001,0)),"")</f>
        <v/>
      </c>
    </row>
    <row r="9580">
      <c r="A9580">
        <f>IFERROR(INDEX('Email Cleaner'!$B$2:$B$10001,MATCH(9579,'Email Cleaner'!$I$2:$I$10001,0)),"")</f>
        <v/>
      </c>
    </row>
    <row r="9581">
      <c r="A9581">
        <f>IFERROR(INDEX('Email Cleaner'!$B$2:$B$10001,MATCH(9580,'Email Cleaner'!$I$2:$I$10001,0)),"")</f>
        <v/>
      </c>
    </row>
    <row r="9582">
      <c r="A9582">
        <f>IFERROR(INDEX('Email Cleaner'!$B$2:$B$10001,MATCH(9581,'Email Cleaner'!$I$2:$I$10001,0)),"")</f>
        <v/>
      </c>
    </row>
    <row r="9583">
      <c r="A9583">
        <f>IFERROR(INDEX('Email Cleaner'!$B$2:$B$10001,MATCH(9582,'Email Cleaner'!$I$2:$I$10001,0)),"")</f>
        <v/>
      </c>
    </row>
    <row r="9584">
      <c r="A9584">
        <f>IFERROR(INDEX('Email Cleaner'!$B$2:$B$10001,MATCH(9583,'Email Cleaner'!$I$2:$I$10001,0)),"")</f>
        <v/>
      </c>
    </row>
    <row r="9585">
      <c r="A9585">
        <f>IFERROR(INDEX('Email Cleaner'!$B$2:$B$10001,MATCH(9584,'Email Cleaner'!$I$2:$I$10001,0)),"")</f>
        <v/>
      </c>
    </row>
    <row r="9586">
      <c r="A9586">
        <f>IFERROR(INDEX('Email Cleaner'!$B$2:$B$10001,MATCH(9585,'Email Cleaner'!$I$2:$I$10001,0)),"")</f>
        <v/>
      </c>
    </row>
    <row r="9587">
      <c r="A9587">
        <f>IFERROR(INDEX('Email Cleaner'!$B$2:$B$10001,MATCH(9586,'Email Cleaner'!$I$2:$I$10001,0)),"")</f>
        <v/>
      </c>
    </row>
    <row r="9588">
      <c r="A9588">
        <f>IFERROR(INDEX('Email Cleaner'!$B$2:$B$10001,MATCH(9587,'Email Cleaner'!$I$2:$I$10001,0)),"")</f>
        <v/>
      </c>
    </row>
    <row r="9589">
      <c r="A9589">
        <f>IFERROR(INDEX('Email Cleaner'!$B$2:$B$10001,MATCH(9588,'Email Cleaner'!$I$2:$I$10001,0)),"")</f>
        <v/>
      </c>
    </row>
    <row r="9590">
      <c r="A9590">
        <f>IFERROR(INDEX('Email Cleaner'!$B$2:$B$10001,MATCH(9589,'Email Cleaner'!$I$2:$I$10001,0)),"")</f>
        <v/>
      </c>
    </row>
    <row r="9591">
      <c r="A9591">
        <f>IFERROR(INDEX('Email Cleaner'!$B$2:$B$10001,MATCH(9590,'Email Cleaner'!$I$2:$I$10001,0)),"")</f>
        <v/>
      </c>
    </row>
    <row r="9592">
      <c r="A9592">
        <f>IFERROR(INDEX('Email Cleaner'!$B$2:$B$10001,MATCH(9591,'Email Cleaner'!$I$2:$I$10001,0)),"")</f>
        <v/>
      </c>
    </row>
    <row r="9593">
      <c r="A9593">
        <f>IFERROR(INDEX('Email Cleaner'!$B$2:$B$10001,MATCH(9592,'Email Cleaner'!$I$2:$I$10001,0)),"")</f>
        <v/>
      </c>
    </row>
    <row r="9594">
      <c r="A9594">
        <f>IFERROR(INDEX('Email Cleaner'!$B$2:$B$10001,MATCH(9593,'Email Cleaner'!$I$2:$I$10001,0)),"")</f>
        <v/>
      </c>
    </row>
    <row r="9595">
      <c r="A9595">
        <f>IFERROR(INDEX('Email Cleaner'!$B$2:$B$10001,MATCH(9594,'Email Cleaner'!$I$2:$I$10001,0)),"")</f>
        <v/>
      </c>
    </row>
    <row r="9596">
      <c r="A9596">
        <f>IFERROR(INDEX('Email Cleaner'!$B$2:$B$10001,MATCH(9595,'Email Cleaner'!$I$2:$I$10001,0)),"")</f>
        <v/>
      </c>
    </row>
    <row r="9597">
      <c r="A9597">
        <f>IFERROR(INDEX('Email Cleaner'!$B$2:$B$10001,MATCH(9596,'Email Cleaner'!$I$2:$I$10001,0)),"")</f>
        <v/>
      </c>
    </row>
    <row r="9598">
      <c r="A9598">
        <f>IFERROR(INDEX('Email Cleaner'!$B$2:$B$10001,MATCH(9597,'Email Cleaner'!$I$2:$I$10001,0)),"")</f>
        <v/>
      </c>
    </row>
    <row r="9599">
      <c r="A9599">
        <f>IFERROR(INDEX('Email Cleaner'!$B$2:$B$10001,MATCH(9598,'Email Cleaner'!$I$2:$I$10001,0)),"")</f>
        <v/>
      </c>
    </row>
    <row r="9600">
      <c r="A9600">
        <f>IFERROR(INDEX('Email Cleaner'!$B$2:$B$10001,MATCH(9599,'Email Cleaner'!$I$2:$I$10001,0)),"")</f>
        <v/>
      </c>
    </row>
    <row r="9601">
      <c r="A9601">
        <f>IFERROR(INDEX('Email Cleaner'!$B$2:$B$10001,MATCH(9600,'Email Cleaner'!$I$2:$I$10001,0)),"")</f>
        <v/>
      </c>
    </row>
    <row r="9602">
      <c r="A9602">
        <f>IFERROR(INDEX('Email Cleaner'!$B$2:$B$10001,MATCH(9601,'Email Cleaner'!$I$2:$I$10001,0)),"")</f>
        <v/>
      </c>
    </row>
    <row r="9603">
      <c r="A9603">
        <f>IFERROR(INDEX('Email Cleaner'!$B$2:$B$10001,MATCH(9602,'Email Cleaner'!$I$2:$I$10001,0)),"")</f>
        <v/>
      </c>
    </row>
    <row r="9604">
      <c r="A9604">
        <f>IFERROR(INDEX('Email Cleaner'!$B$2:$B$10001,MATCH(9603,'Email Cleaner'!$I$2:$I$10001,0)),"")</f>
        <v/>
      </c>
    </row>
    <row r="9605">
      <c r="A9605">
        <f>IFERROR(INDEX('Email Cleaner'!$B$2:$B$10001,MATCH(9604,'Email Cleaner'!$I$2:$I$10001,0)),"")</f>
        <v/>
      </c>
    </row>
    <row r="9606">
      <c r="A9606">
        <f>IFERROR(INDEX('Email Cleaner'!$B$2:$B$10001,MATCH(9605,'Email Cleaner'!$I$2:$I$10001,0)),"")</f>
        <v/>
      </c>
    </row>
    <row r="9607">
      <c r="A9607">
        <f>IFERROR(INDEX('Email Cleaner'!$B$2:$B$10001,MATCH(9606,'Email Cleaner'!$I$2:$I$10001,0)),"")</f>
        <v/>
      </c>
    </row>
    <row r="9608">
      <c r="A9608">
        <f>IFERROR(INDEX('Email Cleaner'!$B$2:$B$10001,MATCH(9607,'Email Cleaner'!$I$2:$I$10001,0)),"")</f>
        <v/>
      </c>
    </row>
    <row r="9609">
      <c r="A9609">
        <f>IFERROR(INDEX('Email Cleaner'!$B$2:$B$10001,MATCH(9608,'Email Cleaner'!$I$2:$I$10001,0)),"")</f>
        <v/>
      </c>
    </row>
    <row r="9610">
      <c r="A9610">
        <f>IFERROR(INDEX('Email Cleaner'!$B$2:$B$10001,MATCH(9609,'Email Cleaner'!$I$2:$I$10001,0)),"")</f>
        <v/>
      </c>
    </row>
    <row r="9611">
      <c r="A9611">
        <f>IFERROR(INDEX('Email Cleaner'!$B$2:$B$10001,MATCH(9610,'Email Cleaner'!$I$2:$I$10001,0)),"")</f>
        <v/>
      </c>
    </row>
    <row r="9612">
      <c r="A9612">
        <f>IFERROR(INDEX('Email Cleaner'!$B$2:$B$10001,MATCH(9611,'Email Cleaner'!$I$2:$I$10001,0)),"")</f>
        <v/>
      </c>
    </row>
    <row r="9613">
      <c r="A9613">
        <f>IFERROR(INDEX('Email Cleaner'!$B$2:$B$10001,MATCH(9612,'Email Cleaner'!$I$2:$I$10001,0)),"")</f>
        <v/>
      </c>
    </row>
    <row r="9614">
      <c r="A9614">
        <f>IFERROR(INDEX('Email Cleaner'!$B$2:$B$10001,MATCH(9613,'Email Cleaner'!$I$2:$I$10001,0)),"")</f>
        <v/>
      </c>
    </row>
    <row r="9615">
      <c r="A9615">
        <f>IFERROR(INDEX('Email Cleaner'!$B$2:$B$10001,MATCH(9614,'Email Cleaner'!$I$2:$I$10001,0)),"")</f>
        <v/>
      </c>
    </row>
    <row r="9616">
      <c r="A9616">
        <f>IFERROR(INDEX('Email Cleaner'!$B$2:$B$10001,MATCH(9615,'Email Cleaner'!$I$2:$I$10001,0)),"")</f>
        <v/>
      </c>
    </row>
    <row r="9617">
      <c r="A9617">
        <f>IFERROR(INDEX('Email Cleaner'!$B$2:$B$10001,MATCH(9616,'Email Cleaner'!$I$2:$I$10001,0)),"")</f>
        <v/>
      </c>
    </row>
    <row r="9618">
      <c r="A9618">
        <f>IFERROR(INDEX('Email Cleaner'!$B$2:$B$10001,MATCH(9617,'Email Cleaner'!$I$2:$I$10001,0)),"")</f>
        <v/>
      </c>
    </row>
    <row r="9619">
      <c r="A9619">
        <f>IFERROR(INDEX('Email Cleaner'!$B$2:$B$10001,MATCH(9618,'Email Cleaner'!$I$2:$I$10001,0)),"")</f>
        <v/>
      </c>
    </row>
    <row r="9620">
      <c r="A9620">
        <f>IFERROR(INDEX('Email Cleaner'!$B$2:$B$10001,MATCH(9619,'Email Cleaner'!$I$2:$I$10001,0)),"")</f>
        <v/>
      </c>
    </row>
    <row r="9621">
      <c r="A9621">
        <f>IFERROR(INDEX('Email Cleaner'!$B$2:$B$10001,MATCH(9620,'Email Cleaner'!$I$2:$I$10001,0)),"")</f>
        <v/>
      </c>
    </row>
    <row r="9622">
      <c r="A9622">
        <f>IFERROR(INDEX('Email Cleaner'!$B$2:$B$10001,MATCH(9621,'Email Cleaner'!$I$2:$I$10001,0)),"")</f>
        <v/>
      </c>
    </row>
    <row r="9623">
      <c r="A9623">
        <f>IFERROR(INDEX('Email Cleaner'!$B$2:$B$10001,MATCH(9622,'Email Cleaner'!$I$2:$I$10001,0)),"")</f>
        <v/>
      </c>
    </row>
    <row r="9624">
      <c r="A9624">
        <f>IFERROR(INDEX('Email Cleaner'!$B$2:$B$10001,MATCH(9623,'Email Cleaner'!$I$2:$I$10001,0)),"")</f>
        <v/>
      </c>
    </row>
    <row r="9625">
      <c r="A9625">
        <f>IFERROR(INDEX('Email Cleaner'!$B$2:$B$10001,MATCH(9624,'Email Cleaner'!$I$2:$I$10001,0)),"")</f>
        <v/>
      </c>
    </row>
    <row r="9626">
      <c r="A9626">
        <f>IFERROR(INDEX('Email Cleaner'!$B$2:$B$10001,MATCH(9625,'Email Cleaner'!$I$2:$I$10001,0)),"")</f>
        <v/>
      </c>
    </row>
    <row r="9627">
      <c r="A9627">
        <f>IFERROR(INDEX('Email Cleaner'!$B$2:$B$10001,MATCH(9626,'Email Cleaner'!$I$2:$I$10001,0)),"")</f>
        <v/>
      </c>
    </row>
    <row r="9628">
      <c r="A9628">
        <f>IFERROR(INDEX('Email Cleaner'!$B$2:$B$10001,MATCH(9627,'Email Cleaner'!$I$2:$I$10001,0)),"")</f>
        <v/>
      </c>
    </row>
    <row r="9629">
      <c r="A9629">
        <f>IFERROR(INDEX('Email Cleaner'!$B$2:$B$10001,MATCH(9628,'Email Cleaner'!$I$2:$I$10001,0)),"")</f>
        <v/>
      </c>
    </row>
    <row r="9630">
      <c r="A9630">
        <f>IFERROR(INDEX('Email Cleaner'!$B$2:$B$10001,MATCH(9629,'Email Cleaner'!$I$2:$I$10001,0)),"")</f>
        <v/>
      </c>
    </row>
    <row r="9631">
      <c r="A9631">
        <f>IFERROR(INDEX('Email Cleaner'!$B$2:$B$10001,MATCH(9630,'Email Cleaner'!$I$2:$I$10001,0)),"")</f>
        <v/>
      </c>
    </row>
    <row r="9632">
      <c r="A9632">
        <f>IFERROR(INDEX('Email Cleaner'!$B$2:$B$10001,MATCH(9631,'Email Cleaner'!$I$2:$I$10001,0)),"")</f>
        <v/>
      </c>
    </row>
    <row r="9633">
      <c r="A9633">
        <f>IFERROR(INDEX('Email Cleaner'!$B$2:$B$10001,MATCH(9632,'Email Cleaner'!$I$2:$I$10001,0)),"")</f>
        <v/>
      </c>
    </row>
    <row r="9634">
      <c r="A9634">
        <f>IFERROR(INDEX('Email Cleaner'!$B$2:$B$10001,MATCH(9633,'Email Cleaner'!$I$2:$I$10001,0)),"")</f>
        <v/>
      </c>
    </row>
    <row r="9635">
      <c r="A9635">
        <f>IFERROR(INDEX('Email Cleaner'!$B$2:$B$10001,MATCH(9634,'Email Cleaner'!$I$2:$I$10001,0)),"")</f>
        <v/>
      </c>
    </row>
    <row r="9636">
      <c r="A9636">
        <f>IFERROR(INDEX('Email Cleaner'!$B$2:$B$10001,MATCH(9635,'Email Cleaner'!$I$2:$I$10001,0)),"")</f>
        <v/>
      </c>
    </row>
    <row r="9637">
      <c r="A9637">
        <f>IFERROR(INDEX('Email Cleaner'!$B$2:$B$10001,MATCH(9636,'Email Cleaner'!$I$2:$I$10001,0)),"")</f>
        <v/>
      </c>
    </row>
    <row r="9638">
      <c r="A9638">
        <f>IFERROR(INDEX('Email Cleaner'!$B$2:$B$10001,MATCH(9637,'Email Cleaner'!$I$2:$I$10001,0)),"")</f>
        <v/>
      </c>
    </row>
    <row r="9639">
      <c r="A9639">
        <f>IFERROR(INDEX('Email Cleaner'!$B$2:$B$10001,MATCH(9638,'Email Cleaner'!$I$2:$I$10001,0)),"")</f>
        <v/>
      </c>
    </row>
    <row r="9640">
      <c r="A9640">
        <f>IFERROR(INDEX('Email Cleaner'!$B$2:$B$10001,MATCH(9639,'Email Cleaner'!$I$2:$I$10001,0)),"")</f>
        <v/>
      </c>
    </row>
    <row r="9641">
      <c r="A9641">
        <f>IFERROR(INDEX('Email Cleaner'!$B$2:$B$10001,MATCH(9640,'Email Cleaner'!$I$2:$I$10001,0)),"")</f>
        <v/>
      </c>
    </row>
    <row r="9642">
      <c r="A9642">
        <f>IFERROR(INDEX('Email Cleaner'!$B$2:$B$10001,MATCH(9641,'Email Cleaner'!$I$2:$I$10001,0)),"")</f>
        <v/>
      </c>
    </row>
    <row r="9643">
      <c r="A9643">
        <f>IFERROR(INDEX('Email Cleaner'!$B$2:$B$10001,MATCH(9642,'Email Cleaner'!$I$2:$I$10001,0)),"")</f>
        <v/>
      </c>
    </row>
    <row r="9644">
      <c r="A9644">
        <f>IFERROR(INDEX('Email Cleaner'!$B$2:$B$10001,MATCH(9643,'Email Cleaner'!$I$2:$I$10001,0)),"")</f>
        <v/>
      </c>
    </row>
    <row r="9645">
      <c r="A9645">
        <f>IFERROR(INDEX('Email Cleaner'!$B$2:$B$10001,MATCH(9644,'Email Cleaner'!$I$2:$I$10001,0)),"")</f>
        <v/>
      </c>
    </row>
    <row r="9646">
      <c r="A9646">
        <f>IFERROR(INDEX('Email Cleaner'!$B$2:$B$10001,MATCH(9645,'Email Cleaner'!$I$2:$I$10001,0)),"")</f>
        <v/>
      </c>
    </row>
    <row r="9647">
      <c r="A9647">
        <f>IFERROR(INDEX('Email Cleaner'!$B$2:$B$10001,MATCH(9646,'Email Cleaner'!$I$2:$I$10001,0)),"")</f>
        <v/>
      </c>
    </row>
    <row r="9648">
      <c r="A9648">
        <f>IFERROR(INDEX('Email Cleaner'!$B$2:$B$10001,MATCH(9647,'Email Cleaner'!$I$2:$I$10001,0)),"")</f>
        <v/>
      </c>
    </row>
    <row r="9649">
      <c r="A9649">
        <f>IFERROR(INDEX('Email Cleaner'!$B$2:$B$10001,MATCH(9648,'Email Cleaner'!$I$2:$I$10001,0)),"")</f>
        <v/>
      </c>
    </row>
    <row r="9650">
      <c r="A9650">
        <f>IFERROR(INDEX('Email Cleaner'!$B$2:$B$10001,MATCH(9649,'Email Cleaner'!$I$2:$I$10001,0)),"")</f>
        <v/>
      </c>
    </row>
    <row r="9651">
      <c r="A9651">
        <f>IFERROR(INDEX('Email Cleaner'!$B$2:$B$10001,MATCH(9650,'Email Cleaner'!$I$2:$I$10001,0)),"")</f>
        <v/>
      </c>
    </row>
    <row r="9652">
      <c r="A9652">
        <f>IFERROR(INDEX('Email Cleaner'!$B$2:$B$10001,MATCH(9651,'Email Cleaner'!$I$2:$I$10001,0)),"")</f>
        <v/>
      </c>
    </row>
    <row r="9653">
      <c r="A9653">
        <f>IFERROR(INDEX('Email Cleaner'!$B$2:$B$10001,MATCH(9652,'Email Cleaner'!$I$2:$I$10001,0)),"")</f>
        <v/>
      </c>
    </row>
    <row r="9654">
      <c r="A9654">
        <f>IFERROR(INDEX('Email Cleaner'!$B$2:$B$10001,MATCH(9653,'Email Cleaner'!$I$2:$I$10001,0)),"")</f>
        <v/>
      </c>
    </row>
    <row r="9655">
      <c r="A9655">
        <f>IFERROR(INDEX('Email Cleaner'!$B$2:$B$10001,MATCH(9654,'Email Cleaner'!$I$2:$I$10001,0)),"")</f>
        <v/>
      </c>
    </row>
    <row r="9656">
      <c r="A9656">
        <f>IFERROR(INDEX('Email Cleaner'!$B$2:$B$10001,MATCH(9655,'Email Cleaner'!$I$2:$I$10001,0)),"")</f>
        <v/>
      </c>
    </row>
    <row r="9657">
      <c r="A9657">
        <f>IFERROR(INDEX('Email Cleaner'!$B$2:$B$10001,MATCH(9656,'Email Cleaner'!$I$2:$I$10001,0)),"")</f>
        <v/>
      </c>
    </row>
    <row r="9658">
      <c r="A9658">
        <f>IFERROR(INDEX('Email Cleaner'!$B$2:$B$10001,MATCH(9657,'Email Cleaner'!$I$2:$I$10001,0)),"")</f>
        <v/>
      </c>
    </row>
    <row r="9659">
      <c r="A9659">
        <f>IFERROR(INDEX('Email Cleaner'!$B$2:$B$10001,MATCH(9658,'Email Cleaner'!$I$2:$I$10001,0)),"")</f>
        <v/>
      </c>
    </row>
    <row r="9660">
      <c r="A9660">
        <f>IFERROR(INDEX('Email Cleaner'!$B$2:$B$10001,MATCH(9659,'Email Cleaner'!$I$2:$I$10001,0)),"")</f>
        <v/>
      </c>
    </row>
    <row r="9661">
      <c r="A9661">
        <f>IFERROR(INDEX('Email Cleaner'!$B$2:$B$10001,MATCH(9660,'Email Cleaner'!$I$2:$I$10001,0)),"")</f>
        <v/>
      </c>
    </row>
    <row r="9662">
      <c r="A9662">
        <f>IFERROR(INDEX('Email Cleaner'!$B$2:$B$10001,MATCH(9661,'Email Cleaner'!$I$2:$I$10001,0)),"")</f>
        <v/>
      </c>
    </row>
    <row r="9663">
      <c r="A9663">
        <f>IFERROR(INDEX('Email Cleaner'!$B$2:$B$10001,MATCH(9662,'Email Cleaner'!$I$2:$I$10001,0)),"")</f>
        <v/>
      </c>
    </row>
    <row r="9664">
      <c r="A9664">
        <f>IFERROR(INDEX('Email Cleaner'!$B$2:$B$10001,MATCH(9663,'Email Cleaner'!$I$2:$I$10001,0)),"")</f>
        <v/>
      </c>
    </row>
    <row r="9665">
      <c r="A9665">
        <f>IFERROR(INDEX('Email Cleaner'!$B$2:$B$10001,MATCH(9664,'Email Cleaner'!$I$2:$I$10001,0)),"")</f>
        <v/>
      </c>
    </row>
    <row r="9666">
      <c r="A9666">
        <f>IFERROR(INDEX('Email Cleaner'!$B$2:$B$10001,MATCH(9665,'Email Cleaner'!$I$2:$I$10001,0)),"")</f>
        <v/>
      </c>
    </row>
    <row r="9667">
      <c r="A9667">
        <f>IFERROR(INDEX('Email Cleaner'!$B$2:$B$10001,MATCH(9666,'Email Cleaner'!$I$2:$I$10001,0)),"")</f>
        <v/>
      </c>
    </row>
    <row r="9668">
      <c r="A9668">
        <f>IFERROR(INDEX('Email Cleaner'!$B$2:$B$10001,MATCH(9667,'Email Cleaner'!$I$2:$I$10001,0)),"")</f>
        <v/>
      </c>
    </row>
    <row r="9669">
      <c r="A9669">
        <f>IFERROR(INDEX('Email Cleaner'!$B$2:$B$10001,MATCH(9668,'Email Cleaner'!$I$2:$I$10001,0)),"")</f>
        <v/>
      </c>
    </row>
    <row r="9670">
      <c r="A9670">
        <f>IFERROR(INDEX('Email Cleaner'!$B$2:$B$10001,MATCH(9669,'Email Cleaner'!$I$2:$I$10001,0)),"")</f>
        <v/>
      </c>
    </row>
    <row r="9671">
      <c r="A9671">
        <f>IFERROR(INDEX('Email Cleaner'!$B$2:$B$10001,MATCH(9670,'Email Cleaner'!$I$2:$I$10001,0)),"")</f>
        <v/>
      </c>
    </row>
    <row r="9672">
      <c r="A9672">
        <f>IFERROR(INDEX('Email Cleaner'!$B$2:$B$10001,MATCH(9671,'Email Cleaner'!$I$2:$I$10001,0)),"")</f>
        <v/>
      </c>
    </row>
    <row r="9673">
      <c r="A9673">
        <f>IFERROR(INDEX('Email Cleaner'!$B$2:$B$10001,MATCH(9672,'Email Cleaner'!$I$2:$I$10001,0)),"")</f>
        <v/>
      </c>
    </row>
    <row r="9674">
      <c r="A9674">
        <f>IFERROR(INDEX('Email Cleaner'!$B$2:$B$10001,MATCH(9673,'Email Cleaner'!$I$2:$I$10001,0)),"")</f>
        <v/>
      </c>
    </row>
    <row r="9675">
      <c r="A9675">
        <f>IFERROR(INDEX('Email Cleaner'!$B$2:$B$10001,MATCH(9674,'Email Cleaner'!$I$2:$I$10001,0)),"")</f>
        <v/>
      </c>
    </row>
    <row r="9676">
      <c r="A9676">
        <f>IFERROR(INDEX('Email Cleaner'!$B$2:$B$10001,MATCH(9675,'Email Cleaner'!$I$2:$I$10001,0)),"")</f>
        <v/>
      </c>
    </row>
    <row r="9677">
      <c r="A9677">
        <f>IFERROR(INDEX('Email Cleaner'!$B$2:$B$10001,MATCH(9676,'Email Cleaner'!$I$2:$I$10001,0)),"")</f>
        <v/>
      </c>
    </row>
    <row r="9678">
      <c r="A9678">
        <f>IFERROR(INDEX('Email Cleaner'!$B$2:$B$10001,MATCH(9677,'Email Cleaner'!$I$2:$I$10001,0)),"")</f>
        <v/>
      </c>
    </row>
    <row r="9679">
      <c r="A9679">
        <f>IFERROR(INDEX('Email Cleaner'!$B$2:$B$10001,MATCH(9678,'Email Cleaner'!$I$2:$I$10001,0)),"")</f>
        <v/>
      </c>
    </row>
    <row r="9680">
      <c r="A9680">
        <f>IFERROR(INDEX('Email Cleaner'!$B$2:$B$10001,MATCH(9679,'Email Cleaner'!$I$2:$I$10001,0)),"")</f>
        <v/>
      </c>
    </row>
    <row r="9681">
      <c r="A9681">
        <f>IFERROR(INDEX('Email Cleaner'!$B$2:$B$10001,MATCH(9680,'Email Cleaner'!$I$2:$I$10001,0)),"")</f>
        <v/>
      </c>
    </row>
    <row r="9682">
      <c r="A9682">
        <f>IFERROR(INDEX('Email Cleaner'!$B$2:$B$10001,MATCH(9681,'Email Cleaner'!$I$2:$I$10001,0)),"")</f>
        <v/>
      </c>
    </row>
    <row r="9683">
      <c r="A9683">
        <f>IFERROR(INDEX('Email Cleaner'!$B$2:$B$10001,MATCH(9682,'Email Cleaner'!$I$2:$I$10001,0)),"")</f>
        <v/>
      </c>
    </row>
    <row r="9684">
      <c r="A9684">
        <f>IFERROR(INDEX('Email Cleaner'!$B$2:$B$10001,MATCH(9683,'Email Cleaner'!$I$2:$I$10001,0)),"")</f>
        <v/>
      </c>
    </row>
    <row r="9685">
      <c r="A9685">
        <f>IFERROR(INDEX('Email Cleaner'!$B$2:$B$10001,MATCH(9684,'Email Cleaner'!$I$2:$I$10001,0)),"")</f>
        <v/>
      </c>
    </row>
    <row r="9686">
      <c r="A9686">
        <f>IFERROR(INDEX('Email Cleaner'!$B$2:$B$10001,MATCH(9685,'Email Cleaner'!$I$2:$I$10001,0)),"")</f>
        <v/>
      </c>
    </row>
    <row r="9687">
      <c r="A9687">
        <f>IFERROR(INDEX('Email Cleaner'!$B$2:$B$10001,MATCH(9686,'Email Cleaner'!$I$2:$I$10001,0)),"")</f>
        <v/>
      </c>
    </row>
    <row r="9688">
      <c r="A9688">
        <f>IFERROR(INDEX('Email Cleaner'!$B$2:$B$10001,MATCH(9687,'Email Cleaner'!$I$2:$I$10001,0)),"")</f>
        <v/>
      </c>
    </row>
    <row r="9689">
      <c r="A9689">
        <f>IFERROR(INDEX('Email Cleaner'!$B$2:$B$10001,MATCH(9688,'Email Cleaner'!$I$2:$I$10001,0)),"")</f>
        <v/>
      </c>
    </row>
    <row r="9690">
      <c r="A9690">
        <f>IFERROR(INDEX('Email Cleaner'!$B$2:$B$10001,MATCH(9689,'Email Cleaner'!$I$2:$I$10001,0)),"")</f>
        <v/>
      </c>
    </row>
    <row r="9691">
      <c r="A9691">
        <f>IFERROR(INDEX('Email Cleaner'!$B$2:$B$10001,MATCH(9690,'Email Cleaner'!$I$2:$I$10001,0)),"")</f>
        <v/>
      </c>
    </row>
    <row r="9692">
      <c r="A9692">
        <f>IFERROR(INDEX('Email Cleaner'!$B$2:$B$10001,MATCH(9691,'Email Cleaner'!$I$2:$I$10001,0)),"")</f>
        <v/>
      </c>
    </row>
    <row r="9693">
      <c r="A9693">
        <f>IFERROR(INDEX('Email Cleaner'!$B$2:$B$10001,MATCH(9692,'Email Cleaner'!$I$2:$I$10001,0)),"")</f>
        <v/>
      </c>
    </row>
    <row r="9694">
      <c r="A9694">
        <f>IFERROR(INDEX('Email Cleaner'!$B$2:$B$10001,MATCH(9693,'Email Cleaner'!$I$2:$I$10001,0)),"")</f>
        <v/>
      </c>
    </row>
    <row r="9695">
      <c r="A9695">
        <f>IFERROR(INDEX('Email Cleaner'!$B$2:$B$10001,MATCH(9694,'Email Cleaner'!$I$2:$I$10001,0)),"")</f>
        <v/>
      </c>
    </row>
    <row r="9696">
      <c r="A9696">
        <f>IFERROR(INDEX('Email Cleaner'!$B$2:$B$10001,MATCH(9695,'Email Cleaner'!$I$2:$I$10001,0)),"")</f>
        <v/>
      </c>
    </row>
    <row r="9697">
      <c r="A9697">
        <f>IFERROR(INDEX('Email Cleaner'!$B$2:$B$10001,MATCH(9696,'Email Cleaner'!$I$2:$I$10001,0)),"")</f>
        <v/>
      </c>
    </row>
    <row r="9698">
      <c r="A9698">
        <f>IFERROR(INDEX('Email Cleaner'!$B$2:$B$10001,MATCH(9697,'Email Cleaner'!$I$2:$I$10001,0)),"")</f>
        <v/>
      </c>
    </row>
    <row r="9699">
      <c r="A9699">
        <f>IFERROR(INDEX('Email Cleaner'!$B$2:$B$10001,MATCH(9698,'Email Cleaner'!$I$2:$I$10001,0)),"")</f>
        <v/>
      </c>
    </row>
    <row r="9700">
      <c r="A9700">
        <f>IFERROR(INDEX('Email Cleaner'!$B$2:$B$10001,MATCH(9699,'Email Cleaner'!$I$2:$I$10001,0)),"")</f>
        <v/>
      </c>
    </row>
    <row r="9701">
      <c r="A9701">
        <f>IFERROR(INDEX('Email Cleaner'!$B$2:$B$10001,MATCH(9700,'Email Cleaner'!$I$2:$I$10001,0)),"")</f>
        <v/>
      </c>
    </row>
    <row r="9702">
      <c r="A9702">
        <f>IFERROR(INDEX('Email Cleaner'!$B$2:$B$10001,MATCH(9701,'Email Cleaner'!$I$2:$I$10001,0)),"")</f>
        <v/>
      </c>
    </row>
    <row r="9703">
      <c r="A9703">
        <f>IFERROR(INDEX('Email Cleaner'!$B$2:$B$10001,MATCH(9702,'Email Cleaner'!$I$2:$I$10001,0)),"")</f>
        <v/>
      </c>
    </row>
    <row r="9704">
      <c r="A9704">
        <f>IFERROR(INDEX('Email Cleaner'!$B$2:$B$10001,MATCH(9703,'Email Cleaner'!$I$2:$I$10001,0)),"")</f>
        <v/>
      </c>
    </row>
    <row r="9705">
      <c r="A9705">
        <f>IFERROR(INDEX('Email Cleaner'!$B$2:$B$10001,MATCH(9704,'Email Cleaner'!$I$2:$I$10001,0)),"")</f>
        <v/>
      </c>
    </row>
    <row r="9706">
      <c r="A9706">
        <f>IFERROR(INDEX('Email Cleaner'!$B$2:$B$10001,MATCH(9705,'Email Cleaner'!$I$2:$I$10001,0)),"")</f>
        <v/>
      </c>
    </row>
    <row r="9707">
      <c r="A9707">
        <f>IFERROR(INDEX('Email Cleaner'!$B$2:$B$10001,MATCH(9706,'Email Cleaner'!$I$2:$I$10001,0)),"")</f>
        <v/>
      </c>
    </row>
    <row r="9708">
      <c r="A9708">
        <f>IFERROR(INDEX('Email Cleaner'!$B$2:$B$10001,MATCH(9707,'Email Cleaner'!$I$2:$I$10001,0)),"")</f>
        <v/>
      </c>
    </row>
    <row r="9709">
      <c r="A9709">
        <f>IFERROR(INDEX('Email Cleaner'!$B$2:$B$10001,MATCH(9708,'Email Cleaner'!$I$2:$I$10001,0)),"")</f>
        <v/>
      </c>
    </row>
    <row r="9710">
      <c r="A9710">
        <f>IFERROR(INDEX('Email Cleaner'!$B$2:$B$10001,MATCH(9709,'Email Cleaner'!$I$2:$I$10001,0)),"")</f>
        <v/>
      </c>
    </row>
    <row r="9711">
      <c r="A9711">
        <f>IFERROR(INDEX('Email Cleaner'!$B$2:$B$10001,MATCH(9710,'Email Cleaner'!$I$2:$I$10001,0)),"")</f>
        <v/>
      </c>
    </row>
    <row r="9712">
      <c r="A9712">
        <f>IFERROR(INDEX('Email Cleaner'!$B$2:$B$10001,MATCH(9711,'Email Cleaner'!$I$2:$I$10001,0)),"")</f>
        <v/>
      </c>
    </row>
    <row r="9713">
      <c r="A9713">
        <f>IFERROR(INDEX('Email Cleaner'!$B$2:$B$10001,MATCH(9712,'Email Cleaner'!$I$2:$I$10001,0)),"")</f>
        <v/>
      </c>
    </row>
    <row r="9714">
      <c r="A9714">
        <f>IFERROR(INDEX('Email Cleaner'!$B$2:$B$10001,MATCH(9713,'Email Cleaner'!$I$2:$I$10001,0)),"")</f>
        <v/>
      </c>
    </row>
    <row r="9715">
      <c r="A9715">
        <f>IFERROR(INDEX('Email Cleaner'!$B$2:$B$10001,MATCH(9714,'Email Cleaner'!$I$2:$I$10001,0)),"")</f>
        <v/>
      </c>
    </row>
    <row r="9716">
      <c r="A9716">
        <f>IFERROR(INDEX('Email Cleaner'!$B$2:$B$10001,MATCH(9715,'Email Cleaner'!$I$2:$I$10001,0)),"")</f>
        <v/>
      </c>
    </row>
    <row r="9717">
      <c r="A9717">
        <f>IFERROR(INDEX('Email Cleaner'!$B$2:$B$10001,MATCH(9716,'Email Cleaner'!$I$2:$I$10001,0)),"")</f>
        <v/>
      </c>
    </row>
    <row r="9718">
      <c r="A9718">
        <f>IFERROR(INDEX('Email Cleaner'!$B$2:$B$10001,MATCH(9717,'Email Cleaner'!$I$2:$I$10001,0)),"")</f>
        <v/>
      </c>
    </row>
    <row r="9719">
      <c r="A9719">
        <f>IFERROR(INDEX('Email Cleaner'!$B$2:$B$10001,MATCH(9718,'Email Cleaner'!$I$2:$I$10001,0)),"")</f>
        <v/>
      </c>
    </row>
    <row r="9720">
      <c r="A9720">
        <f>IFERROR(INDEX('Email Cleaner'!$B$2:$B$10001,MATCH(9719,'Email Cleaner'!$I$2:$I$10001,0)),"")</f>
        <v/>
      </c>
    </row>
    <row r="9721">
      <c r="A9721">
        <f>IFERROR(INDEX('Email Cleaner'!$B$2:$B$10001,MATCH(9720,'Email Cleaner'!$I$2:$I$10001,0)),"")</f>
        <v/>
      </c>
    </row>
    <row r="9722">
      <c r="A9722">
        <f>IFERROR(INDEX('Email Cleaner'!$B$2:$B$10001,MATCH(9721,'Email Cleaner'!$I$2:$I$10001,0)),"")</f>
        <v/>
      </c>
    </row>
    <row r="9723">
      <c r="A9723">
        <f>IFERROR(INDEX('Email Cleaner'!$B$2:$B$10001,MATCH(9722,'Email Cleaner'!$I$2:$I$10001,0)),"")</f>
        <v/>
      </c>
    </row>
    <row r="9724">
      <c r="A9724">
        <f>IFERROR(INDEX('Email Cleaner'!$B$2:$B$10001,MATCH(9723,'Email Cleaner'!$I$2:$I$10001,0)),"")</f>
        <v/>
      </c>
    </row>
    <row r="9725">
      <c r="A9725">
        <f>IFERROR(INDEX('Email Cleaner'!$B$2:$B$10001,MATCH(9724,'Email Cleaner'!$I$2:$I$10001,0)),"")</f>
        <v/>
      </c>
    </row>
    <row r="9726">
      <c r="A9726">
        <f>IFERROR(INDEX('Email Cleaner'!$B$2:$B$10001,MATCH(9725,'Email Cleaner'!$I$2:$I$10001,0)),"")</f>
        <v/>
      </c>
    </row>
    <row r="9727">
      <c r="A9727">
        <f>IFERROR(INDEX('Email Cleaner'!$B$2:$B$10001,MATCH(9726,'Email Cleaner'!$I$2:$I$10001,0)),"")</f>
        <v/>
      </c>
    </row>
    <row r="9728">
      <c r="A9728">
        <f>IFERROR(INDEX('Email Cleaner'!$B$2:$B$10001,MATCH(9727,'Email Cleaner'!$I$2:$I$10001,0)),"")</f>
        <v/>
      </c>
    </row>
    <row r="9729">
      <c r="A9729">
        <f>IFERROR(INDEX('Email Cleaner'!$B$2:$B$10001,MATCH(9728,'Email Cleaner'!$I$2:$I$10001,0)),"")</f>
        <v/>
      </c>
    </row>
    <row r="9730">
      <c r="A9730">
        <f>IFERROR(INDEX('Email Cleaner'!$B$2:$B$10001,MATCH(9729,'Email Cleaner'!$I$2:$I$10001,0)),"")</f>
        <v/>
      </c>
    </row>
    <row r="9731">
      <c r="A9731">
        <f>IFERROR(INDEX('Email Cleaner'!$B$2:$B$10001,MATCH(9730,'Email Cleaner'!$I$2:$I$10001,0)),"")</f>
        <v/>
      </c>
    </row>
    <row r="9732">
      <c r="A9732">
        <f>IFERROR(INDEX('Email Cleaner'!$B$2:$B$10001,MATCH(9731,'Email Cleaner'!$I$2:$I$10001,0)),"")</f>
        <v/>
      </c>
    </row>
    <row r="9733">
      <c r="A9733">
        <f>IFERROR(INDEX('Email Cleaner'!$B$2:$B$10001,MATCH(9732,'Email Cleaner'!$I$2:$I$10001,0)),"")</f>
        <v/>
      </c>
    </row>
    <row r="9734">
      <c r="A9734">
        <f>IFERROR(INDEX('Email Cleaner'!$B$2:$B$10001,MATCH(9733,'Email Cleaner'!$I$2:$I$10001,0)),"")</f>
        <v/>
      </c>
    </row>
    <row r="9735">
      <c r="A9735">
        <f>IFERROR(INDEX('Email Cleaner'!$B$2:$B$10001,MATCH(9734,'Email Cleaner'!$I$2:$I$10001,0)),"")</f>
        <v/>
      </c>
    </row>
    <row r="9736">
      <c r="A9736">
        <f>IFERROR(INDEX('Email Cleaner'!$B$2:$B$10001,MATCH(9735,'Email Cleaner'!$I$2:$I$10001,0)),"")</f>
        <v/>
      </c>
    </row>
    <row r="9737">
      <c r="A9737">
        <f>IFERROR(INDEX('Email Cleaner'!$B$2:$B$10001,MATCH(9736,'Email Cleaner'!$I$2:$I$10001,0)),"")</f>
        <v/>
      </c>
    </row>
    <row r="9738">
      <c r="A9738">
        <f>IFERROR(INDEX('Email Cleaner'!$B$2:$B$10001,MATCH(9737,'Email Cleaner'!$I$2:$I$10001,0)),"")</f>
        <v/>
      </c>
    </row>
    <row r="9739">
      <c r="A9739">
        <f>IFERROR(INDEX('Email Cleaner'!$B$2:$B$10001,MATCH(9738,'Email Cleaner'!$I$2:$I$10001,0)),"")</f>
        <v/>
      </c>
    </row>
    <row r="9740">
      <c r="A9740">
        <f>IFERROR(INDEX('Email Cleaner'!$B$2:$B$10001,MATCH(9739,'Email Cleaner'!$I$2:$I$10001,0)),"")</f>
        <v/>
      </c>
    </row>
    <row r="9741">
      <c r="A9741">
        <f>IFERROR(INDEX('Email Cleaner'!$B$2:$B$10001,MATCH(9740,'Email Cleaner'!$I$2:$I$10001,0)),"")</f>
        <v/>
      </c>
    </row>
    <row r="9742">
      <c r="A9742">
        <f>IFERROR(INDEX('Email Cleaner'!$B$2:$B$10001,MATCH(9741,'Email Cleaner'!$I$2:$I$10001,0)),"")</f>
        <v/>
      </c>
    </row>
    <row r="9743">
      <c r="A9743">
        <f>IFERROR(INDEX('Email Cleaner'!$B$2:$B$10001,MATCH(9742,'Email Cleaner'!$I$2:$I$10001,0)),"")</f>
        <v/>
      </c>
    </row>
    <row r="9744">
      <c r="A9744">
        <f>IFERROR(INDEX('Email Cleaner'!$B$2:$B$10001,MATCH(9743,'Email Cleaner'!$I$2:$I$10001,0)),"")</f>
        <v/>
      </c>
    </row>
    <row r="9745">
      <c r="A9745">
        <f>IFERROR(INDEX('Email Cleaner'!$B$2:$B$10001,MATCH(9744,'Email Cleaner'!$I$2:$I$10001,0)),"")</f>
        <v/>
      </c>
    </row>
    <row r="9746">
      <c r="A9746">
        <f>IFERROR(INDEX('Email Cleaner'!$B$2:$B$10001,MATCH(9745,'Email Cleaner'!$I$2:$I$10001,0)),"")</f>
        <v/>
      </c>
    </row>
    <row r="9747">
      <c r="A9747">
        <f>IFERROR(INDEX('Email Cleaner'!$B$2:$B$10001,MATCH(9746,'Email Cleaner'!$I$2:$I$10001,0)),"")</f>
        <v/>
      </c>
    </row>
    <row r="9748">
      <c r="A9748">
        <f>IFERROR(INDEX('Email Cleaner'!$B$2:$B$10001,MATCH(9747,'Email Cleaner'!$I$2:$I$10001,0)),"")</f>
        <v/>
      </c>
    </row>
    <row r="9749">
      <c r="A9749">
        <f>IFERROR(INDEX('Email Cleaner'!$B$2:$B$10001,MATCH(9748,'Email Cleaner'!$I$2:$I$10001,0)),"")</f>
        <v/>
      </c>
    </row>
    <row r="9750">
      <c r="A9750">
        <f>IFERROR(INDEX('Email Cleaner'!$B$2:$B$10001,MATCH(9749,'Email Cleaner'!$I$2:$I$10001,0)),"")</f>
        <v/>
      </c>
    </row>
    <row r="9751">
      <c r="A9751">
        <f>IFERROR(INDEX('Email Cleaner'!$B$2:$B$10001,MATCH(9750,'Email Cleaner'!$I$2:$I$10001,0)),"")</f>
        <v/>
      </c>
    </row>
    <row r="9752">
      <c r="A9752">
        <f>IFERROR(INDEX('Email Cleaner'!$B$2:$B$10001,MATCH(9751,'Email Cleaner'!$I$2:$I$10001,0)),"")</f>
        <v/>
      </c>
    </row>
    <row r="9753">
      <c r="A9753">
        <f>IFERROR(INDEX('Email Cleaner'!$B$2:$B$10001,MATCH(9752,'Email Cleaner'!$I$2:$I$10001,0)),"")</f>
        <v/>
      </c>
    </row>
    <row r="9754">
      <c r="A9754">
        <f>IFERROR(INDEX('Email Cleaner'!$B$2:$B$10001,MATCH(9753,'Email Cleaner'!$I$2:$I$10001,0)),"")</f>
        <v/>
      </c>
    </row>
    <row r="9755">
      <c r="A9755">
        <f>IFERROR(INDEX('Email Cleaner'!$B$2:$B$10001,MATCH(9754,'Email Cleaner'!$I$2:$I$10001,0)),"")</f>
        <v/>
      </c>
    </row>
    <row r="9756">
      <c r="A9756">
        <f>IFERROR(INDEX('Email Cleaner'!$B$2:$B$10001,MATCH(9755,'Email Cleaner'!$I$2:$I$10001,0)),"")</f>
        <v/>
      </c>
    </row>
    <row r="9757">
      <c r="A9757">
        <f>IFERROR(INDEX('Email Cleaner'!$B$2:$B$10001,MATCH(9756,'Email Cleaner'!$I$2:$I$10001,0)),"")</f>
        <v/>
      </c>
    </row>
    <row r="9758">
      <c r="A9758">
        <f>IFERROR(INDEX('Email Cleaner'!$B$2:$B$10001,MATCH(9757,'Email Cleaner'!$I$2:$I$10001,0)),"")</f>
        <v/>
      </c>
    </row>
    <row r="9759">
      <c r="A9759">
        <f>IFERROR(INDEX('Email Cleaner'!$B$2:$B$10001,MATCH(9758,'Email Cleaner'!$I$2:$I$10001,0)),"")</f>
        <v/>
      </c>
    </row>
    <row r="9760">
      <c r="A9760">
        <f>IFERROR(INDEX('Email Cleaner'!$B$2:$B$10001,MATCH(9759,'Email Cleaner'!$I$2:$I$10001,0)),"")</f>
        <v/>
      </c>
    </row>
    <row r="9761">
      <c r="A9761">
        <f>IFERROR(INDEX('Email Cleaner'!$B$2:$B$10001,MATCH(9760,'Email Cleaner'!$I$2:$I$10001,0)),"")</f>
        <v/>
      </c>
    </row>
    <row r="9762">
      <c r="A9762">
        <f>IFERROR(INDEX('Email Cleaner'!$B$2:$B$10001,MATCH(9761,'Email Cleaner'!$I$2:$I$10001,0)),"")</f>
        <v/>
      </c>
    </row>
    <row r="9763">
      <c r="A9763">
        <f>IFERROR(INDEX('Email Cleaner'!$B$2:$B$10001,MATCH(9762,'Email Cleaner'!$I$2:$I$10001,0)),"")</f>
        <v/>
      </c>
    </row>
    <row r="9764">
      <c r="A9764">
        <f>IFERROR(INDEX('Email Cleaner'!$B$2:$B$10001,MATCH(9763,'Email Cleaner'!$I$2:$I$10001,0)),"")</f>
        <v/>
      </c>
    </row>
    <row r="9765">
      <c r="A9765">
        <f>IFERROR(INDEX('Email Cleaner'!$B$2:$B$10001,MATCH(9764,'Email Cleaner'!$I$2:$I$10001,0)),"")</f>
        <v/>
      </c>
    </row>
    <row r="9766">
      <c r="A9766">
        <f>IFERROR(INDEX('Email Cleaner'!$B$2:$B$10001,MATCH(9765,'Email Cleaner'!$I$2:$I$10001,0)),"")</f>
        <v/>
      </c>
    </row>
    <row r="9767">
      <c r="A9767">
        <f>IFERROR(INDEX('Email Cleaner'!$B$2:$B$10001,MATCH(9766,'Email Cleaner'!$I$2:$I$10001,0)),"")</f>
        <v/>
      </c>
    </row>
    <row r="9768">
      <c r="A9768">
        <f>IFERROR(INDEX('Email Cleaner'!$B$2:$B$10001,MATCH(9767,'Email Cleaner'!$I$2:$I$10001,0)),"")</f>
        <v/>
      </c>
    </row>
    <row r="9769">
      <c r="A9769">
        <f>IFERROR(INDEX('Email Cleaner'!$B$2:$B$10001,MATCH(9768,'Email Cleaner'!$I$2:$I$10001,0)),"")</f>
        <v/>
      </c>
    </row>
    <row r="9770">
      <c r="A9770">
        <f>IFERROR(INDEX('Email Cleaner'!$B$2:$B$10001,MATCH(9769,'Email Cleaner'!$I$2:$I$10001,0)),"")</f>
        <v/>
      </c>
    </row>
    <row r="9771">
      <c r="A9771">
        <f>IFERROR(INDEX('Email Cleaner'!$B$2:$B$10001,MATCH(9770,'Email Cleaner'!$I$2:$I$10001,0)),"")</f>
        <v/>
      </c>
    </row>
    <row r="9772">
      <c r="A9772">
        <f>IFERROR(INDEX('Email Cleaner'!$B$2:$B$10001,MATCH(9771,'Email Cleaner'!$I$2:$I$10001,0)),"")</f>
        <v/>
      </c>
    </row>
    <row r="9773">
      <c r="A9773">
        <f>IFERROR(INDEX('Email Cleaner'!$B$2:$B$10001,MATCH(9772,'Email Cleaner'!$I$2:$I$10001,0)),"")</f>
        <v/>
      </c>
    </row>
    <row r="9774">
      <c r="A9774">
        <f>IFERROR(INDEX('Email Cleaner'!$B$2:$B$10001,MATCH(9773,'Email Cleaner'!$I$2:$I$10001,0)),"")</f>
        <v/>
      </c>
    </row>
    <row r="9775">
      <c r="A9775">
        <f>IFERROR(INDEX('Email Cleaner'!$B$2:$B$10001,MATCH(9774,'Email Cleaner'!$I$2:$I$10001,0)),"")</f>
        <v/>
      </c>
    </row>
    <row r="9776">
      <c r="A9776">
        <f>IFERROR(INDEX('Email Cleaner'!$B$2:$B$10001,MATCH(9775,'Email Cleaner'!$I$2:$I$10001,0)),"")</f>
        <v/>
      </c>
    </row>
    <row r="9777">
      <c r="A9777">
        <f>IFERROR(INDEX('Email Cleaner'!$B$2:$B$10001,MATCH(9776,'Email Cleaner'!$I$2:$I$10001,0)),"")</f>
        <v/>
      </c>
    </row>
    <row r="9778">
      <c r="A9778">
        <f>IFERROR(INDEX('Email Cleaner'!$B$2:$B$10001,MATCH(9777,'Email Cleaner'!$I$2:$I$10001,0)),"")</f>
        <v/>
      </c>
    </row>
    <row r="9779">
      <c r="A9779">
        <f>IFERROR(INDEX('Email Cleaner'!$B$2:$B$10001,MATCH(9778,'Email Cleaner'!$I$2:$I$10001,0)),"")</f>
        <v/>
      </c>
    </row>
    <row r="9780">
      <c r="A9780">
        <f>IFERROR(INDEX('Email Cleaner'!$B$2:$B$10001,MATCH(9779,'Email Cleaner'!$I$2:$I$10001,0)),"")</f>
        <v/>
      </c>
    </row>
    <row r="9781">
      <c r="A9781">
        <f>IFERROR(INDEX('Email Cleaner'!$B$2:$B$10001,MATCH(9780,'Email Cleaner'!$I$2:$I$10001,0)),"")</f>
        <v/>
      </c>
    </row>
    <row r="9782">
      <c r="A9782">
        <f>IFERROR(INDEX('Email Cleaner'!$B$2:$B$10001,MATCH(9781,'Email Cleaner'!$I$2:$I$10001,0)),"")</f>
        <v/>
      </c>
    </row>
    <row r="9783">
      <c r="A9783">
        <f>IFERROR(INDEX('Email Cleaner'!$B$2:$B$10001,MATCH(9782,'Email Cleaner'!$I$2:$I$10001,0)),"")</f>
        <v/>
      </c>
    </row>
    <row r="9784">
      <c r="A9784">
        <f>IFERROR(INDEX('Email Cleaner'!$B$2:$B$10001,MATCH(9783,'Email Cleaner'!$I$2:$I$10001,0)),"")</f>
        <v/>
      </c>
    </row>
    <row r="9785">
      <c r="A9785">
        <f>IFERROR(INDEX('Email Cleaner'!$B$2:$B$10001,MATCH(9784,'Email Cleaner'!$I$2:$I$10001,0)),"")</f>
        <v/>
      </c>
    </row>
    <row r="9786">
      <c r="A9786">
        <f>IFERROR(INDEX('Email Cleaner'!$B$2:$B$10001,MATCH(9785,'Email Cleaner'!$I$2:$I$10001,0)),"")</f>
        <v/>
      </c>
    </row>
    <row r="9787">
      <c r="A9787">
        <f>IFERROR(INDEX('Email Cleaner'!$B$2:$B$10001,MATCH(9786,'Email Cleaner'!$I$2:$I$10001,0)),"")</f>
        <v/>
      </c>
    </row>
    <row r="9788">
      <c r="A9788">
        <f>IFERROR(INDEX('Email Cleaner'!$B$2:$B$10001,MATCH(9787,'Email Cleaner'!$I$2:$I$10001,0)),"")</f>
        <v/>
      </c>
    </row>
    <row r="9789">
      <c r="A9789">
        <f>IFERROR(INDEX('Email Cleaner'!$B$2:$B$10001,MATCH(9788,'Email Cleaner'!$I$2:$I$10001,0)),"")</f>
        <v/>
      </c>
    </row>
    <row r="9790">
      <c r="A9790">
        <f>IFERROR(INDEX('Email Cleaner'!$B$2:$B$10001,MATCH(9789,'Email Cleaner'!$I$2:$I$10001,0)),"")</f>
        <v/>
      </c>
    </row>
    <row r="9791">
      <c r="A9791">
        <f>IFERROR(INDEX('Email Cleaner'!$B$2:$B$10001,MATCH(9790,'Email Cleaner'!$I$2:$I$10001,0)),"")</f>
        <v/>
      </c>
    </row>
    <row r="9792">
      <c r="A9792">
        <f>IFERROR(INDEX('Email Cleaner'!$B$2:$B$10001,MATCH(9791,'Email Cleaner'!$I$2:$I$10001,0)),"")</f>
        <v/>
      </c>
    </row>
    <row r="9793">
      <c r="A9793">
        <f>IFERROR(INDEX('Email Cleaner'!$B$2:$B$10001,MATCH(9792,'Email Cleaner'!$I$2:$I$10001,0)),"")</f>
        <v/>
      </c>
    </row>
    <row r="9794">
      <c r="A9794">
        <f>IFERROR(INDEX('Email Cleaner'!$B$2:$B$10001,MATCH(9793,'Email Cleaner'!$I$2:$I$10001,0)),"")</f>
        <v/>
      </c>
    </row>
    <row r="9795">
      <c r="A9795">
        <f>IFERROR(INDEX('Email Cleaner'!$B$2:$B$10001,MATCH(9794,'Email Cleaner'!$I$2:$I$10001,0)),"")</f>
        <v/>
      </c>
    </row>
    <row r="9796">
      <c r="A9796">
        <f>IFERROR(INDEX('Email Cleaner'!$B$2:$B$10001,MATCH(9795,'Email Cleaner'!$I$2:$I$10001,0)),"")</f>
        <v/>
      </c>
    </row>
    <row r="9797">
      <c r="A9797">
        <f>IFERROR(INDEX('Email Cleaner'!$B$2:$B$10001,MATCH(9796,'Email Cleaner'!$I$2:$I$10001,0)),"")</f>
        <v/>
      </c>
    </row>
    <row r="9798">
      <c r="A9798">
        <f>IFERROR(INDEX('Email Cleaner'!$B$2:$B$10001,MATCH(9797,'Email Cleaner'!$I$2:$I$10001,0)),"")</f>
        <v/>
      </c>
    </row>
    <row r="9799">
      <c r="A9799">
        <f>IFERROR(INDEX('Email Cleaner'!$B$2:$B$10001,MATCH(9798,'Email Cleaner'!$I$2:$I$10001,0)),"")</f>
        <v/>
      </c>
    </row>
    <row r="9800">
      <c r="A9800">
        <f>IFERROR(INDEX('Email Cleaner'!$B$2:$B$10001,MATCH(9799,'Email Cleaner'!$I$2:$I$10001,0)),"")</f>
        <v/>
      </c>
    </row>
    <row r="9801">
      <c r="A9801">
        <f>IFERROR(INDEX('Email Cleaner'!$B$2:$B$10001,MATCH(9800,'Email Cleaner'!$I$2:$I$10001,0)),"")</f>
        <v/>
      </c>
    </row>
    <row r="9802">
      <c r="A9802">
        <f>IFERROR(INDEX('Email Cleaner'!$B$2:$B$10001,MATCH(9801,'Email Cleaner'!$I$2:$I$10001,0)),"")</f>
        <v/>
      </c>
    </row>
    <row r="9803">
      <c r="A9803">
        <f>IFERROR(INDEX('Email Cleaner'!$B$2:$B$10001,MATCH(9802,'Email Cleaner'!$I$2:$I$10001,0)),"")</f>
        <v/>
      </c>
    </row>
    <row r="9804">
      <c r="A9804">
        <f>IFERROR(INDEX('Email Cleaner'!$B$2:$B$10001,MATCH(9803,'Email Cleaner'!$I$2:$I$10001,0)),"")</f>
        <v/>
      </c>
    </row>
    <row r="9805">
      <c r="A9805">
        <f>IFERROR(INDEX('Email Cleaner'!$B$2:$B$10001,MATCH(9804,'Email Cleaner'!$I$2:$I$10001,0)),"")</f>
        <v/>
      </c>
    </row>
    <row r="9806">
      <c r="A9806">
        <f>IFERROR(INDEX('Email Cleaner'!$B$2:$B$10001,MATCH(9805,'Email Cleaner'!$I$2:$I$10001,0)),"")</f>
        <v/>
      </c>
    </row>
    <row r="9807">
      <c r="A9807">
        <f>IFERROR(INDEX('Email Cleaner'!$B$2:$B$10001,MATCH(9806,'Email Cleaner'!$I$2:$I$10001,0)),"")</f>
        <v/>
      </c>
    </row>
    <row r="9808">
      <c r="A9808">
        <f>IFERROR(INDEX('Email Cleaner'!$B$2:$B$10001,MATCH(9807,'Email Cleaner'!$I$2:$I$10001,0)),"")</f>
        <v/>
      </c>
    </row>
    <row r="9809">
      <c r="A9809">
        <f>IFERROR(INDEX('Email Cleaner'!$B$2:$B$10001,MATCH(9808,'Email Cleaner'!$I$2:$I$10001,0)),"")</f>
        <v/>
      </c>
    </row>
    <row r="9810">
      <c r="A9810">
        <f>IFERROR(INDEX('Email Cleaner'!$B$2:$B$10001,MATCH(9809,'Email Cleaner'!$I$2:$I$10001,0)),"")</f>
        <v/>
      </c>
    </row>
    <row r="9811">
      <c r="A9811">
        <f>IFERROR(INDEX('Email Cleaner'!$B$2:$B$10001,MATCH(9810,'Email Cleaner'!$I$2:$I$10001,0)),"")</f>
        <v/>
      </c>
    </row>
    <row r="9812">
      <c r="A9812">
        <f>IFERROR(INDEX('Email Cleaner'!$B$2:$B$10001,MATCH(9811,'Email Cleaner'!$I$2:$I$10001,0)),"")</f>
        <v/>
      </c>
    </row>
    <row r="9813">
      <c r="A9813">
        <f>IFERROR(INDEX('Email Cleaner'!$B$2:$B$10001,MATCH(9812,'Email Cleaner'!$I$2:$I$10001,0)),"")</f>
        <v/>
      </c>
    </row>
    <row r="9814">
      <c r="A9814">
        <f>IFERROR(INDEX('Email Cleaner'!$B$2:$B$10001,MATCH(9813,'Email Cleaner'!$I$2:$I$10001,0)),"")</f>
        <v/>
      </c>
    </row>
    <row r="9815">
      <c r="A9815">
        <f>IFERROR(INDEX('Email Cleaner'!$B$2:$B$10001,MATCH(9814,'Email Cleaner'!$I$2:$I$10001,0)),"")</f>
        <v/>
      </c>
    </row>
    <row r="9816">
      <c r="A9816">
        <f>IFERROR(INDEX('Email Cleaner'!$B$2:$B$10001,MATCH(9815,'Email Cleaner'!$I$2:$I$10001,0)),"")</f>
        <v/>
      </c>
    </row>
    <row r="9817">
      <c r="A9817">
        <f>IFERROR(INDEX('Email Cleaner'!$B$2:$B$10001,MATCH(9816,'Email Cleaner'!$I$2:$I$10001,0)),"")</f>
        <v/>
      </c>
    </row>
    <row r="9818">
      <c r="A9818">
        <f>IFERROR(INDEX('Email Cleaner'!$B$2:$B$10001,MATCH(9817,'Email Cleaner'!$I$2:$I$10001,0)),"")</f>
        <v/>
      </c>
    </row>
    <row r="9819">
      <c r="A9819">
        <f>IFERROR(INDEX('Email Cleaner'!$B$2:$B$10001,MATCH(9818,'Email Cleaner'!$I$2:$I$10001,0)),"")</f>
        <v/>
      </c>
    </row>
    <row r="9820">
      <c r="A9820">
        <f>IFERROR(INDEX('Email Cleaner'!$B$2:$B$10001,MATCH(9819,'Email Cleaner'!$I$2:$I$10001,0)),"")</f>
        <v/>
      </c>
    </row>
    <row r="9821">
      <c r="A9821">
        <f>IFERROR(INDEX('Email Cleaner'!$B$2:$B$10001,MATCH(9820,'Email Cleaner'!$I$2:$I$10001,0)),"")</f>
        <v/>
      </c>
    </row>
    <row r="9822">
      <c r="A9822">
        <f>IFERROR(INDEX('Email Cleaner'!$B$2:$B$10001,MATCH(9821,'Email Cleaner'!$I$2:$I$10001,0)),"")</f>
        <v/>
      </c>
    </row>
    <row r="9823">
      <c r="A9823">
        <f>IFERROR(INDEX('Email Cleaner'!$B$2:$B$10001,MATCH(9822,'Email Cleaner'!$I$2:$I$10001,0)),"")</f>
        <v/>
      </c>
    </row>
    <row r="9824">
      <c r="A9824">
        <f>IFERROR(INDEX('Email Cleaner'!$B$2:$B$10001,MATCH(9823,'Email Cleaner'!$I$2:$I$10001,0)),"")</f>
        <v/>
      </c>
    </row>
    <row r="9825">
      <c r="A9825">
        <f>IFERROR(INDEX('Email Cleaner'!$B$2:$B$10001,MATCH(9824,'Email Cleaner'!$I$2:$I$10001,0)),"")</f>
        <v/>
      </c>
    </row>
    <row r="9826">
      <c r="A9826">
        <f>IFERROR(INDEX('Email Cleaner'!$B$2:$B$10001,MATCH(9825,'Email Cleaner'!$I$2:$I$10001,0)),"")</f>
        <v/>
      </c>
    </row>
    <row r="9827">
      <c r="A9827">
        <f>IFERROR(INDEX('Email Cleaner'!$B$2:$B$10001,MATCH(9826,'Email Cleaner'!$I$2:$I$10001,0)),"")</f>
        <v/>
      </c>
    </row>
    <row r="9828">
      <c r="A9828">
        <f>IFERROR(INDEX('Email Cleaner'!$B$2:$B$10001,MATCH(9827,'Email Cleaner'!$I$2:$I$10001,0)),"")</f>
        <v/>
      </c>
    </row>
    <row r="9829">
      <c r="A9829">
        <f>IFERROR(INDEX('Email Cleaner'!$B$2:$B$10001,MATCH(9828,'Email Cleaner'!$I$2:$I$10001,0)),"")</f>
        <v/>
      </c>
    </row>
    <row r="9830">
      <c r="A9830">
        <f>IFERROR(INDEX('Email Cleaner'!$B$2:$B$10001,MATCH(9829,'Email Cleaner'!$I$2:$I$10001,0)),"")</f>
        <v/>
      </c>
    </row>
    <row r="9831">
      <c r="A9831">
        <f>IFERROR(INDEX('Email Cleaner'!$B$2:$B$10001,MATCH(9830,'Email Cleaner'!$I$2:$I$10001,0)),"")</f>
        <v/>
      </c>
    </row>
    <row r="9832">
      <c r="A9832">
        <f>IFERROR(INDEX('Email Cleaner'!$B$2:$B$10001,MATCH(9831,'Email Cleaner'!$I$2:$I$10001,0)),"")</f>
        <v/>
      </c>
    </row>
    <row r="9833">
      <c r="A9833">
        <f>IFERROR(INDEX('Email Cleaner'!$B$2:$B$10001,MATCH(9832,'Email Cleaner'!$I$2:$I$10001,0)),"")</f>
        <v/>
      </c>
    </row>
    <row r="9834">
      <c r="A9834">
        <f>IFERROR(INDEX('Email Cleaner'!$B$2:$B$10001,MATCH(9833,'Email Cleaner'!$I$2:$I$10001,0)),"")</f>
        <v/>
      </c>
    </row>
    <row r="9835">
      <c r="A9835">
        <f>IFERROR(INDEX('Email Cleaner'!$B$2:$B$10001,MATCH(9834,'Email Cleaner'!$I$2:$I$10001,0)),"")</f>
        <v/>
      </c>
    </row>
    <row r="9836">
      <c r="A9836">
        <f>IFERROR(INDEX('Email Cleaner'!$B$2:$B$10001,MATCH(9835,'Email Cleaner'!$I$2:$I$10001,0)),"")</f>
        <v/>
      </c>
    </row>
    <row r="9837">
      <c r="A9837">
        <f>IFERROR(INDEX('Email Cleaner'!$B$2:$B$10001,MATCH(9836,'Email Cleaner'!$I$2:$I$10001,0)),"")</f>
        <v/>
      </c>
    </row>
    <row r="9838">
      <c r="A9838">
        <f>IFERROR(INDEX('Email Cleaner'!$B$2:$B$10001,MATCH(9837,'Email Cleaner'!$I$2:$I$10001,0)),"")</f>
        <v/>
      </c>
    </row>
    <row r="9839">
      <c r="A9839">
        <f>IFERROR(INDEX('Email Cleaner'!$B$2:$B$10001,MATCH(9838,'Email Cleaner'!$I$2:$I$10001,0)),"")</f>
        <v/>
      </c>
    </row>
    <row r="9840">
      <c r="A9840">
        <f>IFERROR(INDEX('Email Cleaner'!$B$2:$B$10001,MATCH(9839,'Email Cleaner'!$I$2:$I$10001,0)),"")</f>
        <v/>
      </c>
    </row>
    <row r="9841">
      <c r="A9841">
        <f>IFERROR(INDEX('Email Cleaner'!$B$2:$B$10001,MATCH(9840,'Email Cleaner'!$I$2:$I$10001,0)),"")</f>
        <v/>
      </c>
    </row>
    <row r="9842">
      <c r="A9842">
        <f>IFERROR(INDEX('Email Cleaner'!$B$2:$B$10001,MATCH(9841,'Email Cleaner'!$I$2:$I$10001,0)),"")</f>
        <v/>
      </c>
    </row>
    <row r="9843">
      <c r="A9843">
        <f>IFERROR(INDEX('Email Cleaner'!$B$2:$B$10001,MATCH(9842,'Email Cleaner'!$I$2:$I$10001,0)),"")</f>
        <v/>
      </c>
    </row>
    <row r="9844">
      <c r="A9844">
        <f>IFERROR(INDEX('Email Cleaner'!$B$2:$B$10001,MATCH(9843,'Email Cleaner'!$I$2:$I$10001,0)),"")</f>
        <v/>
      </c>
    </row>
    <row r="9845">
      <c r="A9845">
        <f>IFERROR(INDEX('Email Cleaner'!$B$2:$B$10001,MATCH(9844,'Email Cleaner'!$I$2:$I$10001,0)),"")</f>
        <v/>
      </c>
    </row>
    <row r="9846">
      <c r="A9846">
        <f>IFERROR(INDEX('Email Cleaner'!$B$2:$B$10001,MATCH(9845,'Email Cleaner'!$I$2:$I$10001,0)),"")</f>
        <v/>
      </c>
    </row>
    <row r="9847">
      <c r="A9847">
        <f>IFERROR(INDEX('Email Cleaner'!$B$2:$B$10001,MATCH(9846,'Email Cleaner'!$I$2:$I$10001,0)),"")</f>
        <v/>
      </c>
    </row>
    <row r="9848">
      <c r="A9848">
        <f>IFERROR(INDEX('Email Cleaner'!$B$2:$B$10001,MATCH(9847,'Email Cleaner'!$I$2:$I$10001,0)),"")</f>
        <v/>
      </c>
    </row>
    <row r="9849">
      <c r="A9849">
        <f>IFERROR(INDEX('Email Cleaner'!$B$2:$B$10001,MATCH(9848,'Email Cleaner'!$I$2:$I$10001,0)),"")</f>
        <v/>
      </c>
    </row>
    <row r="9850">
      <c r="A9850">
        <f>IFERROR(INDEX('Email Cleaner'!$B$2:$B$10001,MATCH(9849,'Email Cleaner'!$I$2:$I$10001,0)),"")</f>
        <v/>
      </c>
    </row>
    <row r="9851">
      <c r="A9851">
        <f>IFERROR(INDEX('Email Cleaner'!$B$2:$B$10001,MATCH(9850,'Email Cleaner'!$I$2:$I$10001,0)),"")</f>
        <v/>
      </c>
    </row>
    <row r="9852">
      <c r="A9852">
        <f>IFERROR(INDEX('Email Cleaner'!$B$2:$B$10001,MATCH(9851,'Email Cleaner'!$I$2:$I$10001,0)),"")</f>
        <v/>
      </c>
    </row>
    <row r="9853">
      <c r="A9853">
        <f>IFERROR(INDEX('Email Cleaner'!$B$2:$B$10001,MATCH(9852,'Email Cleaner'!$I$2:$I$10001,0)),"")</f>
        <v/>
      </c>
    </row>
    <row r="9854">
      <c r="A9854">
        <f>IFERROR(INDEX('Email Cleaner'!$B$2:$B$10001,MATCH(9853,'Email Cleaner'!$I$2:$I$10001,0)),"")</f>
        <v/>
      </c>
    </row>
    <row r="9855">
      <c r="A9855">
        <f>IFERROR(INDEX('Email Cleaner'!$B$2:$B$10001,MATCH(9854,'Email Cleaner'!$I$2:$I$10001,0)),"")</f>
        <v/>
      </c>
    </row>
    <row r="9856">
      <c r="A9856">
        <f>IFERROR(INDEX('Email Cleaner'!$B$2:$B$10001,MATCH(9855,'Email Cleaner'!$I$2:$I$10001,0)),"")</f>
        <v/>
      </c>
    </row>
    <row r="9857">
      <c r="A9857">
        <f>IFERROR(INDEX('Email Cleaner'!$B$2:$B$10001,MATCH(9856,'Email Cleaner'!$I$2:$I$10001,0)),"")</f>
        <v/>
      </c>
    </row>
    <row r="9858">
      <c r="A9858">
        <f>IFERROR(INDEX('Email Cleaner'!$B$2:$B$10001,MATCH(9857,'Email Cleaner'!$I$2:$I$10001,0)),"")</f>
        <v/>
      </c>
    </row>
    <row r="9859">
      <c r="A9859">
        <f>IFERROR(INDEX('Email Cleaner'!$B$2:$B$10001,MATCH(9858,'Email Cleaner'!$I$2:$I$10001,0)),"")</f>
        <v/>
      </c>
    </row>
    <row r="9860">
      <c r="A9860">
        <f>IFERROR(INDEX('Email Cleaner'!$B$2:$B$10001,MATCH(9859,'Email Cleaner'!$I$2:$I$10001,0)),"")</f>
        <v/>
      </c>
    </row>
    <row r="9861">
      <c r="A9861">
        <f>IFERROR(INDEX('Email Cleaner'!$B$2:$B$10001,MATCH(9860,'Email Cleaner'!$I$2:$I$10001,0)),"")</f>
        <v/>
      </c>
    </row>
    <row r="9862">
      <c r="A9862">
        <f>IFERROR(INDEX('Email Cleaner'!$B$2:$B$10001,MATCH(9861,'Email Cleaner'!$I$2:$I$10001,0)),"")</f>
        <v/>
      </c>
    </row>
    <row r="9863">
      <c r="A9863">
        <f>IFERROR(INDEX('Email Cleaner'!$B$2:$B$10001,MATCH(9862,'Email Cleaner'!$I$2:$I$10001,0)),"")</f>
        <v/>
      </c>
    </row>
    <row r="9864">
      <c r="A9864">
        <f>IFERROR(INDEX('Email Cleaner'!$B$2:$B$10001,MATCH(9863,'Email Cleaner'!$I$2:$I$10001,0)),"")</f>
        <v/>
      </c>
    </row>
    <row r="9865">
      <c r="A9865">
        <f>IFERROR(INDEX('Email Cleaner'!$B$2:$B$10001,MATCH(9864,'Email Cleaner'!$I$2:$I$10001,0)),"")</f>
        <v/>
      </c>
    </row>
    <row r="9866">
      <c r="A9866">
        <f>IFERROR(INDEX('Email Cleaner'!$B$2:$B$10001,MATCH(9865,'Email Cleaner'!$I$2:$I$10001,0)),"")</f>
        <v/>
      </c>
    </row>
    <row r="9867">
      <c r="A9867">
        <f>IFERROR(INDEX('Email Cleaner'!$B$2:$B$10001,MATCH(9866,'Email Cleaner'!$I$2:$I$10001,0)),"")</f>
        <v/>
      </c>
    </row>
    <row r="9868">
      <c r="A9868">
        <f>IFERROR(INDEX('Email Cleaner'!$B$2:$B$10001,MATCH(9867,'Email Cleaner'!$I$2:$I$10001,0)),"")</f>
        <v/>
      </c>
    </row>
    <row r="9869">
      <c r="A9869">
        <f>IFERROR(INDEX('Email Cleaner'!$B$2:$B$10001,MATCH(9868,'Email Cleaner'!$I$2:$I$10001,0)),"")</f>
        <v/>
      </c>
    </row>
    <row r="9870">
      <c r="A9870">
        <f>IFERROR(INDEX('Email Cleaner'!$B$2:$B$10001,MATCH(9869,'Email Cleaner'!$I$2:$I$10001,0)),"")</f>
        <v/>
      </c>
    </row>
    <row r="9871">
      <c r="A9871">
        <f>IFERROR(INDEX('Email Cleaner'!$B$2:$B$10001,MATCH(9870,'Email Cleaner'!$I$2:$I$10001,0)),"")</f>
        <v/>
      </c>
    </row>
    <row r="9872">
      <c r="A9872">
        <f>IFERROR(INDEX('Email Cleaner'!$B$2:$B$10001,MATCH(9871,'Email Cleaner'!$I$2:$I$10001,0)),"")</f>
        <v/>
      </c>
    </row>
    <row r="9873">
      <c r="A9873">
        <f>IFERROR(INDEX('Email Cleaner'!$B$2:$B$10001,MATCH(9872,'Email Cleaner'!$I$2:$I$10001,0)),"")</f>
        <v/>
      </c>
    </row>
    <row r="9874">
      <c r="A9874">
        <f>IFERROR(INDEX('Email Cleaner'!$B$2:$B$10001,MATCH(9873,'Email Cleaner'!$I$2:$I$10001,0)),"")</f>
        <v/>
      </c>
    </row>
    <row r="9875">
      <c r="A9875">
        <f>IFERROR(INDEX('Email Cleaner'!$B$2:$B$10001,MATCH(9874,'Email Cleaner'!$I$2:$I$10001,0)),"")</f>
        <v/>
      </c>
    </row>
    <row r="9876">
      <c r="A9876">
        <f>IFERROR(INDEX('Email Cleaner'!$B$2:$B$10001,MATCH(9875,'Email Cleaner'!$I$2:$I$10001,0)),"")</f>
        <v/>
      </c>
    </row>
    <row r="9877">
      <c r="A9877">
        <f>IFERROR(INDEX('Email Cleaner'!$B$2:$B$10001,MATCH(9876,'Email Cleaner'!$I$2:$I$10001,0)),"")</f>
        <v/>
      </c>
    </row>
    <row r="9878">
      <c r="A9878">
        <f>IFERROR(INDEX('Email Cleaner'!$B$2:$B$10001,MATCH(9877,'Email Cleaner'!$I$2:$I$10001,0)),"")</f>
        <v/>
      </c>
    </row>
    <row r="9879">
      <c r="A9879">
        <f>IFERROR(INDEX('Email Cleaner'!$B$2:$B$10001,MATCH(9878,'Email Cleaner'!$I$2:$I$10001,0)),"")</f>
        <v/>
      </c>
    </row>
    <row r="9880">
      <c r="A9880">
        <f>IFERROR(INDEX('Email Cleaner'!$B$2:$B$10001,MATCH(9879,'Email Cleaner'!$I$2:$I$10001,0)),"")</f>
        <v/>
      </c>
    </row>
    <row r="9881">
      <c r="A9881">
        <f>IFERROR(INDEX('Email Cleaner'!$B$2:$B$10001,MATCH(9880,'Email Cleaner'!$I$2:$I$10001,0)),"")</f>
        <v/>
      </c>
    </row>
    <row r="9882">
      <c r="A9882">
        <f>IFERROR(INDEX('Email Cleaner'!$B$2:$B$10001,MATCH(9881,'Email Cleaner'!$I$2:$I$10001,0)),"")</f>
        <v/>
      </c>
    </row>
    <row r="9883">
      <c r="A9883">
        <f>IFERROR(INDEX('Email Cleaner'!$B$2:$B$10001,MATCH(9882,'Email Cleaner'!$I$2:$I$10001,0)),"")</f>
        <v/>
      </c>
    </row>
    <row r="9884">
      <c r="A9884">
        <f>IFERROR(INDEX('Email Cleaner'!$B$2:$B$10001,MATCH(9883,'Email Cleaner'!$I$2:$I$10001,0)),"")</f>
        <v/>
      </c>
    </row>
    <row r="9885">
      <c r="A9885">
        <f>IFERROR(INDEX('Email Cleaner'!$B$2:$B$10001,MATCH(9884,'Email Cleaner'!$I$2:$I$10001,0)),"")</f>
        <v/>
      </c>
    </row>
    <row r="9886">
      <c r="A9886">
        <f>IFERROR(INDEX('Email Cleaner'!$B$2:$B$10001,MATCH(9885,'Email Cleaner'!$I$2:$I$10001,0)),"")</f>
        <v/>
      </c>
    </row>
    <row r="9887">
      <c r="A9887">
        <f>IFERROR(INDEX('Email Cleaner'!$B$2:$B$10001,MATCH(9886,'Email Cleaner'!$I$2:$I$10001,0)),"")</f>
        <v/>
      </c>
    </row>
    <row r="9888">
      <c r="A9888">
        <f>IFERROR(INDEX('Email Cleaner'!$B$2:$B$10001,MATCH(9887,'Email Cleaner'!$I$2:$I$10001,0)),"")</f>
        <v/>
      </c>
    </row>
    <row r="9889">
      <c r="A9889">
        <f>IFERROR(INDEX('Email Cleaner'!$B$2:$B$10001,MATCH(9888,'Email Cleaner'!$I$2:$I$10001,0)),"")</f>
        <v/>
      </c>
    </row>
    <row r="9890">
      <c r="A9890">
        <f>IFERROR(INDEX('Email Cleaner'!$B$2:$B$10001,MATCH(9889,'Email Cleaner'!$I$2:$I$10001,0)),"")</f>
        <v/>
      </c>
    </row>
    <row r="9891">
      <c r="A9891">
        <f>IFERROR(INDEX('Email Cleaner'!$B$2:$B$10001,MATCH(9890,'Email Cleaner'!$I$2:$I$10001,0)),"")</f>
        <v/>
      </c>
    </row>
    <row r="9892">
      <c r="A9892">
        <f>IFERROR(INDEX('Email Cleaner'!$B$2:$B$10001,MATCH(9891,'Email Cleaner'!$I$2:$I$10001,0)),"")</f>
        <v/>
      </c>
    </row>
    <row r="9893">
      <c r="A9893">
        <f>IFERROR(INDEX('Email Cleaner'!$B$2:$B$10001,MATCH(9892,'Email Cleaner'!$I$2:$I$10001,0)),"")</f>
        <v/>
      </c>
    </row>
    <row r="9894">
      <c r="A9894">
        <f>IFERROR(INDEX('Email Cleaner'!$B$2:$B$10001,MATCH(9893,'Email Cleaner'!$I$2:$I$10001,0)),"")</f>
        <v/>
      </c>
    </row>
    <row r="9895">
      <c r="A9895">
        <f>IFERROR(INDEX('Email Cleaner'!$B$2:$B$10001,MATCH(9894,'Email Cleaner'!$I$2:$I$10001,0)),"")</f>
        <v/>
      </c>
    </row>
    <row r="9896">
      <c r="A9896">
        <f>IFERROR(INDEX('Email Cleaner'!$B$2:$B$10001,MATCH(9895,'Email Cleaner'!$I$2:$I$10001,0)),"")</f>
        <v/>
      </c>
    </row>
    <row r="9897">
      <c r="A9897">
        <f>IFERROR(INDEX('Email Cleaner'!$B$2:$B$10001,MATCH(9896,'Email Cleaner'!$I$2:$I$10001,0)),"")</f>
        <v/>
      </c>
    </row>
    <row r="9898">
      <c r="A9898">
        <f>IFERROR(INDEX('Email Cleaner'!$B$2:$B$10001,MATCH(9897,'Email Cleaner'!$I$2:$I$10001,0)),"")</f>
        <v/>
      </c>
    </row>
    <row r="9899">
      <c r="A9899">
        <f>IFERROR(INDEX('Email Cleaner'!$B$2:$B$10001,MATCH(9898,'Email Cleaner'!$I$2:$I$10001,0)),"")</f>
        <v/>
      </c>
    </row>
    <row r="9900">
      <c r="A9900">
        <f>IFERROR(INDEX('Email Cleaner'!$B$2:$B$10001,MATCH(9899,'Email Cleaner'!$I$2:$I$10001,0)),"")</f>
        <v/>
      </c>
    </row>
    <row r="9901">
      <c r="A9901">
        <f>IFERROR(INDEX('Email Cleaner'!$B$2:$B$10001,MATCH(9900,'Email Cleaner'!$I$2:$I$10001,0)),"")</f>
        <v/>
      </c>
    </row>
    <row r="9902">
      <c r="A9902">
        <f>IFERROR(INDEX('Email Cleaner'!$B$2:$B$10001,MATCH(9901,'Email Cleaner'!$I$2:$I$10001,0)),"")</f>
        <v/>
      </c>
    </row>
    <row r="9903">
      <c r="A9903">
        <f>IFERROR(INDEX('Email Cleaner'!$B$2:$B$10001,MATCH(9902,'Email Cleaner'!$I$2:$I$10001,0)),"")</f>
        <v/>
      </c>
    </row>
    <row r="9904">
      <c r="A9904">
        <f>IFERROR(INDEX('Email Cleaner'!$B$2:$B$10001,MATCH(9903,'Email Cleaner'!$I$2:$I$10001,0)),"")</f>
        <v/>
      </c>
    </row>
    <row r="9905">
      <c r="A9905">
        <f>IFERROR(INDEX('Email Cleaner'!$B$2:$B$10001,MATCH(9904,'Email Cleaner'!$I$2:$I$10001,0)),"")</f>
        <v/>
      </c>
    </row>
    <row r="9906">
      <c r="A9906">
        <f>IFERROR(INDEX('Email Cleaner'!$B$2:$B$10001,MATCH(9905,'Email Cleaner'!$I$2:$I$10001,0)),"")</f>
        <v/>
      </c>
    </row>
    <row r="9907">
      <c r="A9907">
        <f>IFERROR(INDEX('Email Cleaner'!$B$2:$B$10001,MATCH(9906,'Email Cleaner'!$I$2:$I$10001,0)),"")</f>
        <v/>
      </c>
    </row>
    <row r="9908">
      <c r="A9908">
        <f>IFERROR(INDEX('Email Cleaner'!$B$2:$B$10001,MATCH(9907,'Email Cleaner'!$I$2:$I$10001,0)),"")</f>
        <v/>
      </c>
    </row>
    <row r="9909">
      <c r="A9909">
        <f>IFERROR(INDEX('Email Cleaner'!$B$2:$B$10001,MATCH(9908,'Email Cleaner'!$I$2:$I$10001,0)),"")</f>
        <v/>
      </c>
    </row>
    <row r="9910">
      <c r="A9910">
        <f>IFERROR(INDEX('Email Cleaner'!$B$2:$B$10001,MATCH(9909,'Email Cleaner'!$I$2:$I$10001,0)),"")</f>
        <v/>
      </c>
    </row>
    <row r="9911">
      <c r="A9911">
        <f>IFERROR(INDEX('Email Cleaner'!$B$2:$B$10001,MATCH(9910,'Email Cleaner'!$I$2:$I$10001,0)),"")</f>
        <v/>
      </c>
    </row>
    <row r="9912">
      <c r="A9912">
        <f>IFERROR(INDEX('Email Cleaner'!$B$2:$B$10001,MATCH(9911,'Email Cleaner'!$I$2:$I$10001,0)),"")</f>
        <v/>
      </c>
    </row>
    <row r="9913">
      <c r="A9913">
        <f>IFERROR(INDEX('Email Cleaner'!$B$2:$B$10001,MATCH(9912,'Email Cleaner'!$I$2:$I$10001,0)),"")</f>
        <v/>
      </c>
    </row>
    <row r="9914">
      <c r="A9914">
        <f>IFERROR(INDEX('Email Cleaner'!$B$2:$B$10001,MATCH(9913,'Email Cleaner'!$I$2:$I$10001,0)),"")</f>
        <v/>
      </c>
    </row>
    <row r="9915">
      <c r="A9915">
        <f>IFERROR(INDEX('Email Cleaner'!$B$2:$B$10001,MATCH(9914,'Email Cleaner'!$I$2:$I$10001,0)),"")</f>
        <v/>
      </c>
    </row>
    <row r="9916">
      <c r="A9916">
        <f>IFERROR(INDEX('Email Cleaner'!$B$2:$B$10001,MATCH(9915,'Email Cleaner'!$I$2:$I$10001,0)),"")</f>
        <v/>
      </c>
    </row>
    <row r="9917">
      <c r="A9917">
        <f>IFERROR(INDEX('Email Cleaner'!$B$2:$B$10001,MATCH(9916,'Email Cleaner'!$I$2:$I$10001,0)),"")</f>
        <v/>
      </c>
    </row>
    <row r="9918">
      <c r="A9918">
        <f>IFERROR(INDEX('Email Cleaner'!$B$2:$B$10001,MATCH(9917,'Email Cleaner'!$I$2:$I$10001,0)),"")</f>
        <v/>
      </c>
    </row>
    <row r="9919">
      <c r="A9919">
        <f>IFERROR(INDEX('Email Cleaner'!$B$2:$B$10001,MATCH(9918,'Email Cleaner'!$I$2:$I$10001,0)),"")</f>
        <v/>
      </c>
    </row>
    <row r="9920">
      <c r="A9920">
        <f>IFERROR(INDEX('Email Cleaner'!$B$2:$B$10001,MATCH(9919,'Email Cleaner'!$I$2:$I$10001,0)),"")</f>
        <v/>
      </c>
    </row>
    <row r="9921">
      <c r="A9921">
        <f>IFERROR(INDEX('Email Cleaner'!$B$2:$B$10001,MATCH(9920,'Email Cleaner'!$I$2:$I$10001,0)),"")</f>
        <v/>
      </c>
    </row>
    <row r="9922">
      <c r="A9922">
        <f>IFERROR(INDEX('Email Cleaner'!$B$2:$B$10001,MATCH(9921,'Email Cleaner'!$I$2:$I$10001,0)),"")</f>
        <v/>
      </c>
    </row>
    <row r="9923">
      <c r="A9923">
        <f>IFERROR(INDEX('Email Cleaner'!$B$2:$B$10001,MATCH(9922,'Email Cleaner'!$I$2:$I$10001,0)),"")</f>
        <v/>
      </c>
    </row>
    <row r="9924">
      <c r="A9924">
        <f>IFERROR(INDEX('Email Cleaner'!$B$2:$B$10001,MATCH(9923,'Email Cleaner'!$I$2:$I$10001,0)),"")</f>
        <v/>
      </c>
    </row>
    <row r="9925">
      <c r="A9925">
        <f>IFERROR(INDEX('Email Cleaner'!$B$2:$B$10001,MATCH(9924,'Email Cleaner'!$I$2:$I$10001,0)),"")</f>
        <v/>
      </c>
    </row>
    <row r="9926">
      <c r="A9926">
        <f>IFERROR(INDEX('Email Cleaner'!$B$2:$B$10001,MATCH(9925,'Email Cleaner'!$I$2:$I$10001,0)),"")</f>
        <v/>
      </c>
    </row>
    <row r="9927">
      <c r="A9927">
        <f>IFERROR(INDEX('Email Cleaner'!$B$2:$B$10001,MATCH(9926,'Email Cleaner'!$I$2:$I$10001,0)),"")</f>
        <v/>
      </c>
    </row>
    <row r="9928">
      <c r="A9928">
        <f>IFERROR(INDEX('Email Cleaner'!$B$2:$B$10001,MATCH(9927,'Email Cleaner'!$I$2:$I$10001,0)),"")</f>
        <v/>
      </c>
    </row>
    <row r="9929">
      <c r="A9929">
        <f>IFERROR(INDEX('Email Cleaner'!$B$2:$B$10001,MATCH(9928,'Email Cleaner'!$I$2:$I$10001,0)),"")</f>
        <v/>
      </c>
    </row>
    <row r="9930">
      <c r="A9930">
        <f>IFERROR(INDEX('Email Cleaner'!$B$2:$B$10001,MATCH(9929,'Email Cleaner'!$I$2:$I$10001,0)),"")</f>
        <v/>
      </c>
    </row>
    <row r="9931">
      <c r="A9931">
        <f>IFERROR(INDEX('Email Cleaner'!$B$2:$B$10001,MATCH(9930,'Email Cleaner'!$I$2:$I$10001,0)),"")</f>
        <v/>
      </c>
    </row>
    <row r="9932">
      <c r="A9932">
        <f>IFERROR(INDEX('Email Cleaner'!$B$2:$B$10001,MATCH(9931,'Email Cleaner'!$I$2:$I$10001,0)),"")</f>
        <v/>
      </c>
    </row>
    <row r="9933">
      <c r="A9933">
        <f>IFERROR(INDEX('Email Cleaner'!$B$2:$B$10001,MATCH(9932,'Email Cleaner'!$I$2:$I$10001,0)),"")</f>
        <v/>
      </c>
    </row>
    <row r="9934">
      <c r="A9934">
        <f>IFERROR(INDEX('Email Cleaner'!$B$2:$B$10001,MATCH(9933,'Email Cleaner'!$I$2:$I$10001,0)),"")</f>
        <v/>
      </c>
    </row>
    <row r="9935">
      <c r="A9935">
        <f>IFERROR(INDEX('Email Cleaner'!$B$2:$B$10001,MATCH(9934,'Email Cleaner'!$I$2:$I$10001,0)),"")</f>
        <v/>
      </c>
    </row>
    <row r="9936">
      <c r="A9936">
        <f>IFERROR(INDEX('Email Cleaner'!$B$2:$B$10001,MATCH(9935,'Email Cleaner'!$I$2:$I$10001,0)),"")</f>
        <v/>
      </c>
    </row>
    <row r="9937">
      <c r="A9937">
        <f>IFERROR(INDEX('Email Cleaner'!$B$2:$B$10001,MATCH(9936,'Email Cleaner'!$I$2:$I$10001,0)),"")</f>
        <v/>
      </c>
    </row>
    <row r="9938">
      <c r="A9938">
        <f>IFERROR(INDEX('Email Cleaner'!$B$2:$B$10001,MATCH(9937,'Email Cleaner'!$I$2:$I$10001,0)),"")</f>
        <v/>
      </c>
    </row>
    <row r="9939">
      <c r="A9939">
        <f>IFERROR(INDEX('Email Cleaner'!$B$2:$B$10001,MATCH(9938,'Email Cleaner'!$I$2:$I$10001,0)),"")</f>
        <v/>
      </c>
    </row>
    <row r="9940">
      <c r="A9940">
        <f>IFERROR(INDEX('Email Cleaner'!$B$2:$B$10001,MATCH(9939,'Email Cleaner'!$I$2:$I$10001,0)),"")</f>
        <v/>
      </c>
    </row>
    <row r="9941">
      <c r="A9941">
        <f>IFERROR(INDEX('Email Cleaner'!$B$2:$B$10001,MATCH(9940,'Email Cleaner'!$I$2:$I$10001,0)),"")</f>
        <v/>
      </c>
    </row>
    <row r="9942">
      <c r="A9942">
        <f>IFERROR(INDEX('Email Cleaner'!$B$2:$B$10001,MATCH(9941,'Email Cleaner'!$I$2:$I$10001,0)),"")</f>
        <v/>
      </c>
    </row>
    <row r="9943">
      <c r="A9943">
        <f>IFERROR(INDEX('Email Cleaner'!$B$2:$B$10001,MATCH(9942,'Email Cleaner'!$I$2:$I$10001,0)),"")</f>
        <v/>
      </c>
    </row>
    <row r="9944">
      <c r="A9944">
        <f>IFERROR(INDEX('Email Cleaner'!$B$2:$B$10001,MATCH(9943,'Email Cleaner'!$I$2:$I$10001,0)),"")</f>
        <v/>
      </c>
    </row>
    <row r="9945">
      <c r="A9945">
        <f>IFERROR(INDEX('Email Cleaner'!$B$2:$B$10001,MATCH(9944,'Email Cleaner'!$I$2:$I$10001,0)),"")</f>
        <v/>
      </c>
    </row>
    <row r="9946">
      <c r="A9946">
        <f>IFERROR(INDEX('Email Cleaner'!$B$2:$B$10001,MATCH(9945,'Email Cleaner'!$I$2:$I$10001,0)),"")</f>
        <v/>
      </c>
    </row>
    <row r="9947">
      <c r="A9947">
        <f>IFERROR(INDEX('Email Cleaner'!$B$2:$B$10001,MATCH(9946,'Email Cleaner'!$I$2:$I$10001,0)),"")</f>
        <v/>
      </c>
    </row>
    <row r="9948">
      <c r="A9948">
        <f>IFERROR(INDEX('Email Cleaner'!$B$2:$B$10001,MATCH(9947,'Email Cleaner'!$I$2:$I$10001,0)),"")</f>
        <v/>
      </c>
    </row>
    <row r="9949">
      <c r="A9949">
        <f>IFERROR(INDEX('Email Cleaner'!$B$2:$B$10001,MATCH(9948,'Email Cleaner'!$I$2:$I$10001,0)),"")</f>
        <v/>
      </c>
    </row>
    <row r="9950">
      <c r="A9950">
        <f>IFERROR(INDEX('Email Cleaner'!$B$2:$B$10001,MATCH(9949,'Email Cleaner'!$I$2:$I$10001,0)),"")</f>
        <v/>
      </c>
    </row>
    <row r="9951">
      <c r="A9951">
        <f>IFERROR(INDEX('Email Cleaner'!$B$2:$B$10001,MATCH(9950,'Email Cleaner'!$I$2:$I$10001,0)),"")</f>
        <v/>
      </c>
    </row>
    <row r="9952">
      <c r="A9952">
        <f>IFERROR(INDEX('Email Cleaner'!$B$2:$B$10001,MATCH(9951,'Email Cleaner'!$I$2:$I$10001,0)),"")</f>
        <v/>
      </c>
    </row>
    <row r="9953">
      <c r="A9953">
        <f>IFERROR(INDEX('Email Cleaner'!$B$2:$B$10001,MATCH(9952,'Email Cleaner'!$I$2:$I$10001,0)),"")</f>
        <v/>
      </c>
    </row>
    <row r="9954">
      <c r="A9954">
        <f>IFERROR(INDEX('Email Cleaner'!$B$2:$B$10001,MATCH(9953,'Email Cleaner'!$I$2:$I$10001,0)),"")</f>
        <v/>
      </c>
    </row>
    <row r="9955">
      <c r="A9955">
        <f>IFERROR(INDEX('Email Cleaner'!$B$2:$B$10001,MATCH(9954,'Email Cleaner'!$I$2:$I$10001,0)),"")</f>
        <v/>
      </c>
    </row>
    <row r="9956">
      <c r="A9956">
        <f>IFERROR(INDEX('Email Cleaner'!$B$2:$B$10001,MATCH(9955,'Email Cleaner'!$I$2:$I$10001,0)),"")</f>
        <v/>
      </c>
    </row>
    <row r="9957">
      <c r="A9957">
        <f>IFERROR(INDEX('Email Cleaner'!$B$2:$B$10001,MATCH(9956,'Email Cleaner'!$I$2:$I$10001,0)),"")</f>
        <v/>
      </c>
    </row>
    <row r="9958">
      <c r="A9958">
        <f>IFERROR(INDEX('Email Cleaner'!$B$2:$B$10001,MATCH(9957,'Email Cleaner'!$I$2:$I$10001,0)),"")</f>
        <v/>
      </c>
    </row>
    <row r="9959">
      <c r="A9959">
        <f>IFERROR(INDEX('Email Cleaner'!$B$2:$B$10001,MATCH(9958,'Email Cleaner'!$I$2:$I$10001,0)),"")</f>
        <v/>
      </c>
    </row>
    <row r="9960">
      <c r="A9960">
        <f>IFERROR(INDEX('Email Cleaner'!$B$2:$B$10001,MATCH(9959,'Email Cleaner'!$I$2:$I$10001,0)),"")</f>
        <v/>
      </c>
    </row>
    <row r="9961">
      <c r="A9961">
        <f>IFERROR(INDEX('Email Cleaner'!$B$2:$B$10001,MATCH(9960,'Email Cleaner'!$I$2:$I$10001,0)),"")</f>
        <v/>
      </c>
    </row>
    <row r="9962">
      <c r="A9962">
        <f>IFERROR(INDEX('Email Cleaner'!$B$2:$B$10001,MATCH(9961,'Email Cleaner'!$I$2:$I$10001,0)),"")</f>
        <v/>
      </c>
    </row>
    <row r="9963">
      <c r="A9963">
        <f>IFERROR(INDEX('Email Cleaner'!$B$2:$B$10001,MATCH(9962,'Email Cleaner'!$I$2:$I$10001,0)),"")</f>
        <v/>
      </c>
    </row>
    <row r="9964">
      <c r="A9964">
        <f>IFERROR(INDEX('Email Cleaner'!$B$2:$B$10001,MATCH(9963,'Email Cleaner'!$I$2:$I$10001,0)),"")</f>
        <v/>
      </c>
    </row>
    <row r="9965">
      <c r="A9965">
        <f>IFERROR(INDEX('Email Cleaner'!$B$2:$B$10001,MATCH(9964,'Email Cleaner'!$I$2:$I$10001,0)),"")</f>
        <v/>
      </c>
    </row>
    <row r="9966">
      <c r="A9966">
        <f>IFERROR(INDEX('Email Cleaner'!$B$2:$B$10001,MATCH(9965,'Email Cleaner'!$I$2:$I$10001,0)),"")</f>
        <v/>
      </c>
    </row>
    <row r="9967">
      <c r="A9967">
        <f>IFERROR(INDEX('Email Cleaner'!$B$2:$B$10001,MATCH(9966,'Email Cleaner'!$I$2:$I$10001,0)),"")</f>
        <v/>
      </c>
    </row>
    <row r="9968">
      <c r="A9968">
        <f>IFERROR(INDEX('Email Cleaner'!$B$2:$B$10001,MATCH(9967,'Email Cleaner'!$I$2:$I$10001,0)),"")</f>
        <v/>
      </c>
    </row>
    <row r="9969">
      <c r="A9969">
        <f>IFERROR(INDEX('Email Cleaner'!$B$2:$B$10001,MATCH(9968,'Email Cleaner'!$I$2:$I$10001,0)),"")</f>
        <v/>
      </c>
    </row>
    <row r="9970">
      <c r="A9970">
        <f>IFERROR(INDEX('Email Cleaner'!$B$2:$B$10001,MATCH(9969,'Email Cleaner'!$I$2:$I$10001,0)),"")</f>
        <v/>
      </c>
    </row>
    <row r="9971">
      <c r="A9971">
        <f>IFERROR(INDEX('Email Cleaner'!$B$2:$B$10001,MATCH(9970,'Email Cleaner'!$I$2:$I$10001,0)),"")</f>
        <v/>
      </c>
    </row>
    <row r="9972">
      <c r="A9972">
        <f>IFERROR(INDEX('Email Cleaner'!$B$2:$B$10001,MATCH(9971,'Email Cleaner'!$I$2:$I$10001,0)),"")</f>
        <v/>
      </c>
    </row>
    <row r="9973">
      <c r="A9973">
        <f>IFERROR(INDEX('Email Cleaner'!$B$2:$B$10001,MATCH(9972,'Email Cleaner'!$I$2:$I$10001,0)),"")</f>
        <v/>
      </c>
    </row>
    <row r="9974">
      <c r="A9974">
        <f>IFERROR(INDEX('Email Cleaner'!$B$2:$B$10001,MATCH(9973,'Email Cleaner'!$I$2:$I$10001,0)),"")</f>
        <v/>
      </c>
    </row>
    <row r="9975">
      <c r="A9975">
        <f>IFERROR(INDEX('Email Cleaner'!$B$2:$B$10001,MATCH(9974,'Email Cleaner'!$I$2:$I$10001,0)),"")</f>
        <v/>
      </c>
    </row>
    <row r="9976">
      <c r="A9976">
        <f>IFERROR(INDEX('Email Cleaner'!$B$2:$B$10001,MATCH(9975,'Email Cleaner'!$I$2:$I$10001,0)),"")</f>
        <v/>
      </c>
    </row>
    <row r="9977">
      <c r="A9977">
        <f>IFERROR(INDEX('Email Cleaner'!$B$2:$B$10001,MATCH(9976,'Email Cleaner'!$I$2:$I$10001,0)),"")</f>
        <v/>
      </c>
    </row>
    <row r="9978">
      <c r="A9978">
        <f>IFERROR(INDEX('Email Cleaner'!$B$2:$B$10001,MATCH(9977,'Email Cleaner'!$I$2:$I$10001,0)),"")</f>
        <v/>
      </c>
    </row>
    <row r="9979">
      <c r="A9979">
        <f>IFERROR(INDEX('Email Cleaner'!$B$2:$B$10001,MATCH(9978,'Email Cleaner'!$I$2:$I$10001,0)),"")</f>
        <v/>
      </c>
    </row>
    <row r="9980">
      <c r="A9980">
        <f>IFERROR(INDEX('Email Cleaner'!$B$2:$B$10001,MATCH(9979,'Email Cleaner'!$I$2:$I$10001,0)),"")</f>
        <v/>
      </c>
    </row>
    <row r="9981">
      <c r="A9981">
        <f>IFERROR(INDEX('Email Cleaner'!$B$2:$B$10001,MATCH(9980,'Email Cleaner'!$I$2:$I$10001,0)),"")</f>
        <v/>
      </c>
    </row>
    <row r="9982">
      <c r="A9982">
        <f>IFERROR(INDEX('Email Cleaner'!$B$2:$B$10001,MATCH(9981,'Email Cleaner'!$I$2:$I$10001,0)),"")</f>
        <v/>
      </c>
    </row>
    <row r="9983">
      <c r="A9983">
        <f>IFERROR(INDEX('Email Cleaner'!$B$2:$B$10001,MATCH(9982,'Email Cleaner'!$I$2:$I$10001,0)),"")</f>
        <v/>
      </c>
    </row>
    <row r="9984">
      <c r="A9984">
        <f>IFERROR(INDEX('Email Cleaner'!$B$2:$B$10001,MATCH(9983,'Email Cleaner'!$I$2:$I$10001,0)),"")</f>
        <v/>
      </c>
    </row>
    <row r="9985">
      <c r="A9985">
        <f>IFERROR(INDEX('Email Cleaner'!$B$2:$B$10001,MATCH(9984,'Email Cleaner'!$I$2:$I$10001,0)),"")</f>
        <v/>
      </c>
    </row>
    <row r="9986">
      <c r="A9986">
        <f>IFERROR(INDEX('Email Cleaner'!$B$2:$B$10001,MATCH(9985,'Email Cleaner'!$I$2:$I$10001,0)),"")</f>
        <v/>
      </c>
    </row>
    <row r="9987">
      <c r="A9987">
        <f>IFERROR(INDEX('Email Cleaner'!$B$2:$B$10001,MATCH(9986,'Email Cleaner'!$I$2:$I$10001,0)),"")</f>
        <v/>
      </c>
    </row>
    <row r="9988">
      <c r="A9988">
        <f>IFERROR(INDEX('Email Cleaner'!$B$2:$B$10001,MATCH(9987,'Email Cleaner'!$I$2:$I$10001,0)),"")</f>
        <v/>
      </c>
    </row>
    <row r="9989">
      <c r="A9989">
        <f>IFERROR(INDEX('Email Cleaner'!$B$2:$B$10001,MATCH(9988,'Email Cleaner'!$I$2:$I$10001,0)),"")</f>
        <v/>
      </c>
    </row>
    <row r="9990">
      <c r="A9990">
        <f>IFERROR(INDEX('Email Cleaner'!$B$2:$B$10001,MATCH(9989,'Email Cleaner'!$I$2:$I$10001,0)),"")</f>
        <v/>
      </c>
    </row>
    <row r="9991">
      <c r="A9991">
        <f>IFERROR(INDEX('Email Cleaner'!$B$2:$B$10001,MATCH(9990,'Email Cleaner'!$I$2:$I$10001,0)),"")</f>
        <v/>
      </c>
    </row>
    <row r="9992">
      <c r="A9992">
        <f>IFERROR(INDEX('Email Cleaner'!$B$2:$B$10001,MATCH(9991,'Email Cleaner'!$I$2:$I$10001,0)),"")</f>
        <v/>
      </c>
    </row>
    <row r="9993">
      <c r="A9993">
        <f>IFERROR(INDEX('Email Cleaner'!$B$2:$B$10001,MATCH(9992,'Email Cleaner'!$I$2:$I$10001,0)),"")</f>
        <v/>
      </c>
    </row>
    <row r="9994">
      <c r="A9994">
        <f>IFERROR(INDEX('Email Cleaner'!$B$2:$B$10001,MATCH(9993,'Email Cleaner'!$I$2:$I$10001,0)),"")</f>
        <v/>
      </c>
    </row>
    <row r="9995">
      <c r="A9995">
        <f>IFERROR(INDEX('Email Cleaner'!$B$2:$B$10001,MATCH(9994,'Email Cleaner'!$I$2:$I$10001,0)),"")</f>
        <v/>
      </c>
    </row>
    <row r="9996">
      <c r="A9996">
        <f>IFERROR(INDEX('Email Cleaner'!$B$2:$B$10001,MATCH(9995,'Email Cleaner'!$I$2:$I$10001,0)),"")</f>
        <v/>
      </c>
    </row>
    <row r="9997">
      <c r="A9997">
        <f>IFERROR(INDEX('Email Cleaner'!$B$2:$B$10001,MATCH(9996,'Email Cleaner'!$I$2:$I$10001,0)),"")</f>
        <v/>
      </c>
    </row>
    <row r="9998">
      <c r="A9998">
        <f>IFERROR(INDEX('Email Cleaner'!$B$2:$B$10001,MATCH(9997,'Email Cleaner'!$I$2:$I$10001,0)),"")</f>
        <v/>
      </c>
    </row>
    <row r="9999">
      <c r="A9999">
        <f>IFERROR(INDEX('Email Cleaner'!$B$2:$B$10001,MATCH(9998,'Email Cleaner'!$I$2:$I$10001,0)),"")</f>
        <v/>
      </c>
    </row>
    <row r="10000">
      <c r="A10000">
        <f>IFERROR(INDEX('Email Cleaner'!$B$2:$B$10001,MATCH(9999,'Email Cleaner'!$I$2:$I$10001,0)),"")</f>
        <v/>
      </c>
    </row>
    <row r="10001">
      <c r="A10001">
        <f>IFERROR(INDEX('Email Cleaner'!$B$2:$B$10001,MATCH(10000,'Email Cleaner'!$I$2:$I$10001,0)),"")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0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Copy Outlook Emails From Here</t>
        </is>
      </c>
    </row>
    <row r="2">
      <c r="A2">
        <f>IFERROR(INDEX('Email Cleaner'!$B$2:$B$10001,MATCH(1,'Email Cleaner'!$J$2:$J$10001,0)),"")</f>
        <v/>
      </c>
    </row>
    <row r="3">
      <c r="A3">
        <f>IFERROR(INDEX('Email Cleaner'!$B$2:$B$10001,MATCH(2,'Email Cleaner'!$J$2:$J$10001,0)),"")</f>
        <v/>
      </c>
    </row>
    <row r="4">
      <c r="A4">
        <f>IFERROR(INDEX('Email Cleaner'!$B$2:$B$10001,MATCH(3,'Email Cleaner'!$J$2:$J$10001,0)),"")</f>
        <v/>
      </c>
    </row>
    <row r="5">
      <c r="A5">
        <f>IFERROR(INDEX('Email Cleaner'!$B$2:$B$10001,MATCH(4,'Email Cleaner'!$J$2:$J$10001,0)),"")</f>
        <v/>
      </c>
    </row>
    <row r="6">
      <c r="A6">
        <f>IFERROR(INDEX('Email Cleaner'!$B$2:$B$10001,MATCH(5,'Email Cleaner'!$J$2:$J$10001,0)),"")</f>
        <v/>
      </c>
    </row>
    <row r="7">
      <c r="A7">
        <f>IFERROR(INDEX('Email Cleaner'!$B$2:$B$10001,MATCH(6,'Email Cleaner'!$J$2:$J$10001,0)),"")</f>
        <v/>
      </c>
    </row>
    <row r="8">
      <c r="A8">
        <f>IFERROR(INDEX('Email Cleaner'!$B$2:$B$10001,MATCH(7,'Email Cleaner'!$J$2:$J$10001,0)),"")</f>
        <v/>
      </c>
    </row>
    <row r="9">
      <c r="A9">
        <f>IFERROR(INDEX('Email Cleaner'!$B$2:$B$10001,MATCH(8,'Email Cleaner'!$J$2:$J$10001,0)),"")</f>
        <v/>
      </c>
    </row>
    <row r="10">
      <c r="A10">
        <f>IFERROR(INDEX('Email Cleaner'!$B$2:$B$10001,MATCH(9,'Email Cleaner'!$J$2:$J$10001,0)),"")</f>
        <v/>
      </c>
    </row>
    <row r="11">
      <c r="A11">
        <f>IFERROR(INDEX('Email Cleaner'!$B$2:$B$10001,MATCH(10,'Email Cleaner'!$J$2:$J$10001,0)),"")</f>
        <v/>
      </c>
    </row>
    <row r="12">
      <c r="A12">
        <f>IFERROR(INDEX('Email Cleaner'!$B$2:$B$10001,MATCH(11,'Email Cleaner'!$J$2:$J$10001,0)),"")</f>
        <v/>
      </c>
    </row>
    <row r="13">
      <c r="A13">
        <f>IFERROR(INDEX('Email Cleaner'!$B$2:$B$10001,MATCH(12,'Email Cleaner'!$J$2:$J$10001,0)),"")</f>
        <v/>
      </c>
    </row>
    <row r="14">
      <c r="A14">
        <f>IFERROR(INDEX('Email Cleaner'!$B$2:$B$10001,MATCH(13,'Email Cleaner'!$J$2:$J$10001,0)),"")</f>
        <v/>
      </c>
    </row>
    <row r="15">
      <c r="A15">
        <f>IFERROR(INDEX('Email Cleaner'!$B$2:$B$10001,MATCH(14,'Email Cleaner'!$J$2:$J$10001,0)),"")</f>
        <v/>
      </c>
    </row>
    <row r="16">
      <c r="A16">
        <f>IFERROR(INDEX('Email Cleaner'!$B$2:$B$10001,MATCH(15,'Email Cleaner'!$J$2:$J$10001,0)),"")</f>
        <v/>
      </c>
    </row>
    <row r="17">
      <c r="A17">
        <f>IFERROR(INDEX('Email Cleaner'!$B$2:$B$10001,MATCH(16,'Email Cleaner'!$J$2:$J$10001,0)),"")</f>
        <v/>
      </c>
    </row>
    <row r="18">
      <c r="A18">
        <f>IFERROR(INDEX('Email Cleaner'!$B$2:$B$10001,MATCH(17,'Email Cleaner'!$J$2:$J$10001,0)),"")</f>
        <v/>
      </c>
    </row>
    <row r="19">
      <c r="A19">
        <f>IFERROR(INDEX('Email Cleaner'!$B$2:$B$10001,MATCH(18,'Email Cleaner'!$J$2:$J$10001,0)),"")</f>
        <v/>
      </c>
    </row>
    <row r="20">
      <c r="A20">
        <f>IFERROR(INDEX('Email Cleaner'!$B$2:$B$10001,MATCH(19,'Email Cleaner'!$J$2:$J$10001,0)),"")</f>
        <v/>
      </c>
    </row>
    <row r="21">
      <c r="A21">
        <f>IFERROR(INDEX('Email Cleaner'!$B$2:$B$10001,MATCH(20,'Email Cleaner'!$J$2:$J$10001,0)),"")</f>
        <v/>
      </c>
    </row>
    <row r="22">
      <c r="A22">
        <f>IFERROR(INDEX('Email Cleaner'!$B$2:$B$10001,MATCH(21,'Email Cleaner'!$J$2:$J$10001,0)),"")</f>
        <v/>
      </c>
    </row>
    <row r="23">
      <c r="A23">
        <f>IFERROR(INDEX('Email Cleaner'!$B$2:$B$10001,MATCH(22,'Email Cleaner'!$J$2:$J$10001,0)),"")</f>
        <v/>
      </c>
    </row>
    <row r="24">
      <c r="A24">
        <f>IFERROR(INDEX('Email Cleaner'!$B$2:$B$10001,MATCH(23,'Email Cleaner'!$J$2:$J$10001,0)),"")</f>
        <v/>
      </c>
    </row>
    <row r="25">
      <c r="A25">
        <f>IFERROR(INDEX('Email Cleaner'!$B$2:$B$10001,MATCH(24,'Email Cleaner'!$J$2:$J$10001,0)),"")</f>
        <v/>
      </c>
    </row>
    <row r="26">
      <c r="A26">
        <f>IFERROR(INDEX('Email Cleaner'!$B$2:$B$10001,MATCH(25,'Email Cleaner'!$J$2:$J$10001,0)),"")</f>
        <v/>
      </c>
    </row>
    <row r="27">
      <c r="A27">
        <f>IFERROR(INDEX('Email Cleaner'!$B$2:$B$10001,MATCH(26,'Email Cleaner'!$J$2:$J$10001,0)),"")</f>
        <v/>
      </c>
    </row>
    <row r="28">
      <c r="A28">
        <f>IFERROR(INDEX('Email Cleaner'!$B$2:$B$10001,MATCH(27,'Email Cleaner'!$J$2:$J$10001,0)),"")</f>
        <v/>
      </c>
    </row>
    <row r="29">
      <c r="A29">
        <f>IFERROR(INDEX('Email Cleaner'!$B$2:$B$10001,MATCH(28,'Email Cleaner'!$J$2:$J$10001,0)),"")</f>
        <v/>
      </c>
    </row>
    <row r="30">
      <c r="A30">
        <f>IFERROR(INDEX('Email Cleaner'!$B$2:$B$10001,MATCH(29,'Email Cleaner'!$J$2:$J$10001,0)),"")</f>
        <v/>
      </c>
    </row>
    <row r="31">
      <c r="A31">
        <f>IFERROR(INDEX('Email Cleaner'!$B$2:$B$10001,MATCH(30,'Email Cleaner'!$J$2:$J$10001,0)),"")</f>
        <v/>
      </c>
    </row>
    <row r="32">
      <c r="A32">
        <f>IFERROR(INDEX('Email Cleaner'!$B$2:$B$10001,MATCH(31,'Email Cleaner'!$J$2:$J$10001,0)),"")</f>
        <v/>
      </c>
    </row>
    <row r="33">
      <c r="A33">
        <f>IFERROR(INDEX('Email Cleaner'!$B$2:$B$10001,MATCH(32,'Email Cleaner'!$J$2:$J$10001,0)),"")</f>
        <v/>
      </c>
    </row>
    <row r="34">
      <c r="A34">
        <f>IFERROR(INDEX('Email Cleaner'!$B$2:$B$10001,MATCH(33,'Email Cleaner'!$J$2:$J$10001,0)),"")</f>
        <v/>
      </c>
    </row>
    <row r="35">
      <c r="A35">
        <f>IFERROR(INDEX('Email Cleaner'!$B$2:$B$10001,MATCH(34,'Email Cleaner'!$J$2:$J$10001,0)),"")</f>
        <v/>
      </c>
    </row>
    <row r="36">
      <c r="A36">
        <f>IFERROR(INDEX('Email Cleaner'!$B$2:$B$10001,MATCH(35,'Email Cleaner'!$J$2:$J$10001,0)),"")</f>
        <v/>
      </c>
    </row>
    <row r="37">
      <c r="A37">
        <f>IFERROR(INDEX('Email Cleaner'!$B$2:$B$10001,MATCH(36,'Email Cleaner'!$J$2:$J$10001,0)),"")</f>
        <v/>
      </c>
    </row>
    <row r="38">
      <c r="A38">
        <f>IFERROR(INDEX('Email Cleaner'!$B$2:$B$10001,MATCH(37,'Email Cleaner'!$J$2:$J$10001,0)),"")</f>
        <v/>
      </c>
    </row>
    <row r="39">
      <c r="A39">
        <f>IFERROR(INDEX('Email Cleaner'!$B$2:$B$10001,MATCH(38,'Email Cleaner'!$J$2:$J$10001,0)),"")</f>
        <v/>
      </c>
    </row>
    <row r="40">
      <c r="A40">
        <f>IFERROR(INDEX('Email Cleaner'!$B$2:$B$10001,MATCH(39,'Email Cleaner'!$J$2:$J$10001,0)),"")</f>
        <v/>
      </c>
    </row>
    <row r="41">
      <c r="A41">
        <f>IFERROR(INDEX('Email Cleaner'!$B$2:$B$10001,MATCH(40,'Email Cleaner'!$J$2:$J$10001,0)),"")</f>
        <v/>
      </c>
    </row>
    <row r="42">
      <c r="A42">
        <f>IFERROR(INDEX('Email Cleaner'!$B$2:$B$10001,MATCH(41,'Email Cleaner'!$J$2:$J$10001,0)),"")</f>
        <v/>
      </c>
    </row>
    <row r="43">
      <c r="A43">
        <f>IFERROR(INDEX('Email Cleaner'!$B$2:$B$10001,MATCH(42,'Email Cleaner'!$J$2:$J$10001,0)),"")</f>
        <v/>
      </c>
    </row>
    <row r="44">
      <c r="A44">
        <f>IFERROR(INDEX('Email Cleaner'!$B$2:$B$10001,MATCH(43,'Email Cleaner'!$J$2:$J$10001,0)),"")</f>
        <v/>
      </c>
    </row>
    <row r="45">
      <c r="A45">
        <f>IFERROR(INDEX('Email Cleaner'!$B$2:$B$10001,MATCH(44,'Email Cleaner'!$J$2:$J$10001,0)),"")</f>
        <v/>
      </c>
    </row>
    <row r="46">
      <c r="A46">
        <f>IFERROR(INDEX('Email Cleaner'!$B$2:$B$10001,MATCH(45,'Email Cleaner'!$J$2:$J$10001,0)),"")</f>
        <v/>
      </c>
    </row>
    <row r="47">
      <c r="A47">
        <f>IFERROR(INDEX('Email Cleaner'!$B$2:$B$10001,MATCH(46,'Email Cleaner'!$J$2:$J$10001,0)),"")</f>
        <v/>
      </c>
    </row>
    <row r="48">
      <c r="A48">
        <f>IFERROR(INDEX('Email Cleaner'!$B$2:$B$10001,MATCH(47,'Email Cleaner'!$J$2:$J$10001,0)),"")</f>
        <v/>
      </c>
    </row>
    <row r="49">
      <c r="A49">
        <f>IFERROR(INDEX('Email Cleaner'!$B$2:$B$10001,MATCH(48,'Email Cleaner'!$J$2:$J$10001,0)),"")</f>
        <v/>
      </c>
    </row>
    <row r="50">
      <c r="A50">
        <f>IFERROR(INDEX('Email Cleaner'!$B$2:$B$10001,MATCH(49,'Email Cleaner'!$J$2:$J$10001,0)),"")</f>
        <v/>
      </c>
    </row>
    <row r="51">
      <c r="A51">
        <f>IFERROR(INDEX('Email Cleaner'!$B$2:$B$10001,MATCH(50,'Email Cleaner'!$J$2:$J$10001,0)),"")</f>
        <v/>
      </c>
    </row>
    <row r="52">
      <c r="A52">
        <f>IFERROR(INDEX('Email Cleaner'!$B$2:$B$10001,MATCH(51,'Email Cleaner'!$J$2:$J$10001,0)),"")</f>
        <v/>
      </c>
    </row>
    <row r="53">
      <c r="A53">
        <f>IFERROR(INDEX('Email Cleaner'!$B$2:$B$10001,MATCH(52,'Email Cleaner'!$J$2:$J$10001,0)),"")</f>
        <v/>
      </c>
    </row>
    <row r="54">
      <c r="A54">
        <f>IFERROR(INDEX('Email Cleaner'!$B$2:$B$10001,MATCH(53,'Email Cleaner'!$J$2:$J$10001,0)),"")</f>
        <v/>
      </c>
    </row>
    <row r="55">
      <c r="A55">
        <f>IFERROR(INDEX('Email Cleaner'!$B$2:$B$10001,MATCH(54,'Email Cleaner'!$J$2:$J$10001,0)),"")</f>
        <v/>
      </c>
    </row>
    <row r="56">
      <c r="A56">
        <f>IFERROR(INDEX('Email Cleaner'!$B$2:$B$10001,MATCH(55,'Email Cleaner'!$J$2:$J$10001,0)),"")</f>
        <v/>
      </c>
    </row>
    <row r="57">
      <c r="A57">
        <f>IFERROR(INDEX('Email Cleaner'!$B$2:$B$10001,MATCH(56,'Email Cleaner'!$J$2:$J$10001,0)),"")</f>
        <v/>
      </c>
    </row>
    <row r="58">
      <c r="A58">
        <f>IFERROR(INDEX('Email Cleaner'!$B$2:$B$10001,MATCH(57,'Email Cleaner'!$J$2:$J$10001,0)),"")</f>
        <v/>
      </c>
    </row>
    <row r="59">
      <c r="A59">
        <f>IFERROR(INDEX('Email Cleaner'!$B$2:$B$10001,MATCH(58,'Email Cleaner'!$J$2:$J$10001,0)),"")</f>
        <v/>
      </c>
    </row>
    <row r="60">
      <c r="A60">
        <f>IFERROR(INDEX('Email Cleaner'!$B$2:$B$10001,MATCH(59,'Email Cleaner'!$J$2:$J$10001,0)),"")</f>
        <v/>
      </c>
    </row>
    <row r="61">
      <c r="A61">
        <f>IFERROR(INDEX('Email Cleaner'!$B$2:$B$10001,MATCH(60,'Email Cleaner'!$J$2:$J$10001,0)),"")</f>
        <v/>
      </c>
    </row>
    <row r="62">
      <c r="A62">
        <f>IFERROR(INDEX('Email Cleaner'!$B$2:$B$10001,MATCH(61,'Email Cleaner'!$J$2:$J$10001,0)),"")</f>
        <v/>
      </c>
    </row>
    <row r="63">
      <c r="A63">
        <f>IFERROR(INDEX('Email Cleaner'!$B$2:$B$10001,MATCH(62,'Email Cleaner'!$J$2:$J$10001,0)),"")</f>
        <v/>
      </c>
    </row>
    <row r="64">
      <c r="A64">
        <f>IFERROR(INDEX('Email Cleaner'!$B$2:$B$10001,MATCH(63,'Email Cleaner'!$J$2:$J$10001,0)),"")</f>
        <v/>
      </c>
    </row>
    <row r="65">
      <c r="A65">
        <f>IFERROR(INDEX('Email Cleaner'!$B$2:$B$10001,MATCH(64,'Email Cleaner'!$J$2:$J$10001,0)),"")</f>
        <v/>
      </c>
    </row>
    <row r="66">
      <c r="A66">
        <f>IFERROR(INDEX('Email Cleaner'!$B$2:$B$10001,MATCH(65,'Email Cleaner'!$J$2:$J$10001,0)),"")</f>
        <v/>
      </c>
    </row>
    <row r="67">
      <c r="A67">
        <f>IFERROR(INDEX('Email Cleaner'!$B$2:$B$10001,MATCH(66,'Email Cleaner'!$J$2:$J$10001,0)),"")</f>
        <v/>
      </c>
    </row>
    <row r="68">
      <c r="A68">
        <f>IFERROR(INDEX('Email Cleaner'!$B$2:$B$10001,MATCH(67,'Email Cleaner'!$J$2:$J$10001,0)),"")</f>
        <v/>
      </c>
    </row>
    <row r="69">
      <c r="A69">
        <f>IFERROR(INDEX('Email Cleaner'!$B$2:$B$10001,MATCH(68,'Email Cleaner'!$J$2:$J$10001,0)),"")</f>
        <v/>
      </c>
    </row>
    <row r="70">
      <c r="A70">
        <f>IFERROR(INDEX('Email Cleaner'!$B$2:$B$10001,MATCH(69,'Email Cleaner'!$J$2:$J$10001,0)),"")</f>
        <v/>
      </c>
    </row>
    <row r="71">
      <c r="A71">
        <f>IFERROR(INDEX('Email Cleaner'!$B$2:$B$10001,MATCH(70,'Email Cleaner'!$J$2:$J$10001,0)),"")</f>
        <v/>
      </c>
    </row>
    <row r="72">
      <c r="A72">
        <f>IFERROR(INDEX('Email Cleaner'!$B$2:$B$10001,MATCH(71,'Email Cleaner'!$J$2:$J$10001,0)),"")</f>
        <v/>
      </c>
    </row>
    <row r="73">
      <c r="A73">
        <f>IFERROR(INDEX('Email Cleaner'!$B$2:$B$10001,MATCH(72,'Email Cleaner'!$J$2:$J$10001,0)),"")</f>
        <v/>
      </c>
    </row>
    <row r="74">
      <c r="A74">
        <f>IFERROR(INDEX('Email Cleaner'!$B$2:$B$10001,MATCH(73,'Email Cleaner'!$J$2:$J$10001,0)),"")</f>
        <v/>
      </c>
    </row>
    <row r="75">
      <c r="A75">
        <f>IFERROR(INDEX('Email Cleaner'!$B$2:$B$10001,MATCH(74,'Email Cleaner'!$J$2:$J$10001,0)),"")</f>
        <v/>
      </c>
    </row>
    <row r="76">
      <c r="A76">
        <f>IFERROR(INDEX('Email Cleaner'!$B$2:$B$10001,MATCH(75,'Email Cleaner'!$J$2:$J$10001,0)),"")</f>
        <v/>
      </c>
    </row>
    <row r="77">
      <c r="A77">
        <f>IFERROR(INDEX('Email Cleaner'!$B$2:$B$10001,MATCH(76,'Email Cleaner'!$J$2:$J$10001,0)),"")</f>
        <v/>
      </c>
    </row>
    <row r="78">
      <c r="A78">
        <f>IFERROR(INDEX('Email Cleaner'!$B$2:$B$10001,MATCH(77,'Email Cleaner'!$J$2:$J$10001,0)),"")</f>
        <v/>
      </c>
    </row>
    <row r="79">
      <c r="A79">
        <f>IFERROR(INDEX('Email Cleaner'!$B$2:$B$10001,MATCH(78,'Email Cleaner'!$J$2:$J$10001,0)),"")</f>
        <v/>
      </c>
    </row>
    <row r="80">
      <c r="A80">
        <f>IFERROR(INDEX('Email Cleaner'!$B$2:$B$10001,MATCH(79,'Email Cleaner'!$J$2:$J$10001,0)),"")</f>
        <v/>
      </c>
    </row>
    <row r="81">
      <c r="A81">
        <f>IFERROR(INDEX('Email Cleaner'!$B$2:$B$10001,MATCH(80,'Email Cleaner'!$J$2:$J$10001,0)),"")</f>
        <v/>
      </c>
    </row>
    <row r="82">
      <c r="A82">
        <f>IFERROR(INDEX('Email Cleaner'!$B$2:$B$10001,MATCH(81,'Email Cleaner'!$J$2:$J$10001,0)),"")</f>
        <v/>
      </c>
    </row>
    <row r="83">
      <c r="A83">
        <f>IFERROR(INDEX('Email Cleaner'!$B$2:$B$10001,MATCH(82,'Email Cleaner'!$J$2:$J$10001,0)),"")</f>
        <v/>
      </c>
    </row>
    <row r="84">
      <c r="A84">
        <f>IFERROR(INDEX('Email Cleaner'!$B$2:$B$10001,MATCH(83,'Email Cleaner'!$J$2:$J$10001,0)),"")</f>
        <v/>
      </c>
    </row>
    <row r="85">
      <c r="A85">
        <f>IFERROR(INDEX('Email Cleaner'!$B$2:$B$10001,MATCH(84,'Email Cleaner'!$J$2:$J$10001,0)),"")</f>
        <v/>
      </c>
    </row>
    <row r="86">
      <c r="A86">
        <f>IFERROR(INDEX('Email Cleaner'!$B$2:$B$10001,MATCH(85,'Email Cleaner'!$J$2:$J$10001,0)),"")</f>
        <v/>
      </c>
    </row>
    <row r="87">
      <c r="A87">
        <f>IFERROR(INDEX('Email Cleaner'!$B$2:$B$10001,MATCH(86,'Email Cleaner'!$J$2:$J$10001,0)),"")</f>
        <v/>
      </c>
    </row>
    <row r="88">
      <c r="A88">
        <f>IFERROR(INDEX('Email Cleaner'!$B$2:$B$10001,MATCH(87,'Email Cleaner'!$J$2:$J$10001,0)),"")</f>
        <v/>
      </c>
    </row>
    <row r="89">
      <c r="A89">
        <f>IFERROR(INDEX('Email Cleaner'!$B$2:$B$10001,MATCH(88,'Email Cleaner'!$J$2:$J$10001,0)),"")</f>
        <v/>
      </c>
    </row>
    <row r="90">
      <c r="A90">
        <f>IFERROR(INDEX('Email Cleaner'!$B$2:$B$10001,MATCH(89,'Email Cleaner'!$J$2:$J$10001,0)),"")</f>
        <v/>
      </c>
    </row>
    <row r="91">
      <c r="A91">
        <f>IFERROR(INDEX('Email Cleaner'!$B$2:$B$10001,MATCH(90,'Email Cleaner'!$J$2:$J$10001,0)),"")</f>
        <v/>
      </c>
    </row>
    <row r="92">
      <c r="A92">
        <f>IFERROR(INDEX('Email Cleaner'!$B$2:$B$10001,MATCH(91,'Email Cleaner'!$J$2:$J$10001,0)),"")</f>
        <v/>
      </c>
    </row>
    <row r="93">
      <c r="A93">
        <f>IFERROR(INDEX('Email Cleaner'!$B$2:$B$10001,MATCH(92,'Email Cleaner'!$J$2:$J$10001,0)),"")</f>
        <v/>
      </c>
    </row>
    <row r="94">
      <c r="A94">
        <f>IFERROR(INDEX('Email Cleaner'!$B$2:$B$10001,MATCH(93,'Email Cleaner'!$J$2:$J$10001,0)),"")</f>
        <v/>
      </c>
    </row>
    <row r="95">
      <c r="A95">
        <f>IFERROR(INDEX('Email Cleaner'!$B$2:$B$10001,MATCH(94,'Email Cleaner'!$J$2:$J$10001,0)),"")</f>
        <v/>
      </c>
    </row>
    <row r="96">
      <c r="A96">
        <f>IFERROR(INDEX('Email Cleaner'!$B$2:$B$10001,MATCH(95,'Email Cleaner'!$J$2:$J$10001,0)),"")</f>
        <v/>
      </c>
    </row>
    <row r="97">
      <c r="A97">
        <f>IFERROR(INDEX('Email Cleaner'!$B$2:$B$10001,MATCH(96,'Email Cleaner'!$J$2:$J$10001,0)),"")</f>
        <v/>
      </c>
    </row>
    <row r="98">
      <c r="A98">
        <f>IFERROR(INDEX('Email Cleaner'!$B$2:$B$10001,MATCH(97,'Email Cleaner'!$J$2:$J$10001,0)),"")</f>
        <v/>
      </c>
    </row>
    <row r="99">
      <c r="A99">
        <f>IFERROR(INDEX('Email Cleaner'!$B$2:$B$10001,MATCH(98,'Email Cleaner'!$J$2:$J$10001,0)),"")</f>
        <v/>
      </c>
    </row>
    <row r="100">
      <c r="A100">
        <f>IFERROR(INDEX('Email Cleaner'!$B$2:$B$10001,MATCH(99,'Email Cleaner'!$J$2:$J$10001,0)),"")</f>
        <v/>
      </c>
    </row>
    <row r="101">
      <c r="A101">
        <f>IFERROR(INDEX('Email Cleaner'!$B$2:$B$10001,MATCH(100,'Email Cleaner'!$J$2:$J$10001,0)),"")</f>
        <v/>
      </c>
    </row>
    <row r="102">
      <c r="A102">
        <f>IFERROR(INDEX('Email Cleaner'!$B$2:$B$10001,MATCH(101,'Email Cleaner'!$J$2:$J$10001,0)),"")</f>
        <v/>
      </c>
    </row>
    <row r="103">
      <c r="A103">
        <f>IFERROR(INDEX('Email Cleaner'!$B$2:$B$10001,MATCH(102,'Email Cleaner'!$J$2:$J$10001,0)),"")</f>
        <v/>
      </c>
    </row>
    <row r="104">
      <c r="A104">
        <f>IFERROR(INDEX('Email Cleaner'!$B$2:$B$10001,MATCH(103,'Email Cleaner'!$J$2:$J$10001,0)),"")</f>
        <v/>
      </c>
    </row>
    <row r="105">
      <c r="A105">
        <f>IFERROR(INDEX('Email Cleaner'!$B$2:$B$10001,MATCH(104,'Email Cleaner'!$J$2:$J$10001,0)),"")</f>
        <v/>
      </c>
    </row>
    <row r="106">
      <c r="A106">
        <f>IFERROR(INDEX('Email Cleaner'!$B$2:$B$10001,MATCH(105,'Email Cleaner'!$J$2:$J$10001,0)),"")</f>
        <v/>
      </c>
    </row>
    <row r="107">
      <c r="A107">
        <f>IFERROR(INDEX('Email Cleaner'!$B$2:$B$10001,MATCH(106,'Email Cleaner'!$J$2:$J$10001,0)),"")</f>
        <v/>
      </c>
    </row>
    <row r="108">
      <c r="A108">
        <f>IFERROR(INDEX('Email Cleaner'!$B$2:$B$10001,MATCH(107,'Email Cleaner'!$J$2:$J$10001,0)),"")</f>
        <v/>
      </c>
    </row>
    <row r="109">
      <c r="A109">
        <f>IFERROR(INDEX('Email Cleaner'!$B$2:$B$10001,MATCH(108,'Email Cleaner'!$J$2:$J$10001,0)),"")</f>
        <v/>
      </c>
    </row>
    <row r="110">
      <c r="A110">
        <f>IFERROR(INDEX('Email Cleaner'!$B$2:$B$10001,MATCH(109,'Email Cleaner'!$J$2:$J$10001,0)),"")</f>
        <v/>
      </c>
    </row>
    <row r="111">
      <c r="A111">
        <f>IFERROR(INDEX('Email Cleaner'!$B$2:$B$10001,MATCH(110,'Email Cleaner'!$J$2:$J$10001,0)),"")</f>
        <v/>
      </c>
    </row>
    <row r="112">
      <c r="A112">
        <f>IFERROR(INDEX('Email Cleaner'!$B$2:$B$10001,MATCH(111,'Email Cleaner'!$J$2:$J$10001,0)),"")</f>
        <v/>
      </c>
    </row>
    <row r="113">
      <c r="A113">
        <f>IFERROR(INDEX('Email Cleaner'!$B$2:$B$10001,MATCH(112,'Email Cleaner'!$J$2:$J$10001,0)),"")</f>
        <v/>
      </c>
    </row>
    <row r="114">
      <c r="A114">
        <f>IFERROR(INDEX('Email Cleaner'!$B$2:$B$10001,MATCH(113,'Email Cleaner'!$J$2:$J$10001,0)),"")</f>
        <v/>
      </c>
    </row>
    <row r="115">
      <c r="A115">
        <f>IFERROR(INDEX('Email Cleaner'!$B$2:$B$10001,MATCH(114,'Email Cleaner'!$J$2:$J$10001,0)),"")</f>
        <v/>
      </c>
    </row>
    <row r="116">
      <c r="A116">
        <f>IFERROR(INDEX('Email Cleaner'!$B$2:$B$10001,MATCH(115,'Email Cleaner'!$J$2:$J$10001,0)),"")</f>
        <v/>
      </c>
    </row>
    <row r="117">
      <c r="A117">
        <f>IFERROR(INDEX('Email Cleaner'!$B$2:$B$10001,MATCH(116,'Email Cleaner'!$J$2:$J$10001,0)),"")</f>
        <v/>
      </c>
    </row>
    <row r="118">
      <c r="A118">
        <f>IFERROR(INDEX('Email Cleaner'!$B$2:$B$10001,MATCH(117,'Email Cleaner'!$J$2:$J$10001,0)),"")</f>
        <v/>
      </c>
    </row>
    <row r="119">
      <c r="A119">
        <f>IFERROR(INDEX('Email Cleaner'!$B$2:$B$10001,MATCH(118,'Email Cleaner'!$J$2:$J$10001,0)),"")</f>
        <v/>
      </c>
    </row>
    <row r="120">
      <c r="A120">
        <f>IFERROR(INDEX('Email Cleaner'!$B$2:$B$10001,MATCH(119,'Email Cleaner'!$J$2:$J$10001,0)),"")</f>
        <v/>
      </c>
    </row>
    <row r="121">
      <c r="A121">
        <f>IFERROR(INDEX('Email Cleaner'!$B$2:$B$10001,MATCH(120,'Email Cleaner'!$J$2:$J$10001,0)),"")</f>
        <v/>
      </c>
    </row>
    <row r="122">
      <c r="A122">
        <f>IFERROR(INDEX('Email Cleaner'!$B$2:$B$10001,MATCH(121,'Email Cleaner'!$J$2:$J$10001,0)),"")</f>
        <v/>
      </c>
    </row>
    <row r="123">
      <c r="A123">
        <f>IFERROR(INDEX('Email Cleaner'!$B$2:$B$10001,MATCH(122,'Email Cleaner'!$J$2:$J$10001,0)),"")</f>
        <v/>
      </c>
    </row>
    <row r="124">
      <c r="A124">
        <f>IFERROR(INDEX('Email Cleaner'!$B$2:$B$10001,MATCH(123,'Email Cleaner'!$J$2:$J$10001,0)),"")</f>
        <v/>
      </c>
    </row>
    <row r="125">
      <c r="A125">
        <f>IFERROR(INDEX('Email Cleaner'!$B$2:$B$10001,MATCH(124,'Email Cleaner'!$J$2:$J$10001,0)),"")</f>
        <v/>
      </c>
    </row>
    <row r="126">
      <c r="A126">
        <f>IFERROR(INDEX('Email Cleaner'!$B$2:$B$10001,MATCH(125,'Email Cleaner'!$J$2:$J$10001,0)),"")</f>
        <v/>
      </c>
    </row>
    <row r="127">
      <c r="A127">
        <f>IFERROR(INDEX('Email Cleaner'!$B$2:$B$10001,MATCH(126,'Email Cleaner'!$J$2:$J$10001,0)),"")</f>
        <v/>
      </c>
    </row>
    <row r="128">
      <c r="A128">
        <f>IFERROR(INDEX('Email Cleaner'!$B$2:$B$10001,MATCH(127,'Email Cleaner'!$J$2:$J$10001,0)),"")</f>
        <v/>
      </c>
    </row>
    <row r="129">
      <c r="A129">
        <f>IFERROR(INDEX('Email Cleaner'!$B$2:$B$10001,MATCH(128,'Email Cleaner'!$J$2:$J$10001,0)),"")</f>
        <v/>
      </c>
    </row>
    <row r="130">
      <c r="A130">
        <f>IFERROR(INDEX('Email Cleaner'!$B$2:$B$10001,MATCH(129,'Email Cleaner'!$J$2:$J$10001,0)),"")</f>
        <v/>
      </c>
    </row>
    <row r="131">
      <c r="A131">
        <f>IFERROR(INDEX('Email Cleaner'!$B$2:$B$10001,MATCH(130,'Email Cleaner'!$J$2:$J$10001,0)),"")</f>
        <v/>
      </c>
    </row>
    <row r="132">
      <c r="A132">
        <f>IFERROR(INDEX('Email Cleaner'!$B$2:$B$10001,MATCH(131,'Email Cleaner'!$J$2:$J$10001,0)),"")</f>
        <v/>
      </c>
    </row>
    <row r="133">
      <c r="A133">
        <f>IFERROR(INDEX('Email Cleaner'!$B$2:$B$10001,MATCH(132,'Email Cleaner'!$J$2:$J$10001,0)),"")</f>
        <v/>
      </c>
    </row>
    <row r="134">
      <c r="A134">
        <f>IFERROR(INDEX('Email Cleaner'!$B$2:$B$10001,MATCH(133,'Email Cleaner'!$J$2:$J$10001,0)),"")</f>
        <v/>
      </c>
    </row>
    <row r="135">
      <c r="A135">
        <f>IFERROR(INDEX('Email Cleaner'!$B$2:$B$10001,MATCH(134,'Email Cleaner'!$J$2:$J$10001,0)),"")</f>
        <v/>
      </c>
    </row>
    <row r="136">
      <c r="A136">
        <f>IFERROR(INDEX('Email Cleaner'!$B$2:$B$10001,MATCH(135,'Email Cleaner'!$J$2:$J$10001,0)),"")</f>
        <v/>
      </c>
    </row>
    <row r="137">
      <c r="A137">
        <f>IFERROR(INDEX('Email Cleaner'!$B$2:$B$10001,MATCH(136,'Email Cleaner'!$J$2:$J$10001,0)),"")</f>
        <v/>
      </c>
    </row>
    <row r="138">
      <c r="A138">
        <f>IFERROR(INDEX('Email Cleaner'!$B$2:$B$10001,MATCH(137,'Email Cleaner'!$J$2:$J$10001,0)),"")</f>
        <v/>
      </c>
    </row>
    <row r="139">
      <c r="A139">
        <f>IFERROR(INDEX('Email Cleaner'!$B$2:$B$10001,MATCH(138,'Email Cleaner'!$J$2:$J$10001,0)),"")</f>
        <v/>
      </c>
    </row>
    <row r="140">
      <c r="A140">
        <f>IFERROR(INDEX('Email Cleaner'!$B$2:$B$10001,MATCH(139,'Email Cleaner'!$J$2:$J$10001,0)),"")</f>
        <v/>
      </c>
    </row>
    <row r="141">
      <c r="A141">
        <f>IFERROR(INDEX('Email Cleaner'!$B$2:$B$10001,MATCH(140,'Email Cleaner'!$J$2:$J$10001,0)),"")</f>
        <v/>
      </c>
    </row>
    <row r="142">
      <c r="A142">
        <f>IFERROR(INDEX('Email Cleaner'!$B$2:$B$10001,MATCH(141,'Email Cleaner'!$J$2:$J$10001,0)),"")</f>
        <v/>
      </c>
    </row>
    <row r="143">
      <c r="A143">
        <f>IFERROR(INDEX('Email Cleaner'!$B$2:$B$10001,MATCH(142,'Email Cleaner'!$J$2:$J$10001,0)),"")</f>
        <v/>
      </c>
    </row>
    <row r="144">
      <c r="A144">
        <f>IFERROR(INDEX('Email Cleaner'!$B$2:$B$10001,MATCH(143,'Email Cleaner'!$J$2:$J$10001,0)),"")</f>
        <v/>
      </c>
    </row>
    <row r="145">
      <c r="A145">
        <f>IFERROR(INDEX('Email Cleaner'!$B$2:$B$10001,MATCH(144,'Email Cleaner'!$J$2:$J$10001,0)),"")</f>
        <v/>
      </c>
    </row>
    <row r="146">
      <c r="A146">
        <f>IFERROR(INDEX('Email Cleaner'!$B$2:$B$10001,MATCH(145,'Email Cleaner'!$J$2:$J$10001,0)),"")</f>
        <v/>
      </c>
    </row>
    <row r="147">
      <c r="A147">
        <f>IFERROR(INDEX('Email Cleaner'!$B$2:$B$10001,MATCH(146,'Email Cleaner'!$J$2:$J$10001,0)),"")</f>
        <v/>
      </c>
    </row>
    <row r="148">
      <c r="A148">
        <f>IFERROR(INDEX('Email Cleaner'!$B$2:$B$10001,MATCH(147,'Email Cleaner'!$J$2:$J$10001,0)),"")</f>
        <v/>
      </c>
    </row>
    <row r="149">
      <c r="A149">
        <f>IFERROR(INDEX('Email Cleaner'!$B$2:$B$10001,MATCH(148,'Email Cleaner'!$J$2:$J$10001,0)),"")</f>
        <v/>
      </c>
    </row>
    <row r="150">
      <c r="A150">
        <f>IFERROR(INDEX('Email Cleaner'!$B$2:$B$10001,MATCH(149,'Email Cleaner'!$J$2:$J$10001,0)),"")</f>
        <v/>
      </c>
    </row>
    <row r="151">
      <c r="A151">
        <f>IFERROR(INDEX('Email Cleaner'!$B$2:$B$10001,MATCH(150,'Email Cleaner'!$J$2:$J$10001,0)),"")</f>
        <v/>
      </c>
    </row>
    <row r="152">
      <c r="A152">
        <f>IFERROR(INDEX('Email Cleaner'!$B$2:$B$10001,MATCH(151,'Email Cleaner'!$J$2:$J$10001,0)),"")</f>
        <v/>
      </c>
    </row>
    <row r="153">
      <c r="A153">
        <f>IFERROR(INDEX('Email Cleaner'!$B$2:$B$10001,MATCH(152,'Email Cleaner'!$J$2:$J$10001,0)),"")</f>
        <v/>
      </c>
    </row>
    <row r="154">
      <c r="A154">
        <f>IFERROR(INDEX('Email Cleaner'!$B$2:$B$10001,MATCH(153,'Email Cleaner'!$J$2:$J$10001,0)),"")</f>
        <v/>
      </c>
    </row>
    <row r="155">
      <c r="A155">
        <f>IFERROR(INDEX('Email Cleaner'!$B$2:$B$10001,MATCH(154,'Email Cleaner'!$J$2:$J$10001,0)),"")</f>
        <v/>
      </c>
    </row>
    <row r="156">
      <c r="A156">
        <f>IFERROR(INDEX('Email Cleaner'!$B$2:$B$10001,MATCH(155,'Email Cleaner'!$J$2:$J$10001,0)),"")</f>
        <v/>
      </c>
    </row>
    <row r="157">
      <c r="A157">
        <f>IFERROR(INDEX('Email Cleaner'!$B$2:$B$10001,MATCH(156,'Email Cleaner'!$J$2:$J$10001,0)),"")</f>
        <v/>
      </c>
    </row>
    <row r="158">
      <c r="A158">
        <f>IFERROR(INDEX('Email Cleaner'!$B$2:$B$10001,MATCH(157,'Email Cleaner'!$J$2:$J$10001,0)),"")</f>
        <v/>
      </c>
    </row>
    <row r="159">
      <c r="A159">
        <f>IFERROR(INDEX('Email Cleaner'!$B$2:$B$10001,MATCH(158,'Email Cleaner'!$J$2:$J$10001,0)),"")</f>
        <v/>
      </c>
    </row>
    <row r="160">
      <c r="A160">
        <f>IFERROR(INDEX('Email Cleaner'!$B$2:$B$10001,MATCH(159,'Email Cleaner'!$J$2:$J$10001,0)),"")</f>
        <v/>
      </c>
    </row>
    <row r="161">
      <c r="A161">
        <f>IFERROR(INDEX('Email Cleaner'!$B$2:$B$10001,MATCH(160,'Email Cleaner'!$J$2:$J$10001,0)),"")</f>
        <v/>
      </c>
    </row>
    <row r="162">
      <c r="A162">
        <f>IFERROR(INDEX('Email Cleaner'!$B$2:$B$10001,MATCH(161,'Email Cleaner'!$J$2:$J$10001,0)),"")</f>
        <v/>
      </c>
    </row>
    <row r="163">
      <c r="A163">
        <f>IFERROR(INDEX('Email Cleaner'!$B$2:$B$10001,MATCH(162,'Email Cleaner'!$J$2:$J$10001,0)),"")</f>
        <v/>
      </c>
    </row>
    <row r="164">
      <c r="A164">
        <f>IFERROR(INDEX('Email Cleaner'!$B$2:$B$10001,MATCH(163,'Email Cleaner'!$J$2:$J$10001,0)),"")</f>
        <v/>
      </c>
    </row>
    <row r="165">
      <c r="A165">
        <f>IFERROR(INDEX('Email Cleaner'!$B$2:$B$10001,MATCH(164,'Email Cleaner'!$J$2:$J$10001,0)),"")</f>
        <v/>
      </c>
    </row>
    <row r="166">
      <c r="A166">
        <f>IFERROR(INDEX('Email Cleaner'!$B$2:$B$10001,MATCH(165,'Email Cleaner'!$J$2:$J$10001,0)),"")</f>
        <v/>
      </c>
    </row>
    <row r="167">
      <c r="A167">
        <f>IFERROR(INDEX('Email Cleaner'!$B$2:$B$10001,MATCH(166,'Email Cleaner'!$J$2:$J$10001,0)),"")</f>
        <v/>
      </c>
    </row>
    <row r="168">
      <c r="A168">
        <f>IFERROR(INDEX('Email Cleaner'!$B$2:$B$10001,MATCH(167,'Email Cleaner'!$J$2:$J$10001,0)),"")</f>
        <v/>
      </c>
    </row>
    <row r="169">
      <c r="A169">
        <f>IFERROR(INDEX('Email Cleaner'!$B$2:$B$10001,MATCH(168,'Email Cleaner'!$J$2:$J$10001,0)),"")</f>
        <v/>
      </c>
    </row>
    <row r="170">
      <c r="A170">
        <f>IFERROR(INDEX('Email Cleaner'!$B$2:$B$10001,MATCH(169,'Email Cleaner'!$J$2:$J$10001,0)),"")</f>
        <v/>
      </c>
    </row>
    <row r="171">
      <c r="A171">
        <f>IFERROR(INDEX('Email Cleaner'!$B$2:$B$10001,MATCH(170,'Email Cleaner'!$J$2:$J$10001,0)),"")</f>
        <v/>
      </c>
    </row>
    <row r="172">
      <c r="A172">
        <f>IFERROR(INDEX('Email Cleaner'!$B$2:$B$10001,MATCH(171,'Email Cleaner'!$J$2:$J$10001,0)),"")</f>
        <v/>
      </c>
    </row>
    <row r="173">
      <c r="A173">
        <f>IFERROR(INDEX('Email Cleaner'!$B$2:$B$10001,MATCH(172,'Email Cleaner'!$J$2:$J$10001,0)),"")</f>
        <v/>
      </c>
    </row>
    <row r="174">
      <c r="A174">
        <f>IFERROR(INDEX('Email Cleaner'!$B$2:$B$10001,MATCH(173,'Email Cleaner'!$J$2:$J$10001,0)),"")</f>
        <v/>
      </c>
    </row>
    <row r="175">
      <c r="A175">
        <f>IFERROR(INDEX('Email Cleaner'!$B$2:$B$10001,MATCH(174,'Email Cleaner'!$J$2:$J$10001,0)),"")</f>
        <v/>
      </c>
    </row>
    <row r="176">
      <c r="A176">
        <f>IFERROR(INDEX('Email Cleaner'!$B$2:$B$10001,MATCH(175,'Email Cleaner'!$J$2:$J$10001,0)),"")</f>
        <v/>
      </c>
    </row>
    <row r="177">
      <c r="A177">
        <f>IFERROR(INDEX('Email Cleaner'!$B$2:$B$10001,MATCH(176,'Email Cleaner'!$J$2:$J$10001,0)),"")</f>
        <v/>
      </c>
    </row>
    <row r="178">
      <c r="A178">
        <f>IFERROR(INDEX('Email Cleaner'!$B$2:$B$10001,MATCH(177,'Email Cleaner'!$J$2:$J$10001,0)),"")</f>
        <v/>
      </c>
    </row>
    <row r="179">
      <c r="A179">
        <f>IFERROR(INDEX('Email Cleaner'!$B$2:$B$10001,MATCH(178,'Email Cleaner'!$J$2:$J$10001,0)),"")</f>
        <v/>
      </c>
    </row>
    <row r="180">
      <c r="A180">
        <f>IFERROR(INDEX('Email Cleaner'!$B$2:$B$10001,MATCH(179,'Email Cleaner'!$J$2:$J$10001,0)),"")</f>
        <v/>
      </c>
    </row>
    <row r="181">
      <c r="A181">
        <f>IFERROR(INDEX('Email Cleaner'!$B$2:$B$10001,MATCH(180,'Email Cleaner'!$J$2:$J$10001,0)),"")</f>
        <v/>
      </c>
    </row>
    <row r="182">
      <c r="A182">
        <f>IFERROR(INDEX('Email Cleaner'!$B$2:$B$10001,MATCH(181,'Email Cleaner'!$J$2:$J$10001,0)),"")</f>
        <v/>
      </c>
    </row>
    <row r="183">
      <c r="A183">
        <f>IFERROR(INDEX('Email Cleaner'!$B$2:$B$10001,MATCH(182,'Email Cleaner'!$J$2:$J$10001,0)),"")</f>
        <v/>
      </c>
    </row>
    <row r="184">
      <c r="A184">
        <f>IFERROR(INDEX('Email Cleaner'!$B$2:$B$10001,MATCH(183,'Email Cleaner'!$J$2:$J$10001,0)),"")</f>
        <v/>
      </c>
    </row>
    <row r="185">
      <c r="A185">
        <f>IFERROR(INDEX('Email Cleaner'!$B$2:$B$10001,MATCH(184,'Email Cleaner'!$J$2:$J$10001,0)),"")</f>
        <v/>
      </c>
    </row>
    <row r="186">
      <c r="A186">
        <f>IFERROR(INDEX('Email Cleaner'!$B$2:$B$10001,MATCH(185,'Email Cleaner'!$J$2:$J$10001,0)),"")</f>
        <v/>
      </c>
    </row>
    <row r="187">
      <c r="A187">
        <f>IFERROR(INDEX('Email Cleaner'!$B$2:$B$10001,MATCH(186,'Email Cleaner'!$J$2:$J$10001,0)),"")</f>
        <v/>
      </c>
    </row>
    <row r="188">
      <c r="A188">
        <f>IFERROR(INDEX('Email Cleaner'!$B$2:$B$10001,MATCH(187,'Email Cleaner'!$J$2:$J$10001,0)),"")</f>
        <v/>
      </c>
    </row>
    <row r="189">
      <c r="A189">
        <f>IFERROR(INDEX('Email Cleaner'!$B$2:$B$10001,MATCH(188,'Email Cleaner'!$J$2:$J$10001,0)),"")</f>
        <v/>
      </c>
    </row>
    <row r="190">
      <c r="A190">
        <f>IFERROR(INDEX('Email Cleaner'!$B$2:$B$10001,MATCH(189,'Email Cleaner'!$J$2:$J$10001,0)),"")</f>
        <v/>
      </c>
    </row>
    <row r="191">
      <c r="A191">
        <f>IFERROR(INDEX('Email Cleaner'!$B$2:$B$10001,MATCH(190,'Email Cleaner'!$J$2:$J$10001,0)),"")</f>
        <v/>
      </c>
    </row>
    <row r="192">
      <c r="A192">
        <f>IFERROR(INDEX('Email Cleaner'!$B$2:$B$10001,MATCH(191,'Email Cleaner'!$J$2:$J$10001,0)),"")</f>
        <v/>
      </c>
    </row>
    <row r="193">
      <c r="A193">
        <f>IFERROR(INDEX('Email Cleaner'!$B$2:$B$10001,MATCH(192,'Email Cleaner'!$J$2:$J$10001,0)),"")</f>
        <v/>
      </c>
    </row>
    <row r="194">
      <c r="A194">
        <f>IFERROR(INDEX('Email Cleaner'!$B$2:$B$10001,MATCH(193,'Email Cleaner'!$J$2:$J$10001,0)),"")</f>
        <v/>
      </c>
    </row>
    <row r="195">
      <c r="A195">
        <f>IFERROR(INDEX('Email Cleaner'!$B$2:$B$10001,MATCH(194,'Email Cleaner'!$J$2:$J$10001,0)),"")</f>
        <v/>
      </c>
    </row>
    <row r="196">
      <c r="A196">
        <f>IFERROR(INDEX('Email Cleaner'!$B$2:$B$10001,MATCH(195,'Email Cleaner'!$J$2:$J$10001,0)),"")</f>
        <v/>
      </c>
    </row>
    <row r="197">
      <c r="A197">
        <f>IFERROR(INDEX('Email Cleaner'!$B$2:$B$10001,MATCH(196,'Email Cleaner'!$J$2:$J$10001,0)),"")</f>
        <v/>
      </c>
    </row>
    <row r="198">
      <c r="A198">
        <f>IFERROR(INDEX('Email Cleaner'!$B$2:$B$10001,MATCH(197,'Email Cleaner'!$J$2:$J$10001,0)),"")</f>
        <v/>
      </c>
    </row>
    <row r="199">
      <c r="A199">
        <f>IFERROR(INDEX('Email Cleaner'!$B$2:$B$10001,MATCH(198,'Email Cleaner'!$J$2:$J$10001,0)),"")</f>
        <v/>
      </c>
    </row>
    <row r="200">
      <c r="A200">
        <f>IFERROR(INDEX('Email Cleaner'!$B$2:$B$10001,MATCH(199,'Email Cleaner'!$J$2:$J$10001,0)),"")</f>
        <v/>
      </c>
    </row>
    <row r="201">
      <c r="A201">
        <f>IFERROR(INDEX('Email Cleaner'!$B$2:$B$10001,MATCH(200,'Email Cleaner'!$J$2:$J$10001,0)),"")</f>
        <v/>
      </c>
    </row>
    <row r="202">
      <c r="A202">
        <f>IFERROR(INDEX('Email Cleaner'!$B$2:$B$10001,MATCH(201,'Email Cleaner'!$J$2:$J$10001,0)),"")</f>
        <v/>
      </c>
    </row>
    <row r="203">
      <c r="A203">
        <f>IFERROR(INDEX('Email Cleaner'!$B$2:$B$10001,MATCH(202,'Email Cleaner'!$J$2:$J$10001,0)),"")</f>
        <v/>
      </c>
    </row>
    <row r="204">
      <c r="A204">
        <f>IFERROR(INDEX('Email Cleaner'!$B$2:$B$10001,MATCH(203,'Email Cleaner'!$J$2:$J$10001,0)),"")</f>
        <v/>
      </c>
    </row>
    <row r="205">
      <c r="A205">
        <f>IFERROR(INDEX('Email Cleaner'!$B$2:$B$10001,MATCH(204,'Email Cleaner'!$J$2:$J$10001,0)),"")</f>
        <v/>
      </c>
    </row>
    <row r="206">
      <c r="A206">
        <f>IFERROR(INDEX('Email Cleaner'!$B$2:$B$10001,MATCH(205,'Email Cleaner'!$J$2:$J$10001,0)),"")</f>
        <v/>
      </c>
    </row>
    <row r="207">
      <c r="A207">
        <f>IFERROR(INDEX('Email Cleaner'!$B$2:$B$10001,MATCH(206,'Email Cleaner'!$J$2:$J$10001,0)),"")</f>
        <v/>
      </c>
    </row>
    <row r="208">
      <c r="A208">
        <f>IFERROR(INDEX('Email Cleaner'!$B$2:$B$10001,MATCH(207,'Email Cleaner'!$J$2:$J$10001,0)),"")</f>
        <v/>
      </c>
    </row>
    <row r="209">
      <c r="A209">
        <f>IFERROR(INDEX('Email Cleaner'!$B$2:$B$10001,MATCH(208,'Email Cleaner'!$J$2:$J$10001,0)),"")</f>
        <v/>
      </c>
    </row>
    <row r="210">
      <c r="A210">
        <f>IFERROR(INDEX('Email Cleaner'!$B$2:$B$10001,MATCH(209,'Email Cleaner'!$J$2:$J$10001,0)),"")</f>
        <v/>
      </c>
    </row>
    <row r="211">
      <c r="A211">
        <f>IFERROR(INDEX('Email Cleaner'!$B$2:$B$10001,MATCH(210,'Email Cleaner'!$J$2:$J$10001,0)),"")</f>
        <v/>
      </c>
    </row>
    <row r="212">
      <c r="A212">
        <f>IFERROR(INDEX('Email Cleaner'!$B$2:$B$10001,MATCH(211,'Email Cleaner'!$J$2:$J$10001,0)),"")</f>
        <v/>
      </c>
    </row>
    <row r="213">
      <c r="A213">
        <f>IFERROR(INDEX('Email Cleaner'!$B$2:$B$10001,MATCH(212,'Email Cleaner'!$J$2:$J$10001,0)),"")</f>
        <v/>
      </c>
    </row>
    <row r="214">
      <c r="A214">
        <f>IFERROR(INDEX('Email Cleaner'!$B$2:$B$10001,MATCH(213,'Email Cleaner'!$J$2:$J$10001,0)),"")</f>
        <v/>
      </c>
    </row>
    <row r="215">
      <c r="A215">
        <f>IFERROR(INDEX('Email Cleaner'!$B$2:$B$10001,MATCH(214,'Email Cleaner'!$J$2:$J$10001,0)),"")</f>
        <v/>
      </c>
    </row>
    <row r="216">
      <c r="A216">
        <f>IFERROR(INDEX('Email Cleaner'!$B$2:$B$10001,MATCH(215,'Email Cleaner'!$J$2:$J$10001,0)),"")</f>
        <v/>
      </c>
    </row>
    <row r="217">
      <c r="A217">
        <f>IFERROR(INDEX('Email Cleaner'!$B$2:$B$10001,MATCH(216,'Email Cleaner'!$J$2:$J$10001,0)),"")</f>
        <v/>
      </c>
    </row>
    <row r="218">
      <c r="A218">
        <f>IFERROR(INDEX('Email Cleaner'!$B$2:$B$10001,MATCH(217,'Email Cleaner'!$J$2:$J$10001,0)),"")</f>
        <v/>
      </c>
    </row>
    <row r="219">
      <c r="A219">
        <f>IFERROR(INDEX('Email Cleaner'!$B$2:$B$10001,MATCH(218,'Email Cleaner'!$J$2:$J$10001,0)),"")</f>
        <v/>
      </c>
    </row>
    <row r="220">
      <c r="A220">
        <f>IFERROR(INDEX('Email Cleaner'!$B$2:$B$10001,MATCH(219,'Email Cleaner'!$J$2:$J$10001,0)),"")</f>
        <v/>
      </c>
    </row>
    <row r="221">
      <c r="A221">
        <f>IFERROR(INDEX('Email Cleaner'!$B$2:$B$10001,MATCH(220,'Email Cleaner'!$J$2:$J$10001,0)),"")</f>
        <v/>
      </c>
    </row>
    <row r="222">
      <c r="A222">
        <f>IFERROR(INDEX('Email Cleaner'!$B$2:$B$10001,MATCH(221,'Email Cleaner'!$J$2:$J$10001,0)),"")</f>
        <v/>
      </c>
    </row>
    <row r="223">
      <c r="A223">
        <f>IFERROR(INDEX('Email Cleaner'!$B$2:$B$10001,MATCH(222,'Email Cleaner'!$J$2:$J$10001,0)),"")</f>
        <v/>
      </c>
    </row>
    <row r="224">
      <c r="A224">
        <f>IFERROR(INDEX('Email Cleaner'!$B$2:$B$10001,MATCH(223,'Email Cleaner'!$J$2:$J$10001,0)),"")</f>
        <v/>
      </c>
    </row>
    <row r="225">
      <c r="A225">
        <f>IFERROR(INDEX('Email Cleaner'!$B$2:$B$10001,MATCH(224,'Email Cleaner'!$J$2:$J$10001,0)),"")</f>
        <v/>
      </c>
    </row>
    <row r="226">
      <c r="A226">
        <f>IFERROR(INDEX('Email Cleaner'!$B$2:$B$10001,MATCH(225,'Email Cleaner'!$J$2:$J$10001,0)),"")</f>
        <v/>
      </c>
    </row>
    <row r="227">
      <c r="A227">
        <f>IFERROR(INDEX('Email Cleaner'!$B$2:$B$10001,MATCH(226,'Email Cleaner'!$J$2:$J$10001,0)),"")</f>
        <v/>
      </c>
    </row>
    <row r="228">
      <c r="A228">
        <f>IFERROR(INDEX('Email Cleaner'!$B$2:$B$10001,MATCH(227,'Email Cleaner'!$J$2:$J$10001,0)),"")</f>
        <v/>
      </c>
    </row>
    <row r="229">
      <c r="A229">
        <f>IFERROR(INDEX('Email Cleaner'!$B$2:$B$10001,MATCH(228,'Email Cleaner'!$J$2:$J$10001,0)),"")</f>
        <v/>
      </c>
    </row>
    <row r="230">
      <c r="A230">
        <f>IFERROR(INDEX('Email Cleaner'!$B$2:$B$10001,MATCH(229,'Email Cleaner'!$J$2:$J$10001,0)),"")</f>
        <v/>
      </c>
    </row>
    <row r="231">
      <c r="A231">
        <f>IFERROR(INDEX('Email Cleaner'!$B$2:$B$10001,MATCH(230,'Email Cleaner'!$J$2:$J$10001,0)),"")</f>
        <v/>
      </c>
    </row>
    <row r="232">
      <c r="A232">
        <f>IFERROR(INDEX('Email Cleaner'!$B$2:$B$10001,MATCH(231,'Email Cleaner'!$J$2:$J$10001,0)),"")</f>
        <v/>
      </c>
    </row>
    <row r="233">
      <c r="A233">
        <f>IFERROR(INDEX('Email Cleaner'!$B$2:$B$10001,MATCH(232,'Email Cleaner'!$J$2:$J$10001,0)),"")</f>
        <v/>
      </c>
    </row>
    <row r="234">
      <c r="A234">
        <f>IFERROR(INDEX('Email Cleaner'!$B$2:$B$10001,MATCH(233,'Email Cleaner'!$J$2:$J$10001,0)),"")</f>
        <v/>
      </c>
    </row>
    <row r="235">
      <c r="A235">
        <f>IFERROR(INDEX('Email Cleaner'!$B$2:$B$10001,MATCH(234,'Email Cleaner'!$J$2:$J$10001,0)),"")</f>
        <v/>
      </c>
    </row>
    <row r="236">
      <c r="A236">
        <f>IFERROR(INDEX('Email Cleaner'!$B$2:$B$10001,MATCH(235,'Email Cleaner'!$J$2:$J$10001,0)),"")</f>
        <v/>
      </c>
    </row>
    <row r="237">
      <c r="A237">
        <f>IFERROR(INDEX('Email Cleaner'!$B$2:$B$10001,MATCH(236,'Email Cleaner'!$J$2:$J$10001,0)),"")</f>
        <v/>
      </c>
    </row>
    <row r="238">
      <c r="A238">
        <f>IFERROR(INDEX('Email Cleaner'!$B$2:$B$10001,MATCH(237,'Email Cleaner'!$J$2:$J$10001,0)),"")</f>
        <v/>
      </c>
    </row>
    <row r="239">
      <c r="A239">
        <f>IFERROR(INDEX('Email Cleaner'!$B$2:$B$10001,MATCH(238,'Email Cleaner'!$J$2:$J$10001,0)),"")</f>
        <v/>
      </c>
    </row>
    <row r="240">
      <c r="A240">
        <f>IFERROR(INDEX('Email Cleaner'!$B$2:$B$10001,MATCH(239,'Email Cleaner'!$J$2:$J$10001,0)),"")</f>
        <v/>
      </c>
    </row>
    <row r="241">
      <c r="A241">
        <f>IFERROR(INDEX('Email Cleaner'!$B$2:$B$10001,MATCH(240,'Email Cleaner'!$J$2:$J$10001,0)),"")</f>
        <v/>
      </c>
    </row>
    <row r="242">
      <c r="A242">
        <f>IFERROR(INDEX('Email Cleaner'!$B$2:$B$10001,MATCH(241,'Email Cleaner'!$J$2:$J$10001,0)),"")</f>
        <v/>
      </c>
    </row>
    <row r="243">
      <c r="A243">
        <f>IFERROR(INDEX('Email Cleaner'!$B$2:$B$10001,MATCH(242,'Email Cleaner'!$J$2:$J$10001,0)),"")</f>
        <v/>
      </c>
    </row>
    <row r="244">
      <c r="A244">
        <f>IFERROR(INDEX('Email Cleaner'!$B$2:$B$10001,MATCH(243,'Email Cleaner'!$J$2:$J$10001,0)),"")</f>
        <v/>
      </c>
    </row>
    <row r="245">
      <c r="A245">
        <f>IFERROR(INDEX('Email Cleaner'!$B$2:$B$10001,MATCH(244,'Email Cleaner'!$J$2:$J$10001,0)),"")</f>
        <v/>
      </c>
    </row>
    <row r="246">
      <c r="A246">
        <f>IFERROR(INDEX('Email Cleaner'!$B$2:$B$10001,MATCH(245,'Email Cleaner'!$J$2:$J$10001,0)),"")</f>
        <v/>
      </c>
    </row>
    <row r="247">
      <c r="A247">
        <f>IFERROR(INDEX('Email Cleaner'!$B$2:$B$10001,MATCH(246,'Email Cleaner'!$J$2:$J$10001,0)),"")</f>
        <v/>
      </c>
    </row>
    <row r="248">
      <c r="A248">
        <f>IFERROR(INDEX('Email Cleaner'!$B$2:$B$10001,MATCH(247,'Email Cleaner'!$J$2:$J$10001,0)),"")</f>
        <v/>
      </c>
    </row>
    <row r="249">
      <c r="A249">
        <f>IFERROR(INDEX('Email Cleaner'!$B$2:$B$10001,MATCH(248,'Email Cleaner'!$J$2:$J$10001,0)),"")</f>
        <v/>
      </c>
    </row>
    <row r="250">
      <c r="A250">
        <f>IFERROR(INDEX('Email Cleaner'!$B$2:$B$10001,MATCH(249,'Email Cleaner'!$J$2:$J$10001,0)),"")</f>
        <v/>
      </c>
    </row>
    <row r="251">
      <c r="A251">
        <f>IFERROR(INDEX('Email Cleaner'!$B$2:$B$10001,MATCH(250,'Email Cleaner'!$J$2:$J$10001,0)),"")</f>
        <v/>
      </c>
    </row>
    <row r="252">
      <c r="A252">
        <f>IFERROR(INDEX('Email Cleaner'!$B$2:$B$10001,MATCH(251,'Email Cleaner'!$J$2:$J$10001,0)),"")</f>
        <v/>
      </c>
    </row>
    <row r="253">
      <c r="A253">
        <f>IFERROR(INDEX('Email Cleaner'!$B$2:$B$10001,MATCH(252,'Email Cleaner'!$J$2:$J$10001,0)),"")</f>
        <v/>
      </c>
    </row>
    <row r="254">
      <c r="A254">
        <f>IFERROR(INDEX('Email Cleaner'!$B$2:$B$10001,MATCH(253,'Email Cleaner'!$J$2:$J$10001,0)),"")</f>
        <v/>
      </c>
    </row>
    <row r="255">
      <c r="A255">
        <f>IFERROR(INDEX('Email Cleaner'!$B$2:$B$10001,MATCH(254,'Email Cleaner'!$J$2:$J$10001,0)),"")</f>
        <v/>
      </c>
    </row>
    <row r="256">
      <c r="A256">
        <f>IFERROR(INDEX('Email Cleaner'!$B$2:$B$10001,MATCH(255,'Email Cleaner'!$J$2:$J$10001,0)),"")</f>
        <v/>
      </c>
    </row>
    <row r="257">
      <c r="A257">
        <f>IFERROR(INDEX('Email Cleaner'!$B$2:$B$10001,MATCH(256,'Email Cleaner'!$J$2:$J$10001,0)),"")</f>
        <v/>
      </c>
    </row>
    <row r="258">
      <c r="A258">
        <f>IFERROR(INDEX('Email Cleaner'!$B$2:$B$10001,MATCH(257,'Email Cleaner'!$J$2:$J$10001,0)),"")</f>
        <v/>
      </c>
    </row>
    <row r="259">
      <c r="A259">
        <f>IFERROR(INDEX('Email Cleaner'!$B$2:$B$10001,MATCH(258,'Email Cleaner'!$J$2:$J$10001,0)),"")</f>
        <v/>
      </c>
    </row>
    <row r="260">
      <c r="A260">
        <f>IFERROR(INDEX('Email Cleaner'!$B$2:$B$10001,MATCH(259,'Email Cleaner'!$J$2:$J$10001,0)),"")</f>
        <v/>
      </c>
    </row>
    <row r="261">
      <c r="A261">
        <f>IFERROR(INDEX('Email Cleaner'!$B$2:$B$10001,MATCH(260,'Email Cleaner'!$J$2:$J$10001,0)),"")</f>
        <v/>
      </c>
    </row>
    <row r="262">
      <c r="A262">
        <f>IFERROR(INDEX('Email Cleaner'!$B$2:$B$10001,MATCH(261,'Email Cleaner'!$J$2:$J$10001,0)),"")</f>
        <v/>
      </c>
    </row>
    <row r="263">
      <c r="A263">
        <f>IFERROR(INDEX('Email Cleaner'!$B$2:$B$10001,MATCH(262,'Email Cleaner'!$J$2:$J$10001,0)),"")</f>
        <v/>
      </c>
    </row>
    <row r="264">
      <c r="A264">
        <f>IFERROR(INDEX('Email Cleaner'!$B$2:$B$10001,MATCH(263,'Email Cleaner'!$J$2:$J$10001,0)),"")</f>
        <v/>
      </c>
    </row>
    <row r="265">
      <c r="A265">
        <f>IFERROR(INDEX('Email Cleaner'!$B$2:$B$10001,MATCH(264,'Email Cleaner'!$J$2:$J$10001,0)),"")</f>
        <v/>
      </c>
    </row>
    <row r="266">
      <c r="A266">
        <f>IFERROR(INDEX('Email Cleaner'!$B$2:$B$10001,MATCH(265,'Email Cleaner'!$J$2:$J$10001,0)),"")</f>
        <v/>
      </c>
    </row>
    <row r="267">
      <c r="A267">
        <f>IFERROR(INDEX('Email Cleaner'!$B$2:$B$10001,MATCH(266,'Email Cleaner'!$J$2:$J$10001,0)),"")</f>
        <v/>
      </c>
    </row>
    <row r="268">
      <c r="A268">
        <f>IFERROR(INDEX('Email Cleaner'!$B$2:$B$10001,MATCH(267,'Email Cleaner'!$J$2:$J$10001,0)),"")</f>
        <v/>
      </c>
    </row>
    <row r="269">
      <c r="A269">
        <f>IFERROR(INDEX('Email Cleaner'!$B$2:$B$10001,MATCH(268,'Email Cleaner'!$J$2:$J$10001,0)),"")</f>
        <v/>
      </c>
    </row>
    <row r="270">
      <c r="A270">
        <f>IFERROR(INDEX('Email Cleaner'!$B$2:$B$10001,MATCH(269,'Email Cleaner'!$J$2:$J$10001,0)),"")</f>
        <v/>
      </c>
    </row>
    <row r="271">
      <c r="A271">
        <f>IFERROR(INDEX('Email Cleaner'!$B$2:$B$10001,MATCH(270,'Email Cleaner'!$J$2:$J$10001,0)),"")</f>
        <v/>
      </c>
    </row>
    <row r="272">
      <c r="A272">
        <f>IFERROR(INDEX('Email Cleaner'!$B$2:$B$10001,MATCH(271,'Email Cleaner'!$J$2:$J$10001,0)),"")</f>
        <v/>
      </c>
    </row>
    <row r="273">
      <c r="A273">
        <f>IFERROR(INDEX('Email Cleaner'!$B$2:$B$10001,MATCH(272,'Email Cleaner'!$J$2:$J$10001,0)),"")</f>
        <v/>
      </c>
    </row>
    <row r="274">
      <c r="A274">
        <f>IFERROR(INDEX('Email Cleaner'!$B$2:$B$10001,MATCH(273,'Email Cleaner'!$J$2:$J$10001,0)),"")</f>
        <v/>
      </c>
    </row>
    <row r="275">
      <c r="A275">
        <f>IFERROR(INDEX('Email Cleaner'!$B$2:$B$10001,MATCH(274,'Email Cleaner'!$J$2:$J$10001,0)),"")</f>
        <v/>
      </c>
    </row>
    <row r="276">
      <c r="A276">
        <f>IFERROR(INDEX('Email Cleaner'!$B$2:$B$10001,MATCH(275,'Email Cleaner'!$J$2:$J$10001,0)),"")</f>
        <v/>
      </c>
    </row>
    <row r="277">
      <c r="A277">
        <f>IFERROR(INDEX('Email Cleaner'!$B$2:$B$10001,MATCH(276,'Email Cleaner'!$J$2:$J$10001,0)),"")</f>
        <v/>
      </c>
    </row>
    <row r="278">
      <c r="A278">
        <f>IFERROR(INDEX('Email Cleaner'!$B$2:$B$10001,MATCH(277,'Email Cleaner'!$J$2:$J$10001,0)),"")</f>
        <v/>
      </c>
    </row>
    <row r="279">
      <c r="A279">
        <f>IFERROR(INDEX('Email Cleaner'!$B$2:$B$10001,MATCH(278,'Email Cleaner'!$J$2:$J$10001,0)),"")</f>
        <v/>
      </c>
    </row>
    <row r="280">
      <c r="A280">
        <f>IFERROR(INDEX('Email Cleaner'!$B$2:$B$10001,MATCH(279,'Email Cleaner'!$J$2:$J$10001,0)),"")</f>
        <v/>
      </c>
    </row>
    <row r="281">
      <c r="A281">
        <f>IFERROR(INDEX('Email Cleaner'!$B$2:$B$10001,MATCH(280,'Email Cleaner'!$J$2:$J$10001,0)),"")</f>
        <v/>
      </c>
    </row>
    <row r="282">
      <c r="A282">
        <f>IFERROR(INDEX('Email Cleaner'!$B$2:$B$10001,MATCH(281,'Email Cleaner'!$J$2:$J$10001,0)),"")</f>
        <v/>
      </c>
    </row>
    <row r="283">
      <c r="A283">
        <f>IFERROR(INDEX('Email Cleaner'!$B$2:$B$10001,MATCH(282,'Email Cleaner'!$J$2:$J$10001,0)),"")</f>
        <v/>
      </c>
    </row>
    <row r="284">
      <c r="A284">
        <f>IFERROR(INDEX('Email Cleaner'!$B$2:$B$10001,MATCH(283,'Email Cleaner'!$J$2:$J$10001,0)),"")</f>
        <v/>
      </c>
    </row>
    <row r="285">
      <c r="A285">
        <f>IFERROR(INDEX('Email Cleaner'!$B$2:$B$10001,MATCH(284,'Email Cleaner'!$J$2:$J$10001,0)),"")</f>
        <v/>
      </c>
    </row>
    <row r="286">
      <c r="A286">
        <f>IFERROR(INDEX('Email Cleaner'!$B$2:$B$10001,MATCH(285,'Email Cleaner'!$J$2:$J$10001,0)),"")</f>
        <v/>
      </c>
    </row>
    <row r="287">
      <c r="A287">
        <f>IFERROR(INDEX('Email Cleaner'!$B$2:$B$10001,MATCH(286,'Email Cleaner'!$J$2:$J$10001,0)),"")</f>
        <v/>
      </c>
    </row>
    <row r="288">
      <c r="A288">
        <f>IFERROR(INDEX('Email Cleaner'!$B$2:$B$10001,MATCH(287,'Email Cleaner'!$J$2:$J$10001,0)),"")</f>
        <v/>
      </c>
    </row>
    <row r="289">
      <c r="A289">
        <f>IFERROR(INDEX('Email Cleaner'!$B$2:$B$10001,MATCH(288,'Email Cleaner'!$J$2:$J$10001,0)),"")</f>
        <v/>
      </c>
    </row>
    <row r="290">
      <c r="A290">
        <f>IFERROR(INDEX('Email Cleaner'!$B$2:$B$10001,MATCH(289,'Email Cleaner'!$J$2:$J$10001,0)),"")</f>
        <v/>
      </c>
    </row>
    <row r="291">
      <c r="A291">
        <f>IFERROR(INDEX('Email Cleaner'!$B$2:$B$10001,MATCH(290,'Email Cleaner'!$J$2:$J$10001,0)),"")</f>
        <v/>
      </c>
    </row>
    <row r="292">
      <c r="A292">
        <f>IFERROR(INDEX('Email Cleaner'!$B$2:$B$10001,MATCH(291,'Email Cleaner'!$J$2:$J$10001,0)),"")</f>
        <v/>
      </c>
    </row>
    <row r="293">
      <c r="A293">
        <f>IFERROR(INDEX('Email Cleaner'!$B$2:$B$10001,MATCH(292,'Email Cleaner'!$J$2:$J$10001,0)),"")</f>
        <v/>
      </c>
    </row>
    <row r="294">
      <c r="A294">
        <f>IFERROR(INDEX('Email Cleaner'!$B$2:$B$10001,MATCH(293,'Email Cleaner'!$J$2:$J$10001,0)),"")</f>
        <v/>
      </c>
    </row>
    <row r="295">
      <c r="A295">
        <f>IFERROR(INDEX('Email Cleaner'!$B$2:$B$10001,MATCH(294,'Email Cleaner'!$J$2:$J$10001,0)),"")</f>
        <v/>
      </c>
    </row>
    <row r="296">
      <c r="A296">
        <f>IFERROR(INDEX('Email Cleaner'!$B$2:$B$10001,MATCH(295,'Email Cleaner'!$J$2:$J$10001,0)),"")</f>
        <v/>
      </c>
    </row>
    <row r="297">
      <c r="A297">
        <f>IFERROR(INDEX('Email Cleaner'!$B$2:$B$10001,MATCH(296,'Email Cleaner'!$J$2:$J$10001,0)),"")</f>
        <v/>
      </c>
    </row>
    <row r="298">
      <c r="A298">
        <f>IFERROR(INDEX('Email Cleaner'!$B$2:$B$10001,MATCH(297,'Email Cleaner'!$J$2:$J$10001,0)),"")</f>
        <v/>
      </c>
    </row>
    <row r="299">
      <c r="A299">
        <f>IFERROR(INDEX('Email Cleaner'!$B$2:$B$10001,MATCH(298,'Email Cleaner'!$J$2:$J$10001,0)),"")</f>
        <v/>
      </c>
    </row>
    <row r="300">
      <c r="A300">
        <f>IFERROR(INDEX('Email Cleaner'!$B$2:$B$10001,MATCH(299,'Email Cleaner'!$J$2:$J$10001,0)),"")</f>
        <v/>
      </c>
    </row>
    <row r="301">
      <c r="A301">
        <f>IFERROR(INDEX('Email Cleaner'!$B$2:$B$10001,MATCH(300,'Email Cleaner'!$J$2:$J$10001,0)),"")</f>
        <v/>
      </c>
    </row>
    <row r="302">
      <c r="A302">
        <f>IFERROR(INDEX('Email Cleaner'!$B$2:$B$10001,MATCH(301,'Email Cleaner'!$J$2:$J$10001,0)),"")</f>
        <v/>
      </c>
    </row>
    <row r="303">
      <c r="A303">
        <f>IFERROR(INDEX('Email Cleaner'!$B$2:$B$10001,MATCH(302,'Email Cleaner'!$J$2:$J$10001,0)),"")</f>
        <v/>
      </c>
    </row>
    <row r="304">
      <c r="A304">
        <f>IFERROR(INDEX('Email Cleaner'!$B$2:$B$10001,MATCH(303,'Email Cleaner'!$J$2:$J$10001,0)),"")</f>
        <v/>
      </c>
    </row>
    <row r="305">
      <c r="A305">
        <f>IFERROR(INDEX('Email Cleaner'!$B$2:$B$10001,MATCH(304,'Email Cleaner'!$J$2:$J$10001,0)),"")</f>
        <v/>
      </c>
    </row>
    <row r="306">
      <c r="A306">
        <f>IFERROR(INDEX('Email Cleaner'!$B$2:$B$10001,MATCH(305,'Email Cleaner'!$J$2:$J$10001,0)),"")</f>
        <v/>
      </c>
    </row>
    <row r="307">
      <c r="A307">
        <f>IFERROR(INDEX('Email Cleaner'!$B$2:$B$10001,MATCH(306,'Email Cleaner'!$J$2:$J$10001,0)),"")</f>
        <v/>
      </c>
    </row>
    <row r="308">
      <c r="A308">
        <f>IFERROR(INDEX('Email Cleaner'!$B$2:$B$10001,MATCH(307,'Email Cleaner'!$J$2:$J$10001,0)),"")</f>
        <v/>
      </c>
    </row>
    <row r="309">
      <c r="A309">
        <f>IFERROR(INDEX('Email Cleaner'!$B$2:$B$10001,MATCH(308,'Email Cleaner'!$J$2:$J$10001,0)),"")</f>
        <v/>
      </c>
    </row>
    <row r="310">
      <c r="A310">
        <f>IFERROR(INDEX('Email Cleaner'!$B$2:$B$10001,MATCH(309,'Email Cleaner'!$J$2:$J$10001,0)),"")</f>
        <v/>
      </c>
    </row>
    <row r="311">
      <c r="A311">
        <f>IFERROR(INDEX('Email Cleaner'!$B$2:$B$10001,MATCH(310,'Email Cleaner'!$J$2:$J$10001,0)),"")</f>
        <v/>
      </c>
    </row>
    <row r="312">
      <c r="A312">
        <f>IFERROR(INDEX('Email Cleaner'!$B$2:$B$10001,MATCH(311,'Email Cleaner'!$J$2:$J$10001,0)),"")</f>
        <v/>
      </c>
    </row>
    <row r="313">
      <c r="A313">
        <f>IFERROR(INDEX('Email Cleaner'!$B$2:$B$10001,MATCH(312,'Email Cleaner'!$J$2:$J$10001,0)),"")</f>
        <v/>
      </c>
    </row>
    <row r="314">
      <c r="A314">
        <f>IFERROR(INDEX('Email Cleaner'!$B$2:$B$10001,MATCH(313,'Email Cleaner'!$J$2:$J$10001,0)),"")</f>
        <v/>
      </c>
    </row>
    <row r="315">
      <c r="A315">
        <f>IFERROR(INDEX('Email Cleaner'!$B$2:$B$10001,MATCH(314,'Email Cleaner'!$J$2:$J$10001,0)),"")</f>
        <v/>
      </c>
    </row>
    <row r="316">
      <c r="A316">
        <f>IFERROR(INDEX('Email Cleaner'!$B$2:$B$10001,MATCH(315,'Email Cleaner'!$J$2:$J$10001,0)),"")</f>
        <v/>
      </c>
    </row>
    <row r="317">
      <c r="A317">
        <f>IFERROR(INDEX('Email Cleaner'!$B$2:$B$10001,MATCH(316,'Email Cleaner'!$J$2:$J$10001,0)),"")</f>
        <v/>
      </c>
    </row>
    <row r="318">
      <c r="A318">
        <f>IFERROR(INDEX('Email Cleaner'!$B$2:$B$10001,MATCH(317,'Email Cleaner'!$J$2:$J$10001,0)),"")</f>
        <v/>
      </c>
    </row>
    <row r="319">
      <c r="A319">
        <f>IFERROR(INDEX('Email Cleaner'!$B$2:$B$10001,MATCH(318,'Email Cleaner'!$J$2:$J$10001,0)),"")</f>
        <v/>
      </c>
    </row>
    <row r="320">
      <c r="A320">
        <f>IFERROR(INDEX('Email Cleaner'!$B$2:$B$10001,MATCH(319,'Email Cleaner'!$J$2:$J$10001,0)),"")</f>
        <v/>
      </c>
    </row>
    <row r="321">
      <c r="A321">
        <f>IFERROR(INDEX('Email Cleaner'!$B$2:$B$10001,MATCH(320,'Email Cleaner'!$J$2:$J$10001,0)),"")</f>
        <v/>
      </c>
    </row>
    <row r="322">
      <c r="A322">
        <f>IFERROR(INDEX('Email Cleaner'!$B$2:$B$10001,MATCH(321,'Email Cleaner'!$J$2:$J$10001,0)),"")</f>
        <v/>
      </c>
    </row>
    <row r="323">
      <c r="A323">
        <f>IFERROR(INDEX('Email Cleaner'!$B$2:$B$10001,MATCH(322,'Email Cleaner'!$J$2:$J$10001,0)),"")</f>
        <v/>
      </c>
    </row>
    <row r="324">
      <c r="A324">
        <f>IFERROR(INDEX('Email Cleaner'!$B$2:$B$10001,MATCH(323,'Email Cleaner'!$J$2:$J$10001,0)),"")</f>
        <v/>
      </c>
    </row>
    <row r="325">
      <c r="A325">
        <f>IFERROR(INDEX('Email Cleaner'!$B$2:$B$10001,MATCH(324,'Email Cleaner'!$J$2:$J$10001,0)),"")</f>
        <v/>
      </c>
    </row>
    <row r="326">
      <c r="A326">
        <f>IFERROR(INDEX('Email Cleaner'!$B$2:$B$10001,MATCH(325,'Email Cleaner'!$J$2:$J$10001,0)),"")</f>
        <v/>
      </c>
    </row>
    <row r="327">
      <c r="A327">
        <f>IFERROR(INDEX('Email Cleaner'!$B$2:$B$10001,MATCH(326,'Email Cleaner'!$J$2:$J$10001,0)),"")</f>
        <v/>
      </c>
    </row>
    <row r="328">
      <c r="A328">
        <f>IFERROR(INDEX('Email Cleaner'!$B$2:$B$10001,MATCH(327,'Email Cleaner'!$J$2:$J$10001,0)),"")</f>
        <v/>
      </c>
    </row>
    <row r="329">
      <c r="A329">
        <f>IFERROR(INDEX('Email Cleaner'!$B$2:$B$10001,MATCH(328,'Email Cleaner'!$J$2:$J$10001,0)),"")</f>
        <v/>
      </c>
    </row>
    <row r="330">
      <c r="A330">
        <f>IFERROR(INDEX('Email Cleaner'!$B$2:$B$10001,MATCH(329,'Email Cleaner'!$J$2:$J$10001,0)),"")</f>
        <v/>
      </c>
    </row>
    <row r="331">
      <c r="A331">
        <f>IFERROR(INDEX('Email Cleaner'!$B$2:$B$10001,MATCH(330,'Email Cleaner'!$J$2:$J$10001,0)),"")</f>
        <v/>
      </c>
    </row>
    <row r="332">
      <c r="A332">
        <f>IFERROR(INDEX('Email Cleaner'!$B$2:$B$10001,MATCH(331,'Email Cleaner'!$J$2:$J$10001,0)),"")</f>
        <v/>
      </c>
    </row>
    <row r="333">
      <c r="A333">
        <f>IFERROR(INDEX('Email Cleaner'!$B$2:$B$10001,MATCH(332,'Email Cleaner'!$J$2:$J$10001,0)),"")</f>
        <v/>
      </c>
    </row>
    <row r="334">
      <c r="A334">
        <f>IFERROR(INDEX('Email Cleaner'!$B$2:$B$10001,MATCH(333,'Email Cleaner'!$J$2:$J$10001,0)),"")</f>
        <v/>
      </c>
    </row>
    <row r="335">
      <c r="A335">
        <f>IFERROR(INDEX('Email Cleaner'!$B$2:$B$10001,MATCH(334,'Email Cleaner'!$J$2:$J$10001,0)),"")</f>
        <v/>
      </c>
    </row>
    <row r="336">
      <c r="A336">
        <f>IFERROR(INDEX('Email Cleaner'!$B$2:$B$10001,MATCH(335,'Email Cleaner'!$J$2:$J$10001,0)),"")</f>
        <v/>
      </c>
    </row>
    <row r="337">
      <c r="A337">
        <f>IFERROR(INDEX('Email Cleaner'!$B$2:$B$10001,MATCH(336,'Email Cleaner'!$J$2:$J$10001,0)),"")</f>
        <v/>
      </c>
    </row>
    <row r="338">
      <c r="A338">
        <f>IFERROR(INDEX('Email Cleaner'!$B$2:$B$10001,MATCH(337,'Email Cleaner'!$J$2:$J$10001,0)),"")</f>
        <v/>
      </c>
    </row>
    <row r="339">
      <c r="A339">
        <f>IFERROR(INDEX('Email Cleaner'!$B$2:$B$10001,MATCH(338,'Email Cleaner'!$J$2:$J$10001,0)),"")</f>
        <v/>
      </c>
    </row>
    <row r="340">
      <c r="A340">
        <f>IFERROR(INDEX('Email Cleaner'!$B$2:$B$10001,MATCH(339,'Email Cleaner'!$J$2:$J$10001,0)),"")</f>
        <v/>
      </c>
    </row>
    <row r="341">
      <c r="A341">
        <f>IFERROR(INDEX('Email Cleaner'!$B$2:$B$10001,MATCH(340,'Email Cleaner'!$J$2:$J$10001,0)),"")</f>
        <v/>
      </c>
    </row>
    <row r="342">
      <c r="A342">
        <f>IFERROR(INDEX('Email Cleaner'!$B$2:$B$10001,MATCH(341,'Email Cleaner'!$J$2:$J$10001,0)),"")</f>
        <v/>
      </c>
    </row>
    <row r="343">
      <c r="A343">
        <f>IFERROR(INDEX('Email Cleaner'!$B$2:$B$10001,MATCH(342,'Email Cleaner'!$J$2:$J$10001,0)),"")</f>
        <v/>
      </c>
    </row>
    <row r="344">
      <c r="A344">
        <f>IFERROR(INDEX('Email Cleaner'!$B$2:$B$10001,MATCH(343,'Email Cleaner'!$J$2:$J$10001,0)),"")</f>
        <v/>
      </c>
    </row>
    <row r="345">
      <c r="A345">
        <f>IFERROR(INDEX('Email Cleaner'!$B$2:$B$10001,MATCH(344,'Email Cleaner'!$J$2:$J$10001,0)),"")</f>
        <v/>
      </c>
    </row>
    <row r="346">
      <c r="A346">
        <f>IFERROR(INDEX('Email Cleaner'!$B$2:$B$10001,MATCH(345,'Email Cleaner'!$J$2:$J$10001,0)),"")</f>
        <v/>
      </c>
    </row>
    <row r="347">
      <c r="A347">
        <f>IFERROR(INDEX('Email Cleaner'!$B$2:$B$10001,MATCH(346,'Email Cleaner'!$J$2:$J$10001,0)),"")</f>
        <v/>
      </c>
    </row>
    <row r="348">
      <c r="A348">
        <f>IFERROR(INDEX('Email Cleaner'!$B$2:$B$10001,MATCH(347,'Email Cleaner'!$J$2:$J$10001,0)),"")</f>
        <v/>
      </c>
    </row>
    <row r="349">
      <c r="A349">
        <f>IFERROR(INDEX('Email Cleaner'!$B$2:$B$10001,MATCH(348,'Email Cleaner'!$J$2:$J$10001,0)),"")</f>
        <v/>
      </c>
    </row>
    <row r="350">
      <c r="A350">
        <f>IFERROR(INDEX('Email Cleaner'!$B$2:$B$10001,MATCH(349,'Email Cleaner'!$J$2:$J$10001,0)),"")</f>
        <v/>
      </c>
    </row>
    <row r="351">
      <c r="A351">
        <f>IFERROR(INDEX('Email Cleaner'!$B$2:$B$10001,MATCH(350,'Email Cleaner'!$J$2:$J$10001,0)),"")</f>
        <v/>
      </c>
    </row>
    <row r="352">
      <c r="A352">
        <f>IFERROR(INDEX('Email Cleaner'!$B$2:$B$10001,MATCH(351,'Email Cleaner'!$J$2:$J$10001,0)),"")</f>
        <v/>
      </c>
    </row>
    <row r="353">
      <c r="A353">
        <f>IFERROR(INDEX('Email Cleaner'!$B$2:$B$10001,MATCH(352,'Email Cleaner'!$J$2:$J$10001,0)),"")</f>
        <v/>
      </c>
    </row>
    <row r="354">
      <c r="A354">
        <f>IFERROR(INDEX('Email Cleaner'!$B$2:$B$10001,MATCH(353,'Email Cleaner'!$J$2:$J$10001,0)),"")</f>
        <v/>
      </c>
    </row>
    <row r="355">
      <c r="A355">
        <f>IFERROR(INDEX('Email Cleaner'!$B$2:$B$10001,MATCH(354,'Email Cleaner'!$J$2:$J$10001,0)),"")</f>
        <v/>
      </c>
    </row>
    <row r="356">
      <c r="A356">
        <f>IFERROR(INDEX('Email Cleaner'!$B$2:$B$10001,MATCH(355,'Email Cleaner'!$J$2:$J$10001,0)),"")</f>
        <v/>
      </c>
    </row>
    <row r="357">
      <c r="A357">
        <f>IFERROR(INDEX('Email Cleaner'!$B$2:$B$10001,MATCH(356,'Email Cleaner'!$J$2:$J$10001,0)),"")</f>
        <v/>
      </c>
    </row>
    <row r="358">
      <c r="A358">
        <f>IFERROR(INDEX('Email Cleaner'!$B$2:$B$10001,MATCH(357,'Email Cleaner'!$J$2:$J$10001,0)),"")</f>
        <v/>
      </c>
    </row>
    <row r="359">
      <c r="A359">
        <f>IFERROR(INDEX('Email Cleaner'!$B$2:$B$10001,MATCH(358,'Email Cleaner'!$J$2:$J$10001,0)),"")</f>
        <v/>
      </c>
    </row>
    <row r="360">
      <c r="A360">
        <f>IFERROR(INDEX('Email Cleaner'!$B$2:$B$10001,MATCH(359,'Email Cleaner'!$J$2:$J$10001,0)),"")</f>
        <v/>
      </c>
    </row>
    <row r="361">
      <c r="A361">
        <f>IFERROR(INDEX('Email Cleaner'!$B$2:$B$10001,MATCH(360,'Email Cleaner'!$J$2:$J$10001,0)),"")</f>
        <v/>
      </c>
    </row>
    <row r="362">
      <c r="A362">
        <f>IFERROR(INDEX('Email Cleaner'!$B$2:$B$10001,MATCH(361,'Email Cleaner'!$J$2:$J$10001,0)),"")</f>
        <v/>
      </c>
    </row>
    <row r="363">
      <c r="A363">
        <f>IFERROR(INDEX('Email Cleaner'!$B$2:$B$10001,MATCH(362,'Email Cleaner'!$J$2:$J$10001,0)),"")</f>
        <v/>
      </c>
    </row>
    <row r="364">
      <c r="A364">
        <f>IFERROR(INDEX('Email Cleaner'!$B$2:$B$10001,MATCH(363,'Email Cleaner'!$J$2:$J$10001,0)),"")</f>
        <v/>
      </c>
    </row>
    <row r="365">
      <c r="A365">
        <f>IFERROR(INDEX('Email Cleaner'!$B$2:$B$10001,MATCH(364,'Email Cleaner'!$J$2:$J$10001,0)),"")</f>
        <v/>
      </c>
    </row>
    <row r="366">
      <c r="A366">
        <f>IFERROR(INDEX('Email Cleaner'!$B$2:$B$10001,MATCH(365,'Email Cleaner'!$J$2:$J$10001,0)),"")</f>
        <v/>
      </c>
    </row>
    <row r="367">
      <c r="A367">
        <f>IFERROR(INDEX('Email Cleaner'!$B$2:$B$10001,MATCH(366,'Email Cleaner'!$J$2:$J$10001,0)),"")</f>
        <v/>
      </c>
    </row>
    <row r="368">
      <c r="A368">
        <f>IFERROR(INDEX('Email Cleaner'!$B$2:$B$10001,MATCH(367,'Email Cleaner'!$J$2:$J$10001,0)),"")</f>
        <v/>
      </c>
    </row>
    <row r="369">
      <c r="A369">
        <f>IFERROR(INDEX('Email Cleaner'!$B$2:$B$10001,MATCH(368,'Email Cleaner'!$J$2:$J$10001,0)),"")</f>
        <v/>
      </c>
    </row>
    <row r="370">
      <c r="A370">
        <f>IFERROR(INDEX('Email Cleaner'!$B$2:$B$10001,MATCH(369,'Email Cleaner'!$J$2:$J$10001,0)),"")</f>
        <v/>
      </c>
    </row>
    <row r="371">
      <c r="A371">
        <f>IFERROR(INDEX('Email Cleaner'!$B$2:$B$10001,MATCH(370,'Email Cleaner'!$J$2:$J$10001,0)),"")</f>
        <v/>
      </c>
    </row>
    <row r="372">
      <c r="A372">
        <f>IFERROR(INDEX('Email Cleaner'!$B$2:$B$10001,MATCH(371,'Email Cleaner'!$J$2:$J$10001,0)),"")</f>
        <v/>
      </c>
    </row>
    <row r="373">
      <c r="A373">
        <f>IFERROR(INDEX('Email Cleaner'!$B$2:$B$10001,MATCH(372,'Email Cleaner'!$J$2:$J$10001,0)),"")</f>
        <v/>
      </c>
    </row>
    <row r="374">
      <c r="A374">
        <f>IFERROR(INDEX('Email Cleaner'!$B$2:$B$10001,MATCH(373,'Email Cleaner'!$J$2:$J$10001,0)),"")</f>
        <v/>
      </c>
    </row>
    <row r="375">
      <c r="A375">
        <f>IFERROR(INDEX('Email Cleaner'!$B$2:$B$10001,MATCH(374,'Email Cleaner'!$J$2:$J$10001,0)),"")</f>
        <v/>
      </c>
    </row>
    <row r="376">
      <c r="A376">
        <f>IFERROR(INDEX('Email Cleaner'!$B$2:$B$10001,MATCH(375,'Email Cleaner'!$J$2:$J$10001,0)),"")</f>
        <v/>
      </c>
    </row>
    <row r="377">
      <c r="A377">
        <f>IFERROR(INDEX('Email Cleaner'!$B$2:$B$10001,MATCH(376,'Email Cleaner'!$J$2:$J$10001,0)),"")</f>
        <v/>
      </c>
    </row>
    <row r="378">
      <c r="A378">
        <f>IFERROR(INDEX('Email Cleaner'!$B$2:$B$10001,MATCH(377,'Email Cleaner'!$J$2:$J$10001,0)),"")</f>
        <v/>
      </c>
    </row>
    <row r="379">
      <c r="A379">
        <f>IFERROR(INDEX('Email Cleaner'!$B$2:$B$10001,MATCH(378,'Email Cleaner'!$J$2:$J$10001,0)),"")</f>
        <v/>
      </c>
    </row>
    <row r="380">
      <c r="A380">
        <f>IFERROR(INDEX('Email Cleaner'!$B$2:$B$10001,MATCH(379,'Email Cleaner'!$J$2:$J$10001,0)),"")</f>
        <v/>
      </c>
    </row>
    <row r="381">
      <c r="A381">
        <f>IFERROR(INDEX('Email Cleaner'!$B$2:$B$10001,MATCH(380,'Email Cleaner'!$J$2:$J$10001,0)),"")</f>
        <v/>
      </c>
    </row>
    <row r="382">
      <c r="A382">
        <f>IFERROR(INDEX('Email Cleaner'!$B$2:$B$10001,MATCH(381,'Email Cleaner'!$J$2:$J$10001,0)),"")</f>
        <v/>
      </c>
    </row>
    <row r="383">
      <c r="A383">
        <f>IFERROR(INDEX('Email Cleaner'!$B$2:$B$10001,MATCH(382,'Email Cleaner'!$J$2:$J$10001,0)),"")</f>
        <v/>
      </c>
    </row>
    <row r="384">
      <c r="A384">
        <f>IFERROR(INDEX('Email Cleaner'!$B$2:$B$10001,MATCH(383,'Email Cleaner'!$J$2:$J$10001,0)),"")</f>
        <v/>
      </c>
    </row>
    <row r="385">
      <c r="A385">
        <f>IFERROR(INDEX('Email Cleaner'!$B$2:$B$10001,MATCH(384,'Email Cleaner'!$J$2:$J$10001,0)),"")</f>
        <v/>
      </c>
    </row>
    <row r="386">
      <c r="A386">
        <f>IFERROR(INDEX('Email Cleaner'!$B$2:$B$10001,MATCH(385,'Email Cleaner'!$J$2:$J$10001,0)),"")</f>
        <v/>
      </c>
    </row>
    <row r="387">
      <c r="A387">
        <f>IFERROR(INDEX('Email Cleaner'!$B$2:$B$10001,MATCH(386,'Email Cleaner'!$J$2:$J$10001,0)),"")</f>
        <v/>
      </c>
    </row>
    <row r="388">
      <c r="A388">
        <f>IFERROR(INDEX('Email Cleaner'!$B$2:$B$10001,MATCH(387,'Email Cleaner'!$J$2:$J$10001,0)),"")</f>
        <v/>
      </c>
    </row>
    <row r="389">
      <c r="A389">
        <f>IFERROR(INDEX('Email Cleaner'!$B$2:$B$10001,MATCH(388,'Email Cleaner'!$J$2:$J$10001,0)),"")</f>
        <v/>
      </c>
    </row>
    <row r="390">
      <c r="A390">
        <f>IFERROR(INDEX('Email Cleaner'!$B$2:$B$10001,MATCH(389,'Email Cleaner'!$J$2:$J$10001,0)),"")</f>
        <v/>
      </c>
    </row>
    <row r="391">
      <c r="A391">
        <f>IFERROR(INDEX('Email Cleaner'!$B$2:$B$10001,MATCH(390,'Email Cleaner'!$J$2:$J$10001,0)),"")</f>
        <v/>
      </c>
    </row>
    <row r="392">
      <c r="A392">
        <f>IFERROR(INDEX('Email Cleaner'!$B$2:$B$10001,MATCH(391,'Email Cleaner'!$J$2:$J$10001,0)),"")</f>
        <v/>
      </c>
    </row>
    <row r="393">
      <c r="A393">
        <f>IFERROR(INDEX('Email Cleaner'!$B$2:$B$10001,MATCH(392,'Email Cleaner'!$J$2:$J$10001,0)),"")</f>
        <v/>
      </c>
    </row>
    <row r="394">
      <c r="A394">
        <f>IFERROR(INDEX('Email Cleaner'!$B$2:$B$10001,MATCH(393,'Email Cleaner'!$J$2:$J$10001,0)),"")</f>
        <v/>
      </c>
    </row>
    <row r="395">
      <c r="A395">
        <f>IFERROR(INDEX('Email Cleaner'!$B$2:$B$10001,MATCH(394,'Email Cleaner'!$J$2:$J$10001,0)),"")</f>
        <v/>
      </c>
    </row>
    <row r="396">
      <c r="A396">
        <f>IFERROR(INDEX('Email Cleaner'!$B$2:$B$10001,MATCH(395,'Email Cleaner'!$J$2:$J$10001,0)),"")</f>
        <v/>
      </c>
    </row>
    <row r="397">
      <c r="A397">
        <f>IFERROR(INDEX('Email Cleaner'!$B$2:$B$10001,MATCH(396,'Email Cleaner'!$J$2:$J$10001,0)),"")</f>
        <v/>
      </c>
    </row>
    <row r="398">
      <c r="A398">
        <f>IFERROR(INDEX('Email Cleaner'!$B$2:$B$10001,MATCH(397,'Email Cleaner'!$J$2:$J$10001,0)),"")</f>
        <v/>
      </c>
    </row>
    <row r="399">
      <c r="A399">
        <f>IFERROR(INDEX('Email Cleaner'!$B$2:$B$10001,MATCH(398,'Email Cleaner'!$J$2:$J$10001,0)),"")</f>
        <v/>
      </c>
    </row>
    <row r="400">
      <c r="A400">
        <f>IFERROR(INDEX('Email Cleaner'!$B$2:$B$10001,MATCH(399,'Email Cleaner'!$J$2:$J$10001,0)),"")</f>
        <v/>
      </c>
    </row>
    <row r="401">
      <c r="A401">
        <f>IFERROR(INDEX('Email Cleaner'!$B$2:$B$10001,MATCH(400,'Email Cleaner'!$J$2:$J$10001,0)),"")</f>
        <v/>
      </c>
    </row>
    <row r="402">
      <c r="A402">
        <f>IFERROR(INDEX('Email Cleaner'!$B$2:$B$10001,MATCH(401,'Email Cleaner'!$J$2:$J$10001,0)),"")</f>
        <v/>
      </c>
    </row>
    <row r="403">
      <c r="A403">
        <f>IFERROR(INDEX('Email Cleaner'!$B$2:$B$10001,MATCH(402,'Email Cleaner'!$J$2:$J$10001,0)),"")</f>
        <v/>
      </c>
    </row>
    <row r="404">
      <c r="A404">
        <f>IFERROR(INDEX('Email Cleaner'!$B$2:$B$10001,MATCH(403,'Email Cleaner'!$J$2:$J$10001,0)),"")</f>
        <v/>
      </c>
    </row>
    <row r="405">
      <c r="A405">
        <f>IFERROR(INDEX('Email Cleaner'!$B$2:$B$10001,MATCH(404,'Email Cleaner'!$J$2:$J$10001,0)),"")</f>
        <v/>
      </c>
    </row>
    <row r="406">
      <c r="A406">
        <f>IFERROR(INDEX('Email Cleaner'!$B$2:$B$10001,MATCH(405,'Email Cleaner'!$J$2:$J$10001,0)),"")</f>
        <v/>
      </c>
    </row>
    <row r="407">
      <c r="A407">
        <f>IFERROR(INDEX('Email Cleaner'!$B$2:$B$10001,MATCH(406,'Email Cleaner'!$J$2:$J$10001,0)),"")</f>
        <v/>
      </c>
    </row>
    <row r="408">
      <c r="A408">
        <f>IFERROR(INDEX('Email Cleaner'!$B$2:$B$10001,MATCH(407,'Email Cleaner'!$J$2:$J$10001,0)),"")</f>
        <v/>
      </c>
    </row>
    <row r="409">
      <c r="A409">
        <f>IFERROR(INDEX('Email Cleaner'!$B$2:$B$10001,MATCH(408,'Email Cleaner'!$J$2:$J$10001,0)),"")</f>
        <v/>
      </c>
    </row>
    <row r="410">
      <c r="A410">
        <f>IFERROR(INDEX('Email Cleaner'!$B$2:$B$10001,MATCH(409,'Email Cleaner'!$J$2:$J$10001,0)),"")</f>
        <v/>
      </c>
    </row>
    <row r="411">
      <c r="A411">
        <f>IFERROR(INDEX('Email Cleaner'!$B$2:$B$10001,MATCH(410,'Email Cleaner'!$J$2:$J$10001,0)),"")</f>
        <v/>
      </c>
    </row>
    <row r="412">
      <c r="A412">
        <f>IFERROR(INDEX('Email Cleaner'!$B$2:$B$10001,MATCH(411,'Email Cleaner'!$J$2:$J$10001,0)),"")</f>
        <v/>
      </c>
    </row>
    <row r="413">
      <c r="A413">
        <f>IFERROR(INDEX('Email Cleaner'!$B$2:$B$10001,MATCH(412,'Email Cleaner'!$J$2:$J$10001,0)),"")</f>
        <v/>
      </c>
    </row>
    <row r="414">
      <c r="A414">
        <f>IFERROR(INDEX('Email Cleaner'!$B$2:$B$10001,MATCH(413,'Email Cleaner'!$J$2:$J$10001,0)),"")</f>
        <v/>
      </c>
    </row>
    <row r="415">
      <c r="A415">
        <f>IFERROR(INDEX('Email Cleaner'!$B$2:$B$10001,MATCH(414,'Email Cleaner'!$J$2:$J$10001,0)),"")</f>
        <v/>
      </c>
    </row>
    <row r="416">
      <c r="A416">
        <f>IFERROR(INDEX('Email Cleaner'!$B$2:$B$10001,MATCH(415,'Email Cleaner'!$J$2:$J$10001,0)),"")</f>
        <v/>
      </c>
    </row>
    <row r="417">
      <c r="A417">
        <f>IFERROR(INDEX('Email Cleaner'!$B$2:$B$10001,MATCH(416,'Email Cleaner'!$J$2:$J$10001,0)),"")</f>
        <v/>
      </c>
    </row>
    <row r="418">
      <c r="A418">
        <f>IFERROR(INDEX('Email Cleaner'!$B$2:$B$10001,MATCH(417,'Email Cleaner'!$J$2:$J$10001,0)),"")</f>
        <v/>
      </c>
    </row>
    <row r="419">
      <c r="A419">
        <f>IFERROR(INDEX('Email Cleaner'!$B$2:$B$10001,MATCH(418,'Email Cleaner'!$J$2:$J$10001,0)),"")</f>
        <v/>
      </c>
    </row>
    <row r="420">
      <c r="A420">
        <f>IFERROR(INDEX('Email Cleaner'!$B$2:$B$10001,MATCH(419,'Email Cleaner'!$J$2:$J$10001,0)),"")</f>
        <v/>
      </c>
    </row>
    <row r="421">
      <c r="A421">
        <f>IFERROR(INDEX('Email Cleaner'!$B$2:$B$10001,MATCH(420,'Email Cleaner'!$J$2:$J$10001,0)),"")</f>
        <v/>
      </c>
    </row>
    <row r="422">
      <c r="A422">
        <f>IFERROR(INDEX('Email Cleaner'!$B$2:$B$10001,MATCH(421,'Email Cleaner'!$J$2:$J$10001,0)),"")</f>
        <v/>
      </c>
    </row>
    <row r="423">
      <c r="A423">
        <f>IFERROR(INDEX('Email Cleaner'!$B$2:$B$10001,MATCH(422,'Email Cleaner'!$J$2:$J$10001,0)),"")</f>
        <v/>
      </c>
    </row>
    <row r="424">
      <c r="A424">
        <f>IFERROR(INDEX('Email Cleaner'!$B$2:$B$10001,MATCH(423,'Email Cleaner'!$J$2:$J$10001,0)),"")</f>
        <v/>
      </c>
    </row>
    <row r="425">
      <c r="A425">
        <f>IFERROR(INDEX('Email Cleaner'!$B$2:$B$10001,MATCH(424,'Email Cleaner'!$J$2:$J$10001,0)),"")</f>
        <v/>
      </c>
    </row>
    <row r="426">
      <c r="A426">
        <f>IFERROR(INDEX('Email Cleaner'!$B$2:$B$10001,MATCH(425,'Email Cleaner'!$J$2:$J$10001,0)),"")</f>
        <v/>
      </c>
    </row>
    <row r="427">
      <c r="A427">
        <f>IFERROR(INDEX('Email Cleaner'!$B$2:$B$10001,MATCH(426,'Email Cleaner'!$J$2:$J$10001,0)),"")</f>
        <v/>
      </c>
    </row>
    <row r="428">
      <c r="A428">
        <f>IFERROR(INDEX('Email Cleaner'!$B$2:$B$10001,MATCH(427,'Email Cleaner'!$J$2:$J$10001,0)),"")</f>
        <v/>
      </c>
    </row>
    <row r="429">
      <c r="A429">
        <f>IFERROR(INDEX('Email Cleaner'!$B$2:$B$10001,MATCH(428,'Email Cleaner'!$J$2:$J$10001,0)),"")</f>
        <v/>
      </c>
    </row>
    <row r="430">
      <c r="A430">
        <f>IFERROR(INDEX('Email Cleaner'!$B$2:$B$10001,MATCH(429,'Email Cleaner'!$J$2:$J$10001,0)),"")</f>
        <v/>
      </c>
    </row>
    <row r="431">
      <c r="A431">
        <f>IFERROR(INDEX('Email Cleaner'!$B$2:$B$10001,MATCH(430,'Email Cleaner'!$J$2:$J$10001,0)),"")</f>
        <v/>
      </c>
    </row>
    <row r="432">
      <c r="A432">
        <f>IFERROR(INDEX('Email Cleaner'!$B$2:$B$10001,MATCH(431,'Email Cleaner'!$J$2:$J$10001,0)),"")</f>
        <v/>
      </c>
    </row>
    <row r="433">
      <c r="A433">
        <f>IFERROR(INDEX('Email Cleaner'!$B$2:$B$10001,MATCH(432,'Email Cleaner'!$J$2:$J$10001,0)),"")</f>
        <v/>
      </c>
    </row>
    <row r="434">
      <c r="A434">
        <f>IFERROR(INDEX('Email Cleaner'!$B$2:$B$10001,MATCH(433,'Email Cleaner'!$J$2:$J$10001,0)),"")</f>
        <v/>
      </c>
    </row>
    <row r="435">
      <c r="A435">
        <f>IFERROR(INDEX('Email Cleaner'!$B$2:$B$10001,MATCH(434,'Email Cleaner'!$J$2:$J$10001,0)),"")</f>
        <v/>
      </c>
    </row>
    <row r="436">
      <c r="A436">
        <f>IFERROR(INDEX('Email Cleaner'!$B$2:$B$10001,MATCH(435,'Email Cleaner'!$J$2:$J$10001,0)),"")</f>
        <v/>
      </c>
    </row>
    <row r="437">
      <c r="A437">
        <f>IFERROR(INDEX('Email Cleaner'!$B$2:$B$10001,MATCH(436,'Email Cleaner'!$J$2:$J$10001,0)),"")</f>
        <v/>
      </c>
    </row>
    <row r="438">
      <c r="A438">
        <f>IFERROR(INDEX('Email Cleaner'!$B$2:$B$10001,MATCH(437,'Email Cleaner'!$J$2:$J$10001,0)),"")</f>
        <v/>
      </c>
    </row>
    <row r="439">
      <c r="A439">
        <f>IFERROR(INDEX('Email Cleaner'!$B$2:$B$10001,MATCH(438,'Email Cleaner'!$J$2:$J$10001,0)),"")</f>
        <v/>
      </c>
    </row>
    <row r="440">
      <c r="A440">
        <f>IFERROR(INDEX('Email Cleaner'!$B$2:$B$10001,MATCH(439,'Email Cleaner'!$J$2:$J$10001,0)),"")</f>
        <v/>
      </c>
    </row>
    <row r="441">
      <c r="A441">
        <f>IFERROR(INDEX('Email Cleaner'!$B$2:$B$10001,MATCH(440,'Email Cleaner'!$J$2:$J$10001,0)),"")</f>
        <v/>
      </c>
    </row>
    <row r="442">
      <c r="A442">
        <f>IFERROR(INDEX('Email Cleaner'!$B$2:$B$10001,MATCH(441,'Email Cleaner'!$J$2:$J$10001,0)),"")</f>
        <v/>
      </c>
    </row>
    <row r="443">
      <c r="A443">
        <f>IFERROR(INDEX('Email Cleaner'!$B$2:$B$10001,MATCH(442,'Email Cleaner'!$J$2:$J$10001,0)),"")</f>
        <v/>
      </c>
    </row>
    <row r="444">
      <c r="A444">
        <f>IFERROR(INDEX('Email Cleaner'!$B$2:$B$10001,MATCH(443,'Email Cleaner'!$J$2:$J$10001,0)),"")</f>
        <v/>
      </c>
    </row>
    <row r="445">
      <c r="A445">
        <f>IFERROR(INDEX('Email Cleaner'!$B$2:$B$10001,MATCH(444,'Email Cleaner'!$J$2:$J$10001,0)),"")</f>
        <v/>
      </c>
    </row>
    <row r="446">
      <c r="A446">
        <f>IFERROR(INDEX('Email Cleaner'!$B$2:$B$10001,MATCH(445,'Email Cleaner'!$J$2:$J$10001,0)),"")</f>
        <v/>
      </c>
    </row>
    <row r="447">
      <c r="A447">
        <f>IFERROR(INDEX('Email Cleaner'!$B$2:$B$10001,MATCH(446,'Email Cleaner'!$J$2:$J$10001,0)),"")</f>
        <v/>
      </c>
    </row>
    <row r="448">
      <c r="A448">
        <f>IFERROR(INDEX('Email Cleaner'!$B$2:$B$10001,MATCH(447,'Email Cleaner'!$J$2:$J$10001,0)),"")</f>
        <v/>
      </c>
    </row>
    <row r="449">
      <c r="A449">
        <f>IFERROR(INDEX('Email Cleaner'!$B$2:$B$10001,MATCH(448,'Email Cleaner'!$J$2:$J$10001,0)),"")</f>
        <v/>
      </c>
    </row>
    <row r="450">
      <c r="A450">
        <f>IFERROR(INDEX('Email Cleaner'!$B$2:$B$10001,MATCH(449,'Email Cleaner'!$J$2:$J$10001,0)),"")</f>
        <v/>
      </c>
    </row>
    <row r="451">
      <c r="A451">
        <f>IFERROR(INDEX('Email Cleaner'!$B$2:$B$10001,MATCH(450,'Email Cleaner'!$J$2:$J$10001,0)),"")</f>
        <v/>
      </c>
    </row>
    <row r="452">
      <c r="A452">
        <f>IFERROR(INDEX('Email Cleaner'!$B$2:$B$10001,MATCH(451,'Email Cleaner'!$J$2:$J$10001,0)),"")</f>
        <v/>
      </c>
    </row>
    <row r="453">
      <c r="A453">
        <f>IFERROR(INDEX('Email Cleaner'!$B$2:$B$10001,MATCH(452,'Email Cleaner'!$J$2:$J$10001,0)),"")</f>
        <v/>
      </c>
    </row>
    <row r="454">
      <c r="A454">
        <f>IFERROR(INDEX('Email Cleaner'!$B$2:$B$10001,MATCH(453,'Email Cleaner'!$J$2:$J$10001,0)),"")</f>
        <v/>
      </c>
    </row>
    <row r="455">
      <c r="A455">
        <f>IFERROR(INDEX('Email Cleaner'!$B$2:$B$10001,MATCH(454,'Email Cleaner'!$J$2:$J$10001,0)),"")</f>
        <v/>
      </c>
    </row>
    <row r="456">
      <c r="A456">
        <f>IFERROR(INDEX('Email Cleaner'!$B$2:$B$10001,MATCH(455,'Email Cleaner'!$J$2:$J$10001,0)),"")</f>
        <v/>
      </c>
    </row>
    <row r="457">
      <c r="A457">
        <f>IFERROR(INDEX('Email Cleaner'!$B$2:$B$10001,MATCH(456,'Email Cleaner'!$J$2:$J$10001,0)),"")</f>
        <v/>
      </c>
    </row>
    <row r="458">
      <c r="A458">
        <f>IFERROR(INDEX('Email Cleaner'!$B$2:$B$10001,MATCH(457,'Email Cleaner'!$J$2:$J$10001,0)),"")</f>
        <v/>
      </c>
    </row>
    <row r="459">
      <c r="A459">
        <f>IFERROR(INDEX('Email Cleaner'!$B$2:$B$10001,MATCH(458,'Email Cleaner'!$J$2:$J$10001,0)),"")</f>
        <v/>
      </c>
    </row>
    <row r="460">
      <c r="A460">
        <f>IFERROR(INDEX('Email Cleaner'!$B$2:$B$10001,MATCH(459,'Email Cleaner'!$J$2:$J$10001,0)),"")</f>
        <v/>
      </c>
    </row>
    <row r="461">
      <c r="A461">
        <f>IFERROR(INDEX('Email Cleaner'!$B$2:$B$10001,MATCH(460,'Email Cleaner'!$J$2:$J$10001,0)),"")</f>
        <v/>
      </c>
    </row>
    <row r="462">
      <c r="A462">
        <f>IFERROR(INDEX('Email Cleaner'!$B$2:$B$10001,MATCH(461,'Email Cleaner'!$J$2:$J$10001,0)),"")</f>
        <v/>
      </c>
    </row>
    <row r="463">
      <c r="A463">
        <f>IFERROR(INDEX('Email Cleaner'!$B$2:$B$10001,MATCH(462,'Email Cleaner'!$J$2:$J$10001,0)),"")</f>
        <v/>
      </c>
    </row>
    <row r="464">
      <c r="A464">
        <f>IFERROR(INDEX('Email Cleaner'!$B$2:$B$10001,MATCH(463,'Email Cleaner'!$J$2:$J$10001,0)),"")</f>
        <v/>
      </c>
    </row>
    <row r="465">
      <c r="A465">
        <f>IFERROR(INDEX('Email Cleaner'!$B$2:$B$10001,MATCH(464,'Email Cleaner'!$J$2:$J$10001,0)),"")</f>
        <v/>
      </c>
    </row>
    <row r="466">
      <c r="A466">
        <f>IFERROR(INDEX('Email Cleaner'!$B$2:$B$10001,MATCH(465,'Email Cleaner'!$J$2:$J$10001,0)),"")</f>
        <v/>
      </c>
    </row>
    <row r="467">
      <c r="A467">
        <f>IFERROR(INDEX('Email Cleaner'!$B$2:$B$10001,MATCH(466,'Email Cleaner'!$J$2:$J$10001,0)),"")</f>
        <v/>
      </c>
    </row>
    <row r="468">
      <c r="A468">
        <f>IFERROR(INDEX('Email Cleaner'!$B$2:$B$10001,MATCH(467,'Email Cleaner'!$J$2:$J$10001,0)),"")</f>
        <v/>
      </c>
    </row>
    <row r="469">
      <c r="A469">
        <f>IFERROR(INDEX('Email Cleaner'!$B$2:$B$10001,MATCH(468,'Email Cleaner'!$J$2:$J$10001,0)),"")</f>
        <v/>
      </c>
    </row>
    <row r="470">
      <c r="A470">
        <f>IFERROR(INDEX('Email Cleaner'!$B$2:$B$10001,MATCH(469,'Email Cleaner'!$J$2:$J$10001,0)),"")</f>
        <v/>
      </c>
    </row>
    <row r="471">
      <c r="A471">
        <f>IFERROR(INDEX('Email Cleaner'!$B$2:$B$10001,MATCH(470,'Email Cleaner'!$J$2:$J$10001,0)),"")</f>
        <v/>
      </c>
    </row>
    <row r="472">
      <c r="A472">
        <f>IFERROR(INDEX('Email Cleaner'!$B$2:$B$10001,MATCH(471,'Email Cleaner'!$J$2:$J$10001,0)),"")</f>
        <v/>
      </c>
    </row>
    <row r="473">
      <c r="A473">
        <f>IFERROR(INDEX('Email Cleaner'!$B$2:$B$10001,MATCH(472,'Email Cleaner'!$J$2:$J$10001,0)),"")</f>
        <v/>
      </c>
    </row>
    <row r="474">
      <c r="A474">
        <f>IFERROR(INDEX('Email Cleaner'!$B$2:$B$10001,MATCH(473,'Email Cleaner'!$J$2:$J$10001,0)),"")</f>
        <v/>
      </c>
    </row>
    <row r="475">
      <c r="A475">
        <f>IFERROR(INDEX('Email Cleaner'!$B$2:$B$10001,MATCH(474,'Email Cleaner'!$J$2:$J$10001,0)),"")</f>
        <v/>
      </c>
    </row>
    <row r="476">
      <c r="A476">
        <f>IFERROR(INDEX('Email Cleaner'!$B$2:$B$10001,MATCH(475,'Email Cleaner'!$J$2:$J$10001,0)),"")</f>
        <v/>
      </c>
    </row>
    <row r="477">
      <c r="A477">
        <f>IFERROR(INDEX('Email Cleaner'!$B$2:$B$10001,MATCH(476,'Email Cleaner'!$J$2:$J$10001,0)),"")</f>
        <v/>
      </c>
    </row>
    <row r="478">
      <c r="A478">
        <f>IFERROR(INDEX('Email Cleaner'!$B$2:$B$10001,MATCH(477,'Email Cleaner'!$J$2:$J$10001,0)),"")</f>
        <v/>
      </c>
    </row>
    <row r="479">
      <c r="A479">
        <f>IFERROR(INDEX('Email Cleaner'!$B$2:$B$10001,MATCH(478,'Email Cleaner'!$J$2:$J$10001,0)),"")</f>
        <v/>
      </c>
    </row>
    <row r="480">
      <c r="A480">
        <f>IFERROR(INDEX('Email Cleaner'!$B$2:$B$10001,MATCH(479,'Email Cleaner'!$J$2:$J$10001,0)),"")</f>
        <v/>
      </c>
    </row>
    <row r="481">
      <c r="A481">
        <f>IFERROR(INDEX('Email Cleaner'!$B$2:$B$10001,MATCH(480,'Email Cleaner'!$J$2:$J$10001,0)),"")</f>
        <v/>
      </c>
    </row>
    <row r="482">
      <c r="A482">
        <f>IFERROR(INDEX('Email Cleaner'!$B$2:$B$10001,MATCH(481,'Email Cleaner'!$J$2:$J$10001,0)),"")</f>
        <v/>
      </c>
    </row>
    <row r="483">
      <c r="A483">
        <f>IFERROR(INDEX('Email Cleaner'!$B$2:$B$10001,MATCH(482,'Email Cleaner'!$J$2:$J$10001,0)),"")</f>
        <v/>
      </c>
    </row>
    <row r="484">
      <c r="A484">
        <f>IFERROR(INDEX('Email Cleaner'!$B$2:$B$10001,MATCH(483,'Email Cleaner'!$J$2:$J$10001,0)),"")</f>
        <v/>
      </c>
    </row>
    <row r="485">
      <c r="A485">
        <f>IFERROR(INDEX('Email Cleaner'!$B$2:$B$10001,MATCH(484,'Email Cleaner'!$J$2:$J$10001,0)),"")</f>
        <v/>
      </c>
    </row>
    <row r="486">
      <c r="A486">
        <f>IFERROR(INDEX('Email Cleaner'!$B$2:$B$10001,MATCH(485,'Email Cleaner'!$J$2:$J$10001,0)),"")</f>
        <v/>
      </c>
    </row>
    <row r="487">
      <c r="A487">
        <f>IFERROR(INDEX('Email Cleaner'!$B$2:$B$10001,MATCH(486,'Email Cleaner'!$J$2:$J$10001,0)),"")</f>
        <v/>
      </c>
    </row>
    <row r="488">
      <c r="A488">
        <f>IFERROR(INDEX('Email Cleaner'!$B$2:$B$10001,MATCH(487,'Email Cleaner'!$J$2:$J$10001,0)),"")</f>
        <v/>
      </c>
    </row>
    <row r="489">
      <c r="A489">
        <f>IFERROR(INDEX('Email Cleaner'!$B$2:$B$10001,MATCH(488,'Email Cleaner'!$J$2:$J$10001,0)),"")</f>
        <v/>
      </c>
    </row>
    <row r="490">
      <c r="A490">
        <f>IFERROR(INDEX('Email Cleaner'!$B$2:$B$10001,MATCH(489,'Email Cleaner'!$J$2:$J$10001,0)),"")</f>
        <v/>
      </c>
    </row>
    <row r="491">
      <c r="A491">
        <f>IFERROR(INDEX('Email Cleaner'!$B$2:$B$10001,MATCH(490,'Email Cleaner'!$J$2:$J$10001,0)),"")</f>
        <v/>
      </c>
    </row>
    <row r="492">
      <c r="A492">
        <f>IFERROR(INDEX('Email Cleaner'!$B$2:$B$10001,MATCH(491,'Email Cleaner'!$J$2:$J$10001,0)),"")</f>
        <v/>
      </c>
    </row>
    <row r="493">
      <c r="A493">
        <f>IFERROR(INDEX('Email Cleaner'!$B$2:$B$10001,MATCH(492,'Email Cleaner'!$J$2:$J$10001,0)),"")</f>
        <v/>
      </c>
    </row>
    <row r="494">
      <c r="A494">
        <f>IFERROR(INDEX('Email Cleaner'!$B$2:$B$10001,MATCH(493,'Email Cleaner'!$J$2:$J$10001,0)),"")</f>
        <v/>
      </c>
    </row>
    <row r="495">
      <c r="A495">
        <f>IFERROR(INDEX('Email Cleaner'!$B$2:$B$10001,MATCH(494,'Email Cleaner'!$J$2:$J$10001,0)),"")</f>
        <v/>
      </c>
    </row>
    <row r="496">
      <c r="A496">
        <f>IFERROR(INDEX('Email Cleaner'!$B$2:$B$10001,MATCH(495,'Email Cleaner'!$J$2:$J$10001,0)),"")</f>
        <v/>
      </c>
    </row>
    <row r="497">
      <c r="A497">
        <f>IFERROR(INDEX('Email Cleaner'!$B$2:$B$10001,MATCH(496,'Email Cleaner'!$J$2:$J$10001,0)),"")</f>
        <v/>
      </c>
    </row>
    <row r="498">
      <c r="A498">
        <f>IFERROR(INDEX('Email Cleaner'!$B$2:$B$10001,MATCH(497,'Email Cleaner'!$J$2:$J$10001,0)),"")</f>
        <v/>
      </c>
    </row>
    <row r="499">
      <c r="A499">
        <f>IFERROR(INDEX('Email Cleaner'!$B$2:$B$10001,MATCH(498,'Email Cleaner'!$J$2:$J$10001,0)),"")</f>
        <v/>
      </c>
    </row>
    <row r="500">
      <c r="A500">
        <f>IFERROR(INDEX('Email Cleaner'!$B$2:$B$10001,MATCH(499,'Email Cleaner'!$J$2:$J$10001,0)),"")</f>
        <v/>
      </c>
    </row>
    <row r="501">
      <c r="A501">
        <f>IFERROR(INDEX('Email Cleaner'!$B$2:$B$10001,MATCH(500,'Email Cleaner'!$J$2:$J$10001,0)),"")</f>
        <v/>
      </c>
    </row>
    <row r="502">
      <c r="A502">
        <f>IFERROR(INDEX('Email Cleaner'!$B$2:$B$10001,MATCH(501,'Email Cleaner'!$J$2:$J$10001,0)),"")</f>
        <v/>
      </c>
    </row>
    <row r="503">
      <c r="A503">
        <f>IFERROR(INDEX('Email Cleaner'!$B$2:$B$10001,MATCH(502,'Email Cleaner'!$J$2:$J$10001,0)),"")</f>
        <v/>
      </c>
    </row>
    <row r="504">
      <c r="A504">
        <f>IFERROR(INDEX('Email Cleaner'!$B$2:$B$10001,MATCH(503,'Email Cleaner'!$J$2:$J$10001,0)),"")</f>
        <v/>
      </c>
    </row>
    <row r="505">
      <c r="A505">
        <f>IFERROR(INDEX('Email Cleaner'!$B$2:$B$10001,MATCH(504,'Email Cleaner'!$J$2:$J$10001,0)),"")</f>
        <v/>
      </c>
    </row>
    <row r="506">
      <c r="A506">
        <f>IFERROR(INDEX('Email Cleaner'!$B$2:$B$10001,MATCH(505,'Email Cleaner'!$J$2:$J$10001,0)),"")</f>
        <v/>
      </c>
    </row>
    <row r="507">
      <c r="A507">
        <f>IFERROR(INDEX('Email Cleaner'!$B$2:$B$10001,MATCH(506,'Email Cleaner'!$J$2:$J$10001,0)),"")</f>
        <v/>
      </c>
    </row>
    <row r="508">
      <c r="A508">
        <f>IFERROR(INDEX('Email Cleaner'!$B$2:$B$10001,MATCH(507,'Email Cleaner'!$J$2:$J$10001,0)),"")</f>
        <v/>
      </c>
    </row>
    <row r="509">
      <c r="A509">
        <f>IFERROR(INDEX('Email Cleaner'!$B$2:$B$10001,MATCH(508,'Email Cleaner'!$J$2:$J$10001,0)),"")</f>
        <v/>
      </c>
    </row>
    <row r="510">
      <c r="A510">
        <f>IFERROR(INDEX('Email Cleaner'!$B$2:$B$10001,MATCH(509,'Email Cleaner'!$J$2:$J$10001,0)),"")</f>
        <v/>
      </c>
    </row>
    <row r="511">
      <c r="A511">
        <f>IFERROR(INDEX('Email Cleaner'!$B$2:$B$10001,MATCH(510,'Email Cleaner'!$J$2:$J$10001,0)),"")</f>
        <v/>
      </c>
    </row>
    <row r="512">
      <c r="A512">
        <f>IFERROR(INDEX('Email Cleaner'!$B$2:$B$10001,MATCH(511,'Email Cleaner'!$J$2:$J$10001,0)),"")</f>
        <v/>
      </c>
    </row>
    <row r="513">
      <c r="A513">
        <f>IFERROR(INDEX('Email Cleaner'!$B$2:$B$10001,MATCH(512,'Email Cleaner'!$J$2:$J$10001,0)),"")</f>
        <v/>
      </c>
    </row>
    <row r="514">
      <c r="A514">
        <f>IFERROR(INDEX('Email Cleaner'!$B$2:$B$10001,MATCH(513,'Email Cleaner'!$J$2:$J$10001,0)),"")</f>
        <v/>
      </c>
    </row>
    <row r="515">
      <c r="A515">
        <f>IFERROR(INDEX('Email Cleaner'!$B$2:$B$10001,MATCH(514,'Email Cleaner'!$J$2:$J$10001,0)),"")</f>
        <v/>
      </c>
    </row>
    <row r="516">
      <c r="A516">
        <f>IFERROR(INDEX('Email Cleaner'!$B$2:$B$10001,MATCH(515,'Email Cleaner'!$J$2:$J$10001,0)),"")</f>
        <v/>
      </c>
    </row>
    <row r="517">
      <c r="A517">
        <f>IFERROR(INDEX('Email Cleaner'!$B$2:$B$10001,MATCH(516,'Email Cleaner'!$J$2:$J$10001,0)),"")</f>
        <v/>
      </c>
    </row>
    <row r="518">
      <c r="A518">
        <f>IFERROR(INDEX('Email Cleaner'!$B$2:$B$10001,MATCH(517,'Email Cleaner'!$J$2:$J$10001,0)),"")</f>
        <v/>
      </c>
    </row>
    <row r="519">
      <c r="A519">
        <f>IFERROR(INDEX('Email Cleaner'!$B$2:$B$10001,MATCH(518,'Email Cleaner'!$J$2:$J$10001,0)),"")</f>
        <v/>
      </c>
    </row>
    <row r="520">
      <c r="A520">
        <f>IFERROR(INDEX('Email Cleaner'!$B$2:$B$10001,MATCH(519,'Email Cleaner'!$J$2:$J$10001,0)),"")</f>
        <v/>
      </c>
    </row>
    <row r="521">
      <c r="A521">
        <f>IFERROR(INDEX('Email Cleaner'!$B$2:$B$10001,MATCH(520,'Email Cleaner'!$J$2:$J$10001,0)),"")</f>
        <v/>
      </c>
    </row>
    <row r="522">
      <c r="A522">
        <f>IFERROR(INDEX('Email Cleaner'!$B$2:$B$10001,MATCH(521,'Email Cleaner'!$J$2:$J$10001,0)),"")</f>
        <v/>
      </c>
    </row>
    <row r="523">
      <c r="A523">
        <f>IFERROR(INDEX('Email Cleaner'!$B$2:$B$10001,MATCH(522,'Email Cleaner'!$J$2:$J$10001,0)),"")</f>
        <v/>
      </c>
    </row>
    <row r="524">
      <c r="A524">
        <f>IFERROR(INDEX('Email Cleaner'!$B$2:$B$10001,MATCH(523,'Email Cleaner'!$J$2:$J$10001,0)),"")</f>
        <v/>
      </c>
    </row>
    <row r="525">
      <c r="A525">
        <f>IFERROR(INDEX('Email Cleaner'!$B$2:$B$10001,MATCH(524,'Email Cleaner'!$J$2:$J$10001,0)),"")</f>
        <v/>
      </c>
    </row>
    <row r="526">
      <c r="A526">
        <f>IFERROR(INDEX('Email Cleaner'!$B$2:$B$10001,MATCH(525,'Email Cleaner'!$J$2:$J$10001,0)),"")</f>
        <v/>
      </c>
    </row>
    <row r="527">
      <c r="A527">
        <f>IFERROR(INDEX('Email Cleaner'!$B$2:$B$10001,MATCH(526,'Email Cleaner'!$J$2:$J$10001,0)),"")</f>
        <v/>
      </c>
    </row>
    <row r="528">
      <c r="A528">
        <f>IFERROR(INDEX('Email Cleaner'!$B$2:$B$10001,MATCH(527,'Email Cleaner'!$J$2:$J$10001,0)),"")</f>
        <v/>
      </c>
    </row>
    <row r="529">
      <c r="A529">
        <f>IFERROR(INDEX('Email Cleaner'!$B$2:$B$10001,MATCH(528,'Email Cleaner'!$J$2:$J$10001,0)),"")</f>
        <v/>
      </c>
    </row>
    <row r="530">
      <c r="A530">
        <f>IFERROR(INDEX('Email Cleaner'!$B$2:$B$10001,MATCH(529,'Email Cleaner'!$J$2:$J$10001,0)),"")</f>
        <v/>
      </c>
    </row>
    <row r="531">
      <c r="A531">
        <f>IFERROR(INDEX('Email Cleaner'!$B$2:$B$10001,MATCH(530,'Email Cleaner'!$J$2:$J$10001,0)),"")</f>
        <v/>
      </c>
    </row>
    <row r="532">
      <c r="A532">
        <f>IFERROR(INDEX('Email Cleaner'!$B$2:$B$10001,MATCH(531,'Email Cleaner'!$J$2:$J$10001,0)),"")</f>
        <v/>
      </c>
    </row>
    <row r="533">
      <c r="A533">
        <f>IFERROR(INDEX('Email Cleaner'!$B$2:$B$10001,MATCH(532,'Email Cleaner'!$J$2:$J$10001,0)),"")</f>
        <v/>
      </c>
    </row>
    <row r="534">
      <c r="A534">
        <f>IFERROR(INDEX('Email Cleaner'!$B$2:$B$10001,MATCH(533,'Email Cleaner'!$J$2:$J$10001,0)),"")</f>
        <v/>
      </c>
    </row>
    <row r="535">
      <c r="A535">
        <f>IFERROR(INDEX('Email Cleaner'!$B$2:$B$10001,MATCH(534,'Email Cleaner'!$J$2:$J$10001,0)),"")</f>
        <v/>
      </c>
    </row>
    <row r="536">
      <c r="A536">
        <f>IFERROR(INDEX('Email Cleaner'!$B$2:$B$10001,MATCH(535,'Email Cleaner'!$J$2:$J$10001,0)),"")</f>
        <v/>
      </c>
    </row>
    <row r="537">
      <c r="A537">
        <f>IFERROR(INDEX('Email Cleaner'!$B$2:$B$10001,MATCH(536,'Email Cleaner'!$J$2:$J$10001,0)),"")</f>
        <v/>
      </c>
    </row>
    <row r="538">
      <c r="A538">
        <f>IFERROR(INDEX('Email Cleaner'!$B$2:$B$10001,MATCH(537,'Email Cleaner'!$J$2:$J$10001,0)),"")</f>
        <v/>
      </c>
    </row>
    <row r="539">
      <c r="A539">
        <f>IFERROR(INDEX('Email Cleaner'!$B$2:$B$10001,MATCH(538,'Email Cleaner'!$J$2:$J$10001,0)),"")</f>
        <v/>
      </c>
    </row>
    <row r="540">
      <c r="A540">
        <f>IFERROR(INDEX('Email Cleaner'!$B$2:$B$10001,MATCH(539,'Email Cleaner'!$J$2:$J$10001,0)),"")</f>
        <v/>
      </c>
    </row>
    <row r="541">
      <c r="A541">
        <f>IFERROR(INDEX('Email Cleaner'!$B$2:$B$10001,MATCH(540,'Email Cleaner'!$J$2:$J$10001,0)),"")</f>
        <v/>
      </c>
    </row>
    <row r="542">
      <c r="A542">
        <f>IFERROR(INDEX('Email Cleaner'!$B$2:$B$10001,MATCH(541,'Email Cleaner'!$J$2:$J$10001,0)),"")</f>
        <v/>
      </c>
    </row>
    <row r="543">
      <c r="A543">
        <f>IFERROR(INDEX('Email Cleaner'!$B$2:$B$10001,MATCH(542,'Email Cleaner'!$J$2:$J$10001,0)),"")</f>
        <v/>
      </c>
    </row>
    <row r="544">
      <c r="A544">
        <f>IFERROR(INDEX('Email Cleaner'!$B$2:$B$10001,MATCH(543,'Email Cleaner'!$J$2:$J$10001,0)),"")</f>
        <v/>
      </c>
    </row>
    <row r="545">
      <c r="A545">
        <f>IFERROR(INDEX('Email Cleaner'!$B$2:$B$10001,MATCH(544,'Email Cleaner'!$J$2:$J$10001,0)),"")</f>
        <v/>
      </c>
    </row>
    <row r="546">
      <c r="A546">
        <f>IFERROR(INDEX('Email Cleaner'!$B$2:$B$10001,MATCH(545,'Email Cleaner'!$J$2:$J$10001,0)),"")</f>
        <v/>
      </c>
    </row>
    <row r="547">
      <c r="A547">
        <f>IFERROR(INDEX('Email Cleaner'!$B$2:$B$10001,MATCH(546,'Email Cleaner'!$J$2:$J$10001,0)),"")</f>
        <v/>
      </c>
    </row>
    <row r="548">
      <c r="A548">
        <f>IFERROR(INDEX('Email Cleaner'!$B$2:$B$10001,MATCH(547,'Email Cleaner'!$J$2:$J$10001,0)),"")</f>
        <v/>
      </c>
    </row>
    <row r="549">
      <c r="A549">
        <f>IFERROR(INDEX('Email Cleaner'!$B$2:$B$10001,MATCH(548,'Email Cleaner'!$J$2:$J$10001,0)),"")</f>
        <v/>
      </c>
    </row>
    <row r="550">
      <c r="A550">
        <f>IFERROR(INDEX('Email Cleaner'!$B$2:$B$10001,MATCH(549,'Email Cleaner'!$J$2:$J$10001,0)),"")</f>
        <v/>
      </c>
    </row>
    <row r="551">
      <c r="A551">
        <f>IFERROR(INDEX('Email Cleaner'!$B$2:$B$10001,MATCH(550,'Email Cleaner'!$J$2:$J$10001,0)),"")</f>
        <v/>
      </c>
    </row>
    <row r="552">
      <c r="A552">
        <f>IFERROR(INDEX('Email Cleaner'!$B$2:$B$10001,MATCH(551,'Email Cleaner'!$J$2:$J$10001,0)),"")</f>
        <v/>
      </c>
    </row>
    <row r="553">
      <c r="A553">
        <f>IFERROR(INDEX('Email Cleaner'!$B$2:$B$10001,MATCH(552,'Email Cleaner'!$J$2:$J$10001,0)),"")</f>
        <v/>
      </c>
    </row>
    <row r="554">
      <c r="A554">
        <f>IFERROR(INDEX('Email Cleaner'!$B$2:$B$10001,MATCH(553,'Email Cleaner'!$J$2:$J$10001,0)),"")</f>
        <v/>
      </c>
    </row>
    <row r="555">
      <c r="A555">
        <f>IFERROR(INDEX('Email Cleaner'!$B$2:$B$10001,MATCH(554,'Email Cleaner'!$J$2:$J$10001,0)),"")</f>
        <v/>
      </c>
    </row>
    <row r="556">
      <c r="A556">
        <f>IFERROR(INDEX('Email Cleaner'!$B$2:$B$10001,MATCH(555,'Email Cleaner'!$J$2:$J$10001,0)),"")</f>
        <v/>
      </c>
    </row>
    <row r="557">
      <c r="A557">
        <f>IFERROR(INDEX('Email Cleaner'!$B$2:$B$10001,MATCH(556,'Email Cleaner'!$J$2:$J$10001,0)),"")</f>
        <v/>
      </c>
    </row>
    <row r="558">
      <c r="A558">
        <f>IFERROR(INDEX('Email Cleaner'!$B$2:$B$10001,MATCH(557,'Email Cleaner'!$J$2:$J$10001,0)),"")</f>
        <v/>
      </c>
    </row>
    <row r="559">
      <c r="A559">
        <f>IFERROR(INDEX('Email Cleaner'!$B$2:$B$10001,MATCH(558,'Email Cleaner'!$J$2:$J$10001,0)),"")</f>
        <v/>
      </c>
    </row>
    <row r="560">
      <c r="A560">
        <f>IFERROR(INDEX('Email Cleaner'!$B$2:$B$10001,MATCH(559,'Email Cleaner'!$J$2:$J$10001,0)),"")</f>
        <v/>
      </c>
    </row>
    <row r="561">
      <c r="A561">
        <f>IFERROR(INDEX('Email Cleaner'!$B$2:$B$10001,MATCH(560,'Email Cleaner'!$J$2:$J$10001,0)),"")</f>
        <v/>
      </c>
    </row>
    <row r="562">
      <c r="A562">
        <f>IFERROR(INDEX('Email Cleaner'!$B$2:$B$10001,MATCH(561,'Email Cleaner'!$J$2:$J$10001,0)),"")</f>
        <v/>
      </c>
    </row>
    <row r="563">
      <c r="A563">
        <f>IFERROR(INDEX('Email Cleaner'!$B$2:$B$10001,MATCH(562,'Email Cleaner'!$J$2:$J$10001,0)),"")</f>
        <v/>
      </c>
    </row>
    <row r="564">
      <c r="A564">
        <f>IFERROR(INDEX('Email Cleaner'!$B$2:$B$10001,MATCH(563,'Email Cleaner'!$J$2:$J$10001,0)),"")</f>
        <v/>
      </c>
    </row>
    <row r="565">
      <c r="A565">
        <f>IFERROR(INDEX('Email Cleaner'!$B$2:$B$10001,MATCH(564,'Email Cleaner'!$J$2:$J$10001,0)),"")</f>
        <v/>
      </c>
    </row>
    <row r="566">
      <c r="A566">
        <f>IFERROR(INDEX('Email Cleaner'!$B$2:$B$10001,MATCH(565,'Email Cleaner'!$J$2:$J$10001,0)),"")</f>
        <v/>
      </c>
    </row>
    <row r="567">
      <c r="A567">
        <f>IFERROR(INDEX('Email Cleaner'!$B$2:$B$10001,MATCH(566,'Email Cleaner'!$J$2:$J$10001,0)),"")</f>
        <v/>
      </c>
    </row>
    <row r="568">
      <c r="A568">
        <f>IFERROR(INDEX('Email Cleaner'!$B$2:$B$10001,MATCH(567,'Email Cleaner'!$J$2:$J$10001,0)),"")</f>
        <v/>
      </c>
    </row>
    <row r="569">
      <c r="A569">
        <f>IFERROR(INDEX('Email Cleaner'!$B$2:$B$10001,MATCH(568,'Email Cleaner'!$J$2:$J$10001,0)),"")</f>
        <v/>
      </c>
    </row>
    <row r="570">
      <c r="A570">
        <f>IFERROR(INDEX('Email Cleaner'!$B$2:$B$10001,MATCH(569,'Email Cleaner'!$J$2:$J$10001,0)),"")</f>
        <v/>
      </c>
    </row>
    <row r="571">
      <c r="A571">
        <f>IFERROR(INDEX('Email Cleaner'!$B$2:$B$10001,MATCH(570,'Email Cleaner'!$J$2:$J$10001,0)),"")</f>
        <v/>
      </c>
    </row>
    <row r="572">
      <c r="A572">
        <f>IFERROR(INDEX('Email Cleaner'!$B$2:$B$10001,MATCH(571,'Email Cleaner'!$J$2:$J$10001,0)),"")</f>
        <v/>
      </c>
    </row>
    <row r="573">
      <c r="A573">
        <f>IFERROR(INDEX('Email Cleaner'!$B$2:$B$10001,MATCH(572,'Email Cleaner'!$J$2:$J$10001,0)),"")</f>
        <v/>
      </c>
    </row>
    <row r="574">
      <c r="A574">
        <f>IFERROR(INDEX('Email Cleaner'!$B$2:$B$10001,MATCH(573,'Email Cleaner'!$J$2:$J$10001,0)),"")</f>
        <v/>
      </c>
    </row>
    <row r="575">
      <c r="A575">
        <f>IFERROR(INDEX('Email Cleaner'!$B$2:$B$10001,MATCH(574,'Email Cleaner'!$J$2:$J$10001,0)),"")</f>
        <v/>
      </c>
    </row>
    <row r="576">
      <c r="A576">
        <f>IFERROR(INDEX('Email Cleaner'!$B$2:$B$10001,MATCH(575,'Email Cleaner'!$J$2:$J$10001,0)),"")</f>
        <v/>
      </c>
    </row>
    <row r="577">
      <c r="A577">
        <f>IFERROR(INDEX('Email Cleaner'!$B$2:$B$10001,MATCH(576,'Email Cleaner'!$J$2:$J$10001,0)),"")</f>
        <v/>
      </c>
    </row>
    <row r="578">
      <c r="A578">
        <f>IFERROR(INDEX('Email Cleaner'!$B$2:$B$10001,MATCH(577,'Email Cleaner'!$J$2:$J$10001,0)),"")</f>
        <v/>
      </c>
    </row>
    <row r="579">
      <c r="A579">
        <f>IFERROR(INDEX('Email Cleaner'!$B$2:$B$10001,MATCH(578,'Email Cleaner'!$J$2:$J$10001,0)),"")</f>
        <v/>
      </c>
    </row>
    <row r="580">
      <c r="A580">
        <f>IFERROR(INDEX('Email Cleaner'!$B$2:$B$10001,MATCH(579,'Email Cleaner'!$J$2:$J$10001,0)),"")</f>
        <v/>
      </c>
    </row>
    <row r="581">
      <c r="A581">
        <f>IFERROR(INDEX('Email Cleaner'!$B$2:$B$10001,MATCH(580,'Email Cleaner'!$J$2:$J$10001,0)),"")</f>
        <v/>
      </c>
    </row>
    <row r="582">
      <c r="A582">
        <f>IFERROR(INDEX('Email Cleaner'!$B$2:$B$10001,MATCH(581,'Email Cleaner'!$J$2:$J$10001,0)),"")</f>
        <v/>
      </c>
    </row>
    <row r="583">
      <c r="A583">
        <f>IFERROR(INDEX('Email Cleaner'!$B$2:$B$10001,MATCH(582,'Email Cleaner'!$J$2:$J$10001,0)),"")</f>
        <v/>
      </c>
    </row>
    <row r="584">
      <c r="A584">
        <f>IFERROR(INDEX('Email Cleaner'!$B$2:$B$10001,MATCH(583,'Email Cleaner'!$J$2:$J$10001,0)),"")</f>
        <v/>
      </c>
    </row>
    <row r="585">
      <c r="A585">
        <f>IFERROR(INDEX('Email Cleaner'!$B$2:$B$10001,MATCH(584,'Email Cleaner'!$J$2:$J$10001,0)),"")</f>
        <v/>
      </c>
    </row>
    <row r="586">
      <c r="A586">
        <f>IFERROR(INDEX('Email Cleaner'!$B$2:$B$10001,MATCH(585,'Email Cleaner'!$J$2:$J$10001,0)),"")</f>
        <v/>
      </c>
    </row>
    <row r="587">
      <c r="A587">
        <f>IFERROR(INDEX('Email Cleaner'!$B$2:$B$10001,MATCH(586,'Email Cleaner'!$J$2:$J$10001,0)),"")</f>
        <v/>
      </c>
    </row>
    <row r="588">
      <c r="A588">
        <f>IFERROR(INDEX('Email Cleaner'!$B$2:$B$10001,MATCH(587,'Email Cleaner'!$J$2:$J$10001,0)),"")</f>
        <v/>
      </c>
    </row>
    <row r="589">
      <c r="A589">
        <f>IFERROR(INDEX('Email Cleaner'!$B$2:$B$10001,MATCH(588,'Email Cleaner'!$J$2:$J$10001,0)),"")</f>
        <v/>
      </c>
    </row>
    <row r="590">
      <c r="A590">
        <f>IFERROR(INDEX('Email Cleaner'!$B$2:$B$10001,MATCH(589,'Email Cleaner'!$J$2:$J$10001,0)),"")</f>
        <v/>
      </c>
    </row>
    <row r="591">
      <c r="A591">
        <f>IFERROR(INDEX('Email Cleaner'!$B$2:$B$10001,MATCH(590,'Email Cleaner'!$J$2:$J$10001,0)),"")</f>
        <v/>
      </c>
    </row>
    <row r="592">
      <c r="A592">
        <f>IFERROR(INDEX('Email Cleaner'!$B$2:$B$10001,MATCH(591,'Email Cleaner'!$J$2:$J$10001,0)),"")</f>
        <v/>
      </c>
    </row>
    <row r="593">
      <c r="A593">
        <f>IFERROR(INDEX('Email Cleaner'!$B$2:$B$10001,MATCH(592,'Email Cleaner'!$J$2:$J$10001,0)),"")</f>
        <v/>
      </c>
    </row>
    <row r="594">
      <c r="A594">
        <f>IFERROR(INDEX('Email Cleaner'!$B$2:$B$10001,MATCH(593,'Email Cleaner'!$J$2:$J$10001,0)),"")</f>
        <v/>
      </c>
    </row>
    <row r="595">
      <c r="A595">
        <f>IFERROR(INDEX('Email Cleaner'!$B$2:$B$10001,MATCH(594,'Email Cleaner'!$J$2:$J$10001,0)),"")</f>
        <v/>
      </c>
    </row>
    <row r="596">
      <c r="A596">
        <f>IFERROR(INDEX('Email Cleaner'!$B$2:$B$10001,MATCH(595,'Email Cleaner'!$J$2:$J$10001,0)),"")</f>
        <v/>
      </c>
    </row>
    <row r="597">
      <c r="A597">
        <f>IFERROR(INDEX('Email Cleaner'!$B$2:$B$10001,MATCH(596,'Email Cleaner'!$J$2:$J$10001,0)),"")</f>
        <v/>
      </c>
    </row>
    <row r="598">
      <c r="A598">
        <f>IFERROR(INDEX('Email Cleaner'!$B$2:$B$10001,MATCH(597,'Email Cleaner'!$J$2:$J$10001,0)),"")</f>
        <v/>
      </c>
    </row>
    <row r="599">
      <c r="A599">
        <f>IFERROR(INDEX('Email Cleaner'!$B$2:$B$10001,MATCH(598,'Email Cleaner'!$J$2:$J$10001,0)),"")</f>
        <v/>
      </c>
    </row>
    <row r="600">
      <c r="A600">
        <f>IFERROR(INDEX('Email Cleaner'!$B$2:$B$10001,MATCH(599,'Email Cleaner'!$J$2:$J$10001,0)),"")</f>
        <v/>
      </c>
    </row>
    <row r="601">
      <c r="A601">
        <f>IFERROR(INDEX('Email Cleaner'!$B$2:$B$10001,MATCH(600,'Email Cleaner'!$J$2:$J$10001,0)),"")</f>
        <v/>
      </c>
    </row>
    <row r="602">
      <c r="A602">
        <f>IFERROR(INDEX('Email Cleaner'!$B$2:$B$10001,MATCH(601,'Email Cleaner'!$J$2:$J$10001,0)),"")</f>
        <v/>
      </c>
    </row>
    <row r="603">
      <c r="A603">
        <f>IFERROR(INDEX('Email Cleaner'!$B$2:$B$10001,MATCH(602,'Email Cleaner'!$J$2:$J$10001,0)),"")</f>
        <v/>
      </c>
    </row>
    <row r="604">
      <c r="A604">
        <f>IFERROR(INDEX('Email Cleaner'!$B$2:$B$10001,MATCH(603,'Email Cleaner'!$J$2:$J$10001,0)),"")</f>
        <v/>
      </c>
    </row>
    <row r="605">
      <c r="A605">
        <f>IFERROR(INDEX('Email Cleaner'!$B$2:$B$10001,MATCH(604,'Email Cleaner'!$J$2:$J$10001,0)),"")</f>
        <v/>
      </c>
    </row>
    <row r="606">
      <c r="A606">
        <f>IFERROR(INDEX('Email Cleaner'!$B$2:$B$10001,MATCH(605,'Email Cleaner'!$J$2:$J$10001,0)),"")</f>
        <v/>
      </c>
    </row>
    <row r="607">
      <c r="A607">
        <f>IFERROR(INDEX('Email Cleaner'!$B$2:$B$10001,MATCH(606,'Email Cleaner'!$J$2:$J$10001,0)),"")</f>
        <v/>
      </c>
    </row>
    <row r="608">
      <c r="A608">
        <f>IFERROR(INDEX('Email Cleaner'!$B$2:$B$10001,MATCH(607,'Email Cleaner'!$J$2:$J$10001,0)),"")</f>
        <v/>
      </c>
    </row>
    <row r="609">
      <c r="A609">
        <f>IFERROR(INDEX('Email Cleaner'!$B$2:$B$10001,MATCH(608,'Email Cleaner'!$J$2:$J$10001,0)),"")</f>
        <v/>
      </c>
    </row>
    <row r="610">
      <c r="A610">
        <f>IFERROR(INDEX('Email Cleaner'!$B$2:$B$10001,MATCH(609,'Email Cleaner'!$J$2:$J$10001,0)),"")</f>
        <v/>
      </c>
    </row>
    <row r="611">
      <c r="A611">
        <f>IFERROR(INDEX('Email Cleaner'!$B$2:$B$10001,MATCH(610,'Email Cleaner'!$J$2:$J$10001,0)),"")</f>
        <v/>
      </c>
    </row>
    <row r="612">
      <c r="A612">
        <f>IFERROR(INDEX('Email Cleaner'!$B$2:$B$10001,MATCH(611,'Email Cleaner'!$J$2:$J$10001,0)),"")</f>
        <v/>
      </c>
    </row>
    <row r="613">
      <c r="A613">
        <f>IFERROR(INDEX('Email Cleaner'!$B$2:$B$10001,MATCH(612,'Email Cleaner'!$J$2:$J$10001,0)),"")</f>
        <v/>
      </c>
    </row>
    <row r="614">
      <c r="A614">
        <f>IFERROR(INDEX('Email Cleaner'!$B$2:$B$10001,MATCH(613,'Email Cleaner'!$J$2:$J$10001,0)),"")</f>
        <v/>
      </c>
    </row>
    <row r="615">
      <c r="A615">
        <f>IFERROR(INDEX('Email Cleaner'!$B$2:$B$10001,MATCH(614,'Email Cleaner'!$J$2:$J$10001,0)),"")</f>
        <v/>
      </c>
    </row>
    <row r="616">
      <c r="A616">
        <f>IFERROR(INDEX('Email Cleaner'!$B$2:$B$10001,MATCH(615,'Email Cleaner'!$J$2:$J$10001,0)),"")</f>
        <v/>
      </c>
    </row>
    <row r="617">
      <c r="A617">
        <f>IFERROR(INDEX('Email Cleaner'!$B$2:$B$10001,MATCH(616,'Email Cleaner'!$J$2:$J$10001,0)),"")</f>
        <v/>
      </c>
    </row>
    <row r="618">
      <c r="A618">
        <f>IFERROR(INDEX('Email Cleaner'!$B$2:$B$10001,MATCH(617,'Email Cleaner'!$J$2:$J$10001,0)),"")</f>
        <v/>
      </c>
    </row>
    <row r="619">
      <c r="A619">
        <f>IFERROR(INDEX('Email Cleaner'!$B$2:$B$10001,MATCH(618,'Email Cleaner'!$J$2:$J$10001,0)),"")</f>
        <v/>
      </c>
    </row>
    <row r="620">
      <c r="A620">
        <f>IFERROR(INDEX('Email Cleaner'!$B$2:$B$10001,MATCH(619,'Email Cleaner'!$J$2:$J$10001,0)),"")</f>
        <v/>
      </c>
    </row>
    <row r="621">
      <c r="A621">
        <f>IFERROR(INDEX('Email Cleaner'!$B$2:$B$10001,MATCH(620,'Email Cleaner'!$J$2:$J$10001,0)),"")</f>
        <v/>
      </c>
    </row>
    <row r="622">
      <c r="A622">
        <f>IFERROR(INDEX('Email Cleaner'!$B$2:$B$10001,MATCH(621,'Email Cleaner'!$J$2:$J$10001,0)),"")</f>
        <v/>
      </c>
    </row>
    <row r="623">
      <c r="A623">
        <f>IFERROR(INDEX('Email Cleaner'!$B$2:$B$10001,MATCH(622,'Email Cleaner'!$J$2:$J$10001,0)),"")</f>
        <v/>
      </c>
    </row>
    <row r="624">
      <c r="A624">
        <f>IFERROR(INDEX('Email Cleaner'!$B$2:$B$10001,MATCH(623,'Email Cleaner'!$J$2:$J$10001,0)),"")</f>
        <v/>
      </c>
    </row>
    <row r="625">
      <c r="A625">
        <f>IFERROR(INDEX('Email Cleaner'!$B$2:$B$10001,MATCH(624,'Email Cleaner'!$J$2:$J$10001,0)),"")</f>
        <v/>
      </c>
    </row>
    <row r="626">
      <c r="A626">
        <f>IFERROR(INDEX('Email Cleaner'!$B$2:$B$10001,MATCH(625,'Email Cleaner'!$J$2:$J$10001,0)),"")</f>
        <v/>
      </c>
    </row>
    <row r="627">
      <c r="A627">
        <f>IFERROR(INDEX('Email Cleaner'!$B$2:$B$10001,MATCH(626,'Email Cleaner'!$J$2:$J$10001,0)),"")</f>
        <v/>
      </c>
    </row>
    <row r="628">
      <c r="A628">
        <f>IFERROR(INDEX('Email Cleaner'!$B$2:$B$10001,MATCH(627,'Email Cleaner'!$J$2:$J$10001,0)),"")</f>
        <v/>
      </c>
    </row>
    <row r="629">
      <c r="A629">
        <f>IFERROR(INDEX('Email Cleaner'!$B$2:$B$10001,MATCH(628,'Email Cleaner'!$J$2:$J$10001,0)),"")</f>
        <v/>
      </c>
    </row>
    <row r="630">
      <c r="A630">
        <f>IFERROR(INDEX('Email Cleaner'!$B$2:$B$10001,MATCH(629,'Email Cleaner'!$J$2:$J$10001,0)),"")</f>
        <v/>
      </c>
    </row>
    <row r="631">
      <c r="A631">
        <f>IFERROR(INDEX('Email Cleaner'!$B$2:$B$10001,MATCH(630,'Email Cleaner'!$J$2:$J$10001,0)),"")</f>
        <v/>
      </c>
    </row>
    <row r="632">
      <c r="A632">
        <f>IFERROR(INDEX('Email Cleaner'!$B$2:$B$10001,MATCH(631,'Email Cleaner'!$J$2:$J$10001,0)),"")</f>
        <v/>
      </c>
    </row>
    <row r="633">
      <c r="A633">
        <f>IFERROR(INDEX('Email Cleaner'!$B$2:$B$10001,MATCH(632,'Email Cleaner'!$J$2:$J$10001,0)),"")</f>
        <v/>
      </c>
    </row>
    <row r="634">
      <c r="A634">
        <f>IFERROR(INDEX('Email Cleaner'!$B$2:$B$10001,MATCH(633,'Email Cleaner'!$J$2:$J$10001,0)),"")</f>
        <v/>
      </c>
    </row>
    <row r="635">
      <c r="A635">
        <f>IFERROR(INDEX('Email Cleaner'!$B$2:$B$10001,MATCH(634,'Email Cleaner'!$J$2:$J$10001,0)),"")</f>
        <v/>
      </c>
    </row>
    <row r="636">
      <c r="A636">
        <f>IFERROR(INDEX('Email Cleaner'!$B$2:$B$10001,MATCH(635,'Email Cleaner'!$J$2:$J$10001,0)),"")</f>
        <v/>
      </c>
    </row>
    <row r="637">
      <c r="A637">
        <f>IFERROR(INDEX('Email Cleaner'!$B$2:$B$10001,MATCH(636,'Email Cleaner'!$J$2:$J$10001,0)),"")</f>
        <v/>
      </c>
    </row>
    <row r="638">
      <c r="A638">
        <f>IFERROR(INDEX('Email Cleaner'!$B$2:$B$10001,MATCH(637,'Email Cleaner'!$J$2:$J$10001,0)),"")</f>
        <v/>
      </c>
    </row>
    <row r="639">
      <c r="A639">
        <f>IFERROR(INDEX('Email Cleaner'!$B$2:$B$10001,MATCH(638,'Email Cleaner'!$J$2:$J$10001,0)),"")</f>
        <v/>
      </c>
    </row>
    <row r="640">
      <c r="A640">
        <f>IFERROR(INDEX('Email Cleaner'!$B$2:$B$10001,MATCH(639,'Email Cleaner'!$J$2:$J$10001,0)),"")</f>
        <v/>
      </c>
    </row>
    <row r="641">
      <c r="A641">
        <f>IFERROR(INDEX('Email Cleaner'!$B$2:$B$10001,MATCH(640,'Email Cleaner'!$J$2:$J$10001,0)),"")</f>
        <v/>
      </c>
    </row>
    <row r="642">
      <c r="A642">
        <f>IFERROR(INDEX('Email Cleaner'!$B$2:$B$10001,MATCH(641,'Email Cleaner'!$J$2:$J$10001,0)),"")</f>
        <v/>
      </c>
    </row>
    <row r="643">
      <c r="A643">
        <f>IFERROR(INDEX('Email Cleaner'!$B$2:$B$10001,MATCH(642,'Email Cleaner'!$J$2:$J$10001,0)),"")</f>
        <v/>
      </c>
    </row>
    <row r="644">
      <c r="A644">
        <f>IFERROR(INDEX('Email Cleaner'!$B$2:$B$10001,MATCH(643,'Email Cleaner'!$J$2:$J$10001,0)),"")</f>
        <v/>
      </c>
    </row>
    <row r="645">
      <c r="A645">
        <f>IFERROR(INDEX('Email Cleaner'!$B$2:$B$10001,MATCH(644,'Email Cleaner'!$J$2:$J$10001,0)),"")</f>
        <v/>
      </c>
    </row>
    <row r="646">
      <c r="A646">
        <f>IFERROR(INDEX('Email Cleaner'!$B$2:$B$10001,MATCH(645,'Email Cleaner'!$J$2:$J$10001,0)),"")</f>
        <v/>
      </c>
    </row>
    <row r="647">
      <c r="A647">
        <f>IFERROR(INDEX('Email Cleaner'!$B$2:$B$10001,MATCH(646,'Email Cleaner'!$J$2:$J$10001,0)),"")</f>
        <v/>
      </c>
    </row>
    <row r="648">
      <c r="A648">
        <f>IFERROR(INDEX('Email Cleaner'!$B$2:$B$10001,MATCH(647,'Email Cleaner'!$J$2:$J$10001,0)),"")</f>
        <v/>
      </c>
    </row>
    <row r="649">
      <c r="A649">
        <f>IFERROR(INDEX('Email Cleaner'!$B$2:$B$10001,MATCH(648,'Email Cleaner'!$J$2:$J$10001,0)),"")</f>
        <v/>
      </c>
    </row>
    <row r="650">
      <c r="A650">
        <f>IFERROR(INDEX('Email Cleaner'!$B$2:$B$10001,MATCH(649,'Email Cleaner'!$J$2:$J$10001,0)),"")</f>
        <v/>
      </c>
    </row>
    <row r="651">
      <c r="A651">
        <f>IFERROR(INDEX('Email Cleaner'!$B$2:$B$10001,MATCH(650,'Email Cleaner'!$J$2:$J$10001,0)),"")</f>
        <v/>
      </c>
    </row>
    <row r="652">
      <c r="A652">
        <f>IFERROR(INDEX('Email Cleaner'!$B$2:$B$10001,MATCH(651,'Email Cleaner'!$J$2:$J$10001,0)),"")</f>
        <v/>
      </c>
    </row>
    <row r="653">
      <c r="A653">
        <f>IFERROR(INDEX('Email Cleaner'!$B$2:$B$10001,MATCH(652,'Email Cleaner'!$J$2:$J$10001,0)),"")</f>
        <v/>
      </c>
    </row>
    <row r="654">
      <c r="A654">
        <f>IFERROR(INDEX('Email Cleaner'!$B$2:$B$10001,MATCH(653,'Email Cleaner'!$J$2:$J$10001,0)),"")</f>
        <v/>
      </c>
    </row>
    <row r="655">
      <c r="A655">
        <f>IFERROR(INDEX('Email Cleaner'!$B$2:$B$10001,MATCH(654,'Email Cleaner'!$J$2:$J$10001,0)),"")</f>
        <v/>
      </c>
    </row>
    <row r="656">
      <c r="A656">
        <f>IFERROR(INDEX('Email Cleaner'!$B$2:$B$10001,MATCH(655,'Email Cleaner'!$J$2:$J$10001,0)),"")</f>
        <v/>
      </c>
    </row>
    <row r="657">
      <c r="A657">
        <f>IFERROR(INDEX('Email Cleaner'!$B$2:$B$10001,MATCH(656,'Email Cleaner'!$J$2:$J$10001,0)),"")</f>
        <v/>
      </c>
    </row>
    <row r="658">
      <c r="A658">
        <f>IFERROR(INDEX('Email Cleaner'!$B$2:$B$10001,MATCH(657,'Email Cleaner'!$J$2:$J$10001,0)),"")</f>
        <v/>
      </c>
    </row>
    <row r="659">
      <c r="A659">
        <f>IFERROR(INDEX('Email Cleaner'!$B$2:$B$10001,MATCH(658,'Email Cleaner'!$J$2:$J$10001,0)),"")</f>
        <v/>
      </c>
    </row>
    <row r="660">
      <c r="A660">
        <f>IFERROR(INDEX('Email Cleaner'!$B$2:$B$10001,MATCH(659,'Email Cleaner'!$J$2:$J$10001,0)),"")</f>
        <v/>
      </c>
    </row>
    <row r="661">
      <c r="A661">
        <f>IFERROR(INDEX('Email Cleaner'!$B$2:$B$10001,MATCH(660,'Email Cleaner'!$J$2:$J$10001,0)),"")</f>
        <v/>
      </c>
    </row>
    <row r="662">
      <c r="A662">
        <f>IFERROR(INDEX('Email Cleaner'!$B$2:$B$10001,MATCH(661,'Email Cleaner'!$J$2:$J$10001,0)),"")</f>
        <v/>
      </c>
    </row>
    <row r="663">
      <c r="A663">
        <f>IFERROR(INDEX('Email Cleaner'!$B$2:$B$10001,MATCH(662,'Email Cleaner'!$J$2:$J$10001,0)),"")</f>
        <v/>
      </c>
    </row>
    <row r="664">
      <c r="A664">
        <f>IFERROR(INDEX('Email Cleaner'!$B$2:$B$10001,MATCH(663,'Email Cleaner'!$J$2:$J$10001,0)),"")</f>
        <v/>
      </c>
    </row>
    <row r="665">
      <c r="A665">
        <f>IFERROR(INDEX('Email Cleaner'!$B$2:$B$10001,MATCH(664,'Email Cleaner'!$J$2:$J$10001,0)),"")</f>
        <v/>
      </c>
    </row>
    <row r="666">
      <c r="A666">
        <f>IFERROR(INDEX('Email Cleaner'!$B$2:$B$10001,MATCH(665,'Email Cleaner'!$J$2:$J$10001,0)),"")</f>
        <v/>
      </c>
    </row>
    <row r="667">
      <c r="A667">
        <f>IFERROR(INDEX('Email Cleaner'!$B$2:$B$10001,MATCH(666,'Email Cleaner'!$J$2:$J$10001,0)),"")</f>
        <v/>
      </c>
    </row>
    <row r="668">
      <c r="A668">
        <f>IFERROR(INDEX('Email Cleaner'!$B$2:$B$10001,MATCH(667,'Email Cleaner'!$J$2:$J$10001,0)),"")</f>
        <v/>
      </c>
    </row>
    <row r="669">
      <c r="A669">
        <f>IFERROR(INDEX('Email Cleaner'!$B$2:$B$10001,MATCH(668,'Email Cleaner'!$J$2:$J$10001,0)),"")</f>
        <v/>
      </c>
    </row>
    <row r="670">
      <c r="A670">
        <f>IFERROR(INDEX('Email Cleaner'!$B$2:$B$10001,MATCH(669,'Email Cleaner'!$J$2:$J$10001,0)),"")</f>
        <v/>
      </c>
    </row>
    <row r="671">
      <c r="A671">
        <f>IFERROR(INDEX('Email Cleaner'!$B$2:$B$10001,MATCH(670,'Email Cleaner'!$J$2:$J$10001,0)),"")</f>
        <v/>
      </c>
    </row>
    <row r="672">
      <c r="A672">
        <f>IFERROR(INDEX('Email Cleaner'!$B$2:$B$10001,MATCH(671,'Email Cleaner'!$J$2:$J$10001,0)),"")</f>
        <v/>
      </c>
    </row>
    <row r="673">
      <c r="A673">
        <f>IFERROR(INDEX('Email Cleaner'!$B$2:$B$10001,MATCH(672,'Email Cleaner'!$J$2:$J$10001,0)),"")</f>
        <v/>
      </c>
    </row>
    <row r="674">
      <c r="A674">
        <f>IFERROR(INDEX('Email Cleaner'!$B$2:$B$10001,MATCH(673,'Email Cleaner'!$J$2:$J$10001,0)),"")</f>
        <v/>
      </c>
    </row>
    <row r="675">
      <c r="A675">
        <f>IFERROR(INDEX('Email Cleaner'!$B$2:$B$10001,MATCH(674,'Email Cleaner'!$J$2:$J$10001,0)),"")</f>
        <v/>
      </c>
    </row>
    <row r="676">
      <c r="A676">
        <f>IFERROR(INDEX('Email Cleaner'!$B$2:$B$10001,MATCH(675,'Email Cleaner'!$J$2:$J$10001,0)),"")</f>
        <v/>
      </c>
    </row>
    <row r="677">
      <c r="A677">
        <f>IFERROR(INDEX('Email Cleaner'!$B$2:$B$10001,MATCH(676,'Email Cleaner'!$J$2:$J$10001,0)),"")</f>
        <v/>
      </c>
    </row>
    <row r="678">
      <c r="A678">
        <f>IFERROR(INDEX('Email Cleaner'!$B$2:$B$10001,MATCH(677,'Email Cleaner'!$J$2:$J$10001,0)),"")</f>
        <v/>
      </c>
    </row>
    <row r="679">
      <c r="A679">
        <f>IFERROR(INDEX('Email Cleaner'!$B$2:$B$10001,MATCH(678,'Email Cleaner'!$J$2:$J$10001,0)),"")</f>
        <v/>
      </c>
    </row>
    <row r="680">
      <c r="A680">
        <f>IFERROR(INDEX('Email Cleaner'!$B$2:$B$10001,MATCH(679,'Email Cleaner'!$J$2:$J$10001,0)),"")</f>
        <v/>
      </c>
    </row>
    <row r="681">
      <c r="A681">
        <f>IFERROR(INDEX('Email Cleaner'!$B$2:$B$10001,MATCH(680,'Email Cleaner'!$J$2:$J$10001,0)),"")</f>
        <v/>
      </c>
    </row>
    <row r="682">
      <c r="A682">
        <f>IFERROR(INDEX('Email Cleaner'!$B$2:$B$10001,MATCH(681,'Email Cleaner'!$J$2:$J$10001,0)),"")</f>
        <v/>
      </c>
    </row>
    <row r="683">
      <c r="A683">
        <f>IFERROR(INDEX('Email Cleaner'!$B$2:$B$10001,MATCH(682,'Email Cleaner'!$J$2:$J$10001,0)),"")</f>
        <v/>
      </c>
    </row>
    <row r="684">
      <c r="A684">
        <f>IFERROR(INDEX('Email Cleaner'!$B$2:$B$10001,MATCH(683,'Email Cleaner'!$J$2:$J$10001,0)),"")</f>
        <v/>
      </c>
    </row>
    <row r="685">
      <c r="A685">
        <f>IFERROR(INDEX('Email Cleaner'!$B$2:$B$10001,MATCH(684,'Email Cleaner'!$J$2:$J$10001,0)),"")</f>
        <v/>
      </c>
    </row>
    <row r="686">
      <c r="A686">
        <f>IFERROR(INDEX('Email Cleaner'!$B$2:$B$10001,MATCH(685,'Email Cleaner'!$J$2:$J$10001,0)),"")</f>
        <v/>
      </c>
    </row>
    <row r="687">
      <c r="A687">
        <f>IFERROR(INDEX('Email Cleaner'!$B$2:$B$10001,MATCH(686,'Email Cleaner'!$J$2:$J$10001,0)),"")</f>
        <v/>
      </c>
    </row>
    <row r="688">
      <c r="A688">
        <f>IFERROR(INDEX('Email Cleaner'!$B$2:$B$10001,MATCH(687,'Email Cleaner'!$J$2:$J$10001,0)),"")</f>
        <v/>
      </c>
    </row>
    <row r="689">
      <c r="A689">
        <f>IFERROR(INDEX('Email Cleaner'!$B$2:$B$10001,MATCH(688,'Email Cleaner'!$J$2:$J$10001,0)),"")</f>
        <v/>
      </c>
    </row>
    <row r="690">
      <c r="A690">
        <f>IFERROR(INDEX('Email Cleaner'!$B$2:$B$10001,MATCH(689,'Email Cleaner'!$J$2:$J$10001,0)),"")</f>
        <v/>
      </c>
    </row>
    <row r="691">
      <c r="A691">
        <f>IFERROR(INDEX('Email Cleaner'!$B$2:$B$10001,MATCH(690,'Email Cleaner'!$J$2:$J$10001,0)),"")</f>
        <v/>
      </c>
    </row>
    <row r="692">
      <c r="A692">
        <f>IFERROR(INDEX('Email Cleaner'!$B$2:$B$10001,MATCH(691,'Email Cleaner'!$J$2:$J$10001,0)),"")</f>
        <v/>
      </c>
    </row>
    <row r="693">
      <c r="A693">
        <f>IFERROR(INDEX('Email Cleaner'!$B$2:$B$10001,MATCH(692,'Email Cleaner'!$J$2:$J$10001,0)),"")</f>
        <v/>
      </c>
    </row>
    <row r="694">
      <c r="A694">
        <f>IFERROR(INDEX('Email Cleaner'!$B$2:$B$10001,MATCH(693,'Email Cleaner'!$J$2:$J$10001,0)),"")</f>
        <v/>
      </c>
    </row>
    <row r="695">
      <c r="A695">
        <f>IFERROR(INDEX('Email Cleaner'!$B$2:$B$10001,MATCH(694,'Email Cleaner'!$J$2:$J$10001,0)),"")</f>
        <v/>
      </c>
    </row>
    <row r="696">
      <c r="A696">
        <f>IFERROR(INDEX('Email Cleaner'!$B$2:$B$10001,MATCH(695,'Email Cleaner'!$J$2:$J$10001,0)),"")</f>
        <v/>
      </c>
    </row>
    <row r="697">
      <c r="A697">
        <f>IFERROR(INDEX('Email Cleaner'!$B$2:$B$10001,MATCH(696,'Email Cleaner'!$J$2:$J$10001,0)),"")</f>
        <v/>
      </c>
    </row>
    <row r="698">
      <c r="A698">
        <f>IFERROR(INDEX('Email Cleaner'!$B$2:$B$10001,MATCH(697,'Email Cleaner'!$J$2:$J$10001,0)),"")</f>
        <v/>
      </c>
    </row>
    <row r="699">
      <c r="A699">
        <f>IFERROR(INDEX('Email Cleaner'!$B$2:$B$10001,MATCH(698,'Email Cleaner'!$J$2:$J$10001,0)),"")</f>
        <v/>
      </c>
    </row>
    <row r="700">
      <c r="A700">
        <f>IFERROR(INDEX('Email Cleaner'!$B$2:$B$10001,MATCH(699,'Email Cleaner'!$J$2:$J$10001,0)),"")</f>
        <v/>
      </c>
    </row>
    <row r="701">
      <c r="A701">
        <f>IFERROR(INDEX('Email Cleaner'!$B$2:$B$10001,MATCH(700,'Email Cleaner'!$J$2:$J$10001,0)),"")</f>
        <v/>
      </c>
    </row>
    <row r="702">
      <c r="A702">
        <f>IFERROR(INDEX('Email Cleaner'!$B$2:$B$10001,MATCH(701,'Email Cleaner'!$J$2:$J$10001,0)),"")</f>
        <v/>
      </c>
    </row>
    <row r="703">
      <c r="A703">
        <f>IFERROR(INDEX('Email Cleaner'!$B$2:$B$10001,MATCH(702,'Email Cleaner'!$J$2:$J$10001,0)),"")</f>
        <v/>
      </c>
    </row>
    <row r="704">
      <c r="A704">
        <f>IFERROR(INDEX('Email Cleaner'!$B$2:$B$10001,MATCH(703,'Email Cleaner'!$J$2:$J$10001,0)),"")</f>
        <v/>
      </c>
    </row>
    <row r="705">
      <c r="A705">
        <f>IFERROR(INDEX('Email Cleaner'!$B$2:$B$10001,MATCH(704,'Email Cleaner'!$J$2:$J$10001,0)),"")</f>
        <v/>
      </c>
    </row>
    <row r="706">
      <c r="A706">
        <f>IFERROR(INDEX('Email Cleaner'!$B$2:$B$10001,MATCH(705,'Email Cleaner'!$J$2:$J$10001,0)),"")</f>
        <v/>
      </c>
    </row>
    <row r="707">
      <c r="A707">
        <f>IFERROR(INDEX('Email Cleaner'!$B$2:$B$10001,MATCH(706,'Email Cleaner'!$J$2:$J$10001,0)),"")</f>
        <v/>
      </c>
    </row>
    <row r="708">
      <c r="A708">
        <f>IFERROR(INDEX('Email Cleaner'!$B$2:$B$10001,MATCH(707,'Email Cleaner'!$J$2:$J$10001,0)),"")</f>
        <v/>
      </c>
    </row>
    <row r="709">
      <c r="A709">
        <f>IFERROR(INDEX('Email Cleaner'!$B$2:$B$10001,MATCH(708,'Email Cleaner'!$J$2:$J$10001,0)),"")</f>
        <v/>
      </c>
    </row>
    <row r="710">
      <c r="A710">
        <f>IFERROR(INDEX('Email Cleaner'!$B$2:$B$10001,MATCH(709,'Email Cleaner'!$J$2:$J$10001,0)),"")</f>
        <v/>
      </c>
    </row>
    <row r="711">
      <c r="A711">
        <f>IFERROR(INDEX('Email Cleaner'!$B$2:$B$10001,MATCH(710,'Email Cleaner'!$J$2:$J$10001,0)),"")</f>
        <v/>
      </c>
    </row>
    <row r="712">
      <c r="A712">
        <f>IFERROR(INDEX('Email Cleaner'!$B$2:$B$10001,MATCH(711,'Email Cleaner'!$J$2:$J$10001,0)),"")</f>
        <v/>
      </c>
    </row>
    <row r="713">
      <c r="A713">
        <f>IFERROR(INDEX('Email Cleaner'!$B$2:$B$10001,MATCH(712,'Email Cleaner'!$J$2:$J$10001,0)),"")</f>
        <v/>
      </c>
    </row>
    <row r="714">
      <c r="A714">
        <f>IFERROR(INDEX('Email Cleaner'!$B$2:$B$10001,MATCH(713,'Email Cleaner'!$J$2:$J$10001,0)),"")</f>
        <v/>
      </c>
    </row>
    <row r="715">
      <c r="A715">
        <f>IFERROR(INDEX('Email Cleaner'!$B$2:$B$10001,MATCH(714,'Email Cleaner'!$J$2:$J$10001,0)),"")</f>
        <v/>
      </c>
    </row>
    <row r="716">
      <c r="A716">
        <f>IFERROR(INDEX('Email Cleaner'!$B$2:$B$10001,MATCH(715,'Email Cleaner'!$J$2:$J$10001,0)),"")</f>
        <v/>
      </c>
    </row>
    <row r="717">
      <c r="A717">
        <f>IFERROR(INDEX('Email Cleaner'!$B$2:$B$10001,MATCH(716,'Email Cleaner'!$J$2:$J$10001,0)),"")</f>
        <v/>
      </c>
    </row>
    <row r="718">
      <c r="A718">
        <f>IFERROR(INDEX('Email Cleaner'!$B$2:$B$10001,MATCH(717,'Email Cleaner'!$J$2:$J$10001,0)),"")</f>
        <v/>
      </c>
    </row>
    <row r="719">
      <c r="A719">
        <f>IFERROR(INDEX('Email Cleaner'!$B$2:$B$10001,MATCH(718,'Email Cleaner'!$J$2:$J$10001,0)),"")</f>
        <v/>
      </c>
    </row>
    <row r="720">
      <c r="A720">
        <f>IFERROR(INDEX('Email Cleaner'!$B$2:$B$10001,MATCH(719,'Email Cleaner'!$J$2:$J$10001,0)),"")</f>
        <v/>
      </c>
    </row>
    <row r="721">
      <c r="A721">
        <f>IFERROR(INDEX('Email Cleaner'!$B$2:$B$10001,MATCH(720,'Email Cleaner'!$J$2:$J$10001,0)),"")</f>
        <v/>
      </c>
    </row>
    <row r="722">
      <c r="A722">
        <f>IFERROR(INDEX('Email Cleaner'!$B$2:$B$10001,MATCH(721,'Email Cleaner'!$J$2:$J$10001,0)),"")</f>
        <v/>
      </c>
    </row>
    <row r="723">
      <c r="A723">
        <f>IFERROR(INDEX('Email Cleaner'!$B$2:$B$10001,MATCH(722,'Email Cleaner'!$J$2:$J$10001,0)),"")</f>
        <v/>
      </c>
    </row>
    <row r="724">
      <c r="A724">
        <f>IFERROR(INDEX('Email Cleaner'!$B$2:$B$10001,MATCH(723,'Email Cleaner'!$J$2:$J$10001,0)),"")</f>
        <v/>
      </c>
    </row>
    <row r="725">
      <c r="A725">
        <f>IFERROR(INDEX('Email Cleaner'!$B$2:$B$10001,MATCH(724,'Email Cleaner'!$J$2:$J$10001,0)),"")</f>
        <v/>
      </c>
    </row>
    <row r="726">
      <c r="A726">
        <f>IFERROR(INDEX('Email Cleaner'!$B$2:$B$10001,MATCH(725,'Email Cleaner'!$J$2:$J$10001,0)),"")</f>
        <v/>
      </c>
    </row>
    <row r="727">
      <c r="A727">
        <f>IFERROR(INDEX('Email Cleaner'!$B$2:$B$10001,MATCH(726,'Email Cleaner'!$J$2:$J$10001,0)),"")</f>
        <v/>
      </c>
    </row>
    <row r="728">
      <c r="A728">
        <f>IFERROR(INDEX('Email Cleaner'!$B$2:$B$10001,MATCH(727,'Email Cleaner'!$J$2:$J$10001,0)),"")</f>
        <v/>
      </c>
    </row>
    <row r="729">
      <c r="A729">
        <f>IFERROR(INDEX('Email Cleaner'!$B$2:$B$10001,MATCH(728,'Email Cleaner'!$J$2:$J$10001,0)),"")</f>
        <v/>
      </c>
    </row>
    <row r="730">
      <c r="A730">
        <f>IFERROR(INDEX('Email Cleaner'!$B$2:$B$10001,MATCH(729,'Email Cleaner'!$J$2:$J$10001,0)),"")</f>
        <v/>
      </c>
    </row>
    <row r="731">
      <c r="A731">
        <f>IFERROR(INDEX('Email Cleaner'!$B$2:$B$10001,MATCH(730,'Email Cleaner'!$J$2:$J$10001,0)),"")</f>
        <v/>
      </c>
    </row>
    <row r="732">
      <c r="A732">
        <f>IFERROR(INDEX('Email Cleaner'!$B$2:$B$10001,MATCH(731,'Email Cleaner'!$J$2:$J$10001,0)),"")</f>
        <v/>
      </c>
    </row>
    <row r="733">
      <c r="A733">
        <f>IFERROR(INDEX('Email Cleaner'!$B$2:$B$10001,MATCH(732,'Email Cleaner'!$J$2:$J$10001,0)),"")</f>
        <v/>
      </c>
    </row>
    <row r="734">
      <c r="A734">
        <f>IFERROR(INDEX('Email Cleaner'!$B$2:$B$10001,MATCH(733,'Email Cleaner'!$J$2:$J$10001,0)),"")</f>
        <v/>
      </c>
    </row>
    <row r="735">
      <c r="A735">
        <f>IFERROR(INDEX('Email Cleaner'!$B$2:$B$10001,MATCH(734,'Email Cleaner'!$J$2:$J$10001,0)),"")</f>
        <v/>
      </c>
    </row>
    <row r="736">
      <c r="A736">
        <f>IFERROR(INDEX('Email Cleaner'!$B$2:$B$10001,MATCH(735,'Email Cleaner'!$J$2:$J$10001,0)),"")</f>
        <v/>
      </c>
    </row>
    <row r="737">
      <c r="A737">
        <f>IFERROR(INDEX('Email Cleaner'!$B$2:$B$10001,MATCH(736,'Email Cleaner'!$J$2:$J$10001,0)),"")</f>
        <v/>
      </c>
    </row>
    <row r="738">
      <c r="A738">
        <f>IFERROR(INDEX('Email Cleaner'!$B$2:$B$10001,MATCH(737,'Email Cleaner'!$J$2:$J$10001,0)),"")</f>
        <v/>
      </c>
    </row>
    <row r="739">
      <c r="A739">
        <f>IFERROR(INDEX('Email Cleaner'!$B$2:$B$10001,MATCH(738,'Email Cleaner'!$J$2:$J$10001,0)),"")</f>
        <v/>
      </c>
    </row>
    <row r="740">
      <c r="A740">
        <f>IFERROR(INDEX('Email Cleaner'!$B$2:$B$10001,MATCH(739,'Email Cleaner'!$J$2:$J$10001,0)),"")</f>
        <v/>
      </c>
    </row>
    <row r="741">
      <c r="A741">
        <f>IFERROR(INDEX('Email Cleaner'!$B$2:$B$10001,MATCH(740,'Email Cleaner'!$J$2:$J$10001,0)),"")</f>
        <v/>
      </c>
    </row>
    <row r="742">
      <c r="A742">
        <f>IFERROR(INDEX('Email Cleaner'!$B$2:$B$10001,MATCH(741,'Email Cleaner'!$J$2:$J$10001,0)),"")</f>
        <v/>
      </c>
    </row>
    <row r="743">
      <c r="A743">
        <f>IFERROR(INDEX('Email Cleaner'!$B$2:$B$10001,MATCH(742,'Email Cleaner'!$J$2:$J$10001,0)),"")</f>
        <v/>
      </c>
    </row>
    <row r="744">
      <c r="A744">
        <f>IFERROR(INDEX('Email Cleaner'!$B$2:$B$10001,MATCH(743,'Email Cleaner'!$J$2:$J$10001,0)),"")</f>
        <v/>
      </c>
    </row>
    <row r="745">
      <c r="A745">
        <f>IFERROR(INDEX('Email Cleaner'!$B$2:$B$10001,MATCH(744,'Email Cleaner'!$J$2:$J$10001,0)),"")</f>
        <v/>
      </c>
    </row>
    <row r="746">
      <c r="A746">
        <f>IFERROR(INDEX('Email Cleaner'!$B$2:$B$10001,MATCH(745,'Email Cleaner'!$J$2:$J$10001,0)),"")</f>
        <v/>
      </c>
    </row>
    <row r="747">
      <c r="A747">
        <f>IFERROR(INDEX('Email Cleaner'!$B$2:$B$10001,MATCH(746,'Email Cleaner'!$J$2:$J$10001,0)),"")</f>
        <v/>
      </c>
    </row>
    <row r="748">
      <c r="A748">
        <f>IFERROR(INDEX('Email Cleaner'!$B$2:$B$10001,MATCH(747,'Email Cleaner'!$J$2:$J$10001,0)),"")</f>
        <v/>
      </c>
    </row>
    <row r="749">
      <c r="A749">
        <f>IFERROR(INDEX('Email Cleaner'!$B$2:$B$10001,MATCH(748,'Email Cleaner'!$J$2:$J$10001,0)),"")</f>
        <v/>
      </c>
    </row>
    <row r="750">
      <c r="A750">
        <f>IFERROR(INDEX('Email Cleaner'!$B$2:$B$10001,MATCH(749,'Email Cleaner'!$J$2:$J$10001,0)),"")</f>
        <v/>
      </c>
    </row>
    <row r="751">
      <c r="A751">
        <f>IFERROR(INDEX('Email Cleaner'!$B$2:$B$10001,MATCH(750,'Email Cleaner'!$J$2:$J$10001,0)),"")</f>
        <v/>
      </c>
    </row>
    <row r="752">
      <c r="A752">
        <f>IFERROR(INDEX('Email Cleaner'!$B$2:$B$10001,MATCH(751,'Email Cleaner'!$J$2:$J$10001,0)),"")</f>
        <v/>
      </c>
    </row>
    <row r="753">
      <c r="A753">
        <f>IFERROR(INDEX('Email Cleaner'!$B$2:$B$10001,MATCH(752,'Email Cleaner'!$J$2:$J$10001,0)),"")</f>
        <v/>
      </c>
    </row>
    <row r="754">
      <c r="A754">
        <f>IFERROR(INDEX('Email Cleaner'!$B$2:$B$10001,MATCH(753,'Email Cleaner'!$J$2:$J$10001,0)),"")</f>
        <v/>
      </c>
    </row>
    <row r="755">
      <c r="A755">
        <f>IFERROR(INDEX('Email Cleaner'!$B$2:$B$10001,MATCH(754,'Email Cleaner'!$J$2:$J$10001,0)),"")</f>
        <v/>
      </c>
    </row>
    <row r="756">
      <c r="A756">
        <f>IFERROR(INDEX('Email Cleaner'!$B$2:$B$10001,MATCH(755,'Email Cleaner'!$J$2:$J$10001,0)),"")</f>
        <v/>
      </c>
    </row>
    <row r="757">
      <c r="A757">
        <f>IFERROR(INDEX('Email Cleaner'!$B$2:$B$10001,MATCH(756,'Email Cleaner'!$J$2:$J$10001,0)),"")</f>
        <v/>
      </c>
    </row>
    <row r="758">
      <c r="A758">
        <f>IFERROR(INDEX('Email Cleaner'!$B$2:$B$10001,MATCH(757,'Email Cleaner'!$J$2:$J$10001,0)),"")</f>
        <v/>
      </c>
    </row>
    <row r="759">
      <c r="A759">
        <f>IFERROR(INDEX('Email Cleaner'!$B$2:$B$10001,MATCH(758,'Email Cleaner'!$J$2:$J$10001,0)),"")</f>
        <v/>
      </c>
    </row>
    <row r="760">
      <c r="A760">
        <f>IFERROR(INDEX('Email Cleaner'!$B$2:$B$10001,MATCH(759,'Email Cleaner'!$J$2:$J$10001,0)),"")</f>
        <v/>
      </c>
    </row>
    <row r="761">
      <c r="A761">
        <f>IFERROR(INDEX('Email Cleaner'!$B$2:$B$10001,MATCH(760,'Email Cleaner'!$J$2:$J$10001,0)),"")</f>
        <v/>
      </c>
    </row>
    <row r="762">
      <c r="A762">
        <f>IFERROR(INDEX('Email Cleaner'!$B$2:$B$10001,MATCH(761,'Email Cleaner'!$J$2:$J$10001,0)),"")</f>
        <v/>
      </c>
    </row>
    <row r="763">
      <c r="A763">
        <f>IFERROR(INDEX('Email Cleaner'!$B$2:$B$10001,MATCH(762,'Email Cleaner'!$J$2:$J$10001,0)),"")</f>
        <v/>
      </c>
    </row>
    <row r="764">
      <c r="A764">
        <f>IFERROR(INDEX('Email Cleaner'!$B$2:$B$10001,MATCH(763,'Email Cleaner'!$J$2:$J$10001,0)),"")</f>
        <v/>
      </c>
    </row>
    <row r="765">
      <c r="A765">
        <f>IFERROR(INDEX('Email Cleaner'!$B$2:$B$10001,MATCH(764,'Email Cleaner'!$J$2:$J$10001,0)),"")</f>
        <v/>
      </c>
    </row>
    <row r="766">
      <c r="A766">
        <f>IFERROR(INDEX('Email Cleaner'!$B$2:$B$10001,MATCH(765,'Email Cleaner'!$J$2:$J$10001,0)),"")</f>
        <v/>
      </c>
    </row>
    <row r="767">
      <c r="A767">
        <f>IFERROR(INDEX('Email Cleaner'!$B$2:$B$10001,MATCH(766,'Email Cleaner'!$J$2:$J$10001,0)),"")</f>
        <v/>
      </c>
    </row>
    <row r="768">
      <c r="A768">
        <f>IFERROR(INDEX('Email Cleaner'!$B$2:$B$10001,MATCH(767,'Email Cleaner'!$J$2:$J$10001,0)),"")</f>
        <v/>
      </c>
    </row>
    <row r="769">
      <c r="A769">
        <f>IFERROR(INDEX('Email Cleaner'!$B$2:$B$10001,MATCH(768,'Email Cleaner'!$J$2:$J$10001,0)),"")</f>
        <v/>
      </c>
    </row>
    <row r="770">
      <c r="A770">
        <f>IFERROR(INDEX('Email Cleaner'!$B$2:$B$10001,MATCH(769,'Email Cleaner'!$J$2:$J$10001,0)),"")</f>
        <v/>
      </c>
    </row>
    <row r="771">
      <c r="A771">
        <f>IFERROR(INDEX('Email Cleaner'!$B$2:$B$10001,MATCH(770,'Email Cleaner'!$J$2:$J$10001,0)),"")</f>
        <v/>
      </c>
    </row>
    <row r="772">
      <c r="A772">
        <f>IFERROR(INDEX('Email Cleaner'!$B$2:$B$10001,MATCH(771,'Email Cleaner'!$J$2:$J$10001,0)),"")</f>
        <v/>
      </c>
    </row>
    <row r="773">
      <c r="A773">
        <f>IFERROR(INDEX('Email Cleaner'!$B$2:$B$10001,MATCH(772,'Email Cleaner'!$J$2:$J$10001,0)),"")</f>
        <v/>
      </c>
    </row>
    <row r="774">
      <c r="A774">
        <f>IFERROR(INDEX('Email Cleaner'!$B$2:$B$10001,MATCH(773,'Email Cleaner'!$J$2:$J$10001,0)),"")</f>
        <v/>
      </c>
    </row>
    <row r="775">
      <c r="A775">
        <f>IFERROR(INDEX('Email Cleaner'!$B$2:$B$10001,MATCH(774,'Email Cleaner'!$J$2:$J$10001,0)),"")</f>
        <v/>
      </c>
    </row>
    <row r="776">
      <c r="A776">
        <f>IFERROR(INDEX('Email Cleaner'!$B$2:$B$10001,MATCH(775,'Email Cleaner'!$J$2:$J$10001,0)),"")</f>
        <v/>
      </c>
    </row>
    <row r="777">
      <c r="A777">
        <f>IFERROR(INDEX('Email Cleaner'!$B$2:$B$10001,MATCH(776,'Email Cleaner'!$J$2:$J$10001,0)),"")</f>
        <v/>
      </c>
    </row>
    <row r="778">
      <c r="A778">
        <f>IFERROR(INDEX('Email Cleaner'!$B$2:$B$10001,MATCH(777,'Email Cleaner'!$J$2:$J$10001,0)),"")</f>
        <v/>
      </c>
    </row>
    <row r="779">
      <c r="A779">
        <f>IFERROR(INDEX('Email Cleaner'!$B$2:$B$10001,MATCH(778,'Email Cleaner'!$J$2:$J$10001,0)),"")</f>
        <v/>
      </c>
    </row>
    <row r="780">
      <c r="A780">
        <f>IFERROR(INDEX('Email Cleaner'!$B$2:$B$10001,MATCH(779,'Email Cleaner'!$J$2:$J$10001,0)),"")</f>
        <v/>
      </c>
    </row>
    <row r="781">
      <c r="A781">
        <f>IFERROR(INDEX('Email Cleaner'!$B$2:$B$10001,MATCH(780,'Email Cleaner'!$J$2:$J$10001,0)),"")</f>
        <v/>
      </c>
    </row>
    <row r="782">
      <c r="A782">
        <f>IFERROR(INDEX('Email Cleaner'!$B$2:$B$10001,MATCH(781,'Email Cleaner'!$J$2:$J$10001,0)),"")</f>
        <v/>
      </c>
    </row>
    <row r="783">
      <c r="A783">
        <f>IFERROR(INDEX('Email Cleaner'!$B$2:$B$10001,MATCH(782,'Email Cleaner'!$J$2:$J$10001,0)),"")</f>
        <v/>
      </c>
    </row>
    <row r="784">
      <c r="A784">
        <f>IFERROR(INDEX('Email Cleaner'!$B$2:$B$10001,MATCH(783,'Email Cleaner'!$J$2:$J$10001,0)),"")</f>
        <v/>
      </c>
    </row>
    <row r="785">
      <c r="A785">
        <f>IFERROR(INDEX('Email Cleaner'!$B$2:$B$10001,MATCH(784,'Email Cleaner'!$J$2:$J$10001,0)),"")</f>
        <v/>
      </c>
    </row>
    <row r="786">
      <c r="A786">
        <f>IFERROR(INDEX('Email Cleaner'!$B$2:$B$10001,MATCH(785,'Email Cleaner'!$J$2:$J$10001,0)),"")</f>
        <v/>
      </c>
    </row>
    <row r="787">
      <c r="A787">
        <f>IFERROR(INDEX('Email Cleaner'!$B$2:$B$10001,MATCH(786,'Email Cleaner'!$J$2:$J$10001,0)),"")</f>
        <v/>
      </c>
    </row>
    <row r="788">
      <c r="A788">
        <f>IFERROR(INDEX('Email Cleaner'!$B$2:$B$10001,MATCH(787,'Email Cleaner'!$J$2:$J$10001,0)),"")</f>
        <v/>
      </c>
    </row>
    <row r="789">
      <c r="A789">
        <f>IFERROR(INDEX('Email Cleaner'!$B$2:$B$10001,MATCH(788,'Email Cleaner'!$J$2:$J$10001,0)),"")</f>
        <v/>
      </c>
    </row>
    <row r="790">
      <c r="A790">
        <f>IFERROR(INDEX('Email Cleaner'!$B$2:$B$10001,MATCH(789,'Email Cleaner'!$J$2:$J$10001,0)),"")</f>
        <v/>
      </c>
    </row>
    <row r="791">
      <c r="A791">
        <f>IFERROR(INDEX('Email Cleaner'!$B$2:$B$10001,MATCH(790,'Email Cleaner'!$J$2:$J$10001,0)),"")</f>
        <v/>
      </c>
    </row>
    <row r="792">
      <c r="A792">
        <f>IFERROR(INDEX('Email Cleaner'!$B$2:$B$10001,MATCH(791,'Email Cleaner'!$J$2:$J$10001,0)),"")</f>
        <v/>
      </c>
    </row>
    <row r="793">
      <c r="A793">
        <f>IFERROR(INDEX('Email Cleaner'!$B$2:$B$10001,MATCH(792,'Email Cleaner'!$J$2:$J$10001,0)),"")</f>
        <v/>
      </c>
    </row>
    <row r="794">
      <c r="A794">
        <f>IFERROR(INDEX('Email Cleaner'!$B$2:$B$10001,MATCH(793,'Email Cleaner'!$J$2:$J$10001,0)),"")</f>
        <v/>
      </c>
    </row>
    <row r="795">
      <c r="A795">
        <f>IFERROR(INDEX('Email Cleaner'!$B$2:$B$10001,MATCH(794,'Email Cleaner'!$J$2:$J$10001,0)),"")</f>
        <v/>
      </c>
    </row>
    <row r="796">
      <c r="A796">
        <f>IFERROR(INDEX('Email Cleaner'!$B$2:$B$10001,MATCH(795,'Email Cleaner'!$J$2:$J$10001,0)),"")</f>
        <v/>
      </c>
    </row>
    <row r="797">
      <c r="A797">
        <f>IFERROR(INDEX('Email Cleaner'!$B$2:$B$10001,MATCH(796,'Email Cleaner'!$J$2:$J$10001,0)),"")</f>
        <v/>
      </c>
    </row>
    <row r="798">
      <c r="A798">
        <f>IFERROR(INDEX('Email Cleaner'!$B$2:$B$10001,MATCH(797,'Email Cleaner'!$J$2:$J$10001,0)),"")</f>
        <v/>
      </c>
    </row>
    <row r="799">
      <c r="A799">
        <f>IFERROR(INDEX('Email Cleaner'!$B$2:$B$10001,MATCH(798,'Email Cleaner'!$J$2:$J$10001,0)),"")</f>
        <v/>
      </c>
    </row>
    <row r="800">
      <c r="A800">
        <f>IFERROR(INDEX('Email Cleaner'!$B$2:$B$10001,MATCH(799,'Email Cleaner'!$J$2:$J$10001,0)),"")</f>
        <v/>
      </c>
    </row>
    <row r="801">
      <c r="A801">
        <f>IFERROR(INDEX('Email Cleaner'!$B$2:$B$10001,MATCH(800,'Email Cleaner'!$J$2:$J$10001,0)),"")</f>
        <v/>
      </c>
    </row>
    <row r="802">
      <c r="A802">
        <f>IFERROR(INDEX('Email Cleaner'!$B$2:$B$10001,MATCH(801,'Email Cleaner'!$J$2:$J$10001,0)),"")</f>
        <v/>
      </c>
    </row>
    <row r="803">
      <c r="A803">
        <f>IFERROR(INDEX('Email Cleaner'!$B$2:$B$10001,MATCH(802,'Email Cleaner'!$J$2:$J$10001,0)),"")</f>
        <v/>
      </c>
    </row>
    <row r="804">
      <c r="A804">
        <f>IFERROR(INDEX('Email Cleaner'!$B$2:$B$10001,MATCH(803,'Email Cleaner'!$J$2:$J$10001,0)),"")</f>
        <v/>
      </c>
    </row>
    <row r="805">
      <c r="A805">
        <f>IFERROR(INDEX('Email Cleaner'!$B$2:$B$10001,MATCH(804,'Email Cleaner'!$J$2:$J$10001,0)),"")</f>
        <v/>
      </c>
    </row>
    <row r="806">
      <c r="A806">
        <f>IFERROR(INDEX('Email Cleaner'!$B$2:$B$10001,MATCH(805,'Email Cleaner'!$J$2:$J$10001,0)),"")</f>
        <v/>
      </c>
    </row>
    <row r="807">
      <c r="A807">
        <f>IFERROR(INDEX('Email Cleaner'!$B$2:$B$10001,MATCH(806,'Email Cleaner'!$J$2:$J$10001,0)),"")</f>
        <v/>
      </c>
    </row>
    <row r="808">
      <c r="A808">
        <f>IFERROR(INDEX('Email Cleaner'!$B$2:$B$10001,MATCH(807,'Email Cleaner'!$J$2:$J$10001,0)),"")</f>
        <v/>
      </c>
    </row>
    <row r="809">
      <c r="A809">
        <f>IFERROR(INDEX('Email Cleaner'!$B$2:$B$10001,MATCH(808,'Email Cleaner'!$J$2:$J$10001,0)),"")</f>
        <v/>
      </c>
    </row>
    <row r="810">
      <c r="A810">
        <f>IFERROR(INDEX('Email Cleaner'!$B$2:$B$10001,MATCH(809,'Email Cleaner'!$J$2:$J$10001,0)),"")</f>
        <v/>
      </c>
    </row>
    <row r="811">
      <c r="A811">
        <f>IFERROR(INDEX('Email Cleaner'!$B$2:$B$10001,MATCH(810,'Email Cleaner'!$J$2:$J$10001,0)),"")</f>
        <v/>
      </c>
    </row>
    <row r="812">
      <c r="A812">
        <f>IFERROR(INDEX('Email Cleaner'!$B$2:$B$10001,MATCH(811,'Email Cleaner'!$J$2:$J$10001,0)),"")</f>
        <v/>
      </c>
    </row>
    <row r="813">
      <c r="A813">
        <f>IFERROR(INDEX('Email Cleaner'!$B$2:$B$10001,MATCH(812,'Email Cleaner'!$J$2:$J$10001,0)),"")</f>
        <v/>
      </c>
    </row>
    <row r="814">
      <c r="A814">
        <f>IFERROR(INDEX('Email Cleaner'!$B$2:$B$10001,MATCH(813,'Email Cleaner'!$J$2:$J$10001,0)),"")</f>
        <v/>
      </c>
    </row>
    <row r="815">
      <c r="A815">
        <f>IFERROR(INDEX('Email Cleaner'!$B$2:$B$10001,MATCH(814,'Email Cleaner'!$J$2:$J$10001,0)),"")</f>
        <v/>
      </c>
    </row>
    <row r="816">
      <c r="A816">
        <f>IFERROR(INDEX('Email Cleaner'!$B$2:$B$10001,MATCH(815,'Email Cleaner'!$J$2:$J$10001,0)),"")</f>
        <v/>
      </c>
    </row>
    <row r="817">
      <c r="A817">
        <f>IFERROR(INDEX('Email Cleaner'!$B$2:$B$10001,MATCH(816,'Email Cleaner'!$J$2:$J$10001,0)),"")</f>
        <v/>
      </c>
    </row>
    <row r="818">
      <c r="A818">
        <f>IFERROR(INDEX('Email Cleaner'!$B$2:$B$10001,MATCH(817,'Email Cleaner'!$J$2:$J$10001,0)),"")</f>
        <v/>
      </c>
    </row>
    <row r="819">
      <c r="A819">
        <f>IFERROR(INDEX('Email Cleaner'!$B$2:$B$10001,MATCH(818,'Email Cleaner'!$J$2:$J$10001,0)),"")</f>
        <v/>
      </c>
    </row>
    <row r="820">
      <c r="A820">
        <f>IFERROR(INDEX('Email Cleaner'!$B$2:$B$10001,MATCH(819,'Email Cleaner'!$J$2:$J$10001,0)),"")</f>
        <v/>
      </c>
    </row>
    <row r="821">
      <c r="A821">
        <f>IFERROR(INDEX('Email Cleaner'!$B$2:$B$10001,MATCH(820,'Email Cleaner'!$J$2:$J$10001,0)),"")</f>
        <v/>
      </c>
    </row>
    <row r="822">
      <c r="A822">
        <f>IFERROR(INDEX('Email Cleaner'!$B$2:$B$10001,MATCH(821,'Email Cleaner'!$J$2:$J$10001,0)),"")</f>
        <v/>
      </c>
    </row>
    <row r="823">
      <c r="A823">
        <f>IFERROR(INDEX('Email Cleaner'!$B$2:$B$10001,MATCH(822,'Email Cleaner'!$J$2:$J$10001,0)),"")</f>
        <v/>
      </c>
    </row>
    <row r="824">
      <c r="A824">
        <f>IFERROR(INDEX('Email Cleaner'!$B$2:$B$10001,MATCH(823,'Email Cleaner'!$J$2:$J$10001,0)),"")</f>
        <v/>
      </c>
    </row>
    <row r="825">
      <c r="A825">
        <f>IFERROR(INDEX('Email Cleaner'!$B$2:$B$10001,MATCH(824,'Email Cleaner'!$J$2:$J$10001,0)),"")</f>
        <v/>
      </c>
    </row>
    <row r="826">
      <c r="A826">
        <f>IFERROR(INDEX('Email Cleaner'!$B$2:$B$10001,MATCH(825,'Email Cleaner'!$J$2:$J$10001,0)),"")</f>
        <v/>
      </c>
    </row>
    <row r="827">
      <c r="A827">
        <f>IFERROR(INDEX('Email Cleaner'!$B$2:$B$10001,MATCH(826,'Email Cleaner'!$J$2:$J$10001,0)),"")</f>
        <v/>
      </c>
    </row>
    <row r="828">
      <c r="A828">
        <f>IFERROR(INDEX('Email Cleaner'!$B$2:$B$10001,MATCH(827,'Email Cleaner'!$J$2:$J$10001,0)),"")</f>
        <v/>
      </c>
    </row>
    <row r="829">
      <c r="A829">
        <f>IFERROR(INDEX('Email Cleaner'!$B$2:$B$10001,MATCH(828,'Email Cleaner'!$J$2:$J$10001,0)),"")</f>
        <v/>
      </c>
    </row>
    <row r="830">
      <c r="A830">
        <f>IFERROR(INDEX('Email Cleaner'!$B$2:$B$10001,MATCH(829,'Email Cleaner'!$J$2:$J$10001,0)),"")</f>
        <v/>
      </c>
    </row>
    <row r="831">
      <c r="A831">
        <f>IFERROR(INDEX('Email Cleaner'!$B$2:$B$10001,MATCH(830,'Email Cleaner'!$J$2:$J$10001,0)),"")</f>
        <v/>
      </c>
    </row>
    <row r="832">
      <c r="A832">
        <f>IFERROR(INDEX('Email Cleaner'!$B$2:$B$10001,MATCH(831,'Email Cleaner'!$J$2:$J$10001,0)),"")</f>
        <v/>
      </c>
    </row>
    <row r="833">
      <c r="A833">
        <f>IFERROR(INDEX('Email Cleaner'!$B$2:$B$10001,MATCH(832,'Email Cleaner'!$J$2:$J$10001,0)),"")</f>
        <v/>
      </c>
    </row>
    <row r="834">
      <c r="A834">
        <f>IFERROR(INDEX('Email Cleaner'!$B$2:$B$10001,MATCH(833,'Email Cleaner'!$J$2:$J$10001,0)),"")</f>
        <v/>
      </c>
    </row>
    <row r="835">
      <c r="A835">
        <f>IFERROR(INDEX('Email Cleaner'!$B$2:$B$10001,MATCH(834,'Email Cleaner'!$J$2:$J$10001,0)),"")</f>
        <v/>
      </c>
    </row>
    <row r="836">
      <c r="A836">
        <f>IFERROR(INDEX('Email Cleaner'!$B$2:$B$10001,MATCH(835,'Email Cleaner'!$J$2:$J$10001,0)),"")</f>
        <v/>
      </c>
    </row>
    <row r="837">
      <c r="A837">
        <f>IFERROR(INDEX('Email Cleaner'!$B$2:$B$10001,MATCH(836,'Email Cleaner'!$J$2:$J$10001,0)),"")</f>
        <v/>
      </c>
    </row>
    <row r="838">
      <c r="A838">
        <f>IFERROR(INDEX('Email Cleaner'!$B$2:$B$10001,MATCH(837,'Email Cleaner'!$J$2:$J$10001,0)),"")</f>
        <v/>
      </c>
    </row>
    <row r="839">
      <c r="A839">
        <f>IFERROR(INDEX('Email Cleaner'!$B$2:$B$10001,MATCH(838,'Email Cleaner'!$J$2:$J$10001,0)),"")</f>
        <v/>
      </c>
    </row>
    <row r="840">
      <c r="A840">
        <f>IFERROR(INDEX('Email Cleaner'!$B$2:$B$10001,MATCH(839,'Email Cleaner'!$J$2:$J$10001,0)),"")</f>
        <v/>
      </c>
    </row>
    <row r="841">
      <c r="A841">
        <f>IFERROR(INDEX('Email Cleaner'!$B$2:$B$10001,MATCH(840,'Email Cleaner'!$J$2:$J$10001,0)),"")</f>
        <v/>
      </c>
    </row>
    <row r="842">
      <c r="A842">
        <f>IFERROR(INDEX('Email Cleaner'!$B$2:$B$10001,MATCH(841,'Email Cleaner'!$J$2:$J$10001,0)),"")</f>
        <v/>
      </c>
    </row>
    <row r="843">
      <c r="A843">
        <f>IFERROR(INDEX('Email Cleaner'!$B$2:$B$10001,MATCH(842,'Email Cleaner'!$J$2:$J$10001,0)),"")</f>
        <v/>
      </c>
    </row>
    <row r="844">
      <c r="A844">
        <f>IFERROR(INDEX('Email Cleaner'!$B$2:$B$10001,MATCH(843,'Email Cleaner'!$J$2:$J$10001,0)),"")</f>
        <v/>
      </c>
    </row>
    <row r="845">
      <c r="A845">
        <f>IFERROR(INDEX('Email Cleaner'!$B$2:$B$10001,MATCH(844,'Email Cleaner'!$J$2:$J$10001,0)),"")</f>
        <v/>
      </c>
    </row>
    <row r="846">
      <c r="A846">
        <f>IFERROR(INDEX('Email Cleaner'!$B$2:$B$10001,MATCH(845,'Email Cleaner'!$J$2:$J$10001,0)),"")</f>
        <v/>
      </c>
    </row>
    <row r="847">
      <c r="A847">
        <f>IFERROR(INDEX('Email Cleaner'!$B$2:$B$10001,MATCH(846,'Email Cleaner'!$J$2:$J$10001,0)),"")</f>
        <v/>
      </c>
    </row>
    <row r="848">
      <c r="A848">
        <f>IFERROR(INDEX('Email Cleaner'!$B$2:$B$10001,MATCH(847,'Email Cleaner'!$J$2:$J$10001,0)),"")</f>
        <v/>
      </c>
    </row>
    <row r="849">
      <c r="A849">
        <f>IFERROR(INDEX('Email Cleaner'!$B$2:$B$10001,MATCH(848,'Email Cleaner'!$J$2:$J$10001,0)),"")</f>
        <v/>
      </c>
    </row>
    <row r="850">
      <c r="A850">
        <f>IFERROR(INDEX('Email Cleaner'!$B$2:$B$10001,MATCH(849,'Email Cleaner'!$J$2:$J$10001,0)),"")</f>
        <v/>
      </c>
    </row>
    <row r="851">
      <c r="A851">
        <f>IFERROR(INDEX('Email Cleaner'!$B$2:$B$10001,MATCH(850,'Email Cleaner'!$J$2:$J$10001,0)),"")</f>
        <v/>
      </c>
    </row>
    <row r="852">
      <c r="A852">
        <f>IFERROR(INDEX('Email Cleaner'!$B$2:$B$10001,MATCH(851,'Email Cleaner'!$J$2:$J$10001,0)),"")</f>
        <v/>
      </c>
    </row>
    <row r="853">
      <c r="A853">
        <f>IFERROR(INDEX('Email Cleaner'!$B$2:$B$10001,MATCH(852,'Email Cleaner'!$J$2:$J$10001,0)),"")</f>
        <v/>
      </c>
    </row>
    <row r="854">
      <c r="A854">
        <f>IFERROR(INDEX('Email Cleaner'!$B$2:$B$10001,MATCH(853,'Email Cleaner'!$J$2:$J$10001,0)),"")</f>
        <v/>
      </c>
    </row>
    <row r="855">
      <c r="A855">
        <f>IFERROR(INDEX('Email Cleaner'!$B$2:$B$10001,MATCH(854,'Email Cleaner'!$J$2:$J$10001,0)),"")</f>
        <v/>
      </c>
    </row>
    <row r="856">
      <c r="A856">
        <f>IFERROR(INDEX('Email Cleaner'!$B$2:$B$10001,MATCH(855,'Email Cleaner'!$J$2:$J$10001,0)),"")</f>
        <v/>
      </c>
    </row>
    <row r="857">
      <c r="A857">
        <f>IFERROR(INDEX('Email Cleaner'!$B$2:$B$10001,MATCH(856,'Email Cleaner'!$J$2:$J$10001,0)),"")</f>
        <v/>
      </c>
    </row>
    <row r="858">
      <c r="A858">
        <f>IFERROR(INDEX('Email Cleaner'!$B$2:$B$10001,MATCH(857,'Email Cleaner'!$J$2:$J$10001,0)),"")</f>
        <v/>
      </c>
    </row>
    <row r="859">
      <c r="A859">
        <f>IFERROR(INDEX('Email Cleaner'!$B$2:$B$10001,MATCH(858,'Email Cleaner'!$J$2:$J$10001,0)),"")</f>
        <v/>
      </c>
    </row>
    <row r="860">
      <c r="A860">
        <f>IFERROR(INDEX('Email Cleaner'!$B$2:$B$10001,MATCH(859,'Email Cleaner'!$J$2:$J$10001,0)),"")</f>
        <v/>
      </c>
    </row>
    <row r="861">
      <c r="A861">
        <f>IFERROR(INDEX('Email Cleaner'!$B$2:$B$10001,MATCH(860,'Email Cleaner'!$J$2:$J$10001,0)),"")</f>
        <v/>
      </c>
    </row>
    <row r="862">
      <c r="A862">
        <f>IFERROR(INDEX('Email Cleaner'!$B$2:$B$10001,MATCH(861,'Email Cleaner'!$J$2:$J$10001,0)),"")</f>
        <v/>
      </c>
    </row>
    <row r="863">
      <c r="A863">
        <f>IFERROR(INDEX('Email Cleaner'!$B$2:$B$10001,MATCH(862,'Email Cleaner'!$J$2:$J$10001,0)),"")</f>
        <v/>
      </c>
    </row>
    <row r="864">
      <c r="A864">
        <f>IFERROR(INDEX('Email Cleaner'!$B$2:$B$10001,MATCH(863,'Email Cleaner'!$J$2:$J$10001,0)),"")</f>
        <v/>
      </c>
    </row>
    <row r="865">
      <c r="A865">
        <f>IFERROR(INDEX('Email Cleaner'!$B$2:$B$10001,MATCH(864,'Email Cleaner'!$J$2:$J$10001,0)),"")</f>
        <v/>
      </c>
    </row>
    <row r="866">
      <c r="A866">
        <f>IFERROR(INDEX('Email Cleaner'!$B$2:$B$10001,MATCH(865,'Email Cleaner'!$J$2:$J$10001,0)),"")</f>
        <v/>
      </c>
    </row>
    <row r="867">
      <c r="A867">
        <f>IFERROR(INDEX('Email Cleaner'!$B$2:$B$10001,MATCH(866,'Email Cleaner'!$J$2:$J$10001,0)),"")</f>
        <v/>
      </c>
    </row>
    <row r="868">
      <c r="A868">
        <f>IFERROR(INDEX('Email Cleaner'!$B$2:$B$10001,MATCH(867,'Email Cleaner'!$J$2:$J$10001,0)),"")</f>
        <v/>
      </c>
    </row>
    <row r="869">
      <c r="A869">
        <f>IFERROR(INDEX('Email Cleaner'!$B$2:$B$10001,MATCH(868,'Email Cleaner'!$J$2:$J$10001,0)),"")</f>
        <v/>
      </c>
    </row>
    <row r="870">
      <c r="A870">
        <f>IFERROR(INDEX('Email Cleaner'!$B$2:$B$10001,MATCH(869,'Email Cleaner'!$J$2:$J$10001,0)),"")</f>
        <v/>
      </c>
    </row>
    <row r="871">
      <c r="A871">
        <f>IFERROR(INDEX('Email Cleaner'!$B$2:$B$10001,MATCH(870,'Email Cleaner'!$J$2:$J$10001,0)),"")</f>
        <v/>
      </c>
    </row>
    <row r="872">
      <c r="A872">
        <f>IFERROR(INDEX('Email Cleaner'!$B$2:$B$10001,MATCH(871,'Email Cleaner'!$J$2:$J$10001,0)),"")</f>
        <v/>
      </c>
    </row>
    <row r="873">
      <c r="A873">
        <f>IFERROR(INDEX('Email Cleaner'!$B$2:$B$10001,MATCH(872,'Email Cleaner'!$J$2:$J$10001,0)),"")</f>
        <v/>
      </c>
    </row>
    <row r="874">
      <c r="A874">
        <f>IFERROR(INDEX('Email Cleaner'!$B$2:$B$10001,MATCH(873,'Email Cleaner'!$J$2:$J$10001,0)),"")</f>
        <v/>
      </c>
    </row>
    <row r="875">
      <c r="A875">
        <f>IFERROR(INDEX('Email Cleaner'!$B$2:$B$10001,MATCH(874,'Email Cleaner'!$J$2:$J$10001,0)),"")</f>
        <v/>
      </c>
    </row>
    <row r="876">
      <c r="A876">
        <f>IFERROR(INDEX('Email Cleaner'!$B$2:$B$10001,MATCH(875,'Email Cleaner'!$J$2:$J$10001,0)),"")</f>
        <v/>
      </c>
    </row>
    <row r="877">
      <c r="A877">
        <f>IFERROR(INDEX('Email Cleaner'!$B$2:$B$10001,MATCH(876,'Email Cleaner'!$J$2:$J$10001,0)),"")</f>
        <v/>
      </c>
    </row>
    <row r="878">
      <c r="A878">
        <f>IFERROR(INDEX('Email Cleaner'!$B$2:$B$10001,MATCH(877,'Email Cleaner'!$J$2:$J$10001,0)),"")</f>
        <v/>
      </c>
    </row>
    <row r="879">
      <c r="A879">
        <f>IFERROR(INDEX('Email Cleaner'!$B$2:$B$10001,MATCH(878,'Email Cleaner'!$J$2:$J$10001,0)),"")</f>
        <v/>
      </c>
    </row>
    <row r="880">
      <c r="A880">
        <f>IFERROR(INDEX('Email Cleaner'!$B$2:$B$10001,MATCH(879,'Email Cleaner'!$J$2:$J$10001,0)),"")</f>
        <v/>
      </c>
    </row>
    <row r="881">
      <c r="A881">
        <f>IFERROR(INDEX('Email Cleaner'!$B$2:$B$10001,MATCH(880,'Email Cleaner'!$J$2:$J$10001,0)),"")</f>
        <v/>
      </c>
    </row>
    <row r="882">
      <c r="A882">
        <f>IFERROR(INDEX('Email Cleaner'!$B$2:$B$10001,MATCH(881,'Email Cleaner'!$J$2:$J$10001,0)),"")</f>
        <v/>
      </c>
    </row>
    <row r="883">
      <c r="A883">
        <f>IFERROR(INDEX('Email Cleaner'!$B$2:$B$10001,MATCH(882,'Email Cleaner'!$J$2:$J$10001,0)),"")</f>
        <v/>
      </c>
    </row>
    <row r="884">
      <c r="A884">
        <f>IFERROR(INDEX('Email Cleaner'!$B$2:$B$10001,MATCH(883,'Email Cleaner'!$J$2:$J$10001,0)),"")</f>
        <v/>
      </c>
    </row>
    <row r="885">
      <c r="A885">
        <f>IFERROR(INDEX('Email Cleaner'!$B$2:$B$10001,MATCH(884,'Email Cleaner'!$J$2:$J$10001,0)),"")</f>
        <v/>
      </c>
    </row>
    <row r="886">
      <c r="A886">
        <f>IFERROR(INDEX('Email Cleaner'!$B$2:$B$10001,MATCH(885,'Email Cleaner'!$J$2:$J$10001,0)),"")</f>
        <v/>
      </c>
    </row>
    <row r="887">
      <c r="A887">
        <f>IFERROR(INDEX('Email Cleaner'!$B$2:$B$10001,MATCH(886,'Email Cleaner'!$J$2:$J$10001,0)),"")</f>
        <v/>
      </c>
    </row>
    <row r="888">
      <c r="A888">
        <f>IFERROR(INDEX('Email Cleaner'!$B$2:$B$10001,MATCH(887,'Email Cleaner'!$J$2:$J$10001,0)),"")</f>
        <v/>
      </c>
    </row>
    <row r="889">
      <c r="A889">
        <f>IFERROR(INDEX('Email Cleaner'!$B$2:$B$10001,MATCH(888,'Email Cleaner'!$J$2:$J$10001,0)),"")</f>
        <v/>
      </c>
    </row>
    <row r="890">
      <c r="A890">
        <f>IFERROR(INDEX('Email Cleaner'!$B$2:$B$10001,MATCH(889,'Email Cleaner'!$J$2:$J$10001,0)),"")</f>
        <v/>
      </c>
    </row>
    <row r="891">
      <c r="A891">
        <f>IFERROR(INDEX('Email Cleaner'!$B$2:$B$10001,MATCH(890,'Email Cleaner'!$J$2:$J$10001,0)),"")</f>
        <v/>
      </c>
    </row>
    <row r="892">
      <c r="A892">
        <f>IFERROR(INDEX('Email Cleaner'!$B$2:$B$10001,MATCH(891,'Email Cleaner'!$J$2:$J$10001,0)),"")</f>
        <v/>
      </c>
    </row>
    <row r="893">
      <c r="A893">
        <f>IFERROR(INDEX('Email Cleaner'!$B$2:$B$10001,MATCH(892,'Email Cleaner'!$J$2:$J$10001,0)),"")</f>
        <v/>
      </c>
    </row>
    <row r="894">
      <c r="A894">
        <f>IFERROR(INDEX('Email Cleaner'!$B$2:$B$10001,MATCH(893,'Email Cleaner'!$J$2:$J$10001,0)),"")</f>
        <v/>
      </c>
    </row>
    <row r="895">
      <c r="A895">
        <f>IFERROR(INDEX('Email Cleaner'!$B$2:$B$10001,MATCH(894,'Email Cleaner'!$J$2:$J$10001,0)),"")</f>
        <v/>
      </c>
    </row>
    <row r="896">
      <c r="A896">
        <f>IFERROR(INDEX('Email Cleaner'!$B$2:$B$10001,MATCH(895,'Email Cleaner'!$J$2:$J$10001,0)),"")</f>
        <v/>
      </c>
    </row>
    <row r="897">
      <c r="A897">
        <f>IFERROR(INDEX('Email Cleaner'!$B$2:$B$10001,MATCH(896,'Email Cleaner'!$J$2:$J$10001,0)),"")</f>
        <v/>
      </c>
    </row>
    <row r="898">
      <c r="A898">
        <f>IFERROR(INDEX('Email Cleaner'!$B$2:$B$10001,MATCH(897,'Email Cleaner'!$J$2:$J$10001,0)),"")</f>
        <v/>
      </c>
    </row>
    <row r="899">
      <c r="A899">
        <f>IFERROR(INDEX('Email Cleaner'!$B$2:$B$10001,MATCH(898,'Email Cleaner'!$J$2:$J$10001,0)),"")</f>
        <v/>
      </c>
    </row>
    <row r="900">
      <c r="A900">
        <f>IFERROR(INDEX('Email Cleaner'!$B$2:$B$10001,MATCH(899,'Email Cleaner'!$J$2:$J$10001,0)),"")</f>
        <v/>
      </c>
    </row>
    <row r="901">
      <c r="A901">
        <f>IFERROR(INDEX('Email Cleaner'!$B$2:$B$10001,MATCH(900,'Email Cleaner'!$J$2:$J$10001,0)),"")</f>
        <v/>
      </c>
    </row>
    <row r="902">
      <c r="A902">
        <f>IFERROR(INDEX('Email Cleaner'!$B$2:$B$10001,MATCH(901,'Email Cleaner'!$J$2:$J$10001,0)),"")</f>
        <v/>
      </c>
    </row>
    <row r="903">
      <c r="A903">
        <f>IFERROR(INDEX('Email Cleaner'!$B$2:$B$10001,MATCH(902,'Email Cleaner'!$J$2:$J$10001,0)),"")</f>
        <v/>
      </c>
    </row>
    <row r="904">
      <c r="A904">
        <f>IFERROR(INDEX('Email Cleaner'!$B$2:$B$10001,MATCH(903,'Email Cleaner'!$J$2:$J$10001,0)),"")</f>
        <v/>
      </c>
    </row>
    <row r="905">
      <c r="A905">
        <f>IFERROR(INDEX('Email Cleaner'!$B$2:$B$10001,MATCH(904,'Email Cleaner'!$J$2:$J$10001,0)),"")</f>
        <v/>
      </c>
    </row>
    <row r="906">
      <c r="A906">
        <f>IFERROR(INDEX('Email Cleaner'!$B$2:$B$10001,MATCH(905,'Email Cleaner'!$J$2:$J$10001,0)),"")</f>
        <v/>
      </c>
    </row>
    <row r="907">
      <c r="A907">
        <f>IFERROR(INDEX('Email Cleaner'!$B$2:$B$10001,MATCH(906,'Email Cleaner'!$J$2:$J$10001,0)),"")</f>
        <v/>
      </c>
    </row>
    <row r="908">
      <c r="A908">
        <f>IFERROR(INDEX('Email Cleaner'!$B$2:$B$10001,MATCH(907,'Email Cleaner'!$J$2:$J$10001,0)),"")</f>
        <v/>
      </c>
    </row>
    <row r="909">
      <c r="A909">
        <f>IFERROR(INDEX('Email Cleaner'!$B$2:$B$10001,MATCH(908,'Email Cleaner'!$J$2:$J$10001,0)),"")</f>
        <v/>
      </c>
    </row>
    <row r="910">
      <c r="A910">
        <f>IFERROR(INDEX('Email Cleaner'!$B$2:$B$10001,MATCH(909,'Email Cleaner'!$J$2:$J$10001,0)),"")</f>
        <v/>
      </c>
    </row>
    <row r="911">
      <c r="A911">
        <f>IFERROR(INDEX('Email Cleaner'!$B$2:$B$10001,MATCH(910,'Email Cleaner'!$J$2:$J$10001,0)),"")</f>
        <v/>
      </c>
    </row>
    <row r="912">
      <c r="A912">
        <f>IFERROR(INDEX('Email Cleaner'!$B$2:$B$10001,MATCH(911,'Email Cleaner'!$J$2:$J$10001,0)),"")</f>
        <v/>
      </c>
    </row>
    <row r="913">
      <c r="A913">
        <f>IFERROR(INDEX('Email Cleaner'!$B$2:$B$10001,MATCH(912,'Email Cleaner'!$J$2:$J$10001,0)),"")</f>
        <v/>
      </c>
    </row>
    <row r="914">
      <c r="A914">
        <f>IFERROR(INDEX('Email Cleaner'!$B$2:$B$10001,MATCH(913,'Email Cleaner'!$J$2:$J$10001,0)),"")</f>
        <v/>
      </c>
    </row>
    <row r="915">
      <c r="A915">
        <f>IFERROR(INDEX('Email Cleaner'!$B$2:$B$10001,MATCH(914,'Email Cleaner'!$J$2:$J$10001,0)),"")</f>
        <v/>
      </c>
    </row>
    <row r="916">
      <c r="A916">
        <f>IFERROR(INDEX('Email Cleaner'!$B$2:$B$10001,MATCH(915,'Email Cleaner'!$J$2:$J$10001,0)),"")</f>
        <v/>
      </c>
    </row>
    <row r="917">
      <c r="A917">
        <f>IFERROR(INDEX('Email Cleaner'!$B$2:$B$10001,MATCH(916,'Email Cleaner'!$J$2:$J$10001,0)),"")</f>
        <v/>
      </c>
    </row>
    <row r="918">
      <c r="A918">
        <f>IFERROR(INDEX('Email Cleaner'!$B$2:$B$10001,MATCH(917,'Email Cleaner'!$J$2:$J$10001,0)),"")</f>
        <v/>
      </c>
    </row>
    <row r="919">
      <c r="A919">
        <f>IFERROR(INDEX('Email Cleaner'!$B$2:$B$10001,MATCH(918,'Email Cleaner'!$J$2:$J$10001,0)),"")</f>
        <v/>
      </c>
    </row>
    <row r="920">
      <c r="A920">
        <f>IFERROR(INDEX('Email Cleaner'!$B$2:$B$10001,MATCH(919,'Email Cleaner'!$J$2:$J$10001,0)),"")</f>
        <v/>
      </c>
    </row>
    <row r="921">
      <c r="A921">
        <f>IFERROR(INDEX('Email Cleaner'!$B$2:$B$10001,MATCH(920,'Email Cleaner'!$J$2:$J$10001,0)),"")</f>
        <v/>
      </c>
    </row>
    <row r="922">
      <c r="A922">
        <f>IFERROR(INDEX('Email Cleaner'!$B$2:$B$10001,MATCH(921,'Email Cleaner'!$J$2:$J$10001,0)),"")</f>
        <v/>
      </c>
    </row>
    <row r="923">
      <c r="A923">
        <f>IFERROR(INDEX('Email Cleaner'!$B$2:$B$10001,MATCH(922,'Email Cleaner'!$J$2:$J$10001,0)),"")</f>
        <v/>
      </c>
    </row>
    <row r="924">
      <c r="A924">
        <f>IFERROR(INDEX('Email Cleaner'!$B$2:$B$10001,MATCH(923,'Email Cleaner'!$J$2:$J$10001,0)),"")</f>
        <v/>
      </c>
    </row>
    <row r="925">
      <c r="A925">
        <f>IFERROR(INDEX('Email Cleaner'!$B$2:$B$10001,MATCH(924,'Email Cleaner'!$J$2:$J$10001,0)),"")</f>
        <v/>
      </c>
    </row>
    <row r="926">
      <c r="A926">
        <f>IFERROR(INDEX('Email Cleaner'!$B$2:$B$10001,MATCH(925,'Email Cleaner'!$J$2:$J$10001,0)),"")</f>
        <v/>
      </c>
    </row>
    <row r="927">
      <c r="A927">
        <f>IFERROR(INDEX('Email Cleaner'!$B$2:$B$10001,MATCH(926,'Email Cleaner'!$J$2:$J$10001,0)),"")</f>
        <v/>
      </c>
    </row>
    <row r="928">
      <c r="A928">
        <f>IFERROR(INDEX('Email Cleaner'!$B$2:$B$10001,MATCH(927,'Email Cleaner'!$J$2:$J$10001,0)),"")</f>
        <v/>
      </c>
    </row>
    <row r="929">
      <c r="A929">
        <f>IFERROR(INDEX('Email Cleaner'!$B$2:$B$10001,MATCH(928,'Email Cleaner'!$J$2:$J$10001,0)),"")</f>
        <v/>
      </c>
    </row>
    <row r="930">
      <c r="A930">
        <f>IFERROR(INDEX('Email Cleaner'!$B$2:$B$10001,MATCH(929,'Email Cleaner'!$J$2:$J$10001,0)),"")</f>
        <v/>
      </c>
    </row>
    <row r="931">
      <c r="A931">
        <f>IFERROR(INDEX('Email Cleaner'!$B$2:$B$10001,MATCH(930,'Email Cleaner'!$J$2:$J$10001,0)),"")</f>
        <v/>
      </c>
    </row>
    <row r="932">
      <c r="A932">
        <f>IFERROR(INDEX('Email Cleaner'!$B$2:$B$10001,MATCH(931,'Email Cleaner'!$J$2:$J$10001,0)),"")</f>
        <v/>
      </c>
    </row>
    <row r="933">
      <c r="A933">
        <f>IFERROR(INDEX('Email Cleaner'!$B$2:$B$10001,MATCH(932,'Email Cleaner'!$J$2:$J$10001,0)),"")</f>
        <v/>
      </c>
    </row>
    <row r="934">
      <c r="A934">
        <f>IFERROR(INDEX('Email Cleaner'!$B$2:$B$10001,MATCH(933,'Email Cleaner'!$J$2:$J$10001,0)),"")</f>
        <v/>
      </c>
    </row>
    <row r="935">
      <c r="A935">
        <f>IFERROR(INDEX('Email Cleaner'!$B$2:$B$10001,MATCH(934,'Email Cleaner'!$J$2:$J$10001,0)),"")</f>
        <v/>
      </c>
    </row>
    <row r="936">
      <c r="A936">
        <f>IFERROR(INDEX('Email Cleaner'!$B$2:$B$10001,MATCH(935,'Email Cleaner'!$J$2:$J$10001,0)),"")</f>
        <v/>
      </c>
    </row>
    <row r="937">
      <c r="A937">
        <f>IFERROR(INDEX('Email Cleaner'!$B$2:$B$10001,MATCH(936,'Email Cleaner'!$J$2:$J$10001,0)),"")</f>
        <v/>
      </c>
    </row>
    <row r="938">
      <c r="A938">
        <f>IFERROR(INDEX('Email Cleaner'!$B$2:$B$10001,MATCH(937,'Email Cleaner'!$J$2:$J$10001,0)),"")</f>
        <v/>
      </c>
    </row>
    <row r="939">
      <c r="A939">
        <f>IFERROR(INDEX('Email Cleaner'!$B$2:$B$10001,MATCH(938,'Email Cleaner'!$J$2:$J$10001,0)),"")</f>
        <v/>
      </c>
    </row>
    <row r="940">
      <c r="A940">
        <f>IFERROR(INDEX('Email Cleaner'!$B$2:$B$10001,MATCH(939,'Email Cleaner'!$J$2:$J$10001,0)),"")</f>
        <v/>
      </c>
    </row>
    <row r="941">
      <c r="A941">
        <f>IFERROR(INDEX('Email Cleaner'!$B$2:$B$10001,MATCH(940,'Email Cleaner'!$J$2:$J$10001,0)),"")</f>
        <v/>
      </c>
    </row>
    <row r="942">
      <c r="A942">
        <f>IFERROR(INDEX('Email Cleaner'!$B$2:$B$10001,MATCH(941,'Email Cleaner'!$J$2:$J$10001,0)),"")</f>
        <v/>
      </c>
    </row>
    <row r="943">
      <c r="A943">
        <f>IFERROR(INDEX('Email Cleaner'!$B$2:$B$10001,MATCH(942,'Email Cleaner'!$J$2:$J$10001,0)),"")</f>
        <v/>
      </c>
    </row>
    <row r="944">
      <c r="A944">
        <f>IFERROR(INDEX('Email Cleaner'!$B$2:$B$10001,MATCH(943,'Email Cleaner'!$J$2:$J$10001,0)),"")</f>
        <v/>
      </c>
    </row>
    <row r="945">
      <c r="A945">
        <f>IFERROR(INDEX('Email Cleaner'!$B$2:$B$10001,MATCH(944,'Email Cleaner'!$J$2:$J$10001,0)),"")</f>
        <v/>
      </c>
    </row>
    <row r="946">
      <c r="A946">
        <f>IFERROR(INDEX('Email Cleaner'!$B$2:$B$10001,MATCH(945,'Email Cleaner'!$J$2:$J$10001,0)),"")</f>
        <v/>
      </c>
    </row>
    <row r="947">
      <c r="A947">
        <f>IFERROR(INDEX('Email Cleaner'!$B$2:$B$10001,MATCH(946,'Email Cleaner'!$J$2:$J$10001,0)),"")</f>
        <v/>
      </c>
    </row>
    <row r="948">
      <c r="A948">
        <f>IFERROR(INDEX('Email Cleaner'!$B$2:$B$10001,MATCH(947,'Email Cleaner'!$J$2:$J$10001,0)),"")</f>
        <v/>
      </c>
    </row>
    <row r="949">
      <c r="A949">
        <f>IFERROR(INDEX('Email Cleaner'!$B$2:$B$10001,MATCH(948,'Email Cleaner'!$J$2:$J$10001,0)),"")</f>
        <v/>
      </c>
    </row>
    <row r="950">
      <c r="A950">
        <f>IFERROR(INDEX('Email Cleaner'!$B$2:$B$10001,MATCH(949,'Email Cleaner'!$J$2:$J$10001,0)),"")</f>
        <v/>
      </c>
    </row>
    <row r="951">
      <c r="A951">
        <f>IFERROR(INDEX('Email Cleaner'!$B$2:$B$10001,MATCH(950,'Email Cleaner'!$J$2:$J$10001,0)),"")</f>
        <v/>
      </c>
    </row>
    <row r="952">
      <c r="A952">
        <f>IFERROR(INDEX('Email Cleaner'!$B$2:$B$10001,MATCH(951,'Email Cleaner'!$J$2:$J$10001,0)),"")</f>
        <v/>
      </c>
    </row>
    <row r="953">
      <c r="A953">
        <f>IFERROR(INDEX('Email Cleaner'!$B$2:$B$10001,MATCH(952,'Email Cleaner'!$J$2:$J$10001,0)),"")</f>
        <v/>
      </c>
    </row>
    <row r="954">
      <c r="A954">
        <f>IFERROR(INDEX('Email Cleaner'!$B$2:$B$10001,MATCH(953,'Email Cleaner'!$J$2:$J$10001,0)),"")</f>
        <v/>
      </c>
    </row>
    <row r="955">
      <c r="A955">
        <f>IFERROR(INDEX('Email Cleaner'!$B$2:$B$10001,MATCH(954,'Email Cleaner'!$J$2:$J$10001,0)),"")</f>
        <v/>
      </c>
    </row>
    <row r="956">
      <c r="A956">
        <f>IFERROR(INDEX('Email Cleaner'!$B$2:$B$10001,MATCH(955,'Email Cleaner'!$J$2:$J$10001,0)),"")</f>
        <v/>
      </c>
    </row>
    <row r="957">
      <c r="A957">
        <f>IFERROR(INDEX('Email Cleaner'!$B$2:$B$10001,MATCH(956,'Email Cleaner'!$J$2:$J$10001,0)),"")</f>
        <v/>
      </c>
    </row>
    <row r="958">
      <c r="A958">
        <f>IFERROR(INDEX('Email Cleaner'!$B$2:$B$10001,MATCH(957,'Email Cleaner'!$J$2:$J$10001,0)),"")</f>
        <v/>
      </c>
    </row>
    <row r="959">
      <c r="A959">
        <f>IFERROR(INDEX('Email Cleaner'!$B$2:$B$10001,MATCH(958,'Email Cleaner'!$J$2:$J$10001,0)),"")</f>
        <v/>
      </c>
    </row>
    <row r="960">
      <c r="A960">
        <f>IFERROR(INDEX('Email Cleaner'!$B$2:$B$10001,MATCH(959,'Email Cleaner'!$J$2:$J$10001,0)),"")</f>
        <v/>
      </c>
    </row>
    <row r="961">
      <c r="A961">
        <f>IFERROR(INDEX('Email Cleaner'!$B$2:$B$10001,MATCH(960,'Email Cleaner'!$J$2:$J$10001,0)),"")</f>
        <v/>
      </c>
    </row>
    <row r="962">
      <c r="A962">
        <f>IFERROR(INDEX('Email Cleaner'!$B$2:$B$10001,MATCH(961,'Email Cleaner'!$J$2:$J$10001,0)),"")</f>
        <v/>
      </c>
    </row>
    <row r="963">
      <c r="A963">
        <f>IFERROR(INDEX('Email Cleaner'!$B$2:$B$10001,MATCH(962,'Email Cleaner'!$J$2:$J$10001,0)),"")</f>
        <v/>
      </c>
    </row>
    <row r="964">
      <c r="A964">
        <f>IFERROR(INDEX('Email Cleaner'!$B$2:$B$10001,MATCH(963,'Email Cleaner'!$J$2:$J$10001,0)),"")</f>
        <v/>
      </c>
    </row>
    <row r="965">
      <c r="A965">
        <f>IFERROR(INDEX('Email Cleaner'!$B$2:$B$10001,MATCH(964,'Email Cleaner'!$J$2:$J$10001,0)),"")</f>
        <v/>
      </c>
    </row>
    <row r="966">
      <c r="A966">
        <f>IFERROR(INDEX('Email Cleaner'!$B$2:$B$10001,MATCH(965,'Email Cleaner'!$J$2:$J$10001,0)),"")</f>
        <v/>
      </c>
    </row>
    <row r="967">
      <c r="A967">
        <f>IFERROR(INDEX('Email Cleaner'!$B$2:$B$10001,MATCH(966,'Email Cleaner'!$J$2:$J$10001,0)),"")</f>
        <v/>
      </c>
    </row>
    <row r="968">
      <c r="A968">
        <f>IFERROR(INDEX('Email Cleaner'!$B$2:$B$10001,MATCH(967,'Email Cleaner'!$J$2:$J$10001,0)),"")</f>
        <v/>
      </c>
    </row>
    <row r="969">
      <c r="A969">
        <f>IFERROR(INDEX('Email Cleaner'!$B$2:$B$10001,MATCH(968,'Email Cleaner'!$J$2:$J$10001,0)),"")</f>
        <v/>
      </c>
    </row>
    <row r="970">
      <c r="A970">
        <f>IFERROR(INDEX('Email Cleaner'!$B$2:$B$10001,MATCH(969,'Email Cleaner'!$J$2:$J$10001,0)),"")</f>
        <v/>
      </c>
    </row>
    <row r="971">
      <c r="A971">
        <f>IFERROR(INDEX('Email Cleaner'!$B$2:$B$10001,MATCH(970,'Email Cleaner'!$J$2:$J$10001,0)),"")</f>
        <v/>
      </c>
    </row>
    <row r="972">
      <c r="A972">
        <f>IFERROR(INDEX('Email Cleaner'!$B$2:$B$10001,MATCH(971,'Email Cleaner'!$J$2:$J$10001,0)),"")</f>
        <v/>
      </c>
    </row>
    <row r="973">
      <c r="A973">
        <f>IFERROR(INDEX('Email Cleaner'!$B$2:$B$10001,MATCH(972,'Email Cleaner'!$J$2:$J$10001,0)),"")</f>
        <v/>
      </c>
    </row>
    <row r="974">
      <c r="A974">
        <f>IFERROR(INDEX('Email Cleaner'!$B$2:$B$10001,MATCH(973,'Email Cleaner'!$J$2:$J$10001,0)),"")</f>
        <v/>
      </c>
    </row>
    <row r="975">
      <c r="A975">
        <f>IFERROR(INDEX('Email Cleaner'!$B$2:$B$10001,MATCH(974,'Email Cleaner'!$J$2:$J$10001,0)),"")</f>
        <v/>
      </c>
    </row>
    <row r="976">
      <c r="A976">
        <f>IFERROR(INDEX('Email Cleaner'!$B$2:$B$10001,MATCH(975,'Email Cleaner'!$J$2:$J$10001,0)),"")</f>
        <v/>
      </c>
    </row>
    <row r="977">
      <c r="A977">
        <f>IFERROR(INDEX('Email Cleaner'!$B$2:$B$10001,MATCH(976,'Email Cleaner'!$J$2:$J$10001,0)),"")</f>
        <v/>
      </c>
    </row>
    <row r="978">
      <c r="A978">
        <f>IFERROR(INDEX('Email Cleaner'!$B$2:$B$10001,MATCH(977,'Email Cleaner'!$J$2:$J$10001,0)),"")</f>
        <v/>
      </c>
    </row>
    <row r="979">
      <c r="A979">
        <f>IFERROR(INDEX('Email Cleaner'!$B$2:$B$10001,MATCH(978,'Email Cleaner'!$J$2:$J$10001,0)),"")</f>
        <v/>
      </c>
    </row>
    <row r="980">
      <c r="A980">
        <f>IFERROR(INDEX('Email Cleaner'!$B$2:$B$10001,MATCH(979,'Email Cleaner'!$J$2:$J$10001,0)),"")</f>
        <v/>
      </c>
    </row>
    <row r="981">
      <c r="A981">
        <f>IFERROR(INDEX('Email Cleaner'!$B$2:$B$10001,MATCH(980,'Email Cleaner'!$J$2:$J$10001,0)),"")</f>
        <v/>
      </c>
    </row>
    <row r="982">
      <c r="A982">
        <f>IFERROR(INDEX('Email Cleaner'!$B$2:$B$10001,MATCH(981,'Email Cleaner'!$J$2:$J$10001,0)),"")</f>
        <v/>
      </c>
    </row>
    <row r="983">
      <c r="A983">
        <f>IFERROR(INDEX('Email Cleaner'!$B$2:$B$10001,MATCH(982,'Email Cleaner'!$J$2:$J$10001,0)),"")</f>
        <v/>
      </c>
    </row>
    <row r="984">
      <c r="A984">
        <f>IFERROR(INDEX('Email Cleaner'!$B$2:$B$10001,MATCH(983,'Email Cleaner'!$J$2:$J$10001,0)),"")</f>
        <v/>
      </c>
    </row>
    <row r="985">
      <c r="A985">
        <f>IFERROR(INDEX('Email Cleaner'!$B$2:$B$10001,MATCH(984,'Email Cleaner'!$J$2:$J$10001,0)),"")</f>
        <v/>
      </c>
    </row>
    <row r="986">
      <c r="A986">
        <f>IFERROR(INDEX('Email Cleaner'!$B$2:$B$10001,MATCH(985,'Email Cleaner'!$J$2:$J$10001,0)),"")</f>
        <v/>
      </c>
    </row>
    <row r="987">
      <c r="A987">
        <f>IFERROR(INDEX('Email Cleaner'!$B$2:$B$10001,MATCH(986,'Email Cleaner'!$J$2:$J$10001,0)),"")</f>
        <v/>
      </c>
    </row>
    <row r="988">
      <c r="A988">
        <f>IFERROR(INDEX('Email Cleaner'!$B$2:$B$10001,MATCH(987,'Email Cleaner'!$J$2:$J$10001,0)),"")</f>
        <v/>
      </c>
    </row>
    <row r="989">
      <c r="A989">
        <f>IFERROR(INDEX('Email Cleaner'!$B$2:$B$10001,MATCH(988,'Email Cleaner'!$J$2:$J$10001,0)),"")</f>
        <v/>
      </c>
    </row>
    <row r="990">
      <c r="A990">
        <f>IFERROR(INDEX('Email Cleaner'!$B$2:$B$10001,MATCH(989,'Email Cleaner'!$J$2:$J$10001,0)),"")</f>
        <v/>
      </c>
    </row>
    <row r="991">
      <c r="A991">
        <f>IFERROR(INDEX('Email Cleaner'!$B$2:$B$10001,MATCH(990,'Email Cleaner'!$J$2:$J$10001,0)),"")</f>
        <v/>
      </c>
    </row>
    <row r="992">
      <c r="A992">
        <f>IFERROR(INDEX('Email Cleaner'!$B$2:$B$10001,MATCH(991,'Email Cleaner'!$J$2:$J$10001,0)),"")</f>
        <v/>
      </c>
    </row>
    <row r="993">
      <c r="A993">
        <f>IFERROR(INDEX('Email Cleaner'!$B$2:$B$10001,MATCH(992,'Email Cleaner'!$J$2:$J$10001,0)),"")</f>
        <v/>
      </c>
    </row>
    <row r="994">
      <c r="A994">
        <f>IFERROR(INDEX('Email Cleaner'!$B$2:$B$10001,MATCH(993,'Email Cleaner'!$J$2:$J$10001,0)),"")</f>
        <v/>
      </c>
    </row>
    <row r="995">
      <c r="A995">
        <f>IFERROR(INDEX('Email Cleaner'!$B$2:$B$10001,MATCH(994,'Email Cleaner'!$J$2:$J$10001,0)),"")</f>
        <v/>
      </c>
    </row>
    <row r="996">
      <c r="A996">
        <f>IFERROR(INDEX('Email Cleaner'!$B$2:$B$10001,MATCH(995,'Email Cleaner'!$J$2:$J$10001,0)),"")</f>
        <v/>
      </c>
    </row>
    <row r="997">
      <c r="A997">
        <f>IFERROR(INDEX('Email Cleaner'!$B$2:$B$10001,MATCH(996,'Email Cleaner'!$J$2:$J$10001,0)),"")</f>
        <v/>
      </c>
    </row>
    <row r="998">
      <c r="A998">
        <f>IFERROR(INDEX('Email Cleaner'!$B$2:$B$10001,MATCH(997,'Email Cleaner'!$J$2:$J$10001,0)),"")</f>
        <v/>
      </c>
    </row>
    <row r="999">
      <c r="A999">
        <f>IFERROR(INDEX('Email Cleaner'!$B$2:$B$10001,MATCH(998,'Email Cleaner'!$J$2:$J$10001,0)),"")</f>
        <v/>
      </c>
    </row>
    <row r="1000">
      <c r="A1000">
        <f>IFERROR(INDEX('Email Cleaner'!$B$2:$B$10001,MATCH(999,'Email Cleaner'!$J$2:$J$10001,0)),"")</f>
        <v/>
      </c>
    </row>
    <row r="1001">
      <c r="A1001">
        <f>IFERROR(INDEX('Email Cleaner'!$B$2:$B$10001,MATCH(1000,'Email Cleaner'!$J$2:$J$10001,0)),"")</f>
        <v/>
      </c>
    </row>
    <row r="1002">
      <c r="A1002">
        <f>IFERROR(INDEX('Email Cleaner'!$B$2:$B$10001,MATCH(1001,'Email Cleaner'!$J$2:$J$10001,0)),"")</f>
        <v/>
      </c>
    </row>
    <row r="1003">
      <c r="A1003">
        <f>IFERROR(INDEX('Email Cleaner'!$B$2:$B$10001,MATCH(1002,'Email Cleaner'!$J$2:$J$10001,0)),"")</f>
        <v/>
      </c>
    </row>
    <row r="1004">
      <c r="A1004">
        <f>IFERROR(INDEX('Email Cleaner'!$B$2:$B$10001,MATCH(1003,'Email Cleaner'!$J$2:$J$10001,0)),"")</f>
        <v/>
      </c>
    </row>
    <row r="1005">
      <c r="A1005">
        <f>IFERROR(INDEX('Email Cleaner'!$B$2:$B$10001,MATCH(1004,'Email Cleaner'!$J$2:$J$10001,0)),"")</f>
        <v/>
      </c>
    </row>
    <row r="1006">
      <c r="A1006">
        <f>IFERROR(INDEX('Email Cleaner'!$B$2:$B$10001,MATCH(1005,'Email Cleaner'!$J$2:$J$10001,0)),"")</f>
        <v/>
      </c>
    </row>
    <row r="1007">
      <c r="A1007">
        <f>IFERROR(INDEX('Email Cleaner'!$B$2:$B$10001,MATCH(1006,'Email Cleaner'!$J$2:$J$10001,0)),"")</f>
        <v/>
      </c>
    </row>
    <row r="1008">
      <c r="A1008">
        <f>IFERROR(INDEX('Email Cleaner'!$B$2:$B$10001,MATCH(1007,'Email Cleaner'!$J$2:$J$10001,0)),"")</f>
        <v/>
      </c>
    </row>
    <row r="1009">
      <c r="A1009">
        <f>IFERROR(INDEX('Email Cleaner'!$B$2:$B$10001,MATCH(1008,'Email Cleaner'!$J$2:$J$10001,0)),"")</f>
        <v/>
      </c>
    </row>
    <row r="1010">
      <c r="A1010">
        <f>IFERROR(INDEX('Email Cleaner'!$B$2:$B$10001,MATCH(1009,'Email Cleaner'!$J$2:$J$10001,0)),"")</f>
        <v/>
      </c>
    </row>
    <row r="1011">
      <c r="A1011">
        <f>IFERROR(INDEX('Email Cleaner'!$B$2:$B$10001,MATCH(1010,'Email Cleaner'!$J$2:$J$10001,0)),"")</f>
        <v/>
      </c>
    </row>
    <row r="1012">
      <c r="A1012">
        <f>IFERROR(INDEX('Email Cleaner'!$B$2:$B$10001,MATCH(1011,'Email Cleaner'!$J$2:$J$10001,0)),"")</f>
        <v/>
      </c>
    </row>
    <row r="1013">
      <c r="A1013">
        <f>IFERROR(INDEX('Email Cleaner'!$B$2:$B$10001,MATCH(1012,'Email Cleaner'!$J$2:$J$10001,0)),"")</f>
        <v/>
      </c>
    </row>
    <row r="1014">
      <c r="A1014">
        <f>IFERROR(INDEX('Email Cleaner'!$B$2:$B$10001,MATCH(1013,'Email Cleaner'!$J$2:$J$10001,0)),"")</f>
        <v/>
      </c>
    </row>
    <row r="1015">
      <c r="A1015">
        <f>IFERROR(INDEX('Email Cleaner'!$B$2:$B$10001,MATCH(1014,'Email Cleaner'!$J$2:$J$10001,0)),"")</f>
        <v/>
      </c>
    </row>
    <row r="1016">
      <c r="A1016">
        <f>IFERROR(INDEX('Email Cleaner'!$B$2:$B$10001,MATCH(1015,'Email Cleaner'!$J$2:$J$10001,0)),"")</f>
        <v/>
      </c>
    </row>
    <row r="1017">
      <c r="A1017">
        <f>IFERROR(INDEX('Email Cleaner'!$B$2:$B$10001,MATCH(1016,'Email Cleaner'!$J$2:$J$10001,0)),"")</f>
        <v/>
      </c>
    </row>
    <row r="1018">
      <c r="A1018">
        <f>IFERROR(INDEX('Email Cleaner'!$B$2:$B$10001,MATCH(1017,'Email Cleaner'!$J$2:$J$10001,0)),"")</f>
        <v/>
      </c>
    </row>
    <row r="1019">
      <c r="A1019">
        <f>IFERROR(INDEX('Email Cleaner'!$B$2:$B$10001,MATCH(1018,'Email Cleaner'!$J$2:$J$10001,0)),"")</f>
        <v/>
      </c>
    </row>
    <row r="1020">
      <c r="A1020">
        <f>IFERROR(INDEX('Email Cleaner'!$B$2:$B$10001,MATCH(1019,'Email Cleaner'!$J$2:$J$10001,0)),"")</f>
        <v/>
      </c>
    </row>
    <row r="1021">
      <c r="A1021">
        <f>IFERROR(INDEX('Email Cleaner'!$B$2:$B$10001,MATCH(1020,'Email Cleaner'!$J$2:$J$10001,0)),"")</f>
        <v/>
      </c>
    </row>
    <row r="1022">
      <c r="A1022">
        <f>IFERROR(INDEX('Email Cleaner'!$B$2:$B$10001,MATCH(1021,'Email Cleaner'!$J$2:$J$10001,0)),"")</f>
        <v/>
      </c>
    </row>
    <row r="1023">
      <c r="A1023">
        <f>IFERROR(INDEX('Email Cleaner'!$B$2:$B$10001,MATCH(1022,'Email Cleaner'!$J$2:$J$10001,0)),"")</f>
        <v/>
      </c>
    </row>
    <row r="1024">
      <c r="A1024">
        <f>IFERROR(INDEX('Email Cleaner'!$B$2:$B$10001,MATCH(1023,'Email Cleaner'!$J$2:$J$10001,0)),"")</f>
        <v/>
      </c>
    </row>
    <row r="1025">
      <c r="A1025">
        <f>IFERROR(INDEX('Email Cleaner'!$B$2:$B$10001,MATCH(1024,'Email Cleaner'!$J$2:$J$10001,0)),"")</f>
        <v/>
      </c>
    </row>
    <row r="1026">
      <c r="A1026">
        <f>IFERROR(INDEX('Email Cleaner'!$B$2:$B$10001,MATCH(1025,'Email Cleaner'!$J$2:$J$10001,0)),"")</f>
        <v/>
      </c>
    </row>
    <row r="1027">
      <c r="A1027">
        <f>IFERROR(INDEX('Email Cleaner'!$B$2:$B$10001,MATCH(1026,'Email Cleaner'!$J$2:$J$10001,0)),"")</f>
        <v/>
      </c>
    </row>
    <row r="1028">
      <c r="A1028">
        <f>IFERROR(INDEX('Email Cleaner'!$B$2:$B$10001,MATCH(1027,'Email Cleaner'!$J$2:$J$10001,0)),"")</f>
        <v/>
      </c>
    </row>
    <row r="1029">
      <c r="A1029">
        <f>IFERROR(INDEX('Email Cleaner'!$B$2:$B$10001,MATCH(1028,'Email Cleaner'!$J$2:$J$10001,0)),"")</f>
        <v/>
      </c>
    </row>
    <row r="1030">
      <c r="A1030">
        <f>IFERROR(INDEX('Email Cleaner'!$B$2:$B$10001,MATCH(1029,'Email Cleaner'!$J$2:$J$10001,0)),"")</f>
        <v/>
      </c>
    </row>
    <row r="1031">
      <c r="A1031">
        <f>IFERROR(INDEX('Email Cleaner'!$B$2:$B$10001,MATCH(1030,'Email Cleaner'!$J$2:$J$10001,0)),"")</f>
        <v/>
      </c>
    </row>
    <row r="1032">
      <c r="A1032">
        <f>IFERROR(INDEX('Email Cleaner'!$B$2:$B$10001,MATCH(1031,'Email Cleaner'!$J$2:$J$10001,0)),"")</f>
        <v/>
      </c>
    </row>
    <row r="1033">
      <c r="A1033">
        <f>IFERROR(INDEX('Email Cleaner'!$B$2:$B$10001,MATCH(1032,'Email Cleaner'!$J$2:$J$10001,0)),"")</f>
        <v/>
      </c>
    </row>
    <row r="1034">
      <c r="A1034">
        <f>IFERROR(INDEX('Email Cleaner'!$B$2:$B$10001,MATCH(1033,'Email Cleaner'!$J$2:$J$10001,0)),"")</f>
        <v/>
      </c>
    </row>
    <row r="1035">
      <c r="A1035">
        <f>IFERROR(INDEX('Email Cleaner'!$B$2:$B$10001,MATCH(1034,'Email Cleaner'!$J$2:$J$10001,0)),"")</f>
        <v/>
      </c>
    </row>
    <row r="1036">
      <c r="A1036">
        <f>IFERROR(INDEX('Email Cleaner'!$B$2:$B$10001,MATCH(1035,'Email Cleaner'!$J$2:$J$10001,0)),"")</f>
        <v/>
      </c>
    </row>
    <row r="1037">
      <c r="A1037">
        <f>IFERROR(INDEX('Email Cleaner'!$B$2:$B$10001,MATCH(1036,'Email Cleaner'!$J$2:$J$10001,0)),"")</f>
        <v/>
      </c>
    </row>
    <row r="1038">
      <c r="A1038">
        <f>IFERROR(INDEX('Email Cleaner'!$B$2:$B$10001,MATCH(1037,'Email Cleaner'!$J$2:$J$10001,0)),"")</f>
        <v/>
      </c>
    </row>
    <row r="1039">
      <c r="A1039">
        <f>IFERROR(INDEX('Email Cleaner'!$B$2:$B$10001,MATCH(1038,'Email Cleaner'!$J$2:$J$10001,0)),"")</f>
        <v/>
      </c>
    </row>
    <row r="1040">
      <c r="A1040">
        <f>IFERROR(INDEX('Email Cleaner'!$B$2:$B$10001,MATCH(1039,'Email Cleaner'!$J$2:$J$10001,0)),"")</f>
        <v/>
      </c>
    </row>
    <row r="1041">
      <c r="A1041">
        <f>IFERROR(INDEX('Email Cleaner'!$B$2:$B$10001,MATCH(1040,'Email Cleaner'!$J$2:$J$10001,0)),"")</f>
        <v/>
      </c>
    </row>
    <row r="1042">
      <c r="A1042">
        <f>IFERROR(INDEX('Email Cleaner'!$B$2:$B$10001,MATCH(1041,'Email Cleaner'!$J$2:$J$10001,0)),"")</f>
        <v/>
      </c>
    </row>
    <row r="1043">
      <c r="A1043">
        <f>IFERROR(INDEX('Email Cleaner'!$B$2:$B$10001,MATCH(1042,'Email Cleaner'!$J$2:$J$10001,0)),"")</f>
        <v/>
      </c>
    </row>
    <row r="1044">
      <c r="A1044">
        <f>IFERROR(INDEX('Email Cleaner'!$B$2:$B$10001,MATCH(1043,'Email Cleaner'!$J$2:$J$10001,0)),"")</f>
        <v/>
      </c>
    </row>
    <row r="1045">
      <c r="A1045">
        <f>IFERROR(INDEX('Email Cleaner'!$B$2:$B$10001,MATCH(1044,'Email Cleaner'!$J$2:$J$10001,0)),"")</f>
        <v/>
      </c>
    </row>
    <row r="1046">
      <c r="A1046">
        <f>IFERROR(INDEX('Email Cleaner'!$B$2:$B$10001,MATCH(1045,'Email Cleaner'!$J$2:$J$10001,0)),"")</f>
        <v/>
      </c>
    </row>
    <row r="1047">
      <c r="A1047">
        <f>IFERROR(INDEX('Email Cleaner'!$B$2:$B$10001,MATCH(1046,'Email Cleaner'!$J$2:$J$10001,0)),"")</f>
        <v/>
      </c>
    </row>
    <row r="1048">
      <c r="A1048">
        <f>IFERROR(INDEX('Email Cleaner'!$B$2:$B$10001,MATCH(1047,'Email Cleaner'!$J$2:$J$10001,0)),"")</f>
        <v/>
      </c>
    </row>
    <row r="1049">
      <c r="A1049">
        <f>IFERROR(INDEX('Email Cleaner'!$B$2:$B$10001,MATCH(1048,'Email Cleaner'!$J$2:$J$10001,0)),"")</f>
        <v/>
      </c>
    </row>
    <row r="1050">
      <c r="A1050">
        <f>IFERROR(INDEX('Email Cleaner'!$B$2:$B$10001,MATCH(1049,'Email Cleaner'!$J$2:$J$10001,0)),"")</f>
        <v/>
      </c>
    </row>
    <row r="1051">
      <c r="A1051">
        <f>IFERROR(INDEX('Email Cleaner'!$B$2:$B$10001,MATCH(1050,'Email Cleaner'!$J$2:$J$10001,0)),"")</f>
        <v/>
      </c>
    </row>
    <row r="1052">
      <c r="A1052">
        <f>IFERROR(INDEX('Email Cleaner'!$B$2:$B$10001,MATCH(1051,'Email Cleaner'!$J$2:$J$10001,0)),"")</f>
        <v/>
      </c>
    </row>
    <row r="1053">
      <c r="A1053">
        <f>IFERROR(INDEX('Email Cleaner'!$B$2:$B$10001,MATCH(1052,'Email Cleaner'!$J$2:$J$10001,0)),"")</f>
        <v/>
      </c>
    </row>
    <row r="1054">
      <c r="A1054">
        <f>IFERROR(INDEX('Email Cleaner'!$B$2:$B$10001,MATCH(1053,'Email Cleaner'!$J$2:$J$10001,0)),"")</f>
        <v/>
      </c>
    </row>
    <row r="1055">
      <c r="A1055">
        <f>IFERROR(INDEX('Email Cleaner'!$B$2:$B$10001,MATCH(1054,'Email Cleaner'!$J$2:$J$10001,0)),"")</f>
        <v/>
      </c>
    </row>
    <row r="1056">
      <c r="A1056">
        <f>IFERROR(INDEX('Email Cleaner'!$B$2:$B$10001,MATCH(1055,'Email Cleaner'!$J$2:$J$10001,0)),"")</f>
        <v/>
      </c>
    </row>
    <row r="1057">
      <c r="A1057">
        <f>IFERROR(INDEX('Email Cleaner'!$B$2:$B$10001,MATCH(1056,'Email Cleaner'!$J$2:$J$10001,0)),"")</f>
        <v/>
      </c>
    </row>
    <row r="1058">
      <c r="A1058">
        <f>IFERROR(INDEX('Email Cleaner'!$B$2:$B$10001,MATCH(1057,'Email Cleaner'!$J$2:$J$10001,0)),"")</f>
        <v/>
      </c>
    </row>
    <row r="1059">
      <c r="A1059">
        <f>IFERROR(INDEX('Email Cleaner'!$B$2:$B$10001,MATCH(1058,'Email Cleaner'!$J$2:$J$10001,0)),"")</f>
        <v/>
      </c>
    </row>
    <row r="1060">
      <c r="A1060">
        <f>IFERROR(INDEX('Email Cleaner'!$B$2:$B$10001,MATCH(1059,'Email Cleaner'!$J$2:$J$10001,0)),"")</f>
        <v/>
      </c>
    </row>
    <row r="1061">
      <c r="A1061">
        <f>IFERROR(INDEX('Email Cleaner'!$B$2:$B$10001,MATCH(1060,'Email Cleaner'!$J$2:$J$10001,0)),"")</f>
        <v/>
      </c>
    </row>
    <row r="1062">
      <c r="A1062">
        <f>IFERROR(INDEX('Email Cleaner'!$B$2:$B$10001,MATCH(1061,'Email Cleaner'!$J$2:$J$10001,0)),"")</f>
        <v/>
      </c>
    </row>
    <row r="1063">
      <c r="A1063">
        <f>IFERROR(INDEX('Email Cleaner'!$B$2:$B$10001,MATCH(1062,'Email Cleaner'!$J$2:$J$10001,0)),"")</f>
        <v/>
      </c>
    </row>
    <row r="1064">
      <c r="A1064">
        <f>IFERROR(INDEX('Email Cleaner'!$B$2:$B$10001,MATCH(1063,'Email Cleaner'!$J$2:$J$10001,0)),"")</f>
        <v/>
      </c>
    </row>
    <row r="1065">
      <c r="A1065">
        <f>IFERROR(INDEX('Email Cleaner'!$B$2:$B$10001,MATCH(1064,'Email Cleaner'!$J$2:$J$10001,0)),"")</f>
        <v/>
      </c>
    </row>
    <row r="1066">
      <c r="A1066">
        <f>IFERROR(INDEX('Email Cleaner'!$B$2:$B$10001,MATCH(1065,'Email Cleaner'!$J$2:$J$10001,0)),"")</f>
        <v/>
      </c>
    </row>
    <row r="1067">
      <c r="A1067">
        <f>IFERROR(INDEX('Email Cleaner'!$B$2:$B$10001,MATCH(1066,'Email Cleaner'!$J$2:$J$10001,0)),"")</f>
        <v/>
      </c>
    </row>
    <row r="1068">
      <c r="A1068">
        <f>IFERROR(INDEX('Email Cleaner'!$B$2:$B$10001,MATCH(1067,'Email Cleaner'!$J$2:$J$10001,0)),"")</f>
        <v/>
      </c>
    </row>
    <row r="1069">
      <c r="A1069">
        <f>IFERROR(INDEX('Email Cleaner'!$B$2:$B$10001,MATCH(1068,'Email Cleaner'!$J$2:$J$10001,0)),"")</f>
        <v/>
      </c>
    </row>
    <row r="1070">
      <c r="A1070">
        <f>IFERROR(INDEX('Email Cleaner'!$B$2:$B$10001,MATCH(1069,'Email Cleaner'!$J$2:$J$10001,0)),"")</f>
        <v/>
      </c>
    </row>
    <row r="1071">
      <c r="A1071">
        <f>IFERROR(INDEX('Email Cleaner'!$B$2:$B$10001,MATCH(1070,'Email Cleaner'!$J$2:$J$10001,0)),"")</f>
        <v/>
      </c>
    </row>
    <row r="1072">
      <c r="A1072">
        <f>IFERROR(INDEX('Email Cleaner'!$B$2:$B$10001,MATCH(1071,'Email Cleaner'!$J$2:$J$10001,0)),"")</f>
        <v/>
      </c>
    </row>
    <row r="1073">
      <c r="A1073">
        <f>IFERROR(INDEX('Email Cleaner'!$B$2:$B$10001,MATCH(1072,'Email Cleaner'!$J$2:$J$10001,0)),"")</f>
        <v/>
      </c>
    </row>
    <row r="1074">
      <c r="A1074">
        <f>IFERROR(INDEX('Email Cleaner'!$B$2:$B$10001,MATCH(1073,'Email Cleaner'!$J$2:$J$10001,0)),"")</f>
        <v/>
      </c>
    </row>
    <row r="1075">
      <c r="A1075">
        <f>IFERROR(INDEX('Email Cleaner'!$B$2:$B$10001,MATCH(1074,'Email Cleaner'!$J$2:$J$10001,0)),"")</f>
        <v/>
      </c>
    </row>
    <row r="1076">
      <c r="A1076">
        <f>IFERROR(INDEX('Email Cleaner'!$B$2:$B$10001,MATCH(1075,'Email Cleaner'!$J$2:$J$10001,0)),"")</f>
        <v/>
      </c>
    </row>
    <row r="1077">
      <c r="A1077">
        <f>IFERROR(INDEX('Email Cleaner'!$B$2:$B$10001,MATCH(1076,'Email Cleaner'!$J$2:$J$10001,0)),"")</f>
        <v/>
      </c>
    </row>
    <row r="1078">
      <c r="A1078">
        <f>IFERROR(INDEX('Email Cleaner'!$B$2:$B$10001,MATCH(1077,'Email Cleaner'!$J$2:$J$10001,0)),"")</f>
        <v/>
      </c>
    </row>
    <row r="1079">
      <c r="A1079">
        <f>IFERROR(INDEX('Email Cleaner'!$B$2:$B$10001,MATCH(1078,'Email Cleaner'!$J$2:$J$10001,0)),"")</f>
        <v/>
      </c>
    </row>
    <row r="1080">
      <c r="A1080">
        <f>IFERROR(INDEX('Email Cleaner'!$B$2:$B$10001,MATCH(1079,'Email Cleaner'!$J$2:$J$10001,0)),"")</f>
        <v/>
      </c>
    </row>
    <row r="1081">
      <c r="A1081">
        <f>IFERROR(INDEX('Email Cleaner'!$B$2:$B$10001,MATCH(1080,'Email Cleaner'!$J$2:$J$10001,0)),"")</f>
        <v/>
      </c>
    </row>
    <row r="1082">
      <c r="A1082">
        <f>IFERROR(INDEX('Email Cleaner'!$B$2:$B$10001,MATCH(1081,'Email Cleaner'!$J$2:$J$10001,0)),"")</f>
        <v/>
      </c>
    </row>
    <row r="1083">
      <c r="A1083">
        <f>IFERROR(INDEX('Email Cleaner'!$B$2:$B$10001,MATCH(1082,'Email Cleaner'!$J$2:$J$10001,0)),"")</f>
        <v/>
      </c>
    </row>
    <row r="1084">
      <c r="A1084">
        <f>IFERROR(INDEX('Email Cleaner'!$B$2:$B$10001,MATCH(1083,'Email Cleaner'!$J$2:$J$10001,0)),"")</f>
        <v/>
      </c>
    </row>
    <row r="1085">
      <c r="A1085">
        <f>IFERROR(INDEX('Email Cleaner'!$B$2:$B$10001,MATCH(1084,'Email Cleaner'!$J$2:$J$10001,0)),"")</f>
        <v/>
      </c>
    </row>
    <row r="1086">
      <c r="A1086">
        <f>IFERROR(INDEX('Email Cleaner'!$B$2:$B$10001,MATCH(1085,'Email Cleaner'!$J$2:$J$10001,0)),"")</f>
        <v/>
      </c>
    </row>
    <row r="1087">
      <c r="A1087">
        <f>IFERROR(INDEX('Email Cleaner'!$B$2:$B$10001,MATCH(1086,'Email Cleaner'!$J$2:$J$10001,0)),"")</f>
        <v/>
      </c>
    </row>
    <row r="1088">
      <c r="A1088">
        <f>IFERROR(INDEX('Email Cleaner'!$B$2:$B$10001,MATCH(1087,'Email Cleaner'!$J$2:$J$10001,0)),"")</f>
        <v/>
      </c>
    </row>
    <row r="1089">
      <c r="A1089">
        <f>IFERROR(INDEX('Email Cleaner'!$B$2:$B$10001,MATCH(1088,'Email Cleaner'!$J$2:$J$10001,0)),"")</f>
        <v/>
      </c>
    </row>
    <row r="1090">
      <c r="A1090">
        <f>IFERROR(INDEX('Email Cleaner'!$B$2:$B$10001,MATCH(1089,'Email Cleaner'!$J$2:$J$10001,0)),"")</f>
        <v/>
      </c>
    </row>
    <row r="1091">
      <c r="A1091">
        <f>IFERROR(INDEX('Email Cleaner'!$B$2:$B$10001,MATCH(1090,'Email Cleaner'!$J$2:$J$10001,0)),"")</f>
        <v/>
      </c>
    </row>
    <row r="1092">
      <c r="A1092">
        <f>IFERROR(INDEX('Email Cleaner'!$B$2:$B$10001,MATCH(1091,'Email Cleaner'!$J$2:$J$10001,0)),"")</f>
        <v/>
      </c>
    </row>
    <row r="1093">
      <c r="A1093">
        <f>IFERROR(INDEX('Email Cleaner'!$B$2:$B$10001,MATCH(1092,'Email Cleaner'!$J$2:$J$10001,0)),"")</f>
        <v/>
      </c>
    </row>
    <row r="1094">
      <c r="A1094">
        <f>IFERROR(INDEX('Email Cleaner'!$B$2:$B$10001,MATCH(1093,'Email Cleaner'!$J$2:$J$10001,0)),"")</f>
        <v/>
      </c>
    </row>
    <row r="1095">
      <c r="A1095">
        <f>IFERROR(INDEX('Email Cleaner'!$B$2:$B$10001,MATCH(1094,'Email Cleaner'!$J$2:$J$10001,0)),"")</f>
        <v/>
      </c>
    </row>
    <row r="1096">
      <c r="A1096">
        <f>IFERROR(INDEX('Email Cleaner'!$B$2:$B$10001,MATCH(1095,'Email Cleaner'!$J$2:$J$10001,0)),"")</f>
        <v/>
      </c>
    </row>
    <row r="1097">
      <c r="A1097">
        <f>IFERROR(INDEX('Email Cleaner'!$B$2:$B$10001,MATCH(1096,'Email Cleaner'!$J$2:$J$10001,0)),"")</f>
        <v/>
      </c>
    </row>
    <row r="1098">
      <c r="A1098">
        <f>IFERROR(INDEX('Email Cleaner'!$B$2:$B$10001,MATCH(1097,'Email Cleaner'!$J$2:$J$10001,0)),"")</f>
        <v/>
      </c>
    </row>
    <row r="1099">
      <c r="A1099">
        <f>IFERROR(INDEX('Email Cleaner'!$B$2:$B$10001,MATCH(1098,'Email Cleaner'!$J$2:$J$10001,0)),"")</f>
        <v/>
      </c>
    </row>
    <row r="1100">
      <c r="A1100">
        <f>IFERROR(INDEX('Email Cleaner'!$B$2:$B$10001,MATCH(1099,'Email Cleaner'!$J$2:$J$10001,0)),"")</f>
        <v/>
      </c>
    </row>
    <row r="1101">
      <c r="A1101">
        <f>IFERROR(INDEX('Email Cleaner'!$B$2:$B$10001,MATCH(1100,'Email Cleaner'!$J$2:$J$10001,0)),"")</f>
        <v/>
      </c>
    </row>
    <row r="1102">
      <c r="A1102">
        <f>IFERROR(INDEX('Email Cleaner'!$B$2:$B$10001,MATCH(1101,'Email Cleaner'!$J$2:$J$10001,0)),"")</f>
        <v/>
      </c>
    </row>
    <row r="1103">
      <c r="A1103">
        <f>IFERROR(INDEX('Email Cleaner'!$B$2:$B$10001,MATCH(1102,'Email Cleaner'!$J$2:$J$10001,0)),"")</f>
        <v/>
      </c>
    </row>
    <row r="1104">
      <c r="A1104">
        <f>IFERROR(INDEX('Email Cleaner'!$B$2:$B$10001,MATCH(1103,'Email Cleaner'!$J$2:$J$10001,0)),"")</f>
        <v/>
      </c>
    </row>
    <row r="1105">
      <c r="A1105">
        <f>IFERROR(INDEX('Email Cleaner'!$B$2:$B$10001,MATCH(1104,'Email Cleaner'!$J$2:$J$10001,0)),"")</f>
        <v/>
      </c>
    </row>
    <row r="1106">
      <c r="A1106">
        <f>IFERROR(INDEX('Email Cleaner'!$B$2:$B$10001,MATCH(1105,'Email Cleaner'!$J$2:$J$10001,0)),"")</f>
        <v/>
      </c>
    </row>
    <row r="1107">
      <c r="A1107">
        <f>IFERROR(INDEX('Email Cleaner'!$B$2:$B$10001,MATCH(1106,'Email Cleaner'!$J$2:$J$10001,0)),"")</f>
        <v/>
      </c>
    </row>
    <row r="1108">
      <c r="A1108">
        <f>IFERROR(INDEX('Email Cleaner'!$B$2:$B$10001,MATCH(1107,'Email Cleaner'!$J$2:$J$10001,0)),"")</f>
        <v/>
      </c>
    </row>
    <row r="1109">
      <c r="A1109">
        <f>IFERROR(INDEX('Email Cleaner'!$B$2:$B$10001,MATCH(1108,'Email Cleaner'!$J$2:$J$10001,0)),"")</f>
        <v/>
      </c>
    </row>
    <row r="1110">
      <c r="A1110">
        <f>IFERROR(INDEX('Email Cleaner'!$B$2:$B$10001,MATCH(1109,'Email Cleaner'!$J$2:$J$10001,0)),"")</f>
        <v/>
      </c>
    </row>
    <row r="1111">
      <c r="A1111">
        <f>IFERROR(INDEX('Email Cleaner'!$B$2:$B$10001,MATCH(1110,'Email Cleaner'!$J$2:$J$10001,0)),"")</f>
        <v/>
      </c>
    </row>
    <row r="1112">
      <c r="A1112">
        <f>IFERROR(INDEX('Email Cleaner'!$B$2:$B$10001,MATCH(1111,'Email Cleaner'!$J$2:$J$10001,0)),"")</f>
        <v/>
      </c>
    </row>
    <row r="1113">
      <c r="A1113">
        <f>IFERROR(INDEX('Email Cleaner'!$B$2:$B$10001,MATCH(1112,'Email Cleaner'!$J$2:$J$10001,0)),"")</f>
        <v/>
      </c>
    </row>
    <row r="1114">
      <c r="A1114">
        <f>IFERROR(INDEX('Email Cleaner'!$B$2:$B$10001,MATCH(1113,'Email Cleaner'!$J$2:$J$10001,0)),"")</f>
        <v/>
      </c>
    </row>
    <row r="1115">
      <c r="A1115">
        <f>IFERROR(INDEX('Email Cleaner'!$B$2:$B$10001,MATCH(1114,'Email Cleaner'!$J$2:$J$10001,0)),"")</f>
        <v/>
      </c>
    </row>
    <row r="1116">
      <c r="A1116">
        <f>IFERROR(INDEX('Email Cleaner'!$B$2:$B$10001,MATCH(1115,'Email Cleaner'!$J$2:$J$10001,0)),"")</f>
        <v/>
      </c>
    </row>
    <row r="1117">
      <c r="A1117">
        <f>IFERROR(INDEX('Email Cleaner'!$B$2:$B$10001,MATCH(1116,'Email Cleaner'!$J$2:$J$10001,0)),"")</f>
        <v/>
      </c>
    </row>
    <row r="1118">
      <c r="A1118">
        <f>IFERROR(INDEX('Email Cleaner'!$B$2:$B$10001,MATCH(1117,'Email Cleaner'!$J$2:$J$10001,0)),"")</f>
        <v/>
      </c>
    </row>
    <row r="1119">
      <c r="A1119">
        <f>IFERROR(INDEX('Email Cleaner'!$B$2:$B$10001,MATCH(1118,'Email Cleaner'!$J$2:$J$10001,0)),"")</f>
        <v/>
      </c>
    </row>
    <row r="1120">
      <c r="A1120">
        <f>IFERROR(INDEX('Email Cleaner'!$B$2:$B$10001,MATCH(1119,'Email Cleaner'!$J$2:$J$10001,0)),"")</f>
        <v/>
      </c>
    </row>
    <row r="1121">
      <c r="A1121">
        <f>IFERROR(INDEX('Email Cleaner'!$B$2:$B$10001,MATCH(1120,'Email Cleaner'!$J$2:$J$10001,0)),"")</f>
        <v/>
      </c>
    </row>
    <row r="1122">
      <c r="A1122">
        <f>IFERROR(INDEX('Email Cleaner'!$B$2:$B$10001,MATCH(1121,'Email Cleaner'!$J$2:$J$10001,0)),"")</f>
        <v/>
      </c>
    </row>
    <row r="1123">
      <c r="A1123">
        <f>IFERROR(INDEX('Email Cleaner'!$B$2:$B$10001,MATCH(1122,'Email Cleaner'!$J$2:$J$10001,0)),"")</f>
        <v/>
      </c>
    </row>
    <row r="1124">
      <c r="A1124">
        <f>IFERROR(INDEX('Email Cleaner'!$B$2:$B$10001,MATCH(1123,'Email Cleaner'!$J$2:$J$10001,0)),"")</f>
        <v/>
      </c>
    </row>
    <row r="1125">
      <c r="A1125">
        <f>IFERROR(INDEX('Email Cleaner'!$B$2:$B$10001,MATCH(1124,'Email Cleaner'!$J$2:$J$10001,0)),"")</f>
        <v/>
      </c>
    </row>
    <row r="1126">
      <c r="A1126">
        <f>IFERROR(INDEX('Email Cleaner'!$B$2:$B$10001,MATCH(1125,'Email Cleaner'!$J$2:$J$10001,0)),"")</f>
        <v/>
      </c>
    </row>
    <row r="1127">
      <c r="A1127">
        <f>IFERROR(INDEX('Email Cleaner'!$B$2:$B$10001,MATCH(1126,'Email Cleaner'!$J$2:$J$10001,0)),"")</f>
        <v/>
      </c>
    </row>
    <row r="1128">
      <c r="A1128">
        <f>IFERROR(INDEX('Email Cleaner'!$B$2:$B$10001,MATCH(1127,'Email Cleaner'!$J$2:$J$10001,0)),"")</f>
        <v/>
      </c>
    </row>
    <row r="1129">
      <c r="A1129">
        <f>IFERROR(INDEX('Email Cleaner'!$B$2:$B$10001,MATCH(1128,'Email Cleaner'!$J$2:$J$10001,0)),"")</f>
        <v/>
      </c>
    </row>
    <row r="1130">
      <c r="A1130">
        <f>IFERROR(INDEX('Email Cleaner'!$B$2:$B$10001,MATCH(1129,'Email Cleaner'!$J$2:$J$10001,0)),"")</f>
        <v/>
      </c>
    </row>
    <row r="1131">
      <c r="A1131">
        <f>IFERROR(INDEX('Email Cleaner'!$B$2:$B$10001,MATCH(1130,'Email Cleaner'!$J$2:$J$10001,0)),"")</f>
        <v/>
      </c>
    </row>
    <row r="1132">
      <c r="A1132">
        <f>IFERROR(INDEX('Email Cleaner'!$B$2:$B$10001,MATCH(1131,'Email Cleaner'!$J$2:$J$10001,0)),"")</f>
        <v/>
      </c>
    </row>
    <row r="1133">
      <c r="A1133">
        <f>IFERROR(INDEX('Email Cleaner'!$B$2:$B$10001,MATCH(1132,'Email Cleaner'!$J$2:$J$10001,0)),"")</f>
        <v/>
      </c>
    </row>
    <row r="1134">
      <c r="A1134">
        <f>IFERROR(INDEX('Email Cleaner'!$B$2:$B$10001,MATCH(1133,'Email Cleaner'!$J$2:$J$10001,0)),"")</f>
        <v/>
      </c>
    </row>
    <row r="1135">
      <c r="A1135">
        <f>IFERROR(INDEX('Email Cleaner'!$B$2:$B$10001,MATCH(1134,'Email Cleaner'!$J$2:$J$10001,0)),"")</f>
        <v/>
      </c>
    </row>
    <row r="1136">
      <c r="A1136">
        <f>IFERROR(INDEX('Email Cleaner'!$B$2:$B$10001,MATCH(1135,'Email Cleaner'!$J$2:$J$10001,0)),"")</f>
        <v/>
      </c>
    </row>
    <row r="1137">
      <c r="A1137">
        <f>IFERROR(INDEX('Email Cleaner'!$B$2:$B$10001,MATCH(1136,'Email Cleaner'!$J$2:$J$10001,0)),"")</f>
        <v/>
      </c>
    </row>
    <row r="1138">
      <c r="A1138">
        <f>IFERROR(INDEX('Email Cleaner'!$B$2:$B$10001,MATCH(1137,'Email Cleaner'!$J$2:$J$10001,0)),"")</f>
        <v/>
      </c>
    </row>
    <row r="1139">
      <c r="A1139">
        <f>IFERROR(INDEX('Email Cleaner'!$B$2:$B$10001,MATCH(1138,'Email Cleaner'!$J$2:$J$10001,0)),"")</f>
        <v/>
      </c>
    </row>
    <row r="1140">
      <c r="A1140">
        <f>IFERROR(INDEX('Email Cleaner'!$B$2:$B$10001,MATCH(1139,'Email Cleaner'!$J$2:$J$10001,0)),"")</f>
        <v/>
      </c>
    </row>
    <row r="1141">
      <c r="A1141">
        <f>IFERROR(INDEX('Email Cleaner'!$B$2:$B$10001,MATCH(1140,'Email Cleaner'!$J$2:$J$10001,0)),"")</f>
        <v/>
      </c>
    </row>
    <row r="1142">
      <c r="A1142">
        <f>IFERROR(INDEX('Email Cleaner'!$B$2:$B$10001,MATCH(1141,'Email Cleaner'!$J$2:$J$10001,0)),"")</f>
        <v/>
      </c>
    </row>
    <row r="1143">
      <c r="A1143">
        <f>IFERROR(INDEX('Email Cleaner'!$B$2:$B$10001,MATCH(1142,'Email Cleaner'!$J$2:$J$10001,0)),"")</f>
        <v/>
      </c>
    </row>
    <row r="1144">
      <c r="A1144">
        <f>IFERROR(INDEX('Email Cleaner'!$B$2:$B$10001,MATCH(1143,'Email Cleaner'!$J$2:$J$10001,0)),"")</f>
        <v/>
      </c>
    </row>
    <row r="1145">
      <c r="A1145">
        <f>IFERROR(INDEX('Email Cleaner'!$B$2:$B$10001,MATCH(1144,'Email Cleaner'!$J$2:$J$10001,0)),"")</f>
        <v/>
      </c>
    </row>
    <row r="1146">
      <c r="A1146">
        <f>IFERROR(INDEX('Email Cleaner'!$B$2:$B$10001,MATCH(1145,'Email Cleaner'!$J$2:$J$10001,0)),"")</f>
        <v/>
      </c>
    </row>
    <row r="1147">
      <c r="A1147">
        <f>IFERROR(INDEX('Email Cleaner'!$B$2:$B$10001,MATCH(1146,'Email Cleaner'!$J$2:$J$10001,0)),"")</f>
        <v/>
      </c>
    </row>
    <row r="1148">
      <c r="A1148">
        <f>IFERROR(INDEX('Email Cleaner'!$B$2:$B$10001,MATCH(1147,'Email Cleaner'!$J$2:$J$10001,0)),"")</f>
        <v/>
      </c>
    </row>
    <row r="1149">
      <c r="A1149">
        <f>IFERROR(INDEX('Email Cleaner'!$B$2:$B$10001,MATCH(1148,'Email Cleaner'!$J$2:$J$10001,0)),"")</f>
        <v/>
      </c>
    </row>
    <row r="1150">
      <c r="A1150">
        <f>IFERROR(INDEX('Email Cleaner'!$B$2:$B$10001,MATCH(1149,'Email Cleaner'!$J$2:$J$10001,0)),"")</f>
        <v/>
      </c>
    </row>
    <row r="1151">
      <c r="A1151">
        <f>IFERROR(INDEX('Email Cleaner'!$B$2:$B$10001,MATCH(1150,'Email Cleaner'!$J$2:$J$10001,0)),"")</f>
        <v/>
      </c>
    </row>
    <row r="1152">
      <c r="A1152">
        <f>IFERROR(INDEX('Email Cleaner'!$B$2:$B$10001,MATCH(1151,'Email Cleaner'!$J$2:$J$10001,0)),"")</f>
        <v/>
      </c>
    </row>
    <row r="1153">
      <c r="A1153">
        <f>IFERROR(INDEX('Email Cleaner'!$B$2:$B$10001,MATCH(1152,'Email Cleaner'!$J$2:$J$10001,0)),"")</f>
        <v/>
      </c>
    </row>
    <row r="1154">
      <c r="A1154">
        <f>IFERROR(INDEX('Email Cleaner'!$B$2:$B$10001,MATCH(1153,'Email Cleaner'!$J$2:$J$10001,0)),"")</f>
        <v/>
      </c>
    </row>
    <row r="1155">
      <c r="A1155">
        <f>IFERROR(INDEX('Email Cleaner'!$B$2:$B$10001,MATCH(1154,'Email Cleaner'!$J$2:$J$10001,0)),"")</f>
        <v/>
      </c>
    </row>
    <row r="1156">
      <c r="A1156">
        <f>IFERROR(INDEX('Email Cleaner'!$B$2:$B$10001,MATCH(1155,'Email Cleaner'!$J$2:$J$10001,0)),"")</f>
        <v/>
      </c>
    </row>
    <row r="1157">
      <c r="A1157">
        <f>IFERROR(INDEX('Email Cleaner'!$B$2:$B$10001,MATCH(1156,'Email Cleaner'!$J$2:$J$10001,0)),"")</f>
        <v/>
      </c>
    </row>
    <row r="1158">
      <c r="A1158">
        <f>IFERROR(INDEX('Email Cleaner'!$B$2:$B$10001,MATCH(1157,'Email Cleaner'!$J$2:$J$10001,0)),"")</f>
        <v/>
      </c>
    </row>
    <row r="1159">
      <c r="A1159">
        <f>IFERROR(INDEX('Email Cleaner'!$B$2:$B$10001,MATCH(1158,'Email Cleaner'!$J$2:$J$10001,0)),"")</f>
        <v/>
      </c>
    </row>
    <row r="1160">
      <c r="A1160">
        <f>IFERROR(INDEX('Email Cleaner'!$B$2:$B$10001,MATCH(1159,'Email Cleaner'!$J$2:$J$10001,0)),"")</f>
        <v/>
      </c>
    </row>
    <row r="1161">
      <c r="A1161">
        <f>IFERROR(INDEX('Email Cleaner'!$B$2:$B$10001,MATCH(1160,'Email Cleaner'!$J$2:$J$10001,0)),"")</f>
        <v/>
      </c>
    </row>
    <row r="1162">
      <c r="A1162">
        <f>IFERROR(INDEX('Email Cleaner'!$B$2:$B$10001,MATCH(1161,'Email Cleaner'!$J$2:$J$10001,0)),"")</f>
        <v/>
      </c>
    </row>
    <row r="1163">
      <c r="A1163">
        <f>IFERROR(INDEX('Email Cleaner'!$B$2:$B$10001,MATCH(1162,'Email Cleaner'!$J$2:$J$10001,0)),"")</f>
        <v/>
      </c>
    </row>
    <row r="1164">
      <c r="A1164">
        <f>IFERROR(INDEX('Email Cleaner'!$B$2:$B$10001,MATCH(1163,'Email Cleaner'!$J$2:$J$10001,0)),"")</f>
        <v/>
      </c>
    </row>
    <row r="1165">
      <c r="A1165">
        <f>IFERROR(INDEX('Email Cleaner'!$B$2:$B$10001,MATCH(1164,'Email Cleaner'!$J$2:$J$10001,0)),"")</f>
        <v/>
      </c>
    </row>
    <row r="1166">
      <c r="A1166">
        <f>IFERROR(INDEX('Email Cleaner'!$B$2:$B$10001,MATCH(1165,'Email Cleaner'!$J$2:$J$10001,0)),"")</f>
        <v/>
      </c>
    </row>
    <row r="1167">
      <c r="A1167">
        <f>IFERROR(INDEX('Email Cleaner'!$B$2:$B$10001,MATCH(1166,'Email Cleaner'!$J$2:$J$10001,0)),"")</f>
        <v/>
      </c>
    </row>
    <row r="1168">
      <c r="A1168">
        <f>IFERROR(INDEX('Email Cleaner'!$B$2:$B$10001,MATCH(1167,'Email Cleaner'!$J$2:$J$10001,0)),"")</f>
        <v/>
      </c>
    </row>
    <row r="1169">
      <c r="A1169">
        <f>IFERROR(INDEX('Email Cleaner'!$B$2:$B$10001,MATCH(1168,'Email Cleaner'!$J$2:$J$10001,0)),"")</f>
        <v/>
      </c>
    </row>
    <row r="1170">
      <c r="A1170">
        <f>IFERROR(INDEX('Email Cleaner'!$B$2:$B$10001,MATCH(1169,'Email Cleaner'!$J$2:$J$10001,0)),"")</f>
        <v/>
      </c>
    </row>
    <row r="1171">
      <c r="A1171">
        <f>IFERROR(INDEX('Email Cleaner'!$B$2:$B$10001,MATCH(1170,'Email Cleaner'!$J$2:$J$10001,0)),"")</f>
        <v/>
      </c>
    </row>
    <row r="1172">
      <c r="A1172">
        <f>IFERROR(INDEX('Email Cleaner'!$B$2:$B$10001,MATCH(1171,'Email Cleaner'!$J$2:$J$10001,0)),"")</f>
        <v/>
      </c>
    </row>
    <row r="1173">
      <c r="A1173">
        <f>IFERROR(INDEX('Email Cleaner'!$B$2:$B$10001,MATCH(1172,'Email Cleaner'!$J$2:$J$10001,0)),"")</f>
        <v/>
      </c>
    </row>
    <row r="1174">
      <c r="A1174">
        <f>IFERROR(INDEX('Email Cleaner'!$B$2:$B$10001,MATCH(1173,'Email Cleaner'!$J$2:$J$10001,0)),"")</f>
        <v/>
      </c>
    </row>
    <row r="1175">
      <c r="A1175">
        <f>IFERROR(INDEX('Email Cleaner'!$B$2:$B$10001,MATCH(1174,'Email Cleaner'!$J$2:$J$10001,0)),"")</f>
        <v/>
      </c>
    </row>
    <row r="1176">
      <c r="A1176">
        <f>IFERROR(INDEX('Email Cleaner'!$B$2:$B$10001,MATCH(1175,'Email Cleaner'!$J$2:$J$10001,0)),"")</f>
        <v/>
      </c>
    </row>
    <row r="1177">
      <c r="A1177">
        <f>IFERROR(INDEX('Email Cleaner'!$B$2:$B$10001,MATCH(1176,'Email Cleaner'!$J$2:$J$10001,0)),"")</f>
        <v/>
      </c>
    </row>
    <row r="1178">
      <c r="A1178">
        <f>IFERROR(INDEX('Email Cleaner'!$B$2:$B$10001,MATCH(1177,'Email Cleaner'!$J$2:$J$10001,0)),"")</f>
        <v/>
      </c>
    </row>
    <row r="1179">
      <c r="A1179">
        <f>IFERROR(INDEX('Email Cleaner'!$B$2:$B$10001,MATCH(1178,'Email Cleaner'!$J$2:$J$10001,0)),"")</f>
        <v/>
      </c>
    </row>
    <row r="1180">
      <c r="A1180">
        <f>IFERROR(INDEX('Email Cleaner'!$B$2:$B$10001,MATCH(1179,'Email Cleaner'!$J$2:$J$10001,0)),"")</f>
        <v/>
      </c>
    </row>
    <row r="1181">
      <c r="A1181">
        <f>IFERROR(INDEX('Email Cleaner'!$B$2:$B$10001,MATCH(1180,'Email Cleaner'!$J$2:$J$10001,0)),"")</f>
        <v/>
      </c>
    </row>
    <row r="1182">
      <c r="A1182">
        <f>IFERROR(INDEX('Email Cleaner'!$B$2:$B$10001,MATCH(1181,'Email Cleaner'!$J$2:$J$10001,0)),"")</f>
        <v/>
      </c>
    </row>
    <row r="1183">
      <c r="A1183">
        <f>IFERROR(INDEX('Email Cleaner'!$B$2:$B$10001,MATCH(1182,'Email Cleaner'!$J$2:$J$10001,0)),"")</f>
        <v/>
      </c>
    </row>
    <row r="1184">
      <c r="A1184">
        <f>IFERROR(INDEX('Email Cleaner'!$B$2:$B$10001,MATCH(1183,'Email Cleaner'!$J$2:$J$10001,0)),"")</f>
        <v/>
      </c>
    </row>
    <row r="1185">
      <c r="A1185">
        <f>IFERROR(INDEX('Email Cleaner'!$B$2:$B$10001,MATCH(1184,'Email Cleaner'!$J$2:$J$10001,0)),"")</f>
        <v/>
      </c>
    </row>
    <row r="1186">
      <c r="A1186">
        <f>IFERROR(INDEX('Email Cleaner'!$B$2:$B$10001,MATCH(1185,'Email Cleaner'!$J$2:$J$10001,0)),"")</f>
        <v/>
      </c>
    </row>
    <row r="1187">
      <c r="A1187">
        <f>IFERROR(INDEX('Email Cleaner'!$B$2:$B$10001,MATCH(1186,'Email Cleaner'!$J$2:$J$10001,0)),"")</f>
        <v/>
      </c>
    </row>
    <row r="1188">
      <c r="A1188">
        <f>IFERROR(INDEX('Email Cleaner'!$B$2:$B$10001,MATCH(1187,'Email Cleaner'!$J$2:$J$10001,0)),"")</f>
        <v/>
      </c>
    </row>
    <row r="1189">
      <c r="A1189">
        <f>IFERROR(INDEX('Email Cleaner'!$B$2:$B$10001,MATCH(1188,'Email Cleaner'!$J$2:$J$10001,0)),"")</f>
        <v/>
      </c>
    </row>
    <row r="1190">
      <c r="A1190">
        <f>IFERROR(INDEX('Email Cleaner'!$B$2:$B$10001,MATCH(1189,'Email Cleaner'!$J$2:$J$10001,0)),"")</f>
        <v/>
      </c>
    </row>
    <row r="1191">
      <c r="A1191">
        <f>IFERROR(INDEX('Email Cleaner'!$B$2:$B$10001,MATCH(1190,'Email Cleaner'!$J$2:$J$10001,0)),"")</f>
        <v/>
      </c>
    </row>
    <row r="1192">
      <c r="A1192">
        <f>IFERROR(INDEX('Email Cleaner'!$B$2:$B$10001,MATCH(1191,'Email Cleaner'!$J$2:$J$10001,0)),"")</f>
        <v/>
      </c>
    </row>
    <row r="1193">
      <c r="A1193">
        <f>IFERROR(INDEX('Email Cleaner'!$B$2:$B$10001,MATCH(1192,'Email Cleaner'!$J$2:$J$10001,0)),"")</f>
        <v/>
      </c>
    </row>
    <row r="1194">
      <c r="A1194">
        <f>IFERROR(INDEX('Email Cleaner'!$B$2:$B$10001,MATCH(1193,'Email Cleaner'!$J$2:$J$10001,0)),"")</f>
        <v/>
      </c>
    </row>
    <row r="1195">
      <c r="A1195">
        <f>IFERROR(INDEX('Email Cleaner'!$B$2:$B$10001,MATCH(1194,'Email Cleaner'!$J$2:$J$10001,0)),"")</f>
        <v/>
      </c>
    </row>
    <row r="1196">
      <c r="A1196">
        <f>IFERROR(INDEX('Email Cleaner'!$B$2:$B$10001,MATCH(1195,'Email Cleaner'!$J$2:$J$10001,0)),"")</f>
        <v/>
      </c>
    </row>
    <row r="1197">
      <c r="A1197">
        <f>IFERROR(INDEX('Email Cleaner'!$B$2:$B$10001,MATCH(1196,'Email Cleaner'!$J$2:$J$10001,0)),"")</f>
        <v/>
      </c>
    </row>
    <row r="1198">
      <c r="A1198">
        <f>IFERROR(INDEX('Email Cleaner'!$B$2:$B$10001,MATCH(1197,'Email Cleaner'!$J$2:$J$10001,0)),"")</f>
        <v/>
      </c>
    </row>
    <row r="1199">
      <c r="A1199">
        <f>IFERROR(INDEX('Email Cleaner'!$B$2:$B$10001,MATCH(1198,'Email Cleaner'!$J$2:$J$10001,0)),"")</f>
        <v/>
      </c>
    </row>
    <row r="1200">
      <c r="A1200">
        <f>IFERROR(INDEX('Email Cleaner'!$B$2:$B$10001,MATCH(1199,'Email Cleaner'!$J$2:$J$10001,0)),"")</f>
        <v/>
      </c>
    </row>
    <row r="1201">
      <c r="A1201">
        <f>IFERROR(INDEX('Email Cleaner'!$B$2:$B$10001,MATCH(1200,'Email Cleaner'!$J$2:$J$10001,0)),"")</f>
        <v/>
      </c>
    </row>
    <row r="1202">
      <c r="A1202">
        <f>IFERROR(INDEX('Email Cleaner'!$B$2:$B$10001,MATCH(1201,'Email Cleaner'!$J$2:$J$10001,0)),"")</f>
        <v/>
      </c>
    </row>
    <row r="1203">
      <c r="A1203">
        <f>IFERROR(INDEX('Email Cleaner'!$B$2:$B$10001,MATCH(1202,'Email Cleaner'!$J$2:$J$10001,0)),"")</f>
        <v/>
      </c>
    </row>
    <row r="1204">
      <c r="A1204">
        <f>IFERROR(INDEX('Email Cleaner'!$B$2:$B$10001,MATCH(1203,'Email Cleaner'!$J$2:$J$10001,0)),"")</f>
        <v/>
      </c>
    </row>
    <row r="1205">
      <c r="A1205">
        <f>IFERROR(INDEX('Email Cleaner'!$B$2:$B$10001,MATCH(1204,'Email Cleaner'!$J$2:$J$10001,0)),"")</f>
        <v/>
      </c>
    </row>
    <row r="1206">
      <c r="A1206">
        <f>IFERROR(INDEX('Email Cleaner'!$B$2:$B$10001,MATCH(1205,'Email Cleaner'!$J$2:$J$10001,0)),"")</f>
        <v/>
      </c>
    </row>
    <row r="1207">
      <c r="A1207">
        <f>IFERROR(INDEX('Email Cleaner'!$B$2:$B$10001,MATCH(1206,'Email Cleaner'!$J$2:$J$10001,0)),"")</f>
        <v/>
      </c>
    </row>
    <row r="1208">
      <c r="A1208">
        <f>IFERROR(INDEX('Email Cleaner'!$B$2:$B$10001,MATCH(1207,'Email Cleaner'!$J$2:$J$10001,0)),"")</f>
        <v/>
      </c>
    </row>
    <row r="1209">
      <c r="A1209">
        <f>IFERROR(INDEX('Email Cleaner'!$B$2:$B$10001,MATCH(1208,'Email Cleaner'!$J$2:$J$10001,0)),"")</f>
        <v/>
      </c>
    </row>
    <row r="1210">
      <c r="A1210">
        <f>IFERROR(INDEX('Email Cleaner'!$B$2:$B$10001,MATCH(1209,'Email Cleaner'!$J$2:$J$10001,0)),"")</f>
        <v/>
      </c>
    </row>
    <row r="1211">
      <c r="A1211">
        <f>IFERROR(INDEX('Email Cleaner'!$B$2:$B$10001,MATCH(1210,'Email Cleaner'!$J$2:$J$10001,0)),"")</f>
        <v/>
      </c>
    </row>
    <row r="1212">
      <c r="A1212">
        <f>IFERROR(INDEX('Email Cleaner'!$B$2:$B$10001,MATCH(1211,'Email Cleaner'!$J$2:$J$10001,0)),"")</f>
        <v/>
      </c>
    </row>
    <row r="1213">
      <c r="A1213">
        <f>IFERROR(INDEX('Email Cleaner'!$B$2:$B$10001,MATCH(1212,'Email Cleaner'!$J$2:$J$10001,0)),"")</f>
        <v/>
      </c>
    </row>
    <row r="1214">
      <c r="A1214">
        <f>IFERROR(INDEX('Email Cleaner'!$B$2:$B$10001,MATCH(1213,'Email Cleaner'!$J$2:$J$10001,0)),"")</f>
        <v/>
      </c>
    </row>
    <row r="1215">
      <c r="A1215">
        <f>IFERROR(INDEX('Email Cleaner'!$B$2:$B$10001,MATCH(1214,'Email Cleaner'!$J$2:$J$10001,0)),"")</f>
        <v/>
      </c>
    </row>
    <row r="1216">
      <c r="A1216">
        <f>IFERROR(INDEX('Email Cleaner'!$B$2:$B$10001,MATCH(1215,'Email Cleaner'!$J$2:$J$10001,0)),"")</f>
        <v/>
      </c>
    </row>
    <row r="1217">
      <c r="A1217">
        <f>IFERROR(INDEX('Email Cleaner'!$B$2:$B$10001,MATCH(1216,'Email Cleaner'!$J$2:$J$10001,0)),"")</f>
        <v/>
      </c>
    </row>
    <row r="1218">
      <c r="A1218">
        <f>IFERROR(INDEX('Email Cleaner'!$B$2:$B$10001,MATCH(1217,'Email Cleaner'!$J$2:$J$10001,0)),"")</f>
        <v/>
      </c>
    </row>
    <row r="1219">
      <c r="A1219">
        <f>IFERROR(INDEX('Email Cleaner'!$B$2:$B$10001,MATCH(1218,'Email Cleaner'!$J$2:$J$10001,0)),"")</f>
        <v/>
      </c>
    </row>
    <row r="1220">
      <c r="A1220">
        <f>IFERROR(INDEX('Email Cleaner'!$B$2:$B$10001,MATCH(1219,'Email Cleaner'!$J$2:$J$10001,0)),"")</f>
        <v/>
      </c>
    </row>
    <row r="1221">
      <c r="A1221">
        <f>IFERROR(INDEX('Email Cleaner'!$B$2:$B$10001,MATCH(1220,'Email Cleaner'!$J$2:$J$10001,0)),"")</f>
        <v/>
      </c>
    </row>
    <row r="1222">
      <c r="A1222">
        <f>IFERROR(INDEX('Email Cleaner'!$B$2:$B$10001,MATCH(1221,'Email Cleaner'!$J$2:$J$10001,0)),"")</f>
        <v/>
      </c>
    </row>
    <row r="1223">
      <c r="A1223">
        <f>IFERROR(INDEX('Email Cleaner'!$B$2:$B$10001,MATCH(1222,'Email Cleaner'!$J$2:$J$10001,0)),"")</f>
        <v/>
      </c>
    </row>
    <row r="1224">
      <c r="A1224">
        <f>IFERROR(INDEX('Email Cleaner'!$B$2:$B$10001,MATCH(1223,'Email Cleaner'!$J$2:$J$10001,0)),"")</f>
        <v/>
      </c>
    </row>
    <row r="1225">
      <c r="A1225">
        <f>IFERROR(INDEX('Email Cleaner'!$B$2:$B$10001,MATCH(1224,'Email Cleaner'!$J$2:$J$10001,0)),"")</f>
        <v/>
      </c>
    </row>
    <row r="1226">
      <c r="A1226">
        <f>IFERROR(INDEX('Email Cleaner'!$B$2:$B$10001,MATCH(1225,'Email Cleaner'!$J$2:$J$10001,0)),"")</f>
        <v/>
      </c>
    </row>
    <row r="1227">
      <c r="A1227">
        <f>IFERROR(INDEX('Email Cleaner'!$B$2:$B$10001,MATCH(1226,'Email Cleaner'!$J$2:$J$10001,0)),"")</f>
        <v/>
      </c>
    </row>
    <row r="1228">
      <c r="A1228">
        <f>IFERROR(INDEX('Email Cleaner'!$B$2:$B$10001,MATCH(1227,'Email Cleaner'!$J$2:$J$10001,0)),"")</f>
        <v/>
      </c>
    </row>
    <row r="1229">
      <c r="A1229">
        <f>IFERROR(INDEX('Email Cleaner'!$B$2:$B$10001,MATCH(1228,'Email Cleaner'!$J$2:$J$10001,0)),"")</f>
        <v/>
      </c>
    </row>
    <row r="1230">
      <c r="A1230">
        <f>IFERROR(INDEX('Email Cleaner'!$B$2:$B$10001,MATCH(1229,'Email Cleaner'!$J$2:$J$10001,0)),"")</f>
        <v/>
      </c>
    </row>
    <row r="1231">
      <c r="A1231">
        <f>IFERROR(INDEX('Email Cleaner'!$B$2:$B$10001,MATCH(1230,'Email Cleaner'!$J$2:$J$10001,0)),"")</f>
        <v/>
      </c>
    </row>
    <row r="1232">
      <c r="A1232">
        <f>IFERROR(INDEX('Email Cleaner'!$B$2:$B$10001,MATCH(1231,'Email Cleaner'!$J$2:$J$10001,0)),"")</f>
        <v/>
      </c>
    </row>
    <row r="1233">
      <c r="A1233">
        <f>IFERROR(INDEX('Email Cleaner'!$B$2:$B$10001,MATCH(1232,'Email Cleaner'!$J$2:$J$10001,0)),"")</f>
        <v/>
      </c>
    </row>
    <row r="1234">
      <c r="A1234">
        <f>IFERROR(INDEX('Email Cleaner'!$B$2:$B$10001,MATCH(1233,'Email Cleaner'!$J$2:$J$10001,0)),"")</f>
        <v/>
      </c>
    </row>
    <row r="1235">
      <c r="A1235">
        <f>IFERROR(INDEX('Email Cleaner'!$B$2:$B$10001,MATCH(1234,'Email Cleaner'!$J$2:$J$10001,0)),"")</f>
        <v/>
      </c>
    </row>
    <row r="1236">
      <c r="A1236">
        <f>IFERROR(INDEX('Email Cleaner'!$B$2:$B$10001,MATCH(1235,'Email Cleaner'!$J$2:$J$10001,0)),"")</f>
        <v/>
      </c>
    </row>
    <row r="1237">
      <c r="A1237">
        <f>IFERROR(INDEX('Email Cleaner'!$B$2:$B$10001,MATCH(1236,'Email Cleaner'!$J$2:$J$10001,0)),"")</f>
        <v/>
      </c>
    </row>
    <row r="1238">
      <c r="A1238">
        <f>IFERROR(INDEX('Email Cleaner'!$B$2:$B$10001,MATCH(1237,'Email Cleaner'!$J$2:$J$10001,0)),"")</f>
        <v/>
      </c>
    </row>
    <row r="1239">
      <c r="A1239">
        <f>IFERROR(INDEX('Email Cleaner'!$B$2:$B$10001,MATCH(1238,'Email Cleaner'!$J$2:$J$10001,0)),"")</f>
        <v/>
      </c>
    </row>
    <row r="1240">
      <c r="A1240">
        <f>IFERROR(INDEX('Email Cleaner'!$B$2:$B$10001,MATCH(1239,'Email Cleaner'!$J$2:$J$10001,0)),"")</f>
        <v/>
      </c>
    </row>
    <row r="1241">
      <c r="A1241">
        <f>IFERROR(INDEX('Email Cleaner'!$B$2:$B$10001,MATCH(1240,'Email Cleaner'!$J$2:$J$10001,0)),"")</f>
        <v/>
      </c>
    </row>
    <row r="1242">
      <c r="A1242">
        <f>IFERROR(INDEX('Email Cleaner'!$B$2:$B$10001,MATCH(1241,'Email Cleaner'!$J$2:$J$10001,0)),"")</f>
        <v/>
      </c>
    </row>
    <row r="1243">
      <c r="A1243">
        <f>IFERROR(INDEX('Email Cleaner'!$B$2:$B$10001,MATCH(1242,'Email Cleaner'!$J$2:$J$10001,0)),"")</f>
        <v/>
      </c>
    </row>
    <row r="1244">
      <c r="A1244">
        <f>IFERROR(INDEX('Email Cleaner'!$B$2:$B$10001,MATCH(1243,'Email Cleaner'!$J$2:$J$10001,0)),"")</f>
        <v/>
      </c>
    </row>
    <row r="1245">
      <c r="A1245">
        <f>IFERROR(INDEX('Email Cleaner'!$B$2:$B$10001,MATCH(1244,'Email Cleaner'!$J$2:$J$10001,0)),"")</f>
        <v/>
      </c>
    </row>
    <row r="1246">
      <c r="A1246">
        <f>IFERROR(INDEX('Email Cleaner'!$B$2:$B$10001,MATCH(1245,'Email Cleaner'!$J$2:$J$10001,0)),"")</f>
        <v/>
      </c>
    </row>
    <row r="1247">
      <c r="A1247">
        <f>IFERROR(INDEX('Email Cleaner'!$B$2:$B$10001,MATCH(1246,'Email Cleaner'!$J$2:$J$10001,0)),"")</f>
        <v/>
      </c>
    </row>
    <row r="1248">
      <c r="A1248">
        <f>IFERROR(INDEX('Email Cleaner'!$B$2:$B$10001,MATCH(1247,'Email Cleaner'!$J$2:$J$10001,0)),"")</f>
        <v/>
      </c>
    </row>
    <row r="1249">
      <c r="A1249">
        <f>IFERROR(INDEX('Email Cleaner'!$B$2:$B$10001,MATCH(1248,'Email Cleaner'!$J$2:$J$10001,0)),"")</f>
        <v/>
      </c>
    </row>
    <row r="1250">
      <c r="A1250">
        <f>IFERROR(INDEX('Email Cleaner'!$B$2:$B$10001,MATCH(1249,'Email Cleaner'!$J$2:$J$10001,0)),"")</f>
        <v/>
      </c>
    </row>
    <row r="1251">
      <c r="A1251">
        <f>IFERROR(INDEX('Email Cleaner'!$B$2:$B$10001,MATCH(1250,'Email Cleaner'!$J$2:$J$10001,0)),"")</f>
        <v/>
      </c>
    </row>
    <row r="1252">
      <c r="A1252">
        <f>IFERROR(INDEX('Email Cleaner'!$B$2:$B$10001,MATCH(1251,'Email Cleaner'!$J$2:$J$10001,0)),"")</f>
        <v/>
      </c>
    </row>
    <row r="1253">
      <c r="A1253">
        <f>IFERROR(INDEX('Email Cleaner'!$B$2:$B$10001,MATCH(1252,'Email Cleaner'!$J$2:$J$10001,0)),"")</f>
        <v/>
      </c>
    </row>
    <row r="1254">
      <c r="A1254">
        <f>IFERROR(INDEX('Email Cleaner'!$B$2:$B$10001,MATCH(1253,'Email Cleaner'!$J$2:$J$10001,0)),"")</f>
        <v/>
      </c>
    </row>
    <row r="1255">
      <c r="A1255">
        <f>IFERROR(INDEX('Email Cleaner'!$B$2:$B$10001,MATCH(1254,'Email Cleaner'!$J$2:$J$10001,0)),"")</f>
        <v/>
      </c>
    </row>
    <row r="1256">
      <c r="A1256">
        <f>IFERROR(INDEX('Email Cleaner'!$B$2:$B$10001,MATCH(1255,'Email Cleaner'!$J$2:$J$10001,0)),"")</f>
        <v/>
      </c>
    </row>
    <row r="1257">
      <c r="A1257">
        <f>IFERROR(INDEX('Email Cleaner'!$B$2:$B$10001,MATCH(1256,'Email Cleaner'!$J$2:$J$10001,0)),"")</f>
        <v/>
      </c>
    </row>
    <row r="1258">
      <c r="A1258">
        <f>IFERROR(INDEX('Email Cleaner'!$B$2:$B$10001,MATCH(1257,'Email Cleaner'!$J$2:$J$10001,0)),"")</f>
        <v/>
      </c>
    </row>
    <row r="1259">
      <c r="A1259">
        <f>IFERROR(INDEX('Email Cleaner'!$B$2:$B$10001,MATCH(1258,'Email Cleaner'!$J$2:$J$10001,0)),"")</f>
        <v/>
      </c>
    </row>
    <row r="1260">
      <c r="A1260">
        <f>IFERROR(INDEX('Email Cleaner'!$B$2:$B$10001,MATCH(1259,'Email Cleaner'!$J$2:$J$10001,0)),"")</f>
        <v/>
      </c>
    </row>
    <row r="1261">
      <c r="A1261">
        <f>IFERROR(INDEX('Email Cleaner'!$B$2:$B$10001,MATCH(1260,'Email Cleaner'!$J$2:$J$10001,0)),"")</f>
        <v/>
      </c>
    </row>
    <row r="1262">
      <c r="A1262">
        <f>IFERROR(INDEX('Email Cleaner'!$B$2:$B$10001,MATCH(1261,'Email Cleaner'!$J$2:$J$10001,0)),"")</f>
        <v/>
      </c>
    </row>
    <row r="1263">
      <c r="A1263">
        <f>IFERROR(INDEX('Email Cleaner'!$B$2:$B$10001,MATCH(1262,'Email Cleaner'!$J$2:$J$10001,0)),"")</f>
        <v/>
      </c>
    </row>
    <row r="1264">
      <c r="A1264">
        <f>IFERROR(INDEX('Email Cleaner'!$B$2:$B$10001,MATCH(1263,'Email Cleaner'!$J$2:$J$10001,0)),"")</f>
        <v/>
      </c>
    </row>
    <row r="1265">
      <c r="A1265">
        <f>IFERROR(INDEX('Email Cleaner'!$B$2:$B$10001,MATCH(1264,'Email Cleaner'!$J$2:$J$10001,0)),"")</f>
        <v/>
      </c>
    </row>
    <row r="1266">
      <c r="A1266">
        <f>IFERROR(INDEX('Email Cleaner'!$B$2:$B$10001,MATCH(1265,'Email Cleaner'!$J$2:$J$10001,0)),"")</f>
        <v/>
      </c>
    </row>
    <row r="1267">
      <c r="A1267">
        <f>IFERROR(INDEX('Email Cleaner'!$B$2:$B$10001,MATCH(1266,'Email Cleaner'!$J$2:$J$10001,0)),"")</f>
        <v/>
      </c>
    </row>
    <row r="1268">
      <c r="A1268">
        <f>IFERROR(INDEX('Email Cleaner'!$B$2:$B$10001,MATCH(1267,'Email Cleaner'!$J$2:$J$10001,0)),"")</f>
        <v/>
      </c>
    </row>
    <row r="1269">
      <c r="A1269">
        <f>IFERROR(INDEX('Email Cleaner'!$B$2:$B$10001,MATCH(1268,'Email Cleaner'!$J$2:$J$10001,0)),"")</f>
        <v/>
      </c>
    </row>
    <row r="1270">
      <c r="A1270">
        <f>IFERROR(INDEX('Email Cleaner'!$B$2:$B$10001,MATCH(1269,'Email Cleaner'!$J$2:$J$10001,0)),"")</f>
        <v/>
      </c>
    </row>
    <row r="1271">
      <c r="A1271">
        <f>IFERROR(INDEX('Email Cleaner'!$B$2:$B$10001,MATCH(1270,'Email Cleaner'!$J$2:$J$10001,0)),"")</f>
        <v/>
      </c>
    </row>
    <row r="1272">
      <c r="A1272">
        <f>IFERROR(INDEX('Email Cleaner'!$B$2:$B$10001,MATCH(1271,'Email Cleaner'!$J$2:$J$10001,0)),"")</f>
        <v/>
      </c>
    </row>
    <row r="1273">
      <c r="A1273">
        <f>IFERROR(INDEX('Email Cleaner'!$B$2:$B$10001,MATCH(1272,'Email Cleaner'!$J$2:$J$10001,0)),"")</f>
        <v/>
      </c>
    </row>
    <row r="1274">
      <c r="A1274">
        <f>IFERROR(INDEX('Email Cleaner'!$B$2:$B$10001,MATCH(1273,'Email Cleaner'!$J$2:$J$10001,0)),"")</f>
        <v/>
      </c>
    </row>
    <row r="1275">
      <c r="A1275">
        <f>IFERROR(INDEX('Email Cleaner'!$B$2:$B$10001,MATCH(1274,'Email Cleaner'!$J$2:$J$10001,0)),"")</f>
        <v/>
      </c>
    </row>
    <row r="1276">
      <c r="A1276">
        <f>IFERROR(INDEX('Email Cleaner'!$B$2:$B$10001,MATCH(1275,'Email Cleaner'!$J$2:$J$10001,0)),"")</f>
        <v/>
      </c>
    </row>
    <row r="1277">
      <c r="A1277">
        <f>IFERROR(INDEX('Email Cleaner'!$B$2:$B$10001,MATCH(1276,'Email Cleaner'!$J$2:$J$10001,0)),"")</f>
        <v/>
      </c>
    </row>
    <row r="1278">
      <c r="A1278">
        <f>IFERROR(INDEX('Email Cleaner'!$B$2:$B$10001,MATCH(1277,'Email Cleaner'!$J$2:$J$10001,0)),"")</f>
        <v/>
      </c>
    </row>
    <row r="1279">
      <c r="A1279">
        <f>IFERROR(INDEX('Email Cleaner'!$B$2:$B$10001,MATCH(1278,'Email Cleaner'!$J$2:$J$10001,0)),"")</f>
        <v/>
      </c>
    </row>
    <row r="1280">
      <c r="A1280">
        <f>IFERROR(INDEX('Email Cleaner'!$B$2:$B$10001,MATCH(1279,'Email Cleaner'!$J$2:$J$10001,0)),"")</f>
        <v/>
      </c>
    </row>
    <row r="1281">
      <c r="A1281">
        <f>IFERROR(INDEX('Email Cleaner'!$B$2:$B$10001,MATCH(1280,'Email Cleaner'!$J$2:$J$10001,0)),"")</f>
        <v/>
      </c>
    </row>
    <row r="1282">
      <c r="A1282">
        <f>IFERROR(INDEX('Email Cleaner'!$B$2:$B$10001,MATCH(1281,'Email Cleaner'!$J$2:$J$10001,0)),"")</f>
        <v/>
      </c>
    </row>
    <row r="1283">
      <c r="A1283">
        <f>IFERROR(INDEX('Email Cleaner'!$B$2:$B$10001,MATCH(1282,'Email Cleaner'!$J$2:$J$10001,0)),"")</f>
        <v/>
      </c>
    </row>
    <row r="1284">
      <c r="A1284">
        <f>IFERROR(INDEX('Email Cleaner'!$B$2:$B$10001,MATCH(1283,'Email Cleaner'!$J$2:$J$10001,0)),"")</f>
        <v/>
      </c>
    </row>
    <row r="1285">
      <c r="A1285">
        <f>IFERROR(INDEX('Email Cleaner'!$B$2:$B$10001,MATCH(1284,'Email Cleaner'!$J$2:$J$10001,0)),"")</f>
        <v/>
      </c>
    </row>
    <row r="1286">
      <c r="A1286">
        <f>IFERROR(INDEX('Email Cleaner'!$B$2:$B$10001,MATCH(1285,'Email Cleaner'!$J$2:$J$10001,0)),"")</f>
        <v/>
      </c>
    </row>
    <row r="1287">
      <c r="A1287">
        <f>IFERROR(INDEX('Email Cleaner'!$B$2:$B$10001,MATCH(1286,'Email Cleaner'!$J$2:$J$10001,0)),"")</f>
        <v/>
      </c>
    </row>
    <row r="1288">
      <c r="A1288">
        <f>IFERROR(INDEX('Email Cleaner'!$B$2:$B$10001,MATCH(1287,'Email Cleaner'!$J$2:$J$10001,0)),"")</f>
        <v/>
      </c>
    </row>
    <row r="1289">
      <c r="A1289">
        <f>IFERROR(INDEX('Email Cleaner'!$B$2:$B$10001,MATCH(1288,'Email Cleaner'!$J$2:$J$10001,0)),"")</f>
        <v/>
      </c>
    </row>
    <row r="1290">
      <c r="A1290">
        <f>IFERROR(INDEX('Email Cleaner'!$B$2:$B$10001,MATCH(1289,'Email Cleaner'!$J$2:$J$10001,0)),"")</f>
        <v/>
      </c>
    </row>
    <row r="1291">
      <c r="A1291">
        <f>IFERROR(INDEX('Email Cleaner'!$B$2:$B$10001,MATCH(1290,'Email Cleaner'!$J$2:$J$10001,0)),"")</f>
        <v/>
      </c>
    </row>
    <row r="1292">
      <c r="A1292">
        <f>IFERROR(INDEX('Email Cleaner'!$B$2:$B$10001,MATCH(1291,'Email Cleaner'!$J$2:$J$10001,0)),"")</f>
        <v/>
      </c>
    </row>
    <row r="1293">
      <c r="A1293">
        <f>IFERROR(INDEX('Email Cleaner'!$B$2:$B$10001,MATCH(1292,'Email Cleaner'!$J$2:$J$10001,0)),"")</f>
        <v/>
      </c>
    </row>
    <row r="1294">
      <c r="A1294">
        <f>IFERROR(INDEX('Email Cleaner'!$B$2:$B$10001,MATCH(1293,'Email Cleaner'!$J$2:$J$10001,0)),"")</f>
        <v/>
      </c>
    </row>
    <row r="1295">
      <c r="A1295">
        <f>IFERROR(INDEX('Email Cleaner'!$B$2:$B$10001,MATCH(1294,'Email Cleaner'!$J$2:$J$10001,0)),"")</f>
        <v/>
      </c>
    </row>
    <row r="1296">
      <c r="A1296">
        <f>IFERROR(INDEX('Email Cleaner'!$B$2:$B$10001,MATCH(1295,'Email Cleaner'!$J$2:$J$10001,0)),"")</f>
        <v/>
      </c>
    </row>
    <row r="1297">
      <c r="A1297">
        <f>IFERROR(INDEX('Email Cleaner'!$B$2:$B$10001,MATCH(1296,'Email Cleaner'!$J$2:$J$10001,0)),"")</f>
        <v/>
      </c>
    </row>
    <row r="1298">
      <c r="A1298">
        <f>IFERROR(INDEX('Email Cleaner'!$B$2:$B$10001,MATCH(1297,'Email Cleaner'!$J$2:$J$10001,0)),"")</f>
        <v/>
      </c>
    </row>
    <row r="1299">
      <c r="A1299">
        <f>IFERROR(INDEX('Email Cleaner'!$B$2:$B$10001,MATCH(1298,'Email Cleaner'!$J$2:$J$10001,0)),"")</f>
        <v/>
      </c>
    </row>
    <row r="1300">
      <c r="A1300">
        <f>IFERROR(INDEX('Email Cleaner'!$B$2:$B$10001,MATCH(1299,'Email Cleaner'!$J$2:$J$10001,0)),"")</f>
        <v/>
      </c>
    </row>
    <row r="1301">
      <c r="A1301">
        <f>IFERROR(INDEX('Email Cleaner'!$B$2:$B$10001,MATCH(1300,'Email Cleaner'!$J$2:$J$10001,0)),"")</f>
        <v/>
      </c>
    </row>
    <row r="1302">
      <c r="A1302">
        <f>IFERROR(INDEX('Email Cleaner'!$B$2:$B$10001,MATCH(1301,'Email Cleaner'!$J$2:$J$10001,0)),"")</f>
        <v/>
      </c>
    </row>
    <row r="1303">
      <c r="A1303">
        <f>IFERROR(INDEX('Email Cleaner'!$B$2:$B$10001,MATCH(1302,'Email Cleaner'!$J$2:$J$10001,0)),"")</f>
        <v/>
      </c>
    </row>
    <row r="1304">
      <c r="A1304">
        <f>IFERROR(INDEX('Email Cleaner'!$B$2:$B$10001,MATCH(1303,'Email Cleaner'!$J$2:$J$10001,0)),"")</f>
        <v/>
      </c>
    </row>
    <row r="1305">
      <c r="A1305">
        <f>IFERROR(INDEX('Email Cleaner'!$B$2:$B$10001,MATCH(1304,'Email Cleaner'!$J$2:$J$10001,0)),"")</f>
        <v/>
      </c>
    </row>
    <row r="1306">
      <c r="A1306">
        <f>IFERROR(INDEX('Email Cleaner'!$B$2:$B$10001,MATCH(1305,'Email Cleaner'!$J$2:$J$10001,0)),"")</f>
        <v/>
      </c>
    </row>
    <row r="1307">
      <c r="A1307">
        <f>IFERROR(INDEX('Email Cleaner'!$B$2:$B$10001,MATCH(1306,'Email Cleaner'!$J$2:$J$10001,0)),"")</f>
        <v/>
      </c>
    </row>
    <row r="1308">
      <c r="A1308">
        <f>IFERROR(INDEX('Email Cleaner'!$B$2:$B$10001,MATCH(1307,'Email Cleaner'!$J$2:$J$10001,0)),"")</f>
        <v/>
      </c>
    </row>
    <row r="1309">
      <c r="A1309">
        <f>IFERROR(INDEX('Email Cleaner'!$B$2:$B$10001,MATCH(1308,'Email Cleaner'!$J$2:$J$10001,0)),"")</f>
        <v/>
      </c>
    </row>
    <row r="1310">
      <c r="A1310">
        <f>IFERROR(INDEX('Email Cleaner'!$B$2:$B$10001,MATCH(1309,'Email Cleaner'!$J$2:$J$10001,0)),"")</f>
        <v/>
      </c>
    </row>
    <row r="1311">
      <c r="A1311">
        <f>IFERROR(INDEX('Email Cleaner'!$B$2:$B$10001,MATCH(1310,'Email Cleaner'!$J$2:$J$10001,0)),"")</f>
        <v/>
      </c>
    </row>
    <row r="1312">
      <c r="A1312">
        <f>IFERROR(INDEX('Email Cleaner'!$B$2:$B$10001,MATCH(1311,'Email Cleaner'!$J$2:$J$10001,0)),"")</f>
        <v/>
      </c>
    </row>
    <row r="1313">
      <c r="A1313">
        <f>IFERROR(INDEX('Email Cleaner'!$B$2:$B$10001,MATCH(1312,'Email Cleaner'!$J$2:$J$10001,0)),"")</f>
        <v/>
      </c>
    </row>
    <row r="1314">
      <c r="A1314">
        <f>IFERROR(INDEX('Email Cleaner'!$B$2:$B$10001,MATCH(1313,'Email Cleaner'!$J$2:$J$10001,0)),"")</f>
        <v/>
      </c>
    </row>
    <row r="1315">
      <c r="A1315">
        <f>IFERROR(INDEX('Email Cleaner'!$B$2:$B$10001,MATCH(1314,'Email Cleaner'!$J$2:$J$10001,0)),"")</f>
        <v/>
      </c>
    </row>
    <row r="1316">
      <c r="A1316">
        <f>IFERROR(INDEX('Email Cleaner'!$B$2:$B$10001,MATCH(1315,'Email Cleaner'!$J$2:$J$10001,0)),"")</f>
        <v/>
      </c>
    </row>
    <row r="1317">
      <c r="A1317">
        <f>IFERROR(INDEX('Email Cleaner'!$B$2:$B$10001,MATCH(1316,'Email Cleaner'!$J$2:$J$10001,0)),"")</f>
        <v/>
      </c>
    </row>
    <row r="1318">
      <c r="A1318">
        <f>IFERROR(INDEX('Email Cleaner'!$B$2:$B$10001,MATCH(1317,'Email Cleaner'!$J$2:$J$10001,0)),"")</f>
        <v/>
      </c>
    </row>
    <row r="1319">
      <c r="A1319">
        <f>IFERROR(INDEX('Email Cleaner'!$B$2:$B$10001,MATCH(1318,'Email Cleaner'!$J$2:$J$10001,0)),"")</f>
        <v/>
      </c>
    </row>
    <row r="1320">
      <c r="A1320">
        <f>IFERROR(INDEX('Email Cleaner'!$B$2:$B$10001,MATCH(1319,'Email Cleaner'!$J$2:$J$10001,0)),"")</f>
        <v/>
      </c>
    </row>
    <row r="1321">
      <c r="A1321">
        <f>IFERROR(INDEX('Email Cleaner'!$B$2:$B$10001,MATCH(1320,'Email Cleaner'!$J$2:$J$10001,0)),"")</f>
        <v/>
      </c>
    </row>
    <row r="1322">
      <c r="A1322">
        <f>IFERROR(INDEX('Email Cleaner'!$B$2:$B$10001,MATCH(1321,'Email Cleaner'!$J$2:$J$10001,0)),"")</f>
        <v/>
      </c>
    </row>
    <row r="1323">
      <c r="A1323">
        <f>IFERROR(INDEX('Email Cleaner'!$B$2:$B$10001,MATCH(1322,'Email Cleaner'!$J$2:$J$10001,0)),"")</f>
        <v/>
      </c>
    </row>
    <row r="1324">
      <c r="A1324">
        <f>IFERROR(INDEX('Email Cleaner'!$B$2:$B$10001,MATCH(1323,'Email Cleaner'!$J$2:$J$10001,0)),"")</f>
        <v/>
      </c>
    </row>
    <row r="1325">
      <c r="A1325">
        <f>IFERROR(INDEX('Email Cleaner'!$B$2:$B$10001,MATCH(1324,'Email Cleaner'!$J$2:$J$10001,0)),"")</f>
        <v/>
      </c>
    </row>
    <row r="1326">
      <c r="A1326">
        <f>IFERROR(INDEX('Email Cleaner'!$B$2:$B$10001,MATCH(1325,'Email Cleaner'!$J$2:$J$10001,0)),"")</f>
        <v/>
      </c>
    </row>
    <row r="1327">
      <c r="A1327">
        <f>IFERROR(INDEX('Email Cleaner'!$B$2:$B$10001,MATCH(1326,'Email Cleaner'!$J$2:$J$10001,0)),"")</f>
        <v/>
      </c>
    </row>
    <row r="1328">
      <c r="A1328">
        <f>IFERROR(INDEX('Email Cleaner'!$B$2:$B$10001,MATCH(1327,'Email Cleaner'!$J$2:$J$10001,0)),"")</f>
        <v/>
      </c>
    </row>
    <row r="1329">
      <c r="A1329">
        <f>IFERROR(INDEX('Email Cleaner'!$B$2:$B$10001,MATCH(1328,'Email Cleaner'!$J$2:$J$10001,0)),"")</f>
        <v/>
      </c>
    </row>
    <row r="1330">
      <c r="A1330">
        <f>IFERROR(INDEX('Email Cleaner'!$B$2:$B$10001,MATCH(1329,'Email Cleaner'!$J$2:$J$10001,0)),"")</f>
        <v/>
      </c>
    </row>
    <row r="1331">
      <c r="A1331">
        <f>IFERROR(INDEX('Email Cleaner'!$B$2:$B$10001,MATCH(1330,'Email Cleaner'!$J$2:$J$10001,0)),"")</f>
        <v/>
      </c>
    </row>
    <row r="1332">
      <c r="A1332">
        <f>IFERROR(INDEX('Email Cleaner'!$B$2:$B$10001,MATCH(1331,'Email Cleaner'!$J$2:$J$10001,0)),"")</f>
        <v/>
      </c>
    </row>
    <row r="1333">
      <c r="A1333">
        <f>IFERROR(INDEX('Email Cleaner'!$B$2:$B$10001,MATCH(1332,'Email Cleaner'!$J$2:$J$10001,0)),"")</f>
        <v/>
      </c>
    </row>
    <row r="1334">
      <c r="A1334">
        <f>IFERROR(INDEX('Email Cleaner'!$B$2:$B$10001,MATCH(1333,'Email Cleaner'!$J$2:$J$10001,0)),"")</f>
        <v/>
      </c>
    </row>
    <row r="1335">
      <c r="A1335">
        <f>IFERROR(INDEX('Email Cleaner'!$B$2:$B$10001,MATCH(1334,'Email Cleaner'!$J$2:$J$10001,0)),"")</f>
        <v/>
      </c>
    </row>
    <row r="1336">
      <c r="A1336">
        <f>IFERROR(INDEX('Email Cleaner'!$B$2:$B$10001,MATCH(1335,'Email Cleaner'!$J$2:$J$10001,0)),"")</f>
        <v/>
      </c>
    </row>
    <row r="1337">
      <c r="A1337">
        <f>IFERROR(INDEX('Email Cleaner'!$B$2:$B$10001,MATCH(1336,'Email Cleaner'!$J$2:$J$10001,0)),"")</f>
        <v/>
      </c>
    </row>
    <row r="1338">
      <c r="A1338">
        <f>IFERROR(INDEX('Email Cleaner'!$B$2:$B$10001,MATCH(1337,'Email Cleaner'!$J$2:$J$10001,0)),"")</f>
        <v/>
      </c>
    </row>
    <row r="1339">
      <c r="A1339">
        <f>IFERROR(INDEX('Email Cleaner'!$B$2:$B$10001,MATCH(1338,'Email Cleaner'!$J$2:$J$10001,0)),"")</f>
        <v/>
      </c>
    </row>
    <row r="1340">
      <c r="A1340">
        <f>IFERROR(INDEX('Email Cleaner'!$B$2:$B$10001,MATCH(1339,'Email Cleaner'!$J$2:$J$10001,0)),"")</f>
        <v/>
      </c>
    </row>
    <row r="1341">
      <c r="A1341">
        <f>IFERROR(INDEX('Email Cleaner'!$B$2:$B$10001,MATCH(1340,'Email Cleaner'!$J$2:$J$10001,0)),"")</f>
        <v/>
      </c>
    </row>
    <row r="1342">
      <c r="A1342">
        <f>IFERROR(INDEX('Email Cleaner'!$B$2:$B$10001,MATCH(1341,'Email Cleaner'!$J$2:$J$10001,0)),"")</f>
        <v/>
      </c>
    </row>
    <row r="1343">
      <c r="A1343">
        <f>IFERROR(INDEX('Email Cleaner'!$B$2:$B$10001,MATCH(1342,'Email Cleaner'!$J$2:$J$10001,0)),"")</f>
        <v/>
      </c>
    </row>
    <row r="1344">
      <c r="A1344">
        <f>IFERROR(INDEX('Email Cleaner'!$B$2:$B$10001,MATCH(1343,'Email Cleaner'!$J$2:$J$10001,0)),"")</f>
        <v/>
      </c>
    </row>
    <row r="1345">
      <c r="A1345">
        <f>IFERROR(INDEX('Email Cleaner'!$B$2:$B$10001,MATCH(1344,'Email Cleaner'!$J$2:$J$10001,0)),"")</f>
        <v/>
      </c>
    </row>
    <row r="1346">
      <c r="A1346">
        <f>IFERROR(INDEX('Email Cleaner'!$B$2:$B$10001,MATCH(1345,'Email Cleaner'!$J$2:$J$10001,0)),"")</f>
        <v/>
      </c>
    </row>
    <row r="1347">
      <c r="A1347">
        <f>IFERROR(INDEX('Email Cleaner'!$B$2:$B$10001,MATCH(1346,'Email Cleaner'!$J$2:$J$10001,0)),"")</f>
        <v/>
      </c>
    </row>
    <row r="1348">
      <c r="A1348">
        <f>IFERROR(INDEX('Email Cleaner'!$B$2:$B$10001,MATCH(1347,'Email Cleaner'!$J$2:$J$10001,0)),"")</f>
        <v/>
      </c>
    </row>
    <row r="1349">
      <c r="A1349">
        <f>IFERROR(INDEX('Email Cleaner'!$B$2:$B$10001,MATCH(1348,'Email Cleaner'!$J$2:$J$10001,0)),"")</f>
        <v/>
      </c>
    </row>
    <row r="1350">
      <c r="A1350">
        <f>IFERROR(INDEX('Email Cleaner'!$B$2:$B$10001,MATCH(1349,'Email Cleaner'!$J$2:$J$10001,0)),"")</f>
        <v/>
      </c>
    </row>
    <row r="1351">
      <c r="A1351">
        <f>IFERROR(INDEX('Email Cleaner'!$B$2:$B$10001,MATCH(1350,'Email Cleaner'!$J$2:$J$10001,0)),"")</f>
        <v/>
      </c>
    </row>
    <row r="1352">
      <c r="A1352">
        <f>IFERROR(INDEX('Email Cleaner'!$B$2:$B$10001,MATCH(1351,'Email Cleaner'!$J$2:$J$10001,0)),"")</f>
        <v/>
      </c>
    </row>
    <row r="1353">
      <c r="A1353">
        <f>IFERROR(INDEX('Email Cleaner'!$B$2:$B$10001,MATCH(1352,'Email Cleaner'!$J$2:$J$10001,0)),"")</f>
        <v/>
      </c>
    </row>
    <row r="1354">
      <c r="A1354">
        <f>IFERROR(INDEX('Email Cleaner'!$B$2:$B$10001,MATCH(1353,'Email Cleaner'!$J$2:$J$10001,0)),"")</f>
        <v/>
      </c>
    </row>
    <row r="1355">
      <c r="A1355">
        <f>IFERROR(INDEX('Email Cleaner'!$B$2:$B$10001,MATCH(1354,'Email Cleaner'!$J$2:$J$10001,0)),"")</f>
        <v/>
      </c>
    </row>
    <row r="1356">
      <c r="A1356">
        <f>IFERROR(INDEX('Email Cleaner'!$B$2:$B$10001,MATCH(1355,'Email Cleaner'!$J$2:$J$10001,0)),"")</f>
        <v/>
      </c>
    </row>
    <row r="1357">
      <c r="A1357">
        <f>IFERROR(INDEX('Email Cleaner'!$B$2:$B$10001,MATCH(1356,'Email Cleaner'!$J$2:$J$10001,0)),"")</f>
        <v/>
      </c>
    </row>
    <row r="1358">
      <c r="A1358">
        <f>IFERROR(INDEX('Email Cleaner'!$B$2:$B$10001,MATCH(1357,'Email Cleaner'!$J$2:$J$10001,0)),"")</f>
        <v/>
      </c>
    </row>
    <row r="1359">
      <c r="A1359">
        <f>IFERROR(INDEX('Email Cleaner'!$B$2:$B$10001,MATCH(1358,'Email Cleaner'!$J$2:$J$10001,0)),"")</f>
        <v/>
      </c>
    </row>
    <row r="1360">
      <c r="A1360">
        <f>IFERROR(INDEX('Email Cleaner'!$B$2:$B$10001,MATCH(1359,'Email Cleaner'!$J$2:$J$10001,0)),"")</f>
        <v/>
      </c>
    </row>
    <row r="1361">
      <c r="A1361">
        <f>IFERROR(INDEX('Email Cleaner'!$B$2:$B$10001,MATCH(1360,'Email Cleaner'!$J$2:$J$10001,0)),"")</f>
        <v/>
      </c>
    </row>
    <row r="1362">
      <c r="A1362">
        <f>IFERROR(INDEX('Email Cleaner'!$B$2:$B$10001,MATCH(1361,'Email Cleaner'!$J$2:$J$10001,0)),"")</f>
        <v/>
      </c>
    </row>
    <row r="1363">
      <c r="A1363">
        <f>IFERROR(INDEX('Email Cleaner'!$B$2:$B$10001,MATCH(1362,'Email Cleaner'!$J$2:$J$10001,0)),"")</f>
        <v/>
      </c>
    </row>
    <row r="1364">
      <c r="A1364">
        <f>IFERROR(INDEX('Email Cleaner'!$B$2:$B$10001,MATCH(1363,'Email Cleaner'!$J$2:$J$10001,0)),"")</f>
        <v/>
      </c>
    </row>
    <row r="1365">
      <c r="A1365">
        <f>IFERROR(INDEX('Email Cleaner'!$B$2:$B$10001,MATCH(1364,'Email Cleaner'!$J$2:$J$10001,0)),"")</f>
        <v/>
      </c>
    </row>
    <row r="1366">
      <c r="A1366">
        <f>IFERROR(INDEX('Email Cleaner'!$B$2:$B$10001,MATCH(1365,'Email Cleaner'!$J$2:$J$10001,0)),"")</f>
        <v/>
      </c>
    </row>
    <row r="1367">
      <c r="A1367">
        <f>IFERROR(INDEX('Email Cleaner'!$B$2:$B$10001,MATCH(1366,'Email Cleaner'!$J$2:$J$10001,0)),"")</f>
        <v/>
      </c>
    </row>
    <row r="1368">
      <c r="A1368">
        <f>IFERROR(INDEX('Email Cleaner'!$B$2:$B$10001,MATCH(1367,'Email Cleaner'!$J$2:$J$10001,0)),"")</f>
        <v/>
      </c>
    </row>
    <row r="1369">
      <c r="A1369">
        <f>IFERROR(INDEX('Email Cleaner'!$B$2:$B$10001,MATCH(1368,'Email Cleaner'!$J$2:$J$10001,0)),"")</f>
        <v/>
      </c>
    </row>
    <row r="1370">
      <c r="A1370">
        <f>IFERROR(INDEX('Email Cleaner'!$B$2:$B$10001,MATCH(1369,'Email Cleaner'!$J$2:$J$10001,0)),"")</f>
        <v/>
      </c>
    </row>
    <row r="1371">
      <c r="A1371">
        <f>IFERROR(INDEX('Email Cleaner'!$B$2:$B$10001,MATCH(1370,'Email Cleaner'!$J$2:$J$10001,0)),"")</f>
        <v/>
      </c>
    </row>
    <row r="1372">
      <c r="A1372">
        <f>IFERROR(INDEX('Email Cleaner'!$B$2:$B$10001,MATCH(1371,'Email Cleaner'!$J$2:$J$10001,0)),"")</f>
        <v/>
      </c>
    </row>
    <row r="1373">
      <c r="A1373">
        <f>IFERROR(INDEX('Email Cleaner'!$B$2:$B$10001,MATCH(1372,'Email Cleaner'!$J$2:$J$10001,0)),"")</f>
        <v/>
      </c>
    </row>
    <row r="1374">
      <c r="A1374">
        <f>IFERROR(INDEX('Email Cleaner'!$B$2:$B$10001,MATCH(1373,'Email Cleaner'!$J$2:$J$10001,0)),"")</f>
        <v/>
      </c>
    </row>
    <row r="1375">
      <c r="A1375">
        <f>IFERROR(INDEX('Email Cleaner'!$B$2:$B$10001,MATCH(1374,'Email Cleaner'!$J$2:$J$10001,0)),"")</f>
        <v/>
      </c>
    </row>
    <row r="1376">
      <c r="A1376">
        <f>IFERROR(INDEX('Email Cleaner'!$B$2:$B$10001,MATCH(1375,'Email Cleaner'!$J$2:$J$10001,0)),"")</f>
        <v/>
      </c>
    </row>
    <row r="1377">
      <c r="A1377">
        <f>IFERROR(INDEX('Email Cleaner'!$B$2:$B$10001,MATCH(1376,'Email Cleaner'!$J$2:$J$10001,0)),"")</f>
        <v/>
      </c>
    </row>
    <row r="1378">
      <c r="A1378">
        <f>IFERROR(INDEX('Email Cleaner'!$B$2:$B$10001,MATCH(1377,'Email Cleaner'!$J$2:$J$10001,0)),"")</f>
        <v/>
      </c>
    </row>
    <row r="1379">
      <c r="A1379">
        <f>IFERROR(INDEX('Email Cleaner'!$B$2:$B$10001,MATCH(1378,'Email Cleaner'!$J$2:$J$10001,0)),"")</f>
        <v/>
      </c>
    </row>
    <row r="1380">
      <c r="A1380">
        <f>IFERROR(INDEX('Email Cleaner'!$B$2:$B$10001,MATCH(1379,'Email Cleaner'!$J$2:$J$10001,0)),"")</f>
        <v/>
      </c>
    </row>
    <row r="1381">
      <c r="A1381">
        <f>IFERROR(INDEX('Email Cleaner'!$B$2:$B$10001,MATCH(1380,'Email Cleaner'!$J$2:$J$10001,0)),"")</f>
        <v/>
      </c>
    </row>
    <row r="1382">
      <c r="A1382">
        <f>IFERROR(INDEX('Email Cleaner'!$B$2:$B$10001,MATCH(1381,'Email Cleaner'!$J$2:$J$10001,0)),"")</f>
        <v/>
      </c>
    </row>
    <row r="1383">
      <c r="A1383">
        <f>IFERROR(INDEX('Email Cleaner'!$B$2:$B$10001,MATCH(1382,'Email Cleaner'!$J$2:$J$10001,0)),"")</f>
        <v/>
      </c>
    </row>
    <row r="1384">
      <c r="A1384">
        <f>IFERROR(INDEX('Email Cleaner'!$B$2:$B$10001,MATCH(1383,'Email Cleaner'!$J$2:$J$10001,0)),"")</f>
        <v/>
      </c>
    </row>
    <row r="1385">
      <c r="A1385">
        <f>IFERROR(INDEX('Email Cleaner'!$B$2:$B$10001,MATCH(1384,'Email Cleaner'!$J$2:$J$10001,0)),"")</f>
        <v/>
      </c>
    </row>
    <row r="1386">
      <c r="A1386">
        <f>IFERROR(INDEX('Email Cleaner'!$B$2:$B$10001,MATCH(1385,'Email Cleaner'!$J$2:$J$10001,0)),"")</f>
        <v/>
      </c>
    </row>
    <row r="1387">
      <c r="A1387">
        <f>IFERROR(INDEX('Email Cleaner'!$B$2:$B$10001,MATCH(1386,'Email Cleaner'!$J$2:$J$10001,0)),"")</f>
        <v/>
      </c>
    </row>
    <row r="1388">
      <c r="A1388">
        <f>IFERROR(INDEX('Email Cleaner'!$B$2:$B$10001,MATCH(1387,'Email Cleaner'!$J$2:$J$10001,0)),"")</f>
        <v/>
      </c>
    </row>
    <row r="1389">
      <c r="A1389">
        <f>IFERROR(INDEX('Email Cleaner'!$B$2:$B$10001,MATCH(1388,'Email Cleaner'!$J$2:$J$10001,0)),"")</f>
        <v/>
      </c>
    </row>
    <row r="1390">
      <c r="A1390">
        <f>IFERROR(INDEX('Email Cleaner'!$B$2:$B$10001,MATCH(1389,'Email Cleaner'!$J$2:$J$10001,0)),"")</f>
        <v/>
      </c>
    </row>
    <row r="1391">
      <c r="A1391">
        <f>IFERROR(INDEX('Email Cleaner'!$B$2:$B$10001,MATCH(1390,'Email Cleaner'!$J$2:$J$10001,0)),"")</f>
        <v/>
      </c>
    </row>
    <row r="1392">
      <c r="A1392">
        <f>IFERROR(INDEX('Email Cleaner'!$B$2:$B$10001,MATCH(1391,'Email Cleaner'!$J$2:$J$10001,0)),"")</f>
        <v/>
      </c>
    </row>
    <row r="1393">
      <c r="A1393">
        <f>IFERROR(INDEX('Email Cleaner'!$B$2:$B$10001,MATCH(1392,'Email Cleaner'!$J$2:$J$10001,0)),"")</f>
        <v/>
      </c>
    </row>
    <row r="1394">
      <c r="A1394">
        <f>IFERROR(INDEX('Email Cleaner'!$B$2:$B$10001,MATCH(1393,'Email Cleaner'!$J$2:$J$10001,0)),"")</f>
        <v/>
      </c>
    </row>
    <row r="1395">
      <c r="A1395">
        <f>IFERROR(INDEX('Email Cleaner'!$B$2:$B$10001,MATCH(1394,'Email Cleaner'!$J$2:$J$10001,0)),"")</f>
        <v/>
      </c>
    </row>
    <row r="1396">
      <c r="A1396">
        <f>IFERROR(INDEX('Email Cleaner'!$B$2:$B$10001,MATCH(1395,'Email Cleaner'!$J$2:$J$10001,0)),"")</f>
        <v/>
      </c>
    </row>
    <row r="1397">
      <c r="A1397">
        <f>IFERROR(INDEX('Email Cleaner'!$B$2:$B$10001,MATCH(1396,'Email Cleaner'!$J$2:$J$10001,0)),"")</f>
        <v/>
      </c>
    </row>
    <row r="1398">
      <c r="A1398">
        <f>IFERROR(INDEX('Email Cleaner'!$B$2:$B$10001,MATCH(1397,'Email Cleaner'!$J$2:$J$10001,0)),"")</f>
        <v/>
      </c>
    </row>
    <row r="1399">
      <c r="A1399">
        <f>IFERROR(INDEX('Email Cleaner'!$B$2:$B$10001,MATCH(1398,'Email Cleaner'!$J$2:$J$10001,0)),"")</f>
        <v/>
      </c>
    </row>
    <row r="1400">
      <c r="A1400">
        <f>IFERROR(INDEX('Email Cleaner'!$B$2:$B$10001,MATCH(1399,'Email Cleaner'!$J$2:$J$10001,0)),"")</f>
        <v/>
      </c>
    </row>
    <row r="1401">
      <c r="A1401">
        <f>IFERROR(INDEX('Email Cleaner'!$B$2:$B$10001,MATCH(1400,'Email Cleaner'!$J$2:$J$10001,0)),"")</f>
        <v/>
      </c>
    </row>
    <row r="1402">
      <c r="A1402">
        <f>IFERROR(INDEX('Email Cleaner'!$B$2:$B$10001,MATCH(1401,'Email Cleaner'!$J$2:$J$10001,0)),"")</f>
        <v/>
      </c>
    </row>
    <row r="1403">
      <c r="A1403">
        <f>IFERROR(INDEX('Email Cleaner'!$B$2:$B$10001,MATCH(1402,'Email Cleaner'!$J$2:$J$10001,0)),"")</f>
        <v/>
      </c>
    </row>
    <row r="1404">
      <c r="A1404">
        <f>IFERROR(INDEX('Email Cleaner'!$B$2:$B$10001,MATCH(1403,'Email Cleaner'!$J$2:$J$10001,0)),"")</f>
        <v/>
      </c>
    </row>
    <row r="1405">
      <c r="A1405">
        <f>IFERROR(INDEX('Email Cleaner'!$B$2:$B$10001,MATCH(1404,'Email Cleaner'!$J$2:$J$10001,0)),"")</f>
        <v/>
      </c>
    </row>
    <row r="1406">
      <c r="A1406">
        <f>IFERROR(INDEX('Email Cleaner'!$B$2:$B$10001,MATCH(1405,'Email Cleaner'!$J$2:$J$10001,0)),"")</f>
        <v/>
      </c>
    </row>
    <row r="1407">
      <c r="A1407">
        <f>IFERROR(INDEX('Email Cleaner'!$B$2:$B$10001,MATCH(1406,'Email Cleaner'!$J$2:$J$10001,0)),"")</f>
        <v/>
      </c>
    </row>
    <row r="1408">
      <c r="A1408">
        <f>IFERROR(INDEX('Email Cleaner'!$B$2:$B$10001,MATCH(1407,'Email Cleaner'!$J$2:$J$10001,0)),"")</f>
        <v/>
      </c>
    </row>
    <row r="1409">
      <c r="A1409">
        <f>IFERROR(INDEX('Email Cleaner'!$B$2:$B$10001,MATCH(1408,'Email Cleaner'!$J$2:$J$10001,0)),"")</f>
        <v/>
      </c>
    </row>
    <row r="1410">
      <c r="A1410">
        <f>IFERROR(INDEX('Email Cleaner'!$B$2:$B$10001,MATCH(1409,'Email Cleaner'!$J$2:$J$10001,0)),"")</f>
        <v/>
      </c>
    </row>
    <row r="1411">
      <c r="A1411">
        <f>IFERROR(INDEX('Email Cleaner'!$B$2:$B$10001,MATCH(1410,'Email Cleaner'!$J$2:$J$10001,0)),"")</f>
        <v/>
      </c>
    </row>
    <row r="1412">
      <c r="A1412">
        <f>IFERROR(INDEX('Email Cleaner'!$B$2:$B$10001,MATCH(1411,'Email Cleaner'!$J$2:$J$10001,0)),"")</f>
        <v/>
      </c>
    </row>
    <row r="1413">
      <c r="A1413">
        <f>IFERROR(INDEX('Email Cleaner'!$B$2:$B$10001,MATCH(1412,'Email Cleaner'!$J$2:$J$10001,0)),"")</f>
        <v/>
      </c>
    </row>
    <row r="1414">
      <c r="A1414">
        <f>IFERROR(INDEX('Email Cleaner'!$B$2:$B$10001,MATCH(1413,'Email Cleaner'!$J$2:$J$10001,0)),"")</f>
        <v/>
      </c>
    </row>
    <row r="1415">
      <c r="A1415">
        <f>IFERROR(INDEX('Email Cleaner'!$B$2:$B$10001,MATCH(1414,'Email Cleaner'!$J$2:$J$10001,0)),"")</f>
        <v/>
      </c>
    </row>
    <row r="1416">
      <c r="A1416">
        <f>IFERROR(INDEX('Email Cleaner'!$B$2:$B$10001,MATCH(1415,'Email Cleaner'!$J$2:$J$10001,0)),"")</f>
        <v/>
      </c>
    </row>
    <row r="1417">
      <c r="A1417">
        <f>IFERROR(INDEX('Email Cleaner'!$B$2:$B$10001,MATCH(1416,'Email Cleaner'!$J$2:$J$10001,0)),"")</f>
        <v/>
      </c>
    </row>
    <row r="1418">
      <c r="A1418">
        <f>IFERROR(INDEX('Email Cleaner'!$B$2:$B$10001,MATCH(1417,'Email Cleaner'!$J$2:$J$10001,0)),"")</f>
        <v/>
      </c>
    </row>
    <row r="1419">
      <c r="A1419">
        <f>IFERROR(INDEX('Email Cleaner'!$B$2:$B$10001,MATCH(1418,'Email Cleaner'!$J$2:$J$10001,0)),"")</f>
        <v/>
      </c>
    </row>
    <row r="1420">
      <c r="A1420">
        <f>IFERROR(INDEX('Email Cleaner'!$B$2:$B$10001,MATCH(1419,'Email Cleaner'!$J$2:$J$10001,0)),"")</f>
        <v/>
      </c>
    </row>
    <row r="1421">
      <c r="A1421">
        <f>IFERROR(INDEX('Email Cleaner'!$B$2:$B$10001,MATCH(1420,'Email Cleaner'!$J$2:$J$10001,0)),"")</f>
        <v/>
      </c>
    </row>
    <row r="1422">
      <c r="A1422">
        <f>IFERROR(INDEX('Email Cleaner'!$B$2:$B$10001,MATCH(1421,'Email Cleaner'!$J$2:$J$10001,0)),"")</f>
        <v/>
      </c>
    </row>
    <row r="1423">
      <c r="A1423">
        <f>IFERROR(INDEX('Email Cleaner'!$B$2:$B$10001,MATCH(1422,'Email Cleaner'!$J$2:$J$10001,0)),"")</f>
        <v/>
      </c>
    </row>
    <row r="1424">
      <c r="A1424">
        <f>IFERROR(INDEX('Email Cleaner'!$B$2:$B$10001,MATCH(1423,'Email Cleaner'!$J$2:$J$10001,0)),"")</f>
        <v/>
      </c>
    </row>
    <row r="1425">
      <c r="A1425">
        <f>IFERROR(INDEX('Email Cleaner'!$B$2:$B$10001,MATCH(1424,'Email Cleaner'!$J$2:$J$10001,0)),"")</f>
        <v/>
      </c>
    </row>
    <row r="1426">
      <c r="A1426">
        <f>IFERROR(INDEX('Email Cleaner'!$B$2:$B$10001,MATCH(1425,'Email Cleaner'!$J$2:$J$10001,0)),"")</f>
        <v/>
      </c>
    </row>
    <row r="1427">
      <c r="A1427">
        <f>IFERROR(INDEX('Email Cleaner'!$B$2:$B$10001,MATCH(1426,'Email Cleaner'!$J$2:$J$10001,0)),"")</f>
        <v/>
      </c>
    </row>
    <row r="1428">
      <c r="A1428">
        <f>IFERROR(INDEX('Email Cleaner'!$B$2:$B$10001,MATCH(1427,'Email Cleaner'!$J$2:$J$10001,0)),"")</f>
        <v/>
      </c>
    </row>
    <row r="1429">
      <c r="A1429">
        <f>IFERROR(INDEX('Email Cleaner'!$B$2:$B$10001,MATCH(1428,'Email Cleaner'!$J$2:$J$10001,0)),"")</f>
        <v/>
      </c>
    </row>
    <row r="1430">
      <c r="A1430">
        <f>IFERROR(INDEX('Email Cleaner'!$B$2:$B$10001,MATCH(1429,'Email Cleaner'!$J$2:$J$10001,0)),"")</f>
        <v/>
      </c>
    </row>
    <row r="1431">
      <c r="A1431">
        <f>IFERROR(INDEX('Email Cleaner'!$B$2:$B$10001,MATCH(1430,'Email Cleaner'!$J$2:$J$10001,0)),"")</f>
        <v/>
      </c>
    </row>
    <row r="1432">
      <c r="A1432">
        <f>IFERROR(INDEX('Email Cleaner'!$B$2:$B$10001,MATCH(1431,'Email Cleaner'!$J$2:$J$10001,0)),"")</f>
        <v/>
      </c>
    </row>
    <row r="1433">
      <c r="A1433">
        <f>IFERROR(INDEX('Email Cleaner'!$B$2:$B$10001,MATCH(1432,'Email Cleaner'!$J$2:$J$10001,0)),"")</f>
        <v/>
      </c>
    </row>
    <row r="1434">
      <c r="A1434">
        <f>IFERROR(INDEX('Email Cleaner'!$B$2:$B$10001,MATCH(1433,'Email Cleaner'!$J$2:$J$10001,0)),"")</f>
        <v/>
      </c>
    </row>
    <row r="1435">
      <c r="A1435">
        <f>IFERROR(INDEX('Email Cleaner'!$B$2:$B$10001,MATCH(1434,'Email Cleaner'!$J$2:$J$10001,0)),"")</f>
        <v/>
      </c>
    </row>
    <row r="1436">
      <c r="A1436">
        <f>IFERROR(INDEX('Email Cleaner'!$B$2:$B$10001,MATCH(1435,'Email Cleaner'!$J$2:$J$10001,0)),"")</f>
        <v/>
      </c>
    </row>
    <row r="1437">
      <c r="A1437">
        <f>IFERROR(INDEX('Email Cleaner'!$B$2:$B$10001,MATCH(1436,'Email Cleaner'!$J$2:$J$10001,0)),"")</f>
        <v/>
      </c>
    </row>
    <row r="1438">
      <c r="A1438">
        <f>IFERROR(INDEX('Email Cleaner'!$B$2:$B$10001,MATCH(1437,'Email Cleaner'!$J$2:$J$10001,0)),"")</f>
        <v/>
      </c>
    </row>
    <row r="1439">
      <c r="A1439">
        <f>IFERROR(INDEX('Email Cleaner'!$B$2:$B$10001,MATCH(1438,'Email Cleaner'!$J$2:$J$10001,0)),"")</f>
        <v/>
      </c>
    </row>
    <row r="1440">
      <c r="A1440">
        <f>IFERROR(INDEX('Email Cleaner'!$B$2:$B$10001,MATCH(1439,'Email Cleaner'!$J$2:$J$10001,0)),"")</f>
        <v/>
      </c>
    </row>
    <row r="1441">
      <c r="A1441">
        <f>IFERROR(INDEX('Email Cleaner'!$B$2:$B$10001,MATCH(1440,'Email Cleaner'!$J$2:$J$10001,0)),"")</f>
        <v/>
      </c>
    </row>
    <row r="1442">
      <c r="A1442">
        <f>IFERROR(INDEX('Email Cleaner'!$B$2:$B$10001,MATCH(1441,'Email Cleaner'!$J$2:$J$10001,0)),"")</f>
        <v/>
      </c>
    </row>
    <row r="1443">
      <c r="A1443">
        <f>IFERROR(INDEX('Email Cleaner'!$B$2:$B$10001,MATCH(1442,'Email Cleaner'!$J$2:$J$10001,0)),"")</f>
        <v/>
      </c>
    </row>
    <row r="1444">
      <c r="A1444">
        <f>IFERROR(INDEX('Email Cleaner'!$B$2:$B$10001,MATCH(1443,'Email Cleaner'!$J$2:$J$10001,0)),"")</f>
        <v/>
      </c>
    </row>
    <row r="1445">
      <c r="A1445">
        <f>IFERROR(INDEX('Email Cleaner'!$B$2:$B$10001,MATCH(1444,'Email Cleaner'!$J$2:$J$10001,0)),"")</f>
        <v/>
      </c>
    </row>
    <row r="1446">
      <c r="A1446">
        <f>IFERROR(INDEX('Email Cleaner'!$B$2:$B$10001,MATCH(1445,'Email Cleaner'!$J$2:$J$10001,0)),"")</f>
        <v/>
      </c>
    </row>
    <row r="1447">
      <c r="A1447">
        <f>IFERROR(INDEX('Email Cleaner'!$B$2:$B$10001,MATCH(1446,'Email Cleaner'!$J$2:$J$10001,0)),"")</f>
        <v/>
      </c>
    </row>
    <row r="1448">
      <c r="A1448">
        <f>IFERROR(INDEX('Email Cleaner'!$B$2:$B$10001,MATCH(1447,'Email Cleaner'!$J$2:$J$10001,0)),"")</f>
        <v/>
      </c>
    </row>
    <row r="1449">
      <c r="A1449">
        <f>IFERROR(INDEX('Email Cleaner'!$B$2:$B$10001,MATCH(1448,'Email Cleaner'!$J$2:$J$10001,0)),"")</f>
        <v/>
      </c>
    </row>
    <row r="1450">
      <c r="A1450">
        <f>IFERROR(INDEX('Email Cleaner'!$B$2:$B$10001,MATCH(1449,'Email Cleaner'!$J$2:$J$10001,0)),"")</f>
        <v/>
      </c>
    </row>
    <row r="1451">
      <c r="A1451">
        <f>IFERROR(INDEX('Email Cleaner'!$B$2:$B$10001,MATCH(1450,'Email Cleaner'!$J$2:$J$10001,0)),"")</f>
        <v/>
      </c>
    </row>
    <row r="1452">
      <c r="A1452">
        <f>IFERROR(INDEX('Email Cleaner'!$B$2:$B$10001,MATCH(1451,'Email Cleaner'!$J$2:$J$10001,0)),"")</f>
        <v/>
      </c>
    </row>
    <row r="1453">
      <c r="A1453">
        <f>IFERROR(INDEX('Email Cleaner'!$B$2:$B$10001,MATCH(1452,'Email Cleaner'!$J$2:$J$10001,0)),"")</f>
        <v/>
      </c>
    </row>
    <row r="1454">
      <c r="A1454">
        <f>IFERROR(INDEX('Email Cleaner'!$B$2:$B$10001,MATCH(1453,'Email Cleaner'!$J$2:$J$10001,0)),"")</f>
        <v/>
      </c>
    </row>
    <row r="1455">
      <c r="A1455">
        <f>IFERROR(INDEX('Email Cleaner'!$B$2:$B$10001,MATCH(1454,'Email Cleaner'!$J$2:$J$10001,0)),"")</f>
        <v/>
      </c>
    </row>
    <row r="1456">
      <c r="A1456">
        <f>IFERROR(INDEX('Email Cleaner'!$B$2:$B$10001,MATCH(1455,'Email Cleaner'!$J$2:$J$10001,0)),"")</f>
        <v/>
      </c>
    </row>
    <row r="1457">
      <c r="A1457">
        <f>IFERROR(INDEX('Email Cleaner'!$B$2:$B$10001,MATCH(1456,'Email Cleaner'!$J$2:$J$10001,0)),"")</f>
        <v/>
      </c>
    </row>
    <row r="1458">
      <c r="A1458">
        <f>IFERROR(INDEX('Email Cleaner'!$B$2:$B$10001,MATCH(1457,'Email Cleaner'!$J$2:$J$10001,0)),"")</f>
        <v/>
      </c>
    </row>
    <row r="1459">
      <c r="A1459">
        <f>IFERROR(INDEX('Email Cleaner'!$B$2:$B$10001,MATCH(1458,'Email Cleaner'!$J$2:$J$10001,0)),"")</f>
        <v/>
      </c>
    </row>
    <row r="1460">
      <c r="A1460">
        <f>IFERROR(INDEX('Email Cleaner'!$B$2:$B$10001,MATCH(1459,'Email Cleaner'!$J$2:$J$10001,0)),"")</f>
        <v/>
      </c>
    </row>
    <row r="1461">
      <c r="A1461">
        <f>IFERROR(INDEX('Email Cleaner'!$B$2:$B$10001,MATCH(1460,'Email Cleaner'!$J$2:$J$10001,0)),"")</f>
        <v/>
      </c>
    </row>
    <row r="1462">
      <c r="A1462">
        <f>IFERROR(INDEX('Email Cleaner'!$B$2:$B$10001,MATCH(1461,'Email Cleaner'!$J$2:$J$10001,0)),"")</f>
        <v/>
      </c>
    </row>
    <row r="1463">
      <c r="A1463">
        <f>IFERROR(INDEX('Email Cleaner'!$B$2:$B$10001,MATCH(1462,'Email Cleaner'!$J$2:$J$10001,0)),"")</f>
        <v/>
      </c>
    </row>
    <row r="1464">
      <c r="A1464">
        <f>IFERROR(INDEX('Email Cleaner'!$B$2:$B$10001,MATCH(1463,'Email Cleaner'!$J$2:$J$10001,0)),"")</f>
        <v/>
      </c>
    </row>
    <row r="1465">
      <c r="A1465">
        <f>IFERROR(INDEX('Email Cleaner'!$B$2:$B$10001,MATCH(1464,'Email Cleaner'!$J$2:$J$10001,0)),"")</f>
        <v/>
      </c>
    </row>
    <row r="1466">
      <c r="A1466">
        <f>IFERROR(INDEX('Email Cleaner'!$B$2:$B$10001,MATCH(1465,'Email Cleaner'!$J$2:$J$10001,0)),"")</f>
        <v/>
      </c>
    </row>
    <row r="1467">
      <c r="A1467">
        <f>IFERROR(INDEX('Email Cleaner'!$B$2:$B$10001,MATCH(1466,'Email Cleaner'!$J$2:$J$10001,0)),"")</f>
        <v/>
      </c>
    </row>
    <row r="1468">
      <c r="A1468">
        <f>IFERROR(INDEX('Email Cleaner'!$B$2:$B$10001,MATCH(1467,'Email Cleaner'!$J$2:$J$10001,0)),"")</f>
        <v/>
      </c>
    </row>
    <row r="1469">
      <c r="A1469">
        <f>IFERROR(INDEX('Email Cleaner'!$B$2:$B$10001,MATCH(1468,'Email Cleaner'!$J$2:$J$10001,0)),"")</f>
        <v/>
      </c>
    </row>
    <row r="1470">
      <c r="A1470">
        <f>IFERROR(INDEX('Email Cleaner'!$B$2:$B$10001,MATCH(1469,'Email Cleaner'!$J$2:$J$10001,0)),"")</f>
        <v/>
      </c>
    </row>
    <row r="1471">
      <c r="A1471">
        <f>IFERROR(INDEX('Email Cleaner'!$B$2:$B$10001,MATCH(1470,'Email Cleaner'!$J$2:$J$10001,0)),"")</f>
        <v/>
      </c>
    </row>
    <row r="1472">
      <c r="A1472">
        <f>IFERROR(INDEX('Email Cleaner'!$B$2:$B$10001,MATCH(1471,'Email Cleaner'!$J$2:$J$10001,0)),"")</f>
        <v/>
      </c>
    </row>
    <row r="1473">
      <c r="A1473">
        <f>IFERROR(INDEX('Email Cleaner'!$B$2:$B$10001,MATCH(1472,'Email Cleaner'!$J$2:$J$10001,0)),"")</f>
        <v/>
      </c>
    </row>
    <row r="1474">
      <c r="A1474">
        <f>IFERROR(INDEX('Email Cleaner'!$B$2:$B$10001,MATCH(1473,'Email Cleaner'!$J$2:$J$10001,0)),"")</f>
        <v/>
      </c>
    </row>
    <row r="1475">
      <c r="A1475">
        <f>IFERROR(INDEX('Email Cleaner'!$B$2:$B$10001,MATCH(1474,'Email Cleaner'!$J$2:$J$10001,0)),"")</f>
        <v/>
      </c>
    </row>
    <row r="1476">
      <c r="A1476">
        <f>IFERROR(INDEX('Email Cleaner'!$B$2:$B$10001,MATCH(1475,'Email Cleaner'!$J$2:$J$10001,0)),"")</f>
        <v/>
      </c>
    </row>
    <row r="1477">
      <c r="A1477">
        <f>IFERROR(INDEX('Email Cleaner'!$B$2:$B$10001,MATCH(1476,'Email Cleaner'!$J$2:$J$10001,0)),"")</f>
        <v/>
      </c>
    </row>
    <row r="1478">
      <c r="A1478">
        <f>IFERROR(INDEX('Email Cleaner'!$B$2:$B$10001,MATCH(1477,'Email Cleaner'!$J$2:$J$10001,0)),"")</f>
        <v/>
      </c>
    </row>
    <row r="1479">
      <c r="A1479">
        <f>IFERROR(INDEX('Email Cleaner'!$B$2:$B$10001,MATCH(1478,'Email Cleaner'!$J$2:$J$10001,0)),"")</f>
        <v/>
      </c>
    </row>
    <row r="1480">
      <c r="A1480">
        <f>IFERROR(INDEX('Email Cleaner'!$B$2:$B$10001,MATCH(1479,'Email Cleaner'!$J$2:$J$10001,0)),"")</f>
        <v/>
      </c>
    </row>
    <row r="1481">
      <c r="A1481">
        <f>IFERROR(INDEX('Email Cleaner'!$B$2:$B$10001,MATCH(1480,'Email Cleaner'!$J$2:$J$10001,0)),"")</f>
        <v/>
      </c>
    </row>
    <row r="1482">
      <c r="A1482">
        <f>IFERROR(INDEX('Email Cleaner'!$B$2:$B$10001,MATCH(1481,'Email Cleaner'!$J$2:$J$10001,0)),"")</f>
        <v/>
      </c>
    </row>
    <row r="1483">
      <c r="A1483">
        <f>IFERROR(INDEX('Email Cleaner'!$B$2:$B$10001,MATCH(1482,'Email Cleaner'!$J$2:$J$10001,0)),"")</f>
        <v/>
      </c>
    </row>
    <row r="1484">
      <c r="A1484">
        <f>IFERROR(INDEX('Email Cleaner'!$B$2:$B$10001,MATCH(1483,'Email Cleaner'!$J$2:$J$10001,0)),"")</f>
        <v/>
      </c>
    </row>
    <row r="1485">
      <c r="A1485">
        <f>IFERROR(INDEX('Email Cleaner'!$B$2:$B$10001,MATCH(1484,'Email Cleaner'!$J$2:$J$10001,0)),"")</f>
        <v/>
      </c>
    </row>
    <row r="1486">
      <c r="A1486">
        <f>IFERROR(INDEX('Email Cleaner'!$B$2:$B$10001,MATCH(1485,'Email Cleaner'!$J$2:$J$10001,0)),"")</f>
        <v/>
      </c>
    </row>
    <row r="1487">
      <c r="A1487">
        <f>IFERROR(INDEX('Email Cleaner'!$B$2:$B$10001,MATCH(1486,'Email Cleaner'!$J$2:$J$10001,0)),"")</f>
        <v/>
      </c>
    </row>
    <row r="1488">
      <c r="A1488">
        <f>IFERROR(INDEX('Email Cleaner'!$B$2:$B$10001,MATCH(1487,'Email Cleaner'!$J$2:$J$10001,0)),"")</f>
        <v/>
      </c>
    </row>
    <row r="1489">
      <c r="A1489">
        <f>IFERROR(INDEX('Email Cleaner'!$B$2:$B$10001,MATCH(1488,'Email Cleaner'!$J$2:$J$10001,0)),"")</f>
        <v/>
      </c>
    </row>
    <row r="1490">
      <c r="A1490">
        <f>IFERROR(INDEX('Email Cleaner'!$B$2:$B$10001,MATCH(1489,'Email Cleaner'!$J$2:$J$10001,0)),"")</f>
        <v/>
      </c>
    </row>
    <row r="1491">
      <c r="A1491">
        <f>IFERROR(INDEX('Email Cleaner'!$B$2:$B$10001,MATCH(1490,'Email Cleaner'!$J$2:$J$10001,0)),"")</f>
        <v/>
      </c>
    </row>
    <row r="1492">
      <c r="A1492">
        <f>IFERROR(INDEX('Email Cleaner'!$B$2:$B$10001,MATCH(1491,'Email Cleaner'!$J$2:$J$10001,0)),"")</f>
        <v/>
      </c>
    </row>
    <row r="1493">
      <c r="A1493">
        <f>IFERROR(INDEX('Email Cleaner'!$B$2:$B$10001,MATCH(1492,'Email Cleaner'!$J$2:$J$10001,0)),"")</f>
        <v/>
      </c>
    </row>
    <row r="1494">
      <c r="A1494">
        <f>IFERROR(INDEX('Email Cleaner'!$B$2:$B$10001,MATCH(1493,'Email Cleaner'!$J$2:$J$10001,0)),"")</f>
        <v/>
      </c>
    </row>
    <row r="1495">
      <c r="A1495">
        <f>IFERROR(INDEX('Email Cleaner'!$B$2:$B$10001,MATCH(1494,'Email Cleaner'!$J$2:$J$10001,0)),"")</f>
        <v/>
      </c>
    </row>
    <row r="1496">
      <c r="A1496">
        <f>IFERROR(INDEX('Email Cleaner'!$B$2:$B$10001,MATCH(1495,'Email Cleaner'!$J$2:$J$10001,0)),"")</f>
        <v/>
      </c>
    </row>
    <row r="1497">
      <c r="A1497">
        <f>IFERROR(INDEX('Email Cleaner'!$B$2:$B$10001,MATCH(1496,'Email Cleaner'!$J$2:$J$10001,0)),"")</f>
        <v/>
      </c>
    </row>
    <row r="1498">
      <c r="A1498">
        <f>IFERROR(INDEX('Email Cleaner'!$B$2:$B$10001,MATCH(1497,'Email Cleaner'!$J$2:$J$10001,0)),"")</f>
        <v/>
      </c>
    </row>
    <row r="1499">
      <c r="A1499">
        <f>IFERROR(INDEX('Email Cleaner'!$B$2:$B$10001,MATCH(1498,'Email Cleaner'!$J$2:$J$10001,0)),"")</f>
        <v/>
      </c>
    </row>
    <row r="1500">
      <c r="A1500">
        <f>IFERROR(INDEX('Email Cleaner'!$B$2:$B$10001,MATCH(1499,'Email Cleaner'!$J$2:$J$10001,0)),"")</f>
        <v/>
      </c>
    </row>
    <row r="1501">
      <c r="A1501">
        <f>IFERROR(INDEX('Email Cleaner'!$B$2:$B$10001,MATCH(1500,'Email Cleaner'!$J$2:$J$10001,0)),"")</f>
        <v/>
      </c>
    </row>
    <row r="1502">
      <c r="A1502">
        <f>IFERROR(INDEX('Email Cleaner'!$B$2:$B$10001,MATCH(1501,'Email Cleaner'!$J$2:$J$10001,0)),"")</f>
        <v/>
      </c>
    </row>
    <row r="1503">
      <c r="A1503">
        <f>IFERROR(INDEX('Email Cleaner'!$B$2:$B$10001,MATCH(1502,'Email Cleaner'!$J$2:$J$10001,0)),"")</f>
        <v/>
      </c>
    </row>
    <row r="1504">
      <c r="A1504">
        <f>IFERROR(INDEX('Email Cleaner'!$B$2:$B$10001,MATCH(1503,'Email Cleaner'!$J$2:$J$10001,0)),"")</f>
        <v/>
      </c>
    </row>
    <row r="1505">
      <c r="A1505">
        <f>IFERROR(INDEX('Email Cleaner'!$B$2:$B$10001,MATCH(1504,'Email Cleaner'!$J$2:$J$10001,0)),"")</f>
        <v/>
      </c>
    </row>
    <row r="1506">
      <c r="A1506">
        <f>IFERROR(INDEX('Email Cleaner'!$B$2:$B$10001,MATCH(1505,'Email Cleaner'!$J$2:$J$10001,0)),"")</f>
        <v/>
      </c>
    </row>
    <row r="1507">
      <c r="A1507">
        <f>IFERROR(INDEX('Email Cleaner'!$B$2:$B$10001,MATCH(1506,'Email Cleaner'!$J$2:$J$10001,0)),"")</f>
        <v/>
      </c>
    </row>
    <row r="1508">
      <c r="A1508">
        <f>IFERROR(INDEX('Email Cleaner'!$B$2:$B$10001,MATCH(1507,'Email Cleaner'!$J$2:$J$10001,0)),"")</f>
        <v/>
      </c>
    </row>
    <row r="1509">
      <c r="A1509">
        <f>IFERROR(INDEX('Email Cleaner'!$B$2:$B$10001,MATCH(1508,'Email Cleaner'!$J$2:$J$10001,0)),"")</f>
        <v/>
      </c>
    </row>
    <row r="1510">
      <c r="A1510">
        <f>IFERROR(INDEX('Email Cleaner'!$B$2:$B$10001,MATCH(1509,'Email Cleaner'!$J$2:$J$10001,0)),"")</f>
        <v/>
      </c>
    </row>
    <row r="1511">
      <c r="A1511">
        <f>IFERROR(INDEX('Email Cleaner'!$B$2:$B$10001,MATCH(1510,'Email Cleaner'!$J$2:$J$10001,0)),"")</f>
        <v/>
      </c>
    </row>
    <row r="1512">
      <c r="A1512">
        <f>IFERROR(INDEX('Email Cleaner'!$B$2:$B$10001,MATCH(1511,'Email Cleaner'!$J$2:$J$10001,0)),"")</f>
        <v/>
      </c>
    </row>
    <row r="1513">
      <c r="A1513">
        <f>IFERROR(INDEX('Email Cleaner'!$B$2:$B$10001,MATCH(1512,'Email Cleaner'!$J$2:$J$10001,0)),"")</f>
        <v/>
      </c>
    </row>
    <row r="1514">
      <c r="A1514">
        <f>IFERROR(INDEX('Email Cleaner'!$B$2:$B$10001,MATCH(1513,'Email Cleaner'!$J$2:$J$10001,0)),"")</f>
        <v/>
      </c>
    </row>
    <row r="1515">
      <c r="A1515">
        <f>IFERROR(INDEX('Email Cleaner'!$B$2:$B$10001,MATCH(1514,'Email Cleaner'!$J$2:$J$10001,0)),"")</f>
        <v/>
      </c>
    </row>
    <row r="1516">
      <c r="A1516">
        <f>IFERROR(INDEX('Email Cleaner'!$B$2:$B$10001,MATCH(1515,'Email Cleaner'!$J$2:$J$10001,0)),"")</f>
        <v/>
      </c>
    </row>
    <row r="1517">
      <c r="A1517">
        <f>IFERROR(INDEX('Email Cleaner'!$B$2:$B$10001,MATCH(1516,'Email Cleaner'!$J$2:$J$10001,0)),"")</f>
        <v/>
      </c>
    </row>
    <row r="1518">
      <c r="A1518">
        <f>IFERROR(INDEX('Email Cleaner'!$B$2:$B$10001,MATCH(1517,'Email Cleaner'!$J$2:$J$10001,0)),"")</f>
        <v/>
      </c>
    </row>
    <row r="1519">
      <c r="A1519">
        <f>IFERROR(INDEX('Email Cleaner'!$B$2:$B$10001,MATCH(1518,'Email Cleaner'!$J$2:$J$10001,0)),"")</f>
        <v/>
      </c>
    </row>
    <row r="1520">
      <c r="A1520">
        <f>IFERROR(INDEX('Email Cleaner'!$B$2:$B$10001,MATCH(1519,'Email Cleaner'!$J$2:$J$10001,0)),"")</f>
        <v/>
      </c>
    </row>
    <row r="1521">
      <c r="A1521">
        <f>IFERROR(INDEX('Email Cleaner'!$B$2:$B$10001,MATCH(1520,'Email Cleaner'!$J$2:$J$10001,0)),"")</f>
        <v/>
      </c>
    </row>
    <row r="1522">
      <c r="A1522">
        <f>IFERROR(INDEX('Email Cleaner'!$B$2:$B$10001,MATCH(1521,'Email Cleaner'!$J$2:$J$10001,0)),"")</f>
        <v/>
      </c>
    </row>
    <row r="1523">
      <c r="A1523">
        <f>IFERROR(INDEX('Email Cleaner'!$B$2:$B$10001,MATCH(1522,'Email Cleaner'!$J$2:$J$10001,0)),"")</f>
        <v/>
      </c>
    </row>
    <row r="1524">
      <c r="A1524">
        <f>IFERROR(INDEX('Email Cleaner'!$B$2:$B$10001,MATCH(1523,'Email Cleaner'!$J$2:$J$10001,0)),"")</f>
        <v/>
      </c>
    </row>
    <row r="1525">
      <c r="A1525">
        <f>IFERROR(INDEX('Email Cleaner'!$B$2:$B$10001,MATCH(1524,'Email Cleaner'!$J$2:$J$10001,0)),"")</f>
        <v/>
      </c>
    </row>
    <row r="1526">
      <c r="A1526">
        <f>IFERROR(INDEX('Email Cleaner'!$B$2:$B$10001,MATCH(1525,'Email Cleaner'!$J$2:$J$10001,0)),"")</f>
        <v/>
      </c>
    </row>
    <row r="1527">
      <c r="A1527">
        <f>IFERROR(INDEX('Email Cleaner'!$B$2:$B$10001,MATCH(1526,'Email Cleaner'!$J$2:$J$10001,0)),"")</f>
        <v/>
      </c>
    </row>
    <row r="1528">
      <c r="A1528">
        <f>IFERROR(INDEX('Email Cleaner'!$B$2:$B$10001,MATCH(1527,'Email Cleaner'!$J$2:$J$10001,0)),"")</f>
        <v/>
      </c>
    </row>
    <row r="1529">
      <c r="A1529">
        <f>IFERROR(INDEX('Email Cleaner'!$B$2:$B$10001,MATCH(1528,'Email Cleaner'!$J$2:$J$10001,0)),"")</f>
        <v/>
      </c>
    </row>
    <row r="1530">
      <c r="A1530">
        <f>IFERROR(INDEX('Email Cleaner'!$B$2:$B$10001,MATCH(1529,'Email Cleaner'!$J$2:$J$10001,0)),"")</f>
        <v/>
      </c>
    </row>
    <row r="1531">
      <c r="A1531">
        <f>IFERROR(INDEX('Email Cleaner'!$B$2:$B$10001,MATCH(1530,'Email Cleaner'!$J$2:$J$10001,0)),"")</f>
        <v/>
      </c>
    </row>
    <row r="1532">
      <c r="A1532">
        <f>IFERROR(INDEX('Email Cleaner'!$B$2:$B$10001,MATCH(1531,'Email Cleaner'!$J$2:$J$10001,0)),"")</f>
        <v/>
      </c>
    </row>
    <row r="1533">
      <c r="A1533">
        <f>IFERROR(INDEX('Email Cleaner'!$B$2:$B$10001,MATCH(1532,'Email Cleaner'!$J$2:$J$10001,0)),"")</f>
        <v/>
      </c>
    </row>
    <row r="1534">
      <c r="A1534">
        <f>IFERROR(INDEX('Email Cleaner'!$B$2:$B$10001,MATCH(1533,'Email Cleaner'!$J$2:$J$10001,0)),"")</f>
        <v/>
      </c>
    </row>
    <row r="1535">
      <c r="A1535">
        <f>IFERROR(INDEX('Email Cleaner'!$B$2:$B$10001,MATCH(1534,'Email Cleaner'!$J$2:$J$10001,0)),"")</f>
        <v/>
      </c>
    </row>
    <row r="1536">
      <c r="A1536">
        <f>IFERROR(INDEX('Email Cleaner'!$B$2:$B$10001,MATCH(1535,'Email Cleaner'!$J$2:$J$10001,0)),"")</f>
        <v/>
      </c>
    </row>
    <row r="1537">
      <c r="A1537">
        <f>IFERROR(INDEX('Email Cleaner'!$B$2:$B$10001,MATCH(1536,'Email Cleaner'!$J$2:$J$10001,0)),"")</f>
        <v/>
      </c>
    </row>
    <row r="1538">
      <c r="A1538">
        <f>IFERROR(INDEX('Email Cleaner'!$B$2:$B$10001,MATCH(1537,'Email Cleaner'!$J$2:$J$10001,0)),"")</f>
        <v/>
      </c>
    </row>
    <row r="1539">
      <c r="A1539">
        <f>IFERROR(INDEX('Email Cleaner'!$B$2:$B$10001,MATCH(1538,'Email Cleaner'!$J$2:$J$10001,0)),"")</f>
        <v/>
      </c>
    </row>
    <row r="1540">
      <c r="A1540">
        <f>IFERROR(INDEX('Email Cleaner'!$B$2:$B$10001,MATCH(1539,'Email Cleaner'!$J$2:$J$10001,0)),"")</f>
        <v/>
      </c>
    </row>
    <row r="1541">
      <c r="A1541">
        <f>IFERROR(INDEX('Email Cleaner'!$B$2:$B$10001,MATCH(1540,'Email Cleaner'!$J$2:$J$10001,0)),"")</f>
        <v/>
      </c>
    </row>
    <row r="1542">
      <c r="A1542">
        <f>IFERROR(INDEX('Email Cleaner'!$B$2:$B$10001,MATCH(1541,'Email Cleaner'!$J$2:$J$10001,0)),"")</f>
        <v/>
      </c>
    </row>
    <row r="1543">
      <c r="A1543">
        <f>IFERROR(INDEX('Email Cleaner'!$B$2:$B$10001,MATCH(1542,'Email Cleaner'!$J$2:$J$10001,0)),"")</f>
        <v/>
      </c>
    </row>
    <row r="1544">
      <c r="A1544">
        <f>IFERROR(INDEX('Email Cleaner'!$B$2:$B$10001,MATCH(1543,'Email Cleaner'!$J$2:$J$10001,0)),"")</f>
        <v/>
      </c>
    </row>
    <row r="1545">
      <c r="A1545">
        <f>IFERROR(INDEX('Email Cleaner'!$B$2:$B$10001,MATCH(1544,'Email Cleaner'!$J$2:$J$10001,0)),"")</f>
        <v/>
      </c>
    </row>
    <row r="1546">
      <c r="A1546">
        <f>IFERROR(INDEX('Email Cleaner'!$B$2:$B$10001,MATCH(1545,'Email Cleaner'!$J$2:$J$10001,0)),"")</f>
        <v/>
      </c>
    </row>
    <row r="1547">
      <c r="A1547">
        <f>IFERROR(INDEX('Email Cleaner'!$B$2:$B$10001,MATCH(1546,'Email Cleaner'!$J$2:$J$10001,0)),"")</f>
        <v/>
      </c>
    </row>
    <row r="1548">
      <c r="A1548">
        <f>IFERROR(INDEX('Email Cleaner'!$B$2:$B$10001,MATCH(1547,'Email Cleaner'!$J$2:$J$10001,0)),"")</f>
        <v/>
      </c>
    </row>
    <row r="1549">
      <c r="A1549">
        <f>IFERROR(INDEX('Email Cleaner'!$B$2:$B$10001,MATCH(1548,'Email Cleaner'!$J$2:$J$10001,0)),"")</f>
        <v/>
      </c>
    </row>
    <row r="1550">
      <c r="A1550">
        <f>IFERROR(INDEX('Email Cleaner'!$B$2:$B$10001,MATCH(1549,'Email Cleaner'!$J$2:$J$10001,0)),"")</f>
        <v/>
      </c>
    </row>
    <row r="1551">
      <c r="A1551">
        <f>IFERROR(INDEX('Email Cleaner'!$B$2:$B$10001,MATCH(1550,'Email Cleaner'!$J$2:$J$10001,0)),"")</f>
        <v/>
      </c>
    </row>
    <row r="1552">
      <c r="A1552">
        <f>IFERROR(INDEX('Email Cleaner'!$B$2:$B$10001,MATCH(1551,'Email Cleaner'!$J$2:$J$10001,0)),"")</f>
        <v/>
      </c>
    </row>
    <row r="1553">
      <c r="A1553">
        <f>IFERROR(INDEX('Email Cleaner'!$B$2:$B$10001,MATCH(1552,'Email Cleaner'!$J$2:$J$10001,0)),"")</f>
        <v/>
      </c>
    </row>
    <row r="1554">
      <c r="A1554">
        <f>IFERROR(INDEX('Email Cleaner'!$B$2:$B$10001,MATCH(1553,'Email Cleaner'!$J$2:$J$10001,0)),"")</f>
        <v/>
      </c>
    </row>
    <row r="1555">
      <c r="A1555">
        <f>IFERROR(INDEX('Email Cleaner'!$B$2:$B$10001,MATCH(1554,'Email Cleaner'!$J$2:$J$10001,0)),"")</f>
        <v/>
      </c>
    </row>
    <row r="1556">
      <c r="A1556">
        <f>IFERROR(INDEX('Email Cleaner'!$B$2:$B$10001,MATCH(1555,'Email Cleaner'!$J$2:$J$10001,0)),"")</f>
        <v/>
      </c>
    </row>
    <row r="1557">
      <c r="A1557">
        <f>IFERROR(INDEX('Email Cleaner'!$B$2:$B$10001,MATCH(1556,'Email Cleaner'!$J$2:$J$10001,0)),"")</f>
        <v/>
      </c>
    </row>
    <row r="1558">
      <c r="A1558">
        <f>IFERROR(INDEX('Email Cleaner'!$B$2:$B$10001,MATCH(1557,'Email Cleaner'!$J$2:$J$10001,0)),"")</f>
        <v/>
      </c>
    </row>
    <row r="1559">
      <c r="A1559">
        <f>IFERROR(INDEX('Email Cleaner'!$B$2:$B$10001,MATCH(1558,'Email Cleaner'!$J$2:$J$10001,0)),"")</f>
        <v/>
      </c>
    </row>
    <row r="1560">
      <c r="A1560">
        <f>IFERROR(INDEX('Email Cleaner'!$B$2:$B$10001,MATCH(1559,'Email Cleaner'!$J$2:$J$10001,0)),"")</f>
        <v/>
      </c>
    </row>
    <row r="1561">
      <c r="A1561">
        <f>IFERROR(INDEX('Email Cleaner'!$B$2:$B$10001,MATCH(1560,'Email Cleaner'!$J$2:$J$10001,0)),"")</f>
        <v/>
      </c>
    </row>
    <row r="1562">
      <c r="A1562">
        <f>IFERROR(INDEX('Email Cleaner'!$B$2:$B$10001,MATCH(1561,'Email Cleaner'!$J$2:$J$10001,0)),"")</f>
        <v/>
      </c>
    </row>
    <row r="1563">
      <c r="A1563">
        <f>IFERROR(INDEX('Email Cleaner'!$B$2:$B$10001,MATCH(1562,'Email Cleaner'!$J$2:$J$10001,0)),"")</f>
        <v/>
      </c>
    </row>
    <row r="1564">
      <c r="A1564">
        <f>IFERROR(INDEX('Email Cleaner'!$B$2:$B$10001,MATCH(1563,'Email Cleaner'!$J$2:$J$10001,0)),"")</f>
        <v/>
      </c>
    </row>
    <row r="1565">
      <c r="A1565">
        <f>IFERROR(INDEX('Email Cleaner'!$B$2:$B$10001,MATCH(1564,'Email Cleaner'!$J$2:$J$10001,0)),"")</f>
        <v/>
      </c>
    </row>
    <row r="1566">
      <c r="A1566">
        <f>IFERROR(INDEX('Email Cleaner'!$B$2:$B$10001,MATCH(1565,'Email Cleaner'!$J$2:$J$10001,0)),"")</f>
        <v/>
      </c>
    </row>
    <row r="1567">
      <c r="A1567">
        <f>IFERROR(INDEX('Email Cleaner'!$B$2:$B$10001,MATCH(1566,'Email Cleaner'!$J$2:$J$10001,0)),"")</f>
        <v/>
      </c>
    </row>
    <row r="1568">
      <c r="A1568">
        <f>IFERROR(INDEX('Email Cleaner'!$B$2:$B$10001,MATCH(1567,'Email Cleaner'!$J$2:$J$10001,0)),"")</f>
        <v/>
      </c>
    </row>
    <row r="1569">
      <c r="A1569">
        <f>IFERROR(INDEX('Email Cleaner'!$B$2:$B$10001,MATCH(1568,'Email Cleaner'!$J$2:$J$10001,0)),"")</f>
        <v/>
      </c>
    </row>
    <row r="1570">
      <c r="A1570">
        <f>IFERROR(INDEX('Email Cleaner'!$B$2:$B$10001,MATCH(1569,'Email Cleaner'!$J$2:$J$10001,0)),"")</f>
        <v/>
      </c>
    </row>
    <row r="1571">
      <c r="A1571">
        <f>IFERROR(INDEX('Email Cleaner'!$B$2:$B$10001,MATCH(1570,'Email Cleaner'!$J$2:$J$10001,0)),"")</f>
        <v/>
      </c>
    </row>
    <row r="1572">
      <c r="A1572">
        <f>IFERROR(INDEX('Email Cleaner'!$B$2:$B$10001,MATCH(1571,'Email Cleaner'!$J$2:$J$10001,0)),"")</f>
        <v/>
      </c>
    </row>
    <row r="1573">
      <c r="A1573">
        <f>IFERROR(INDEX('Email Cleaner'!$B$2:$B$10001,MATCH(1572,'Email Cleaner'!$J$2:$J$10001,0)),"")</f>
        <v/>
      </c>
    </row>
    <row r="1574">
      <c r="A1574">
        <f>IFERROR(INDEX('Email Cleaner'!$B$2:$B$10001,MATCH(1573,'Email Cleaner'!$J$2:$J$10001,0)),"")</f>
        <v/>
      </c>
    </row>
    <row r="1575">
      <c r="A1575">
        <f>IFERROR(INDEX('Email Cleaner'!$B$2:$B$10001,MATCH(1574,'Email Cleaner'!$J$2:$J$10001,0)),"")</f>
        <v/>
      </c>
    </row>
    <row r="1576">
      <c r="A1576">
        <f>IFERROR(INDEX('Email Cleaner'!$B$2:$B$10001,MATCH(1575,'Email Cleaner'!$J$2:$J$10001,0)),"")</f>
        <v/>
      </c>
    </row>
    <row r="1577">
      <c r="A1577">
        <f>IFERROR(INDEX('Email Cleaner'!$B$2:$B$10001,MATCH(1576,'Email Cleaner'!$J$2:$J$10001,0)),"")</f>
        <v/>
      </c>
    </row>
    <row r="1578">
      <c r="A1578">
        <f>IFERROR(INDEX('Email Cleaner'!$B$2:$B$10001,MATCH(1577,'Email Cleaner'!$J$2:$J$10001,0)),"")</f>
        <v/>
      </c>
    </row>
    <row r="1579">
      <c r="A1579">
        <f>IFERROR(INDEX('Email Cleaner'!$B$2:$B$10001,MATCH(1578,'Email Cleaner'!$J$2:$J$10001,0)),"")</f>
        <v/>
      </c>
    </row>
    <row r="1580">
      <c r="A1580">
        <f>IFERROR(INDEX('Email Cleaner'!$B$2:$B$10001,MATCH(1579,'Email Cleaner'!$J$2:$J$10001,0)),"")</f>
        <v/>
      </c>
    </row>
    <row r="1581">
      <c r="A1581">
        <f>IFERROR(INDEX('Email Cleaner'!$B$2:$B$10001,MATCH(1580,'Email Cleaner'!$J$2:$J$10001,0)),"")</f>
        <v/>
      </c>
    </row>
    <row r="1582">
      <c r="A1582">
        <f>IFERROR(INDEX('Email Cleaner'!$B$2:$B$10001,MATCH(1581,'Email Cleaner'!$J$2:$J$10001,0)),"")</f>
        <v/>
      </c>
    </row>
    <row r="1583">
      <c r="A1583">
        <f>IFERROR(INDEX('Email Cleaner'!$B$2:$B$10001,MATCH(1582,'Email Cleaner'!$J$2:$J$10001,0)),"")</f>
        <v/>
      </c>
    </row>
    <row r="1584">
      <c r="A1584">
        <f>IFERROR(INDEX('Email Cleaner'!$B$2:$B$10001,MATCH(1583,'Email Cleaner'!$J$2:$J$10001,0)),"")</f>
        <v/>
      </c>
    </row>
    <row r="1585">
      <c r="A1585">
        <f>IFERROR(INDEX('Email Cleaner'!$B$2:$B$10001,MATCH(1584,'Email Cleaner'!$J$2:$J$10001,0)),"")</f>
        <v/>
      </c>
    </row>
    <row r="1586">
      <c r="A1586">
        <f>IFERROR(INDEX('Email Cleaner'!$B$2:$B$10001,MATCH(1585,'Email Cleaner'!$J$2:$J$10001,0)),"")</f>
        <v/>
      </c>
    </row>
    <row r="1587">
      <c r="A1587">
        <f>IFERROR(INDEX('Email Cleaner'!$B$2:$B$10001,MATCH(1586,'Email Cleaner'!$J$2:$J$10001,0)),"")</f>
        <v/>
      </c>
    </row>
    <row r="1588">
      <c r="A1588">
        <f>IFERROR(INDEX('Email Cleaner'!$B$2:$B$10001,MATCH(1587,'Email Cleaner'!$J$2:$J$10001,0)),"")</f>
        <v/>
      </c>
    </row>
    <row r="1589">
      <c r="A1589">
        <f>IFERROR(INDEX('Email Cleaner'!$B$2:$B$10001,MATCH(1588,'Email Cleaner'!$J$2:$J$10001,0)),"")</f>
        <v/>
      </c>
    </row>
    <row r="1590">
      <c r="A1590">
        <f>IFERROR(INDEX('Email Cleaner'!$B$2:$B$10001,MATCH(1589,'Email Cleaner'!$J$2:$J$10001,0)),"")</f>
        <v/>
      </c>
    </row>
    <row r="1591">
      <c r="A1591">
        <f>IFERROR(INDEX('Email Cleaner'!$B$2:$B$10001,MATCH(1590,'Email Cleaner'!$J$2:$J$10001,0)),"")</f>
        <v/>
      </c>
    </row>
    <row r="1592">
      <c r="A1592">
        <f>IFERROR(INDEX('Email Cleaner'!$B$2:$B$10001,MATCH(1591,'Email Cleaner'!$J$2:$J$10001,0)),"")</f>
        <v/>
      </c>
    </row>
    <row r="1593">
      <c r="A1593">
        <f>IFERROR(INDEX('Email Cleaner'!$B$2:$B$10001,MATCH(1592,'Email Cleaner'!$J$2:$J$10001,0)),"")</f>
        <v/>
      </c>
    </row>
    <row r="1594">
      <c r="A1594">
        <f>IFERROR(INDEX('Email Cleaner'!$B$2:$B$10001,MATCH(1593,'Email Cleaner'!$J$2:$J$10001,0)),"")</f>
        <v/>
      </c>
    </row>
    <row r="1595">
      <c r="A1595">
        <f>IFERROR(INDEX('Email Cleaner'!$B$2:$B$10001,MATCH(1594,'Email Cleaner'!$J$2:$J$10001,0)),"")</f>
        <v/>
      </c>
    </row>
    <row r="1596">
      <c r="A1596">
        <f>IFERROR(INDEX('Email Cleaner'!$B$2:$B$10001,MATCH(1595,'Email Cleaner'!$J$2:$J$10001,0)),"")</f>
        <v/>
      </c>
    </row>
    <row r="1597">
      <c r="A1597">
        <f>IFERROR(INDEX('Email Cleaner'!$B$2:$B$10001,MATCH(1596,'Email Cleaner'!$J$2:$J$10001,0)),"")</f>
        <v/>
      </c>
    </row>
    <row r="1598">
      <c r="A1598">
        <f>IFERROR(INDEX('Email Cleaner'!$B$2:$B$10001,MATCH(1597,'Email Cleaner'!$J$2:$J$10001,0)),"")</f>
        <v/>
      </c>
    </row>
    <row r="1599">
      <c r="A1599">
        <f>IFERROR(INDEX('Email Cleaner'!$B$2:$B$10001,MATCH(1598,'Email Cleaner'!$J$2:$J$10001,0)),"")</f>
        <v/>
      </c>
    </row>
    <row r="1600">
      <c r="A1600">
        <f>IFERROR(INDEX('Email Cleaner'!$B$2:$B$10001,MATCH(1599,'Email Cleaner'!$J$2:$J$10001,0)),"")</f>
        <v/>
      </c>
    </row>
    <row r="1601">
      <c r="A1601">
        <f>IFERROR(INDEX('Email Cleaner'!$B$2:$B$10001,MATCH(1600,'Email Cleaner'!$J$2:$J$10001,0)),"")</f>
        <v/>
      </c>
    </row>
    <row r="1602">
      <c r="A1602">
        <f>IFERROR(INDEX('Email Cleaner'!$B$2:$B$10001,MATCH(1601,'Email Cleaner'!$J$2:$J$10001,0)),"")</f>
        <v/>
      </c>
    </row>
    <row r="1603">
      <c r="A1603">
        <f>IFERROR(INDEX('Email Cleaner'!$B$2:$B$10001,MATCH(1602,'Email Cleaner'!$J$2:$J$10001,0)),"")</f>
        <v/>
      </c>
    </row>
    <row r="1604">
      <c r="A1604">
        <f>IFERROR(INDEX('Email Cleaner'!$B$2:$B$10001,MATCH(1603,'Email Cleaner'!$J$2:$J$10001,0)),"")</f>
        <v/>
      </c>
    </row>
    <row r="1605">
      <c r="A1605">
        <f>IFERROR(INDEX('Email Cleaner'!$B$2:$B$10001,MATCH(1604,'Email Cleaner'!$J$2:$J$10001,0)),"")</f>
        <v/>
      </c>
    </row>
    <row r="1606">
      <c r="A1606">
        <f>IFERROR(INDEX('Email Cleaner'!$B$2:$B$10001,MATCH(1605,'Email Cleaner'!$J$2:$J$10001,0)),"")</f>
        <v/>
      </c>
    </row>
    <row r="1607">
      <c r="A1607">
        <f>IFERROR(INDEX('Email Cleaner'!$B$2:$B$10001,MATCH(1606,'Email Cleaner'!$J$2:$J$10001,0)),"")</f>
        <v/>
      </c>
    </row>
    <row r="1608">
      <c r="A1608">
        <f>IFERROR(INDEX('Email Cleaner'!$B$2:$B$10001,MATCH(1607,'Email Cleaner'!$J$2:$J$10001,0)),"")</f>
        <v/>
      </c>
    </row>
    <row r="1609">
      <c r="A1609">
        <f>IFERROR(INDEX('Email Cleaner'!$B$2:$B$10001,MATCH(1608,'Email Cleaner'!$J$2:$J$10001,0)),"")</f>
        <v/>
      </c>
    </row>
    <row r="1610">
      <c r="A1610">
        <f>IFERROR(INDEX('Email Cleaner'!$B$2:$B$10001,MATCH(1609,'Email Cleaner'!$J$2:$J$10001,0)),"")</f>
        <v/>
      </c>
    </row>
    <row r="1611">
      <c r="A1611">
        <f>IFERROR(INDEX('Email Cleaner'!$B$2:$B$10001,MATCH(1610,'Email Cleaner'!$J$2:$J$10001,0)),"")</f>
        <v/>
      </c>
    </row>
    <row r="1612">
      <c r="A1612">
        <f>IFERROR(INDEX('Email Cleaner'!$B$2:$B$10001,MATCH(1611,'Email Cleaner'!$J$2:$J$10001,0)),"")</f>
        <v/>
      </c>
    </row>
    <row r="1613">
      <c r="A1613">
        <f>IFERROR(INDEX('Email Cleaner'!$B$2:$B$10001,MATCH(1612,'Email Cleaner'!$J$2:$J$10001,0)),"")</f>
        <v/>
      </c>
    </row>
    <row r="1614">
      <c r="A1614">
        <f>IFERROR(INDEX('Email Cleaner'!$B$2:$B$10001,MATCH(1613,'Email Cleaner'!$J$2:$J$10001,0)),"")</f>
        <v/>
      </c>
    </row>
    <row r="1615">
      <c r="A1615">
        <f>IFERROR(INDEX('Email Cleaner'!$B$2:$B$10001,MATCH(1614,'Email Cleaner'!$J$2:$J$10001,0)),"")</f>
        <v/>
      </c>
    </row>
    <row r="1616">
      <c r="A1616">
        <f>IFERROR(INDEX('Email Cleaner'!$B$2:$B$10001,MATCH(1615,'Email Cleaner'!$J$2:$J$10001,0)),"")</f>
        <v/>
      </c>
    </row>
    <row r="1617">
      <c r="A1617">
        <f>IFERROR(INDEX('Email Cleaner'!$B$2:$B$10001,MATCH(1616,'Email Cleaner'!$J$2:$J$10001,0)),"")</f>
        <v/>
      </c>
    </row>
    <row r="1618">
      <c r="A1618">
        <f>IFERROR(INDEX('Email Cleaner'!$B$2:$B$10001,MATCH(1617,'Email Cleaner'!$J$2:$J$10001,0)),"")</f>
        <v/>
      </c>
    </row>
    <row r="1619">
      <c r="A1619">
        <f>IFERROR(INDEX('Email Cleaner'!$B$2:$B$10001,MATCH(1618,'Email Cleaner'!$J$2:$J$10001,0)),"")</f>
        <v/>
      </c>
    </row>
    <row r="1620">
      <c r="A1620">
        <f>IFERROR(INDEX('Email Cleaner'!$B$2:$B$10001,MATCH(1619,'Email Cleaner'!$J$2:$J$10001,0)),"")</f>
        <v/>
      </c>
    </row>
    <row r="1621">
      <c r="A1621">
        <f>IFERROR(INDEX('Email Cleaner'!$B$2:$B$10001,MATCH(1620,'Email Cleaner'!$J$2:$J$10001,0)),"")</f>
        <v/>
      </c>
    </row>
    <row r="1622">
      <c r="A1622">
        <f>IFERROR(INDEX('Email Cleaner'!$B$2:$B$10001,MATCH(1621,'Email Cleaner'!$J$2:$J$10001,0)),"")</f>
        <v/>
      </c>
    </row>
    <row r="1623">
      <c r="A1623">
        <f>IFERROR(INDEX('Email Cleaner'!$B$2:$B$10001,MATCH(1622,'Email Cleaner'!$J$2:$J$10001,0)),"")</f>
        <v/>
      </c>
    </row>
    <row r="1624">
      <c r="A1624">
        <f>IFERROR(INDEX('Email Cleaner'!$B$2:$B$10001,MATCH(1623,'Email Cleaner'!$J$2:$J$10001,0)),"")</f>
        <v/>
      </c>
    </row>
    <row r="1625">
      <c r="A1625">
        <f>IFERROR(INDEX('Email Cleaner'!$B$2:$B$10001,MATCH(1624,'Email Cleaner'!$J$2:$J$10001,0)),"")</f>
        <v/>
      </c>
    </row>
    <row r="1626">
      <c r="A1626">
        <f>IFERROR(INDEX('Email Cleaner'!$B$2:$B$10001,MATCH(1625,'Email Cleaner'!$J$2:$J$10001,0)),"")</f>
        <v/>
      </c>
    </row>
    <row r="1627">
      <c r="A1627">
        <f>IFERROR(INDEX('Email Cleaner'!$B$2:$B$10001,MATCH(1626,'Email Cleaner'!$J$2:$J$10001,0)),"")</f>
        <v/>
      </c>
    </row>
    <row r="1628">
      <c r="A1628">
        <f>IFERROR(INDEX('Email Cleaner'!$B$2:$B$10001,MATCH(1627,'Email Cleaner'!$J$2:$J$10001,0)),"")</f>
        <v/>
      </c>
    </row>
    <row r="1629">
      <c r="A1629">
        <f>IFERROR(INDEX('Email Cleaner'!$B$2:$B$10001,MATCH(1628,'Email Cleaner'!$J$2:$J$10001,0)),"")</f>
        <v/>
      </c>
    </row>
    <row r="1630">
      <c r="A1630">
        <f>IFERROR(INDEX('Email Cleaner'!$B$2:$B$10001,MATCH(1629,'Email Cleaner'!$J$2:$J$10001,0)),"")</f>
        <v/>
      </c>
    </row>
    <row r="1631">
      <c r="A1631">
        <f>IFERROR(INDEX('Email Cleaner'!$B$2:$B$10001,MATCH(1630,'Email Cleaner'!$J$2:$J$10001,0)),"")</f>
        <v/>
      </c>
    </row>
    <row r="1632">
      <c r="A1632">
        <f>IFERROR(INDEX('Email Cleaner'!$B$2:$B$10001,MATCH(1631,'Email Cleaner'!$J$2:$J$10001,0)),"")</f>
        <v/>
      </c>
    </row>
    <row r="1633">
      <c r="A1633">
        <f>IFERROR(INDEX('Email Cleaner'!$B$2:$B$10001,MATCH(1632,'Email Cleaner'!$J$2:$J$10001,0)),"")</f>
        <v/>
      </c>
    </row>
    <row r="1634">
      <c r="A1634">
        <f>IFERROR(INDEX('Email Cleaner'!$B$2:$B$10001,MATCH(1633,'Email Cleaner'!$J$2:$J$10001,0)),"")</f>
        <v/>
      </c>
    </row>
    <row r="1635">
      <c r="A1635">
        <f>IFERROR(INDEX('Email Cleaner'!$B$2:$B$10001,MATCH(1634,'Email Cleaner'!$J$2:$J$10001,0)),"")</f>
        <v/>
      </c>
    </row>
    <row r="1636">
      <c r="A1636">
        <f>IFERROR(INDEX('Email Cleaner'!$B$2:$B$10001,MATCH(1635,'Email Cleaner'!$J$2:$J$10001,0)),"")</f>
        <v/>
      </c>
    </row>
    <row r="1637">
      <c r="A1637">
        <f>IFERROR(INDEX('Email Cleaner'!$B$2:$B$10001,MATCH(1636,'Email Cleaner'!$J$2:$J$10001,0)),"")</f>
        <v/>
      </c>
    </row>
    <row r="1638">
      <c r="A1638">
        <f>IFERROR(INDEX('Email Cleaner'!$B$2:$B$10001,MATCH(1637,'Email Cleaner'!$J$2:$J$10001,0)),"")</f>
        <v/>
      </c>
    </row>
    <row r="1639">
      <c r="A1639">
        <f>IFERROR(INDEX('Email Cleaner'!$B$2:$B$10001,MATCH(1638,'Email Cleaner'!$J$2:$J$10001,0)),"")</f>
        <v/>
      </c>
    </row>
    <row r="1640">
      <c r="A1640">
        <f>IFERROR(INDEX('Email Cleaner'!$B$2:$B$10001,MATCH(1639,'Email Cleaner'!$J$2:$J$10001,0)),"")</f>
        <v/>
      </c>
    </row>
    <row r="1641">
      <c r="A1641">
        <f>IFERROR(INDEX('Email Cleaner'!$B$2:$B$10001,MATCH(1640,'Email Cleaner'!$J$2:$J$10001,0)),"")</f>
        <v/>
      </c>
    </row>
    <row r="1642">
      <c r="A1642">
        <f>IFERROR(INDEX('Email Cleaner'!$B$2:$B$10001,MATCH(1641,'Email Cleaner'!$J$2:$J$10001,0)),"")</f>
        <v/>
      </c>
    </row>
    <row r="1643">
      <c r="A1643">
        <f>IFERROR(INDEX('Email Cleaner'!$B$2:$B$10001,MATCH(1642,'Email Cleaner'!$J$2:$J$10001,0)),"")</f>
        <v/>
      </c>
    </row>
    <row r="1644">
      <c r="A1644">
        <f>IFERROR(INDEX('Email Cleaner'!$B$2:$B$10001,MATCH(1643,'Email Cleaner'!$J$2:$J$10001,0)),"")</f>
        <v/>
      </c>
    </row>
    <row r="1645">
      <c r="A1645">
        <f>IFERROR(INDEX('Email Cleaner'!$B$2:$B$10001,MATCH(1644,'Email Cleaner'!$J$2:$J$10001,0)),"")</f>
        <v/>
      </c>
    </row>
    <row r="1646">
      <c r="A1646">
        <f>IFERROR(INDEX('Email Cleaner'!$B$2:$B$10001,MATCH(1645,'Email Cleaner'!$J$2:$J$10001,0)),"")</f>
        <v/>
      </c>
    </row>
    <row r="1647">
      <c r="A1647">
        <f>IFERROR(INDEX('Email Cleaner'!$B$2:$B$10001,MATCH(1646,'Email Cleaner'!$J$2:$J$10001,0)),"")</f>
        <v/>
      </c>
    </row>
    <row r="1648">
      <c r="A1648">
        <f>IFERROR(INDEX('Email Cleaner'!$B$2:$B$10001,MATCH(1647,'Email Cleaner'!$J$2:$J$10001,0)),"")</f>
        <v/>
      </c>
    </row>
    <row r="1649">
      <c r="A1649">
        <f>IFERROR(INDEX('Email Cleaner'!$B$2:$B$10001,MATCH(1648,'Email Cleaner'!$J$2:$J$10001,0)),"")</f>
        <v/>
      </c>
    </row>
    <row r="1650">
      <c r="A1650">
        <f>IFERROR(INDEX('Email Cleaner'!$B$2:$B$10001,MATCH(1649,'Email Cleaner'!$J$2:$J$10001,0)),"")</f>
        <v/>
      </c>
    </row>
    <row r="1651">
      <c r="A1651">
        <f>IFERROR(INDEX('Email Cleaner'!$B$2:$B$10001,MATCH(1650,'Email Cleaner'!$J$2:$J$10001,0)),"")</f>
        <v/>
      </c>
    </row>
    <row r="1652">
      <c r="A1652">
        <f>IFERROR(INDEX('Email Cleaner'!$B$2:$B$10001,MATCH(1651,'Email Cleaner'!$J$2:$J$10001,0)),"")</f>
        <v/>
      </c>
    </row>
    <row r="1653">
      <c r="A1653">
        <f>IFERROR(INDEX('Email Cleaner'!$B$2:$B$10001,MATCH(1652,'Email Cleaner'!$J$2:$J$10001,0)),"")</f>
        <v/>
      </c>
    </row>
    <row r="1654">
      <c r="A1654">
        <f>IFERROR(INDEX('Email Cleaner'!$B$2:$B$10001,MATCH(1653,'Email Cleaner'!$J$2:$J$10001,0)),"")</f>
        <v/>
      </c>
    </row>
    <row r="1655">
      <c r="A1655">
        <f>IFERROR(INDEX('Email Cleaner'!$B$2:$B$10001,MATCH(1654,'Email Cleaner'!$J$2:$J$10001,0)),"")</f>
        <v/>
      </c>
    </row>
    <row r="1656">
      <c r="A1656">
        <f>IFERROR(INDEX('Email Cleaner'!$B$2:$B$10001,MATCH(1655,'Email Cleaner'!$J$2:$J$10001,0)),"")</f>
        <v/>
      </c>
    </row>
    <row r="1657">
      <c r="A1657">
        <f>IFERROR(INDEX('Email Cleaner'!$B$2:$B$10001,MATCH(1656,'Email Cleaner'!$J$2:$J$10001,0)),"")</f>
        <v/>
      </c>
    </row>
    <row r="1658">
      <c r="A1658">
        <f>IFERROR(INDEX('Email Cleaner'!$B$2:$B$10001,MATCH(1657,'Email Cleaner'!$J$2:$J$10001,0)),"")</f>
        <v/>
      </c>
    </row>
    <row r="1659">
      <c r="A1659">
        <f>IFERROR(INDEX('Email Cleaner'!$B$2:$B$10001,MATCH(1658,'Email Cleaner'!$J$2:$J$10001,0)),"")</f>
        <v/>
      </c>
    </row>
    <row r="1660">
      <c r="A1660">
        <f>IFERROR(INDEX('Email Cleaner'!$B$2:$B$10001,MATCH(1659,'Email Cleaner'!$J$2:$J$10001,0)),"")</f>
        <v/>
      </c>
    </row>
    <row r="1661">
      <c r="A1661">
        <f>IFERROR(INDEX('Email Cleaner'!$B$2:$B$10001,MATCH(1660,'Email Cleaner'!$J$2:$J$10001,0)),"")</f>
        <v/>
      </c>
    </row>
    <row r="1662">
      <c r="A1662">
        <f>IFERROR(INDEX('Email Cleaner'!$B$2:$B$10001,MATCH(1661,'Email Cleaner'!$J$2:$J$10001,0)),"")</f>
        <v/>
      </c>
    </row>
    <row r="1663">
      <c r="A1663">
        <f>IFERROR(INDEX('Email Cleaner'!$B$2:$B$10001,MATCH(1662,'Email Cleaner'!$J$2:$J$10001,0)),"")</f>
        <v/>
      </c>
    </row>
    <row r="1664">
      <c r="A1664">
        <f>IFERROR(INDEX('Email Cleaner'!$B$2:$B$10001,MATCH(1663,'Email Cleaner'!$J$2:$J$10001,0)),"")</f>
        <v/>
      </c>
    </row>
    <row r="1665">
      <c r="A1665">
        <f>IFERROR(INDEX('Email Cleaner'!$B$2:$B$10001,MATCH(1664,'Email Cleaner'!$J$2:$J$10001,0)),"")</f>
        <v/>
      </c>
    </row>
    <row r="1666">
      <c r="A1666">
        <f>IFERROR(INDEX('Email Cleaner'!$B$2:$B$10001,MATCH(1665,'Email Cleaner'!$J$2:$J$10001,0)),"")</f>
        <v/>
      </c>
    </row>
    <row r="1667">
      <c r="A1667">
        <f>IFERROR(INDEX('Email Cleaner'!$B$2:$B$10001,MATCH(1666,'Email Cleaner'!$J$2:$J$10001,0)),"")</f>
        <v/>
      </c>
    </row>
    <row r="1668">
      <c r="A1668">
        <f>IFERROR(INDEX('Email Cleaner'!$B$2:$B$10001,MATCH(1667,'Email Cleaner'!$J$2:$J$10001,0)),"")</f>
        <v/>
      </c>
    </row>
    <row r="1669">
      <c r="A1669">
        <f>IFERROR(INDEX('Email Cleaner'!$B$2:$B$10001,MATCH(1668,'Email Cleaner'!$J$2:$J$10001,0)),"")</f>
        <v/>
      </c>
    </row>
    <row r="1670">
      <c r="A1670">
        <f>IFERROR(INDEX('Email Cleaner'!$B$2:$B$10001,MATCH(1669,'Email Cleaner'!$J$2:$J$10001,0)),"")</f>
        <v/>
      </c>
    </row>
    <row r="1671">
      <c r="A1671">
        <f>IFERROR(INDEX('Email Cleaner'!$B$2:$B$10001,MATCH(1670,'Email Cleaner'!$J$2:$J$10001,0)),"")</f>
        <v/>
      </c>
    </row>
    <row r="1672">
      <c r="A1672">
        <f>IFERROR(INDEX('Email Cleaner'!$B$2:$B$10001,MATCH(1671,'Email Cleaner'!$J$2:$J$10001,0)),"")</f>
        <v/>
      </c>
    </row>
    <row r="1673">
      <c r="A1673">
        <f>IFERROR(INDEX('Email Cleaner'!$B$2:$B$10001,MATCH(1672,'Email Cleaner'!$J$2:$J$10001,0)),"")</f>
        <v/>
      </c>
    </row>
    <row r="1674">
      <c r="A1674">
        <f>IFERROR(INDEX('Email Cleaner'!$B$2:$B$10001,MATCH(1673,'Email Cleaner'!$J$2:$J$10001,0)),"")</f>
        <v/>
      </c>
    </row>
    <row r="1675">
      <c r="A1675">
        <f>IFERROR(INDEX('Email Cleaner'!$B$2:$B$10001,MATCH(1674,'Email Cleaner'!$J$2:$J$10001,0)),"")</f>
        <v/>
      </c>
    </row>
    <row r="1676">
      <c r="A1676">
        <f>IFERROR(INDEX('Email Cleaner'!$B$2:$B$10001,MATCH(1675,'Email Cleaner'!$J$2:$J$10001,0)),"")</f>
        <v/>
      </c>
    </row>
    <row r="1677">
      <c r="A1677">
        <f>IFERROR(INDEX('Email Cleaner'!$B$2:$B$10001,MATCH(1676,'Email Cleaner'!$J$2:$J$10001,0)),"")</f>
        <v/>
      </c>
    </row>
    <row r="1678">
      <c r="A1678">
        <f>IFERROR(INDEX('Email Cleaner'!$B$2:$B$10001,MATCH(1677,'Email Cleaner'!$J$2:$J$10001,0)),"")</f>
        <v/>
      </c>
    </row>
    <row r="1679">
      <c r="A1679">
        <f>IFERROR(INDEX('Email Cleaner'!$B$2:$B$10001,MATCH(1678,'Email Cleaner'!$J$2:$J$10001,0)),"")</f>
        <v/>
      </c>
    </row>
    <row r="1680">
      <c r="A1680">
        <f>IFERROR(INDEX('Email Cleaner'!$B$2:$B$10001,MATCH(1679,'Email Cleaner'!$J$2:$J$10001,0)),"")</f>
        <v/>
      </c>
    </row>
    <row r="1681">
      <c r="A1681">
        <f>IFERROR(INDEX('Email Cleaner'!$B$2:$B$10001,MATCH(1680,'Email Cleaner'!$J$2:$J$10001,0)),"")</f>
        <v/>
      </c>
    </row>
    <row r="1682">
      <c r="A1682">
        <f>IFERROR(INDEX('Email Cleaner'!$B$2:$B$10001,MATCH(1681,'Email Cleaner'!$J$2:$J$10001,0)),"")</f>
        <v/>
      </c>
    </row>
    <row r="1683">
      <c r="A1683">
        <f>IFERROR(INDEX('Email Cleaner'!$B$2:$B$10001,MATCH(1682,'Email Cleaner'!$J$2:$J$10001,0)),"")</f>
        <v/>
      </c>
    </row>
    <row r="1684">
      <c r="A1684">
        <f>IFERROR(INDEX('Email Cleaner'!$B$2:$B$10001,MATCH(1683,'Email Cleaner'!$J$2:$J$10001,0)),"")</f>
        <v/>
      </c>
    </row>
    <row r="1685">
      <c r="A1685">
        <f>IFERROR(INDEX('Email Cleaner'!$B$2:$B$10001,MATCH(1684,'Email Cleaner'!$J$2:$J$10001,0)),"")</f>
        <v/>
      </c>
    </row>
    <row r="1686">
      <c r="A1686">
        <f>IFERROR(INDEX('Email Cleaner'!$B$2:$B$10001,MATCH(1685,'Email Cleaner'!$J$2:$J$10001,0)),"")</f>
        <v/>
      </c>
    </row>
    <row r="1687">
      <c r="A1687">
        <f>IFERROR(INDEX('Email Cleaner'!$B$2:$B$10001,MATCH(1686,'Email Cleaner'!$J$2:$J$10001,0)),"")</f>
        <v/>
      </c>
    </row>
    <row r="1688">
      <c r="A1688">
        <f>IFERROR(INDEX('Email Cleaner'!$B$2:$B$10001,MATCH(1687,'Email Cleaner'!$J$2:$J$10001,0)),"")</f>
        <v/>
      </c>
    </row>
    <row r="1689">
      <c r="A1689">
        <f>IFERROR(INDEX('Email Cleaner'!$B$2:$B$10001,MATCH(1688,'Email Cleaner'!$J$2:$J$10001,0)),"")</f>
        <v/>
      </c>
    </row>
    <row r="1690">
      <c r="A1690">
        <f>IFERROR(INDEX('Email Cleaner'!$B$2:$B$10001,MATCH(1689,'Email Cleaner'!$J$2:$J$10001,0)),"")</f>
        <v/>
      </c>
    </row>
    <row r="1691">
      <c r="A1691">
        <f>IFERROR(INDEX('Email Cleaner'!$B$2:$B$10001,MATCH(1690,'Email Cleaner'!$J$2:$J$10001,0)),"")</f>
        <v/>
      </c>
    </row>
    <row r="1692">
      <c r="A1692">
        <f>IFERROR(INDEX('Email Cleaner'!$B$2:$B$10001,MATCH(1691,'Email Cleaner'!$J$2:$J$10001,0)),"")</f>
        <v/>
      </c>
    </row>
    <row r="1693">
      <c r="A1693">
        <f>IFERROR(INDEX('Email Cleaner'!$B$2:$B$10001,MATCH(1692,'Email Cleaner'!$J$2:$J$10001,0)),"")</f>
        <v/>
      </c>
    </row>
    <row r="1694">
      <c r="A1694">
        <f>IFERROR(INDEX('Email Cleaner'!$B$2:$B$10001,MATCH(1693,'Email Cleaner'!$J$2:$J$10001,0)),"")</f>
        <v/>
      </c>
    </row>
    <row r="1695">
      <c r="A1695">
        <f>IFERROR(INDEX('Email Cleaner'!$B$2:$B$10001,MATCH(1694,'Email Cleaner'!$J$2:$J$10001,0)),"")</f>
        <v/>
      </c>
    </row>
    <row r="1696">
      <c r="A1696">
        <f>IFERROR(INDEX('Email Cleaner'!$B$2:$B$10001,MATCH(1695,'Email Cleaner'!$J$2:$J$10001,0)),"")</f>
        <v/>
      </c>
    </row>
    <row r="1697">
      <c r="A1697">
        <f>IFERROR(INDEX('Email Cleaner'!$B$2:$B$10001,MATCH(1696,'Email Cleaner'!$J$2:$J$10001,0)),"")</f>
        <v/>
      </c>
    </row>
    <row r="1698">
      <c r="A1698">
        <f>IFERROR(INDEX('Email Cleaner'!$B$2:$B$10001,MATCH(1697,'Email Cleaner'!$J$2:$J$10001,0)),"")</f>
        <v/>
      </c>
    </row>
    <row r="1699">
      <c r="A1699">
        <f>IFERROR(INDEX('Email Cleaner'!$B$2:$B$10001,MATCH(1698,'Email Cleaner'!$J$2:$J$10001,0)),"")</f>
        <v/>
      </c>
    </row>
    <row r="1700">
      <c r="A1700">
        <f>IFERROR(INDEX('Email Cleaner'!$B$2:$B$10001,MATCH(1699,'Email Cleaner'!$J$2:$J$10001,0)),"")</f>
        <v/>
      </c>
    </row>
    <row r="1701">
      <c r="A1701">
        <f>IFERROR(INDEX('Email Cleaner'!$B$2:$B$10001,MATCH(1700,'Email Cleaner'!$J$2:$J$10001,0)),"")</f>
        <v/>
      </c>
    </row>
    <row r="1702">
      <c r="A1702">
        <f>IFERROR(INDEX('Email Cleaner'!$B$2:$B$10001,MATCH(1701,'Email Cleaner'!$J$2:$J$10001,0)),"")</f>
        <v/>
      </c>
    </row>
    <row r="1703">
      <c r="A1703">
        <f>IFERROR(INDEX('Email Cleaner'!$B$2:$B$10001,MATCH(1702,'Email Cleaner'!$J$2:$J$10001,0)),"")</f>
        <v/>
      </c>
    </row>
    <row r="1704">
      <c r="A1704">
        <f>IFERROR(INDEX('Email Cleaner'!$B$2:$B$10001,MATCH(1703,'Email Cleaner'!$J$2:$J$10001,0)),"")</f>
        <v/>
      </c>
    </row>
    <row r="1705">
      <c r="A1705">
        <f>IFERROR(INDEX('Email Cleaner'!$B$2:$B$10001,MATCH(1704,'Email Cleaner'!$J$2:$J$10001,0)),"")</f>
        <v/>
      </c>
    </row>
    <row r="1706">
      <c r="A1706">
        <f>IFERROR(INDEX('Email Cleaner'!$B$2:$B$10001,MATCH(1705,'Email Cleaner'!$J$2:$J$10001,0)),"")</f>
        <v/>
      </c>
    </row>
    <row r="1707">
      <c r="A1707">
        <f>IFERROR(INDEX('Email Cleaner'!$B$2:$B$10001,MATCH(1706,'Email Cleaner'!$J$2:$J$10001,0)),"")</f>
        <v/>
      </c>
    </row>
    <row r="1708">
      <c r="A1708">
        <f>IFERROR(INDEX('Email Cleaner'!$B$2:$B$10001,MATCH(1707,'Email Cleaner'!$J$2:$J$10001,0)),"")</f>
        <v/>
      </c>
    </row>
    <row r="1709">
      <c r="A1709">
        <f>IFERROR(INDEX('Email Cleaner'!$B$2:$B$10001,MATCH(1708,'Email Cleaner'!$J$2:$J$10001,0)),"")</f>
        <v/>
      </c>
    </row>
    <row r="1710">
      <c r="A1710">
        <f>IFERROR(INDEX('Email Cleaner'!$B$2:$B$10001,MATCH(1709,'Email Cleaner'!$J$2:$J$10001,0)),"")</f>
        <v/>
      </c>
    </row>
    <row r="1711">
      <c r="A1711">
        <f>IFERROR(INDEX('Email Cleaner'!$B$2:$B$10001,MATCH(1710,'Email Cleaner'!$J$2:$J$10001,0)),"")</f>
        <v/>
      </c>
    </row>
    <row r="1712">
      <c r="A1712">
        <f>IFERROR(INDEX('Email Cleaner'!$B$2:$B$10001,MATCH(1711,'Email Cleaner'!$J$2:$J$10001,0)),"")</f>
        <v/>
      </c>
    </row>
    <row r="1713">
      <c r="A1713">
        <f>IFERROR(INDEX('Email Cleaner'!$B$2:$B$10001,MATCH(1712,'Email Cleaner'!$J$2:$J$10001,0)),"")</f>
        <v/>
      </c>
    </row>
    <row r="1714">
      <c r="A1714">
        <f>IFERROR(INDEX('Email Cleaner'!$B$2:$B$10001,MATCH(1713,'Email Cleaner'!$J$2:$J$10001,0)),"")</f>
        <v/>
      </c>
    </row>
    <row r="1715">
      <c r="A1715">
        <f>IFERROR(INDEX('Email Cleaner'!$B$2:$B$10001,MATCH(1714,'Email Cleaner'!$J$2:$J$10001,0)),"")</f>
        <v/>
      </c>
    </row>
    <row r="1716">
      <c r="A1716">
        <f>IFERROR(INDEX('Email Cleaner'!$B$2:$B$10001,MATCH(1715,'Email Cleaner'!$J$2:$J$10001,0)),"")</f>
        <v/>
      </c>
    </row>
    <row r="1717">
      <c r="A1717">
        <f>IFERROR(INDEX('Email Cleaner'!$B$2:$B$10001,MATCH(1716,'Email Cleaner'!$J$2:$J$10001,0)),"")</f>
        <v/>
      </c>
    </row>
    <row r="1718">
      <c r="A1718">
        <f>IFERROR(INDEX('Email Cleaner'!$B$2:$B$10001,MATCH(1717,'Email Cleaner'!$J$2:$J$10001,0)),"")</f>
        <v/>
      </c>
    </row>
    <row r="1719">
      <c r="A1719">
        <f>IFERROR(INDEX('Email Cleaner'!$B$2:$B$10001,MATCH(1718,'Email Cleaner'!$J$2:$J$10001,0)),"")</f>
        <v/>
      </c>
    </row>
    <row r="1720">
      <c r="A1720">
        <f>IFERROR(INDEX('Email Cleaner'!$B$2:$B$10001,MATCH(1719,'Email Cleaner'!$J$2:$J$10001,0)),"")</f>
        <v/>
      </c>
    </row>
    <row r="1721">
      <c r="A1721">
        <f>IFERROR(INDEX('Email Cleaner'!$B$2:$B$10001,MATCH(1720,'Email Cleaner'!$J$2:$J$10001,0)),"")</f>
        <v/>
      </c>
    </row>
    <row r="1722">
      <c r="A1722">
        <f>IFERROR(INDEX('Email Cleaner'!$B$2:$B$10001,MATCH(1721,'Email Cleaner'!$J$2:$J$10001,0)),"")</f>
        <v/>
      </c>
    </row>
    <row r="1723">
      <c r="A1723">
        <f>IFERROR(INDEX('Email Cleaner'!$B$2:$B$10001,MATCH(1722,'Email Cleaner'!$J$2:$J$10001,0)),"")</f>
        <v/>
      </c>
    </row>
    <row r="1724">
      <c r="A1724">
        <f>IFERROR(INDEX('Email Cleaner'!$B$2:$B$10001,MATCH(1723,'Email Cleaner'!$J$2:$J$10001,0)),"")</f>
        <v/>
      </c>
    </row>
    <row r="1725">
      <c r="A1725">
        <f>IFERROR(INDEX('Email Cleaner'!$B$2:$B$10001,MATCH(1724,'Email Cleaner'!$J$2:$J$10001,0)),"")</f>
        <v/>
      </c>
    </row>
    <row r="1726">
      <c r="A1726">
        <f>IFERROR(INDEX('Email Cleaner'!$B$2:$B$10001,MATCH(1725,'Email Cleaner'!$J$2:$J$10001,0)),"")</f>
        <v/>
      </c>
    </row>
    <row r="1727">
      <c r="A1727">
        <f>IFERROR(INDEX('Email Cleaner'!$B$2:$B$10001,MATCH(1726,'Email Cleaner'!$J$2:$J$10001,0)),"")</f>
        <v/>
      </c>
    </row>
    <row r="1728">
      <c r="A1728">
        <f>IFERROR(INDEX('Email Cleaner'!$B$2:$B$10001,MATCH(1727,'Email Cleaner'!$J$2:$J$10001,0)),"")</f>
        <v/>
      </c>
    </row>
    <row r="1729">
      <c r="A1729">
        <f>IFERROR(INDEX('Email Cleaner'!$B$2:$B$10001,MATCH(1728,'Email Cleaner'!$J$2:$J$10001,0)),"")</f>
        <v/>
      </c>
    </row>
    <row r="1730">
      <c r="A1730">
        <f>IFERROR(INDEX('Email Cleaner'!$B$2:$B$10001,MATCH(1729,'Email Cleaner'!$J$2:$J$10001,0)),"")</f>
        <v/>
      </c>
    </row>
    <row r="1731">
      <c r="A1731">
        <f>IFERROR(INDEX('Email Cleaner'!$B$2:$B$10001,MATCH(1730,'Email Cleaner'!$J$2:$J$10001,0)),"")</f>
        <v/>
      </c>
    </row>
    <row r="1732">
      <c r="A1732">
        <f>IFERROR(INDEX('Email Cleaner'!$B$2:$B$10001,MATCH(1731,'Email Cleaner'!$J$2:$J$10001,0)),"")</f>
        <v/>
      </c>
    </row>
    <row r="1733">
      <c r="A1733">
        <f>IFERROR(INDEX('Email Cleaner'!$B$2:$B$10001,MATCH(1732,'Email Cleaner'!$J$2:$J$10001,0)),"")</f>
        <v/>
      </c>
    </row>
    <row r="1734">
      <c r="A1734">
        <f>IFERROR(INDEX('Email Cleaner'!$B$2:$B$10001,MATCH(1733,'Email Cleaner'!$J$2:$J$10001,0)),"")</f>
        <v/>
      </c>
    </row>
    <row r="1735">
      <c r="A1735">
        <f>IFERROR(INDEX('Email Cleaner'!$B$2:$B$10001,MATCH(1734,'Email Cleaner'!$J$2:$J$10001,0)),"")</f>
        <v/>
      </c>
    </row>
    <row r="1736">
      <c r="A1736">
        <f>IFERROR(INDEX('Email Cleaner'!$B$2:$B$10001,MATCH(1735,'Email Cleaner'!$J$2:$J$10001,0)),"")</f>
        <v/>
      </c>
    </row>
    <row r="1737">
      <c r="A1737">
        <f>IFERROR(INDEX('Email Cleaner'!$B$2:$B$10001,MATCH(1736,'Email Cleaner'!$J$2:$J$10001,0)),"")</f>
        <v/>
      </c>
    </row>
    <row r="1738">
      <c r="A1738">
        <f>IFERROR(INDEX('Email Cleaner'!$B$2:$B$10001,MATCH(1737,'Email Cleaner'!$J$2:$J$10001,0)),"")</f>
        <v/>
      </c>
    </row>
    <row r="1739">
      <c r="A1739">
        <f>IFERROR(INDEX('Email Cleaner'!$B$2:$B$10001,MATCH(1738,'Email Cleaner'!$J$2:$J$10001,0)),"")</f>
        <v/>
      </c>
    </row>
    <row r="1740">
      <c r="A1740">
        <f>IFERROR(INDEX('Email Cleaner'!$B$2:$B$10001,MATCH(1739,'Email Cleaner'!$J$2:$J$10001,0)),"")</f>
        <v/>
      </c>
    </row>
    <row r="1741">
      <c r="A1741">
        <f>IFERROR(INDEX('Email Cleaner'!$B$2:$B$10001,MATCH(1740,'Email Cleaner'!$J$2:$J$10001,0)),"")</f>
        <v/>
      </c>
    </row>
    <row r="1742">
      <c r="A1742">
        <f>IFERROR(INDEX('Email Cleaner'!$B$2:$B$10001,MATCH(1741,'Email Cleaner'!$J$2:$J$10001,0)),"")</f>
        <v/>
      </c>
    </row>
    <row r="1743">
      <c r="A1743">
        <f>IFERROR(INDEX('Email Cleaner'!$B$2:$B$10001,MATCH(1742,'Email Cleaner'!$J$2:$J$10001,0)),"")</f>
        <v/>
      </c>
    </row>
    <row r="1744">
      <c r="A1744">
        <f>IFERROR(INDEX('Email Cleaner'!$B$2:$B$10001,MATCH(1743,'Email Cleaner'!$J$2:$J$10001,0)),"")</f>
        <v/>
      </c>
    </row>
    <row r="1745">
      <c r="A1745">
        <f>IFERROR(INDEX('Email Cleaner'!$B$2:$B$10001,MATCH(1744,'Email Cleaner'!$J$2:$J$10001,0)),"")</f>
        <v/>
      </c>
    </row>
    <row r="1746">
      <c r="A1746">
        <f>IFERROR(INDEX('Email Cleaner'!$B$2:$B$10001,MATCH(1745,'Email Cleaner'!$J$2:$J$10001,0)),"")</f>
        <v/>
      </c>
    </row>
    <row r="1747">
      <c r="A1747">
        <f>IFERROR(INDEX('Email Cleaner'!$B$2:$B$10001,MATCH(1746,'Email Cleaner'!$J$2:$J$10001,0)),"")</f>
        <v/>
      </c>
    </row>
    <row r="1748">
      <c r="A1748">
        <f>IFERROR(INDEX('Email Cleaner'!$B$2:$B$10001,MATCH(1747,'Email Cleaner'!$J$2:$J$10001,0)),"")</f>
        <v/>
      </c>
    </row>
    <row r="1749">
      <c r="A1749">
        <f>IFERROR(INDEX('Email Cleaner'!$B$2:$B$10001,MATCH(1748,'Email Cleaner'!$J$2:$J$10001,0)),"")</f>
        <v/>
      </c>
    </row>
    <row r="1750">
      <c r="A1750">
        <f>IFERROR(INDEX('Email Cleaner'!$B$2:$B$10001,MATCH(1749,'Email Cleaner'!$J$2:$J$10001,0)),"")</f>
        <v/>
      </c>
    </row>
    <row r="1751">
      <c r="A1751">
        <f>IFERROR(INDEX('Email Cleaner'!$B$2:$B$10001,MATCH(1750,'Email Cleaner'!$J$2:$J$10001,0)),"")</f>
        <v/>
      </c>
    </row>
    <row r="1752">
      <c r="A1752">
        <f>IFERROR(INDEX('Email Cleaner'!$B$2:$B$10001,MATCH(1751,'Email Cleaner'!$J$2:$J$10001,0)),"")</f>
        <v/>
      </c>
    </row>
    <row r="1753">
      <c r="A1753">
        <f>IFERROR(INDEX('Email Cleaner'!$B$2:$B$10001,MATCH(1752,'Email Cleaner'!$J$2:$J$10001,0)),"")</f>
        <v/>
      </c>
    </row>
    <row r="1754">
      <c r="A1754">
        <f>IFERROR(INDEX('Email Cleaner'!$B$2:$B$10001,MATCH(1753,'Email Cleaner'!$J$2:$J$10001,0)),"")</f>
        <v/>
      </c>
    </row>
    <row r="1755">
      <c r="A1755">
        <f>IFERROR(INDEX('Email Cleaner'!$B$2:$B$10001,MATCH(1754,'Email Cleaner'!$J$2:$J$10001,0)),"")</f>
        <v/>
      </c>
    </row>
    <row r="1756">
      <c r="A1756">
        <f>IFERROR(INDEX('Email Cleaner'!$B$2:$B$10001,MATCH(1755,'Email Cleaner'!$J$2:$J$10001,0)),"")</f>
        <v/>
      </c>
    </row>
    <row r="1757">
      <c r="A1757">
        <f>IFERROR(INDEX('Email Cleaner'!$B$2:$B$10001,MATCH(1756,'Email Cleaner'!$J$2:$J$10001,0)),"")</f>
        <v/>
      </c>
    </row>
    <row r="1758">
      <c r="A1758">
        <f>IFERROR(INDEX('Email Cleaner'!$B$2:$B$10001,MATCH(1757,'Email Cleaner'!$J$2:$J$10001,0)),"")</f>
        <v/>
      </c>
    </row>
    <row r="1759">
      <c r="A1759">
        <f>IFERROR(INDEX('Email Cleaner'!$B$2:$B$10001,MATCH(1758,'Email Cleaner'!$J$2:$J$10001,0)),"")</f>
        <v/>
      </c>
    </row>
    <row r="1760">
      <c r="A1760">
        <f>IFERROR(INDEX('Email Cleaner'!$B$2:$B$10001,MATCH(1759,'Email Cleaner'!$J$2:$J$10001,0)),"")</f>
        <v/>
      </c>
    </row>
    <row r="1761">
      <c r="A1761">
        <f>IFERROR(INDEX('Email Cleaner'!$B$2:$B$10001,MATCH(1760,'Email Cleaner'!$J$2:$J$10001,0)),"")</f>
        <v/>
      </c>
    </row>
    <row r="1762">
      <c r="A1762">
        <f>IFERROR(INDEX('Email Cleaner'!$B$2:$B$10001,MATCH(1761,'Email Cleaner'!$J$2:$J$10001,0)),"")</f>
        <v/>
      </c>
    </row>
    <row r="1763">
      <c r="A1763">
        <f>IFERROR(INDEX('Email Cleaner'!$B$2:$B$10001,MATCH(1762,'Email Cleaner'!$J$2:$J$10001,0)),"")</f>
        <v/>
      </c>
    </row>
    <row r="1764">
      <c r="A1764">
        <f>IFERROR(INDEX('Email Cleaner'!$B$2:$B$10001,MATCH(1763,'Email Cleaner'!$J$2:$J$10001,0)),"")</f>
        <v/>
      </c>
    </row>
    <row r="1765">
      <c r="A1765">
        <f>IFERROR(INDEX('Email Cleaner'!$B$2:$B$10001,MATCH(1764,'Email Cleaner'!$J$2:$J$10001,0)),"")</f>
        <v/>
      </c>
    </row>
    <row r="1766">
      <c r="A1766">
        <f>IFERROR(INDEX('Email Cleaner'!$B$2:$B$10001,MATCH(1765,'Email Cleaner'!$J$2:$J$10001,0)),"")</f>
        <v/>
      </c>
    </row>
    <row r="1767">
      <c r="A1767">
        <f>IFERROR(INDEX('Email Cleaner'!$B$2:$B$10001,MATCH(1766,'Email Cleaner'!$J$2:$J$10001,0)),"")</f>
        <v/>
      </c>
    </row>
    <row r="1768">
      <c r="A1768">
        <f>IFERROR(INDEX('Email Cleaner'!$B$2:$B$10001,MATCH(1767,'Email Cleaner'!$J$2:$J$10001,0)),"")</f>
        <v/>
      </c>
    </row>
    <row r="1769">
      <c r="A1769">
        <f>IFERROR(INDEX('Email Cleaner'!$B$2:$B$10001,MATCH(1768,'Email Cleaner'!$J$2:$J$10001,0)),"")</f>
        <v/>
      </c>
    </row>
    <row r="1770">
      <c r="A1770">
        <f>IFERROR(INDEX('Email Cleaner'!$B$2:$B$10001,MATCH(1769,'Email Cleaner'!$J$2:$J$10001,0)),"")</f>
        <v/>
      </c>
    </row>
    <row r="1771">
      <c r="A1771">
        <f>IFERROR(INDEX('Email Cleaner'!$B$2:$B$10001,MATCH(1770,'Email Cleaner'!$J$2:$J$10001,0)),"")</f>
        <v/>
      </c>
    </row>
    <row r="1772">
      <c r="A1772">
        <f>IFERROR(INDEX('Email Cleaner'!$B$2:$B$10001,MATCH(1771,'Email Cleaner'!$J$2:$J$10001,0)),"")</f>
        <v/>
      </c>
    </row>
    <row r="1773">
      <c r="A1773">
        <f>IFERROR(INDEX('Email Cleaner'!$B$2:$B$10001,MATCH(1772,'Email Cleaner'!$J$2:$J$10001,0)),"")</f>
        <v/>
      </c>
    </row>
    <row r="1774">
      <c r="A1774">
        <f>IFERROR(INDEX('Email Cleaner'!$B$2:$B$10001,MATCH(1773,'Email Cleaner'!$J$2:$J$10001,0)),"")</f>
        <v/>
      </c>
    </row>
    <row r="1775">
      <c r="A1775">
        <f>IFERROR(INDEX('Email Cleaner'!$B$2:$B$10001,MATCH(1774,'Email Cleaner'!$J$2:$J$10001,0)),"")</f>
        <v/>
      </c>
    </row>
    <row r="1776">
      <c r="A1776">
        <f>IFERROR(INDEX('Email Cleaner'!$B$2:$B$10001,MATCH(1775,'Email Cleaner'!$J$2:$J$10001,0)),"")</f>
        <v/>
      </c>
    </row>
    <row r="1777">
      <c r="A1777">
        <f>IFERROR(INDEX('Email Cleaner'!$B$2:$B$10001,MATCH(1776,'Email Cleaner'!$J$2:$J$10001,0)),"")</f>
        <v/>
      </c>
    </row>
    <row r="1778">
      <c r="A1778">
        <f>IFERROR(INDEX('Email Cleaner'!$B$2:$B$10001,MATCH(1777,'Email Cleaner'!$J$2:$J$10001,0)),"")</f>
        <v/>
      </c>
    </row>
    <row r="1779">
      <c r="A1779">
        <f>IFERROR(INDEX('Email Cleaner'!$B$2:$B$10001,MATCH(1778,'Email Cleaner'!$J$2:$J$10001,0)),"")</f>
        <v/>
      </c>
    </row>
    <row r="1780">
      <c r="A1780">
        <f>IFERROR(INDEX('Email Cleaner'!$B$2:$B$10001,MATCH(1779,'Email Cleaner'!$J$2:$J$10001,0)),"")</f>
        <v/>
      </c>
    </row>
    <row r="1781">
      <c r="A1781">
        <f>IFERROR(INDEX('Email Cleaner'!$B$2:$B$10001,MATCH(1780,'Email Cleaner'!$J$2:$J$10001,0)),"")</f>
        <v/>
      </c>
    </row>
    <row r="1782">
      <c r="A1782">
        <f>IFERROR(INDEX('Email Cleaner'!$B$2:$B$10001,MATCH(1781,'Email Cleaner'!$J$2:$J$10001,0)),"")</f>
        <v/>
      </c>
    </row>
    <row r="1783">
      <c r="A1783">
        <f>IFERROR(INDEX('Email Cleaner'!$B$2:$B$10001,MATCH(1782,'Email Cleaner'!$J$2:$J$10001,0)),"")</f>
        <v/>
      </c>
    </row>
    <row r="1784">
      <c r="A1784">
        <f>IFERROR(INDEX('Email Cleaner'!$B$2:$B$10001,MATCH(1783,'Email Cleaner'!$J$2:$J$10001,0)),"")</f>
        <v/>
      </c>
    </row>
    <row r="1785">
      <c r="A1785">
        <f>IFERROR(INDEX('Email Cleaner'!$B$2:$B$10001,MATCH(1784,'Email Cleaner'!$J$2:$J$10001,0)),"")</f>
        <v/>
      </c>
    </row>
    <row r="1786">
      <c r="A1786">
        <f>IFERROR(INDEX('Email Cleaner'!$B$2:$B$10001,MATCH(1785,'Email Cleaner'!$J$2:$J$10001,0)),"")</f>
        <v/>
      </c>
    </row>
    <row r="1787">
      <c r="A1787">
        <f>IFERROR(INDEX('Email Cleaner'!$B$2:$B$10001,MATCH(1786,'Email Cleaner'!$J$2:$J$10001,0)),"")</f>
        <v/>
      </c>
    </row>
    <row r="1788">
      <c r="A1788">
        <f>IFERROR(INDEX('Email Cleaner'!$B$2:$B$10001,MATCH(1787,'Email Cleaner'!$J$2:$J$10001,0)),"")</f>
        <v/>
      </c>
    </row>
    <row r="1789">
      <c r="A1789">
        <f>IFERROR(INDEX('Email Cleaner'!$B$2:$B$10001,MATCH(1788,'Email Cleaner'!$J$2:$J$10001,0)),"")</f>
        <v/>
      </c>
    </row>
    <row r="1790">
      <c r="A1790">
        <f>IFERROR(INDEX('Email Cleaner'!$B$2:$B$10001,MATCH(1789,'Email Cleaner'!$J$2:$J$10001,0)),"")</f>
        <v/>
      </c>
    </row>
    <row r="1791">
      <c r="A1791">
        <f>IFERROR(INDEX('Email Cleaner'!$B$2:$B$10001,MATCH(1790,'Email Cleaner'!$J$2:$J$10001,0)),"")</f>
        <v/>
      </c>
    </row>
    <row r="1792">
      <c r="A1792">
        <f>IFERROR(INDEX('Email Cleaner'!$B$2:$B$10001,MATCH(1791,'Email Cleaner'!$J$2:$J$10001,0)),"")</f>
        <v/>
      </c>
    </row>
    <row r="1793">
      <c r="A1793">
        <f>IFERROR(INDEX('Email Cleaner'!$B$2:$B$10001,MATCH(1792,'Email Cleaner'!$J$2:$J$10001,0)),"")</f>
        <v/>
      </c>
    </row>
    <row r="1794">
      <c r="A1794">
        <f>IFERROR(INDEX('Email Cleaner'!$B$2:$B$10001,MATCH(1793,'Email Cleaner'!$J$2:$J$10001,0)),"")</f>
        <v/>
      </c>
    </row>
    <row r="1795">
      <c r="A1795">
        <f>IFERROR(INDEX('Email Cleaner'!$B$2:$B$10001,MATCH(1794,'Email Cleaner'!$J$2:$J$10001,0)),"")</f>
        <v/>
      </c>
    </row>
    <row r="1796">
      <c r="A1796">
        <f>IFERROR(INDEX('Email Cleaner'!$B$2:$B$10001,MATCH(1795,'Email Cleaner'!$J$2:$J$10001,0)),"")</f>
        <v/>
      </c>
    </row>
    <row r="1797">
      <c r="A1797">
        <f>IFERROR(INDEX('Email Cleaner'!$B$2:$B$10001,MATCH(1796,'Email Cleaner'!$J$2:$J$10001,0)),"")</f>
        <v/>
      </c>
    </row>
    <row r="1798">
      <c r="A1798">
        <f>IFERROR(INDEX('Email Cleaner'!$B$2:$B$10001,MATCH(1797,'Email Cleaner'!$J$2:$J$10001,0)),"")</f>
        <v/>
      </c>
    </row>
    <row r="1799">
      <c r="A1799">
        <f>IFERROR(INDEX('Email Cleaner'!$B$2:$B$10001,MATCH(1798,'Email Cleaner'!$J$2:$J$10001,0)),"")</f>
        <v/>
      </c>
    </row>
    <row r="1800">
      <c r="A1800">
        <f>IFERROR(INDEX('Email Cleaner'!$B$2:$B$10001,MATCH(1799,'Email Cleaner'!$J$2:$J$10001,0)),"")</f>
        <v/>
      </c>
    </row>
    <row r="1801">
      <c r="A1801">
        <f>IFERROR(INDEX('Email Cleaner'!$B$2:$B$10001,MATCH(1800,'Email Cleaner'!$J$2:$J$10001,0)),"")</f>
        <v/>
      </c>
    </row>
    <row r="1802">
      <c r="A1802">
        <f>IFERROR(INDEX('Email Cleaner'!$B$2:$B$10001,MATCH(1801,'Email Cleaner'!$J$2:$J$10001,0)),"")</f>
        <v/>
      </c>
    </row>
    <row r="1803">
      <c r="A1803">
        <f>IFERROR(INDEX('Email Cleaner'!$B$2:$B$10001,MATCH(1802,'Email Cleaner'!$J$2:$J$10001,0)),"")</f>
        <v/>
      </c>
    </row>
    <row r="1804">
      <c r="A1804">
        <f>IFERROR(INDEX('Email Cleaner'!$B$2:$B$10001,MATCH(1803,'Email Cleaner'!$J$2:$J$10001,0)),"")</f>
        <v/>
      </c>
    </row>
    <row r="1805">
      <c r="A1805">
        <f>IFERROR(INDEX('Email Cleaner'!$B$2:$B$10001,MATCH(1804,'Email Cleaner'!$J$2:$J$10001,0)),"")</f>
        <v/>
      </c>
    </row>
    <row r="1806">
      <c r="A1806">
        <f>IFERROR(INDEX('Email Cleaner'!$B$2:$B$10001,MATCH(1805,'Email Cleaner'!$J$2:$J$10001,0)),"")</f>
        <v/>
      </c>
    </row>
    <row r="1807">
      <c r="A1807">
        <f>IFERROR(INDEX('Email Cleaner'!$B$2:$B$10001,MATCH(1806,'Email Cleaner'!$J$2:$J$10001,0)),"")</f>
        <v/>
      </c>
    </row>
    <row r="1808">
      <c r="A1808">
        <f>IFERROR(INDEX('Email Cleaner'!$B$2:$B$10001,MATCH(1807,'Email Cleaner'!$J$2:$J$10001,0)),"")</f>
        <v/>
      </c>
    </row>
    <row r="1809">
      <c r="A1809">
        <f>IFERROR(INDEX('Email Cleaner'!$B$2:$B$10001,MATCH(1808,'Email Cleaner'!$J$2:$J$10001,0)),"")</f>
        <v/>
      </c>
    </row>
    <row r="1810">
      <c r="A1810">
        <f>IFERROR(INDEX('Email Cleaner'!$B$2:$B$10001,MATCH(1809,'Email Cleaner'!$J$2:$J$10001,0)),"")</f>
        <v/>
      </c>
    </row>
    <row r="1811">
      <c r="A1811">
        <f>IFERROR(INDEX('Email Cleaner'!$B$2:$B$10001,MATCH(1810,'Email Cleaner'!$J$2:$J$10001,0)),"")</f>
        <v/>
      </c>
    </row>
    <row r="1812">
      <c r="A1812">
        <f>IFERROR(INDEX('Email Cleaner'!$B$2:$B$10001,MATCH(1811,'Email Cleaner'!$J$2:$J$10001,0)),"")</f>
        <v/>
      </c>
    </row>
    <row r="1813">
      <c r="A1813">
        <f>IFERROR(INDEX('Email Cleaner'!$B$2:$B$10001,MATCH(1812,'Email Cleaner'!$J$2:$J$10001,0)),"")</f>
        <v/>
      </c>
    </row>
    <row r="1814">
      <c r="A1814">
        <f>IFERROR(INDEX('Email Cleaner'!$B$2:$B$10001,MATCH(1813,'Email Cleaner'!$J$2:$J$10001,0)),"")</f>
        <v/>
      </c>
    </row>
    <row r="1815">
      <c r="A1815">
        <f>IFERROR(INDEX('Email Cleaner'!$B$2:$B$10001,MATCH(1814,'Email Cleaner'!$J$2:$J$10001,0)),"")</f>
        <v/>
      </c>
    </row>
    <row r="1816">
      <c r="A1816">
        <f>IFERROR(INDEX('Email Cleaner'!$B$2:$B$10001,MATCH(1815,'Email Cleaner'!$J$2:$J$10001,0)),"")</f>
        <v/>
      </c>
    </row>
    <row r="1817">
      <c r="A1817">
        <f>IFERROR(INDEX('Email Cleaner'!$B$2:$B$10001,MATCH(1816,'Email Cleaner'!$J$2:$J$10001,0)),"")</f>
        <v/>
      </c>
    </row>
    <row r="1818">
      <c r="A1818">
        <f>IFERROR(INDEX('Email Cleaner'!$B$2:$B$10001,MATCH(1817,'Email Cleaner'!$J$2:$J$10001,0)),"")</f>
        <v/>
      </c>
    </row>
    <row r="1819">
      <c r="A1819">
        <f>IFERROR(INDEX('Email Cleaner'!$B$2:$B$10001,MATCH(1818,'Email Cleaner'!$J$2:$J$10001,0)),"")</f>
        <v/>
      </c>
    </row>
    <row r="1820">
      <c r="A1820">
        <f>IFERROR(INDEX('Email Cleaner'!$B$2:$B$10001,MATCH(1819,'Email Cleaner'!$J$2:$J$10001,0)),"")</f>
        <v/>
      </c>
    </row>
    <row r="1821">
      <c r="A1821">
        <f>IFERROR(INDEX('Email Cleaner'!$B$2:$B$10001,MATCH(1820,'Email Cleaner'!$J$2:$J$10001,0)),"")</f>
        <v/>
      </c>
    </row>
    <row r="1822">
      <c r="A1822">
        <f>IFERROR(INDEX('Email Cleaner'!$B$2:$B$10001,MATCH(1821,'Email Cleaner'!$J$2:$J$10001,0)),"")</f>
        <v/>
      </c>
    </row>
    <row r="1823">
      <c r="A1823">
        <f>IFERROR(INDEX('Email Cleaner'!$B$2:$B$10001,MATCH(1822,'Email Cleaner'!$J$2:$J$10001,0)),"")</f>
        <v/>
      </c>
    </row>
    <row r="1824">
      <c r="A1824">
        <f>IFERROR(INDEX('Email Cleaner'!$B$2:$B$10001,MATCH(1823,'Email Cleaner'!$J$2:$J$10001,0)),"")</f>
        <v/>
      </c>
    </row>
    <row r="1825">
      <c r="A1825">
        <f>IFERROR(INDEX('Email Cleaner'!$B$2:$B$10001,MATCH(1824,'Email Cleaner'!$J$2:$J$10001,0)),"")</f>
        <v/>
      </c>
    </row>
    <row r="1826">
      <c r="A1826">
        <f>IFERROR(INDEX('Email Cleaner'!$B$2:$B$10001,MATCH(1825,'Email Cleaner'!$J$2:$J$10001,0)),"")</f>
        <v/>
      </c>
    </row>
    <row r="1827">
      <c r="A1827">
        <f>IFERROR(INDEX('Email Cleaner'!$B$2:$B$10001,MATCH(1826,'Email Cleaner'!$J$2:$J$10001,0)),"")</f>
        <v/>
      </c>
    </row>
    <row r="1828">
      <c r="A1828">
        <f>IFERROR(INDEX('Email Cleaner'!$B$2:$B$10001,MATCH(1827,'Email Cleaner'!$J$2:$J$10001,0)),"")</f>
        <v/>
      </c>
    </row>
    <row r="1829">
      <c r="A1829">
        <f>IFERROR(INDEX('Email Cleaner'!$B$2:$B$10001,MATCH(1828,'Email Cleaner'!$J$2:$J$10001,0)),"")</f>
        <v/>
      </c>
    </row>
    <row r="1830">
      <c r="A1830">
        <f>IFERROR(INDEX('Email Cleaner'!$B$2:$B$10001,MATCH(1829,'Email Cleaner'!$J$2:$J$10001,0)),"")</f>
        <v/>
      </c>
    </row>
    <row r="1831">
      <c r="A1831">
        <f>IFERROR(INDEX('Email Cleaner'!$B$2:$B$10001,MATCH(1830,'Email Cleaner'!$J$2:$J$10001,0)),"")</f>
        <v/>
      </c>
    </row>
    <row r="1832">
      <c r="A1832">
        <f>IFERROR(INDEX('Email Cleaner'!$B$2:$B$10001,MATCH(1831,'Email Cleaner'!$J$2:$J$10001,0)),"")</f>
        <v/>
      </c>
    </row>
    <row r="1833">
      <c r="A1833">
        <f>IFERROR(INDEX('Email Cleaner'!$B$2:$B$10001,MATCH(1832,'Email Cleaner'!$J$2:$J$10001,0)),"")</f>
        <v/>
      </c>
    </row>
    <row r="1834">
      <c r="A1834">
        <f>IFERROR(INDEX('Email Cleaner'!$B$2:$B$10001,MATCH(1833,'Email Cleaner'!$J$2:$J$10001,0)),"")</f>
        <v/>
      </c>
    </row>
    <row r="1835">
      <c r="A1835">
        <f>IFERROR(INDEX('Email Cleaner'!$B$2:$B$10001,MATCH(1834,'Email Cleaner'!$J$2:$J$10001,0)),"")</f>
        <v/>
      </c>
    </row>
    <row r="1836">
      <c r="A1836">
        <f>IFERROR(INDEX('Email Cleaner'!$B$2:$B$10001,MATCH(1835,'Email Cleaner'!$J$2:$J$10001,0)),"")</f>
        <v/>
      </c>
    </row>
    <row r="1837">
      <c r="A1837">
        <f>IFERROR(INDEX('Email Cleaner'!$B$2:$B$10001,MATCH(1836,'Email Cleaner'!$J$2:$J$10001,0)),"")</f>
        <v/>
      </c>
    </row>
    <row r="1838">
      <c r="A1838">
        <f>IFERROR(INDEX('Email Cleaner'!$B$2:$B$10001,MATCH(1837,'Email Cleaner'!$J$2:$J$10001,0)),"")</f>
        <v/>
      </c>
    </row>
    <row r="1839">
      <c r="A1839">
        <f>IFERROR(INDEX('Email Cleaner'!$B$2:$B$10001,MATCH(1838,'Email Cleaner'!$J$2:$J$10001,0)),"")</f>
        <v/>
      </c>
    </row>
    <row r="1840">
      <c r="A1840">
        <f>IFERROR(INDEX('Email Cleaner'!$B$2:$B$10001,MATCH(1839,'Email Cleaner'!$J$2:$J$10001,0)),"")</f>
        <v/>
      </c>
    </row>
    <row r="1841">
      <c r="A1841">
        <f>IFERROR(INDEX('Email Cleaner'!$B$2:$B$10001,MATCH(1840,'Email Cleaner'!$J$2:$J$10001,0)),"")</f>
        <v/>
      </c>
    </row>
    <row r="1842">
      <c r="A1842">
        <f>IFERROR(INDEX('Email Cleaner'!$B$2:$B$10001,MATCH(1841,'Email Cleaner'!$J$2:$J$10001,0)),"")</f>
        <v/>
      </c>
    </row>
    <row r="1843">
      <c r="A1843">
        <f>IFERROR(INDEX('Email Cleaner'!$B$2:$B$10001,MATCH(1842,'Email Cleaner'!$J$2:$J$10001,0)),"")</f>
        <v/>
      </c>
    </row>
    <row r="1844">
      <c r="A1844">
        <f>IFERROR(INDEX('Email Cleaner'!$B$2:$B$10001,MATCH(1843,'Email Cleaner'!$J$2:$J$10001,0)),"")</f>
        <v/>
      </c>
    </row>
    <row r="1845">
      <c r="A1845">
        <f>IFERROR(INDEX('Email Cleaner'!$B$2:$B$10001,MATCH(1844,'Email Cleaner'!$J$2:$J$10001,0)),"")</f>
        <v/>
      </c>
    </row>
    <row r="1846">
      <c r="A1846">
        <f>IFERROR(INDEX('Email Cleaner'!$B$2:$B$10001,MATCH(1845,'Email Cleaner'!$J$2:$J$10001,0)),"")</f>
        <v/>
      </c>
    </row>
    <row r="1847">
      <c r="A1847">
        <f>IFERROR(INDEX('Email Cleaner'!$B$2:$B$10001,MATCH(1846,'Email Cleaner'!$J$2:$J$10001,0)),"")</f>
        <v/>
      </c>
    </row>
    <row r="1848">
      <c r="A1848">
        <f>IFERROR(INDEX('Email Cleaner'!$B$2:$B$10001,MATCH(1847,'Email Cleaner'!$J$2:$J$10001,0)),"")</f>
        <v/>
      </c>
    </row>
    <row r="1849">
      <c r="A1849">
        <f>IFERROR(INDEX('Email Cleaner'!$B$2:$B$10001,MATCH(1848,'Email Cleaner'!$J$2:$J$10001,0)),"")</f>
        <v/>
      </c>
    </row>
    <row r="1850">
      <c r="A1850">
        <f>IFERROR(INDEX('Email Cleaner'!$B$2:$B$10001,MATCH(1849,'Email Cleaner'!$J$2:$J$10001,0)),"")</f>
        <v/>
      </c>
    </row>
    <row r="1851">
      <c r="A1851">
        <f>IFERROR(INDEX('Email Cleaner'!$B$2:$B$10001,MATCH(1850,'Email Cleaner'!$J$2:$J$10001,0)),"")</f>
        <v/>
      </c>
    </row>
    <row r="1852">
      <c r="A1852">
        <f>IFERROR(INDEX('Email Cleaner'!$B$2:$B$10001,MATCH(1851,'Email Cleaner'!$J$2:$J$10001,0)),"")</f>
        <v/>
      </c>
    </row>
    <row r="1853">
      <c r="A1853">
        <f>IFERROR(INDEX('Email Cleaner'!$B$2:$B$10001,MATCH(1852,'Email Cleaner'!$J$2:$J$10001,0)),"")</f>
        <v/>
      </c>
    </row>
    <row r="1854">
      <c r="A1854">
        <f>IFERROR(INDEX('Email Cleaner'!$B$2:$B$10001,MATCH(1853,'Email Cleaner'!$J$2:$J$10001,0)),"")</f>
        <v/>
      </c>
    </row>
    <row r="1855">
      <c r="A1855">
        <f>IFERROR(INDEX('Email Cleaner'!$B$2:$B$10001,MATCH(1854,'Email Cleaner'!$J$2:$J$10001,0)),"")</f>
        <v/>
      </c>
    </row>
    <row r="1856">
      <c r="A1856">
        <f>IFERROR(INDEX('Email Cleaner'!$B$2:$B$10001,MATCH(1855,'Email Cleaner'!$J$2:$J$10001,0)),"")</f>
        <v/>
      </c>
    </row>
    <row r="1857">
      <c r="A1857">
        <f>IFERROR(INDEX('Email Cleaner'!$B$2:$B$10001,MATCH(1856,'Email Cleaner'!$J$2:$J$10001,0)),"")</f>
        <v/>
      </c>
    </row>
    <row r="1858">
      <c r="A1858">
        <f>IFERROR(INDEX('Email Cleaner'!$B$2:$B$10001,MATCH(1857,'Email Cleaner'!$J$2:$J$10001,0)),"")</f>
        <v/>
      </c>
    </row>
    <row r="1859">
      <c r="A1859">
        <f>IFERROR(INDEX('Email Cleaner'!$B$2:$B$10001,MATCH(1858,'Email Cleaner'!$J$2:$J$10001,0)),"")</f>
        <v/>
      </c>
    </row>
    <row r="1860">
      <c r="A1860">
        <f>IFERROR(INDEX('Email Cleaner'!$B$2:$B$10001,MATCH(1859,'Email Cleaner'!$J$2:$J$10001,0)),"")</f>
        <v/>
      </c>
    </row>
    <row r="1861">
      <c r="A1861">
        <f>IFERROR(INDEX('Email Cleaner'!$B$2:$B$10001,MATCH(1860,'Email Cleaner'!$J$2:$J$10001,0)),"")</f>
        <v/>
      </c>
    </row>
    <row r="1862">
      <c r="A1862">
        <f>IFERROR(INDEX('Email Cleaner'!$B$2:$B$10001,MATCH(1861,'Email Cleaner'!$J$2:$J$10001,0)),"")</f>
        <v/>
      </c>
    </row>
    <row r="1863">
      <c r="A1863">
        <f>IFERROR(INDEX('Email Cleaner'!$B$2:$B$10001,MATCH(1862,'Email Cleaner'!$J$2:$J$10001,0)),"")</f>
        <v/>
      </c>
    </row>
    <row r="1864">
      <c r="A1864">
        <f>IFERROR(INDEX('Email Cleaner'!$B$2:$B$10001,MATCH(1863,'Email Cleaner'!$J$2:$J$10001,0)),"")</f>
        <v/>
      </c>
    </row>
    <row r="1865">
      <c r="A1865">
        <f>IFERROR(INDEX('Email Cleaner'!$B$2:$B$10001,MATCH(1864,'Email Cleaner'!$J$2:$J$10001,0)),"")</f>
        <v/>
      </c>
    </row>
    <row r="1866">
      <c r="A1866">
        <f>IFERROR(INDEX('Email Cleaner'!$B$2:$B$10001,MATCH(1865,'Email Cleaner'!$J$2:$J$10001,0)),"")</f>
        <v/>
      </c>
    </row>
    <row r="1867">
      <c r="A1867">
        <f>IFERROR(INDEX('Email Cleaner'!$B$2:$B$10001,MATCH(1866,'Email Cleaner'!$J$2:$J$10001,0)),"")</f>
        <v/>
      </c>
    </row>
    <row r="1868">
      <c r="A1868">
        <f>IFERROR(INDEX('Email Cleaner'!$B$2:$B$10001,MATCH(1867,'Email Cleaner'!$J$2:$J$10001,0)),"")</f>
        <v/>
      </c>
    </row>
    <row r="1869">
      <c r="A1869">
        <f>IFERROR(INDEX('Email Cleaner'!$B$2:$B$10001,MATCH(1868,'Email Cleaner'!$J$2:$J$10001,0)),"")</f>
        <v/>
      </c>
    </row>
    <row r="1870">
      <c r="A1870">
        <f>IFERROR(INDEX('Email Cleaner'!$B$2:$B$10001,MATCH(1869,'Email Cleaner'!$J$2:$J$10001,0)),"")</f>
        <v/>
      </c>
    </row>
    <row r="1871">
      <c r="A1871">
        <f>IFERROR(INDEX('Email Cleaner'!$B$2:$B$10001,MATCH(1870,'Email Cleaner'!$J$2:$J$10001,0)),"")</f>
        <v/>
      </c>
    </row>
    <row r="1872">
      <c r="A1872">
        <f>IFERROR(INDEX('Email Cleaner'!$B$2:$B$10001,MATCH(1871,'Email Cleaner'!$J$2:$J$10001,0)),"")</f>
        <v/>
      </c>
    </row>
    <row r="1873">
      <c r="A1873">
        <f>IFERROR(INDEX('Email Cleaner'!$B$2:$B$10001,MATCH(1872,'Email Cleaner'!$J$2:$J$10001,0)),"")</f>
        <v/>
      </c>
    </row>
    <row r="1874">
      <c r="A1874">
        <f>IFERROR(INDEX('Email Cleaner'!$B$2:$B$10001,MATCH(1873,'Email Cleaner'!$J$2:$J$10001,0)),"")</f>
        <v/>
      </c>
    </row>
    <row r="1875">
      <c r="A1875">
        <f>IFERROR(INDEX('Email Cleaner'!$B$2:$B$10001,MATCH(1874,'Email Cleaner'!$J$2:$J$10001,0)),"")</f>
        <v/>
      </c>
    </row>
    <row r="1876">
      <c r="A1876">
        <f>IFERROR(INDEX('Email Cleaner'!$B$2:$B$10001,MATCH(1875,'Email Cleaner'!$J$2:$J$10001,0)),"")</f>
        <v/>
      </c>
    </row>
    <row r="1877">
      <c r="A1877">
        <f>IFERROR(INDEX('Email Cleaner'!$B$2:$B$10001,MATCH(1876,'Email Cleaner'!$J$2:$J$10001,0)),"")</f>
        <v/>
      </c>
    </row>
    <row r="1878">
      <c r="A1878">
        <f>IFERROR(INDEX('Email Cleaner'!$B$2:$B$10001,MATCH(1877,'Email Cleaner'!$J$2:$J$10001,0)),"")</f>
        <v/>
      </c>
    </row>
    <row r="1879">
      <c r="A1879">
        <f>IFERROR(INDEX('Email Cleaner'!$B$2:$B$10001,MATCH(1878,'Email Cleaner'!$J$2:$J$10001,0)),"")</f>
        <v/>
      </c>
    </row>
    <row r="1880">
      <c r="A1880">
        <f>IFERROR(INDEX('Email Cleaner'!$B$2:$B$10001,MATCH(1879,'Email Cleaner'!$J$2:$J$10001,0)),"")</f>
        <v/>
      </c>
    </row>
    <row r="1881">
      <c r="A1881">
        <f>IFERROR(INDEX('Email Cleaner'!$B$2:$B$10001,MATCH(1880,'Email Cleaner'!$J$2:$J$10001,0)),"")</f>
        <v/>
      </c>
    </row>
    <row r="1882">
      <c r="A1882">
        <f>IFERROR(INDEX('Email Cleaner'!$B$2:$B$10001,MATCH(1881,'Email Cleaner'!$J$2:$J$10001,0)),"")</f>
        <v/>
      </c>
    </row>
    <row r="1883">
      <c r="A1883">
        <f>IFERROR(INDEX('Email Cleaner'!$B$2:$B$10001,MATCH(1882,'Email Cleaner'!$J$2:$J$10001,0)),"")</f>
        <v/>
      </c>
    </row>
    <row r="1884">
      <c r="A1884">
        <f>IFERROR(INDEX('Email Cleaner'!$B$2:$B$10001,MATCH(1883,'Email Cleaner'!$J$2:$J$10001,0)),"")</f>
        <v/>
      </c>
    </row>
    <row r="1885">
      <c r="A1885">
        <f>IFERROR(INDEX('Email Cleaner'!$B$2:$B$10001,MATCH(1884,'Email Cleaner'!$J$2:$J$10001,0)),"")</f>
        <v/>
      </c>
    </row>
    <row r="1886">
      <c r="A1886">
        <f>IFERROR(INDEX('Email Cleaner'!$B$2:$B$10001,MATCH(1885,'Email Cleaner'!$J$2:$J$10001,0)),"")</f>
        <v/>
      </c>
    </row>
    <row r="1887">
      <c r="A1887">
        <f>IFERROR(INDEX('Email Cleaner'!$B$2:$B$10001,MATCH(1886,'Email Cleaner'!$J$2:$J$10001,0)),"")</f>
        <v/>
      </c>
    </row>
    <row r="1888">
      <c r="A1888">
        <f>IFERROR(INDEX('Email Cleaner'!$B$2:$B$10001,MATCH(1887,'Email Cleaner'!$J$2:$J$10001,0)),"")</f>
        <v/>
      </c>
    </row>
    <row r="1889">
      <c r="A1889">
        <f>IFERROR(INDEX('Email Cleaner'!$B$2:$B$10001,MATCH(1888,'Email Cleaner'!$J$2:$J$10001,0)),"")</f>
        <v/>
      </c>
    </row>
    <row r="1890">
      <c r="A1890">
        <f>IFERROR(INDEX('Email Cleaner'!$B$2:$B$10001,MATCH(1889,'Email Cleaner'!$J$2:$J$10001,0)),"")</f>
        <v/>
      </c>
    </row>
    <row r="1891">
      <c r="A1891">
        <f>IFERROR(INDEX('Email Cleaner'!$B$2:$B$10001,MATCH(1890,'Email Cleaner'!$J$2:$J$10001,0)),"")</f>
        <v/>
      </c>
    </row>
    <row r="1892">
      <c r="A1892">
        <f>IFERROR(INDEX('Email Cleaner'!$B$2:$B$10001,MATCH(1891,'Email Cleaner'!$J$2:$J$10001,0)),"")</f>
        <v/>
      </c>
    </row>
    <row r="1893">
      <c r="A1893">
        <f>IFERROR(INDEX('Email Cleaner'!$B$2:$B$10001,MATCH(1892,'Email Cleaner'!$J$2:$J$10001,0)),"")</f>
        <v/>
      </c>
    </row>
    <row r="1894">
      <c r="A1894">
        <f>IFERROR(INDEX('Email Cleaner'!$B$2:$B$10001,MATCH(1893,'Email Cleaner'!$J$2:$J$10001,0)),"")</f>
        <v/>
      </c>
    </row>
    <row r="1895">
      <c r="A1895">
        <f>IFERROR(INDEX('Email Cleaner'!$B$2:$B$10001,MATCH(1894,'Email Cleaner'!$J$2:$J$10001,0)),"")</f>
        <v/>
      </c>
    </row>
    <row r="1896">
      <c r="A1896">
        <f>IFERROR(INDEX('Email Cleaner'!$B$2:$B$10001,MATCH(1895,'Email Cleaner'!$J$2:$J$10001,0)),"")</f>
        <v/>
      </c>
    </row>
    <row r="1897">
      <c r="A1897">
        <f>IFERROR(INDEX('Email Cleaner'!$B$2:$B$10001,MATCH(1896,'Email Cleaner'!$J$2:$J$10001,0)),"")</f>
        <v/>
      </c>
    </row>
    <row r="1898">
      <c r="A1898">
        <f>IFERROR(INDEX('Email Cleaner'!$B$2:$B$10001,MATCH(1897,'Email Cleaner'!$J$2:$J$10001,0)),"")</f>
        <v/>
      </c>
    </row>
    <row r="1899">
      <c r="A1899">
        <f>IFERROR(INDEX('Email Cleaner'!$B$2:$B$10001,MATCH(1898,'Email Cleaner'!$J$2:$J$10001,0)),"")</f>
        <v/>
      </c>
    </row>
    <row r="1900">
      <c r="A1900">
        <f>IFERROR(INDEX('Email Cleaner'!$B$2:$B$10001,MATCH(1899,'Email Cleaner'!$J$2:$J$10001,0)),"")</f>
        <v/>
      </c>
    </row>
    <row r="1901">
      <c r="A1901">
        <f>IFERROR(INDEX('Email Cleaner'!$B$2:$B$10001,MATCH(1900,'Email Cleaner'!$J$2:$J$10001,0)),"")</f>
        <v/>
      </c>
    </row>
    <row r="1902">
      <c r="A1902">
        <f>IFERROR(INDEX('Email Cleaner'!$B$2:$B$10001,MATCH(1901,'Email Cleaner'!$J$2:$J$10001,0)),"")</f>
        <v/>
      </c>
    </row>
    <row r="1903">
      <c r="A1903">
        <f>IFERROR(INDEX('Email Cleaner'!$B$2:$B$10001,MATCH(1902,'Email Cleaner'!$J$2:$J$10001,0)),"")</f>
        <v/>
      </c>
    </row>
    <row r="1904">
      <c r="A1904">
        <f>IFERROR(INDEX('Email Cleaner'!$B$2:$B$10001,MATCH(1903,'Email Cleaner'!$J$2:$J$10001,0)),"")</f>
        <v/>
      </c>
    </row>
    <row r="1905">
      <c r="A1905">
        <f>IFERROR(INDEX('Email Cleaner'!$B$2:$B$10001,MATCH(1904,'Email Cleaner'!$J$2:$J$10001,0)),"")</f>
        <v/>
      </c>
    </row>
    <row r="1906">
      <c r="A1906">
        <f>IFERROR(INDEX('Email Cleaner'!$B$2:$B$10001,MATCH(1905,'Email Cleaner'!$J$2:$J$10001,0)),"")</f>
        <v/>
      </c>
    </row>
    <row r="1907">
      <c r="A1907">
        <f>IFERROR(INDEX('Email Cleaner'!$B$2:$B$10001,MATCH(1906,'Email Cleaner'!$J$2:$J$10001,0)),"")</f>
        <v/>
      </c>
    </row>
    <row r="1908">
      <c r="A1908">
        <f>IFERROR(INDEX('Email Cleaner'!$B$2:$B$10001,MATCH(1907,'Email Cleaner'!$J$2:$J$10001,0)),"")</f>
        <v/>
      </c>
    </row>
    <row r="1909">
      <c r="A1909">
        <f>IFERROR(INDEX('Email Cleaner'!$B$2:$B$10001,MATCH(1908,'Email Cleaner'!$J$2:$J$10001,0)),"")</f>
        <v/>
      </c>
    </row>
    <row r="1910">
      <c r="A1910">
        <f>IFERROR(INDEX('Email Cleaner'!$B$2:$B$10001,MATCH(1909,'Email Cleaner'!$J$2:$J$10001,0)),"")</f>
        <v/>
      </c>
    </row>
    <row r="1911">
      <c r="A1911">
        <f>IFERROR(INDEX('Email Cleaner'!$B$2:$B$10001,MATCH(1910,'Email Cleaner'!$J$2:$J$10001,0)),"")</f>
        <v/>
      </c>
    </row>
    <row r="1912">
      <c r="A1912">
        <f>IFERROR(INDEX('Email Cleaner'!$B$2:$B$10001,MATCH(1911,'Email Cleaner'!$J$2:$J$10001,0)),"")</f>
        <v/>
      </c>
    </row>
    <row r="1913">
      <c r="A1913">
        <f>IFERROR(INDEX('Email Cleaner'!$B$2:$B$10001,MATCH(1912,'Email Cleaner'!$J$2:$J$10001,0)),"")</f>
        <v/>
      </c>
    </row>
    <row r="1914">
      <c r="A1914">
        <f>IFERROR(INDEX('Email Cleaner'!$B$2:$B$10001,MATCH(1913,'Email Cleaner'!$J$2:$J$10001,0)),"")</f>
        <v/>
      </c>
    </row>
    <row r="1915">
      <c r="A1915">
        <f>IFERROR(INDEX('Email Cleaner'!$B$2:$B$10001,MATCH(1914,'Email Cleaner'!$J$2:$J$10001,0)),"")</f>
        <v/>
      </c>
    </row>
    <row r="1916">
      <c r="A1916">
        <f>IFERROR(INDEX('Email Cleaner'!$B$2:$B$10001,MATCH(1915,'Email Cleaner'!$J$2:$J$10001,0)),"")</f>
        <v/>
      </c>
    </row>
    <row r="1917">
      <c r="A1917">
        <f>IFERROR(INDEX('Email Cleaner'!$B$2:$B$10001,MATCH(1916,'Email Cleaner'!$J$2:$J$10001,0)),"")</f>
        <v/>
      </c>
    </row>
    <row r="1918">
      <c r="A1918">
        <f>IFERROR(INDEX('Email Cleaner'!$B$2:$B$10001,MATCH(1917,'Email Cleaner'!$J$2:$J$10001,0)),"")</f>
        <v/>
      </c>
    </row>
    <row r="1919">
      <c r="A1919">
        <f>IFERROR(INDEX('Email Cleaner'!$B$2:$B$10001,MATCH(1918,'Email Cleaner'!$J$2:$J$10001,0)),"")</f>
        <v/>
      </c>
    </row>
    <row r="1920">
      <c r="A1920">
        <f>IFERROR(INDEX('Email Cleaner'!$B$2:$B$10001,MATCH(1919,'Email Cleaner'!$J$2:$J$10001,0)),"")</f>
        <v/>
      </c>
    </row>
    <row r="1921">
      <c r="A1921">
        <f>IFERROR(INDEX('Email Cleaner'!$B$2:$B$10001,MATCH(1920,'Email Cleaner'!$J$2:$J$10001,0)),"")</f>
        <v/>
      </c>
    </row>
    <row r="1922">
      <c r="A1922">
        <f>IFERROR(INDEX('Email Cleaner'!$B$2:$B$10001,MATCH(1921,'Email Cleaner'!$J$2:$J$10001,0)),"")</f>
        <v/>
      </c>
    </row>
    <row r="1923">
      <c r="A1923">
        <f>IFERROR(INDEX('Email Cleaner'!$B$2:$B$10001,MATCH(1922,'Email Cleaner'!$J$2:$J$10001,0)),"")</f>
        <v/>
      </c>
    </row>
    <row r="1924">
      <c r="A1924">
        <f>IFERROR(INDEX('Email Cleaner'!$B$2:$B$10001,MATCH(1923,'Email Cleaner'!$J$2:$J$10001,0)),"")</f>
        <v/>
      </c>
    </row>
    <row r="1925">
      <c r="A1925">
        <f>IFERROR(INDEX('Email Cleaner'!$B$2:$B$10001,MATCH(1924,'Email Cleaner'!$J$2:$J$10001,0)),"")</f>
        <v/>
      </c>
    </row>
    <row r="1926">
      <c r="A1926">
        <f>IFERROR(INDEX('Email Cleaner'!$B$2:$B$10001,MATCH(1925,'Email Cleaner'!$J$2:$J$10001,0)),"")</f>
        <v/>
      </c>
    </row>
    <row r="1927">
      <c r="A1927">
        <f>IFERROR(INDEX('Email Cleaner'!$B$2:$B$10001,MATCH(1926,'Email Cleaner'!$J$2:$J$10001,0)),"")</f>
        <v/>
      </c>
    </row>
    <row r="1928">
      <c r="A1928">
        <f>IFERROR(INDEX('Email Cleaner'!$B$2:$B$10001,MATCH(1927,'Email Cleaner'!$J$2:$J$10001,0)),"")</f>
        <v/>
      </c>
    </row>
    <row r="1929">
      <c r="A1929">
        <f>IFERROR(INDEX('Email Cleaner'!$B$2:$B$10001,MATCH(1928,'Email Cleaner'!$J$2:$J$10001,0)),"")</f>
        <v/>
      </c>
    </row>
    <row r="1930">
      <c r="A1930">
        <f>IFERROR(INDEX('Email Cleaner'!$B$2:$B$10001,MATCH(1929,'Email Cleaner'!$J$2:$J$10001,0)),"")</f>
        <v/>
      </c>
    </row>
    <row r="1931">
      <c r="A1931">
        <f>IFERROR(INDEX('Email Cleaner'!$B$2:$B$10001,MATCH(1930,'Email Cleaner'!$J$2:$J$10001,0)),"")</f>
        <v/>
      </c>
    </row>
    <row r="1932">
      <c r="A1932">
        <f>IFERROR(INDEX('Email Cleaner'!$B$2:$B$10001,MATCH(1931,'Email Cleaner'!$J$2:$J$10001,0)),"")</f>
        <v/>
      </c>
    </row>
    <row r="1933">
      <c r="A1933">
        <f>IFERROR(INDEX('Email Cleaner'!$B$2:$B$10001,MATCH(1932,'Email Cleaner'!$J$2:$J$10001,0)),"")</f>
        <v/>
      </c>
    </row>
    <row r="1934">
      <c r="A1934">
        <f>IFERROR(INDEX('Email Cleaner'!$B$2:$B$10001,MATCH(1933,'Email Cleaner'!$J$2:$J$10001,0)),"")</f>
        <v/>
      </c>
    </row>
    <row r="1935">
      <c r="A1935">
        <f>IFERROR(INDEX('Email Cleaner'!$B$2:$B$10001,MATCH(1934,'Email Cleaner'!$J$2:$J$10001,0)),"")</f>
        <v/>
      </c>
    </row>
    <row r="1936">
      <c r="A1936">
        <f>IFERROR(INDEX('Email Cleaner'!$B$2:$B$10001,MATCH(1935,'Email Cleaner'!$J$2:$J$10001,0)),"")</f>
        <v/>
      </c>
    </row>
    <row r="1937">
      <c r="A1937">
        <f>IFERROR(INDEX('Email Cleaner'!$B$2:$B$10001,MATCH(1936,'Email Cleaner'!$J$2:$J$10001,0)),"")</f>
        <v/>
      </c>
    </row>
    <row r="1938">
      <c r="A1938">
        <f>IFERROR(INDEX('Email Cleaner'!$B$2:$B$10001,MATCH(1937,'Email Cleaner'!$J$2:$J$10001,0)),"")</f>
        <v/>
      </c>
    </row>
    <row r="1939">
      <c r="A1939">
        <f>IFERROR(INDEX('Email Cleaner'!$B$2:$B$10001,MATCH(1938,'Email Cleaner'!$J$2:$J$10001,0)),"")</f>
        <v/>
      </c>
    </row>
    <row r="1940">
      <c r="A1940">
        <f>IFERROR(INDEX('Email Cleaner'!$B$2:$B$10001,MATCH(1939,'Email Cleaner'!$J$2:$J$10001,0)),"")</f>
        <v/>
      </c>
    </row>
    <row r="1941">
      <c r="A1941">
        <f>IFERROR(INDEX('Email Cleaner'!$B$2:$B$10001,MATCH(1940,'Email Cleaner'!$J$2:$J$10001,0)),"")</f>
        <v/>
      </c>
    </row>
    <row r="1942">
      <c r="A1942">
        <f>IFERROR(INDEX('Email Cleaner'!$B$2:$B$10001,MATCH(1941,'Email Cleaner'!$J$2:$J$10001,0)),"")</f>
        <v/>
      </c>
    </row>
    <row r="1943">
      <c r="A1943">
        <f>IFERROR(INDEX('Email Cleaner'!$B$2:$B$10001,MATCH(1942,'Email Cleaner'!$J$2:$J$10001,0)),"")</f>
        <v/>
      </c>
    </row>
    <row r="1944">
      <c r="A1944">
        <f>IFERROR(INDEX('Email Cleaner'!$B$2:$B$10001,MATCH(1943,'Email Cleaner'!$J$2:$J$10001,0)),"")</f>
        <v/>
      </c>
    </row>
    <row r="1945">
      <c r="A1945">
        <f>IFERROR(INDEX('Email Cleaner'!$B$2:$B$10001,MATCH(1944,'Email Cleaner'!$J$2:$J$10001,0)),"")</f>
        <v/>
      </c>
    </row>
    <row r="1946">
      <c r="A1946">
        <f>IFERROR(INDEX('Email Cleaner'!$B$2:$B$10001,MATCH(1945,'Email Cleaner'!$J$2:$J$10001,0)),"")</f>
        <v/>
      </c>
    </row>
    <row r="1947">
      <c r="A1947">
        <f>IFERROR(INDEX('Email Cleaner'!$B$2:$B$10001,MATCH(1946,'Email Cleaner'!$J$2:$J$10001,0)),"")</f>
        <v/>
      </c>
    </row>
    <row r="1948">
      <c r="A1948">
        <f>IFERROR(INDEX('Email Cleaner'!$B$2:$B$10001,MATCH(1947,'Email Cleaner'!$J$2:$J$10001,0)),"")</f>
        <v/>
      </c>
    </row>
    <row r="1949">
      <c r="A1949">
        <f>IFERROR(INDEX('Email Cleaner'!$B$2:$B$10001,MATCH(1948,'Email Cleaner'!$J$2:$J$10001,0)),"")</f>
        <v/>
      </c>
    </row>
    <row r="1950">
      <c r="A1950">
        <f>IFERROR(INDEX('Email Cleaner'!$B$2:$B$10001,MATCH(1949,'Email Cleaner'!$J$2:$J$10001,0)),"")</f>
        <v/>
      </c>
    </row>
    <row r="1951">
      <c r="A1951">
        <f>IFERROR(INDEX('Email Cleaner'!$B$2:$B$10001,MATCH(1950,'Email Cleaner'!$J$2:$J$10001,0)),"")</f>
        <v/>
      </c>
    </row>
    <row r="1952">
      <c r="A1952">
        <f>IFERROR(INDEX('Email Cleaner'!$B$2:$B$10001,MATCH(1951,'Email Cleaner'!$J$2:$J$10001,0)),"")</f>
        <v/>
      </c>
    </row>
    <row r="1953">
      <c r="A1953">
        <f>IFERROR(INDEX('Email Cleaner'!$B$2:$B$10001,MATCH(1952,'Email Cleaner'!$J$2:$J$10001,0)),"")</f>
        <v/>
      </c>
    </row>
    <row r="1954">
      <c r="A1954">
        <f>IFERROR(INDEX('Email Cleaner'!$B$2:$B$10001,MATCH(1953,'Email Cleaner'!$J$2:$J$10001,0)),"")</f>
        <v/>
      </c>
    </row>
    <row r="1955">
      <c r="A1955">
        <f>IFERROR(INDEX('Email Cleaner'!$B$2:$B$10001,MATCH(1954,'Email Cleaner'!$J$2:$J$10001,0)),"")</f>
        <v/>
      </c>
    </row>
    <row r="1956">
      <c r="A1956">
        <f>IFERROR(INDEX('Email Cleaner'!$B$2:$B$10001,MATCH(1955,'Email Cleaner'!$J$2:$J$10001,0)),"")</f>
        <v/>
      </c>
    </row>
    <row r="1957">
      <c r="A1957">
        <f>IFERROR(INDEX('Email Cleaner'!$B$2:$B$10001,MATCH(1956,'Email Cleaner'!$J$2:$J$10001,0)),"")</f>
        <v/>
      </c>
    </row>
    <row r="1958">
      <c r="A1958">
        <f>IFERROR(INDEX('Email Cleaner'!$B$2:$B$10001,MATCH(1957,'Email Cleaner'!$J$2:$J$10001,0)),"")</f>
        <v/>
      </c>
    </row>
    <row r="1959">
      <c r="A1959">
        <f>IFERROR(INDEX('Email Cleaner'!$B$2:$B$10001,MATCH(1958,'Email Cleaner'!$J$2:$J$10001,0)),"")</f>
        <v/>
      </c>
    </row>
    <row r="1960">
      <c r="A1960">
        <f>IFERROR(INDEX('Email Cleaner'!$B$2:$B$10001,MATCH(1959,'Email Cleaner'!$J$2:$J$10001,0)),"")</f>
        <v/>
      </c>
    </row>
    <row r="1961">
      <c r="A1961">
        <f>IFERROR(INDEX('Email Cleaner'!$B$2:$B$10001,MATCH(1960,'Email Cleaner'!$J$2:$J$10001,0)),"")</f>
        <v/>
      </c>
    </row>
    <row r="1962">
      <c r="A1962">
        <f>IFERROR(INDEX('Email Cleaner'!$B$2:$B$10001,MATCH(1961,'Email Cleaner'!$J$2:$J$10001,0)),"")</f>
        <v/>
      </c>
    </row>
    <row r="1963">
      <c r="A1963">
        <f>IFERROR(INDEX('Email Cleaner'!$B$2:$B$10001,MATCH(1962,'Email Cleaner'!$J$2:$J$10001,0)),"")</f>
        <v/>
      </c>
    </row>
    <row r="1964">
      <c r="A1964">
        <f>IFERROR(INDEX('Email Cleaner'!$B$2:$B$10001,MATCH(1963,'Email Cleaner'!$J$2:$J$10001,0)),"")</f>
        <v/>
      </c>
    </row>
    <row r="1965">
      <c r="A1965">
        <f>IFERROR(INDEX('Email Cleaner'!$B$2:$B$10001,MATCH(1964,'Email Cleaner'!$J$2:$J$10001,0)),"")</f>
        <v/>
      </c>
    </row>
    <row r="1966">
      <c r="A1966">
        <f>IFERROR(INDEX('Email Cleaner'!$B$2:$B$10001,MATCH(1965,'Email Cleaner'!$J$2:$J$10001,0)),"")</f>
        <v/>
      </c>
    </row>
    <row r="1967">
      <c r="A1967">
        <f>IFERROR(INDEX('Email Cleaner'!$B$2:$B$10001,MATCH(1966,'Email Cleaner'!$J$2:$J$10001,0)),"")</f>
        <v/>
      </c>
    </row>
    <row r="1968">
      <c r="A1968">
        <f>IFERROR(INDEX('Email Cleaner'!$B$2:$B$10001,MATCH(1967,'Email Cleaner'!$J$2:$J$10001,0)),"")</f>
        <v/>
      </c>
    </row>
    <row r="1969">
      <c r="A1969">
        <f>IFERROR(INDEX('Email Cleaner'!$B$2:$B$10001,MATCH(1968,'Email Cleaner'!$J$2:$J$10001,0)),"")</f>
        <v/>
      </c>
    </row>
    <row r="1970">
      <c r="A1970">
        <f>IFERROR(INDEX('Email Cleaner'!$B$2:$B$10001,MATCH(1969,'Email Cleaner'!$J$2:$J$10001,0)),"")</f>
        <v/>
      </c>
    </row>
    <row r="1971">
      <c r="A1971">
        <f>IFERROR(INDEX('Email Cleaner'!$B$2:$B$10001,MATCH(1970,'Email Cleaner'!$J$2:$J$10001,0)),"")</f>
        <v/>
      </c>
    </row>
    <row r="1972">
      <c r="A1972">
        <f>IFERROR(INDEX('Email Cleaner'!$B$2:$B$10001,MATCH(1971,'Email Cleaner'!$J$2:$J$10001,0)),"")</f>
        <v/>
      </c>
    </row>
    <row r="1973">
      <c r="A1973">
        <f>IFERROR(INDEX('Email Cleaner'!$B$2:$B$10001,MATCH(1972,'Email Cleaner'!$J$2:$J$10001,0)),"")</f>
        <v/>
      </c>
    </row>
    <row r="1974">
      <c r="A1974">
        <f>IFERROR(INDEX('Email Cleaner'!$B$2:$B$10001,MATCH(1973,'Email Cleaner'!$J$2:$J$10001,0)),"")</f>
        <v/>
      </c>
    </row>
    <row r="1975">
      <c r="A1975">
        <f>IFERROR(INDEX('Email Cleaner'!$B$2:$B$10001,MATCH(1974,'Email Cleaner'!$J$2:$J$10001,0)),"")</f>
        <v/>
      </c>
    </row>
    <row r="1976">
      <c r="A1976">
        <f>IFERROR(INDEX('Email Cleaner'!$B$2:$B$10001,MATCH(1975,'Email Cleaner'!$J$2:$J$10001,0)),"")</f>
        <v/>
      </c>
    </row>
    <row r="1977">
      <c r="A1977">
        <f>IFERROR(INDEX('Email Cleaner'!$B$2:$B$10001,MATCH(1976,'Email Cleaner'!$J$2:$J$10001,0)),"")</f>
        <v/>
      </c>
    </row>
    <row r="1978">
      <c r="A1978">
        <f>IFERROR(INDEX('Email Cleaner'!$B$2:$B$10001,MATCH(1977,'Email Cleaner'!$J$2:$J$10001,0)),"")</f>
        <v/>
      </c>
    </row>
    <row r="1979">
      <c r="A1979">
        <f>IFERROR(INDEX('Email Cleaner'!$B$2:$B$10001,MATCH(1978,'Email Cleaner'!$J$2:$J$10001,0)),"")</f>
        <v/>
      </c>
    </row>
    <row r="1980">
      <c r="A1980">
        <f>IFERROR(INDEX('Email Cleaner'!$B$2:$B$10001,MATCH(1979,'Email Cleaner'!$J$2:$J$10001,0)),"")</f>
        <v/>
      </c>
    </row>
    <row r="1981">
      <c r="A1981">
        <f>IFERROR(INDEX('Email Cleaner'!$B$2:$B$10001,MATCH(1980,'Email Cleaner'!$J$2:$J$10001,0)),"")</f>
        <v/>
      </c>
    </row>
    <row r="1982">
      <c r="A1982">
        <f>IFERROR(INDEX('Email Cleaner'!$B$2:$B$10001,MATCH(1981,'Email Cleaner'!$J$2:$J$10001,0)),"")</f>
        <v/>
      </c>
    </row>
    <row r="1983">
      <c r="A1983">
        <f>IFERROR(INDEX('Email Cleaner'!$B$2:$B$10001,MATCH(1982,'Email Cleaner'!$J$2:$J$10001,0)),"")</f>
        <v/>
      </c>
    </row>
    <row r="1984">
      <c r="A1984">
        <f>IFERROR(INDEX('Email Cleaner'!$B$2:$B$10001,MATCH(1983,'Email Cleaner'!$J$2:$J$10001,0)),"")</f>
        <v/>
      </c>
    </row>
    <row r="1985">
      <c r="A1985">
        <f>IFERROR(INDEX('Email Cleaner'!$B$2:$B$10001,MATCH(1984,'Email Cleaner'!$J$2:$J$10001,0)),"")</f>
        <v/>
      </c>
    </row>
    <row r="1986">
      <c r="A1986">
        <f>IFERROR(INDEX('Email Cleaner'!$B$2:$B$10001,MATCH(1985,'Email Cleaner'!$J$2:$J$10001,0)),"")</f>
        <v/>
      </c>
    </row>
    <row r="1987">
      <c r="A1987">
        <f>IFERROR(INDEX('Email Cleaner'!$B$2:$B$10001,MATCH(1986,'Email Cleaner'!$J$2:$J$10001,0)),"")</f>
        <v/>
      </c>
    </row>
    <row r="1988">
      <c r="A1988">
        <f>IFERROR(INDEX('Email Cleaner'!$B$2:$B$10001,MATCH(1987,'Email Cleaner'!$J$2:$J$10001,0)),"")</f>
        <v/>
      </c>
    </row>
    <row r="1989">
      <c r="A1989">
        <f>IFERROR(INDEX('Email Cleaner'!$B$2:$B$10001,MATCH(1988,'Email Cleaner'!$J$2:$J$10001,0)),"")</f>
        <v/>
      </c>
    </row>
    <row r="1990">
      <c r="A1990">
        <f>IFERROR(INDEX('Email Cleaner'!$B$2:$B$10001,MATCH(1989,'Email Cleaner'!$J$2:$J$10001,0)),"")</f>
        <v/>
      </c>
    </row>
    <row r="1991">
      <c r="A1991">
        <f>IFERROR(INDEX('Email Cleaner'!$B$2:$B$10001,MATCH(1990,'Email Cleaner'!$J$2:$J$10001,0)),"")</f>
        <v/>
      </c>
    </row>
    <row r="1992">
      <c r="A1992">
        <f>IFERROR(INDEX('Email Cleaner'!$B$2:$B$10001,MATCH(1991,'Email Cleaner'!$J$2:$J$10001,0)),"")</f>
        <v/>
      </c>
    </row>
    <row r="1993">
      <c r="A1993">
        <f>IFERROR(INDEX('Email Cleaner'!$B$2:$B$10001,MATCH(1992,'Email Cleaner'!$J$2:$J$10001,0)),"")</f>
        <v/>
      </c>
    </row>
    <row r="1994">
      <c r="A1994">
        <f>IFERROR(INDEX('Email Cleaner'!$B$2:$B$10001,MATCH(1993,'Email Cleaner'!$J$2:$J$10001,0)),"")</f>
        <v/>
      </c>
    </row>
    <row r="1995">
      <c r="A1995">
        <f>IFERROR(INDEX('Email Cleaner'!$B$2:$B$10001,MATCH(1994,'Email Cleaner'!$J$2:$J$10001,0)),"")</f>
        <v/>
      </c>
    </row>
    <row r="1996">
      <c r="A1996">
        <f>IFERROR(INDEX('Email Cleaner'!$B$2:$B$10001,MATCH(1995,'Email Cleaner'!$J$2:$J$10001,0)),"")</f>
        <v/>
      </c>
    </row>
    <row r="1997">
      <c r="A1997">
        <f>IFERROR(INDEX('Email Cleaner'!$B$2:$B$10001,MATCH(1996,'Email Cleaner'!$J$2:$J$10001,0)),"")</f>
        <v/>
      </c>
    </row>
    <row r="1998">
      <c r="A1998">
        <f>IFERROR(INDEX('Email Cleaner'!$B$2:$B$10001,MATCH(1997,'Email Cleaner'!$J$2:$J$10001,0)),"")</f>
        <v/>
      </c>
    </row>
    <row r="1999">
      <c r="A1999">
        <f>IFERROR(INDEX('Email Cleaner'!$B$2:$B$10001,MATCH(1998,'Email Cleaner'!$J$2:$J$10001,0)),"")</f>
        <v/>
      </c>
    </row>
    <row r="2000">
      <c r="A2000">
        <f>IFERROR(INDEX('Email Cleaner'!$B$2:$B$10001,MATCH(1999,'Email Cleaner'!$J$2:$J$10001,0)),"")</f>
        <v/>
      </c>
    </row>
    <row r="2001">
      <c r="A2001">
        <f>IFERROR(INDEX('Email Cleaner'!$B$2:$B$10001,MATCH(2000,'Email Cleaner'!$J$2:$J$10001,0)),"")</f>
        <v/>
      </c>
    </row>
    <row r="2002">
      <c r="A2002">
        <f>IFERROR(INDEX('Email Cleaner'!$B$2:$B$10001,MATCH(2001,'Email Cleaner'!$J$2:$J$10001,0)),"")</f>
        <v/>
      </c>
    </row>
    <row r="2003">
      <c r="A2003">
        <f>IFERROR(INDEX('Email Cleaner'!$B$2:$B$10001,MATCH(2002,'Email Cleaner'!$J$2:$J$10001,0)),"")</f>
        <v/>
      </c>
    </row>
    <row r="2004">
      <c r="A2004">
        <f>IFERROR(INDEX('Email Cleaner'!$B$2:$B$10001,MATCH(2003,'Email Cleaner'!$J$2:$J$10001,0)),"")</f>
        <v/>
      </c>
    </row>
    <row r="2005">
      <c r="A2005">
        <f>IFERROR(INDEX('Email Cleaner'!$B$2:$B$10001,MATCH(2004,'Email Cleaner'!$J$2:$J$10001,0)),"")</f>
        <v/>
      </c>
    </row>
    <row r="2006">
      <c r="A2006">
        <f>IFERROR(INDEX('Email Cleaner'!$B$2:$B$10001,MATCH(2005,'Email Cleaner'!$J$2:$J$10001,0)),"")</f>
        <v/>
      </c>
    </row>
    <row r="2007">
      <c r="A2007">
        <f>IFERROR(INDEX('Email Cleaner'!$B$2:$B$10001,MATCH(2006,'Email Cleaner'!$J$2:$J$10001,0)),"")</f>
        <v/>
      </c>
    </row>
    <row r="2008">
      <c r="A2008">
        <f>IFERROR(INDEX('Email Cleaner'!$B$2:$B$10001,MATCH(2007,'Email Cleaner'!$J$2:$J$10001,0)),"")</f>
        <v/>
      </c>
    </row>
    <row r="2009">
      <c r="A2009">
        <f>IFERROR(INDEX('Email Cleaner'!$B$2:$B$10001,MATCH(2008,'Email Cleaner'!$J$2:$J$10001,0)),"")</f>
        <v/>
      </c>
    </row>
    <row r="2010">
      <c r="A2010">
        <f>IFERROR(INDEX('Email Cleaner'!$B$2:$B$10001,MATCH(2009,'Email Cleaner'!$J$2:$J$10001,0)),"")</f>
        <v/>
      </c>
    </row>
    <row r="2011">
      <c r="A2011">
        <f>IFERROR(INDEX('Email Cleaner'!$B$2:$B$10001,MATCH(2010,'Email Cleaner'!$J$2:$J$10001,0)),"")</f>
        <v/>
      </c>
    </row>
    <row r="2012">
      <c r="A2012">
        <f>IFERROR(INDEX('Email Cleaner'!$B$2:$B$10001,MATCH(2011,'Email Cleaner'!$J$2:$J$10001,0)),"")</f>
        <v/>
      </c>
    </row>
    <row r="2013">
      <c r="A2013">
        <f>IFERROR(INDEX('Email Cleaner'!$B$2:$B$10001,MATCH(2012,'Email Cleaner'!$J$2:$J$10001,0)),"")</f>
        <v/>
      </c>
    </row>
    <row r="2014">
      <c r="A2014">
        <f>IFERROR(INDEX('Email Cleaner'!$B$2:$B$10001,MATCH(2013,'Email Cleaner'!$J$2:$J$10001,0)),"")</f>
        <v/>
      </c>
    </row>
    <row r="2015">
      <c r="A2015">
        <f>IFERROR(INDEX('Email Cleaner'!$B$2:$B$10001,MATCH(2014,'Email Cleaner'!$J$2:$J$10001,0)),"")</f>
        <v/>
      </c>
    </row>
    <row r="2016">
      <c r="A2016">
        <f>IFERROR(INDEX('Email Cleaner'!$B$2:$B$10001,MATCH(2015,'Email Cleaner'!$J$2:$J$10001,0)),"")</f>
        <v/>
      </c>
    </row>
    <row r="2017">
      <c r="A2017">
        <f>IFERROR(INDEX('Email Cleaner'!$B$2:$B$10001,MATCH(2016,'Email Cleaner'!$J$2:$J$10001,0)),"")</f>
        <v/>
      </c>
    </row>
    <row r="2018">
      <c r="A2018">
        <f>IFERROR(INDEX('Email Cleaner'!$B$2:$B$10001,MATCH(2017,'Email Cleaner'!$J$2:$J$10001,0)),"")</f>
        <v/>
      </c>
    </row>
    <row r="2019">
      <c r="A2019">
        <f>IFERROR(INDEX('Email Cleaner'!$B$2:$B$10001,MATCH(2018,'Email Cleaner'!$J$2:$J$10001,0)),"")</f>
        <v/>
      </c>
    </row>
    <row r="2020">
      <c r="A2020">
        <f>IFERROR(INDEX('Email Cleaner'!$B$2:$B$10001,MATCH(2019,'Email Cleaner'!$J$2:$J$10001,0)),"")</f>
        <v/>
      </c>
    </row>
    <row r="2021">
      <c r="A2021">
        <f>IFERROR(INDEX('Email Cleaner'!$B$2:$B$10001,MATCH(2020,'Email Cleaner'!$J$2:$J$10001,0)),"")</f>
        <v/>
      </c>
    </row>
    <row r="2022">
      <c r="A2022">
        <f>IFERROR(INDEX('Email Cleaner'!$B$2:$B$10001,MATCH(2021,'Email Cleaner'!$J$2:$J$10001,0)),"")</f>
        <v/>
      </c>
    </row>
    <row r="2023">
      <c r="A2023">
        <f>IFERROR(INDEX('Email Cleaner'!$B$2:$B$10001,MATCH(2022,'Email Cleaner'!$J$2:$J$10001,0)),"")</f>
        <v/>
      </c>
    </row>
    <row r="2024">
      <c r="A2024">
        <f>IFERROR(INDEX('Email Cleaner'!$B$2:$B$10001,MATCH(2023,'Email Cleaner'!$J$2:$J$10001,0)),"")</f>
        <v/>
      </c>
    </row>
    <row r="2025">
      <c r="A2025">
        <f>IFERROR(INDEX('Email Cleaner'!$B$2:$B$10001,MATCH(2024,'Email Cleaner'!$J$2:$J$10001,0)),"")</f>
        <v/>
      </c>
    </row>
    <row r="2026">
      <c r="A2026">
        <f>IFERROR(INDEX('Email Cleaner'!$B$2:$B$10001,MATCH(2025,'Email Cleaner'!$J$2:$J$10001,0)),"")</f>
        <v/>
      </c>
    </row>
    <row r="2027">
      <c r="A2027">
        <f>IFERROR(INDEX('Email Cleaner'!$B$2:$B$10001,MATCH(2026,'Email Cleaner'!$J$2:$J$10001,0)),"")</f>
        <v/>
      </c>
    </row>
    <row r="2028">
      <c r="A2028">
        <f>IFERROR(INDEX('Email Cleaner'!$B$2:$B$10001,MATCH(2027,'Email Cleaner'!$J$2:$J$10001,0)),"")</f>
        <v/>
      </c>
    </row>
    <row r="2029">
      <c r="A2029">
        <f>IFERROR(INDEX('Email Cleaner'!$B$2:$B$10001,MATCH(2028,'Email Cleaner'!$J$2:$J$10001,0)),"")</f>
        <v/>
      </c>
    </row>
    <row r="2030">
      <c r="A2030">
        <f>IFERROR(INDEX('Email Cleaner'!$B$2:$B$10001,MATCH(2029,'Email Cleaner'!$J$2:$J$10001,0)),"")</f>
        <v/>
      </c>
    </row>
    <row r="2031">
      <c r="A2031">
        <f>IFERROR(INDEX('Email Cleaner'!$B$2:$B$10001,MATCH(2030,'Email Cleaner'!$J$2:$J$10001,0)),"")</f>
        <v/>
      </c>
    </row>
    <row r="2032">
      <c r="A2032">
        <f>IFERROR(INDEX('Email Cleaner'!$B$2:$B$10001,MATCH(2031,'Email Cleaner'!$J$2:$J$10001,0)),"")</f>
        <v/>
      </c>
    </row>
    <row r="2033">
      <c r="A2033">
        <f>IFERROR(INDEX('Email Cleaner'!$B$2:$B$10001,MATCH(2032,'Email Cleaner'!$J$2:$J$10001,0)),"")</f>
        <v/>
      </c>
    </row>
    <row r="2034">
      <c r="A2034">
        <f>IFERROR(INDEX('Email Cleaner'!$B$2:$B$10001,MATCH(2033,'Email Cleaner'!$J$2:$J$10001,0)),"")</f>
        <v/>
      </c>
    </row>
    <row r="2035">
      <c r="A2035">
        <f>IFERROR(INDEX('Email Cleaner'!$B$2:$B$10001,MATCH(2034,'Email Cleaner'!$J$2:$J$10001,0)),"")</f>
        <v/>
      </c>
    </row>
    <row r="2036">
      <c r="A2036">
        <f>IFERROR(INDEX('Email Cleaner'!$B$2:$B$10001,MATCH(2035,'Email Cleaner'!$J$2:$J$10001,0)),"")</f>
        <v/>
      </c>
    </row>
    <row r="2037">
      <c r="A2037">
        <f>IFERROR(INDEX('Email Cleaner'!$B$2:$B$10001,MATCH(2036,'Email Cleaner'!$J$2:$J$10001,0)),"")</f>
        <v/>
      </c>
    </row>
    <row r="2038">
      <c r="A2038">
        <f>IFERROR(INDEX('Email Cleaner'!$B$2:$B$10001,MATCH(2037,'Email Cleaner'!$J$2:$J$10001,0)),"")</f>
        <v/>
      </c>
    </row>
    <row r="2039">
      <c r="A2039">
        <f>IFERROR(INDEX('Email Cleaner'!$B$2:$B$10001,MATCH(2038,'Email Cleaner'!$J$2:$J$10001,0)),"")</f>
        <v/>
      </c>
    </row>
    <row r="2040">
      <c r="A2040">
        <f>IFERROR(INDEX('Email Cleaner'!$B$2:$B$10001,MATCH(2039,'Email Cleaner'!$J$2:$J$10001,0)),"")</f>
        <v/>
      </c>
    </row>
    <row r="2041">
      <c r="A2041">
        <f>IFERROR(INDEX('Email Cleaner'!$B$2:$B$10001,MATCH(2040,'Email Cleaner'!$J$2:$J$10001,0)),"")</f>
        <v/>
      </c>
    </row>
    <row r="2042">
      <c r="A2042">
        <f>IFERROR(INDEX('Email Cleaner'!$B$2:$B$10001,MATCH(2041,'Email Cleaner'!$J$2:$J$10001,0)),"")</f>
        <v/>
      </c>
    </row>
    <row r="2043">
      <c r="A2043">
        <f>IFERROR(INDEX('Email Cleaner'!$B$2:$B$10001,MATCH(2042,'Email Cleaner'!$J$2:$J$10001,0)),"")</f>
        <v/>
      </c>
    </row>
    <row r="2044">
      <c r="A2044">
        <f>IFERROR(INDEX('Email Cleaner'!$B$2:$B$10001,MATCH(2043,'Email Cleaner'!$J$2:$J$10001,0)),"")</f>
        <v/>
      </c>
    </row>
    <row r="2045">
      <c r="A2045">
        <f>IFERROR(INDEX('Email Cleaner'!$B$2:$B$10001,MATCH(2044,'Email Cleaner'!$J$2:$J$10001,0)),"")</f>
        <v/>
      </c>
    </row>
    <row r="2046">
      <c r="A2046">
        <f>IFERROR(INDEX('Email Cleaner'!$B$2:$B$10001,MATCH(2045,'Email Cleaner'!$J$2:$J$10001,0)),"")</f>
        <v/>
      </c>
    </row>
    <row r="2047">
      <c r="A2047">
        <f>IFERROR(INDEX('Email Cleaner'!$B$2:$B$10001,MATCH(2046,'Email Cleaner'!$J$2:$J$10001,0)),"")</f>
        <v/>
      </c>
    </row>
    <row r="2048">
      <c r="A2048">
        <f>IFERROR(INDEX('Email Cleaner'!$B$2:$B$10001,MATCH(2047,'Email Cleaner'!$J$2:$J$10001,0)),"")</f>
        <v/>
      </c>
    </row>
    <row r="2049">
      <c r="A2049">
        <f>IFERROR(INDEX('Email Cleaner'!$B$2:$B$10001,MATCH(2048,'Email Cleaner'!$J$2:$J$10001,0)),"")</f>
        <v/>
      </c>
    </row>
    <row r="2050">
      <c r="A2050">
        <f>IFERROR(INDEX('Email Cleaner'!$B$2:$B$10001,MATCH(2049,'Email Cleaner'!$J$2:$J$10001,0)),"")</f>
        <v/>
      </c>
    </row>
    <row r="2051">
      <c r="A2051">
        <f>IFERROR(INDEX('Email Cleaner'!$B$2:$B$10001,MATCH(2050,'Email Cleaner'!$J$2:$J$10001,0)),"")</f>
        <v/>
      </c>
    </row>
    <row r="2052">
      <c r="A2052">
        <f>IFERROR(INDEX('Email Cleaner'!$B$2:$B$10001,MATCH(2051,'Email Cleaner'!$J$2:$J$10001,0)),"")</f>
        <v/>
      </c>
    </row>
    <row r="2053">
      <c r="A2053">
        <f>IFERROR(INDEX('Email Cleaner'!$B$2:$B$10001,MATCH(2052,'Email Cleaner'!$J$2:$J$10001,0)),"")</f>
        <v/>
      </c>
    </row>
    <row r="2054">
      <c r="A2054">
        <f>IFERROR(INDEX('Email Cleaner'!$B$2:$B$10001,MATCH(2053,'Email Cleaner'!$J$2:$J$10001,0)),"")</f>
        <v/>
      </c>
    </row>
    <row r="2055">
      <c r="A2055">
        <f>IFERROR(INDEX('Email Cleaner'!$B$2:$B$10001,MATCH(2054,'Email Cleaner'!$J$2:$J$10001,0)),"")</f>
        <v/>
      </c>
    </row>
    <row r="2056">
      <c r="A2056">
        <f>IFERROR(INDEX('Email Cleaner'!$B$2:$B$10001,MATCH(2055,'Email Cleaner'!$J$2:$J$10001,0)),"")</f>
        <v/>
      </c>
    </row>
    <row r="2057">
      <c r="A2057">
        <f>IFERROR(INDEX('Email Cleaner'!$B$2:$B$10001,MATCH(2056,'Email Cleaner'!$J$2:$J$10001,0)),"")</f>
        <v/>
      </c>
    </row>
    <row r="2058">
      <c r="A2058">
        <f>IFERROR(INDEX('Email Cleaner'!$B$2:$B$10001,MATCH(2057,'Email Cleaner'!$J$2:$J$10001,0)),"")</f>
        <v/>
      </c>
    </row>
    <row r="2059">
      <c r="A2059">
        <f>IFERROR(INDEX('Email Cleaner'!$B$2:$B$10001,MATCH(2058,'Email Cleaner'!$J$2:$J$10001,0)),"")</f>
        <v/>
      </c>
    </row>
    <row r="2060">
      <c r="A2060">
        <f>IFERROR(INDEX('Email Cleaner'!$B$2:$B$10001,MATCH(2059,'Email Cleaner'!$J$2:$J$10001,0)),"")</f>
        <v/>
      </c>
    </row>
    <row r="2061">
      <c r="A2061">
        <f>IFERROR(INDEX('Email Cleaner'!$B$2:$B$10001,MATCH(2060,'Email Cleaner'!$J$2:$J$10001,0)),"")</f>
        <v/>
      </c>
    </row>
    <row r="2062">
      <c r="A2062">
        <f>IFERROR(INDEX('Email Cleaner'!$B$2:$B$10001,MATCH(2061,'Email Cleaner'!$J$2:$J$10001,0)),"")</f>
        <v/>
      </c>
    </row>
    <row r="2063">
      <c r="A2063">
        <f>IFERROR(INDEX('Email Cleaner'!$B$2:$B$10001,MATCH(2062,'Email Cleaner'!$J$2:$J$10001,0)),"")</f>
        <v/>
      </c>
    </row>
    <row r="2064">
      <c r="A2064">
        <f>IFERROR(INDEX('Email Cleaner'!$B$2:$B$10001,MATCH(2063,'Email Cleaner'!$J$2:$J$10001,0)),"")</f>
        <v/>
      </c>
    </row>
    <row r="2065">
      <c r="A2065">
        <f>IFERROR(INDEX('Email Cleaner'!$B$2:$B$10001,MATCH(2064,'Email Cleaner'!$J$2:$J$10001,0)),"")</f>
        <v/>
      </c>
    </row>
    <row r="2066">
      <c r="A2066">
        <f>IFERROR(INDEX('Email Cleaner'!$B$2:$B$10001,MATCH(2065,'Email Cleaner'!$J$2:$J$10001,0)),"")</f>
        <v/>
      </c>
    </row>
    <row r="2067">
      <c r="A2067">
        <f>IFERROR(INDEX('Email Cleaner'!$B$2:$B$10001,MATCH(2066,'Email Cleaner'!$J$2:$J$10001,0)),"")</f>
        <v/>
      </c>
    </row>
    <row r="2068">
      <c r="A2068">
        <f>IFERROR(INDEX('Email Cleaner'!$B$2:$B$10001,MATCH(2067,'Email Cleaner'!$J$2:$J$10001,0)),"")</f>
        <v/>
      </c>
    </row>
    <row r="2069">
      <c r="A2069">
        <f>IFERROR(INDEX('Email Cleaner'!$B$2:$B$10001,MATCH(2068,'Email Cleaner'!$J$2:$J$10001,0)),"")</f>
        <v/>
      </c>
    </row>
    <row r="2070">
      <c r="A2070">
        <f>IFERROR(INDEX('Email Cleaner'!$B$2:$B$10001,MATCH(2069,'Email Cleaner'!$J$2:$J$10001,0)),"")</f>
        <v/>
      </c>
    </row>
    <row r="2071">
      <c r="A2071">
        <f>IFERROR(INDEX('Email Cleaner'!$B$2:$B$10001,MATCH(2070,'Email Cleaner'!$J$2:$J$10001,0)),"")</f>
        <v/>
      </c>
    </row>
    <row r="2072">
      <c r="A2072">
        <f>IFERROR(INDEX('Email Cleaner'!$B$2:$B$10001,MATCH(2071,'Email Cleaner'!$J$2:$J$10001,0)),"")</f>
        <v/>
      </c>
    </row>
    <row r="2073">
      <c r="A2073">
        <f>IFERROR(INDEX('Email Cleaner'!$B$2:$B$10001,MATCH(2072,'Email Cleaner'!$J$2:$J$10001,0)),"")</f>
        <v/>
      </c>
    </row>
    <row r="2074">
      <c r="A2074">
        <f>IFERROR(INDEX('Email Cleaner'!$B$2:$B$10001,MATCH(2073,'Email Cleaner'!$J$2:$J$10001,0)),"")</f>
        <v/>
      </c>
    </row>
    <row r="2075">
      <c r="A2075">
        <f>IFERROR(INDEX('Email Cleaner'!$B$2:$B$10001,MATCH(2074,'Email Cleaner'!$J$2:$J$10001,0)),"")</f>
        <v/>
      </c>
    </row>
    <row r="2076">
      <c r="A2076">
        <f>IFERROR(INDEX('Email Cleaner'!$B$2:$B$10001,MATCH(2075,'Email Cleaner'!$J$2:$J$10001,0)),"")</f>
        <v/>
      </c>
    </row>
    <row r="2077">
      <c r="A2077">
        <f>IFERROR(INDEX('Email Cleaner'!$B$2:$B$10001,MATCH(2076,'Email Cleaner'!$J$2:$J$10001,0)),"")</f>
        <v/>
      </c>
    </row>
    <row r="2078">
      <c r="A2078">
        <f>IFERROR(INDEX('Email Cleaner'!$B$2:$B$10001,MATCH(2077,'Email Cleaner'!$J$2:$J$10001,0)),"")</f>
        <v/>
      </c>
    </row>
    <row r="2079">
      <c r="A2079">
        <f>IFERROR(INDEX('Email Cleaner'!$B$2:$B$10001,MATCH(2078,'Email Cleaner'!$J$2:$J$10001,0)),"")</f>
        <v/>
      </c>
    </row>
    <row r="2080">
      <c r="A2080">
        <f>IFERROR(INDEX('Email Cleaner'!$B$2:$B$10001,MATCH(2079,'Email Cleaner'!$J$2:$J$10001,0)),"")</f>
        <v/>
      </c>
    </row>
    <row r="2081">
      <c r="A2081">
        <f>IFERROR(INDEX('Email Cleaner'!$B$2:$B$10001,MATCH(2080,'Email Cleaner'!$J$2:$J$10001,0)),"")</f>
        <v/>
      </c>
    </row>
    <row r="2082">
      <c r="A2082">
        <f>IFERROR(INDEX('Email Cleaner'!$B$2:$B$10001,MATCH(2081,'Email Cleaner'!$J$2:$J$10001,0)),"")</f>
        <v/>
      </c>
    </row>
    <row r="2083">
      <c r="A2083">
        <f>IFERROR(INDEX('Email Cleaner'!$B$2:$B$10001,MATCH(2082,'Email Cleaner'!$J$2:$J$10001,0)),"")</f>
        <v/>
      </c>
    </row>
    <row r="2084">
      <c r="A2084">
        <f>IFERROR(INDEX('Email Cleaner'!$B$2:$B$10001,MATCH(2083,'Email Cleaner'!$J$2:$J$10001,0)),"")</f>
        <v/>
      </c>
    </row>
    <row r="2085">
      <c r="A2085">
        <f>IFERROR(INDEX('Email Cleaner'!$B$2:$B$10001,MATCH(2084,'Email Cleaner'!$J$2:$J$10001,0)),"")</f>
        <v/>
      </c>
    </row>
    <row r="2086">
      <c r="A2086">
        <f>IFERROR(INDEX('Email Cleaner'!$B$2:$B$10001,MATCH(2085,'Email Cleaner'!$J$2:$J$10001,0)),"")</f>
        <v/>
      </c>
    </row>
    <row r="2087">
      <c r="A2087">
        <f>IFERROR(INDEX('Email Cleaner'!$B$2:$B$10001,MATCH(2086,'Email Cleaner'!$J$2:$J$10001,0)),"")</f>
        <v/>
      </c>
    </row>
    <row r="2088">
      <c r="A2088">
        <f>IFERROR(INDEX('Email Cleaner'!$B$2:$B$10001,MATCH(2087,'Email Cleaner'!$J$2:$J$10001,0)),"")</f>
        <v/>
      </c>
    </row>
    <row r="2089">
      <c r="A2089">
        <f>IFERROR(INDEX('Email Cleaner'!$B$2:$B$10001,MATCH(2088,'Email Cleaner'!$J$2:$J$10001,0)),"")</f>
        <v/>
      </c>
    </row>
    <row r="2090">
      <c r="A2090">
        <f>IFERROR(INDEX('Email Cleaner'!$B$2:$B$10001,MATCH(2089,'Email Cleaner'!$J$2:$J$10001,0)),"")</f>
        <v/>
      </c>
    </row>
    <row r="2091">
      <c r="A2091">
        <f>IFERROR(INDEX('Email Cleaner'!$B$2:$B$10001,MATCH(2090,'Email Cleaner'!$J$2:$J$10001,0)),"")</f>
        <v/>
      </c>
    </row>
    <row r="2092">
      <c r="A2092">
        <f>IFERROR(INDEX('Email Cleaner'!$B$2:$B$10001,MATCH(2091,'Email Cleaner'!$J$2:$J$10001,0)),"")</f>
        <v/>
      </c>
    </row>
    <row r="2093">
      <c r="A2093">
        <f>IFERROR(INDEX('Email Cleaner'!$B$2:$B$10001,MATCH(2092,'Email Cleaner'!$J$2:$J$10001,0)),"")</f>
        <v/>
      </c>
    </row>
    <row r="2094">
      <c r="A2094">
        <f>IFERROR(INDEX('Email Cleaner'!$B$2:$B$10001,MATCH(2093,'Email Cleaner'!$J$2:$J$10001,0)),"")</f>
        <v/>
      </c>
    </row>
    <row r="2095">
      <c r="A2095">
        <f>IFERROR(INDEX('Email Cleaner'!$B$2:$B$10001,MATCH(2094,'Email Cleaner'!$J$2:$J$10001,0)),"")</f>
        <v/>
      </c>
    </row>
    <row r="2096">
      <c r="A2096">
        <f>IFERROR(INDEX('Email Cleaner'!$B$2:$B$10001,MATCH(2095,'Email Cleaner'!$J$2:$J$10001,0)),"")</f>
        <v/>
      </c>
    </row>
    <row r="2097">
      <c r="A2097">
        <f>IFERROR(INDEX('Email Cleaner'!$B$2:$B$10001,MATCH(2096,'Email Cleaner'!$J$2:$J$10001,0)),"")</f>
        <v/>
      </c>
    </row>
    <row r="2098">
      <c r="A2098">
        <f>IFERROR(INDEX('Email Cleaner'!$B$2:$B$10001,MATCH(2097,'Email Cleaner'!$J$2:$J$10001,0)),"")</f>
        <v/>
      </c>
    </row>
    <row r="2099">
      <c r="A2099">
        <f>IFERROR(INDEX('Email Cleaner'!$B$2:$B$10001,MATCH(2098,'Email Cleaner'!$J$2:$J$10001,0)),"")</f>
        <v/>
      </c>
    </row>
    <row r="2100">
      <c r="A2100">
        <f>IFERROR(INDEX('Email Cleaner'!$B$2:$B$10001,MATCH(2099,'Email Cleaner'!$J$2:$J$10001,0)),"")</f>
        <v/>
      </c>
    </row>
    <row r="2101">
      <c r="A2101">
        <f>IFERROR(INDEX('Email Cleaner'!$B$2:$B$10001,MATCH(2100,'Email Cleaner'!$J$2:$J$10001,0)),"")</f>
        <v/>
      </c>
    </row>
    <row r="2102">
      <c r="A2102">
        <f>IFERROR(INDEX('Email Cleaner'!$B$2:$B$10001,MATCH(2101,'Email Cleaner'!$J$2:$J$10001,0)),"")</f>
        <v/>
      </c>
    </row>
    <row r="2103">
      <c r="A2103">
        <f>IFERROR(INDEX('Email Cleaner'!$B$2:$B$10001,MATCH(2102,'Email Cleaner'!$J$2:$J$10001,0)),"")</f>
        <v/>
      </c>
    </row>
    <row r="2104">
      <c r="A2104">
        <f>IFERROR(INDEX('Email Cleaner'!$B$2:$B$10001,MATCH(2103,'Email Cleaner'!$J$2:$J$10001,0)),"")</f>
        <v/>
      </c>
    </row>
    <row r="2105">
      <c r="A2105">
        <f>IFERROR(INDEX('Email Cleaner'!$B$2:$B$10001,MATCH(2104,'Email Cleaner'!$J$2:$J$10001,0)),"")</f>
        <v/>
      </c>
    </row>
    <row r="2106">
      <c r="A2106">
        <f>IFERROR(INDEX('Email Cleaner'!$B$2:$B$10001,MATCH(2105,'Email Cleaner'!$J$2:$J$10001,0)),"")</f>
        <v/>
      </c>
    </row>
    <row r="2107">
      <c r="A2107">
        <f>IFERROR(INDEX('Email Cleaner'!$B$2:$B$10001,MATCH(2106,'Email Cleaner'!$J$2:$J$10001,0)),"")</f>
        <v/>
      </c>
    </row>
    <row r="2108">
      <c r="A2108">
        <f>IFERROR(INDEX('Email Cleaner'!$B$2:$B$10001,MATCH(2107,'Email Cleaner'!$J$2:$J$10001,0)),"")</f>
        <v/>
      </c>
    </row>
    <row r="2109">
      <c r="A2109">
        <f>IFERROR(INDEX('Email Cleaner'!$B$2:$B$10001,MATCH(2108,'Email Cleaner'!$J$2:$J$10001,0)),"")</f>
        <v/>
      </c>
    </row>
    <row r="2110">
      <c r="A2110">
        <f>IFERROR(INDEX('Email Cleaner'!$B$2:$B$10001,MATCH(2109,'Email Cleaner'!$J$2:$J$10001,0)),"")</f>
        <v/>
      </c>
    </row>
    <row r="2111">
      <c r="A2111">
        <f>IFERROR(INDEX('Email Cleaner'!$B$2:$B$10001,MATCH(2110,'Email Cleaner'!$J$2:$J$10001,0)),"")</f>
        <v/>
      </c>
    </row>
    <row r="2112">
      <c r="A2112">
        <f>IFERROR(INDEX('Email Cleaner'!$B$2:$B$10001,MATCH(2111,'Email Cleaner'!$J$2:$J$10001,0)),"")</f>
        <v/>
      </c>
    </row>
    <row r="2113">
      <c r="A2113">
        <f>IFERROR(INDEX('Email Cleaner'!$B$2:$B$10001,MATCH(2112,'Email Cleaner'!$J$2:$J$10001,0)),"")</f>
        <v/>
      </c>
    </row>
    <row r="2114">
      <c r="A2114">
        <f>IFERROR(INDEX('Email Cleaner'!$B$2:$B$10001,MATCH(2113,'Email Cleaner'!$J$2:$J$10001,0)),"")</f>
        <v/>
      </c>
    </row>
    <row r="2115">
      <c r="A2115">
        <f>IFERROR(INDEX('Email Cleaner'!$B$2:$B$10001,MATCH(2114,'Email Cleaner'!$J$2:$J$10001,0)),"")</f>
        <v/>
      </c>
    </row>
    <row r="2116">
      <c r="A2116">
        <f>IFERROR(INDEX('Email Cleaner'!$B$2:$B$10001,MATCH(2115,'Email Cleaner'!$J$2:$J$10001,0)),"")</f>
        <v/>
      </c>
    </row>
    <row r="2117">
      <c r="A2117">
        <f>IFERROR(INDEX('Email Cleaner'!$B$2:$B$10001,MATCH(2116,'Email Cleaner'!$J$2:$J$10001,0)),"")</f>
        <v/>
      </c>
    </row>
    <row r="2118">
      <c r="A2118">
        <f>IFERROR(INDEX('Email Cleaner'!$B$2:$B$10001,MATCH(2117,'Email Cleaner'!$J$2:$J$10001,0)),"")</f>
        <v/>
      </c>
    </row>
    <row r="2119">
      <c r="A2119">
        <f>IFERROR(INDEX('Email Cleaner'!$B$2:$B$10001,MATCH(2118,'Email Cleaner'!$J$2:$J$10001,0)),"")</f>
        <v/>
      </c>
    </row>
    <row r="2120">
      <c r="A2120">
        <f>IFERROR(INDEX('Email Cleaner'!$B$2:$B$10001,MATCH(2119,'Email Cleaner'!$J$2:$J$10001,0)),"")</f>
        <v/>
      </c>
    </row>
    <row r="2121">
      <c r="A2121">
        <f>IFERROR(INDEX('Email Cleaner'!$B$2:$B$10001,MATCH(2120,'Email Cleaner'!$J$2:$J$10001,0)),"")</f>
        <v/>
      </c>
    </row>
    <row r="2122">
      <c r="A2122">
        <f>IFERROR(INDEX('Email Cleaner'!$B$2:$B$10001,MATCH(2121,'Email Cleaner'!$J$2:$J$10001,0)),"")</f>
        <v/>
      </c>
    </row>
    <row r="2123">
      <c r="A2123">
        <f>IFERROR(INDEX('Email Cleaner'!$B$2:$B$10001,MATCH(2122,'Email Cleaner'!$J$2:$J$10001,0)),"")</f>
        <v/>
      </c>
    </row>
    <row r="2124">
      <c r="A2124">
        <f>IFERROR(INDEX('Email Cleaner'!$B$2:$B$10001,MATCH(2123,'Email Cleaner'!$J$2:$J$10001,0)),"")</f>
        <v/>
      </c>
    </row>
    <row r="2125">
      <c r="A2125">
        <f>IFERROR(INDEX('Email Cleaner'!$B$2:$B$10001,MATCH(2124,'Email Cleaner'!$J$2:$J$10001,0)),"")</f>
        <v/>
      </c>
    </row>
    <row r="2126">
      <c r="A2126">
        <f>IFERROR(INDEX('Email Cleaner'!$B$2:$B$10001,MATCH(2125,'Email Cleaner'!$J$2:$J$10001,0)),"")</f>
        <v/>
      </c>
    </row>
    <row r="2127">
      <c r="A2127">
        <f>IFERROR(INDEX('Email Cleaner'!$B$2:$B$10001,MATCH(2126,'Email Cleaner'!$J$2:$J$10001,0)),"")</f>
        <v/>
      </c>
    </row>
    <row r="2128">
      <c r="A2128">
        <f>IFERROR(INDEX('Email Cleaner'!$B$2:$B$10001,MATCH(2127,'Email Cleaner'!$J$2:$J$10001,0)),"")</f>
        <v/>
      </c>
    </row>
    <row r="2129">
      <c r="A2129">
        <f>IFERROR(INDEX('Email Cleaner'!$B$2:$B$10001,MATCH(2128,'Email Cleaner'!$J$2:$J$10001,0)),"")</f>
        <v/>
      </c>
    </row>
    <row r="2130">
      <c r="A2130">
        <f>IFERROR(INDEX('Email Cleaner'!$B$2:$B$10001,MATCH(2129,'Email Cleaner'!$J$2:$J$10001,0)),"")</f>
        <v/>
      </c>
    </row>
    <row r="2131">
      <c r="A2131">
        <f>IFERROR(INDEX('Email Cleaner'!$B$2:$B$10001,MATCH(2130,'Email Cleaner'!$J$2:$J$10001,0)),"")</f>
        <v/>
      </c>
    </row>
    <row r="2132">
      <c r="A2132">
        <f>IFERROR(INDEX('Email Cleaner'!$B$2:$B$10001,MATCH(2131,'Email Cleaner'!$J$2:$J$10001,0)),"")</f>
        <v/>
      </c>
    </row>
    <row r="2133">
      <c r="A2133">
        <f>IFERROR(INDEX('Email Cleaner'!$B$2:$B$10001,MATCH(2132,'Email Cleaner'!$J$2:$J$10001,0)),"")</f>
        <v/>
      </c>
    </row>
    <row r="2134">
      <c r="A2134">
        <f>IFERROR(INDEX('Email Cleaner'!$B$2:$B$10001,MATCH(2133,'Email Cleaner'!$J$2:$J$10001,0)),"")</f>
        <v/>
      </c>
    </row>
    <row r="2135">
      <c r="A2135">
        <f>IFERROR(INDEX('Email Cleaner'!$B$2:$B$10001,MATCH(2134,'Email Cleaner'!$J$2:$J$10001,0)),"")</f>
        <v/>
      </c>
    </row>
    <row r="2136">
      <c r="A2136">
        <f>IFERROR(INDEX('Email Cleaner'!$B$2:$B$10001,MATCH(2135,'Email Cleaner'!$J$2:$J$10001,0)),"")</f>
        <v/>
      </c>
    </row>
    <row r="2137">
      <c r="A2137">
        <f>IFERROR(INDEX('Email Cleaner'!$B$2:$B$10001,MATCH(2136,'Email Cleaner'!$J$2:$J$10001,0)),"")</f>
        <v/>
      </c>
    </row>
    <row r="2138">
      <c r="A2138">
        <f>IFERROR(INDEX('Email Cleaner'!$B$2:$B$10001,MATCH(2137,'Email Cleaner'!$J$2:$J$10001,0)),"")</f>
        <v/>
      </c>
    </row>
    <row r="2139">
      <c r="A2139">
        <f>IFERROR(INDEX('Email Cleaner'!$B$2:$B$10001,MATCH(2138,'Email Cleaner'!$J$2:$J$10001,0)),"")</f>
        <v/>
      </c>
    </row>
    <row r="2140">
      <c r="A2140">
        <f>IFERROR(INDEX('Email Cleaner'!$B$2:$B$10001,MATCH(2139,'Email Cleaner'!$J$2:$J$10001,0)),"")</f>
        <v/>
      </c>
    </row>
    <row r="2141">
      <c r="A2141">
        <f>IFERROR(INDEX('Email Cleaner'!$B$2:$B$10001,MATCH(2140,'Email Cleaner'!$J$2:$J$10001,0)),"")</f>
        <v/>
      </c>
    </row>
    <row r="2142">
      <c r="A2142">
        <f>IFERROR(INDEX('Email Cleaner'!$B$2:$B$10001,MATCH(2141,'Email Cleaner'!$J$2:$J$10001,0)),"")</f>
        <v/>
      </c>
    </row>
    <row r="2143">
      <c r="A2143">
        <f>IFERROR(INDEX('Email Cleaner'!$B$2:$B$10001,MATCH(2142,'Email Cleaner'!$J$2:$J$10001,0)),"")</f>
        <v/>
      </c>
    </row>
    <row r="2144">
      <c r="A2144">
        <f>IFERROR(INDEX('Email Cleaner'!$B$2:$B$10001,MATCH(2143,'Email Cleaner'!$J$2:$J$10001,0)),"")</f>
        <v/>
      </c>
    </row>
    <row r="2145">
      <c r="A2145">
        <f>IFERROR(INDEX('Email Cleaner'!$B$2:$B$10001,MATCH(2144,'Email Cleaner'!$J$2:$J$10001,0)),"")</f>
        <v/>
      </c>
    </row>
    <row r="2146">
      <c r="A2146">
        <f>IFERROR(INDEX('Email Cleaner'!$B$2:$B$10001,MATCH(2145,'Email Cleaner'!$J$2:$J$10001,0)),"")</f>
        <v/>
      </c>
    </row>
    <row r="2147">
      <c r="A2147">
        <f>IFERROR(INDEX('Email Cleaner'!$B$2:$B$10001,MATCH(2146,'Email Cleaner'!$J$2:$J$10001,0)),"")</f>
        <v/>
      </c>
    </row>
    <row r="2148">
      <c r="A2148">
        <f>IFERROR(INDEX('Email Cleaner'!$B$2:$B$10001,MATCH(2147,'Email Cleaner'!$J$2:$J$10001,0)),"")</f>
        <v/>
      </c>
    </row>
    <row r="2149">
      <c r="A2149">
        <f>IFERROR(INDEX('Email Cleaner'!$B$2:$B$10001,MATCH(2148,'Email Cleaner'!$J$2:$J$10001,0)),"")</f>
        <v/>
      </c>
    </row>
    <row r="2150">
      <c r="A2150">
        <f>IFERROR(INDEX('Email Cleaner'!$B$2:$B$10001,MATCH(2149,'Email Cleaner'!$J$2:$J$10001,0)),"")</f>
        <v/>
      </c>
    </row>
    <row r="2151">
      <c r="A2151">
        <f>IFERROR(INDEX('Email Cleaner'!$B$2:$B$10001,MATCH(2150,'Email Cleaner'!$J$2:$J$10001,0)),"")</f>
        <v/>
      </c>
    </row>
    <row r="2152">
      <c r="A2152">
        <f>IFERROR(INDEX('Email Cleaner'!$B$2:$B$10001,MATCH(2151,'Email Cleaner'!$J$2:$J$10001,0)),"")</f>
        <v/>
      </c>
    </row>
    <row r="2153">
      <c r="A2153">
        <f>IFERROR(INDEX('Email Cleaner'!$B$2:$B$10001,MATCH(2152,'Email Cleaner'!$J$2:$J$10001,0)),"")</f>
        <v/>
      </c>
    </row>
    <row r="2154">
      <c r="A2154">
        <f>IFERROR(INDEX('Email Cleaner'!$B$2:$B$10001,MATCH(2153,'Email Cleaner'!$J$2:$J$10001,0)),"")</f>
        <v/>
      </c>
    </row>
    <row r="2155">
      <c r="A2155">
        <f>IFERROR(INDEX('Email Cleaner'!$B$2:$B$10001,MATCH(2154,'Email Cleaner'!$J$2:$J$10001,0)),"")</f>
        <v/>
      </c>
    </row>
    <row r="2156">
      <c r="A2156">
        <f>IFERROR(INDEX('Email Cleaner'!$B$2:$B$10001,MATCH(2155,'Email Cleaner'!$J$2:$J$10001,0)),"")</f>
        <v/>
      </c>
    </row>
    <row r="2157">
      <c r="A2157">
        <f>IFERROR(INDEX('Email Cleaner'!$B$2:$B$10001,MATCH(2156,'Email Cleaner'!$J$2:$J$10001,0)),"")</f>
        <v/>
      </c>
    </row>
    <row r="2158">
      <c r="A2158">
        <f>IFERROR(INDEX('Email Cleaner'!$B$2:$B$10001,MATCH(2157,'Email Cleaner'!$J$2:$J$10001,0)),"")</f>
        <v/>
      </c>
    </row>
    <row r="2159">
      <c r="A2159">
        <f>IFERROR(INDEX('Email Cleaner'!$B$2:$B$10001,MATCH(2158,'Email Cleaner'!$J$2:$J$10001,0)),"")</f>
        <v/>
      </c>
    </row>
    <row r="2160">
      <c r="A2160">
        <f>IFERROR(INDEX('Email Cleaner'!$B$2:$B$10001,MATCH(2159,'Email Cleaner'!$J$2:$J$10001,0)),"")</f>
        <v/>
      </c>
    </row>
    <row r="2161">
      <c r="A2161">
        <f>IFERROR(INDEX('Email Cleaner'!$B$2:$B$10001,MATCH(2160,'Email Cleaner'!$J$2:$J$10001,0)),"")</f>
        <v/>
      </c>
    </row>
    <row r="2162">
      <c r="A2162">
        <f>IFERROR(INDEX('Email Cleaner'!$B$2:$B$10001,MATCH(2161,'Email Cleaner'!$J$2:$J$10001,0)),"")</f>
        <v/>
      </c>
    </row>
    <row r="2163">
      <c r="A2163">
        <f>IFERROR(INDEX('Email Cleaner'!$B$2:$B$10001,MATCH(2162,'Email Cleaner'!$J$2:$J$10001,0)),"")</f>
        <v/>
      </c>
    </row>
    <row r="2164">
      <c r="A2164">
        <f>IFERROR(INDEX('Email Cleaner'!$B$2:$B$10001,MATCH(2163,'Email Cleaner'!$J$2:$J$10001,0)),"")</f>
        <v/>
      </c>
    </row>
    <row r="2165">
      <c r="A2165">
        <f>IFERROR(INDEX('Email Cleaner'!$B$2:$B$10001,MATCH(2164,'Email Cleaner'!$J$2:$J$10001,0)),"")</f>
        <v/>
      </c>
    </row>
    <row r="2166">
      <c r="A2166">
        <f>IFERROR(INDEX('Email Cleaner'!$B$2:$B$10001,MATCH(2165,'Email Cleaner'!$J$2:$J$10001,0)),"")</f>
        <v/>
      </c>
    </row>
    <row r="2167">
      <c r="A2167">
        <f>IFERROR(INDEX('Email Cleaner'!$B$2:$B$10001,MATCH(2166,'Email Cleaner'!$J$2:$J$10001,0)),"")</f>
        <v/>
      </c>
    </row>
    <row r="2168">
      <c r="A2168">
        <f>IFERROR(INDEX('Email Cleaner'!$B$2:$B$10001,MATCH(2167,'Email Cleaner'!$J$2:$J$10001,0)),"")</f>
        <v/>
      </c>
    </row>
    <row r="2169">
      <c r="A2169">
        <f>IFERROR(INDEX('Email Cleaner'!$B$2:$B$10001,MATCH(2168,'Email Cleaner'!$J$2:$J$10001,0)),"")</f>
        <v/>
      </c>
    </row>
    <row r="2170">
      <c r="A2170">
        <f>IFERROR(INDEX('Email Cleaner'!$B$2:$B$10001,MATCH(2169,'Email Cleaner'!$J$2:$J$10001,0)),"")</f>
        <v/>
      </c>
    </row>
    <row r="2171">
      <c r="A2171">
        <f>IFERROR(INDEX('Email Cleaner'!$B$2:$B$10001,MATCH(2170,'Email Cleaner'!$J$2:$J$10001,0)),"")</f>
        <v/>
      </c>
    </row>
    <row r="2172">
      <c r="A2172">
        <f>IFERROR(INDEX('Email Cleaner'!$B$2:$B$10001,MATCH(2171,'Email Cleaner'!$J$2:$J$10001,0)),"")</f>
        <v/>
      </c>
    </row>
    <row r="2173">
      <c r="A2173">
        <f>IFERROR(INDEX('Email Cleaner'!$B$2:$B$10001,MATCH(2172,'Email Cleaner'!$J$2:$J$10001,0)),"")</f>
        <v/>
      </c>
    </row>
    <row r="2174">
      <c r="A2174">
        <f>IFERROR(INDEX('Email Cleaner'!$B$2:$B$10001,MATCH(2173,'Email Cleaner'!$J$2:$J$10001,0)),"")</f>
        <v/>
      </c>
    </row>
    <row r="2175">
      <c r="A2175">
        <f>IFERROR(INDEX('Email Cleaner'!$B$2:$B$10001,MATCH(2174,'Email Cleaner'!$J$2:$J$10001,0)),"")</f>
        <v/>
      </c>
    </row>
    <row r="2176">
      <c r="A2176">
        <f>IFERROR(INDEX('Email Cleaner'!$B$2:$B$10001,MATCH(2175,'Email Cleaner'!$J$2:$J$10001,0)),"")</f>
        <v/>
      </c>
    </row>
    <row r="2177">
      <c r="A2177">
        <f>IFERROR(INDEX('Email Cleaner'!$B$2:$B$10001,MATCH(2176,'Email Cleaner'!$J$2:$J$10001,0)),"")</f>
        <v/>
      </c>
    </row>
    <row r="2178">
      <c r="A2178">
        <f>IFERROR(INDEX('Email Cleaner'!$B$2:$B$10001,MATCH(2177,'Email Cleaner'!$J$2:$J$10001,0)),"")</f>
        <v/>
      </c>
    </row>
    <row r="2179">
      <c r="A2179">
        <f>IFERROR(INDEX('Email Cleaner'!$B$2:$B$10001,MATCH(2178,'Email Cleaner'!$J$2:$J$10001,0)),"")</f>
        <v/>
      </c>
    </row>
    <row r="2180">
      <c r="A2180">
        <f>IFERROR(INDEX('Email Cleaner'!$B$2:$B$10001,MATCH(2179,'Email Cleaner'!$J$2:$J$10001,0)),"")</f>
        <v/>
      </c>
    </row>
    <row r="2181">
      <c r="A2181">
        <f>IFERROR(INDEX('Email Cleaner'!$B$2:$B$10001,MATCH(2180,'Email Cleaner'!$J$2:$J$10001,0)),"")</f>
        <v/>
      </c>
    </row>
    <row r="2182">
      <c r="A2182">
        <f>IFERROR(INDEX('Email Cleaner'!$B$2:$B$10001,MATCH(2181,'Email Cleaner'!$J$2:$J$10001,0)),"")</f>
        <v/>
      </c>
    </row>
    <row r="2183">
      <c r="A2183">
        <f>IFERROR(INDEX('Email Cleaner'!$B$2:$B$10001,MATCH(2182,'Email Cleaner'!$J$2:$J$10001,0)),"")</f>
        <v/>
      </c>
    </row>
    <row r="2184">
      <c r="A2184">
        <f>IFERROR(INDEX('Email Cleaner'!$B$2:$B$10001,MATCH(2183,'Email Cleaner'!$J$2:$J$10001,0)),"")</f>
        <v/>
      </c>
    </row>
    <row r="2185">
      <c r="A2185">
        <f>IFERROR(INDEX('Email Cleaner'!$B$2:$B$10001,MATCH(2184,'Email Cleaner'!$J$2:$J$10001,0)),"")</f>
        <v/>
      </c>
    </row>
    <row r="2186">
      <c r="A2186">
        <f>IFERROR(INDEX('Email Cleaner'!$B$2:$B$10001,MATCH(2185,'Email Cleaner'!$J$2:$J$10001,0)),"")</f>
        <v/>
      </c>
    </row>
    <row r="2187">
      <c r="A2187">
        <f>IFERROR(INDEX('Email Cleaner'!$B$2:$B$10001,MATCH(2186,'Email Cleaner'!$J$2:$J$10001,0)),"")</f>
        <v/>
      </c>
    </row>
    <row r="2188">
      <c r="A2188">
        <f>IFERROR(INDEX('Email Cleaner'!$B$2:$B$10001,MATCH(2187,'Email Cleaner'!$J$2:$J$10001,0)),"")</f>
        <v/>
      </c>
    </row>
    <row r="2189">
      <c r="A2189">
        <f>IFERROR(INDEX('Email Cleaner'!$B$2:$B$10001,MATCH(2188,'Email Cleaner'!$J$2:$J$10001,0)),"")</f>
        <v/>
      </c>
    </row>
    <row r="2190">
      <c r="A2190">
        <f>IFERROR(INDEX('Email Cleaner'!$B$2:$B$10001,MATCH(2189,'Email Cleaner'!$J$2:$J$10001,0)),"")</f>
        <v/>
      </c>
    </row>
    <row r="2191">
      <c r="A2191">
        <f>IFERROR(INDEX('Email Cleaner'!$B$2:$B$10001,MATCH(2190,'Email Cleaner'!$J$2:$J$10001,0)),"")</f>
        <v/>
      </c>
    </row>
    <row r="2192">
      <c r="A2192">
        <f>IFERROR(INDEX('Email Cleaner'!$B$2:$B$10001,MATCH(2191,'Email Cleaner'!$J$2:$J$10001,0)),"")</f>
        <v/>
      </c>
    </row>
    <row r="2193">
      <c r="A2193">
        <f>IFERROR(INDEX('Email Cleaner'!$B$2:$B$10001,MATCH(2192,'Email Cleaner'!$J$2:$J$10001,0)),"")</f>
        <v/>
      </c>
    </row>
    <row r="2194">
      <c r="A2194">
        <f>IFERROR(INDEX('Email Cleaner'!$B$2:$B$10001,MATCH(2193,'Email Cleaner'!$J$2:$J$10001,0)),"")</f>
        <v/>
      </c>
    </row>
    <row r="2195">
      <c r="A2195">
        <f>IFERROR(INDEX('Email Cleaner'!$B$2:$B$10001,MATCH(2194,'Email Cleaner'!$J$2:$J$10001,0)),"")</f>
        <v/>
      </c>
    </row>
    <row r="2196">
      <c r="A2196">
        <f>IFERROR(INDEX('Email Cleaner'!$B$2:$B$10001,MATCH(2195,'Email Cleaner'!$J$2:$J$10001,0)),"")</f>
        <v/>
      </c>
    </row>
    <row r="2197">
      <c r="A2197">
        <f>IFERROR(INDEX('Email Cleaner'!$B$2:$B$10001,MATCH(2196,'Email Cleaner'!$J$2:$J$10001,0)),"")</f>
        <v/>
      </c>
    </row>
    <row r="2198">
      <c r="A2198">
        <f>IFERROR(INDEX('Email Cleaner'!$B$2:$B$10001,MATCH(2197,'Email Cleaner'!$J$2:$J$10001,0)),"")</f>
        <v/>
      </c>
    </row>
    <row r="2199">
      <c r="A2199">
        <f>IFERROR(INDEX('Email Cleaner'!$B$2:$B$10001,MATCH(2198,'Email Cleaner'!$J$2:$J$10001,0)),"")</f>
        <v/>
      </c>
    </row>
    <row r="2200">
      <c r="A2200">
        <f>IFERROR(INDEX('Email Cleaner'!$B$2:$B$10001,MATCH(2199,'Email Cleaner'!$J$2:$J$10001,0)),"")</f>
        <v/>
      </c>
    </row>
    <row r="2201">
      <c r="A2201">
        <f>IFERROR(INDEX('Email Cleaner'!$B$2:$B$10001,MATCH(2200,'Email Cleaner'!$J$2:$J$10001,0)),"")</f>
        <v/>
      </c>
    </row>
    <row r="2202">
      <c r="A2202">
        <f>IFERROR(INDEX('Email Cleaner'!$B$2:$B$10001,MATCH(2201,'Email Cleaner'!$J$2:$J$10001,0)),"")</f>
        <v/>
      </c>
    </row>
    <row r="2203">
      <c r="A2203">
        <f>IFERROR(INDEX('Email Cleaner'!$B$2:$B$10001,MATCH(2202,'Email Cleaner'!$J$2:$J$10001,0)),"")</f>
        <v/>
      </c>
    </row>
    <row r="2204">
      <c r="A2204">
        <f>IFERROR(INDEX('Email Cleaner'!$B$2:$B$10001,MATCH(2203,'Email Cleaner'!$J$2:$J$10001,0)),"")</f>
        <v/>
      </c>
    </row>
    <row r="2205">
      <c r="A2205">
        <f>IFERROR(INDEX('Email Cleaner'!$B$2:$B$10001,MATCH(2204,'Email Cleaner'!$J$2:$J$10001,0)),"")</f>
        <v/>
      </c>
    </row>
    <row r="2206">
      <c r="A2206">
        <f>IFERROR(INDEX('Email Cleaner'!$B$2:$B$10001,MATCH(2205,'Email Cleaner'!$J$2:$J$10001,0)),"")</f>
        <v/>
      </c>
    </row>
    <row r="2207">
      <c r="A2207">
        <f>IFERROR(INDEX('Email Cleaner'!$B$2:$B$10001,MATCH(2206,'Email Cleaner'!$J$2:$J$10001,0)),"")</f>
        <v/>
      </c>
    </row>
    <row r="2208">
      <c r="A2208">
        <f>IFERROR(INDEX('Email Cleaner'!$B$2:$B$10001,MATCH(2207,'Email Cleaner'!$J$2:$J$10001,0)),"")</f>
        <v/>
      </c>
    </row>
    <row r="2209">
      <c r="A2209">
        <f>IFERROR(INDEX('Email Cleaner'!$B$2:$B$10001,MATCH(2208,'Email Cleaner'!$J$2:$J$10001,0)),"")</f>
        <v/>
      </c>
    </row>
    <row r="2210">
      <c r="A2210">
        <f>IFERROR(INDEX('Email Cleaner'!$B$2:$B$10001,MATCH(2209,'Email Cleaner'!$J$2:$J$10001,0)),"")</f>
        <v/>
      </c>
    </row>
    <row r="2211">
      <c r="A2211">
        <f>IFERROR(INDEX('Email Cleaner'!$B$2:$B$10001,MATCH(2210,'Email Cleaner'!$J$2:$J$10001,0)),"")</f>
        <v/>
      </c>
    </row>
    <row r="2212">
      <c r="A2212">
        <f>IFERROR(INDEX('Email Cleaner'!$B$2:$B$10001,MATCH(2211,'Email Cleaner'!$J$2:$J$10001,0)),"")</f>
        <v/>
      </c>
    </row>
    <row r="2213">
      <c r="A2213">
        <f>IFERROR(INDEX('Email Cleaner'!$B$2:$B$10001,MATCH(2212,'Email Cleaner'!$J$2:$J$10001,0)),"")</f>
        <v/>
      </c>
    </row>
    <row r="2214">
      <c r="A2214">
        <f>IFERROR(INDEX('Email Cleaner'!$B$2:$B$10001,MATCH(2213,'Email Cleaner'!$J$2:$J$10001,0)),"")</f>
        <v/>
      </c>
    </row>
    <row r="2215">
      <c r="A2215">
        <f>IFERROR(INDEX('Email Cleaner'!$B$2:$B$10001,MATCH(2214,'Email Cleaner'!$J$2:$J$10001,0)),"")</f>
        <v/>
      </c>
    </row>
    <row r="2216">
      <c r="A2216">
        <f>IFERROR(INDEX('Email Cleaner'!$B$2:$B$10001,MATCH(2215,'Email Cleaner'!$J$2:$J$10001,0)),"")</f>
        <v/>
      </c>
    </row>
    <row r="2217">
      <c r="A2217">
        <f>IFERROR(INDEX('Email Cleaner'!$B$2:$B$10001,MATCH(2216,'Email Cleaner'!$J$2:$J$10001,0)),"")</f>
        <v/>
      </c>
    </row>
    <row r="2218">
      <c r="A2218">
        <f>IFERROR(INDEX('Email Cleaner'!$B$2:$B$10001,MATCH(2217,'Email Cleaner'!$J$2:$J$10001,0)),"")</f>
        <v/>
      </c>
    </row>
    <row r="2219">
      <c r="A2219">
        <f>IFERROR(INDEX('Email Cleaner'!$B$2:$B$10001,MATCH(2218,'Email Cleaner'!$J$2:$J$10001,0)),"")</f>
        <v/>
      </c>
    </row>
    <row r="2220">
      <c r="A2220">
        <f>IFERROR(INDEX('Email Cleaner'!$B$2:$B$10001,MATCH(2219,'Email Cleaner'!$J$2:$J$10001,0)),"")</f>
        <v/>
      </c>
    </row>
    <row r="2221">
      <c r="A2221">
        <f>IFERROR(INDEX('Email Cleaner'!$B$2:$B$10001,MATCH(2220,'Email Cleaner'!$J$2:$J$10001,0)),"")</f>
        <v/>
      </c>
    </row>
    <row r="2222">
      <c r="A2222">
        <f>IFERROR(INDEX('Email Cleaner'!$B$2:$B$10001,MATCH(2221,'Email Cleaner'!$J$2:$J$10001,0)),"")</f>
        <v/>
      </c>
    </row>
    <row r="2223">
      <c r="A2223">
        <f>IFERROR(INDEX('Email Cleaner'!$B$2:$B$10001,MATCH(2222,'Email Cleaner'!$J$2:$J$10001,0)),"")</f>
        <v/>
      </c>
    </row>
    <row r="2224">
      <c r="A2224">
        <f>IFERROR(INDEX('Email Cleaner'!$B$2:$B$10001,MATCH(2223,'Email Cleaner'!$J$2:$J$10001,0)),"")</f>
        <v/>
      </c>
    </row>
    <row r="2225">
      <c r="A2225">
        <f>IFERROR(INDEX('Email Cleaner'!$B$2:$B$10001,MATCH(2224,'Email Cleaner'!$J$2:$J$10001,0)),"")</f>
        <v/>
      </c>
    </row>
    <row r="2226">
      <c r="A2226">
        <f>IFERROR(INDEX('Email Cleaner'!$B$2:$B$10001,MATCH(2225,'Email Cleaner'!$J$2:$J$10001,0)),"")</f>
        <v/>
      </c>
    </row>
    <row r="2227">
      <c r="A2227">
        <f>IFERROR(INDEX('Email Cleaner'!$B$2:$B$10001,MATCH(2226,'Email Cleaner'!$J$2:$J$10001,0)),"")</f>
        <v/>
      </c>
    </row>
    <row r="2228">
      <c r="A2228">
        <f>IFERROR(INDEX('Email Cleaner'!$B$2:$B$10001,MATCH(2227,'Email Cleaner'!$J$2:$J$10001,0)),"")</f>
        <v/>
      </c>
    </row>
    <row r="2229">
      <c r="A2229">
        <f>IFERROR(INDEX('Email Cleaner'!$B$2:$B$10001,MATCH(2228,'Email Cleaner'!$J$2:$J$10001,0)),"")</f>
        <v/>
      </c>
    </row>
    <row r="2230">
      <c r="A2230">
        <f>IFERROR(INDEX('Email Cleaner'!$B$2:$B$10001,MATCH(2229,'Email Cleaner'!$J$2:$J$10001,0)),"")</f>
        <v/>
      </c>
    </row>
    <row r="2231">
      <c r="A2231">
        <f>IFERROR(INDEX('Email Cleaner'!$B$2:$B$10001,MATCH(2230,'Email Cleaner'!$J$2:$J$10001,0)),"")</f>
        <v/>
      </c>
    </row>
    <row r="2232">
      <c r="A2232">
        <f>IFERROR(INDEX('Email Cleaner'!$B$2:$B$10001,MATCH(2231,'Email Cleaner'!$J$2:$J$10001,0)),"")</f>
        <v/>
      </c>
    </row>
    <row r="2233">
      <c r="A2233">
        <f>IFERROR(INDEX('Email Cleaner'!$B$2:$B$10001,MATCH(2232,'Email Cleaner'!$J$2:$J$10001,0)),"")</f>
        <v/>
      </c>
    </row>
    <row r="2234">
      <c r="A2234">
        <f>IFERROR(INDEX('Email Cleaner'!$B$2:$B$10001,MATCH(2233,'Email Cleaner'!$J$2:$J$10001,0)),"")</f>
        <v/>
      </c>
    </row>
    <row r="2235">
      <c r="A2235">
        <f>IFERROR(INDEX('Email Cleaner'!$B$2:$B$10001,MATCH(2234,'Email Cleaner'!$J$2:$J$10001,0)),"")</f>
        <v/>
      </c>
    </row>
    <row r="2236">
      <c r="A2236">
        <f>IFERROR(INDEX('Email Cleaner'!$B$2:$B$10001,MATCH(2235,'Email Cleaner'!$J$2:$J$10001,0)),"")</f>
        <v/>
      </c>
    </row>
    <row r="2237">
      <c r="A2237">
        <f>IFERROR(INDEX('Email Cleaner'!$B$2:$B$10001,MATCH(2236,'Email Cleaner'!$J$2:$J$10001,0)),"")</f>
        <v/>
      </c>
    </row>
    <row r="2238">
      <c r="A2238">
        <f>IFERROR(INDEX('Email Cleaner'!$B$2:$B$10001,MATCH(2237,'Email Cleaner'!$J$2:$J$10001,0)),"")</f>
        <v/>
      </c>
    </row>
    <row r="2239">
      <c r="A2239">
        <f>IFERROR(INDEX('Email Cleaner'!$B$2:$B$10001,MATCH(2238,'Email Cleaner'!$J$2:$J$10001,0)),"")</f>
        <v/>
      </c>
    </row>
    <row r="2240">
      <c r="A2240">
        <f>IFERROR(INDEX('Email Cleaner'!$B$2:$B$10001,MATCH(2239,'Email Cleaner'!$J$2:$J$10001,0)),"")</f>
        <v/>
      </c>
    </row>
    <row r="2241">
      <c r="A2241">
        <f>IFERROR(INDEX('Email Cleaner'!$B$2:$B$10001,MATCH(2240,'Email Cleaner'!$J$2:$J$10001,0)),"")</f>
        <v/>
      </c>
    </row>
    <row r="2242">
      <c r="A2242">
        <f>IFERROR(INDEX('Email Cleaner'!$B$2:$B$10001,MATCH(2241,'Email Cleaner'!$J$2:$J$10001,0)),"")</f>
        <v/>
      </c>
    </row>
    <row r="2243">
      <c r="A2243">
        <f>IFERROR(INDEX('Email Cleaner'!$B$2:$B$10001,MATCH(2242,'Email Cleaner'!$J$2:$J$10001,0)),"")</f>
        <v/>
      </c>
    </row>
    <row r="2244">
      <c r="A2244">
        <f>IFERROR(INDEX('Email Cleaner'!$B$2:$B$10001,MATCH(2243,'Email Cleaner'!$J$2:$J$10001,0)),"")</f>
        <v/>
      </c>
    </row>
    <row r="2245">
      <c r="A2245">
        <f>IFERROR(INDEX('Email Cleaner'!$B$2:$B$10001,MATCH(2244,'Email Cleaner'!$J$2:$J$10001,0)),"")</f>
        <v/>
      </c>
    </row>
    <row r="2246">
      <c r="A2246">
        <f>IFERROR(INDEX('Email Cleaner'!$B$2:$B$10001,MATCH(2245,'Email Cleaner'!$J$2:$J$10001,0)),"")</f>
        <v/>
      </c>
    </row>
    <row r="2247">
      <c r="A2247">
        <f>IFERROR(INDEX('Email Cleaner'!$B$2:$B$10001,MATCH(2246,'Email Cleaner'!$J$2:$J$10001,0)),"")</f>
        <v/>
      </c>
    </row>
    <row r="2248">
      <c r="A2248">
        <f>IFERROR(INDEX('Email Cleaner'!$B$2:$B$10001,MATCH(2247,'Email Cleaner'!$J$2:$J$10001,0)),"")</f>
        <v/>
      </c>
    </row>
    <row r="2249">
      <c r="A2249">
        <f>IFERROR(INDEX('Email Cleaner'!$B$2:$B$10001,MATCH(2248,'Email Cleaner'!$J$2:$J$10001,0)),"")</f>
        <v/>
      </c>
    </row>
    <row r="2250">
      <c r="A2250">
        <f>IFERROR(INDEX('Email Cleaner'!$B$2:$B$10001,MATCH(2249,'Email Cleaner'!$J$2:$J$10001,0)),"")</f>
        <v/>
      </c>
    </row>
    <row r="2251">
      <c r="A2251">
        <f>IFERROR(INDEX('Email Cleaner'!$B$2:$B$10001,MATCH(2250,'Email Cleaner'!$J$2:$J$10001,0)),"")</f>
        <v/>
      </c>
    </row>
    <row r="2252">
      <c r="A2252">
        <f>IFERROR(INDEX('Email Cleaner'!$B$2:$B$10001,MATCH(2251,'Email Cleaner'!$J$2:$J$10001,0)),"")</f>
        <v/>
      </c>
    </row>
    <row r="2253">
      <c r="A2253">
        <f>IFERROR(INDEX('Email Cleaner'!$B$2:$B$10001,MATCH(2252,'Email Cleaner'!$J$2:$J$10001,0)),"")</f>
        <v/>
      </c>
    </row>
    <row r="2254">
      <c r="A2254">
        <f>IFERROR(INDEX('Email Cleaner'!$B$2:$B$10001,MATCH(2253,'Email Cleaner'!$J$2:$J$10001,0)),"")</f>
        <v/>
      </c>
    </row>
    <row r="2255">
      <c r="A2255">
        <f>IFERROR(INDEX('Email Cleaner'!$B$2:$B$10001,MATCH(2254,'Email Cleaner'!$J$2:$J$10001,0)),"")</f>
        <v/>
      </c>
    </row>
    <row r="2256">
      <c r="A2256">
        <f>IFERROR(INDEX('Email Cleaner'!$B$2:$B$10001,MATCH(2255,'Email Cleaner'!$J$2:$J$10001,0)),"")</f>
        <v/>
      </c>
    </row>
    <row r="2257">
      <c r="A2257">
        <f>IFERROR(INDEX('Email Cleaner'!$B$2:$B$10001,MATCH(2256,'Email Cleaner'!$J$2:$J$10001,0)),"")</f>
        <v/>
      </c>
    </row>
    <row r="2258">
      <c r="A2258">
        <f>IFERROR(INDEX('Email Cleaner'!$B$2:$B$10001,MATCH(2257,'Email Cleaner'!$J$2:$J$10001,0)),"")</f>
        <v/>
      </c>
    </row>
    <row r="2259">
      <c r="A2259">
        <f>IFERROR(INDEX('Email Cleaner'!$B$2:$B$10001,MATCH(2258,'Email Cleaner'!$J$2:$J$10001,0)),"")</f>
        <v/>
      </c>
    </row>
    <row r="2260">
      <c r="A2260">
        <f>IFERROR(INDEX('Email Cleaner'!$B$2:$B$10001,MATCH(2259,'Email Cleaner'!$J$2:$J$10001,0)),"")</f>
        <v/>
      </c>
    </row>
    <row r="2261">
      <c r="A2261">
        <f>IFERROR(INDEX('Email Cleaner'!$B$2:$B$10001,MATCH(2260,'Email Cleaner'!$J$2:$J$10001,0)),"")</f>
        <v/>
      </c>
    </row>
    <row r="2262">
      <c r="A2262">
        <f>IFERROR(INDEX('Email Cleaner'!$B$2:$B$10001,MATCH(2261,'Email Cleaner'!$J$2:$J$10001,0)),"")</f>
        <v/>
      </c>
    </row>
    <row r="2263">
      <c r="A2263">
        <f>IFERROR(INDEX('Email Cleaner'!$B$2:$B$10001,MATCH(2262,'Email Cleaner'!$J$2:$J$10001,0)),"")</f>
        <v/>
      </c>
    </row>
    <row r="2264">
      <c r="A2264">
        <f>IFERROR(INDEX('Email Cleaner'!$B$2:$B$10001,MATCH(2263,'Email Cleaner'!$J$2:$J$10001,0)),"")</f>
        <v/>
      </c>
    </row>
    <row r="2265">
      <c r="A2265">
        <f>IFERROR(INDEX('Email Cleaner'!$B$2:$B$10001,MATCH(2264,'Email Cleaner'!$J$2:$J$10001,0)),"")</f>
        <v/>
      </c>
    </row>
    <row r="2266">
      <c r="A2266">
        <f>IFERROR(INDEX('Email Cleaner'!$B$2:$B$10001,MATCH(2265,'Email Cleaner'!$J$2:$J$10001,0)),"")</f>
        <v/>
      </c>
    </row>
    <row r="2267">
      <c r="A2267">
        <f>IFERROR(INDEX('Email Cleaner'!$B$2:$B$10001,MATCH(2266,'Email Cleaner'!$J$2:$J$10001,0)),"")</f>
        <v/>
      </c>
    </row>
    <row r="2268">
      <c r="A2268">
        <f>IFERROR(INDEX('Email Cleaner'!$B$2:$B$10001,MATCH(2267,'Email Cleaner'!$J$2:$J$10001,0)),"")</f>
        <v/>
      </c>
    </row>
    <row r="2269">
      <c r="A2269">
        <f>IFERROR(INDEX('Email Cleaner'!$B$2:$B$10001,MATCH(2268,'Email Cleaner'!$J$2:$J$10001,0)),"")</f>
        <v/>
      </c>
    </row>
    <row r="2270">
      <c r="A2270">
        <f>IFERROR(INDEX('Email Cleaner'!$B$2:$B$10001,MATCH(2269,'Email Cleaner'!$J$2:$J$10001,0)),"")</f>
        <v/>
      </c>
    </row>
    <row r="2271">
      <c r="A2271">
        <f>IFERROR(INDEX('Email Cleaner'!$B$2:$B$10001,MATCH(2270,'Email Cleaner'!$J$2:$J$10001,0)),"")</f>
        <v/>
      </c>
    </row>
    <row r="2272">
      <c r="A2272">
        <f>IFERROR(INDEX('Email Cleaner'!$B$2:$B$10001,MATCH(2271,'Email Cleaner'!$J$2:$J$10001,0)),"")</f>
        <v/>
      </c>
    </row>
    <row r="2273">
      <c r="A2273">
        <f>IFERROR(INDEX('Email Cleaner'!$B$2:$B$10001,MATCH(2272,'Email Cleaner'!$J$2:$J$10001,0)),"")</f>
        <v/>
      </c>
    </row>
    <row r="2274">
      <c r="A2274">
        <f>IFERROR(INDEX('Email Cleaner'!$B$2:$B$10001,MATCH(2273,'Email Cleaner'!$J$2:$J$10001,0)),"")</f>
        <v/>
      </c>
    </row>
    <row r="2275">
      <c r="A2275">
        <f>IFERROR(INDEX('Email Cleaner'!$B$2:$B$10001,MATCH(2274,'Email Cleaner'!$J$2:$J$10001,0)),"")</f>
        <v/>
      </c>
    </row>
    <row r="2276">
      <c r="A2276">
        <f>IFERROR(INDEX('Email Cleaner'!$B$2:$B$10001,MATCH(2275,'Email Cleaner'!$J$2:$J$10001,0)),"")</f>
        <v/>
      </c>
    </row>
    <row r="2277">
      <c r="A2277">
        <f>IFERROR(INDEX('Email Cleaner'!$B$2:$B$10001,MATCH(2276,'Email Cleaner'!$J$2:$J$10001,0)),"")</f>
        <v/>
      </c>
    </row>
    <row r="2278">
      <c r="A2278">
        <f>IFERROR(INDEX('Email Cleaner'!$B$2:$B$10001,MATCH(2277,'Email Cleaner'!$J$2:$J$10001,0)),"")</f>
        <v/>
      </c>
    </row>
    <row r="2279">
      <c r="A2279">
        <f>IFERROR(INDEX('Email Cleaner'!$B$2:$B$10001,MATCH(2278,'Email Cleaner'!$J$2:$J$10001,0)),"")</f>
        <v/>
      </c>
    </row>
    <row r="2280">
      <c r="A2280">
        <f>IFERROR(INDEX('Email Cleaner'!$B$2:$B$10001,MATCH(2279,'Email Cleaner'!$J$2:$J$10001,0)),"")</f>
        <v/>
      </c>
    </row>
    <row r="2281">
      <c r="A2281">
        <f>IFERROR(INDEX('Email Cleaner'!$B$2:$B$10001,MATCH(2280,'Email Cleaner'!$J$2:$J$10001,0)),"")</f>
        <v/>
      </c>
    </row>
    <row r="2282">
      <c r="A2282">
        <f>IFERROR(INDEX('Email Cleaner'!$B$2:$B$10001,MATCH(2281,'Email Cleaner'!$J$2:$J$10001,0)),"")</f>
        <v/>
      </c>
    </row>
    <row r="2283">
      <c r="A2283">
        <f>IFERROR(INDEX('Email Cleaner'!$B$2:$B$10001,MATCH(2282,'Email Cleaner'!$J$2:$J$10001,0)),"")</f>
        <v/>
      </c>
    </row>
    <row r="2284">
      <c r="A2284">
        <f>IFERROR(INDEX('Email Cleaner'!$B$2:$B$10001,MATCH(2283,'Email Cleaner'!$J$2:$J$10001,0)),"")</f>
        <v/>
      </c>
    </row>
    <row r="2285">
      <c r="A2285">
        <f>IFERROR(INDEX('Email Cleaner'!$B$2:$B$10001,MATCH(2284,'Email Cleaner'!$J$2:$J$10001,0)),"")</f>
        <v/>
      </c>
    </row>
    <row r="2286">
      <c r="A2286">
        <f>IFERROR(INDEX('Email Cleaner'!$B$2:$B$10001,MATCH(2285,'Email Cleaner'!$J$2:$J$10001,0)),"")</f>
        <v/>
      </c>
    </row>
    <row r="2287">
      <c r="A2287">
        <f>IFERROR(INDEX('Email Cleaner'!$B$2:$B$10001,MATCH(2286,'Email Cleaner'!$J$2:$J$10001,0)),"")</f>
        <v/>
      </c>
    </row>
    <row r="2288">
      <c r="A2288">
        <f>IFERROR(INDEX('Email Cleaner'!$B$2:$B$10001,MATCH(2287,'Email Cleaner'!$J$2:$J$10001,0)),"")</f>
        <v/>
      </c>
    </row>
    <row r="2289">
      <c r="A2289">
        <f>IFERROR(INDEX('Email Cleaner'!$B$2:$B$10001,MATCH(2288,'Email Cleaner'!$J$2:$J$10001,0)),"")</f>
        <v/>
      </c>
    </row>
    <row r="2290">
      <c r="A2290">
        <f>IFERROR(INDEX('Email Cleaner'!$B$2:$B$10001,MATCH(2289,'Email Cleaner'!$J$2:$J$10001,0)),"")</f>
        <v/>
      </c>
    </row>
    <row r="2291">
      <c r="A2291">
        <f>IFERROR(INDEX('Email Cleaner'!$B$2:$B$10001,MATCH(2290,'Email Cleaner'!$J$2:$J$10001,0)),"")</f>
        <v/>
      </c>
    </row>
    <row r="2292">
      <c r="A2292">
        <f>IFERROR(INDEX('Email Cleaner'!$B$2:$B$10001,MATCH(2291,'Email Cleaner'!$J$2:$J$10001,0)),"")</f>
        <v/>
      </c>
    </row>
    <row r="2293">
      <c r="A2293">
        <f>IFERROR(INDEX('Email Cleaner'!$B$2:$B$10001,MATCH(2292,'Email Cleaner'!$J$2:$J$10001,0)),"")</f>
        <v/>
      </c>
    </row>
    <row r="2294">
      <c r="A2294">
        <f>IFERROR(INDEX('Email Cleaner'!$B$2:$B$10001,MATCH(2293,'Email Cleaner'!$J$2:$J$10001,0)),"")</f>
        <v/>
      </c>
    </row>
    <row r="2295">
      <c r="A2295">
        <f>IFERROR(INDEX('Email Cleaner'!$B$2:$B$10001,MATCH(2294,'Email Cleaner'!$J$2:$J$10001,0)),"")</f>
        <v/>
      </c>
    </row>
    <row r="2296">
      <c r="A2296">
        <f>IFERROR(INDEX('Email Cleaner'!$B$2:$B$10001,MATCH(2295,'Email Cleaner'!$J$2:$J$10001,0)),"")</f>
        <v/>
      </c>
    </row>
    <row r="2297">
      <c r="A2297">
        <f>IFERROR(INDEX('Email Cleaner'!$B$2:$B$10001,MATCH(2296,'Email Cleaner'!$J$2:$J$10001,0)),"")</f>
        <v/>
      </c>
    </row>
    <row r="2298">
      <c r="A2298">
        <f>IFERROR(INDEX('Email Cleaner'!$B$2:$B$10001,MATCH(2297,'Email Cleaner'!$J$2:$J$10001,0)),"")</f>
        <v/>
      </c>
    </row>
    <row r="2299">
      <c r="A2299">
        <f>IFERROR(INDEX('Email Cleaner'!$B$2:$B$10001,MATCH(2298,'Email Cleaner'!$J$2:$J$10001,0)),"")</f>
        <v/>
      </c>
    </row>
    <row r="2300">
      <c r="A2300">
        <f>IFERROR(INDEX('Email Cleaner'!$B$2:$B$10001,MATCH(2299,'Email Cleaner'!$J$2:$J$10001,0)),"")</f>
        <v/>
      </c>
    </row>
    <row r="2301">
      <c r="A2301">
        <f>IFERROR(INDEX('Email Cleaner'!$B$2:$B$10001,MATCH(2300,'Email Cleaner'!$J$2:$J$10001,0)),"")</f>
        <v/>
      </c>
    </row>
    <row r="2302">
      <c r="A2302">
        <f>IFERROR(INDEX('Email Cleaner'!$B$2:$B$10001,MATCH(2301,'Email Cleaner'!$J$2:$J$10001,0)),"")</f>
        <v/>
      </c>
    </row>
    <row r="2303">
      <c r="A2303">
        <f>IFERROR(INDEX('Email Cleaner'!$B$2:$B$10001,MATCH(2302,'Email Cleaner'!$J$2:$J$10001,0)),"")</f>
        <v/>
      </c>
    </row>
    <row r="2304">
      <c r="A2304">
        <f>IFERROR(INDEX('Email Cleaner'!$B$2:$B$10001,MATCH(2303,'Email Cleaner'!$J$2:$J$10001,0)),"")</f>
        <v/>
      </c>
    </row>
    <row r="2305">
      <c r="A2305">
        <f>IFERROR(INDEX('Email Cleaner'!$B$2:$B$10001,MATCH(2304,'Email Cleaner'!$J$2:$J$10001,0)),"")</f>
        <v/>
      </c>
    </row>
    <row r="2306">
      <c r="A2306">
        <f>IFERROR(INDEX('Email Cleaner'!$B$2:$B$10001,MATCH(2305,'Email Cleaner'!$J$2:$J$10001,0)),"")</f>
        <v/>
      </c>
    </row>
    <row r="2307">
      <c r="A2307">
        <f>IFERROR(INDEX('Email Cleaner'!$B$2:$B$10001,MATCH(2306,'Email Cleaner'!$J$2:$J$10001,0)),"")</f>
        <v/>
      </c>
    </row>
    <row r="2308">
      <c r="A2308">
        <f>IFERROR(INDEX('Email Cleaner'!$B$2:$B$10001,MATCH(2307,'Email Cleaner'!$J$2:$J$10001,0)),"")</f>
        <v/>
      </c>
    </row>
    <row r="2309">
      <c r="A2309">
        <f>IFERROR(INDEX('Email Cleaner'!$B$2:$B$10001,MATCH(2308,'Email Cleaner'!$J$2:$J$10001,0)),"")</f>
        <v/>
      </c>
    </row>
    <row r="2310">
      <c r="A2310">
        <f>IFERROR(INDEX('Email Cleaner'!$B$2:$B$10001,MATCH(2309,'Email Cleaner'!$J$2:$J$10001,0)),"")</f>
        <v/>
      </c>
    </row>
    <row r="2311">
      <c r="A2311">
        <f>IFERROR(INDEX('Email Cleaner'!$B$2:$B$10001,MATCH(2310,'Email Cleaner'!$J$2:$J$10001,0)),"")</f>
        <v/>
      </c>
    </row>
    <row r="2312">
      <c r="A2312">
        <f>IFERROR(INDEX('Email Cleaner'!$B$2:$B$10001,MATCH(2311,'Email Cleaner'!$J$2:$J$10001,0)),"")</f>
        <v/>
      </c>
    </row>
    <row r="2313">
      <c r="A2313">
        <f>IFERROR(INDEX('Email Cleaner'!$B$2:$B$10001,MATCH(2312,'Email Cleaner'!$J$2:$J$10001,0)),"")</f>
        <v/>
      </c>
    </row>
    <row r="2314">
      <c r="A2314">
        <f>IFERROR(INDEX('Email Cleaner'!$B$2:$B$10001,MATCH(2313,'Email Cleaner'!$J$2:$J$10001,0)),"")</f>
        <v/>
      </c>
    </row>
    <row r="2315">
      <c r="A2315">
        <f>IFERROR(INDEX('Email Cleaner'!$B$2:$B$10001,MATCH(2314,'Email Cleaner'!$J$2:$J$10001,0)),"")</f>
        <v/>
      </c>
    </row>
    <row r="2316">
      <c r="A2316">
        <f>IFERROR(INDEX('Email Cleaner'!$B$2:$B$10001,MATCH(2315,'Email Cleaner'!$J$2:$J$10001,0)),"")</f>
        <v/>
      </c>
    </row>
    <row r="2317">
      <c r="A2317">
        <f>IFERROR(INDEX('Email Cleaner'!$B$2:$B$10001,MATCH(2316,'Email Cleaner'!$J$2:$J$10001,0)),"")</f>
        <v/>
      </c>
    </row>
    <row r="2318">
      <c r="A2318">
        <f>IFERROR(INDEX('Email Cleaner'!$B$2:$B$10001,MATCH(2317,'Email Cleaner'!$J$2:$J$10001,0)),"")</f>
        <v/>
      </c>
    </row>
    <row r="2319">
      <c r="A2319">
        <f>IFERROR(INDEX('Email Cleaner'!$B$2:$B$10001,MATCH(2318,'Email Cleaner'!$J$2:$J$10001,0)),"")</f>
        <v/>
      </c>
    </row>
    <row r="2320">
      <c r="A2320">
        <f>IFERROR(INDEX('Email Cleaner'!$B$2:$B$10001,MATCH(2319,'Email Cleaner'!$J$2:$J$10001,0)),"")</f>
        <v/>
      </c>
    </row>
    <row r="2321">
      <c r="A2321">
        <f>IFERROR(INDEX('Email Cleaner'!$B$2:$B$10001,MATCH(2320,'Email Cleaner'!$J$2:$J$10001,0)),"")</f>
        <v/>
      </c>
    </row>
    <row r="2322">
      <c r="A2322">
        <f>IFERROR(INDEX('Email Cleaner'!$B$2:$B$10001,MATCH(2321,'Email Cleaner'!$J$2:$J$10001,0)),"")</f>
        <v/>
      </c>
    </row>
    <row r="2323">
      <c r="A2323">
        <f>IFERROR(INDEX('Email Cleaner'!$B$2:$B$10001,MATCH(2322,'Email Cleaner'!$J$2:$J$10001,0)),"")</f>
        <v/>
      </c>
    </row>
    <row r="2324">
      <c r="A2324">
        <f>IFERROR(INDEX('Email Cleaner'!$B$2:$B$10001,MATCH(2323,'Email Cleaner'!$J$2:$J$10001,0)),"")</f>
        <v/>
      </c>
    </row>
    <row r="2325">
      <c r="A2325">
        <f>IFERROR(INDEX('Email Cleaner'!$B$2:$B$10001,MATCH(2324,'Email Cleaner'!$J$2:$J$10001,0)),"")</f>
        <v/>
      </c>
    </row>
    <row r="2326">
      <c r="A2326">
        <f>IFERROR(INDEX('Email Cleaner'!$B$2:$B$10001,MATCH(2325,'Email Cleaner'!$J$2:$J$10001,0)),"")</f>
        <v/>
      </c>
    </row>
    <row r="2327">
      <c r="A2327">
        <f>IFERROR(INDEX('Email Cleaner'!$B$2:$B$10001,MATCH(2326,'Email Cleaner'!$J$2:$J$10001,0)),"")</f>
        <v/>
      </c>
    </row>
    <row r="2328">
      <c r="A2328">
        <f>IFERROR(INDEX('Email Cleaner'!$B$2:$B$10001,MATCH(2327,'Email Cleaner'!$J$2:$J$10001,0)),"")</f>
        <v/>
      </c>
    </row>
    <row r="2329">
      <c r="A2329">
        <f>IFERROR(INDEX('Email Cleaner'!$B$2:$B$10001,MATCH(2328,'Email Cleaner'!$J$2:$J$10001,0)),"")</f>
        <v/>
      </c>
    </row>
    <row r="2330">
      <c r="A2330">
        <f>IFERROR(INDEX('Email Cleaner'!$B$2:$B$10001,MATCH(2329,'Email Cleaner'!$J$2:$J$10001,0)),"")</f>
        <v/>
      </c>
    </row>
    <row r="2331">
      <c r="A2331">
        <f>IFERROR(INDEX('Email Cleaner'!$B$2:$B$10001,MATCH(2330,'Email Cleaner'!$J$2:$J$10001,0)),"")</f>
        <v/>
      </c>
    </row>
    <row r="2332">
      <c r="A2332">
        <f>IFERROR(INDEX('Email Cleaner'!$B$2:$B$10001,MATCH(2331,'Email Cleaner'!$J$2:$J$10001,0)),"")</f>
        <v/>
      </c>
    </row>
    <row r="2333">
      <c r="A2333">
        <f>IFERROR(INDEX('Email Cleaner'!$B$2:$B$10001,MATCH(2332,'Email Cleaner'!$J$2:$J$10001,0)),"")</f>
        <v/>
      </c>
    </row>
    <row r="2334">
      <c r="A2334">
        <f>IFERROR(INDEX('Email Cleaner'!$B$2:$B$10001,MATCH(2333,'Email Cleaner'!$J$2:$J$10001,0)),"")</f>
        <v/>
      </c>
    </row>
    <row r="2335">
      <c r="A2335">
        <f>IFERROR(INDEX('Email Cleaner'!$B$2:$B$10001,MATCH(2334,'Email Cleaner'!$J$2:$J$10001,0)),"")</f>
        <v/>
      </c>
    </row>
    <row r="2336">
      <c r="A2336">
        <f>IFERROR(INDEX('Email Cleaner'!$B$2:$B$10001,MATCH(2335,'Email Cleaner'!$J$2:$J$10001,0)),"")</f>
        <v/>
      </c>
    </row>
    <row r="2337">
      <c r="A2337">
        <f>IFERROR(INDEX('Email Cleaner'!$B$2:$B$10001,MATCH(2336,'Email Cleaner'!$J$2:$J$10001,0)),"")</f>
        <v/>
      </c>
    </row>
    <row r="2338">
      <c r="A2338">
        <f>IFERROR(INDEX('Email Cleaner'!$B$2:$B$10001,MATCH(2337,'Email Cleaner'!$J$2:$J$10001,0)),"")</f>
        <v/>
      </c>
    </row>
    <row r="2339">
      <c r="A2339">
        <f>IFERROR(INDEX('Email Cleaner'!$B$2:$B$10001,MATCH(2338,'Email Cleaner'!$J$2:$J$10001,0)),"")</f>
        <v/>
      </c>
    </row>
    <row r="2340">
      <c r="A2340">
        <f>IFERROR(INDEX('Email Cleaner'!$B$2:$B$10001,MATCH(2339,'Email Cleaner'!$J$2:$J$10001,0)),"")</f>
        <v/>
      </c>
    </row>
    <row r="2341">
      <c r="A2341">
        <f>IFERROR(INDEX('Email Cleaner'!$B$2:$B$10001,MATCH(2340,'Email Cleaner'!$J$2:$J$10001,0)),"")</f>
        <v/>
      </c>
    </row>
    <row r="2342">
      <c r="A2342">
        <f>IFERROR(INDEX('Email Cleaner'!$B$2:$B$10001,MATCH(2341,'Email Cleaner'!$J$2:$J$10001,0)),"")</f>
        <v/>
      </c>
    </row>
    <row r="2343">
      <c r="A2343">
        <f>IFERROR(INDEX('Email Cleaner'!$B$2:$B$10001,MATCH(2342,'Email Cleaner'!$J$2:$J$10001,0)),"")</f>
        <v/>
      </c>
    </row>
    <row r="2344">
      <c r="A2344">
        <f>IFERROR(INDEX('Email Cleaner'!$B$2:$B$10001,MATCH(2343,'Email Cleaner'!$J$2:$J$10001,0)),"")</f>
        <v/>
      </c>
    </row>
    <row r="2345">
      <c r="A2345">
        <f>IFERROR(INDEX('Email Cleaner'!$B$2:$B$10001,MATCH(2344,'Email Cleaner'!$J$2:$J$10001,0)),"")</f>
        <v/>
      </c>
    </row>
    <row r="2346">
      <c r="A2346">
        <f>IFERROR(INDEX('Email Cleaner'!$B$2:$B$10001,MATCH(2345,'Email Cleaner'!$J$2:$J$10001,0)),"")</f>
        <v/>
      </c>
    </row>
    <row r="2347">
      <c r="A2347">
        <f>IFERROR(INDEX('Email Cleaner'!$B$2:$B$10001,MATCH(2346,'Email Cleaner'!$J$2:$J$10001,0)),"")</f>
        <v/>
      </c>
    </row>
    <row r="2348">
      <c r="A2348">
        <f>IFERROR(INDEX('Email Cleaner'!$B$2:$B$10001,MATCH(2347,'Email Cleaner'!$J$2:$J$10001,0)),"")</f>
        <v/>
      </c>
    </row>
    <row r="2349">
      <c r="A2349">
        <f>IFERROR(INDEX('Email Cleaner'!$B$2:$B$10001,MATCH(2348,'Email Cleaner'!$J$2:$J$10001,0)),"")</f>
        <v/>
      </c>
    </row>
    <row r="2350">
      <c r="A2350">
        <f>IFERROR(INDEX('Email Cleaner'!$B$2:$B$10001,MATCH(2349,'Email Cleaner'!$J$2:$J$10001,0)),"")</f>
        <v/>
      </c>
    </row>
    <row r="2351">
      <c r="A2351">
        <f>IFERROR(INDEX('Email Cleaner'!$B$2:$B$10001,MATCH(2350,'Email Cleaner'!$J$2:$J$10001,0)),"")</f>
        <v/>
      </c>
    </row>
    <row r="2352">
      <c r="A2352">
        <f>IFERROR(INDEX('Email Cleaner'!$B$2:$B$10001,MATCH(2351,'Email Cleaner'!$J$2:$J$10001,0)),"")</f>
        <v/>
      </c>
    </row>
    <row r="2353">
      <c r="A2353">
        <f>IFERROR(INDEX('Email Cleaner'!$B$2:$B$10001,MATCH(2352,'Email Cleaner'!$J$2:$J$10001,0)),"")</f>
        <v/>
      </c>
    </row>
    <row r="2354">
      <c r="A2354">
        <f>IFERROR(INDEX('Email Cleaner'!$B$2:$B$10001,MATCH(2353,'Email Cleaner'!$J$2:$J$10001,0)),"")</f>
        <v/>
      </c>
    </row>
    <row r="2355">
      <c r="A2355">
        <f>IFERROR(INDEX('Email Cleaner'!$B$2:$B$10001,MATCH(2354,'Email Cleaner'!$J$2:$J$10001,0)),"")</f>
        <v/>
      </c>
    </row>
    <row r="2356">
      <c r="A2356">
        <f>IFERROR(INDEX('Email Cleaner'!$B$2:$B$10001,MATCH(2355,'Email Cleaner'!$J$2:$J$10001,0)),"")</f>
        <v/>
      </c>
    </row>
    <row r="2357">
      <c r="A2357">
        <f>IFERROR(INDEX('Email Cleaner'!$B$2:$B$10001,MATCH(2356,'Email Cleaner'!$J$2:$J$10001,0)),"")</f>
        <v/>
      </c>
    </row>
    <row r="2358">
      <c r="A2358">
        <f>IFERROR(INDEX('Email Cleaner'!$B$2:$B$10001,MATCH(2357,'Email Cleaner'!$J$2:$J$10001,0)),"")</f>
        <v/>
      </c>
    </row>
    <row r="2359">
      <c r="A2359">
        <f>IFERROR(INDEX('Email Cleaner'!$B$2:$B$10001,MATCH(2358,'Email Cleaner'!$J$2:$J$10001,0)),"")</f>
        <v/>
      </c>
    </row>
    <row r="2360">
      <c r="A2360">
        <f>IFERROR(INDEX('Email Cleaner'!$B$2:$B$10001,MATCH(2359,'Email Cleaner'!$J$2:$J$10001,0)),"")</f>
        <v/>
      </c>
    </row>
    <row r="2361">
      <c r="A2361">
        <f>IFERROR(INDEX('Email Cleaner'!$B$2:$B$10001,MATCH(2360,'Email Cleaner'!$J$2:$J$10001,0)),"")</f>
        <v/>
      </c>
    </row>
    <row r="2362">
      <c r="A2362">
        <f>IFERROR(INDEX('Email Cleaner'!$B$2:$B$10001,MATCH(2361,'Email Cleaner'!$J$2:$J$10001,0)),"")</f>
        <v/>
      </c>
    </row>
    <row r="2363">
      <c r="A2363">
        <f>IFERROR(INDEX('Email Cleaner'!$B$2:$B$10001,MATCH(2362,'Email Cleaner'!$J$2:$J$10001,0)),"")</f>
        <v/>
      </c>
    </row>
    <row r="2364">
      <c r="A2364">
        <f>IFERROR(INDEX('Email Cleaner'!$B$2:$B$10001,MATCH(2363,'Email Cleaner'!$J$2:$J$10001,0)),"")</f>
        <v/>
      </c>
    </row>
    <row r="2365">
      <c r="A2365">
        <f>IFERROR(INDEX('Email Cleaner'!$B$2:$B$10001,MATCH(2364,'Email Cleaner'!$J$2:$J$10001,0)),"")</f>
        <v/>
      </c>
    </row>
    <row r="2366">
      <c r="A2366">
        <f>IFERROR(INDEX('Email Cleaner'!$B$2:$B$10001,MATCH(2365,'Email Cleaner'!$J$2:$J$10001,0)),"")</f>
        <v/>
      </c>
    </row>
    <row r="2367">
      <c r="A2367">
        <f>IFERROR(INDEX('Email Cleaner'!$B$2:$B$10001,MATCH(2366,'Email Cleaner'!$J$2:$J$10001,0)),"")</f>
        <v/>
      </c>
    </row>
    <row r="2368">
      <c r="A2368">
        <f>IFERROR(INDEX('Email Cleaner'!$B$2:$B$10001,MATCH(2367,'Email Cleaner'!$J$2:$J$10001,0)),"")</f>
        <v/>
      </c>
    </row>
    <row r="2369">
      <c r="A2369">
        <f>IFERROR(INDEX('Email Cleaner'!$B$2:$B$10001,MATCH(2368,'Email Cleaner'!$J$2:$J$10001,0)),"")</f>
        <v/>
      </c>
    </row>
    <row r="2370">
      <c r="A2370">
        <f>IFERROR(INDEX('Email Cleaner'!$B$2:$B$10001,MATCH(2369,'Email Cleaner'!$J$2:$J$10001,0)),"")</f>
        <v/>
      </c>
    </row>
    <row r="2371">
      <c r="A2371">
        <f>IFERROR(INDEX('Email Cleaner'!$B$2:$B$10001,MATCH(2370,'Email Cleaner'!$J$2:$J$10001,0)),"")</f>
        <v/>
      </c>
    </row>
    <row r="2372">
      <c r="A2372">
        <f>IFERROR(INDEX('Email Cleaner'!$B$2:$B$10001,MATCH(2371,'Email Cleaner'!$J$2:$J$10001,0)),"")</f>
        <v/>
      </c>
    </row>
    <row r="2373">
      <c r="A2373">
        <f>IFERROR(INDEX('Email Cleaner'!$B$2:$B$10001,MATCH(2372,'Email Cleaner'!$J$2:$J$10001,0)),"")</f>
        <v/>
      </c>
    </row>
    <row r="2374">
      <c r="A2374">
        <f>IFERROR(INDEX('Email Cleaner'!$B$2:$B$10001,MATCH(2373,'Email Cleaner'!$J$2:$J$10001,0)),"")</f>
        <v/>
      </c>
    </row>
    <row r="2375">
      <c r="A2375">
        <f>IFERROR(INDEX('Email Cleaner'!$B$2:$B$10001,MATCH(2374,'Email Cleaner'!$J$2:$J$10001,0)),"")</f>
        <v/>
      </c>
    </row>
    <row r="2376">
      <c r="A2376">
        <f>IFERROR(INDEX('Email Cleaner'!$B$2:$B$10001,MATCH(2375,'Email Cleaner'!$J$2:$J$10001,0)),"")</f>
        <v/>
      </c>
    </row>
    <row r="2377">
      <c r="A2377">
        <f>IFERROR(INDEX('Email Cleaner'!$B$2:$B$10001,MATCH(2376,'Email Cleaner'!$J$2:$J$10001,0)),"")</f>
        <v/>
      </c>
    </row>
    <row r="2378">
      <c r="A2378">
        <f>IFERROR(INDEX('Email Cleaner'!$B$2:$B$10001,MATCH(2377,'Email Cleaner'!$J$2:$J$10001,0)),"")</f>
        <v/>
      </c>
    </row>
    <row r="2379">
      <c r="A2379">
        <f>IFERROR(INDEX('Email Cleaner'!$B$2:$B$10001,MATCH(2378,'Email Cleaner'!$J$2:$J$10001,0)),"")</f>
        <v/>
      </c>
    </row>
    <row r="2380">
      <c r="A2380">
        <f>IFERROR(INDEX('Email Cleaner'!$B$2:$B$10001,MATCH(2379,'Email Cleaner'!$J$2:$J$10001,0)),"")</f>
        <v/>
      </c>
    </row>
    <row r="2381">
      <c r="A2381">
        <f>IFERROR(INDEX('Email Cleaner'!$B$2:$B$10001,MATCH(2380,'Email Cleaner'!$J$2:$J$10001,0)),"")</f>
        <v/>
      </c>
    </row>
    <row r="2382">
      <c r="A2382">
        <f>IFERROR(INDEX('Email Cleaner'!$B$2:$B$10001,MATCH(2381,'Email Cleaner'!$J$2:$J$10001,0)),"")</f>
        <v/>
      </c>
    </row>
    <row r="2383">
      <c r="A2383">
        <f>IFERROR(INDEX('Email Cleaner'!$B$2:$B$10001,MATCH(2382,'Email Cleaner'!$J$2:$J$10001,0)),"")</f>
        <v/>
      </c>
    </row>
    <row r="2384">
      <c r="A2384">
        <f>IFERROR(INDEX('Email Cleaner'!$B$2:$B$10001,MATCH(2383,'Email Cleaner'!$J$2:$J$10001,0)),"")</f>
        <v/>
      </c>
    </row>
    <row r="2385">
      <c r="A2385">
        <f>IFERROR(INDEX('Email Cleaner'!$B$2:$B$10001,MATCH(2384,'Email Cleaner'!$J$2:$J$10001,0)),"")</f>
        <v/>
      </c>
    </row>
    <row r="2386">
      <c r="A2386">
        <f>IFERROR(INDEX('Email Cleaner'!$B$2:$B$10001,MATCH(2385,'Email Cleaner'!$J$2:$J$10001,0)),"")</f>
        <v/>
      </c>
    </row>
    <row r="2387">
      <c r="A2387">
        <f>IFERROR(INDEX('Email Cleaner'!$B$2:$B$10001,MATCH(2386,'Email Cleaner'!$J$2:$J$10001,0)),"")</f>
        <v/>
      </c>
    </row>
    <row r="2388">
      <c r="A2388">
        <f>IFERROR(INDEX('Email Cleaner'!$B$2:$B$10001,MATCH(2387,'Email Cleaner'!$J$2:$J$10001,0)),"")</f>
        <v/>
      </c>
    </row>
    <row r="2389">
      <c r="A2389">
        <f>IFERROR(INDEX('Email Cleaner'!$B$2:$B$10001,MATCH(2388,'Email Cleaner'!$J$2:$J$10001,0)),"")</f>
        <v/>
      </c>
    </row>
    <row r="2390">
      <c r="A2390">
        <f>IFERROR(INDEX('Email Cleaner'!$B$2:$B$10001,MATCH(2389,'Email Cleaner'!$J$2:$J$10001,0)),"")</f>
        <v/>
      </c>
    </row>
    <row r="2391">
      <c r="A2391">
        <f>IFERROR(INDEX('Email Cleaner'!$B$2:$B$10001,MATCH(2390,'Email Cleaner'!$J$2:$J$10001,0)),"")</f>
        <v/>
      </c>
    </row>
    <row r="2392">
      <c r="A2392">
        <f>IFERROR(INDEX('Email Cleaner'!$B$2:$B$10001,MATCH(2391,'Email Cleaner'!$J$2:$J$10001,0)),"")</f>
        <v/>
      </c>
    </row>
    <row r="2393">
      <c r="A2393">
        <f>IFERROR(INDEX('Email Cleaner'!$B$2:$B$10001,MATCH(2392,'Email Cleaner'!$J$2:$J$10001,0)),"")</f>
        <v/>
      </c>
    </row>
    <row r="2394">
      <c r="A2394">
        <f>IFERROR(INDEX('Email Cleaner'!$B$2:$B$10001,MATCH(2393,'Email Cleaner'!$J$2:$J$10001,0)),"")</f>
        <v/>
      </c>
    </row>
    <row r="2395">
      <c r="A2395">
        <f>IFERROR(INDEX('Email Cleaner'!$B$2:$B$10001,MATCH(2394,'Email Cleaner'!$J$2:$J$10001,0)),"")</f>
        <v/>
      </c>
    </row>
    <row r="2396">
      <c r="A2396">
        <f>IFERROR(INDEX('Email Cleaner'!$B$2:$B$10001,MATCH(2395,'Email Cleaner'!$J$2:$J$10001,0)),"")</f>
        <v/>
      </c>
    </row>
    <row r="2397">
      <c r="A2397">
        <f>IFERROR(INDEX('Email Cleaner'!$B$2:$B$10001,MATCH(2396,'Email Cleaner'!$J$2:$J$10001,0)),"")</f>
        <v/>
      </c>
    </row>
    <row r="2398">
      <c r="A2398">
        <f>IFERROR(INDEX('Email Cleaner'!$B$2:$B$10001,MATCH(2397,'Email Cleaner'!$J$2:$J$10001,0)),"")</f>
        <v/>
      </c>
    </row>
    <row r="2399">
      <c r="A2399">
        <f>IFERROR(INDEX('Email Cleaner'!$B$2:$B$10001,MATCH(2398,'Email Cleaner'!$J$2:$J$10001,0)),"")</f>
        <v/>
      </c>
    </row>
    <row r="2400">
      <c r="A2400">
        <f>IFERROR(INDEX('Email Cleaner'!$B$2:$B$10001,MATCH(2399,'Email Cleaner'!$J$2:$J$10001,0)),"")</f>
        <v/>
      </c>
    </row>
    <row r="2401">
      <c r="A2401">
        <f>IFERROR(INDEX('Email Cleaner'!$B$2:$B$10001,MATCH(2400,'Email Cleaner'!$J$2:$J$10001,0)),"")</f>
        <v/>
      </c>
    </row>
    <row r="2402">
      <c r="A2402">
        <f>IFERROR(INDEX('Email Cleaner'!$B$2:$B$10001,MATCH(2401,'Email Cleaner'!$J$2:$J$10001,0)),"")</f>
        <v/>
      </c>
    </row>
    <row r="2403">
      <c r="A2403">
        <f>IFERROR(INDEX('Email Cleaner'!$B$2:$B$10001,MATCH(2402,'Email Cleaner'!$J$2:$J$10001,0)),"")</f>
        <v/>
      </c>
    </row>
    <row r="2404">
      <c r="A2404">
        <f>IFERROR(INDEX('Email Cleaner'!$B$2:$B$10001,MATCH(2403,'Email Cleaner'!$J$2:$J$10001,0)),"")</f>
        <v/>
      </c>
    </row>
    <row r="2405">
      <c r="A2405">
        <f>IFERROR(INDEX('Email Cleaner'!$B$2:$B$10001,MATCH(2404,'Email Cleaner'!$J$2:$J$10001,0)),"")</f>
        <v/>
      </c>
    </row>
    <row r="2406">
      <c r="A2406">
        <f>IFERROR(INDEX('Email Cleaner'!$B$2:$B$10001,MATCH(2405,'Email Cleaner'!$J$2:$J$10001,0)),"")</f>
        <v/>
      </c>
    </row>
    <row r="2407">
      <c r="A2407">
        <f>IFERROR(INDEX('Email Cleaner'!$B$2:$B$10001,MATCH(2406,'Email Cleaner'!$J$2:$J$10001,0)),"")</f>
        <v/>
      </c>
    </row>
    <row r="2408">
      <c r="A2408">
        <f>IFERROR(INDEX('Email Cleaner'!$B$2:$B$10001,MATCH(2407,'Email Cleaner'!$J$2:$J$10001,0)),"")</f>
        <v/>
      </c>
    </row>
    <row r="2409">
      <c r="A2409">
        <f>IFERROR(INDEX('Email Cleaner'!$B$2:$B$10001,MATCH(2408,'Email Cleaner'!$J$2:$J$10001,0)),"")</f>
        <v/>
      </c>
    </row>
    <row r="2410">
      <c r="A2410">
        <f>IFERROR(INDEX('Email Cleaner'!$B$2:$B$10001,MATCH(2409,'Email Cleaner'!$J$2:$J$10001,0)),"")</f>
        <v/>
      </c>
    </row>
    <row r="2411">
      <c r="A2411">
        <f>IFERROR(INDEX('Email Cleaner'!$B$2:$B$10001,MATCH(2410,'Email Cleaner'!$J$2:$J$10001,0)),"")</f>
        <v/>
      </c>
    </row>
    <row r="2412">
      <c r="A2412">
        <f>IFERROR(INDEX('Email Cleaner'!$B$2:$B$10001,MATCH(2411,'Email Cleaner'!$J$2:$J$10001,0)),"")</f>
        <v/>
      </c>
    </row>
    <row r="2413">
      <c r="A2413">
        <f>IFERROR(INDEX('Email Cleaner'!$B$2:$B$10001,MATCH(2412,'Email Cleaner'!$J$2:$J$10001,0)),"")</f>
        <v/>
      </c>
    </row>
    <row r="2414">
      <c r="A2414">
        <f>IFERROR(INDEX('Email Cleaner'!$B$2:$B$10001,MATCH(2413,'Email Cleaner'!$J$2:$J$10001,0)),"")</f>
        <v/>
      </c>
    </row>
    <row r="2415">
      <c r="A2415">
        <f>IFERROR(INDEX('Email Cleaner'!$B$2:$B$10001,MATCH(2414,'Email Cleaner'!$J$2:$J$10001,0)),"")</f>
        <v/>
      </c>
    </row>
    <row r="2416">
      <c r="A2416">
        <f>IFERROR(INDEX('Email Cleaner'!$B$2:$B$10001,MATCH(2415,'Email Cleaner'!$J$2:$J$10001,0)),"")</f>
        <v/>
      </c>
    </row>
    <row r="2417">
      <c r="A2417">
        <f>IFERROR(INDEX('Email Cleaner'!$B$2:$B$10001,MATCH(2416,'Email Cleaner'!$J$2:$J$10001,0)),"")</f>
        <v/>
      </c>
    </row>
    <row r="2418">
      <c r="A2418">
        <f>IFERROR(INDEX('Email Cleaner'!$B$2:$B$10001,MATCH(2417,'Email Cleaner'!$J$2:$J$10001,0)),"")</f>
        <v/>
      </c>
    </row>
    <row r="2419">
      <c r="A2419">
        <f>IFERROR(INDEX('Email Cleaner'!$B$2:$B$10001,MATCH(2418,'Email Cleaner'!$J$2:$J$10001,0)),"")</f>
        <v/>
      </c>
    </row>
    <row r="2420">
      <c r="A2420">
        <f>IFERROR(INDEX('Email Cleaner'!$B$2:$B$10001,MATCH(2419,'Email Cleaner'!$J$2:$J$10001,0)),"")</f>
        <v/>
      </c>
    </row>
    <row r="2421">
      <c r="A2421">
        <f>IFERROR(INDEX('Email Cleaner'!$B$2:$B$10001,MATCH(2420,'Email Cleaner'!$J$2:$J$10001,0)),"")</f>
        <v/>
      </c>
    </row>
    <row r="2422">
      <c r="A2422">
        <f>IFERROR(INDEX('Email Cleaner'!$B$2:$B$10001,MATCH(2421,'Email Cleaner'!$J$2:$J$10001,0)),"")</f>
        <v/>
      </c>
    </row>
    <row r="2423">
      <c r="A2423">
        <f>IFERROR(INDEX('Email Cleaner'!$B$2:$B$10001,MATCH(2422,'Email Cleaner'!$J$2:$J$10001,0)),"")</f>
        <v/>
      </c>
    </row>
    <row r="2424">
      <c r="A2424">
        <f>IFERROR(INDEX('Email Cleaner'!$B$2:$B$10001,MATCH(2423,'Email Cleaner'!$J$2:$J$10001,0)),"")</f>
        <v/>
      </c>
    </row>
    <row r="2425">
      <c r="A2425">
        <f>IFERROR(INDEX('Email Cleaner'!$B$2:$B$10001,MATCH(2424,'Email Cleaner'!$J$2:$J$10001,0)),"")</f>
        <v/>
      </c>
    </row>
    <row r="2426">
      <c r="A2426">
        <f>IFERROR(INDEX('Email Cleaner'!$B$2:$B$10001,MATCH(2425,'Email Cleaner'!$J$2:$J$10001,0)),"")</f>
        <v/>
      </c>
    </row>
    <row r="2427">
      <c r="A2427">
        <f>IFERROR(INDEX('Email Cleaner'!$B$2:$B$10001,MATCH(2426,'Email Cleaner'!$J$2:$J$10001,0)),"")</f>
        <v/>
      </c>
    </row>
    <row r="2428">
      <c r="A2428">
        <f>IFERROR(INDEX('Email Cleaner'!$B$2:$B$10001,MATCH(2427,'Email Cleaner'!$J$2:$J$10001,0)),"")</f>
        <v/>
      </c>
    </row>
    <row r="2429">
      <c r="A2429">
        <f>IFERROR(INDEX('Email Cleaner'!$B$2:$B$10001,MATCH(2428,'Email Cleaner'!$J$2:$J$10001,0)),"")</f>
        <v/>
      </c>
    </row>
    <row r="2430">
      <c r="A2430">
        <f>IFERROR(INDEX('Email Cleaner'!$B$2:$B$10001,MATCH(2429,'Email Cleaner'!$J$2:$J$10001,0)),"")</f>
        <v/>
      </c>
    </row>
    <row r="2431">
      <c r="A2431">
        <f>IFERROR(INDEX('Email Cleaner'!$B$2:$B$10001,MATCH(2430,'Email Cleaner'!$J$2:$J$10001,0)),"")</f>
        <v/>
      </c>
    </row>
    <row r="2432">
      <c r="A2432">
        <f>IFERROR(INDEX('Email Cleaner'!$B$2:$B$10001,MATCH(2431,'Email Cleaner'!$J$2:$J$10001,0)),"")</f>
        <v/>
      </c>
    </row>
    <row r="2433">
      <c r="A2433">
        <f>IFERROR(INDEX('Email Cleaner'!$B$2:$B$10001,MATCH(2432,'Email Cleaner'!$J$2:$J$10001,0)),"")</f>
        <v/>
      </c>
    </row>
    <row r="2434">
      <c r="A2434">
        <f>IFERROR(INDEX('Email Cleaner'!$B$2:$B$10001,MATCH(2433,'Email Cleaner'!$J$2:$J$10001,0)),"")</f>
        <v/>
      </c>
    </row>
    <row r="2435">
      <c r="A2435">
        <f>IFERROR(INDEX('Email Cleaner'!$B$2:$B$10001,MATCH(2434,'Email Cleaner'!$J$2:$J$10001,0)),"")</f>
        <v/>
      </c>
    </row>
    <row r="2436">
      <c r="A2436">
        <f>IFERROR(INDEX('Email Cleaner'!$B$2:$B$10001,MATCH(2435,'Email Cleaner'!$J$2:$J$10001,0)),"")</f>
        <v/>
      </c>
    </row>
    <row r="2437">
      <c r="A2437">
        <f>IFERROR(INDEX('Email Cleaner'!$B$2:$B$10001,MATCH(2436,'Email Cleaner'!$J$2:$J$10001,0)),"")</f>
        <v/>
      </c>
    </row>
    <row r="2438">
      <c r="A2438">
        <f>IFERROR(INDEX('Email Cleaner'!$B$2:$B$10001,MATCH(2437,'Email Cleaner'!$J$2:$J$10001,0)),"")</f>
        <v/>
      </c>
    </row>
    <row r="2439">
      <c r="A2439">
        <f>IFERROR(INDEX('Email Cleaner'!$B$2:$B$10001,MATCH(2438,'Email Cleaner'!$J$2:$J$10001,0)),"")</f>
        <v/>
      </c>
    </row>
    <row r="2440">
      <c r="A2440">
        <f>IFERROR(INDEX('Email Cleaner'!$B$2:$B$10001,MATCH(2439,'Email Cleaner'!$J$2:$J$10001,0)),"")</f>
        <v/>
      </c>
    </row>
    <row r="2441">
      <c r="A2441">
        <f>IFERROR(INDEX('Email Cleaner'!$B$2:$B$10001,MATCH(2440,'Email Cleaner'!$J$2:$J$10001,0)),"")</f>
        <v/>
      </c>
    </row>
    <row r="2442">
      <c r="A2442">
        <f>IFERROR(INDEX('Email Cleaner'!$B$2:$B$10001,MATCH(2441,'Email Cleaner'!$J$2:$J$10001,0)),"")</f>
        <v/>
      </c>
    </row>
    <row r="2443">
      <c r="A2443">
        <f>IFERROR(INDEX('Email Cleaner'!$B$2:$B$10001,MATCH(2442,'Email Cleaner'!$J$2:$J$10001,0)),"")</f>
        <v/>
      </c>
    </row>
    <row r="2444">
      <c r="A2444">
        <f>IFERROR(INDEX('Email Cleaner'!$B$2:$B$10001,MATCH(2443,'Email Cleaner'!$J$2:$J$10001,0)),"")</f>
        <v/>
      </c>
    </row>
    <row r="2445">
      <c r="A2445">
        <f>IFERROR(INDEX('Email Cleaner'!$B$2:$B$10001,MATCH(2444,'Email Cleaner'!$J$2:$J$10001,0)),"")</f>
        <v/>
      </c>
    </row>
    <row r="2446">
      <c r="A2446">
        <f>IFERROR(INDEX('Email Cleaner'!$B$2:$B$10001,MATCH(2445,'Email Cleaner'!$J$2:$J$10001,0)),"")</f>
        <v/>
      </c>
    </row>
    <row r="2447">
      <c r="A2447">
        <f>IFERROR(INDEX('Email Cleaner'!$B$2:$B$10001,MATCH(2446,'Email Cleaner'!$J$2:$J$10001,0)),"")</f>
        <v/>
      </c>
    </row>
    <row r="2448">
      <c r="A2448">
        <f>IFERROR(INDEX('Email Cleaner'!$B$2:$B$10001,MATCH(2447,'Email Cleaner'!$J$2:$J$10001,0)),"")</f>
        <v/>
      </c>
    </row>
    <row r="2449">
      <c r="A2449">
        <f>IFERROR(INDEX('Email Cleaner'!$B$2:$B$10001,MATCH(2448,'Email Cleaner'!$J$2:$J$10001,0)),"")</f>
        <v/>
      </c>
    </row>
    <row r="2450">
      <c r="A2450">
        <f>IFERROR(INDEX('Email Cleaner'!$B$2:$B$10001,MATCH(2449,'Email Cleaner'!$J$2:$J$10001,0)),"")</f>
        <v/>
      </c>
    </row>
    <row r="2451">
      <c r="A2451">
        <f>IFERROR(INDEX('Email Cleaner'!$B$2:$B$10001,MATCH(2450,'Email Cleaner'!$J$2:$J$10001,0)),"")</f>
        <v/>
      </c>
    </row>
    <row r="2452">
      <c r="A2452">
        <f>IFERROR(INDEX('Email Cleaner'!$B$2:$B$10001,MATCH(2451,'Email Cleaner'!$J$2:$J$10001,0)),"")</f>
        <v/>
      </c>
    </row>
    <row r="2453">
      <c r="A2453">
        <f>IFERROR(INDEX('Email Cleaner'!$B$2:$B$10001,MATCH(2452,'Email Cleaner'!$J$2:$J$10001,0)),"")</f>
        <v/>
      </c>
    </row>
    <row r="2454">
      <c r="A2454">
        <f>IFERROR(INDEX('Email Cleaner'!$B$2:$B$10001,MATCH(2453,'Email Cleaner'!$J$2:$J$10001,0)),"")</f>
        <v/>
      </c>
    </row>
    <row r="2455">
      <c r="A2455">
        <f>IFERROR(INDEX('Email Cleaner'!$B$2:$B$10001,MATCH(2454,'Email Cleaner'!$J$2:$J$10001,0)),"")</f>
        <v/>
      </c>
    </row>
    <row r="2456">
      <c r="A2456">
        <f>IFERROR(INDEX('Email Cleaner'!$B$2:$B$10001,MATCH(2455,'Email Cleaner'!$J$2:$J$10001,0)),"")</f>
        <v/>
      </c>
    </row>
    <row r="2457">
      <c r="A2457">
        <f>IFERROR(INDEX('Email Cleaner'!$B$2:$B$10001,MATCH(2456,'Email Cleaner'!$J$2:$J$10001,0)),"")</f>
        <v/>
      </c>
    </row>
    <row r="2458">
      <c r="A2458">
        <f>IFERROR(INDEX('Email Cleaner'!$B$2:$B$10001,MATCH(2457,'Email Cleaner'!$J$2:$J$10001,0)),"")</f>
        <v/>
      </c>
    </row>
    <row r="2459">
      <c r="A2459">
        <f>IFERROR(INDEX('Email Cleaner'!$B$2:$B$10001,MATCH(2458,'Email Cleaner'!$J$2:$J$10001,0)),"")</f>
        <v/>
      </c>
    </row>
    <row r="2460">
      <c r="A2460">
        <f>IFERROR(INDEX('Email Cleaner'!$B$2:$B$10001,MATCH(2459,'Email Cleaner'!$J$2:$J$10001,0)),"")</f>
        <v/>
      </c>
    </row>
    <row r="2461">
      <c r="A2461">
        <f>IFERROR(INDEX('Email Cleaner'!$B$2:$B$10001,MATCH(2460,'Email Cleaner'!$J$2:$J$10001,0)),"")</f>
        <v/>
      </c>
    </row>
    <row r="2462">
      <c r="A2462">
        <f>IFERROR(INDEX('Email Cleaner'!$B$2:$B$10001,MATCH(2461,'Email Cleaner'!$J$2:$J$10001,0)),"")</f>
        <v/>
      </c>
    </row>
    <row r="2463">
      <c r="A2463">
        <f>IFERROR(INDEX('Email Cleaner'!$B$2:$B$10001,MATCH(2462,'Email Cleaner'!$J$2:$J$10001,0)),"")</f>
        <v/>
      </c>
    </row>
    <row r="2464">
      <c r="A2464">
        <f>IFERROR(INDEX('Email Cleaner'!$B$2:$B$10001,MATCH(2463,'Email Cleaner'!$J$2:$J$10001,0)),"")</f>
        <v/>
      </c>
    </row>
    <row r="2465">
      <c r="A2465">
        <f>IFERROR(INDEX('Email Cleaner'!$B$2:$B$10001,MATCH(2464,'Email Cleaner'!$J$2:$J$10001,0)),"")</f>
        <v/>
      </c>
    </row>
    <row r="2466">
      <c r="A2466">
        <f>IFERROR(INDEX('Email Cleaner'!$B$2:$B$10001,MATCH(2465,'Email Cleaner'!$J$2:$J$10001,0)),"")</f>
        <v/>
      </c>
    </row>
    <row r="2467">
      <c r="A2467">
        <f>IFERROR(INDEX('Email Cleaner'!$B$2:$B$10001,MATCH(2466,'Email Cleaner'!$J$2:$J$10001,0)),"")</f>
        <v/>
      </c>
    </row>
    <row r="2468">
      <c r="A2468">
        <f>IFERROR(INDEX('Email Cleaner'!$B$2:$B$10001,MATCH(2467,'Email Cleaner'!$J$2:$J$10001,0)),"")</f>
        <v/>
      </c>
    </row>
    <row r="2469">
      <c r="A2469">
        <f>IFERROR(INDEX('Email Cleaner'!$B$2:$B$10001,MATCH(2468,'Email Cleaner'!$J$2:$J$10001,0)),"")</f>
        <v/>
      </c>
    </row>
    <row r="2470">
      <c r="A2470">
        <f>IFERROR(INDEX('Email Cleaner'!$B$2:$B$10001,MATCH(2469,'Email Cleaner'!$J$2:$J$10001,0)),"")</f>
        <v/>
      </c>
    </row>
    <row r="2471">
      <c r="A2471">
        <f>IFERROR(INDEX('Email Cleaner'!$B$2:$B$10001,MATCH(2470,'Email Cleaner'!$J$2:$J$10001,0)),"")</f>
        <v/>
      </c>
    </row>
    <row r="2472">
      <c r="A2472">
        <f>IFERROR(INDEX('Email Cleaner'!$B$2:$B$10001,MATCH(2471,'Email Cleaner'!$J$2:$J$10001,0)),"")</f>
        <v/>
      </c>
    </row>
    <row r="2473">
      <c r="A2473">
        <f>IFERROR(INDEX('Email Cleaner'!$B$2:$B$10001,MATCH(2472,'Email Cleaner'!$J$2:$J$10001,0)),"")</f>
        <v/>
      </c>
    </row>
    <row r="2474">
      <c r="A2474">
        <f>IFERROR(INDEX('Email Cleaner'!$B$2:$B$10001,MATCH(2473,'Email Cleaner'!$J$2:$J$10001,0)),"")</f>
        <v/>
      </c>
    </row>
    <row r="2475">
      <c r="A2475">
        <f>IFERROR(INDEX('Email Cleaner'!$B$2:$B$10001,MATCH(2474,'Email Cleaner'!$J$2:$J$10001,0)),"")</f>
        <v/>
      </c>
    </row>
    <row r="2476">
      <c r="A2476">
        <f>IFERROR(INDEX('Email Cleaner'!$B$2:$B$10001,MATCH(2475,'Email Cleaner'!$J$2:$J$10001,0)),"")</f>
        <v/>
      </c>
    </row>
    <row r="2477">
      <c r="A2477">
        <f>IFERROR(INDEX('Email Cleaner'!$B$2:$B$10001,MATCH(2476,'Email Cleaner'!$J$2:$J$10001,0)),"")</f>
        <v/>
      </c>
    </row>
    <row r="2478">
      <c r="A2478">
        <f>IFERROR(INDEX('Email Cleaner'!$B$2:$B$10001,MATCH(2477,'Email Cleaner'!$J$2:$J$10001,0)),"")</f>
        <v/>
      </c>
    </row>
    <row r="2479">
      <c r="A2479">
        <f>IFERROR(INDEX('Email Cleaner'!$B$2:$B$10001,MATCH(2478,'Email Cleaner'!$J$2:$J$10001,0)),"")</f>
        <v/>
      </c>
    </row>
    <row r="2480">
      <c r="A2480">
        <f>IFERROR(INDEX('Email Cleaner'!$B$2:$B$10001,MATCH(2479,'Email Cleaner'!$J$2:$J$10001,0)),"")</f>
        <v/>
      </c>
    </row>
    <row r="2481">
      <c r="A2481">
        <f>IFERROR(INDEX('Email Cleaner'!$B$2:$B$10001,MATCH(2480,'Email Cleaner'!$J$2:$J$10001,0)),"")</f>
        <v/>
      </c>
    </row>
    <row r="2482">
      <c r="A2482">
        <f>IFERROR(INDEX('Email Cleaner'!$B$2:$B$10001,MATCH(2481,'Email Cleaner'!$J$2:$J$10001,0)),"")</f>
        <v/>
      </c>
    </row>
    <row r="2483">
      <c r="A2483">
        <f>IFERROR(INDEX('Email Cleaner'!$B$2:$B$10001,MATCH(2482,'Email Cleaner'!$J$2:$J$10001,0)),"")</f>
        <v/>
      </c>
    </row>
    <row r="2484">
      <c r="A2484">
        <f>IFERROR(INDEX('Email Cleaner'!$B$2:$B$10001,MATCH(2483,'Email Cleaner'!$J$2:$J$10001,0)),"")</f>
        <v/>
      </c>
    </row>
    <row r="2485">
      <c r="A2485">
        <f>IFERROR(INDEX('Email Cleaner'!$B$2:$B$10001,MATCH(2484,'Email Cleaner'!$J$2:$J$10001,0)),"")</f>
        <v/>
      </c>
    </row>
    <row r="2486">
      <c r="A2486">
        <f>IFERROR(INDEX('Email Cleaner'!$B$2:$B$10001,MATCH(2485,'Email Cleaner'!$J$2:$J$10001,0)),"")</f>
        <v/>
      </c>
    </row>
    <row r="2487">
      <c r="A2487">
        <f>IFERROR(INDEX('Email Cleaner'!$B$2:$B$10001,MATCH(2486,'Email Cleaner'!$J$2:$J$10001,0)),"")</f>
        <v/>
      </c>
    </row>
    <row r="2488">
      <c r="A2488">
        <f>IFERROR(INDEX('Email Cleaner'!$B$2:$B$10001,MATCH(2487,'Email Cleaner'!$J$2:$J$10001,0)),"")</f>
        <v/>
      </c>
    </row>
    <row r="2489">
      <c r="A2489">
        <f>IFERROR(INDEX('Email Cleaner'!$B$2:$B$10001,MATCH(2488,'Email Cleaner'!$J$2:$J$10001,0)),"")</f>
        <v/>
      </c>
    </row>
    <row r="2490">
      <c r="A2490">
        <f>IFERROR(INDEX('Email Cleaner'!$B$2:$B$10001,MATCH(2489,'Email Cleaner'!$J$2:$J$10001,0)),"")</f>
        <v/>
      </c>
    </row>
    <row r="2491">
      <c r="A2491">
        <f>IFERROR(INDEX('Email Cleaner'!$B$2:$B$10001,MATCH(2490,'Email Cleaner'!$J$2:$J$10001,0)),"")</f>
        <v/>
      </c>
    </row>
    <row r="2492">
      <c r="A2492">
        <f>IFERROR(INDEX('Email Cleaner'!$B$2:$B$10001,MATCH(2491,'Email Cleaner'!$J$2:$J$10001,0)),"")</f>
        <v/>
      </c>
    </row>
    <row r="2493">
      <c r="A2493">
        <f>IFERROR(INDEX('Email Cleaner'!$B$2:$B$10001,MATCH(2492,'Email Cleaner'!$J$2:$J$10001,0)),"")</f>
        <v/>
      </c>
    </row>
    <row r="2494">
      <c r="A2494">
        <f>IFERROR(INDEX('Email Cleaner'!$B$2:$B$10001,MATCH(2493,'Email Cleaner'!$J$2:$J$10001,0)),"")</f>
        <v/>
      </c>
    </row>
    <row r="2495">
      <c r="A2495">
        <f>IFERROR(INDEX('Email Cleaner'!$B$2:$B$10001,MATCH(2494,'Email Cleaner'!$J$2:$J$10001,0)),"")</f>
        <v/>
      </c>
    </row>
    <row r="2496">
      <c r="A2496">
        <f>IFERROR(INDEX('Email Cleaner'!$B$2:$B$10001,MATCH(2495,'Email Cleaner'!$J$2:$J$10001,0)),"")</f>
        <v/>
      </c>
    </row>
    <row r="2497">
      <c r="A2497">
        <f>IFERROR(INDEX('Email Cleaner'!$B$2:$B$10001,MATCH(2496,'Email Cleaner'!$J$2:$J$10001,0)),"")</f>
        <v/>
      </c>
    </row>
    <row r="2498">
      <c r="A2498">
        <f>IFERROR(INDEX('Email Cleaner'!$B$2:$B$10001,MATCH(2497,'Email Cleaner'!$J$2:$J$10001,0)),"")</f>
        <v/>
      </c>
    </row>
    <row r="2499">
      <c r="A2499">
        <f>IFERROR(INDEX('Email Cleaner'!$B$2:$B$10001,MATCH(2498,'Email Cleaner'!$J$2:$J$10001,0)),"")</f>
        <v/>
      </c>
    </row>
    <row r="2500">
      <c r="A2500">
        <f>IFERROR(INDEX('Email Cleaner'!$B$2:$B$10001,MATCH(2499,'Email Cleaner'!$J$2:$J$10001,0)),"")</f>
        <v/>
      </c>
    </row>
    <row r="2501">
      <c r="A2501">
        <f>IFERROR(INDEX('Email Cleaner'!$B$2:$B$10001,MATCH(2500,'Email Cleaner'!$J$2:$J$10001,0)),"")</f>
        <v/>
      </c>
    </row>
    <row r="2502">
      <c r="A2502">
        <f>IFERROR(INDEX('Email Cleaner'!$B$2:$B$10001,MATCH(2501,'Email Cleaner'!$J$2:$J$10001,0)),"")</f>
        <v/>
      </c>
    </row>
    <row r="2503">
      <c r="A2503">
        <f>IFERROR(INDEX('Email Cleaner'!$B$2:$B$10001,MATCH(2502,'Email Cleaner'!$J$2:$J$10001,0)),"")</f>
        <v/>
      </c>
    </row>
    <row r="2504">
      <c r="A2504">
        <f>IFERROR(INDEX('Email Cleaner'!$B$2:$B$10001,MATCH(2503,'Email Cleaner'!$J$2:$J$10001,0)),"")</f>
        <v/>
      </c>
    </row>
    <row r="2505">
      <c r="A2505">
        <f>IFERROR(INDEX('Email Cleaner'!$B$2:$B$10001,MATCH(2504,'Email Cleaner'!$J$2:$J$10001,0)),"")</f>
        <v/>
      </c>
    </row>
    <row r="2506">
      <c r="A2506">
        <f>IFERROR(INDEX('Email Cleaner'!$B$2:$B$10001,MATCH(2505,'Email Cleaner'!$J$2:$J$10001,0)),"")</f>
        <v/>
      </c>
    </row>
    <row r="2507">
      <c r="A2507">
        <f>IFERROR(INDEX('Email Cleaner'!$B$2:$B$10001,MATCH(2506,'Email Cleaner'!$J$2:$J$10001,0)),"")</f>
        <v/>
      </c>
    </row>
    <row r="2508">
      <c r="A2508">
        <f>IFERROR(INDEX('Email Cleaner'!$B$2:$B$10001,MATCH(2507,'Email Cleaner'!$J$2:$J$10001,0)),"")</f>
        <v/>
      </c>
    </row>
    <row r="2509">
      <c r="A2509">
        <f>IFERROR(INDEX('Email Cleaner'!$B$2:$B$10001,MATCH(2508,'Email Cleaner'!$J$2:$J$10001,0)),"")</f>
        <v/>
      </c>
    </row>
    <row r="2510">
      <c r="A2510">
        <f>IFERROR(INDEX('Email Cleaner'!$B$2:$B$10001,MATCH(2509,'Email Cleaner'!$J$2:$J$10001,0)),"")</f>
        <v/>
      </c>
    </row>
    <row r="2511">
      <c r="A2511">
        <f>IFERROR(INDEX('Email Cleaner'!$B$2:$B$10001,MATCH(2510,'Email Cleaner'!$J$2:$J$10001,0)),"")</f>
        <v/>
      </c>
    </row>
    <row r="2512">
      <c r="A2512">
        <f>IFERROR(INDEX('Email Cleaner'!$B$2:$B$10001,MATCH(2511,'Email Cleaner'!$J$2:$J$10001,0)),"")</f>
        <v/>
      </c>
    </row>
    <row r="2513">
      <c r="A2513">
        <f>IFERROR(INDEX('Email Cleaner'!$B$2:$B$10001,MATCH(2512,'Email Cleaner'!$J$2:$J$10001,0)),"")</f>
        <v/>
      </c>
    </row>
    <row r="2514">
      <c r="A2514">
        <f>IFERROR(INDEX('Email Cleaner'!$B$2:$B$10001,MATCH(2513,'Email Cleaner'!$J$2:$J$10001,0)),"")</f>
        <v/>
      </c>
    </row>
    <row r="2515">
      <c r="A2515">
        <f>IFERROR(INDEX('Email Cleaner'!$B$2:$B$10001,MATCH(2514,'Email Cleaner'!$J$2:$J$10001,0)),"")</f>
        <v/>
      </c>
    </row>
    <row r="2516">
      <c r="A2516">
        <f>IFERROR(INDEX('Email Cleaner'!$B$2:$B$10001,MATCH(2515,'Email Cleaner'!$J$2:$J$10001,0)),"")</f>
        <v/>
      </c>
    </row>
    <row r="2517">
      <c r="A2517">
        <f>IFERROR(INDEX('Email Cleaner'!$B$2:$B$10001,MATCH(2516,'Email Cleaner'!$J$2:$J$10001,0)),"")</f>
        <v/>
      </c>
    </row>
    <row r="2518">
      <c r="A2518">
        <f>IFERROR(INDEX('Email Cleaner'!$B$2:$B$10001,MATCH(2517,'Email Cleaner'!$J$2:$J$10001,0)),"")</f>
        <v/>
      </c>
    </row>
    <row r="2519">
      <c r="A2519">
        <f>IFERROR(INDEX('Email Cleaner'!$B$2:$B$10001,MATCH(2518,'Email Cleaner'!$J$2:$J$10001,0)),"")</f>
        <v/>
      </c>
    </row>
    <row r="2520">
      <c r="A2520">
        <f>IFERROR(INDEX('Email Cleaner'!$B$2:$B$10001,MATCH(2519,'Email Cleaner'!$J$2:$J$10001,0)),"")</f>
        <v/>
      </c>
    </row>
    <row r="2521">
      <c r="A2521">
        <f>IFERROR(INDEX('Email Cleaner'!$B$2:$B$10001,MATCH(2520,'Email Cleaner'!$J$2:$J$10001,0)),"")</f>
        <v/>
      </c>
    </row>
    <row r="2522">
      <c r="A2522">
        <f>IFERROR(INDEX('Email Cleaner'!$B$2:$B$10001,MATCH(2521,'Email Cleaner'!$J$2:$J$10001,0)),"")</f>
        <v/>
      </c>
    </row>
    <row r="2523">
      <c r="A2523">
        <f>IFERROR(INDEX('Email Cleaner'!$B$2:$B$10001,MATCH(2522,'Email Cleaner'!$J$2:$J$10001,0)),"")</f>
        <v/>
      </c>
    </row>
    <row r="2524">
      <c r="A2524">
        <f>IFERROR(INDEX('Email Cleaner'!$B$2:$B$10001,MATCH(2523,'Email Cleaner'!$J$2:$J$10001,0)),"")</f>
        <v/>
      </c>
    </row>
    <row r="2525">
      <c r="A2525">
        <f>IFERROR(INDEX('Email Cleaner'!$B$2:$B$10001,MATCH(2524,'Email Cleaner'!$J$2:$J$10001,0)),"")</f>
        <v/>
      </c>
    </row>
    <row r="2526">
      <c r="A2526">
        <f>IFERROR(INDEX('Email Cleaner'!$B$2:$B$10001,MATCH(2525,'Email Cleaner'!$J$2:$J$10001,0)),"")</f>
        <v/>
      </c>
    </row>
    <row r="2527">
      <c r="A2527">
        <f>IFERROR(INDEX('Email Cleaner'!$B$2:$B$10001,MATCH(2526,'Email Cleaner'!$J$2:$J$10001,0)),"")</f>
        <v/>
      </c>
    </row>
    <row r="2528">
      <c r="A2528">
        <f>IFERROR(INDEX('Email Cleaner'!$B$2:$B$10001,MATCH(2527,'Email Cleaner'!$J$2:$J$10001,0)),"")</f>
        <v/>
      </c>
    </row>
    <row r="2529">
      <c r="A2529">
        <f>IFERROR(INDEX('Email Cleaner'!$B$2:$B$10001,MATCH(2528,'Email Cleaner'!$J$2:$J$10001,0)),"")</f>
        <v/>
      </c>
    </row>
    <row r="2530">
      <c r="A2530">
        <f>IFERROR(INDEX('Email Cleaner'!$B$2:$B$10001,MATCH(2529,'Email Cleaner'!$J$2:$J$10001,0)),"")</f>
        <v/>
      </c>
    </row>
    <row r="2531">
      <c r="A2531">
        <f>IFERROR(INDEX('Email Cleaner'!$B$2:$B$10001,MATCH(2530,'Email Cleaner'!$J$2:$J$10001,0)),"")</f>
        <v/>
      </c>
    </row>
    <row r="2532">
      <c r="A2532">
        <f>IFERROR(INDEX('Email Cleaner'!$B$2:$B$10001,MATCH(2531,'Email Cleaner'!$J$2:$J$10001,0)),"")</f>
        <v/>
      </c>
    </row>
    <row r="2533">
      <c r="A2533">
        <f>IFERROR(INDEX('Email Cleaner'!$B$2:$B$10001,MATCH(2532,'Email Cleaner'!$J$2:$J$10001,0)),"")</f>
        <v/>
      </c>
    </row>
    <row r="2534">
      <c r="A2534">
        <f>IFERROR(INDEX('Email Cleaner'!$B$2:$B$10001,MATCH(2533,'Email Cleaner'!$J$2:$J$10001,0)),"")</f>
        <v/>
      </c>
    </row>
    <row r="2535">
      <c r="A2535">
        <f>IFERROR(INDEX('Email Cleaner'!$B$2:$B$10001,MATCH(2534,'Email Cleaner'!$J$2:$J$10001,0)),"")</f>
        <v/>
      </c>
    </row>
    <row r="2536">
      <c r="A2536">
        <f>IFERROR(INDEX('Email Cleaner'!$B$2:$B$10001,MATCH(2535,'Email Cleaner'!$J$2:$J$10001,0)),"")</f>
        <v/>
      </c>
    </row>
    <row r="2537">
      <c r="A2537">
        <f>IFERROR(INDEX('Email Cleaner'!$B$2:$B$10001,MATCH(2536,'Email Cleaner'!$J$2:$J$10001,0)),"")</f>
        <v/>
      </c>
    </row>
    <row r="2538">
      <c r="A2538">
        <f>IFERROR(INDEX('Email Cleaner'!$B$2:$B$10001,MATCH(2537,'Email Cleaner'!$J$2:$J$10001,0)),"")</f>
        <v/>
      </c>
    </row>
    <row r="2539">
      <c r="A2539">
        <f>IFERROR(INDEX('Email Cleaner'!$B$2:$B$10001,MATCH(2538,'Email Cleaner'!$J$2:$J$10001,0)),"")</f>
        <v/>
      </c>
    </row>
    <row r="2540">
      <c r="A2540">
        <f>IFERROR(INDEX('Email Cleaner'!$B$2:$B$10001,MATCH(2539,'Email Cleaner'!$J$2:$J$10001,0)),"")</f>
        <v/>
      </c>
    </row>
    <row r="2541">
      <c r="A2541">
        <f>IFERROR(INDEX('Email Cleaner'!$B$2:$B$10001,MATCH(2540,'Email Cleaner'!$J$2:$J$10001,0)),"")</f>
        <v/>
      </c>
    </row>
    <row r="2542">
      <c r="A2542">
        <f>IFERROR(INDEX('Email Cleaner'!$B$2:$B$10001,MATCH(2541,'Email Cleaner'!$J$2:$J$10001,0)),"")</f>
        <v/>
      </c>
    </row>
    <row r="2543">
      <c r="A2543">
        <f>IFERROR(INDEX('Email Cleaner'!$B$2:$B$10001,MATCH(2542,'Email Cleaner'!$J$2:$J$10001,0)),"")</f>
        <v/>
      </c>
    </row>
    <row r="2544">
      <c r="A2544">
        <f>IFERROR(INDEX('Email Cleaner'!$B$2:$B$10001,MATCH(2543,'Email Cleaner'!$J$2:$J$10001,0)),"")</f>
        <v/>
      </c>
    </row>
    <row r="2545">
      <c r="A2545">
        <f>IFERROR(INDEX('Email Cleaner'!$B$2:$B$10001,MATCH(2544,'Email Cleaner'!$J$2:$J$10001,0)),"")</f>
        <v/>
      </c>
    </row>
    <row r="2546">
      <c r="A2546">
        <f>IFERROR(INDEX('Email Cleaner'!$B$2:$B$10001,MATCH(2545,'Email Cleaner'!$J$2:$J$10001,0)),"")</f>
        <v/>
      </c>
    </row>
    <row r="2547">
      <c r="A2547">
        <f>IFERROR(INDEX('Email Cleaner'!$B$2:$B$10001,MATCH(2546,'Email Cleaner'!$J$2:$J$10001,0)),"")</f>
        <v/>
      </c>
    </row>
    <row r="2548">
      <c r="A2548">
        <f>IFERROR(INDEX('Email Cleaner'!$B$2:$B$10001,MATCH(2547,'Email Cleaner'!$J$2:$J$10001,0)),"")</f>
        <v/>
      </c>
    </row>
    <row r="2549">
      <c r="A2549">
        <f>IFERROR(INDEX('Email Cleaner'!$B$2:$B$10001,MATCH(2548,'Email Cleaner'!$J$2:$J$10001,0)),"")</f>
        <v/>
      </c>
    </row>
    <row r="2550">
      <c r="A2550">
        <f>IFERROR(INDEX('Email Cleaner'!$B$2:$B$10001,MATCH(2549,'Email Cleaner'!$J$2:$J$10001,0)),"")</f>
        <v/>
      </c>
    </row>
    <row r="2551">
      <c r="A2551">
        <f>IFERROR(INDEX('Email Cleaner'!$B$2:$B$10001,MATCH(2550,'Email Cleaner'!$J$2:$J$10001,0)),"")</f>
        <v/>
      </c>
    </row>
    <row r="2552">
      <c r="A2552">
        <f>IFERROR(INDEX('Email Cleaner'!$B$2:$B$10001,MATCH(2551,'Email Cleaner'!$J$2:$J$10001,0)),"")</f>
        <v/>
      </c>
    </row>
    <row r="2553">
      <c r="A2553">
        <f>IFERROR(INDEX('Email Cleaner'!$B$2:$B$10001,MATCH(2552,'Email Cleaner'!$J$2:$J$10001,0)),"")</f>
        <v/>
      </c>
    </row>
    <row r="2554">
      <c r="A2554">
        <f>IFERROR(INDEX('Email Cleaner'!$B$2:$B$10001,MATCH(2553,'Email Cleaner'!$J$2:$J$10001,0)),"")</f>
        <v/>
      </c>
    </row>
    <row r="2555">
      <c r="A2555">
        <f>IFERROR(INDEX('Email Cleaner'!$B$2:$B$10001,MATCH(2554,'Email Cleaner'!$J$2:$J$10001,0)),"")</f>
        <v/>
      </c>
    </row>
    <row r="2556">
      <c r="A2556">
        <f>IFERROR(INDEX('Email Cleaner'!$B$2:$B$10001,MATCH(2555,'Email Cleaner'!$J$2:$J$10001,0)),"")</f>
        <v/>
      </c>
    </row>
    <row r="2557">
      <c r="A2557">
        <f>IFERROR(INDEX('Email Cleaner'!$B$2:$B$10001,MATCH(2556,'Email Cleaner'!$J$2:$J$10001,0)),"")</f>
        <v/>
      </c>
    </row>
    <row r="2558">
      <c r="A2558">
        <f>IFERROR(INDEX('Email Cleaner'!$B$2:$B$10001,MATCH(2557,'Email Cleaner'!$J$2:$J$10001,0)),"")</f>
        <v/>
      </c>
    </row>
    <row r="2559">
      <c r="A2559">
        <f>IFERROR(INDEX('Email Cleaner'!$B$2:$B$10001,MATCH(2558,'Email Cleaner'!$J$2:$J$10001,0)),"")</f>
        <v/>
      </c>
    </row>
    <row r="2560">
      <c r="A2560">
        <f>IFERROR(INDEX('Email Cleaner'!$B$2:$B$10001,MATCH(2559,'Email Cleaner'!$J$2:$J$10001,0)),"")</f>
        <v/>
      </c>
    </row>
    <row r="2561">
      <c r="A2561">
        <f>IFERROR(INDEX('Email Cleaner'!$B$2:$B$10001,MATCH(2560,'Email Cleaner'!$J$2:$J$10001,0)),"")</f>
        <v/>
      </c>
    </row>
    <row r="2562">
      <c r="A2562">
        <f>IFERROR(INDEX('Email Cleaner'!$B$2:$B$10001,MATCH(2561,'Email Cleaner'!$J$2:$J$10001,0)),"")</f>
        <v/>
      </c>
    </row>
    <row r="2563">
      <c r="A2563">
        <f>IFERROR(INDEX('Email Cleaner'!$B$2:$B$10001,MATCH(2562,'Email Cleaner'!$J$2:$J$10001,0)),"")</f>
        <v/>
      </c>
    </row>
    <row r="2564">
      <c r="A2564">
        <f>IFERROR(INDEX('Email Cleaner'!$B$2:$B$10001,MATCH(2563,'Email Cleaner'!$J$2:$J$10001,0)),"")</f>
        <v/>
      </c>
    </row>
    <row r="2565">
      <c r="A2565">
        <f>IFERROR(INDEX('Email Cleaner'!$B$2:$B$10001,MATCH(2564,'Email Cleaner'!$J$2:$J$10001,0)),"")</f>
        <v/>
      </c>
    </row>
    <row r="2566">
      <c r="A2566">
        <f>IFERROR(INDEX('Email Cleaner'!$B$2:$B$10001,MATCH(2565,'Email Cleaner'!$J$2:$J$10001,0)),"")</f>
        <v/>
      </c>
    </row>
    <row r="2567">
      <c r="A2567">
        <f>IFERROR(INDEX('Email Cleaner'!$B$2:$B$10001,MATCH(2566,'Email Cleaner'!$J$2:$J$10001,0)),"")</f>
        <v/>
      </c>
    </row>
    <row r="2568">
      <c r="A2568">
        <f>IFERROR(INDEX('Email Cleaner'!$B$2:$B$10001,MATCH(2567,'Email Cleaner'!$J$2:$J$10001,0)),"")</f>
        <v/>
      </c>
    </row>
    <row r="2569">
      <c r="A2569">
        <f>IFERROR(INDEX('Email Cleaner'!$B$2:$B$10001,MATCH(2568,'Email Cleaner'!$J$2:$J$10001,0)),"")</f>
        <v/>
      </c>
    </row>
    <row r="2570">
      <c r="A2570">
        <f>IFERROR(INDEX('Email Cleaner'!$B$2:$B$10001,MATCH(2569,'Email Cleaner'!$J$2:$J$10001,0)),"")</f>
        <v/>
      </c>
    </row>
    <row r="2571">
      <c r="A2571">
        <f>IFERROR(INDEX('Email Cleaner'!$B$2:$B$10001,MATCH(2570,'Email Cleaner'!$J$2:$J$10001,0)),"")</f>
        <v/>
      </c>
    </row>
    <row r="2572">
      <c r="A2572">
        <f>IFERROR(INDEX('Email Cleaner'!$B$2:$B$10001,MATCH(2571,'Email Cleaner'!$J$2:$J$10001,0)),"")</f>
        <v/>
      </c>
    </row>
    <row r="2573">
      <c r="A2573">
        <f>IFERROR(INDEX('Email Cleaner'!$B$2:$B$10001,MATCH(2572,'Email Cleaner'!$J$2:$J$10001,0)),"")</f>
        <v/>
      </c>
    </row>
    <row r="2574">
      <c r="A2574">
        <f>IFERROR(INDEX('Email Cleaner'!$B$2:$B$10001,MATCH(2573,'Email Cleaner'!$J$2:$J$10001,0)),"")</f>
        <v/>
      </c>
    </row>
    <row r="2575">
      <c r="A2575">
        <f>IFERROR(INDEX('Email Cleaner'!$B$2:$B$10001,MATCH(2574,'Email Cleaner'!$J$2:$J$10001,0)),"")</f>
        <v/>
      </c>
    </row>
    <row r="2576">
      <c r="A2576">
        <f>IFERROR(INDEX('Email Cleaner'!$B$2:$B$10001,MATCH(2575,'Email Cleaner'!$J$2:$J$10001,0)),"")</f>
        <v/>
      </c>
    </row>
    <row r="2577">
      <c r="A2577">
        <f>IFERROR(INDEX('Email Cleaner'!$B$2:$B$10001,MATCH(2576,'Email Cleaner'!$J$2:$J$10001,0)),"")</f>
        <v/>
      </c>
    </row>
    <row r="2578">
      <c r="A2578">
        <f>IFERROR(INDEX('Email Cleaner'!$B$2:$B$10001,MATCH(2577,'Email Cleaner'!$J$2:$J$10001,0)),"")</f>
        <v/>
      </c>
    </row>
    <row r="2579">
      <c r="A2579">
        <f>IFERROR(INDEX('Email Cleaner'!$B$2:$B$10001,MATCH(2578,'Email Cleaner'!$J$2:$J$10001,0)),"")</f>
        <v/>
      </c>
    </row>
    <row r="2580">
      <c r="A2580">
        <f>IFERROR(INDEX('Email Cleaner'!$B$2:$B$10001,MATCH(2579,'Email Cleaner'!$J$2:$J$10001,0)),"")</f>
        <v/>
      </c>
    </row>
    <row r="2581">
      <c r="A2581">
        <f>IFERROR(INDEX('Email Cleaner'!$B$2:$B$10001,MATCH(2580,'Email Cleaner'!$J$2:$J$10001,0)),"")</f>
        <v/>
      </c>
    </row>
    <row r="2582">
      <c r="A2582">
        <f>IFERROR(INDEX('Email Cleaner'!$B$2:$B$10001,MATCH(2581,'Email Cleaner'!$J$2:$J$10001,0)),"")</f>
        <v/>
      </c>
    </row>
    <row r="2583">
      <c r="A2583">
        <f>IFERROR(INDEX('Email Cleaner'!$B$2:$B$10001,MATCH(2582,'Email Cleaner'!$J$2:$J$10001,0)),"")</f>
        <v/>
      </c>
    </row>
    <row r="2584">
      <c r="A2584">
        <f>IFERROR(INDEX('Email Cleaner'!$B$2:$B$10001,MATCH(2583,'Email Cleaner'!$J$2:$J$10001,0)),"")</f>
        <v/>
      </c>
    </row>
    <row r="2585">
      <c r="A2585">
        <f>IFERROR(INDEX('Email Cleaner'!$B$2:$B$10001,MATCH(2584,'Email Cleaner'!$J$2:$J$10001,0)),"")</f>
        <v/>
      </c>
    </row>
    <row r="2586">
      <c r="A2586">
        <f>IFERROR(INDEX('Email Cleaner'!$B$2:$B$10001,MATCH(2585,'Email Cleaner'!$J$2:$J$10001,0)),"")</f>
        <v/>
      </c>
    </row>
    <row r="2587">
      <c r="A2587">
        <f>IFERROR(INDEX('Email Cleaner'!$B$2:$B$10001,MATCH(2586,'Email Cleaner'!$J$2:$J$10001,0)),"")</f>
        <v/>
      </c>
    </row>
    <row r="2588">
      <c r="A2588">
        <f>IFERROR(INDEX('Email Cleaner'!$B$2:$B$10001,MATCH(2587,'Email Cleaner'!$J$2:$J$10001,0)),"")</f>
        <v/>
      </c>
    </row>
    <row r="2589">
      <c r="A2589">
        <f>IFERROR(INDEX('Email Cleaner'!$B$2:$B$10001,MATCH(2588,'Email Cleaner'!$J$2:$J$10001,0)),"")</f>
        <v/>
      </c>
    </row>
    <row r="2590">
      <c r="A2590">
        <f>IFERROR(INDEX('Email Cleaner'!$B$2:$B$10001,MATCH(2589,'Email Cleaner'!$J$2:$J$10001,0)),"")</f>
        <v/>
      </c>
    </row>
    <row r="2591">
      <c r="A2591">
        <f>IFERROR(INDEX('Email Cleaner'!$B$2:$B$10001,MATCH(2590,'Email Cleaner'!$J$2:$J$10001,0)),"")</f>
        <v/>
      </c>
    </row>
    <row r="2592">
      <c r="A2592">
        <f>IFERROR(INDEX('Email Cleaner'!$B$2:$B$10001,MATCH(2591,'Email Cleaner'!$J$2:$J$10001,0)),"")</f>
        <v/>
      </c>
    </row>
    <row r="2593">
      <c r="A2593">
        <f>IFERROR(INDEX('Email Cleaner'!$B$2:$B$10001,MATCH(2592,'Email Cleaner'!$J$2:$J$10001,0)),"")</f>
        <v/>
      </c>
    </row>
    <row r="2594">
      <c r="A2594">
        <f>IFERROR(INDEX('Email Cleaner'!$B$2:$B$10001,MATCH(2593,'Email Cleaner'!$J$2:$J$10001,0)),"")</f>
        <v/>
      </c>
    </row>
    <row r="2595">
      <c r="A2595">
        <f>IFERROR(INDEX('Email Cleaner'!$B$2:$B$10001,MATCH(2594,'Email Cleaner'!$J$2:$J$10001,0)),"")</f>
        <v/>
      </c>
    </row>
    <row r="2596">
      <c r="A2596">
        <f>IFERROR(INDEX('Email Cleaner'!$B$2:$B$10001,MATCH(2595,'Email Cleaner'!$J$2:$J$10001,0)),"")</f>
        <v/>
      </c>
    </row>
    <row r="2597">
      <c r="A2597">
        <f>IFERROR(INDEX('Email Cleaner'!$B$2:$B$10001,MATCH(2596,'Email Cleaner'!$J$2:$J$10001,0)),"")</f>
        <v/>
      </c>
    </row>
    <row r="2598">
      <c r="A2598">
        <f>IFERROR(INDEX('Email Cleaner'!$B$2:$B$10001,MATCH(2597,'Email Cleaner'!$J$2:$J$10001,0)),"")</f>
        <v/>
      </c>
    </row>
    <row r="2599">
      <c r="A2599">
        <f>IFERROR(INDEX('Email Cleaner'!$B$2:$B$10001,MATCH(2598,'Email Cleaner'!$J$2:$J$10001,0)),"")</f>
        <v/>
      </c>
    </row>
    <row r="2600">
      <c r="A2600">
        <f>IFERROR(INDEX('Email Cleaner'!$B$2:$B$10001,MATCH(2599,'Email Cleaner'!$J$2:$J$10001,0)),"")</f>
        <v/>
      </c>
    </row>
    <row r="2601">
      <c r="A2601">
        <f>IFERROR(INDEX('Email Cleaner'!$B$2:$B$10001,MATCH(2600,'Email Cleaner'!$J$2:$J$10001,0)),"")</f>
        <v/>
      </c>
    </row>
    <row r="2602">
      <c r="A2602">
        <f>IFERROR(INDEX('Email Cleaner'!$B$2:$B$10001,MATCH(2601,'Email Cleaner'!$J$2:$J$10001,0)),"")</f>
        <v/>
      </c>
    </row>
    <row r="2603">
      <c r="A2603">
        <f>IFERROR(INDEX('Email Cleaner'!$B$2:$B$10001,MATCH(2602,'Email Cleaner'!$J$2:$J$10001,0)),"")</f>
        <v/>
      </c>
    </row>
    <row r="2604">
      <c r="A2604">
        <f>IFERROR(INDEX('Email Cleaner'!$B$2:$B$10001,MATCH(2603,'Email Cleaner'!$J$2:$J$10001,0)),"")</f>
        <v/>
      </c>
    </row>
    <row r="2605">
      <c r="A2605">
        <f>IFERROR(INDEX('Email Cleaner'!$B$2:$B$10001,MATCH(2604,'Email Cleaner'!$J$2:$J$10001,0)),"")</f>
        <v/>
      </c>
    </row>
    <row r="2606">
      <c r="A2606">
        <f>IFERROR(INDEX('Email Cleaner'!$B$2:$B$10001,MATCH(2605,'Email Cleaner'!$J$2:$J$10001,0)),"")</f>
        <v/>
      </c>
    </row>
    <row r="2607">
      <c r="A2607">
        <f>IFERROR(INDEX('Email Cleaner'!$B$2:$B$10001,MATCH(2606,'Email Cleaner'!$J$2:$J$10001,0)),"")</f>
        <v/>
      </c>
    </row>
    <row r="2608">
      <c r="A2608">
        <f>IFERROR(INDEX('Email Cleaner'!$B$2:$B$10001,MATCH(2607,'Email Cleaner'!$J$2:$J$10001,0)),"")</f>
        <v/>
      </c>
    </row>
    <row r="2609">
      <c r="A2609">
        <f>IFERROR(INDEX('Email Cleaner'!$B$2:$B$10001,MATCH(2608,'Email Cleaner'!$J$2:$J$10001,0)),"")</f>
        <v/>
      </c>
    </row>
    <row r="2610">
      <c r="A2610">
        <f>IFERROR(INDEX('Email Cleaner'!$B$2:$B$10001,MATCH(2609,'Email Cleaner'!$J$2:$J$10001,0)),"")</f>
        <v/>
      </c>
    </row>
    <row r="2611">
      <c r="A2611">
        <f>IFERROR(INDEX('Email Cleaner'!$B$2:$B$10001,MATCH(2610,'Email Cleaner'!$J$2:$J$10001,0)),"")</f>
        <v/>
      </c>
    </row>
    <row r="2612">
      <c r="A2612">
        <f>IFERROR(INDEX('Email Cleaner'!$B$2:$B$10001,MATCH(2611,'Email Cleaner'!$J$2:$J$10001,0)),"")</f>
        <v/>
      </c>
    </row>
    <row r="2613">
      <c r="A2613">
        <f>IFERROR(INDEX('Email Cleaner'!$B$2:$B$10001,MATCH(2612,'Email Cleaner'!$J$2:$J$10001,0)),"")</f>
        <v/>
      </c>
    </row>
    <row r="2614">
      <c r="A2614">
        <f>IFERROR(INDEX('Email Cleaner'!$B$2:$B$10001,MATCH(2613,'Email Cleaner'!$J$2:$J$10001,0)),"")</f>
        <v/>
      </c>
    </row>
    <row r="2615">
      <c r="A2615">
        <f>IFERROR(INDEX('Email Cleaner'!$B$2:$B$10001,MATCH(2614,'Email Cleaner'!$J$2:$J$10001,0)),"")</f>
        <v/>
      </c>
    </row>
    <row r="2616">
      <c r="A2616">
        <f>IFERROR(INDEX('Email Cleaner'!$B$2:$B$10001,MATCH(2615,'Email Cleaner'!$J$2:$J$10001,0)),"")</f>
        <v/>
      </c>
    </row>
    <row r="2617">
      <c r="A2617">
        <f>IFERROR(INDEX('Email Cleaner'!$B$2:$B$10001,MATCH(2616,'Email Cleaner'!$J$2:$J$10001,0)),"")</f>
        <v/>
      </c>
    </row>
    <row r="2618">
      <c r="A2618">
        <f>IFERROR(INDEX('Email Cleaner'!$B$2:$B$10001,MATCH(2617,'Email Cleaner'!$J$2:$J$10001,0)),"")</f>
        <v/>
      </c>
    </row>
    <row r="2619">
      <c r="A2619">
        <f>IFERROR(INDEX('Email Cleaner'!$B$2:$B$10001,MATCH(2618,'Email Cleaner'!$J$2:$J$10001,0)),"")</f>
        <v/>
      </c>
    </row>
    <row r="2620">
      <c r="A2620">
        <f>IFERROR(INDEX('Email Cleaner'!$B$2:$B$10001,MATCH(2619,'Email Cleaner'!$J$2:$J$10001,0)),"")</f>
        <v/>
      </c>
    </row>
    <row r="2621">
      <c r="A2621">
        <f>IFERROR(INDEX('Email Cleaner'!$B$2:$B$10001,MATCH(2620,'Email Cleaner'!$J$2:$J$10001,0)),"")</f>
        <v/>
      </c>
    </row>
    <row r="2622">
      <c r="A2622">
        <f>IFERROR(INDEX('Email Cleaner'!$B$2:$B$10001,MATCH(2621,'Email Cleaner'!$J$2:$J$10001,0)),"")</f>
        <v/>
      </c>
    </row>
    <row r="2623">
      <c r="A2623">
        <f>IFERROR(INDEX('Email Cleaner'!$B$2:$B$10001,MATCH(2622,'Email Cleaner'!$J$2:$J$10001,0)),"")</f>
        <v/>
      </c>
    </row>
    <row r="2624">
      <c r="A2624">
        <f>IFERROR(INDEX('Email Cleaner'!$B$2:$B$10001,MATCH(2623,'Email Cleaner'!$J$2:$J$10001,0)),"")</f>
        <v/>
      </c>
    </row>
    <row r="2625">
      <c r="A2625">
        <f>IFERROR(INDEX('Email Cleaner'!$B$2:$B$10001,MATCH(2624,'Email Cleaner'!$J$2:$J$10001,0)),"")</f>
        <v/>
      </c>
    </row>
    <row r="2626">
      <c r="A2626">
        <f>IFERROR(INDEX('Email Cleaner'!$B$2:$B$10001,MATCH(2625,'Email Cleaner'!$J$2:$J$10001,0)),"")</f>
        <v/>
      </c>
    </row>
    <row r="2627">
      <c r="A2627">
        <f>IFERROR(INDEX('Email Cleaner'!$B$2:$B$10001,MATCH(2626,'Email Cleaner'!$J$2:$J$10001,0)),"")</f>
        <v/>
      </c>
    </row>
    <row r="2628">
      <c r="A2628">
        <f>IFERROR(INDEX('Email Cleaner'!$B$2:$B$10001,MATCH(2627,'Email Cleaner'!$J$2:$J$10001,0)),"")</f>
        <v/>
      </c>
    </row>
    <row r="2629">
      <c r="A2629">
        <f>IFERROR(INDEX('Email Cleaner'!$B$2:$B$10001,MATCH(2628,'Email Cleaner'!$J$2:$J$10001,0)),"")</f>
        <v/>
      </c>
    </row>
    <row r="2630">
      <c r="A2630">
        <f>IFERROR(INDEX('Email Cleaner'!$B$2:$B$10001,MATCH(2629,'Email Cleaner'!$J$2:$J$10001,0)),"")</f>
        <v/>
      </c>
    </row>
    <row r="2631">
      <c r="A2631">
        <f>IFERROR(INDEX('Email Cleaner'!$B$2:$B$10001,MATCH(2630,'Email Cleaner'!$J$2:$J$10001,0)),"")</f>
        <v/>
      </c>
    </row>
    <row r="2632">
      <c r="A2632">
        <f>IFERROR(INDEX('Email Cleaner'!$B$2:$B$10001,MATCH(2631,'Email Cleaner'!$J$2:$J$10001,0)),"")</f>
        <v/>
      </c>
    </row>
    <row r="2633">
      <c r="A2633">
        <f>IFERROR(INDEX('Email Cleaner'!$B$2:$B$10001,MATCH(2632,'Email Cleaner'!$J$2:$J$10001,0)),"")</f>
        <v/>
      </c>
    </row>
    <row r="2634">
      <c r="A2634">
        <f>IFERROR(INDEX('Email Cleaner'!$B$2:$B$10001,MATCH(2633,'Email Cleaner'!$J$2:$J$10001,0)),"")</f>
        <v/>
      </c>
    </row>
    <row r="2635">
      <c r="A2635">
        <f>IFERROR(INDEX('Email Cleaner'!$B$2:$B$10001,MATCH(2634,'Email Cleaner'!$J$2:$J$10001,0)),"")</f>
        <v/>
      </c>
    </row>
    <row r="2636">
      <c r="A2636">
        <f>IFERROR(INDEX('Email Cleaner'!$B$2:$B$10001,MATCH(2635,'Email Cleaner'!$J$2:$J$10001,0)),"")</f>
        <v/>
      </c>
    </row>
    <row r="2637">
      <c r="A2637">
        <f>IFERROR(INDEX('Email Cleaner'!$B$2:$B$10001,MATCH(2636,'Email Cleaner'!$J$2:$J$10001,0)),"")</f>
        <v/>
      </c>
    </row>
    <row r="2638">
      <c r="A2638">
        <f>IFERROR(INDEX('Email Cleaner'!$B$2:$B$10001,MATCH(2637,'Email Cleaner'!$J$2:$J$10001,0)),"")</f>
        <v/>
      </c>
    </row>
    <row r="2639">
      <c r="A2639">
        <f>IFERROR(INDEX('Email Cleaner'!$B$2:$B$10001,MATCH(2638,'Email Cleaner'!$J$2:$J$10001,0)),"")</f>
        <v/>
      </c>
    </row>
    <row r="2640">
      <c r="A2640">
        <f>IFERROR(INDEX('Email Cleaner'!$B$2:$B$10001,MATCH(2639,'Email Cleaner'!$J$2:$J$10001,0)),"")</f>
        <v/>
      </c>
    </row>
    <row r="2641">
      <c r="A2641">
        <f>IFERROR(INDEX('Email Cleaner'!$B$2:$B$10001,MATCH(2640,'Email Cleaner'!$J$2:$J$10001,0)),"")</f>
        <v/>
      </c>
    </row>
    <row r="2642">
      <c r="A2642">
        <f>IFERROR(INDEX('Email Cleaner'!$B$2:$B$10001,MATCH(2641,'Email Cleaner'!$J$2:$J$10001,0)),"")</f>
        <v/>
      </c>
    </row>
    <row r="2643">
      <c r="A2643">
        <f>IFERROR(INDEX('Email Cleaner'!$B$2:$B$10001,MATCH(2642,'Email Cleaner'!$J$2:$J$10001,0)),"")</f>
        <v/>
      </c>
    </row>
    <row r="2644">
      <c r="A2644">
        <f>IFERROR(INDEX('Email Cleaner'!$B$2:$B$10001,MATCH(2643,'Email Cleaner'!$J$2:$J$10001,0)),"")</f>
        <v/>
      </c>
    </row>
    <row r="2645">
      <c r="A2645">
        <f>IFERROR(INDEX('Email Cleaner'!$B$2:$B$10001,MATCH(2644,'Email Cleaner'!$J$2:$J$10001,0)),"")</f>
        <v/>
      </c>
    </row>
    <row r="2646">
      <c r="A2646">
        <f>IFERROR(INDEX('Email Cleaner'!$B$2:$B$10001,MATCH(2645,'Email Cleaner'!$J$2:$J$10001,0)),"")</f>
        <v/>
      </c>
    </row>
    <row r="2647">
      <c r="A2647">
        <f>IFERROR(INDEX('Email Cleaner'!$B$2:$B$10001,MATCH(2646,'Email Cleaner'!$J$2:$J$10001,0)),"")</f>
        <v/>
      </c>
    </row>
    <row r="2648">
      <c r="A2648">
        <f>IFERROR(INDEX('Email Cleaner'!$B$2:$B$10001,MATCH(2647,'Email Cleaner'!$J$2:$J$10001,0)),"")</f>
        <v/>
      </c>
    </row>
    <row r="2649">
      <c r="A2649">
        <f>IFERROR(INDEX('Email Cleaner'!$B$2:$B$10001,MATCH(2648,'Email Cleaner'!$J$2:$J$10001,0)),"")</f>
        <v/>
      </c>
    </row>
    <row r="2650">
      <c r="A2650">
        <f>IFERROR(INDEX('Email Cleaner'!$B$2:$B$10001,MATCH(2649,'Email Cleaner'!$J$2:$J$10001,0)),"")</f>
        <v/>
      </c>
    </row>
    <row r="2651">
      <c r="A2651">
        <f>IFERROR(INDEX('Email Cleaner'!$B$2:$B$10001,MATCH(2650,'Email Cleaner'!$J$2:$J$10001,0)),"")</f>
        <v/>
      </c>
    </row>
    <row r="2652">
      <c r="A2652">
        <f>IFERROR(INDEX('Email Cleaner'!$B$2:$B$10001,MATCH(2651,'Email Cleaner'!$J$2:$J$10001,0)),"")</f>
        <v/>
      </c>
    </row>
    <row r="2653">
      <c r="A2653">
        <f>IFERROR(INDEX('Email Cleaner'!$B$2:$B$10001,MATCH(2652,'Email Cleaner'!$J$2:$J$10001,0)),"")</f>
        <v/>
      </c>
    </row>
    <row r="2654">
      <c r="A2654">
        <f>IFERROR(INDEX('Email Cleaner'!$B$2:$B$10001,MATCH(2653,'Email Cleaner'!$J$2:$J$10001,0)),"")</f>
        <v/>
      </c>
    </row>
    <row r="2655">
      <c r="A2655">
        <f>IFERROR(INDEX('Email Cleaner'!$B$2:$B$10001,MATCH(2654,'Email Cleaner'!$J$2:$J$10001,0)),"")</f>
        <v/>
      </c>
    </row>
    <row r="2656">
      <c r="A2656">
        <f>IFERROR(INDEX('Email Cleaner'!$B$2:$B$10001,MATCH(2655,'Email Cleaner'!$J$2:$J$10001,0)),"")</f>
        <v/>
      </c>
    </row>
    <row r="2657">
      <c r="A2657">
        <f>IFERROR(INDEX('Email Cleaner'!$B$2:$B$10001,MATCH(2656,'Email Cleaner'!$J$2:$J$10001,0)),"")</f>
        <v/>
      </c>
    </row>
    <row r="2658">
      <c r="A2658">
        <f>IFERROR(INDEX('Email Cleaner'!$B$2:$B$10001,MATCH(2657,'Email Cleaner'!$J$2:$J$10001,0)),"")</f>
        <v/>
      </c>
    </row>
    <row r="2659">
      <c r="A2659">
        <f>IFERROR(INDEX('Email Cleaner'!$B$2:$B$10001,MATCH(2658,'Email Cleaner'!$J$2:$J$10001,0)),"")</f>
        <v/>
      </c>
    </row>
    <row r="2660">
      <c r="A2660">
        <f>IFERROR(INDEX('Email Cleaner'!$B$2:$B$10001,MATCH(2659,'Email Cleaner'!$J$2:$J$10001,0)),"")</f>
        <v/>
      </c>
    </row>
    <row r="2661">
      <c r="A2661">
        <f>IFERROR(INDEX('Email Cleaner'!$B$2:$B$10001,MATCH(2660,'Email Cleaner'!$J$2:$J$10001,0)),"")</f>
        <v/>
      </c>
    </row>
    <row r="2662">
      <c r="A2662">
        <f>IFERROR(INDEX('Email Cleaner'!$B$2:$B$10001,MATCH(2661,'Email Cleaner'!$J$2:$J$10001,0)),"")</f>
        <v/>
      </c>
    </row>
    <row r="2663">
      <c r="A2663">
        <f>IFERROR(INDEX('Email Cleaner'!$B$2:$B$10001,MATCH(2662,'Email Cleaner'!$J$2:$J$10001,0)),"")</f>
        <v/>
      </c>
    </row>
    <row r="2664">
      <c r="A2664">
        <f>IFERROR(INDEX('Email Cleaner'!$B$2:$B$10001,MATCH(2663,'Email Cleaner'!$J$2:$J$10001,0)),"")</f>
        <v/>
      </c>
    </row>
    <row r="2665">
      <c r="A2665">
        <f>IFERROR(INDEX('Email Cleaner'!$B$2:$B$10001,MATCH(2664,'Email Cleaner'!$J$2:$J$10001,0)),"")</f>
        <v/>
      </c>
    </row>
    <row r="2666">
      <c r="A2666">
        <f>IFERROR(INDEX('Email Cleaner'!$B$2:$B$10001,MATCH(2665,'Email Cleaner'!$J$2:$J$10001,0)),"")</f>
        <v/>
      </c>
    </row>
    <row r="2667">
      <c r="A2667">
        <f>IFERROR(INDEX('Email Cleaner'!$B$2:$B$10001,MATCH(2666,'Email Cleaner'!$J$2:$J$10001,0)),"")</f>
        <v/>
      </c>
    </row>
    <row r="2668">
      <c r="A2668">
        <f>IFERROR(INDEX('Email Cleaner'!$B$2:$B$10001,MATCH(2667,'Email Cleaner'!$J$2:$J$10001,0)),"")</f>
        <v/>
      </c>
    </row>
    <row r="2669">
      <c r="A2669">
        <f>IFERROR(INDEX('Email Cleaner'!$B$2:$B$10001,MATCH(2668,'Email Cleaner'!$J$2:$J$10001,0)),"")</f>
        <v/>
      </c>
    </row>
    <row r="2670">
      <c r="A2670">
        <f>IFERROR(INDEX('Email Cleaner'!$B$2:$B$10001,MATCH(2669,'Email Cleaner'!$J$2:$J$10001,0)),"")</f>
        <v/>
      </c>
    </row>
    <row r="2671">
      <c r="A2671">
        <f>IFERROR(INDEX('Email Cleaner'!$B$2:$B$10001,MATCH(2670,'Email Cleaner'!$J$2:$J$10001,0)),"")</f>
        <v/>
      </c>
    </row>
    <row r="2672">
      <c r="A2672">
        <f>IFERROR(INDEX('Email Cleaner'!$B$2:$B$10001,MATCH(2671,'Email Cleaner'!$J$2:$J$10001,0)),"")</f>
        <v/>
      </c>
    </row>
    <row r="2673">
      <c r="A2673">
        <f>IFERROR(INDEX('Email Cleaner'!$B$2:$B$10001,MATCH(2672,'Email Cleaner'!$J$2:$J$10001,0)),"")</f>
        <v/>
      </c>
    </row>
    <row r="2674">
      <c r="A2674">
        <f>IFERROR(INDEX('Email Cleaner'!$B$2:$B$10001,MATCH(2673,'Email Cleaner'!$J$2:$J$10001,0)),"")</f>
        <v/>
      </c>
    </row>
    <row r="2675">
      <c r="A2675">
        <f>IFERROR(INDEX('Email Cleaner'!$B$2:$B$10001,MATCH(2674,'Email Cleaner'!$J$2:$J$10001,0)),"")</f>
        <v/>
      </c>
    </row>
    <row r="2676">
      <c r="A2676">
        <f>IFERROR(INDEX('Email Cleaner'!$B$2:$B$10001,MATCH(2675,'Email Cleaner'!$J$2:$J$10001,0)),"")</f>
        <v/>
      </c>
    </row>
    <row r="2677">
      <c r="A2677">
        <f>IFERROR(INDEX('Email Cleaner'!$B$2:$B$10001,MATCH(2676,'Email Cleaner'!$J$2:$J$10001,0)),"")</f>
        <v/>
      </c>
    </row>
    <row r="2678">
      <c r="A2678">
        <f>IFERROR(INDEX('Email Cleaner'!$B$2:$B$10001,MATCH(2677,'Email Cleaner'!$J$2:$J$10001,0)),"")</f>
        <v/>
      </c>
    </row>
    <row r="2679">
      <c r="A2679">
        <f>IFERROR(INDEX('Email Cleaner'!$B$2:$B$10001,MATCH(2678,'Email Cleaner'!$J$2:$J$10001,0)),"")</f>
        <v/>
      </c>
    </row>
    <row r="2680">
      <c r="A2680">
        <f>IFERROR(INDEX('Email Cleaner'!$B$2:$B$10001,MATCH(2679,'Email Cleaner'!$J$2:$J$10001,0)),"")</f>
        <v/>
      </c>
    </row>
    <row r="2681">
      <c r="A2681">
        <f>IFERROR(INDEX('Email Cleaner'!$B$2:$B$10001,MATCH(2680,'Email Cleaner'!$J$2:$J$10001,0)),"")</f>
        <v/>
      </c>
    </row>
    <row r="2682">
      <c r="A2682">
        <f>IFERROR(INDEX('Email Cleaner'!$B$2:$B$10001,MATCH(2681,'Email Cleaner'!$J$2:$J$10001,0)),"")</f>
        <v/>
      </c>
    </row>
    <row r="2683">
      <c r="A2683">
        <f>IFERROR(INDEX('Email Cleaner'!$B$2:$B$10001,MATCH(2682,'Email Cleaner'!$J$2:$J$10001,0)),"")</f>
        <v/>
      </c>
    </row>
    <row r="2684">
      <c r="A2684">
        <f>IFERROR(INDEX('Email Cleaner'!$B$2:$B$10001,MATCH(2683,'Email Cleaner'!$J$2:$J$10001,0)),"")</f>
        <v/>
      </c>
    </row>
    <row r="2685">
      <c r="A2685">
        <f>IFERROR(INDEX('Email Cleaner'!$B$2:$B$10001,MATCH(2684,'Email Cleaner'!$J$2:$J$10001,0)),"")</f>
        <v/>
      </c>
    </row>
    <row r="2686">
      <c r="A2686">
        <f>IFERROR(INDEX('Email Cleaner'!$B$2:$B$10001,MATCH(2685,'Email Cleaner'!$J$2:$J$10001,0)),"")</f>
        <v/>
      </c>
    </row>
    <row r="2687">
      <c r="A2687">
        <f>IFERROR(INDEX('Email Cleaner'!$B$2:$B$10001,MATCH(2686,'Email Cleaner'!$J$2:$J$10001,0)),"")</f>
        <v/>
      </c>
    </row>
    <row r="2688">
      <c r="A2688">
        <f>IFERROR(INDEX('Email Cleaner'!$B$2:$B$10001,MATCH(2687,'Email Cleaner'!$J$2:$J$10001,0)),"")</f>
        <v/>
      </c>
    </row>
    <row r="2689">
      <c r="A2689">
        <f>IFERROR(INDEX('Email Cleaner'!$B$2:$B$10001,MATCH(2688,'Email Cleaner'!$J$2:$J$10001,0)),"")</f>
        <v/>
      </c>
    </row>
    <row r="2690">
      <c r="A2690">
        <f>IFERROR(INDEX('Email Cleaner'!$B$2:$B$10001,MATCH(2689,'Email Cleaner'!$J$2:$J$10001,0)),"")</f>
        <v/>
      </c>
    </row>
    <row r="2691">
      <c r="A2691">
        <f>IFERROR(INDEX('Email Cleaner'!$B$2:$B$10001,MATCH(2690,'Email Cleaner'!$J$2:$J$10001,0)),"")</f>
        <v/>
      </c>
    </row>
    <row r="2692">
      <c r="A2692">
        <f>IFERROR(INDEX('Email Cleaner'!$B$2:$B$10001,MATCH(2691,'Email Cleaner'!$J$2:$J$10001,0)),"")</f>
        <v/>
      </c>
    </row>
    <row r="2693">
      <c r="A2693">
        <f>IFERROR(INDEX('Email Cleaner'!$B$2:$B$10001,MATCH(2692,'Email Cleaner'!$J$2:$J$10001,0)),"")</f>
        <v/>
      </c>
    </row>
    <row r="2694">
      <c r="A2694">
        <f>IFERROR(INDEX('Email Cleaner'!$B$2:$B$10001,MATCH(2693,'Email Cleaner'!$J$2:$J$10001,0)),"")</f>
        <v/>
      </c>
    </row>
    <row r="2695">
      <c r="A2695">
        <f>IFERROR(INDEX('Email Cleaner'!$B$2:$B$10001,MATCH(2694,'Email Cleaner'!$J$2:$J$10001,0)),"")</f>
        <v/>
      </c>
    </row>
    <row r="2696">
      <c r="A2696">
        <f>IFERROR(INDEX('Email Cleaner'!$B$2:$B$10001,MATCH(2695,'Email Cleaner'!$J$2:$J$10001,0)),"")</f>
        <v/>
      </c>
    </row>
    <row r="2697">
      <c r="A2697">
        <f>IFERROR(INDEX('Email Cleaner'!$B$2:$B$10001,MATCH(2696,'Email Cleaner'!$J$2:$J$10001,0)),"")</f>
        <v/>
      </c>
    </row>
    <row r="2698">
      <c r="A2698">
        <f>IFERROR(INDEX('Email Cleaner'!$B$2:$B$10001,MATCH(2697,'Email Cleaner'!$J$2:$J$10001,0)),"")</f>
        <v/>
      </c>
    </row>
    <row r="2699">
      <c r="A2699">
        <f>IFERROR(INDEX('Email Cleaner'!$B$2:$B$10001,MATCH(2698,'Email Cleaner'!$J$2:$J$10001,0)),"")</f>
        <v/>
      </c>
    </row>
    <row r="2700">
      <c r="A2700">
        <f>IFERROR(INDEX('Email Cleaner'!$B$2:$B$10001,MATCH(2699,'Email Cleaner'!$J$2:$J$10001,0)),"")</f>
        <v/>
      </c>
    </row>
    <row r="2701">
      <c r="A2701">
        <f>IFERROR(INDEX('Email Cleaner'!$B$2:$B$10001,MATCH(2700,'Email Cleaner'!$J$2:$J$10001,0)),"")</f>
        <v/>
      </c>
    </row>
    <row r="2702">
      <c r="A2702">
        <f>IFERROR(INDEX('Email Cleaner'!$B$2:$B$10001,MATCH(2701,'Email Cleaner'!$J$2:$J$10001,0)),"")</f>
        <v/>
      </c>
    </row>
    <row r="2703">
      <c r="A2703">
        <f>IFERROR(INDEX('Email Cleaner'!$B$2:$B$10001,MATCH(2702,'Email Cleaner'!$J$2:$J$10001,0)),"")</f>
        <v/>
      </c>
    </row>
    <row r="2704">
      <c r="A2704">
        <f>IFERROR(INDEX('Email Cleaner'!$B$2:$B$10001,MATCH(2703,'Email Cleaner'!$J$2:$J$10001,0)),"")</f>
        <v/>
      </c>
    </row>
    <row r="2705">
      <c r="A2705">
        <f>IFERROR(INDEX('Email Cleaner'!$B$2:$B$10001,MATCH(2704,'Email Cleaner'!$J$2:$J$10001,0)),"")</f>
        <v/>
      </c>
    </row>
    <row r="2706">
      <c r="A2706">
        <f>IFERROR(INDEX('Email Cleaner'!$B$2:$B$10001,MATCH(2705,'Email Cleaner'!$J$2:$J$10001,0)),"")</f>
        <v/>
      </c>
    </row>
    <row r="2707">
      <c r="A2707">
        <f>IFERROR(INDEX('Email Cleaner'!$B$2:$B$10001,MATCH(2706,'Email Cleaner'!$J$2:$J$10001,0)),"")</f>
        <v/>
      </c>
    </row>
    <row r="2708">
      <c r="A2708">
        <f>IFERROR(INDEX('Email Cleaner'!$B$2:$B$10001,MATCH(2707,'Email Cleaner'!$J$2:$J$10001,0)),"")</f>
        <v/>
      </c>
    </row>
    <row r="2709">
      <c r="A2709">
        <f>IFERROR(INDEX('Email Cleaner'!$B$2:$B$10001,MATCH(2708,'Email Cleaner'!$J$2:$J$10001,0)),"")</f>
        <v/>
      </c>
    </row>
    <row r="2710">
      <c r="A2710">
        <f>IFERROR(INDEX('Email Cleaner'!$B$2:$B$10001,MATCH(2709,'Email Cleaner'!$J$2:$J$10001,0)),"")</f>
        <v/>
      </c>
    </row>
    <row r="2711">
      <c r="A2711">
        <f>IFERROR(INDEX('Email Cleaner'!$B$2:$B$10001,MATCH(2710,'Email Cleaner'!$J$2:$J$10001,0)),"")</f>
        <v/>
      </c>
    </row>
    <row r="2712">
      <c r="A2712">
        <f>IFERROR(INDEX('Email Cleaner'!$B$2:$B$10001,MATCH(2711,'Email Cleaner'!$J$2:$J$10001,0)),"")</f>
        <v/>
      </c>
    </row>
    <row r="2713">
      <c r="A2713">
        <f>IFERROR(INDEX('Email Cleaner'!$B$2:$B$10001,MATCH(2712,'Email Cleaner'!$J$2:$J$10001,0)),"")</f>
        <v/>
      </c>
    </row>
    <row r="2714">
      <c r="A2714">
        <f>IFERROR(INDEX('Email Cleaner'!$B$2:$B$10001,MATCH(2713,'Email Cleaner'!$J$2:$J$10001,0)),"")</f>
        <v/>
      </c>
    </row>
    <row r="2715">
      <c r="A2715">
        <f>IFERROR(INDEX('Email Cleaner'!$B$2:$B$10001,MATCH(2714,'Email Cleaner'!$J$2:$J$10001,0)),"")</f>
        <v/>
      </c>
    </row>
    <row r="2716">
      <c r="A2716">
        <f>IFERROR(INDEX('Email Cleaner'!$B$2:$B$10001,MATCH(2715,'Email Cleaner'!$J$2:$J$10001,0)),"")</f>
        <v/>
      </c>
    </row>
    <row r="2717">
      <c r="A2717">
        <f>IFERROR(INDEX('Email Cleaner'!$B$2:$B$10001,MATCH(2716,'Email Cleaner'!$J$2:$J$10001,0)),"")</f>
        <v/>
      </c>
    </row>
    <row r="2718">
      <c r="A2718">
        <f>IFERROR(INDEX('Email Cleaner'!$B$2:$B$10001,MATCH(2717,'Email Cleaner'!$J$2:$J$10001,0)),"")</f>
        <v/>
      </c>
    </row>
    <row r="2719">
      <c r="A2719">
        <f>IFERROR(INDEX('Email Cleaner'!$B$2:$B$10001,MATCH(2718,'Email Cleaner'!$J$2:$J$10001,0)),"")</f>
        <v/>
      </c>
    </row>
    <row r="2720">
      <c r="A2720">
        <f>IFERROR(INDEX('Email Cleaner'!$B$2:$B$10001,MATCH(2719,'Email Cleaner'!$J$2:$J$10001,0)),"")</f>
        <v/>
      </c>
    </row>
    <row r="2721">
      <c r="A2721">
        <f>IFERROR(INDEX('Email Cleaner'!$B$2:$B$10001,MATCH(2720,'Email Cleaner'!$J$2:$J$10001,0)),"")</f>
        <v/>
      </c>
    </row>
    <row r="2722">
      <c r="A2722">
        <f>IFERROR(INDEX('Email Cleaner'!$B$2:$B$10001,MATCH(2721,'Email Cleaner'!$J$2:$J$10001,0)),"")</f>
        <v/>
      </c>
    </row>
    <row r="2723">
      <c r="A2723">
        <f>IFERROR(INDEX('Email Cleaner'!$B$2:$B$10001,MATCH(2722,'Email Cleaner'!$J$2:$J$10001,0)),"")</f>
        <v/>
      </c>
    </row>
    <row r="2724">
      <c r="A2724">
        <f>IFERROR(INDEX('Email Cleaner'!$B$2:$B$10001,MATCH(2723,'Email Cleaner'!$J$2:$J$10001,0)),"")</f>
        <v/>
      </c>
    </row>
    <row r="2725">
      <c r="A2725">
        <f>IFERROR(INDEX('Email Cleaner'!$B$2:$B$10001,MATCH(2724,'Email Cleaner'!$J$2:$J$10001,0)),"")</f>
        <v/>
      </c>
    </row>
    <row r="2726">
      <c r="A2726">
        <f>IFERROR(INDEX('Email Cleaner'!$B$2:$B$10001,MATCH(2725,'Email Cleaner'!$J$2:$J$10001,0)),"")</f>
        <v/>
      </c>
    </row>
    <row r="2727">
      <c r="A2727">
        <f>IFERROR(INDEX('Email Cleaner'!$B$2:$B$10001,MATCH(2726,'Email Cleaner'!$J$2:$J$10001,0)),"")</f>
        <v/>
      </c>
    </row>
    <row r="2728">
      <c r="A2728">
        <f>IFERROR(INDEX('Email Cleaner'!$B$2:$B$10001,MATCH(2727,'Email Cleaner'!$J$2:$J$10001,0)),"")</f>
        <v/>
      </c>
    </row>
    <row r="2729">
      <c r="A2729">
        <f>IFERROR(INDEX('Email Cleaner'!$B$2:$B$10001,MATCH(2728,'Email Cleaner'!$J$2:$J$10001,0)),"")</f>
        <v/>
      </c>
    </row>
    <row r="2730">
      <c r="A2730">
        <f>IFERROR(INDEX('Email Cleaner'!$B$2:$B$10001,MATCH(2729,'Email Cleaner'!$J$2:$J$10001,0)),"")</f>
        <v/>
      </c>
    </row>
    <row r="2731">
      <c r="A2731">
        <f>IFERROR(INDEX('Email Cleaner'!$B$2:$B$10001,MATCH(2730,'Email Cleaner'!$J$2:$J$10001,0)),"")</f>
        <v/>
      </c>
    </row>
    <row r="2732">
      <c r="A2732">
        <f>IFERROR(INDEX('Email Cleaner'!$B$2:$B$10001,MATCH(2731,'Email Cleaner'!$J$2:$J$10001,0)),"")</f>
        <v/>
      </c>
    </row>
    <row r="2733">
      <c r="A2733">
        <f>IFERROR(INDEX('Email Cleaner'!$B$2:$B$10001,MATCH(2732,'Email Cleaner'!$J$2:$J$10001,0)),"")</f>
        <v/>
      </c>
    </row>
    <row r="2734">
      <c r="A2734">
        <f>IFERROR(INDEX('Email Cleaner'!$B$2:$B$10001,MATCH(2733,'Email Cleaner'!$J$2:$J$10001,0)),"")</f>
        <v/>
      </c>
    </row>
    <row r="2735">
      <c r="A2735">
        <f>IFERROR(INDEX('Email Cleaner'!$B$2:$B$10001,MATCH(2734,'Email Cleaner'!$J$2:$J$10001,0)),"")</f>
        <v/>
      </c>
    </row>
    <row r="2736">
      <c r="A2736">
        <f>IFERROR(INDEX('Email Cleaner'!$B$2:$B$10001,MATCH(2735,'Email Cleaner'!$J$2:$J$10001,0)),"")</f>
        <v/>
      </c>
    </row>
    <row r="2737">
      <c r="A2737">
        <f>IFERROR(INDEX('Email Cleaner'!$B$2:$B$10001,MATCH(2736,'Email Cleaner'!$J$2:$J$10001,0)),"")</f>
        <v/>
      </c>
    </row>
    <row r="2738">
      <c r="A2738">
        <f>IFERROR(INDEX('Email Cleaner'!$B$2:$B$10001,MATCH(2737,'Email Cleaner'!$J$2:$J$10001,0)),"")</f>
        <v/>
      </c>
    </row>
    <row r="2739">
      <c r="A2739">
        <f>IFERROR(INDEX('Email Cleaner'!$B$2:$B$10001,MATCH(2738,'Email Cleaner'!$J$2:$J$10001,0)),"")</f>
        <v/>
      </c>
    </row>
    <row r="2740">
      <c r="A2740">
        <f>IFERROR(INDEX('Email Cleaner'!$B$2:$B$10001,MATCH(2739,'Email Cleaner'!$J$2:$J$10001,0)),"")</f>
        <v/>
      </c>
    </row>
    <row r="2741">
      <c r="A2741">
        <f>IFERROR(INDEX('Email Cleaner'!$B$2:$B$10001,MATCH(2740,'Email Cleaner'!$J$2:$J$10001,0)),"")</f>
        <v/>
      </c>
    </row>
    <row r="2742">
      <c r="A2742">
        <f>IFERROR(INDEX('Email Cleaner'!$B$2:$B$10001,MATCH(2741,'Email Cleaner'!$J$2:$J$10001,0)),"")</f>
        <v/>
      </c>
    </row>
    <row r="2743">
      <c r="A2743">
        <f>IFERROR(INDEX('Email Cleaner'!$B$2:$B$10001,MATCH(2742,'Email Cleaner'!$J$2:$J$10001,0)),"")</f>
        <v/>
      </c>
    </row>
    <row r="2744">
      <c r="A2744">
        <f>IFERROR(INDEX('Email Cleaner'!$B$2:$B$10001,MATCH(2743,'Email Cleaner'!$J$2:$J$10001,0)),"")</f>
        <v/>
      </c>
    </row>
    <row r="2745">
      <c r="A2745">
        <f>IFERROR(INDEX('Email Cleaner'!$B$2:$B$10001,MATCH(2744,'Email Cleaner'!$J$2:$J$10001,0)),"")</f>
        <v/>
      </c>
    </row>
    <row r="2746">
      <c r="A2746">
        <f>IFERROR(INDEX('Email Cleaner'!$B$2:$B$10001,MATCH(2745,'Email Cleaner'!$J$2:$J$10001,0)),"")</f>
        <v/>
      </c>
    </row>
    <row r="2747">
      <c r="A2747">
        <f>IFERROR(INDEX('Email Cleaner'!$B$2:$B$10001,MATCH(2746,'Email Cleaner'!$J$2:$J$10001,0)),"")</f>
        <v/>
      </c>
    </row>
    <row r="2748">
      <c r="A2748">
        <f>IFERROR(INDEX('Email Cleaner'!$B$2:$B$10001,MATCH(2747,'Email Cleaner'!$J$2:$J$10001,0)),"")</f>
        <v/>
      </c>
    </row>
    <row r="2749">
      <c r="A2749">
        <f>IFERROR(INDEX('Email Cleaner'!$B$2:$B$10001,MATCH(2748,'Email Cleaner'!$J$2:$J$10001,0)),"")</f>
        <v/>
      </c>
    </row>
    <row r="2750">
      <c r="A2750">
        <f>IFERROR(INDEX('Email Cleaner'!$B$2:$B$10001,MATCH(2749,'Email Cleaner'!$J$2:$J$10001,0)),"")</f>
        <v/>
      </c>
    </row>
    <row r="2751">
      <c r="A2751">
        <f>IFERROR(INDEX('Email Cleaner'!$B$2:$B$10001,MATCH(2750,'Email Cleaner'!$J$2:$J$10001,0)),"")</f>
        <v/>
      </c>
    </row>
    <row r="2752">
      <c r="A2752">
        <f>IFERROR(INDEX('Email Cleaner'!$B$2:$B$10001,MATCH(2751,'Email Cleaner'!$J$2:$J$10001,0)),"")</f>
        <v/>
      </c>
    </row>
    <row r="2753">
      <c r="A2753">
        <f>IFERROR(INDEX('Email Cleaner'!$B$2:$B$10001,MATCH(2752,'Email Cleaner'!$J$2:$J$10001,0)),"")</f>
        <v/>
      </c>
    </row>
    <row r="2754">
      <c r="A2754">
        <f>IFERROR(INDEX('Email Cleaner'!$B$2:$B$10001,MATCH(2753,'Email Cleaner'!$J$2:$J$10001,0)),"")</f>
        <v/>
      </c>
    </row>
    <row r="2755">
      <c r="A2755">
        <f>IFERROR(INDEX('Email Cleaner'!$B$2:$B$10001,MATCH(2754,'Email Cleaner'!$J$2:$J$10001,0)),"")</f>
        <v/>
      </c>
    </row>
    <row r="2756">
      <c r="A2756">
        <f>IFERROR(INDEX('Email Cleaner'!$B$2:$B$10001,MATCH(2755,'Email Cleaner'!$J$2:$J$10001,0)),"")</f>
        <v/>
      </c>
    </row>
    <row r="2757">
      <c r="A2757">
        <f>IFERROR(INDEX('Email Cleaner'!$B$2:$B$10001,MATCH(2756,'Email Cleaner'!$J$2:$J$10001,0)),"")</f>
        <v/>
      </c>
    </row>
    <row r="2758">
      <c r="A2758">
        <f>IFERROR(INDEX('Email Cleaner'!$B$2:$B$10001,MATCH(2757,'Email Cleaner'!$J$2:$J$10001,0)),"")</f>
        <v/>
      </c>
    </row>
    <row r="2759">
      <c r="A2759">
        <f>IFERROR(INDEX('Email Cleaner'!$B$2:$B$10001,MATCH(2758,'Email Cleaner'!$J$2:$J$10001,0)),"")</f>
        <v/>
      </c>
    </row>
    <row r="2760">
      <c r="A2760">
        <f>IFERROR(INDEX('Email Cleaner'!$B$2:$B$10001,MATCH(2759,'Email Cleaner'!$J$2:$J$10001,0)),"")</f>
        <v/>
      </c>
    </row>
    <row r="2761">
      <c r="A2761">
        <f>IFERROR(INDEX('Email Cleaner'!$B$2:$B$10001,MATCH(2760,'Email Cleaner'!$J$2:$J$10001,0)),"")</f>
        <v/>
      </c>
    </row>
    <row r="2762">
      <c r="A2762">
        <f>IFERROR(INDEX('Email Cleaner'!$B$2:$B$10001,MATCH(2761,'Email Cleaner'!$J$2:$J$10001,0)),"")</f>
        <v/>
      </c>
    </row>
    <row r="2763">
      <c r="A2763">
        <f>IFERROR(INDEX('Email Cleaner'!$B$2:$B$10001,MATCH(2762,'Email Cleaner'!$J$2:$J$10001,0)),"")</f>
        <v/>
      </c>
    </row>
    <row r="2764">
      <c r="A2764">
        <f>IFERROR(INDEX('Email Cleaner'!$B$2:$B$10001,MATCH(2763,'Email Cleaner'!$J$2:$J$10001,0)),"")</f>
        <v/>
      </c>
    </row>
    <row r="2765">
      <c r="A2765">
        <f>IFERROR(INDEX('Email Cleaner'!$B$2:$B$10001,MATCH(2764,'Email Cleaner'!$J$2:$J$10001,0)),"")</f>
        <v/>
      </c>
    </row>
    <row r="2766">
      <c r="A2766">
        <f>IFERROR(INDEX('Email Cleaner'!$B$2:$B$10001,MATCH(2765,'Email Cleaner'!$J$2:$J$10001,0)),"")</f>
        <v/>
      </c>
    </row>
    <row r="2767">
      <c r="A2767">
        <f>IFERROR(INDEX('Email Cleaner'!$B$2:$B$10001,MATCH(2766,'Email Cleaner'!$J$2:$J$10001,0)),"")</f>
        <v/>
      </c>
    </row>
    <row r="2768">
      <c r="A2768">
        <f>IFERROR(INDEX('Email Cleaner'!$B$2:$B$10001,MATCH(2767,'Email Cleaner'!$J$2:$J$10001,0)),"")</f>
        <v/>
      </c>
    </row>
    <row r="2769">
      <c r="A2769">
        <f>IFERROR(INDEX('Email Cleaner'!$B$2:$B$10001,MATCH(2768,'Email Cleaner'!$J$2:$J$10001,0)),"")</f>
        <v/>
      </c>
    </row>
    <row r="2770">
      <c r="A2770">
        <f>IFERROR(INDEX('Email Cleaner'!$B$2:$B$10001,MATCH(2769,'Email Cleaner'!$J$2:$J$10001,0)),"")</f>
        <v/>
      </c>
    </row>
    <row r="2771">
      <c r="A2771">
        <f>IFERROR(INDEX('Email Cleaner'!$B$2:$B$10001,MATCH(2770,'Email Cleaner'!$J$2:$J$10001,0)),"")</f>
        <v/>
      </c>
    </row>
    <row r="2772">
      <c r="A2772">
        <f>IFERROR(INDEX('Email Cleaner'!$B$2:$B$10001,MATCH(2771,'Email Cleaner'!$J$2:$J$10001,0)),"")</f>
        <v/>
      </c>
    </row>
    <row r="2773">
      <c r="A2773">
        <f>IFERROR(INDEX('Email Cleaner'!$B$2:$B$10001,MATCH(2772,'Email Cleaner'!$J$2:$J$10001,0)),"")</f>
        <v/>
      </c>
    </row>
    <row r="2774">
      <c r="A2774">
        <f>IFERROR(INDEX('Email Cleaner'!$B$2:$B$10001,MATCH(2773,'Email Cleaner'!$J$2:$J$10001,0)),"")</f>
        <v/>
      </c>
    </row>
    <row r="2775">
      <c r="A2775">
        <f>IFERROR(INDEX('Email Cleaner'!$B$2:$B$10001,MATCH(2774,'Email Cleaner'!$J$2:$J$10001,0)),"")</f>
        <v/>
      </c>
    </row>
    <row r="2776">
      <c r="A2776">
        <f>IFERROR(INDEX('Email Cleaner'!$B$2:$B$10001,MATCH(2775,'Email Cleaner'!$J$2:$J$10001,0)),"")</f>
        <v/>
      </c>
    </row>
    <row r="2777">
      <c r="A2777">
        <f>IFERROR(INDEX('Email Cleaner'!$B$2:$B$10001,MATCH(2776,'Email Cleaner'!$J$2:$J$10001,0)),"")</f>
        <v/>
      </c>
    </row>
    <row r="2778">
      <c r="A2778">
        <f>IFERROR(INDEX('Email Cleaner'!$B$2:$B$10001,MATCH(2777,'Email Cleaner'!$J$2:$J$10001,0)),"")</f>
        <v/>
      </c>
    </row>
    <row r="2779">
      <c r="A2779">
        <f>IFERROR(INDEX('Email Cleaner'!$B$2:$B$10001,MATCH(2778,'Email Cleaner'!$J$2:$J$10001,0)),"")</f>
        <v/>
      </c>
    </row>
    <row r="2780">
      <c r="A2780">
        <f>IFERROR(INDEX('Email Cleaner'!$B$2:$B$10001,MATCH(2779,'Email Cleaner'!$J$2:$J$10001,0)),"")</f>
        <v/>
      </c>
    </row>
    <row r="2781">
      <c r="A2781">
        <f>IFERROR(INDEX('Email Cleaner'!$B$2:$B$10001,MATCH(2780,'Email Cleaner'!$J$2:$J$10001,0)),"")</f>
        <v/>
      </c>
    </row>
    <row r="2782">
      <c r="A2782">
        <f>IFERROR(INDEX('Email Cleaner'!$B$2:$B$10001,MATCH(2781,'Email Cleaner'!$J$2:$J$10001,0)),"")</f>
        <v/>
      </c>
    </row>
    <row r="2783">
      <c r="A2783">
        <f>IFERROR(INDEX('Email Cleaner'!$B$2:$B$10001,MATCH(2782,'Email Cleaner'!$J$2:$J$10001,0)),"")</f>
        <v/>
      </c>
    </row>
    <row r="2784">
      <c r="A2784">
        <f>IFERROR(INDEX('Email Cleaner'!$B$2:$B$10001,MATCH(2783,'Email Cleaner'!$J$2:$J$10001,0)),"")</f>
        <v/>
      </c>
    </row>
    <row r="2785">
      <c r="A2785">
        <f>IFERROR(INDEX('Email Cleaner'!$B$2:$B$10001,MATCH(2784,'Email Cleaner'!$J$2:$J$10001,0)),"")</f>
        <v/>
      </c>
    </row>
    <row r="2786">
      <c r="A2786">
        <f>IFERROR(INDEX('Email Cleaner'!$B$2:$B$10001,MATCH(2785,'Email Cleaner'!$J$2:$J$10001,0)),"")</f>
        <v/>
      </c>
    </row>
    <row r="2787">
      <c r="A2787">
        <f>IFERROR(INDEX('Email Cleaner'!$B$2:$B$10001,MATCH(2786,'Email Cleaner'!$J$2:$J$10001,0)),"")</f>
        <v/>
      </c>
    </row>
    <row r="2788">
      <c r="A2788">
        <f>IFERROR(INDEX('Email Cleaner'!$B$2:$B$10001,MATCH(2787,'Email Cleaner'!$J$2:$J$10001,0)),"")</f>
        <v/>
      </c>
    </row>
    <row r="2789">
      <c r="A2789">
        <f>IFERROR(INDEX('Email Cleaner'!$B$2:$B$10001,MATCH(2788,'Email Cleaner'!$J$2:$J$10001,0)),"")</f>
        <v/>
      </c>
    </row>
    <row r="2790">
      <c r="A2790">
        <f>IFERROR(INDEX('Email Cleaner'!$B$2:$B$10001,MATCH(2789,'Email Cleaner'!$J$2:$J$10001,0)),"")</f>
        <v/>
      </c>
    </row>
    <row r="2791">
      <c r="A2791">
        <f>IFERROR(INDEX('Email Cleaner'!$B$2:$B$10001,MATCH(2790,'Email Cleaner'!$J$2:$J$10001,0)),"")</f>
        <v/>
      </c>
    </row>
    <row r="2792">
      <c r="A2792">
        <f>IFERROR(INDEX('Email Cleaner'!$B$2:$B$10001,MATCH(2791,'Email Cleaner'!$J$2:$J$10001,0)),"")</f>
        <v/>
      </c>
    </row>
    <row r="2793">
      <c r="A2793">
        <f>IFERROR(INDEX('Email Cleaner'!$B$2:$B$10001,MATCH(2792,'Email Cleaner'!$J$2:$J$10001,0)),"")</f>
        <v/>
      </c>
    </row>
    <row r="2794">
      <c r="A2794">
        <f>IFERROR(INDEX('Email Cleaner'!$B$2:$B$10001,MATCH(2793,'Email Cleaner'!$J$2:$J$10001,0)),"")</f>
        <v/>
      </c>
    </row>
    <row r="2795">
      <c r="A2795">
        <f>IFERROR(INDEX('Email Cleaner'!$B$2:$B$10001,MATCH(2794,'Email Cleaner'!$J$2:$J$10001,0)),"")</f>
        <v/>
      </c>
    </row>
    <row r="2796">
      <c r="A2796">
        <f>IFERROR(INDEX('Email Cleaner'!$B$2:$B$10001,MATCH(2795,'Email Cleaner'!$J$2:$J$10001,0)),"")</f>
        <v/>
      </c>
    </row>
    <row r="2797">
      <c r="A2797">
        <f>IFERROR(INDEX('Email Cleaner'!$B$2:$B$10001,MATCH(2796,'Email Cleaner'!$J$2:$J$10001,0)),"")</f>
        <v/>
      </c>
    </row>
    <row r="2798">
      <c r="A2798">
        <f>IFERROR(INDEX('Email Cleaner'!$B$2:$B$10001,MATCH(2797,'Email Cleaner'!$J$2:$J$10001,0)),"")</f>
        <v/>
      </c>
    </row>
    <row r="2799">
      <c r="A2799">
        <f>IFERROR(INDEX('Email Cleaner'!$B$2:$B$10001,MATCH(2798,'Email Cleaner'!$J$2:$J$10001,0)),"")</f>
        <v/>
      </c>
    </row>
    <row r="2800">
      <c r="A2800">
        <f>IFERROR(INDEX('Email Cleaner'!$B$2:$B$10001,MATCH(2799,'Email Cleaner'!$J$2:$J$10001,0)),"")</f>
        <v/>
      </c>
    </row>
    <row r="2801">
      <c r="A2801">
        <f>IFERROR(INDEX('Email Cleaner'!$B$2:$B$10001,MATCH(2800,'Email Cleaner'!$J$2:$J$10001,0)),"")</f>
        <v/>
      </c>
    </row>
    <row r="2802">
      <c r="A2802">
        <f>IFERROR(INDEX('Email Cleaner'!$B$2:$B$10001,MATCH(2801,'Email Cleaner'!$J$2:$J$10001,0)),"")</f>
        <v/>
      </c>
    </row>
    <row r="2803">
      <c r="A2803">
        <f>IFERROR(INDEX('Email Cleaner'!$B$2:$B$10001,MATCH(2802,'Email Cleaner'!$J$2:$J$10001,0)),"")</f>
        <v/>
      </c>
    </row>
    <row r="2804">
      <c r="A2804">
        <f>IFERROR(INDEX('Email Cleaner'!$B$2:$B$10001,MATCH(2803,'Email Cleaner'!$J$2:$J$10001,0)),"")</f>
        <v/>
      </c>
    </row>
    <row r="2805">
      <c r="A2805">
        <f>IFERROR(INDEX('Email Cleaner'!$B$2:$B$10001,MATCH(2804,'Email Cleaner'!$J$2:$J$10001,0)),"")</f>
        <v/>
      </c>
    </row>
    <row r="2806">
      <c r="A2806">
        <f>IFERROR(INDEX('Email Cleaner'!$B$2:$B$10001,MATCH(2805,'Email Cleaner'!$J$2:$J$10001,0)),"")</f>
        <v/>
      </c>
    </row>
    <row r="2807">
      <c r="A2807">
        <f>IFERROR(INDEX('Email Cleaner'!$B$2:$B$10001,MATCH(2806,'Email Cleaner'!$J$2:$J$10001,0)),"")</f>
        <v/>
      </c>
    </row>
    <row r="2808">
      <c r="A2808">
        <f>IFERROR(INDEX('Email Cleaner'!$B$2:$B$10001,MATCH(2807,'Email Cleaner'!$J$2:$J$10001,0)),"")</f>
        <v/>
      </c>
    </row>
    <row r="2809">
      <c r="A2809">
        <f>IFERROR(INDEX('Email Cleaner'!$B$2:$B$10001,MATCH(2808,'Email Cleaner'!$J$2:$J$10001,0)),"")</f>
        <v/>
      </c>
    </row>
    <row r="2810">
      <c r="A2810">
        <f>IFERROR(INDEX('Email Cleaner'!$B$2:$B$10001,MATCH(2809,'Email Cleaner'!$J$2:$J$10001,0)),"")</f>
        <v/>
      </c>
    </row>
    <row r="2811">
      <c r="A2811">
        <f>IFERROR(INDEX('Email Cleaner'!$B$2:$B$10001,MATCH(2810,'Email Cleaner'!$J$2:$J$10001,0)),"")</f>
        <v/>
      </c>
    </row>
    <row r="2812">
      <c r="A2812">
        <f>IFERROR(INDEX('Email Cleaner'!$B$2:$B$10001,MATCH(2811,'Email Cleaner'!$J$2:$J$10001,0)),"")</f>
        <v/>
      </c>
    </row>
    <row r="2813">
      <c r="A2813">
        <f>IFERROR(INDEX('Email Cleaner'!$B$2:$B$10001,MATCH(2812,'Email Cleaner'!$J$2:$J$10001,0)),"")</f>
        <v/>
      </c>
    </row>
    <row r="2814">
      <c r="A2814">
        <f>IFERROR(INDEX('Email Cleaner'!$B$2:$B$10001,MATCH(2813,'Email Cleaner'!$J$2:$J$10001,0)),"")</f>
        <v/>
      </c>
    </row>
    <row r="2815">
      <c r="A2815">
        <f>IFERROR(INDEX('Email Cleaner'!$B$2:$B$10001,MATCH(2814,'Email Cleaner'!$J$2:$J$10001,0)),"")</f>
        <v/>
      </c>
    </row>
    <row r="2816">
      <c r="A2816">
        <f>IFERROR(INDEX('Email Cleaner'!$B$2:$B$10001,MATCH(2815,'Email Cleaner'!$J$2:$J$10001,0)),"")</f>
        <v/>
      </c>
    </row>
    <row r="2817">
      <c r="A2817">
        <f>IFERROR(INDEX('Email Cleaner'!$B$2:$B$10001,MATCH(2816,'Email Cleaner'!$J$2:$J$10001,0)),"")</f>
        <v/>
      </c>
    </row>
    <row r="2818">
      <c r="A2818">
        <f>IFERROR(INDEX('Email Cleaner'!$B$2:$B$10001,MATCH(2817,'Email Cleaner'!$J$2:$J$10001,0)),"")</f>
        <v/>
      </c>
    </row>
    <row r="2819">
      <c r="A2819">
        <f>IFERROR(INDEX('Email Cleaner'!$B$2:$B$10001,MATCH(2818,'Email Cleaner'!$J$2:$J$10001,0)),"")</f>
        <v/>
      </c>
    </row>
    <row r="2820">
      <c r="A2820">
        <f>IFERROR(INDEX('Email Cleaner'!$B$2:$B$10001,MATCH(2819,'Email Cleaner'!$J$2:$J$10001,0)),"")</f>
        <v/>
      </c>
    </row>
    <row r="2821">
      <c r="A2821">
        <f>IFERROR(INDEX('Email Cleaner'!$B$2:$B$10001,MATCH(2820,'Email Cleaner'!$J$2:$J$10001,0)),"")</f>
        <v/>
      </c>
    </row>
    <row r="2822">
      <c r="A2822">
        <f>IFERROR(INDEX('Email Cleaner'!$B$2:$B$10001,MATCH(2821,'Email Cleaner'!$J$2:$J$10001,0)),"")</f>
        <v/>
      </c>
    </row>
    <row r="2823">
      <c r="A2823">
        <f>IFERROR(INDEX('Email Cleaner'!$B$2:$B$10001,MATCH(2822,'Email Cleaner'!$J$2:$J$10001,0)),"")</f>
        <v/>
      </c>
    </row>
    <row r="2824">
      <c r="A2824">
        <f>IFERROR(INDEX('Email Cleaner'!$B$2:$B$10001,MATCH(2823,'Email Cleaner'!$J$2:$J$10001,0)),"")</f>
        <v/>
      </c>
    </row>
    <row r="2825">
      <c r="A2825">
        <f>IFERROR(INDEX('Email Cleaner'!$B$2:$B$10001,MATCH(2824,'Email Cleaner'!$J$2:$J$10001,0)),"")</f>
        <v/>
      </c>
    </row>
    <row r="2826">
      <c r="A2826">
        <f>IFERROR(INDEX('Email Cleaner'!$B$2:$B$10001,MATCH(2825,'Email Cleaner'!$J$2:$J$10001,0)),"")</f>
        <v/>
      </c>
    </row>
    <row r="2827">
      <c r="A2827">
        <f>IFERROR(INDEX('Email Cleaner'!$B$2:$B$10001,MATCH(2826,'Email Cleaner'!$J$2:$J$10001,0)),"")</f>
        <v/>
      </c>
    </row>
    <row r="2828">
      <c r="A2828">
        <f>IFERROR(INDEX('Email Cleaner'!$B$2:$B$10001,MATCH(2827,'Email Cleaner'!$J$2:$J$10001,0)),"")</f>
        <v/>
      </c>
    </row>
    <row r="2829">
      <c r="A2829">
        <f>IFERROR(INDEX('Email Cleaner'!$B$2:$B$10001,MATCH(2828,'Email Cleaner'!$J$2:$J$10001,0)),"")</f>
        <v/>
      </c>
    </row>
    <row r="2830">
      <c r="A2830">
        <f>IFERROR(INDEX('Email Cleaner'!$B$2:$B$10001,MATCH(2829,'Email Cleaner'!$J$2:$J$10001,0)),"")</f>
        <v/>
      </c>
    </row>
    <row r="2831">
      <c r="A2831">
        <f>IFERROR(INDEX('Email Cleaner'!$B$2:$B$10001,MATCH(2830,'Email Cleaner'!$J$2:$J$10001,0)),"")</f>
        <v/>
      </c>
    </row>
    <row r="2832">
      <c r="A2832">
        <f>IFERROR(INDEX('Email Cleaner'!$B$2:$B$10001,MATCH(2831,'Email Cleaner'!$J$2:$J$10001,0)),"")</f>
        <v/>
      </c>
    </row>
    <row r="2833">
      <c r="A2833">
        <f>IFERROR(INDEX('Email Cleaner'!$B$2:$B$10001,MATCH(2832,'Email Cleaner'!$J$2:$J$10001,0)),"")</f>
        <v/>
      </c>
    </row>
    <row r="2834">
      <c r="A2834">
        <f>IFERROR(INDEX('Email Cleaner'!$B$2:$B$10001,MATCH(2833,'Email Cleaner'!$J$2:$J$10001,0)),"")</f>
        <v/>
      </c>
    </row>
    <row r="2835">
      <c r="A2835">
        <f>IFERROR(INDEX('Email Cleaner'!$B$2:$B$10001,MATCH(2834,'Email Cleaner'!$J$2:$J$10001,0)),"")</f>
        <v/>
      </c>
    </row>
    <row r="2836">
      <c r="A2836">
        <f>IFERROR(INDEX('Email Cleaner'!$B$2:$B$10001,MATCH(2835,'Email Cleaner'!$J$2:$J$10001,0)),"")</f>
        <v/>
      </c>
    </row>
    <row r="2837">
      <c r="A2837">
        <f>IFERROR(INDEX('Email Cleaner'!$B$2:$B$10001,MATCH(2836,'Email Cleaner'!$J$2:$J$10001,0)),"")</f>
        <v/>
      </c>
    </row>
    <row r="2838">
      <c r="A2838">
        <f>IFERROR(INDEX('Email Cleaner'!$B$2:$B$10001,MATCH(2837,'Email Cleaner'!$J$2:$J$10001,0)),"")</f>
        <v/>
      </c>
    </row>
    <row r="2839">
      <c r="A2839">
        <f>IFERROR(INDEX('Email Cleaner'!$B$2:$B$10001,MATCH(2838,'Email Cleaner'!$J$2:$J$10001,0)),"")</f>
        <v/>
      </c>
    </row>
    <row r="2840">
      <c r="A2840">
        <f>IFERROR(INDEX('Email Cleaner'!$B$2:$B$10001,MATCH(2839,'Email Cleaner'!$J$2:$J$10001,0)),"")</f>
        <v/>
      </c>
    </row>
    <row r="2841">
      <c r="A2841">
        <f>IFERROR(INDEX('Email Cleaner'!$B$2:$B$10001,MATCH(2840,'Email Cleaner'!$J$2:$J$10001,0)),"")</f>
        <v/>
      </c>
    </row>
    <row r="2842">
      <c r="A2842">
        <f>IFERROR(INDEX('Email Cleaner'!$B$2:$B$10001,MATCH(2841,'Email Cleaner'!$J$2:$J$10001,0)),"")</f>
        <v/>
      </c>
    </row>
    <row r="2843">
      <c r="A2843">
        <f>IFERROR(INDEX('Email Cleaner'!$B$2:$B$10001,MATCH(2842,'Email Cleaner'!$J$2:$J$10001,0)),"")</f>
        <v/>
      </c>
    </row>
    <row r="2844">
      <c r="A2844">
        <f>IFERROR(INDEX('Email Cleaner'!$B$2:$B$10001,MATCH(2843,'Email Cleaner'!$J$2:$J$10001,0)),"")</f>
        <v/>
      </c>
    </row>
    <row r="2845">
      <c r="A2845">
        <f>IFERROR(INDEX('Email Cleaner'!$B$2:$B$10001,MATCH(2844,'Email Cleaner'!$J$2:$J$10001,0)),"")</f>
        <v/>
      </c>
    </row>
    <row r="2846">
      <c r="A2846">
        <f>IFERROR(INDEX('Email Cleaner'!$B$2:$B$10001,MATCH(2845,'Email Cleaner'!$J$2:$J$10001,0)),"")</f>
        <v/>
      </c>
    </row>
    <row r="2847">
      <c r="A2847">
        <f>IFERROR(INDEX('Email Cleaner'!$B$2:$B$10001,MATCH(2846,'Email Cleaner'!$J$2:$J$10001,0)),"")</f>
        <v/>
      </c>
    </row>
    <row r="2848">
      <c r="A2848">
        <f>IFERROR(INDEX('Email Cleaner'!$B$2:$B$10001,MATCH(2847,'Email Cleaner'!$J$2:$J$10001,0)),"")</f>
        <v/>
      </c>
    </row>
    <row r="2849">
      <c r="A2849">
        <f>IFERROR(INDEX('Email Cleaner'!$B$2:$B$10001,MATCH(2848,'Email Cleaner'!$J$2:$J$10001,0)),"")</f>
        <v/>
      </c>
    </row>
    <row r="2850">
      <c r="A2850">
        <f>IFERROR(INDEX('Email Cleaner'!$B$2:$B$10001,MATCH(2849,'Email Cleaner'!$J$2:$J$10001,0)),"")</f>
        <v/>
      </c>
    </row>
    <row r="2851">
      <c r="A2851">
        <f>IFERROR(INDEX('Email Cleaner'!$B$2:$B$10001,MATCH(2850,'Email Cleaner'!$J$2:$J$10001,0)),"")</f>
        <v/>
      </c>
    </row>
    <row r="2852">
      <c r="A2852">
        <f>IFERROR(INDEX('Email Cleaner'!$B$2:$B$10001,MATCH(2851,'Email Cleaner'!$J$2:$J$10001,0)),"")</f>
        <v/>
      </c>
    </row>
    <row r="2853">
      <c r="A2853">
        <f>IFERROR(INDEX('Email Cleaner'!$B$2:$B$10001,MATCH(2852,'Email Cleaner'!$J$2:$J$10001,0)),"")</f>
        <v/>
      </c>
    </row>
    <row r="2854">
      <c r="A2854">
        <f>IFERROR(INDEX('Email Cleaner'!$B$2:$B$10001,MATCH(2853,'Email Cleaner'!$J$2:$J$10001,0)),"")</f>
        <v/>
      </c>
    </row>
    <row r="2855">
      <c r="A2855">
        <f>IFERROR(INDEX('Email Cleaner'!$B$2:$B$10001,MATCH(2854,'Email Cleaner'!$J$2:$J$10001,0)),"")</f>
        <v/>
      </c>
    </row>
    <row r="2856">
      <c r="A2856">
        <f>IFERROR(INDEX('Email Cleaner'!$B$2:$B$10001,MATCH(2855,'Email Cleaner'!$J$2:$J$10001,0)),"")</f>
        <v/>
      </c>
    </row>
    <row r="2857">
      <c r="A2857">
        <f>IFERROR(INDEX('Email Cleaner'!$B$2:$B$10001,MATCH(2856,'Email Cleaner'!$J$2:$J$10001,0)),"")</f>
        <v/>
      </c>
    </row>
    <row r="2858">
      <c r="A2858">
        <f>IFERROR(INDEX('Email Cleaner'!$B$2:$B$10001,MATCH(2857,'Email Cleaner'!$J$2:$J$10001,0)),"")</f>
        <v/>
      </c>
    </row>
    <row r="2859">
      <c r="A2859">
        <f>IFERROR(INDEX('Email Cleaner'!$B$2:$B$10001,MATCH(2858,'Email Cleaner'!$J$2:$J$10001,0)),"")</f>
        <v/>
      </c>
    </row>
    <row r="2860">
      <c r="A2860">
        <f>IFERROR(INDEX('Email Cleaner'!$B$2:$B$10001,MATCH(2859,'Email Cleaner'!$J$2:$J$10001,0)),"")</f>
        <v/>
      </c>
    </row>
    <row r="2861">
      <c r="A2861">
        <f>IFERROR(INDEX('Email Cleaner'!$B$2:$B$10001,MATCH(2860,'Email Cleaner'!$J$2:$J$10001,0)),"")</f>
        <v/>
      </c>
    </row>
    <row r="2862">
      <c r="A2862">
        <f>IFERROR(INDEX('Email Cleaner'!$B$2:$B$10001,MATCH(2861,'Email Cleaner'!$J$2:$J$10001,0)),"")</f>
        <v/>
      </c>
    </row>
    <row r="2863">
      <c r="A2863">
        <f>IFERROR(INDEX('Email Cleaner'!$B$2:$B$10001,MATCH(2862,'Email Cleaner'!$J$2:$J$10001,0)),"")</f>
        <v/>
      </c>
    </row>
    <row r="2864">
      <c r="A2864">
        <f>IFERROR(INDEX('Email Cleaner'!$B$2:$B$10001,MATCH(2863,'Email Cleaner'!$J$2:$J$10001,0)),"")</f>
        <v/>
      </c>
    </row>
    <row r="2865">
      <c r="A2865">
        <f>IFERROR(INDEX('Email Cleaner'!$B$2:$B$10001,MATCH(2864,'Email Cleaner'!$J$2:$J$10001,0)),"")</f>
        <v/>
      </c>
    </row>
    <row r="2866">
      <c r="A2866">
        <f>IFERROR(INDEX('Email Cleaner'!$B$2:$B$10001,MATCH(2865,'Email Cleaner'!$J$2:$J$10001,0)),"")</f>
        <v/>
      </c>
    </row>
    <row r="2867">
      <c r="A2867">
        <f>IFERROR(INDEX('Email Cleaner'!$B$2:$B$10001,MATCH(2866,'Email Cleaner'!$J$2:$J$10001,0)),"")</f>
        <v/>
      </c>
    </row>
    <row r="2868">
      <c r="A2868">
        <f>IFERROR(INDEX('Email Cleaner'!$B$2:$B$10001,MATCH(2867,'Email Cleaner'!$J$2:$J$10001,0)),"")</f>
        <v/>
      </c>
    </row>
    <row r="2869">
      <c r="A2869">
        <f>IFERROR(INDEX('Email Cleaner'!$B$2:$B$10001,MATCH(2868,'Email Cleaner'!$J$2:$J$10001,0)),"")</f>
        <v/>
      </c>
    </row>
    <row r="2870">
      <c r="A2870">
        <f>IFERROR(INDEX('Email Cleaner'!$B$2:$B$10001,MATCH(2869,'Email Cleaner'!$J$2:$J$10001,0)),"")</f>
        <v/>
      </c>
    </row>
    <row r="2871">
      <c r="A2871">
        <f>IFERROR(INDEX('Email Cleaner'!$B$2:$B$10001,MATCH(2870,'Email Cleaner'!$J$2:$J$10001,0)),"")</f>
        <v/>
      </c>
    </row>
    <row r="2872">
      <c r="A2872">
        <f>IFERROR(INDEX('Email Cleaner'!$B$2:$B$10001,MATCH(2871,'Email Cleaner'!$J$2:$J$10001,0)),"")</f>
        <v/>
      </c>
    </row>
    <row r="2873">
      <c r="A2873">
        <f>IFERROR(INDEX('Email Cleaner'!$B$2:$B$10001,MATCH(2872,'Email Cleaner'!$J$2:$J$10001,0)),"")</f>
        <v/>
      </c>
    </row>
    <row r="2874">
      <c r="A2874">
        <f>IFERROR(INDEX('Email Cleaner'!$B$2:$B$10001,MATCH(2873,'Email Cleaner'!$J$2:$J$10001,0)),"")</f>
        <v/>
      </c>
    </row>
    <row r="2875">
      <c r="A2875">
        <f>IFERROR(INDEX('Email Cleaner'!$B$2:$B$10001,MATCH(2874,'Email Cleaner'!$J$2:$J$10001,0)),"")</f>
        <v/>
      </c>
    </row>
    <row r="2876">
      <c r="A2876">
        <f>IFERROR(INDEX('Email Cleaner'!$B$2:$B$10001,MATCH(2875,'Email Cleaner'!$J$2:$J$10001,0)),"")</f>
        <v/>
      </c>
    </row>
    <row r="2877">
      <c r="A2877">
        <f>IFERROR(INDEX('Email Cleaner'!$B$2:$B$10001,MATCH(2876,'Email Cleaner'!$J$2:$J$10001,0)),"")</f>
        <v/>
      </c>
    </row>
    <row r="2878">
      <c r="A2878">
        <f>IFERROR(INDEX('Email Cleaner'!$B$2:$B$10001,MATCH(2877,'Email Cleaner'!$J$2:$J$10001,0)),"")</f>
        <v/>
      </c>
    </row>
    <row r="2879">
      <c r="A2879">
        <f>IFERROR(INDEX('Email Cleaner'!$B$2:$B$10001,MATCH(2878,'Email Cleaner'!$J$2:$J$10001,0)),"")</f>
        <v/>
      </c>
    </row>
    <row r="2880">
      <c r="A2880">
        <f>IFERROR(INDEX('Email Cleaner'!$B$2:$B$10001,MATCH(2879,'Email Cleaner'!$J$2:$J$10001,0)),"")</f>
        <v/>
      </c>
    </row>
    <row r="2881">
      <c r="A2881">
        <f>IFERROR(INDEX('Email Cleaner'!$B$2:$B$10001,MATCH(2880,'Email Cleaner'!$J$2:$J$10001,0)),"")</f>
        <v/>
      </c>
    </row>
    <row r="2882">
      <c r="A2882">
        <f>IFERROR(INDEX('Email Cleaner'!$B$2:$B$10001,MATCH(2881,'Email Cleaner'!$J$2:$J$10001,0)),"")</f>
        <v/>
      </c>
    </row>
    <row r="2883">
      <c r="A2883">
        <f>IFERROR(INDEX('Email Cleaner'!$B$2:$B$10001,MATCH(2882,'Email Cleaner'!$J$2:$J$10001,0)),"")</f>
        <v/>
      </c>
    </row>
    <row r="2884">
      <c r="A2884">
        <f>IFERROR(INDEX('Email Cleaner'!$B$2:$B$10001,MATCH(2883,'Email Cleaner'!$J$2:$J$10001,0)),"")</f>
        <v/>
      </c>
    </row>
    <row r="2885">
      <c r="A2885">
        <f>IFERROR(INDEX('Email Cleaner'!$B$2:$B$10001,MATCH(2884,'Email Cleaner'!$J$2:$J$10001,0)),"")</f>
        <v/>
      </c>
    </row>
    <row r="2886">
      <c r="A2886">
        <f>IFERROR(INDEX('Email Cleaner'!$B$2:$B$10001,MATCH(2885,'Email Cleaner'!$J$2:$J$10001,0)),"")</f>
        <v/>
      </c>
    </row>
    <row r="2887">
      <c r="A2887">
        <f>IFERROR(INDEX('Email Cleaner'!$B$2:$B$10001,MATCH(2886,'Email Cleaner'!$J$2:$J$10001,0)),"")</f>
        <v/>
      </c>
    </row>
    <row r="2888">
      <c r="A2888">
        <f>IFERROR(INDEX('Email Cleaner'!$B$2:$B$10001,MATCH(2887,'Email Cleaner'!$J$2:$J$10001,0)),"")</f>
        <v/>
      </c>
    </row>
    <row r="2889">
      <c r="A2889">
        <f>IFERROR(INDEX('Email Cleaner'!$B$2:$B$10001,MATCH(2888,'Email Cleaner'!$J$2:$J$10001,0)),"")</f>
        <v/>
      </c>
    </row>
    <row r="2890">
      <c r="A2890">
        <f>IFERROR(INDEX('Email Cleaner'!$B$2:$B$10001,MATCH(2889,'Email Cleaner'!$J$2:$J$10001,0)),"")</f>
        <v/>
      </c>
    </row>
    <row r="2891">
      <c r="A2891">
        <f>IFERROR(INDEX('Email Cleaner'!$B$2:$B$10001,MATCH(2890,'Email Cleaner'!$J$2:$J$10001,0)),"")</f>
        <v/>
      </c>
    </row>
    <row r="2892">
      <c r="A2892">
        <f>IFERROR(INDEX('Email Cleaner'!$B$2:$B$10001,MATCH(2891,'Email Cleaner'!$J$2:$J$10001,0)),"")</f>
        <v/>
      </c>
    </row>
    <row r="2893">
      <c r="A2893">
        <f>IFERROR(INDEX('Email Cleaner'!$B$2:$B$10001,MATCH(2892,'Email Cleaner'!$J$2:$J$10001,0)),"")</f>
        <v/>
      </c>
    </row>
    <row r="2894">
      <c r="A2894">
        <f>IFERROR(INDEX('Email Cleaner'!$B$2:$B$10001,MATCH(2893,'Email Cleaner'!$J$2:$J$10001,0)),"")</f>
        <v/>
      </c>
    </row>
    <row r="2895">
      <c r="A2895">
        <f>IFERROR(INDEX('Email Cleaner'!$B$2:$B$10001,MATCH(2894,'Email Cleaner'!$J$2:$J$10001,0)),"")</f>
        <v/>
      </c>
    </row>
    <row r="2896">
      <c r="A2896">
        <f>IFERROR(INDEX('Email Cleaner'!$B$2:$B$10001,MATCH(2895,'Email Cleaner'!$J$2:$J$10001,0)),"")</f>
        <v/>
      </c>
    </row>
    <row r="2897">
      <c r="A2897">
        <f>IFERROR(INDEX('Email Cleaner'!$B$2:$B$10001,MATCH(2896,'Email Cleaner'!$J$2:$J$10001,0)),"")</f>
        <v/>
      </c>
    </row>
    <row r="2898">
      <c r="A2898">
        <f>IFERROR(INDEX('Email Cleaner'!$B$2:$B$10001,MATCH(2897,'Email Cleaner'!$J$2:$J$10001,0)),"")</f>
        <v/>
      </c>
    </row>
    <row r="2899">
      <c r="A2899">
        <f>IFERROR(INDEX('Email Cleaner'!$B$2:$B$10001,MATCH(2898,'Email Cleaner'!$J$2:$J$10001,0)),"")</f>
        <v/>
      </c>
    </row>
    <row r="2900">
      <c r="A2900">
        <f>IFERROR(INDEX('Email Cleaner'!$B$2:$B$10001,MATCH(2899,'Email Cleaner'!$J$2:$J$10001,0)),"")</f>
        <v/>
      </c>
    </row>
    <row r="2901">
      <c r="A2901">
        <f>IFERROR(INDEX('Email Cleaner'!$B$2:$B$10001,MATCH(2900,'Email Cleaner'!$J$2:$J$10001,0)),"")</f>
        <v/>
      </c>
    </row>
    <row r="2902">
      <c r="A2902">
        <f>IFERROR(INDEX('Email Cleaner'!$B$2:$B$10001,MATCH(2901,'Email Cleaner'!$J$2:$J$10001,0)),"")</f>
        <v/>
      </c>
    </row>
    <row r="2903">
      <c r="A2903">
        <f>IFERROR(INDEX('Email Cleaner'!$B$2:$B$10001,MATCH(2902,'Email Cleaner'!$J$2:$J$10001,0)),"")</f>
        <v/>
      </c>
    </row>
    <row r="2904">
      <c r="A2904">
        <f>IFERROR(INDEX('Email Cleaner'!$B$2:$B$10001,MATCH(2903,'Email Cleaner'!$J$2:$J$10001,0)),"")</f>
        <v/>
      </c>
    </row>
    <row r="2905">
      <c r="A2905">
        <f>IFERROR(INDEX('Email Cleaner'!$B$2:$B$10001,MATCH(2904,'Email Cleaner'!$J$2:$J$10001,0)),"")</f>
        <v/>
      </c>
    </row>
    <row r="2906">
      <c r="A2906">
        <f>IFERROR(INDEX('Email Cleaner'!$B$2:$B$10001,MATCH(2905,'Email Cleaner'!$J$2:$J$10001,0)),"")</f>
        <v/>
      </c>
    </row>
    <row r="2907">
      <c r="A2907">
        <f>IFERROR(INDEX('Email Cleaner'!$B$2:$B$10001,MATCH(2906,'Email Cleaner'!$J$2:$J$10001,0)),"")</f>
        <v/>
      </c>
    </row>
    <row r="2908">
      <c r="A2908">
        <f>IFERROR(INDEX('Email Cleaner'!$B$2:$B$10001,MATCH(2907,'Email Cleaner'!$J$2:$J$10001,0)),"")</f>
        <v/>
      </c>
    </row>
    <row r="2909">
      <c r="A2909">
        <f>IFERROR(INDEX('Email Cleaner'!$B$2:$B$10001,MATCH(2908,'Email Cleaner'!$J$2:$J$10001,0)),"")</f>
        <v/>
      </c>
    </row>
    <row r="2910">
      <c r="A2910">
        <f>IFERROR(INDEX('Email Cleaner'!$B$2:$B$10001,MATCH(2909,'Email Cleaner'!$J$2:$J$10001,0)),"")</f>
        <v/>
      </c>
    </row>
    <row r="2911">
      <c r="A2911">
        <f>IFERROR(INDEX('Email Cleaner'!$B$2:$B$10001,MATCH(2910,'Email Cleaner'!$J$2:$J$10001,0)),"")</f>
        <v/>
      </c>
    </row>
    <row r="2912">
      <c r="A2912">
        <f>IFERROR(INDEX('Email Cleaner'!$B$2:$B$10001,MATCH(2911,'Email Cleaner'!$J$2:$J$10001,0)),"")</f>
        <v/>
      </c>
    </row>
    <row r="2913">
      <c r="A2913">
        <f>IFERROR(INDEX('Email Cleaner'!$B$2:$B$10001,MATCH(2912,'Email Cleaner'!$J$2:$J$10001,0)),"")</f>
        <v/>
      </c>
    </row>
    <row r="2914">
      <c r="A2914">
        <f>IFERROR(INDEX('Email Cleaner'!$B$2:$B$10001,MATCH(2913,'Email Cleaner'!$J$2:$J$10001,0)),"")</f>
        <v/>
      </c>
    </row>
    <row r="2915">
      <c r="A2915">
        <f>IFERROR(INDEX('Email Cleaner'!$B$2:$B$10001,MATCH(2914,'Email Cleaner'!$J$2:$J$10001,0)),"")</f>
        <v/>
      </c>
    </row>
    <row r="2916">
      <c r="A2916">
        <f>IFERROR(INDEX('Email Cleaner'!$B$2:$B$10001,MATCH(2915,'Email Cleaner'!$J$2:$J$10001,0)),"")</f>
        <v/>
      </c>
    </row>
    <row r="2917">
      <c r="A2917">
        <f>IFERROR(INDEX('Email Cleaner'!$B$2:$B$10001,MATCH(2916,'Email Cleaner'!$J$2:$J$10001,0)),"")</f>
        <v/>
      </c>
    </row>
    <row r="2918">
      <c r="A2918">
        <f>IFERROR(INDEX('Email Cleaner'!$B$2:$B$10001,MATCH(2917,'Email Cleaner'!$J$2:$J$10001,0)),"")</f>
        <v/>
      </c>
    </row>
    <row r="2919">
      <c r="A2919">
        <f>IFERROR(INDEX('Email Cleaner'!$B$2:$B$10001,MATCH(2918,'Email Cleaner'!$J$2:$J$10001,0)),"")</f>
        <v/>
      </c>
    </row>
    <row r="2920">
      <c r="A2920">
        <f>IFERROR(INDEX('Email Cleaner'!$B$2:$B$10001,MATCH(2919,'Email Cleaner'!$J$2:$J$10001,0)),"")</f>
        <v/>
      </c>
    </row>
    <row r="2921">
      <c r="A2921">
        <f>IFERROR(INDEX('Email Cleaner'!$B$2:$B$10001,MATCH(2920,'Email Cleaner'!$J$2:$J$10001,0)),"")</f>
        <v/>
      </c>
    </row>
    <row r="2922">
      <c r="A2922">
        <f>IFERROR(INDEX('Email Cleaner'!$B$2:$B$10001,MATCH(2921,'Email Cleaner'!$J$2:$J$10001,0)),"")</f>
        <v/>
      </c>
    </row>
    <row r="2923">
      <c r="A2923">
        <f>IFERROR(INDEX('Email Cleaner'!$B$2:$B$10001,MATCH(2922,'Email Cleaner'!$J$2:$J$10001,0)),"")</f>
        <v/>
      </c>
    </row>
    <row r="2924">
      <c r="A2924">
        <f>IFERROR(INDEX('Email Cleaner'!$B$2:$B$10001,MATCH(2923,'Email Cleaner'!$J$2:$J$10001,0)),"")</f>
        <v/>
      </c>
    </row>
    <row r="2925">
      <c r="A2925">
        <f>IFERROR(INDEX('Email Cleaner'!$B$2:$B$10001,MATCH(2924,'Email Cleaner'!$J$2:$J$10001,0)),"")</f>
        <v/>
      </c>
    </row>
    <row r="2926">
      <c r="A2926">
        <f>IFERROR(INDEX('Email Cleaner'!$B$2:$B$10001,MATCH(2925,'Email Cleaner'!$J$2:$J$10001,0)),"")</f>
        <v/>
      </c>
    </row>
    <row r="2927">
      <c r="A2927">
        <f>IFERROR(INDEX('Email Cleaner'!$B$2:$B$10001,MATCH(2926,'Email Cleaner'!$J$2:$J$10001,0)),"")</f>
        <v/>
      </c>
    </row>
    <row r="2928">
      <c r="A2928">
        <f>IFERROR(INDEX('Email Cleaner'!$B$2:$B$10001,MATCH(2927,'Email Cleaner'!$J$2:$J$10001,0)),"")</f>
        <v/>
      </c>
    </row>
    <row r="2929">
      <c r="A2929">
        <f>IFERROR(INDEX('Email Cleaner'!$B$2:$B$10001,MATCH(2928,'Email Cleaner'!$J$2:$J$10001,0)),"")</f>
        <v/>
      </c>
    </row>
    <row r="2930">
      <c r="A2930">
        <f>IFERROR(INDEX('Email Cleaner'!$B$2:$B$10001,MATCH(2929,'Email Cleaner'!$J$2:$J$10001,0)),"")</f>
        <v/>
      </c>
    </row>
    <row r="2931">
      <c r="A2931">
        <f>IFERROR(INDEX('Email Cleaner'!$B$2:$B$10001,MATCH(2930,'Email Cleaner'!$J$2:$J$10001,0)),"")</f>
        <v/>
      </c>
    </row>
    <row r="2932">
      <c r="A2932">
        <f>IFERROR(INDEX('Email Cleaner'!$B$2:$B$10001,MATCH(2931,'Email Cleaner'!$J$2:$J$10001,0)),"")</f>
        <v/>
      </c>
    </row>
    <row r="2933">
      <c r="A2933">
        <f>IFERROR(INDEX('Email Cleaner'!$B$2:$B$10001,MATCH(2932,'Email Cleaner'!$J$2:$J$10001,0)),"")</f>
        <v/>
      </c>
    </row>
    <row r="2934">
      <c r="A2934">
        <f>IFERROR(INDEX('Email Cleaner'!$B$2:$B$10001,MATCH(2933,'Email Cleaner'!$J$2:$J$10001,0)),"")</f>
        <v/>
      </c>
    </row>
    <row r="2935">
      <c r="A2935">
        <f>IFERROR(INDEX('Email Cleaner'!$B$2:$B$10001,MATCH(2934,'Email Cleaner'!$J$2:$J$10001,0)),"")</f>
        <v/>
      </c>
    </row>
    <row r="2936">
      <c r="A2936">
        <f>IFERROR(INDEX('Email Cleaner'!$B$2:$B$10001,MATCH(2935,'Email Cleaner'!$J$2:$J$10001,0)),"")</f>
        <v/>
      </c>
    </row>
    <row r="2937">
      <c r="A2937">
        <f>IFERROR(INDEX('Email Cleaner'!$B$2:$B$10001,MATCH(2936,'Email Cleaner'!$J$2:$J$10001,0)),"")</f>
        <v/>
      </c>
    </row>
    <row r="2938">
      <c r="A2938">
        <f>IFERROR(INDEX('Email Cleaner'!$B$2:$B$10001,MATCH(2937,'Email Cleaner'!$J$2:$J$10001,0)),"")</f>
        <v/>
      </c>
    </row>
    <row r="2939">
      <c r="A2939">
        <f>IFERROR(INDEX('Email Cleaner'!$B$2:$B$10001,MATCH(2938,'Email Cleaner'!$J$2:$J$10001,0)),"")</f>
        <v/>
      </c>
    </row>
    <row r="2940">
      <c r="A2940">
        <f>IFERROR(INDEX('Email Cleaner'!$B$2:$B$10001,MATCH(2939,'Email Cleaner'!$J$2:$J$10001,0)),"")</f>
        <v/>
      </c>
    </row>
    <row r="2941">
      <c r="A2941">
        <f>IFERROR(INDEX('Email Cleaner'!$B$2:$B$10001,MATCH(2940,'Email Cleaner'!$J$2:$J$10001,0)),"")</f>
        <v/>
      </c>
    </row>
    <row r="2942">
      <c r="A2942">
        <f>IFERROR(INDEX('Email Cleaner'!$B$2:$B$10001,MATCH(2941,'Email Cleaner'!$J$2:$J$10001,0)),"")</f>
        <v/>
      </c>
    </row>
    <row r="2943">
      <c r="A2943">
        <f>IFERROR(INDEX('Email Cleaner'!$B$2:$B$10001,MATCH(2942,'Email Cleaner'!$J$2:$J$10001,0)),"")</f>
        <v/>
      </c>
    </row>
    <row r="2944">
      <c r="A2944">
        <f>IFERROR(INDEX('Email Cleaner'!$B$2:$B$10001,MATCH(2943,'Email Cleaner'!$J$2:$J$10001,0)),"")</f>
        <v/>
      </c>
    </row>
    <row r="2945">
      <c r="A2945">
        <f>IFERROR(INDEX('Email Cleaner'!$B$2:$B$10001,MATCH(2944,'Email Cleaner'!$J$2:$J$10001,0)),"")</f>
        <v/>
      </c>
    </row>
    <row r="2946">
      <c r="A2946">
        <f>IFERROR(INDEX('Email Cleaner'!$B$2:$B$10001,MATCH(2945,'Email Cleaner'!$J$2:$J$10001,0)),"")</f>
        <v/>
      </c>
    </row>
    <row r="2947">
      <c r="A2947">
        <f>IFERROR(INDEX('Email Cleaner'!$B$2:$B$10001,MATCH(2946,'Email Cleaner'!$J$2:$J$10001,0)),"")</f>
        <v/>
      </c>
    </row>
    <row r="2948">
      <c r="A2948">
        <f>IFERROR(INDEX('Email Cleaner'!$B$2:$B$10001,MATCH(2947,'Email Cleaner'!$J$2:$J$10001,0)),"")</f>
        <v/>
      </c>
    </row>
    <row r="2949">
      <c r="A2949">
        <f>IFERROR(INDEX('Email Cleaner'!$B$2:$B$10001,MATCH(2948,'Email Cleaner'!$J$2:$J$10001,0)),"")</f>
        <v/>
      </c>
    </row>
    <row r="2950">
      <c r="A2950">
        <f>IFERROR(INDEX('Email Cleaner'!$B$2:$B$10001,MATCH(2949,'Email Cleaner'!$J$2:$J$10001,0)),"")</f>
        <v/>
      </c>
    </row>
    <row r="2951">
      <c r="A2951">
        <f>IFERROR(INDEX('Email Cleaner'!$B$2:$B$10001,MATCH(2950,'Email Cleaner'!$J$2:$J$10001,0)),"")</f>
        <v/>
      </c>
    </row>
    <row r="2952">
      <c r="A2952">
        <f>IFERROR(INDEX('Email Cleaner'!$B$2:$B$10001,MATCH(2951,'Email Cleaner'!$J$2:$J$10001,0)),"")</f>
        <v/>
      </c>
    </row>
    <row r="2953">
      <c r="A2953">
        <f>IFERROR(INDEX('Email Cleaner'!$B$2:$B$10001,MATCH(2952,'Email Cleaner'!$J$2:$J$10001,0)),"")</f>
        <v/>
      </c>
    </row>
    <row r="2954">
      <c r="A2954">
        <f>IFERROR(INDEX('Email Cleaner'!$B$2:$B$10001,MATCH(2953,'Email Cleaner'!$J$2:$J$10001,0)),"")</f>
        <v/>
      </c>
    </row>
    <row r="2955">
      <c r="A2955">
        <f>IFERROR(INDEX('Email Cleaner'!$B$2:$B$10001,MATCH(2954,'Email Cleaner'!$J$2:$J$10001,0)),"")</f>
        <v/>
      </c>
    </row>
    <row r="2956">
      <c r="A2956">
        <f>IFERROR(INDEX('Email Cleaner'!$B$2:$B$10001,MATCH(2955,'Email Cleaner'!$J$2:$J$10001,0)),"")</f>
        <v/>
      </c>
    </row>
    <row r="2957">
      <c r="A2957">
        <f>IFERROR(INDEX('Email Cleaner'!$B$2:$B$10001,MATCH(2956,'Email Cleaner'!$J$2:$J$10001,0)),"")</f>
        <v/>
      </c>
    </row>
    <row r="2958">
      <c r="A2958">
        <f>IFERROR(INDEX('Email Cleaner'!$B$2:$B$10001,MATCH(2957,'Email Cleaner'!$J$2:$J$10001,0)),"")</f>
        <v/>
      </c>
    </row>
    <row r="2959">
      <c r="A2959">
        <f>IFERROR(INDEX('Email Cleaner'!$B$2:$B$10001,MATCH(2958,'Email Cleaner'!$J$2:$J$10001,0)),"")</f>
        <v/>
      </c>
    </row>
    <row r="2960">
      <c r="A2960">
        <f>IFERROR(INDEX('Email Cleaner'!$B$2:$B$10001,MATCH(2959,'Email Cleaner'!$J$2:$J$10001,0)),"")</f>
        <v/>
      </c>
    </row>
    <row r="2961">
      <c r="A2961">
        <f>IFERROR(INDEX('Email Cleaner'!$B$2:$B$10001,MATCH(2960,'Email Cleaner'!$J$2:$J$10001,0)),"")</f>
        <v/>
      </c>
    </row>
    <row r="2962">
      <c r="A2962">
        <f>IFERROR(INDEX('Email Cleaner'!$B$2:$B$10001,MATCH(2961,'Email Cleaner'!$J$2:$J$10001,0)),"")</f>
        <v/>
      </c>
    </row>
    <row r="2963">
      <c r="A2963">
        <f>IFERROR(INDEX('Email Cleaner'!$B$2:$B$10001,MATCH(2962,'Email Cleaner'!$J$2:$J$10001,0)),"")</f>
        <v/>
      </c>
    </row>
    <row r="2964">
      <c r="A2964">
        <f>IFERROR(INDEX('Email Cleaner'!$B$2:$B$10001,MATCH(2963,'Email Cleaner'!$J$2:$J$10001,0)),"")</f>
        <v/>
      </c>
    </row>
    <row r="2965">
      <c r="A2965">
        <f>IFERROR(INDEX('Email Cleaner'!$B$2:$B$10001,MATCH(2964,'Email Cleaner'!$J$2:$J$10001,0)),"")</f>
        <v/>
      </c>
    </row>
    <row r="2966">
      <c r="A2966">
        <f>IFERROR(INDEX('Email Cleaner'!$B$2:$B$10001,MATCH(2965,'Email Cleaner'!$J$2:$J$10001,0)),"")</f>
        <v/>
      </c>
    </row>
    <row r="2967">
      <c r="A2967">
        <f>IFERROR(INDEX('Email Cleaner'!$B$2:$B$10001,MATCH(2966,'Email Cleaner'!$J$2:$J$10001,0)),"")</f>
        <v/>
      </c>
    </row>
    <row r="2968">
      <c r="A2968">
        <f>IFERROR(INDEX('Email Cleaner'!$B$2:$B$10001,MATCH(2967,'Email Cleaner'!$J$2:$J$10001,0)),"")</f>
        <v/>
      </c>
    </row>
    <row r="2969">
      <c r="A2969">
        <f>IFERROR(INDEX('Email Cleaner'!$B$2:$B$10001,MATCH(2968,'Email Cleaner'!$J$2:$J$10001,0)),"")</f>
        <v/>
      </c>
    </row>
    <row r="2970">
      <c r="A2970">
        <f>IFERROR(INDEX('Email Cleaner'!$B$2:$B$10001,MATCH(2969,'Email Cleaner'!$J$2:$J$10001,0)),"")</f>
        <v/>
      </c>
    </row>
    <row r="2971">
      <c r="A2971">
        <f>IFERROR(INDEX('Email Cleaner'!$B$2:$B$10001,MATCH(2970,'Email Cleaner'!$J$2:$J$10001,0)),"")</f>
        <v/>
      </c>
    </row>
    <row r="2972">
      <c r="A2972">
        <f>IFERROR(INDEX('Email Cleaner'!$B$2:$B$10001,MATCH(2971,'Email Cleaner'!$J$2:$J$10001,0)),"")</f>
        <v/>
      </c>
    </row>
    <row r="2973">
      <c r="A2973">
        <f>IFERROR(INDEX('Email Cleaner'!$B$2:$B$10001,MATCH(2972,'Email Cleaner'!$J$2:$J$10001,0)),"")</f>
        <v/>
      </c>
    </row>
    <row r="2974">
      <c r="A2974">
        <f>IFERROR(INDEX('Email Cleaner'!$B$2:$B$10001,MATCH(2973,'Email Cleaner'!$J$2:$J$10001,0)),"")</f>
        <v/>
      </c>
    </row>
    <row r="2975">
      <c r="A2975">
        <f>IFERROR(INDEX('Email Cleaner'!$B$2:$B$10001,MATCH(2974,'Email Cleaner'!$J$2:$J$10001,0)),"")</f>
        <v/>
      </c>
    </row>
    <row r="2976">
      <c r="A2976">
        <f>IFERROR(INDEX('Email Cleaner'!$B$2:$B$10001,MATCH(2975,'Email Cleaner'!$J$2:$J$10001,0)),"")</f>
        <v/>
      </c>
    </row>
    <row r="2977">
      <c r="A2977">
        <f>IFERROR(INDEX('Email Cleaner'!$B$2:$B$10001,MATCH(2976,'Email Cleaner'!$J$2:$J$10001,0)),"")</f>
        <v/>
      </c>
    </row>
    <row r="2978">
      <c r="A2978">
        <f>IFERROR(INDEX('Email Cleaner'!$B$2:$B$10001,MATCH(2977,'Email Cleaner'!$J$2:$J$10001,0)),"")</f>
        <v/>
      </c>
    </row>
    <row r="2979">
      <c r="A2979">
        <f>IFERROR(INDEX('Email Cleaner'!$B$2:$B$10001,MATCH(2978,'Email Cleaner'!$J$2:$J$10001,0)),"")</f>
        <v/>
      </c>
    </row>
    <row r="2980">
      <c r="A2980">
        <f>IFERROR(INDEX('Email Cleaner'!$B$2:$B$10001,MATCH(2979,'Email Cleaner'!$J$2:$J$10001,0)),"")</f>
        <v/>
      </c>
    </row>
    <row r="2981">
      <c r="A2981">
        <f>IFERROR(INDEX('Email Cleaner'!$B$2:$B$10001,MATCH(2980,'Email Cleaner'!$J$2:$J$10001,0)),"")</f>
        <v/>
      </c>
    </row>
    <row r="2982">
      <c r="A2982">
        <f>IFERROR(INDEX('Email Cleaner'!$B$2:$B$10001,MATCH(2981,'Email Cleaner'!$J$2:$J$10001,0)),"")</f>
        <v/>
      </c>
    </row>
    <row r="2983">
      <c r="A2983">
        <f>IFERROR(INDEX('Email Cleaner'!$B$2:$B$10001,MATCH(2982,'Email Cleaner'!$J$2:$J$10001,0)),"")</f>
        <v/>
      </c>
    </row>
    <row r="2984">
      <c r="A2984">
        <f>IFERROR(INDEX('Email Cleaner'!$B$2:$B$10001,MATCH(2983,'Email Cleaner'!$J$2:$J$10001,0)),"")</f>
        <v/>
      </c>
    </row>
    <row r="2985">
      <c r="A2985">
        <f>IFERROR(INDEX('Email Cleaner'!$B$2:$B$10001,MATCH(2984,'Email Cleaner'!$J$2:$J$10001,0)),"")</f>
        <v/>
      </c>
    </row>
    <row r="2986">
      <c r="A2986">
        <f>IFERROR(INDEX('Email Cleaner'!$B$2:$B$10001,MATCH(2985,'Email Cleaner'!$J$2:$J$10001,0)),"")</f>
        <v/>
      </c>
    </row>
    <row r="2987">
      <c r="A2987">
        <f>IFERROR(INDEX('Email Cleaner'!$B$2:$B$10001,MATCH(2986,'Email Cleaner'!$J$2:$J$10001,0)),"")</f>
        <v/>
      </c>
    </row>
    <row r="2988">
      <c r="A2988">
        <f>IFERROR(INDEX('Email Cleaner'!$B$2:$B$10001,MATCH(2987,'Email Cleaner'!$J$2:$J$10001,0)),"")</f>
        <v/>
      </c>
    </row>
    <row r="2989">
      <c r="A2989">
        <f>IFERROR(INDEX('Email Cleaner'!$B$2:$B$10001,MATCH(2988,'Email Cleaner'!$J$2:$J$10001,0)),"")</f>
        <v/>
      </c>
    </row>
    <row r="2990">
      <c r="A2990">
        <f>IFERROR(INDEX('Email Cleaner'!$B$2:$B$10001,MATCH(2989,'Email Cleaner'!$J$2:$J$10001,0)),"")</f>
        <v/>
      </c>
    </row>
    <row r="2991">
      <c r="A2991">
        <f>IFERROR(INDEX('Email Cleaner'!$B$2:$B$10001,MATCH(2990,'Email Cleaner'!$J$2:$J$10001,0)),"")</f>
        <v/>
      </c>
    </row>
    <row r="2992">
      <c r="A2992">
        <f>IFERROR(INDEX('Email Cleaner'!$B$2:$B$10001,MATCH(2991,'Email Cleaner'!$J$2:$J$10001,0)),"")</f>
        <v/>
      </c>
    </row>
    <row r="2993">
      <c r="A2993">
        <f>IFERROR(INDEX('Email Cleaner'!$B$2:$B$10001,MATCH(2992,'Email Cleaner'!$J$2:$J$10001,0)),"")</f>
        <v/>
      </c>
    </row>
    <row r="2994">
      <c r="A2994">
        <f>IFERROR(INDEX('Email Cleaner'!$B$2:$B$10001,MATCH(2993,'Email Cleaner'!$J$2:$J$10001,0)),"")</f>
        <v/>
      </c>
    </row>
    <row r="2995">
      <c r="A2995">
        <f>IFERROR(INDEX('Email Cleaner'!$B$2:$B$10001,MATCH(2994,'Email Cleaner'!$J$2:$J$10001,0)),"")</f>
        <v/>
      </c>
    </row>
    <row r="2996">
      <c r="A2996">
        <f>IFERROR(INDEX('Email Cleaner'!$B$2:$B$10001,MATCH(2995,'Email Cleaner'!$J$2:$J$10001,0)),"")</f>
        <v/>
      </c>
    </row>
    <row r="2997">
      <c r="A2997">
        <f>IFERROR(INDEX('Email Cleaner'!$B$2:$B$10001,MATCH(2996,'Email Cleaner'!$J$2:$J$10001,0)),"")</f>
        <v/>
      </c>
    </row>
    <row r="2998">
      <c r="A2998">
        <f>IFERROR(INDEX('Email Cleaner'!$B$2:$B$10001,MATCH(2997,'Email Cleaner'!$J$2:$J$10001,0)),"")</f>
        <v/>
      </c>
    </row>
    <row r="2999">
      <c r="A2999">
        <f>IFERROR(INDEX('Email Cleaner'!$B$2:$B$10001,MATCH(2998,'Email Cleaner'!$J$2:$J$10001,0)),"")</f>
        <v/>
      </c>
    </row>
    <row r="3000">
      <c r="A3000">
        <f>IFERROR(INDEX('Email Cleaner'!$B$2:$B$10001,MATCH(2999,'Email Cleaner'!$J$2:$J$10001,0)),"")</f>
        <v/>
      </c>
    </row>
    <row r="3001">
      <c r="A3001">
        <f>IFERROR(INDEX('Email Cleaner'!$B$2:$B$10001,MATCH(3000,'Email Cleaner'!$J$2:$J$10001,0)),"")</f>
        <v/>
      </c>
    </row>
    <row r="3002">
      <c r="A3002">
        <f>IFERROR(INDEX('Email Cleaner'!$B$2:$B$10001,MATCH(3001,'Email Cleaner'!$J$2:$J$10001,0)),"")</f>
        <v/>
      </c>
    </row>
    <row r="3003">
      <c r="A3003">
        <f>IFERROR(INDEX('Email Cleaner'!$B$2:$B$10001,MATCH(3002,'Email Cleaner'!$J$2:$J$10001,0)),"")</f>
        <v/>
      </c>
    </row>
    <row r="3004">
      <c r="A3004">
        <f>IFERROR(INDEX('Email Cleaner'!$B$2:$B$10001,MATCH(3003,'Email Cleaner'!$J$2:$J$10001,0)),"")</f>
        <v/>
      </c>
    </row>
    <row r="3005">
      <c r="A3005">
        <f>IFERROR(INDEX('Email Cleaner'!$B$2:$B$10001,MATCH(3004,'Email Cleaner'!$J$2:$J$10001,0)),"")</f>
        <v/>
      </c>
    </row>
    <row r="3006">
      <c r="A3006">
        <f>IFERROR(INDEX('Email Cleaner'!$B$2:$B$10001,MATCH(3005,'Email Cleaner'!$J$2:$J$10001,0)),"")</f>
        <v/>
      </c>
    </row>
    <row r="3007">
      <c r="A3007">
        <f>IFERROR(INDEX('Email Cleaner'!$B$2:$B$10001,MATCH(3006,'Email Cleaner'!$J$2:$J$10001,0)),"")</f>
        <v/>
      </c>
    </row>
    <row r="3008">
      <c r="A3008">
        <f>IFERROR(INDEX('Email Cleaner'!$B$2:$B$10001,MATCH(3007,'Email Cleaner'!$J$2:$J$10001,0)),"")</f>
        <v/>
      </c>
    </row>
    <row r="3009">
      <c r="A3009">
        <f>IFERROR(INDEX('Email Cleaner'!$B$2:$B$10001,MATCH(3008,'Email Cleaner'!$J$2:$J$10001,0)),"")</f>
        <v/>
      </c>
    </row>
    <row r="3010">
      <c r="A3010">
        <f>IFERROR(INDEX('Email Cleaner'!$B$2:$B$10001,MATCH(3009,'Email Cleaner'!$J$2:$J$10001,0)),"")</f>
        <v/>
      </c>
    </row>
    <row r="3011">
      <c r="A3011">
        <f>IFERROR(INDEX('Email Cleaner'!$B$2:$B$10001,MATCH(3010,'Email Cleaner'!$J$2:$J$10001,0)),"")</f>
        <v/>
      </c>
    </row>
    <row r="3012">
      <c r="A3012">
        <f>IFERROR(INDEX('Email Cleaner'!$B$2:$B$10001,MATCH(3011,'Email Cleaner'!$J$2:$J$10001,0)),"")</f>
        <v/>
      </c>
    </row>
    <row r="3013">
      <c r="A3013">
        <f>IFERROR(INDEX('Email Cleaner'!$B$2:$B$10001,MATCH(3012,'Email Cleaner'!$J$2:$J$10001,0)),"")</f>
        <v/>
      </c>
    </row>
    <row r="3014">
      <c r="A3014">
        <f>IFERROR(INDEX('Email Cleaner'!$B$2:$B$10001,MATCH(3013,'Email Cleaner'!$J$2:$J$10001,0)),"")</f>
        <v/>
      </c>
    </row>
    <row r="3015">
      <c r="A3015">
        <f>IFERROR(INDEX('Email Cleaner'!$B$2:$B$10001,MATCH(3014,'Email Cleaner'!$J$2:$J$10001,0)),"")</f>
        <v/>
      </c>
    </row>
    <row r="3016">
      <c r="A3016">
        <f>IFERROR(INDEX('Email Cleaner'!$B$2:$B$10001,MATCH(3015,'Email Cleaner'!$J$2:$J$10001,0)),"")</f>
        <v/>
      </c>
    </row>
    <row r="3017">
      <c r="A3017">
        <f>IFERROR(INDEX('Email Cleaner'!$B$2:$B$10001,MATCH(3016,'Email Cleaner'!$J$2:$J$10001,0)),"")</f>
        <v/>
      </c>
    </row>
    <row r="3018">
      <c r="A3018">
        <f>IFERROR(INDEX('Email Cleaner'!$B$2:$B$10001,MATCH(3017,'Email Cleaner'!$J$2:$J$10001,0)),"")</f>
        <v/>
      </c>
    </row>
    <row r="3019">
      <c r="A3019">
        <f>IFERROR(INDEX('Email Cleaner'!$B$2:$B$10001,MATCH(3018,'Email Cleaner'!$J$2:$J$10001,0)),"")</f>
        <v/>
      </c>
    </row>
    <row r="3020">
      <c r="A3020">
        <f>IFERROR(INDEX('Email Cleaner'!$B$2:$B$10001,MATCH(3019,'Email Cleaner'!$J$2:$J$10001,0)),"")</f>
        <v/>
      </c>
    </row>
    <row r="3021">
      <c r="A3021">
        <f>IFERROR(INDEX('Email Cleaner'!$B$2:$B$10001,MATCH(3020,'Email Cleaner'!$J$2:$J$10001,0)),"")</f>
        <v/>
      </c>
    </row>
    <row r="3022">
      <c r="A3022">
        <f>IFERROR(INDEX('Email Cleaner'!$B$2:$B$10001,MATCH(3021,'Email Cleaner'!$J$2:$J$10001,0)),"")</f>
        <v/>
      </c>
    </row>
    <row r="3023">
      <c r="A3023">
        <f>IFERROR(INDEX('Email Cleaner'!$B$2:$B$10001,MATCH(3022,'Email Cleaner'!$J$2:$J$10001,0)),"")</f>
        <v/>
      </c>
    </row>
    <row r="3024">
      <c r="A3024">
        <f>IFERROR(INDEX('Email Cleaner'!$B$2:$B$10001,MATCH(3023,'Email Cleaner'!$J$2:$J$10001,0)),"")</f>
        <v/>
      </c>
    </row>
    <row r="3025">
      <c r="A3025">
        <f>IFERROR(INDEX('Email Cleaner'!$B$2:$B$10001,MATCH(3024,'Email Cleaner'!$J$2:$J$10001,0)),"")</f>
        <v/>
      </c>
    </row>
    <row r="3026">
      <c r="A3026">
        <f>IFERROR(INDEX('Email Cleaner'!$B$2:$B$10001,MATCH(3025,'Email Cleaner'!$J$2:$J$10001,0)),"")</f>
        <v/>
      </c>
    </row>
    <row r="3027">
      <c r="A3027">
        <f>IFERROR(INDEX('Email Cleaner'!$B$2:$B$10001,MATCH(3026,'Email Cleaner'!$J$2:$J$10001,0)),"")</f>
        <v/>
      </c>
    </row>
    <row r="3028">
      <c r="A3028">
        <f>IFERROR(INDEX('Email Cleaner'!$B$2:$B$10001,MATCH(3027,'Email Cleaner'!$J$2:$J$10001,0)),"")</f>
        <v/>
      </c>
    </row>
    <row r="3029">
      <c r="A3029">
        <f>IFERROR(INDEX('Email Cleaner'!$B$2:$B$10001,MATCH(3028,'Email Cleaner'!$J$2:$J$10001,0)),"")</f>
        <v/>
      </c>
    </row>
    <row r="3030">
      <c r="A3030">
        <f>IFERROR(INDEX('Email Cleaner'!$B$2:$B$10001,MATCH(3029,'Email Cleaner'!$J$2:$J$10001,0)),"")</f>
        <v/>
      </c>
    </row>
    <row r="3031">
      <c r="A3031">
        <f>IFERROR(INDEX('Email Cleaner'!$B$2:$B$10001,MATCH(3030,'Email Cleaner'!$J$2:$J$10001,0)),"")</f>
        <v/>
      </c>
    </row>
    <row r="3032">
      <c r="A3032">
        <f>IFERROR(INDEX('Email Cleaner'!$B$2:$B$10001,MATCH(3031,'Email Cleaner'!$J$2:$J$10001,0)),"")</f>
        <v/>
      </c>
    </row>
    <row r="3033">
      <c r="A3033">
        <f>IFERROR(INDEX('Email Cleaner'!$B$2:$B$10001,MATCH(3032,'Email Cleaner'!$J$2:$J$10001,0)),"")</f>
        <v/>
      </c>
    </row>
    <row r="3034">
      <c r="A3034">
        <f>IFERROR(INDEX('Email Cleaner'!$B$2:$B$10001,MATCH(3033,'Email Cleaner'!$J$2:$J$10001,0)),"")</f>
        <v/>
      </c>
    </row>
    <row r="3035">
      <c r="A3035">
        <f>IFERROR(INDEX('Email Cleaner'!$B$2:$B$10001,MATCH(3034,'Email Cleaner'!$J$2:$J$10001,0)),"")</f>
        <v/>
      </c>
    </row>
    <row r="3036">
      <c r="A3036">
        <f>IFERROR(INDEX('Email Cleaner'!$B$2:$B$10001,MATCH(3035,'Email Cleaner'!$J$2:$J$10001,0)),"")</f>
        <v/>
      </c>
    </row>
    <row r="3037">
      <c r="A3037">
        <f>IFERROR(INDEX('Email Cleaner'!$B$2:$B$10001,MATCH(3036,'Email Cleaner'!$J$2:$J$10001,0)),"")</f>
        <v/>
      </c>
    </row>
    <row r="3038">
      <c r="A3038">
        <f>IFERROR(INDEX('Email Cleaner'!$B$2:$B$10001,MATCH(3037,'Email Cleaner'!$J$2:$J$10001,0)),"")</f>
        <v/>
      </c>
    </row>
    <row r="3039">
      <c r="A3039">
        <f>IFERROR(INDEX('Email Cleaner'!$B$2:$B$10001,MATCH(3038,'Email Cleaner'!$J$2:$J$10001,0)),"")</f>
        <v/>
      </c>
    </row>
    <row r="3040">
      <c r="A3040">
        <f>IFERROR(INDEX('Email Cleaner'!$B$2:$B$10001,MATCH(3039,'Email Cleaner'!$J$2:$J$10001,0)),"")</f>
        <v/>
      </c>
    </row>
    <row r="3041">
      <c r="A3041">
        <f>IFERROR(INDEX('Email Cleaner'!$B$2:$B$10001,MATCH(3040,'Email Cleaner'!$J$2:$J$10001,0)),"")</f>
        <v/>
      </c>
    </row>
    <row r="3042">
      <c r="A3042">
        <f>IFERROR(INDEX('Email Cleaner'!$B$2:$B$10001,MATCH(3041,'Email Cleaner'!$J$2:$J$10001,0)),"")</f>
        <v/>
      </c>
    </row>
    <row r="3043">
      <c r="A3043">
        <f>IFERROR(INDEX('Email Cleaner'!$B$2:$B$10001,MATCH(3042,'Email Cleaner'!$J$2:$J$10001,0)),"")</f>
        <v/>
      </c>
    </row>
    <row r="3044">
      <c r="A3044">
        <f>IFERROR(INDEX('Email Cleaner'!$B$2:$B$10001,MATCH(3043,'Email Cleaner'!$J$2:$J$10001,0)),"")</f>
        <v/>
      </c>
    </row>
    <row r="3045">
      <c r="A3045">
        <f>IFERROR(INDEX('Email Cleaner'!$B$2:$B$10001,MATCH(3044,'Email Cleaner'!$J$2:$J$10001,0)),"")</f>
        <v/>
      </c>
    </row>
    <row r="3046">
      <c r="A3046">
        <f>IFERROR(INDEX('Email Cleaner'!$B$2:$B$10001,MATCH(3045,'Email Cleaner'!$J$2:$J$10001,0)),"")</f>
        <v/>
      </c>
    </row>
    <row r="3047">
      <c r="A3047">
        <f>IFERROR(INDEX('Email Cleaner'!$B$2:$B$10001,MATCH(3046,'Email Cleaner'!$J$2:$J$10001,0)),"")</f>
        <v/>
      </c>
    </row>
    <row r="3048">
      <c r="A3048">
        <f>IFERROR(INDEX('Email Cleaner'!$B$2:$B$10001,MATCH(3047,'Email Cleaner'!$J$2:$J$10001,0)),"")</f>
        <v/>
      </c>
    </row>
    <row r="3049">
      <c r="A3049">
        <f>IFERROR(INDEX('Email Cleaner'!$B$2:$B$10001,MATCH(3048,'Email Cleaner'!$J$2:$J$10001,0)),"")</f>
        <v/>
      </c>
    </row>
    <row r="3050">
      <c r="A3050">
        <f>IFERROR(INDEX('Email Cleaner'!$B$2:$B$10001,MATCH(3049,'Email Cleaner'!$J$2:$J$10001,0)),"")</f>
        <v/>
      </c>
    </row>
    <row r="3051">
      <c r="A3051">
        <f>IFERROR(INDEX('Email Cleaner'!$B$2:$B$10001,MATCH(3050,'Email Cleaner'!$J$2:$J$10001,0)),"")</f>
        <v/>
      </c>
    </row>
    <row r="3052">
      <c r="A3052">
        <f>IFERROR(INDEX('Email Cleaner'!$B$2:$B$10001,MATCH(3051,'Email Cleaner'!$J$2:$J$10001,0)),"")</f>
        <v/>
      </c>
    </row>
    <row r="3053">
      <c r="A3053">
        <f>IFERROR(INDEX('Email Cleaner'!$B$2:$B$10001,MATCH(3052,'Email Cleaner'!$J$2:$J$10001,0)),"")</f>
        <v/>
      </c>
    </row>
    <row r="3054">
      <c r="A3054">
        <f>IFERROR(INDEX('Email Cleaner'!$B$2:$B$10001,MATCH(3053,'Email Cleaner'!$J$2:$J$10001,0)),"")</f>
        <v/>
      </c>
    </row>
    <row r="3055">
      <c r="A3055">
        <f>IFERROR(INDEX('Email Cleaner'!$B$2:$B$10001,MATCH(3054,'Email Cleaner'!$J$2:$J$10001,0)),"")</f>
        <v/>
      </c>
    </row>
    <row r="3056">
      <c r="A3056">
        <f>IFERROR(INDEX('Email Cleaner'!$B$2:$B$10001,MATCH(3055,'Email Cleaner'!$J$2:$J$10001,0)),"")</f>
        <v/>
      </c>
    </row>
    <row r="3057">
      <c r="A3057">
        <f>IFERROR(INDEX('Email Cleaner'!$B$2:$B$10001,MATCH(3056,'Email Cleaner'!$J$2:$J$10001,0)),"")</f>
        <v/>
      </c>
    </row>
    <row r="3058">
      <c r="A3058">
        <f>IFERROR(INDEX('Email Cleaner'!$B$2:$B$10001,MATCH(3057,'Email Cleaner'!$J$2:$J$10001,0)),"")</f>
        <v/>
      </c>
    </row>
    <row r="3059">
      <c r="A3059">
        <f>IFERROR(INDEX('Email Cleaner'!$B$2:$B$10001,MATCH(3058,'Email Cleaner'!$J$2:$J$10001,0)),"")</f>
        <v/>
      </c>
    </row>
    <row r="3060">
      <c r="A3060">
        <f>IFERROR(INDEX('Email Cleaner'!$B$2:$B$10001,MATCH(3059,'Email Cleaner'!$J$2:$J$10001,0)),"")</f>
        <v/>
      </c>
    </row>
    <row r="3061">
      <c r="A3061">
        <f>IFERROR(INDEX('Email Cleaner'!$B$2:$B$10001,MATCH(3060,'Email Cleaner'!$J$2:$J$10001,0)),"")</f>
        <v/>
      </c>
    </row>
    <row r="3062">
      <c r="A3062">
        <f>IFERROR(INDEX('Email Cleaner'!$B$2:$B$10001,MATCH(3061,'Email Cleaner'!$J$2:$J$10001,0)),"")</f>
        <v/>
      </c>
    </row>
    <row r="3063">
      <c r="A3063">
        <f>IFERROR(INDEX('Email Cleaner'!$B$2:$B$10001,MATCH(3062,'Email Cleaner'!$J$2:$J$10001,0)),"")</f>
        <v/>
      </c>
    </row>
    <row r="3064">
      <c r="A3064">
        <f>IFERROR(INDEX('Email Cleaner'!$B$2:$B$10001,MATCH(3063,'Email Cleaner'!$J$2:$J$10001,0)),"")</f>
        <v/>
      </c>
    </row>
    <row r="3065">
      <c r="A3065">
        <f>IFERROR(INDEX('Email Cleaner'!$B$2:$B$10001,MATCH(3064,'Email Cleaner'!$J$2:$J$10001,0)),"")</f>
        <v/>
      </c>
    </row>
    <row r="3066">
      <c r="A3066">
        <f>IFERROR(INDEX('Email Cleaner'!$B$2:$B$10001,MATCH(3065,'Email Cleaner'!$J$2:$J$10001,0)),"")</f>
        <v/>
      </c>
    </row>
    <row r="3067">
      <c r="A3067">
        <f>IFERROR(INDEX('Email Cleaner'!$B$2:$B$10001,MATCH(3066,'Email Cleaner'!$J$2:$J$10001,0)),"")</f>
        <v/>
      </c>
    </row>
    <row r="3068">
      <c r="A3068">
        <f>IFERROR(INDEX('Email Cleaner'!$B$2:$B$10001,MATCH(3067,'Email Cleaner'!$J$2:$J$10001,0)),"")</f>
        <v/>
      </c>
    </row>
    <row r="3069">
      <c r="A3069">
        <f>IFERROR(INDEX('Email Cleaner'!$B$2:$B$10001,MATCH(3068,'Email Cleaner'!$J$2:$J$10001,0)),"")</f>
        <v/>
      </c>
    </row>
    <row r="3070">
      <c r="A3070">
        <f>IFERROR(INDEX('Email Cleaner'!$B$2:$B$10001,MATCH(3069,'Email Cleaner'!$J$2:$J$10001,0)),"")</f>
        <v/>
      </c>
    </row>
    <row r="3071">
      <c r="A3071">
        <f>IFERROR(INDEX('Email Cleaner'!$B$2:$B$10001,MATCH(3070,'Email Cleaner'!$J$2:$J$10001,0)),"")</f>
        <v/>
      </c>
    </row>
    <row r="3072">
      <c r="A3072">
        <f>IFERROR(INDEX('Email Cleaner'!$B$2:$B$10001,MATCH(3071,'Email Cleaner'!$J$2:$J$10001,0)),"")</f>
        <v/>
      </c>
    </row>
    <row r="3073">
      <c r="A3073">
        <f>IFERROR(INDEX('Email Cleaner'!$B$2:$B$10001,MATCH(3072,'Email Cleaner'!$J$2:$J$10001,0)),"")</f>
        <v/>
      </c>
    </row>
    <row r="3074">
      <c r="A3074">
        <f>IFERROR(INDEX('Email Cleaner'!$B$2:$B$10001,MATCH(3073,'Email Cleaner'!$J$2:$J$10001,0)),"")</f>
        <v/>
      </c>
    </row>
    <row r="3075">
      <c r="A3075">
        <f>IFERROR(INDEX('Email Cleaner'!$B$2:$B$10001,MATCH(3074,'Email Cleaner'!$J$2:$J$10001,0)),"")</f>
        <v/>
      </c>
    </row>
    <row r="3076">
      <c r="A3076">
        <f>IFERROR(INDEX('Email Cleaner'!$B$2:$B$10001,MATCH(3075,'Email Cleaner'!$J$2:$J$10001,0)),"")</f>
        <v/>
      </c>
    </row>
    <row r="3077">
      <c r="A3077">
        <f>IFERROR(INDEX('Email Cleaner'!$B$2:$B$10001,MATCH(3076,'Email Cleaner'!$J$2:$J$10001,0)),"")</f>
        <v/>
      </c>
    </row>
    <row r="3078">
      <c r="A3078">
        <f>IFERROR(INDEX('Email Cleaner'!$B$2:$B$10001,MATCH(3077,'Email Cleaner'!$J$2:$J$10001,0)),"")</f>
        <v/>
      </c>
    </row>
    <row r="3079">
      <c r="A3079">
        <f>IFERROR(INDEX('Email Cleaner'!$B$2:$B$10001,MATCH(3078,'Email Cleaner'!$J$2:$J$10001,0)),"")</f>
        <v/>
      </c>
    </row>
    <row r="3080">
      <c r="A3080">
        <f>IFERROR(INDEX('Email Cleaner'!$B$2:$B$10001,MATCH(3079,'Email Cleaner'!$J$2:$J$10001,0)),"")</f>
        <v/>
      </c>
    </row>
    <row r="3081">
      <c r="A3081">
        <f>IFERROR(INDEX('Email Cleaner'!$B$2:$B$10001,MATCH(3080,'Email Cleaner'!$J$2:$J$10001,0)),"")</f>
        <v/>
      </c>
    </row>
    <row r="3082">
      <c r="A3082">
        <f>IFERROR(INDEX('Email Cleaner'!$B$2:$B$10001,MATCH(3081,'Email Cleaner'!$J$2:$J$10001,0)),"")</f>
        <v/>
      </c>
    </row>
    <row r="3083">
      <c r="A3083">
        <f>IFERROR(INDEX('Email Cleaner'!$B$2:$B$10001,MATCH(3082,'Email Cleaner'!$J$2:$J$10001,0)),"")</f>
        <v/>
      </c>
    </row>
    <row r="3084">
      <c r="A3084">
        <f>IFERROR(INDEX('Email Cleaner'!$B$2:$B$10001,MATCH(3083,'Email Cleaner'!$J$2:$J$10001,0)),"")</f>
        <v/>
      </c>
    </row>
    <row r="3085">
      <c r="A3085">
        <f>IFERROR(INDEX('Email Cleaner'!$B$2:$B$10001,MATCH(3084,'Email Cleaner'!$J$2:$J$10001,0)),"")</f>
        <v/>
      </c>
    </row>
    <row r="3086">
      <c r="A3086">
        <f>IFERROR(INDEX('Email Cleaner'!$B$2:$B$10001,MATCH(3085,'Email Cleaner'!$J$2:$J$10001,0)),"")</f>
        <v/>
      </c>
    </row>
    <row r="3087">
      <c r="A3087">
        <f>IFERROR(INDEX('Email Cleaner'!$B$2:$B$10001,MATCH(3086,'Email Cleaner'!$J$2:$J$10001,0)),"")</f>
        <v/>
      </c>
    </row>
    <row r="3088">
      <c r="A3088">
        <f>IFERROR(INDEX('Email Cleaner'!$B$2:$B$10001,MATCH(3087,'Email Cleaner'!$J$2:$J$10001,0)),"")</f>
        <v/>
      </c>
    </row>
    <row r="3089">
      <c r="A3089">
        <f>IFERROR(INDEX('Email Cleaner'!$B$2:$B$10001,MATCH(3088,'Email Cleaner'!$J$2:$J$10001,0)),"")</f>
        <v/>
      </c>
    </row>
    <row r="3090">
      <c r="A3090">
        <f>IFERROR(INDEX('Email Cleaner'!$B$2:$B$10001,MATCH(3089,'Email Cleaner'!$J$2:$J$10001,0)),"")</f>
        <v/>
      </c>
    </row>
    <row r="3091">
      <c r="A3091">
        <f>IFERROR(INDEX('Email Cleaner'!$B$2:$B$10001,MATCH(3090,'Email Cleaner'!$J$2:$J$10001,0)),"")</f>
        <v/>
      </c>
    </row>
    <row r="3092">
      <c r="A3092">
        <f>IFERROR(INDEX('Email Cleaner'!$B$2:$B$10001,MATCH(3091,'Email Cleaner'!$J$2:$J$10001,0)),"")</f>
        <v/>
      </c>
    </row>
    <row r="3093">
      <c r="A3093">
        <f>IFERROR(INDEX('Email Cleaner'!$B$2:$B$10001,MATCH(3092,'Email Cleaner'!$J$2:$J$10001,0)),"")</f>
        <v/>
      </c>
    </row>
    <row r="3094">
      <c r="A3094">
        <f>IFERROR(INDEX('Email Cleaner'!$B$2:$B$10001,MATCH(3093,'Email Cleaner'!$J$2:$J$10001,0)),"")</f>
        <v/>
      </c>
    </row>
    <row r="3095">
      <c r="A3095">
        <f>IFERROR(INDEX('Email Cleaner'!$B$2:$B$10001,MATCH(3094,'Email Cleaner'!$J$2:$J$10001,0)),"")</f>
        <v/>
      </c>
    </row>
    <row r="3096">
      <c r="A3096">
        <f>IFERROR(INDEX('Email Cleaner'!$B$2:$B$10001,MATCH(3095,'Email Cleaner'!$J$2:$J$10001,0)),"")</f>
        <v/>
      </c>
    </row>
    <row r="3097">
      <c r="A3097">
        <f>IFERROR(INDEX('Email Cleaner'!$B$2:$B$10001,MATCH(3096,'Email Cleaner'!$J$2:$J$10001,0)),"")</f>
        <v/>
      </c>
    </row>
    <row r="3098">
      <c r="A3098">
        <f>IFERROR(INDEX('Email Cleaner'!$B$2:$B$10001,MATCH(3097,'Email Cleaner'!$J$2:$J$10001,0)),"")</f>
        <v/>
      </c>
    </row>
    <row r="3099">
      <c r="A3099">
        <f>IFERROR(INDEX('Email Cleaner'!$B$2:$B$10001,MATCH(3098,'Email Cleaner'!$J$2:$J$10001,0)),"")</f>
        <v/>
      </c>
    </row>
    <row r="3100">
      <c r="A3100">
        <f>IFERROR(INDEX('Email Cleaner'!$B$2:$B$10001,MATCH(3099,'Email Cleaner'!$J$2:$J$10001,0)),"")</f>
        <v/>
      </c>
    </row>
    <row r="3101">
      <c r="A3101">
        <f>IFERROR(INDEX('Email Cleaner'!$B$2:$B$10001,MATCH(3100,'Email Cleaner'!$J$2:$J$10001,0)),"")</f>
        <v/>
      </c>
    </row>
    <row r="3102">
      <c r="A3102">
        <f>IFERROR(INDEX('Email Cleaner'!$B$2:$B$10001,MATCH(3101,'Email Cleaner'!$J$2:$J$10001,0)),"")</f>
        <v/>
      </c>
    </row>
    <row r="3103">
      <c r="A3103">
        <f>IFERROR(INDEX('Email Cleaner'!$B$2:$B$10001,MATCH(3102,'Email Cleaner'!$J$2:$J$10001,0)),"")</f>
        <v/>
      </c>
    </row>
    <row r="3104">
      <c r="A3104">
        <f>IFERROR(INDEX('Email Cleaner'!$B$2:$B$10001,MATCH(3103,'Email Cleaner'!$J$2:$J$10001,0)),"")</f>
        <v/>
      </c>
    </row>
    <row r="3105">
      <c r="A3105">
        <f>IFERROR(INDEX('Email Cleaner'!$B$2:$B$10001,MATCH(3104,'Email Cleaner'!$J$2:$J$10001,0)),"")</f>
        <v/>
      </c>
    </row>
    <row r="3106">
      <c r="A3106">
        <f>IFERROR(INDEX('Email Cleaner'!$B$2:$B$10001,MATCH(3105,'Email Cleaner'!$J$2:$J$10001,0)),"")</f>
        <v/>
      </c>
    </row>
    <row r="3107">
      <c r="A3107">
        <f>IFERROR(INDEX('Email Cleaner'!$B$2:$B$10001,MATCH(3106,'Email Cleaner'!$J$2:$J$10001,0)),"")</f>
        <v/>
      </c>
    </row>
    <row r="3108">
      <c r="A3108">
        <f>IFERROR(INDEX('Email Cleaner'!$B$2:$B$10001,MATCH(3107,'Email Cleaner'!$J$2:$J$10001,0)),"")</f>
        <v/>
      </c>
    </row>
    <row r="3109">
      <c r="A3109">
        <f>IFERROR(INDEX('Email Cleaner'!$B$2:$B$10001,MATCH(3108,'Email Cleaner'!$J$2:$J$10001,0)),"")</f>
        <v/>
      </c>
    </row>
    <row r="3110">
      <c r="A3110">
        <f>IFERROR(INDEX('Email Cleaner'!$B$2:$B$10001,MATCH(3109,'Email Cleaner'!$J$2:$J$10001,0)),"")</f>
        <v/>
      </c>
    </row>
    <row r="3111">
      <c r="A3111">
        <f>IFERROR(INDEX('Email Cleaner'!$B$2:$B$10001,MATCH(3110,'Email Cleaner'!$J$2:$J$10001,0)),"")</f>
        <v/>
      </c>
    </row>
    <row r="3112">
      <c r="A3112">
        <f>IFERROR(INDEX('Email Cleaner'!$B$2:$B$10001,MATCH(3111,'Email Cleaner'!$J$2:$J$10001,0)),"")</f>
        <v/>
      </c>
    </row>
    <row r="3113">
      <c r="A3113">
        <f>IFERROR(INDEX('Email Cleaner'!$B$2:$B$10001,MATCH(3112,'Email Cleaner'!$J$2:$J$10001,0)),"")</f>
        <v/>
      </c>
    </row>
    <row r="3114">
      <c r="A3114">
        <f>IFERROR(INDEX('Email Cleaner'!$B$2:$B$10001,MATCH(3113,'Email Cleaner'!$J$2:$J$10001,0)),"")</f>
        <v/>
      </c>
    </row>
    <row r="3115">
      <c r="A3115">
        <f>IFERROR(INDEX('Email Cleaner'!$B$2:$B$10001,MATCH(3114,'Email Cleaner'!$J$2:$J$10001,0)),"")</f>
        <v/>
      </c>
    </row>
    <row r="3116">
      <c r="A3116">
        <f>IFERROR(INDEX('Email Cleaner'!$B$2:$B$10001,MATCH(3115,'Email Cleaner'!$J$2:$J$10001,0)),"")</f>
        <v/>
      </c>
    </row>
    <row r="3117">
      <c r="A3117">
        <f>IFERROR(INDEX('Email Cleaner'!$B$2:$B$10001,MATCH(3116,'Email Cleaner'!$J$2:$J$10001,0)),"")</f>
        <v/>
      </c>
    </row>
    <row r="3118">
      <c r="A3118">
        <f>IFERROR(INDEX('Email Cleaner'!$B$2:$B$10001,MATCH(3117,'Email Cleaner'!$J$2:$J$10001,0)),"")</f>
        <v/>
      </c>
    </row>
    <row r="3119">
      <c r="A3119">
        <f>IFERROR(INDEX('Email Cleaner'!$B$2:$B$10001,MATCH(3118,'Email Cleaner'!$J$2:$J$10001,0)),"")</f>
        <v/>
      </c>
    </row>
    <row r="3120">
      <c r="A3120">
        <f>IFERROR(INDEX('Email Cleaner'!$B$2:$B$10001,MATCH(3119,'Email Cleaner'!$J$2:$J$10001,0)),"")</f>
        <v/>
      </c>
    </row>
    <row r="3121">
      <c r="A3121">
        <f>IFERROR(INDEX('Email Cleaner'!$B$2:$B$10001,MATCH(3120,'Email Cleaner'!$J$2:$J$10001,0)),"")</f>
        <v/>
      </c>
    </row>
    <row r="3122">
      <c r="A3122">
        <f>IFERROR(INDEX('Email Cleaner'!$B$2:$B$10001,MATCH(3121,'Email Cleaner'!$J$2:$J$10001,0)),"")</f>
        <v/>
      </c>
    </row>
    <row r="3123">
      <c r="A3123">
        <f>IFERROR(INDEX('Email Cleaner'!$B$2:$B$10001,MATCH(3122,'Email Cleaner'!$J$2:$J$10001,0)),"")</f>
        <v/>
      </c>
    </row>
    <row r="3124">
      <c r="A3124">
        <f>IFERROR(INDEX('Email Cleaner'!$B$2:$B$10001,MATCH(3123,'Email Cleaner'!$J$2:$J$10001,0)),"")</f>
        <v/>
      </c>
    </row>
    <row r="3125">
      <c r="A3125">
        <f>IFERROR(INDEX('Email Cleaner'!$B$2:$B$10001,MATCH(3124,'Email Cleaner'!$J$2:$J$10001,0)),"")</f>
        <v/>
      </c>
    </row>
    <row r="3126">
      <c r="A3126">
        <f>IFERROR(INDEX('Email Cleaner'!$B$2:$B$10001,MATCH(3125,'Email Cleaner'!$J$2:$J$10001,0)),"")</f>
        <v/>
      </c>
    </row>
    <row r="3127">
      <c r="A3127">
        <f>IFERROR(INDEX('Email Cleaner'!$B$2:$B$10001,MATCH(3126,'Email Cleaner'!$J$2:$J$10001,0)),"")</f>
        <v/>
      </c>
    </row>
    <row r="3128">
      <c r="A3128">
        <f>IFERROR(INDEX('Email Cleaner'!$B$2:$B$10001,MATCH(3127,'Email Cleaner'!$J$2:$J$10001,0)),"")</f>
        <v/>
      </c>
    </row>
    <row r="3129">
      <c r="A3129">
        <f>IFERROR(INDEX('Email Cleaner'!$B$2:$B$10001,MATCH(3128,'Email Cleaner'!$J$2:$J$10001,0)),"")</f>
        <v/>
      </c>
    </row>
    <row r="3130">
      <c r="A3130">
        <f>IFERROR(INDEX('Email Cleaner'!$B$2:$B$10001,MATCH(3129,'Email Cleaner'!$J$2:$J$10001,0)),"")</f>
        <v/>
      </c>
    </row>
    <row r="3131">
      <c r="A3131">
        <f>IFERROR(INDEX('Email Cleaner'!$B$2:$B$10001,MATCH(3130,'Email Cleaner'!$J$2:$J$10001,0)),"")</f>
        <v/>
      </c>
    </row>
    <row r="3132">
      <c r="A3132">
        <f>IFERROR(INDEX('Email Cleaner'!$B$2:$B$10001,MATCH(3131,'Email Cleaner'!$J$2:$J$10001,0)),"")</f>
        <v/>
      </c>
    </row>
    <row r="3133">
      <c r="A3133">
        <f>IFERROR(INDEX('Email Cleaner'!$B$2:$B$10001,MATCH(3132,'Email Cleaner'!$J$2:$J$10001,0)),"")</f>
        <v/>
      </c>
    </row>
    <row r="3134">
      <c r="A3134">
        <f>IFERROR(INDEX('Email Cleaner'!$B$2:$B$10001,MATCH(3133,'Email Cleaner'!$J$2:$J$10001,0)),"")</f>
        <v/>
      </c>
    </row>
    <row r="3135">
      <c r="A3135">
        <f>IFERROR(INDEX('Email Cleaner'!$B$2:$B$10001,MATCH(3134,'Email Cleaner'!$J$2:$J$10001,0)),"")</f>
        <v/>
      </c>
    </row>
    <row r="3136">
      <c r="A3136">
        <f>IFERROR(INDEX('Email Cleaner'!$B$2:$B$10001,MATCH(3135,'Email Cleaner'!$J$2:$J$10001,0)),"")</f>
        <v/>
      </c>
    </row>
    <row r="3137">
      <c r="A3137">
        <f>IFERROR(INDEX('Email Cleaner'!$B$2:$B$10001,MATCH(3136,'Email Cleaner'!$J$2:$J$10001,0)),"")</f>
        <v/>
      </c>
    </row>
    <row r="3138">
      <c r="A3138">
        <f>IFERROR(INDEX('Email Cleaner'!$B$2:$B$10001,MATCH(3137,'Email Cleaner'!$J$2:$J$10001,0)),"")</f>
        <v/>
      </c>
    </row>
    <row r="3139">
      <c r="A3139">
        <f>IFERROR(INDEX('Email Cleaner'!$B$2:$B$10001,MATCH(3138,'Email Cleaner'!$J$2:$J$10001,0)),"")</f>
        <v/>
      </c>
    </row>
    <row r="3140">
      <c r="A3140">
        <f>IFERROR(INDEX('Email Cleaner'!$B$2:$B$10001,MATCH(3139,'Email Cleaner'!$J$2:$J$10001,0)),"")</f>
        <v/>
      </c>
    </row>
    <row r="3141">
      <c r="A3141">
        <f>IFERROR(INDEX('Email Cleaner'!$B$2:$B$10001,MATCH(3140,'Email Cleaner'!$J$2:$J$10001,0)),"")</f>
        <v/>
      </c>
    </row>
    <row r="3142">
      <c r="A3142">
        <f>IFERROR(INDEX('Email Cleaner'!$B$2:$B$10001,MATCH(3141,'Email Cleaner'!$J$2:$J$10001,0)),"")</f>
        <v/>
      </c>
    </row>
    <row r="3143">
      <c r="A3143">
        <f>IFERROR(INDEX('Email Cleaner'!$B$2:$B$10001,MATCH(3142,'Email Cleaner'!$J$2:$J$10001,0)),"")</f>
        <v/>
      </c>
    </row>
    <row r="3144">
      <c r="A3144">
        <f>IFERROR(INDEX('Email Cleaner'!$B$2:$B$10001,MATCH(3143,'Email Cleaner'!$J$2:$J$10001,0)),"")</f>
        <v/>
      </c>
    </row>
    <row r="3145">
      <c r="A3145">
        <f>IFERROR(INDEX('Email Cleaner'!$B$2:$B$10001,MATCH(3144,'Email Cleaner'!$J$2:$J$10001,0)),"")</f>
        <v/>
      </c>
    </row>
    <row r="3146">
      <c r="A3146">
        <f>IFERROR(INDEX('Email Cleaner'!$B$2:$B$10001,MATCH(3145,'Email Cleaner'!$J$2:$J$10001,0)),"")</f>
        <v/>
      </c>
    </row>
    <row r="3147">
      <c r="A3147">
        <f>IFERROR(INDEX('Email Cleaner'!$B$2:$B$10001,MATCH(3146,'Email Cleaner'!$J$2:$J$10001,0)),"")</f>
        <v/>
      </c>
    </row>
    <row r="3148">
      <c r="A3148">
        <f>IFERROR(INDEX('Email Cleaner'!$B$2:$B$10001,MATCH(3147,'Email Cleaner'!$J$2:$J$10001,0)),"")</f>
        <v/>
      </c>
    </row>
    <row r="3149">
      <c r="A3149">
        <f>IFERROR(INDEX('Email Cleaner'!$B$2:$B$10001,MATCH(3148,'Email Cleaner'!$J$2:$J$10001,0)),"")</f>
        <v/>
      </c>
    </row>
    <row r="3150">
      <c r="A3150">
        <f>IFERROR(INDEX('Email Cleaner'!$B$2:$B$10001,MATCH(3149,'Email Cleaner'!$J$2:$J$10001,0)),"")</f>
        <v/>
      </c>
    </row>
    <row r="3151">
      <c r="A3151">
        <f>IFERROR(INDEX('Email Cleaner'!$B$2:$B$10001,MATCH(3150,'Email Cleaner'!$J$2:$J$10001,0)),"")</f>
        <v/>
      </c>
    </row>
    <row r="3152">
      <c r="A3152">
        <f>IFERROR(INDEX('Email Cleaner'!$B$2:$B$10001,MATCH(3151,'Email Cleaner'!$J$2:$J$10001,0)),"")</f>
        <v/>
      </c>
    </row>
    <row r="3153">
      <c r="A3153">
        <f>IFERROR(INDEX('Email Cleaner'!$B$2:$B$10001,MATCH(3152,'Email Cleaner'!$J$2:$J$10001,0)),"")</f>
        <v/>
      </c>
    </row>
    <row r="3154">
      <c r="A3154">
        <f>IFERROR(INDEX('Email Cleaner'!$B$2:$B$10001,MATCH(3153,'Email Cleaner'!$J$2:$J$10001,0)),"")</f>
        <v/>
      </c>
    </row>
    <row r="3155">
      <c r="A3155">
        <f>IFERROR(INDEX('Email Cleaner'!$B$2:$B$10001,MATCH(3154,'Email Cleaner'!$J$2:$J$10001,0)),"")</f>
        <v/>
      </c>
    </row>
    <row r="3156">
      <c r="A3156">
        <f>IFERROR(INDEX('Email Cleaner'!$B$2:$B$10001,MATCH(3155,'Email Cleaner'!$J$2:$J$10001,0)),"")</f>
        <v/>
      </c>
    </row>
    <row r="3157">
      <c r="A3157">
        <f>IFERROR(INDEX('Email Cleaner'!$B$2:$B$10001,MATCH(3156,'Email Cleaner'!$J$2:$J$10001,0)),"")</f>
        <v/>
      </c>
    </row>
    <row r="3158">
      <c r="A3158">
        <f>IFERROR(INDEX('Email Cleaner'!$B$2:$B$10001,MATCH(3157,'Email Cleaner'!$J$2:$J$10001,0)),"")</f>
        <v/>
      </c>
    </row>
    <row r="3159">
      <c r="A3159">
        <f>IFERROR(INDEX('Email Cleaner'!$B$2:$B$10001,MATCH(3158,'Email Cleaner'!$J$2:$J$10001,0)),"")</f>
        <v/>
      </c>
    </row>
    <row r="3160">
      <c r="A3160">
        <f>IFERROR(INDEX('Email Cleaner'!$B$2:$B$10001,MATCH(3159,'Email Cleaner'!$J$2:$J$10001,0)),"")</f>
        <v/>
      </c>
    </row>
    <row r="3161">
      <c r="A3161">
        <f>IFERROR(INDEX('Email Cleaner'!$B$2:$B$10001,MATCH(3160,'Email Cleaner'!$J$2:$J$10001,0)),"")</f>
        <v/>
      </c>
    </row>
    <row r="3162">
      <c r="A3162">
        <f>IFERROR(INDEX('Email Cleaner'!$B$2:$B$10001,MATCH(3161,'Email Cleaner'!$J$2:$J$10001,0)),"")</f>
        <v/>
      </c>
    </row>
    <row r="3163">
      <c r="A3163">
        <f>IFERROR(INDEX('Email Cleaner'!$B$2:$B$10001,MATCH(3162,'Email Cleaner'!$J$2:$J$10001,0)),"")</f>
        <v/>
      </c>
    </row>
    <row r="3164">
      <c r="A3164">
        <f>IFERROR(INDEX('Email Cleaner'!$B$2:$B$10001,MATCH(3163,'Email Cleaner'!$J$2:$J$10001,0)),"")</f>
        <v/>
      </c>
    </row>
    <row r="3165">
      <c r="A3165">
        <f>IFERROR(INDEX('Email Cleaner'!$B$2:$B$10001,MATCH(3164,'Email Cleaner'!$J$2:$J$10001,0)),"")</f>
        <v/>
      </c>
    </row>
    <row r="3166">
      <c r="A3166">
        <f>IFERROR(INDEX('Email Cleaner'!$B$2:$B$10001,MATCH(3165,'Email Cleaner'!$J$2:$J$10001,0)),"")</f>
        <v/>
      </c>
    </row>
    <row r="3167">
      <c r="A3167">
        <f>IFERROR(INDEX('Email Cleaner'!$B$2:$B$10001,MATCH(3166,'Email Cleaner'!$J$2:$J$10001,0)),"")</f>
        <v/>
      </c>
    </row>
    <row r="3168">
      <c r="A3168">
        <f>IFERROR(INDEX('Email Cleaner'!$B$2:$B$10001,MATCH(3167,'Email Cleaner'!$J$2:$J$10001,0)),"")</f>
        <v/>
      </c>
    </row>
    <row r="3169">
      <c r="A3169">
        <f>IFERROR(INDEX('Email Cleaner'!$B$2:$B$10001,MATCH(3168,'Email Cleaner'!$J$2:$J$10001,0)),"")</f>
        <v/>
      </c>
    </row>
    <row r="3170">
      <c r="A3170">
        <f>IFERROR(INDEX('Email Cleaner'!$B$2:$B$10001,MATCH(3169,'Email Cleaner'!$J$2:$J$10001,0)),"")</f>
        <v/>
      </c>
    </row>
    <row r="3171">
      <c r="A3171">
        <f>IFERROR(INDEX('Email Cleaner'!$B$2:$B$10001,MATCH(3170,'Email Cleaner'!$J$2:$J$10001,0)),"")</f>
        <v/>
      </c>
    </row>
    <row r="3172">
      <c r="A3172">
        <f>IFERROR(INDEX('Email Cleaner'!$B$2:$B$10001,MATCH(3171,'Email Cleaner'!$J$2:$J$10001,0)),"")</f>
        <v/>
      </c>
    </row>
    <row r="3173">
      <c r="A3173">
        <f>IFERROR(INDEX('Email Cleaner'!$B$2:$B$10001,MATCH(3172,'Email Cleaner'!$J$2:$J$10001,0)),"")</f>
        <v/>
      </c>
    </row>
    <row r="3174">
      <c r="A3174">
        <f>IFERROR(INDEX('Email Cleaner'!$B$2:$B$10001,MATCH(3173,'Email Cleaner'!$J$2:$J$10001,0)),"")</f>
        <v/>
      </c>
    </row>
    <row r="3175">
      <c r="A3175">
        <f>IFERROR(INDEX('Email Cleaner'!$B$2:$B$10001,MATCH(3174,'Email Cleaner'!$J$2:$J$10001,0)),"")</f>
        <v/>
      </c>
    </row>
    <row r="3176">
      <c r="A3176">
        <f>IFERROR(INDEX('Email Cleaner'!$B$2:$B$10001,MATCH(3175,'Email Cleaner'!$J$2:$J$10001,0)),"")</f>
        <v/>
      </c>
    </row>
    <row r="3177">
      <c r="A3177">
        <f>IFERROR(INDEX('Email Cleaner'!$B$2:$B$10001,MATCH(3176,'Email Cleaner'!$J$2:$J$10001,0)),"")</f>
        <v/>
      </c>
    </row>
    <row r="3178">
      <c r="A3178">
        <f>IFERROR(INDEX('Email Cleaner'!$B$2:$B$10001,MATCH(3177,'Email Cleaner'!$J$2:$J$10001,0)),"")</f>
        <v/>
      </c>
    </row>
    <row r="3179">
      <c r="A3179">
        <f>IFERROR(INDEX('Email Cleaner'!$B$2:$B$10001,MATCH(3178,'Email Cleaner'!$J$2:$J$10001,0)),"")</f>
        <v/>
      </c>
    </row>
    <row r="3180">
      <c r="A3180">
        <f>IFERROR(INDEX('Email Cleaner'!$B$2:$B$10001,MATCH(3179,'Email Cleaner'!$J$2:$J$10001,0)),"")</f>
        <v/>
      </c>
    </row>
    <row r="3181">
      <c r="A3181">
        <f>IFERROR(INDEX('Email Cleaner'!$B$2:$B$10001,MATCH(3180,'Email Cleaner'!$J$2:$J$10001,0)),"")</f>
        <v/>
      </c>
    </row>
    <row r="3182">
      <c r="A3182">
        <f>IFERROR(INDEX('Email Cleaner'!$B$2:$B$10001,MATCH(3181,'Email Cleaner'!$J$2:$J$10001,0)),"")</f>
        <v/>
      </c>
    </row>
    <row r="3183">
      <c r="A3183">
        <f>IFERROR(INDEX('Email Cleaner'!$B$2:$B$10001,MATCH(3182,'Email Cleaner'!$J$2:$J$10001,0)),"")</f>
        <v/>
      </c>
    </row>
    <row r="3184">
      <c r="A3184">
        <f>IFERROR(INDEX('Email Cleaner'!$B$2:$B$10001,MATCH(3183,'Email Cleaner'!$J$2:$J$10001,0)),"")</f>
        <v/>
      </c>
    </row>
    <row r="3185">
      <c r="A3185">
        <f>IFERROR(INDEX('Email Cleaner'!$B$2:$B$10001,MATCH(3184,'Email Cleaner'!$J$2:$J$10001,0)),"")</f>
        <v/>
      </c>
    </row>
    <row r="3186">
      <c r="A3186">
        <f>IFERROR(INDEX('Email Cleaner'!$B$2:$B$10001,MATCH(3185,'Email Cleaner'!$J$2:$J$10001,0)),"")</f>
        <v/>
      </c>
    </row>
    <row r="3187">
      <c r="A3187">
        <f>IFERROR(INDEX('Email Cleaner'!$B$2:$B$10001,MATCH(3186,'Email Cleaner'!$J$2:$J$10001,0)),"")</f>
        <v/>
      </c>
    </row>
    <row r="3188">
      <c r="A3188">
        <f>IFERROR(INDEX('Email Cleaner'!$B$2:$B$10001,MATCH(3187,'Email Cleaner'!$J$2:$J$10001,0)),"")</f>
        <v/>
      </c>
    </row>
    <row r="3189">
      <c r="A3189">
        <f>IFERROR(INDEX('Email Cleaner'!$B$2:$B$10001,MATCH(3188,'Email Cleaner'!$J$2:$J$10001,0)),"")</f>
        <v/>
      </c>
    </row>
    <row r="3190">
      <c r="A3190">
        <f>IFERROR(INDEX('Email Cleaner'!$B$2:$B$10001,MATCH(3189,'Email Cleaner'!$J$2:$J$10001,0)),"")</f>
        <v/>
      </c>
    </row>
    <row r="3191">
      <c r="A3191">
        <f>IFERROR(INDEX('Email Cleaner'!$B$2:$B$10001,MATCH(3190,'Email Cleaner'!$J$2:$J$10001,0)),"")</f>
        <v/>
      </c>
    </row>
    <row r="3192">
      <c r="A3192">
        <f>IFERROR(INDEX('Email Cleaner'!$B$2:$B$10001,MATCH(3191,'Email Cleaner'!$J$2:$J$10001,0)),"")</f>
        <v/>
      </c>
    </row>
    <row r="3193">
      <c r="A3193">
        <f>IFERROR(INDEX('Email Cleaner'!$B$2:$B$10001,MATCH(3192,'Email Cleaner'!$J$2:$J$10001,0)),"")</f>
        <v/>
      </c>
    </row>
    <row r="3194">
      <c r="A3194">
        <f>IFERROR(INDEX('Email Cleaner'!$B$2:$B$10001,MATCH(3193,'Email Cleaner'!$J$2:$J$10001,0)),"")</f>
        <v/>
      </c>
    </row>
    <row r="3195">
      <c r="A3195">
        <f>IFERROR(INDEX('Email Cleaner'!$B$2:$B$10001,MATCH(3194,'Email Cleaner'!$J$2:$J$10001,0)),"")</f>
        <v/>
      </c>
    </row>
    <row r="3196">
      <c r="A3196">
        <f>IFERROR(INDEX('Email Cleaner'!$B$2:$B$10001,MATCH(3195,'Email Cleaner'!$J$2:$J$10001,0)),"")</f>
        <v/>
      </c>
    </row>
    <row r="3197">
      <c r="A3197">
        <f>IFERROR(INDEX('Email Cleaner'!$B$2:$B$10001,MATCH(3196,'Email Cleaner'!$J$2:$J$10001,0)),"")</f>
        <v/>
      </c>
    </row>
    <row r="3198">
      <c r="A3198">
        <f>IFERROR(INDEX('Email Cleaner'!$B$2:$B$10001,MATCH(3197,'Email Cleaner'!$J$2:$J$10001,0)),"")</f>
        <v/>
      </c>
    </row>
    <row r="3199">
      <c r="A3199">
        <f>IFERROR(INDEX('Email Cleaner'!$B$2:$B$10001,MATCH(3198,'Email Cleaner'!$J$2:$J$10001,0)),"")</f>
        <v/>
      </c>
    </row>
    <row r="3200">
      <c r="A3200">
        <f>IFERROR(INDEX('Email Cleaner'!$B$2:$B$10001,MATCH(3199,'Email Cleaner'!$J$2:$J$10001,0)),"")</f>
        <v/>
      </c>
    </row>
    <row r="3201">
      <c r="A3201">
        <f>IFERROR(INDEX('Email Cleaner'!$B$2:$B$10001,MATCH(3200,'Email Cleaner'!$J$2:$J$10001,0)),"")</f>
        <v/>
      </c>
    </row>
    <row r="3202">
      <c r="A3202">
        <f>IFERROR(INDEX('Email Cleaner'!$B$2:$B$10001,MATCH(3201,'Email Cleaner'!$J$2:$J$10001,0)),"")</f>
        <v/>
      </c>
    </row>
    <row r="3203">
      <c r="A3203">
        <f>IFERROR(INDEX('Email Cleaner'!$B$2:$B$10001,MATCH(3202,'Email Cleaner'!$J$2:$J$10001,0)),"")</f>
        <v/>
      </c>
    </row>
    <row r="3204">
      <c r="A3204">
        <f>IFERROR(INDEX('Email Cleaner'!$B$2:$B$10001,MATCH(3203,'Email Cleaner'!$J$2:$J$10001,0)),"")</f>
        <v/>
      </c>
    </row>
    <row r="3205">
      <c r="A3205">
        <f>IFERROR(INDEX('Email Cleaner'!$B$2:$B$10001,MATCH(3204,'Email Cleaner'!$J$2:$J$10001,0)),"")</f>
        <v/>
      </c>
    </row>
    <row r="3206">
      <c r="A3206">
        <f>IFERROR(INDEX('Email Cleaner'!$B$2:$B$10001,MATCH(3205,'Email Cleaner'!$J$2:$J$10001,0)),"")</f>
        <v/>
      </c>
    </row>
    <row r="3207">
      <c r="A3207">
        <f>IFERROR(INDEX('Email Cleaner'!$B$2:$B$10001,MATCH(3206,'Email Cleaner'!$J$2:$J$10001,0)),"")</f>
        <v/>
      </c>
    </row>
    <row r="3208">
      <c r="A3208">
        <f>IFERROR(INDEX('Email Cleaner'!$B$2:$B$10001,MATCH(3207,'Email Cleaner'!$J$2:$J$10001,0)),"")</f>
        <v/>
      </c>
    </row>
    <row r="3209">
      <c r="A3209">
        <f>IFERROR(INDEX('Email Cleaner'!$B$2:$B$10001,MATCH(3208,'Email Cleaner'!$J$2:$J$10001,0)),"")</f>
        <v/>
      </c>
    </row>
    <row r="3210">
      <c r="A3210">
        <f>IFERROR(INDEX('Email Cleaner'!$B$2:$B$10001,MATCH(3209,'Email Cleaner'!$J$2:$J$10001,0)),"")</f>
        <v/>
      </c>
    </row>
    <row r="3211">
      <c r="A3211">
        <f>IFERROR(INDEX('Email Cleaner'!$B$2:$B$10001,MATCH(3210,'Email Cleaner'!$J$2:$J$10001,0)),"")</f>
        <v/>
      </c>
    </row>
    <row r="3212">
      <c r="A3212">
        <f>IFERROR(INDEX('Email Cleaner'!$B$2:$B$10001,MATCH(3211,'Email Cleaner'!$J$2:$J$10001,0)),"")</f>
        <v/>
      </c>
    </row>
    <row r="3213">
      <c r="A3213">
        <f>IFERROR(INDEX('Email Cleaner'!$B$2:$B$10001,MATCH(3212,'Email Cleaner'!$J$2:$J$10001,0)),"")</f>
        <v/>
      </c>
    </row>
    <row r="3214">
      <c r="A3214">
        <f>IFERROR(INDEX('Email Cleaner'!$B$2:$B$10001,MATCH(3213,'Email Cleaner'!$J$2:$J$10001,0)),"")</f>
        <v/>
      </c>
    </row>
    <row r="3215">
      <c r="A3215">
        <f>IFERROR(INDEX('Email Cleaner'!$B$2:$B$10001,MATCH(3214,'Email Cleaner'!$J$2:$J$10001,0)),"")</f>
        <v/>
      </c>
    </row>
    <row r="3216">
      <c r="A3216">
        <f>IFERROR(INDEX('Email Cleaner'!$B$2:$B$10001,MATCH(3215,'Email Cleaner'!$J$2:$J$10001,0)),"")</f>
        <v/>
      </c>
    </row>
    <row r="3217">
      <c r="A3217">
        <f>IFERROR(INDEX('Email Cleaner'!$B$2:$B$10001,MATCH(3216,'Email Cleaner'!$J$2:$J$10001,0)),"")</f>
        <v/>
      </c>
    </row>
    <row r="3218">
      <c r="A3218">
        <f>IFERROR(INDEX('Email Cleaner'!$B$2:$B$10001,MATCH(3217,'Email Cleaner'!$J$2:$J$10001,0)),"")</f>
        <v/>
      </c>
    </row>
    <row r="3219">
      <c r="A3219">
        <f>IFERROR(INDEX('Email Cleaner'!$B$2:$B$10001,MATCH(3218,'Email Cleaner'!$J$2:$J$10001,0)),"")</f>
        <v/>
      </c>
    </row>
    <row r="3220">
      <c r="A3220">
        <f>IFERROR(INDEX('Email Cleaner'!$B$2:$B$10001,MATCH(3219,'Email Cleaner'!$J$2:$J$10001,0)),"")</f>
        <v/>
      </c>
    </row>
    <row r="3221">
      <c r="A3221">
        <f>IFERROR(INDEX('Email Cleaner'!$B$2:$B$10001,MATCH(3220,'Email Cleaner'!$J$2:$J$10001,0)),"")</f>
        <v/>
      </c>
    </row>
    <row r="3222">
      <c r="A3222">
        <f>IFERROR(INDEX('Email Cleaner'!$B$2:$B$10001,MATCH(3221,'Email Cleaner'!$J$2:$J$10001,0)),"")</f>
        <v/>
      </c>
    </row>
    <row r="3223">
      <c r="A3223">
        <f>IFERROR(INDEX('Email Cleaner'!$B$2:$B$10001,MATCH(3222,'Email Cleaner'!$J$2:$J$10001,0)),"")</f>
        <v/>
      </c>
    </row>
    <row r="3224">
      <c r="A3224">
        <f>IFERROR(INDEX('Email Cleaner'!$B$2:$B$10001,MATCH(3223,'Email Cleaner'!$J$2:$J$10001,0)),"")</f>
        <v/>
      </c>
    </row>
    <row r="3225">
      <c r="A3225">
        <f>IFERROR(INDEX('Email Cleaner'!$B$2:$B$10001,MATCH(3224,'Email Cleaner'!$J$2:$J$10001,0)),"")</f>
        <v/>
      </c>
    </row>
    <row r="3226">
      <c r="A3226">
        <f>IFERROR(INDEX('Email Cleaner'!$B$2:$B$10001,MATCH(3225,'Email Cleaner'!$J$2:$J$10001,0)),"")</f>
        <v/>
      </c>
    </row>
    <row r="3227">
      <c r="A3227">
        <f>IFERROR(INDEX('Email Cleaner'!$B$2:$B$10001,MATCH(3226,'Email Cleaner'!$J$2:$J$10001,0)),"")</f>
        <v/>
      </c>
    </row>
    <row r="3228">
      <c r="A3228">
        <f>IFERROR(INDEX('Email Cleaner'!$B$2:$B$10001,MATCH(3227,'Email Cleaner'!$J$2:$J$10001,0)),"")</f>
        <v/>
      </c>
    </row>
    <row r="3229">
      <c r="A3229">
        <f>IFERROR(INDEX('Email Cleaner'!$B$2:$B$10001,MATCH(3228,'Email Cleaner'!$J$2:$J$10001,0)),"")</f>
        <v/>
      </c>
    </row>
    <row r="3230">
      <c r="A3230">
        <f>IFERROR(INDEX('Email Cleaner'!$B$2:$B$10001,MATCH(3229,'Email Cleaner'!$J$2:$J$10001,0)),"")</f>
        <v/>
      </c>
    </row>
    <row r="3231">
      <c r="A3231">
        <f>IFERROR(INDEX('Email Cleaner'!$B$2:$B$10001,MATCH(3230,'Email Cleaner'!$J$2:$J$10001,0)),"")</f>
        <v/>
      </c>
    </row>
    <row r="3232">
      <c r="A3232">
        <f>IFERROR(INDEX('Email Cleaner'!$B$2:$B$10001,MATCH(3231,'Email Cleaner'!$J$2:$J$10001,0)),"")</f>
        <v/>
      </c>
    </row>
    <row r="3233">
      <c r="A3233">
        <f>IFERROR(INDEX('Email Cleaner'!$B$2:$B$10001,MATCH(3232,'Email Cleaner'!$J$2:$J$10001,0)),"")</f>
        <v/>
      </c>
    </row>
    <row r="3234">
      <c r="A3234">
        <f>IFERROR(INDEX('Email Cleaner'!$B$2:$B$10001,MATCH(3233,'Email Cleaner'!$J$2:$J$10001,0)),"")</f>
        <v/>
      </c>
    </row>
    <row r="3235">
      <c r="A3235">
        <f>IFERROR(INDEX('Email Cleaner'!$B$2:$B$10001,MATCH(3234,'Email Cleaner'!$J$2:$J$10001,0)),"")</f>
        <v/>
      </c>
    </row>
    <row r="3236">
      <c r="A3236">
        <f>IFERROR(INDEX('Email Cleaner'!$B$2:$B$10001,MATCH(3235,'Email Cleaner'!$J$2:$J$10001,0)),"")</f>
        <v/>
      </c>
    </row>
    <row r="3237">
      <c r="A3237">
        <f>IFERROR(INDEX('Email Cleaner'!$B$2:$B$10001,MATCH(3236,'Email Cleaner'!$J$2:$J$10001,0)),"")</f>
        <v/>
      </c>
    </row>
    <row r="3238">
      <c r="A3238">
        <f>IFERROR(INDEX('Email Cleaner'!$B$2:$B$10001,MATCH(3237,'Email Cleaner'!$J$2:$J$10001,0)),"")</f>
        <v/>
      </c>
    </row>
    <row r="3239">
      <c r="A3239">
        <f>IFERROR(INDEX('Email Cleaner'!$B$2:$B$10001,MATCH(3238,'Email Cleaner'!$J$2:$J$10001,0)),"")</f>
        <v/>
      </c>
    </row>
    <row r="3240">
      <c r="A3240">
        <f>IFERROR(INDEX('Email Cleaner'!$B$2:$B$10001,MATCH(3239,'Email Cleaner'!$J$2:$J$10001,0)),"")</f>
        <v/>
      </c>
    </row>
    <row r="3241">
      <c r="A3241">
        <f>IFERROR(INDEX('Email Cleaner'!$B$2:$B$10001,MATCH(3240,'Email Cleaner'!$J$2:$J$10001,0)),"")</f>
        <v/>
      </c>
    </row>
    <row r="3242">
      <c r="A3242">
        <f>IFERROR(INDEX('Email Cleaner'!$B$2:$B$10001,MATCH(3241,'Email Cleaner'!$J$2:$J$10001,0)),"")</f>
        <v/>
      </c>
    </row>
    <row r="3243">
      <c r="A3243">
        <f>IFERROR(INDEX('Email Cleaner'!$B$2:$B$10001,MATCH(3242,'Email Cleaner'!$J$2:$J$10001,0)),"")</f>
        <v/>
      </c>
    </row>
    <row r="3244">
      <c r="A3244">
        <f>IFERROR(INDEX('Email Cleaner'!$B$2:$B$10001,MATCH(3243,'Email Cleaner'!$J$2:$J$10001,0)),"")</f>
        <v/>
      </c>
    </row>
    <row r="3245">
      <c r="A3245">
        <f>IFERROR(INDEX('Email Cleaner'!$B$2:$B$10001,MATCH(3244,'Email Cleaner'!$J$2:$J$10001,0)),"")</f>
        <v/>
      </c>
    </row>
    <row r="3246">
      <c r="A3246">
        <f>IFERROR(INDEX('Email Cleaner'!$B$2:$B$10001,MATCH(3245,'Email Cleaner'!$J$2:$J$10001,0)),"")</f>
        <v/>
      </c>
    </row>
    <row r="3247">
      <c r="A3247">
        <f>IFERROR(INDEX('Email Cleaner'!$B$2:$B$10001,MATCH(3246,'Email Cleaner'!$J$2:$J$10001,0)),"")</f>
        <v/>
      </c>
    </row>
    <row r="3248">
      <c r="A3248">
        <f>IFERROR(INDEX('Email Cleaner'!$B$2:$B$10001,MATCH(3247,'Email Cleaner'!$J$2:$J$10001,0)),"")</f>
        <v/>
      </c>
    </row>
    <row r="3249">
      <c r="A3249">
        <f>IFERROR(INDEX('Email Cleaner'!$B$2:$B$10001,MATCH(3248,'Email Cleaner'!$J$2:$J$10001,0)),"")</f>
        <v/>
      </c>
    </row>
    <row r="3250">
      <c r="A3250">
        <f>IFERROR(INDEX('Email Cleaner'!$B$2:$B$10001,MATCH(3249,'Email Cleaner'!$J$2:$J$10001,0)),"")</f>
        <v/>
      </c>
    </row>
    <row r="3251">
      <c r="A3251">
        <f>IFERROR(INDEX('Email Cleaner'!$B$2:$B$10001,MATCH(3250,'Email Cleaner'!$J$2:$J$10001,0)),"")</f>
        <v/>
      </c>
    </row>
    <row r="3252">
      <c r="A3252">
        <f>IFERROR(INDEX('Email Cleaner'!$B$2:$B$10001,MATCH(3251,'Email Cleaner'!$J$2:$J$10001,0)),"")</f>
        <v/>
      </c>
    </row>
    <row r="3253">
      <c r="A3253">
        <f>IFERROR(INDEX('Email Cleaner'!$B$2:$B$10001,MATCH(3252,'Email Cleaner'!$J$2:$J$10001,0)),"")</f>
        <v/>
      </c>
    </row>
    <row r="3254">
      <c r="A3254">
        <f>IFERROR(INDEX('Email Cleaner'!$B$2:$B$10001,MATCH(3253,'Email Cleaner'!$J$2:$J$10001,0)),"")</f>
        <v/>
      </c>
    </row>
    <row r="3255">
      <c r="A3255">
        <f>IFERROR(INDEX('Email Cleaner'!$B$2:$B$10001,MATCH(3254,'Email Cleaner'!$J$2:$J$10001,0)),"")</f>
        <v/>
      </c>
    </row>
    <row r="3256">
      <c r="A3256">
        <f>IFERROR(INDEX('Email Cleaner'!$B$2:$B$10001,MATCH(3255,'Email Cleaner'!$J$2:$J$10001,0)),"")</f>
        <v/>
      </c>
    </row>
    <row r="3257">
      <c r="A3257">
        <f>IFERROR(INDEX('Email Cleaner'!$B$2:$B$10001,MATCH(3256,'Email Cleaner'!$J$2:$J$10001,0)),"")</f>
        <v/>
      </c>
    </row>
    <row r="3258">
      <c r="A3258">
        <f>IFERROR(INDEX('Email Cleaner'!$B$2:$B$10001,MATCH(3257,'Email Cleaner'!$J$2:$J$10001,0)),"")</f>
        <v/>
      </c>
    </row>
    <row r="3259">
      <c r="A3259">
        <f>IFERROR(INDEX('Email Cleaner'!$B$2:$B$10001,MATCH(3258,'Email Cleaner'!$J$2:$J$10001,0)),"")</f>
        <v/>
      </c>
    </row>
    <row r="3260">
      <c r="A3260">
        <f>IFERROR(INDEX('Email Cleaner'!$B$2:$B$10001,MATCH(3259,'Email Cleaner'!$J$2:$J$10001,0)),"")</f>
        <v/>
      </c>
    </row>
    <row r="3261">
      <c r="A3261">
        <f>IFERROR(INDEX('Email Cleaner'!$B$2:$B$10001,MATCH(3260,'Email Cleaner'!$J$2:$J$10001,0)),"")</f>
        <v/>
      </c>
    </row>
    <row r="3262">
      <c r="A3262">
        <f>IFERROR(INDEX('Email Cleaner'!$B$2:$B$10001,MATCH(3261,'Email Cleaner'!$J$2:$J$10001,0)),"")</f>
        <v/>
      </c>
    </row>
    <row r="3263">
      <c r="A3263">
        <f>IFERROR(INDEX('Email Cleaner'!$B$2:$B$10001,MATCH(3262,'Email Cleaner'!$J$2:$J$10001,0)),"")</f>
        <v/>
      </c>
    </row>
    <row r="3264">
      <c r="A3264">
        <f>IFERROR(INDEX('Email Cleaner'!$B$2:$B$10001,MATCH(3263,'Email Cleaner'!$J$2:$J$10001,0)),"")</f>
        <v/>
      </c>
    </row>
    <row r="3265">
      <c r="A3265">
        <f>IFERROR(INDEX('Email Cleaner'!$B$2:$B$10001,MATCH(3264,'Email Cleaner'!$J$2:$J$10001,0)),"")</f>
        <v/>
      </c>
    </row>
    <row r="3266">
      <c r="A3266">
        <f>IFERROR(INDEX('Email Cleaner'!$B$2:$B$10001,MATCH(3265,'Email Cleaner'!$J$2:$J$10001,0)),"")</f>
        <v/>
      </c>
    </row>
    <row r="3267">
      <c r="A3267">
        <f>IFERROR(INDEX('Email Cleaner'!$B$2:$B$10001,MATCH(3266,'Email Cleaner'!$J$2:$J$10001,0)),"")</f>
        <v/>
      </c>
    </row>
    <row r="3268">
      <c r="A3268">
        <f>IFERROR(INDEX('Email Cleaner'!$B$2:$B$10001,MATCH(3267,'Email Cleaner'!$J$2:$J$10001,0)),"")</f>
        <v/>
      </c>
    </row>
    <row r="3269">
      <c r="A3269">
        <f>IFERROR(INDEX('Email Cleaner'!$B$2:$B$10001,MATCH(3268,'Email Cleaner'!$J$2:$J$10001,0)),"")</f>
        <v/>
      </c>
    </row>
    <row r="3270">
      <c r="A3270">
        <f>IFERROR(INDEX('Email Cleaner'!$B$2:$B$10001,MATCH(3269,'Email Cleaner'!$J$2:$J$10001,0)),"")</f>
        <v/>
      </c>
    </row>
    <row r="3271">
      <c r="A3271">
        <f>IFERROR(INDEX('Email Cleaner'!$B$2:$B$10001,MATCH(3270,'Email Cleaner'!$J$2:$J$10001,0)),"")</f>
        <v/>
      </c>
    </row>
    <row r="3272">
      <c r="A3272">
        <f>IFERROR(INDEX('Email Cleaner'!$B$2:$B$10001,MATCH(3271,'Email Cleaner'!$J$2:$J$10001,0)),"")</f>
        <v/>
      </c>
    </row>
    <row r="3273">
      <c r="A3273">
        <f>IFERROR(INDEX('Email Cleaner'!$B$2:$B$10001,MATCH(3272,'Email Cleaner'!$J$2:$J$10001,0)),"")</f>
        <v/>
      </c>
    </row>
    <row r="3274">
      <c r="A3274">
        <f>IFERROR(INDEX('Email Cleaner'!$B$2:$B$10001,MATCH(3273,'Email Cleaner'!$J$2:$J$10001,0)),"")</f>
        <v/>
      </c>
    </row>
    <row r="3275">
      <c r="A3275">
        <f>IFERROR(INDEX('Email Cleaner'!$B$2:$B$10001,MATCH(3274,'Email Cleaner'!$J$2:$J$10001,0)),"")</f>
        <v/>
      </c>
    </row>
    <row r="3276">
      <c r="A3276">
        <f>IFERROR(INDEX('Email Cleaner'!$B$2:$B$10001,MATCH(3275,'Email Cleaner'!$J$2:$J$10001,0)),"")</f>
        <v/>
      </c>
    </row>
    <row r="3277">
      <c r="A3277">
        <f>IFERROR(INDEX('Email Cleaner'!$B$2:$B$10001,MATCH(3276,'Email Cleaner'!$J$2:$J$10001,0)),"")</f>
        <v/>
      </c>
    </row>
    <row r="3278">
      <c r="A3278">
        <f>IFERROR(INDEX('Email Cleaner'!$B$2:$B$10001,MATCH(3277,'Email Cleaner'!$J$2:$J$10001,0)),"")</f>
        <v/>
      </c>
    </row>
    <row r="3279">
      <c r="A3279">
        <f>IFERROR(INDEX('Email Cleaner'!$B$2:$B$10001,MATCH(3278,'Email Cleaner'!$J$2:$J$10001,0)),"")</f>
        <v/>
      </c>
    </row>
    <row r="3280">
      <c r="A3280">
        <f>IFERROR(INDEX('Email Cleaner'!$B$2:$B$10001,MATCH(3279,'Email Cleaner'!$J$2:$J$10001,0)),"")</f>
        <v/>
      </c>
    </row>
    <row r="3281">
      <c r="A3281">
        <f>IFERROR(INDEX('Email Cleaner'!$B$2:$B$10001,MATCH(3280,'Email Cleaner'!$J$2:$J$10001,0)),"")</f>
        <v/>
      </c>
    </row>
    <row r="3282">
      <c r="A3282">
        <f>IFERROR(INDEX('Email Cleaner'!$B$2:$B$10001,MATCH(3281,'Email Cleaner'!$J$2:$J$10001,0)),"")</f>
        <v/>
      </c>
    </row>
    <row r="3283">
      <c r="A3283">
        <f>IFERROR(INDEX('Email Cleaner'!$B$2:$B$10001,MATCH(3282,'Email Cleaner'!$J$2:$J$10001,0)),"")</f>
        <v/>
      </c>
    </row>
    <row r="3284">
      <c r="A3284">
        <f>IFERROR(INDEX('Email Cleaner'!$B$2:$B$10001,MATCH(3283,'Email Cleaner'!$J$2:$J$10001,0)),"")</f>
        <v/>
      </c>
    </row>
    <row r="3285">
      <c r="A3285">
        <f>IFERROR(INDEX('Email Cleaner'!$B$2:$B$10001,MATCH(3284,'Email Cleaner'!$J$2:$J$10001,0)),"")</f>
        <v/>
      </c>
    </row>
    <row r="3286">
      <c r="A3286">
        <f>IFERROR(INDEX('Email Cleaner'!$B$2:$B$10001,MATCH(3285,'Email Cleaner'!$J$2:$J$10001,0)),"")</f>
        <v/>
      </c>
    </row>
    <row r="3287">
      <c r="A3287">
        <f>IFERROR(INDEX('Email Cleaner'!$B$2:$B$10001,MATCH(3286,'Email Cleaner'!$J$2:$J$10001,0)),"")</f>
        <v/>
      </c>
    </row>
    <row r="3288">
      <c r="A3288">
        <f>IFERROR(INDEX('Email Cleaner'!$B$2:$B$10001,MATCH(3287,'Email Cleaner'!$J$2:$J$10001,0)),"")</f>
        <v/>
      </c>
    </row>
    <row r="3289">
      <c r="A3289">
        <f>IFERROR(INDEX('Email Cleaner'!$B$2:$B$10001,MATCH(3288,'Email Cleaner'!$J$2:$J$10001,0)),"")</f>
        <v/>
      </c>
    </row>
    <row r="3290">
      <c r="A3290">
        <f>IFERROR(INDEX('Email Cleaner'!$B$2:$B$10001,MATCH(3289,'Email Cleaner'!$J$2:$J$10001,0)),"")</f>
        <v/>
      </c>
    </row>
    <row r="3291">
      <c r="A3291">
        <f>IFERROR(INDEX('Email Cleaner'!$B$2:$B$10001,MATCH(3290,'Email Cleaner'!$J$2:$J$10001,0)),"")</f>
        <v/>
      </c>
    </row>
    <row r="3292">
      <c r="A3292">
        <f>IFERROR(INDEX('Email Cleaner'!$B$2:$B$10001,MATCH(3291,'Email Cleaner'!$J$2:$J$10001,0)),"")</f>
        <v/>
      </c>
    </row>
    <row r="3293">
      <c r="A3293">
        <f>IFERROR(INDEX('Email Cleaner'!$B$2:$B$10001,MATCH(3292,'Email Cleaner'!$J$2:$J$10001,0)),"")</f>
        <v/>
      </c>
    </row>
    <row r="3294">
      <c r="A3294">
        <f>IFERROR(INDEX('Email Cleaner'!$B$2:$B$10001,MATCH(3293,'Email Cleaner'!$J$2:$J$10001,0)),"")</f>
        <v/>
      </c>
    </row>
    <row r="3295">
      <c r="A3295">
        <f>IFERROR(INDEX('Email Cleaner'!$B$2:$B$10001,MATCH(3294,'Email Cleaner'!$J$2:$J$10001,0)),"")</f>
        <v/>
      </c>
    </row>
    <row r="3296">
      <c r="A3296">
        <f>IFERROR(INDEX('Email Cleaner'!$B$2:$B$10001,MATCH(3295,'Email Cleaner'!$J$2:$J$10001,0)),"")</f>
        <v/>
      </c>
    </row>
    <row r="3297">
      <c r="A3297">
        <f>IFERROR(INDEX('Email Cleaner'!$B$2:$B$10001,MATCH(3296,'Email Cleaner'!$J$2:$J$10001,0)),"")</f>
        <v/>
      </c>
    </row>
    <row r="3298">
      <c r="A3298">
        <f>IFERROR(INDEX('Email Cleaner'!$B$2:$B$10001,MATCH(3297,'Email Cleaner'!$J$2:$J$10001,0)),"")</f>
        <v/>
      </c>
    </row>
    <row r="3299">
      <c r="A3299">
        <f>IFERROR(INDEX('Email Cleaner'!$B$2:$B$10001,MATCH(3298,'Email Cleaner'!$J$2:$J$10001,0)),"")</f>
        <v/>
      </c>
    </row>
    <row r="3300">
      <c r="A3300">
        <f>IFERROR(INDEX('Email Cleaner'!$B$2:$B$10001,MATCH(3299,'Email Cleaner'!$J$2:$J$10001,0)),"")</f>
        <v/>
      </c>
    </row>
    <row r="3301">
      <c r="A3301">
        <f>IFERROR(INDEX('Email Cleaner'!$B$2:$B$10001,MATCH(3300,'Email Cleaner'!$J$2:$J$10001,0)),"")</f>
        <v/>
      </c>
    </row>
    <row r="3302">
      <c r="A3302">
        <f>IFERROR(INDEX('Email Cleaner'!$B$2:$B$10001,MATCH(3301,'Email Cleaner'!$J$2:$J$10001,0)),"")</f>
        <v/>
      </c>
    </row>
    <row r="3303">
      <c r="A3303">
        <f>IFERROR(INDEX('Email Cleaner'!$B$2:$B$10001,MATCH(3302,'Email Cleaner'!$J$2:$J$10001,0)),"")</f>
        <v/>
      </c>
    </row>
    <row r="3304">
      <c r="A3304">
        <f>IFERROR(INDEX('Email Cleaner'!$B$2:$B$10001,MATCH(3303,'Email Cleaner'!$J$2:$J$10001,0)),"")</f>
        <v/>
      </c>
    </row>
    <row r="3305">
      <c r="A3305">
        <f>IFERROR(INDEX('Email Cleaner'!$B$2:$B$10001,MATCH(3304,'Email Cleaner'!$J$2:$J$10001,0)),"")</f>
        <v/>
      </c>
    </row>
    <row r="3306">
      <c r="A3306">
        <f>IFERROR(INDEX('Email Cleaner'!$B$2:$B$10001,MATCH(3305,'Email Cleaner'!$J$2:$J$10001,0)),"")</f>
        <v/>
      </c>
    </row>
    <row r="3307">
      <c r="A3307">
        <f>IFERROR(INDEX('Email Cleaner'!$B$2:$B$10001,MATCH(3306,'Email Cleaner'!$J$2:$J$10001,0)),"")</f>
        <v/>
      </c>
    </row>
    <row r="3308">
      <c r="A3308">
        <f>IFERROR(INDEX('Email Cleaner'!$B$2:$B$10001,MATCH(3307,'Email Cleaner'!$J$2:$J$10001,0)),"")</f>
        <v/>
      </c>
    </row>
    <row r="3309">
      <c r="A3309">
        <f>IFERROR(INDEX('Email Cleaner'!$B$2:$B$10001,MATCH(3308,'Email Cleaner'!$J$2:$J$10001,0)),"")</f>
        <v/>
      </c>
    </row>
    <row r="3310">
      <c r="A3310">
        <f>IFERROR(INDEX('Email Cleaner'!$B$2:$B$10001,MATCH(3309,'Email Cleaner'!$J$2:$J$10001,0)),"")</f>
        <v/>
      </c>
    </row>
    <row r="3311">
      <c r="A3311">
        <f>IFERROR(INDEX('Email Cleaner'!$B$2:$B$10001,MATCH(3310,'Email Cleaner'!$J$2:$J$10001,0)),"")</f>
        <v/>
      </c>
    </row>
    <row r="3312">
      <c r="A3312">
        <f>IFERROR(INDEX('Email Cleaner'!$B$2:$B$10001,MATCH(3311,'Email Cleaner'!$J$2:$J$10001,0)),"")</f>
        <v/>
      </c>
    </row>
    <row r="3313">
      <c r="A3313">
        <f>IFERROR(INDEX('Email Cleaner'!$B$2:$B$10001,MATCH(3312,'Email Cleaner'!$J$2:$J$10001,0)),"")</f>
        <v/>
      </c>
    </row>
    <row r="3314">
      <c r="A3314">
        <f>IFERROR(INDEX('Email Cleaner'!$B$2:$B$10001,MATCH(3313,'Email Cleaner'!$J$2:$J$10001,0)),"")</f>
        <v/>
      </c>
    </row>
    <row r="3315">
      <c r="A3315">
        <f>IFERROR(INDEX('Email Cleaner'!$B$2:$B$10001,MATCH(3314,'Email Cleaner'!$J$2:$J$10001,0)),"")</f>
        <v/>
      </c>
    </row>
    <row r="3316">
      <c r="A3316">
        <f>IFERROR(INDEX('Email Cleaner'!$B$2:$B$10001,MATCH(3315,'Email Cleaner'!$J$2:$J$10001,0)),"")</f>
        <v/>
      </c>
    </row>
    <row r="3317">
      <c r="A3317">
        <f>IFERROR(INDEX('Email Cleaner'!$B$2:$B$10001,MATCH(3316,'Email Cleaner'!$J$2:$J$10001,0)),"")</f>
        <v/>
      </c>
    </row>
    <row r="3318">
      <c r="A3318">
        <f>IFERROR(INDEX('Email Cleaner'!$B$2:$B$10001,MATCH(3317,'Email Cleaner'!$J$2:$J$10001,0)),"")</f>
        <v/>
      </c>
    </row>
    <row r="3319">
      <c r="A3319">
        <f>IFERROR(INDEX('Email Cleaner'!$B$2:$B$10001,MATCH(3318,'Email Cleaner'!$J$2:$J$10001,0)),"")</f>
        <v/>
      </c>
    </row>
    <row r="3320">
      <c r="A3320">
        <f>IFERROR(INDEX('Email Cleaner'!$B$2:$B$10001,MATCH(3319,'Email Cleaner'!$J$2:$J$10001,0)),"")</f>
        <v/>
      </c>
    </row>
    <row r="3321">
      <c r="A3321">
        <f>IFERROR(INDEX('Email Cleaner'!$B$2:$B$10001,MATCH(3320,'Email Cleaner'!$J$2:$J$10001,0)),"")</f>
        <v/>
      </c>
    </row>
    <row r="3322">
      <c r="A3322">
        <f>IFERROR(INDEX('Email Cleaner'!$B$2:$B$10001,MATCH(3321,'Email Cleaner'!$J$2:$J$10001,0)),"")</f>
        <v/>
      </c>
    </row>
    <row r="3323">
      <c r="A3323">
        <f>IFERROR(INDEX('Email Cleaner'!$B$2:$B$10001,MATCH(3322,'Email Cleaner'!$J$2:$J$10001,0)),"")</f>
        <v/>
      </c>
    </row>
    <row r="3324">
      <c r="A3324">
        <f>IFERROR(INDEX('Email Cleaner'!$B$2:$B$10001,MATCH(3323,'Email Cleaner'!$J$2:$J$10001,0)),"")</f>
        <v/>
      </c>
    </row>
    <row r="3325">
      <c r="A3325">
        <f>IFERROR(INDEX('Email Cleaner'!$B$2:$B$10001,MATCH(3324,'Email Cleaner'!$J$2:$J$10001,0)),"")</f>
        <v/>
      </c>
    </row>
    <row r="3326">
      <c r="A3326">
        <f>IFERROR(INDEX('Email Cleaner'!$B$2:$B$10001,MATCH(3325,'Email Cleaner'!$J$2:$J$10001,0)),"")</f>
        <v/>
      </c>
    </row>
    <row r="3327">
      <c r="A3327">
        <f>IFERROR(INDEX('Email Cleaner'!$B$2:$B$10001,MATCH(3326,'Email Cleaner'!$J$2:$J$10001,0)),"")</f>
        <v/>
      </c>
    </row>
    <row r="3328">
      <c r="A3328">
        <f>IFERROR(INDEX('Email Cleaner'!$B$2:$B$10001,MATCH(3327,'Email Cleaner'!$J$2:$J$10001,0)),"")</f>
        <v/>
      </c>
    </row>
    <row r="3329">
      <c r="A3329">
        <f>IFERROR(INDEX('Email Cleaner'!$B$2:$B$10001,MATCH(3328,'Email Cleaner'!$J$2:$J$10001,0)),"")</f>
        <v/>
      </c>
    </row>
    <row r="3330">
      <c r="A3330">
        <f>IFERROR(INDEX('Email Cleaner'!$B$2:$B$10001,MATCH(3329,'Email Cleaner'!$J$2:$J$10001,0)),"")</f>
        <v/>
      </c>
    </row>
    <row r="3331">
      <c r="A3331">
        <f>IFERROR(INDEX('Email Cleaner'!$B$2:$B$10001,MATCH(3330,'Email Cleaner'!$J$2:$J$10001,0)),"")</f>
        <v/>
      </c>
    </row>
    <row r="3332">
      <c r="A3332">
        <f>IFERROR(INDEX('Email Cleaner'!$B$2:$B$10001,MATCH(3331,'Email Cleaner'!$J$2:$J$10001,0)),"")</f>
        <v/>
      </c>
    </row>
    <row r="3333">
      <c r="A3333">
        <f>IFERROR(INDEX('Email Cleaner'!$B$2:$B$10001,MATCH(3332,'Email Cleaner'!$J$2:$J$10001,0)),"")</f>
        <v/>
      </c>
    </row>
    <row r="3334">
      <c r="A3334">
        <f>IFERROR(INDEX('Email Cleaner'!$B$2:$B$10001,MATCH(3333,'Email Cleaner'!$J$2:$J$10001,0)),"")</f>
        <v/>
      </c>
    </row>
    <row r="3335">
      <c r="A3335">
        <f>IFERROR(INDEX('Email Cleaner'!$B$2:$B$10001,MATCH(3334,'Email Cleaner'!$J$2:$J$10001,0)),"")</f>
        <v/>
      </c>
    </row>
    <row r="3336">
      <c r="A3336">
        <f>IFERROR(INDEX('Email Cleaner'!$B$2:$B$10001,MATCH(3335,'Email Cleaner'!$J$2:$J$10001,0)),"")</f>
        <v/>
      </c>
    </row>
    <row r="3337">
      <c r="A3337">
        <f>IFERROR(INDEX('Email Cleaner'!$B$2:$B$10001,MATCH(3336,'Email Cleaner'!$J$2:$J$10001,0)),"")</f>
        <v/>
      </c>
    </row>
    <row r="3338">
      <c r="A3338">
        <f>IFERROR(INDEX('Email Cleaner'!$B$2:$B$10001,MATCH(3337,'Email Cleaner'!$J$2:$J$10001,0)),"")</f>
        <v/>
      </c>
    </row>
    <row r="3339">
      <c r="A3339">
        <f>IFERROR(INDEX('Email Cleaner'!$B$2:$B$10001,MATCH(3338,'Email Cleaner'!$J$2:$J$10001,0)),"")</f>
        <v/>
      </c>
    </row>
    <row r="3340">
      <c r="A3340">
        <f>IFERROR(INDEX('Email Cleaner'!$B$2:$B$10001,MATCH(3339,'Email Cleaner'!$J$2:$J$10001,0)),"")</f>
        <v/>
      </c>
    </row>
    <row r="3341">
      <c r="A3341">
        <f>IFERROR(INDEX('Email Cleaner'!$B$2:$B$10001,MATCH(3340,'Email Cleaner'!$J$2:$J$10001,0)),"")</f>
        <v/>
      </c>
    </row>
    <row r="3342">
      <c r="A3342">
        <f>IFERROR(INDEX('Email Cleaner'!$B$2:$B$10001,MATCH(3341,'Email Cleaner'!$J$2:$J$10001,0)),"")</f>
        <v/>
      </c>
    </row>
    <row r="3343">
      <c r="A3343">
        <f>IFERROR(INDEX('Email Cleaner'!$B$2:$B$10001,MATCH(3342,'Email Cleaner'!$J$2:$J$10001,0)),"")</f>
        <v/>
      </c>
    </row>
    <row r="3344">
      <c r="A3344">
        <f>IFERROR(INDEX('Email Cleaner'!$B$2:$B$10001,MATCH(3343,'Email Cleaner'!$J$2:$J$10001,0)),"")</f>
        <v/>
      </c>
    </row>
    <row r="3345">
      <c r="A3345">
        <f>IFERROR(INDEX('Email Cleaner'!$B$2:$B$10001,MATCH(3344,'Email Cleaner'!$J$2:$J$10001,0)),"")</f>
        <v/>
      </c>
    </row>
    <row r="3346">
      <c r="A3346">
        <f>IFERROR(INDEX('Email Cleaner'!$B$2:$B$10001,MATCH(3345,'Email Cleaner'!$J$2:$J$10001,0)),"")</f>
        <v/>
      </c>
    </row>
    <row r="3347">
      <c r="A3347">
        <f>IFERROR(INDEX('Email Cleaner'!$B$2:$B$10001,MATCH(3346,'Email Cleaner'!$J$2:$J$10001,0)),"")</f>
        <v/>
      </c>
    </row>
    <row r="3348">
      <c r="A3348">
        <f>IFERROR(INDEX('Email Cleaner'!$B$2:$B$10001,MATCH(3347,'Email Cleaner'!$J$2:$J$10001,0)),"")</f>
        <v/>
      </c>
    </row>
    <row r="3349">
      <c r="A3349">
        <f>IFERROR(INDEX('Email Cleaner'!$B$2:$B$10001,MATCH(3348,'Email Cleaner'!$J$2:$J$10001,0)),"")</f>
        <v/>
      </c>
    </row>
    <row r="3350">
      <c r="A3350">
        <f>IFERROR(INDEX('Email Cleaner'!$B$2:$B$10001,MATCH(3349,'Email Cleaner'!$J$2:$J$10001,0)),"")</f>
        <v/>
      </c>
    </row>
    <row r="3351">
      <c r="A3351">
        <f>IFERROR(INDEX('Email Cleaner'!$B$2:$B$10001,MATCH(3350,'Email Cleaner'!$J$2:$J$10001,0)),"")</f>
        <v/>
      </c>
    </row>
    <row r="3352">
      <c r="A3352">
        <f>IFERROR(INDEX('Email Cleaner'!$B$2:$B$10001,MATCH(3351,'Email Cleaner'!$J$2:$J$10001,0)),"")</f>
        <v/>
      </c>
    </row>
    <row r="3353">
      <c r="A3353">
        <f>IFERROR(INDEX('Email Cleaner'!$B$2:$B$10001,MATCH(3352,'Email Cleaner'!$J$2:$J$10001,0)),"")</f>
        <v/>
      </c>
    </row>
    <row r="3354">
      <c r="A3354">
        <f>IFERROR(INDEX('Email Cleaner'!$B$2:$B$10001,MATCH(3353,'Email Cleaner'!$J$2:$J$10001,0)),"")</f>
        <v/>
      </c>
    </row>
    <row r="3355">
      <c r="A3355">
        <f>IFERROR(INDEX('Email Cleaner'!$B$2:$B$10001,MATCH(3354,'Email Cleaner'!$J$2:$J$10001,0)),"")</f>
        <v/>
      </c>
    </row>
    <row r="3356">
      <c r="A3356">
        <f>IFERROR(INDEX('Email Cleaner'!$B$2:$B$10001,MATCH(3355,'Email Cleaner'!$J$2:$J$10001,0)),"")</f>
        <v/>
      </c>
    </row>
    <row r="3357">
      <c r="A3357">
        <f>IFERROR(INDEX('Email Cleaner'!$B$2:$B$10001,MATCH(3356,'Email Cleaner'!$J$2:$J$10001,0)),"")</f>
        <v/>
      </c>
    </row>
    <row r="3358">
      <c r="A3358">
        <f>IFERROR(INDEX('Email Cleaner'!$B$2:$B$10001,MATCH(3357,'Email Cleaner'!$J$2:$J$10001,0)),"")</f>
        <v/>
      </c>
    </row>
    <row r="3359">
      <c r="A3359">
        <f>IFERROR(INDEX('Email Cleaner'!$B$2:$B$10001,MATCH(3358,'Email Cleaner'!$J$2:$J$10001,0)),"")</f>
        <v/>
      </c>
    </row>
    <row r="3360">
      <c r="A3360">
        <f>IFERROR(INDEX('Email Cleaner'!$B$2:$B$10001,MATCH(3359,'Email Cleaner'!$J$2:$J$10001,0)),"")</f>
        <v/>
      </c>
    </row>
    <row r="3361">
      <c r="A3361">
        <f>IFERROR(INDEX('Email Cleaner'!$B$2:$B$10001,MATCH(3360,'Email Cleaner'!$J$2:$J$10001,0)),"")</f>
        <v/>
      </c>
    </row>
    <row r="3362">
      <c r="A3362">
        <f>IFERROR(INDEX('Email Cleaner'!$B$2:$B$10001,MATCH(3361,'Email Cleaner'!$J$2:$J$10001,0)),"")</f>
        <v/>
      </c>
    </row>
    <row r="3363">
      <c r="A3363">
        <f>IFERROR(INDEX('Email Cleaner'!$B$2:$B$10001,MATCH(3362,'Email Cleaner'!$J$2:$J$10001,0)),"")</f>
        <v/>
      </c>
    </row>
    <row r="3364">
      <c r="A3364">
        <f>IFERROR(INDEX('Email Cleaner'!$B$2:$B$10001,MATCH(3363,'Email Cleaner'!$J$2:$J$10001,0)),"")</f>
        <v/>
      </c>
    </row>
    <row r="3365">
      <c r="A3365">
        <f>IFERROR(INDEX('Email Cleaner'!$B$2:$B$10001,MATCH(3364,'Email Cleaner'!$J$2:$J$10001,0)),"")</f>
        <v/>
      </c>
    </row>
    <row r="3366">
      <c r="A3366">
        <f>IFERROR(INDEX('Email Cleaner'!$B$2:$B$10001,MATCH(3365,'Email Cleaner'!$J$2:$J$10001,0)),"")</f>
        <v/>
      </c>
    </row>
    <row r="3367">
      <c r="A3367">
        <f>IFERROR(INDEX('Email Cleaner'!$B$2:$B$10001,MATCH(3366,'Email Cleaner'!$J$2:$J$10001,0)),"")</f>
        <v/>
      </c>
    </row>
    <row r="3368">
      <c r="A3368">
        <f>IFERROR(INDEX('Email Cleaner'!$B$2:$B$10001,MATCH(3367,'Email Cleaner'!$J$2:$J$10001,0)),"")</f>
        <v/>
      </c>
    </row>
    <row r="3369">
      <c r="A3369">
        <f>IFERROR(INDEX('Email Cleaner'!$B$2:$B$10001,MATCH(3368,'Email Cleaner'!$J$2:$J$10001,0)),"")</f>
        <v/>
      </c>
    </row>
    <row r="3370">
      <c r="A3370">
        <f>IFERROR(INDEX('Email Cleaner'!$B$2:$B$10001,MATCH(3369,'Email Cleaner'!$J$2:$J$10001,0)),"")</f>
        <v/>
      </c>
    </row>
    <row r="3371">
      <c r="A3371">
        <f>IFERROR(INDEX('Email Cleaner'!$B$2:$B$10001,MATCH(3370,'Email Cleaner'!$J$2:$J$10001,0)),"")</f>
        <v/>
      </c>
    </row>
    <row r="3372">
      <c r="A3372">
        <f>IFERROR(INDEX('Email Cleaner'!$B$2:$B$10001,MATCH(3371,'Email Cleaner'!$J$2:$J$10001,0)),"")</f>
        <v/>
      </c>
    </row>
    <row r="3373">
      <c r="A3373">
        <f>IFERROR(INDEX('Email Cleaner'!$B$2:$B$10001,MATCH(3372,'Email Cleaner'!$J$2:$J$10001,0)),"")</f>
        <v/>
      </c>
    </row>
    <row r="3374">
      <c r="A3374">
        <f>IFERROR(INDEX('Email Cleaner'!$B$2:$B$10001,MATCH(3373,'Email Cleaner'!$J$2:$J$10001,0)),"")</f>
        <v/>
      </c>
    </row>
    <row r="3375">
      <c r="A3375">
        <f>IFERROR(INDEX('Email Cleaner'!$B$2:$B$10001,MATCH(3374,'Email Cleaner'!$J$2:$J$10001,0)),"")</f>
        <v/>
      </c>
    </row>
    <row r="3376">
      <c r="A3376">
        <f>IFERROR(INDEX('Email Cleaner'!$B$2:$B$10001,MATCH(3375,'Email Cleaner'!$J$2:$J$10001,0)),"")</f>
        <v/>
      </c>
    </row>
    <row r="3377">
      <c r="A3377">
        <f>IFERROR(INDEX('Email Cleaner'!$B$2:$B$10001,MATCH(3376,'Email Cleaner'!$J$2:$J$10001,0)),"")</f>
        <v/>
      </c>
    </row>
    <row r="3378">
      <c r="A3378">
        <f>IFERROR(INDEX('Email Cleaner'!$B$2:$B$10001,MATCH(3377,'Email Cleaner'!$J$2:$J$10001,0)),"")</f>
        <v/>
      </c>
    </row>
    <row r="3379">
      <c r="A3379">
        <f>IFERROR(INDEX('Email Cleaner'!$B$2:$B$10001,MATCH(3378,'Email Cleaner'!$J$2:$J$10001,0)),"")</f>
        <v/>
      </c>
    </row>
    <row r="3380">
      <c r="A3380">
        <f>IFERROR(INDEX('Email Cleaner'!$B$2:$B$10001,MATCH(3379,'Email Cleaner'!$J$2:$J$10001,0)),"")</f>
        <v/>
      </c>
    </row>
    <row r="3381">
      <c r="A3381">
        <f>IFERROR(INDEX('Email Cleaner'!$B$2:$B$10001,MATCH(3380,'Email Cleaner'!$J$2:$J$10001,0)),"")</f>
        <v/>
      </c>
    </row>
    <row r="3382">
      <c r="A3382">
        <f>IFERROR(INDEX('Email Cleaner'!$B$2:$B$10001,MATCH(3381,'Email Cleaner'!$J$2:$J$10001,0)),"")</f>
        <v/>
      </c>
    </row>
    <row r="3383">
      <c r="A3383">
        <f>IFERROR(INDEX('Email Cleaner'!$B$2:$B$10001,MATCH(3382,'Email Cleaner'!$J$2:$J$10001,0)),"")</f>
        <v/>
      </c>
    </row>
    <row r="3384">
      <c r="A3384">
        <f>IFERROR(INDEX('Email Cleaner'!$B$2:$B$10001,MATCH(3383,'Email Cleaner'!$J$2:$J$10001,0)),"")</f>
        <v/>
      </c>
    </row>
    <row r="3385">
      <c r="A3385">
        <f>IFERROR(INDEX('Email Cleaner'!$B$2:$B$10001,MATCH(3384,'Email Cleaner'!$J$2:$J$10001,0)),"")</f>
        <v/>
      </c>
    </row>
    <row r="3386">
      <c r="A3386">
        <f>IFERROR(INDEX('Email Cleaner'!$B$2:$B$10001,MATCH(3385,'Email Cleaner'!$J$2:$J$10001,0)),"")</f>
        <v/>
      </c>
    </row>
    <row r="3387">
      <c r="A3387">
        <f>IFERROR(INDEX('Email Cleaner'!$B$2:$B$10001,MATCH(3386,'Email Cleaner'!$J$2:$J$10001,0)),"")</f>
        <v/>
      </c>
    </row>
    <row r="3388">
      <c r="A3388">
        <f>IFERROR(INDEX('Email Cleaner'!$B$2:$B$10001,MATCH(3387,'Email Cleaner'!$J$2:$J$10001,0)),"")</f>
        <v/>
      </c>
    </row>
    <row r="3389">
      <c r="A3389">
        <f>IFERROR(INDEX('Email Cleaner'!$B$2:$B$10001,MATCH(3388,'Email Cleaner'!$J$2:$J$10001,0)),"")</f>
        <v/>
      </c>
    </row>
    <row r="3390">
      <c r="A3390">
        <f>IFERROR(INDEX('Email Cleaner'!$B$2:$B$10001,MATCH(3389,'Email Cleaner'!$J$2:$J$10001,0)),"")</f>
        <v/>
      </c>
    </row>
    <row r="3391">
      <c r="A3391">
        <f>IFERROR(INDEX('Email Cleaner'!$B$2:$B$10001,MATCH(3390,'Email Cleaner'!$J$2:$J$10001,0)),"")</f>
        <v/>
      </c>
    </row>
    <row r="3392">
      <c r="A3392">
        <f>IFERROR(INDEX('Email Cleaner'!$B$2:$B$10001,MATCH(3391,'Email Cleaner'!$J$2:$J$10001,0)),"")</f>
        <v/>
      </c>
    </row>
    <row r="3393">
      <c r="A3393">
        <f>IFERROR(INDEX('Email Cleaner'!$B$2:$B$10001,MATCH(3392,'Email Cleaner'!$J$2:$J$10001,0)),"")</f>
        <v/>
      </c>
    </row>
    <row r="3394">
      <c r="A3394">
        <f>IFERROR(INDEX('Email Cleaner'!$B$2:$B$10001,MATCH(3393,'Email Cleaner'!$J$2:$J$10001,0)),"")</f>
        <v/>
      </c>
    </row>
    <row r="3395">
      <c r="A3395">
        <f>IFERROR(INDEX('Email Cleaner'!$B$2:$B$10001,MATCH(3394,'Email Cleaner'!$J$2:$J$10001,0)),"")</f>
        <v/>
      </c>
    </row>
    <row r="3396">
      <c r="A3396">
        <f>IFERROR(INDEX('Email Cleaner'!$B$2:$B$10001,MATCH(3395,'Email Cleaner'!$J$2:$J$10001,0)),"")</f>
        <v/>
      </c>
    </row>
    <row r="3397">
      <c r="A3397">
        <f>IFERROR(INDEX('Email Cleaner'!$B$2:$B$10001,MATCH(3396,'Email Cleaner'!$J$2:$J$10001,0)),"")</f>
        <v/>
      </c>
    </row>
    <row r="3398">
      <c r="A3398">
        <f>IFERROR(INDEX('Email Cleaner'!$B$2:$B$10001,MATCH(3397,'Email Cleaner'!$J$2:$J$10001,0)),"")</f>
        <v/>
      </c>
    </row>
    <row r="3399">
      <c r="A3399">
        <f>IFERROR(INDEX('Email Cleaner'!$B$2:$B$10001,MATCH(3398,'Email Cleaner'!$J$2:$J$10001,0)),"")</f>
        <v/>
      </c>
    </row>
    <row r="3400">
      <c r="A3400">
        <f>IFERROR(INDEX('Email Cleaner'!$B$2:$B$10001,MATCH(3399,'Email Cleaner'!$J$2:$J$10001,0)),"")</f>
        <v/>
      </c>
    </row>
    <row r="3401">
      <c r="A3401">
        <f>IFERROR(INDEX('Email Cleaner'!$B$2:$B$10001,MATCH(3400,'Email Cleaner'!$J$2:$J$10001,0)),"")</f>
        <v/>
      </c>
    </row>
    <row r="3402">
      <c r="A3402">
        <f>IFERROR(INDEX('Email Cleaner'!$B$2:$B$10001,MATCH(3401,'Email Cleaner'!$J$2:$J$10001,0)),"")</f>
        <v/>
      </c>
    </row>
    <row r="3403">
      <c r="A3403">
        <f>IFERROR(INDEX('Email Cleaner'!$B$2:$B$10001,MATCH(3402,'Email Cleaner'!$J$2:$J$10001,0)),"")</f>
        <v/>
      </c>
    </row>
    <row r="3404">
      <c r="A3404">
        <f>IFERROR(INDEX('Email Cleaner'!$B$2:$B$10001,MATCH(3403,'Email Cleaner'!$J$2:$J$10001,0)),"")</f>
        <v/>
      </c>
    </row>
    <row r="3405">
      <c r="A3405">
        <f>IFERROR(INDEX('Email Cleaner'!$B$2:$B$10001,MATCH(3404,'Email Cleaner'!$J$2:$J$10001,0)),"")</f>
        <v/>
      </c>
    </row>
    <row r="3406">
      <c r="A3406">
        <f>IFERROR(INDEX('Email Cleaner'!$B$2:$B$10001,MATCH(3405,'Email Cleaner'!$J$2:$J$10001,0)),"")</f>
        <v/>
      </c>
    </row>
    <row r="3407">
      <c r="A3407">
        <f>IFERROR(INDEX('Email Cleaner'!$B$2:$B$10001,MATCH(3406,'Email Cleaner'!$J$2:$J$10001,0)),"")</f>
        <v/>
      </c>
    </row>
    <row r="3408">
      <c r="A3408">
        <f>IFERROR(INDEX('Email Cleaner'!$B$2:$B$10001,MATCH(3407,'Email Cleaner'!$J$2:$J$10001,0)),"")</f>
        <v/>
      </c>
    </row>
    <row r="3409">
      <c r="A3409">
        <f>IFERROR(INDEX('Email Cleaner'!$B$2:$B$10001,MATCH(3408,'Email Cleaner'!$J$2:$J$10001,0)),"")</f>
        <v/>
      </c>
    </row>
    <row r="3410">
      <c r="A3410">
        <f>IFERROR(INDEX('Email Cleaner'!$B$2:$B$10001,MATCH(3409,'Email Cleaner'!$J$2:$J$10001,0)),"")</f>
        <v/>
      </c>
    </row>
    <row r="3411">
      <c r="A3411">
        <f>IFERROR(INDEX('Email Cleaner'!$B$2:$B$10001,MATCH(3410,'Email Cleaner'!$J$2:$J$10001,0)),"")</f>
        <v/>
      </c>
    </row>
    <row r="3412">
      <c r="A3412">
        <f>IFERROR(INDEX('Email Cleaner'!$B$2:$B$10001,MATCH(3411,'Email Cleaner'!$J$2:$J$10001,0)),"")</f>
        <v/>
      </c>
    </row>
    <row r="3413">
      <c r="A3413">
        <f>IFERROR(INDEX('Email Cleaner'!$B$2:$B$10001,MATCH(3412,'Email Cleaner'!$J$2:$J$10001,0)),"")</f>
        <v/>
      </c>
    </row>
    <row r="3414">
      <c r="A3414">
        <f>IFERROR(INDEX('Email Cleaner'!$B$2:$B$10001,MATCH(3413,'Email Cleaner'!$J$2:$J$10001,0)),"")</f>
        <v/>
      </c>
    </row>
    <row r="3415">
      <c r="A3415">
        <f>IFERROR(INDEX('Email Cleaner'!$B$2:$B$10001,MATCH(3414,'Email Cleaner'!$J$2:$J$10001,0)),"")</f>
        <v/>
      </c>
    </row>
    <row r="3416">
      <c r="A3416">
        <f>IFERROR(INDEX('Email Cleaner'!$B$2:$B$10001,MATCH(3415,'Email Cleaner'!$J$2:$J$10001,0)),"")</f>
        <v/>
      </c>
    </row>
    <row r="3417">
      <c r="A3417">
        <f>IFERROR(INDEX('Email Cleaner'!$B$2:$B$10001,MATCH(3416,'Email Cleaner'!$J$2:$J$10001,0)),"")</f>
        <v/>
      </c>
    </row>
    <row r="3418">
      <c r="A3418">
        <f>IFERROR(INDEX('Email Cleaner'!$B$2:$B$10001,MATCH(3417,'Email Cleaner'!$J$2:$J$10001,0)),"")</f>
        <v/>
      </c>
    </row>
    <row r="3419">
      <c r="A3419">
        <f>IFERROR(INDEX('Email Cleaner'!$B$2:$B$10001,MATCH(3418,'Email Cleaner'!$J$2:$J$10001,0)),"")</f>
        <v/>
      </c>
    </row>
    <row r="3420">
      <c r="A3420">
        <f>IFERROR(INDEX('Email Cleaner'!$B$2:$B$10001,MATCH(3419,'Email Cleaner'!$J$2:$J$10001,0)),"")</f>
        <v/>
      </c>
    </row>
    <row r="3421">
      <c r="A3421">
        <f>IFERROR(INDEX('Email Cleaner'!$B$2:$B$10001,MATCH(3420,'Email Cleaner'!$J$2:$J$10001,0)),"")</f>
        <v/>
      </c>
    </row>
    <row r="3422">
      <c r="A3422">
        <f>IFERROR(INDEX('Email Cleaner'!$B$2:$B$10001,MATCH(3421,'Email Cleaner'!$J$2:$J$10001,0)),"")</f>
        <v/>
      </c>
    </row>
    <row r="3423">
      <c r="A3423">
        <f>IFERROR(INDEX('Email Cleaner'!$B$2:$B$10001,MATCH(3422,'Email Cleaner'!$J$2:$J$10001,0)),"")</f>
        <v/>
      </c>
    </row>
    <row r="3424">
      <c r="A3424">
        <f>IFERROR(INDEX('Email Cleaner'!$B$2:$B$10001,MATCH(3423,'Email Cleaner'!$J$2:$J$10001,0)),"")</f>
        <v/>
      </c>
    </row>
    <row r="3425">
      <c r="A3425">
        <f>IFERROR(INDEX('Email Cleaner'!$B$2:$B$10001,MATCH(3424,'Email Cleaner'!$J$2:$J$10001,0)),"")</f>
        <v/>
      </c>
    </row>
    <row r="3426">
      <c r="A3426">
        <f>IFERROR(INDEX('Email Cleaner'!$B$2:$B$10001,MATCH(3425,'Email Cleaner'!$J$2:$J$10001,0)),"")</f>
        <v/>
      </c>
    </row>
    <row r="3427">
      <c r="A3427">
        <f>IFERROR(INDEX('Email Cleaner'!$B$2:$B$10001,MATCH(3426,'Email Cleaner'!$J$2:$J$10001,0)),"")</f>
        <v/>
      </c>
    </row>
    <row r="3428">
      <c r="A3428">
        <f>IFERROR(INDEX('Email Cleaner'!$B$2:$B$10001,MATCH(3427,'Email Cleaner'!$J$2:$J$10001,0)),"")</f>
        <v/>
      </c>
    </row>
    <row r="3429">
      <c r="A3429">
        <f>IFERROR(INDEX('Email Cleaner'!$B$2:$B$10001,MATCH(3428,'Email Cleaner'!$J$2:$J$10001,0)),"")</f>
        <v/>
      </c>
    </row>
    <row r="3430">
      <c r="A3430">
        <f>IFERROR(INDEX('Email Cleaner'!$B$2:$B$10001,MATCH(3429,'Email Cleaner'!$J$2:$J$10001,0)),"")</f>
        <v/>
      </c>
    </row>
    <row r="3431">
      <c r="A3431">
        <f>IFERROR(INDEX('Email Cleaner'!$B$2:$B$10001,MATCH(3430,'Email Cleaner'!$J$2:$J$10001,0)),"")</f>
        <v/>
      </c>
    </row>
    <row r="3432">
      <c r="A3432">
        <f>IFERROR(INDEX('Email Cleaner'!$B$2:$B$10001,MATCH(3431,'Email Cleaner'!$J$2:$J$10001,0)),"")</f>
        <v/>
      </c>
    </row>
    <row r="3433">
      <c r="A3433">
        <f>IFERROR(INDEX('Email Cleaner'!$B$2:$B$10001,MATCH(3432,'Email Cleaner'!$J$2:$J$10001,0)),"")</f>
        <v/>
      </c>
    </row>
    <row r="3434">
      <c r="A3434">
        <f>IFERROR(INDEX('Email Cleaner'!$B$2:$B$10001,MATCH(3433,'Email Cleaner'!$J$2:$J$10001,0)),"")</f>
        <v/>
      </c>
    </row>
    <row r="3435">
      <c r="A3435">
        <f>IFERROR(INDEX('Email Cleaner'!$B$2:$B$10001,MATCH(3434,'Email Cleaner'!$J$2:$J$10001,0)),"")</f>
        <v/>
      </c>
    </row>
    <row r="3436">
      <c r="A3436">
        <f>IFERROR(INDEX('Email Cleaner'!$B$2:$B$10001,MATCH(3435,'Email Cleaner'!$J$2:$J$10001,0)),"")</f>
        <v/>
      </c>
    </row>
    <row r="3437">
      <c r="A3437">
        <f>IFERROR(INDEX('Email Cleaner'!$B$2:$B$10001,MATCH(3436,'Email Cleaner'!$J$2:$J$10001,0)),"")</f>
        <v/>
      </c>
    </row>
    <row r="3438">
      <c r="A3438">
        <f>IFERROR(INDEX('Email Cleaner'!$B$2:$B$10001,MATCH(3437,'Email Cleaner'!$J$2:$J$10001,0)),"")</f>
        <v/>
      </c>
    </row>
    <row r="3439">
      <c r="A3439">
        <f>IFERROR(INDEX('Email Cleaner'!$B$2:$B$10001,MATCH(3438,'Email Cleaner'!$J$2:$J$10001,0)),"")</f>
        <v/>
      </c>
    </row>
    <row r="3440">
      <c r="A3440">
        <f>IFERROR(INDEX('Email Cleaner'!$B$2:$B$10001,MATCH(3439,'Email Cleaner'!$J$2:$J$10001,0)),"")</f>
        <v/>
      </c>
    </row>
    <row r="3441">
      <c r="A3441">
        <f>IFERROR(INDEX('Email Cleaner'!$B$2:$B$10001,MATCH(3440,'Email Cleaner'!$J$2:$J$10001,0)),"")</f>
        <v/>
      </c>
    </row>
    <row r="3442">
      <c r="A3442">
        <f>IFERROR(INDEX('Email Cleaner'!$B$2:$B$10001,MATCH(3441,'Email Cleaner'!$J$2:$J$10001,0)),"")</f>
        <v/>
      </c>
    </row>
    <row r="3443">
      <c r="A3443">
        <f>IFERROR(INDEX('Email Cleaner'!$B$2:$B$10001,MATCH(3442,'Email Cleaner'!$J$2:$J$10001,0)),"")</f>
        <v/>
      </c>
    </row>
    <row r="3444">
      <c r="A3444">
        <f>IFERROR(INDEX('Email Cleaner'!$B$2:$B$10001,MATCH(3443,'Email Cleaner'!$J$2:$J$10001,0)),"")</f>
        <v/>
      </c>
    </row>
    <row r="3445">
      <c r="A3445">
        <f>IFERROR(INDEX('Email Cleaner'!$B$2:$B$10001,MATCH(3444,'Email Cleaner'!$J$2:$J$10001,0)),"")</f>
        <v/>
      </c>
    </row>
    <row r="3446">
      <c r="A3446">
        <f>IFERROR(INDEX('Email Cleaner'!$B$2:$B$10001,MATCH(3445,'Email Cleaner'!$J$2:$J$10001,0)),"")</f>
        <v/>
      </c>
    </row>
    <row r="3447">
      <c r="A3447">
        <f>IFERROR(INDEX('Email Cleaner'!$B$2:$B$10001,MATCH(3446,'Email Cleaner'!$J$2:$J$10001,0)),"")</f>
        <v/>
      </c>
    </row>
    <row r="3448">
      <c r="A3448">
        <f>IFERROR(INDEX('Email Cleaner'!$B$2:$B$10001,MATCH(3447,'Email Cleaner'!$J$2:$J$10001,0)),"")</f>
        <v/>
      </c>
    </row>
    <row r="3449">
      <c r="A3449">
        <f>IFERROR(INDEX('Email Cleaner'!$B$2:$B$10001,MATCH(3448,'Email Cleaner'!$J$2:$J$10001,0)),"")</f>
        <v/>
      </c>
    </row>
    <row r="3450">
      <c r="A3450">
        <f>IFERROR(INDEX('Email Cleaner'!$B$2:$B$10001,MATCH(3449,'Email Cleaner'!$J$2:$J$10001,0)),"")</f>
        <v/>
      </c>
    </row>
    <row r="3451">
      <c r="A3451">
        <f>IFERROR(INDEX('Email Cleaner'!$B$2:$B$10001,MATCH(3450,'Email Cleaner'!$J$2:$J$10001,0)),"")</f>
        <v/>
      </c>
    </row>
    <row r="3452">
      <c r="A3452">
        <f>IFERROR(INDEX('Email Cleaner'!$B$2:$B$10001,MATCH(3451,'Email Cleaner'!$J$2:$J$10001,0)),"")</f>
        <v/>
      </c>
    </row>
    <row r="3453">
      <c r="A3453">
        <f>IFERROR(INDEX('Email Cleaner'!$B$2:$B$10001,MATCH(3452,'Email Cleaner'!$J$2:$J$10001,0)),"")</f>
        <v/>
      </c>
    </row>
    <row r="3454">
      <c r="A3454">
        <f>IFERROR(INDEX('Email Cleaner'!$B$2:$B$10001,MATCH(3453,'Email Cleaner'!$J$2:$J$10001,0)),"")</f>
        <v/>
      </c>
    </row>
    <row r="3455">
      <c r="A3455">
        <f>IFERROR(INDEX('Email Cleaner'!$B$2:$B$10001,MATCH(3454,'Email Cleaner'!$J$2:$J$10001,0)),"")</f>
        <v/>
      </c>
    </row>
    <row r="3456">
      <c r="A3456">
        <f>IFERROR(INDEX('Email Cleaner'!$B$2:$B$10001,MATCH(3455,'Email Cleaner'!$J$2:$J$10001,0)),"")</f>
        <v/>
      </c>
    </row>
    <row r="3457">
      <c r="A3457">
        <f>IFERROR(INDEX('Email Cleaner'!$B$2:$B$10001,MATCH(3456,'Email Cleaner'!$J$2:$J$10001,0)),"")</f>
        <v/>
      </c>
    </row>
    <row r="3458">
      <c r="A3458">
        <f>IFERROR(INDEX('Email Cleaner'!$B$2:$B$10001,MATCH(3457,'Email Cleaner'!$J$2:$J$10001,0)),"")</f>
        <v/>
      </c>
    </row>
    <row r="3459">
      <c r="A3459">
        <f>IFERROR(INDEX('Email Cleaner'!$B$2:$B$10001,MATCH(3458,'Email Cleaner'!$J$2:$J$10001,0)),"")</f>
        <v/>
      </c>
    </row>
    <row r="3460">
      <c r="A3460">
        <f>IFERROR(INDEX('Email Cleaner'!$B$2:$B$10001,MATCH(3459,'Email Cleaner'!$J$2:$J$10001,0)),"")</f>
        <v/>
      </c>
    </row>
    <row r="3461">
      <c r="A3461">
        <f>IFERROR(INDEX('Email Cleaner'!$B$2:$B$10001,MATCH(3460,'Email Cleaner'!$J$2:$J$10001,0)),"")</f>
        <v/>
      </c>
    </row>
    <row r="3462">
      <c r="A3462">
        <f>IFERROR(INDEX('Email Cleaner'!$B$2:$B$10001,MATCH(3461,'Email Cleaner'!$J$2:$J$10001,0)),"")</f>
        <v/>
      </c>
    </row>
    <row r="3463">
      <c r="A3463">
        <f>IFERROR(INDEX('Email Cleaner'!$B$2:$B$10001,MATCH(3462,'Email Cleaner'!$J$2:$J$10001,0)),"")</f>
        <v/>
      </c>
    </row>
    <row r="3464">
      <c r="A3464">
        <f>IFERROR(INDEX('Email Cleaner'!$B$2:$B$10001,MATCH(3463,'Email Cleaner'!$J$2:$J$10001,0)),"")</f>
        <v/>
      </c>
    </row>
    <row r="3465">
      <c r="A3465">
        <f>IFERROR(INDEX('Email Cleaner'!$B$2:$B$10001,MATCH(3464,'Email Cleaner'!$J$2:$J$10001,0)),"")</f>
        <v/>
      </c>
    </row>
    <row r="3466">
      <c r="A3466">
        <f>IFERROR(INDEX('Email Cleaner'!$B$2:$B$10001,MATCH(3465,'Email Cleaner'!$J$2:$J$10001,0)),"")</f>
        <v/>
      </c>
    </row>
    <row r="3467">
      <c r="A3467">
        <f>IFERROR(INDEX('Email Cleaner'!$B$2:$B$10001,MATCH(3466,'Email Cleaner'!$J$2:$J$10001,0)),"")</f>
        <v/>
      </c>
    </row>
    <row r="3468">
      <c r="A3468">
        <f>IFERROR(INDEX('Email Cleaner'!$B$2:$B$10001,MATCH(3467,'Email Cleaner'!$J$2:$J$10001,0)),"")</f>
        <v/>
      </c>
    </row>
    <row r="3469">
      <c r="A3469">
        <f>IFERROR(INDEX('Email Cleaner'!$B$2:$B$10001,MATCH(3468,'Email Cleaner'!$J$2:$J$10001,0)),"")</f>
        <v/>
      </c>
    </row>
    <row r="3470">
      <c r="A3470">
        <f>IFERROR(INDEX('Email Cleaner'!$B$2:$B$10001,MATCH(3469,'Email Cleaner'!$J$2:$J$10001,0)),"")</f>
        <v/>
      </c>
    </row>
    <row r="3471">
      <c r="A3471">
        <f>IFERROR(INDEX('Email Cleaner'!$B$2:$B$10001,MATCH(3470,'Email Cleaner'!$J$2:$J$10001,0)),"")</f>
        <v/>
      </c>
    </row>
    <row r="3472">
      <c r="A3472">
        <f>IFERROR(INDEX('Email Cleaner'!$B$2:$B$10001,MATCH(3471,'Email Cleaner'!$J$2:$J$10001,0)),"")</f>
        <v/>
      </c>
    </row>
    <row r="3473">
      <c r="A3473">
        <f>IFERROR(INDEX('Email Cleaner'!$B$2:$B$10001,MATCH(3472,'Email Cleaner'!$J$2:$J$10001,0)),"")</f>
        <v/>
      </c>
    </row>
    <row r="3474">
      <c r="A3474">
        <f>IFERROR(INDEX('Email Cleaner'!$B$2:$B$10001,MATCH(3473,'Email Cleaner'!$J$2:$J$10001,0)),"")</f>
        <v/>
      </c>
    </row>
    <row r="3475">
      <c r="A3475">
        <f>IFERROR(INDEX('Email Cleaner'!$B$2:$B$10001,MATCH(3474,'Email Cleaner'!$J$2:$J$10001,0)),"")</f>
        <v/>
      </c>
    </row>
    <row r="3476">
      <c r="A3476">
        <f>IFERROR(INDEX('Email Cleaner'!$B$2:$B$10001,MATCH(3475,'Email Cleaner'!$J$2:$J$10001,0)),"")</f>
        <v/>
      </c>
    </row>
    <row r="3477">
      <c r="A3477">
        <f>IFERROR(INDEX('Email Cleaner'!$B$2:$B$10001,MATCH(3476,'Email Cleaner'!$J$2:$J$10001,0)),"")</f>
        <v/>
      </c>
    </row>
    <row r="3478">
      <c r="A3478">
        <f>IFERROR(INDEX('Email Cleaner'!$B$2:$B$10001,MATCH(3477,'Email Cleaner'!$J$2:$J$10001,0)),"")</f>
        <v/>
      </c>
    </row>
    <row r="3479">
      <c r="A3479">
        <f>IFERROR(INDEX('Email Cleaner'!$B$2:$B$10001,MATCH(3478,'Email Cleaner'!$J$2:$J$10001,0)),"")</f>
        <v/>
      </c>
    </row>
    <row r="3480">
      <c r="A3480">
        <f>IFERROR(INDEX('Email Cleaner'!$B$2:$B$10001,MATCH(3479,'Email Cleaner'!$J$2:$J$10001,0)),"")</f>
        <v/>
      </c>
    </row>
    <row r="3481">
      <c r="A3481">
        <f>IFERROR(INDEX('Email Cleaner'!$B$2:$B$10001,MATCH(3480,'Email Cleaner'!$J$2:$J$10001,0)),"")</f>
        <v/>
      </c>
    </row>
    <row r="3482">
      <c r="A3482">
        <f>IFERROR(INDEX('Email Cleaner'!$B$2:$B$10001,MATCH(3481,'Email Cleaner'!$J$2:$J$10001,0)),"")</f>
        <v/>
      </c>
    </row>
    <row r="3483">
      <c r="A3483">
        <f>IFERROR(INDEX('Email Cleaner'!$B$2:$B$10001,MATCH(3482,'Email Cleaner'!$J$2:$J$10001,0)),"")</f>
        <v/>
      </c>
    </row>
    <row r="3484">
      <c r="A3484">
        <f>IFERROR(INDEX('Email Cleaner'!$B$2:$B$10001,MATCH(3483,'Email Cleaner'!$J$2:$J$10001,0)),"")</f>
        <v/>
      </c>
    </row>
    <row r="3485">
      <c r="A3485">
        <f>IFERROR(INDEX('Email Cleaner'!$B$2:$B$10001,MATCH(3484,'Email Cleaner'!$J$2:$J$10001,0)),"")</f>
        <v/>
      </c>
    </row>
    <row r="3486">
      <c r="A3486">
        <f>IFERROR(INDEX('Email Cleaner'!$B$2:$B$10001,MATCH(3485,'Email Cleaner'!$J$2:$J$10001,0)),"")</f>
        <v/>
      </c>
    </row>
    <row r="3487">
      <c r="A3487">
        <f>IFERROR(INDEX('Email Cleaner'!$B$2:$B$10001,MATCH(3486,'Email Cleaner'!$J$2:$J$10001,0)),"")</f>
        <v/>
      </c>
    </row>
    <row r="3488">
      <c r="A3488">
        <f>IFERROR(INDEX('Email Cleaner'!$B$2:$B$10001,MATCH(3487,'Email Cleaner'!$J$2:$J$10001,0)),"")</f>
        <v/>
      </c>
    </row>
    <row r="3489">
      <c r="A3489">
        <f>IFERROR(INDEX('Email Cleaner'!$B$2:$B$10001,MATCH(3488,'Email Cleaner'!$J$2:$J$10001,0)),"")</f>
        <v/>
      </c>
    </row>
    <row r="3490">
      <c r="A3490">
        <f>IFERROR(INDEX('Email Cleaner'!$B$2:$B$10001,MATCH(3489,'Email Cleaner'!$J$2:$J$10001,0)),"")</f>
        <v/>
      </c>
    </row>
    <row r="3491">
      <c r="A3491">
        <f>IFERROR(INDEX('Email Cleaner'!$B$2:$B$10001,MATCH(3490,'Email Cleaner'!$J$2:$J$10001,0)),"")</f>
        <v/>
      </c>
    </row>
    <row r="3492">
      <c r="A3492">
        <f>IFERROR(INDEX('Email Cleaner'!$B$2:$B$10001,MATCH(3491,'Email Cleaner'!$J$2:$J$10001,0)),"")</f>
        <v/>
      </c>
    </row>
    <row r="3493">
      <c r="A3493">
        <f>IFERROR(INDEX('Email Cleaner'!$B$2:$B$10001,MATCH(3492,'Email Cleaner'!$J$2:$J$10001,0)),"")</f>
        <v/>
      </c>
    </row>
    <row r="3494">
      <c r="A3494">
        <f>IFERROR(INDEX('Email Cleaner'!$B$2:$B$10001,MATCH(3493,'Email Cleaner'!$J$2:$J$10001,0)),"")</f>
        <v/>
      </c>
    </row>
    <row r="3495">
      <c r="A3495">
        <f>IFERROR(INDEX('Email Cleaner'!$B$2:$B$10001,MATCH(3494,'Email Cleaner'!$J$2:$J$10001,0)),"")</f>
        <v/>
      </c>
    </row>
    <row r="3496">
      <c r="A3496">
        <f>IFERROR(INDEX('Email Cleaner'!$B$2:$B$10001,MATCH(3495,'Email Cleaner'!$J$2:$J$10001,0)),"")</f>
        <v/>
      </c>
    </row>
    <row r="3497">
      <c r="A3497">
        <f>IFERROR(INDEX('Email Cleaner'!$B$2:$B$10001,MATCH(3496,'Email Cleaner'!$J$2:$J$10001,0)),"")</f>
        <v/>
      </c>
    </row>
    <row r="3498">
      <c r="A3498">
        <f>IFERROR(INDEX('Email Cleaner'!$B$2:$B$10001,MATCH(3497,'Email Cleaner'!$J$2:$J$10001,0)),"")</f>
        <v/>
      </c>
    </row>
    <row r="3499">
      <c r="A3499">
        <f>IFERROR(INDEX('Email Cleaner'!$B$2:$B$10001,MATCH(3498,'Email Cleaner'!$J$2:$J$10001,0)),"")</f>
        <v/>
      </c>
    </row>
    <row r="3500">
      <c r="A3500">
        <f>IFERROR(INDEX('Email Cleaner'!$B$2:$B$10001,MATCH(3499,'Email Cleaner'!$J$2:$J$10001,0)),"")</f>
        <v/>
      </c>
    </row>
    <row r="3501">
      <c r="A3501">
        <f>IFERROR(INDEX('Email Cleaner'!$B$2:$B$10001,MATCH(3500,'Email Cleaner'!$J$2:$J$10001,0)),"")</f>
        <v/>
      </c>
    </row>
    <row r="3502">
      <c r="A3502">
        <f>IFERROR(INDEX('Email Cleaner'!$B$2:$B$10001,MATCH(3501,'Email Cleaner'!$J$2:$J$10001,0)),"")</f>
        <v/>
      </c>
    </row>
    <row r="3503">
      <c r="A3503">
        <f>IFERROR(INDEX('Email Cleaner'!$B$2:$B$10001,MATCH(3502,'Email Cleaner'!$J$2:$J$10001,0)),"")</f>
        <v/>
      </c>
    </row>
    <row r="3504">
      <c r="A3504">
        <f>IFERROR(INDEX('Email Cleaner'!$B$2:$B$10001,MATCH(3503,'Email Cleaner'!$J$2:$J$10001,0)),"")</f>
        <v/>
      </c>
    </row>
    <row r="3505">
      <c r="A3505">
        <f>IFERROR(INDEX('Email Cleaner'!$B$2:$B$10001,MATCH(3504,'Email Cleaner'!$J$2:$J$10001,0)),"")</f>
        <v/>
      </c>
    </row>
    <row r="3506">
      <c r="A3506">
        <f>IFERROR(INDEX('Email Cleaner'!$B$2:$B$10001,MATCH(3505,'Email Cleaner'!$J$2:$J$10001,0)),"")</f>
        <v/>
      </c>
    </row>
    <row r="3507">
      <c r="A3507">
        <f>IFERROR(INDEX('Email Cleaner'!$B$2:$B$10001,MATCH(3506,'Email Cleaner'!$J$2:$J$10001,0)),"")</f>
        <v/>
      </c>
    </row>
    <row r="3508">
      <c r="A3508">
        <f>IFERROR(INDEX('Email Cleaner'!$B$2:$B$10001,MATCH(3507,'Email Cleaner'!$J$2:$J$10001,0)),"")</f>
        <v/>
      </c>
    </row>
    <row r="3509">
      <c r="A3509">
        <f>IFERROR(INDEX('Email Cleaner'!$B$2:$B$10001,MATCH(3508,'Email Cleaner'!$J$2:$J$10001,0)),"")</f>
        <v/>
      </c>
    </row>
    <row r="3510">
      <c r="A3510">
        <f>IFERROR(INDEX('Email Cleaner'!$B$2:$B$10001,MATCH(3509,'Email Cleaner'!$J$2:$J$10001,0)),"")</f>
        <v/>
      </c>
    </row>
    <row r="3511">
      <c r="A3511">
        <f>IFERROR(INDEX('Email Cleaner'!$B$2:$B$10001,MATCH(3510,'Email Cleaner'!$J$2:$J$10001,0)),"")</f>
        <v/>
      </c>
    </row>
    <row r="3512">
      <c r="A3512">
        <f>IFERROR(INDEX('Email Cleaner'!$B$2:$B$10001,MATCH(3511,'Email Cleaner'!$J$2:$J$10001,0)),"")</f>
        <v/>
      </c>
    </row>
    <row r="3513">
      <c r="A3513">
        <f>IFERROR(INDEX('Email Cleaner'!$B$2:$B$10001,MATCH(3512,'Email Cleaner'!$J$2:$J$10001,0)),"")</f>
        <v/>
      </c>
    </row>
    <row r="3514">
      <c r="A3514">
        <f>IFERROR(INDEX('Email Cleaner'!$B$2:$B$10001,MATCH(3513,'Email Cleaner'!$J$2:$J$10001,0)),"")</f>
        <v/>
      </c>
    </row>
    <row r="3515">
      <c r="A3515">
        <f>IFERROR(INDEX('Email Cleaner'!$B$2:$B$10001,MATCH(3514,'Email Cleaner'!$J$2:$J$10001,0)),"")</f>
        <v/>
      </c>
    </row>
    <row r="3516">
      <c r="A3516">
        <f>IFERROR(INDEX('Email Cleaner'!$B$2:$B$10001,MATCH(3515,'Email Cleaner'!$J$2:$J$10001,0)),"")</f>
        <v/>
      </c>
    </row>
    <row r="3517">
      <c r="A3517">
        <f>IFERROR(INDEX('Email Cleaner'!$B$2:$B$10001,MATCH(3516,'Email Cleaner'!$J$2:$J$10001,0)),"")</f>
        <v/>
      </c>
    </row>
    <row r="3518">
      <c r="A3518">
        <f>IFERROR(INDEX('Email Cleaner'!$B$2:$B$10001,MATCH(3517,'Email Cleaner'!$J$2:$J$10001,0)),"")</f>
        <v/>
      </c>
    </row>
    <row r="3519">
      <c r="A3519">
        <f>IFERROR(INDEX('Email Cleaner'!$B$2:$B$10001,MATCH(3518,'Email Cleaner'!$J$2:$J$10001,0)),"")</f>
        <v/>
      </c>
    </row>
    <row r="3520">
      <c r="A3520">
        <f>IFERROR(INDEX('Email Cleaner'!$B$2:$B$10001,MATCH(3519,'Email Cleaner'!$J$2:$J$10001,0)),"")</f>
        <v/>
      </c>
    </row>
    <row r="3521">
      <c r="A3521">
        <f>IFERROR(INDEX('Email Cleaner'!$B$2:$B$10001,MATCH(3520,'Email Cleaner'!$J$2:$J$10001,0)),"")</f>
        <v/>
      </c>
    </row>
    <row r="3522">
      <c r="A3522">
        <f>IFERROR(INDEX('Email Cleaner'!$B$2:$B$10001,MATCH(3521,'Email Cleaner'!$J$2:$J$10001,0)),"")</f>
        <v/>
      </c>
    </row>
    <row r="3523">
      <c r="A3523">
        <f>IFERROR(INDEX('Email Cleaner'!$B$2:$B$10001,MATCH(3522,'Email Cleaner'!$J$2:$J$10001,0)),"")</f>
        <v/>
      </c>
    </row>
    <row r="3524">
      <c r="A3524">
        <f>IFERROR(INDEX('Email Cleaner'!$B$2:$B$10001,MATCH(3523,'Email Cleaner'!$J$2:$J$10001,0)),"")</f>
        <v/>
      </c>
    </row>
    <row r="3525">
      <c r="A3525">
        <f>IFERROR(INDEX('Email Cleaner'!$B$2:$B$10001,MATCH(3524,'Email Cleaner'!$J$2:$J$10001,0)),"")</f>
        <v/>
      </c>
    </row>
    <row r="3526">
      <c r="A3526">
        <f>IFERROR(INDEX('Email Cleaner'!$B$2:$B$10001,MATCH(3525,'Email Cleaner'!$J$2:$J$10001,0)),"")</f>
        <v/>
      </c>
    </row>
    <row r="3527">
      <c r="A3527">
        <f>IFERROR(INDEX('Email Cleaner'!$B$2:$B$10001,MATCH(3526,'Email Cleaner'!$J$2:$J$10001,0)),"")</f>
        <v/>
      </c>
    </row>
    <row r="3528">
      <c r="A3528">
        <f>IFERROR(INDEX('Email Cleaner'!$B$2:$B$10001,MATCH(3527,'Email Cleaner'!$J$2:$J$10001,0)),"")</f>
        <v/>
      </c>
    </row>
    <row r="3529">
      <c r="A3529">
        <f>IFERROR(INDEX('Email Cleaner'!$B$2:$B$10001,MATCH(3528,'Email Cleaner'!$J$2:$J$10001,0)),"")</f>
        <v/>
      </c>
    </row>
    <row r="3530">
      <c r="A3530">
        <f>IFERROR(INDEX('Email Cleaner'!$B$2:$B$10001,MATCH(3529,'Email Cleaner'!$J$2:$J$10001,0)),"")</f>
        <v/>
      </c>
    </row>
    <row r="3531">
      <c r="A3531">
        <f>IFERROR(INDEX('Email Cleaner'!$B$2:$B$10001,MATCH(3530,'Email Cleaner'!$J$2:$J$10001,0)),"")</f>
        <v/>
      </c>
    </row>
    <row r="3532">
      <c r="A3532">
        <f>IFERROR(INDEX('Email Cleaner'!$B$2:$B$10001,MATCH(3531,'Email Cleaner'!$J$2:$J$10001,0)),"")</f>
        <v/>
      </c>
    </row>
    <row r="3533">
      <c r="A3533">
        <f>IFERROR(INDEX('Email Cleaner'!$B$2:$B$10001,MATCH(3532,'Email Cleaner'!$J$2:$J$10001,0)),"")</f>
        <v/>
      </c>
    </row>
    <row r="3534">
      <c r="A3534">
        <f>IFERROR(INDEX('Email Cleaner'!$B$2:$B$10001,MATCH(3533,'Email Cleaner'!$J$2:$J$10001,0)),"")</f>
        <v/>
      </c>
    </row>
    <row r="3535">
      <c r="A3535">
        <f>IFERROR(INDEX('Email Cleaner'!$B$2:$B$10001,MATCH(3534,'Email Cleaner'!$J$2:$J$10001,0)),"")</f>
        <v/>
      </c>
    </row>
    <row r="3536">
      <c r="A3536">
        <f>IFERROR(INDEX('Email Cleaner'!$B$2:$B$10001,MATCH(3535,'Email Cleaner'!$J$2:$J$10001,0)),"")</f>
        <v/>
      </c>
    </row>
    <row r="3537">
      <c r="A3537">
        <f>IFERROR(INDEX('Email Cleaner'!$B$2:$B$10001,MATCH(3536,'Email Cleaner'!$J$2:$J$10001,0)),"")</f>
        <v/>
      </c>
    </row>
    <row r="3538">
      <c r="A3538">
        <f>IFERROR(INDEX('Email Cleaner'!$B$2:$B$10001,MATCH(3537,'Email Cleaner'!$J$2:$J$10001,0)),"")</f>
        <v/>
      </c>
    </row>
    <row r="3539">
      <c r="A3539">
        <f>IFERROR(INDEX('Email Cleaner'!$B$2:$B$10001,MATCH(3538,'Email Cleaner'!$J$2:$J$10001,0)),"")</f>
        <v/>
      </c>
    </row>
    <row r="3540">
      <c r="A3540">
        <f>IFERROR(INDEX('Email Cleaner'!$B$2:$B$10001,MATCH(3539,'Email Cleaner'!$J$2:$J$10001,0)),"")</f>
        <v/>
      </c>
    </row>
    <row r="3541">
      <c r="A3541">
        <f>IFERROR(INDEX('Email Cleaner'!$B$2:$B$10001,MATCH(3540,'Email Cleaner'!$J$2:$J$10001,0)),"")</f>
        <v/>
      </c>
    </row>
    <row r="3542">
      <c r="A3542">
        <f>IFERROR(INDEX('Email Cleaner'!$B$2:$B$10001,MATCH(3541,'Email Cleaner'!$J$2:$J$10001,0)),"")</f>
        <v/>
      </c>
    </row>
    <row r="3543">
      <c r="A3543">
        <f>IFERROR(INDEX('Email Cleaner'!$B$2:$B$10001,MATCH(3542,'Email Cleaner'!$J$2:$J$10001,0)),"")</f>
        <v/>
      </c>
    </row>
    <row r="3544">
      <c r="A3544">
        <f>IFERROR(INDEX('Email Cleaner'!$B$2:$B$10001,MATCH(3543,'Email Cleaner'!$J$2:$J$10001,0)),"")</f>
        <v/>
      </c>
    </row>
    <row r="3545">
      <c r="A3545">
        <f>IFERROR(INDEX('Email Cleaner'!$B$2:$B$10001,MATCH(3544,'Email Cleaner'!$J$2:$J$10001,0)),"")</f>
        <v/>
      </c>
    </row>
    <row r="3546">
      <c r="A3546">
        <f>IFERROR(INDEX('Email Cleaner'!$B$2:$B$10001,MATCH(3545,'Email Cleaner'!$J$2:$J$10001,0)),"")</f>
        <v/>
      </c>
    </row>
    <row r="3547">
      <c r="A3547">
        <f>IFERROR(INDEX('Email Cleaner'!$B$2:$B$10001,MATCH(3546,'Email Cleaner'!$J$2:$J$10001,0)),"")</f>
        <v/>
      </c>
    </row>
    <row r="3548">
      <c r="A3548">
        <f>IFERROR(INDEX('Email Cleaner'!$B$2:$B$10001,MATCH(3547,'Email Cleaner'!$J$2:$J$10001,0)),"")</f>
        <v/>
      </c>
    </row>
    <row r="3549">
      <c r="A3549">
        <f>IFERROR(INDEX('Email Cleaner'!$B$2:$B$10001,MATCH(3548,'Email Cleaner'!$J$2:$J$10001,0)),"")</f>
        <v/>
      </c>
    </row>
    <row r="3550">
      <c r="A3550">
        <f>IFERROR(INDEX('Email Cleaner'!$B$2:$B$10001,MATCH(3549,'Email Cleaner'!$J$2:$J$10001,0)),"")</f>
        <v/>
      </c>
    </row>
    <row r="3551">
      <c r="A3551">
        <f>IFERROR(INDEX('Email Cleaner'!$B$2:$B$10001,MATCH(3550,'Email Cleaner'!$J$2:$J$10001,0)),"")</f>
        <v/>
      </c>
    </row>
    <row r="3552">
      <c r="A3552">
        <f>IFERROR(INDEX('Email Cleaner'!$B$2:$B$10001,MATCH(3551,'Email Cleaner'!$J$2:$J$10001,0)),"")</f>
        <v/>
      </c>
    </row>
    <row r="3553">
      <c r="A3553">
        <f>IFERROR(INDEX('Email Cleaner'!$B$2:$B$10001,MATCH(3552,'Email Cleaner'!$J$2:$J$10001,0)),"")</f>
        <v/>
      </c>
    </row>
    <row r="3554">
      <c r="A3554">
        <f>IFERROR(INDEX('Email Cleaner'!$B$2:$B$10001,MATCH(3553,'Email Cleaner'!$J$2:$J$10001,0)),"")</f>
        <v/>
      </c>
    </row>
    <row r="3555">
      <c r="A3555">
        <f>IFERROR(INDEX('Email Cleaner'!$B$2:$B$10001,MATCH(3554,'Email Cleaner'!$J$2:$J$10001,0)),"")</f>
        <v/>
      </c>
    </row>
    <row r="3556">
      <c r="A3556">
        <f>IFERROR(INDEX('Email Cleaner'!$B$2:$B$10001,MATCH(3555,'Email Cleaner'!$J$2:$J$10001,0)),"")</f>
        <v/>
      </c>
    </row>
    <row r="3557">
      <c r="A3557">
        <f>IFERROR(INDEX('Email Cleaner'!$B$2:$B$10001,MATCH(3556,'Email Cleaner'!$J$2:$J$10001,0)),"")</f>
        <v/>
      </c>
    </row>
    <row r="3558">
      <c r="A3558">
        <f>IFERROR(INDEX('Email Cleaner'!$B$2:$B$10001,MATCH(3557,'Email Cleaner'!$J$2:$J$10001,0)),"")</f>
        <v/>
      </c>
    </row>
    <row r="3559">
      <c r="A3559">
        <f>IFERROR(INDEX('Email Cleaner'!$B$2:$B$10001,MATCH(3558,'Email Cleaner'!$J$2:$J$10001,0)),"")</f>
        <v/>
      </c>
    </row>
    <row r="3560">
      <c r="A3560">
        <f>IFERROR(INDEX('Email Cleaner'!$B$2:$B$10001,MATCH(3559,'Email Cleaner'!$J$2:$J$10001,0)),"")</f>
        <v/>
      </c>
    </row>
    <row r="3561">
      <c r="A3561">
        <f>IFERROR(INDEX('Email Cleaner'!$B$2:$B$10001,MATCH(3560,'Email Cleaner'!$J$2:$J$10001,0)),"")</f>
        <v/>
      </c>
    </row>
    <row r="3562">
      <c r="A3562">
        <f>IFERROR(INDEX('Email Cleaner'!$B$2:$B$10001,MATCH(3561,'Email Cleaner'!$J$2:$J$10001,0)),"")</f>
        <v/>
      </c>
    </row>
    <row r="3563">
      <c r="A3563">
        <f>IFERROR(INDEX('Email Cleaner'!$B$2:$B$10001,MATCH(3562,'Email Cleaner'!$J$2:$J$10001,0)),"")</f>
        <v/>
      </c>
    </row>
    <row r="3564">
      <c r="A3564">
        <f>IFERROR(INDEX('Email Cleaner'!$B$2:$B$10001,MATCH(3563,'Email Cleaner'!$J$2:$J$10001,0)),"")</f>
        <v/>
      </c>
    </row>
    <row r="3565">
      <c r="A3565">
        <f>IFERROR(INDEX('Email Cleaner'!$B$2:$B$10001,MATCH(3564,'Email Cleaner'!$J$2:$J$10001,0)),"")</f>
        <v/>
      </c>
    </row>
    <row r="3566">
      <c r="A3566">
        <f>IFERROR(INDEX('Email Cleaner'!$B$2:$B$10001,MATCH(3565,'Email Cleaner'!$J$2:$J$10001,0)),"")</f>
        <v/>
      </c>
    </row>
    <row r="3567">
      <c r="A3567">
        <f>IFERROR(INDEX('Email Cleaner'!$B$2:$B$10001,MATCH(3566,'Email Cleaner'!$J$2:$J$10001,0)),"")</f>
        <v/>
      </c>
    </row>
    <row r="3568">
      <c r="A3568">
        <f>IFERROR(INDEX('Email Cleaner'!$B$2:$B$10001,MATCH(3567,'Email Cleaner'!$J$2:$J$10001,0)),"")</f>
        <v/>
      </c>
    </row>
    <row r="3569">
      <c r="A3569">
        <f>IFERROR(INDEX('Email Cleaner'!$B$2:$B$10001,MATCH(3568,'Email Cleaner'!$J$2:$J$10001,0)),"")</f>
        <v/>
      </c>
    </row>
    <row r="3570">
      <c r="A3570">
        <f>IFERROR(INDEX('Email Cleaner'!$B$2:$B$10001,MATCH(3569,'Email Cleaner'!$J$2:$J$10001,0)),"")</f>
        <v/>
      </c>
    </row>
    <row r="3571">
      <c r="A3571">
        <f>IFERROR(INDEX('Email Cleaner'!$B$2:$B$10001,MATCH(3570,'Email Cleaner'!$J$2:$J$10001,0)),"")</f>
        <v/>
      </c>
    </row>
    <row r="3572">
      <c r="A3572">
        <f>IFERROR(INDEX('Email Cleaner'!$B$2:$B$10001,MATCH(3571,'Email Cleaner'!$J$2:$J$10001,0)),"")</f>
        <v/>
      </c>
    </row>
    <row r="3573">
      <c r="A3573">
        <f>IFERROR(INDEX('Email Cleaner'!$B$2:$B$10001,MATCH(3572,'Email Cleaner'!$J$2:$J$10001,0)),"")</f>
        <v/>
      </c>
    </row>
    <row r="3574">
      <c r="A3574">
        <f>IFERROR(INDEX('Email Cleaner'!$B$2:$B$10001,MATCH(3573,'Email Cleaner'!$J$2:$J$10001,0)),"")</f>
        <v/>
      </c>
    </row>
    <row r="3575">
      <c r="A3575">
        <f>IFERROR(INDEX('Email Cleaner'!$B$2:$B$10001,MATCH(3574,'Email Cleaner'!$J$2:$J$10001,0)),"")</f>
        <v/>
      </c>
    </row>
    <row r="3576">
      <c r="A3576">
        <f>IFERROR(INDEX('Email Cleaner'!$B$2:$B$10001,MATCH(3575,'Email Cleaner'!$J$2:$J$10001,0)),"")</f>
        <v/>
      </c>
    </row>
    <row r="3577">
      <c r="A3577">
        <f>IFERROR(INDEX('Email Cleaner'!$B$2:$B$10001,MATCH(3576,'Email Cleaner'!$J$2:$J$10001,0)),"")</f>
        <v/>
      </c>
    </row>
    <row r="3578">
      <c r="A3578">
        <f>IFERROR(INDEX('Email Cleaner'!$B$2:$B$10001,MATCH(3577,'Email Cleaner'!$J$2:$J$10001,0)),"")</f>
        <v/>
      </c>
    </row>
    <row r="3579">
      <c r="A3579">
        <f>IFERROR(INDEX('Email Cleaner'!$B$2:$B$10001,MATCH(3578,'Email Cleaner'!$J$2:$J$10001,0)),"")</f>
        <v/>
      </c>
    </row>
    <row r="3580">
      <c r="A3580">
        <f>IFERROR(INDEX('Email Cleaner'!$B$2:$B$10001,MATCH(3579,'Email Cleaner'!$J$2:$J$10001,0)),"")</f>
        <v/>
      </c>
    </row>
    <row r="3581">
      <c r="A3581">
        <f>IFERROR(INDEX('Email Cleaner'!$B$2:$B$10001,MATCH(3580,'Email Cleaner'!$J$2:$J$10001,0)),"")</f>
        <v/>
      </c>
    </row>
    <row r="3582">
      <c r="A3582">
        <f>IFERROR(INDEX('Email Cleaner'!$B$2:$B$10001,MATCH(3581,'Email Cleaner'!$J$2:$J$10001,0)),"")</f>
        <v/>
      </c>
    </row>
    <row r="3583">
      <c r="A3583">
        <f>IFERROR(INDEX('Email Cleaner'!$B$2:$B$10001,MATCH(3582,'Email Cleaner'!$J$2:$J$10001,0)),"")</f>
        <v/>
      </c>
    </row>
    <row r="3584">
      <c r="A3584">
        <f>IFERROR(INDEX('Email Cleaner'!$B$2:$B$10001,MATCH(3583,'Email Cleaner'!$J$2:$J$10001,0)),"")</f>
        <v/>
      </c>
    </row>
    <row r="3585">
      <c r="A3585">
        <f>IFERROR(INDEX('Email Cleaner'!$B$2:$B$10001,MATCH(3584,'Email Cleaner'!$J$2:$J$10001,0)),"")</f>
        <v/>
      </c>
    </row>
    <row r="3586">
      <c r="A3586">
        <f>IFERROR(INDEX('Email Cleaner'!$B$2:$B$10001,MATCH(3585,'Email Cleaner'!$J$2:$J$10001,0)),"")</f>
        <v/>
      </c>
    </row>
    <row r="3587">
      <c r="A3587">
        <f>IFERROR(INDEX('Email Cleaner'!$B$2:$B$10001,MATCH(3586,'Email Cleaner'!$J$2:$J$10001,0)),"")</f>
        <v/>
      </c>
    </row>
    <row r="3588">
      <c r="A3588">
        <f>IFERROR(INDEX('Email Cleaner'!$B$2:$B$10001,MATCH(3587,'Email Cleaner'!$J$2:$J$10001,0)),"")</f>
        <v/>
      </c>
    </row>
    <row r="3589">
      <c r="A3589">
        <f>IFERROR(INDEX('Email Cleaner'!$B$2:$B$10001,MATCH(3588,'Email Cleaner'!$J$2:$J$10001,0)),"")</f>
        <v/>
      </c>
    </row>
    <row r="3590">
      <c r="A3590">
        <f>IFERROR(INDEX('Email Cleaner'!$B$2:$B$10001,MATCH(3589,'Email Cleaner'!$J$2:$J$10001,0)),"")</f>
        <v/>
      </c>
    </row>
    <row r="3591">
      <c r="A3591">
        <f>IFERROR(INDEX('Email Cleaner'!$B$2:$B$10001,MATCH(3590,'Email Cleaner'!$J$2:$J$10001,0)),"")</f>
        <v/>
      </c>
    </row>
    <row r="3592">
      <c r="A3592">
        <f>IFERROR(INDEX('Email Cleaner'!$B$2:$B$10001,MATCH(3591,'Email Cleaner'!$J$2:$J$10001,0)),"")</f>
        <v/>
      </c>
    </row>
    <row r="3593">
      <c r="A3593">
        <f>IFERROR(INDEX('Email Cleaner'!$B$2:$B$10001,MATCH(3592,'Email Cleaner'!$J$2:$J$10001,0)),"")</f>
        <v/>
      </c>
    </row>
    <row r="3594">
      <c r="A3594">
        <f>IFERROR(INDEX('Email Cleaner'!$B$2:$B$10001,MATCH(3593,'Email Cleaner'!$J$2:$J$10001,0)),"")</f>
        <v/>
      </c>
    </row>
    <row r="3595">
      <c r="A3595">
        <f>IFERROR(INDEX('Email Cleaner'!$B$2:$B$10001,MATCH(3594,'Email Cleaner'!$J$2:$J$10001,0)),"")</f>
        <v/>
      </c>
    </row>
    <row r="3596">
      <c r="A3596">
        <f>IFERROR(INDEX('Email Cleaner'!$B$2:$B$10001,MATCH(3595,'Email Cleaner'!$J$2:$J$10001,0)),"")</f>
        <v/>
      </c>
    </row>
    <row r="3597">
      <c r="A3597">
        <f>IFERROR(INDEX('Email Cleaner'!$B$2:$B$10001,MATCH(3596,'Email Cleaner'!$J$2:$J$10001,0)),"")</f>
        <v/>
      </c>
    </row>
    <row r="3598">
      <c r="A3598">
        <f>IFERROR(INDEX('Email Cleaner'!$B$2:$B$10001,MATCH(3597,'Email Cleaner'!$J$2:$J$10001,0)),"")</f>
        <v/>
      </c>
    </row>
    <row r="3599">
      <c r="A3599">
        <f>IFERROR(INDEX('Email Cleaner'!$B$2:$B$10001,MATCH(3598,'Email Cleaner'!$J$2:$J$10001,0)),"")</f>
        <v/>
      </c>
    </row>
    <row r="3600">
      <c r="A3600">
        <f>IFERROR(INDEX('Email Cleaner'!$B$2:$B$10001,MATCH(3599,'Email Cleaner'!$J$2:$J$10001,0)),"")</f>
        <v/>
      </c>
    </row>
    <row r="3601">
      <c r="A3601">
        <f>IFERROR(INDEX('Email Cleaner'!$B$2:$B$10001,MATCH(3600,'Email Cleaner'!$J$2:$J$10001,0)),"")</f>
        <v/>
      </c>
    </row>
    <row r="3602">
      <c r="A3602">
        <f>IFERROR(INDEX('Email Cleaner'!$B$2:$B$10001,MATCH(3601,'Email Cleaner'!$J$2:$J$10001,0)),"")</f>
        <v/>
      </c>
    </row>
    <row r="3603">
      <c r="A3603">
        <f>IFERROR(INDEX('Email Cleaner'!$B$2:$B$10001,MATCH(3602,'Email Cleaner'!$J$2:$J$10001,0)),"")</f>
        <v/>
      </c>
    </row>
    <row r="3604">
      <c r="A3604">
        <f>IFERROR(INDEX('Email Cleaner'!$B$2:$B$10001,MATCH(3603,'Email Cleaner'!$J$2:$J$10001,0)),"")</f>
        <v/>
      </c>
    </row>
    <row r="3605">
      <c r="A3605">
        <f>IFERROR(INDEX('Email Cleaner'!$B$2:$B$10001,MATCH(3604,'Email Cleaner'!$J$2:$J$10001,0)),"")</f>
        <v/>
      </c>
    </row>
    <row r="3606">
      <c r="A3606">
        <f>IFERROR(INDEX('Email Cleaner'!$B$2:$B$10001,MATCH(3605,'Email Cleaner'!$J$2:$J$10001,0)),"")</f>
        <v/>
      </c>
    </row>
    <row r="3607">
      <c r="A3607">
        <f>IFERROR(INDEX('Email Cleaner'!$B$2:$B$10001,MATCH(3606,'Email Cleaner'!$J$2:$J$10001,0)),"")</f>
        <v/>
      </c>
    </row>
    <row r="3608">
      <c r="A3608">
        <f>IFERROR(INDEX('Email Cleaner'!$B$2:$B$10001,MATCH(3607,'Email Cleaner'!$J$2:$J$10001,0)),"")</f>
        <v/>
      </c>
    </row>
    <row r="3609">
      <c r="A3609">
        <f>IFERROR(INDEX('Email Cleaner'!$B$2:$B$10001,MATCH(3608,'Email Cleaner'!$J$2:$J$10001,0)),"")</f>
        <v/>
      </c>
    </row>
    <row r="3610">
      <c r="A3610">
        <f>IFERROR(INDEX('Email Cleaner'!$B$2:$B$10001,MATCH(3609,'Email Cleaner'!$J$2:$J$10001,0)),"")</f>
        <v/>
      </c>
    </row>
    <row r="3611">
      <c r="A3611">
        <f>IFERROR(INDEX('Email Cleaner'!$B$2:$B$10001,MATCH(3610,'Email Cleaner'!$J$2:$J$10001,0)),"")</f>
        <v/>
      </c>
    </row>
    <row r="3612">
      <c r="A3612">
        <f>IFERROR(INDEX('Email Cleaner'!$B$2:$B$10001,MATCH(3611,'Email Cleaner'!$J$2:$J$10001,0)),"")</f>
        <v/>
      </c>
    </row>
    <row r="3613">
      <c r="A3613">
        <f>IFERROR(INDEX('Email Cleaner'!$B$2:$B$10001,MATCH(3612,'Email Cleaner'!$J$2:$J$10001,0)),"")</f>
        <v/>
      </c>
    </row>
    <row r="3614">
      <c r="A3614">
        <f>IFERROR(INDEX('Email Cleaner'!$B$2:$B$10001,MATCH(3613,'Email Cleaner'!$J$2:$J$10001,0)),"")</f>
        <v/>
      </c>
    </row>
    <row r="3615">
      <c r="A3615">
        <f>IFERROR(INDEX('Email Cleaner'!$B$2:$B$10001,MATCH(3614,'Email Cleaner'!$J$2:$J$10001,0)),"")</f>
        <v/>
      </c>
    </row>
    <row r="3616">
      <c r="A3616">
        <f>IFERROR(INDEX('Email Cleaner'!$B$2:$B$10001,MATCH(3615,'Email Cleaner'!$J$2:$J$10001,0)),"")</f>
        <v/>
      </c>
    </row>
    <row r="3617">
      <c r="A3617">
        <f>IFERROR(INDEX('Email Cleaner'!$B$2:$B$10001,MATCH(3616,'Email Cleaner'!$J$2:$J$10001,0)),"")</f>
        <v/>
      </c>
    </row>
    <row r="3618">
      <c r="A3618">
        <f>IFERROR(INDEX('Email Cleaner'!$B$2:$B$10001,MATCH(3617,'Email Cleaner'!$J$2:$J$10001,0)),"")</f>
        <v/>
      </c>
    </row>
    <row r="3619">
      <c r="A3619">
        <f>IFERROR(INDEX('Email Cleaner'!$B$2:$B$10001,MATCH(3618,'Email Cleaner'!$J$2:$J$10001,0)),"")</f>
        <v/>
      </c>
    </row>
    <row r="3620">
      <c r="A3620">
        <f>IFERROR(INDEX('Email Cleaner'!$B$2:$B$10001,MATCH(3619,'Email Cleaner'!$J$2:$J$10001,0)),"")</f>
        <v/>
      </c>
    </row>
    <row r="3621">
      <c r="A3621">
        <f>IFERROR(INDEX('Email Cleaner'!$B$2:$B$10001,MATCH(3620,'Email Cleaner'!$J$2:$J$10001,0)),"")</f>
        <v/>
      </c>
    </row>
    <row r="3622">
      <c r="A3622">
        <f>IFERROR(INDEX('Email Cleaner'!$B$2:$B$10001,MATCH(3621,'Email Cleaner'!$J$2:$J$10001,0)),"")</f>
        <v/>
      </c>
    </row>
    <row r="3623">
      <c r="A3623">
        <f>IFERROR(INDEX('Email Cleaner'!$B$2:$B$10001,MATCH(3622,'Email Cleaner'!$J$2:$J$10001,0)),"")</f>
        <v/>
      </c>
    </row>
    <row r="3624">
      <c r="A3624">
        <f>IFERROR(INDEX('Email Cleaner'!$B$2:$B$10001,MATCH(3623,'Email Cleaner'!$J$2:$J$10001,0)),"")</f>
        <v/>
      </c>
    </row>
    <row r="3625">
      <c r="A3625">
        <f>IFERROR(INDEX('Email Cleaner'!$B$2:$B$10001,MATCH(3624,'Email Cleaner'!$J$2:$J$10001,0)),"")</f>
        <v/>
      </c>
    </row>
    <row r="3626">
      <c r="A3626">
        <f>IFERROR(INDEX('Email Cleaner'!$B$2:$B$10001,MATCH(3625,'Email Cleaner'!$J$2:$J$10001,0)),"")</f>
        <v/>
      </c>
    </row>
    <row r="3627">
      <c r="A3627">
        <f>IFERROR(INDEX('Email Cleaner'!$B$2:$B$10001,MATCH(3626,'Email Cleaner'!$J$2:$J$10001,0)),"")</f>
        <v/>
      </c>
    </row>
    <row r="3628">
      <c r="A3628">
        <f>IFERROR(INDEX('Email Cleaner'!$B$2:$B$10001,MATCH(3627,'Email Cleaner'!$J$2:$J$10001,0)),"")</f>
        <v/>
      </c>
    </row>
    <row r="3629">
      <c r="A3629">
        <f>IFERROR(INDEX('Email Cleaner'!$B$2:$B$10001,MATCH(3628,'Email Cleaner'!$J$2:$J$10001,0)),"")</f>
        <v/>
      </c>
    </row>
    <row r="3630">
      <c r="A3630">
        <f>IFERROR(INDEX('Email Cleaner'!$B$2:$B$10001,MATCH(3629,'Email Cleaner'!$J$2:$J$10001,0)),"")</f>
        <v/>
      </c>
    </row>
    <row r="3631">
      <c r="A3631">
        <f>IFERROR(INDEX('Email Cleaner'!$B$2:$B$10001,MATCH(3630,'Email Cleaner'!$J$2:$J$10001,0)),"")</f>
        <v/>
      </c>
    </row>
    <row r="3632">
      <c r="A3632">
        <f>IFERROR(INDEX('Email Cleaner'!$B$2:$B$10001,MATCH(3631,'Email Cleaner'!$J$2:$J$10001,0)),"")</f>
        <v/>
      </c>
    </row>
    <row r="3633">
      <c r="A3633">
        <f>IFERROR(INDEX('Email Cleaner'!$B$2:$B$10001,MATCH(3632,'Email Cleaner'!$J$2:$J$10001,0)),"")</f>
        <v/>
      </c>
    </row>
    <row r="3634">
      <c r="A3634">
        <f>IFERROR(INDEX('Email Cleaner'!$B$2:$B$10001,MATCH(3633,'Email Cleaner'!$J$2:$J$10001,0)),"")</f>
        <v/>
      </c>
    </row>
    <row r="3635">
      <c r="A3635">
        <f>IFERROR(INDEX('Email Cleaner'!$B$2:$B$10001,MATCH(3634,'Email Cleaner'!$J$2:$J$10001,0)),"")</f>
        <v/>
      </c>
    </row>
    <row r="3636">
      <c r="A3636">
        <f>IFERROR(INDEX('Email Cleaner'!$B$2:$B$10001,MATCH(3635,'Email Cleaner'!$J$2:$J$10001,0)),"")</f>
        <v/>
      </c>
    </row>
    <row r="3637">
      <c r="A3637">
        <f>IFERROR(INDEX('Email Cleaner'!$B$2:$B$10001,MATCH(3636,'Email Cleaner'!$J$2:$J$10001,0)),"")</f>
        <v/>
      </c>
    </row>
    <row r="3638">
      <c r="A3638">
        <f>IFERROR(INDEX('Email Cleaner'!$B$2:$B$10001,MATCH(3637,'Email Cleaner'!$J$2:$J$10001,0)),"")</f>
        <v/>
      </c>
    </row>
    <row r="3639">
      <c r="A3639">
        <f>IFERROR(INDEX('Email Cleaner'!$B$2:$B$10001,MATCH(3638,'Email Cleaner'!$J$2:$J$10001,0)),"")</f>
        <v/>
      </c>
    </row>
    <row r="3640">
      <c r="A3640">
        <f>IFERROR(INDEX('Email Cleaner'!$B$2:$B$10001,MATCH(3639,'Email Cleaner'!$J$2:$J$10001,0)),"")</f>
        <v/>
      </c>
    </row>
    <row r="3641">
      <c r="A3641">
        <f>IFERROR(INDEX('Email Cleaner'!$B$2:$B$10001,MATCH(3640,'Email Cleaner'!$J$2:$J$10001,0)),"")</f>
        <v/>
      </c>
    </row>
    <row r="3642">
      <c r="A3642">
        <f>IFERROR(INDEX('Email Cleaner'!$B$2:$B$10001,MATCH(3641,'Email Cleaner'!$J$2:$J$10001,0)),"")</f>
        <v/>
      </c>
    </row>
    <row r="3643">
      <c r="A3643">
        <f>IFERROR(INDEX('Email Cleaner'!$B$2:$B$10001,MATCH(3642,'Email Cleaner'!$J$2:$J$10001,0)),"")</f>
        <v/>
      </c>
    </row>
    <row r="3644">
      <c r="A3644">
        <f>IFERROR(INDEX('Email Cleaner'!$B$2:$B$10001,MATCH(3643,'Email Cleaner'!$J$2:$J$10001,0)),"")</f>
        <v/>
      </c>
    </row>
    <row r="3645">
      <c r="A3645">
        <f>IFERROR(INDEX('Email Cleaner'!$B$2:$B$10001,MATCH(3644,'Email Cleaner'!$J$2:$J$10001,0)),"")</f>
        <v/>
      </c>
    </row>
    <row r="3646">
      <c r="A3646">
        <f>IFERROR(INDEX('Email Cleaner'!$B$2:$B$10001,MATCH(3645,'Email Cleaner'!$J$2:$J$10001,0)),"")</f>
        <v/>
      </c>
    </row>
    <row r="3647">
      <c r="A3647">
        <f>IFERROR(INDEX('Email Cleaner'!$B$2:$B$10001,MATCH(3646,'Email Cleaner'!$J$2:$J$10001,0)),"")</f>
        <v/>
      </c>
    </row>
    <row r="3648">
      <c r="A3648">
        <f>IFERROR(INDEX('Email Cleaner'!$B$2:$B$10001,MATCH(3647,'Email Cleaner'!$J$2:$J$10001,0)),"")</f>
        <v/>
      </c>
    </row>
    <row r="3649">
      <c r="A3649">
        <f>IFERROR(INDEX('Email Cleaner'!$B$2:$B$10001,MATCH(3648,'Email Cleaner'!$J$2:$J$10001,0)),"")</f>
        <v/>
      </c>
    </row>
    <row r="3650">
      <c r="A3650">
        <f>IFERROR(INDEX('Email Cleaner'!$B$2:$B$10001,MATCH(3649,'Email Cleaner'!$J$2:$J$10001,0)),"")</f>
        <v/>
      </c>
    </row>
    <row r="3651">
      <c r="A3651">
        <f>IFERROR(INDEX('Email Cleaner'!$B$2:$B$10001,MATCH(3650,'Email Cleaner'!$J$2:$J$10001,0)),"")</f>
        <v/>
      </c>
    </row>
    <row r="3652">
      <c r="A3652">
        <f>IFERROR(INDEX('Email Cleaner'!$B$2:$B$10001,MATCH(3651,'Email Cleaner'!$J$2:$J$10001,0)),"")</f>
        <v/>
      </c>
    </row>
    <row r="3653">
      <c r="A3653">
        <f>IFERROR(INDEX('Email Cleaner'!$B$2:$B$10001,MATCH(3652,'Email Cleaner'!$J$2:$J$10001,0)),"")</f>
        <v/>
      </c>
    </row>
    <row r="3654">
      <c r="A3654">
        <f>IFERROR(INDEX('Email Cleaner'!$B$2:$B$10001,MATCH(3653,'Email Cleaner'!$J$2:$J$10001,0)),"")</f>
        <v/>
      </c>
    </row>
    <row r="3655">
      <c r="A3655">
        <f>IFERROR(INDEX('Email Cleaner'!$B$2:$B$10001,MATCH(3654,'Email Cleaner'!$J$2:$J$10001,0)),"")</f>
        <v/>
      </c>
    </row>
    <row r="3656">
      <c r="A3656">
        <f>IFERROR(INDEX('Email Cleaner'!$B$2:$B$10001,MATCH(3655,'Email Cleaner'!$J$2:$J$10001,0)),"")</f>
        <v/>
      </c>
    </row>
    <row r="3657">
      <c r="A3657">
        <f>IFERROR(INDEX('Email Cleaner'!$B$2:$B$10001,MATCH(3656,'Email Cleaner'!$J$2:$J$10001,0)),"")</f>
        <v/>
      </c>
    </row>
    <row r="3658">
      <c r="A3658">
        <f>IFERROR(INDEX('Email Cleaner'!$B$2:$B$10001,MATCH(3657,'Email Cleaner'!$J$2:$J$10001,0)),"")</f>
        <v/>
      </c>
    </row>
    <row r="3659">
      <c r="A3659">
        <f>IFERROR(INDEX('Email Cleaner'!$B$2:$B$10001,MATCH(3658,'Email Cleaner'!$J$2:$J$10001,0)),"")</f>
        <v/>
      </c>
    </row>
    <row r="3660">
      <c r="A3660">
        <f>IFERROR(INDEX('Email Cleaner'!$B$2:$B$10001,MATCH(3659,'Email Cleaner'!$J$2:$J$10001,0)),"")</f>
        <v/>
      </c>
    </row>
    <row r="3661">
      <c r="A3661">
        <f>IFERROR(INDEX('Email Cleaner'!$B$2:$B$10001,MATCH(3660,'Email Cleaner'!$J$2:$J$10001,0)),"")</f>
        <v/>
      </c>
    </row>
    <row r="3662">
      <c r="A3662">
        <f>IFERROR(INDEX('Email Cleaner'!$B$2:$B$10001,MATCH(3661,'Email Cleaner'!$J$2:$J$10001,0)),"")</f>
        <v/>
      </c>
    </row>
    <row r="3663">
      <c r="A3663">
        <f>IFERROR(INDEX('Email Cleaner'!$B$2:$B$10001,MATCH(3662,'Email Cleaner'!$J$2:$J$10001,0)),"")</f>
        <v/>
      </c>
    </row>
    <row r="3664">
      <c r="A3664">
        <f>IFERROR(INDEX('Email Cleaner'!$B$2:$B$10001,MATCH(3663,'Email Cleaner'!$J$2:$J$10001,0)),"")</f>
        <v/>
      </c>
    </row>
    <row r="3665">
      <c r="A3665">
        <f>IFERROR(INDEX('Email Cleaner'!$B$2:$B$10001,MATCH(3664,'Email Cleaner'!$J$2:$J$10001,0)),"")</f>
        <v/>
      </c>
    </row>
    <row r="3666">
      <c r="A3666">
        <f>IFERROR(INDEX('Email Cleaner'!$B$2:$B$10001,MATCH(3665,'Email Cleaner'!$J$2:$J$10001,0)),"")</f>
        <v/>
      </c>
    </row>
    <row r="3667">
      <c r="A3667">
        <f>IFERROR(INDEX('Email Cleaner'!$B$2:$B$10001,MATCH(3666,'Email Cleaner'!$J$2:$J$10001,0)),"")</f>
        <v/>
      </c>
    </row>
    <row r="3668">
      <c r="A3668">
        <f>IFERROR(INDEX('Email Cleaner'!$B$2:$B$10001,MATCH(3667,'Email Cleaner'!$J$2:$J$10001,0)),"")</f>
        <v/>
      </c>
    </row>
    <row r="3669">
      <c r="A3669">
        <f>IFERROR(INDEX('Email Cleaner'!$B$2:$B$10001,MATCH(3668,'Email Cleaner'!$J$2:$J$10001,0)),"")</f>
        <v/>
      </c>
    </row>
    <row r="3670">
      <c r="A3670">
        <f>IFERROR(INDEX('Email Cleaner'!$B$2:$B$10001,MATCH(3669,'Email Cleaner'!$J$2:$J$10001,0)),"")</f>
        <v/>
      </c>
    </row>
    <row r="3671">
      <c r="A3671">
        <f>IFERROR(INDEX('Email Cleaner'!$B$2:$B$10001,MATCH(3670,'Email Cleaner'!$J$2:$J$10001,0)),"")</f>
        <v/>
      </c>
    </row>
    <row r="3672">
      <c r="A3672">
        <f>IFERROR(INDEX('Email Cleaner'!$B$2:$B$10001,MATCH(3671,'Email Cleaner'!$J$2:$J$10001,0)),"")</f>
        <v/>
      </c>
    </row>
    <row r="3673">
      <c r="A3673">
        <f>IFERROR(INDEX('Email Cleaner'!$B$2:$B$10001,MATCH(3672,'Email Cleaner'!$J$2:$J$10001,0)),"")</f>
        <v/>
      </c>
    </row>
    <row r="3674">
      <c r="A3674">
        <f>IFERROR(INDEX('Email Cleaner'!$B$2:$B$10001,MATCH(3673,'Email Cleaner'!$J$2:$J$10001,0)),"")</f>
        <v/>
      </c>
    </row>
    <row r="3675">
      <c r="A3675">
        <f>IFERROR(INDEX('Email Cleaner'!$B$2:$B$10001,MATCH(3674,'Email Cleaner'!$J$2:$J$10001,0)),"")</f>
        <v/>
      </c>
    </row>
    <row r="3676">
      <c r="A3676">
        <f>IFERROR(INDEX('Email Cleaner'!$B$2:$B$10001,MATCH(3675,'Email Cleaner'!$J$2:$J$10001,0)),"")</f>
        <v/>
      </c>
    </row>
    <row r="3677">
      <c r="A3677">
        <f>IFERROR(INDEX('Email Cleaner'!$B$2:$B$10001,MATCH(3676,'Email Cleaner'!$J$2:$J$10001,0)),"")</f>
        <v/>
      </c>
    </row>
    <row r="3678">
      <c r="A3678">
        <f>IFERROR(INDEX('Email Cleaner'!$B$2:$B$10001,MATCH(3677,'Email Cleaner'!$J$2:$J$10001,0)),"")</f>
        <v/>
      </c>
    </row>
    <row r="3679">
      <c r="A3679">
        <f>IFERROR(INDEX('Email Cleaner'!$B$2:$B$10001,MATCH(3678,'Email Cleaner'!$J$2:$J$10001,0)),"")</f>
        <v/>
      </c>
    </row>
    <row r="3680">
      <c r="A3680">
        <f>IFERROR(INDEX('Email Cleaner'!$B$2:$B$10001,MATCH(3679,'Email Cleaner'!$J$2:$J$10001,0)),"")</f>
        <v/>
      </c>
    </row>
    <row r="3681">
      <c r="A3681">
        <f>IFERROR(INDEX('Email Cleaner'!$B$2:$B$10001,MATCH(3680,'Email Cleaner'!$J$2:$J$10001,0)),"")</f>
        <v/>
      </c>
    </row>
    <row r="3682">
      <c r="A3682">
        <f>IFERROR(INDEX('Email Cleaner'!$B$2:$B$10001,MATCH(3681,'Email Cleaner'!$J$2:$J$10001,0)),"")</f>
        <v/>
      </c>
    </row>
    <row r="3683">
      <c r="A3683">
        <f>IFERROR(INDEX('Email Cleaner'!$B$2:$B$10001,MATCH(3682,'Email Cleaner'!$J$2:$J$10001,0)),"")</f>
        <v/>
      </c>
    </row>
    <row r="3684">
      <c r="A3684">
        <f>IFERROR(INDEX('Email Cleaner'!$B$2:$B$10001,MATCH(3683,'Email Cleaner'!$J$2:$J$10001,0)),"")</f>
        <v/>
      </c>
    </row>
    <row r="3685">
      <c r="A3685">
        <f>IFERROR(INDEX('Email Cleaner'!$B$2:$B$10001,MATCH(3684,'Email Cleaner'!$J$2:$J$10001,0)),"")</f>
        <v/>
      </c>
    </row>
    <row r="3686">
      <c r="A3686">
        <f>IFERROR(INDEX('Email Cleaner'!$B$2:$B$10001,MATCH(3685,'Email Cleaner'!$J$2:$J$10001,0)),"")</f>
        <v/>
      </c>
    </row>
    <row r="3687">
      <c r="A3687">
        <f>IFERROR(INDEX('Email Cleaner'!$B$2:$B$10001,MATCH(3686,'Email Cleaner'!$J$2:$J$10001,0)),"")</f>
        <v/>
      </c>
    </row>
    <row r="3688">
      <c r="A3688">
        <f>IFERROR(INDEX('Email Cleaner'!$B$2:$B$10001,MATCH(3687,'Email Cleaner'!$J$2:$J$10001,0)),"")</f>
        <v/>
      </c>
    </row>
    <row r="3689">
      <c r="A3689">
        <f>IFERROR(INDEX('Email Cleaner'!$B$2:$B$10001,MATCH(3688,'Email Cleaner'!$J$2:$J$10001,0)),"")</f>
        <v/>
      </c>
    </row>
    <row r="3690">
      <c r="A3690">
        <f>IFERROR(INDEX('Email Cleaner'!$B$2:$B$10001,MATCH(3689,'Email Cleaner'!$J$2:$J$10001,0)),"")</f>
        <v/>
      </c>
    </row>
    <row r="3691">
      <c r="A3691">
        <f>IFERROR(INDEX('Email Cleaner'!$B$2:$B$10001,MATCH(3690,'Email Cleaner'!$J$2:$J$10001,0)),"")</f>
        <v/>
      </c>
    </row>
    <row r="3692">
      <c r="A3692">
        <f>IFERROR(INDEX('Email Cleaner'!$B$2:$B$10001,MATCH(3691,'Email Cleaner'!$J$2:$J$10001,0)),"")</f>
        <v/>
      </c>
    </row>
    <row r="3693">
      <c r="A3693">
        <f>IFERROR(INDEX('Email Cleaner'!$B$2:$B$10001,MATCH(3692,'Email Cleaner'!$J$2:$J$10001,0)),"")</f>
        <v/>
      </c>
    </row>
    <row r="3694">
      <c r="A3694">
        <f>IFERROR(INDEX('Email Cleaner'!$B$2:$B$10001,MATCH(3693,'Email Cleaner'!$J$2:$J$10001,0)),"")</f>
        <v/>
      </c>
    </row>
    <row r="3695">
      <c r="A3695">
        <f>IFERROR(INDEX('Email Cleaner'!$B$2:$B$10001,MATCH(3694,'Email Cleaner'!$J$2:$J$10001,0)),"")</f>
        <v/>
      </c>
    </row>
    <row r="3696">
      <c r="A3696">
        <f>IFERROR(INDEX('Email Cleaner'!$B$2:$B$10001,MATCH(3695,'Email Cleaner'!$J$2:$J$10001,0)),"")</f>
        <v/>
      </c>
    </row>
    <row r="3697">
      <c r="A3697">
        <f>IFERROR(INDEX('Email Cleaner'!$B$2:$B$10001,MATCH(3696,'Email Cleaner'!$J$2:$J$10001,0)),"")</f>
        <v/>
      </c>
    </row>
    <row r="3698">
      <c r="A3698">
        <f>IFERROR(INDEX('Email Cleaner'!$B$2:$B$10001,MATCH(3697,'Email Cleaner'!$J$2:$J$10001,0)),"")</f>
        <v/>
      </c>
    </row>
    <row r="3699">
      <c r="A3699">
        <f>IFERROR(INDEX('Email Cleaner'!$B$2:$B$10001,MATCH(3698,'Email Cleaner'!$J$2:$J$10001,0)),"")</f>
        <v/>
      </c>
    </row>
    <row r="3700">
      <c r="A3700">
        <f>IFERROR(INDEX('Email Cleaner'!$B$2:$B$10001,MATCH(3699,'Email Cleaner'!$J$2:$J$10001,0)),"")</f>
        <v/>
      </c>
    </row>
    <row r="3701">
      <c r="A3701">
        <f>IFERROR(INDEX('Email Cleaner'!$B$2:$B$10001,MATCH(3700,'Email Cleaner'!$J$2:$J$10001,0)),"")</f>
        <v/>
      </c>
    </row>
    <row r="3702">
      <c r="A3702">
        <f>IFERROR(INDEX('Email Cleaner'!$B$2:$B$10001,MATCH(3701,'Email Cleaner'!$J$2:$J$10001,0)),"")</f>
        <v/>
      </c>
    </row>
    <row r="3703">
      <c r="A3703">
        <f>IFERROR(INDEX('Email Cleaner'!$B$2:$B$10001,MATCH(3702,'Email Cleaner'!$J$2:$J$10001,0)),"")</f>
        <v/>
      </c>
    </row>
    <row r="3704">
      <c r="A3704">
        <f>IFERROR(INDEX('Email Cleaner'!$B$2:$B$10001,MATCH(3703,'Email Cleaner'!$J$2:$J$10001,0)),"")</f>
        <v/>
      </c>
    </row>
    <row r="3705">
      <c r="A3705">
        <f>IFERROR(INDEX('Email Cleaner'!$B$2:$B$10001,MATCH(3704,'Email Cleaner'!$J$2:$J$10001,0)),"")</f>
        <v/>
      </c>
    </row>
    <row r="3706">
      <c r="A3706">
        <f>IFERROR(INDEX('Email Cleaner'!$B$2:$B$10001,MATCH(3705,'Email Cleaner'!$J$2:$J$10001,0)),"")</f>
        <v/>
      </c>
    </row>
    <row r="3707">
      <c r="A3707">
        <f>IFERROR(INDEX('Email Cleaner'!$B$2:$B$10001,MATCH(3706,'Email Cleaner'!$J$2:$J$10001,0)),"")</f>
        <v/>
      </c>
    </row>
    <row r="3708">
      <c r="A3708">
        <f>IFERROR(INDEX('Email Cleaner'!$B$2:$B$10001,MATCH(3707,'Email Cleaner'!$J$2:$J$10001,0)),"")</f>
        <v/>
      </c>
    </row>
    <row r="3709">
      <c r="A3709">
        <f>IFERROR(INDEX('Email Cleaner'!$B$2:$B$10001,MATCH(3708,'Email Cleaner'!$J$2:$J$10001,0)),"")</f>
        <v/>
      </c>
    </row>
    <row r="3710">
      <c r="A3710">
        <f>IFERROR(INDEX('Email Cleaner'!$B$2:$B$10001,MATCH(3709,'Email Cleaner'!$J$2:$J$10001,0)),"")</f>
        <v/>
      </c>
    </row>
    <row r="3711">
      <c r="A3711">
        <f>IFERROR(INDEX('Email Cleaner'!$B$2:$B$10001,MATCH(3710,'Email Cleaner'!$J$2:$J$10001,0)),"")</f>
        <v/>
      </c>
    </row>
    <row r="3712">
      <c r="A3712">
        <f>IFERROR(INDEX('Email Cleaner'!$B$2:$B$10001,MATCH(3711,'Email Cleaner'!$J$2:$J$10001,0)),"")</f>
        <v/>
      </c>
    </row>
    <row r="3713">
      <c r="A3713">
        <f>IFERROR(INDEX('Email Cleaner'!$B$2:$B$10001,MATCH(3712,'Email Cleaner'!$J$2:$J$10001,0)),"")</f>
        <v/>
      </c>
    </row>
    <row r="3714">
      <c r="A3714">
        <f>IFERROR(INDEX('Email Cleaner'!$B$2:$B$10001,MATCH(3713,'Email Cleaner'!$J$2:$J$10001,0)),"")</f>
        <v/>
      </c>
    </row>
    <row r="3715">
      <c r="A3715">
        <f>IFERROR(INDEX('Email Cleaner'!$B$2:$B$10001,MATCH(3714,'Email Cleaner'!$J$2:$J$10001,0)),"")</f>
        <v/>
      </c>
    </row>
    <row r="3716">
      <c r="A3716">
        <f>IFERROR(INDEX('Email Cleaner'!$B$2:$B$10001,MATCH(3715,'Email Cleaner'!$J$2:$J$10001,0)),"")</f>
        <v/>
      </c>
    </row>
    <row r="3717">
      <c r="A3717">
        <f>IFERROR(INDEX('Email Cleaner'!$B$2:$B$10001,MATCH(3716,'Email Cleaner'!$J$2:$J$10001,0)),"")</f>
        <v/>
      </c>
    </row>
    <row r="3718">
      <c r="A3718">
        <f>IFERROR(INDEX('Email Cleaner'!$B$2:$B$10001,MATCH(3717,'Email Cleaner'!$J$2:$J$10001,0)),"")</f>
        <v/>
      </c>
    </row>
    <row r="3719">
      <c r="A3719">
        <f>IFERROR(INDEX('Email Cleaner'!$B$2:$B$10001,MATCH(3718,'Email Cleaner'!$J$2:$J$10001,0)),"")</f>
        <v/>
      </c>
    </row>
    <row r="3720">
      <c r="A3720">
        <f>IFERROR(INDEX('Email Cleaner'!$B$2:$B$10001,MATCH(3719,'Email Cleaner'!$J$2:$J$10001,0)),"")</f>
        <v/>
      </c>
    </row>
    <row r="3721">
      <c r="A3721">
        <f>IFERROR(INDEX('Email Cleaner'!$B$2:$B$10001,MATCH(3720,'Email Cleaner'!$J$2:$J$10001,0)),"")</f>
        <v/>
      </c>
    </row>
    <row r="3722">
      <c r="A3722">
        <f>IFERROR(INDEX('Email Cleaner'!$B$2:$B$10001,MATCH(3721,'Email Cleaner'!$J$2:$J$10001,0)),"")</f>
        <v/>
      </c>
    </row>
    <row r="3723">
      <c r="A3723">
        <f>IFERROR(INDEX('Email Cleaner'!$B$2:$B$10001,MATCH(3722,'Email Cleaner'!$J$2:$J$10001,0)),"")</f>
        <v/>
      </c>
    </row>
    <row r="3724">
      <c r="A3724">
        <f>IFERROR(INDEX('Email Cleaner'!$B$2:$B$10001,MATCH(3723,'Email Cleaner'!$J$2:$J$10001,0)),"")</f>
        <v/>
      </c>
    </row>
    <row r="3725">
      <c r="A3725">
        <f>IFERROR(INDEX('Email Cleaner'!$B$2:$B$10001,MATCH(3724,'Email Cleaner'!$J$2:$J$10001,0)),"")</f>
        <v/>
      </c>
    </row>
    <row r="3726">
      <c r="A3726">
        <f>IFERROR(INDEX('Email Cleaner'!$B$2:$B$10001,MATCH(3725,'Email Cleaner'!$J$2:$J$10001,0)),"")</f>
        <v/>
      </c>
    </row>
    <row r="3727">
      <c r="A3727">
        <f>IFERROR(INDEX('Email Cleaner'!$B$2:$B$10001,MATCH(3726,'Email Cleaner'!$J$2:$J$10001,0)),"")</f>
        <v/>
      </c>
    </row>
    <row r="3728">
      <c r="A3728">
        <f>IFERROR(INDEX('Email Cleaner'!$B$2:$B$10001,MATCH(3727,'Email Cleaner'!$J$2:$J$10001,0)),"")</f>
        <v/>
      </c>
    </row>
    <row r="3729">
      <c r="A3729">
        <f>IFERROR(INDEX('Email Cleaner'!$B$2:$B$10001,MATCH(3728,'Email Cleaner'!$J$2:$J$10001,0)),"")</f>
        <v/>
      </c>
    </row>
    <row r="3730">
      <c r="A3730">
        <f>IFERROR(INDEX('Email Cleaner'!$B$2:$B$10001,MATCH(3729,'Email Cleaner'!$J$2:$J$10001,0)),"")</f>
        <v/>
      </c>
    </row>
    <row r="3731">
      <c r="A3731">
        <f>IFERROR(INDEX('Email Cleaner'!$B$2:$B$10001,MATCH(3730,'Email Cleaner'!$J$2:$J$10001,0)),"")</f>
        <v/>
      </c>
    </row>
    <row r="3732">
      <c r="A3732">
        <f>IFERROR(INDEX('Email Cleaner'!$B$2:$B$10001,MATCH(3731,'Email Cleaner'!$J$2:$J$10001,0)),"")</f>
        <v/>
      </c>
    </row>
    <row r="3733">
      <c r="A3733">
        <f>IFERROR(INDEX('Email Cleaner'!$B$2:$B$10001,MATCH(3732,'Email Cleaner'!$J$2:$J$10001,0)),"")</f>
        <v/>
      </c>
    </row>
    <row r="3734">
      <c r="A3734">
        <f>IFERROR(INDEX('Email Cleaner'!$B$2:$B$10001,MATCH(3733,'Email Cleaner'!$J$2:$J$10001,0)),"")</f>
        <v/>
      </c>
    </row>
    <row r="3735">
      <c r="A3735">
        <f>IFERROR(INDEX('Email Cleaner'!$B$2:$B$10001,MATCH(3734,'Email Cleaner'!$J$2:$J$10001,0)),"")</f>
        <v/>
      </c>
    </row>
    <row r="3736">
      <c r="A3736">
        <f>IFERROR(INDEX('Email Cleaner'!$B$2:$B$10001,MATCH(3735,'Email Cleaner'!$J$2:$J$10001,0)),"")</f>
        <v/>
      </c>
    </row>
    <row r="3737">
      <c r="A3737">
        <f>IFERROR(INDEX('Email Cleaner'!$B$2:$B$10001,MATCH(3736,'Email Cleaner'!$J$2:$J$10001,0)),"")</f>
        <v/>
      </c>
    </row>
    <row r="3738">
      <c r="A3738">
        <f>IFERROR(INDEX('Email Cleaner'!$B$2:$B$10001,MATCH(3737,'Email Cleaner'!$J$2:$J$10001,0)),"")</f>
        <v/>
      </c>
    </row>
    <row r="3739">
      <c r="A3739">
        <f>IFERROR(INDEX('Email Cleaner'!$B$2:$B$10001,MATCH(3738,'Email Cleaner'!$J$2:$J$10001,0)),"")</f>
        <v/>
      </c>
    </row>
    <row r="3740">
      <c r="A3740">
        <f>IFERROR(INDEX('Email Cleaner'!$B$2:$B$10001,MATCH(3739,'Email Cleaner'!$J$2:$J$10001,0)),"")</f>
        <v/>
      </c>
    </row>
    <row r="3741">
      <c r="A3741">
        <f>IFERROR(INDEX('Email Cleaner'!$B$2:$B$10001,MATCH(3740,'Email Cleaner'!$J$2:$J$10001,0)),"")</f>
        <v/>
      </c>
    </row>
    <row r="3742">
      <c r="A3742">
        <f>IFERROR(INDEX('Email Cleaner'!$B$2:$B$10001,MATCH(3741,'Email Cleaner'!$J$2:$J$10001,0)),"")</f>
        <v/>
      </c>
    </row>
    <row r="3743">
      <c r="A3743">
        <f>IFERROR(INDEX('Email Cleaner'!$B$2:$B$10001,MATCH(3742,'Email Cleaner'!$J$2:$J$10001,0)),"")</f>
        <v/>
      </c>
    </row>
    <row r="3744">
      <c r="A3744">
        <f>IFERROR(INDEX('Email Cleaner'!$B$2:$B$10001,MATCH(3743,'Email Cleaner'!$J$2:$J$10001,0)),"")</f>
        <v/>
      </c>
    </row>
    <row r="3745">
      <c r="A3745">
        <f>IFERROR(INDEX('Email Cleaner'!$B$2:$B$10001,MATCH(3744,'Email Cleaner'!$J$2:$J$10001,0)),"")</f>
        <v/>
      </c>
    </row>
    <row r="3746">
      <c r="A3746">
        <f>IFERROR(INDEX('Email Cleaner'!$B$2:$B$10001,MATCH(3745,'Email Cleaner'!$J$2:$J$10001,0)),"")</f>
        <v/>
      </c>
    </row>
    <row r="3747">
      <c r="A3747">
        <f>IFERROR(INDEX('Email Cleaner'!$B$2:$B$10001,MATCH(3746,'Email Cleaner'!$J$2:$J$10001,0)),"")</f>
        <v/>
      </c>
    </row>
    <row r="3748">
      <c r="A3748">
        <f>IFERROR(INDEX('Email Cleaner'!$B$2:$B$10001,MATCH(3747,'Email Cleaner'!$J$2:$J$10001,0)),"")</f>
        <v/>
      </c>
    </row>
    <row r="3749">
      <c r="A3749">
        <f>IFERROR(INDEX('Email Cleaner'!$B$2:$B$10001,MATCH(3748,'Email Cleaner'!$J$2:$J$10001,0)),"")</f>
        <v/>
      </c>
    </row>
    <row r="3750">
      <c r="A3750">
        <f>IFERROR(INDEX('Email Cleaner'!$B$2:$B$10001,MATCH(3749,'Email Cleaner'!$J$2:$J$10001,0)),"")</f>
        <v/>
      </c>
    </row>
    <row r="3751">
      <c r="A3751">
        <f>IFERROR(INDEX('Email Cleaner'!$B$2:$B$10001,MATCH(3750,'Email Cleaner'!$J$2:$J$10001,0)),"")</f>
        <v/>
      </c>
    </row>
    <row r="3752">
      <c r="A3752">
        <f>IFERROR(INDEX('Email Cleaner'!$B$2:$B$10001,MATCH(3751,'Email Cleaner'!$J$2:$J$10001,0)),"")</f>
        <v/>
      </c>
    </row>
    <row r="3753">
      <c r="A3753">
        <f>IFERROR(INDEX('Email Cleaner'!$B$2:$B$10001,MATCH(3752,'Email Cleaner'!$J$2:$J$10001,0)),"")</f>
        <v/>
      </c>
    </row>
    <row r="3754">
      <c r="A3754">
        <f>IFERROR(INDEX('Email Cleaner'!$B$2:$B$10001,MATCH(3753,'Email Cleaner'!$J$2:$J$10001,0)),"")</f>
        <v/>
      </c>
    </row>
    <row r="3755">
      <c r="A3755">
        <f>IFERROR(INDEX('Email Cleaner'!$B$2:$B$10001,MATCH(3754,'Email Cleaner'!$J$2:$J$10001,0)),"")</f>
        <v/>
      </c>
    </row>
    <row r="3756">
      <c r="A3756">
        <f>IFERROR(INDEX('Email Cleaner'!$B$2:$B$10001,MATCH(3755,'Email Cleaner'!$J$2:$J$10001,0)),"")</f>
        <v/>
      </c>
    </row>
    <row r="3757">
      <c r="A3757">
        <f>IFERROR(INDEX('Email Cleaner'!$B$2:$B$10001,MATCH(3756,'Email Cleaner'!$J$2:$J$10001,0)),"")</f>
        <v/>
      </c>
    </row>
    <row r="3758">
      <c r="A3758">
        <f>IFERROR(INDEX('Email Cleaner'!$B$2:$B$10001,MATCH(3757,'Email Cleaner'!$J$2:$J$10001,0)),"")</f>
        <v/>
      </c>
    </row>
    <row r="3759">
      <c r="A3759">
        <f>IFERROR(INDEX('Email Cleaner'!$B$2:$B$10001,MATCH(3758,'Email Cleaner'!$J$2:$J$10001,0)),"")</f>
        <v/>
      </c>
    </row>
    <row r="3760">
      <c r="A3760">
        <f>IFERROR(INDEX('Email Cleaner'!$B$2:$B$10001,MATCH(3759,'Email Cleaner'!$J$2:$J$10001,0)),"")</f>
        <v/>
      </c>
    </row>
    <row r="3761">
      <c r="A3761">
        <f>IFERROR(INDEX('Email Cleaner'!$B$2:$B$10001,MATCH(3760,'Email Cleaner'!$J$2:$J$10001,0)),"")</f>
        <v/>
      </c>
    </row>
    <row r="3762">
      <c r="A3762">
        <f>IFERROR(INDEX('Email Cleaner'!$B$2:$B$10001,MATCH(3761,'Email Cleaner'!$J$2:$J$10001,0)),"")</f>
        <v/>
      </c>
    </row>
    <row r="3763">
      <c r="A3763">
        <f>IFERROR(INDEX('Email Cleaner'!$B$2:$B$10001,MATCH(3762,'Email Cleaner'!$J$2:$J$10001,0)),"")</f>
        <v/>
      </c>
    </row>
    <row r="3764">
      <c r="A3764">
        <f>IFERROR(INDEX('Email Cleaner'!$B$2:$B$10001,MATCH(3763,'Email Cleaner'!$J$2:$J$10001,0)),"")</f>
        <v/>
      </c>
    </row>
    <row r="3765">
      <c r="A3765">
        <f>IFERROR(INDEX('Email Cleaner'!$B$2:$B$10001,MATCH(3764,'Email Cleaner'!$J$2:$J$10001,0)),"")</f>
        <v/>
      </c>
    </row>
    <row r="3766">
      <c r="A3766">
        <f>IFERROR(INDEX('Email Cleaner'!$B$2:$B$10001,MATCH(3765,'Email Cleaner'!$J$2:$J$10001,0)),"")</f>
        <v/>
      </c>
    </row>
    <row r="3767">
      <c r="A3767">
        <f>IFERROR(INDEX('Email Cleaner'!$B$2:$B$10001,MATCH(3766,'Email Cleaner'!$J$2:$J$10001,0)),"")</f>
        <v/>
      </c>
    </row>
    <row r="3768">
      <c r="A3768">
        <f>IFERROR(INDEX('Email Cleaner'!$B$2:$B$10001,MATCH(3767,'Email Cleaner'!$J$2:$J$10001,0)),"")</f>
        <v/>
      </c>
    </row>
    <row r="3769">
      <c r="A3769">
        <f>IFERROR(INDEX('Email Cleaner'!$B$2:$B$10001,MATCH(3768,'Email Cleaner'!$J$2:$J$10001,0)),"")</f>
        <v/>
      </c>
    </row>
    <row r="3770">
      <c r="A3770">
        <f>IFERROR(INDEX('Email Cleaner'!$B$2:$B$10001,MATCH(3769,'Email Cleaner'!$J$2:$J$10001,0)),"")</f>
        <v/>
      </c>
    </row>
    <row r="3771">
      <c r="A3771">
        <f>IFERROR(INDEX('Email Cleaner'!$B$2:$B$10001,MATCH(3770,'Email Cleaner'!$J$2:$J$10001,0)),"")</f>
        <v/>
      </c>
    </row>
    <row r="3772">
      <c r="A3772">
        <f>IFERROR(INDEX('Email Cleaner'!$B$2:$B$10001,MATCH(3771,'Email Cleaner'!$J$2:$J$10001,0)),"")</f>
        <v/>
      </c>
    </row>
    <row r="3773">
      <c r="A3773">
        <f>IFERROR(INDEX('Email Cleaner'!$B$2:$B$10001,MATCH(3772,'Email Cleaner'!$J$2:$J$10001,0)),"")</f>
        <v/>
      </c>
    </row>
    <row r="3774">
      <c r="A3774">
        <f>IFERROR(INDEX('Email Cleaner'!$B$2:$B$10001,MATCH(3773,'Email Cleaner'!$J$2:$J$10001,0)),"")</f>
        <v/>
      </c>
    </row>
    <row r="3775">
      <c r="A3775">
        <f>IFERROR(INDEX('Email Cleaner'!$B$2:$B$10001,MATCH(3774,'Email Cleaner'!$J$2:$J$10001,0)),"")</f>
        <v/>
      </c>
    </row>
    <row r="3776">
      <c r="A3776">
        <f>IFERROR(INDEX('Email Cleaner'!$B$2:$B$10001,MATCH(3775,'Email Cleaner'!$J$2:$J$10001,0)),"")</f>
        <v/>
      </c>
    </row>
    <row r="3777">
      <c r="A3777">
        <f>IFERROR(INDEX('Email Cleaner'!$B$2:$B$10001,MATCH(3776,'Email Cleaner'!$J$2:$J$10001,0)),"")</f>
        <v/>
      </c>
    </row>
    <row r="3778">
      <c r="A3778">
        <f>IFERROR(INDEX('Email Cleaner'!$B$2:$B$10001,MATCH(3777,'Email Cleaner'!$J$2:$J$10001,0)),"")</f>
        <v/>
      </c>
    </row>
    <row r="3779">
      <c r="A3779">
        <f>IFERROR(INDEX('Email Cleaner'!$B$2:$B$10001,MATCH(3778,'Email Cleaner'!$J$2:$J$10001,0)),"")</f>
        <v/>
      </c>
    </row>
    <row r="3780">
      <c r="A3780">
        <f>IFERROR(INDEX('Email Cleaner'!$B$2:$B$10001,MATCH(3779,'Email Cleaner'!$J$2:$J$10001,0)),"")</f>
        <v/>
      </c>
    </row>
    <row r="3781">
      <c r="A3781">
        <f>IFERROR(INDEX('Email Cleaner'!$B$2:$B$10001,MATCH(3780,'Email Cleaner'!$J$2:$J$10001,0)),"")</f>
        <v/>
      </c>
    </row>
    <row r="3782">
      <c r="A3782">
        <f>IFERROR(INDEX('Email Cleaner'!$B$2:$B$10001,MATCH(3781,'Email Cleaner'!$J$2:$J$10001,0)),"")</f>
        <v/>
      </c>
    </row>
    <row r="3783">
      <c r="A3783">
        <f>IFERROR(INDEX('Email Cleaner'!$B$2:$B$10001,MATCH(3782,'Email Cleaner'!$J$2:$J$10001,0)),"")</f>
        <v/>
      </c>
    </row>
    <row r="3784">
      <c r="A3784">
        <f>IFERROR(INDEX('Email Cleaner'!$B$2:$B$10001,MATCH(3783,'Email Cleaner'!$J$2:$J$10001,0)),"")</f>
        <v/>
      </c>
    </row>
    <row r="3785">
      <c r="A3785">
        <f>IFERROR(INDEX('Email Cleaner'!$B$2:$B$10001,MATCH(3784,'Email Cleaner'!$J$2:$J$10001,0)),"")</f>
        <v/>
      </c>
    </row>
    <row r="3786">
      <c r="A3786">
        <f>IFERROR(INDEX('Email Cleaner'!$B$2:$B$10001,MATCH(3785,'Email Cleaner'!$J$2:$J$10001,0)),"")</f>
        <v/>
      </c>
    </row>
    <row r="3787">
      <c r="A3787">
        <f>IFERROR(INDEX('Email Cleaner'!$B$2:$B$10001,MATCH(3786,'Email Cleaner'!$J$2:$J$10001,0)),"")</f>
        <v/>
      </c>
    </row>
    <row r="3788">
      <c r="A3788">
        <f>IFERROR(INDEX('Email Cleaner'!$B$2:$B$10001,MATCH(3787,'Email Cleaner'!$J$2:$J$10001,0)),"")</f>
        <v/>
      </c>
    </row>
    <row r="3789">
      <c r="A3789">
        <f>IFERROR(INDEX('Email Cleaner'!$B$2:$B$10001,MATCH(3788,'Email Cleaner'!$J$2:$J$10001,0)),"")</f>
        <v/>
      </c>
    </row>
    <row r="3790">
      <c r="A3790">
        <f>IFERROR(INDEX('Email Cleaner'!$B$2:$B$10001,MATCH(3789,'Email Cleaner'!$J$2:$J$10001,0)),"")</f>
        <v/>
      </c>
    </row>
    <row r="3791">
      <c r="A3791">
        <f>IFERROR(INDEX('Email Cleaner'!$B$2:$B$10001,MATCH(3790,'Email Cleaner'!$J$2:$J$10001,0)),"")</f>
        <v/>
      </c>
    </row>
    <row r="3792">
      <c r="A3792">
        <f>IFERROR(INDEX('Email Cleaner'!$B$2:$B$10001,MATCH(3791,'Email Cleaner'!$J$2:$J$10001,0)),"")</f>
        <v/>
      </c>
    </row>
    <row r="3793">
      <c r="A3793">
        <f>IFERROR(INDEX('Email Cleaner'!$B$2:$B$10001,MATCH(3792,'Email Cleaner'!$J$2:$J$10001,0)),"")</f>
        <v/>
      </c>
    </row>
    <row r="3794">
      <c r="A3794">
        <f>IFERROR(INDEX('Email Cleaner'!$B$2:$B$10001,MATCH(3793,'Email Cleaner'!$J$2:$J$10001,0)),"")</f>
        <v/>
      </c>
    </row>
    <row r="3795">
      <c r="A3795">
        <f>IFERROR(INDEX('Email Cleaner'!$B$2:$B$10001,MATCH(3794,'Email Cleaner'!$J$2:$J$10001,0)),"")</f>
        <v/>
      </c>
    </row>
    <row r="3796">
      <c r="A3796">
        <f>IFERROR(INDEX('Email Cleaner'!$B$2:$B$10001,MATCH(3795,'Email Cleaner'!$J$2:$J$10001,0)),"")</f>
        <v/>
      </c>
    </row>
    <row r="3797">
      <c r="A3797">
        <f>IFERROR(INDEX('Email Cleaner'!$B$2:$B$10001,MATCH(3796,'Email Cleaner'!$J$2:$J$10001,0)),"")</f>
        <v/>
      </c>
    </row>
    <row r="3798">
      <c r="A3798">
        <f>IFERROR(INDEX('Email Cleaner'!$B$2:$B$10001,MATCH(3797,'Email Cleaner'!$J$2:$J$10001,0)),"")</f>
        <v/>
      </c>
    </row>
    <row r="3799">
      <c r="A3799">
        <f>IFERROR(INDEX('Email Cleaner'!$B$2:$B$10001,MATCH(3798,'Email Cleaner'!$J$2:$J$10001,0)),"")</f>
        <v/>
      </c>
    </row>
    <row r="3800">
      <c r="A3800">
        <f>IFERROR(INDEX('Email Cleaner'!$B$2:$B$10001,MATCH(3799,'Email Cleaner'!$J$2:$J$10001,0)),"")</f>
        <v/>
      </c>
    </row>
    <row r="3801">
      <c r="A3801">
        <f>IFERROR(INDEX('Email Cleaner'!$B$2:$B$10001,MATCH(3800,'Email Cleaner'!$J$2:$J$10001,0)),"")</f>
        <v/>
      </c>
    </row>
    <row r="3802">
      <c r="A3802">
        <f>IFERROR(INDEX('Email Cleaner'!$B$2:$B$10001,MATCH(3801,'Email Cleaner'!$J$2:$J$10001,0)),"")</f>
        <v/>
      </c>
    </row>
    <row r="3803">
      <c r="A3803">
        <f>IFERROR(INDEX('Email Cleaner'!$B$2:$B$10001,MATCH(3802,'Email Cleaner'!$J$2:$J$10001,0)),"")</f>
        <v/>
      </c>
    </row>
    <row r="3804">
      <c r="A3804">
        <f>IFERROR(INDEX('Email Cleaner'!$B$2:$B$10001,MATCH(3803,'Email Cleaner'!$J$2:$J$10001,0)),"")</f>
        <v/>
      </c>
    </row>
    <row r="3805">
      <c r="A3805">
        <f>IFERROR(INDEX('Email Cleaner'!$B$2:$B$10001,MATCH(3804,'Email Cleaner'!$J$2:$J$10001,0)),"")</f>
        <v/>
      </c>
    </row>
    <row r="3806">
      <c r="A3806">
        <f>IFERROR(INDEX('Email Cleaner'!$B$2:$B$10001,MATCH(3805,'Email Cleaner'!$J$2:$J$10001,0)),"")</f>
        <v/>
      </c>
    </row>
    <row r="3807">
      <c r="A3807">
        <f>IFERROR(INDEX('Email Cleaner'!$B$2:$B$10001,MATCH(3806,'Email Cleaner'!$J$2:$J$10001,0)),"")</f>
        <v/>
      </c>
    </row>
    <row r="3808">
      <c r="A3808">
        <f>IFERROR(INDEX('Email Cleaner'!$B$2:$B$10001,MATCH(3807,'Email Cleaner'!$J$2:$J$10001,0)),"")</f>
        <v/>
      </c>
    </row>
    <row r="3809">
      <c r="A3809">
        <f>IFERROR(INDEX('Email Cleaner'!$B$2:$B$10001,MATCH(3808,'Email Cleaner'!$J$2:$J$10001,0)),"")</f>
        <v/>
      </c>
    </row>
    <row r="3810">
      <c r="A3810">
        <f>IFERROR(INDEX('Email Cleaner'!$B$2:$B$10001,MATCH(3809,'Email Cleaner'!$J$2:$J$10001,0)),"")</f>
        <v/>
      </c>
    </row>
    <row r="3811">
      <c r="A3811">
        <f>IFERROR(INDEX('Email Cleaner'!$B$2:$B$10001,MATCH(3810,'Email Cleaner'!$J$2:$J$10001,0)),"")</f>
        <v/>
      </c>
    </row>
    <row r="3812">
      <c r="A3812">
        <f>IFERROR(INDEX('Email Cleaner'!$B$2:$B$10001,MATCH(3811,'Email Cleaner'!$J$2:$J$10001,0)),"")</f>
        <v/>
      </c>
    </row>
    <row r="3813">
      <c r="A3813">
        <f>IFERROR(INDEX('Email Cleaner'!$B$2:$B$10001,MATCH(3812,'Email Cleaner'!$J$2:$J$10001,0)),"")</f>
        <v/>
      </c>
    </row>
    <row r="3814">
      <c r="A3814">
        <f>IFERROR(INDEX('Email Cleaner'!$B$2:$B$10001,MATCH(3813,'Email Cleaner'!$J$2:$J$10001,0)),"")</f>
        <v/>
      </c>
    </row>
    <row r="3815">
      <c r="A3815">
        <f>IFERROR(INDEX('Email Cleaner'!$B$2:$B$10001,MATCH(3814,'Email Cleaner'!$J$2:$J$10001,0)),"")</f>
        <v/>
      </c>
    </row>
    <row r="3816">
      <c r="A3816">
        <f>IFERROR(INDEX('Email Cleaner'!$B$2:$B$10001,MATCH(3815,'Email Cleaner'!$J$2:$J$10001,0)),"")</f>
        <v/>
      </c>
    </row>
    <row r="3817">
      <c r="A3817">
        <f>IFERROR(INDEX('Email Cleaner'!$B$2:$B$10001,MATCH(3816,'Email Cleaner'!$J$2:$J$10001,0)),"")</f>
        <v/>
      </c>
    </row>
    <row r="3818">
      <c r="A3818">
        <f>IFERROR(INDEX('Email Cleaner'!$B$2:$B$10001,MATCH(3817,'Email Cleaner'!$J$2:$J$10001,0)),"")</f>
        <v/>
      </c>
    </row>
    <row r="3819">
      <c r="A3819">
        <f>IFERROR(INDEX('Email Cleaner'!$B$2:$B$10001,MATCH(3818,'Email Cleaner'!$J$2:$J$10001,0)),"")</f>
        <v/>
      </c>
    </row>
    <row r="3820">
      <c r="A3820">
        <f>IFERROR(INDEX('Email Cleaner'!$B$2:$B$10001,MATCH(3819,'Email Cleaner'!$J$2:$J$10001,0)),"")</f>
        <v/>
      </c>
    </row>
    <row r="3821">
      <c r="A3821">
        <f>IFERROR(INDEX('Email Cleaner'!$B$2:$B$10001,MATCH(3820,'Email Cleaner'!$J$2:$J$10001,0)),"")</f>
        <v/>
      </c>
    </row>
    <row r="3822">
      <c r="A3822">
        <f>IFERROR(INDEX('Email Cleaner'!$B$2:$B$10001,MATCH(3821,'Email Cleaner'!$J$2:$J$10001,0)),"")</f>
        <v/>
      </c>
    </row>
    <row r="3823">
      <c r="A3823">
        <f>IFERROR(INDEX('Email Cleaner'!$B$2:$B$10001,MATCH(3822,'Email Cleaner'!$J$2:$J$10001,0)),"")</f>
        <v/>
      </c>
    </row>
    <row r="3824">
      <c r="A3824">
        <f>IFERROR(INDEX('Email Cleaner'!$B$2:$B$10001,MATCH(3823,'Email Cleaner'!$J$2:$J$10001,0)),"")</f>
        <v/>
      </c>
    </row>
    <row r="3825">
      <c r="A3825">
        <f>IFERROR(INDEX('Email Cleaner'!$B$2:$B$10001,MATCH(3824,'Email Cleaner'!$J$2:$J$10001,0)),"")</f>
        <v/>
      </c>
    </row>
    <row r="3826">
      <c r="A3826">
        <f>IFERROR(INDEX('Email Cleaner'!$B$2:$B$10001,MATCH(3825,'Email Cleaner'!$J$2:$J$10001,0)),"")</f>
        <v/>
      </c>
    </row>
    <row r="3827">
      <c r="A3827">
        <f>IFERROR(INDEX('Email Cleaner'!$B$2:$B$10001,MATCH(3826,'Email Cleaner'!$J$2:$J$10001,0)),"")</f>
        <v/>
      </c>
    </row>
    <row r="3828">
      <c r="A3828">
        <f>IFERROR(INDEX('Email Cleaner'!$B$2:$B$10001,MATCH(3827,'Email Cleaner'!$J$2:$J$10001,0)),"")</f>
        <v/>
      </c>
    </row>
    <row r="3829">
      <c r="A3829">
        <f>IFERROR(INDEX('Email Cleaner'!$B$2:$B$10001,MATCH(3828,'Email Cleaner'!$J$2:$J$10001,0)),"")</f>
        <v/>
      </c>
    </row>
    <row r="3830">
      <c r="A3830">
        <f>IFERROR(INDEX('Email Cleaner'!$B$2:$B$10001,MATCH(3829,'Email Cleaner'!$J$2:$J$10001,0)),"")</f>
        <v/>
      </c>
    </row>
    <row r="3831">
      <c r="A3831">
        <f>IFERROR(INDEX('Email Cleaner'!$B$2:$B$10001,MATCH(3830,'Email Cleaner'!$J$2:$J$10001,0)),"")</f>
        <v/>
      </c>
    </row>
    <row r="3832">
      <c r="A3832">
        <f>IFERROR(INDEX('Email Cleaner'!$B$2:$B$10001,MATCH(3831,'Email Cleaner'!$J$2:$J$10001,0)),"")</f>
        <v/>
      </c>
    </row>
    <row r="3833">
      <c r="A3833">
        <f>IFERROR(INDEX('Email Cleaner'!$B$2:$B$10001,MATCH(3832,'Email Cleaner'!$J$2:$J$10001,0)),"")</f>
        <v/>
      </c>
    </row>
    <row r="3834">
      <c r="A3834">
        <f>IFERROR(INDEX('Email Cleaner'!$B$2:$B$10001,MATCH(3833,'Email Cleaner'!$J$2:$J$10001,0)),"")</f>
        <v/>
      </c>
    </row>
    <row r="3835">
      <c r="A3835">
        <f>IFERROR(INDEX('Email Cleaner'!$B$2:$B$10001,MATCH(3834,'Email Cleaner'!$J$2:$J$10001,0)),"")</f>
        <v/>
      </c>
    </row>
    <row r="3836">
      <c r="A3836">
        <f>IFERROR(INDEX('Email Cleaner'!$B$2:$B$10001,MATCH(3835,'Email Cleaner'!$J$2:$J$10001,0)),"")</f>
        <v/>
      </c>
    </row>
    <row r="3837">
      <c r="A3837">
        <f>IFERROR(INDEX('Email Cleaner'!$B$2:$B$10001,MATCH(3836,'Email Cleaner'!$J$2:$J$10001,0)),"")</f>
        <v/>
      </c>
    </row>
    <row r="3838">
      <c r="A3838">
        <f>IFERROR(INDEX('Email Cleaner'!$B$2:$B$10001,MATCH(3837,'Email Cleaner'!$J$2:$J$10001,0)),"")</f>
        <v/>
      </c>
    </row>
    <row r="3839">
      <c r="A3839">
        <f>IFERROR(INDEX('Email Cleaner'!$B$2:$B$10001,MATCH(3838,'Email Cleaner'!$J$2:$J$10001,0)),"")</f>
        <v/>
      </c>
    </row>
    <row r="3840">
      <c r="A3840">
        <f>IFERROR(INDEX('Email Cleaner'!$B$2:$B$10001,MATCH(3839,'Email Cleaner'!$J$2:$J$10001,0)),"")</f>
        <v/>
      </c>
    </row>
    <row r="3841">
      <c r="A3841">
        <f>IFERROR(INDEX('Email Cleaner'!$B$2:$B$10001,MATCH(3840,'Email Cleaner'!$J$2:$J$10001,0)),"")</f>
        <v/>
      </c>
    </row>
    <row r="3842">
      <c r="A3842">
        <f>IFERROR(INDEX('Email Cleaner'!$B$2:$B$10001,MATCH(3841,'Email Cleaner'!$J$2:$J$10001,0)),"")</f>
        <v/>
      </c>
    </row>
    <row r="3843">
      <c r="A3843">
        <f>IFERROR(INDEX('Email Cleaner'!$B$2:$B$10001,MATCH(3842,'Email Cleaner'!$J$2:$J$10001,0)),"")</f>
        <v/>
      </c>
    </row>
    <row r="3844">
      <c r="A3844">
        <f>IFERROR(INDEX('Email Cleaner'!$B$2:$B$10001,MATCH(3843,'Email Cleaner'!$J$2:$J$10001,0)),"")</f>
        <v/>
      </c>
    </row>
    <row r="3845">
      <c r="A3845">
        <f>IFERROR(INDEX('Email Cleaner'!$B$2:$B$10001,MATCH(3844,'Email Cleaner'!$J$2:$J$10001,0)),"")</f>
        <v/>
      </c>
    </row>
    <row r="3846">
      <c r="A3846">
        <f>IFERROR(INDEX('Email Cleaner'!$B$2:$B$10001,MATCH(3845,'Email Cleaner'!$J$2:$J$10001,0)),"")</f>
        <v/>
      </c>
    </row>
    <row r="3847">
      <c r="A3847">
        <f>IFERROR(INDEX('Email Cleaner'!$B$2:$B$10001,MATCH(3846,'Email Cleaner'!$J$2:$J$10001,0)),"")</f>
        <v/>
      </c>
    </row>
    <row r="3848">
      <c r="A3848">
        <f>IFERROR(INDEX('Email Cleaner'!$B$2:$B$10001,MATCH(3847,'Email Cleaner'!$J$2:$J$10001,0)),"")</f>
        <v/>
      </c>
    </row>
    <row r="3849">
      <c r="A3849">
        <f>IFERROR(INDEX('Email Cleaner'!$B$2:$B$10001,MATCH(3848,'Email Cleaner'!$J$2:$J$10001,0)),"")</f>
        <v/>
      </c>
    </row>
    <row r="3850">
      <c r="A3850">
        <f>IFERROR(INDEX('Email Cleaner'!$B$2:$B$10001,MATCH(3849,'Email Cleaner'!$J$2:$J$10001,0)),"")</f>
        <v/>
      </c>
    </row>
    <row r="3851">
      <c r="A3851">
        <f>IFERROR(INDEX('Email Cleaner'!$B$2:$B$10001,MATCH(3850,'Email Cleaner'!$J$2:$J$10001,0)),"")</f>
        <v/>
      </c>
    </row>
    <row r="3852">
      <c r="A3852">
        <f>IFERROR(INDEX('Email Cleaner'!$B$2:$B$10001,MATCH(3851,'Email Cleaner'!$J$2:$J$10001,0)),"")</f>
        <v/>
      </c>
    </row>
    <row r="3853">
      <c r="A3853">
        <f>IFERROR(INDEX('Email Cleaner'!$B$2:$B$10001,MATCH(3852,'Email Cleaner'!$J$2:$J$10001,0)),"")</f>
        <v/>
      </c>
    </row>
    <row r="3854">
      <c r="A3854">
        <f>IFERROR(INDEX('Email Cleaner'!$B$2:$B$10001,MATCH(3853,'Email Cleaner'!$J$2:$J$10001,0)),"")</f>
        <v/>
      </c>
    </row>
    <row r="3855">
      <c r="A3855">
        <f>IFERROR(INDEX('Email Cleaner'!$B$2:$B$10001,MATCH(3854,'Email Cleaner'!$J$2:$J$10001,0)),"")</f>
        <v/>
      </c>
    </row>
    <row r="3856">
      <c r="A3856">
        <f>IFERROR(INDEX('Email Cleaner'!$B$2:$B$10001,MATCH(3855,'Email Cleaner'!$J$2:$J$10001,0)),"")</f>
        <v/>
      </c>
    </row>
    <row r="3857">
      <c r="A3857">
        <f>IFERROR(INDEX('Email Cleaner'!$B$2:$B$10001,MATCH(3856,'Email Cleaner'!$J$2:$J$10001,0)),"")</f>
        <v/>
      </c>
    </row>
    <row r="3858">
      <c r="A3858">
        <f>IFERROR(INDEX('Email Cleaner'!$B$2:$B$10001,MATCH(3857,'Email Cleaner'!$J$2:$J$10001,0)),"")</f>
        <v/>
      </c>
    </row>
    <row r="3859">
      <c r="A3859">
        <f>IFERROR(INDEX('Email Cleaner'!$B$2:$B$10001,MATCH(3858,'Email Cleaner'!$J$2:$J$10001,0)),"")</f>
        <v/>
      </c>
    </row>
    <row r="3860">
      <c r="A3860">
        <f>IFERROR(INDEX('Email Cleaner'!$B$2:$B$10001,MATCH(3859,'Email Cleaner'!$J$2:$J$10001,0)),"")</f>
        <v/>
      </c>
    </row>
    <row r="3861">
      <c r="A3861">
        <f>IFERROR(INDEX('Email Cleaner'!$B$2:$B$10001,MATCH(3860,'Email Cleaner'!$J$2:$J$10001,0)),"")</f>
        <v/>
      </c>
    </row>
    <row r="3862">
      <c r="A3862">
        <f>IFERROR(INDEX('Email Cleaner'!$B$2:$B$10001,MATCH(3861,'Email Cleaner'!$J$2:$J$10001,0)),"")</f>
        <v/>
      </c>
    </row>
    <row r="3863">
      <c r="A3863">
        <f>IFERROR(INDEX('Email Cleaner'!$B$2:$B$10001,MATCH(3862,'Email Cleaner'!$J$2:$J$10001,0)),"")</f>
        <v/>
      </c>
    </row>
    <row r="3864">
      <c r="A3864">
        <f>IFERROR(INDEX('Email Cleaner'!$B$2:$B$10001,MATCH(3863,'Email Cleaner'!$J$2:$J$10001,0)),"")</f>
        <v/>
      </c>
    </row>
    <row r="3865">
      <c r="A3865">
        <f>IFERROR(INDEX('Email Cleaner'!$B$2:$B$10001,MATCH(3864,'Email Cleaner'!$J$2:$J$10001,0)),"")</f>
        <v/>
      </c>
    </row>
    <row r="3866">
      <c r="A3866">
        <f>IFERROR(INDEX('Email Cleaner'!$B$2:$B$10001,MATCH(3865,'Email Cleaner'!$J$2:$J$10001,0)),"")</f>
        <v/>
      </c>
    </row>
    <row r="3867">
      <c r="A3867">
        <f>IFERROR(INDEX('Email Cleaner'!$B$2:$B$10001,MATCH(3866,'Email Cleaner'!$J$2:$J$10001,0)),"")</f>
        <v/>
      </c>
    </row>
    <row r="3868">
      <c r="A3868">
        <f>IFERROR(INDEX('Email Cleaner'!$B$2:$B$10001,MATCH(3867,'Email Cleaner'!$J$2:$J$10001,0)),"")</f>
        <v/>
      </c>
    </row>
    <row r="3869">
      <c r="A3869">
        <f>IFERROR(INDEX('Email Cleaner'!$B$2:$B$10001,MATCH(3868,'Email Cleaner'!$J$2:$J$10001,0)),"")</f>
        <v/>
      </c>
    </row>
    <row r="3870">
      <c r="A3870">
        <f>IFERROR(INDEX('Email Cleaner'!$B$2:$B$10001,MATCH(3869,'Email Cleaner'!$J$2:$J$10001,0)),"")</f>
        <v/>
      </c>
    </row>
    <row r="3871">
      <c r="A3871">
        <f>IFERROR(INDEX('Email Cleaner'!$B$2:$B$10001,MATCH(3870,'Email Cleaner'!$J$2:$J$10001,0)),"")</f>
        <v/>
      </c>
    </row>
    <row r="3872">
      <c r="A3872">
        <f>IFERROR(INDEX('Email Cleaner'!$B$2:$B$10001,MATCH(3871,'Email Cleaner'!$J$2:$J$10001,0)),"")</f>
        <v/>
      </c>
    </row>
    <row r="3873">
      <c r="A3873">
        <f>IFERROR(INDEX('Email Cleaner'!$B$2:$B$10001,MATCH(3872,'Email Cleaner'!$J$2:$J$10001,0)),"")</f>
        <v/>
      </c>
    </row>
    <row r="3874">
      <c r="A3874">
        <f>IFERROR(INDEX('Email Cleaner'!$B$2:$B$10001,MATCH(3873,'Email Cleaner'!$J$2:$J$10001,0)),"")</f>
        <v/>
      </c>
    </row>
    <row r="3875">
      <c r="A3875">
        <f>IFERROR(INDEX('Email Cleaner'!$B$2:$B$10001,MATCH(3874,'Email Cleaner'!$J$2:$J$10001,0)),"")</f>
        <v/>
      </c>
    </row>
    <row r="3876">
      <c r="A3876">
        <f>IFERROR(INDEX('Email Cleaner'!$B$2:$B$10001,MATCH(3875,'Email Cleaner'!$J$2:$J$10001,0)),"")</f>
        <v/>
      </c>
    </row>
    <row r="3877">
      <c r="A3877">
        <f>IFERROR(INDEX('Email Cleaner'!$B$2:$B$10001,MATCH(3876,'Email Cleaner'!$J$2:$J$10001,0)),"")</f>
        <v/>
      </c>
    </row>
    <row r="3878">
      <c r="A3878">
        <f>IFERROR(INDEX('Email Cleaner'!$B$2:$B$10001,MATCH(3877,'Email Cleaner'!$J$2:$J$10001,0)),"")</f>
        <v/>
      </c>
    </row>
    <row r="3879">
      <c r="A3879">
        <f>IFERROR(INDEX('Email Cleaner'!$B$2:$B$10001,MATCH(3878,'Email Cleaner'!$J$2:$J$10001,0)),"")</f>
        <v/>
      </c>
    </row>
    <row r="3880">
      <c r="A3880">
        <f>IFERROR(INDEX('Email Cleaner'!$B$2:$B$10001,MATCH(3879,'Email Cleaner'!$J$2:$J$10001,0)),"")</f>
        <v/>
      </c>
    </row>
    <row r="3881">
      <c r="A3881">
        <f>IFERROR(INDEX('Email Cleaner'!$B$2:$B$10001,MATCH(3880,'Email Cleaner'!$J$2:$J$10001,0)),"")</f>
        <v/>
      </c>
    </row>
    <row r="3882">
      <c r="A3882">
        <f>IFERROR(INDEX('Email Cleaner'!$B$2:$B$10001,MATCH(3881,'Email Cleaner'!$J$2:$J$10001,0)),"")</f>
        <v/>
      </c>
    </row>
    <row r="3883">
      <c r="A3883">
        <f>IFERROR(INDEX('Email Cleaner'!$B$2:$B$10001,MATCH(3882,'Email Cleaner'!$J$2:$J$10001,0)),"")</f>
        <v/>
      </c>
    </row>
    <row r="3884">
      <c r="A3884">
        <f>IFERROR(INDEX('Email Cleaner'!$B$2:$B$10001,MATCH(3883,'Email Cleaner'!$J$2:$J$10001,0)),"")</f>
        <v/>
      </c>
    </row>
    <row r="3885">
      <c r="A3885">
        <f>IFERROR(INDEX('Email Cleaner'!$B$2:$B$10001,MATCH(3884,'Email Cleaner'!$J$2:$J$10001,0)),"")</f>
        <v/>
      </c>
    </row>
    <row r="3886">
      <c r="A3886">
        <f>IFERROR(INDEX('Email Cleaner'!$B$2:$B$10001,MATCH(3885,'Email Cleaner'!$J$2:$J$10001,0)),"")</f>
        <v/>
      </c>
    </row>
    <row r="3887">
      <c r="A3887">
        <f>IFERROR(INDEX('Email Cleaner'!$B$2:$B$10001,MATCH(3886,'Email Cleaner'!$J$2:$J$10001,0)),"")</f>
        <v/>
      </c>
    </row>
    <row r="3888">
      <c r="A3888">
        <f>IFERROR(INDEX('Email Cleaner'!$B$2:$B$10001,MATCH(3887,'Email Cleaner'!$J$2:$J$10001,0)),"")</f>
        <v/>
      </c>
    </row>
    <row r="3889">
      <c r="A3889">
        <f>IFERROR(INDEX('Email Cleaner'!$B$2:$B$10001,MATCH(3888,'Email Cleaner'!$J$2:$J$10001,0)),"")</f>
        <v/>
      </c>
    </row>
    <row r="3890">
      <c r="A3890">
        <f>IFERROR(INDEX('Email Cleaner'!$B$2:$B$10001,MATCH(3889,'Email Cleaner'!$J$2:$J$10001,0)),"")</f>
        <v/>
      </c>
    </row>
    <row r="3891">
      <c r="A3891">
        <f>IFERROR(INDEX('Email Cleaner'!$B$2:$B$10001,MATCH(3890,'Email Cleaner'!$J$2:$J$10001,0)),"")</f>
        <v/>
      </c>
    </row>
    <row r="3892">
      <c r="A3892">
        <f>IFERROR(INDEX('Email Cleaner'!$B$2:$B$10001,MATCH(3891,'Email Cleaner'!$J$2:$J$10001,0)),"")</f>
        <v/>
      </c>
    </row>
    <row r="3893">
      <c r="A3893">
        <f>IFERROR(INDEX('Email Cleaner'!$B$2:$B$10001,MATCH(3892,'Email Cleaner'!$J$2:$J$10001,0)),"")</f>
        <v/>
      </c>
    </row>
    <row r="3894">
      <c r="A3894">
        <f>IFERROR(INDEX('Email Cleaner'!$B$2:$B$10001,MATCH(3893,'Email Cleaner'!$J$2:$J$10001,0)),"")</f>
        <v/>
      </c>
    </row>
    <row r="3895">
      <c r="A3895">
        <f>IFERROR(INDEX('Email Cleaner'!$B$2:$B$10001,MATCH(3894,'Email Cleaner'!$J$2:$J$10001,0)),"")</f>
        <v/>
      </c>
    </row>
    <row r="3896">
      <c r="A3896">
        <f>IFERROR(INDEX('Email Cleaner'!$B$2:$B$10001,MATCH(3895,'Email Cleaner'!$J$2:$J$10001,0)),"")</f>
        <v/>
      </c>
    </row>
    <row r="3897">
      <c r="A3897">
        <f>IFERROR(INDEX('Email Cleaner'!$B$2:$B$10001,MATCH(3896,'Email Cleaner'!$J$2:$J$10001,0)),"")</f>
        <v/>
      </c>
    </row>
    <row r="3898">
      <c r="A3898">
        <f>IFERROR(INDEX('Email Cleaner'!$B$2:$B$10001,MATCH(3897,'Email Cleaner'!$J$2:$J$10001,0)),"")</f>
        <v/>
      </c>
    </row>
    <row r="3899">
      <c r="A3899">
        <f>IFERROR(INDEX('Email Cleaner'!$B$2:$B$10001,MATCH(3898,'Email Cleaner'!$J$2:$J$10001,0)),"")</f>
        <v/>
      </c>
    </row>
    <row r="3900">
      <c r="A3900">
        <f>IFERROR(INDEX('Email Cleaner'!$B$2:$B$10001,MATCH(3899,'Email Cleaner'!$J$2:$J$10001,0)),"")</f>
        <v/>
      </c>
    </row>
    <row r="3901">
      <c r="A3901">
        <f>IFERROR(INDEX('Email Cleaner'!$B$2:$B$10001,MATCH(3900,'Email Cleaner'!$J$2:$J$10001,0)),"")</f>
        <v/>
      </c>
    </row>
    <row r="3902">
      <c r="A3902">
        <f>IFERROR(INDEX('Email Cleaner'!$B$2:$B$10001,MATCH(3901,'Email Cleaner'!$J$2:$J$10001,0)),"")</f>
        <v/>
      </c>
    </row>
    <row r="3903">
      <c r="A3903">
        <f>IFERROR(INDEX('Email Cleaner'!$B$2:$B$10001,MATCH(3902,'Email Cleaner'!$J$2:$J$10001,0)),"")</f>
        <v/>
      </c>
    </row>
    <row r="3904">
      <c r="A3904">
        <f>IFERROR(INDEX('Email Cleaner'!$B$2:$B$10001,MATCH(3903,'Email Cleaner'!$J$2:$J$10001,0)),"")</f>
        <v/>
      </c>
    </row>
    <row r="3905">
      <c r="A3905">
        <f>IFERROR(INDEX('Email Cleaner'!$B$2:$B$10001,MATCH(3904,'Email Cleaner'!$J$2:$J$10001,0)),"")</f>
        <v/>
      </c>
    </row>
    <row r="3906">
      <c r="A3906">
        <f>IFERROR(INDEX('Email Cleaner'!$B$2:$B$10001,MATCH(3905,'Email Cleaner'!$J$2:$J$10001,0)),"")</f>
        <v/>
      </c>
    </row>
    <row r="3907">
      <c r="A3907">
        <f>IFERROR(INDEX('Email Cleaner'!$B$2:$B$10001,MATCH(3906,'Email Cleaner'!$J$2:$J$10001,0)),"")</f>
        <v/>
      </c>
    </row>
    <row r="3908">
      <c r="A3908">
        <f>IFERROR(INDEX('Email Cleaner'!$B$2:$B$10001,MATCH(3907,'Email Cleaner'!$J$2:$J$10001,0)),"")</f>
        <v/>
      </c>
    </row>
    <row r="3909">
      <c r="A3909">
        <f>IFERROR(INDEX('Email Cleaner'!$B$2:$B$10001,MATCH(3908,'Email Cleaner'!$J$2:$J$10001,0)),"")</f>
        <v/>
      </c>
    </row>
    <row r="3910">
      <c r="A3910">
        <f>IFERROR(INDEX('Email Cleaner'!$B$2:$B$10001,MATCH(3909,'Email Cleaner'!$J$2:$J$10001,0)),"")</f>
        <v/>
      </c>
    </row>
    <row r="3911">
      <c r="A3911">
        <f>IFERROR(INDEX('Email Cleaner'!$B$2:$B$10001,MATCH(3910,'Email Cleaner'!$J$2:$J$10001,0)),"")</f>
        <v/>
      </c>
    </row>
    <row r="3912">
      <c r="A3912">
        <f>IFERROR(INDEX('Email Cleaner'!$B$2:$B$10001,MATCH(3911,'Email Cleaner'!$J$2:$J$10001,0)),"")</f>
        <v/>
      </c>
    </row>
    <row r="3913">
      <c r="A3913">
        <f>IFERROR(INDEX('Email Cleaner'!$B$2:$B$10001,MATCH(3912,'Email Cleaner'!$J$2:$J$10001,0)),"")</f>
        <v/>
      </c>
    </row>
    <row r="3914">
      <c r="A3914">
        <f>IFERROR(INDEX('Email Cleaner'!$B$2:$B$10001,MATCH(3913,'Email Cleaner'!$J$2:$J$10001,0)),"")</f>
        <v/>
      </c>
    </row>
    <row r="3915">
      <c r="A3915">
        <f>IFERROR(INDEX('Email Cleaner'!$B$2:$B$10001,MATCH(3914,'Email Cleaner'!$J$2:$J$10001,0)),"")</f>
        <v/>
      </c>
    </row>
    <row r="3916">
      <c r="A3916">
        <f>IFERROR(INDEX('Email Cleaner'!$B$2:$B$10001,MATCH(3915,'Email Cleaner'!$J$2:$J$10001,0)),"")</f>
        <v/>
      </c>
    </row>
    <row r="3917">
      <c r="A3917">
        <f>IFERROR(INDEX('Email Cleaner'!$B$2:$B$10001,MATCH(3916,'Email Cleaner'!$J$2:$J$10001,0)),"")</f>
        <v/>
      </c>
    </row>
    <row r="3918">
      <c r="A3918">
        <f>IFERROR(INDEX('Email Cleaner'!$B$2:$B$10001,MATCH(3917,'Email Cleaner'!$J$2:$J$10001,0)),"")</f>
        <v/>
      </c>
    </row>
    <row r="3919">
      <c r="A3919">
        <f>IFERROR(INDEX('Email Cleaner'!$B$2:$B$10001,MATCH(3918,'Email Cleaner'!$J$2:$J$10001,0)),"")</f>
        <v/>
      </c>
    </row>
    <row r="3920">
      <c r="A3920">
        <f>IFERROR(INDEX('Email Cleaner'!$B$2:$B$10001,MATCH(3919,'Email Cleaner'!$J$2:$J$10001,0)),"")</f>
        <v/>
      </c>
    </row>
    <row r="3921">
      <c r="A3921">
        <f>IFERROR(INDEX('Email Cleaner'!$B$2:$B$10001,MATCH(3920,'Email Cleaner'!$J$2:$J$10001,0)),"")</f>
        <v/>
      </c>
    </row>
    <row r="3922">
      <c r="A3922">
        <f>IFERROR(INDEX('Email Cleaner'!$B$2:$B$10001,MATCH(3921,'Email Cleaner'!$J$2:$J$10001,0)),"")</f>
        <v/>
      </c>
    </row>
    <row r="3923">
      <c r="A3923">
        <f>IFERROR(INDEX('Email Cleaner'!$B$2:$B$10001,MATCH(3922,'Email Cleaner'!$J$2:$J$10001,0)),"")</f>
        <v/>
      </c>
    </row>
    <row r="3924">
      <c r="A3924">
        <f>IFERROR(INDEX('Email Cleaner'!$B$2:$B$10001,MATCH(3923,'Email Cleaner'!$J$2:$J$10001,0)),"")</f>
        <v/>
      </c>
    </row>
    <row r="3925">
      <c r="A3925">
        <f>IFERROR(INDEX('Email Cleaner'!$B$2:$B$10001,MATCH(3924,'Email Cleaner'!$J$2:$J$10001,0)),"")</f>
        <v/>
      </c>
    </row>
    <row r="3926">
      <c r="A3926">
        <f>IFERROR(INDEX('Email Cleaner'!$B$2:$B$10001,MATCH(3925,'Email Cleaner'!$J$2:$J$10001,0)),"")</f>
        <v/>
      </c>
    </row>
    <row r="3927">
      <c r="A3927">
        <f>IFERROR(INDEX('Email Cleaner'!$B$2:$B$10001,MATCH(3926,'Email Cleaner'!$J$2:$J$10001,0)),"")</f>
        <v/>
      </c>
    </row>
    <row r="3928">
      <c r="A3928">
        <f>IFERROR(INDEX('Email Cleaner'!$B$2:$B$10001,MATCH(3927,'Email Cleaner'!$J$2:$J$10001,0)),"")</f>
        <v/>
      </c>
    </row>
    <row r="3929">
      <c r="A3929">
        <f>IFERROR(INDEX('Email Cleaner'!$B$2:$B$10001,MATCH(3928,'Email Cleaner'!$J$2:$J$10001,0)),"")</f>
        <v/>
      </c>
    </row>
    <row r="3930">
      <c r="A3930">
        <f>IFERROR(INDEX('Email Cleaner'!$B$2:$B$10001,MATCH(3929,'Email Cleaner'!$J$2:$J$10001,0)),"")</f>
        <v/>
      </c>
    </row>
    <row r="3931">
      <c r="A3931">
        <f>IFERROR(INDEX('Email Cleaner'!$B$2:$B$10001,MATCH(3930,'Email Cleaner'!$J$2:$J$10001,0)),"")</f>
        <v/>
      </c>
    </row>
    <row r="3932">
      <c r="A3932">
        <f>IFERROR(INDEX('Email Cleaner'!$B$2:$B$10001,MATCH(3931,'Email Cleaner'!$J$2:$J$10001,0)),"")</f>
        <v/>
      </c>
    </row>
    <row r="3933">
      <c r="A3933">
        <f>IFERROR(INDEX('Email Cleaner'!$B$2:$B$10001,MATCH(3932,'Email Cleaner'!$J$2:$J$10001,0)),"")</f>
        <v/>
      </c>
    </row>
    <row r="3934">
      <c r="A3934">
        <f>IFERROR(INDEX('Email Cleaner'!$B$2:$B$10001,MATCH(3933,'Email Cleaner'!$J$2:$J$10001,0)),"")</f>
        <v/>
      </c>
    </row>
    <row r="3935">
      <c r="A3935">
        <f>IFERROR(INDEX('Email Cleaner'!$B$2:$B$10001,MATCH(3934,'Email Cleaner'!$J$2:$J$10001,0)),"")</f>
        <v/>
      </c>
    </row>
    <row r="3936">
      <c r="A3936">
        <f>IFERROR(INDEX('Email Cleaner'!$B$2:$B$10001,MATCH(3935,'Email Cleaner'!$J$2:$J$10001,0)),"")</f>
        <v/>
      </c>
    </row>
    <row r="3937">
      <c r="A3937">
        <f>IFERROR(INDEX('Email Cleaner'!$B$2:$B$10001,MATCH(3936,'Email Cleaner'!$J$2:$J$10001,0)),"")</f>
        <v/>
      </c>
    </row>
    <row r="3938">
      <c r="A3938">
        <f>IFERROR(INDEX('Email Cleaner'!$B$2:$B$10001,MATCH(3937,'Email Cleaner'!$J$2:$J$10001,0)),"")</f>
        <v/>
      </c>
    </row>
    <row r="3939">
      <c r="A3939">
        <f>IFERROR(INDEX('Email Cleaner'!$B$2:$B$10001,MATCH(3938,'Email Cleaner'!$J$2:$J$10001,0)),"")</f>
        <v/>
      </c>
    </row>
    <row r="3940">
      <c r="A3940">
        <f>IFERROR(INDEX('Email Cleaner'!$B$2:$B$10001,MATCH(3939,'Email Cleaner'!$J$2:$J$10001,0)),"")</f>
        <v/>
      </c>
    </row>
    <row r="3941">
      <c r="A3941">
        <f>IFERROR(INDEX('Email Cleaner'!$B$2:$B$10001,MATCH(3940,'Email Cleaner'!$J$2:$J$10001,0)),"")</f>
        <v/>
      </c>
    </row>
    <row r="3942">
      <c r="A3942">
        <f>IFERROR(INDEX('Email Cleaner'!$B$2:$B$10001,MATCH(3941,'Email Cleaner'!$J$2:$J$10001,0)),"")</f>
        <v/>
      </c>
    </row>
    <row r="3943">
      <c r="A3943">
        <f>IFERROR(INDEX('Email Cleaner'!$B$2:$B$10001,MATCH(3942,'Email Cleaner'!$J$2:$J$10001,0)),"")</f>
        <v/>
      </c>
    </row>
    <row r="3944">
      <c r="A3944">
        <f>IFERROR(INDEX('Email Cleaner'!$B$2:$B$10001,MATCH(3943,'Email Cleaner'!$J$2:$J$10001,0)),"")</f>
        <v/>
      </c>
    </row>
    <row r="3945">
      <c r="A3945">
        <f>IFERROR(INDEX('Email Cleaner'!$B$2:$B$10001,MATCH(3944,'Email Cleaner'!$J$2:$J$10001,0)),"")</f>
        <v/>
      </c>
    </row>
    <row r="3946">
      <c r="A3946">
        <f>IFERROR(INDEX('Email Cleaner'!$B$2:$B$10001,MATCH(3945,'Email Cleaner'!$J$2:$J$10001,0)),"")</f>
        <v/>
      </c>
    </row>
    <row r="3947">
      <c r="A3947">
        <f>IFERROR(INDEX('Email Cleaner'!$B$2:$B$10001,MATCH(3946,'Email Cleaner'!$J$2:$J$10001,0)),"")</f>
        <v/>
      </c>
    </row>
    <row r="3948">
      <c r="A3948">
        <f>IFERROR(INDEX('Email Cleaner'!$B$2:$B$10001,MATCH(3947,'Email Cleaner'!$J$2:$J$10001,0)),"")</f>
        <v/>
      </c>
    </row>
    <row r="3949">
      <c r="A3949">
        <f>IFERROR(INDEX('Email Cleaner'!$B$2:$B$10001,MATCH(3948,'Email Cleaner'!$J$2:$J$10001,0)),"")</f>
        <v/>
      </c>
    </row>
    <row r="3950">
      <c r="A3950">
        <f>IFERROR(INDEX('Email Cleaner'!$B$2:$B$10001,MATCH(3949,'Email Cleaner'!$J$2:$J$10001,0)),"")</f>
        <v/>
      </c>
    </row>
    <row r="3951">
      <c r="A3951">
        <f>IFERROR(INDEX('Email Cleaner'!$B$2:$B$10001,MATCH(3950,'Email Cleaner'!$J$2:$J$10001,0)),"")</f>
        <v/>
      </c>
    </row>
    <row r="3952">
      <c r="A3952">
        <f>IFERROR(INDEX('Email Cleaner'!$B$2:$B$10001,MATCH(3951,'Email Cleaner'!$J$2:$J$10001,0)),"")</f>
        <v/>
      </c>
    </row>
    <row r="3953">
      <c r="A3953">
        <f>IFERROR(INDEX('Email Cleaner'!$B$2:$B$10001,MATCH(3952,'Email Cleaner'!$J$2:$J$10001,0)),"")</f>
        <v/>
      </c>
    </row>
    <row r="3954">
      <c r="A3954">
        <f>IFERROR(INDEX('Email Cleaner'!$B$2:$B$10001,MATCH(3953,'Email Cleaner'!$J$2:$J$10001,0)),"")</f>
        <v/>
      </c>
    </row>
    <row r="3955">
      <c r="A3955">
        <f>IFERROR(INDEX('Email Cleaner'!$B$2:$B$10001,MATCH(3954,'Email Cleaner'!$J$2:$J$10001,0)),"")</f>
        <v/>
      </c>
    </row>
    <row r="3956">
      <c r="A3956">
        <f>IFERROR(INDEX('Email Cleaner'!$B$2:$B$10001,MATCH(3955,'Email Cleaner'!$J$2:$J$10001,0)),"")</f>
        <v/>
      </c>
    </row>
    <row r="3957">
      <c r="A3957">
        <f>IFERROR(INDEX('Email Cleaner'!$B$2:$B$10001,MATCH(3956,'Email Cleaner'!$J$2:$J$10001,0)),"")</f>
        <v/>
      </c>
    </row>
    <row r="3958">
      <c r="A3958">
        <f>IFERROR(INDEX('Email Cleaner'!$B$2:$B$10001,MATCH(3957,'Email Cleaner'!$J$2:$J$10001,0)),"")</f>
        <v/>
      </c>
    </row>
    <row r="3959">
      <c r="A3959">
        <f>IFERROR(INDEX('Email Cleaner'!$B$2:$B$10001,MATCH(3958,'Email Cleaner'!$J$2:$J$10001,0)),"")</f>
        <v/>
      </c>
    </row>
    <row r="3960">
      <c r="A3960">
        <f>IFERROR(INDEX('Email Cleaner'!$B$2:$B$10001,MATCH(3959,'Email Cleaner'!$J$2:$J$10001,0)),"")</f>
        <v/>
      </c>
    </row>
    <row r="3961">
      <c r="A3961">
        <f>IFERROR(INDEX('Email Cleaner'!$B$2:$B$10001,MATCH(3960,'Email Cleaner'!$J$2:$J$10001,0)),"")</f>
        <v/>
      </c>
    </row>
    <row r="3962">
      <c r="A3962">
        <f>IFERROR(INDEX('Email Cleaner'!$B$2:$B$10001,MATCH(3961,'Email Cleaner'!$J$2:$J$10001,0)),"")</f>
        <v/>
      </c>
    </row>
    <row r="3963">
      <c r="A3963">
        <f>IFERROR(INDEX('Email Cleaner'!$B$2:$B$10001,MATCH(3962,'Email Cleaner'!$J$2:$J$10001,0)),"")</f>
        <v/>
      </c>
    </row>
    <row r="3964">
      <c r="A3964">
        <f>IFERROR(INDEX('Email Cleaner'!$B$2:$B$10001,MATCH(3963,'Email Cleaner'!$J$2:$J$10001,0)),"")</f>
        <v/>
      </c>
    </row>
    <row r="3965">
      <c r="A3965">
        <f>IFERROR(INDEX('Email Cleaner'!$B$2:$B$10001,MATCH(3964,'Email Cleaner'!$J$2:$J$10001,0)),"")</f>
        <v/>
      </c>
    </row>
    <row r="3966">
      <c r="A3966">
        <f>IFERROR(INDEX('Email Cleaner'!$B$2:$B$10001,MATCH(3965,'Email Cleaner'!$J$2:$J$10001,0)),"")</f>
        <v/>
      </c>
    </row>
    <row r="3967">
      <c r="A3967">
        <f>IFERROR(INDEX('Email Cleaner'!$B$2:$B$10001,MATCH(3966,'Email Cleaner'!$J$2:$J$10001,0)),"")</f>
        <v/>
      </c>
    </row>
    <row r="3968">
      <c r="A3968">
        <f>IFERROR(INDEX('Email Cleaner'!$B$2:$B$10001,MATCH(3967,'Email Cleaner'!$J$2:$J$10001,0)),"")</f>
        <v/>
      </c>
    </row>
    <row r="3969">
      <c r="A3969">
        <f>IFERROR(INDEX('Email Cleaner'!$B$2:$B$10001,MATCH(3968,'Email Cleaner'!$J$2:$J$10001,0)),"")</f>
        <v/>
      </c>
    </row>
    <row r="3970">
      <c r="A3970">
        <f>IFERROR(INDEX('Email Cleaner'!$B$2:$B$10001,MATCH(3969,'Email Cleaner'!$J$2:$J$10001,0)),"")</f>
        <v/>
      </c>
    </row>
    <row r="3971">
      <c r="A3971">
        <f>IFERROR(INDEX('Email Cleaner'!$B$2:$B$10001,MATCH(3970,'Email Cleaner'!$J$2:$J$10001,0)),"")</f>
        <v/>
      </c>
    </row>
    <row r="3972">
      <c r="A3972">
        <f>IFERROR(INDEX('Email Cleaner'!$B$2:$B$10001,MATCH(3971,'Email Cleaner'!$J$2:$J$10001,0)),"")</f>
        <v/>
      </c>
    </row>
    <row r="3973">
      <c r="A3973">
        <f>IFERROR(INDEX('Email Cleaner'!$B$2:$B$10001,MATCH(3972,'Email Cleaner'!$J$2:$J$10001,0)),"")</f>
        <v/>
      </c>
    </row>
    <row r="3974">
      <c r="A3974">
        <f>IFERROR(INDEX('Email Cleaner'!$B$2:$B$10001,MATCH(3973,'Email Cleaner'!$J$2:$J$10001,0)),"")</f>
        <v/>
      </c>
    </row>
    <row r="3975">
      <c r="A3975">
        <f>IFERROR(INDEX('Email Cleaner'!$B$2:$B$10001,MATCH(3974,'Email Cleaner'!$J$2:$J$10001,0)),"")</f>
        <v/>
      </c>
    </row>
    <row r="3976">
      <c r="A3976">
        <f>IFERROR(INDEX('Email Cleaner'!$B$2:$B$10001,MATCH(3975,'Email Cleaner'!$J$2:$J$10001,0)),"")</f>
        <v/>
      </c>
    </row>
    <row r="3977">
      <c r="A3977">
        <f>IFERROR(INDEX('Email Cleaner'!$B$2:$B$10001,MATCH(3976,'Email Cleaner'!$J$2:$J$10001,0)),"")</f>
        <v/>
      </c>
    </row>
    <row r="3978">
      <c r="A3978">
        <f>IFERROR(INDEX('Email Cleaner'!$B$2:$B$10001,MATCH(3977,'Email Cleaner'!$J$2:$J$10001,0)),"")</f>
        <v/>
      </c>
    </row>
    <row r="3979">
      <c r="A3979">
        <f>IFERROR(INDEX('Email Cleaner'!$B$2:$B$10001,MATCH(3978,'Email Cleaner'!$J$2:$J$10001,0)),"")</f>
        <v/>
      </c>
    </row>
    <row r="3980">
      <c r="A3980">
        <f>IFERROR(INDEX('Email Cleaner'!$B$2:$B$10001,MATCH(3979,'Email Cleaner'!$J$2:$J$10001,0)),"")</f>
        <v/>
      </c>
    </row>
    <row r="3981">
      <c r="A3981">
        <f>IFERROR(INDEX('Email Cleaner'!$B$2:$B$10001,MATCH(3980,'Email Cleaner'!$J$2:$J$10001,0)),"")</f>
        <v/>
      </c>
    </row>
    <row r="3982">
      <c r="A3982">
        <f>IFERROR(INDEX('Email Cleaner'!$B$2:$B$10001,MATCH(3981,'Email Cleaner'!$J$2:$J$10001,0)),"")</f>
        <v/>
      </c>
    </row>
    <row r="3983">
      <c r="A3983">
        <f>IFERROR(INDEX('Email Cleaner'!$B$2:$B$10001,MATCH(3982,'Email Cleaner'!$J$2:$J$10001,0)),"")</f>
        <v/>
      </c>
    </row>
    <row r="3984">
      <c r="A3984">
        <f>IFERROR(INDEX('Email Cleaner'!$B$2:$B$10001,MATCH(3983,'Email Cleaner'!$J$2:$J$10001,0)),"")</f>
        <v/>
      </c>
    </row>
    <row r="3985">
      <c r="A3985">
        <f>IFERROR(INDEX('Email Cleaner'!$B$2:$B$10001,MATCH(3984,'Email Cleaner'!$J$2:$J$10001,0)),"")</f>
        <v/>
      </c>
    </row>
    <row r="3986">
      <c r="A3986">
        <f>IFERROR(INDEX('Email Cleaner'!$B$2:$B$10001,MATCH(3985,'Email Cleaner'!$J$2:$J$10001,0)),"")</f>
        <v/>
      </c>
    </row>
    <row r="3987">
      <c r="A3987">
        <f>IFERROR(INDEX('Email Cleaner'!$B$2:$B$10001,MATCH(3986,'Email Cleaner'!$J$2:$J$10001,0)),"")</f>
        <v/>
      </c>
    </row>
    <row r="3988">
      <c r="A3988">
        <f>IFERROR(INDEX('Email Cleaner'!$B$2:$B$10001,MATCH(3987,'Email Cleaner'!$J$2:$J$10001,0)),"")</f>
        <v/>
      </c>
    </row>
    <row r="3989">
      <c r="A3989">
        <f>IFERROR(INDEX('Email Cleaner'!$B$2:$B$10001,MATCH(3988,'Email Cleaner'!$J$2:$J$10001,0)),"")</f>
        <v/>
      </c>
    </row>
    <row r="3990">
      <c r="A3990">
        <f>IFERROR(INDEX('Email Cleaner'!$B$2:$B$10001,MATCH(3989,'Email Cleaner'!$J$2:$J$10001,0)),"")</f>
        <v/>
      </c>
    </row>
    <row r="3991">
      <c r="A3991">
        <f>IFERROR(INDEX('Email Cleaner'!$B$2:$B$10001,MATCH(3990,'Email Cleaner'!$J$2:$J$10001,0)),"")</f>
        <v/>
      </c>
    </row>
    <row r="3992">
      <c r="A3992">
        <f>IFERROR(INDEX('Email Cleaner'!$B$2:$B$10001,MATCH(3991,'Email Cleaner'!$J$2:$J$10001,0)),"")</f>
        <v/>
      </c>
    </row>
    <row r="3993">
      <c r="A3993">
        <f>IFERROR(INDEX('Email Cleaner'!$B$2:$B$10001,MATCH(3992,'Email Cleaner'!$J$2:$J$10001,0)),"")</f>
        <v/>
      </c>
    </row>
    <row r="3994">
      <c r="A3994">
        <f>IFERROR(INDEX('Email Cleaner'!$B$2:$B$10001,MATCH(3993,'Email Cleaner'!$J$2:$J$10001,0)),"")</f>
        <v/>
      </c>
    </row>
    <row r="3995">
      <c r="A3995">
        <f>IFERROR(INDEX('Email Cleaner'!$B$2:$B$10001,MATCH(3994,'Email Cleaner'!$J$2:$J$10001,0)),"")</f>
        <v/>
      </c>
    </row>
    <row r="3996">
      <c r="A3996">
        <f>IFERROR(INDEX('Email Cleaner'!$B$2:$B$10001,MATCH(3995,'Email Cleaner'!$J$2:$J$10001,0)),"")</f>
        <v/>
      </c>
    </row>
    <row r="3997">
      <c r="A3997">
        <f>IFERROR(INDEX('Email Cleaner'!$B$2:$B$10001,MATCH(3996,'Email Cleaner'!$J$2:$J$10001,0)),"")</f>
        <v/>
      </c>
    </row>
    <row r="3998">
      <c r="A3998">
        <f>IFERROR(INDEX('Email Cleaner'!$B$2:$B$10001,MATCH(3997,'Email Cleaner'!$J$2:$J$10001,0)),"")</f>
        <v/>
      </c>
    </row>
    <row r="3999">
      <c r="A3999">
        <f>IFERROR(INDEX('Email Cleaner'!$B$2:$B$10001,MATCH(3998,'Email Cleaner'!$J$2:$J$10001,0)),"")</f>
        <v/>
      </c>
    </row>
    <row r="4000">
      <c r="A4000">
        <f>IFERROR(INDEX('Email Cleaner'!$B$2:$B$10001,MATCH(3999,'Email Cleaner'!$J$2:$J$10001,0)),"")</f>
        <v/>
      </c>
    </row>
    <row r="4001">
      <c r="A4001">
        <f>IFERROR(INDEX('Email Cleaner'!$B$2:$B$10001,MATCH(4000,'Email Cleaner'!$J$2:$J$10001,0)),"")</f>
        <v/>
      </c>
    </row>
    <row r="4002">
      <c r="A4002">
        <f>IFERROR(INDEX('Email Cleaner'!$B$2:$B$10001,MATCH(4001,'Email Cleaner'!$J$2:$J$10001,0)),"")</f>
        <v/>
      </c>
    </row>
    <row r="4003">
      <c r="A4003">
        <f>IFERROR(INDEX('Email Cleaner'!$B$2:$B$10001,MATCH(4002,'Email Cleaner'!$J$2:$J$10001,0)),"")</f>
        <v/>
      </c>
    </row>
    <row r="4004">
      <c r="A4004">
        <f>IFERROR(INDEX('Email Cleaner'!$B$2:$B$10001,MATCH(4003,'Email Cleaner'!$J$2:$J$10001,0)),"")</f>
        <v/>
      </c>
    </row>
    <row r="4005">
      <c r="A4005">
        <f>IFERROR(INDEX('Email Cleaner'!$B$2:$B$10001,MATCH(4004,'Email Cleaner'!$J$2:$J$10001,0)),"")</f>
        <v/>
      </c>
    </row>
    <row r="4006">
      <c r="A4006">
        <f>IFERROR(INDEX('Email Cleaner'!$B$2:$B$10001,MATCH(4005,'Email Cleaner'!$J$2:$J$10001,0)),"")</f>
        <v/>
      </c>
    </row>
    <row r="4007">
      <c r="A4007">
        <f>IFERROR(INDEX('Email Cleaner'!$B$2:$B$10001,MATCH(4006,'Email Cleaner'!$J$2:$J$10001,0)),"")</f>
        <v/>
      </c>
    </row>
    <row r="4008">
      <c r="A4008">
        <f>IFERROR(INDEX('Email Cleaner'!$B$2:$B$10001,MATCH(4007,'Email Cleaner'!$J$2:$J$10001,0)),"")</f>
        <v/>
      </c>
    </row>
    <row r="4009">
      <c r="A4009">
        <f>IFERROR(INDEX('Email Cleaner'!$B$2:$B$10001,MATCH(4008,'Email Cleaner'!$J$2:$J$10001,0)),"")</f>
        <v/>
      </c>
    </row>
    <row r="4010">
      <c r="A4010">
        <f>IFERROR(INDEX('Email Cleaner'!$B$2:$B$10001,MATCH(4009,'Email Cleaner'!$J$2:$J$10001,0)),"")</f>
        <v/>
      </c>
    </row>
    <row r="4011">
      <c r="A4011">
        <f>IFERROR(INDEX('Email Cleaner'!$B$2:$B$10001,MATCH(4010,'Email Cleaner'!$J$2:$J$10001,0)),"")</f>
        <v/>
      </c>
    </row>
    <row r="4012">
      <c r="A4012">
        <f>IFERROR(INDEX('Email Cleaner'!$B$2:$B$10001,MATCH(4011,'Email Cleaner'!$J$2:$J$10001,0)),"")</f>
        <v/>
      </c>
    </row>
    <row r="4013">
      <c r="A4013">
        <f>IFERROR(INDEX('Email Cleaner'!$B$2:$B$10001,MATCH(4012,'Email Cleaner'!$J$2:$J$10001,0)),"")</f>
        <v/>
      </c>
    </row>
    <row r="4014">
      <c r="A4014">
        <f>IFERROR(INDEX('Email Cleaner'!$B$2:$B$10001,MATCH(4013,'Email Cleaner'!$J$2:$J$10001,0)),"")</f>
        <v/>
      </c>
    </row>
    <row r="4015">
      <c r="A4015">
        <f>IFERROR(INDEX('Email Cleaner'!$B$2:$B$10001,MATCH(4014,'Email Cleaner'!$J$2:$J$10001,0)),"")</f>
        <v/>
      </c>
    </row>
    <row r="4016">
      <c r="A4016">
        <f>IFERROR(INDEX('Email Cleaner'!$B$2:$B$10001,MATCH(4015,'Email Cleaner'!$J$2:$J$10001,0)),"")</f>
        <v/>
      </c>
    </row>
    <row r="4017">
      <c r="A4017">
        <f>IFERROR(INDEX('Email Cleaner'!$B$2:$B$10001,MATCH(4016,'Email Cleaner'!$J$2:$J$10001,0)),"")</f>
        <v/>
      </c>
    </row>
    <row r="4018">
      <c r="A4018">
        <f>IFERROR(INDEX('Email Cleaner'!$B$2:$B$10001,MATCH(4017,'Email Cleaner'!$J$2:$J$10001,0)),"")</f>
        <v/>
      </c>
    </row>
    <row r="4019">
      <c r="A4019">
        <f>IFERROR(INDEX('Email Cleaner'!$B$2:$B$10001,MATCH(4018,'Email Cleaner'!$J$2:$J$10001,0)),"")</f>
        <v/>
      </c>
    </row>
    <row r="4020">
      <c r="A4020">
        <f>IFERROR(INDEX('Email Cleaner'!$B$2:$B$10001,MATCH(4019,'Email Cleaner'!$J$2:$J$10001,0)),"")</f>
        <v/>
      </c>
    </row>
    <row r="4021">
      <c r="A4021">
        <f>IFERROR(INDEX('Email Cleaner'!$B$2:$B$10001,MATCH(4020,'Email Cleaner'!$J$2:$J$10001,0)),"")</f>
        <v/>
      </c>
    </row>
    <row r="4022">
      <c r="A4022">
        <f>IFERROR(INDEX('Email Cleaner'!$B$2:$B$10001,MATCH(4021,'Email Cleaner'!$J$2:$J$10001,0)),"")</f>
        <v/>
      </c>
    </row>
    <row r="4023">
      <c r="A4023">
        <f>IFERROR(INDEX('Email Cleaner'!$B$2:$B$10001,MATCH(4022,'Email Cleaner'!$J$2:$J$10001,0)),"")</f>
        <v/>
      </c>
    </row>
    <row r="4024">
      <c r="A4024">
        <f>IFERROR(INDEX('Email Cleaner'!$B$2:$B$10001,MATCH(4023,'Email Cleaner'!$J$2:$J$10001,0)),"")</f>
        <v/>
      </c>
    </row>
    <row r="4025">
      <c r="A4025">
        <f>IFERROR(INDEX('Email Cleaner'!$B$2:$B$10001,MATCH(4024,'Email Cleaner'!$J$2:$J$10001,0)),"")</f>
        <v/>
      </c>
    </row>
    <row r="4026">
      <c r="A4026">
        <f>IFERROR(INDEX('Email Cleaner'!$B$2:$B$10001,MATCH(4025,'Email Cleaner'!$J$2:$J$10001,0)),"")</f>
        <v/>
      </c>
    </row>
    <row r="4027">
      <c r="A4027">
        <f>IFERROR(INDEX('Email Cleaner'!$B$2:$B$10001,MATCH(4026,'Email Cleaner'!$J$2:$J$10001,0)),"")</f>
        <v/>
      </c>
    </row>
    <row r="4028">
      <c r="A4028">
        <f>IFERROR(INDEX('Email Cleaner'!$B$2:$B$10001,MATCH(4027,'Email Cleaner'!$J$2:$J$10001,0)),"")</f>
        <v/>
      </c>
    </row>
    <row r="4029">
      <c r="A4029">
        <f>IFERROR(INDEX('Email Cleaner'!$B$2:$B$10001,MATCH(4028,'Email Cleaner'!$J$2:$J$10001,0)),"")</f>
        <v/>
      </c>
    </row>
    <row r="4030">
      <c r="A4030">
        <f>IFERROR(INDEX('Email Cleaner'!$B$2:$B$10001,MATCH(4029,'Email Cleaner'!$J$2:$J$10001,0)),"")</f>
        <v/>
      </c>
    </row>
    <row r="4031">
      <c r="A4031">
        <f>IFERROR(INDEX('Email Cleaner'!$B$2:$B$10001,MATCH(4030,'Email Cleaner'!$J$2:$J$10001,0)),"")</f>
        <v/>
      </c>
    </row>
    <row r="4032">
      <c r="A4032">
        <f>IFERROR(INDEX('Email Cleaner'!$B$2:$B$10001,MATCH(4031,'Email Cleaner'!$J$2:$J$10001,0)),"")</f>
        <v/>
      </c>
    </row>
    <row r="4033">
      <c r="A4033">
        <f>IFERROR(INDEX('Email Cleaner'!$B$2:$B$10001,MATCH(4032,'Email Cleaner'!$J$2:$J$10001,0)),"")</f>
        <v/>
      </c>
    </row>
    <row r="4034">
      <c r="A4034">
        <f>IFERROR(INDEX('Email Cleaner'!$B$2:$B$10001,MATCH(4033,'Email Cleaner'!$J$2:$J$10001,0)),"")</f>
        <v/>
      </c>
    </row>
    <row r="4035">
      <c r="A4035">
        <f>IFERROR(INDEX('Email Cleaner'!$B$2:$B$10001,MATCH(4034,'Email Cleaner'!$J$2:$J$10001,0)),"")</f>
        <v/>
      </c>
    </row>
    <row r="4036">
      <c r="A4036">
        <f>IFERROR(INDEX('Email Cleaner'!$B$2:$B$10001,MATCH(4035,'Email Cleaner'!$J$2:$J$10001,0)),"")</f>
        <v/>
      </c>
    </row>
    <row r="4037">
      <c r="A4037">
        <f>IFERROR(INDEX('Email Cleaner'!$B$2:$B$10001,MATCH(4036,'Email Cleaner'!$J$2:$J$10001,0)),"")</f>
        <v/>
      </c>
    </row>
    <row r="4038">
      <c r="A4038">
        <f>IFERROR(INDEX('Email Cleaner'!$B$2:$B$10001,MATCH(4037,'Email Cleaner'!$J$2:$J$10001,0)),"")</f>
        <v/>
      </c>
    </row>
    <row r="4039">
      <c r="A4039">
        <f>IFERROR(INDEX('Email Cleaner'!$B$2:$B$10001,MATCH(4038,'Email Cleaner'!$J$2:$J$10001,0)),"")</f>
        <v/>
      </c>
    </row>
    <row r="4040">
      <c r="A4040">
        <f>IFERROR(INDEX('Email Cleaner'!$B$2:$B$10001,MATCH(4039,'Email Cleaner'!$J$2:$J$10001,0)),"")</f>
        <v/>
      </c>
    </row>
    <row r="4041">
      <c r="A4041">
        <f>IFERROR(INDEX('Email Cleaner'!$B$2:$B$10001,MATCH(4040,'Email Cleaner'!$J$2:$J$10001,0)),"")</f>
        <v/>
      </c>
    </row>
    <row r="4042">
      <c r="A4042">
        <f>IFERROR(INDEX('Email Cleaner'!$B$2:$B$10001,MATCH(4041,'Email Cleaner'!$J$2:$J$10001,0)),"")</f>
        <v/>
      </c>
    </row>
    <row r="4043">
      <c r="A4043">
        <f>IFERROR(INDEX('Email Cleaner'!$B$2:$B$10001,MATCH(4042,'Email Cleaner'!$J$2:$J$10001,0)),"")</f>
        <v/>
      </c>
    </row>
    <row r="4044">
      <c r="A4044">
        <f>IFERROR(INDEX('Email Cleaner'!$B$2:$B$10001,MATCH(4043,'Email Cleaner'!$J$2:$J$10001,0)),"")</f>
        <v/>
      </c>
    </row>
    <row r="4045">
      <c r="A4045">
        <f>IFERROR(INDEX('Email Cleaner'!$B$2:$B$10001,MATCH(4044,'Email Cleaner'!$J$2:$J$10001,0)),"")</f>
        <v/>
      </c>
    </row>
    <row r="4046">
      <c r="A4046">
        <f>IFERROR(INDEX('Email Cleaner'!$B$2:$B$10001,MATCH(4045,'Email Cleaner'!$J$2:$J$10001,0)),"")</f>
        <v/>
      </c>
    </row>
    <row r="4047">
      <c r="A4047">
        <f>IFERROR(INDEX('Email Cleaner'!$B$2:$B$10001,MATCH(4046,'Email Cleaner'!$J$2:$J$10001,0)),"")</f>
        <v/>
      </c>
    </row>
    <row r="4048">
      <c r="A4048">
        <f>IFERROR(INDEX('Email Cleaner'!$B$2:$B$10001,MATCH(4047,'Email Cleaner'!$J$2:$J$10001,0)),"")</f>
        <v/>
      </c>
    </row>
    <row r="4049">
      <c r="A4049">
        <f>IFERROR(INDEX('Email Cleaner'!$B$2:$B$10001,MATCH(4048,'Email Cleaner'!$J$2:$J$10001,0)),"")</f>
        <v/>
      </c>
    </row>
    <row r="4050">
      <c r="A4050">
        <f>IFERROR(INDEX('Email Cleaner'!$B$2:$B$10001,MATCH(4049,'Email Cleaner'!$J$2:$J$10001,0)),"")</f>
        <v/>
      </c>
    </row>
    <row r="4051">
      <c r="A4051">
        <f>IFERROR(INDEX('Email Cleaner'!$B$2:$B$10001,MATCH(4050,'Email Cleaner'!$J$2:$J$10001,0)),"")</f>
        <v/>
      </c>
    </row>
    <row r="4052">
      <c r="A4052">
        <f>IFERROR(INDEX('Email Cleaner'!$B$2:$B$10001,MATCH(4051,'Email Cleaner'!$J$2:$J$10001,0)),"")</f>
        <v/>
      </c>
    </row>
    <row r="4053">
      <c r="A4053">
        <f>IFERROR(INDEX('Email Cleaner'!$B$2:$B$10001,MATCH(4052,'Email Cleaner'!$J$2:$J$10001,0)),"")</f>
        <v/>
      </c>
    </row>
    <row r="4054">
      <c r="A4054">
        <f>IFERROR(INDEX('Email Cleaner'!$B$2:$B$10001,MATCH(4053,'Email Cleaner'!$J$2:$J$10001,0)),"")</f>
        <v/>
      </c>
    </row>
    <row r="4055">
      <c r="A4055">
        <f>IFERROR(INDEX('Email Cleaner'!$B$2:$B$10001,MATCH(4054,'Email Cleaner'!$J$2:$J$10001,0)),"")</f>
        <v/>
      </c>
    </row>
    <row r="4056">
      <c r="A4056">
        <f>IFERROR(INDEX('Email Cleaner'!$B$2:$B$10001,MATCH(4055,'Email Cleaner'!$J$2:$J$10001,0)),"")</f>
        <v/>
      </c>
    </row>
    <row r="4057">
      <c r="A4057">
        <f>IFERROR(INDEX('Email Cleaner'!$B$2:$B$10001,MATCH(4056,'Email Cleaner'!$J$2:$J$10001,0)),"")</f>
        <v/>
      </c>
    </row>
    <row r="4058">
      <c r="A4058">
        <f>IFERROR(INDEX('Email Cleaner'!$B$2:$B$10001,MATCH(4057,'Email Cleaner'!$J$2:$J$10001,0)),"")</f>
        <v/>
      </c>
    </row>
    <row r="4059">
      <c r="A4059">
        <f>IFERROR(INDEX('Email Cleaner'!$B$2:$B$10001,MATCH(4058,'Email Cleaner'!$J$2:$J$10001,0)),"")</f>
        <v/>
      </c>
    </row>
    <row r="4060">
      <c r="A4060">
        <f>IFERROR(INDEX('Email Cleaner'!$B$2:$B$10001,MATCH(4059,'Email Cleaner'!$J$2:$J$10001,0)),"")</f>
        <v/>
      </c>
    </row>
    <row r="4061">
      <c r="A4061">
        <f>IFERROR(INDEX('Email Cleaner'!$B$2:$B$10001,MATCH(4060,'Email Cleaner'!$J$2:$J$10001,0)),"")</f>
        <v/>
      </c>
    </row>
    <row r="4062">
      <c r="A4062">
        <f>IFERROR(INDEX('Email Cleaner'!$B$2:$B$10001,MATCH(4061,'Email Cleaner'!$J$2:$J$10001,0)),"")</f>
        <v/>
      </c>
    </row>
    <row r="4063">
      <c r="A4063">
        <f>IFERROR(INDEX('Email Cleaner'!$B$2:$B$10001,MATCH(4062,'Email Cleaner'!$J$2:$J$10001,0)),"")</f>
        <v/>
      </c>
    </row>
    <row r="4064">
      <c r="A4064">
        <f>IFERROR(INDEX('Email Cleaner'!$B$2:$B$10001,MATCH(4063,'Email Cleaner'!$J$2:$J$10001,0)),"")</f>
        <v/>
      </c>
    </row>
    <row r="4065">
      <c r="A4065">
        <f>IFERROR(INDEX('Email Cleaner'!$B$2:$B$10001,MATCH(4064,'Email Cleaner'!$J$2:$J$10001,0)),"")</f>
        <v/>
      </c>
    </row>
    <row r="4066">
      <c r="A4066">
        <f>IFERROR(INDEX('Email Cleaner'!$B$2:$B$10001,MATCH(4065,'Email Cleaner'!$J$2:$J$10001,0)),"")</f>
        <v/>
      </c>
    </row>
    <row r="4067">
      <c r="A4067">
        <f>IFERROR(INDEX('Email Cleaner'!$B$2:$B$10001,MATCH(4066,'Email Cleaner'!$J$2:$J$10001,0)),"")</f>
        <v/>
      </c>
    </row>
    <row r="4068">
      <c r="A4068">
        <f>IFERROR(INDEX('Email Cleaner'!$B$2:$B$10001,MATCH(4067,'Email Cleaner'!$J$2:$J$10001,0)),"")</f>
        <v/>
      </c>
    </row>
    <row r="4069">
      <c r="A4069">
        <f>IFERROR(INDEX('Email Cleaner'!$B$2:$B$10001,MATCH(4068,'Email Cleaner'!$J$2:$J$10001,0)),"")</f>
        <v/>
      </c>
    </row>
    <row r="4070">
      <c r="A4070">
        <f>IFERROR(INDEX('Email Cleaner'!$B$2:$B$10001,MATCH(4069,'Email Cleaner'!$J$2:$J$10001,0)),"")</f>
        <v/>
      </c>
    </row>
    <row r="4071">
      <c r="A4071">
        <f>IFERROR(INDEX('Email Cleaner'!$B$2:$B$10001,MATCH(4070,'Email Cleaner'!$J$2:$J$10001,0)),"")</f>
        <v/>
      </c>
    </row>
    <row r="4072">
      <c r="A4072">
        <f>IFERROR(INDEX('Email Cleaner'!$B$2:$B$10001,MATCH(4071,'Email Cleaner'!$J$2:$J$10001,0)),"")</f>
        <v/>
      </c>
    </row>
    <row r="4073">
      <c r="A4073">
        <f>IFERROR(INDEX('Email Cleaner'!$B$2:$B$10001,MATCH(4072,'Email Cleaner'!$J$2:$J$10001,0)),"")</f>
        <v/>
      </c>
    </row>
    <row r="4074">
      <c r="A4074">
        <f>IFERROR(INDEX('Email Cleaner'!$B$2:$B$10001,MATCH(4073,'Email Cleaner'!$J$2:$J$10001,0)),"")</f>
        <v/>
      </c>
    </row>
    <row r="4075">
      <c r="A4075">
        <f>IFERROR(INDEX('Email Cleaner'!$B$2:$B$10001,MATCH(4074,'Email Cleaner'!$J$2:$J$10001,0)),"")</f>
        <v/>
      </c>
    </row>
    <row r="4076">
      <c r="A4076">
        <f>IFERROR(INDEX('Email Cleaner'!$B$2:$B$10001,MATCH(4075,'Email Cleaner'!$J$2:$J$10001,0)),"")</f>
        <v/>
      </c>
    </row>
    <row r="4077">
      <c r="A4077">
        <f>IFERROR(INDEX('Email Cleaner'!$B$2:$B$10001,MATCH(4076,'Email Cleaner'!$J$2:$J$10001,0)),"")</f>
        <v/>
      </c>
    </row>
    <row r="4078">
      <c r="A4078">
        <f>IFERROR(INDEX('Email Cleaner'!$B$2:$B$10001,MATCH(4077,'Email Cleaner'!$J$2:$J$10001,0)),"")</f>
        <v/>
      </c>
    </row>
    <row r="4079">
      <c r="A4079">
        <f>IFERROR(INDEX('Email Cleaner'!$B$2:$B$10001,MATCH(4078,'Email Cleaner'!$J$2:$J$10001,0)),"")</f>
        <v/>
      </c>
    </row>
    <row r="4080">
      <c r="A4080">
        <f>IFERROR(INDEX('Email Cleaner'!$B$2:$B$10001,MATCH(4079,'Email Cleaner'!$J$2:$J$10001,0)),"")</f>
        <v/>
      </c>
    </row>
    <row r="4081">
      <c r="A4081">
        <f>IFERROR(INDEX('Email Cleaner'!$B$2:$B$10001,MATCH(4080,'Email Cleaner'!$J$2:$J$10001,0)),"")</f>
        <v/>
      </c>
    </row>
    <row r="4082">
      <c r="A4082">
        <f>IFERROR(INDEX('Email Cleaner'!$B$2:$B$10001,MATCH(4081,'Email Cleaner'!$J$2:$J$10001,0)),"")</f>
        <v/>
      </c>
    </row>
    <row r="4083">
      <c r="A4083">
        <f>IFERROR(INDEX('Email Cleaner'!$B$2:$B$10001,MATCH(4082,'Email Cleaner'!$J$2:$J$10001,0)),"")</f>
        <v/>
      </c>
    </row>
    <row r="4084">
      <c r="A4084">
        <f>IFERROR(INDEX('Email Cleaner'!$B$2:$B$10001,MATCH(4083,'Email Cleaner'!$J$2:$J$10001,0)),"")</f>
        <v/>
      </c>
    </row>
    <row r="4085">
      <c r="A4085">
        <f>IFERROR(INDEX('Email Cleaner'!$B$2:$B$10001,MATCH(4084,'Email Cleaner'!$J$2:$J$10001,0)),"")</f>
        <v/>
      </c>
    </row>
    <row r="4086">
      <c r="A4086">
        <f>IFERROR(INDEX('Email Cleaner'!$B$2:$B$10001,MATCH(4085,'Email Cleaner'!$J$2:$J$10001,0)),"")</f>
        <v/>
      </c>
    </row>
    <row r="4087">
      <c r="A4087">
        <f>IFERROR(INDEX('Email Cleaner'!$B$2:$B$10001,MATCH(4086,'Email Cleaner'!$J$2:$J$10001,0)),"")</f>
        <v/>
      </c>
    </row>
    <row r="4088">
      <c r="A4088">
        <f>IFERROR(INDEX('Email Cleaner'!$B$2:$B$10001,MATCH(4087,'Email Cleaner'!$J$2:$J$10001,0)),"")</f>
        <v/>
      </c>
    </row>
    <row r="4089">
      <c r="A4089">
        <f>IFERROR(INDEX('Email Cleaner'!$B$2:$B$10001,MATCH(4088,'Email Cleaner'!$J$2:$J$10001,0)),"")</f>
        <v/>
      </c>
    </row>
    <row r="4090">
      <c r="A4090">
        <f>IFERROR(INDEX('Email Cleaner'!$B$2:$B$10001,MATCH(4089,'Email Cleaner'!$J$2:$J$10001,0)),"")</f>
        <v/>
      </c>
    </row>
    <row r="4091">
      <c r="A4091">
        <f>IFERROR(INDEX('Email Cleaner'!$B$2:$B$10001,MATCH(4090,'Email Cleaner'!$J$2:$J$10001,0)),"")</f>
        <v/>
      </c>
    </row>
    <row r="4092">
      <c r="A4092">
        <f>IFERROR(INDEX('Email Cleaner'!$B$2:$B$10001,MATCH(4091,'Email Cleaner'!$J$2:$J$10001,0)),"")</f>
        <v/>
      </c>
    </row>
    <row r="4093">
      <c r="A4093">
        <f>IFERROR(INDEX('Email Cleaner'!$B$2:$B$10001,MATCH(4092,'Email Cleaner'!$J$2:$J$10001,0)),"")</f>
        <v/>
      </c>
    </row>
    <row r="4094">
      <c r="A4094">
        <f>IFERROR(INDEX('Email Cleaner'!$B$2:$B$10001,MATCH(4093,'Email Cleaner'!$J$2:$J$10001,0)),"")</f>
        <v/>
      </c>
    </row>
    <row r="4095">
      <c r="A4095">
        <f>IFERROR(INDEX('Email Cleaner'!$B$2:$B$10001,MATCH(4094,'Email Cleaner'!$J$2:$J$10001,0)),"")</f>
        <v/>
      </c>
    </row>
    <row r="4096">
      <c r="A4096">
        <f>IFERROR(INDEX('Email Cleaner'!$B$2:$B$10001,MATCH(4095,'Email Cleaner'!$J$2:$J$10001,0)),"")</f>
        <v/>
      </c>
    </row>
    <row r="4097">
      <c r="A4097">
        <f>IFERROR(INDEX('Email Cleaner'!$B$2:$B$10001,MATCH(4096,'Email Cleaner'!$J$2:$J$10001,0)),"")</f>
        <v/>
      </c>
    </row>
    <row r="4098">
      <c r="A4098">
        <f>IFERROR(INDEX('Email Cleaner'!$B$2:$B$10001,MATCH(4097,'Email Cleaner'!$J$2:$J$10001,0)),"")</f>
        <v/>
      </c>
    </row>
    <row r="4099">
      <c r="A4099">
        <f>IFERROR(INDEX('Email Cleaner'!$B$2:$B$10001,MATCH(4098,'Email Cleaner'!$J$2:$J$10001,0)),"")</f>
        <v/>
      </c>
    </row>
    <row r="4100">
      <c r="A4100">
        <f>IFERROR(INDEX('Email Cleaner'!$B$2:$B$10001,MATCH(4099,'Email Cleaner'!$J$2:$J$10001,0)),"")</f>
        <v/>
      </c>
    </row>
    <row r="4101">
      <c r="A4101">
        <f>IFERROR(INDEX('Email Cleaner'!$B$2:$B$10001,MATCH(4100,'Email Cleaner'!$J$2:$J$10001,0)),"")</f>
        <v/>
      </c>
    </row>
    <row r="4102">
      <c r="A4102">
        <f>IFERROR(INDEX('Email Cleaner'!$B$2:$B$10001,MATCH(4101,'Email Cleaner'!$J$2:$J$10001,0)),"")</f>
        <v/>
      </c>
    </row>
    <row r="4103">
      <c r="A4103">
        <f>IFERROR(INDEX('Email Cleaner'!$B$2:$B$10001,MATCH(4102,'Email Cleaner'!$J$2:$J$10001,0)),"")</f>
        <v/>
      </c>
    </row>
    <row r="4104">
      <c r="A4104">
        <f>IFERROR(INDEX('Email Cleaner'!$B$2:$B$10001,MATCH(4103,'Email Cleaner'!$J$2:$J$10001,0)),"")</f>
        <v/>
      </c>
    </row>
    <row r="4105">
      <c r="A4105">
        <f>IFERROR(INDEX('Email Cleaner'!$B$2:$B$10001,MATCH(4104,'Email Cleaner'!$J$2:$J$10001,0)),"")</f>
        <v/>
      </c>
    </row>
    <row r="4106">
      <c r="A4106">
        <f>IFERROR(INDEX('Email Cleaner'!$B$2:$B$10001,MATCH(4105,'Email Cleaner'!$J$2:$J$10001,0)),"")</f>
        <v/>
      </c>
    </row>
    <row r="4107">
      <c r="A4107">
        <f>IFERROR(INDEX('Email Cleaner'!$B$2:$B$10001,MATCH(4106,'Email Cleaner'!$J$2:$J$10001,0)),"")</f>
        <v/>
      </c>
    </row>
    <row r="4108">
      <c r="A4108">
        <f>IFERROR(INDEX('Email Cleaner'!$B$2:$B$10001,MATCH(4107,'Email Cleaner'!$J$2:$J$10001,0)),"")</f>
        <v/>
      </c>
    </row>
    <row r="4109">
      <c r="A4109">
        <f>IFERROR(INDEX('Email Cleaner'!$B$2:$B$10001,MATCH(4108,'Email Cleaner'!$J$2:$J$10001,0)),"")</f>
        <v/>
      </c>
    </row>
    <row r="4110">
      <c r="A4110">
        <f>IFERROR(INDEX('Email Cleaner'!$B$2:$B$10001,MATCH(4109,'Email Cleaner'!$J$2:$J$10001,0)),"")</f>
        <v/>
      </c>
    </row>
    <row r="4111">
      <c r="A4111">
        <f>IFERROR(INDEX('Email Cleaner'!$B$2:$B$10001,MATCH(4110,'Email Cleaner'!$J$2:$J$10001,0)),"")</f>
        <v/>
      </c>
    </row>
    <row r="4112">
      <c r="A4112">
        <f>IFERROR(INDEX('Email Cleaner'!$B$2:$B$10001,MATCH(4111,'Email Cleaner'!$J$2:$J$10001,0)),"")</f>
        <v/>
      </c>
    </row>
    <row r="4113">
      <c r="A4113">
        <f>IFERROR(INDEX('Email Cleaner'!$B$2:$B$10001,MATCH(4112,'Email Cleaner'!$J$2:$J$10001,0)),"")</f>
        <v/>
      </c>
    </row>
    <row r="4114">
      <c r="A4114">
        <f>IFERROR(INDEX('Email Cleaner'!$B$2:$B$10001,MATCH(4113,'Email Cleaner'!$J$2:$J$10001,0)),"")</f>
        <v/>
      </c>
    </row>
    <row r="4115">
      <c r="A4115">
        <f>IFERROR(INDEX('Email Cleaner'!$B$2:$B$10001,MATCH(4114,'Email Cleaner'!$J$2:$J$10001,0)),"")</f>
        <v/>
      </c>
    </row>
    <row r="4116">
      <c r="A4116">
        <f>IFERROR(INDEX('Email Cleaner'!$B$2:$B$10001,MATCH(4115,'Email Cleaner'!$J$2:$J$10001,0)),"")</f>
        <v/>
      </c>
    </row>
    <row r="4117">
      <c r="A4117">
        <f>IFERROR(INDEX('Email Cleaner'!$B$2:$B$10001,MATCH(4116,'Email Cleaner'!$J$2:$J$10001,0)),"")</f>
        <v/>
      </c>
    </row>
    <row r="4118">
      <c r="A4118">
        <f>IFERROR(INDEX('Email Cleaner'!$B$2:$B$10001,MATCH(4117,'Email Cleaner'!$J$2:$J$10001,0)),"")</f>
        <v/>
      </c>
    </row>
    <row r="4119">
      <c r="A4119">
        <f>IFERROR(INDEX('Email Cleaner'!$B$2:$B$10001,MATCH(4118,'Email Cleaner'!$J$2:$J$10001,0)),"")</f>
        <v/>
      </c>
    </row>
    <row r="4120">
      <c r="A4120">
        <f>IFERROR(INDEX('Email Cleaner'!$B$2:$B$10001,MATCH(4119,'Email Cleaner'!$J$2:$J$10001,0)),"")</f>
        <v/>
      </c>
    </row>
    <row r="4121">
      <c r="A4121">
        <f>IFERROR(INDEX('Email Cleaner'!$B$2:$B$10001,MATCH(4120,'Email Cleaner'!$J$2:$J$10001,0)),"")</f>
        <v/>
      </c>
    </row>
    <row r="4122">
      <c r="A4122">
        <f>IFERROR(INDEX('Email Cleaner'!$B$2:$B$10001,MATCH(4121,'Email Cleaner'!$J$2:$J$10001,0)),"")</f>
        <v/>
      </c>
    </row>
    <row r="4123">
      <c r="A4123">
        <f>IFERROR(INDEX('Email Cleaner'!$B$2:$B$10001,MATCH(4122,'Email Cleaner'!$J$2:$J$10001,0)),"")</f>
        <v/>
      </c>
    </row>
    <row r="4124">
      <c r="A4124">
        <f>IFERROR(INDEX('Email Cleaner'!$B$2:$B$10001,MATCH(4123,'Email Cleaner'!$J$2:$J$10001,0)),"")</f>
        <v/>
      </c>
    </row>
    <row r="4125">
      <c r="A4125">
        <f>IFERROR(INDEX('Email Cleaner'!$B$2:$B$10001,MATCH(4124,'Email Cleaner'!$J$2:$J$10001,0)),"")</f>
        <v/>
      </c>
    </row>
    <row r="4126">
      <c r="A4126">
        <f>IFERROR(INDEX('Email Cleaner'!$B$2:$B$10001,MATCH(4125,'Email Cleaner'!$J$2:$J$10001,0)),"")</f>
        <v/>
      </c>
    </row>
    <row r="4127">
      <c r="A4127">
        <f>IFERROR(INDEX('Email Cleaner'!$B$2:$B$10001,MATCH(4126,'Email Cleaner'!$J$2:$J$10001,0)),"")</f>
        <v/>
      </c>
    </row>
    <row r="4128">
      <c r="A4128">
        <f>IFERROR(INDEX('Email Cleaner'!$B$2:$B$10001,MATCH(4127,'Email Cleaner'!$J$2:$J$10001,0)),"")</f>
        <v/>
      </c>
    </row>
    <row r="4129">
      <c r="A4129">
        <f>IFERROR(INDEX('Email Cleaner'!$B$2:$B$10001,MATCH(4128,'Email Cleaner'!$J$2:$J$10001,0)),"")</f>
        <v/>
      </c>
    </row>
    <row r="4130">
      <c r="A4130">
        <f>IFERROR(INDEX('Email Cleaner'!$B$2:$B$10001,MATCH(4129,'Email Cleaner'!$J$2:$J$10001,0)),"")</f>
        <v/>
      </c>
    </row>
    <row r="4131">
      <c r="A4131">
        <f>IFERROR(INDEX('Email Cleaner'!$B$2:$B$10001,MATCH(4130,'Email Cleaner'!$J$2:$J$10001,0)),"")</f>
        <v/>
      </c>
    </row>
    <row r="4132">
      <c r="A4132">
        <f>IFERROR(INDEX('Email Cleaner'!$B$2:$B$10001,MATCH(4131,'Email Cleaner'!$J$2:$J$10001,0)),"")</f>
        <v/>
      </c>
    </row>
    <row r="4133">
      <c r="A4133">
        <f>IFERROR(INDEX('Email Cleaner'!$B$2:$B$10001,MATCH(4132,'Email Cleaner'!$J$2:$J$10001,0)),"")</f>
        <v/>
      </c>
    </row>
    <row r="4134">
      <c r="A4134">
        <f>IFERROR(INDEX('Email Cleaner'!$B$2:$B$10001,MATCH(4133,'Email Cleaner'!$J$2:$J$10001,0)),"")</f>
        <v/>
      </c>
    </row>
    <row r="4135">
      <c r="A4135">
        <f>IFERROR(INDEX('Email Cleaner'!$B$2:$B$10001,MATCH(4134,'Email Cleaner'!$J$2:$J$10001,0)),"")</f>
        <v/>
      </c>
    </row>
    <row r="4136">
      <c r="A4136">
        <f>IFERROR(INDEX('Email Cleaner'!$B$2:$B$10001,MATCH(4135,'Email Cleaner'!$J$2:$J$10001,0)),"")</f>
        <v/>
      </c>
    </row>
    <row r="4137">
      <c r="A4137">
        <f>IFERROR(INDEX('Email Cleaner'!$B$2:$B$10001,MATCH(4136,'Email Cleaner'!$J$2:$J$10001,0)),"")</f>
        <v/>
      </c>
    </row>
    <row r="4138">
      <c r="A4138">
        <f>IFERROR(INDEX('Email Cleaner'!$B$2:$B$10001,MATCH(4137,'Email Cleaner'!$J$2:$J$10001,0)),"")</f>
        <v/>
      </c>
    </row>
    <row r="4139">
      <c r="A4139">
        <f>IFERROR(INDEX('Email Cleaner'!$B$2:$B$10001,MATCH(4138,'Email Cleaner'!$J$2:$J$10001,0)),"")</f>
        <v/>
      </c>
    </row>
    <row r="4140">
      <c r="A4140">
        <f>IFERROR(INDEX('Email Cleaner'!$B$2:$B$10001,MATCH(4139,'Email Cleaner'!$J$2:$J$10001,0)),"")</f>
        <v/>
      </c>
    </row>
    <row r="4141">
      <c r="A4141">
        <f>IFERROR(INDEX('Email Cleaner'!$B$2:$B$10001,MATCH(4140,'Email Cleaner'!$J$2:$J$10001,0)),"")</f>
        <v/>
      </c>
    </row>
    <row r="4142">
      <c r="A4142">
        <f>IFERROR(INDEX('Email Cleaner'!$B$2:$B$10001,MATCH(4141,'Email Cleaner'!$J$2:$J$10001,0)),"")</f>
        <v/>
      </c>
    </row>
    <row r="4143">
      <c r="A4143">
        <f>IFERROR(INDEX('Email Cleaner'!$B$2:$B$10001,MATCH(4142,'Email Cleaner'!$J$2:$J$10001,0)),"")</f>
        <v/>
      </c>
    </row>
    <row r="4144">
      <c r="A4144">
        <f>IFERROR(INDEX('Email Cleaner'!$B$2:$B$10001,MATCH(4143,'Email Cleaner'!$J$2:$J$10001,0)),"")</f>
        <v/>
      </c>
    </row>
    <row r="4145">
      <c r="A4145">
        <f>IFERROR(INDEX('Email Cleaner'!$B$2:$B$10001,MATCH(4144,'Email Cleaner'!$J$2:$J$10001,0)),"")</f>
        <v/>
      </c>
    </row>
    <row r="4146">
      <c r="A4146">
        <f>IFERROR(INDEX('Email Cleaner'!$B$2:$B$10001,MATCH(4145,'Email Cleaner'!$J$2:$J$10001,0)),"")</f>
        <v/>
      </c>
    </row>
    <row r="4147">
      <c r="A4147">
        <f>IFERROR(INDEX('Email Cleaner'!$B$2:$B$10001,MATCH(4146,'Email Cleaner'!$J$2:$J$10001,0)),"")</f>
        <v/>
      </c>
    </row>
    <row r="4148">
      <c r="A4148">
        <f>IFERROR(INDEX('Email Cleaner'!$B$2:$B$10001,MATCH(4147,'Email Cleaner'!$J$2:$J$10001,0)),"")</f>
        <v/>
      </c>
    </row>
    <row r="4149">
      <c r="A4149">
        <f>IFERROR(INDEX('Email Cleaner'!$B$2:$B$10001,MATCH(4148,'Email Cleaner'!$J$2:$J$10001,0)),"")</f>
        <v/>
      </c>
    </row>
    <row r="4150">
      <c r="A4150">
        <f>IFERROR(INDEX('Email Cleaner'!$B$2:$B$10001,MATCH(4149,'Email Cleaner'!$J$2:$J$10001,0)),"")</f>
        <v/>
      </c>
    </row>
    <row r="4151">
      <c r="A4151">
        <f>IFERROR(INDEX('Email Cleaner'!$B$2:$B$10001,MATCH(4150,'Email Cleaner'!$J$2:$J$10001,0)),"")</f>
        <v/>
      </c>
    </row>
    <row r="4152">
      <c r="A4152">
        <f>IFERROR(INDEX('Email Cleaner'!$B$2:$B$10001,MATCH(4151,'Email Cleaner'!$J$2:$J$10001,0)),"")</f>
        <v/>
      </c>
    </row>
    <row r="4153">
      <c r="A4153">
        <f>IFERROR(INDEX('Email Cleaner'!$B$2:$B$10001,MATCH(4152,'Email Cleaner'!$J$2:$J$10001,0)),"")</f>
        <v/>
      </c>
    </row>
    <row r="4154">
      <c r="A4154">
        <f>IFERROR(INDEX('Email Cleaner'!$B$2:$B$10001,MATCH(4153,'Email Cleaner'!$J$2:$J$10001,0)),"")</f>
        <v/>
      </c>
    </row>
    <row r="4155">
      <c r="A4155">
        <f>IFERROR(INDEX('Email Cleaner'!$B$2:$B$10001,MATCH(4154,'Email Cleaner'!$J$2:$J$10001,0)),"")</f>
        <v/>
      </c>
    </row>
    <row r="4156">
      <c r="A4156">
        <f>IFERROR(INDEX('Email Cleaner'!$B$2:$B$10001,MATCH(4155,'Email Cleaner'!$J$2:$J$10001,0)),"")</f>
        <v/>
      </c>
    </row>
    <row r="4157">
      <c r="A4157">
        <f>IFERROR(INDEX('Email Cleaner'!$B$2:$B$10001,MATCH(4156,'Email Cleaner'!$J$2:$J$10001,0)),"")</f>
        <v/>
      </c>
    </row>
    <row r="4158">
      <c r="A4158">
        <f>IFERROR(INDEX('Email Cleaner'!$B$2:$B$10001,MATCH(4157,'Email Cleaner'!$J$2:$J$10001,0)),"")</f>
        <v/>
      </c>
    </row>
    <row r="4159">
      <c r="A4159">
        <f>IFERROR(INDEX('Email Cleaner'!$B$2:$B$10001,MATCH(4158,'Email Cleaner'!$J$2:$J$10001,0)),"")</f>
        <v/>
      </c>
    </row>
    <row r="4160">
      <c r="A4160">
        <f>IFERROR(INDEX('Email Cleaner'!$B$2:$B$10001,MATCH(4159,'Email Cleaner'!$J$2:$J$10001,0)),"")</f>
        <v/>
      </c>
    </row>
    <row r="4161">
      <c r="A4161">
        <f>IFERROR(INDEX('Email Cleaner'!$B$2:$B$10001,MATCH(4160,'Email Cleaner'!$J$2:$J$10001,0)),"")</f>
        <v/>
      </c>
    </row>
    <row r="4162">
      <c r="A4162">
        <f>IFERROR(INDEX('Email Cleaner'!$B$2:$B$10001,MATCH(4161,'Email Cleaner'!$J$2:$J$10001,0)),"")</f>
        <v/>
      </c>
    </row>
    <row r="4163">
      <c r="A4163">
        <f>IFERROR(INDEX('Email Cleaner'!$B$2:$B$10001,MATCH(4162,'Email Cleaner'!$J$2:$J$10001,0)),"")</f>
        <v/>
      </c>
    </row>
    <row r="4164">
      <c r="A4164">
        <f>IFERROR(INDEX('Email Cleaner'!$B$2:$B$10001,MATCH(4163,'Email Cleaner'!$J$2:$J$10001,0)),"")</f>
        <v/>
      </c>
    </row>
    <row r="4165">
      <c r="A4165">
        <f>IFERROR(INDEX('Email Cleaner'!$B$2:$B$10001,MATCH(4164,'Email Cleaner'!$J$2:$J$10001,0)),"")</f>
        <v/>
      </c>
    </row>
    <row r="4166">
      <c r="A4166">
        <f>IFERROR(INDEX('Email Cleaner'!$B$2:$B$10001,MATCH(4165,'Email Cleaner'!$J$2:$J$10001,0)),"")</f>
        <v/>
      </c>
    </row>
    <row r="4167">
      <c r="A4167">
        <f>IFERROR(INDEX('Email Cleaner'!$B$2:$B$10001,MATCH(4166,'Email Cleaner'!$J$2:$J$10001,0)),"")</f>
        <v/>
      </c>
    </row>
    <row r="4168">
      <c r="A4168">
        <f>IFERROR(INDEX('Email Cleaner'!$B$2:$B$10001,MATCH(4167,'Email Cleaner'!$J$2:$J$10001,0)),"")</f>
        <v/>
      </c>
    </row>
    <row r="4169">
      <c r="A4169">
        <f>IFERROR(INDEX('Email Cleaner'!$B$2:$B$10001,MATCH(4168,'Email Cleaner'!$J$2:$J$10001,0)),"")</f>
        <v/>
      </c>
    </row>
    <row r="4170">
      <c r="A4170">
        <f>IFERROR(INDEX('Email Cleaner'!$B$2:$B$10001,MATCH(4169,'Email Cleaner'!$J$2:$J$10001,0)),"")</f>
        <v/>
      </c>
    </row>
    <row r="4171">
      <c r="A4171">
        <f>IFERROR(INDEX('Email Cleaner'!$B$2:$B$10001,MATCH(4170,'Email Cleaner'!$J$2:$J$10001,0)),"")</f>
        <v/>
      </c>
    </row>
    <row r="4172">
      <c r="A4172">
        <f>IFERROR(INDEX('Email Cleaner'!$B$2:$B$10001,MATCH(4171,'Email Cleaner'!$J$2:$J$10001,0)),"")</f>
        <v/>
      </c>
    </row>
    <row r="4173">
      <c r="A4173">
        <f>IFERROR(INDEX('Email Cleaner'!$B$2:$B$10001,MATCH(4172,'Email Cleaner'!$J$2:$J$10001,0)),"")</f>
        <v/>
      </c>
    </row>
    <row r="4174">
      <c r="A4174">
        <f>IFERROR(INDEX('Email Cleaner'!$B$2:$B$10001,MATCH(4173,'Email Cleaner'!$J$2:$J$10001,0)),"")</f>
        <v/>
      </c>
    </row>
    <row r="4175">
      <c r="A4175">
        <f>IFERROR(INDEX('Email Cleaner'!$B$2:$B$10001,MATCH(4174,'Email Cleaner'!$J$2:$J$10001,0)),"")</f>
        <v/>
      </c>
    </row>
    <row r="4176">
      <c r="A4176">
        <f>IFERROR(INDEX('Email Cleaner'!$B$2:$B$10001,MATCH(4175,'Email Cleaner'!$J$2:$J$10001,0)),"")</f>
        <v/>
      </c>
    </row>
    <row r="4177">
      <c r="A4177">
        <f>IFERROR(INDEX('Email Cleaner'!$B$2:$B$10001,MATCH(4176,'Email Cleaner'!$J$2:$J$10001,0)),"")</f>
        <v/>
      </c>
    </row>
    <row r="4178">
      <c r="A4178">
        <f>IFERROR(INDEX('Email Cleaner'!$B$2:$B$10001,MATCH(4177,'Email Cleaner'!$J$2:$J$10001,0)),"")</f>
        <v/>
      </c>
    </row>
    <row r="4179">
      <c r="A4179">
        <f>IFERROR(INDEX('Email Cleaner'!$B$2:$B$10001,MATCH(4178,'Email Cleaner'!$J$2:$J$10001,0)),"")</f>
        <v/>
      </c>
    </row>
    <row r="4180">
      <c r="A4180">
        <f>IFERROR(INDEX('Email Cleaner'!$B$2:$B$10001,MATCH(4179,'Email Cleaner'!$J$2:$J$10001,0)),"")</f>
        <v/>
      </c>
    </row>
    <row r="4181">
      <c r="A4181">
        <f>IFERROR(INDEX('Email Cleaner'!$B$2:$B$10001,MATCH(4180,'Email Cleaner'!$J$2:$J$10001,0)),"")</f>
        <v/>
      </c>
    </row>
    <row r="4182">
      <c r="A4182">
        <f>IFERROR(INDEX('Email Cleaner'!$B$2:$B$10001,MATCH(4181,'Email Cleaner'!$J$2:$J$10001,0)),"")</f>
        <v/>
      </c>
    </row>
    <row r="4183">
      <c r="A4183">
        <f>IFERROR(INDEX('Email Cleaner'!$B$2:$B$10001,MATCH(4182,'Email Cleaner'!$J$2:$J$10001,0)),"")</f>
        <v/>
      </c>
    </row>
    <row r="4184">
      <c r="A4184">
        <f>IFERROR(INDEX('Email Cleaner'!$B$2:$B$10001,MATCH(4183,'Email Cleaner'!$J$2:$J$10001,0)),"")</f>
        <v/>
      </c>
    </row>
    <row r="4185">
      <c r="A4185">
        <f>IFERROR(INDEX('Email Cleaner'!$B$2:$B$10001,MATCH(4184,'Email Cleaner'!$J$2:$J$10001,0)),"")</f>
        <v/>
      </c>
    </row>
    <row r="4186">
      <c r="A4186">
        <f>IFERROR(INDEX('Email Cleaner'!$B$2:$B$10001,MATCH(4185,'Email Cleaner'!$J$2:$J$10001,0)),"")</f>
        <v/>
      </c>
    </row>
    <row r="4187">
      <c r="A4187">
        <f>IFERROR(INDEX('Email Cleaner'!$B$2:$B$10001,MATCH(4186,'Email Cleaner'!$J$2:$J$10001,0)),"")</f>
        <v/>
      </c>
    </row>
    <row r="4188">
      <c r="A4188">
        <f>IFERROR(INDEX('Email Cleaner'!$B$2:$B$10001,MATCH(4187,'Email Cleaner'!$J$2:$J$10001,0)),"")</f>
        <v/>
      </c>
    </row>
    <row r="4189">
      <c r="A4189">
        <f>IFERROR(INDEX('Email Cleaner'!$B$2:$B$10001,MATCH(4188,'Email Cleaner'!$J$2:$J$10001,0)),"")</f>
        <v/>
      </c>
    </row>
    <row r="4190">
      <c r="A4190">
        <f>IFERROR(INDEX('Email Cleaner'!$B$2:$B$10001,MATCH(4189,'Email Cleaner'!$J$2:$J$10001,0)),"")</f>
        <v/>
      </c>
    </row>
    <row r="4191">
      <c r="A4191">
        <f>IFERROR(INDEX('Email Cleaner'!$B$2:$B$10001,MATCH(4190,'Email Cleaner'!$J$2:$J$10001,0)),"")</f>
        <v/>
      </c>
    </row>
    <row r="4192">
      <c r="A4192">
        <f>IFERROR(INDEX('Email Cleaner'!$B$2:$B$10001,MATCH(4191,'Email Cleaner'!$J$2:$J$10001,0)),"")</f>
        <v/>
      </c>
    </row>
    <row r="4193">
      <c r="A4193">
        <f>IFERROR(INDEX('Email Cleaner'!$B$2:$B$10001,MATCH(4192,'Email Cleaner'!$J$2:$J$10001,0)),"")</f>
        <v/>
      </c>
    </row>
    <row r="4194">
      <c r="A4194">
        <f>IFERROR(INDEX('Email Cleaner'!$B$2:$B$10001,MATCH(4193,'Email Cleaner'!$J$2:$J$10001,0)),"")</f>
        <v/>
      </c>
    </row>
    <row r="4195">
      <c r="A4195">
        <f>IFERROR(INDEX('Email Cleaner'!$B$2:$B$10001,MATCH(4194,'Email Cleaner'!$J$2:$J$10001,0)),"")</f>
        <v/>
      </c>
    </row>
    <row r="4196">
      <c r="A4196">
        <f>IFERROR(INDEX('Email Cleaner'!$B$2:$B$10001,MATCH(4195,'Email Cleaner'!$J$2:$J$10001,0)),"")</f>
        <v/>
      </c>
    </row>
    <row r="4197">
      <c r="A4197">
        <f>IFERROR(INDEX('Email Cleaner'!$B$2:$B$10001,MATCH(4196,'Email Cleaner'!$J$2:$J$10001,0)),"")</f>
        <v/>
      </c>
    </row>
    <row r="4198">
      <c r="A4198">
        <f>IFERROR(INDEX('Email Cleaner'!$B$2:$B$10001,MATCH(4197,'Email Cleaner'!$J$2:$J$10001,0)),"")</f>
        <v/>
      </c>
    </row>
    <row r="4199">
      <c r="A4199">
        <f>IFERROR(INDEX('Email Cleaner'!$B$2:$B$10001,MATCH(4198,'Email Cleaner'!$J$2:$J$10001,0)),"")</f>
        <v/>
      </c>
    </row>
    <row r="4200">
      <c r="A4200">
        <f>IFERROR(INDEX('Email Cleaner'!$B$2:$B$10001,MATCH(4199,'Email Cleaner'!$J$2:$J$10001,0)),"")</f>
        <v/>
      </c>
    </row>
    <row r="4201">
      <c r="A4201">
        <f>IFERROR(INDEX('Email Cleaner'!$B$2:$B$10001,MATCH(4200,'Email Cleaner'!$J$2:$J$10001,0)),"")</f>
        <v/>
      </c>
    </row>
    <row r="4202">
      <c r="A4202">
        <f>IFERROR(INDEX('Email Cleaner'!$B$2:$B$10001,MATCH(4201,'Email Cleaner'!$J$2:$J$10001,0)),"")</f>
        <v/>
      </c>
    </row>
    <row r="4203">
      <c r="A4203">
        <f>IFERROR(INDEX('Email Cleaner'!$B$2:$B$10001,MATCH(4202,'Email Cleaner'!$J$2:$J$10001,0)),"")</f>
        <v/>
      </c>
    </row>
    <row r="4204">
      <c r="A4204">
        <f>IFERROR(INDEX('Email Cleaner'!$B$2:$B$10001,MATCH(4203,'Email Cleaner'!$J$2:$J$10001,0)),"")</f>
        <v/>
      </c>
    </row>
    <row r="4205">
      <c r="A4205">
        <f>IFERROR(INDEX('Email Cleaner'!$B$2:$B$10001,MATCH(4204,'Email Cleaner'!$J$2:$J$10001,0)),"")</f>
        <v/>
      </c>
    </row>
    <row r="4206">
      <c r="A4206">
        <f>IFERROR(INDEX('Email Cleaner'!$B$2:$B$10001,MATCH(4205,'Email Cleaner'!$J$2:$J$10001,0)),"")</f>
        <v/>
      </c>
    </row>
    <row r="4207">
      <c r="A4207">
        <f>IFERROR(INDEX('Email Cleaner'!$B$2:$B$10001,MATCH(4206,'Email Cleaner'!$J$2:$J$10001,0)),"")</f>
        <v/>
      </c>
    </row>
    <row r="4208">
      <c r="A4208">
        <f>IFERROR(INDEX('Email Cleaner'!$B$2:$B$10001,MATCH(4207,'Email Cleaner'!$J$2:$J$10001,0)),"")</f>
        <v/>
      </c>
    </row>
    <row r="4209">
      <c r="A4209">
        <f>IFERROR(INDEX('Email Cleaner'!$B$2:$B$10001,MATCH(4208,'Email Cleaner'!$J$2:$J$10001,0)),"")</f>
        <v/>
      </c>
    </row>
    <row r="4210">
      <c r="A4210">
        <f>IFERROR(INDEX('Email Cleaner'!$B$2:$B$10001,MATCH(4209,'Email Cleaner'!$J$2:$J$10001,0)),"")</f>
        <v/>
      </c>
    </row>
    <row r="4211">
      <c r="A4211">
        <f>IFERROR(INDEX('Email Cleaner'!$B$2:$B$10001,MATCH(4210,'Email Cleaner'!$J$2:$J$10001,0)),"")</f>
        <v/>
      </c>
    </row>
    <row r="4212">
      <c r="A4212">
        <f>IFERROR(INDEX('Email Cleaner'!$B$2:$B$10001,MATCH(4211,'Email Cleaner'!$J$2:$J$10001,0)),"")</f>
        <v/>
      </c>
    </row>
    <row r="4213">
      <c r="A4213">
        <f>IFERROR(INDEX('Email Cleaner'!$B$2:$B$10001,MATCH(4212,'Email Cleaner'!$J$2:$J$10001,0)),"")</f>
        <v/>
      </c>
    </row>
    <row r="4214">
      <c r="A4214">
        <f>IFERROR(INDEX('Email Cleaner'!$B$2:$B$10001,MATCH(4213,'Email Cleaner'!$J$2:$J$10001,0)),"")</f>
        <v/>
      </c>
    </row>
    <row r="4215">
      <c r="A4215">
        <f>IFERROR(INDEX('Email Cleaner'!$B$2:$B$10001,MATCH(4214,'Email Cleaner'!$J$2:$J$10001,0)),"")</f>
        <v/>
      </c>
    </row>
    <row r="4216">
      <c r="A4216">
        <f>IFERROR(INDEX('Email Cleaner'!$B$2:$B$10001,MATCH(4215,'Email Cleaner'!$J$2:$J$10001,0)),"")</f>
        <v/>
      </c>
    </row>
    <row r="4217">
      <c r="A4217">
        <f>IFERROR(INDEX('Email Cleaner'!$B$2:$B$10001,MATCH(4216,'Email Cleaner'!$J$2:$J$10001,0)),"")</f>
        <v/>
      </c>
    </row>
    <row r="4218">
      <c r="A4218">
        <f>IFERROR(INDEX('Email Cleaner'!$B$2:$B$10001,MATCH(4217,'Email Cleaner'!$J$2:$J$10001,0)),"")</f>
        <v/>
      </c>
    </row>
    <row r="4219">
      <c r="A4219">
        <f>IFERROR(INDEX('Email Cleaner'!$B$2:$B$10001,MATCH(4218,'Email Cleaner'!$J$2:$J$10001,0)),"")</f>
        <v/>
      </c>
    </row>
    <row r="4220">
      <c r="A4220">
        <f>IFERROR(INDEX('Email Cleaner'!$B$2:$B$10001,MATCH(4219,'Email Cleaner'!$J$2:$J$10001,0)),"")</f>
        <v/>
      </c>
    </row>
    <row r="4221">
      <c r="A4221">
        <f>IFERROR(INDEX('Email Cleaner'!$B$2:$B$10001,MATCH(4220,'Email Cleaner'!$J$2:$J$10001,0)),"")</f>
        <v/>
      </c>
    </row>
    <row r="4222">
      <c r="A4222">
        <f>IFERROR(INDEX('Email Cleaner'!$B$2:$B$10001,MATCH(4221,'Email Cleaner'!$J$2:$J$10001,0)),"")</f>
        <v/>
      </c>
    </row>
    <row r="4223">
      <c r="A4223">
        <f>IFERROR(INDEX('Email Cleaner'!$B$2:$B$10001,MATCH(4222,'Email Cleaner'!$J$2:$J$10001,0)),"")</f>
        <v/>
      </c>
    </row>
    <row r="4224">
      <c r="A4224">
        <f>IFERROR(INDEX('Email Cleaner'!$B$2:$B$10001,MATCH(4223,'Email Cleaner'!$J$2:$J$10001,0)),"")</f>
        <v/>
      </c>
    </row>
    <row r="4225">
      <c r="A4225">
        <f>IFERROR(INDEX('Email Cleaner'!$B$2:$B$10001,MATCH(4224,'Email Cleaner'!$J$2:$J$10001,0)),"")</f>
        <v/>
      </c>
    </row>
    <row r="4226">
      <c r="A4226">
        <f>IFERROR(INDEX('Email Cleaner'!$B$2:$B$10001,MATCH(4225,'Email Cleaner'!$J$2:$J$10001,0)),"")</f>
        <v/>
      </c>
    </row>
    <row r="4227">
      <c r="A4227">
        <f>IFERROR(INDEX('Email Cleaner'!$B$2:$B$10001,MATCH(4226,'Email Cleaner'!$J$2:$J$10001,0)),"")</f>
        <v/>
      </c>
    </row>
    <row r="4228">
      <c r="A4228">
        <f>IFERROR(INDEX('Email Cleaner'!$B$2:$B$10001,MATCH(4227,'Email Cleaner'!$J$2:$J$10001,0)),"")</f>
        <v/>
      </c>
    </row>
    <row r="4229">
      <c r="A4229">
        <f>IFERROR(INDEX('Email Cleaner'!$B$2:$B$10001,MATCH(4228,'Email Cleaner'!$J$2:$J$10001,0)),"")</f>
        <v/>
      </c>
    </row>
    <row r="4230">
      <c r="A4230">
        <f>IFERROR(INDEX('Email Cleaner'!$B$2:$B$10001,MATCH(4229,'Email Cleaner'!$J$2:$J$10001,0)),"")</f>
        <v/>
      </c>
    </row>
    <row r="4231">
      <c r="A4231">
        <f>IFERROR(INDEX('Email Cleaner'!$B$2:$B$10001,MATCH(4230,'Email Cleaner'!$J$2:$J$10001,0)),"")</f>
        <v/>
      </c>
    </row>
    <row r="4232">
      <c r="A4232">
        <f>IFERROR(INDEX('Email Cleaner'!$B$2:$B$10001,MATCH(4231,'Email Cleaner'!$J$2:$J$10001,0)),"")</f>
        <v/>
      </c>
    </row>
    <row r="4233">
      <c r="A4233">
        <f>IFERROR(INDEX('Email Cleaner'!$B$2:$B$10001,MATCH(4232,'Email Cleaner'!$J$2:$J$10001,0)),"")</f>
        <v/>
      </c>
    </row>
    <row r="4234">
      <c r="A4234">
        <f>IFERROR(INDEX('Email Cleaner'!$B$2:$B$10001,MATCH(4233,'Email Cleaner'!$J$2:$J$10001,0)),"")</f>
        <v/>
      </c>
    </row>
    <row r="4235">
      <c r="A4235">
        <f>IFERROR(INDEX('Email Cleaner'!$B$2:$B$10001,MATCH(4234,'Email Cleaner'!$J$2:$J$10001,0)),"")</f>
        <v/>
      </c>
    </row>
    <row r="4236">
      <c r="A4236">
        <f>IFERROR(INDEX('Email Cleaner'!$B$2:$B$10001,MATCH(4235,'Email Cleaner'!$J$2:$J$10001,0)),"")</f>
        <v/>
      </c>
    </row>
    <row r="4237">
      <c r="A4237">
        <f>IFERROR(INDEX('Email Cleaner'!$B$2:$B$10001,MATCH(4236,'Email Cleaner'!$J$2:$J$10001,0)),"")</f>
        <v/>
      </c>
    </row>
    <row r="4238">
      <c r="A4238">
        <f>IFERROR(INDEX('Email Cleaner'!$B$2:$B$10001,MATCH(4237,'Email Cleaner'!$J$2:$J$10001,0)),"")</f>
        <v/>
      </c>
    </row>
    <row r="4239">
      <c r="A4239">
        <f>IFERROR(INDEX('Email Cleaner'!$B$2:$B$10001,MATCH(4238,'Email Cleaner'!$J$2:$J$10001,0)),"")</f>
        <v/>
      </c>
    </row>
    <row r="4240">
      <c r="A4240">
        <f>IFERROR(INDEX('Email Cleaner'!$B$2:$B$10001,MATCH(4239,'Email Cleaner'!$J$2:$J$10001,0)),"")</f>
        <v/>
      </c>
    </row>
    <row r="4241">
      <c r="A4241">
        <f>IFERROR(INDEX('Email Cleaner'!$B$2:$B$10001,MATCH(4240,'Email Cleaner'!$J$2:$J$10001,0)),"")</f>
        <v/>
      </c>
    </row>
    <row r="4242">
      <c r="A4242">
        <f>IFERROR(INDEX('Email Cleaner'!$B$2:$B$10001,MATCH(4241,'Email Cleaner'!$J$2:$J$10001,0)),"")</f>
        <v/>
      </c>
    </row>
    <row r="4243">
      <c r="A4243">
        <f>IFERROR(INDEX('Email Cleaner'!$B$2:$B$10001,MATCH(4242,'Email Cleaner'!$J$2:$J$10001,0)),"")</f>
        <v/>
      </c>
    </row>
    <row r="4244">
      <c r="A4244">
        <f>IFERROR(INDEX('Email Cleaner'!$B$2:$B$10001,MATCH(4243,'Email Cleaner'!$J$2:$J$10001,0)),"")</f>
        <v/>
      </c>
    </row>
    <row r="4245">
      <c r="A4245">
        <f>IFERROR(INDEX('Email Cleaner'!$B$2:$B$10001,MATCH(4244,'Email Cleaner'!$J$2:$J$10001,0)),"")</f>
        <v/>
      </c>
    </row>
    <row r="4246">
      <c r="A4246">
        <f>IFERROR(INDEX('Email Cleaner'!$B$2:$B$10001,MATCH(4245,'Email Cleaner'!$J$2:$J$10001,0)),"")</f>
        <v/>
      </c>
    </row>
    <row r="4247">
      <c r="A4247">
        <f>IFERROR(INDEX('Email Cleaner'!$B$2:$B$10001,MATCH(4246,'Email Cleaner'!$J$2:$J$10001,0)),"")</f>
        <v/>
      </c>
    </row>
    <row r="4248">
      <c r="A4248">
        <f>IFERROR(INDEX('Email Cleaner'!$B$2:$B$10001,MATCH(4247,'Email Cleaner'!$J$2:$J$10001,0)),"")</f>
        <v/>
      </c>
    </row>
    <row r="4249">
      <c r="A4249">
        <f>IFERROR(INDEX('Email Cleaner'!$B$2:$B$10001,MATCH(4248,'Email Cleaner'!$J$2:$J$10001,0)),"")</f>
        <v/>
      </c>
    </row>
    <row r="4250">
      <c r="A4250">
        <f>IFERROR(INDEX('Email Cleaner'!$B$2:$B$10001,MATCH(4249,'Email Cleaner'!$J$2:$J$10001,0)),"")</f>
        <v/>
      </c>
    </row>
    <row r="4251">
      <c r="A4251">
        <f>IFERROR(INDEX('Email Cleaner'!$B$2:$B$10001,MATCH(4250,'Email Cleaner'!$J$2:$J$10001,0)),"")</f>
        <v/>
      </c>
    </row>
    <row r="4252">
      <c r="A4252">
        <f>IFERROR(INDEX('Email Cleaner'!$B$2:$B$10001,MATCH(4251,'Email Cleaner'!$J$2:$J$10001,0)),"")</f>
        <v/>
      </c>
    </row>
    <row r="4253">
      <c r="A4253">
        <f>IFERROR(INDEX('Email Cleaner'!$B$2:$B$10001,MATCH(4252,'Email Cleaner'!$J$2:$J$10001,0)),"")</f>
        <v/>
      </c>
    </row>
    <row r="4254">
      <c r="A4254">
        <f>IFERROR(INDEX('Email Cleaner'!$B$2:$B$10001,MATCH(4253,'Email Cleaner'!$J$2:$J$10001,0)),"")</f>
        <v/>
      </c>
    </row>
    <row r="4255">
      <c r="A4255">
        <f>IFERROR(INDEX('Email Cleaner'!$B$2:$B$10001,MATCH(4254,'Email Cleaner'!$J$2:$J$10001,0)),"")</f>
        <v/>
      </c>
    </row>
    <row r="4256">
      <c r="A4256">
        <f>IFERROR(INDEX('Email Cleaner'!$B$2:$B$10001,MATCH(4255,'Email Cleaner'!$J$2:$J$10001,0)),"")</f>
        <v/>
      </c>
    </row>
    <row r="4257">
      <c r="A4257">
        <f>IFERROR(INDEX('Email Cleaner'!$B$2:$B$10001,MATCH(4256,'Email Cleaner'!$J$2:$J$10001,0)),"")</f>
        <v/>
      </c>
    </row>
    <row r="4258">
      <c r="A4258">
        <f>IFERROR(INDEX('Email Cleaner'!$B$2:$B$10001,MATCH(4257,'Email Cleaner'!$J$2:$J$10001,0)),"")</f>
        <v/>
      </c>
    </row>
    <row r="4259">
      <c r="A4259">
        <f>IFERROR(INDEX('Email Cleaner'!$B$2:$B$10001,MATCH(4258,'Email Cleaner'!$J$2:$J$10001,0)),"")</f>
        <v/>
      </c>
    </row>
    <row r="4260">
      <c r="A4260">
        <f>IFERROR(INDEX('Email Cleaner'!$B$2:$B$10001,MATCH(4259,'Email Cleaner'!$J$2:$J$10001,0)),"")</f>
        <v/>
      </c>
    </row>
    <row r="4261">
      <c r="A4261">
        <f>IFERROR(INDEX('Email Cleaner'!$B$2:$B$10001,MATCH(4260,'Email Cleaner'!$J$2:$J$10001,0)),"")</f>
        <v/>
      </c>
    </row>
    <row r="4262">
      <c r="A4262">
        <f>IFERROR(INDEX('Email Cleaner'!$B$2:$B$10001,MATCH(4261,'Email Cleaner'!$J$2:$J$10001,0)),"")</f>
        <v/>
      </c>
    </row>
    <row r="4263">
      <c r="A4263">
        <f>IFERROR(INDEX('Email Cleaner'!$B$2:$B$10001,MATCH(4262,'Email Cleaner'!$J$2:$J$10001,0)),"")</f>
        <v/>
      </c>
    </row>
    <row r="4264">
      <c r="A4264">
        <f>IFERROR(INDEX('Email Cleaner'!$B$2:$B$10001,MATCH(4263,'Email Cleaner'!$J$2:$J$10001,0)),"")</f>
        <v/>
      </c>
    </row>
    <row r="4265">
      <c r="A4265">
        <f>IFERROR(INDEX('Email Cleaner'!$B$2:$B$10001,MATCH(4264,'Email Cleaner'!$J$2:$J$10001,0)),"")</f>
        <v/>
      </c>
    </row>
    <row r="4266">
      <c r="A4266">
        <f>IFERROR(INDEX('Email Cleaner'!$B$2:$B$10001,MATCH(4265,'Email Cleaner'!$J$2:$J$10001,0)),"")</f>
        <v/>
      </c>
    </row>
    <row r="4267">
      <c r="A4267">
        <f>IFERROR(INDEX('Email Cleaner'!$B$2:$B$10001,MATCH(4266,'Email Cleaner'!$J$2:$J$10001,0)),"")</f>
        <v/>
      </c>
    </row>
    <row r="4268">
      <c r="A4268">
        <f>IFERROR(INDEX('Email Cleaner'!$B$2:$B$10001,MATCH(4267,'Email Cleaner'!$J$2:$J$10001,0)),"")</f>
        <v/>
      </c>
    </row>
    <row r="4269">
      <c r="A4269">
        <f>IFERROR(INDEX('Email Cleaner'!$B$2:$B$10001,MATCH(4268,'Email Cleaner'!$J$2:$J$10001,0)),"")</f>
        <v/>
      </c>
    </row>
    <row r="4270">
      <c r="A4270">
        <f>IFERROR(INDEX('Email Cleaner'!$B$2:$B$10001,MATCH(4269,'Email Cleaner'!$J$2:$J$10001,0)),"")</f>
        <v/>
      </c>
    </row>
    <row r="4271">
      <c r="A4271">
        <f>IFERROR(INDEX('Email Cleaner'!$B$2:$B$10001,MATCH(4270,'Email Cleaner'!$J$2:$J$10001,0)),"")</f>
        <v/>
      </c>
    </row>
    <row r="4272">
      <c r="A4272">
        <f>IFERROR(INDEX('Email Cleaner'!$B$2:$B$10001,MATCH(4271,'Email Cleaner'!$J$2:$J$10001,0)),"")</f>
        <v/>
      </c>
    </row>
    <row r="4273">
      <c r="A4273">
        <f>IFERROR(INDEX('Email Cleaner'!$B$2:$B$10001,MATCH(4272,'Email Cleaner'!$J$2:$J$10001,0)),"")</f>
        <v/>
      </c>
    </row>
    <row r="4274">
      <c r="A4274">
        <f>IFERROR(INDEX('Email Cleaner'!$B$2:$B$10001,MATCH(4273,'Email Cleaner'!$J$2:$J$10001,0)),"")</f>
        <v/>
      </c>
    </row>
    <row r="4275">
      <c r="A4275">
        <f>IFERROR(INDEX('Email Cleaner'!$B$2:$B$10001,MATCH(4274,'Email Cleaner'!$J$2:$J$10001,0)),"")</f>
        <v/>
      </c>
    </row>
    <row r="4276">
      <c r="A4276">
        <f>IFERROR(INDEX('Email Cleaner'!$B$2:$B$10001,MATCH(4275,'Email Cleaner'!$J$2:$J$10001,0)),"")</f>
        <v/>
      </c>
    </row>
    <row r="4277">
      <c r="A4277">
        <f>IFERROR(INDEX('Email Cleaner'!$B$2:$B$10001,MATCH(4276,'Email Cleaner'!$J$2:$J$10001,0)),"")</f>
        <v/>
      </c>
    </row>
    <row r="4278">
      <c r="A4278">
        <f>IFERROR(INDEX('Email Cleaner'!$B$2:$B$10001,MATCH(4277,'Email Cleaner'!$J$2:$J$10001,0)),"")</f>
        <v/>
      </c>
    </row>
    <row r="4279">
      <c r="A4279">
        <f>IFERROR(INDEX('Email Cleaner'!$B$2:$B$10001,MATCH(4278,'Email Cleaner'!$J$2:$J$10001,0)),"")</f>
        <v/>
      </c>
    </row>
    <row r="4280">
      <c r="A4280">
        <f>IFERROR(INDEX('Email Cleaner'!$B$2:$B$10001,MATCH(4279,'Email Cleaner'!$J$2:$J$10001,0)),"")</f>
        <v/>
      </c>
    </row>
    <row r="4281">
      <c r="A4281">
        <f>IFERROR(INDEX('Email Cleaner'!$B$2:$B$10001,MATCH(4280,'Email Cleaner'!$J$2:$J$10001,0)),"")</f>
        <v/>
      </c>
    </row>
    <row r="4282">
      <c r="A4282">
        <f>IFERROR(INDEX('Email Cleaner'!$B$2:$B$10001,MATCH(4281,'Email Cleaner'!$J$2:$J$10001,0)),"")</f>
        <v/>
      </c>
    </row>
    <row r="4283">
      <c r="A4283">
        <f>IFERROR(INDEX('Email Cleaner'!$B$2:$B$10001,MATCH(4282,'Email Cleaner'!$J$2:$J$10001,0)),"")</f>
        <v/>
      </c>
    </row>
    <row r="4284">
      <c r="A4284">
        <f>IFERROR(INDEX('Email Cleaner'!$B$2:$B$10001,MATCH(4283,'Email Cleaner'!$J$2:$J$10001,0)),"")</f>
        <v/>
      </c>
    </row>
    <row r="4285">
      <c r="A4285">
        <f>IFERROR(INDEX('Email Cleaner'!$B$2:$B$10001,MATCH(4284,'Email Cleaner'!$J$2:$J$10001,0)),"")</f>
        <v/>
      </c>
    </row>
    <row r="4286">
      <c r="A4286">
        <f>IFERROR(INDEX('Email Cleaner'!$B$2:$B$10001,MATCH(4285,'Email Cleaner'!$J$2:$J$10001,0)),"")</f>
        <v/>
      </c>
    </row>
    <row r="4287">
      <c r="A4287">
        <f>IFERROR(INDEX('Email Cleaner'!$B$2:$B$10001,MATCH(4286,'Email Cleaner'!$J$2:$J$10001,0)),"")</f>
        <v/>
      </c>
    </row>
    <row r="4288">
      <c r="A4288">
        <f>IFERROR(INDEX('Email Cleaner'!$B$2:$B$10001,MATCH(4287,'Email Cleaner'!$J$2:$J$10001,0)),"")</f>
        <v/>
      </c>
    </row>
    <row r="4289">
      <c r="A4289">
        <f>IFERROR(INDEX('Email Cleaner'!$B$2:$B$10001,MATCH(4288,'Email Cleaner'!$J$2:$J$10001,0)),"")</f>
        <v/>
      </c>
    </row>
    <row r="4290">
      <c r="A4290">
        <f>IFERROR(INDEX('Email Cleaner'!$B$2:$B$10001,MATCH(4289,'Email Cleaner'!$J$2:$J$10001,0)),"")</f>
        <v/>
      </c>
    </row>
    <row r="4291">
      <c r="A4291">
        <f>IFERROR(INDEX('Email Cleaner'!$B$2:$B$10001,MATCH(4290,'Email Cleaner'!$J$2:$J$10001,0)),"")</f>
        <v/>
      </c>
    </row>
    <row r="4292">
      <c r="A4292">
        <f>IFERROR(INDEX('Email Cleaner'!$B$2:$B$10001,MATCH(4291,'Email Cleaner'!$J$2:$J$10001,0)),"")</f>
        <v/>
      </c>
    </row>
    <row r="4293">
      <c r="A4293">
        <f>IFERROR(INDEX('Email Cleaner'!$B$2:$B$10001,MATCH(4292,'Email Cleaner'!$J$2:$J$10001,0)),"")</f>
        <v/>
      </c>
    </row>
    <row r="4294">
      <c r="A4294">
        <f>IFERROR(INDEX('Email Cleaner'!$B$2:$B$10001,MATCH(4293,'Email Cleaner'!$J$2:$J$10001,0)),"")</f>
        <v/>
      </c>
    </row>
    <row r="4295">
      <c r="A4295">
        <f>IFERROR(INDEX('Email Cleaner'!$B$2:$B$10001,MATCH(4294,'Email Cleaner'!$J$2:$J$10001,0)),"")</f>
        <v/>
      </c>
    </row>
    <row r="4296">
      <c r="A4296">
        <f>IFERROR(INDEX('Email Cleaner'!$B$2:$B$10001,MATCH(4295,'Email Cleaner'!$J$2:$J$10001,0)),"")</f>
        <v/>
      </c>
    </row>
    <row r="4297">
      <c r="A4297">
        <f>IFERROR(INDEX('Email Cleaner'!$B$2:$B$10001,MATCH(4296,'Email Cleaner'!$J$2:$J$10001,0)),"")</f>
        <v/>
      </c>
    </row>
    <row r="4298">
      <c r="A4298">
        <f>IFERROR(INDEX('Email Cleaner'!$B$2:$B$10001,MATCH(4297,'Email Cleaner'!$J$2:$J$10001,0)),"")</f>
        <v/>
      </c>
    </row>
    <row r="4299">
      <c r="A4299">
        <f>IFERROR(INDEX('Email Cleaner'!$B$2:$B$10001,MATCH(4298,'Email Cleaner'!$J$2:$J$10001,0)),"")</f>
        <v/>
      </c>
    </row>
    <row r="4300">
      <c r="A4300">
        <f>IFERROR(INDEX('Email Cleaner'!$B$2:$B$10001,MATCH(4299,'Email Cleaner'!$J$2:$J$10001,0)),"")</f>
        <v/>
      </c>
    </row>
    <row r="4301">
      <c r="A4301">
        <f>IFERROR(INDEX('Email Cleaner'!$B$2:$B$10001,MATCH(4300,'Email Cleaner'!$J$2:$J$10001,0)),"")</f>
        <v/>
      </c>
    </row>
    <row r="4302">
      <c r="A4302">
        <f>IFERROR(INDEX('Email Cleaner'!$B$2:$B$10001,MATCH(4301,'Email Cleaner'!$J$2:$J$10001,0)),"")</f>
        <v/>
      </c>
    </row>
    <row r="4303">
      <c r="A4303">
        <f>IFERROR(INDEX('Email Cleaner'!$B$2:$B$10001,MATCH(4302,'Email Cleaner'!$J$2:$J$10001,0)),"")</f>
        <v/>
      </c>
    </row>
    <row r="4304">
      <c r="A4304">
        <f>IFERROR(INDEX('Email Cleaner'!$B$2:$B$10001,MATCH(4303,'Email Cleaner'!$J$2:$J$10001,0)),"")</f>
        <v/>
      </c>
    </row>
    <row r="4305">
      <c r="A4305">
        <f>IFERROR(INDEX('Email Cleaner'!$B$2:$B$10001,MATCH(4304,'Email Cleaner'!$J$2:$J$10001,0)),"")</f>
        <v/>
      </c>
    </row>
    <row r="4306">
      <c r="A4306">
        <f>IFERROR(INDEX('Email Cleaner'!$B$2:$B$10001,MATCH(4305,'Email Cleaner'!$J$2:$J$10001,0)),"")</f>
        <v/>
      </c>
    </row>
    <row r="4307">
      <c r="A4307">
        <f>IFERROR(INDEX('Email Cleaner'!$B$2:$B$10001,MATCH(4306,'Email Cleaner'!$J$2:$J$10001,0)),"")</f>
        <v/>
      </c>
    </row>
    <row r="4308">
      <c r="A4308">
        <f>IFERROR(INDEX('Email Cleaner'!$B$2:$B$10001,MATCH(4307,'Email Cleaner'!$J$2:$J$10001,0)),"")</f>
        <v/>
      </c>
    </row>
    <row r="4309">
      <c r="A4309">
        <f>IFERROR(INDEX('Email Cleaner'!$B$2:$B$10001,MATCH(4308,'Email Cleaner'!$J$2:$J$10001,0)),"")</f>
        <v/>
      </c>
    </row>
    <row r="4310">
      <c r="A4310">
        <f>IFERROR(INDEX('Email Cleaner'!$B$2:$B$10001,MATCH(4309,'Email Cleaner'!$J$2:$J$10001,0)),"")</f>
        <v/>
      </c>
    </row>
    <row r="4311">
      <c r="A4311">
        <f>IFERROR(INDEX('Email Cleaner'!$B$2:$B$10001,MATCH(4310,'Email Cleaner'!$J$2:$J$10001,0)),"")</f>
        <v/>
      </c>
    </row>
    <row r="4312">
      <c r="A4312">
        <f>IFERROR(INDEX('Email Cleaner'!$B$2:$B$10001,MATCH(4311,'Email Cleaner'!$J$2:$J$10001,0)),"")</f>
        <v/>
      </c>
    </row>
    <row r="4313">
      <c r="A4313">
        <f>IFERROR(INDEX('Email Cleaner'!$B$2:$B$10001,MATCH(4312,'Email Cleaner'!$J$2:$J$10001,0)),"")</f>
        <v/>
      </c>
    </row>
    <row r="4314">
      <c r="A4314">
        <f>IFERROR(INDEX('Email Cleaner'!$B$2:$B$10001,MATCH(4313,'Email Cleaner'!$J$2:$J$10001,0)),"")</f>
        <v/>
      </c>
    </row>
    <row r="4315">
      <c r="A4315">
        <f>IFERROR(INDEX('Email Cleaner'!$B$2:$B$10001,MATCH(4314,'Email Cleaner'!$J$2:$J$10001,0)),"")</f>
        <v/>
      </c>
    </row>
    <row r="4316">
      <c r="A4316">
        <f>IFERROR(INDEX('Email Cleaner'!$B$2:$B$10001,MATCH(4315,'Email Cleaner'!$J$2:$J$10001,0)),"")</f>
        <v/>
      </c>
    </row>
    <row r="4317">
      <c r="A4317">
        <f>IFERROR(INDEX('Email Cleaner'!$B$2:$B$10001,MATCH(4316,'Email Cleaner'!$J$2:$J$10001,0)),"")</f>
        <v/>
      </c>
    </row>
    <row r="4318">
      <c r="A4318">
        <f>IFERROR(INDEX('Email Cleaner'!$B$2:$B$10001,MATCH(4317,'Email Cleaner'!$J$2:$J$10001,0)),"")</f>
        <v/>
      </c>
    </row>
    <row r="4319">
      <c r="A4319">
        <f>IFERROR(INDEX('Email Cleaner'!$B$2:$B$10001,MATCH(4318,'Email Cleaner'!$J$2:$J$10001,0)),"")</f>
        <v/>
      </c>
    </row>
    <row r="4320">
      <c r="A4320">
        <f>IFERROR(INDEX('Email Cleaner'!$B$2:$B$10001,MATCH(4319,'Email Cleaner'!$J$2:$J$10001,0)),"")</f>
        <v/>
      </c>
    </row>
    <row r="4321">
      <c r="A4321">
        <f>IFERROR(INDEX('Email Cleaner'!$B$2:$B$10001,MATCH(4320,'Email Cleaner'!$J$2:$J$10001,0)),"")</f>
        <v/>
      </c>
    </row>
    <row r="4322">
      <c r="A4322">
        <f>IFERROR(INDEX('Email Cleaner'!$B$2:$B$10001,MATCH(4321,'Email Cleaner'!$J$2:$J$10001,0)),"")</f>
        <v/>
      </c>
    </row>
    <row r="4323">
      <c r="A4323">
        <f>IFERROR(INDEX('Email Cleaner'!$B$2:$B$10001,MATCH(4322,'Email Cleaner'!$J$2:$J$10001,0)),"")</f>
        <v/>
      </c>
    </row>
    <row r="4324">
      <c r="A4324">
        <f>IFERROR(INDEX('Email Cleaner'!$B$2:$B$10001,MATCH(4323,'Email Cleaner'!$J$2:$J$10001,0)),"")</f>
        <v/>
      </c>
    </row>
    <row r="4325">
      <c r="A4325">
        <f>IFERROR(INDEX('Email Cleaner'!$B$2:$B$10001,MATCH(4324,'Email Cleaner'!$J$2:$J$10001,0)),"")</f>
        <v/>
      </c>
    </row>
    <row r="4326">
      <c r="A4326">
        <f>IFERROR(INDEX('Email Cleaner'!$B$2:$B$10001,MATCH(4325,'Email Cleaner'!$J$2:$J$10001,0)),"")</f>
        <v/>
      </c>
    </row>
    <row r="4327">
      <c r="A4327">
        <f>IFERROR(INDEX('Email Cleaner'!$B$2:$B$10001,MATCH(4326,'Email Cleaner'!$J$2:$J$10001,0)),"")</f>
        <v/>
      </c>
    </row>
    <row r="4328">
      <c r="A4328">
        <f>IFERROR(INDEX('Email Cleaner'!$B$2:$B$10001,MATCH(4327,'Email Cleaner'!$J$2:$J$10001,0)),"")</f>
        <v/>
      </c>
    </row>
    <row r="4329">
      <c r="A4329">
        <f>IFERROR(INDEX('Email Cleaner'!$B$2:$B$10001,MATCH(4328,'Email Cleaner'!$J$2:$J$10001,0)),"")</f>
        <v/>
      </c>
    </row>
    <row r="4330">
      <c r="A4330">
        <f>IFERROR(INDEX('Email Cleaner'!$B$2:$B$10001,MATCH(4329,'Email Cleaner'!$J$2:$J$10001,0)),"")</f>
        <v/>
      </c>
    </row>
    <row r="4331">
      <c r="A4331">
        <f>IFERROR(INDEX('Email Cleaner'!$B$2:$B$10001,MATCH(4330,'Email Cleaner'!$J$2:$J$10001,0)),"")</f>
        <v/>
      </c>
    </row>
    <row r="4332">
      <c r="A4332">
        <f>IFERROR(INDEX('Email Cleaner'!$B$2:$B$10001,MATCH(4331,'Email Cleaner'!$J$2:$J$10001,0)),"")</f>
        <v/>
      </c>
    </row>
    <row r="4333">
      <c r="A4333">
        <f>IFERROR(INDEX('Email Cleaner'!$B$2:$B$10001,MATCH(4332,'Email Cleaner'!$J$2:$J$10001,0)),"")</f>
        <v/>
      </c>
    </row>
    <row r="4334">
      <c r="A4334">
        <f>IFERROR(INDEX('Email Cleaner'!$B$2:$B$10001,MATCH(4333,'Email Cleaner'!$J$2:$J$10001,0)),"")</f>
        <v/>
      </c>
    </row>
    <row r="4335">
      <c r="A4335">
        <f>IFERROR(INDEX('Email Cleaner'!$B$2:$B$10001,MATCH(4334,'Email Cleaner'!$J$2:$J$10001,0)),"")</f>
        <v/>
      </c>
    </row>
    <row r="4336">
      <c r="A4336">
        <f>IFERROR(INDEX('Email Cleaner'!$B$2:$B$10001,MATCH(4335,'Email Cleaner'!$J$2:$J$10001,0)),"")</f>
        <v/>
      </c>
    </row>
    <row r="4337">
      <c r="A4337">
        <f>IFERROR(INDEX('Email Cleaner'!$B$2:$B$10001,MATCH(4336,'Email Cleaner'!$J$2:$J$10001,0)),"")</f>
        <v/>
      </c>
    </row>
    <row r="4338">
      <c r="A4338">
        <f>IFERROR(INDEX('Email Cleaner'!$B$2:$B$10001,MATCH(4337,'Email Cleaner'!$J$2:$J$10001,0)),"")</f>
        <v/>
      </c>
    </row>
    <row r="4339">
      <c r="A4339">
        <f>IFERROR(INDEX('Email Cleaner'!$B$2:$B$10001,MATCH(4338,'Email Cleaner'!$J$2:$J$10001,0)),"")</f>
        <v/>
      </c>
    </row>
    <row r="4340">
      <c r="A4340">
        <f>IFERROR(INDEX('Email Cleaner'!$B$2:$B$10001,MATCH(4339,'Email Cleaner'!$J$2:$J$10001,0)),"")</f>
        <v/>
      </c>
    </row>
    <row r="4341">
      <c r="A4341">
        <f>IFERROR(INDEX('Email Cleaner'!$B$2:$B$10001,MATCH(4340,'Email Cleaner'!$J$2:$J$10001,0)),"")</f>
        <v/>
      </c>
    </row>
    <row r="4342">
      <c r="A4342">
        <f>IFERROR(INDEX('Email Cleaner'!$B$2:$B$10001,MATCH(4341,'Email Cleaner'!$J$2:$J$10001,0)),"")</f>
        <v/>
      </c>
    </row>
    <row r="4343">
      <c r="A4343">
        <f>IFERROR(INDEX('Email Cleaner'!$B$2:$B$10001,MATCH(4342,'Email Cleaner'!$J$2:$J$10001,0)),"")</f>
        <v/>
      </c>
    </row>
    <row r="4344">
      <c r="A4344">
        <f>IFERROR(INDEX('Email Cleaner'!$B$2:$B$10001,MATCH(4343,'Email Cleaner'!$J$2:$J$10001,0)),"")</f>
        <v/>
      </c>
    </row>
    <row r="4345">
      <c r="A4345">
        <f>IFERROR(INDEX('Email Cleaner'!$B$2:$B$10001,MATCH(4344,'Email Cleaner'!$J$2:$J$10001,0)),"")</f>
        <v/>
      </c>
    </row>
    <row r="4346">
      <c r="A4346">
        <f>IFERROR(INDEX('Email Cleaner'!$B$2:$B$10001,MATCH(4345,'Email Cleaner'!$J$2:$J$10001,0)),"")</f>
        <v/>
      </c>
    </row>
    <row r="4347">
      <c r="A4347">
        <f>IFERROR(INDEX('Email Cleaner'!$B$2:$B$10001,MATCH(4346,'Email Cleaner'!$J$2:$J$10001,0)),"")</f>
        <v/>
      </c>
    </row>
    <row r="4348">
      <c r="A4348">
        <f>IFERROR(INDEX('Email Cleaner'!$B$2:$B$10001,MATCH(4347,'Email Cleaner'!$J$2:$J$10001,0)),"")</f>
        <v/>
      </c>
    </row>
    <row r="4349">
      <c r="A4349">
        <f>IFERROR(INDEX('Email Cleaner'!$B$2:$B$10001,MATCH(4348,'Email Cleaner'!$J$2:$J$10001,0)),"")</f>
        <v/>
      </c>
    </row>
    <row r="4350">
      <c r="A4350">
        <f>IFERROR(INDEX('Email Cleaner'!$B$2:$B$10001,MATCH(4349,'Email Cleaner'!$J$2:$J$10001,0)),"")</f>
        <v/>
      </c>
    </row>
    <row r="4351">
      <c r="A4351">
        <f>IFERROR(INDEX('Email Cleaner'!$B$2:$B$10001,MATCH(4350,'Email Cleaner'!$J$2:$J$10001,0)),"")</f>
        <v/>
      </c>
    </row>
    <row r="4352">
      <c r="A4352">
        <f>IFERROR(INDEX('Email Cleaner'!$B$2:$B$10001,MATCH(4351,'Email Cleaner'!$J$2:$J$10001,0)),"")</f>
        <v/>
      </c>
    </row>
    <row r="4353">
      <c r="A4353">
        <f>IFERROR(INDEX('Email Cleaner'!$B$2:$B$10001,MATCH(4352,'Email Cleaner'!$J$2:$J$10001,0)),"")</f>
        <v/>
      </c>
    </row>
    <row r="4354">
      <c r="A4354">
        <f>IFERROR(INDEX('Email Cleaner'!$B$2:$B$10001,MATCH(4353,'Email Cleaner'!$J$2:$J$10001,0)),"")</f>
        <v/>
      </c>
    </row>
    <row r="4355">
      <c r="A4355">
        <f>IFERROR(INDEX('Email Cleaner'!$B$2:$B$10001,MATCH(4354,'Email Cleaner'!$J$2:$J$10001,0)),"")</f>
        <v/>
      </c>
    </row>
    <row r="4356">
      <c r="A4356">
        <f>IFERROR(INDEX('Email Cleaner'!$B$2:$B$10001,MATCH(4355,'Email Cleaner'!$J$2:$J$10001,0)),"")</f>
        <v/>
      </c>
    </row>
    <row r="4357">
      <c r="A4357">
        <f>IFERROR(INDEX('Email Cleaner'!$B$2:$B$10001,MATCH(4356,'Email Cleaner'!$J$2:$J$10001,0)),"")</f>
        <v/>
      </c>
    </row>
    <row r="4358">
      <c r="A4358">
        <f>IFERROR(INDEX('Email Cleaner'!$B$2:$B$10001,MATCH(4357,'Email Cleaner'!$J$2:$J$10001,0)),"")</f>
        <v/>
      </c>
    </row>
    <row r="4359">
      <c r="A4359">
        <f>IFERROR(INDEX('Email Cleaner'!$B$2:$B$10001,MATCH(4358,'Email Cleaner'!$J$2:$J$10001,0)),"")</f>
        <v/>
      </c>
    </row>
    <row r="4360">
      <c r="A4360">
        <f>IFERROR(INDEX('Email Cleaner'!$B$2:$B$10001,MATCH(4359,'Email Cleaner'!$J$2:$J$10001,0)),"")</f>
        <v/>
      </c>
    </row>
    <row r="4361">
      <c r="A4361">
        <f>IFERROR(INDEX('Email Cleaner'!$B$2:$B$10001,MATCH(4360,'Email Cleaner'!$J$2:$J$10001,0)),"")</f>
        <v/>
      </c>
    </row>
    <row r="4362">
      <c r="A4362">
        <f>IFERROR(INDEX('Email Cleaner'!$B$2:$B$10001,MATCH(4361,'Email Cleaner'!$J$2:$J$10001,0)),"")</f>
        <v/>
      </c>
    </row>
    <row r="4363">
      <c r="A4363">
        <f>IFERROR(INDEX('Email Cleaner'!$B$2:$B$10001,MATCH(4362,'Email Cleaner'!$J$2:$J$10001,0)),"")</f>
        <v/>
      </c>
    </row>
    <row r="4364">
      <c r="A4364">
        <f>IFERROR(INDEX('Email Cleaner'!$B$2:$B$10001,MATCH(4363,'Email Cleaner'!$J$2:$J$10001,0)),"")</f>
        <v/>
      </c>
    </row>
    <row r="4365">
      <c r="A4365">
        <f>IFERROR(INDEX('Email Cleaner'!$B$2:$B$10001,MATCH(4364,'Email Cleaner'!$J$2:$J$10001,0)),"")</f>
        <v/>
      </c>
    </row>
    <row r="4366">
      <c r="A4366">
        <f>IFERROR(INDEX('Email Cleaner'!$B$2:$B$10001,MATCH(4365,'Email Cleaner'!$J$2:$J$10001,0)),"")</f>
        <v/>
      </c>
    </row>
    <row r="4367">
      <c r="A4367">
        <f>IFERROR(INDEX('Email Cleaner'!$B$2:$B$10001,MATCH(4366,'Email Cleaner'!$J$2:$J$10001,0)),"")</f>
        <v/>
      </c>
    </row>
    <row r="4368">
      <c r="A4368">
        <f>IFERROR(INDEX('Email Cleaner'!$B$2:$B$10001,MATCH(4367,'Email Cleaner'!$J$2:$J$10001,0)),"")</f>
        <v/>
      </c>
    </row>
    <row r="4369">
      <c r="A4369">
        <f>IFERROR(INDEX('Email Cleaner'!$B$2:$B$10001,MATCH(4368,'Email Cleaner'!$J$2:$J$10001,0)),"")</f>
        <v/>
      </c>
    </row>
    <row r="4370">
      <c r="A4370">
        <f>IFERROR(INDEX('Email Cleaner'!$B$2:$B$10001,MATCH(4369,'Email Cleaner'!$J$2:$J$10001,0)),"")</f>
        <v/>
      </c>
    </row>
    <row r="4371">
      <c r="A4371">
        <f>IFERROR(INDEX('Email Cleaner'!$B$2:$B$10001,MATCH(4370,'Email Cleaner'!$J$2:$J$10001,0)),"")</f>
        <v/>
      </c>
    </row>
    <row r="4372">
      <c r="A4372">
        <f>IFERROR(INDEX('Email Cleaner'!$B$2:$B$10001,MATCH(4371,'Email Cleaner'!$J$2:$J$10001,0)),"")</f>
        <v/>
      </c>
    </row>
    <row r="4373">
      <c r="A4373">
        <f>IFERROR(INDEX('Email Cleaner'!$B$2:$B$10001,MATCH(4372,'Email Cleaner'!$J$2:$J$10001,0)),"")</f>
        <v/>
      </c>
    </row>
    <row r="4374">
      <c r="A4374">
        <f>IFERROR(INDEX('Email Cleaner'!$B$2:$B$10001,MATCH(4373,'Email Cleaner'!$J$2:$J$10001,0)),"")</f>
        <v/>
      </c>
    </row>
    <row r="4375">
      <c r="A4375">
        <f>IFERROR(INDEX('Email Cleaner'!$B$2:$B$10001,MATCH(4374,'Email Cleaner'!$J$2:$J$10001,0)),"")</f>
        <v/>
      </c>
    </row>
    <row r="4376">
      <c r="A4376">
        <f>IFERROR(INDEX('Email Cleaner'!$B$2:$B$10001,MATCH(4375,'Email Cleaner'!$J$2:$J$10001,0)),"")</f>
        <v/>
      </c>
    </row>
    <row r="4377">
      <c r="A4377">
        <f>IFERROR(INDEX('Email Cleaner'!$B$2:$B$10001,MATCH(4376,'Email Cleaner'!$J$2:$J$10001,0)),"")</f>
        <v/>
      </c>
    </row>
    <row r="4378">
      <c r="A4378">
        <f>IFERROR(INDEX('Email Cleaner'!$B$2:$B$10001,MATCH(4377,'Email Cleaner'!$J$2:$J$10001,0)),"")</f>
        <v/>
      </c>
    </row>
    <row r="4379">
      <c r="A4379">
        <f>IFERROR(INDEX('Email Cleaner'!$B$2:$B$10001,MATCH(4378,'Email Cleaner'!$J$2:$J$10001,0)),"")</f>
        <v/>
      </c>
    </row>
    <row r="4380">
      <c r="A4380">
        <f>IFERROR(INDEX('Email Cleaner'!$B$2:$B$10001,MATCH(4379,'Email Cleaner'!$J$2:$J$10001,0)),"")</f>
        <v/>
      </c>
    </row>
    <row r="4381">
      <c r="A4381">
        <f>IFERROR(INDEX('Email Cleaner'!$B$2:$B$10001,MATCH(4380,'Email Cleaner'!$J$2:$J$10001,0)),"")</f>
        <v/>
      </c>
    </row>
    <row r="4382">
      <c r="A4382">
        <f>IFERROR(INDEX('Email Cleaner'!$B$2:$B$10001,MATCH(4381,'Email Cleaner'!$J$2:$J$10001,0)),"")</f>
        <v/>
      </c>
    </row>
    <row r="4383">
      <c r="A4383">
        <f>IFERROR(INDEX('Email Cleaner'!$B$2:$B$10001,MATCH(4382,'Email Cleaner'!$J$2:$J$10001,0)),"")</f>
        <v/>
      </c>
    </row>
    <row r="4384">
      <c r="A4384">
        <f>IFERROR(INDEX('Email Cleaner'!$B$2:$B$10001,MATCH(4383,'Email Cleaner'!$J$2:$J$10001,0)),"")</f>
        <v/>
      </c>
    </row>
    <row r="4385">
      <c r="A4385">
        <f>IFERROR(INDEX('Email Cleaner'!$B$2:$B$10001,MATCH(4384,'Email Cleaner'!$J$2:$J$10001,0)),"")</f>
        <v/>
      </c>
    </row>
    <row r="4386">
      <c r="A4386">
        <f>IFERROR(INDEX('Email Cleaner'!$B$2:$B$10001,MATCH(4385,'Email Cleaner'!$J$2:$J$10001,0)),"")</f>
        <v/>
      </c>
    </row>
    <row r="4387">
      <c r="A4387">
        <f>IFERROR(INDEX('Email Cleaner'!$B$2:$B$10001,MATCH(4386,'Email Cleaner'!$J$2:$J$10001,0)),"")</f>
        <v/>
      </c>
    </row>
    <row r="4388">
      <c r="A4388">
        <f>IFERROR(INDEX('Email Cleaner'!$B$2:$B$10001,MATCH(4387,'Email Cleaner'!$J$2:$J$10001,0)),"")</f>
        <v/>
      </c>
    </row>
    <row r="4389">
      <c r="A4389">
        <f>IFERROR(INDEX('Email Cleaner'!$B$2:$B$10001,MATCH(4388,'Email Cleaner'!$J$2:$J$10001,0)),"")</f>
        <v/>
      </c>
    </row>
    <row r="4390">
      <c r="A4390">
        <f>IFERROR(INDEX('Email Cleaner'!$B$2:$B$10001,MATCH(4389,'Email Cleaner'!$J$2:$J$10001,0)),"")</f>
        <v/>
      </c>
    </row>
    <row r="4391">
      <c r="A4391">
        <f>IFERROR(INDEX('Email Cleaner'!$B$2:$B$10001,MATCH(4390,'Email Cleaner'!$J$2:$J$10001,0)),"")</f>
        <v/>
      </c>
    </row>
    <row r="4392">
      <c r="A4392">
        <f>IFERROR(INDEX('Email Cleaner'!$B$2:$B$10001,MATCH(4391,'Email Cleaner'!$J$2:$J$10001,0)),"")</f>
        <v/>
      </c>
    </row>
    <row r="4393">
      <c r="A4393">
        <f>IFERROR(INDEX('Email Cleaner'!$B$2:$B$10001,MATCH(4392,'Email Cleaner'!$J$2:$J$10001,0)),"")</f>
        <v/>
      </c>
    </row>
    <row r="4394">
      <c r="A4394">
        <f>IFERROR(INDEX('Email Cleaner'!$B$2:$B$10001,MATCH(4393,'Email Cleaner'!$J$2:$J$10001,0)),"")</f>
        <v/>
      </c>
    </row>
    <row r="4395">
      <c r="A4395">
        <f>IFERROR(INDEX('Email Cleaner'!$B$2:$B$10001,MATCH(4394,'Email Cleaner'!$J$2:$J$10001,0)),"")</f>
        <v/>
      </c>
    </row>
    <row r="4396">
      <c r="A4396">
        <f>IFERROR(INDEX('Email Cleaner'!$B$2:$B$10001,MATCH(4395,'Email Cleaner'!$J$2:$J$10001,0)),"")</f>
        <v/>
      </c>
    </row>
    <row r="4397">
      <c r="A4397">
        <f>IFERROR(INDEX('Email Cleaner'!$B$2:$B$10001,MATCH(4396,'Email Cleaner'!$J$2:$J$10001,0)),"")</f>
        <v/>
      </c>
    </row>
    <row r="4398">
      <c r="A4398">
        <f>IFERROR(INDEX('Email Cleaner'!$B$2:$B$10001,MATCH(4397,'Email Cleaner'!$J$2:$J$10001,0)),"")</f>
        <v/>
      </c>
    </row>
    <row r="4399">
      <c r="A4399">
        <f>IFERROR(INDEX('Email Cleaner'!$B$2:$B$10001,MATCH(4398,'Email Cleaner'!$J$2:$J$10001,0)),"")</f>
        <v/>
      </c>
    </row>
    <row r="4400">
      <c r="A4400">
        <f>IFERROR(INDEX('Email Cleaner'!$B$2:$B$10001,MATCH(4399,'Email Cleaner'!$J$2:$J$10001,0)),"")</f>
        <v/>
      </c>
    </row>
    <row r="4401">
      <c r="A4401">
        <f>IFERROR(INDEX('Email Cleaner'!$B$2:$B$10001,MATCH(4400,'Email Cleaner'!$J$2:$J$10001,0)),"")</f>
        <v/>
      </c>
    </row>
    <row r="4402">
      <c r="A4402">
        <f>IFERROR(INDEX('Email Cleaner'!$B$2:$B$10001,MATCH(4401,'Email Cleaner'!$J$2:$J$10001,0)),"")</f>
        <v/>
      </c>
    </row>
    <row r="4403">
      <c r="A4403">
        <f>IFERROR(INDEX('Email Cleaner'!$B$2:$B$10001,MATCH(4402,'Email Cleaner'!$J$2:$J$10001,0)),"")</f>
        <v/>
      </c>
    </row>
    <row r="4404">
      <c r="A4404">
        <f>IFERROR(INDEX('Email Cleaner'!$B$2:$B$10001,MATCH(4403,'Email Cleaner'!$J$2:$J$10001,0)),"")</f>
        <v/>
      </c>
    </row>
    <row r="4405">
      <c r="A4405">
        <f>IFERROR(INDEX('Email Cleaner'!$B$2:$B$10001,MATCH(4404,'Email Cleaner'!$J$2:$J$10001,0)),"")</f>
        <v/>
      </c>
    </row>
    <row r="4406">
      <c r="A4406">
        <f>IFERROR(INDEX('Email Cleaner'!$B$2:$B$10001,MATCH(4405,'Email Cleaner'!$J$2:$J$10001,0)),"")</f>
        <v/>
      </c>
    </row>
    <row r="4407">
      <c r="A4407">
        <f>IFERROR(INDEX('Email Cleaner'!$B$2:$B$10001,MATCH(4406,'Email Cleaner'!$J$2:$J$10001,0)),"")</f>
        <v/>
      </c>
    </row>
    <row r="4408">
      <c r="A4408">
        <f>IFERROR(INDEX('Email Cleaner'!$B$2:$B$10001,MATCH(4407,'Email Cleaner'!$J$2:$J$10001,0)),"")</f>
        <v/>
      </c>
    </row>
    <row r="4409">
      <c r="A4409">
        <f>IFERROR(INDEX('Email Cleaner'!$B$2:$B$10001,MATCH(4408,'Email Cleaner'!$J$2:$J$10001,0)),"")</f>
        <v/>
      </c>
    </row>
    <row r="4410">
      <c r="A4410">
        <f>IFERROR(INDEX('Email Cleaner'!$B$2:$B$10001,MATCH(4409,'Email Cleaner'!$J$2:$J$10001,0)),"")</f>
        <v/>
      </c>
    </row>
    <row r="4411">
      <c r="A4411">
        <f>IFERROR(INDEX('Email Cleaner'!$B$2:$B$10001,MATCH(4410,'Email Cleaner'!$J$2:$J$10001,0)),"")</f>
        <v/>
      </c>
    </row>
    <row r="4412">
      <c r="A4412">
        <f>IFERROR(INDEX('Email Cleaner'!$B$2:$B$10001,MATCH(4411,'Email Cleaner'!$J$2:$J$10001,0)),"")</f>
        <v/>
      </c>
    </row>
    <row r="4413">
      <c r="A4413">
        <f>IFERROR(INDEX('Email Cleaner'!$B$2:$B$10001,MATCH(4412,'Email Cleaner'!$J$2:$J$10001,0)),"")</f>
        <v/>
      </c>
    </row>
    <row r="4414">
      <c r="A4414">
        <f>IFERROR(INDEX('Email Cleaner'!$B$2:$B$10001,MATCH(4413,'Email Cleaner'!$J$2:$J$10001,0)),"")</f>
        <v/>
      </c>
    </row>
    <row r="4415">
      <c r="A4415">
        <f>IFERROR(INDEX('Email Cleaner'!$B$2:$B$10001,MATCH(4414,'Email Cleaner'!$J$2:$J$10001,0)),"")</f>
        <v/>
      </c>
    </row>
    <row r="4416">
      <c r="A4416">
        <f>IFERROR(INDEX('Email Cleaner'!$B$2:$B$10001,MATCH(4415,'Email Cleaner'!$J$2:$J$10001,0)),"")</f>
        <v/>
      </c>
    </row>
    <row r="4417">
      <c r="A4417">
        <f>IFERROR(INDEX('Email Cleaner'!$B$2:$B$10001,MATCH(4416,'Email Cleaner'!$J$2:$J$10001,0)),"")</f>
        <v/>
      </c>
    </row>
    <row r="4418">
      <c r="A4418">
        <f>IFERROR(INDEX('Email Cleaner'!$B$2:$B$10001,MATCH(4417,'Email Cleaner'!$J$2:$J$10001,0)),"")</f>
        <v/>
      </c>
    </row>
    <row r="4419">
      <c r="A4419">
        <f>IFERROR(INDEX('Email Cleaner'!$B$2:$B$10001,MATCH(4418,'Email Cleaner'!$J$2:$J$10001,0)),"")</f>
        <v/>
      </c>
    </row>
    <row r="4420">
      <c r="A4420">
        <f>IFERROR(INDEX('Email Cleaner'!$B$2:$B$10001,MATCH(4419,'Email Cleaner'!$J$2:$J$10001,0)),"")</f>
        <v/>
      </c>
    </row>
    <row r="4421">
      <c r="A4421">
        <f>IFERROR(INDEX('Email Cleaner'!$B$2:$B$10001,MATCH(4420,'Email Cleaner'!$J$2:$J$10001,0)),"")</f>
        <v/>
      </c>
    </row>
    <row r="4422">
      <c r="A4422">
        <f>IFERROR(INDEX('Email Cleaner'!$B$2:$B$10001,MATCH(4421,'Email Cleaner'!$J$2:$J$10001,0)),"")</f>
        <v/>
      </c>
    </row>
    <row r="4423">
      <c r="A4423">
        <f>IFERROR(INDEX('Email Cleaner'!$B$2:$B$10001,MATCH(4422,'Email Cleaner'!$J$2:$J$10001,0)),"")</f>
        <v/>
      </c>
    </row>
    <row r="4424">
      <c r="A4424">
        <f>IFERROR(INDEX('Email Cleaner'!$B$2:$B$10001,MATCH(4423,'Email Cleaner'!$J$2:$J$10001,0)),"")</f>
        <v/>
      </c>
    </row>
    <row r="4425">
      <c r="A4425">
        <f>IFERROR(INDEX('Email Cleaner'!$B$2:$B$10001,MATCH(4424,'Email Cleaner'!$J$2:$J$10001,0)),"")</f>
        <v/>
      </c>
    </row>
    <row r="4426">
      <c r="A4426">
        <f>IFERROR(INDEX('Email Cleaner'!$B$2:$B$10001,MATCH(4425,'Email Cleaner'!$J$2:$J$10001,0)),"")</f>
        <v/>
      </c>
    </row>
    <row r="4427">
      <c r="A4427">
        <f>IFERROR(INDEX('Email Cleaner'!$B$2:$B$10001,MATCH(4426,'Email Cleaner'!$J$2:$J$10001,0)),"")</f>
        <v/>
      </c>
    </row>
    <row r="4428">
      <c r="A4428">
        <f>IFERROR(INDEX('Email Cleaner'!$B$2:$B$10001,MATCH(4427,'Email Cleaner'!$J$2:$J$10001,0)),"")</f>
        <v/>
      </c>
    </row>
    <row r="4429">
      <c r="A4429">
        <f>IFERROR(INDEX('Email Cleaner'!$B$2:$B$10001,MATCH(4428,'Email Cleaner'!$J$2:$J$10001,0)),"")</f>
        <v/>
      </c>
    </row>
    <row r="4430">
      <c r="A4430">
        <f>IFERROR(INDEX('Email Cleaner'!$B$2:$B$10001,MATCH(4429,'Email Cleaner'!$J$2:$J$10001,0)),"")</f>
        <v/>
      </c>
    </row>
    <row r="4431">
      <c r="A4431">
        <f>IFERROR(INDEX('Email Cleaner'!$B$2:$B$10001,MATCH(4430,'Email Cleaner'!$J$2:$J$10001,0)),"")</f>
        <v/>
      </c>
    </row>
    <row r="4432">
      <c r="A4432">
        <f>IFERROR(INDEX('Email Cleaner'!$B$2:$B$10001,MATCH(4431,'Email Cleaner'!$J$2:$J$10001,0)),"")</f>
        <v/>
      </c>
    </row>
    <row r="4433">
      <c r="A4433">
        <f>IFERROR(INDEX('Email Cleaner'!$B$2:$B$10001,MATCH(4432,'Email Cleaner'!$J$2:$J$10001,0)),"")</f>
        <v/>
      </c>
    </row>
    <row r="4434">
      <c r="A4434">
        <f>IFERROR(INDEX('Email Cleaner'!$B$2:$B$10001,MATCH(4433,'Email Cleaner'!$J$2:$J$10001,0)),"")</f>
        <v/>
      </c>
    </row>
    <row r="4435">
      <c r="A4435">
        <f>IFERROR(INDEX('Email Cleaner'!$B$2:$B$10001,MATCH(4434,'Email Cleaner'!$J$2:$J$10001,0)),"")</f>
        <v/>
      </c>
    </row>
    <row r="4436">
      <c r="A4436">
        <f>IFERROR(INDEX('Email Cleaner'!$B$2:$B$10001,MATCH(4435,'Email Cleaner'!$J$2:$J$10001,0)),"")</f>
        <v/>
      </c>
    </row>
    <row r="4437">
      <c r="A4437">
        <f>IFERROR(INDEX('Email Cleaner'!$B$2:$B$10001,MATCH(4436,'Email Cleaner'!$J$2:$J$10001,0)),"")</f>
        <v/>
      </c>
    </row>
    <row r="4438">
      <c r="A4438">
        <f>IFERROR(INDEX('Email Cleaner'!$B$2:$B$10001,MATCH(4437,'Email Cleaner'!$J$2:$J$10001,0)),"")</f>
        <v/>
      </c>
    </row>
    <row r="4439">
      <c r="A4439">
        <f>IFERROR(INDEX('Email Cleaner'!$B$2:$B$10001,MATCH(4438,'Email Cleaner'!$J$2:$J$10001,0)),"")</f>
        <v/>
      </c>
    </row>
    <row r="4440">
      <c r="A4440">
        <f>IFERROR(INDEX('Email Cleaner'!$B$2:$B$10001,MATCH(4439,'Email Cleaner'!$J$2:$J$10001,0)),"")</f>
        <v/>
      </c>
    </row>
    <row r="4441">
      <c r="A4441">
        <f>IFERROR(INDEX('Email Cleaner'!$B$2:$B$10001,MATCH(4440,'Email Cleaner'!$J$2:$J$10001,0)),"")</f>
        <v/>
      </c>
    </row>
    <row r="4442">
      <c r="A4442">
        <f>IFERROR(INDEX('Email Cleaner'!$B$2:$B$10001,MATCH(4441,'Email Cleaner'!$J$2:$J$10001,0)),"")</f>
        <v/>
      </c>
    </row>
    <row r="4443">
      <c r="A4443">
        <f>IFERROR(INDEX('Email Cleaner'!$B$2:$B$10001,MATCH(4442,'Email Cleaner'!$J$2:$J$10001,0)),"")</f>
        <v/>
      </c>
    </row>
    <row r="4444">
      <c r="A4444">
        <f>IFERROR(INDEX('Email Cleaner'!$B$2:$B$10001,MATCH(4443,'Email Cleaner'!$J$2:$J$10001,0)),"")</f>
        <v/>
      </c>
    </row>
    <row r="4445">
      <c r="A4445">
        <f>IFERROR(INDEX('Email Cleaner'!$B$2:$B$10001,MATCH(4444,'Email Cleaner'!$J$2:$J$10001,0)),"")</f>
        <v/>
      </c>
    </row>
    <row r="4446">
      <c r="A4446">
        <f>IFERROR(INDEX('Email Cleaner'!$B$2:$B$10001,MATCH(4445,'Email Cleaner'!$J$2:$J$10001,0)),"")</f>
        <v/>
      </c>
    </row>
    <row r="4447">
      <c r="A4447">
        <f>IFERROR(INDEX('Email Cleaner'!$B$2:$B$10001,MATCH(4446,'Email Cleaner'!$J$2:$J$10001,0)),"")</f>
        <v/>
      </c>
    </row>
    <row r="4448">
      <c r="A4448">
        <f>IFERROR(INDEX('Email Cleaner'!$B$2:$B$10001,MATCH(4447,'Email Cleaner'!$J$2:$J$10001,0)),"")</f>
        <v/>
      </c>
    </row>
    <row r="4449">
      <c r="A4449">
        <f>IFERROR(INDEX('Email Cleaner'!$B$2:$B$10001,MATCH(4448,'Email Cleaner'!$J$2:$J$10001,0)),"")</f>
        <v/>
      </c>
    </row>
    <row r="4450">
      <c r="A4450">
        <f>IFERROR(INDEX('Email Cleaner'!$B$2:$B$10001,MATCH(4449,'Email Cleaner'!$J$2:$J$10001,0)),"")</f>
        <v/>
      </c>
    </row>
    <row r="4451">
      <c r="A4451">
        <f>IFERROR(INDEX('Email Cleaner'!$B$2:$B$10001,MATCH(4450,'Email Cleaner'!$J$2:$J$10001,0)),"")</f>
        <v/>
      </c>
    </row>
    <row r="4452">
      <c r="A4452">
        <f>IFERROR(INDEX('Email Cleaner'!$B$2:$B$10001,MATCH(4451,'Email Cleaner'!$J$2:$J$10001,0)),"")</f>
        <v/>
      </c>
    </row>
    <row r="4453">
      <c r="A4453">
        <f>IFERROR(INDEX('Email Cleaner'!$B$2:$B$10001,MATCH(4452,'Email Cleaner'!$J$2:$J$10001,0)),"")</f>
        <v/>
      </c>
    </row>
    <row r="4454">
      <c r="A4454">
        <f>IFERROR(INDEX('Email Cleaner'!$B$2:$B$10001,MATCH(4453,'Email Cleaner'!$J$2:$J$10001,0)),"")</f>
        <v/>
      </c>
    </row>
    <row r="4455">
      <c r="A4455">
        <f>IFERROR(INDEX('Email Cleaner'!$B$2:$B$10001,MATCH(4454,'Email Cleaner'!$J$2:$J$10001,0)),"")</f>
        <v/>
      </c>
    </row>
    <row r="4456">
      <c r="A4456">
        <f>IFERROR(INDEX('Email Cleaner'!$B$2:$B$10001,MATCH(4455,'Email Cleaner'!$J$2:$J$10001,0)),"")</f>
        <v/>
      </c>
    </row>
    <row r="4457">
      <c r="A4457">
        <f>IFERROR(INDEX('Email Cleaner'!$B$2:$B$10001,MATCH(4456,'Email Cleaner'!$J$2:$J$10001,0)),"")</f>
        <v/>
      </c>
    </row>
    <row r="4458">
      <c r="A4458">
        <f>IFERROR(INDEX('Email Cleaner'!$B$2:$B$10001,MATCH(4457,'Email Cleaner'!$J$2:$J$10001,0)),"")</f>
        <v/>
      </c>
    </row>
    <row r="4459">
      <c r="A4459">
        <f>IFERROR(INDEX('Email Cleaner'!$B$2:$B$10001,MATCH(4458,'Email Cleaner'!$J$2:$J$10001,0)),"")</f>
        <v/>
      </c>
    </row>
    <row r="4460">
      <c r="A4460">
        <f>IFERROR(INDEX('Email Cleaner'!$B$2:$B$10001,MATCH(4459,'Email Cleaner'!$J$2:$J$10001,0)),"")</f>
        <v/>
      </c>
    </row>
    <row r="4461">
      <c r="A4461">
        <f>IFERROR(INDEX('Email Cleaner'!$B$2:$B$10001,MATCH(4460,'Email Cleaner'!$J$2:$J$10001,0)),"")</f>
        <v/>
      </c>
    </row>
    <row r="4462">
      <c r="A4462">
        <f>IFERROR(INDEX('Email Cleaner'!$B$2:$B$10001,MATCH(4461,'Email Cleaner'!$J$2:$J$10001,0)),"")</f>
        <v/>
      </c>
    </row>
    <row r="4463">
      <c r="A4463">
        <f>IFERROR(INDEX('Email Cleaner'!$B$2:$B$10001,MATCH(4462,'Email Cleaner'!$J$2:$J$10001,0)),"")</f>
        <v/>
      </c>
    </row>
    <row r="4464">
      <c r="A4464">
        <f>IFERROR(INDEX('Email Cleaner'!$B$2:$B$10001,MATCH(4463,'Email Cleaner'!$J$2:$J$10001,0)),"")</f>
        <v/>
      </c>
    </row>
    <row r="4465">
      <c r="A4465">
        <f>IFERROR(INDEX('Email Cleaner'!$B$2:$B$10001,MATCH(4464,'Email Cleaner'!$J$2:$J$10001,0)),"")</f>
        <v/>
      </c>
    </row>
    <row r="4466">
      <c r="A4466">
        <f>IFERROR(INDEX('Email Cleaner'!$B$2:$B$10001,MATCH(4465,'Email Cleaner'!$J$2:$J$10001,0)),"")</f>
        <v/>
      </c>
    </row>
    <row r="4467">
      <c r="A4467">
        <f>IFERROR(INDEX('Email Cleaner'!$B$2:$B$10001,MATCH(4466,'Email Cleaner'!$J$2:$J$10001,0)),"")</f>
        <v/>
      </c>
    </row>
    <row r="4468">
      <c r="A4468">
        <f>IFERROR(INDEX('Email Cleaner'!$B$2:$B$10001,MATCH(4467,'Email Cleaner'!$J$2:$J$10001,0)),"")</f>
        <v/>
      </c>
    </row>
    <row r="4469">
      <c r="A4469">
        <f>IFERROR(INDEX('Email Cleaner'!$B$2:$B$10001,MATCH(4468,'Email Cleaner'!$J$2:$J$10001,0)),"")</f>
        <v/>
      </c>
    </row>
    <row r="4470">
      <c r="A4470">
        <f>IFERROR(INDEX('Email Cleaner'!$B$2:$B$10001,MATCH(4469,'Email Cleaner'!$J$2:$J$10001,0)),"")</f>
        <v/>
      </c>
    </row>
    <row r="4471">
      <c r="A4471">
        <f>IFERROR(INDEX('Email Cleaner'!$B$2:$B$10001,MATCH(4470,'Email Cleaner'!$J$2:$J$10001,0)),"")</f>
        <v/>
      </c>
    </row>
    <row r="4472">
      <c r="A4472">
        <f>IFERROR(INDEX('Email Cleaner'!$B$2:$B$10001,MATCH(4471,'Email Cleaner'!$J$2:$J$10001,0)),"")</f>
        <v/>
      </c>
    </row>
    <row r="4473">
      <c r="A4473">
        <f>IFERROR(INDEX('Email Cleaner'!$B$2:$B$10001,MATCH(4472,'Email Cleaner'!$J$2:$J$10001,0)),"")</f>
        <v/>
      </c>
    </row>
    <row r="4474">
      <c r="A4474">
        <f>IFERROR(INDEX('Email Cleaner'!$B$2:$B$10001,MATCH(4473,'Email Cleaner'!$J$2:$J$10001,0)),"")</f>
        <v/>
      </c>
    </row>
    <row r="4475">
      <c r="A4475">
        <f>IFERROR(INDEX('Email Cleaner'!$B$2:$B$10001,MATCH(4474,'Email Cleaner'!$J$2:$J$10001,0)),"")</f>
        <v/>
      </c>
    </row>
    <row r="4476">
      <c r="A4476">
        <f>IFERROR(INDEX('Email Cleaner'!$B$2:$B$10001,MATCH(4475,'Email Cleaner'!$J$2:$J$10001,0)),"")</f>
        <v/>
      </c>
    </row>
    <row r="4477">
      <c r="A4477">
        <f>IFERROR(INDEX('Email Cleaner'!$B$2:$B$10001,MATCH(4476,'Email Cleaner'!$J$2:$J$10001,0)),"")</f>
        <v/>
      </c>
    </row>
    <row r="4478">
      <c r="A4478">
        <f>IFERROR(INDEX('Email Cleaner'!$B$2:$B$10001,MATCH(4477,'Email Cleaner'!$J$2:$J$10001,0)),"")</f>
        <v/>
      </c>
    </row>
    <row r="4479">
      <c r="A4479">
        <f>IFERROR(INDEX('Email Cleaner'!$B$2:$B$10001,MATCH(4478,'Email Cleaner'!$J$2:$J$10001,0)),"")</f>
        <v/>
      </c>
    </row>
    <row r="4480">
      <c r="A4480">
        <f>IFERROR(INDEX('Email Cleaner'!$B$2:$B$10001,MATCH(4479,'Email Cleaner'!$J$2:$J$10001,0)),"")</f>
        <v/>
      </c>
    </row>
    <row r="4481">
      <c r="A4481">
        <f>IFERROR(INDEX('Email Cleaner'!$B$2:$B$10001,MATCH(4480,'Email Cleaner'!$J$2:$J$10001,0)),"")</f>
        <v/>
      </c>
    </row>
    <row r="4482">
      <c r="A4482">
        <f>IFERROR(INDEX('Email Cleaner'!$B$2:$B$10001,MATCH(4481,'Email Cleaner'!$J$2:$J$10001,0)),"")</f>
        <v/>
      </c>
    </row>
    <row r="4483">
      <c r="A4483">
        <f>IFERROR(INDEX('Email Cleaner'!$B$2:$B$10001,MATCH(4482,'Email Cleaner'!$J$2:$J$10001,0)),"")</f>
        <v/>
      </c>
    </row>
    <row r="4484">
      <c r="A4484">
        <f>IFERROR(INDEX('Email Cleaner'!$B$2:$B$10001,MATCH(4483,'Email Cleaner'!$J$2:$J$10001,0)),"")</f>
        <v/>
      </c>
    </row>
    <row r="4485">
      <c r="A4485">
        <f>IFERROR(INDEX('Email Cleaner'!$B$2:$B$10001,MATCH(4484,'Email Cleaner'!$J$2:$J$10001,0)),"")</f>
        <v/>
      </c>
    </row>
    <row r="4486">
      <c r="A4486">
        <f>IFERROR(INDEX('Email Cleaner'!$B$2:$B$10001,MATCH(4485,'Email Cleaner'!$J$2:$J$10001,0)),"")</f>
        <v/>
      </c>
    </row>
    <row r="4487">
      <c r="A4487">
        <f>IFERROR(INDEX('Email Cleaner'!$B$2:$B$10001,MATCH(4486,'Email Cleaner'!$J$2:$J$10001,0)),"")</f>
        <v/>
      </c>
    </row>
    <row r="4488">
      <c r="A4488">
        <f>IFERROR(INDEX('Email Cleaner'!$B$2:$B$10001,MATCH(4487,'Email Cleaner'!$J$2:$J$10001,0)),"")</f>
        <v/>
      </c>
    </row>
    <row r="4489">
      <c r="A4489">
        <f>IFERROR(INDEX('Email Cleaner'!$B$2:$B$10001,MATCH(4488,'Email Cleaner'!$J$2:$J$10001,0)),"")</f>
        <v/>
      </c>
    </row>
    <row r="4490">
      <c r="A4490">
        <f>IFERROR(INDEX('Email Cleaner'!$B$2:$B$10001,MATCH(4489,'Email Cleaner'!$J$2:$J$10001,0)),"")</f>
        <v/>
      </c>
    </row>
    <row r="4491">
      <c r="A4491">
        <f>IFERROR(INDEX('Email Cleaner'!$B$2:$B$10001,MATCH(4490,'Email Cleaner'!$J$2:$J$10001,0)),"")</f>
        <v/>
      </c>
    </row>
    <row r="4492">
      <c r="A4492">
        <f>IFERROR(INDEX('Email Cleaner'!$B$2:$B$10001,MATCH(4491,'Email Cleaner'!$J$2:$J$10001,0)),"")</f>
        <v/>
      </c>
    </row>
    <row r="4493">
      <c r="A4493">
        <f>IFERROR(INDEX('Email Cleaner'!$B$2:$B$10001,MATCH(4492,'Email Cleaner'!$J$2:$J$10001,0)),"")</f>
        <v/>
      </c>
    </row>
    <row r="4494">
      <c r="A4494">
        <f>IFERROR(INDEX('Email Cleaner'!$B$2:$B$10001,MATCH(4493,'Email Cleaner'!$J$2:$J$10001,0)),"")</f>
        <v/>
      </c>
    </row>
    <row r="4495">
      <c r="A4495">
        <f>IFERROR(INDEX('Email Cleaner'!$B$2:$B$10001,MATCH(4494,'Email Cleaner'!$J$2:$J$10001,0)),"")</f>
        <v/>
      </c>
    </row>
    <row r="4496">
      <c r="A4496">
        <f>IFERROR(INDEX('Email Cleaner'!$B$2:$B$10001,MATCH(4495,'Email Cleaner'!$J$2:$J$10001,0)),"")</f>
        <v/>
      </c>
    </row>
    <row r="4497">
      <c r="A4497">
        <f>IFERROR(INDEX('Email Cleaner'!$B$2:$B$10001,MATCH(4496,'Email Cleaner'!$J$2:$J$10001,0)),"")</f>
        <v/>
      </c>
    </row>
    <row r="4498">
      <c r="A4498">
        <f>IFERROR(INDEX('Email Cleaner'!$B$2:$B$10001,MATCH(4497,'Email Cleaner'!$J$2:$J$10001,0)),"")</f>
        <v/>
      </c>
    </row>
    <row r="4499">
      <c r="A4499">
        <f>IFERROR(INDEX('Email Cleaner'!$B$2:$B$10001,MATCH(4498,'Email Cleaner'!$J$2:$J$10001,0)),"")</f>
        <v/>
      </c>
    </row>
    <row r="4500">
      <c r="A4500">
        <f>IFERROR(INDEX('Email Cleaner'!$B$2:$B$10001,MATCH(4499,'Email Cleaner'!$J$2:$J$10001,0)),"")</f>
        <v/>
      </c>
    </row>
    <row r="4501">
      <c r="A4501">
        <f>IFERROR(INDEX('Email Cleaner'!$B$2:$B$10001,MATCH(4500,'Email Cleaner'!$J$2:$J$10001,0)),"")</f>
        <v/>
      </c>
    </row>
    <row r="4502">
      <c r="A4502">
        <f>IFERROR(INDEX('Email Cleaner'!$B$2:$B$10001,MATCH(4501,'Email Cleaner'!$J$2:$J$10001,0)),"")</f>
        <v/>
      </c>
    </row>
    <row r="4503">
      <c r="A4503">
        <f>IFERROR(INDEX('Email Cleaner'!$B$2:$B$10001,MATCH(4502,'Email Cleaner'!$J$2:$J$10001,0)),"")</f>
        <v/>
      </c>
    </row>
    <row r="4504">
      <c r="A4504">
        <f>IFERROR(INDEX('Email Cleaner'!$B$2:$B$10001,MATCH(4503,'Email Cleaner'!$J$2:$J$10001,0)),"")</f>
        <v/>
      </c>
    </row>
    <row r="4505">
      <c r="A4505">
        <f>IFERROR(INDEX('Email Cleaner'!$B$2:$B$10001,MATCH(4504,'Email Cleaner'!$J$2:$J$10001,0)),"")</f>
        <v/>
      </c>
    </row>
    <row r="4506">
      <c r="A4506">
        <f>IFERROR(INDEX('Email Cleaner'!$B$2:$B$10001,MATCH(4505,'Email Cleaner'!$J$2:$J$10001,0)),"")</f>
        <v/>
      </c>
    </row>
    <row r="4507">
      <c r="A4507">
        <f>IFERROR(INDEX('Email Cleaner'!$B$2:$B$10001,MATCH(4506,'Email Cleaner'!$J$2:$J$10001,0)),"")</f>
        <v/>
      </c>
    </row>
    <row r="4508">
      <c r="A4508">
        <f>IFERROR(INDEX('Email Cleaner'!$B$2:$B$10001,MATCH(4507,'Email Cleaner'!$J$2:$J$10001,0)),"")</f>
        <v/>
      </c>
    </row>
    <row r="4509">
      <c r="A4509">
        <f>IFERROR(INDEX('Email Cleaner'!$B$2:$B$10001,MATCH(4508,'Email Cleaner'!$J$2:$J$10001,0)),"")</f>
        <v/>
      </c>
    </row>
    <row r="4510">
      <c r="A4510">
        <f>IFERROR(INDEX('Email Cleaner'!$B$2:$B$10001,MATCH(4509,'Email Cleaner'!$J$2:$J$10001,0)),"")</f>
        <v/>
      </c>
    </row>
    <row r="4511">
      <c r="A4511">
        <f>IFERROR(INDEX('Email Cleaner'!$B$2:$B$10001,MATCH(4510,'Email Cleaner'!$J$2:$J$10001,0)),"")</f>
        <v/>
      </c>
    </row>
    <row r="4512">
      <c r="A4512">
        <f>IFERROR(INDEX('Email Cleaner'!$B$2:$B$10001,MATCH(4511,'Email Cleaner'!$J$2:$J$10001,0)),"")</f>
        <v/>
      </c>
    </row>
    <row r="4513">
      <c r="A4513">
        <f>IFERROR(INDEX('Email Cleaner'!$B$2:$B$10001,MATCH(4512,'Email Cleaner'!$J$2:$J$10001,0)),"")</f>
        <v/>
      </c>
    </row>
    <row r="4514">
      <c r="A4514">
        <f>IFERROR(INDEX('Email Cleaner'!$B$2:$B$10001,MATCH(4513,'Email Cleaner'!$J$2:$J$10001,0)),"")</f>
        <v/>
      </c>
    </row>
    <row r="4515">
      <c r="A4515">
        <f>IFERROR(INDEX('Email Cleaner'!$B$2:$B$10001,MATCH(4514,'Email Cleaner'!$J$2:$J$10001,0)),"")</f>
        <v/>
      </c>
    </row>
    <row r="4516">
      <c r="A4516">
        <f>IFERROR(INDEX('Email Cleaner'!$B$2:$B$10001,MATCH(4515,'Email Cleaner'!$J$2:$J$10001,0)),"")</f>
        <v/>
      </c>
    </row>
    <row r="4517">
      <c r="A4517">
        <f>IFERROR(INDEX('Email Cleaner'!$B$2:$B$10001,MATCH(4516,'Email Cleaner'!$J$2:$J$10001,0)),"")</f>
        <v/>
      </c>
    </row>
    <row r="4518">
      <c r="A4518">
        <f>IFERROR(INDEX('Email Cleaner'!$B$2:$B$10001,MATCH(4517,'Email Cleaner'!$J$2:$J$10001,0)),"")</f>
        <v/>
      </c>
    </row>
    <row r="4519">
      <c r="A4519">
        <f>IFERROR(INDEX('Email Cleaner'!$B$2:$B$10001,MATCH(4518,'Email Cleaner'!$J$2:$J$10001,0)),"")</f>
        <v/>
      </c>
    </row>
    <row r="4520">
      <c r="A4520">
        <f>IFERROR(INDEX('Email Cleaner'!$B$2:$B$10001,MATCH(4519,'Email Cleaner'!$J$2:$J$10001,0)),"")</f>
        <v/>
      </c>
    </row>
    <row r="4521">
      <c r="A4521">
        <f>IFERROR(INDEX('Email Cleaner'!$B$2:$B$10001,MATCH(4520,'Email Cleaner'!$J$2:$J$10001,0)),"")</f>
        <v/>
      </c>
    </row>
    <row r="4522">
      <c r="A4522">
        <f>IFERROR(INDEX('Email Cleaner'!$B$2:$B$10001,MATCH(4521,'Email Cleaner'!$J$2:$J$10001,0)),"")</f>
        <v/>
      </c>
    </row>
    <row r="4523">
      <c r="A4523">
        <f>IFERROR(INDEX('Email Cleaner'!$B$2:$B$10001,MATCH(4522,'Email Cleaner'!$J$2:$J$10001,0)),"")</f>
        <v/>
      </c>
    </row>
    <row r="4524">
      <c r="A4524">
        <f>IFERROR(INDEX('Email Cleaner'!$B$2:$B$10001,MATCH(4523,'Email Cleaner'!$J$2:$J$10001,0)),"")</f>
        <v/>
      </c>
    </row>
    <row r="4525">
      <c r="A4525">
        <f>IFERROR(INDEX('Email Cleaner'!$B$2:$B$10001,MATCH(4524,'Email Cleaner'!$J$2:$J$10001,0)),"")</f>
        <v/>
      </c>
    </row>
    <row r="4526">
      <c r="A4526">
        <f>IFERROR(INDEX('Email Cleaner'!$B$2:$B$10001,MATCH(4525,'Email Cleaner'!$J$2:$J$10001,0)),"")</f>
        <v/>
      </c>
    </row>
    <row r="4527">
      <c r="A4527">
        <f>IFERROR(INDEX('Email Cleaner'!$B$2:$B$10001,MATCH(4526,'Email Cleaner'!$J$2:$J$10001,0)),"")</f>
        <v/>
      </c>
    </row>
    <row r="4528">
      <c r="A4528">
        <f>IFERROR(INDEX('Email Cleaner'!$B$2:$B$10001,MATCH(4527,'Email Cleaner'!$J$2:$J$10001,0)),"")</f>
        <v/>
      </c>
    </row>
    <row r="4529">
      <c r="A4529">
        <f>IFERROR(INDEX('Email Cleaner'!$B$2:$B$10001,MATCH(4528,'Email Cleaner'!$J$2:$J$10001,0)),"")</f>
        <v/>
      </c>
    </row>
    <row r="4530">
      <c r="A4530">
        <f>IFERROR(INDEX('Email Cleaner'!$B$2:$B$10001,MATCH(4529,'Email Cleaner'!$J$2:$J$10001,0)),"")</f>
        <v/>
      </c>
    </row>
    <row r="4531">
      <c r="A4531">
        <f>IFERROR(INDEX('Email Cleaner'!$B$2:$B$10001,MATCH(4530,'Email Cleaner'!$J$2:$J$10001,0)),"")</f>
        <v/>
      </c>
    </row>
    <row r="4532">
      <c r="A4532">
        <f>IFERROR(INDEX('Email Cleaner'!$B$2:$B$10001,MATCH(4531,'Email Cleaner'!$J$2:$J$10001,0)),"")</f>
        <v/>
      </c>
    </row>
    <row r="4533">
      <c r="A4533">
        <f>IFERROR(INDEX('Email Cleaner'!$B$2:$B$10001,MATCH(4532,'Email Cleaner'!$J$2:$J$10001,0)),"")</f>
        <v/>
      </c>
    </row>
    <row r="4534">
      <c r="A4534">
        <f>IFERROR(INDEX('Email Cleaner'!$B$2:$B$10001,MATCH(4533,'Email Cleaner'!$J$2:$J$10001,0)),"")</f>
        <v/>
      </c>
    </row>
    <row r="4535">
      <c r="A4535">
        <f>IFERROR(INDEX('Email Cleaner'!$B$2:$B$10001,MATCH(4534,'Email Cleaner'!$J$2:$J$10001,0)),"")</f>
        <v/>
      </c>
    </row>
    <row r="4536">
      <c r="A4536">
        <f>IFERROR(INDEX('Email Cleaner'!$B$2:$B$10001,MATCH(4535,'Email Cleaner'!$J$2:$J$10001,0)),"")</f>
        <v/>
      </c>
    </row>
    <row r="4537">
      <c r="A4537">
        <f>IFERROR(INDEX('Email Cleaner'!$B$2:$B$10001,MATCH(4536,'Email Cleaner'!$J$2:$J$10001,0)),"")</f>
        <v/>
      </c>
    </row>
    <row r="4538">
      <c r="A4538">
        <f>IFERROR(INDEX('Email Cleaner'!$B$2:$B$10001,MATCH(4537,'Email Cleaner'!$J$2:$J$10001,0)),"")</f>
        <v/>
      </c>
    </row>
    <row r="4539">
      <c r="A4539">
        <f>IFERROR(INDEX('Email Cleaner'!$B$2:$B$10001,MATCH(4538,'Email Cleaner'!$J$2:$J$10001,0)),"")</f>
        <v/>
      </c>
    </row>
    <row r="4540">
      <c r="A4540">
        <f>IFERROR(INDEX('Email Cleaner'!$B$2:$B$10001,MATCH(4539,'Email Cleaner'!$J$2:$J$10001,0)),"")</f>
        <v/>
      </c>
    </row>
    <row r="4541">
      <c r="A4541">
        <f>IFERROR(INDEX('Email Cleaner'!$B$2:$B$10001,MATCH(4540,'Email Cleaner'!$J$2:$J$10001,0)),"")</f>
        <v/>
      </c>
    </row>
    <row r="4542">
      <c r="A4542">
        <f>IFERROR(INDEX('Email Cleaner'!$B$2:$B$10001,MATCH(4541,'Email Cleaner'!$J$2:$J$10001,0)),"")</f>
        <v/>
      </c>
    </row>
    <row r="4543">
      <c r="A4543">
        <f>IFERROR(INDEX('Email Cleaner'!$B$2:$B$10001,MATCH(4542,'Email Cleaner'!$J$2:$J$10001,0)),"")</f>
        <v/>
      </c>
    </row>
    <row r="4544">
      <c r="A4544">
        <f>IFERROR(INDEX('Email Cleaner'!$B$2:$B$10001,MATCH(4543,'Email Cleaner'!$J$2:$J$10001,0)),"")</f>
        <v/>
      </c>
    </row>
    <row r="4545">
      <c r="A4545">
        <f>IFERROR(INDEX('Email Cleaner'!$B$2:$B$10001,MATCH(4544,'Email Cleaner'!$J$2:$J$10001,0)),"")</f>
        <v/>
      </c>
    </row>
    <row r="4546">
      <c r="A4546">
        <f>IFERROR(INDEX('Email Cleaner'!$B$2:$B$10001,MATCH(4545,'Email Cleaner'!$J$2:$J$10001,0)),"")</f>
        <v/>
      </c>
    </row>
    <row r="4547">
      <c r="A4547">
        <f>IFERROR(INDEX('Email Cleaner'!$B$2:$B$10001,MATCH(4546,'Email Cleaner'!$J$2:$J$10001,0)),"")</f>
        <v/>
      </c>
    </row>
    <row r="4548">
      <c r="A4548">
        <f>IFERROR(INDEX('Email Cleaner'!$B$2:$B$10001,MATCH(4547,'Email Cleaner'!$J$2:$J$10001,0)),"")</f>
        <v/>
      </c>
    </row>
    <row r="4549">
      <c r="A4549">
        <f>IFERROR(INDEX('Email Cleaner'!$B$2:$B$10001,MATCH(4548,'Email Cleaner'!$J$2:$J$10001,0)),"")</f>
        <v/>
      </c>
    </row>
    <row r="4550">
      <c r="A4550">
        <f>IFERROR(INDEX('Email Cleaner'!$B$2:$B$10001,MATCH(4549,'Email Cleaner'!$J$2:$J$10001,0)),"")</f>
        <v/>
      </c>
    </row>
    <row r="4551">
      <c r="A4551">
        <f>IFERROR(INDEX('Email Cleaner'!$B$2:$B$10001,MATCH(4550,'Email Cleaner'!$J$2:$J$10001,0)),"")</f>
        <v/>
      </c>
    </row>
    <row r="4552">
      <c r="A4552">
        <f>IFERROR(INDEX('Email Cleaner'!$B$2:$B$10001,MATCH(4551,'Email Cleaner'!$J$2:$J$10001,0)),"")</f>
        <v/>
      </c>
    </row>
    <row r="4553">
      <c r="A4553">
        <f>IFERROR(INDEX('Email Cleaner'!$B$2:$B$10001,MATCH(4552,'Email Cleaner'!$J$2:$J$10001,0)),"")</f>
        <v/>
      </c>
    </row>
    <row r="4554">
      <c r="A4554">
        <f>IFERROR(INDEX('Email Cleaner'!$B$2:$B$10001,MATCH(4553,'Email Cleaner'!$J$2:$J$10001,0)),"")</f>
        <v/>
      </c>
    </row>
    <row r="4555">
      <c r="A4555">
        <f>IFERROR(INDEX('Email Cleaner'!$B$2:$B$10001,MATCH(4554,'Email Cleaner'!$J$2:$J$10001,0)),"")</f>
        <v/>
      </c>
    </row>
    <row r="4556">
      <c r="A4556">
        <f>IFERROR(INDEX('Email Cleaner'!$B$2:$B$10001,MATCH(4555,'Email Cleaner'!$J$2:$J$10001,0)),"")</f>
        <v/>
      </c>
    </row>
    <row r="4557">
      <c r="A4557">
        <f>IFERROR(INDEX('Email Cleaner'!$B$2:$B$10001,MATCH(4556,'Email Cleaner'!$J$2:$J$10001,0)),"")</f>
        <v/>
      </c>
    </row>
    <row r="4558">
      <c r="A4558">
        <f>IFERROR(INDEX('Email Cleaner'!$B$2:$B$10001,MATCH(4557,'Email Cleaner'!$J$2:$J$10001,0)),"")</f>
        <v/>
      </c>
    </row>
    <row r="4559">
      <c r="A4559">
        <f>IFERROR(INDEX('Email Cleaner'!$B$2:$B$10001,MATCH(4558,'Email Cleaner'!$J$2:$J$10001,0)),"")</f>
        <v/>
      </c>
    </row>
    <row r="4560">
      <c r="A4560">
        <f>IFERROR(INDEX('Email Cleaner'!$B$2:$B$10001,MATCH(4559,'Email Cleaner'!$J$2:$J$10001,0)),"")</f>
        <v/>
      </c>
    </row>
    <row r="4561">
      <c r="A4561">
        <f>IFERROR(INDEX('Email Cleaner'!$B$2:$B$10001,MATCH(4560,'Email Cleaner'!$J$2:$J$10001,0)),"")</f>
        <v/>
      </c>
    </row>
    <row r="4562">
      <c r="A4562">
        <f>IFERROR(INDEX('Email Cleaner'!$B$2:$B$10001,MATCH(4561,'Email Cleaner'!$J$2:$J$10001,0)),"")</f>
        <v/>
      </c>
    </row>
    <row r="4563">
      <c r="A4563">
        <f>IFERROR(INDEX('Email Cleaner'!$B$2:$B$10001,MATCH(4562,'Email Cleaner'!$J$2:$J$10001,0)),"")</f>
        <v/>
      </c>
    </row>
    <row r="4564">
      <c r="A4564">
        <f>IFERROR(INDEX('Email Cleaner'!$B$2:$B$10001,MATCH(4563,'Email Cleaner'!$J$2:$J$10001,0)),"")</f>
        <v/>
      </c>
    </row>
    <row r="4565">
      <c r="A4565">
        <f>IFERROR(INDEX('Email Cleaner'!$B$2:$B$10001,MATCH(4564,'Email Cleaner'!$J$2:$J$10001,0)),"")</f>
        <v/>
      </c>
    </row>
    <row r="4566">
      <c r="A4566">
        <f>IFERROR(INDEX('Email Cleaner'!$B$2:$B$10001,MATCH(4565,'Email Cleaner'!$J$2:$J$10001,0)),"")</f>
        <v/>
      </c>
    </row>
    <row r="4567">
      <c r="A4567">
        <f>IFERROR(INDEX('Email Cleaner'!$B$2:$B$10001,MATCH(4566,'Email Cleaner'!$J$2:$J$10001,0)),"")</f>
        <v/>
      </c>
    </row>
    <row r="4568">
      <c r="A4568">
        <f>IFERROR(INDEX('Email Cleaner'!$B$2:$B$10001,MATCH(4567,'Email Cleaner'!$J$2:$J$10001,0)),"")</f>
        <v/>
      </c>
    </row>
    <row r="4569">
      <c r="A4569">
        <f>IFERROR(INDEX('Email Cleaner'!$B$2:$B$10001,MATCH(4568,'Email Cleaner'!$J$2:$J$10001,0)),"")</f>
        <v/>
      </c>
    </row>
    <row r="4570">
      <c r="A4570">
        <f>IFERROR(INDEX('Email Cleaner'!$B$2:$B$10001,MATCH(4569,'Email Cleaner'!$J$2:$J$10001,0)),"")</f>
        <v/>
      </c>
    </row>
    <row r="4571">
      <c r="A4571">
        <f>IFERROR(INDEX('Email Cleaner'!$B$2:$B$10001,MATCH(4570,'Email Cleaner'!$J$2:$J$10001,0)),"")</f>
        <v/>
      </c>
    </row>
    <row r="4572">
      <c r="A4572">
        <f>IFERROR(INDEX('Email Cleaner'!$B$2:$B$10001,MATCH(4571,'Email Cleaner'!$J$2:$J$10001,0)),"")</f>
        <v/>
      </c>
    </row>
    <row r="4573">
      <c r="A4573">
        <f>IFERROR(INDEX('Email Cleaner'!$B$2:$B$10001,MATCH(4572,'Email Cleaner'!$J$2:$J$10001,0)),"")</f>
        <v/>
      </c>
    </row>
    <row r="4574">
      <c r="A4574">
        <f>IFERROR(INDEX('Email Cleaner'!$B$2:$B$10001,MATCH(4573,'Email Cleaner'!$J$2:$J$10001,0)),"")</f>
        <v/>
      </c>
    </row>
    <row r="4575">
      <c r="A4575">
        <f>IFERROR(INDEX('Email Cleaner'!$B$2:$B$10001,MATCH(4574,'Email Cleaner'!$J$2:$J$10001,0)),"")</f>
        <v/>
      </c>
    </row>
    <row r="4576">
      <c r="A4576">
        <f>IFERROR(INDEX('Email Cleaner'!$B$2:$B$10001,MATCH(4575,'Email Cleaner'!$J$2:$J$10001,0)),"")</f>
        <v/>
      </c>
    </row>
    <row r="4577">
      <c r="A4577">
        <f>IFERROR(INDEX('Email Cleaner'!$B$2:$B$10001,MATCH(4576,'Email Cleaner'!$J$2:$J$10001,0)),"")</f>
        <v/>
      </c>
    </row>
    <row r="4578">
      <c r="A4578">
        <f>IFERROR(INDEX('Email Cleaner'!$B$2:$B$10001,MATCH(4577,'Email Cleaner'!$J$2:$J$10001,0)),"")</f>
        <v/>
      </c>
    </row>
    <row r="4579">
      <c r="A4579">
        <f>IFERROR(INDEX('Email Cleaner'!$B$2:$B$10001,MATCH(4578,'Email Cleaner'!$J$2:$J$10001,0)),"")</f>
        <v/>
      </c>
    </row>
    <row r="4580">
      <c r="A4580">
        <f>IFERROR(INDEX('Email Cleaner'!$B$2:$B$10001,MATCH(4579,'Email Cleaner'!$J$2:$J$10001,0)),"")</f>
        <v/>
      </c>
    </row>
    <row r="4581">
      <c r="A4581">
        <f>IFERROR(INDEX('Email Cleaner'!$B$2:$B$10001,MATCH(4580,'Email Cleaner'!$J$2:$J$10001,0)),"")</f>
        <v/>
      </c>
    </row>
    <row r="4582">
      <c r="A4582">
        <f>IFERROR(INDEX('Email Cleaner'!$B$2:$B$10001,MATCH(4581,'Email Cleaner'!$J$2:$J$10001,0)),"")</f>
        <v/>
      </c>
    </row>
    <row r="4583">
      <c r="A4583">
        <f>IFERROR(INDEX('Email Cleaner'!$B$2:$B$10001,MATCH(4582,'Email Cleaner'!$J$2:$J$10001,0)),"")</f>
        <v/>
      </c>
    </row>
    <row r="4584">
      <c r="A4584">
        <f>IFERROR(INDEX('Email Cleaner'!$B$2:$B$10001,MATCH(4583,'Email Cleaner'!$J$2:$J$10001,0)),"")</f>
        <v/>
      </c>
    </row>
    <row r="4585">
      <c r="A4585">
        <f>IFERROR(INDEX('Email Cleaner'!$B$2:$B$10001,MATCH(4584,'Email Cleaner'!$J$2:$J$10001,0)),"")</f>
        <v/>
      </c>
    </row>
    <row r="4586">
      <c r="A4586">
        <f>IFERROR(INDEX('Email Cleaner'!$B$2:$B$10001,MATCH(4585,'Email Cleaner'!$J$2:$J$10001,0)),"")</f>
        <v/>
      </c>
    </row>
    <row r="4587">
      <c r="A4587">
        <f>IFERROR(INDEX('Email Cleaner'!$B$2:$B$10001,MATCH(4586,'Email Cleaner'!$J$2:$J$10001,0)),"")</f>
        <v/>
      </c>
    </row>
    <row r="4588">
      <c r="A4588">
        <f>IFERROR(INDEX('Email Cleaner'!$B$2:$B$10001,MATCH(4587,'Email Cleaner'!$J$2:$J$10001,0)),"")</f>
        <v/>
      </c>
    </row>
    <row r="4589">
      <c r="A4589">
        <f>IFERROR(INDEX('Email Cleaner'!$B$2:$B$10001,MATCH(4588,'Email Cleaner'!$J$2:$J$10001,0)),"")</f>
        <v/>
      </c>
    </row>
    <row r="4590">
      <c r="A4590">
        <f>IFERROR(INDEX('Email Cleaner'!$B$2:$B$10001,MATCH(4589,'Email Cleaner'!$J$2:$J$10001,0)),"")</f>
        <v/>
      </c>
    </row>
    <row r="4591">
      <c r="A4591">
        <f>IFERROR(INDEX('Email Cleaner'!$B$2:$B$10001,MATCH(4590,'Email Cleaner'!$J$2:$J$10001,0)),"")</f>
        <v/>
      </c>
    </row>
    <row r="4592">
      <c r="A4592">
        <f>IFERROR(INDEX('Email Cleaner'!$B$2:$B$10001,MATCH(4591,'Email Cleaner'!$J$2:$J$10001,0)),"")</f>
        <v/>
      </c>
    </row>
    <row r="4593">
      <c r="A4593">
        <f>IFERROR(INDEX('Email Cleaner'!$B$2:$B$10001,MATCH(4592,'Email Cleaner'!$J$2:$J$10001,0)),"")</f>
        <v/>
      </c>
    </row>
    <row r="4594">
      <c r="A4594">
        <f>IFERROR(INDEX('Email Cleaner'!$B$2:$B$10001,MATCH(4593,'Email Cleaner'!$J$2:$J$10001,0)),"")</f>
        <v/>
      </c>
    </row>
    <row r="4595">
      <c r="A4595">
        <f>IFERROR(INDEX('Email Cleaner'!$B$2:$B$10001,MATCH(4594,'Email Cleaner'!$J$2:$J$10001,0)),"")</f>
        <v/>
      </c>
    </row>
    <row r="4596">
      <c r="A4596">
        <f>IFERROR(INDEX('Email Cleaner'!$B$2:$B$10001,MATCH(4595,'Email Cleaner'!$J$2:$J$10001,0)),"")</f>
        <v/>
      </c>
    </row>
    <row r="4597">
      <c r="A4597">
        <f>IFERROR(INDEX('Email Cleaner'!$B$2:$B$10001,MATCH(4596,'Email Cleaner'!$J$2:$J$10001,0)),"")</f>
        <v/>
      </c>
    </row>
    <row r="4598">
      <c r="A4598">
        <f>IFERROR(INDEX('Email Cleaner'!$B$2:$B$10001,MATCH(4597,'Email Cleaner'!$J$2:$J$10001,0)),"")</f>
        <v/>
      </c>
    </row>
    <row r="4599">
      <c r="A4599">
        <f>IFERROR(INDEX('Email Cleaner'!$B$2:$B$10001,MATCH(4598,'Email Cleaner'!$J$2:$J$10001,0)),"")</f>
        <v/>
      </c>
    </row>
    <row r="4600">
      <c r="A4600">
        <f>IFERROR(INDEX('Email Cleaner'!$B$2:$B$10001,MATCH(4599,'Email Cleaner'!$J$2:$J$10001,0)),"")</f>
        <v/>
      </c>
    </row>
    <row r="4601">
      <c r="A4601">
        <f>IFERROR(INDEX('Email Cleaner'!$B$2:$B$10001,MATCH(4600,'Email Cleaner'!$J$2:$J$10001,0)),"")</f>
        <v/>
      </c>
    </row>
    <row r="4602">
      <c r="A4602">
        <f>IFERROR(INDEX('Email Cleaner'!$B$2:$B$10001,MATCH(4601,'Email Cleaner'!$J$2:$J$10001,0)),"")</f>
        <v/>
      </c>
    </row>
    <row r="4603">
      <c r="A4603">
        <f>IFERROR(INDEX('Email Cleaner'!$B$2:$B$10001,MATCH(4602,'Email Cleaner'!$J$2:$J$10001,0)),"")</f>
        <v/>
      </c>
    </row>
    <row r="4604">
      <c r="A4604">
        <f>IFERROR(INDEX('Email Cleaner'!$B$2:$B$10001,MATCH(4603,'Email Cleaner'!$J$2:$J$10001,0)),"")</f>
        <v/>
      </c>
    </row>
    <row r="4605">
      <c r="A4605">
        <f>IFERROR(INDEX('Email Cleaner'!$B$2:$B$10001,MATCH(4604,'Email Cleaner'!$J$2:$J$10001,0)),"")</f>
        <v/>
      </c>
    </row>
    <row r="4606">
      <c r="A4606">
        <f>IFERROR(INDEX('Email Cleaner'!$B$2:$B$10001,MATCH(4605,'Email Cleaner'!$J$2:$J$10001,0)),"")</f>
        <v/>
      </c>
    </row>
    <row r="4607">
      <c r="A4607">
        <f>IFERROR(INDEX('Email Cleaner'!$B$2:$B$10001,MATCH(4606,'Email Cleaner'!$J$2:$J$10001,0)),"")</f>
        <v/>
      </c>
    </row>
    <row r="4608">
      <c r="A4608">
        <f>IFERROR(INDEX('Email Cleaner'!$B$2:$B$10001,MATCH(4607,'Email Cleaner'!$J$2:$J$10001,0)),"")</f>
        <v/>
      </c>
    </row>
    <row r="4609">
      <c r="A4609">
        <f>IFERROR(INDEX('Email Cleaner'!$B$2:$B$10001,MATCH(4608,'Email Cleaner'!$J$2:$J$10001,0)),"")</f>
        <v/>
      </c>
    </row>
    <row r="4610">
      <c r="A4610">
        <f>IFERROR(INDEX('Email Cleaner'!$B$2:$B$10001,MATCH(4609,'Email Cleaner'!$J$2:$J$10001,0)),"")</f>
        <v/>
      </c>
    </row>
    <row r="4611">
      <c r="A4611">
        <f>IFERROR(INDEX('Email Cleaner'!$B$2:$B$10001,MATCH(4610,'Email Cleaner'!$J$2:$J$10001,0)),"")</f>
        <v/>
      </c>
    </row>
    <row r="4612">
      <c r="A4612">
        <f>IFERROR(INDEX('Email Cleaner'!$B$2:$B$10001,MATCH(4611,'Email Cleaner'!$J$2:$J$10001,0)),"")</f>
        <v/>
      </c>
    </row>
    <row r="4613">
      <c r="A4613">
        <f>IFERROR(INDEX('Email Cleaner'!$B$2:$B$10001,MATCH(4612,'Email Cleaner'!$J$2:$J$10001,0)),"")</f>
        <v/>
      </c>
    </row>
    <row r="4614">
      <c r="A4614">
        <f>IFERROR(INDEX('Email Cleaner'!$B$2:$B$10001,MATCH(4613,'Email Cleaner'!$J$2:$J$10001,0)),"")</f>
        <v/>
      </c>
    </row>
    <row r="4615">
      <c r="A4615">
        <f>IFERROR(INDEX('Email Cleaner'!$B$2:$B$10001,MATCH(4614,'Email Cleaner'!$J$2:$J$10001,0)),"")</f>
        <v/>
      </c>
    </row>
    <row r="4616">
      <c r="A4616">
        <f>IFERROR(INDEX('Email Cleaner'!$B$2:$B$10001,MATCH(4615,'Email Cleaner'!$J$2:$J$10001,0)),"")</f>
        <v/>
      </c>
    </row>
    <row r="4617">
      <c r="A4617">
        <f>IFERROR(INDEX('Email Cleaner'!$B$2:$B$10001,MATCH(4616,'Email Cleaner'!$J$2:$J$10001,0)),"")</f>
        <v/>
      </c>
    </row>
    <row r="4618">
      <c r="A4618">
        <f>IFERROR(INDEX('Email Cleaner'!$B$2:$B$10001,MATCH(4617,'Email Cleaner'!$J$2:$J$10001,0)),"")</f>
        <v/>
      </c>
    </row>
    <row r="4619">
      <c r="A4619">
        <f>IFERROR(INDEX('Email Cleaner'!$B$2:$B$10001,MATCH(4618,'Email Cleaner'!$J$2:$J$10001,0)),"")</f>
        <v/>
      </c>
    </row>
    <row r="4620">
      <c r="A4620">
        <f>IFERROR(INDEX('Email Cleaner'!$B$2:$B$10001,MATCH(4619,'Email Cleaner'!$J$2:$J$10001,0)),"")</f>
        <v/>
      </c>
    </row>
    <row r="4621">
      <c r="A4621">
        <f>IFERROR(INDEX('Email Cleaner'!$B$2:$B$10001,MATCH(4620,'Email Cleaner'!$J$2:$J$10001,0)),"")</f>
        <v/>
      </c>
    </row>
    <row r="4622">
      <c r="A4622">
        <f>IFERROR(INDEX('Email Cleaner'!$B$2:$B$10001,MATCH(4621,'Email Cleaner'!$J$2:$J$10001,0)),"")</f>
        <v/>
      </c>
    </row>
    <row r="4623">
      <c r="A4623">
        <f>IFERROR(INDEX('Email Cleaner'!$B$2:$B$10001,MATCH(4622,'Email Cleaner'!$J$2:$J$10001,0)),"")</f>
        <v/>
      </c>
    </row>
    <row r="4624">
      <c r="A4624">
        <f>IFERROR(INDEX('Email Cleaner'!$B$2:$B$10001,MATCH(4623,'Email Cleaner'!$J$2:$J$10001,0)),"")</f>
        <v/>
      </c>
    </row>
    <row r="4625">
      <c r="A4625">
        <f>IFERROR(INDEX('Email Cleaner'!$B$2:$B$10001,MATCH(4624,'Email Cleaner'!$J$2:$J$10001,0)),"")</f>
        <v/>
      </c>
    </row>
    <row r="4626">
      <c r="A4626">
        <f>IFERROR(INDEX('Email Cleaner'!$B$2:$B$10001,MATCH(4625,'Email Cleaner'!$J$2:$J$10001,0)),"")</f>
        <v/>
      </c>
    </row>
    <row r="4627">
      <c r="A4627">
        <f>IFERROR(INDEX('Email Cleaner'!$B$2:$B$10001,MATCH(4626,'Email Cleaner'!$J$2:$J$10001,0)),"")</f>
        <v/>
      </c>
    </row>
    <row r="4628">
      <c r="A4628">
        <f>IFERROR(INDEX('Email Cleaner'!$B$2:$B$10001,MATCH(4627,'Email Cleaner'!$J$2:$J$10001,0)),"")</f>
        <v/>
      </c>
    </row>
    <row r="4629">
      <c r="A4629">
        <f>IFERROR(INDEX('Email Cleaner'!$B$2:$B$10001,MATCH(4628,'Email Cleaner'!$J$2:$J$10001,0)),"")</f>
        <v/>
      </c>
    </row>
    <row r="4630">
      <c r="A4630">
        <f>IFERROR(INDEX('Email Cleaner'!$B$2:$B$10001,MATCH(4629,'Email Cleaner'!$J$2:$J$10001,0)),"")</f>
        <v/>
      </c>
    </row>
    <row r="4631">
      <c r="A4631">
        <f>IFERROR(INDEX('Email Cleaner'!$B$2:$B$10001,MATCH(4630,'Email Cleaner'!$J$2:$J$10001,0)),"")</f>
        <v/>
      </c>
    </row>
    <row r="4632">
      <c r="A4632">
        <f>IFERROR(INDEX('Email Cleaner'!$B$2:$B$10001,MATCH(4631,'Email Cleaner'!$J$2:$J$10001,0)),"")</f>
        <v/>
      </c>
    </row>
    <row r="4633">
      <c r="A4633">
        <f>IFERROR(INDEX('Email Cleaner'!$B$2:$B$10001,MATCH(4632,'Email Cleaner'!$J$2:$J$10001,0)),"")</f>
        <v/>
      </c>
    </row>
    <row r="4634">
      <c r="A4634">
        <f>IFERROR(INDEX('Email Cleaner'!$B$2:$B$10001,MATCH(4633,'Email Cleaner'!$J$2:$J$10001,0)),"")</f>
        <v/>
      </c>
    </row>
    <row r="4635">
      <c r="A4635">
        <f>IFERROR(INDEX('Email Cleaner'!$B$2:$B$10001,MATCH(4634,'Email Cleaner'!$J$2:$J$10001,0)),"")</f>
        <v/>
      </c>
    </row>
    <row r="4636">
      <c r="A4636">
        <f>IFERROR(INDEX('Email Cleaner'!$B$2:$B$10001,MATCH(4635,'Email Cleaner'!$J$2:$J$10001,0)),"")</f>
        <v/>
      </c>
    </row>
    <row r="4637">
      <c r="A4637">
        <f>IFERROR(INDEX('Email Cleaner'!$B$2:$B$10001,MATCH(4636,'Email Cleaner'!$J$2:$J$10001,0)),"")</f>
        <v/>
      </c>
    </row>
    <row r="4638">
      <c r="A4638">
        <f>IFERROR(INDEX('Email Cleaner'!$B$2:$B$10001,MATCH(4637,'Email Cleaner'!$J$2:$J$10001,0)),"")</f>
        <v/>
      </c>
    </row>
    <row r="4639">
      <c r="A4639">
        <f>IFERROR(INDEX('Email Cleaner'!$B$2:$B$10001,MATCH(4638,'Email Cleaner'!$J$2:$J$10001,0)),"")</f>
        <v/>
      </c>
    </row>
    <row r="4640">
      <c r="A4640">
        <f>IFERROR(INDEX('Email Cleaner'!$B$2:$B$10001,MATCH(4639,'Email Cleaner'!$J$2:$J$10001,0)),"")</f>
        <v/>
      </c>
    </row>
    <row r="4641">
      <c r="A4641">
        <f>IFERROR(INDEX('Email Cleaner'!$B$2:$B$10001,MATCH(4640,'Email Cleaner'!$J$2:$J$10001,0)),"")</f>
        <v/>
      </c>
    </row>
    <row r="4642">
      <c r="A4642">
        <f>IFERROR(INDEX('Email Cleaner'!$B$2:$B$10001,MATCH(4641,'Email Cleaner'!$J$2:$J$10001,0)),"")</f>
        <v/>
      </c>
    </row>
    <row r="4643">
      <c r="A4643">
        <f>IFERROR(INDEX('Email Cleaner'!$B$2:$B$10001,MATCH(4642,'Email Cleaner'!$J$2:$J$10001,0)),"")</f>
        <v/>
      </c>
    </row>
    <row r="4644">
      <c r="A4644">
        <f>IFERROR(INDEX('Email Cleaner'!$B$2:$B$10001,MATCH(4643,'Email Cleaner'!$J$2:$J$10001,0)),"")</f>
        <v/>
      </c>
    </row>
    <row r="4645">
      <c r="A4645">
        <f>IFERROR(INDEX('Email Cleaner'!$B$2:$B$10001,MATCH(4644,'Email Cleaner'!$J$2:$J$10001,0)),"")</f>
        <v/>
      </c>
    </row>
    <row r="4646">
      <c r="A4646">
        <f>IFERROR(INDEX('Email Cleaner'!$B$2:$B$10001,MATCH(4645,'Email Cleaner'!$J$2:$J$10001,0)),"")</f>
        <v/>
      </c>
    </row>
    <row r="4647">
      <c r="A4647">
        <f>IFERROR(INDEX('Email Cleaner'!$B$2:$B$10001,MATCH(4646,'Email Cleaner'!$J$2:$J$10001,0)),"")</f>
        <v/>
      </c>
    </row>
    <row r="4648">
      <c r="A4648">
        <f>IFERROR(INDEX('Email Cleaner'!$B$2:$B$10001,MATCH(4647,'Email Cleaner'!$J$2:$J$10001,0)),"")</f>
        <v/>
      </c>
    </row>
    <row r="4649">
      <c r="A4649">
        <f>IFERROR(INDEX('Email Cleaner'!$B$2:$B$10001,MATCH(4648,'Email Cleaner'!$J$2:$J$10001,0)),"")</f>
        <v/>
      </c>
    </row>
    <row r="4650">
      <c r="A4650">
        <f>IFERROR(INDEX('Email Cleaner'!$B$2:$B$10001,MATCH(4649,'Email Cleaner'!$J$2:$J$10001,0)),"")</f>
        <v/>
      </c>
    </row>
    <row r="4651">
      <c r="A4651">
        <f>IFERROR(INDEX('Email Cleaner'!$B$2:$B$10001,MATCH(4650,'Email Cleaner'!$J$2:$J$10001,0)),"")</f>
        <v/>
      </c>
    </row>
    <row r="4652">
      <c r="A4652">
        <f>IFERROR(INDEX('Email Cleaner'!$B$2:$B$10001,MATCH(4651,'Email Cleaner'!$J$2:$J$10001,0)),"")</f>
        <v/>
      </c>
    </row>
    <row r="4653">
      <c r="A4653">
        <f>IFERROR(INDEX('Email Cleaner'!$B$2:$B$10001,MATCH(4652,'Email Cleaner'!$J$2:$J$10001,0)),"")</f>
        <v/>
      </c>
    </row>
    <row r="4654">
      <c r="A4654">
        <f>IFERROR(INDEX('Email Cleaner'!$B$2:$B$10001,MATCH(4653,'Email Cleaner'!$J$2:$J$10001,0)),"")</f>
        <v/>
      </c>
    </row>
    <row r="4655">
      <c r="A4655">
        <f>IFERROR(INDEX('Email Cleaner'!$B$2:$B$10001,MATCH(4654,'Email Cleaner'!$J$2:$J$10001,0)),"")</f>
        <v/>
      </c>
    </row>
    <row r="4656">
      <c r="A4656">
        <f>IFERROR(INDEX('Email Cleaner'!$B$2:$B$10001,MATCH(4655,'Email Cleaner'!$J$2:$J$10001,0)),"")</f>
        <v/>
      </c>
    </row>
    <row r="4657">
      <c r="A4657">
        <f>IFERROR(INDEX('Email Cleaner'!$B$2:$B$10001,MATCH(4656,'Email Cleaner'!$J$2:$J$10001,0)),"")</f>
        <v/>
      </c>
    </row>
    <row r="4658">
      <c r="A4658">
        <f>IFERROR(INDEX('Email Cleaner'!$B$2:$B$10001,MATCH(4657,'Email Cleaner'!$J$2:$J$10001,0)),"")</f>
        <v/>
      </c>
    </row>
    <row r="4659">
      <c r="A4659">
        <f>IFERROR(INDEX('Email Cleaner'!$B$2:$B$10001,MATCH(4658,'Email Cleaner'!$J$2:$J$10001,0)),"")</f>
        <v/>
      </c>
    </row>
    <row r="4660">
      <c r="A4660">
        <f>IFERROR(INDEX('Email Cleaner'!$B$2:$B$10001,MATCH(4659,'Email Cleaner'!$J$2:$J$10001,0)),"")</f>
        <v/>
      </c>
    </row>
    <row r="4661">
      <c r="A4661">
        <f>IFERROR(INDEX('Email Cleaner'!$B$2:$B$10001,MATCH(4660,'Email Cleaner'!$J$2:$J$10001,0)),"")</f>
        <v/>
      </c>
    </row>
    <row r="4662">
      <c r="A4662">
        <f>IFERROR(INDEX('Email Cleaner'!$B$2:$B$10001,MATCH(4661,'Email Cleaner'!$J$2:$J$10001,0)),"")</f>
        <v/>
      </c>
    </row>
    <row r="4663">
      <c r="A4663">
        <f>IFERROR(INDEX('Email Cleaner'!$B$2:$B$10001,MATCH(4662,'Email Cleaner'!$J$2:$J$10001,0)),"")</f>
        <v/>
      </c>
    </row>
    <row r="4664">
      <c r="A4664">
        <f>IFERROR(INDEX('Email Cleaner'!$B$2:$B$10001,MATCH(4663,'Email Cleaner'!$J$2:$J$10001,0)),"")</f>
        <v/>
      </c>
    </row>
    <row r="4665">
      <c r="A4665">
        <f>IFERROR(INDEX('Email Cleaner'!$B$2:$B$10001,MATCH(4664,'Email Cleaner'!$J$2:$J$10001,0)),"")</f>
        <v/>
      </c>
    </row>
    <row r="4666">
      <c r="A4666">
        <f>IFERROR(INDEX('Email Cleaner'!$B$2:$B$10001,MATCH(4665,'Email Cleaner'!$J$2:$J$10001,0)),"")</f>
        <v/>
      </c>
    </row>
    <row r="4667">
      <c r="A4667">
        <f>IFERROR(INDEX('Email Cleaner'!$B$2:$B$10001,MATCH(4666,'Email Cleaner'!$J$2:$J$10001,0)),"")</f>
        <v/>
      </c>
    </row>
    <row r="4668">
      <c r="A4668">
        <f>IFERROR(INDEX('Email Cleaner'!$B$2:$B$10001,MATCH(4667,'Email Cleaner'!$J$2:$J$10001,0)),"")</f>
        <v/>
      </c>
    </row>
    <row r="4669">
      <c r="A4669">
        <f>IFERROR(INDEX('Email Cleaner'!$B$2:$B$10001,MATCH(4668,'Email Cleaner'!$J$2:$J$10001,0)),"")</f>
        <v/>
      </c>
    </row>
    <row r="4670">
      <c r="A4670">
        <f>IFERROR(INDEX('Email Cleaner'!$B$2:$B$10001,MATCH(4669,'Email Cleaner'!$J$2:$J$10001,0)),"")</f>
        <v/>
      </c>
    </row>
    <row r="4671">
      <c r="A4671">
        <f>IFERROR(INDEX('Email Cleaner'!$B$2:$B$10001,MATCH(4670,'Email Cleaner'!$J$2:$J$10001,0)),"")</f>
        <v/>
      </c>
    </row>
    <row r="4672">
      <c r="A4672">
        <f>IFERROR(INDEX('Email Cleaner'!$B$2:$B$10001,MATCH(4671,'Email Cleaner'!$J$2:$J$10001,0)),"")</f>
        <v/>
      </c>
    </row>
    <row r="4673">
      <c r="A4673">
        <f>IFERROR(INDEX('Email Cleaner'!$B$2:$B$10001,MATCH(4672,'Email Cleaner'!$J$2:$J$10001,0)),"")</f>
        <v/>
      </c>
    </row>
    <row r="4674">
      <c r="A4674">
        <f>IFERROR(INDEX('Email Cleaner'!$B$2:$B$10001,MATCH(4673,'Email Cleaner'!$J$2:$J$10001,0)),"")</f>
        <v/>
      </c>
    </row>
    <row r="4675">
      <c r="A4675">
        <f>IFERROR(INDEX('Email Cleaner'!$B$2:$B$10001,MATCH(4674,'Email Cleaner'!$J$2:$J$10001,0)),"")</f>
        <v/>
      </c>
    </row>
    <row r="4676">
      <c r="A4676">
        <f>IFERROR(INDEX('Email Cleaner'!$B$2:$B$10001,MATCH(4675,'Email Cleaner'!$J$2:$J$10001,0)),"")</f>
        <v/>
      </c>
    </row>
    <row r="4677">
      <c r="A4677">
        <f>IFERROR(INDEX('Email Cleaner'!$B$2:$B$10001,MATCH(4676,'Email Cleaner'!$J$2:$J$10001,0)),"")</f>
        <v/>
      </c>
    </row>
    <row r="4678">
      <c r="A4678">
        <f>IFERROR(INDEX('Email Cleaner'!$B$2:$B$10001,MATCH(4677,'Email Cleaner'!$J$2:$J$10001,0)),"")</f>
        <v/>
      </c>
    </row>
    <row r="4679">
      <c r="A4679">
        <f>IFERROR(INDEX('Email Cleaner'!$B$2:$B$10001,MATCH(4678,'Email Cleaner'!$J$2:$J$10001,0)),"")</f>
        <v/>
      </c>
    </row>
    <row r="4680">
      <c r="A4680">
        <f>IFERROR(INDEX('Email Cleaner'!$B$2:$B$10001,MATCH(4679,'Email Cleaner'!$J$2:$J$10001,0)),"")</f>
        <v/>
      </c>
    </row>
    <row r="4681">
      <c r="A4681">
        <f>IFERROR(INDEX('Email Cleaner'!$B$2:$B$10001,MATCH(4680,'Email Cleaner'!$J$2:$J$10001,0)),"")</f>
        <v/>
      </c>
    </row>
    <row r="4682">
      <c r="A4682">
        <f>IFERROR(INDEX('Email Cleaner'!$B$2:$B$10001,MATCH(4681,'Email Cleaner'!$J$2:$J$10001,0)),"")</f>
        <v/>
      </c>
    </row>
    <row r="4683">
      <c r="A4683">
        <f>IFERROR(INDEX('Email Cleaner'!$B$2:$B$10001,MATCH(4682,'Email Cleaner'!$J$2:$J$10001,0)),"")</f>
        <v/>
      </c>
    </row>
    <row r="4684">
      <c r="A4684">
        <f>IFERROR(INDEX('Email Cleaner'!$B$2:$B$10001,MATCH(4683,'Email Cleaner'!$J$2:$J$10001,0)),"")</f>
        <v/>
      </c>
    </row>
    <row r="4685">
      <c r="A4685">
        <f>IFERROR(INDEX('Email Cleaner'!$B$2:$B$10001,MATCH(4684,'Email Cleaner'!$J$2:$J$10001,0)),"")</f>
        <v/>
      </c>
    </row>
    <row r="4686">
      <c r="A4686">
        <f>IFERROR(INDEX('Email Cleaner'!$B$2:$B$10001,MATCH(4685,'Email Cleaner'!$J$2:$J$10001,0)),"")</f>
        <v/>
      </c>
    </row>
    <row r="4687">
      <c r="A4687">
        <f>IFERROR(INDEX('Email Cleaner'!$B$2:$B$10001,MATCH(4686,'Email Cleaner'!$J$2:$J$10001,0)),"")</f>
        <v/>
      </c>
    </row>
    <row r="4688">
      <c r="A4688">
        <f>IFERROR(INDEX('Email Cleaner'!$B$2:$B$10001,MATCH(4687,'Email Cleaner'!$J$2:$J$10001,0)),"")</f>
        <v/>
      </c>
    </row>
    <row r="4689">
      <c r="A4689">
        <f>IFERROR(INDEX('Email Cleaner'!$B$2:$B$10001,MATCH(4688,'Email Cleaner'!$J$2:$J$10001,0)),"")</f>
        <v/>
      </c>
    </row>
    <row r="4690">
      <c r="A4690">
        <f>IFERROR(INDEX('Email Cleaner'!$B$2:$B$10001,MATCH(4689,'Email Cleaner'!$J$2:$J$10001,0)),"")</f>
        <v/>
      </c>
    </row>
    <row r="4691">
      <c r="A4691">
        <f>IFERROR(INDEX('Email Cleaner'!$B$2:$B$10001,MATCH(4690,'Email Cleaner'!$J$2:$J$10001,0)),"")</f>
        <v/>
      </c>
    </row>
    <row r="4692">
      <c r="A4692">
        <f>IFERROR(INDEX('Email Cleaner'!$B$2:$B$10001,MATCH(4691,'Email Cleaner'!$J$2:$J$10001,0)),"")</f>
        <v/>
      </c>
    </row>
    <row r="4693">
      <c r="A4693">
        <f>IFERROR(INDEX('Email Cleaner'!$B$2:$B$10001,MATCH(4692,'Email Cleaner'!$J$2:$J$10001,0)),"")</f>
        <v/>
      </c>
    </row>
    <row r="4694">
      <c r="A4694">
        <f>IFERROR(INDEX('Email Cleaner'!$B$2:$B$10001,MATCH(4693,'Email Cleaner'!$J$2:$J$10001,0)),"")</f>
        <v/>
      </c>
    </row>
    <row r="4695">
      <c r="A4695">
        <f>IFERROR(INDEX('Email Cleaner'!$B$2:$B$10001,MATCH(4694,'Email Cleaner'!$J$2:$J$10001,0)),"")</f>
        <v/>
      </c>
    </row>
    <row r="4696">
      <c r="A4696">
        <f>IFERROR(INDEX('Email Cleaner'!$B$2:$B$10001,MATCH(4695,'Email Cleaner'!$J$2:$J$10001,0)),"")</f>
        <v/>
      </c>
    </row>
    <row r="4697">
      <c r="A4697">
        <f>IFERROR(INDEX('Email Cleaner'!$B$2:$B$10001,MATCH(4696,'Email Cleaner'!$J$2:$J$10001,0)),"")</f>
        <v/>
      </c>
    </row>
    <row r="4698">
      <c r="A4698">
        <f>IFERROR(INDEX('Email Cleaner'!$B$2:$B$10001,MATCH(4697,'Email Cleaner'!$J$2:$J$10001,0)),"")</f>
        <v/>
      </c>
    </row>
    <row r="4699">
      <c r="A4699">
        <f>IFERROR(INDEX('Email Cleaner'!$B$2:$B$10001,MATCH(4698,'Email Cleaner'!$J$2:$J$10001,0)),"")</f>
        <v/>
      </c>
    </row>
    <row r="4700">
      <c r="A4700">
        <f>IFERROR(INDEX('Email Cleaner'!$B$2:$B$10001,MATCH(4699,'Email Cleaner'!$J$2:$J$10001,0)),"")</f>
        <v/>
      </c>
    </row>
    <row r="4701">
      <c r="A4701">
        <f>IFERROR(INDEX('Email Cleaner'!$B$2:$B$10001,MATCH(4700,'Email Cleaner'!$J$2:$J$10001,0)),"")</f>
        <v/>
      </c>
    </row>
    <row r="4702">
      <c r="A4702">
        <f>IFERROR(INDEX('Email Cleaner'!$B$2:$B$10001,MATCH(4701,'Email Cleaner'!$J$2:$J$10001,0)),"")</f>
        <v/>
      </c>
    </row>
    <row r="4703">
      <c r="A4703">
        <f>IFERROR(INDEX('Email Cleaner'!$B$2:$B$10001,MATCH(4702,'Email Cleaner'!$J$2:$J$10001,0)),"")</f>
        <v/>
      </c>
    </row>
    <row r="4704">
      <c r="A4704">
        <f>IFERROR(INDEX('Email Cleaner'!$B$2:$B$10001,MATCH(4703,'Email Cleaner'!$J$2:$J$10001,0)),"")</f>
        <v/>
      </c>
    </row>
    <row r="4705">
      <c r="A4705">
        <f>IFERROR(INDEX('Email Cleaner'!$B$2:$B$10001,MATCH(4704,'Email Cleaner'!$J$2:$J$10001,0)),"")</f>
        <v/>
      </c>
    </row>
    <row r="4706">
      <c r="A4706">
        <f>IFERROR(INDEX('Email Cleaner'!$B$2:$B$10001,MATCH(4705,'Email Cleaner'!$J$2:$J$10001,0)),"")</f>
        <v/>
      </c>
    </row>
    <row r="4707">
      <c r="A4707">
        <f>IFERROR(INDEX('Email Cleaner'!$B$2:$B$10001,MATCH(4706,'Email Cleaner'!$J$2:$J$10001,0)),"")</f>
        <v/>
      </c>
    </row>
    <row r="4708">
      <c r="A4708">
        <f>IFERROR(INDEX('Email Cleaner'!$B$2:$B$10001,MATCH(4707,'Email Cleaner'!$J$2:$J$10001,0)),"")</f>
        <v/>
      </c>
    </row>
    <row r="4709">
      <c r="A4709">
        <f>IFERROR(INDEX('Email Cleaner'!$B$2:$B$10001,MATCH(4708,'Email Cleaner'!$J$2:$J$10001,0)),"")</f>
        <v/>
      </c>
    </row>
    <row r="4710">
      <c r="A4710">
        <f>IFERROR(INDEX('Email Cleaner'!$B$2:$B$10001,MATCH(4709,'Email Cleaner'!$J$2:$J$10001,0)),"")</f>
        <v/>
      </c>
    </row>
    <row r="4711">
      <c r="A4711">
        <f>IFERROR(INDEX('Email Cleaner'!$B$2:$B$10001,MATCH(4710,'Email Cleaner'!$J$2:$J$10001,0)),"")</f>
        <v/>
      </c>
    </row>
    <row r="4712">
      <c r="A4712">
        <f>IFERROR(INDEX('Email Cleaner'!$B$2:$B$10001,MATCH(4711,'Email Cleaner'!$J$2:$J$10001,0)),"")</f>
        <v/>
      </c>
    </row>
    <row r="4713">
      <c r="A4713">
        <f>IFERROR(INDEX('Email Cleaner'!$B$2:$B$10001,MATCH(4712,'Email Cleaner'!$J$2:$J$10001,0)),"")</f>
        <v/>
      </c>
    </row>
    <row r="4714">
      <c r="A4714">
        <f>IFERROR(INDEX('Email Cleaner'!$B$2:$B$10001,MATCH(4713,'Email Cleaner'!$J$2:$J$10001,0)),"")</f>
        <v/>
      </c>
    </row>
    <row r="4715">
      <c r="A4715">
        <f>IFERROR(INDEX('Email Cleaner'!$B$2:$B$10001,MATCH(4714,'Email Cleaner'!$J$2:$J$10001,0)),"")</f>
        <v/>
      </c>
    </row>
    <row r="4716">
      <c r="A4716">
        <f>IFERROR(INDEX('Email Cleaner'!$B$2:$B$10001,MATCH(4715,'Email Cleaner'!$J$2:$J$10001,0)),"")</f>
        <v/>
      </c>
    </row>
    <row r="4717">
      <c r="A4717">
        <f>IFERROR(INDEX('Email Cleaner'!$B$2:$B$10001,MATCH(4716,'Email Cleaner'!$J$2:$J$10001,0)),"")</f>
        <v/>
      </c>
    </row>
    <row r="4718">
      <c r="A4718">
        <f>IFERROR(INDEX('Email Cleaner'!$B$2:$B$10001,MATCH(4717,'Email Cleaner'!$J$2:$J$10001,0)),"")</f>
        <v/>
      </c>
    </row>
    <row r="4719">
      <c r="A4719">
        <f>IFERROR(INDEX('Email Cleaner'!$B$2:$B$10001,MATCH(4718,'Email Cleaner'!$J$2:$J$10001,0)),"")</f>
        <v/>
      </c>
    </row>
    <row r="4720">
      <c r="A4720">
        <f>IFERROR(INDEX('Email Cleaner'!$B$2:$B$10001,MATCH(4719,'Email Cleaner'!$J$2:$J$10001,0)),"")</f>
        <v/>
      </c>
    </row>
    <row r="4721">
      <c r="A4721">
        <f>IFERROR(INDEX('Email Cleaner'!$B$2:$B$10001,MATCH(4720,'Email Cleaner'!$J$2:$J$10001,0)),"")</f>
        <v/>
      </c>
    </row>
    <row r="4722">
      <c r="A4722">
        <f>IFERROR(INDEX('Email Cleaner'!$B$2:$B$10001,MATCH(4721,'Email Cleaner'!$J$2:$J$10001,0)),"")</f>
        <v/>
      </c>
    </row>
    <row r="4723">
      <c r="A4723">
        <f>IFERROR(INDEX('Email Cleaner'!$B$2:$B$10001,MATCH(4722,'Email Cleaner'!$J$2:$J$10001,0)),"")</f>
        <v/>
      </c>
    </row>
    <row r="4724">
      <c r="A4724">
        <f>IFERROR(INDEX('Email Cleaner'!$B$2:$B$10001,MATCH(4723,'Email Cleaner'!$J$2:$J$10001,0)),"")</f>
        <v/>
      </c>
    </row>
    <row r="4725">
      <c r="A4725">
        <f>IFERROR(INDEX('Email Cleaner'!$B$2:$B$10001,MATCH(4724,'Email Cleaner'!$J$2:$J$10001,0)),"")</f>
        <v/>
      </c>
    </row>
    <row r="4726">
      <c r="A4726">
        <f>IFERROR(INDEX('Email Cleaner'!$B$2:$B$10001,MATCH(4725,'Email Cleaner'!$J$2:$J$10001,0)),"")</f>
        <v/>
      </c>
    </row>
    <row r="4727">
      <c r="A4727">
        <f>IFERROR(INDEX('Email Cleaner'!$B$2:$B$10001,MATCH(4726,'Email Cleaner'!$J$2:$J$10001,0)),"")</f>
        <v/>
      </c>
    </row>
    <row r="4728">
      <c r="A4728">
        <f>IFERROR(INDEX('Email Cleaner'!$B$2:$B$10001,MATCH(4727,'Email Cleaner'!$J$2:$J$10001,0)),"")</f>
        <v/>
      </c>
    </row>
    <row r="4729">
      <c r="A4729">
        <f>IFERROR(INDEX('Email Cleaner'!$B$2:$B$10001,MATCH(4728,'Email Cleaner'!$J$2:$J$10001,0)),"")</f>
        <v/>
      </c>
    </row>
    <row r="4730">
      <c r="A4730">
        <f>IFERROR(INDEX('Email Cleaner'!$B$2:$B$10001,MATCH(4729,'Email Cleaner'!$J$2:$J$10001,0)),"")</f>
        <v/>
      </c>
    </row>
    <row r="4731">
      <c r="A4731">
        <f>IFERROR(INDEX('Email Cleaner'!$B$2:$B$10001,MATCH(4730,'Email Cleaner'!$J$2:$J$10001,0)),"")</f>
        <v/>
      </c>
    </row>
    <row r="4732">
      <c r="A4732">
        <f>IFERROR(INDEX('Email Cleaner'!$B$2:$B$10001,MATCH(4731,'Email Cleaner'!$J$2:$J$10001,0)),"")</f>
        <v/>
      </c>
    </row>
    <row r="4733">
      <c r="A4733">
        <f>IFERROR(INDEX('Email Cleaner'!$B$2:$B$10001,MATCH(4732,'Email Cleaner'!$J$2:$J$10001,0)),"")</f>
        <v/>
      </c>
    </row>
    <row r="4734">
      <c r="A4734">
        <f>IFERROR(INDEX('Email Cleaner'!$B$2:$B$10001,MATCH(4733,'Email Cleaner'!$J$2:$J$10001,0)),"")</f>
        <v/>
      </c>
    </row>
    <row r="4735">
      <c r="A4735">
        <f>IFERROR(INDEX('Email Cleaner'!$B$2:$B$10001,MATCH(4734,'Email Cleaner'!$J$2:$J$10001,0)),"")</f>
        <v/>
      </c>
    </row>
    <row r="4736">
      <c r="A4736">
        <f>IFERROR(INDEX('Email Cleaner'!$B$2:$B$10001,MATCH(4735,'Email Cleaner'!$J$2:$J$10001,0)),"")</f>
        <v/>
      </c>
    </row>
    <row r="4737">
      <c r="A4737">
        <f>IFERROR(INDEX('Email Cleaner'!$B$2:$B$10001,MATCH(4736,'Email Cleaner'!$J$2:$J$10001,0)),"")</f>
        <v/>
      </c>
    </row>
    <row r="4738">
      <c r="A4738">
        <f>IFERROR(INDEX('Email Cleaner'!$B$2:$B$10001,MATCH(4737,'Email Cleaner'!$J$2:$J$10001,0)),"")</f>
        <v/>
      </c>
    </row>
    <row r="4739">
      <c r="A4739">
        <f>IFERROR(INDEX('Email Cleaner'!$B$2:$B$10001,MATCH(4738,'Email Cleaner'!$J$2:$J$10001,0)),"")</f>
        <v/>
      </c>
    </row>
    <row r="4740">
      <c r="A4740">
        <f>IFERROR(INDEX('Email Cleaner'!$B$2:$B$10001,MATCH(4739,'Email Cleaner'!$J$2:$J$10001,0)),"")</f>
        <v/>
      </c>
    </row>
    <row r="4741">
      <c r="A4741">
        <f>IFERROR(INDEX('Email Cleaner'!$B$2:$B$10001,MATCH(4740,'Email Cleaner'!$J$2:$J$10001,0)),"")</f>
        <v/>
      </c>
    </row>
    <row r="4742">
      <c r="A4742">
        <f>IFERROR(INDEX('Email Cleaner'!$B$2:$B$10001,MATCH(4741,'Email Cleaner'!$J$2:$J$10001,0)),"")</f>
        <v/>
      </c>
    </row>
    <row r="4743">
      <c r="A4743">
        <f>IFERROR(INDEX('Email Cleaner'!$B$2:$B$10001,MATCH(4742,'Email Cleaner'!$J$2:$J$10001,0)),"")</f>
        <v/>
      </c>
    </row>
    <row r="4744">
      <c r="A4744">
        <f>IFERROR(INDEX('Email Cleaner'!$B$2:$B$10001,MATCH(4743,'Email Cleaner'!$J$2:$J$10001,0)),"")</f>
        <v/>
      </c>
    </row>
    <row r="4745">
      <c r="A4745">
        <f>IFERROR(INDEX('Email Cleaner'!$B$2:$B$10001,MATCH(4744,'Email Cleaner'!$J$2:$J$10001,0)),"")</f>
        <v/>
      </c>
    </row>
    <row r="4746">
      <c r="A4746">
        <f>IFERROR(INDEX('Email Cleaner'!$B$2:$B$10001,MATCH(4745,'Email Cleaner'!$J$2:$J$10001,0)),"")</f>
        <v/>
      </c>
    </row>
    <row r="4747">
      <c r="A4747">
        <f>IFERROR(INDEX('Email Cleaner'!$B$2:$B$10001,MATCH(4746,'Email Cleaner'!$J$2:$J$10001,0)),"")</f>
        <v/>
      </c>
    </row>
    <row r="4748">
      <c r="A4748">
        <f>IFERROR(INDEX('Email Cleaner'!$B$2:$B$10001,MATCH(4747,'Email Cleaner'!$J$2:$J$10001,0)),"")</f>
        <v/>
      </c>
    </row>
    <row r="4749">
      <c r="A4749">
        <f>IFERROR(INDEX('Email Cleaner'!$B$2:$B$10001,MATCH(4748,'Email Cleaner'!$J$2:$J$10001,0)),"")</f>
        <v/>
      </c>
    </row>
    <row r="4750">
      <c r="A4750">
        <f>IFERROR(INDEX('Email Cleaner'!$B$2:$B$10001,MATCH(4749,'Email Cleaner'!$J$2:$J$10001,0)),"")</f>
        <v/>
      </c>
    </row>
    <row r="4751">
      <c r="A4751">
        <f>IFERROR(INDEX('Email Cleaner'!$B$2:$B$10001,MATCH(4750,'Email Cleaner'!$J$2:$J$10001,0)),"")</f>
        <v/>
      </c>
    </row>
    <row r="4752">
      <c r="A4752">
        <f>IFERROR(INDEX('Email Cleaner'!$B$2:$B$10001,MATCH(4751,'Email Cleaner'!$J$2:$J$10001,0)),"")</f>
        <v/>
      </c>
    </row>
    <row r="4753">
      <c r="A4753">
        <f>IFERROR(INDEX('Email Cleaner'!$B$2:$B$10001,MATCH(4752,'Email Cleaner'!$J$2:$J$10001,0)),"")</f>
        <v/>
      </c>
    </row>
    <row r="4754">
      <c r="A4754">
        <f>IFERROR(INDEX('Email Cleaner'!$B$2:$B$10001,MATCH(4753,'Email Cleaner'!$J$2:$J$10001,0)),"")</f>
        <v/>
      </c>
    </row>
    <row r="4755">
      <c r="A4755">
        <f>IFERROR(INDEX('Email Cleaner'!$B$2:$B$10001,MATCH(4754,'Email Cleaner'!$J$2:$J$10001,0)),"")</f>
        <v/>
      </c>
    </row>
    <row r="4756">
      <c r="A4756">
        <f>IFERROR(INDEX('Email Cleaner'!$B$2:$B$10001,MATCH(4755,'Email Cleaner'!$J$2:$J$10001,0)),"")</f>
        <v/>
      </c>
    </row>
    <row r="4757">
      <c r="A4757">
        <f>IFERROR(INDEX('Email Cleaner'!$B$2:$B$10001,MATCH(4756,'Email Cleaner'!$J$2:$J$10001,0)),"")</f>
        <v/>
      </c>
    </row>
    <row r="4758">
      <c r="A4758">
        <f>IFERROR(INDEX('Email Cleaner'!$B$2:$B$10001,MATCH(4757,'Email Cleaner'!$J$2:$J$10001,0)),"")</f>
        <v/>
      </c>
    </row>
    <row r="4759">
      <c r="A4759">
        <f>IFERROR(INDEX('Email Cleaner'!$B$2:$B$10001,MATCH(4758,'Email Cleaner'!$J$2:$J$10001,0)),"")</f>
        <v/>
      </c>
    </row>
    <row r="4760">
      <c r="A4760">
        <f>IFERROR(INDEX('Email Cleaner'!$B$2:$B$10001,MATCH(4759,'Email Cleaner'!$J$2:$J$10001,0)),"")</f>
        <v/>
      </c>
    </row>
    <row r="4761">
      <c r="A4761">
        <f>IFERROR(INDEX('Email Cleaner'!$B$2:$B$10001,MATCH(4760,'Email Cleaner'!$J$2:$J$10001,0)),"")</f>
        <v/>
      </c>
    </row>
    <row r="4762">
      <c r="A4762">
        <f>IFERROR(INDEX('Email Cleaner'!$B$2:$B$10001,MATCH(4761,'Email Cleaner'!$J$2:$J$10001,0)),"")</f>
        <v/>
      </c>
    </row>
    <row r="4763">
      <c r="A4763">
        <f>IFERROR(INDEX('Email Cleaner'!$B$2:$B$10001,MATCH(4762,'Email Cleaner'!$J$2:$J$10001,0)),"")</f>
        <v/>
      </c>
    </row>
    <row r="4764">
      <c r="A4764">
        <f>IFERROR(INDEX('Email Cleaner'!$B$2:$B$10001,MATCH(4763,'Email Cleaner'!$J$2:$J$10001,0)),"")</f>
        <v/>
      </c>
    </row>
    <row r="4765">
      <c r="A4765">
        <f>IFERROR(INDEX('Email Cleaner'!$B$2:$B$10001,MATCH(4764,'Email Cleaner'!$J$2:$J$10001,0)),"")</f>
        <v/>
      </c>
    </row>
    <row r="4766">
      <c r="A4766">
        <f>IFERROR(INDEX('Email Cleaner'!$B$2:$B$10001,MATCH(4765,'Email Cleaner'!$J$2:$J$10001,0)),"")</f>
        <v/>
      </c>
    </row>
    <row r="4767">
      <c r="A4767">
        <f>IFERROR(INDEX('Email Cleaner'!$B$2:$B$10001,MATCH(4766,'Email Cleaner'!$J$2:$J$10001,0)),"")</f>
        <v/>
      </c>
    </row>
    <row r="4768">
      <c r="A4768">
        <f>IFERROR(INDEX('Email Cleaner'!$B$2:$B$10001,MATCH(4767,'Email Cleaner'!$J$2:$J$10001,0)),"")</f>
        <v/>
      </c>
    </row>
    <row r="4769">
      <c r="A4769">
        <f>IFERROR(INDEX('Email Cleaner'!$B$2:$B$10001,MATCH(4768,'Email Cleaner'!$J$2:$J$10001,0)),"")</f>
        <v/>
      </c>
    </row>
    <row r="4770">
      <c r="A4770">
        <f>IFERROR(INDEX('Email Cleaner'!$B$2:$B$10001,MATCH(4769,'Email Cleaner'!$J$2:$J$10001,0)),"")</f>
        <v/>
      </c>
    </row>
    <row r="4771">
      <c r="A4771">
        <f>IFERROR(INDEX('Email Cleaner'!$B$2:$B$10001,MATCH(4770,'Email Cleaner'!$J$2:$J$10001,0)),"")</f>
        <v/>
      </c>
    </row>
    <row r="4772">
      <c r="A4772">
        <f>IFERROR(INDEX('Email Cleaner'!$B$2:$B$10001,MATCH(4771,'Email Cleaner'!$J$2:$J$10001,0)),"")</f>
        <v/>
      </c>
    </row>
    <row r="4773">
      <c r="A4773">
        <f>IFERROR(INDEX('Email Cleaner'!$B$2:$B$10001,MATCH(4772,'Email Cleaner'!$J$2:$J$10001,0)),"")</f>
        <v/>
      </c>
    </row>
    <row r="4774">
      <c r="A4774">
        <f>IFERROR(INDEX('Email Cleaner'!$B$2:$B$10001,MATCH(4773,'Email Cleaner'!$J$2:$J$10001,0)),"")</f>
        <v/>
      </c>
    </row>
    <row r="4775">
      <c r="A4775">
        <f>IFERROR(INDEX('Email Cleaner'!$B$2:$B$10001,MATCH(4774,'Email Cleaner'!$J$2:$J$10001,0)),"")</f>
        <v/>
      </c>
    </row>
    <row r="4776">
      <c r="A4776">
        <f>IFERROR(INDEX('Email Cleaner'!$B$2:$B$10001,MATCH(4775,'Email Cleaner'!$J$2:$J$10001,0)),"")</f>
        <v/>
      </c>
    </row>
    <row r="4777">
      <c r="A4777">
        <f>IFERROR(INDEX('Email Cleaner'!$B$2:$B$10001,MATCH(4776,'Email Cleaner'!$J$2:$J$10001,0)),"")</f>
        <v/>
      </c>
    </row>
    <row r="4778">
      <c r="A4778">
        <f>IFERROR(INDEX('Email Cleaner'!$B$2:$B$10001,MATCH(4777,'Email Cleaner'!$J$2:$J$10001,0)),"")</f>
        <v/>
      </c>
    </row>
    <row r="4779">
      <c r="A4779">
        <f>IFERROR(INDEX('Email Cleaner'!$B$2:$B$10001,MATCH(4778,'Email Cleaner'!$J$2:$J$10001,0)),"")</f>
        <v/>
      </c>
    </row>
    <row r="4780">
      <c r="A4780">
        <f>IFERROR(INDEX('Email Cleaner'!$B$2:$B$10001,MATCH(4779,'Email Cleaner'!$J$2:$J$10001,0)),"")</f>
        <v/>
      </c>
    </row>
    <row r="4781">
      <c r="A4781">
        <f>IFERROR(INDEX('Email Cleaner'!$B$2:$B$10001,MATCH(4780,'Email Cleaner'!$J$2:$J$10001,0)),"")</f>
        <v/>
      </c>
    </row>
    <row r="4782">
      <c r="A4782">
        <f>IFERROR(INDEX('Email Cleaner'!$B$2:$B$10001,MATCH(4781,'Email Cleaner'!$J$2:$J$10001,0)),"")</f>
        <v/>
      </c>
    </row>
    <row r="4783">
      <c r="A4783">
        <f>IFERROR(INDEX('Email Cleaner'!$B$2:$B$10001,MATCH(4782,'Email Cleaner'!$J$2:$J$10001,0)),"")</f>
        <v/>
      </c>
    </row>
    <row r="4784">
      <c r="A4784">
        <f>IFERROR(INDEX('Email Cleaner'!$B$2:$B$10001,MATCH(4783,'Email Cleaner'!$J$2:$J$10001,0)),"")</f>
        <v/>
      </c>
    </row>
    <row r="4785">
      <c r="A4785">
        <f>IFERROR(INDEX('Email Cleaner'!$B$2:$B$10001,MATCH(4784,'Email Cleaner'!$J$2:$J$10001,0)),"")</f>
        <v/>
      </c>
    </row>
    <row r="4786">
      <c r="A4786">
        <f>IFERROR(INDEX('Email Cleaner'!$B$2:$B$10001,MATCH(4785,'Email Cleaner'!$J$2:$J$10001,0)),"")</f>
        <v/>
      </c>
    </row>
    <row r="4787">
      <c r="A4787">
        <f>IFERROR(INDEX('Email Cleaner'!$B$2:$B$10001,MATCH(4786,'Email Cleaner'!$J$2:$J$10001,0)),"")</f>
        <v/>
      </c>
    </row>
    <row r="4788">
      <c r="A4788">
        <f>IFERROR(INDEX('Email Cleaner'!$B$2:$B$10001,MATCH(4787,'Email Cleaner'!$J$2:$J$10001,0)),"")</f>
        <v/>
      </c>
    </row>
    <row r="4789">
      <c r="A4789">
        <f>IFERROR(INDEX('Email Cleaner'!$B$2:$B$10001,MATCH(4788,'Email Cleaner'!$J$2:$J$10001,0)),"")</f>
        <v/>
      </c>
    </row>
    <row r="4790">
      <c r="A4790">
        <f>IFERROR(INDEX('Email Cleaner'!$B$2:$B$10001,MATCH(4789,'Email Cleaner'!$J$2:$J$10001,0)),"")</f>
        <v/>
      </c>
    </row>
    <row r="4791">
      <c r="A4791">
        <f>IFERROR(INDEX('Email Cleaner'!$B$2:$B$10001,MATCH(4790,'Email Cleaner'!$J$2:$J$10001,0)),"")</f>
        <v/>
      </c>
    </row>
    <row r="4792">
      <c r="A4792">
        <f>IFERROR(INDEX('Email Cleaner'!$B$2:$B$10001,MATCH(4791,'Email Cleaner'!$J$2:$J$10001,0)),"")</f>
        <v/>
      </c>
    </row>
    <row r="4793">
      <c r="A4793">
        <f>IFERROR(INDEX('Email Cleaner'!$B$2:$B$10001,MATCH(4792,'Email Cleaner'!$J$2:$J$10001,0)),"")</f>
        <v/>
      </c>
    </row>
    <row r="4794">
      <c r="A4794">
        <f>IFERROR(INDEX('Email Cleaner'!$B$2:$B$10001,MATCH(4793,'Email Cleaner'!$J$2:$J$10001,0)),"")</f>
        <v/>
      </c>
    </row>
    <row r="4795">
      <c r="A4795">
        <f>IFERROR(INDEX('Email Cleaner'!$B$2:$B$10001,MATCH(4794,'Email Cleaner'!$J$2:$J$10001,0)),"")</f>
        <v/>
      </c>
    </row>
    <row r="4796">
      <c r="A4796">
        <f>IFERROR(INDEX('Email Cleaner'!$B$2:$B$10001,MATCH(4795,'Email Cleaner'!$J$2:$J$10001,0)),"")</f>
        <v/>
      </c>
    </row>
    <row r="4797">
      <c r="A4797">
        <f>IFERROR(INDEX('Email Cleaner'!$B$2:$B$10001,MATCH(4796,'Email Cleaner'!$J$2:$J$10001,0)),"")</f>
        <v/>
      </c>
    </row>
    <row r="4798">
      <c r="A4798">
        <f>IFERROR(INDEX('Email Cleaner'!$B$2:$B$10001,MATCH(4797,'Email Cleaner'!$J$2:$J$10001,0)),"")</f>
        <v/>
      </c>
    </row>
    <row r="4799">
      <c r="A4799">
        <f>IFERROR(INDEX('Email Cleaner'!$B$2:$B$10001,MATCH(4798,'Email Cleaner'!$J$2:$J$10001,0)),"")</f>
        <v/>
      </c>
    </row>
    <row r="4800">
      <c r="A4800">
        <f>IFERROR(INDEX('Email Cleaner'!$B$2:$B$10001,MATCH(4799,'Email Cleaner'!$J$2:$J$10001,0)),"")</f>
        <v/>
      </c>
    </row>
    <row r="4801">
      <c r="A4801">
        <f>IFERROR(INDEX('Email Cleaner'!$B$2:$B$10001,MATCH(4800,'Email Cleaner'!$J$2:$J$10001,0)),"")</f>
        <v/>
      </c>
    </row>
    <row r="4802">
      <c r="A4802">
        <f>IFERROR(INDEX('Email Cleaner'!$B$2:$B$10001,MATCH(4801,'Email Cleaner'!$J$2:$J$10001,0)),"")</f>
        <v/>
      </c>
    </row>
    <row r="4803">
      <c r="A4803">
        <f>IFERROR(INDEX('Email Cleaner'!$B$2:$B$10001,MATCH(4802,'Email Cleaner'!$J$2:$J$10001,0)),"")</f>
        <v/>
      </c>
    </row>
    <row r="4804">
      <c r="A4804">
        <f>IFERROR(INDEX('Email Cleaner'!$B$2:$B$10001,MATCH(4803,'Email Cleaner'!$J$2:$J$10001,0)),"")</f>
        <v/>
      </c>
    </row>
    <row r="4805">
      <c r="A4805">
        <f>IFERROR(INDEX('Email Cleaner'!$B$2:$B$10001,MATCH(4804,'Email Cleaner'!$J$2:$J$10001,0)),"")</f>
        <v/>
      </c>
    </row>
    <row r="4806">
      <c r="A4806">
        <f>IFERROR(INDEX('Email Cleaner'!$B$2:$B$10001,MATCH(4805,'Email Cleaner'!$J$2:$J$10001,0)),"")</f>
        <v/>
      </c>
    </row>
    <row r="4807">
      <c r="A4807">
        <f>IFERROR(INDEX('Email Cleaner'!$B$2:$B$10001,MATCH(4806,'Email Cleaner'!$J$2:$J$10001,0)),"")</f>
        <v/>
      </c>
    </row>
    <row r="4808">
      <c r="A4808">
        <f>IFERROR(INDEX('Email Cleaner'!$B$2:$B$10001,MATCH(4807,'Email Cleaner'!$J$2:$J$10001,0)),"")</f>
        <v/>
      </c>
    </row>
    <row r="4809">
      <c r="A4809">
        <f>IFERROR(INDEX('Email Cleaner'!$B$2:$B$10001,MATCH(4808,'Email Cleaner'!$J$2:$J$10001,0)),"")</f>
        <v/>
      </c>
    </row>
    <row r="4810">
      <c r="A4810">
        <f>IFERROR(INDEX('Email Cleaner'!$B$2:$B$10001,MATCH(4809,'Email Cleaner'!$J$2:$J$10001,0)),"")</f>
        <v/>
      </c>
    </row>
    <row r="4811">
      <c r="A4811">
        <f>IFERROR(INDEX('Email Cleaner'!$B$2:$B$10001,MATCH(4810,'Email Cleaner'!$J$2:$J$10001,0)),"")</f>
        <v/>
      </c>
    </row>
    <row r="4812">
      <c r="A4812">
        <f>IFERROR(INDEX('Email Cleaner'!$B$2:$B$10001,MATCH(4811,'Email Cleaner'!$J$2:$J$10001,0)),"")</f>
        <v/>
      </c>
    </row>
    <row r="4813">
      <c r="A4813">
        <f>IFERROR(INDEX('Email Cleaner'!$B$2:$B$10001,MATCH(4812,'Email Cleaner'!$J$2:$J$10001,0)),"")</f>
        <v/>
      </c>
    </row>
    <row r="4814">
      <c r="A4814">
        <f>IFERROR(INDEX('Email Cleaner'!$B$2:$B$10001,MATCH(4813,'Email Cleaner'!$J$2:$J$10001,0)),"")</f>
        <v/>
      </c>
    </row>
    <row r="4815">
      <c r="A4815">
        <f>IFERROR(INDEX('Email Cleaner'!$B$2:$B$10001,MATCH(4814,'Email Cleaner'!$J$2:$J$10001,0)),"")</f>
        <v/>
      </c>
    </row>
    <row r="4816">
      <c r="A4816">
        <f>IFERROR(INDEX('Email Cleaner'!$B$2:$B$10001,MATCH(4815,'Email Cleaner'!$J$2:$J$10001,0)),"")</f>
        <v/>
      </c>
    </row>
    <row r="4817">
      <c r="A4817">
        <f>IFERROR(INDEX('Email Cleaner'!$B$2:$B$10001,MATCH(4816,'Email Cleaner'!$J$2:$J$10001,0)),"")</f>
        <v/>
      </c>
    </row>
    <row r="4818">
      <c r="A4818">
        <f>IFERROR(INDEX('Email Cleaner'!$B$2:$B$10001,MATCH(4817,'Email Cleaner'!$J$2:$J$10001,0)),"")</f>
        <v/>
      </c>
    </row>
    <row r="4819">
      <c r="A4819">
        <f>IFERROR(INDEX('Email Cleaner'!$B$2:$B$10001,MATCH(4818,'Email Cleaner'!$J$2:$J$10001,0)),"")</f>
        <v/>
      </c>
    </row>
    <row r="4820">
      <c r="A4820">
        <f>IFERROR(INDEX('Email Cleaner'!$B$2:$B$10001,MATCH(4819,'Email Cleaner'!$J$2:$J$10001,0)),"")</f>
        <v/>
      </c>
    </row>
    <row r="4821">
      <c r="A4821">
        <f>IFERROR(INDEX('Email Cleaner'!$B$2:$B$10001,MATCH(4820,'Email Cleaner'!$J$2:$J$10001,0)),"")</f>
        <v/>
      </c>
    </row>
    <row r="4822">
      <c r="A4822">
        <f>IFERROR(INDEX('Email Cleaner'!$B$2:$B$10001,MATCH(4821,'Email Cleaner'!$J$2:$J$10001,0)),"")</f>
        <v/>
      </c>
    </row>
    <row r="4823">
      <c r="A4823">
        <f>IFERROR(INDEX('Email Cleaner'!$B$2:$B$10001,MATCH(4822,'Email Cleaner'!$J$2:$J$10001,0)),"")</f>
        <v/>
      </c>
    </row>
    <row r="4824">
      <c r="A4824">
        <f>IFERROR(INDEX('Email Cleaner'!$B$2:$B$10001,MATCH(4823,'Email Cleaner'!$J$2:$J$10001,0)),"")</f>
        <v/>
      </c>
    </row>
    <row r="4825">
      <c r="A4825">
        <f>IFERROR(INDEX('Email Cleaner'!$B$2:$B$10001,MATCH(4824,'Email Cleaner'!$J$2:$J$10001,0)),"")</f>
        <v/>
      </c>
    </row>
    <row r="4826">
      <c r="A4826">
        <f>IFERROR(INDEX('Email Cleaner'!$B$2:$B$10001,MATCH(4825,'Email Cleaner'!$J$2:$J$10001,0)),"")</f>
        <v/>
      </c>
    </row>
    <row r="4827">
      <c r="A4827">
        <f>IFERROR(INDEX('Email Cleaner'!$B$2:$B$10001,MATCH(4826,'Email Cleaner'!$J$2:$J$10001,0)),"")</f>
        <v/>
      </c>
    </row>
    <row r="4828">
      <c r="A4828">
        <f>IFERROR(INDEX('Email Cleaner'!$B$2:$B$10001,MATCH(4827,'Email Cleaner'!$J$2:$J$10001,0)),"")</f>
        <v/>
      </c>
    </row>
    <row r="4829">
      <c r="A4829">
        <f>IFERROR(INDEX('Email Cleaner'!$B$2:$B$10001,MATCH(4828,'Email Cleaner'!$J$2:$J$10001,0)),"")</f>
        <v/>
      </c>
    </row>
    <row r="4830">
      <c r="A4830">
        <f>IFERROR(INDEX('Email Cleaner'!$B$2:$B$10001,MATCH(4829,'Email Cleaner'!$J$2:$J$10001,0)),"")</f>
        <v/>
      </c>
    </row>
    <row r="4831">
      <c r="A4831">
        <f>IFERROR(INDEX('Email Cleaner'!$B$2:$B$10001,MATCH(4830,'Email Cleaner'!$J$2:$J$10001,0)),"")</f>
        <v/>
      </c>
    </row>
    <row r="4832">
      <c r="A4832">
        <f>IFERROR(INDEX('Email Cleaner'!$B$2:$B$10001,MATCH(4831,'Email Cleaner'!$J$2:$J$10001,0)),"")</f>
        <v/>
      </c>
    </row>
    <row r="4833">
      <c r="A4833">
        <f>IFERROR(INDEX('Email Cleaner'!$B$2:$B$10001,MATCH(4832,'Email Cleaner'!$J$2:$J$10001,0)),"")</f>
        <v/>
      </c>
    </row>
    <row r="4834">
      <c r="A4834">
        <f>IFERROR(INDEX('Email Cleaner'!$B$2:$B$10001,MATCH(4833,'Email Cleaner'!$J$2:$J$10001,0)),"")</f>
        <v/>
      </c>
    </row>
    <row r="4835">
      <c r="A4835">
        <f>IFERROR(INDEX('Email Cleaner'!$B$2:$B$10001,MATCH(4834,'Email Cleaner'!$J$2:$J$10001,0)),"")</f>
        <v/>
      </c>
    </row>
    <row r="4836">
      <c r="A4836">
        <f>IFERROR(INDEX('Email Cleaner'!$B$2:$B$10001,MATCH(4835,'Email Cleaner'!$J$2:$J$10001,0)),"")</f>
        <v/>
      </c>
    </row>
    <row r="4837">
      <c r="A4837">
        <f>IFERROR(INDEX('Email Cleaner'!$B$2:$B$10001,MATCH(4836,'Email Cleaner'!$J$2:$J$10001,0)),"")</f>
        <v/>
      </c>
    </row>
    <row r="4838">
      <c r="A4838">
        <f>IFERROR(INDEX('Email Cleaner'!$B$2:$B$10001,MATCH(4837,'Email Cleaner'!$J$2:$J$10001,0)),"")</f>
        <v/>
      </c>
    </row>
    <row r="4839">
      <c r="A4839">
        <f>IFERROR(INDEX('Email Cleaner'!$B$2:$B$10001,MATCH(4838,'Email Cleaner'!$J$2:$J$10001,0)),"")</f>
        <v/>
      </c>
    </row>
    <row r="4840">
      <c r="A4840">
        <f>IFERROR(INDEX('Email Cleaner'!$B$2:$B$10001,MATCH(4839,'Email Cleaner'!$J$2:$J$10001,0)),"")</f>
        <v/>
      </c>
    </row>
    <row r="4841">
      <c r="A4841">
        <f>IFERROR(INDEX('Email Cleaner'!$B$2:$B$10001,MATCH(4840,'Email Cleaner'!$J$2:$J$10001,0)),"")</f>
        <v/>
      </c>
    </row>
    <row r="4842">
      <c r="A4842">
        <f>IFERROR(INDEX('Email Cleaner'!$B$2:$B$10001,MATCH(4841,'Email Cleaner'!$J$2:$J$10001,0)),"")</f>
        <v/>
      </c>
    </row>
    <row r="4843">
      <c r="A4843">
        <f>IFERROR(INDEX('Email Cleaner'!$B$2:$B$10001,MATCH(4842,'Email Cleaner'!$J$2:$J$10001,0)),"")</f>
        <v/>
      </c>
    </row>
    <row r="4844">
      <c r="A4844">
        <f>IFERROR(INDEX('Email Cleaner'!$B$2:$B$10001,MATCH(4843,'Email Cleaner'!$J$2:$J$10001,0)),"")</f>
        <v/>
      </c>
    </row>
    <row r="4845">
      <c r="A4845">
        <f>IFERROR(INDEX('Email Cleaner'!$B$2:$B$10001,MATCH(4844,'Email Cleaner'!$J$2:$J$10001,0)),"")</f>
        <v/>
      </c>
    </row>
    <row r="4846">
      <c r="A4846">
        <f>IFERROR(INDEX('Email Cleaner'!$B$2:$B$10001,MATCH(4845,'Email Cleaner'!$J$2:$J$10001,0)),"")</f>
        <v/>
      </c>
    </row>
    <row r="4847">
      <c r="A4847">
        <f>IFERROR(INDEX('Email Cleaner'!$B$2:$B$10001,MATCH(4846,'Email Cleaner'!$J$2:$J$10001,0)),"")</f>
        <v/>
      </c>
    </row>
    <row r="4848">
      <c r="A4848">
        <f>IFERROR(INDEX('Email Cleaner'!$B$2:$B$10001,MATCH(4847,'Email Cleaner'!$J$2:$J$10001,0)),"")</f>
        <v/>
      </c>
    </row>
    <row r="4849">
      <c r="A4849">
        <f>IFERROR(INDEX('Email Cleaner'!$B$2:$B$10001,MATCH(4848,'Email Cleaner'!$J$2:$J$10001,0)),"")</f>
        <v/>
      </c>
    </row>
    <row r="4850">
      <c r="A4850">
        <f>IFERROR(INDEX('Email Cleaner'!$B$2:$B$10001,MATCH(4849,'Email Cleaner'!$J$2:$J$10001,0)),"")</f>
        <v/>
      </c>
    </row>
    <row r="4851">
      <c r="A4851">
        <f>IFERROR(INDEX('Email Cleaner'!$B$2:$B$10001,MATCH(4850,'Email Cleaner'!$J$2:$J$10001,0)),"")</f>
        <v/>
      </c>
    </row>
    <row r="4852">
      <c r="A4852">
        <f>IFERROR(INDEX('Email Cleaner'!$B$2:$B$10001,MATCH(4851,'Email Cleaner'!$J$2:$J$10001,0)),"")</f>
        <v/>
      </c>
    </row>
    <row r="4853">
      <c r="A4853">
        <f>IFERROR(INDEX('Email Cleaner'!$B$2:$B$10001,MATCH(4852,'Email Cleaner'!$J$2:$J$10001,0)),"")</f>
        <v/>
      </c>
    </row>
    <row r="4854">
      <c r="A4854">
        <f>IFERROR(INDEX('Email Cleaner'!$B$2:$B$10001,MATCH(4853,'Email Cleaner'!$J$2:$J$10001,0)),"")</f>
        <v/>
      </c>
    </row>
    <row r="4855">
      <c r="A4855">
        <f>IFERROR(INDEX('Email Cleaner'!$B$2:$B$10001,MATCH(4854,'Email Cleaner'!$J$2:$J$10001,0)),"")</f>
        <v/>
      </c>
    </row>
    <row r="4856">
      <c r="A4856">
        <f>IFERROR(INDEX('Email Cleaner'!$B$2:$B$10001,MATCH(4855,'Email Cleaner'!$J$2:$J$10001,0)),"")</f>
        <v/>
      </c>
    </row>
    <row r="4857">
      <c r="A4857">
        <f>IFERROR(INDEX('Email Cleaner'!$B$2:$B$10001,MATCH(4856,'Email Cleaner'!$J$2:$J$10001,0)),"")</f>
        <v/>
      </c>
    </row>
    <row r="4858">
      <c r="A4858">
        <f>IFERROR(INDEX('Email Cleaner'!$B$2:$B$10001,MATCH(4857,'Email Cleaner'!$J$2:$J$10001,0)),"")</f>
        <v/>
      </c>
    </row>
    <row r="4859">
      <c r="A4859">
        <f>IFERROR(INDEX('Email Cleaner'!$B$2:$B$10001,MATCH(4858,'Email Cleaner'!$J$2:$J$10001,0)),"")</f>
        <v/>
      </c>
    </row>
    <row r="4860">
      <c r="A4860">
        <f>IFERROR(INDEX('Email Cleaner'!$B$2:$B$10001,MATCH(4859,'Email Cleaner'!$J$2:$J$10001,0)),"")</f>
        <v/>
      </c>
    </row>
    <row r="4861">
      <c r="A4861">
        <f>IFERROR(INDEX('Email Cleaner'!$B$2:$B$10001,MATCH(4860,'Email Cleaner'!$J$2:$J$10001,0)),"")</f>
        <v/>
      </c>
    </row>
    <row r="4862">
      <c r="A4862">
        <f>IFERROR(INDEX('Email Cleaner'!$B$2:$B$10001,MATCH(4861,'Email Cleaner'!$J$2:$J$10001,0)),"")</f>
        <v/>
      </c>
    </row>
    <row r="4863">
      <c r="A4863">
        <f>IFERROR(INDEX('Email Cleaner'!$B$2:$B$10001,MATCH(4862,'Email Cleaner'!$J$2:$J$10001,0)),"")</f>
        <v/>
      </c>
    </row>
    <row r="4864">
      <c r="A4864">
        <f>IFERROR(INDEX('Email Cleaner'!$B$2:$B$10001,MATCH(4863,'Email Cleaner'!$J$2:$J$10001,0)),"")</f>
        <v/>
      </c>
    </row>
    <row r="4865">
      <c r="A4865">
        <f>IFERROR(INDEX('Email Cleaner'!$B$2:$B$10001,MATCH(4864,'Email Cleaner'!$J$2:$J$10001,0)),"")</f>
        <v/>
      </c>
    </row>
    <row r="4866">
      <c r="A4866">
        <f>IFERROR(INDEX('Email Cleaner'!$B$2:$B$10001,MATCH(4865,'Email Cleaner'!$J$2:$J$10001,0)),"")</f>
        <v/>
      </c>
    </row>
    <row r="4867">
      <c r="A4867">
        <f>IFERROR(INDEX('Email Cleaner'!$B$2:$B$10001,MATCH(4866,'Email Cleaner'!$J$2:$J$10001,0)),"")</f>
        <v/>
      </c>
    </row>
    <row r="4868">
      <c r="A4868">
        <f>IFERROR(INDEX('Email Cleaner'!$B$2:$B$10001,MATCH(4867,'Email Cleaner'!$J$2:$J$10001,0)),"")</f>
        <v/>
      </c>
    </row>
    <row r="4869">
      <c r="A4869">
        <f>IFERROR(INDEX('Email Cleaner'!$B$2:$B$10001,MATCH(4868,'Email Cleaner'!$J$2:$J$10001,0)),"")</f>
        <v/>
      </c>
    </row>
    <row r="4870">
      <c r="A4870">
        <f>IFERROR(INDEX('Email Cleaner'!$B$2:$B$10001,MATCH(4869,'Email Cleaner'!$J$2:$J$10001,0)),"")</f>
        <v/>
      </c>
    </row>
    <row r="4871">
      <c r="A4871">
        <f>IFERROR(INDEX('Email Cleaner'!$B$2:$B$10001,MATCH(4870,'Email Cleaner'!$J$2:$J$10001,0)),"")</f>
        <v/>
      </c>
    </row>
    <row r="4872">
      <c r="A4872">
        <f>IFERROR(INDEX('Email Cleaner'!$B$2:$B$10001,MATCH(4871,'Email Cleaner'!$J$2:$J$10001,0)),"")</f>
        <v/>
      </c>
    </row>
    <row r="4873">
      <c r="A4873">
        <f>IFERROR(INDEX('Email Cleaner'!$B$2:$B$10001,MATCH(4872,'Email Cleaner'!$J$2:$J$10001,0)),"")</f>
        <v/>
      </c>
    </row>
    <row r="4874">
      <c r="A4874">
        <f>IFERROR(INDEX('Email Cleaner'!$B$2:$B$10001,MATCH(4873,'Email Cleaner'!$J$2:$J$10001,0)),"")</f>
        <v/>
      </c>
    </row>
    <row r="4875">
      <c r="A4875">
        <f>IFERROR(INDEX('Email Cleaner'!$B$2:$B$10001,MATCH(4874,'Email Cleaner'!$J$2:$J$10001,0)),"")</f>
        <v/>
      </c>
    </row>
    <row r="4876">
      <c r="A4876">
        <f>IFERROR(INDEX('Email Cleaner'!$B$2:$B$10001,MATCH(4875,'Email Cleaner'!$J$2:$J$10001,0)),"")</f>
        <v/>
      </c>
    </row>
    <row r="4877">
      <c r="A4877">
        <f>IFERROR(INDEX('Email Cleaner'!$B$2:$B$10001,MATCH(4876,'Email Cleaner'!$J$2:$J$10001,0)),"")</f>
        <v/>
      </c>
    </row>
    <row r="4878">
      <c r="A4878">
        <f>IFERROR(INDEX('Email Cleaner'!$B$2:$B$10001,MATCH(4877,'Email Cleaner'!$J$2:$J$10001,0)),"")</f>
        <v/>
      </c>
    </row>
    <row r="4879">
      <c r="A4879">
        <f>IFERROR(INDEX('Email Cleaner'!$B$2:$B$10001,MATCH(4878,'Email Cleaner'!$J$2:$J$10001,0)),"")</f>
        <v/>
      </c>
    </row>
    <row r="4880">
      <c r="A4880">
        <f>IFERROR(INDEX('Email Cleaner'!$B$2:$B$10001,MATCH(4879,'Email Cleaner'!$J$2:$J$10001,0)),"")</f>
        <v/>
      </c>
    </row>
    <row r="4881">
      <c r="A4881">
        <f>IFERROR(INDEX('Email Cleaner'!$B$2:$B$10001,MATCH(4880,'Email Cleaner'!$J$2:$J$10001,0)),"")</f>
        <v/>
      </c>
    </row>
    <row r="4882">
      <c r="A4882">
        <f>IFERROR(INDEX('Email Cleaner'!$B$2:$B$10001,MATCH(4881,'Email Cleaner'!$J$2:$J$10001,0)),"")</f>
        <v/>
      </c>
    </row>
    <row r="4883">
      <c r="A4883">
        <f>IFERROR(INDEX('Email Cleaner'!$B$2:$B$10001,MATCH(4882,'Email Cleaner'!$J$2:$J$10001,0)),"")</f>
        <v/>
      </c>
    </row>
    <row r="4884">
      <c r="A4884">
        <f>IFERROR(INDEX('Email Cleaner'!$B$2:$B$10001,MATCH(4883,'Email Cleaner'!$J$2:$J$10001,0)),"")</f>
        <v/>
      </c>
    </row>
    <row r="4885">
      <c r="A4885">
        <f>IFERROR(INDEX('Email Cleaner'!$B$2:$B$10001,MATCH(4884,'Email Cleaner'!$J$2:$J$10001,0)),"")</f>
        <v/>
      </c>
    </row>
    <row r="4886">
      <c r="A4886">
        <f>IFERROR(INDEX('Email Cleaner'!$B$2:$B$10001,MATCH(4885,'Email Cleaner'!$J$2:$J$10001,0)),"")</f>
        <v/>
      </c>
    </row>
    <row r="4887">
      <c r="A4887">
        <f>IFERROR(INDEX('Email Cleaner'!$B$2:$B$10001,MATCH(4886,'Email Cleaner'!$J$2:$J$10001,0)),"")</f>
        <v/>
      </c>
    </row>
    <row r="4888">
      <c r="A4888">
        <f>IFERROR(INDEX('Email Cleaner'!$B$2:$B$10001,MATCH(4887,'Email Cleaner'!$J$2:$J$10001,0)),"")</f>
        <v/>
      </c>
    </row>
    <row r="4889">
      <c r="A4889">
        <f>IFERROR(INDEX('Email Cleaner'!$B$2:$B$10001,MATCH(4888,'Email Cleaner'!$J$2:$J$10001,0)),"")</f>
        <v/>
      </c>
    </row>
    <row r="4890">
      <c r="A4890">
        <f>IFERROR(INDEX('Email Cleaner'!$B$2:$B$10001,MATCH(4889,'Email Cleaner'!$J$2:$J$10001,0)),"")</f>
        <v/>
      </c>
    </row>
    <row r="4891">
      <c r="A4891">
        <f>IFERROR(INDEX('Email Cleaner'!$B$2:$B$10001,MATCH(4890,'Email Cleaner'!$J$2:$J$10001,0)),"")</f>
        <v/>
      </c>
    </row>
    <row r="4892">
      <c r="A4892">
        <f>IFERROR(INDEX('Email Cleaner'!$B$2:$B$10001,MATCH(4891,'Email Cleaner'!$J$2:$J$10001,0)),"")</f>
        <v/>
      </c>
    </row>
    <row r="4893">
      <c r="A4893">
        <f>IFERROR(INDEX('Email Cleaner'!$B$2:$B$10001,MATCH(4892,'Email Cleaner'!$J$2:$J$10001,0)),"")</f>
        <v/>
      </c>
    </row>
    <row r="4894">
      <c r="A4894">
        <f>IFERROR(INDEX('Email Cleaner'!$B$2:$B$10001,MATCH(4893,'Email Cleaner'!$J$2:$J$10001,0)),"")</f>
        <v/>
      </c>
    </row>
    <row r="4895">
      <c r="A4895">
        <f>IFERROR(INDEX('Email Cleaner'!$B$2:$B$10001,MATCH(4894,'Email Cleaner'!$J$2:$J$10001,0)),"")</f>
        <v/>
      </c>
    </row>
    <row r="4896">
      <c r="A4896">
        <f>IFERROR(INDEX('Email Cleaner'!$B$2:$B$10001,MATCH(4895,'Email Cleaner'!$J$2:$J$10001,0)),"")</f>
        <v/>
      </c>
    </row>
    <row r="4897">
      <c r="A4897">
        <f>IFERROR(INDEX('Email Cleaner'!$B$2:$B$10001,MATCH(4896,'Email Cleaner'!$J$2:$J$10001,0)),"")</f>
        <v/>
      </c>
    </row>
    <row r="4898">
      <c r="A4898">
        <f>IFERROR(INDEX('Email Cleaner'!$B$2:$B$10001,MATCH(4897,'Email Cleaner'!$J$2:$J$10001,0)),"")</f>
        <v/>
      </c>
    </row>
    <row r="4899">
      <c r="A4899">
        <f>IFERROR(INDEX('Email Cleaner'!$B$2:$B$10001,MATCH(4898,'Email Cleaner'!$J$2:$J$10001,0)),"")</f>
        <v/>
      </c>
    </row>
    <row r="4900">
      <c r="A4900">
        <f>IFERROR(INDEX('Email Cleaner'!$B$2:$B$10001,MATCH(4899,'Email Cleaner'!$J$2:$J$10001,0)),"")</f>
        <v/>
      </c>
    </row>
    <row r="4901">
      <c r="A4901">
        <f>IFERROR(INDEX('Email Cleaner'!$B$2:$B$10001,MATCH(4900,'Email Cleaner'!$J$2:$J$10001,0)),"")</f>
        <v/>
      </c>
    </row>
    <row r="4902">
      <c r="A4902">
        <f>IFERROR(INDEX('Email Cleaner'!$B$2:$B$10001,MATCH(4901,'Email Cleaner'!$J$2:$J$10001,0)),"")</f>
        <v/>
      </c>
    </row>
    <row r="4903">
      <c r="A4903">
        <f>IFERROR(INDEX('Email Cleaner'!$B$2:$B$10001,MATCH(4902,'Email Cleaner'!$J$2:$J$10001,0)),"")</f>
        <v/>
      </c>
    </row>
    <row r="4904">
      <c r="A4904">
        <f>IFERROR(INDEX('Email Cleaner'!$B$2:$B$10001,MATCH(4903,'Email Cleaner'!$J$2:$J$10001,0)),"")</f>
        <v/>
      </c>
    </row>
    <row r="4905">
      <c r="A4905">
        <f>IFERROR(INDEX('Email Cleaner'!$B$2:$B$10001,MATCH(4904,'Email Cleaner'!$J$2:$J$10001,0)),"")</f>
        <v/>
      </c>
    </row>
    <row r="4906">
      <c r="A4906">
        <f>IFERROR(INDEX('Email Cleaner'!$B$2:$B$10001,MATCH(4905,'Email Cleaner'!$J$2:$J$10001,0)),"")</f>
        <v/>
      </c>
    </row>
    <row r="4907">
      <c r="A4907">
        <f>IFERROR(INDEX('Email Cleaner'!$B$2:$B$10001,MATCH(4906,'Email Cleaner'!$J$2:$J$10001,0)),"")</f>
        <v/>
      </c>
    </row>
    <row r="4908">
      <c r="A4908">
        <f>IFERROR(INDEX('Email Cleaner'!$B$2:$B$10001,MATCH(4907,'Email Cleaner'!$J$2:$J$10001,0)),"")</f>
        <v/>
      </c>
    </row>
    <row r="4909">
      <c r="A4909">
        <f>IFERROR(INDEX('Email Cleaner'!$B$2:$B$10001,MATCH(4908,'Email Cleaner'!$J$2:$J$10001,0)),"")</f>
        <v/>
      </c>
    </row>
    <row r="4910">
      <c r="A4910">
        <f>IFERROR(INDEX('Email Cleaner'!$B$2:$B$10001,MATCH(4909,'Email Cleaner'!$J$2:$J$10001,0)),"")</f>
        <v/>
      </c>
    </row>
    <row r="4911">
      <c r="A4911">
        <f>IFERROR(INDEX('Email Cleaner'!$B$2:$B$10001,MATCH(4910,'Email Cleaner'!$J$2:$J$10001,0)),"")</f>
        <v/>
      </c>
    </row>
    <row r="4912">
      <c r="A4912">
        <f>IFERROR(INDEX('Email Cleaner'!$B$2:$B$10001,MATCH(4911,'Email Cleaner'!$J$2:$J$10001,0)),"")</f>
        <v/>
      </c>
    </row>
    <row r="4913">
      <c r="A4913">
        <f>IFERROR(INDEX('Email Cleaner'!$B$2:$B$10001,MATCH(4912,'Email Cleaner'!$J$2:$J$10001,0)),"")</f>
        <v/>
      </c>
    </row>
    <row r="4914">
      <c r="A4914">
        <f>IFERROR(INDEX('Email Cleaner'!$B$2:$B$10001,MATCH(4913,'Email Cleaner'!$J$2:$J$10001,0)),"")</f>
        <v/>
      </c>
    </row>
    <row r="4915">
      <c r="A4915">
        <f>IFERROR(INDEX('Email Cleaner'!$B$2:$B$10001,MATCH(4914,'Email Cleaner'!$J$2:$J$10001,0)),"")</f>
        <v/>
      </c>
    </row>
    <row r="4916">
      <c r="A4916">
        <f>IFERROR(INDEX('Email Cleaner'!$B$2:$B$10001,MATCH(4915,'Email Cleaner'!$J$2:$J$10001,0)),"")</f>
        <v/>
      </c>
    </row>
    <row r="4917">
      <c r="A4917">
        <f>IFERROR(INDEX('Email Cleaner'!$B$2:$B$10001,MATCH(4916,'Email Cleaner'!$J$2:$J$10001,0)),"")</f>
        <v/>
      </c>
    </row>
    <row r="4918">
      <c r="A4918">
        <f>IFERROR(INDEX('Email Cleaner'!$B$2:$B$10001,MATCH(4917,'Email Cleaner'!$J$2:$J$10001,0)),"")</f>
        <v/>
      </c>
    </row>
    <row r="4919">
      <c r="A4919">
        <f>IFERROR(INDEX('Email Cleaner'!$B$2:$B$10001,MATCH(4918,'Email Cleaner'!$J$2:$J$10001,0)),"")</f>
        <v/>
      </c>
    </row>
    <row r="4920">
      <c r="A4920">
        <f>IFERROR(INDEX('Email Cleaner'!$B$2:$B$10001,MATCH(4919,'Email Cleaner'!$J$2:$J$10001,0)),"")</f>
        <v/>
      </c>
    </row>
    <row r="4921">
      <c r="A4921">
        <f>IFERROR(INDEX('Email Cleaner'!$B$2:$B$10001,MATCH(4920,'Email Cleaner'!$J$2:$J$10001,0)),"")</f>
        <v/>
      </c>
    </row>
    <row r="4922">
      <c r="A4922">
        <f>IFERROR(INDEX('Email Cleaner'!$B$2:$B$10001,MATCH(4921,'Email Cleaner'!$J$2:$J$10001,0)),"")</f>
        <v/>
      </c>
    </row>
    <row r="4923">
      <c r="A4923">
        <f>IFERROR(INDEX('Email Cleaner'!$B$2:$B$10001,MATCH(4922,'Email Cleaner'!$J$2:$J$10001,0)),"")</f>
        <v/>
      </c>
    </row>
    <row r="4924">
      <c r="A4924">
        <f>IFERROR(INDEX('Email Cleaner'!$B$2:$B$10001,MATCH(4923,'Email Cleaner'!$J$2:$J$10001,0)),"")</f>
        <v/>
      </c>
    </row>
    <row r="4925">
      <c r="A4925">
        <f>IFERROR(INDEX('Email Cleaner'!$B$2:$B$10001,MATCH(4924,'Email Cleaner'!$J$2:$J$10001,0)),"")</f>
        <v/>
      </c>
    </row>
    <row r="4926">
      <c r="A4926">
        <f>IFERROR(INDEX('Email Cleaner'!$B$2:$B$10001,MATCH(4925,'Email Cleaner'!$J$2:$J$10001,0)),"")</f>
        <v/>
      </c>
    </row>
    <row r="4927">
      <c r="A4927">
        <f>IFERROR(INDEX('Email Cleaner'!$B$2:$B$10001,MATCH(4926,'Email Cleaner'!$J$2:$J$10001,0)),"")</f>
        <v/>
      </c>
    </row>
    <row r="4928">
      <c r="A4928">
        <f>IFERROR(INDEX('Email Cleaner'!$B$2:$B$10001,MATCH(4927,'Email Cleaner'!$J$2:$J$10001,0)),"")</f>
        <v/>
      </c>
    </row>
    <row r="4929">
      <c r="A4929">
        <f>IFERROR(INDEX('Email Cleaner'!$B$2:$B$10001,MATCH(4928,'Email Cleaner'!$J$2:$J$10001,0)),"")</f>
        <v/>
      </c>
    </row>
    <row r="4930">
      <c r="A4930">
        <f>IFERROR(INDEX('Email Cleaner'!$B$2:$B$10001,MATCH(4929,'Email Cleaner'!$J$2:$J$10001,0)),"")</f>
        <v/>
      </c>
    </row>
    <row r="4931">
      <c r="A4931">
        <f>IFERROR(INDEX('Email Cleaner'!$B$2:$B$10001,MATCH(4930,'Email Cleaner'!$J$2:$J$10001,0)),"")</f>
        <v/>
      </c>
    </row>
    <row r="4932">
      <c r="A4932">
        <f>IFERROR(INDEX('Email Cleaner'!$B$2:$B$10001,MATCH(4931,'Email Cleaner'!$J$2:$J$10001,0)),"")</f>
        <v/>
      </c>
    </row>
    <row r="4933">
      <c r="A4933">
        <f>IFERROR(INDEX('Email Cleaner'!$B$2:$B$10001,MATCH(4932,'Email Cleaner'!$J$2:$J$10001,0)),"")</f>
        <v/>
      </c>
    </row>
    <row r="4934">
      <c r="A4934">
        <f>IFERROR(INDEX('Email Cleaner'!$B$2:$B$10001,MATCH(4933,'Email Cleaner'!$J$2:$J$10001,0)),"")</f>
        <v/>
      </c>
    </row>
    <row r="4935">
      <c r="A4935">
        <f>IFERROR(INDEX('Email Cleaner'!$B$2:$B$10001,MATCH(4934,'Email Cleaner'!$J$2:$J$10001,0)),"")</f>
        <v/>
      </c>
    </row>
    <row r="4936">
      <c r="A4936">
        <f>IFERROR(INDEX('Email Cleaner'!$B$2:$B$10001,MATCH(4935,'Email Cleaner'!$J$2:$J$10001,0)),"")</f>
        <v/>
      </c>
    </row>
    <row r="4937">
      <c r="A4937">
        <f>IFERROR(INDEX('Email Cleaner'!$B$2:$B$10001,MATCH(4936,'Email Cleaner'!$J$2:$J$10001,0)),"")</f>
        <v/>
      </c>
    </row>
    <row r="4938">
      <c r="A4938">
        <f>IFERROR(INDEX('Email Cleaner'!$B$2:$B$10001,MATCH(4937,'Email Cleaner'!$J$2:$J$10001,0)),"")</f>
        <v/>
      </c>
    </row>
    <row r="4939">
      <c r="A4939">
        <f>IFERROR(INDEX('Email Cleaner'!$B$2:$B$10001,MATCH(4938,'Email Cleaner'!$J$2:$J$10001,0)),"")</f>
        <v/>
      </c>
    </row>
    <row r="4940">
      <c r="A4940">
        <f>IFERROR(INDEX('Email Cleaner'!$B$2:$B$10001,MATCH(4939,'Email Cleaner'!$J$2:$J$10001,0)),"")</f>
        <v/>
      </c>
    </row>
    <row r="4941">
      <c r="A4941">
        <f>IFERROR(INDEX('Email Cleaner'!$B$2:$B$10001,MATCH(4940,'Email Cleaner'!$J$2:$J$10001,0)),"")</f>
        <v/>
      </c>
    </row>
    <row r="4942">
      <c r="A4942">
        <f>IFERROR(INDEX('Email Cleaner'!$B$2:$B$10001,MATCH(4941,'Email Cleaner'!$J$2:$J$10001,0)),"")</f>
        <v/>
      </c>
    </row>
    <row r="4943">
      <c r="A4943">
        <f>IFERROR(INDEX('Email Cleaner'!$B$2:$B$10001,MATCH(4942,'Email Cleaner'!$J$2:$J$10001,0)),"")</f>
        <v/>
      </c>
    </row>
    <row r="4944">
      <c r="A4944">
        <f>IFERROR(INDEX('Email Cleaner'!$B$2:$B$10001,MATCH(4943,'Email Cleaner'!$J$2:$J$10001,0)),"")</f>
        <v/>
      </c>
    </row>
    <row r="4945">
      <c r="A4945">
        <f>IFERROR(INDEX('Email Cleaner'!$B$2:$B$10001,MATCH(4944,'Email Cleaner'!$J$2:$J$10001,0)),"")</f>
        <v/>
      </c>
    </row>
    <row r="4946">
      <c r="A4946">
        <f>IFERROR(INDEX('Email Cleaner'!$B$2:$B$10001,MATCH(4945,'Email Cleaner'!$J$2:$J$10001,0)),"")</f>
        <v/>
      </c>
    </row>
    <row r="4947">
      <c r="A4947">
        <f>IFERROR(INDEX('Email Cleaner'!$B$2:$B$10001,MATCH(4946,'Email Cleaner'!$J$2:$J$10001,0)),"")</f>
        <v/>
      </c>
    </row>
    <row r="4948">
      <c r="A4948">
        <f>IFERROR(INDEX('Email Cleaner'!$B$2:$B$10001,MATCH(4947,'Email Cleaner'!$J$2:$J$10001,0)),"")</f>
        <v/>
      </c>
    </row>
    <row r="4949">
      <c r="A4949">
        <f>IFERROR(INDEX('Email Cleaner'!$B$2:$B$10001,MATCH(4948,'Email Cleaner'!$J$2:$J$10001,0)),"")</f>
        <v/>
      </c>
    </row>
    <row r="4950">
      <c r="A4950">
        <f>IFERROR(INDEX('Email Cleaner'!$B$2:$B$10001,MATCH(4949,'Email Cleaner'!$J$2:$J$10001,0)),"")</f>
        <v/>
      </c>
    </row>
    <row r="4951">
      <c r="A4951">
        <f>IFERROR(INDEX('Email Cleaner'!$B$2:$B$10001,MATCH(4950,'Email Cleaner'!$J$2:$J$10001,0)),"")</f>
        <v/>
      </c>
    </row>
    <row r="4952">
      <c r="A4952">
        <f>IFERROR(INDEX('Email Cleaner'!$B$2:$B$10001,MATCH(4951,'Email Cleaner'!$J$2:$J$10001,0)),"")</f>
        <v/>
      </c>
    </row>
    <row r="4953">
      <c r="A4953">
        <f>IFERROR(INDEX('Email Cleaner'!$B$2:$B$10001,MATCH(4952,'Email Cleaner'!$J$2:$J$10001,0)),"")</f>
        <v/>
      </c>
    </row>
    <row r="4954">
      <c r="A4954">
        <f>IFERROR(INDEX('Email Cleaner'!$B$2:$B$10001,MATCH(4953,'Email Cleaner'!$J$2:$J$10001,0)),"")</f>
        <v/>
      </c>
    </row>
    <row r="4955">
      <c r="A4955">
        <f>IFERROR(INDEX('Email Cleaner'!$B$2:$B$10001,MATCH(4954,'Email Cleaner'!$J$2:$J$10001,0)),"")</f>
        <v/>
      </c>
    </row>
    <row r="4956">
      <c r="A4956">
        <f>IFERROR(INDEX('Email Cleaner'!$B$2:$B$10001,MATCH(4955,'Email Cleaner'!$J$2:$J$10001,0)),"")</f>
        <v/>
      </c>
    </row>
    <row r="4957">
      <c r="A4957">
        <f>IFERROR(INDEX('Email Cleaner'!$B$2:$B$10001,MATCH(4956,'Email Cleaner'!$J$2:$J$10001,0)),"")</f>
        <v/>
      </c>
    </row>
    <row r="4958">
      <c r="A4958">
        <f>IFERROR(INDEX('Email Cleaner'!$B$2:$B$10001,MATCH(4957,'Email Cleaner'!$J$2:$J$10001,0)),"")</f>
        <v/>
      </c>
    </row>
    <row r="4959">
      <c r="A4959">
        <f>IFERROR(INDEX('Email Cleaner'!$B$2:$B$10001,MATCH(4958,'Email Cleaner'!$J$2:$J$10001,0)),"")</f>
        <v/>
      </c>
    </row>
    <row r="4960">
      <c r="A4960">
        <f>IFERROR(INDEX('Email Cleaner'!$B$2:$B$10001,MATCH(4959,'Email Cleaner'!$J$2:$J$10001,0)),"")</f>
        <v/>
      </c>
    </row>
    <row r="4961">
      <c r="A4961">
        <f>IFERROR(INDEX('Email Cleaner'!$B$2:$B$10001,MATCH(4960,'Email Cleaner'!$J$2:$J$10001,0)),"")</f>
        <v/>
      </c>
    </row>
    <row r="4962">
      <c r="A4962">
        <f>IFERROR(INDEX('Email Cleaner'!$B$2:$B$10001,MATCH(4961,'Email Cleaner'!$J$2:$J$10001,0)),"")</f>
        <v/>
      </c>
    </row>
    <row r="4963">
      <c r="A4963">
        <f>IFERROR(INDEX('Email Cleaner'!$B$2:$B$10001,MATCH(4962,'Email Cleaner'!$J$2:$J$10001,0)),"")</f>
        <v/>
      </c>
    </row>
    <row r="4964">
      <c r="A4964">
        <f>IFERROR(INDEX('Email Cleaner'!$B$2:$B$10001,MATCH(4963,'Email Cleaner'!$J$2:$J$10001,0)),"")</f>
        <v/>
      </c>
    </row>
    <row r="4965">
      <c r="A4965">
        <f>IFERROR(INDEX('Email Cleaner'!$B$2:$B$10001,MATCH(4964,'Email Cleaner'!$J$2:$J$10001,0)),"")</f>
        <v/>
      </c>
    </row>
    <row r="4966">
      <c r="A4966">
        <f>IFERROR(INDEX('Email Cleaner'!$B$2:$B$10001,MATCH(4965,'Email Cleaner'!$J$2:$J$10001,0)),"")</f>
        <v/>
      </c>
    </row>
    <row r="4967">
      <c r="A4967">
        <f>IFERROR(INDEX('Email Cleaner'!$B$2:$B$10001,MATCH(4966,'Email Cleaner'!$J$2:$J$10001,0)),"")</f>
        <v/>
      </c>
    </row>
    <row r="4968">
      <c r="A4968">
        <f>IFERROR(INDEX('Email Cleaner'!$B$2:$B$10001,MATCH(4967,'Email Cleaner'!$J$2:$J$10001,0)),"")</f>
        <v/>
      </c>
    </row>
    <row r="4969">
      <c r="A4969">
        <f>IFERROR(INDEX('Email Cleaner'!$B$2:$B$10001,MATCH(4968,'Email Cleaner'!$J$2:$J$10001,0)),"")</f>
        <v/>
      </c>
    </row>
    <row r="4970">
      <c r="A4970">
        <f>IFERROR(INDEX('Email Cleaner'!$B$2:$B$10001,MATCH(4969,'Email Cleaner'!$J$2:$J$10001,0)),"")</f>
        <v/>
      </c>
    </row>
    <row r="4971">
      <c r="A4971">
        <f>IFERROR(INDEX('Email Cleaner'!$B$2:$B$10001,MATCH(4970,'Email Cleaner'!$J$2:$J$10001,0)),"")</f>
        <v/>
      </c>
    </row>
    <row r="4972">
      <c r="A4972">
        <f>IFERROR(INDEX('Email Cleaner'!$B$2:$B$10001,MATCH(4971,'Email Cleaner'!$J$2:$J$10001,0)),"")</f>
        <v/>
      </c>
    </row>
    <row r="4973">
      <c r="A4973">
        <f>IFERROR(INDEX('Email Cleaner'!$B$2:$B$10001,MATCH(4972,'Email Cleaner'!$J$2:$J$10001,0)),"")</f>
        <v/>
      </c>
    </row>
    <row r="4974">
      <c r="A4974">
        <f>IFERROR(INDEX('Email Cleaner'!$B$2:$B$10001,MATCH(4973,'Email Cleaner'!$J$2:$J$10001,0)),"")</f>
        <v/>
      </c>
    </row>
    <row r="4975">
      <c r="A4975">
        <f>IFERROR(INDEX('Email Cleaner'!$B$2:$B$10001,MATCH(4974,'Email Cleaner'!$J$2:$J$10001,0)),"")</f>
        <v/>
      </c>
    </row>
    <row r="4976">
      <c r="A4976">
        <f>IFERROR(INDEX('Email Cleaner'!$B$2:$B$10001,MATCH(4975,'Email Cleaner'!$J$2:$J$10001,0)),"")</f>
        <v/>
      </c>
    </row>
    <row r="4977">
      <c r="A4977">
        <f>IFERROR(INDEX('Email Cleaner'!$B$2:$B$10001,MATCH(4976,'Email Cleaner'!$J$2:$J$10001,0)),"")</f>
        <v/>
      </c>
    </row>
    <row r="4978">
      <c r="A4978">
        <f>IFERROR(INDEX('Email Cleaner'!$B$2:$B$10001,MATCH(4977,'Email Cleaner'!$J$2:$J$10001,0)),"")</f>
        <v/>
      </c>
    </row>
    <row r="4979">
      <c r="A4979">
        <f>IFERROR(INDEX('Email Cleaner'!$B$2:$B$10001,MATCH(4978,'Email Cleaner'!$J$2:$J$10001,0)),"")</f>
        <v/>
      </c>
    </row>
    <row r="4980">
      <c r="A4980">
        <f>IFERROR(INDEX('Email Cleaner'!$B$2:$B$10001,MATCH(4979,'Email Cleaner'!$J$2:$J$10001,0)),"")</f>
        <v/>
      </c>
    </row>
    <row r="4981">
      <c r="A4981">
        <f>IFERROR(INDEX('Email Cleaner'!$B$2:$B$10001,MATCH(4980,'Email Cleaner'!$J$2:$J$10001,0)),"")</f>
        <v/>
      </c>
    </row>
    <row r="4982">
      <c r="A4982">
        <f>IFERROR(INDEX('Email Cleaner'!$B$2:$B$10001,MATCH(4981,'Email Cleaner'!$J$2:$J$10001,0)),"")</f>
        <v/>
      </c>
    </row>
    <row r="4983">
      <c r="A4983">
        <f>IFERROR(INDEX('Email Cleaner'!$B$2:$B$10001,MATCH(4982,'Email Cleaner'!$J$2:$J$10001,0)),"")</f>
        <v/>
      </c>
    </row>
    <row r="4984">
      <c r="A4984">
        <f>IFERROR(INDEX('Email Cleaner'!$B$2:$B$10001,MATCH(4983,'Email Cleaner'!$J$2:$J$10001,0)),"")</f>
        <v/>
      </c>
    </row>
    <row r="4985">
      <c r="A4985">
        <f>IFERROR(INDEX('Email Cleaner'!$B$2:$B$10001,MATCH(4984,'Email Cleaner'!$J$2:$J$10001,0)),"")</f>
        <v/>
      </c>
    </row>
    <row r="4986">
      <c r="A4986">
        <f>IFERROR(INDEX('Email Cleaner'!$B$2:$B$10001,MATCH(4985,'Email Cleaner'!$J$2:$J$10001,0)),"")</f>
        <v/>
      </c>
    </row>
    <row r="4987">
      <c r="A4987">
        <f>IFERROR(INDEX('Email Cleaner'!$B$2:$B$10001,MATCH(4986,'Email Cleaner'!$J$2:$J$10001,0)),"")</f>
        <v/>
      </c>
    </row>
    <row r="4988">
      <c r="A4988">
        <f>IFERROR(INDEX('Email Cleaner'!$B$2:$B$10001,MATCH(4987,'Email Cleaner'!$J$2:$J$10001,0)),"")</f>
        <v/>
      </c>
    </row>
    <row r="4989">
      <c r="A4989">
        <f>IFERROR(INDEX('Email Cleaner'!$B$2:$B$10001,MATCH(4988,'Email Cleaner'!$J$2:$J$10001,0)),"")</f>
        <v/>
      </c>
    </row>
    <row r="4990">
      <c r="A4990">
        <f>IFERROR(INDEX('Email Cleaner'!$B$2:$B$10001,MATCH(4989,'Email Cleaner'!$J$2:$J$10001,0)),"")</f>
        <v/>
      </c>
    </row>
    <row r="4991">
      <c r="A4991">
        <f>IFERROR(INDEX('Email Cleaner'!$B$2:$B$10001,MATCH(4990,'Email Cleaner'!$J$2:$J$10001,0)),"")</f>
        <v/>
      </c>
    </row>
    <row r="4992">
      <c r="A4992">
        <f>IFERROR(INDEX('Email Cleaner'!$B$2:$B$10001,MATCH(4991,'Email Cleaner'!$J$2:$J$10001,0)),"")</f>
        <v/>
      </c>
    </row>
    <row r="4993">
      <c r="A4993">
        <f>IFERROR(INDEX('Email Cleaner'!$B$2:$B$10001,MATCH(4992,'Email Cleaner'!$J$2:$J$10001,0)),"")</f>
        <v/>
      </c>
    </row>
    <row r="4994">
      <c r="A4994">
        <f>IFERROR(INDEX('Email Cleaner'!$B$2:$B$10001,MATCH(4993,'Email Cleaner'!$J$2:$J$10001,0)),"")</f>
        <v/>
      </c>
    </row>
    <row r="4995">
      <c r="A4995">
        <f>IFERROR(INDEX('Email Cleaner'!$B$2:$B$10001,MATCH(4994,'Email Cleaner'!$J$2:$J$10001,0)),"")</f>
        <v/>
      </c>
    </row>
    <row r="4996">
      <c r="A4996">
        <f>IFERROR(INDEX('Email Cleaner'!$B$2:$B$10001,MATCH(4995,'Email Cleaner'!$J$2:$J$10001,0)),"")</f>
        <v/>
      </c>
    </row>
    <row r="4997">
      <c r="A4997">
        <f>IFERROR(INDEX('Email Cleaner'!$B$2:$B$10001,MATCH(4996,'Email Cleaner'!$J$2:$J$10001,0)),"")</f>
        <v/>
      </c>
    </row>
    <row r="4998">
      <c r="A4998">
        <f>IFERROR(INDEX('Email Cleaner'!$B$2:$B$10001,MATCH(4997,'Email Cleaner'!$J$2:$J$10001,0)),"")</f>
        <v/>
      </c>
    </row>
    <row r="4999">
      <c r="A4999">
        <f>IFERROR(INDEX('Email Cleaner'!$B$2:$B$10001,MATCH(4998,'Email Cleaner'!$J$2:$J$10001,0)),"")</f>
        <v/>
      </c>
    </row>
    <row r="5000">
      <c r="A5000">
        <f>IFERROR(INDEX('Email Cleaner'!$B$2:$B$10001,MATCH(4999,'Email Cleaner'!$J$2:$J$10001,0)),"")</f>
        <v/>
      </c>
    </row>
    <row r="5001">
      <c r="A5001">
        <f>IFERROR(INDEX('Email Cleaner'!$B$2:$B$10001,MATCH(5000,'Email Cleaner'!$J$2:$J$10001,0)),"")</f>
        <v/>
      </c>
    </row>
    <row r="5002">
      <c r="A5002">
        <f>IFERROR(INDEX('Email Cleaner'!$B$2:$B$10001,MATCH(5001,'Email Cleaner'!$J$2:$J$10001,0)),"")</f>
        <v/>
      </c>
    </row>
    <row r="5003">
      <c r="A5003">
        <f>IFERROR(INDEX('Email Cleaner'!$B$2:$B$10001,MATCH(5002,'Email Cleaner'!$J$2:$J$10001,0)),"")</f>
        <v/>
      </c>
    </row>
    <row r="5004">
      <c r="A5004">
        <f>IFERROR(INDEX('Email Cleaner'!$B$2:$B$10001,MATCH(5003,'Email Cleaner'!$J$2:$J$10001,0)),"")</f>
        <v/>
      </c>
    </row>
    <row r="5005">
      <c r="A5005">
        <f>IFERROR(INDEX('Email Cleaner'!$B$2:$B$10001,MATCH(5004,'Email Cleaner'!$J$2:$J$10001,0)),"")</f>
        <v/>
      </c>
    </row>
    <row r="5006">
      <c r="A5006">
        <f>IFERROR(INDEX('Email Cleaner'!$B$2:$B$10001,MATCH(5005,'Email Cleaner'!$J$2:$J$10001,0)),"")</f>
        <v/>
      </c>
    </row>
    <row r="5007">
      <c r="A5007">
        <f>IFERROR(INDEX('Email Cleaner'!$B$2:$B$10001,MATCH(5006,'Email Cleaner'!$J$2:$J$10001,0)),"")</f>
        <v/>
      </c>
    </row>
    <row r="5008">
      <c r="A5008">
        <f>IFERROR(INDEX('Email Cleaner'!$B$2:$B$10001,MATCH(5007,'Email Cleaner'!$J$2:$J$10001,0)),"")</f>
        <v/>
      </c>
    </row>
    <row r="5009">
      <c r="A5009">
        <f>IFERROR(INDEX('Email Cleaner'!$B$2:$B$10001,MATCH(5008,'Email Cleaner'!$J$2:$J$10001,0)),"")</f>
        <v/>
      </c>
    </row>
    <row r="5010">
      <c r="A5010">
        <f>IFERROR(INDEX('Email Cleaner'!$B$2:$B$10001,MATCH(5009,'Email Cleaner'!$J$2:$J$10001,0)),"")</f>
        <v/>
      </c>
    </row>
    <row r="5011">
      <c r="A5011">
        <f>IFERROR(INDEX('Email Cleaner'!$B$2:$B$10001,MATCH(5010,'Email Cleaner'!$J$2:$J$10001,0)),"")</f>
        <v/>
      </c>
    </row>
    <row r="5012">
      <c r="A5012">
        <f>IFERROR(INDEX('Email Cleaner'!$B$2:$B$10001,MATCH(5011,'Email Cleaner'!$J$2:$J$10001,0)),"")</f>
        <v/>
      </c>
    </row>
    <row r="5013">
      <c r="A5013">
        <f>IFERROR(INDEX('Email Cleaner'!$B$2:$B$10001,MATCH(5012,'Email Cleaner'!$J$2:$J$10001,0)),"")</f>
        <v/>
      </c>
    </row>
    <row r="5014">
      <c r="A5014">
        <f>IFERROR(INDEX('Email Cleaner'!$B$2:$B$10001,MATCH(5013,'Email Cleaner'!$J$2:$J$10001,0)),"")</f>
        <v/>
      </c>
    </row>
    <row r="5015">
      <c r="A5015">
        <f>IFERROR(INDEX('Email Cleaner'!$B$2:$B$10001,MATCH(5014,'Email Cleaner'!$J$2:$J$10001,0)),"")</f>
        <v/>
      </c>
    </row>
    <row r="5016">
      <c r="A5016">
        <f>IFERROR(INDEX('Email Cleaner'!$B$2:$B$10001,MATCH(5015,'Email Cleaner'!$J$2:$J$10001,0)),"")</f>
        <v/>
      </c>
    </row>
    <row r="5017">
      <c r="A5017">
        <f>IFERROR(INDEX('Email Cleaner'!$B$2:$B$10001,MATCH(5016,'Email Cleaner'!$J$2:$J$10001,0)),"")</f>
        <v/>
      </c>
    </row>
    <row r="5018">
      <c r="A5018">
        <f>IFERROR(INDEX('Email Cleaner'!$B$2:$B$10001,MATCH(5017,'Email Cleaner'!$J$2:$J$10001,0)),"")</f>
        <v/>
      </c>
    </row>
    <row r="5019">
      <c r="A5019">
        <f>IFERROR(INDEX('Email Cleaner'!$B$2:$B$10001,MATCH(5018,'Email Cleaner'!$J$2:$J$10001,0)),"")</f>
        <v/>
      </c>
    </row>
    <row r="5020">
      <c r="A5020">
        <f>IFERROR(INDEX('Email Cleaner'!$B$2:$B$10001,MATCH(5019,'Email Cleaner'!$J$2:$J$10001,0)),"")</f>
        <v/>
      </c>
    </row>
    <row r="5021">
      <c r="A5021">
        <f>IFERROR(INDEX('Email Cleaner'!$B$2:$B$10001,MATCH(5020,'Email Cleaner'!$J$2:$J$10001,0)),"")</f>
        <v/>
      </c>
    </row>
    <row r="5022">
      <c r="A5022">
        <f>IFERROR(INDEX('Email Cleaner'!$B$2:$B$10001,MATCH(5021,'Email Cleaner'!$J$2:$J$10001,0)),"")</f>
        <v/>
      </c>
    </row>
    <row r="5023">
      <c r="A5023">
        <f>IFERROR(INDEX('Email Cleaner'!$B$2:$B$10001,MATCH(5022,'Email Cleaner'!$J$2:$J$10001,0)),"")</f>
        <v/>
      </c>
    </row>
    <row r="5024">
      <c r="A5024">
        <f>IFERROR(INDEX('Email Cleaner'!$B$2:$B$10001,MATCH(5023,'Email Cleaner'!$J$2:$J$10001,0)),"")</f>
        <v/>
      </c>
    </row>
    <row r="5025">
      <c r="A5025">
        <f>IFERROR(INDEX('Email Cleaner'!$B$2:$B$10001,MATCH(5024,'Email Cleaner'!$J$2:$J$10001,0)),"")</f>
        <v/>
      </c>
    </row>
    <row r="5026">
      <c r="A5026">
        <f>IFERROR(INDEX('Email Cleaner'!$B$2:$B$10001,MATCH(5025,'Email Cleaner'!$J$2:$J$10001,0)),"")</f>
        <v/>
      </c>
    </row>
    <row r="5027">
      <c r="A5027">
        <f>IFERROR(INDEX('Email Cleaner'!$B$2:$B$10001,MATCH(5026,'Email Cleaner'!$J$2:$J$10001,0)),"")</f>
        <v/>
      </c>
    </row>
    <row r="5028">
      <c r="A5028">
        <f>IFERROR(INDEX('Email Cleaner'!$B$2:$B$10001,MATCH(5027,'Email Cleaner'!$J$2:$J$10001,0)),"")</f>
        <v/>
      </c>
    </row>
    <row r="5029">
      <c r="A5029">
        <f>IFERROR(INDEX('Email Cleaner'!$B$2:$B$10001,MATCH(5028,'Email Cleaner'!$J$2:$J$10001,0)),"")</f>
        <v/>
      </c>
    </row>
    <row r="5030">
      <c r="A5030">
        <f>IFERROR(INDEX('Email Cleaner'!$B$2:$B$10001,MATCH(5029,'Email Cleaner'!$J$2:$J$10001,0)),"")</f>
        <v/>
      </c>
    </row>
    <row r="5031">
      <c r="A5031">
        <f>IFERROR(INDEX('Email Cleaner'!$B$2:$B$10001,MATCH(5030,'Email Cleaner'!$J$2:$J$10001,0)),"")</f>
        <v/>
      </c>
    </row>
    <row r="5032">
      <c r="A5032">
        <f>IFERROR(INDEX('Email Cleaner'!$B$2:$B$10001,MATCH(5031,'Email Cleaner'!$J$2:$J$10001,0)),"")</f>
        <v/>
      </c>
    </row>
    <row r="5033">
      <c r="A5033">
        <f>IFERROR(INDEX('Email Cleaner'!$B$2:$B$10001,MATCH(5032,'Email Cleaner'!$J$2:$J$10001,0)),"")</f>
        <v/>
      </c>
    </row>
    <row r="5034">
      <c r="A5034">
        <f>IFERROR(INDEX('Email Cleaner'!$B$2:$B$10001,MATCH(5033,'Email Cleaner'!$J$2:$J$10001,0)),"")</f>
        <v/>
      </c>
    </row>
    <row r="5035">
      <c r="A5035">
        <f>IFERROR(INDEX('Email Cleaner'!$B$2:$B$10001,MATCH(5034,'Email Cleaner'!$J$2:$J$10001,0)),"")</f>
        <v/>
      </c>
    </row>
    <row r="5036">
      <c r="A5036">
        <f>IFERROR(INDEX('Email Cleaner'!$B$2:$B$10001,MATCH(5035,'Email Cleaner'!$J$2:$J$10001,0)),"")</f>
        <v/>
      </c>
    </row>
    <row r="5037">
      <c r="A5037">
        <f>IFERROR(INDEX('Email Cleaner'!$B$2:$B$10001,MATCH(5036,'Email Cleaner'!$J$2:$J$10001,0)),"")</f>
        <v/>
      </c>
    </row>
    <row r="5038">
      <c r="A5038">
        <f>IFERROR(INDEX('Email Cleaner'!$B$2:$B$10001,MATCH(5037,'Email Cleaner'!$J$2:$J$10001,0)),"")</f>
        <v/>
      </c>
    </row>
    <row r="5039">
      <c r="A5039">
        <f>IFERROR(INDEX('Email Cleaner'!$B$2:$B$10001,MATCH(5038,'Email Cleaner'!$J$2:$J$10001,0)),"")</f>
        <v/>
      </c>
    </row>
    <row r="5040">
      <c r="A5040">
        <f>IFERROR(INDEX('Email Cleaner'!$B$2:$B$10001,MATCH(5039,'Email Cleaner'!$J$2:$J$10001,0)),"")</f>
        <v/>
      </c>
    </row>
    <row r="5041">
      <c r="A5041">
        <f>IFERROR(INDEX('Email Cleaner'!$B$2:$B$10001,MATCH(5040,'Email Cleaner'!$J$2:$J$10001,0)),"")</f>
        <v/>
      </c>
    </row>
    <row r="5042">
      <c r="A5042">
        <f>IFERROR(INDEX('Email Cleaner'!$B$2:$B$10001,MATCH(5041,'Email Cleaner'!$J$2:$J$10001,0)),"")</f>
        <v/>
      </c>
    </row>
    <row r="5043">
      <c r="A5043">
        <f>IFERROR(INDEX('Email Cleaner'!$B$2:$B$10001,MATCH(5042,'Email Cleaner'!$J$2:$J$10001,0)),"")</f>
        <v/>
      </c>
    </row>
    <row r="5044">
      <c r="A5044">
        <f>IFERROR(INDEX('Email Cleaner'!$B$2:$B$10001,MATCH(5043,'Email Cleaner'!$J$2:$J$10001,0)),"")</f>
        <v/>
      </c>
    </row>
    <row r="5045">
      <c r="A5045">
        <f>IFERROR(INDEX('Email Cleaner'!$B$2:$B$10001,MATCH(5044,'Email Cleaner'!$J$2:$J$10001,0)),"")</f>
        <v/>
      </c>
    </row>
    <row r="5046">
      <c r="A5046">
        <f>IFERROR(INDEX('Email Cleaner'!$B$2:$B$10001,MATCH(5045,'Email Cleaner'!$J$2:$J$10001,0)),"")</f>
        <v/>
      </c>
    </row>
    <row r="5047">
      <c r="A5047">
        <f>IFERROR(INDEX('Email Cleaner'!$B$2:$B$10001,MATCH(5046,'Email Cleaner'!$J$2:$J$10001,0)),"")</f>
        <v/>
      </c>
    </row>
    <row r="5048">
      <c r="A5048">
        <f>IFERROR(INDEX('Email Cleaner'!$B$2:$B$10001,MATCH(5047,'Email Cleaner'!$J$2:$J$10001,0)),"")</f>
        <v/>
      </c>
    </row>
    <row r="5049">
      <c r="A5049">
        <f>IFERROR(INDEX('Email Cleaner'!$B$2:$B$10001,MATCH(5048,'Email Cleaner'!$J$2:$J$10001,0)),"")</f>
        <v/>
      </c>
    </row>
    <row r="5050">
      <c r="A5050">
        <f>IFERROR(INDEX('Email Cleaner'!$B$2:$B$10001,MATCH(5049,'Email Cleaner'!$J$2:$J$10001,0)),"")</f>
        <v/>
      </c>
    </row>
    <row r="5051">
      <c r="A5051">
        <f>IFERROR(INDEX('Email Cleaner'!$B$2:$B$10001,MATCH(5050,'Email Cleaner'!$J$2:$J$10001,0)),"")</f>
        <v/>
      </c>
    </row>
    <row r="5052">
      <c r="A5052">
        <f>IFERROR(INDEX('Email Cleaner'!$B$2:$B$10001,MATCH(5051,'Email Cleaner'!$J$2:$J$10001,0)),"")</f>
        <v/>
      </c>
    </row>
    <row r="5053">
      <c r="A5053">
        <f>IFERROR(INDEX('Email Cleaner'!$B$2:$B$10001,MATCH(5052,'Email Cleaner'!$J$2:$J$10001,0)),"")</f>
        <v/>
      </c>
    </row>
    <row r="5054">
      <c r="A5054">
        <f>IFERROR(INDEX('Email Cleaner'!$B$2:$B$10001,MATCH(5053,'Email Cleaner'!$J$2:$J$10001,0)),"")</f>
        <v/>
      </c>
    </row>
    <row r="5055">
      <c r="A5055">
        <f>IFERROR(INDEX('Email Cleaner'!$B$2:$B$10001,MATCH(5054,'Email Cleaner'!$J$2:$J$10001,0)),"")</f>
        <v/>
      </c>
    </row>
    <row r="5056">
      <c r="A5056">
        <f>IFERROR(INDEX('Email Cleaner'!$B$2:$B$10001,MATCH(5055,'Email Cleaner'!$J$2:$J$10001,0)),"")</f>
        <v/>
      </c>
    </row>
    <row r="5057">
      <c r="A5057">
        <f>IFERROR(INDEX('Email Cleaner'!$B$2:$B$10001,MATCH(5056,'Email Cleaner'!$J$2:$J$10001,0)),"")</f>
        <v/>
      </c>
    </row>
    <row r="5058">
      <c r="A5058">
        <f>IFERROR(INDEX('Email Cleaner'!$B$2:$B$10001,MATCH(5057,'Email Cleaner'!$J$2:$J$10001,0)),"")</f>
        <v/>
      </c>
    </row>
    <row r="5059">
      <c r="A5059">
        <f>IFERROR(INDEX('Email Cleaner'!$B$2:$B$10001,MATCH(5058,'Email Cleaner'!$J$2:$J$10001,0)),"")</f>
        <v/>
      </c>
    </row>
    <row r="5060">
      <c r="A5060">
        <f>IFERROR(INDEX('Email Cleaner'!$B$2:$B$10001,MATCH(5059,'Email Cleaner'!$J$2:$J$10001,0)),"")</f>
        <v/>
      </c>
    </row>
    <row r="5061">
      <c r="A5061">
        <f>IFERROR(INDEX('Email Cleaner'!$B$2:$B$10001,MATCH(5060,'Email Cleaner'!$J$2:$J$10001,0)),"")</f>
        <v/>
      </c>
    </row>
    <row r="5062">
      <c r="A5062">
        <f>IFERROR(INDEX('Email Cleaner'!$B$2:$B$10001,MATCH(5061,'Email Cleaner'!$J$2:$J$10001,0)),"")</f>
        <v/>
      </c>
    </row>
    <row r="5063">
      <c r="A5063">
        <f>IFERROR(INDEX('Email Cleaner'!$B$2:$B$10001,MATCH(5062,'Email Cleaner'!$J$2:$J$10001,0)),"")</f>
        <v/>
      </c>
    </row>
    <row r="5064">
      <c r="A5064">
        <f>IFERROR(INDEX('Email Cleaner'!$B$2:$B$10001,MATCH(5063,'Email Cleaner'!$J$2:$J$10001,0)),"")</f>
        <v/>
      </c>
    </row>
    <row r="5065">
      <c r="A5065">
        <f>IFERROR(INDEX('Email Cleaner'!$B$2:$B$10001,MATCH(5064,'Email Cleaner'!$J$2:$J$10001,0)),"")</f>
        <v/>
      </c>
    </row>
    <row r="5066">
      <c r="A5066">
        <f>IFERROR(INDEX('Email Cleaner'!$B$2:$B$10001,MATCH(5065,'Email Cleaner'!$J$2:$J$10001,0)),"")</f>
        <v/>
      </c>
    </row>
    <row r="5067">
      <c r="A5067">
        <f>IFERROR(INDEX('Email Cleaner'!$B$2:$B$10001,MATCH(5066,'Email Cleaner'!$J$2:$J$10001,0)),"")</f>
        <v/>
      </c>
    </row>
    <row r="5068">
      <c r="A5068">
        <f>IFERROR(INDEX('Email Cleaner'!$B$2:$B$10001,MATCH(5067,'Email Cleaner'!$J$2:$J$10001,0)),"")</f>
        <v/>
      </c>
    </row>
    <row r="5069">
      <c r="A5069">
        <f>IFERROR(INDEX('Email Cleaner'!$B$2:$B$10001,MATCH(5068,'Email Cleaner'!$J$2:$J$10001,0)),"")</f>
        <v/>
      </c>
    </row>
    <row r="5070">
      <c r="A5070">
        <f>IFERROR(INDEX('Email Cleaner'!$B$2:$B$10001,MATCH(5069,'Email Cleaner'!$J$2:$J$10001,0)),"")</f>
        <v/>
      </c>
    </row>
    <row r="5071">
      <c r="A5071">
        <f>IFERROR(INDEX('Email Cleaner'!$B$2:$B$10001,MATCH(5070,'Email Cleaner'!$J$2:$J$10001,0)),"")</f>
        <v/>
      </c>
    </row>
    <row r="5072">
      <c r="A5072">
        <f>IFERROR(INDEX('Email Cleaner'!$B$2:$B$10001,MATCH(5071,'Email Cleaner'!$J$2:$J$10001,0)),"")</f>
        <v/>
      </c>
    </row>
    <row r="5073">
      <c r="A5073">
        <f>IFERROR(INDEX('Email Cleaner'!$B$2:$B$10001,MATCH(5072,'Email Cleaner'!$J$2:$J$10001,0)),"")</f>
        <v/>
      </c>
    </row>
    <row r="5074">
      <c r="A5074">
        <f>IFERROR(INDEX('Email Cleaner'!$B$2:$B$10001,MATCH(5073,'Email Cleaner'!$J$2:$J$10001,0)),"")</f>
        <v/>
      </c>
    </row>
    <row r="5075">
      <c r="A5075">
        <f>IFERROR(INDEX('Email Cleaner'!$B$2:$B$10001,MATCH(5074,'Email Cleaner'!$J$2:$J$10001,0)),"")</f>
        <v/>
      </c>
    </row>
    <row r="5076">
      <c r="A5076">
        <f>IFERROR(INDEX('Email Cleaner'!$B$2:$B$10001,MATCH(5075,'Email Cleaner'!$J$2:$J$10001,0)),"")</f>
        <v/>
      </c>
    </row>
    <row r="5077">
      <c r="A5077">
        <f>IFERROR(INDEX('Email Cleaner'!$B$2:$B$10001,MATCH(5076,'Email Cleaner'!$J$2:$J$10001,0)),"")</f>
        <v/>
      </c>
    </row>
    <row r="5078">
      <c r="A5078">
        <f>IFERROR(INDEX('Email Cleaner'!$B$2:$B$10001,MATCH(5077,'Email Cleaner'!$J$2:$J$10001,0)),"")</f>
        <v/>
      </c>
    </row>
    <row r="5079">
      <c r="A5079">
        <f>IFERROR(INDEX('Email Cleaner'!$B$2:$B$10001,MATCH(5078,'Email Cleaner'!$J$2:$J$10001,0)),"")</f>
        <v/>
      </c>
    </row>
    <row r="5080">
      <c r="A5080">
        <f>IFERROR(INDEX('Email Cleaner'!$B$2:$B$10001,MATCH(5079,'Email Cleaner'!$J$2:$J$10001,0)),"")</f>
        <v/>
      </c>
    </row>
    <row r="5081">
      <c r="A5081">
        <f>IFERROR(INDEX('Email Cleaner'!$B$2:$B$10001,MATCH(5080,'Email Cleaner'!$J$2:$J$10001,0)),"")</f>
        <v/>
      </c>
    </row>
    <row r="5082">
      <c r="A5082">
        <f>IFERROR(INDEX('Email Cleaner'!$B$2:$B$10001,MATCH(5081,'Email Cleaner'!$J$2:$J$10001,0)),"")</f>
        <v/>
      </c>
    </row>
    <row r="5083">
      <c r="A5083">
        <f>IFERROR(INDEX('Email Cleaner'!$B$2:$B$10001,MATCH(5082,'Email Cleaner'!$J$2:$J$10001,0)),"")</f>
        <v/>
      </c>
    </row>
    <row r="5084">
      <c r="A5084">
        <f>IFERROR(INDEX('Email Cleaner'!$B$2:$B$10001,MATCH(5083,'Email Cleaner'!$J$2:$J$10001,0)),"")</f>
        <v/>
      </c>
    </row>
    <row r="5085">
      <c r="A5085">
        <f>IFERROR(INDEX('Email Cleaner'!$B$2:$B$10001,MATCH(5084,'Email Cleaner'!$J$2:$J$10001,0)),"")</f>
        <v/>
      </c>
    </row>
    <row r="5086">
      <c r="A5086">
        <f>IFERROR(INDEX('Email Cleaner'!$B$2:$B$10001,MATCH(5085,'Email Cleaner'!$J$2:$J$10001,0)),"")</f>
        <v/>
      </c>
    </row>
    <row r="5087">
      <c r="A5087">
        <f>IFERROR(INDEX('Email Cleaner'!$B$2:$B$10001,MATCH(5086,'Email Cleaner'!$J$2:$J$10001,0)),"")</f>
        <v/>
      </c>
    </row>
    <row r="5088">
      <c r="A5088">
        <f>IFERROR(INDEX('Email Cleaner'!$B$2:$B$10001,MATCH(5087,'Email Cleaner'!$J$2:$J$10001,0)),"")</f>
        <v/>
      </c>
    </row>
    <row r="5089">
      <c r="A5089">
        <f>IFERROR(INDEX('Email Cleaner'!$B$2:$B$10001,MATCH(5088,'Email Cleaner'!$J$2:$J$10001,0)),"")</f>
        <v/>
      </c>
    </row>
    <row r="5090">
      <c r="A5090">
        <f>IFERROR(INDEX('Email Cleaner'!$B$2:$B$10001,MATCH(5089,'Email Cleaner'!$J$2:$J$10001,0)),"")</f>
        <v/>
      </c>
    </row>
    <row r="5091">
      <c r="A5091">
        <f>IFERROR(INDEX('Email Cleaner'!$B$2:$B$10001,MATCH(5090,'Email Cleaner'!$J$2:$J$10001,0)),"")</f>
        <v/>
      </c>
    </row>
    <row r="5092">
      <c r="A5092">
        <f>IFERROR(INDEX('Email Cleaner'!$B$2:$B$10001,MATCH(5091,'Email Cleaner'!$J$2:$J$10001,0)),"")</f>
        <v/>
      </c>
    </row>
    <row r="5093">
      <c r="A5093">
        <f>IFERROR(INDEX('Email Cleaner'!$B$2:$B$10001,MATCH(5092,'Email Cleaner'!$J$2:$J$10001,0)),"")</f>
        <v/>
      </c>
    </row>
    <row r="5094">
      <c r="A5094">
        <f>IFERROR(INDEX('Email Cleaner'!$B$2:$B$10001,MATCH(5093,'Email Cleaner'!$J$2:$J$10001,0)),"")</f>
        <v/>
      </c>
    </row>
    <row r="5095">
      <c r="A5095">
        <f>IFERROR(INDEX('Email Cleaner'!$B$2:$B$10001,MATCH(5094,'Email Cleaner'!$J$2:$J$10001,0)),"")</f>
        <v/>
      </c>
    </row>
    <row r="5096">
      <c r="A5096">
        <f>IFERROR(INDEX('Email Cleaner'!$B$2:$B$10001,MATCH(5095,'Email Cleaner'!$J$2:$J$10001,0)),"")</f>
        <v/>
      </c>
    </row>
    <row r="5097">
      <c r="A5097">
        <f>IFERROR(INDEX('Email Cleaner'!$B$2:$B$10001,MATCH(5096,'Email Cleaner'!$J$2:$J$10001,0)),"")</f>
        <v/>
      </c>
    </row>
    <row r="5098">
      <c r="A5098">
        <f>IFERROR(INDEX('Email Cleaner'!$B$2:$B$10001,MATCH(5097,'Email Cleaner'!$J$2:$J$10001,0)),"")</f>
        <v/>
      </c>
    </row>
    <row r="5099">
      <c r="A5099">
        <f>IFERROR(INDEX('Email Cleaner'!$B$2:$B$10001,MATCH(5098,'Email Cleaner'!$J$2:$J$10001,0)),"")</f>
        <v/>
      </c>
    </row>
    <row r="5100">
      <c r="A5100">
        <f>IFERROR(INDEX('Email Cleaner'!$B$2:$B$10001,MATCH(5099,'Email Cleaner'!$J$2:$J$10001,0)),"")</f>
        <v/>
      </c>
    </row>
    <row r="5101">
      <c r="A5101">
        <f>IFERROR(INDEX('Email Cleaner'!$B$2:$B$10001,MATCH(5100,'Email Cleaner'!$J$2:$J$10001,0)),"")</f>
        <v/>
      </c>
    </row>
    <row r="5102">
      <c r="A5102">
        <f>IFERROR(INDEX('Email Cleaner'!$B$2:$B$10001,MATCH(5101,'Email Cleaner'!$J$2:$J$10001,0)),"")</f>
        <v/>
      </c>
    </row>
    <row r="5103">
      <c r="A5103">
        <f>IFERROR(INDEX('Email Cleaner'!$B$2:$B$10001,MATCH(5102,'Email Cleaner'!$J$2:$J$10001,0)),"")</f>
        <v/>
      </c>
    </row>
    <row r="5104">
      <c r="A5104">
        <f>IFERROR(INDEX('Email Cleaner'!$B$2:$B$10001,MATCH(5103,'Email Cleaner'!$J$2:$J$10001,0)),"")</f>
        <v/>
      </c>
    </row>
    <row r="5105">
      <c r="A5105">
        <f>IFERROR(INDEX('Email Cleaner'!$B$2:$B$10001,MATCH(5104,'Email Cleaner'!$J$2:$J$10001,0)),"")</f>
        <v/>
      </c>
    </row>
    <row r="5106">
      <c r="A5106">
        <f>IFERROR(INDEX('Email Cleaner'!$B$2:$B$10001,MATCH(5105,'Email Cleaner'!$J$2:$J$10001,0)),"")</f>
        <v/>
      </c>
    </row>
    <row r="5107">
      <c r="A5107">
        <f>IFERROR(INDEX('Email Cleaner'!$B$2:$B$10001,MATCH(5106,'Email Cleaner'!$J$2:$J$10001,0)),"")</f>
        <v/>
      </c>
    </row>
    <row r="5108">
      <c r="A5108">
        <f>IFERROR(INDEX('Email Cleaner'!$B$2:$B$10001,MATCH(5107,'Email Cleaner'!$J$2:$J$10001,0)),"")</f>
        <v/>
      </c>
    </row>
    <row r="5109">
      <c r="A5109">
        <f>IFERROR(INDEX('Email Cleaner'!$B$2:$B$10001,MATCH(5108,'Email Cleaner'!$J$2:$J$10001,0)),"")</f>
        <v/>
      </c>
    </row>
    <row r="5110">
      <c r="A5110">
        <f>IFERROR(INDEX('Email Cleaner'!$B$2:$B$10001,MATCH(5109,'Email Cleaner'!$J$2:$J$10001,0)),"")</f>
        <v/>
      </c>
    </row>
    <row r="5111">
      <c r="A5111">
        <f>IFERROR(INDEX('Email Cleaner'!$B$2:$B$10001,MATCH(5110,'Email Cleaner'!$J$2:$J$10001,0)),"")</f>
        <v/>
      </c>
    </row>
    <row r="5112">
      <c r="A5112">
        <f>IFERROR(INDEX('Email Cleaner'!$B$2:$B$10001,MATCH(5111,'Email Cleaner'!$J$2:$J$10001,0)),"")</f>
        <v/>
      </c>
    </row>
    <row r="5113">
      <c r="A5113">
        <f>IFERROR(INDEX('Email Cleaner'!$B$2:$B$10001,MATCH(5112,'Email Cleaner'!$J$2:$J$10001,0)),"")</f>
        <v/>
      </c>
    </row>
    <row r="5114">
      <c r="A5114">
        <f>IFERROR(INDEX('Email Cleaner'!$B$2:$B$10001,MATCH(5113,'Email Cleaner'!$J$2:$J$10001,0)),"")</f>
        <v/>
      </c>
    </row>
    <row r="5115">
      <c r="A5115">
        <f>IFERROR(INDEX('Email Cleaner'!$B$2:$B$10001,MATCH(5114,'Email Cleaner'!$J$2:$J$10001,0)),"")</f>
        <v/>
      </c>
    </row>
    <row r="5116">
      <c r="A5116">
        <f>IFERROR(INDEX('Email Cleaner'!$B$2:$B$10001,MATCH(5115,'Email Cleaner'!$J$2:$J$10001,0)),"")</f>
        <v/>
      </c>
    </row>
    <row r="5117">
      <c r="A5117">
        <f>IFERROR(INDEX('Email Cleaner'!$B$2:$B$10001,MATCH(5116,'Email Cleaner'!$J$2:$J$10001,0)),"")</f>
        <v/>
      </c>
    </row>
    <row r="5118">
      <c r="A5118">
        <f>IFERROR(INDEX('Email Cleaner'!$B$2:$B$10001,MATCH(5117,'Email Cleaner'!$J$2:$J$10001,0)),"")</f>
        <v/>
      </c>
    </row>
    <row r="5119">
      <c r="A5119">
        <f>IFERROR(INDEX('Email Cleaner'!$B$2:$B$10001,MATCH(5118,'Email Cleaner'!$J$2:$J$10001,0)),"")</f>
        <v/>
      </c>
    </row>
    <row r="5120">
      <c r="A5120">
        <f>IFERROR(INDEX('Email Cleaner'!$B$2:$B$10001,MATCH(5119,'Email Cleaner'!$J$2:$J$10001,0)),"")</f>
        <v/>
      </c>
    </row>
    <row r="5121">
      <c r="A5121">
        <f>IFERROR(INDEX('Email Cleaner'!$B$2:$B$10001,MATCH(5120,'Email Cleaner'!$J$2:$J$10001,0)),"")</f>
        <v/>
      </c>
    </row>
    <row r="5122">
      <c r="A5122">
        <f>IFERROR(INDEX('Email Cleaner'!$B$2:$B$10001,MATCH(5121,'Email Cleaner'!$J$2:$J$10001,0)),"")</f>
        <v/>
      </c>
    </row>
    <row r="5123">
      <c r="A5123">
        <f>IFERROR(INDEX('Email Cleaner'!$B$2:$B$10001,MATCH(5122,'Email Cleaner'!$J$2:$J$10001,0)),"")</f>
        <v/>
      </c>
    </row>
    <row r="5124">
      <c r="A5124">
        <f>IFERROR(INDEX('Email Cleaner'!$B$2:$B$10001,MATCH(5123,'Email Cleaner'!$J$2:$J$10001,0)),"")</f>
        <v/>
      </c>
    </row>
    <row r="5125">
      <c r="A5125">
        <f>IFERROR(INDEX('Email Cleaner'!$B$2:$B$10001,MATCH(5124,'Email Cleaner'!$J$2:$J$10001,0)),"")</f>
        <v/>
      </c>
    </row>
    <row r="5126">
      <c r="A5126">
        <f>IFERROR(INDEX('Email Cleaner'!$B$2:$B$10001,MATCH(5125,'Email Cleaner'!$J$2:$J$10001,0)),"")</f>
        <v/>
      </c>
    </row>
    <row r="5127">
      <c r="A5127">
        <f>IFERROR(INDEX('Email Cleaner'!$B$2:$B$10001,MATCH(5126,'Email Cleaner'!$J$2:$J$10001,0)),"")</f>
        <v/>
      </c>
    </row>
    <row r="5128">
      <c r="A5128">
        <f>IFERROR(INDEX('Email Cleaner'!$B$2:$B$10001,MATCH(5127,'Email Cleaner'!$J$2:$J$10001,0)),"")</f>
        <v/>
      </c>
    </row>
    <row r="5129">
      <c r="A5129">
        <f>IFERROR(INDEX('Email Cleaner'!$B$2:$B$10001,MATCH(5128,'Email Cleaner'!$J$2:$J$10001,0)),"")</f>
        <v/>
      </c>
    </row>
    <row r="5130">
      <c r="A5130">
        <f>IFERROR(INDEX('Email Cleaner'!$B$2:$B$10001,MATCH(5129,'Email Cleaner'!$J$2:$J$10001,0)),"")</f>
        <v/>
      </c>
    </row>
    <row r="5131">
      <c r="A5131">
        <f>IFERROR(INDEX('Email Cleaner'!$B$2:$B$10001,MATCH(5130,'Email Cleaner'!$J$2:$J$10001,0)),"")</f>
        <v/>
      </c>
    </row>
    <row r="5132">
      <c r="A5132">
        <f>IFERROR(INDEX('Email Cleaner'!$B$2:$B$10001,MATCH(5131,'Email Cleaner'!$J$2:$J$10001,0)),"")</f>
        <v/>
      </c>
    </row>
    <row r="5133">
      <c r="A5133">
        <f>IFERROR(INDEX('Email Cleaner'!$B$2:$B$10001,MATCH(5132,'Email Cleaner'!$J$2:$J$10001,0)),"")</f>
        <v/>
      </c>
    </row>
    <row r="5134">
      <c r="A5134">
        <f>IFERROR(INDEX('Email Cleaner'!$B$2:$B$10001,MATCH(5133,'Email Cleaner'!$J$2:$J$10001,0)),"")</f>
        <v/>
      </c>
    </row>
    <row r="5135">
      <c r="A5135">
        <f>IFERROR(INDEX('Email Cleaner'!$B$2:$B$10001,MATCH(5134,'Email Cleaner'!$J$2:$J$10001,0)),"")</f>
        <v/>
      </c>
    </row>
    <row r="5136">
      <c r="A5136">
        <f>IFERROR(INDEX('Email Cleaner'!$B$2:$B$10001,MATCH(5135,'Email Cleaner'!$J$2:$J$10001,0)),"")</f>
        <v/>
      </c>
    </row>
    <row r="5137">
      <c r="A5137">
        <f>IFERROR(INDEX('Email Cleaner'!$B$2:$B$10001,MATCH(5136,'Email Cleaner'!$J$2:$J$10001,0)),"")</f>
        <v/>
      </c>
    </row>
    <row r="5138">
      <c r="A5138">
        <f>IFERROR(INDEX('Email Cleaner'!$B$2:$B$10001,MATCH(5137,'Email Cleaner'!$J$2:$J$10001,0)),"")</f>
        <v/>
      </c>
    </row>
    <row r="5139">
      <c r="A5139">
        <f>IFERROR(INDEX('Email Cleaner'!$B$2:$B$10001,MATCH(5138,'Email Cleaner'!$J$2:$J$10001,0)),"")</f>
        <v/>
      </c>
    </row>
    <row r="5140">
      <c r="A5140">
        <f>IFERROR(INDEX('Email Cleaner'!$B$2:$B$10001,MATCH(5139,'Email Cleaner'!$J$2:$J$10001,0)),"")</f>
        <v/>
      </c>
    </row>
    <row r="5141">
      <c r="A5141">
        <f>IFERROR(INDEX('Email Cleaner'!$B$2:$B$10001,MATCH(5140,'Email Cleaner'!$J$2:$J$10001,0)),"")</f>
        <v/>
      </c>
    </row>
    <row r="5142">
      <c r="A5142">
        <f>IFERROR(INDEX('Email Cleaner'!$B$2:$B$10001,MATCH(5141,'Email Cleaner'!$J$2:$J$10001,0)),"")</f>
        <v/>
      </c>
    </row>
    <row r="5143">
      <c r="A5143">
        <f>IFERROR(INDEX('Email Cleaner'!$B$2:$B$10001,MATCH(5142,'Email Cleaner'!$J$2:$J$10001,0)),"")</f>
        <v/>
      </c>
    </row>
    <row r="5144">
      <c r="A5144">
        <f>IFERROR(INDEX('Email Cleaner'!$B$2:$B$10001,MATCH(5143,'Email Cleaner'!$J$2:$J$10001,0)),"")</f>
        <v/>
      </c>
    </row>
    <row r="5145">
      <c r="A5145">
        <f>IFERROR(INDEX('Email Cleaner'!$B$2:$B$10001,MATCH(5144,'Email Cleaner'!$J$2:$J$10001,0)),"")</f>
        <v/>
      </c>
    </row>
    <row r="5146">
      <c r="A5146">
        <f>IFERROR(INDEX('Email Cleaner'!$B$2:$B$10001,MATCH(5145,'Email Cleaner'!$J$2:$J$10001,0)),"")</f>
        <v/>
      </c>
    </row>
    <row r="5147">
      <c r="A5147">
        <f>IFERROR(INDEX('Email Cleaner'!$B$2:$B$10001,MATCH(5146,'Email Cleaner'!$J$2:$J$10001,0)),"")</f>
        <v/>
      </c>
    </row>
    <row r="5148">
      <c r="A5148">
        <f>IFERROR(INDEX('Email Cleaner'!$B$2:$B$10001,MATCH(5147,'Email Cleaner'!$J$2:$J$10001,0)),"")</f>
        <v/>
      </c>
    </row>
    <row r="5149">
      <c r="A5149">
        <f>IFERROR(INDEX('Email Cleaner'!$B$2:$B$10001,MATCH(5148,'Email Cleaner'!$J$2:$J$10001,0)),"")</f>
        <v/>
      </c>
    </row>
    <row r="5150">
      <c r="A5150">
        <f>IFERROR(INDEX('Email Cleaner'!$B$2:$B$10001,MATCH(5149,'Email Cleaner'!$J$2:$J$10001,0)),"")</f>
        <v/>
      </c>
    </row>
    <row r="5151">
      <c r="A5151">
        <f>IFERROR(INDEX('Email Cleaner'!$B$2:$B$10001,MATCH(5150,'Email Cleaner'!$J$2:$J$10001,0)),"")</f>
        <v/>
      </c>
    </row>
    <row r="5152">
      <c r="A5152">
        <f>IFERROR(INDEX('Email Cleaner'!$B$2:$B$10001,MATCH(5151,'Email Cleaner'!$J$2:$J$10001,0)),"")</f>
        <v/>
      </c>
    </row>
    <row r="5153">
      <c r="A5153">
        <f>IFERROR(INDEX('Email Cleaner'!$B$2:$B$10001,MATCH(5152,'Email Cleaner'!$J$2:$J$10001,0)),"")</f>
        <v/>
      </c>
    </row>
    <row r="5154">
      <c r="A5154">
        <f>IFERROR(INDEX('Email Cleaner'!$B$2:$B$10001,MATCH(5153,'Email Cleaner'!$J$2:$J$10001,0)),"")</f>
        <v/>
      </c>
    </row>
    <row r="5155">
      <c r="A5155">
        <f>IFERROR(INDEX('Email Cleaner'!$B$2:$B$10001,MATCH(5154,'Email Cleaner'!$J$2:$J$10001,0)),"")</f>
        <v/>
      </c>
    </row>
    <row r="5156">
      <c r="A5156">
        <f>IFERROR(INDEX('Email Cleaner'!$B$2:$B$10001,MATCH(5155,'Email Cleaner'!$J$2:$J$10001,0)),"")</f>
        <v/>
      </c>
    </row>
    <row r="5157">
      <c r="A5157">
        <f>IFERROR(INDEX('Email Cleaner'!$B$2:$B$10001,MATCH(5156,'Email Cleaner'!$J$2:$J$10001,0)),"")</f>
        <v/>
      </c>
    </row>
    <row r="5158">
      <c r="A5158">
        <f>IFERROR(INDEX('Email Cleaner'!$B$2:$B$10001,MATCH(5157,'Email Cleaner'!$J$2:$J$10001,0)),"")</f>
        <v/>
      </c>
    </row>
    <row r="5159">
      <c r="A5159">
        <f>IFERROR(INDEX('Email Cleaner'!$B$2:$B$10001,MATCH(5158,'Email Cleaner'!$J$2:$J$10001,0)),"")</f>
        <v/>
      </c>
    </row>
    <row r="5160">
      <c r="A5160">
        <f>IFERROR(INDEX('Email Cleaner'!$B$2:$B$10001,MATCH(5159,'Email Cleaner'!$J$2:$J$10001,0)),"")</f>
        <v/>
      </c>
    </row>
    <row r="5161">
      <c r="A5161">
        <f>IFERROR(INDEX('Email Cleaner'!$B$2:$B$10001,MATCH(5160,'Email Cleaner'!$J$2:$J$10001,0)),"")</f>
        <v/>
      </c>
    </row>
    <row r="5162">
      <c r="A5162">
        <f>IFERROR(INDEX('Email Cleaner'!$B$2:$B$10001,MATCH(5161,'Email Cleaner'!$J$2:$J$10001,0)),"")</f>
        <v/>
      </c>
    </row>
    <row r="5163">
      <c r="A5163">
        <f>IFERROR(INDEX('Email Cleaner'!$B$2:$B$10001,MATCH(5162,'Email Cleaner'!$J$2:$J$10001,0)),"")</f>
        <v/>
      </c>
    </row>
    <row r="5164">
      <c r="A5164">
        <f>IFERROR(INDEX('Email Cleaner'!$B$2:$B$10001,MATCH(5163,'Email Cleaner'!$J$2:$J$10001,0)),"")</f>
        <v/>
      </c>
    </row>
    <row r="5165">
      <c r="A5165">
        <f>IFERROR(INDEX('Email Cleaner'!$B$2:$B$10001,MATCH(5164,'Email Cleaner'!$J$2:$J$10001,0)),"")</f>
        <v/>
      </c>
    </row>
    <row r="5166">
      <c r="A5166">
        <f>IFERROR(INDEX('Email Cleaner'!$B$2:$B$10001,MATCH(5165,'Email Cleaner'!$J$2:$J$10001,0)),"")</f>
        <v/>
      </c>
    </row>
    <row r="5167">
      <c r="A5167">
        <f>IFERROR(INDEX('Email Cleaner'!$B$2:$B$10001,MATCH(5166,'Email Cleaner'!$J$2:$J$10001,0)),"")</f>
        <v/>
      </c>
    </row>
    <row r="5168">
      <c r="A5168">
        <f>IFERROR(INDEX('Email Cleaner'!$B$2:$B$10001,MATCH(5167,'Email Cleaner'!$J$2:$J$10001,0)),"")</f>
        <v/>
      </c>
    </row>
    <row r="5169">
      <c r="A5169">
        <f>IFERROR(INDEX('Email Cleaner'!$B$2:$B$10001,MATCH(5168,'Email Cleaner'!$J$2:$J$10001,0)),"")</f>
        <v/>
      </c>
    </row>
    <row r="5170">
      <c r="A5170">
        <f>IFERROR(INDEX('Email Cleaner'!$B$2:$B$10001,MATCH(5169,'Email Cleaner'!$J$2:$J$10001,0)),"")</f>
        <v/>
      </c>
    </row>
    <row r="5171">
      <c r="A5171">
        <f>IFERROR(INDEX('Email Cleaner'!$B$2:$B$10001,MATCH(5170,'Email Cleaner'!$J$2:$J$10001,0)),"")</f>
        <v/>
      </c>
    </row>
    <row r="5172">
      <c r="A5172">
        <f>IFERROR(INDEX('Email Cleaner'!$B$2:$B$10001,MATCH(5171,'Email Cleaner'!$J$2:$J$10001,0)),"")</f>
        <v/>
      </c>
    </row>
    <row r="5173">
      <c r="A5173">
        <f>IFERROR(INDEX('Email Cleaner'!$B$2:$B$10001,MATCH(5172,'Email Cleaner'!$J$2:$J$10001,0)),"")</f>
        <v/>
      </c>
    </row>
    <row r="5174">
      <c r="A5174">
        <f>IFERROR(INDEX('Email Cleaner'!$B$2:$B$10001,MATCH(5173,'Email Cleaner'!$J$2:$J$10001,0)),"")</f>
        <v/>
      </c>
    </row>
    <row r="5175">
      <c r="A5175">
        <f>IFERROR(INDEX('Email Cleaner'!$B$2:$B$10001,MATCH(5174,'Email Cleaner'!$J$2:$J$10001,0)),"")</f>
        <v/>
      </c>
    </row>
    <row r="5176">
      <c r="A5176">
        <f>IFERROR(INDEX('Email Cleaner'!$B$2:$B$10001,MATCH(5175,'Email Cleaner'!$J$2:$J$10001,0)),"")</f>
        <v/>
      </c>
    </row>
    <row r="5177">
      <c r="A5177">
        <f>IFERROR(INDEX('Email Cleaner'!$B$2:$B$10001,MATCH(5176,'Email Cleaner'!$J$2:$J$10001,0)),"")</f>
        <v/>
      </c>
    </row>
    <row r="5178">
      <c r="A5178">
        <f>IFERROR(INDEX('Email Cleaner'!$B$2:$B$10001,MATCH(5177,'Email Cleaner'!$J$2:$J$10001,0)),"")</f>
        <v/>
      </c>
    </row>
    <row r="5179">
      <c r="A5179">
        <f>IFERROR(INDEX('Email Cleaner'!$B$2:$B$10001,MATCH(5178,'Email Cleaner'!$J$2:$J$10001,0)),"")</f>
        <v/>
      </c>
    </row>
    <row r="5180">
      <c r="A5180">
        <f>IFERROR(INDEX('Email Cleaner'!$B$2:$B$10001,MATCH(5179,'Email Cleaner'!$J$2:$J$10001,0)),"")</f>
        <v/>
      </c>
    </row>
    <row r="5181">
      <c r="A5181">
        <f>IFERROR(INDEX('Email Cleaner'!$B$2:$B$10001,MATCH(5180,'Email Cleaner'!$J$2:$J$10001,0)),"")</f>
        <v/>
      </c>
    </row>
    <row r="5182">
      <c r="A5182">
        <f>IFERROR(INDEX('Email Cleaner'!$B$2:$B$10001,MATCH(5181,'Email Cleaner'!$J$2:$J$10001,0)),"")</f>
        <v/>
      </c>
    </row>
    <row r="5183">
      <c r="A5183">
        <f>IFERROR(INDEX('Email Cleaner'!$B$2:$B$10001,MATCH(5182,'Email Cleaner'!$J$2:$J$10001,0)),"")</f>
        <v/>
      </c>
    </row>
    <row r="5184">
      <c r="A5184">
        <f>IFERROR(INDEX('Email Cleaner'!$B$2:$B$10001,MATCH(5183,'Email Cleaner'!$J$2:$J$10001,0)),"")</f>
        <v/>
      </c>
    </row>
    <row r="5185">
      <c r="A5185">
        <f>IFERROR(INDEX('Email Cleaner'!$B$2:$B$10001,MATCH(5184,'Email Cleaner'!$J$2:$J$10001,0)),"")</f>
        <v/>
      </c>
    </row>
    <row r="5186">
      <c r="A5186">
        <f>IFERROR(INDEX('Email Cleaner'!$B$2:$B$10001,MATCH(5185,'Email Cleaner'!$J$2:$J$10001,0)),"")</f>
        <v/>
      </c>
    </row>
    <row r="5187">
      <c r="A5187">
        <f>IFERROR(INDEX('Email Cleaner'!$B$2:$B$10001,MATCH(5186,'Email Cleaner'!$J$2:$J$10001,0)),"")</f>
        <v/>
      </c>
    </row>
    <row r="5188">
      <c r="A5188">
        <f>IFERROR(INDEX('Email Cleaner'!$B$2:$B$10001,MATCH(5187,'Email Cleaner'!$J$2:$J$10001,0)),"")</f>
        <v/>
      </c>
    </row>
    <row r="5189">
      <c r="A5189">
        <f>IFERROR(INDEX('Email Cleaner'!$B$2:$B$10001,MATCH(5188,'Email Cleaner'!$J$2:$J$10001,0)),"")</f>
        <v/>
      </c>
    </row>
    <row r="5190">
      <c r="A5190">
        <f>IFERROR(INDEX('Email Cleaner'!$B$2:$B$10001,MATCH(5189,'Email Cleaner'!$J$2:$J$10001,0)),"")</f>
        <v/>
      </c>
    </row>
    <row r="5191">
      <c r="A5191">
        <f>IFERROR(INDEX('Email Cleaner'!$B$2:$B$10001,MATCH(5190,'Email Cleaner'!$J$2:$J$10001,0)),"")</f>
        <v/>
      </c>
    </row>
    <row r="5192">
      <c r="A5192">
        <f>IFERROR(INDEX('Email Cleaner'!$B$2:$B$10001,MATCH(5191,'Email Cleaner'!$J$2:$J$10001,0)),"")</f>
        <v/>
      </c>
    </row>
    <row r="5193">
      <c r="A5193">
        <f>IFERROR(INDEX('Email Cleaner'!$B$2:$B$10001,MATCH(5192,'Email Cleaner'!$J$2:$J$10001,0)),"")</f>
        <v/>
      </c>
    </row>
    <row r="5194">
      <c r="A5194">
        <f>IFERROR(INDEX('Email Cleaner'!$B$2:$B$10001,MATCH(5193,'Email Cleaner'!$J$2:$J$10001,0)),"")</f>
        <v/>
      </c>
    </row>
    <row r="5195">
      <c r="A5195">
        <f>IFERROR(INDEX('Email Cleaner'!$B$2:$B$10001,MATCH(5194,'Email Cleaner'!$J$2:$J$10001,0)),"")</f>
        <v/>
      </c>
    </row>
    <row r="5196">
      <c r="A5196">
        <f>IFERROR(INDEX('Email Cleaner'!$B$2:$B$10001,MATCH(5195,'Email Cleaner'!$J$2:$J$10001,0)),"")</f>
        <v/>
      </c>
    </row>
    <row r="5197">
      <c r="A5197">
        <f>IFERROR(INDEX('Email Cleaner'!$B$2:$B$10001,MATCH(5196,'Email Cleaner'!$J$2:$J$10001,0)),"")</f>
        <v/>
      </c>
    </row>
    <row r="5198">
      <c r="A5198">
        <f>IFERROR(INDEX('Email Cleaner'!$B$2:$B$10001,MATCH(5197,'Email Cleaner'!$J$2:$J$10001,0)),"")</f>
        <v/>
      </c>
    </row>
    <row r="5199">
      <c r="A5199">
        <f>IFERROR(INDEX('Email Cleaner'!$B$2:$B$10001,MATCH(5198,'Email Cleaner'!$J$2:$J$10001,0)),"")</f>
        <v/>
      </c>
    </row>
    <row r="5200">
      <c r="A5200">
        <f>IFERROR(INDEX('Email Cleaner'!$B$2:$B$10001,MATCH(5199,'Email Cleaner'!$J$2:$J$10001,0)),"")</f>
        <v/>
      </c>
    </row>
    <row r="5201">
      <c r="A5201">
        <f>IFERROR(INDEX('Email Cleaner'!$B$2:$B$10001,MATCH(5200,'Email Cleaner'!$J$2:$J$10001,0)),"")</f>
        <v/>
      </c>
    </row>
    <row r="5202">
      <c r="A5202">
        <f>IFERROR(INDEX('Email Cleaner'!$B$2:$B$10001,MATCH(5201,'Email Cleaner'!$J$2:$J$10001,0)),"")</f>
        <v/>
      </c>
    </row>
    <row r="5203">
      <c r="A5203">
        <f>IFERROR(INDEX('Email Cleaner'!$B$2:$B$10001,MATCH(5202,'Email Cleaner'!$J$2:$J$10001,0)),"")</f>
        <v/>
      </c>
    </row>
    <row r="5204">
      <c r="A5204">
        <f>IFERROR(INDEX('Email Cleaner'!$B$2:$B$10001,MATCH(5203,'Email Cleaner'!$J$2:$J$10001,0)),"")</f>
        <v/>
      </c>
    </row>
    <row r="5205">
      <c r="A5205">
        <f>IFERROR(INDEX('Email Cleaner'!$B$2:$B$10001,MATCH(5204,'Email Cleaner'!$J$2:$J$10001,0)),"")</f>
        <v/>
      </c>
    </row>
    <row r="5206">
      <c r="A5206">
        <f>IFERROR(INDEX('Email Cleaner'!$B$2:$B$10001,MATCH(5205,'Email Cleaner'!$J$2:$J$10001,0)),"")</f>
        <v/>
      </c>
    </row>
    <row r="5207">
      <c r="A5207">
        <f>IFERROR(INDEX('Email Cleaner'!$B$2:$B$10001,MATCH(5206,'Email Cleaner'!$J$2:$J$10001,0)),"")</f>
        <v/>
      </c>
    </row>
    <row r="5208">
      <c r="A5208">
        <f>IFERROR(INDEX('Email Cleaner'!$B$2:$B$10001,MATCH(5207,'Email Cleaner'!$J$2:$J$10001,0)),"")</f>
        <v/>
      </c>
    </row>
    <row r="5209">
      <c r="A5209">
        <f>IFERROR(INDEX('Email Cleaner'!$B$2:$B$10001,MATCH(5208,'Email Cleaner'!$J$2:$J$10001,0)),"")</f>
        <v/>
      </c>
    </row>
    <row r="5210">
      <c r="A5210">
        <f>IFERROR(INDEX('Email Cleaner'!$B$2:$B$10001,MATCH(5209,'Email Cleaner'!$J$2:$J$10001,0)),"")</f>
        <v/>
      </c>
    </row>
    <row r="5211">
      <c r="A5211">
        <f>IFERROR(INDEX('Email Cleaner'!$B$2:$B$10001,MATCH(5210,'Email Cleaner'!$J$2:$J$10001,0)),"")</f>
        <v/>
      </c>
    </row>
    <row r="5212">
      <c r="A5212">
        <f>IFERROR(INDEX('Email Cleaner'!$B$2:$B$10001,MATCH(5211,'Email Cleaner'!$J$2:$J$10001,0)),"")</f>
        <v/>
      </c>
    </row>
    <row r="5213">
      <c r="A5213">
        <f>IFERROR(INDEX('Email Cleaner'!$B$2:$B$10001,MATCH(5212,'Email Cleaner'!$J$2:$J$10001,0)),"")</f>
        <v/>
      </c>
    </row>
    <row r="5214">
      <c r="A5214">
        <f>IFERROR(INDEX('Email Cleaner'!$B$2:$B$10001,MATCH(5213,'Email Cleaner'!$J$2:$J$10001,0)),"")</f>
        <v/>
      </c>
    </row>
    <row r="5215">
      <c r="A5215">
        <f>IFERROR(INDEX('Email Cleaner'!$B$2:$B$10001,MATCH(5214,'Email Cleaner'!$J$2:$J$10001,0)),"")</f>
        <v/>
      </c>
    </row>
    <row r="5216">
      <c r="A5216">
        <f>IFERROR(INDEX('Email Cleaner'!$B$2:$B$10001,MATCH(5215,'Email Cleaner'!$J$2:$J$10001,0)),"")</f>
        <v/>
      </c>
    </row>
    <row r="5217">
      <c r="A5217">
        <f>IFERROR(INDEX('Email Cleaner'!$B$2:$B$10001,MATCH(5216,'Email Cleaner'!$J$2:$J$10001,0)),"")</f>
        <v/>
      </c>
    </row>
    <row r="5218">
      <c r="A5218">
        <f>IFERROR(INDEX('Email Cleaner'!$B$2:$B$10001,MATCH(5217,'Email Cleaner'!$J$2:$J$10001,0)),"")</f>
        <v/>
      </c>
    </row>
    <row r="5219">
      <c r="A5219">
        <f>IFERROR(INDEX('Email Cleaner'!$B$2:$B$10001,MATCH(5218,'Email Cleaner'!$J$2:$J$10001,0)),"")</f>
        <v/>
      </c>
    </row>
    <row r="5220">
      <c r="A5220">
        <f>IFERROR(INDEX('Email Cleaner'!$B$2:$B$10001,MATCH(5219,'Email Cleaner'!$J$2:$J$10001,0)),"")</f>
        <v/>
      </c>
    </row>
    <row r="5221">
      <c r="A5221">
        <f>IFERROR(INDEX('Email Cleaner'!$B$2:$B$10001,MATCH(5220,'Email Cleaner'!$J$2:$J$10001,0)),"")</f>
        <v/>
      </c>
    </row>
    <row r="5222">
      <c r="A5222">
        <f>IFERROR(INDEX('Email Cleaner'!$B$2:$B$10001,MATCH(5221,'Email Cleaner'!$J$2:$J$10001,0)),"")</f>
        <v/>
      </c>
    </row>
    <row r="5223">
      <c r="A5223">
        <f>IFERROR(INDEX('Email Cleaner'!$B$2:$B$10001,MATCH(5222,'Email Cleaner'!$J$2:$J$10001,0)),"")</f>
        <v/>
      </c>
    </row>
    <row r="5224">
      <c r="A5224">
        <f>IFERROR(INDEX('Email Cleaner'!$B$2:$B$10001,MATCH(5223,'Email Cleaner'!$J$2:$J$10001,0)),"")</f>
        <v/>
      </c>
    </row>
    <row r="5225">
      <c r="A5225">
        <f>IFERROR(INDEX('Email Cleaner'!$B$2:$B$10001,MATCH(5224,'Email Cleaner'!$J$2:$J$10001,0)),"")</f>
        <v/>
      </c>
    </row>
    <row r="5226">
      <c r="A5226">
        <f>IFERROR(INDEX('Email Cleaner'!$B$2:$B$10001,MATCH(5225,'Email Cleaner'!$J$2:$J$10001,0)),"")</f>
        <v/>
      </c>
    </row>
    <row r="5227">
      <c r="A5227">
        <f>IFERROR(INDEX('Email Cleaner'!$B$2:$B$10001,MATCH(5226,'Email Cleaner'!$J$2:$J$10001,0)),"")</f>
        <v/>
      </c>
    </row>
    <row r="5228">
      <c r="A5228">
        <f>IFERROR(INDEX('Email Cleaner'!$B$2:$B$10001,MATCH(5227,'Email Cleaner'!$J$2:$J$10001,0)),"")</f>
        <v/>
      </c>
    </row>
    <row r="5229">
      <c r="A5229">
        <f>IFERROR(INDEX('Email Cleaner'!$B$2:$B$10001,MATCH(5228,'Email Cleaner'!$J$2:$J$10001,0)),"")</f>
        <v/>
      </c>
    </row>
    <row r="5230">
      <c r="A5230">
        <f>IFERROR(INDEX('Email Cleaner'!$B$2:$B$10001,MATCH(5229,'Email Cleaner'!$J$2:$J$10001,0)),"")</f>
        <v/>
      </c>
    </row>
    <row r="5231">
      <c r="A5231">
        <f>IFERROR(INDEX('Email Cleaner'!$B$2:$B$10001,MATCH(5230,'Email Cleaner'!$J$2:$J$10001,0)),"")</f>
        <v/>
      </c>
    </row>
    <row r="5232">
      <c r="A5232">
        <f>IFERROR(INDEX('Email Cleaner'!$B$2:$B$10001,MATCH(5231,'Email Cleaner'!$J$2:$J$10001,0)),"")</f>
        <v/>
      </c>
    </row>
    <row r="5233">
      <c r="A5233">
        <f>IFERROR(INDEX('Email Cleaner'!$B$2:$B$10001,MATCH(5232,'Email Cleaner'!$J$2:$J$10001,0)),"")</f>
        <v/>
      </c>
    </row>
    <row r="5234">
      <c r="A5234">
        <f>IFERROR(INDEX('Email Cleaner'!$B$2:$B$10001,MATCH(5233,'Email Cleaner'!$J$2:$J$10001,0)),"")</f>
        <v/>
      </c>
    </row>
    <row r="5235">
      <c r="A5235">
        <f>IFERROR(INDEX('Email Cleaner'!$B$2:$B$10001,MATCH(5234,'Email Cleaner'!$J$2:$J$10001,0)),"")</f>
        <v/>
      </c>
    </row>
    <row r="5236">
      <c r="A5236">
        <f>IFERROR(INDEX('Email Cleaner'!$B$2:$B$10001,MATCH(5235,'Email Cleaner'!$J$2:$J$10001,0)),"")</f>
        <v/>
      </c>
    </row>
    <row r="5237">
      <c r="A5237">
        <f>IFERROR(INDEX('Email Cleaner'!$B$2:$B$10001,MATCH(5236,'Email Cleaner'!$J$2:$J$10001,0)),"")</f>
        <v/>
      </c>
    </row>
    <row r="5238">
      <c r="A5238">
        <f>IFERROR(INDEX('Email Cleaner'!$B$2:$B$10001,MATCH(5237,'Email Cleaner'!$J$2:$J$10001,0)),"")</f>
        <v/>
      </c>
    </row>
    <row r="5239">
      <c r="A5239">
        <f>IFERROR(INDEX('Email Cleaner'!$B$2:$B$10001,MATCH(5238,'Email Cleaner'!$J$2:$J$10001,0)),"")</f>
        <v/>
      </c>
    </row>
    <row r="5240">
      <c r="A5240">
        <f>IFERROR(INDEX('Email Cleaner'!$B$2:$B$10001,MATCH(5239,'Email Cleaner'!$J$2:$J$10001,0)),"")</f>
        <v/>
      </c>
    </row>
    <row r="5241">
      <c r="A5241">
        <f>IFERROR(INDEX('Email Cleaner'!$B$2:$B$10001,MATCH(5240,'Email Cleaner'!$J$2:$J$10001,0)),"")</f>
        <v/>
      </c>
    </row>
    <row r="5242">
      <c r="A5242">
        <f>IFERROR(INDEX('Email Cleaner'!$B$2:$B$10001,MATCH(5241,'Email Cleaner'!$J$2:$J$10001,0)),"")</f>
        <v/>
      </c>
    </row>
    <row r="5243">
      <c r="A5243">
        <f>IFERROR(INDEX('Email Cleaner'!$B$2:$B$10001,MATCH(5242,'Email Cleaner'!$J$2:$J$10001,0)),"")</f>
        <v/>
      </c>
    </row>
    <row r="5244">
      <c r="A5244">
        <f>IFERROR(INDEX('Email Cleaner'!$B$2:$B$10001,MATCH(5243,'Email Cleaner'!$J$2:$J$10001,0)),"")</f>
        <v/>
      </c>
    </row>
    <row r="5245">
      <c r="A5245">
        <f>IFERROR(INDEX('Email Cleaner'!$B$2:$B$10001,MATCH(5244,'Email Cleaner'!$J$2:$J$10001,0)),"")</f>
        <v/>
      </c>
    </row>
    <row r="5246">
      <c r="A5246">
        <f>IFERROR(INDEX('Email Cleaner'!$B$2:$B$10001,MATCH(5245,'Email Cleaner'!$J$2:$J$10001,0)),"")</f>
        <v/>
      </c>
    </row>
    <row r="5247">
      <c r="A5247">
        <f>IFERROR(INDEX('Email Cleaner'!$B$2:$B$10001,MATCH(5246,'Email Cleaner'!$J$2:$J$10001,0)),"")</f>
        <v/>
      </c>
    </row>
    <row r="5248">
      <c r="A5248">
        <f>IFERROR(INDEX('Email Cleaner'!$B$2:$B$10001,MATCH(5247,'Email Cleaner'!$J$2:$J$10001,0)),"")</f>
        <v/>
      </c>
    </row>
    <row r="5249">
      <c r="A5249">
        <f>IFERROR(INDEX('Email Cleaner'!$B$2:$B$10001,MATCH(5248,'Email Cleaner'!$J$2:$J$10001,0)),"")</f>
        <v/>
      </c>
    </row>
    <row r="5250">
      <c r="A5250">
        <f>IFERROR(INDEX('Email Cleaner'!$B$2:$B$10001,MATCH(5249,'Email Cleaner'!$J$2:$J$10001,0)),"")</f>
        <v/>
      </c>
    </row>
    <row r="5251">
      <c r="A5251">
        <f>IFERROR(INDEX('Email Cleaner'!$B$2:$B$10001,MATCH(5250,'Email Cleaner'!$J$2:$J$10001,0)),"")</f>
        <v/>
      </c>
    </row>
    <row r="5252">
      <c r="A5252">
        <f>IFERROR(INDEX('Email Cleaner'!$B$2:$B$10001,MATCH(5251,'Email Cleaner'!$J$2:$J$10001,0)),"")</f>
        <v/>
      </c>
    </row>
    <row r="5253">
      <c r="A5253">
        <f>IFERROR(INDEX('Email Cleaner'!$B$2:$B$10001,MATCH(5252,'Email Cleaner'!$J$2:$J$10001,0)),"")</f>
        <v/>
      </c>
    </row>
    <row r="5254">
      <c r="A5254">
        <f>IFERROR(INDEX('Email Cleaner'!$B$2:$B$10001,MATCH(5253,'Email Cleaner'!$J$2:$J$10001,0)),"")</f>
        <v/>
      </c>
    </row>
    <row r="5255">
      <c r="A5255">
        <f>IFERROR(INDEX('Email Cleaner'!$B$2:$B$10001,MATCH(5254,'Email Cleaner'!$J$2:$J$10001,0)),"")</f>
        <v/>
      </c>
    </row>
    <row r="5256">
      <c r="A5256">
        <f>IFERROR(INDEX('Email Cleaner'!$B$2:$B$10001,MATCH(5255,'Email Cleaner'!$J$2:$J$10001,0)),"")</f>
        <v/>
      </c>
    </row>
    <row r="5257">
      <c r="A5257">
        <f>IFERROR(INDEX('Email Cleaner'!$B$2:$B$10001,MATCH(5256,'Email Cleaner'!$J$2:$J$10001,0)),"")</f>
        <v/>
      </c>
    </row>
    <row r="5258">
      <c r="A5258">
        <f>IFERROR(INDEX('Email Cleaner'!$B$2:$B$10001,MATCH(5257,'Email Cleaner'!$J$2:$J$10001,0)),"")</f>
        <v/>
      </c>
    </row>
    <row r="5259">
      <c r="A5259">
        <f>IFERROR(INDEX('Email Cleaner'!$B$2:$B$10001,MATCH(5258,'Email Cleaner'!$J$2:$J$10001,0)),"")</f>
        <v/>
      </c>
    </row>
    <row r="5260">
      <c r="A5260">
        <f>IFERROR(INDEX('Email Cleaner'!$B$2:$B$10001,MATCH(5259,'Email Cleaner'!$J$2:$J$10001,0)),"")</f>
        <v/>
      </c>
    </row>
    <row r="5261">
      <c r="A5261">
        <f>IFERROR(INDEX('Email Cleaner'!$B$2:$B$10001,MATCH(5260,'Email Cleaner'!$J$2:$J$10001,0)),"")</f>
        <v/>
      </c>
    </row>
    <row r="5262">
      <c r="A5262">
        <f>IFERROR(INDEX('Email Cleaner'!$B$2:$B$10001,MATCH(5261,'Email Cleaner'!$J$2:$J$10001,0)),"")</f>
        <v/>
      </c>
    </row>
    <row r="5263">
      <c r="A5263">
        <f>IFERROR(INDEX('Email Cleaner'!$B$2:$B$10001,MATCH(5262,'Email Cleaner'!$J$2:$J$10001,0)),"")</f>
        <v/>
      </c>
    </row>
    <row r="5264">
      <c r="A5264">
        <f>IFERROR(INDEX('Email Cleaner'!$B$2:$B$10001,MATCH(5263,'Email Cleaner'!$J$2:$J$10001,0)),"")</f>
        <v/>
      </c>
    </row>
    <row r="5265">
      <c r="A5265">
        <f>IFERROR(INDEX('Email Cleaner'!$B$2:$B$10001,MATCH(5264,'Email Cleaner'!$J$2:$J$10001,0)),"")</f>
        <v/>
      </c>
    </row>
    <row r="5266">
      <c r="A5266">
        <f>IFERROR(INDEX('Email Cleaner'!$B$2:$B$10001,MATCH(5265,'Email Cleaner'!$J$2:$J$10001,0)),"")</f>
        <v/>
      </c>
    </row>
    <row r="5267">
      <c r="A5267">
        <f>IFERROR(INDEX('Email Cleaner'!$B$2:$B$10001,MATCH(5266,'Email Cleaner'!$J$2:$J$10001,0)),"")</f>
        <v/>
      </c>
    </row>
    <row r="5268">
      <c r="A5268">
        <f>IFERROR(INDEX('Email Cleaner'!$B$2:$B$10001,MATCH(5267,'Email Cleaner'!$J$2:$J$10001,0)),"")</f>
        <v/>
      </c>
    </row>
    <row r="5269">
      <c r="A5269">
        <f>IFERROR(INDEX('Email Cleaner'!$B$2:$B$10001,MATCH(5268,'Email Cleaner'!$J$2:$J$10001,0)),"")</f>
        <v/>
      </c>
    </row>
    <row r="5270">
      <c r="A5270">
        <f>IFERROR(INDEX('Email Cleaner'!$B$2:$B$10001,MATCH(5269,'Email Cleaner'!$J$2:$J$10001,0)),"")</f>
        <v/>
      </c>
    </row>
    <row r="5271">
      <c r="A5271">
        <f>IFERROR(INDEX('Email Cleaner'!$B$2:$B$10001,MATCH(5270,'Email Cleaner'!$J$2:$J$10001,0)),"")</f>
        <v/>
      </c>
    </row>
    <row r="5272">
      <c r="A5272">
        <f>IFERROR(INDEX('Email Cleaner'!$B$2:$B$10001,MATCH(5271,'Email Cleaner'!$J$2:$J$10001,0)),"")</f>
        <v/>
      </c>
    </row>
    <row r="5273">
      <c r="A5273">
        <f>IFERROR(INDEX('Email Cleaner'!$B$2:$B$10001,MATCH(5272,'Email Cleaner'!$J$2:$J$10001,0)),"")</f>
        <v/>
      </c>
    </row>
    <row r="5274">
      <c r="A5274">
        <f>IFERROR(INDEX('Email Cleaner'!$B$2:$B$10001,MATCH(5273,'Email Cleaner'!$J$2:$J$10001,0)),"")</f>
        <v/>
      </c>
    </row>
    <row r="5275">
      <c r="A5275">
        <f>IFERROR(INDEX('Email Cleaner'!$B$2:$B$10001,MATCH(5274,'Email Cleaner'!$J$2:$J$10001,0)),"")</f>
        <v/>
      </c>
    </row>
    <row r="5276">
      <c r="A5276">
        <f>IFERROR(INDEX('Email Cleaner'!$B$2:$B$10001,MATCH(5275,'Email Cleaner'!$J$2:$J$10001,0)),"")</f>
        <v/>
      </c>
    </row>
    <row r="5277">
      <c r="A5277">
        <f>IFERROR(INDEX('Email Cleaner'!$B$2:$B$10001,MATCH(5276,'Email Cleaner'!$J$2:$J$10001,0)),"")</f>
        <v/>
      </c>
    </row>
    <row r="5278">
      <c r="A5278">
        <f>IFERROR(INDEX('Email Cleaner'!$B$2:$B$10001,MATCH(5277,'Email Cleaner'!$J$2:$J$10001,0)),"")</f>
        <v/>
      </c>
    </row>
    <row r="5279">
      <c r="A5279">
        <f>IFERROR(INDEX('Email Cleaner'!$B$2:$B$10001,MATCH(5278,'Email Cleaner'!$J$2:$J$10001,0)),"")</f>
        <v/>
      </c>
    </row>
    <row r="5280">
      <c r="A5280">
        <f>IFERROR(INDEX('Email Cleaner'!$B$2:$B$10001,MATCH(5279,'Email Cleaner'!$J$2:$J$10001,0)),"")</f>
        <v/>
      </c>
    </row>
    <row r="5281">
      <c r="A5281">
        <f>IFERROR(INDEX('Email Cleaner'!$B$2:$B$10001,MATCH(5280,'Email Cleaner'!$J$2:$J$10001,0)),"")</f>
        <v/>
      </c>
    </row>
    <row r="5282">
      <c r="A5282">
        <f>IFERROR(INDEX('Email Cleaner'!$B$2:$B$10001,MATCH(5281,'Email Cleaner'!$J$2:$J$10001,0)),"")</f>
        <v/>
      </c>
    </row>
    <row r="5283">
      <c r="A5283">
        <f>IFERROR(INDEX('Email Cleaner'!$B$2:$B$10001,MATCH(5282,'Email Cleaner'!$J$2:$J$10001,0)),"")</f>
        <v/>
      </c>
    </row>
    <row r="5284">
      <c r="A5284">
        <f>IFERROR(INDEX('Email Cleaner'!$B$2:$B$10001,MATCH(5283,'Email Cleaner'!$J$2:$J$10001,0)),"")</f>
        <v/>
      </c>
    </row>
    <row r="5285">
      <c r="A5285">
        <f>IFERROR(INDEX('Email Cleaner'!$B$2:$B$10001,MATCH(5284,'Email Cleaner'!$J$2:$J$10001,0)),"")</f>
        <v/>
      </c>
    </row>
    <row r="5286">
      <c r="A5286">
        <f>IFERROR(INDEX('Email Cleaner'!$B$2:$B$10001,MATCH(5285,'Email Cleaner'!$J$2:$J$10001,0)),"")</f>
        <v/>
      </c>
    </row>
    <row r="5287">
      <c r="A5287">
        <f>IFERROR(INDEX('Email Cleaner'!$B$2:$B$10001,MATCH(5286,'Email Cleaner'!$J$2:$J$10001,0)),"")</f>
        <v/>
      </c>
    </row>
    <row r="5288">
      <c r="A5288">
        <f>IFERROR(INDEX('Email Cleaner'!$B$2:$B$10001,MATCH(5287,'Email Cleaner'!$J$2:$J$10001,0)),"")</f>
        <v/>
      </c>
    </row>
    <row r="5289">
      <c r="A5289">
        <f>IFERROR(INDEX('Email Cleaner'!$B$2:$B$10001,MATCH(5288,'Email Cleaner'!$J$2:$J$10001,0)),"")</f>
        <v/>
      </c>
    </row>
    <row r="5290">
      <c r="A5290">
        <f>IFERROR(INDEX('Email Cleaner'!$B$2:$B$10001,MATCH(5289,'Email Cleaner'!$J$2:$J$10001,0)),"")</f>
        <v/>
      </c>
    </row>
    <row r="5291">
      <c r="A5291">
        <f>IFERROR(INDEX('Email Cleaner'!$B$2:$B$10001,MATCH(5290,'Email Cleaner'!$J$2:$J$10001,0)),"")</f>
        <v/>
      </c>
    </row>
    <row r="5292">
      <c r="A5292">
        <f>IFERROR(INDEX('Email Cleaner'!$B$2:$B$10001,MATCH(5291,'Email Cleaner'!$J$2:$J$10001,0)),"")</f>
        <v/>
      </c>
    </row>
    <row r="5293">
      <c r="A5293">
        <f>IFERROR(INDEX('Email Cleaner'!$B$2:$B$10001,MATCH(5292,'Email Cleaner'!$J$2:$J$10001,0)),"")</f>
        <v/>
      </c>
    </row>
    <row r="5294">
      <c r="A5294">
        <f>IFERROR(INDEX('Email Cleaner'!$B$2:$B$10001,MATCH(5293,'Email Cleaner'!$J$2:$J$10001,0)),"")</f>
        <v/>
      </c>
    </row>
    <row r="5295">
      <c r="A5295">
        <f>IFERROR(INDEX('Email Cleaner'!$B$2:$B$10001,MATCH(5294,'Email Cleaner'!$J$2:$J$10001,0)),"")</f>
        <v/>
      </c>
    </row>
    <row r="5296">
      <c r="A5296">
        <f>IFERROR(INDEX('Email Cleaner'!$B$2:$B$10001,MATCH(5295,'Email Cleaner'!$J$2:$J$10001,0)),"")</f>
        <v/>
      </c>
    </row>
    <row r="5297">
      <c r="A5297">
        <f>IFERROR(INDEX('Email Cleaner'!$B$2:$B$10001,MATCH(5296,'Email Cleaner'!$J$2:$J$10001,0)),"")</f>
        <v/>
      </c>
    </row>
    <row r="5298">
      <c r="A5298">
        <f>IFERROR(INDEX('Email Cleaner'!$B$2:$B$10001,MATCH(5297,'Email Cleaner'!$J$2:$J$10001,0)),"")</f>
        <v/>
      </c>
    </row>
    <row r="5299">
      <c r="A5299">
        <f>IFERROR(INDEX('Email Cleaner'!$B$2:$B$10001,MATCH(5298,'Email Cleaner'!$J$2:$J$10001,0)),"")</f>
        <v/>
      </c>
    </row>
    <row r="5300">
      <c r="A5300">
        <f>IFERROR(INDEX('Email Cleaner'!$B$2:$B$10001,MATCH(5299,'Email Cleaner'!$J$2:$J$10001,0)),"")</f>
        <v/>
      </c>
    </row>
    <row r="5301">
      <c r="A5301">
        <f>IFERROR(INDEX('Email Cleaner'!$B$2:$B$10001,MATCH(5300,'Email Cleaner'!$J$2:$J$10001,0)),"")</f>
        <v/>
      </c>
    </row>
    <row r="5302">
      <c r="A5302">
        <f>IFERROR(INDEX('Email Cleaner'!$B$2:$B$10001,MATCH(5301,'Email Cleaner'!$J$2:$J$10001,0)),"")</f>
        <v/>
      </c>
    </row>
    <row r="5303">
      <c r="A5303">
        <f>IFERROR(INDEX('Email Cleaner'!$B$2:$B$10001,MATCH(5302,'Email Cleaner'!$J$2:$J$10001,0)),"")</f>
        <v/>
      </c>
    </row>
    <row r="5304">
      <c r="A5304">
        <f>IFERROR(INDEX('Email Cleaner'!$B$2:$B$10001,MATCH(5303,'Email Cleaner'!$J$2:$J$10001,0)),"")</f>
        <v/>
      </c>
    </row>
    <row r="5305">
      <c r="A5305">
        <f>IFERROR(INDEX('Email Cleaner'!$B$2:$B$10001,MATCH(5304,'Email Cleaner'!$J$2:$J$10001,0)),"")</f>
        <v/>
      </c>
    </row>
    <row r="5306">
      <c r="A5306">
        <f>IFERROR(INDEX('Email Cleaner'!$B$2:$B$10001,MATCH(5305,'Email Cleaner'!$J$2:$J$10001,0)),"")</f>
        <v/>
      </c>
    </row>
    <row r="5307">
      <c r="A5307">
        <f>IFERROR(INDEX('Email Cleaner'!$B$2:$B$10001,MATCH(5306,'Email Cleaner'!$J$2:$J$10001,0)),"")</f>
        <v/>
      </c>
    </row>
    <row r="5308">
      <c r="A5308">
        <f>IFERROR(INDEX('Email Cleaner'!$B$2:$B$10001,MATCH(5307,'Email Cleaner'!$J$2:$J$10001,0)),"")</f>
        <v/>
      </c>
    </row>
    <row r="5309">
      <c r="A5309">
        <f>IFERROR(INDEX('Email Cleaner'!$B$2:$B$10001,MATCH(5308,'Email Cleaner'!$J$2:$J$10001,0)),"")</f>
        <v/>
      </c>
    </row>
    <row r="5310">
      <c r="A5310">
        <f>IFERROR(INDEX('Email Cleaner'!$B$2:$B$10001,MATCH(5309,'Email Cleaner'!$J$2:$J$10001,0)),"")</f>
        <v/>
      </c>
    </row>
    <row r="5311">
      <c r="A5311">
        <f>IFERROR(INDEX('Email Cleaner'!$B$2:$B$10001,MATCH(5310,'Email Cleaner'!$J$2:$J$10001,0)),"")</f>
        <v/>
      </c>
    </row>
    <row r="5312">
      <c r="A5312">
        <f>IFERROR(INDEX('Email Cleaner'!$B$2:$B$10001,MATCH(5311,'Email Cleaner'!$J$2:$J$10001,0)),"")</f>
        <v/>
      </c>
    </row>
    <row r="5313">
      <c r="A5313">
        <f>IFERROR(INDEX('Email Cleaner'!$B$2:$B$10001,MATCH(5312,'Email Cleaner'!$J$2:$J$10001,0)),"")</f>
        <v/>
      </c>
    </row>
    <row r="5314">
      <c r="A5314">
        <f>IFERROR(INDEX('Email Cleaner'!$B$2:$B$10001,MATCH(5313,'Email Cleaner'!$J$2:$J$10001,0)),"")</f>
        <v/>
      </c>
    </row>
    <row r="5315">
      <c r="A5315">
        <f>IFERROR(INDEX('Email Cleaner'!$B$2:$B$10001,MATCH(5314,'Email Cleaner'!$J$2:$J$10001,0)),"")</f>
        <v/>
      </c>
    </row>
    <row r="5316">
      <c r="A5316">
        <f>IFERROR(INDEX('Email Cleaner'!$B$2:$B$10001,MATCH(5315,'Email Cleaner'!$J$2:$J$10001,0)),"")</f>
        <v/>
      </c>
    </row>
    <row r="5317">
      <c r="A5317">
        <f>IFERROR(INDEX('Email Cleaner'!$B$2:$B$10001,MATCH(5316,'Email Cleaner'!$J$2:$J$10001,0)),"")</f>
        <v/>
      </c>
    </row>
    <row r="5318">
      <c r="A5318">
        <f>IFERROR(INDEX('Email Cleaner'!$B$2:$B$10001,MATCH(5317,'Email Cleaner'!$J$2:$J$10001,0)),"")</f>
        <v/>
      </c>
    </row>
    <row r="5319">
      <c r="A5319">
        <f>IFERROR(INDEX('Email Cleaner'!$B$2:$B$10001,MATCH(5318,'Email Cleaner'!$J$2:$J$10001,0)),"")</f>
        <v/>
      </c>
    </row>
    <row r="5320">
      <c r="A5320">
        <f>IFERROR(INDEX('Email Cleaner'!$B$2:$B$10001,MATCH(5319,'Email Cleaner'!$J$2:$J$10001,0)),"")</f>
        <v/>
      </c>
    </row>
    <row r="5321">
      <c r="A5321">
        <f>IFERROR(INDEX('Email Cleaner'!$B$2:$B$10001,MATCH(5320,'Email Cleaner'!$J$2:$J$10001,0)),"")</f>
        <v/>
      </c>
    </row>
    <row r="5322">
      <c r="A5322">
        <f>IFERROR(INDEX('Email Cleaner'!$B$2:$B$10001,MATCH(5321,'Email Cleaner'!$J$2:$J$10001,0)),"")</f>
        <v/>
      </c>
    </row>
    <row r="5323">
      <c r="A5323">
        <f>IFERROR(INDEX('Email Cleaner'!$B$2:$B$10001,MATCH(5322,'Email Cleaner'!$J$2:$J$10001,0)),"")</f>
        <v/>
      </c>
    </row>
    <row r="5324">
      <c r="A5324">
        <f>IFERROR(INDEX('Email Cleaner'!$B$2:$B$10001,MATCH(5323,'Email Cleaner'!$J$2:$J$10001,0)),"")</f>
        <v/>
      </c>
    </row>
    <row r="5325">
      <c r="A5325">
        <f>IFERROR(INDEX('Email Cleaner'!$B$2:$B$10001,MATCH(5324,'Email Cleaner'!$J$2:$J$10001,0)),"")</f>
        <v/>
      </c>
    </row>
    <row r="5326">
      <c r="A5326">
        <f>IFERROR(INDEX('Email Cleaner'!$B$2:$B$10001,MATCH(5325,'Email Cleaner'!$J$2:$J$10001,0)),"")</f>
        <v/>
      </c>
    </row>
    <row r="5327">
      <c r="A5327">
        <f>IFERROR(INDEX('Email Cleaner'!$B$2:$B$10001,MATCH(5326,'Email Cleaner'!$J$2:$J$10001,0)),"")</f>
        <v/>
      </c>
    </row>
    <row r="5328">
      <c r="A5328">
        <f>IFERROR(INDEX('Email Cleaner'!$B$2:$B$10001,MATCH(5327,'Email Cleaner'!$J$2:$J$10001,0)),"")</f>
        <v/>
      </c>
    </row>
    <row r="5329">
      <c r="A5329">
        <f>IFERROR(INDEX('Email Cleaner'!$B$2:$B$10001,MATCH(5328,'Email Cleaner'!$J$2:$J$10001,0)),"")</f>
        <v/>
      </c>
    </row>
    <row r="5330">
      <c r="A5330">
        <f>IFERROR(INDEX('Email Cleaner'!$B$2:$B$10001,MATCH(5329,'Email Cleaner'!$J$2:$J$10001,0)),"")</f>
        <v/>
      </c>
    </row>
    <row r="5331">
      <c r="A5331">
        <f>IFERROR(INDEX('Email Cleaner'!$B$2:$B$10001,MATCH(5330,'Email Cleaner'!$J$2:$J$10001,0)),"")</f>
        <v/>
      </c>
    </row>
    <row r="5332">
      <c r="A5332">
        <f>IFERROR(INDEX('Email Cleaner'!$B$2:$B$10001,MATCH(5331,'Email Cleaner'!$J$2:$J$10001,0)),"")</f>
        <v/>
      </c>
    </row>
    <row r="5333">
      <c r="A5333">
        <f>IFERROR(INDEX('Email Cleaner'!$B$2:$B$10001,MATCH(5332,'Email Cleaner'!$J$2:$J$10001,0)),"")</f>
        <v/>
      </c>
    </row>
    <row r="5334">
      <c r="A5334">
        <f>IFERROR(INDEX('Email Cleaner'!$B$2:$B$10001,MATCH(5333,'Email Cleaner'!$J$2:$J$10001,0)),"")</f>
        <v/>
      </c>
    </row>
    <row r="5335">
      <c r="A5335">
        <f>IFERROR(INDEX('Email Cleaner'!$B$2:$B$10001,MATCH(5334,'Email Cleaner'!$J$2:$J$10001,0)),"")</f>
        <v/>
      </c>
    </row>
    <row r="5336">
      <c r="A5336">
        <f>IFERROR(INDEX('Email Cleaner'!$B$2:$B$10001,MATCH(5335,'Email Cleaner'!$J$2:$J$10001,0)),"")</f>
        <v/>
      </c>
    </row>
    <row r="5337">
      <c r="A5337">
        <f>IFERROR(INDEX('Email Cleaner'!$B$2:$B$10001,MATCH(5336,'Email Cleaner'!$J$2:$J$10001,0)),"")</f>
        <v/>
      </c>
    </row>
    <row r="5338">
      <c r="A5338">
        <f>IFERROR(INDEX('Email Cleaner'!$B$2:$B$10001,MATCH(5337,'Email Cleaner'!$J$2:$J$10001,0)),"")</f>
        <v/>
      </c>
    </row>
    <row r="5339">
      <c r="A5339">
        <f>IFERROR(INDEX('Email Cleaner'!$B$2:$B$10001,MATCH(5338,'Email Cleaner'!$J$2:$J$10001,0)),"")</f>
        <v/>
      </c>
    </row>
    <row r="5340">
      <c r="A5340">
        <f>IFERROR(INDEX('Email Cleaner'!$B$2:$B$10001,MATCH(5339,'Email Cleaner'!$J$2:$J$10001,0)),"")</f>
        <v/>
      </c>
    </row>
    <row r="5341">
      <c r="A5341">
        <f>IFERROR(INDEX('Email Cleaner'!$B$2:$B$10001,MATCH(5340,'Email Cleaner'!$J$2:$J$10001,0)),"")</f>
        <v/>
      </c>
    </row>
    <row r="5342">
      <c r="A5342">
        <f>IFERROR(INDEX('Email Cleaner'!$B$2:$B$10001,MATCH(5341,'Email Cleaner'!$J$2:$J$10001,0)),"")</f>
        <v/>
      </c>
    </row>
    <row r="5343">
      <c r="A5343">
        <f>IFERROR(INDEX('Email Cleaner'!$B$2:$B$10001,MATCH(5342,'Email Cleaner'!$J$2:$J$10001,0)),"")</f>
        <v/>
      </c>
    </row>
    <row r="5344">
      <c r="A5344">
        <f>IFERROR(INDEX('Email Cleaner'!$B$2:$B$10001,MATCH(5343,'Email Cleaner'!$J$2:$J$10001,0)),"")</f>
        <v/>
      </c>
    </row>
    <row r="5345">
      <c r="A5345">
        <f>IFERROR(INDEX('Email Cleaner'!$B$2:$B$10001,MATCH(5344,'Email Cleaner'!$J$2:$J$10001,0)),"")</f>
        <v/>
      </c>
    </row>
    <row r="5346">
      <c r="A5346">
        <f>IFERROR(INDEX('Email Cleaner'!$B$2:$B$10001,MATCH(5345,'Email Cleaner'!$J$2:$J$10001,0)),"")</f>
        <v/>
      </c>
    </row>
    <row r="5347">
      <c r="A5347">
        <f>IFERROR(INDEX('Email Cleaner'!$B$2:$B$10001,MATCH(5346,'Email Cleaner'!$J$2:$J$10001,0)),"")</f>
        <v/>
      </c>
    </row>
    <row r="5348">
      <c r="A5348">
        <f>IFERROR(INDEX('Email Cleaner'!$B$2:$B$10001,MATCH(5347,'Email Cleaner'!$J$2:$J$10001,0)),"")</f>
        <v/>
      </c>
    </row>
    <row r="5349">
      <c r="A5349">
        <f>IFERROR(INDEX('Email Cleaner'!$B$2:$B$10001,MATCH(5348,'Email Cleaner'!$J$2:$J$10001,0)),"")</f>
        <v/>
      </c>
    </row>
    <row r="5350">
      <c r="A5350">
        <f>IFERROR(INDEX('Email Cleaner'!$B$2:$B$10001,MATCH(5349,'Email Cleaner'!$J$2:$J$10001,0)),"")</f>
        <v/>
      </c>
    </row>
    <row r="5351">
      <c r="A5351">
        <f>IFERROR(INDEX('Email Cleaner'!$B$2:$B$10001,MATCH(5350,'Email Cleaner'!$J$2:$J$10001,0)),"")</f>
        <v/>
      </c>
    </row>
    <row r="5352">
      <c r="A5352">
        <f>IFERROR(INDEX('Email Cleaner'!$B$2:$B$10001,MATCH(5351,'Email Cleaner'!$J$2:$J$10001,0)),"")</f>
        <v/>
      </c>
    </row>
    <row r="5353">
      <c r="A5353">
        <f>IFERROR(INDEX('Email Cleaner'!$B$2:$B$10001,MATCH(5352,'Email Cleaner'!$J$2:$J$10001,0)),"")</f>
        <v/>
      </c>
    </row>
    <row r="5354">
      <c r="A5354">
        <f>IFERROR(INDEX('Email Cleaner'!$B$2:$B$10001,MATCH(5353,'Email Cleaner'!$J$2:$J$10001,0)),"")</f>
        <v/>
      </c>
    </row>
    <row r="5355">
      <c r="A5355">
        <f>IFERROR(INDEX('Email Cleaner'!$B$2:$B$10001,MATCH(5354,'Email Cleaner'!$J$2:$J$10001,0)),"")</f>
        <v/>
      </c>
    </row>
    <row r="5356">
      <c r="A5356">
        <f>IFERROR(INDEX('Email Cleaner'!$B$2:$B$10001,MATCH(5355,'Email Cleaner'!$J$2:$J$10001,0)),"")</f>
        <v/>
      </c>
    </row>
    <row r="5357">
      <c r="A5357">
        <f>IFERROR(INDEX('Email Cleaner'!$B$2:$B$10001,MATCH(5356,'Email Cleaner'!$J$2:$J$10001,0)),"")</f>
        <v/>
      </c>
    </row>
    <row r="5358">
      <c r="A5358">
        <f>IFERROR(INDEX('Email Cleaner'!$B$2:$B$10001,MATCH(5357,'Email Cleaner'!$J$2:$J$10001,0)),"")</f>
        <v/>
      </c>
    </row>
    <row r="5359">
      <c r="A5359">
        <f>IFERROR(INDEX('Email Cleaner'!$B$2:$B$10001,MATCH(5358,'Email Cleaner'!$J$2:$J$10001,0)),"")</f>
        <v/>
      </c>
    </row>
    <row r="5360">
      <c r="A5360">
        <f>IFERROR(INDEX('Email Cleaner'!$B$2:$B$10001,MATCH(5359,'Email Cleaner'!$J$2:$J$10001,0)),"")</f>
        <v/>
      </c>
    </row>
    <row r="5361">
      <c r="A5361">
        <f>IFERROR(INDEX('Email Cleaner'!$B$2:$B$10001,MATCH(5360,'Email Cleaner'!$J$2:$J$10001,0)),"")</f>
        <v/>
      </c>
    </row>
    <row r="5362">
      <c r="A5362">
        <f>IFERROR(INDEX('Email Cleaner'!$B$2:$B$10001,MATCH(5361,'Email Cleaner'!$J$2:$J$10001,0)),"")</f>
        <v/>
      </c>
    </row>
    <row r="5363">
      <c r="A5363">
        <f>IFERROR(INDEX('Email Cleaner'!$B$2:$B$10001,MATCH(5362,'Email Cleaner'!$J$2:$J$10001,0)),"")</f>
        <v/>
      </c>
    </row>
    <row r="5364">
      <c r="A5364">
        <f>IFERROR(INDEX('Email Cleaner'!$B$2:$B$10001,MATCH(5363,'Email Cleaner'!$J$2:$J$10001,0)),"")</f>
        <v/>
      </c>
    </row>
    <row r="5365">
      <c r="A5365">
        <f>IFERROR(INDEX('Email Cleaner'!$B$2:$B$10001,MATCH(5364,'Email Cleaner'!$J$2:$J$10001,0)),"")</f>
        <v/>
      </c>
    </row>
    <row r="5366">
      <c r="A5366">
        <f>IFERROR(INDEX('Email Cleaner'!$B$2:$B$10001,MATCH(5365,'Email Cleaner'!$J$2:$J$10001,0)),"")</f>
        <v/>
      </c>
    </row>
    <row r="5367">
      <c r="A5367">
        <f>IFERROR(INDEX('Email Cleaner'!$B$2:$B$10001,MATCH(5366,'Email Cleaner'!$J$2:$J$10001,0)),"")</f>
        <v/>
      </c>
    </row>
    <row r="5368">
      <c r="A5368">
        <f>IFERROR(INDEX('Email Cleaner'!$B$2:$B$10001,MATCH(5367,'Email Cleaner'!$J$2:$J$10001,0)),"")</f>
        <v/>
      </c>
    </row>
    <row r="5369">
      <c r="A5369">
        <f>IFERROR(INDEX('Email Cleaner'!$B$2:$B$10001,MATCH(5368,'Email Cleaner'!$J$2:$J$10001,0)),"")</f>
        <v/>
      </c>
    </row>
    <row r="5370">
      <c r="A5370">
        <f>IFERROR(INDEX('Email Cleaner'!$B$2:$B$10001,MATCH(5369,'Email Cleaner'!$J$2:$J$10001,0)),"")</f>
        <v/>
      </c>
    </row>
    <row r="5371">
      <c r="A5371">
        <f>IFERROR(INDEX('Email Cleaner'!$B$2:$B$10001,MATCH(5370,'Email Cleaner'!$J$2:$J$10001,0)),"")</f>
        <v/>
      </c>
    </row>
    <row r="5372">
      <c r="A5372">
        <f>IFERROR(INDEX('Email Cleaner'!$B$2:$B$10001,MATCH(5371,'Email Cleaner'!$J$2:$J$10001,0)),"")</f>
        <v/>
      </c>
    </row>
    <row r="5373">
      <c r="A5373">
        <f>IFERROR(INDEX('Email Cleaner'!$B$2:$B$10001,MATCH(5372,'Email Cleaner'!$J$2:$J$10001,0)),"")</f>
        <v/>
      </c>
    </row>
    <row r="5374">
      <c r="A5374">
        <f>IFERROR(INDEX('Email Cleaner'!$B$2:$B$10001,MATCH(5373,'Email Cleaner'!$J$2:$J$10001,0)),"")</f>
        <v/>
      </c>
    </row>
    <row r="5375">
      <c r="A5375">
        <f>IFERROR(INDEX('Email Cleaner'!$B$2:$B$10001,MATCH(5374,'Email Cleaner'!$J$2:$J$10001,0)),"")</f>
        <v/>
      </c>
    </row>
    <row r="5376">
      <c r="A5376">
        <f>IFERROR(INDEX('Email Cleaner'!$B$2:$B$10001,MATCH(5375,'Email Cleaner'!$J$2:$J$10001,0)),"")</f>
        <v/>
      </c>
    </row>
    <row r="5377">
      <c r="A5377">
        <f>IFERROR(INDEX('Email Cleaner'!$B$2:$B$10001,MATCH(5376,'Email Cleaner'!$J$2:$J$10001,0)),"")</f>
        <v/>
      </c>
    </row>
    <row r="5378">
      <c r="A5378">
        <f>IFERROR(INDEX('Email Cleaner'!$B$2:$B$10001,MATCH(5377,'Email Cleaner'!$J$2:$J$10001,0)),"")</f>
        <v/>
      </c>
    </row>
    <row r="5379">
      <c r="A5379">
        <f>IFERROR(INDEX('Email Cleaner'!$B$2:$B$10001,MATCH(5378,'Email Cleaner'!$J$2:$J$10001,0)),"")</f>
        <v/>
      </c>
    </row>
    <row r="5380">
      <c r="A5380">
        <f>IFERROR(INDEX('Email Cleaner'!$B$2:$B$10001,MATCH(5379,'Email Cleaner'!$J$2:$J$10001,0)),"")</f>
        <v/>
      </c>
    </row>
    <row r="5381">
      <c r="A5381">
        <f>IFERROR(INDEX('Email Cleaner'!$B$2:$B$10001,MATCH(5380,'Email Cleaner'!$J$2:$J$10001,0)),"")</f>
        <v/>
      </c>
    </row>
    <row r="5382">
      <c r="A5382">
        <f>IFERROR(INDEX('Email Cleaner'!$B$2:$B$10001,MATCH(5381,'Email Cleaner'!$J$2:$J$10001,0)),"")</f>
        <v/>
      </c>
    </row>
    <row r="5383">
      <c r="A5383">
        <f>IFERROR(INDEX('Email Cleaner'!$B$2:$B$10001,MATCH(5382,'Email Cleaner'!$J$2:$J$10001,0)),"")</f>
        <v/>
      </c>
    </row>
    <row r="5384">
      <c r="A5384">
        <f>IFERROR(INDEX('Email Cleaner'!$B$2:$B$10001,MATCH(5383,'Email Cleaner'!$J$2:$J$10001,0)),"")</f>
        <v/>
      </c>
    </row>
    <row r="5385">
      <c r="A5385">
        <f>IFERROR(INDEX('Email Cleaner'!$B$2:$B$10001,MATCH(5384,'Email Cleaner'!$J$2:$J$10001,0)),"")</f>
        <v/>
      </c>
    </row>
    <row r="5386">
      <c r="A5386">
        <f>IFERROR(INDEX('Email Cleaner'!$B$2:$B$10001,MATCH(5385,'Email Cleaner'!$J$2:$J$10001,0)),"")</f>
        <v/>
      </c>
    </row>
    <row r="5387">
      <c r="A5387">
        <f>IFERROR(INDEX('Email Cleaner'!$B$2:$B$10001,MATCH(5386,'Email Cleaner'!$J$2:$J$10001,0)),"")</f>
        <v/>
      </c>
    </row>
    <row r="5388">
      <c r="A5388">
        <f>IFERROR(INDEX('Email Cleaner'!$B$2:$B$10001,MATCH(5387,'Email Cleaner'!$J$2:$J$10001,0)),"")</f>
        <v/>
      </c>
    </row>
    <row r="5389">
      <c r="A5389">
        <f>IFERROR(INDEX('Email Cleaner'!$B$2:$B$10001,MATCH(5388,'Email Cleaner'!$J$2:$J$10001,0)),"")</f>
        <v/>
      </c>
    </row>
    <row r="5390">
      <c r="A5390">
        <f>IFERROR(INDEX('Email Cleaner'!$B$2:$B$10001,MATCH(5389,'Email Cleaner'!$J$2:$J$10001,0)),"")</f>
        <v/>
      </c>
    </row>
    <row r="5391">
      <c r="A5391">
        <f>IFERROR(INDEX('Email Cleaner'!$B$2:$B$10001,MATCH(5390,'Email Cleaner'!$J$2:$J$10001,0)),"")</f>
        <v/>
      </c>
    </row>
    <row r="5392">
      <c r="A5392">
        <f>IFERROR(INDEX('Email Cleaner'!$B$2:$B$10001,MATCH(5391,'Email Cleaner'!$J$2:$J$10001,0)),"")</f>
        <v/>
      </c>
    </row>
    <row r="5393">
      <c r="A5393">
        <f>IFERROR(INDEX('Email Cleaner'!$B$2:$B$10001,MATCH(5392,'Email Cleaner'!$J$2:$J$10001,0)),"")</f>
        <v/>
      </c>
    </row>
    <row r="5394">
      <c r="A5394">
        <f>IFERROR(INDEX('Email Cleaner'!$B$2:$B$10001,MATCH(5393,'Email Cleaner'!$J$2:$J$10001,0)),"")</f>
        <v/>
      </c>
    </row>
    <row r="5395">
      <c r="A5395">
        <f>IFERROR(INDEX('Email Cleaner'!$B$2:$B$10001,MATCH(5394,'Email Cleaner'!$J$2:$J$10001,0)),"")</f>
        <v/>
      </c>
    </row>
    <row r="5396">
      <c r="A5396">
        <f>IFERROR(INDEX('Email Cleaner'!$B$2:$B$10001,MATCH(5395,'Email Cleaner'!$J$2:$J$10001,0)),"")</f>
        <v/>
      </c>
    </row>
    <row r="5397">
      <c r="A5397">
        <f>IFERROR(INDEX('Email Cleaner'!$B$2:$B$10001,MATCH(5396,'Email Cleaner'!$J$2:$J$10001,0)),"")</f>
        <v/>
      </c>
    </row>
    <row r="5398">
      <c r="A5398">
        <f>IFERROR(INDEX('Email Cleaner'!$B$2:$B$10001,MATCH(5397,'Email Cleaner'!$J$2:$J$10001,0)),"")</f>
        <v/>
      </c>
    </row>
    <row r="5399">
      <c r="A5399">
        <f>IFERROR(INDEX('Email Cleaner'!$B$2:$B$10001,MATCH(5398,'Email Cleaner'!$J$2:$J$10001,0)),"")</f>
        <v/>
      </c>
    </row>
    <row r="5400">
      <c r="A5400">
        <f>IFERROR(INDEX('Email Cleaner'!$B$2:$B$10001,MATCH(5399,'Email Cleaner'!$J$2:$J$10001,0)),"")</f>
        <v/>
      </c>
    </row>
    <row r="5401">
      <c r="A5401">
        <f>IFERROR(INDEX('Email Cleaner'!$B$2:$B$10001,MATCH(5400,'Email Cleaner'!$J$2:$J$10001,0)),"")</f>
        <v/>
      </c>
    </row>
    <row r="5402">
      <c r="A5402">
        <f>IFERROR(INDEX('Email Cleaner'!$B$2:$B$10001,MATCH(5401,'Email Cleaner'!$J$2:$J$10001,0)),"")</f>
        <v/>
      </c>
    </row>
    <row r="5403">
      <c r="A5403">
        <f>IFERROR(INDEX('Email Cleaner'!$B$2:$B$10001,MATCH(5402,'Email Cleaner'!$J$2:$J$10001,0)),"")</f>
        <v/>
      </c>
    </row>
    <row r="5404">
      <c r="A5404">
        <f>IFERROR(INDEX('Email Cleaner'!$B$2:$B$10001,MATCH(5403,'Email Cleaner'!$J$2:$J$10001,0)),"")</f>
        <v/>
      </c>
    </row>
    <row r="5405">
      <c r="A5405">
        <f>IFERROR(INDEX('Email Cleaner'!$B$2:$B$10001,MATCH(5404,'Email Cleaner'!$J$2:$J$10001,0)),"")</f>
        <v/>
      </c>
    </row>
    <row r="5406">
      <c r="A5406">
        <f>IFERROR(INDEX('Email Cleaner'!$B$2:$B$10001,MATCH(5405,'Email Cleaner'!$J$2:$J$10001,0)),"")</f>
        <v/>
      </c>
    </row>
    <row r="5407">
      <c r="A5407">
        <f>IFERROR(INDEX('Email Cleaner'!$B$2:$B$10001,MATCH(5406,'Email Cleaner'!$J$2:$J$10001,0)),"")</f>
        <v/>
      </c>
    </row>
    <row r="5408">
      <c r="A5408">
        <f>IFERROR(INDEX('Email Cleaner'!$B$2:$B$10001,MATCH(5407,'Email Cleaner'!$J$2:$J$10001,0)),"")</f>
        <v/>
      </c>
    </row>
    <row r="5409">
      <c r="A5409">
        <f>IFERROR(INDEX('Email Cleaner'!$B$2:$B$10001,MATCH(5408,'Email Cleaner'!$J$2:$J$10001,0)),"")</f>
        <v/>
      </c>
    </row>
    <row r="5410">
      <c r="A5410">
        <f>IFERROR(INDEX('Email Cleaner'!$B$2:$B$10001,MATCH(5409,'Email Cleaner'!$J$2:$J$10001,0)),"")</f>
        <v/>
      </c>
    </row>
    <row r="5411">
      <c r="A5411">
        <f>IFERROR(INDEX('Email Cleaner'!$B$2:$B$10001,MATCH(5410,'Email Cleaner'!$J$2:$J$10001,0)),"")</f>
        <v/>
      </c>
    </row>
    <row r="5412">
      <c r="A5412">
        <f>IFERROR(INDEX('Email Cleaner'!$B$2:$B$10001,MATCH(5411,'Email Cleaner'!$J$2:$J$10001,0)),"")</f>
        <v/>
      </c>
    </row>
    <row r="5413">
      <c r="A5413">
        <f>IFERROR(INDEX('Email Cleaner'!$B$2:$B$10001,MATCH(5412,'Email Cleaner'!$J$2:$J$10001,0)),"")</f>
        <v/>
      </c>
    </row>
    <row r="5414">
      <c r="A5414">
        <f>IFERROR(INDEX('Email Cleaner'!$B$2:$B$10001,MATCH(5413,'Email Cleaner'!$J$2:$J$10001,0)),"")</f>
        <v/>
      </c>
    </row>
    <row r="5415">
      <c r="A5415">
        <f>IFERROR(INDEX('Email Cleaner'!$B$2:$B$10001,MATCH(5414,'Email Cleaner'!$J$2:$J$10001,0)),"")</f>
        <v/>
      </c>
    </row>
    <row r="5416">
      <c r="A5416">
        <f>IFERROR(INDEX('Email Cleaner'!$B$2:$B$10001,MATCH(5415,'Email Cleaner'!$J$2:$J$10001,0)),"")</f>
        <v/>
      </c>
    </row>
    <row r="5417">
      <c r="A5417">
        <f>IFERROR(INDEX('Email Cleaner'!$B$2:$B$10001,MATCH(5416,'Email Cleaner'!$J$2:$J$10001,0)),"")</f>
        <v/>
      </c>
    </row>
    <row r="5418">
      <c r="A5418">
        <f>IFERROR(INDEX('Email Cleaner'!$B$2:$B$10001,MATCH(5417,'Email Cleaner'!$J$2:$J$10001,0)),"")</f>
        <v/>
      </c>
    </row>
    <row r="5419">
      <c r="A5419">
        <f>IFERROR(INDEX('Email Cleaner'!$B$2:$B$10001,MATCH(5418,'Email Cleaner'!$J$2:$J$10001,0)),"")</f>
        <v/>
      </c>
    </row>
    <row r="5420">
      <c r="A5420">
        <f>IFERROR(INDEX('Email Cleaner'!$B$2:$B$10001,MATCH(5419,'Email Cleaner'!$J$2:$J$10001,0)),"")</f>
        <v/>
      </c>
    </row>
    <row r="5421">
      <c r="A5421">
        <f>IFERROR(INDEX('Email Cleaner'!$B$2:$B$10001,MATCH(5420,'Email Cleaner'!$J$2:$J$10001,0)),"")</f>
        <v/>
      </c>
    </row>
    <row r="5422">
      <c r="A5422">
        <f>IFERROR(INDEX('Email Cleaner'!$B$2:$B$10001,MATCH(5421,'Email Cleaner'!$J$2:$J$10001,0)),"")</f>
        <v/>
      </c>
    </row>
    <row r="5423">
      <c r="A5423">
        <f>IFERROR(INDEX('Email Cleaner'!$B$2:$B$10001,MATCH(5422,'Email Cleaner'!$J$2:$J$10001,0)),"")</f>
        <v/>
      </c>
    </row>
    <row r="5424">
      <c r="A5424">
        <f>IFERROR(INDEX('Email Cleaner'!$B$2:$B$10001,MATCH(5423,'Email Cleaner'!$J$2:$J$10001,0)),"")</f>
        <v/>
      </c>
    </row>
    <row r="5425">
      <c r="A5425">
        <f>IFERROR(INDEX('Email Cleaner'!$B$2:$B$10001,MATCH(5424,'Email Cleaner'!$J$2:$J$10001,0)),"")</f>
        <v/>
      </c>
    </row>
    <row r="5426">
      <c r="A5426">
        <f>IFERROR(INDEX('Email Cleaner'!$B$2:$B$10001,MATCH(5425,'Email Cleaner'!$J$2:$J$10001,0)),"")</f>
        <v/>
      </c>
    </row>
    <row r="5427">
      <c r="A5427">
        <f>IFERROR(INDEX('Email Cleaner'!$B$2:$B$10001,MATCH(5426,'Email Cleaner'!$J$2:$J$10001,0)),"")</f>
        <v/>
      </c>
    </row>
    <row r="5428">
      <c r="A5428">
        <f>IFERROR(INDEX('Email Cleaner'!$B$2:$B$10001,MATCH(5427,'Email Cleaner'!$J$2:$J$10001,0)),"")</f>
        <v/>
      </c>
    </row>
    <row r="5429">
      <c r="A5429">
        <f>IFERROR(INDEX('Email Cleaner'!$B$2:$B$10001,MATCH(5428,'Email Cleaner'!$J$2:$J$10001,0)),"")</f>
        <v/>
      </c>
    </row>
    <row r="5430">
      <c r="A5430">
        <f>IFERROR(INDEX('Email Cleaner'!$B$2:$B$10001,MATCH(5429,'Email Cleaner'!$J$2:$J$10001,0)),"")</f>
        <v/>
      </c>
    </row>
    <row r="5431">
      <c r="A5431">
        <f>IFERROR(INDEX('Email Cleaner'!$B$2:$B$10001,MATCH(5430,'Email Cleaner'!$J$2:$J$10001,0)),"")</f>
        <v/>
      </c>
    </row>
    <row r="5432">
      <c r="A5432">
        <f>IFERROR(INDEX('Email Cleaner'!$B$2:$B$10001,MATCH(5431,'Email Cleaner'!$J$2:$J$10001,0)),"")</f>
        <v/>
      </c>
    </row>
    <row r="5433">
      <c r="A5433">
        <f>IFERROR(INDEX('Email Cleaner'!$B$2:$B$10001,MATCH(5432,'Email Cleaner'!$J$2:$J$10001,0)),"")</f>
        <v/>
      </c>
    </row>
    <row r="5434">
      <c r="A5434">
        <f>IFERROR(INDEX('Email Cleaner'!$B$2:$B$10001,MATCH(5433,'Email Cleaner'!$J$2:$J$10001,0)),"")</f>
        <v/>
      </c>
    </row>
    <row r="5435">
      <c r="A5435">
        <f>IFERROR(INDEX('Email Cleaner'!$B$2:$B$10001,MATCH(5434,'Email Cleaner'!$J$2:$J$10001,0)),"")</f>
        <v/>
      </c>
    </row>
    <row r="5436">
      <c r="A5436">
        <f>IFERROR(INDEX('Email Cleaner'!$B$2:$B$10001,MATCH(5435,'Email Cleaner'!$J$2:$J$10001,0)),"")</f>
        <v/>
      </c>
    </row>
    <row r="5437">
      <c r="A5437">
        <f>IFERROR(INDEX('Email Cleaner'!$B$2:$B$10001,MATCH(5436,'Email Cleaner'!$J$2:$J$10001,0)),"")</f>
        <v/>
      </c>
    </row>
    <row r="5438">
      <c r="A5438">
        <f>IFERROR(INDEX('Email Cleaner'!$B$2:$B$10001,MATCH(5437,'Email Cleaner'!$J$2:$J$10001,0)),"")</f>
        <v/>
      </c>
    </row>
    <row r="5439">
      <c r="A5439">
        <f>IFERROR(INDEX('Email Cleaner'!$B$2:$B$10001,MATCH(5438,'Email Cleaner'!$J$2:$J$10001,0)),"")</f>
        <v/>
      </c>
    </row>
    <row r="5440">
      <c r="A5440">
        <f>IFERROR(INDEX('Email Cleaner'!$B$2:$B$10001,MATCH(5439,'Email Cleaner'!$J$2:$J$10001,0)),"")</f>
        <v/>
      </c>
    </row>
    <row r="5441">
      <c r="A5441">
        <f>IFERROR(INDEX('Email Cleaner'!$B$2:$B$10001,MATCH(5440,'Email Cleaner'!$J$2:$J$10001,0)),"")</f>
        <v/>
      </c>
    </row>
    <row r="5442">
      <c r="A5442">
        <f>IFERROR(INDEX('Email Cleaner'!$B$2:$B$10001,MATCH(5441,'Email Cleaner'!$J$2:$J$10001,0)),"")</f>
        <v/>
      </c>
    </row>
    <row r="5443">
      <c r="A5443">
        <f>IFERROR(INDEX('Email Cleaner'!$B$2:$B$10001,MATCH(5442,'Email Cleaner'!$J$2:$J$10001,0)),"")</f>
        <v/>
      </c>
    </row>
    <row r="5444">
      <c r="A5444">
        <f>IFERROR(INDEX('Email Cleaner'!$B$2:$B$10001,MATCH(5443,'Email Cleaner'!$J$2:$J$10001,0)),"")</f>
        <v/>
      </c>
    </row>
    <row r="5445">
      <c r="A5445">
        <f>IFERROR(INDEX('Email Cleaner'!$B$2:$B$10001,MATCH(5444,'Email Cleaner'!$J$2:$J$10001,0)),"")</f>
        <v/>
      </c>
    </row>
    <row r="5446">
      <c r="A5446">
        <f>IFERROR(INDEX('Email Cleaner'!$B$2:$B$10001,MATCH(5445,'Email Cleaner'!$J$2:$J$10001,0)),"")</f>
        <v/>
      </c>
    </row>
    <row r="5447">
      <c r="A5447">
        <f>IFERROR(INDEX('Email Cleaner'!$B$2:$B$10001,MATCH(5446,'Email Cleaner'!$J$2:$J$10001,0)),"")</f>
        <v/>
      </c>
    </row>
    <row r="5448">
      <c r="A5448">
        <f>IFERROR(INDEX('Email Cleaner'!$B$2:$B$10001,MATCH(5447,'Email Cleaner'!$J$2:$J$10001,0)),"")</f>
        <v/>
      </c>
    </row>
    <row r="5449">
      <c r="A5449">
        <f>IFERROR(INDEX('Email Cleaner'!$B$2:$B$10001,MATCH(5448,'Email Cleaner'!$J$2:$J$10001,0)),"")</f>
        <v/>
      </c>
    </row>
    <row r="5450">
      <c r="A5450">
        <f>IFERROR(INDEX('Email Cleaner'!$B$2:$B$10001,MATCH(5449,'Email Cleaner'!$J$2:$J$10001,0)),"")</f>
        <v/>
      </c>
    </row>
    <row r="5451">
      <c r="A5451">
        <f>IFERROR(INDEX('Email Cleaner'!$B$2:$B$10001,MATCH(5450,'Email Cleaner'!$J$2:$J$10001,0)),"")</f>
        <v/>
      </c>
    </row>
    <row r="5452">
      <c r="A5452">
        <f>IFERROR(INDEX('Email Cleaner'!$B$2:$B$10001,MATCH(5451,'Email Cleaner'!$J$2:$J$10001,0)),"")</f>
        <v/>
      </c>
    </row>
    <row r="5453">
      <c r="A5453">
        <f>IFERROR(INDEX('Email Cleaner'!$B$2:$B$10001,MATCH(5452,'Email Cleaner'!$J$2:$J$10001,0)),"")</f>
        <v/>
      </c>
    </row>
    <row r="5454">
      <c r="A5454">
        <f>IFERROR(INDEX('Email Cleaner'!$B$2:$B$10001,MATCH(5453,'Email Cleaner'!$J$2:$J$10001,0)),"")</f>
        <v/>
      </c>
    </row>
    <row r="5455">
      <c r="A5455">
        <f>IFERROR(INDEX('Email Cleaner'!$B$2:$B$10001,MATCH(5454,'Email Cleaner'!$J$2:$J$10001,0)),"")</f>
        <v/>
      </c>
    </row>
    <row r="5456">
      <c r="A5456">
        <f>IFERROR(INDEX('Email Cleaner'!$B$2:$B$10001,MATCH(5455,'Email Cleaner'!$J$2:$J$10001,0)),"")</f>
        <v/>
      </c>
    </row>
    <row r="5457">
      <c r="A5457">
        <f>IFERROR(INDEX('Email Cleaner'!$B$2:$B$10001,MATCH(5456,'Email Cleaner'!$J$2:$J$10001,0)),"")</f>
        <v/>
      </c>
    </row>
    <row r="5458">
      <c r="A5458">
        <f>IFERROR(INDEX('Email Cleaner'!$B$2:$B$10001,MATCH(5457,'Email Cleaner'!$J$2:$J$10001,0)),"")</f>
        <v/>
      </c>
    </row>
    <row r="5459">
      <c r="A5459">
        <f>IFERROR(INDEX('Email Cleaner'!$B$2:$B$10001,MATCH(5458,'Email Cleaner'!$J$2:$J$10001,0)),"")</f>
        <v/>
      </c>
    </row>
    <row r="5460">
      <c r="A5460">
        <f>IFERROR(INDEX('Email Cleaner'!$B$2:$B$10001,MATCH(5459,'Email Cleaner'!$J$2:$J$10001,0)),"")</f>
        <v/>
      </c>
    </row>
    <row r="5461">
      <c r="A5461">
        <f>IFERROR(INDEX('Email Cleaner'!$B$2:$B$10001,MATCH(5460,'Email Cleaner'!$J$2:$J$10001,0)),"")</f>
        <v/>
      </c>
    </row>
    <row r="5462">
      <c r="A5462">
        <f>IFERROR(INDEX('Email Cleaner'!$B$2:$B$10001,MATCH(5461,'Email Cleaner'!$J$2:$J$10001,0)),"")</f>
        <v/>
      </c>
    </row>
    <row r="5463">
      <c r="A5463">
        <f>IFERROR(INDEX('Email Cleaner'!$B$2:$B$10001,MATCH(5462,'Email Cleaner'!$J$2:$J$10001,0)),"")</f>
        <v/>
      </c>
    </row>
    <row r="5464">
      <c r="A5464">
        <f>IFERROR(INDEX('Email Cleaner'!$B$2:$B$10001,MATCH(5463,'Email Cleaner'!$J$2:$J$10001,0)),"")</f>
        <v/>
      </c>
    </row>
    <row r="5465">
      <c r="A5465">
        <f>IFERROR(INDEX('Email Cleaner'!$B$2:$B$10001,MATCH(5464,'Email Cleaner'!$J$2:$J$10001,0)),"")</f>
        <v/>
      </c>
    </row>
    <row r="5466">
      <c r="A5466">
        <f>IFERROR(INDEX('Email Cleaner'!$B$2:$B$10001,MATCH(5465,'Email Cleaner'!$J$2:$J$10001,0)),"")</f>
        <v/>
      </c>
    </row>
    <row r="5467">
      <c r="A5467">
        <f>IFERROR(INDEX('Email Cleaner'!$B$2:$B$10001,MATCH(5466,'Email Cleaner'!$J$2:$J$10001,0)),"")</f>
        <v/>
      </c>
    </row>
    <row r="5468">
      <c r="A5468">
        <f>IFERROR(INDEX('Email Cleaner'!$B$2:$B$10001,MATCH(5467,'Email Cleaner'!$J$2:$J$10001,0)),"")</f>
        <v/>
      </c>
    </row>
    <row r="5469">
      <c r="A5469">
        <f>IFERROR(INDEX('Email Cleaner'!$B$2:$B$10001,MATCH(5468,'Email Cleaner'!$J$2:$J$10001,0)),"")</f>
        <v/>
      </c>
    </row>
    <row r="5470">
      <c r="A5470">
        <f>IFERROR(INDEX('Email Cleaner'!$B$2:$B$10001,MATCH(5469,'Email Cleaner'!$J$2:$J$10001,0)),"")</f>
        <v/>
      </c>
    </row>
    <row r="5471">
      <c r="A5471">
        <f>IFERROR(INDEX('Email Cleaner'!$B$2:$B$10001,MATCH(5470,'Email Cleaner'!$J$2:$J$10001,0)),"")</f>
        <v/>
      </c>
    </row>
    <row r="5472">
      <c r="A5472">
        <f>IFERROR(INDEX('Email Cleaner'!$B$2:$B$10001,MATCH(5471,'Email Cleaner'!$J$2:$J$10001,0)),"")</f>
        <v/>
      </c>
    </row>
    <row r="5473">
      <c r="A5473">
        <f>IFERROR(INDEX('Email Cleaner'!$B$2:$B$10001,MATCH(5472,'Email Cleaner'!$J$2:$J$10001,0)),"")</f>
        <v/>
      </c>
    </row>
    <row r="5474">
      <c r="A5474">
        <f>IFERROR(INDEX('Email Cleaner'!$B$2:$B$10001,MATCH(5473,'Email Cleaner'!$J$2:$J$10001,0)),"")</f>
        <v/>
      </c>
    </row>
    <row r="5475">
      <c r="A5475">
        <f>IFERROR(INDEX('Email Cleaner'!$B$2:$B$10001,MATCH(5474,'Email Cleaner'!$J$2:$J$10001,0)),"")</f>
        <v/>
      </c>
    </row>
    <row r="5476">
      <c r="A5476">
        <f>IFERROR(INDEX('Email Cleaner'!$B$2:$B$10001,MATCH(5475,'Email Cleaner'!$J$2:$J$10001,0)),"")</f>
        <v/>
      </c>
    </row>
    <row r="5477">
      <c r="A5477">
        <f>IFERROR(INDEX('Email Cleaner'!$B$2:$B$10001,MATCH(5476,'Email Cleaner'!$J$2:$J$10001,0)),"")</f>
        <v/>
      </c>
    </row>
    <row r="5478">
      <c r="A5478">
        <f>IFERROR(INDEX('Email Cleaner'!$B$2:$B$10001,MATCH(5477,'Email Cleaner'!$J$2:$J$10001,0)),"")</f>
        <v/>
      </c>
    </row>
    <row r="5479">
      <c r="A5479">
        <f>IFERROR(INDEX('Email Cleaner'!$B$2:$B$10001,MATCH(5478,'Email Cleaner'!$J$2:$J$10001,0)),"")</f>
        <v/>
      </c>
    </row>
    <row r="5480">
      <c r="A5480">
        <f>IFERROR(INDEX('Email Cleaner'!$B$2:$B$10001,MATCH(5479,'Email Cleaner'!$J$2:$J$10001,0)),"")</f>
        <v/>
      </c>
    </row>
    <row r="5481">
      <c r="A5481">
        <f>IFERROR(INDEX('Email Cleaner'!$B$2:$B$10001,MATCH(5480,'Email Cleaner'!$J$2:$J$10001,0)),"")</f>
        <v/>
      </c>
    </row>
    <row r="5482">
      <c r="A5482">
        <f>IFERROR(INDEX('Email Cleaner'!$B$2:$B$10001,MATCH(5481,'Email Cleaner'!$J$2:$J$10001,0)),"")</f>
        <v/>
      </c>
    </row>
    <row r="5483">
      <c r="A5483">
        <f>IFERROR(INDEX('Email Cleaner'!$B$2:$B$10001,MATCH(5482,'Email Cleaner'!$J$2:$J$10001,0)),"")</f>
        <v/>
      </c>
    </row>
    <row r="5484">
      <c r="A5484">
        <f>IFERROR(INDEX('Email Cleaner'!$B$2:$B$10001,MATCH(5483,'Email Cleaner'!$J$2:$J$10001,0)),"")</f>
        <v/>
      </c>
    </row>
    <row r="5485">
      <c r="A5485">
        <f>IFERROR(INDEX('Email Cleaner'!$B$2:$B$10001,MATCH(5484,'Email Cleaner'!$J$2:$J$10001,0)),"")</f>
        <v/>
      </c>
    </row>
    <row r="5486">
      <c r="A5486">
        <f>IFERROR(INDEX('Email Cleaner'!$B$2:$B$10001,MATCH(5485,'Email Cleaner'!$J$2:$J$10001,0)),"")</f>
        <v/>
      </c>
    </row>
    <row r="5487">
      <c r="A5487">
        <f>IFERROR(INDEX('Email Cleaner'!$B$2:$B$10001,MATCH(5486,'Email Cleaner'!$J$2:$J$10001,0)),"")</f>
        <v/>
      </c>
    </row>
    <row r="5488">
      <c r="A5488">
        <f>IFERROR(INDEX('Email Cleaner'!$B$2:$B$10001,MATCH(5487,'Email Cleaner'!$J$2:$J$10001,0)),"")</f>
        <v/>
      </c>
    </row>
    <row r="5489">
      <c r="A5489">
        <f>IFERROR(INDEX('Email Cleaner'!$B$2:$B$10001,MATCH(5488,'Email Cleaner'!$J$2:$J$10001,0)),"")</f>
        <v/>
      </c>
    </row>
    <row r="5490">
      <c r="A5490">
        <f>IFERROR(INDEX('Email Cleaner'!$B$2:$B$10001,MATCH(5489,'Email Cleaner'!$J$2:$J$10001,0)),"")</f>
        <v/>
      </c>
    </row>
    <row r="5491">
      <c r="A5491">
        <f>IFERROR(INDEX('Email Cleaner'!$B$2:$B$10001,MATCH(5490,'Email Cleaner'!$J$2:$J$10001,0)),"")</f>
        <v/>
      </c>
    </row>
    <row r="5492">
      <c r="A5492">
        <f>IFERROR(INDEX('Email Cleaner'!$B$2:$B$10001,MATCH(5491,'Email Cleaner'!$J$2:$J$10001,0)),"")</f>
        <v/>
      </c>
    </row>
    <row r="5493">
      <c r="A5493">
        <f>IFERROR(INDEX('Email Cleaner'!$B$2:$B$10001,MATCH(5492,'Email Cleaner'!$J$2:$J$10001,0)),"")</f>
        <v/>
      </c>
    </row>
    <row r="5494">
      <c r="A5494">
        <f>IFERROR(INDEX('Email Cleaner'!$B$2:$B$10001,MATCH(5493,'Email Cleaner'!$J$2:$J$10001,0)),"")</f>
        <v/>
      </c>
    </row>
    <row r="5495">
      <c r="A5495">
        <f>IFERROR(INDEX('Email Cleaner'!$B$2:$B$10001,MATCH(5494,'Email Cleaner'!$J$2:$J$10001,0)),"")</f>
        <v/>
      </c>
    </row>
    <row r="5496">
      <c r="A5496">
        <f>IFERROR(INDEX('Email Cleaner'!$B$2:$B$10001,MATCH(5495,'Email Cleaner'!$J$2:$J$10001,0)),"")</f>
        <v/>
      </c>
    </row>
    <row r="5497">
      <c r="A5497">
        <f>IFERROR(INDEX('Email Cleaner'!$B$2:$B$10001,MATCH(5496,'Email Cleaner'!$J$2:$J$10001,0)),"")</f>
        <v/>
      </c>
    </row>
    <row r="5498">
      <c r="A5498">
        <f>IFERROR(INDEX('Email Cleaner'!$B$2:$B$10001,MATCH(5497,'Email Cleaner'!$J$2:$J$10001,0)),"")</f>
        <v/>
      </c>
    </row>
    <row r="5499">
      <c r="A5499">
        <f>IFERROR(INDEX('Email Cleaner'!$B$2:$B$10001,MATCH(5498,'Email Cleaner'!$J$2:$J$10001,0)),"")</f>
        <v/>
      </c>
    </row>
    <row r="5500">
      <c r="A5500">
        <f>IFERROR(INDEX('Email Cleaner'!$B$2:$B$10001,MATCH(5499,'Email Cleaner'!$J$2:$J$10001,0)),"")</f>
        <v/>
      </c>
    </row>
    <row r="5501">
      <c r="A5501">
        <f>IFERROR(INDEX('Email Cleaner'!$B$2:$B$10001,MATCH(5500,'Email Cleaner'!$J$2:$J$10001,0)),"")</f>
        <v/>
      </c>
    </row>
    <row r="5502">
      <c r="A5502">
        <f>IFERROR(INDEX('Email Cleaner'!$B$2:$B$10001,MATCH(5501,'Email Cleaner'!$J$2:$J$10001,0)),"")</f>
        <v/>
      </c>
    </row>
    <row r="5503">
      <c r="A5503">
        <f>IFERROR(INDEX('Email Cleaner'!$B$2:$B$10001,MATCH(5502,'Email Cleaner'!$J$2:$J$10001,0)),"")</f>
        <v/>
      </c>
    </row>
    <row r="5504">
      <c r="A5504">
        <f>IFERROR(INDEX('Email Cleaner'!$B$2:$B$10001,MATCH(5503,'Email Cleaner'!$J$2:$J$10001,0)),"")</f>
        <v/>
      </c>
    </row>
    <row r="5505">
      <c r="A5505">
        <f>IFERROR(INDEX('Email Cleaner'!$B$2:$B$10001,MATCH(5504,'Email Cleaner'!$J$2:$J$10001,0)),"")</f>
        <v/>
      </c>
    </row>
    <row r="5506">
      <c r="A5506">
        <f>IFERROR(INDEX('Email Cleaner'!$B$2:$B$10001,MATCH(5505,'Email Cleaner'!$J$2:$J$10001,0)),"")</f>
        <v/>
      </c>
    </row>
    <row r="5507">
      <c r="A5507">
        <f>IFERROR(INDEX('Email Cleaner'!$B$2:$B$10001,MATCH(5506,'Email Cleaner'!$J$2:$J$10001,0)),"")</f>
        <v/>
      </c>
    </row>
    <row r="5508">
      <c r="A5508">
        <f>IFERROR(INDEX('Email Cleaner'!$B$2:$B$10001,MATCH(5507,'Email Cleaner'!$J$2:$J$10001,0)),"")</f>
        <v/>
      </c>
    </row>
    <row r="5509">
      <c r="A5509">
        <f>IFERROR(INDEX('Email Cleaner'!$B$2:$B$10001,MATCH(5508,'Email Cleaner'!$J$2:$J$10001,0)),"")</f>
        <v/>
      </c>
    </row>
    <row r="5510">
      <c r="A5510">
        <f>IFERROR(INDEX('Email Cleaner'!$B$2:$B$10001,MATCH(5509,'Email Cleaner'!$J$2:$J$10001,0)),"")</f>
        <v/>
      </c>
    </row>
    <row r="5511">
      <c r="A5511">
        <f>IFERROR(INDEX('Email Cleaner'!$B$2:$B$10001,MATCH(5510,'Email Cleaner'!$J$2:$J$10001,0)),"")</f>
        <v/>
      </c>
    </row>
    <row r="5512">
      <c r="A5512">
        <f>IFERROR(INDEX('Email Cleaner'!$B$2:$B$10001,MATCH(5511,'Email Cleaner'!$J$2:$J$10001,0)),"")</f>
        <v/>
      </c>
    </row>
    <row r="5513">
      <c r="A5513">
        <f>IFERROR(INDEX('Email Cleaner'!$B$2:$B$10001,MATCH(5512,'Email Cleaner'!$J$2:$J$10001,0)),"")</f>
        <v/>
      </c>
    </row>
    <row r="5514">
      <c r="A5514">
        <f>IFERROR(INDEX('Email Cleaner'!$B$2:$B$10001,MATCH(5513,'Email Cleaner'!$J$2:$J$10001,0)),"")</f>
        <v/>
      </c>
    </row>
    <row r="5515">
      <c r="A5515">
        <f>IFERROR(INDEX('Email Cleaner'!$B$2:$B$10001,MATCH(5514,'Email Cleaner'!$J$2:$J$10001,0)),"")</f>
        <v/>
      </c>
    </row>
    <row r="5516">
      <c r="A5516">
        <f>IFERROR(INDEX('Email Cleaner'!$B$2:$B$10001,MATCH(5515,'Email Cleaner'!$J$2:$J$10001,0)),"")</f>
        <v/>
      </c>
    </row>
    <row r="5517">
      <c r="A5517">
        <f>IFERROR(INDEX('Email Cleaner'!$B$2:$B$10001,MATCH(5516,'Email Cleaner'!$J$2:$J$10001,0)),"")</f>
        <v/>
      </c>
    </row>
    <row r="5518">
      <c r="A5518">
        <f>IFERROR(INDEX('Email Cleaner'!$B$2:$B$10001,MATCH(5517,'Email Cleaner'!$J$2:$J$10001,0)),"")</f>
        <v/>
      </c>
    </row>
    <row r="5519">
      <c r="A5519">
        <f>IFERROR(INDEX('Email Cleaner'!$B$2:$B$10001,MATCH(5518,'Email Cleaner'!$J$2:$J$10001,0)),"")</f>
        <v/>
      </c>
    </row>
    <row r="5520">
      <c r="A5520">
        <f>IFERROR(INDEX('Email Cleaner'!$B$2:$B$10001,MATCH(5519,'Email Cleaner'!$J$2:$J$10001,0)),"")</f>
        <v/>
      </c>
    </row>
    <row r="5521">
      <c r="A5521">
        <f>IFERROR(INDEX('Email Cleaner'!$B$2:$B$10001,MATCH(5520,'Email Cleaner'!$J$2:$J$10001,0)),"")</f>
        <v/>
      </c>
    </row>
    <row r="5522">
      <c r="A5522">
        <f>IFERROR(INDEX('Email Cleaner'!$B$2:$B$10001,MATCH(5521,'Email Cleaner'!$J$2:$J$10001,0)),"")</f>
        <v/>
      </c>
    </row>
    <row r="5523">
      <c r="A5523">
        <f>IFERROR(INDEX('Email Cleaner'!$B$2:$B$10001,MATCH(5522,'Email Cleaner'!$J$2:$J$10001,0)),"")</f>
        <v/>
      </c>
    </row>
    <row r="5524">
      <c r="A5524">
        <f>IFERROR(INDEX('Email Cleaner'!$B$2:$B$10001,MATCH(5523,'Email Cleaner'!$J$2:$J$10001,0)),"")</f>
        <v/>
      </c>
    </row>
    <row r="5525">
      <c r="A5525">
        <f>IFERROR(INDEX('Email Cleaner'!$B$2:$B$10001,MATCH(5524,'Email Cleaner'!$J$2:$J$10001,0)),"")</f>
        <v/>
      </c>
    </row>
    <row r="5526">
      <c r="A5526">
        <f>IFERROR(INDEX('Email Cleaner'!$B$2:$B$10001,MATCH(5525,'Email Cleaner'!$J$2:$J$10001,0)),"")</f>
        <v/>
      </c>
    </row>
    <row r="5527">
      <c r="A5527">
        <f>IFERROR(INDEX('Email Cleaner'!$B$2:$B$10001,MATCH(5526,'Email Cleaner'!$J$2:$J$10001,0)),"")</f>
        <v/>
      </c>
    </row>
    <row r="5528">
      <c r="A5528">
        <f>IFERROR(INDEX('Email Cleaner'!$B$2:$B$10001,MATCH(5527,'Email Cleaner'!$J$2:$J$10001,0)),"")</f>
        <v/>
      </c>
    </row>
    <row r="5529">
      <c r="A5529">
        <f>IFERROR(INDEX('Email Cleaner'!$B$2:$B$10001,MATCH(5528,'Email Cleaner'!$J$2:$J$10001,0)),"")</f>
        <v/>
      </c>
    </row>
    <row r="5530">
      <c r="A5530">
        <f>IFERROR(INDEX('Email Cleaner'!$B$2:$B$10001,MATCH(5529,'Email Cleaner'!$J$2:$J$10001,0)),"")</f>
        <v/>
      </c>
    </row>
    <row r="5531">
      <c r="A5531">
        <f>IFERROR(INDEX('Email Cleaner'!$B$2:$B$10001,MATCH(5530,'Email Cleaner'!$J$2:$J$10001,0)),"")</f>
        <v/>
      </c>
    </row>
    <row r="5532">
      <c r="A5532">
        <f>IFERROR(INDEX('Email Cleaner'!$B$2:$B$10001,MATCH(5531,'Email Cleaner'!$J$2:$J$10001,0)),"")</f>
        <v/>
      </c>
    </row>
    <row r="5533">
      <c r="A5533">
        <f>IFERROR(INDEX('Email Cleaner'!$B$2:$B$10001,MATCH(5532,'Email Cleaner'!$J$2:$J$10001,0)),"")</f>
        <v/>
      </c>
    </row>
    <row r="5534">
      <c r="A5534">
        <f>IFERROR(INDEX('Email Cleaner'!$B$2:$B$10001,MATCH(5533,'Email Cleaner'!$J$2:$J$10001,0)),"")</f>
        <v/>
      </c>
    </row>
    <row r="5535">
      <c r="A5535">
        <f>IFERROR(INDEX('Email Cleaner'!$B$2:$B$10001,MATCH(5534,'Email Cleaner'!$J$2:$J$10001,0)),"")</f>
        <v/>
      </c>
    </row>
    <row r="5536">
      <c r="A5536">
        <f>IFERROR(INDEX('Email Cleaner'!$B$2:$B$10001,MATCH(5535,'Email Cleaner'!$J$2:$J$10001,0)),"")</f>
        <v/>
      </c>
    </row>
    <row r="5537">
      <c r="A5537">
        <f>IFERROR(INDEX('Email Cleaner'!$B$2:$B$10001,MATCH(5536,'Email Cleaner'!$J$2:$J$10001,0)),"")</f>
        <v/>
      </c>
    </row>
    <row r="5538">
      <c r="A5538">
        <f>IFERROR(INDEX('Email Cleaner'!$B$2:$B$10001,MATCH(5537,'Email Cleaner'!$J$2:$J$10001,0)),"")</f>
        <v/>
      </c>
    </row>
    <row r="5539">
      <c r="A5539">
        <f>IFERROR(INDEX('Email Cleaner'!$B$2:$B$10001,MATCH(5538,'Email Cleaner'!$J$2:$J$10001,0)),"")</f>
        <v/>
      </c>
    </row>
    <row r="5540">
      <c r="A5540">
        <f>IFERROR(INDEX('Email Cleaner'!$B$2:$B$10001,MATCH(5539,'Email Cleaner'!$J$2:$J$10001,0)),"")</f>
        <v/>
      </c>
    </row>
    <row r="5541">
      <c r="A5541">
        <f>IFERROR(INDEX('Email Cleaner'!$B$2:$B$10001,MATCH(5540,'Email Cleaner'!$J$2:$J$10001,0)),"")</f>
        <v/>
      </c>
    </row>
    <row r="5542">
      <c r="A5542">
        <f>IFERROR(INDEX('Email Cleaner'!$B$2:$B$10001,MATCH(5541,'Email Cleaner'!$J$2:$J$10001,0)),"")</f>
        <v/>
      </c>
    </row>
    <row r="5543">
      <c r="A5543">
        <f>IFERROR(INDEX('Email Cleaner'!$B$2:$B$10001,MATCH(5542,'Email Cleaner'!$J$2:$J$10001,0)),"")</f>
        <v/>
      </c>
    </row>
    <row r="5544">
      <c r="A5544">
        <f>IFERROR(INDEX('Email Cleaner'!$B$2:$B$10001,MATCH(5543,'Email Cleaner'!$J$2:$J$10001,0)),"")</f>
        <v/>
      </c>
    </row>
    <row r="5545">
      <c r="A5545">
        <f>IFERROR(INDEX('Email Cleaner'!$B$2:$B$10001,MATCH(5544,'Email Cleaner'!$J$2:$J$10001,0)),"")</f>
        <v/>
      </c>
    </row>
    <row r="5546">
      <c r="A5546">
        <f>IFERROR(INDEX('Email Cleaner'!$B$2:$B$10001,MATCH(5545,'Email Cleaner'!$J$2:$J$10001,0)),"")</f>
        <v/>
      </c>
    </row>
    <row r="5547">
      <c r="A5547">
        <f>IFERROR(INDEX('Email Cleaner'!$B$2:$B$10001,MATCH(5546,'Email Cleaner'!$J$2:$J$10001,0)),"")</f>
        <v/>
      </c>
    </row>
    <row r="5548">
      <c r="A5548">
        <f>IFERROR(INDEX('Email Cleaner'!$B$2:$B$10001,MATCH(5547,'Email Cleaner'!$J$2:$J$10001,0)),"")</f>
        <v/>
      </c>
    </row>
    <row r="5549">
      <c r="A5549">
        <f>IFERROR(INDEX('Email Cleaner'!$B$2:$B$10001,MATCH(5548,'Email Cleaner'!$J$2:$J$10001,0)),"")</f>
        <v/>
      </c>
    </row>
    <row r="5550">
      <c r="A5550">
        <f>IFERROR(INDEX('Email Cleaner'!$B$2:$B$10001,MATCH(5549,'Email Cleaner'!$J$2:$J$10001,0)),"")</f>
        <v/>
      </c>
    </row>
    <row r="5551">
      <c r="A5551">
        <f>IFERROR(INDEX('Email Cleaner'!$B$2:$B$10001,MATCH(5550,'Email Cleaner'!$J$2:$J$10001,0)),"")</f>
        <v/>
      </c>
    </row>
    <row r="5552">
      <c r="A5552">
        <f>IFERROR(INDEX('Email Cleaner'!$B$2:$B$10001,MATCH(5551,'Email Cleaner'!$J$2:$J$10001,0)),"")</f>
        <v/>
      </c>
    </row>
    <row r="5553">
      <c r="A5553">
        <f>IFERROR(INDEX('Email Cleaner'!$B$2:$B$10001,MATCH(5552,'Email Cleaner'!$J$2:$J$10001,0)),"")</f>
        <v/>
      </c>
    </row>
    <row r="5554">
      <c r="A5554">
        <f>IFERROR(INDEX('Email Cleaner'!$B$2:$B$10001,MATCH(5553,'Email Cleaner'!$J$2:$J$10001,0)),"")</f>
        <v/>
      </c>
    </row>
    <row r="5555">
      <c r="A5555">
        <f>IFERROR(INDEX('Email Cleaner'!$B$2:$B$10001,MATCH(5554,'Email Cleaner'!$J$2:$J$10001,0)),"")</f>
        <v/>
      </c>
    </row>
    <row r="5556">
      <c r="A5556">
        <f>IFERROR(INDEX('Email Cleaner'!$B$2:$B$10001,MATCH(5555,'Email Cleaner'!$J$2:$J$10001,0)),"")</f>
        <v/>
      </c>
    </row>
    <row r="5557">
      <c r="A5557">
        <f>IFERROR(INDEX('Email Cleaner'!$B$2:$B$10001,MATCH(5556,'Email Cleaner'!$J$2:$J$10001,0)),"")</f>
        <v/>
      </c>
    </row>
    <row r="5558">
      <c r="A5558">
        <f>IFERROR(INDEX('Email Cleaner'!$B$2:$B$10001,MATCH(5557,'Email Cleaner'!$J$2:$J$10001,0)),"")</f>
        <v/>
      </c>
    </row>
    <row r="5559">
      <c r="A5559">
        <f>IFERROR(INDEX('Email Cleaner'!$B$2:$B$10001,MATCH(5558,'Email Cleaner'!$J$2:$J$10001,0)),"")</f>
        <v/>
      </c>
    </row>
    <row r="5560">
      <c r="A5560">
        <f>IFERROR(INDEX('Email Cleaner'!$B$2:$B$10001,MATCH(5559,'Email Cleaner'!$J$2:$J$10001,0)),"")</f>
        <v/>
      </c>
    </row>
    <row r="5561">
      <c r="A5561">
        <f>IFERROR(INDEX('Email Cleaner'!$B$2:$B$10001,MATCH(5560,'Email Cleaner'!$J$2:$J$10001,0)),"")</f>
        <v/>
      </c>
    </row>
    <row r="5562">
      <c r="A5562">
        <f>IFERROR(INDEX('Email Cleaner'!$B$2:$B$10001,MATCH(5561,'Email Cleaner'!$J$2:$J$10001,0)),"")</f>
        <v/>
      </c>
    </row>
    <row r="5563">
      <c r="A5563">
        <f>IFERROR(INDEX('Email Cleaner'!$B$2:$B$10001,MATCH(5562,'Email Cleaner'!$J$2:$J$10001,0)),"")</f>
        <v/>
      </c>
    </row>
    <row r="5564">
      <c r="A5564">
        <f>IFERROR(INDEX('Email Cleaner'!$B$2:$B$10001,MATCH(5563,'Email Cleaner'!$J$2:$J$10001,0)),"")</f>
        <v/>
      </c>
    </row>
    <row r="5565">
      <c r="A5565">
        <f>IFERROR(INDEX('Email Cleaner'!$B$2:$B$10001,MATCH(5564,'Email Cleaner'!$J$2:$J$10001,0)),"")</f>
        <v/>
      </c>
    </row>
    <row r="5566">
      <c r="A5566">
        <f>IFERROR(INDEX('Email Cleaner'!$B$2:$B$10001,MATCH(5565,'Email Cleaner'!$J$2:$J$10001,0)),"")</f>
        <v/>
      </c>
    </row>
    <row r="5567">
      <c r="A5567">
        <f>IFERROR(INDEX('Email Cleaner'!$B$2:$B$10001,MATCH(5566,'Email Cleaner'!$J$2:$J$10001,0)),"")</f>
        <v/>
      </c>
    </row>
    <row r="5568">
      <c r="A5568">
        <f>IFERROR(INDEX('Email Cleaner'!$B$2:$B$10001,MATCH(5567,'Email Cleaner'!$J$2:$J$10001,0)),"")</f>
        <v/>
      </c>
    </row>
    <row r="5569">
      <c r="A5569">
        <f>IFERROR(INDEX('Email Cleaner'!$B$2:$B$10001,MATCH(5568,'Email Cleaner'!$J$2:$J$10001,0)),"")</f>
        <v/>
      </c>
    </row>
    <row r="5570">
      <c r="A5570">
        <f>IFERROR(INDEX('Email Cleaner'!$B$2:$B$10001,MATCH(5569,'Email Cleaner'!$J$2:$J$10001,0)),"")</f>
        <v/>
      </c>
    </row>
    <row r="5571">
      <c r="A5571">
        <f>IFERROR(INDEX('Email Cleaner'!$B$2:$B$10001,MATCH(5570,'Email Cleaner'!$J$2:$J$10001,0)),"")</f>
        <v/>
      </c>
    </row>
    <row r="5572">
      <c r="A5572">
        <f>IFERROR(INDEX('Email Cleaner'!$B$2:$B$10001,MATCH(5571,'Email Cleaner'!$J$2:$J$10001,0)),"")</f>
        <v/>
      </c>
    </row>
    <row r="5573">
      <c r="A5573">
        <f>IFERROR(INDEX('Email Cleaner'!$B$2:$B$10001,MATCH(5572,'Email Cleaner'!$J$2:$J$10001,0)),"")</f>
        <v/>
      </c>
    </row>
    <row r="5574">
      <c r="A5574">
        <f>IFERROR(INDEX('Email Cleaner'!$B$2:$B$10001,MATCH(5573,'Email Cleaner'!$J$2:$J$10001,0)),"")</f>
        <v/>
      </c>
    </row>
    <row r="5575">
      <c r="A5575">
        <f>IFERROR(INDEX('Email Cleaner'!$B$2:$B$10001,MATCH(5574,'Email Cleaner'!$J$2:$J$10001,0)),"")</f>
        <v/>
      </c>
    </row>
    <row r="5576">
      <c r="A5576">
        <f>IFERROR(INDEX('Email Cleaner'!$B$2:$B$10001,MATCH(5575,'Email Cleaner'!$J$2:$J$10001,0)),"")</f>
        <v/>
      </c>
    </row>
    <row r="5577">
      <c r="A5577">
        <f>IFERROR(INDEX('Email Cleaner'!$B$2:$B$10001,MATCH(5576,'Email Cleaner'!$J$2:$J$10001,0)),"")</f>
        <v/>
      </c>
    </row>
    <row r="5578">
      <c r="A5578">
        <f>IFERROR(INDEX('Email Cleaner'!$B$2:$B$10001,MATCH(5577,'Email Cleaner'!$J$2:$J$10001,0)),"")</f>
        <v/>
      </c>
    </row>
    <row r="5579">
      <c r="A5579">
        <f>IFERROR(INDEX('Email Cleaner'!$B$2:$B$10001,MATCH(5578,'Email Cleaner'!$J$2:$J$10001,0)),"")</f>
        <v/>
      </c>
    </row>
    <row r="5580">
      <c r="A5580">
        <f>IFERROR(INDEX('Email Cleaner'!$B$2:$B$10001,MATCH(5579,'Email Cleaner'!$J$2:$J$10001,0)),"")</f>
        <v/>
      </c>
    </row>
    <row r="5581">
      <c r="A5581">
        <f>IFERROR(INDEX('Email Cleaner'!$B$2:$B$10001,MATCH(5580,'Email Cleaner'!$J$2:$J$10001,0)),"")</f>
        <v/>
      </c>
    </row>
    <row r="5582">
      <c r="A5582">
        <f>IFERROR(INDEX('Email Cleaner'!$B$2:$B$10001,MATCH(5581,'Email Cleaner'!$J$2:$J$10001,0)),"")</f>
        <v/>
      </c>
    </row>
    <row r="5583">
      <c r="A5583">
        <f>IFERROR(INDEX('Email Cleaner'!$B$2:$B$10001,MATCH(5582,'Email Cleaner'!$J$2:$J$10001,0)),"")</f>
        <v/>
      </c>
    </row>
    <row r="5584">
      <c r="A5584">
        <f>IFERROR(INDEX('Email Cleaner'!$B$2:$B$10001,MATCH(5583,'Email Cleaner'!$J$2:$J$10001,0)),"")</f>
        <v/>
      </c>
    </row>
    <row r="5585">
      <c r="A5585">
        <f>IFERROR(INDEX('Email Cleaner'!$B$2:$B$10001,MATCH(5584,'Email Cleaner'!$J$2:$J$10001,0)),"")</f>
        <v/>
      </c>
    </row>
    <row r="5586">
      <c r="A5586">
        <f>IFERROR(INDEX('Email Cleaner'!$B$2:$B$10001,MATCH(5585,'Email Cleaner'!$J$2:$J$10001,0)),"")</f>
        <v/>
      </c>
    </row>
    <row r="5587">
      <c r="A5587">
        <f>IFERROR(INDEX('Email Cleaner'!$B$2:$B$10001,MATCH(5586,'Email Cleaner'!$J$2:$J$10001,0)),"")</f>
        <v/>
      </c>
    </row>
    <row r="5588">
      <c r="A5588">
        <f>IFERROR(INDEX('Email Cleaner'!$B$2:$B$10001,MATCH(5587,'Email Cleaner'!$J$2:$J$10001,0)),"")</f>
        <v/>
      </c>
    </row>
    <row r="5589">
      <c r="A5589">
        <f>IFERROR(INDEX('Email Cleaner'!$B$2:$B$10001,MATCH(5588,'Email Cleaner'!$J$2:$J$10001,0)),"")</f>
        <v/>
      </c>
    </row>
    <row r="5590">
      <c r="A5590">
        <f>IFERROR(INDEX('Email Cleaner'!$B$2:$B$10001,MATCH(5589,'Email Cleaner'!$J$2:$J$10001,0)),"")</f>
        <v/>
      </c>
    </row>
    <row r="5591">
      <c r="A5591">
        <f>IFERROR(INDEX('Email Cleaner'!$B$2:$B$10001,MATCH(5590,'Email Cleaner'!$J$2:$J$10001,0)),"")</f>
        <v/>
      </c>
    </row>
    <row r="5592">
      <c r="A5592">
        <f>IFERROR(INDEX('Email Cleaner'!$B$2:$B$10001,MATCH(5591,'Email Cleaner'!$J$2:$J$10001,0)),"")</f>
        <v/>
      </c>
    </row>
    <row r="5593">
      <c r="A5593">
        <f>IFERROR(INDEX('Email Cleaner'!$B$2:$B$10001,MATCH(5592,'Email Cleaner'!$J$2:$J$10001,0)),"")</f>
        <v/>
      </c>
    </row>
    <row r="5594">
      <c r="A5594">
        <f>IFERROR(INDEX('Email Cleaner'!$B$2:$B$10001,MATCH(5593,'Email Cleaner'!$J$2:$J$10001,0)),"")</f>
        <v/>
      </c>
    </row>
    <row r="5595">
      <c r="A5595">
        <f>IFERROR(INDEX('Email Cleaner'!$B$2:$B$10001,MATCH(5594,'Email Cleaner'!$J$2:$J$10001,0)),"")</f>
        <v/>
      </c>
    </row>
    <row r="5596">
      <c r="A5596">
        <f>IFERROR(INDEX('Email Cleaner'!$B$2:$B$10001,MATCH(5595,'Email Cleaner'!$J$2:$J$10001,0)),"")</f>
        <v/>
      </c>
    </row>
    <row r="5597">
      <c r="A5597">
        <f>IFERROR(INDEX('Email Cleaner'!$B$2:$B$10001,MATCH(5596,'Email Cleaner'!$J$2:$J$10001,0)),"")</f>
        <v/>
      </c>
    </row>
    <row r="5598">
      <c r="A5598">
        <f>IFERROR(INDEX('Email Cleaner'!$B$2:$B$10001,MATCH(5597,'Email Cleaner'!$J$2:$J$10001,0)),"")</f>
        <v/>
      </c>
    </row>
    <row r="5599">
      <c r="A5599">
        <f>IFERROR(INDEX('Email Cleaner'!$B$2:$B$10001,MATCH(5598,'Email Cleaner'!$J$2:$J$10001,0)),"")</f>
        <v/>
      </c>
    </row>
    <row r="5600">
      <c r="A5600">
        <f>IFERROR(INDEX('Email Cleaner'!$B$2:$B$10001,MATCH(5599,'Email Cleaner'!$J$2:$J$10001,0)),"")</f>
        <v/>
      </c>
    </row>
    <row r="5601">
      <c r="A5601">
        <f>IFERROR(INDEX('Email Cleaner'!$B$2:$B$10001,MATCH(5600,'Email Cleaner'!$J$2:$J$10001,0)),"")</f>
        <v/>
      </c>
    </row>
    <row r="5602">
      <c r="A5602">
        <f>IFERROR(INDEX('Email Cleaner'!$B$2:$B$10001,MATCH(5601,'Email Cleaner'!$J$2:$J$10001,0)),"")</f>
        <v/>
      </c>
    </row>
    <row r="5603">
      <c r="A5603">
        <f>IFERROR(INDEX('Email Cleaner'!$B$2:$B$10001,MATCH(5602,'Email Cleaner'!$J$2:$J$10001,0)),"")</f>
        <v/>
      </c>
    </row>
    <row r="5604">
      <c r="A5604">
        <f>IFERROR(INDEX('Email Cleaner'!$B$2:$B$10001,MATCH(5603,'Email Cleaner'!$J$2:$J$10001,0)),"")</f>
        <v/>
      </c>
    </row>
    <row r="5605">
      <c r="A5605">
        <f>IFERROR(INDEX('Email Cleaner'!$B$2:$B$10001,MATCH(5604,'Email Cleaner'!$J$2:$J$10001,0)),"")</f>
        <v/>
      </c>
    </row>
    <row r="5606">
      <c r="A5606">
        <f>IFERROR(INDEX('Email Cleaner'!$B$2:$B$10001,MATCH(5605,'Email Cleaner'!$J$2:$J$10001,0)),"")</f>
        <v/>
      </c>
    </row>
    <row r="5607">
      <c r="A5607">
        <f>IFERROR(INDEX('Email Cleaner'!$B$2:$B$10001,MATCH(5606,'Email Cleaner'!$J$2:$J$10001,0)),"")</f>
        <v/>
      </c>
    </row>
    <row r="5608">
      <c r="A5608">
        <f>IFERROR(INDEX('Email Cleaner'!$B$2:$B$10001,MATCH(5607,'Email Cleaner'!$J$2:$J$10001,0)),"")</f>
        <v/>
      </c>
    </row>
    <row r="5609">
      <c r="A5609">
        <f>IFERROR(INDEX('Email Cleaner'!$B$2:$B$10001,MATCH(5608,'Email Cleaner'!$J$2:$J$10001,0)),"")</f>
        <v/>
      </c>
    </row>
    <row r="5610">
      <c r="A5610">
        <f>IFERROR(INDEX('Email Cleaner'!$B$2:$B$10001,MATCH(5609,'Email Cleaner'!$J$2:$J$10001,0)),"")</f>
        <v/>
      </c>
    </row>
    <row r="5611">
      <c r="A5611">
        <f>IFERROR(INDEX('Email Cleaner'!$B$2:$B$10001,MATCH(5610,'Email Cleaner'!$J$2:$J$10001,0)),"")</f>
        <v/>
      </c>
    </row>
    <row r="5612">
      <c r="A5612">
        <f>IFERROR(INDEX('Email Cleaner'!$B$2:$B$10001,MATCH(5611,'Email Cleaner'!$J$2:$J$10001,0)),"")</f>
        <v/>
      </c>
    </row>
    <row r="5613">
      <c r="A5613">
        <f>IFERROR(INDEX('Email Cleaner'!$B$2:$B$10001,MATCH(5612,'Email Cleaner'!$J$2:$J$10001,0)),"")</f>
        <v/>
      </c>
    </row>
    <row r="5614">
      <c r="A5614">
        <f>IFERROR(INDEX('Email Cleaner'!$B$2:$B$10001,MATCH(5613,'Email Cleaner'!$J$2:$J$10001,0)),"")</f>
        <v/>
      </c>
    </row>
    <row r="5615">
      <c r="A5615">
        <f>IFERROR(INDEX('Email Cleaner'!$B$2:$B$10001,MATCH(5614,'Email Cleaner'!$J$2:$J$10001,0)),"")</f>
        <v/>
      </c>
    </row>
    <row r="5616">
      <c r="A5616">
        <f>IFERROR(INDEX('Email Cleaner'!$B$2:$B$10001,MATCH(5615,'Email Cleaner'!$J$2:$J$10001,0)),"")</f>
        <v/>
      </c>
    </row>
    <row r="5617">
      <c r="A5617">
        <f>IFERROR(INDEX('Email Cleaner'!$B$2:$B$10001,MATCH(5616,'Email Cleaner'!$J$2:$J$10001,0)),"")</f>
        <v/>
      </c>
    </row>
    <row r="5618">
      <c r="A5618">
        <f>IFERROR(INDEX('Email Cleaner'!$B$2:$B$10001,MATCH(5617,'Email Cleaner'!$J$2:$J$10001,0)),"")</f>
        <v/>
      </c>
    </row>
    <row r="5619">
      <c r="A5619">
        <f>IFERROR(INDEX('Email Cleaner'!$B$2:$B$10001,MATCH(5618,'Email Cleaner'!$J$2:$J$10001,0)),"")</f>
        <v/>
      </c>
    </row>
    <row r="5620">
      <c r="A5620">
        <f>IFERROR(INDEX('Email Cleaner'!$B$2:$B$10001,MATCH(5619,'Email Cleaner'!$J$2:$J$10001,0)),"")</f>
        <v/>
      </c>
    </row>
    <row r="5621">
      <c r="A5621">
        <f>IFERROR(INDEX('Email Cleaner'!$B$2:$B$10001,MATCH(5620,'Email Cleaner'!$J$2:$J$10001,0)),"")</f>
        <v/>
      </c>
    </row>
    <row r="5622">
      <c r="A5622">
        <f>IFERROR(INDEX('Email Cleaner'!$B$2:$B$10001,MATCH(5621,'Email Cleaner'!$J$2:$J$10001,0)),"")</f>
        <v/>
      </c>
    </row>
    <row r="5623">
      <c r="A5623">
        <f>IFERROR(INDEX('Email Cleaner'!$B$2:$B$10001,MATCH(5622,'Email Cleaner'!$J$2:$J$10001,0)),"")</f>
        <v/>
      </c>
    </row>
    <row r="5624">
      <c r="A5624">
        <f>IFERROR(INDEX('Email Cleaner'!$B$2:$B$10001,MATCH(5623,'Email Cleaner'!$J$2:$J$10001,0)),"")</f>
        <v/>
      </c>
    </row>
    <row r="5625">
      <c r="A5625">
        <f>IFERROR(INDEX('Email Cleaner'!$B$2:$B$10001,MATCH(5624,'Email Cleaner'!$J$2:$J$10001,0)),"")</f>
        <v/>
      </c>
    </row>
    <row r="5626">
      <c r="A5626">
        <f>IFERROR(INDEX('Email Cleaner'!$B$2:$B$10001,MATCH(5625,'Email Cleaner'!$J$2:$J$10001,0)),"")</f>
        <v/>
      </c>
    </row>
    <row r="5627">
      <c r="A5627">
        <f>IFERROR(INDEX('Email Cleaner'!$B$2:$B$10001,MATCH(5626,'Email Cleaner'!$J$2:$J$10001,0)),"")</f>
        <v/>
      </c>
    </row>
    <row r="5628">
      <c r="A5628">
        <f>IFERROR(INDEX('Email Cleaner'!$B$2:$B$10001,MATCH(5627,'Email Cleaner'!$J$2:$J$10001,0)),"")</f>
        <v/>
      </c>
    </row>
    <row r="5629">
      <c r="A5629">
        <f>IFERROR(INDEX('Email Cleaner'!$B$2:$B$10001,MATCH(5628,'Email Cleaner'!$J$2:$J$10001,0)),"")</f>
        <v/>
      </c>
    </row>
    <row r="5630">
      <c r="A5630">
        <f>IFERROR(INDEX('Email Cleaner'!$B$2:$B$10001,MATCH(5629,'Email Cleaner'!$J$2:$J$10001,0)),"")</f>
        <v/>
      </c>
    </row>
    <row r="5631">
      <c r="A5631">
        <f>IFERROR(INDEX('Email Cleaner'!$B$2:$B$10001,MATCH(5630,'Email Cleaner'!$J$2:$J$10001,0)),"")</f>
        <v/>
      </c>
    </row>
    <row r="5632">
      <c r="A5632">
        <f>IFERROR(INDEX('Email Cleaner'!$B$2:$B$10001,MATCH(5631,'Email Cleaner'!$J$2:$J$10001,0)),"")</f>
        <v/>
      </c>
    </row>
    <row r="5633">
      <c r="A5633">
        <f>IFERROR(INDEX('Email Cleaner'!$B$2:$B$10001,MATCH(5632,'Email Cleaner'!$J$2:$J$10001,0)),"")</f>
        <v/>
      </c>
    </row>
    <row r="5634">
      <c r="A5634">
        <f>IFERROR(INDEX('Email Cleaner'!$B$2:$B$10001,MATCH(5633,'Email Cleaner'!$J$2:$J$10001,0)),"")</f>
        <v/>
      </c>
    </row>
    <row r="5635">
      <c r="A5635">
        <f>IFERROR(INDEX('Email Cleaner'!$B$2:$B$10001,MATCH(5634,'Email Cleaner'!$J$2:$J$10001,0)),"")</f>
        <v/>
      </c>
    </row>
    <row r="5636">
      <c r="A5636">
        <f>IFERROR(INDEX('Email Cleaner'!$B$2:$B$10001,MATCH(5635,'Email Cleaner'!$J$2:$J$10001,0)),"")</f>
        <v/>
      </c>
    </row>
    <row r="5637">
      <c r="A5637">
        <f>IFERROR(INDEX('Email Cleaner'!$B$2:$B$10001,MATCH(5636,'Email Cleaner'!$J$2:$J$10001,0)),"")</f>
        <v/>
      </c>
    </row>
    <row r="5638">
      <c r="A5638">
        <f>IFERROR(INDEX('Email Cleaner'!$B$2:$B$10001,MATCH(5637,'Email Cleaner'!$J$2:$J$10001,0)),"")</f>
        <v/>
      </c>
    </row>
    <row r="5639">
      <c r="A5639">
        <f>IFERROR(INDEX('Email Cleaner'!$B$2:$B$10001,MATCH(5638,'Email Cleaner'!$J$2:$J$10001,0)),"")</f>
        <v/>
      </c>
    </row>
    <row r="5640">
      <c r="A5640">
        <f>IFERROR(INDEX('Email Cleaner'!$B$2:$B$10001,MATCH(5639,'Email Cleaner'!$J$2:$J$10001,0)),"")</f>
        <v/>
      </c>
    </row>
    <row r="5641">
      <c r="A5641">
        <f>IFERROR(INDEX('Email Cleaner'!$B$2:$B$10001,MATCH(5640,'Email Cleaner'!$J$2:$J$10001,0)),"")</f>
        <v/>
      </c>
    </row>
    <row r="5642">
      <c r="A5642">
        <f>IFERROR(INDEX('Email Cleaner'!$B$2:$B$10001,MATCH(5641,'Email Cleaner'!$J$2:$J$10001,0)),"")</f>
        <v/>
      </c>
    </row>
    <row r="5643">
      <c r="A5643">
        <f>IFERROR(INDEX('Email Cleaner'!$B$2:$B$10001,MATCH(5642,'Email Cleaner'!$J$2:$J$10001,0)),"")</f>
        <v/>
      </c>
    </row>
    <row r="5644">
      <c r="A5644">
        <f>IFERROR(INDEX('Email Cleaner'!$B$2:$B$10001,MATCH(5643,'Email Cleaner'!$J$2:$J$10001,0)),"")</f>
        <v/>
      </c>
    </row>
    <row r="5645">
      <c r="A5645">
        <f>IFERROR(INDEX('Email Cleaner'!$B$2:$B$10001,MATCH(5644,'Email Cleaner'!$J$2:$J$10001,0)),"")</f>
        <v/>
      </c>
    </row>
    <row r="5646">
      <c r="A5646">
        <f>IFERROR(INDEX('Email Cleaner'!$B$2:$B$10001,MATCH(5645,'Email Cleaner'!$J$2:$J$10001,0)),"")</f>
        <v/>
      </c>
    </row>
    <row r="5647">
      <c r="A5647">
        <f>IFERROR(INDEX('Email Cleaner'!$B$2:$B$10001,MATCH(5646,'Email Cleaner'!$J$2:$J$10001,0)),"")</f>
        <v/>
      </c>
    </row>
    <row r="5648">
      <c r="A5648">
        <f>IFERROR(INDEX('Email Cleaner'!$B$2:$B$10001,MATCH(5647,'Email Cleaner'!$J$2:$J$10001,0)),"")</f>
        <v/>
      </c>
    </row>
    <row r="5649">
      <c r="A5649">
        <f>IFERROR(INDEX('Email Cleaner'!$B$2:$B$10001,MATCH(5648,'Email Cleaner'!$J$2:$J$10001,0)),"")</f>
        <v/>
      </c>
    </row>
    <row r="5650">
      <c r="A5650">
        <f>IFERROR(INDEX('Email Cleaner'!$B$2:$B$10001,MATCH(5649,'Email Cleaner'!$J$2:$J$10001,0)),"")</f>
        <v/>
      </c>
    </row>
    <row r="5651">
      <c r="A5651">
        <f>IFERROR(INDEX('Email Cleaner'!$B$2:$B$10001,MATCH(5650,'Email Cleaner'!$J$2:$J$10001,0)),"")</f>
        <v/>
      </c>
    </row>
    <row r="5652">
      <c r="A5652">
        <f>IFERROR(INDEX('Email Cleaner'!$B$2:$B$10001,MATCH(5651,'Email Cleaner'!$J$2:$J$10001,0)),"")</f>
        <v/>
      </c>
    </row>
    <row r="5653">
      <c r="A5653">
        <f>IFERROR(INDEX('Email Cleaner'!$B$2:$B$10001,MATCH(5652,'Email Cleaner'!$J$2:$J$10001,0)),"")</f>
        <v/>
      </c>
    </row>
    <row r="5654">
      <c r="A5654">
        <f>IFERROR(INDEX('Email Cleaner'!$B$2:$B$10001,MATCH(5653,'Email Cleaner'!$J$2:$J$10001,0)),"")</f>
        <v/>
      </c>
    </row>
    <row r="5655">
      <c r="A5655">
        <f>IFERROR(INDEX('Email Cleaner'!$B$2:$B$10001,MATCH(5654,'Email Cleaner'!$J$2:$J$10001,0)),"")</f>
        <v/>
      </c>
    </row>
    <row r="5656">
      <c r="A5656">
        <f>IFERROR(INDEX('Email Cleaner'!$B$2:$B$10001,MATCH(5655,'Email Cleaner'!$J$2:$J$10001,0)),"")</f>
        <v/>
      </c>
    </row>
    <row r="5657">
      <c r="A5657">
        <f>IFERROR(INDEX('Email Cleaner'!$B$2:$B$10001,MATCH(5656,'Email Cleaner'!$J$2:$J$10001,0)),"")</f>
        <v/>
      </c>
    </row>
    <row r="5658">
      <c r="A5658">
        <f>IFERROR(INDEX('Email Cleaner'!$B$2:$B$10001,MATCH(5657,'Email Cleaner'!$J$2:$J$10001,0)),"")</f>
        <v/>
      </c>
    </row>
    <row r="5659">
      <c r="A5659">
        <f>IFERROR(INDEX('Email Cleaner'!$B$2:$B$10001,MATCH(5658,'Email Cleaner'!$J$2:$J$10001,0)),"")</f>
        <v/>
      </c>
    </row>
    <row r="5660">
      <c r="A5660">
        <f>IFERROR(INDEX('Email Cleaner'!$B$2:$B$10001,MATCH(5659,'Email Cleaner'!$J$2:$J$10001,0)),"")</f>
        <v/>
      </c>
    </row>
    <row r="5661">
      <c r="A5661">
        <f>IFERROR(INDEX('Email Cleaner'!$B$2:$B$10001,MATCH(5660,'Email Cleaner'!$J$2:$J$10001,0)),"")</f>
        <v/>
      </c>
    </row>
    <row r="5662">
      <c r="A5662">
        <f>IFERROR(INDEX('Email Cleaner'!$B$2:$B$10001,MATCH(5661,'Email Cleaner'!$J$2:$J$10001,0)),"")</f>
        <v/>
      </c>
    </row>
    <row r="5663">
      <c r="A5663">
        <f>IFERROR(INDEX('Email Cleaner'!$B$2:$B$10001,MATCH(5662,'Email Cleaner'!$J$2:$J$10001,0)),"")</f>
        <v/>
      </c>
    </row>
    <row r="5664">
      <c r="A5664">
        <f>IFERROR(INDEX('Email Cleaner'!$B$2:$B$10001,MATCH(5663,'Email Cleaner'!$J$2:$J$10001,0)),"")</f>
        <v/>
      </c>
    </row>
    <row r="5665">
      <c r="A5665">
        <f>IFERROR(INDEX('Email Cleaner'!$B$2:$B$10001,MATCH(5664,'Email Cleaner'!$J$2:$J$10001,0)),"")</f>
        <v/>
      </c>
    </row>
    <row r="5666">
      <c r="A5666">
        <f>IFERROR(INDEX('Email Cleaner'!$B$2:$B$10001,MATCH(5665,'Email Cleaner'!$J$2:$J$10001,0)),"")</f>
        <v/>
      </c>
    </row>
    <row r="5667">
      <c r="A5667">
        <f>IFERROR(INDEX('Email Cleaner'!$B$2:$B$10001,MATCH(5666,'Email Cleaner'!$J$2:$J$10001,0)),"")</f>
        <v/>
      </c>
    </row>
    <row r="5668">
      <c r="A5668">
        <f>IFERROR(INDEX('Email Cleaner'!$B$2:$B$10001,MATCH(5667,'Email Cleaner'!$J$2:$J$10001,0)),"")</f>
        <v/>
      </c>
    </row>
    <row r="5669">
      <c r="A5669">
        <f>IFERROR(INDEX('Email Cleaner'!$B$2:$B$10001,MATCH(5668,'Email Cleaner'!$J$2:$J$10001,0)),"")</f>
        <v/>
      </c>
    </row>
    <row r="5670">
      <c r="A5670">
        <f>IFERROR(INDEX('Email Cleaner'!$B$2:$B$10001,MATCH(5669,'Email Cleaner'!$J$2:$J$10001,0)),"")</f>
        <v/>
      </c>
    </row>
    <row r="5671">
      <c r="A5671">
        <f>IFERROR(INDEX('Email Cleaner'!$B$2:$B$10001,MATCH(5670,'Email Cleaner'!$J$2:$J$10001,0)),"")</f>
        <v/>
      </c>
    </row>
    <row r="5672">
      <c r="A5672">
        <f>IFERROR(INDEX('Email Cleaner'!$B$2:$B$10001,MATCH(5671,'Email Cleaner'!$J$2:$J$10001,0)),"")</f>
        <v/>
      </c>
    </row>
    <row r="5673">
      <c r="A5673">
        <f>IFERROR(INDEX('Email Cleaner'!$B$2:$B$10001,MATCH(5672,'Email Cleaner'!$J$2:$J$10001,0)),"")</f>
        <v/>
      </c>
    </row>
    <row r="5674">
      <c r="A5674">
        <f>IFERROR(INDEX('Email Cleaner'!$B$2:$B$10001,MATCH(5673,'Email Cleaner'!$J$2:$J$10001,0)),"")</f>
        <v/>
      </c>
    </row>
    <row r="5675">
      <c r="A5675">
        <f>IFERROR(INDEX('Email Cleaner'!$B$2:$B$10001,MATCH(5674,'Email Cleaner'!$J$2:$J$10001,0)),"")</f>
        <v/>
      </c>
    </row>
    <row r="5676">
      <c r="A5676">
        <f>IFERROR(INDEX('Email Cleaner'!$B$2:$B$10001,MATCH(5675,'Email Cleaner'!$J$2:$J$10001,0)),"")</f>
        <v/>
      </c>
    </row>
    <row r="5677">
      <c r="A5677">
        <f>IFERROR(INDEX('Email Cleaner'!$B$2:$B$10001,MATCH(5676,'Email Cleaner'!$J$2:$J$10001,0)),"")</f>
        <v/>
      </c>
    </row>
    <row r="5678">
      <c r="A5678">
        <f>IFERROR(INDEX('Email Cleaner'!$B$2:$B$10001,MATCH(5677,'Email Cleaner'!$J$2:$J$10001,0)),"")</f>
        <v/>
      </c>
    </row>
    <row r="5679">
      <c r="A5679">
        <f>IFERROR(INDEX('Email Cleaner'!$B$2:$B$10001,MATCH(5678,'Email Cleaner'!$J$2:$J$10001,0)),"")</f>
        <v/>
      </c>
    </row>
    <row r="5680">
      <c r="A5680">
        <f>IFERROR(INDEX('Email Cleaner'!$B$2:$B$10001,MATCH(5679,'Email Cleaner'!$J$2:$J$10001,0)),"")</f>
        <v/>
      </c>
    </row>
    <row r="5681">
      <c r="A5681">
        <f>IFERROR(INDEX('Email Cleaner'!$B$2:$B$10001,MATCH(5680,'Email Cleaner'!$J$2:$J$10001,0)),"")</f>
        <v/>
      </c>
    </row>
    <row r="5682">
      <c r="A5682">
        <f>IFERROR(INDEX('Email Cleaner'!$B$2:$B$10001,MATCH(5681,'Email Cleaner'!$J$2:$J$10001,0)),"")</f>
        <v/>
      </c>
    </row>
    <row r="5683">
      <c r="A5683">
        <f>IFERROR(INDEX('Email Cleaner'!$B$2:$B$10001,MATCH(5682,'Email Cleaner'!$J$2:$J$10001,0)),"")</f>
        <v/>
      </c>
    </row>
    <row r="5684">
      <c r="A5684">
        <f>IFERROR(INDEX('Email Cleaner'!$B$2:$B$10001,MATCH(5683,'Email Cleaner'!$J$2:$J$10001,0)),"")</f>
        <v/>
      </c>
    </row>
    <row r="5685">
      <c r="A5685">
        <f>IFERROR(INDEX('Email Cleaner'!$B$2:$B$10001,MATCH(5684,'Email Cleaner'!$J$2:$J$10001,0)),"")</f>
        <v/>
      </c>
    </row>
    <row r="5686">
      <c r="A5686">
        <f>IFERROR(INDEX('Email Cleaner'!$B$2:$B$10001,MATCH(5685,'Email Cleaner'!$J$2:$J$10001,0)),"")</f>
        <v/>
      </c>
    </row>
    <row r="5687">
      <c r="A5687">
        <f>IFERROR(INDEX('Email Cleaner'!$B$2:$B$10001,MATCH(5686,'Email Cleaner'!$J$2:$J$10001,0)),"")</f>
        <v/>
      </c>
    </row>
    <row r="5688">
      <c r="A5688">
        <f>IFERROR(INDEX('Email Cleaner'!$B$2:$B$10001,MATCH(5687,'Email Cleaner'!$J$2:$J$10001,0)),"")</f>
        <v/>
      </c>
    </row>
    <row r="5689">
      <c r="A5689">
        <f>IFERROR(INDEX('Email Cleaner'!$B$2:$B$10001,MATCH(5688,'Email Cleaner'!$J$2:$J$10001,0)),"")</f>
        <v/>
      </c>
    </row>
    <row r="5690">
      <c r="A5690">
        <f>IFERROR(INDEX('Email Cleaner'!$B$2:$B$10001,MATCH(5689,'Email Cleaner'!$J$2:$J$10001,0)),"")</f>
        <v/>
      </c>
    </row>
    <row r="5691">
      <c r="A5691">
        <f>IFERROR(INDEX('Email Cleaner'!$B$2:$B$10001,MATCH(5690,'Email Cleaner'!$J$2:$J$10001,0)),"")</f>
        <v/>
      </c>
    </row>
    <row r="5692">
      <c r="A5692">
        <f>IFERROR(INDEX('Email Cleaner'!$B$2:$B$10001,MATCH(5691,'Email Cleaner'!$J$2:$J$10001,0)),"")</f>
        <v/>
      </c>
    </row>
    <row r="5693">
      <c r="A5693">
        <f>IFERROR(INDEX('Email Cleaner'!$B$2:$B$10001,MATCH(5692,'Email Cleaner'!$J$2:$J$10001,0)),"")</f>
        <v/>
      </c>
    </row>
    <row r="5694">
      <c r="A5694">
        <f>IFERROR(INDEX('Email Cleaner'!$B$2:$B$10001,MATCH(5693,'Email Cleaner'!$J$2:$J$10001,0)),"")</f>
        <v/>
      </c>
    </row>
    <row r="5695">
      <c r="A5695">
        <f>IFERROR(INDEX('Email Cleaner'!$B$2:$B$10001,MATCH(5694,'Email Cleaner'!$J$2:$J$10001,0)),"")</f>
        <v/>
      </c>
    </row>
    <row r="5696">
      <c r="A5696">
        <f>IFERROR(INDEX('Email Cleaner'!$B$2:$B$10001,MATCH(5695,'Email Cleaner'!$J$2:$J$10001,0)),"")</f>
        <v/>
      </c>
    </row>
    <row r="5697">
      <c r="A5697">
        <f>IFERROR(INDEX('Email Cleaner'!$B$2:$B$10001,MATCH(5696,'Email Cleaner'!$J$2:$J$10001,0)),"")</f>
        <v/>
      </c>
    </row>
    <row r="5698">
      <c r="A5698">
        <f>IFERROR(INDEX('Email Cleaner'!$B$2:$B$10001,MATCH(5697,'Email Cleaner'!$J$2:$J$10001,0)),"")</f>
        <v/>
      </c>
    </row>
    <row r="5699">
      <c r="A5699">
        <f>IFERROR(INDEX('Email Cleaner'!$B$2:$B$10001,MATCH(5698,'Email Cleaner'!$J$2:$J$10001,0)),"")</f>
        <v/>
      </c>
    </row>
    <row r="5700">
      <c r="A5700">
        <f>IFERROR(INDEX('Email Cleaner'!$B$2:$B$10001,MATCH(5699,'Email Cleaner'!$J$2:$J$10001,0)),"")</f>
        <v/>
      </c>
    </row>
    <row r="5701">
      <c r="A5701">
        <f>IFERROR(INDEX('Email Cleaner'!$B$2:$B$10001,MATCH(5700,'Email Cleaner'!$J$2:$J$10001,0)),"")</f>
        <v/>
      </c>
    </row>
    <row r="5702">
      <c r="A5702">
        <f>IFERROR(INDEX('Email Cleaner'!$B$2:$B$10001,MATCH(5701,'Email Cleaner'!$J$2:$J$10001,0)),"")</f>
        <v/>
      </c>
    </row>
    <row r="5703">
      <c r="A5703">
        <f>IFERROR(INDEX('Email Cleaner'!$B$2:$B$10001,MATCH(5702,'Email Cleaner'!$J$2:$J$10001,0)),"")</f>
        <v/>
      </c>
    </row>
    <row r="5704">
      <c r="A5704">
        <f>IFERROR(INDEX('Email Cleaner'!$B$2:$B$10001,MATCH(5703,'Email Cleaner'!$J$2:$J$10001,0)),"")</f>
        <v/>
      </c>
    </row>
    <row r="5705">
      <c r="A5705">
        <f>IFERROR(INDEX('Email Cleaner'!$B$2:$B$10001,MATCH(5704,'Email Cleaner'!$J$2:$J$10001,0)),"")</f>
        <v/>
      </c>
    </row>
    <row r="5706">
      <c r="A5706">
        <f>IFERROR(INDEX('Email Cleaner'!$B$2:$B$10001,MATCH(5705,'Email Cleaner'!$J$2:$J$10001,0)),"")</f>
        <v/>
      </c>
    </row>
    <row r="5707">
      <c r="A5707">
        <f>IFERROR(INDEX('Email Cleaner'!$B$2:$B$10001,MATCH(5706,'Email Cleaner'!$J$2:$J$10001,0)),"")</f>
        <v/>
      </c>
    </row>
    <row r="5708">
      <c r="A5708">
        <f>IFERROR(INDEX('Email Cleaner'!$B$2:$B$10001,MATCH(5707,'Email Cleaner'!$J$2:$J$10001,0)),"")</f>
        <v/>
      </c>
    </row>
    <row r="5709">
      <c r="A5709">
        <f>IFERROR(INDEX('Email Cleaner'!$B$2:$B$10001,MATCH(5708,'Email Cleaner'!$J$2:$J$10001,0)),"")</f>
        <v/>
      </c>
    </row>
    <row r="5710">
      <c r="A5710">
        <f>IFERROR(INDEX('Email Cleaner'!$B$2:$B$10001,MATCH(5709,'Email Cleaner'!$J$2:$J$10001,0)),"")</f>
        <v/>
      </c>
    </row>
    <row r="5711">
      <c r="A5711">
        <f>IFERROR(INDEX('Email Cleaner'!$B$2:$B$10001,MATCH(5710,'Email Cleaner'!$J$2:$J$10001,0)),"")</f>
        <v/>
      </c>
    </row>
    <row r="5712">
      <c r="A5712">
        <f>IFERROR(INDEX('Email Cleaner'!$B$2:$B$10001,MATCH(5711,'Email Cleaner'!$J$2:$J$10001,0)),"")</f>
        <v/>
      </c>
    </row>
    <row r="5713">
      <c r="A5713">
        <f>IFERROR(INDEX('Email Cleaner'!$B$2:$B$10001,MATCH(5712,'Email Cleaner'!$J$2:$J$10001,0)),"")</f>
        <v/>
      </c>
    </row>
    <row r="5714">
      <c r="A5714">
        <f>IFERROR(INDEX('Email Cleaner'!$B$2:$B$10001,MATCH(5713,'Email Cleaner'!$J$2:$J$10001,0)),"")</f>
        <v/>
      </c>
    </row>
    <row r="5715">
      <c r="A5715">
        <f>IFERROR(INDEX('Email Cleaner'!$B$2:$B$10001,MATCH(5714,'Email Cleaner'!$J$2:$J$10001,0)),"")</f>
        <v/>
      </c>
    </row>
    <row r="5716">
      <c r="A5716">
        <f>IFERROR(INDEX('Email Cleaner'!$B$2:$B$10001,MATCH(5715,'Email Cleaner'!$J$2:$J$10001,0)),"")</f>
        <v/>
      </c>
    </row>
    <row r="5717">
      <c r="A5717">
        <f>IFERROR(INDEX('Email Cleaner'!$B$2:$B$10001,MATCH(5716,'Email Cleaner'!$J$2:$J$10001,0)),"")</f>
        <v/>
      </c>
    </row>
    <row r="5718">
      <c r="A5718">
        <f>IFERROR(INDEX('Email Cleaner'!$B$2:$B$10001,MATCH(5717,'Email Cleaner'!$J$2:$J$10001,0)),"")</f>
        <v/>
      </c>
    </row>
    <row r="5719">
      <c r="A5719">
        <f>IFERROR(INDEX('Email Cleaner'!$B$2:$B$10001,MATCH(5718,'Email Cleaner'!$J$2:$J$10001,0)),"")</f>
        <v/>
      </c>
    </row>
    <row r="5720">
      <c r="A5720">
        <f>IFERROR(INDEX('Email Cleaner'!$B$2:$B$10001,MATCH(5719,'Email Cleaner'!$J$2:$J$10001,0)),"")</f>
        <v/>
      </c>
    </row>
    <row r="5721">
      <c r="A5721">
        <f>IFERROR(INDEX('Email Cleaner'!$B$2:$B$10001,MATCH(5720,'Email Cleaner'!$J$2:$J$10001,0)),"")</f>
        <v/>
      </c>
    </row>
    <row r="5722">
      <c r="A5722">
        <f>IFERROR(INDEX('Email Cleaner'!$B$2:$B$10001,MATCH(5721,'Email Cleaner'!$J$2:$J$10001,0)),"")</f>
        <v/>
      </c>
    </row>
    <row r="5723">
      <c r="A5723">
        <f>IFERROR(INDEX('Email Cleaner'!$B$2:$B$10001,MATCH(5722,'Email Cleaner'!$J$2:$J$10001,0)),"")</f>
        <v/>
      </c>
    </row>
    <row r="5724">
      <c r="A5724">
        <f>IFERROR(INDEX('Email Cleaner'!$B$2:$B$10001,MATCH(5723,'Email Cleaner'!$J$2:$J$10001,0)),"")</f>
        <v/>
      </c>
    </row>
    <row r="5725">
      <c r="A5725">
        <f>IFERROR(INDEX('Email Cleaner'!$B$2:$B$10001,MATCH(5724,'Email Cleaner'!$J$2:$J$10001,0)),"")</f>
        <v/>
      </c>
    </row>
    <row r="5726">
      <c r="A5726">
        <f>IFERROR(INDEX('Email Cleaner'!$B$2:$B$10001,MATCH(5725,'Email Cleaner'!$J$2:$J$10001,0)),"")</f>
        <v/>
      </c>
    </row>
    <row r="5727">
      <c r="A5727">
        <f>IFERROR(INDEX('Email Cleaner'!$B$2:$B$10001,MATCH(5726,'Email Cleaner'!$J$2:$J$10001,0)),"")</f>
        <v/>
      </c>
    </row>
    <row r="5728">
      <c r="A5728">
        <f>IFERROR(INDEX('Email Cleaner'!$B$2:$B$10001,MATCH(5727,'Email Cleaner'!$J$2:$J$10001,0)),"")</f>
        <v/>
      </c>
    </row>
    <row r="5729">
      <c r="A5729">
        <f>IFERROR(INDEX('Email Cleaner'!$B$2:$B$10001,MATCH(5728,'Email Cleaner'!$J$2:$J$10001,0)),"")</f>
        <v/>
      </c>
    </row>
    <row r="5730">
      <c r="A5730">
        <f>IFERROR(INDEX('Email Cleaner'!$B$2:$B$10001,MATCH(5729,'Email Cleaner'!$J$2:$J$10001,0)),"")</f>
        <v/>
      </c>
    </row>
    <row r="5731">
      <c r="A5731">
        <f>IFERROR(INDEX('Email Cleaner'!$B$2:$B$10001,MATCH(5730,'Email Cleaner'!$J$2:$J$10001,0)),"")</f>
        <v/>
      </c>
    </row>
    <row r="5732">
      <c r="A5732">
        <f>IFERROR(INDEX('Email Cleaner'!$B$2:$B$10001,MATCH(5731,'Email Cleaner'!$J$2:$J$10001,0)),"")</f>
        <v/>
      </c>
    </row>
    <row r="5733">
      <c r="A5733">
        <f>IFERROR(INDEX('Email Cleaner'!$B$2:$B$10001,MATCH(5732,'Email Cleaner'!$J$2:$J$10001,0)),"")</f>
        <v/>
      </c>
    </row>
    <row r="5734">
      <c r="A5734">
        <f>IFERROR(INDEX('Email Cleaner'!$B$2:$B$10001,MATCH(5733,'Email Cleaner'!$J$2:$J$10001,0)),"")</f>
        <v/>
      </c>
    </row>
    <row r="5735">
      <c r="A5735">
        <f>IFERROR(INDEX('Email Cleaner'!$B$2:$B$10001,MATCH(5734,'Email Cleaner'!$J$2:$J$10001,0)),"")</f>
        <v/>
      </c>
    </row>
    <row r="5736">
      <c r="A5736">
        <f>IFERROR(INDEX('Email Cleaner'!$B$2:$B$10001,MATCH(5735,'Email Cleaner'!$J$2:$J$10001,0)),"")</f>
        <v/>
      </c>
    </row>
    <row r="5737">
      <c r="A5737">
        <f>IFERROR(INDEX('Email Cleaner'!$B$2:$B$10001,MATCH(5736,'Email Cleaner'!$J$2:$J$10001,0)),"")</f>
        <v/>
      </c>
    </row>
    <row r="5738">
      <c r="A5738">
        <f>IFERROR(INDEX('Email Cleaner'!$B$2:$B$10001,MATCH(5737,'Email Cleaner'!$J$2:$J$10001,0)),"")</f>
        <v/>
      </c>
    </row>
    <row r="5739">
      <c r="A5739">
        <f>IFERROR(INDEX('Email Cleaner'!$B$2:$B$10001,MATCH(5738,'Email Cleaner'!$J$2:$J$10001,0)),"")</f>
        <v/>
      </c>
    </row>
    <row r="5740">
      <c r="A5740">
        <f>IFERROR(INDEX('Email Cleaner'!$B$2:$B$10001,MATCH(5739,'Email Cleaner'!$J$2:$J$10001,0)),"")</f>
        <v/>
      </c>
    </row>
    <row r="5741">
      <c r="A5741">
        <f>IFERROR(INDEX('Email Cleaner'!$B$2:$B$10001,MATCH(5740,'Email Cleaner'!$J$2:$J$10001,0)),"")</f>
        <v/>
      </c>
    </row>
    <row r="5742">
      <c r="A5742">
        <f>IFERROR(INDEX('Email Cleaner'!$B$2:$B$10001,MATCH(5741,'Email Cleaner'!$J$2:$J$10001,0)),"")</f>
        <v/>
      </c>
    </row>
    <row r="5743">
      <c r="A5743">
        <f>IFERROR(INDEX('Email Cleaner'!$B$2:$B$10001,MATCH(5742,'Email Cleaner'!$J$2:$J$10001,0)),"")</f>
        <v/>
      </c>
    </row>
    <row r="5744">
      <c r="A5744">
        <f>IFERROR(INDEX('Email Cleaner'!$B$2:$B$10001,MATCH(5743,'Email Cleaner'!$J$2:$J$10001,0)),"")</f>
        <v/>
      </c>
    </row>
    <row r="5745">
      <c r="A5745">
        <f>IFERROR(INDEX('Email Cleaner'!$B$2:$B$10001,MATCH(5744,'Email Cleaner'!$J$2:$J$10001,0)),"")</f>
        <v/>
      </c>
    </row>
    <row r="5746">
      <c r="A5746">
        <f>IFERROR(INDEX('Email Cleaner'!$B$2:$B$10001,MATCH(5745,'Email Cleaner'!$J$2:$J$10001,0)),"")</f>
        <v/>
      </c>
    </row>
    <row r="5747">
      <c r="A5747">
        <f>IFERROR(INDEX('Email Cleaner'!$B$2:$B$10001,MATCH(5746,'Email Cleaner'!$J$2:$J$10001,0)),"")</f>
        <v/>
      </c>
    </row>
    <row r="5748">
      <c r="A5748">
        <f>IFERROR(INDEX('Email Cleaner'!$B$2:$B$10001,MATCH(5747,'Email Cleaner'!$J$2:$J$10001,0)),"")</f>
        <v/>
      </c>
    </row>
    <row r="5749">
      <c r="A5749">
        <f>IFERROR(INDEX('Email Cleaner'!$B$2:$B$10001,MATCH(5748,'Email Cleaner'!$J$2:$J$10001,0)),"")</f>
        <v/>
      </c>
    </row>
    <row r="5750">
      <c r="A5750">
        <f>IFERROR(INDEX('Email Cleaner'!$B$2:$B$10001,MATCH(5749,'Email Cleaner'!$J$2:$J$10001,0)),"")</f>
        <v/>
      </c>
    </row>
    <row r="5751">
      <c r="A5751">
        <f>IFERROR(INDEX('Email Cleaner'!$B$2:$B$10001,MATCH(5750,'Email Cleaner'!$J$2:$J$10001,0)),"")</f>
        <v/>
      </c>
    </row>
    <row r="5752">
      <c r="A5752">
        <f>IFERROR(INDEX('Email Cleaner'!$B$2:$B$10001,MATCH(5751,'Email Cleaner'!$J$2:$J$10001,0)),"")</f>
        <v/>
      </c>
    </row>
    <row r="5753">
      <c r="A5753">
        <f>IFERROR(INDEX('Email Cleaner'!$B$2:$B$10001,MATCH(5752,'Email Cleaner'!$J$2:$J$10001,0)),"")</f>
        <v/>
      </c>
    </row>
    <row r="5754">
      <c r="A5754">
        <f>IFERROR(INDEX('Email Cleaner'!$B$2:$B$10001,MATCH(5753,'Email Cleaner'!$J$2:$J$10001,0)),"")</f>
        <v/>
      </c>
    </row>
    <row r="5755">
      <c r="A5755">
        <f>IFERROR(INDEX('Email Cleaner'!$B$2:$B$10001,MATCH(5754,'Email Cleaner'!$J$2:$J$10001,0)),"")</f>
        <v/>
      </c>
    </row>
    <row r="5756">
      <c r="A5756">
        <f>IFERROR(INDEX('Email Cleaner'!$B$2:$B$10001,MATCH(5755,'Email Cleaner'!$J$2:$J$10001,0)),"")</f>
        <v/>
      </c>
    </row>
    <row r="5757">
      <c r="A5757">
        <f>IFERROR(INDEX('Email Cleaner'!$B$2:$B$10001,MATCH(5756,'Email Cleaner'!$J$2:$J$10001,0)),"")</f>
        <v/>
      </c>
    </row>
    <row r="5758">
      <c r="A5758">
        <f>IFERROR(INDEX('Email Cleaner'!$B$2:$B$10001,MATCH(5757,'Email Cleaner'!$J$2:$J$10001,0)),"")</f>
        <v/>
      </c>
    </row>
    <row r="5759">
      <c r="A5759">
        <f>IFERROR(INDEX('Email Cleaner'!$B$2:$B$10001,MATCH(5758,'Email Cleaner'!$J$2:$J$10001,0)),"")</f>
        <v/>
      </c>
    </row>
    <row r="5760">
      <c r="A5760">
        <f>IFERROR(INDEX('Email Cleaner'!$B$2:$B$10001,MATCH(5759,'Email Cleaner'!$J$2:$J$10001,0)),"")</f>
        <v/>
      </c>
    </row>
    <row r="5761">
      <c r="A5761">
        <f>IFERROR(INDEX('Email Cleaner'!$B$2:$B$10001,MATCH(5760,'Email Cleaner'!$J$2:$J$10001,0)),"")</f>
        <v/>
      </c>
    </row>
    <row r="5762">
      <c r="A5762">
        <f>IFERROR(INDEX('Email Cleaner'!$B$2:$B$10001,MATCH(5761,'Email Cleaner'!$J$2:$J$10001,0)),"")</f>
        <v/>
      </c>
    </row>
    <row r="5763">
      <c r="A5763">
        <f>IFERROR(INDEX('Email Cleaner'!$B$2:$B$10001,MATCH(5762,'Email Cleaner'!$J$2:$J$10001,0)),"")</f>
        <v/>
      </c>
    </row>
    <row r="5764">
      <c r="A5764">
        <f>IFERROR(INDEX('Email Cleaner'!$B$2:$B$10001,MATCH(5763,'Email Cleaner'!$J$2:$J$10001,0)),"")</f>
        <v/>
      </c>
    </row>
    <row r="5765">
      <c r="A5765">
        <f>IFERROR(INDEX('Email Cleaner'!$B$2:$B$10001,MATCH(5764,'Email Cleaner'!$J$2:$J$10001,0)),"")</f>
        <v/>
      </c>
    </row>
    <row r="5766">
      <c r="A5766">
        <f>IFERROR(INDEX('Email Cleaner'!$B$2:$B$10001,MATCH(5765,'Email Cleaner'!$J$2:$J$10001,0)),"")</f>
        <v/>
      </c>
    </row>
    <row r="5767">
      <c r="A5767">
        <f>IFERROR(INDEX('Email Cleaner'!$B$2:$B$10001,MATCH(5766,'Email Cleaner'!$J$2:$J$10001,0)),"")</f>
        <v/>
      </c>
    </row>
    <row r="5768">
      <c r="A5768">
        <f>IFERROR(INDEX('Email Cleaner'!$B$2:$B$10001,MATCH(5767,'Email Cleaner'!$J$2:$J$10001,0)),"")</f>
        <v/>
      </c>
    </row>
    <row r="5769">
      <c r="A5769">
        <f>IFERROR(INDEX('Email Cleaner'!$B$2:$B$10001,MATCH(5768,'Email Cleaner'!$J$2:$J$10001,0)),"")</f>
        <v/>
      </c>
    </row>
    <row r="5770">
      <c r="A5770">
        <f>IFERROR(INDEX('Email Cleaner'!$B$2:$B$10001,MATCH(5769,'Email Cleaner'!$J$2:$J$10001,0)),"")</f>
        <v/>
      </c>
    </row>
    <row r="5771">
      <c r="A5771">
        <f>IFERROR(INDEX('Email Cleaner'!$B$2:$B$10001,MATCH(5770,'Email Cleaner'!$J$2:$J$10001,0)),"")</f>
        <v/>
      </c>
    </row>
    <row r="5772">
      <c r="A5772">
        <f>IFERROR(INDEX('Email Cleaner'!$B$2:$B$10001,MATCH(5771,'Email Cleaner'!$J$2:$J$10001,0)),"")</f>
        <v/>
      </c>
    </row>
    <row r="5773">
      <c r="A5773">
        <f>IFERROR(INDEX('Email Cleaner'!$B$2:$B$10001,MATCH(5772,'Email Cleaner'!$J$2:$J$10001,0)),"")</f>
        <v/>
      </c>
    </row>
    <row r="5774">
      <c r="A5774">
        <f>IFERROR(INDEX('Email Cleaner'!$B$2:$B$10001,MATCH(5773,'Email Cleaner'!$J$2:$J$10001,0)),"")</f>
        <v/>
      </c>
    </row>
    <row r="5775">
      <c r="A5775">
        <f>IFERROR(INDEX('Email Cleaner'!$B$2:$B$10001,MATCH(5774,'Email Cleaner'!$J$2:$J$10001,0)),"")</f>
        <v/>
      </c>
    </row>
    <row r="5776">
      <c r="A5776">
        <f>IFERROR(INDEX('Email Cleaner'!$B$2:$B$10001,MATCH(5775,'Email Cleaner'!$J$2:$J$10001,0)),"")</f>
        <v/>
      </c>
    </row>
    <row r="5777">
      <c r="A5777">
        <f>IFERROR(INDEX('Email Cleaner'!$B$2:$B$10001,MATCH(5776,'Email Cleaner'!$J$2:$J$10001,0)),"")</f>
        <v/>
      </c>
    </row>
    <row r="5778">
      <c r="A5778">
        <f>IFERROR(INDEX('Email Cleaner'!$B$2:$B$10001,MATCH(5777,'Email Cleaner'!$J$2:$J$10001,0)),"")</f>
        <v/>
      </c>
    </row>
    <row r="5779">
      <c r="A5779">
        <f>IFERROR(INDEX('Email Cleaner'!$B$2:$B$10001,MATCH(5778,'Email Cleaner'!$J$2:$J$10001,0)),"")</f>
        <v/>
      </c>
    </row>
    <row r="5780">
      <c r="A5780">
        <f>IFERROR(INDEX('Email Cleaner'!$B$2:$B$10001,MATCH(5779,'Email Cleaner'!$J$2:$J$10001,0)),"")</f>
        <v/>
      </c>
    </row>
    <row r="5781">
      <c r="A5781">
        <f>IFERROR(INDEX('Email Cleaner'!$B$2:$B$10001,MATCH(5780,'Email Cleaner'!$J$2:$J$10001,0)),"")</f>
        <v/>
      </c>
    </row>
    <row r="5782">
      <c r="A5782">
        <f>IFERROR(INDEX('Email Cleaner'!$B$2:$B$10001,MATCH(5781,'Email Cleaner'!$J$2:$J$10001,0)),"")</f>
        <v/>
      </c>
    </row>
    <row r="5783">
      <c r="A5783">
        <f>IFERROR(INDEX('Email Cleaner'!$B$2:$B$10001,MATCH(5782,'Email Cleaner'!$J$2:$J$10001,0)),"")</f>
        <v/>
      </c>
    </row>
    <row r="5784">
      <c r="A5784">
        <f>IFERROR(INDEX('Email Cleaner'!$B$2:$B$10001,MATCH(5783,'Email Cleaner'!$J$2:$J$10001,0)),"")</f>
        <v/>
      </c>
    </row>
    <row r="5785">
      <c r="A5785">
        <f>IFERROR(INDEX('Email Cleaner'!$B$2:$B$10001,MATCH(5784,'Email Cleaner'!$J$2:$J$10001,0)),"")</f>
        <v/>
      </c>
    </row>
    <row r="5786">
      <c r="A5786">
        <f>IFERROR(INDEX('Email Cleaner'!$B$2:$B$10001,MATCH(5785,'Email Cleaner'!$J$2:$J$10001,0)),"")</f>
        <v/>
      </c>
    </row>
    <row r="5787">
      <c r="A5787">
        <f>IFERROR(INDEX('Email Cleaner'!$B$2:$B$10001,MATCH(5786,'Email Cleaner'!$J$2:$J$10001,0)),"")</f>
        <v/>
      </c>
    </row>
    <row r="5788">
      <c r="A5788">
        <f>IFERROR(INDEX('Email Cleaner'!$B$2:$B$10001,MATCH(5787,'Email Cleaner'!$J$2:$J$10001,0)),"")</f>
        <v/>
      </c>
    </row>
    <row r="5789">
      <c r="A5789">
        <f>IFERROR(INDEX('Email Cleaner'!$B$2:$B$10001,MATCH(5788,'Email Cleaner'!$J$2:$J$10001,0)),"")</f>
        <v/>
      </c>
    </row>
    <row r="5790">
      <c r="A5790">
        <f>IFERROR(INDEX('Email Cleaner'!$B$2:$B$10001,MATCH(5789,'Email Cleaner'!$J$2:$J$10001,0)),"")</f>
        <v/>
      </c>
    </row>
    <row r="5791">
      <c r="A5791">
        <f>IFERROR(INDEX('Email Cleaner'!$B$2:$B$10001,MATCH(5790,'Email Cleaner'!$J$2:$J$10001,0)),"")</f>
        <v/>
      </c>
    </row>
    <row r="5792">
      <c r="A5792">
        <f>IFERROR(INDEX('Email Cleaner'!$B$2:$B$10001,MATCH(5791,'Email Cleaner'!$J$2:$J$10001,0)),"")</f>
        <v/>
      </c>
    </row>
    <row r="5793">
      <c r="A5793">
        <f>IFERROR(INDEX('Email Cleaner'!$B$2:$B$10001,MATCH(5792,'Email Cleaner'!$J$2:$J$10001,0)),"")</f>
        <v/>
      </c>
    </row>
    <row r="5794">
      <c r="A5794">
        <f>IFERROR(INDEX('Email Cleaner'!$B$2:$B$10001,MATCH(5793,'Email Cleaner'!$J$2:$J$10001,0)),"")</f>
        <v/>
      </c>
    </row>
    <row r="5795">
      <c r="A5795">
        <f>IFERROR(INDEX('Email Cleaner'!$B$2:$B$10001,MATCH(5794,'Email Cleaner'!$J$2:$J$10001,0)),"")</f>
        <v/>
      </c>
    </row>
    <row r="5796">
      <c r="A5796">
        <f>IFERROR(INDEX('Email Cleaner'!$B$2:$B$10001,MATCH(5795,'Email Cleaner'!$J$2:$J$10001,0)),"")</f>
        <v/>
      </c>
    </row>
    <row r="5797">
      <c r="A5797">
        <f>IFERROR(INDEX('Email Cleaner'!$B$2:$B$10001,MATCH(5796,'Email Cleaner'!$J$2:$J$10001,0)),"")</f>
        <v/>
      </c>
    </row>
    <row r="5798">
      <c r="A5798">
        <f>IFERROR(INDEX('Email Cleaner'!$B$2:$B$10001,MATCH(5797,'Email Cleaner'!$J$2:$J$10001,0)),"")</f>
        <v/>
      </c>
    </row>
    <row r="5799">
      <c r="A5799">
        <f>IFERROR(INDEX('Email Cleaner'!$B$2:$B$10001,MATCH(5798,'Email Cleaner'!$J$2:$J$10001,0)),"")</f>
        <v/>
      </c>
    </row>
    <row r="5800">
      <c r="A5800">
        <f>IFERROR(INDEX('Email Cleaner'!$B$2:$B$10001,MATCH(5799,'Email Cleaner'!$J$2:$J$10001,0)),"")</f>
        <v/>
      </c>
    </row>
    <row r="5801">
      <c r="A5801">
        <f>IFERROR(INDEX('Email Cleaner'!$B$2:$B$10001,MATCH(5800,'Email Cleaner'!$J$2:$J$10001,0)),"")</f>
        <v/>
      </c>
    </row>
    <row r="5802">
      <c r="A5802">
        <f>IFERROR(INDEX('Email Cleaner'!$B$2:$B$10001,MATCH(5801,'Email Cleaner'!$J$2:$J$10001,0)),"")</f>
        <v/>
      </c>
    </row>
    <row r="5803">
      <c r="A5803">
        <f>IFERROR(INDEX('Email Cleaner'!$B$2:$B$10001,MATCH(5802,'Email Cleaner'!$J$2:$J$10001,0)),"")</f>
        <v/>
      </c>
    </row>
    <row r="5804">
      <c r="A5804">
        <f>IFERROR(INDEX('Email Cleaner'!$B$2:$B$10001,MATCH(5803,'Email Cleaner'!$J$2:$J$10001,0)),"")</f>
        <v/>
      </c>
    </row>
    <row r="5805">
      <c r="A5805">
        <f>IFERROR(INDEX('Email Cleaner'!$B$2:$B$10001,MATCH(5804,'Email Cleaner'!$J$2:$J$10001,0)),"")</f>
        <v/>
      </c>
    </row>
    <row r="5806">
      <c r="A5806">
        <f>IFERROR(INDEX('Email Cleaner'!$B$2:$B$10001,MATCH(5805,'Email Cleaner'!$J$2:$J$10001,0)),"")</f>
        <v/>
      </c>
    </row>
    <row r="5807">
      <c r="A5807">
        <f>IFERROR(INDEX('Email Cleaner'!$B$2:$B$10001,MATCH(5806,'Email Cleaner'!$J$2:$J$10001,0)),"")</f>
        <v/>
      </c>
    </row>
    <row r="5808">
      <c r="A5808">
        <f>IFERROR(INDEX('Email Cleaner'!$B$2:$B$10001,MATCH(5807,'Email Cleaner'!$J$2:$J$10001,0)),"")</f>
        <v/>
      </c>
    </row>
    <row r="5809">
      <c r="A5809">
        <f>IFERROR(INDEX('Email Cleaner'!$B$2:$B$10001,MATCH(5808,'Email Cleaner'!$J$2:$J$10001,0)),"")</f>
        <v/>
      </c>
    </row>
    <row r="5810">
      <c r="A5810">
        <f>IFERROR(INDEX('Email Cleaner'!$B$2:$B$10001,MATCH(5809,'Email Cleaner'!$J$2:$J$10001,0)),"")</f>
        <v/>
      </c>
    </row>
    <row r="5811">
      <c r="A5811">
        <f>IFERROR(INDEX('Email Cleaner'!$B$2:$B$10001,MATCH(5810,'Email Cleaner'!$J$2:$J$10001,0)),"")</f>
        <v/>
      </c>
    </row>
    <row r="5812">
      <c r="A5812">
        <f>IFERROR(INDEX('Email Cleaner'!$B$2:$B$10001,MATCH(5811,'Email Cleaner'!$J$2:$J$10001,0)),"")</f>
        <v/>
      </c>
    </row>
    <row r="5813">
      <c r="A5813">
        <f>IFERROR(INDEX('Email Cleaner'!$B$2:$B$10001,MATCH(5812,'Email Cleaner'!$J$2:$J$10001,0)),"")</f>
        <v/>
      </c>
    </row>
    <row r="5814">
      <c r="A5814">
        <f>IFERROR(INDEX('Email Cleaner'!$B$2:$B$10001,MATCH(5813,'Email Cleaner'!$J$2:$J$10001,0)),"")</f>
        <v/>
      </c>
    </row>
    <row r="5815">
      <c r="A5815">
        <f>IFERROR(INDEX('Email Cleaner'!$B$2:$B$10001,MATCH(5814,'Email Cleaner'!$J$2:$J$10001,0)),"")</f>
        <v/>
      </c>
    </row>
    <row r="5816">
      <c r="A5816">
        <f>IFERROR(INDEX('Email Cleaner'!$B$2:$B$10001,MATCH(5815,'Email Cleaner'!$J$2:$J$10001,0)),"")</f>
        <v/>
      </c>
    </row>
    <row r="5817">
      <c r="A5817">
        <f>IFERROR(INDEX('Email Cleaner'!$B$2:$B$10001,MATCH(5816,'Email Cleaner'!$J$2:$J$10001,0)),"")</f>
        <v/>
      </c>
    </row>
    <row r="5818">
      <c r="A5818">
        <f>IFERROR(INDEX('Email Cleaner'!$B$2:$B$10001,MATCH(5817,'Email Cleaner'!$J$2:$J$10001,0)),"")</f>
        <v/>
      </c>
    </row>
    <row r="5819">
      <c r="A5819">
        <f>IFERROR(INDEX('Email Cleaner'!$B$2:$B$10001,MATCH(5818,'Email Cleaner'!$J$2:$J$10001,0)),"")</f>
        <v/>
      </c>
    </row>
    <row r="5820">
      <c r="A5820">
        <f>IFERROR(INDEX('Email Cleaner'!$B$2:$B$10001,MATCH(5819,'Email Cleaner'!$J$2:$J$10001,0)),"")</f>
        <v/>
      </c>
    </row>
    <row r="5821">
      <c r="A5821">
        <f>IFERROR(INDEX('Email Cleaner'!$B$2:$B$10001,MATCH(5820,'Email Cleaner'!$J$2:$J$10001,0)),"")</f>
        <v/>
      </c>
    </row>
    <row r="5822">
      <c r="A5822">
        <f>IFERROR(INDEX('Email Cleaner'!$B$2:$B$10001,MATCH(5821,'Email Cleaner'!$J$2:$J$10001,0)),"")</f>
        <v/>
      </c>
    </row>
    <row r="5823">
      <c r="A5823">
        <f>IFERROR(INDEX('Email Cleaner'!$B$2:$B$10001,MATCH(5822,'Email Cleaner'!$J$2:$J$10001,0)),"")</f>
        <v/>
      </c>
    </row>
    <row r="5824">
      <c r="A5824">
        <f>IFERROR(INDEX('Email Cleaner'!$B$2:$B$10001,MATCH(5823,'Email Cleaner'!$J$2:$J$10001,0)),"")</f>
        <v/>
      </c>
    </row>
    <row r="5825">
      <c r="A5825">
        <f>IFERROR(INDEX('Email Cleaner'!$B$2:$B$10001,MATCH(5824,'Email Cleaner'!$J$2:$J$10001,0)),"")</f>
        <v/>
      </c>
    </row>
    <row r="5826">
      <c r="A5826">
        <f>IFERROR(INDEX('Email Cleaner'!$B$2:$B$10001,MATCH(5825,'Email Cleaner'!$J$2:$J$10001,0)),"")</f>
        <v/>
      </c>
    </row>
    <row r="5827">
      <c r="A5827">
        <f>IFERROR(INDEX('Email Cleaner'!$B$2:$B$10001,MATCH(5826,'Email Cleaner'!$J$2:$J$10001,0)),"")</f>
        <v/>
      </c>
    </row>
    <row r="5828">
      <c r="A5828">
        <f>IFERROR(INDEX('Email Cleaner'!$B$2:$B$10001,MATCH(5827,'Email Cleaner'!$J$2:$J$10001,0)),"")</f>
        <v/>
      </c>
    </row>
    <row r="5829">
      <c r="A5829">
        <f>IFERROR(INDEX('Email Cleaner'!$B$2:$B$10001,MATCH(5828,'Email Cleaner'!$J$2:$J$10001,0)),"")</f>
        <v/>
      </c>
    </row>
    <row r="5830">
      <c r="A5830">
        <f>IFERROR(INDEX('Email Cleaner'!$B$2:$B$10001,MATCH(5829,'Email Cleaner'!$J$2:$J$10001,0)),"")</f>
        <v/>
      </c>
    </row>
    <row r="5831">
      <c r="A5831">
        <f>IFERROR(INDEX('Email Cleaner'!$B$2:$B$10001,MATCH(5830,'Email Cleaner'!$J$2:$J$10001,0)),"")</f>
        <v/>
      </c>
    </row>
    <row r="5832">
      <c r="A5832">
        <f>IFERROR(INDEX('Email Cleaner'!$B$2:$B$10001,MATCH(5831,'Email Cleaner'!$J$2:$J$10001,0)),"")</f>
        <v/>
      </c>
    </row>
    <row r="5833">
      <c r="A5833">
        <f>IFERROR(INDEX('Email Cleaner'!$B$2:$B$10001,MATCH(5832,'Email Cleaner'!$J$2:$J$10001,0)),"")</f>
        <v/>
      </c>
    </row>
    <row r="5834">
      <c r="A5834">
        <f>IFERROR(INDEX('Email Cleaner'!$B$2:$B$10001,MATCH(5833,'Email Cleaner'!$J$2:$J$10001,0)),"")</f>
        <v/>
      </c>
    </row>
    <row r="5835">
      <c r="A5835">
        <f>IFERROR(INDEX('Email Cleaner'!$B$2:$B$10001,MATCH(5834,'Email Cleaner'!$J$2:$J$10001,0)),"")</f>
        <v/>
      </c>
    </row>
    <row r="5836">
      <c r="A5836">
        <f>IFERROR(INDEX('Email Cleaner'!$B$2:$B$10001,MATCH(5835,'Email Cleaner'!$J$2:$J$10001,0)),"")</f>
        <v/>
      </c>
    </row>
    <row r="5837">
      <c r="A5837">
        <f>IFERROR(INDEX('Email Cleaner'!$B$2:$B$10001,MATCH(5836,'Email Cleaner'!$J$2:$J$10001,0)),"")</f>
        <v/>
      </c>
    </row>
    <row r="5838">
      <c r="A5838">
        <f>IFERROR(INDEX('Email Cleaner'!$B$2:$B$10001,MATCH(5837,'Email Cleaner'!$J$2:$J$10001,0)),"")</f>
        <v/>
      </c>
    </row>
    <row r="5839">
      <c r="A5839">
        <f>IFERROR(INDEX('Email Cleaner'!$B$2:$B$10001,MATCH(5838,'Email Cleaner'!$J$2:$J$10001,0)),"")</f>
        <v/>
      </c>
    </row>
    <row r="5840">
      <c r="A5840">
        <f>IFERROR(INDEX('Email Cleaner'!$B$2:$B$10001,MATCH(5839,'Email Cleaner'!$J$2:$J$10001,0)),"")</f>
        <v/>
      </c>
    </row>
    <row r="5841">
      <c r="A5841">
        <f>IFERROR(INDEX('Email Cleaner'!$B$2:$B$10001,MATCH(5840,'Email Cleaner'!$J$2:$J$10001,0)),"")</f>
        <v/>
      </c>
    </row>
    <row r="5842">
      <c r="A5842">
        <f>IFERROR(INDEX('Email Cleaner'!$B$2:$B$10001,MATCH(5841,'Email Cleaner'!$J$2:$J$10001,0)),"")</f>
        <v/>
      </c>
    </row>
    <row r="5843">
      <c r="A5843">
        <f>IFERROR(INDEX('Email Cleaner'!$B$2:$B$10001,MATCH(5842,'Email Cleaner'!$J$2:$J$10001,0)),"")</f>
        <v/>
      </c>
    </row>
    <row r="5844">
      <c r="A5844">
        <f>IFERROR(INDEX('Email Cleaner'!$B$2:$B$10001,MATCH(5843,'Email Cleaner'!$J$2:$J$10001,0)),"")</f>
        <v/>
      </c>
    </row>
    <row r="5845">
      <c r="A5845">
        <f>IFERROR(INDEX('Email Cleaner'!$B$2:$B$10001,MATCH(5844,'Email Cleaner'!$J$2:$J$10001,0)),"")</f>
        <v/>
      </c>
    </row>
    <row r="5846">
      <c r="A5846">
        <f>IFERROR(INDEX('Email Cleaner'!$B$2:$B$10001,MATCH(5845,'Email Cleaner'!$J$2:$J$10001,0)),"")</f>
        <v/>
      </c>
    </row>
    <row r="5847">
      <c r="A5847">
        <f>IFERROR(INDEX('Email Cleaner'!$B$2:$B$10001,MATCH(5846,'Email Cleaner'!$J$2:$J$10001,0)),"")</f>
        <v/>
      </c>
    </row>
    <row r="5848">
      <c r="A5848">
        <f>IFERROR(INDEX('Email Cleaner'!$B$2:$B$10001,MATCH(5847,'Email Cleaner'!$J$2:$J$10001,0)),"")</f>
        <v/>
      </c>
    </row>
    <row r="5849">
      <c r="A5849">
        <f>IFERROR(INDEX('Email Cleaner'!$B$2:$B$10001,MATCH(5848,'Email Cleaner'!$J$2:$J$10001,0)),"")</f>
        <v/>
      </c>
    </row>
    <row r="5850">
      <c r="A5850">
        <f>IFERROR(INDEX('Email Cleaner'!$B$2:$B$10001,MATCH(5849,'Email Cleaner'!$J$2:$J$10001,0)),"")</f>
        <v/>
      </c>
    </row>
    <row r="5851">
      <c r="A5851">
        <f>IFERROR(INDEX('Email Cleaner'!$B$2:$B$10001,MATCH(5850,'Email Cleaner'!$J$2:$J$10001,0)),"")</f>
        <v/>
      </c>
    </row>
    <row r="5852">
      <c r="A5852">
        <f>IFERROR(INDEX('Email Cleaner'!$B$2:$B$10001,MATCH(5851,'Email Cleaner'!$J$2:$J$10001,0)),"")</f>
        <v/>
      </c>
    </row>
    <row r="5853">
      <c r="A5853">
        <f>IFERROR(INDEX('Email Cleaner'!$B$2:$B$10001,MATCH(5852,'Email Cleaner'!$J$2:$J$10001,0)),"")</f>
        <v/>
      </c>
    </row>
    <row r="5854">
      <c r="A5854">
        <f>IFERROR(INDEX('Email Cleaner'!$B$2:$B$10001,MATCH(5853,'Email Cleaner'!$J$2:$J$10001,0)),"")</f>
        <v/>
      </c>
    </row>
    <row r="5855">
      <c r="A5855">
        <f>IFERROR(INDEX('Email Cleaner'!$B$2:$B$10001,MATCH(5854,'Email Cleaner'!$J$2:$J$10001,0)),"")</f>
        <v/>
      </c>
    </row>
    <row r="5856">
      <c r="A5856">
        <f>IFERROR(INDEX('Email Cleaner'!$B$2:$B$10001,MATCH(5855,'Email Cleaner'!$J$2:$J$10001,0)),"")</f>
        <v/>
      </c>
    </row>
    <row r="5857">
      <c r="A5857">
        <f>IFERROR(INDEX('Email Cleaner'!$B$2:$B$10001,MATCH(5856,'Email Cleaner'!$J$2:$J$10001,0)),"")</f>
        <v/>
      </c>
    </row>
    <row r="5858">
      <c r="A5858">
        <f>IFERROR(INDEX('Email Cleaner'!$B$2:$B$10001,MATCH(5857,'Email Cleaner'!$J$2:$J$10001,0)),"")</f>
        <v/>
      </c>
    </row>
    <row r="5859">
      <c r="A5859">
        <f>IFERROR(INDEX('Email Cleaner'!$B$2:$B$10001,MATCH(5858,'Email Cleaner'!$J$2:$J$10001,0)),"")</f>
        <v/>
      </c>
    </row>
    <row r="5860">
      <c r="A5860">
        <f>IFERROR(INDEX('Email Cleaner'!$B$2:$B$10001,MATCH(5859,'Email Cleaner'!$J$2:$J$10001,0)),"")</f>
        <v/>
      </c>
    </row>
    <row r="5861">
      <c r="A5861">
        <f>IFERROR(INDEX('Email Cleaner'!$B$2:$B$10001,MATCH(5860,'Email Cleaner'!$J$2:$J$10001,0)),"")</f>
        <v/>
      </c>
    </row>
    <row r="5862">
      <c r="A5862">
        <f>IFERROR(INDEX('Email Cleaner'!$B$2:$B$10001,MATCH(5861,'Email Cleaner'!$J$2:$J$10001,0)),"")</f>
        <v/>
      </c>
    </row>
    <row r="5863">
      <c r="A5863">
        <f>IFERROR(INDEX('Email Cleaner'!$B$2:$B$10001,MATCH(5862,'Email Cleaner'!$J$2:$J$10001,0)),"")</f>
        <v/>
      </c>
    </row>
    <row r="5864">
      <c r="A5864">
        <f>IFERROR(INDEX('Email Cleaner'!$B$2:$B$10001,MATCH(5863,'Email Cleaner'!$J$2:$J$10001,0)),"")</f>
        <v/>
      </c>
    </row>
    <row r="5865">
      <c r="A5865">
        <f>IFERROR(INDEX('Email Cleaner'!$B$2:$B$10001,MATCH(5864,'Email Cleaner'!$J$2:$J$10001,0)),"")</f>
        <v/>
      </c>
    </row>
    <row r="5866">
      <c r="A5866">
        <f>IFERROR(INDEX('Email Cleaner'!$B$2:$B$10001,MATCH(5865,'Email Cleaner'!$J$2:$J$10001,0)),"")</f>
        <v/>
      </c>
    </row>
    <row r="5867">
      <c r="A5867">
        <f>IFERROR(INDEX('Email Cleaner'!$B$2:$B$10001,MATCH(5866,'Email Cleaner'!$J$2:$J$10001,0)),"")</f>
        <v/>
      </c>
    </row>
    <row r="5868">
      <c r="A5868">
        <f>IFERROR(INDEX('Email Cleaner'!$B$2:$B$10001,MATCH(5867,'Email Cleaner'!$J$2:$J$10001,0)),"")</f>
        <v/>
      </c>
    </row>
    <row r="5869">
      <c r="A5869">
        <f>IFERROR(INDEX('Email Cleaner'!$B$2:$B$10001,MATCH(5868,'Email Cleaner'!$J$2:$J$10001,0)),"")</f>
        <v/>
      </c>
    </row>
    <row r="5870">
      <c r="A5870">
        <f>IFERROR(INDEX('Email Cleaner'!$B$2:$B$10001,MATCH(5869,'Email Cleaner'!$J$2:$J$10001,0)),"")</f>
        <v/>
      </c>
    </row>
    <row r="5871">
      <c r="A5871">
        <f>IFERROR(INDEX('Email Cleaner'!$B$2:$B$10001,MATCH(5870,'Email Cleaner'!$J$2:$J$10001,0)),"")</f>
        <v/>
      </c>
    </row>
    <row r="5872">
      <c r="A5872">
        <f>IFERROR(INDEX('Email Cleaner'!$B$2:$B$10001,MATCH(5871,'Email Cleaner'!$J$2:$J$10001,0)),"")</f>
        <v/>
      </c>
    </row>
    <row r="5873">
      <c r="A5873">
        <f>IFERROR(INDEX('Email Cleaner'!$B$2:$B$10001,MATCH(5872,'Email Cleaner'!$J$2:$J$10001,0)),"")</f>
        <v/>
      </c>
    </row>
    <row r="5874">
      <c r="A5874">
        <f>IFERROR(INDEX('Email Cleaner'!$B$2:$B$10001,MATCH(5873,'Email Cleaner'!$J$2:$J$10001,0)),"")</f>
        <v/>
      </c>
    </row>
    <row r="5875">
      <c r="A5875">
        <f>IFERROR(INDEX('Email Cleaner'!$B$2:$B$10001,MATCH(5874,'Email Cleaner'!$J$2:$J$10001,0)),"")</f>
        <v/>
      </c>
    </row>
    <row r="5876">
      <c r="A5876">
        <f>IFERROR(INDEX('Email Cleaner'!$B$2:$B$10001,MATCH(5875,'Email Cleaner'!$J$2:$J$10001,0)),"")</f>
        <v/>
      </c>
    </row>
    <row r="5877">
      <c r="A5877">
        <f>IFERROR(INDEX('Email Cleaner'!$B$2:$B$10001,MATCH(5876,'Email Cleaner'!$J$2:$J$10001,0)),"")</f>
        <v/>
      </c>
    </row>
    <row r="5878">
      <c r="A5878">
        <f>IFERROR(INDEX('Email Cleaner'!$B$2:$B$10001,MATCH(5877,'Email Cleaner'!$J$2:$J$10001,0)),"")</f>
        <v/>
      </c>
    </row>
    <row r="5879">
      <c r="A5879">
        <f>IFERROR(INDEX('Email Cleaner'!$B$2:$B$10001,MATCH(5878,'Email Cleaner'!$J$2:$J$10001,0)),"")</f>
        <v/>
      </c>
    </row>
    <row r="5880">
      <c r="A5880">
        <f>IFERROR(INDEX('Email Cleaner'!$B$2:$B$10001,MATCH(5879,'Email Cleaner'!$J$2:$J$10001,0)),"")</f>
        <v/>
      </c>
    </row>
    <row r="5881">
      <c r="A5881">
        <f>IFERROR(INDEX('Email Cleaner'!$B$2:$B$10001,MATCH(5880,'Email Cleaner'!$J$2:$J$10001,0)),"")</f>
        <v/>
      </c>
    </row>
    <row r="5882">
      <c r="A5882">
        <f>IFERROR(INDEX('Email Cleaner'!$B$2:$B$10001,MATCH(5881,'Email Cleaner'!$J$2:$J$10001,0)),"")</f>
        <v/>
      </c>
    </row>
    <row r="5883">
      <c r="A5883">
        <f>IFERROR(INDEX('Email Cleaner'!$B$2:$B$10001,MATCH(5882,'Email Cleaner'!$J$2:$J$10001,0)),"")</f>
        <v/>
      </c>
    </row>
    <row r="5884">
      <c r="A5884">
        <f>IFERROR(INDEX('Email Cleaner'!$B$2:$B$10001,MATCH(5883,'Email Cleaner'!$J$2:$J$10001,0)),"")</f>
        <v/>
      </c>
    </row>
    <row r="5885">
      <c r="A5885">
        <f>IFERROR(INDEX('Email Cleaner'!$B$2:$B$10001,MATCH(5884,'Email Cleaner'!$J$2:$J$10001,0)),"")</f>
        <v/>
      </c>
    </row>
    <row r="5886">
      <c r="A5886">
        <f>IFERROR(INDEX('Email Cleaner'!$B$2:$B$10001,MATCH(5885,'Email Cleaner'!$J$2:$J$10001,0)),"")</f>
        <v/>
      </c>
    </row>
    <row r="5887">
      <c r="A5887">
        <f>IFERROR(INDEX('Email Cleaner'!$B$2:$B$10001,MATCH(5886,'Email Cleaner'!$J$2:$J$10001,0)),"")</f>
        <v/>
      </c>
    </row>
    <row r="5888">
      <c r="A5888">
        <f>IFERROR(INDEX('Email Cleaner'!$B$2:$B$10001,MATCH(5887,'Email Cleaner'!$J$2:$J$10001,0)),"")</f>
        <v/>
      </c>
    </row>
    <row r="5889">
      <c r="A5889">
        <f>IFERROR(INDEX('Email Cleaner'!$B$2:$B$10001,MATCH(5888,'Email Cleaner'!$J$2:$J$10001,0)),"")</f>
        <v/>
      </c>
    </row>
    <row r="5890">
      <c r="A5890">
        <f>IFERROR(INDEX('Email Cleaner'!$B$2:$B$10001,MATCH(5889,'Email Cleaner'!$J$2:$J$10001,0)),"")</f>
        <v/>
      </c>
    </row>
    <row r="5891">
      <c r="A5891">
        <f>IFERROR(INDEX('Email Cleaner'!$B$2:$B$10001,MATCH(5890,'Email Cleaner'!$J$2:$J$10001,0)),"")</f>
        <v/>
      </c>
    </row>
    <row r="5892">
      <c r="A5892">
        <f>IFERROR(INDEX('Email Cleaner'!$B$2:$B$10001,MATCH(5891,'Email Cleaner'!$J$2:$J$10001,0)),"")</f>
        <v/>
      </c>
    </row>
    <row r="5893">
      <c r="A5893">
        <f>IFERROR(INDEX('Email Cleaner'!$B$2:$B$10001,MATCH(5892,'Email Cleaner'!$J$2:$J$10001,0)),"")</f>
        <v/>
      </c>
    </row>
    <row r="5894">
      <c r="A5894">
        <f>IFERROR(INDEX('Email Cleaner'!$B$2:$B$10001,MATCH(5893,'Email Cleaner'!$J$2:$J$10001,0)),"")</f>
        <v/>
      </c>
    </row>
    <row r="5895">
      <c r="A5895">
        <f>IFERROR(INDEX('Email Cleaner'!$B$2:$B$10001,MATCH(5894,'Email Cleaner'!$J$2:$J$10001,0)),"")</f>
        <v/>
      </c>
    </row>
    <row r="5896">
      <c r="A5896">
        <f>IFERROR(INDEX('Email Cleaner'!$B$2:$B$10001,MATCH(5895,'Email Cleaner'!$J$2:$J$10001,0)),"")</f>
        <v/>
      </c>
    </row>
    <row r="5897">
      <c r="A5897">
        <f>IFERROR(INDEX('Email Cleaner'!$B$2:$B$10001,MATCH(5896,'Email Cleaner'!$J$2:$J$10001,0)),"")</f>
        <v/>
      </c>
    </row>
    <row r="5898">
      <c r="A5898">
        <f>IFERROR(INDEX('Email Cleaner'!$B$2:$B$10001,MATCH(5897,'Email Cleaner'!$J$2:$J$10001,0)),"")</f>
        <v/>
      </c>
    </row>
    <row r="5899">
      <c r="A5899">
        <f>IFERROR(INDEX('Email Cleaner'!$B$2:$B$10001,MATCH(5898,'Email Cleaner'!$J$2:$J$10001,0)),"")</f>
        <v/>
      </c>
    </row>
    <row r="5900">
      <c r="A5900">
        <f>IFERROR(INDEX('Email Cleaner'!$B$2:$B$10001,MATCH(5899,'Email Cleaner'!$J$2:$J$10001,0)),"")</f>
        <v/>
      </c>
    </row>
    <row r="5901">
      <c r="A5901">
        <f>IFERROR(INDEX('Email Cleaner'!$B$2:$B$10001,MATCH(5900,'Email Cleaner'!$J$2:$J$10001,0)),"")</f>
        <v/>
      </c>
    </row>
    <row r="5902">
      <c r="A5902">
        <f>IFERROR(INDEX('Email Cleaner'!$B$2:$B$10001,MATCH(5901,'Email Cleaner'!$J$2:$J$10001,0)),"")</f>
        <v/>
      </c>
    </row>
    <row r="5903">
      <c r="A5903">
        <f>IFERROR(INDEX('Email Cleaner'!$B$2:$B$10001,MATCH(5902,'Email Cleaner'!$J$2:$J$10001,0)),"")</f>
        <v/>
      </c>
    </row>
    <row r="5904">
      <c r="A5904">
        <f>IFERROR(INDEX('Email Cleaner'!$B$2:$B$10001,MATCH(5903,'Email Cleaner'!$J$2:$J$10001,0)),"")</f>
        <v/>
      </c>
    </row>
    <row r="5905">
      <c r="A5905">
        <f>IFERROR(INDEX('Email Cleaner'!$B$2:$B$10001,MATCH(5904,'Email Cleaner'!$J$2:$J$10001,0)),"")</f>
        <v/>
      </c>
    </row>
    <row r="5906">
      <c r="A5906">
        <f>IFERROR(INDEX('Email Cleaner'!$B$2:$B$10001,MATCH(5905,'Email Cleaner'!$J$2:$J$10001,0)),"")</f>
        <v/>
      </c>
    </row>
    <row r="5907">
      <c r="A5907">
        <f>IFERROR(INDEX('Email Cleaner'!$B$2:$B$10001,MATCH(5906,'Email Cleaner'!$J$2:$J$10001,0)),"")</f>
        <v/>
      </c>
    </row>
    <row r="5908">
      <c r="A5908">
        <f>IFERROR(INDEX('Email Cleaner'!$B$2:$B$10001,MATCH(5907,'Email Cleaner'!$J$2:$J$10001,0)),"")</f>
        <v/>
      </c>
    </row>
    <row r="5909">
      <c r="A5909">
        <f>IFERROR(INDEX('Email Cleaner'!$B$2:$B$10001,MATCH(5908,'Email Cleaner'!$J$2:$J$10001,0)),"")</f>
        <v/>
      </c>
    </row>
    <row r="5910">
      <c r="A5910">
        <f>IFERROR(INDEX('Email Cleaner'!$B$2:$B$10001,MATCH(5909,'Email Cleaner'!$J$2:$J$10001,0)),"")</f>
        <v/>
      </c>
    </row>
    <row r="5911">
      <c r="A5911">
        <f>IFERROR(INDEX('Email Cleaner'!$B$2:$B$10001,MATCH(5910,'Email Cleaner'!$J$2:$J$10001,0)),"")</f>
        <v/>
      </c>
    </row>
    <row r="5912">
      <c r="A5912">
        <f>IFERROR(INDEX('Email Cleaner'!$B$2:$B$10001,MATCH(5911,'Email Cleaner'!$J$2:$J$10001,0)),"")</f>
        <v/>
      </c>
    </row>
    <row r="5913">
      <c r="A5913">
        <f>IFERROR(INDEX('Email Cleaner'!$B$2:$B$10001,MATCH(5912,'Email Cleaner'!$J$2:$J$10001,0)),"")</f>
        <v/>
      </c>
    </row>
    <row r="5914">
      <c r="A5914">
        <f>IFERROR(INDEX('Email Cleaner'!$B$2:$B$10001,MATCH(5913,'Email Cleaner'!$J$2:$J$10001,0)),"")</f>
        <v/>
      </c>
    </row>
    <row r="5915">
      <c r="A5915">
        <f>IFERROR(INDEX('Email Cleaner'!$B$2:$B$10001,MATCH(5914,'Email Cleaner'!$J$2:$J$10001,0)),"")</f>
        <v/>
      </c>
    </row>
    <row r="5916">
      <c r="A5916">
        <f>IFERROR(INDEX('Email Cleaner'!$B$2:$B$10001,MATCH(5915,'Email Cleaner'!$J$2:$J$10001,0)),"")</f>
        <v/>
      </c>
    </row>
    <row r="5917">
      <c r="A5917">
        <f>IFERROR(INDEX('Email Cleaner'!$B$2:$B$10001,MATCH(5916,'Email Cleaner'!$J$2:$J$10001,0)),"")</f>
        <v/>
      </c>
    </row>
    <row r="5918">
      <c r="A5918">
        <f>IFERROR(INDEX('Email Cleaner'!$B$2:$B$10001,MATCH(5917,'Email Cleaner'!$J$2:$J$10001,0)),"")</f>
        <v/>
      </c>
    </row>
    <row r="5919">
      <c r="A5919">
        <f>IFERROR(INDEX('Email Cleaner'!$B$2:$B$10001,MATCH(5918,'Email Cleaner'!$J$2:$J$10001,0)),"")</f>
        <v/>
      </c>
    </row>
    <row r="5920">
      <c r="A5920">
        <f>IFERROR(INDEX('Email Cleaner'!$B$2:$B$10001,MATCH(5919,'Email Cleaner'!$J$2:$J$10001,0)),"")</f>
        <v/>
      </c>
    </row>
    <row r="5921">
      <c r="A5921">
        <f>IFERROR(INDEX('Email Cleaner'!$B$2:$B$10001,MATCH(5920,'Email Cleaner'!$J$2:$J$10001,0)),"")</f>
        <v/>
      </c>
    </row>
    <row r="5922">
      <c r="A5922">
        <f>IFERROR(INDEX('Email Cleaner'!$B$2:$B$10001,MATCH(5921,'Email Cleaner'!$J$2:$J$10001,0)),"")</f>
        <v/>
      </c>
    </row>
    <row r="5923">
      <c r="A5923">
        <f>IFERROR(INDEX('Email Cleaner'!$B$2:$B$10001,MATCH(5922,'Email Cleaner'!$J$2:$J$10001,0)),"")</f>
        <v/>
      </c>
    </row>
    <row r="5924">
      <c r="A5924">
        <f>IFERROR(INDEX('Email Cleaner'!$B$2:$B$10001,MATCH(5923,'Email Cleaner'!$J$2:$J$10001,0)),"")</f>
        <v/>
      </c>
    </row>
    <row r="5925">
      <c r="A5925">
        <f>IFERROR(INDEX('Email Cleaner'!$B$2:$B$10001,MATCH(5924,'Email Cleaner'!$J$2:$J$10001,0)),"")</f>
        <v/>
      </c>
    </row>
    <row r="5926">
      <c r="A5926">
        <f>IFERROR(INDEX('Email Cleaner'!$B$2:$B$10001,MATCH(5925,'Email Cleaner'!$J$2:$J$10001,0)),"")</f>
        <v/>
      </c>
    </row>
    <row r="5927">
      <c r="A5927">
        <f>IFERROR(INDEX('Email Cleaner'!$B$2:$B$10001,MATCH(5926,'Email Cleaner'!$J$2:$J$10001,0)),"")</f>
        <v/>
      </c>
    </row>
    <row r="5928">
      <c r="A5928">
        <f>IFERROR(INDEX('Email Cleaner'!$B$2:$B$10001,MATCH(5927,'Email Cleaner'!$J$2:$J$10001,0)),"")</f>
        <v/>
      </c>
    </row>
    <row r="5929">
      <c r="A5929">
        <f>IFERROR(INDEX('Email Cleaner'!$B$2:$B$10001,MATCH(5928,'Email Cleaner'!$J$2:$J$10001,0)),"")</f>
        <v/>
      </c>
    </row>
    <row r="5930">
      <c r="A5930">
        <f>IFERROR(INDEX('Email Cleaner'!$B$2:$B$10001,MATCH(5929,'Email Cleaner'!$J$2:$J$10001,0)),"")</f>
        <v/>
      </c>
    </row>
    <row r="5931">
      <c r="A5931">
        <f>IFERROR(INDEX('Email Cleaner'!$B$2:$B$10001,MATCH(5930,'Email Cleaner'!$J$2:$J$10001,0)),"")</f>
        <v/>
      </c>
    </row>
    <row r="5932">
      <c r="A5932">
        <f>IFERROR(INDEX('Email Cleaner'!$B$2:$B$10001,MATCH(5931,'Email Cleaner'!$J$2:$J$10001,0)),"")</f>
        <v/>
      </c>
    </row>
    <row r="5933">
      <c r="A5933">
        <f>IFERROR(INDEX('Email Cleaner'!$B$2:$B$10001,MATCH(5932,'Email Cleaner'!$J$2:$J$10001,0)),"")</f>
        <v/>
      </c>
    </row>
    <row r="5934">
      <c r="A5934">
        <f>IFERROR(INDEX('Email Cleaner'!$B$2:$B$10001,MATCH(5933,'Email Cleaner'!$J$2:$J$10001,0)),"")</f>
        <v/>
      </c>
    </row>
    <row r="5935">
      <c r="A5935">
        <f>IFERROR(INDEX('Email Cleaner'!$B$2:$B$10001,MATCH(5934,'Email Cleaner'!$J$2:$J$10001,0)),"")</f>
        <v/>
      </c>
    </row>
    <row r="5936">
      <c r="A5936">
        <f>IFERROR(INDEX('Email Cleaner'!$B$2:$B$10001,MATCH(5935,'Email Cleaner'!$J$2:$J$10001,0)),"")</f>
        <v/>
      </c>
    </row>
    <row r="5937">
      <c r="A5937">
        <f>IFERROR(INDEX('Email Cleaner'!$B$2:$B$10001,MATCH(5936,'Email Cleaner'!$J$2:$J$10001,0)),"")</f>
        <v/>
      </c>
    </row>
    <row r="5938">
      <c r="A5938">
        <f>IFERROR(INDEX('Email Cleaner'!$B$2:$B$10001,MATCH(5937,'Email Cleaner'!$J$2:$J$10001,0)),"")</f>
        <v/>
      </c>
    </row>
    <row r="5939">
      <c r="A5939">
        <f>IFERROR(INDEX('Email Cleaner'!$B$2:$B$10001,MATCH(5938,'Email Cleaner'!$J$2:$J$10001,0)),"")</f>
        <v/>
      </c>
    </row>
    <row r="5940">
      <c r="A5940">
        <f>IFERROR(INDEX('Email Cleaner'!$B$2:$B$10001,MATCH(5939,'Email Cleaner'!$J$2:$J$10001,0)),"")</f>
        <v/>
      </c>
    </row>
    <row r="5941">
      <c r="A5941">
        <f>IFERROR(INDEX('Email Cleaner'!$B$2:$B$10001,MATCH(5940,'Email Cleaner'!$J$2:$J$10001,0)),"")</f>
        <v/>
      </c>
    </row>
    <row r="5942">
      <c r="A5942">
        <f>IFERROR(INDEX('Email Cleaner'!$B$2:$B$10001,MATCH(5941,'Email Cleaner'!$J$2:$J$10001,0)),"")</f>
        <v/>
      </c>
    </row>
    <row r="5943">
      <c r="A5943">
        <f>IFERROR(INDEX('Email Cleaner'!$B$2:$B$10001,MATCH(5942,'Email Cleaner'!$J$2:$J$10001,0)),"")</f>
        <v/>
      </c>
    </row>
    <row r="5944">
      <c r="A5944">
        <f>IFERROR(INDEX('Email Cleaner'!$B$2:$B$10001,MATCH(5943,'Email Cleaner'!$J$2:$J$10001,0)),"")</f>
        <v/>
      </c>
    </row>
    <row r="5945">
      <c r="A5945">
        <f>IFERROR(INDEX('Email Cleaner'!$B$2:$B$10001,MATCH(5944,'Email Cleaner'!$J$2:$J$10001,0)),"")</f>
        <v/>
      </c>
    </row>
    <row r="5946">
      <c r="A5946">
        <f>IFERROR(INDEX('Email Cleaner'!$B$2:$B$10001,MATCH(5945,'Email Cleaner'!$J$2:$J$10001,0)),"")</f>
        <v/>
      </c>
    </row>
    <row r="5947">
      <c r="A5947">
        <f>IFERROR(INDEX('Email Cleaner'!$B$2:$B$10001,MATCH(5946,'Email Cleaner'!$J$2:$J$10001,0)),"")</f>
        <v/>
      </c>
    </row>
    <row r="5948">
      <c r="A5948">
        <f>IFERROR(INDEX('Email Cleaner'!$B$2:$B$10001,MATCH(5947,'Email Cleaner'!$J$2:$J$10001,0)),"")</f>
        <v/>
      </c>
    </row>
    <row r="5949">
      <c r="A5949">
        <f>IFERROR(INDEX('Email Cleaner'!$B$2:$B$10001,MATCH(5948,'Email Cleaner'!$J$2:$J$10001,0)),"")</f>
        <v/>
      </c>
    </row>
    <row r="5950">
      <c r="A5950">
        <f>IFERROR(INDEX('Email Cleaner'!$B$2:$B$10001,MATCH(5949,'Email Cleaner'!$J$2:$J$10001,0)),"")</f>
        <v/>
      </c>
    </row>
    <row r="5951">
      <c r="A5951">
        <f>IFERROR(INDEX('Email Cleaner'!$B$2:$B$10001,MATCH(5950,'Email Cleaner'!$J$2:$J$10001,0)),"")</f>
        <v/>
      </c>
    </row>
    <row r="5952">
      <c r="A5952">
        <f>IFERROR(INDEX('Email Cleaner'!$B$2:$B$10001,MATCH(5951,'Email Cleaner'!$J$2:$J$10001,0)),"")</f>
        <v/>
      </c>
    </row>
    <row r="5953">
      <c r="A5953">
        <f>IFERROR(INDEX('Email Cleaner'!$B$2:$B$10001,MATCH(5952,'Email Cleaner'!$J$2:$J$10001,0)),"")</f>
        <v/>
      </c>
    </row>
    <row r="5954">
      <c r="A5954">
        <f>IFERROR(INDEX('Email Cleaner'!$B$2:$B$10001,MATCH(5953,'Email Cleaner'!$J$2:$J$10001,0)),"")</f>
        <v/>
      </c>
    </row>
    <row r="5955">
      <c r="A5955">
        <f>IFERROR(INDEX('Email Cleaner'!$B$2:$B$10001,MATCH(5954,'Email Cleaner'!$J$2:$J$10001,0)),"")</f>
        <v/>
      </c>
    </row>
    <row r="5956">
      <c r="A5956">
        <f>IFERROR(INDEX('Email Cleaner'!$B$2:$B$10001,MATCH(5955,'Email Cleaner'!$J$2:$J$10001,0)),"")</f>
        <v/>
      </c>
    </row>
    <row r="5957">
      <c r="A5957">
        <f>IFERROR(INDEX('Email Cleaner'!$B$2:$B$10001,MATCH(5956,'Email Cleaner'!$J$2:$J$10001,0)),"")</f>
        <v/>
      </c>
    </row>
    <row r="5958">
      <c r="A5958">
        <f>IFERROR(INDEX('Email Cleaner'!$B$2:$B$10001,MATCH(5957,'Email Cleaner'!$J$2:$J$10001,0)),"")</f>
        <v/>
      </c>
    </row>
    <row r="5959">
      <c r="A5959">
        <f>IFERROR(INDEX('Email Cleaner'!$B$2:$B$10001,MATCH(5958,'Email Cleaner'!$J$2:$J$10001,0)),"")</f>
        <v/>
      </c>
    </row>
    <row r="5960">
      <c r="A5960">
        <f>IFERROR(INDEX('Email Cleaner'!$B$2:$B$10001,MATCH(5959,'Email Cleaner'!$J$2:$J$10001,0)),"")</f>
        <v/>
      </c>
    </row>
    <row r="5961">
      <c r="A5961">
        <f>IFERROR(INDEX('Email Cleaner'!$B$2:$B$10001,MATCH(5960,'Email Cleaner'!$J$2:$J$10001,0)),"")</f>
        <v/>
      </c>
    </row>
    <row r="5962">
      <c r="A5962">
        <f>IFERROR(INDEX('Email Cleaner'!$B$2:$B$10001,MATCH(5961,'Email Cleaner'!$J$2:$J$10001,0)),"")</f>
        <v/>
      </c>
    </row>
    <row r="5963">
      <c r="A5963">
        <f>IFERROR(INDEX('Email Cleaner'!$B$2:$B$10001,MATCH(5962,'Email Cleaner'!$J$2:$J$10001,0)),"")</f>
        <v/>
      </c>
    </row>
    <row r="5964">
      <c r="A5964">
        <f>IFERROR(INDEX('Email Cleaner'!$B$2:$B$10001,MATCH(5963,'Email Cleaner'!$J$2:$J$10001,0)),"")</f>
        <v/>
      </c>
    </row>
    <row r="5965">
      <c r="A5965">
        <f>IFERROR(INDEX('Email Cleaner'!$B$2:$B$10001,MATCH(5964,'Email Cleaner'!$J$2:$J$10001,0)),"")</f>
        <v/>
      </c>
    </row>
    <row r="5966">
      <c r="A5966">
        <f>IFERROR(INDEX('Email Cleaner'!$B$2:$B$10001,MATCH(5965,'Email Cleaner'!$J$2:$J$10001,0)),"")</f>
        <v/>
      </c>
    </row>
    <row r="5967">
      <c r="A5967">
        <f>IFERROR(INDEX('Email Cleaner'!$B$2:$B$10001,MATCH(5966,'Email Cleaner'!$J$2:$J$10001,0)),"")</f>
        <v/>
      </c>
    </row>
    <row r="5968">
      <c r="A5968">
        <f>IFERROR(INDEX('Email Cleaner'!$B$2:$B$10001,MATCH(5967,'Email Cleaner'!$J$2:$J$10001,0)),"")</f>
        <v/>
      </c>
    </row>
    <row r="5969">
      <c r="A5969">
        <f>IFERROR(INDEX('Email Cleaner'!$B$2:$B$10001,MATCH(5968,'Email Cleaner'!$J$2:$J$10001,0)),"")</f>
        <v/>
      </c>
    </row>
    <row r="5970">
      <c r="A5970">
        <f>IFERROR(INDEX('Email Cleaner'!$B$2:$B$10001,MATCH(5969,'Email Cleaner'!$J$2:$J$10001,0)),"")</f>
        <v/>
      </c>
    </row>
    <row r="5971">
      <c r="A5971">
        <f>IFERROR(INDEX('Email Cleaner'!$B$2:$B$10001,MATCH(5970,'Email Cleaner'!$J$2:$J$10001,0)),"")</f>
        <v/>
      </c>
    </row>
    <row r="5972">
      <c r="A5972">
        <f>IFERROR(INDEX('Email Cleaner'!$B$2:$B$10001,MATCH(5971,'Email Cleaner'!$J$2:$J$10001,0)),"")</f>
        <v/>
      </c>
    </row>
    <row r="5973">
      <c r="A5973">
        <f>IFERROR(INDEX('Email Cleaner'!$B$2:$B$10001,MATCH(5972,'Email Cleaner'!$J$2:$J$10001,0)),"")</f>
        <v/>
      </c>
    </row>
    <row r="5974">
      <c r="A5974">
        <f>IFERROR(INDEX('Email Cleaner'!$B$2:$B$10001,MATCH(5973,'Email Cleaner'!$J$2:$J$10001,0)),"")</f>
        <v/>
      </c>
    </row>
    <row r="5975">
      <c r="A5975">
        <f>IFERROR(INDEX('Email Cleaner'!$B$2:$B$10001,MATCH(5974,'Email Cleaner'!$J$2:$J$10001,0)),"")</f>
        <v/>
      </c>
    </row>
    <row r="5976">
      <c r="A5976">
        <f>IFERROR(INDEX('Email Cleaner'!$B$2:$B$10001,MATCH(5975,'Email Cleaner'!$J$2:$J$10001,0)),"")</f>
        <v/>
      </c>
    </row>
    <row r="5977">
      <c r="A5977">
        <f>IFERROR(INDEX('Email Cleaner'!$B$2:$B$10001,MATCH(5976,'Email Cleaner'!$J$2:$J$10001,0)),"")</f>
        <v/>
      </c>
    </row>
    <row r="5978">
      <c r="A5978">
        <f>IFERROR(INDEX('Email Cleaner'!$B$2:$B$10001,MATCH(5977,'Email Cleaner'!$J$2:$J$10001,0)),"")</f>
        <v/>
      </c>
    </row>
    <row r="5979">
      <c r="A5979">
        <f>IFERROR(INDEX('Email Cleaner'!$B$2:$B$10001,MATCH(5978,'Email Cleaner'!$J$2:$J$10001,0)),"")</f>
        <v/>
      </c>
    </row>
    <row r="5980">
      <c r="A5980">
        <f>IFERROR(INDEX('Email Cleaner'!$B$2:$B$10001,MATCH(5979,'Email Cleaner'!$J$2:$J$10001,0)),"")</f>
        <v/>
      </c>
    </row>
    <row r="5981">
      <c r="A5981">
        <f>IFERROR(INDEX('Email Cleaner'!$B$2:$B$10001,MATCH(5980,'Email Cleaner'!$J$2:$J$10001,0)),"")</f>
        <v/>
      </c>
    </row>
    <row r="5982">
      <c r="A5982">
        <f>IFERROR(INDEX('Email Cleaner'!$B$2:$B$10001,MATCH(5981,'Email Cleaner'!$J$2:$J$10001,0)),"")</f>
        <v/>
      </c>
    </row>
    <row r="5983">
      <c r="A5983">
        <f>IFERROR(INDEX('Email Cleaner'!$B$2:$B$10001,MATCH(5982,'Email Cleaner'!$J$2:$J$10001,0)),"")</f>
        <v/>
      </c>
    </row>
    <row r="5984">
      <c r="A5984">
        <f>IFERROR(INDEX('Email Cleaner'!$B$2:$B$10001,MATCH(5983,'Email Cleaner'!$J$2:$J$10001,0)),"")</f>
        <v/>
      </c>
    </row>
    <row r="5985">
      <c r="A5985">
        <f>IFERROR(INDEX('Email Cleaner'!$B$2:$B$10001,MATCH(5984,'Email Cleaner'!$J$2:$J$10001,0)),"")</f>
        <v/>
      </c>
    </row>
    <row r="5986">
      <c r="A5986">
        <f>IFERROR(INDEX('Email Cleaner'!$B$2:$B$10001,MATCH(5985,'Email Cleaner'!$J$2:$J$10001,0)),"")</f>
        <v/>
      </c>
    </row>
    <row r="5987">
      <c r="A5987">
        <f>IFERROR(INDEX('Email Cleaner'!$B$2:$B$10001,MATCH(5986,'Email Cleaner'!$J$2:$J$10001,0)),"")</f>
        <v/>
      </c>
    </row>
    <row r="5988">
      <c r="A5988">
        <f>IFERROR(INDEX('Email Cleaner'!$B$2:$B$10001,MATCH(5987,'Email Cleaner'!$J$2:$J$10001,0)),"")</f>
        <v/>
      </c>
    </row>
    <row r="5989">
      <c r="A5989">
        <f>IFERROR(INDEX('Email Cleaner'!$B$2:$B$10001,MATCH(5988,'Email Cleaner'!$J$2:$J$10001,0)),"")</f>
        <v/>
      </c>
    </row>
    <row r="5990">
      <c r="A5990">
        <f>IFERROR(INDEX('Email Cleaner'!$B$2:$B$10001,MATCH(5989,'Email Cleaner'!$J$2:$J$10001,0)),"")</f>
        <v/>
      </c>
    </row>
    <row r="5991">
      <c r="A5991">
        <f>IFERROR(INDEX('Email Cleaner'!$B$2:$B$10001,MATCH(5990,'Email Cleaner'!$J$2:$J$10001,0)),"")</f>
        <v/>
      </c>
    </row>
    <row r="5992">
      <c r="A5992">
        <f>IFERROR(INDEX('Email Cleaner'!$B$2:$B$10001,MATCH(5991,'Email Cleaner'!$J$2:$J$10001,0)),"")</f>
        <v/>
      </c>
    </row>
    <row r="5993">
      <c r="A5993">
        <f>IFERROR(INDEX('Email Cleaner'!$B$2:$B$10001,MATCH(5992,'Email Cleaner'!$J$2:$J$10001,0)),"")</f>
        <v/>
      </c>
    </row>
    <row r="5994">
      <c r="A5994">
        <f>IFERROR(INDEX('Email Cleaner'!$B$2:$B$10001,MATCH(5993,'Email Cleaner'!$J$2:$J$10001,0)),"")</f>
        <v/>
      </c>
    </row>
    <row r="5995">
      <c r="A5995">
        <f>IFERROR(INDEX('Email Cleaner'!$B$2:$B$10001,MATCH(5994,'Email Cleaner'!$J$2:$J$10001,0)),"")</f>
        <v/>
      </c>
    </row>
    <row r="5996">
      <c r="A5996">
        <f>IFERROR(INDEX('Email Cleaner'!$B$2:$B$10001,MATCH(5995,'Email Cleaner'!$J$2:$J$10001,0)),"")</f>
        <v/>
      </c>
    </row>
    <row r="5997">
      <c r="A5997">
        <f>IFERROR(INDEX('Email Cleaner'!$B$2:$B$10001,MATCH(5996,'Email Cleaner'!$J$2:$J$10001,0)),"")</f>
        <v/>
      </c>
    </row>
    <row r="5998">
      <c r="A5998">
        <f>IFERROR(INDEX('Email Cleaner'!$B$2:$B$10001,MATCH(5997,'Email Cleaner'!$J$2:$J$10001,0)),"")</f>
        <v/>
      </c>
    </row>
    <row r="5999">
      <c r="A5999">
        <f>IFERROR(INDEX('Email Cleaner'!$B$2:$B$10001,MATCH(5998,'Email Cleaner'!$J$2:$J$10001,0)),"")</f>
        <v/>
      </c>
    </row>
    <row r="6000">
      <c r="A6000">
        <f>IFERROR(INDEX('Email Cleaner'!$B$2:$B$10001,MATCH(5999,'Email Cleaner'!$J$2:$J$10001,0)),"")</f>
        <v/>
      </c>
    </row>
    <row r="6001">
      <c r="A6001">
        <f>IFERROR(INDEX('Email Cleaner'!$B$2:$B$10001,MATCH(6000,'Email Cleaner'!$J$2:$J$10001,0)),"")</f>
        <v/>
      </c>
    </row>
    <row r="6002">
      <c r="A6002">
        <f>IFERROR(INDEX('Email Cleaner'!$B$2:$B$10001,MATCH(6001,'Email Cleaner'!$J$2:$J$10001,0)),"")</f>
        <v/>
      </c>
    </row>
    <row r="6003">
      <c r="A6003">
        <f>IFERROR(INDEX('Email Cleaner'!$B$2:$B$10001,MATCH(6002,'Email Cleaner'!$J$2:$J$10001,0)),"")</f>
        <v/>
      </c>
    </row>
    <row r="6004">
      <c r="A6004">
        <f>IFERROR(INDEX('Email Cleaner'!$B$2:$B$10001,MATCH(6003,'Email Cleaner'!$J$2:$J$10001,0)),"")</f>
        <v/>
      </c>
    </row>
    <row r="6005">
      <c r="A6005">
        <f>IFERROR(INDEX('Email Cleaner'!$B$2:$B$10001,MATCH(6004,'Email Cleaner'!$J$2:$J$10001,0)),"")</f>
        <v/>
      </c>
    </row>
    <row r="6006">
      <c r="A6006">
        <f>IFERROR(INDEX('Email Cleaner'!$B$2:$B$10001,MATCH(6005,'Email Cleaner'!$J$2:$J$10001,0)),"")</f>
        <v/>
      </c>
    </row>
    <row r="6007">
      <c r="A6007">
        <f>IFERROR(INDEX('Email Cleaner'!$B$2:$B$10001,MATCH(6006,'Email Cleaner'!$J$2:$J$10001,0)),"")</f>
        <v/>
      </c>
    </row>
    <row r="6008">
      <c r="A6008">
        <f>IFERROR(INDEX('Email Cleaner'!$B$2:$B$10001,MATCH(6007,'Email Cleaner'!$J$2:$J$10001,0)),"")</f>
        <v/>
      </c>
    </row>
    <row r="6009">
      <c r="A6009">
        <f>IFERROR(INDEX('Email Cleaner'!$B$2:$B$10001,MATCH(6008,'Email Cleaner'!$J$2:$J$10001,0)),"")</f>
        <v/>
      </c>
    </row>
    <row r="6010">
      <c r="A6010">
        <f>IFERROR(INDEX('Email Cleaner'!$B$2:$B$10001,MATCH(6009,'Email Cleaner'!$J$2:$J$10001,0)),"")</f>
        <v/>
      </c>
    </row>
    <row r="6011">
      <c r="A6011">
        <f>IFERROR(INDEX('Email Cleaner'!$B$2:$B$10001,MATCH(6010,'Email Cleaner'!$J$2:$J$10001,0)),"")</f>
        <v/>
      </c>
    </row>
    <row r="6012">
      <c r="A6012">
        <f>IFERROR(INDEX('Email Cleaner'!$B$2:$B$10001,MATCH(6011,'Email Cleaner'!$J$2:$J$10001,0)),"")</f>
        <v/>
      </c>
    </row>
    <row r="6013">
      <c r="A6013">
        <f>IFERROR(INDEX('Email Cleaner'!$B$2:$B$10001,MATCH(6012,'Email Cleaner'!$J$2:$J$10001,0)),"")</f>
        <v/>
      </c>
    </row>
    <row r="6014">
      <c r="A6014">
        <f>IFERROR(INDEX('Email Cleaner'!$B$2:$B$10001,MATCH(6013,'Email Cleaner'!$J$2:$J$10001,0)),"")</f>
        <v/>
      </c>
    </row>
    <row r="6015">
      <c r="A6015">
        <f>IFERROR(INDEX('Email Cleaner'!$B$2:$B$10001,MATCH(6014,'Email Cleaner'!$J$2:$J$10001,0)),"")</f>
        <v/>
      </c>
    </row>
    <row r="6016">
      <c r="A6016">
        <f>IFERROR(INDEX('Email Cleaner'!$B$2:$B$10001,MATCH(6015,'Email Cleaner'!$J$2:$J$10001,0)),"")</f>
        <v/>
      </c>
    </row>
    <row r="6017">
      <c r="A6017">
        <f>IFERROR(INDEX('Email Cleaner'!$B$2:$B$10001,MATCH(6016,'Email Cleaner'!$J$2:$J$10001,0)),"")</f>
        <v/>
      </c>
    </row>
    <row r="6018">
      <c r="A6018">
        <f>IFERROR(INDEX('Email Cleaner'!$B$2:$B$10001,MATCH(6017,'Email Cleaner'!$J$2:$J$10001,0)),"")</f>
        <v/>
      </c>
    </row>
    <row r="6019">
      <c r="A6019">
        <f>IFERROR(INDEX('Email Cleaner'!$B$2:$B$10001,MATCH(6018,'Email Cleaner'!$J$2:$J$10001,0)),"")</f>
        <v/>
      </c>
    </row>
    <row r="6020">
      <c r="A6020">
        <f>IFERROR(INDEX('Email Cleaner'!$B$2:$B$10001,MATCH(6019,'Email Cleaner'!$J$2:$J$10001,0)),"")</f>
        <v/>
      </c>
    </row>
    <row r="6021">
      <c r="A6021">
        <f>IFERROR(INDEX('Email Cleaner'!$B$2:$B$10001,MATCH(6020,'Email Cleaner'!$J$2:$J$10001,0)),"")</f>
        <v/>
      </c>
    </row>
    <row r="6022">
      <c r="A6022">
        <f>IFERROR(INDEX('Email Cleaner'!$B$2:$B$10001,MATCH(6021,'Email Cleaner'!$J$2:$J$10001,0)),"")</f>
        <v/>
      </c>
    </row>
    <row r="6023">
      <c r="A6023">
        <f>IFERROR(INDEX('Email Cleaner'!$B$2:$B$10001,MATCH(6022,'Email Cleaner'!$J$2:$J$10001,0)),"")</f>
        <v/>
      </c>
    </row>
    <row r="6024">
      <c r="A6024">
        <f>IFERROR(INDEX('Email Cleaner'!$B$2:$B$10001,MATCH(6023,'Email Cleaner'!$J$2:$J$10001,0)),"")</f>
        <v/>
      </c>
    </row>
    <row r="6025">
      <c r="A6025">
        <f>IFERROR(INDEX('Email Cleaner'!$B$2:$B$10001,MATCH(6024,'Email Cleaner'!$J$2:$J$10001,0)),"")</f>
        <v/>
      </c>
    </row>
    <row r="6026">
      <c r="A6026">
        <f>IFERROR(INDEX('Email Cleaner'!$B$2:$B$10001,MATCH(6025,'Email Cleaner'!$J$2:$J$10001,0)),"")</f>
        <v/>
      </c>
    </row>
    <row r="6027">
      <c r="A6027">
        <f>IFERROR(INDEX('Email Cleaner'!$B$2:$B$10001,MATCH(6026,'Email Cleaner'!$J$2:$J$10001,0)),"")</f>
        <v/>
      </c>
    </row>
    <row r="6028">
      <c r="A6028">
        <f>IFERROR(INDEX('Email Cleaner'!$B$2:$B$10001,MATCH(6027,'Email Cleaner'!$J$2:$J$10001,0)),"")</f>
        <v/>
      </c>
    </row>
    <row r="6029">
      <c r="A6029">
        <f>IFERROR(INDEX('Email Cleaner'!$B$2:$B$10001,MATCH(6028,'Email Cleaner'!$J$2:$J$10001,0)),"")</f>
        <v/>
      </c>
    </row>
    <row r="6030">
      <c r="A6030">
        <f>IFERROR(INDEX('Email Cleaner'!$B$2:$B$10001,MATCH(6029,'Email Cleaner'!$J$2:$J$10001,0)),"")</f>
        <v/>
      </c>
    </row>
    <row r="6031">
      <c r="A6031">
        <f>IFERROR(INDEX('Email Cleaner'!$B$2:$B$10001,MATCH(6030,'Email Cleaner'!$J$2:$J$10001,0)),"")</f>
        <v/>
      </c>
    </row>
    <row r="6032">
      <c r="A6032">
        <f>IFERROR(INDEX('Email Cleaner'!$B$2:$B$10001,MATCH(6031,'Email Cleaner'!$J$2:$J$10001,0)),"")</f>
        <v/>
      </c>
    </row>
    <row r="6033">
      <c r="A6033">
        <f>IFERROR(INDEX('Email Cleaner'!$B$2:$B$10001,MATCH(6032,'Email Cleaner'!$J$2:$J$10001,0)),"")</f>
        <v/>
      </c>
    </row>
    <row r="6034">
      <c r="A6034">
        <f>IFERROR(INDEX('Email Cleaner'!$B$2:$B$10001,MATCH(6033,'Email Cleaner'!$J$2:$J$10001,0)),"")</f>
        <v/>
      </c>
    </row>
    <row r="6035">
      <c r="A6035">
        <f>IFERROR(INDEX('Email Cleaner'!$B$2:$B$10001,MATCH(6034,'Email Cleaner'!$J$2:$J$10001,0)),"")</f>
        <v/>
      </c>
    </row>
    <row r="6036">
      <c r="A6036">
        <f>IFERROR(INDEX('Email Cleaner'!$B$2:$B$10001,MATCH(6035,'Email Cleaner'!$J$2:$J$10001,0)),"")</f>
        <v/>
      </c>
    </row>
    <row r="6037">
      <c r="A6037">
        <f>IFERROR(INDEX('Email Cleaner'!$B$2:$B$10001,MATCH(6036,'Email Cleaner'!$J$2:$J$10001,0)),"")</f>
        <v/>
      </c>
    </row>
    <row r="6038">
      <c r="A6038">
        <f>IFERROR(INDEX('Email Cleaner'!$B$2:$B$10001,MATCH(6037,'Email Cleaner'!$J$2:$J$10001,0)),"")</f>
        <v/>
      </c>
    </row>
    <row r="6039">
      <c r="A6039">
        <f>IFERROR(INDEX('Email Cleaner'!$B$2:$B$10001,MATCH(6038,'Email Cleaner'!$J$2:$J$10001,0)),"")</f>
        <v/>
      </c>
    </row>
    <row r="6040">
      <c r="A6040">
        <f>IFERROR(INDEX('Email Cleaner'!$B$2:$B$10001,MATCH(6039,'Email Cleaner'!$J$2:$J$10001,0)),"")</f>
        <v/>
      </c>
    </row>
    <row r="6041">
      <c r="A6041">
        <f>IFERROR(INDEX('Email Cleaner'!$B$2:$B$10001,MATCH(6040,'Email Cleaner'!$J$2:$J$10001,0)),"")</f>
        <v/>
      </c>
    </row>
    <row r="6042">
      <c r="A6042">
        <f>IFERROR(INDEX('Email Cleaner'!$B$2:$B$10001,MATCH(6041,'Email Cleaner'!$J$2:$J$10001,0)),"")</f>
        <v/>
      </c>
    </row>
    <row r="6043">
      <c r="A6043">
        <f>IFERROR(INDEX('Email Cleaner'!$B$2:$B$10001,MATCH(6042,'Email Cleaner'!$J$2:$J$10001,0)),"")</f>
        <v/>
      </c>
    </row>
    <row r="6044">
      <c r="A6044">
        <f>IFERROR(INDEX('Email Cleaner'!$B$2:$B$10001,MATCH(6043,'Email Cleaner'!$J$2:$J$10001,0)),"")</f>
        <v/>
      </c>
    </row>
    <row r="6045">
      <c r="A6045">
        <f>IFERROR(INDEX('Email Cleaner'!$B$2:$B$10001,MATCH(6044,'Email Cleaner'!$J$2:$J$10001,0)),"")</f>
        <v/>
      </c>
    </row>
    <row r="6046">
      <c r="A6046">
        <f>IFERROR(INDEX('Email Cleaner'!$B$2:$B$10001,MATCH(6045,'Email Cleaner'!$J$2:$J$10001,0)),"")</f>
        <v/>
      </c>
    </row>
    <row r="6047">
      <c r="A6047">
        <f>IFERROR(INDEX('Email Cleaner'!$B$2:$B$10001,MATCH(6046,'Email Cleaner'!$J$2:$J$10001,0)),"")</f>
        <v/>
      </c>
    </row>
    <row r="6048">
      <c r="A6048">
        <f>IFERROR(INDEX('Email Cleaner'!$B$2:$B$10001,MATCH(6047,'Email Cleaner'!$J$2:$J$10001,0)),"")</f>
        <v/>
      </c>
    </row>
    <row r="6049">
      <c r="A6049">
        <f>IFERROR(INDEX('Email Cleaner'!$B$2:$B$10001,MATCH(6048,'Email Cleaner'!$J$2:$J$10001,0)),"")</f>
        <v/>
      </c>
    </row>
    <row r="6050">
      <c r="A6050">
        <f>IFERROR(INDEX('Email Cleaner'!$B$2:$B$10001,MATCH(6049,'Email Cleaner'!$J$2:$J$10001,0)),"")</f>
        <v/>
      </c>
    </row>
    <row r="6051">
      <c r="A6051">
        <f>IFERROR(INDEX('Email Cleaner'!$B$2:$B$10001,MATCH(6050,'Email Cleaner'!$J$2:$J$10001,0)),"")</f>
        <v/>
      </c>
    </row>
    <row r="6052">
      <c r="A6052">
        <f>IFERROR(INDEX('Email Cleaner'!$B$2:$B$10001,MATCH(6051,'Email Cleaner'!$J$2:$J$10001,0)),"")</f>
        <v/>
      </c>
    </row>
    <row r="6053">
      <c r="A6053">
        <f>IFERROR(INDEX('Email Cleaner'!$B$2:$B$10001,MATCH(6052,'Email Cleaner'!$J$2:$J$10001,0)),"")</f>
        <v/>
      </c>
    </row>
    <row r="6054">
      <c r="A6054">
        <f>IFERROR(INDEX('Email Cleaner'!$B$2:$B$10001,MATCH(6053,'Email Cleaner'!$J$2:$J$10001,0)),"")</f>
        <v/>
      </c>
    </row>
    <row r="6055">
      <c r="A6055">
        <f>IFERROR(INDEX('Email Cleaner'!$B$2:$B$10001,MATCH(6054,'Email Cleaner'!$J$2:$J$10001,0)),"")</f>
        <v/>
      </c>
    </row>
    <row r="6056">
      <c r="A6056">
        <f>IFERROR(INDEX('Email Cleaner'!$B$2:$B$10001,MATCH(6055,'Email Cleaner'!$J$2:$J$10001,0)),"")</f>
        <v/>
      </c>
    </row>
    <row r="6057">
      <c r="A6057">
        <f>IFERROR(INDEX('Email Cleaner'!$B$2:$B$10001,MATCH(6056,'Email Cleaner'!$J$2:$J$10001,0)),"")</f>
        <v/>
      </c>
    </row>
    <row r="6058">
      <c r="A6058">
        <f>IFERROR(INDEX('Email Cleaner'!$B$2:$B$10001,MATCH(6057,'Email Cleaner'!$J$2:$J$10001,0)),"")</f>
        <v/>
      </c>
    </row>
    <row r="6059">
      <c r="A6059">
        <f>IFERROR(INDEX('Email Cleaner'!$B$2:$B$10001,MATCH(6058,'Email Cleaner'!$J$2:$J$10001,0)),"")</f>
        <v/>
      </c>
    </row>
    <row r="6060">
      <c r="A6060">
        <f>IFERROR(INDEX('Email Cleaner'!$B$2:$B$10001,MATCH(6059,'Email Cleaner'!$J$2:$J$10001,0)),"")</f>
        <v/>
      </c>
    </row>
    <row r="6061">
      <c r="A6061">
        <f>IFERROR(INDEX('Email Cleaner'!$B$2:$B$10001,MATCH(6060,'Email Cleaner'!$J$2:$J$10001,0)),"")</f>
        <v/>
      </c>
    </row>
    <row r="6062">
      <c r="A6062">
        <f>IFERROR(INDEX('Email Cleaner'!$B$2:$B$10001,MATCH(6061,'Email Cleaner'!$J$2:$J$10001,0)),"")</f>
        <v/>
      </c>
    </row>
    <row r="6063">
      <c r="A6063">
        <f>IFERROR(INDEX('Email Cleaner'!$B$2:$B$10001,MATCH(6062,'Email Cleaner'!$J$2:$J$10001,0)),"")</f>
        <v/>
      </c>
    </row>
    <row r="6064">
      <c r="A6064">
        <f>IFERROR(INDEX('Email Cleaner'!$B$2:$B$10001,MATCH(6063,'Email Cleaner'!$J$2:$J$10001,0)),"")</f>
        <v/>
      </c>
    </row>
    <row r="6065">
      <c r="A6065">
        <f>IFERROR(INDEX('Email Cleaner'!$B$2:$B$10001,MATCH(6064,'Email Cleaner'!$J$2:$J$10001,0)),"")</f>
        <v/>
      </c>
    </row>
    <row r="6066">
      <c r="A6066">
        <f>IFERROR(INDEX('Email Cleaner'!$B$2:$B$10001,MATCH(6065,'Email Cleaner'!$J$2:$J$10001,0)),"")</f>
        <v/>
      </c>
    </row>
    <row r="6067">
      <c r="A6067">
        <f>IFERROR(INDEX('Email Cleaner'!$B$2:$B$10001,MATCH(6066,'Email Cleaner'!$J$2:$J$10001,0)),"")</f>
        <v/>
      </c>
    </row>
    <row r="6068">
      <c r="A6068">
        <f>IFERROR(INDEX('Email Cleaner'!$B$2:$B$10001,MATCH(6067,'Email Cleaner'!$J$2:$J$10001,0)),"")</f>
        <v/>
      </c>
    </row>
    <row r="6069">
      <c r="A6069">
        <f>IFERROR(INDEX('Email Cleaner'!$B$2:$B$10001,MATCH(6068,'Email Cleaner'!$J$2:$J$10001,0)),"")</f>
        <v/>
      </c>
    </row>
    <row r="6070">
      <c r="A6070">
        <f>IFERROR(INDEX('Email Cleaner'!$B$2:$B$10001,MATCH(6069,'Email Cleaner'!$J$2:$J$10001,0)),"")</f>
        <v/>
      </c>
    </row>
    <row r="6071">
      <c r="A6071">
        <f>IFERROR(INDEX('Email Cleaner'!$B$2:$B$10001,MATCH(6070,'Email Cleaner'!$J$2:$J$10001,0)),"")</f>
        <v/>
      </c>
    </row>
    <row r="6072">
      <c r="A6072">
        <f>IFERROR(INDEX('Email Cleaner'!$B$2:$B$10001,MATCH(6071,'Email Cleaner'!$J$2:$J$10001,0)),"")</f>
        <v/>
      </c>
    </row>
    <row r="6073">
      <c r="A6073">
        <f>IFERROR(INDEX('Email Cleaner'!$B$2:$B$10001,MATCH(6072,'Email Cleaner'!$J$2:$J$10001,0)),"")</f>
        <v/>
      </c>
    </row>
    <row r="6074">
      <c r="A6074">
        <f>IFERROR(INDEX('Email Cleaner'!$B$2:$B$10001,MATCH(6073,'Email Cleaner'!$J$2:$J$10001,0)),"")</f>
        <v/>
      </c>
    </row>
    <row r="6075">
      <c r="A6075">
        <f>IFERROR(INDEX('Email Cleaner'!$B$2:$B$10001,MATCH(6074,'Email Cleaner'!$J$2:$J$10001,0)),"")</f>
        <v/>
      </c>
    </row>
    <row r="6076">
      <c r="A6076">
        <f>IFERROR(INDEX('Email Cleaner'!$B$2:$B$10001,MATCH(6075,'Email Cleaner'!$J$2:$J$10001,0)),"")</f>
        <v/>
      </c>
    </row>
    <row r="6077">
      <c r="A6077">
        <f>IFERROR(INDEX('Email Cleaner'!$B$2:$B$10001,MATCH(6076,'Email Cleaner'!$J$2:$J$10001,0)),"")</f>
        <v/>
      </c>
    </row>
    <row r="6078">
      <c r="A6078">
        <f>IFERROR(INDEX('Email Cleaner'!$B$2:$B$10001,MATCH(6077,'Email Cleaner'!$J$2:$J$10001,0)),"")</f>
        <v/>
      </c>
    </row>
    <row r="6079">
      <c r="A6079">
        <f>IFERROR(INDEX('Email Cleaner'!$B$2:$B$10001,MATCH(6078,'Email Cleaner'!$J$2:$J$10001,0)),"")</f>
        <v/>
      </c>
    </row>
    <row r="6080">
      <c r="A6080">
        <f>IFERROR(INDEX('Email Cleaner'!$B$2:$B$10001,MATCH(6079,'Email Cleaner'!$J$2:$J$10001,0)),"")</f>
        <v/>
      </c>
    </row>
    <row r="6081">
      <c r="A6081">
        <f>IFERROR(INDEX('Email Cleaner'!$B$2:$B$10001,MATCH(6080,'Email Cleaner'!$J$2:$J$10001,0)),"")</f>
        <v/>
      </c>
    </row>
    <row r="6082">
      <c r="A6082">
        <f>IFERROR(INDEX('Email Cleaner'!$B$2:$B$10001,MATCH(6081,'Email Cleaner'!$J$2:$J$10001,0)),"")</f>
        <v/>
      </c>
    </row>
    <row r="6083">
      <c r="A6083">
        <f>IFERROR(INDEX('Email Cleaner'!$B$2:$B$10001,MATCH(6082,'Email Cleaner'!$J$2:$J$10001,0)),"")</f>
        <v/>
      </c>
    </row>
    <row r="6084">
      <c r="A6084">
        <f>IFERROR(INDEX('Email Cleaner'!$B$2:$B$10001,MATCH(6083,'Email Cleaner'!$J$2:$J$10001,0)),"")</f>
        <v/>
      </c>
    </row>
    <row r="6085">
      <c r="A6085">
        <f>IFERROR(INDEX('Email Cleaner'!$B$2:$B$10001,MATCH(6084,'Email Cleaner'!$J$2:$J$10001,0)),"")</f>
        <v/>
      </c>
    </row>
    <row r="6086">
      <c r="A6086">
        <f>IFERROR(INDEX('Email Cleaner'!$B$2:$B$10001,MATCH(6085,'Email Cleaner'!$J$2:$J$10001,0)),"")</f>
        <v/>
      </c>
    </row>
    <row r="6087">
      <c r="A6087">
        <f>IFERROR(INDEX('Email Cleaner'!$B$2:$B$10001,MATCH(6086,'Email Cleaner'!$J$2:$J$10001,0)),"")</f>
        <v/>
      </c>
    </row>
    <row r="6088">
      <c r="A6088">
        <f>IFERROR(INDEX('Email Cleaner'!$B$2:$B$10001,MATCH(6087,'Email Cleaner'!$J$2:$J$10001,0)),"")</f>
        <v/>
      </c>
    </row>
    <row r="6089">
      <c r="A6089">
        <f>IFERROR(INDEX('Email Cleaner'!$B$2:$B$10001,MATCH(6088,'Email Cleaner'!$J$2:$J$10001,0)),"")</f>
        <v/>
      </c>
    </row>
    <row r="6090">
      <c r="A6090">
        <f>IFERROR(INDEX('Email Cleaner'!$B$2:$B$10001,MATCH(6089,'Email Cleaner'!$J$2:$J$10001,0)),"")</f>
        <v/>
      </c>
    </row>
    <row r="6091">
      <c r="A6091">
        <f>IFERROR(INDEX('Email Cleaner'!$B$2:$B$10001,MATCH(6090,'Email Cleaner'!$J$2:$J$10001,0)),"")</f>
        <v/>
      </c>
    </row>
    <row r="6092">
      <c r="A6092">
        <f>IFERROR(INDEX('Email Cleaner'!$B$2:$B$10001,MATCH(6091,'Email Cleaner'!$J$2:$J$10001,0)),"")</f>
        <v/>
      </c>
    </row>
    <row r="6093">
      <c r="A6093">
        <f>IFERROR(INDEX('Email Cleaner'!$B$2:$B$10001,MATCH(6092,'Email Cleaner'!$J$2:$J$10001,0)),"")</f>
        <v/>
      </c>
    </row>
    <row r="6094">
      <c r="A6094">
        <f>IFERROR(INDEX('Email Cleaner'!$B$2:$B$10001,MATCH(6093,'Email Cleaner'!$J$2:$J$10001,0)),"")</f>
        <v/>
      </c>
    </row>
    <row r="6095">
      <c r="A6095">
        <f>IFERROR(INDEX('Email Cleaner'!$B$2:$B$10001,MATCH(6094,'Email Cleaner'!$J$2:$J$10001,0)),"")</f>
        <v/>
      </c>
    </row>
    <row r="6096">
      <c r="A6096">
        <f>IFERROR(INDEX('Email Cleaner'!$B$2:$B$10001,MATCH(6095,'Email Cleaner'!$J$2:$J$10001,0)),"")</f>
        <v/>
      </c>
    </row>
    <row r="6097">
      <c r="A6097">
        <f>IFERROR(INDEX('Email Cleaner'!$B$2:$B$10001,MATCH(6096,'Email Cleaner'!$J$2:$J$10001,0)),"")</f>
        <v/>
      </c>
    </row>
    <row r="6098">
      <c r="A6098">
        <f>IFERROR(INDEX('Email Cleaner'!$B$2:$B$10001,MATCH(6097,'Email Cleaner'!$J$2:$J$10001,0)),"")</f>
        <v/>
      </c>
    </row>
    <row r="6099">
      <c r="A6099">
        <f>IFERROR(INDEX('Email Cleaner'!$B$2:$B$10001,MATCH(6098,'Email Cleaner'!$J$2:$J$10001,0)),"")</f>
        <v/>
      </c>
    </row>
    <row r="6100">
      <c r="A6100">
        <f>IFERROR(INDEX('Email Cleaner'!$B$2:$B$10001,MATCH(6099,'Email Cleaner'!$J$2:$J$10001,0)),"")</f>
        <v/>
      </c>
    </row>
    <row r="6101">
      <c r="A6101">
        <f>IFERROR(INDEX('Email Cleaner'!$B$2:$B$10001,MATCH(6100,'Email Cleaner'!$J$2:$J$10001,0)),"")</f>
        <v/>
      </c>
    </row>
    <row r="6102">
      <c r="A6102">
        <f>IFERROR(INDEX('Email Cleaner'!$B$2:$B$10001,MATCH(6101,'Email Cleaner'!$J$2:$J$10001,0)),"")</f>
        <v/>
      </c>
    </row>
    <row r="6103">
      <c r="A6103">
        <f>IFERROR(INDEX('Email Cleaner'!$B$2:$B$10001,MATCH(6102,'Email Cleaner'!$J$2:$J$10001,0)),"")</f>
        <v/>
      </c>
    </row>
    <row r="6104">
      <c r="A6104">
        <f>IFERROR(INDEX('Email Cleaner'!$B$2:$B$10001,MATCH(6103,'Email Cleaner'!$J$2:$J$10001,0)),"")</f>
        <v/>
      </c>
    </row>
    <row r="6105">
      <c r="A6105">
        <f>IFERROR(INDEX('Email Cleaner'!$B$2:$B$10001,MATCH(6104,'Email Cleaner'!$J$2:$J$10001,0)),"")</f>
        <v/>
      </c>
    </row>
    <row r="6106">
      <c r="A6106">
        <f>IFERROR(INDEX('Email Cleaner'!$B$2:$B$10001,MATCH(6105,'Email Cleaner'!$J$2:$J$10001,0)),"")</f>
        <v/>
      </c>
    </row>
    <row r="6107">
      <c r="A6107">
        <f>IFERROR(INDEX('Email Cleaner'!$B$2:$B$10001,MATCH(6106,'Email Cleaner'!$J$2:$J$10001,0)),"")</f>
        <v/>
      </c>
    </row>
    <row r="6108">
      <c r="A6108">
        <f>IFERROR(INDEX('Email Cleaner'!$B$2:$B$10001,MATCH(6107,'Email Cleaner'!$J$2:$J$10001,0)),"")</f>
        <v/>
      </c>
    </row>
    <row r="6109">
      <c r="A6109">
        <f>IFERROR(INDEX('Email Cleaner'!$B$2:$B$10001,MATCH(6108,'Email Cleaner'!$J$2:$J$10001,0)),"")</f>
        <v/>
      </c>
    </row>
    <row r="6110">
      <c r="A6110">
        <f>IFERROR(INDEX('Email Cleaner'!$B$2:$B$10001,MATCH(6109,'Email Cleaner'!$J$2:$J$10001,0)),"")</f>
        <v/>
      </c>
    </row>
    <row r="6111">
      <c r="A6111">
        <f>IFERROR(INDEX('Email Cleaner'!$B$2:$B$10001,MATCH(6110,'Email Cleaner'!$J$2:$J$10001,0)),"")</f>
        <v/>
      </c>
    </row>
    <row r="6112">
      <c r="A6112">
        <f>IFERROR(INDEX('Email Cleaner'!$B$2:$B$10001,MATCH(6111,'Email Cleaner'!$J$2:$J$10001,0)),"")</f>
        <v/>
      </c>
    </row>
    <row r="6113">
      <c r="A6113">
        <f>IFERROR(INDEX('Email Cleaner'!$B$2:$B$10001,MATCH(6112,'Email Cleaner'!$J$2:$J$10001,0)),"")</f>
        <v/>
      </c>
    </row>
    <row r="6114">
      <c r="A6114">
        <f>IFERROR(INDEX('Email Cleaner'!$B$2:$B$10001,MATCH(6113,'Email Cleaner'!$J$2:$J$10001,0)),"")</f>
        <v/>
      </c>
    </row>
    <row r="6115">
      <c r="A6115">
        <f>IFERROR(INDEX('Email Cleaner'!$B$2:$B$10001,MATCH(6114,'Email Cleaner'!$J$2:$J$10001,0)),"")</f>
        <v/>
      </c>
    </row>
    <row r="6116">
      <c r="A6116">
        <f>IFERROR(INDEX('Email Cleaner'!$B$2:$B$10001,MATCH(6115,'Email Cleaner'!$J$2:$J$10001,0)),"")</f>
        <v/>
      </c>
    </row>
    <row r="6117">
      <c r="A6117">
        <f>IFERROR(INDEX('Email Cleaner'!$B$2:$B$10001,MATCH(6116,'Email Cleaner'!$J$2:$J$10001,0)),"")</f>
        <v/>
      </c>
    </row>
    <row r="6118">
      <c r="A6118">
        <f>IFERROR(INDEX('Email Cleaner'!$B$2:$B$10001,MATCH(6117,'Email Cleaner'!$J$2:$J$10001,0)),"")</f>
        <v/>
      </c>
    </row>
    <row r="6119">
      <c r="A6119">
        <f>IFERROR(INDEX('Email Cleaner'!$B$2:$B$10001,MATCH(6118,'Email Cleaner'!$J$2:$J$10001,0)),"")</f>
        <v/>
      </c>
    </row>
    <row r="6120">
      <c r="A6120">
        <f>IFERROR(INDEX('Email Cleaner'!$B$2:$B$10001,MATCH(6119,'Email Cleaner'!$J$2:$J$10001,0)),"")</f>
        <v/>
      </c>
    </row>
    <row r="6121">
      <c r="A6121">
        <f>IFERROR(INDEX('Email Cleaner'!$B$2:$B$10001,MATCH(6120,'Email Cleaner'!$J$2:$J$10001,0)),"")</f>
        <v/>
      </c>
    </row>
    <row r="6122">
      <c r="A6122">
        <f>IFERROR(INDEX('Email Cleaner'!$B$2:$B$10001,MATCH(6121,'Email Cleaner'!$J$2:$J$10001,0)),"")</f>
        <v/>
      </c>
    </row>
    <row r="6123">
      <c r="A6123">
        <f>IFERROR(INDEX('Email Cleaner'!$B$2:$B$10001,MATCH(6122,'Email Cleaner'!$J$2:$J$10001,0)),"")</f>
        <v/>
      </c>
    </row>
    <row r="6124">
      <c r="A6124">
        <f>IFERROR(INDEX('Email Cleaner'!$B$2:$B$10001,MATCH(6123,'Email Cleaner'!$J$2:$J$10001,0)),"")</f>
        <v/>
      </c>
    </row>
    <row r="6125">
      <c r="A6125">
        <f>IFERROR(INDEX('Email Cleaner'!$B$2:$B$10001,MATCH(6124,'Email Cleaner'!$J$2:$J$10001,0)),"")</f>
        <v/>
      </c>
    </row>
    <row r="6126">
      <c r="A6126">
        <f>IFERROR(INDEX('Email Cleaner'!$B$2:$B$10001,MATCH(6125,'Email Cleaner'!$J$2:$J$10001,0)),"")</f>
        <v/>
      </c>
    </row>
    <row r="6127">
      <c r="A6127">
        <f>IFERROR(INDEX('Email Cleaner'!$B$2:$B$10001,MATCH(6126,'Email Cleaner'!$J$2:$J$10001,0)),"")</f>
        <v/>
      </c>
    </row>
    <row r="6128">
      <c r="A6128">
        <f>IFERROR(INDEX('Email Cleaner'!$B$2:$B$10001,MATCH(6127,'Email Cleaner'!$J$2:$J$10001,0)),"")</f>
        <v/>
      </c>
    </row>
    <row r="6129">
      <c r="A6129">
        <f>IFERROR(INDEX('Email Cleaner'!$B$2:$B$10001,MATCH(6128,'Email Cleaner'!$J$2:$J$10001,0)),"")</f>
        <v/>
      </c>
    </row>
    <row r="6130">
      <c r="A6130">
        <f>IFERROR(INDEX('Email Cleaner'!$B$2:$B$10001,MATCH(6129,'Email Cleaner'!$J$2:$J$10001,0)),"")</f>
        <v/>
      </c>
    </row>
    <row r="6131">
      <c r="A6131">
        <f>IFERROR(INDEX('Email Cleaner'!$B$2:$B$10001,MATCH(6130,'Email Cleaner'!$J$2:$J$10001,0)),"")</f>
        <v/>
      </c>
    </row>
    <row r="6132">
      <c r="A6132">
        <f>IFERROR(INDEX('Email Cleaner'!$B$2:$B$10001,MATCH(6131,'Email Cleaner'!$J$2:$J$10001,0)),"")</f>
        <v/>
      </c>
    </row>
    <row r="6133">
      <c r="A6133">
        <f>IFERROR(INDEX('Email Cleaner'!$B$2:$B$10001,MATCH(6132,'Email Cleaner'!$J$2:$J$10001,0)),"")</f>
        <v/>
      </c>
    </row>
    <row r="6134">
      <c r="A6134">
        <f>IFERROR(INDEX('Email Cleaner'!$B$2:$B$10001,MATCH(6133,'Email Cleaner'!$J$2:$J$10001,0)),"")</f>
        <v/>
      </c>
    </row>
    <row r="6135">
      <c r="A6135">
        <f>IFERROR(INDEX('Email Cleaner'!$B$2:$B$10001,MATCH(6134,'Email Cleaner'!$J$2:$J$10001,0)),"")</f>
        <v/>
      </c>
    </row>
    <row r="6136">
      <c r="A6136">
        <f>IFERROR(INDEX('Email Cleaner'!$B$2:$B$10001,MATCH(6135,'Email Cleaner'!$J$2:$J$10001,0)),"")</f>
        <v/>
      </c>
    </row>
    <row r="6137">
      <c r="A6137">
        <f>IFERROR(INDEX('Email Cleaner'!$B$2:$B$10001,MATCH(6136,'Email Cleaner'!$J$2:$J$10001,0)),"")</f>
        <v/>
      </c>
    </row>
    <row r="6138">
      <c r="A6138">
        <f>IFERROR(INDEX('Email Cleaner'!$B$2:$B$10001,MATCH(6137,'Email Cleaner'!$J$2:$J$10001,0)),"")</f>
        <v/>
      </c>
    </row>
    <row r="6139">
      <c r="A6139">
        <f>IFERROR(INDEX('Email Cleaner'!$B$2:$B$10001,MATCH(6138,'Email Cleaner'!$J$2:$J$10001,0)),"")</f>
        <v/>
      </c>
    </row>
    <row r="6140">
      <c r="A6140">
        <f>IFERROR(INDEX('Email Cleaner'!$B$2:$B$10001,MATCH(6139,'Email Cleaner'!$J$2:$J$10001,0)),"")</f>
        <v/>
      </c>
    </row>
    <row r="6141">
      <c r="A6141">
        <f>IFERROR(INDEX('Email Cleaner'!$B$2:$B$10001,MATCH(6140,'Email Cleaner'!$J$2:$J$10001,0)),"")</f>
        <v/>
      </c>
    </row>
    <row r="6142">
      <c r="A6142">
        <f>IFERROR(INDEX('Email Cleaner'!$B$2:$B$10001,MATCH(6141,'Email Cleaner'!$J$2:$J$10001,0)),"")</f>
        <v/>
      </c>
    </row>
    <row r="6143">
      <c r="A6143">
        <f>IFERROR(INDEX('Email Cleaner'!$B$2:$B$10001,MATCH(6142,'Email Cleaner'!$J$2:$J$10001,0)),"")</f>
        <v/>
      </c>
    </row>
    <row r="6144">
      <c r="A6144">
        <f>IFERROR(INDEX('Email Cleaner'!$B$2:$B$10001,MATCH(6143,'Email Cleaner'!$J$2:$J$10001,0)),"")</f>
        <v/>
      </c>
    </row>
    <row r="6145">
      <c r="A6145">
        <f>IFERROR(INDEX('Email Cleaner'!$B$2:$B$10001,MATCH(6144,'Email Cleaner'!$J$2:$J$10001,0)),"")</f>
        <v/>
      </c>
    </row>
    <row r="6146">
      <c r="A6146">
        <f>IFERROR(INDEX('Email Cleaner'!$B$2:$B$10001,MATCH(6145,'Email Cleaner'!$J$2:$J$10001,0)),"")</f>
        <v/>
      </c>
    </row>
    <row r="6147">
      <c r="A6147">
        <f>IFERROR(INDEX('Email Cleaner'!$B$2:$B$10001,MATCH(6146,'Email Cleaner'!$J$2:$J$10001,0)),"")</f>
        <v/>
      </c>
    </row>
    <row r="6148">
      <c r="A6148">
        <f>IFERROR(INDEX('Email Cleaner'!$B$2:$B$10001,MATCH(6147,'Email Cleaner'!$J$2:$J$10001,0)),"")</f>
        <v/>
      </c>
    </row>
    <row r="6149">
      <c r="A6149">
        <f>IFERROR(INDEX('Email Cleaner'!$B$2:$B$10001,MATCH(6148,'Email Cleaner'!$J$2:$J$10001,0)),"")</f>
        <v/>
      </c>
    </row>
    <row r="6150">
      <c r="A6150">
        <f>IFERROR(INDEX('Email Cleaner'!$B$2:$B$10001,MATCH(6149,'Email Cleaner'!$J$2:$J$10001,0)),"")</f>
        <v/>
      </c>
    </row>
    <row r="6151">
      <c r="A6151">
        <f>IFERROR(INDEX('Email Cleaner'!$B$2:$B$10001,MATCH(6150,'Email Cleaner'!$J$2:$J$10001,0)),"")</f>
        <v/>
      </c>
    </row>
    <row r="6152">
      <c r="A6152">
        <f>IFERROR(INDEX('Email Cleaner'!$B$2:$B$10001,MATCH(6151,'Email Cleaner'!$J$2:$J$10001,0)),"")</f>
        <v/>
      </c>
    </row>
    <row r="6153">
      <c r="A6153">
        <f>IFERROR(INDEX('Email Cleaner'!$B$2:$B$10001,MATCH(6152,'Email Cleaner'!$J$2:$J$10001,0)),"")</f>
        <v/>
      </c>
    </row>
    <row r="6154">
      <c r="A6154">
        <f>IFERROR(INDEX('Email Cleaner'!$B$2:$B$10001,MATCH(6153,'Email Cleaner'!$J$2:$J$10001,0)),"")</f>
        <v/>
      </c>
    </row>
    <row r="6155">
      <c r="A6155">
        <f>IFERROR(INDEX('Email Cleaner'!$B$2:$B$10001,MATCH(6154,'Email Cleaner'!$J$2:$J$10001,0)),"")</f>
        <v/>
      </c>
    </row>
    <row r="6156">
      <c r="A6156">
        <f>IFERROR(INDEX('Email Cleaner'!$B$2:$B$10001,MATCH(6155,'Email Cleaner'!$J$2:$J$10001,0)),"")</f>
        <v/>
      </c>
    </row>
    <row r="6157">
      <c r="A6157">
        <f>IFERROR(INDEX('Email Cleaner'!$B$2:$B$10001,MATCH(6156,'Email Cleaner'!$J$2:$J$10001,0)),"")</f>
        <v/>
      </c>
    </row>
    <row r="6158">
      <c r="A6158">
        <f>IFERROR(INDEX('Email Cleaner'!$B$2:$B$10001,MATCH(6157,'Email Cleaner'!$J$2:$J$10001,0)),"")</f>
        <v/>
      </c>
    </row>
    <row r="6159">
      <c r="A6159">
        <f>IFERROR(INDEX('Email Cleaner'!$B$2:$B$10001,MATCH(6158,'Email Cleaner'!$J$2:$J$10001,0)),"")</f>
        <v/>
      </c>
    </row>
    <row r="6160">
      <c r="A6160">
        <f>IFERROR(INDEX('Email Cleaner'!$B$2:$B$10001,MATCH(6159,'Email Cleaner'!$J$2:$J$10001,0)),"")</f>
        <v/>
      </c>
    </row>
    <row r="6161">
      <c r="A6161">
        <f>IFERROR(INDEX('Email Cleaner'!$B$2:$B$10001,MATCH(6160,'Email Cleaner'!$J$2:$J$10001,0)),"")</f>
        <v/>
      </c>
    </row>
    <row r="6162">
      <c r="A6162">
        <f>IFERROR(INDEX('Email Cleaner'!$B$2:$B$10001,MATCH(6161,'Email Cleaner'!$J$2:$J$10001,0)),"")</f>
        <v/>
      </c>
    </row>
    <row r="6163">
      <c r="A6163">
        <f>IFERROR(INDEX('Email Cleaner'!$B$2:$B$10001,MATCH(6162,'Email Cleaner'!$J$2:$J$10001,0)),"")</f>
        <v/>
      </c>
    </row>
    <row r="6164">
      <c r="A6164">
        <f>IFERROR(INDEX('Email Cleaner'!$B$2:$B$10001,MATCH(6163,'Email Cleaner'!$J$2:$J$10001,0)),"")</f>
        <v/>
      </c>
    </row>
    <row r="6165">
      <c r="A6165">
        <f>IFERROR(INDEX('Email Cleaner'!$B$2:$B$10001,MATCH(6164,'Email Cleaner'!$J$2:$J$10001,0)),"")</f>
        <v/>
      </c>
    </row>
    <row r="6166">
      <c r="A6166">
        <f>IFERROR(INDEX('Email Cleaner'!$B$2:$B$10001,MATCH(6165,'Email Cleaner'!$J$2:$J$10001,0)),"")</f>
        <v/>
      </c>
    </row>
    <row r="6167">
      <c r="A6167">
        <f>IFERROR(INDEX('Email Cleaner'!$B$2:$B$10001,MATCH(6166,'Email Cleaner'!$J$2:$J$10001,0)),"")</f>
        <v/>
      </c>
    </row>
    <row r="6168">
      <c r="A6168">
        <f>IFERROR(INDEX('Email Cleaner'!$B$2:$B$10001,MATCH(6167,'Email Cleaner'!$J$2:$J$10001,0)),"")</f>
        <v/>
      </c>
    </row>
    <row r="6169">
      <c r="A6169">
        <f>IFERROR(INDEX('Email Cleaner'!$B$2:$B$10001,MATCH(6168,'Email Cleaner'!$J$2:$J$10001,0)),"")</f>
        <v/>
      </c>
    </row>
    <row r="6170">
      <c r="A6170">
        <f>IFERROR(INDEX('Email Cleaner'!$B$2:$B$10001,MATCH(6169,'Email Cleaner'!$J$2:$J$10001,0)),"")</f>
        <v/>
      </c>
    </row>
    <row r="6171">
      <c r="A6171">
        <f>IFERROR(INDEX('Email Cleaner'!$B$2:$B$10001,MATCH(6170,'Email Cleaner'!$J$2:$J$10001,0)),"")</f>
        <v/>
      </c>
    </row>
    <row r="6172">
      <c r="A6172">
        <f>IFERROR(INDEX('Email Cleaner'!$B$2:$B$10001,MATCH(6171,'Email Cleaner'!$J$2:$J$10001,0)),"")</f>
        <v/>
      </c>
    </row>
    <row r="6173">
      <c r="A6173">
        <f>IFERROR(INDEX('Email Cleaner'!$B$2:$B$10001,MATCH(6172,'Email Cleaner'!$J$2:$J$10001,0)),"")</f>
        <v/>
      </c>
    </row>
    <row r="6174">
      <c r="A6174">
        <f>IFERROR(INDEX('Email Cleaner'!$B$2:$B$10001,MATCH(6173,'Email Cleaner'!$J$2:$J$10001,0)),"")</f>
        <v/>
      </c>
    </row>
    <row r="6175">
      <c r="A6175">
        <f>IFERROR(INDEX('Email Cleaner'!$B$2:$B$10001,MATCH(6174,'Email Cleaner'!$J$2:$J$10001,0)),"")</f>
        <v/>
      </c>
    </row>
    <row r="6176">
      <c r="A6176">
        <f>IFERROR(INDEX('Email Cleaner'!$B$2:$B$10001,MATCH(6175,'Email Cleaner'!$J$2:$J$10001,0)),"")</f>
        <v/>
      </c>
    </row>
    <row r="6177">
      <c r="A6177">
        <f>IFERROR(INDEX('Email Cleaner'!$B$2:$B$10001,MATCH(6176,'Email Cleaner'!$J$2:$J$10001,0)),"")</f>
        <v/>
      </c>
    </row>
    <row r="6178">
      <c r="A6178">
        <f>IFERROR(INDEX('Email Cleaner'!$B$2:$B$10001,MATCH(6177,'Email Cleaner'!$J$2:$J$10001,0)),"")</f>
        <v/>
      </c>
    </row>
    <row r="6179">
      <c r="A6179">
        <f>IFERROR(INDEX('Email Cleaner'!$B$2:$B$10001,MATCH(6178,'Email Cleaner'!$J$2:$J$10001,0)),"")</f>
        <v/>
      </c>
    </row>
    <row r="6180">
      <c r="A6180">
        <f>IFERROR(INDEX('Email Cleaner'!$B$2:$B$10001,MATCH(6179,'Email Cleaner'!$J$2:$J$10001,0)),"")</f>
        <v/>
      </c>
    </row>
    <row r="6181">
      <c r="A6181">
        <f>IFERROR(INDEX('Email Cleaner'!$B$2:$B$10001,MATCH(6180,'Email Cleaner'!$J$2:$J$10001,0)),"")</f>
        <v/>
      </c>
    </row>
    <row r="6182">
      <c r="A6182">
        <f>IFERROR(INDEX('Email Cleaner'!$B$2:$B$10001,MATCH(6181,'Email Cleaner'!$J$2:$J$10001,0)),"")</f>
        <v/>
      </c>
    </row>
    <row r="6183">
      <c r="A6183">
        <f>IFERROR(INDEX('Email Cleaner'!$B$2:$B$10001,MATCH(6182,'Email Cleaner'!$J$2:$J$10001,0)),"")</f>
        <v/>
      </c>
    </row>
    <row r="6184">
      <c r="A6184">
        <f>IFERROR(INDEX('Email Cleaner'!$B$2:$B$10001,MATCH(6183,'Email Cleaner'!$J$2:$J$10001,0)),"")</f>
        <v/>
      </c>
    </row>
    <row r="6185">
      <c r="A6185">
        <f>IFERROR(INDEX('Email Cleaner'!$B$2:$B$10001,MATCH(6184,'Email Cleaner'!$J$2:$J$10001,0)),"")</f>
        <v/>
      </c>
    </row>
    <row r="6186">
      <c r="A6186">
        <f>IFERROR(INDEX('Email Cleaner'!$B$2:$B$10001,MATCH(6185,'Email Cleaner'!$J$2:$J$10001,0)),"")</f>
        <v/>
      </c>
    </row>
    <row r="6187">
      <c r="A6187">
        <f>IFERROR(INDEX('Email Cleaner'!$B$2:$B$10001,MATCH(6186,'Email Cleaner'!$J$2:$J$10001,0)),"")</f>
        <v/>
      </c>
    </row>
    <row r="6188">
      <c r="A6188">
        <f>IFERROR(INDEX('Email Cleaner'!$B$2:$B$10001,MATCH(6187,'Email Cleaner'!$J$2:$J$10001,0)),"")</f>
        <v/>
      </c>
    </row>
    <row r="6189">
      <c r="A6189">
        <f>IFERROR(INDEX('Email Cleaner'!$B$2:$B$10001,MATCH(6188,'Email Cleaner'!$J$2:$J$10001,0)),"")</f>
        <v/>
      </c>
    </row>
    <row r="6190">
      <c r="A6190">
        <f>IFERROR(INDEX('Email Cleaner'!$B$2:$B$10001,MATCH(6189,'Email Cleaner'!$J$2:$J$10001,0)),"")</f>
        <v/>
      </c>
    </row>
    <row r="6191">
      <c r="A6191">
        <f>IFERROR(INDEX('Email Cleaner'!$B$2:$B$10001,MATCH(6190,'Email Cleaner'!$J$2:$J$10001,0)),"")</f>
        <v/>
      </c>
    </row>
    <row r="6192">
      <c r="A6192">
        <f>IFERROR(INDEX('Email Cleaner'!$B$2:$B$10001,MATCH(6191,'Email Cleaner'!$J$2:$J$10001,0)),"")</f>
        <v/>
      </c>
    </row>
    <row r="6193">
      <c r="A6193">
        <f>IFERROR(INDEX('Email Cleaner'!$B$2:$B$10001,MATCH(6192,'Email Cleaner'!$J$2:$J$10001,0)),"")</f>
        <v/>
      </c>
    </row>
    <row r="6194">
      <c r="A6194">
        <f>IFERROR(INDEX('Email Cleaner'!$B$2:$B$10001,MATCH(6193,'Email Cleaner'!$J$2:$J$10001,0)),"")</f>
        <v/>
      </c>
    </row>
    <row r="6195">
      <c r="A6195">
        <f>IFERROR(INDEX('Email Cleaner'!$B$2:$B$10001,MATCH(6194,'Email Cleaner'!$J$2:$J$10001,0)),"")</f>
        <v/>
      </c>
    </row>
    <row r="6196">
      <c r="A6196">
        <f>IFERROR(INDEX('Email Cleaner'!$B$2:$B$10001,MATCH(6195,'Email Cleaner'!$J$2:$J$10001,0)),"")</f>
        <v/>
      </c>
    </row>
    <row r="6197">
      <c r="A6197">
        <f>IFERROR(INDEX('Email Cleaner'!$B$2:$B$10001,MATCH(6196,'Email Cleaner'!$J$2:$J$10001,0)),"")</f>
        <v/>
      </c>
    </row>
    <row r="6198">
      <c r="A6198">
        <f>IFERROR(INDEX('Email Cleaner'!$B$2:$B$10001,MATCH(6197,'Email Cleaner'!$J$2:$J$10001,0)),"")</f>
        <v/>
      </c>
    </row>
    <row r="6199">
      <c r="A6199">
        <f>IFERROR(INDEX('Email Cleaner'!$B$2:$B$10001,MATCH(6198,'Email Cleaner'!$J$2:$J$10001,0)),"")</f>
        <v/>
      </c>
    </row>
    <row r="6200">
      <c r="A6200">
        <f>IFERROR(INDEX('Email Cleaner'!$B$2:$B$10001,MATCH(6199,'Email Cleaner'!$J$2:$J$10001,0)),"")</f>
        <v/>
      </c>
    </row>
    <row r="6201">
      <c r="A6201">
        <f>IFERROR(INDEX('Email Cleaner'!$B$2:$B$10001,MATCH(6200,'Email Cleaner'!$J$2:$J$10001,0)),"")</f>
        <v/>
      </c>
    </row>
    <row r="6202">
      <c r="A6202">
        <f>IFERROR(INDEX('Email Cleaner'!$B$2:$B$10001,MATCH(6201,'Email Cleaner'!$J$2:$J$10001,0)),"")</f>
        <v/>
      </c>
    </row>
    <row r="6203">
      <c r="A6203">
        <f>IFERROR(INDEX('Email Cleaner'!$B$2:$B$10001,MATCH(6202,'Email Cleaner'!$J$2:$J$10001,0)),"")</f>
        <v/>
      </c>
    </row>
    <row r="6204">
      <c r="A6204">
        <f>IFERROR(INDEX('Email Cleaner'!$B$2:$B$10001,MATCH(6203,'Email Cleaner'!$J$2:$J$10001,0)),"")</f>
        <v/>
      </c>
    </row>
    <row r="6205">
      <c r="A6205">
        <f>IFERROR(INDEX('Email Cleaner'!$B$2:$B$10001,MATCH(6204,'Email Cleaner'!$J$2:$J$10001,0)),"")</f>
        <v/>
      </c>
    </row>
    <row r="6206">
      <c r="A6206">
        <f>IFERROR(INDEX('Email Cleaner'!$B$2:$B$10001,MATCH(6205,'Email Cleaner'!$J$2:$J$10001,0)),"")</f>
        <v/>
      </c>
    </row>
    <row r="6207">
      <c r="A6207">
        <f>IFERROR(INDEX('Email Cleaner'!$B$2:$B$10001,MATCH(6206,'Email Cleaner'!$J$2:$J$10001,0)),"")</f>
        <v/>
      </c>
    </row>
    <row r="6208">
      <c r="A6208">
        <f>IFERROR(INDEX('Email Cleaner'!$B$2:$B$10001,MATCH(6207,'Email Cleaner'!$J$2:$J$10001,0)),"")</f>
        <v/>
      </c>
    </row>
    <row r="6209">
      <c r="A6209">
        <f>IFERROR(INDEX('Email Cleaner'!$B$2:$B$10001,MATCH(6208,'Email Cleaner'!$J$2:$J$10001,0)),"")</f>
        <v/>
      </c>
    </row>
    <row r="6210">
      <c r="A6210">
        <f>IFERROR(INDEX('Email Cleaner'!$B$2:$B$10001,MATCH(6209,'Email Cleaner'!$J$2:$J$10001,0)),"")</f>
        <v/>
      </c>
    </row>
    <row r="6211">
      <c r="A6211">
        <f>IFERROR(INDEX('Email Cleaner'!$B$2:$B$10001,MATCH(6210,'Email Cleaner'!$J$2:$J$10001,0)),"")</f>
        <v/>
      </c>
    </row>
    <row r="6212">
      <c r="A6212">
        <f>IFERROR(INDEX('Email Cleaner'!$B$2:$B$10001,MATCH(6211,'Email Cleaner'!$J$2:$J$10001,0)),"")</f>
        <v/>
      </c>
    </row>
    <row r="6213">
      <c r="A6213">
        <f>IFERROR(INDEX('Email Cleaner'!$B$2:$B$10001,MATCH(6212,'Email Cleaner'!$J$2:$J$10001,0)),"")</f>
        <v/>
      </c>
    </row>
    <row r="6214">
      <c r="A6214">
        <f>IFERROR(INDEX('Email Cleaner'!$B$2:$B$10001,MATCH(6213,'Email Cleaner'!$J$2:$J$10001,0)),"")</f>
        <v/>
      </c>
    </row>
    <row r="6215">
      <c r="A6215">
        <f>IFERROR(INDEX('Email Cleaner'!$B$2:$B$10001,MATCH(6214,'Email Cleaner'!$J$2:$J$10001,0)),"")</f>
        <v/>
      </c>
    </row>
    <row r="6216">
      <c r="A6216">
        <f>IFERROR(INDEX('Email Cleaner'!$B$2:$B$10001,MATCH(6215,'Email Cleaner'!$J$2:$J$10001,0)),"")</f>
        <v/>
      </c>
    </row>
    <row r="6217">
      <c r="A6217">
        <f>IFERROR(INDEX('Email Cleaner'!$B$2:$B$10001,MATCH(6216,'Email Cleaner'!$J$2:$J$10001,0)),"")</f>
        <v/>
      </c>
    </row>
    <row r="6218">
      <c r="A6218">
        <f>IFERROR(INDEX('Email Cleaner'!$B$2:$B$10001,MATCH(6217,'Email Cleaner'!$J$2:$J$10001,0)),"")</f>
        <v/>
      </c>
    </row>
    <row r="6219">
      <c r="A6219">
        <f>IFERROR(INDEX('Email Cleaner'!$B$2:$B$10001,MATCH(6218,'Email Cleaner'!$J$2:$J$10001,0)),"")</f>
        <v/>
      </c>
    </row>
    <row r="6220">
      <c r="A6220">
        <f>IFERROR(INDEX('Email Cleaner'!$B$2:$B$10001,MATCH(6219,'Email Cleaner'!$J$2:$J$10001,0)),"")</f>
        <v/>
      </c>
    </row>
    <row r="6221">
      <c r="A6221">
        <f>IFERROR(INDEX('Email Cleaner'!$B$2:$B$10001,MATCH(6220,'Email Cleaner'!$J$2:$J$10001,0)),"")</f>
        <v/>
      </c>
    </row>
    <row r="6222">
      <c r="A6222">
        <f>IFERROR(INDEX('Email Cleaner'!$B$2:$B$10001,MATCH(6221,'Email Cleaner'!$J$2:$J$10001,0)),"")</f>
        <v/>
      </c>
    </row>
    <row r="6223">
      <c r="A6223">
        <f>IFERROR(INDEX('Email Cleaner'!$B$2:$B$10001,MATCH(6222,'Email Cleaner'!$J$2:$J$10001,0)),"")</f>
        <v/>
      </c>
    </row>
    <row r="6224">
      <c r="A6224">
        <f>IFERROR(INDEX('Email Cleaner'!$B$2:$B$10001,MATCH(6223,'Email Cleaner'!$J$2:$J$10001,0)),"")</f>
        <v/>
      </c>
    </row>
    <row r="6225">
      <c r="A6225">
        <f>IFERROR(INDEX('Email Cleaner'!$B$2:$B$10001,MATCH(6224,'Email Cleaner'!$J$2:$J$10001,0)),"")</f>
        <v/>
      </c>
    </row>
    <row r="6226">
      <c r="A6226">
        <f>IFERROR(INDEX('Email Cleaner'!$B$2:$B$10001,MATCH(6225,'Email Cleaner'!$J$2:$J$10001,0)),"")</f>
        <v/>
      </c>
    </row>
    <row r="6227">
      <c r="A6227">
        <f>IFERROR(INDEX('Email Cleaner'!$B$2:$B$10001,MATCH(6226,'Email Cleaner'!$J$2:$J$10001,0)),"")</f>
        <v/>
      </c>
    </row>
    <row r="6228">
      <c r="A6228">
        <f>IFERROR(INDEX('Email Cleaner'!$B$2:$B$10001,MATCH(6227,'Email Cleaner'!$J$2:$J$10001,0)),"")</f>
        <v/>
      </c>
    </row>
    <row r="6229">
      <c r="A6229">
        <f>IFERROR(INDEX('Email Cleaner'!$B$2:$B$10001,MATCH(6228,'Email Cleaner'!$J$2:$J$10001,0)),"")</f>
        <v/>
      </c>
    </row>
    <row r="6230">
      <c r="A6230">
        <f>IFERROR(INDEX('Email Cleaner'!$B$2:$B$10001,MATCH(6229,'Email Cleaner'!$J$2:$J$10001,0)),"")</f>
        <v/>
      </c>
    </row>
    <row r="6231">
      <c r="A6231">
        <f>IFERROR(INDEX('Email Cleaner'!$B$2:$B$10001,MATCH(6230,'Email Cleaner'!$J$2:$J$10001,0)),"")</f>
        <v/>
      </c>
    </row>
    <row r="6232">
      <c r="A6232">
        <f>IFERROR(INDEX('Email Cleaner'!$B$2:$B$10001,MATCH(6231,'Email Cleaner'!$J$2:$J$10001,0)),"")</f>
        <v/>
      </c>
    </row>
    <row r="6233">
      <c r="A6233">
        <f>IFERROR(INDEX('Email Cleaner'!$B$2:$B$10001,MATCH(6232,'Email Cleaner'!$J$2:$J$10001,0)),"")</f>
        <v/>
      </c>
    </row>
    <row r="6234">
      <c r="A6234">
        <f>IFERROR(INDEX('Email Cleaner'!$B$2:$B$10001,MATCH(6233,'Email Cleaner'!$J$2:$J$10001,0)),"")</f>
        <v/>
      </c>
    </row>
    <row r="6235">
      <c r="A6235">
        <f>IFERROR(INDEX('Email Cleaner'!$B$2:$B$10001,MATCH(6234,'Email Cleaner'!$J$2:$J$10001,0)),"")</f>
        <v/>
      </c>
    </row>
    <row r="6236">
      <c r="A6236">
        <f>IFERROR(INDEX('Email Cleaner'!$B$2:$B$10001,MATCH(6235,'Email Cleaner'!$J$2:$J$10001,0)),"")</f>
        <v/>
      </c>
    </row>
    <row r="6237">
      <c r="A6237">
        <f>IFERROR(INDEX('Email Cleaner'!$B$2:$B$10001,MATCH(6236,'Email Cleaner'!$J$2:$J$10001,0)),"")</f>
        <v/>
      </c>
    </row>
    <row r="6238">
      <c r="A6238">
        <f>IFERROR(INDEX('Email Cleaner'!$B$2:$B$10001,MATCH(6237,'Email Cleaner'!$J$2:$J$10001,0)),"")</f>
        <v/>
      </c>
    </row>
    <row r="6239">
      <c r="A6239">
        <f>IFERROR(INDEX('Email Cleaner'!$B$2:$B$10001,MATCH(6238,'Email Cleaner'!$J$2:$J$10001,0)),"")</f>
        <v/>
      </c>
    </row>
    <row r="6240">
      <c r="A6240">
        <f>IFERROR(INDEX('Email Cleaner'!$B$2:$B$10001,MATCH(6239,'Email Cleaner'!$J$2:$J$10001,0)),"")</f>
        <v/>
      </c>
    </row>
    <row r="6241">
      <c r="A6241">
        <f>IFERROR(INDEX('Email Cleaner'!$B$2:$B$10001,MATCH(6240,'Email Cleaner'!$J$2:$J$10001,0)),"")</f>
        <v/>
      </c>
    </row>
    <row r="6242">
      <c r="A6242">
        <f>IFERROR(INDEX('Email Cleaner'!$B$2:$B$10001,MATCH(6241,'Email Cleaner'!$J$2:$J$10001,0)),"")</f>
        <v/>
      </c>
    </row>
    <row r="6243">
      <c r="A6243">
        <f>IFERROR(INDEX('Email Cleaner'!$B$2:$B$10001,MATCH(6242,'Email Cleaner'!$J$2:$J$10001,0)),"")</f>
        <v/>
      </c>
    </row>
    <row r="6244">
      <c r="A6244">
        <f>IFERROR(INDEX('Email Cleaner'!$B$2:$B$10001,MATCH(6243,'Email Cleaner'!$J$2:$J$10001,0)),"")</f>
        <v/>
      </c>
    </row>
    <row r="6245">
      <c r="A6245">
        <f>IFERROR(INDEX('Email Cleaner'!$B$2:$B$10001,MATCH(6244,'Email Cleaner'!$J$2:$J$10001,0)),"")</f>
        <v/>
      </c>
    </row>
    <row r="6246">
      <c r="A6246">
        <f>IFERROR(INDEX('Email Cleaner'!$B$2:$B$10001,MATCH(6245,'Email Cleaner'!$J$2:$J$10001,0)),"")</f>
        <v/>
      </c>
    </row>
    <row r="6247">
      <c r="A6247">
        <f>IFERROR(INDEX('Email Cleaner'!$B$2:$B$10001,MATCH(6246,'Email Cleaner'!$J$2:$J$10001,0)),"")</f>
        <v/>
      </c>
    </row>
    <row r="6248">
      <c r="A6248">
        <f>IFERROR(INDEX('Email Cleaner'!$B$2:$B$10001,MATCH(6247,'Email Cleaner'!$J$2:$J$10001,0)),"")</f>
        <v/>
      </c>
    </row>
    <row r="6249">
      <c r="A6249">
        <f>IFERROR(INDEX('Email Cleaner'!$B$2:$B$10001,MATCH(6248,'Email Cleaner'!$J$2:$J$10001,0)),"")</f>
        <v/>
      </c>
    </row>
    <row r="6250">
      <c r="A6250">
        <f>IFERROR(INDEX('Email Cleaner'!$B$2:$B$10001,MATCH(6249,'Email Cleaner'!$J$2:$J$10001,0)),"")</f>
        <v/>
      </c>
    </row>
    <row r="6251">
      <c r="A6251">
        <f>IFERROR(INDEX('Email Cleaner'!$B$2:$B$10001,MATCH(6250,'Email Cleaner'!$J$2:$J$10001,0)),"")</f>
        <v/>
      </c>
    </row>
    <row r="6252">
      <c r="A6252">
        <f>IFERROR(INDEX('Email Cleaner'!$B$2:$B$10001,MATCH(6251,'Email Cleaner'!$J$2:$J$10001,0)),"")</f>
        <v/>
      </c>
    </row>
    <row r="6253">
      <c r="A6253">
        <f>IFERROR(INDEX('Email Cleaner'!$B$2:$B$10001,MATCH(6252,'Email Cleaner'!$J$2:$J$10001,0)),"")</f>
        <v/>
      </c>
    </row>
    <row r="6254">
      <c r="A6254">
        <f>IFERROR(INDEX('Email Cleaner'!$B$2:$B$10001,MATCH(6253,'Email Cleaner'!$J$2:$J$10001,0)),"")</f>
        <v/>
      </c>
    </row>
    <row r="6255">
      <c r="A6255">
        <f>IFERROR(INDEX('Email Cleaner'!$B$2:$B$10001,MATCH(6254,'Email Cleaner'!$J$2:$J$10001,0)),"")</f>
        <v/>
      </c>
    </row>
    <row r="6256">
      <c r="A6256">
        <f>IFERROR(INDEX('Email Cleaner'!$B$2:$B$10001,MATCH(6255,'Email Cleaner'!$J$2:$J$10001,0)),"")</f>
        <v/>
      </c>
    </row>
    <row r="6257">
      <c r="A6257">
        <f>IFERROR(INDEX('Email Cleaner'!$B$2:$B$10001,MATCH(6256,'Email Cleaner'!$J$2:$J$10001,0)),"")</f>
        <v/>
      </c>
    </row>
    <row r="6258">
      <c r="A6258">
        <f>IFERROR(INDEX('Email Cleaner'!$B$2:$B$10001,MATCH(6257,'Email Cleaner'!$J$2:$J$10001,0)),"")</f>
        <v/>
      </c>
    </row>
    <row r="6259">
      <c r="A6259">
        <f>IFERROR(INDEX('Email Cleaner'!$B$2:$B$10001,MATCH(6258,'Email Cleaner'!$J$2:$J$10001,0)),"")</f>
        <v/>
      </c>
    </row>
    <row r="6260">
      <c r="A6260">
        <f>IFERROR(INDEX('Email Cleaner'!$B$2:$B$10001,MATCH(6259,'Email Cleaner'!$J$2:$J$10001,0)),"")</f>
        <v/>
      </c>
    </row>
    <row r="6261">
      <c r="A6261">
        <f>IFERROR(INDEX('Email Cleaner'!$B$2:$B$10001,MATCH(6260,'Email Cleaner'!$J$2:$J$10001,0)),"")</f>
        <v/>
      </c>
    </row>
    <row r="6262">
      <c r="A6262">
        <f>IFERROR(INDEX('Email Cleaner'!$B$2:$B$10001,MATCH(6261,'Email Cleaner'!$J$2:$J$10001,0)),"")</f>
        <v/>
      </c>
    </row>
    <row r="6263">
      <c r="A6263">
        <f>IFERROR(INDEX('Email Cleaner'!$B$2:$B$10001,MATCH(6262,'Email Cleaner'!$J$2:$J$10001,0)),"")</f>
        <v/>
      </c>
    </row>
    <row r="6264">
      <c r="A6264">
        <f>IFERROR(INDEX('Email Cleaner'!$B$2:$B$10001,MATCH(6263,'Email Cleaner'!$J$2:$J$10001,0)),"")</f>
        <v/>
      </c>
    </row>
    <row r="6265">
      <c r="A6265">
        <f>IFERROR(INDEX('Email Cleaner'!$B$2:$B$10001,MATCH(6264,'Email Cleaner'!$J$2:$J$10001,0)),"")</f>
        <v/>
      </c>
    </row>
    <row r="6266">
      <c r="A6266">
        <f>IFERROR(INDEX('Email Cleaner'!$B$2:$B$10001,MATCH(6265,'Email Cleaner'!$J$2:$J$10001,0)),"")</f>
        <v/>
      </c>
    </row>
    <row r="6267">
      <c r="A6267">
        <f>IFERROR(INDEX('Email Cleaner'!$B$2:$B$10001,MATCH(6266,'Email Cleaner'!$J$2:$J$10001,0)),"")</f>
        <v/>
      </c>
    </row>
    <row r="6268">
      <c r="A6268">
        <f>IFERROR(INDEX('Email Cleaner'!$B$2:$B$10001,MATCH(6267,'Email Cleaner'!$J$2:$J$10001,0)),"")</f>
        <v/>
      </c>
    </row>
    <row r="6269">
      <c r="A6269">
        <f>IFERROR(INDEX('Email Cleaner'!$B$2:$B$10001,MATCH(6268,'Email Cleaner'!$J$2:$J$10001,0)),"")</f>
        <v/>
      </c>
    </row>
    <row r="6270">
      <c r="A6270">
        <f>IFERROR(INDEX('Email Cleaner'!$B$2:$B$10001,MATCH(6269,'Email Cleaner'!$J$2:$J$10001,0)),"")</f>
        <v/>
      </c>
    </row>
    <row r="6271">
      <c r="A6271">
        <f>IFERROR(INDEX('Email Cleaner'!$B$2:$B$10001,MATCH(6270,'Email Cleaner'!$J$2:$J$10001,0)),"")</f>
        <v/>
      </c>
    </row>
    <row r="6272">
      <c r="A6272">
        <f>IFERROR(INDEX('Email Cleaner'!$B$2:$B$10001,MATCH(6271,'Email Cleaner'!$J$2:$J$10001,0)),"")</f>
        <v/>
      </c>
    </row>
    <row r="6273">
      <c r="A6273">
        <f>IFERROR(INDEX('Email Cleaner'!$B$2:$B$10001,MATCH(6272,'Email Cleaner'!$J$2:$J$10001,0)),"")</f>
        <v/>
      </c>
    </row>
    <row r="6274">
      <c r="A6274">
        <f>IFERROR(INDEX('Email Cleaner'!$B$2:$B$10001,MATCH(6273,'Email Cleaner'!$J$2:$J$10001,0)),"")</f>
        <v/>
      </c>
    </row>
    <row r="6275">
      <c r="A6275">
        <f>IFERROR(INDEX('Email Cleaner'!$B$2:$B$10001,MATCH(6274,'Email Cleaner'!$J$2:$J$10001,0)),"")</f>
        <v/>
      </c>
    </row>
    <row r="6276">
      <c r="A6276">
        <f>IFERROR(INDEX('Email Cleaner'!$B$2:$B$10001,MATCH(6275,'Email Cleaner'!$J$2:$J$10001,0)),"")</f>
        <v/>
      </c>
    </row>
    <row r="6277">
      <c r="A6277">
        <f>IFERROR(INDEX('Email Cleaner'!$B$2:$B$10001,MATCH(6276,'Email Cleaner'!$J$2:$J$10001,0)),"")</f>
        <v/>
      </c>
    </row>
    <row r="6278">
      <c r="A6278">
        <f>IFERROR(INDEX('Email Cleaner'!$B$2:$B$10001,MATCH(6277,'Email Cleaner'!$J$2:$J$10001,0)),"")</f>
        <v/>
      </c>
    </row>
    <row r="6279">
      <c r="A6279">
        <f>IFERROR(INDEX('Email Cleaner'!$B$2:$B$10001,MATCH(6278,'Email Cleaner'!$J$2:$J$10001,0)),"")</f>
        <v/>
      </c>
    </row>
    <row r="6280">
      <c r="A6280">
        <f>IFERROR(INDEX('Email Cleaner'!$B$2:$B$10001,MATCH(6279,'Email Cleaner'!$J$2:$J$10001,0)),"")</f>
        <v/>
      </c>
    </row>
    <row r="6281">
      <c r="A6281">
        <f>IFERROR(INDEX('Email Cleaner'!$B$2:$B$10001,MATCH(6280,'Email Cleaner'!$J$2:$J$10001,0)),"")</f>
        <v/>
      </c>
    </row>
    <row r="6282">
      <c r="A6282">
        <f>IFERROR(INDEX('Email Cleaner'!$B$2:$B$10001,MATCH(6281,'Email Cleaner'!$J$2:$J$10001,0)),"")</f>
        <v/>
      </c>
    </row>
    <row r="6283">
      <c r="A6283">
        <f>IFERROR(INDEX('Email Cleaner'!$B$2:$B$10001,MATCH(6282,'Email Cleaner'!$J$2:$J$10001,0)),"")</f>
        <v/>
      </c>
    </row>
    <row r="6284">
      <c r="A6284">
        <f>IFERROR(INDEX('Email Cleaner'!$B$2:$B$10001,MATCH(6283,'Email Cleaner'!$J$2:$J$10001,0)),"")</f>
        <v/>
      </c>
    </row>
    <row r="6285">
      <c r="A6285">
        <f>IFERROR(INDEX('Email Cleaner'!$B$2:$B$10001,MATCH(6284,'Email Cleaner'!$J$2:$J$10001,0)),"")</f>
        <v/>
      </c>
    </row>
    <row r="6286">
      <c r="A6286">
        <f>IFERROR(INDEX('Email Cleaner'!$B$2:$B$10001,MATCH(6285,'Email Cleaner'!$J$2:$J$10001,0)),"")</f>
        <v/>
      </c>
    </row>
    <row r="6287">
      <c r="A6287">
        <f>IFERROR(INDEX('Email Cleaner'!$B$2:$B$10001,MATCH(6286,'Email Cleaner'!$J$2:$J$10001,0)),"")</f>
        <v/>
      </c>
    </row>
    <row r="6288">
      <c r="A6288">
        <f>IFERROR(INDEX('Email Cleaner'!$B$2:$B$10001,MATCH(6287,'Email Cleaner'!$J$2:$J$10001,0)),"")</f>
        <v/>
      </c>
    </row>
    <row r="6289">
      <c r="A6289">
        <f>IFERROR(INDEX('Email Cleaner'!$B$2:$B$10001,MATCH(6288,'Email Cleaner'!$J$2:$J$10001,0)),"")</f>
        <v/>
      </c>
    </row>
    <row r="6290">
      <c r="A6290">
        <f>IFERROR(INDEX('Email Cleaner'!$B$2:$B$10001,MATCH(6289,'Email Cleaner'!$J$2:$J$10001,0)),"")</f>
        <v/>
      </c>
    </row>
    <row r="6291">
      <c r="A6291">
        <f>IFERROR(INDEX('Email Cleaner'!$B$2:$B$10001,MATCH(6290,'Email Cleaner'!$J$2:$J$10001,0)),"")</f>
        <v/>
      </c>
    </row>
    <row r="6292">
      <c r="A6292">
        <f>IFERROR(INDEX('Email Cleaner'!$B$2:$B$10001,MATCH(6291,'Email Cleaner'!$J$2:$J$10001,0)),"")</f>
        <v/>
      </c>
    </row>
    <row r="6293">
      <c r="A6293">
        <f>IFERROR(INDEX('Email Cleaner'!$B$2:$B$10001,MATCH(6292,'Email Cleaner'!$J$2:$J$10001,0)),"")</f>
        <v/>
      </c>
    </row>
    <row r="6294">
      <c r="A6294">
        <f>IFERROR(INDEX('Email Cleaner'!$B$2:$B$10001,MATCH(6293,'Email Cleaner'!$J$2:$J$10001,0)),"")</f>
        <v/>
      </c>
    </row>
    <row r="6295">
      <c r="A6295">
        <f>IFERROR(INDEX('Email Cleaner'!$B$2:$B$10001,MATCH(6294,'Email Cleaner'!$J$2:$J$10001,0)),"")</f>
        <v/>
      </c>
    </row>
    <row r="6296">
      <c r="A6296">
        <f>IFERROR(INDEX('Email Cleaner'!$B$2:$B$10001,MATCH(6295,'Email Cleaner'!$J$2:$J$10001,0)),"")</f>
        <v/>
      </c>
    </row>
    <row r="6297">
      <c r="A6297">
        <f>IFERROR(INDEX('Email Cleaner'!$B$2:$B$10001,MATCH(6296,'Email Cleaner'!$J$2:$J$10001,0)),"")</f>
        <v/>
      </c>
    </row>
    <row r="6298">
      <c r="A6298">
        <f>IFERROR(INDEX('Email Cleaner'!$B$2:$B$10001,MATCH(6297,'Email Cleaner'!$J$2:$J$10001,0)),"")</f>
        <v/>
      </c>
    </row>
    <row r="6299">
      <c r="A6299">
        <f>IFERROR(INDEX('Email Cleaner'!$B$2:$B$10001,MATCH(6298,'Email Cleaner'!$J$2:$J$10001,0)),"")</f>
        <v/>
      </c>
    </row>
    <row r="6300">
      <c r="A6300">
        <f>IFERROR(INDEX('Email Cleaner'!$B$2:$B$10001,MATCH(6299,'Email Cleaner'!$J$2:$J$10001,0)),"")</f>
        <v/>
      </c>
    </row>
    <row r="6301">
      <c r="A6301">
        <f>IFERROR(INDEX('Email Cleaner'!$B$2:$B$10001,MATCH(6300,'Email Cleaner'!$J$2:$J$10001,0)),"")</f>
        <v/>
      </c>
    </row>
    <row r="6302">
      <c r="A6302">
        <f>IFERROR(INDEX('Email Cleaner'!$B$2:$B$10001,MATCH(6301,'Email Cleaner'!$J$2:$J$10001,0)),"")</f>
        <v/>
      </c>
    </row>
    <row r="6303">
      <c r="A6303">
        <f>IFERROR(INDEX('Email Cleaner'!$B$2:$B$10001,MATCH(6302,'Email Cleaner'!$J$2:$J$10001,0)),"")</f>
        <v/>
      </c>
    </row>
    <row r="6304">
      <c r="A6304">
        <f>IFERROR(INDEX('Email Cleaner'!$B$2:$B$10001,MATCH(6303,'Email Cleaner'!$J$2:$J$10001,0)),"")</f>
        <v/>
      </c>
    </row>
    <row r="6305">
      <c r="A6305">
        <f>IFERROR(INDEX('Email Cleaner'!$B$2:$B$10001,MATCH(6304,'Email Cleaner'!$J$2:$J$10001,0)),"")</f>
        <v/>
      </c>
    </row>
    <row r="6306">
      <c r="A6306">
        <f>IFERROR(INDEX('Email Cleaner'!$B$2:$B$10001,MATCH(6305,'Email Cleaner'!$J$2:$J$10001,0)),"")</f>
        <v/>
      </c>
    </row>
    <row r="6307">
      <c r="A6307">
        <f>IFERROR(INDEX('Email Cleaner'!$B$2:$B$10001,MATCH(6306,'Email Cleaner'!$J$2:$J$10001,0)),"")</f>
        <v/>
      </c>
    </row>
    <row r="6308">
      <c r="A6308">
        <f>IFERROR(INDEX('Email Cleaner'!$B$2:$B$10001,MATCH(6307,'Email Cleaner'!$J$2:$J$10001,0)),"")</f>
        <v/>
      </c>
    </row>
    <row r="6309">
      <c r="A6309">
        <f>IFERROR(INDEX('Email Cleaner'!$B$2:$B$10001,MATCH(6308,'Email Cleaner'!$J$2:$J$10001,0)),"")</f>
        <v/>
      </c>
    </row>
    <row r="6310">
      <c r="A6310">
        <f>IFERROR(INDEX('Email Cleaner'!$B$2:$B$10001,MATCH(6309,'Email Cleaner'!$J$2:$J$10001,0)),"")</f>
        <v/>
      </c>
    </row>
    <row r="6311">
      <c r="A6311">
        <f>IFERROR(INDEX('Email Cleaner'!$B$2:$B$10001,MATCH(6310,'Email Cleaner'!$J$2:$J$10001,0)),"")</f>
        <v/>
      </c>
    </row>
    <row r="6312">
      <c r="A6312">
        <f>IFERROR(INDEX('Email Cleaner'!$B$2:$B$10001,MATCH(6311,'Email Cleaner'!$J$2:$J$10001,0)),"")</f>
        <v/>
      </c>
    </row>
    <row r="6313">
      <c r="A6313">
        <f>IFERROR(INDEX('Email Cleaner'!$B$2:$B$10001,MATCH(6312,'Email Cleaner'!$J$2:$J$10001,0)),"")</f>
        <v/>
      </c>
    </row>
    <row r="6314">
      <c r="A6314">
        <f>IFERROR(INDEX('Email Cleaner'!$B$2:$B$10001,MATCH(6313,'Email Cleaner'!$J$2:$J$10001,0)),"")</f>
        <v/>
      </c>
    </row>
    <row r="6315">
      <c r="A6315">
        <f>IFERROR(INDEX('Email Cleaner'!$B$2:$B$10001,MATCH(6314,'Email Cleaner'!$J$2:$J$10001,0)),"")</f>
        <v/>
      </c>
    </row>
    <row r="6316">
      <c r="A6316">
        <f>IFERROR(INDEX('Email Cleaner'!$B$2:$B$10001,MATCH(6315,'Email Cleaner'!$J$2:$J$10001,0)),"")</f>
        <v/>
      </c>
    </row>
    <row r="6317">
      <c r="A6317">
        <f>IFERROR(INDEX('Email Cleaner'!$B$2:$B$10001,MATCH(6316,'Email Cleaner'!$J$2:$J$10001,0)),"")</f>
        <v/>
      </c>
    </row>
    <row r="6318">
      <c r="A6318">
        <f>IFERROR(INDEX('Email Cleaner'!$B$2:$B$10001,MATCH(6317,'Email Cleaner'!$J$2:$J$10001,0)),"")</f>
        <v/>
      </c>
    </row>
    <row r="6319">
      <c r="A6319">
        <f>IFERROR(INDEX('Email Cleaner'!$B$2:$B$10001,MATCH(6318,'Email Cleaner'!$J$2:$J$10001,0)),"")</f>
        <v/>
      </c>
    </row>
    <row r="6320">
      <c r="A6320">
        <f>IFERROR(INDEX('Email Cleaner'!$B$2:$B$10001,MATCH(6319,'Email Cleaner'!$J$2:$J$10001,0)),"")</f>
        <v/>
      </c>
    </row>
    <row r="6321">
      <c r="A6321">
        <f>IFERROR(INDEX('Email Cleaner'!$B$2:$B$10001,MATCH(6320,'Email Cleaner'!$J$2:$J$10001,0)),"")</f>
        <v/>
      </c>
    </row>
    <row r="6322">
      <c r="A6322">
        <f>IFERROR(INDEX('Email Cleaner'!$B$2:$B$10001,MATCH(6321,'Email Cleaner'!$J$2:$J$10001,0)),"")</f>
        <v/>
      </c>
    </row>
    <row r="6323">
      <c r="A6323">
        <f>IFERROR(INDEX('Email Cleaner'!$B$2:$B$10001,MATCH(6322,'Email Cleaner'!$J$2:$J$10001,0)),"")</f>
        <v/>
      </c>
    </row>
    <row r="6324">
      <c r="A6324">
        <f>IFERROR(INDEX('Email Cleaner'!$B$2:$B$10001,MATCH(6323,'Email Cleaner'!$J$2:$J$10001,0)),"")</f>
        <v/>
      </c>
    </row>
    <row r="6325">
      <c r="A6325">
        <f>IFERROR(INDEX('Email Cleaner'!$B$2:$B$10001,MATCH(6324,'Email Cleaner'!$J$2:$J$10001,0)),"")</f>
        <v/>
      </c>
    </row>
    <row r="6326">
      <c r="A6326">
        <f>IFERROR(INDEX('Email Cleaner'!$B$2:$B$10001,MATCH(6325,'Email Cleaner'!$J$2:$J$10001,0)),"")</f>
        <v/>
      </c>
    </row>
    <row r="6327">
      <c r="A6327">
        <f>IFERROR(INDEX('Email Cleaner'!$B$2:$B$10001,MATCH(6326,'Email Cleaner'!$J$2:$J$10001,0)),"")</f>
        <v/>
      </c>
    </row>
    <row r="6328">
      <c r="A6328">
        <f>IFERROR(INDEX('Email Cleaner'!$B$2:$B$10001,MATCH(6327,'Email Cleaner'!$J$2:$J$10001,0)),"")</f>
        <v/>
      </c>
    </row>
    <row r="6329">
      <c r="A6329">
        <f>IFERROR(INDEX('Email Cleaner'!$B$2:$B$10001,MATCH(6328,'Email Cleaner'!$J$2:$J$10001,0)),"")</f>
        <v/>
      </c>
    </row>
    <row r="6330">
      <c r="A6330">
        <f>IFERROR(INDEX('Email Cleaner'!$B$2:$B$10001,MATCH(6329,'Email Cleaner'!$J$2:$J$10001,0)),"")</f>
        <v/>
      </c>
    </row>
    <row r="6331">
      <c r="A6331">
        <f>IFERROR(INDEX('Email Cleaner'!$B$2:$B$10001,MATCH(6330,'Email Cleaner'!$J$2:$J$10001,0)),"")</f>
        <v/>
      </c>
    </row>
    <row r="6332">
      <c r="A6332">
        <f>IFERROR(INDEX('Email Cleaner'!$B$2:$B$10001,MATCH(6331,'Email Cleaner'!$J$2:$J$10001,0)),"")</f>
        <v/>
      </c>
    </row>
    <row r="6333">
      <c r="A6333">
        <f>IFERROR(INDEX('Email Cleaner'!$B$2:$B$10001,MATCH(6332,'Email Cleaner'!$J$2:$J$10001,0)),"")</f>
        <v/>
      </c>
    </row>
    <row r="6334">
      <c r="A6334">
        <f>IFERROR(INDEX('Email Cleaner'!$B$2:$B$10001,MATCH(6333,'Email Cleaner'!$J$2:$J$10001,0)),"")</f>
        <v/>
      </c>
    </row>
    <row r="6335">
      <c r="A6335">
        <f>IFERROR(INDEX('Email Cleaner'!$B$2:$B$10001,MATCH(6334,'Email Cleaner'!$J$2:$J$10001,0)),"")</f>
        <v/>
      </c>
    </row>
    <row r="6336">
      <c r="A6336">
        <f>IFERROR(INDEX('Email Cleaner'!$B$2:$B$10001,MATCH(6335,'Email Cleaner'!$J$2:$J$10001,0)),"")</f>
        <v/>
      </c>
    </row>
    <row r="6337">
      <c r="A6337">
        <f>IFERROR(INDEX('Email Cleaner'!$B$2:$B$10001,MATCH(6336,'Email Cleaner'!$J$2:$J$10001,0)),"")</f>
        <v/>
      </c>
    </row>
    <row r="6338">
      <c r="A6338">
        <f>IFERROR(INDEX('Email Cleaner'!$B$2:$B$10001,MATCH(6337,'Email Cleaner'!$J$2:$J$10001,0)),"")</f>
        <v/>
      </c>
    </row>
    <row r="6339">
      <c r="A6339">
        <f>IFERROR(INDEX('Email Cleaner'!$B$2:$B$10001,MATCH(6338,'Email Cleaner'!$J$2:$J$10001,0)),"")</f>
        <v/>
      </c>
    </row>
    <row r="6340">
      <c r="A6340">
        <f>IFERROR(INDEX('Email Cleaner'!$B$2:$B$10001,MATCH(6339,'Email Cleaner'!$J$2:$J$10001,0)),"")</f>
        <v/>
      </c>
    </row>
    <row r="6341">
      <c r="A6341">
        <f>IFERROR(INDEX('Email Cleaner'!$B$2:$B$10001,MATCH(6340,'Email Cleaner'!$J$2:$J$10001,0)),"")</f>
        <v/>
      </c>
    </row>
    <row r="6342">
      <c r="A6342">
        <f>IFERROR(INDEX('Email Cleaner'!$B$2:$B$10001,MATCH(6341,'Email Cleaner'!$J$2:$J$10001,0)),"")</f>
        <v/>
      </c>
    </row>
    <row r="6343">
      <c r="A6343">
        <f>IFERROR(INDEX('Email Cleaner'!$B$2:$B$10001,MATCH(6342,'Email Cleaner'!$J$2:$J$10001,0)),"")</f>
        <v/>
      </c>
    </row>
    <row r="6344">
      <c r="A6344">
        <f>IFERROR(INDEX('Email Cleaner'!$B$2:$B$10001,MATCH(6343,'Email Cleaner'!$J$2:$J$10001,0)),"")</f>
        <v/>
      </c>
    </row>
    <row r="6345">
      <c r="A6345">
        <f>IFERROR(INDEX('Email Cleaner'!$B$2:$B$10001,MATCH(6344,'Email Cleaner'!$J$2:$J$10001,0)),"")</f>
        <v/>
      </c>
    </row>
    <row r="6346">
      <c r="A6346">
        <f>IFERROR(INDEX('Email Cleaner'!$B$2:$B$10001,MATCH(6345,'Email Cleaner'!$J$2:$J$10001,0)),"")</f>
        <v/>
      </c>
    </row>
    <row r="6347">
      <c r="A6347">
        <f>IFERROR(INDEX('Email Cleaner'!$B$2:$B$10001,MATCH(6346,'Email Cleaner'!$J$2:$J$10001,0)),"")</f>
        <v/>
      </c>
    </row>
    <row r="6348">
      <c r="A6348">
        <f>IFERROR(INDEX('Email Cleaner'!$B$2:$B$10001,MATCH(6347,'Email Cleaner'!$J$2:$J$10001,0)),"")</f>
        <v/>
      </c>
    </row>
    <row r="6349">
      <c r="A6349">
        <f>IFERROR(INDEX('Email Cleaner'!$B$2:$B$10001,MATCH(6348,'Email Cleaner'!$J$2:$J$10001,0)),"")</f>
        <v/>
      </c>
    </row>
    <row r="6350">
      <c r="A6350">
        <f>IFERROR(INDEX('Email Cleaner'!$B$2:$B$10001,MATCH(6349,'Email Cleaner'!$J$2:$J$10001,0)),"")</f>
        <v/>
      </c>
    </row>
    <row r="6351">
      <c r="A6351">
        <f>IFERROR(INDEX('Email Cleaner'!$B$2:$B$10001,MATCH(6350,'Email Cleaner'!$J$2:$J$10001,0)),"")</f>
        <v/>
      </c>
    </row>
    <row r="6352">
      <c r="A6352">
        <f>IFERROR(INDEX('Email Cleaner'!$B$2:$B$10001,MATCH(6351,'Email Cleaner'!$J$2:$J$10001,0)),"")</f>
        <v/>
      </c>
    </row>
    <row r="6353">
      <c r="A6353">
        <f>IFERROR(INDEX('Email Cleaner'!$B$2:$B$10001,MATCH(6352,'Email Cleaner'!$J$2:$J$10001,0)),"")</f>
        <v/>
      </c>
    </row>
    <row r="6354">
      <c r="A6354">
        <f>IFERROR(INDEX('Email Cleaner'!$B$2:$B$10001,MATCH(6353,'Email Cleaner'!$J$2:$J$10001,0)),"")</f>
        <v/>
      </c>
    </row>
    <row r="6355">
      <c r="A6355">
        <f>IFERROR(INDEX('Email Cleaner'!$B$2:$B$10001,MATCH(6354,'Email Cleaner'!$J$2:$J$10001,0)),"")</f>
        <v/>
      </c>
    </row>
    <row r="6356">
      <c r="A6356">
        <f>IFERROR(INDEX('Email Cleaner'!$B$2:$B$10001,MATCH(6355,'Email Cleaner'!$J$2:$J$10001,0)),"")</f>
        <v/>
      </c>
    </row>
    <row r="6357">
      <c r="A6357">
        <f>IFERROR(INDEX('Email Cleaner'!$B$2:$B$10001,MATCH(6356,'Email Cleaner'!$J$2:$J$10001,0)),"")</f>
        <v/>
      </c>
    </row>
    <row r="6358">
      <c r="A6358">
        <f>IFERROR(INDEX('Email Cleaner'!$B$2:$B$10001,MATCH(6357,'Email Cleaner'!$J$2:$J$10001,0)),"")</f>
        <v/>
      </c>
    </row>
    <row r="6359">
      <c r="A6359">
        <f>IFERROR(INDEX('Email Cleaner'!$B$2:$B$10001,MATCH(6358,'Email Cleaner'!$J$2:$J$10001,0)),"")</f>
        <v/>
      </c>
    </row>
    <row r="6360">
      <c r="A6360">
        <f>IFERROR(INDEX('Email Cleaner'!$B$2:$B$10001,MATCH(6359,'Email Cleaner'!$J$2:$J$10001,0)),"")</f>
        <v/>
      </c>
    </row>
    <row r="6361">
      <c r="A6361">
        <f>IFERROR(INDEX('Email Cleaner'!$B$2:$B$10001,MATCH(6360,'Email Cleaner'!$J$2:$J$10001,0)),"")</f>
        <v/>
      </c>
    </row>
    <row r="6362">
      <c r="A6362">
        <f>IFERROR(INDEX('Email Cleaner'!$B$2:$B$10001,MATCH(6361,'Email Cleaner'!$J$2:$J$10001,0)),"")</f>
        <v/>
      </c>
    </row>
    <row r="6363">
      <c r="A6363">
        <f>IFERROR(INDEX('Email Cleaner'!$B$2:$B$10001,MATCH(6362,'Email Cleaner'!$J$2:$J$10001,0)),"")</f>
        <v/>
      </c>
    </row>
    <row r="6364">
      <c r="A6364">
        <f>IFERROR(INDEX('Email Cleaner'!$B$2:$B$10001,MATCH(6363,'Email Cleaner'!$J$2:$J$10001,0)),"")</f>
        <v/>
      </c>
    </row>
    <row r="6365">
      <c r="A6365">
        <f>IFERROR(INDEX('Email Cleaner'!$B$2:$B$10001,MATCH(6364,'Email Cleaner'!$J$2:$J$10001,0)),"")</f>
        <v/>
      </c>
    </row>
    <row r="6366">
      <c r="A6366">
        <f>IFERROR(INDEX('Email Cleaner'!$B$2:$B$10001,MATCH(6365,'Email Cleaner'!$J$2:$J$10001,0)),"")</f>
        <v/>
      </c>
    </row>
    <row r="6367">
      <c r="A6367">
        <f>IFERROR(INDEX('Email Cleaner'!$B$2:$B$10001,MATCH(6366,'Email Cleaner'!$J$2:$J$10001,0)),"")</f>
        <v/>
      </c>
    </row>
    <row r="6368">
      <c r="A6368">
        <f>IFERROR(INDEX('Email Cleaner'!$B$2:$B$10001,MATCH(6367,'Email Cleaner'!$J$2:$J$10001,0)),"")</f>
        <v/>
      </c>
    </row>
    <row r="6369">
      <c r="A6369">
        <f>IFERROR(INDEX('Email Cleaner'!$B$2:$B$10001,MATCH(6368,'Email Cleaner'!$J$2:$J$10001,0)),"")</f>
        <v/>
      </c>
    </row>
    <row r="6370">
      <c r="A6370">
        <f>IFERROR(INDEX('Email Cleaner'!$B$2:$B$10001,MATCH(6369,'Email Cleaner'!$J$2:$J$10001,0)),"")</f>
        <v/>
      </c>
    </row>
    <row r="6371">
      <c r="A6371">
        <f>IFERROR(INDEX('Email Cleaner'!$B$2:$B$10001,MATCH(6370,'Email Cleaner'!$J$2:$J$10001,0)),"")</f>
        <v/>
      </c>
    </row>
    <row r="6372">
      <c r="A6372">
        <f>IFERROR(INDEX('Email Cleaner'!$B$2:$B$10001,MATCH(6371,'Email Cleaner'!$J$2:$J$10001,0)),"")</f>
        <v/>
      </c>
    </row>
    <row r="6373">
      <c r="A6373">
        <f>IFERROR(INDEX('Email Cleaner'!$B$2:$B$10001,MATCH(6372,'Email Cleaner'!$J$2:$J$10001,0)),"")</f>
        <v/>
      </c>
    </row>
    <row r="6374">
      <c r="A6374">
        <f>IFERROR(INDEX('Email Cleaner'!$B$2:$B$10001,MATCH(6373,'Email Cleaner'!$J$2:$J$10001,0)),"")</f>
        <v/>
      </c>
    </row>
    <row r="6375">
      <c r="A6375">
        <f>IFERROR(INDEX('Email Cleaner'!$B$2:$B$10001,MATCH(6374,'Email Cleaner'!$J$2:$J$10001,0)),"")</f>
        <v/>
      </c>
    </row>
    <row r="6376">
      <c r="A6376">
        <f>IFERROR(INDEX('Email Cleaner'!$B$2:$B$10001,MATCH(6375,'Email Cleaner'!$J$2:$J$10001,0)),"")</f>
        <v/>
      </c>
    </row>
    <row r="6377">
      <c r="A6377">
        <f>IFERROR(INDEX('Email Cleaner'!$B$2:$B$10001,MATCH(6376,'Email Cleaner'!$J$2:$J$10001,0)),"")</f>
        <v/>
      </c>
    </row>
    <row r="6378">
      <c r="A6378">
        <f>IFERROR(INDEX('Email Cleaner'!$B$2:$B$10001,MATCH(6377,'Email Cleaner'!$J$2:$J$10001,0)),"")</f>
        <v/>
      </c>
    </row>
    <row r="6379">
      <c r="A6379">
        <f>IFERROR(INDEX('Email Cleaner'!$B$2:$B$10001,MATCH(6378,'Email Cleaner'!$J$2:$J$10001,0)),"")</f>
        <v/>
      </c>
    </row>
    <row r="6380">
      <c r="A6380">
        <f>IFERROR(INDEX('Email Cleaner'!$B$2:$B$10001,MATCH(6379,'Email Cleaner'!$J$2:$J$10001,0)),"")</f>
        <v/>
      </c>
    </row>
    <row r="6381">
      <c r="A6381">
        <f>IFERROR(INDEX('Email Cleaner'!$B$2:$B$10001,MATCH(6380,'Email Cleaner'!$J$2:$J$10001,0)),"")</f>
        <v/>
      </c>
    </row>
    <row r="6382">
      <c r="A6382">
        <f>IFERROR(INDEX('Email Cleaner'!$B$2:$B$10001,MATCH(6381,'Email Cleaner'!$J$2:$J$10001,0)),"")</f>
        <v/>
      </c>
    </row>
    <row r="6383">
      <c r="A6383">
        <f>IFERROR(INDEX('Email Cleaner'!$B$2:$B$10001,MATCH(6382,'Email Cleaner'!$J$2:$J$10001,0)),"")</f>
        <v/>
      </c>
    </row>
    <row r="6384">
      <c r="A6384">
        <f>IFERROR(INDEX('Email Cleaner'!$B$2:$B$10001,MATCH(6383,'Email Cleaner'!$J$2:$J$10001,0)),"")</f>
        <v/>
      </c>
    </row>
    <row r="6385">
      <c r="A6385">
        <f>IFERROR(INDEX('Email Cleaner'!$B$2:$B$10001,MATCH(6384,'Email Cleaner'!$J$2:$J$10001,0)),"")</f>
        <v/>
      </c>
    </row>
    <row r="6386">
      <c r="A6386">
        <f>IFERROR(INDEX('Email Cleaner'!$B$2:$B$10001,MATCH(6385,'Email Cleaner'!$J$2:$J$10001,0)),"")</f>
        <v/>
      </c>
    </row>
    <row r="6387">
      <c r="A6387">
        <f>IFERROR(INDEX('Email Cleaner'!$B$2:$B$10001,MATCH(6386,'Email Cleaner'!$J$2:$J$10001,0)),"")</f>
        <v/>
      </c>
    </row>
    <row r="6388">
      <c r="A6388">
        <f>IFERROR(INDEX('Email Cleaner'!$B$2:$B$10001,MATCH(6387,'Email Cleaner'!$J$2:$J$10001,0)),"")</f>
        <v/>
      </c>
    </row>
    <row r="6389">
      <c r="A6389">
        <f>IFERROR(INDEX('Email Cleaner'!$B$2:$B$10001,MATCH(6388,'Email Cleaner'!$J$2:$J$10001,0)),"")</f>
        <v/>
      </c>
    </row>
    <row r="6390">
      <c r="A6390">
        <f>IFERROR(INDEX('Email Cleaner'!$B$2:$B$10001,MATCH(6389,'Email Cleaner'!$J$2:$J$10001,0)),"")</f>
        <v/>
      </c>
    </row>
    <row r="6391">
      <c r="A6391">
        <f>IFERROR(INDEX('Email Cleaner'!$B$2:$B$10001,MATCH(6390,'Email Cleaner'!$J$2:$J$10001,0)),"")</f>
        <v/>
      </c>
    </row>
    <row r="6392">
      <c r="A6392">
        <f>IFERROR(INDEX('Email Cleaner'!$B$2:$B$10001,MATCH(6391,'Email Cleaner'!$J$2:$J$10001,0)),"")</f>
        <v/>
      </c>
    </row>
    <row r="6393">
      <c r="A6393">
        <f>IFERROR(INDEX('Email Cleaner'!$B$2:$B$10001,MATCH(6392,'Email Cleaner'!$J$2:$J$10001,0)),"")</f>
        <v/>
      </c>
    </row>
    <row r="6394">
      <c r="A6394">
        <f>IFERROR(INDEX('Email Cleaner'!$B$2:$B$10001,MATCH(6393,'Email Cleaner'!$J$2:$J$10001,0)),"")</f>
        <v/>
      </c>
    </row>
    <row r="6395">
      <c r="A6395">
        <f>IFERROR(INDEX('Email Cleaner'!$B$2:$B$10001,MATCH(6394,'Email Cleaner'!$J$2:$J$10001,0)),"")</f>
        <v/>
      </c>
    </row>
    <row r="6396">
      <c r="A6396">
        <f>IFERROR(INDEX('Email Cleaner'!$B$2:$B$10001,MATCH(6395,'Email Cleaner'!$J$2:$J$10001,0)),"")</f>
        <v/>
      </c>
    </row>
    <row r="6397">
      <c r="A6397">
        <f>IFERROR(INDEX('Email Cleaner'!$B$2:$B$10001,MATCH(6396,'Email Cleaner'!$J$2:$J$10001,0)),"")</f>
        <v/>
      </c>
    </row>
    <row r="6398">
      <c r="A6398">
        <f>IFERROR(INDEX('Email Cleaner'!$B$2:$B$10001,MATCH(6397,'Email Cleaner'!$J$2:$J$10001,0)),"")</f>
        <v/>
      </c>
    </row>
    <row r="6399">
      <c r="A6399">
        <f>IFERROR(INDEX('Email Cleaner'!$B$2:$B$10001,MATCH(6398,'Email Cleaner'!$J$2:$J$10001,0)),"")</f>
        <v/>
      </c>
    </row>
    <row r="6400">
      <c r="A6400">
        <f>IFERROR(INDEX('Email Cleaner'!$B$2:$B$10001,MATCH(6399,'Email Cleaner'!$J$2:$J$10001,0)),"")</f>
        <v/>
      </c>
    </row>
    <row r="6401">
      <c r="A6401">
        <f>IFERROR(INDEX('Email Cleaner'!$B$2:$B$10001,MATCH(6400,'Email Cleaner'!$J$2:$J$10001,0)),"")</f>
        <v/>
      </c>
    </row>
    <row r="6402">
      <c r="A6402">
        <f>IFERROR(INDEX('Email Cleaner'!$B$2:$B$10001,MATCH(6401,'Email Cleaner'!$J$2:$J$10001,0)),"")</f>
        <v/>
      </c>
    </row>
    <row r="6403">
      <c r="A6403">
        <f>IFERROR(INDEX('Email Cleaner'!$B$2:$B$10001,MATCH(6402,'Email Cleaner'!$J$2:$J$10001,0)),"")</f>
        <v/>
      </c>
    </row>
    <row r="6404">
      <c r="A6404">
        <f>IFERROR(INDEX('Email Cleaner'!$B$2:$B$10001,MATCH(6403,'Email Cleaner'!$J$2:$J$10001,0)),"")</f>
        <v/>
      </c>
    </row>
    <row r="6405">
      <c r="A6405">
        <f>IFERROR(INDEX('Email Cleaner'!$B$2:$B$10001,MATCH(6404,'Email Cleaner'!$J$2:$J$10001,0)),"")</f>
        <v/>
      </c>
    </row>
    <row r="6406">
      <c r="A6406">
        <f>IFERROR(INDEX('Email Cleaner'!$B$2:$B$10001,MATCH(6405,'Email Cleaner'!$J$2:$J$10001,0)),"")</f>
        <v/>
      </c>
    </row>
    <row r="6407">
      <c r="A6407">
        <f>IFERROR(INDEX('Email Cleaner'!$B$2:$B$10001,MATCH(6406,'Email Cleaner'!$J$2:$J$10001,0)),"")</f>
        <v/>
      </c>
    </row>
    <row r="6408">
      <c r="A6408">
        <f>IFERROR(INDEX('Email Cleaner'!$B$2:$B$10001,MATCH(6407,'Email Cleaner'!$J$2:$J$10001,0)),"")</f>
        <v/>
      </c>
    </row>
    <row r="6409">
      <c r="A6409">
        <f>IFERROR(INDEX('Email Cleaner'!$B$2:$B$10001,MATCH(6408,'Email Cleaner'!$J$2:$J$10001,0)),"")</f>
        <v/>
      </c>
    </row>
    <row r="6410">
      <c r="A6410">
        <f>IFERROR(INDEX('Email Cleaner'!$B$2:$B$10001,MATCH(6409,'Email Cleaner'!$J$2:$J$10001,0)),"")</f>
        <v/>
      </c>
    </row>
    <row r="6411">
      <c r="A6411">
        <f>IFERROR(INDEX('Email Cleaner'!$B$2:$B$10001,MATCH(6410,'Email Cleaner'!$J$2:$J$10001,0)),"")</f>
        <v/>
      </c>
    </row>
    <row r="6412">
      <c r="A6412">
        <f>IFERROR(INDEX('Email Cleaner'!$B$2:$B$10001,MATCH(6411,'Email Cleaner'!$J$2:$J$10001,0)),"")</f>
        <v/>
      </c>
    </row>
    <row r="6413">
      <c r="A6413">
        <f>IFERROR(INDEX('Email Cleaner'!$B$2:$B$10001,MATCH(6412,'Email Cleaner'!$J$2:$J$10001,0)),"")</f>
        <v/>
      </c>
    </row>
    <row r="6414">
      <c r="A6414">
        <f>IFERROR(INDEX('Email Cleaner'!$B$2:$B$10001,MATCH(6413,'Email Cleaner'!$J$2:$J$10001,0)),"")</f>
        <v/>
      </c>
    </row>
    <row r="6415">
      <c r="A6415">
        <f>IFERROR(INDEX('Email Cleaner'!$B$2:$B$10001,MATCH(6414,'Email Cleaner'!$J$2:$J$10001,0)),"")</f>
        <v/>
      </c>
    </row>
    <row r="6416">
      <c r="A6416">
        <f>IFERROR(INDEX('Email Cleaner'!$B$2:$B$10001,MATCH(6415,'Email Cleaner'!$J$2:$J$10001,0)),"")</f>
        <v/>
      </c>
    </row>
    <row r="6417">
      <c r="A6417">
        <f>IFERROR(INDEX('Email Cleaner'!$B$2:$B$10001,MATCH(6416,'Email Cleaner'!$J$2:$J$10001,0)),"")</f>
        <v/>
      </c>
    </row>
    <row r="6418">
      <c r="A6418">
        <f>IFERROR(INDEX('Email Cleaner'!$B$2:$B$10001,MATCH(6417,'Email Cleaner'!$J$2:$J$10001,0)),"")</f>
        <v/>
      </c>
    </row>
    <row r="6419">
      <c r="A6419">
        <f>IFERROR(INDEX('Email Cleaner'!$B$2:$B$10001,MATCH(6418,'Email Cleaner'!$J$2:$J$10001,0)),"")</f>
        <v/>
      </c>
    </row>
    <row r="6420">
      <c r="A6420">
        <f>IFERROR(INDEX('Email Cleaner'!$B$2:$B$10001,MATCH(6419,'Email Cleaner'!$J$2:$J$10001,0)),"")</f>
        <v/>
      </c>
    </row>
    <row r="6421">
      <c r="A6421">
        <f>IFERROR(INDEX('Email Cleaner'!$B$2:$B$10001,MATCH(6420,'Email Cleaner'!$J$2:$J$10001,0)),"")</f>
        <v/>
      </c>
    </row>
    <row r="6422">
      <c r="A6422">
        <f>IFERROR(INDEX('Email Cleaner'!$B$2:$B$10001,MATCH(6421,'Email Cleaner'!$J$2:$J$10001,0)),"")</f>
        <v/>
      </c>
    </row>
    <row r="6423">
      <c r="A6423">
        <f>IFERROR(INDEX('Email Cleaner'!$B$2:$B$10001,MATCH(6422,'Email Cleaner'!$J$2:$J$10001,0)),"")</f>
        <v/>
      </c>
    </row>
    <row r="6424">
      <c r="A6424">
        <f>IFERROR(INDEX('Email Cleaner'!$B$2:$B$10001,MATCH(6423,'Email Cleaner'!$J$2:$J$10001,0)),"")</f>
        <v/>
      </c>
    </row>
    <row r="6425">
      <c r="A6425">
        <f>IFERROR(INDEX('Email Cleaner'!$B$2:$B$10001,MATCH(6424,'Email Cleaner'!$J$2:$J$10001,0)),"")</f>
        <v/>
      </c>
    </row>
    <row r="6426">
      <c r="A6426">
        <f>IFERROR(INDEX('Email Cleaner'!$B$2:$B$10001,MATCH(6425,'Email Cleaner'!$J$2:$J$10001,0)),"")</f>
        <v/>
      </c>
    </row>
    <row r="6427">
      <c r="A6427">
        <f>IFERROR(INDEX('Email Cleaner'!$B$2:$B$10001,MATCH(6426,'Email Cleaner'!$J$2:$J$10001,0)),"")</f>
        <v/>
      </c>
    </row>
    <row r="6428">
      <c r="A6428">
        <f>IFERROR(INDEX('Email Cleaner'!$B$2:$B$10001,MATCH(6427,'Email Cleaner'!$J$2:$J$10001,0)),"")</f>
        <v/>
      </c>
    </row>
    <row r="6429">
      <c r="A6429">
        <f>IFERROR(INDEX('Email Cleaner'!$B$2:$B$10001,MATCH(6428,'Email Cleaner'!$J$2:$J$10001,0)),"")</f>
        <v/>
      </c>
    </row>
    <row r="6430">
      <c r="A6430">
        <f>IFERROR(INDEX('Email Cleaner'!$B$2:$B$10001,MATCH(6429,'Email Cleaner'!$J$2:$J$10001,0)),"")</f>
        <v/>
      </c>
    </row>
    <row r="6431">
      <c r="A6431">
        <f>IFERROR(INDEX('Email Cleaner'!$B$2:$B$10001,MATCH(6430,'Email Cleaner'!$J$2:$J$10001,0)),"")</f>
        <v/>
      </c>
    </row>
    <row r="6432">
      <c r="A6432">
        <f>IFERROR(INDEX('Email Cleaner'!$B$2:$B$10001,MATCH(6431,'Email Cleaner'!$J$2:$J$10001,0)),"")</f>
        <v/>
      </c>
    </row>
    <row r="6433">
      <c r="A6433">
        <f>IFERROR(INDEX('Email Cleaner'!$B$2:$B$10001,MATCH(6432,'Email Cleaner'!$J$2:$J$10001,0)),"")</f>
        <v/>
      </c>
    </row>
    <row r="6434">
      <c r="A6434">
        <f>IFERROR(INDEX('Email Cleaner'!$B$2:$B$10001,MATCH(6433,'Email Cleaner'!$J$2:$J$10001,0)),"")</f>
        <v/>
      </c>
    </row>
    <row r="6435">
      <c r="A6435">
        <f>IFERROR(INDEX('Email Cleaner'!$B$2:$B$10001,MATCH(6434,'Email Cleaner'!$J$2:$J$10001,0)),"")</f>
        <v/>
      </c>
    </row>
    <row r="6436">
      <c r="A6436">
        <f>IFERROR(INDEX('Email Cleaner'!$B$2:$B$10001,MATCH(6435,'Email Cleaner'!$J$2:$J$10001,0)),"")</f>
        <v/>
      </c>
    </row>
    <row r="6437">
      <c r="A6437">
        <f>IFERROR(INDEX('Email Cleaner'!$B$2:$B$10001,MATCH(6436,'Email Cleaner'!$J$2:$J$10001,0)),"")</f>
        <v/>
      </c>
    </row>
    <row r="6438">
      <c r="A6438">
        <f>IFERROR(INDEX('Email Cleaner'!$B$2:$B$10001,MATCH(6437,'Email Cleaner'!$J$2:$J$10001,0)),"")</f>
        <v/>
      </c>
    </row>
    <row r="6439">
      <c r="A6439">
        <f>IFERROR(INDEX('Email Cleaner'!$B$2:$B$10001,MATCH(6438,'Email Cleaner'!$J$2:$J$10001,0)),"")</f>
        <v/>
      </c>
    </row>
    <row r="6440">
      <c r="A6440">
        <f>IFERROR(INDEX('Email Cleaner'!$B$2:$B$10001,MATCH(6439,'Email Cleaner'!$J$2:$J$10001,0)),"")</f>
        <v/>
      </c>
    </row>
    <row r="6441">
      <c r="A6441">
        <f>IFERROR(INDEX('Email Cleaner'!$B$2:$B$10001,MATCH(6440,'Email Cleaner'!$J$2:$J$10001,0)),"")</f>
        <v/>
      </c>
    </row>
    <row r="6442">
      <c r="A6442">
        <f>IFERROR(INDEX('Email Cleaner'!$B$2:$B$10001,MATCH(6441,'Email Cleaner'!$J$2:$J$10001,0)),"")</f>
        <v/>
      </c>
    </row>
    <row r="6443">
      <c r="A6443">
        <f>IFERROR(INDEX('Email Cleaner'!$B$2:$B$10001,MATCH(6442,'Email Cleaner'!$J$2:$J$10001,0)),"")</f>
        <v/>
      </c>
    </row>
    <row r="6444">
      <c r="A6444">
        <f>IFERROR(INDEX('Email Cleaner'!$B$2:$B$10001,MATCH(6443,'Email Cleaner'!$J$2:$J$10001,0)),"")</f>
        <v/>
      </c>
    </row>
    <row r="6445">
      <c r="A6445">
        <f>IFERROR(INDEX('Email Cleaner'!$B$2:$B$10001,MATCH(6444,'Email Cleaner'!$J$2:$J$10001,0)),"")</f>
        <v/>
      </c>
    </row>
    <row r="6446">
      <c r="A6446">
        <f>IFERROR(INDEX('Email Cleaner'!$B$2:$B$10001,MATCH(6445,'Email Cleaner'!$J$2:$J$10001,0)),"")</f>
        <v/>
      </c>
    </row>
    <row r="6447">
      <c r="A6447">
        <f>IFERROR(INDEX('Email Cleaner'!$B$2:$B$10001,MATCH(6446,'Email Cleaner'!$J$2:$J$10001,0)),"")</f>
        <v/>
      </c>
    </row>
    <row r="6448">
      <c r="A6448">
        <f>IFERROR(INDEX('Email Cleaner'!$B$2:$B$10001,MATCH(6447,'Email Cleaner'!$J$2:$J$10001,0)),"")</f>
        <v/>
      </c>
    </row>
    <row r="6449">
      <c r="A6449">
        <f>IFERROR(INDEX('Email Cleaner'!$B$2:$B$10001,MATCH(6448,'Email Cleaner'!$J$2:$J$10001,0)),"")</f>
        <v/>
      </c>
    </row>
    <row r="6450">
      <c r="A6450">
        <f>IFERROR(INDEX('Email Cleaner'!$B$2:$B$10001,MATCH(6449,'Email Cleaner'!$J$2:$J$10001,0)),"")</f>
        <v/>
      </c>
    </row>
    <row r="6451">
      <c r="A6451">
        <f>IFERROR(INDEX('Email Cleaner'!$B$2:$B$10001,MATCH(6450,'Email Cleaner'!$J$2:$J$10001,0)),"")</f>
        <v/>
      </c>
    </row>
    <row r="6452">
      <c r="A6452">
        <f>IFERROR(INDEX('Email Cleaner'!$B$2:$B$10001,MATCH(6451,'Email Cleaner'!$J$2:$J$10001,0)),"")</f>
        <v/>
      </c>
    </row>
    <row r="6453">
      <c r="A6453">
        <f>IFERROR(INDEX('Email Cleaner'!$B$2:$B$10001,MATCH(6452,'Email Cleaner'!$J$2:$J$10001,0)),"")</f>
        <v/>
      </c>
    </row>
    <row r="6454">
      <c r="A6454">
        <f>IFERROR(INDEX('Email Cleaner'!$B$2:$B$10001,MATCH(6453,'Email Cleaner'!$J$2:$J$10001,0)),"")</f>
        <v/>
      </c>
    </row>
    <row r="6455">
      <c r="A6455">
        <f>IFERROR(INDEX('Email Cleaner'!$B$2:$B$10001,MATCH(6454,'Email Cleaner'!$J$2:$J$10001,0)),"")</f>
        <v/>
      </c>
    </row>
    <row r="6456">
      <c r="A6456">
        <f>IFERROR(INDEX('Email Cleaner'!$B$2:$B$10001,MATCH(6455,'Email Cleaner'!$J$2:$J$10001,0)),"")</f>
        <v/>
      </c>
    </row>
    <row r="6457">
      <c r="A6457">
        <f>IFERROR(INDEX('Email Cleaner'!$B$2:$B$10001,MATCH(6456,'Email Cleaner'!$J$2:$J$10001,0)),"")</f>
        <v/>
      </c>
    </row>
    <row r="6458">
      <c r="A6458">
        <f>IFERROR(INDEX('Email Cleaner'!$B$2:$B$10001,MATCH(6457,'Email Cleaner'!$J$2:$J$10001,0)),"")</f>
        <v/>
      </c>
    </row>
    <row r="6459">
      <c r="A6459">
        <f>IFERROR(INDEX('Email Cleaner'!$B$2:$B$10001,MATCH(6458,'Email Cleaner'!$J$2:$J$10001,0)),"")</f>
        <v/>
      </c>
    </row>
    <row r="6460">
      <c r="A6460">
        <f>IFERROR(INDEX('Email Cleaner'!$B$2:$B$10001,MATCH(6459,'Email Cleaner'!$J$2:$J$10001,0)),"")</f>
        <v/>
      </c>
    </row>
    <row r="6461">
      <c r="A6461">
        <f>IFERROR(INDEX('Email Cleaner'!$B$2:$B$10001,MATCH(6460,'Email Cleaner'!$J$2:$J$10001,0)),"")</f>
        <v/>
      </c>
    </row>
    <row r="6462">
      <c r="A6462">
        <f>IFERROR(INDEX('Email Cleaner'!$B$2:$B$10001,MATCH(6461,'Email Cleaner'!$J$2:$J$10001,0)),"")</f>
        <v/>
      </c>
    </row>
    <row r="6463">
      <c r="A6463">
        <f>IFERROR(INDEX('Email Cleaner'!$B$2:$B$10001,MATCH(6462,'Email Cleaner'!$J$2:$J$10001,0)),"")</f>
        <v/>
      </c>
    </row>
    <row r="6464">
      <c r="A6464">
        <f>IFERROR(INDEX('Email Cleaner'!$B$2:$B$10001,MATCH(6463,'Email Cleaner'!$J$2:$J$10001,0)),"")</f>
        <v/>
      </c>
    </row>
    <row r="6465">
      <c r="A6465">
        <f>IFERROR(INDEX('Email Cleaner'!$B$2:$B$10001,MATCH(6464,'Email Cleaner'!$J$2:$J$10001,0)),"")</f>
        <v/>
      </c>
    </row>
    <row r="6466">
      <c r="A6466">
        <f>IFERROR(INDEX('Email Cleaner'!$B$2:$B$10001,MATCH(6465,'Email Cleaner'!$J$2:$J$10001,0)),"")</f>
        <v/>
      </c>
    </row>
    <row r="6467">
      <c r="A6467">
        <f>IFERROR(INDEX('Email Cleaner'!$B$2:$B$10001,MATCH(6466,'Email Cleaner'!$J$2:$J$10001,0)),"")</f>
        <v/>
      </c>
    </row>
    <row r="6468">
      <c r="A6468">
        <f>IFERROR(INDEX('Email Cleaner'!$B$2:$B$10001,MATCH(6467,'Email Cleaner'!$J$2:$J$10001,0)),"")</f>
        <v/>
      </c>
    </row>
    <row r="6469">
      <c r="A6469">
        <f>IFERROR(INDEX('Email Cleaner'!$B$2:$B$10001,MATCH(6468,'Email Cleaner'!$J$2:$J$10001,0)),"")</f>
        <v/>
      </c>
    </row>
    <row r="6470">
      <c r="A6470">
        <f>IFERROR(INDEX('Email Cleaner'!$B$2:$B$10001,MATCH(6469,'Email Cleaner'!$J$2:$J$10001,0)),"")</f>
        <v/>
      </c>
    </row>
    <row r="6471">
      <c r="A6471">
        <f>IFERROR(INDEX('Email Cleaner'!$B$2:$B$10001,MATCH(6470,'Email Cleaner'!$J$2:$J$10001,0)),"")</f>
        <v/>
      </c>
    </row>
    <row r="6472">
      <c r="A6472">
        <f>IFERROR(INDEX('Email Cleaner'!$B$2:$B$10001,MATCH(6471,'Email Cleaner'!$J$2:$J$10001,0)),"")</f>
        <v/>
      </c>
    </row>
    <row r="6473">
      <c r="A6473">
        <f>IFERROR(INDEX('Email Cleaner'!$B$2:$B$10001,MATCH(6472,'Email Cleaner'!$J$2:$J$10001,0)),"")</f>
        <v/>
      </c>
    </row>
    <row r="6474">
      <c r="A6474">
        <f>IFERROR(INDEX('Email Cleaner'!$B$2:$B$10001,MATCH(6473,'Email Cleaner'!$J$2:$J$10001,0)),"")</f>
        <v/>
      </c>
    </row>
    <row r="6475">
      <c r="A6475">
        <f>IFERROR(INDEX('Email Cleaner'!$B$2:$B$10001,MATCH(6474,'Email Cleaner'!$J$2:$J$10001,0)),"")</f>
        <v/>
      </c>
    </row>
    <row r="6476">
      <c r="A6476">
        <f>IFERROR(INDEX('Email Cleaner'!$B$2:$B$10001,MATCH(6475,'Email Cleaner'!$J$2:$J$10001,0)),"")</f>
        <v/>
      </c>
    </row>
    <row r="6477">
      <c r="A6477">
        <f>IFERROR(INDEX('Email Cleaner'!$B$2:$B$10001,MATCH(6476,'Email Cleaner'!$J$2:$J$10001,0)),"")</f>
        <v/>
      </c>
    </row>
    <row r="6478">
      <c r="A6478">
        <f>IFERROR(INDEX('Email Cleaner'!$B$2:$B$10001,MATCH(6477,'Email Cleaner'!$J$2:$J$10001,0)),"")</f>
        <v/>
      </c>
    </row>
    <row r="6479">
      <c r="A6479">
        <f>IFERROR(INDEX('Email Cleaner'!$B$2:$B$10001,MATCH(6478,'Email Cleaner'!$J$2:$J$10001,0)),"")</f>
        <v/>
      </c>
    </row>
    <row r="6480">
      <c r="A6480">
        <f>IFERROR(INDEX('Email Cleaner'!$B$2:$B$10001,MATCH(6479,'Email Cleaner'!$J$2:$J$10001,0)),"")</f>
        <v/>
      </c>
    </row>
    <row r="6481">
      <c r="A6481">
        <f>IFERROR(INDEX('Email Cleaner'!$B$2:$B$10001,MATCH(6480,'Email Cleaner'!$J$2:$J$10001,0)),"")</f>
        <v/>
      </c>
    </row>
    <row r="6482">
      <c r="A6482">
        <f>IFERROR(INDEX('Email Cleaner'!$B$2:$B$10001,MATCH(6481,'Email Cleaner'!$J$2:$J$10001,0)),"")</f>
        <v/>
      </c>
    </row>
    <row r="6483">
      <c r="A6483">
        <f>IFERROR(INDEX('Email Cleaner'!$B$2:$B$10001,MATCH(6482,'Email Cleaner'!$J$2:$J$10001,0)),"")</f>
        <v/>
      </c>
    </row>
    <row r="6484">
      <c r="A6484">
        <f>IFERROR(INDEX('Email Cleaner'!$B$2:$B$10001,MATCH(6483,'Email Cleaner'!$J$2:$J$10001,0)),"")</f>
        <v/>
      </c>
    </row>
    <row r="6485">
      <c r="A6485">
        <f>IFERROR(INDEX('Email Cleaner'!$B$2:$B$10001,MATCH(6484,'Email Cleaner'!$J$2:$J$10001,0)),"")</f>
        <v/>
      </c>
    </row>
    <row r="6486">
      <c r="A6486">
        <f>IFERROR(INDEX('Email Cleaner'!$B$2:$B$10001,MATCH(6485,'Email Cleaner'!$J$2:$J$10001,0)),"")</f>
        <v/>
      </c>
    </row>
    <row r="6487">
      <c r="A6487">
        <f>IFERROR(INDEX('Email Cleaner'!$B$2:$B$10001,MATCH(6486,'Email Cleaner'!$J$2:$J$10001,0)),"")</f>
        <v/>
      </c>
    </row>
    <row r="6488">
      <c r="A6488">
        <f>IFERROR(INDEX('Email Cleaner'!$B$2:$B$10001,MATCH(6487,'Email Cleaner'!$J$2:$J$10001,0)),"")</f>
        <v/>
      </c>
    </row>
    <row r="6489">
      <c r="A6489">
        <f>IFERROR(INDEX('Email Cleaner'!$B$2:$B$10001,MATCH(6488,'Email Cleaner'!$J$2:$J$10001,0)),"")</f>
        <v/>
      </c>
    </row>
    <row r="6490">
      <c r="A6490">
        <f>IFERROR(INDEX('Email Cleaner'!$B$2:$B$10001,MATCH(6489,'Email Cleaner'!$J$2:$J$10001,0)),"")</f>
        <v/>
      </c>
    </row>
    <row r="6491">
      <c r="A6491">
        <f>IFERROR(INDEX('Email Cleaner'!$B$2:$B$10001,MATCH(6490,'Email Cleaner'!$J$2:$J$10001,0)),"")</f>
        <v/>
      </c>
    </row>
    <row r="6492">
      <c r="A6492">
        <f>IFERROR(INDEX('Email Cleaner'!$B$2:$B$10001,MATCH(6491,'Email Cleaner'!$J$2:$J$10001,0)),"")</f>
        <v/>
      </c>
    </row>
    <row r="6493">
      <c r="A6493">
        <f>IFERROR(INDEX('Email Cleaner'!$B$2:$B$10001,MATCH(6492,'Email Cleaner'!$J$2:$J$10001,0)),"")</f>
        <v/>
      </c>
    </row>
    <row r="6494">
      <c r="A6494">
        <f>IFERROR(INDEX('Email Cleaner'!$B$2:$B$10001,MATCH(6493,'Email Cleaner'!$J$2:$J$10001,0)),"")</f>
        <v/>
      </c>
    </row>
    <row r="6495">
      <c r="A6495">
        <f>IFERROR(INDEX('Email Cleaner'!$B$2:$B$10001,MATCH(6494,'Email Cleaner'!$J$2:$J$10001,0)),"")</f>
        <v/>
      </c>
    </row>
    <row r="6496">
      <c r="A6496">
        <f>IFERROR(INDEX('Email Cleaner'!$B$2:$B$10001,MATCH(6495,'Email Cleaner'!$J$2:$J$10001,0)),"")</f>
        <v/>
      </c>
    </row>
    <row r="6497">
      <c r="A6497">
        <f>IFERROR(INDEX('Email Cleaner'!$B$2:$B$10001,MATCH(6496,'Email Cleaner'!$J$2:$J$10001,0)),"")</f>
        <v/>
      </c>
    </row>
    <row r="6498">
      <c r="A6498">
        <f>IFERROR(INDEX('Email Cleaner'!$B$2:$B$10001,MATCH(6497,'Email Cleaner'!$J$2:$J$10001,0)),"")</f>
        <v/>
      </c>
    </row>
    <row r="6499">
      <c r="A6499">
        <f>IFERROR(INDEX('Email Cleaner'!$B$2:$B$10001,MATCH(6498,'Email Cleaner'!$J$2:$J$10001,0)),"")</f>
        <v/>
      </c>
    </row>
    <row r="6500">
      <c r="A6500">
        <f>IFERROR(INDEX('Email Cleaner'!$B$2:$B$10001,MATCH(6499,'Email Cleaner'!$J$2:$J$10001,0)),"")</f>
        <v/>
      </c>
    </row>
    <row r="6501">
      <c r="A6501">
        <f>IFERROR(INDEX('Email Cleaner'!$B$2:$B$10001,MATCH(6500,'Email Cleaner'!$J$2:$J$10001,0)),"")</f>
        <v/>
      </c>
    </row>
    <row r="6502">
      <c r="A6502">
        <f>IFERROR(INDEX('Email Cleaner'!$B$2:$B$10001,MATCH(6501,'Email Cleaner'!$J$2:$J$10001,0)),"")</f>
        <v/>
      </c>
    </row>
    <row r="6503">
      <c r="A6503">
        <f>IFERROR(INDEX('Email Cleaner'!$B$2:$B$10001,MATCH(6502,'Email Cleaner'!$J$2:$J$10001,0)),"")</f>
        <v/>
      </c>
    </row>
    <row r="6504">
      <c r="A6504">
        <f>IFERROR(INDEX('Email Cleaner'!$B$2:$B$10001,MATCH(6503,'Email Cleaner'!$J$2:$J$10001,0)),"")</f>
        <v/>
      </c>
    </row>
    <row r="6505">
      <c r="A6505">
        <f>IFERROR(INDEX('Email Cleaner'!$B$2:$B$10001,MATCH(6504,'Email Cleaner'!$J$2:$J$10001,0)),"")</f>
        <v/>
      </c>
    </row>
    <row r="6506">
      <c r="A6506">
        <f>IFERROR(INDEX('Email Cleaner'!$B$2:$B$10001,MATCH(6505,'Email Cleaner'!$J$2:$J$10001,0)),"")</f>
        <v/>
      </c>
    </row>
    <row r="6507">
      <c r="A6507">
        <f>IFERROR(INDEX('Email Cleaner'!$B$2:$B$10001,MATCH(6506,'Email Cleaner'!$J$2:$J$10001,0)),"")</f>
        <v/>
      </c>
    </row>
    <row r="6508">
      <c r="A6508">
        <f>IFERROR(INDEX('Email Cleaner'!$B$2:$B$10001,MATCH(6507,'Email Cleaner'!$J$2:$J$10001,0)),"")</f>
        <v/>
      </c>
    </row>
    <row r="6509">
      <c r="A6509">
        <f>IFERROR(INDEX('Email Cleaner'!$B$2:$B$10001,MATCH(6508,'Email Cleaner'!$J$2:$J$10001,0)),"")</f>
        <v/>
      </c>
    </row>
    <row r="6510">
      <c r="A6510">
        <f>IFERROR(INDEX('Email Cleaner'!$B$2:$B$10001,MATCH(6509,'Email Cleaner'!$J$2:$J$10001,0)),"")</f>
        <v/>
      </c>
    </row>
    <row r="6511">
      <c r="A6511">
        <f>IFERROR(INDEX('Email Cleaner'!$B$2:$B$10001,MATCH(6510,'Email Cleaner'!$J$2:$J$10001,0)),"")</f>
        <v/>
      </c>
    </row>
    <row r="6512">
      <c r="A6512">
        <f>IFERROR(INDEX('Email Cleaner'!$B$2:$B$10001,MATCH(6511,'Email Cleaner'!$J$2:$J$10001,0)),"")</f>
        <v/>
      </c>
    </row>
    <row r="6513">
      <c r="A6513">
        <f>IFERROR(INDEX('Email Cleaner'!$B$2:$B$10001,MATCH(6512,'Email Cleaner'!$J$2:$J$10001,0)),"")</f>
        <v/>
      </c>
    </row>
    <row r="6514">
      <c r="A6514">
        <f>IFERROR(INDEX('Email Cleaner'!$B$2:$B$10001,MATCH(6513,'Email Cleaner'!$J$2:$J$10001,0)),"")</f>
        <v/>
      </c>
    </row>
    <row r="6515">
      <c r="A6515">
        <f>IFERROR(INDEX('Email Cleaner'!$B$2:$B$10001,MATCH(6514,'Email Cleaner'!$J$2:$J$10001,0)),"")</f>
        <v/>
      </c>
    </row>
    <row r="6516">
      <c r="A6516">
        <f>IFERROR(INDEX('Email Cleaner'!$B$2:$B$10001,MATCH(6515,'Email Cleaner'!$J$2:$J$10001,0)),"")</f>
        <v/>
      </c>
    </row>
    <row r="6517">
      <c r="A6517">
        <f>IFERROR(INDEX('Email Cleaner'!$B$2:$B$10001,MATCH(6516,'Email Cleaner'!$J$2:$J$10001,0)),"")</f>
        <v/>
      </c>
    </row>
    <row r="6518">
      <c r="A6518">
        <f>IFERROR(INDEX('Email Cleaner'!$B$2:$B$10001,MATCH(6517,'Email Cleaner'!$J$2:$J$10001,0)),"")</f>
        <v/>
      </c>
    </row>
    <row r="6519">
      <c r="A6519">
        <f>IFERROR(INDEX('Email Cleaner'!$B$2:$B$10001,MATCH(6518,'Email Cleaner'!$J$2:$J$10001,0)),"")</f>
        <v/>
      </c>
    </row>
    <row r="6520">
      <c r="A6520">
        <f>IFERROR(INDEX('Email Cleaner'!$B$2:$B$10001,MATCH(6519,'Email Cleaner'!$J$2:$J$10001,0)),"")</f>
        <v/>
      </c>
    </row>
    <row r="6521">
      <c r="A6521">
        <f>IFERROR(INDEX('Email Cleaner'!$B$2:$B$10001,MATCH(6520,'Email Cleaner'!$J$2:$J$10001,0)),"")</f>
        <v/>
      </c>
    </row>
    <row r="6522">
      <c r="A6522">
        <f>IFERROR(INDEX('Email Cleaner'!$B$2:$B$10001,MATCH(6521,'Email Cleaner'!$J$2:$J$10001,0)),"")</f>
        <v/>
      </c>
    </row>
    <row r="6523">
      <c r="A6523">
        <f>IFERROR(INDEX('Email Cleaner'!$B$2:$B$10001,MATCH(6522,'Email Cleaner'!$J$2:$J$10001,0)),"")</f>
        <v/>
      </c>
    </row>
    <row r="6524">
      <c r="A6524">
        <f>IFERROR(INDEX('Email Cleaner'!$B$2:$B$10001,MATCH(6523,'Email Cleaner'!$J$2:$J$10001,0)),"")</f>
        <v/>
      </c>
    </row>
    <row r="6525">
      <c r="A6525">
        <f>IFERROR(INDEX('Email Cleaner'!$B$2:$B$10001,MATCH(6524,'Email Cleaner'!$J$2:$J$10001,0)),"")</f>
        <v/>
      </c>
    </row>
    <row r="6526">
      <c r="A6526">
        <f>IFERROR(INDEX('Email Cleaner'!$B$2:$B$10001,MATCH(6525,'Email Cleaner'!$J$2:$J$10001,0)),"")</f>
        <v/>
      </c>
    </row>
    <row r="6527">
      <c r="A6527">
        <f>IFERROR(INDEX('Email Cleaner'!$B$2:$B$10001,MATCH(6526,'Email Cleaner'!$J$2:$J$10001,0)),"")</f>
        <v/>
      </c>
    </row>
    <row r="6528">
      <c r="A6528">
        <f>IFERROR(INDEX('Email Cleaner'!$B$2:$B$10001,MATCH(6527,'Email Cleaner'!$J$2:$J$10001,0)),"")</f>
        <v/>
      </c>
    </row>
    <row r="6529">
      <c r="A6529">
        <f>IFERROR(INDEX('Email Cleaner'!$B$2:$B$10001,MATCH(6528,'Email Cleaner'!$J$2:$J$10001,0)),"")</f>
        <v/>
      </c>
    </row>
    <row r="6530">
      <c r="A6530">
        <f>IFERROR(INDEX('Email Cleaner'!$B$2:$B$10001,MATCH(6529,'Email Cleaner'!$J$2:$J$10001,0)),"")</f>
        <v/>
      </c>
    </row>
    <row r="6531">
      <c r="A6531">
        <f>IFERROR(INDEX('Email Cleaner'!$B$2:$B$10001,MATCH(6530,'Email Cleaner'!$J$2:$J$10001,0)),"")</f>
        <v/>
      </c>
    </row>
    <row r="6532">
      <c r="A6532">
        <f>IFERROR(INDEX('Email Cleaner'!$B$2:$B$10001,MATCH(6531,'Email Cleaner'!$J$2:$J$10001,0)),"")</f>
        <v/>
      </c>
    </row>
    <row r="6533">
      <c r="A6533">
        <f>IFERROR(INDEX('Email Cleaner'!$B$2:$B$10001,MATCH(6532,'Email Cleaner'!$J$2:$J$10001,0)),"")</f>
        <v/>
      </c>
    </row>
    <row r="6534">
      <c r="A6534">
        <f>IFERROR(INDEX('Email Cleaner'!$B$2:$B$10001,MATCH(6533,'Email Cleaner'!$J$2:$J$10001,0)),"")</f>
        <v/>
      </c>
    </row>
    <row r="6535">
      <c r="A6535">
        <f>IFERROR(INDEX('Email Cleaner'!$B$2:$B$10001,MATCH(6534,'Email Cleaner'!$J$2:$J$10001,0)),"")</f>
        <v/>
      </c>
    </row>
    <row r="6536">
      <c r="A6536">
        <f>IFERROR(INDEX('Email Cleaner'!$B$2:$B$10001,MATCH(6535,'Email Cleaner'!$J$2:$J$10001,0)),"")</f>
        <v/>
      </c>
    </row>
    <row r="6537">
      <c r="A6537">
        <f>IFERROR(INDEX('Email Cleaner'!$B$2:$B$10001,MATCH(6536,'Email Cleaner'!$J$2:$J$10001,0)),"")</f>
        <v/>
      </c>
    </row>
    <row r="6538">
      <c r="A6538">
        <f>IFERROR(INDEX('Email Cleaner'!$B$2:$B$10001,MATCH(6537,'Email Cleaner'!$J$2:$J$10001,0)),"")</f>
        <v/>
      </c>
    </row>
    <row r="6539">
      <c r="A6539">
        <f>IFERROR(INDEX('Email Cleaner'!$B$2:$B$10001,MATCH(6538,'Email Cleaner'!$J$2:$J$10001,0)),"")</f>
        <v/>
      </c>
    </row>
    <row r="6540">
      <c r="A6540">
        <f>IFERROR(INDEX('Email Cleaner'!$B$2:$B$10001,MATCH(6539,'Email Cleaner'!$J$2:$J$10001,0)),"")</f>
        <v/>
      </c>
    </row>
    <row r="6541">
      <c r="A6541">
        <f>IFERROR(INDEX('Email Cleaner'!$B$2:$B$10001,MATCH(6540,'Email Cleaner'!$J$2:$J$10001,0)),"")</f>
        <v/>
      </c>
    </row>
    <row r="6542">
      <c r="A6542">
        <f>IFERROR(INDEX('Email Cleaner'!$B$2:$B$10001,MATCH(6541,'Email Cleaner'!$J$2:$J$10001,0)),"")</f>
        <v/>
      </c>
    </row>
    <row r="6543">
      <c r="A6543">
        <f>IFERROR(INDEX('Email Cleaner'!$B$2:$B$10001,MATCH(6542,'Email Cleaner'!$J$2:$J$10001,0)),"")</f>
        <v/>
      </c>
    </row>
    <row r="6544">
      <c r="A6544">
        <f>IFERROR(INDEX('Email Cleaner'!$B$2:$B$10001,MATCH(6543,'Email Cleaner'!$J$2:$J$10001,0)),"")</f>
        <v/>
      </c>
    </row>
    <row r="6545">
      <c r="A6545">
        <f>IFERROR(INDEX('Email Cleaner'!$B$2:$B$10001,MATCH(6544,'Email Cleaner'!$J$2:$J$10001,0)),"")</f>
        <v/>
      </c>
    </row>
    <row r="6546">
      <c r="A6546">
        <f>IFERROR(INDEX('Email Cleaner'!$B$2:$B$10001,MATCH(6545,'Email Cleaner'!$J$2:$J$10001,0)),"")</f>
        <v/>
      </c>
    </row>
    <row r="6547">
      <c r="A6547">
        <f>IFERROR(INDEX('Email Cleaner'!$B$2:$B$10001,MATCH(6546,'Email Cleaner'!$J$2:$J$10001,0)),"")</f>
        <v/>
      </c>
    </row>
    <row r="6548">
      <c r="A6548">
        <f>IFERROR(INDEX('Email Cleaner'!$B$2:$B$10001,MATCH(6547,'Email Cleaner'!$J$2:$J$10001,0)),"")</f>
        <v/>
      </c>
    </row>
    <row r="6549">
      <c r="A6549">
        <f>IFERROR(INDEX('Email Cleaner'!$B$2:$B$10001,MATCH(6548,'Email Cleaner'!$J$2:$J$10001,0)),"")</f>
        <v/>
      </c>
    </row>
    <row r="6550">
      <c r="A6550">
        <f>IFERROR(INDEX('Email Cleaner'!$B$2:$B$10001,MATCH(6549,'Email Cleaner'!$J$2:$J$10001,0)),"")</f>
        <v/>
      </c>
    </row>
    <row r="6551">
      <c r="A6551">
        <f>IFERROR(INDEX('Email Cleaner'!$B$2:$B$10001,MATCH(6550,'Email Cleaner'!$J$2:$J$10001,0)),"")</f>
        <v/>
      </c>
    </row>
    <row r="6552">
      <c r="A6552">
        <f>IFERROR(INDEX('Email Cleaner'!$B$2:$B$10001,MATCH(6551,'Email Cleaner'!$J$2:$J$10001,0)),"")</f>
        <v/>
      </c>
    </row>
    <row r="6553">
      <c r="A6553">
        <f>IFERROR(INDEX('Email Cleaner'!$B$2:$B$10001,MATCH(6552,'Email Cleaner'!$J$2:$J$10001,0)),"")</f>
        <v/>
      </c>
    </row>
    <row r="6554">
      <c r="A6554">
        <f>IFERROR(INDEX('Email Cleaner'!$B$2:$B$10001,MATCH(6553,'Email Cleaner'!$J$2:$J$10001,0)),"")</f>
        <v/>
      </c>
    </row>
    <row r="6555">
      <c r="A6555">
        <f>IFERROR(INDEX('Email Cleaner'!$B$2:$B$10001,MATCH(6554,'Email Cleaner'!$J$2:$J$10001,0)),"")</f>
        <v/>
      </c>
    </row>
    <row r="6556">
      <c r="A6556">
        <f>IFERROR(INDEX('Email Cleaner'!$B$2:$B$10001,MATCH(6555,'Email Cleaner'!$J$2:$J$10001,0)),"")</f>
        <v/>
      </c>
    </row>
    <row r="6557">
      <c r="A6557">
        <f>IFERROR(INDEX('Email Cleaner'!$B$2:$B$10001,MATCH(6556,'Email Cleaner'!$J$2:$J$10001,0)),"")</f>
        <v/>
      </c>
    </row>
    <row r="6558">
      <c r="A6558">
        <f>IFERROR(INDEX('Email Cleaner'!$B$2:$B$10001,MATCH(6557,'Email Cleaner'!$J$2:$J$10001,0)),"")</f>
        <v/>
      </c>
    </row>
    <row r="6559">
      <c r="A6559">
        <f>IFERROR(INDEX('Email Cleaner'!$B$2:$B$10001,MATCH(6558,'Email Cleaner'!$J$2:$J$10001,0)),"")</f>
        <v/>
      </c>
    </row>
    <row r="6560">
      <c r="A6560">
        <f>IFERROR(INDEX('Email Cleaner'!$B$2:$B$10001,MATCH(6559,'Email Cleaner'!$J$2:$J$10001,0)),"")</f>
        <v/>
      </c>
    </row>
    <row r="6561">
      <c r="A6561">
        <f>IFERROR(INDEX('Email Cleaner'!$B$2:$B$10001,MATCH(6560,'Email Cleaner'!$J$2:$J$10001,0)),"")</f>
        <v/>
      </c>
    </row>
    <row r="6562">
      <c r="A6562">
        <f>IFERROR(INDEX('Email Cleaner'!$B$2:$B$10001,MATCH(6561,'Email Cleaner'!$J$2:$J$10001,0)),"")</f>
        <v/>
      </c>
    </row>
    <row r="6563">
      <c r="A6563">
        <f>IFERROR(INDEX('Email Cleaner'!$B$2:$B$10001,MATCH(6562,'Email Cleaner'!$J$2:$J$10001,0)),"")</f>
        <v/>
      </c>
    </row>
    <row r="6564">
      <c r="A6564">
        <f>IFERROR(INDEX('Email Cleaner'!$B$2:$B$10001,MATCH(6563,'Email Cleaner'!$J$2:$J$10001,0)),"")</f>
        <v/>
      </c>
    </row>
    <row r="6565">
      <c r="A6565">
        <f>IFERROR(INDEX('Email Cleaner'!$B$2:$B$10001,MATCH(6564,'Email Cleaner'!$J$2:$J$10001,0)),"")</f>
        <v/>
      </c>
    </row>
    <row r="6566">
      <c r="A6566">
        <f>IFERROR(INDEX('Email Cleaner'!$B$2:$B$10001,MATCH(6565,'Email Cleaner'!$J$2:$J$10001,0)),"")</f>
        <v/>
      </c>
    </row>
    <row r="6567">
      <c r="A6567">
        <f>IFERROR(INDEX('Email Cleaner'!$B$2:$B$10001,MATCH(6566,'Email Cleaner'!$J$2:$J$10001,0)),"")</f>
        <v/>
      </c>
    </row>
    <row r="6568">
      <c r="A6568">
        <f>IFERROR(INDEX('Email Cleaner'!$B$2:$B$10001,MATCH(6567,'Email Cleaner'!$J$2:$J$10001,0)),"")</f>
        <v/>
      </c>
    </row>
    <row r="6569">
      <c r="A6569">
        <f>IFERROR(INDEX('Email Cleaner'!$B$2:$B$10001,MATCH(6568,'Email Cleaner'!$J$2:$J$10001,0)),"")</f>
        <v/>
      </c>
    </row>
    <row r="6570">
      <c r="A6570">
        <f>IFERROR(INDEX('Email Cleaner'!$B$2:$B$10001,MATCH(6569,'Email Cleaner'!$J$2:$J$10001,0)),"")</f>
        <v/>
      </c>
    </row>
    <row r="6571">
      <c r="A6571">
        <f>IFERROR(INDEX('Email Cleaner'!$B$2:$B$10001,MATCH(6570,'Email Cleaner'!$J$2:$J$10001,0)),"")</f>
        <v/>
      </c>
    </row>
    <row r="6572">
      <c r="A6572">
        <f>IFERROR(INDEX('Email Cleaner'!$B$2:$B$10001,MATCH(6571,'Email Cleaner'!$J$2:$J$10001,0)),"")</f>
        <v/>
      </c>
    </row>
    <row r="6573">
      <c r="A6573">
        <f>IFERROR(INDEX('Email Cleaner'!$B$2:$B$10001,MATCH(6572,'Email Cleaner'!$J$2:$J$10001,0)),"")</f>
        <v/>
      </c>
    </row>
    <row r="6574">
      <c r="A6574">
        <f>IFERROR(INDEX('Email Cleaner'!$B$2:$B$10001,MATCH(6573,'Email Cleaner'!$J$2:$J$10001,0)),"")</f>
        <v/>
      </c>
    </row>
    <row r="6575">
      <c r="A6575">
        <f>IFERROR(INDEX('Email Cleaner'!$B$2:$B$10001,MATCH(6574,'Email Cleaner'!$J$2:$J$10001,0)),"")</f>
        <v/>
      </c>
    </row>
    <row r="6576">
      <c r="A6576">
        <f>IFERROR(INDEX('Email Cleaner'!$B$2:$B$10001,MATCH(6575,'Email Cleaner'!$J$2:$J$10001,0)),"")</f>
        <v/>
      </c>
    </row>
    <row r="6577">
      <c r="A6577">
        <f>IFERROR(INDEX('Email Cleaner'!$B$2:$B$10001,MATCH(6576,'Email Cleaner'!$J$2:$J$10001,0)),"")</f>
        <v/>
      </c>
    </row>
    <row r="6578">
      <c r="A6578">
        <f>IFERROR(INDEX('Email Cleaner'!$B$2:$B$10001,MATCH(6577,'Email Cleaner'!$J$2:$J$10001,0)),"")</f>
        <v/>
      </c>
    </row>
    <row r="6579">
      <c r="A6579">
        <f>IFERROR(INDEX('Email Cleaner'!$B$2:$B$10001,MATCH(6578,'Email Cleaner'!$J$2:$J$10001,0)),"")</f>
        <v/>
      </c>
    </row>
    <row r="6580">
      <c r="A6580">
        <f>IFERROR(INDEX('Email Cleaner'!$B$2:$B$10001,MATCH(6579,'Email Cleaner'!$J$2:$J$10001,0)),"")</f>
        <v/>
      </c>
    </row>
    <row r="6581">
      <c r="A6581">
        <f>IFERROR(INDEX('Email Cleaner'!$B$2:$B$10001,MATCH(6580,'Email Cleaner'!$J$2:$J$10001,0)),"")</f>
        <v/>
      </c>
    </row>
    <row r="6582">
      <c r="A6582">
        <f>IFERROR(INDEX('Email Cleaner'!$B$2:$B$10001,MATCH(6581,'Email Cleaner'!$J$2:$J$10001,0)),"")</f>
        <v/>
      </c>
    </row>
    <row r="6583">
      <c r="A6583">
        <f>IFERROR(INDEX('Email Cleaner'!$B$2:$B$10001,MATCH(6582,'Email Cleaner'!$J$2:$J$10001,0)),"")</f>
        <v/>
      </c>
    </row>
    <row r="6584">
      <c r="A6584">
        <f>IFERROR(INDEX('Email Cleaner'!$B$2:$B$10001,MATCH(6583,'Email Cleaner'!$J$2:$J$10001,0)),"")</f>
        <v/>
      </c>
    </row>
    <row r="6585">
      <c r="A6585">
        <f>IFERROR(INDEX('Email Cleaner'!$B$2:$B$10001,MATCH(6584,'Email Cleaner'!$J$2:$J$10001,0)),"")</f>
        <v/>
      </c>
    </row>
    <row r="6586">
      <c r="A6586">
        <f>IFERROR(INDEX('Email Cleaner'!$B$2:$B$10001,MATCH(6585,'Email Cleaner'!$J$2:$J$10001,0)),"")</f>
        <v/>
      </c>
    </row>
    <row r="6587">
      <c r="A6587">
        <f>IFERROR(INDEX('Email Cleaner'!$B$2:$B$10001,MATCH(6586,'Email Cleaner'!$J$2:$J$10001,0)),"")</f>
        <v/>
      </c>
    </row>
    <row r="6588">
      <c r="A6588">
        <f>IFERROR(INDEX('Email Cleaner'!$B$2:$B$10001,MATCH(6587,'Email Cleaner'!$J$2:$J$10001,0)),"")</f>
        <v/>
      </c>
    </row>
    <row r="6589">
      <c r="A6589">
        <f>IFERROR(INDEX('Email Cleaner'!$B$2:$B$10001,MATCH(6588,'Email Cleaner'!$J$2:$J$10001,0)),"")</f>
        <v/>
      </c>
    </row>
    <row r="6590">
      <c r="A6590">
        <f>IFERROR(INDEX('Email Cleaner'!$B$2:$B$10001,MATCH(6589,'Email Cleaner'!$J$2:$J$10001,0)),"")</f>
        <v/>
      </c>
    </row>
    <row r="6591">
      <c r="A6591">
        <f>IFERROR(INDEX('Email Cleaner'!$B$2:$B$10001,MATCH(6590,'Email Cleaner'!$J$2:$J$10001,0)),"")</f>
        <v/>
      </c>
    </row>
    <row r="6592">
      <c r="A6592">
        <f>IFERROR(INDEX('Email Cleaner'!$B$2:$B$10001,MATCH(6591,'Email Cleaner'!$J$2:$J$10001,0)),"")</f>
        <v/>
      </c>
    </row>
    <row r="6593">
      <c r="A6593">
        <f>IFERROR(INDEX('Email Cleaner'!$B$2:$B$10001,MATCH(6592,'Email Cleaner'!$J$2:$J$10001,0)),"")</f>
        <v/>
      </c>
    </row>
    <row r="6594">
      <c r="A6594">
        <f>IFERROR(INDEX('Email Cleaner'!$B$2:$B$10001,MATCH(6593,'Email Cleaner'!$J$2:$J$10001,0)),"")</f>
        <v/>
      </c>
    </row>
    <row r="6595">
      <c r="A6595">
        <f>IFERROR(INDEX('Email Cleaner'!$B$2:$B$10001,MATCH(6594,'Email Cleaner'!$J$2:$J$10001,0)),"")</f>
        <v/>
      </c>
    </row>
    <row r="6596">
      <c r="A6596">
        <f>IFERROR(INDEX('Email Cleaner'!$B$2:$B$10001,MATCH(6595,'Email Cleaner'!$J$2:$J$10001,0)),"")</f>
        <v/>
      </c>
    </row>
    <row r="6597">
      <c r="A6597">
        <f>IFERROR(INDEX('Email Cleaner'!$B$2:$B$10001,MATCH(6596,'Email Cleaner'!$J$2:$J$10001,0)),"")</f>
        <v/>
      </c>
    </row>
    <row r="6598">
      <c r="A6598">
        <f>IFERROR(INDEX('Email Cleaner'!$B$2:$B$10001,MATCH(6597,'Email Cleaner'!$J$2:$J$10001,0)),"")</f>
        <v/>
      </c>
    </row>
    <row r="6599">
      <c r="A6599">
        <f>IFERROR(INDEX('Email Cleaner'!$B$2:$B$10001,MATCH(6598,'Email Cleaner'!$J$2:$J$10001,0)),"")</f>
        <v/>
      </c>
    </row>
    <row r="6600">
      <c r="A6600">
        <f>IFERROR(INDEX('Email Cleaner'!$B$2:$B$10001,MATCH(6599,'Email Cleaner'!$J$2:$J$10001,0)),"")</f>
        <v/>
      </c>
    </row>
    <row r="6601">
      <c r="A6601">
        <f>IFERROR(INDEX('Email Cleaner'!$B$2:$B$10001,MATCH(6600,'Email Cleaner'!$J$2:$J$10001,0)),"")</f>
        <v/>
      </c>
    </row>
    <row r="6602">
      <c r="A6602">
        <f>IFERROR(INDEX('Email Cleaner'!$B$2:$B$10001,MATCH(6601,'Email Cleaner'!$J$2:$J$10001,0)),"")</f>
        <v/>
      </c>
    </row>
    <row r="6603">
      <c r="A6603">
        <f>IFERROR(INDEX('Email Cleaner'!$B$2:$B$10001,MATCH(6602,'Email Cleaner'!$J$2:$J$10001,0)),"")</f>
        <v/>
      </c>
    </row>
    <row r="6604">
      <c r="A6604">
        <f>IFERROR(INDEX('Email Cleaner'!$B$2:$B$10001,MATCH(6603,'Email Cleaner'!$J$2:$J$10001,0)),"")</f>
        <v/>
      </c>
    </row>
    <row r="6605">
      <c r="A6605">
        <f>IFERROR(INDEX('Email Cleaner'!$B$2:$B$10001,MATCH(6604,'Email Cleaner'!$J$2:$J$10001,0)),"")</f>
        <v/>
      </c>
    </row>
    <row r="6606">
      <c r="A6606">
        <f>IFERROR(INDEX('Email Cleaner'!$B$2:$B$10001,MATCH(6605,'Email Cleaner'!$J$2:$J$10001,0)),"")</f>
        <v/>
      </c>
    </row>
    <row r="6607">
      <c r="A6607">
        <f>IFERROR(INDEX('Email Cleaner'!$B$2:$B$10001,MATCH(6606,'Email Cleaner'!$J$2:$J$10001,0)),"")</f>
        <v/>
      </c>
    </row>
    <row r="6608">
      <c r="A6608">
        <f>IFERROR(INDEX('Email Cleaner'!$B$2:$B$10001,MATCH(6607,'Email Cleaner'!$J$2:$J$10001,0)),"")</f>
        <v/>
      </c>
    </row>
    <row r="6609">
      <c r="A6609">
        <f>IFERROR(INDEX('Email Cleaner'!$B$2:$B$10001,MATCH(6608,'Email Cleaner'!$J$2:$J$10001,0)),"")</f>
        <v/>
      </c>
    </row>
    <row r="6610">
      <c r="A6610">
        <f>IFERROR(INDEX('Email Cleaner'!$B$2:$B$10001,MATCH(6609,'Email Cleaner'!$J$2:$J$10001,0)),"")</f>
        <v/>
      </c>
    </row>
    <row r="6611">
      <c r="A6611">
        <f>IFERROR(INDEX('Email Cleaner'!$B$2:$B$10001,MATCH(6610,'Email Cleaner'!$J$2:$J$10001,0)),"")</f>
        <v/>
      </c>
    </row>
    <row r="6612">
      <c r="A6612">
        <f>IFERROR(INDEX('Email Cleaner'!$B$2:$B$10001,MATCH(6611,'Email Cleaner'!$J$2:$J$10001,0)),"")</f>
        <v/>
      </c>
    </row>
    <row r="6613">
      <c r="A6613">
        <f>IFERROR(INDEX('Email Cleaner'!$B$2:$B$10001,MATCH(6612,'Email Cleaner'!$J$2:$J$10001,0)),"")</f>
        <v/>
      </c>
    </row>
    <row r="6614">
      <c r="A6614">
        <f>IFERROR(INDEX('Email Cleaner'!$B$2:$B$10001,MATCH(6613,'Email Cleaner'!$J$2:$J$10001,0)),"")</f>
        <v/>
      </c>
    </row>
    <row r="6615">
      <c r="A6615">
        <f>IFERROR(INDEX('Email Cleaner'!$B$2:$B$10001,MATCH(6614,'Email Cleaner'!$J$2:$J$10001,0)),"")</f>
        <v/>
      </c>
    </row>
    <row r="6616">
      <c r="A6616">
        <f>IFERROR(INDEX('Email Cleaner'!$B$2:$B$10001,MATCH(6615,'Email Cleaner'!$J$2:$J$10001,0)),"")</f>
        <v/>
      </c>
    </row>
    <row r="6617">
      <c r="A6617">
        <f>IFERROR(INDEX('Email Cleaner'!$B$2:$B$10001,MATCH(6616,'Email Cleaner'!$J$2:$J$10001,0)),"")</f>
        <v/>
      </c>
    </row>
    <row r="6618">
      <c r="A6618">
        <f>IFERROR(INDEX('Email Cleaner'!$B$2:$B$10001,MATCH(6617,'Email Cleaner'!$J$2:$J$10001,0)),"")</f>
        <v/>
      </c>
    </row>
    <row r="6619">
      <c r="A6619">
        <f>IFERROR(INDEX('Email Cleaner'!$B$2:$B$10001,MATCH(6618,'Email Cleaner'!$J$2:$J$10001,0)),"")</f>
        <v/>
      </c>
    </row>
    <row r="6620">
      <c r="A6620">
        <f>IFERROR(INDEX('Email Cleaner'!$B$2:$B$10001,MATCH(6619,'Email Cleaner'!$J$2:$J$10001,0)),"")</f>
        <v/>
      </c>
    </row>
    <row r="6621">
      <c r="A6621">
        <f>IFERROR(INDEX('Email Cleaner'!$B$2:$B$10001,MATCH(6620,'Email Cleaner'!$J$2:$J$10001,0)),"")</f>
        <v/>
      </c>
    </row>
    <row r="6622">
      <c r="A6622">
        <f>IFERROR(INDEX('Email Cleaner'!$B$2:$B$10001,MATCH(6621,'Email Cleaner'!$J$2:$J$10001,0)),"")</f>
        <v/>
      </c>
    </row>
    <row r="6623">
      <c r="A6623">
        <f>IFERROR(INDEX('Email Cleaner'!$B$2:$B$10001,MATCH(6622,'Email Cleaner'!$J$2:$J$10001,0)),"")</f>
        <v/>
      </c>
    </row>
    <row r="6624">
      <c r="A6624">
        <f>IFERROR(INDEX('Email Cleaner'!$B$2:$B$10001,MATCH(6623,'Email Cleaner'!$J$2:$J$10001,0)),"")</f>
        <v/>
      </c>
    </row>
    <row r="6625">
      <c r="A6625">
        <f>IFERROR(INDEX('Email Cleaner'!$B$2:$B$10001,MATCH(6624,'Email Cleaner'!$J$2:$J$10001,0)),"")</f>
        <v/>
      </c>
    </row>
    <row r="6626">
      <c r="A6626">
        <f>IFERROR(INDEX('Email Cleaner'!$B$2:$B$10001,MATCH(6625,'Email Cleaner'!$J$2:$J$10001,0)),"")</f>
        <v/>
      </c>
    </row>
    <row r="6627">
      <c r="A6627">
        <f>IFERROR(INDEX('Email Cleaner'!$B$2:$B$10001,MATCH(6626,'Email Cleaner'!$J$2:$J$10001,0)),"")</f>
        <v/>
      </c>
    </row>
    <row r="6628">
      <c r="A6628">
        <f>IFERROR(INDEX('Email Cleaner'!$B$2:$B$10001,MATCH(6627,'Email Cleaner'!$J$2:$J$10001,0)),"")</f>
        <v/>
      </c>
    </row>
    <row r="6629">
      <c r="A6629">
        <f>IFERROR(INDEX('Email Cleaner'!$B$2:$B$10001,MATCH(6628,'Email Cleaner'!$J$2:$J$10001,0)),"")</f>
        <v/>
      </c>
    </row>
    <row r="6630">
      <c r="A6630">
        <f>IFERROR(INDEX('Email Cleaner'!$B$2:$B$10001,MATCH(6629,'Email Cleaner'!$J$2:$J$10001,0)),"")</f>
        <v/>
      </c>
    </row>
    <row r="6631">
      <c r="A6631">
        <f>IFERROR(INDEX('Email Cleaner'!$B$2:$B$10001,MATCH(6630,'Email Cleaner'!$J$2:$J$10001,0)),"")</f>
        <v/>
      </c>
    </row>
    <row r="6632">
      <c r="A6632">
        <f>IFERROR(INDEX('Email Cleaner'!$B$2:$B$10001,MATCH(6631,'Email Cleaner'!$J$2:$J$10001,0)),"")</f>
        <v/>
      </c>
    </row>
    <row r="6633">
      <c r="A6633">
        <f>IFERROR(INDEX('Email Cleaner'!$B$2:$B$10001,MATCH(6632,'Email Cleaner'!$J$2:$J$10001,0)),"")</f>
        <v/>
      </c>
    </row>
    <row r="6634">
      <c r="A6634">
        <f>IFERROR(INDEX('Email Cleaner'!$B$2:$B$10001,MATCH(6633,'Email Cleaner'!$J$2:$J$10001,0)),"")</f>
        <v/>
      </c>
    </row>
    <row r="6635">
      <c r="A6635">
        <f>IFERROR(INDEX('Email Cleaner'!$B$2:$B$10001,MATCH(6634,'Email Cleaner'!$J$2:$J$10001,0)),"")</f>
        <v/>
      </c>
    </row>
    <row r="6636">
      <c r="A6636">
        <f>IFERROR(INDEX('Email Cleaner'!$B$2:$B$10001,MATCH(6635,'Email Cleaner'!$J$2:$J$10001,0)),"")</f>
        <v/>
      </c>
    </row>
    <row r="6637">
      <c r="A6637">
        <f>IFERROR(INDEX('Email Cleaner'!$B$2:$B$10001,MATCH(6636,'Email Cleaner'!$J$2:$J$10001,0)),"")</f>
        <v/>
      </c>
    </row>
    <row r="6638">
      <c r="A6638">
        <f>IFERROR(INDEX('Email Cleaner'!$B$2:$B$10001,MATCH(6637,'Email Cleaner'!$J$2:$J$10001,0)),"")</f>
        <v/>
      </c>
    </row>
    <row r="6639">
      <c r="A6639">
        <f>IFERROR(INDEX('Email Cleaner'!$B$2:$B$10001,MATCH(6638,'Email Cleaner'!$J$2:$J$10001,0)),"")</f>
        <v/>
      </c>
    </row>
    <row r="6640">
      <c r="A6640">
        <f>IFERROR(INDEX('Email Cleaner'!$B$2:$B$10001,MATCH(6639,'Email Cleaner'!$J$2:$J$10001,0)),"")</f>
        <v/>
      </c>
    </row>
    <row r="6641">
      <c r="A6641">
        <f>IFERROR(INDEX('Email Cleaner'!$B$2:$B$10001,MATCH(6640,'Email Cleaner'!$J$2:$J$10001,0)),"")</f>
        <v/>
      </c>
    </row>
    <row r="6642">
      <c r="A6642">
        <f>IFERROR(INDEX('Email Cleaner'!$B$2:$B$10001,MATCH(6641,'Email Cleaner'!$J$2:$J$10001,0)),"")</f>
        <v/>
      </c>
    </row>
    <row r="6643">
      <c r="A6643">
        <f>IFERROR(INDEX('Email Cleaner'!$B$2:$B$10001,MATCH(6642,'Email Cleaner'!$J$2:$J$10001,0)),"")</f>
        <v/>
      </c>
    </row>
    <row r="6644">
      <c r="A6644">
        <f>IFERROR(INDEX('Email Cleaner'!$B$2:$B$10001,MATCH(6643,'Email Cleaner'!$J$2:$J$10001,0)),"")</f>
        <v/>
      </c>
    </row>
    <row r="6645">
      <c r="A6645">
        <f>IFERROR(INDEX('Email Cleaner'!$B$2:$B$10001,MATCH(6644,'Email Cleaner'!$J$2:$J$10001,0)),"")</f>
        <v/>
      </c>
    </row>
    <row r="6646">
      <c r="A6646">
        <f>IFERROR(INDEX('Email Cleaner'!$B$2:$B$10001,MATCH(6645,'Email Cleaner'!$J$2:$J$10001,0)),"")</f>
        <v/>
      </c>
    </row>
    <row r="6647">
      <c r="A6647">
        <f>IFERROR(INDEX('Email Cleaner'!$B$2:$B$10001,MATCH(6646,'Email Cleaner'!$J$2:$J$10001,0)),"")</f>
        <v/>
      </c>
    </row>
    <row r="6648">
      <c r="A6648">
        <f>IFERROR(INDEX('Email Cleaner'!$B$2:$B$10001,MATCH(6647,'Email Cleaner'!$J$2:$J$10001,0)),"")</f>
        <v/>
      </c>
    </row>
    <row r="6649">
      <c r="A6649">
        <f>IFERROR(INDEX('Email Cleaner'!$B$2:$B$10001,MATCH(6648,'Email Cleaner'!$J$2:$J$10001,0)),"")</f>
        <v/>
      </c>
    </row>
    <row r="6650">
      <c r="A6650">
        <f>IFERROR(INDEX('Email Cleaner'!$B$2:$B$10001,MATCH(6649,'Email Cleaner'!$J$2:$J$10001,0)),"")</f>
        <v/>
      </c>
    </row>
    <row r="6651">
      <c r="A6651">
        <f>IFERROR(INDEX('Email Cleaner'!$B$2:$B$10001,MATCH(6650,'Email Cleaner'!$J$2:$J$10001,0)),"")</f>
        <v/>
      </c>
    </row>
    <row r="6652">
      <c r="A6652">
        <f>IFERROR(INDEX('Email Cleaner'!$B$2:$B$10001,MATCH(6651,'Email Cleaner'!$J$2:$J$10001,0)),"")</f>
        <v/>
      </c>
    </row>
    <row r="6653">
      <c r="A6653">
        <f>IFERROR(INDEX('Email Cleaner'!$B$2:$B$10001,MATCH(6652,'Email Cleaner'!$J$2:$J$10001,0)),"")</f>
        <v/>
      </c>
    </row>
    <row r="6654">
      <c r="A6654">
        <f>IFERROR(INDEX('Email Cleaner'!$B$2:$B$10001,MATCH(6653,'Email Cleaner'!$J$2:$J$10001,0)),"")</f>
        <v/>
      </c>
    </row>
    <row r="6655">
      <c r="A6655">
        <f>IFERROR(INDEX('Email Cleaner'!$B$2:$B$10001,MATCH(6654,'Email Cleaner'!$J$2:$J$10001,0)),"")</f>
        <v/>
      </c>
    </row>
    <row r="6656">
      <c r="A6656">
        <f>IFERROR(INDEX('Email Cleaner'!$B$2:$B$10001,MATCH(6655,'Email Cleaner'!$J$2:$J$10001,0)),"")</f>
        <v/>
      </c>
    </row>
    <row r="6657">
      <c r="A6657">
        <f>IFERROR(INDEX('Email Cleaner'!$B$2:$B$10001,MATCH(6656,'Email Cleaner'!$J$2:$J$10001,0)),"")</f>
        <v/>
      </c>
    </row>
    <row r="6658">
      <c r="A6658">
        <f>IFERROR(INDEX('Email Cleaner'!$B$2:$B$10001,MATCH(6657,'Email Cleaner'!$J$2:$J$10001,0)),"")</f>
        <v/>
      </c>
    </row>
    <row r="6659">
      <c r="A6659">
        <f>IFERROR(INDEX('Email Cleaner'!$B$2:$B$10001,MATCH(6658,'Email Cleaner'!$J$2:$J$10001,0)),"")</f>
        <v/>
      </c>
    </row>
    <row r="6660">
      <c r="A6660">
        <f>IFERROR(INDEX('Email Cleaner'!$B$2:$B$10001,MATCH(6659,'Email Cleaner'!$J$2:$J$10001,0)),"")</f>
        <v/>
      </c>
    </row>
    <row r="6661">
      <c r="A6661">
        <f>IFERROR(INDEX('Email Cleaner'!$B$2:$B$10001,MATCH(6660,'Email Cleaner'!$J$2:$J$10001,0)),"")</f>
        <v/>
      </c>
    </row>
    <row r="6662">
      <c r="A6662">
        <f>IFERROR(INDEX('Email Cleaner'!$B$2:$B$10001,MATCH(6661,'Email Cleaner'!$J$2:$J$10001,0)),"")</f>
        <v/>
      </c>
    </row>
    <row r="6663">
      <c r="A6663">
        <f>IFERROR(INDEX('Email Cleaner'!$B$2:$B$10001,MATCH(6662,'Email Cleaner'!$J$2:$J$10001,0)),"")</f>
        <v/>
      </c>
    </row>
    <row r="6664">
      <c r="A6664">
        <f>IFERROR(INDEX('Email Cleaner'!$B$2:$B$10001,MATCH(6663,'Email Cleaner'!$J$2:$J$10001,0)),"")</f>
        <v/>
      </c>
    </row>
    <row r="6665">
      <c r="A6665">
        <f>IFERROR(INDEX('Email Cleaner'!$B$2:$B$10001,MATCH(6664,'Email Cleaner'!$J$2:$J$10001,0)),"")</f>
        <v/>
      </c>
    </row>
    <row r="6666">
      <c r="A6666">
        <f>IFERROR(INDEX('Email Cleaner'!$B$2:$B$10001,MATCH(6665,'Email Cleaner'!$J$2:$J$10001,0)),"")</f>
        <v/>
      </c>
    </row>
    <row r="6667">
      <c r="A6667">
        <f>IFERROR(INDEX('Email Cleaner'!$B$2:$B$10001,MATCH(6666,'Email Cleaner'!$J$2:$J$10001,0)),"")</f>
        <v/>
      </c>
    </row>
    <row r="6668">
      <c r="A6668">
        <f>IFERROR(INDEX('Email Cleaner'!$B$2:$B$10001,MATCH(6667,'Email Cleaner'!$J$2:$J$10001,0)),"")</f>
        <v/>
      </c>
    </row>
    <row r="6669">
      <c r="A6669">
        <f>IFERROR(INDEX('Email Cleaner'!$B$2:$B$10001,MATCH(6668,'Email Cleaner'!$J$2:$J$10001,0)),"")</f>
        <v/>
      </c>
    </row>
    <row r="6670">
      <c r="A6670">
        <f>IFERROR(INDEX('Email Cleaner'!$B$2:$B$10001,MATCH(6669,'Email Cleaner'!$J$2:$J$10001,0)),"")</f>
        <v/>
      </c>
    </row>
    <row r="6671">
      <c r="A6671">
        <f>IFERROR(INDEX('Email Cleaner'!$B$2:$B$10001,MATCH(6670,'Email Cleaner'!$J$2:$J$10001,0)),"")</f>
        <v/>
      </c>
    </row>
    <row r="6672">
      <c r="A6672">
        <f>IFERROR(INDEX('Email Cleaner'!$B$2:$B$10001,MATCH(6671,'Email Cleaner'!$J$2:$J$10001,0)),"")</f>
        <v/>
      </c>
    </row>
    <row r="6673">
      <c r="A6673">
        <f>IFERROR(INDEX('Email Cleaner'!$B$2:$B$10001,MATCH(6672,'Email Cleaner'!$J$2:$J$10001,0)),"")</f>
        <v/>
      </c>
    </row>
    <row r="6674">
      <c r="A6674">
        <f>IFERROR(INDEX('Email Cleaner'!$B$2:$B$10001,MATCH(6673,'Email Cleaner'!$J$2:$J$10001,0)),"")</f>
        <v/>
      </c>
    </row>
    <row r="6675">
      <c r="A6675">
        <f>IFERROR(INDEX('Email Cleaner'!$B$2:$B$10001,MATCH(6674,'Email Cleaner'!$J$2:$J$10001,0)),"")</f>
        <v/>
      </c>
    </row>
    <row r="6676">
      <c r="A6676">
        <f>IFERROR(INDEX('Email Cleaner'!$B$2:$B$10001,MATCH(6675,'Email Cleaner'!$J$2:$J$10001,0)),"")</f>
        <v/>
      </c>
    </row>
    <row r="6677">
      <c r="A6677">
        <f>IFERROR(INDEX('Email Cleaner'!$B$2:$B$10001,MATCH(6676,'Email Cleaner'!$J$2:$J$10001,0)),"")</f>
        <v/>
      </c>
    </row>
    <row r="6678">
      <c r="A6678">
        <f>IFERROR(INDEX('Email Cleaner'!$B$2:$B$10001,MATCH(6677,'Email Cleaner'!$J$2:$J$10001,0)),"")</f>
        <v/>
      </c>
    </row>
    <row r="6679">
      <c r="A6679">
        <f>IFERROR(INDEX('Email Cleaner'!$B$2:$B$10001,MATCH(6678,'Email Cleaner'!$J$2:$J$10001,0)),"")</f>
        <v/>
      </c>
    </row>
    <row r="6680">
      <c r="A6680">
        <f>IFERROR(INDEX('Email Cleaner'!$B$2:$B$10001,MATCH(6679,'Email Cleaner'!$J$2:$J$10001,0)),"")</f>
        <v/>
      </c>
    </row>
    <row r="6681">
      <c r="A6681">
        <f>IFERROR(INDEX('Email Cleaner'!$B$2:$B$10001,MATCH(6680,'Email Cleaner'!$J$2:$J$10001,0)),"")</f>
        <v/>
      </c>
    </row>
    <row r="6682">
      <c r="A6682">
        <f>IFERROR(INDEX('Email Cleaner'!$B$2:$B$10001,MATCH(6681,'Email Cleaner'!$J$2:$J$10001,0)),"")</f>
        <v/>
      </c>
    </row>
    <row r="6683">
      <c r="A6683">
        <f>IFERROR(INDEX('Email Cleaner'!$B$2:$B$10001,MATCH(6682,'Email Cleaner'!$J$2:$J$10001,0)),"")</f>
        <v/>
      </c>
    </row>
    <row r="6684">
      <c r="A6684">
        <f>IFERROR(INDEX('Email Cleaner'!$B$2:$B$10001,MATCH(6683,'Email Cleaner'!$J$2:$J$10001,0)),"")</f>
        <v/>
      </c>
    </row>
    <row r="6685">
      <c r="A6685">
        <f>IFERROR(INDEX('Email Cleaner'!$B$2:$B$10001,MATCH(6684,'Email Cleaner'!$J$2:$J$10001,0)),"")</f>
        <v/>
      </c>
    </row>
    <row r="6686">
      <c r="A6686">
        <f>IFERROR(INDEX('Email Cleaner'!$B$2:$B$10001,MATCH(6685,'Email Cleaner'!$J$2:$J$10001,0)),"")</f>
        <v/>
      </c>
    </row>
    <row r="6687">
      <c r="A6687">
        <f>IFERROR(INDEX('Email Cleaner'!$B$2:$B$10001,MATCH(6686,'Email Cleaner'!$J$2:$J$10001,0)),"")</f>
        <v/>
      </c>
    </row>
    <row r="6688">
      <c r="A6688">
        <f>IFERROR(INDEX('Email Cleaner'!$B$2:$B$10001,MATCH(6687,'Email Cleaner'!$J$2:$J$10001,0)),"")</f>
        <v/>
      </c>
    </row>
    <row r="6689">
      <c r="A6689">
        <f>IFERROR(INDEX('Email Cleaner'!$B$2:$B$10001,MATCH(6688,'Email Cleaner'!$J$2:$J$10001,0)),"")</f>
        <v/>
      </c>
    </row>
    <row r="6690">
      <c r="A6690">
        <f>IFERROR(INDEX('Email Cleaner'!$B$2:$B$10001,MATCH(6689,'Email Cleaner'!$J$2:$J$10001,0)),"")</f>
        <v/>
      </c>
    </row>
    <row r="6691">
      <c r="A6691">
        <f>IFERROR(INDEX('Email Cleaner'!$B$2:$B$10001,MATCH(6690,'Email Cleaner'!$J$2:$J$10001,0)),"")</f>
        <v/>
      </c>
    </row>
    <row r="6692">
      <c r="A6692">
        <f>IFERROR(INDEX('Email Cleaner'!$B$2:$B$10001,MATCH(6691,'Email Cleaner'!$J$2:$J$10001,0)),"")</f>
        <v/>
      </c>
    </row>
    <row r="6693">
      <c r="A6693">
        <f>IFERROR(INDEX('Email Cleaner'!$B$2:$B$10001,MATCH(6692,'Email Cleaner'!$J$2:$J$10001,0)),"")</f>
        <v/>
      </c>
    </row>
    <row r="6694">
      <c r="A6694">
        <f>IFERROR(INDEX('Email Cleaner'!$B$2:$B$10001,MATCH(6693,'Email Cleaner'!$J$2:$J$10001,0)),"")</f>
        <v/>
      </c>
    </row>
    <row r="6695">
      <c r="A6695">
        <f>IFERROR(INDEX('Email Cleaner'!$B$2:$B$10001,MATCH(6694,'Email Cleaner'!$J$2:$J$10001,0)),"")</f>
        <v/>
      </c>
    </row>
    <row r="6696">
      <c r="A6696">
        <f>IFERROR(INDEX('Email Cleaner'!$B$2:$B$10001,MATCH(6695,'Email Cleaner'!$J$2:$J$10001,0)),"")</f>
        <v/>
      </c>
    </row>
    <row r="6697">
      <c r="A6697">
        <f>IFERROR(INDEX('Email Cleaner'!$B$2:$B$10001,MATCH(6696,'Email Cleaner'!$J$2:$J$10001,0)),"")</f>
        <v/>
      </c>
    </row>
    <row r="6698">
      <c r="A6698">
        <f>IFERROR(INDEX('Email Cleaner'!$B$2:$B$10001,MATCH(6697,'Email Cleaner'!$J$2:$J$10001,0)),"")</f>
        <v/>
      </c>
    </row>
    <row r="6699">
      <c r="A6699">
        <f>IFERROR(INDEX('Email Cleaner'!$B$2:$B$10001,MATCH(6698,'Email Cleaner'!$J$2:$J$10001,0)),"")</f>
        <v/>
      </c>
    </row>
    <row r="6700">
      <c r="A6700">
        <f>IFERROR(INDEX('Email Cleaner'!$B$2:$B$10001,MATCH(6699,'Email Cleaner'!$J$2:$J$10001,0)),"")</f>
        <v/>
      </c>
    </row>
    <row r="6701">
      <c r="A6701">
        <f>IFERROR(INDEX('Email Cleaner'!$B$2:$B$10001,MATCH(6700,'Email Cleaner'!$J$2:$J$10001,0)),"")</f>
        <v/>
      </c>
    </row>
    <row r="6702">
      <c r="A6702">
        <f>IFERROR(INDEX('Email Cleaner'!$B$2:$B$10001,MATCH(6701,'Email Cleaner'!$J$2:$J$10001,0)),"")</f>
        <v/>
      </c>
    </row>
    <row r="6703">
      <c r="A6703">
        <f>IFERROR(INDEX('Email Cleaner'!$B$2:$B$10001,MATCH(6702,'Email Cleaner'!$J$2:$J$10001,0)),"")</f>
        <v/>
      </c>
    </row>
    <row r="6704">
      <c r="A6704">
        <f>IFERROR(INDEX('Email Cleaner'!$B$2:$B$10001,MATCH(6703,'Email Cleaner'!$J$2:$J$10001,0)),"")</f>
        <v/>
      </c>
    </row>
    <row r="6705">
      <c r="A6705">
        <f>IFERROR(INDEX('Email Cleaner'!$B$2:$B$10001,MATCH(6704,'Email Cleaner'!$J$2:$J$10001,0)),"")</f>
        <v/>
      </c>
    </row>
    <row r="6706">
      <c r="A6706">
        <f>IFERROR(INDEX('Email Cleaner'!$B$2:$B$10001,MATCH(6705,'Email Cleaner'!$J$2:$J$10001,0)),"")</f>
        <v/>
      </c>
    </row>
    <row r="6707">
      <c r="A6707">
        <f>IFERROR(INDEX('Email Cleaner'!$B$2:$B$10001,MATCH(6706,'Email Cleaner'!$J$2:$J$10001,0)),"")</f>
        <v/>
      </c>
    </row>
    <row r="6708">
      <c r="A6708">
        <f>IFERROR(INDEX('Email Cleaner'!$B$2:$B$10001,MATCH(6707,'Email Cleaner'!$J$2:$J$10001,0)),"")</f>
        <v/>
      </c>
    </row>
    <row r="6709">
      <c r="A6709">
        <f>IFERROR(INDEX('Email Cleaner'!$B$2:$B$10001,MATCH(6708,'Email Cleaner'!$J$2:$J$10001,0)),"")</f>
        <v/>
      </c>
    </row>
    <row r="6710">
      <c r="A6710">
        <f>IFERROR(INDEX('Email Cleaner'!$B$2:$B$10001,MATCH(6709,'Email Cleaner'!$J$2:$J$10001,0)),"")</f>
        <v/>
      </c>
    </row>
    <row r="6711">
      <c r="A6711">
        <f>IFERROR(INDEX('Email Cleaner'!$B$2:$B$10001,MATCH(6710,'Email Cleaner'!$J$2:$J$10001,0)),"")</f>
        <v/>
      </c>
    </row>
    <row r="6712">
      <c r="A6712">
        <f>IFERROR(INDEX('Email Cleaner'!$B$2:$B$10001,MATCH(6711,'Email Cleaner'!$J$2:$J$10001,0)),"")</f>
        <v/>
      </c>
    </row>
    <row r="6713">
      <c r="A6713">
        <f>IFERROR(INDEX('Email Cleaner'!$B$2:$B$10001,MATCH(6712,'Email Cleaner'!$J$2:$J$10001,0)),"")</f>
        <v/>
      </c>
    </row>
    <row r="6714">
      <c r="A6714">
        <f>IFERROR(INDEX('Email Cleaner'!$B$2:$B$10001,MATCH(6713,'Email Cleaner'!$J$2:$J$10001,0)),"")</f>
        <v/>
      </c>
    </row>
    <row r="6715">
      <c r="A6715">
        <f>IFERROR(INDEX('Email Cleaner'!$B$2:$B$10001,MATCH(6714,'Email Cleaner'!$J$2:$J$10001,0)),"")</f>
        <v/>
      </c>
    </row>
    <row r="6716">
      <c r="A6716">
        <f>IFERROR(INDEX('Email Cleaner'!$B$2:$B$10001,MATCH(6715,'Email Cleaner'!$J$2:$J$10001,0)),"")</f>
        <v/>
      </c>
    </row>
    <row r="6717">
      <c r="A6717">
        <f>IFERROR(INDEX('Email Cleaner'!$B$2:$B$10001,MATCH(6716,'Email Cleaner'!$J$2:$J$10001,0)),"")</f>
        <v/>
      </c>
    </row>
    <row r="6718">
      <c r="A6718">
        <f>IFERROR(INDEX('Email Cleaner'!$B$2:$B$10001,MATCH(6717,'Email Cleaner'!$J$2:$J$10001,0)),"")</f>
        <v/>
      </c>
    </row>
    <row r="6719">
      <c r="A6719">
        <f>IFERROR(INDEX('Email Cleaner'!$B$2:$B$10001,MATCH(6718,'Email Cleaner'!$J$2:$J$10001,0)),"")</f>
        <v/>
      </c>
    </row>
    <row r="6720">
      <c r="A6720">
        <f>IFERROR(INDEX('Email Cleaner'!$B$2:$B$10001,MATCH(6719,'Email Cleaner'!$J$2:$J$10001,0)),"")</f>
        <v/>
      </c>
    </row>
    <row r="6721">
      <c r="A6721">
        <f>IFERROR(INDEX('Email Cleaner'!$B$2:$B$10001,MATCH(6720,'Email Cleaner'!$J$2:$J$10001,0)),"")</f>
        <v/>
      </c>
    </row>
    <row r="6722">
      <c r="A6722">
        <f>IFERROR(INDEX('Email Cleaner'!$B$2:$B$10001,MATCH(6721,'Email Cleaner'!$J$2:$J$10001,0)),"")</f>
        <v/>
      </c>
    </row>
    <row r="6723">
      <c r="A6723">
        <f>IFERROR(INDEX('Email Cleaner'!$B$2:$B$10001,MATCH(6722,'Email Cleaner'!$J$2:$J$10001,0)),"")</f>
        <v/>
      </c>
    </row>
    <row r="6724">
      <c r="A6724">
        <f>IFERROR(INDEX('Email Cleaner'!$B$2:$B$10001,MATCH(6723,'Email Cleaner'!$J$2:$J$10001,0)),"")</f>
        <v/>
      </c>
    </row>
    <row r="6725">
      <c r="A6725">
        <f>IFERROR(INDEX('Email Cleaner'!$B$2:$B$10001,MATCH(6724,'Email Cleaner'!$J$2:$J$10001,0)),"")</f>
        <v/>
      </c>
    </row>
    <row r="6726">
      <c r="A6726">
        <f>IFERROR(INDEX('Email Cleaner'!$B$2:$B$10001,MATCH(6725,'Email Cleaner'!$J$2:$J$10001,0)),"")</f>
        <v/>
      </c>
    </row>
    <row r="6727">
      <c r="A6727">
        <f>IFERROR(INDEX('Email Cleaner'!$B$2:$B$10001,MATCH(6726,'Email Cleaner'!$J$2:$J$10001,0)),"")</f>
        <v/>
      </c>
    </row>
    <row r="6728">
      <c r="A6728">
        <f>IFERROR(INDEX('Email Cleaner'!$B$2:$B$10001,MATCH(6727,'Email Cleaner'!$J$2:$J$10001,0)),"")</f>
        <v/>
      </c>
    </row>
    <row r="6729">
      <c r="A6729">
        <f>IFERROR(INDEX('Email Cleaner'!$B$2:$B$10001,MATCH(6728,'Email Cleaner'!$J$2:$J$10001,0)),"")</f>
        <v/>
      </c>
    </row>
    <row r="6730">
      <c r="A6730">
        <f>IFERROR(INDEX('Email Cleaner'!$B$2:$B$10001,MATCH(6729,'Email Cleaner'!$J$2:$J$10001,0)),"")</f>
        <v/>
      </c>
    </row>
    <row r="6731">
      <c r="A6731">
        <f>IFERROR(INDEX('Email Cleaner'!$B$2:$B$10001,MATCH(6730,'Email Cleaner'!$J$2:$J$10001,0)),"")</f>
        <v/>
      </c>
    </row>
    <row r="6732">
      <c r="A6732">
        <f>IFERROR(INDEX('Email Cleaner'!$B$2:$B$10001,MATCH(6731,'Email Cleaner'!$J$2:$J$10001,0)),"")</f>
        <v/>
      </c>
    </row>
    <row r="6733">
      <c r="A6733">
        <f>IFERROR(INDEX('Email Cleaner'!$B$2:$B$10001,MATCH(6732,'Email Cleaner'!$J$2:$J$10001,0)),"")</f>
        <v/>
      </c>
    </row>
    <row r="6734">
      <c r="A6734">
        <f>IFERROR(INDEX('Email Cleaner'!$B$2:$B$10001,MATCH(6733,'Email Cleaner'!$J$2:$J$10001,0)),"")</f>
        <v/>
      </c>
    </row>
    <row r="6735">
      <c r="A6735">
        <f>IFERROR(INDEX('Email Cleaner'!$B$2:$B$10001,MATCH(6734,'Email Cleaner'!$J$2:$J$10001,0)),"")</f>
        <v/>
      </c>
    </row>
    <row r="6736">
      <c r="A6736">
        <f>IFERROR(INDEX('Email Cleaner'!$B$2:$B$10001,MATCH(6735,'Email Cleaner'!$J$2:$J$10001,0)),"")</f>
        <v/>
      </c>
    </row>
    <row r="6737">
      <c r="A6737">
        <f>IFERROR(INDEX('Email Cleaner'!$B$2:$B$10001,MATCH(6736,'Email Cleaner'!$J$2:$J$10001,0)),"")</f>
        <v/>
      </c>
    </row>
    <row r="6738">
      <c r="A6738">
        <f>IFERROR(INDEX('Email Cleaner'!$B$2:$B$10001,MATCH(6737,'Email Cleaner'!$J$2:$J$10001,0)),"")</f>
        <v/>
      </c>
    </row>
    <row r="6739">
      <c r="A6739">
        <f>IFERROR(INDEX('Email Cleaner'!$B$2:$B$10001,MATCH(6738,'Email Cleaner'!$J$2:$J$10001,0)),"")</f>
        <v/>
      </c>
    </row>
    <row r="6740">
      <c r="A6740">
        <f>IFERROR(INDEX('Email Cleaner'!$B$2:$B$10001,MATCH(6739,'Email Cleaner'!$J$2:$J$10001,0)),"")</f>
        <v/>
      </c>
    </row>
    <row r="6741">
      <c r="A6741">
        <f>IFERROR(INDEX('Email Cleaner'!$B$2:$B$10001,MATCH(6740,'Email Cleaner'!$J$2:$J$10001,0)),"")</f>
        <v/>
      </c>
    </row>
    <row r="6742">
      <c r="A6742">
        <f>IFERROR(INDEX('Email Cleaner'!$B$2:$B$10001,MATCH(6741,'Email Cleaner'!$J$2:$J$10001,0)),"")</f>
        <v/>
      </c>
    </row>
    <row r="6743">
      <c r="A6743">
        <f>IFERROR(INDEX('Email Cleaner'!$B$2:$B$10001,MATCH(6742,'Email Cleaner'!$J$2:$J$10001,0)),"")</f>
        <v/>
      </c>
    </row>
    <row r="6744">
      <c r="A6744">
        <f>IFERROR(INDEX('Email Cleaner'!$B$2:$B$10001,MATCH(6743,'Email Cleaner'!$J$2:$J$10001,0)),"")</f>
        <v/>
      </c>
    </row>
    <row r="6745">
      <c r="A6745">
        <f>IFERROR(INDEX('Email Cleaner'!$B$2:$B$10001,MATCH(6744,'Email Cleaner'!$J$2:$J$10001,0)),"")</f>
        <v/>
      </c>
    </row>
    <row r="6746">
      <c r="A6746">
        <f>IFERROR(INDEX('Email Cleaner'!$B$2:$B$10001,MATCH(6745,'Email Cleaner'!$J$2:$J$10001,0)),"")</f>
        <v/>
      </c>
    </row>
    <row r="6747">
      <c r="A6747">
        <f>IFERROR(INDEX('Email Cleaner'!$B$2:$B$10001,MATCH(6746,'Email Cleaner'!$J$2:$J$10001,0)),"")</f>
        <v/>
      </c>
    </row>
    <row r="6748">
      <c r="A6748">
        <f>IFERROR(INDEX('Email Cleaner'!$B$2:$B$10001,MATCH(6747,'Email Cleaner'!$J$2:$J$10001,0)),"")</f>
        <v/>
      </c>
    </row>
    <row r="6749">
      <c r="A6749">
        <f>IFERROR(INDEX('Email Cleaner'!$B$2:$B$10001,MATCH(6748,'Email Cleaner'!$J$2:$J$10001,0)),"")</f>
        <v/>
      </c>
    </row>
    <row r="6750">
      <c r="A6750">
        <f>IFERROR(INDEX('Email Cleaner'!$B$2:$B$10001,MATCH(6749,'Email Cleaner'!$J$2:$J$10001,0)),"")</f>
        <v/>
      </c>
    </row>
    <row r="6751">
      <c r="A6751">
        <f>IFERROR(INDEX('Email Cleaner'!$B$2:$B$10001,MATCH(6750,'Email Cleaner'!$J$2:$J$10001,0)),"")</f>
        <v/>
      </c>
    </row>
    <row r="6752">
      <c r="A6752">
        <f>IFERROR(INDEX('Email Cleaner'!$B$2:$B$10001,MATCH(6751,'Email Cleaner'!$J$2:$J$10001,0)),"")</f>
        <v/>
      </c>
    </row>
    <row r="6753">
      <c r="A6753">
        <f>IFERROR(INDEX('Email Cleaner'!$B$2:$B$10001,MATCH(6752,'Email Cleaner'!$J$2:$J$10001,0)),"")</f>
        <v/>
      </c>
    </row>
    <row r="6754">
      <c r="A6754">
        <f>IFERROR(INDEX('Email Cleaner'!$B$2:$B$10001,MATCH(6753,'Email Cleaner'!$J$2:$J$10001,0)),"")</f>
        <v/>
      </c>
    </row>
    <row r="6755">
      <c r="A6755">
        <f>IFERROR(INDEX('Email Cleaner'!$B$2:$B$10001,MATCH(6754,'Email Cleaner'!$J$2:$J$10001,0)),"")</f>
        <v/>
      </c>
    </row>
    <row r="6756">
      <c r="A6756">
        <f>IFERROR(INDEX('Email Cleaner'!$B$2:$B$10001,MATCH(6755,'Email Cleaner'!$J$2:$J$10001,0)),"")</f>
        <v/>
      </c>
    </row>
    <row r="6757">
      <c r="A6757">
        <f>IFERROR(INDEX('Email Cleaner'!$B$2:$B$10001,MATCH(6756,'Email Cleaner'!$J$2:$J$10001,0)),"")</f>
        <v/>
      </c>
    </row>
    <row r="6758">
      <c r="A6758">
        <f>IFERROR(INDEX('Email Cleaner'!$B$2:$B$10001,MATCH(6757,'Email Cleaner'!$J$2:$J$10001,0)),"")</f>
        <v/>
      </c>
    </row>
    <row r="6759">
      <c r="A6759">
        <f>IFERROR(INDEX('Email Cleaner'!$B$2:$B$10001,MATCH(6758,'Email Cleaner'!$J$2:$J$10001,0)),"")</f>
        <v/>
      </c>
    </row>
    <row r="6760">
      <c r="A6760">
        <f>IFERROR(INDEX('Email Cleaner'!$B$2:$B$10001,MATCH(6759,'Email Cleaner'!$J$2:$J$10001,0)),"")</f>
        <v/>
      </c>
    </row>
    <row r="6761">
      <c r="A6761">
        <f>IFERROR(INDEX('Email Cleaner'!$B$2:$B$10001,MATCH(6760,'Email Cleaner'!$J$2:$J$10001,0)),"")</f>
        <v/>
      </c>
    </row>
    <row r="6762">
      <c r="A6762">
        <f>IFERROR(INDEX('Email Cleaner'!$B$2:$B$10001,MATCH(6761,'Email Cleaner'!$J$2:$J$10001,0)),"")</f>
        <v/>
      </c>
    </row>
    <row r="6763">
      <c r="A6763">
        <f>IFERROR(INDEX('Email Cleaner'!$B$2:$B$10001,MATCH(6762,'Email Cleaner'!$J$2:$J$10001,0)),"")</f>
        <v/>
      </c>
    </row>
    <row r="6764">
      <c r="A6764">
        <f>IFERROR(INDEX('Email Cleaner'!$B$2:$B$10001,MATCH(6763,'Email Cleaner'!$J$2:$J$10001,0)),"")</f>
        <v/>
      </c>
    </row>
    <row r="6765">
      <c r="A6765">
        <f>IFERROR(INDEX('Email Cleaner'!$B$2:$B$10001,MATCH(6764,'Email Cleaner'!$J$2:$J$10001,0)),"")</f>
        <v/>
      </c>
    </row>
    <row r="6766">
      <c r="A6766">
        <f>IFERROR(INDEX('Email Cleaner'!$B$2:$B$10001,MATCH(6765,'Email Cleaner'!$J$2:$J$10001,0)),"")</f>
        <v/>
      </c>
    </row>
    <row r="6767">
      <c r="A6767">
        <f>IFERROR(INDEX('Email Cleaner'!$B$2:$B$10001,MATCH(6766,'Email Cleaner'!$J$2:$J$10001,0)),"")</f>
        <v/>
      </c>
    </row>
    <row r="6768">
      <c r="A6768">
        <f>IFERROR(INDEX('Email Cleaner'!$B$2:$B$10001,MATCH(6767,'Email Cleaner'!$J$2:$J$10001,0)),"")</f>
        <v/>
      </c>
    </row>
    <row r="6769">
      <c r="A6769">
        <f>IFERROR(INDEX('Email Cleaner'!$B$2:$B$10001,MATCH(6768,'Email Cleaner'!$J$2:$J$10001,0)),"")</f>
        <v/>
      </c>
    </row>
    <row r="6770">
      <c r="A6770">
        <f>IFERROR(INDEX('Email Cleaner'!$B$2:$B$10001,MATCH(6769,'Email Cleaner'!$J$2:$J$10001,0)),"")</f>
        <v/>
      </c>
    </row>
    <row r="6771">
      <c r="A6771">
        <f>IFERROR(INDEX('Email Cleaner'!$B$2:$B$10001,MATCH(6770,'Email Cleaner'!$J$2:$J$10001,0)),"")</f>
        <v/>
      </c>
    </row>
    <row r="6772">
      <c r="A6772">
        <f>IFERROR(INDEX('Email Cleaner'!$B$2:$B$10001,MATCH(6771,'Email Cleaner'!$J$2:$J$10001,0)),"")</f>
        <v/>
      </c>
    </row>
    <row r="6773">
      <c r="A6773">
        <f>IFERROR(INDEX('Email Cleaner'!$B$2:$B$10001,MATCH(6772,'Email Cleaner'!$J$2:$J$10001,0)),"")</f>
        <v/>
      </c>
    </row>
    <row r="6774">
      <c r="A6774">
        <f>IFERROR(INDEX('Email Cleaner'!$B$2:$B$10001,MATCH(6773,'Email Cleaner'!$J$2:$J$10001,0)),"")</f>
        <v/>
      </c>
    </row>
    <row r="6775">
      <c r="A6775">
        <f>IFERROR(INDEX('Email Cleaner'!$B$2:$B$10001,MATCH(6774,'Email Cleaner'!$J$2:$J$10001,0)),"")</f>
        <v/>
      </c>
    </row>
    <row r="6776">
      <c r="A6776">
        <f>IFERROR(INDEX('Email Cleaner'!$B$2:$B$10001,MATCH(6775,'Email Cleaner'!$J$2:$J$10001,0)),"")</f>
        <v/>
      </c>
    </row>
    <row r="6777">
      <c r="A6777">
        <f>IFERROR(INDEX('Email Cleaner'!$B$2:$B$10001,MATCH(6776,'Email Cleaner'!$J$2:$J$10001,0)),"")</f>
        <v/>
      </c>
    </row>
    <row r="6778">
      <c r="A6778">
        <f>IFERROR(INDEX('Email Cleaner'!$B$2:$B$10001,MATCH(6777,'Email Cleaner'!$J$2:$J$10001,0)),"")</f>
        <v/>
      </c>
    </row>
    <row r="6779">
      <c r="A6779">
        <f>IFERROR(INDEX('Email Cleaner'!$B$2:$B$10001,MATCH(6778,'Email Cleaner'!$J$2:$J$10001,0)),"")</f>
        <v/>
      </c>
    </row>
    <row r="6780">
      <c r="A6780">
        <f>IFERROR(INDEX('Email Cleaner'!$B$2:$B$10001,MATCH(6779,'Email Cleaner'!$J$2:$J$10001,0)),"")</f>
        <v/>
      </c>
    </row>
    <row r="6781">
      <c r="A6781">
        <f>IFERROR(INDEX('Email Cleaner'!$B$2:$B$10001,MATCH(6780,'Email Cleaner'!$J$2:$J$10001,0)),"")</f>
        <v/>
      </c>
    </row>
    <row r="6782">
      <c r="A6782">
        <f>IFERROR(INDEX('Email Cleaner'!$B$2:$B$10001,MATCH(6781,'Email Cleaner'!$J$2:$J$10001,0)),"")</f>
        <v/>
      </c>
    </row>
    <row r="6783">
      <c r="A6783">
        <f>IFERROR(INDEX('Email Cleaner'!$B$2:$B$10001,MATCH(6782,'Email Cleaner'!$J$2:$J$10001,0)),"")</f>
        <v/>
      </c>
    </row>
    <row r="6784">
      <c r="A6784">
        <f>IFERROR(INDEX('Email Cleaner'!$B$2:$B$10001,MATCH(6783,'Email Cleaner'!$J$2:$J$10001,0)),"")</f>
        <v/>
      </c>
    </row>
    <row r="6785">
      <c r="A6785">
        <f>IFERROR(INDEX('Email Cleaner'!$B$2:$B$10001,MATCH(6784,'Email Cleaner'!$J$2:$J$10001,0)),"")</f>
        <v/>
      </c>
    </row>
    <row r="6786">
      <c r="A6786">
        <f>IFERROR(INDEX('Email Cleaner'!$B$2:$B$10001,MATCH(6785,'Email Cleaner'!$J$2:$J$10001,0)),"")</f>
        <v/>
      </c>
    </row>
    <row r="6787">
      <c r="A6787">
        <f>IFERROR(INDEX('Email Cleaner'!$B$2:$B$10001,MATCH(6786,'Email Cleaner'!$J$2:$J$10001,0)),"")</f>
        <v/>
      </c>
    </row>
    <row r="6788">
      <c r="A6788">
        <f>IFERROR(INDEX('Email Cleaner'!$B$2:$B$10001,MATCH(6787,'Email Cleaner'!$J$2:$J$10001,0)),"")</f>
        <v/>
      </c>
    </row>
    <row r="6789">
      <c r="A6789">
        <f>IFERROR(INDEX('Email Cleaner'!$B$2:$B$10001,MATCH(6788,'Email Cleaner'!$J$2:$J$10001,0)),"")</f>
        <v/>
      </c>
    </row>
    <row r="6790">
      <c r="A6790">
        <f>IFERROR(INDEX('Email Cleaner'!$B$2:$B$10001,MATCH(6789,'Email Cleaner'!$J$2:$J$10001,0)),"")</f>
        <v/>
      </c>
    </row>
    <row r="6791">
      <c r="A6791">
        <f>IFERROR(INDEX('Email Cleaner'!$B$2:$B$10001,MATCH(6790,'Email Cleaner'!$J$2:$J$10001,0)),"")</f>
        <v/>
      </c>
    </row>
    <row r="6792">
      <c r="A6792">
        <f>IFERROR(INDEX('Email Cleaner'!$B$2:$B$10001,MATCH(6791,'Email Cleaner'!$J$2:$J$10001,0)),"")</f>
        <v/>
      </c>
    </row>
    <row r="6793">
      <c r="A6793">
        <f>IFERROR(INDEX('Email Cleaner'!$B$2:$B$10001,MATCH(6792,'Email Cleaner'!$J$2:$J$10001,0)),"")</f>
        <v/>
      </c>
    </row>
    <row r="6794">
      <c r="A6794">
        <f>IFERROR(INDEX('Email Cleaner'!$B$2:$B$10001,MATCH(6793,'Email Cleaner'!$J$2:$J$10001,0)),"")</f>
        <v/>
      </c>
    </row>
    <row r="6795">
      <c r="A6795">
        <f>IFERROR(INDEX('Email Cleaner'!$B$2:$B$10001,MATCH(6794,'Email Cleaner'!$J$2:$J$10001,0)),"")</f>
        <v/>
      </c>
    </row>
    <row r="6796">
      <c r="A6796">
        <f>IFERROR(INDEX('Email Cleaner'!$B$2:$B$10001,MATCH(6795,'Email Cleaner'!$J$2:$J$10001,0)),"")</f>
        <v/>
      </c>
    </row>
    <row r="6797">
      <c r="A6797">
        <f>IFERROR(INDEX('Email Cleaner'!$B$2:$B$10001,MATCH(6796,'Email Cleaner'!$J$2:$J$10001,0)),"")</f>
        <v/>
      </c>
    </row>
    <row r="6798">
      <c r="A6798">
        <f>IFERROR(INDEX('Email Cleaner'!$B$2:$B$10001,MATCH(6797,'Email Cleaner'!$J$2:$J$10001,0)),"")</f>
        <v/>
      </c>
    </row>
    <row r="6799">
      <c r="A6799">
        <f>IFERROR(INDEX('Email Cleaner'!$B$2:$B$10001,MATCH(6798,'Email Cleaner'!$J$2:$J$10001,0)),"")</f>
        <v/>
      </c>
    </row>
    <row r="6800">
      <c r="A6800">
        <f>IFERROR(INDEX('Email Cleaner'!$B$2:$B$10001,MATCH(6799,'Email Cleaner'!$J$2:$J$10001,0)),"")</f>
        <v/>
      </c>
    </row>
    <row r="6801">
      <c r="A6801">
        <f>IFERROR(INDEX('Email Cleaner'!$B$2:$B$10001,MATCH(6800,'Email Cleaner'!$J$2:$J$10001,0)),"")</f>
        <v/>
      </c>
    </row>
    <row r="6802">
      <c r="A6802">
        <f>IFERROR(INDEX('Email Cleaner'!$B$2:$B$10001,MATCH(6801,'Email Cleaner'!$J$2:$J$10001,0)),"")</f>
        <v/>
      </c>
    </row>
    <row r="6803">
      <c r="A6803">
        <f>IFERROR(INDEX('Email Cleaner'!$B$2:$B$10001,MATCH(6802,'Email Cleaner'!$J$2:$J$10001,0)),"")</f>
        <v/>
      </c>
    </row>
    <row r="6804">
      <c r="A6804">
        <f>IFERROR(INDEX('Email Cleaner'!$B$2:$B$10001,MATCH(6803,'Email Cleaner'!$J$2:$J$10001,0)),"")</f>
        <v/>
      </c>
    </row>
    <row r="6805">
      <c r="A6805">
        <f>IFERROR(INDEX('Email Cleaner'!$B$2:$B$10001,MATCH(6804,'Email Cleaner'!$J$2:$J$10001,0)),"")</f>
        <v/>
      </c>
    </row>
    <row r="6806">
      <c r="A6806">
        <f>IFERROR(INDEX('Email Cleaner'!$B$2:$B$10001,MATCH(6805,'Email Cleaner'!$J$2:$J$10001,0)),"")</f>
        <v/>
      </c>
    </row>
    <row r="6807">
      <c r="A6807">
        <f>IFERROR(INDEX('Email Cleaner'!$B$2:$B$10001,MATCH(6806,'Email Cleaner'!$J$2:$J$10001,0)),"")</f>
        <v/>
      </c>
    </row>
    <row r="6808">
      <c r="A6808">
        <f>IFERROR(INDEX('Email Cleaner'!$B$2:$B$10001,MATCH(6807,'Email Cleaner'!$J$2:$J$10001,0)),"")</f>
        <v/>
      </c>
    </row>
    <row r="6809">
      <c r="A6809">
        <f>IFERROR(INDEX('Email Cleaner'!$B$2:$B$10001,MATCH(6808,'Email Cleaner'!$J$2:$J$10001,0)),"")</f>
        <v/>
      </c>
    </row>
    <row r="6810">
      <c r="A6810">
        <f>IFERROR(INDEX('Email Cleaner'!$B$2:$B$10001,MATCH(6809,'Email Cleaner'!$J$2:$J$10001,0)),"")</f>
        <v/>
      </c>
    </row>
    <row r="6811">
      <c r="A6811">
        <f>IFERROR(INDEX('Email Cleaner'!$B$2:$B$10001,MATCH(6810,'Email Cleaner'!$J$2:$J$10001,0)),"")</f>
        <v/>
      </c>
    </row>
    <row r="6812">
      <c r="A6812">
        <f>IFERROR(INDEX('Email Cleaner'!$B$2:$B$10001,MATCH(6811,'Email Cleaner'!$J$2:$J$10001,0)),"")</f>
        <v/>
      </c>
    </row>
    <row r="6813">
      <c r="A6813">
        <f>IFERROR(INDEX('Email Cleaner'!$B$2:$B$10001,MATCH(6812,'Email Cleaner'!$J$2:$J$10001,0)),"")</f>
        <v/>
      </c>
    </row>
    <row r="6814">
      <c r="A6814">
        <f>IFERROR(INDEX('Email Cleaner'!$B$2:$B$10001,MATCH(6813,'Email Cleaner'!$J$2:$J$10001,0)),"")</f>
        <v/>
      </c>
    </row>
    <row r="6815">
      <c r="A6815">
        <f>IFERROR(INDEX('Email Cleaner'!$B$2:$B$10001,MATCH(6814,'Email Cleaner'!$J$2:$J$10001,0)),"")</f>
        <v/>
      </c>
    </row>
    <row r="6816">
      <c r="A6816">
        <f>IFERROR(INDEX('Email Cleaner'!$B$2:$B$10001,MATCH(6815,'Email Cleaner'!$J$2:$J$10001,0)),"")</f>
        <v/>
      </c>
    </row>
    <row r="6817">
      <c r="A6817">
        <f>IFERROR(INDEX('Email Cleaner'!$B$2:$B$10001,MATCH(6816,'Email Cleaner'!$J$2:$J$10001,0)),"")</f>
        <v/>
      </c>
    </row>
    <row r="6818">
      <c r="A6818">
        <f>IFERROR(INDEX('Email Cleaner'!$B$2:$B$10001,MATCH(6817,'Email Cleaner'!$J$2:$J$10001,0)),"")</f>
        <v/>
      </c>
    </row>
    <row r="6819">
      <c r="A6819">
        <f>IFERROR(INDEX('Email Cleaner'!$B$2:$B$10001,MATCH(6818,'Email Cleaner'!$J$2:$J$10001,0)),"")</f>
        <v/>
      </c>
    </row>
    <row r="6820">
      <c r="A6820">
        <f>IFERROR(INDEX('Email Cleaner'!$B$2:$B$10001,MATCH(6819,'Email Cleaner'!$J$2:$J$10001,0)),"")</f>
        <v/>
      </c>
    </row>
    <row r="6821">
      <c r="A6821">
        <f>IFERROR(INDEX('Email Cleaner'!$B$2:$B$10001,MATCH(6820,'Email Cleaner'!$J$2:$J$10001,0)),"")</f>
        <v/>
      </c>
    </row>
    <row r="6822">
      <c r="A6822">
        <f>IFERROR(INDEX('Email Cleaner'!$B$2:$B$10001,MATCH(6821,'Email Cleaner'!$J$2:$J$10001,0)),"")</f>
        <v/>
      </c>
    </row>
    <row r="6823">
      <c r="A6823">
        <f>IFERROR(INDEX('Email Cleaner'!$B$2:$B$10001,MATCH(6822,'Email Cleaner'!$J$2:$J$10001,0)),"")</f>
        <v/>
      </c>
    </row>
    <row r="6824">
      <c r="A6824">
        <f>IFERROR(INDEX('Email Cleaner'!$B$2:$B$10001,MATCH(6823,'Email Cleaner'!$J$2:$J$10001,0)),"")</f>
        <v/>
      </c>
    </row>
    <row r="6825">
      <c r="A6825">
        <f>IFERROR(INDEX('Email Cleaner'!$B$2:$B$10001,MATCH(6824,'Email Cleaner'!$J$2:$J$10001,0)),"")</f>
        <v/>
      </c>
    </row>
    <row r="6826">
      <c r="A6826">
        <f>IFERROR(INDEX('Email Cleaner'!$B$2:$B$10001,MATCH(6825,'Email Cleaner'!$J$2:$J$10001,0)),"")</f>
        <v/>
      </c>
    </row>
    <row r="6827">
      <c r="A6827">
        <f>IFERROR(INDEX('Email Cleaner'!$B$2:$B$10001,MATCH(6826,'Email Cleaner'!$J$2:$J$10001,0)),"")</f>
        <v/>
      </c>
    </row>
    <row r="6828">
      <c r="A6828">
        <f>IFERROR(INDEX('Email Cleaner'!$B$2:$B$10001,MATCH(6827,'Email Cleaner'!$J$2:$J$10001,0)),"")</f>
        <v/>
      </c>
    </row>
    <row r="6829">
      <c r="A6829">
        <f>IFERROR(INDEX('Email Cleaner'!$B$2:$B$10001,MATCH(6828,'Email Cleaner'!$J$2:$J$10001,0)),"")</f>
        <v/>
      </c>
    </row>
    <row r="6830">
      <c r="A6830">
        <f>IFERROR(INDEX('Email Cleaner'!$B$2:$B$10001,MATCH(6829,'Email Cleaner'!$J$2:$J$10001,0)),"")</f>
        <v/>
      </c>
    </row>
    <row r="6831">
      <c r="A6831">
        <f>IFERROR(INDEX('Email Cleaner'!$B$2:$B$10001,MATCH(6830,'Email Cleaner'!$J$2:$J$10001,0)),"")</f>
        <v/>
      </c>
    </row>
    <row r="6832">
      <c r="A6832">
        <f>IFERROR(INDEX('Email Cleaner'!$B$2:$B$10001,MATCH(6831,'Email Cleaner'!$J$2:$J$10001,0)),"")</f>
        <v/>
      </c>
    </row>
    <row r="6833">
      <c r="A6833">
        <f>IFERROR(INDEX('Email Cleaner'!$B$2:$B$10001,MATCH(6832,'Email Cleaner'!$J$2:$J$10001,0)),"")</f>
        <v/>
      </c>
    </row>
    <row r="6834">
      <c r="A6834">
        <f>IFERROR(INDEX('Email Cleaner'!$B$2:$B$10001,MATCH(6833,'Email Cleaner'!$J$2:$J$10001,0)),"")</f>
        <v/>
      </c>
    </row>
    <row r="6835">
      <c r="A6835">
        <f>IFERROR(INDEX('Email Cleaner'!$B$2:$B$10001,MATCH(6834,'Email Cleaner'!$J$2:$J$10001,0)),"")</f>
        <v/>
      </c>
    </row>
    <row r="6836">
      <c r="A6836">
        <f>IFERROR(INDEX('Email Cleaner'!$B$2:$B$10001,MATCH(6835,'Email Cleaner'!$J$2:$J$10001,0)),"")</f>
        <v/>
      </c>
    </row>
    <row r="6837">
      <c r="A6837">
        <f>IFERROR(INDEX('Email Cleaner'!$B$2:$B$10001,MATCH(6836,'Email Cleaner'!$J$2:$J$10001,0)),"")</f>
        <v/>
      </c>
    </row>
    <row r="6838">
      <c r="A6838">
        <f>IFERROR(INDEX('Email Cleaner'!$B$2:$B$10001,MATCH(6837,'Email Cleaner'!$J$2:$J$10001,0)),"")</f>
        <v/>
      </c>
    </row>
    <row r="6839">
      <c r="A6839">
        <f>IFERROR(INDEX('Email Cleaner'!$B$2:$B$10001,MATCH(6838,'Email Cleaner'!$J$2:$J$10001,0)),"")</f>
        <v/>
      </c>
    </row>
    <row r="6840">
      <c r="A6840">
        <f>IFERROR(INDEX('Email Cleaner'!$B$2:$B$10001,MATCH(6839,'Email Cleaner'!$J$2:$J$10001,0)),"")</f>
        <v/>
      </c>
    </row>
    <row r="6841">
      <c r="A6841">
        <f>IFERROR(INDEX('Email Cleaner'!$B$2:$B$10001,MATCH(6840,'Email Cleaner'!$J$2:$J$10001,0)),"")</f>
        <v/>
      </c>
    </row>
    <row r="6842">
      <c r="A6842">
        <f>IFERROR(INDEX('Email Cleaner'!$B$2:$B$10001,MATCH(6841,'Email Cleaner'!$J$2:$J$10001,0)),"")</f>
        <v/>
      </c>
    </row>
    <row r="6843">
      <c r="A6843">
        <f>IFERROR(INDEX('Email Cleaner'!$B$2:$B$10001,MATCH(6842,'Email Cleaner'!$J$2:$J$10001,0)),"")</f>
        <v/>
      </c>
    </row>
    <row r="6844">
      <c r="A6844">
        <f>IFERROR(INDEX('Email Cleaner'!$B$2:$B$10001,MATCH(6843,'Email Cleaner'!$J$2:$J$10001,0)),"")</f>
        <v/>
      </c>
    </row>
    <row r="6845">
      <c r="A6845">
        <f>IFERROR(INDEX('Email Cleaner'!$B$2:$B$10001,MATCH(6844,'Email Cleaner'!$J$2:$J$10001,0)),"")</f>
        <v/>
      </c>
    </row>
    <row r="6846">
      <c r="A6846">
        <f>IFERROR(INDEX('Email Cleaner'!$B$2:$B$10001,MATCH(6845,'Email Cleaner'!$J$2:$J$10001,0)),"")</f>
        <v/>
      </c>
    </row>
    <row r="6847">
      <c r="A6847">
        <f>IFERROR(INDEX('Email Cleaner'!$B$2:$B$10001,MATCH(6846,'Email Cleaner'!$J$2:$J$10001,0)),"")</f>
        <v/>
      </c>
    </row>
    <row r="6848">
      <c r="A6848">
        <f>IFERROR(INDEX('Email Cleaner'!$B$2:$B$10001,MATCH(6847,'Email Cleaner'!$J$2:$J$10001,0)),"")</f>
        <v/>
      </c>
    </row>
    <row r="6849">
      <c r="A6849">
        <f>IFERROR(INDEX('Email Cleaner'!$B$2:$B$10001,MATCH(6848,'Email Cleaner'!$J$2:$J$10001,0)),"")</f>
        <v/>
      </c>
    </row>
    <row r="6850">
      <c r="A6850">
        <f>IFERROR(INDEX('Email Cleaner'!$B$2:$B$10001,MATCH(6849,'Email Cleaner'!$J$2:$J$10001,0)),"")</f>
        <v/>
      </c>
    </row>
    <row r="6851">
      <c r="A6851">
        <f>IFERROR(INDEX('Email Cleaner'!$B$2:$B$10001,MATCH(6850,'Email Cleaner'!$J$2:$J$10001,0)),"")</f>
        <v/>
      </c>
    </row>
    <row r="6852">
      <c r="A6852">
        <f>IFERROR(INDEX('Email Cleaner'!$B$2:$B$10001,MATCH(6851,'Email Cleaner'!$J$2:$J$10001,0)),"")</f>
        <v/>
      </c>
    </row>
    <row r="6853">
      <c r="A6853">
        <f>IFERROR(INDEX('Email Cleaner'!$B$2:$B$10001,MATCH(6852,'Email Cleaner'!$J$2:$J$10001,0)),"")</f>
        <v/>
      </c>
    </row>
    <row r="6854">
      <c r="A6854">
        <f>IFERROR(INDEX('Email Cleaner'!$B$2:$B$10001,MATCH(6853,'Email Cleaner'!$J$2:$J$10001,0)),"")</f>
        <v/>
      </c>
    </row>
    <row r="6855">
      <c r="A6855">
        <f>IFERROR(INDEX('Email Cleaner'!$B$2:$B$10001,MATCH(6854,'Email Cleaner'!$J$2:$J$10001,0)),"")</f>
        <v/>
      </c>
    </row>
    <row r="6856">
      <c r="A6856">
        <f>IFERROR(INDEX('Email Cleaner'!$B$2:$B$10001,MATCH(6855,'Email Cleaner'!$J$2:$J$10001,0)),"")</f>
        <v/>
      </c>
    </row>
    <row r="6857">
      <c r="A6857">
        <f>IFERROR(INDEX('Email Cleaner'!$B$2:$B$10001,MATCH(6856,'Email Cleaner'!$J$2:$J$10001,0)),"")</f>
        <v/>
      </c>
    </row>
    <row r="6858">
      <c r="A6858">
        <f>IFERROR(INDEX('Email Cleaner'!$B$2:$B$10001,MATCH(6857,'Email Cleaner'!$J$2:$J$10001,0)),"")</f>
        <v/>
      </c>
    </row>
    <row r="6859">
      <c r="A6859">
        <f>IFERROR(INDEX('Email Cleaner'!$B$2:$B$10001,MATCH(6858,'Email Cleaner'!$J$2:$J$10001,0)),"")</f>
        <v/>
      </c>
    </row>
    <row r="6860">
      <c r="A6860">
        <f>IFERROR(INDEX('Email Cleaner'!$B$2:$B$10001,MATCH(6859,'Email Cleaner'!$J$2:$J$10001,0)),"")</f>
        <v/>
      </c>
    </row>
    <row r="6861">
      <c r="A6861">
        <f>IFERROR(INDEX('Email Cleaner'!$B$2:$B$10001,MATCH(6860,'Email Cleaner'!$J$2:$J$10001,0)),"")</f>
        <v/>
      </c>
    </row>
    <row r="6862">
      <c r="A6862">
        <f>IFERROR(INDEX('Email Cleaner'!$B$2:$B$10001,MATCH(6861,'Email Cleaner'!$J$2:$J$10001,0)),"")</f>
        <v/>
      </c>
    </row>
    <row r="6863">
      <c r="A6863">
        <f>IFERROR(INDEX('Email Cleaner'!$B$2:$B$10001,MATCH(6862,'Email Cleaner'!$J$2:$J$10001,0)),"")</f>
        <v/>
      </c>
    </row>
    <row r="6864">
      <c r="A6864">
        <f>IFERROR(INDEX('Email Cleaner'!$B$2:$B$10001,MATCH(6863,'Email Cleaner'!$J$2:$J$10001,0)),"")</f>
        <v/>
      </c>
    </row>
    <row r="6865">
      <c r="A6865">
        <f>IFERROR(INDEX('Email Cleaner'!$B$2:$B$10001,MATCH(6864,'Email Cleaner'!$J$2:$J$10001,0)),"")</f>
        <v/>
      </c>
    </row>
    <row r="6866">
      <c r="A6866">
        <f>IFERROR(INDEX('Email Cleaner'!$B$2:$B$10001,MATCH(6865,'Email Cleaner'!$J$2:$J$10001,0)),"")</f>
        <v/>
      </c>
    </row>
    <row r="6867">
      <c r="A6867">
        <f>IFERROR(INDEX('Email Cleaner'!$B$2:$B$10001,MATCH(6866,'Email Cleaner'!$J$2:$J$10001,0)),"")</f>
        <v/>
      </c>
    </row>
    <row r="6868">
      <c r="A6868">
        <f>IFERROR(INDEX('Email Cleaner'!$B$2:$B$10001,MATCH(6867,'Email Cleaner'!$J$2:$J$10001,0)),"")</f>
        <v/>
      </c>
    </row>
    <row r="6869">
      <c r="A6869">
        <f>IFERROR(INDEX('Email Cleaner'!$B$2:$B$10001,MATCH(6868,'Email Cleaner'!$J$2:$J$10001,0)),"")</f>
        <v/>
      </c>
    </row>
    <row r="6870">
      <c r="A6870">
        <f>IFERROR(INDEX('Email Cleaner'!$B$2:$B$10001,MATCH(6869,'Email Cleaner'!$J$2:$J$10001,0)),"")</f>
        <v/>
      </c>
    </row>
    <row r="6871">
      <c r="A6871">
        <f>IFERROR(INDEX('Email Cleaner'!$B$2:$B$10001,MATCH(6870,'Email Cleaner'!$J$2:$J$10001,0)),"")</f>
        <v/>
      </c>
    </row>
    <row r="6872">
      <c r="A6872">
        <f>IFERROR(INDEX('Email Cleaner'!$B$2:$B$10001,MATCH(6871,'Email Cleaner'!$J$2:$J$10001,0)),"")</f>
        <v/>
      </c>
    </row>
    <row r="6873">
      <c r="A6873">
        <f>IFERROR(INDEX('Email Cleaner'!$B$2:$B$10001,MATCH(6872,'Email Cleaner'!$J$2:$J$10001,0)),"")</f>
        <v/>
      </c>
    </row>
    <row r="6874">
      <c r="A6874">
        <f>IFERROR(INDEX('Email Cleaner'!$B$2:$B$10001,MATCH(6873,'Email Cleaner'!$J$2:$J$10001,0)),"")</f>
        <v/>
      </c>
    </row>
    <row r="6875">
      <c r="A6875">
        <f>IFERROR(INDEX('Email Cleaner'!$B$2:$B$10001,MATCH(6874,'Email Cleaner'!$J$2:$J$10001,0)),"")</f>
        <v/>
      </c>
    </row>
    <row r="6876">
      <c r="A6876">
        <f>IFERROR(INDEX('Email Cleaner'!$B$2:$B$10001,MATCH(6875,'Email Cleaner'!$J$2:$J$10001,0)),"")</f>
        <v/>
      </c>
    </row>
    <row r="6877">
      <c r="A6877">
        <f>IFERROR(INDEX('Email Cleaner'!$B$2:$B$10001,MATCH(6876,'Email Cleaner'!$J$2:$J$10001,0)),"")</f>
        <v/>
      </c>
    </row>
    <row r="6878">
      <c r="A6878">
        <f>IFERROR(INDEX('Email Cleaner'!$B$2:$B$10001,MATCH(6877,'Email Cleaner'!$J$2:$J$10001,0)),"")</f>
        <v/>
      </c>
    </row>
    <row r="6879">
      <c r="A6879">
        <f>IFERROR(INDEX('Email Cleaner'!$B$2:$B$10001,MATCH(6878,'Email Cleaner'!$J$2:$J$10001,0)),"")</f>
        <v/>
      </c>
    </row>
    <row r="6880">
      <c r="A6880">
        <f>IFERROR(INDEX('Email Cleaner'!$B$2:$B$10001,MATCH(6879,'Email Cleaner'!$J$2:$J$10001,0)),"")</f>
        <v/>
      </c>
    </row>
    <row r="6881">
      <c r="A6881">
        <f>IFERROR(INDEX('Email Cleaner'!$B$2:$B$10001,MATCH(6880,'Email Cleaner'!$J$2:$J$10001,0)),"")</f>
        <v/>
      </c>
    </row>
    <row r="6882">
      <c r="A6882">
        <f>IFERROR(INDEX('Email Cleaner'!$B$2:$B$10001,MATCH(6881,'Email Cleaner'!$J$2:$J$10001,0)),"")</f>
        <v/>
      </c>
    </row>
    <row r="6883">
      <c r="A6883">
        <f>IFERROR(INDEX('Email Cleaner'!$B$2:$B$10001,MATCH(6882,'Email Cleaner'!$J$2:$J$10001,0)),"")</f>
        <v/>
      </c>
    </row>
    <row r="6884">
      <c r="A6884">
        <f>IFERROR(INDEX('Email Cleaner'!$B$2:$B$10001,MATCH(6883,'Email Cleaner'!$J$2:$J$10001,0)),"")</f>
        <v/>
      </c>
    </row>
    <row r="6885">
      <c r="A6885">
        <f>IFERROR(INDEX('Email Cleaner'!$B$2:$B$10001,MATCH(6884,'Email Cleaner'!$J$2:$J$10001,0)),"")</f>
        <v/>
      </c>
    </row>
    <row r="6886">
      <c r="A6886">
        <f>IFERROR(INDEX('Email Cleaner'!$B$2:$B$10001,MATCH(6885,'Email Cleaner'!$J$2:$J$10001,0)),"")</f>
        <v/>
      </c>
    </row>
    <row r="6887">
      <c r="A6887">
        <f>IFERROR(INDEX('Email Cleaner'!$B$2:$B$10001,MATCH(6886,'Email Cleaner'!$J$2:$J$10001,0)),"")</f>
        <v/>
      </c>
    </row>
    <row r="6888">
      <c r="A6888">
        <f>IFERROR(INDEX('Email Cleaner'!$B$2:$B$10001,MATCH(6887,'Email Cleaner'!$J$2:$J$10001,0)),"")</f>
        <v/>
      </c>
    </row>
    <row r="6889">
      <c r="A6889">
        <f>IFERROR(INDEX('Email Cleaner'!$B$2:$B$10001,MATCH(6888,'Email Cleaner'!$J$2:$J$10001,0)),"")</f>
        <v/>
      </c>
    </row>
    <row r="6890">
      <c r="A6890">
        <f>IFERROR(INDEX('Email Cleaner'!$B$2:$B$10001,MATCH(6889,'Email Cleaner'!$J$2:$J$10001,0)),"")</f>
        <v/>
      </c>
    </row>
    <row r="6891">
      <c r="A6891">
        <f>IFERROR(INDEX('Email Cleaner'!$B$2:$B$10001,MATCH(6890,'Email Cleaner'!$J$2:$J$10001,0)),"")</f>
        <v/>
      </c>
    </row>
    <row r="6892">
      <c r="A6892">
        <f>IFERROR(INDEX('Email Cleaner'!$B$2:$B$10001,MATCH(6891,'Email Cleaner'!$J$2:$J$10001,0)),"")</f>
        <v/>
      </c>
    </row>
    <row r="6893">
      <c r="A6893">
        <f>IFERROR(INDEX('Email Cleaner'!$B$2:$B$10001,MATCH(6892,'Email Cleaner'!$J$2:$J$10001,0)),"")</f>
        <v/>
      </c>
    </row>
    <row r="6894">
      <c r="A6894">
        <f>IFERROR(INDEX('Email Cleaner'!$B$2:$B$10001,MATCH(6893,'Email Cleaner'!$J$2:$J$10001,0)),"")</f>
        <v/>
      </c>
    </row>
    <row r="6895">
      <c r="A6895">
        <f>IFERROR(INDEX('Email Cleaner'!$B$2:$B$10001,MATCH(6894,'Email Cleaner'!$J$2:$J$10001,0)),"")</f>
        <v/>
      </c>
    </row>
    <row r="6896">
      <c r="A6896">
        <f>IFERROR(INDEX('Email Cleaner'!$B$2:$B$10001,MATCH(6895,'Email Cleaner'!$J$2:$J$10001,0)),"")</f>
        <v/>
      </c>
    </row>
    <row r="6897">
      <c r="A6897">
        <f>IFERROR(INDEX('Email Cleaner'!$B$2:$B$10001,MATCH(6896,'Email Cleaner'!$J$2:$J$10001,0)),"")</f>
        <v/>
      </c>
    </row>
    <row r="6898">
      <c r="A6898">
        <f>IFERROR(INDEX('Email Cleaner'!$B$2:$B$10001,MATCH(6897,'Email Cleaner'!$J$2:$J$10001,0)),"")</f>
        <v/>
      </c>
    </row>
    <row r="6899">
      <c r="A6899">
        <f>IFERROR(INDEX('Email Cleaner'!$B$2:$B$10001,MATCH(6898,'Email Cleaner'!$J$2:$J$10001,0)),"")</f>
        <v/>
      </c>
    </row>
    <row r="6900">
      <c r="A6900">
        <f>IFERROR(INDEX('Email Cleaner'!$B$2:$B$10001,MATCH(6899,'Email Cleaner'!$J$2:$J$10001,0)),"")</f>
        <v/>
      </c>
    </row>
    <row r="6901">
      <c r="A6901">
        <f>IFERROR(INDEX('Email Cleaner'!$B$2:$B$10001,MATCH(6900,'Email Cleaner'!$J$2:$J$10001,0)),"")</f>
        <v/>
      </c>
    </row>
    <row r="6902">
      <c r="A6902">
        <f>IFERROR(INDEX('Email Cleaner'!$B$2:$B$10001,MATCH(6901,'Email Cleaner'!$J$2:$J$10001,0)),"")</f>
        <v/>
      </c>
    </row>
    <row r="6903">
      <c r="A6903">
        <f>IFERROR(INDEX('Email Cleaner'!$B$2:$B$10001,MATCH(6902,'Email Cleaner'!$J$2:$J$10001,0)),"")</f>
        <v/>
      </c>
    </row>
    <row r="6904">
      <c r="A6904">
        <f>IFERROR(INDEX('Email Cleaner'!$B$2:$B$10001,MATCH(6903,'Email Cleaner'!$J$2:$J$10001,0)),"")</f>
        <v/>
      </c>
    </row>
    <row r="6905">
      <c r="A6905">
        <f>IFERROR(INDEX('Email Cleaner'!$B$2:$B$10001,MATCH(6904,'Email Cleaner'!$J$2:$J$10001,0)),"")</f>
        <v/>
      </c>
    </row>
    <row r="6906">
      <c r="A6906">
        <f>IFERROR(INDEX('Email Cleaner'!$B$2:$B$10001,MATCH(6905,'Email Cleaner'!$J$2:$J$10001,0)),"")</f>
        <v/>
      </c>
    </row>
    <row r="6907">
      <c r="A6907">
        <f>IFERROR(INDEX('Email Cleaner'!$B$2:$B$10001,MATCH(6906,'Email Cleaner'!$J$2:$J$10001,0)),"")</f>
        <v/>
      </c>
    </row>
    <row r="6908">
      <c r="A6908">
        <f>IFERROR(INDEX('Email Cleaner'!$B$2:$B$10001,MATCH(6907,'Email Cleaner'!$J$2:$J$10001,0)),"")</f>
        <v/>
      </c>
    </row>
    <row r="6909">
      <c r="A6909">
        <f>IFERROR(INDEX('Email Cleaner'!$B$2:$B$10001,MATCH(6908,'Email Cleaner'!$J$2:$J$10001,0)),"")</f>
        <v/>
      </c>
    </row>
    <row r="6910">
      <c r="A6910">
        <f>IFERROR(INDEX('Email Cleaner'!$B$2:$B$10001,MATCH(6909,'Email Cleaner'!$J$2:$J$10001,0)),"")</f>
        <v/>
      </c>
    </row>
    <row r="6911">
      <c r="A6911">
        <f>IFERROR(INDEX('Email Cleaner'!$B$2:$B$10001,MATCH(6910,'Email Cleaner'!$J$2:$J$10001,0)),"")</f>
        <v/>
      </c>
    </row>
    <row r="6912">
      <c r="A6912">
        <f>IFERROR(INDEX('Email Cleaner'!$B$2:$B$10001,MATCH(6911,'Email Cleaner'!$J$2:$J$10001,0)),"")</f>
        <v/>
      </c>
    </row>
    <row r="6913">
      <c r="A6913">
        <f>IFERROR(INDEX('Email Cleaner'!$B$2:$B$10001,MATCH(6912,'Email Cleaner'!$J$2:$J$10001,0)),"")</f>
        <v/>
      </c>
    </row>
    <row r="6914">
      <c r="A6914">
        <f>IFERROR(INDEX('Email Cleaner'!$B$2:$B$10001,MATCH(6913,'Email Cleaner'!$J$2:$J$10001,0)),"")</f>
        <v/>
      </c>
    </row>
    <row r="6915">
      <c r="A6915">
        <f>IFERROR(INDEX('Email Cleaner'!$B$2:$B$10001,MATCH(6914,'Email Cleaner'!$J$2:$J$10001,0)),"")</f>
        <v/>
      </c>
    </row>
    <row r="6916">
      <c r="A6916">
        <f>IFERROR(INDEX('Email Cleaner'!$B$2:$B$10001,MATCH(6915,'Email Cleaner'!$J$2:$J$10001,0)),"")</f>
        <v/>
      </c>
    </row>
    <row r="6917">
      <c r="A6917">
        <f>IFERROR(INDEX('Email Cleaner'!$B$2:$B$10001,MATCH(6916,'Email Cleaner'!$J$2:$J$10001,0)),"")</f>
        <v/>
      </c>
    </row>
    <row r="6918">
      <c r="A6918">
        <f>IFERROR(INDEX('Email Cleaner'!$B$2:$B$10001,MATCH(6917,'Email Cleaner'!$J$2:$J$10001,0)),"")</f>
        <v/>
      </c>
    </row>
    <row r="6919">
      <c r="A6919">
        <f>IFERROR(INDEX('Email Cleaner'!$B$2:$B$10001,MATCH(6918,'Email Cleaner'!$J$2:$J$10001,0)),"")</f>
        <v/>
      </c>
    </row>
    <row r="6920">
      <c r="A6920">
        <f>IFERROR(INDEX('Email Cleaner'!$B$2:$B$10001,MATCH(6919,'Email Cleaner'!$J$2:$J$10001,0)),"")</f>
        <v/>
      </c>
    </row>
    <row r="6921">
      <c r="A6921">
        <f>IFERROR(INDEX('Email Cleaner'!$B$2:$B$10001,MATCH(6920,'Email Cleaner'!$J$2:$J$10001,0)),"")</f>
        <v/>
      </c>
    </row>
    <row r="6922">
      <c r="A6922">
        <f>IFERROR(INDEX('Email Cleaner'!$B$2:$B$10001,MATCH(6921,'Email Cleaner'!$J$2:$J$10001,0)),"")</f>
        <v/>
      </c>
    </row>
    <row r="6923">
      <c r="A6923">
        <f>IFERROR(INDEX('Email Cleaner'!$B$2:$B$10001,MATCH(6922,'Email Cleaner'!$J$2:$J$10001,0)),"")</f>
        <v/>
      </c>
    </row>
    <row r="6924">
      <c r="A6924">
        <f>IFERROR(INDEX('Email Cleaner'!$B$2:$B$10001,MATCH(6923,'Email Cleaner'!$J$2:$J$10001,0)),"")</f>
        <v/>
      </c>
    </row>
    <row r="6925">
      <c r="A6925">
        <f>IFERROR(INDEX('Email Cleaner'!$B$2:$B$10001,MATCH(6924,'Email Cleaner'!$J$2:$J$10001,0)),"")</f>
        <v/>
      </c>
    </row>
    <row r="6926">
      <c r="A6926">
        <f>IFERROR(INDEX('Email Cleaner'!$B$2:$B$10001,MATCH(6925,'Email Cleaner'!$J$2:$J$10001,0)),"")</f>
        <v/>
      </c>
    </row>
    <row r="6927">
      <c r="A6927">
        <f>IFERROR(INDEX('Email Cleaner'!$B$2:$B$10001,MATCH(6926,'Email Cleaner'!$J$2:$J$10001,0)),"")</f>
        <v/>
      </c>
    </row>
    <row r="6928">
      <c r="A6928">
        <f>IFERROR(INDEX('Email Cleaner'!$B$2:$B$10001,MATCH(6927,'Email Cleaner'!$J$2:$J$10001,0)),"")</f>
        <v/>
      </c>
    </row>
    <row r="6929">
      <c r="A6929">
        <f>IFERROR(INDEX('Email Cleaner'!$B$2:$B$10001,MATCH(6928,'Email Cleaner'!$J$2:$J$10001,0)),"")</f>
        <v/>
      </c>
    </row>
    <row r="6930">
      <c r="A6930">
        <f>IFERROR(INDEX('Email Cleaner'!$B$2:$B$10001,MATCH(6929,'Email Cleaner'!$J$2:$J$10001,0)),"")</f>
        <v/>
      </c>
    </row>
    <row r="6931">
      <c r="A6931">
        <f>IFERROR(INDEX('Email Cleaner'!$B$2:$B$10001,MATCH(6930,'Email Cleaner'!$J$2:$J$10001,0)),"")</f>
        <v/>
      </c>
    </row>
    <row r="6932">
      <c r="A6932">
        <f>IFERROR(INDEX('Email Cleaner'!$B$2:$B$10001,MATCH(6931,'Email Cleaner'!$J$2:$J$10001,0)),"")</f>
        <v/>
      </c>
    </row>
    <row r="6933">
      <c r="A6933">
        <f>IFERROR(INDEX('Email Cleaner'!$B$2:$B$10001,MATCH(6932,'Email Cleaner'!$J$2:$J$10001,0)),"")</f>
        <v/>
      </c>
    </row>
    <row r="6934">
      <c r="A6934">
        <f>IFERROR(INDEX('Email Cleaner'!$B$2:$B$10001,MATCH(6933,'Email Cleaner'!$J$2:$J$10001,0)),"")</f>
        <v/>
      </c>
    </row>
    <row r="6935">
      <c r="A6935">
        <f>IFERROR(INDEX('Email Cleaner'!$B$2:$B$10001,MATCH(6934,'Email Cleaner'!$J$2:$J$10001,0)),"")</f>
        <v/>
      </c>
    </row>
    <row r="6936">
      <c r="A6936">
        <f>IFERROR(INDEX('Email Cleaner'!$B$2:$B$10001,MATCH(6935,'Email Cleaner'!$J$2:$J$10001,0)),"")</f>
        <v/>
      </c>
    </row>
    <row r="6937">
      <c r="A6937">
        <f>IFERROR(INDEX('Email Cleaner'!$B$2:$B$10001,MATCH(6936,'Email Cleaner'!$J$2:$J$10001,0)),"")</f>
        <v/>
      </c>
    </row>
    <row r="6938">
      <c r="A6938">
        <f>IFERROR(INDEX('Email Cleaner'!$B$2:$B$10001,MATCH(6937,'Email Cleaner'!$J$2:$J$10001,0)),"")</f>
        <v/>
      </c>
    </row>
    <row r="6939">
      <c r="A6939">
        <f>IFERROR(INDEX('Email Cleaner'!$B$2:$B$10001,MATCH(6938,'Email Cleaner'!$J$2:$J$10001,0)),"")</f>
        <v/>
      </c>
    </row>
    <row r="6940">
      <c r="A6940">
        <f>IFERROR(INDEX('Email Cleaner'!$B$2:$B$10001,MATCH(6939,'Email Cleaner'!$J$2:$J$10001,0)),"")</f>
        <v/>
      </c>
    </row>
    <row r="6941">
      <c r="A6941">
        <f>IFERROR(INDEX('Email Cleaner'!$B$2:$B$10001,MATCH(6940,'Email Cleaner'!$J$2:$J$10001,0)),"")</f>
        <v/>
      </c>
    </row>
    <row r="6942">
      <c r="A6942">
        <f>IFERROR(INDEX('Email Cleaner'!$B$2:$B$10001,MATCH(6941,'Email Cleaner'!$J$2:$J$10001,0)),"")</f>
        <v/>
      </c>
    </row>
    <row r="6943">
      <c r="A6943">
        <f>IFERROR(INDEX('Email Cleaner'!$B$2:$B$10001,MATCH(6942,'Email Cleaner'!$J$2:$J$10001,0)),"")</f>
        <v/>
      </c>
    </row>
    <row r="6944">
      <c r="A6944">
        <f>IFERROR(INDEX('Email Cleaner'!$B$2:$B$10001,MATCH(6943,'Email Cleaner'!$J$2:$J$10001,0)),"")</f>
        <v/>
      </c>
    </row>
    <row r="6945">
      <c r="A6945">
        <f>IFERROR(INDEX('Email Cleaner'!$B$2:$B$10001,MATCH(6944,'Email Cleaner'!$J$2:$J$10001,0)),"")</f>
        <v/>
      </c>
    </row>
    <row r="6946">
      <c r="A6946">
        <f>IFERROR(INDEX('Email Cleaner'!$B$2:$B$10001,MATCH(6945,'Email Cleaner'!$J$2:$J$10001,0)),"")</f>
        <v/>
      </c>
    </row>
    <row r="6947">
      <c r="A6947">
        <f>IFERROR(INDEX('Email Cleaner'!$B$2:$B$10001,MATCH(6946,'Email Cleaner'!$J$2:$J$10001,0)),"")</f>
        <v/>
      </c>
    </row>
    <row r="6948">
      <c r="A6948">
        <f>IFERROR(INDEX('Email Cleaner'!$B$2:$B$10001,MATCH(6947,'Email Cleaner'!$J$2:$J$10001,0)),"")</f>
        <v/>
      </c>
    </row>
    <row r="6949">
      <c r="A6949">
        <f>IFERROR(INDEX('Email Cleaner'!$B$2:$B$10001,MATCH(6948,'Email Cleaner'!$J$2:$J$10001,0)),"")</f>
        <v/>
      </c>
    </row>
    <row r="6950">
      <c r="A6950">
        <f>IFERROR(INDEX('Email Cleaner'!$B$2:$B$10001,MATCH(6949,'Email Cleaner'!$J$2:$J$10001,0)),"")</f>
        <v/>
      </c>
    </row>
    <row r="6951">
      <c r="A6951">
        <f>IFERROR(INDEX('Email Cleaner'!$B$2:$B$10001,MATCH(6950,'Email Cleaner'!$J$2:$J$10001,0)),"")</f>
        <v/>
      </c>
    </row>
    <row r="6952">
      <c r="A6952">
        <f>IFERROR(INDEX('Email Cleaner'!$B$2:$B$10001,MATCH(6951,'Email Cleaner'!$J$2:$J$10001,0)),"")</f>
        <v/>
      </c>
    </row>
    <row r="6953">
      <c r="A6953">
        <f>IFERROR(INDEX('Email Cleaner'!$B$2:$B$10001,MATCH(6952,'Email Cleaner'!$J$2:$J$10001,0)),"")</f>
        <v/>
      </c>
    </row>
    <row r="6954">
      <c r="A6954">
        <f>IFERROR(INDEX('Email Cleaner'!$B$2:$B$10001,MATCH(6953,'Email Cleaner'!$J$2:$J$10001,0)),"")</f>
        <v/>
      </c>
    </row>
    <row r="6955">
      <c r="A6955">
        <f>IFERROR(INDEX('Email Cleaner'!$B$2:$B$10001,MATCH(6954,'Email Cleaner'!$J$2:$J$10001,0)),"")</f>
        <v/>
      </c>
    </row>
    <row r="6956">
      <c r="A6956">
        <f>IFERROR(INDEX('Email Cleaner'!$B$2:$B$10001,MATCH(6955,'Email Cleaner'!$J$2:$J$10001,0)),"")</f>
        <v/>
      </c>
    </row>
    <row r="6957">
      <c r="A6957">
        <f>IFERROR(INDEX('Email Cleaner'!$B$2:$B$10001,MATCH(6956,'Email Cleaner'!$J$2:$J$10001,0)),"")</f>
        <v/>
      </c>
    </row>
    <row r="6958">
      <c r="A6958">
        <f>IFERROR(INDEX('Email Cleaner'!$B$2:$B$10001,MATCH(6957,'Email Cleaner'!$J$2:$J$10001,0)),"")</f>
        <v/>
      </c>
    </row>
    <row r="6959">
      <c r="A6959">
        <f>IFERROR(INDEX('Email Cleaner'!$B$2:$B$10001,MATCH(6958,'Email Cleaner'!$J$2:$J$10001,0)),"")</f>
        <v/>
      </c>
    </row>
    <row r="6960">
      <c r="A6960">
        <f>IFERROR(INDEX('Email Cleaner'!$B$2:$B$10001,MATCH(6959,'Email Cleaner'!$J$2:$J$10001,0)),"")</f>
        <v/>
      </c>
    </row>
    <row r="6961">
      <c r="A6961">
        <f>IFERROR(INDEX('Email Cleaner'!$B$2:$B$10001,MATCH(6960,'Email Cleaner'!$J$2:$J$10001,0)),"")</f>
        <v/>
      </c>
    </row>
    <row r="6962">
      <c r="A6962">
        <f>IFERROR(INDEX('Email Cleaner'!$B$2:$B$10001,MATCH(6961,'Email Cleaner'!$J$2:$J$10001,0)),"")</f>
        <v/>
      </c>
    </row>
    <row r="6963">
      <c r="A6963">
        <f>IFERROR(INDEX('Email Cleaner'!$B$2:$B$10001,MATCH(6962,'Email Cleaner'!$J$2:$J$10001,0)),"")</f>
        <v/>
      </c>
    </row>
    <row r="6964">
      <c r="A6964">
        <f>IFERROR(INDEX('Email Cleaner'!$B$2:$B$10001,MATCH(6963,'Email Cleaner'!$J$2:$J$10001,0)),"")</f>
        <v/>
      </c>
    </row>
    <row r="6965">
      <c r="A6965">
        <f>IFERROR(INDEX('Email Cleaner'!$B$2:$B$10001,MATCH(6964,'Email Cleaner'!$J$2:$J$10001,0)),"")</f>
        <v/>
      </c>
    </row>
    <row r="6966">
      <c r="A6966">
        <f>IFERROR(INDEX('Email Cleaner'!$B$2:$B$10001,MATCH(6965,'Email Cleaner'!$J$2:$J$10001,0)),"")</f>
        <v/>
      </c>
    </row>
    <row r="6967">
      <c r="A6967">
        <f>IFERROR(INDEX('Email Cleaner'!$B$2:$B$10001,MATCH(6966,'Email Cleaner'!$J$2:$J$10001,0)),"")</f>
        <v/>
      </c>
    </row>
    <row r="6968">
      <c r="A6968">
        <f>IFERROR(INDEX('Email Cleaner'!$B$2:$B$10001,MATCH(6967,'Email Cleaner'!$J$2:$J$10001,0)),"")</f>
        <v/>
      </c>
    </row>
    <row r="6969">
      <c r="A6969">
        <f>IFERROR(INDEX('Email Cleaner'!$B$2:$B$10001,MATCH(6968,'Email Cleaner'!$J$2:$J$10001,0)),"")</f>
        <v/>
      </c>
    </row>
    <row r="6970">
      <c r="A6970">
        <f>IFERROR(INDEX('Email Cleaner'!$B$2:$B$10001,MATCH(6969,'Email Cleaner'!$J$2:$J$10001,0)),"")</f>
        <v/>
      </c>
    </row>
    <row r="6971">
      <c r="A6971">
        <f>IFERROR(INDEX('Email Cleaner'!$B$2:$B$10001,MATCH(6970,'Email Cleaner'!$J$2:$J$10001,0)),"")</f>
        <v/>
      </c>
    </row>
    <row r="6972">
      <c r="A6972">
        <f>IFERROR(INDEX('Email Cleaner'!$B$2:$B$10001,MATCH(6971,'Email Cleaner'!$J$2:$J$10001,0)),"")</f>
        <v/>
      </c>
    </row>
    <row r="6973">
      <c r="A6973">
        <f>IFERROR(INDEX('Email Cleaner'!$B$2:$B$10001,MATCH(6972,'Email Cleaner'!$J$2:$J$10001,0)),"")</f>
        <v/>
      </c>
    </row>
    <row r="6974">
      <c r="A6974">
        <f>IFERROR(INDEX('Email Cleaner'!$B$2:$B$10001,MATCH(6973,'Email Cleaner'!$J$2:$J$10001,0)),"")</f>
        <v/>
      </c>
    </row>
    <row r="6975">
      <c r="A6975">
        <f>IFERROR(INDEX('Email Cleaner'!$B$2:$B$10001,MATCH(6974,'Email Cleaner'!$J$2:$J$10001,0)),"")</f>
        <v/>
      </c>
    </row>
    <row r="6976">
      <c r="A6976">
        <f>IFERROR(INDEX('Email Cleaner'!$B$2:$B$10001,MATCH(6975,'Email Cleaner'!$J$2:$J$10001,0)),"")</f>
        <v/>
      </c>
    </row>
    <row r="6977">
      <c r="A6977">
        <f>IFERROR(INDEX('Email Cleaner'!$B$2:$B$10001,MATCH(6976,'Email Cleaner'!$J$2:$J$10001,0)),"")</f>
        <v/>
      </c>
    </row>
    <row r="6978">
      <c r="A6978">
        <f>IFERROR(INDEX('Email Cleaner'!$B$2:$B$10001,MATCH(6977,'Email Cleaner'!$J$2:$J$10001,0)),"")</f>
        <v/>
      </c>
    </row>
    <row r="6979">
      <c r="A6979">
        <f>IFERROR(INDEX('Email Cleaner'!$B$2:$B$10001,MATCH(6978,'Email Cleaner'!$J$2:$J$10001,0)),"")</f>
        <v/>
      </c>
    </row>
    <row r="6980">
      <c r="A6980">
        <f>IFERROR(INDEX('Email Cleaner'!$B$2:$B$10001,MATCH(6979,'Email Cleaner'!$J$2:$J$10001,0)),"")</f>
        <v/>
      </c>
    </row>
    <row r="6981">
      <c r="A6981">
        <f>IFERROR(INDEX('Email Cleaner'!$B$2:$B$10001,MATCH(6980,'Email Cleaner'!$J$2:$J$10001,0)),"")</f>
        <v/>
      </c>
    </row>
    <row r="6982">
      <c r="A6982">
        <f>IFERROR(INDEX('Email Cleaner'!$B$2:$B$10001,MATCH(6981,'Email Cleaner'!$J$2:$J$10001,0)),"")</f>
        <v/>
      </c>
    </row>
    <row r="6983">
      <c r="A6983">
        <f>IFERROR(INDEX('Email Cleaner'!$B$2:$B$10001,MATCH(6982,'Email Cleaner'!$J$2:$J$10001,0)),"")</f>
        <v/>
      </c>
    </row>
    <row r="6984">
      <c r="A6984">
        <f>IFERROR(INDEX('Email Cleaner'!$B$2:$B$10001,MATCH(6983,'Email Cleaner'!$J$2:$J$10001,0)),"")</f>
        <v/>
      </c>
    </row>
    <row r="6985">
      <c r="A6985">
        <f>IFERROR(INDEX('Email Cleaner'!$B$2:$B$10001,MATCH(6984,'Email Cleaner'!$J$2:$J$10001,0)),"")</f>
        <v/>
      </c>
    </row>
    <row r="6986">
      <c r="A6986">
        <f>IFERROR(INDEX('Email Cleaner'!$B$2:$B$10001,MATCH(6985,'Email Cleaner'!$J$2:$J$10001,0)),"")</f>
        <v/>
      </c>
    </row>
    <row r="6987">
      <c r="A6987">
        <f>IFERROR(INDEX('Email Cleaner'!$B$2:$B$10001,MATCH(6986,'Email Cleaner'!$J$2:$J$10001,0)),"")</f>
        <v/>
      </c>
    </row>
    <row r="6988">
      <c r="A6988">
        <f>IFERROR(INDEX('Email Cleaner'!$B$2:$B$10001,MATCH(6987,'Email Cleaner'!$J$2:$J$10001,0)),"")</f>
        <v/>
      </c>
    </row>
    <row r="6989">
      <c r="A6989">
        <f>IFERROR(INDEX('Email Cleaner'!$B$2:$B$10001,MATCH(6988,'Email Cleaner'!$J$2:$J$10001,0)),"")</f>
        <v/>
      </c>
    </row>
    <row r="6990">
      <c r="A6990">
        <f>IFERROR(INDEX('Email Cleaner'!$B$2:$B$10001,MATCH(6989,'Email Cleaner'!$J$2:$J$10001,0)),"")</f>
        <v/>
      </c>
    </row>
    <row r="6991">
      <c r="A6991">
        <f>IFERROR(INDEX('Email Cleaner'!$B$2:$B$10001,MATCH(6990,'Email Cleaner'!$J$2:$J$10001,0)),"")</f>
        <v/>
      </c>
    </row>
    <row r="6992">
      <c r="A6992">
        <f>IFERROR(INDEX('Email Cleaner'!$B$2:$B$10001,MATCH(6991,'Email Cleaner'!$J$2:$J$10001,0)),"")</f>
        <v/>
      </c>
    </row>
    <row r="6993">
      <c r="A6993">
        <f>IFERROR(INDEX('Email Cleaner'!$B$2:$B$10001,MATCH(6992,'Email Cleaner'!$J$2:$J$10001,0)),"")</f>
        <v/>
      </c>
    </row>
    <row r="6994">
      <c r="A6994">
        <f>IFERROR(INDEX('Email Cleaner'!$B$2:$B$10001,MATCH(6993,'Email Cleaner'!$J$2:$J$10001,0)),"")</f>
        <v/>
      </c>
    </row>
    <row r="6995">
      <c r="A6995">
        <f>IFERROR(INDEX('Email Cleaner'!$B$2:$B$10001,MATCH(6994,'Email Cleaner'!$J$2:$J$10001,0)),"")</f>
        <v/>
      </c>
    </row>
    <row r="6996">
      <c r="A6996">
        <f>IFERROR(INDEX('Email Cleaner'!$B$2:$B$10001,MATCH(6995,'Email Cleaner'!$J$2:$J$10001,0)),"")</f>
        <v/>
      </c>
    </row>
    <row r="6997">
      <c r="A6997">
        <f>IFERROR(INDEX('Email Cleaner'!$B$2:$B$10001,MATCH(6996,'Email Cleaner'!$J$2:$J$10001,0)),"")</f>
        <v/>
      </c>
    </row>
    <row r="6998">
      <c r="A6998">
        <f>IFERROR(INDEX('Email Cleaner'!$B$2:$B$10001,MATCH(6997,'Email Cleaner'!$J$2:$J$10001,0)),"")</f>
        <v/>
      </c>
    </row>
    <row r="6999">
      <c r="A6999">
        <f>IFERROR(INDEX('Email Cleaner'!$B$2:$B$10001,MATCH(6998,'Email Cleaner'!$J$2:$J$10001,0)),"")</f>
        <v/>
      </c>
    </row>
    <row r="7000">
      <c r="A7000">
        <f>IFERROR(INDEX('Email Cleaner'!$B$2:$B$10001,MATCH(6999,'Email Cleaner'!$J$2:$J$10001,0)),"")</f>
        <v/>
      </c>
    </row>
    <row r="7001">
      <c r="A7001">
        <f>IFERROR(INDEX('Email Cleaner'!$B$2:$B$10001,MATCH(7000,'Email Cleaner'!$J$2:$J$10001,0)),"")</f>
        <v/>
      </c>
    </row>
    <row r="7002">
      <c r="A7002">
        <f>IFERROR(INDEX('Email Cleaner'!$B$2:$B$10001,MATCH(7001,'Email Cleaner'!$J$2:$J$10001,0)),"")</f>
        <v/>
      </c>
    </row>
    <row r="7003">
      <c r="A7003">
        <f>IFERROR(INDEX('Email Cleaner'!$B$2:$B$10001,MATCH(7002,'Email Cleaner'!$J$2:$J$10001,0)),"")</f>
        <v/>
      </c>
    </row>
    <row r="7004">
      <c r="A7004">
        <f>IFERROR(INDEX('Email Cleaner'!$B$2:$B$10001,MATCH(7003,'Email Cleaner'!$J$2:$J$10001,0)),"")</f>
        <v/>
      </c>
    </row>
    <row r="7005">
      <c r="A7005">
        <f>IFERROR(INDEX('Email Cleaner'!$B$2:$B$10001,MATCH(7004,'Email Cleaner'!$J$2:$J$10001,0)),"")</f>
        <v/>
      </c>
    </row>
    <row r="7006">
      <c r="A7006">
        <f>IFERROR(INDEX('Email Cleaner'!$B$2:$B$10001,MATCH(7005,'Email Cleaner'!$J$2:$J$10001,0)),"")</f>
        <v/>
      </c>
    </row>
    <row r="7007">
      <c r="A7007">
        <f>IFERROR(INDEX('Email Cleaner'!$B$2:$B$10001,MATCH(7006,'Email Cleaner'!$J$2:$J$10001,0)),"")</f>
        <v/>
      </c>
    </row>
    <row r="7008">
      <c r="A7008">
        <f>IFERROR(INDEX('Email Cleaner'!$B$2:$B$10001,MATCH(7007,'Email Cleaner'!$J$2:$J$10001,0)),"")</f>
        <v/>
      </c>
    </row>
    <row r="7009">
      <c r="A7009">
        <f>IFERROR(INDEX('Email Cleaner'!$B$2:$B$10001,MATCH(7008,'Email Cleaner'!$J$2:$J$10001,0)),"")</f>
        <v/>
      </c>
    </row>
    <row r="7010">
      <c r="A7010">
        <f>IFERROR(INDEX('Email Cleaner'!$B$2:$B$10001,MATCH(7009,'Email Cleaner'!$J$2:$J$10001,0)),"")</f>
        <v/>
      </c>
    </row>
    <row r="7011">
      <c r="A7011">
        <f>IFERROR(INDEX('Email Cleaner'!$B$2:$B$10001,MATCH(7010,'Email Cleaner'!$J$2:$J$10001,0)),"")</f>
        <v/>
      </c>
    </row>
    <row r="7012">
      <c r="A7012">
        <f>IFERROR(INDEX('Email Cleaner'!$B$2:$B$10001,MATCH(7011,'Email Cleaner'!$J$2:$J$10001,0)),"")</f>
        <v/>
      </c>
    </row>
    <row r="7013">
      <c r="A7013">
        <f>IFERROR(INDEX('Email Cleaner'!$B$2:$B$10001,MATCH(7012,'Email Cleaner'!$J$2:$J$10001,0)),"")</f>
        <v/>
      </c>
    </row>
    <row r="7014">
      <c r="A7014">
        <f>IFERROR(INDEX('Email Cleaner'!$B$2:$B$10001,MATCH(7013,'Email Cleaner'!$J$2:$J$10001,0)),"")</f>
        <v/>
      </c>
    </row>
    <row r="7015">
      <c r="A7015">
        <f>IFERROR(INDEX('Email Cleaner'!$B$2:$B$10001,MATCH(7014,'Email Cleaner'!$J$2:$J$10001,0)),"")</f>
        <v/>
      </c>
    </row>
    <row r="7016">
      <c r="A7016">
        <f>IFERROR(INDEX('Email Cleaner'!$B$2:$B$10001,MATCH(7015,'Email Cleaner'!$J$2:$J$10001,0)),"")</f>
        <v/>
      </c>
    </row>
    <row r="7017">
      <c r="A7017">
        <f>IFERROR(INDEX('Email Cleaner'!$B$2:$B$10001,MATCH(7016,'Email Cleaner'!$J$2:$J$10001,0)),"")</f>
        <v/>
      </c>
    </row>
    <row r="7018">
      <c r="A7018">
        <f>IFERROR(INDEX('Email Cleaner'!$B$2:$B$10001,MATCH(7017,'Email Cleaner'!$J$2:$J$10001,0)),"")</f>
        <v/>
      </c>
    </row>
    <row r="7019">
      <c r="A7019">
        <f>IFERROR(INDEX('Email Cleaner'!$B$2:$B$10001,MATCH(7018,'Email Cleaner'!$J$2:$J$10001,0)),"")</f>
        <v/>
      </c>
    </row>
    <row r="7020">
      <c r="A7020">
        <f>IFERROR(INDEX('Email Cleaner'!$B$2:$B$10001,MATCH(7019,'Email Cleaner'!$J$2:$J$10001,0)),"")</f>
        <v/>
      </c>
    </row>
    <row r="7021">
      <c r="A7021">
        <f>IFERROR(INDEX('Email Cleaner'!$B$2:$B$10001,MATCH(7020,'Email Cleaner'!$J$2:$J$10001,0)),"")</f>
        <v/>
      </c>
    </row>
    <row r="7022">
      <c r="A7022">
        <f>IFERROR(INDEX('Email Cleaner'!$B$2:$B$10001,MATCH(7021,'Email Cleaner'!$J$2:$J$10001,0)),"")</f>
        <v/>
      </c>
    </row>
    <row r="7023">
      <c r="A7023">
        <f>IFERROR(INDEX('Email Cleaner'!$B$2:$B$10001,MATCH(7022,'Email Cleaner'!$J$2:$J$10001,0)),"")</f>
        <v/>
      </c>
    </row>
    <row r="7024">
      <c r="A7024">
        <f>IFERROR(INDEX('Email Cleaner'!$B$2:$B$10001,MATCH(7023,'Email Cleaner'!$J$2:$J$10001,0)),"")</f>
        <v/>
      </c>
    </row>
    <row r="7025">
      <c r="A7025">
        <f>IFERROR(INDEX('Email Cleaner'!$B$2:$B$10001,MATCH(7024,'Email Cleaner'!$J$2:$J$10001,0)),"")</f>
        <v/>
      </c>
    </row>
    <row r="7026">
      <c r="A7026">
        <f>IFERROR(INDEX('Email Cleaner'!$B$2:$B$10001,MATCH(7025,'Email Cleaner'!$J$2:$J$10001,0)),"")</f>
        <v/>
      </c>
    </row>
    <row r="7027">
      <c r="A7027">
        <f>IFERROR(INDEX('Email Cleaner'!$B$2:$B$10001,MATCH(7026,'Email Cleaner'!$J$2:$J$10001,0)),"")</f>
        <v/>
      </c>
    </row>
    <row r="7028">
      <c r="A7028">
        <f>IFERROR(INDEX('Email Cleaner'!$B$2:$B$10001,MATCH(7027,'Email Cleaner'!$J$2:$J$10001,0)),"")</f>
        <v/>
      </c>
    </row>
    <row r="7029">
      <c r="A7029">
        <f>IFERROR(INDEX('Email Cleaner'!$B$2:$B$10001,MATCH(7028,'Email Cleaner'!$J$2:$J$10001,0)),"")</f>
        <v/>
      </c>
    </row>
    <row r="7030">
      <c r="A7030">
        <f>IFERROR(INDEX('Email Cleaner'!$B$2:$B$10001,MATCH(7029,'Email Cleaner'!$J$2:$J$10001,0)),"")</f>
        <v/>
      </c>
    </row>
    <row r="7031">
      <c r="A7031">
        <f>IFERROR(INDEX('Email Cleaner'!$B$2:$B$10001,MATCH(7030,'Email Cleaner'!$J$2:$J$10001,0)),"")</f>
        <v/>
      </c>
    </row>
    <row r="7032">
      <c r="A7032">
        <f>IFERROR(INDEX('Email Cleaner'!$B$2:$B$10001,MATCH(7031,'Email Cleaner'!$J$2:$J$10001,0)),"")</f>
        <v/>
      </c>
    </row>
    <row r="7033">
      <c r="A7033">
        <f>IFERROR(INDEX('Email Cleaner'!$B$2:$B$10001,MATCH(7032,'Email Cleaner'!$J$2:$J$10001,0)),"")</f>
        <v/>
      </c>
    </row>
    <row r="7034">
      <c r="A7034">
        <f>IFERROR(INDEX('Email Cleaner'!$B$2:$B$10001,MATCH(7033,'Email Cleaner'!$J$2:$J$10001,0)),"")</f>
        <v/>
      </c>
    </row>
    <row r="7035">
      <c r="A7035">
        <f>IFERROR(INDEX('Email Cleaner'!$B$2:$B$10001,MATCH(7034,'Email Cleaner'!$J$2:$J$10001,0)),"")</f>
        <v/>
      </c>
    </row>
    <row r="7036">
      <c r="A7036">
        <f>IFERROR(INDEX('Email Cleaner'!$B$2:$B$10001,MATCH(7035,'Email Cleaner'!$J$2:$J$10001,0)),"")</f>
        <v/>
      </c>
    </row>
    <row r="7037">
      <c r="A7037">
        <f>IFERROR(INDEX('Email Cleaner'!$B$2:$B$10001,MATCH(7036,'Email Cleaner'!$J$2:$J$10001,0)),"")</f>
        <v/>
      </c>
    </row>
    <row r="7038">
      <c r="A7038">
        <f>IFERROR(INDEX('Email Cleaner'!$B$2:$B$10001,MATCH(7037,'Email Cleaner'!$J$2:$J$10001,0)),"")</f>
        <v/>
      </c>
    </row>
    <row r="7039">
      <c r="A7039">
        <f>IFERROR(INDEX('Email Cleaner'!$B$2:$B$10001,MATCH(7038,'Email Cleaner'!$J$2:$J$10001,0)),"")</f>
        <v/>
      </c>
    </row>
    <row r="7040">
      <c r="A7040">
        <f>IFERROR(INDEX('Email Cleaner'!$B$2:$B$10001,MATCH(7039,'Email Cleaner'!$J$2:$J$10001,0)),"")</f>
        <v/>
      </c>
    </row>
    <row r="7041">
      <c r="A7041">
        <f>IFERROR(INDEX('Email Cleaner'!$B$2:$B$10001,MATCH(7040,'Email Cleaner'!$J$2:$J$10001,0)),"")</f>
        <v/>
      </c>
    </row>
    <row r="7042">
      <c r="A7042">
        <f>IFERROR(INDEX('Email Cleaner'!$B$2:$B$10001,MATCH(7041,'Email Cleaner'!$J$2:$J$10001,0)),"")</f>
        <v/>
      </c>
    </row>
    <row r="7043">
      <c r="A7043">
        <f>IFERROR(INDEX('Email Cleaner'!$B$2:$B$10001,MATCH(7042,'Email Cleaner'!$J$2:$J$10001,0)),"")</f>
        <v/>
      </c>
    </row>
    <row r="7044">
      <c r="A7044">
        <f>IFERROR(INDEX('Email Cleaner'!$B$2:$B$10001,MATCH(7043,'Email Cleaner'!$J$2:$J$10001,0)),"")</f>
        <v/>
      </c>
    </row>
    <row r="7045">
      <c r="A7045">
        <f>IFERROR(INDEX('Email Cleaner'!$B$2:$B$10001,MATCH(7044,'Email Cleaner'!$J$2:$J$10001,0)),"")</f>
        <v/>
      </c>
    </row>
    <row r="7046">
      <c r="A7046">
        <f>IFERROR(INDEX('Email Cleaner'!$B$2:$B$10001,MATCH(7045,'Email Cleaner'!$J$2:$J$10001,0)),"")</f>
        <v/>
      </c>
    </row>
    <row r="7047">
      <c r="A7047">
        <f>IFERROR(INDEX('Email Cleaner'!$B$2:$B$10001,MATCH(7046,'Email Cleaner'!$J$2:$J$10001,0)),"")</f>
        <v/>
      </c>
    </row>
    <row r="7048">
      <c r="A7048">
        <f>IFERROR(INDEX('Email Cleaner'!$B$2:$B$10001,MATCH(7047,'Email Cleaner'!$J$2:$J$10001,0)),"")</f>
        <v/>
      </c>
    </row>
    <row r="7049">
      <c r="A7049">
        <f>IFERROR(INDEX('Email Cleaner'!$B$2:$B$10001,MATCH(7048,'Email Cleaner'!$J$2:$J$10001,0)),"")</f>
        <v/>
      </c>
    </row>
    <row r="7050">
      <c r="A7050">
        <f>IFERROR(INDEX('Email Cleaner'!$B$2:$B$10001,MATCH(7049,'Email Cleaner'!$J$2:$J$10001,0)),"")</f>
        <v/>
      </c>
    </row>
    <row r="7051">
      <c r="A7051">
        <f>IFERROR(INDEX('Email Cleaner'!$B$2:$B$10001,MATCH(7050,'Email Cleaner'!$J$2:$J$10001,0)),"")</f>
        <v/>
      </c>
    </row>
    <row r="7052">
      <c r="A7052">
        <f>IFERROR(INDEX('Email Cleaner'!$B$2:$B$10001,MATCH(7051,'Email Cleaner'!$J$2:$J$10001,0)),"")</f>
        <v/>
      </c>
    </row>
    <row r="7053">
      <c r="A7053">
        <f>IFERROR(INDEX('Email Cleaner'!$B$2:$B$10001,MATCH(7052,'Email Cleaner'!$J$2:$J$10001,0)),"")</f>
        <v/>
      </c>
    </row>
    <row r="7054">
      <c r="A7054">
        <f>IFERROR(INDEX('Email Cleaner'!$B$2:$B$10001,MATCH(7053,'Email Cleaner'!$J$2:$J$10001,0)),"")</f>
        <v/>
      </c>
    </row>
    <row r="7055">
      <c r="A7055">
        <f>IFERROR(INDEX('Email Cleaner'!$B$2:$B$10001,MATCH(7054,'Email Cleaner'!$J$2:$J$10001,0)),"")</f>
        <v/>
      </c>
    </row>
    <row r="7056">
      <c r="A7056">
        <f>IFERROR(INDEX('Email Cleaner'!$B$2:$B$10001,MATCH(7055,'Email Cleaner'!$J$2:$J$10001,0)),"")</f>
        <v/>
      </c>
    </row>
    <row r="7057">
      <c r="A7057">
        <f>IFERROR(INDEX('Email Cleaner'!$B$2:$B$10001,MATCH(7056,'Email Cleaner'!$J$2:$J$10001,0)),"")</f>
        <v/>
      </c>
    </row>
    <row r="7058">
      <c r="A7058">
        <f>IFERROR(INDEX('Email Cleaner'!$B$2:$B$10001,MATCH(7057,'Email Cleaner'!$J$2:$J$10001,0)),"")</f>
        <v/>
      </c>
    </row>
    <row r="7059">
      <c r="A7059">
        <f>IFERROR(INDEX('Email Cleaner'!$B$2:$B$10001,MATCH(7058,'Email Cleaner'!$J$2:$J$10001,0)),"")</f>
        <v/>
      </c>
    </row>
    <row r="7060">
      <c r="A7060">
        <f>IFERROR(INDEX('Email Cleaner'!$B$2:$B$10001,MATCH(7059,'Email Cleaner'!$J$2:$J$10001,0)),"")</f>
        <v/>
      </c>
    </row>
    <row r="7061">
      <c r="A7061">
        <f>IFERROR(INDEX('Email Cleaner'!$B$2:$B$10001,MATCH(7060,'Email Cleaner'!$J$2:$J$10001,0)),"")</f>
        <v/>
      </c>
    </row>
    <row r="7062">
      <c r="A7062">
        <f>IFERROR(INDEX('Email Cleaner'!$B$2:$B$10001,MATCH(7061,'Email Cleaner'!$J$2:$J$10001,0)),"")</f>
        <v/>
      </c>
    </row>
    <row r="7063">
      <c r="A7063">
        <f>IFERROR(INDEX('Email Cleaner'!$B$2:$B$10001,MATCH(7062,'Email Cleaner'!$J$2:$J$10001,0)),"")</f>
        <v/>
      </c>
    </row>
    <row r="7064">
      <c r="A7064">
        <f>IFERROR(INDEX('Email Cleaner'!$B$2:$B$10001,MATCH(7063,'Email Cleaner'!$J$2:$J$10001,0)),"")</f>
        <v/>
      </c>
    </row>
    <row r="7065">
      <c r="A7065">
        <f>IFERROR(INDEX('Email Cleaner'!$B$2:$B$10001,MATCH(7064,'Email Cleaner'!$J$2:$J$10001,0)),"")</f>
        <v/>
      </c>
    </row>
    <row r="7066">
      <c r="A7066">
        <f>IFERROR(INDEX('Email Cleaner'!$B$2:$B$10001,MATCH(7065,'Email Cleaner'!$J$2:$J$10001,0)),"")</f>
        <v/>
      </c>
    </row>
    <row r="7067">
      <c r="A7067">
        <f>IFERROR(INDEX('Email Cleaner'!$B$2:$B$10001,MATCH(7066,'Email Cleaner'!$J$2:$J$10001,0)),"")</f>
        <v/>
      </c>
    </row>
    <row r="7068">
      <c r="A7068">
        <f>IFERROR(INDEX('Email Cleaner'!$B$2:$B$10001,MATCH(7067,'Email Cleaner'!$J$2:$J$10001,0)),"")</f>
        <v/>
      </c>
    </row>
    <row r="7069">
      <c r="A7069">
        <f>IFERROR(INDEX('Email Cleaner'!$B$2:$B$10001,MATCH(7068,'Email Cleaner'!$J$2:$J$10001,0)),"")</f>
        <v/>
      </c>
    </row>
    <row r="7070">
      <c r="A7070">
        <f>IFERROR(INDEX('Email Cleaner'!$B$2:$B$10001,MATCH(7069,'Email Cleaner'!$J$2:$J$10001,0)),"")</f>
        <v/>
      </c>
    </row>
    <row r="7071">
      <c r="A7071">
        <f>IFERROR(INDEX('Email Cleaner'!$B$2:$B$10001,MATCH(7070,'Email Cleaner'!$J$2:$J$10001,0)),"")</f>
        <v/>
      </c>
    </row>
    <row r="7072">
      <c r="A7072">
        <f>IFERROR(INDEX('Email Cleaner'!$B$2:$B$10001,MATCH(7071,'Email Cleaner'!$J$2:$J$10001,0)),"")</f>
        <v/>
      </c>
    </row>
    <row r="7073">
      <c r="A7073">
        <f>IFERROR(INDEX('Email Cleaner'!$B$2:$B$10001,MATCH(7072,'Email Cleaner'!$J$2:$J$10001,0)),"")</f>
        <v/>
      </c>
    </row>
    <row r="7074">
      <c r="A7074">
        <f>IFERROR(INDEX('Email Cleaner'!$B$2:$B$10001,MATCH(7073,'Email Cleaner'!$J$2:$J$10001,0)),"")</f>
        <v/>
      </c>
    </row>
    <row r="7075">
      <c r="A7075">
        <f>IFERROR(INDEX('Email Cleaner'!$B$2:$B$10001,MATCH(7074,'Email Cleaner'!$J$2:$J$10001,0)),"")</f>
        <v/>
      </c>
    </row>
    <row r="7076">
      <c r="A7076">
        <f>IFERROR(INDEX('Email Cleaner'!$B$2:$B$10001,MATCH(7075,'Email Cleaner'!$J$2:$J$10001,0)),"")</f>
        <v/>
      </c>
    </row>
    <row r="7077">
      <c r="A7077">
        <f>IFERROR(INDEX('Email Cleaner'!$B$2:$B$10001,MATCH(7076,'Email Cleaner'!$J$2:$J$10001,0)),"")</f>
        <v/>
      </c>
    </row>
    <row r="7078">
      <c r="A7078">
        <f>IFERROR(INDEX('Email Cleaner'!$B$2:$B$10001,MATCH(7077,'Email Cleaner'!$J$2:$J$10001,0)),"")</f>
        <v/>
      </c>
    </row>
    <row r="7079">
      <c r="A7079">
        <f>IFERROR(INDEX('Email Cleaner'!$B$2:$B$10001,MATCH(7078,'Email Cleaner'!$J$2:$J$10001,0)),"")</f>
        <v/>
      </c>
    </row>
    <row r="7080">
      <c r="A7080">
        <f>IFERROR(INDEX('Email Cleaner'!$B$2:$B$10001,MATCH(7079,'Email Cleaner'!$J$2:$J$10001,0)),"")</f>
        <v/>
      </c>
    </row>
    <row r="7081">
      <c r="A7081">
        <f>IFERROR(INDEX('Email Cleaner'!$B$2:$B$10001,MATCH(7080,'Email Cleaner'!$J$2:$J$10001,0)),"")</f>
        <v/>
      </c>
    </row>
    <row r="7082">
      <c r="A7082">
        <f>IFERROR(INDEX('Email Cleaner'!$B$2:$B$10001,MATCH(7081,'Email Cleaner'!$J$2:$J$10001,0)),"")</f>
        <v/>
      </c>
    </row>
    <row r="7083">
      <c r="A7083">
        <f>IFERROR(INDEX('Email Cleaner'!$B$2:$B$10001,MATCH(7082,'Email Cleaner'!$J$2:$J$10001,0)),"")</f>
        <v/>
      </c>
    </row>
    <row r="7084">
      <c r="A7084">
        <f>IFERROR(INDEX('Email Cleaner'!$B$2:$B$10001,MATCH(7083,'Email Cleaner'!$J$2:$J$10001,0)),"")</f>
        <v/>
      </c>
    </row>
    <row r="7085">
      <c r="A7085">
        <f>IFERROR(INDEX('Email Cleaner'!$B$2:$B$10001,MATCH(7084,'Email Cleaner'!$J$2:$J$10001,0)),"")</f>
        <v/>
      </c>
    </row>
    <row r="7086">
      <c r="A7086">
        <f>IFERROR(INDEX('Email Cleaner'!$B$2:$B$10001,MATCH(7085,'Email Cleaner'!$J$2:$J$10001,0)),"")</f>
        <v/>
      </c>
    </row>
    <row r="7087">
      <c r="A7087">
        <f>IFERROR(INDEX('Email Cleaner'!$B$2:$B$10001,MATCH(7086,'Email Cleaner'!$J$2:$J$10001,0)),"")</f>
        <v/>
      </c>
    </row>
    <row r="7088">
      <c r="A7088">
        <f>IFERROR(INDEX('Email Cleaner'!$B$2:$B$10001,MATCH(7087,'Email Cleaner'!$J$2:$J$10001,0)),"")</f>
        <v/>
      </c>
    </row>
    <row r="7089">
      <c r="A7089">
        <f>IFERROR(INDEX('Email Cleaner'!$B$2:$B$10001,MATCH(7088,'Email Cleaner'!$J$2:$J$10001,0)),"")</f>
        <v/>
      </c>
    </row>
    <row r="7090">
      <c r="A7090">
        <f>IFERROR(INDEX('Email Cleaner'!$B$2:$B$10001,MATCH(7089,'Email Cleaner'!$J$2:$J$10001,0)),"")</f>
        <v/>
      </c>
    </row>
    <row r="7091">
      <c r="A7091">
        <f>IFERROR(INDEX('Email Cleaner'!$B$2:$B$10001,MATCH(7090,'Email Cleaner'!$J$2:$J$10001,0)),"")</f>
        <v/>
      </c>
    </row>
    <row r="7092">
      <c r="A7092">
        <f>IFERROR(INDEX('Email Cleaner'!$B$2:$B$10001,MATCH(7091,'Email Cleaner'!$J$2:$J$10001,0)),"")</f>
        <v/>
      </c>
    </row>
    <row r="7093">
      <c r="A7093">
        <f>IFERROR(INDEX('Email Cleaner'!$B$2:$B$10001,MATCH(7092,'Email Cleaner'!$J$2:$J$10001,0)),"")</f>
        <v/>
      </c>
    </row>
    <row r="7094">
      <c r="A7094">
        <f>IFERROR(INDEX('Email Cleaner'!$B$2:$B$10001,MATCH(7093,'Email Cleaner'!$J$2:$J$10001,0)),"")</f>
        <v/>
      </c>
    </row>
    <row r="7095">
      <c r="A7095">
        <f>IFERROR(INDEX('Email Cleaner'!$B$2:$B$10001,MATCH(7094,'Email Cleaner'!$J$2:$J$10001,0)),"")</f>
        <v/>
      </c>
    </row>
    <row r="7096">
      <c r="A7096">
        <f>IFERROR(INDEX('Email Cleaner'!$B$2:$B$10001,MATCH(7095,'Email Cleaner'!$J$2:$J$10001,0)),"")</f>
        <v/>
      </c>
    </row>
    <row r="7097">
      <c r="A7097">
        <f>IFERROR(INDEX('Email Cleaner'!$B$2:$B$10001,MATCH(7096,'Email Cleaner'!$J$2:$J$10001,0)),"")</f>
        <v/>
      </c>
    </row>
    <row r="7098">
      <c r="A7098">
        <f>IFERROR(INDEX('Email Cleaner'!$B$2:$B$10001,MATCH(7097,'Email Cleaner'!$J$2:$J$10001,0)),"")</f>
        <v/>
      </c>
    </row>
    <row r="7099">
      <c r="A7099">
        <f>IFERROR(INDEX('Email Cleaner'!$B$2:$B$10001,MATCH(7098,'Email Cleaner'!$J$2:$J$10001,0)),"")</f>
        <v/>
      </c>
    </row>
    <row r="7100">
      <c r="A7100">
        <f>IFERROR(INDEX('Email Cleaner'!$B$2:$B$10001,MATCH(7099,'Email Cleaner'!$J$2:$J$10001,0)),"")</f>
        <v/>
      </c>
    </row>
    <row r="7101">
      <c r="A7101">
        <f>IFERROR(INDEX('Email Cleaner'!$B$2:$B$10001,MATCH(7100,'Email Cleaner'!$J$2:$J$10001,0)),"")</f>
        <v/>
      </c>
    </row>
    <row r="7102">
      <c r="A7102">
        <f>IFERROR(INDEX('Email Cleaner'!$B$2:$B$10001,MATCH(7101,'Email Cleaner'!$J$2:$J$10001,0)),"")</f>
        <v/>
      </c>
    </row>
    <row r="7103">
      <c r="A7103">
        <f>IFERROR(INDEX('Email Cleaner'!$B$2:$B$10001,MATCH(7102,'Email Cleaner'!$J$2:$J$10001,0)),"")</f>
        <v/>
      </c>
    </row>
    <row r="7104">
      <c r="A7104">
        <f>IFERROR(INDEX('Email Cleaner'!$B$2:$B$10001,MATCH(7103,'Email Cleaner'!$J$2:$J$10001,0)),"")</f>
        <v/>
      </c>
    </row>
    <row r="7105">
      <c r="A7105">
        <f>IFERROR(INDEX('Email Cleaner'!$B$2:$B$10001,MATCH(7104,'Email Cleaner'!$J$2:$J$10001,0)),"")</f>
        <v/>
      </c>
    </row>
    <row r="7106">
      <c r="A7106">
        <f>IFERROR(INDEX('Email Cleaner'!$B$2:$B$10001,MATCH(7105,'Email Cleaner'!$J$2:$J$10001,0)),"")</f>
        <v/>
      </c>
    </row>
    <row r="7107">
      <c r="A7107">
        <f>IFERROR(INDEX('Email Cleaner'!$B$2:$B$10001,MATCH(7106,'Email Cleaner'!$J$2:$J$10001,0)),"")</f>
        <v/>
      </c>
    </row>
    <row r="7108">
      <c r="A7108">
        <f>IFERROR(INDEX('Email Cleaner'!$B$2:$B$10001,MATCH(7107,'Email Cleaner'!$J$2:$J$10001,0)),"")</f>
        <v/>
      </c>
    </row>
    <row r="7109">
      <c r="A7109">
        <f>IFERROR(INDEX('Email Cleaner'!$B$2:$B$10001,MATCH(7108,'Email Cleaner'!$J$2:$J$10001,0)),"")</f>
        <v/>
      </c>
    </row>
    <row r="7110">
      <c r="A7110">
        <f>IFERROR(INDEX('Email Cleaner'!$B$2:$B$10001,MATCH(7109,'Email Cleaner'!$J$2:$J$10001,0)),"")</f>
        <v/>
      </c>
    </row>
    <row r="7111">
      <c r="A7111">
        <f>IFERROR(INDEX('Email Cleaner'!$B$2:$B$10001,MATCH(7110,'Email Cleaner'!$J$2:$J$10001,0)),"")</f>
        <v/>
      </c>
    </row>
    <row r="7112">
      <c r="A7112">
        <f>IFERROR(INDEX('Email Cleaner'!$B$2:$B$10001,MATCH(7111,'Email Cleaner'!$J$2:$J$10001,0)),"")</f>
        <v/>
      </c>
    </row>
    <row r="7113">
      <c r="A7113">
        <f>IFERROR(INDEX('Email Cleaner'!$B$2:$B$10001,MATCH(7112,'Email Cleaner'!$J$2:$J$10001,0)),"")</f>
        <v/>
      </c>
    </row>
    <row r="7114">
      <c r="A7114">
        <f>IFERROR(INDEX('Email Cleaner'!$B$2:$B$10001,MATCH(7113,'Email Cleaner'!$J$2:$J$10001,0)),"")</f>
        <v/>
      </c>
    </row>
    <row r="7115">
      <c r="A7115">
        <f>IFERROR(INDEX('Email Cleaner'!$B$2:$B$10001,MATCH(7114,'Email Cleaner'!$J$2:$J$10001,0)),"")</f>
        <v/>
      </c>
    </row>
    <row r="7116">
      <c r="A7116">
        <f>IFERROR(INDEX('Email Cleaner'!$B$2:$B$10001,MATCH(7115,'Email Cleaner'!$J$2:$J$10001,0)),"")</f>
        <v/>
      </c>
    </row>
    <row r="7117">
      <c r="A7117">
        <f>IFERROR(INDEX('Email Cleaner'!$B$2:$B$10001,MATCH(7116,'Email Cleaner'!$J$2:$J$10001,0)),"")</f>
        <v/>
      </c>
    </row>
    <row r="7118">
      <c r="A7118">
        <f>IFERROR(INDEX('Email Cleaner'!$B$2:$B$10001,MATCH(7117,'Email Cleaner'!$J$2:$J$10001,0)),"")</f>
        <v/>
      </c>
    </row>
    <row r="7119">
      <c r="A7119">
        <f>IFERROR(INDEX('Email Cleaner'!$B$2:$B$10001,MATCH(7118,'Email Cleaner'!$J$2:$J$10001,0)),"")</f>
        <v/>
      </c>
    </row>
    <row r="7120">
      <c r="A7120">
        <f>IFERROR(INDEX('Email Cleaner'!$B$2:$B$10001,MATCH(7119,'Email Cleaner'!$J$2:$J$10001,0)),"")</f>
        <v/>
      </c>
    </row>
    <row r="7121">
      <c r="A7121">
        <f>IFERROR(INDEX('Email Cleaner'!$B$2:$B$10001,MATCH(7120,'Email Cleaner'!$J$2:$J$10001,0)),"")</f>
        <v/>
      </c>
    </row>
    <row r="7122">
      <c r="A7122">
        <f>IFERROR(INDEX('Email Cleaner'!$B$2:$B$10001,MATCH(7121,'Email Cleaner'!$J$2:$J$10001,0)),"")</f>
        <v/>
      </c>
    </row>
    <row r="7123">
      <c r="A7123">
        <f>IFERROR(INDEX('Email Cleaner'!$B$2:$B$10001,MATCH(7122,'Email Cleaner'!$J$2:$J$10001,0)),"")</f>
        <v/>
      </c>
    </row>
    <row r="7124">
      <c r="A7124">
        <f>IFERROR(INDEX('Email Cleaner'!$B$2:$B$10001,MATCH(7123,'Email Cleaner'!$J$2:$J$10001,0)),"")</f>
        <v/>
      </c>
    </row>
    <row r="7125">
      <c r="A7125">
        <f>IFERROR(INDEX('Email Cleaner'!$B$2:$B$10001,MATCH(7124,'Email Cleaner'!$J$2:$J$10001,0)),"")</f>
        <v/>
      </c>
    </row>
    <row r="7126">
      <c r="A7126">
        <f>IFERROR(INDEX('Email Cleaner'!$B$2:$B$10001,MATCH(7125,'Email Cleaner'!$J$2:$J$10001,0)),"")</f>
        <v/>
      </c>
    </row>
    <row r="7127">
      <c r="A7127">
        <f>IFERROR(INDEX('Email Cleaner'!$B$2:$B$10001,MATCH(7126,'Email Cleaner'!$J$2:$J$10001,0)),"")</f>
        <v/>
      </c>
    </row>
    <row r="7128">
      <c r="A7128">
        <f>IFERROR(INDEX('Email Cleaner'!$B$2:$B$10001,MATCH(7127,'Email Cleaner'!$J$2:$J$10001,0)),"")</f>
        <v/>
      </c>
    </row>
    <row r="7129">
      <c r="A7129">
        <f>IFERROR(INDEX('Email Cleaner'!$B$2:$B$10001,MATCH(7128,'Email Cleaner'!$J$2:$J$10001,0)),"")</f>
        <v/>
      </c>
    </row>
    <row r="7130">
      <c r="A7130">
        <f>IFERROR(INDEX('Email Cleaner'!$B$2:$B$10001,MATCH(7129,'Email Cleaner'!$J$2:$J$10001,0)),"")</f>
        <v/>
      </c>
    </row>
    <row r="7131">
      <c r="A7131">
        <f>IFERROR(INDEX('Email Cleaner'!$B$2:$B$10001,MATCH(7130,'Email Cleaner'!$J$2:$J$10001,0)),"")</f>
        <v/>
      </c>
    </row>
    <row r="7132">
      <c r="A7132">
        <f>IFERROR(INDEX('Email Cleaner'!$B$2:$B$10001,MATCH(7131,'Email Cleaner'!$J$2:$J$10001,0)),"")</f>
        <v/>
      </c>
    </row>
    <row r="7133">
      <c r="A7133">
        <f>IFERROR(INDEX('Email Cleaner'!$B$2:$B$10001,MATCH(7132,'Email Cleaner'!$J$2:$J$10001,0)),"")</f>
        <v/>
      </c>
    </row>
    <row r="7134">
      <c r="A7134">
        <f>IFERROR(INDEX('Email Cleaner'!$B$2:$B$10001,MATCH(7133,'Email Cleaner'!$J$2:$J$10001,0)),"")</f>
        <v/>
      </c>
    </row>
    <row r="7135">
      <c r="A7135">
        <f>IFERROR(INDEX('Email Cleaner'!$B$2:$B$10001,MATCH(7134,'Email Cleaner'!$J$2:$J$10001,0)),"")</f>
        <v/>
      </c>
    </row>
    <row r="7136">
      <c r="A7136">
        <f>IFERROR(INDEX('Email Cleaner'!$B$2:$B$10001,MATCH(7135,'Email Cleaner'!$J$2:$J$10001,0)),"")</f>
        <v/>
      </c>
    </row>
    <row r="7137">
      <c r="A7137">
        <f>IFERROR(INDEX('Email Cleaner'!$B$2:$B$10001,MATCH(7136,'Email Cleaner'!$J$2:$J$10001,0)),"")</f>
        <v/>
      </c>
    </row>
    <row r="7138">
      <c r="A7138">
        <f>IFERROR(INDEX('Email Cleaner'!$B$2:$B$10001,MATCH(7137,'Email Cleaner'!$J$2:$J$10001,0)),"")</f>
        <v/>
      </c>
    </row>
    <row r="7139">
      <c r="A7139">
        <f>IFERROR(INDEX('Email Cleaner'!$B$2:$B$10001,MATCH(7138,'Email Cleaner'!$J$2:$J$10001,0)),"")</f>
        <v/>
      </c>
    </row>
    <row r="7140">
      <c r="A7140">
        <f>IFERROR(INDEX('Email Cleaner'!$B$2:$B$10001,MATCH(7139,'Email Cleaner'!$J$2:$J$10001,0)),"")</f>
        <v/>
      </c>
    </row>
    <row r="7141">
      <c r="A7141">
        <f>IFERROR(INDEX('Email Cleaner'!$B$2:$B$10001,MATCH(7140,'Email Cleaner'!$J$2:$J$10001,0)),"")</f>
        <v/>
      </c>
    </row>
    <row r="7142">
      <c r="A7142">
        <f>IFERROR(INDEX('Email Cleaner'!$B$2:$B$10001,MATCH(7141,'Email Cleaner'!$J$2:$J$10001,0)),"")</f>
        <v/>
      </c>
    </row>
    <row r="7143">
      <c r="A7143">
        <f>IFERROR(INDEX('Email Cleaner'!$B$2:$B$10001,MATCH(7142,'Email Cleaner'!$J$2:$J$10001,0)),"")</f>
        <v/>
      </c>
    </row>
    <row r="7144">
      <c r="A7144">
        <f>IFERROR(INDEX('Email Cleaner'!$B$2:$B$10001,MATCH(7143,'Email Cleaner'!$J$2:$J$10001,0)),"")</f>
        <v/>
      </c>
    </row>
    <row r="7145">
      <c r="A7145">
        <f>IFERROR(INDEX('Email Cleaner'!$B$2:$B$10001,MATCH(7144,'Email Cleaner'!$J$2:$J$10001,0)),"")</f>
        <v/>
      </c>
    </row>
    <row r="7146">
      <c r="A7146">
        <f>IFERROR(INDEX('Email Cleaner'!$B$2:$B$10001,MATCH(7145,'Email Cleaner'!$J$2:$J$10001,0)),"")</f>
        <v/>
      </c>
    </row>
    <row r="7147">
      <c r="A7147">
        <f>IFERROR(INDEX('Email Cleaner'!$B$2:$B$10001,MATCH(7146,'Email Cleaner'!$J$2:$J$10001,0)),"")</f>
        <v/>
      </c>
    </row>
    <row r="7148">
      <c r="A7148">
        <f>IFERROR(INDEX('Email Cleaner'!$B$2:$B$10001,MATCH(7147,'Email Cleaner'!$J$2:$J$10001,0)),"")</f>
        <v/>
      </c>
    </row>
    <row r="7149">
      <c r="A7149">
        <f>IFERROR(INDEX('Email Cleaner'!$B$2:$B$10001,MATCH(7148,'Email Cleaner'!$J$2:$J$10001,0)),"")</f>
        <v/>
      </c>
    </row>
    <row r="7150">
      <c r="A7150">
        <f>IFERROR(INDEX('Email Cleaner'!$B$2:$B$10001,MATCH(7149,'Email Cleaner'!$J$2:$J$10001,0)),"")</f>
        <v/>
      </c>
    </row>
    <row r="7151">
      <c r="A7151">
        <f>IFERROR(INDEX('Email Cleaner'!$B$2:$B$10001,MATCH(7150,'Email Cleaner'!$J$2:$J$10001,0)),"")</f>
        <v/>
      </c>
    </row>
    <row r="7152">
      <c r="A7152">
        <f>IFERROR(INDEX('Email Cleaner'!$B$2:$B$10001,MATCH(7151,'Email Cleaner'!$J$2:$J$10001,0)),"")</f>
        <v/>
      </c>
    </row>
    <row r="7153">
      <c r="A7153">
        <f>IFERROR(INDEX('Email Cleaner'!$B$2:$B$10001,MATCH(7152,'Email Cleaner'!$J$2:$J$10001,0)),"")</f>
        <v/>
      </c>
    </row>
    <row r="7154">
      <c r="A7154">
        <f>IFERROR(INDEX('Email Cleaner'!$B$2:$B$10001,MATCH(7153,'Email Cleaner'!$J$2:$J$10001,0)),"")</f>
        <v/>
      </c>
    </row>
    <row r="7155">
      <c r="A7155">
        <f>IFERROR(INDEX('Email Cleaner'!$B$2:$B$10001,MATCH(7154,'Email Cleaner'!$J$2:$J$10001,0)),"")</f>
        <v/>
      </c>
    </row>
    <row r="7156">
      <c r="A7156">
        <f>IFERROR(INDEX('Email Cleaner'!$B$2:$B$10001,MATCH(7155,'Email Cleaner'!$J$2:$J$10001,0)),"")</f>
        <v/>
      </c>
    </row>
    <row r="7157">
      <c r="A7157">
        <f>IFERROR(INDEX('Email Cleaner'!$B$2:$B$10001,MATCH(7156,'Email Cleaner'!$J$2:$J$10001,0)),"")</f>
        <v/>
      </c>
    </row>
    <row r="7158">
      <c r="A7158">
        <f>IFERROR(INDEX('Email Cleaner'!$B$2:$B$10001,MATCH(7157,'Email Cleaner'!$J$2:$J$10001,0)),"")</f>
        <v/>
      </c>
    </row>
    <row r="7159">
      <c r="A7159">
        <f>IFERROR(INDEX('Email Cleaner'!$B$2:$B$10001,MATCH(7158,'Email Cleaner'!$J$2:$J$10001,0)),"")</f>
        <v/>
      </c>
    </row>
    <row r="7160">
      <c r="A7160">
        <f>IFERROR(INDEX('Email Cleaner'!$B$2:$B$10001,MATCH(7159,'Email Cleaner'!$J$2:$J$10001,0)),"")</f>
        <v/>
      </c>
    </row>
    <row r="7161">
      <c r="A7161">
        <f>IFERROR(INDEX('Email Cleaner'!$B$2:$B$10001,MATCH(7160,'Email Cleaner'!$J$2:$J$10001,0)),"")</f>
        <v/>
      </c>
    </row>
    <row r="7162">
      <c r="A7162">
        <f>IFERROR(INDEX('Email Cleaner'!$B$2:$B$10001,MATCH(7161,'Email Cleaner'!$J$2:$J$10001,0)),"")</f>
        <v/>
      </c>
    </row>
    <row r="7163">
      <c r="A7163">
        <f>IFERROR(INDEX('Email Cleaner'!$B$2:$B$10001,MATCH(7162,'Email Cleaner'!$J$2:$J$10001,0)),"")</f>
        <v/>
      </c>
    </row>
    <row r="7164">
      <c r="A7164">
        <f>IFERROR(INDEX('Email Cleaner'!$B$2:$B$10001,MATCH(7163,'Email Cleaner'!$J$2:$J$10001,0)),"")</f>
        <v/>
      </c>
    </row>
    <row r="7165">
      <c r="A7165">
        <f>IFERROR(INDEX('Email Cleaner'!$B$2:$B$10001,MATCH(7164,'Email Cleaner'!$J$2:$J$10001,0)),"")</f>
        <v/>
      </c>
    </row>
    <row r="7166">
      <c r="A7166">
        <f>IFERROR(INDEX('Email Cleaner'!$B$2:$B$10001,MATCH(7165,'Email Cleaner'!$J$2:$J$10001,0)),"")</f>
        <v/>
      </c>
    </row>
    <row r="7167">
      <c r="A7167">
        <f>IFERROR(INDEX('Email Cleaner'!$B$2:$B$10001,MATCH(7166,'Email Cleaner'!$J$2:$J$10001,0)),"")</f>
        <v/>
      </c>
    </row>
    <row r="7168">
      <c r="A7168">
        <f>IFERROR(INDEX('Email Cleaner'!$B$2:$B$10001,MATCH(7167,'Email Cleaner'!$J$2:$J$10001,0)),"")</f>
        <v/>
      </c>
    </row>
    <row r="7169">
      <c r="A7169">
        <f>IFERROR(INDEX('Email Cleaner'!$B$2:$B$10001,MATCH(7168,'Email Cleaner'!$J$2:$J$10001,0)),"")</f>
        <v/>
      </c>
    </row>
    <row r="7170">
      <c r="A7170">
        <f>IFERROR(INDEX('Email Cleaner'!$B$2:$B$10001,MATCH(7169,'Email Cleaner'!$J$2:$J$10001,0)),"")</f>
        <v/>
      </c>
    </row>
    <row r="7171">
      <c r="A7171">
        <f>IFERROR(INDEX('Email Cleaner'!$B$2:$B$10001,MATCH(7170,'Email Cleaner'!$J$2:$J$10001,0)),"")</f>
        <v/>
      </c>
    </row>
    <row r="7172">
      <c r="A7172">
        <f>IFERROR(INDEX('Email Cleaner'!$B$2:$B$10001,MATCH(7171,'Email Cleaner'!$J$2:$J$10001,0)),"")</f>
        <v/>
      </c>
    </row>
    <row r="7173">
      <c r="A7173">
        <f>IFERROR(INDEX('Email Cleaner'!$B$2:$B$10001,MATCH(7172,'Email Cleaner'!$J$2:$J$10001,0)),"")</f>
        <v/>
      </c>
    </row>
    <row r="7174">
      <c r="A7174">
        <f>IFERROR(INDEX('Email Cleaner'!$B$2:$B$10001,MATCH(7173,'Email Cleaner'!$J$2:$J$10001,0)),"")</f>
        <v/>
      </c>
    </row>
    <row r="7175">
      <c r="A7175">
        <f>IFERROR(INDEX('Email Cleaner'!$B$2:$B$10001,MATCH(7174,'Email Cleaner'!$J$2:$J$10001,0)),"")</f>
        <v/>
      </c>
    </row>
    <row r="7176">
      <c r="A7176">
        <f>IFERROR(INDEX('Email Cleaner'!$B$2:$B$10001,MATCH(7175,'Email Cleaner'!$J$2:$J$10001,0)),"")</f>
        <v/>
      </c>
    </row>
    <row r="7177">
      <c r="A7177">
        <f>IFERROR(INDEX('Email Cleaner'!$B$2:$B$10001,MATCH(7176,'Email Cleaner'!$J$2:$J$10001,0)),"")</f>
        <v/>
      </c>
    </row>
    <row r="7178">
      <c r="A7178">
        <f>IFERROR(INDEX('Email Cleaner'!$B$2:$B$10001,MATCH(7177,'Email Cleaner'!$J$2:$J$10001,0)),"")</f>
        <v/>
      </c>
    </row>
    <row r="7179">
      <c r="A7179">
        <f>IFERROR(INDEX('Email Cleaner'!$B$2:$B$10001,MATCH(7178,'Email Cleaner'!$J$2:$J$10001,0)),"")</f>
        <v/>
      </c>
    </row>
    <row r="7180">
      <c r="A7180">
        <f>IFERROR(INDEX('Email Cleaner'!$B$2:$B$10001,MATCH(7179,'Email Cleaner'!$J$2:$J$10001,0)),"")</f>
        <v/>
      </c>
    </row>
    <row r="7181">
      <c r="A7181">
        <f>IFERROR(INDEX('Email Cleaner'!$B$2:$B$10001,MATCH(7180,'Email Cleaner'!$J$2:$J$10001,0)),"")</f>
        <v/>
      </c>
    </row>
    <row r="7182">
      <c r="A7182">
        <f>IFERROR(INDEX('Email Cleaner'!$B$2:$B$10001,MATCH(7181,'Email Cleaner'!$J$2:$J$10001,0)),"")</f>
        <v/>
      </c>
    </row>
    <row r="7183">
      <c r="A7183">
        <f>IFERROR(INDEX('Email Cleaner'!$B$2:$B$10001,MATCH(7182,'Email Cleaner'!$J$2:$J$10001,0)),"")</f>
        <v/>
      </c>
    </row>
    <row r="7184">
      <c r="A7184">
        <f>IFERROR(INDEX('Email Cleaner'!$B$2:$B$10001,MATCH(7183,'Email Cleaner'!$J$2:$J$10001,0)),"")</f>
        <v/>
      </c>
    </row>
    <row r="7185">
      <c r="A7185">
        <f>IFERROR(INDEX('Email Cleaner'!$B$2:$B$10001,MATCH(7184,'Email Cleaner'!$J$2:$J$10001,0)),"")</f>
        <v/>
      </c>
    </row>
    <row r="7186">
      <c r="A7186">
        <f>IFERROR(INDEX('Email Cleaner'!$B$2:$B$10001,MATCH(7185,'Email Cleaner'!$J$2:$J$10001,0)),"")</f>
        <v/>
      </c>
    </row>
    <row r="7187">
      <c r="A7187">
        <f>IFERROR(INDEX('Email Cleaner'!$B$2:$B$10001,MATCH(7186,'Email Cleaner'!$J$2:$J$10001,0)),"")</f>
        <v/>
      </c>
    </row>
    <row r="7188">
      <c r="A7188">
        <f>IFERROR(INDEX('Email Cleaner'!$B$2:$B$10001,MATCH(7187,'Email Cleaner'!$J$2:$J$10001,0)),"")</f>
        <v/>
      </c>
    </row>
    <row r="7189">
      <c r="A7189">
        <f>IFERROR(INDEX('Email Cleaner'!$B$2:$B$10001,MATCH(7188,'Email Cleaner'!$J$2:$J$10001,0)),"")</f>
        <v/>
      </c>
    </row>
    <row r="7190">
      <c r="A7190">
        <f>IFERROR(INDEX('Email Cleaner'!$B$2:$B$10001,MATCH(7189,'Email Cleaner'!$J$2:$J$10001,0)),"")</f>
        <v/>
      </c>
    </row>
    <row r="7191">
      <c r="A7191">
        <f>IFERROR(INDEX('Email Cleaner'!$B$2:$B$10001,MATCH(7190,'Email Cleaner'!$J$2:$J$10001,0)),"")</f>
        <v/>
      </c>
    </row>
    <row r="7192">
      <c r="A7192">
        <f>IFERROR(INDEX('Email Cleaner'!$B$2:$B$10001,MATCH(7191,'Email Cleaner'!$J$2:$J$10001,0)),"")</f>
        <v/>
      </c>
    </row>
    <row r="7193">
      <c r="A7193">
        <f>IFERROR(INDEX('Email Cleaner'!$B$2:$B$10001,MATCH(7192,'Email Cleaner'!$J$2:$J$10001,0)),"")</f>
        <v/>
      </c>
    </row>
    <row r="7194">
      <c r="A7194">
        <f>IFERROR(INDEX('Email Cleaner'!$B$2:$B$10001,MATCH(7193,'Email Cleaner'!$J$2:$J$10001,0)),"")</f>
        <v/>
      </c>
    </row>
    <row r="7195">
      <c r="A7195">
        <f>IFERROR(INDEX('Email Cleaner'!$B$2:$B$10001,MATCH(7194,'Email Cleaner'!$J$2:$J$10001,0)),"")</f>
        <v/>
      </c>
    </row>
    <row r="7196">
      <c r="A7196">
        <f>IFERROR(INDEX('Email Cleaner'!$B$2:$B$10001,MATCH(7195,'Email Cleaner'!$J$2:$J$10001,0)),"")</f>
        <v/>
      </c>
    </row>
    <row r="7197">
      <c r="A7197">
        <f>IFERROR(INDEX('Email Cleaner'!$B$2:$B$10001,MATCH(7196,'Email Cleaner'!$J$2:$J$10001,0)),"")</f>
        <v/>
      </c>
    </row>
    <row r="7198">
      <c r="A7198">
        <f>IFERROR(INDEX('Email Cleaner'!$B$2:$B$10001,MATCH(7197,'Email Cleaner'!$J$2:$J$10001,0)),"")</f>
        <v/>
      </c>
    </row>
    <row r="7199">
      <c r="A7199">
        <f>IFERROR(INDEX('Email Cleaner'!$B$2:$B$10001,MATCH(7198,'Email Cleaner'!$J$2:$J$10001,0)),"")</f>
        <v/>
      </c>
    </row>
    <row r="7200">
      <c r="A7200">
        <f>IFERROR(INDEX('Email Cleaner'!$B$2:$B$10001,MATCH(7199,'Email Cleaner'!$J$2:$J$10001,0)),"")</f>
        <v/>
      </c>
    </row>
    <row r="7201">
      <c r="A7201">
        <f>IFERROR(INDEX('Email Cleaner'!$B$2:$B$10001,MATCH(7200,'Email Cleaner'!$J$2:$J$10001,0)),"")</f>
        <v/>
      </c>
    </row>
    <row r="7202">
      <c r="A7202">
        <f>IFERROR(INDEX('Email Cleaner'!$B$2:$B$10001,MATCH(7201,'Email Cleaner'!$J$2:$J$10001,0)),"")</f>
        <v/>
      </c>
    </row>
    <row r="7203">
      <c r="A7203">
        <f>IFERROR(INDEX('Email Cleaner'!$B$2:$B$10001,MATCH(7202,'Email Cleaner'!$J$2:$J$10001,0)),"")</f>
        <v/>
      </c>
    </row>
    <row r="7204">
      <c r="A7204">
        <f>IFERROR(INDEX('Email Cleaner'!$B$2:$B$10001,MATCH(7203,'Email Cleaner'!$J$2:$J$10001,0)),"")</f>
        <v/>
      </c>
    </row>
    <row r="7205">
      <c r="A7205">
        <f>IFERROR(INDEX('Email Cleaner'!$B$2:$B$10001,MATCH(7204,'Email Cleaner'!$J$2:$J$10001,0)),"")</f>
        <v/>
      </c>
    </row>
    <row r="7206">
      <c r="A7206">
        <f>IFERROR(INDEX('Email Cleaner'!$B$2:$B$10001,MATCH(7205,'Email Cleaner'!$J$2:$J$10001,0)),"")</f>
        <v/>
      </c>
    </row>
    <row r="7207">
      <c r="A7207">
        <f>IFERROR(INDEX('Email Cleaner'!$B$2:$B$10001,MATCH(7206,'Email Cleaner'!$J$2:$J$10001,0)),"")</f>
        <v/>
      </c>
    </row>
    <row r="7208">
      <c r="A7208">
        <f>IFERROR(INDEX('Email Cleaner'!$B$2:$B$10001,MATCH(7207,'Email Cleaner'!$J$2:$J$10001,0)),"")</f>
        <v/>
      </c>
    </row>
    <row r="7209">
      <c r="A7209">
        <f>IFERROR(INDEX('Email Cleaner'!$B$2:$B$10001,MATCH(7208,'Email Cleaner'!$J$2:$J$10001,0)),"")</f>
        <v/>
      </c>
    </row>
    <row r="7210">
      <c r="A7210">
        <f>IFERROR(INDEX('Email Cleaner'!$B$2:$B$10001,MATCH(7209,'Email Cleaner'!$J$2:$J$10001,0)),"")</f>
        <v/>
      </c>
    </row>
    <row r="7211">
      <c r="A7211">
        <f>IFERROR(INDEX('Email Cleaner'!$B$2:$B$10001,MATCH(7210,'Email Cleaner'!$J$2:$J$10001,0)),"")</f>
        <v/>
      </c>
    </row>
    <row r="7212">
      <c r="A7212">
        <f>IFERROR(INDEX('Email Cleaner'!$B$2:$B$10001,MATCH(7211,'Email Cleaner'!$J$2:$J$10001,0)),"")</f>
        <v/>
      </c>
    </row>
    <row r="7213">
      <c r="A7213">
        <f>IFERROR(INDEX('Email Cleaner'!$B$2:$B$10001,MATCH(7212,'Email Cleaner'!$J$2:$J$10001,0)),"")</f>
        <v/>
      </c>
    </row>
    <row r="7214">
      <c r="A7214">
        <f>IFERROR(INDEX('Email Cleaner'!$B$2:$B$10001,MATCH(7213,'Email Cleaner'!$J$2:$J$10001,0)),"")</f>
        <v/>
      </c>
    </row>
    <row r="7215">
      <c r="A7215">
        <f>IFERROR(INDEX('Email Cleaner'!$B$2:$B$10001,MATCH(7214,'Email Cleaner'!$J$2:$J$10001,0)),"")</f>
        <v/>
      </c>
    </row>
    <row r="7216">
      <c r="A7216">
        <f>IFERROR(INDEX('Email Cleaner'!$B$2:$B$10001,MATCH(7215,'Email Cleaner'!$J$2:$J$10001,0)),"")</f>
        <v/>
      </c>
    </row>
    <row r="7217">
      <c r="A7217">
        <f>IFERROR(INDEX('Email Cleaner'!$B$2:$B$10001,MATCH(7216,'Email Cleaner'!$J$2:$J$10001,0)),"")</f>
        <v/>
      </c>
    </row>
    <row r="7218">
      <c r="A7218">
        <f>IFERROR(INDEX('Email Cleaner'!$B$2:$B$10001,MATCH(7217,'Email Cleaner'!$J$2:$J$10001,0)),"")</f>
        <v/>
      </c>
    </row>
    <row r="7219">
      <c r="A7219">
        <f>IFERROR(INDEX('Email Cleaner'!$B$2:$B$10001,MATCH(7218,'Email Cleaner'!$J$2:$J$10001,0)),"")</f>
        <v/>
      </c>
    </row>
    <row r="7220">
      <c r="A7220">
        <f>IFERROR(INDEX('Email Cleaner'!$B$2:$B$10001,MATCH(7219,'Email Cleaner'!$J$2:$J$10001,0)),"")</f>
        <v/>
      </c>
    </row>
    <row r="7221">
      <c r="A7221">
        <f>IFERROR(INDEX('Email Cleaner'!$B$2:$B$10001,MATCH(7220,'Email Cleaner'!$J$2:$J$10001,0)),"")</f>
        <v/>
      </c>
    </row>
    <row r="7222">
      <c r="A7222">
        <f>IFERROR(INDEX('Email Cleaner'!$B$2:$B$10001,MATCH(7221,'Email Cleaner'!$J$2:$J$10001,0)),"")</f>
        <v/>
      </c>
    </row>
    <row r="7223">
      <c r="A7223">
        <f>IFERROR(INDEX('Email Cleaner'!$B$2:$B$10001,MATCH(7222,'Email Cleaner'!$J$2:$J$10001,0)),"")</f>
        <v/>
      </c>
    </row>
    <row r="7224">
      <c r="A7224">
        <f>IFERROR(INDEX('Email Cleaner'!$B$2:$B$10001,MATCH(7223,'Email Cleaner'!$J$2:$J$10001,0)),"")</f>
        <v/>
      </c>
    </row>
    <row r="7225">
      <c r="A7225">
        <f>IFERROR(INDEX('Email Cleaner'!$B$2:$B$10001,MATCH(7224,'Email Cleaner'!$J$2:$J$10001,0)),"")</f>
        <v/>
      </c>
    </row>
    <row r="7226">
      <c r="A7226">
        <f>IFERROR(INDEX('Email Cleaner'!$B$2:$B$10001,MATCH(7225,'Email Cleaner'!$J$2:$J$10001,0)),"")</f>
        <v/>
      </c>
    </row>
    <row r="7227">
      <c r="A7227">
        <f>IFERROR(INDEX('Email Cleaner'!$B$2:$B$10001,MATCH(7226,'Email Cleaner'!$J$2:$J$10001,0)),"")</f>
        <v/>
      </c>
    </row>
    <row r="7228">
      <c r="A7228">
        <f>IFERROR(INDEX('Email Cleaner'!$B$2:$B$10001,MATCH(7227,'Email Cleaner'!$J$2:$J$10001,0)),"")</f>
        <v/>
      </c>
    </row>
    <row r="7229">
      <c r="A7229">
        <f>IFERROR(INDEX('Email Cleaner'!$B$2:$B$10001,MATCH(7228,'Email Cleaner'!$J$2:$J$10001,0)),"")</f>
        <v/>
      </c>
    </row>
    <row r="7230">
      <c r="A7230">
        <f>IFERROR(INDEX('Email Cleaner'!$B$2:$B$10001,MATCH(7229,'Email Cleaner'!$J$2:$J$10001,0)),"")</f>
        <v/>
      </c>
    </row>
    <row r="7231">
      <c r="A7231">
        <f>IFERROR(INDEX('Email Cleaner'!$B$2:$B$10001,MATCH(7230,'Email Cleaner'!$J$2:$J$10001,0)),"")</f>
        <v/>
      </c>
    </row>
    <row r="7232">
      <c r="A7232">
        <f>IFERROR(INDEX('Email Cleaner'!$B$2:$B$10001,MATCH(7231,'Email Cleaner'!$J$2:$J$10001,0)),"")</f>
        <v/>
      </c>
    </row>
    <row r="7233">
      <c r="A7233">
        <f>IFERROR(INDEX('Email Cleaner'!$B$2:$B$10001,MATCH(7232,'Email Cleaner'!$J$2:$J$10001,0)),"")</f>
        <v/>
      </c>
    </row>
    <row r="7234">
      <c r="A7234">
        <f>IFERROR(INDEX('Email Cleaner'!$B$2:$B$10001,MATCH(7233,'Email Cleaner'!$J$2:$J$10001,0)),"")</f>
        <v/>
      </c>
    </row>
    <row r="7235">
      <c r="A7235">
        <f>IFERROR(INDEX('Email Cleaner'!$B$2:$B$10001,MATCH(7234,'Email Cleaner'!$J$2:$J$10001,0)),"")</f>
        <v/>
      </c>
    </row>
    <row r="7236">
      <c r="A7236">
        <f>IFERROR(INDEX('Email Cleaner'!$B$2:$B$10001,MATCH(7235,'Email Cleaner'!$J$2:$J$10001,0)),"")</f>
        <v/>
      </c>
    </row>
    <row r="7237">
      <c r="A7237">
        <f>IFERROR(INDEX('Email Cleaner'!$B$2:$B$10001,MATCH(7236,'Email Cleaner'!$J$2:$J$10001,0)),"")</f>
        <v/>
      </c>
    </row>
    <row r="7238">
      <c r="A7238">
        <f>IFERROR(INDEX('Email Cleaner'!$B$2:$B$10001,MATCH(7237,'Email Cleaner'!$J$2:$J$10001,0)),"")</f>
        <v/>
      </c>
    </row>
    <row r="7239">
      <c r="A7239">
        <f>IFERROR(INDEX('Email Cleaner'!$B$2:$B$10001,MATCH(7238,'Email Cleaner'!$J$2:$J$10001,0)),"")</f>
        <v/>
      </c>
    </row>
    <row r="7240">
      <c r="A7240">
        <f>IFERROR(INDEX('Email Cleaner'!$B$2:$B$10001,MATCH(7239,'Email Cleaner'!$J$2:$J$10001,0)),"")</f>
        <v/>
      </c>
    </row>
    <row r="7241">
      <c r="A7241">
        <f>IFERROR(INDEX('Email Cleaner'!$B$2:$B$10001,MATCH(7240,'Email Cleaner'!$J$2:$J$10001,0)),"")</f>
        <v/>
      </c>
    </row>
    <row r="7242">
      <c r="A7242">
        <f>IFERROR(INDEX('Email Cleaner'!$B$2:$B$10001,MATCH(7241,'Email Cleaner'!$J$2:$J$10001,0)),"")</f>
        <v/>
      </c>
    </row>
    <row r="7243">
      <c r="A7243">
        <f>IFERROR(INDEX('Email Cleaner'!$B$2:$B$10001,MATCH(7242,'Email Cleaner'!$J$2:$J$10001,0)),"")</f>
        <v/>
      </c>
    </row>
    <row r="7244">
      <c r="A7244">
        <f>IFERROR(INDEX('Email Cleaner'!$B$2:$B$10001,MATCH(7243,'Email Cleaner'!$J$2:$J$10001,0)),"")</f>
        <v/>
      </c>
    </row>
    <row r="7245">
      <c r="A7245">
        <f>IFERROR(INDEX('Email Cleaner'!$B$2:$B$10001,MATCH(7244,'Email Cleaner'!$J$2:$J$10001,0)),"")</f>
        <v/>
      </c>
    </row>
    <row r="7246">
      <c r="A7246">
        <f>IFERROR(INDEX('Email Cleaner'!$B$2:$B$10001,MATCH(7245,'Email Cleaner'!$J$2:$J$10001,0)),"")</f>
        <v/>
      </c>
    </row>
    <row r="7247">
      <c r="A7247">
        <f>IFERROR(INDEX('Email Cleaner'!$B$2:$B$10001,MATCH(7246,'Email Cleaner'!$J$2:$J$10001,0)),"")</f>
        <v/>
      </c>
    </row>
    <row r="7248">
      <c r="A7248">
        <f>IFERROR(INDEX('Email Cleaner'!$B$2:$B$10001,MATCH(7247,'Email Cleaner'!$J$2:$J$10001,0)),"")</f>
        <v/>
      </c>
    </row>
    <row r="7249">
      <c r="A7249">
        <f>IFERROR(INDEX('Email Cleaner'!$B$2:$B$10001,MATCH(7248,'Email Cleaner'!$J$2:$J$10001,0)),"")</f>
        <v/>
      </c>
    </row>
    <row r="7250">
      <c r="A7250">
        <f>IFERROR(INDEX('Email Cleaner'!$B$2:$B$10001,MATCH(7249,'Email Cleaner'!$J$2:$J$10001,0)),"")</f>
        <v/>
      </c>
    </row>
    <row r="7251">
      <c r="A7251">
        <f>IFERROR(INDEX('Email Cleaner'!$B$2:$B$10001,MATCH(7250,'Email Cleaner'!$J$2:$J$10001,0)),"")</f>
        <v/>
      </c>
    </row>
    <row r="7252">
      <c r="A7252">
        <f>IFERROR(INDEX('Email Cleaner'!$B$2:$B$10001,MATCH(7251,'Email Cleaner'!$J$2:$J$10001,0)),"")</f>
        <v/>
      </c>
    </row>
    <row r="7253">
      <c r="A7253">
        <f>IFERROR(INDEX('Email Cleaner'!$B$2:$B$10001,MATCH(7252,'Email Cleaner'!$J$2:$J$10001,0)),"")</f>
        <v/>
      </c>
    </row>
    <row r="7254">
      <c r="A7254">
        <f>IFERROR(INDEX('Email Cleaner'!$B$2:$B$10001,MATCH(7253,'Email Cleaner'!$J$2:$J$10001,0)),"")</f>
        <v/>
      </c>
    </row>
    <row r="7255">
      <c r="A7255">
        <f>IFERROR(INDEX('Email Cleaner'!$B$2:$B$10001,MATCH(7254,'Email Cleaner'!$J$2:$J$10001,0)),"")</f>
        <v/>
      </c>
    </row>
    <row r="7256">
      <c r="A7256">
        <f>IFERROR(INDEX('Email Cleaner'!$B$2:$B$10001,MATCH(7255,'Email Cleaner'!$J$2:$J$10001,0)),"")</f>
        <v/>
      </c>
    </row>
    <row r="7257">
      <c r="A7257">
        <f>IFERROR(INDEX('Email Cleaner'!$B$2:$B$10001,MATCH(7256,'Email Cleaner'!$J$2:$J$10001,0)),"")</f>
        <v/>
      </c>
    </row>
    <row r="7258">
      <c r="A7258">
        <f>IFERROR(INDEX('Email Cleaner'!$B$2:$B$10001,MATCH(7257,'Email Cleaner'!$J$2:$J$10001,0)),"")</f>
        <v/>
      </c>
    </row>
    <row r="7259">
      <c r="A7259">
        <f>IFERROR(INDEX('Email Cleaner'!$B$2:$B$10001,MATCH(7258,'Email Cleaner'!$J$2:$J$10001,0)),"")</f>
        <v/>
      </c>
    </row>
    <row r="7260">
      <c r="A7260">
        <f>IFERROR(INDEX('Email Cleaner'!$B$2:$B$10001,MATCH(7259,'Email Cleaner'!$J$2:$J$10001,0)),"")</f>
        <v/>
      </c>
    </row>
    <row r="7261">
      <c r="A7261">
        <f>IFERROR(INDEX('Email Cleaner'!$B$2:$B$10001,MATCH(7260,'Email Cleaner'!$J$2:$J$10001,0)),"")</f>
        <v/>
      </c>
    </row>
    <row r="7262">
      <c r="A7262">
        <f>IFERROR(INDEX('Email Cleaner'!$B$2:$B$10001,MATCH(7261,'Email Cleaner'!$J$2:$J$10001,0)),"")</f>
        <v/>
      </c>
    </row>
    <row r="7263">
      <c r="A7263">
        <f>IFERROR(INDEX('Email Cleaner'!$B$2:$B$10001,MATCH(7262,'Email Cleaner'!$J$2:$J$10001,0)),"")</f>
        <v/>
      </c>
    </row>
    <row r="7264">
      <c r="A7264">
        <f>IFERROR(INDEX('Email Cleaner'!$B$2:$B$10001,MATCH(7263,'Email Cleaner'!$J$2:$J$10001,0)),"")</f>
        <v/>
      </c>
    </row>
    <row r="7265">
      <c r="A7265">
        <f>IFERROR(INDEX('Email Cleaner'!$B$2:$B$10001,MATCH(7264,'Email Cleaner'!$J$2:$J$10001,0)),"")</f>
        <v/>
      </c>
    </row>
    <row r="7266">
      <c r="A7266">
        <f>IFERROR(INDEX('Email Cleaner'!$B$2:$B$10001,MATCH(7265,'Email Cleaner'!$J$2:$J$10001,0)),"")</f>
        <v/>
      </c>
    </row>
    <row r="7267">
      <c r="A7267">
        <f>IFERROR(INDEX('Email Cleaner'!$B$2:$B$10001,MATCH(7266,'Email Cleaner'!$J$2:$J$10001,0)),"")</f>
        <v/>
      </c>
    </row>
    <row r="7268">
      <c r="A7268">
        <f>IFERROR(INDEX('Email Cleaner'!$B$2:$B$10001,MATCH(7267,'Email Cleaner'!$J$2:$J$10001,0)),"")</f>
        <v/>
      </c>
    </row>
    <row r="7269">
      <c r="A7269">
        <f>IFERROR(INDEX('Email Cleaner'!$B$2:$B$10001,MATCH(7268,'Email Cleaner'!$J$2:$J$10001,0)),"")</f>
        <v/>
      </c>
    </row>
    <row r="7270">
      <c r="A7270">
        <f>IFERROR(INDEX('Email Cleaner'!$B$2:$B$10001,MATCH(7269,'Email Cleaner'!$J$2:$J$10001,0)),"")</f>
        <v/>
      </c>
    </row>
    <row r="7271">
      <c r="A7271">
        <f>IFERROR(INDEX('Email Cleaner'!$B$2:$B$10001,MATCH(7270,'Email Cleaner'!$J$2:$J$10001,0)),"")</f>
        <v/>
      </c>
    </row>
    <row r="7272">
      <c r="A7272">
        <f>IFERROR(INDEX('Email Cleaner'!$B$2:$B$10001,MATCH(7271,'Email Cleaner'!$J$2:$J$10001,0)),"")</f>
        <v/>
      </c>
    </row>
    <row r="7273">
      <c r="A7273">
        <f>IFERROR(INDEX('Email Cleaner'!$B$2:$B$10001,MATCH(7272,'Email Cleaner'!$J$2:$J$10001,0)),"")</f>
        <v/>
      </c>
    </row>
    <row r="7274">
      <c r="A7274">
        <f>IFERROR(INDEX('Email Cleaner'!$B$2:$B$10001,MATCH(7273,'Email Cleaner'!$J$2:$J$10001,0)),"")</f>
        <v/>
      </c>
    </row>
    <row r="7275">
      <c r="A7275">
        <f>IFERROR(INDEX('Email Cleaner'!$B$2:$B$10001,MATCH(7274,'Email Cleaner'!$J$2:$J$10001,0)),"")</f>
        <v/>
      </c>
    </row>
    <row r="7276">
      <c r="A7276">
        <f>IFERROR(INDEX('Email Cleaner'!$B$2:$B$10001,MATCH(7275,'Email Cleaner'!$J$2:$J$10001,0)),"")</f>
        <v/>
      </c>
    </row>
    <row r="7277">
      <c r="A7277">
        <f>IFERROR(INDEX('Email Cleaner'!$B$2:$B$10001,MATCH(7276,'Email Cleaner'!$J$2:$J$10001,0)),"")</f>
        <v/>
      </c>
    </row>
    <row r="7278">
      <c r="A7278">
        <f>IFERROR(INDEX('Email Cleaner'!$B$2:$B$10001,MATCH(7277,'Email Cleaner'!$J$2:$J$10001,0)),"")</f>
        <v/>
      </c>
    </row>
    <row r="7279">
      <c r="A7279">
        <f>IFERROR(INDEX('Email Cleaner'!$B$2:$B$10001,MATCH(7278,'Email Cleaner'!$J$2:$J$10001,0)),"")</f>
        <v/>
      </c>
    </row>
    <row r="7280">
      <c r="A7280">
        <f>IFERROR(INDEX('Email Cleaner'!$B$2:$B$10001,MATCH(7279,'Email Cleaner'!$J$2:$J$10001,0)),"")</f>
        <v/>
      </c>
    </row>
    <row r="7281">
      <c r="A7281">
        <f>IFERROR(INDEX('Email Cleaner'!$B$2:$B$10001,MATCH(7280,'Email Cleaner'!$J$2:$J$10001,0)),"")</f>
        <v/>
      </c>
    </row>
    <row r="7282">
      <c r="A7282">
        <f>IFERROR(INDEX('Email Cleaner'!$B$2:$B$10001,MATCH(7281,'Email Cleaner'!$J$2:$J$10001,0)),"")</f>
        <v/>
      </c>
    </row>
    <row r="7283">
      <c r="A7283">
        <f>IFERROR(INDEX('Email Cleaner'!$B$2:$B$10001,MATCH(7282,'Email Cleaner'!$J$2:$J$10001,0)),"")</f>
        <v/>
      </c>
    </row>
    <row r="7284">
      <c r="A7284">
        <f>IFERROR(INDEX('Email Cleaner'!$B$2:$B$10001,MATCH(7283,'Email Cleaner'!$J$2:$J$10001,0)),"")</f>
        <v/>
      </c>
    </row>
    <row r="7285">
      <c r="A7285">
        <f>IFERROR(INDEX('Email Cleaner'!$B$2:$B$10001,MATCH(7284,'Email Cleaner'!$J$2:$J$10001,0)),"")</f>
        <v/>
      </c>
    </row>
    <row r="7286">
      <c r="A7286">
        <f>IFERROR(INDEX('Email Cleaner'!$B$2:$B$10001,MATCH(7285,'Email Cleaner'!$J$2:$J$10001,0)),"")</f>
        <v/>
      </c>
    </row>
    <row r="7287">
      <c r="A7287">
        <f>IFERROR(INDEX('Email Cleaner'!$B$2:$B$10001,MATCH(7286,'Email Cleaner'!$J$2:$J$10001,0)),"")</f>
        <v/>
      </c>
    </row>
    <row r="7288">
      <c r="A7288">
        <f>IFERROR(INDEX('Email Cleaner'!$B$2:$B$10001,MATCH(7287,'Email Cleaner'!$J$2:$J$10001,0)),"")</f>
        <v/>
      </c>
    </row>
    <row r="7289">
      <c r="A7289">
        <f>IFERROR(INDEX('Email Cleaner'!$B$2:$B$10001,MATCH(7288,'Email Cleaner'!$J$2:$J$10001,0)),"")</f>
        <v/>
      </c>
    </row>
    <row r="7290">
      <c r="A7290">
        <f>IFERROR(INDEX('Email Cleaner'!$B$2:$B$10001,MATCH(7289,'Email Cleaner'!$J$2:$J$10001,0)),"")</f>
        <v/>
      </c>
    </row>
    <row r="7291">
      <c r="A7291">
        <f>IFERROR(INDEX('Email Cleaner'!$B$2:$B$10001,MATCH(7290,'Email Cleaner'!$J$2:$J$10001,0)),"")</f>
        <v/>
      </c>
    </row>
    <row r="7292">
      <c r="A7292">
        <f>IFERROR(INDEX('Email Cleaner'!$B$2:$B$10001,MATCH(7291,'Email Cleaner'!$J$2:$J$10001,0)),"")</f>
        <v/>
      </c>
    </row>
    <row r="7293">
      <c r="A7293">
        <f>IFERROR(INDEX('Email Cleaner'!$B$2:$B$10001,MATCH(7292,'Email Cleaner'!$J$2:$J$10001,0)),"")</f>
        <v/>
      </c>
    </row>
    <row r="7294">
      <c r="A7294">
        <f>IFERROR(INDEX('Email Cleaner'!$B$2:$B$10001,MATCH(7293,'Email Cleaner'!$J$2:$J$10001,0)),"")</f>
        <v/>
      </c>
    </row>
    <row r="7295">
      <c r="A7295">
        <f>IFERROR(INDEX('Email Cleaner'!$B$2:$B$10001,MATCH(7294,'Email Cleaner'!$J$2:$J$10001,0)),"")</f>
        <v/>
      </c>
    </row>
    <row r="7296">
      <c r="A7296">
        <f>IFERROR(INDEX('Email Cleaner'!$B$2:$B$10001,MATCH(7295,'Email Cleaner'!$J$2:$J$10001,0)),"")</f>
        <v/>
      </c>
    </row>
    <row r="7297">
      <c r="A7297">
        <f>IFERROR(INDEX('Email Cleaner'!$B$2:$B$10001,MATCH(7296,'Email Cleaner'!$J$2:$J$10001,0)),"")</f>
        <v/>
      </c>
    </row>
    <row r="7298">
      <c r="A7298">
        <f>IFERROR(INDEX('Email Cleaner'!$B$2:$B$10001,MATCH(7297,'Email Cleaner'!$J$2:$J$10001,0)),"")</f>
        <v/>
      </c>
    </row>
    <row r="7299">
      <c r="A7299">
        <f>IFERROR(INDEX('Email Cleaner'!$B$2:$B$10001,MATCH(7298,'Email Cleaner'!$J$2:$J$10001,0)),"")</f>
        <v/>
      </c>
    </row>
    <row r="7300">
      <c r="A7300">
        <f>IFERROR(INDEX('Email Cleaner'!$B$2:$B$10001,MATCH(7299,'Email Cleaner'!$J$2:$J$10001,0)),"")</f>
        <v/>
      </c>
    </row>
    <row r="7301">
      <c r="A7301">
        <f>IFERROR(INDEX('Email Cleaner'!$B$2:$B$10001,MATCH(7300,'Email Cleaner'!$J$2:$J$10001,0)),"")</f>
        <v/>
      </c>
    </row>
    <row r="7302">
      <c r="A7302">
        <f>IFERROR(INDEX('Email Cleaner'!$B$2:$B$10001,MATCH(7301,'Email Cleaner'!$J$2:$J$10001,0)),"")</f>
        <v/>
      </c>
    </row>
    <row r="7303">
      <c r="A7303">
        <f>IFERROR(INDEX('Email Cleaner'!$B$2:$B$10001,MATCH(7302,'Email Cleaner'!$J$2:$J$10001,0)),"")</f>
        <v/>
      </c>
    </row>
    <row r="7304">
      <c r="A7304">
        <f>IFERROR(INDEX('Email Cleaner'!$B$2:$B$10001,MATCH(7303,'Email Cleaner'!$J$2:$J$10001,0)),"")</f>
        <v/>
      </c>
    </row>
    <row r="7305">
      <c r="A7305">
        <f>IFERROR(INDEX('Email Cleaner'!$B$2:$B$10001,MATCH(7304,'Email Cleaner'!$J$2:$J$10001,0)),"")</f>
        <v/>
      </c>
    </row>
    <row r="7306">
      <c r="A7306">
        <f>IFERROR(INDEX('Email Cleaner'!$B$2:$B$10001,MATCH(7305,'Email Cleaner'!$J$2:$J$10001,0)),"")</f>
        <v/>
      </c>
    </row>
    <row r="7307">
      <c r="A7307">
        <f>IFERROR(INDEX('Email Cleaner'!$B$2:$B$10001,MATCH(7306,'Email Cleaner'!$J$2:$J$10001,0)),"")</f>
        <v/>
      </c>
    </row>
    <row r="7308">
      <c r="A7308">
        <f>IFERROR(INDEX('Email Cleaner'!$B$2:$B$10001,MATCH(7307,'Email Cleaner'!$J$2:$J$10001,0)),"")</f>
        <v/>
      </c>
    </row>
    <row r="7309">
      <c r="A7309">
        <f>IFERROR(INDEX('Email Cleaner'!$B$2:$B$10001,MATCH(7308,'Email Cleaner'!$J$2:$J$10001,0)),"")</f>
        <v/>
      </c>
    </row>
    <row r="7310">
      <c r="A7310">
        <f>IFERROR(INDEX('Email Cleaner'!$B$2:$B$10001,MATCH(7309,'Email Cleaner'!$J$2:$J$10001,0)),"")</f>
        <v/>
      </c>
    </row>
    <row r="7311">
      <c r="A7311">
        <f>IFERROR(INDEX('Email Cleaner'!$B$2:$B$10001,MATCH(7310,'Email Cleaner'!$J$2:$J$10001,0)),"")</f>
        <v/>
      </c>
    </row>
    <row r="7312">
      <c r="A7312">
        <f>IFERROR(INDEX('Email Cleaner'!$B$2:$B$10001,MATCH(7311,'Email Cleaner'!$J$2:$J$10001,0)),"")</f>
        <v/>
      </c>
    </row>
    <row r="7313">
      <c r="A7313">
        <f>IFERROR(INDEX('Email Cleaner'!$B$2:$B$10001,MATCH(7312,'Email Cleaner'!$J$2:$J$10001,0)),"")</f>
        <v/>
      </c>
    </row>
    <row r="7314">
      <c r="A7314">
        <f>IFERROR(INDEX('Email Cleaner'!$B$2:$B$10001,MATCH(7313,'Email Cleaner'!$J$2:$J$10001,0)),"")</f>
        <v/>
      </c>
    </row>
    <row r="7315">
      <c r="A7315">
        <f>IFERROR(INDEX('Email Cleaner'!$B$2:$B$10001,MATCH(7314,'Email Cleaner'!$J$2:$J$10001,0)),"")</f>
        <v/>
      </c>
    </row>
    <row r="7316">
      <c r="A7316">
        <f>IFERROR(INDEX('Email Cleaner'!$B$2:$B$10001,MATCH(7315,'Email Cleaner'!$J$2:$J$10001,0)),"")</f>
        <v/>
      </c>
    </row>
    <row r="7317">
      <c r="A7317">
        <f>IFERROR(INDEX('Email Cleaner'!$B$2:$B$10001,MATCH(7316,'Email Cleaner'!$J$2:$J$10001,0)),"")</f>
        <v/>
      </c>
    </row>
    <row r="7318">
      <c r="A7318">
        <f>IFERROR(INDEX('Email Cleaner'!$B$2:$B$10001,MATCH(7317,'Email Cleaner'!$J$2:$J$10001,0)),"")</f>
        <v/>
      </c>
    </row>
    <row r="7319">
      <c r="A7319">
        <f>IFERROR(INDEX('Email Cleaner'!$B$2:$B$10001,MATCH(7318,'Email Cleaner'!$J$2:$J$10001,0)),"")</f>
        <v/>
      </c>
    </row>
    <row r="7320">
      <c r="A7320">
        <f>IFERROR(INDEX('Email Cleaner'!$B$2:$B$10001,MATCH(7319,'Email Cleaner'!$J$2:$J$10001,0)),"")</f>
        <v/>
      </c>
    </row>
    <row r="7321">
      <c r="A7321">
        <f>IFERROR(INDEX('Email Cleaner'!$B$2:$B$10001,MATCH(7320,'Email Cleaner'!$J$2:$J$10001,0)),"")</f>
        <v/>
      </c>
    </row>
    <row r="7322">
      <c r="A7322">
        <f>IFERROR(INDEX('Email Cleaner'!$B$2:$B$10001,MATCH(7321,'Email Cleaner'!$J$2:$J$10001,0)),"")</f>
        <v/>
      </c>
    </row>
    <row r="7323">
      <c r="A7323">
        <f>IFERROR(INDEX('Email Cleaner'!$B$2:$B$10001,MATCH(7322,'Email Cleaner'!$J$2:$J$10001,0)),"")</f>
        <v/>
      </c>
    </row>
    <row r="7324">
      <c r="A7324">
        <f>IFERROR(INDEX('Email Cleaner'!$B$2:$B$10001,MATCH(7323,'Email Cleaner'!$J$2:$J$10001,0)),"")</f>
        <v/>
      </c>
    </row>
    <row r="7325">
      <c r="A7325">
        <f>IFERROR(INDEX('Email Cleaner'!$B$2:$B$10001,MATCH(7324,'Email Cleaner'!$J$2:$J$10001,0)),"")</f>
        <v/>
      </c>
    </row>
    <row r="7326">
      <c r="A7326">
        <f>IFERROR(INDEX('Email Cleaner'!$B$2:$B$10001,MATCH(7325,'Email Cleaner'!$J$2:$J$10001,0)),"")</f>
        <v/>
      </c>
    </row>
    <row r="7327">
      <c r="A7327">
        <f>IFERROR(INDEX('Email Cleaner'!$B$2:$B$10001,MATCH(7326,'Email Cleaner'!$J$2:$J$10001,0)),"")</f>
        <v/>
      </c>
    </row>
    <row r="7328">
      <c r="A7328">
        <f>IFERROR(INDEX('Email Cleaner'!$B$2:$B$10001,MATCH(7327,'Email Cleaner'!$J$2:$J$10001,0)),"")</f>
        <v/>
      </c>
    </row>
    <row r="7329">
      <c r="A7329">
        <f>IFERROR(INDEX('Email Cleaner'!$B$2:$B$10001,MATCH(7328,'Email Cleaner'!$J$2:$J$10001,0)),"")</f>
        <v/>
      </c>
    </row>
    <row r="7330">
      <c r="A7330">
        <f>IFERROR(INDEX('Email Cleaner'!$B$2:$B$10001,MATCH(7329,'Email Cleaner'!$J$2:$J$10001,0)),"")</f>
        <v/>
      </c>
    </row>
    <row r="7331">
      <c r="A7331">
        <f>IFERROR(INDEX('Email Cleaner'!$B$2:$B$10001,MATCH(7330,'Email Cleaner'!$J$2:$J$10001,0)),"")</f>
        <v/>
      </c>
    </row>
    <row r="7332">
      <c r="A7332">
        <f>IFERROR(INDEX('Email Cleaner'!$B$2:$B$10001,MATCH(7331,'Email Cleaner'!$J$2:$J$10001,0)),"")</f>
        <v/>
      </c>
    </row>
    <row r="7333">
      <c r="A7333">
        <f>IFERROR(INDEX('Email Cleaner'!$B$2:$B$10001,MATCH(7332,'Email Cleaner'!$J$2:$J$10001,0)),"")</f>
        <v/>
      </c>
    </row>
    <row r="7334">
      <c r="A7334">
        <f>IFERROR(INDEX('Email Cleaner'!$B$2:$B$10001,MATCH(7333,'Email Cleaner'!$J$2:$J$10001,0)),"")</f>
        <v/>
      </c>
    </row>
    <row r="7335">
      <c r="A7335">
        <f>IFERROR(INDEX('Email Cleaner'!$B$2:$B$10001,MATCH(7334,'Email Cleaner'!$J$2:$J$10001,0)),"")</f>
        <v/>
      </c>
    </row>
    <row r="7336">
      <c r="A7336">
        <f>IFERROR(INDEX('Email Cleaner'!$B$2:$B$10001,MATCH(7335,'Email Cleaner'!$J$2:$J$10001,0)),"")</f>
        <v/>
      </c>
    </row>
    <row r="7337">
      <c r="A7337">
        <f>IFERROR(INDEX('Email Cleaner'!$B$2:$B$10001,MATCH(7336,'Email Cleaner'!$J$2:$J$10001,0)),"")</f>
        <v/>
      </c>
    </row>
    <row r="7338">
      <c r="A7338">
        <f>IFERROR(INDEX('Email Cleaner'!$B$2:$B$10001,MATCH(7337,'Email Cleaner'!$J$2:$J$10001,0)),"")</f>
        <v/>
      </c>
    </row>
    <row r="7339">
      <c r="A7339">
        <f>IFERROR(INDEX('Email Cleaner'!$B$2:$B$10001,MATCH(7338,'Email Cleaner'!$J$2:$J$10001,0)),"")</f>
        <v/>
      </c>
    </row>
    <row r="7340">
      <c r="A7340">
        <f>IFERROR(INDEX('Email Cleaner'!$B$2:$B$10001,MATCH(7339,'Email Cleaner'!$J$2:$J$10001,0)),"")</f>
        <v/>
      </c>
    </row>
    <row r="7341">
      <c r="A7341">
        <f>IFERROR(INDEX('Email Cleaner'!$B$2:$B$10001,MATCH(7340,'Email Cleaner'!$J$2:$J$10001,0)),"")</f>
        <v/>
      </c>
    </row>
    <row r="7342">
      <c r="A7342">
        <f>IFERROR(INDEX('Email Cleaner'!$B$2:$B$10001,MATCH(7341,'Email Cleaner'!$J$2:$J$10001,0)),"")</f>
        <v/>
      </c>
    </row>
    <row r="7343">
      <c r="A7343">
        <f>IFERROR(INDEX('Email Cleaner'!$B$2:$B$10001,MATCH(7342,'Email Cleaner'!$J$2:$J$10001,0)),"")</f>
        <v/>
      </c>
    </row>
    <row r="7344">
      <c r="A7344">
        <f>IFERROR(INDEX('Email Cleaner'!$B$2:$B$10001,MATCH(7343,'Email Cleaner'!$J$2:$J$10001,0)),"")</f>
        <v/>
      </c>
    </row>
    <row r="7345">
      <c r="A7345">
        <f>IFERROR(INDEX('Email Cleaner'!$B$2:$B$10001,MATCH(7344,'Email Cleaner'!$J$2:$J$10001,0)),"")</f>
        <v/>
      </c>
    </row>
    <row r="7346">
      <c r="A7346">
        <f>IFERROR(INDEX('Email Cleaner'!$B$2:$B$10001,MATCH(7345,'Email Cleaner'!$J$2:$J$10001,0)),"")</f>
        <v/>
      </c>
    </row>
    <row r="7347">
      <c r="A7347">
        <f>IFERROR(INDEX('Email Cleaner'!$B$2:$B$10001,MATCH(7346,'Email Cleaner'!$J$2:$J$10001,0)),"")</f>
        <v/>
      </c>
    </row>
    <row r="7348">
      <c r="A7348">
        <f>IFERROR(INDEX('Email Cleaner'!$B$2:$B$10001,MATCH(7347,'Email Cleaner'!$J$2:$J$10001,0)),"")</f>
        <v/>
      </c>
    </row>
    <row r="7349">
      <c r="A7349">
        <f>IFERROR(INDEX('Email Cleaner'!$B$2:$B$10001,MATCH(7348,'Email Cleaner'!$J$2:$J$10001,0)),"")</f>
        <v/>
      </c>
    </row>
    <row r="7350">
      <c r="A7350">
        <f>IFERROR(INDEX('Email Cleaner'!$B$2:$B$10001,MATCH(7349,'Email Cleaner'!$J$2:$J$10001,0)),"")</f>
        <v/>
      </c>
    </row>
    <row r="7351">
      <c r="A7351">
        <f>IFERROR(INDEX('Email Cleaner'!$B$2:$B$10001,MATCH(7350,'Email Cleaner'!$J$2:$J$10001,0)),"")</f>
        <v/>
      </c>
    </row>
    <row r="7352">
      <c r="A7352">
        <f>IFERROR(INDEX('Email Cleaner'!$B$2:$B$10001,MATCH(7351,'Email Cleaner'!$J$2:$J$10001,0)),"")</f>
        <v/>
      </c>
    </row>
    <row r="7353">
      <c r="A7353">
        <f>IFERROR(INDEX('Email Cleaner'!$B$2:$B$10001,MATCH(7352,'Email Cleaner'!$J$2:$J$10001,0)),"")</f>
        <v/>
      </c>
    </row>
    <row r="7354">
      <c r="A7354">
        <f>IFERROR(INDEX('Email Cleaner'!$B$2:$B$10001,MATCH(7353,'Email Cleaner'!$J$2:$J$10001,0)),"")</f>
        <v/>
      </c>
    </row>
    <row r="7355">
      <c r="A7355">
        <f>IFERROR(INDEX('Email Cleaner'!$B$2:$B$10001,MATCH(7354,'Email Cleaner'!$J$2:$J$10001,0)),"")</f>
        <v/>
      </c>
    </row>
    <row r="7356">
      <c r="A7356">
        <f>IFERROR(INDEX('Email Cleaner'!$B$2:$B$10001,MATCH(7355,'Email Cleaner'!$J$2:$J$10001,0)),"")</f>
        <v/>
      </c>
    </row>
    <row r="7357">
      <c r="A7357">
        <f>IFERROR(INDEX('Email Cleaner'!$B$2:$B$10001,MATCH(7356,'Email Cleaner'!$J$2:$J$10001,0)),"")</f>
        <v/>
      </c>
    </row>
    <row r="7358">
      <c r="A7358">
        <f>IFERROR(INDEX('Email Cleaner'!$B$2:$B$10001,MATCH(7357,'Email Cleaner'!$J$2:$J$10001,0)),"")</f>
        <v/>
      </c>
    </row>
    <row r="7359">
      <c r="A7359">
        <f>IFERROR(INDEX('Email Cleaner'!$B$2:$B$10001,MATCH(7358,'Email Cleaner'!$J$2:$J$10001,0)),"")</f>
        <v/>
      </c>
    </row>
    <row r="7360">
      <c r="A7360">
        <f>IFERROR(INDEX('Email Cleaner'!$B$2:$B$10001,MATCH(7359,'Email Cleaner'!$J$2:$J$10001,0)),"")</f>
        <v/>
      </c>
    </row>
    <row r="7361">
      <c r="A7361">
        <f>IFERROR(INDEX('Email Cleaner'!$B$2:$B$10001,MATCH(7360,'Email Cleaner'!$J$2:$J$10001,0)),"")</f>
        <v/>
      </c>
    </row>
    <row r="7362">
      <c r="A7362">
        <f>IFERROR(INDEX('Email Cleaner'!$B$2:$B$10001,MATCH(7361,'Email Cleaner'!$J$2:$J$10001,0)),"")</f>
        <v/>
      </c>
    </row>
    <row r="7363">
      <c r="A7363">
        <f>IFERROR(INDEX('Email Cleaner'!$B$2:$B$10001,MATCH(7362,'Email Cleaner'!$J$2:$J$10001,0)),"")</f>
        <v/>
      </c>
    </row>
    <row r="7364">
      <c r="A7364">
        <f>IFERROR(INDEX('Email Cleaner'!$B$2:$B$10001,MATCH(7363,'Email Cleaner'!$J$2:$J$10001,0)),"")</f>
        <v/>
      </c>
    </row>
    <row r="7365">
      <c r="A7365">
        <f>IFERROR(INDEX('Email Cleaner'!$B$2:$B$10001,MATCH(7364,'Email Cleaner'!$J$2:$J$10001,0)),"")</f>
        <v/>
      </c>
    </row>
    <row r="7366">
      <c r="A7366">
        <f>IFERROR(INDEX('Email Cleaner'!$B$2:$B$10001,MATCH(7365,'Email Cleaner'!$J$2:$J$10001,0)),"")</f>
        <v/>
      </c>
    </row>
    <row r="7367">
      <c r="A7367">
        <f>IFERROR(INDEX('Email Cleaner'!$B$2:$B$10001,MATCH(7366,'Email Cleaner'!$J$2:$J$10001,0)),"")</f>
        <v/>
      </c>
    </row>
    <row r="7368">
      <c r="A7368">
        <f>IFERROR(INDEX('Email Cleaner'!$B$2:$B$10001,MATCH(7367,'Email Cleaner'!$J$2:$J$10001,0)),"")</f>
        <v/>
      </c>
    </row>
    <row r="7369">
      <c r="A7369">
        <f>IFERROR(INDEX('Email Cleaner'!$B$2:$B$10001,MATCH(7368,'Email Cleaner'!$J$2:$J$10001,0)),"")</f>
        <v/>
      </c>
    </row>
    <row r="7370">
      <c r="A7370">
        <f>IFERROR(INDEX('Email Cleaner'!$B$2:$B$10001,MATCH(7369,'Email Cleaner'!$J$2:$J$10001,0)),"")</f>
        <v/>
      </c>
    </row>
    <row r="7371">
      <c r="A7371">
        <f>IFERROR(INDEX('Email Cleaner'!$B$2:$B$10001,MATCH(7370,'Email Cleaner'!$J$2:$J$10001,0)),"")</f>
        <v/>
      </c>
    </row>
    <row r="7372">
      <c r="A7372">
        <f>IFERROR(INDEX('Email Cleaner'!$B$2:$B$10001,MATCH(7371,'Email Cleaner'!$J$2:$J$10001,0)),"")</f>
        <v/>
      </c>
    </row>
    <row r="7373">
      <c r="A7373">
        <f>IFERROR(INDEX('Email Cleaner'!$B$2:$B$10001,MATCH(7372,'Email Cleaner'!$J$2:$J$10001,0)),"")</f>
        <v/>
      </c>
    </row>
    <row r="7374">
      <c r="A7374">
        <f>IFERROR(INDEX('Email Cleaner'!$B$2:$B$10001,MATCH(7373,'Email Cleaner'!$J$2:$J$10001,0)),"")</f>
        <v/>
      </c>
    </row>
    <row r="7375">
      <c r="A7375">
        <f>IFERROR(INDEX('Email Cleaner'!$B$2:$B$10001,MATCH(7374,'Email Cleaner'!$J$2:$J$10001,0)),"")</f>
        <v/>
      </c>
    </row>
    <row r="7376">
      <c r="A7376">
        <f>IFERROR(INDEX('Email Cleaner'!$B$2:$B$10001,MATCH(7375,'Email Cleaner'!$J$2:$J$10001,0)),"")</f>
        <v/>
      </c>
    </row>
    <row r="7377">
      <c r="A7377">
        <f>IFERROR(INDEX('Email Cleaner'!$B$2:$B$10001,MATCH(7376,'Email Cleaner'!$J$2:$J$10001,0)),"")</f>
        <v/>
      </c>
    </row>
    <row r="7378">
      <c r="A7378">
        <f>IFERROR(INDEX('Email Cleaner'!$B$2:$B$10001,MATCH(7377,'Email Cleaner'!$J$2:$J$10001,0)),"")</f>
        <v/>
      </c>
    </row>
    <row r="7379">
      <c r="A7379">
        <f>IFERROR(INDEX('Email Cleaner'!$B$2:$B$10001,MATCH(7378,'Email Cleaner'!$J$2:$J$10001,0)),"")</f>
        <v/>
      </c>
    </row>
    <row r="7380">
      <c r="A7380">
        <f>IFERROR(INDEX('Email Cleaner'!$B$2:$B$10001,MATCH(7379,'Email Cleaner'!$J$2:$J$10001,0)),"")</f>
        <v/>
      </c>
    </row>
    <row r="7381">
      <c r="A7381">
        <f>IFERROR(INDEX('Email Cleaner'!$B$2:$B$10001,MATCH(7380,'Email Cleaner'!$J$2:$J$10001,0)),"")</f>
        <v/>
      </c>
    </row>
    <row r="7382">
      <c r="A7382">
        <f>IFERROR(INDEX('Email Cleaner'!$B$2:$B$10001,MATCH(7381,'Email Cleaner'!$J$2:$J$10001,0)),"")</f>
        <v/>
      </c>
    </row>
    <row r="7383">
      <c r="A7383">
        <f>IFERROR(INDEX('Email Cleaner'!$B$2:$B$10001,MATCH(7382,'Email Cleaner'!$J$2:$J$10001,0)),"")</f>
        <v/>
      </c>
    </row>
    <row r="7384">
      <c r="A7384">
        <f>IFERROR(INDEX('Email Cleaner'!$B$2:$B$10001,MATCH(7383,'Email Cleaner'!$J$2:$J$10001,0)),"")</f>
        <v/>
      </c>
    </row>
    <row r="7385">
      <c r="A7385">
        <f>IFERROR(INDEX('Email Cleaner'!$B$2:$B$10001,MATCH(7384,'Email Cleaner'!$J$2:$J$10001,0)),"")</f>
        <v/>
      </c>
    </row>
    <row r="7386">
      <c r="A7386">
        <f>IFERROR(INDEX('Email Cleaner'!$B$2:$B$10001,MATCH(7385,'Email Cleaner'!$J$2:$J$10001,0)),"")</f>
        <v/>
      </c>
    </row>
    <row r="7387">
      <c r="A7387">
        <f>IFERROR(INDEX('Email Cleaner'!$B$2:$B$10001,MATCH(7386,'Email Cleaner'!$J$2:$J$10001,0)),"")</f>
        <v/>
      </c>
    </row>
    <row r="7388">
      <c r="A7388">
        <f>IFERROR(INDEX('Email Cleaner'!$B$2:$B$10001,MATCH(7387,'Email Cleaner'!$J$2:$J$10001,0)),"")</f>
        <v/>
      </c>
    </row>
    <row r="7389">
      <c r="A7389">
        <f>IFERROR(INDEX('Email Cleaner'!$B$2:$B$10001,MATCH(7388,'Email Cleaner'!$J$2:$J$10001,0)),"")</f>
        <v/>
      </c>
    </row>
    <row r="7390">
      <c r="A7390">
        <f>IFERROR(INDEX('Email Cleaner'!$B$2:$B$10001,MATCH(7389,'Email Cleaner'!$J$2:$J$10001,0)),"")</f>
        <v/>
      </c>
    </row>
    <row r="7391">
      <c r="A7391">
        <f>IFERROR(INDEX('Email Cleaner'!$B$2:$B$10001,MATCH(7390,'Email Cleaner'!$J$2:$J$10001,0)),"")</f>
        <v/>
      </c>
    </row>
    <row r="7392">
      <c r="A7392">
        <f>IFERROR(INDEX('Email Cleaner'!$B$2:$B$10001,MATCH(7391,'Email Cleaner'!$J$2:$J$10001,0)),"")</f>
        <v/>
      </c>
    </row>
    <row r="7393">
      <c r="A7393">
        <f>IFERROR(INDEX('Email Cleaner'!$B$2:$B$10001,MATCH(7392,'Email Cleaner'!$J$2:$J$10001,0)),"")</f>
        <v/>
      </c>
    </row>
    <row r="7394">
      <c r="A7394">
        <f>IFERROR(INDEX('Email Cleaner'!$B$2:$B$10001,MATCH(7393,'Email Cleaner'!$J$2:$J$10001,0)),"")</f>
        <v/>
      </c>
    </row>
    <row r="7395">
      <c r="A7395">
        <f>IFERROR(INDEX('Email Cleaner'!$B$2:$B$10001,MATCH(7394,'Email Cleaner'!$J$2:$J$10001,0)),"")</f>
        <v/>
      </c>
    </row>
    <row r="7396">
      <c r="A7396">
        <f>IFERROR(INDEX('Email Cleaner'!$B$2:$B$10001,MATCH(7395,'Email Cleaner'!$J$2:$J$10001,0)),"")</f>
        <v/>
      </c>
    </row>
    <row r="7397">
      <c r="A7397">
        <f>IFERROR(INDEX('Email Cleaner'!$B$2:$B$10001,MATCH(7396,'Email Cleaner'!$J$2:$J$10001,0)),"")</f>
        <v/>
      </c>
    </row>
    <row r="7398">
      <c r="A7398">
        <f>IFERROR(INDEX('Email Cleaner'!$B$2:$B$10001,MATCH(7397,'Email Cleaner'!$J$2:$J$10001,0)),"")</f>
        <v/>
      </c>
    </row>
    <row r="7399">
      <c r="A7399">
        <f>IFERROR(INDEX('Email Cleaner'!$B$2:$B$10001,MATCH(7398,'Email Cleaner'!$J$2:$J$10001,0)),"")</f>
        <v/>
      </c>
    </row>
    <row r="7400">
      <c r="A7400">
        <f>IFERROR(INDEX('Email Cleaner'!$B$2:$B$10001,MATCH(7399,'Email Cleaner'!$J$2:$J$10001,0)),"")</f>
        <v/>
      </c>
    </row>
    <row r="7401">
      <c r="A7401">
        <f>IFERROR(INDEX('Email Cleaner'!$B$2:$B$10001,MATCH(7400,'Email Cleaner'!$J$2:$J$10001,0)),"")</f>
        <v/>
      </c>
    </row>
    <row r="7402">
      <c r="A7402">
        <f>IFERROR(INDEX('Email Cleaner'!$B$2:$B$10001,MATCH(7401,'Email Cleaner'!$J$2:$J$10001,0)),"")</f>
        <v/>
      </c>
    </row>
    <row r="7403">
      <c r="A7403">
        <f>IFERROR(INDEX('Email Cleaner'!$B$2:$B$10001,MATCH(7402,'Email Cleaner'!$J$2:$J$10001,0)),"")</f>
        <v/>
      </c>
    </row>
    <row r="7404">
      <c r="A7404">
        <f>IFERROR(INDEX('Email Cleaner'!$B$2:$B$10001,MATCH(7403,'Email Cleaner'!$J$2:$J$10001,0)),"")</f>
        <v/>
      </c>
    </row>
    <row r="7405">
      <c r="A7405">
        <f>IFERROR(INDEX('Email Cleaner'!$B$2:$B$10001,MATCH(7404,'Email Cleaner'!$J$2:$J$10001,0)),"")</f>
        <v/>
      </c>
    </row>
    <row r="7406">
      <c r="A7406">
        <f>IFERROR(INDEX('Email Cleaner'!$B$2:$B$10001,MATCH(7405,'Email Cleaner'!$J$2:$J$10001,0)),"")</f>
        <v/>
      </c>
    </row>
    <row r="7407">
      <c r="A7407">
        <f>IFERROR(INDEX('Email Cleaner'!$B$2:$B$10001,MATCH(7406,'Email Cleaner'!$J$2:$J$10001,0)),"")</f>
        <v/>
      </c>
    </row>
    <row r="7408">
      <c r="A7408">
        <f>IFERROR(INDEX('Email Cleaner'!$B$2:$B$10001,MATCH(7407,'Email Cleaner'!$J$2:$J$10001,0)),"")</f>
        <v/>
      </c>
    </row>
    <row r="7409">
      <c r="A7409">
        <f>IFERROR(INDEX('Email Cleaner'!$B$2:$B$10001,MATCH(7408,'Email Cleaner'!$J$2:$J$10001,0)),"")</f>
        <v/>
      </c>
    </row>
    <row r="7410">
      <c r="A7410">
        <f>IFERROR(INDEX('Email Cleaner'!$B$2:$B$10001,MATCH(7409,'Email Cleaner'!$J$2:$J$10001,0)),"")</f>
        <v/>
      </c>
    </row>
    <row r="7411">
      <c r="A7411">
        <f>IFERROR(INDEX('Email Cleaner'!$B$2:$B$10001,MATCH(7410,'Email Cleaner'!$J$2:$J$10001,0)),"")</f>
        <v/>
      </c>
    </row>
    <row r="7412">
      <c r="A7412">
        <f>IFERROR(INDEX('Email Cleaner'!$B$2:$B$10001,MATCH(7411,'Email Cleaner'!$J$2:$J$10001,0)),"")</f>
        <v/>
      </c>
    </row>
    <row r="7413">
      <c r="A7413">
        <f>IFERROR(INDEX('Email Cleaner'!$B$2:$B$10001,MATCH(7412,'Email Cleaner'!$J$2:$J$10001,0)),"")</f>
        <v/>
      </c>
    </row>
    <row r="7414">
      <c r="A7414">
        <f>IFERROR(INDEX('Email Cleaner'!$B$2:$B$10001,MATCH(7413,'Email Cleaner'!$J$2:$J$10001,0)),"")</f>
        <v/>
      </c>
    </row>
    <row r="7415">
      <c r="A7415">
        <f>IFERROR(INDEX('Email Cleaner'!$B$2:$B$10001,MATCH(7414,'Email Cleaner'!$J$2:$J$10001,0)),"")</f>
        <v/>
      </c>
    </row>
    <row r="7416">
      <c r="A7416">
        <f>IFERROR(INDEX('Email Cleaner'!$B$2:$B$10001,MATCH(7415,'Email Cleaner'!$J$2:$J$10001,0)),"")</f>
        <v/>
      </c>
    </row>
    <row r="7417">
      <c r="A7417">
        <f>IFERROR(INDEX('Email Cleaner'!$B$2:$B$10001,MATCH(7416,'Email Cleaner'!$J$2:$J$10001,0)),"")</f>
        <v/>
      </c>
    </row>
    <row r="7418">
      <c r="A7418">
        <f>IFERROR(INDEX('Email Cleaner'!$B$2:$B$10001,MATCH(7417,'Email Cleaner'!$J$2:$J$10001,0)),"")</f>
        <v/>
      </c>
    </row>
    <row r="7419">
      <c r="A7419">
        <f>IFERROR(INDEX('Email Cleaner'!$B$2:$B$10001,MATCH(7418,'Email Cleaner'!$J$2:$J$10001,0)),"")</f>
        <v/>
      </c>
    </row>
    <row r="7420">
      <c r="A7420">
        <f>IFERROR(INDEX('Email Cleaner'!$B$2:$B$10001,MATCH(7419,'Email Cleaner'!$J$2:$J$10001,0)),"")</f>
        <v/>
      </c>
    </row>
    <row r="7421">
      <c r="A7421">
        <f>IFERROR(INDEX('Email Cleaner'!$B$2:$B$10001,MATCH(7420,'Email Cleaner'!$J$2:$J$10001,0)),"")</f>
        <v/>
      </c>
    </row>
    <row r="7422">
      <c r="A7422">
        <f>IFERROR(INDEX('Email Cleaner'!$B$2:$B$10001,MATCH(7421,'Email Cleaner'!$J$2:$J$10001,0)),"")</f>
        <v/>
      </c>
    </row>
    <row r="7423">
      <c r="A7423">
        <f>IFERROR(INDEX('Email Cleaner'!$B$2:$B$10001,MATCH(7422,'Email Cleaner'!$J$2:$J$10001,0)),"")</f>
        <v/>
      </c>
    </row>
    <row r="7424">
      <c r="A7424">
        <f>IFERROR(INDEX('Email Cleaner'!$B$2:$B$10001,MATCH(7423,'Email Cleaner'!$J$2:$J$10001,0)),"")</f>
        <v/>
      </c>
    </row>
    <row r="7425">
      <c r="A7425">
        <f>IFERROR(INDEX('Email Cleaner'!$B$2:$B$10001,MATCH(7424,'Email Cleaner'!$J$2:$J$10001,0)),"")</f>
        <v/>
      </c>
    </row>
    <row r="7426">
      <c r="A7426">
        <f>IFERROR(INDEX('Email Cleaner'!$B$2:$B$10001,MATCH(7425,'Email Cleaner'!$J$2:$J$10001,0)),"")</f>
        <v/>
      </c>
    </row>
    <row r="7427">
      <c r="A7427">
        <f>IFERROR(INDEX('Email Cleaner'!$B$2:$B$10001,MATCH(7426,'Email Cleaner'!$J$2:$J$10001,0)),"")</f>
        <v/>
      </c>
    </row>
    <row r="7428">
      <c r="A7428">
        <f>IFERROR(INDEX('Email Cleaner'!$B$2:$B$10001,MATCH(7427,'Email Cleaner'!$J$2:$J$10001,0)),"")</f>
        <v/>
      </c>
    </row>
    <row r="7429">
      <c r="A7429">
        <f>IFERROR(INDEX('Email Cleaner'!$B$2:$B$10001,MATCH(7428,'Email Cleaner'!$J$2:$J$10001,0)),"")</f>
        <v/>
      </c>
    </row>
    <row r="7430">
      <c r="A7430">
        <f>IFERROR(INDEX('Email Cleaner'!$B$2:$B$10001,MATCH(7429,'Email Cleaner'!$J$2:$J$10001,0)),"")</f>
        <v/>
      </c>
    </row>
    <row r="7431">
      <c r="A7431">
        <f>IFERROR(INDEX('Email Cleaner'!$B$2:$B$10001,MATCH(7430,'Email Cleaner'!$J$2:$J$10001,0)),"")</f>
        <v/>
      </c>
    </row>
    <row r="7432">
      <c r="A7432">
        <f>IFERROR(INDEX('Email Cleaner'!$B$2:$B$10001,MATCH(7431,'Email Cleaner'!$J$2:$J$10001,0)),"")</f>
        <v/>
      </c>
    </row>
    <row r="7433">
      <c r="A7433">
        <f>IFERROR(INDEX('Email Cleaner'!$B$2:$B$10001,MATCH(7432,'Email Cleaner'!$J$2:$J$10001,0)),"")</f>
        <v/>
      </c>
    </row>
    <row r="7434">
      <c r="A7434">
        <f>IFERROR(INDEX('Email Cleaner'!$B$2:$B$10001,MATCH(7433,'Email Cleaner'!$J$2:$J$10001,0)),"")</f>
        <v/>
      </c>
    </row>
    <row r="7435">
      <c r="A7435">
        <f>IFERROR(INDEX('Email Cleaner'!$B$2:$B$10001,MATCH(7434,'Email Cleaner'!$J$2:$J$10001,0)),"")</f>
        <v/>
      </c>
    </row>
    <row r="7436">
      <c r="A7436">
        <f>IFERROR(INDEX('Email Cleaner'!$B$2:$B$10001,MATCH(7435,'Email Cleaner'!$J$2:$J$10001,0)),"")</f>
        <v/>
      </c>
    </row>
    <row r="7437">
      <c r="A7437">
        <f>IFERROR(INDEX('Email Cleaner'!$B$2:$B$10001,MATCH(7436,'Email Cleaner'!$J$2:$J$10001,0)),"")</f>
        <v/>
      </c>
    </row>
    <row r="7438">
      <c r="A7438">
        <f>IFERROR(INDEX('Email Cleaner'!$B$2:$B$10001,MATCH(7437,'Email Cleaner'!$J$2:$J$10001,0)),"")</f>
        <v/>
      </c>
    </row>
    <row r="7439">
      <c r="A7439">
        <f>IFERROR(INDEX('Email Cleaner'!$B$2:$B$10001,MATCH(7438,'Email Cleaner'!$J$2:$J$10001,0)),"")</f>
        <v/>
      </c>
    </row>
    <row r="7440">
      <c r="A7440">
        <f>IFERROR(INDEX('Email Cleaner'!$B$2:$B$10001,MATCH(7439,'Email Cleaner'!$J$2:$J$10001,0)),"")</f>
        <v/>
      </c>
    </row>
    <row r="7441">
      <c r="A7441">
        <f>IFERROR(INDEX('Email Cleaner'!$B$2:$B$10001,MATCH(7440,'Email Cleaner'!$J$2:$J$10001,0)),"")</f>
        <v/>
      </c>
    </row>
    <row r="7442">
      <c r="A7442">
        <f>IFERROR(INDEX('Email Cleaner'!$B$2:$B$10001,MATCH(7441,'Email Cleaner'!$J$2:$J$10001,0)),"")</f>
        <v/>
      </c>
    </row>
    <row r="7443">
      <c r="A7443">
        <f>IFERROR(INDEX('Email Cleaner'!$B$2:$B$10001,MATCH(7442,'Email Cleaner'!$J$2:$J$10001,0)),"")</f>
        <v/>
      </c>
    </row>
    <row r="7444">
      <c r="A7444">
        <f>IFERROR(INDEX('Email Cleaner'!$B$2:$B$10001,MATCH(7443,'Email Cleaner'!$J$2:$J$10001,0)),"")</f>
        <v/>
      </c>
    </row>
    <row r="7445">
      <c r="A7445">
        <f>IFERROR(INDEX('Email Cleaner'!$B$2:$B$10001,MATCH(7444,'Email Cleaner'!$J$2:$J$10001,0)),"")</f>
        <v/>
      </c>
    </row>
    <row r="7446">
      <c r="A7446">
        <f>IFERROR(INDEX('Email Cleaner'!$B$2:$B$10001,MATCH(7445,'Email Cleaner'!$J$2:$J$10001,0)),"")</f>
        <v/>
      </c>
    </row>
    <row r="7447">
      <c r="A7447">
        <f>IFERROR(INDEX('Email Cleaner'!$B$2:$B$10001,MATCH(7446,'Email Cleaner'!$J$2:$J$10001,0)),"")</f>
        <v/>
      </c>
    </row>
    <row r="7448">
      <c r="A7448">
        <f>IFERROR(INDEX('Email Cleaner'!$B$2:$B$10001,MATCH(7447,'Email Cleaner'!$J$2:$J$10001,0)),"")</f>
        <v/>
      </c>
    </row>
    <row r="7449">
      <c r="A7449">
        <f>IFERROR(INDEX('Email Cleaner'!$B$2:$B$10001,MATCH(7448,'Email Cleaner'!$J$2:$J$10001,0)),"")</f>
        <v/>
      </c>
    </row>
    <row r="7450">
      <c r="A7450">
        <f>IFERROR(INDEX('Email Cleaner'!$B$2:$B$10001,MATCH(7449,'Email Cleaner'!$J$2:$J$10001,0)),"")</f>
        <v/>
      </c>
    </row>
    <row r="7451">
      <c r="A7451">
        <f>IFERROR(INDEX('Email Cleaner'!$B$2:$B$10001,MATCH(7450,'Email Cleaner'!$J$2:$J$10001,0)),"")</f>
        <v/>
      </c>
    </row>
    <row r="7452">
      <c r="A7452">
        <f>IFERROR(INDEX('Email Cleaner'!$B$2:$B$10001,MATCH(7451,'Email Cleaner'!$J$2:$J$10001,0)),"")</f>
        <v/>
      </c>
    </row>
    <row r="7453">
      <c r="A7453">
        <f>IFERROR(INDEX('Email Cleaner'!$B$2:$B$10001,MATCH(7452,'Email Cleaner'!$J$2:$J$10001,0)),"")</f>
        <v/>
      </c>
    </row>
    <row r="7454">
      <c r="A7454">
        <f>IFERROR(INDEX('Email Cleaner'!$B$2:$B$10001,MATCH(7453,'Email Cleaner'!$J$2:$J$10001,0)),"")</f>
        <v/>
      </c>
    </row>
    <row r="7455">
      <c r="A7455">
        <f>IFERROR(INDEX('Email Cleaner'!$B$2:$B$10001,MATCH(7454,'Email Cleaner'!$J$2:$J$10001,0)),"")</f>
        <v/>
      </c>
    </row>
    <row r="7456">
      <c r="A7456">
        <f>IFERROR(INDEX('Email Cleaner'!$B$2:$B$10001,MATCH(7455,'Email Cleaner'!$J$2:$J$10001,0)),"")</f>
        <v/>
      </c>
    </row>
    <row r="7457">
      <c r="A7457">
        <f>IFERROR(INDEX('Email Cleaner'!$B$2:$B$10001,MATCH(7456,'Email Cleaner'!$J$2:$J$10001,0)),"")</f>
        <v/>
      </c>
    </row>
    <row r="7458">
      <c r="A7458">
        <f>IFERROR(INDEX('Email Cleaner'!$B$2:$B$10001,MATCH(7457,'Email Cleaner'!$J$2:$J$10001,0)),"")</f>
        <v/>
      </c>
    </row>
    <row r="7459">
      <c r="A7459">
        <f>IFERROR(INDEX('Email Cleaner'!$B$2:$B$10001,MATCH(7458,'Email Cleaner'!$J$2:$J$10001,0)),"")</f>
        <v/>
      </c>
    </row>
    <row r="7460">
      <c r="A7460">
        <f>IFERROR(INDEX('Email Cleaner'!$B$2:$B$10001,MATCH(7459,'Email Cleaner'!$J$2:$J$10001,0)),"")</f>
        <v/>
      </c>
    </row>
    <row r="7461">
      <c r="A7461">
        <f>IFERROR(INDEX('Email Cleaner'!$B$2:$B$10001,MATCH(7460,'Email Cleaner'!$J$2:$J$10001,0)),"")</f>
        <v/>
      </c>
    </row>
    <row r="7462">
      <c r="A7462">
        <f>IFERROR(INDEX('Email Cleaner'!$B$2:$B$10001,MATCH(7461,'Email Cleaner'!$J$2:$J$10001,0)),"")</f>
        <v/>
      </c>
    </row>
    <row r="7463">
      <c r="A7463">
        <f>IFERROR(INDEX('Email Cleaner'!$B$2:$B$10001,MATCH(7462,'Email Cleaner'!$J$2:$J$10001,0)),"")</f>
        <v/>
      </c>
    </row>
    <row r="7464">
      <c r="A7464">
        <f>IFERROR(INDEX('Email Cleaner'!$B$2:$B$10001,MATCH(7463,'Email Cleaner'!$J$2:$J$10001,0)),"")</f>
        <v/>
      </c>
    </row>
    <row r="7465">
      <c r="A7465">
        <f>IFERROR(INDEX('Email Cleaner'!$B$2:$B$10001,MATCH(7464,'Email Cleaner'!$J$2:$J$10001,0)),"")</f>
        <v/>
      </c>
    </row>
    <row r="7466">
      <c r="A7466">
        <f>IFERROR(INDEX('Email Cleaner'!$B$2:$B$10001,MATCH(7465,'Email Cleaner'!$J$2:$J$10001,0)),"")</f>
        <v/>
      </c>
    </row>
    <row r="7467">
      <c r="A7467">
        <f>IFERROR(INDEX('Email Cleaner'!$B$2:$B$10001,MATCH(7466,'Email Cleaner'!$J$2:$J$10001,0)),"")</f>
        <v/>
      </c>
    </row>
    <row r="7468">
      <c r="A7468">
        <f>IFERROR(INDEX('Email Cleaner'!$B$2:$B$10001,MATCH(7467,'Email Cleaner'!$J$2:$J$10001,0)),"")</f>
        <v/>
      </c>
    </row>
    <row r="7469">
      <c r="A7469">
        <f>IFERROR(INDEX('Email Cleaner'!$B$2:$B$10001,MATCH(7468,'Email Cleaner'!$J$2:$J$10001,0)),"")</f>
        <v/>
      </c>
    </row>
    <row r="7470">
      <c r="A7470">
        <f>IFERROR(INDEX('Email Cleaner'!$B$2:$B$10001,MATCH(7469,'Email Cleaner'!$J$2:$J$10001,0)),"")</f>
        <v/>
      </c>
    </row>
    <row r="7471">
      <c r="A7471">
        <f>IFERROR(INDEX('Email Cleaner'!$B$2:$B$10001,MATCH(7470,'Email Cleaner'!$J$2:$J$10001,0)),"")</f>
        <v/>
      </c>
    </row>
    <row r="7472">
      <c r="A7472">
        <f>IFERROR(INDEX('Email Cleaner'!$B$2:$B$10001,MATCH(7471,'Email Cleaner'!$J$2:$J$10001,0)),"")</f>
        <v/>
      </c>
    </row>
    <row r="7473">
      <c r="A7473">
        <f>IFERROR(INDEX('Email Cleaner'!$B$2:$B$10001,MATCH(7472,'Email Cleaner'!$J$2:$J$10001,0)),"")</f>
        <v/>
      </c>
    </row>
    <row r="7474">
      <c r="A7474">
        <f>IFERROR(INDEX('Email Cleaner'!$B$2:$B$10001,MATCH(7473,'Email Cleaner'!$J$2:$J$10001,0)),"")</f>
        <v/>
      </c>
    </row>
    <row r="7475">
      <c r="A7475">
        <f>IFERROR(INDEX('Email Cleaner'!$B$2:$B$10001,MATCH(7474,'Email Cleaner'!$J$2:$J$10001,0)),"")</f>
        <v/>
      </c>
    </row>
    <row r="7476">
      <c r="A7476">
        <f>IFERROR(INDEX('Email Cleaner'!$B$2:$B$10001,MATCH(7475,'Email Cleaner'!$J$2:$J$10001,0)),"")</f>
        <v/>
      </c>
    </row>
    <row r="7477">
      <c r="A7477">
        <f>IFERROR(INDEX('Email Cleaner'!$B$2:$B$10001,MATCH(7476,'Email Cleaner'!$J$2:$J$10001,0)),"")</f>
        <v/>
      </c>
    </row>
    <row r="7478">
      <c r="A7478">
        <f>IFERROR(INDEX('Email Cleaner'!$B$2:$B$10001,MATCH(7477,'Email Cleaner'!$J$2:$J$10001,0)),"")</f>
        <v/>
      </c>
    </row>
    <row r="7479">
      <c r="A7479">
        <f>IFERROR(INDEX('Email Cleaner'!$B$2:$B$10001,MATCH(7478,'Email Cleaner'!$J$2:$J$10001,0)),"")</f>
        <v/>
      </c>
    </row>
    <row r="7480">
      <c r="A7480">
        <f>IFERROR(INDEX('Email Cleaner'!$B$2:$B$10001,MATCH(7479,'Email Cleaner'!$J$2:$J$10001,0)),"")</f>
        <v/>
      </c>
    </row>
    <row r="7481">
      <c r="A7481">
        <f>IFERROR(INDEX('Email Cleaner'!$B$2:$B$10001,MATCH(7480,'Email Cleaner'!$J$2:$J$10001,0)),"")</f>
        <v/>
      </c>
    </row>
    <row r="7482">
      <c r="A7482">
        <f>IFERROR(INDEX('Email Cleaner'!$B$2:$B$10001,MATCH(7481,'Email Cleaner'!$J$2:$J$10001,0)),"")</f>
        <v/>
      </c>
    </row>
    <row r="7483">
      <c r="A7483">
        <f>IFERROR(INDEX('Email Cleaner'!$B$2:$B$10001,MATCH(7482,'Email Cleaner'!$J$2:$J$10001,0)),"")</f>
        <v/>
      </c>
    </row>
    <row r="7484">
      <c r="A7484">
        <f>IFERROR(INDEX('Email Cleaner'!$B$2:$B$10001,MATCH(7483,'Email Cleaner'!$J$2:$J$10001,0)),"")</f>
        <v/>
      </c>
    </row>
    <row r="7485">
      <c r="A7485">
        <f>IFERROR(INDEX('Email Cleaner'!$B$2:$B$10001,MATCH(7484,'Email Cleaner'!$J$2:$J$10001,0)),"")</f>
        <v/>
      </c>
    </row>
    <row r="7486">
      <c r="A7486">
        <f>IFERROR(INDEX('Email Cleaner'!$B$2:$B$10001,MATCH(7485,'Email Cleaner'!$J$2:$J$10001,0)),"")</f>
        <v/>
      </c>
    </row>
    <row r="7487">
      <c r="A7487">
        <f>IFERROR(INDEX('Email Cleaner'!$B$2:$B$10001,MATCH(7486,'Email Cleaner'!$J$2:$J$10001,0)),"")</f>
        <v/>
      </c>
    </row>
    <row r="7488">
      <c r="A7488">
        <f>IFERROR(INDEX('Email Cleaner'!$B$2:$B$10001,MATCH(7487,'Email Cleaner'!$J$2:$J$10001,0)),"")</f>
        <v/>
      </c>
    </row>
    <row r="7489">
      <c r="A7489">
        <f>IFERROR(INDEX('Email Cleaner'!$B$2:$B$10001,MATCH(7488,'Email Cleaner'!$J$2:$J$10001,0)),"")</f>
        <v/>
      </c>
    </row>
    <row r="7490">
      <c r="A7490">
        <f>IFERROR(INDEX('Email Cleaner'!$B$2:$B$10001,MATCH(7489,'Email Cleaner'!$J$2:$J$10001,0)),"")</f>
        <v/>
      </c>
    </row>
    <row r="7491">
      <c r="A7491">
        <f>IFERROR(INDEX('Email Cleaner'!$B$2:$B$10001,MATCH(7490,'Email Cleaner'!$J$2:$J$10001,0)),"")</f>
        <v/>
      </c>
    </row>
    <row r="7492">
      <c r="A7492">
        <f>IFERROR(INDEX('Email Cleaner'!$B$2:$B$10001,MATCH(7491,'Email Cleaner'!$J$2:$J$10001,0)),"")</f>
        <v/>
      </c>
    </row>
    <row r="7493">
      <c r="A7493">
        <f>IFERROR(INDEX('Email Cleaner'!$B$2:$B$10001,MATCH(7492,'Email Cleaner'!$J$2:$J$10001,0)),"")</f>
        <v/>
      </c>
    </row>
    <row r="7494">
      <c r="A7494">
        <f>IFERROR(INDEX('Email Cleaner'!$B$2:$B$10001,MATCH(7493,'Email Cleaner'!$J$2:$J$10001,0)),"")</f>
        <v/>
      </c>
    </row>
    <row r="7495">
      <c r="A7495">
        <f>IFERROR(INDEX('Email Cleaner'!$B$2:$B$10001,MATCH(7494,'Email Cleaner'!$J$2:$J$10001,0)),"")</f>
        <v/>
      </c>
    </row>
    <row r="7496">
      <c r="A7496">
        <f>IFERROR(INDEX('Email Cleaner'!$B$2:$B$10001,MATCH(7495,'Email Cleaner'!$J$2:$J$10001,0)),"")</f>
        <v/>
      </c>
    </row>
    <row r="7497">
      <c r="A7497">
        <f>IFERROR(INDEX('Email Cleaner'!$B$2:$B$10001,MATCH(7496,'Email Cleaner'!$J$2:$J$10001,0)),"")</f>
        <v/>
      </c>
    </row>
    <row r="7498">
      <c r="A7498">
        <f>IFERROR(INDEX('Email Cleaner'!$B$2:$B$10001,MATCH(7497,'Email Cleaner'!$J$2:$J$10001,0)),"")</f>
        <v/>
      </c>
    </row>
    <row r="7499">
      <c r="A7499">
        <f>IFERROR(INDEX('Email Cleaner'!$B$2:$B$10001,MATCH(7498,'Email Cleaner'!$J$2:$J$10001,0)),"")</f>
        <v/>
      </c>
    </row>
    <row r="7500">
      <c r="A7500">
        <f>IFERROR(INDEX('Email Cleaner'!$B$2:$B$10001,MATCH(7499,'Email Cleaner'!$J$2:$J$10001,0)),"")</f>
        <v/>
      </c>
    </row>
    <row r="7501">
      <c r="A7501">
        <f>IFERROR(INDEX('Email Cleaner'!$B$2:$B$10001,MATCH(7500,'Email Cleaner'!$J$2:$J$10001,0)),"")</f>
        <v/>
      </c>
    </row>
    <row r="7502">
      <c r="A7502">
        <f>IFERROR(INDEX('Email Cleaner'!$B$2:$B$10001,MATCH(7501,'Email Cleaner'!$J$2:$J$10001,0)),"")</f>
        <v/>
      </c>
    </row>
    <row r="7503">
      <c r="A7503">
        <f>IFERROR(INDEX('Email Cleaner'!$B$2:$B$10001,MATCH(7502,'Email Cleaner'!$J$2:$J$10001,0)),"")</f>
        <v/>
      </c>
    </row>
    <row r="7504">
      <c r="A7504">
        <f>IFERROR(INDEX('Email Cleaner'!$B$2:$B$10001,MATCH(7503,'Email Cleaner'!$J$2:$J$10001,0)),"")</f>
        <v/>
      </c>
    </row>
    <row r="7505">
      <c r="A7505">
        <f>IFERROR(INDEX('Email Cleaner'!$B$2:$B$10001,MATCH(7504,'Email Cleaner'!$J$2:$J$10001,0)),"")</f>
        <v/>
      </c>
    </row>
    <row r="7506">
      <c r="A7506">
        <f>IFERROR(INDEX('Email Cleaner'!$B$2:$B$10001,MATCH(7505,'Email Cleaner'!$J$2:$J$10001,0)),"")</f>
        <v/>
      </c>
    </row>
    <row r="7507">
      <c r="A7507">
        <f>IFERROR(INDEX('Email Cleaner'!$B$2:$B$10001,MATCH(7506,'Email Cleaner'!$J$2:$J$10001,0)),"")</f>
        <v/>
      </c>
    </row>
    <row r="7508">
      <c r="A7508">
        <f>IFERROR(INDEX('Email Cleaner'!$B$2:$B$10001,MATCH(7507,'Email Cleaner'!$J$2:$J$10001,0)),"")</f>
        <v/>
      </c>
    </row>
    <row r="7509">
      <c r="A7509">
        <f>IFERROR(INDEX('Email Cleaner'!$B$2:$B$10001,MATCH(7508,'Email Cleaner'!$J$2:$J$10001,0)),"")</f>
        <v/>
      </c>
    </row>
    <row r="7510">
      <c r="A7510">
        <f>IFERROR(INDEX('Email Cleaner'!$B$2:$B$10001,MATCH(7509,'Email Cleaner'!$J$2:$J$10001,0)),"")</f>
        <v/>
      </c>
    </row>
    <row r="7511">
      <c r="A7511">
        <f>IFERROR(INDEX('Email Cleaner'!$B$2:$B$10001,MATCH(7510,'Email Cleaner'!$J$2:$J$10001,0)),"")</f>
        <v/>
      </c>
    </row>
    <row r="7512">
      <c r="A7512">
        <f>IFERROR(INDEX('Email Cleaner'!$B$2:$B$10001,MATCH(7511,'Email Cleaner'!$J$2:$J$10001,0)),"")</f>
        <v/>
      </c>
    </row>
    <row r="7513">
      <c r="A7513">
        <f>IFERROR(INDEX('Email Cleaner'!$B$2:$B$10001,MATCH(7512,'Email Cleaner'!$J$2:$J$10001,0)),"")</f>
        <v/>
      </c>
    </row>
    <row r="7514">
      <c r="A7514">
        <f>IFERROR(INDEX('Email Cleaner'!$B$2:$B$10001,MATCH(7513,'Email Cleaner'!$J$2:$J$10001,0)),"")</f>
        <v/>
      </c>
    </row>
    <row r="7515">
      <c r="A7515">
        <f>IFERROR(INDEX('Email Cleaner'!$B$2:$B$10001,MATCH(7514,'Email Cleaner'!$J$2:$J$10001,0)),"")</f>
        <v/>
      </c>
    </row>
    <row r="7516">
      <c r="A7516">
        <f>IFERROR(INDEX('Email Cleaner'!$B$2:$B$10001,MATCH(7515,'Email Cleaner'!$J$2:$J$10001,0)),"")</f>
        <v/>
      </c>
    </row>
    <row r="7517">
      <c r="A7517">
        <f>IFERROR(INDEX('Email Cleaner'!$B$2:$B$10001,MATCH(7516,'Email Cleaner'!$J$2:$J$10001,0)),"")</f>
        <v/>
      </c>
    </row>
    <row r="7518">
      <c r="A7518">
        <f>IFERROR(INDEX('Email Cleaner'!$B$2:$B$10001,MATCH(7517,'Email Cleaner'!$J$2:$J$10001,0)),"")</f>
        <v/>
      </c>
    </row>
    <row r="7519">
      <c r="A7519">
        <f>IFERROR(INDEX('Email Cleaner'!$B$2:$B$10001,MATCH(7518,'Email Cleaner'!$J$2:$J$10001,0)),"")</f>
        <v/>
      </c>
    </row>
    <row r="7520">
      <c r="A7520">
        <f>IFERROR(INDEX('Email Cleaner'!$B$2:$B$10001,MATCH(7519,'Email Cleaner'!$J$2:$J$10001,0)),"")</f>
        <v/>
      </c>
    </row>
    <row r="7521">
      <c r="A7521">
        <f>IFERROR(INDEX('Email Cleaner'!$B$2:$B$10001,MATCH(7520,'Email Cleaner'!$J$2:$J$10001,0)),"")</f>
        <v/>
      </c>
    </row>
    <row r="7522">
      <c r="A7522">
        <f>IFERROR(INDEX('Email Cleaner'!$B$2:$B$10001,MATCH(7521,'Email Cleaner'!$J$2:$J$10001,0)),"")</f>
        <v/>
      </c>
    </row>
    <row r="7523">
      <c r="A7523">
        <f>IFERROR(INDEX('Email Cleaner'!$B$2:$B$10001,MATCH(7522,'Email Cleaner'!$J$2:$J$10001,0)),"")</f>
        <v/>
      </c>
    </row>
    <row r="7524">
      <c r="A7524">
        <f>IFERROR(INDEX('Email Cleaner'!$B$2:$B$10001,MATCH(7523,'Email Cleaner'!$J$2:$J$10001,0)),"")</f>
        <v/>
      </c>
    </row>
    <row r="7525">
      <c r="A7525">
        <f>IFERROR(INDEX('Email Cleaner'!$B$2:$B$10001,MATCH(7524,'Email Cleaner'!$J$2:$J$10001,0)),"")</f>
        <v/>
      </c>
    </row>
    <row r="7526">
      <c r="A7526">
        <f>IFERROR(INDEX('Email Cleaner'!$B$2:$B$10001,MATCH(7525,'Email Cleaner'!$J$2:$J$10001,0)),"")</f>
        <v/>
      </c>
    </row>
    <row r="7527">
      <c r="A7527">
        <f>IFERROR(INDEX('Email Cleaner'!$B$2:$B$10001,MATCH(7526,'Email Cleaner'!$J$2:$J$10001,0)),"")</f>
        <v/>
      </c>
    </row>
    <row r="7528">
      <c r="A7528">
        <f>IFERROR(INDEX('Email Cleaner'!$B$2:$B$10001,MATCH(7527,'Email Cleaner'!$J$2:$J$10001,0)),"")</f>
        <v/>
      </c>
    </row>
    <row r="7529">
      <c r="A7529">
        <f>IFERROR(INDEX('Email Cleaner'!$B$2:$B$10001,MATCH(7528,'Email Cleaner'!$J$2:$J$10001,0)),"")</f>
        <v/>
      </c>
    </row>
    <row r="7530">
      <c r="A7530">
        <f>IFERROR(INDEX('Email Cleaner'!$B$2:$B$10001,MATCH(7529,'Email Cleaner'!$J$2:$J$10001,0)),"")</f>
        <v/>
      </c>
    </row>
    <row r="7531">
      <c r="A7531">
        <f>IFERROR(INDEX('Email Cleaner'!$B$2:$B$10001,MATCH(7530,'Email Cleaner'!$J$2:$J$10001,0)),"")</f>
        <v/>
      </c>
    </row>
    <row r="7532">
      <c r="A7532">
        <f>IFERROR(INDEX('Email Cleaner'!$B$2:$B$10001,MATCH(7531,'Email Cleaner'!$J$2:$J$10001,0)),"")</f>
        <v/>
      </c>
    </row>
    <row r="7533">
      <c r="A7533">
        <f>IFERROR(INDEX('Email Cleaner'!$B$2:$B$10001,MATCH(7532,'Email Cleaner'!$J$2:$J$10001,0)),"")</f>
        <v/>
      </c>
    </row>
    <row r="7534">
      <c r="A7534">
        <f>IFERROR(INDEX('Email Cleaner'!$B$2:$B$10001,MATCH(7533,'Email Cleaner'!$J$2:$J$10001,0)),"")</f>
        <v/>
      </c>
    </row>
    <row r="7535">
      <c r="A7535">
        <f>IFERROR(INDEX('Email Cleaner'!$B$2:$B$10001,MATCH(7534,'Email Cleaner'!$J$2:$J$10001,0)),"")</f>
        <v/>
      </c>
    </row>
    <row r="7536">
      <c r="A7536">
        <f>IFERROR(INDEX('Email Cleaner'!$B$2:$B$10001,MATCH(7535,'Email Cleaner'!$J$2:$J$10001,0)),"")</f>
        <v/>
      </c>
    </row>
    <row r="7537">
      <c r="A7537">
        <f>IFERROR(INDEX('Email Cleaner'!$B$2:$B$10001,MATCH(7536,'Email Cleaner'!$J$2:$J$10001,0)),"")</f>
        <v/>
      </c>
    </row>
    <row r="7538">
      <c r="A7538">
        <f>IFERROR(INDEX('Email Cleaner'!$B$2:$B$10001,MATCH(7537,'Email Cleaner'!$J$2:$J$10001,0)),"")</f>
        <v/>
      </c>
    </row>
    <row r="7539">
      <c r="A7539">
        <f>IFERROR(INDEX('Email Cleaner'!$B$2:$B$10001,MATCH(7538,'Email Cleaner'!$J$2:$J$10001,0)),"")</f>
        <v/>
      </c>
    </row>
    <row r="7540">
      <c r="A7540">
        <f>IFERROR(INDEX('Email Cleaner'!$B$2:$B$10001,MATCH(7539,'Email Cleaner'!$J$2:$J$10001,0)),"")</f>
        <v/>
      </c>
    </row>
    <row r="7541">
      <c r="A7541">
        <f>IFERROR(INDEX('Email Cleaner'!$B$2:$B$10001,MATCH(7540,'Email Cleaner'!$J$2:$J$10001,0)),"")</f>
        <v/>
      </c>
    </row>
    <row r="7542">
      <c r="A7542">
        <f>IFERROR(INDEX('Email Cleaner'!$B$2:$B$10001,MATCH(7541,'Email Cleaner'!$J$2:$J$10001,0)),"")</f>
        <v/>
      </c>
    </row>
    <row r="7543">
      <c r="A7543">
        <f>IFERROR(INDEX('Email Cleaner'!$B$2:$B$10001,MATCH(7542,'Email Cleaner'!$J$2:$J$10001,0)),"")</f>
        <v/>
      </c>
    </row>
    <row r="7544">
      <c r="A7544">
        <f>IFERROR(INDEX('Email Cleaner'!$B$2:$B$10001,MATCH(7543,'Email Cleaner'!$J$2:$J$10001,0)),"")</f>
        <v/>
      </c>
    </row>
    <row r="7545">
      <c r="A7545">
        <f>IFERROR(INDEX('Email Cleaner'!$B$2:$B$10001,MATCH(7544,'Email Cleaner'!$J$2:$J$10001,0)),"")</f>
        <v/>
      </c>
    </row>
    <row r="7546">
      <c r="A7546">
        <f>IFERROR(INDEX('Email Cleaner'!$B$2:$B$10001,MATCH(7545,'Email Cleaner'!$J$2:$J$10001,0)),"")</f>
        <v/>
      </c>
    </row>
    <row r="7547">
      <c r="A7547">
        <f>IFERROR(INDEX('Email Cleaner'!$B$2:$B$10001,MATCH(7546,'Email Cleaner'!$J$2:$J$10001,0)),"")</f>
        <v/>
      </c>
    </row>
    <row r="7548">
      <c r="A7548">
        <f>IFERROR(INDEX('Email Cleaner'!$B$2:$B$10001,MATCH(7547,'Email Cleaner'!$J$2:$J$10001,0)),"")</f>
        <v/>
      </c>
    </row>
    <row r="7549">
      <c r="A7549">
        <f>IFERROR(INDEX('Email Cleaner'!$B$2:$B$10001,MATCH(7548,'Email Cleaner'!$J$2:$J$10001,0)),"")</f>
        <v/>
      </c>
    </row>
    <row r="7550">
      <c r="A7550">
        <f>IFERROR(INDEX('Email Cleaner'!$B$2:$B$10001,MATCH(7549,'Email Cleaner'!$J$2:$J$10001,0)),"")</f>
        <v/>
      </c>
    </row>
    <row r="7551">
      <c r="A7551">
        <f>IFERROR(INDEX('Email Cleaner'!$B$2:$B$10001,MATCH(7550,'Email Cleaner'!$J$2:$J$10001,0)),"")</f>
        <v/>
      </c>
    </row>
    <row r="7552">
      <c r="A7552">
        <f>IFERROR(INDEX('Email Cleaner'!$B$2:$B$10001,MATCH(7551,'Email Cleaner'!$J$2:$J$10001,0)),"")</f>
        <v/>
      </c>
    </row>
    <row r="7553">
      <c r="A7553">
        <f>IFERROR(INDEX('Email Cleaner'!$B$2:$B$10001,MATCH(7552,'Email Cleaner'!$J$2:$J$10001,0)),"")</f>
        <v/>
      </c>
    </row>
    <row r="7554">
      <c r="A7554">
        <f>IFERROR(INDEX('Email Cleaner'!$B$2:$B$10001,MATCH(7553,'Email Cleaner'!$J$2:$J$10001,0)),"")</f>
        <v/>
      </c>
    </row>
    <row r="7555">
      <c r="A7555">
        <f>IFERROR(INDEX('Email Cleaner'!$B$2:$B$10001,MATCH(7554,'Email Cleaner'!$J$2:$J$10001,0)),"")</f>
        <v/>
      </c>
    </row>
    <row r="7556">
      <c r="A7556">
        <f>IFERROR(INDEX('Email Cleaner'!$B$2:$B$10001,MATCH(7555,'Email Cleaner'!$J$2:$J$10001,0)),"")</f>
        <v/>
      </c>
    </row>
    <row r="7557">
      <c r="A7557">
        <f>IFERROR(INDEX('Email Cleaner'!$B$2:$B$10001,MATCH(7556,'Email Cleaner'!$J$2:$J$10001,0)),"")</f>
        <v/>
      </c>
    </row>
    <row r="7558">
      <c r="A7558">
        <f>IFERROR(INDEX('Email Cleaner'!$B$2:$B$10001,MATCH(7557,'Email Cleaner'!$J$2:$J$10001,0)),"")</f>
        <v/>
      </c>
    </row>
    <row r="7559">
      <c r="A7559">
        <f>IFERROR(INDEX('Email Cleaner'!$B$2:$B$10001,MATCH(7558,'Email Cleaner'!$J$2:$J$10001,0)),"")</f>
        <v/>
      </c>
    </row>
    <row r="7560">
      <c r="A7560">
        <f>IFERROR(INDEX('Email Cleaner'!$B$2:$B$10001,MATCH(7559,'Email Cleaner'!$J$2:$J$10001,0)),"")</f>
        <v/>
      </c>
    </row>
    <row r="7561">
      <c r="A7561">
        <f>IFERROR(INDEX('Email Cleaner'!$B$2:$B$10001,MATCH(7560,'Email Cleaner'!$J$2:$J$10001,0)),"")</f>
        <v/>
      </c>
    </row>
    <row r="7562">
      <c r="A7562">
        <f>IFERROR(INDEX('Email Cleaner'!$B$2:$B$10001,MATCH(7561,'Email Cleaner'!$J$2:$J$10001,0)),"")</f>
        <v/>
      </c>
    </row>
    <row r="7563">
      <c r="A7563">
        <f>IFERROR(INDEX('Email Cleaner'!$B$2:$B$10001,MATCH(7562,'Email Cleaner'!$J$2:$J$10001,0)),"")</f>
        <v/>
      </c>
    </row>
    <row r="7564">
      <c r="A7564">
        <f>IFERROR(INDEX('Email Cleaner'!$B$2:$B$10001,MATCH(7563,'Email Cleaner'!$J$2:$J$10001,0)),"")</f>
        <v/>
      </c>
    </row>
    <row r="7565">
      <c r="A7565">
        <f>IFERROR(INDEX('Email Cleaner'!$B$2:$B$10001,MATCH(7564,'Email Cleaner'!$J$2:$J$10001,0)),"")</f>
        <v/>
      </c>
    </row>
    <row r="7566">
      <c r="A7566">
        <f>IFERROR(INDEX('Email Cleaner'!$B$2:$B$10001,MATCH(7565,'Email Cleaner'!$J$2:$J$10001,0)),"")</f>
        <v/>
      </c>
    </row>
    <row r="7567">
      <c r="A7567">
        <f>IFERROR(INDEX('Email Cleaner'!$B$2:$B$10001,MATCH(7566,'Email Cleaner'!$J$2:$J$10001,0)),"")</f>
        <v/>
      </c>
    </row>
    <row r="7568">
      <c r="A7568">
        <f>IFERROR(INDEX('Email Cleaner'!$B$2:$B$10001,MATCH(7567,'Email Cleaner'!$J$2:$J$10001,0)),"")</f>
        <v/>
      </c>
    </row>
    <row r="7569">
      <c r="A7569">
        <f>IFERROR(INDEX('Email Cleaner'!$B$2:$B$10001,MATCH(7568,'Email Cleaner'!$J$2:$J$10001,0)),"")</f>
        <v/>
      </c>
    </row>
    <row r="7570">
      <c r="A7570">
        <f>IFERROR(INDEX('Email Cleaner'!$B$2:$B$10001,MATCH(7569,'Email Cleaner'!$J$2:$J$10001,0)),"")</f>
        <v/>
      </c>
    </row>
    <row r="7571">
      <c r="A7571">
        <f>IFERROR(INDEX('Email Cleaner'!$B$2:$B$10001,MATCH(7570,'Email Cleaner'!$J$2:$J$10001,0)),"")</f>
        <v/>
      </c>
    </row>
    <row r="7572">
      <c r="A7572">
        <f>IFERROR(INDEX('Email Cleaner'!$B$2:$B$10001,MATCH(7571,'Email Cleaner'!$J$2:$J$10001,0)),"")</f>
        <v/>
      </c>
    </row>
    <row r="7573">
      <c r="A7573">
        <f>IFERROR(INDEX('Email Cleaner'!$B$2:$B$10001,MATCH(7572,'Email Cleaner'!$J$2:$J$10001,0)),"")</f>
        <v/>
      </c>
    </row>
    <row r="7574">
      <c r="A7574">
        <f>IFERROR(INDEX('Email Cleaner'!$B$2:$B$10001,MATCH(7573,'Email Cleaner'!$J$2:$J$10001,0)),"")</f>
        <v/>
      </c>
    </row>
    <row r="7575">
      <c r="A7575">
        <f>IFERROR(INDEX('Email Cleaner'!$B$2:$B$10001,MATCH(7574,'Email Cleaner'!$J$2:$J$10001,0)),"")</f>
        <v/>
      </c>
    </row>
    <row r="7576">
      <c r="A7576">
        <f>IFERROR(INDEX('Email Cleaner'!$B$2:$B$10001,MATCH(7575,'Email Cleaner'!$J$2:$J$10001,0)),"")</f>
        <v/>
      </c>
    </row>
    <row r="7577">
      <c r="A7577">
        <f>IFERROR(INDEX('Email Cleaner'!$B$2:$B$10001,MATCH(7576,'Email Cleaner'!$J$2:$J$10001,0)),"")</f>
        <v/>
      </c>
    </row>
    <row r="7578">
      <c r="A7578">
        <f>IFERROR(INDEX('Email Cleaner'!$B$2:$B$10001,MATCH(7577,'Email Cleaner'!$J$2:$J$10001,0)),"")</f>
        <v/>
      </c>
    </row>
    <row r="7579">
      <c r="A7579">
        <f>IFERROR(INDEX('Email Cleaner'!$B$2:$B$10001,MATCH(7578,'Email Cleaner'!$J$2:$J$10001,0)),"")</f>
        <v/>
      </c>
    </row>
    <row r="7580">
      <c r="A7580">
        <f>IFERROR(INDEX('Email Cleaner'!$B$2:$B$10001,MATCH(7579,'Email Cleaner'!$J$2:$J$10001,0)),"")</f>
        <v/>
      </c>
    </row>
    <row r="7581">
      <c r="A7581">
        <f>IFERROR(INDEX('Email Cleaner'!$B$2:$B$10001,MATCH(7580,'Email Cleaner'!$J$2:$J$10001,0)),"")</f>
        <v/>
      </c>
    </row>
    <row r="7582">
      <c r="A7582">
        <f>IFERROR(INDEX('Email Cleaner'!$B$2:$B$10001,MATCH(7581,'Email Cleaner'!$J$2:$J$10001,0)),"")</f>
        <v/>
      </c>
    </row>
    <row r="7583">
      <c r="A7583">
        <f>IFERROR(INDEX('Email Cleaner'!$B$2:$B$10001,MATCH(7582,'Email Cleaner'!$J$2:$J$10001,0)),"")</f>
        <v/>
      </c>
    </row>
    <row r="7584">
      <c r="A7584">
        <f>IFERROR(INDEX('Email Cleaner'!$B$2:$B$10001,MATCH(7583,'Email Cleaner'!$J$2:$J$10001,0)),"")</f>
        <v/>
      </c>
    </row>
    <row r="7585">
      <c r="A7585">
        <f>IFERROR(INDEX('Email Cleaner'!$B$2:$B$10001,MATCH(7584,'Email Cleaner'!$J$2:$J$10001,0)),"")</f>
        <v/>
      </c>
    </row>
    <row r="7586">
      <c r="A7586">
        <f>IFERROR(INDEX('Email Cleaner'!$B$2:$B$10001,MATCH(7585,'Email Cleaner'!$J$2:$J$10001,0)),"")</f>
        <v/>
      </c>
    </row>
    <row r="7587">
      <c r="A7587">
        <f>IFERROR(INDEX('Email Cleaner'!$B$2:$B$10001,MATCH(7586,'Email Cleaner'!$J$2:$J$10001,0)),"")</f>
        <v/>
      </c>
    </row>
    <row r="7588">
      <c r="A7588">
        <f>IFERROR(INDEX('Email Cleaner'!$B$2:$B$10001,MATCH(7587,'Email Cleaner'!$J$2:$J$10001,0)),"")</f>
        <v/>
      </c>
    </row>
    <row r="7589">
      <c r="A7589">
        <f>IFERROR(INDEX('Email Cleaner'!$B$2:$B$10001,MATCH(7588,'Email Cleaner'!$J$2:$J$10001,0)),"")</f>
        <v/>
      </c>
    </row>
    <row r="7590">
      <c r="A7590">
        <f>IFERROR(INDEX('Email Cleaner'!$B$2:$B$10001,MATCH(7589,'Email Cleaner'!$J$2:$J$10001,0)),"")</f>
        <v/>
      </c>
    </row>
    <row r="7591">
      <c r="A7591">
        <f>IFERROR(INDEX('Email Cleaner'!$B$2:$B$10001,MATCH(7590,'Email Cleaner'!$J$2:$J$10001,0)),"")</f>
        <v/>
      </c>
    </row>
    <row r="7592">
      <c r="A7592">
        <f>IFERROR(INDEX('Email Cleaner'!$B$2:$B$10001,MATCH(7591,'Email Cleaner'!$J$2:$J$10001,0)),"")</f>
        <v/>
      </c>
    </row>
    <row r="7593">
      <c r="A7593">
        <f>IFERROR(INDEX('Email Cleaner'!$B$2:$B$10001,MATCH(7592,'Email Cleaner'!$J$2:$J$10001,0)),"")</f>
        <v/>
      </c>
    </row>
    <row r="7594">
      <c r="A7594">
        <f>IFERROR(INDEX('Email Cleaner'!$B$2:$B$10001,MATCH(7593,'Email Cleaner'!$J$2:$J$10001,0)),"")</f>
        <v/>
      </c>
    </row>
    <row r="7595">
      <c r="A7595">
        <f>IFERROR(INDEX('Email Cleaner'!$B$2:$B$10001,MATCH(7594,'Email Cleaner'!$J$2:$J$10001,0)),"")</f>
        <v/>
      </c>
    </row>
    <row r="7596">
      <c r="A7596">
        <f>IFERROR(INDEX('Email Cleaner'!$B$2:$B$10001,MATCH(7595,'Email Cleaner'!$J$2:$J$10001,0)),"")</f>
        <v/>
      </c>
    </row>
    <row r="7597">
      <c r="A7597">
        <f>IFERROR(INDEX('Email Cleaner'!$B$2:$B$10001,MATCH(7596,'Email Cleaner'!$J$2:$J$10001,0)),"")</f>
        <v/>
      </c>
    </row>
    <row r="7598">
      <c r="A7598">
        <f>IFERROR(INDEX('Email Cleaner'!$B$2:$B$10001,MATCH(7597,'Email Cleaner'!$J$2:$J$10001,0)),"")</f>
        <v/>
      </c>
    </row>
    <row r="7599">
      <c r="A7599">
        <f>IFERROR(INDEX('Email Cleaner'!$B$2:$B$10001,MATCH(7598,'Email Cleaner'!$J$2:$J$10001,0)),"")</f>
        <v/>
      </c>
    </row>
    <row r="7600">
      <c r="A7600">
        <f>IFERROR(INDEX('Email Cleaner'!$B$2:$B$10001,MATCH(7599,'Email Cleaner'!$J$2:$J$10001,0)),"")</f>
        <v/>
      </c>
    </row>
    <row r="7601">
      <c r="A7601">
        <f>IFERROR(INDEX('Email Cleaner'!$B$2:$B$10001,MATCH(7600,'Email Cleaner'!$J$2:$J$10001,0)),"")</f>
        <v/>
      </c>
    </row>
    <row r="7602">
      <c r="A7602">
        <f>IFERROR(INDEX('Email Cleaner'!$B$2:$B$10001,MATCH(7601,'Email Cleaner'!$J$2:$J$10001,0)),"")</f>
        <v/>
      </c>
    </row>
    <row r="7603">
      <c r="A7603">
        <f>IFERROR(INDEX('Email Cleaner'!$B$2:$B$10001,MATCH(7602,'Email Cleaner'!$J$2:$J$10001,0)),"")</f>
        <v/>
      </c>
    </row>
    <row r="7604">
      <c r="A7604">
        <f>IFERROR(INDEX('Email Cleaner'!$B$2:$B$10001,MATCH(7603,'Email Cleaner'!$J$2:$J$10001,0)),"")</f>
        <v/>
      </c>
    </row>
    <row r="7605">
      <c r="A7605">
        <f>IFERROR(INDEX('Email Cleaner'!$B$2:$B$10001,MATCH(7604,'Email Cleaner'!$J$2:$J$10001,0)),"")</f>
        <v/>
      </c>
    </row>
    <row r="7606">
      <c r="A7606">
        <f>IFERROR(INDEX('Email Cleaner'!$B$2:$B$10001,MATCH(7605,'Email Cleaner'!$J$2:$J$10001,0)),"")</f>
        <v/>
      </c>
    </row>
    <row r="7607">
      <c r="A7607">
        <f>IFERROR(INDEX('Email Cleaner'!$B$2:$B$10001,MATCH(7606,'Email Cleaner'!$J$2:$J$10001,0)),"")</f>
        <v/>
      </c>
    </row>
    <row r="7608">
      <c r="A7608">
        <f>IFERROR(INDEX('Email Cleaner'!$B$2:$B$10001,MATCH(7607,'Email Cleaner'!$J$2:$J$10001,0)),"")</f>
        <v/>
      </c>
    </row>
    <row r="7609">
      <c r="A7609">
        <f>IFERROR(INDEX('Email Cleaner'!$B$2:$B$10001,MATCH(7608,'Email Cleaner'!$J$2:$J$10001,0)),"")</f>
        <v/>
      </c>
    </row>
    <row r="7610">
      <c r="A7610">
        <f>IFERROR(INDEX('Email Cleaner'!$B$2:$B$10001,MATCH(7609,'Email Cleaner'!$J$2:$J$10001,0)),"")</f>
        <v/>
      </c>
    </row>
    <row r="7611">
      <c r="A7611">
        <f>IFERROR(INDEX('Email Cleaner'!$B$2:$B$10001,MATCH(7610,'Email Cleaner'!$J$2:$J$10001,0)),"")</f>
        <v/>
      </c>
    </row>
    <row r="7612">
      <c r="A7612">
        <f>IFERROR(INDEX('Email Cleaner'!$B$2:$B$10001,MATCH(7611,'Email Cleaner'!$J$2:$J$10001,0)),"")</f>
        <v/>
      </c>
    </row>
    <row r="7613">
      <c r="A7613">
        <f>IFERROR(INDEX('Email Cleaner'!$B$2:$B$10001,MATCH(7612,'Email Cleaner'!$J$2:$J$10001,0)),"")</f>
        <v/>
      </c>
    </row>
    <row r="7614">
      <c r="A7614">
        <f>IFERROR(INDEX('Email Cleaner'!$B$2:$B$10001,MATCH(7613,'Email Cleaner'!$J$2:$J$10001,0)),"")</f>
        <v/>
      </c>
    </row>
    <row r="7615">
      <c r="A7615">
        <f>IFERROR(INDEX('Email Cleaner'!$B$2:$B$10001,MATCH(7614,'Email Cleaner'!$J$2:$J$10001,0)),"")</f>
        <v/>
      </c>
    </row>
    <row r="7616">
      <c r="A7616">
        <f>IFERROR(INDEX('Email Cleaner'!$B$2:$B$10001,MATCH(7615,'Email Cleaner'!$J$2:$J$10001,0)),"")</f>
        <v/>
      </c>
    </row>
    <row r="7617">
      <c r="A7617">
        <f>IFERROR(INDEX('Email Cleaner'!$B$2:$B$10001,MATCH(7616,'Email Cleaner'!$J$2:$J$10001,0)),"")</f>
        <v/>
      </c>
    </row>
    <row r="7618">
      <c r="A7618">
        <f>IFERROR(INDEX('Email Cleaner'!$B$2:$B$10001,MATCH(7617,'Email Cleaner'!$J$2:$J$10001,0)),"")</f>
        <v/>
      </c>
    </row>
    <row r="7619">
      <c r="A7619">
        <f>IFERROR(INDEX('Email Cleaner'!$B$2:$B$10001,MATCH(7618,'Email Cleaner'!$J$2:$J$10001,0)),"")</f>
        <v/>
      </c>
    </row>
    <row r="7620">
      <c r="A7620">
        <f>IFERROR(INDEX('Email Cleaner'!$B$2:$B$10001,MATCH(7619,'Email Cleaner'!$J$2:$J$10001,0)),"")</f>
        <v/>
      </c>
    </row>
    <row r="7621">
      <c r="A7621">
        <f>IFERROR(INDEX('Email Cleaner'!$B$2:$B$10001,MATCH(7620,'Email Cleaner'!$J$2:$J$10001,0)),"")</f>
        <v/>
      </c>
    </row>
    <row r="7622">
      <c r="A7622">
        <f>IFERROR(INDEX('Email Cleaner'!$B$2:$B$10001,MATCH(7621,'Email Cleaner'!$J$2:$J$10001,0)),"")</f>
        <v/>
      </c>
    </row>
    <row r="7623">
      <c r="A7623">
        <f>IFERROR(INDEX('Email Cleaner'!$B$2:$B$10001,MATCH(7622,'Email Cleaner'!$J$2:$J$10001,0)),"")</f>
        <v/>
      </c>
    </row>
    <row r="7624">
      <c r="A7624">
        <f>IFERROR(INDEX('Email Cleaner'!$B$2:$B$10001,MATCH(7623,'Email Cleaner'!$J$2:$J$10001,0)),"")</f>
        <v/>
      </c>
    </row>
    <row r="7625">
      <c r="A7625">
        <f>IFERROR(INDEX('Email Cleaner'!$B$2:$B$10001,MATCH(7624,'Email Cleaner'!$J$2:$J$10001,0)),"")</f>
        <v/>
      </c>
    </row>
    <row r="7626">
      <c r="A7626">
        <f>IFERROR(INDEX('Email Cleaner'!$B$2:$B$10001,MATCH(7625,'Email Cleaner'!$J$2:$J$10001,0)),"")</f>
        <v/>
      </c>
    </row>
    <row r="7627">
      <c r="A7627">
        <f>IFERROR(INDEX('Email Cleaner'!$B$2:$B$10001,MATCH(7626,'Email Cleaner'!$J$2:$J$10001,0)),"")</f>
        <v/>
      </c>
    </row>
    <row r="7628">
      <c r="A7628">
        <f>IFERROR(INDEX('Email Cleaner'!$B$2:$B$10001,MATCH(7627,'Email Cleaner'!$J$2:$J$10001,0)),"")</f>
        <v/>
      </c>
    </row>
    <row r="7629">
      <c r="A7629">
        <f>IFERROR(INDEX('Email Cleaner'!$B$2:$B$10001,MATCH(7628,'Email Cleaner'!$J$2:$J$10001,0)),"")</f>
        <v/>
      </c>
    </row>
    <row r="7630">
      <c r="A7630">
        <f>IFERROR(INDEX('Email Cleaner'!$B$2:$B$10001,MATCH(7629,'Email Cleaner'!$J$2:$J$10001,0)),"")</f>
        <v/>
      </c>
    </row>
    <row r="7631">
      <c r="A7631">
        <f>IFERROR(INDEX('Email Cleaner'!$B$2:$B$10001,MATCH(7630,'Email Cleaner'!$J$2:$J$10001,0)),"")</f>
        <v/>
      </c>
    </row>
    <row r="7632">
      <c r="A7632">
        <f>IFERROR(INDEX('Email Cleaner'!$B$2:$B$10001,MATCH(7631,'Email Cleaner'!$J$2:$J$10001,0)),"")</f>
        <v/>
      </c>
    </row>
    <row r="7633">
      <c r="A7633">
        <f>IFERROR(INDEX('Email Cleaner'!$B$2:$B$10001,MATCH(7632,'Email Cleaner'!$J$2:$J$10001,0)),"")</f>
        <v/>
      </c>
    </row>
    <row r="7634">
      <c r="A7634">
        <f>IFERROR(INDEX('Email Cleaner'!$B$2:$B$10001,MATCH(7633,'Email Cleaner'!$J$2:$J$10001,0)),"")</f>
        <v/>
      </c>
    </row>
    <row r="7635">
      <c r="A7635">
        <f>IFERROR(INDEX('Email Cleaner'!$B$2:$B$10001,MATCH(7634,'Email Cleaner'!$J$2:$J$10001,0)),"")</f>
        <v/>
      </c>
    </row>
    <row r="7636">
      <c r="A7636">
        <f>IFERROR(INDEX('Email Cleaner'!$B$2:$B$10001,MATCH(7635,'Email Cleaner'!$J$2:$J$10001,0)),"")</f>
        <v/>
      </c>
    </row>
    <row r="7637">
      <c r="A7637">
        <f>IFERROR(INDEX('Email Cleaner'!$B$2:$B$10001,MATCH(7636,'Email Cleaner'!$J$2:$J$10001,0)),"")</f>
        <v/>
      </c>
    </row>
    <row r="7638">
      <c r="A7638">
        <f>IFERROR(INDEX('Email Cleaner'!$B$2:$B$10001,MATCH(7637,'Email Cleaner'!$J$2:$J$10001,0)),"")</f>
        <v/>
      </c>
    </row>
    <row r="7639">
      <c r="A7639">
        <f>IFERROR(INDEX('Email Cleaner'!$B$2:$B$10001,MATCH(7638,'Email Cleaner'!$J$2:$J$10001,0)),"")</f>
        <v/>
      </c>
    </row>
    <row r="7640">
      <c r="A7640">
        <f>IFERROR(INDEX('Email Cleaner'!$B$2:$B$10001,MATCH(7639,'Email Cleaner'!$J$2:$J$10001,0)),"")</f>
        <v/>
      </c>
    </row>
    <row r="7641">
      <c r="A7641">
        <f>IFERROR(INDEX('Email Cleaner'!$B$2:$B$10001,MATCH(7640,'Email Cleaner'!$J$2:$J$10001,0)),"")</f>
        <v/>
      </c>
    </row>
    <row r="7642">
      <c r="A7642">
        <f>IFERROR(INDEX('Email Cleaner'!$B$2:$B$10001,MATCH(7641,'Email Cleaner'!$J$2:$J$10001,0)),"")</f>
        <v/>
      </c>
    </row>
    <row r="7643">
      <c r="A7643">
        <f>IFERROR(INDEX('Email Cleaner'!$B$2:$B$10001,MATCH(7642,'Email Cleaner'!$J$2:$J$10001,0)),"")</f>
        <v/>
      </c>
    </row>
    <row r="7644">
      <c r="A7644">
        <f>IFERROR(INDEX('Email Cleaner'!$B$2:$B$10001,MATCH(7643,'Email Cleaner'!$J$2:$J$10001,0)),"")</f>
        <v/>
      </c>
    </row>
    <row r="7645">
      <c r="A7645">
        <f>IFERROR(INDEX('Email Cleaner'!$B$2:$B$10001,MATCH(7644,'Email Cleaner'!$J$2:$J$10001,0)),"")</f>
        <v/>
      </c>
    </row>
    <row r="7646">
      <c r="A7646">
        <f>IFERROR(INDEX('Email Cleaner'!$B$2:$B$10001,MATCH(7645,'Email Cleaner'!$J$2:$J$10001,0)),"")</f>
        <v/>
      </c>
    </row>
    <row r="7647">
      <c r="A7647">
        <f>IFERROR(INDEX('Email Cleaner'!$B$2:$B$10001,MATCH(7646,'Email Cleaner'!$J$2:$J$10001,0)),"")</f>
        <v/>
      </c>
    </row>
    <row r="7648">
      <c r="A7648">
        <f>IFERROR(INDEX('Email Cleaner'!$B$2:$B$10001,MATCH(7647,'Email Cleaner'!$J$2:$J$10001,0)),"")</f>
        <v/>
      </c>
    </row>
    <row r="7649">
      <c r="A7649">
        <f>IFERROR(INDEX('Email Cleaner'!$B$2:$B$10001,MATCH(7648,'Email Cleaner'!$J$2:$J$10001,0)),"")</f>
        <v/>
      </c>
    </row>
    <row r="7650">
      <c r="A7650">
        <f>IFERROR(INDEX('Email Cleaner'!$B$2:$B$10001,MATCH(7649,'Email Cleaner'!$J$2:$J$10001,0)),"")</f>
        <v/>
      </c>
    </row>
    <row r="7651">
      <c r="A7651">
        <f>IFERROR(INDEX('Email Cleaner'!$B$2:$B$10001,MATCH(7650,'Email Cleaner'!$J$2:$J$10001,0)),"")</f>
        <v/>
      </c>
    </row>
    <row r="7652">
      <c r="A7652">
        <f>IFERROR(INDEX('Email Cleaner'!$B$2:$B$10001,MATCH(7651,'Email Cleaner'!$J$2:$J$10001,0)),"")</f>
        <v/>
      </c>
    </row>
    <row r="7653">
      <c r="A7653">
        <f>IFERROR(INDEX('Email Cleaner'!$B$2:$B$10001,MATCH(7652,'Email Cleaner'!$J$2:$J$10001,0)),"")</f>
        <v/>
      </c>
    </row>
    <row r="7654">
      <c r="A7654">
        <f>IFERROR(INDEX('Email Cleaner'!$B$2:$B$10001,MATCH(7653,'Email Cleaner'!$J$2:$J$10001,0)),"")</f>
        <v/>
      </c>
    </row>
    <row r="7655">
      <c r="A7655">
        <f>IFERROR(INDEX('Email Cleaner'!$B$2:$B$10001,MATCH(7654,'Email Cleaner'!$J$2:$J$10001,0)),"")</f>
        <v/>
      </c>
    </row>
    <row r="7656">
      <c r="A7656">
        <f>IFERROR(INDEX('Email Cleaner'!$B$2:$B$10001,MATCH(7655,'Email Cleaner'!$J$2:$J$10001,0)),"")</f>
        <v/>
      </c>
    </row>
    <row r="7657">
      <c r="A7657">
        <f>IFERROR(INDEX('Email Cleaner'!$B$2:$B$10001,MATCH(7656,'Email Cleaner'!$J$2:$J$10001,0)),"")</f>
        <v/>
      </c>
    </row>
    <row r="7658">
      <c r="A7658">
        <f>IFERROR(INDEX('Email Cleaner'!$B$2:$B$10001,MATCH(7657,'Email Cleaner'!$J$2:$J$10001,0)),"")</f>
        <v/>
      </c>
    </row>
    <row r="7659">
      <c r="A7659">
        <f>IFERROR(INDEX('Email Cleaner'!$B$2:$B$10001,MATCH(7658,'Email Cleaner'!$J$2:$J$10001,0)),"")</f>
        <v/>
      </c>
    </row>
    <row r="7660">
      <c r="A7660">
        <f>IFERROR(INDEX('Email Cleaner'!$B$2:$B$10001,MATCH(7659,'Email Cleaner'!$J$2:$J$10001,0)),"")</f>
        <v/>
      </c>
    </row>
    <row r="7661">
      <c r="A7661">
        <f>IFERROR(INDEX('Email Cleaner'!$B$2:$B$10001,MATCH(7660,'Email Cleaner'!$J$2:$J$10001,0)),"")</f>
        <v/>
      </c>
    </row>
    <row r="7662">
      <c r="A7662">
        <f>IFERROR(INDEX('Email Cleaner'!$B$2:$B$10001,MATCH(7661,'Email Cleaner'!$J$2:$J$10001,0)),"")</f>
        <v/>
      </c>
    </row>
    <row r="7663">
      <c r="A7663">
        <f>IFERROR(INDEX('Email Cleaner'!$B$2:$B$10001,MATCH(7662,'Email Cleaner'!$J$2:$J$10001,0)),"")</f>
        <v/>
      </c>
    </row>
    <row r="7664">
      <c r="A7664">
        <f>IFERROR(INDEX('Email Cleaner'!$B$2:$B$10001,MATCH(7663,'Email Cleaner'!$J$2:$J$10001,0)),"")</f>
        <v/>
      </c>
    </row>
    <row r="7665">
      <c r="A7665">
        <f>IFERROR(INDEX('Email Cleaner'!$B$2:$B$10001,MATCH(7664,'Email Cleaner'!$J$2:$J$10001,0)),"")</f>
        <v/>
      </c>
    </row>
    <row r="7666">
      <c r="A7666">
        <f>IFERROR(INDEX('Email Cleaner'!$B$2:$B$10001,MATCH(7665,'Email Cleaner'!$J$2:$J$10001,0)),"")</f>
        <v/>
      </c>
    </row>
    <row r="7667">
      <c r="A7667">
        <f>IFERROR(INDEX('Email Cleaner'!$B$2:$B$10001,MATCH(7666,'Email Cleaner'!$J$2:$J$10001,0)),"")</f>
        <v/>
      </c>
    </row>
    <row r="7668">
      <c r="A7668">
        <f>IFERROR(INDEX('Email Cleaner'!$B$2:$B$10001,MATCH(7667,'Email Cleaner'!$J$2:$J$10001,0)),"")</f>
        <v/>
      </c>
    </row>
    <row r="7669">
      <c r="A7669">
        <f>IFERROR(INDEX('Email Cleaner'!$B$2:$B$10001,MATCH(7668,'Email Cleaner'!$J$2:$J$10001,0)),"")</f>
        <v/>
      </c>
    </row>
    <row r="7670">
      <c r="A7670">
        <f>IFERROR(INDEX('Email Cleaner'!$B$2:$B$10001,MATCH(7669,'Email Cleaner'!$J$2:$J$10001,0)),"")</f>
        <v/>
      </c>
    </row>
    <row r="7671">
      <c r="A7671">
        <f>IFERROR(INDEX('Email Cleaner'!$B$2:$B$10001,MATCH(7670,'Email Cleaner'!$J$2:$J$10001,0)),"")</f>
        <v/>
      </c>
    </row>
    <row r="7672">
      <c r="A7672">
        <f>IFERROR(INDEX('Email Cleaner'!$B$2:$B$10001,MATCH(7671,'Email Cleaner'!$J$2:$J$10001,0)),"")</f>
        <v/>
      </c>
    </row>
    <row r="7673">
      <c r="A7673">
        <f>IFERROR(INDEX('Email Cleaner'!$B$2:$B$10001,MATCH(7672,'Email Cleaner'!$J$2:$J$10001,0)),"")</f>
        <v/>
      </c>
    </row>
    <row r="7674">
      <c r="A7674">
        <f>IFERROR(INDEX('Email Cleaner'!$B$2:$B$10001,MATCH(7673,'Email Cleaner'!$J$2:$J$10001,0)),"")</f>
        <v/>
      </c>
    </row>
    <row r="7675">
      <c r="A7675">
        <f>IFERROR(INDEX('Email Cleaner'!$B$2:$B$10001,MATCH(7674,'Email Cleaner'!$J$2:$J$10001,0)),"")</f>
        <v/>
      </c>
    </row>
    <row r="7676">
      <c r="A7676">
        <f>IFERROR(INDEX('Email Cleaner'!$B$2:$B$10001,MATCH(7675,'Email Cleaner'!$J$2:$J$10001,0)),"")</f>
        <v/>
      </c>
    </row>
    <row r="7677">
      <c r="A7677">
        <f>IFERROR(INDEX('Email Cleaner'!$B$2:$B$10001,MATCH(7676,'Email Cleaner'!$J$2:$J$10001,0)),"")</f>
        <v/>
      </c>
    </row>
    <row r="7678">
      <c r="A7678">
        <f>IFERROR(INDEX('Email Cleaner'!$B$2:$B$10001,MATCH(7677,'Email Cleaner'!$J$2:$J$10001,0)),"")</f>
        <v/>
      </c>
    </row>
    <row r="7679">
      <c r="A7679">
        <f>IFERROR(INDEX('Email Cleaner'!$B$2:$B$10001,MATCH(7678,'Email Cleaner'!$J$2:$J$10001,0)),"")</f>
        <v/>
      </c>
    </row>
    <row r="7680">
      <c r="A7680">
        <f>IFERROR(INDEX('Email Cleaner'!$B$2:$B$10001,MATCH(7679,'Email Cleaner'!$J$2:$J$10001,0)),"")</f>
        <v/>
      </c>
    </row>
    <row r="7681">
      <c r="A7681">
        <f>IFERROR(INDEX('Email Cleaner'!$B$2:$B$10001,MATCH(7680,'Email Cleaner'!$J$2:$J$10001,0)),"")</f>
        <v/>
      </c>
    </row>
    <row r="7682">
      <c r="A7682">
        <f>IFERROR(INDEX('Email Cleaner'!$B$2:$B$10001,MATCH(7681,'Email Cleaner'!$J$2:$J$10001,0)),"")</f>
        <v/>
      </c>
    </row>
    <row r="7683">
      <c r="A7683">
        <f>IFERROR(INDEX('Email Cleaner'!$B$2:$B$10001,MATCH(7682,'Email Cleaner'!$J$2:$J$10001,0)),"")</f>
        <v/>
      </c>
    </row>
    <row r="7684">
      <c r="A7684">
        <f>IFERROR(INDEX('Email Cleaner'!$B$2:$B$10001,MATCH(7683,'Email Cleaner'!$J$2:$J$10001,0)),"")</f>
        <v/>
      </c>
    </row>
    <row r="7685">
      <c r="A7685">
        <f>IFERROR(INDEX('Email Cleaner'!$B$2:$B$10001,MATCH(7684,'Email Cleaner'!$J$2:$J$10001,0)),"")</f>
        <v/>
      </c>
    </row>
    <row r="7686">
      <c r="A7686">
        <f>IFERROR(INDEX('Email Cleaner'!$B$2:$B$10001,MATCH(7685,'Email Cleaner'!$J$2:$J$10001,0)),"")</f>
        <v/>
      </c>
    </row>
    <row r="7687">
      <c r="A7687">
        <f>IFERROR(INDEX('Email Cleaner'!$B$2:$B$10001,MATCH(7686,'Email Cleaner'!$J$2:$J$10001,0)),"")</f>
        <v/>
      </c>
    </row>
    <row r="7688">
      <c r="A7688">
        <f>IFERROR(INDEX('Email Cleaner'!$B$2:$B$10001,MATCH(7687,'Email Cleaner'!$J$2:$J$10001,0)),"")</f>
        <v/>
      </c>
    </row>
    <row r="7689">
      <c r="A7689">
        <f>IFERROR(INDEX('Email Cleaner'!$B$2:$B$10001,MATCH(7688,'Email Cleaner'!$J$2:$J$10001,0)),"")</f>
        <v/>
      </c>
    </row>
    <row r="7690">
      <c r="A7690">
        <f>IFERROR(INDEX('Email Cleaner'!$B$2:$B$10001,MATCH(7689,'Email Cleaner'!$J$2:$J$10001,0)),"")</f>
        <v/>
      </c>
    </row>
    <row r="7691">
      <c r="A7691">
        <f>IFERROR(INDEX('Email Cleaner'!$B$2:$B$10001,MATCH(7690,'Email Cleaner'!$J$2:$J$10001,0)),"")</f>
        <v/>
      </c>
    </row>
    <row r="7692">
      <c r="A7692">
        <f>IFERROR(INDEX('Email Cleaner'!$B$2:$B$10001,MATCH(7691,'Email Cleaner'!$J$2:$J$10001,0)),"")</f>
        <v/>
      </c>
    </row>
    <row r="7693">
      <c r="A7693">
        <f>IFERROR(INDEX('Email Cleaner'!$B$2:$B$10001,MATCH(7692,'Email Cleaner'!$J$2:$J$10001,0)),"")</f>
        <v/>
      </c>
    </row>
    <row r="7694">
      <c r="A7694">
        <f>IFERROR(INDEX('Email Cleaner'!$B$2:$B$10001,MATCH(7693,'Email Cleaner'!$J$2:$J$10001,0)),"")</f>
        <v/>
      </c>
    </row>
    <row r="7695">
      <c r="A7695">
        <f>IFERROR(INDEX('Email Cleaner'!$B$2:$B$10001,MATCH(7694,'Email Cleaner'!$J$2:$J$10001,0)),"")</f>
        <v/>
      </c>
    </row>
    <row r="7696">
      <c r="A7696">
        <f>IFERROR(INDEX('Email Cleaner'!$B$2:$B$10001,MATCH(7695,'Email Cleaner'!$J$2:$J$10001,0)),"")</f>
        <v/>
      </c>
    </row>
    <row r="7697">
      <c r="A7697">
        <f>IFERROR(INDEX('Email Cleaner'!$B$2:$B$10001,MATCH(7696,'Email Cleaner'!$J$2:$J$10001,0)),"")</f>
        <v/>
      </c>
    </row>
    <row r="7698">
      <c r="A7698">
        <f>IFERROR(INDEX('Email Cleaner'!$B$2:$B$10001,MATCH(7697,'Email Cleaner'!$J$2:$J$10001,0)),"")</f>
        <v/>
      </c>
    </row>
    <row r="7699">
      <c r="A7699">
        <f>IFERROR(INDEX('Email Cleaner'!$B$2:$B$10001,MATCH(7698,'Email Cleaner'!$J$2:$J$10001,0)),"")</f>
        <v/>
      </c>
    </row>
    <row r="7700">
      <c r="A7700">
        <f>IFERROR(INDEX('Email Cleaner'!$B$2:$B$10001,MATCH(7699,'Email Cleaner'!$J$2:$J$10001,0)),"")</f>
        <v/>
      </c>
    </row>
    <row r="7701">
      <c r="A7701">
        <f>IFERROR(INDEX('Email Cleaner'!$B$2:$B$10001,MATCH(7700,'Email Cleaner'!$J$2:$J$10001,0)),"")</f>
        <v/>
      </c>
    </row>
    <row r="7702">
      <c r="A7702">
        <f>IFERROR(INDEX('Email Cleaner'!$B$2:$B$10001,MATCH(7701,'Email Cleaner'!$J$2:$J$10001,0)),"")</f>
        <v/>
      </c>
    </row>
    <row r="7703">
      <c r="A7703">
        <f>IFERROR(INDEX('Email Cleaner'!$B$2:$B$10001,MATCH(7702,'Email Cleaner'!$J$2:$J$10001,0)),"")</f>
        <v/>
      </c>
    </row>
    <row r="7704">
      <c r="A7704">
        <f>IFERROR(INDEX('Email Cleaner'!$B$2:$B$10001,MATCH(7703,'Email Cleaner'!$J$2:$J$10001,0)),"")</f>
        <v/>
      </c>
    </row>
    <row r="7705">
      <c r="A7705">
        <f>IFERROR(INDEX('Email Cleaner'!$B$2:$B$10001,MATCH(7704,'Email Cleaner'!$J$2:$J$10001,0)),"")</f>
        <v/>
      </c>
    </row>
    <row r="7706">
      <c r="A7706">
        <f>IFERROR(INDEX('Email Cleaner'!$B$2:$B$10001,MATCH(7705,'Email Cleaner'!$J$2:$J$10001,0)),"")</f>
        <v/>
      </c>
    </row>
    <row r="7707">
      <c r="A7707">
        <f>IFERROR(INDEX('Email Cleaner'!$B$2:$B$10001,MATCH(7706,'Email Cleaner'!$J$2:$J$10001,0)),"")</f>
        <v/>
      </c>
    </row>
    <row r="7708">
      <c r="A7708">
        <f>IFERROR(INDEX('Email Cleaner'!$B$2:$B$10001,MATCH(7707,'Email Cleaner'!$J$2:$J$10001,0)),"")</f>
        <v/>
      </c>
    </row>
    <row r="7709">
      <c r="A7709">
        <f>IFERROR(INDEX('Email Cleaner'!$B$2:$B$10001,MATCH(7708,'Email Cleaner'!$J$2:$J$10001,0)),"")</f>
        <v/>
      </c>
    </row>
    <row r="7710">
      <c r="A7710">
        <f>IFERROR(INDEX('Email Cleaner'!$B$2:$B$10001,MATCH(7709,'Email Cleaner'!$J$2:$J$10001,0)),"")</f>
        <v/>
      </c>
    </row>
    <row r="7711">
      <c r="A7711">
        <f>IFERROR(INDEX('Email Cleaner'!$B$2:$B$10001,MATCH(7710,'Email Cleaner'!$J$2:$J$10001,0)),"")</f>
        <v/>
      </c>
    </row>
    <row r="7712">
      <c r="A7712">
        <f>IFERROR(INDEX('Email Cleaner'!$B$2:$B$10001,MATCH(7711,'Email Cleaner'!$J$2:$J$10001,0)),"")</f>
        <v/>
      </c>
    </row>
    <row r="7713">
      <c r="A7713">
        <f>IFERROR(INDEX('Email Cleaner'!$B$2:$B$10001,MATCH(7712,'Email Cleaner'!$J$2:$J$10001,0)),"")</f>
        <v/>
      </c>
    </row>
    <row r="7714">
      <c r="A7714">
        <f>IFERROR(INDEX('Email Cleaner'!$B$2:$B$10001,MATCH(7713,'Email Cleaner'!$J$2:$J$10001,0)),"")</f>
        <v/>
      </c>
    </row>
    <row r="7715">
      <c r="A7715">
        <f>IFERROR(INDEX('Email Cleaner'!$B$2:$B$10001,MATCH(7714,'Email Cleaner'!$J$2:$J$10001,0)),"")</f>
        <v/>
      </c>
    </row>
    <row r="7716">
      <c r="A7716">
        <f>IFERROR(INDEX('Email Cleaner'!$B$2:$B$10001,MATCH(7715,'Email Cleaner'!$J$2:$J$10001,0)),"")</f>
        <v/>
      </c>
    </row>
    <row r="7717">
      <c r="A7717">
        <f>IFERROR(INDEX('Email Cleaner'!$B$2:$B$10001,MATCH(7716,'Email Cleaner'!$J$2:$J$10001,0)),"")</f>
        <v/>
      </c>
    </row>
    <row r="7718">
      <c r="A7718">
        <f>IFERROR(INDEX('Email Cleaner'!$B$2:$B$10001,MATCH(7717,'Email Cleaner'!$J$2:$J$10001,0)),"")</f>
        <v/>
      </c>
    </row>
    <row r="7719">
      <c r="A7719">
        <f>IFERROR(INDEX('Email Cleaner'!$B$2:$B$10001,MATCH(7718,'Email Cleaner'!$J$2:$J$10001,0)),"")</f>
        <v/>
      </c>
    </row>
    <row r="7720">
      <c r="A7720">
        <f>IFERROR(INDEX('Email Cleaner'!$B$2:$B$10001,MATCH(7719,'Email Cleaner'!$J$2:$J$10001,0)),"")</f>
        <v/>
      </c>
    </row>
    <row r="7721">
      <c r="A7721">
        <f>IFERROR(INDEX('Email Cleaner'!$B$2:$B$10001,MATCH(7720,'Email Cleaner'!$J$2:$J$10001,0)),"")</f>
        <v/>
      </c>
    </row>
    <row r="7722">
      <c r="A7722">
        <f>IFERROR(INDEX('Email Cleaner'!$B$2:$B$10001,MATCH(7721,'Email Cleaner'!$J$2:$J$10001,0)),"")</f>
        <v/>
      </c>
    </row>
    <row r="7723">
      <c r="A7723">
        <f>IFERROR(INDEX('Email Cleaner'!$B$2:$B$10001,MATCH(7722,'Email Cleaner'!$J$2:$J$10001,0)),"")</f>
        <v/>
      </c>
    </row>
    <row r="7724">
      <c r="A7724">
        <f>IFERROR(INDEX('Email Cleaner'!$B$2:$B$10001,MATCH(7723,'Email Cleaner'!$J$2:$J$10001,0)),"")</f>
        <v/>
      </c>
    </row>
    <row r="7725">
      <c r="A7725">
        <f>IFERROR(INDEX('Email Cleaner'!$B$2:$B$10001,MATCH(7724,'Email Cleaner'!$J$2:$J$10001,0)),"")</f>
        <v/>
      </c>
    </row>
    <row r="7726">
      <c r="A7726">
        <f>IFERROR(INDEX('Email Cleaner'!$B$2:$B$10001,MATCH(7725,'Email Cleaner'!$J$2:$J$10001,0)),"")</f>
        <v/>
      </c>
    </row>
    <row r="7727">
      <c r="A7727">
        <f>IFERROR(INDEX('Email Cleaner'!$B$2:$B$10001,MATCH(7726,'Email Cleaner'!$J$2:$J$10001,0)),"")</f>
        <v/>
      </c>
    </row>
    <row r="7728">
      <c r="A7728">
        <f>IFERROR(INDEX('Email Cleaner'!$B$2:$B$10001,MATCH(7727,'Email Cleaner'!$J$2:$J$10001,0)),"")</f>
        <v/>
      </c>
    </row>
    <row r="7729">
      <c r="A7729">
        <f>IFERROR(INDEX('Email Cleaner'!$B$2:$B$10001,MATCH(7728,'Email Cleaner'!$J$2:$J$10001,0)),"")</f>
        <v/>
      </c>
    </row>
    <row r="7730">
      <c r="A7730">
        <f>IFERROR(INDEX('Email Cleaner'!$B$2:$B$10001,MATCH(7729,'Email Cleaner'!$J$2:$J$10001,0)),"")</f>
        <v/>
      </c>
    </row>
    <row r="7731">
      <c r="A7731">
        <f>IFERROR(INDEX('Email Cleaner'!$B$2:$B$10001,MATCH(7730,'Email Cleaner'!$J$2:$J$10001,0)),"")</f>
        <v/>
      </c>
    </row>
    <row r="7732">
      <c r="A7732">
        <f>IFERROR(INDEX('Email Cleaner'!$B$2:$B$10001,MATCH(7731,'Email Cleaner'!$J$2:$J$10001,0)),"")</f>
        <v/>
      </c>
    </row>
    <row r="7733">
      <c r="A7733">
        <f>IFERROR(INDEX('Email Cleaner'!$B$2:$B$10001,MATCH(7732,'Email Cleaner'!$J$2:$J$10001,0)),"")</f>
        <v/>
      </c>
    </row>
    <row r="7734">
      <c r="A7734">
        <f>IFERROR(INDEX('Email Cleaner'!$B$2:$B$10001,MATCH(7733,'Email Cleaner'!$J$2:$J$10001,0)),"")</f>
        <v/>
      </c>
    </row>
    <row r="7735">
      <c r="A7735">
        <f>IFERROR(INDEX('Email Cleaner'!$B$2:$B$10001,MATCH(7734,'Email Cleaner'!$J$2:$J$10001,0)),"")</f>
        <v/>
      </c>
    </row>
    <row r="7736">
      <c r="A7736">
        <f>IFERROR(INDEX('Email Cleaner'!$B$2:$B$10001,MATCH(7735,'Email Cleaner'!$J$2:$J$10001,0)),"")</f>
        <v/>
      </c>
    </row>
    <row r="7737">
      <c r="A7737">
        <f>IFERROR(INDEX('Email Cleaner'!$B$2:$B$10001,MATCH(7736,'Email Cleaner'!$J$2:$J$10001,0)),"")</f>
        <v/>
      </c>
    </row>
    <row r="7738">
      <c r="A7738">
        <f>IFERROR(INDEX('Email Cleaner'!$B$2:$B$10001,MATCH(7737,'Email Cleaner'!$J$2:$J$10001,0)),"")</f>
        <v/>
      </c>
    </row>
    <row r="7739">
      <c r="A7739">
        <f>IFERROR(INDEX('Email Cleaner'!$B$2:$B$10001,MATCH(7738,'Email Cleaner'!$J$2:$J$10001,0)),"")</f>
        <v/>
      </c>
    </row>
    <row r="7740">
      <c r="A7740">
        <f>IFERROR(INDEX('Email Cleaner'!$B$2:$B$10001,MATCH(7739,'Email Cleaner'!$J$2:$J$10001,0)),"")</f>
        <v/>
      </c>
    </row>
    <row r="7741">
      <c r="A7741">
        <f>IFERROR(INDEX('Email Cleaner'!$B$2:$B$10001,MATCH(7740,'Email Cleaner'!$J$2:$J$10001,0)),"")</f>
        <v/>
      </c>
    </row>
    <row r="7742">
      <c r="A7742">
        <f>IFERROR(INDEX('Email Cleaner'!$B$2:$B$10001,MATCH(7741,'Email Cleaner'!$J$2:$J$10001,0)),"")</f>
        <v/>
      </c>
    </row>
    <row r="7743">
      <c r="A7743">
        <f>IFERROR(INDEX('Email Cleaner'!$B$2:$B$10001,MATCH(7742,'Email Cleaner'!$J$2:$J$10001,0)),"")</f>
        <v/>
      </c>
    </row>
    <row r="7744">
      <c r="A7744">
        <f>IFERROR(INDEX('Email Cleaner'!$B$2:$B$10001,MATCH(7743,'Email Cleaner'!$J$2:$J$10001,0)),"")</f>
        <v/>
      </c>
    </row>
    <row r="7745">
      <c r="A7745">
        <f>IFERROR(INDEX('Email Cleaner'!$B$2:$B$10001,MATCH(7744,'Email Cleaner'!$J$2:$J$10001,0)),"")</f>
        <v/>
      </c>
    </row>
    <row r="7746">
      <c r="A7746">
        <f>IFERROR(INDEX('Email Cleaner'!$B$2:$B$10001,MATCH(7745,'Email Cleaner'!$J$2:$J$10001,0)),"")</f>
        <v/>
      </c>
    </row>
    <row r="7747">
      <c r="A7747">
        <f>IFERROR(INDEX('Email Cleaner'!$B$2:$B$10001,MATCH(7746,'Email Cleaner'!$J$2:$J$10001,0)),"")</f>
        <v/>
      </c>
    </row>
    <row r="7748">
      <c r="A7748">
        <f>IFERROR(INDEX('Email Cleaner'!$B$2:$B$10001,MATCH(7747,'Email Cleaner'!$J$2:$J$10001,0)),"")</f>
        <v/>
      </c>
    </row>
    <row r="7749">
      <c r="A7749">
        <f>IFERROR(INDEX('Email Cleaner'!$B$2:$B$10001,MATCH(7748,'Email Cleaner'!$J$2:$J$10001,0)),"")</f>
        <v/>
      </c>
    </row>
    <row r="7750">
      <c r="A7750">
        <f>IFERROR(INDEX('Email Cleaner'!$B$2:$B$10001,MATCH(7749,'Email Cleaner'!$J$2:$J$10001,0)),"")</f>
        <v/>
      </c>
    </row>
    <row r="7751">
      <c r="A7751">
        <f>IFERROR(INDEX('Email Cleaner'!$B$2:$B$10001,MATCH(7750,'Email Cleaner'!$J$2:$J$10001,0)),"")</f>
        <v/>
      </c>
    </row>
    <row r="7752">
      <c r="A7752">
        <f>IFERROR(INDEX('Email Cleaner'!$B$2:$B$10001,MATCH(7751,'Email Cleaner'!$J$2:$J$10001,0)),"")</f>
        <v/>
      </c>
    </row>
    <row r="7753">
      <c r="A7753">
        <f>IFERROR(INDEX('Email Cleaner'!$B$2:$B$10001,MATCH(7752,'Email Cleaner'!$J$2:$J$10001,0)),"")</f>
        <v/>
      </c>
    </row>
    <row r="7754">
      <c r="A7754">
        <f>IFERROR(INDEX('Email Cleaner'!$B$2:$B$10001,MATCH(7753,'Email Cleaner'!$J$2:$J$10001,0)),"")</f>
        <v/>
      </c>
    </row>
    <row r="7755">
      <c r="A7755">
        <f>IFERROR(INDEX('Email Cleaner'!$B$2:$B$10001,MATCH(7754,'Email Cleaner'!$J$2:$J$10001,0)),"")</f>
        <v/>
      </c>
    </row>
    <row r="7756">
      <c r="A7756">
        <f>IFERROR(INDEX('Email Cleaner'!$B$2:$B$10001,MATCH(7755,'Email Cleaner'!$J$2:$J$10001,0)),"")</f>
        <v/>
      </c>
    </row>
    <row r="7757">
      <c r="A7757">
        <f>IFERROR(INDEX('Email Cleaner'!$B$2:$B$10001,MATCH(7756,'Email Cleaner'!$J$2:$J$10001,0)),"")</f>
        <v/>
      </c>
    </row>
    <row r="7758">
      <c r="A7758">
        <f>IFERROR(INDEX('Email Cleaner'!$B$2:$B$10001,MATCH(7757,'Email Cleaner'!$J$2:$J$10001,0)),"")</f>
        <v/>
      </c>
    </row>
    <row r="7759">
      <c r="A7759">
        <f>IFERROR(INDEX('Email Cleaner'!$B$2:$B$10001,MATCH(7758,'Email Cleaner'!$J$2:$J$10001,0)),"")</f>
        <v/>
      </c>
    </row>
    <row r="7760">
      <c r="A7760">
        <f>IFERROR(INDEX('Email Cleaner'!$B$2:$B$10001,MATCH(7759,'Email Cleaner'!$J$2:$J$10001,0)),"")</f>
        <v/>
      </c>
    </row>
    <row r="7761">
      <c r="A7761">
        <f>IFERROR(INDEX('Email Cleaner'!$B$2:$B$10001,MATCH(7760,'Email Cleaner'!$J$2:$J$10001,0)),"")</f>
        <v/>
      </c>
    </row>
    <row r="7762">
      <c r="A7762">
        <f>IFERROR(INDEX('Email Cleaner'!$B$2:$B$10001,MATCH(7761,'Email Cleaner'!$J$2:$J$10001,0)),"")</f>
        <v/>
      </c>
    </row>
    <row r="7763">
      <c r="A7763">
        <f>IFERROR(INDEX('Email Cleaner'!$B$2:$B$10001,MATCH(7762,'Email Cleaner'!$J$2:$J$10001,0)),"")</f>
        <v/>
      </c>
    </row>
    <row r="7764">
      <c r="A7764">
        <f>IFERROR(INDEX('Email Cleaner'!$B$2:$B$10001,MATCH(7763,'Email Cleaner'!$J$2:$J$10001,0)),"")</f>
        <v/>
      </c>
    </row>
    <row r="7765">
      <c r="A7765">
        <f>IFERROR(INDEX('Email Cleaner'!$B$2:$B$10001,MATCH(7764,'Email Cleaner'!$J$2:$J$10001,0)),"")</f>
        <v/>
      </c>
    </row>
    <row r="7766">
      <c r="A7766">
        <f>IFERROR(INDEX('Email Cleaner'!$B$2:$B$10001,MATCH(7765,'Email Cleaner'!$J$2:$J$10001,0)),"")</f>
        <v/>
      </c>
    </row>
    <row r="7767">
      <c r="A7767">
        <f>IFERROR(INDEX('Email Cleaner'!$B$2:$B$10001,MATCH(7766,'Email Cleaner'!$J$2:$J$10001,0)),"")</f>
        <v/>
      </c>
    </row>
    <row r="7768">
      <c r="A7768">
        <f>IFERROR(INDEX('Email Cleaner'!$B$2:$B$10001,MATCH(7767,'Email Cleaner'!$J$2:$J$10001,0)),"")</f>
        <v/>
      </c>
    </row>
    <row r="7769">
      <c r="A7769">
        <f>IFERROR(INDEX('Email Cleaner'!$B$2:$B$10001,MATCH(7768,'Email Cleaner'!$J$2:$J$10001,0)),"")</f>
        <v/>
      </c>
    </row>
    <row r="7770">
      <c r="A7770">
        <f>IFERROR(INDEX('Email Cleaner'!$B$2:$B$10001,MATCH(7769,'Email Cleaner'!$J$2:$J$10001,0)),"")</f>
        <v/>
      </c>
    </row>
    <row r="7771">
      <c r="A7771">
        <f>IFERROR(INDEX('Email Cleaner'!$B$2:$B$10001,MATCH(7770,'Email Cleaner'!$J$2:$J$10001,0)),"")</f>
        <v/>
      </c>
    </row>
    <row r="7772">
      <c r="A7772">
        <f>IFERROR(INDEX('Email Cleaner'!$B$2:$B$10001,MATCH(7771,'Email Cleaner'!$J$2:$J$10001,0)),"")</f>
        <v/>
      </c>
    </row>
    <row r="7773">
      <c r="A7773">
        <f>IFERROR(INDEX('Email Cleaner'!$B$2:$B$10001,MATCH(7772,'Email Cleaner'!$J$2:$J$10001,0)),"")</f>
        <v/>
      </c>
    </row>
    <row r="7774">
      <c r="A7774">
        <f>IFERROR(INDEX('Email Cleaner'!$B$2:$B$10001,MATCH(7773,'Email Cleaner'!$J$2:$J$10001,0)),"")</f>
        <v/>
      </c>
    </row>
    <row r="7775">
      <c r="A7775">
        <f>IFERROR(INDEX('Email Cleaner'!$B$2:$B$10001,MATCH(7774,'Email Cleaner'!$J$2:$J$10001,0)),"")</f>
        <v/>
      </c>
    </row>
    <row r="7776">
      <c r="A7776">
        <f>IFERROR(INDEX('Email Cleaner'!$B$2:$B$10001,MATCH(7775,'Email Cleaner'!$J$2:$J$10001,0)),"")</f>
        <v/>
      </c>
    </row>
    <row r="7777">
      <c r="A7777">
        <f>IFERROR(INDEX('Email Cleaner'!$B$2:$B$10001,MATCH(7776,'Email Cleaner'!$J$2:$J$10001,0)),"")</f>
        <v/>
      </c>
    </row>
    <row r="7778">
      <c r="A7778">
        <f>IFERROR(INDEX('Email Cleaner'!$B$2:$B$10001,MATCH(7777,'Email Cleaner'!$J$2:$J$10001,0)),"")</f>
        <v/>
      </c>
    </row>
    <row r="7779">
      <c r="A7779">
        <f>IFERROR(INDEX('Email Cleaner'!$B$2:$B$10001,MATCH(7778,'Email Cleaner'!$J$2:$J$10001,0)),"")</f>
        <v/>
      </c>
    </row>
    <row r="7780">
      <c r="A7780">
        <f>IFERROR(INDEX('Email Cleaner'!$B$2:$B$10001,MATCH(7779,'Email Cleaner'!$J$2:$J$10001,0)),"")</f>
        <v/>
      </c>
    </row>
    <row r="7781">
      <c r="A7781">
        <f>IFERROR(INDEX('Email Cleaner'!$B$2:$B$10001,MATCH(7780,'Email Cleaner'!$J$2:$J$10001,0)),"")</f>
        <v/>
      </c>
    </row>
    <row r="7782">
      <c r="A7782">
        <f>IFERROR(INDEX('Email Cleaner'!$B$2:$B$10001,MATCH(7781,'Email Cleaner'!$J$2:$J$10001,0)),"")</f>
        <v/>
      </c>
    </row>
    <row r="7783">
      <c r="A7783">
        <f>IFERROR(INDEX('Email Cleaner'!$B$2:$B$10001,MATCH(7782,'Email Cleaner'!$J$2:$J$10001,0)),"")</f>
        <v/>
      </c>
    </row>
    <row r="7784">
      <c r="A7784">
        <f>IFERROR(INDEX('Email Cleaner'!$B$2:$B$10001,MATCH(7783,'Email Cleaner'!$J$2:$J$10001,0)),"")</f>
        <v/>
      </c>
    </row>
    <row r="7785">
      <c r="A7785">
        <f>IFERROR(INDEX('Email Cleaner'!$B$2:$B$10001,MATCH(7784,'Email Cleaner'!$J$2:$J$10001,0)),"")</f>
        <v/>
      </c>
    </row>
    <row r="7786">
      <c r="A7786">
        <f>IFERROR(INDEX('Email Cleaner'!$B$2:$B$10001,MATCH(7785,'Email Cleaner'!$J$2:$J$10001,0)),"")</f>
        <v/>
      </c>
    </row>
    <row r="7787">
      <c r="A7787">
        <f>IFERROR(INDEX('Email Cleaner'!$B$2:$B$10001,MATCH(7786,'Email Cleaner'!$J$2:$J$10001,0)),"")</f>
        <v/>
      </c>
    </row>
    <row r="7788">
      <c r="A7788">
        <f>IFERROR(INDEX('Email Cleaner'!$B$2:$B$10001,MATCH(7787,'Email Cleaner'!$J$2:$J$10001,0)),"")</f>
        <v/>
      </c>
    </row>
    <row r="7789">
      <c r="A7789">
        <f>IFERROR(INDEX('Email Cleaner'!$B$2:$B$10001,MATCH(7788,'Email Cleaner'!$J$2:$J$10001,0)),"")</f>
        <v/>
      </c>
    </row>
    <row r="7790">
      <c r="A7790">
        <f>IFERROR(INDEX('Email Cleaner'!$B$2:$B$10001,MATCH(7789,'Email Cleaner'!$J$2:$J$10001,0)),"")</f>
        <v/>
      </c>
    </row>
    <row r="7791">
      <c r="A7791">
        <f>IFERROR(INDEX('Email Cleaner'!$B$2:$B$10001,MATCH(7790,'Email Cleaner'!$J$2:$J$10001,0)),"")</f>
        <v/>
      </c>
    </row>
    <row r="7792">
      <c r="A7792">
        <f>IFERROR(INDEX('Email Cleaner'!$B$2:$B$10001,MATCH(7791,'Email Cleaner'!$J$2:$J$10001,0)),"")</f>
        <v/>
      </c>
    </row>
    <row r="7793">
      <c r="A7793">
        <f>IFERROR(INDEX('Email Cleaner'!$B$2:$B$10001,MATCH(7792,'Email Cleaner'!$J$2:$J$10001,0)),"")</f>
        <v/>
      </c>
    </row>
    <row r="7794">
      <c r="A7794">
        <f>IFERROR(INDEX('Email Cleaner'!$B$2:$B$10001,MATCH(7793,'Email Cleaner'!$J$2:$J$10001,0)),"")</f>
        <v/>
      </c>
    </row>
    <row r="7795">
      <c r="A7795">
        <f>IFERROR(INDEX('Email Cleaner'!$B$2:$B$10001,MATCH(7794,'Email Cleaner'!$J$2:$J$10001,0)),"")</f>
        <v/>
      </c>
    </row>
    <row r="7796">
      <c r="A7796">
        <f>IFERROR(INDEX('Email Cleaner'!$B$2:$B$10001,MATCH(7795,'Email Cleaner'!$J$2:$J$10001,0)),"")</f>
        <v/>
      </c>
    </row>
    <row r="7797">
      <c r="A7797">
        <f>IFERROR(INDEX('Email Cleaner'!$B$2:$B$10001,MATCH(7796,'Email Cleaner'!$J$2:$J$10001,0)),"")</f>
        <v/>
      </c>
    </row>
    <row r="7798">
      <c r="A7798">
        <f>IFERROR(INDEX('Email Cleaner'!$B$2:$B$10001,MATCH(7797,'Email Cleaner'!$J$2:$J$10001,0)),"")</f>
        <v/>
      </c>
    </row>
    <row r="7799">
      <c r="A7799">
        <f>IFERROR(INDEX('Email Cleaner'!$B$2:$B$10001,MATCH(7798,'Email Cleaner'!$J$2:$J$10001,0)),"")</f>
        <v/>
      </c>
    </row>
    <row r="7800">
      <c r="A7800">
        <f>IFERROR(INDEX('Email Cleaner'!$B$2:$B$10001,MATCH(7799,'Email Cleaner'!$J$2:$J$10001,0)),"")</f>
        <v/>
      </c>
    </row>
    <row r="7801">
      <c r="A7801">
        <f>IFERROR(INDEX('Email Cleaner'!$B$2:$B$10001,MATCH(7800,'Email Cleaner'!$J$2:$J$10001,0)),"")</f>
        <v/>
      </c>
    </row>
    <row r="7802">
      <c r="A7802">
        <f>IFERROR(INDEX('Email Cleaner'!$B$2:$B$10001,MATCH(7801,'Email Cleaner'!$J$2:$J$10001,0)),"")</f>
        <v/>
      </c>
    </row>
    <row r="7803">
      <c r="A7803">
        <f>IFERROR(INDEX('Email Cleaner'!$B$2:$B$10001,MATCH(7802,'Email Cleaner'!$J$2:$J$10001,0)),"")</f>
        <v/>
      </c>
    </row>
    <row r="7804">
      <c r="A7804">
        <f>IFERROR(INDEX('Email Cleaner'!$B$2:$B$10001,MATCH(7803,'Email Cleaner'!$J$2:$J$10001,0)),"")</f>
        <v/>
      </c>
    </row>
    <row r="7805">
      <c r="A7805">
        <f>IFERROR(INDEX('Email Cleaner'!$B$2:$B$10001,MATCH(7804,'Email Cleaner'!$J$2:$J$10001,0)),"")</f>
        <v/>
      </c>
    </row>
    <row r="7806">
      <c r="A7806">
        <f>IFERROR(INDEX('Email Cleaner'!$B$2:$B$10001,MATCH(7805,'Email Cleaner'!$J$2:$J$10001,0)),"")</f>
        <v/>
      </c>
    </row>
    <row r="7807">
      <c r="A7807">
        <f>IFERROR(INDEX('Email Cleaner'!$B$2:$B$10001,MATCH(7806,'Email Cleaner'!$J$2:$J$10001,0)),"")</f>
        <v/>
      </c>
    </row>
    <row r="7808">
      <c r="A7808">
        <f>IFERROR(INDEX('Email Cleaner'!$B$2:$B$10001,MATCH(7807,'Email Cleaner'!$J$2:$J$10001,0)),"")</f>
        <v/>
      </c>
    </row>
    <row r="7809">
      <c r="A7809">
        <f>IFERROR(INDEX('Email Cleaner'!$B$2:$B$10001,MATCH(7808,'Email Cleaner'!$J$2:$J$10001,0)),"")</f>
        <v/>
      </c>
    </row>
    <row r="7810">
      <c r="A7810">
        <f>IFERROR(INDEX('Email Cleaner'!$B$2:$B$10001,MATCH(7809,'Email Cleaner'!$J$2:$J$10001,0)),"")</f>
        <v/>
      </c>
    </row>
    <row r="7811">
      <c r="A7811">
        <f>IFERROR(INDEX('Email Cleaner'!$B$2:$B$10001,MATCH(7810,'Email Cleaner'!$J$2:$J$10001,0)),"")</f>
        <v/>
      </c>
    </row>
    <row r="7812">
      <c r="A7812">
        <f>IFERROR(INDEX('Email Cleaner'!$B$2:$B$10001,MATCH(7811,'Email Cleaner'!$J$2:$J$10001,0)),"")</f>
        <v/>
      </c>
    </row>
    <row r="7813">
      <c r="A7813">
        <f>IFERROR(INDEX('Email Cleaner'!$B$2:$B$10001,MATCH(7812,'Email Cleaner'!$J$2:$J$10001,0)),"")</f>
        <v/>
      </c>
    </row>
    <row r="7814">
      <c r="A7814">
        <f>IFERROR(INDEX('Email Cleaner'!$B$2:$B$10001,MATCH(7813,'Email Cleaner'!$J$2:$J$10001,0)),"")</f>
        <v/>
      </c>
    </row>
    <row r="7815">
      <c r="A7815">
        <f>IFERROR(INDEX('Email Cleaner'!$B$2:$B$10001,MATCH(7814,'Email Cleaner'!$J$2:$J$10001,0)),"")</f>
        <v/>
      </c>
    </row>
    <row r="7816">
      <c r="A7816">
        <f>IFERROR(INDEX('Email Cleaner'!$B$2:$B$10001,MATCH(7815,'Email Cleaner'!$J$2:$J$10001,0)),"")</f>
        <v/>
      </c>
    </row>
    <row r="7817">
      <c r="A7817">
        <f>IFERROR(INDEX('Email Cleaner'!$B$2:$B$10001,MATCH(7816,'Email Cleaner'!$J$2:$J$10001,0)),"")</f>
        <v/>
      </c>
    </row>
    <row r="7818">
      <c r="A7818">
        <f>IFERROR(INDEX('Email Cleaner'!$B$2:$B$10001,MATCH(7817,'Email Cleaner'!$J$2:$J$10001,0)),"")</f>
        <v/>
      </c>
    </row>
    <row r="7819">
      <c r="A7819">
        <f>IFERROR(INDEX('Email Cleaner'!$B$2:$B$10001,MATCH(7818,'Email Cleaner'!$J$2:$J$10001,0)),"")</f>
        <v/>
      </c>
    </row>
    <row r="7820">
      <c r="A7820">
        <f>IFERROR(INDEX('Email Cleaner'!$B$2:$B$10001,MATCH(7819,'Email Cleaner'!$J$2:$J$10001,0)),"")</f>
        <v/>
      </c>
    </row>
    <row r="7821">
      <c r="A7821">
        <f>IFERROR(INDEX('Email Cleaner'!$B$2:$B$10001,MATCH(7820,'Email Cleaner'!$J$2:$J$10001,0)),"")</f>
        <v/>
      </c>
    </row>
    <row r="7822">
      <c r="A7822">
        <f>IFERROR(INDEX('Email Cleaner'!$B$2:$B$10001,MATCH(7821,'Email Cleaner'!$J$2:$J$10001,0)),"")</f>
        <v/>
      </c>
    </row>
    <row r="7823">
      <c r="A7823">
        <f>IFERROR(INDEX('Email Cleaner'!$B$2:$B$10001,MATCH(7822,'Email Cleaner'!$J$2:$J$10001,0)),"")</f>
        <v/>
      </c>
    </row>
    <row r="7824">
      <c r="A7824">
        <f>IFERROR(INDEX('Email Cleaner'!$B$2:$B$10001,MATCH(7823,'Email Cleaner'!$J$2:$J$10001,0)),"")</f>
        <v/>
      </c>
    </row>
    <row r="7825">
      <c r="A7825">
        <f>IFERROR(INDEX('Email Cleaner'!$B$2:$B$10001,MATCH(7824,'Email Cleaner'!$J$2:$J$10001,0)),"")</f>
        <v/>
      </c>
    </row>
    <row r="7826">
      <c r="A7826">
        <f>IFERROR(INDEX('Email Cleaner'!$B$2:$B$10001,MATCH(7825,'Email Cleaner'!$J$2:$J$10001,0)),"")</f>
        <v/>
      </c>
    </row>
    <row r="7827">
      <c r="A7827">
        <f>IFERROR(INDEX('Email Cleaner'!$B$2:$B$10001,MATCH(7826,'Email Cleaner'!$J$2:$J$10001,0)),"")</f>
        <v/>
      </c>
    </row>
    <row r="7828">
      <c r="A7828">
        <f>IFERROR(INDEX('Email Cleaner'!$B$2:$B$10001,MATCH(7827,'Email Cleaner'!$J$2:$J$10001,0)),"")</f>
        <v/>
      </c>
    </row>
    <row r="7829">
      <c r="A7829">
        <f>IFERROR(INDEX('Email Cleaner'!$B$2:$B$10001,MATCH(7828,'Email Cleaner'!$J$2:$J$10001,0)),"")</f>
        <v/>
      </c>
    </row>
    <row r="7830">
      <c r="A7830">
        <f>IFERROR(INDEX('Email Cleaner'!$B$2:$B$10001,MATCH(7829,'Email Cleaner'!$J$2:$J$10001,0)),"")</f>
        <v/>
      </c>
    </row>
    <row r="7831">
      <c r="A7831">
        <f>IFERROR(INDEX('Email Cleaner'!$B$2:$B$10001,MATCH(7830,'Email Cleaner'!$J$2:$J$10001,0)),"")</f>
        <v/>
      </c>
    </row>
    <row r="7832">
      <c r="A7832">
        <f>IFERROR(INDEX('Email Cleaner'!$B$2:$B$10001,MATCH(7831,'Email Cleaner'!$J$2:$J$10001,0)),"")</f>
        <v/>
      </c>
    </row>
    <row r="7833">
      <c r="A7833">
        <f>IFERROR(INDEX('Email Cleaner'!$B$2:$B$10001,MATCH(7832,'Email Cleaner'!$J$2:$J$10001,0)),"")</f>
        <v/>
      </c>
    </row>
    <row r="7834">
      <c r="A7834">
        <f>IFERROR(INDEX('Email Cleaner'!$B$2:$B$10001,MATCH(7833,'Email Cleaner'!$J$2:$J$10001,0)),"")</f>
        <v/>
      </c>
    </row>
    <row r="7835">
      <c r="A7835">
        <f>IFERROR(INDEX('Email Cleaner'!$B$2:$B$10001,MATCH(7834,'Email Cleaner'!$J$2:$J$10001,0)),"")</f>
        <v/>
      </c>
    </row>
    <row r="7836">
      <c r="A7836">
        <f>IFERROR(INDEX('Email Cleaner'!$B$2:$B$10001,MATCH(7835,'Email Cleaner'!$J$2:$J$10001,0)),"")</f>
        <v/>
      </c>
    </row>
    <row r="7837">
      <c r="A7837">
        <f>IFERROR(INDEX('Email Cleaner'!$B$2:$B$10001,MATCH(7836,'Email Cleaner'!$J$2:$J$10001,0)),"")</f>
        <v/>
      </c>
    </row>
    <row r="7838">
      <c r="A7838">
        <f>IFERROR(INDEX('Email Cleaner'!$B$2:$B$10001,MATCH(7837,'Email Cleaner'!$J$2:$J$10001,0)),"")</f>
        <v/>
      </c>
    </row>
    <row r="7839">
      <c r="A7839">
        <f>IFERROR(INDEX('Email Cleaner'!$B$2:$B$10001,MATCH(7838,'Email Cleaner'!$J$2:$J$10001,0)),"")</f>
        <v/>
      </c>
    </row>
    <row r="7840">
      <c r="A7840">
        <f>IFERROR(INDEX('Email Cleaner'!$B$2:$B$10001,MATCH(7839,'Email Cleaner'!$J$2:$J$10001,0)),"")</f>
        <v/>
      </c>
    </row>
    <row r="7841">
      <c r="A7841">
        <f>IFERROR(INDEX('Email Cleaner'!$B$2:$B$10001,MATCH(7840,'Email Cleaner'!$J$2:$J$10001,0)),"")</f>
        <v/>
      </c>
    </row>
    <row r="7842">
      <c r="A7842">
        <f>IFERROR(INDEX('Email Cleaner'!$B$2:$B$10001,MATCH(7841,'Email Cleaner'!$J$2:$J$10001,0)),"")</f>
        <v/>
      </c>
    </row>
    <row r="7843">
      <c r="A7843">
        <f>IFERROR(INDEX('Email Cleaner'!$B$2:$B$10001,MATCH(7842,'Email Cleaner'!$J$2:$J$10001,0)),"")</f>
        <v/>
      </c>
    </row>
    <row r="7844">
      <c r="A7844">
        <f>IFERROR(INDEX('Email Cleaner'!$B$2:$B$10001,MATCH(7843,'Email Cleaner'!$J$2:$J$10001,0)),"")</f>
        <v/>
      </c>
    </row>
    <row r="7845">
      <c r="A7845">
        <f>IFERROR(INDEX('Email Cleaner'!$B$2:$B$10001,MATCH(7844,'Email Cleaner'!$J$2:$J$10001,0)),"")</f>
        <v/>
      </c>
    </row>
    <row r="7846">
      <c r="A7846">
        <f>IFERROR(INDEX('Email Cleaner'!$B$2:$B$10001,MATCH(7845,'Email Cleaner'!$J$2:$J$10001,0)),"")</f>
        <v/>
      </c>
    </row>
    <row r="7847">
      <c r="A7847">
        <f>IFERROR(INDEX('Email Cleaner'!$B$2:$B$10001,MATCH(7846,'Email Cleaner'!$J$2:$J$10001,0)),"")</f>
        <v/>
      </c>
    </row>
    <row r="7848">
      <c r="A7848">
        <f>IFERROR(INDEX('Email Cleaner'!$B$2:$B$10001,MATCH(7847,'Email Cleaner'!$J$2:$J$10001,0)),"")</f>
        <v/>
      </c>
    </row>
    <row r="7849">
      <c r="A7849">
        <f>IFERROR(INDEX('Email Cleaner'!$B$2:$B$10001,MATCH(7848,'Email Cleaner'!$J$2:$J$10001,0)),"")</f>
        <v/>
      </c>
    </row>
    <row r="7850">
      <c r="A7850">
        <f>IFERROR(INDEX('Email Cleaner'!$B$2:$B$10001,MATCH(7849,'Email Cleaner'!$J$2:$J$10001,0)),"")</f>
        <v/>
      </c>
    </row>
    <row r="7851">
      <c r="A7851">
        <f>IFERROR(INDEX('Email Cleaner'!$B$2:$B$10001,MATCH(7850,'Email Cleaner'!$J$2:$J$10001,0)),"")</f>
        <v/>
      </c>
    </row>
    <row r="7852">
      <c r="A7852">
        <f>IFERROR(INDEX('Email Cleaner'!$B$2:$B$10001,MATCH(7851,'Email Cleaner'!$J$2:$J$10001,0)),"")</f>
        <v/>
      </c>
    </row>
    <row r="7853">
      <c r="A7853">
        <f>IFERROR(INDEX('Email Cleaner'!$B$2:$B$10001,MATCH(7852,'Email Cleaner'!$J$2:$J$10001,0)),"")</f>
        <v/>
      </c>
    </row>
    <row r="7854">
      <c r="A7854">
        <f>IFERROR(INDEX('Email Cleaner'!$B$2:$B$10001,MATCH(7853,'Email Cleaner'!$J$2:$J$10001,0)),"")</f>
        <v/>
      </c>
    </row>
    <row r="7855">
      <c r="A7855">
        <f>IFERROR(INDEX('Email Cleaner'!$B$2:$B$10001,MATCH(7854,'Email Cleaner'!$J$2:$J$10001,0)),"")</f>
        <v/>
      </c>
    </row>
    <row r="7856">
      <c r="A7856">
        <f>IFERROR(INDEX('Email Cleaner'!$B$2:$B$10001,MATCH(7855,'Email Cleaner'!$J$2:$J$10001,0)),"")</f>
        <v/>
      </c>
    </row>
    <row r="7857">
      <c r="A7857">
        <f>IFERROR(INDEX('Email Cleaner'!$B$2:$B$10001,MATCH(7856,'Email Cleaner'!$J$2:$J$10001,0)),"")</f>
        <v/>
      </c>
    </row>
    <row r="7858">
      <c r="A7858">
        <f>IFERROR(INDEX('Email Cleaner'!$B$2:$B$10001,MATCH(7857,'Email Cleaner'!$J$2:$J$10001,0)),"")</f>
        <v/>
      </c>
    </row>
    <row r="7859">
      <c r="A7859">
        <f>IFERROR(INDEX('Email Cleaner'!$B$2:$B$10001,MATCH(7858,'Email Cleaner'!$J$2:$J$10001,0)),"")</f>
        <v/>
      </c>
    </row>
    <row r="7860">
      <c r="A7860">
        <f>IFERROR(INDEX('Email Cleaner'!$B$2:$B$10001,MATCH(7859,'Email Cleaner'!$J$2:$J$10001,0)),"")</f>
        <v/>
      </c>
    </row>
    <row r="7861">
      <c r="A7861">
        <f>IFERROR(INDEX('Email Cleaner'!$B$2:$B$10001,MATCH(7860,'Email Cleaner'!$J$2:$J$10001,0)),"")</f>
        <v/>
      </c>
    </row>
    <row r="7862">
      <c r="A7862">
        <f>IFERROR(INDEX('Email Cleaner'!$B$2:$B$10001,MATCH(7861,'Email Cleaner'!$J$2:$J$10001,0)),"")</f>
        <v/>
      </c>
    </row>
    <row r="7863">
      <c r="A7863">
        <f>IFERROR(INDEX('Email Cleaner'!$B$2:$B$10001,MATCH(7862,'Email Cleaner'!$J$2:$J$10001,0)),"")</f>
        <v/>
      </c>
    </row>
    <row r="7864">
      <c r="A7864">
        <f>IFERROR(INDEX('Email Cleaner'!$B$2:$B$10001,MATCH(7863,'Email Cleaner'!$J$2:$J$10001,0)),"")</f>
        <v/>
      </c>
    </row>
    <row r="7865">
      <c r="A7865">
        <f>IFERROR(INDEX('Email Cleaner'!$B$2:$B$10001,MATCH(7864,'Email Cleaner'!$J$2:$J$10001,0)),"")</f>
        <v/>
      </c>
    </row>
    <row r="7866">
      <c r="A7866">
        <f>IFERROR(INDEX('Email Cleaner'!$B$2:$B$10001,MATCH(7865,'Email Cleaner'!$J$2:$J$10001,0)),"")</f>
        <v/>
      </c>
    </row>
    <row r="7867">
      <c r="A7867">
        <f>IFERROR(INDEX('Email Cleaner'!$B$2:$B$10001,MATCH(7866,'Email Cleaner'!$J$2:$J$10001,0)),"")</f>
        <v/>
      </c>
    </row>
    <row r="7868">
      <c r="A7868">
        <f>IFERROR(INDEX('Email Cleaner'!$B$2:$B$10001,MATCH(7867,'Email Cleaner'!$J$2:$J$10001,0)),"")</f>
        <v/>
      </c>
    </row>
    <row r="7869">
      <c r="A7869">
        <f>IFERROR(INDEX('Email Cleaner'!$B$2:$B$10001,MATCH(7868,'Email Cleaner'!$J$2:$J$10001,0)),"")</f>
        <v/>
      </c>
    </row>
    <row r="7870">
      <c r="A7870">
        <f>IFERROR(INDEX('Email Cleaner'!$B$2:$B$10001,MATCH(7869,'Email Cleaner'!$J$2:$J$10001,0)),"")</f>
        <v/>
      </c>
    </row>
    <row r="7871">
      <c r="A7871">
        <f>IFERROR(INDEX('Email Cleaner'!$B$2:$B$10001,MATCH(7870,'Email Cleaner'!$J$2:$J$10001,0)),"")</f>
        <v/>
      </c>
    </row>
    <row r="7872">
      <c r="A7872">
        <f>IFERROR(INDEX('Email Cleaner'!$B$2:$B$10001,MATCH(7871,'Email Cleaner'!$J$2:$J$10001,0)),"")</f>
        <v/>
      </c>
    </row>
    <row r="7873">
      <c r="A7873">
        <f>IFERROR(INDEX('Email Cleaner'!$B$2:$B$10001,MATCH(7872,'Email Cleaner'!$J$2:$J$10001,0)),"")</f>
        <v/>
      </c>
    </row>
    <row r="7874">
      <c r="A7874">
        <f>IFERROR(INDEX('Email Cleaner'!$B$2:$B$10001,MATCH(7873,'Email Cleaner'!$J$2:$J$10001,0)),"")</f>
        <v/>
      </c>
    </row>
    <row r="7875">
      <c r="A7875">
        <f>IFERROR(INDEX('Email Cleaner'!$B$2:$B$10001,MATCH(7874,'Email Cleaner'!$J$2:$J$10001,0)),"")</f>
        <v/>
      </c>
    </row>
    <row r="7876">
      <c r="A7876">
        <f>IFERROR(INDEX('Email Cleaner'!$B$2:$B$10001,MATCH(7875,'Email Cleaner'!$J$2:$J$10001,0)),"")</f>
        <v/>
      </c>
    </row>
    <row r="7877">
      <c r="A7877">
        <f>IFERROR(INDEX('Email Cleaner'!$B$2:$B$10001,MATCH(7876,'Email Cleaner'!$J$2:$J$10001,0)),"")</f>
        <v/>
      </c>
    </row>
    <row r="7878">
      <c r="A7878">
        <f>IFERROR(INDEX('Email Cleaner'!$B$2:$B$10001,MATCH(7877,'Email Cleaner'!$J$2:$J$10001,0)),"")</f>
        <v/>
      </c>
    </row>
    <row r="7879">
      <c r="A7879">
        <f>IFERROR(INDEX('Email Cleaner'!$B$2:$B$10001,MATCH(7878,'Email Cleaner'!$J$2:$J$10001,0)),"")</f>
        <v/>
      </c>
    </row>
    <row r="7880">
      <c r="A7880">
        <f>IFERROR(INDEX('Email Cleaner'!$B$2:$B$10001,MATCH(7879,'Email Cleaner'!$J$2:$J$10001,0)),"")</f>
        <v/>
      </c>
    </row>
    <row r="7881">
      <c r="A7881">
        <f>IFERROR(INDEX('Email Cleaner'!$B$2:$B$10001,MATCH(7880,'Email Cleaner'!$J$2:$J$10001,0)),"")</f>
        <v/>
      </c>
    </row>
    <row r="7882">
      <c r="A7882">
        <f>IFERROR(INDEX('Email Cleaner'!$B$2:$B$10001,MATCH(7881,'Email Cleaner'!$J$2:$J$10001,0)),"")</f>
        <v/>
      </c>
    </row>
    <row r="7883">
      <c r="A7883">
        <f>IFERROR(INDEX('Email Cleaner'!$B$2:$B$10001,MATCH(7882,'Email Cleaner'!$J$2:$J$10001,0)),"")</f>
        <v/>
      </c>
    </row>
    <row r="7884">
      <c r="A7884">
        <f>IFERROR(INDEX('Email Cleaner'!$B$2:$B$10001,MATCH(7883,'Email Cleaner'!$J$2:$J$10001,0)),"")</f>
        <v/>
      </c>
    </row>
    <row r="7885">
      <c r="A7885">
        <f>IFERROR(INDEX('Email Cleaner'!$B$2:$B$10001,MATCH(7884,'Email Cleaner'!$J$2:$J$10001,0)),"")</f>
        <v/>
      </c>
    </row>
    <row r="7886">
      <c r="A7886">
        <f>IFERROR(INDEX('Email Cleaner'!$B$2:$B$10001,MATCH(7885,'Email Cleaner'!$J$2:$J$10001,0)),"")</f>
        <v/>
      </c>
    </row>
    <row r="7887">
      <c r="A7887">
        <f>IFERROR(INDEX('Email Cleaner'!$B$2:$B$10001,MATCH(7886,'Email Cleaner'!$J$2:$J$10001,0)),"")</f>
        <v/>
      </c>
    </row>
    <row r="7888">
      <c r="A7888">
        <f>IFERROR(INDEX('Email Cleaner'!$B$2:$B$10001,MATCH(7887,'Email Cleaner'!$J$2:$J$10001,0)),"")</f>
        <v/>
      </c>
    </row>
    <row r="7889">
      <c r="A7889">
        <f>IFERROR(INDEX('Email Cleaner'!$B$2:$B$10001,MATCH(7888,'Email Cleaner'!$J$2:$J$10001,0)),"")</f>
        <v/>
      </c>
    </row>
    <row r="7890">
      <c r="A7890">
        <f>IFERROR(INDEX('Email Cleaner'!$B$2:$B$10001,MATCH(7889,'Email Cleaner'!$J$2:$J$10001,0)),"")</f>
        <v/>
      </c>
    </row>
    <row r="7891">
      <c r="A7891">
        <f>IFERROR(INDEX('Email Cleaner'!$B$2:$B$10001,MATCH(7890,'Email Cleaner'!$J$2:$J$10001,0)),"")</f>
        <v/>
      </c>
    </row>
    <row r="7892">
      <c r="A7892">
        <f>IFERROR(INDEX('Email Cleaner'!$B$2:$B$10001,MATCH(7891,'Email Cleaner'!$J$2:$J$10001,0)),"")</f>
        <v/>
      </c>
    </row>
    <row r="7893">
      <c r="A7893">
        <f>IFERROR(INDEX('Email Cleaner'!$B$2:$B$10001,MATCH(7892,'Email Cleaner'!$J$2:$J$10001,0)),"")</f>
        <v/>
      </c>
    </row>
    <row r="7894">
      <c r="A7894">
        <f>IFERROR(INDEX('Email Cleaner'!$B$2:$B$10001,MATCH(7893,'Email Cleaner'!$J$2:$J$10001,0)),"")</f>
        <v/>
      </c>
    </row>
    <row r="7895">
      <c r="A7895">
        <f>IFERROR(INDEX('Email Cleaner'!$B$2:$B$10001,MATCH(7894,'Email Cleaner'!$J$2:$J$10001,0)),"")</f>
        <v/>
      </c>
    </row>
    <row r="7896">
      <c r="A7896">
        <f>IFERROR(INDEX('Email Cleaner'!$B$2:$B$10001,MATCH(7895,'Email Cleaner'!$J$2:$J$10001,0)),"")</f>
        <v/>
      </c>
    </row>
    <row r="7897">
      <c r="A7897">
        <f>IFERROR(INDEX('Email Cleaner'!$B$2:$B$10001,MATCH(7896,'Email Cleaner'!$J$2:$J$10001,0)),"")</f>
        <v/>
      </c>
    </row>
    <row r="7898">
      <c r="A7898">
        <f>IFERROR(INDEX('Email Cleaner'!$B$2:$B$10001,MATCH(7897,'Email Cleaner'!$J$2:$J$10001,0)),"")</f>
        <v/>
      </c>
    </row>
    <row r="7899">
      <c r="A7899">
        <f>IFERROR(INDEX('Email Cleaner'!$B$2:$B$10001,MATCH(7898,'Email Cleaner'!$J$2:$J$10001,0)),"")</f>
        <v/>
      </c>
    </row>
    <row r="7900">
      <c r="A7900">
        <f>IFERROR(INDEX('Email Cleaner'!$B$2:$B$10001,MATCH(7899,'Email Cleaner'!$J$2:$J$10001,0)),"")</f>
        <v/>
      </c>
    </row>
    <row r="7901">
      <c r="A7901">
        <f>IFERROR(INDEX('Email Cleaner'!$B$2:$B$10001,MATCH(7900,'Email Cleaner'!$J$2:$J$10001,0)),"")</f>
        <v/>
      </c>
    </row>
    <row r="7902">
      <c r="A7902">
        <f>IFERROR(INDEX('Email Cleaner'!$B$2:$B$10001,MATCH(7901,'Email Cleaner'!$J$2:$J$10001,0)),"")</f>
        <v/>
      </c>
    </row>
    <row r="7903">
      <c r="A7903">
        <f>IFERROR(INDEX('Email Cleaner'!$B$2:$B$10001,MATCH(7902,'Email Cleaner'!$J$2:$J$10001,0)),"")</f>
        <v/>
      </c>
    </row>
    <row r="7904">
      <c r="A7904">
        <f>IFERROR(INDEX('Email Cleaner'!$B$2:$B$10001,MATCH(7903,'Email Cleaner'!$J$2:$J$10001,0)),"")</f>
        <v/>
      </c>
    </row>
    <row r="7905">
      <c r="A7905">
        <f>IFERROR(INDEX('Email Cleaner'!$B$2:$B$10001,MATCH(7904,'Email Cleaner'!$J$2:$J$10001,0)),"")</f>
        <v/>
      </c>
    </row>
    <row r="7906">
      <c r="A7906">
        <f>IFERROR(INDEX('Email Cleaner'!$B$2:$B$10001,MATCH(7905,'Email Cleaner'!$J$2:$J$10001,0)),"")</f>
        <v/>
      </c>
    </row>
    <row r="7907">
      <c r="A7907">
        <f>IFERROR(INDEX('Email Cleaner'!$B$2:$B$10001,MATCH(7906,'Email Cleaner'!$J$2:$J$10001,0)),"")</f>
        <v/>
      </c>
    </row>
    <row r="7908">
      <c r="A7908">
        <f>IFERROR(INDEX('Email Cleaner'!$B$2:$B$10001,MATCH(7907,'Email Cleaner'!$J$2:$J$10001,0)),"")</f>
        <v/>
      </c>
    </row>
    <row r="7909">
      <c r="A7909">
        <f>IFERROR(INDEX('Email Cleaner'!$B$2:$B$10001,MATCH(7908,'Email Cleaner'!$J$2:$J$10001,0)),"")</f>
        <v/>
      </c>
    </row>
    <row r="7910">
      <c r="A7910">
        <f>IFERROR(INDEX('Email Cleaner'!$B$2:$B$10001,MATCH(7909,'Email Cleaner'!$J$2:$J$10001,0)),"")</f>
        <v/>
      </c>
    </row>
    <row r="7911">
      <c r="A7911">
        <f>IFERROR(INDEX('Email Cleaner'!$B$2:$B$10001,MATCH(7910,'Email Cleaner'!$J$2:$J$10001,0)),"")</f>
        <v/>
      </c>
    </row>
    <row r="7912">
      <c r="A7912">
        <f>IFERROR(INDEX('Email Cleaner'!$B$2:$B$10001,MATCH(7911,'Email Cleaner'!$J$2:$J$10001,0)),"")</f>
        <v/>
      </c>
    </row>
    <row r="7913">
      <c r="A7913">
        <f>IFERROR(INDEX('Email Cleaner'!$B$2:$B$10001,MATCH(7912,'Email Cleaner'!$J$2:$J$10001,0)),"")</f>
        <v/>
      </c>
    </row>
    <row r="7914">
      <c r="A7914">
        <f>IFERROR(INDEX('Email Cleaner'!$B$2:$B$10001,MATCH(7913,'Email Cleaner'!$J$2:$J$10001,0)),"")</f>
        <v/>
      </c>
    </row>
    <row r="7915">
      <c r="A7915">
        <f>IFERROR(INDEX('Email Cleaner'!$B$2:$B$10001,MATCH(7914,'Email Cleaner'!$J$2:$J$10001,0)),"")</f>
        <v/>
      </c>
    </row>
    <row r="7916">
      <c r="A7916">
        <f>IFERROR(INDEX('Email Cleaner'!$B$2:$B$10001,MATCH(7915,'Email Cleaner'!$J$2:$J$10001,0)),"")</f>
        <v/>
      </c>
    </row>
    <row r="7917">
      <c r="A7917">
        <f>IFERROR(INDEX('Email Cleaner'!$B$2:$B$10001,MATCH(7916,'Email Cleaner'!$J$2:$J$10001,0)),"")</f>
        <v/>
      </c>
    </row>
    <row r="7918">
      <c r="A7918">
        <f>IFERROR(INDEX('Email Cleaner'!$B$2:$B$10001,MATCH(7917,'Email Cleaner'!$J$2:$J$10001,0)),"")</f>
        <v/>
      </c>
    </row>
    <row r="7919">
      <c r="A7919">
        <f>IFERROR(INDEX('Email Cleaner'!$B$2:$B$10001,MATCH(7918,'Email Cleaner'!$J$2:$J$10001,0)),"")</f>
        <v/>
      </c>
    </row>
    <row r="7920">
      <c r="A7920">
        <f>IFERROR(INDEX('Email Cleaner'!$B$2:$B$10001,MATCH(7919,'Email Cleaner'!$J$2:$J$10001,0)),"")</f>
        <v/>
      </c>
    </row>
    <row r="7921">
      <c r="A7921">
        <f>IFERROR(INDEX('Email Cleaner'!$B$2:$B$10001,MATCH(7920,'Email Cleaner'!$J$2:$J$10001,0)),"")</f>
        <v/>
      </c>
    </row>
    <row r="7922">
      <c r="A7922">
        <f>IFERROR(INDEX('Email Cleaner'!$B$2:$B$10001,MATCH(7921,'Email Cleaner'!$J$2:$J$10001,0)),"")</f>
        <v/>
      </c>
    </row>
    <row r="7923">
      <c r="A7923">
        <f>IFERROR(INDEX('Email Cleaner'!$B$2:$B$10001,MATCH(7922,'Email Cleaner'!$J$2:$J$10001,0)),"")</f>
        <v/>
      </c>
    </row>
    <row r="7924">
      <c r="A7924">
        <f>IFERROR(INDEX('Email Cleaner'!$B$2:$B$10001,MATCH(7923,'Email Cleaner'!$J$2:$J$10001,0)),"")</f>
        <v/>
      </c>
    </row>
    <row r="7925">
      <c r="A7925">
        <f>IFERROR(INDEX('Email Cleaner'!$B$2:$B$10001,MATCH(7924,'Email Cleaner'!$J$2:$J$10001,0)),"")</f>
        <v/>
      </c>
    </row>
    <row r="7926">
      <c r="A7926">
        <f>IFERROR(INDEX('Email Cleaner'!$B$2:$B$10001,MATCH(7925,'Email Cleaner'!$J$2:$J$10001,0)),"")</f>
        <v/>
      </c>
    </row>
    <row r="7927">
      <c r="A7927">
        <f>IFERROR(INDEX('Email Cleaner'!$B$2:$B$10001,MATCH(7926,'Email Cleaner'!$J$2:$J$10001,0)),"")</f>
        <v/>
      </c>
    </row>
    <row r="7928">
      <c r="A7928">
        <f>IFERROR(INDEX('Email Cleaner'!$B$2:$B$10001,MATCH(7927,'Email Cleaner'!$J$2:$J$10001,0)),"")</f>
        <v/>
      </c>
    </row>
    <row r="7929">
      <c r="A7929">
        <f>IFERROR(INDEX('Email Cleaner'!$B$2:$B$10001,MATCH(7928,'Email Cleaner'!$J$2:$J$10001,0)),"")</f>
        <v/>
      </c>
    </row>
    <row r="7930">
      <c r="A7930">
        <f>IFERROR(INDEX('Email Cleaner'!$B$2:$B$10001,MATCH(7929,'Email Cleaner'!$J$2:$J$10001,0)),"")</f>
        <v/>
      </c>
    </row>
    <row r="7931">
      <c r="A7931">
        <f>IFERROR(INDEX('Email Cleaner'!$B$2:$B$10001,MATCH(7930,'Email Cleaner'!$J$2:$J$10001,0)),"")</f>
        <v/>
      </c>
    </row>
    <row r="7932">
      <c r="A7932">
        <f>IFERROR(INDEX('Email Cleaner'!$B$2:$B$10001,MATCH(7931,'Email Cleaner'!$J$2:$J$10001,0)),"")</f>
        <v/>
      </c>
    </row>
    <row r="7933">
      <c r="A7933">
        <f>IFERROR(INDEX('Email Cleaner'!$B$2:$B$10001,MATCH(7932,'Email Cleaner'!$J$2:$J$10001,0)),"")</f>
        <v/>
      </c>
    </row>
    <row r="7934">
      <c r="A7934">
        <f>IFERROR(INDEX('Email Cleaner'!$B$2:$B$10001,MATCH(7933,'Email Cleaner'!$J$2:$J$10001,0)),"")</f>
        <v/>
      </c>
    </row>
    <row r="7935">
      <c r="A7935">
        <f>IFERROR(INDEX('Email Cleaner'!$B$2:$B$10001,MATCH(7934,'Email Cleaner'!$J$2:$J$10001,0)),"")</f>
        <v/>
      </c>
    </row>
    <row r="7936">
      <c r="A7936">
        <f>IFERROR(INDEX('Email Cleaner'!$B$2:$B$10001,MATCH(7935,'Email Cleaner'!$J$2:$J$10001,0)),"")</f>
        <v/>
      </c>
    </row>
    <row r="7937">
      <c r="A7937">
        <f>IFERROR(INDEX('Email Cleaner'!$B$2:$B$10001,MATCH(7936,'Email Cleaner'!$J$2:$J$10001,0)),"")</f>
        <v/>
      </c>
    </row>
    <row r="7938">
      <c r="A7938">
        <f>IFERROR(INDEX('Email Cleaner'!$B$2:$B$10001,MATCH(7937,'Email Cleaner'!$J$2:$J$10001,0)),"")</f>
        <v/>
      </c>
    </row>
    <row r="7939">
      <c r="A7939">
        <f>IFERROR(INDEX('Email Cleaner'!$B$2:$B$10001,MATCH(7938,'Email Cleaner'!$J$2:$J$10001,0)),"")</f>
        <v/>
      </c>
    </row>
    <row r="7940">
      <c r="A7940">
        <f>IFERROR(INDEX('Email Cleaner'!$B$2:$B$10001,MATCH(7939,'Email Cleaner'!$J$2:$J$10001,0)),"")</f>
        <v/>
      </c>
    </row>
    <row r="7941">
      <c r="A7941">
        <f>IFERROR(INDEX('Email Cleaner'!$B$2:$B$10001,MATCH(7940,'Email Cleaner'!$J$2:$J$10001,0)),"")</f>
        <v/>
      </c>
    </row>
    <row r="7942">
      <c r="A7942">
        <f>IFERROR(INDEX('Email Cleaner'!$B$2:$B$10001,MATCH(7941,'Email Cleaner'!$J$2:$J$10001,0)),"")</f>
        <v/>
      </c>
    </row>
    <row r="7943">
      <c r="A7943">
        <f>IFERROR(INDEX('Email Cleaner'!$B$2:$B$10001,MATCH(7942,'Email Cleaner'!$J$2:$J$10001,0)),"")</f>
        <v/>
      </c>
    </row>
    <row r="7944">
      <c r="A7944">
        <f>IFERROR(INDEX('Email Cleaner'!$B$2:$B$10001,MATCH(7943,'Email Cleaner'!$J$2:$J$10001,0)),"")</f>
        <v/>
      </c>
    </row>
    <row r="7945">
      <c r="A7945">
        <f>IFERROR(INDEX('Email Cleaner'!$B$2:$B$10001,MATCH(7944,'Email Cleaner'!$J$2:$J$10001,0)),"")</f>
        <v/>
      </c>
    </row>
    <row r="7946">
      <c r="A7946">
        <f>IFERROR(INDEX('Email Cleaner'!$B$2:$B$10001,MATCH(7945,'Email Cleaner'!$J$2:$J$10001,0)),"")</f>
        <v/>
      </c>
    </row>
    <row r="7947">
      <c r="A7947">
        <f>IFERROR(INDEX('Email Cleaner'!$B$2:$B$10001,MATCH(7946,'Email Cleaner'!$J$2:$J$10001,0)),"")</f>
        <v/>
      </c>
    </row>
    <row r="7948">
      <c r="A7948">
        <f>IFERROR(INDEX('Email Cleaner'!$B$2:$B$10001,MATCH(7947,'Email Cleaner'!$J$2:$J$10001,0)),"")</f>
        <v/>
      </c>
    </row>
    <row r="7949">
      <c r="A7949">
        <f>IFERROR(INDEX('Email Cleaner'!$B$2:$B$10001,MATCH(7948,'Email Cleaner'!$J$2:$J$10001,0)),"")</f>
        <v/>
      </c>
    </row>
    <row r="7950">
      <c r="A7950">
        <f>IFERROR(INDEX('Email Cleaner'!$B$2:$B$10001,MATCH(7949,'Email Cleaner'!$J$2:$J$10001,0)),"")</f>
        <v/>
      </c>
    </row>
    <row r="7951">
      <c r="A7951">
        <f>IFERROR(INDEX('Email Cleaner'!$B$2:$B$10001,MATCH(7950,'Email Cleaner'!$J$2:$J$10001,0)),"")</f>
        <v/>
      </c>
    </row>
    <row r="7952">
      <c r="A7952">
        <f>IFERROR(INDEX('Email Cleaner'!$B$2:$B$10001,MATCH(7951,'Email Cleaner'!$J$2:$J$10001,0)),"")</f>
        <v/>
      </c>
    </row>
    <row r="7953">
      <c r="A7953">
        <f>IFERROR(INDEX('Email Cleaner'!$B$2:$B$10001,MATCH(7952,'Email Cleaner'!$J$2:$J$10001,0)),"")</f>
        <v/>
      </c>
    </row>
    <row r="7954">
      <c r="A7954">
        <f>IFERROR(INDEX('Email Cleaner'!$B$2:$B$10001,MATCH(7953,'Email Cleaner'!$J$2:$J$10001,0)),"")</f>
        <v/>
      </c>
    </row>
    <row r="7955">
      <c r="A7955">
        <f>IFERROR(INDEX('Email Cleaner'!$B$2:$B$10001,MATCH(7954,'Email Cleaner'!$J$2:$J$10001,0)),"")</f>
        <v/>
      </c>
    </row>
    <row r="7956">
      <c r="A7956">
        <f>IFERROR(INDEX('Email Cleaner'!$B$2:$B$10001,MATCH(7955,'Email Cleaner'!$J$2:$J$10001,0)),"")</f>
        <v/>
      </c>
    </row>
    <row r="7957">
      <c r="A7957">
        <f>IFERROR(INDEX('Email Cleaner'!$B$2:$B$10001,MATCH(7956,'Email Cleaner'!$J$2:$J$10001,0)),"")</f>
        <v/>
      </c>
    </row>
    <row r="7958">
      <c r="A7958">
        <f>IFERROR(INDEX('Email Cleaner'!$B$2:$B$10001,MATCH(7957,'Email Cleaner'!$J$2:$J$10001,0)),"")</f>
        <v/>
      </c>
    </row>
    <row r="7959">
      <c r="A7959">
        <f>IFERROR(INDEX('Email Cleaner'!$B$2:$B$10001,MATCH(7958,'Email Cleaner'!$J$2:$J$10001,0)),"")</f>
        <v/>
      </c>
    </row>
    <row r="7960">
      <c r="A7960">
        <f>IFERROR(INDEX('Email Cleaner'!$B$2:$B$10001,MATCH(7959,'Email Cleaner'!$J$2:$J$10001,0)),"")</f>
        <v/>
      </c>
    </row>
    <row r="7961">
      <c r="A7961">
        <f>IFERROR(INDEX('Email Cleaner'!$B$2:$B$10001,MATCH(7960,'Email Cleaner'!$J$2:$J$10001,0)),"")</f>
        <v/>
      </c>
    </row>
    <row r="7962">
      <c r="A7962">
        <f>IFERROR(INDEX('Email Cleaner'!$B$2:$B$10001,MATCH(7961,'Email Cleaner'!$J$2:$J$10001,0)),"")</f>
        <v/>
      </c>
    </row>
    <row r="7963">
      <c r="A7963">
        <f>IFERROR(INDEX('Email Cleaner'!$B$2:$B$10001,MATCH(7962,'Email Cleaner'!$J$2:$J$10001,0)),"")</f>
        <v/>
      </c>
    </row>
    <row r="7964">
      <c r="A7964">
        <f>IFERROR(INDEX('Email Cleaner'!$B$2:$B$10001,MATCH(7963,'Email Cleaner'!$J$2:$J$10001,0)),"")</f>
        <v/>
      </c>
    </row>
    <row r="7965">
      <c r="A7965">
        <f>IFERROR(INDEX('Email Cleaner'!$B$2:$B$10001,MATCH(7964,'Email Cleaner'!$J$2:$J$10001,0)),"")</f>
        <v/>
      </c>
    </row>
    <row r="7966">
      <c r="A7966">
        <f>IFERROR(INDEX('Email Cleaner'!$B$2:$B$10001,MATCH(7965,'Email Cleaner'!$J$2:$J$10001,0)),"")</f>
        <v/>
      </c>
    </row>
    <row r="7967">
      <c r="A7967">
        <f>IFERROR(INDEX('Email Cleaner'!$B$2:$B$10001,MATCH(7966,'Email Cleaner'!$J$2:$J$10001,0)),"")</f>
        <v/>
      </c>
    </row>
    <row r="7968">
      <c r="A7968">
        <f>IFERROR(INDEX('Email Cleaner'!$B$2:$B$10001,MATCH(7967,'Email Cleaner'!$J$2:$J$10001,0)),"")</f>
        <v/>
      </c>
    </row>
    <row r="7969">
      <c r="A7969">
        <f>IFERROR(INDEX('Email Cleaner'!$B$2:$B$10001,MATCH(7968,'Email Cleaner'!$J$2:$J$10001,0)),"")</f>
        <v/>
      </c>
    </row>
    <row r="7970">
      <c r="A7970">
        <f>IFERROR(INDEX('Email Cleaner'!$B$2:$B$10001,MATCH(7969,'Email Cleaner'!$J$2:$J$10001,0)),"")</f>
        <v/>
      </c>
    </row>
    <row r="7971">
      <c r="A7971">
        <f>IFERROR(INDEX('Email Cleaner'!$B$2:$B$10001,MATCH(7970,'Email Cleaner'!$J$2:$J$10001,0)),"")</f>
        <v/>
      </c>
    </row>
    <row r="7972">
      <c r="A7972">
        <f>IFERROR(INDEX('Email Cleaner'!$B$2:$B$10001,MATCH(7971,'Email Cleaner'!$J$2:$J$10001,0)),"")</f>
        <v/>
      </c>
    </row>
    <row r="7973">
      <c r="A7973">
        <f>IFERROR(INDEX('Email Cleaner'!$B$2:$B$10001,MATCH(7972,'Email Cleaner'!$J$2:$J$10001,0)),"")</f>
        <v/>
      </c>
    </row>
    <row r="7974">
      <c r="A7974">
        <f>IFERROR(INDEX('Email Cleaner'!$B$2:$B$10001,MATCH(7973,'Email Cleaner'!$J$2:$J$10001,0)),"")</f>
        <v/>
      </c>
    </row>
    <row r="7975">
      <c r="A7975">
        <f>IFERROR(INDEX('Email Cleaner'!$B$2:$B$10001,MATCH(7974,'Email Cleaner'!$J$2:$J$10001,0)),"")</f>
        <v/>
      </c>
    </row>
    <row r="7976">
      <c r="A7976">
        <f>IFERROR(INDEX('Email Cleaner'!$B$2:$B$10001,MATCH(7975,'Email Cleaner'!$J$2:$J$10001,0)),"")</f>
        <v/>
      </c>
    </row>
    <row r="7977">
      <c r="A7977">
        <f>IFERROR(INDEX('Email Cleaner'!$B$2:$B$10001,MATCH(7976,'Email Cleaner'!$J$2:$J$10001,0)),"")</f>
        <v/>
      </c>
    </row>
    <row r="7978">
      <c r="A7978">
        <f>IFERROR(INDEX('Email Cleaner'!$B$2:$B$10001,MATCH(7977,'Email Cleaner'!$J$2:$J$10001,0)),"")</f>
        <v/>
      </c>
    </row>
    <row r="7979">
      <c r="A7979">
        <f>IFERROR(INDEX('Email Cleaner'!$B$2:$B$10001,MATCH(7978,'Email Cleaner'!$J$2:$J$10001,0)),"")</f>
        <v/>
      </c>
    </row>
    <row r="7980">
      <c r="A7980">
        <f>IFERROR(INDEX('Email Cleaner'!$B$2:$B$10001,MATCH(7979,'Email Cleaner'!$J$2:$J$10001,0)),"")</f>
        <v/>
      </c>
    </row>
    <row r="7981">
      <c r="A7981">
        <f>IFERROR(INDEX('Email Cleaner'!$B$2:$B$10001,MATCH(7980,'Email Cleaner'!$J$2:$J$10001,0)),"")</f>
        <v/>
      </c>
    </row>
    <row r="7982">
      <c r="A7982">
        <f>IFERROR(INDEX('Email Cleaner'!$B$2:$B$10001,MATCH(7981,'Email Cleaner'!$J$2:$J$10001,0)),"")</f>
        <v/>
      </c>
    </row>
    <row r="7983">
      <c r="A7983">
        <f>IFERROR(INDEX('Email Cleaner'!$B$2:$B$10001,MATCH(7982,'Email Cleaner'!$J$2:$J$10001,0)),"")</f>
        <v/>
      </c>
    </row>
    <row r="7984">
      <c r="A7984">
        <f>IFERROR(INDEX('Email Cleaner'!$B$2:$B$10001,MATCH(7983,'Email Cleaner'!$J$2:$J$10001,0)),"")</f>
        <v/>
      </c>
    </row>
    <row r="7985">
      <c r="A7985">
        <f>IFERROR(INDEX('Email Cleaner'!$B$2:$B$10001,MATCH(7984,'Email Cleaner'!$J$2:$J$10001,0)),"")</f>
        <v/>
      </c>
    </row>
    <row r="7986">
      <c r="A7986">
        <f>IFERROR(INDEX('Email Cleaner'!$B$2:$B$10001,MATCH(7985,'Email Cleaner'!$J$2:$J$10001,0)),"")</f>
        <v/>
      </c>
    </row>
    <row r="7987">
      <c r="A7987">
        <f>IFERROR(INDEX('Email Cleaner'!$B$2:$B$10001,MATCH(7986,'Email Cleaner'!$J$2:$J$10001,0)),"")</f>
        <v/>
      </c>
    </row>
    <row r="7988">
      <c r="A7988">
        <f>IFERROR(INDEX('Email Cleaner'!$B$2:$B$10001,MATCH(7987,'Email Cleaner'!$J$2:$J$10001,0)),"")</f>
        <v/>
      </c>
    </row>
    <row r="7989">
      <c r="A7989">
        <f>IFERROR(INDEX('Email Cleaner'!$B$2:$B$10001,MATCH(7988,'Email Cleaner'!$J$2:$J$10001,0)),"")</f>
        <v/>
      </c>
    </row>
    <row r="7990">
      <c r="A7990">
        <f>IFERROR(INDEX('Email Cleaner'!$B$2:$B$10001,MATCH(7989,'Email Cleaner'!$J$2:$J$10001,0)),"")</f>
        <v/>
      </c>
    </row>
    <row r="7991">
      <c r="A7991">
        <f>IFERROR(INDEX('Email Cleaner'!$B$2:$B$10001,MATCH(7990,'Email Cleaner'!$J$2:$J$10001,0)),"")</f>
        <v/>
      </c>
    </row>
    <row r="7992">
      <c r="A7992">
        <f>IFERROR(INDEX('Email Cleaner'!$B$2:$B$10001,MATCH(7991,'Email Cleaner'!$J$2:$J$10001,0)),"")</f>
        <v/>
      </c>
    </row>
    <row r="7993">
      <c r="A7993">
        <f>IFERROR(INDEX('Email Cleaner'!$B$2:$B$10001,MATCH(7992,'Email Cleaner'!$J$2:$J$10001,0)),"")</f>
        <v/>
      </c>
    </row>
    <row r="7994">
      <c r="A7994">
        <f>IFERROR(INDEX('Email Cleaner'!$B$2:$B$10001,MATCH(7993,'Email Cleaner'!$J$2:$J$10001,0)),"")</f>
        <v/>
      </c>
    </row>
    <row r="7995">
      <c r="A7995">
        <f>IFERROR(INDEX('Email Cleaner'!$B$2:$B$10001,MATCH(7994,'Email Cleaner'!$J$2:$J$10001,0)),"")</f>
        <v/>
      </c>
    </row>
    <row r="7996">
      <c r="A7996">
        <f>IFERROR(INDEX('Email Cleaner'!$B$2:$B$10001,MATCH(7995,'Email Cleaner'!$J$2:$J$10001,0)),"")</f>
        <v/>
      </c>
    </row>
    <row r="7997">
      <c r="A7997">
        <f>IFERROR(INDEX('Email Cleaner'!$B$2:$B$10001,MATCH(7996,'Email Cleaner'!$J$2:$J$10001,0)),"")</f>
        <v/>
      </c>
    </row>
    <row r="7998">
      <c r="A7998">
        <f>IFERROR(INDEX('Email Cleaner'!$B$2:$B$10001,MATCH(7997,'Email Cleaner'!$J$2:$J$10001,0)),"")</f>
        <v/>
      </c>
    </row>
    <row r="7999">
      <c r="A7999">
        <f>IFERROR(INDEX('Email Cleaner'!$B$2:$B$10001,MATCH(7998,'Email Cleaner'!$J$2:$J$10001,0)),"")</f>
        <v/>
      </c>
    </row>
    <row r="8000">
      <c r="A8000">
        <f>IFERROR(INDEX('Email Cleaner'!$B$2:$B$10001,MATCH(7999,'Email Cleaner'!$J$2:$J$10001,0)),"")</f>
        <v/>
      </c>
    </row>
    <row r="8001">
      <c r="A8001">
        <f>IFERROR(INDEX('Email Cleaner'!$B$2:$B$10001,MATCH(8000,'Email Cleaner'!$J$2:$J$10001,0)),"")</f>
        <v/>
      </c>
    </row>
    <row r="8002">
      <c r="A8002">
        <f>IFERROR(INDEX('Email Cleaner'!$B$2:$B$10001,MATCH(8001,'Email Cleaner'!$J$2:$J$10001,0)),"")</f>
        <v/>
      </c>
    </row>
    <row r="8003">
      <c r="A8003">
        <f>IFERROR(INDEX('Email Cleaner'!$B$2:$B$10001,MATCH(8002,'Email Cleaner'!$J$2:$J$10001,0)),"")</f>
        <v/>
      </c>
    </row>
    <row r="8004">
      <c r="A8004">
        <f>IFERROR(INDEX('Email Cleaner'!$B$2:$B$10001,MATCH(8003,'Email Cleaner'!$J$2:$J$10001,0)),"")</f>
        <v/>
      </c>
    </row>
    <row r="8005">
      <c r="A8005">
        <f>IFERROR(INDEX('Email Cleaner'!$B$2:$B$10001,MATCH(8004,'Email Cleaner'!$J$2:$J$10001,0)),"")</f>
        <v/>
      </c>
    </row>
    <row r="8006">
      <c r="A8006">
        <f>IFERROR(INDEX('Email Cleaner'!$B$2:$B$10001,MATCH(8005,'Email Cleaner'!$J$2:$J$10001,0)),"")</f>
        <v/>
      </c>
    </row>
    <row r="8007">
      <c r="A8007">
        <f>IFERROR(INDEX('Email Cleaner'!$B$2:$B$10001,MATCH(8006,'Email Cleaner'!$J$2:$J$10001,0)),"")</f>
        <v/>
      </c>
    </row>
    <row r="8008">
      <c r="A8008">
        <f>IFERROR(INDEX('Email Cleaner'!$B$2:$B$10001,MATCH(8007,'Email Cleaner'!$J$2:$J$10001,0)),"")</f>
        <v/>
      </c>
    </row>
    <row r="8009">
      <c r="A8009">
        <f>IFERROR(INDEX('Email Cleaner'!$B$2:$B$10001,MATCH(8008,'Email Cleaner'!$J$2:$J$10001,0)),"")</f>
        <v/>
      </c>
    </row>
    <row r="8010">
      <c r="A8010">
        <f>IFERROR(INDEX('Email Cleaner'!$B$2:$B$10001,MATCH(8009,'Email Cleaner'!$J$2:$J$10001,0)),"")</f>
        <v/>
      </c>
    </row>
    <row r="8011">
      <c r="A8011">
        <f>IFERROR(INDEX('Email Cleaner'!$B$2:$B$10001,MATCH(8010,'Email Cleaner'!$J$2:$J$10001,0)),"")</f>
        <v/>
      </c>
    </row>
    <row r="8012">
      <c r="A8012">
        <f>IFERROR(INDEX('Email Cleaner'!$B$2:$B$10001,MATCH(8011,'Email Cleaner'!$J$2:$J$10001,0)),"")</f>
        <v/>
      </c>
    </row>
    <row r="8013">
      <c r="A8013">
        <f>IFERROR(INDEX('Email Cleaner'!$B$2:$B$10001,MATCH(8012,'Email Cleaner'!$J$2:$J$10001,0)),"")</f>
        <v/>
      </c>
    </row>
    <row r="8014">
      <c r="A8014">
        <f>IFERROR(INDEX('Email Cleaner'!$B$2:$B$10001,MATCH(8013,'Email Cleaner'!$J$2:$J$10001,0)),"")</f>
        <v/>
      </c>
    </row>
    <row r="8015">
      <c r="A8015">
        <f>IFERROR(INDEX('Email Cleaner'!$B$2:$B$10001,MATCH(8014,'Email Cleaner'!$J$2:$J$10001,0)),"")</f>
        <v/>
      </c>
    </row>
    <row r="8016">
      <c r="A8016">
        <f>IFERROR(INDEX('Email Cleaner'!$B$2:$B$10001,MATCH(8015,'Email Cleaner'!$J$2:$J$10001,0)),"")</f>
        <v/>
      </c>
    </row>
    <row r="8017">
      <c r="A8017">
        <f>IFERROR(INDEX('Email Cleaner'!$B$2:$B$10001,MATCH(8016,'Email Cleaner'!$J$2:$J$10001,0)),"")</f>
        <v/>
      </c>
    </row>
    <row r="8018">
      <c r="A8018">
        <f>IFERROR(INDEX('Email Cleaner'!$B$2:$B$10001,MATCH(8017,'Email Cleaner'!$J$2:$J$10001,0)),"")</f>
        <v/>
      </c>
    </row>
    <row r="8019">
      <c r="A8019">
        <f>IFERROR(INDEX('Email Cleaner'!$B$2:$B$10001,MATCH(8018,'Email Cleaner'!$J$2:$J$10001,0)),"")</f>
        <v/>
      </c>
    </row>
    <row r="8020">
      <c r="A8020">
        <f>IFERROR(INDEX('Email Cleaner'!$B$2:$B$10001,MATCH(8019,'Email Cleaner'!$J$2:$J$10001,0)),"")</f>
        <v/>
      </c>
    </row>
    <row r="8021">
      <c r="A8021">
        <f>IFERROR(INDEX('Email Cleaner'!$B$2:$B$10001,MATCH(8020,'Email Cleaner'!$J$2:$J$10001,0)),"")</f>
        <v/>
      </c>
    </row>
    <row r="8022">
      <c r="A8022">
        <f>IFERROR(INDEX('Email Cleaner'!$B$2:$B$10001,MATCH(8021,'Email Cleaner'!$J$2:$J$10001,0)),"")</f>
        <v/>
      </c>
    </row>
    <row r="8023">
      <c r="A8023">
        <f>IFERROR(INDEX('Email Cleaner'!$B$2:$B$10001,MATCH(8022,'Email Cleaner'!$J$2:$J$10001,0)),"")</f>
        <v/>
      </c>
    </row>
    <row r="8024">
      <c r="A8024">
        <f>IFERROR(INDEX('Email Cleaner'!$B$2:$B$10001,MATCH(8023,'Email Cleaner'!$J$2:$J$10001,0)),"")</f>
        <v/>
      </c>
    </row>
    <row r="8025">
      <c r="A8025">
        <f>IFERROR(INDEX('Email Cleaner'!$B$2:$B$10001,MATCH(8024,'Email Cleaner'!$J$2:$J$10001,0)),"")</f>
        <v/>
      </c>
    </row>
    <row r="8026">
      <c r="A8026">
        <f>IFERROR(INDEX('Email Cleaner'!$B$2:$B$10001,MATCH(8025,'Email Cleaner'!$J$2:$J$10001,0)),"")</f>
        <v/>
      </c>
    </row>
    <row r="8027">
      <c r="A8027">
        <f>IFERROR(INDEX('Email Cleaner'!$B$2:$B$10001,MATCH(8026,'Email Cleaner'!$J$2:$J$10001,0)),"")</f>
        <v/>
      </c>
    </row>
    <row r="8028">
      <c r="A8028">
        <f>IFERROR(INDEX('Email Cleaner'!$B$2:$B$10001,MATCH(8027,'Email Cleaner'!$J$2:$J$10001,0)),"")</f>
        <v/>
      </c>
    </row>
    <row r="8029">
      <c r="A8029">
        <f>IFERROR(INDEX('Email Cleaner'!$B$2:$B$10001,MATCH(8028,'Email Cleaner'!$J$2:$J$10001,0)),"")</f>
        <v/>
      </c>
    </row>
    <row r="8030">
      <c r="A8030">
        <f>IFERROR(INDEX('Email Cleaner'!$B$2:$B$10001,MATCH(8029,'Email Cleaner'!$J$2:$J$10001,0)),"")</f>
        <v/>
      </c>
    </row>
    <row r="8031">
      <c r="A8031">
        <f>IFERROR(INDEX('Email Cleaner'!$B$2:$B$10001,MATCH(8030,'Email Cleaner'!$J$2:$J$10001,0)),"")</f>
        <v/>
      </c>
    </row>
    <row r="8032">
      <c r="A8032">
        <f>IFERROR(INDEX('Email Cleaner'!$B$2:$B$10001,MATCH(8031,'Email Cleaner'!$J$2:$J$10001,0)),"")</f>
        <v/>
      </c>
    </row>
    <row r="8033">
      <c r="A8033">
        <f>IFERROR(INDEX('Email Cleaner'!$B$2:$B$10001,MATCH(8032,'Email Cleaner'!$J$2:$J$10001,0)),"")</f>
        <v/>
      </c>
    </row>
    <row r="8034">
      <c r="A8034">
        <f>IFERROR(INDEX('Email Cleaner'!$B$2:$B$10001,MATCH(8033,'Email Cleaner'!$J$2:$J$10001,0)),"")</f>
        <v/>
      </c>
    </row>
    <row r="8035">
      <c r="A8035">
        <f>IFERROR(INDEX('Email Cleaner'!$B$2:$B$10001,MATCH(8034,'Email Cleaner'!$J$2:$J$10001,0)),"")</f>
        <v/>
      </c>
    </row>
    <row r="8036">
      <c r="A8036">
        <f>IFERROR(INDEX('Email Cleaner'!$B$2:$B$10001,MATCH(8035,'Email Cleaner'!$J$2:$J$10001,0)),"")</f>
        <v/>
      </c>
    </row>
    <row r="8037">
      <c r="A8037">
        <f>IFERROR(INDEX('Email Cleaner'!$B$2:$B$10001,MATCH(8036,'Email Cleaner'!$J$2:$J$10001,0)),"")</f>
        <v/>
      </c>
    </row>
    <row r="8038">
      <c r="A8038">
        <f>IFERROR(INDEX('Email Cleaner'!$B$2:$B$10001,MATCH(8037,'Email Cleaner'!$J$2:$J$10001,0)),"")</f>
        <v/>
      </c>
    </row>
    <row r="8039">
      <c r="A8039">
        <f>IFERROR(INDEX('Email Cleaner'!$B$2:$B$10001,MATCH(8038,'Email Cleaner'!$J$2:$J$10001,0)),"")</f>
        <v/>
      </c>
    </row>
    <row r="8040">
      <c r="A8040">
        <f>IFERROR(INDEX('Email Cleaner'!$B$2:$B$10001,MATCH(8039,'Email Cleaner'!$J$2:$J$10001,0)),"")</f>
        <v/>
      </c>
    </row>
    <row r="8041">
      <c r="A8041">
        <f>IFERROR(INDEX('Email Cleaner'!$B$2:$B$10001,MATCH(8040,'Email Cleaner'!$J$2:$J$10001,0)),"")</f>
        <v/>
      </c>
    </row>
    <row r="8042">
      <c r="A8042">
        <f>IFERROR(INDEX('Email Cleaner'!$B$2:$B$10001,MATCH(8041,'Email Cleaner'!$J$2:$J$10001,0)),"")</f>
        <v/>
      </c>
    </row>
    <row r="8043">
      <c r="A8043">
        <f>IFERROR(INDEX('Email Cleaner'!$B$2:$B$10001,MATCH(8042,'Email Cleaner'!$J$2:$J$10001,0)),"")</f>
        <v/>
      </c>
    </row>
    <row r="8044">
      <c r="A8044">
        <f>IFERROR(INDEX('Email Cleaner'!$B$2:$B$10001,MATCH(8043,'Email Cleaner'!$J$2:$J$10001,0)),"")</f>
        <v/>
      </c>
    </row>
    <row r="8045">
      <c r="A8045">
        <f>IFERROR(INDEX('Email Cleaner'!$B$2:$B$10001,MATCH(8044,'Email Cleaner'!$J$2:$J$10001,0)),"")</f>
        <v/>
      </c>
    </row>
    <row r="8046">
      <c r="A8046">
        <f>IFERROR(INDEX('Email Cleaner'!$B$2:$B$10001,MATCH(8045,'Email Cleaner'!$J$2:$J$10001,0)),"")</f>
        <v/>
      </c>
    </row>
    <row r="8047">
      <c r="A8047">
        <f>IFERROR(INDEX('Email Cleaner'!$B$2:$B$10001,MATCH(8046,'Email Cleaner'!$J$2:$J$10001,0)),"")</f>
        <v/>
      </c>
    </row>
    <row r="8048">
      <c r="A8048">
        <f>IFERROR(INDEX('Email Cleaner'!$B$2:$B$10001,MATCH(8047,'Email Cleaner'!$J$2:$J$10001,0)),"")</f>
        <v/>
      </c>
    </row>
    <row r="8049">
      <c r="A8049">
        <f>IFERROR(INDEX('Email Cleaner'!$B$2:$B$10001,MATCH(8048,'Email Cleaner'!$J$2:$J$10001,0)),"")</f>
        <v/>
      </c>
    </row>
    <row r="8050">
      <c r="A8050">
        <f>IFERROR(INDEX('Email Cleaner'!$B$2:$B$10001,MATCH(8049,'Email Cleaner'!$J$2:$J$10001,0)),"")</f>
        <v/>
      </c>
    </row>
    <row r="8051">
      <c r="A8051">
        <f>IFERROR(INDEX('Email Cleaner'!$B$2:$B$10001,MATCH(8050,'Email Cleaner'!$J$2:$J$10001,0)),"")</f>
        <v/>
      </c>
    </row>
    <row r="8052">
      <c r="A8052">
        <f>IFERROR(INDEX('Email Cleaner'!$B$2:$B$10001,MATCH(8051,'Email Cleaner'!$J$2:$J$10001,0)),"")</f>
        <v/>
      </c>
    </row>
    <row r="8053">
      <c r="A8053">
        <f>IFERROR(INDEX('Email Cleaner'!$B$2:$B$10001,MATCH(8052,'Email Cleaner'!$J$2:$J$10001,0)),"")</f>
        <v/>
      </c>
    </row>
    <row r="8054">
      <c r="A8054">
        <f>IFERROR(INDEX('Email Cleaner'!$B$2:$B$10001,MATCH(8053,'Email Cleaner'!$J$2:$J$10001,0)),"")</f>
        <v/>
      </c>
    </row>
    <row r="8055">
      <c r="A8055">
        <f>IFERROR(INDEX('Email Cleaner'!$B$2:$B$10001,MATCH(8054,'Email Cleaner'!$J$2:$J$10001,0)),"")</f>
        <v/>
      </c>
    </row>
    <row r="8056">
      <c r="A8056">
        <f>IFERROR(INDEX('Email Cleaner'!$B$2:$B$10001,MATCH(8055,'Email Cleaner'!$J$2:$J$10001,0)),"")</f>
        <v/>
      </c>
    </row>
    <row r="8057">
      <c r="A8057">
        <f>IFERROR(INDEX('Email Cleaner'!$B$2:$B$10001,MATCH(8056,'Email Cleaner'!$J$2:$J$10001,0)),"")</f>
        <v/>
      </c>
    </row>
    <row r="8058">
      <c r="A8058">
        <f>IFERROR(INDEX('Email Cleaner'!$B$2:$B$10001,MATCH(8057,'Email Cleaner'!$J$2:$J$10001,0)),"")</f>
        <v/>
      </c>
    </row>
    <row r="8059">
      <c r="A8059">
        <f>IFERROR(INDEX('Email Cleaner'!$B$2:$B$10001,MATCH(8058,'Email Cleaner'!$J$2:$J$10001,0)),"")</f>
        <v/>
      </c>
    </row>
    <row r="8060">
      <c r="A8060">
        <f>IFERROR(INDEX('Email Cleaner'!$B$2:$B$10001,MATCH(8059,'Email Cleaner'!$J$2:$J$10001,0)),"")</f>
        <v/>
      </c>
    </row>
    <row r="8061">
      <c r="A8061">
        <f>IFERROR(INDEX('Email Cleaner'!$B$2:$B$10001,MATCH(8060,'Email Cleaner'!$J$2:$J$10001,0)),"")</f>
        <v/>
      </c>
    </row>
    <row r="8062">
      <c r="A8062">
        <f>IFERROR(INDEX('Email Cleaner'!$B$2:$B$10001,MATCH(8061,'Email Cleaner'!$J$2:$J$10001,0)),"")</f>
        <v/>
      </c>
    </row>
    <row r="8063">
      <c r="A8063">
        <f>IFERROR(INDEX('Email Cleaner'!$B$2:$B$10001,MATCH(8062,'Email Cleaner'!$J$2:$J$10001,0)),"")</f>
        <v/>
      </c>
    </row>
    <row r="8064">
      <c r="A8064">
        <f>IFERROR(INDEX('Email Cleaner'!$B$2:$B$10001,MATCH(8063,'Email Cleaner'!$J$2:$J$10001,0)),"")</f>
        <v/>
      </c>
    </row>
    <row r="8065">
      <c r="A8065">
        <f>IFERROR(INDEX('Email Cleaner'!$B$2:$B$10001,MATCH(8064,'Email Cleaner'!$J$2:$J$10001,0)),"")</f>
        <v/>
      </c>
    </row>
    <row r="8066">
      <c r="A8066">
        <f>IFERROR(INDEX('Email Cleaner'!$B$2:$B$10001,MATCH(8065,'Email Cleaner'!$J$2:$J$10001,0)),"")</f>
        <v/>
      </c>
    </row>
    <row r="8067">
      <c r="A8067">
        <f>IFERROR(INDEX('Email Cleaner'!$B$2:$B$10001,MATCH(8066,'Email Cleaner'!$J$2:$J$10001,0)),"")</f>
        <v/>
      </c>
    </row>
    <row r="8068">
      <c r="A8068">
        <f>IFERROR(INDEX('Email Cleaner'!$B$2:$B$10001,MATCH(8067,'Email Cleaner'!$J$2:$J$10001,0)),"")</f>
        <v/>
      </c>
    </row>
    <row r="8069">
      <c r="A8069">
        <f>IFERROR(INDEX('Email Cleaner'!$B$2:$B$10001,MATCH(8068,'Email Cleaner'!$J$2:$J$10001,0)),"")</f>
        <v/>
      </c>
    </row>
    <row r="8070">
      <c r="A8070">
        <f>IFERROR(INDEX('Email Cleaner'!$B$2:$B$10001,MATCH(8069,'Email Cleaner'!$J$2:$J$10001,0)),"")</f>
        <v/>
      </c>
    </row>
    <row r="8071">
      <c r="A8071">
        <f>IFERROR(INDEX('Email Cleaner'!$B$2:$B$10001,MATCH(8070,'Email Cleaner'!$J$2:$J$10001,0)),"")</f>
        <v/>
      </c>
    </row>
    <row r="8072">
      <c r="A8072">
        <f>IFERROR(INDEX('Email Cleaner'!$B$2:$B$10001,MATCH(8071,'Email Cleaner'!$J$2:$J$10001,0)),"")</f>
        <v/>
      </c>
    </row>
    <row r="8073">
      <c r="A8073">
        <f>IFERROR(INDEX('Email Cleaner'!$B$2:$B$10001,MATCH(8072,'Email Cleaner'!$J$2:$J$10001,0)),"")</f>
        <v/>
      </c>
    </row>
    <row r="8074">
      <c r="A8074">
        <f>IFERROR(INDEX('Email Cleaner'!$B$2:$B$10001,MATCH(8073,'Email Cleaner'!$J$2:$J$10001,0)),"")</f>
        <v/>
      </c>
    </row>
    <row r="8075">
      <c r="A8075">
        <f>IFERROR(INDEX('Email Cleaner'!$B$2:$B$10001,MATCH(8074,'Email Cleaner'!$J$2:$J$10001,0)),"")</f>
        <v/>
      </c>
    </row>
    <row r="8076">
      <c r="A8076">
        <f>IFERROR(INDEX('Email Cleaner'!$B$2:$B$10001,MATCH(8075,'Email Cleaner'!$J$2:$J$10001,0)),"")</f>
        <v/>
      </c>
    </row>
    <row r="8077">
      <c r="A8077">
        <f>IFERROR(INDEX('Email Cleaner'!$B$2:$B$10001,MATCH(8076,'Email Cleaner'!$J$2:$J$10001,0)),"")</f>
        <v/>
      </c>
    </row>
    <row r="8078">
      <c r="A8078">
        <f>IFERROR(INDEX('Email Cleaner'!$B$2:$B$10001,MATCH(8077,'Email Cleaner'!$J$2:$J$10001,0)),"")</f>
        <v/>
      </c>
    </row>
    <row r="8079">
      <c r="A8079">
        <f>IFERROR(INDEX('Email Cleaner'!$B$2:$B$10001,MATCH(8078,'Email Cleaner'!$J$2:$J$10001,0)),"")</f>
        <v/>
      </c>
    </row>
    <row r="8080">
      <c r="A8080">
        <f>IFERROR(INDEX('Email Cleaner'!$B$2:$B$10001,MATCH(8079,'Email Cleaner'!$J$2:$J$10001,0)),"")</f>
        <v/>
      </c>
    </row>
    <row r="8081">
      <c r="A8081">
        <f>IFERROR(INDEX('Email Cleaner'!$B$2:$B$10001,MATCH(8080,'Email Cleaner'!$J$2:$J$10001,0)),"")</f>
        <v/>
      </c>
    </row>
    <row r="8082">
      <c r="A8082">
        <f>IFERROR(INDEX('Email Cleaner'!$B$2:$B$10001,MATCH(8081,'Email Cleaner'!$J$2:$J$10001,0)),"")</f>
        <v/>
      </c>
    </row>
    <row r="8083">
      <c r="A8083">
        <f>IFERROR(INDEX('Email Cleaner'!$B$2:$B$10001,MATCH(8082,'Email Cleaner'!$J$2:$J$10001,0)),"")</f>
        <v/>
      </c>
    </row>
    <row r="8084">
      <c r="A8084">
        <f>IFERROR(INDEX('Email Cleaner'!$B$2:$B$10001,MATCH(8083,'Email Cleaner'!$J$2:$J$10001,0)),"")</f>
        <v/>
      </c>
    </row>
    <row r="8085">
      <c r="A8085">
        <f>IFERROR(INDEX('Email Cleaner'!$B$2:$B$10001,MATCH(8084,'Email Cleaner'!$J$2:$J$10001,0)),"")</f>
        <v/>
      </c>
    </row>
    <row r="8086">
      <c r="A8086">
        <f>IFERROR(INDEX('Email Cleaner'!$B$2:$B$10001,MATCH(8085,'Email Cleaner'!$J$2:$J$10001,0)),"")</f>
        <v/>
      </c>
    </row>
    <row r="8087">
      <c r="A8087">
        <f>IFERROR(INDEX('Email Cleaner'!$B$2:$B$10001,MATCH(8086,'Email Cleaner'!$J$2:$J$10001,0)),"")</f>
        <v/>
      </c>
    </row>
    <row r="8088">
      <c r="A8088">
        <f>IFERROR(INDEX('Email Cleaner'!$B$2:$B$10001,MATCH(8087,'Email Cleaner'!$J$2:$J$10001,0)),"")</f>
        <v/>
      </c>
    </row>
    <row r="8089">
      <c r="A8089">
        <f>IFERROR(INDEX('Email Cleaner'!$B$2:$B$10001,MATCH(8088,'Email Cleaner'!$J$2:$J$10001,0)),"")</f>
        <v/>
      </c>
    </row>
    <row r="8090">
      <c r="A8090">
        <f>IFERROR(INDEX('Email Cleaner'!$B$2:$B$10001,MATCH(8089,'Email Cleaner'!$J$2:$J$10001,0)),"")</f>
        <v/>
      </c>
    </row>
    <row r="8091">
      <c r="A8091">
        <f>IFERROR(INDEX('Email Cleaner'!$B$2:$B$10001,MATCH(8090,'Email Cleaner'!$J$2:$J$10001,0)),"")</f>
        <v/>
      </c>
    </row>
    <row r="8092">
      <c r="A8092">
        <f>IFERROR(INDEX('Email Cleaner'!$B$2:$B$10001,MATCH(8091,'Email Cleaner'!$J$2:$J$10001,0)),"")</f>
        <v/>
      </c>
    </row>
    <row r="8093">
      <c r="A8093">
        <f>IFERROR(INDEX('Email Cleaner'!$B$2:$B$10001,MATCH(8092,'Email Cleaner'!$J$2:$J$10001,0)),"")</f>
        <v/>
      </c>
    </row>
    <row r="8094">
      <c r="A8094">
        <f>IFERROR(INDEX('Email Cleaner'!$B$2:$B$10001,MATCH(8093,'Email Cleaner'!$J$2:$J$10001,0)),"")</f>
        <v/>
      </c>
    </row>
    <row r="8095">
      <c r="A8095">
        <f>IFERROR(INDEX('Email Cleaner'!$B$2:$B$10001,MATCH(8094,'Email Cleaner'!$J$2:$J$10001,0)),"")</f>
        <v/>
      </c>
    </row>
    <row r="8096">
      <c r="A8096">
        <f>IFERROR(INDEX('Email Cleaner'!$B$2:$B$10001,MATCH(8095,'Email Cleaner'!$J$2:$J$10001,0)),"")</f>
        <v/>
      </c>
    </row>
    <row r="8097">
      <c r="A8097">
        <f>IFERROR(INDEX('Email Cleaner'!$B$2:$B$10001,MATCH(8096,'Email Cleaner'!$J$2:$J$10001,0)),"")</f>
        <v/>
      </c>
    </row>
    <row r="8098">
      <c r="A8098">
        <f>IFERROR(INDEX('Email Cleaner'!$B$2:$B$10001,MATCH(8097,'Email Cleaner'!$J$2:$J$10001,0)),"")</f>
        <v/>
      </c>
    </row>
    <row r="8099">
      <c r="A8099">
        <f>IFERROR(INDEX('Email Cleaner'!$B$2:$B$10001,MATCH(8098,'Email Cleaner'!$J$2:$J$10001,0)),"")</f>
        <v/>
      </c>
    </row>
    <row r="8100">
      <c r="A8100">
        <f>IFERROR(INDEX('Email Cleaner'!$B$2:$B$10001,MATCH(8099,'Email Cleaner'!$J$2:$J$10001,0)),"")</f>
        <v/>
      </c>
    </row>
    <row r="8101">
      <c r="A8101">
        <f>IFERROR(INDEX('Email Cleaner'!$B$2:$B$10001,MATCH(8100,'Email Cleaner'!$J$2:$J$10001,0)),"")</f>
        <v/>
      </c>
    </row>
    <row r="8102">
      <c r="A8102">
        <f>IFERROR(INDEX('Email Cleaner'!$B$2:$B$10001,MATCH(8101,'Email Cleaner'!$J$2:$J$10001,0)),"")</f>
        <v/>
      </c>
    </row>
    <row r="8103">
      <c r="A8103">
        <f>IFERROR(INDEX('Email Cleaner'!$B$2:$B$10001,MATCH(8102,'Email Cleaner'!$J$2:$J$10001,0)),"")</f>
        <v/>
      </c>
    </row>
    <row r="8104">
      <c r="A8104">
        <f>IFERROR(INDEX('Email Cleaner'!$B$2:$B$10001,MATCH(8103,'Email Cleaner'!$J$2:$J$10001,0)),"")</f>
        <v/>
      </c>
    </row>
    <row r="8105">
      <c r="A8105">
        <f>IFERROR(INDEX('Email Cleaner'!$B$2:$B$10001,MATCH(8104,'Email Cleaner'!$J$2:$J$10001,0)),"")</f>
        <v/>
      </c>
    </row>
    <row r="8106">
      <c r="A8106">
        <f>IFERROR(INDEX('Email Cleaner'!$B$2:$B$10001,MATCH(8105,'Email Cleaner'!$J$2:$J$10001,0)),"")</f>
        <v/>
      </c>
    </row>
    <row r="8107">
      <c r="A8107">
        <f>IFERROR(INDEX('Email Cleaner'!$B$2:$B$10001,MATCH(8106,'Email Cleaner'!$J$2:$J$10001,0)),"")</f>
        <v/>
      </c>
    </row>
    <row r="8108">
      <c r="A8108">
        <f>IFERROR(INDEX('Email Cleaner'!$B$2:$B$10001,MATCH(8107,'Email Cleaner'!$J$2:$J$10001,0)),"")</f>
        <v/>
      </c>
    </row>
    <row r="8109">
      <c r="A8109">
        <f>IFERROR(INDEX('Email Cleaner'!$B$2:$B$10001,MATCH(8108,'Email Cleaner'!$J$2:$J$10001,0)),"")</f>
        <v/>
      </c>
    </row>
    <row r="8110">
      <c r="A8110">
        <f>IFERROR(INDEX('Email Cleaner'!$B$2:$B$10001,MATCH(8109,'Email Cleaner'!$J$2:$J$10001,0)),"")</f>
        <v/>
      </c>
    </row>
    <row r="8111">
      <c r="A8111">
        <f>IFERROR(INDEX('Email Cleaner'!$B$2:$B$10001,MATCH(8110,'Email Cleaner'!$J$2:$J$10001,0)),"")</f>
        <v/>
      </c>
    </row>
    <row r="8112">
      <c r="A8112">
        <f>IFERROR(INDEX('Email Cleaner'!$B$2:$B$10001,MATCH(8111,'Email Cleaner'!$J$2:$J$10001,0)),"")</f>
        <v/>
      </c>
    </row>
    <row r="8113">
      <c r="A8113">
        <f>IFERROR(INDEX('Email Cleaner'!$B$2:$B$10001,MATCH(8112,'Email Cleaner'!$J$2:$J$10001,0)),"")</f>
        <v/>
      </c>
    </row>
    <row r="8114">
      <c r="A8114">
        <f>IFERROR(INDEX('Email Cleaner'!$B$2:$B$10001,MATCH(8113,'Email Cleaner'!$J$2:$J$10001,0)),"")</f>
        <v/>
      </c>
    </row>
    <row r="8115">
      <c r="A8115">
        <f>IFERROR(INDEX('Email Cleaner'!$B$2:$B$10001,MATCH(8114,'Email Cleaner'!$J$2:$J$10001,0)),"")</f>
        <v/>
      </c>
    </row>
    <row r="8116">
      <c r="A8116">
        <f>IFERROR(INDEX('Email Cleaner'!$B$2:$B$10001,MATCH(8115,'Email Cleaner'!$J$2:$J$10001,0)),"")</f>
        <v/>
      </c>
    </row>
    <row r="8117">
      <c r="A8117">
        <f>IFERROR(INDEX('Email Cleaner'!$B$2:$B$10001,MATCH(8116,'Email Cleaner'!$J$2:$J$10001,0)),"")</f>
        <v/>
      </c>
    </row>
    <row r="8118">
      <c r="A8118">
        <f>IFERROR(INDEX('Email Cleaner'!$B$2:$B$10001,MATCH(8117,'Email Cleaner'!$J$2:$J$10001,0)),"")</f>
        <v/>
      </c>
    </row>
    <row r="8119">
      <c r="A8119">
        <f>IFERROR(INDEX('Email Cleaner'!$B$2:$B$10001,MATCH(8118,'Email Cleaner'!$J$2:$J$10001,0)),"")</f>
        <v/>
      </c>
    </row>
    <row r="8120">
      <c r="A8120">
        <f>IFERROR(INDEX('Email Cleaner'!$B$2:$B$10001,MATCH(8119,'Email Cleaner'!$J$2:$J$10001,0)),"")</f>
        <v/>
      </c>
    </row>
    <row r="8121">
      <c r="A8121">
        <f>IFERROR(INDEX('Email Cleaner'!$B$2:$B$10001,MATCH(8120,'Email Cleaner'!$J$2:$J$10001,0)),"")</f>
        <v/>
      </c>
    </row>
    <row r="8122">
      <c r="A8122">
        <f>IFERROR(INDEX('Email Cleaner'!$B$2:$B$10001,MATCH(8121,'Email Cleaner'!$J$2:$J$10001,0)),"")</f>
        <v/>
      </c>
    </row>
    <row r="8123">
      <c r="A8123">
        <f>IFERROR(INDEX('Email Cleaner'!$B$2:$B$10001,MATCH(8122,'Email Cleaner'!$J$2:$J$10001,0)),"")</f>
        <v/>
      </c>
    </row>
    <row r="8124">
      <c r="A8124">
        <f>IFERROR(INDEX('Email Cleaner'!$B$2:$B$10001,MATCH(8123,'Email Cleaner'!$J$2:$J$10001,0)),"")</f>
        <v/>
      </c>
    </row>
    <row r="8125">
      <c r="A8125">
        <f>IFERROR(INDEX('Email Cleaner'!$B$2:$B$10001,MATCH(8124,'Email Cleaner'!$J$2:$J$10001,0)),"")</f>
        <v/>
      </c>
    </row>
    <row r="8126">
      <c r="A8126">
        <f>IFERROR(INDEX('Email Cleaner'!$B$2:$B$10001,MATCH(8125,'Email Cleaner'!$J$2:$J$10001,0)),"")</f>
        <v/>
      </c>
    </row>
    <row r="8127">
      <c r="A8127">
        <f>IFERROR(INDEX('Email Cleaner'!$B$2:$B$10001,MATCH(8126,'Email Cleaner'!$J$2:$J$10001,0)),"")</f>
        <v/>
      </c>
    </row>
    <row r="8128">
      <c r="A8128">
        <f>IFERROR(INDEX('Email Cleaner'!$B$2:$B$10001,MATCH(8127,'Email Cleaner'!$J$2:$J$10001,0)),"")</f>
        <v/>
      </c>
    </row>
    <row r="8129">
      <c r="A8129">
        <f>IFERROR(INDEX('Email Cleaner'!$B$2:$B$10001,MATCH(8128,'Email Cleaner'!$J$2:$J$10001,0)),"")</f>
        <v/>
      </c>
    </row>
    <row r="8130">
      <c r="A8130">
        <f>IFERROR(INDEX('Email Cleaner'!$B$2:$B$10001,MATCH(8129,'Email Cleaner'!$J$2:$J$10001,0)),"")</f>
        <v/>
      </c>
    </row>
    <row r="8131">
      <c r="A8131">
        <f>IFERROR(INDEX('Email Cleaner'!$B$2:$B$10001,MATCH(8130,'Email Cleaner'!$J$2:$J$10001,0)),"")</f>
        <v/>
      </c>
    </row>
    <row r="8132">
      <c r="A8132">
        <f>IFERROR(INDEX('Email Cleaner'!$B$2:$B$10001,MATCH(8131,'Email Cleaner'!$J$2:$J$10001,0)),"")</f>
        <v/>
      </c>
    </row>
    <row r="8133">
      <c r="A8133">
        <f>IFERROR(INDEX('Email Cleaner'!$B$2:$B$10001,MATCH(8132,'Email Cleaner'!$J$2:$J$10001,0)),"")</f>
        <v/>
      </c>
    </row>
    <row r="8134">
      <c r="A8134">
        <f>IFERROR(INDEX('Email Cleaner'!$B$2:$B$10001,MATCH(8133,'Email Cleaner'!$J$2:$J$10001,0)),"")</f>
        <v/>
      </c>
    </row>
    <row r="8135">
      <c r="A8135">
        <f>IFERROR(INDEX('Email Cleaner'!$B$2:$B$10001,MATCH(8134,'Email Cleaner'!$J$2:$J$10001,0)),"")</f>
        <v/>
      </c>
    </row>
    <row r="8136">
      <c r="A8136">
        <f>IFERROR(INDEX('Email Cleaner'!$B$2:$B$10001,MATCH(8135,'Email Cleaner'!$J$2:$J$10001,0)),"")</f>
        <v/>
      </c>
    </row>
    <row r="8137">
      <c r="A8137">
        <f>IFERROR(INDEX('Email Cleaner'!$B$2:$B$10001,MATCH(8136,'Email Cleaner'!$J$2:$J$10001,0)),"")</f>
        <v/>
      </c>
    </row>
    <row r="8138">
      <c r="A8138">
        <f>IFERROR(INDEX('Email Cleaner'!$B$2:$B$10001,MATCH(8137,'Email Cleaner'!$J$2:$J$10001,0)),"")</f>
        <v/>
      </c>
    </row>
    <row r="8139">
      <c r="A8139">
        <f>IFERROR(INDEX('Email Cleaner'!$B$2:$B$10001,MATCH(8138,'Email Cleaner'!$J$2:$J$10001,0)),"")</f>
        <v/>
      </c>
    </row>
    <row r="8140">
      <c r="A8140">
        <f>IFERROR(INDEX('Email Cleaner'!$B$2:$B$10001,MATCH(8139,'Email Cleaner'!$J$2:$J$10001,0)),"")</f>
        <v/>
      </c>
    </row>
    <row r="8141">
      <c r="A8141">
        <f>IFERROR(INDEX('Email Cleaner'!$B$2:$B$10001,MATCH(8140,'Email Cleaner'!$J$2:$J$10001,0)),"")</f>
        <v/>
      </c>
    </row>
    <row r="8142">
      <c r="A8142">
        <f>IFERROR(INDEX('Email Cleaner'!$B$2:$B$10001,MATCH(8141,'Email Cleaner'!$J$2:$J$10001,0)),"")</f>
        <v/>
      </c>
    </row>
    <row r="8143">
      <c r="A8143">
        <f>IFERROR(INDEX('Email Cleaner'!$B$2:$B$10001,MATCH(8142,'Email Cleaner'!$J$2:$J$10001,0)),"")</f>
        <v/>
      </c>
    </row>
    <row r="8144">
      <c r="A8144">
        <f>IFERROR(INDEX('Email Cleaner'!$B$2:$B$10001,MATCH(8143,'Email Cleaner'!$J$2:$J$10001,0)),"")</f>
        <v/>
      </c>
    </row>
    <row r="8145">
      <c r="A8145">
        <f>IFERROR(INDEX('Email Cleaner'!$B$2:$B$10001,MATCH(8144,'Email Cleaner'!$J$2:$J$10001,0)),"")</f>
        <v/>
      </c>
    </row>
    <row r="8146">
      <c r="A8146">
        <f>IFERROR(INDEX('Email Cleaner'!$B$2:$B$10001,MATCH(8145,'Email Cleaner'!$J$2:$J$10001,0)),"")</f>
        <v/>
      </c>
    </row>
    <row r="8147">
      <c r="A8147">
        <f>IFERROR(INDEX('Email Cleaner'!$B$2:$B$10001,MATCH(8146,'Email Cleaner'!$J$2:$J$10001,0)),"")</f>
        <v/>
      </c>
    </row>
    <row r="8148">
      <c r="A8148">
        <f>IFERROR(INDEX('Email Cleaner'!$B$2:$B$10001,MATCH(8147,'Email Cleaner'!$J$2:$J$10001,0)),"")</f>
        <v/>
      </c>
    </row>
    <row r="8149">
      <c r="A8149">
        <f>IFERROR(INDEX('Email Cleaner'!$B$2:$B$10001,MATCH(8148,'Email Cleaner'!$J$2:$J$10001,0)),"")</f>
        <v/>
      </c>
    </row>
    <row r="8150">
      <c r="A8150">
        <f>IFERROR(INDEX('Email Cleaner'!$B$2:$B$10001,MATCH(8149,'Email Cleaner'!$J$2:$J$10001,0)),"")</f>
        <v/>
      </c>
    </row>
    <row r="8151">
      <c r="A8151">
        <f>IFERROR(INDEX('Email Cleaner'!$B$2:$B$10001,MATCH(8150,'Email Cleaner'!$J$2:$J$10001,0)),"")</f>
        <v/>
      </c>
    </row>
    <row r="8152">
      <c r="A8152">
        <f>IFERROR(INDEX('Email Cleaner'!$B$2:$B$10001,MATCH(8151,'Email Cleaner'!$J$2:$J$10001,0)),"")</f>
        <v/>
      </c>
    </row>
    <row r="8153">
      <c r="A8153">
        <f>IFERROR(INDEX('Email Cleaner'!$B$2:$B$10001,MATCH(8152,'Email Cleaner'!$J$2:$J$10001,0)),"")</f>
        <v/>
      </c>
    </row>
    <row r="8154">
      <c r="A8154">
        <f>IFERROR(INDEX('Email Cleaner'!$B$2:$B$10001,MATCH(8153,'Email Cleaner'!$J$2:$J$10001,0)),"")</f>
        <v/>
      </c>
    </row>
    <row r="8155">
      <c r="A8155">
        <f>IFERROR(INDEX('Email Cleaner'!$B$2:$B$10001,MATCH(8154,'Email Cleaner'!$J$2:$J$10001,0)),"")</f>
        <v/>
      </c>
    </row>
    <row r="8156">
      <c r="A8156">
        <f>IFERROR(INDEX('Email Cleaner'!$B$2:$B$10001,MATCH(8155,'Email Cleaner'!$J$2:$J$10001,0)),"")</f>
        <v/>
      </c>
    </row>
    <row r="8157">
      <c r="A8157">
        <f>IFERROR(INDEX('Email Cleaner'!$B$2:$B$10001,MATCH(8156,'Email Cleaner'!$J$2:$J$10001,0)),"")</f>
        <v/>
      </c>
    </row>
    <row r="8158">
      <c r="A8158">
        <f>IFERROR(INDEX('Email Cleaner'!$B$2:$B$10001,MATCH(8157,'Email Cleaner'!$J$2:$J$10001,0)),"")</f>
        <v/>
      </c>
    </row>
    <row r="8159">
      <c r="A8159">
        <f>IFERROR(INDEX('Email Cleaner'!$B$2:$B$10001,MATCH(8158,'Email Cleaner'!$J$2:$J$10001,0)),"")</f>
        <v/>
      </c>
    </row>
    <row r="8160">
      <c r="A8160">
        <f>IFERROR(INDEX('Email Cleaner'!$B$2:$B$10001,MATCH(8159,'Email Cleaner'!$J$2:$J$10001,0)),"")</f>
        <v/>
      </c>
    </row>
    <row r="8161">
      <c r="A8161">
        <f>IFERROR(INDEX('Email Cleaner'!$B$2:$B$10001,MATCH(8160,'Email Cleaner'!$J$2:$J$10001,0)),"")</f>
        <v/>
      </c>
    </row>
    <row r="8162">
      <c r="A8162">
        <f>IFERROR(INDEX('Email Cleaner'!$B$2:$B$10001,MATCH(8161,'Email Cleaner'!$J$2:$J$10001,0)),"")</f>
        <v/>
      </c>
    </row>
    <row r="8163">
      <c r="A8163">
        <f>IFERROR(INDEX('Email Cleaner'!$B$2:$B$10001,MATCH(8162,'Email Cleaner'!$J$2:$J$10001,0)),"")</f>
        <v/>
      </c>
    </row>
    <row r="8164">
      <c r="A8164">
        <f>IFERROR(INDEX('Email Cleaner'!$B$2:$B$10001,MATCH(8163,'Email Cleaner'!$J$2:$J$10001,0)),"")</f>
        <v/>
      </c>
    </row>
    <row r="8165">
      <c r="A8165">
        <f>IFERROR(INDEX('Email Cleaner'!$B$2:$B$10001,MATCH(8164,'Email Cleaner'!$J$2:$J$10001,0)),"")</f>
        <v/>
      </c>
    </row>
    <row r="8166">
      <c r="A8166">
        <f>IFERROR(INDEX('Email Cleaner'!$B$2:$B$10001,MATCH(8165,'Email Cleaner'!$J$2:$J$10001,0)),"")</f>
        <v/>
      </c>
    </row>
    <row r="8167">
      <c r="A8167">
        <f>IFERROR(INDEX('Email Cleaner'!$B$2:$B$10001,MATCH(8166,'Email Cleaner'!$J$2:$J$10001,0)),"")</f>
        <v/>
      </c>
    </row>
    <row r="8168">
      <c r="A8168">
        <f>IFERROR(INDEX('Email Cleaner'!$B$2:$B$10001,MATCH(8167,'Email Cleaner'!$J$2:$J$10001,0)),"")</f>
        <v/>
      </c>
    </row>
    <row r="8169">
      <c r="A8169">
        <f>IFERROR(INDEX('Email Cleaner'!$B$2:$B$10001,MATCH(8168,'Email Cleaner'!$J$2:$J$10001,0)),"")</f>
        <v/>
      </c>
    </row>
    <row r="8170">
      <c r="A8170">
        <f>IFERROR(INDEX('Email Cleaner'!$B$2:$B$10001,MATCH(8169,'Email Cleaner'!$J$2:$J$10001,0)),"")</f>
        <v/>
      </c>
    </row>
    <row r="8171">
      <c r="A8171">
        <f>IFERROR(INDEX('Email Cleaner'!$B$2:$B$10001,MATCH(8170,'Email Cleaner'!$J$2:$J$10001,0)),"")</f>
        <v/>
      </c>
    </row>
    <row r="8172">
      <c r="A8172">
        <f>IFERROR(INDEX('Email Cleaner'!$B$2:$B$10001,MATCH(8171,'Email Cleaner'!$J$2:$J$10001,0)),"")</f>
        <v/>
      </c>
    </row>
    <row r="8173">
      <c r="A8173">
        <f>IFERROR(INDEX('Email Cleaner'!$B$2:$B$10001,MATCH(8172,'Email Cleaner'!$J$2:$J$10001,0)),"")</f>
        <v/>
      </c>
    </row>
    <row r="8174">
      <c r="A8174">
        <f>IFERROR(INDEX('Email Cleaner'!$B$2:$B$10001,MATCH(8173,'Email Cleaner'!$J$2:$J$10001,0)),"")</f>
        <v/>
      </c>
    </row>
    <row r="8175">
      <c r="A8175">
        <f>IFERROR(INDEX('Email Cleaner'!$B$2:$B$10001,MATCH(8174,'Email Cleaner'!$J$2:$J$10001,0)),"")</f>
        <v/>
      </c>
    </row>
    <row r="8176">
      <c r="A8176">
        <f>IFERROR(INDEX('Email Cleaner'!$B$2:$B$10001,MATCH(8175,'Email Cleaner'!$J$2:$J$10001,0)),"")</f>
        <v/>
      </c>
    </row>
    <row r="8177">
      <c r="A8177">
        <f>IFERROR(INDEX('Email Cleaner'!$B$2:$B$10001,MATCH(8176,'Email Cleaner'!$J$2:$J$10001,0)),"")</f>
        <v/>
      </c>
    </row>
    <row r="8178">
      <c r="A8178">
        <f>IFERROR(INDEX('Email Cleaner'!$B$2:$B$10001,MATCH(8177,'Email Cleaner'!$J$2:$J$10001,0)),"")</f>
        <v/>
      </c>
    </row>
    <row r="8179">
      <c r="A8179">
        <f>IFERROR(INDEX('Email Cleaner'!$B$2:$B$10001,MATCH(8178,'Email Cleaner'!$J$2:$J$10001,0)),"")</f>
        <v/>
      </c>
    </row>
    <row r="8180">
      <c r="A8180">
        <f>IFERROR(INDEX('Email Cleaner'!$B$2:$B$10001,MATCH(8179,'Email Cleaner'!$J$2:$J$10001,0)),"")</f>
        <v/>
      </c>
    </row>
    <row r="8181">
      <c r="A8181">
        <f>IFERROR(INDEX('Email Cleaner'!$B$2:$B$10001,MATCH(8180,'Email Cleaner'!$J$2:$J$10001,0)),"")</f>
        <v/>
      </c>
    </row>
    <row r="8182">
      <c r="A8182">
        <f>IFERROR(INDEX('Email Cleaner'!$B$2:$B$10001,MATCH(8181,'Email Cleaner'!$J$2:$J$10001,0)),"")</f>
        <v/>
      </c>
    </row>
    <row r="8183">
      <c r="A8183">
        <f>IFERROR(INDEX('Email Cleaner'!$B$2:$B$10001,MATCH(8182,'Email Cleaner'!$J$2:$J$10001,0)),"")</f>
        <v/>
      </c>
    </row>
    <row r="8184">
      <c r="A8184">
        <f>IFERROR(INDEX('Email Cleaner'!$B$2:$B$10001,MATCH(8183,'Email Cleaner'!$J$2:$J$10001,0)),"")</f>
        <v/>
      </c>
    </row>
    <row r="8185">
      <c r="A8185">
        <f>IFERROR(INDEX('Email Cleaner'!$B$2:$B$10001,MATCH(8184,'Email Cleaner'!$J$2:$J$10001,0)),"")</f>
        <v/>
      </c>
    </row>
    <row r="8186">
      <c r="A8186">
        <f>IFERROR(INDEX('Email Cleaner'!$B$2:$B$10001,MATCH(8185,'Email Cleaner'!$J$2:$J$10001,0)),"")</f>
        <v/>
      </c>
    </row>
    <row r="8187">
      <c r="A8187">
        <f>IFERROR(INDEX('Email Cleaner'!$B$2:$B$10001,MATCH(8186,'Email Cleaner'!$J$2:$J$10001,0)),"")</f>
        <v/>
      </c>
    </row>
    <row r="8188">
      <c r="A8188">
        <f>IFERROR(INDEX('Email Cleaner'!$B$2:$B$10001,MATCH(8187,'Email Cleaner'!$J$2:$J$10001,0)),"")</f>
        <v/>
      </c>
    </row>
    <row r="8189">
      <c r="A8189">
        <f>IFERROR(INDEX('Email Cleaner'!$B$2:$B$10001,MATCH(8188,'Email Cleaner'!$J$2:$J$10001,0)),"")</f>
        <v/>
      </c>
    </row>
    <row r="8190">
      <c r="A8190">
        <f>IFERROR(INDEX('Email Cleaner'!$B$2:$B$10001,MATCH(8189,'Email Cleaner'!$J$2:$J$10001,0)),"")</f>
        <v/>
      </c>
    </row>
    <row r="8191">
      <c r="A8191">
        <f>IFERROR(INDEX('Email Cleaner'!$B$2:$B$10001,MATCH(8190,'Email Cleaner'!$J$2:$J$10001,0)),"")</f>
        <v/>
      </c>
    </row>
    <row r="8192">
      <c r="A8192">
        <f>IFERROR(INDEX('Email Cleaner'!$B$2:$B$10001,MATCH(8191,'Email Cleaner'!$J$2:$J$10001,0)),"")</f>
        <v/>
      </c>
    </row>
    <row r="8193">
      <c r="A8193">
        <f>IFERROR(INDEX('Email Cleaner'!$B$2:$B$10001,MATCH(8192,'Email Cleaner'!$J$2:$J$10001,0)),"")</f>
        <v/>
      </c>
    </row>
    <row r="8194">
      <c r="A8194">
        <f>IFERROR(INDEX('Email Cleaner'!$B$2:$B$10001,MATCH(8193,'Email Cleaner'!$J$2:$J$10001,0)),"")</f>
        <v/>
      </c>
    </row>
    <row r="8195">
      <c r="A8195">
        <f>IFERROR(INDEX('Email Cleaner'!$B$2:$B$10001,MATCH(8194,'Email Cleaner'!$J$2:$J$10001,0)),"")</f>
        <v/>
      </c>
    </row>
    <row r="8196">
      <c r="A8196">
        <f>IFERROR(INDEX('Email Cleaner'!$B$2:$B$10001,MATCH(8195,'Email Cleaner'!$J$2:$J$10001,0)),"")</f>
        <v/>
      </c>
    </row>
    <row r="8197">
      <c r="A8197">
        <f>IFERROR(INDEX('Email Cleaner'!$B$2:$B$10001,MATCH(8196,'Email Cleaner'!$J$2:$J$10001,0)),"")</f>
        <v/>
      </c>
    </row>
    <row r="8198">
      <c r="A8198">
        <f>IFERROR(INDEX('Email Cleaner'!$B$2:$B$10001,MATCH(8197,'Email Cleaner'!$J$2:$J$10001,0)),"")</f>
        <v/>
      </c>
    </row>
    <row r="8199">
      <c r="A8199">
        <f>IFERROR(INDEX('Email Cleaner'!$B$2:$B$10001,MATCH(8198,'Email Cleaner'!$J$2:$J$10001,0)),"")</f>
        <v/>
      </c>
    </row>
    <row r="8200">
      <c r="A8200">
        <f>IFERROR(INDEX('Email Cleaner'!$B$2:$B$10001,MATCH(8199,'Email Cleaner'!$J$2:$J$10001,0)),"")</f>
        <v/>
      </c>
    </row>
    <row r="8201">
      <c r="A8201">
        <f>IFERROR(INDEX('Email Cleaner'!$B$2:$B$10001,MATCH(8200,'Email Cleaner'!$J$2:$J$10001,0)),"")</f>
        <v/>
      </c>
    </row>
    <row r="8202">
      <c r="A8202">
        <f>IFERROR(INDEX('Email Cleaner'!$B$2:$B$10001,MATCH(8201,'Email Cleaner'!$J$2:$J$10001,0)),"")</f>
        <v/>
      </c>
    </row>
    <row r="8203">
      <c r="A8203">
        <f>IFERROR(INDEX('Email Cleaner'!$B$2:$B$10001,MATCH(8202,'Email Cleaner'!$J$2:$J$10001,0)),"")</f>
        <v/>
      </c>
    </row>
    <row r="8204">
      <c r="A8204">
        <f>IFERROR(INDEX('Email Cleaner'!$B$2:$B$10001,MATCH(8203,'Email Cleaner'!$J$2:$J$10001,0)),"")</f>
        <v/>
      </c>
    </row>
    <row r="8205">
      <c r="A8205">
        <f>IFERROR(INDEX('Email Cleaner'!$B$2:$B$10001,MATCH(8204,'Email Cleaner'!$J$2:$J$10001,0)),"")</f>
        <v/>
      </c>
    </row>
    <row r="8206">
      <c r="A8206">
        <f>IFERROR(INDEX('Email Cleaner'!$B$2:$B$10001,MATCH(8205,'Email Cleaner'!$J$2:$J$10001,0)),"")</f>
        <v/>
      </c>
    </row>
    <row r="8207">
      <c r="A8207">
        <f>IFERROR(INDEX('Email Cleaner'!$B$2:$B$10001,MATCH(8206,'Email Cleaner'!$J$2:$J$10001,0)),"")</f>
        <v/>
      </c>
    </row>
    <row r="8208">
      <c r="A8208">
        <f>IFERROR(INDEX('Email Cleaner'!$B$2:$B$10001,MATCH(8207,'Email Cleaner'!$J$2:$J$10001,0)),"")</f>
        <v/>
      </c>
    </row>
    <row r="8209">
      <c r="A8209">
        <f>IFERROR(INDEX('Email Cleaner'!$B$2:$B$10001,MATCH(8208,'Email Cleaner'!$J$2:$J$10001,0)),"")</f>
        <v/>
      </c>
    </row>
    <row r="8210">
      <c r="A8210">
        <f>IFERROR(INDEX('Email Cleaner'!$B$2:$B$10001,MATCH(8209,'Email Cleaner'!$J$2:$J$10001,0)),"")</f>
        <v/>
      </c>
    </row>
    <row r="8211">
      <c r="A8211">
        <f>IFERROR(INDEX('Email Cleaner'!$B$2:$B$10001,MATCH(8210,'Email Cleaner'!$J$2:$J$10001,0)),"")</f>
        <v/>
      </c>
    </row>
    <row r="8212">
      <c r="A8212">
        <f>IFERROR(INDEX('Email Cleaner'!$B$2:$B$10001,MATCH(8211,'Email Cleaner'!$J$2:$J$10001,0)),"")</f>
        <v/>
      </c>
    </row>
    <row r="8213">
      <c r="A8213">
        <f>IFERROR(INDEX('Email Cleaner'!$B$2:$B$10001,MATCH(8212,'Email Cleaner'!$J$2:$J$10001,0)),"")</f>
        <v/>
      </c>
    </row>
    <row r="8214">
      <c r="A8214">
        <f>IFERROR(INDEX('Email Cleaner'!$B$2:$B$10001,MATCH(8213,'Email Cleaner'!$J$2:$J$10001,0)),"")</f>
        <v/>
      </c>
    </row>
    <row r="8215">
      <c r="A8215">
        <f>IFERROR(INDEX('Email Cleaner'!$B$2:$B$10001,MATCH(8214,'Email Cleaner'!$J$2:$J$10001,0)),"")</f>
        <v/>
      </c>
    </row>
    <row r="8216">
      <c r="A8216">
        <f>IFERROR(INDEX('Email Cleaner'!$B$2:$B$10001,MATCH(8215,'Email Cleaner'!$J$2:$J$10001,0)),"")</f>
        <v/>
      </c>
    </row>
    <row r="8217">
      <c r="A8217">
        <f>IFERROR(INDEX('Email Cleaner'!$B$2:$B$10001,MATCH(8216,'Email Cleaner'!$J$2:$J$10001,0)),"")</f>
        <v/>
      </c>
    </row>
    <row r="8218">
      <c r="A8218">
        <f>IFERROR(INDEX('Email Cleaner'!$B$2:$B$10001,MATCH(8217,'Email Cleaner'!$J$2:$J$10001,0)),"")</f>
        <v/>
      </c>
    </row>
    <row r="8219">
      <c r="A8219">
        <f>IFERROR(INDEX('Email Cleaner'!$B$2:$B$10001,MATCH(8218,'Email Cleaner'!$J$2:$J$10001,0)),"")</f>
        <v/>
      </c>
    </row>
    <row r="8220">
      <c r="A8220">
        <f>IFERROR(INDEX('Email Cleaner'!$B$2:$B$10001,MATCH(8219,'Email Cleaner'!$J$2:$J$10001,0)),"")</f>
        <v/>
      </c>
    </row>
    <row r="8221">
      <c r="A8221">
        <f>IFERROR(INDEX('Email Cleaner'!$B$2:$B$10001,MATCH(8220,'Email Cleaner'!$J$2:$J$10001,0)),"")</f>
        <v/>
      </c>
    </row>
    <row r="8222">
      <c r="A8222">
        <f>IFERROR(INDEX('Email Cleaner'!$B$2:$B$10001,MATCH(8221,'Email Cleaner'!$J$2:$J$10001,0)),"")</f>
        <v/>
      </c>
    </row>
    <row r="8223">
      <c r="A8223">
        <f>IFERROR(INDEX('Email Cleaner'!$B$2:$B$10001,MATCH(8222,'Email Cleaner'!$J$2:$J$10001,0)),"")</f>
        <v/>
      </c>
    </row>
    <row r="8224">
      <c r="A8224">
        <f>IFERROR(INDEX('Email Cleaner'!$B$2:$B$10001,MATCH(8223,'Email Cleaner'!$J$2:$J$10001,0)),"")</f>
        <v/>
      </c>
    </row>
    <row r="8225">
      <c r="A8225">
        <f>IFERROR(INDEX('Email Cleaner'!$B$2:$B$10001,MATCH(8224,'Email Cleaner'!$J$2:$J$10001,0)),"")</f>
        <v/>
      </c>
    </row>
    <row r="8226">
      <c r="A8226">
        <f>IFERROR(INDEX('Email Cleaner'!$B$2:$B$10001,MATCH(8225,'Email Cleaner'!$J$2:$J$10001,0)),"")</f>
        <v/>
      </c>
    </row>
    <row r="8227">
      <c r="A8227">
        <f>IFERROR(INDEX('Email Cleaner'!$B$2:$B$10001,MATCH(8226,'Email Cleaner'!$J$2:$J$10001,0)),"")</f>
        <v/>
      </c>
    </row>
    <row r="8228">
      <c r="A8228">
        <f>IFERROR(INDEX('Email Cleaner'!$B$2:$B$10001,MATCH(8227,'Email Cleaner'!$J$2:$J$10001,0)),"")</f>
        <v/>
      </c>
    </row>
    <row r="8229">
      <c r="A8229">
        <f>IFERROR(INDEX('Email Cleaner'!$B$2:$B$10001,MATCH(8228,'Email Cleaner'!$J$2:$J$10001,0)),"")</f>
        <v/>
      </c>
    </row>
    <row r="8230">
      <c r="A8230">
        <f>IFERROR(INDEX('Email Cleaner'!$B$2:$B$10001,MATCH(8229,'Email Cleaner'!$J$2:$J$10001,0)),"")</f>
        <v/>
      </c>
    </row>
    <row r="8231">
      <c r="A8231">
        <f>IFERROR(INDEX('Email Cleaner'!$B$2:$B$10001,MATCH(8230,'Email Cleaner'!$J$2:$J$10001,0)),"")</f>
        <v/>
      </c>
    </row>
    <row r="8232">
      <c r="A8232">
        <f>IFERROR(INDEX('Email Cleaner'!$B$2:$B$10001,MATCH(8231,'Email Cleaner'!$J$2:$J$10001,0)),"")</f>
        <v/>
      </c>
    </row>
    <row r="8233">
      <c r="A8233">
        <f>IFERROR(INDEX('Email Cleaner'!$B$2:$B$10001,MATCH(8232,'Email Cleaner'!$J$2:$J$10001,0)),"")</f>
        <v/>
      </c>
    </row>
    <row r="8234">
      <c r="A8234">
        <f>IFERROR(INDEX('Email Cleaner'!$B$2:$B$10001,MATCH(8233,'Email Cleaner'!$J$2:$J$10001,0)),"")</f>
        <v/>
      </c>
    </row>
    <row r="8235">
      <c r="A8235">
        <f>IFERROR(INDEX('Email Cleaner'!$B$2:$B$10001,MATCH(8234,'Email Cleaner'!$J$2:$J$10001,0)),"")</f>
        <v/>
      </c>
    </row>
    <row r="8236">
      <c r="A8236">
        <f>IFERROR(INDEX('Email Cleaner'!$B$2:$B$10001,MATCH(8235,'Email Cleaner'!$J$2:$J$10001,0)),"")</f>
        <v/>
      </c>
    </row>
    <row r="8237">
      <c r="A8237">
        <f>IFERROR(INDEX('Email Cleaner'!$B$2:$B$10001,MATCH(8236,'Email Cleaner'!$J$2:$J$10001,0)),"")</f>
        <v/>
      </c>
    </row>
    <row r="8238">
      <c r="A8238">
        <f>IFERROR(INDEX('Email Cleaner'!$B$2:$B$10001,MATCH(8237,'Email Cleaner'!$J$2:$J$10001,0)),"")</f>
        <v/>
      </c>
    </row>
    <row r="8239">
      <c r="A8239">
        <f>IFERROR(INDEX('Email Cleaner'!$B$2:$B$10001,MATCH(8238,'Email Cleaner'!$J$2:$J$10001,0)),"")</f>
        <v/>
      </c>
    </row>
    <row r="8240">
      <c r="A8240">
        <f>IFERROR(INDEX('Email Cleaner'!$B$2:$B$10001,MATCH(8239,'Email Cleaner'!$J$2:$J$10001,0)),"")</f>
        <v/>
      </c>
    </row>
    <row r="8241">
      <c r="A8241">
        <f>IFERROR(INDEX('Email Cleaner'!$B$2:$B$10001,MATCH(8240,'Email Cleaner'!$J$2:$J$10001,0)),"")</f>
        <v/>
      </c>
    </row>
    <row r="8242">
      <c r="A8242">
        <f>IFERROR(INDEX('Email Cleaner'!$B$2:$B$10001,MATCH(8241,'Email Cleaner'!$J$2:$J$10001,0)),"")</f>
        <v/>
      </c>
    </row>
    <row r="8243">
      <c r="A8243">
        <f>IFERROR(INDEX('Email Cleaner'!$B$2:$B$10001,MATCH(8242,'Email Cleaner'!$J$2:$J$10001,0)),"")</f>
        <v/>
      </c>
    </row>
    <row r="8244">
      <c r="A8244">
        <f>IFERROR(INDEX('Email Cleaner'!$B$2:$B$10001,MATCH(8243,'Email Cleaner'!$J$2:$J$10001,0)),"")</f>
        <v/>
      </c>
    </row>
    <row r="8245">
      <c r="A8245">
        <f>IFERROR(INDEX('Email Cleaner'!$B$2:$B$10001,MATCH(8244,'Email Cleaner'!$J$2:$J$10001,0)),"")</f>
        <v/>
      </c>
    </row>
    <row r="8246">
      <c r="A8246">
        <f>IFERROR(INDEX('Email Cleaner'!$B$2:$B$10001,MATCH(8245,'Email Cleaner'!$J$2:$J$10001,0)),"")</f>
        <v/>
      </c>
    </row>
    <row r="8247">
      <c r="A8247">
        <f>IFERROR(INDEX('Email Cleaner'!$B$2:$B$10001,MATCH(8246,'Email Cleaner'!$J$2:$J$10001,0)),"")</f>
        <v/>
      </c>
    </row>
    <row r="8248">
      <c r="A8248">
        <f>IFERROR(INDEX('Email Cleaner'!$B$2:$B$10001,MATCH(8247,'Email Cleaner'!$J$2:$J$10001,0)),"")</f>
        <v/>
      </c>
    </row>
    <row r="8249">
      <c r="A8249">
        <f>IFERROR(INDEX('Email Cleaner'!$B$2:$B$10001,MATCH(8248,'Email Cleaner'!$J$2:$J$10001,0)),"")</f>
        <v/>
      </c>
    </row>
    <row r="8250">
      <c r="A8250">
        <f>IFERROR(INDEX('Email Cleaner'!$B$2:$B$10001,MATCH(8249,'Email Cleaner'!$J$2:$J$10001,0)),"")</f>
        <v/>
      </c>
    </row>
    <row r="8251">
      <c r="A8251">
        <f>IFERROR(INDEX('Email Cleaner'!$B$2:$B$10001,MATCH(8250,'Email Cleaner'!$J$2:$J$10001,0)),"")</f>
        <v/>
      </c>
    </row>
    <row r="8252">
      <c r="A8252">
        <f>IFERROR(INDEX('Email Cleaner'!$B$2:$B$10001,MATCH(8251,'Email Cleaner'!$J$2:$J$10001,0)),"")</f>
        <v/>
      </c>
    </row>
    <row r="8253">
      <c r="A8253">
        <f>IFERROR(INDEX('Email Cleaner'!$B$2:$B$10001,MATCH(8252,'Email Cleaner'!$J$2:$J$10001,0)),"")</f>
        <v/>
      </c>
    </row>
    <row r="8254">
      <c r="A8254">
        <f>IFERROR(INDEX('Email Cleaner'!$B$2:$B$10001,MATCH(8253,'Email Cleaner'!$J$2:$J$10001,0)),"")</f>
        <v/>
      </c>
    </row>
    <row r="8255">
      <c r="A8255">
        <f>IFERROR(INDEX('Email Cleaner'!$B$2:$B$10001,MATCH(8254,'Email Cleaner'!$J$2:$J$10001,0)),"")</f>
        <v/>
      </c>
    </row>
    <row r="8256">
      <c r="A8256">
        <f>IFERROR(INDEX('Email Cleaner'!$B$2:$B$10001,MATCH(8255,'Email Cleaner'!$J$2:$J$10001,0)),"")</f>
        <v/>
      </c>
    </row>
    <row r="8257">
      <c r="A8257">
        <f>IFERROR(INDEX('Email Cleaner'!$B$2:$B$10001,MATCH(8256,'Email Cleaner'!$J$2:$J$10001,0)),"")</f>
        <v/>
      </c>
    </row>
    <row r="8258">
      <c r="A8258">
        <f>IFERROR(INDEX('Email Cleaner'!$B$2:$B$10001,MATCH(8257,'Email Cleaner'!$J$2:$J$10001,0)),"")</f>
        <v/>
      </c>
    </row>
    <row r="8259">
      <c r="A8259">
        <f>IFERROR(INDEX('Email Cleaner'!$B$2:$B$10001,MATCH(8258,'Email Cleaner'!$J$2:$J$10001,0)),"")</f>
        <v/>
      </c>
    </row>
    <row r="8260">
      <c r="A8260">
        <f>IFERROR(INDEX('Email Cleaner'!$B$2:$B$10001,MATCH(8259,'Email Cleaner'!$J$2:$J$10001,0)),"")</f>
        <v/>
      </c>
    </row>
    <row r="8261">
      <c r="A8261">
        <f>IFERROR(INDEX('Email Cleaner'!$B$2:$B$10001,MATCH(8260,'Email Cleaner'!$J$2:$J$10001,0)),"")</f>
        <v/>
      </c>
    </row>
    <row r="8262">
      <c r="A8262">
        <f>IFERROR(INDEX('Email Cleaner'!$B$2:$B$10001,MATCH(8261,'Email Cleaner'!$J$2:$J$10001,0)),"")</f>
        <v/>
      </c>
    </row>
    <row r="8263">
      <c r="A8263">
        <f>IFERROR(INDEX('Email Cleaner'!$B$2:$B$10001,MATCH(8262,'Email Cleaner'!$J$2:$J$10001,0)),"")</f>
        <v/>
      </c>
    </row>
    <row r="8264">
      <c r="A8264">
        <f>IFERROR(INDEX('Email Cleaner'!$B$2:$B$10001,MATCH(8263,'Email Cleaner'!$J$2:$J$10001,0)),"")</f>
        <v/>
      </c>
    </row>
    <row r="8265">
      <c r="A8265">
        <f>IFERROR(INDEX('Email Cleaner'!$B$2:$B$10001,MATCH(8264,'Email Cleaner'!$J$2:$J$10001,0)),"")</f>
        <v/>
      </c>
    </row>
    <row r="8266">
      <c r="A8266">
        <f>IFERROR(INDEX('Email Cleaner'!$B$2:$B$10001,MATCH(8265,'Email Cleaner'!$J$2:$J$10001,0)),"")</f>
        <v/>
      </c>
    </row>
    <row r="8267">
      <c r="A8267">
        <f>IFERROR(INDEX('Email Cleaner'!$B$2:$B$10001,MATCH(8266,'Email Cleaner'!$J$2:$J$10001,0)),"")</f>
        <v/>
      </c>
    </row>
    <row r="8268">
      <c r="A8268">
        <f>IFERROR(INDEX('Email Cleaner'!$B$2:$B$10001,MATCH(8267,'Email Cleaner'!$J$2:$J$10001,0)),"")</f>
        <v/>
      </c>
    </row>
    <row r="8269">
      <c r="A8269">
        <f>IFERROR(INDEX('Email Cleaner'!$B$2:$B$10001,MATCH(8268,'Email Cleaner'!$J$2:$J$10001,0)),"")</f>
        <v/>
      </c>
    </row>
    <row r="8270">
      <c r="A8270">
        <f>IFERROR(INDEX('Email Cleaner'!$B$2:$B$10001,MATCH(8269,'Email Cleaner'!$J$2:$J$10001,0)),"")</f>
        <v/>
      </c>
    </row>
    <row r="8271">
      <c r="A8271">
        <f>IFERROR(INDEX('Email Cleaner'!$B$2:$B$10001,MATCH(8270,'Email Cleaner'!$J$2:$J$10001,0)),"")</f>
        <v/>
      </c>
    </row>
    <row r="8272">
      <c r="A8272">
        <f>IFERROR(INDEX('Email Cleaner'!$B$2:$B$10001,MATCH(8271,'Email Cleaner'!$J$2:$J$10001,0)),"")</f>
        <v/>
      </c>
    </row>
    <row r="8273">
      <c r="A8273">
        <f>IFERROR(INDEX('Email Cleaner'!$B$2:$B$10001,MATCH(8272,'Email Cleaner'!$J$2:$J$10001,0)),"")</f>
        <v/>
      </c>
    </row>
    <row r="8274">
      <c r="A8274">
        <f>IFERROR(INDEX('Email Cleaner'!$B$2:$B$10001,MATCH(8273,'Email Cleaner'!$J$2:$J$10001,0)),"")</f>
        <v/>
      </c>
    </row>
    <row r="8275">
      <c r="A8275">
        <f>IFERROR(INDEX('Email Cleaner'!$B$2:$B$10001,MATCH(8274,'Email Cleaner'!$J$2:$J$10001,0)),"")</f>
        <v/>
      </c>
    </row>
    <row r="8276">
      <c r="A8276">
        <f>IFERROR(INDEX('Email Cleaner'!$B$2:$B$10001,MATCH(8275,'Email Cleaner'!$J$2:$J$10001,0)),"")</f>
        <v/>
      </c>
    </row>
    <row r="8277">
      <c r="A8277">
        <f>IFERROR(INDEX('Email Cleaner'!$B$2:$B$10001,MATCH(8276,'Email Cleaner'!$J$2:$J$10001,0)),"")</f>
        <v/>
      </c>
    </row>
    <row r="8278">
      <c r="A8278">
        <f>IFERROR(INDEX('Email Cleaner'!$B$2:$B$10001,MATCH(8277,'Email Cleaner'!$J$2:$J$10001,0)),"")</f>
        <v/>
      </c>
    </row>
    <row r="8279">
      <c r="A8279">
        <f>IFERROR(INDEX('Email Cleaner'!$B$2:$B$10001,MATCH(8278,'Email Cleaner'!$J$2:$J$10001,0)),"")</f>
        <v/>
      </c>
    </row>
    <row r="8280">
      <c r="A8280">
        <f>IFERROR(INDEX('Email Cleaner'!$B$2:$B$10001,MATCH(8279,'Email Cleaner'!$J$2:$J$10001,0)),"")</f>
        <v/>
      </c>
    </row>
    <row r="8281">
      <c r="A8281">
        <f>IFERROR(INDEX('Email Cleaner'!$B$2:$B$10001,MATCH(8280,'Email Cleaner'!$J$2:$J$10001,0)),"")</f>
        <v/>
      </c>
    </row>
    <row r="8282">
      <c r="A8282">
        <f>IFERROR(INDEX('Email Cleaner'!$B$2:$B$10001,MATCH(8281,'Email Cleaner'!$J$2:$J$10001,0)),"")</f>
        <v/>
      </c>
    </row>
    <row r="8283">
      <c r="A8283">
        <f>IFERROR(INDEX('Email Cleaner'!$B$2:$B$10001,MATCH(8282,'Email Cleaner'!$J$2:$J$10001,0)),"")</f>
        <v/>
      </c>
    </row>
    <row r="8284">
      <c r="A8284">
        <f>IFERROR(INDEX('Email Cleaner'!$B$2:$B$10001,MATCH(8283,'Email Cleaner'!$J$2:$J$10001,0)),"")</f>
        <v/>
      </c>
    </row>
    <row r="8285">
      <c r="A8285">
        <f>IFERROR(INDEX('Email Cleaner'!$B$2:$B$10001,MATCH(8284,'Email Cleaner'!$J$2:$J$10001,0)),"")</f>
        <v/>
      </c>
    </row>
    <row r="8286">
      <c r="A8286">
        <f>IFERROR(INDEX('Email Cleaner'!$B$2:$B$10001,MATCH(8285,'Email Cleaner'!$J$2:$J$10001,0)),"")</f>
        <v/>
      </c>
    </row>
    <row r="8287">
      <c r="A8287">
        <f>IFERROR(INDEX('Email Cleaner'!$B$2:$B$10001,MATCH(8286,'Email Cleaner'!$J$2:$J$10001,0)),"")</f>
        <v/>
      </c>
    </row>
    <row r="8288">
      <c r="A8288">
        <f>IFERROR(INDEX('Email Cleaner'!$B$2:$B$10001,MATCH(8287,'Email Cleaner'!$J$2:$J$10001,0)),"")</f>
        <v/>
      </c>
    </row>
    <row r="8289">
      <c r="A8289">
        <f>IFERROR(INDEX('Email Cleaner'!$B$2:$B$10001,MATCH(8288,'Email Cleaner'!$J$2:$J$10001,0)),"")</f>
        <v/>
      </c>
    </row>
    <row r="8290">
      <c r="A8290">
        <f>IFERROR(INDEX('Email Cleaner'!$B$2:$B$10001,MATCH(8289,'Email Cleaner'!$J$2:$J$10001,0)),"")</f>
        <v/>
      </c>
    </row>
    <row r="8291">
      <c r="A8291">
        <f>IFERROR(INDEX('Email Cleaner'!$B$2:$B$10001,MATCH(8290,'Email Cleaner'!$J$2:$J$10001,0)),"")</f>
        <v/>
      </c>
    </row>
    <row r="8292">
      <c r="A8292">
        <f>IFERROR(INDEX('Email Cleaner'!$B$2:$B$10001,MATCH(8291,'Email Cleaner'!$J$2:$J$10001,0)),"")</f>
        <v/>
      </c>
    </row>
    <row r="8293">
      <c r="A8293">
        <f>IFERROR(INDEX('Email Cleaner'!$B$2:$B$10001,MATCH(8292,'Email Cleaner'!$J$2:$J$10001,0)),"")</f>
        <v/>
      </c>
    </row>
    <row r="8294">
      <c r="A8294">
        <f>IFERROR(INDEX('Email Cleaner'!$B$2:$B$10001,MATCH(8293,'Email Cleaner'!$J$2:$J$10001,0)),"")</f>
        <v/>
      </c>
    </row>
    <row r="8295">
      <c r="A8295">
        <f>IFERROR(INDEX('Email Cleaner'!$B$2:$B$10001,MATCH(8294,'Email Cleaner'!$J$2:$J$10001,0)),"")</f>
        <v/>
      </c>
    </row>
    <row r="8296">
      <c r="A8296">
        <f>IFERROR(INDEX('Email Cleaner'!$B$2:$B$10001,MATCH(8295,'Email Cleaner'!$J$2:$J$10001,0)),"")</f>
        <v/>
      </c>
    </row>
    <row r="8297">
      <c r="A8297">
        <f>IFERROR(INDEX('Email Cleaner'!$B$2:$B$10001,MATCH(8296,'Email Cleaner'!$J$2:$J$10001,0)),"")</f>
        <v/>
      </c>
    </row>
    <row r="8298">
      <c r="A8298">
        <f>IFERROR(INDEX('Email Cleaner'!$B$2:$B$10001,MATCH(8297,'Email Cleaner'!$J$2:$J$10001,0)),"")</f>
        <v/>
      </c>
    </row>
    <row r="8299">
      <c r="A8299">
        <f>IFERROR(INDEX('Email Cleaner'!$B$2:$B$10001,MATCH(8298,'Email Cleaner'!$J$2:$J$10001,0)),"")</f>
        <v/>
      </c>
    </row>
    <row r="8300">
      <c r="A8300">
        <f>IFERROR(INDEX('Email Cleaner'!$B$2:$B$10001,MATCH(8299,'Email Cleaner'!$J$2:$J$10001,0)),"")</f>
        <v/>
      </c>
    </row>
    <row r="8301">
      <c r="A8301">
        <f>IFERROR(INDEX('Email Cleaner'!$B$2:$B$10001,MATCH(8300,'Email Cleaner'!$J$2:$J$10001,0)),"")</f>
        <v/>
      </c>
    </row>
    <row r="8302">
      <c r="A8302">
        <f>IFERROR(INDEX('Email Cleaner'!$B$2:$B$10001,MATCH(8301,'Email Cleaner'!$J$2:$J$10001,0)),"")</f>
        <v/>
      </c>
    </row>
    <row r="8303">
      <c r="A8303">
        <f>IFERROR(INDEX('Email Cleaner'!$B$2:$B$10001,MATCH(8302,'Email Cleaner'!$J$2:$J$10001,0)),"")</f>
        <v/>
      </c>
    </row>
    <row r="8304">
      <c r="A8304">
        <f>IFERROR(INDEX('Email Cleaner'!$B$2:$B$10001,MATCH(8303,'Email Cleaner'!$J$2:$J$10001,0)),"")</f>
        <v/>
      </c>
    </row>
    <row r="8305">
      <c r="A8305">
        <f>IFERROR(INDEX('Email Cleaner'!$B$2:$B$10001,MATCH(8304,'Email Cleaner'!$J$2:$J$10001,0)),"")</f>
        <v/>
      </c>
    </row>
    <row r="8306">
      <c r="A8306">
        <f>IFERROR(INDEX('Email Cleaner'!$B$2:$B$10001,MATCH(8305,'Email Cleaner'!$J$2:$J$10001,0)),"")</f>
        <v/>
      </c>
    </row>
    <row r="8307">
      <c r="A8307">
        <f>IFERROR(INDEX('Email Cleaner'!$B$2:$B$10001,MATCH(8306,'Email Cleaner'!$J$2:$J$10001,0)),"")</f>
        <v/>
      </c>
    </row>
    <row r="8308">
      <c r="A8308">
        <f>IFERROR(INDEX('Email Cleaner'!$B$2:$B$10001,MATCH(8307,'Email Cleaner'!$J$2:$J$10001,0)),"")</f>
        <v/>
      </c>
    </row>
    <row r="8309">
      <c r="A8309">
        <f>IFERROR(INDEX('Email Cleaner'!$B$2:$B$10001,MATCH(8308,'Email Cleaner'!$J$2:$J$10001,0)),"")</f>
        <v/>
      </c>
    </row>
    <row r="8310">
      <c r="A8310">
        <f>IFERROR(INDEX('Email Cleaner'!$B$2:$B$10001,MATCH(8309,'Email Cleaner'!$J$2:$J$10001,0)),"")</f>
        <v/>
      </c>
    </row>
    <row r="8311">
      <c r="A8311">
        <f>IFERROR(INDEX('Email Cleaner'!$B$2:$B$10001,MATCH(8310,'Email Cleaner'!$J$2:$J$10001,0)),"")</f>
        <v/>
      </c>
    </row>
    <row r="8312">
      <c r="A8312">
        <f>IFERROR(INDEX('Email Cleaner'!$B$2:$B$10001,MATCH(8311,'Email Cleaner'!$J$2:$J$10001,0)),"")</f>
        <v/>
      </c>
    </row>
    <row r="8313">
      <c r="A8313">
        <f>IFERROR(INDEX('Email Cleaner'!$B$2:$B$10001,MATCH(8312,'Email Cleaner'!$J$2:$J$10001,0)),"")</f>
        <v/>
      </c>
    </row>
    <row r="8314">
      <c r="A8314">
        <f>IFERROR(INDEX('Email Cleaner'!$B$2:$B$10001,MATCH(8313,'Email Cleaner'!$J$2:$J$10001,0)),"")</f>
        <v/>
      </c>
    </row>
    <row r="8315">
      <c r="A8315">
        <f>IFERROR(INDEX('Email Cleaner'!$B$2:$B$10001,MATCH(8314,'Email Cleaner'!$J$2:$J$10001,0)),"")</f>
        <v/>
      </c>
    </row>
    <row r="8316">
      <c r="A8316">
        <f>IFERROR(INDEX('Email Cleaner'!$B$2:$B$10001,MATCH(8315,'Email Cleaner'!$J$2:$J$10001,0)),"")</f>
        <v/>
      </c>
    </row>
    <row r="8317">
      <c r="A8317">
        <f>IFERROR(INDEX('Email Cleaner'!$B$2:$B$10001,MATCH(8316,'Email Cleaner'!$J$2:$J$10001,0)),"")</f>
        <v/>
      </c>
    </row>
    <row r="8318">
      <c r="A8318">
        <f>IFERROR(INDEX('Email Cleaner'!$B$2:$B$10001,MATCH(8317,'Email Cleaner'!$J$2:$J$10001,0)),"")</f>
        <v/>
      </c>
    </row>
    <row r="8319">
      <c r="A8319">
        <f>IFERROR(INDEX('Email Cleaner'!$B$2:$B$10001,MATCH(8318,'Email Cleaner'!$J$2:$J$10001,0)),"")</f>
        <v/>
      </c>
    </row>
    <row r="8320">
      <c r="A8320">
        <f>IFERROR(INDEX('Email Cleaner'!$B$2:$B$10001,MATCH(8319,'Email Cleaner'!$J$2:$J$10001,0)),"")</f>
        <v/>
      </c>
    </row>
    <row r="8321">
      <c r="A8321">
        <f>IFERROR(INDEX('Email Cleaner'!$B$2:$B$10001,MATCH(8320,'Email Cleaner'!$J$2:$J$10001,0)),"")</f>
        <v/>
      </c>
    </row>
    <row r="8322">
      <c r="A8322">
        <f>IFERROR(INDEX('Email Cleaner'!$B$2:$B$10001,MATCH(8321,'Email Cleaner'!$J$2:$J$10001,0)),"")</f>
        <v/>
      </c>
    </row>
    <row r="8323">
      <c r="A8323">
        <f>IFERROR(INDEX('Email Cleaner'!$B$2:$B$10001,MATCH(8322,'Email Cleaner'!$J$2:$J$10001,0)),"")</f>
        <v/>
      </c>
    </row>
    <row r="8324">
      <c r="A8324">
        <f>IFERROR(INDEX('Email Cleaner'!$B$2:$B$10001,MATCH(8323,'Email Cleaner'!$J$2:$J$10001,0)),"")</f>
        <v/>
      </c>
    </row>
    <row r="8325">
      <c r="A8325">
        <f>IFERROR(INDEX('Email Cleaner'!$B$2:$B$10001,MATCH(8324,'Email Cleaner'!$J$2:$J$10001,0)),"")</f>
        <v/>
      </c>
    </row>
    <row r="8326">
      <c r="A8326">
        <f>IFERROR(INDEX('Email Cleaner'!$B$2:$B$10001,MATCH(8325,'Email Cleaner'!$J$2:$J$10001,0)),"")</f>
        <v/>
      </c>
    </row>
    <row r="8327">
      <c r="A8327">
        <f>IFERROR(INDEX('Email Cleaner'!$B$2:$B$10001,MATCH(8326,'Email Cleaner'!$J$2:$J$10001,0)),"")</f>
        <v/>
      </c>
    </row>
    <row r="8328">
      <c r="A8328">
        <f>IFERROR(INDEX('Email Cleaner'!$B$2:$B$10001,MATCH(8327,'Email Cleaner'!$J$2:$J$10001,0)),"")</f>
        <v/>
      </c>
    </row>
    <row r="8329">
      <c r="A8329">
        <f>IFERROR(INDEX('Email Cleaner'!$B$2:$B$10001,MATCH(8328,'Email Cleaner'!$J$2:$J$10001,0)),"")</f>
        <v/>
      </c>
    </row>
    <row r="8330">
      <c r="A8330">
        <f>IFERROR(INDEX('Email Cleaner'!$B$2:$B$10001,MATCH(8329,'Email Cleaner'!$J$2:$J$10001,0)),"")</f>
        <v/>
      </c>
    </row>
    <row r="8331">
      <c r="A8331">
        <f>IFERROR(INDEX('Email Cleaner'!$B$2:$B$10001,MATCH(8330,'Email Cleaner'!$J$2:$J$10001,0)),"")</f>
        <v/>
      </c>
    </row>
    <row r="8332">
      <c r="A8332">
        <f>IFERROR(INDEX('Email Cleaner'!$B$2:$B$10001,MATCH(8331,'Email Cleaner'!$J$2:$J$10001,0)),"")</f>
        <v/>
      </c>
    </row>
    <row r="8333">
      <c r="A8333">
        <f>IFERROR(INDEX('Email Cleaner'!$B$2:$B$10001,MATCH(8332,'Email Cleaner'!$J$2:$J$10001,0)),"")</f>
        <v/>
      </c>
    </row>
    <row r="8334">
      <c r="A8334">
        <f>IFERROR(INDEX('Email Cleaner'!$B$2:$B$10001,MATCH(8333,'Email Cleaner'!$J$2:$J$10001,0)),"")</f>
        <v/>
      </c>
    </row>
    <row r="8335">
      <c r="A8335">
        <f>IFERROR(INDEX('Email Cleaner'!$B$2:$B$10001,MATCH(8334,'Email Cleaner'!$J$2:$J$10001,0)),"")</f>
        <v/>
      </c>
    </row>
    <row r="8336">
      <c r="A8336">
        <f>IFERROR(INDEX('Email Cleaner'!$B$2:$B$10001,MATCH(8335,'Email Cleaner'!$J$2:$J$10001,0)),"")</f>
        <v/>
      </c>
    </row>
    <row r="8337">
      <c r="A8337">
        <f>IFERROR(INDEX('Email Cleaner'!$B$2:$B$10001,MATCH(8336,'Email Cleaner'!$J$2:$J$10001,0)),"")</f>
        <v/>
      </c>
    </row>
    <row r="8338">
      <c r="A8338">
        <f>IFERROR(INDEX('Email Cleaner'!$B$2:$B$10001,MATCH(8337,'Email Cleaner'!$J$2:$J$10001,0)),"")</f>
        <v/>
      </c>
    </row>
    <row r="8339">
      <c r="A8339">
        <f>IFERROR(INDEX('Email Cleaner'!$B$2:$B$10001,MATCH(8338,'Email Cleaner'!$J$2:$J$10001,0)),"")</f>
        <v/>
      </c>
    </row>
    <row r="8340">
      <c r="A8340">
        <f>IFERROR(INDEX('Email Cleaner'!$B$2:$B$10001,MATCH(8339,'Email Cleaner'!$J$2:$J$10001,0)),"")</f>
        <v/>
      </c>
    </row>
    <row r="8341">
      <c r="A8341">
        <f>IFERROR(INDEX('Email Cleaner'!$B$2:$B$10001,MATCH(8340,'Email Cleaner'!$J$2:$J$10001,0)),"")</f>
        <v/>
      </c>
    </row>
    <row r="8342">
      <c r="A8342">
        <f>IFERROR(INDEX('Email Cleaner'!$B$2:$B$10001,MATCH(8341,'Email Cleaner'!$J$2:$J$10001,0)),"")</f>
        <v/>
      </c>
    </row>
    <row r="8343">
      <c r="A8343">
        <f>IFERROR(INDEX('Email Cleaner'!$B$2:$B$10001,MATCH(8342,'Email Cleaner'!$J$2:$J$10001,0)),"")</f>
        <v/>
      </c>
    </row>
    <row r="8344">
      <c r="A8344">
        <f>IFERROR(INDEX('Email Cleaner'!$B$2:$B$10001,MATCH(8343,'Email Cleaner'!$J$2:$J$10001,0)),"")</f>
        <v/>
      </c>
    </row>
    <row r="8345">
      <c r="A8345">
        <f>IFERROR(INDEX('Email Cleaner'!$B$2:$B$10001,MATCH(8344,'Email Cleaner'!$J$2:$J$10001,0)),"")</f>
        <v/>
      </c>
    </row>
    <row r="8346">
      <c r="A8346">
        <f>IFERROR(INDEX('Email Cleaner'!$B$2:$B$10001,MATCH(8345,'Email Cleaner'!$J$2:$J$10001,0)),"")</f>
        <v/>
      </c>
    </row>
    <row r="8347">
      <c r="A8347">
        <f>IFERROR(INDEX('Email Cleaner'!$B$2:$B$10001,MATCH(8346,'Email Cleaner'!$J$2:$J$10001,0)),"")</f>
        <v/>
      </c>
    </row>
    <row r="8348">
      <c r="A8348">
        <f>IFERROR(INDEX('Email Cleaner'!$B$2:$B$10001,MATCH(8347,'Email Cleaner'!$J$2:$J$10001,0)),"")</f>
        <v/>
      </c>
    </row>
    <row r="8349">
      <c r="A8349">
        <f>IFERROR(INDEX('Email Cleaner'!$B$2:$B$10001,MATCH(8348,'Email Cleaner'!$J$2:$J$10001,0)),"")</f>
        <v/>
      </c>
    </row>
    <row r="8350">
      <c r="A8350">
        <f>IFERROR(INDEX('Email Cleaner'!$B$2:$B$10001,MATCH(8349,'Email Cleaner'!$J$2:$J$10001,0)),"")</f>
        <v/>
      </c>
    </row>
    <row r="8351">
      <c r="A8351">
        <f>IFERROR(INDEX('Email Cleaner'!$B$2:$B$10001,MATCH(8350,'Email Cleaner'!$J$2:$J$10001,0)),"")</f>
        <v/>
      </c>
    </row>
    <row r="8352">
      <c r="A8352">
        <f>IFERROR(INDEX('Email Cleaner'!$B$2:$B$10001,MATCH(8351,'Email Cleaner'!$J$2:$J$10001,0)),"")</f>
        <v/>
      </c>
    </row>
    <row r="8353">
      <c r="A8353">
        <f>IFERROR(INDEX('Email Cleaner'!$B$2:$B$10001,MATCH(8352,'Email Cleaner'!$J$2:$J$10001,0)),"")</f>
        <v/>
      </c>
    </row>
    <row r="8354">
      <c r="A8354">
        <f>IFERROR(INDEX('Email Cleaner'!$B$2:$B$10001,MATCH(8353,'Email Cleaner'!$J$2:$J$10001,0)),"")</f>
        <v/>
      </c>
    </row>
    <row r="8355">
      <c r="A8355">
        <f>IFERROR(INDEX('Email Cleaner'!$B$2:$B$10001,MATCH(8354,'Email Cleaner'!$J$2:$J$10001,0)),"")</f>
        <v/>
      </c>
    </row>
    <row r="8356">
      <c r="A8356">
        <f>IFERROR(INDEX('Email Cleaner'!$B$2:$B$10001,MATCH(8355,'Email Cleaner'!$J$2:$J$10001,0)),"")</f>
        <v/>
      </c>
    </row>
    <row r="8357">
      <c r="A8357">
        <f>IFERROR(INDEX('Email Cleaner'!$B$2:$B$10001,MATCH(8356,'Email Cleaner'!$J$2:$J$10001,0)),"")</f>
        <v/>
      </c>
    </row>
    <row r="8358">
      <c r="A8358">
        <f>IFERROR(INDEX('Email Cleaner'!$B$2:$B$10001,MATCH(8357,'Email Cleaner'!$J$2:$J$10001,0)),"")</f>
        <v/>
      </c>
    </row>
    <row r="8359">
      <c r="A8359">
        <f>IFERROR(INDEX('Email Cleaner'!$B$2:$B$10001,MATCH(8358,'Email Cleaner'!$J$2:$J$10001,0)),"")</f>
        <v/>
      </c>
    </row>
    <row r="8360">
      <c r="A8360">
        <f>IFERROR(INDEX('Email Cleaner'!$B$2:$B$10001,MATCH(8359,'Email Cleaner'!$J$2:$J$10001,0)),"")</f>
        <v/>
      </c>
    </row>
    <row r="8361">
      <c r="A8361">
        <f>IFERROR(INDEX('Email Cleaner'!$B$2:$B$10001,MATCH(8360,'Email Cleaner'!$J$2:$J$10001,0)),"")</f>
        <v/>
      </c>
    </row>
    <row r="8362">
      <c r="A8362">
        <f>IFERROR(INDEX('Email Cleaner'!$B$2:$B$10001,MATCH(8361,'Email Cleaner'!$J$2:$J$10001,0)),"")</f>
        <v/>
      </c>
    </row>
    <row r="8363">
      <c r="A8363">
        <f>IFERROR(INDEX('Email Cleaner'!$B$2:$B$10001,MATCH(8362,'Email Cleaner'!$J$2:$J$10001,0)),"")</f>
        <v/>
      </c>
    </row>
    <row r="8364">
      <c r="A8364">
        <f>IFERROR(INDEX('Email Cleaner'!$B$2:$B$10001,MATCH(8363,'Email Cleaner'!$J$2:$J$10001,0)),"")</f>
        <v/>
      </c>
    </row>
    <row r="8365">
      <c r="A8365">
        <f>IFERROR(INDEX('Email Cleaner'!$B$2:$B$10001,MATCH(8364,'Email Cleaner'!$J$2:$J$10001,0)),"")</f>
        <v/>
      </c>
    </row>
    <row r="8366">
      <c r="A8366">
        <f>IFERROR(INDEX('Email Cleaner'!$B$2:$B$10001,MATCH(8365,'Email Cleaner'!$J$2:$J$10001,0)),"")</f>
        <v/>
      </c>
    </row>
    <row r="8367">
      <c r="A8367">
        <f>IFERROR(INDEX('Email Cleaner'!$B$2:$B$10001,MATCH(8366,'Email Cleaner'!$J$2:$J$10001,0)),"")</f>
        <v/>
      </c>
    </row>
    <row r="8368">
      <c r="A8368">
        <f>IFERROR(INDEX('Email Cleaner'!$B$2:$B$10001,MATCH(8367,'Email Cleaner'!$J$2:$J$10001,0)),"")</f>
        <v/>
      </c>
    </row>
    <row r="8369">
      <c r="A8369">
        <f>IFERROR(INDEX('Email Cleaner'!$B$2:$B$10001,MATCH(8368,'Email Cleaner'!$J$2:$J$10001,0)),"")</f>
        <v/>
      </c>
    </row>
    <row r="8370">
      <c r="A8370">
        <f>IFERROR(INDEX('Email Cleaner'!$B$2:$B$10001,MATCH(8369,'Email Cleaner'!$J$2:$J$10001,0)),"")</f>
        <v/>
      </c>
    </row>
    <row r="8371">
      <c r="A8371">
        <f>IFERROR(INDEX('Email Cleaner'!$B$2:$B$10001,MATCH(8370,'Email Cleaner'!$J$2:$J$10001,0)),"")</f>
        <v/>
      </c>
    </row>
    <row r="8372">
      <c r="A8372">
        <f>IFERROR(INDEX('Email Cleaner'!$B$2:$B$10001,MATCH(8371,'Email Cleaner'!$J$2:$J$10001,0)),"")</f>
        <v/>
      </c>
    </row>
    <row r="8373">
      <c r="A8373">
        <f>IFERROR(INDEX('Email Cleaner'!$B$2:$B$10001,MATCH(8372,'Email Cleaner'!$J$2:$J$10001,0)),"")</f>
        <v/>
      </c>
    </row>
    <row r="8374">
      <c r="A8374">
        <f>IFERROR(INDEX('Email Cleaner'!$B$2:$B$10001,MATCH(8373,'Email Cleaner'!$J$2:$J$10001,0)),"")</f>
        <v/>
      </c>
    </row>
    <row r="8375">
      <c r="A8375">
        <f>IFERROR(INDEX('Email Cleaner'!$B$2:$B$10001,MATCH(8374,'Email Cleaner'!$J$2:$J$10001,0)),"")</f>
        <v/>
      </c>
    </row>
    <row r="8376">
      <c r="A8376">
        <f>IFERROR(INDEX('Email Cleaner'!$B$2:$B$10001,MATCH(8375,'Email Cleaner'!$J$2:$J$10001,0)),"")</f>
        <v/>
      </c>
    </row>
    <row r="8377">
      <c r="A8377">
        <f>IFERROR(INDEX('Email Cleaner'!$B$2:$B$10001,MATCH(8376,'Email Cleaner'!$J$2:$J$10001,0)),"")</f>
        <v/>
      </c>
    </row>
    <row r="8378">
      <c r="A8378">
        <f>IFERROR(INDEX('Email Cleaner'!$B$2:$B$10001,MATCH(8377,'Email Cleaner'!$J$2:$J$10001,0)),"")</f>
        <v/>
      </c>
    </row>
    <row r="8379">
      <c r="A8379">
        <f>IFERROR(INDEX('Email Cleaner'!$B$2:$B$10001,MATCH(8378,'Email Cleaner'!$J$2:$J$10001,0)),"")</f>
        <v/>
      </c>
    </row>
    <row r="8380">
      <c r="A8380">
        <f>IFERROR(INDEX('Email Cleaner'!$B$2:$B$10001,MATCH(8379,'Email Cleaner'!$J$2:$J$10001,0)),"")</f>
        <v/>
      </c>
    </row>
    <row r="8381">
      <c r="A8381">
        <f>IFERROR(INDEX('Email Cleaner'!$B$2:$B$10001,MATCH(8380,'Email Cleaner'!$J$2:$J$10001,0)),"")</f>
        <v/>
      </c>
    </row>
    <row r="8382">
      <c r="A8382">
        <f>IFERROR(INDEX('Email Cleaner'!$B$2:$B$10001,MATCH(8381,'Email Cleaner'!$J$2:$J$10001,0)),"")</f>
        <v/>
      </c>
    </row>
    <row r="8383">
      <c r="A8383">
        <f>IFERROR(INDEX('Email Cleaner'!$B$2:$B$10001,MATCH(8382,'Email Cleaner'!$J$2:$J$10001,0)),"")</f>
        <v/>
      </c>
    </row>
    <row r="8384">
      <c r="A8384">
        <f>IFERROR(INDEX('Email Cleaner'!$B$2:$B$10001,MATCH(8383,'Email Cleaner'!$J$2:$J$10001,0)),"")</f>
        <v/>
      </c>
    </row>
    <row r="8385">
      <c r="A8385">
        <f>IFERROR(INDEX('Email Cleaner'!$B$2:$B$10001,MATCH(8384,'Email Cleaner'!$J$2:$J$10001,0)),"")</f>
        <v/>
      </c>
    </row>
    <row r="8386">
      <c r="A8386">
        <f>IFERROR(INDEX('Email Cleaner'!$B$2:$B$10001,MATCH(8385,'Email Cleaner'!$J$2:$J$10001,0)),"")</f>
        <v/>
      </c>
    </row>
    <row r="8387">
      <c r="A8387">
        <f>IFERROR(INDEX('Email Cleaner'!$B$2:$B$10001,MATCH(8386,'Email Cleaner'!$J$2:$J$10001,0)),"")</f>
        <v/>
      </c>
    </row>
    <row r="8388">
      <c r="A8388">
        <f>IFERROR(INDEX('Email Cleaner'!$B$2:$B$10001,MATCH(8387,'Email Cleaner'!$J$2:$J$10001,0)),"")</f>
        <v/>
      </c>
    </row>
    <row r="8389">
      <c r="A8389">
        <f>IFERROR(INDEX('Email Cleaner'!$B$2:$B$10001,MATCH(8388,'Email Cleaner'!$J$2:$J$10001,0)),"")</f>
        <v/>
      </c>
    </row>
    <row r="8390">
      <c r="A8390">
        <f>IFERROR(INDEX('Email Cleaner'!$B$2:$B$10001,MATCH(8389,'Email Cleaner'!$J$2:$J$10001,0)),"")</f>
        <v/>
      </c>
    </row>
    <row r="8391">
      <c r="A8391">
        <f>IFERROR(INDEX('Email Cleaner'!$B$2:$B$10001,MATCH(8390,'Email Cleaner'!$J$2:$J$10001,0)),"")</f>
        <v/>
      </c>
    </row>
    <row r="8392">
      <c r="A8392">
        <f>IFERROR(INDEX('Email Cleaner'!$B$2:$B$10001,MATCH(8391,'Email Cleaner'!$J$2:$J$10001,0)),"")</f>
        <v/>
      </c>
    </row>
    <row r="8393">
      <c r="A8393">
        <f>IFERROR(INDEX('Email Cleaner'!$B$2:$B$10001,MATCH(8392,'Email Cleaner'!$J$2:$J$10001,0)),"")</f>
        <v/>
      </c>
    </row>
    <row r="8394">
      <c r="A8394">
        <f>IFERROR(INDEX('Email Cleaner'!$B$2:$B$10001,MATCH(8393,'Email Cleaner'!$J$2:$J$10001,0)),"")</f>
        <v/>
      </c>
    </row>
    <row r="8395">
      <c r="A8395">
        <f>IFERROR(INDEX('Email Cleaner'!$B$2:$B$10001,MATCH(8394,'Email Cleaner'!$J$2:$J$10001,0)),"")</f>
        <v/>
      </c>
    </row>
    <row r="8396">
      <c r="A8396">
        <f>IFERROR(INDEX('Email Cleaner'!$B$2:$B$10001,MATCH(8395,'Email Cleaner'!$J$2:$J$10001,0)),"")</f>
        <v/>
      </c>
    </row>
    <row r="8397">
      <c r="A8397">
        <f>IFERROR(INDEX('Email Cleaner'!$B$2:$B$10001,MATCH(8396,'Email Cleaner'!$J$2:$J$10001,0)),"")</f>
        <v/>
      </c>
    </row>
    <row r="8398">
      <c r="A8398">
        <f>IFERROR(INDEX('Email Cleaner'!$B$2:$B$10001,MATCH(8397,'Email Cleaner'!$J$2:$J$10001,0)),"")</f>
        <v/>
      </c>
    </row>
    <row r="8399">
      <c r="A8399">
        <f>IFERROR(INDEX('Email Cleaner'!$B$2:$B$10001,MATCH(8398,'Email Cleaner'!$J$2:$J$10001,0)),"")</f>
        <v/>
      </c>
    </row>
    <row r="8400">
      <c r="A8400">
        <f>IFERROR(INDEX('Email Cleaner'!$B$2:$B$10001,MATCH(8399,'Email Cleaner'!$J$2:$J$10001,0)),"")</f>
        <v/>
      </c>
    </row>
    <row r="8401">
      <c r="A8401">
        <f>IFERROR(INDEX('Email Cleaner'!$B$2:$B$10001,MATCH(8400,'Email Cleaner'!$J$2:$J$10001,0)),"")</f>
        <v/>
      </c>
    </row>
    <row r="8402">
      <c r="A8402">
        <f>IFERROR(INDEX('Email Cleaner'!$B$2:$B$10001,MATCH(8401,'Email Cleaner'!$J$2:$J$10001,0)),"")</f>
        <v/>
      </c>
    </row>
    <row r="8403">
      <c r="A8403">
        <f>IFERROR(INDEX('Email Cleaner'!$B$2:$B$10001,MATCH(8402,'Email Cleaner'!$J$2:$J$10001,0)),"")</f>
        <v/>
      </c>
    </row>
    <row r="8404">
      <c r="A8404">
        <f>IFERROR(INDEX('Email Cleaner'!$B$2:$B$10001,MATCH(8403,'Email Cleaner'!$J$2:$J$10001,0)),"")</f>
        <v/>
      </c>
    </row>
    <row r="8405">
      <c r="A8405">
        <f>IFERROR(INDEX('Email Cleaner'!$B$2:$B$10001,MATCH(8404,'Email Cleaner'!$J$2:$J$10001,0)),"")</f>
        <v/>
      </c>
    </row>
    <row r="8406">
      <c r="A8406">
        <f>IFERROR(INDEX('Email Cleaner'!$B$2:$B$10001,MATCH(8405,'Email Cleaner'!$J$2:$J$10001,0)),"")</f>
        <v/>
      </c>
    </row>
    <row r="8407">
      <c r="A8407">
        <f>IFERROR(INDEX('Email Cleaner'!$B$2:$B$10001,MATCH(8406,'Email Cleaner'!$J$2:$J$10001,0)),"")</f>
        <v/>
      </c>
    </row>
    <row r="8408">
      <c r="A8408">
        <f>IFERROR(INDEX('Email Cleaner'!$B$2:$B$10001,MATCH(8407,'Email Cleaner'!$J$2:$J$10001,0)),"")</f>
        <v/>
      </c>
    </row>
    <row r="8409">
      <c r="A8409">
        <f>IFERROR(INDEX('Email Cleaner'!$B$2:$B$10001,MATCH(8408,'Email Cleaner'!$J$2:$J$10001,0)),"")</f>
        <v/>
      </c>
    </row>
    <row r="8410">
      <c r="A8410">
        <f>IFERROR(INDEX('Email Cleaner'!$B$2:$B$10001,MATCH(8409,'Email Cleaner'!$J$2:$J$10001,0)),"")</f>
        <v/>
      </c>
    </row>
    <row r="8411">
      <c r="A8411">
        <f>IFERROR(INDEX('Email Cleaner'!$B$2:$B$10001,MATCH(8410,'Email Cleaner'!$J$2:$J$10001,0)),"")</f>
        <v/>
      </c>
    </row>
    <row r="8412">
      <c r="A8412">
        <f>IFERROR(INDEX('Email Cleaner'!$B$2:$B$10001,MATCH(8411,'Email Cleaner'!$J$2:$J$10001,0)),"")</f>
        <v/>
      </c>
    </row>
    <row r="8413">
      <c r="A8413">
        <f>IFERROR(INDEX('Email Cleaner'!$B$2:$B$10001,MATCH(8412,'Email Cleaner'!$J$2:$J$10001,0)),"")</f>
        <v/>
      </c>
    </row>
    <row r="8414">
      <c r="A8414">
        <f>IFERROR(INDEX('Email Cleaner'!$B$2:$B$10001,MATCH(8413,'Email Cleaner'!$J$2:$J$10001,0)),"")</f>
        <v/>
      </c>
    </row>
    <row r="8415">
      <c r="A8415">
        <f>IFERROR(INDEX('Email Cleaner'!$B$2:$B$10001,MATCH(8414,'Email Cleaner'!$J$2:$J$10001,0)),"")</f>
        <v/>
      </c>
    </row>
    <row r="8416">
      <c r="A8416">
        <f>IFERROR(INDEX('Email Cleaner'!$B$2:$B$10001,MATCH(8415,'Email Cleaner'!$J$2:$J$10001,0)),"")</f>
        <v/>
      </c>
    </row>
    <row r="8417">
      <c r="A8417">
        <f>IFERROR(INDEX('Email Cleaner'!$B$2:$B$10001,MATCH(8416,'Email Cleaner'!$J$2:$J$10001,0)),"")</f>
        <v/>
      </c>
    </row>
    <row r="8418">
      <c r="A8418">
        <f>IFERROR(INDEX('Email Cleaner'!$B$2:$B$10001,MATCH(8417,'Email Cleaner'!$J$2:$J$10001,0)),"")</f>
        <v/>
      </c>
    </row>
    <row r="8419">
      <c r="A8419">
        <f>IFERROR(INDEX('Email Cleaner'!$B$2:$B$10001,MATCH(8418,'Email Cleaner'!$J$2:$J$10001,0)),"")</f>
        <v/>
      </c>
    </row>
    <row r="8420">
      <c r="A8420">
        <f>IFERROR(INDEX('Email Cleaner'!$B$2:$B$10001,MATCH(8419,'Email Cleaner'!$J$2:$J$10001,0)),"")</f>
        <v/>
      </c>
    </row>
    <row r="8421">
      <c r="A8421">
        <f>IFERROR(INDEX('Email Cleaner'!$B$2:$B$10001,MATCH(8420,'Email Cleaner'!$J$2:$J$10001,0)),"")</f>
        <v/>
      </c>
    </row>
    <row r="8422">
      <c r="A8422">
        <f>IFERROR(INDEX('Email Cleaner'!$B$2:$B$10001,MATCH(8421,'Email Cleaner'!$J$2:$J$10001,0)),"")</f>
        <v/>
      </c>
    </row>
    <row r="8423">
      <c r="A8423">
        <f>IFERROR(INDEX('Email Cleaner'!$B$2:$B$10001,MATCH(8422,'Email Cleaner'!$J$2:$J$10001,0)),"")</f>
        <v/>
      </c>
    </row>
    <row r="8424">
      <c r="A8424">
        <f>IFERROR(INDEX('Email Cleaner'!$B$2:$B$10001,MATCH(8423,'Email Cleaner'!$J$2:$J$10001,0)),"")</f>
        <v/>
      </c>
    </row>
    <row r="8425">
      <c r="A8425">
        <f>IFERROR(INDEX('Email Cleaner'!$B$2:$B$10001,MATCH(8424,'Email Cleaner'!$J$2:$J$10001,0)),"")</f>
        <v/>
      </c>
    </row>
    <row r="8426">
      <c r="A8426">
        <f>IFERROR(INDEX('Email Cleaner'!$B$2:$B$10001,MATCH(8425,'Email Cleaner'!$J$2:$J$10001,0)),"")</f>
        <v/>
      </c>
    </row>
    <row r="8427">
      <c r="A8427">
        <f>IFERROR(INDEX('Email Cleaner'!$B$2:$B$10001,MATCH(8426,'Email Cleaner'!$J$2:$J$10001,0)),"")</f>
        <v/>
      </c>
    </row>
    <row r="8428">
      <c r="A8428">
        <f>IFERROR(INDEX('Email Cleaner'!$B$2:$B$10001,MATCH(8427,'Email Cleaner'!$J$2:$J$10001,0)),"")</f>
        <v/>
      </c>
    </row>
    <row r="8429">
      <c r="A8429">
        <f>IFERROR(INDEX('Email Cleaner'!$B$2:$B$10001,MATCH(8428,'Email Cleaner'!$J$2:$J$10001,0)),"")</f>
        <v/>
      </c>
    </row>
    <row r="8430">
      <c r="A8430">
        <f>IFERROR(INDEX('Email Cleaner'!$B$2:$B$10001,MATCH(8429,'Email Cleaner'!$J$2:$J$10001,0)),"")</f>
        <v/>
      </c>
    </row>
    <row r="8431">
      <c r="A8431">
        <f>IFERROR(INDEX('Email Cleaner'!$B$2:$B$10001,MATCH(8430,'Email Cleaner'!$J$2:$J$10001,0)),"")</f>
        <v/>
      </c>
    </row>
    <row r="8432">
      <c r="A8432">
        <f>IFERROR(INDEX('Email Cleaner'!$B$2:$B$10001,MATCH(8431,'Email Cleaner'!$J$2:$J$10001,0)),"")</f>
        <v/>
      </c>
    </row>
    <row r="8433">
      <c r="A8433">
        <f>IFERROR(INDEX('Email Cleaner'!$B$2:$B$10001,MATCH(8432,'Email Cleaner'!$J$2:$J$10001,0)),"")</f>
        <v/>
      </c>
    </row>
    <row r="8434">
      <c r="A8434">
        <f>IFERROR(INDEX('Email Cleaner'!$B$2:$B$10001,MATCH(8433,'Email Cleaner'!$J$2:$J$10001,0)),"")</f>
        <v/>
      </c>
    </row>
    <row r="8435">
      <c r="A8435">
        <f>IFERROR(INDEX('Email Cleaner'!$B$2:$B$10001,MATCH(8434,'Email Cleaner'!$J$2:$J$10001,0)),"")</f>
        <v/>
      </c>
    </row>
    <row r="8436">
      <c r="A8436">
        <f>IFERROR(INDEX('Email Cleaner'!$B$2:$B$10001,MATCH(8435,'Email Cleaner'!$J$2:$J$10001,0)),"")</f>
        <v/>
      </c>
    </row>
    <row r="8437">
      <c r="A8437">
        <f>IFERROR(INDEX('Email Cleaner'!$B$2:$B$10001,MATCH(8436,'Email Cleaner'!$J$2:$J$10001,0)),"")</f>
        <v/>
      </c>
    </row>
    <row r="8438">
      <c r="A8438">
        <f>IFERROR(INDEX('Email Cleaner'!$B$2:$B$10001,MATCH(8437,'Email Cleaner'!$J$2:$J$10001,0)),"")</f>
        <v/>
      </c>
    </row>
    <row r="8439">
      <c r="A8439">
        <f>IFERROR(INDEX('Email Cleaner'!$B$2:$B$10001,MATCH(8438,'Email Cleaner'!$J$2:$J$10001,0)),"")</f>
        <v/>
      </c>
    </row>
    <row r="8440">
      <c r="A8440">
        <f>IFERROR(INDEX('Email Cleaner'!$B$2:$B$10001,MATCH(8439,'Email Cleaner'!$J$2:$J$10001,0)),"")</f>
        <v/>
      </c>
    </row>
    <row r="8441">
      <c r="A8441">
        <f>IFERROR(INDEX('Email Cleaner'!$B$2:$B$10001,MATCH(8440,'Email Cleaner'!$J$2:$J$10001,0)),"")</f>
        <v/>
      </c>
    </row>
    <row r="8442">
      <c r="A8442">
        <f>IFERROR(INDEX('Email Cleaner'!$B$2:$B$10001,MATCH(8441,'Email Cleaner'!$J$2:$J$10001,0)),"")</f>
        <v/>
      </c>
    </row>
    <row r="8443">
      <c r="A8443">
        <f>IFERROR(INDEX('Email Cleaner'!$B$2:$B$10001,MATCH(8442,'Email Cleaner'!$J$2:$J$10001,0)),"")</f>
        <v/>
      </c>
    </row>
    <row r="8444">
      <c r="A8444">
        <f>IFERROR(INDEX('Email Cleaner'!$B$2:$B$10001,MATCH(8443,'Email Cleaner'!$J$2:$J$10001,0)),"")</f>
        <v/>
      </c>
    </row>
    <row r="8445">
      <c r="A8445">
        <f>IFERROR(INDEX('Email Cleaner'!$B$2:$B$10001,MATCH(8444,'Email Cleaner'!$J$2:$J$10001,0)),"")</f>
        <v/>
      </c>
    </row>
    <row r="8446">
      <c r="A8446">
        <f>IFERROR(INDEX('Email Cleaner'!$B$2:$B$10001,MATCH(8445,'Email Cleaner'!$J$2:$J$10001,0)),"")</f>
        <v/>
      </c>
    </row>
    <row r="8447">
      <c r="A8447">
        <f>IFERROR(INDEX('Email Cleaner'!$B$2:$B$10001,MATCH(8446,'Email Cleaner'!$J$2:$J$10001,0)),"")</f>
        <v/>
      </c>
    </row>
    <row r="8448">
      <c r="A8448">
        <f>IFERROR(INDEX('Email Cleaner'!$B$2:$B$10001,MATCH(8447,'Email Cleaner'!$J$2:$J$10001,0)),"")</f>
        <v/>
      </c>
    </row>
    <row r="8449">
      <c r="A8449">
        <f>IFERROR(INDEX('Email Cleaner'!$B$2:$B$10001,MATCH(8448,'Email Cleaner'!$J$2:$J$10001,0)),"")</f>
        <v/>
      </c>
    </row>
    <row r="8450">
      <c r="A8450">
        <f>IFERROR(INDEX('Email Cleaner'!$B$2:$B$10001,MATCH(8449,'Email Cleaner'!$J$2:$J$10001,0)),"")</f>
        <v/>
      </c>
    </row>
    <row r="8451">
      <c r="A8451">
        <f>IFERROR(INDEX('Email Cleaner'!$B$2:$B$10001,MATCH(8450,'Email Cleaner'!$J$2:$J$10001,0)),"")</f>
        <v/>
      </c>
    </row>
    <row r="8452">
      <c r="A8452">
        <f>IFERROR(INDEX('Email Cleaner'!$B$2:$B$10001,MATCH(8451,'Email Cleaner'!$J$2:$J$10001,0)),"")</f>
        <v/>
      </c>
    </row>
    <row r="8453">
      <c r="A8453">
        <f>IFERROR(INDEX('Email Cleaner'!$B$2:$B$10001,MATCH(8452,'Email Cleaner'!$J$2:$J$10001,0)),"")</f>
        <v/>
      </c>
    </row>
    <row r="8454">
      <c r="A8454">
        <f>IFERROR(INDEX('Email Cleaner'!$B$2:$B$10001,MATCH(8453,'Email Cleaner'!$J$2:$J$10001,0)),"")</f>
        <v/>
      </c>
    </row>
    <row r="8455">
      <c r="A8455">
        <f>IFERROR(INDEX('Email Cleaner'!$B$2:$B$10001,MATCH(8454,'Email Cleaner'!$J$2:$J$10001,0)),"")</f>
        <v/>
      </c>
    </row>
    <row r="8456">
      <c r="A8456">
        <f>IFERROR(INDEX('Email Cleaner'!$B$2:$B$10001,MATCH(8455,'Email Cleaner'!$J$2:$J$10001,0)),"")</f>
        <v/>
      </c>
    </row>
    <row r="8457">
      <c r="A8457">
        <f>IFERROR(INDEX('Email Cleaner'!$B$2:$B$10001,MATCH(8456,'Email Cleaner'!$J$2:$J$10001,0)),"")</f>
        <v/>
      </c>
    </row>
    <row r="8458">
      <c r="A8458">
        <f>IFERROR(INDEX('Email Cleaner'!$B$2:$B$10001,MATCH(8457,'Email Cleaner'!$J$2:$J$10001,0)),"")</f>
        <v/>
      </c>
    </row>
    <row r="8459">
      <c r="A8459">
        <f>IFERROR(INDEX('Email Cleaner'!$B$2:$B$10001,MATCH(8458,'Email Cleaner'!$J$2:$J$10001,0)),"")</f>
        <v/>
      </c>
    </row>
    <row r="8460">
      <c r="A8460">
        <f>IFERROR(INDEX('Email Cleaner'!$B$2:$B$10001,MATCH(8459,'Email Cleaner'!$J$2:$J$10001,0)),"")</f>
        <v/>
      </c>
    </row>
    <row r="8461">
      <c r="A8461">
        <f>IFERROR(INDEX('Email Cleaner'!$B$2:$B$10001,MATCH(8460,'Email Cleaner'!$J$2:$J$10001,0)),"")</f>
        <v/>
      </c>
    </row>
    <row r="8462">
      <c r="A8462">
        <f>IFERROR(INDEX('Email Cleaner'!$B$2:$B$10001,MATCH(8461,'Email Cleaner'!$J$2:$J$10001,0)),"")</f>
        <v/>
      </c>
    </row>
    <row r="8463">
      <c r="A8463">
        <f>IFERROR(INDEX('Email Cleaner'!$B$2:$B$10001,MATCH(8462,'Email Cleaner'!$J$2:$J$10001,0)),"")</f>
        <v/>
      </c>
    </row>
    <row r="8464">
      <c r="A8464">
        <f>IFERROR(INDEX('Email Cleaner'!$B$2:$B$10001,MATCH(8463,'Email Cleaner'!$J$2:$J$10001,0)),"")</f>
        <v/>
      </c>
    </row>
    <row r="8465">
      <c r="A8465">
        <f>IFERROR(INDEX('Email Cleaner'!$B$2:$B$10001,MATCH(8464,'Email Cleaner'!$J$2:$J$10001,0)),"")</f>
        <v/>
      </c>
    </row>
    <row r="8466">
      <c r="A8466">
        <f>IFERROR(INDEX('Email Cleaner'!$B$2:$B$10001,MATCH(8465,'Email Cleaner'!$J$2:$J$10001,0)),"")</f>
        <v/>
      </c>
    </row>
    <row r="8467">
      <c r="A8467">
        <f>IFERROR(INDEX('Email Cleaner'!$B$2:$B$10001,MATCH(8466,'Email Cleaner'!$J$2:$J$10001,0)),"")</f>
        <v/>
      </c>
    </row>
    <row r="8468">
      <c r="A8468">
        <f>IFERROR(INDEX('Email Cleaner'!$B$2:$B$10001,MATCH(8467,'Email Cleaner'!$J$2:$J$10001,0)),"")</f>
        <v/>
      </c>
    </row>
    <row r="8469">
      <c r="A8469">
        <f>IFERROR(INDEX('Email Cleaner'!$B$2:$B$10001,MATCH(8468,'Email Cleaner'!$J$2:$J$10001,0)),"")</f>
        <v/>
      </c>
    </row>
    <row r="8470">
      <c r="A8470">
        <f>IFERROR(INDEX('Email Cleaner'!$B$2:$B$10001,MATCH(8469,'Email Cleaner'!$J$2:$J$10001,0)),"")</f>
        <v/>
      </c>
    </row>
    <row r="8471">
      <c r="A8471">
        <f>IFERROR(INDEX('Email Cleaner'!$B$2:$B$10001,MATCH(8470,'Email Cleaner'!$J$2:$J$10001,0)),"")</f>
        <v/>
      </c>
    </row>
    <row r="8472">
      <c r="A8472">
        <f>IFERROR(INDEX('Email Cleaner'!$B$2:$B$10001,MATCH(8471,'Email Cleaner'!$J$2:$J$10001,0)),"")</f>
        <v/>
      </c>
    </row>
    <row r="8473">
      <c r="A8473">
        <f>IFERROR(INDEX('Email Cleaner'!$B$2:$B$10001,MATCH(8472,'Email Cleaner'!$J$2:$J$10001,0)),"")</f>
        <v/>
      </c>
    </row>
    <row r="8474">
      <c r="A8474">
        <f>IFERROR(INDEX('Email Cleaner'!$B$2:$B$10001,MATCH(8473,'Email Cleaner'!$J$2:$J$10001,0)),"")</f>
        <v/>
      </c>
    </row>
    <row r="8475">
      <c r="A8475">
        <f>IFERROR(INDEX('Email Cleaner'!$B$2:$B$10001,MATCH(8474,'Email Cleaner'!$J$2:$J$10001,0)),"")</f>
        <v/>
      </c>
    </row>
    <row r="8476">
      <c r="A8476">
        <f>IFERROR(INDEX('Email Cleaner'!$B$2:$B$10001,MATCH(8475,'Email Cleaner'!$J$2:$J$10001,0)),"")</f>
        <v/>
      </c>
    </row>
    <row r="8477">
      <c r="A8477">
        <f>IFERROR(INDEX('Email Cleaner'!$B$2:$B$10001,MATCH(8476,'Email Cleaner'!$J$2:$J$10001,0)),"")</f>
        <v/>
      </c>
    </row>
    <row r="8478">
      <c r="A8478">
        <f>IFERROR(INDEX('Email Cleaner'!$B$2:$B$10001,MATCH(8477,'Email Cleaner'!$J$2:$J$10001,0)),"")</f>
        <v/>
      </c>
    </row>
    <row r="8479">
      <c r="A8479">
        <f>IFERROR(INDEX('Email Cleaner'!$B$2:$B$10001,MATCH(8478,'Email Cleaner'!$J$2:$J$10001,0)),"")</f>
        <v/>
      </c>
    </row>
    <row r="8480">
      <c r="A8480">
        <f>IFERROR(INDEX('Email Cleaner'!$B$2:$B$10001,MATCH(8479,'Email Cleaner'!$J$2:$J$10001,0)),"")</f>
        <v/>
      </c>
    </row>
    <row r="8481">
      <c r="A8481">
        <f>IFERROR(INDEX('Email Cleaner'!$B$2:$B$10001,MATCH(8480,'Email Cleaner'!$J$2:$J$10001,0)),"")</f>
        <v/>
      </c>
    </row>
    <row r="8482">
      <c r="A8482">
        <f>IFERROR(INDEX('Email Cleaner'!$B$2:$B$10001,MATCH(8481,'Email Cleaner'!$J$2:$J$10001,0)),"")</f>
        <v/>
      </c>
    </row>
    <row r="8483">
      <c r="A8483">
        <f>IFERROR(INDEX('Email Cleaner'!$B$2:$B$10001,MATCH(8482,'Email Cleaner'!$J$2:$J$10001,0)),"")</f>
        <v/>
      </c>
    </row>
    <row r="8484">
      <c r="A8484">
        <f>IFERROR(INDEX('Email Cleaner'!$B$2:$B$10001,MATCH(8483,'Email Cleaner'!$J$2:$J$10001,0)),"")</f>
        <v/>
      </c>
    </row>
    <row r="8485">
      <c r="A8485">
        <f>IFERROR(INDEX('Email Cleaner'!$B$2:$B$10001,MATCH(8484,'Email Cleaner'!$J$2:$J$10001,0)),"")</f>
        <v/>
      </c>
    </row>
    <row r="8486">
      <c r="A8486">
        <f>IFERROR(INDEX('Email Cleaner'!$B$2:$B$10001,MATCH(8485,'Email Cleaner'!$J$2:$J$10001,0)),"")</f>
        <v/>
      </c>
    </row>
    <row r="8487">
      <c r="A8487">
        <f>IFERROR(INDEX('Email Cleaner'!$B$2:$B$10001,MATCH(8486,'Email Cleaner'!$J$2:$J$10001,0)),"")</f>
        <v/>
      </c>
    </row>
    <row r="8488">
      <c r="A8488">
        <f>IFERROR(INDEX('Email Cleaner'!$B$2:$B$10001,MATCH(8487,'Email Cleaner'!$J$2:$J$10001,0)),"")</f>
        <v/>
      </c>
    </row>
    <row r="8489">
      <c r="A8489">
        <f>IFERROR(INDEX('Email Cleaner'!$B$2:$B$10001,MATCH(8488,'Email Cleaner'!$J$2:$J$10001,0)),"")</f>
        <v/>
      </c>
    </row>
    <row r="8490">
      <c r="A8490">
        <f>IFERROR(INDEX('Email Cleaner'!$B$2:$B$10001,MATCH(8489,'Email Cleaner'!$J$2:$J$10001,0)),"")</f>
        <v/>
      </c>
    </row>
    <row r="8491">
      <c r="A8491">
        <f>IFERROR(INDEX('Email Cleaner'!$B$2:$B$10001,MATCH(8490,'Email Cleaner'!$J$2:$J$10001,0)),"")</f>
        <v/>
      </c>
    </row>
    <row r="8492">
      <c r="A8492">
        <f>IFERROR(INDEX('Email Cleaner'!$B$2:$B$10001,MATCH(8491,'Email Cleaner'!$J$2:$J$10001,0)),"")</f>
        <v/>
      </c>
    </row>
    <row r="8493">
      <c r="A8493">
        <f>IFERROR(INDEX('Email Cleaner'!$B$2:$B$10001,MATCH(8492,'Email Cleaner'!$J$2:$J$10001,0)),"")</f>
        <v/>
      </c>
    </row>
    <row r="8494">
      <c r="A8494">
        <f>IFERROR(INDEX('Email Cleaner'!$B$2:$B$10001,MATCH(8493,'Email Cleaner'!$J$2:$J$10001,0)),"")</f>
        <v/>
      </c>
    </row>
    <row r="8495">
      <c r="A8495">
        <f>IFERROR(INDEX('Email Cleaner'!$B$2:$B$10001,MATCH(8494,'Email Cleaner'!$J$2:$J$10001,0)),"")</f>
        <v/>
      </c>
    </row>
    <row r="8496">
      <c r="A8496">
        <f>IFERROR(INDEX('Email Cleaner'!$B$2:$B$10001,MATCH(8495,'Email Cleaner'!$J$2:$J$10001,0)),"")</f>
        <v/>
      </c>
    </row>
    <row r="8497">
      <c r="A8497">
        <f>IFERROR(INDEX('Email Cleaner'!$B$2:$B$10001,MATCH(8496,'Email Cleaner'!$J$2:$J$10001,0)),"")</f>
        <v/>
      </c>
    </row>
    <row r="8498">
      <c r="A8498">
        <f>IFERROR(INDEX('Email Cleaner'!$B$2:$B$10001,MATCH(8497,'Email Cleaner'!$J$2:$J$10001,0)),"")</f>
        <v/>
      </c>
    </row>
    <row r="8499">
      <c r="A8499">
        <f>IFERROR(INDEX('Email Cleaner'!$B$2:$B$10001,MATCH(8498,'Email Cleaner'!$J$2:$J$10001,0)),"")</f>
        <v/>
      </c>
    </row>
    <row r="8500">
      <c r="A8500">
        <f>IFERROR(INDEX('Email Cleaner'!$B$2:$B$10001,MATCH(8499,'Email Cleaner'!$J$2:$J$10001,0)),"")</f>
        <v/>
      </c>
    </row>
    <row r="8501">
      <c r="A8501">
        <f>IFERROR(INDEX('Email Cleaner'!$B$2:$B$10001,MATCH(8500,'Email Cleaner'!$J$2:$J$10001,0)),"")</f>
        <v/>
      </c>
    </row>
    <row r="8502">
      <c r="A8502">
        <f>IFERROR(INDEX('Email Cleaner'!$B$2:$B$10001,MATCH(8501,'Email Cleaner'!$J$2:$J$10001,0)),"")</f>
        <v/>
      </c>
    </row>
    <row r="8503">
      <c r="A8503">
        <f>IFERROR(INDEX('Email Cleaner'!$B$2:$B$10001,MATCH(8502,'Email Cleaner'!$J$2:$J$10001,0)),"")</f>
        <v/>
      </c>
    </row>
    <row r="8504">
      <c r="A8504">
        <f>IFERROR(INDEX('Email Cleaner'!$B$2:$B$10001,MATCH(8503,'Email Cleaner'!$J$2:$J$10001,0)),"")</f>
        <v/>
      </c>
    </row>
    <row r="8505">
      <c r="A8505">
        <f>IFERROR(INDEX('Email Cleaner'!$B$2:$B$10001,MATCH(8504,'Email Cleaner'!$J$2:$J$10001,0)),"")</f>
        <v/>
      </c>
    </row>
    <row r="8506">
      <c r="A8506">
        <f>IFERROR(INDEX('Email Cleaner'!$B$2:$B$10001,MATCH(8505,'Email Cleaner'!$J$2:$J$10001,0)),"")</f>
        <v/>
      </c>
    </row>
    <row r="8507">
      <c r="A8507">
        <f>IFERROR(INDEX('Email Cleaner'!$B$2:$B$10001,MATCH(8506,'Email Cleaner'!$J$2:$J$10001,0)),"")</f>
        <v/>
      </c>
    </row>
    <row r="8508">
      <c r="A8508">
        <f>IFERROR(INDEX('Email Cleaner'!$B$2:$B$10001,MATCH(8507,'Email Cleaner'!$J$2:$J$10001,0)),"")</f>
        <v/>
      </c>
    </row>
    <row r="8509">
      <c r="A8509">
        <f>IFERROR(INDEX('Email Cleaner'!$B$2:$B$10001,MATCH(8508,'Email Cleaner'!$J$2:$J$10001,0)),"")</f>
        <v/>
      </c>
    </row>
    <row r="8510">
      <c r="A8510">
        <f>IFERROR(INDEX('Email Cleaner'!$B$2:$B$10001,MATCH(8509,'Email Cleaner'!$J$2:$J$10001,0)),"")</f>
        <v/>
      </c>
    </row>
    <row r="8511">
      <c r="A8511">
        <f>IFERROR(INDEX('Email Cleaner'!$B$2:$B$10001,MATCH(8510,'Email Cleaner'!$J$2:$J$10001,0)),"")</f>
        <v/>
      </c>
    </row>
    <row r="8512">
      <c r="A8512">
        <f>IFERROR(INDEX('Email Cleaner'!$B$2:$B$10001,MATCH(8511,'Email Cleaner'!$J$2:$J$10001,0)),"")</f>
        <v/>
      </c>
    </row>
    <row r="8513">
      <c r="A8513">
        <f>IFERROR(INDEX('Email Cleaner'!$B$2:$B$10001,MATCH(8512,'Email Cleaner'!$J$2:$J$10001,0)),"")</f>
        <v/>
      </c>
    </row>
    <row r="8514">
      <c r="A8514">
        <f>IFERROR(INDEX('Email Cleaner'!$B$2:$B$10001,MATCH(8513,'Email Cleaner'!$J$2:$J$10001,0)),"")</f>
        <v/>
      </c>
    </row>
    <row r="8515">
      <c r="A8515">
        <f>IFERROR(INDEX('Email Cleaner'!$B$2:$B$10001,MATCH(8514,'Email Cleaner'!$J$2:$J$10001,0)),"")</f>
        <v/>
      </c>
    </row>
    <row r="8516">
      <c r="A8516">
        <f>IFERROR(INDEX('Email Cleaner'!$B$2:$B$10001,MATCH(8515,'Email Cleaner'!$J$2:$J$10001,0)),"")</f>
        <v/>
      </c>
    </row>
    <row r="8517">
      <c r="A8517">
        <f>IFERROR(INDEX('Email Cleaner'!$B$2:$B$10001,MATCH(8516,'Email Cleaner'!$J$2:$J$10001,0)),"")</f>
        <v/>
      </c>
    </row>
    <row r="8518">
      <c r="A8518">
        <f>IFERROR(INDEX('Email Cleaner'!$B$2:$B$10001,MATCH(8517,'Email Cleaner'!$J$2:$J$10001,0)),"")</f>
        <v/>
      </c>
    </row>
    <row r="8519">
      <c r="A8519">
        <f>IFERROR(INDEX('Email Cleaner'!$B$2:$B$10001,MATCH(8518,'Email Cleaner'!$J$2:$J$10001,0)),"")</f>
        <v/>
      </c>
    </row>
    <row r="8520">
      <c r="A8520">
        <f>IFERROR(INDEX('Email Cleaner'!$B$2:$B$10001,MATCH(8519,'Email Cleaner'!$J$2:$J$10001,0)),"")</f>
        <v/>
      </c>
    </row>
    <row r="8521">
      <c r="A8521">
        <f>IFERROR(INDEX('Email Cleaner'!$B$2:$B$10001,MATCH(8520,'Email Cleaner'!$J$2:$J$10001,0)),"")</f>
        <v/>
      </c>
    </row>
    <row r="8522">
      <c r="A8522">
        <f>IFERROR(INDEX('Email Cleaner'!$B$2:$B$10001,MATCH(8521,'Email Cleaner'!$J$2:$J$10001,0)),"")</f>
        <v/>
      </c>
    </row>
    <row r="8523">
      <c r="A8523">
        <f>IFERROR(INDEX('Email Cleaner'!$B$2:$B$10001,MATCH(8522,'Email Cleaner'!$J$2:$J$10001,0)),"")</f>
        <v/>
      </c>
    </row>
    <row r="8524">
      <c r="A8524">
        <f>IFERROR(INDEX('Email Cleaner'!$B$2:$B$10001,MATCH(8523,'Email Cleaner'!$J$2:$J$10001,0)),"")</f>
        <v/>
      </c>
    </row>
    <row r="8525">
      <c r="A8525">
        <f>IFERROR(INDEX('Email Cleaner'!$B$2:$B$10001,MATCH(8524,'Email Cleaner'!$J$2:$J$10001,0)),"")</f>
        <v/>
      </c>
    </row>
    <row r="8526">
      <c r="A8526">
        <f>IFERROR(INDEX('Email Cleaner'!$B$2:$B$10001,MATCH(8525,'Email Cleaner'!$J$2:$J$10001,0)),"")</f>
        <v/>
      </c>
    </row>
    <row r="8527">
      <c r="A8527">
        <f>IFERROR(INDEX('Email Cleaner'!$B$2:$B$10001,MATCH(8526,'Email Cleaner'!$J$2:$J$10001,0)),"")</f>
        <v/>
      </c>
    </row>
    <row r="8528">
      <c r="A8528">
        <f>IFERROR(INDEX('Email Cleaner'!$B$2:$B$10001,MATCH(8527,'Email Cleaner'!$J$2:$J$10001,0)),"")</f>
        <v/>
      </c>
    </row>
    <row r="8529">
      <c r="A8529">
        <f>IFERROR(INDEX('Email Cleaner'!$B$2:$B$10001,MATCH(8528,'Email Cleaner'!$J$2:$J$10001,0)),"")</f>
        <v/>
      </c>
    </row>
    <row r="8530">
      <c r="A8530">
        <f>IFERROR(INDEX('Email Cleaner'!$B$2:$B$10001,MATCH(8529,'Email Cleaner'!$J$2:$J$10001,0)),"")</f>
        <v/>
      </c>
    </row>
    <row r="8531">
      <c r="A8531">
        <f>IFERROR(INDEX('Email Cleaner'!$B$2:$B$10001,MATCH(8530,'Email Cleaner'!$J$2:$J$10001,0)),"")</f>
        <v/>
      </c>
    </row>
    <row r="8532">
      <c r="A8532">
        <f>IFERROR(INDEX('Email Cleaner'!$B$2:$B$10001,MATCH(8531,'Email Cleaner'!$J$2:$J$10001,0)),"")</f>
        <v/>
      </c>
    </row>
    <row r="8533">
      <c r="A8533">
        <f>IFERROR(INDEX('Email Cleaner'!$B$2:$B$10001,MATCH(8532,'Email Cleaner'!$J$2:$J$10001,0)),"")</f>
        <v/>
      </c>
    </row>
    <row r="8534">
      <c r="A8534">
        <f>IFERROR(INDEX('Email Cleaner'!$B$2:$B$10001,MATCH(8533,'Email Cleaner'!$J$2:$J$10001,0)),"")</f>
        <v/>
      </c>
    </row>
    <row r="8535">
      <c r="A8535">
        <f>IFERROR(INDEX('Email Cleaner'!$B$2:$B$10001,MATCH(8534,'Email Cleaner'!$J$2:$J$10001,0)),"")</f>
        <v/>
      </c>
    </row>
    <row r="8536">
      <c r="A8536">
        <f>IFERROR(INDEX('Email Cleaner'!$B$2:$B$10001,MATCH(8535,'Email Cleaner'!$J$2:$J$10001,0)),"")</f>
        <v/>
      </c>
    </row>
    <row r="8537">
      <c r="A8537">
        <f>IFERROR(INDEX('Email Cleaner'!$B$2:$B$10001,MATCH(8536,'Email Cleaner'!$J$2:$J$10001,0)),"")</f>
        <v/>
      </c>
    </row>
    <row r="8538">
      <c r="A8538">
        <f>IFERROR(INDEX('Email Cleaner'!$B$2:$B$10001,MATCH(8537,'Email Cleaner'!$J$2:$J$10001,0)),"")</f>
        <v/>
      </c>
    </row>
    <row r="8539">
      <c r="A8539">
        <f>IFERROR(INDEX('Email Cleaner'!$B$2:$B$10001,MATCH(8538,'Email Cleaner'!$J$2:$J$10001,0)),"")</f>
        <v/>
      </c>
    </row>
    <row r="8540">
      <c r="A8540">
        <f>IFERROR(INDEX('Email Cleaner'!$B$2:$B$10001,MATCH(8539,'Email Cleaner'!$J$2:$J$10001,0)),"")</f>
        <v/>
      </c>
    </row>
    <row r="8541">
      <c r="A8541">
        <f>IFERROR(INDEX('Email Cleaner'!$B$2:$B$10001,MATCH(8540,'Email Cleaner'!$J$2:$J$10001,0)),"")</f>
        <v/>
      </c>
    </row>
    <row r="8542">
      <c r="A8542">
        <f>IFERROR(INDEX('Email Cleaner'!$B$2:$B$10001,MATCH(8541,'Email Cleaner'!$J$2:$J$10001,0)),"")</f>
        <v/>
      </c>
    </row>
    <row r="8543">
      <c r="A8543">
        <f>IFERROR(INDEX('Email Cleaner'!$B$2:$B$10001,MATCH(8542,'Email Cleaner'!$J$2:$J$10001,0)),"")</f>
        <v/>
      </c>
    </row>
    <row r="8544">
      <c r="A8544">
        <f>IFERROR(INDEX('Email Cleaner'!$B$2:$B$10001,MATCH(8543,'Email Cleaner'!$J$2:$J$10001,0)),"")</f>
        <v/>
      </c>
    </row>
    <row r="8545">
      <c r="A8545">
        <f>IFERROR(INDEX('Email Cleaner'!$B$2:$B$10001,MATCH(8544,'Email Cleaner'!$J$2:$J$10001,0)),"")</f>
        <v/>
      </c>
    </row>
    <row r="8546">
      <c r="A8546">
        <f>IFERROR(INDEX('Email Cleaner'!$B$2:$B$10001,MATCH(8545,'Email Cleaner'!$J$2:$J$10001,0)),"")</f>
        <v/>
      </c>
    </row>
    <row r="8547">
      <c r="A8547">
        <f>IFERROR(INDEX('Email Cleaner'!$B$2:$B$10001,MATCH(8546,'Email Cleaner'!$J$2:$J$10001,0)),"")</f>
        <v/>
      </c>
    </row>
    <row r="8548">
      <c r="A8548">
        <f>IFERROR(INDEX('Email Cleaner'!$B$2:$B$10001,MATCH(8547,'Email Cleaner'!$J$2:$J$10001,0)),"")</f>
        <v/>
      </c>
    </row>
    <row r="8549">
      <c r="A8549">
        <f>IFERROR(INDEX('Email Cleaner'!$B$2:$B$10001,MATCH(8548,'Email Cleaner'!$J$2:$J$10001,0)),"")</f>
        <v/>
      </c>
    </row>
    <row r="8550">
      <c r="A8550">
        <f>IFERROR(INDEX('Email Cleaner'!$B$2:$B$10001,MATCH(8549,'Email Cleaner'!$J$2:$J$10001,0)),"")</f>
        <v/>
      </c>
    </row>
    <row r="8551">
      <c r="A8551">
        <f>IFERROR(INDEX('Email Cleaner'!$B$2:$B$10001,MATCH(8550,'Email Cleaner'!$J$2:$J$10001,0)),"")</f>
        <v/>
      </c>
    </row>
    <row r="8552">
      <c r="A8552">
        <f>IFERROR(INDEX('Email Cleaner'!$B$2:$B$10001,MATCH(8551,'Email Cleaner'!$J$2:$J$10001,0)),"")</f>
        <v/>
      </c>
    </row>
    <row r="8553">
      <c r="A8553">
        <f>IFERROR(INDEX('Email Cleaner'!$B$2:$B$10001,MATCH(8552,'Email Cleaner'!$J$2:$J$10001,0)),"")</f>
        <v/>
      </c>
    </row>
    <row r="8554">
      <c r="A8554">
        <f>IFERROR(INDEX('Email Cleaner'!$B$2:$B$10001,MATCH(8553,'Email Cleaner'!$J$2:$J$10001,0)),"")</f>
        <v/>
      </c>
    </row>
    <row r="8555">
      <c r="A8555">
        <f>IFERROR(INDEX('Email Cleaner'!$B$2:$B$10001,MATCH(8554,'Email Cleaner'!$J$2:$J$10001,0)),"")</f>
        <v/>
      </c>
    </row>
    <row r="8556">
      <c r="A8556">
        <f>IFERROR(INDEX('Email Cleaner'!$B$2:$B$10001,MATCH(8555,'Email Cleaner'!$J$2:$J$10001,0)),"")</f>
        <v/>
      </c>
    </row>
    <row r="8557">
      <c r="A8557">
        <f>IFERROR(INDEX('Email Cleaner'!$B$2:$B$10001,MATCH(8556,'Email Cleaner'!$J$2:$J$10001,0)),"")</f>
        <v/>
      </c>
    </row>
    <row r="8558">
      <c r="A8558">
        <f>IFERROR(INDEX('Email Cleaner'!$B$2:$B$10001,MATCH(8557,'Email Cleaner'!$J$2:$J$10001,0)),"")</f>
        <v/>
      </c>
    </row>
    <row r="8559">
      <c r="A8559">
        <f>IFERROR(INDEX('Email Cleaner'!$B$2:$B$10001,MATCH(8558,'Email Cleaner'!$J$2:$J$10001,0)),"")</f>
        <v/>
      </c>
    </row>
    <row r="8560">
      <c r="A8560">
        <f>IFERROR(INDEX('Email Cleaner'!$B$2:$B$10001,MATCH(8559,'Email Cleaner'!$J$2:$J$10001,0)),"")</f>
        <v/>
      </c>
    </row>
    <row r="8561">
      <c r="A8561">
        <f>IFERROR(INDEX('Email Cleaner'!$B$2:$B$10001,MATCH(8560,'Email Cleaner'!$J$2:$J$10001,0)),"")</f>
        <v/>
      </c>
    </row>
    <row r="8562">
      <c r="A8562">
        <f>IFERROR(INDEX('Email Cleaner'!$B$2:$B$10001,MATCH(8561,'Email Cleaner'!$J$2:$J$10001,0)),"")</f>
        <v/>
      </c>
    </row>
    <row r="8563">
      <c r="A8563">
        <f>IFERROR(INDEX('Email Cleaner'!$B$2:$B$10001,MATCH(8562,'Email Cleaner'!$J$2:$J$10001,0)),"")</f>
        <v/>
      </c>
    </row>
    <row r="8564">
      <c r="A8564">
        <f>IFERROR(INDEX('Email Cleaner'!$B$2:$B$10001,MATCH(8563,'Email Cleaner'!$J$2:$J$10001,0)),"")</f>
        <v/>
      </c>
    </row>
    <row r="8565">
      <c r="A8565">
        <f>IFERROR(INDEX('Email Cleaner'!$B$2:$B$10001,MATCH(8564,'Email Cleaner'!$J$2:$J$10001,0)),"")</f>
        <v/>
      </c>
    </row>
    <row r="8566">
      <c r="A8566">
        <f>IFERROR(INDEX('Email Cleaner'!$B$2:$B$10001,MATCH(8565,'Email Cleaner'!$J$2:$J$10001,0)),"")</f>
        <v/>
      </c>
    </row>
    <row r="8567">
      <c r="A8567">
        <f>IFERROR(INDEX('Email Cleaner'!$B$2:$B$10001,MATCH(8566,'Email Cleaner'!$J$2:$J$10001,0)),"")</f>
        <v/>
      </c>
    </row>
    <row r="8568">
      <c r="A8568">
        <f>IFERROR(INDEX('Email Cleaner'!$B$2:$B$10001,MATCH(8567,'Email Cleaner'!$J$2:$J$10001,0)),"")</f>
        <v/>
      </c>
    </row>
    <row r="8569">
      <c r="A8569">
        <f>IFERROR(INDEX('Email Cleaner'!$B$2:$B$10001,MATCH(8568,'Email Cleaner'!$J$2:$J$10001,0)),"")</f>
        <v/>
      </c>
    </row>
    <row r="8570">
      <c r="A8570">
        <f>IFERROR(INDEX('Email Cleaner'!$B$2:$B$10001,MATCH(8569,'Email Cleaner'!$J$2:$J$10001,0)),"")</f>
        <v/>
      </c>
    </row>
    <row r="8571">
      <c r="A8571">
        <f>IFERROR(INDEX('Email Cleaner'!$B$2:$B$10001,MATCH(8570,'Email Cleaner'!$J$2:$J$10001,0)),"")</f>
        <v/>
      </c>
    </row>
    <row r="8572">
      <c r="A8572">
        <f>IFERROR(INDEX('Email Cleaner'!$B$2:$B$10001,MATCH(8571,'Email Cleaner'!$J$2:$J$10001,0)),"")</f>
        <v/>
      </c>
    </row>
    <row r="8573">
      <c r="A8573">
        <f>IFERROR(INDEX('Email Cleaner'!$B$2:$B$10001,MATCH(8572,'Email Cleaner'!$J$2:$J$10001,0)),"")</f>
        <v/>
      </c>
    </row>
    <row r="8574">
      <c r="A8574">
        <f>IFERROR(INDEX('Email Cleaner'!$B$2:$B$10001,MATCH(8573,'Email Cleaner'!$J$2:$J$10001,0)),"")</f>
        <v/>
      </c>
    </row>
    <row r="8575">
      <c r="A8575">
        <f>IFERROR(INDEX('Email Cleaner'!$B$2:$B$10001,MATCH(8574,'Email Cleaner'!$J$2:$J$10001,0)),"")</f>
        <v/>
      </c>
    </row>
    <row r="8576">
      <c r="A8576">
        <f>IFERROR(INDEX('Email Cleaner'!$B$2:$B$10001,MATCH(8575,'Email Cleaner'!$J$2:$J$10001,0)),"")</f>
        <v/>
      </c>
    </row>
    <row r="8577">
      <c r="A8577">
        <f>IFERROR(INDEX('Email Cleaner'!$B$2:$B$10001,MATCH(8576,'Email Cleaner'!$J$2:$J$10001,0)),"")</f>
        <v/>
      </c>
    </row>
    <row r="8578">
      <c r="A8578">
        <f>IFERROR(INDEX('Email Cleaner'!$B$2:$B$10001,MATCH(8577,'Email Cleaner'!$J$2:$J$10001,0)),"")</f>
        <v/>
      </c>
    </row>
    <row r="8579">
      <c r="A8579">
        <f>IFERROR(INDEX('Email Cleaner'!$B$2:$B$10001,MATCH(8578,'Email Cleaner'!$J$2:$J$10001,0)),"")</f>
        <v/>
      </c>
    </row>
    <row r="8580">
      <c r="A8580">
        <f>IFERROR(INDEX('Email Cleaner'!$B$2:$B$10001,MATCH(8579,'Email Cleaner'!$J$2:$J$10001,0)),"")</f>
        <v/>
      </c>
    </row>
    <row r="8581">
      <c r="A8581">
        <f>IFERROR(INDEX('Email Cleaner'!$B$2:$B$10001,MATCH(8580,'Email Cleaner'!$J$2:$J$10001,0)),"")</f>
        <v/>
      </c>
    </row>
    <row r="8582">
      <c r="A8582">
        <f>IFERROR(INDEX('Email Cleaner'!$B$2:$B$10001,MATCH(8581,'Email Cleaner'!$J$2:$J$10001,0)),"")</f>
        <v/>
      </c>
    </row>
    <row r="8583">
      <c r="A8583">
        <f>IFERROR(INDEX('Email Cleaner'!$B$2:$B$10001,MATCH(8582,'Email Cleaner'!$J$2:$J$10001,0)),"")</f>
        <v/>
      </c>
    </row>
    <row r="8584">
      <c r="A8584">
        <f>IFERROR(INDEX('Email Cleaner'!$B$2:$B$10001,MATCH(8583,'Email Cleaner'!$J$2:$J$10001,0)),"")</f>
        <v/>
      </c>
    </row>
    <row r="8585">
      <c r="A8585">
        <f>IFERROR(INDEX('Email Cleaner'!$B$2:$B$10001,MATCH(8584,'Email Cleaner'!$J$2:$J$10001,0)),"")</f>
        <v/>
      </c>
    </row>
    <row r="8586">
      <c r="A8586">
        <f>IFERROR(INDEX('Email Cleaner'!$B$2:$B$10001,MATCH(8585,'Email Cleaner'!$J$2:$J$10001,0)),"")</f>
        <v/>
      </c>
    </row>
    <row r="8587">
      <c r="A8587">
        <f>IFERROR(INDEX('Email Cleaner'!$B$2:$B$10001,MATCH(8586,'Email Cleaner'!$J$2:$J$10001,0)),"")</f>
        <v/>
      </c>
    </row>
    <row r="8588">
      <c r="A8588">
        <f>IFERROR(INDEX('Email Cleaner'!$B$2:$B$10001,MATCH(8587,'Email Cleaner'!$J$2:$J$10001,0)),"")</f>
        <v/>
      </c>
    </row>
    <row r="8589">
      <c r="A8589">
        <f>IFERROR(INDEX('Email Cleaner'!$B$2:$B$10001,MATCH(8588,'Email Cleaner'!$J$2:$J$10001,0)),"")</f>
        <v/>
      </c>
    </row>
    <row r="8590">
      <c r="A8590">
        <f>IFERROR(INDEX('Email Cleaner'!$B$2:$B$10001,MATCH(8589,'Email Cleaner'!$J$2:$J$10001,0)),"")</f>
        <v/>
      </c>
    </row>
    <row r="8591">
      <c r="A8591">
        <f>IFERROR(INDEX('Email Cleaner'!$B$2:$B$10001,MATCH(8590,'Email Cleaner'!$J$2:$J$10001,0)),"")</f>
        <v/>
      </c>
    </row>
    <row r="8592">
      <c r="A8592">
        <f>IFERROR(INDEX('Email Cleaner'!$B$2:$B$10001,MATCH(8591,'Email Cleaner'!$J$2:$J$10001,0)),"")</f>
        <v/>
      </c>
    </row>
    <row r="8593">
      <c r="A8593">
        <f>IFERROR(INDEX('Email Cleaner'!$B$2:$B$10001,MATCH(8592,'Email Cleaner'!$J$2:$J$10001,0)),"")</f>
        <v/>
      </c>
    </row>
    <row r="8594">
      <c r="A8594">
        <f>IFERROR(INDEX('Email Cleaner'!$B$2:$B$10001,MATCH(8593,'Email Cleaner'!$J$2:$J$10001,0)),"")</f>
        <v/>
      </c>
    </row>
    <row r="8595">
      <c r="A8595">
        <f>IFERROR(INDEX('Email Cleaner'!$B$2:$B$10001,MATCH(8594,'Email Cleaner'!$J$2:$J$10001,0)),"")</f>
        <v/>
      </c>
    </row>
    <row r="8596">
      <c r="A8596">
        <f>IFERROR(INDEX('Email Cleaner'!$B$2:$B$10001,MATCH(8595,'Email Cleaner'!$J$2:$J$10001,0)),"")</f>
        <v/>
      </c>
    </row>
    <row r="8597">
      <c r="A8597">
        <f>IFERROR(INDEX('Email Cleaner'!$B$2:$B$10001,MATCH(8596,'Email Cleaner'!$J$2:$J$10001,0)),"")</f>
        <v/>
      </c>
    </row>
    <row r="8598">
      <c r="A8598">
        <f>IFERROR(INDEX('Email Cleaner'!$B$2:$B$10001,MATCH(8597,'Email Cleaner'!$J$2:$J$10001,0)),"")</f>
        <v/>
      </c>
    </row>
    <row r="8599">
      <c r="A8599">
        <f>IFERROR(INDEX('Email Cleaner'!$B$2:$B$10001,MATCH(8598,'Email Cleaner'!$J$2:$J$10001,0)),"")</f>
        <v/>
      </c>
    </row>
    <row r="8600">
      <c r="A8600">
        <f>IFERROR(INDEX('Email Cleaner'!$B$2:$B$10001,MATCH(8599,'Email Cleaner'!$J$2:$J$10001,0)),"")</f>
        <v/>
      </c>
    </row>
    <row r="8601">
      <c r="A8601">
        <f>IFERROR(INDEX('Email Cleaner'!$B$2:$B$10001,MATCH(8600,'Email Cleaner'!$J$2:$J$10001,0)),"")</f>
        <v/>
      </c>
    </row>
    <row r="8602">
      <c r="A8602">
        <f>IFERROR(INDEX('Email Cleaner'!$B$2:$B$10001,MATCH(8601,'Email Cleaner'!$J$2:$J$10001,0)),"")</f>
        <v/>
      </c>
    </row>
    <row r="8603">
      <c r="A8603">
        <f>IFERROR(INDEX('Email Cleaner'!$B$2:$B$10001,MATCH(8602,'Email Cleaner'!$J$2:$J$10001,0)),"")</f>
        <v/>
      </c>
    </row>
    <row r="8604">
      <c r="A8604">
        <f>IFERROR(INDEX('Email Cleaner'!$B$2:$B$10001,MATCH(8603,'Email Cleaner'!$J$2:$J$10001,0)),"")</f>
        <v/>
      </c>
    </row>
    <row r="8605">
      <c r="A8605">
        <f>IFERROR(INDEX('Email Cleaner'!$B$2:$B$10001,MATCH(8604,'Email Cleaner'!$J$2:$J$10001,0)),"")</f>
        <v/>
      </c>
    </row>
    <row r="8606">
      <c r="A8606">
        <f>IFERROR(INDEX('Email Cleaner'!$B$2:$B$10001,MATCH(8605,'Email Cleaner'!$J$2:$J$10001,0)),"")</f>
        <v/>
      </c>
    </row>
    <row r="8607">
      <c r="A8607">
        <f>IFERROR(INDEX('Email Cleaner'!$B$2:$B$10001,MATCH(8606,'Email Cleaner'!$J$2:$J$10001,0)),"")</f>
        <v/>
      </c>
    </row>
    <row r="8608">
      <c r="A8608">
        <f>IFERROR(INDEX('Email Cleaner'!$B$2:$B$10001,MATCH(8607,'Email Cleaner'!$J$2:$J$10001,0)),"")</f>
        <v/>
      </c>
    </row>
    <row r="8609">
      <c r="A8609">
        <f>IFERROR(INDEX('Email Cleaner'!$B$2:$B$10001,MATCH(8608,'Email Cleaner'!$J$2:$J$10001,0)),"")</f>
        <v/>
      </c>
    </row>
    <row r="8610">
      <c r="A8610">
        <f>IFERROR(INDEX('Email Cleaner'!$B$2:$B$10001,MATCH(8609,'Email Cleaner'!$J$2:$J$10001,0)),"")</f>
        <v/>
      </c>
    </row>
    <row r="8611">
      <c r="A8611">
        <f>IFERROR(INDEX('Email Cleaner'!$B$2:$B$10001,MATCH(8610,'Email Cleaner'!$J$2:$J$10001,0)),"")</f>
        <v/>
      </c>
    </row>
    <row r="8612">
      <c r="A8612">
        <f>IFERROR(INDEX('Email Cleaner'!$B$2:$B$10001,MATCH(8611,'Email Cleaner'!$J$2:$J$10001,0)),"")</f>
        <v/>
      </c>
    </row>
    <row r="8613">
      <c r="A8613">
        <f>IFERROR(INDEX('Email Cleaner'!$B$2:$B$10001,MATCH(8612,'Email Cleaner'!$J$2:$J$10001,0)),"")</f>
        <v/>
      </c>
    </row>
    <row r="8614">
      <c r="A8614">
        <f>IFERROR(INDEX('Email Cleaner'!$B$2:$B$10001,MATCH(8613,'Email Cleaner'!$J$2:$J$10001,0)),"")</f>
        <v/>
      </c>
    </row>
    <row r="8615">
      <c r="A8615">
        <f>IFERROR(INDEX('Email Cleaner'!$B$2:$B$10001,MATCH(8614,'Email Cleaner'!$J$2:$J$10001,0)),"")</f>
        <v/>
      </c>
    </row>
    <row r="8616">
      <c r="A8616">
        <f>IFERROR(INDEX('Email Cleaner'!$B$2:$B$10001,MATCH(8615,'Email Cleaner'!$J$2:$J$10001,0)),"")</f>
        <v/>
      </c>
    </row>
    <row r="8617">
      <c r="A8617">
        <f>IFERROR(INDEX('Email Cleaner'!$B$2:$B$10001,MATCH(8616,'Email Cleaner'!$J$2:$J$10001,0)),"")</f>
        <v/>
      </c>
    </row>
    <row r="8618">
      <c r="A8618">
        <f>IFERROR(INDEX('Email Cleaner'!$B$2:$B$10001,MATCH(8617,'Email Cleaner'!$J$2:$J$10001,0)),"")</f>
        <v/>
      </c>
    </row>
    <row r="8619">
      <c r="A8619">
        <f>IFERROR(INDEX('Email Cleaner'!$B$2:$B$10001,MATCH(8618,'Email Cleaner'!$J$2:$J$10001,0)),"")</f>
        <v/>
      </c>
    </row>
    <row r="8620">
      <c r="A8620">
        <f>IFERROR(INDEX('Email Cleaner'!$B$2:$B$10001,MATCH(8619,'Email Cleaner'!$J$2:$J$10001,0)),"")</f>
        <v/>
      </c>
    </row>
    <row r="8621">
      <c r="A8621">
        <f>IFERROR(INDEX('Email Cleaner'!$B$2:$B$10001,MATCH(8620,'Email Cleaner'!$J$2:$J$10001,0)),"")</f>
        <v/>
      </c>
    </row>
    <row r="8622">
      <c r="A8622">
        <f>IFERROR(INDEX('Email Cleaner'!$B$2:$B$10001,MATCH(8621,'Email Cleaner'!$J$2:$J$10001,0)),"")</f>
        <v/>
      </c>
    </row>
    <row r="8623">
      <c r="A8623">
        <f>IFERROR(INDEX('Email Cleaner'!$B$2:$B$10001,MATCH(8622,'Email Cleaner'!$J$2:$J$10001,0)),"")</f>
        <v/>
      </c>
    </row>
    <row r="8624">
      <c r="A8624">
        <f>IFERROR(INDEX('Email Cleaner'!$B$2:$B$10001,MATCH(8623,'Email Cleaner'!$J$2:$J$10001,0)),"")</f>
        <v/>
      </c>
    </row>
    <row r="8625">
      <c r="A8625">
        <f>IFERROR(INDEX('Email Cleaner'!$B$2:$B$10001,MATCH(8624,'Email Cleaner'!$J$2:$J$10001,0)),"")</f>
        <v/>
      </c>
    </row>
    <row r="8626">
      <c r="A8626">
        <f>IFERROR(INDEX('Email Cleaner'!$B$2:$B$10001,MATCH(8625,'Email Cleaner'!$J$2:$J$10001,0)),"")</f>
        <v/>
      </c>
    </row>
    <row r="8627">
      <c r="A8627">
        <f>IFERROR(INDEX('Email Cleaner'!$B$2:$B$10001,MATCH(8626,'Email Cleaner'!$J$2:$J$10001,0)),"")</f>
        <v/>
      </c>
    </row>
    <row r="8628">
      <c r="A8628">
        <f>IFERROR(INDEX('Email Cleaner'!$B$2:$B$10001,MATCH(8627,'Email Cleaner'!$J$2:$J$10001,0)),"")</f>
        <v/>
      </c>
    </row>
    <row r="8629">
      <c r="A8629">
        <f>IFERROR(INDEX('Email Cleaner'!$B$2:$B$10001,MATCH(8628,'Email Cleaner'!$J$2:$J$10001,0)),"")</f>
        <v/>
      </c>
    </row>
    <row r="8630">
      <c r="A8630">
        <f>IFERROR(INDEX('Email Cleaner'!$B$2:$B$10001,MATCH(8629,'Email Cleaner'!$J$2:$J$10001,0)),"")</f>
        <v/>
      </c>
    </row>
    <row r="8631">
      <c r="A8631">
        <f>IFERROR(INDEX('Email Cleaner'!$B$2:$B$10001,MATCH(8630,'Email Cleaner'!$J$2:$J$10001,0)),"")</f>
        <v/>
      </c>
    </row>
    <row r="8632">
      <c r="A8632">
        <f>IFERROR(INDEX('Email Cleaner'!$B$2:$B$10001,MATCH(8631,'Email Cleaner'!$J$2:$J$10001,0)),"")</f>
        <v/>
      </c>
    </row>
    <row r="8633">
      <c r="A8633">
        <f>IFERROR(INDEX('Email Cleaner'!$B$2:$B$10001,MATCH(8632,'Email Cleaner'!$J$2:$J$10001,0)),"")</f>
        <v/>
      </c>
    </row>
    <row r="8634">
      <c r="A8634">
        <f>IFERROR(INDEX('Email Cleaner'!$B$2:$B$10001,MATCH(8633,'Email Cleaner'!$J$2:$J$10001,0)),"")</f>
        <v/>
      </c>
    </row>
    <row r="8635">
      <c r="A8635">
        <f>IFERROR(INDEX('Email Cleaner'!$B$2:$B$10001,MATCH(8634,'Email Cleaner'!$J$2:$J$10001,0)),"")</f>
        <v/>
      </c>
    </row>
    <row r="8636">
      <c r="A8636">
        <f>IFERROR(INDEX('Email Cleaner'!$B$2:$B$10001,MATCH(8635,'Email Cleaner'!$J$2:$J$10001,0)),"")</f>
        <v/>
      </c>
    </row>
    <row r="8637">
      <c r="A8637">
        <f>IFERROR(INDEX('Email Cleaner'!$B$2:$B$10001,MATCH(8636,'Email Cleaner'!$J$2:$J$10001,0)),"")</f>
        <v/>
      </c>
    </row>
    <row r="8638">
      <c r="A8638">
        <f>IFERROR(INDEX('Email Cleaner'!$B$2:$B$10001,MATCH(8637,'Email Cleaner'!$J$2:$J$10001,0)),"")</f>
        <v/>
      </c>
    </row>
    <row r="8639">
      <c r="A8639">
        <f>IFERROR(INDEX('Email Cleaner'!$B$2:$B$10001,MATCH(8638,'Email Cleaner'!$J$2:$J$10001,0)),"")</f>
        <v/>
      </c>
    </row>
    <row r="8640">
      <c r="A8640">
        <f>IFERROR(INDEX('Email Cleaner'!$B$2:$B$10001,MATCH(8639,'Email Cleaner'!$J$2:$J$10001,0)),"")</f>
        <v/>
      </c>
    </row>
    <row r="8641">
      <c r="A8641">
        <f>IFERROR(INDEX('Email Cleaner'!$B$2:$B$10001,MATCH(8640,'Email Cleaner'!$J$2:$J$10001,0)),"")</f>
        <v/>
      </c>
    </row>
    <row r="8642">
      <c r="A8642">
        <f>IFERROR(INDEX('Email Cleaner'!$B$2:$B$10001,MATCH(8641,'Email Cleaner'!$J$2:$J$10001,0)),"")</f>
        <v/>
      </c>
    </row>
    <row r="8643">
      <c r="A8643">
        <f>IFERROR(INDEX('Email Cleaner'!$B$2:$B$10001,MATCH(8642,'Email Cleaner'!$J$2:$J$10001,0)),"")</f>
        <v/>
      </c>
    </row>
    <row r="8644">
      <c r="A8644">
        <f>IFERROR(INDEX('Email Cleaner'!$B$2:$B$10001,MATCH(8643,'Email Cleaner'!$J$2:$J$10001,0)),"")</f>
        <v/>
      </c>
    </row>
    <row r="8645">
      <c r="A8645">
        <f>IFERROR(INDEX('Email Cleaner'!$B$2:$B$10001,MATCH(8644,'Email Cleaner'!$J$2:$J$10001,0)),"")</f>
        <v/>
      </c>
    </row>
    <row r="8646">
      <c r="A8646">
        <f>IFERROR(INDEX('Email Cleaner'!$B$2:$B$10001,MATCH(8645,'Email Cleaner'!$J$2:$J$10001,0)),"")</f>
        <v/>
      </c>
    </row>
    <row r="8647">
      <c r="A8647">
        <f>IFERROR(INDEX('Email Cleaner'!$B$2:$B$10001,MATCH(8646,'Email Cleaner'!$J$2:$J$10001,0)),"")</f>
        <v/>
      </c>
    </row>
    <row r="8648">
      <c r="A8648">
        <f>IFERROR(INDEX('Email Cleaner'!$B$2:$B$10001,MATCH(8647,'Email Cleaner'!$J$2:$J$10001,0)),"")</f>
        <v/>
      </c>
    </row>
    <row r="8649">
      <c r="A8649">
        <f>IFERROR(INDEX('Email Cleaner'!$B$2:$B$10001,MATCH(8648,'Email Cleaner'!$J$2:$J$10001,0)),"")</f>
        <v/>
      </c>
    </row>
    <row r="8650">
      <c r="A8650">
        <f>IFERROR(INDEX('Email Cleaner'!$B$2:$B$10001,MATCH(8649,'Email Cleaner'!$J$2:$J$10001,0)),"")</f>
        <v/>
      </c>
    </row>
    <row r="8651">
      <c r="A8651">
        <f>IFERROR(INDEX('Email Cleaner'!$B$2:$B$10001,MATCH(8650,'Email Cleaner'!$J$2:$J$10001,0)),"")</f>
        <v/>
      </c>
    </row>
    <row r="8652">
      <c r="A8652">
        <f>IFERROR(INDEX('Email Cleaner'!$B$2:$B$10001,MATCH(8651,'Email Cleaner'!$J$2:$J$10001,0)),"")</f>
        <v/>
      </c>
    </row>
    <row r="8653">
      <c r="A8653">
        <f>IFERROR(INDEX('Email Cleaner'!$B$2:$B$10001,MATCH(8652,'Email Cleaner'!$J$2:$J$10001,0)),"")</f>
        <v/>
      </c>
    </row>
    <row r="8654">
      <c r="A8654">
        <f>IFERROR(INDEX('Email Cleaner'!$B$2:$B$10001,MATCH(8653,'Email Cleaner'!$J$2:$J$10001,0)),"")</f>
        <v/>
      </c>
    </row>
    <row r="8655">
      <c r="A8655">
        <f>IFERROR(INDEX('Email Cleaner'!$B$2:$B$10001,MATCH(8654,'Email Cleaner'!$J$2:$J$10001,0)),"")</f>
        <v/>
      </c>
    </row>
    <row r="8656">
      <c r="A8656">
        <f>IFERROR(INDEX('Email Cleaner'!$B$2:$B$10001,MATCH(8655,'Email Cleaner'!$J$2:$J$10001,0)),"")</f>
        <v/>
      </c>
    </row>
    <row r="8657">
      <c r="A8657">
        <f>IFERROR(INDEX('Email Cleaner'!$B$2:$B$10001,MATCH(8656,'Email Cleaner'!$J$2:$J$10001,0)),"")</f>
        <v/>
      </c>
    </row>
    <row r="8658">
      <c r="A8658">
        <f>IFERROR(INDEX('Email Cleaner'!$B$2:$B$10001,MATCH(8657,'Email Cleaner'!$J$2:$J$10001,0)),"")</f>
        <v/>
      </c>
    </row>
    <row r="8659">
      <c r="A8659">
        <f>IFERROR(INDEX('Email Cleaner'!$B$2:$B$10001,MATCH(8658,'Email Cleaner'!$J$2:$J$10001,0)),"")</f>
        <v/>
      </c>
    </row>
    <row r="8660">
      <c r="A8660">
        <f>IFERROR(INDEX('Email Cleaner'!$B$2:$B$10001,MATCH(8659,'Email Cleaner'!$J$2:$J$10001,0)),"")</f>
        <v/>
      </c>
    </row>
    <row r="8661">
      <c r="A8661">
        <f>IFERROR(INDEX('Email Cleaner'!$B$2:$B$10001,MATCH(8660,'Email Cleaner'!$J$2:$J$10001,0)),"")</f>
        <v/>
      </c>
    </row>
    <row r="8662">
      <c r="A8662">
        <f>IFERROR(INDEX('Email Cleaner'!$B$2:$B$10001,MATCH(8661,'Email Cleaner'!$J$2:$J$10001,0)),"")</f>
        <v/>
      </c>
    </row>
    <row r="8663">
      <c r="A8663">
        <f>IFERROR(INDEX('Email Cleaner'!$B$2:$B$10001,MATCH(8662,'Email Cleaner'!$J$2:$J$10001,0)),"")</f>
        <v/>
      </c>
    </row>
    <row r="8664">
      <c r="A8664">
        <f>IFERROR(INDEX('Email Cleaner'!$B$2:$B$10001,MATCH(8663,'Email Cleaner'!$J$2:$J$10001,0)),"")</f>
        <v/>
      </c>
    </row>
    <row r="8665">
      <c r="A8665">
        <f>IFERROR(INDEX('Email Cleaner'!$B$2:$B$10001,MATCH(8664,'Email Cleaner'!$J$2:$J$10001,0)),"")</f>
        <v/>
      </c>
    </row>
    <row r="8666">
      <c r="A8666">
        <f>IFERROR(INDEX('Email Cleaner'!$B$2:$B$10001,MATCH(8665,'Email Cleaner'!$J$2:$J$10001,0)),"")</f>
        <v/>
      </c>
    </row>
    <row r="8667">
      <c r="A8667">
        <f>IFERROR(INDEX('Email Cleaner'!$B$2:$B$10001,MATCH(8666,'Email Cleaner'!$J$2:$J$10001,0)),"")</f>
        <v/>
      </c>
    </row>
    <row r="8668">
      <c r="A8668">
        <f>IFERROR(INDEX('Email Cleaner'!$B$2:$B$10001,MATCH(8667,'Email Cleaner'!$J$2:$J$10001,0)),"")</f>
        <v/>
      </c>
    </row>
    <row r="8669">
      <c r="A8669">
        <f>IFERROR(INDEX('Email Cleaner'!$B$2:$B$10001,MATCH(8668,'Email Cleaner'!$J$2:$J$10001,0)),"")</f>
        <v/>
      </c>
    </row>
    <row r="8670">
      <c r="A8670">
        <f>IFERROR(INDEX('Email Cleaner'!$B$2:$B$10001,MATCH(8669,'Email Cleaner'!$J$2:$J$10001,0)),"")</f>
        <v/>
      </c>
    </row>
    <row r="8671">
      <c r="A8671">
        <f>IFERROR(INDEX('Email Cleaner'!$B$2:$B$10001,MATCH(8670,'Email Cleaner'!$J$2:$J$10001,0)),"")</f>
        <v/>
      </c>
    </row>
    <row r="8672">
      <c r="A8672">
        <f>IFERROR(INDEX('Email Cleaner'!$B$2:$B$10001,MATCH(8671,'Email Cleaner'!$J$2:$J$10001,0)),"")</f>
        <v/>
      </c>
    </row>
    <row r="8673">
      <c r="A8673">
        <f>IFERROR(INDEX('Email Cleaner'!$B$2:$B$10001,MATCH(8672,'Email Cleaner'!$J$2:$J$10001,0)),"")</f>
        <v/>
      </c>
    </row>
    <row r="8674">
      <c r="A8674">
        <f>IFERROR(INDEX('Email Cleaner'!$B$2:$B$10001,MATCH(8673,'Email Cleaner'!$J$2:$J$10001,0)),"")</f>
        <v/>
      </c>
    </row>
    <row r="8675">
      <c r="A8675">
        <f>IFERROR(INDEX('Email Cleaner'!$B$2:$B$10001,MATCH(8674,'Email Cleaner'!$J$2:$J$10001,0)),"")</f>
        <v/>
      </c>
    </row>
    <row r="8676">
      <c r="A8676">
        <f>IFERROR(INDEX('Email Cleaner'!$B$2:$B$10001,MATCH(8675,'Email Cleaner'!$J$2:$J$10001,0)),"")</f>
        <v/>
      </c>
    </row>
    <row r="8677">
      <c r="A8677">
        <f>IFERROR(INDEX('Email Cleaner'!$B$2:$B$10001,MATCH(8676,'Email Cleaner'!$J$2:$J$10001,0)),"")</f>
        <v/>
      </c>
    </row>
    <row r="8678">
      <c r="A8678">
        <f>IFERROR(INDEX('Email Cleaner'!$B$2:$B$10001,MATCH(8677,'Email Cleaner'!$J$2:$J$10001,0)),"")</f>
        <v/>
      </c>
    </row>
    <row r="8679">
      <c r="A8679">
        <f>IFERROR(INDEX('Email Cleaner'!$B$2:$B$10001,MATCH(8678,'Email Cleaner'!$J$2:$J$10001,0)),"")</f>
        <v/>
      </c>
    </row>
    <row r="8680">
      <c r="A8680">
        <f>IFERROR(INDEX('Email Cleaner'!$B$2:$B$10001,MATCH(8679,'Email Cleaner'!$J$2:$J$10001,0)),"")</f>
        <v/>
      </c>
    </row>
    <row r="8681">
      <c r="A8681">
        <f>IFERROR(INDEX('Email Cleaner'!$B$2:$B$10001,MATCH(8680,'Email Cleaner'!$J$2:$J$10001,0)),"")</f>
        <v/>
      </c>
    </row>
    <row r="8682">
      <c r="A8682">
        <f>IFERROR(INDEX('Email Cleaner'!$B$2:$B$10001,MATCH(8681,'Email Cleaner'!$J$2:$J$10001,0)),"")</f>
        <v/>
      </c>
    </row>
    <row r="8683">
      <c r="A8683">
        <f>IFERROR(INDEX('Email Cleaner'!$B$2:$B$10001,MATCH(8682,'Email Cleaner'!$J$2:$J$10001,0)),"")</f>
        <v/>
      </c>
    </row>
    <row r="8684">
      <c r="A8684">
        <f>IFERROR(INDEX('Email Cleaner'!$B$2:$B$10001,MATCH(8683,'Email Cleaner'!$J$2:$J$10001,0)),"")</f>
        <v/>
      </c>
    </row>
    <row r="8685">
      <c r="A8685">
        <f>IFERROR(INDEX('Email Cleaner'!$B$2:$B$10001,MATCH(8684,'Email Cleaner'!$J$2:$J$10001,0)),"")</f>
        <v/>
      </c>
    </row>
    <row r="8686">
      <c r="A8686">
        <f>IFERROR(INDEX('Email Cleaner'!$B$2:$B$10001,MATCH(8685,'Email Cleaner'!$J$2:$J$10001,0)),"")</f>
        <v/>
      </c>
    </row>
    <row r="8687">
      <c r="A8687">
        <f>IFERROR(INDEX('Email Cleaner'!$B$2:$B$10001,MATCH(8686,'Email Cleaner'!$J$2:$J$10001,0)),"")</f>
        <v/>
      </c>
    </row>
    <row r="8688">
      <c r="A8688">
        <f>IFERROR(INDEX('Email Cleaner'!$B$2:$B$10001,MATCH(8687,'Email Cleaner'!$J$2:$J$10001,0)),"")</f>
        <v/>
      </c>
    </row>
    <row r="8689">
      <c r="A8689">
        <f>IFERROR(INDEX('Email Cleaner'!$B$2:$B$10001,MATCH(8688,'Email Cleaner'!$J$2:$J$10001,0)),"")</f>
        <v/>
      </c>
    </row>
    <row r="8690">
      <c r="A8690">
        <f>IFERROR(INDEX('Email Cleaner'!$B$2:$B$10001,MATCH(8689,'Email Cleaner'!$J$2:$J$10001,0)),"")</f>
        <v/>
      </c>
    </row>
    <row r="8691">
      <c r="A8691">
        <f>IFERROR(INDEX('Email Cleaner'!$B$2:$B$10001,MATCH(8690,'Email Cleaner'!$J$2:$J$10001,0)),"")</f>
        <v/>
      </c>
    </row>
    <row r="8692">
      <c r="A8692">
        <f>IFERROR(INDEX('Email Cleaner'!$B$2:$B$10001,MATCH(8691,'Email Cleaner'!$J$2:$J$10001,0)),"")</f>
        <v/>
      </c>
    </row>
    <row r="8693">
      <c r="A8693">
        <f>IFERROR(INDEX('Email Cleaner'!$B$2:$B$10001,MATCH(8692,'Email Cleaner'!$J$2:$J$10001,0)),"")</f>
        <v/>
      </c>
    </row>
    <row r="8694">
      <c r="A8694">
        <f>IFERROR(INDEX('Email Cleaner'!$B$2:$B$10001,MATCH(8693,'Email Cleaner'!$J$2:$J$10001,0)),"")</f>
        <v/>
      </c>
    </row>
    <row r="8695">
      <c r="A8695">
        <f>IFERROR(INDEX('Email Cleaner'!$B$2:$B$10001,MATCH(8694,'Email Cleaner'!$J$2:$J$10001,0)),"")</f>
        <v/>
      </c>
    </row>
    <row r="8696">
      <c r="A8696">
        <f>IFERROR(INDEX('Email Cleaner'!$B$2:$B$10001,MATCH(8695,'Email Cleaner'!$J$2:$J$10001,0)),"")</f>
        <v/>
      </c>
    </row>
    <row r="8697">
      <c r="A8697">
        <f>IFERROR(INDEX('Email Cleaner'!$B$2:$B$10001,MATCH(8696,'Email Cleaner'!$J$2:$J$10001,0)),"")</f>
        <v/>
      </c>
    </row>
    <row r="8698">
      <c r="A8698">
        <f>IFERROR(INDEX('Email Cleaner'!$B$2:$B$10001,MATCH(8697,'Email Cleaner'!$J$2:$J$10001,0)),"")</f>
        <v/>
      </c>
    </row>
    <row r="8699">
      <c r="A8699">
        <f>IFERROR(INDEX('Email Cleaner'!$B$2:$B$10001,MATCH(8698,'Email Cleaner'!$J$2:$J$10001,0)),"")</f>
        <v/>
      </c>
    </row>
    <row r="8700">
      <c r="A8700">
        <f>IFERROR(INDEX('Email Cleaner'!$B$2:$B$10001,MATCH(8699,'Email Cleaner'!$J$2:$J$10001,0)),"")</f>
        <v/>
      </c>
    </row>
    <row r="8701">
      <c r="A8701">
        <f>IFERROR(INDEX('Email Cleaner'!$B$2:$B$10001,MATCH(8700,'Email Cleaner'!$J$2:$J$10001,0)),"")</f>
        <v/>
      </c>
    </row>
    <row r="8702">
      <c r="A8702">
        <f>IFERROR(INDEX('Email Cleaner'!$B$2:$B$10001,MATCH(8701,'Email Cleaner'!$J$2:$J$10001,0)),"")</f>
        <v/>
      </c>
    </row>
    <row r="8703">
      <c r="A8703">
        <f>IFERROR(INDEX('Email Cleaner'!$B$2:$B$10001,MATCH(8702,'Email Cleaner'!$J$2:$J$10001,0)),"")</f>
        <v/>
      </c>
    </row>
    <row r="8704">
      <c r="A8704">
        <f>IFERROR(INDEX('Email Cleaner'!$B$2:$B$10001,MATCH(8703,'Email Cleaner'!$J$2:$J$10001,0)),"")</f>
        <v/>
      </c>
    </row>
    <row r="8705">
      <c r="A8705">
        <f>IFERROR(INDEX('Email Cleaner'!$B$2:$B$10001,MATCH(8704,'Email Cleaner'!$J$2:$J$10001,0)),"")</f>
        <v/>
      </c>
    </row>
    <row r="8706">
      <c r="A8706">
        <f>IFERROR(INDEX('Email Cleaner'!$B$2:$B$10001,MATCH(8705,'Email Cleaner'!$J$2:$J$10001,0)),"")</f>
        <v/>
      </c>
    </row>
    <row r="8707">
      <c r="A8707">
        <f>IFERROR(INDEX('Email Cleaner'!$B$2:$B$10001,MATCH(8706,'Email Cleaner'!$J$2:$J$10001,0)),"")</f>
        <v/>
      </c>
    </row>
    <row r="8708">
      <c r="A8708">
        <f>IFERROR(INDEX('Email Cleaner'!$B$2:$B$10001,MATCH(8707,'Email Cleaner'!$J$2:$J$10001,0)),"")</f>
        <v/>
      </c>
    </row>
    <row r="8709">
      <c r="A8709">
        <f>IFERROR(INDEX('Email Cleaner'!$B$2:$B$10001,MATCH(8708,'Email Cleaner'!$J$2:$J$10001,0)),"")</f>
        <v/>
      </c>
    </row>
    <row r="8710">
      <c r="A8710">
        <f>IFERROR(INDEX('Email Cleaner'!$B$2:$B$10001,MATCH(8709,'Email Cleaner'!$J$2:$J$10001,0)),"")</f>
        <v/>
      </c>
    </row>
    <row r="8711">
      <c r="A8711">
        <f>IFERROR(INDEX('Email Cleaner'!$B$2:$B$10001,MATCH(8710,'Email Cleaner'!$J$2:$J$10001,0)),"")</f>
        <v/>
      </c>
    </row>
    <row r="8712">
      <c r="A8712">
        <f>IFERROR(INDEX('Email Cleaner'!$B$2:$B$10001,MATCH(8711,'Email Cleaner'!$J$2:$J$10001,0)),"")</f>
        <v/>
      </c>
    </row>
    <row r="8713">
      <c r="A8713">
        <f>IFERROR(INDEX('Email Cleaner'!$B$2:$B$10001,MATCH(8712,'Email Cleaner'!$J$2:$J$10001,0)),"")</f>
        <v/>
      </c>
    </row>
    <row r="8714">
      <c r="A8714">
        <f>IFERROR(INDEX('Email Cleaner'!$B$2:$B$10001,MATCH(8713,'Email Cleaner'!$J$2:$J$10001,0)),"")</f>
        <v/>
      </c>
    </row>
    <row r="8715">
      <c r="A8715">
        <f>IFERROR(INDEX('Email Cleaner'!$B$2:$B$10001,MATCH(8714,'Email Cleaner'!$J$2:$J$10001,0)),"")</f>
        <v/>
      </c>
    </row>
    <row r="8716">
      <c r="A8716">
        <f>IFERROR(INDEX('Email Cleaner'!$B$2:$B$10001,MATCH(8715,'Email Cleaner'!$J$2:$J$10001,0)),"")</f>
        <v/>
      </c>
    </row>
    <row r="8717">
      <c r="A8717">
        <f>IFERROR(INDEX('Email Cleaner'!$B$2:$B$10001,MATCH(8716,'Email Cleaner'!$J$2:$J$10001,0)),"")</f>
        <v/>
      </c>
    </row>
    <row r="8718">
      <c r="A8718">
        <f>IFERROR(INDEX('Email Cleaner'!$B$2:$B$10001,MATCH(8717,'Email Cleaner'!$J$2:$J$10001,0)),"")</f>
        <v/>
      </c>
    </row>
    <row r="8719">
      <c r="A8719">
        <f>IFERROR(INDEX('Email Cleaner'!$B$2:$B$10001,MATCH(8718,'Email Cleaner'!$J$2:$J$10001,0)),"")</f>
        <v/>
      </c>
    </row>
    <row r="8720">
      <c r="A8720">
        <f>IFERROR(INDEX('Email Cleaner'!$B$2:$B$10001,MATCH(8719,'Email Cleaner'!$J$2:$J$10001,0)),"")</f>
        <v/>
      </c>
    </row>
    <row r="8721">
      <c r="A8721">
        <f>IFERROR(INDEX('Email Cleaner'!$B$2:$B$10001,MATCH(8720,'Email Cleaner'!$J$2:$J$10001,0)),"")</f>
        <v/>
      </c>
    </row>
    <row r="8722">
      <c r="A8722">
        <f>IFERROR(INDEX('Email Cleaner'!$B$2:$B$10001,MATCH(8721,'Email Cleaner'!$J$2:$J$10001,0)),"")</f>
        <v/>
      </c>
    </row>
    <row r="8723">
      <c r="A8723">
        <f>IFERROR(INDEX('Email Cleaner'!$B$2:$B$10001,MATCH(8722,'Email Cleaner'!$J$2:$J$10001,0)),"")</f>
        <v/>
      </c>
    </row>
    <row r="8724">
      <c r="A8724">
        <f>IFERROR(INDEX('Email Cleaner'!$B$2:$B$10001,MATCH(8723,'Email Cleaner'!$J$2:$J$10001,0)),"")</f>
        <v/>
      </c>
    </row>
    <row r="8725">
      <c r="A8725">
        <f>IFERROR(INDEX('Email Cleaner'!$B$2:$B$10001,MATCH(8724,'Email Cleaner'!$J$2:$J$10001,0)),"")</f>
        <v/>
      </c>
    </row>
    <row r="8726">
      <c r="A8726">
        <f>IFERROR(INDEX('Email Cleaner'!$B$2:$B$10001,MATCH(8725,'Email Cleaner'!$J$2:$J$10001,0)),"")</f>
        <v/>
      </c>
    </row>
    <row r="8727">
      <c r="A8727">
        <f>IFERROR(INDEX('Email Cleaner'!$B$2:$B$10001,MATCH(8726,'Email Cleaner'!$J$2:$J$10001,0)),"")</f>
        <v/>
      </c>
    </row>
    <row r="8728">
      <c r="A8728">
        <f>IFERROR(INDEX('Email Cleaner'!$B$2:$B$10001,MATCH(8727,'Email Cleaner'!$J$2:$J$10001,0)),"")</f>
        <v/>
      </c>
    </row>
    <row r="8729">
      <c r="A8729">
        <f>IFERROR(INDEX('Email Cleaner'!$B$2:$B$10001,MATCH(8728,'Email Cleaner'!$J$2:$J$10001,0)),"")</f>
        <v/>
      </c>
    </row>
    <row r="8730">
      <c r="A8730">
        <f>IFERROR(INDEX('Email Cleaner'!$B$2:$B$10001,MATCH(8729,'Email Cleaner'!$J$2:$J$10001,0)),"")</f>
        <v/>
      </c>
    </row>
    <row r="8731">
      <c r="A8731">
        <f>IFERROR(INDEX('Email Cleaner'!$B$2:$B$10001,MATCH(8730,'Email Cleaner'!$J$2:$J$10001,0)),"")</f>
        <v/>
      </c>
    </row>
    <row r="8732">
      <c r="A8732">
        <f>IFERROR(INDEX('Email Cleaner'!$B$2:$B$10001,MATCH(8731,'Email Cleaner'!$J$2:$J$10001,0)),"")</f>
        <v/>
      </c>
    </row>
    <row r="8733">
      <c r="A8733">
        <f>IFERROR(INDEX('Email Cleaner'!$B$2:$B$10001,MATCH(8732,'Email Cleaner'!$J$2:$J$10001,0)),"")</f>
        <v/>
      </c>
    </row>
    <row r="8734">
      <c r="A8734">
        <f>IFERROR(INDEX('Email Cleaner'!$B$2:$B$10001,MATCH(8733,'Email Cleaner'!$J$2:$J$10001,0)),"")</f>
        <v/>
      </c>
    </row>
    <row r="8735">
      <c r="A8735">
        <f>IFERROR(INDEX('Email Cleaner'!$B$2:$B$10001,MATCH(8734,'Email Cleaner'!$J$2:$J$10001,0)),"")</f>
        <v/>
      </c>
    </row>
    <row r="8736">
      <c r="A8736">
        <f>IFERROR(INDEX('Email Cleaner'!$B$2:$B$10001,MATCH(8735,'Email Cleaner'!$J$2:$J$10001,0)),"")</f>
        <v/>
      </c>
    </row>
    <row r="8737">
      <c r="A8737">
        <f>IFERROR(INDEX('Email Cleaner'!$B$2:$B$10001,MATCH(8736,'Email Cleaner'!$J$2:$J$10001,0)),"")</f>
        <v/>
      </c>
    </row>
    <row r="8738">
      <c r="A8738">
        <f>IFERROR(INDEX('Email Cleaner'!$B$2:$B$10001,MATCH(8737,'Email Cleaner'!$J$2:$J$10001,0)),"")</f>
        <v/>
      </c>
    </row>
    <row r="8739">
      <c r="A8739">
        <f>IFERROR(INDEX('Email Cleaner'!$B$2:$B$10001,MATCH(8738,'Email Cleaner'!$J$2:$J$10001,0)),"")</f>
        <v/>
      </c>
    </row>
    <row r="8740">
      <c r="A8740">
        <f>IFERROR(INDEX('Email Cleaner'!$B$2:$B$10001,MATCH(8739,'Email Cleaner'!$J$2:$J$10001,0)),"")</f>
        <v/>
      </c>
    </row>
    <row r="8741">
      <c r="A8741">
        <f>IFERROR(INDEX('Email Cleaner'!$B$2:$B$10001,MATCH(8740,'Email Cleaner'!$J$2:$J$10001,0)),"")</f>
        <v/>
      </c>
    </row>
    <row r="8742">
      <c r="A8742">
        <f>IFERROR(INDEX('Email Cleaner'!$B$2:$B$10001,MATCH(8741,'Email Cleaner'!$J$2:$J$10001,0)),"")</f>
        <v/>
      </c>
    </row>
    <row r="8743">
      <c r="A8743">
        <f>IFERROR(INDEX('Email Cleaner'!$B$2:$B$10001,MATCH(8742,'Email Cleaner'!$J$2:$J$10001,0)),"")</f>
        <v/>
      </c>
    </row>
    <row r="8744">
      <c r="A8744">
        <f>IFERROR(INDEX('Email Cleaner'!$B$2:$B$10001,MATCH(8743,'Email Cleaner'!$J$2:$J$10001,0)),"")</f>
        <v/>
      </c>
    </row>
    <row r="8745">
      <c r="A8745">
        <f>IFERROR(INDEX('Email Cleaner'!$B$2:$B$10001,MATCH(8744,'Email Cleaner'!$J$2:$J$10001,0)),"")</f>
        <v/>
      </c>
    </row>
    <row r="8746">
      <c r="A8746">
        <f>IFERROR(INDEX('Email Cleaner'!$B$2:$B$10001,MATCH(8745,'Email Cleaner'!$J$2:$J$10001,0)),"")</f>
        <v/>
      </c>
    </row>
    <row r="8747">
      <c r="A8747">
        <f>IFERROR(INDEX('Email Cleaner'!$B$2:$B$10001,MATCH(8746,'Email Cleaner'!$J$2:$J$10001,0)),"")</f>
        <v/>
      </c>
    </row>
    <row r="8748">
      <c r="A8748">
        <f>IFERROR(INDEX('Email Cleaner'!$B$2:$B$10001,MATCH(8747,'Email Cleaner'!$J$2:$J$10001,0)),"")</f>
        <v/>
      </c>
    </row>
    <row r="8749">
      <c r="A8749">
        <f>IFERROR(INDEX('Email Cleaner'!$B$2:$B$10001,MATCH(8748,'Email Cleaner'!$J$2:$J$10001,0)),"")</f>
        <v/>
      </c>
    </row>
    <row r="8750">
      <c r="A8750">
        <f>IFERROR(INDEX('Email Cleaner'!$B$2:$B$10001,MATCH(8749,'Email Cleaner'!$J$2:$J$10001,0)),"")</f>
        <v/>
      </c>
    </row>
    <row r="8751">
      <c r="A8751">
        <f>IFERROR(INDEX('Email Cleaner'!$B$2:$B$10001,MATCH(8750,'Email Cleaner'!$J$2:$J$10001,0)),"")</f>
        <v/>
      </c>
    </row>
    <row r="8752">
      <c r="A8752">
        <f>IFERROR(INDEX('Email Cleaner'!$B$2:$B$10001,MATCH(8751,'Email Cleaner'!$J$2:$J$10001,0)),"")</f>
        <v/>
      </c>
    </row>
    <row r="8753">
      <c r="A8753">
        <f>IFERROR(INDEX('Email Cleaner'!$B$2:$B$10001,MATCH(8752,'Email Cleaner'!$J$2:$J$10001,0)),"")</f>
        <v/>
      </c>
    </row>
    <row r="8754">
      <c r="A8754">
        <f>IFERROR(INDEX('Email Cleaner'!$B$2:$B$10001,MATCH(8753,'Email Cleaner'!$J$2:$J$10001,0)),"")</f>
        <v/>
      </c>
    </row>
    <row r="8755">
      <c r="A8755">
        <f>IFERROR(INDEX('Email Cleaner'!$B$2:$B$10001,MATCH(8754,'Email Cleaner'!$J$2:$J$10001,0)),"")</f>
        <v/>
      </c>
    </row>
    <row r="8756">
      <c r="A8756">
        <f>IFERROR(INDEX('Email Cleaner'!$B$2:$B$10001,MATCH(8755,'Email Cleaner'!$J$2:$J$10001,0)),"")</f>
        <v/>
      </c>
    </row>
    <row r="8757">
      <c r="A8757">
        <f>IFERROR(INDEX('Email Cleaner'!$B$2:$B$10001,MATCH(8756,'Email Cleaner'!$J$2:$J$10001,0)),"")</f>
        <v/>
      </c>
    </row>
    <row r="8758">
      <c r="A8758">
        <f>IFERROR(INDEX('Email Cleaner'!$B$2:$B$10001,MATCH(8757,'Email Cleaner'!$J$2:$J$10001,0)),"")</f>
        <v/>
      </c>
    </row>
    <row r="8759">
      <c r="A8759">
        <f>IFERROR(INDEX('Email Cleaner'!$B$2:$B$10001,MATCH(8758,'Email Cleaner'!$J$2:$J$10001,0)),"")</f>
        <v/>
      </c>
    </row>
    <row r="8760">
      <c r="A8760">
        <f>IFERROR(INDEX('Email Cleaner'!$B$2:$B$10001,MATCH(8759,'Email Cleaner'!$J$2:$J$10001,0)),"")</f>
        <v/>
      </c>
    </row>
    <row r="8761">
      <c r="A8761">
        <f>IFERROR(INDEX('Email Cleaner'!$B$2:$B$10001,MATCH(8760,'Email Cleaner'!$J$2:$J$10001,0)),"")</f>
        <v/>
      </c>
    </row>
    <row r="8762">
      <c r="A8762">
        <f>IFERROR(INDEX('Email Cleaner'!$B$2:$B$10001,MATCH(8761,'Email Cleaner'!$J$2:$J$10001,0)),"")</f>
        <v/>
      </c>
    </row>
    <row r="8763">
      <c r="A8763">
        <f>IFERROR(INDEX('Email Cleaner'!$B$2:$B$10001,MATCH(8762,'Email Cleaner'!$J$2:$J$10001,0)),"")</f>
        <v/>
      </c>
    </row>
    <row r="8764">
      <c r="A8764">
        <f>IFERROR(INDEX('Email Cleaner'!$B$2:$B$10001,MATCH(8763,'Email Cleaner'!$J$2:$J$10001,0)),"")</f>
        <v/>
      </c>
    </row>
    <row r="8765">
      <c r="A8765">
        <f>IFERROR(INDEX('Email Cleaner'!$B$2:$B$10001,MATCH(8764,'Email Cleaner'!$J$2:$J$10001,0)),"")</f>
        <v/>
      </c>
    </row>
    <row r="8766">
      <c r="A8766">
        <f>IFERROR(INDEX('Email Cleaner'!$B$2:$B$10001,MATCH(8765,'Email Cleaner'!$J$2:$J$10001,0)),"")</f>
        <v/>
      </c>
    </row>
    <row r="8767">
      <c r="A8767">
        <f>IFERROR(INDEX('Email Cleaner'!$B$2:$B$10001,MATCH(8766,'Email Cleaner'!$J$2:$J$10001,0)),"")</f>
        <v/>
      </c>
    </row>
    <row r="8768">
      <c r="A8768">
        <f>IFERROR(INDEX('Email Cleaner'!$B$2:$B$10001,MATCH(8767,'Email Cleaner'!$J$2:$J$10001,0)),"")</f>
        <v/>
      </c>
    </row>
    <row r="8769">
      <c r="A8769">
        <f>IFERROR(INDEX('Email Cleaner'!$B$2:$B$10001,MATCH(8768,'Email Cleaner'!$J$2:$J$10001,0)),"")</f>
        <v/>
      </c>
    </row>
    <row r="8770">
      <c r="A8770">
        <f>IFERROR(INDEX('Email Cleaner'!$B$2:$B$10001,MATCH(8769,'Email Cleaner'!$J$2:$J$10001,0)),"")</f>
        <v/>
      </c>
    </row>
    <row r="8771">
      <c r="A8771">
        <f>IFERROR(INDEX('Email Cleaner'!$B$2:$B$10001,MATCH(8770,'Email Cleaner'!$J$2:$J$10001,0)),"")</f>
        <v/>
      </c>
    </row>
    <row r="8772">
      <c r="A8772">
        <f>IFERROR(INDEX('Email Cleaner'!$B$2:$B$10001,MATCH(8771,'Email Cleaner'!$J$2:$J$10001,0)),"")</f>
        <v/>
      </c>
    </row>
    <row r="8773">
      <c r="A8773">
        <f>IFERROR(INDEX('Email Cleaner'!$B$2:$B$10001,MATCH(8772,'Email Cleaner'!$J$2:$J$10001,0)),"")</f>
        <v/>
      </c>
    </row>
    <row r="8774">
      <c r="A8774">
        <f>IFERROR(INDEX('Email Cleaner'!$B$2:$B$10001,MATCH(8773,'Email Cleaner'!$J$2:$J$10001,0)),"")</f>
        <v/>
      </c>
    </row>
    <row r="8775">
      <c r="A8775">
        <f>IFERROR(INDEX('Email Cleaner'!$B$2:$B$10001,MATCH(8774,'Email Cleaner'!$J$2:$J$10001,0)),"")</f>
        <v/>
      </c>
    </row>
    <row r="8776">
      <c r="A8776">
        <f>IFERROR(INDEX('Email Cleaner'!$B$2:$B$10001,MATCH(8775,'Email Cleaner'!$J$2:$J$10001,0)),"")</f>
        <v/>
      </c>
    </row>
    <row r="8777">
      <c r="A8777">
        <f>IFERROR(INDEX('Email Cleaner'!$B$2:$B$10001,MATCH(8776,'Email Cleaner'!$J$2:$J$10001,0)),"")</f>
        <v/>
      </c>
    </row>
    <row r="8778">
      <c r="A8778">
        <f>IFERROR(INDEX('Email Cleaner'!$B$2:$B$10001,MATCH(8777,'Email Cleaner'!$J$2:$J$10001,0)),"")</f>
        <v/>
      </c>
    </row>
    <row r="8779">
      <c r="A8779">
        <f>IFERROR(INDEX('Email Cleaner'!$B$2:$B$10001,MATCH(8778,'Email Cleaner'!$J$2:$J$10001,0)),"")</f>
        <v/>
      </c>
    </row>
    <row r="8780">
      <c r="A8780">
        <f>IFERROR(INDEX('Email Cleaner'!$B$2:$B$10001,MATCH(8779,'Email Cleaner'!$J$2:$J$10001,0)),"")</f>
        <v/>
      </c>
    </row>
    <row r="8781">
      <c r="A8781">
        <f>IFERROR(INDEX('Email Cleaner'!$B$2:$B$10001,MATCH(8780,'Email Cleaner'!$J$2:$J$10001,0)),"")</f>
        <v/>
      </c>
    </row>
    <row r="8782">
      <c r="A8782">
        <f>IFERROR(INDEX('Email Cleaner'!$B$2:$B$10001,MATCH(8781,'Email Cleaner'!$J$2:$J$10001,0)),"")</f>
        <v/>
      </c>
    </row>
    <row r="8783">
      <c r="A8783">
        <f>IFERROR(INDEX('Email Cleaner'!$B$2:$B$10001,MATCH(8782,'Email Cleaner'!$J$2:$J$10001,0)),"")</f>
        <v/>
      </c>
    </row>
    <row r="8784">
      <c r="A8784">
        <f>IFERROR(INDEX('Email Cleaner'!$B$2:$B$10001,MATCH(8783,'Email Cleaner'!$J$2:$J$10001,0)),"")</f>
        <v/>
      </c>
    </row>
    <row r="8785">
      <c r="A8785">
        <f>IFERROR(INDEX('Email Cleaner'!$B$2:$B$10001,MATCH(8784,'Email Cleaner'!$J$2:$J$10001,0)),"")</f>
        <v/>
      </c>
    </row>
    <row r="8786">
      <c r="A8786">
        <f>IFERROR(INDEX('Email Cleaner'!$B$2:$B$10001,MATCH(8785,'Email Cleaner'!$J$2:$J$10001,0)),"")</f>
        <v/>
      </c>
    </row>
    <row r="8787">
      <c r="A8787">
        <f>IFERROR(INDEX('Email Cleaner'!$B$2:$B$10001,MATCH(8786,'Email Cleaner'!$J$2:$J$10001,0)),"")</f>
        <v/>
      </c>
    </row>
    <row r="8788">
      <c r="A8788">
        <f>IFERROR(INDEX('Email Cleaner'!$B$2:$B$10001,MATCH(8787,'Email Cleaner'!$J$2:$J$10001,0)),"")</f>
        <v/>
      </c>
    </row>
    <row r="8789">
      <c r="A8789">
        <f>IFERROR(INDEX('Email Cleaner'!$B$2:$B$10001,MATCH(8788,'Email Cleaner'!$J$2:$J$10001,0)),"")</f>
        <v/>
      </c>
    </row>
    <row r="8790">
      <c r="A8790">
        <f>IFERROR(INDEX('Email Cleaner'!$B$2:$B$10001,MATCH(8789,'Email Cleaner'!$J$2:$J$10001,0)),"")</f>
        <v/>
      </c>
    </row>
    <row r="8791">
      <c r="A8791">
        <f>IFERROR(INDEX('Email Cleaner'!$B$2:$B$10001,MATCH(8790,'Email Cleaner'!$J$2:$J$10001,0)),"")</f>
        <v/>
      </c>
    </row>
    <row r="8792">
      <c r="A8792">
        <f>IFERROR(INDEX('Email Cleaner'!$B$2:$B$10001,MATCH(8791,'Email Cleaner'!$J$2:$J$10001,0)),"")</f>
        <v/>
      </c>
    </row>
    <row r="8793">
      <c r="A8793">
        <f>IFERROR(INDEX('Email Cleaner'!$B$2:$B$10001,MATCH(8792,'Email Cleaner'!$J$2:$J$10001,0)),"")</f>
        <v/>
      </c>
    </row>
    <row r="8794">
      <c r="A8794">
        <f>IFERROR(INDEX('Email Cleaner'!$B$2:$B$10001,MATCH(8793,'Email Cleaner'!$J$2:$J$10001,0)),"")</f>
        <v/>
      </c>
    </row>
    <row r="8795">
      <c r="A8795">
        <f>IFERROR(INDEX('Email Cleaner'!$B$2:$B$10001,MATCH(8794,'Email Cleaner'!$J$2:$J$10001,0)),"")</f>
        <v/>
      </c>
    </row>
    <row r="8796">
      <c r="A8796">
        <f>IFERROR(INDEX('Email Cleaner'!$B$2:$B$10001,MATCH(8795,'Email Cleaner'!$J$2:$J$10001,0)),"")</f>
        <v/>
      </c>
    </row>
    <row r="8797">
      <c r="A8797">
        <f>IFERROR(INDEX('Email Cleaner'!$B$2:$B$10001,MATCH(8796,'Email Cleaner'!$J$2:$J$10001,0)),"")</f>
        <v/>
      </c>
    </row>
    <row r="8798">
      <c r="A8798">
        <f>IFERROR(INDEX('Email Cleaner'!$B$2:$B$10001,MATCH(8797,'Email Cleaner'!$J$2:$J$10001,0)),"")</f>
        <v/>
      </c>
    </row>
    <row r="8799">
      <c r="A8799">
        <f>IFERROR(INDEX('Email Cleaner'!$B$2:$B$10001,MATCH(8798,'Email Cleaner'!$J$2:$J$10001,0)),"")</f>
        <v/>
      </c>
    </row>
    <row r="8800">
      <c r="A8800">
        <f>IFERROR(INDEX('Email Cleaner'!$B$2:$B$10001,MATCH(8799,'Email Cleaner'!$J$2:$J$10001,0)),"")</f>
        <v/>
      </c>
    </row>
    <row r="8801">
      <c r="A8801">
        <f>IFERROR(INDEX('Email Cleaner'!$B$2:$B$10001,MATCH(8800,'Email Cleaner'!$J$2:$J$10001,0)),"")</f>
        <v/>
      </c>
    </row>
    <row r="8802">
      <c r="A8802">
        <f>IFERROR(INDEX('Email Cleaner'!$B$2:$B$10001,MATCH(8801,'Email Cleaner'!$J$2:$J$10001,0)),"")</f>
        <v/>
      </c>
    </row>
    <row r="8803">
      <c r="A8803">
        <f>IFERROR(INDEX('Email Cleaner'!$B$2:$B$10001,MATCH(8802,'Email Cleaner'!$J$2:$J$10001,0)),"")</f>
        <v/>
      </c>
    </row>
    <row r="8804">
      <c r="A8804">
        <f>IFERROR(INDEX('Email Cleaner'!$B$2:$B$10001,MATCH(8803,'Email Cleaner'!$J$2:$J$10001,0)),"")</f>
        <v/>
      </c>
    </row>
    <row r="8805">
      <c r="A8805">
        <f>IFERROR(INDEX('Email Cleaner'!$B$2:$B$10001,MATCH(8804,'Email Cleaner'!$J$2:$J$10001,0)),"")</f>
        <v/>
      </c>
    </row>
    <row r="8806">
      <c r="A8806">
        <f>IFERROR(INDEX('Email Cleaner'!$B$2:$B$10001,MATCH(8805,'Email Cleaner'!$J$2:$J$10001,0)),"")</f>
        <v/>
      </c>
    </row>
    <row r="8807">
      <c r="A8807">
        <f>IFERROR(INDEX('Email Cleaner'!$B$2:$B$10001,MATCH(8806,'Email Cleaner'!$J$2:$J$10001,0)),"")</f>
        <v/>
      </c>
    </row>
    <row r="8808">
      <c r="A8808">
        <f>IFERROR(INDEX('Email Cleaner'!$B$2:$B$10001,MATCH(8807,'Email Cleaner'!$J$2:$J$10001,0)),"")</f>
        <v/>
      </c>
    </row>
    <row r="8809">
      <c r="A8809">
        <f>IFERROR(INDEX('Email Cleaner'!$B$2:$B$10001,MATCH(8808,'Email Cleaner'!$J$2:$J$10001,0)),"")</f>
        <v/>
      </c>
    </row>
    <row r="8810">
      <c r="A8810">
        <f>IFERROR(INDEX('Email Cleaner'!$B$2:$B$10001,MATCH(8809,'Email Cleaner'!$J$2:$J$10001,0)),"")</f>
        <v/>
      </c>
    </row>
    <row r="8811">
      <c r="A8811">
        <f>IFERROR(INDEX('Email Cleaner'!$B$2:$B$10001,MATCH(8810,'Email Cleaner'!$J$2:$J$10001,0)),"")</f>
        <v/>
      </c>
    </row>
    <row r="8812">
      <c r="A8812">
        <f>IFERROR(INDEX('Email Cleaner'!$B$2:$B$10001,MATCH(8811,'Email Cleaner'!$J$2:$J$10001,0)),"")</f>
        <v/>
      </c>
    </row>
    <row r="8813">
      <c r="A8813">
        <f>IFERROR(INDEX('Email Cleaner'!$B$2:$B$10001,MATCH(8812,'Email Cleaner'!$J$2:$J$10001,0)),"")</f>
        <v/>
      </c>
    </row>
    <row r="8814">
      <c r="A8814">
        <f>IFERROR(INDEX('Email Cleaner'!$B$2:$B$10001,MATCH(8813,'Email Cleaner'!$J$2:$J$10001,0)),"")</f>
        <v/>
      </c>
    </row>
    <row r="8815">
      <c r="A8815">
        <f>IFERROR(INDEX('Email Cleaner'!$B$2:$B$10001,MATCH(8814,'Email Cleaner'!$J$2:$J$10001,0)),"")</f>
        <v/>
      </c>
    </row>
    <row r="8816">
      <c r="A8816">
        <f>IFERROR(INDEX('Email Cleaner'!$B$2:$B$10001,MATCH(8815,'Email Cleaner'!$J$2:$J$10001,0)),"")</f>
        <v/>
      </c>
    </row>
    <row r="8817">
      <c r="A8817">
        <f>IFERROR(INDEX('Email Cleaner'!$B$2:$B$10001,MATCH(8816,'Email Cleaner'!$J$2:$J$10001,0)),"")</f>
        <v/>
      </c>
    </row>
    <row r="8818">
      <c r="A8818">
        <f>IFERROR(INDEX('Email Cleaner'!$B$2:$B$10001,MATCH(8817,'Email Cleaner'!$J$2:$J$10001,0)),"")</f>
        <v/>
      </c>
    </row>
    <row r="8819">
      <c r="A8819">
        <f>IFERROR(INDEX('Email Cleaner'!$B$2:$B$10001,MATCH(8818,'Email Cleaner'!$J$2:$J$10001,0)),"")</f>
        <v/>
      </c>
    </row>
    <row r="8820">
      <c r="A8820">
        <f>IFERROR(INDEX('Email Cleaner'!$B$2:$B$10001,MATCH(8819,'Email Cleaner'!$J$2:$J$10001,0)),"")</f>
        <v/>
      </c>
    </row>
    <row r="8821">
      <c r="A8821">
        <f>IFERROR(INDEX('Email Cleaner'!$B$2:$B$10001,MATCH(8820,'Email Cleaner'!$J$2:$J$10001,0)),"")</f>
        <v/>
      </c>
    </row>
    <row r="8822">
      <c r="A8822">
        <f>IFERROR(INDEX('Email Cleaner'!$B$2:$B$10001,MATCH(8821,'Email Cleaner'!$J$2:$J$10001,0)),"")</f>
        <v/>
      </c>
    </row>
    <row r="8823">
      <c r="A8823">
        <f>IFERROR(INDEX('Email Cleaner'!$B$2:$B$10001,MATCH(8822,'Email Cleaner'!$J$2:$J$10001,0)),"")</f>
        <v/>
      </c>
    </row>
    <row r="8824">
      <c r="A8824">
        <f>IFERROR(INDEX('Email Cleaner'!$B$2:$B$10001,MATCH(8823,'Email Cleaner'!$J$2:$J$10001,0)),"")</f>
        <v/>
      </c>
    </row>
    <row r="8825">
      <c r="A8825">
        <f>IFERROR(INDEX('Email Cleaner'!$B$2:$B$10001,MATCH(8824,'Email Cleaner'!$J$2:$J$10001,0)),"")</f>
        <v/>
      </c>
    </row>
    <row r="8826">
      <c r="A8826">
        <f>IFERROR(INDEX('Email Cleaner'!$B$2:$B$10001,MATCH(8825,'Email Cleaner'!$J$2:$J$10001,0)),"")</f>
        <v/>
      </c>
    </row>
    <row r="8827">
      <c r="A8827">
        <f>IFERROR(INDEX('Email Cleaner'!$B$2:$B$10001,MATCH(8826,'Email Cleaner'!$J$2:$J$10001,0)),"")</f>
        <v/>
      </c>
    </row>
    <row r="8828">
      <c r="A8828">
        <f>IFERROR(INDEX('Email Cleaner'!$B$2:$B$10001,MATCH(8827,'Email Cleaner'!$J$2:$J$10001,0)),"")</f>
        <v/>
      </c>
    </row>
    <row r="8829">
      <c r="A8829">
        <f>IFERROR(INDEX('Email Cleaner'!$B$2:$B$10001,MATCH(8828,'Email Cleaner'!$J$2:$J$10001,0)),"")</f>
        <v/>
      </c>
    </row>
    <row r="8830">
      <c r="A8830">
        <f>IFERROR(INDEX('Email Cleaner'!$B$2:$B$10001,MATCH(8829,'Email Cleaner'!$J$2:$J$10001,0)),"")</f>
        <v/>
      </c>
    </row>
    <row r="8831">
      <c r="A8831">
        <f>IFERROR(INDEX('Email Cleaner'!$B$2:$B$10001,MATCH(8830,'Email Cleaner'!$J$2:$J$10001,0)),"")</f>
        <v/>
      </c>
    </row>
    <row r="8832">
      <c r="A8832">
        <f>IFERROR(INDEX('Email Cleaner'!$B$2:$B$10001,MATCH(8831,'Email Cleaner'!$J$2:$J$10001,0)),"")</f>
        <v/>
      </c>
    </row>
    <row r="8833">
      <c r="A8833">
        <f>IFERROR(INDEX('Email Cleaner'!$B$2:$B$10001,MATCH(8832,'Email Cleaner'!$J$2:$J$10001,0)),"")</f>
        <v/>
      </c>
    </row>
    <row r="8834">
      <c r="A8834">
        <f>IFERROR(INDEX('Email Cleaner'!$B$2:$B$10001,MATCH(8833,'Email Cleaner'!$J$2:$J$10001,0)),"")</f>
        <v/>
      </c>
    </row>
    <row r="8835">
      <c r="A8835">
        <f>IFERROR(INDEX('Email Cleaner'!$B$2:$B$10001,MATCH(8834,'Email Cleaner'!$J$2:$J$10001,0)),"")</f>
        <v/>
      </c>
    </row>
    <row r="8836">
      <c r="A8836">
        <f>IFERROR(INDEX('Email Cleaner'!$B$2:$B$10001,MATCH(8835,'Email Cleaner'!$J$2:$J$10001,0)),"")</f>
        <v/>
      </c>
    </row>
    <row r="8837">
      <c r="A8837">
        <f>IFERROR(INDEX('Email Cleaner'!$B$2:$B$10001,MATCH(8836,'Email Cleaner'!$J$2:$J$10001,0)),"")</f>
        <v/>
      </c>
    </row>
    <row r="8838">
      <c r="A8838">
        <f>IFERROR(INDEX('Email Cleaner'!$B$2:$B$10001,MATCH(8837,'Email Cleaner'!$J$2:$J$10001,0)),"")</f>
        <v/>
      </c>
    </row>
    <row r="8839">
      <c r="A8839">
        <f>IFERROR(INDEX('Email Cleaner'!$B$2:$B$10001,MATCH(8838,'Email Cleaner'!$J$2:$J$10001,0)),"")</f>
        <v/>
      </c>
    </row>
    <row r="8840">
      <c r="A8840">
        <f>IFERROR(INDEX('Email Cleaner'!$B$2:$B$10001,MATCH(8839,'Email Cleaner'!$J$2:$J$10001,0)),"")</f>
        <v/>
      </c>
    </row>
    <row r="8841">
      <c r="A8841">
        <f>IFERROR(INDEX('Email Cleaner'!$B$2:$B$10001,MATCH(8840,'Email Cleaner'!$J$2:$J$10001,0)),"")</f>
        <v/>
      </c>
    </row>
    <row r="8842">
      <c r="A8842">
        <f>IFERROR(INDEX('Email Cleaner'!$B$2:$B$10001,MATCH(8841,'Email Cleaner'!$J$2:$J$10001,0)),"")</f>
        <v/>
      </c>
    </row>
    <row r="8843">
      <c r="A8843">
        <f>IFERROR(INDEX('Email Cleaner'!$B$2:$B$10001,MATCH(8842,'Email Cleaner'!$J$2:$J$10001,0)),"")</f>
        <v/>
      </c>
    </row>
    <row r="8844">
      <c r="A8844">
        <f>IFERROR(INDEX('Email Cleaner'!$B$2:$B$10001,MATCH(8843,'Email Cleaner'!$J$2:$J$10001,0)),"")</f>
        <v/>
      </c>
    </row>
    <row r="8845">
      <c r="A8845">
        <f>IFERROR(INDEX('Email Cleaner'!$B$2:$B$10001,MATCH(8844,'Email Cleaner'!$J$2:$J$10001,0)),"")</f>
        <v/>
      </c>
    </row>
    <row r="8846">
      <c r="A8846">
        <f>IFERROR(INDEX('Email Cleaner'!$B$2:$B$10001,MATCH(8845,'Email Cleaner'!$J$2:$J$10001,0)),"")</f>
        <v/>
      </c>
    </row>
    <row r="8847">
      <c r="A8847">
        <f>IFERROR(INDEX('Email Cleaner'!$B$2:$B$10001,MATCH(8846,'Email Cleaner'!$J$2:$J$10001,0)),"")</f>
        <v/>
      </c>
    </row>
    <row r="8848">
      <c r="A8848">
        <f>IFERROR(INDEX('Email Cleaner'!$B$2:$B$10001,MATCH(8847,'Email Cleaner'!$J$2:$J$10001,0)),"")</f>
        <v/>
      </c>
    </row>
    <row r="8849">
      <c r="A8849">
        <f>IFERROR(INDEX('Email Cleaner'!$B$2:$B$10001,MATCH(8848,'Email Cleaner'!$J$2:$J$10001,0)),"")</f>
        <v/>
      </c>
    </row>
    <row r="8850">
      <c r="A8850">
        <f>IFERROR(INDEX('Email Cleaner'!$B$2:$B$10001,MATCH(8849,'Email Cleaner'!$J$2:$J$10001,0)),"")</f>
        <v/>
      </c>
    </row>
    <row r="8851">
      <c r="A8851">
        <f>IFERROR(INDEX('Email Cleaner'!$B$2:$B$10001,MATCH(8850,'Email Cleaner'!$J$2:$J$10001,0)),"")</f>
        <v/>
      </c>
    </row>
    <row r="8852">
      <c r="A8852">
        <f>IFERROR(INDEX('Email Cleaner'!$B$2:$B$10001,MATCH(8851,'Email Cleaner'!$J$2:$J$10001,0)),"")</f>
        <v/>
      </c>
    </row>
    <row r="8853">
      <c r="A8853">
        <f>IFERROR(INDEX('Email Cleaner'!$B$2:$B$10001,MATCH(8852,'Email Cleaner'!$J$2:$J$10001,0)),"")</f>
        <v/>
      </c>
    </row>
    <row r="8854">
      <c r="A8854">
        <f>IFERROR(INDEX('Email Cleaner'!$B$2:$B$10001,MATCH(8853,'Email Cleaner'!$J$2:$J$10001,0)),"")</f>
        <v/>
      </c>
    </row>
    <row r="8855">
      <c r="A8855">
        <f>IFERROR(INDEX('Email Cleaner'!$B$2:$B$10001,MATCH(8854,'Email Cleaner'!$J$2:$J$10001,0)),"")</f>
        <v/>
      </c>
    </row>
    <row r="8856">
      <c r="A8856">
        <f>IFERROR(INDEX('Email Cleaner'!$B$2:$B$10001,MATCH(8855,'Email Cleaner'!$J$2:$J$10001,0)),"")</f>
        <v/>
      </c>
    </row>
    <row r="8857">
      <c r="A8857">
        <f>IFERROR(INDEX('Email Cleaner'!$B$2:$B$10001,MATCH(8856,'Email Cleaner'!$J$2:$J$10001,0)),"")</f>
        <v/>
      </c>
    </row>
    <row r="8858">
      <c r="A8858">
        <f>IFERROR(INDEX('Email Cleaner'!$B$2:$B$10001,MATCH(8857,'Email Cleaner'!$J$2:$J$10001,0)),"")</f>
        <v/>
      </c>
    </row>
    <row r="8859">
      <c r="A8859">
        <f>IFERROR(INDEX('Email Cleaner'!$B$2:$B$10001,MATCH(8858,'Email Cleaner'!$J$2:$J$10001,0)),"")</f>
        <v/>
      </c>
    </row>
    <row r="8860">
      <c r="A8860">
        <f>IFERROR(INDEX('Email Cleaner'!$B$2:$B$10001,MATCH(8859,'Email Cleaner'!$J$2:$J$10001,0)),"")</f>
        <v/>
      </c>
    </row>
    <row r="8861">
      <c r="A8861">
        <f>IFERROR(INDEX('Email Cleaner'!$B$2:$B$10001,MATCH(8860,'Email Cleaner'!$J$2:$J$10001,0)),"")</f>
        <v/>
      </c>
    </row>
    <row r="8862">
      <c r="A8862">
        <f>IFERROR(INDEX('Email Cleaner'!$B$2:$B$10001,MATCH(8861,'Email Cleaner'!$J$2:$J$10001,0)),"")</f>
        <v/>
      </c>
    </row>
    <row r="8863">
      <c r="A8863">
        <f>IFERROR(INDEX('Email Cleaner'!$B$2:$B$10001,MATCH(8862,'Email Cleaner'!$J$2:$J$10001,0)),"")</f>
        <v/>
      </c>
    </row>
    <row r="8864">
      <c r="A8864">
        <f>IFERROR(INDEX('Email Cleaner'!$B$2:$B$10001,MATCH(8863,'Email Cleaner'!$J$2:$J$10001,0)),"")</f>
        <v/>
      </c>
    </row>
    <row r="8865">
      <c r="A8865">
        <f>IFERROR(INDEX('Email Cleaner'!$B$2:$B$10001,MATCH(8864,'Email Cleaner'!$J$2:$J$10001,0)),"")</f>
        <v/>
      </c>
    </row>
    <row r="8866">
      <c r="A8866">
        <f>IFERROR(INDEX('Email Cleaner'!$B$2:$B$10001,MATCH(8865,'Email Cleaner'!$J$2:$J$10001,0)),"")</f>
        <v/>
      </c>
    </row>
    <row r="8867">
      <c r="A8867">
        <f>IFERROR(INDEX('Email Cleaner'!$B$2:$B$10001,MATCH(8866,'Email Cleaner'!$J$2:$J$10001,0)),"")</f>
        <v/>
      </c>
    </row>
    <row r="8868">
      <c r="A8868">
        <f>IFERROR(INDEX('Email Cleaner'!$B$2:$B$10001,MATCH(8867,'Email Cleaner'!$J$2:$J$10001,0)),"")</f>
        <v/>
      </c>
    </row>
    <row r="8869">
      <c r="A8869">
        <f>IFERROR(INDEX('Email Cleaner'!$B$2:$B$10001,MATCH(8868,'Email Cleaner'!$J$2:$J$10001,0)),"")</f>
        <v/>
      </c>
    </row>
    <row r="8870">
      <c r="A8870">
        <f>IFERROR(INDEX('Email Cleaner'!$B$2:$B$10001,MATCH(8869,'Email Cleaner'!$J$2:$J$10001,0)),"")</f>
        <v/>
      </c>
    </row>
    <row r="8871">
      <c r="A8871">
        <f>IFERROR(INDEX('Email Cleaner'!$B$2:$B$10001,MATCH(8870,'Email Cleaner'!$J$2:$J$10001,0)),"")</f>
        <v/>
      </c>
    </row>
    <row r="8872">
      <c r="A8872">
        <f>IFERROR(INDEX('Email Cleaner'!$B$2:$B$10001,MATCH(8871,'Email Cleaner'!$J$2:$J$10001,0)),"")</f>
        <v/>
      </c>
    </row>
    <row r="8873">
      <c r="A8873">
        <f>IFERROR(INDEX('Email Cleaner'!$B$2:$B$10001,MATCH(8872,'Email Cleaner'!$J$2:$J$10001,0)),"")</f>
        <v/>
      </c>
    </row>
    <row r="8874">
      <c r="A8874">
        <f>IFERROR(INDEX('Email Cleaner'!$B$2:$B$10001,MATCH(8873,'Email Cleaner'!$J$2:$J$10001,0)),"")</f>
        <v/>
      </c>
    </row>
    <row r="8875">
      <c r="A8875">
        <f>IFERROR(INDEX('Email Cleaner'!$B$2:$B$10001,MATCH(8874,'Email Cleaner'!$J$2:$J$10001,0)),"")</f>
        <v/>
      </c>
    </row>
    <row r="8876">
      <c r="A8876">
        <f>IFERROR(INDEX('Email Cleaner'!$B$2:$B$10001,MATCH(8875,'Email Cleaner'!$J$2:$J$10001,0)),"")</f>
        <v/>
      </c>
    </row>
    <row r="8877">
      <c r="A8877">
        <f>IFERROR(INDEX('Email Cleaner'!$B$2:$B$10001,MATCH(8876,'Email Cleaner'!$J$2:$J$10001,0)),"")</f>
        <v/>
      </c>
    </row>
    <row r="8878">
      <c r="A8878">
        <f>IFERROR(INDEX('Email Cleaner'!$B$2:$B$10001,MATCH(8877,'Email Cleaner'!$J$2:$J$10001,0)),"")</f>
        <v/>
      </c>
    </row>
    <row r="8879">
      <c r="A8879">
        <f>IFERROR(INDEX('Email Cleaner'!$B$2:$B$10001,MATCH(8878,'Email Cleaner'!$J$2:$J$10001,0)),"")</f>
        <v/>
      </c>
    </row>
    <row r="8880">
      <c r="A8880">
        <f>IFERROR(INDEX('Email Cleaner'!$B$2:$B$10001,MATCH(8879,'Email Cleaner'!$J$2:$J$10001,0)),"")</f>
        <v/>
      </c>
    </row>
    <row r="8881">
      <c r="A8881">
        <f>IFERROR(INDEX('Email Cleaner'!$B$2:$B$10001,MATCH(8880,'Email Cleaner'!$J$2:$J$10001,0)),"")</f>
        <v/>
      </c>
    </row>
    <row r="8882">
      <c r="A8882">
        <f>IFERROR(INDEX('Email Cleaner'!$B$2:$B$10001,MATCH(8881,'Email Cleaner'!$J$2:$J$10001,0)),"")</f>
        <v/>
      </c>
    </row>
    <row r="8883">
      <c r="A8883">
        <f>IFERROR(INDEX('Email Cleaner'!$B$2:$B$10001,MATCH(8882,'Email Cleaner'!$J$2:$J$10001,0)),"")</f>
        <v/>
      </c>
    </row>
    <row r="8884">
      <c r="A8884">
        <f>IFERROR(INDEX('Email Cleaner'!$B$2:$B$10001,MATCH(8883,'Email Cleaner'!$J$2:$J$10001,0)),"")</f>
        <v/>
      </c>
    </row>
    <row r="8885">
      <c r="A8885">
        <f>IFERROR(INDEX('Email Cleaner'!$B$2:$B$10001,MATCH(8884,'Email Cleaner'!$J$2:$J$10001,0)),"")</f>
        <v/>
      </c>
    </row>
    <row r="8886">
      <c r="A8886">
        <f>IFERROR(INDEX('Email Cleaner'!$B$2:$B$10001,MATCH(8885,'Email Cleaner'!$J$2:$J$10001,0)),"")</f>
        <v/>
      </c>
    </row>
    <row r="8887">
      <c r="A8887">
        <f>IFERROR(INDEX('Email Cleaner'!$B$2:$B$10001,MATCH(8886,'Email Cleaner'!$J$2:$J$10001,0)),"")</f>
        <v/>
      </c>
    </row>
    <row r="8888">
      <c r="A8888">
        <f>IFERROR(INDEX('Email Cleaner'!$B$2:$B$10001,MATCH(8887,'Email Cleaner'!$J$2:$J$10001,0)),"")</f>
        <v/>
      </c>
    </row>
    <row r="8889">
      <c r="A8889">
        <f>IFERROR(INDEX('Email Cleaner'!$B$2:$B$10001,MATCH(8888,'Email Cleaner'!$J$2:$J$10001,0)),"")</f>
        <v/>
      </c>
    </row>
    <row r="8890">
      <c r="A8890">
        <f>IFERROR(INDEX('Email Cleaner'!$B$2:$B$10001,MATCH(8889,'Email Cleaner'!$J$2:$J$10001,0)),"")</f>
        <v/>
      </c>
    </row>
    <row r="8891">
      <c r="A8891">
        <f>IFERROR(INDEX('Email Cleaner'!$B$2:$B$10001,MATCH(8890,'Email Cleaner'!$J$2:$J$10001,0)),"")</f>
        <v/>
      </c>
    </row>
    <row r="8892">
      <c r="A8892">
        <f>IFERROR(INDEX('Email Cleaner'!$B$2:$B$10001,MATCH(8891,'Email Cleaner'!$J$2:$J$10001,0)),"")</f>
        <v/>
      </c>
    </row>
    <row r="8893">
      <c r="A8893">
        <f>IFERROR(INDEX('Email Cleaner'!$B$2:$B$10001,MATCH(8892,'Email Cleaner'!$J$2:$J$10001,0)),"")</f>
        <v/>
      </c>
    </row>
    <row r="8894">
      <c r="A8894">
        <f>IFERROR(INDEX('Email Cleaner'!$B$2:$B$10001,MATCH(8893,'Email Cleaner'!$J$2:$J$10001,0)),"")</f>
        <v/>
      </c>
    </row>
    <row r="8895">
      <c r="A8895">
        <f>IFERROR(INDEX('Email Cleaner'!$B$2:$B$10001,MATCH(8894,'Email Cleaner'!$J$2:$J$10001,0)),"")</f>
        <v/>
      </c>
    </row>
    <row r="8896">
      <c r="A8896">
        <f>IFERROR(INDEX('Email Cleaner'!$B$2:$B$10001,MATCH(8895,'Email Cleaner'!$J$2:$J$10001,0)),"")</f>
        <v/>
      </c>
    </row>
    <row r="8897">
      <c r="A8897">
        <f>IFERROR(INDEX('Email Cleaner'!$B$2:$B$10001,MATCH(8896,'Email Cleaner'!$J$2:$J$10001,0)),"")</f>
        <v/>
      </c>
    </row>
    <row r="8898">
      <c r="A8898">
        <f>IFERROR(INDEX('Email Cleaner'!$B$2:$B$10001,MATCH(8897,'Email Cleaner'!$J$2:$J$10001,0)),"")</f>
        <v/>
      </c>
    </row>
    <row r="8899">
      <c r="A8899">
        <f>IFERROR(INDEX('Email Cleaner'!$B$2:$B$10001,MATCH(8898,'Email Cleaner'!$J$2:$J$10001,0)),"")</f>
        <v/>
      </c>
    </row>
    <row r="8900">
      <c r="A8900">
        <f>IFERROR(INDEX('Email Cleaner'!$B$2:$B$10001,MATCH(8899,'Email Cleaner'!$J$2:$J$10001,0)),"")</f>
        <v/>
      </c>
    </row>
    <row r="8901">
      <c r="A8901">
        <f>IFERROR(INDEX('Email Cleaner'!$B$2:$B$10001,MATCH(8900,'Email Cleaner'!$J$2:$J$10001,0)),"")</f>
        <v/>
      </c>
    </row>
    <row r="8902">
      <c r="A8902">
        <f>IFERROR(INDEX('Email Cleaner'!$B$2:$B$10001,MATCH(8901,'Email Cleaner'!$J$2:$J$10001,0)),"")</f>
        <v/>
      </c>
    </row>
    <row r="8903">
      <c r="A8903">
        <f>IFERROR(INDEX('Email Cleaner'!$B$2:$B$10001,MATCH(8902,'Email Cleaner'!$J$2:$J$10001,0)),"")</f>
        <v/>
      </c>
    </row>
    <row r="8904">
      <c r="A8904">
        <f>IFERROR(INDEX('Email Cleaner'!$B$2:$B$10001,MATCH(8903,'Email Cleaner'!$J$2:$J$10001,0)),"")</f>
        <v/>
      </c>
    </row>
    <row r="8905">
      <c r="A8905">
        <f>IFERROR(INDEX('Email Cleaner'!$B$2:$B$10001,MATCH(8904,'Email Cleaner'!$J$2:$J$10001,0)),"")</f>
        <v/>
      </c>
    </row>
    <row r="8906">
      <c r="A8906">
        <f>IFERROR(INDEX('Email Cleaner'!$B$2:$B$10001,MATCH(8905,'Email Cleaner'!$J$2:$J$10001,0)),"")</f>
        <v/>
      </c>
    </row>
    <row r="8907">
      <c r="A8907">
        <f>IFERROR(INDEX('Email Cleaner'!$B$2:$B$10001,MATCH(8906,'Email Cleaner'!$J$2:$J$10001,0)),"")</f>
        <v/>
      </c>
    </row>
    <row r="8908">
      <c r="A8908">
        <f>IFERROR(INDEX('Email Cleaner'!$B$2:$B$10001,MATCH(8907,'Email Cleaner'!$J$2:$J$10001,0)),"")</f>
        <v/>
      </c>
    </row>
    <row r="8909">
      <c r="A8909">
        <f>IFERROR(INDEX('Email Cleaner'!$B$2:$B$10001,MATCH(8908,'Email Cleaner'!$J$2:$J$10001,0)),"")</f>
        <v/>
      </c>
    </row>
    <row r="8910">
      <c r="A8910">
        <f>IFERROR(INDEX('Email Cleaner'!$B$2:$B$10001,MATCH(8909,'Email Cleaner'!$J$2:$J$10001,0)),"")</f>
        <v/>
      </c>
    </row>
    <row r="8911">
      <c r="A8911">
        <f>IFERROR(INDEX('Email Cleaner'!$B$2:$B$10001,MATCH(8910,'Email Cleaner'!$J$2:$J$10001,0)),"")</f>
        <v/>
      </c>
    </row>
    <row r="8912">
      <c r="A8912">
        <f>IFERROR(INDEX('Email Cleaner'!$B$2:$B$10001,MATCH(8911,'Email Cleaner'!$J$2:$J$10001,0)),"")</f>
        <v/>
      </c>
    </row>
    <row r="8913">
      <c r="A8913">
        <f>IFERROR(INDEX('Email Cleaner'!$B$2:$B$10001,MATCH(8912,'Email Cleaner'!$J$2:$J$10001,0)),"")</f>
        <v/>
      </c>
    </row>
    <row r="8914">
      <c r="A8914">
        <f>IFERROR(INDEX('Email Cleaner'!$B$2:$B$10001,MATCH(8913,'Email Cleaner'!$J$2:$J$10001,0)),"")</f>
        <v/>
      </c>
    </row>
    <row r="8915">
      <c r="A8915">
        <f>IFERROR(INDEX('Email Cleaner'!$B$2:$B$10001,MATCH(8914,'Email Cleaner'!$J$2:$J$10001,0)),"")</f>
        <v/>
      </c>
    </row>
    <row r="8916">
      <c r="A8916">
        <f>IFERROR(INDEX('Email Cleaner'!$B$2:$B$10001,MATCH(8915,'Email Cleaner'!$J$2:$J$10001,0)),"")</f>
        <v/>
      </c>
    </row>
    <row r="8917">
      <c r="A8917">
        <f>IFERROR(INDEX('Email Cleaner'!$B$2:$B$10001,MATCH(8916,'Email Cleaner'!$J$2:$J$10001,0)),"")</f>
        <v/>
      </c>
    </row>
    <row r="8918">
      <c r="A8918">
        <f>IFERROR(INDEX('Email Cleaner'!$B$2:$B$10001,MATCH(8917,'Email Cleaner'!$J$2:$J$10001,0)),"")</f>
        <v/>
      </c>
    </row>
    <row r="8919">
      <c r="A8919">
        <f>IFERROR(INDEX('Email Cleaner'!$B$2:$B$10001,MATCH(8918,'Email Cleaner'!$J$2:$J$10001,0)),"")</f>
        <v/>
      </c>
    </row>
    <row r="8920">
      <c r="A8920">
        <f>IFERROR(INDEX('Email Cleaner'!$B$2:$B$10001,MATCH(8919,'Email Cleaner'!$J$2:$J$10001,0)),"")</f>
        <v/>
      </c>
    </row>
    <row r="8921">
      <c r="A8921">
        <f>IFERROR(INDEX('Email Cleaner'!$B$2:$B$10001,MATCH(8920,'Email Cleaner'!$J$2:$J$10001,0)),"")</f>
        <v/>
      </c>
    </row>
    <row r="8922">
      <c r="A8922">
        <f>IFERROR(INDEX('Email Cleaner'!$B$2:$B$10001,MATCH(8921,'Email Cleaner'!$J$2:$J$10001,0)),"")</f>
        <v/>
      </c>
    </row>
    <row r="8923">
      <c r="A8923">
        <f>IFERROR(INDEX('Email Cleaner'!$B$2:$B$10001,MATCH(8922,'Email Cleaner'!$J$2:$J$10001,0)),"")</f>
        <v/>
      </c>
    </row>
    <row r="8924">
      <c r="A8924">
        <f>IFERROR(INDEX('Email Cleaner'!$B$2:$B$10001,MATCH(8923,'Email Cleaner'!$J$2:$J$10001,0)),"")</f>
        <v/>
      </c>
    </row>
    <row r="8925">
      <c r="A8925">
        <f>IFERROR(INDEX('Email Cleaner'!$B$2:$B$10001,MATCH(8924,'Email Cleaner'!$J$2:$J$10001,0)),"")</f>
        <v/>
      </c>
    </row>
    <row r="8926">
      <c r="A8926">
        <f>IFERROR(INDEX('Email Cleaner'!$B$2:$B$10001,MATCH(8925,'Email Cleaner'!$J$2:$J$10001,0)),"")</f>
        <v/>
      </c>
    </row>
    <row r="8927">
      <c r="A8927">
        <f>IFERROR(INDEX('Email Cleaner'!$B$2:$B$10001,MATCH(8926,'Email Cleaner'!$J$2:$J$10001,0)),"")</f>
        <v/>
      </c>
    </row>
    <row r="8928">
      <c r="A8928">
        <f>IFERROR(INDEX('Email Cleaner'!$B$2:$B$10001,MATCH(8927,'Email Cleaner'!$J$2:$J$10001,0)),"")</f>
        <v/>
      </c>
    </row>
    <row r="8929">
      <c r="A8929">
        <f>IFERROR(INDEX('Email Cleaner'!$B$2:$B$10001,MATCH(8928,'Email Cleaner'!$J$2:$J$10001,0)),"")</f>
        <v/>
      </c>
    </row>
    <row r="8930">
      <c r="A8930">
        <f>IFERROR(INDEX('Email Cleaner'!$B$2:$B$10001,MATCH(8929,'Email Cleaner'!$J$2:$J$10001,0)),"")</f>
        <v/>
      </c>
    </row>
    <row r="8931">
      <c r="A8931">
        <f>IFERROR(INDEX('Email Cleaner'!$B$2:$B$10001,MATCH(8930,'Email Cleaner'!$J$2:$J$10001,0)),"")</f>
        <v/>
      </c>
    </row>
    <row r="8932">
      <c r="A8932">
        <f>IFERROR(INDEX('Email Cleaner'!$B$2:$B$10001,MATCH(8931,'Email Cleaner'!$J$2:$J$10001,0)),"")</f>
        <v/>
      </c>
    </row>
    <row r="8933">
      <c r="A8933">
        <f>IFERROR(INDEX('Email Cleaner'!$B$2:$B$10001,MATCH(8932,'Email Cleaner'!$J$2:$J$10001,0)),"")</f>
        <v/>
      </c>
    </row>
    <row r="8934">
      <c r="A8934">
        <f>IFERROR(INDEX('Email Cleaner'!$B$2:$B$10001,MATCH(8933,'Email Cleaner'!$J$2:$J$10001,0)),"")</f>
        <v/>
      </c>
    </row>
    <row r="8935">
      <c r="A8935">
        <f>IFERROR(INDEX('Email Cleaner'!$B$2:$B$10001,MATCH(8934,'Email Cleaner'!$J$2:$J$10001,0)),"")</f>
        <v/>
      </c>
    </row>
    <row r="8936">
      <c r="A8936">
        <f>IFERROR(INDEX('Email Cleaner'!$B$2:$B$10001,MATCH(8935,'Email Cleaner'!$J$2:$J$10001,0)),"")</f>
        <v/>
      </c>
    </row>
    <row r="8937">
      <c r="A8937">
        <f>IFERROR(INDEX('Email Cleaner'!$B$2:$B$10001,MATCH(8936,'Email Cleaner'!$J$2:$J$10001,0)),"")</f>
        <v/>
      </c>
    </row>
    <row r="8938">
      <c r="A8938">
        <f>IFERROR(INDEX('Email Cleaner'!$B$2:$B$10001,MATCH(8937,'Email Cleaner'!$J$2:$J$10001,0)),"")</f>
        <v/>
      </c>
    </row>
    <row r="8939">
      <c r="A8939">
        <f>IFERROR(INDEX('Email Cleaner'!$B$2:$B$10001,MATCH(8938,'Email Cleaner'!$J$2:$J$10001,0)),"")</f>
        <v/>
      </c>
    </row>
    <row r="8940">
      <c r="A8940">
        <f>IFERROR(INDEX('Email Cleaner'!$B$2:$B$10001,MATCH(8939,'Email Cleaner'!$J$2:$J$10001,0)),"")</f>
        <v/>
      </c>
    </row>
    <row r="8941">
      <c r="A8941">
        <f>IFERROR(INDEX('Email Cleaner'!$B$2:$B$10001,MATCH(8940,'Email Cleaner'!$J$2:$J$10001,0)),"")</f>
        <v/>
      </c>
    </row>
    <row r="8942">
      <c r="A8942">
        <f>IFERROR(INDEX('Email Cleaner'!$B$2:$B$10001,MATCH(8941,'Email Cleaner'!$J$2:$J$10001,0)),"")</f>
        <v/>
      </c>
    </row>
    <row r="8943">
      <c r="A8943">
        <f>IFERROR(INDEX('Email Cleaner'!$B$2:$B$10001,MATCH(8942,'Email Cleaner'!$J$2:$J$10001,0)),"")</f>
        <v/>
      </c>
    </row>
    <row r="8944">
      <c r="A8944">
        <f>IFERROR(INDEX('Email Cleaner'!$B$2:$B$10001,MATCH(8943,'Email Cleaner'!$J$2:$J$10001,0)),"")</f>
        <v/>
      </c>
    </row>
    <row r="8945">
      <c r="A8945">
        <f>IFERROR(INDEX('Email Cleaner'!$B$2:$B$10001,MATCH(8944,'Email Cleaner'!$J$2:$J$10001,0)),"")</f>
        <v/>
      </c>
    </row>
    <row r="8946">
      <c r="A8946">
        <f>IFERROR(INDEX('Email Cleaner'!$B$2:$B$10001,MATCH(8945,'Email Cleaner'!$J$2:$J$10001,0)),"")</f>
        <v/>
      </c>
    </row>
    <row r="8947">
      <c r="A8947">
        <f>IFERROR(INDEX('Email Cleaner'!$B$2:$B$10001,MATCH(8946,'Email Cleaner'!$J$2:$J$10001,0)),"")</f>
        <v/>
      </c>
    </row>
    <row r="8948">
      <c r="A8948">
        <f>IFERROR(INDEX('Email Cleaner'!$B$2:$B$10001,MATCH(8947,'Email Cleaner'!$J$2:$J$10001,0)),"")</f>
        <v/>
      </c>
    </row>
    <row r="8949">
      <c r="A8949">
        <f>IFERROR(INDEX('Email Cleaner'!$B$2:$B$10001,MATCH(8948,'Email Cleaner'!$J$2:$J$10001,0)),"")</f>
        <v/>
      </c>
    </row>
    <row r="8950">
      <c r="A8950">
        <f>IFERROR(INDEX('Email Cleaner'!$B$2:$B$10001,MATCH(8949,'Email Cleaner'!$J$2:$J$10001,0)),"")</f>
        <v/>
      </c>
    </row>
    <row r="8951">
      <c r="A8951">
        <f>IFERROR(INDEX('Email Cleaner'!$B$2:$B$10001,MATCH(8950,'Email Cleaner'!$J$2:$J$10001,0)),"")</f>
        <v/>
      </c>
    </row>
    <row r="8952">
      <c r="A8952">
        <f>IFERROR(INDEX('Email Cleaner'!$B$2:$B$10001,MATCH(8951,'Email Cleaner'!$J$2:$J$10001,0)),"")</f>
        <v/>
      </c>
    </row>
    <row r="8953">
      <c r="A8953">
        <f>IFERROR(INDEX('Email Cleaner'!$B$2:$B$10001,MATCH(8952,'Email Cleaner'!$J$2:$J$10001,0)),"")</f>
        <v/>
      </c>
    </row>
    <row r="8954">
      <c r="A8954">
        <f>IFERROR(INDEX('Email Cleaner'!$B$2:$B$10001,MATCH(8953,'Email Cleaner'!$J$2:$J$10001,0)),"")</f>
        <v/>
      </c>
    </row>
    <row r="8955">
      <c r="A8955">
        <f>IFERROR(INDEX('Email Cleaner'!$B$2:$B$10001,MATCH(8954,'Email Cleaner'!$J$2:$J$10001,0)),"")</f>
        <v/>
      </c>
    </row>
    <row r="8956">
      <c r="A8956">
        <f>IFERROR(INDEX('Email Cleaner'!$B$2:$B$10001,MATCH(8955,'Email Cleaner'!$J$2:$J$10001,0)),"")</f>
        <v/>
      </c>
    </row>
    <row r="8957">
      <c r="A8957">
        <f>IFERROR(INDEX('Email Cleaner'!$B$2:$B$10001,MATCH(8956,'Email Cleaner'!$J$2:$J$10001,0)),"")</f>
        <v/>
      </c>
    </row>
    <row r="8958">
      <c r="A8958">
        <f>IFERROR(INDEX('Email Cleaner'!$B$2:$B$10001,MATCH(8957,'Email Cleaner'!$J$2:$J$10001,0)),"")</f>
        <v/>
      </c>
    </row>
    <row r="8959">
      <c r="A8959">
        <f>IFERROR(INDEX('Email Cleaner'!$B$2:$B$10001,MATCH(8958,'Email Cleaner'!$J$2:$J$10001,0)),"")</f>
        <v/>
      </c>
    </row>
    <row r="8960">
      <c r="A8960">
        <f>IFERROR(INDEX('Email Cleaner'!$B$2:$B$10001,MATCH(8959,'Email Cleaner'!$J$2:$J$10001,0)),"")</f>
        <v/>
      </c>
    </row>
    <row r="8961">
      <c r="A8961">
        <f>IFERROR(INDEX('Email Cleaner'!$B$2:$B$10001,MATCH(8960,'Email Cleaner'!$J$2:$J$10001,0)),"")</f>
        <v/>
      </c>
    </row>
    <row r="8962">
      <c r="A8962">
        <f>IFERROR(INDEX('Email Cleaner'!$B$2:$B$10001,MATCH(8961,'Email Cleaner'!$J$2:$J$10001,0)),"")</f>
        <v/>
      </c>
    </row>
    <row r="8963">
      <c r="A8963">
        <f>IFERROR(INDEX('Email Cleaner'!$B$2:$B$10001,MATCH(8962,'Email Cleaner'!$J$2:$J$10001,0)),"")</f>
        <v/>
      </c>
    </row>
    <row r="8964">
      <c r="A8964">
        <f>IFERROR(INDEX('Email Cleaner'!$B$2:$B$10001,MATCH(8963,'Email Cleaner'!$J$2:$J$10001,0)),"")</f>
        <v/>
      </c>
    </row>
    <row r="8965">
      <c r="A8965">
        <f>IFERROR(INDEX('Email Cleaner'!$B$2:$B$10001,MATCH(8964,'Email Cleaner'!$J$2:$J$10001,0)),"")</f>
        <v/>
      </c>
    </row>
    <row r="8966">
      <c r="A8966">
        <f>IFERROR(INDEX('Email Cleaner'!$B$2:$B$10001,MATCH(8965,'Email Cleaner'!$J$2:$J$10001,0)),"")</f>
        <v/>
      </c>
    </row>
    <row r="8967">
      <c r="A8967">
        <f>IFERROR(INDEX('Email Cleaner'!$B$2:$B$10001,MATCH(8966,'Email Cleaner'!$J$2:$J$10001,0)),"")</f>
        <v/>
      </c>
    </row>
    <row r="8968">
      <c r="A8968">
        <f>IFERROR(INDEX('Email Cleaner'!$B$2:$B$10001,MATCH(8967,'Email Cleaner'!$J$2:$J$10001,0)),"")</f>
        <v/>
      </c>
    </row>
    <row r="8969">
      <c r="A8969">
        <f>IFERROR(INDEX('Email Cleaner'!$B$2:$B$10001,MATCH(8968,'Email Cleaner'!$J$2:$J$10001,0)),"")</f>
        <v/>
      </c>
    </row>
    <row r="8970">
      <c r="A8970">
        <f>IFERROR(INDEX('Email Cleaner'!$B$2:$B$10001,MATCH(8969,'Email Cleaner'!$J$2:$J$10001,0)),"")</f>
        <v/>
      </c>
    </row>
    <row r="8971">
      <c r="A8971">
        <f>IFERROR(INDEX('Email Cleaner'!$B$2:$B$10001,MATCH(8970,'Email Cleaner'!$J$2:$J$10001,0)),"")</f>
        <v/>
      </c>
    </row>
    <row r="8972">
      <c r="A8972">
        <f>IFERROR(INDEX('Email Cleaner'!$B$2:$B$10001,MATCH(8971,'Email Cleaner'!$J$2:$J$10001,0)),"")</f>
        <v/>
      </c>
    </row>
    <row r="8973">
      <c r="A8973">
        <f>IFERROR(INDEX('Email Cleaner'!$B$2:$B$10001,MATCH(8972,'Email Cleaner'!$J$2:$J$10001,0)),"")</f>
        <v/>
      </c>
    </row>
    <row r="8974">
      <c r="A8974">
        <f>IFERROR(INDEX('Email Cleaner'!$B$2:$B$10001,MATCH(8973,'Email Cleaner'!$J$2:$J$10001,0)),"")</f>
        <v/>
      </c>
    </row>
    <row r="8975">
      <c r="A8975">
        <f>IFERROR(INDEX('Email Cleaner'!$B$2:$B$10001,MATCH(8974,'Email Cleaner'!$J$2:$J$10001,0)),"")</f>
        <v/>
      </c>
    </row>
    <row r="8976">
      <c r="A8976">
        <f>IFERROR(INDEX('Email Cleaner'!$B$2:$B$10001,MATCH(8975,'Email Cleaner'!$J$2:$J$10001,0)),"")</f>
        <v/>
      </c>
    </row>
    <row r="8977">
      <c r="A8977">
        <f>IFERROR(INDEX('Email Cleaner'!$B$2:$B$10001,MATCH(8976,'Email Cleaner'!$J$2:$J$10001,0)),"")</f>
        <v/>
      </c>
    </row>
    <row r="8978">
      <c r="A8978">
        <f>IFERROR(INDEX('Email Cleaner'!$B$2:$B$10001,MATCH(8977,'Email Cleaner'!$J$2:$J$10001,0)),"")</f>
        <v/>
      </c>
    </row>
    <row r="8979">
      <c r="A8979">
        <f>IFERROR(INDEX('Email Cleaner'!$B$2:$B$10001,MATCH(8978,'Email Cleaner'!$J$2:$J$10001,0)),"")</f>
        <v/>
      </c>
    </row>
    <row r="8980">
      <c r="A8980">
        <f>IFERROR(INDEX('Email Cleaner'!$B$2:$B$10001,MATCH(8979,'Email Cleaner'!$J$2:$J$10001,0)),"")</f>
        <v/>
      </c>
    </row>
    <row r="8981">
      <c r="A8981">
        <f>IFERROR(INDEX('Email Cleaner'!$B$2:$B$10001,MATCH(8980,'Email Cleaner'!$J$2:$J$10001,0)),"")</f>
        <v/>
      </c>
    </row>
    <row r="8982">
      <c r="A8982">
        <f>IFERROR(INDEX('Email Cleaner'!$B$2:$B$10001,MATCH(8981,'Email Cleaner'!$J$2:$J$10001,0)),"")</f>
        <v/>
      </c>
    </row>
    <row r="8983">
      <c r="A8983">
        <f>IFERROR(INDEX('Email Cleaner'!$B$2:$B$10001,MATCH(8982,'Email Cleaner'!$J$2:$J$10001,0)),"")</f>
        <v/>
      </c>
    </row>
    <row r="8984">
      <c r="A8984">
        <f>IFERROR(INDEX('Email Cleaner'!$B$2:$B$10001,MATCH(8983,'Email Cleaner'!$J$2:$J$10001,0)),"")</f>
        <v/>
      </c>
    </row>
    <row r="8985">
      <c r="A8985">
        <f>IFERROR(INDEX('Email Cleaner'!$B$2:$B$10001,MATCH(8984,'Email Cleaner'!$J$2:$J$10001,0)),"")</f>
        <v/>
      </c>
    </row>
    <row r="8986">
      <c r="A8986">
        <f>IFERROR(INDEX('Email Cleaner'!$B$2:$B$10001,MATCH(8985,'Email Cleaner'!$J$2:$J$10001,0)),"")</f>
        <v/>
      </c>
    </row>
    <row r="8987">
      <c r="A8987">
        <f>IFERROR(INDEX('Email Cleaner'!$B$2:$B$10001,MATCH(8986,'Email Cleaner'!$J$2:$J$10001,0)),"")</f>
        <v/>
      </c>
    </row>
    <row r="8988">
      <c r="A8988">
        <f>IFERROR(INDEX('Email Cleaner'!$B$2:$B$10001,MATCH(8987,'Email Cleaner'!$J$2:$J$10001,0)),"")</f>
        <v/>
      </c>
    </row>
    <row r="8989">
      <c r="A8989">
        <f>IFERROR(INDEX('Email Cleaner'!$B$2:$B$10001,MATCH(8988,'Email Cleaner'!$J$2:$J$10001,0)),"")</f>
        <v/>
      </c>
    </row>
    <row r="8990">
      <c r="A8990">
        <f>IFERROR(INDEX('Email Cleaner'!$B$2:$B$10001,MATCH(8989,'Email Cleaner'!$J$2:$J$10001,0)),"")</f>
        <v/>
      </c>
    </row>
    <row r="8991">
      <c r="A8991">
        <f>IFERROR(INDEX('Email Cleaner'!$B$2:$B$10001,MATCH(8990,'Email Cleaner'!$J$2:$J$10001,0)),"")</f>
        <v/>
      </c>
    </row>
    <row r="8992">
      <c r="A8992">
        <f>IFERROR(INDEX('Email Cleaner'!$B$2:$B$10001,MATCH(8991,'Email Cleaner'!$J$2:$J$10001,0)),"")</f>
        <v/>
      </c>
    </row>
    <row r="8993">
      <c r="A8993">
        <f>IFERROR(INDEX('Email Cleaner'!$B$2:$B$10001,MATCH(8992,'Email Cleaner'!$J$2:$J$10001,0)),"")</f>
        <v/>
      </c>
    </row>
    <row r="8994">
      <c r="A8994">
        <f>IFERROR(INDEX('Email Cleaner'!$B$2:$B$10001,MATCH(8993,'Email Cleaner'!$J$2:$J$10001,0)),"")</f>
        <v/>
      </c>
    </row>
    <row r="8995">
      <c r="A8995">
        <f>IFERROR(INDEX('Email Cleaner'!$B$2:$B$10001,MATCH(8994,'Email Cleaner'!$J$2:$J$10001,0)),"")</f>
        <v/>
      </c>
    </row>
    <row r="8996">
      <c r="A8996">
        <f>IFERROR(INDEX('Email Cleaner'!$B$2:$B$10001,MATCH(8995,'Email Cleaner'!$J$2:$J$10001,0)),"")</f>
        <v/>
      </c>
    </row>
    <row r="8997">
      <c r="A8997">
        <f>IFERROR(INDEX('Email Cleaner'!$B$2:$B$10001,MATCH(8996,'Email Cleaner'!$J$2:$J$10001,0)),"")</f>
        <v/>
      </c>
    </row>
    <row r="8998">
      <c r="A8998">
        <f>IFERROR(INDEX('Email Cleaner'!$B$2:$B$10001,MATCH(8997,'Email Cleaner'!$J$2:$J$10001,0)),"")</f>
        <v/>
      </c>
    </row>
    <row r="8999">
      <c r="A8999">
        <f>IFERROR(INDEX('Email Cleaner'!$B$2:$B$10001,MATCH(8998,'Email Cleaner'!$J$2:$J$10001,0)),"")</f>
        <v/>
      </c>
    </row>
    <row r="9000">
      <c r="A9000">
        <f>IFERROR(INDEX('Email Cleaner'!$B$2:$B$10001,MATCH(8999,'Email Cleaner'!$J$2:$J$10001,0)),"")</f>
        <v/>
      </c>
    </row>
    <row r="9001">
      <c r="A9001">
        <f>IFERROR(INDEX('Email Cleaner'!$B$2:$B$10001,MATCH(9000,'Email Cleaner'!$J$2:$J$10001,0)),"")</f>
        <v/>
      </c>
    </row>
    <row r="9002">
      <c r="A9002">
        <f>IFERROR(INDEX('Email Cleaner'!$B$2:$B$10001,MATCH(9001,'Email Cleaner'!$J$2:$J$10001,0)),"")</f>
        <v/>
      </c>
    </row>
    <row r="9003">
      <c r="A9003">
        <f>IFERROR(INDEX('Email Cleaner'!$B$2:$B$10001,MATCH(9002,'Email Cleaner'!$J$2:$J$10001,0)),"")</f>
        <v/>
      </c>
    </row>
    <row r="9004">
      <c r="A9004">
        <f>IFERROR(INDEX('Email Cleaner'!$B$2:$B$10001,MATCH(9003,'Email Cleaner'!$J$2:$J$10001,0)),"")</f>
        <v/>
      </c>
    </row>
    <row r="9005">
      <c r="A9005">
        <f>IFERROR(INDEX('Email Cleaner'!$B$2:$B$10001,MATCH(9004,'Email Cleaner'!$J$2:$J$10001,0)),"")</f>
        <v/>
      </c>
    </row>
    <row r="9006">
      <c r="A9006">
        <f>IFERROR(INDEX('Email Cleaner'!$B$2:$B$10001,MATCH(9005,'Email Cleaner'!$J$2:$J$10001,0)),"")</f>
        <v/>
      </c>
    </row>
    <row r="9007">
      <c r="A9007">
        <f>IFERROR(INDEX('Email Cleaner'!$B$2:$B$10001,MATCH(9006,'Email Cleaner'!$J$2:$J$10001,0)),"")</f>
        <v/>
      </c>
    </row>
    <row r="9008">
      <c r="A9008">
        <f>IFERROR(INDEX('Email Cleaner'!$B$2:$B$10001,MATCH(9007,'Email Cleaner'!$J$2:$J$10001,0)),"")</f>
        <v/>
      </c>
    </row>
    <row r="9009">
      <c r="A9009">
        <f>IFERROR(INDEX('Email Cleaner'!$B$2:$B$10001,MATCH(9008,'Email Cleaner'!$J$2:$J$10001,0)),"")</f>
        <v/>
      </c>
    </row>
    <row r="9010">
      <c r="A9010">
        <f>IFERROR(INDEX('Email Cleaner'!$B$2:$B$10001,MATCH(9009,'Email Cleaner'!$J$2:$J$10001,0)),"")</f>
        <v/>
      </c>
    </row>
    <row r="9011">
      <c r="A9011">
        <f>IFERROR(INDEX('Email Cleaner'!$B$2:$B$10001,MATCH(9010,'Email Cleaner'!$J$2:$J$10001,0)),"")</f>
        <v/>
      </c>
    </row>
    <row r="9012">
      <c r="A9012">
        <f>IFERROR(INDEX('Email Cleaner'!$B$2:$B$10001,MATCH(9011,'Email Cleaner'!$J$2:$J$10001,0)),"")</f>
        <v/>
      </c>
    </row>
    <row r="9013">
      <c r="A9013">
        <f>IFERROR(INDEX('Email Cleaner'!$B$2:$B$10001,MATCH(9012,'Email Cleaner'!$J$2:$J$10001,0)),"")</f>
        <v/>
      </c>
    </row>
    <row r="9014">
      <c r="A9014">
        <f>IFERROR(INDEX('Email Cleaner'!$B$2:$B$10001,MATCH(9013,'Email Cleaner'!$J$2:$J$10001,0)),"")</f>
        <v/>
      </c>
    </row>
    <row r="9015">
      <c r="A9015">
        <f>IFERROR(INDEX('Email Cleaner'!$B$2:$B$10001,MATCH(9014,'Email Cleaner'!$J$2:$J$10001,0)),"")</f>
        <v/>
      </c>
    </row>
    <row r="9016">
      <c r="A9016">
        <f>IFERROR(INDEX('Email Cleaner'!$B$2:$B$10001,MATCH(9015,'Email Cleaner'!$J$2:$J$10001,0)),"")</f>
        <v/>
      </c>
    </row>
    <row r="9017">
      <c r="A9017">
        <f>IFERROR(INDEX('Email Cleaner'!$B$2:$B$10001,MATCH(9016,'Email Cleaner'!$J$2:$J$10001,0)),"")</f>
        <v/>
      </c>
    </row>
    <row r="9018">
      <c r="A9018">
        <f>IFERROR(INDEX('Email Cleaner'!$B$2:$B$10001,MATCH(9017,'Email Cleaner'!$J$2:$J$10001,0)),"")</f>
        <v/>
      </c>
    </row>
    <row r="9019">
      <c r="A9019">
        <f>IFERROR(INDEX('Email Cleaner'!$B$2:$B$10001,MATCH(9018,'Email Cleaner'!$J$2:$J$10001,0)),"")</f>
        <v/>
      </c>
    </row>
    <row r="9020">
      <c r="A9020">
        <f>IFERROR(INDEX('Email Cleaner'!$B$2:$B$10001,MATCH(9019,'Email Cleaner'!$J$2:$J$10001,0)),"")</f>
        <v/>
      </c>
    </row>
    <row r="9021">
      <c r="A9021">
        <f>IFERROR(INDEX('Email Cleaner'!$B$2:$B$10001,MATCH(9020,'Email Cleaner'!$J$2:$J$10001,0)),"")</f>
        <v/>
      </c>
    </row>
    <row r="9022">
      <c r="A9022">
        <f>IFERROR(INDEX('Email Cleaner'!$B$2:$B$10001,MATCH(9021,'Email Cleaner'!$J$2:$J$10001,0)),"")</f>
        <v/>
      </c>
    </row>
    <row r="9023">
      <c r="A9023">
        <f>IFERROR(INDEX('Email Cleaner'!$B$2:$B$10001,MATCH(9022,'Email Cleaner'!$J$2:$J$10001,0)),"")</f>
        <v/>
      </c>
    </row>
    <row r="9024">
      <c r="A9024">
        <f>IFERROR(INDEX('Email Cleaner'!$B$2:$B$10001,MATCH(9023,'Email Cleaner'!$J$2:$J$10001,0)),"")</f>
        <v/>
      </c>
    </row>
    <row r="9025">
      <c r="A9025">
        <f>IFERROR(INDEX('Email Cleaner'!$B$2:$B$10001,MATCH(9024,'Email Cleaner'!$J$2:$J$10001,0)),"")</f>
        <v/>
      </c>
    </row>
    <row r="9026">
      <c r="A9026">
        <f>IFERROR(INDEX('Email Cleaner'!$B$2:$B$10001,MATCH(9025,'Email Cleaner'!$J$2:$J$10001,0)),"")</f>
        <v/>
      </c>
    </row>
    <row r="9027">
      <c r="A9027">
        <f>IFERROR(INDEX('Email Cleaner'!$B$2:$B$10001,MATCH(9026,'Email Cleaner'!$J$2:$J$10001,0)),"")</f>
        <v/>
      </c>
    </row>
    <row r="9028">
      <c r="A9028">
        <f>IFERROR(INDEX('Email Cleaner'!$B$2:$B$10001,MATCH(9027,'Email Cleaner'!$J$2:$J$10001,0)),"")</f>
        <v/>
      </c>
    </row>
    <row r="9029">
      <c r="A9029">
        <f>IFERROR(INDEX('Email Cleaner'!$B$2:$B$10001,MATCH(9028,'Email Cleaner'!$J$2:$J$10001,0)),"")</f>
        <v/>
      </c>
    </row>
    <row r="9030">
      <c r="A9030">
        <f>IFERROR(INDEX('Email Cleaner'!$B$2:$B$10001,MATCH(9029,'Email Cleaner'!$J$2:$J$10001,0)),"")</f>
        <v/>
      </c>
    </row>
    <row r="9031">
      <c r="A9031">
        <f>IFERROR(INDEX('Email Cleaner'!$B$2:$B$10001,MATCH(9030,'Email Cleaner'!$J$2:$J$10001,0)),"")</f>
        <v/>
      </c>
    </row>
    <row r="9032">
      <c r="A9032">
        <f>IFERROR(INDEX('Email Cleaner'!$B$2:$B$10001,MATCH(9031,'Email Cleaner'!$J$2:$J$10001,0)),"")</f>
        <v/>
      </c>
    </row>
    <row r="9033">
      <c r="A9033">
        <f>IFERROR(INDEX('Email Cleaner'!$B$2:$B$10001,MATCH(9032,'Email Cleaner'!$J$2:$J$10001,0)),"")</f>
        <v/>
      </c>
    </row>
    <row r="9034">
      <c r="A9034">
        <f>IFERROR(INDEX('Email Cleaner'!$B$2:$B$10001,MATCH(9033,'Email Cleaner'!$J$2:$J$10001,0)),"")</f>
        <v/>
      </c>
    </row>
    <row r="9035">
      <c r="A9035">
        <f>IFERROR(INDEX('Email Cleaner'!$B$2:$B$10001,MATCH(9034,'Email Cleaner'!$J$2:$J$10001,0)),"")</f>
        <v/>
      </c>
    </row>
    <row r="9036">
      <c r="A9036">
        <f>IFERROR(INDEX('Email Cleaner'!$B$2:$B$10001,MATCH(9035,'Email Cleaner'!$J$2:$J$10001,0)),"")</f>
        <v/>
      </c>
    </row>
    <row r="9037">
      <c r="A9037">
        <f>IFERROR(INDEX('Email Cleaner'!$B$2:$B$10001,MATCH(9036,'Email Cleaner'!$J$2:$J$10001,0)),"")</f>
        <v/>
      </c>
    </row>
    <row r="9038">
      <c r="A9038">
        <f>IFERROR(INDEX('Email Cleaner'!$B$2:$B$10001,MATCH(9037,'Email Cleaner'!$J$2:$J$10001,0)),"")</f>
        <v/>
      </c>
    </row>
    <row r="9039">
      <c r="A9039">
        <f>IFERROR(INDEX('Email Cleaner'!$B$2:$B$10001,MATCH(9038,'Email Cleaner'!$J$2:$J$10001,0)),"")</f>
        <v/>
      </c>
    </row>
    <row r="9040">
      <c r="A9040">
        <f>IFERROR(INDEX('Email Cleaner'!$B$2:$B$10001,MATCH(9039,'Email Cleaner'!$J$2:$J$10001,0)),"")</f>
        <v/>
      </c>
    </row>
    <row r="9041">
      <c r="A9041">
        <f>IFERROR(INDEX('Email Cleaner'!$B$2:$B$10001,MATCH(9040,'Email Cleaner'!$J$2:$J$10001,0)),"")</f>
        <v/>
      </c>
    </row>
    <row r="9042">
      <c r="A9042">
        <f>IFERROR(INDEX('Email Cleaner'!$B$2:$B$10001,MATCH(9041,'Email Cleaner'!$J$2:$J$10001,0)),"")</f>
        <v/>
      </c>
    </row>
    <row r="9043">
      <c r="A9043">
        <f>IFERROR(INDEX('Email Cleaner'!$B$2:$B$10001,MATCH(9042,'Email Cleaner'!$J$2:$J$10001,0)),"")</f>
        <v/>
      </c>
    </row>
    <row r="9044">
      <c r="A9044">
        <f>IFERROR(INDEX('Email Cleaner'!$B$2:$B$10001,MATCH(9043,'Email Cleaner'!$J$2:$J$10001,0)),"")</f>
        <v/>
      </c>
    </row>
    <row r="9045">
      <c r="A9045">
        <f>IFERROR(INDEX('Email Cleaner'!$B$2:$B$10001,MATCH(9044,'Email Cleaner'!$J$2:$J$10001,0)),"")</f>
        <v/>
      </c>
    </row>
    <row r="9046">
      <c r="A9046">
        <f>IFERROR(INDEX('Email Cleaner'!$B$2:$B$10001,MATCH(9045,'Email Cleaner'!$J$2:$J$10001,0)),"")</f>
        <v/>
      </c>
    </row>
    <row r="9047">
      <c r="A9047">
        <f>IFERROR(INDEX('Email Cleaner'!$B$2:$B$10001,MATCH(9046,'Email Cleaner'!$J$2:$J$10001,0)),"")</f>
        <v/>
      </c>
    </row>
    <row r="9048">
      <c r="A9048">
        <f>IFERROR(INDEX('Email Cleaner'!$B$2:$B$10001,MATCH(9047,'Email Cleaner'!$J$2:$J$10001,0)),"")</f>
        <v/>
      </c>
    </row>
    <row r="9049">
      <c r="A9049">
        <f>IFERROR(INDEX('Email Cleaner'!$B$2:$B$10001,MATCH(9048,'Email Cleaner'!$J$2:$J$10001,0)),"")</f>
        <v/>
      </c>
    </row>
    <row r="9050">
      <c r="A9050">
        <f>IFERROR(INDEX('Email Cleaner'!$B$2:$B$10001,MATCH(9049,'Email Cleaner'!$J$2:$J$10001,0)),"")</f>
        <v/>
      </c>
    </row>
    <row r="9051">
      <c r="A9051">
        <f>IFERROR(INDEX('Email Cleaner'!$B$2:$B$10001,MATCH(9050,'Email Cleaner'!$J$2:$J$10001,0)),"")</f>
        <v/>
      </c>
    </row>
    <row r="9052">
      <c r="A9052">
        <f>IFERROR(INDEX('Email Cleaner'!$B$2:$B$10001,MATCH(9051,'Email Cleaner'!$J$2:$J$10001,0)),"")</f>
        <v/>
      </c>
    </row>
    <row r="9053">
      <c r="A9053">
        <f>IFERROR(INDEX('Email Cleaner'!$B$2:$B$10001,MATCH(9052,'Email Cleaner'!$J$2:$J$10001,0)),"")</f>
        <v/>
      </c>
    </row>
    <row r="9054">
      <c r="A9054">
        <f>IFERROR(INDEX('Email Cleaner'!$B$2:$B$10001,MATCH(9053,'Email Cleaner'!$J$2:$J$10001,0)),"")</f>
        <v/>
      </c>
    </row>
    <row r="9055">
      <c r="A9055">
        <f>IFERROR(INDEX('Email Cleaner'!$B$2:$B$10001,MATCH(9054,'Email Cleaner'!$J$2:$J$10001,0)),"")</f>
        <v/>
      </c>
    </row>
    <row r="9056">
      <c r="A9056">
        <f>IFERROR(INDEX('Email Cleaner'!$B$2:$B$10001,MATCH(9055,'Email Cleaner'!$J$2:$J$10001,0)),"")</f>
        <v/>
      </c>
    </row>
    <row r="9057">
      <c r="A9057">
        <f>IFERROR(INDEX('Email Cleaner'!$B$2:$B$10001,MATCH(9056,'Email Cleaner'!$J$2:$J$10001,0)),"")</f>
        <v/>
      </c>
    </row>
    <row r="9058">
      <c r="A9058">
        <f>IFERROR(INDEX('Email Cleaner'!$B$2:$B$10001,MATCH(9057,'Email Cleaner'!$J$2:$J$10001,0)),"")</f>
        <v/>
      </c>
    </row>
    <row r="9059">
      <c r="A9059">
        <f>IFERROR(INDEX('Email Cleaner'!$B$2:$B$10001,MATCH(9058,'Email Cleaner'!$J$2:$J$10001,0)),"")</f>
        <v/>
      </c>
    </row>
    <row r="9060">
      <c r="A9060">
        <f>IFERROR(INDEX('Email Cleaner'!$B$2:$B$10001,MATCH(9059,'Email Cleaner'!$J$2:$J$10001,0)),"")</f>
        <v/>
      </c>
    </row>
    <row r="9061">
      <c r="A9061">
        <f>IFERROR(INDEX('Email Cleaner'!$B$2:$B$10001,MATCH(9060,'Email Cleaner'!$J$2:$J$10001,0)),"")</f>
        <v/>
      </c>
    </row>
    <row r="9062">
      <c r="A9062">
        <f>IFERROR(INDEX('Email Cleaner'!$B$2:$B$10001,MATCH(9061,'Email Cleaner'!$J$2:$J$10001,0)),"")</f>
        <v/>
      </c>
    </row>
    <row r="9063">
      <c r="A9063">
        <f>IFERROR(INDEX('Email Cleaner'!$B$2:$B$10001,MATCH(9062,'Email Cleaner'!$J$2:$J$10001,0)),"")</f>
        <v/>
      </c>
    </row>
    <row r="9064">
      <c r="A9064">
        <f>IFERROR(INDEX('Email Cleaner'!$B$2:$B$10001,MATCH(9063,'Email Cleaner'!$J$2:$J$10001,0)),"")</f>
        <v/>
      </c>
    </row>
    <row r="9065">
      <c r="A9065">
        <f>IFERROR(INDEX('Email Cleaner'!$B$2:$B$10001,MATCH(9064,'Email Cleaner'!$J$2:$J$10001,0)),"")</f>
        <v/>
      </c>
    </row>
    <row r="9066">
      <c r="A9066">
        <f>IFERROR(INDEX('Email Cleaner'!$B$2:$B$10001,MATCH(9065,'Email Cleaner'!$J$2:$J$10001,0)),"")</f>
        <v/>
      </c>
    </row>
    <row r="9067">
      <c r="A9067">
        <f>IFERROR(INDEX('Email Cleaner'!$B$2:$B$10001,MATCH(9066,'Email Cleaner'!$J$2:$J$10001,0)),"")</f>
        <v/>
      </c>
    </row>
    <row r="9068">
      <c r="A9068">
        <f>IFERROR(INDEX('Email Cleaner'!$B$2:$B$10001,MATCH(9067,'Email Cleaner'!$J$2:$J$10001,0)),"")</f>
        <v/>
      </c>
    </row>
    <row r="9069">
      <c r="A9069">
        <f>IFERROR(INDEX('Email Cleaner'!$B$2:$B$10001,MATCH(9068,'Email Cleaner'!$J$2:$J$10001,0)),"")</f>
        <v/>
      </c>
    </row>
    <row r="9070">
      <c r="A9070">
        <f>IFERROR(INDEX('Email Cleaner'!$B$2:$B$10001,MATCH(9069,'Email Cleaner'!$J$2:$J$10001,0)),"")</f>
        <v/>
      </c>
    </row>
    <row r="9071">
      <c r="A9071">
        <f>IFERROR(INDEX('Email Cleaner'!$B$2:$B$10001,MATCH(9070,'Email Cleaner'!$J$2:$J$10001,0)),"")</f>
        <v/>
      </c>
    </row>
    <row r="9072">
      <c r="A9072">
        <f>IFERROR(INDEX('Email Cleaner'!$B$2:$B$10001,MATCH(9071,'Email Cleaner'!$J$2:$J$10001,0)),"")</f>
        <v/>
      </c>
    </row>
    <row r="9073">
      <c r="A9073">
        <f>IFERROR(INDEX('Email Cleaner'!$B$2:$B$10001,MATCH(9072,'Email Cleaner'!$J$2:$J$10001,0)),"")</f>
        <v/>
      </c>
    </row>
    <row r="9074">
      <c r="A9074">
        <f>IFERROR(INDEX('Email Cleaner'!$B$2:$B$10001,MATCH(9073,'Email Cleaner'!$J$2:$J$10001,0)),"")</f>
        <v/>
      </c>
    </row>
    <row r="9075">
      <c r="A9075">
        <f>IFERROR(INDEX('Email Cleaner'!$B$2:$B$10001,MATCH(9074,'Email Cleaner'!$J$2:$J$10001,0)),"")</f>
        <v/>
      </c>
    </row>
    <row r="9076">
      <c r="A9076">
        <f>IFERROR(INDEX('Email Cleaner'!$B$2:$B$10001,MATCH(9075,'Email Cleaner'!$J$2:$J$10001,0)),"")</f>
        <v/>
      </c>
    </row>
    <row r="9077">
      <c r="A9077">
        <f>IFERROR(INDEX('Email Cleaner'!$B$2:$B$10001,MATCH(9076,'Email Cleaner'!$J$2:$J$10001,0)),"")</f>
        <v/>
      </c>
    </row>
    <row r="9078">
      <c r="A9078">
        <f>IFERROR(INDEX('Email Cleaner'!$B$2:$B$10001,MATCH(9077,'Email Cleaner'!$J$2:$J$10001,0)),"")</f>
        <v/>
      </c>
    </row>
    <row r="9079">
      <c r="A9079">
        <f>IFERROR(INDEX('Email Cleaner'!$B$2:$B$10001,MATCH(9078,'Email Cleaner'!$J$2:$J$10001,0)),"")</f>
        <v/>
      </c>
    </row>
    <row r="9080">
      <c r="A9080">
        <f>IFERROR(INDEX('Email Cleaner'!$B$2:$B$10001,MATCH(9079,'Email Cleaner'!$J$2:$J$10001,0)),"")</f>
        <v/>
      </c>
    </row>
    <row r="9081">
      <c r="A9081">
        <f>IFERROR(INDEX('Email Cleaner'!$B$2:$B$10001,MATCH(9080,'Email Cleaner'!$J$2:$J$10001,0)),"")</f>
        <v/>
      </c>
    </row>
    <row r="9082">
      <c r="A9082">
        <f>IFERROR(INDEX('Email Cleaner'!$B$2:$B$10001,MATCH(9081,'Email Cleaner'!$J$2:$J$10001,0)),"")</f>
        <v/>
      </c>
    </row>
    <row r="9083">
      <c r="A9083">
        <f>IFERROR(INDEX('Email Cleaner'!$B$2:$B$10001,MATCH(9082,'Email Cleaner'!$J$2:$J$10001,0)),"")</f>
        <v/>
      </c>
    </row>
    <row r="9084">
      <c r="A9084">
        <f>IFERROR(INDEX('Email Cleaner'!$B$2:$B$10001,MATCH(9083,'Email Cleaner'!$J$2:$J$10001,0)),"")</f>
        <v/>
      </c>
    </row>
    <row r="9085">
      <c r="A9085">
        <f>IFERROR(INDEX('Email Cleaner'!$B$2:$B$10001,MATCH(9084,'Email Cleaner'!$J$2:$J$10001,0)),"")</f>
        <v/>
      </c>
    </row>
    <row r="9086">
      <c r="A9086">
        <f>IFERROR(INDEX('Email Cleaner'!$B$2:$B$10001,MATCH(9085,'Email Cleaner'!$J$2:$J$10001,0)),"")</f>
        <v/>
      </c>
    </row>
    <row r="9087">
      <c r="A9087">
        <f>IFERROR(INDEX('Email Cleaner'!$B$2:$B$10001,MATCH(9086,'Email Cleaner'!$J$2:$J$10001,0)),"")</f>
        <v/>
      </c>
    </row>
    <row r="9088">
      <c r="A9088">
        <f>IFERROR(INDEX('Email Cleaner'!$B$2:$B$10001,MATCH(9087,'Email Cleaner'!$J$2:$J$10001,0)),"")</f>
        <v/>
      </c>
    </row>
    <row r="9089">
      <c r="A9089">
        <f>IFERROR(INDEX('Email Cleaner'!$B$2:$B$10001,MATCH(9088,'Email Cleaner'!$J$2:$J$10001,0)),"")</f>
        <v/>
      </c>
    </row>
    <row r="9090">
      <c r="A9090">
        <f>IFERROR(INDEX('Email Cleaner'!$B$2:$B$10001,MATCH(9089,'Email Cleaner'!$J$2:$J$10001,0)),"")</f>
        <v/>
      </c>
    </row>
    <row r="9091">
      <c r="A9091">
        <f>IFERROR(INDEX('Email Cleaner'!$B$2:$B$10001,MATCH(9090,'Email Cleaner'!$J$2:$J$10001,0)),"")</f>
        <v/>
      </c>
    </row>
    <row r="9092">
      <c r="A9092">
        <f>IFERROR(INDEX('Email Cleaner'!$B$2:$B$10001,MATCH(9091,'Email Cleaner'!$J$2:$J$10001,0)),"")</f>
        <v/>
      </c>
    </row>
    <row r="9093">
      <c r="A9093">
        <f>IFERROR(INDEX('Email Cleaner'!$B$2:$B$10001,MATCH(9092,'Email Cleaner'!$J$2:$J$10001,0)),"")</f>
        <v/>
      </c>
    </row>
    <row r="9094">
      <c r="A9094">
        <f>IFERROR(INDEX('Email Cleaner'!$B$2:$B$10001,MATCH(9093,'Email Cleaner'!$J$2:$J$10001,0)),"")</f>
        <v/>
      </c>
    </row>
    <row r="9095">
      <c r="A9095">
        <f>IFERROR(INDEX('Email Cleaner'!$B$2:$B$10001,MATCH(9094,'Email Cleaner'!$J$2:$J$10001,0)),"")</f>
        <v/>
      </c>
    </row>
    <row r="9096">
      <c r="A9096">
        <f>IFERROR(INDEX('Email Cleaner'!$B$2:$B$10001,MATCH(9095,'Email Cleaner'!$J$2:$J$10001,0)),"")</f>
        <v/>
      </c>
    </row>
    <row r="9097">
      <c r="A9097">
        <f>IFERROR(INDEX('Email Cleaner'!$B$2:$B$10001,MATCH(9096,'Email Cleaner'!$J$2:$J$10001,0)),"")</f>
        <v/>
      </c>
    </row>
    <row r="9098">
      <c r="A9098">
        <f>IFERROR(INDEX('Email Cleaner'!$B$2:$B$10001,MATCH(9097,'Email Cleaner'!$J$2:$J$10001,0)),"")</f>
        <v/>
      </c>
    </row>
    <row r="9099">
      <c r="A9099">
        <f>IFERROR(INDEX('Email Cleaner'!$B$2:$B$10001,MATCH(9098,'Email Cleaner'!$J$2:$J$10001,0)),"")</f>
        <v/>
      </c>
    </row>
    <row r="9100">
      <c r="A9100">
        <f>IFERROR(INDEX('Email Cleaner'!$B$2:$B$10001,MATCH(9099,'Email Cleaner'!$J$2:$J$10001,0)),"")</f>
        <v/>
      </c>
    </row>
    <row r="9101">
      <c r="A9101">
        <f>IFERROR(INDEX('Email Cleaner'!$B$2:$B$10001,MATCH(9100,'Email Cleaner'!$J$2:$J$10001,0)),"")</f>
        <v/>
      </c>
    </row>
    <row r="9102">
      <c r="A9102">
        <f>IFERROR(INDEX('Email Cleaner'!$B$2:$B$10001,MATCH(9101,'Email Cleaner'!$J$2:$J$10001,0)),"")</f>
        <v/>
      </c>
    </row>
    <row r="9103">
      <c r="A9103">
        <f>IFERROR(INDEX('Email Cleaner'!$B$2:$B$10001,MATCH(9102,'Email Cleaner'!$J$2:$J$10001,0)),"")</f>
        <v/>
      </c>
    </row>
    <row r="9104">
      <c r="A9104">
        <f>IFERROR(INDEX('Email Cleaner'!$B$2:$B$10001,MATCH(9103,'Email Cleaner'!$J$2:$J$10001,0)),"")</f>
        <v/>
      </c>
    </row>
    <row r="9105">
      <c r="A9105">
        <f>IFERROR(INDEX('Email Cleaner'!$B$2:$B$10001,MATCH(9104,'Email Cleaner'!$J$2:$J$10001,0)),"")</f>
        <v/>
      </c>
    </row>
    <row r="9106">
      <c r="A9106">
        <f>IFERROR(INDEX('Email Cleaner'!$B$2:$B$10001,MATCH(9105,'Email Cleaner'!$J$2:$J$10001,0)),"")</f>
        <v/>
      </c>
    </row>
    <row r="9107">
      <c r="A9107">
        <f>IFERROR(INDEX('Email Cleaner'!$B$2:$B$10001,MATCH(9106,'Email Cleaner'!$J$2:$J$10001,0)),"")</f>
        <v/>
      </c>
    </row>
    <row r="9108">
      <c r="A9108">
        <f>IFERROR(INDEX('Email Cleaner'!$B$2:$B$10001,MATCH(9107,'Email Cleaner'!$J$2:$J$10001,0)),"")</f>
        <v/>
      </c>
    </row>
    <row r="9109">
      <c r="A9109">
        <f>IFERROR(INDEX('Email Cleaner'!$B$2:$B$10001,MATCH(9108,'Email Cleaner'!$J$2:$J$10001,0)),"")</f>
        <v/>
      </c>
    </row>
    <row r="9110">
      <c r="A9110">
        <f>IFERROR(INDEX('Email Cleaner'!$B$2:$B$10001,MATCH(9109,'Email Cleaner'!$J$2:$J$10001,0)),"")</f>
        <v/>
      </c>
    </row>
    <row r="9111">
      <c r="A9111">
        <f>IFERROR(INDEX('Email Cleaner'!$B$2:$B$10001,MATCH(9110,'Email Cleaner'!$J$2:$J$10001,0)),"")</f>
        <v/>
      </c>
    </row>
    <row r="9112">
      <c r="A9112">
        <f>IFERROR(INDEX('Email Cleaner'!$B$2:$B$10001,MATCH(9111,'Email Cleaner'!$J$2:$J$10001,0)),"")</f>
        <v/>
      </c>
    </row>
    <row r="9113">
      <c r="A9113">
        <f>IFERROR(INDEX('Email Cleaner'!$B$2:$B$10001,MATCH(9112,'Email Cleaner'!$J$2:$J$10001,0)),"")</f>
        <v/>
      </c>
    </row>
    <row r="9114">
      <c r="A9114">
        <f>IFERROR(INDEX('Email Cleaner'!$B$2:$B$10001,MATCH(9113,'Email Cleaner'!$J$2:$J$10001,0)),"")</f>
        <v/>
      </c>
    </row>
    <row r="9115">
      <c r="A9115">
        <f>IFERROR(INDEX('Email Cleaner'!$B$2:$B$10001,MATCH(9114,'Email Cleaner'!$J$2:$J$10001,0)),"")</f>
        <v/>
      </c>
    </row>
    <row r="9116">
      <c r="A9116">
        <f>IFERROR(INDEX('Email Cleaner'!$B$2:$B$10001,MATCH(9115,'Email Cleaner'!$J$2:$J$10001,0)),"")</f>
        <v/>
      </c>
    </row>
    <row r="9117">
      <c r="A9117">
        <f>IFERROR(INDEX('Email Cleaner'!$B$2:$B$10001,MATCH(9116,'Email Cleaner'!$J$2:$J$10001,0)),"")</f>
        <v/>
      </c>
    </row>
    <row r="9118">
      <c r="A9118">
        <f>IFERROR(INDEX('Email Cleaner'!$B$2:$B$10001,MATCH(9117,'Email Cleaner'!$J$2:$J$10001,0)),"")</f>
        <v/>
      </c>
    </row>
    <row r="9119">
      <c r="A9119">
        <f>IFERROR(INDEX('Email Cleaner'!$B$2:$B$10001,MATCH(9118,'Email Cleaner'!$J$2:$J$10001,0)),"")</f>
        <v/>
      </c>
    </row>
    <row r="9120">
      <c r="A9120">
        <f>IFERROR(INDEX('Email Cleaner'!$B$2:$B$10001,MATCH(9119,'Email Cleaner'!$J$2:$J$10001,0)),"")</f>
        <v/>
      </c>
    </row>
    <row r="9121">
      <c r="A9121">
        <f>IFERROR(INDEX('Email Cleaner'!$B$2:$B$10001,MATCH(9120,'Email Cleaner'!$J$2:$J$10001,0)),"")</f>
        <v/>
      </c>
    </row>
    <row r="9122">
      <c r="A9122">
        <f>IFERROR(INDEX('Email Cleaner'!$B$2:$B$10001,MATCH(9121,'Email Cleaner'!$J$2:$J$10001,0)),"")</f>
        <v/>
      </c>
    </row>
    <row r="9123">
      <c r="A9123">
        <f>IFERROR(INDEX('Email Cleaner'!$B$2:$B$10001,MATCH(9122,'Email Cleaner'!$J$2:$J$10001,0)),"")</f>
        <v/>
      </c>
    </row>
    <row r="9124">
      <c r="A9124">
        <f>IFERROR(INDEX('Email Cleaner'!$B$2:$B$10001,MATCH(9123,'Email Cleaner'!$J$2:$J$10001,0)),"")</f>
        <v/>
      </c>
    </row>
    <row r="9125">
      <c r="A9125">
        <f>IFERROR(INDEX('Email Cleaner'!$B$2:$B$10001,MATCH(9124,'Email Cleaner'!$J$2:$J$10001,0)),"")</f>
        <v/>
      </c>
    </row>
    <row r="9126">
      <c r="A9126">
        <f>IFERROR(INDEX('Email Cleaner'!$B$2:$B$10001,MATCH(9125,'Email Cleaner'!$J$2:$J$10001,0)),"")</f>
        <v/>
      </c>
    </row>
    <row r="9127">
      <c r="A9127">
        <f>IFERROR(INDEX('Email Cleaner'!$B$2:$B$10001,MATCH(9126,'Email Cleaner'!$J$2:$J$10001,0)),"")</f>
        <v/>
      </c>
    </row>
    <row r="9128">
      <c r="A9128">
        <f>IFERROR(INDEX('Email Cleaner'!$B$2:$B$10001,MATCH(9127,'Email Cleaner'!$J$2:$J$10001,0)),"")</f>
        <v/>
      </c>
    </row>
    <row r="9129">
      <c r="A9129">
        <f>IFERROR(INDEX('Email Cleaner'!$B$2:$B$10001,MATCH(9128,'Email Cleaner'!$J$2:$J$10001,0)),"")</f>
        <v/>
      </c>
    </row>
    <row r="9130">
      <c r="A9130">
        <f>IFERROR(INDEX('Email Cleaner'!$B$2:$B$10001,MATCH(9129,'Email Cleaner'!$J$2:$J$10001,0)),"")</f>
        <v/>
      </c>
    </row>
    <row r="9131">
      <c r="A9131">
        <f>IFERROR(INDEX('Email Cleaner'!$B$2:$B$10001,MATCH(9130,'Email Cleaner'!$J$2:$J$10001,0)),"")</f>
        <v/>
      </c>
    </row>
    <row r="9132">
      <c r="A9132">
        <f>IFERROR(INDEX('Email Cleaner'!$B$2:$B$10001,MATCH(9131,'Email Cleaner'!$J$2:$J$10001,0)),"")</f>
        <v/>
      </c>
    </row>
    <row r="9133">
      <c r="A9133">
        <f>IFERROR(INDEX('Email Cleaner'!$B$2:$B$10001,MATCH(9132,'Email Cleaner'!$J$2:$J$10001,0)),"")</f>
        <v/>
      </c>
    </row>
    <row r="9134">
      <c r="A9134">
        <f>IFERROR(INDEX('Email Cleaner'!$B$2:$B$10001,MATCH(9133,'Email Cleaner'!$J$2:$J$10001,0)),"")</f>
        <v/>
      </c>
    </row>
    <row r="9135">
      <c r="A9135">
        <f>IFERROR(INDEX('Email Cleaner'!$B$2:$B$10001,MATCH(9134,'Email Cleaner'!$J$2:$J$10001,0)),"")</f>
        <v/>
      </c>
    </row>
    <row r="9136">
      <c r="A9136">
        <f>IFERROR(INDEX('Email Cleaner'!$B$2:$B$10001,MATCH(9135,'Email Cleaner'!$J$2:$J$10001,0)),"")</f>
        <v/>
      </c>
    </row>
    <row r="9137">
      <c r="A9137">
        <f>IFERROR(INDEX('Email Cleaner'!$B$2:$B$10001,MATCH(9136,'Email Cleaner'!$J$2:$J$10001,0)),"")</f>
        <v/>
      </c>
    </row>
    <row r="9138">
      <c r="A9138">
        <f>IFERROR(INDEX('Email Cleaner'!$B$2:$B$10001,MATCH(9137,'Email Cleaner'!$J$2:$J$10001,0)),"")</f>
        <v/>
      </c>
    </row>
    <row r="9139">
      <c r="A9139">
        <f>IFERROR(INDEX('Email Cleaner'!$B$2:$B$10001,MATCH(9138,'Email Cleaner'!$J$2:$J$10001,0)),"")</f>
        <v/>
      </c>
    </row>
    <row r="9140">
      <c r="A9140">
        <f>IFERROR(INDEX('Email Cleaner'!$B$2:$B$10001,MATCH(9139,'Email Cleaner'!$J$2:$J$10001,0)),"")</f>
        <v/>
      </c>
    </row>
    <row r="9141">
      <c r="A9141">
        <f>IFERROR(INDEX('Email Cleaner'!$B$2:$B$10001,MATCH(9140,'Email Cleaner'!$J$2:$J$10001,0)),"")</f>
        <v/>
      </c>
    </row>
    <row r="9142">
      <c r="A9142">
        <f>IFERROR(INDEX('Email Cleaner'!$B$2:$B$10001,MATCH(9141,'Email Cleaner'!$J$2:$J$10001,0)),"")</f>
        <v/>
      </c>
    </row>
    <row r="9143">
      <c r="A9143">
        <f>IFERROR(INDEX('Email Cleaner'!$B$2:$B$10001,MATCH(9142,'Email Cleaner'!$J$2:$J$10001,0)),"")</f>
        <v/>
      </c>
    </row>
    <row r="9144">
      <c r="A9144">
        <f>IFERROR(INDEX('Email Cleaner'!$B$2:$B$10001,MATCH(9143,'Email Cleaner'!$J$2:$J$10001,0)),"")</f>
        <v/>
      </c>
    </row>
    <row r="9145">
      <c r="A9145">
        <f>IFERROR(INDEX('Email Cleaner'!$B$2:$B$10001,MATCH(9144,'Email Cleaner'!$J$2:$J$10001,0)),"")</f>
        <v/>
      </c>
    </row>
    <row r="9146">
      <c r="A9146">
        <f>IFERROR(INDEX('Email Cleaner'!$B$2:$B$10001,MATCH(9145,'Email Cleaner'!$J$2:$J$10001,0)),"")</f>
        <v/>
      </c>
    </row>
    <row r="9147">
      <c r="A9147">
        <f>IFERROR(INDEX('Email Cleaner'!$B$2:$B$10001,MATCH(9146,'Email Cleaner'!$J$2:$J$10001,0)),"")</f>
        <v/>
      </c>
    </row>
    <row r="9148">
      <c r="A9148">
        <f>IFERROR(INDEX('Email Cleaner'!$B$2:$B$10001,MATCH(9147,'Email Cleaner'!$J$2:$J$10001,0)),"")</f>
        <v/>
      </c>
    </row>
    <row r="9149">
      <c r="A9149">
        <f>IFERROR(INDEX('Email Cleaner'!$B$2:$B$10001,MATCH(9148,'Email Cleaner'!$J$2:$J$10001,0)),"")</f>
        <v/>
      </c>
    </row>
    <row r="9150">
      <c r="A9150">
        <f>IFERROR(INDEX('Email Cleaner'!$B$2:$B$10001,MATCH(9149,'Email Cleaner'!$J$2:$J$10001,0)),"")</f>
        <v/>
      </c>
    </row>
    <row r="9151">
      <c r="A9151">
        <f>IFERROR(INDEX('Email Cleaner'!$B$2:$B$10001,MATCH(9150,'Email Cleaner'!$J$2:$J$10001,0)),"")</f>
        <v/>
      </c>
    </row>
    <row r="9152">
      <c r="A9152">
        <f>IFERROR(INDEX('Email Cleaner'!$B$2:$B$10001,MATCH(9151,'Email Cleaner'!$J$2:$J$10001,0)),"")</f>
        <v/>
      </c>
    </row>
    <row r="9153">
      <c r="A9153">
        <f>IFERROR(INDEX('Email Cleaner'!$B$2:$B$10001,MATCH(9152,'Email Cleaner'!$J$2:$J$10001,0)),"")</f>
        <v/>
      </c>
    </row>
    <row r="9154">
      <c r="A9154">
        <f>IFERROR(INDEX('Email Cleaner'!$B$2:$B$10001,MATCH(9153,'Email Cleaner'!$J$2:$J$10001,0)),"")</f>
        <v/>
      </c>
    </row>
    <row r="9155">
      <c r="A9155">
        <f>IFERROR(INDEX('Email Cleaner'!$B$2:$B$10001,MATCH(9154,'Email Cleaner'!$J$2:$J$10001,0)),"")</f>
        <v/>
      </c>
    </row>
    <row r="9156">
      <c r="A9156">
        <f>IFERROR(INDEX('Email Cleaner'!$B$2:$B$10001,MATCH(9155,'Email Cleaner'!$J$2:$J$10001,0)),"")</f>
        <v/>
      </c>
    </row>
    <row r="9157">
      <c r="A9157">
        <f>IFERROR(INDEX('Email Cleaner'!$B$2:$B$10001,MATCH(9156,'Email Cleaner'!$J$2:$J$10001,0)),"")</f>
        <v/>
      </c>
    </row>
    <row r="9158">
      <c r="A9158">
        <f>IFERROR(INDEX('Email Cleaner'!$B$2:$B$10001,MATCH(9157,'Email Cleaner'!$J$2:$J$10001,0)),"")</f>
        <v/>
      </c>
    </row>
    <row r="9159">
      <c r="A9159">
        <f>IFERROR(INDEX('Email Cleaner'!$B$2:$B$10001,MATCH(9158,'Email Cleaner'!$J$2:$J$10001,0)),"")</f>
        <v/>
      </c>
    </row>
    <row r="9160">
      <c r="A9160">
        <f>IFERROR(INDEX('Email Cleaner'!$B$2:$B$10001,MATCH(9159,'Email Cleaner'!$J$2:$J$10001,0)),"")</f>
        <v/>
      </c>
    </row>
    <row r="9161">
      <c r="A9161">
        <f>IFERROR(INDEX('Email Cleaner'!$B$2:$B$10001,MATCH(9160,'Email Cleaner'!$J$2:$J$10001,0)),"")</f>
        <v/>
      </c>
    </row>
    <row r="9162">
      <c r="A9162">
        <f>IFERROR(INDEX('Email Cleaner'!$B$2:$B$10001,MATCH(9161,'Email Cleaner'!$J$2:$J$10001,0)),"")</f>
        <v/>
      </c>
    </row>
    <row r="9163">
      <c r="A9163">
        <f>IFERROR(INDEX('Email Cleaner'!$B$2:$B$10001,MATCH(9162,'Email Cleaner'!$J$2:$J$10001,0)),"")</f>
        <v/>
      </c>
    </row>
    <row r="9164">
      <c r="A9164">
        <f>IFERROR(INDEX('Email Cleaner'!$B$2:$B$10001,MATCH(9163,'Email Cleaner'!$J$2:$J$10001,0)),"")</f>
        <v/>
      </c>
    </row>
    <row r="9165">
      <c r="A9165">
        <f>IFERROR(INDEX('Email Cleaner'!$B$2:$B$10001,MATCH(9164,'Email Cleaner'!$J$2:$J$10001,0)),"")</f>
        <v/>
      </c>
    </row>
    <row r="9166">
      <c r="A9166">
        <f>IFERROR(INDEX('Email Cleaner'!$B$2:$B$10001,MATCH(9165,'Email Cleaner'!$J$2:$J$10001,0)),"")</f>
        <v/>
      </c>
    </row>
    <row r="9167">
      <c r="A9167">
        <f>IFERROR(INDEX('Email Cleaner'!$B$2:$B$10001,MATCH(9166,'Email Cleaner'!$J$2:$J$10001,0)),"")</f>
        <v/>
      </c>
    </row>
    <row r="9168">
      <c r="A9168">
        <f>IFERROR(INDEX('Email Cleaner'!$B$2:$B$10001,MATCH(9167,'Email Cleaner'!$J$2:$J$10001,0)),"")</f>
        <v/>
      </c>
    </row>
    <row r="9169">
      <c r="A9169">
        <f>IFERROR(INDEX('Email Cleaner'!$B$2:$B$10001,MATCH(9168,'Email Cleaner'!$J$2:$J$10001,0)),"")</f>
        <v/>
      </c>
    </row>
    <row r="9170">
      <c r="A9170">
        <f>IFERROR(INDEX('Email Cleaner'!$B$2:$B$10001,MATCH(9169,'Email Cleaner'!$J$2:$J$10001,0)),"")</f>
        <v/>
      </c>
    </row>
    <row r="9171">
      <c r="A9171">
        <f>IFERROR(INDEX('Email Cleaner'!$B$2:$B$10001,MATCH(9170,'Email Cleaner'!$J$2:$J$10001,0)),"")</f>
        <v/>
      </c>
    </row>
    <row r="9172">
      <c r="A9172">
        <f>IFERROR(INDEX('Email Cleaner'!$B$2:$B$10001,MATCH(9171,'Email Cleaner'!$J$2:$J$10001,0)),"")</f>
        <v/>
      </c>
    </row>
    <row r="9173">
      <c r="A9173">
        <f>IFERROR(INDEX('Email Cleaner'!$B$2:$B$10001,MATCH(9172,'Email Cleaner'!$J$2:$J$10001,0)),"")</f>
        <v/>
      </c>
    </row>
    <row r="9174">
      <c r="A9174">
        <f>IFERROR(INDEX('Email Cleaner'!$B$2:$B$10001,MATCH(9173,'Email Cleaner'!$J$2:$J$10001,0)),"")</f>
        <v/>
      </c>
    </row>
    <row r="9175">
      <c r="A9175">
        <f>IFERROR(INDEX('Email Cleaner'!$B$2:$B$10001,MATCH(9174,'Email Cleaner'!$J$2:$J$10001,0)),"")</f>
        <v/>
      </c>
    </row>
    <row r="9176">
      <c r="A9176">
        <f>IFERROR(INDEX('Email Cleaner'!$B$2:$B$10001,MATCH(9175,'Email Cleaner'!$J$2:$J$10001,0)),"")</f>
        <v/>
      </c>
    </row>
    <row r="9177">
      <c r="A9177">
        <f>IFERROR(INDEX('Email Cleaner'!$B$2:$B$10001,MATCH(9176,'Email Cleaner'!$J$2:$J$10001,0)),"")</f>
        <v/>
      </c>
    </row>
    <row r="9178">
      <c r="A9178">
        <f>IFERROR(INDEX('Email Cleaner'!$B$2:$B$10001,MATCH(9177,'Email Cleaner'!$J$2:$J$10001,0)),"")</f>
        <v/>
      </c>
    </row>
    <row r="9179">
      <c r="A9179">
        <f>IFERROR(INDEX('Email Cleaner'!$B$2:$B$10001,MATCH(9178,'Email Cleaner'!$J$2:$J$10001,0)),"")</f>
        <v/>
      </c>
    </row>
    <row r="9180">
      <c r="A9180">
        <f>IFERROR(INDEX('Email Cleaner'!$B$2:$B$10001,MATCH(9179,'Email Cleaner'!$J$2:$J$10001,0)),"")</f>
        <v/>
      </c>
    </row>
    <row r="9181">
      <c r="A9181">
        <f>IFERROR(INDEX('Email Cleaner'!$B$2:$B$10001,MATCH(9180,'Email Cleaner'!$J$2:$J$10001,0)),"")</f>
        <v/>
      </c>
    </row>
    <row r="9182">
      <c r="A9182">
        <f>IFERROR(INDEX('Email Cleaner'!$B$2:$B$10001,MATCH(9181,'Email Cleaner'!$J$2:$J$10001,0)),"")</f>
        <v/>
      </c>
    </row>
    <row r="9183">
      <c r="A9183">
        <f>IFERROR(INDEX('Email Cleaner'!$B$2:$B$10001,MATCH(9182,'Email Cleaner'!$J$2:$J$10001,0)),"")</f>
        <v/>
      </c>
    </row>
    <row r="9184">
      <c r="A9184">
        <f>IFERROR(INDEX('Email Cleaner'!$B$2:$B$10001,MATCH(9183,'Email Cleaner'!$J$2:$J$10001,0)),"")</f>
        <v/>
      </c>
    </row>
    <row r="9185">
      <c r="A9185">
        <f>IFERROR(INDEX('Email Cleaner'!$B$2:$B$10001,MATCH(9184,'Email Cleaner'!$J$2:$J$10001,0)),"")</f>
        <v/>
      </c>
    </row>
    <row r="9186">
      <c r="A9186">
        <f>IFERROR(INDEX('Email Cleaner'!$B$2:$B$10001,MATCH(9185,'Email Cleaner'!$J$2:$J$10001,0)),"")</f>
        <v/>
      </c>
    </row>
    <row r="9187">
      <c r="A9187">
        <f>IFERROR(INDEX('Email Cleaner'!$B$2:$B$10001,MATCH(9186,'Email Cleaner'!$J$2:$J$10001,0)),"")</f>
        <v/>
      </c>
    </row>
    <row r="9188">
      <c r="A9188">
        <f>IFERROR(INDEX('Email Cleaner'!$B$2:$B$10001,MATCH(9187,'Email Cleaner'!$J$2:$J$10001,0)),"")</f>
        <v/>
      </c>
    </row>
    <row r="9189">
      <c r="A9189">
        <f>IFERROR(INDEX('Email Cleaner'!$B$2:$B$10001,MATCH(9188,'Email Cleaner'!$J$2:$J$10001,0)),"")</f>
        <v/>
      </c>
    </row>
    <row r="9190">
      <c r="A9190">
        <f>IFERROR(INDEX('Email Cleaner'!$B$2:$B$10001,MATCH(9189,'Email Cleaner'!$J$2:$J$10001,0)),"")</f>
        <v/>
      </c>
    </row>
    <row r="9191">
      <c r="A9191">
        <f>IFERROR(INDEX('Email Cleaner'!$B$2:$B$10001,MATCH(9190,'Email Cleaner'!$J$2:$J$10001,0)),"")</f>
        <v/>
      </c>
    </row>
    <row r="9192">
      <c r="A9192">
        <f>IFERROR(INDEX('Email Cleaner'!$B$2:$B$10001,MATCH(9191,'Email Cleaner'!$J$2:$J$10001,0)),"")</f>
        <v/>
      </c>
    </row>
    <row r="9193">
      <c r="A9193">
        <f>IFERROR(INDEX('Email Cleaner'!$B$2:$B$10001,MATCH(9192,'Email Cleaner'!$J$2:$J$10001,0)),"")</f>
        <v/>
      </c>
    </row>
    <row r="9194">
      <c r="A9194">
        <f>IFERROR(INDEX('Email Cleaner'!$B$2:$B$10001,MATCH(9193,'Email Cleaner'!$J$2:$J$10001,0)),"")</f>
        <v/>
      </c>
    </row>
    <row r="9195">
      <c r="A9195">
        <f>IFERROR(INDEX('Email Cleaner'!$B$2:$B$10001,MATCH(9194,'Email Cleaner'!$J$2:$J$10001,0)),"")</f>
        <v/>
      </c>
    </row>
    <row r="9196">
      <c r="A9196">
        <f>IFERROR(INDEX('Email Cleaner'!$B$2:$B$10001,MATCH(9195,'Email Cleaner'!$J$2:$J$10001,0)),"")</f>
        <v/>
      </c>
    </row>
    <row r="9197">
      <c r="A9197">
        <f>IFERROR(INDEX('Email Cleaner'!$B$2:$B$10001,MATCH(9196,'Email Cleaner'!$J$2:$J$10001,0)),"")</f>
        <v/>
      </c>
    </row>
    <row r="9198">
      <c r="A9198">
        <f>IFERROR(INDEX('Email Cleaner'!$B$2:$B$10001,MATCH(9197,'Email Cleaner'!$J$2:$J$10001,0)),"")</f>
        <v/>
      </c>
    </row>
    <row r="9199">
      <c r="A9199">
        <f>IFERROR(INDEX('Email Cleaner'!$B$2:$B$10001,MATCH(9198,'Email Cleaner'!$J$2:$J$10001,0)),"")</f>
        <v/>
      </c>
    </row>
    <row r="9200">
      <c r="A9200">
        <f>IFERROR(INDEX('Email Cleaner'!$B$2:$B$10001,MATCH(9199,'Email Cleaner'!$J$2:$J$10001,0)),"")</f>
        <v/>
      </c>
    </row>
    <row r="9201">
      <c r="A9201">
        <f>IFERROR(INDEX('Email Cleaner'!$B$2:$B$10001,MATCH(9200,'Email Cleaner'!$J$2:$J$10001,0)),"")</f>
        <v/>
      </c>
    </row>
    <row r="9202">
      <c r="A9202">
        <f>IFERROR(INDEX('Email Cleaner'!$B$2:$B$10001,MATCH(9201,'Email Cleaner'!$J$2:$J$10001,0)),"")</f>
        <v/>
      </c>
    </row>
    <row r="9203">
      <c r="A9203">
        <f>IFERROR(INDEX('Email Cleaner'!$B$2:$B$10001,MATCH(9202,'Email Cleaner'!$J$2:$J$10001,0)),"")</f>
        <v/>
      </c>
    </row>
    <row r="9204">
      <c r="A9204">
        <f>IFERROR(INDEX('Email Cleaner'!$B$2:$B$10001,MATCH(9203,'Email Cleaner'!$J$2:$J$10001,0)),"")</f>
        <v/>
      </c>
    </row>
    <row r="9205">
      <c r="A9205">
        <f>IFERROR(INDEX('Email Cleaner'!$B$2:$B$10001,MATCH(9204,'Email Cleaner'!$J$2:$J$10001,0)),"")</f>
        <v/>
      </c>
    </row>
    <row r="9206">
      <c r="A9206">
        <f>IFERROR(INDEX('Email Cleaner'!$B$2:$B$10001,MATCH(9205,'Email Cleaner'!$J$2:$J$10001,0)),"")</f>
        <v/>
      </c>
    </row>
    <row r="9207">
      <c r="A9207">
        <f>IFERROR(INDEX('Email Cleaner'!$B$2:$B$10001,MATCH(9206,'Email Cleaner'!$J$2:$J$10001,0)),"")</f>
        <v/>
      </c>
    </row>
    <row r="9208">
      <c r="A9208">
        <f>IFERROR(INDEX('Email Cleaner'!$B$2:$B$10001,MATCH(9207,'Email Cleaner'!$J$2:$J$10001,0)),"")</f>
        <v/>
      </c>
    </row>
    <row r="9209">
      <c r="A9209">
        <f>IFERROR(INDEX('Email Cleaner'!$B$2:$B$10001,MATCH(9208,'Email Cleaner'!$J$2:$J$10001,0)),"")</f>
        <v/>
      </c>
    </row>
    <row r="9210">
      <c r="A9210">
        <f>IFERROR(INDEX('Email Cleaner'!$B$2:$B$10001,MATCH(9209,'Email Cleaner'!$J$2:$J$10001,0)),"")</f>
        <v/>
      </c>
    </row>
    <row r="9211">
      <c r="A9211">
        <f>IFERROR(INDEX('Email Cleaner'!$B$2:$B$10001,MATCH(9210,'Email Cleaner'!$J$2:$J$10001,0)),"")</f>
        <v/>
      </c>
    </row>
    <row r="9212">
      <c r="A9212">
        <f>IFERROR(INDEX('Email Cleaner'!$B$2:$B$10001,MATCH(9211,'Email Cleaner'!$J$2:$J$10001,0)),"")</f>
        <v/>
      </c>
    </row>
    <row r="9213">
      <c r="A9213">
        <f>IFERROR(INDEX('Email Cleaner'!$B$2:$B$10001,MATCH(9212,'Email Cleaner'!$J$2:$J$10001,0)),"")</f>
        <v/>
      </c>
    </row>
    <row r="9214">
      <c r="A9214">
        <f>IFERROR(INDEX('Email Cleaner'!$B$2:$B$10001,MATCH(9213,'Email Cleaner'!$J$2:$J$10001,0)),"")</f>
        <v/>
      </c>
    </row>
    <row r="9215">
      <c r="A9215">
        <f>IFERROR(INDEX('Email Cleaner'!$B$2:$B$10001,MATCH(9214,'Email Cleaner'!$J$2:$J$10001,0)),"")</f>
        <v/>
      </c>
    </row>
    <row r="9216">
      <c r="A9216">
        <f>IFERROR(INDEX('Email Cleaner'!$B$2:$B$10001,MATCH(9215,'Email Cleaner'!$J$2:$J$10001,0)),"")</f>
        <v/>
      </c>
    </row>
    <row r="9217">
      <c r="A9217">
        <f>IFERROR(INDEX('Email Cleaner'!$B$2:$B$10001,MATCH(9216,'Email Cleaner'!$J$2:$J$10001,0)),"")</f>
        <v/>
      </c>
    </row>
    <row r="9218">
      <c r="A9218">
        <f>IFERROR(INDEX('Email Cleaner'!$B$2:$B$10001,MATCH(9217,'Email Cleaner'!$J$2:$J$10001,0)),"")</f>
        <v/>
      </c>
    </row>
    <row r="9219">
      <c r="A9219">
        <f>IFERROR(INDEX('Email Cleaner'!$B$2:$B$10001,MATCH(9218,'Email Cleaner'!$J$2:$J$10001,0)),"")</f>
        <v/>
      </c>
    </row>
    <row r="9220">
      <c r="A9220">
        <f>IFERROR(INDEX('Email Cleaner'!$B$2:$B$10001,MATCH(9219,'Email Cleaner'!$J$2:$J$10001,0)),"")</f>
        <v/>
      </c>
    </row>
    <row r="9221">
      <c r="A9221">
        <f>IFERROR(INDEX('Email Cleaner'!$B$2:$B$10001,MATCH(9220,'Email Cleaner'!$J$2:$J$10001,0)),"")</f>
        <v/>
      </c>
    </row>
    <row r="9222">
      <c r="A9222">
        <f>IFERROR(INDEX('Email Cleaner'!$B$2:$B$10001,MATCH(9221,'Email Cleaner'!$J$2:$J$10001,0)),"")</f>
        <v/>
      </c>
    </row>
    <row r="9223">
      <c r="A9223">
        <f>IFERROR(INDEX('Email Cleaner'!$B$2:$B$10001,MATCH(9222,'Email Cleaner'!$J$2:$J$10001,0)),"")</f>
        <v/>
      </c>
    </row>
    <row r="9224">
      <c r="A9224">
        <f>IFERROR(INDEX('Email Cleaner'!$B$2:$B$10001,MATCH(9223,'Email Cleaner'!$J$2:$J$10001,0)),"")</f>
        <v/>
      </c>
    </row>
    <row r="9225">
      <c r="A9225">
        <f>IFERROR(INDEX('Email Cleaner'!$B$2:$B$10001,MATCH(9224,'Email Cleaner'!$J$2:$J$10001,0)),"")</f>
        <v/>
      </c>
    </row>
    <row r="9226">
      <c r="A9226">
        <f>IFERROR(INDEX('Email Cleaner'!$B$2:$B$10001,MATCH(9225,'Email Cleaner'!$J$2:$J$10001,0)),"")</f>
        <v/>
      </c>
    </row>
    <row r="9227">
      <c r="A9227">
        <f>IFERROR(INDEX('Email Cleaner'!$B$2:$B$10001,MATCH(9226,'Email Cleaner'!$J$2:$J$10001,0)),"")</f>
        <v/>
      </c>
    </row>
    <row r="9228">
      <c r="A9228">
        <f>IFERROR(INDEX('Email Cleaner'!$B$2:$B$10001,MATCH(9227,'Email Cleaner'!$J$2:$J$10001,0)),"")</f>
        <v/>
      </c>
    </row>
    <row r="9229">
      <c r="A9229">
        <f>IFERROR(INDEX('Email Cleaner'!$B$2:$B$10001,MATCH(9228,'Email Cleaner'!$J$2:$J$10001,0)),"")</f>
        <v/>
      </c>
    </row>
    <row r="9230">
      <c r="A9230">
        <f>IFERROR(INDEX('Email Cleaner'!$B$2:$B$10001,MATCH(9229,'Email Cleaner'!$J$2:$J$10001,0)),"")</f>
        <v/>
      </c>
    </row>
    <row r="9231">
      <c r="A9231">
        <f>IFERROR(INDEX('Email Cleaner'!$B$2:$B$10001,MATCH(9230,'Email Cleaner'!$J$2:$J$10001,0)),"")</f>
        <v/>
      </c>
    </row>
    <row r="9232">
      <c r="A9232">
        <f>IFERROR(INDEX('Email Cleaner'!$B$2:$B$10001,MATCH(9231,'Email Cleaner'!$J$2:$J$10001,0)),"")</f>
        <v/>
      </c>
    </row>
    <row r="9233">
      <c r="A9233">
        <f>IFERROR(INDEX('Email Cleaner'!$B$2:$B$10001,MATCH(9232,'Email Cleaner'!$J$2:$J$10001,0)),"")</f>
        <v/>
      </c>
    </row>
    <row r="9234">
      <c r="A9234">
        <f>IFERROR(INDEX('Email Cleaner'!$B$2:$B$10001,MATCH(9233,'Email Cleaner'!$J$2:$J$10001,0)),"")</f>
        <v/>
      </c>
    </row>
    <row r="9235">
      <c r="A9235">
        <f>IFERROR(INDEX('Email Cleaner'!$B$2:$B$10001,MATCH(9234,'Email Cleaner'!$J$2:$J$10001,0)),"")</f>
        <v/>
      </c>
    </row>
    <row r="9236">
      <c r="A9236">
        <f>IFERROR(INDEX('Email Cleaner'!$B$2:$B$10001,MATCH(9235,'Email Cleaner'!$J$2:$J$10001,0)),"")</f>
        <v/>
      </c>
    </row>
    <row r="9237">
      <c r="A9237">
        <f>IFERROR(INDEX('Email Cleaner'!$B$2:$B$10001,MATCH(9236,'Email Cleaner'!$J$2:$J$10001,0)),"")</f>
        <v/>
      </c>
    </row>
    <row r="9238">
      <c r="A9238">
        <f>IFERROR(INDEX('Email Cleaner'!$B$2:$B$10001,MATCH(9237,'Email Cleaner'!$J$2:$J$10001,0)),"")</f>
        <v/>
      </c>
    </row>
    <row r="9239">
      <c r="A9239">
        <f>IFERROR(INDEX('Email Cleaner'!$B$2:$B$10001,MATCH(9238,'Email Cleaner'!$J$2:$J$10001,0)),"")</f>
        <v/>
      </c>
    </row>
    <row r="9240">
      <c r="A9240">
        <f>IFERROR(INDEX('Email Cleaner'!$B$2:$B$10001,MATCH(9239,'Email Cleaner'!$J$2:$J$10001,0)),"")</f>
        <v/>
      </c>
    </row>
    <row r="9241">
      <c r="A9241">
        <f>IFERROR(INDEX('Email Cleaner'!$B$2:$B$10001,MATCH(9240,'Email Cleaner'!$J$2:$J$10001,0)),"")</f>
        <v/>
      </c>
    </row>
    <row r="9242">
      <c r="A9242">
        <f>IFERROR(INDEX('Email Cleaner'!$B$2:$B$10001,MATCH(9241,'Email Cleaner'!$J$2:$J$10001,0)),"")</f>
        <v/>
      </c>
    </row>
    <row r="9243">
      <c r="A9243">
        <f>IFERROR(INDEX('Email Cleaner'!$B$2:$B$10001,MATCH(9242,'Email Cleaner'!$J$2:$J$10001,0)),"")</f>
        <v/>
      </c>
    </row>
    <row r="9244">
      <c r="A9244">
        <f>IFERROR(INDEX('Email Cleaner'!$B$2:$B$10001,MATCH(9243,'Email Cleaner'!$J$2:$J$10001,0)),"")</f>
        <v/>
      </c>
    </row>
    <row r="9245">
      <c r="A9245">
        <f>IFERROR(INDEX('Email Cleaner'!$B$2:$B$10001,MATCH(9244,'Email Cleaner'!$J$2:$J$10001,0)),"")</f>
        <v/>
      </c>
    </row>
    <row r="9246">
      <c r="A9246">
        <f>IFERROR(INDEX('Email Cleaner'!$B$2:$B$10001,MATCH(9245,'Email Cleaner'!$J$2:$J$10001,0)),"")</f>
        <v/>
      </c>
    </row>
    <row r="9247">
      <c r="A9247">
        <f>IFERROR(INDEX('Email Cleaner'!$B$2:$B$10001,MATCH(9246,'Email Cleaner'!$J$2:$J$10001,0)),"")</f>
        <v/>
      </c>
    </row>
    <row r="9248">
      <c r="A9248">
        <f>IFERROR(INDEX('Email Cleaner'!$B$2:$B$10001,MATCH(9247,'Email Cleaner'!$J$2:$J$10001,0)),"")</f>
        <v/>
      </c>
    </row>
    <row r="9249">
      <c r="A9249">
        <f>IFERROR(INDEX('Email Cleaner'!$B$2:$B$10001,MATCH(9248,'Email Cleaner'!$J$2:$J$10001,0)),"")</f>
        <v/>
      </c>
    </row>
    <row r="9250">
      <c r="A9250">
        <f>IFERROR(INDEX('Email Cleaner'!$B$2:$B$10001,MATCH(9249,'Email Cleaner'!$J$2:$J$10001,0)),"")</f>
        <v/>
      </c>
    </row>
    <row r="9251">
      <c r="A9251">
        <f>IFERROR(INDEX('Email Cleaner'!$B$2:$B$10001,MATCH(9250,'Email Cleaner'!$J$2:$J$10001,0)),"")</f>
        <v/>
      </c>
    </row>
    <row r="9252">
      <c r="A9252">
        <f>IFERROR(INDEX('Email Cleaner'!$B$2:$B$10001,MATCH(9251,'Email Cleaner'!$J$2:$J$10001,0)),"")</f>
        <v/>
      </c>
    </row>
    <row r="9253">
      <c r="A9253">
        <f>IFERROR(INDEX('Email Cleaner'!$B$2:$B$10001,MATCH(9252,'Email Cleaner'!$J$2:$J$10001,0)),"")</f>
        <v/>
      </c>
    </row>
    <row r="9254">
      <c r="A9254">
        <f>IFERROR(INDEX('Email Cleaner'!$B$2:$B$10001,MATCH(9253,'Email Cleaner'!$J$2:$J$10001,0)),"")</f>
        <v/>
      </c>
    </row>
    <row r="9255">
      <c r="A9255">
        <f>IFERROR(INDEX('Email Cleaner'!$B$2:$B$10001,MATCH(9254,'Email Cleaner'!$J$2:$J$10001,0)),"")</f>
        <v/>
      </c>
    </row>
    <row r="9256">
      <c r="A9256">
        <f>IFERROR(INDEX('Email Cleaner'!$B$2:$B$10001,MATCH(9255,'Email Cleaner'!$J$2:$J$10001,0)),"")</f>
        <v/>
      </c>
    </row>
    <row r="9257">
      <c r="A9257">
        <f>IFERROR(INDEX('Email Cleaner'!$B$2:$B$10001,MATCH(9256,'Email Cleaner'!$J$2:$J$10001,0)),"")</f>
        <v/>
      </c>
    </row>
    <row r="9258">
      <c r="A9258">
        <f>IFERROR(INDEX('Email Cleaner'!$B$2:$B$10001,MATCH(9257,'Email Cleaner'!$J$2:$J$10001,0)),"")</f>
        <v/>
      </c>
    </row>
    <row r="9259">
      <c r="A9259">
        <f>IFERROR(INDEX('Email Cleaner'!$B$2:$B$10001,MATCH(9258,'Email Cleaner'!$J$2:$J$10001,0)),"")</f>
        <v/>
      </c>
    </row>
    <row r="9260">
      <c r="A9260">
        <f>IFERROR(INDEX('Email Cleaner'!$B$2:$B$10001,MATCH(9259,'Email Cleaner'!$J$2:$J$10001,0)),"")</f>
        <v/>
      </c>
    </row>
    <row r="9261">
      <c r="A9261">
        <f>IFERROR(INDEX('Email Cleaner'!$B$2:$B$10001,MATCH(9260,'Email Cleaner'!$J$2:$J$10001,0)),"")</f>
        <v/>
      </c>
    </row>
    <row r="9262">
      <c r="A9262">
        <f>IFERROR(INDEX('Email Cleaner'!$B$2:$B$10001,MATCH(9261,'Email Cleaner'!$J$2:$J$10001,0)),"")</f>
        <v/>
      </c>
    </row>
    <row r="9263">
      <c r="A9263">
        <f>IFERROR(INDEX('Email Cleaner'!$B$2:$B$10001,MATCH(9262,'Email Cleaner'!$J$2:$J$10001,0)),"")</f>
        <v/>
      </c>
    </row>
    <row r="9264">
      <c r="A9264">
        <f>IFERROR(INDEX('Email Cleaner'!$B$2:$B$10001,MATCH(9263,'Email Cleaner'!$J$2:$J$10001,0)),"")</f>
        <v/>
      </c>
    </row>
    <row r="9265">
      <c r="A9265">
        <f>IFERROR(INDEX('Email Cleaner'!$B$2:$B$10001,MATCH(9264,'Email Cleaner'!$J$2:$J$10001,0)),"")</f>
        <v/>
      </c>
    </row>
    <row r="9266">
      <c r="A9266">
        <f>IFERROR(INDEX('Email Cleaner'!$B$2:$B$10001,MATCH(9265,'Email Cleaner'!$J$2:$J$10001,0)),"")</f>
        <v/>
      </c>
    </row>
    <row r="9267">
      <c r="A9267">
        <f>IFERROR(INDEX('Email Cleaner'!$B$2:$B$10001,MATCH(9266,'Email Cleaner'!$J$2:$J$10001,0)),"")</f>
        <v/>
      </c>
    </row>
    <row r="9268">
      <c r="A9268">
        <f>IFERROR(INDEX('Email Cleaner'!$B$2:$B$10001,MATCH(9267,'Email Cleaner'!$J$2:$J$10001,0)),"")</f>
        <v/>
      </c>
    </row>
    <row r="9269">
      <c r="A9269">
        <f>IFERROR(INDEX('Email Cleaner'!$B$2:$B$10001,MATCH(9268,'Email Cleaner'!$J$2:$J$10001,0)),"")</f>
        <v/>
      </c>
    </row>
    <row r="9270">
      <c r="A9270">
        <f>IFERROR(INDEX('Email Cleaner'!$B$2:$B$10001,MATCH(9269,'Email Cleaner'!$J$2:$J$10001,0)),"")</f>
        <v/>
      </c>
    </row>
    <row r="9271">
      <c r="A9271">
        <f>IFERROR(INDEX('Email Cleaner'!$B$2:$B$10001,MATCH(9270,'Email Cleaner'!$J$2:$J$10001,0)),"")</f>
        <v/>
      </c>
    </row>
    <row r="9272">
      <c r="A9272">
        <f>IFERROR(INDEX('Email Cleaner'!$B$2:$B$10001,MATCH(9271,'Email Cleaner'!$J$2:$J$10001,0)),"")</f>
        <v/>
      </c>
    </row>
    <row r="9273">
      <c r="A9273">
        <f>IFERROR(INDEX('Email Cleaner'!$B$2:$B$10001,MATCH(9272,'Email Cleaner'!$J$2:$J$10001,0)),"")</f>
        <v/>
      </c>
    </row>
    <row r="9274">
      <c r="A9274">
        <f>IFERROR(INDEX('Email Cleaner'!$B$2:$B$10001,MATCH(9273,'Email Cleaner'!$J$2:$J$10001,0)),"")</f>
        <v/>
      </c>
    </row>
    <row r="9275">
      <c r="A9275">
        <f>IFERROR(INDEX('Email Cleaner'!$B$2:$B$10001,MATCH(9274,'Email Cleaner'!$J$2:$J$10001,0)),"")</f>
        <v/>
      </c>
    </row>
    <row r="9276">
      <c r="A9276">
        <f>IFERROR(INDEX('Email Cleaner'!$B$2:$B$10001,MATCH(9275,'Email Cleaner'!$J$2:$J$10001,0)),"")</f>
        <v/>
      </c>
    </row>
    <row r="9277">
      <c r="A9277">
        <f>IFERROR(INDEX('Email Cleaner'!$B$2:$B$10001,MATCH(9276,'Email Cleaner'!$J$2:$J$10001,0)),"")</f>
        <v/>
      </c>
    </row>
    <row r="9278">
      <c r="A9278">
        <f>IFERROR(INDEX('Email Cleaner'!$B$2:$B$10001,MATCH(9277,'Email Cleaner'!$J$2:$J$10001,0)),"")</f>
        <v/>
      </c>
    </row>
    <row r="9279">
      <c r="A9279">
        <f>IFERROR(INDEX('Email Cleaner'!$B$2:$B$10001,MATCH(9278,'Email Cleaner'!$J$2:$J$10001,0)),"")</f>
        <v/>
      </c>
    </row>
    <row r="9280">
      <c r="A9280">
        <f>IFERROR(INDEX('Email Cleaner'!$B$2:$B$10001,MATCH(9279,'Email Cleaner'!$J$2:$J$10001,0)),"")</f>
        <v/>
      </c>
    </row>
    <row r="9281">
      <c r="A9281">
        <f>IFERROR(INDEX('Email Cleaner'!$B$2:$B$10001,MATCH(9280,'Email Cleaner'!$J$2:$J$10001,0)),"")</f>
        <v/>
      </c>
    </row>
    <row r="9282">
      <c r="A9282">
        <f>IFERROR(INDEX('Email Cleaner'!$B$2:$B$10001,MATCH(9281,'Email Cleaner'!$J$2:$J$10001,0)),"")</f>
        <v/>
      </c>
    </row>
    <row r="9283">
      <c r="A9283">
        <f>IFERROR(INDEX('Email Cleaner'!$B$2:$B$10001,MATCH(9282,'Email Cleaner'!$J$2:$J$10001,0)),"")</f>
        <v/>
      </c>
    </row>
    <row r="9284">
      <c r="A9284">
        <f>IFERROR(INDEX('Email Cleaner'!$B$2:$B$10001,MATCH(9283,'Email Cleaner'!$J$2:$J$10001,0)),"")</f>
        <v/>
      </c>
    </row>
    <row r="9285">
      <c r="A9285">
        <f>IFERROR(INDEX('Email Cleaner'!$B$2:$B$10001,MATCH(9284,'Email Cleaner'!$J$2:$J$10001,0)),"")</f>
        <v/>
      </c>
    </row>
    <row r="9286">
      <c r="A9286">
        <f>IFERROR(INDEX('Email Cleaner'!$B$2:$B$10001,MATCH(9285,'Email Cleaner'!$J$2:$J$10001,0)),"")</f>
        <v/>
      </c>
    </row>
    <row r="9287">
      <c r="A9287">
        <f>IFERROR(INDEX('Email Cleaner'!$B$2:$B$10001,MATCH(9286,'Email Cleaner'!$J$2:$J$10001,0)),"")</f>
        <v/>
      </c>
    </row>
    <row r="9288">
      <c r="A9288">
        <f>IFERROR(INDEX('Email Cleaner'!$B$2:$B$10001,MATCH(9287,'Email Cleaner'!$J$2:$J$10001,0)),"")</f>
        <v/>
      </c>
    </row>
    <row r="9289">
      <c r="A9289">
        <f>IFERROR(INDEX('Email Cleaner'!$B$2:$B$10001,MATCH(9288,'Email Cleaner'!$J$2:$J$10001,0)),"")</f>
        <v/>
      </c>
    </row>
    <row r="9290">
      <c r="A9290">
        <f>IFERROR(INDEX('Email Cleaner'!$B$2:$B$10001,MATCH(9289,'Email Cleaner'!$J$2:$J$10001,0)),"")</f>
        <v/>
      </c>
    </row>
    <row r="9291">
      <c r="A9291">
        <f>IFERROR(INDEX('Email Cleaner'!$B$2:$B$10001,MATCH(9290,'Email Cleaner'!$J$2:$J$10001,0)),"")</f>
        <v/>
      </c>
    </row>
    <row r="9292">
      <c r="A9292">
        <f>IFERROR(INDEX('Email Cleaner'!$B$2:$B$10001,MATCH(9291,'Email Cleaner'!$J$2:$J$10001,0)),"")</f>
        <v/>
      </c>
    </row>
    <row r="9293">
      <c r="A9293">
        <f>IFERROR(INDEX('Email Cleaner'!$B$2:$B$10001,MATCH(9292,'Email Cleaner'!$J$2:$J$10001,0)),"")</f>
        <v/>
      </c>
    </row>
    <row r="9294">
      <c r="A9294">
        <f>IFERROR(INDEX('Email Cleaner'!$B$2:$B$10001,MATCH(9293,'Email Cleaner'!$J$2:$J$10001,0)),"")</f>
        <v/>
      </c>
    </row>
    <row r="9295">
      <c r="A9295">
        <f>IFERROR(INDEX('Email Cleaner'!$B$2:$B$10001,MATCH(9294,'Email Cleaner'!$J$2:$J$10001,0)),"")</f>
        <v/>
      </c>
    </row>
    <row r="9296">
      <c r="A9296">
        <f>IFERROR(INDEX('Email Cleaner'!$B$2:$B$10001,MATCH(9295,'Email Cleaner'!$J$2:$J$10001,0)),"")</f>
        <v/>
      </c>
    </row>
    <row r="9297">
      <c r="A9297">
        <f>IFERROR(INDEX('Email Cleaner'!$B$2:$B$10001,MATCH(9296,'Email Cleaner'!$J$2:$J$10001,0)),"")</f>
        <v/>
      </c>
    </row>
    <row r="9298">
      <c r="A9298">
        <f>IFERROR(INDEX('Email Cleaner'!$B$2:$B$10001,MATCH(9297,'Email Cleaner'!$J$2:$J$10001,0)),"")</f>
        <v/>
      </c>
    </row>
    <row r="9299">
      <c r="A9299">
        <f>IFERROR(INDEX('Email Cleaner'!$B$2:$B$10001,MATCH(9298,'Email Cleaner'!$J$2:$J$10001,0)),"")</f>
        <v/>
      </c>
    </row>
    <row r="9300">
      <c r="A9300">
        <f>IFERROR(INDEX('Email Cleaner'!$B$2:$B$10001,MATCH(9299,'Email Cleaner'!$J$2:$J$10001,0)),"")</f>
        <v/>
      </c>
    </row>
    <row r="9301">
      <c r="A9301">
        <f>IFERROR(INDEX('Email Cleaner'!$B$2:$B$10001,MATCH(9300,'Email Cleaner'!$J$2:$J$10001,0)),"")</f>
        <v/>
      </c>
    </row>
    <row r="9302">
      <c r="A9302">
        <f>IFERROR(INDEX('Email Cleaner'!$B$2:$B$10001,MATCH(9301,'Email Cleaner'!$J$2:$J$10001,0)),"")</f>
        <v/>
      </c>
    </row>
    <row r="9303">
      <c r="A9303">
        <f>IFERROR(INDEX('Email Cleaner'!$B$2:$B$10001,MATCH(9302,'Email Cleaner'!$J$2:$J$10001,0)),"")</f>
        <v/>
      </c>
    </row>
    <row r="9304">
      <c r="A9304">
        <f>IFERROR(INDEX('Email Cleaner'!$B$2:$B$10001,MATCH(9303,'Email Cleaner'!$J$2:$J$10001,0)),"")</f>
        <v/>
      </c>
    </row>
    <row r="9305">
      <c r="A9305">
        <f>IFERROR(INDEX('Email Cleaner'!$B$2:$B$10001,MATCH(9304,'Email Cleaner'!$J$2:$J$10001,0)),"")</f>
        <v/>
      </c>
    </row>
    <row r="9306">
      <c r="A9306">
        <f>IFERROR(INDEX('Email Cleaner'!$B$2:$B$10001,MATCH(9305,'Email Cleaner'!$J$2:$J$10001,0)),"")</f>
        <v/>
      </c>
    </row>
    <row r="9307">
      <c r="A9307">
        <f>IFERROR(INDEX('Email Cleaner'!$B$2:$B$10001,MATCH(9306,'Email Cleaner'!$J$2:$J$10001,0)),"")</f>
        <v/>
      </c>
    </row>
    <row r="9308">
      <c r="A9308">
        <f>IFERROR(INDEX('Email Cleaner'!$B$2:$B$10001,MATCH(9307,'Email Cleaner'!$J$2:$J$10001,0)),"")</f>
        <v/>
      </c>
    </row>
    <row r="9309">
      <c r="A9309">
        <f>IFERROR(INDEX('Email Cleaner'!$B$2:$B$10001,MATCH(9308,'Email Cleaner'!$J$2:$J$10001,0)),"")</f>
        <v/>
      </c>
    </row>
    <row r="9310">
      <c r="A9310">
        <f>IFERROR(INDEX('Email Cleaner'!$B$2:$B$10001,MATCH(9309,'Email Cleaner'!$J$2:$J$10001,0)),"")</f>
        <v/>
      </c>
    </row>
    <row r="9311">
      <c r="A9311">
        <f>IFERROR(INDEX('Email Cleaner'!$B$2:$B$10001,MATCH(9310,'Email Cleaner'!$J$2:$J$10001,0)),"")</f>
        <v/>
      </c>
    </row>
    <row r="9312">
      <c r="A9312">
        <f>IFERROR(INDEX('Email Cleaner'!$B$2:$B$10001,MATCH(9311,'Email Cleaner'!$J$2:$J$10001,0)),"")</f>
        <v/>
      </c>
    </row>
    <row r="9313">
      <c r="A9313">
        <f>IFERROR(INDEX('Email Cleaner'!$B$2:$B$10001,MATCH(9312,'Email Cleaner'!$J$2:$J$10001,0)),"")</f>
        <v/>
      </c>
    </row>
    <row r="9314">
      <c r="A9314">
        <f>IFERROR(INDEX('Email Cleaner'!$B$2:$B$10001,MATCH(9313,'Email Cleaner'!$J$2:$J$10001,0)),"")</f>
        <v/>
      </c>
    </row>
    <row r="9315">
      <c r="A9315">
        <f>IFERROR(INDEX('Email Cleaner'!$B$2:$B$10001,MATCH(9314,'Email Cleaner'!$J$2:$J$10001,0)),"")</f>
        <v/>
      </c>
    </row>
    <row r="9316">
      <c r="A9316">
        <f>IFERROR(INDEX('Email Cleaner'!$B$2:$B$10001,MATCH(9315,'Email Cleaner'!$J$2:$J$10001,0)),"")</f>
        <v/>
      </c>
    </row>
    <row r="9317">
      <c r="A9317">
        <f>IFERROR(INDEX('Email Cleaner'!$B$2:$B$10001,MATCH(9316,'Email Cleaner'!$J$2:$J$10001,0)),"")</f>
        <v/>
      </c>
    </row>
    <row r="9318">
      <c r="A9318">
        <f>IFERROR(INDEX('Email Cleaner'!$B$2:$B$10001,MATCH(9317,'Email Cleaner'!$J$2:$J$10001,0)),"")</f>
        <v/>
      </c>
    </row>
    <row r="9319">
      <c r="A9319">
        <f>IFERROR(INDEX('Email Cleaner'!$B$2:$B$10001,MATCH(9318,'Email Cleaner'!$J$2:$J$10001,0)),"")</f>
        <v/>
      </c>
    </row>
    <row r="9320">
      <c r="A9320">
        <f>IFERROR(INDEX('Email Cleaner'!$B$2:$B$10001,MATCH(9319,'Email Cleaner'!$J$2:$J$10001,0)),"")</f>
        <v/>
      </c>
    </row>
    <row r="9321">
      <c r="A9321">
        <f>IFERROR(INDEX('Email Cleaner'!$B$2:$B$10001,MATCH(9320,'Email Cleaner'!$J$2:$J$10001,0)),"")</f>
        <v/>
      </c>
    </row>
    <row r="9322">
      <c r="A9322">
        <f>IFERROR(INDEX('Email Cleaner'!$B$2:$B$10001,MATCH(9321,'Email Cleaner'!$J$2:$J$10001,0)),"")</f>
        <v/>
      </c>
    </row>
    <row r="9323">
      <c r="A9323">
        <f>IFERROR(INDEX('Email Cleaner'!$B$2:$B$10001,MATCH(9322,'Email Cleaner'!$J$2:$J$10001,0)),"")</f>
        <v/>
      </c>
    </row>
    <row r="9324">
      <c r="A9324">
        <f>IFERROR(INDEX('Email Cleaner'!$B$2:$B$10001,MATCH(9323,'Email Cleaner'!$J$2:$J$10001,0)),"")</f>
        <v/>
      </c>
    </row>
    <row r="9325">
      <c r="A9325">
        <f>IFERROR(INDEX('Email Cleaner'!$B$2:$B$10001,MATCH(9324,'Email Cleaner'!$J$2:$J$10001,0)),"")</f>
        <v/>
      </c>
    </row>
    <row r="9326">
      <c r="A9326">
        <f>IFERROR(INDEX('Email Cleaner'!$B$2:$B$10001,MATCH(9325,'Email Cleaner'!$J$2:$J$10001,0)),"")</f>
        <v/>
      </c>
    </row>
    <row r="9327">
      <c r="A9327">
        <f>IFERROR(INDEX('Email Cleaner'!$B$2:$B$10001,MATCH(9326,'Email Cleaner'!$J$2:$J$10001,0)),"")</f>
        <v/>
      </c>
    </row>
    <row r="9328">
      <c r="A9328">
        <f>IFERROR(INDEX('Email Cleaner'!$B$2:$B$10001,MATCH(9327,'Email Cleaner'!$J$2:$J$10001,0)),"")</f>
        <v/>
      </c>
    </row>
    <row r="9329">
      <c r="A9329">
        <f>IFERROR(INDEX('Email Cleaner'!$B$2:$B$10001,MATCH(9328,'Email Cleaner'!$J$2:$J$10001,0)),"")</f>
        <v/>
      </c>
    </row>
    <row r="9330">
      <c r="A9330">
        <f>IFERROR(INDEX('Email Cleaner'!$B$2:$B$10001,MATCH(9329,'Email Cleaner'!$J$2:$J$10001,0)),"")</f>
        <v/>
      </c>
    </row>
    <row r="9331">
      <c r="A9331">
        <f>IFERROR(INDEX('Email Cleaner'!$B$2:$B$10001,MATCH(9330,'Email Cleaner'!$J$2:$J$10001,0)),"")</f>
        <v/>
      </c>
    </row>
    <row r="9332">
      <c r="A9332">
        <f>IFERROR(INDEX('Email Cleaner'!$B$2:$B$10001,MATCH(9331,'Email Cleaner'!$J$2:$J$10001,0)),"")</f>
        <v/>
      </c>
    </row>
    <row r="9333">
      <c r="A9333">
        <f>IFERROR(INDEX('Email Cleaner'!$B$2:$B$10001,MATCH(9332,'Email Cleaner'!$J$2:$J$10001,0)),"")</f>
        <v/>
      </c>
    </row>
    <row r="9334">
      <c r="A9334">
        <f>IFERROR(INDEX('Email Cleaner'!$B$2:$B$10001,MATCH(9333,'Email Cleaner'!$J$2:$J$10001,0)),"")</f>
        <v/>
      </c>
    </row>
    <row r="9335">
      <c r="A9335">
        <f>IFERROR(INDEX('Email Cleaner'!$B$2:$B$10001,MATCH(9334,'Email Cleaner'!$J$2:$J$10001,0)),"")</f>
        <v/>
      </c>
    </row>
    <row r="9336">
      <c r="A9336">
        <f>IFERROR(INDEX('Email Cleaner'!$B$2:$B$10001,MATCH(9335,'Email Cleaner'!$J$2:$J$10001,0)),"")</f>
        <v/>
      </c>
    </row>
    <row r="9337">
      <c r="A9337">
        <f>IFERROR(INDEX('Email Cleaner'!$B$2:$B$10001,MATCH(9336,'Email Cleaner'!$J$2:$J$10001,0)),"")</f>
        <v/>
      </c>
    </row>
    <row r="9338">
      <c r="A9338">
        <f>IFERROR(INDEX('Email Cleaner'!$B$2:$B$10001,MATCH(9337,'Email Cleaner'!$J$2:$J$10001,0)),"")</f>
        <v/>
      </c>
    </row>
    <row r="9339">
      <c r="A9339">
        <f>IFERROR(INDEX('Email Cleaner'!$B$2:$B$10001,MATCH(9338,'Email Cleaner'!$J$2:$J$10001,0)),"")</f>
        <v/>
      </c>
    </row>
    <row r="9340">
      <c r="A9340">
        <f>IFERROR(INDEX('Email Cleaner'!$B$2:$B$10001,MATCH(9339,'Email Cleaner'!$J$2:$J$10001,0)),"")</f>
        <v/>
      </c>
    </row>
    <row r="9341">
      <c r="A9341">
        <f>IFERROR(INDEX('Email Cleaner'!$B$2:$B$10001,MATCH(9340,'Email Cleaner'!$J$2:$J$10001,0)),"")</f>
        <v/>
      </c>
    </row>
    <row r="9342">
      <c r="A9342">
        <f>IFERROR(INDEX('Email Cleaner'!$B$2:$B$10001,MATCH(9341,'Email Cleaner'!$J$2:$J$10001,0)),"")</f>
        <v/>
      </c>
    </row>
    <row r="9343">
      <c r="A9343">
        <f>IFERROR(INDEX('Email Cleaner'!$B$2:$B$10001,MATCH(9342,'Email Cleaner'!$J$2:$J$10001,0)),"")</f>
        <v/>
      </c>
    </row>
    <row r="9344">
      <c r="A9344">
        <f>IFERROR(INDEX('Email Cleaner'!$B$2:$B$10001,MATCH(9343,'Email Cleaner'!$J$2:$J$10001,0)),"")</f>
        <v/>
      </c>
    </row>
    <row r="9345">
      <c r="A9345">
        <f>IFERROR(INDEX('Email Cleaner'!$B$2:$B$10001,MATCH(9344,'Email Cleaner'!$J$2:$J$10001,0)),"")</f>
        <v/>
      </c>
    </row>
    <row r="9346">
      <c r="A9346">
        <f>IFERROR(INDEX('Email Cleaner'!$B$2:$B$10001,MATCH(9345,'Email Cleaner'!$J$2:$J$10001,0)),"")</f>
        <v/>
      </c>
    </row>
    <row r="9347">
      <c r="A9347">
        <f>IFERROR(INDEX('Email Cleaner'!$B$2:$B$10001,MATCH(9346,'Email Cleaner'!$J$2:$J$10001,0)),"")</f>
        <v/>
      </c>
    </row>
    <row r="9348">
      <c r="A9348">
        <f>IFERROR(INDEX('Email Cleaner'!$B$2:$B$10001,MATCH(9347,'Email Cleaner'!$J$2:$J$10001,0)),"")</f>
        <v/>
      </c>
    </row>
    <row r="9349">
      <c r="A9349">
        <f>IFERROR(INDEX('Email Cleaner'!$B$2:$B$10001,MATCH(9348,'Email Cleaner'!$J$2:$J$10001,0)),"")</f>
        <v/>
      </c>
    </row>
    <row r="9350">
      <c r="A9350">
        <f>IFERROR(INDEX('Email Cleaner'!$B$2:$B$10001,MATCH(9349,'Email Cleaner'!$J$2:$J$10001,0)),"")</f>
        <v/>
      </c>
    </row>
    <row r="9351">
      <c r="A9351">
        <f>IFERROR(INDEX('Email Cleaner'!$B$2:$B$10001,MATCH(9350,'Email Cleaner'!$J$2:$J$10001,0)),"")</f>
        <v/>
      </c>
    </row>
    <row r="9352">
      <c r="A9352">
        <f>IFERROR(INDEX('Email Cleaner'!$B$2:$B$10001,MATCH(9351,'Email Cleaner'!$J$2:$J$10001,0)),"")</f>
        <v/>
      </c>
    </row>
    <row r="9353">
      <c r="A9353">
        <f>IFERROR(INDEX('Email Cleaner'!$B$2:$B$10001,MATCH(9352,'Email Cleaner'!$J$2:$J$10001,0)),"")</f>
        <v/>
      </c>
    </row>
    <row r="9354">
      <c r="A9354">
        <f>IFERROR(INDEX('Email Cleaner'!$B$2:$B$10001,MATCH(9353,'Email Cleaner'!$J$2:$J$10001,0)),"")</f>
        <v/>
      </c>
    </row>
    <row r="9355">
      <c r="A9355">
        <f>IFERROR(INDEX('Email Cleaner'!$B$2:$B$10001,MATCH(9354,'Email Cleaner'!$J$2:$J$10001,0)),"")</f>
        <v/>
      </c>
    </row>
    <row r="9356">
      <c r="A9356">
        <f>IFERROR(INDEX('Email Cleaner'!$B$2:$B$10001,MATCH(9355,'Email Cleaner'!$J$2:$J$10001,0)),"")</f>
        <v/>
      </c>
    </row>
    <row r="9357">
      <c r="A9357">
        <f>IFERROR(INDEX('Email Cleaner'!$B$2:$B$10001,MATCH(9356,'Email Cleaner'!$J$2:$J$10001,0)),"")</f>
        <v/>
      </c>
    </row>
    <row r="9358">
      <c r="A9358">
        <f>IFERROR(INDEX('Email Cleaner'!$B$2:$B$10001,MATCH(9357,'Email Cleaner'!$J$2:$J$10001,0)),"")</f>
        <v/>
      </c>
    </row>
    <row r="9359">
      <c r="A9359">
        <f>IFERROR(INDEX('Email Cleaner'!$B$2:$B$10001,MATCH(9358,'Email Cleaner'!$J$2:$J$10001,0)),"")</f>
        <v/>
      </c>
    </row>
    <row r="9360">
      <c r="A9360">
        <f>IFERROR(INDEX('Email Cleaner'!$B$2:$B$10001,MATCH(9359,'Email Cleaner'!$J$2:$J$10001,0)),"")</f>
        <v/>
      </c>
    </row>
    <row r="9361">
      <c r="A9361">
        <f>IFERROR(INDEX('Email Cleaner'!$B$2:$B$10001,MATCH(9360,'Email Cleaner'!$J$2:$J$10001,0)),"")</f>
        <v/>
      </c>
    </row>
    <row r="9362">
      <c r="A9362">
        <f>IFERROR(INDEX('Email Cleaner'!$B$2:$B$10001,MATCH(9361,'Email Cleaner'!$J$2:$J$10001,0)),"")</f>
        <v/>
      </c>
    </row>
    <row r="9363">
      <c r="A9363">
        <f>IFERROR(INDEX('Email Cleaner'!$B$2:$B$10001,MATCH(9362,'Email Cleaner'!$J$2:$J$10001,0)),"")</f>
        <v/>
      </c>
    </row>
    <row r="9364">
      <c r="A9364">
        <f>IFERROR(INDEX('Email Cleaner'!$B$2:$B$10001,MATCH(9363,'Email Cleaner'!$J$2:$J$10001,0)),"")</f>
        <v/>
      </c>
    </row>
    <row r="9365">
      <c r="A9365">
        <f>IFERROR(INDEX('Email Cleaner'!$B$2:$B$10001,MATCH(9364,'Email Cleaner'!$J$2:$J$10001,0)),"")</f>
        <v/>
      </c>
    </row>
    <row r="9366">
      <c r="A9366">
        <f>IFERROR(INDEX('Email Cleaner'!$B$2:$B$10001,MATCH(9365,'Email Cleaner'!$J$2:$J$10001,0)),"")</f>
        <v/>
      </c>
    </row>
    <row r="9367">
      <c r="A9367">
        <f>IFERROR(INDEX('Email Cleaner'!$B$2:$B$10001,MATCH(9366,'Email Cleaner'!$J$2:$J$10001,0)),"")</f>
        <v/>
      </c>
    </row>
    <row r="9368">
      <c r="A9368">
        <f>IFERROR(INDEX('Email Cleaner'!$B$2:$B$10001,MATCH(9367,'Email Cleaner'!$J$2:$J$10001,0)),"")</f>
        <v/>
      </c>
    </row>
    <row r="9369">
      <c r="A9369">
        <f>IFERROR(INDEX('Email Cleaner'!$B$2:$B$10001,MATCH(9368,'Email Cleaner'!$J$2:$J$10001,0)),"")</f>
        <v/>
      </c>
    </row>
    <row r="9370">
      <c r="A9370">
        <f>IFERROR(INDEX('Email Cleaner'!$B$2:$B$10001,MATCH(9369,'Email Cleaner'!$J$2:$J$10001,0)),"")</f>
        <v/>
      </c>
    </row>
    <row r="9371">
      <c r="A9371">
        <f>IFERROR(INDEX('Email Cleaner'!$B$2:$B$10001,MATCH(9370,'Email Cleaner'!$J$2:$J$10001,0)),"")</f>
        <v/>
      </c>
    </row>
    <row r="9372">
      <c r="A9372">
        <f>IFERROR(INDEX('Email Cleaner'!$B$2:$B$10001,MATCH(9371,'Email Cleaner'!$J$2:$J$10001,0)),"")</f>
        <v/>
      </c>
    </row>
    <row r="9373">
      <c r="A9373">
        <f>IFERROR(INDEX('Email Cleaner'!$B$2:$B$10001,MATCH(9372,'Email Cleaner'!$J$2:$J$10001,0)),"")</f>
        <v/>
      </c>
    </row>
    <row r="9374">
      <c r="A9374">
        <f>IFERROR(INDEX('Email Cleaner'!$B$2:$B$10001,MATCH(9373,'Email Cleaner'!$J$2:$J$10001,0)),"")</f>
        <v/>
      </c>
    </row>
    <row r="9375">
      <c r="A9375">
        <f>IFERROR(INDEX('Email Cleaner'!$B$2:$B$10001,MATCH(9374,'Email Cleaner'!$J$2:$J$10001,0)),"")</f>
        <v/>
      </c>
    </row>
    <row r="9376">
      <c r="A9376">
        <f>IFERROR(INDEX('Email Cleaner'!$B$2:$B$10001,MATCH(9375,'Email Cleaner'!$J$2:$J$10001,0)),"")</f>
        <v/>
      </c>
    </row>
    <row r="9377">
      <c r="A9377">
        <f>IFERROR(INDEX('Email Cleaner'!$B$2:$B$10001,MATCH(9376,'Email Cleaner'!$J$2:$J$10001,0)),"")</f>
        <v/>
      </c>
    </row>
    <row r="9378">
      <c r="A9378">
        <f>IFERROR(INDEX('Email Cleaner'!$B$2:$B$10001,MATCH(9377,'Email Cleaner'!$J$2:$J$10001,0)),"")</f>
        <v/>
      </c>
    </row>
    <row r="9379">
      <c r="A9379">
        <f>IFERROR(INDEX('Email Cleaner'!$B$2:$B$10001,MATCH(9378,'Email Cleaner'!$J$2:$J$10001,0)),"")</f>
        <v/>
      </c>
    </row>
    <row r="9380">
      <c r="A9380">
        <f>IFERROR(INDEX('Email Cleaner'!$B$2:$B$10001,MATCH(9379,'Email Cleaner'!$J$2:$J$10001,0)),"")</f>
        <v/>
      </c>
    </row>
    <row r="9381">
      <c r="A9381">
        <f>IFERROR(INDEX('Email Cleaner'!$B$2:$B$10001,MATCH(9380,'Email Cleaner'!$J$2:$J$10001,0)),"")</f>
        <v/>
      </c>
    </row>
    <row r="9382">
      <c r="A9382">
        <f>IFERROR(INDEX('Email Cleaner'!$B$2:$B$10001,MATCH(9381,'Email Cleaner'!$J$2:$J$10001,0)),"")</f>
        <v/>
      </c>
    </row>
    <row r="9383">
      <c r="A9383">
        <f>IFERROR(INDEX('Email Cleaner'!$B$2:$B$10001,MATCH(9382,'Email Cleaner'!$J$2:$J$10001,0)),"")</f>
        <v/>
      </c>
    </row>
    <row r="9384">
      <c r="A9384">
        <f>IFERROR(INDEX('Email Cleaner'!$B$2:$B$10001,MATCH(9383,'Email Cleaner'!$J$2:$J$10001,0)),"")</f>
        <v/>
      </c>
    </row>
    <row r="9385">
      <c r="A9385">
        <f>IFERROR(INDEX('Email Cleaner'!$B$2:$B$10001,MATCH(9384,'Email Cleaner'!$J$2:$J$10001,0)),"")</f>
        <v/>
      </c>
    </row>
    <row r="9386">
      <c r="A9386">
        <f>IFERROR(INDEX('Email Cleaner'!$B$2:$B$10001,MATCH(9385,'Email Cleaner'!$J$2:$J$10001,0)),"")</f>
        <v/>
      </c>
    </row>
    <row r="9387">
      <c r="A9387">
        <f>IFERROR(INDEX('Email Cleaner'!$B$2:$B$10001,MATCH(9386,'Email Cleaner'!$J$2:$J$10001,0)),"")</f>
        <v/>
      </c>
    </row>
    <row r="9388">
      <c r="A9388">
        <f>IFERROR(INDEX('Email Cleaner'!$B$2:$B$10001,MATCH(9387,'Email Cleaner'!$J$2:$J$10001,0)),"")</f>
        <v/>
      </c>
    </row>
    <row r="9389">
      <c r="A9389">
        <f>IFERROR(INDEX('Email Cleaner'!$B$2:$B$10001,MATCH(9388,'Email Cleaner'!$J$2:$J$10001,0)),"")</f>
        <v/>
      </c>
    </row>
    <row r="9390">
      <c r="A9390">
        <f>IFERROR(INDEX('Email Cleaner'!$B$2:$B$10001,MATCH(9389,'Email Cleaner'!$J$2:$J$10001,0)),"")</f>
        <v/>
      </c>
    </row>
    <row r="9391">
      <c r="A9391">
        <f>IFERROR(INDEX('Email Cleaner'!$B$2:$B$10001,MATCH(9390,'Email Cleaner'!$J$2:$J$10001,0)),"")</f>
        <v/>
      </c>
    </row>
    <row r="9392">
      <c r="A9392">
        <f>IFERROR(INDEX('Email Cleaner'!$B$2:$B$10001,MATCH(9391,'Email Cleaner'!$J$2:$J$10001,0)),"")</f>
        <v/>
      </c>
    </row>
    <row r="9393">
      <c r="A9393">
        <f>IFERROR(INDEX('Email Cleaner'!$B$2:$B$10001,MATCH(9392,'Email Cleaner'!$J$2:$J$10001,0)),"")</f>
        <v/>
      </c>
    </row>
    <row r="9394">
      <c r="A9394">
        <f>IFERROR(INDEX('Email Cleaner'!$B$2:$B$10001,MATCH(9393,'Email Cleaner'!$J$2:$J$10001,0)),"")</f>
        <v/>
      </c>
    </row>
    <row r="9395">
      <c r="A9395">
        <f>IFERROR(INDEX('Email Cleaner'!$B$2:$B$10001,MATCH(9394,'Email Cleaner'!$J$2:$J$10001,0)),"")</f>
        <v/>
      </c>
    </row>
    <row r="9396">
      <c r="A9396">
        <f>IFERROR(INDEX('Email Cleaner'!$B$2:$B$10001,MATCH(9395,'Email Cleaner'!$J$2:$J$10001,0)),"")</f>
        <v/>
      </c>
    </row>
    <row r="9397">
      <c r="A9397">
        <f>IFERROR(INDEX('Email Cleaner'!$B$2:$B$10001,MATCH(9396,'Email Cleaner'!$J$2:$J$10001,0)),"")</f>
        <v/>
      </c>
    </row>
    <row r="9398">
      <c r="A9398">
        <f>IFERROR(INDEX('Email Cleaner'!$B$2:$B$10001,MATCH(9397,'Email Cleaner'!$J$2:$J$10001,0)),"")</f>
        <v/>
      </c>
    </row>
    <row r="9399">
      <c r="A9399">
        <f>IFERROR(INDEX('Email Cleaner'!$B$2:$B$10001,MATCH(9398,'Email Cleaner'!$J$2:$J$10001,0)),"")</f>
        <v/>
      </c>
    </row>
    <row r="9400">
      <c r="A9400">
        <f>IFERROR(INDEX('Email Cleaner'!$B$2:$B$10001,MATCH(9399,'Email Cleaner'!$J$2:$J$10001,0)),"")</f>
        <v/>
      </c>
    </row>
    <row r="9401">
      <c r="A9401">
        <f>IFERROR(INDEX('Email Cleaner'!$B$2:$B$10001,MATCH(9400,'Email Cleaner'!$J$2:$J$10001,0)),"")</f>
        <v/>
      </c>
    </row>
    <row r="9402">
      <c r="A9402">
        <f>IFERROR(INDEX('Email Cleaner'!$B$2:$B$10001,MATCH(9401,'Email Cleaner'!$J$2:$J$10001,0)),"")</f>
        <v/>
      </c>
    </row>
    <row r="9403">
      <c r="A9403">
        <f>IFERROR(INDEX('Email Cleaner'!$B$2:$B$10001,MATCH(9402,'Email Cleaner'!$J$2:$J$10001,0)),"")</f>
        <v/>
      </c>
    </row>
    <row r="9404">
      <c r="A9404">
        <f>IFERROR(INDEX('Email Cleaner'!$B$2:$B$10001,MATCH(9403,'Email Cleaner'!$J$2:$J$10001,0)),"")</f>
        <v/>
      </c>
    </row>
    <row r="9405">
      <c r="A9405">
        <f>IFERROR(INDEX('Email Cleaner'!$B$2:$B$10001,MATCH(9404,'Email Cleaner'!$J$2:$J$10001,0)),"")</f>
        <v/>
      </c>
    </row>
    <row r="9406">
      <c r="A9406">
        <f>IFERROR(INDEX('Email Cleaner'!$B$2:$B$10001,MATCH(9405,'Email Cleaner'!$J$2:$J$10001,0)),"")</f>
        <v/>
      </c>
    </row>
    <row r="9407">
      <c r="A9407">
        <f>IFERROR(INDEX('Email Cleaner'!$B$2:$B$10001,MATCH(9406,'Email Cleaner'!$J$2:$J$10001,0)),"")</f>
        <v/>
      </c>
    </row>
    <row r="9408">
      <c r="A9408">
        <f>IFERROR(INDEX('Email Cleaner'!$B$2:$B$10001,MATCH(9407,'Email Cleaner'!$J$2:$J$10001,0)),"")</f>
        <v/>
      </c>
    </row>
    <row r="9409">
      <c r="A9409">
        <f>IFERROR(INDEX('Email Cleaner'!$B$2:$B$10001,MATCH(9408,'Email Cleaner'!$J$2:$J$10001,0)),"")</f>
        <v/>
      </c>
    </row>
    <row r="9410">
      <c r="A9410">
        <f>IFERROR(INDEX('Email Cleaner'!$B$2:$B$10001,MATCH(9409,'Email Cleaner'!$J$2:$J$10001,0)),"")</f>
        <v/>
      </c>
    </row>
    <row r="9411">
      <c r="A9411">
        <f>IFERROR(INDEX('Email Cleaner'!$B$2:$B$10001,MATCH(9410,'Email Cleaner'!$J$2:$J$10001,0)),"")</f>
        <v/>
      </c>
    </row>
    <row r="9412">
      <c r="A9412">
        <f>IFERROR(INDEX('Email Cleaner'!$B$2:$B$10001,MATCH(9411,'Email Cleaner'!$J$2:$J$10001,0)),"")</f>
        <v/>
      </c>
    </row>
    <row r="9413">
      <c r="A9413">
        <f>IFERROR(INDEX('Email Cleaner'!$B$2:$B$10001,MATCH(9412,'Email Cleaner'!$J$2:$J$10001,0)),"")</f>
        <v/>
      </c>
    </row>
    <row r="9414">
      <c r="A9414">
        <f>IFERROR(INDEX('Email Cleaner'!$B$2:$B$10001,MATCH(9413,'Email Cleaner'!$J$2:$J$10001,0)),"")</f>
        <v/>
      </c>
    </row>
    <row r="9415">
      <c r="A9415">
        <f>IFERROR(INDEX('Email Cleaner'!$B$2:$B$10001,MATCH(9414,'Email Cleaner'!$J$2:$J$10001,0)),"")</f>
        <v/>
      </c>
    </row>
    <row r="9416">
      <c r="A9416">
        <f>IFERROR(INDEX('Email Cleaner'!$B$2:$B$10001,MATCH(9415,'Email Cleaner'!$J$2:$J$10001,0)),"")</f>
        <v/>
      </c>
    </row>
    <row r="9417">
      <c r="A9417">
        <f>IFERROR(INDEX('Email Cleaner'!$B$2:$B$10001,MATCH(9416,'Email Cleaner'!$J$2:$J$10001,0)),"")</f>
        <v/>
      </c>
    </row>
    <row r="9418">
      <c r="A9418">
        <f>IFERROR(INDEX('Email Cleaner'!$B$2:$B$10001,MATCH(9417,'Email Cleaner'!$J$2:$J$10001,0)),"")</f>
        <v/>
      </c>
    </row>
    <row r="9419">
      <c r="A9419">
        <f>IFERROR(INDEX('Email Cleaner'!$B$2:$B$10001,MATCH(9418,'Email Cleaner'!$J$2:$J$10001,0)),"")</f>
        <v/>
      </c>
    </row>
    <row r="9420">
      <c r="A9420">
        <f>IFERROR(INDEX('Email Cleaner'!$B$2:$B$10001,MATCH(9419,'Email Cleaner'!$J$2:$J$10001,0)),"")</f>
        <v/>
      </c>
    </row>
    <row r="9421">
      <c r="A9421">
        <f>IFERROR(INDEX('Email Cleaner'!$B$2:$B$10001,MATCH(9420,'Email Cleaner'!$J$2:$J$10001,0)),"")</f>
        <v/>
      </c>
    </row>
    <row r="9422">
      <c r="A9422">
        <f>IFERROR(INDEX('Email Cleaner'!$B$2:$B$10001,MATCH(9421,'Email Cleaner'!$J$2:$J$10001,0)),"")</f>
        <v/>
      </c>
    </row>
    <row r="9423">
      <c r="A9423">
        <f>IFERROR(INDEX('Email Cleaner'!$B$2:$B$10001,MATCH(9422,'Email Cleaner'!$J$2:$J$10001,0)),"")</f>
        <v/>
      </c>
    </row>
    <row r="9424">
      <c r="A9424">
        <f>IFERROR(INDEX('Email Cleaner'!$B$2:$B$10001,MATCH(9423,'Email Cleaner'!$J$2:$J$10001,0)),"")</f>
        <v/>
      </c>
    </row>
    <row r="9425">
      <c r="A9425">
        <f>IFERROR(INDEX('Email Cleaner'!$B$2:$B$10001,MATCH(9424,'Email Cleaner'!$J$2:$J$10001,0)),"")</f>
        <v/>
      </c>
    </row>
    <row r="9426">
      <c r="A9426">
        <f>IFERROR(INDEX('Email Cleaner'!$B$2:$B$10001,MATCH(9425,'Email Cleaner'!$J$2:$J$10001,0)),"")</f>
        <v/>
      </c>
    </row>
    <row r="9427">
      <c r="A9427">
        <f>IFERROR(INDEX('Email Cleaner'!$B$2:$B$10001,MATCH(9426,'Email Cleaner'!$J$2:$J$10001,0)),"")</f>
        <v/>
      </c>
    </row>
    <row r="9428">
      <c r="A9428">
        <f>IFERROR(INDEX('Email Cleaner'!$B$2:$B$10001,MATCH(9427,'Email Cleaner'!$J$2:$J$10001,0)),"")</f>
        <v/>
      </c>
    </row>
    <row r="9429">
      <c r="A9429">
        <f>IFERROR(INDEX('Email Cleaner'!$B$2:$B$10001,MATCH(9428,'Email Cleaner'!$J$2:$J$10001,0)),"")</f>
        <v/>
      </c>
    </row>
    <row r="9430">
      <c r="A9430">
        <f>IFERROR(INDEX('Email Cleaner'!$B$2:$B$10001,MATCH(9429,'Email Cleaner'!$J$2:$J$10001,0)),"")</f>
        <v/>
      </c>
    </row>
    <row r="9431">
      <c r="A9431">
        <f>IFERROR(INDEX('Email Cleaner'!$B$2:$B$10001,MATCH(9430,'Email Cleaner'!$J$2:$J$10001,0)),"")</f>
        <v/>
      </c>
    </row>
    <row r="9432">
      <c r="A9432">
        <f>IFERROR(INDEX('Email Cleaner'!$B$2:$B$10001,MATCH(9431,'Email Cleaner'!$J$2:$J$10001,0)),"")</f>
        <v/>
      </c>
    </row>
    <row r="9433">
      <c r="A9433">
        <f>IFERROR(INDEX('Email Cleaner'!$B$2:$B$10001,MATCH(9432,'Email Cleaner'!$J$2:$J$10001,0)),"")</f>
        <v/>
      </c>
    </row>
    <row r="9434">
      <c r="A9434">
        <f>IFERROR(INDEX('Email Cleaner'!$B$2:$B$10001,MATCH(9433,'Email Cleaner'!$J$2:$J$10001,0)),"")</f>
        <v/>
      </c>
    </row>
    <row r="9435">
      <c r="A9435">
        <f>IFERROR(INDEX('Email Cleaner'!$B$2:$B$10001,MATCH(9434,'Email Cleaner'!$J$2:$J$10001,0)),"")</f>
        <v/>
      </c>
    </row>
    <row r="9436">
      <c r="A9436">
        <f>IFERROR(INDEX('Email Cleaner'!$B$2:$B$10001,MATCH(9435,'Email Cleaner'!$J$2:$J$10001,0)),"")</f>
        <v/>
      </c>
    </row>
    <row r="9437">
      <c r="A9437">
        <f>IFERROR(INDEX('Email Cleaner'!$B$2:$B$10001,MATCH(9436,'Email Cleaner'!$J$2:$J$10001,0)),"")</f>
        <v/>
      </c>
    </row>
    <row r="9438">
      <c r="A9438">
        <f>IFERROR(INDEX('Email Cleaner'!$B$2:$B$10001,MATCH(9437,'Email Cleaner'!$J$2:$J$10001,0)),"")</f>
        <v/>
      </c>
    </row>
    <row r="9439">
      <c r="A9439">
        <f>IFERROR(INDEX('Email Cleaner'!$B$2:$B$10001,MATCH(9438,'Email Cleaner'!$J$2:$J$10001,0)),"")</f>
        <v/>
      </c>
    </row>
    <row r="9440">
      <c r="A9440">
        <f>IFERROR(INDEX('Email Cleaner'!$B$2:$B$10001,MATCH(9439,'Email Cleaner'!$J$2:$J$10001,0)),"")</f>
        <v/>
      </c>
    </row>
    <row r="9441">
      <c r="A9441">
        <f>IFERROR(INDEX('Email Cleaner'!$B$2:$B$10001,MATCH(9440,'Email Cleaner'!$J$2:$J$10001,0)),"")</f>
        <v/>
      </c>
    </row>
    <row r="9442">
      <c r="A9442">
        <f>IFERROR(INDEX('Email Cleaner'!$B$2:$B$10001,MATCH(9441,'Email Cleaner'!$J$2:$J$10001,0)),"")</f>
        <v/>
      </c>
    </row>
    <row r="9443">
      <c r="A9443">
        <f>IFERROR(INDEX('Email Cleaner'!$B$2:$B$10001,MATCH(9442,'Email Cleaner'!$J$2:$J$10001,0)),"")</f>
        <v/>
      </c>
    </row>
    <row r="9444">
      <c r="A9444">
        <f>IFERROR(INDEX('Email Cleaner'!$B$2:$B$10001,MATCH(9443,'Email Cleaner'!$J$2:$J$10001,0)),"")</f>
        <v/>
      </c>
    </row>
    <row r="9445">
      <c r="A9445">
        <f>IFERROR(INDEX('Email Cleaner'!$B$2:$B$10001,MATCH(9444,'Email Cleaner'!$J$2:$J$10001,0)),"")</f>
        <v/>
      </c>
    </row>
    <row r="9446">
      <c r="A9446">
        <f>IFERROR(INDEX('Email Cleaner'!$B$2:$B$10001,MATCH(9445,'Email Cleaner'!$J$2:$J$10001,0)),"")</f>
        <v/>
      </c>
    </row>
    <row r="9447">
      <c r="A9447">
        <f>IFERROR(INDEX('Email Cleaner'!$B$2:$B$10001,MATCH(9446,'Email Cleaner'!$J$2:$J$10001,0)),"")</f>
        <v/>
      </c>
    </row>
    <row r="9448">
      <c r="A9448">
        <f>IFERROR(INDEX('Email Cleaner'!$B$2:$B$10001,MATCH(9447,'Email Cleaner'!$J$2:$J$10001,0)),"")</f>
        <v/>
      </c>
    </row>
    <row r="9449">
      <c r="A9449">
        <f>IFERROR(INDEX('Email Cleaner'!$B$2:$B$10001,MATCH(9448,'Email Cleaner'!$J$2:$J$10001,0)),"")</f>
        <v/>
      </c>
    </row>
    <row r="9450">
      <c r="A9450">
        <f>IFERROR(INDEX('Email Cleaner'!$B$2:$B$10001,MATCH(9449,'Email Cleaner'!$J$2:$J$10001,0)),"")</f>
        <v/>
      </c>
    </row>
    <row r="9451">
      <c r="A9451">
        <f>IFERROR(INDEX('Email Cleaner'!$B$2:$B$10001,MATCH(9450,'Email Cleaner'!$J$2:$J$10001,0)),"")</f>
        <v/>
      </c>
    </row>
    <row r="9452">
      <c r="A9452">
        <f>IFERROR(INDEX('Email Cleaner'!$B$2:$B$10001,MATCH(9451,'Email Cleaner'!$J$2:$J$10001,0)),"")</f>
        <v/>
      </c>
    </row>
    <row r="9453">
      <c r="A9453">
        <f>IFERROR(INDEX('Email Cleaner'!$B$2:$B$10001,MATCH(9452,'Email Cleaner'!$J$2:$J$10001,0)),"")</f>
        <v/>
      </c>
    </row>
    <row r="9454">
      <c r="A9454">
        <f>IFERROR(INDEX('Email Cleaner'!$B$2:$B$10001,MATCH(9453,'Email Cleaner'!$J$2:$J$10001,0)),"")</f>
        <v/>
      </c>
    </row>
    <row r="9455">
      <c r="A9455">
        <f>IFERROR(INDEX('Email Cleaner'!$B$2:$B$10001,MATCH(9454,'Email Cleaner'!$J$2:$J$10001,0)),"")</f>
        <v/>
      </c>
    </row>
    <row r="9456">
      <c r="A9456">
        <f>IFERROR(INDEX('Email Cleaner'!$B$2:$B$10001,MATCH(9455,'Email Cleaner'!$J$2:$J$10001,0)),"")</f>
        <v/>
      </c>
    </row>
    <row r="9457">
      <c r="A9457">
        <f>IFERROR(INDEX('Email Cleaner'!$B$2:$B$10001,MATCH(9456,'Email Cleaner'!$J$2:$J$10001,0)),"")</f>
        <v/>
      </c>
    </row>
    <row r="9458">
      <c r="A9458">
        <f>IFERROR(INDEX('Email Cleaner'!$B$2:$B$10001,MATCH(9457,'Email Cleaner'!$J$2:$J$10001,0)),"")</f>
        <v/>
      </c>
    </row>
    <row r="9459">
      <c r="A9459">
        <f>IFERROR(INDEX('Email Cleaner'!$B$2:$B$10001,MATCH(9458,'Email Cleaner'!$J$2:$J$10001,0)),"")</f>
        <v/>
      </c>
    </row>
    <row r="9460">
      <c r="A9460">
        <f>IFERROR(INDEX('Email Cleaner'!$B$2:$B$10001,MATCH(9459,'Email Cleaner'!$J$2:$J$10001,0)),"")</f>
        <v/>
      </c>
    </row>
    <row r="9461">
      <c r="A9461">
        <f>IFERROR(INDEX('Email Cleaner'!$B$2:$B$10001,MATCH(9460,'Email Cleaner'!$J$2:$J$10001,0)),"")</f>
        <v/>
      </c>
    </row>
    <row r="9462">
      <c r="A9462">
        <f>IFERROR(INDEX('Email Cleaner'!$B$2:$B$10001,MATCH(9461,'Email Cleaner'!$J$2:$J$10001,0)),"")</f>
        <v/>
      </c>
    </row>
    <row r="9463">
      <c r="A9463">
        <f>IFERROR(INDEX('Email Cleaner'!$B$2:$B$10001,MATCH(9462,'Email Cleaner'!$J$2:$J$10001,0)),"")</f>
        <v/>
      </c>
    </row>
    <row r="9464">
      <c r="A9464">
        <f>IFERROR(INDEX('Email Cleaner'!$B$2:$B$10001,MATCH(9463,'Email Cleaner'!$J$2:$J$10001,0)),"")</f>
        <v/>
      </c>
    </row>
    <row r="9465">
      <c r="A9465">
        <f>IFERROR(INDEX('Email Cleaner'!$B$2:$B$10001,MATCH(9464,'Email Cleaner'!$J$2:$J$10001,0)),"")</f>
        <v/>
      </c>
    </row>
    <row r="9466">
      <c r="A9466">
        <f>IFERROR(INDEX('Email Cleaner'!$B$2:$B$10001,MATCH(9465,'Email Cleaner'!$J$2:$J$10001,0)),"")</f>
        <v/>
      </c>
    </row>
    <row r="9467">
      <c r="A9467">
        <f>IFERROR(INDEX('Email Cleaner'!$B$2:$B$10001,MATCH(9466,'Email Cleaner'!$J$2:$J$10001,0)),"")</f>
        <v/>
      </c>
    </row>
    <row r="9468">
      <c r="A9468">
        <f>IFERROR(INDEX('Email Cleaner'!$B$2:$B$10001,MATCH(9467,'Email Cleaner'!$J$2:$J$10001,0)),"")</f>
        <v/>
      </c>
    </row>
    <row r="9469">
      <c r="A9469">
        <f>IFERROR(INDEX('Email Cleaner'!$B$2:$B$10001,MATCH(9468,'Email Cleaner'!$J$2:$J$10001,0)),"")</f>
        <v/>
      </c>
    </row>
    <row r="9470">
      <c r="A9470">
        <f>IFERROR(INDEX('Email Cleaner'!$B$2:$B$10001,MATCH(9469,'Email Cleaner'!$J$2:$J$10001,0)),"")</f>
        <v/>
      </c>
    </row>
    <row r="9471">
      <c r="A9471">
        <f>IFERROR(INDEX('Email Cleaner'!$B$2:$B$10001,MATCH(9470,'Email Cleaner'!$J$2:$J$10001,0)),"")</f>
        <v/>
      </c>
    </row>
    <row r="9472">
      <c r="A9472">
        <f>IFERROR(INDEX('Email Cleaner'!$B$2:$B$10001,MATCH(9471,'Email Cleaner'!$J$2:$J$10001,0)),"")</f>
        <v/>
      </c>
    </row>
    <row r="9473">
      <c r="A9473">
        <f>IFERROR(INDEX('Email Cleaner'!$B$2:$B$10001,MATCH(9472,'Email Cleaner'!$J$2:$J$10001,0)),"")</f>
        <v/>
      </c>
    </row>
    <row r="9474">
      <c r="A9474">
        <f>IFERROR(INDEX('Email Cleaner'!$B$2:$B$10001,MATCH(9473,'Email Cleaner'!$J$2:$J$10001,0)),"")</f>
        <v/>
      </c>
    </row>
    <row r="9475">
      <c r="A9475">
        <f>IFERROR(INDEX('Email Cleaner'!$B$2:$B$10001,MATCH(9474,'Email Cleaner'!$J$2:$J$10001,0)),"")</f>
        <v/>
      </c>
    </row>
    <row r="9476">
      <c r="A9476">
        <f>IFERROR(INDEX('Email Cleaner'!$B$2:$B$10001,MATCH(9475,'Email Cleaner'!$J$2:$J$10001,0)),"")</f>
        <v/>
      </c>
    </row>
    <row r="9477">
      <c r="A9477">
        <f>IFERROR(INDEX('Email Cleaner'!$B$2:$B$10001,MATCH(9476,'Email Cleaner'!$J$2:$J$10001,0)),"")</f>
        <v/>
      </c>
    </row>
    <row r="9478">
      <c r="A9478">
        <f>IFERROR(INDEX('Email Cleaner'!$B$2:$B$10001,MATCH(9477,'Email Cleaner'!$J$2:$J$10001,0)),"")</f>
        <v/>
      </c>
    </row>
    <row r="9479">
      <c r="A9479">
        <f>IFERROR(INDEX('Email Cleaner'!$B$2:$B$10001,MATCH(9478,'Email Cleaner'!$J$2:$J$10001,0)),"")</f>
        <v/>
      </c>
    </row>
    <row r="9480">
      <c r="A9480">
        <f>IFERROR(INDEX('Email Cleaner'!$B$2:$B$10001,MATCH(9479,'Email Cleaner'!$J$2:$J$10001,0)),"")</f>
        <v/>
      </c>
    </row>
    <row r="9481">
      <c r="A9481">
        <f>IFERROR(INDEX('Email Cleaner'!$B$2:$B$10001,MATCH(9480,'Email Cleaner'!$J$2:$J$10001,0)),"")</f>
        <v/>
      </c>
    </row>
    <row r="9482">
      <c r="A9482">
        <f>IFERROR(INDEX('Email Cleaner'!$B$2:$B$10001,MATCH(9481,'Email Cleaner'!$J$2:$J$10001,0)),"")</f>
        <v/>
      </c>
    </row>
    <row r="9483">
      <c r="A9483">
        <f>IFERROR(INDEX('Email Cleaner'!$B$2:$B$10001,MATCH(9482,'Email Cleaner'!$J$2:$J$10001,0)),"")</f>
        <v/>
      </c>
    </row>
    <row r="9484">
      <c r="A9484">
        <f>IFERROR(INDEX('Email Cleaner'!$B$2:$B$10001,MATCH(9483,'Email Cleaner'!$J$2:$J$10001,0)),"")</f>
        <v/>
      </c>
    </row>
    <row r="9485">
      <c r="A9485">
        <f>IFERROR(INDEX('Email Cleaner'!$B$2:$B$10001,MATCH(9484,'Email Cleaner'!$J$2:$J$10001,0)),"")</f>
        <v/>
      </c>
    </row>
    <row r="9486">
      <c r="A9486">
        <f>IFERROR(INDEX('Email Cleaner'!$B$2:$B$10001,MATCH(9485,'Email Cleaner'!$J$2:$J$10001,0)),"")</f>
        <v/>
      </c>
    </row>
    <row r="9487">
      <c r="A9487">
        <f>IFERROR(INDEX('Email Cleaner'!$B$2:$B$10001,MATCH(9486,'Email Cleaner'!$J$2:$J$10001,0)),"")</f>
        <v/>
      </c>
    </row>
    <row r="9488">
      <c r="A9488">
        <f>IFERROR(INDEX('Email Cleaner'!$B$2:$B$10001,MATCH(9487,'Email Cleaner'!$J$2:$J$10001,0)),"")</f>
        <v/>
      </c>
    </row>
    <row r="9489">
      <c r="A9489">
        <f>IFERROR(INDEX('Email Cleaner'!$B$2:$B$10001,MATCH(9488,'Email Cleaner'!$J$2:$J$10001,0)),"")</f>
        <v/>
      </c>
    </row>
    <row r="9490">
      <c r="A9490">
        <f>IFERROR(INDEX('Email Cleaner'!$B$2:$B$10001,MATCH(9489,'Email Cleaner'!$J$2:$J$10001,0)),"")</f>
        <v/>
      </c>
    </row>
    <row r="9491">
      <c r="A9491">
        <f>IFERROR(INDEX('Email Cleaner'!$B$2:$B$10001,MATCH(9490,'Email Cleaner'!$J$2:$J$10001,0)),"")</f>
        <v/>
      </c>
    </row>
    <row r="9492">
      <c r="A9492">
        <f>IFERROR(INDEX('Email Cleaner'!$B$2:$B$10001,MATCH(9491,'Email Cleaner'!$J$2:$J$10001,0)),"")</f>
        <v/>
      </c>
    </row>
    <row r="9493">
      <c r="A9493">
        <f>IFERROR(INDEX('Email Cleaner'!$B$2:$B$10001,MATCH(9492,'Email Cleaner'!$J$2:$J$10001,0)),"")</f>
        <v/>
      </c>
    </row>
    <row r="9494">
      <c r="A9494">
        <f>IFERROR(INDEX('Email Cleaner'!$B$2:$B$10001,MATCH(9493,'Email Cleaner'!$J$2:$J$10001,0)),"")</f>
        <v/>
      </c>
    </row>
    <row r="9495">
      <c r="A9495">
        <f>IFERROR(INDEX('Email Cleaner'!$B$2:$B$10001,MATCH(9494,'Email Cleaner'!$J$2:$J$10001,0)),"")</f>
        <v/>
      </c>
    </row>
    <row r="9496">
      <c r="A9496">
        <f>IFERROR(INDEX('Email Cleaner'!$B$2:$B$10001,MATCH(9495,'Email Cleaner'!$J$2:$J$10001,0)),"")</f>
        <v/>
      </c>
    </row>
    <row r="9497">
      <c r="A9497">
        <f>IFERROR(INDEX('Email Cleaner'!$B$2:$B$10001,MATCH(9496,'Email Cleaner'!$J$2:$J$10001,0)),"")</f>
        <v/>
      </c>
    </row>
    <row r="9498">
      <c r="A9498">
        <f>IFERROR(INDEX('Email Cleaner'!$B$2:$B$10001,MATCH(9497,'Email Cleaner'!$J$2:$J$10001,0)),"")</f>
        <v/>
      </c>
    </row>
    <row r="9499">
      <c r="A9499">
        <f>IFERROR(INDEX('Email Cleaner'!$B$2:$B$10001,MATCH(9498,'Email Cleaner'!$J$2:$J$10001,0)),"")</f>
        <v/>
      </c>
    </row>
    <row r="9500">
      <c r="A9500">
        <f>IFERROR(INDEX('Email Cleaner'!$B$2:$B$10001,MATCH(9499,'Email Cleaner'!$J$2:$J$10001,0)),"")</f>
        <v/>
      </c>
    </row>
    <row r="9501">
      <c r="A9501">
        <f>IFERROR(INDEX('Email Cleaner'!$B$2:$B$10001,MATCH(9500,'Email Cleaner'!$J$2:$J$10001,0)),"")</f>
        <v/>
      </c>
    </row>
    <row r="9502">
      <c r="A9502">
        <f>IFERROR(INDEX('Email Cleaner'!$B$2:$B$10001,MATCH(9501,'Email Cleaner'!$J$2:$J$10001,0)),"")</f>
        <v/>
      </c>
    </row>
    <row r="9503">
      <c r="A9503">
        <f>IFERROR(INDEX('Email Cleaner'!$B$2:$B$10001,MATCH(9502,'Email Cleaner'!$J$2:$J$10001,0)),"")</f>
        <v/>
      </c>
    </row>
    <row r="9504">
      <c r="A9504">
        <f>IFERROR(INDEX('Email Cleaner'!$B$2:$B$10001,MATCH(9503,'Email Cleaner'!$J$2:$J$10001,0)),"")</f>
        <v/>
      </c>
    </row>
    <row r="9505">
      <c r="A9505">
        <f>IFERROR(INDEX('Email Cleaner'!$B$2:$B$10001,MATCH(9504,'Email Cleaner'!$J$2:$J$10001,0)),"")</f>
        <v/>
      </c>
    </row>
    <row r="9506">
      <c r="A9506">
        <f>IFERROR(INDEX('Email Cleaner'!$B$2:$B$10001,MATCH(9505,'Email Cleaner'!$J$2:$J$10001,0)),"")</f>
        <v/>
      </c>
    </row>
    <row r="9507">
      <c r="A9507">
        <f>IFERROR(INDEX('Email Cleaner'!$B$2:$B$10001,MATCH(9506,'Email Cleaner'!$J$2:$J$10001,0)),"")</f>
        <v/>
      </c>
    </row>
    <row r="9508">
      <c r="A9508">
        <f>IFERROR(INDEX('Email Cleaner'!$B$2:$B$10001,MATCH(9507,'Email Cleaner'!$J$2:$J$10001,0)),"")</f>
        <v/>
      </c>
    </row>
    <row r="9509">
      <c r="A9509">
        <f>IFERROR(INDEX('Email Cleaner'!$B$2:$B$10001,MATCH(9508,'Email Cleaner'!$J$2:$J$10001,0)),"")</f>
        <v/>
      </c>
    </row>
    <row r="9510">
      <c r="A9510">
        <f>IFERROR(INDEX('Email Cleaner'!$B$2:$B$10001,MATCH(9509,'Email Cleaner'!$J$2:$J$10001,0)),"")</f>
        <v/>
      </c>
    </row>
    <row r="9511">
      <c r="A9511">
        <f>IFERROR(INDEX('Email Cleaner'!$B$2:$B$10001,MATCH(9510,'Email Cleaner'!$J$2:$J$10001,0)),"")</f>
        <v/>
      </c>
    </row>
    <row r="9512">
      <c r="A9512">
        <f>IFERROR(INDEX('Email Cleaner'!$B$2:$B$10001,MATCH(9511,'Email Cleaner'!$J$2:$J$10001,0)),"")</f>
        <v/>
      </c>
    </row>
    <row r="9513">
      <c r="A9513">
        <f>IFERROR(INDEX('Email Cleaner'!$B$2:$B$10001,MATCH(9512,'Email Cleaner'!$J$2:$J$10001,0)),"")</f>
        <v/>
      </c>
    </row>
    <row r="9514">
      <c r="A9514">
        <f>IFERROR(INDEX('Email Cleaner'!$B$2:$B$10001,MATCH(9513,'Email Cleaner'!$J$2:$J$10001,0)),"")</f>
        <v/>
      </c>
    </row>
    <row r="9515">
      <c r="A9515">
        <f>IFERROR(INDEX('Email Cleaner'!$B$2:$B$10001,MATCH(9514,'Email Cleaner'!$J$2:$J$10001,0)),"")</f>
        <v/>
      </c>
    </row>
    <row r="9516">
      <c r="A9516">
        <f>IFERROR(INDEX('Email Cleaner'!$B$2:$B$10001,MATCH(9515,'Email Cleaner'!$J$2:$J$10001,0)),"")</f>
        <v/>
      </c>
    </row>
    <row r="9517">
      <c r="A9517">
        <f>IFERROR(INDEX('Email Cleaner'!$B$2:$B$10001,MATCH(9516,'Email Cleaner'!$J$2:$J$10001,0)),"")</f>
        <v/>
      </c>
    </row>
    <row r="9518">
      <c r="A9518">
        <f>IFERROR(INDEX('Email Cleaner'!$B$2:$B$10001,MATCH(9517,'Email Cleaner'!$J$2:$J$10001,0)),"")</f>
        <v/>
      </c>
    </row>
    <row r="9519">
      <c r="A9519">
        <f>IFERROR(INDEX('Email Cleaner'!$B$2:$B$10001,MATCH(9518,'Email Cleaner'!$J$2:$J$10001,0)),"")</f>
        <v/>
      </c>
    </row>
    <row r="9520">
      <c r="A9520">
        <f>IFERROR(INDEX('Email Cleaner'!$B$2:$B$10001,MATCH(9519,'Email Cleaner'!$J$2:$J$10001,0)),"")</f>
        <v/>
      </c>
    </row>
    <row r="9521">
      <c r="A9521">
        <f>IFERROR(INDEX('Email Cleaner'!$B$2:$B$10001,MATCH(9520,'Email Cleaner'!$J$2:$J$10001,0)),"")</f>
        <v/>
      </c>
    </row>
    <row r="9522">
      <c r="A9522">
        <f>IFERROR(INDEX('Email Cleaner'!$B$2:$B$10001,MATCH(9521,'Email Cleaner'!$J$2:$J$10001,0)),"")</f>
        <v/>
      </c>
    </row>
    <row r="9523">
      <c r="A9523">
        <f>IFERROR(INDEX('Email Cleaner'!$B$2:$B$10001,MATCH(9522,'Email Cleaner'!$J$2:$J$10001,0)),"")</f>
        <v/>
      </c>
    </row>
    <row r="9524">
      <c r="A9524">
        <f>IFERROR(INDEX('Email Cleaner'!$B$2:$B$10001,MATCH(9523,'Email Cleaner'!$J$2:$J$10001,0)),"")</f>
        <v/>
      </c>
    </row>
    <row r="9525">
      <c r="A9525">
        <f>IFERROR(INDEX('Email Cleaner'!$B$2:$B$10001,MATCH(9524,'Email Cleaner'!$J$2:$J$10001,0)),"")</f>
        <v/>
      </c>
    </row>
    <row r="9526">
      <c r="A9526">
        <f>IFERROR(INDEX('Email Cleaner'!$B$2:$B$10001,MATCH(9525,'Email Cleaner'!$J$2:$J$10001,0)),"")</f>
        <v/>
      </c>
    </row>
    <row r="9527">
      <c r="A9527">
        <f>IFERROR(INDEX('Email Cleaner'!$B$2:$B$10001,MATCH(9526,'Email Cleaner'!$J$2:$J$10001,0)),"")</f>
        <v/>
      </c>
    </row>
    <row r="9528">
      <c r="A9528">
        <f>IFERROR(INDEX('Email Cleaner'!$B$2:$B$10001,MATCH(9527,'Email Cleaner'!$J$2:$J$10001,0)),"")</f>
        <v/>
      </c>
    </row>
    <row r="9529">
      <c r="A9529">
        <f>IFERROR(INDEX('Email Cleaner'!$B$2:$B$10001,MATCH(9528,'Email Cleaner'!$J$2:$J$10001,0)),"")</f>
        <v/>
      </c>
    </row>
    <row r="9530">
      <c r="A9530">
        <f>IFERROR(INDEX('Email Cleaner'!$B$2:$B$10001,MATCH(9529,'Email Cleaner'!$J$2:$J$10001,0)),"")</f>
        <v/>
      </c>
    </row>
    <row r="9531">
      <c r="A9531">
        <f>IFERROR(INDEX('Email Cleaner'!$B$2:$B$10001,MATCH(9530,'Email Cleaner'!$J$2:$J$10001,0)),"")</f>
        <v/>
      </c>
    </row>
    <row r="9532">
      <c r="A9532">
        <f>IFERROR(INDEX('Email Cleaner'!$B$2:$B$10001,MATCH(9531,'Email Cleaner'!$J$2:$J$10001,0)),"")</f>
        <v/>
      </c>
    </row>
    <row r="9533">
      <c r="A9533">
        <f>IFERROR(INDEX('Email Cleaner'!$B$2:$B$10001,MATCH(9532,'Email Cleaner'!$J$2:$J$10001,0)),"")</f>
        <v/>
      </c>
    </row>
    <row r="9534">
      <c r="A9534">
        <f>IFERROR(INDEX('Email Cleaner'!$B$2:$B$10001,MATCH(9533,'Email Cleaner'!$J$2:$J$10001,0)),"")</f>
        <v/>
      </c>
    </row>
    <row r="9535">
      <c r="A9535">
        <f>IFERROR(INDEX('Email Cleaner'!$B$2:$B$10001,MATCH(9534,'Email Cleaner'!$J$2:$J$10001,0)),"")</f>
        <v/>
      </c>
    </row>
    <row r="9536">
      <c r="A9536">
        <f>IFERROR(INDEX('Email Cleaner'!$B$2:$B$10001,MATCH(9535,'Email Cleaner'!$J$2:$J$10001,0)),"")</f>
        <v/>
      </c>
    </row>
    <row r="9537">
      <c r="A9537">
        <f>IFERROR(INDEX('Email Cleaner'!$B$2:$B$10001,MATCH(9536,'Email Cleaner'!$J$2:$J$10001,0)),"")</f>
        <v/>
      </c>
    </row>
    <row r="9538">
      <c r="A9538">
        <f>IFERROR(INDEX('Email Cleaner'!$B$2:$B$10001,MATCH(9537,'Email Cleaner'!$J$2:$J$10001,0)),"")</f>
        <v/>
      </c>
    </row>
    <row r="9539">
      <c r="A9539">
        <f>IFERROR(INDEX('Email Cleaner'!$B$2:$B$10001,MATCH(9538,'Email Cleaner'!$J$2:$J$10001,0)),"")</f>
        <v/>
      </c>
    </row>
    <row r="9540">
      <c r="A9540">
        <f>IFERROR(INDEX('Email Cleaner'!$B$2:$B$10001,MATCH(9539,'Email Cleaner'!$J$2:$J$10001,0)),"")</f>
        <v/>
      </c>
    </row>
    <row r="9541">
      <c r="A9541">
        <f>IFERROR(INDEX('Email Cleaner'!$B$2:$B$10001,MATCH(9540,'Email Cleaner'!$J$2:$J$10001,0)),"")</f>
        <v/>
      </c>
    </row>
    <row r="9542">
      <c r="A9542">
        <f>IFERROR(INDEX('Email Cleaner'!$B$2:$B$10001,MATCH(9541,'Email Cleaner'!$J$2:$J$10001,0)),"")</f>
        <v/>
      </c>
    </row>
    <row r="9543">
      <c r="A9543">
        <f>IFERROR(INDEX('Email Cleaner'!$B$2:$B$10001,MATCH(9542,'Email Cleaner'!$J$2:$J$10001,0)),"")</f>
        <v/>
      </c>
    </row>
    <row r="9544">
      <c r="A9544">
        <f>IFERROR(INDEX('Email Cleaner'!$B$2:$B$10001,MATCH(9543,'Email Cleaner'!$J$2:$J$10001,0)),"")</f>
        <v/>
      </c>
    </row>
    <row r="9545">
      <c r="A9545">
        <f>IFERROR(INDEX('Email Cleaner'!$B$2:$B$10001,MATCH(9544,'Email Cleaner'!$J$2:$J$10001,0)),"")</f>
        <v/>
      </c>
    </row>
    <row r="9546">
      <c r="A9546">
        <f>IFERROR(INDEX('Email Cleaner'!$B$2:$B$10001,MATCH(9545,'Email Cleaner'!$J$2:$J$10001,0)),"")</f>
        <v/>
      </c>
    </row>
    <row r="9547">
      <c r="A9547">
        <f>IFERROR(INDEX('Email Cleaner'!$B$2:$B$10001,MATCH(9546,'Email Cleaner'!$J$2:$J$10001,0)),"")</f>
        <v/>
      </c>
    </row>
    <row r="9548">
      <c r="A9548">
        <f>IFERROR(INDEX('Email Cleaner'!$B$2:$B$10001,MATCH(9547,'Email Cleaner'!$J$2:$J$10001,0)),"")</f>
        <v/>
      </c>
    </row>
    <row r="9549">
      <c r="A9549">
        <f>IFERROR(INDEX('Email Cleaner'!$B$2:$B$10001,MATCH(9548,'Email Cleaner'!$J$2:$J$10001,0)),"")</f>
        <v/>
      </c>
    </row>
    <row r="9550">
      <c r="A9550">
        <f>IFERROR(INDEX('Email Cleaner'!$B$2:$B$10001,MATCH(9549,'Email Cleaner'!$J$2:$J$10001,0)),"")</f>
        <v/>
      </c>
    </row>
    <row r="9551">
      <c r="A9551">
        <f>IFERROR(INDEX('Email Cleaner'!$B$2:$B$10001,MATCH(9550,'Email Cleaner'!$J$2:$J$10001,0)),"")</f>
        <v/>
      </c>
    </row>
    <row r="9552">
      <c r="A9552">
        <f>IFERROR(INDEX('Email Cleaner'!$B$2:$B$10001,MATCH(9551,'Email Cleaner'!$J$2:$J$10001,0)),"")</f>
        <v/>
      </c>
    </row>
    <row r="9553">
      <c r="A9553">
        <f>IFERROR(INDEX('Email Cleaner'!$B$2:$B$10001,MATCH(9552,'Email Cleaner'!$J$2:$J$10001,0)),"")</f>
        <v/>
      </c>
    </row>
    <row r="9554">
      <c r="A9554">
        <f>IFERROR(INDEX('Email Cleaner'!$B$2:$B$10001,MATCH(9553,'Email Cleaner'!$J$2:$J$10001,0)),"")</f>
        <v/>
      </c>
    </row>
    <row r="9555">
      <c r="A9555">
        <f>IFERROR(INDEX('Email Cleaner'!$B$2:$B$10001,MATCH(9554,'Email Cleaner'!$J$2:$J$10001,0)),"")</f>
        <v/>
      </c>
    </row>
    <row r="9556">
      <c r="A9556">
        <f>IFERROR(INDEX('Email Cleaner'!$B$2:$B$10001,MATCH(9555,'Email Cleaner'!$J$2:$J$10001,0)),"")</f>
        <v/>
      </c>
    </row>
    <row r="9557">
      <c r="A9557">
        <f>IFERROR(INDEX('Email Cleaner'!$B$2:$B$10001,MATCH(9556,'Email Cleaner'!$J$2:$J$10001,0)),"")</f>
        <v/>
      </c>
    </row>
    <row r="9558">
      <c r="A9558">
        <f>IFERROR(INDEX('Email Cleaner'!$B$2:$B$10001,MATCH(9557,'Email Cleaner'!$J$2:$J$10001,0)),"")</f>
        <v/>
      </c>
    </row>
    <row r="9559">
      <c r="A9559">
        <f>IFERROR(INDEX('Email Cleaner'!$B$2:$B$10001,MATCH(9558,'Email Cleaner'!$J$2:$J$10001,0)),"")</f>
        <v/>
      </c>
    </row>
    <row r="9560">
      <c r="A9560">
        <f>IFERROR(INDEX('Email Cleaner'!$B$2:$B$10001,MATCH(9559,'Email Cleaner'!$J$2:$J$10001,0)),"")</f>
        <v/>
      </c>
    </row>
    <row r="9561">
      <c r="A9561">
        <f>IFERROR(INDEX('Email Cleaner'!$B$2:$B$10001,MATCH(9560,'Email Cleaner'!$J$2:$J$10001,0)),"")</f>
        <v/>
      </c>
    </row>
    <row r="9562">
      <c r="A9562">
        <f>IFERROR(INDEX('Email Cleaner'!$B$2:$B$10001,MATCH(9561,'Email Cleaner'!$J$2:$J$10001,0)),"")</f>
        <v/>
      </c>
    </row>
    <row r="9563">
      <c r="A9563">
        <f>IFERROR(INDEX('Email Cleaner'!$B$2:$B$10001,MATCH(9562,'Email Cleaner'!$J$2:$J$10001,0)),"")</f>
        <v/>
      </c>
    </row>
    <row r="9564">
      <c r="A9564">
        <f>IFERROR(INDEX('Email Cleaner'!$B$2:$B$10001,MATCH(9563,'Email Cleaner'!$J$2:$J$10001,0)),"")</f>
        <v/>
      </c>
    </row>
    <row r="9565">
      <c r="A9565">
        <f>IFERROR(INDEX('Email Cleaner'!$B$2:$B$10001,MATCH(9564,'Email Cleaner'!$J$2:$J$10001,0)),"")</f>
        <v/>
      </c>
    </row>
    <row r="9566">
      <c r="A9566">
        <f>IFERROR(INDEX('Email Cleaner'!$B$2:$B$10001,MATCH(9565,'Email Cleaner'!$J$2:$J$10001,0)),"")</f>
        <v/>
      </c>
    </row>
    <row r="9567">
      <c r="A9567">
        <f>IFERROR(INDEX('Email Cleaner'!$B$2:$B$10001,MATCH(9566,'Email Cleaner'!$J$2:$J$10001,0)),"")</f>
        <v/>
      </c>
    </row>
    <row r="9568">
      <c r="A9568">
        <f>IFERROR(INDEX('Email Cleaner'!$B$2:$B$10001,MATCH(9567,'Email Cleaner'!$J$2:$J$10001,0)),"")</f>
        <v/>
      </c>
    </row>
    <row r="9569">
      <c r="A9569">
        <f>IFERROR(INDEX('Email Cleaner'!$B$2:$B$10001,MATCH(9568,'Email Cleaner'!$J$2:$J$10001,0)),"")</f>
        <v/>
      </c>
    </row>
    <row r="9570">
      <c r="A9570">
        <f>IFERROR(INDEX('Email Cleaner'!$B$2:$B$10001,MATCH(9569,'Email Cleaner'!$J$2:$J$10001,0)),"")</f>
        <v/>
      </c>
    </row>
    <row r="9571">
      <c r="A9571">
        <f>IFERROR(INDEX('Email Cleaner'!$B$2:$B$10001,MATCH(9570,'Email Cleaner'!$J$2:$J$10001,0)),"")</f>
        <v/>
      </c>
    </row>
    <row r="9572">
      <c r="A9572">
        <f>IFERROR(INDEX('Email Cleaner'!$B$2:$B$10001,MATCH(9571,'Email Cleaner'!$J$2:$J$10001,0)),"")</f>
        <v/>
      </c>
    </row>
    <row r="9573">
      <c r="A9573">
        <f>IFERROR(INDEX('Email Cleaner'!$B$2:$B$10001,MATCH(9572,'Email Cleaner'!$J$2:$J$10001,0)),"")</f>
        <v/>
      </c>
    </row>
    <row r="9574">
      <c r="A9574">
        <f>IFERROR(INDEX('Email Cleaner'!$B$2:$B$10001,MATCH(9573,'Email Cleaner'!$J$2:$J$10001,0)),"")</f>
        <v/>
      </c>
    </row>
    <row r="9575">
      <c r="A9575">
        <f>IFERROR(INDEX('Email Cleaner'!$B$2:$B$10001,MATCH(9574,'Email Cleaner'!$J$2:$J$10001,0)),"")</f>
        <v/>
      </c>
    </row>
    <row r="9576">
      <c r="A9576">
        <f>IFERROR(INDEX('Email Cleaner'!$B$2:$B$10001,MATCH(9575,'Email Cleaner'!$J$2:$J$10001,0)),"")</f>
        <v/>
      </c>
    </row>
    <row r="9577">
      <c r="A9577">
        <f>IFERROR(INDEX('Email Cleaner'!$B$2:$B$10001,MATCH(9576,'Email Cleaner'!$J$2:$J$10001,0)),"")</f>
        <v/>
      </c>
    </row>
    <row r="9578">
      <c r="A9578">
        <f>IFERROR(INDEX('Email Cleaner'!$B$2:$B$10001,MATCH(9577,'Email Cleaner'!$J$2:$J$10001,0)),"")</f>
        <v/>
      </c>
    </row>
    <row r="9579">
      <c r="A9579">
        <f>IFERROR(INDEX('Email Cleaner'!$B$2:$B$10001,MATCH(9578,'Email Cleaner'!$J$2:$J$10001,0)),"")</f>
        <v/>
      </c>
    </row>
    <row r="9580">
      <c r="A9580">
        <f>IFERROR(INDEX('Email Cleaner'!$B$2:$B$10001,MATCH(9579,'Email Cleaner'!$J$2:$J$10001,0)),"")</f>
        <v/>
      </c>
    </row>
    <row r="9581">
      <c r="A9581">
        <f>IFERROR(INDEX('Email Cleaner'!$B$2:$B$10001,MATCH(9580,'Email Cleaner'!$J$2:$J$10001,0)),"")</f>
        <v/>
      </c>
    </row>
    <row r="9582">
      <c r="A9582">
        <f>IFERROR(INDEX('Email Cleaner'!$B$2:$B$10001,MATCH(9581,'Email Cleaner'!$J$2:$J$10001,0)),"")</f>
        <v/>
      </c>
    </row>
    <row r="9583">
      <c r="A9583">
        <f>IFERROR(INDEX('Email Cleaner'!$B$2:$B$10001,MATCH(9582,'Email Cleaner'!$J$2:$J$10001,0)),"")</f>
        <v/>
      </c>
    </row>
    <row r="9584">
      <c r="A9584">
        <f>IFERROR(INDEX('Email Cleaner'!$B$2:$B$10001,MATCH(9583,'Email Cleaner'!$J$2:$J$10001,0)),"")</f>
        <v/>
      </c>
    </row>
    <row r="9585">
      <c r="A9585">
        <f>IFERROR(INDEX('Email Cleaner'!$B$2:$B$10001,MATCH(9584,'Email Cleaner'!$J$2:$J$10001,0)),"")</f>
        <v/>
      </c>
    </row>
    <row r="9586">
      <c r="A9586">
        <f>IFERROR(INDEX('Email Cleaner'!$B$2:$B$10001,MATCH(9585,'Email Cleaner'!$J$2:$J$10001,0)),"")</f>
        <v/>
      </c>
    </row>
    <row r="9587">
      <c r="A9587">
        <f>IFERROR(INDEX('Email Cleaner'!$B$2:$B$10001,MATCH(9586,'Email Cleaner'!$J$2:$J$10001,0)),"")</f>
        <v/>
      </c>
    </row>
    <row r="9588">
      <c r="A9588">
        <f>IFERROR(INDEX('Email Cleaner'!$B$2:$B$10001,MATCH(9587,'Email Cleaner'!$J$2:$J$10001,0)),"")</f>
        <v/>
      </c>
    </row>
    <row r="9589">
      <c r="A9589">
        <f>IFERROR(INDEX('Email Cleaner'!$B$2:$B$10001,MATCH(9588,'Email Cleaner'!$J$2:$J$10001,0)),"")</f>
        <v/>
      </c>
    </row>
    <row r="9590">
      <c r="A9590">
        <f>IFERROR(INDEX('Email Cleaner'!$B$2:$B$10001,MATCH(9589,'Email Cleaner'!$J$2:$J$10001,0)),"")</f>
        <v/>
      </c>
    </row>
    <row r="9591">
      <c r="A9591">
        <f>IFERROR(INDEX('Email Cleaner'!$B$2:$B$10001,MATCH(9590,'Email Cleaner'!$J$2:$J$10001,0)),"")</f>
        <v/>
      </c>
    </row>
    <row r="9592">
      <c r="A9592">
        <f>IFERROR(INDEX('Email Cleaner'!$B$2:$B$10001,MATCH(9591,'Email Cleaner'!$J$2:$J$10001,0)),"")</f>
        <v/>
      </c>
    </row>
    <row r="9593">
      <c r="A9593">
        <f>IFERROR(INDEX('Email Cleaner'!$B$2:$B$10001,MATCH(9592,'Email Cleaner'!$J$2:$J$10001,0)),"")</f>
        <v/>
      </c>
    </row>
    <row r="9594">
      <c r="A9594">
        <f>IFERROR(INDEX('Email Cleaner'!$B$2:$B$10001,MATCH(9593,'Email Cleaner'!$J$2:$J$10001,0)),"")</f>
        <v/>
      </c>
    </row>
    <row r="9595">
      <c r="A9595">
        <f>IFERROR(INDEX('Email Cleaner'!$B$2:$B$10001,MATCH(9594,'Email Cleaner'!$J$2:$J$10001,0)),"")</f>
        <v/>
      </c>
    </row>
    <row r="9596">
      <c r="A9596">
        <f>IFERROR(INDEX('Email Cleaner'!$B$2:$B$10001,MATCH(9595,'Email Cleaner'!$J$2:$J$10001,0)),"")</f>
        <v/>
      </c>
    </row>
    <row r="9597">
      <c r="A9597">
        <f>IFERROR(INDEX('Email Cleaner'!$B$2:$B$10001,MATCH(9596,'Email Cleaner'!$J$2:$J$10001,0)),"")</f>
        <v/>
      </c>
    </row>
    <row r="9598">
      <c r="A9598">
        <f>IFERROR(INDEX('Email Cleaner'!$B$2:$B$10001,MATCH(9597,'Email Cleaner'!$J$2:$J$10001,0)),"")</f>
        <v/>
      </c>
    </row>
    <row r="9599">
      <c r="A9599">
        <f>IFERROR(INDEX('Email Cleaner'!$B$2:$B$10001,MATCH(9598,'Email Cleaner'!$J$2:$J$10001,0)),"")</f>
        <v/>
      </c>
    </row>
    <row r="9600">
      <c r="A9600">
        <f>IFERROR(INDEX('Email Cleaner'!$B$2:$B$10001,MATCH(9599,'Email Cleaner'!$J$2:$J$10001,0)),"")</f>
        <v/>
      </c>
    </row>
    <row r="9601">
      <c r="A9601">
        <f>IFERROR(INDEX('Email Cleaner'!$B$2:$B$10001,MATCH(9600,'Email Cleaner'!$J$2:$J$10001,0)),"")</f>
        <v/>
      </c>
    </row>
    <row r="9602">
      <c r="A9602">
        <f>IFERROR(INDEX('Email Cleaner'!$B$2:$B$10001,MATCH(9601,'Email Cleaner'!$J$2:$J$10001,0)),"")</f>
        <v/>
      </c>
    </row>
    <row r="9603">
      <c r="A9603">
        <f>IFERROR(INDEX('Email Cleaner'!$B$2:$B$10001,MATCH(9602,'Email Cleaner'!$J$2:$J$10001,0)),"")</f>
        <v/>
      </c>
    </row>
    <row r="9604">
      <c r="A9604">
        <f>IFERROR(INDEX('Email Cleaner'!$B$2:$B$10001,MATCH(9603,'Email Cleaner'!$J$2:$J$10001,0)),"")</f>
        <v/>
      </c>
    </row>
    <row r="9605">
      <c r="A9605">
        <f>IFERROR(INDEX('Email Cleaner'!$B$2:$B$10001,MATCH(9604,'Email Cleaner'!$J$2:$J$10001,0)),"")</f>
        <v/>
      </c>
    </row>
    <row r="9606">
      <c r="A9606">
        <f>IFERROR(INDEX('Email Cleaner'!$B$2:$B$10001,MATCH(9605,'Email Cleaner'!$J$2:$J$10001,0)),"")</f>
        <v/>
      </c>
    </row>
    <row r="9607">
      <c r="A9607">
        <f>IFERROR(INDEX('Email Cleaner'!$B$2:$B$10001,MATCH(9606,'Email Cleaner'!$J$2:$J$10001,0)),"")</f>
        <v/>
      </c>
    </row>
    <row r="9608">
      <c r="A9608">
        <f>IFERROR(INDEX('Email Cleaner'!$B$2:$B$10001,MATCH(9607,'Email Cleaner'!$J$2:$J$10001,0)),"")</f>
        <v/>
      </c>
    </row>
    <row r="9609">
      <c r="A9609">
        <f>IFERROR(INDEX('Email Cleaner'!$B$2:$B$10001,MATCH(9608,'Email Cleaner'!$J$2:$J$10001,0)),"")</f>
        <v/>
      </c>
    </row>
    <row r="9610">
      <c r="A9610">
        <f>IFERROR(INDEX('Email Cleaner'!$B$2:$B$10001,MATCH(9609,'Email Cleaner'!$J$2:$J$10001,0)),"")</f>
        <v/>
      </c>
    </row>
    <row r="9611">
      <c r="A9611">
        <f>IFERROR(INDEX('Email Cleaner'!$B$2:$B$10001,MATCH(9610,'Email Cleaner'!$J$2:$J$10001,0)),"")</f>
        <v/>
      </c>
    </row>
    <row r="9612">
      <c r="A9612">
        <f>IFERROR(INDEX('Email Cleaner'!$B$2:$B$10001,MATCH(9611,'Email Cleaner'!$J$2:$J$10001,0)),"")</f>
        <v/>
      </c>
    </row>
    <row r="9613">
      <c r="A9613">
        <f>IFERROR(INDEX('Email Cleaner'!$B$2:$B$10001,MATCH(9612,'Email Cleaner'!$J$2:$J$10001,0)),"")</f>
        <v/>
      </c>
    </row>
    <row r="9614">
      <c r="A9614">
        <f>IFERROR(INDEX('Email Cleaner'!$B$2:$B$10001,MATCH(9613,'Email Cleaner'!$J$2:$J$10001,0)),"")</f>
        <v/>
      </c>
    </row>
    <row r="9615">
      <c r="A9615">
        <f>IFERROR(INDEX('Email Cleaner'!$B$2:$B$10001,MATCH(9614,'Email Cleaner'!$J$2:$J$10001,0)),"")</f>
        <v/>
      </c>
    </row>
    <row r="9616">
      <c r="A9616">
        <f>IFERROR(INDEX('Email Cleaner'!$B$2:$B$10001,MATCH(9615,'Email Cleaner'!$J$2:$J$10001,0)),"")</f>
        <v/>
      </c>
    </row>
    <row r="9617">
      <c r="A9617">
        <f>IFERROR(INDEX('Email Cleaner'!$B$2:$B$10001,MATCH(9616,'Email Cleaner'!$J$2:$J$10001,0)),"")</f>
        <v/>
      </c>
    </row>
    <row r="9618">
      <c r="A9618">
        <f>IFERROR(INDEX('Email Cleaner'!$B$2:$B$10001,MATCH(9617,'Email Cleaner'!$J$2:$J$10001,0)),"")</f>
        <v/>
      </c>
    </row>
    <row r="9619">
      <c r="A9619">
        <f>IFERROR(INDEX('Email Cleaner'!$B$2:$B$10001,MATCH(9618,'Email Cleaner'!$J$2:$J$10001,0)),"")</f>
        <v/>
      </c>
    </row>
    <row r="9620">
      <c r="A9620">
        <f>IFERROR(INDEX('Email Cleaner'!$B$2:$B$10001,MATCH(9619,'Email Cleaner'!$J$2:$J$10001,0)),"")</f>
        <v/>
      </c>
    </row>
    <row r="9621">
      <c r="A9621">
        <f>IFERROR(INDEX('Email Cleaner'!$B$2:$B$10001,MATCH(9620,'Email Cleaner'!$J$2:$J$10001,0)),"")</f>
        <v/>
      </c>
    </row>
    <row r="9622">
      <c r="A9622">
        <f>IFERROR(INDEX('Email Cleaner'!$B$2:$B$10001,MATCH(9621,'Email Cleaner'!$J$2:$J$10001,0)),"")</f>
        <v/>
      </c>
    </row>
    <row r="9623">
      <c r="A9623">
        <f>IFERROR(INDEX('Email Cleaner'!$B$2:$B$10001,MATCH(9622,'Email Cleaner'!$J$2:$J$10001,0)),"")</f>
        <v/>
      </c>
    </row>
    <row r="9624">
      <c r="A9624">
        <f>IFERROR(INDEX('Email Cleaner'!$B$2:$B$10001,MATCH(9623,'Email Cleaner'!$J$2:$J$10001,0)),"")</f>
        <v/>
      </c>
    </row>
    <row r="9625">
      <c r="A9625">
        <f>IFERROR(INDEX('Email Cleaner'!$B$2:$B$10001,MATCH(9624,'Email Cleaner'!$J$2:$J$10001,0)),"")</f>
        <v/>
      </c>
    </row>
    <row r="9626">
      <c r="A9626">
        <f>IFERROR(INDEX('Email Cleaner'!$B$2:$B$10001,MATCH(9625,'Email Cleaner'!$J$2:$J$10001,0)),"")</f>
        <v/>
      </c>
    </row>
    <row r="9627">
      <c r="A9627">
        <f>IFERROR(INDEX('Email Cleaner'!$B$2:$B$10001,MATCH(9626,'Email Cleaner'!$J$2:$J$10001,0)),"")</f>
        <v/>
      </c>
    </row>
    <row r="9628">
      <c r="A9628">
        <f>IFERROR(INDEX('Email Cleaner'!$B$2:$B$10001,MATCH(9627,'Email Cleaner'!$J$2:$J$10001,0)),"")</f>
        <v/>
      </c>
    </row>
    <row r="9629">
      <c r="A9629">
        <f>IFERROR(INDEX('Email Cleaner'!$B$2:$B$10001,MATCH(9628,'Email Cleaner'!$J$2:$J$10001,0)),"")</f>
        <v/>
      </c>
    </row>
    <row r="9630">
      <c r="A9630">
        <f>IFERROR(INDEX('Email Cleaner'!$B$2:$B$10001,MATCH(9629,'Email Cleaner'!$J$2:$J$10001,0)),"")</f>
        <v/>
      </c>
    </row>
    <row r="9631">
      <c r="A9631">
        <f>IFERROR(INDEX('Email Cleaner'!$B$2:$B$10001,MATCH(9630,'Email Cleaner'!$J$2:$J$10001,0)),"")</f>
        <v/>
      </c>
    </row>
    <row r="9632">
      <c r="A9632">
        <f>IFERROR(INDEX('Email Cleaner'!$B$2:$B$10001,MATCH(9631,'Email Cleaner'!$J$2:$J$10001,0)),"")</f>
        <v/>
      </c>
    </row>
    <row r="9633">
      <c r="A9633">
        <f>IFERROR(INDEX('Email Cleaner'!$B$2:$B$10001,MATCH(9632,'Email Cleaner'!$J$2:$J$10001,0)),"")</f>
        <v/>
      </c>
    </row>
    <row r="9634">
      <c r="A9634">
        <f>IFERROR(INDEX('Email Cleaner'!$B$2:$B$10001,MATCH(9633,'Email Cleaner'!$J$2:$J$10001,0)),"")</f>
        <v/>
      </c>
    </row>
    <row r="9635">
      <c r="A9635">
        <f>IFERROR(INDEX('Email Cleaner'!$B$2:$B$10001,MATCH(9634,'Email Cleaner'!$J$2:$J$10001,0)),"")</f>
        <v/>
      </c>
    </row>
    <row r="9636">
      <c r="A9636">
        <f>IFERROR(INDEX('Email Cleaner'!$B$2:$B$10001,MATCH(9635,'Email Cleaner'!$J$2:$J$10001,0)),"")</f>
        <v/>
      </c>
    </row>
    <row r="9637">
      <c r="A9637">
        <f>IFERROR(INDEX('Email Cleaner'!$B$2:$B$10001,MATCH(9636,'Email Cleaner'!$J$2:$J$10001,0)),"")</f>
        <v/>
      </c>
    </row>
    <row r="9638">
      <c r="A9638">
        <f>IFERROR(INDEX('Email Cleaner'!$B$2:$B$10001,MATCH(9637,'Email Cleaner'!$J$2:$J$10001,0)),"")</f>
        <v/>
      </c>
    </row>
    <row r="9639">
      <c r="A9639">
        <f>IFERROR(INDEX('Email Cleaner'!$B$2:$B$10001,MATCH(9638,'Email Cleaner'!$J$2:$J$10001,0)),"")</f>
        <v/>
      </c>
    </row>
    <row r="9640">
      <c r="A9640">
        <f>IFERROR(INDEX('Email Cleaner'!$B$2:$B$10001,MATCH(9639,'Email Cleaner'!$J$2:$J$10001,0)),"")</f>
        <v/>
      </c>
    </row>
    <row r="9641">
      <c r="A9641">
        <f>IFERROR(INDEX('Email Cleaner'!$B$2:$B$10001,MATCH(9640,'Email Cleaner'!$J$2:$J$10001,0)),"")</f>
        <v/>
      </c>
    </row>
    <row r="9642">
      <c r="A9642">
        <f>IFERROR(INDEX('Email Cleaner'!$B$2:$B$10001,MATCH(9641,'Email Cleaner'!$J$2:$J$10001,0)),"")</f>
        <v/>
      </c>
    </row>
    <row r="9643">
      <c r="A9643">
        <f>IFERROR(INDEX('Email Cleaner'!$B$2:$B$10001,MATCH(9642,'Email Cleaner'!$J$2:$J$10001,0)),"")</f>
        <v/>
      </c>
    </row>
    <row r="9644">
      <c r="A9644">
        <f>IFERROR(INDEX('Email Cleaner'!$B$2:$B$10001,MATCH(9643,'Email Cleaner'!$J$2:$J$10001,0)),"")</f>
        <v/>
      </c>
    </row>
    <row r="9645">
      <c r="A9645">
        <f>IFERROR(INDEX('Email Cleaner'!$B$2:$B$10001,MATCH(9644,'Email Cleaner'!$J$2:$J$10001,0)),"")</f>
        <v/>
      </c>
    </row>
    <row r="9646">
      <c r="A9646">
        <f>IFERROR(INDEX('Email Cleaner'!$B$2:$B$10001,MATCH(9645,'Email Cleaner'!$J$2:$J$10001,0)),"")</f>
        <v/>
      </c>
    </row>
    <row r="9647">
      <c r="A9647">
        <f>IFERROR(INDEX('Email Cleaner'!$B$2:$B$10001,MATCH(9646,'Email Cleaner'!$J$2:$J$10001,0)),"")</f>
        <v/>
      </c>
    </row>
    <row r="9648">
      <c r="A9648">
        <f>IFERROR(INDEX('Email Cleaner'!$B$2:$B$10001,MATCH(9647,'Email Cleaner'!$J$2:$J$10001,0)),"")</f>
        <v/>
      </c>
    </row>
    <row r="9649">
      <c r="A9649">
        <f>IFERROR(INDEX('Email Cleaner'!$B$2:$B$10001,MATCH(9648,'Email Cleaner'!$J$2:$J$10001,0)),"")</f>
        <v/>
      </c>
    </row>
    <row r="9650">
      <c r="A9650">
        <f>IFERROR(INDEX('Email Cleaner'!$B$2:$B$10001,MATCH(9649,'Email Cleaner'!$J$2:$J$10001,0)),"")</f>
        <v/>
      </c>
    </row>
    <row r="9651">
      <c r="A9651">
        <f>IFERROR(INDEX('Email Cleaner'!$B$2:$B$10001,MATCH(9650,'Email Cleaner'!$J$2:$J$10001,0)),"")</f>
        <v/>
      </c>
    </row>
    <row r="9652">
      <c r="A9652">
        <f>IFERROR(INDEX('Email Cleaner'!$B$2:$B$10001,MATCH(9651,'Email Cleaner'!$J$2:$J$10001,0)),"")</f>
        <v/>
      </c>
    </row>
    <row r="9653">
      <c r="A9653">
        <f>IFERROR(INDEX('Email Cleaner'!$B$2:$B$10001,MATCH(9652,'Email Cleaner'!$J$2:$J$10001,0)),"")</f>
        <v/>
      </c>
    </row>
    <row r="9654">
      <c r="A9654">
        <f>IFERROR(INDEX('Email Cleaner'!$B$2:$B$10001,MATCH(9653,'Email Cleaner'!$J$2:$J$10001,0)),"")</f>
        <v/>
      </c>
    </row>
    <row r="9655">
      <c r="A9655">
        <f>IFERROR(INDEX('Email Cleaner'!$B$2:$B$10001,MATCH(9654,'Email Cleaner'!$J$2:$J$10001,0)),"")</f>
        <v/>
      </c>
    </row>
    <row r="9656">
      <c r="A9656">
        <f>IFERROR(INDEX('Email Cleaner'!$B$2:$B$10001,MATCH(9655,'Email Cleaner'!$J$2:$J$10001,0)),"")</f>
        <v/>
      </c>
    </row>
    <row r="9657">
      <c r="A9657">
        <f>IFERROR(INDEX('Email Cleaner'!$B$2:$B$10001,MATCH(9656,'Email Cleaner'!$J$2:$J$10001,0)),"")</f>
        <v/>
      </c>
    </row>
    <row r="9658">
      <c r="A9658">
        <f>IFERROR(INDEX('Email Cleaner'!$B$2:$B$10001,MATCH(9657,'Email Cleaner'!$J$2:$J$10001,0)),"")</f>
        <v/>
      </c>
    </row>
    <row r="9659">
      <c r="A9659">
        <f>IFERROR(INDEX('Email Cleaner'!$B$2:$B$10001,MATCH(9658,'Email Cleaner'!$J$2:$J$10001,0)),"")</f>
        <v/>
      </c>
    </row>
    <row r="9660">
      <c r="A9660">
        <f>IFERROR(INDEX('Email Cleaner'!$B$2:$B$10001,MATCH(9659,'Email Cleaner'!$J$2:$J$10001,0)),"")</f>
        <v/>
      </c>
    </row>
    <row r="9661">
      <c r="A9661">
        <f>IFERROR(INDEX('Email Cleaner'!$B$2:$B$10001,MATCH(9660,'Email Cleaner'!$J$2:$J$10001,0)),"")</f>
        <v/>
      </c>
    </row>
    <row r="9662">
      <c r="A9662">
        <f>IFERROR(INDEX('Email Cleaner'!$B$2:$B$10001,MATCH(9661,'Email Cleaner'!$J$2:$J$10001,0)),"")</f>
        <v/>
      </c>
    </row>
    <row r="9663">
      <c r="A9663">
        <f>IFERROR(INDEX('Email Cleaner'!$B$2:$B$10001,MATCH(9662,'Email Cleaner'!$J$2:$J$10001,0)),"")</f>
        <v/>
      </c>
    </row>
    <row r="9664">
      <c r="A9664">
        <f>IFERROR(INDEX('Email Cleaner'!$B$2:$B$10001,MATCH(9663,'Email Cleaner'!$J$2:$J$10001,0)),"")</f>
        <v/>
      </c>
    </row>
    <row r="9665">
      <c r="A9665">
        <f>IFERROR(INDEX('Email Cleaner'!$B$2:$B$10001,MATCH(9664,'Email Cleaner'!$J$2:$J$10001,0)),"")</f>
        <v/>
      </c>
    </row>
    <row r="9666">
      <c r="A9666">
        <f>IFERROR(INDEX('Email Cleaner'!$B$2:$B$10001,MATCH(9665,'Email Cleaner'!$J$2:$J$10001,0)),"")</f>
        <v/>
      </c>
    </row>
    <row r="9667">
      <c r="A9667">
        <f>IFERROR(INDEX('Email Cleaner'!$B$2:$B$10001,MATCH(9666,'Email Cleaner'!$J$2:$J$10001,0)),"")</f>
        <v/>
      </c>
    </row>
    <row r="9668">
      <c r="A9668">
        <f>IFERROR(INDEX('Email Cleaner'!$B$2:$B$10001,MATCH(9667,'Email Cleaner'!$J$2:$J$10001,0)),"")</f>
        <v/>
      </c>
    </row>
    <row r="9669">
      <c r="A9669">
        <f>IFERROR(INDEX('Email Cleaner'!$B$2:$B$10001,MATCH(9668,'Email Cleaner'!$J$2:$J$10001,0)),"")</f>
        <v/>
      </c>
    </row>
    <row r="9670">
      <c r="A9670">
        <f>IFERROR(INDEX('Email Cleaner'!$B$2:$B$10001,MATCH(9669,'Email Cleaner'!$J$2:$J$10001,0)),"")</f>
        <v/>
      </c>
    </row>
    <row r="9671">
      <c r="A9671">
        <f>IFERROR(INDEX('Email Cleaner'!$B$2:$B$10001,MATCH(9670,'Email Cleaner'!$J$2:$J$10001,0)),"")</f>
        <v/>
      </c>
    </row>
    <row r="9672">
      <c r="A9672">
        <f>IFERROR(INDEX('Email Cleaner'!$B$2:$B$10001,MATCH(9671,'Email Cleaner'!$J$2:$J$10001,0)),"")</f>
        <v/>
      </c>
    </row>
    <row r="9673">
      <c r="A9673">
        <f>IFERROR(INDEX('Email Cleaner'!$B$2:$B$10001,MATCH(9672,'Email Cleaner'!$J$2:$J$10001,0)),"")</f>
        <v/>
      </c>
    </row>
    <row r="9674">
      <c r="A9674">
        <f>IFERROR(INDEX('Email Cleaner'!$B$2:$B$10001,MATCH(9673,'Email Cleaner'!$J$2:$J$10001,0)),"")</f>
        <v/>
      </c>
    </row>
    <row r="9675">
      <c r="A9675">
        <f>IFERROR(INDEX('Email Cleaner'!$B$2:$B$10001,MATCH(9674,'Email Cleaner'!$J$2:$J$10001,0)),"")</f>
        <v/>
      </c>
    </row>
    <row r="9676">
      <c r="A9676">
        <f>IFERROR(INDEX('Email Cleaner'!$B$2:$B$10001,MATCH(9675,'Email Cleaner'!$J$2:$J$10001,0)),"")</f>
        <v/>
      </c>
    </row>
    <row r="9677">
      <c r="A9677">
        <f>IFERROR(INDEX('Email Cleaner'!$B$2:$B$10001,MATCH(9676,'Email Cleaner'!$J$2:$J$10001,0)),"")</f>
        <v/>
      </c>
    </row>
    <row r="9678">
      <c r="A9678">
        <f>IFERROR(INDEX('Email Cleaner'!$B$2:$B$10001,MATCH(9677,'Email Cleaner'!$J$2:$J$10001,0)),"")</f>
        <v/>
      </c>
    </row>
    <row r="9679">
      <c r="A9679">
        <f>IFERROR(INDEX('Email Cleaner'!$B$2:$B$10001,MATCH(9678,'Email Cleaner'!$J$2:$J$10001,0)),"")</f>
        <v/>
      </c>
    </row>
    <row r="9680">
      <c r="A9680">
        <f>IFERROR(INDEX('Email Cleaner'!$B$2:$B$10001,MATCH(9679,'Email Cleaner'!$J$2:$J$10001,0)),"")</f>
        <v/>
      </c>
    </row>
    <row r="9681">
      <c r="A9681">
        <f>IFERROR(INDEX('Email Cleaner'!$B$2:$B$10001,MATCH(9680,'Email Cleaner'!$J$2:$J$10001,0)),"")</f>
        <v/>
      </c>
    </row>
    <row r="9682">
      <c r="A9682">
        <f>IFERROR(INDEX('Email Cleaner'!$B$2:$B$10001,MATCH(9681,'Email Cleaner'!$J$2:$J$10001,0)),"")</f>
        <v/>
      </c>
    </row>
    <row r="9683">
      <c r="A9683">
        <f>IFERROR(INDEX('Email Cleaner'!$B$2:$B$10001,MATCH(9682,'Email Cleaner'!$J$2:$J$10001,0)),"")</f>
        <v/>
      </c>
    </row>
    <row r="9684">
      <c r="A9684">
        <f>IFERROR(INDEX('Email Cleaner'!$B$2:$B$10001,MATCH(9683,'Email Cleaner'!$J$2:$J$10001,0)),"")</f>
        <v/>
      </c>
    </row>
    <row r="9685">
      <c r="A9685">
        <f>IFERROR(INDEX('Email Cleaner'!$B$2:$B$10001,MATCH(9684,'Email Cleaner'!$J$2:$J$10001,0)),"")</f>
        <v/>
      </c>
    </row>
    <row r="9686">
      <c r="A9686">
        <f>IFERROR(INDEX('Email Cleaner'!$B$2:$B$10001,MATCH(9685,'Email Cleaner'!$J$2:$J$10001,0)),"")</f>
        <v/>
      </c>
    </row>
    <row r="9687">
      <c r="A9687">
        <f>IFERROR(INDEX('Email Cleaner'!$B$2:$B$10001,MATCH(9686,'Email Cleaner'!$J$2:$J$10001,0)),"")</f>
        <v/>
      </c>
    </row>
    <row r="9688">
      <c r="A9688">
        <f>IFERROR(INDEX('Email Cleaner'!$B$2:$B$10001,MATCH(9687,'Email Cleaner'!$J$2:$J$10001,0)),"")</f>
        <v/>
      </c>
    </row>
    <row r="9689">
      <c r="A9689">
        <f>IFERROR(INDEX('Email Cleaner'!$B$2:$B$10001,MATCH(9688,'Email Cleaner'!$J$2:$J$10001,0)),"")</f>
        <v/>
      </c>
    </row>
    <row r="9690">
      <c r="A9690">
        <f>IFERROR(INDEX('Email Cleaner'!$B$2:$B$10001,MATCH(9689,'Email Cleaner'!$J$2:$J$10001,0)),"")</f>
        <v/>
      </c>
    </row>
    <row r="9691">
      <c r="A9691">
        <f>IFERROR(INDEX('Email Cleaner'!$B$2:$B$10001,MATCH(9690,'Email Cleaner'!$J$2:$J$10001,0)),"")</f>
        <v/>
      </c>
    </row>
    <row r="9692">
      <c r="A9692">
        <f>IFERROR(INDEX('Email Cleaner'!$B$2:$B$10001,MATCH(9691,'Email Cleaner'!$J$2:$J$10001,0)),"")</f>
        <v/>
      </c>
    </row>
    <row r="9693">
      <c r="A9693">
        <f>IFERROR(INDEX('Email Cleaner'!$B$2:$B$10001,MATCH(9692,'Email Cleaner'!$J$2:$J$10001,0)),"")</f>
        <v/>
      </c>
    </row>
    <row r="9694">
      <c r="A9694">
        <f>IFERROR(INDEX('Email Cleaner'!$B$2:$B$10001,MATCH(9693,'Email Cleaner'!$J$2:$J$10001,0)),"")</f>
        <v/>
      </c>
    </row>
    <row r="9695">
      <c r="A9695">
        <f>IFERROR(INDEX('Email Cleaner'!$B$2:$B$10001,MATCH(9694,'Email Cleaner'!$J$2:$J$10001,0)),"")</f>
        <v/>
      </c>
    </row>
    <row r="9696">
      <c r="A9696">
        <f>IFERROR(INDEX('Email Cleaner'!$B$2:$B$10001,MATCH(9695,'Email Cleaner'!$J$2:$J$10001,0)),"")</f>
        <v/>
      </c>
    </row>
    <row r="9697">
      <c r="A9697">
        <f>IFERROR(INDEX('Email Cleaner'!$B$2:$B$10001,MATCH(9696,'Email Cleaner'!$J$2:$J$10001,0)),"")</f>
        <v/>
      </c>
    </row>
    <row r="9698">
      <c r="A9698">
        <f>IFERROR(INDEX('Email Cleaner'!$B$2:$B$10001,MATCH(9697,'Email Cleaner'!$J$2:$J$10001,0)),"")</f>
        <v/>
      </c>
    </row>
    <row r="9699">
      <c r="A9699">
        <f>IFERROR(INDEX('Email Cleaner'!$B$2:$B$10001,MATCH(9698,'Email Cleaner'!$J$2:$J$10001,0)),"")</f>
        <v/>
      </c>
    </row>
    <row r="9700">
      <c r="A9700">
        <f>IFERROR(INDEX('Email Cleaner'!$B$2:$B$10001,MATCH(9699,'Email Cleaner'!$J$2:$J$10001,0)),"")</f>
        <v/>
      </c>
    </row>
    <row r="9701">
      <c r="A9701">
        <f>IFERROR(INDEX('Email Cleaner'!$B$2:$B$10001,MATCH(9700,'Email Cleaner'!$J$2:$J$10001,0)),"")</f>
        <v/>
      </c>
    </row>
    <row r="9702">
      <c r="A9702">
        <f>IFERROR(INDEX('Email Cleaner'!$B$2:$B$10001,MATCH(9701,'Email Cleaner'!$J$2:$J$10001,0)),"")</f>
        <v/>
      </c>
    </row>
    <row r="9703">
      <c r="A9703">
        <f>IFERROR(INDEX('Email Cleaner'!$B$2:$B$10001,MATCH(9702,'Email Cleaner'!$J$2:$J$10001,0)),"")</f>
        <v/>
      </c>
    </row>
    <row r="9704">
      <c r="A9704">
        <f>IFERROR(INDEX('Email Cleaner'!$B$2:$B$10001,MATCH(9703,'Email Cleaner'!$J$2:$J$10001,0)),"")</f>
        <v/>
      </c>
    </row>
    <row r="9705">
      <c r="A9705">
        <f>IFERROR(INDEX('Email Cleaner'!$B$2:$B$10001,MATCH(9704,'Email Cleaner'!$J$2:$J$10001,0)),"")</f>
        <v/>
      </c>
    </row>
    <row r="9706">
      <c r="A9706">
        <f>IFERROR(INDEX('Email Cleaner'!$B$2:$B$10001,MATCH(9705,'Email Cleaner'!$J$2:$J$10001,0)),"")</f>
        <v/>
      </c>
    </row>
    <row r="9707">
      <c r="A9707">
        <f>IFERROR(INDEX('Email Cleaner'!$B$2:$B$10001,MATCH(9706,'Email Cleaner'!$J$2:$J$10001,0)),"")</f>
        <v/>
      </c>
    </row>
    <row r="9708">
      <c r="A9708">
        <f>IFERROR(INDEX('Email Cleaner'!$B$2:$B$10001,MATCH(9707,'Email Cleaner'!$J$2:$J$10001,0)),"")</f>
        <v/>
      </c>
    </row>
    <row r="9709">
      <c r="A9709">
        <f>IFERROR(INDEX('Email Cleaner'!$B$2:$B$10001,MATCH(9708,'Email Cleaner'!$J$2:$J$10001,0)),"")</f>
        <v/>
      </c>
    </row>
    <row r="9710">
      <c r="A9710">
        <f>IFERROR(INDEX('Email Cleaner'!$B$2:$B$10001,MATCH(9709,'Email Cleaner'!$J$2:$J$10001,0)),"")</f>
        <v/>
      </c>
    </row>
    <row r="9711">
      <c r="A9711">
        <f>IFERROR(INDEX('Email Cleaner'!$B$2:$B$10001,MATCH(9710,'Email Cleaner'!$J$2:$J$10001,0)),"")</f>
        <v/>
      </c>
    </row>
    <row r="9712">
      <c r="A9712">
        <f>IFERROR(INDEX('Email Cleaner'!$B$2:$B$10001,MATCH(9711,'Email Cleaner'!$J$2:$J$10001,0)),"")</f>
        <v/>
      </c>
    </row>
    <row r="9713">
      <c r="A9713">
        <f>IFERROR(INDEX('Email Cleaner'!$B$2:$B$10001,MATCH(9712,'Email Cleaner'!$J$2:$J$10001,0)),"")</f>
        <v/>
      </c>
    </row>
    <row r="9714">
      <c r="A9714">
        <f>IFERROR(INDEX('Email Cleaner'!$B$2:$B$10001,MATCH(9713,'Email Cleaner'!$J$2:$J$10001,0)),"")</f>
        <v/>
      </c>
    </row>
    <row r="9715">
      <c r="A9715">
        <f>IFERROR(INDEX('Email Cleaner'!$B$2:$B$10001,MATCH(9714,'Email Cleaner'!$J$2:$J$10001,0)),"")</f>
        <v/>
      </c>
    </row>
    <row r="9716">
      <c r="A9716">
        <f>IFERROR(INDEX('Email Cleaner'!$B$2:$B$10001,MATCH(9715,'Email Cleaner'!$J$2:$J$10001,0)),"")</f>
        <v/>
      </c>
    </row>
    <row r="9717">
      <c r="A9717">
        <f>IFERROR(INDEX('Email Cleaner'!$B$2:$B$10001,MATCH(9716,'Email Cleaner'!$J$2:$J$10001,0)),"")</f>
        <v/>
      </c>
    </row>
    <row r="9718">
      <c r="A9718">
        <f>IFERROR(INDEX('Email Cleaner'!$B$2:$B$10001,MATCH(9717,'Email Cleaner'!$J$2:$J$10001,0)),"")</f>
        <v/>
      </c>
    </row>
    <row r="9719">
      <c r="A9719">
        <f>IFERROR(INDEX('Email Cleaner'!$B$2:$B$10001,MATCH(9718,'Email Cleaner'!$J$2:$J$10001,0)),"")</f>
        <v/>
      </c>
    </row>
    <row r="9720">
      <c r="A9720">
        <f>IFERROR(INDEX('Email Cleaner'!$B$2:$B$10001,MATCH(9719,'Email Cleaner'!$J$2:$J$10001,0)),"")</f>
        <v/>
      </c>
    </row>
    <row r="9721">
      <c r="A9721">
        <f>IFERROR(INDEX('Email Cleaner'!$B$2:$B$10001,MATCH(9720,'Email Cleaner'!$J$2:$J$10001,0)),"")</f>
        <v/>
      </c>
    </row>
    <row r="9722">
      <c r="A9722">
        <f>IFERROR(INDEX('Email Cleaner'!$B$2:$B$10001,MATCH(9721,'Email Cleaner'!$J$2:$J$10001,0)),"")</f>
        <v/>
      </c>
    </row>
    <row r="9723">
      <c r="A9723">
        <f>IFERROR(INDEX('Email Cleaner'!$B$2:$B$10001,MATCH(9722,'Email Cleaner'!$J$2:$J$10001,0)),"")</f>
        <v/>
      </c>
    </row>
    <row r="9724">
      <c r="A9724">
        <f>IFERROR(INDEX('Email Cleaner'!$B$2:$B$10001,MATCH(9723,'Email Cleaner'!$J$2:$J$10001,0)),"")</f>
        <v/>
      </c>
    </row>
    <row r="9725">
      <c r="A9725">
        <f>IFERROR(INDEX('Email Cleaner'!$B$2:$B$10001,MATCH(9724,'Email Cleaner'!$J$2:$J$10001,0)),"")</f>
        <v/>
      </c>
    </row>
    <row r="9726">
      <c r="A9726">
        <f>IFERROR(INDEX('Email Cleaner'!$B$2:$B$10001,MATCH(9725,'Email Cleaner'!$J$2:$J$10001,0)),"")</f>
        <v/>
      </c>
    </row>
    <row r="9727">
      <c r="A9727">
        <f>IFERROR(INDEX('Email Cleaner'!$B$2:$B$10001,MATCH(9726,'Email Cleaner'!$J$2:$J$10001,0)),"")</f>
        <v/>
      </c>
    </row>
    <row r="9728">
      <c r="A9728">
        <f>IFERROR(INDEX('Email Cleaner'!$B$2:$B$10001,MATCH(9727,'Email Cleaner'!$J$2:$J$10001,0)),"")</f>
        <v/>
      </c>
    </row>
    <row r="9729">
      <c r="A9729">
        <f>IFERROR(INDEX('Email Cleaner'!$B$2:$B$10001,MATCH(9728,'Email Cleaner'!$J$2:$J$10001,0)),"")</f>
        <v/>
      </c>
    </row>
    <row r="9730">
      <c r="A9730">
        <f>IFERROR(INDEX('Email Cleaner'!$B$2:$B$10001,MATCH(9729,'Email Cleaner'!$J$2:$J$10001,0)),"")</f>
        <v/>
      </c>
    </row>
    <row r="9731">
      <c r="A9731">
        <f>IFERROR(INDEX('Email Cleaner'!$B$2:$B$10001,MATCH(9730,'Email Cleaner'!$J$2:$J$10001,0)),"")</f>
        <v/>
      </c>
    </row>
    <row r="9732">
      <c r="A9732">
        <f>IFERROR(INDEX('Email Cleaner'!$B$2:$B$10001,MATCH(9731,'Email Cleaner'!$J$2:$J$10001,0)),"")</f>
        <v/>
      </c>
    </row>
    <row r="9733">
      <c r="A9733">
        <f>IFERROR(INDEX('Email Cleaner'!$B$2:$B$10001,MATCH(9732,'Email Cleaner'!$J$2:$J$10001,0)),"")</f>
        <v/>
      </c>
    </row>
    <row r="9734">
      <c r="A9734">
        <f>IFERROR(INDEX('Email Cleaner'!$B$2:$B$10001,MATCH(9733,'Email Cleaner'!$J$2:$J$10001,0)),"")</f>
        <v/>
      </c>
    </row>
    <row r="9735">
      <c r="A9735">
        <f>IFERROR(INDEX('Email Cleaner'!$B$2:$B$10001,MATCH(9734,'Email Cleaner'!$J$2:$J$10001,0)),"")</f>
        <v/>
      </c>
    </row>
    <row r="9736">
      <c r="A9736">
        <f>IFERROR(INDEX('Email Cleaner'!$B$2:$B$10001,MATCH(9735,'Email Cleaner'!$J$2:$J$10001,0)),"")</f>
        <v/>
      </c>
    </row>
    <row r="9737">
      <c r="A9737">
        <f>IFERROR(INDEX('Email Cleaner'!$B$2:$B$10001,MATCH(9736,'Email Cleaner'!$J$2:$J$10001,0)),"")</f>
        <v/>
      </c>
    </row>
    <row r="9738">
      <c r="A9738">
        <f>IFERROR(INDEX('Email Cleaner'!$B$2:$B$10001,MATCH(9737,'Email Cleaner'!$J$2:$J$10001,0)),"")</f>
        <v/>
      </c>
    </row>
    <row r="9739">
      <c r="A9739">
        <f>IFERROR(INDEX('Email Cleaner'!$B$2:$B$10001,MATCH(9738,'Email Cleaner'!$J$2:$J$10001,0)),"")</f>
        <v/>
      </c>
    </row>
    <row r="9740">
      <c r="A9740">
        <f>IFERROR(INDEX('Email Cleaner'!$B$2:$B$10001,MATCH(9739,'Email Cleaner'!$J$2:$J$10001,0)),"")</f>
        <v/>
      </c>
    </row>
    <row r="9741">
      <c r="A9741">
        <f>IFERROR(INDEX('Email Cleaner'!$B$2:$B$10001,MATCH(9740,'Email Cleaner'!$J$2:$J$10001,0)),"")</f>
        <v/>
      </c>
    </row>
    <row r="9742">
      <c r="A9742">
        <f>IFERROR(INDEX('Email Cleaner'!$B$2:$B$10001,MATCH(9741,'Email Cleaner'!$J$2:$J$10001,0)),"")</f>
        <v/>
      </c>
    </row>
    <row r="9743">
      <c r="A9743">
        <f>IFERROR(INDEX('Email Cleaner'!$B$2:$B$10001,MATCH(9742,'Email Cleaner'!$J$2:$J$10001,0)),"")</f>
        <v/>
      </c>
    </row>
    <row r="9744">
      <c r="A9744">
        <f>IFERROR(INDEX('Email Cleaner'!$B$2:$B$10001,MATCH(9743,'Email Cleaner'!$J$2:$J$10001,0)),"")</f>
        <v/>
      </c>
    </row>
    <row r="9745">
      <c r="A9745">
        <f>IFERROR(INDEX('Email Cleaner'!$B$2:$B$10001,MATCH(9744,'Email Cleaner'!$J$2:$J$10001,0)),"")</f>
        <v/>
      </c>
    </row>
    <row r="9746">
      <c r="A9746">
        <f>IFERROR(INDEX('Email Cleaner'!$B$2:$B$10001,MATCH(9745,'Email Cleaner'!$J$2:$J$10001,0)),"")</f>
        <v/>
      </c>
    </row>
    <row r="9747">
      <c r="A9747">
        <f>IFERROR(INDEX('Email Cleaner'!$B$2:$B$10001,MATCH(9746,'Email Cleaner'!$J$2:$J$10001,0)),"")</f>
        <v/>
      </c>
    </row>
    <row r="9748">
      <c r="A9748">
        <f>IFERROR(INDEX('Email Cleaner'!$B$2:$B$10001,MATCH(9747,'Email Cleaner'!$J$2:$J$10001,0)),"")</f>
        <v/>
      </c>
    </row>
    <row r="9749">
      <c r="A9749">
        <f>IFERROR(INDEX('Email Cleaner'!$B$2:$B$10001,MATCH(9748,'Email Cleaner'!$J$2:$J$10001,0)),"")</f>
        <v/>
      </c>
    </row>
    <row r="9750">
      <c r="A9750">
        <f>IFERROR(INDEX('Email Cleaner'!$B$2:$B$10001,MATCH(9749,'Email Cleaner'!$J$2:$J$10001,0)),"")</f>
        <v/>
      </c>
    </row>
    <row r="9751">
      <c r="A9751">
        <f>IFERROR(INDEX('Email Cleaner'!$B$2:$B$10001,MATCH(9750,'Email Cleaner'!$J$2:$J$10001,0)),"")</f>
        <v/>
      </c>
    </row>
    <row r="9752">
      <c r="A9752">
        <f>IFERROR(INDEX('Email Cleaner'!$B$2:$B$10001,MATCH(9751,'Email Cleaner'!$J$2:$J$10001,0)),"")</f>
        <v/>
      </c>
    </row>
    <row r="9753">
      <c r="A9753">
        <f>IFERROR(INDEX('Email Cleaner'!$B$2:$B$10001,MATCH(9752,'Email Cleaner'!$J$2:$J$10001,0)),"")</f>
        <v/>
      </c>
    </row>
    <row r="9754">
      <c r="A9754">
        <f>IFERROR(INDEX('Email Cleaner'!$B$2:$B$10001,MATCH(9753,'Email Cleaner'!$J$2:$J$10001,0)),"")</f>
        <v/>
      </c>
    </row>
    <row r="9755">
      <c r="A9755">
        <f>IFERROR(INDEX('Email Cleaner'!$B$2:$B$10001,MATCH(9754,'Email Cleaner'!$J$2:$J$10001,0)),"")</f>
        <v/>
      </c>
    </row>
    <row r="9756">
      <c r="A9756">
        <f>IFERROR(INDEX('Email Cleaner'!$B$2:$B$10001,MATCH(9755,'Email Cleaner'!$J$2:$J$10001,0)),"")</f>
        <v/>
      </c>
    </row>
    <row r="9757">
      <c r="A9757">
        <f>IFERROR(INDEX('Email Cleaner'!$B$2:$B$10001,MATCH(9756,'Email Cleaner'!$J$2:$J$10001,0)),"")</f>
        <v/>
      </c>
    </row>
    <row r="9758">
      <c r="A9758">
        <f>IFERROR(INDEX('Email Cleaner'!$B$2:$B$10001,MATCH(9757,'Email Cleaner'!$J$2:$J$10001,0)),"")</f>
        <v/>
      </c>
    </row>
    <row r="9759">
      <c r="A9759">
        <f>IFERROR(INDEX('Email Cleaner'!$B$2:$B$10001,MATCH(9758,'Email Cleaner'!$J$2:$J$10001,0)),"")</f>
        <v/>
      </c>
    </row>
    <row r="9760">
      <c r="A9760">
        <f>IFERROR(INDEX('Email Cleaner'!$B$2:$B$10001,MATCH(9759,'Email Cleaner'!$J$2:$J$10001,0)),"")</f>
        <v/>
      </c>
    </row>
    <row r="9761">
      <c r="A9761">
        <f>IFERROR(INDEX('Email Cleaner'!$B$2:$B$10001,MATCH(9760,'Email Cleaner'!$J$2:$J$10001,0)),"")</f>
        <v/>
      </c>
    </row>
    <row r="9762">
      <c r="A9762">
        <f>IFERROR(INDEX('Email Cleaner'!$B$2:$B$10001,MATCH(9761,'Email Cleaner'!$J$2:$J$10001,0)),"")</f>
        <v/>
      </c>
    </row>
    <row r="9763">
      <c r="A9763">
        <f>IFERROR(INDEX('Email Cleaner'!$B$2:$B$10001,MATCH(9762,'Email Cleaner'!$J$2:$J$10001,0)),"")</f>
        <v/>
      </c>
    </row>
    <row r="9764">
      <c r="A9764">
        <f>IFERROR(INDEX('Email Cleaner'!$B$2:$B$10001,MATCH(9763,'Email Cleaner'!$J$2:$J$10001,0)),"")</f>
        <v/>
      </c>
    </row>
    <row r="9765">
      <c r="A9765">
        <f>IFERROR(INDEX('Email Cleaner'!$B$2:$B$10001,MATCH(9764,'Email Cleaner'!$J$2:$J$10001,0)),"")</f>
        <v/>
      </c>
    </row>
    <row r="9766">
      <c r="A9766">
        <f>IFERROR(INDEX('Email Cleaner'!$B$2:$B$10001,MATCH(9765,'Email Cleaner'!$J$2:$J$10001,0)),"")</f>
        <v/>
      </c>
    </row>
    <row r="9767">
      <c r="A9767">
        <f>IFERROR(INDEX('Email Cleaner'!$B$2:$B$10001,MATCH(9766,'Email Cleaner'!$J$2:$J$10001,0)),"")</f>
        <v/>
      </c>
    </row>
    <row r="9768">
      <c r="A9768">
        <f>IFERROR(INDEX('Email Cleaner'!$B$2:$B$10001,MATCH(9767,'Email Cleaner'!$J$2:$J$10001,0)),"")</f>
        <v/>
      </c>
    </row>
    <row r="9769">
      <c r="A9769">
        <f>IFERROR(INDEX('Email Cleaner'!$B$2:$B$10001,MATCH(9768,'Email Cleaner'!$J$2:$J$10001,0)),"")</f>
        <v/>
      </c>
    </row>
    <row r="9770">
      <c r="A9770">
        <f>IFERROR(INDEX('Email Cleaner'!$B$2:$B$10001,MATCH(9769,'Email Cleaner'!$J$2:$J$10001,0)),"")</f>
        <v/>
      </c>
    </row>
    <row r="9771">
      <c r="A9771">
        <f>IFERROR(INDEX('Email Cleaner'!$B$2:$B$10001,MATCH(9770,'Email Cleaner'!$J$2:$J$10001,0)),"")</f>
        <v/>
      </c>
    </row>
    <row r="9772">
      <c r="A9772">
        <f>IFERROR(INDEX('Email Cleaner'!$B$2:$B$10001,MATCH(9771,'Email Cleaner'!$J$2:$J$10001,0)),"")</f>
        <v/>
      </c>
    </row>
    <row r="9773">
      <c r="A9773">
        <f>IFERROR(INDEX('Email Cleaner'!$B$2:$B$10001,MATCH(9772,'Email Cleaner'!$J$2:$J$10001,0)),"")</f>
        <v/>
      </c>
    </row>
    <row r="9774">
      <c r="A9774">
        <f>IFERROR(INDEX('Email Cleaner'!$B$2:$B$10001,MATCH(9773,'Email Cleaner'!$J$2:$J$10001,0)),"")</f>
        <v/>
      </c>
    </row>
    <row r="9775">
      <c r="A9775">
        <f>IFERROR(INDEX('Email Cleaner'!$B$2:$B$10001,MATCH(9774,'Email Cleaner'!$J$2:$J$10001,0)),"")</f>
        <v/>
      </c>
    </row>
    <row r="9776">
      <c r="A9776">
        <f>IFERROR(INDEX('Email Cleaner'!$B$2:$B$10001,MATCH(9775,'Email Cleaner'!$J$2:$J$10001,0)),"")</f>
        <v/>
      </c>
    </row>
    <row r="9777">
      <c r="A9777">
        <f>IFERROR(INDEX('Email Cleaner'!$B$2:$B$10001,MATCH(9776,'Email Cleaner'!$J$2:$J$10001,0)),"")</f>
        <v/>
      </c>
    </row>
    <row r="9778">
      <c r="A9778">
        <f>IFERROR(INDEX('Email Cleaner'!$B$2:$B$10001,MATCH(9777,'Email Cleaner'!$J$2:$J$10001,0)),"")</f>
        <v/>
      </c>
    </row>
    <row r="9779">
      <c r="A9779">
        <f>IFERROR(INDEX('Email Cleaner'!$B$2:$B$10001,MATCH(9778,'Email Cleaner'!$J$2:$J$10001,0)),"")</f>
        <v/>
      </c>
    </row>
    <row r="9780">
      <c r="A9780">
        <f>IFERROR(INDEX('Email Cleaner'!$B$2:$B$10001,MATCH(9779,'Email Cleaner'!$J$2:$J$10001,0)),"")</f>
        <v/>
      </c>
    </row>
    <row r="9781">
      <c r="A9781">
        <f>IFERROR(INDEX('Email Cleaner'!$B$2:$B$10001,MATCH(9780,'Email Cleaner'!$J$2:$J$10001,0)),"")</f>
        <v/>
      </c>
    </row>
    <row r="9782">
      <c r="A9782">
        <f>IFERROR(INDEX('Email Cleaner'!$B$2:$B$10001,MATCH(9781,'Email Cleaner'!$J$2:$J$10001,0)),"")</f>
        <v/>
      </c>
    </row>
    <row r="9783">
      <c r="A9783">
        <f>IFERROR(INDEX('Email Cleaner'!$B$2:$B$10001,MATCH(9782,'Email Cleaner'!$J$2:$J$10001,0)),"")</f>
        <v/>
      </c>
    </row>
    <row r="9784">
      <c r="A9784">
        <f>IFERROR(INDEX('Email Cleaner'!$B$2:$B$10001,MATCH(9783,'Email Cleaner'!$J$2:$J$10001,0)),"")</f>
        <v/>
      </c>
    </row>
    <row r="9785">
      <c r="A9785">
        <f>IFERROR(INDEX('Email Cleaner'!$B$2:$B$10001,MATCH(9784,'Email Cleaner'!$J$2:$J$10001,0)),"")</f>
        <v/>
      </c>
    </row>
    <row r="9786">
      <c r="A9786">
        <f>IFERROR(INDEX('Email Cleaner'!$B$2:$B$10001,MATCH(9785,'Email Cleaner'!$J$2:$J$10001,0)),"")</f>
        <v/>
      </c>
    </row>
    <row r="9787">
      <c r="A9787">
        <f>IFERROR(INDEX('Email Cleaner'!$B$2:$B$10001,MATCH(9786,'Email Cleaner'!$J$2:$J$10001,0)),"")</f>
        <v/>
      </c>
    </row>
    <row r="9788">
      <c r="A9788">
        <f>IFERROR(INDEX('Email Cleaner'!$B$2:$B$10001,MATCH(9787,'Email Cleaner'!$J$2:$J$10001,0)),"")</f>
        <v/>
      </c>
    </row>
    <row r="9789">
      <c r="A9789">
        <f>IFERROR(INDEX('Email Cleaner'!$B$2:$B$10001,MATCH(9788,'Email Cleaner'!$J$2:$J$10001,0)),"")</f>
        <v/>
      </c>
    </row>
    <row r="9790">
      <c r="A9790">
        <f>IFERROR(INDEX('Email Cleaner'!$B$2:$B$10001,MATCH(9789,'Email Cleaner'!$J$2:$J$10001,0)),"")</f>
        <v/>
      </c>
    </row>
    <row r="9791">
      <c r="A9791">
        <f>IFERROR(INDEX('Email Cleaner'!$B$2:$B$10001,MATCH(9790,'Email Cleaner'!$J$2:$J$10001,0)),"")</f>
        <v/>
      </c>
    </row>
    <row r="9792">
      <c r="A9792">
        <f>IFERROR(INDEX('Email Cleaner'!$B$2:$B$10001,MATCH(9791,'Email Cleaner'!$J$2:$J$10001,0)),"")</f>
        <v/>
      </c>
    </row>
    <row r="9793">
      <c r="A9793">
        <f>IFERROR(INDEX('Email Cleaner'!$B$2:$B$10001,MATCH(9792,'Email Cleaner'!$J$2:$J$10001,0)),"")</f>
        <v/>
      </c>
    </row>
    <row r="9794">
      <c r="A9794">
        <f>IFERROR(INDEX('Email Cleaner'!$B$2:$B$10001,MATCH(9793,'Email Cleaner'!$J$2:$J$10001,0)),"")</f>
        <v/>
      </c>
    </row>
    <row r="9795">
      <c r="A9795">
        <f>IFERROR(INDEX('Email Cleaner'!$B$2:$B$10001,MATCH(9794,'Email Cleaner'!$J$2:$J$10001,0)),"")</f>
        <v/>
      </c>
    </row>
    <row r="9796">
      <c r="A9796">
        <f>IFERROR(INDEX('Email Cleaner'!$B$2:$B$10001,MATCH(9795,'Email Cleaner'!$J$2:$J$10001,0)),"")</f>
        <v/>
      </c>
    </row>
    <row r="9797">
      <c r="A9797">
        <f>IFERROR(INDEX('Email Cleaner'!$B$2:$B$10001,MATCH(9796,'Email Cleaner'!$J$2:$J$10001,0)),"")</f>
        <v/>
      </c>
    </row>
    <row r="9798">
      <c r="A9798">
        <f>IFERROR(INDEX('Email Cleaner'!$B$2:$B$10001,MATCH(9797,'Email Cleaner'!$J$2:$J$10001,0)),"")</f>
        <v/>
      </c>
    </row>
    <row r="9799">
      <c r="A9799">
        <f>IFERROR(INDEX('Email Cleaner'!$B$2:$B$10001,MATCH(9798,'Email Cleaner'!$J$2:$J$10001,0)),"")</f>
        <v/>
      </c>
    </row>
    <row r="9800">
      <c r="A9800">
        <f>IFERROR(INDEX('Email Cleaner'!$B$2:$B$10001,MATCH(9799,'Email Cleaner'!$J$2:$J$10001,0)),"")</f>
        <v/>
      </c>
    </row>
    <row r="9801">
      <c r="A9801">
        <f>IFERROR(INDEX('Email Cleaner'!$B$2:$B$10001,MATCH(9800,'Email Cleaner'!$J$2:$J$10001,0)),"")</f>
        <v/>
      </c>
    </row>
    <row r="9802">
      <c r="A9802">
        <f>IFERROR(INDEX('Email Cleaner'!$B$2:$B$10001,MATCH(9801,'Email Cleaner'!$J$2:$J$10001,0)),"")</f>
        <v/>
      </c>
    </row>
    <row r="9803">
      <c r="A9803">
        <f>IFERROR(INDEX('Email Cleaner'!$B$2:$B$10001,MATCH(9802,'Email Cleaner'!$J$2:$J$10001,0)),"")</f>
        <v/>
      </c>
    </row>
    <row r="9804">
      <c r="A9804">
        <f>IFERROR(INDEX('Email Cleaner'!$B$2:$B$10001,MATCH(9803,'Email Cleaner'!$J$2:$J$10001,0)),"")</f>
        <v/>
      </c>
    </row>
    <row r="9805">
      <c r="A9805">
        <f>IFERROR(INDEX('Email Cleaner'!$B$2:$B$10001,MATCH(9804,'Email Cleaner'!$J$2:$J$10001,0)),"")</f>
        <v/>
      </c>
    </row>
    <row r="9806">
      <c r="A9806">
        <f>IFERROR(INDEX('Email Cleaner'!$B$2:$B$10001,MATCH(9805,'Email Cleaner'!$J$2:$J$10001,0)),"")</f>
        <v/>
      </c>
    </row>
    <row r="9807">
      <c r="A9807">
        <f>IFERROR(INDEX('Email Cleaner'!$B$2:$B$10001,MATCH(9806,'Email Cleaner'!$J$2:$J$10001,0)),"")</f>
        <v/>
      </c>
    </row>
    <row r="9808">
      <c r="A9808">
        <f>IFERROR(INDEX('Email Cleaner'!$B$2:$B$10001,MATCH(9807,'Email Cleaner'!$J$2:$J$10001,0)),"")</f>
        <v/>
      </c>
    </row>
    <row r="9809">
      <c r="A9809">
        <f>IFERROR(INDEX('Email Cleaner'!$B$2:$B$10001,MATCH(9808,'Email Cleaner'!$J$2:$J$10001,0)),"")</f>
        <v/>
      </c>
    </row>
    <row r="9810">
      <c r="A9810">
        <f>IFERROR(INDEX('Email Cleaner'!$B$2:$B$10001,MATCH(9809,'Email Cleaner'!$J$2:$J$10001,0)),"")</f>
        <v/>
      </c>
    </row>
    <row r="9811">
      <c r="A9811">
        <f>IFERROR(INDEX('Email Cleaner'!$B$2:$B$10001,MATCH(9810,'Email Cleaner'!$J$2:$J$10001,0)),"")</f>
        <v/>
      </c>
    </row>
    <row r="9812">
      <c r="A9812">
        <f>IFERROR(INDEX('Email Cleaner'!$B$2:$B$10001,MATCH(9811,'Email Cleaner'!$J$2:$J$10001,0)),"")</f>
        <v/>
      </c>
    </row>
    <row r="9813">
      <c r="A9813">
        <f>IFERROR(INDEX('Email Cleaner'!$B$2:$B$10001,MATCH(9812,'Email Cleaner'!$J$2:$J$10001,0)),"")</f>
        <v/>
      </c>
    </row>
    <row r="9814">
      <c r="A9814">
        <f>IFERROR(INDEX('Email Cleaner'!$B$2:$B$10001,MATCH(9813,'Email Cleaner'!$J$2:$J$10001,0)),"")</f>
        <v/>
      </c>
    </row>
    <row r="9815">
      <c r="A9815">
        <f>IFERROR(INDEX('Email Cleaner'!$B$2:$B$10001,MATCH(9814,'Email Cleaner'!$J$2:$J$10001,0)),"")</f>
        <v/>
      </c>
    </row>
    <row r="9816">
      <c r="A9816">
        <f>IFERROR(INDEX('Email Cleaner'!$B$2:$B$10001,MATCH(9815,'Email Cleaner'!$J$2:$J$10001,0)),"")</f>
        <v/>
      </c>
    </row>
    <row r="9817">
      <c r="A9817">
        <f>IFERROR(INDEX('Email Cleaner'!$B$2:$B$10001,MATCH(9816,'Email Cleaner'!$J$2:$J$10001,0)),"")</f>
        <v/>
      </c>
    </row>
    <row r="9818">
      <c r="A9818">
        <f>IFERROR(INDEX('Email Cleaner'!$B$2:$B$10001,MATCH(9817,'Email Cleaner'!$J$2:$J$10001,0)),"")</f>
        <v/>
      </c>
    </row>
    <row r="9819">
      <c r="A9819">
        <f>IFERROR(INDEX('Email Cleaner'!$B$2:$B$10001,MATCH(9818,'Email Cleaner'!$J$2:$J$10001,0)),"")</f>
        <v/>
      </c>
    </row>
    <row r="9820">
      <c r="A9820">
        <f>IFERROR(INDEX('Email Cleaner'!$B$2:$B$10001,MATCH(9819,'Email Cleaner'!$J$2:$J$10001,0)),"")</f>
        <v/>
      </c>
    </row>
    <row r="9821">
      <c r="A9821">
        <f>IFERROR(INDEX('Email Cleaner'!$B$2:$B$10001,MATCH(9820,'Email Cleaner'!$J$2:$J$10001,0)),"")</f>
        <v/>
      </c>
    </row>
    <row r="9822">
      <c r="A9822">
        <f>IFERROR(INDEX('Email Cleaner'!$B$2:$B$10001,MATCH(9821,'Email Cleaner'!$J$2:$J$10001,0)),"")</f>
        <v/>
      </c>
    </row>
    <row r="9823">
      <c r="A9823">
        <f>IFERROR(INDEX('Email Cleaner'!$B$2:$B$10001,MATCH(9822,'Email Cleaner'!$J$2:$J$10001,0)),"")</f>
        <v/>
      </c>
    </row>
    <row r="9824">
      <c r="A9824">
        <f>IFERROR(INDEX('Email Cleaner'!$B$2:$B$10001,MATCH(9823,'Email Cleaner'!$J$2:$J$10001,0)),"")</f>
        <v/>
      </c>
    </row>
    <row r="9825">
      <c r="A9825">
        <f>IFERROR(INDEX('Email Cleaner'!$B$2:$B$10001,MATCH(9824,'Email Cleaner'!$J$2:$J$10001,0)),"")</f>
        <v/>
      </c>
    </row>
    <row r="9826">
      <c r="A9826">
        <f>IFERROR(INDEX('Email Cleaner'!$B$2:$B$10001,MATCH(9825,'Email Cleaner'!$J$2:$J$10001,0)),"")</f>
        <v/>
      </c>
    </row>
    <row r="9827">
      <c r="A9827">
        <f>IFERROR(INDEX('Email Cleaner'!$B$2:$B$10001,MATCH(9826,'Email Cleaner'!$J$2:$J$10001,0)),"")</f>
        <v/>
      </c>
    </row>
    <row r="9828">
      <c r="A9828">
        <f>IFERROR(INDEX('Email Cleaner'!$B$2:$B$10001,MATCH(9827,'Email Cleaner'!$J$2:$J$10001,0)),"")</f>
        <v/>
      </c>
    </row>
    <row r="9829">
      <c r="A9829">
        <f>IFERROR(INDEX('Email Cleaner'!$B$2:$B$10001,MATCH(9828,'Email Cleaner'!$J$2:$J$10001,0)),"")</f>
        <v/>
      </c>
    </row>
    <row r="9830">
      <c r="A9830">
        <f>IFERROR(INDEX('Email Cleaner'!$B$2:$B$10001,MATCH(9829,'Email Cleaner'!$J$2:$J$10001,0)),"")</f>
        <v/>
      </c>
    </row>
    <row r="9831">
      <c r="A9831">
        <f>IFERROR(INDEX('Email Cleaner'!$B$2:$B$10001,MATCH(9830,'Email Cleaner'!$J$2:$J$10001,0)),"")</f>
        <v/>
      </c>
    </row>
    <row r="9832">
      <c r="A9832">
        <f>IFERROR(INDEX('Email Cleaner'!$B$2:$B$10001,MATCH(9831,'Email Cleaner'!$J$2:$J$10001,0)),"")</f>
        <v/>
      </c>
    </row>
    <row r="9833">
      <c r="A9833">
        <f>IFERROR(INDEX('Email Cleaner'!$B$2:$B$10001,MATCH(9832,'Email Cleaner'!$J$2:$J$10001,0)),"")</f>
        <v/>
      </c>
    </row>
    <row r="9834">
      <c r="A9834">
        <f>IFERROR(INDEX('Email Cleaner'!$B$2:$B$10001,MATCH(9833,'Email Cleaner'!$J$2:$J$10001,0)),"")</f>
        <v/>
      </c>
    </row>
    <row r="9835">
      <c r="A9835">
        <f>IFERROR(INDEX('Email Cleaner'!$B$2:$B$10001,MATCH(9834,'Email Cleaner'!$J$2:$J$10001,0)),"")</f>
        <v/>
      </c>
    </row>
    <row r="9836">
      <c r="A9836">
        <f>IFERROR(INDEX('Email Cleaner'!$B$2:$B$10001,MATCH(9835,'Email Cleaner'!$J$2:$J$10001,0)),"")</f>
        <v/>
      </c>
    </row>
    <row r="9837">
      <c r="A9837">
        <f>IFERROR(INDEX('Email Cleaner'!$B$2:$B$10001,MATCH(9836,'Email Cleaner'!$J$2:$J$10001,0)),"")</f>
        <v/>
      </c>
    </row>
    <row r="9838">
      <c r="A9838">
        <f>IFERROR(INDEX('Email Cleaner'!$B$2:$B$10001,MATCH(9837,'Email Cleaner'!$J$2:$J$10001,0)),"")</f>
        <v/>
      </c>
    </row>
    <row r="9839">
      <c r="A9839">
        <f>IFERROR(INDEX('Email Cleaner'!$B$2:$B$10001,MATCH(9838,'Email Cleaner'!$J$2:$J$10001,0)),"")</f>
        <v/>
      </c>
    </row>
    <row r="9840">
      <c r="A9840">
        <f>IFERROR(INDEX('Email Cleaner'!$B$2:$B$10001,MATCH(9839,'Email Cleaner'!$J$2:$J$10001,0)),"")</f>
        <v/>
      </c>
    </row>
    <row r="9841">
      <c r="A9841">
        <f>IFERROR(INDEX('Email Cleaner'!$B$2:$B$10001,MATCH(9840,'Email Cleaner'!$J$2:$J$10001,0)),"")</f>
        <v/>
      </c>
    </row>
    <row r="9842">
      <c r="A9842">
        <f>IFERROR(INDEX('Email Cleaner'!$B$2:$B$10001,MATCH(9841,'Email Cleaner'!$J$2:$J$10001,0)),"")</f>
        <v/>
      </c>
    </row>
    <row r="9843">
      <c r="A9843">
        <f>IFERROR(INDEX('Email Cleaner'!$B$2:$B$10001,MATCH(9842,'Email Cleaner'!$J$2:$J$10001,0)),"")</f>
        <v/>
      </c>
    </row>
    <row r="9844">
      <c r="A9844">
        <f>IFERROR(INDEX('Email Cleaner'!$B$2:$B$10001,MATCH(9843,'Email Cleaner'!$J$2:$J$10001,0)),"")</f>
        <v/>
      </c>
    </row>
    <row r="9845">
      <c r="A9845">
        <f>IFERROR(INDEX('Email Cleaner'!$B$2:$B$10001,MATCH(9844,'Email Cleaner'!$J$2:$J$10001,0)),"")</f>
        <v/>
      </c>
    </row>
    <row r="9846">
      <c r="A9846">
        <f>IFERROR(INDEX('Email Cleaner'!$B$2:$B$10001,MATCH(9845,'Email Cleaner'!$J$2:$J$10001,0)),"")</f>
        <v/>
      </c>
    </row>
    <row r="9847">
      <c r="A9847">
        <f>IFERROR(INDEX('Email Cleaner'!$B$2:$B$10001,MATCH(9846,'Email Cleaner'!$J$2:$J$10001,0)),"")</f>
        <v/>
      </c>
    </row>
    <row r="9848">
      <c r="A9848">
        <f>IFERROR(INDEX('Email Cleaner'!$B$2:$B$10001,MATCH(9847,'Email Cleaner'!$J$2:$J$10001,0)),"")</f>
        <v/>
      </c>
    </row>
    <row r="9849">
      <c r="A9849">
        <f>IFERROR(INDEX('Email Cleaner'!$B$2:$B$10001,MATCH(9848,'Email Cleaner'!$J$2:$J$10001,0)),"")</f>
        <v/>
      </c>
    </row>
    <row r="9850">
      <c r="A9850">
        <f>IFERROR(INDEX('Email Cleaner'!$B$2:$B$10001,MATCH(9849,'Email Cleaner'!$J$2:$J$10001,0)),"")</f>
        <v/>
      </c>
    </row>
    <row r="9851">
      <c r="A9851">
        <f>IFERROR(INDEX('Email Cleaner'!$B$2:$B$10001,MATCH(9850,'Email Cleaner'!$J$2:$J$10001,0)),"")</f>
        <v/>
      </c>
    </row>
    <row r="9852">
      <c r="A9852">
        <f>IFERROR(INDEX('Email Cleaner'!$B$2:$B$10001,MATCH(9851,'Email Cleaner'!$J$2:$J$10001,0)),"")</f>
        <v/>
      </c>
    </row>
    <row r="9853">
      <c r="A9853">
        <f>IFERROR(INDEX('Email Cleaner'!$B$2:$B$10001,MATCH(9852,'Email Cleaner'!$J$2:$J$10001,0)),"")</f>
        <v/>
      </c>
    </row>
    <row r="9854">
      <c r="A9854">
        <f>IFERROR(INDEX('Email Cleaner'!$B$2:$B$10001,MATCH(9853,'Email Cleaner'!$J$2:$J$10001,0)),"")</f>
        <v/>
      </c>
    </row>
    <row r="9855">
      <c r="A9855">
        <f>IFERROR(INDEX('Email Cleaner'!$B$2:$B$10001,MATCH(9854,'Email Cleaner'!$J$2:$J$10001,0)),"")</f>
        <v/>
      </c>
    </row>
    <row r="9856">
      <c r="A9856">
        <f>IFERROR(INDEX('Email Cleaner'!$B$2:$B$10001,MATCH(9855,'Email Cleaner'!$J$2:$J$10001,0)),"")</f>
        <v/>
      </c>
    </row>
    <row r="9857">
      <c r="A9857">
        <f>IFERROR(INDEX('Email Cleaner'!$B$2:$B$10001,MATCH(9856,'Email Cleaner'!$J$2:$J$10001,0)),"")</f>
        <v/>
      </c>
    </row>
    <row r="9858">
      <c r="A9858">
        <f>IFERROR(INDEX('Email Cleaner'!$B$2:$B$10001,MATCH(9857,'Email Cleaner'!$J$2:$J$10001,0)),"")</f>
        <v/>
      </c>
    </row>
    <row r="9859">
      <c r="A9859">
        <f>IFERROR(INDEX('Email Cleaner'!$B$2:$B$10001,MATCH(9858,'Email Cleaner'!$J$2:$J$10001,0)),"")</f>
        <v/>
      </c>
    </row>
    <row r="9860">
      <c r="A9860">
        <f>IFERROR(INDEX('Email Cleaner'!$B$2:$B$10001,MATCH(9859,'Email Cleaner'!$J$2:$J$10001,0)),"")</f>
        <v/>
      </c>
    </row>
    <row r="9861">
      <c r="A9861">
        <f>IFERROR(INDEX('Email Cleaner'!$B$2:$B$10001,MATCH(9860,'Email Cleaner'!$J$2:$J$10001,0)),"")</f>
        <v/>
      </c>
    </row>
    <row r="9862">
      <c r="A9862">
        <f>IFERROR(INDEX('Email Cleaner'!$B$2:$B$10001,MATCH(9861,'Email Cleaner'!$J$2:$J$10001,0)),"")</f>
        <v/>
      </c>
    </row>
    <row r="9863">
      <c r="A9863">
        <f>IFERROR(INDEX('Email Cleaner'!$B$2:$B$10001,MATCH(9862,'Email Cleaner'!$J$2:$J$10001,0)),"")</f>
        <v/>
      </c>
    </row>
    <row r="9864">
      <c r="A9864">
        <f>IFERROR(INDEX('Email Cleaner'!$B$2:$B$10001,MATCH(9863,'Email Cleaner'!$J$2:$J$10001,0)),"")</f>
        <v/>
      </c>
    </row>
    <row r="9865">
      <c r="A9865">
        <f>IFERROR(INDEX('Email Cleaner'!$B$2:$B$10001,MATCH(9864,'Email Cleaner'!$J$2:$J$10001,0)),"")</f>
        <v/>
      </c>
    </row>
    <row r="9866">
      <c r="A9866">
        <f>IFERROR(INDEX('Email Cleaner'!$B$2:$B$10001,MATCH(9865,'Email Cleaner'!$J$2:$J$10001,0)),"")</f>
        <v/>
      </c>
    </row>
    <row r="9867">
      <c r="A9867">
        <f>IFERROR(INDEX('Email Cleaner'!$B$2:$B$10001,MATCH(9866,'Email Cleaner'!$J$2:$J$10001,0)),"")</f>
        <v/>
      </c>
    </row>
    <row r="9868">
      <c r="A9868">
        <f>IFERROR(INDEX('Email Cleaner'!$B$2:$B$10001,MATCH(9867,'Email Cleaner'!$J$2:$J$10001,0)),"")</f>
        <v/>
      </c>
    </row>
    <row r="9869">
      <c r="A9869">
        <f>IFERROR(INDEX('Email Cleaner'!$B$2:$B$10001,MATCH(9868,'Email Cleaner'!$J$2:$J$10001,0)),"")</f>
        <v/>
      </c>
    </row>
    <row r="9870">
      <c r="A9870">
        <f>IFERROR(INDEX('Email Cleaner'!$B$2:$B$10001,MATCH(9869,'Email Cleaner'!$J$2:$J$10001,0)),"")</f>
        <v/>
      </c>
    </row>
    <row r="9871">
      <c r="A9871">
        <f>IFERROR(INDEX('Email Cleaner'!$B$2:$B$10001,MATCH(9870,'Email Cleaner'!$J$2:$J$10001,0)),"")</f>
        <v/>
      </c>
    </row>
    <row r="9872">
      <c r="A9872">
        <f>IFERROR(INDEX('Email Cleaner'!$B$2:$B$10001,MATCH(9871,'Email Cleaner'!$J$2:$J$10001,0)),"")</f>
        <v/>
      </c>
    </row>
    <row r="9873">
      <c r="A9873">
        <f>IFERROR(INDEX('Email Cleaner'!$B$2:$B$10001,MATCH(9872,'Email Cleaner'!$J$2:$J$10001,0)),"")</f>
        <v/>
      </c>
    </row>
    <row r="9874">
      <c r="A9874">
        <f>IFERROR(INDEX('Email Cleaner'!$B$2:$B$10001,MATCH(9873,'Email Cleaner'!$J$2:$J$10001,0)),"")</f>
        <v/>
      </c>
    </row>
    <row r="9875">
      <c r="A9875">
        <f>IFERROR(INDEX('Email Cleaner'!$B$2:$B$10001,MATCH(9874,'Email Cleaner'!$J$2:$J$10001,0)),"")</f>
        <v/>
      </c>
    </row>
    <row r="9876">
      <c r="A9876">
        <f>IFERROR(INDEX('Email Cleaner'!$B$2:$B$10001,MATCH(9875,'Email Cleaner'!$J$2:$J$10001,0)),"")</f>
        <v/>
      </c>
    </row>
    <row r="9877">
      <c r="A9877">
        <f>IFERROR(INDEX('Email Cleaner'!$B$2:$B$10001,MATCH(9876,'Email Cleaner'!$J$2:$J$10001,0)),"")</f>
        <v/>
      </c>
    </row>
    <row r="9878">
      <c r="A9878">
        <f>IFERROR(INDEX('Email Cleaner'!$B$2:$B$10001,MATCH(9877,'Email Cleaner'!$J$2:$J$10001,0)),"")</f>
        <v/>
      </c>
    </row>
    <row r="9879">
      <c r="A9879">
        <f>IFERROR(INDEX('Email Cleaner'!$B$2:$B$10001,MATCH(9878,'Email Cleaner'!$J$2:$J$10001,0)),"")</f>
        <v/>
      </c>
    </row>
    <row r="9880">
      <c r="A9880">
        <f>IFERROR(INDEX('Email Cleaner'!$B$2:$B$10001,MATCH(9879,'Email Cleaner'!$J$2:$J$10001,0)),"")</f>
        <v/>
      </c>
    </row>
    <row r="9881">
      <c r="A9881">
        <f>IFERROR(INDEX('Email Cleaner'!$B$2:$B$10001,MATCH(9880,'Email Cleaner'!$J$2:$J$10001,0)),"")</f>
        <v/>
      </c>
    </row>
    <row r="9882">
      <c r="A9882">
        <f>IFERROR(INDEX('Email Cleaner'!$B$2:$B$10001,MATCH(9881,'Email Cleaner'!$J$2:$J$10001,0)),"")</f>
        <v/>
      </c>
    </row>
    <row r="9883">
      <c r="A9883">
        <f>IFERROR(INDEX('Email Cleaner'!$B$2:$B$10001,MATCH(9882,'Email Cleaner'!$J$2:$J$10001,0)),"")</f>
        <v/>
      </c>
    </row>
    <row r="9884">
      <c r="A9884">
        <f>IFERROR(INDEX('Email Cleaner'!$B$2:$B$10001,MATCH(9883,'Email Cleaner'!$J$2:$J$10001,0)),"")</f>
        <v/>
      </c>
    </row>
    <row r="9885">
      <c r="A9885">
        <f>IFERROR(INDEX('Email Cleaner'!$B$2:$B$10001,MATCH(9884,'Email Cleaner'!$J$2:$J$10001,0)),"")</f>
        <v/>
      </c>
    </row>
    <row r="9886">
      <c r="A9886">
        <f>IFERROR(INDEX('Email Cleaner'!$B$2:$B$10001,MATCH(9885,'Email Cleaner'!$J$2:$J$10001,0)),"")</f>
        <v/>
      </c>
    </row>
    <row r="9887">
      <c r="A9887">
        <f>IFERROR(INDEX('Email Cleaner'!$B$2:$B$10001,MATCH(9886,'Email Cleaner'!$J$2:$J$10001,0)),"")</f>
        <v/>
      </c>
    </row>
    <row r="9888">
      <c r="A9888">
        <f>IFERROR(INDEX('Email Cleaner'!$B$2:$B$10001,MATCH(9887,'Email Cleaner'!$J$2:$J$10001,0)),"")</f>
        <v/>
      </c>
    </row>
    <row r="9889">
      <c r="A9889">
        <f>IFERROR(INDEX('Email Cleaner'!$B$2:$B$10001,MATCH(9888,'Email Cleaner'!$J$2:$J$10001,0)),"")</f>
        <v/>
      </c>
    </row>
    <row r="9890">
      <c r="A9890">
        <f>IFERROR(INDEX('Email Cleaner'!$B$2:$B$10001,MATCH(9889,'Email Cleaner'!$J$2:$J$10001,0)),"")</f>
        <v/>
      </c>
    </row>
    <row r="9891">
      <c r="A9891">
        <f>IFERROR(INDEX('Email Cleaner'!$B$2:$B$10001,MATCH(9890,'Email Cleaner'!$J$2:$J$10001,0)),"")</f>
        <v/>
      </c>
    </row>
    <row r="9892">
      <c r="A9892">
        <f>IFERROR(INDEX('Email Cleaner'!$B$2:$B$10001,MATCH(9891,'Email Cleaner'!$J$2:$J$10001,0)),"")</f>
        <v/>
      </c>
    </row>
    <row r="9893">
      <c r="A9893">
        <f>IFERROR(INDEX('Email Cleaner'!$B$2:$B$10001,MATCH(9892,'Email Cleaner'!$J$2:$J$10001,0)),"")</f>
        <v/>
      </c>
    </row>
    <row r="9894">
      <c r="A9894">
        <f>IFERROR(INDEX('Email Cleaner'!$B$2:$B$10001,MATCH(9893,'Email Cleaner'!$J$2:$J$10001,0)),"")</f>
        <v/>
      </c>
    </row>
    <row r="9895">
      <c r="A9895">
        <f>IFERROR(INDEX('Email Cleaner'!$B$2:$B$10001,MATCH(9894,'Email Cleaner'!$J$2:$J$10001,0)),"")</f>
        <v/>
      </c>
    </row>
    <row r="9896">
      <c r="A9896">
        <f>IFERROR(INDEX('Email Cleaner'!$B$2:$B$10001,MATCH(9895,'Email Cleaner'!$J$2:$J$10001,0)),"")</f>
        <v/>
      </c>
    </row>
    <row r="9897">
      <c r="A9897">
        <f>IFERROR(INDEX('Email Cleaner'!$B$2:$B$10001,MATCH(9896,'Email Cleaner'!$J$2:$J$10001,0)),"")</f>
        <v/>
      </c>
    </row>
    <row r="9898">
      <c r="A9898">
        <f>IFERROR(INDEX('Email Cleaner'!$B$2:$B$10001,MATCH(9897,'Email Cleaner'!$J$2:$J$10001,0)),"")</f>
        <v/>
      </c>
    </row>
    <row r="9899">
      <c r="A9899">
        <f>IFERROR(INDEX('Email Cleaner'!$B$2:$B$10001,MATCH(9898,'Email Cleaner'!$J$2:$J$10001,0)),"")</f>
        <v/>
      </c>
    </row>
    <row r="9900">
      <c r="A9900">
        <f>IFERROR(INDEX('Email Cleaner'!$B$2:$B$10001,MATCH(9899,'Email Cleaner'!$J$2:$J$10001,0)),"")</f>
        <v/>
      </c>
    </row>
    <row r="9901">
      <c r="A9901">
        <f>IFERROR(INDEX('Email Cleaner'!$B$2:$B$10001,MATCH(9900,'Email Cleaner'!$J$2:$J$10001,0)),"")</f>
        <v/>
      </c>
    </row>
    <row r="9902">
      <c r="A9902">
        <f>IFERROR(INDEX('Email Cleaner'!$B$2:$B$10001,MATCH(9901,'Email Cleaner'!$J$2:$J$10001,0)),"")</f>
        <v/>
      </c>
    </row>
    <row r="9903">
      <c r="A9903">
        <f>IFERROR(INDEX('Email Cleaner'!$B$2:$B$10001,MATCH(9902,'Email Cleaner'!$J$2:$J$10001,0)),"")</f>
        <v/>
      </c>
    </row>
    <row r="9904">
      <c r="A9904">
        <f>IFERROR(INDEX('Email Cleaner'!$B$2:$B$10001,MATCH(9903,'Email Cleaner'!$J$2:$J$10001,0)),"")</f>
        <v/>
      </c>
    </row>
    <row r="9905">
      <c r="A9905">
        <f>IFERROR(INDEX('Email Cleaner'!$B$2:$B$10001,MATCH(9904,'Email Cleaner'!$J$2:$J$10001,0)),"")</f>
        <v/>
      </c>
    </row>
    <row r="9906">
      <c r="A9906">
        <f>IFERROR(INDEX('Email Cleaner'!$B$2:$B$10001,MATCH(9905,'Email Cleaner'!$J$2:$J$10001,0)),"")</f>
        <v/>
      </c>
    </row>
    <row r="9907">
      <c r="A9907">
        <f>IFERROR(INDEX('Email Cleaner'!$B$2:$B$10001,MATCH(9906,'Email Cleaner'!$J$2:$J$10001,0)),"")</f>
        <v/>
      </c>
    </row>
    <row r="9908">
      <c r="A9908">
        <f>IFERROR(INDEX('Email Cleaner'!$B$2:$B$10001,MATCH(9907,'Email Cleaner'!$J$2:$J$10001,0)),"")</f>
        <v/>
      </c>
    </row>
    <row r="9909">
      <c r="A9909">
        <f>IFERROR(INDEX('Email Cleaner'!$B$2:$B$10001,MATCH(9908,'Email Cleaner'!$J$2:$J$10001,0)),"")</f>
        <v/>
      </c>
    </row>
    <row r="9910">
      <c r="A9910">
        <f>IFERROR(INDEX('Email Cleaner'!$B$2:$B$10001,MATCH(9909,'Email Cleaner'!$J$2:$J$10001,0)),"")</f>
        <v/>
      </c>
    </row>
    <row r="9911">
      <c r="A9911">
        <f>IFERROR(INDEX('Email Cleaner'!$B$2:$B$10001,MATCH(9910,'Email Cleaner'!$J$2:$J$10001,0)),"")</f>
        <v/>
      </c>
    </row>
    <row r="9912">
      <c r="A9912">
        <f>IFERROR(INDEX('Email Cleaner'!$B$2:$B$10001,MATCH(9911,'Email Cleaner'!$J$2:$J$10001,0)),"")</f>
        <v/>
      </c>
    </row>
    <row r="9913">
      <c r="A9913">
        <f>IFERROR(INDEX('Email Cleaner'!$B$2:$B$10001,MATCH(9912,'Email Cleaner'!$J$2:$J$10001,0)),"")</f>
        <v/>
      </c>
    </row>
    <row r="9914">
      <c r="A9914">
        <f>IFERROR(INDEX('Email Cleaner'!$B$2:$B$10001,MATCH(9913,'Email Cleaner'!$J$2:$J$10001,0)),"")</f>
        <v/>
      </c>
    </row>
    <row r="9915">
      <c r="A9915">
        <f>IFERROR(INDEX('Email Cleaner'!$B$2:$B$10001,MATCH(9914,'Email Cleaner'!$J$2:$J$10001,0)),"")</f>
        <v/>
      </c>
    </row>
    <row r="9916">
      <c r="A9916">
        <f>IFERROR(INDEX('Email Cleaner'!$B$2:$B$10001,MATCH(9915,'Email Cleaner'!$J$2:$J$10001,0)),"")</f>
        <v/>
      </c>
    </row>
    <row r="9917">
      <c r="A9917">
        <f>IFERROR(INDEX('Email Cleaner'!$B$2:$B$10001,MATCH(9916,'Email Cleaner'!$J$2:$J$10001,0)),"")</f>
        <v/>
      </c>
    </row>
    <row r="9918">
      <c r="A9918">
        <f>IFERROR(INDEX('Email Cleaner'!$B$2:$B$10001,MATCH(9917,'Email Cleaner'!$J$2:$J$10001,0)),"")</f>
        <v/>
      </c>
    </row>
    <row r="9919">
      <c r="A9919">
        <f>IFERROR(INDEX('Email Cleaner'!$B$2:$B$10001,MATCH(9918,'Email Cleaner'!$J$2:$J$10001,0)),"")</f>
        <v/>
      </c>
    </row>
    <row r="9920">
      <c r="A9920">
        <f>IFERROR(INDEX('Email Cleaner'!$B$2:$B$10001,MATCH(9919,'Email Cleaner'!$J$2:$J$10001,0)),"")</f>
        <v/>
      </c>
    </row>
    <row r="9921">
      <c r="A9921">
        <f>IFERROR(INDEX('Email Cleaner'!$B$2:$B$10001,MATCH(9920,'Email Cleaner'!$J$2:$J$10001,0)),"")</f>
        <v/>
      </c>
    </row>
    <row r="9922">
      <c r="A9922">
        <f>IFERROR(INDEX('Email Cleaner'!$B$2:$B$10001,MATCH(9921,'Email Cleaner'!$J$2:$J$10001,0)),"")</f>
        <v/>
      </c>
    </row>
    <row r="9923">
      <c r="A9923">
        <f>IFERROR(INDEX('Email Cleaner'!$B$2:$B$10001,MATCH(9922,'Email Cleaner'!$J$2:$J$10001,0)),"")</f>
        <v/>
      </c>
    </row>
    <row r="9924">
      <c r="A9924">
        <f>IFERROR(INDEX('Email Cleaner'!$B$2:$B$10001,MATCH(9923,'Email Cleaner'!$J$2:$J$10001,0)),"")</f>
        <v/>
      </c>
    </row>
    <row r="9925">
      <c r="A9925">
        <f>IFERROR(INDEX('Email Cleaner'!$B$2:$B$10001,MATCH(9924,'Email Cleaner'!$J$2:$J$10001,0)),"")</f>
        <v/>
      </c>
    </row>
    <row r="9926">
      <c r="A9926">
        <f>IFERROR(INDEX('Email Cleaner'!$B$2:$B$10001,MATCH(9925,'Email Cleaner'!$J$2:$J$10001,0)),"")</f>
        <v/>
      </c>
    </row>
    <row r="9927">
      <c r="A9927">
        <f>IFERROR(INDEX('Email Cleaner'!$B$2:$B$10001,MATCH(9926,'Email Cleaner'!$J$2:$J$10001,0)),"")</f>
        <v/>
      </c>
    </row>
    <row r="9928">
      <c r="A9928">
        <f>IFERROR(INDEX('Email Cleaner'!$B$2:$B$10001,MATCH(9927,'Email Cleaner'!$J$2:$J$10001,0)),"")</f>
        <v/>
      </c>
    </row>
    <row r="9929">
      <c r="A9929">
        <f>IFERROR(INDEX('Email Cleaner'!$B$2:$B$10001,MATCH(9928,'Email Cleaner'!$J$2:$J$10001,0)),"")</f>
        <v/>
      </c>
    </row>
    <row r="9930">
      <c r="A9930">
        <f>IFERROR(INDEX('Email Cleaner'!$B$2:$B$10001,MATCH(9929,'Email Cleaner'!$J$2:$J$10001,0)),"")</f>
        <v/>
      </c>
    </row>
    <row r="9931">
      <c r="A9931">
        <f>IFERROR(INDEX('Email Cleaner'!$B$2:$B$10001,MATCH(9930,'Email Cleaner'!$J$2:$J$10001,0)),"")</f>
        <v/>
      </c>
    </row>
    <row r="9932">
      <c r="A9932">
        <f>IFERROR(INDEX('Email Cleaner'!$B$2:$B$10001,MATCH(9931,'Email Cleaner'!$J$2:$J$10001,0)),"")</f>
        <v/>
      </c>
    </row>
    <row r="9933">
      <c r="A9933">
        <f>IFERROR(INDEX('Email Cleaner'!$B$2:$B$10001,MATCH(9932,'Email Cleaner'!$J$2:$J$10001,0)),"")</f>
        <v/>
      </c>
    </row>
    <row r="9934">
      <c r="A9934">
        <f>IFERROR(INDEX('Email Cleaner'!$B$2:$B$10001,MATCH(9933,'Email Cleaner'!$J$2:$J$10001,0)),"")</f>
        <v/>
      </c>
    </row>
    <row r="9935">
      <c r="A9935">
        <f>IFERROR(INDEX('Email Cleaner'!$B$2:$B$10001,MATCH(9934,'Email Cleaner'!$J$2:$J$10001,0)),"")</f>
        <v/>
      </c>
    </row>
    <row r="9936">
      <c r="A9936">
        <f>IFERROR(INDEX('Email Cleaner'!$B$2:$B$10001,MATCH(9935,'Email Cleaner'!$J$2:$J$10001,0)),"")</f>
        <v/>
      </c>
    </row>
    <row r="9937">
      <c r="A9937">
        <f>IFERROR(INDEX('Email Cleaner'!$B$2:$B$10001,MATCH(9936,'Email Cleaner'!$J$2:$J$10001,0)),"")</f>
        <v/>
      </c>
    </row>
    <row r="9938">
      <c r="A9938">
        <f>IFERROR(INDEX('Email Cleaner'!$B$2:$B$10001,MATCH(9937,'Email Cleaner'!$J$2:$J$10001,0)),"")</f>
        <v/>
      </c>
    </row>
    <row r="9939">
      <c r="A9939">
        <f>IFERROR(INDEX('Email Cleaner'!$B$2:$B$10001,MATCH(9938,'Email Cleaner'!$J$2:$J$10001,0)),"")</f>
        <v/>
      </c>
    </row>
    <row r="9940">
      <c r="A9940">
        <f>IFERROR(INDEX('Email Cleaner'!$B$2:$B$10001,MATCH(9939,'Email Cleaner'!$J$2:$J$10001,0)),"")</f>
        <v/>
      </c>
    </row>
    <row r="9941">
      <c r="A9941">
        <f>IFERROR(INDEX('Email Cleaner'!$B$2:$B$10001,MATCH(9940,'Email Cleaner'!$J$2:$J$10001,0)),"")</f>
        <v/>
      </c>
    </row>
    <row r="9942">
      <c r="A9942">
        <f>IFERROR(INDEX('Email Cleaner'!$B$2:$B$10001,MATCH(9941,'Email Cleaner'!$J$2:$J$10001,0)),"")</f>
        <v/>
      </c>
    </row>
    <row r="9943">
      <c r="A9943">
        <f>IFERROR(INDEX('Email Cleaner'!$B$2:$B$10001,MATCH(9942,'Email Cleaner'!$J$2:$J$10001,0)),"")</f>
        <v/>
      </c>
    </row>
    <row r="9944">
      <c r="A9944">
        <f>IFERROR(INDEX('Email Cleaner'!$B$2:$B$10001,MATCH(9943,'Email Cleaner'!$J$2:$J$10001,0)),"")</f>
        <v/>
      </c>
    </row>
    <row r="9945">
      <c r="A9945">
        <f>IFERROR(INDEX('Email Cleaner'!$B$2:$B$10001,MATCH(9944,'Email Cleaner'!$J$2:$J$10001,0)),"")</f>
        <v/>
      </c>
    </row>
    <row r="9946">
      <c r="A9946">
        <f>IFERROR(INDEX('Email Cleaner'!$B$2:$B$10001,MATCH(9945,'Email Cleaner'!$J$2:$J$10001,0)),"")</f>
        <v/>
      </c>
    </row>
    <row r="9947">
      <c r="A9947">
        <f>IFERROR(INDEX('Email Cleaner'!$B$2:$B$10001,MATCH(9946,'Email Cleaner'!$J$2:$J$10001,0)),"")</f>
        <v/>
      </c>
    </row>
    <row r="9948">
      <c r="A9948">
        <f>IFERROR(INDEX('Email Cleaner'!$B$2:$B$10001,MATCH(9947,'Email Cleaner'!$J$2:$J$10001,0)),"")</f>
        <v/>
      </c>
    </row>
    <row r="9949">
      <c r="A9949">
        <f>IFERROR(INDEX('Email Cleaner'!$B$2:$B$10001,MATCH(9948,'Email Cleaner'!$J$2:$J$10001,0)),"")</f>
        <v/>
      </c>
    </row>
    <row r="9950">
      <c r="A9950">
        <f>IFERROR(INDEX('Email Cleaner'!$B$2:$B$10001,MATCH(9949,'Email Cleaner'!$J$2:$J$10001,0)),"")</f>
        <v/>
      </c>
    </row>
    <row r="9951">
      <c r="A9951">
        <f>IFERROR(INDEX('Email Cleaner'!$B$2:$B$10001,MATCH(9950,'Email Cleaner'!$J$2:$J$10001,0)),"")</f>
        <v/>
      </c>
    </row>
    <row r="9952">
      <c r="A9952">
        <f>IFERROR(INDEX('Email Cleaner'!$B$2:$B$10001,MATCH(9951,'Email Cleaner'!$J$2:$J$10001,0)),"")</f>
        <v/>
      </c>
    </row>
    <row r="9953">
      <c r="A9953">
        <f>IFERROR(INDEX('Email Cleaner'!$B$2:$B$10001,MATCH(9952,'Email Cleaner'!$J$2:$J$10001,0)),"")</f>
        <v/>
      </c>
    </row>
    <row r="9954">
      <c r="A9954">
        <f>IFERROR(INDEX('Email Cleaner'!$B$2:$B$10001,MATCH(9953,'Email Cleaner'!$J$2:$J$10001,0)),"")</f>
        <v/>
      </c>
    </row>
    <row r="9955">
      <c r="A9955">
        <f>IFERROR(INDEX('Email Cleaner'!$B$2:$B$10001,MATCH(9954,'Email Cleaner'!$J$2:$J$10001,0)),"")</f>
        <v/>
      </c>
    </row>
    <row r="9956">
      <c r="A9956">
        <f>IFERROR(INDEX('Email Cleaner'!$B$2:$B$10001,MATCH(9955,'Email Cleaner'!$J$2:$J$10001,0)),"")</f>
        <v/>
      </c>
    </row>
    <row r="9957">
      <c r="A9957">
        <f>IFERROR(INDEX('Email Cleaner'!$B$2:$B$10001,MATCH(9956,'Email Cleaner'!$J$2:$J$10001,0)),"")</f>
        <v/>
      </c>
    </row>
    <row r="9958">
      <c r="A9958">
        <f>IFERROR(INDEX('Email Cleaner'!$B$2:$B$10001,MATCH(9957,'Email Cleaner'!$J$2:$J$10001,0)),"")</f>
        <v/>
      </c>
    </row>
    <row r="9959">
      <c r="A9959">
        <f>IFERROR(INDEX('Email Cleaner'!$B$2:$B$10001,MATCH(9958,'Email Cleaner'!$J$2:$J$10001,0)),"")</f>
        <v/>
      </c>
    </row>
    <row r="9960">
      <c r="A9960">
        <f>IFERROR(INDEX('Email Cleaner'!$B$2:$B$10001,MATCH(9959,'Email Cleaner'!$J$2:$J$10001,0)),"")</f>
        <v/>
      </c>
    </row>
    <row r="9961">
      <c r="A9961">
        <f>IFERROR(INDEX('Email Cleaner'!$B$2:$B$10001,MATCH(9960,'Email Cleaner'!$J$2:$J$10001,0)),"")</f>
        <v/>
      </c>
    </row>
    <row r="9962">
      <c r="A9962">
        <f>IFERROR(INDEX('Email Cleaner'!$B$2:$B$10001,MATCH(9961,'Email Cleaner'!$J$2:$J$10001,0)),"")</f>
        <v/>
      </c>
    </row>
    <row r="9963">
      <c r="A9963">
        <f>IFERROR(INDEX('Email Cleaner'!$B$2:$B$10001,MATCH(9962,'Email Cleaner'!$J$2:$J$10001,0)),"")</f>
        <v/>
      </c>
    </row>
    <row r="9964">
      <c r="A9964">
        <f>IFERROR(INDEX('Email Cleaner'!$B$2:$B$10001,MATCH(9963,'Email Cleaner'!$J$2:$J$10001,0)),"")</f>
        <v/>
      </c>
    </row>
    <row r="9965">
      <c r="A9965">
        <f>IFERROR(INDEX('Email Cleaner'!$B$2:$B$10001,MATCH(9964,'Email Cleaner'!$J$2:$J$10001,0)),"")</f>
        <v/>
      </c>
    </row>
    <row r="9966">
      <c r="A9966">
        <f>IFERROR(INDEX('Email Cleaner'!$B$2:$B$10001,MATCH(9965,'Email Cleaner'!$J$2:$J$10001,0)),"")</f>
        <v/>
      </c>
    </row>
    <row r="9967">
      <c r="A9967">
        <f>IFERROR(INDEX('Email Cleaner'!$B$2:$B$10001,MATCH(9966,'Email Cleaner'!$J$2:$J$10001,0)),"")</f>
        <v/>
      </c>
    </row>
    <row r="9968">
      <c r="A9968">
        <f>IFERROR(INDEX('Email Cleaner'!$B$2:$B$10001,MATCH(9967,'Email Cleaner'!$J$2:$J$10001,0)),"")</f>
        <v/>
      </c>
    </row>
    <row r="9969">
      <c r="A9969">
        <f>IFERROR(INDEX('Email Cleaner'!$B$2:$B$10001,MATCH(9968,'Email Cleaner'!$J$2:$J$10001,0)),"")</f>
        <v/>
      </c>
    </row>
    <row r="9970">
      <c r="A9970">
        <f>IFERROR(INDEX('Email Cleaner'!$B$2:$B$10001,MATCH(9969,'Email Cleaner'!$J$2:$J$10001,0)),"")</f>
        <v/>
      </c>
    </row>
    <row r="9971">
      <c r="A9971">
        <f>IFERROR(INDEX('Email Cleaner'!$B$2:$B$10001,MATCH(9970,'Email Cleaner'!$J$2:$J$10001,0)),"")</f>
        <v/>
      </c>
    </row>
    <row r="9972">
      <c r="A9972">
        <f>IFERROR(INDEX('Email Cleaner'!$B$2:$B$10001,MATCH(9971,'Email Cleaner'!$J$2:$J$10001,0)),"")</f>
        <v/>
      </c>
    </row>
    <row r="9973">
      <c r="A9973">
        <f>IFERROR(INDEX('Email Cleaner'!$B$2:$B$10001,MATCH(9972,'Email Cleaner'!$J$2:$J$10001,0)),"")</f>
        <v/>
      </c>
    </row>
    <row r="9974">
      <c r="A9974">
        <f>IFERROR(INDEX('Email Cleaner'!$B$2:$B$10001,MATCH(9973,'Email Cleaner'!$J$2:$J$10001,0)),"")</f>
        <v/>
      </c>
    </row>
    <row r="9975">
      <c r="A9975">
        <f>IFERROR(INDEX('Email Cleaner'!$B$2:$B$10001,MATCH(9974,'Email Cleaner'!$J$2:$J$10001,0)),"")</f>
        <v/>
      </c>
    </row>
    <row r="9976">
      <c r="A9976">
        <f>IFERROR(INDEX('Email Cleaner'!$B$2:$B$10001,MATCH(9975,'Email Cleaner'!$J$2:$J$10001,0)),"")</f>
        <v/>
      </c>
    </row>
    <row r="9977">
      <c r="A9977">
        <f>IFERROR(INDEX('Email Cleaner'!$B$2:$B$10001,MATCH(9976,'Email Cleaner'!$J$2:$J$10001,0)),"")</f>
        <v/>
      </c>
    </row>
    <row r="9978">
      <c r="A9978">
        <f>IFERROR(INDEX('Email Cleaner'!$B$2:$B$10001,MATCH(9977,'Email Cleaner'!$J$2:$J$10001,0)),"")</f>
        <v/>
      </c>
    </row>
    <row r="9979">
      <c r="A9979">
        <f>IFERROR(INDEX('Email Cleaner'!$B$2:$B$10001,MATCH(9978,'Email Cleaner'!$J$2:$J$10001,0)),"")</f>
        <v/>
      </c>
    </row>
    <row r="9980">
      <c r="A9980">
        <f>IFERROR(INDEX('Email Cleaner'!$B$2:$B$10001,MATCH(9979,'Email Cleaner'!$J$2:$J$10001,0)),"")</f>
        <v/>
      </c>
    </row>
    <row r="9981">
      <c r="A9981">
        <f>IFERROR(INDEX('Email Cleaner'!$B$2:$B$10001,MATCH(9980,'Email Cleaner'!$J$2:$J$10001,0)),"")</f>
        <v/>
      </c>
    </row>
    <row r="9982">
      <c r="A9982">
        <f>IFERROR(INDEX('Email Cleaner'!$B$2:$B$10001,MATCH(9981,'Email Cleaner'!$J$2:$J$10001,0)),"")</f>
        <v/>
      </c>
    </row>
    <row r="9983">
      <c r="A9983">
        <f>IFERROR(INDEX('Email Cleaner'!$B$2:$B$10001,MATCH(9982,'Email Cleaner'!$J$2:$J$10001,0)),"")</f>
        <v/>
      </c>
    </row>
    <row r="9984">
      <c r="A9984">
        <f>IFERROR(INDEX('Email Cleaner'!$B$2:$B$10001,MATCH(9983,'Email Cleaner'!$J$2:$J$10001,0)),"")</f>
        <v/>
      </c>
    </row>
    <row r="9985">
      <c r="A9985">
        <f>IFERROR(INDEX('Email Cleaner'!$B$2:$B$10001,MATCH(9984,'Email Cleaner'!$J$2:$J$10001,0)),"")</f>
        <v/>
      </c>
    </row>
    <row r="9986">
      <c r="A9986">
        <f>IFERROR(INDEX('Email Cleaner'!$B$2:$B$10001,MATCH(9985,'Email Cleaner'!$J$2:$J$10001,0)),"")</f>
        <v/>
      </c>
    </row>
    <row r="9987">
      <c r="A9987">
        <f>IFERROR(INDEX('Email Cleaner'!$B$2:$B$10001,MATCH(9986,'Email Cleaner'!$J$2:$J$10001,0)),"")</f>
        <v/>
      </c>
    </row>
    <row r="9988">
      <c r="A9988">
        <f>IFERROR(INDEX('Email Cleaner'!$B$2:$B$10001,MATCH(9987,'Email Cleaner'!$J$2:$J$10001,0)),"")</f>
        <v/>
      </c>
    </row>
    <row r="9989">
      <c r="A9989">
        <f>IFERROR(INDEX('Email Cleaner'!$B$2:$B$10001,MATCH(9988,'Email Cleaner'!$J$2:$J$10001,0)),"")</f>
        <v/>
      </c>
    </row>
    <row r="9990">
      <c r="A9990">
        <f>IFERROR(INDEX('Email Cleaner'!$B$2:$B$10001,MATCH(9989,'Email Cleaner'!$J$2:$J$10001,0)),"")</f>
        <v/>
      </c>
    </row>
    <row r="9991">
      <c r="A9991">
        <f>IFERROR(INDEX('Email Cleaner'!$B$2:$B$10001,MATCH(9990,'Email Cleaner'!$J$2:$J$10001,0)),"")</f>
        <v/>
      </c>
    </row>
    <row r="9992">
      <c r="A9992">
        <f>IFERROR(INDEX('Email Cleaner'!$B$2:$B$10001,MATCH(9991,'Email Cleaner'!$J$2:$J$10001,0)),"")</f>
        <v/>
      </c>
    </row>
    <row r="9993">
      <c r="A9993">
        <f>IFERROR(INDEX('Email Cleaner'!$B$2:$B$10001,MATCH(9992,'Email Cleaner'!$J$2:$J$10001,0)),"")</f>
        <v/>
      </c>
    </row>
    <row r="9994">
      <c r="A9994">
        <f>IFERROR(INDEX('Email Cleaner'!$B$2:$B$10001,MATCH(9993,'Email Cleaner'!$J$2:$J$10001,0)),"")</f>
        <v/>
      </c>
    </row>
    <row r="9995">
      <c r="A9995">
        <f>IFERROR(INDEX('Email Cleaner'!$B$2:$B$10001,MATCH(9994,'Email Cleaner'!$J$2:$J$10001,0)),"")</f>
        <v/>
      </c>
    </row>
    <row r="9996">
      <c r="A9996">
        <f>IFERROR(INDEX('Email Cleaner'!$B$2:$B$10001,MATCH(9995,'Email Cleaner'!$J$2:$J$10001,0)),"")</f>
        <v/>
      </c>
    </row>
    <row r="9997">
      <c r="A9997">
        <f>IFERROR(INDEX('Email Cleaner'!$B$2:$B$10001,MATCH(9996,'Email Cleaner'!$J$2:$J$10001,0)),"")</f>
        <v/>
      </c>
    </row>
    <row r="9998">
      <c r="A9998">
        <f>IFERROR(INDEX('Email Cleaner'!$B$2:$B$10001,MATCH(9997,'Email Cleaner'!$J$2:$J$10001,0)),"")</f>
        <v/>
      </c>
    </row>
    <row r="9999">
      <c r="A9999">
        <f>IFERROR(INDEX('Email Cleaner'!$B$2:$B$10001,MATCH(9998,'Email Cleaner'!$J$2:$J$10001,0)),"")</f>
        <v/>
      </c>
    </row>
    <row r="10000">
      <c r="A10000">
        <f>IFERROR(INDEX('Email Cleaner'!$B$2:$B$10001,MATCH(9999,'Email Cleaner'!$J$2:$J$10001,0)),"")</f>
        <v/>
      </c>
    </row>
    <row r="10001">
      <c r="A10001">
        <f>IFERROR(INDEX('Email Cleaner'!$B$2:$B$10001,MATCH(10000,'Email Cleaner'!$J$2:$J$10001,0)),"")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0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Copy Domain Emails From Here</t>
        </is>
      </c>
    </row>
    <row r="2">
      <c r="A2">
        <f>IFERROR(INDEX('Email Cleaner'!$B$2:$B$10001,MATCH(1,'Email Cleaner'!$K$2:$K$10001,0)),"")</f>
        <v/>
      </c>
    </row>
    <row r="3">
      <c r="A3">
        <f>IFERROR(INDEX('Email Cleaner'!$B$2:$B$10001,MATCH(2,'Email Cleaner'!$K$2:$K$10001,0)),"")</f>
        <v/>
      </c>
    </row>
    <row r="4">
      <c r="A4">
        <f>IFERROR(INDEX('Email Cleaner'!$B$2:$B$10001,MATCH(3,'Email Cleaner'!$K$2:$K$10001,0)),"")</f>
        <v/>
      </c>
    </row>
    <row r="5">
      <c r="A5">
        <f>IFERROR(INDEX('Email Cleaner'!$B$2:$B$10001,MATCH(4,'Email Cleaner'!$K$2:$K$10001,0)),"")</f>
        <v/>
      </c>
    </row>
    <row r="6">
      <c r="A6">
        <f>IFERROR(INDEX('Email Cleaner'!$B$2:$B$10001,MATCH(5,'Email Cleaner'!$K$2:$K$10001,0)),"")</f>
        <v/>
      </c>
    </row>
    <row r="7">
      <c r="A7">
        <f>IFERROR(INDEX('Email Cleaner'!$B$2:$B$10001,MATCH(6,'Email Cleaner'!$K$2:$K$10001,0)),"")</f>
        <v/>
      </c>
    </row>
    <row r="8">
      <c r="A8">
        <f>IFERROR(INDEX('Email Cleaner'!$B$2:$B$10001,MATCH(7,'Email Cleaner'!$K$2:$K$10001,0)),"")</f>
        <v/>
      </c>
    </row>
    <row r="9">
      <c r="A9">
        <f>IFERROR(INDEX('Email Cleaner'!$B$2:$B$10001,MATCH(8,'Email Cleaner'!$K$2:$K$10001,0)),"")</f>
        <v/>
      </c>
    </row>
    <row r="10">
      <c r="A10">
        <f>IFERROR(INDEX('Email Cleaner'!$B$2:$B$10001,MATCH(9,'Email Cleaner'!$K$2:$K$10001,0)),"")</f>
        <v/>
      </c>
    </row>
    <row r="11">
      <c r="A11">
        <f>IFERROR(INDEX('Email Cleaner'!$B$2:$B$10001,MATCH(10,'Email Cleaner'!$K$2:$K$10001,0)),"")</f>
        <v/>
      </c>
    </row>
    <row r="12">
      <c r="A12">
        <f>IFERROR(INDEX('Email Cleaner'!$B$2:$B$10001,MATCH(11,'Email Cleaner'!$K$2:$K$10001,0)),"")</f>
        <v/>
      </c>
    </row>
    <row r="13">
      <c r="A13">
        <f>IFERROR(INDEX('Email Cleaner'!$B$2:$B$10001,MATCH(12,'Email Cleaner'!$K$2:$K$10001,0)),"")</f>
        <v/>
      </c>
    </row>
    <row r="14">
      <c r="A14">
        <f>IFERROR(INDEX('Email Cleaner'!$B$2:$B$10001,MATCH(13,'Email Cleaner'!$K$2:$K$10001,0)),"")</f>
        <v/>
      </c>
    </row>
    <row r="15">
      <c r="A15">
        <f>IFERROR(INDEX('Email Cleaner'!$B$2:$B$10001,MATCH(14,'Email Cleaner'!$K$2:$K$10001,0)),"")</f>
        <v/>
      </c>
    </row>
    <row r="16">
      <c r="A16">
        <f>IFERROR(INDEX('Email Cleaner'!$B$2:$B$10001,MATCH(15,'Email Cleaner'!$K$2:$K$10001,0)),"")</f>
        <v/>
      </c>
    </row>
    <row r="17">
      <c r="A17">
        <f>IFERROR(INDEX('Email Cleaner'!$B$2:$B$10001,MATCH(16,'Email Cleaner'!$K$2:$K$10001,0)),"")</f>
        <v/>
      </c>
    </row>
    <row r="18">
      <c r="A18">
        <f>IFERROR(INDEX('Email Cleaner'!$B$2:$B$10001,MATCH(17,'Email Cleaner'!$K$2:$K$10001,0)),"")</f>
        <v/>
      </c>
    </row>
    <row r="19">
      <c r="A19">
        <f>IFERROR(INDEX('Email Cleaner'!$B$2:$B$10001,MATCH(18,'Email Cleaner'!$K$2:$K$10001,0)),"")</f>
        <v/>
      </c>
    </row>
    <row r="20">
      <c r="A20">
        <f>IFERROR(INDEX('Email Cleaner'!$B$2:$B$10001,MATCH(19,'Email Cleaner'!$K$2:$K$10001,0)),"")</f>
        <v/>
      </c>
    </row>
    <row r="21">
      <c r="A21">
        <f>IFERROR(INDEX('Email Cleaner'!$B$2:$B$10001,MATCH(20,'Email Cleaner'!$K$2:$K$10001,0)),"")</f>
        <v/>
      </c>
    </row>
    <row r="22">
      <c r="A22">
        <f>IFERROR(INDEX('Email Cleaner'!$B$2:$B$10001,MATCH(21,'Email Cleaner'!$K$2:$K$10001,0)),"")</f>
        <v/>
      </c>
    </row>
    <row r="23">
      <c r="A23">
        <f>IFERROR(INDEX('Email Cleaner'!$B$2:$B$10001,MATCH(22,'Email Cleaner'!$K$2:$K$10001,0)),"")</f>
        <v/>
      </c>
    </row>
    <row r="24">
      <c r="A24">
        <f>IFERROR(INDEX('Email Cleaner'!$B$2:$B$10001,MATCH(23,'Email Cleaner'!$K$2:$K$10001,0)),"")</f>
        <v/>
      </c>
    </row>
    <row r="25">
      <c r="A25">
        <f>IFERROR(INDEX('Email Cleaner'!$B$2:$B$10001,MATCH(24,'Email Cleaner'!$K$2:$K$10001,0)),"")</f>
        <v/>
      </c>
    </row>
    <row r="26">
      <c r="A26">
        <f>IFERROR(INDEX('Email Cleaner'!$B$2:$B$10001,MATCH(25,'Email Cleaner'!$K$2:$K$10001,0)),"")</f>
        <v/>
      </c>
    </row>
    <row r="27">
      <c r="A27">
        <f>IFERROR(INDEX('Email Cleaner'!$B$2:$B$10001,MATCH(26,'Email Cleaner'!$K$2:$K$10001,0)),"")</f>
        <v/>
      </c>
    </row>
    <row r="28">
      <c r="A28">
        <f>IFERROR(INDEX('Email Cleaner'!$B$2:$B$10001,MATCH(27,'Email Cleaner'!$K$2:$K$10001,0)),"")</f>
        <v/>
      </c>
    </row>
    <row r="29">
      <c r="A29">
        <f>IFERROR(INDEX('Email Cleaner'!$B$2:$B$10001,MATCH(28,'Email Cleaner'!$K$2:$K$10001,0)),"")</f>
        <v/>
      </c>
    </row>
    <row r="30">
      <c r="A30">
        <f>IFERROR(INDEX('Email Cleaner'!$B$2:$B$10001,MATCH(29,'Email Cleaner'!$K$2:$K$10001,0)),"")</f>
        <v/>
      </c>
    </row>
    <row r="31">
      <c r="A31">
        <f>IFERROR(INDEX('Email Cleaner'!$B$2:$B$10001,MATCH(30,'Email Cleaner'!$K$2:$K$10001,0)),"")</f>
        <v/>
      </c>
    </row>
    <row r="32">
      <c r="A32">
        <f>IFERROR(INDEX('Email Cleaner'!$B$2:$B$10001,MATCH(31,'Email Cleaner'!$K$2:$K$10001,0)),"")</f>
        <v/>
      </c>
    </row>
    <row r="33">
      <c r="A33">
        <f>IFERROR(INDEX('Email Cleaner'!$B$2:$B$10001,MATCH(32,'Email Cleaner'!$K$2:$K$10001,0)),"")</f>
        <v/>
      </c>
    </row>
    <row r="34">
      <c r="A34">
        <f>IFERROR(INDEX('Email Cleaner'!$B$2:$B$10001,MATCH(33,'Email Cleaner'!$K$2:$K$10001,0)),"")</f>
        <v/>
      </c>
    </row>
    <row r="35">
      <c r="A35">
        <f>IFERROR(INDEX('Email Cleaner'!$B$2:$B$10001,MATCH(34,'Email Cleaner'!$K$2:$K$10001,0)),"")</f>
        <v/>
      </c>
    </row>
    <row r="36">
      <c r="A36">
        <f>IFERROR(INDEX('Email Cleaner'!$B$2:$B$10001,MATCH(35,'Email Cleaner'!$K$2:$K$10001,0)),"")</f>
        <v/>
      </c>
    </row>
    <row r="37">
      <c r="A37">
        <f>IFERROR(INDEX('Email Cleaner'!$B$2:$B$10001,MATCH(36,'Email Cleaner'!$K$2:$K$10001,0)),"")</f>
        <v/>
      </c>
    </row>
    <row r="38">
      <c r="A38">
        <f>IFERROR(INDEX('Email Cleaner'!$B$2:$B$10001,MATCH(37,'Email Cleaner'!$K$2:$K$10001,0)),"")</f>
        <v/>
      </c>
    </row>
    <row r="39">
      <c r="A39">
        <f>IFERROR(INDEX('Email Cleaner'!$B$2:$B$10001,MATCH(38,'Email Cleaner'!$K$2:$K$10001,0)),"")</f>
        <v/>
      </c>
    </row>
    <row r="40">
      <c r="A40">
        <f>IFERROR(INDEX('Email Cleaner'!$B$2:$B$10001,MATCH(39,'Email Cleaner'!$K$2:$K$10001,0)),"")</f>
        <v/>
      </c>
    </row>
    <row r="41">
      <c r="A41">
        <f>IFERROR(INDEX('Email Cleaner'!$B$2:$B$10001,MATCH(40,'Email Cleaner'!$K$2:$K$10001,0)),"")</f>
        <v/>
      </c>
    </row>
    <row r="42">
      <c r="A42">
        <f>IFERROR(INDEX('Email Cleaner'!$B$2:$B$10001,MATCH(41,'Email Cleaner'!$K$2:$K$10001,0)),"")</f>
        <v/>
      </c>
    </row>
    <row r="43">
      <c r="A43">
        <f>IFERROR(INDEX('Email Cleaner'!$B$2:$B$10001,MATCH(42,'Email Cleaner'!$K$2:$K$10001,0)),"")</f>
        <v/>
      </c>
    </row>
    <row r="44">
      <c r="A44">
        <f>IFERROR(INDEX('Email Cleaner'!$B$2:$B$10001,MATCH(43,'Email Cleaner'!$K$2:$K$10001,0)),"")</f>
        <v/>
      </c>
    </row>
    <row r="45">
      <c r="A45">
        <f>IFERROR(INDEX('Email Cleaner'!$B$2:$B$10001,MATCH(44,'Email Cleaner'!$K$2:$K$10001,0)),"")</f>
        <v/>
      </c>
    </row>
    <row r="46">
      <c r="A46">
        <f>IFERROR(INDEX('Email Cleaner'!$B$2:$B$10001,MATCH(45,'Email Cleaner'!$K$2:$K$10001,0)),"")</f>
        <v/>
      </c>
    </row>
    <row r="47">
      <c r="A47">
        <f>IFERROR(INDEX('Email Cleaner'!$B$2:$B$10001,MATCH(46,'Email Cleaner'!$K$2:$K$10001,0)),"")</f>
        <v/>
      </c>
    </row>
    <row r="48">
      <c r="A48">
        <f>IFERROR(INDEX('Email Cleaner'!$B$2:$B$10001,MATCH(47,'Email Cleaner'!$K$2:$K$10001,0)),"")</f>
        <v/>
      </c>
    </row>
    <row r="49">
      <c r="A49">
        <f>IFERROR(INDEX('Email Cleaner'!$B$2:$B$10001,MATCH(48,'Email Cleaner'!$K$2:$K$10001,0)),"")</f>
        <v/>
      </c>
    </row>
    <row r="50">
      <c r="A50">
        <f>IFERROR(INDEX('Email Cleaner'!$B$2:$B$10001,MATCH(49,'Email Cleaner'!$K$2:$K$10001,0)),"")</f>
        <v/>
      </c>
    </row>
    <row r="51">
      <c r="A51">
        <f>IFERROR(INDEX('Email Cleaner'!$B$2:$B$10001,MATCH(50,'Email Cleaner'!$K$2:$K$10001,0)),"")</f>
        <v/>
      </c>
    </row>
    <row r="52">
      <c r="A52">
        <f>IFERROR(INDEX('Email Cleaner'!$B$2:$B$10001,MATCH(51,'Email Cleaner'!$K$2:$K$10001,0)),"")</f>
        <v/>
      </c>
    </row>
    <row r="53">
      <c r="A53">
        <f>IFERROR(INDEX('Email Cleaner'!$B$2:$B$10001,MATCH(52,'Email Cleaner'!$K$2:$K$10001,0)),"")</f>
        <v/>
      </c>
    </row>
    <row r="54">
      <c r="A54">
        <f>IFERROR(INDEX('Email Cleaner'!$B$2:$B$10001,MATCH(53,'Email Cleaner'!$K$2:$K$10001,0)),"")</f>
        <v/>
      </c>
    </row>
    <row r="55">
      <c r="A55">
        <f>IFERROR(INDEX('Email Cleaner'!$B$2:$B$10001,MATCH(54,'Email Cleaner'!$K$2:$K$10001,0)),"")</f>
        <v/>
      </c>
    </row>
    <row r="56">
      <c r="A56">
        <f>IFERROR(INDEX('Email Cleaner'!$B$2:$B$10001,MATCH(55,'Email Cleaner'!$K$2:$K$10001,0)),"")</f>
        <v/>
      </c>
    </row>
    <row r="57">
      <c r="A57">
        <f>IFERROR(INDEX('Email Cleaner'!$B$2:$B$10001,MATCH(56,'Email Cleaner'!$K$2:$K$10001,0)),"")</f>
        <v/>
      </c>
    </row>
    <row r="58">
      <c r="A58">
        <f>IFERROR(INDEX('Email Cleaner'!$B$2:$B$10001,MATCH(57,'Email Cleaner'!$K$2:$K$10001,0)),"")</f>
        <v/>
      </c>
    </row>
    <row r="59">
      <c r="A59">
        <f>IFERROR(INDEX('Email Cleaner'!$B$2:$B$10001,MATCH(58,'Email Cleaner'!$K$2:$K$10001,0)),"")</f>
        <v/>
      </c>
    </row>
    <row r="60">
      <c r="A60">
        <f>IFERROR(INDEX('Email Cleaner'!$B$2:$B$10001,MATCH(59,'Email Cleaner'!$K$2:$K$10001,0)),"")</f>
        <v/>
      </c>
    </row>
    <row r="61">
      <c r="A61">
        <f>IFERROR(INDEX('Email Cleaner'!$B$2:$B$10001,MATCH(60,'Email Cleaner'!$K$2:$K$10001,0)),"")</f>
        <v/>
      </c>
    </row>
    <row r="62">
      <c r="A62">
        <f>IFERROR(INDEX('Email Cleaner'!$B$2:$B$10001,MATCH(61,'Email Cleaner'!$K$2:$K$10001,0)),"")</f>
        <v/>
      </c>
    </row>
    <row r="63">
      <c r="A63">
        <f>IFERROR(INDEX('Email Cleaner'!$B$2:$B$10001,MATCH(62,'Email Cleaner'!$K$2:$K$10001,0)),"")</f>
        <v/>
      </c>
    </row>
    <row r="64">
      <c r="A64">
        <f>IFERROR(INDEX('Email Cleaner'!$B$2:$B$10001,MATCH(63,'Email Cleaner'!$K$2:$K$10001,0)),"")</f>
        <v/>
      </c>
    </row>
    <row r="65">
      <c r="A65">
        <f>IFERROR(INDEX('Email Cleaner'!$B$2:$B$10001,MATCH(64,'Email Cleaner'!$K$2:$K$10001,0)),"")</f>
        <v/>
      </c>
    </row>
    <row r="66">
      <c r="A66">
        <f>IFERROR(INDEX('Email Cleaner'!$B$2:$B$10001,MATCH(65,'Email Cleaner'!$K$2:$K$10001,0)),"")</f>
        <v/>
      </c>
    </row>
    <row r="67">
      <c r="A67">
        <f>IFERROR(INDEX('Email Cleaner'!$B$2:$B$10001,MATCH(66,'Email Cleaner'!$K$2:$K$10001,0)),"")</f>
        <v/>
      </c>
    </row>
    <row r="68">
      <c r="A68">
        <f>IFERROR(INDEX('Email Cleaner'!$B$2:$B$10001,MATCH(67,'Email Cleaner'!$K$2:$K$10001,0)),"")</f>
        <v/>
      </c>
    </row>
    <row r="69">
      <c r="A69">
        <f>IFERROR(INDEX('Email Cleaner'!$B$2:$B$10001,MATCH(68,'Email Cleaner'!$K$2:$K$10001,0)),"")</f>
        <v/>
      </c>
    </row>
    <row r="70">
      <c r="A70">
        <f>IFERROR(INDEX('Email Cleaner'!$B$2:$B$10001,MATCH(69,'Email Cleaner'!$K$2:$K$10001,0)),"")</f>
        <v/>
      </c>
    </row>
    <row r="71">
      <c r="A71">
        <f>IFERROR(INDEX('Email Cleaner'!$B$2:$B$10001,MATCH(70,'Email Cleaner'!$K$2:$K$10001,0)),"")</f>
        <v/>
      </c>
    </row>
    <row r="72">
      <c r="A72">
        <f>IFERROR(INDEX('Email Cleaner'!$B$2:$B$10001,MATCH(71,'Email Cleaner'!$K$2:$K$10001,0)),"")</f>
        <v/>
      </c>
    </row>
    <row r="73">
      <c r="A73">
        <f>IFERROR(INDEX('Email Cleaner'!$B$2:$B$10001,MATCH(72,'Email Cleaner'!$K$2:$K$10001,0)),"")</f>
        <v/>
      </c>
    </row>
    <row r="74">
      <c r="A74">
        <f>IFERROR(INDEX('Email Cleaner'!$B$2:$B$10001,MATCH(73,'Email Cleaner'!$K$2:$K$10001,0)),"")</f>
        <v/>
      </c>
    </row>
    <row r="75">
      <c r="A75">
        <f>IFERROR(INDEX('Email Cleaner'!$B$2:$B$10001,MATCH(74,'Email Cleaner'!$K$2:$K$10001,0)),"")</f>
        <v/>
      </c>
    </row>
    <row r="76">
      <c r="A76">
        <f>IFERROR(INDEX('Email Cleaner'!$B$2:$B$10001,MATCH(75,'Email Cleaner'!$K$2:$K$10001,0)),"")</f>
        <v/>
      </c>
    </row>
    <row r="77">
      <c r="A77">
        <f>IFERROR(INDEX('Email Cleaner'!$B$2:$B$10001,MATCH(76,'Email Cleaner'!$K$2:$K$10001,0)),"")</f>
        <v/>
      </c>
    </row>
    <row r="78">
      <c r="A78">
        <f>IFERROR(INDEX('Email Cleaner'!$B$2:$B$10001,MATCH(77,'Email Cleaner'!$K$2:$K$10001,0)),"")</f>
        <v/>
      </c>
    </row>
    <row r="79">
      <c r="A79">
        <f>IFERROR(INDEX('Email Cleaner'!$B$2:$B$10001,MATCH(78,'Email Cleaner'!$K$2:$K$10001,0)),"")</f>
        <v/>
      </c>
    </row>
    <row r="80">
      <c r="A80">
        <f>IFERROR(INDEX('Email Cleaner'!$B$2:$B$10001,MATCH(79,'Email Cleaner'!$K$2:$K$10001,0)),"")</f>
        <v/>
      </c>
    </row>
    <row r="81">
      <c r="A81">
        <f>IFERROR(INDEX('Email Cleaner'!$B$2:$B$10001,MATCH(80,'Email Cleaner'!$K$2:$K$10001,0)),"")</f>
        <v/>
      </c>
    </row>
    <row r="82">
      <c r="A82">
        <f>IFERROR(INDEX('Email Cleaner'!$B$2:$B$10001,MATCH(81,'Email Cleaner'!$K$2:$K$10001,0)),"")</f>
        <v/>
      </c>
    </row>
    <row r="83">
      <c r="A83">
        <f>IFERROR(INDEX('Email Cleaner'!$B$2:$B$10001,MATCH(82,'Email Cleaner'!$K$2:$K$10001,0)),"")</f>
        <v/>
      </c>
    </row>
    <row r="84">
      <c r="A84">
        <f>IFERROR(INDEX('Email Cleaner'!$B$2:$B$10001,MATCH(83,'Email Cleaner'!$K$2:$K$10001,0)),"")</f>
        <v/>
      </c>
    </row>
    <row r="85">
      <c r="A85">
        <f>IFERROR(INDEX('Email Cleaner'!$B$2:$B$10001,MATCH(84,'Email Cleaner'!$K$2:$K$10001,0)),"")</f>
        <v/>
      </c>
    </row>
    <row r="86">
      <c r="A86">
        <f>IFERROR(INDEX('Email Cleaner'!$B$2:$B$10001,MATCH(85,'Email Cleaner'!$K$2:$K$10001,0)),"")</f>
        <v/>
      </c>
    </row>
    <row r="87">
      <c r="A87">
        <f>IFERROR(INDEX('Email Cleaner'!$B$2:$B$10001,MATCH(86,'Email Cleaner'!$K$2:$K$10001,0)),"")</f>
        <v/>
      </c>
    </row>
    <row r="88">
      <c r="A88">
        <f>IFERROR(INDEX('Email Cleaner'!$B$2:$B$10001,MATCH(87,'Email Cleaner'!$K$2:$K$10001,0)),"")</f>
        <v/>
      </c>
    </row>
    <row r="89">
      <c r="A89">
        <f>IFERROR(INDEX('Email Cleaner'!$B$2:$B$10001,MATCH(88,'Email Cleaner'!$K$2:$K$10001,0)),"")</f>
        <v/>
      </c>
    </row>
    <row r="90">
      <c r="A90">
        <f>IFERROR(INDEX('Email Cleaner'!$B$2:$B$10001,MATCH(89,'Email Cleaner'!$K$2:$K$10001,0)),"")</f>
        <v/>
      </c>
    </row>
    <row r="91">
      <c r="A91">
        <f>IFERROR(INDEX('Email Cleaner'!$B$2:$B$10001,MATCH(90,'Email Cleaner'!$K$2:$K$10001,0)),"")</f>
        <v/>
      </c>
    </row>
    <row r="92">
      <c r="A92">
        <f>IFERROR(INDEX('Email Cleaner'!$B$2:$B$10001,MATCH(91,'Email Cleaner'!$K$2:$K$10001,0)),"")</f>
        <v/>
      </c>
    </row>
    <row r="93">
      <c r="A93">
        <f>IFERROR(INDEX('Email Cleaner'!$B$2:$B$10001,MATCH(92,'Email Cleaner'!$K$2:$K$10001,0)),"")</f>
        <v/>
      </c>
    </row>
    <row r="94">
      <c r="A94">
        <f>IFERROR(INDEX('Email Cleaner'!$B$2:$B$10001,MATCH(93,'Email Cleaner'!$K$2:$K$10001,0)),"")</f>
        <v/>
      </c>
    </row>
    <row r="95">
      <c r="A95">
        <f>IFERROR(INDEX('Email Cleaner'!$B$2:$B$10001,MATCH(94,'Email Cleaner'!$K$2:$K$10001,0)),"")</f>
        <v/>
      </c>
    </row>
    <row r="96">
      <c r="A96">
        <f>IFERROR(INDEX('Email Cleaner'!$B$2:$B$10001,MATCH(95,'Email Cleaner'!$K$2:$K$10001,0)),"")</f>
        <v/>
      </c>
    </row>
    <row r="97">
      <c r="A97">
        <f>IFERROR(INDEX('Email Cleaner'!$B$2:$B$10001,MATCH(96,'Email Cleaner'!$K$2:$K$10001,0)),"")</f>
        <v/>
      </c>
    </row>
    <row r="98">
      <c r="A98">
        <f>IFERROR(INDEX('Email Cleaner'!$B$2:$B$10001,MATCH(97,'Email Cleaner'!$K$2:$K$10001,0)),"")</f>
        <v/>
      </c>
    </row>
    <row r="99">
      <c r="A99">
        <f>IFERROR(INDEX('Email Cleaner'!$B$2:$B$10001,MATCH(98,'Email Cleaner'!$K$2:$K$10001,0)),"")</f>
        <v/>
      </c>
    </row>
    <row r="100">
      <c r="A100">
        <f>IFERROR(INDEX('Email Cleaner'!$B$2:$B$10001,MATCH(99,'Email Cleaner'!$K$2:$K$10001,0)),"")</f>
        <v/>
      </c>
    </row>
    <row r="101">
      <c r="A101">
        <f>IFERROR(INDEX('Email Cleaner'!$B$2:$B$10001,MATCH(100,'Email Cleaner'!$K$2:$K$10001,0)),"")</f>
        <v/>
      </c>
    </row>
    <row r="102">
      <c r="A102">
        <f>IFERROR(INDEX('Email Cleaner'!$B$2:$B$10001,MATCH(101,'Email Cleaner'!$K$2:$K$10001,0)),"")</f>
        <v/>
      </c>
    </row>
    <row r="103">
      <c r="A103">
        <f>IFERROR(INDEX('Email Cleaner'!$B$2:$B$10001,MATCH(102,'Email Cleaner'!$K$2:$K$10001,0)),"")</f>
        <v/>
      </c>
    </row>
    <row r="104">
      <c r="A104">
        <f>IFERROR(INDEX('Email Cleaner'!$B$2:$B$10001,MATCH(103,'Email Cleaner'!$K$2:$K$10001,0)),"")</f>
        <v/>
      </c>
    </row>
    <row r="105">
      <c r="A105">
        <f>IFERROR(INDEX('Email Cleaner'!$B$2:$B$10001,MATCH(104,'Email Cleaner'!$K$2:$K$10001,0)),"")</f>
        <v/>
      </c>
    </row>
    <row r="106">
      <c r="A106">
        <f>IFERROR(INDEX('Email Cleaner'!$B$2:$B$10001,MATCH(105,'Email Cleaner'!$K$2:$K$10001,0)),"")</f>
        <v/>
      </c>
    </row>
    <row r="107">
      <c r="A107">
        <f>IFERROR(INDEX('Email Cleaner'!$B$2:$B$10001,MATCH(106,'Email Cleaner'!$K$2:$K$10001,0)),"")</f>
        <v/>
      </c>
    </row>
    <row r="108">
      <c r="A108">
        <f>IFERROR(INDEX('Email Cleaner'!$B$2:$B$10001,MATCH(107,'Email Cleaner'!$K$2:$K$10001,0)),"")</f>
        <v/>
      </c>
    </row>
    <row r="109">
      <c r="A109">
        <f>IFERROR(INDEX('Email Cleaner'!$B$2:$B$10001,MATCH(108,'Email Cleaner'!$K$2:$K$10001,0)),"")</f>
        <v/>
      </c>
    </row>
    <row r="110">
      <c r="A110">
        <f>IFERROR(INDEX('Email Cleaner'!$B$2:$B$10001,MATCH(109,'Email Cleaner'!$K$2:$K$10001,0)),"")</f>
        <v/>
      </c>
    </row>
    <row r="111">
      <c r="A111">
        <f>IFERROR(INDEX('Email Cleaner'!$B$2:$B$10001,MATCH(110,'Email Cleaner'!$K$2:$K$10001,0)),"")</f>
        <v/>
      </c>
    </row>
    <row r="112">
      <c r="A112">
        <f>IFERROR(INDEX('Email Cleaner'!$B$2:$B$10001,MATCH(111,'Email Cleaner'!$K$2:$K$10001,0)),"")</f>
        <v/>
      </c>
    </row>
    <row r="113">
      <c r="A113">
        <f>IFERROR(INDEX('Email Cleaner'!$B$2:$B$10001,MATCH(112,'Email Cleaner'!$K$2:$K$10001,0)),"")</f>
        <v/>
      </c>
    </row>
    <row r="114">
      <c r="A114">
        <f>IFERROR(INDEX('Email Cleaner'!$B$2:$B$10001,MATCH(113,'Email Cleaner'!$K$2:$K$10001,0)),"")</f>
        <v/>
      </c>
    </row>
    <row r="115">
      <c r="A115">
        <f>IFERROR(INDEX('Email Cleaner'!$B$2:$B$10001,MATCH(114,'Email Cleaner'!$K$2:$K$10001,0)),"")</f>
        <v/>
      </c>
    </row>
    <row r="116">
      <c r="A116">
        <f>IFERROR(INDEX('Email Cleaner'!$B$2:$B$10001,MATCH(115,'Email Cleaner'!$K$2:$K$10001,0)),"")</f>
        <v/>
      </c>
    </row>
    <row r="117">
      <c r="A117">
        <f>IFERROR(INDEX('Email Cleaner'!$B$2:$B$10001,MATCH(116,'Email Cleaner'!$K$2:$K$10001,0)),"")</f>
        <v/>
      </c>
    </row>
    <row r="118">
      <c r="A118">
        <f>IFERROR(INDEX('Email Cleaner'!$B$2:$B$10001,MATCH(117,'Email Cleaner'!$K$2:$K$10001,0)),"")</f>
        <v/>
      </c>
    </row>
    <row r="119">
      <c r="A119">
        <f>IFERROR(INDEX('Email Cleaner'!$B$2:$B$10001,MATCH(118,'Email Cleaner'!$K$2:$K$10001,0)),"")</f>
        <v/>
      </c>
    </row>
    <row r="120">
      <c r="A120">
        <f>IFERROR(INDEX('Email Cleaner'!$B$2:$B$10001,MATCH(119,'Email Cleaner'!$K$2:$K$10001,0)),"")</f>
        <v/>
      </c>
    </row>
    <row r="121">
      <c r="A121">
        <f>IFERROR(INDEX('Email Cleaner'!$B$2:$B$10001,MATCH(120,'Email Cleaner'!$K$2:$K$10001,0)),"")</f>
        <v/>
      </c>
    </row>
    <row r="122">
      <c r="A122">
        <f>IFERROR(INDEX('Email Cleaner'!$B$2:$B$10001,MATCH(121,'Email Cleaner'!$K$2:$K$10001,0)),"")</f>
        <v/>
      </c>
    </row>
    <row r="123">
      <c r="A123">
        <f>IFERROR(INDEX('Email Cleaner'!$B$2:$B$10001,MATCH(122,'Email Cleaner'!$K$2:$K$10001,0)),"")</f>
        <v/>
      </c>
    </row>
    <row r="124">
      <c r="A124">
        <f>IFERROR(INDEX('Email Cleaner'!$B$2:$B$10001,MATCH(123,'Email Cleaner'!$K$2:$K$10001,0)),"")</f>
        <v/>
      </c>
    </row>
    <row r="125">
      <c r="A125">
        <f>IFERROR(INDEX('Email Cleaner'!$B$2:$B$10001,MATCH(124,'Email Cleaner'!$K$2:$K$10001,0)),"")</f>
        <v/>
      </c>
    </row>
    <row r="126">
      <c r="A126">
        <f>IFERROR(INDEX('Email Cleaner'!$B$2:$B$10001,MATCH(125,'Email Cleaner'!$K$2:$K$10001,0)),"")</f>
        <v/>
      </c>
    </row>
    <row r="127">
      <c r="A127">
        <f>IFERROR(INDEX('Email Cleaner'!$B$2:$B$10001,MATCH(126,'Email Cleaner'!$K$2:$K$10001,0)),"")</f>
        <v/>
      </c>
    </row>
    <row r="128">
      <c r="A128">
        <f>IFERROR(INDEX('Email Cleaner'!$B$2:$B$10001,MATCH(127,'Email Cleaner'!$K$2:$K$10001,0)),"")</f>
        <v/>
      </c>
    </row>
    <row r="129">
      <c r="A129">
        <f>IFERROR(INDEX('Email Cleaner'!$B$2:$B$10001,MATCH(128,'Email Cleaner'!$K$2:$K$10001,0)),"")</f>
        <v/>
      </c>
    </row>
    <row r="130">
      <c r="A130">
        <f>IFERROR(INDEX('Email Cleaner'!$B$2:$B$10001,MATCH(129,'Email Cleaner'!$K$2:$K$10001,0)),"")</f>
        <v/>
      </c>
    </row>
    <row r="131">
      <c r="A131">
        <f>IFERROR(INDEX('Email Cleaner'!$B$2:$B$10001,MATCH(130,'Email Cleaner'!$K$2:$K$10001,0)),"")</f>
        <v/>
      </c>
    </row>
    <row r="132">
      <c r="A132">
        <f>IFERROR(INDEX('Email Cleaner'!$B$2:$B$10001,MATCH(131,'Email Cleaner'!$K$2:$K$10001,0)),"")</f>
        <v/>
      </c>
    </row>
    <row r="133">
      <c r="A133">
        <f>IFERROR(INDEX('Email Cleaner'!$B$2:$B$10001,MATCH(132,'Email Cleaner'!$K$2:$K$10001,0)),"")</f>
        <v/>
      </c>
    </row>
    <row r="134">
      <c r="A134">
        <f>IFERROR(INDEX('Email Cleaner'!$B$2:$B$10001,MATCH(133,'Email Cleaner'!$K$2:$K$10001,0)),"")</f>
        <v/>
      </c>
    </row>
    <row r="135">
      <c r="A135">
        <f>IFERROR(INDEX('Email Cleaner'!$B$2:$B$10001,MATCH(134,'Email Cleaner'!$K$2:$K$10001,0)),"")</f>
        <v/>
      </c>
    </row>
    <row r="136">
      <c r="A136">
        <f>IFERROR(INDEX('Email Cleaner'!$B$2:$B$10001,MATCH(135,'Email Cleaner'!$K$2:$K$10001,0)),"")</f>
        <v/>
      </c>
    </row>
    <row r="137">
      <c r="A137">
        <f>IFERROR(INDEX('Email Cleaner'!$B$2:$B$10001,MATCH(136,'Email Cleaner'!$K$2:$K$10001,0)),"")</f>
        <v/>
      </c>
    </row>
    <row r="138">
      <c r="A138">
        <f>IFERROR(INDEX('Email Cleaner'!$B$2:$B$10001,MATCH(137,'Email Cleaner'!$K$2:$K$10001,0)),"")</f>
        <v/>
      </c>
    </row>
    <row r="139">
      <c r="A139">
        <f>IFERROR(INDEX('Email Cleaner'!$B$2:$B$10001,MATCH(138,'Email Cleaner'!$K$2:$K$10001,0)),"")</f>
        <v/>
      </c>
    </row>
    <row r="140">
      <c r="A140">
        <f>IFERROR(INDEX('Email Cleaner'!$B$2:$B$10001,MATCH(139,'Email Cleaner'!$K$2:$K$10001,0)),"")</f>
        <v/>
      </c>
    </row>
    <row r="141">
      <c r="A141">
        <f>IFERROR(INDEX('Email Cleaner'!$B$2:$B$10001,MATCH(140,'Email Cleaner'!$K$2:$K$10001,0)),"")</f>
        <v/>
      </c>
    </row>
    <row r="142">
      <c r="A142">
        <f>IFERROR(INDEX('Email Cleaner'!$B$2:$B$10001,MATCH(141,'Email Cleaner'!$K$2:$K$10001,0)),"")</f>
        <v/>
      </c>
    </row>
    <row r="143">
      <c r="A143">
        <f>IFERROR(INDEX('Email Cleaner'!$B$2:$B$10001,MATCH(142,'Email Cleaner'!$K$2:$K$10001,0)),"")</f>
        <v/>
      </c>
    </row>
    <row r="144">
      <c r="A144">
        <f>IFERROR(INDEX('Email Cleaner'!$B$2:$B$10001,MATCH(143,'Email Cleaner'!$K$2:$K$10001,0)),"")</f>
        <v/>
      </c>
    </row>
    <row r="145">
      <c r="A145">
        <f>IFERROR(INDEX('Email Cleaner'!$B$2:$B$10001,MATCH(144,'Email Cleaner'!$K$2:$K$10001,0)),"")</f>
        <v/>
      </c>
    </row>
    <row r="146">
      <c r="A146">
        <f>IFERROR(INDEX('Email Cleaner'!$B$2:$B$10001,MATCH(145,'Email Cleaner'!$K$2:$K$10001,0)),"")</f>
        <v/>
      </c>
    </row>
    <row r="147">
      <c r="A147">
        <f>IFERROR(INDEX('Email Cleaner'!$B$2:$B$10001,MATCH(146,'Email Cleaner'!$K$2:$K$10001,0)),"")</f>
        <v/>
      </c>
    </row>
    <row r="148">
      <c r="A148">
        <f>IFERROR(INDEX('Email Cleaner'!$B$2:$B$10001,MATCH(147,'Email Cleaner'!$K$2:$K$10001,0)),"")</f>
        <v/>
      </c>
    </row>
    <row r="149">
      <c r="A149">
        <f>IFERROR(INDEX('Email Cleaner'!$B$2:$B$10001,MATCH(148,'Email Cleaner'!$K$2:$K$10001,0)),"")</f>
        <v/>
      </c>
    </row>
    <row r="150">
      <c r="A150">
        <f>IFERROR(INDEX('Email Cleaner'!$B$2:$B$10001,MATCH(149,'Email Cleaner'!$K$2:$K$10001,0)),"")</f>
        <v/>
      </c>
    </row>
    <row r="151">
      <c r="A151">
        <f>IFERROR(INDEX('Email Cleaner'!$B$2:$B$10001,MATCH(150,'Email Cleaner'!$K$2:$K$10001,0)),"")</f>
        <v/>
      </c>
    </row>
    <row r="152">
      <c r="A152">
        <f>IFERROR(INDEX('Email Cleaner'!$B$2:$B$10001,MATCH(151,'Email Cleaner'!$K$2:$K$10001,0)),"")</f>
        <v/>
      </c>
    </row>
    <row r="153">
      <c r="A153">
        <f>IFERROR(INDEX('Email Cleaner'!$B$2:$B$10001,MATCH(152,'Email Cleaner'!$K$2:$K$10001,0)),"")</f>
        <v/>
      </c>
    </row>
    <row r="154">
      <c r="A154">
        <f>IFERROR(INDEX('Email Cleaner'!$B$2:$B$10001,MATCH(153,'Email Cleaner'!$K$2:$K$10001,0)),"")</f>
        <v/>
      </c>
    </row>
    <row r="155">
      <c r="A155">
        <f>IFERROR(INDEX('Email Cleaner'!$B$2:$B$10001,MATCH(154,'Email Cleaner'!$K$2:$K$10001,0)),"")</f>
        <v/>
      </c>
    </row>
    <row r="156">
      <c r="A156">
        <f>IFERROR(INDEX('Email Cleaner'!$B$2:$B$10001,MATCH(155,'Email Cleaner'!$K$2:$K$10001,0)),"")</f>
        <v/>
      </c>
    </row>
    <row r="157">
      <c r="A157">
        <f>IFERROR(INDEX('Email Cleaner'!$B$2:$B$10001,MATCH(156,'Email Cleaner'!$K$2:$K$10001,0)),"")</f>
        <v/>
      </c>
    </row>
    <row r="158">
      <c r="A158">
        <f>IFERROR(INDEX('Email Cleaner'!$B$2:$B$10001,MATCH(157,'Email Cleaner'!$K$2:$K$10001,0)),"")</f>
        <v/>
      </c>
    </row>
    <row r="159">
      <c r="A159">
        <f>IFERROR(INDEX('Email Cleaner'!$B$2:$B$10001,MATCH(158,'Email Cleaner'!$K$2:$K$10001,0)),"")</f>
        <v/>
      </c>
    </row>
    <row r="160">
      <c r="A160">
        <f>IFERROR(INDEX('Email Cleaner'!$B$2:$B$10001,MATCH(159,'Email Cleaner'!$K$2:$K$10001,0)),"")</f>
        <v/>
      </c>
    </row>
    <row r="161">
      <c r="A161">
        <f>IFERROR(INDEX('Email Cleaner'!$B$2:$B$10001,MATCH(160,'Email Cleaner'!$K$2:$K$10001,0)),"")</f>
        <v/>
      </c>
    </row>
    <row r="162">
      <c r="A162">
        <f>IFERROR(INDEX('Email Cleaner'!$B$2:$B$10001,MATCH(161,'Email Cleaner'!$K$2:$K$10001,0)),"")</f>
        <v/>
      </c>
    </row>
    <row r="163">
      <c r="A163">
        <f>IFERROR(INDEX('Email Cleaner'!$B$2:$B$10001,MATCH(162,'Email Cleaner'!$K$2:$K$10001,0)),"")</f>
        <v/>
      </c>
    </row>
    <row r="164">
      <c r="A164">
        <f>IFERROR(INDEX('Email Cleaner'!$B$2:$B$10001,MATCH(163,'Email Cleaner'!$K$2:$K$10001,0)),"")</f>
        <v/>
      </c>
    </row>
    <row r="165">
      <c r="A165">
        <f>IFERROR(INDEX('Email Cleaner'!$B$2:$B$10001,MATCH(164,'Email Cleaner'!$K$2:$K$10001,0)),"")</f>
        <v/>
      </c>
    </row>
    <row r="166">
      <c r="A166">
        <f>IFERROR(INDEX('Email Cleaner'!$B$2:$B$10001,MATCH(165,'Email Cleaner'!$K$2:$K$10001,0)),"")</f>
        <v/>
      </c>
    </row>
    <row r="167">
      <c r="A167">
        <f>IFERROR(INDEX('Email Cleaner'!$B$2:$B$10001,MATCH(166,'Email Cleaner'!$K$2:$K$10001,0)),"")</f>
        <v/>
      </c>
    </row>
    <row r="168">
      <c r="A168">
        <f>IFERROR(INDEX('Email Cleaner'!$B$2:$B$10001,MATCH(167,'Email Cleaner'!$K$2:$K$10001,0)),"")</f>
        <v/>
      </c>
    </row>
    <row r="169">
      <c r="A169">
        <f>IFERROR(INDEX('Email Cleaner'!$B$2:$B$10001,MATCH(168,'Email Cleaner'!$K$2:$K$10001,0)),"")</f>
        <v/>
      </c>
    </row>
    <row r="170">
      <c r="A170">
        <f>IFERROR(INDEX('Email Cleaner'!$B$2:$B$10001,MATCH(169,'Email Cleaner'!$K$2:$K$10001,0)),"")</f>
        <v/>
      </c>
    </row>
    <row r="171">
      <c r="A171">
        <f>IFERROR(INDEX('Email Cleaner'!$B$2:$B$10001,MATCH(170,'Email Cleaner'!$K$2:$K$10001,0)),"")</f>
        <v/>
      </c>
    </row>
    <row r="172">
      <c r="A172">
        <f>IFERROR(INDEX('Email Cleaner'!$B$2:$B$10001,MATCH(171,'Email Cleaner'!$K$2:$K$10001,0)),"")</f>
        <v/>
      </c>
    </row>
    <row r="173">
      <c r="A173">
        <f>IFERROR(INDEX('Email Cleaner'!$B$2:$B$10001,MATCH(172,'Email Cleaner'!$K$2:$K$10001,0)),"")</f>
        <v/>
      </c>
    </row>
    <row r="174">
      <c r="A174">
        <f>IFERROR(INDEX('Email Cleaner'!$B$2:$B$10001,MATCH(173,'Email Cleaner'!$K$2:$K$10001,0)),"")</f>
        <v/>
      </c>
    </row>
    <row r="175">
      <c r="A175">
        <f>IFERROR(INDEX('Email Cleaner'!$B$2:$B$10001,MATCH(174,'Email Cleaner'!$K$2:$K$10001,0)),"")</f>
        <v/>
      </c>
    </row>
    <row r="176">
      <c r="A176">
        <f>IFERROR(INDEX('Email Cleaner'!$B$2:$B$10001,MATCH(175,'Email Cleaner'!$K$2:$K$10001,0)),"")</f>
        <v/>
      </c>
    </row>
    <row r="177">
      <c r="A177">
        <f>IFERROR(INDEX('Email Cleaner'!$B$2:$B$10001,MATCH(176,'Email Cleaner'!$K$2:$K$10001,0)),"")</f>
        <v/>
      </c>
    </row>
    <row r="178">
      <c r="A178">
        <f>IFERROR(INDEX('Email Cleaner'!$B$2:$B$10001,MATCH(177,'Email Cleaner'!$K$2:$K$10001,0)),"")</f>
        <v/>
      </c>
    </row>
    <row r="179">
      <c r="A179">
        <f>IFERROR(INDEX('Email Cleaner'!$B$2:$B$10001,MATCH(178,'Email Cleaner'!$K$2:$K$10001,0)),"")</f>
        <v/>
      </c>
    </row>
    <row r="180">
      <c r="A180">
        <f>IFERROR(INDEX('Email Cleaner'!$B$2:$B$10001,MATCH(179,'Email Cleaner'!$K$2:$K$10001,0)),"")</f>
        <v/>
      </c>
    </row>
    <row r="181">
      <c r="A181">
        <f>IFERROR(INDEX('Email Cleaner'!$B$2:$B$10001,MATCH(180,'Email Cleaner'!$K$2:$K$10001,0)),"")</f>
        <v/>
      </c>
    </row>
    <row r="182">
      <c r="A182">
        <f>IFERROR(INDEX('Email Cleaner'!$B$2:$B$10001,MATCH(181,'Email Cleaner'!$K$2:$K$10001,0)),"")</f>
        <v/>
      </c>
    </row>
    <row r="183">
      <c r="A183">
        <f>IFERROR(INDEX('Email Cleaner'!$B$2:$B$10001,MATCH(182,'Email Cleaner'!$K$2:$K$10001,0)),"")</f>
        <v/>
      </c>
    </row>
    <row r="184">
      <c r="A184">
        <f>IFERROR(INDEX('Email Cleaner'!$B$2:$B$10001,MATCH(183,'Email Cleaner'!$K$2:$K$10001,0)),"")</f>
        <v/>
      </c>
    </row>
    <row r="185">
      <c r="A185">
        <f>IFERROR(INDEX('Email Cleaner'!$B$2:$B$10001,MATCH(184,'Email Cleaner'!$K$2:$K$10001,0)),"")</f>
        <v/>
      </c>
    </row>
    <row r="186">
      <c r="A186">
        <f>IFERROR(INDEX('Email Cleaner'!$B$2:$B$10001,MATCH(185,'Email Cleaner'!$K$2:$K$10001,0)),"")</f>
        <v/>
      </c>
    </row>
    <row r="187">
      <c r="A187">
        <f>IFERROR(INDEX('Email Cleaner'!$B$2:$B$10001,MATCH(186,'Email Cleaner'!$K$2:$K$10001,0)),"")</f>
        <v/>
      </c>
    </row>
    <row r="188">
      <c r="A188">
        <f>IFERROR(INDEX('Email Cleaner'!$B$2:$B$10001,MATCH(187,'Email Cleaner'!$K$2:$K$10001,0)),"")</f>
        <v/>
      </c>
    </row>
    <row r="189">
      <c r="A189">
        <f>IFERROR(INDEX('Email Cleaner'!$B$2:$B$10001,MATCH(188,'Email Cleaner'!$K$2:$K$10001,0)),"")</f>
        <v/>
      </c>
    </row>
    <row r="190">
      <c r="A190">
        <f>IFERROR(INDEX('Email Cleaner'!$B$2:$B$10001,MATCH(189,'Email Cleaner'!$K$2:$K$10001,0)),"")</f>
        <v/>
      </c>
    </row>
    <row r="191">
      <c r="A191">
        <f>IFERROR(INDEX('Email Cleaner'!$B$2:$B$10001,MATCH(190,'Email Cleaner'!$K$2:$K$10001,0)),"")</f>
        <v/>
      </c>
    </row>
    <row r="192">
      <c r="A192">
        <f>IFERROR(INDEX('Email Cleaner'!$B$2:$B$10001,MATCH(191,'Email Cleaner'!$K$2:$K$10001,0)),"")</f>
        <v/>
      </c>
    </row>
    <row r="193">
      <c r="A193">
        <f>IFERROR(INDEX('Email Cleaner'!$B$2:$B$10001,MATCH(192,'Email Cleaner'!$K$2:$K$10001,0)),"")</f>
        <v/>
      </c>
    </row>
    <row r="194">
      <c r="A194">
        <f>IFERROR(INDEX('Email Cleaner'!$B$2:$B$10001,MATCH(193,'Email Cleaner'!$K$2:$K$10001,0)),"")</f>
        <v/>
      </c>
    </row>
    <row r="195">
      <c r="A195">
        <f>IFERROR(INDEX('Email Cleaner'!$B$2:$B$10001,MATCH(194,'Email Cleaner'!$K$2:$K$10001,0)),"")</f>
        <v/>
      </c>
    </row>
    <row r="196">
      <c r="A196">
        <f>IFERROR(INDEX('Email Cleaner'!$B$2:$B$10001,MATCH(195,'Email Cleaner'!$K$2:$K$10001,0)),"")</f>
        <v/>
      </c>
    </row>
    <row r="197">
      <c r="A197">
        <f>IFERROR(INDEX('Email Cleaner'!$B$2:$B$10001,MATCH(196,'Email Cleaner'!$K$2:$K$10001,0)),"")</f>
        <v/>
      </c>
    </row>
    <row r="198">
      <c r="A198">
        <f>IFERROR(INDEX('Email Cleaner'!$B$2:$B$10001,MATCH(197,'Email Cleaner'!$K$2:$K$10001,0)),"")</f>
        <v/>
      </c>
    </row>
    <row r="199">
      <c r="A199">
        <f>IFERROR(INDEX('Email Cleaner'!$B$2:$B$10001,MATCH(198,'Email Cleaner'!$K$2:$K$10001,0)),"")</f>
        <v/>
      </c>
    </row>
    <row r="200">
      <c r="A200">
        <f>IFERROR(INDEX('Email Cleaner'!$B$2:$B$10001,MATCH(199,'Email Cleaner'!$K$2:$K$10001,0)),"")</f>
        <v/>
      </c>
    </row>
    <row r="201">
      <c r="A201">
        <f>IFERROR(INDEX('Email Cleaner'!$B$2:$B$10001,MATCH(200,'Email Cleaner'!$K$2:$K$10001,0)),"")</f>
        <v/>
      </c>
    </row>
    <row r="202">
      <c r="A202">
        <f>IFERROR(INDEX('Email Cleaner'!$B$2:$B$10001,MATCH(201,'Email Cleaner'!$K$2:$K$10001,0)),"")</f>
        <v/>
      </c>
    </row>
    <row r="203">
      <c r="A203">
        <f>IFERROR(INDEX('Email Cleaner'!$B$2:$B$10001,MATCH(202,'Email Cleaner'!$K$2:$K$10001,0)),"")</f>
        <v/>
      </c>
    </row>
    <row r="204">
      <c r="A204">
        <f>IFERROR(INDEX('Email Cleaner'!$B$2:$B$10001,MATCH(203,'Email Cleaner'!$K$2:$K$10001,0)),"")</f>
        <v/>
      </c>
    </row>
    <row r="205">
      <c r="A205">
        <f>IFERROR(INDEX('Email Cleaner'!$B$2:$B$10001,MATCH(204,'Email Cleaner'!$K$2:$K$10001,0)),"")</f>
        <v/>
      </c>
    </row>
    <row r="206">
      <c r="A206">
        <f>IFERROR(INDEX('Email Cleaner'!$B$2:$B$10001,MATCH(205,'Email Cleaner'!$K$2:$K$10001,0)),"")</f>
        <v/>
      </c>
    </row>
    <row r="207">
      <c r="A207">
        <f>IFERROR(INDEX('Email Cleaner'!$B$2:$B$10001,MATCH(206,'Email Cleaner'!$K$2:$K$10001,0)),"")</f>
        <v/>
      </c>
    </row>
    <row r="208">
      <c r="A208">
        <f>IFERROR(INDEX('Email Cleaner'!$B$2:$B$10001,MATCH(207,'Email Cleaner'!$K$2:$K$10001,0)),"")</f>
        <v/>
      </c>
    </row>
    <row r="209">
      <c r="A209">
        <f>IFERROR(INDEX('Email Cleaner'!$B$2:$B$10001,MATCH(208,'Email Cleaner'!$K$2:$K$10001,0)),"")</f>
        <v/>
      </c>
    </row>
    <row r="210">
      <c r="A210">
        <f>IFERROR(INDEX('Email Cleaner'!$B$2:$B$10001,MATCH(209,'Email Cleaner'!$K$2:$K$10001,0)),"")</f>
        <v/>
      </c>
    </row>
    <row r="211">
      <c r="A211">
        <f>IFERROR(INDEX('Email Cleaner'!$B$2:$B$10001,MATCH(210,'Email Cleaner'!$K$2:$K$10001,0)),"")</f>
        <v/>
      </c>
    </row>
    <row r="212">
      <c r="A212">
        <f>IFERROR(INDEX('Email Cleaner'!$B$2:$B$10001,MATCH(211,'Email Cleaner'!$K$2:$K$10001,0)),"")</f>
        <v/>
      </c>
    </row>
    <row r="213">
      <c r="A213">
        <f>IFERROR(INDEX('Email Cleaner'!$B$2:$B$10001,MATCH(212,'Email Cleaner'!$K$2:$K$10001,0)),"")</f>
        <v/>
      </c>
    </row>
    <row r="214">
      <c r="A214">
        <f>IFERROR(INDEX('Email Cleaner'!$B$2:$B$10001,MATCH(213,'Email Cleaner'!$K$2:$K$10001,0)),"")</f>
        <v/>
      </c>
    </row>
    <row r="215">
      <c r="A215">
        <f>IFERROR(INDEX('Email Cleaner'!$B$2:$B$10001,MATCH(214,'Email Cleaner'!$K$2:$K$10001,0)),"")</f>
        <v/>
      </c>
    </row>
    <row r="216">
      <c r="A216">
        <f>IFERROR(INDEX('Email Cleaner'!$B$2:$B$10001,MATCH(215,'Email Cleaner'!$K$2:$K$10001,0)),"")</f>
        <v/>
      </c>
    </row>
    <row r="217">
      <c r="A217">
        <f>IFERROR(INDEX('Email Cleaner'!$B$2:$B$10001,MATCH(216,'Email Cleaner'!$K$2:$K$10001,0)),"")</f>
        <v/>
      </c>
    </row>
    <row r="218">
      <c r="A218">
        <f>IFERROR(INDEX('Email Cleaner'!$B$2:$B$10001,MATCH(217,'Email Cleaner'!$K$2:$K$10001,0)),"")</f>
        <v/>
      </c>
    </row>
    <row r="219">
      <c r="A219">
        <f>IFERROR(INDEX('Email Cleaner'!$B$2:$B$10001,MATCH(218,'Email Cleaner'!$K$2:$K$10001,0)),"")</f>
        <v/>
      </c>
    </row>
    <row r="220">
      <c r="A220">
        <f>IFERROR(INDEX('Email Cleaner'!$B$2:$B$10001,MATCH(219,'Email Cleaner'!$K$2:$K$10001,0)),"")</f>
        <v/>
      </c>
    </row>
    <row r="221">
      <c r="A221">
        <f>IFERROR(INDEX('Email Cleaner'!$B$2:$B$10001,MATCH(220,'Email Cleaner'!$K$2:$K$10001,0)),"")</f>
        <v/>
      </c>
    </row>
    <row r="222">
      <c r="A222">
        <f>IFERROR(INDEX('Email Cleaner'!$B$2:$B$10001,MATCH(221,'Email Cleaner'!$K$2:$K$10001,0)),"")</f>
        <v/>
      </c>
    </row>
    <row r="223">
      <c r="A223">
        <f>IFERROR(INDEX('Email Cleaner'!$B$2:$B$10001,MATCH(222,'Email Cleaner'!$K$2:$K$10001,0)),"")</f>
        <v/>
      </c>
    </row>
    <row r="224">
      <c r="A224">
        <f>IFERROR(INDEX('Email Cleaner'!$B$2:$B$10001,MATCH(223,'Email Cleaner'!$K$2:$K$10001,0)),"")</f>
        <v/>
      </c>
    </row>
    <row r="225">
      <c r="A225">
        <f>IFERROR(INDEX('Email Cleaner'!$B$2:$B$10001,MATCH(224,'Email Cleaner'!$K$2:$K$10001,0)),"")</f>
        <v/>
      </c>
    </row>
    <row r="226">
      <c r="A226">
        <f>IFERROR(INDEX('Email Cleaner'!$B$2:$B$10001,MATCH(225,'Email Cleaner'!$K$2:$K$10001,0)),"")</f>
        <v/>
      </c>
    </row>
    <row r="227">
      <c r="A227">
        <f>IFERROR(INDEX('Email Cleaner'!$B$2:$B$10001,MATCH(226,'Email Cleaner'!$K$2:$K$10001,0)),"")</f>
        <v/>
      </c>
    </row>
    <row r="228">
      <c r="A228">
        <f>IFERROR(INDEX('Email Cleaner'!$B$2:$B$10001,MATCH(227,'Email Cleaner'!$K$2:$K$10001,0)),"")</f>
        <v/>
      </c>
    </row>
    <row r="229">
      <c r="A229">
        <f>IFERROR(INDEX('Email Cleaner'!$B$2:$B$10001,MATCH(228,'Email Cleaner'!$K$2:$K$10001,0)),"")</f>
        <v/>
      </c>
    </row>
    <row r="230">
      <c r="A230">
        <f>IFERROR(INDEX('Email Cleaner'!$B$2:$B$10001,MATCH(229,'Email Cleaner'!$K$2:$K$10001,0)),"")</f>
        <v/>
      </c>
    </row>
    <row r="231">
      <c r="A231">
        <f>IFERROR(INDEX('Email Cleaner'!$B$2:$B$10001,MATCH(230,'Email Cleaner'!$K$2:$K$10001,0)),"")</f>
        <v/>
      </c>
    </row>
    <row r="232">
      <c r="A232">
        <f>IFERROR(INDEX('Email Cleaner'!$B$2:$B$10001,MATCH(231,'Email Cleaner'!$K$2:$K$10001,0)),"")</f>
        <v/>
      </c>
    </row>
    <row r="233">
      <c r="A233">
        <f>IFERROR(INDEX('Email Cleaner'!$B$2:$B$10001,MATCH(232,'Email Cleaner'!$K$2:$K$10001,0)),"")</f>
        <v/>
      </c>
    </row>
    <row r="234">
      <c r="A234">
        <f>IFERROR(INDEX('Email Cleaner'!$B$2:$B$10001,MATCH(233,'Email Cleaner'!$K$2:$K$10001,0)),"")</f>
        <v/>
      </c>
    </row>
    <row r="235">
      <c r="A235">
        <f>IFERROR(INDEX('Email Cleaner'!$B$2:$B$10001,MATCH(234,'Email Cleaner'!$K$2:$K$10001,0)),"")</f>
        <v/>
      </c>
    </row>
    <row r="236">
      <c r="A236">
        <f>IFERROR(INDEX('Email Cleaner'!$B$2:$B$10001,MATCH(235,'Email Cleaner'!$K$2:$K$10001,0)),"")</f>
        <v/>
      </c>
    </row>
    <row r="237">
      <c r="A237">
        <f>IFERROR(INDEX('Email Cleaner'!$B$2:$B$10001,MATCH(236,'Email Cleaner'!$K$2:$K$10001,0)),"")</f>
        <v/>
      </c>
    </row>
    <row r="238">
      <c r="A238">
        <f>IFERROR(INDEX('Email Cleaner'!$B$2:$B$10001,MATCH(237,'Email Cleaner'!$K$2:$K$10001,0)),"")</f>
        <v/>
      </c>
    </row>
    <row r="239">
      <c r="A239">
        <f>IFERROR(INDEX('Email Cleaner'!$B$2:$B$10001,MATCH(238,'Email Cleaner'!$K$2:$K$10001,0)),"")</f>
        <v/>
      </c>
    </row>
    <row r="240">
      <c r="A240">
        <f>IFERROR(INDEX('Email Cleaner'!$B$2:$B$10001,MATCH(239,'Email Cleaner'!$K$2:$K$10001,0)),"")</f>
        <v/>
      </c>
    </row>
    <row r="241">
      <c r="A241">
        <f>IFERROR(INDEX('Email Cleaner'!$B$2:$B$10001,MATCH(240,'Email Cleaner'!$K$2:$K$10001,0)),"")</f>
        <v/>
      </c>
    </row>
    <row r="242">
      <c r="A242">
        <f>IFERROR(INDEX('Email Cleaner'!$B$2:$B$10001,MATCH(241,'Email Cleaner'!$K$2:$K$10001,0)),"")</f>
        <v/>
      </c>
    </row>
    <row r="243">
      <c r="A243">
        <f>IFERROR(INDEX('Email Cleaner'!$B$2:$B$10001,MATCH(242,'Email Cleaner'!$K$2:$K$10001,0)),"")</f>
        <v/>
      </c>
    </row>
    <row r="244">
      <c r="A244">
        <f>IFERROR(INDEX('Email Cleaner'!$B$2:$B$10001,MATCH(243,'Email Cleaner'!$K$2:$K$10001,0)),"")</f>
        <v/>
      </c>
    </row>
    <row r="245">
      <c r="A245">
        <f>IFERROR(INDEX('Email Cleaner'!$B$2:$B$10001,MATCH(244,'Email Cleaner'!$K$2:$K$10001,0)),"")</f>
        <v/>
      </c>
    </row>
    <row r="246">
      <c r="A246">
        <f>IFERROR(INDEX('Email Cleaner'!$B$2:$B$10001,MATCH(245,'Email Cleaner'!$K$2:$K$10001,0)),"")</f>
        <v/>
      </c>
    </row>
    <row r="247">
      <c r="A247">
        <f>IFERROR(INDEX('Email Cleaner'!$B$2:$B$10001,MATCH(246,'Email Cleaner'!$K$2:$K$10001,0)),"")</f>
        <v/>
      </c>
    </row>
    <row r="248">
      <c r="A248">
        <f>IFERROR(INDEX('Email Cleaner'!$B$2:$B$10001,MATCH(247,'Email Cleaner'!$K$2:$K$10001,0)),"")</f>
        <v/>
      </c>
    </row>
    <row r="249">
      <c r="A249">
        <f>IFERROR(INDEX('Email Cleaner'!$B$2:$B$10001,MATCH(248,'Email Cleaner'!$K$2:$K$10001,0)),"")</f>
        <v/>
      </c>
    </row>
    <row r="250">
      <c r="A250">
        <f>IFERROR(INDEX('Email Cleaner'!$B$2:$B$10001,MATCH(249,'Email Cleaner'!$K$2:$K$10001,0)),"")</f>
        <v/>
      </c>
    </row>
    <row r="251">
      <c r="A251">
        <f>IFERROR(INDEX('Email Cleaner'!$B$2:$B$10001,MATCH(250,'Email Cleaner'!$K$2:$K$10001,0)),"")</f>
        <v/>
      </c>
    </row>
    <row r="252">
      <c r="A252">
        <f>IFERROR(INDEX('Email Cleaner'!$B$2:$B$10001,MATCH(251,'Email Cleaner'!$K$2:$K$10001,0)),"")</f>
        <v/>
      </c>
    </row>
    <row r="253">
      <c r="A253">
        <f>IFERROR(INDEX('Email Cleaner'!$B$2:$B$10001,MATCH(252,'Email Cleaner'!$K$2:$K$10001,0)),"")</f>
        <v/>
      </c>
    </row>
    <row r="254">
      <c r="A254">
        <f>IFERROR(INDEX('Email Cleaner'!$B$2:$B$10001,MATCH(253,'Email Cleaner'!$K$2:$K$10001,0)),"")</f>
        <v/>
      </c>
    </row>
    <row r="255">
      <c r="A255">
        <f>IFERROR(INDEX('Email Cleaner'!$B$2:$B$10001,MATCH(254,'Email Cleaner'!$K$2:$K$10001,0)),"")</f>
        <v/>
      </c>
    </row>
    <row r="256">
      <c r="A256">
        <f>IFERROR(INDEX('Email Cleaner'!$B$2:$B$10001,MATCH(255,'Email Cleaner'!$K$2:$K$10001,0)),"")</f>
        <v/>
      </c>
    </row>
    <row r="257">
      <c r="A257">
        <f>IFERROR(INDEX('Email Cleaner'!$B$2:$B$10001,MATCH(256,'Email Cleaner'!$K$2:$K$10001,0)),"")</f>
        <v/>
      </c>
    </row>
    <row r="258">
      <c r="A258">
        <f>IFERROR(INDEX('Email Cleaner'!$B$2:$B$10001,MATCH(257,'Email Cleaner'!$K$2:$K$10001,0)),"")</f>
        <v/>
      </c>
    </row>
    <row r="259">
      <c r="A259">
        <f>IFERROR(INDEX('Email Cleaner'!$B$2:$B$10001,MATCH(258,'Email Cleaner'!$K$2:$K$10001,0)),"")</f>
        <v/>
      </c>
    </row>
    <row r="260">
      <c r="A260">
        <f>IFERROR(INDEX('Email Cleaner'!$B$2:$B$10001,MATCH(259,'Email Cleaner'!$K$2:$K$10001,0)),"")</f>
        <v/>
      </c>
    </row>
    <row r="261">
      <c r="A261">
        <f>IFERROR(INDEX('Email Cleaner'!$B$2:$B$10001,MATCH(260,'Email Cleaner'!$K$2:$K$10001,0)),"")</f>
        <v/>
      </c>
    </row>
    <row r="262">
      <c r="A262">
        <f>IFERROR(INDEX('Email Cleaner'!$B$2:$B$10001,MATCH(261,'Email Cleaner'!$K$2:$K$10001,0)),"")</f>
        <v/>
      </c>
    </row>
    <row r="263">
      <c r="A263">
        <f>IFERROR(INDEX('Email Cleaner'!$B$2:$B$10001,MATCH(262,'Email Cleaner'!$K$2:$K$10001,0)),"")</f>
        <v/>
      </c>
    </row>
    <row r="264">
      <c r="A264">
        <f>IFERROR(INDEX('Email Cleaner'!$B$2:$B$10001,MATCH(263,'Email Cleaner'!$K$2:$K$10001,0)),"")</f>
        <v/>
      </c>
    </row>
    <row r="265">
      <c r="A265">
        <f>IFERROR(INDEX('Email Cleaner'!$B$2:$B$10001,MATCH(264,'Email Cleaner'!$K$2:$K$10001,0)),"")</f>
        <v/>
      </c>
    </row>
    <row r="266">
      <c r="A266">
        <f>IFERROR(INDEX('Email Cleaner'!$B$2:$B$10001,MATCH(265,'Email Cleaner'!$K$2:$K$10001,0)),"")</f>
        <v/>
      </c>
    </row>
    <row r="267">
      <c r="A267">
        <f>IFERROR(INDEX('Email Cleaner'!$B$2:$B$10001,MATCH(266,'Email Cleaner'!$K$2:$K$10001,0)),"")</f>
        <v/>
      </c>
    </row>
    <row r="268">
      <c r="A268">
        <f>IFERROR(INDEX('Email Cleaner'!$B$2:$B$10001,MATCH(267,'Email Cleaner'!$K$2:$K$10001,0)),"")</f>
        <v/>
      </c>
    </row>
    <row r="269">
      <c r="A269">
        <f>IFERROR(INDEX('Email Cleaner'!$B$2:$B$10001,MATCH(268,'Email Cleaner'!$K$2:$K$10001,0)),"")</f>
        <v/>
      </c>
    </row>
    <row r="270">
      <c r="A270">
        <f>IFERROR(INDEX('Email Cleaner'!$B$2:$B$10001,MATCH(269,'Email Cleaner'!$K$2:$K$10001,0)),"")</f>
        <v/>
      </c>
    </row>
    <row r="271">
      <c r="A271">
        <f>IFERROR(INDEX('Email Cleaner'!$B$2:$B$10001,MATCH(270,'Email Cleaner'!$K$2:$K$10001,0)),"")</f>
        <v/>
      </c>
    </row>
    <row r="272">
      <c r="A272">
        <f>IFERROR(INDEX('Email Cleaner'!$B$2:$B$10001,MATCH(271,'Email Cleaner'!$K$2:$K$10001,0)),"")</f>
        <v/>
      </c>
    </row>
    <row r="273">
      <c r="A273">
        <f>IFERROR(INDEX('Email Cleaner'!$B$2:$B$10001,MATCH(272,'Email Cleaner'!$K$2:$K$10001,0)),"")</f>
        <v/>
      </c>
    </row>
    <row r="274">
      <c r="A274">
        <f>IFERROR(INDEX('Email Cleaner'!$B$2:$B$10001,MATCH(273,'Email Cleaner'!$K$2:$K$10001,0)),"")</f>
        <v/>
      </c>
    </row>
    <row r="275">
      <c r="A275">
        <f>IFERROR(INDEX('Email Cleaner'!$B$2:$B$10001,MATCH(274,'Email Cleaner'!$K$2:$K$10001,0)),"")</f>
        <v/>
      </c>
    </row>
    <row r="276">
      <c r="A276">
        <f>IFERROR(INDEX('Email Cleaner'!$B$2:$B$10001,MATCH(275,'Email Cleaner'!$K$2:$K$10001,0)),"")</f>
        <v/>
      </c>
    </row>
    <row r="277">
      <c r="A277">
        <f>IFERROR(INDEX('Email Cleaner'!$B$2:$B$10001,MATCH(276,'Email Cleaner'!$K$2:$K$10001,0)),"")</f>
        <v/>
      </c>
    </row>
    <row r="278">
      <c r="A278">
        <f>IFERROR(INDEX('Email Cleaner'!$B$2:$B$10001,MATCH(277,'Email Cleaner'!$K$2:$K$10001,0)),"")</f>
        <v/>
      </c>
    </row>
    <row r="279">
      <c r="A279">
        <f>IFERROR(INDEX('Email Cleaner'!$B$2:$B$10001,MATCH(278,'Email Cleaner'!$K$2:$K$10001,0)),"")</f>
        <v/>
      </c>
    </row>
    <row r="280">
      <c r="A280">
        <f>IFERROR(INDEX('Email Cleaner'!$B$2:$B$10001,MATCH(279,'Email Cleaner'!$K$2:$K$10001,0)),"")</f>
        <v/>
      </c>
    </row>
    <row r="281">
      <c r="A281">
        <f>IFERROR(INDEX('Email Cleaner'!$B$2:$B$10001,MATCH(280,'Email Cleaner'!$K$2:$K$10001,0)),"")</f>
        <v/>
      </c>
    </row>
    <row r="282">
      <c r="A282">
        <f>IFERROR(INDEX('Email Cleaner'!$B$2:$B$10001,MATCH(281,'Email Cleaner'!$K$2:$K$10001,0)),"")</f>
        <v/>
      </c>
    </row>
    <row r="283">
      <c r="A283">
        <f>IFERROR(INDEX('Email Cleaner'!$B$2:$B$10001,MATCH(282,'Email Cleaner'!$K$2:$K$10001,0)),"")</f>
        <v/>
      </c>
    </row>
    <row r="284">
      <c r="A284">
        <f>IFERROR(INDEX('Email Cleaner'!$B$2:$B$10001,MATCH(283,'Email Cleaner'!$K$2:$K$10001,0)),"")</f>
        <v/>
      </c>
    </row>
    <row r="285">
      <c r="A285">
        <f>IFERROR(INDEX('Email Cleaner'!$B$2:$B$10001,MATCH(284,'Email Cleaner'!$K$2:$K$10001,0)),"")</f>
        <v/>
      </c>
    </row>
    <row r="286">
      <c r="A286">
        <f>IFERROR(INDEX('Email Cleaner'!$B$2:$B$10001,MATCH(285,'Email Cleaner'!$K$2:$K$10001,0)),"")</f>
        <v/>
      </c>
    </row>
    <row r="287">
      <c r="A287">
        <f>IFERROR(INDEX('Email Cleaner'!$B$2:$B$10001,MATCH(286,'Email Cleaner'!$K$2:$K$10001,0)),"")</f>
        <v/>
      </c>
    </row>
    <row r="288">
      <c r="A288">
        <f>IFERROR(INDEX('Email Cleaner'!$B$2:$B$10001,MATCH(287,'Email Cleaner'!$K$2:$K$10001,0)),"")</f>
        <v/>
      </c>
    </row>
    <row r="289">
      <c r="A289">
        <f>IFERROR(INDEX('Email Cleaner'!$B$2:$B$10001,MATCH(288,'Email Cleaner'!$K$2:$K$10001,0)),"")</f>
        <v/>
      </c>
    </row>
    <row r="290">
      <c r="A290">
        <f>IFERROR(INDEX('Email Cleaner'!$B$2:$B$10001,MATCH(289,'Email Cleaner'!$K$2:$K$10001,0)),"")</f>
        <v/>
      </c>
    </row>
    <row r="291">
      <c r="A291">
        <f>IFERROR(INDEX('Email Cleaner'!$B$2:$B$10001,MATCH(290,'Email Cleaner'!$K$2:$K$10001,0)),"")</f>
        <v/>
      </c>
    </row>
    <row r="292">
      <c r="A292">
        <f>IFERROR(INDEX('Email Cleaner'!$B$2:$B$10001,MATCH(291,'Email Cleaner'!$K$2:$K$10001,0)),"")</f>
        <v/>
      </c>
    </row>
    <row r="293">
      <c r="A293">
        <f>IFERROR(INDEX('Email Cleaner'!$B$2:$B$10001,MATCH(292,'Email Cleaner'!$K$2:$K$10001,0)),"")</f>
        <v/>
      </c>
    </row>
    <row r="294">
      <c r="A294">
        <f>IFERROR(INDEX('Email Cleaner'!$B$2:$B$10001,MATCH(293,'Email Cleaner'!$K$2:$K$10001,0)),"")</f>
        <v/>
      </c>
    </row>
    <row r="295">
      <c r="A295">
        <f>IFERROR(INDEX('Email Cleaner'!$B$2:$B$10001,MATCH(294,'Email Cleaner'!$K$2:$K$10001,0)),"")</f>
        <v/>
      </c>
    </row>
    <row r="296">
      <c r="A296">
        <f>IFERROR(INDEX('Email Cleaner'!$B$2:$B$10001,MATCH(295,'Email Cleaner'!$K$2:$K$10001,0)),"")</f>
        <v/>
      </c>
    </row>
    <row r="297">
      <c r="A297">
        <f>IFERROR(INDEX('Email Cleaner'!$B$2:$B$10001,MATCH(296,'Email Cleaner'!$K$2:$K$10001,0)),"")</f>
        <v/>
      </c>
    </row>
    <row r="298">
      <c r="A298">
        <f>IFERROR(INDEX('Email Cleaner'!$B$2:$B$10001,MATCH(297,'Email Cleaner'!$K$2:$K$10001,0)),"")</f>
        <v/>
      </c>
    </row>
    <row r="299">
      <c r="A299">
        <f>IFERROR(INDEX('Email Cleaner'!$B$2:$B$10001,MATCH(298,'Email Cleaner'!$K$2:$K$10001,0)),"")</f>
        <v/>
      </c>
    </row>
    <row r="300">
      <c r="A300">
        <f>IFERROR(INDEX('Email Cleaner'!$B$2:$B$10001,MATCH(299,'Email Cleaner'!$K$2:$K$10001,0)),"")</f>
        <v/>
      </c>
    </row>
    <row r="301">
      <c r="A301">
        <f>IFERROR(INDEX('Email Cleaner'!$B$2:$B$10001,MATCH(300,'Email Cleaner'!$K$2:$K$10001,0)),"")</f>
        <v/>
      </c>
    </row>
    <row r="302">
      <c r="A302">
        <f>IFERROR(INDEX('Email Cleaner'!$B$2:$B$10001,MATCH(301,'Email Cleaner'!$K$2:$K$10001,0)),"")</f>
        <v/>
      </c>
    </row>
    <row r="303">
      <c r="A303">
        <f>IFERROR(INDEX('Email Cleaner'!$B$2:$B$10001,MATCH(302,'Email Cleaner'!$K$2:$K$10001,0)),"")</f>
        <v/>
      </c>
    </row>
    <row r="304">
      <c r="A304">
        <f>IFERROR(INDEX('Email Cleaner'!$B$2:$B$10001,MATCH(303,'Email Cleaner'!$K$2:$K$10001,0)),"")</f>
        <v/>
      </c>
    </row>
    <row r="305">
      <c r="A305">
        <f>IFERROR(INDEX('Email Cleaner'!$B$2:$B$10001,MATCH(304,'Email Cleaner'!$K$2:$K$10001,0)),"")</f>
        <v/>
      </c>
    </row>
    <row r="306">
      <c r="A306">
        <f>IFERROR(INDEX('Email Cleaner'!$B$2:$B$10001,MATCH(305,'Email Cleaner'!$K$2:$K$10001,0)),"")</f>
        <v/>
      </c>
    </row>
    <row r="307">
      <c r="A307">
        <f>IFERROR(INDEX('Email Cleaner'!$B$2:$B$10001,MATCH(306,'Email Cleaner'!$K$2:$K$10001,0)),"")</f>
        <v/>
      </c>
    </row>
    <row r="308">
      <c r="A308">
        <f>IFERROR(INDEX('Email Cleaner'!$B$2:$B$10001,MATCH(307,'Email Cleaner'!$K$2:$K$10001,0)),"")</f>
        <v/>
      </c>
    </row>
    <row r="309">
      <c r="A309">
        <f>IFERROR(INDEX('Email Cleaner'!$B$2:$B$10001,MATCH(308,'Email Cleaner'!$K$2:$K$10001,0)),"")</f>
        <v/>
      </c>
    </row>
    <row r="310">
      <c r="A310">
        <f>IFERROR(INDEX('Email Cleaner'!$B$2:$B$10001,MATCH(309,'Email Cleaner'!$K$2:$K$10001,0)),"")</f>
        <v/>
      </c>
    </row>
    <row r="311">
      <c r="A311">
        <f>IFERROR(INDEX('Email Cleaner'!$B$2:$B$10001,MATCH(310,'Email Cleaner'!$K$2:$K$10001,0)),"")</f>
        <v/>
      </c>
    </row>
    <row r="312">
      <c r="A312">
        <f>IFERROR(INDEX('Email Cleaner'!$B$2:$B$10001,MATCH(311,'Email Cleaner'!$K$2:$K$10001,0)),"")</f>
        <v/>
      </c>
    </row>
    <row r="313">
      <c r="A313">
        <f>IFERROR(INDEX('Email Cleaner'!$B$2:$B$10001,MATCH(312,'Email Cleaner'!$K$2:$K$10001,0)),"")</f>
        <v/>
      </c>
    </row>
    <row r="314">
      <c r="A314">
        <f>IFERROR(INDEX('Email Cleaner'!$B$2:$B$10001,MATCH(313,'Email Cleaner'!$K$2:$K$10001,0)),"")</f>
        <v/>
      </c>
    </row>
    <row r="315">
      <c r="A315">
        <f>IFERROR(INDEX('Email Cleaner'!$B$2:$B$10001,MATCH(314,'Email Cleaner'!$K$2:$K$10001,0)),"")</f>
        <v/>
      </c>
    </row>
    <row r="316">
      <c r="A316">
        <f>IFERROR(INDEX('Email Cleaner'!$B$2:$B$10001,MATCH(315,'Email Cleaner'!$K$2:$K$10001,0)),"")</f>
        <v/>
      </c>
    </row>
    <row r="317">
      <c r="A317">
        <f>IFERROR(INDEX('Email Cleaner'!$B$2:$B$10001,MATCH(316,'Email Cleaner'!$K$2:$K$10001,0)),"")</f>
        <v/>
      </c>
    </row>
    <row r="318">
      <c r="A318">
        <f>IFERROR(INDEX('Email Cleaner'!$B$2:$B$10001,MATCH(317,'Email Cleaner'!$K$2:$K$10001,0)),"")</f>
        <v/>
      </c>
    </row>
    <row r="319">
      <c r="A319">
        <f>IFERROR(INDEX('Email Cleaner'!$B$2:$B$10001,MATCH(318,'Email Cleaner'!$K$2:$K$10001,0)),"")</f>
        <v/>
      </c>
    </row>
    <row r="320">
      <c r="A320">
        <f>IFERROR(INDEX('Email Cleaner'!$B$2:$B$10001,MATCH(319,'Email Cleaner'!$K$2:$K$10001,0)),"")</f>
        <v/>
      </c>
    </row>
    <row r="321">
      <c r="A321">
        <f>IFERROR(INDEX('Email Cleaner'!$B$2:$B$10001,MATCH(320,'Email Cleaner'!$K$2:$K$10001,0)),"")</f>
        <v/>
      </c>
    </row>
    <row r="322">
      <c r="A322">
        <f>IFERROR(INDEX('Email Cleaner'!$B$2:$B$10001,MATCH(321,'Email Cleaner'!$K$2:$K$10001,0)),"")</f>
        <v/>
      </c>
    </row>
    <row r="323">
      <c r="A323">
        <f>IFERROR(INDEX('Email Cleaner'!$B$2:$B$10001,MATCH(322,'Email Cleaner'!$K$2:$K$10001,0)),"")</f>
        <v/>
      </c>
    </row>
    <row r="324">
      <c r="A324">
        <f>IFERROR(INDEX('Email Cleaner'!$B$2:$B$10001,MATCH(323,'Email Cleaner'!$K$2:$K$10001,0)),"")</f>
        <v/>
      </c>
    </row>
    <row r="325">
      <c r="A325">
        <f>IFERROR(INDEX('Email Cleaner'!$B$2:$B$10001,MATCH(324,'Email Cleaner'!$K$2:$K$10001,0)),"")</f>
        <v/>
      </c>
    </row>
    <row r="326">
      <c r="A326">
        <f>IFERROR(INDEX('Email Cleaner'!$B$2:$B$10001,MATCH(325,'Email Cleaner'!$K$2:$K$10001,0)),"")</f>
        <v/>
      </c>
    </row>
    <row r="327">
      <c r="A327">
        <f>IFERROR(INDEX('Email Cleaner'!$B$2:$B$10001,MATCH(326,'Email Cleaner'!$K$2:$K$10001,0)),"")</f>
        <v/>
      </c>
    </row>
    <row r="328">
      <c r="A328">
        <f>IFERROR(INDEX('Email Cleaner'!$B$2:$B$10001,MATCH(327,'Email Cleaner'!$K$2:$K$10001,0)),"")</f>
        <v/>
      </c>
    </row>
    <row r="329">
      <c r="A329">
        <f>IFERROR(INDEX('Email Cleaner'!$B$2:$B$10001,MATCH(328,'Email Cleaner'!$K$2:$K$10001,0)),"")</f>
        <v/>
      </c>
    </row>
    <row r="330">
      <c r="A330">
        <f>IFERROR(INDEX('Email Cleaner'!$B$2:$B$10001,MATCH(329,'Email Cleaner'!$K$2:$K$10001,0)),"")</f>
        <v/>
      </c>
    </row>
    <row r="331">
      <c r="A331">
        <f>IFERROR(INDEX('Email Cleaner'!$B$2:$B$10001,MATCH(330,'Email Cleaner'!$K$2:$K$10001,0)),"")</f>
        <v/>
      </c>
    </row>
    <row r="332">
      <c r="A332">
        <f>IFERROR(INDEX('Email Cleaner'!$B$2:$B$10001,MATCH(331,'Email Cleaner'!$K$2:$K$10001,0)),"")</f>
        <v/>
      </c>
    </row>
    <row r="333">
      <c r="A333">
        <f>IFERROR(INDEX('Email Cleaner'!$B$2:$B$10001,MATCH(332,'Email Cleaner'!$K$2:$K$10001,0)),"")</f>
        <v/>
      </c>
    </row>
    <row r="334">
      <c r="A334">
        <f>IFERROR(INDEX('Email Cleaner'!$B$2:$B$10001,MATCH(333,'Email Cleaner'!$K$2:$K$10001,0)),"")</f>
        <v/>
      </c>
    </row>
    <row r="335">
      <c r="A335">
        <f>IFERROR(INDEX('Email Cleaner'!$B$2:$B$10001,MATCH(334,'Email Cleaner'!$K$2:$K$10001,0)),"")</f>
        <v/>
      </c>
    </row>
    <row r="336">
      <c r="A336">
        <f>IFERROR(INDEX('Email Cleaner'!$B$2:$B$10001,MATCH(335,'Email Cleaner'!$K$2:$K$10001,0)),"")</f>
        <v/>
      </c>
    </row>
    <row r="337">
      <c r="A337">
        <f>IFERROR(INDEX('Email Cleaner'!$B$2:$B$10001,MATCH(336,'Email Cleaner'!$K$2:$K$10001,0)),"")</f>
        <v/>
      </c>
    </row>
    <row r="338">
      <c r="A338">
        <f>IFERROR(INDEX('Email Cleaner'!$B$2:$B$10001,MATCH(337,'Email Cleaner'!$K$2:$K$10001,0)),"")</f>
        <v/>
      </c>
    </row>
    <row r="339">
      <c r="A339">
        <f>IFERROR(INDEX('Email Cleaner'!$B$2:$B$10001,MATCH(338,'Email Cleaner'!$K$2:$K$10001,0)),"")</f>
        <v/>
      </c>
    </row>
    <row r="340">
      <c r="A340">
        <f>IFERROR(INDEX('Email Cleaner'!$B$2:$B$10001,MATCH(339,'Email Cleaner'!$K$2:$K$10001,0)),"")</f>
        <v/>
      </c>
    </row>
    <row r="341">
      <c r="A341">
        <f>IFERROR(INDEX('Email Cleaner'!$B$2:$B$10001,MATCH(340,'Email Cleaner'!$K$2:$K$10001,0)),"")</f>
        <v/>
      </c>
    </row>
    <row r="342">
      <c r="A342">
        <f>IFERROR(INDEX('Email Cleaner'!$B$2:$B$10001,MATCH(341,'Email Cleaner'!$K$2:$K$10001,0)),"")</f>
        <v/>
      </c>
    </row>
    <row r="343">
      <c r="A343">
        <f>IFERROR(INDEX('Email Cleaner'!$B$2:$B$10001,MATCH(342,'Email Cleaner'!$K$2:$K$10001,0)),"")</f>
        <v/>
      </c>
    </row>
    <row r="344">
      <c r="A344">
        <f>IFERROR(INDEX('Email Cleaner'!$B$2:$B$10001,MATCH(343,'Email Cleaner'!$K$2:$K$10001,0)),"")</f>
        <v/>
      </c>
    </row>
    <row r="345">
      <c r="A345">
        <f>IFERROR(INDEX('Email Cleaner'!$B$2:$B$10001,MATCH(344,'Email Cleaner'!$K$2:$K$10001,0)),"")</f>
        <v/>
      </c>
    </row>
    <row r="346">
      <c r="A346">
        <f>IFERROR(INDEX('Email Cleaner'!$B$2:$B$10001,MATCH(345,'Email Cleaner'!$K$2:$K$10001,0)),"")</f>
        <v/>
      </c>
    </row>
    <row r="347">
      <c r="A347">
        <f>IFERROR(INDEX('Email Cleaner'!$B$2:$B$10001,MATCH(346,'Email Cleaner'!$K$2:$K$10001,0)),"")</f>
        <v/>
      </c>
    </row>
    <row r="348">
      <c r="A348">
        <f>IFERROR(INDEX('Email Cleaner'!$B$2:$B$10001,MATCH(347,'Email Cleaner'!$K$2:$K$10001,0)),"")</f>
        <v/>
      </c>
    </row>
    <row r="349">
      <c r="A349">
        <f>IFERROR(INDEX('Email Cleaner'!$B$2:$B$10001,MATCH(348,'Email Cleaner'!$K$2:$K$10001,0)),"")</f>
        <v/>
      </c>
    </row>
    <row r="350">
      <c r="A350">
        <f>IFERROR(INDEX('Email Cleaner'!$B$2:$B$10001,MATCH(349,'Email Cleaner'!$K$2:$K$10001,0)),"")</f>
        <v/>
      </c>
    </row>
    <row r="351">
      <c r="A351">
        <f>IFERROR(INDEX('Email Cleaner'!$B$2:$B$10001,MATCH(350,'Email Cleaner'!$K$2:$K$10001,0)),"")</f>
        <v/>
      </c>
    </row>
    <row r="352">
      <c r="A352">
        <f>IFERROR(INDEX('Email Cleaner'!$B$2:$B$10001,MATCH(351,'Email Cleaner'!$K$2:$K$10001,0)),"")</f>
        <v/>
      </c>
    </row>
    <row r="353">
      <c r="A353">
        <f>IFERROR(INDEX('Email Cleaner'!$B$2:$B$10001,MATCH(352,'Email Cleaner'!$K$2:$K$10001,0)),"")</f>
        <v/>
      </c>
    </row>
    <row r="354">
      <c r="A354">
        <f>IFERROR(INDEX('Email Cleaner'!$B$2:$B$10001,MATCH(353,'Email Cleaner'!$K$2:$K$10001,0)),"")</f>
        <v/>
      </c>
    </row>
    <row r="355">
      <c r="A355">
        <f>IFERROR(INDEX('Email Cleaner'!$B$2:$B$10001,MATCH(354,'Email Cleaner'!$K$2:$K$10001,0)),"")</f>
        <v/>
      </c>
    </row>
    <row r="356">
      <c r="A356">
        <f>IFERROR(INDEX('Email Cleaner'!$B$2:$B$10001,MATCH(355,'Email Cleaner'!$K$2:$K$10001,0)),"")</f>
        <v/>
      </c>
    </row>
    <row r="357">
      <c r="A357">
        <f>IFERROR(INDEX('Email Cleaner'!$B$2:$B$10001,MATCH(356,'Email Cleaner'!$K$2:$K$10001,0)),"")</f>
        <v/>
      </c>
    </row>
    <row r="358">
      <c r="A358">
        <f>IFERROR(INDEX('Email Cleaner'!$B$2:$B$10001,MATCH(357,'Email Cleaner'!$K$2:$K$10001,0)),"")</f>
        <v/>
      </c>
    </row>
    <row r="359">
      <c r="A359">
        <f>IFERROR(INDEX('Email Cleaner'!$B$2:$B$10001,MATCH(358,'Email Cleaner'!$K$2:$K$10001,0)),"")</f>
        <v/>
      </c>
    </row>
    <row r="360">
      <c r="A360">
        <f>IFERROR(INDEX('Email Cleaner'!$B$2:$B$10001,MATCH(359,'Email Cleaner'!$K$2:$K$10001,0)),"")</f>
        <v/>
      </c>
    </row>
    <row r="361">
      <c r="A361">
        <f>IFERROR(INDEX('Email Cleaner'!$B$2:$B$10001,MATCH(360,'Email Cleaner'!$K$2:$K$10001,0)),"")</f>
        <v/>
      </c>
    </row>
    <row r="362">
      <c r="A362">
        <f>IFERROR(INDEX('Email Cleaner'!$B$2:$B$10001,MATCH(361,'Email Cleaner'!$K$2:$K$10001,0)),"")</f>
        <v/>
      </c>
    </row>
    <row r="363">
      <c r="A363">
        <f>IFERROR(INDEX('Email Cleaner'!$B$2:$B$10001,MATCH(362,'Email Cleaner'!$K$2:$K$10001,0)),"")</f>
        <v/>
      </c>
    </row>
    <row r="364">
      <c r="A364">
        <f>IFERROR(INDEX('Email Cleaner'!$B$2:$B$10001,MATCH(363,'Email Cleaner'!$K$2:$K$10001,0)),"")</f>
        <v/>
      </c>
    </row>
    <row r="365">
      <c r="A365">
        <f>IFERROR(INDEX('Email Cleaner'!$B$2:$B$10001,MATCH(364,'Email Cleaner'!$K$2:$K$10001,0)),"")</f>
        <v/>
      </c>
    </row>
    <row r="366">
      <c r="A366">
        <f>IFERROR(INDEX('Email Cleaner'!$B$2:$B$10001,MATCH(365,'Email Cleaner'!$K$2:$K$10001,0)),"")</f>
        <v/>
      </c>
    </row>
    <row r="367">
      <c r="A367">
        <f>IFERROR(INDEX('Email Cleaner'!$B$2:$B$10001,MATCH(366,'Email Cleaner'!$K$2:$K$10001,0)),"")</f>
        <v/>
      </c>
    </row>
    <row r="368">
      <c r="A368">
        <f>IFERROR(INDEX('Email Cleaner'!$B$2:$B$10001,MATCH(367,'Email Cleaner'!$K$2:$K$10001,0)),"")</f>
        <v/>
      </c>
    </row>
    <row r="369">
      <c r="A369">
        <f>IFERROR(INDEX('Email Cleaner'!$B$2:$B$10001,MATCH(368,'Email Cleaner'!$K$2:$K$10001,0)),"")</f>
        <v/>
      </c>
    </row>
    <row r="370">
      <c r="A370">
        <f>IFERROR(INDEX('Email Cleaner'!$B$2:$B$10001,MATCH(369,'Email Cleaner'!$K$2:$K$10001,0)),"")</f>
        <v/>
      </c>
    </row>
    <row r="371">
      <c r="A371">
        <f>IFERROR(INDEX('Email Cleaner'!$B$2:$B$10001,MATCH(370,'Email Cleaner'!$K$2:$K$10001,0)),"")</f>
        <v/>
      </c>
    </row>
    <row r="372">
      <c r="A372">
        <f>IFERROR(INDEX('Email Cleaner'!$B$2:$B$10001,MATCH(371,'Email Cleaner'!$K$2:$K$10001,0)),"")</f>
        <v/>
      </c>
    </row>
    <row r="373">
      <c r="A373">
        <f>IFERROR(INDEX('Email Cleaner'!$B$2:$B$10001,MATCH(372,'Email Cleaner'!$K$2:$K$10001,0)),"")</f>
        <v/>
      </c>
    </row>
    <row r="374">
      <c r="A374">
        <f>IFERROR(INDEX('Email Cleaner'!$B$2:$B$10001,MATCH(373,'Email Cleaner'!$K$2:$K$10001,0)),"")</f>
        <v/>
      </c>
    </row>
    <row r="375">
      <c r="A375">
        <f>IFERROR(INDEX('Email Cleaner'!$B$2:$B$10001,MATCH(374,'Email Cleaner'!$K$2:$K$10001,0)),"")</f>
        <v/>
      </c>
    </row>
    <row r="376">
      <c r="A376">
        <f>IFERROR(INDEX('Email Cleaner'!$B$2:$B$10001,MATCH(375,'Email Cleaner'!$K$2:$K$10001,0)),"")</f>
        <v/>
      </c>
    </row>
    <row r="377">
      <c r="A377">
        <f>IFERROR(INDEX('Email Cleaner'!$B$2:$B$10001,MATCH(376,'Email Cleaner'!$K$2:$K$10001,0)),"")</f>
        <v/>
      </c>
    </row>
    <row r="378">
      <c r="A378">
        <f>IFERROR(INDEX('Email Cleaner'!$B$2:$B$10001,MATCH(377,'Email Cleaner'!$K$2:$K$10001,0)),"")</f>
        <v/>
      </c>
    </row>
    <row r="379">
      <c r="A379">
        <f>IFERROR(INDEX('Email Cleaner'!$B$2:$B$10001,MATCH(378,'Email Cleaner'!$K$2:$K$10001,0)),"")</f>
        <v/>
      </c>
    </row>
    <row r="380">
      <c r="A380">
        <f>IFERROR(INDEX('Email Cleaner'!$B$2:$B$10001,MATCH(379,'Email Cleaner'!$K$2:$K$10001,0)),"")</f>
        <v/>
      </c>
    </row>
    <row r="381">
      <c r="A381">
        <f>IFERROR(INDEX('Email Cleaner'!$B$2:$B$10001,MATCH(380,'Email Cleaner'!$K$2:$K$10001,0)),"")</f>
        <v/>
      </c>
    </row>
    <row r="382">
      <c r="A382">
        <f>IFERROR(INDEX('Email Cleaner'!$B$2:$B$10001,MATCH(381,'Email Cleaner'!$K$2:$K$10001,0)),"")</f>
        <v/>
      </c>
    </row>
    <row r="383">
      <c r="A383">
        <f>IFERROR(INDEX('Email Cleaner'!$B$2:$B$10001,MATCH(382,'Email Cleaner'!$K$2:$K$10001,0)),"")</f>
        <v/>
      </c>
    </row>
    <row r="384">
      <c r="A384">
        <f>IFERROR(INDEX('Email Cleaner'!$B$2:$B$10001,MATCH(383,'Email Cleaner'!$K$2:$K$10001,0)),"")</f>
        <v/>
      </c>
    </row>
    <row r="385">
      <c r="A385">
        <f>IFERROR(INDEX('Email Cleaner'!$B$2:$B$10001,MATCH(384,'Email Cleaner'!$K$2:$K$10001,0)),"")</f>
        <v/>
      </c>
    </row>
    <row r="386">
      <c r="A386">
        <f>IFERROR(INDEX('Email Cleaner'!$B$2:$B$10001,MATCH(385,'Email Cleaner'!$K$2:$K$10001,0)),"")</f>
        <v/>
      </c>
    </row>
    <row r="387">
      <c r="A387">
        <f>IFERROR(INDEX('Email Cleaner'!$B$2:$B$10001,MATCH(386,'Email Cleaner'!$K$2:$K$10001,0)),"")</f>
        <v/>
      </c>
    </row>
    <row r="388">
      <c r="A388">
        <f>IFERROR(INDEX('Email Cleaner'!$B$2:$B$10001,MATCH(387,'Email Cleaner'!$K$2:$K$10001,0)),"")</f>
        <v/>
      </c>
    </row>
    <row r="389">
      <c r="A389">
        <f>IFERROR(INDEX('Email Cleaner'!$B$2:$B$10001,MATCH(388,'Email Cleaner'!$K$2:$K$10001,0)),"")</f>
        <v/>
      </c>
    </row>
    <row r="390">
      <c r="A390">
        <f>IFERROR(INDEX('Email Cleaner'!$B$2:$B$10001,MATCH(389,'Email Cleaner'!$K$2:$K$10001,0)),"")</f>
        <v/>
      </c>
    </row>
    <row r="391">
      <c r="A391">
        <f>IFERROR(INDEX('Email Cleaner'!$B$2:$B$10001,MATCH(390,'Email Cleaner'!$K$2:$K$10001,0)),"")</f>
        <v/>
      </c>
    </row>
    <row r="392">
      <c r="A392">
        <f>IFERROR(INDEX('Email Cleaner'!$B$2:$B$10001,MATCH(391,'Email Cleaner'!$K$2:$K$10001,0)),"")</f>
        <v/>
      </c>
    </row>
    <row r="393">
      <c r="A393">
        <f>IFERROR(INDEX('Email Cleaner'!$B$2:$B$10001,MATCH(392,'Email Cleaner'!$K$2:$K$10001,0)),"")</f>
        <v/>
      </c>
    </row>
    <row r="394">
      <c r="A394">
        <f>IFERROR(INDEX('Email Cleaner'!$B$2:$B$10001,MATCH(393,'Email Cleaner'!$K$2:$K$10001,0)),"")</f>
        <v/>
      </c>
    </row>
    <row r="395">
      <c r="A395">
        <f>IFERROR(INDEX('Email Cleaner'!$B$2:$B$10001,MATCH(394,'Email Cleaner'!$K$2:$K$10001,0)),"")</f>
        <v/>
      </c>
    </row>
    <row r="396">
      <c r="A396">
        <f>IFERROR(INDEX('Email Cleaner'!$B$2:$B$10001,MATCH(395,'Email Cleaner'!$K$2:$K$10001,0)),"")</f>
        <v/>
      </c>
    </row>
    <row r="397">
      <c r="A397">
        <f>IFERROR(INDEX('Email Cleaner'!$B$2:$B$10001,MATCH(396,'Email Cleaner'!$K$2:$K$10001,0)),"")</f>
        <v/>
      </c>
    </row>
    <row r="398">
      <c r="A398">
        <f>IFERROR(INDEX('Email Cleaner'!$B$2:$B$10001,MATCH(397,'Email Cleaner'!$K$2:$K$10001,0)),"")</f>
        <v/>
      </c>
    </row>
    <row r="399">
      <c r="A399">
        <f>IFERROR(INDEX('Email Cleaner'!$B$2:$B$10001,MATCH(398,'Email Cleaner'!$K$2:$K$10001,0)),"")</f>
        <v/>
      </c>
    </row>
    <row r="400">
      <c r="A400">
        <f>IFERROR(INDEX('Email Cleaner'!$B$2:$B$10001,MATCH(399,'Email Cleaner'!$K$2:$K$10001,0)),"")</f>
        <v/>
      </c>
    </row>
    <row r="401">
      <c r="A401">
        <f>IFERROR(INDEX('Email Cleaner'!$B$2:$B$10001,MATCH(400,'Email Cleaner'!$K$2:$K$10001,0)),"")</f>
        <v/>
      </c>
    </row>
    <row r="402">
      <c r="A402">
        <f>IFERROR(INDEX('Email Cleaner'!$B$2:$B$10001,MATCH(401,'Email Cleaner'!$K$2:$K$10001,0)),"")</f>
        <v/>
      </c>
    </row>
    <row r="403">
      <c r="A403">
        <f>IFERROR(INDEX('Email Cleaner'!$B$2:$B$10001,MATCH(402,'Email Cleaner'!$K$2:$K$10001,0)),"")</f>
        <v/>
      </c>
    </row>
    <row r="404">
      <c r="A404">
        <f>IFERROR(INDEX('Email Cleaner'!$B$2:$B$10001,MATCH(403,'Email Cleaner'!$K$2:$K$10001,0)),"")</f>
        <v/>
      </c>
    </row>
    <row r="405">
      <c r="A405">
        <f>IFERROR(INDEX('Email Cleaner'!$B$2:$B$10001,MATCH(404,'Email Cleaner'!$K$2:$K$10001,0)),"")</f>
        <v/>
      </c>
    </row>
    <row r="406">
      <c r="A406">
        <f>IFERROR(INDEX('Email Cleaner'!$B$2:$B$10001,MATCH(405,'Email Cleaner'!$K$2:$K$10001,0)),"")</f>
        <v/>
      </c>
    </row>
    <row r="407">
      <c r="A407">
        <f>IFERROR(INDEX('Email Cleaner'!$B$2:$B$10001,MATCH(406,'Email Cleaner'!$K$2:$K$10001,0)),"")</f>
        <v/>
      </c>
    </row>
    <row r="408">
      <c r="A408">
        <f>IFERROR(INDEX('Email Cleaner'!$B$2:$B$10001,MATCH(407,'Email Cleaner'!$K$2:$K$10001,0)),"")</f>
        <v/>
      </c>
    </row>
    <row r="409">
      <c r="A409">
        <f>IFERROR(INDEX('Email Cleaner'!$B$2:$B$10001,MATCH(408,'Email Cleaner'!$K$2:$K$10001,0)),"")</f>
        <v/>
      </c>
    </row>
    <row r="410">
      <c r="A410">
        <f>IFERROR(INDEX('Email Cleaner'!$B$2:$B$10001,MATCH(409,'Email Cleaner'!$K$2:$K$10001,0)),"")</f>
        <v/>
      </c>
    </row>
    <row r="411">
      <c r="A411">
        <f>IFERROR(INDEX('Email Cleaner'!$B$2:$B$10001,MATCH(410,'Email Cleaner'!$K$2:$K$10001,0)),"")</f>
        <v/>
      </c>
    </row>
    <row r="412">
      <c r="A412">
        <f>IFERROR(INDEX('Email Cleaner'!$B$2:$B$10001,MATCH(411,'Email Cleaner'!$K$2:$K$10001,0)),"")</f>
        <v/>
      </c>
    </row>
    <row r="413">
      <c r="A413">
        <f>IFERROR(INDEX('Email Cleaner'!$B$2:$B$10001,MATCH(412,'Email Cleaner'!$K$2:$K$10001,0)),"")</f>
        <v/>
      </c>
    </row>
    <row r="414">
      <c r="A414">
        <f>IFERROR(INDEX('Email Cleaner'!$B$2:$B$10001,MATCH(413,'Email Cleaner'!$K$2:$K$10001,0)),"")</f>
        <v/>
      </c>
    </row>
    <row r="415">
      <c r="A415">
        <f>IFERROR(INDEX('Email Cleaner'!$B$2:$B$10001,MATCH(414,'Email Cleaner'!$K$2:$K$10001,0)),"")</f>
        <v/>
      </c>
    </row>
    <row r="416">
      <c r="A416">
        <f>IFERROR(INDEX('Email Cleaner'!$B$2:$B$10001,MATCH(415,'Email Cleaner'!$K$2:$K$10001,0)),"")</f>
        <v/>
      </c>
    </row>
    <row r="417">
      <c r="A417">
        <f>IFERROR(INDEX('Email Cleaner'!$B$2:$B$10001,MATCH(416,'Email Cleaner'!$K$2:$K$10001,0)),"")</f>
        <v/>
      </c>
    </row>
    <row r="418">
      <c r="A418">
        <f>IFERROR(INDEX('Email Cleaner'!$B$2:$B$10001,MATCH(417,'Email Cleaner'!$K$2:$K$10001,0)),"")</f>
        <v/>
      </c>
    </row>
    <row r="419">
      <c r="A419">
        <f>IFERROR(INDEX('Email Cleaner'!$B$2:$B$10001,MATCH(418,'Email Cleaner'!$K$2:$K$10001,0)),"")</f>
        <v/>
      </c>
    </row>
    <row r="420">
      <c r="A420">
        <f>IFERROR(INDEX('Email Cleaner'!$B$2:$B$10001,MATCH(419,'Email Cleaner'!$K$2:$K$10001,0)),"")</f>
        <v/>
      </c>
    </row>
    <row r="421">
      <c r="A421">
        <f>IFERROR(INDEX('Email Cleaner'!$B$2:$B$10001,MATCH(420,'Email Cleaner'!$K$2:$K$10001,0)),"")</f>
        <v/>
      </c>
    </row>
    <row r="422">
      <c r="A422">
        <f>IFERROR(INDEX('Email Cleaner'!$B$2:$B$10001,MATCH(421,'Email Cleaner'!$K$2:$K$10001,0)),"")</f>
        <v/>
      </c>
    </row>
    <row r="423">
      <c r="A423">
        <f>IFERROR(INDEX('Email Cleaner'!$B$2:$B$10001,MATCH(422,'Email Cleaner'!$K$2:$K$10001,0)),"")</f>
        <v/>
      </c>
    </row>
    <row r="424">
      <c r="A424">
        <f>IFERROR(INDEX('Email Cleaner'!$B$2:$B$10001,MATCH(423,'Email Cleaner'!$K$2:$K$10001,0)),"")</f>
        <v/>
      </c>
    </row>
    <row r="425">
      <c r="A425">
        <f>IFERROR(INDEX('Email Cleaner'!$B$2:$B$10001,MATCH(424,'Email Cleaner'!$K$2:$K$10001,0)),"")</f>
        <v/>
      </c>
    </row>
    <row r="426">
      <c r="A426">
        <f>IFERROR(INDEX('Email Cleaner'!$B$2:$B$10001,MATCH(425,'Email Cleaner'!$K$2:$K$10001,0)),"")</f>
        <v/>
      </c>
    </row>
    <row r="427">
      <c r="A427">
        <f>IFERROR(INDEX('Email Cleaner'!$B$2:$B$10001,MATCH(426,'Email Cleaner'!$K$2:$K$10001,0)),"")</f>
        <v/>
      </c>
    </row>
    <row r="428">
      <c r="A428">
        <f>IFERROR(INDEX('Email Cleaner'!$B$2:$B$10001,MATCH(427,'Email Cleaner'!$K$2:$K$10001,0)),"")</f>
        <v/>
      </c>
    </row>
    <row r="429">
      <c r="A429">
        <f>IFERROR(INDEX('Email Cleaner'!$B$2:$B$10001,MATCH(428,'Email Cleaner'!$K$2:$K$10001,0)),"")</f>
        <v/>
      </c>
    </row>
    <row r="430">
      <c r="A430">
        <f>IFERROR(INDEX('Email Cleaner'!$B$2:$B$10001,MATCH(429,'Email Cleaner'!$K$2:$K$10001,0)),"")</f>
        <v/>
      </c>
    </row>
    <row r="431">
      <c r="A431">
        <f>IFERROR(INDEX('Email Cleaner'!$B$2:$B$10001,MATCH(430,'Email Cleaner'!$K$2:$K$10001,0)),"")</f>
        <v/>
      </c>
    </row>
    <row r="432">
      <c r="A432">
        <f>IFERROR(INDEX('Email Cleaner'!$B$2:$B$10001,MATCH(431,'Email Cleaner'!$K$2:$K$10001,0)),"")</f>
        <v/>
      </c>
    </row>
    <row r="433">
      <c r="A433">
        <f>IFERROR(INDEX('Email Cleaner'!$B$2:$B$10001,MATCH(432,'Email Cleaner'!$K$2:$K$10001,0)),"")</f>
        <v/>
      </c>
    </row>
    <row r="434">
      <c r="A434">
        <f>IFERROR(INDEX('Email Cleaner'!$B$2:$B$10001,MATCH(433,'Email Cleaner'!$K$2:$K$10001,0)),"")</f>
        <v/>
      </c>
    </row>
    <row r="435">
      <c r="A435">
        <f>IFERROR(INDEX('Email Cleaner'!$B$2:$B$10001,MATCH(434,'Email Cleaner'!$K$2:$K$10001,0)),"")</f>
        <v/>
      </c>
    </row>
    <row r="436">
      <c r="A436">
        <f>IFERROR(INDEX('Email Cleaner'!$B$2:$B$10001,MATCH(435,'Email Cleaner'!$K$2:$K$10001,0)),"")</f>
        <v/>
      </c>
    </row>
    <row r="437">
      <c r="A437">
        <f>IFERROR(INDEX('Email Cleaner'!$B$2:$B$10001,MATCH(436,'Email Cleaner'!$K$2:$K$10001,0)),"")</f>
        <v/>
      </c>
    </row>
    <row r="438">
      <c r="A438">
        <f>IFERROR(INDEX('Email Cleaner'!$B$2:$B$10001,MATCH(437,'Email Cleaner'!$K$2:$K$10001,0)),"")</f>
        <v/>
      </c>
    </row>
    <row r="439">
      <c r="A439">
        <f>IFERROR(INDEX('Email Cleaner'!$B$2:$B$10001,MATCH(438,'Email Cleaner'!$K$2:$K$10001,0)),"")</f>
        <v/>
      </c>
    </row>
    <row r="440">
      <c r="A440">
        <f>IFERROR(INDEX('Email Cleaner'!$B$2:$B$10001,MATCH(439,'Email Cleaner'!$K$2:$K$10001,0)),"")</f>
        <v/>
      </c>
    </row>
    <row r="441">
      <c r="A441">
        <f>IFERROR(INDEX('Email Cleaner'!$B$2:$B$10001,MATCH(440,'Email Cleaner'!$K$2:$K$10001,0)),"")</f>
        <v/>
      </c>
    </row>
    <row r="442">
      <c r="A442">
        <f>IFERROR(INDEX('Email Cleaner'!$B$2:$B$10001,MATCH(441,'Email Cleaner'!$K$2:$K$10001,0)),"")</f>
        <v/>
      </c>
    </row>
    <row r="443">
      <c r="A443">
        <f>IFERROR(INDEX('Email Cleaner'!$B$2:$B$10001,MATCH(442,'Email Cleaner'!$K$2:$K$10001,0)),"")</f>
        <v/>
      </c>
    </row>
    <row r="444">
      <c r="A444">
        <f>IFERROR(INDEX('Email Cleaner'!$B$2:$B$10001,MATCH(443,'Email Cleaner'!$K$2:$K$10001,0)),"")</f>
        <v/>
      </c>
    </row>
    <row r="445">
      <c r="A445">
        <f>IFERROR(INDEX('Email Cleaner'!$B$2:$B$10001,MATCH(444,'Email Cleaner'!$K$2:$K$10001,0)),"")</f>
        <v/>
      </c>
    </row>
    <row r="446">
      <c r="A446">
        <f>IFERROR(INDEX('Email Cleaner'!$B$2:$B$10001,MATCH(445,'Email Cleaner'!$K$2:$K$10001,0)),"")</f>
        <v/>
      </c>
    </row>
    <row r="447">
      <c r="A447">
        <f>IFERROR(INDEX('Email Cleaner'!$B$2:$B$10001,MATCH(446,'Email Cleaner'!$K$2:$K$10001,0)),"")</f>
        <v/>
      </c>
    </row>
    <row r="448">
      <c r="A448">
        <f>IFERROR(INDEX('Email Cleaner'!$B$2:$B$10001,MATCH(447,'Email Cleaner'!$K$2:$K$10001,0)),"")</f>
        <v/>
      </c>
    </row>
    <row r="449">
      <c r="A449">
        <f>IFERROR(INDEX('Email Cleaner'!$B$2:$B$10001,MATCH(448,'Email Cleaner'!$K$2:$K$10001,0)),"")</f>
        <v/>
      </c>
    </row>
    <row r="450">
      <c r="A450">
        <f>IFERROR(INDEX('Email Cleaner'!$B$2:$B$10001,MATCH(449,'Email Cleaner'!$K$2:$K$10001,0)),"")</f>
        <v/>
      </c>
    </row>
    <row r="451">
      <c r="A451">
        <f>IFERROR(INDEX('Email Cleaner'!$B$2:$B$10001,MATCH(450,'Email Cleaner'!$K$2:$K$10001,0)),"")</f>
        <v/>
      </c>
    </row>
    <row r="452">
      <c r="A452">
        <f>IFERROR(INDEX('Email Cleaner'!$B$2:$B$10001,MATCH(451,'Email Cleaner'!$K$2:$K$10001,0)),"")</f>
        <v/>
      </c>
    </row>
    <row r="453">
      <c r="A453">
        <f>IFERROR(INDEX('Email Cleaner'!$B$2:$B$10001,MATCH(452,'Email Cleaner'!$K$2:$K$10001,0)),"")</f>
        <v/>
      </c>
    </row>
    <row r="454">
      <c r="A454">
        <f>IFERROR(INDEX('Email Cleaner'!$B$2:$B$10001,MATCH(453,'Email Cleaner'!$K$2:$K$10001,0)),"")</f>
        <v/>
      </c>
    </row>
    <row r="455">
      <c r="A455">
        <f>IFERROR(INDEX('Email Cleaner'!$B$2:$B$10001,MATCH(454,'Email Cleaner'!$K$2:$K$10001,0)),"")</f>
        <v/>
      </c>
    </row>
    <row r="456">
      <c r="A456">
        <f>IFERROR(INDEX('Email Cleaner'!$B$2:$B$10001,MATCH(455,'Email Cleaner'!$K$2:$K$10001,0)),"")</f>
        <v/>
      </c>
    </row>
    <row r="457">
      <c r="A457">
        <f>IFERROR(INDEX('Email Cleaner'!$B$2:$B$10001,MATCH(456,'Email Cleaner'!$K$2:$K$10001,0)),"")</f>
        <v/>
      </c>
    </row>
    <row r="458">
      <c r="A458">
        <f>IFERROR(INDEX('Email Cleaner'!$B$2:$B$10001,MATCH(457,'Email Cleaner'!$K$2:$K$10001,0)),"")</f>
        <v/>
      </c>
    </row>
    <row r="459">
      <c r="A459">
        <f>IFERROR(INDEX('Email Cleaner'!$B$2:$B$10001,MATCH(458,'Email Cleaner'!$K$2:$K$10001,0)),"")</f>
        <v/>
      </c>
    </row>
    <row r="460">
      <c r="A460">
        <f>IFERROR(INDEX('Email Cleaner'!$B$2:$B$10001,MATCH(459,'Email Cleaner'!$K$2:$K$10001,0)),"")</f>
        <v/>
      </c>
    </row>
    <row r="461">
      <c r="A461">
        <f>IFERROR(INDEX('Email Cleaner'!$B$2:$B$10001,MATCH(460,'Email Cleaner'!$K$2:$K$10001,0)),"")</f>
        <v/>
      </c>
    </row>
    <row r="462">
      <c r="A462">
        <f>IFERROR(INDEX('Email Cleaner'!$B$2:$B$10001,MATCH(461,'Email Cleaner'!$K$2:$K$10001,0)),"")</f>
        <v/>
      </c>
    </row>
    <row r="463">
      <c r="A463">
        <f>IFERROR(INDEX('Email Cleaner'!$B$2:$B$10001,MATCH(462,'Email Cleaner'!$K$2:$K$10001,0)),"")</f>
        <v/>
      </c>
    </row>
    <row r="464">
      <c r="A464">
        <f>IFERROR(INDEX('Email Cleaner'!$B$2:$B$10001,MATCH(463,'Email Cleaner'!$K$2:$K$10001,0)),"")</f>
        <v/>
      </c>
    </row>
    <row r="465">
      <c r="A465">
        <f>IFERROR(INDEX('Email Cleaner'!$B$2:$B$10001,MATCH(464,'Email Cleaner'!$K$2:$K$10001,0)),"")</f>
        <v/>
      </c>
    </row>
    <row r="466">
      <c r="A466">
        <f>IFERROR(INDEX('Email Cleaner'!$B$2:$B$10001,MATCH(465,'Email Cleaner'!$K$2:$K$10001,0)),"")</f>
        <v/>
      </c>
    </row>
    <row r="467">
      <c r="A467">
        <f>IFERROR(INDEX('Email Cleaner'!$B$2:$B$10001,MATCH(466,'Email Cleaner'!$K$2:$K$10001,0)),"")</f>
        <v/>
      </c>
    </row>
    <row r="468">
      <c r="A468">
        <f>IFERROR(INDEX('Email Cleaner'!$B$2:$B$10001,MATCH(467,'Email Cleaner'!$K$2:$K$10001,0)),"")</f>
        <v/>
      </c>
    </row>
    <row r="469">
      <c r="A469">
        <f>IFERROR(INDEX('Email Cleaner'!$B$2:$B$10001,MATCH(468,'Email Cleaner'!$K$2:$K$10001,0)),"")</f>
        <v/>
      </c>
    </row>
    <row r="470">
      <c r="A470">
        <f>IFERROR(INDEX('Email Cleaner'!$B$2:$B$10001,MATCH(469,'Email Cleaner'!$K$2:$K$10001,0)),"")</f>
        <v/>
      </c>
    </row>
    <row r="471">
      <c r="A471">
        <f>IFERROR(INDEX('Email Cleaner'!$B$2:$B$10001,MATCH(470,'Email Cleaner'!$K$2:$K$10001,0)),"")</f>
        <v/>
      </c>
    </row>
    <row r="472">
      <c r="A472">
        <f>IFERROR(INDEX('Email Cleaner'!$B$2:$B$10001,MATCH(471,'Email Cleaner'!$K$2:$K$10001,0)),"")</f>
        <v/>
      </c>
    </row>
    <row r="473">
      <c r="A473">
        <f>IFERROR(INDEX('Email Cleaner'!$B$2:$B$10001,MATCH(472,'Email Cleaner'!$K$2:$K$10001,0)),"")</f>
        <v/>
      </c>
    </row>
    <row r="474">
      <c r="A474">
        <f>IFERROR(INDEX('Email Cleaner'!$B$2:$B$10001,MATCH(473,'Email Cleaner'!$K$2:$K$10001,0)),"")</f>
        <v/>
      </c>
    </row>
    <row r="475">
      <c r="A475">
        <f>IFERROR(INDEX('Email Cleaner'!$B$2:$B$10001,MATCH(474,'Email Cleaner'!$K$2:$K$10001,0)),"")</f>
        <v/>
      </c>
    </row>
    <row r="476">
      <c r="A476">
        <f>IFERROR(INDEX('Email Cleaner'!$B$2:$B$10001,MATCH(475,'Email Cleaner'!$K$2:$K$10001,0)),"")</f>
        <v/>
      </c>
    </row>
    <row r="477">
      <c r="A477">
        <f>IFERROR(INDEX('Email Cleaner'!$B$2:$B$10001,MATCH(476,'Email Cleaner'!$K$2:$K$10001,0)),"")</f>
        <v/>
      </c>
    </row>
    <row r="478">
      <c r="A478">
        <f>IFERROR(INDEX('Email Cleaner'!$B$2:$B$10001,MATCH(477,'Email Cleaner'!$K$2:$K$10001,0)),"")</f>
        <v/>
      </c>
    </row>
    <row r="479">
      <c r="A479">
        <f>IFERROR(INDEX('Email Cleaner'!$B$2:$B$10001,MATCH(478,'Email Cleaner'!$K$2:$K$10001,0)),"")</f>
        <v/>
      </c>
    </row>
    <row r="480">
      <c r="A480">
        <f>IFERROR(INDEX('Email Cleaner'!$B$2:$B$10001,MATCH(479,'Email Cleaner'!$K$2:$K$10001,0)),"")</f>
        <v/>
      </c>
    </row>
    <row r="481">
      <c r="A481">
        <f>IFERROR(INDEX('Email Cleaner'!$B$2:$B$10001,MATCH(480,'Email Cleaner'!$K$2:$K$10001,0)),"")</f>
        <v/>
      </c>
    </row>
    <row r="482">
      <c r="A482">
        <f>IFERROR(INDEX('Email Cleaner'!$B$2:$B$10001,MATCH(481,'Email Cleaner'!$K$2:$K$10001,0)),"")</f>
        <v/>
      </c>
    </row>
    <row r="483">
      <c r="A483">
        <f>IFERROR(INDEX('Email Cleaner'!$B$2:$B$10001,MATCH(482,'Email Cleaner'!$K$2:$K$10001,0)),"")</f>
        <v/>
      </c>
    </row>
    <row r="484">
      <c r="A484">
        <f>IFERROR(INDEX('Email Cleaner'!$B$2:$B$10001,MATCH(483,'Email Cleaner'!$K$2:$K$10001,0)),"")</f>
        <v/>
      </c>
    </row>
    <row r="485">
      <c r="A485">
        <f>IFERROR(INDEX('Email Cleaner'!$B$2:$B$10001,MATCH(484,'Email Cleaner'!$K$2:$K$10001,0)),"")</f>
        <v/>
      </c>
    </row>
    <row r="486">
      <c r="A486">
        <f>IFERROR(INDEX('Email Cleaner'!$B$2:$B$10001,MATCH(485,'Email Cleaner'!$K$2:$K$10001,0)),"")</f>
        <v/>
      </c>
    </row>
    <row r="487">
      <c r="A487">
        <f>IFERROR(INDEX('Email Cleaner'!$B$2:$B$10001,MATCH(486,'Email Cleaner'!$K$2:$K$10001,0)),"")</f>
        <v/>
      </c>
    </row>
    <row r="488">
      <c r="A488">
        <f>IFERROR(INDEX('Email Cleaner'!$B$2:$B$10001,MATCH(487,'Email Cleaner'!$K$2:$K$10001,0)),"")</f>
        <v/>
      </c>
    </row>
    <row r="489">
      <c r="A489">
        <f>IFERROR(INDEX('Email Cleaner'!$B$2:$B$10001,MATCH(488,'Email Cleaner'!$K$2:$K$10001,0)),"")</f>
        <v/>
      </c>
    </row>
    <row r="490">
      <c r="A490">
        <f>IFERROR(INDEX('Email Cleaner'!$B$2:$B$10001,MATCH(489,'Email Cleaner'!$K$2:$K$10001,0)),"")</f>
        <v/>
      </c>
    </row>
    <row r="491">
      <c r="A491">
        <f>IFERROR(INDEX('Email Cleaner'!$B$2:$B$10001,MATCH(490,'Email Cleaner'!$K$2:$K$10001,0)),"")</f>
        <v/>
      </c>
    </row>
    <row r="492">
      <c r="A492">
        <f>IFERROR(INDEX('Email Cleaner'!$B$2:$B$10001,MATCH(491,'Email Cleaner'!$K$2:$K$10001,0)),"")</f>
        <v/>
      </c>
    </row>
    <row r="493">
      <c r="A493">
        <f>IFERROR(INDEX('Email Cleaner'!$B$2:$B$10001,MATCH(492,'Email Cleaner'!$K$2:$K$10001,0)),"")</f>
        <v/>
      </c>
    </row>
    <row r="494">
      <c r="A494">
        <f>IFERROR(INDEX('Email Cleaner'!$B$2:$B$10001,MATCH(493,'Email Cleaner'!$K$2:$K$10001,0)),"")</f>
        <v/>
      </c>
    </row>
    <row r="495">
      <c r="A495">
        <f>IFERROR(INDEX('Email Cleaner'!$B$2:$B$10001,MATCH(494,'Email Cleaner'!$K$2:$K$10001,0)),"")</f>
        <v/>
      </c>
    </row>
    <row r="496">
      <c r="A496">
        <f>IFERROR(INDEX('Email Cleaner'!$B$2:$B$10001,MATCH(495,'Email Cleaner'!$K$2:$K$10001,0)),"")</f>
        <v/>
      </c>
    </row>
    <row r="497">
      <c r="A497">
        <f>IFERROR(INDEX('Email Cleaner'!$B$2:$B$10001,MATCH(496,'Email Cleaner'!$K$2:$K$10001,0)),"")</f>
        <v/>
      </c>
    </row>
    <row r="498">
      <c r="A498">
        <f>IFERROR(INDEX('Email Cleaner'!$B$2:$B$10001,MATCH(497,'Email Cleaner'!$K$2:$K$10001,0)),"")</f>
        <v/>
      </c>
    </row>
    <row r="499">
      <c r="A499">
        <f>IFERROR(INDEX('Email Cleaner'!$B$2:$B$10001,MATCH(498,'Email Cleaner'!$K$2:$K$10001,0)),"")</f>
        <v/>
      </c>
    </row>
    <row r="500">
      <c r="A500">
        <f>IFERROR(INDEX('Email Cleaner'!$B$2:$B$10001,MATCH(499,'Email Cleaner'!$K$2:$K$10001,0)),"")</f>
        <v/>
      </c>
    </row>
    <row r="501">
      <c r="A501">
        <f>IFERROR(INDEX('Email Cleaner'!$B$2:$B$10001,MATCH(500,'Email Cleaner'!$K$2:$K$10001,0)),"")</f>
        <v/>
      </c>
    </row>
    <row r="502">
      <c r="A502">
        <f>IFERROR(INDEX('Email Cleaner'!$B$2:$B$10001,MATCH(501,'Email Cleaner'!$K$2:$K$10001,0)),"")</f>
        <v/>
      </c>
    </row>
    <row r="503">
      <c r="A503">
        <f>IFERROR(INDEX('Email Cleaner'!$B$2:$B$10001,MATCH(502,'Email Cleaner'!$K$2:$K$10001,0)),"")</f>
        <v/>
      </c>
    </row>
    <row r="504">
      <c r="A504">
        <f>IFERROR(INDEX('Email Cleaner'!$B$2:$B$10001,MATCH(503,'Email Cleaner'!$K$2:$K$10001,0)),"")</f>
        <v/>
      </c>
    </row>
    <row r="505">
      <c r="A505">
        <f>IFERROR(INDEX('Email Cleaner'!$B$2:$B$10001,MATCH(504,'Email Cleaner'!$K$2:$K$10001,0)),"")</f>
        <v/>
      </c>
    </row>
    <row r="506">
      <c r="A506">
        <f>IFERROR(INDEX('Email Cleaner'!$B$2:$B$10001,MATCH(505,'Email Cleaner'!$K$2:$K$10001,0)),"")</f>
        <v/>
      </c>
    </row>
    <row r="507">
      <c r="A507">
        <f>IFERROR(INDEX('Email Cleaner'!$B$2:$B$10001,MATCH(506,'Email Cleaner'!$K$2:$K$10001,0)),"")</f>
        <v/>
      </c>
    </row>
    <row r="508">
      <c r="A508">
        <f>IFERROR(INDEX('Email Cleaner'!$B$2:$B$10001,MATCH(507,'Email Cleaner'!$K$2:$K$10001,0)),"")</f>
        <v/>
      </c>
    </row>
    <row r="509">
      <c r="A509">
        <f>IFERROR(INDEX('Email Cleaner'!$B$2:$B$10001,MATCH(508,'Email Cleaner'!$K$2:$K$10001,0)),"")</f>
        <v/>
      </c>
    </row>
    <row r="510">
      <c r="A510">
        <f>IFERROR(INDEX('Email Cleaner'!$B$2:$B$10001,MATCH(509,'Email Cleaner'!$K$2:$K$10001,0)),"")</f>
        <v/>
      </c>
    </row>
    <row r="511">
      <c r="A511">
        <f>IFERROR(INDEX('Email Cleaner'!$B$2:$B$10001,MATCH(510,'Email Cleaner'!$K$2:$K$10001,0)),"")</f>
        <v/>
      </c>
    </row>
    <row r="512">
      <c r="A512">
        <f>IFERROR(INDEX('Email Cleaner'!$B$2:$B$10001,MATCH(511,'Email Cleaner'!$K$2:$K$10001,0)),"")</f>
        <v/>
      </c>
    </row>
    <row r="513">
      <c r="A513">
        <f>IFERROR(INDEX('Email Cleaner'!$B$2:$B$10001,MATCH(512,'Email Cleaner'!$K$2:$K$10001,0)),"")</f>
        <v/>
      </c>
    </row>
    <row r="514">
      <c r="A514">
        <f>IFERROR(INDEX('Email Cleaner'!$B$2:$B$10001,MATCH(513,'Email Cleaner'!$K$2:$K$10001,0)),"")</f>
        <v/>
      </c>
    </row>
    <row r="515">
      <c r="A515">
        <f>IFERROR(INDEX('Email Cleaner'!$B$2:$B$10001,MATCH(514,'Email Cleaner'!$K$2:$K$10001,0)),"")</f>
        <v/>
      </c>
    </row>
    <row r="516">
      <c r="A516">
        <f>IFERROR(INDEX('Email Cleaner'!$B$2:$B$10001,MATCH(515,'Email Cleaner'!$K$2:$K$10001,0)),"")</f>
        <v/>
      </c>
    </row>
    <row r="517">
      <c r="A517">
        <f>IFERROR(INDEX('Email Cleaner'!$B$2:$B$10001,MATCH(516,'Email Cleaner'!$K$2:$K$10001,0)),"")</f>
        <v/>
      </c>
    </row>
    <row r="518">
      <c r="A518">
        <f>IFERROR(INDEX('Email Cleaner'!$B$2:$B$10001,MATCH(517,'Email Cleaner'!$K$2:$K$10001,0)),"")</f>
        <v/>
      </c>
    </row>
    <row r="519">
      <c r="A519">
        <f>IFERROR(INDEX('Email Cleaner'!$B$2:$B$10001,MATCH(518,'Email Cleaner'!$K$2:$K$10001,0)),"")</f>
        <v/>
      </c>
    </row>
    <row r="520">
      <c r="A520">
        <f>IFERROR(INDEX('Email Cleaner'!$B$2:$B$10001,MATCH(519,'Email Cleaner'!$K$2:$K$10001,0)),"")</f>
        <v/>
      </c>
    </row>
    <row r="521">
      <c r="A521">
        <f>IFERROR(INDEX('Email Cleaner'!$B$2:$B$10001,MATCH(520,'Email Cleaner'!$K$2:$K$10001,0)),"")</f>
        <v/>
      </c>
    </row>
    <row r="522">
      <c r="A522">
        <f>IFERROR(INDEX('Email Cleaner'!$B$2:$B$10001,MATCH(521,'Email Cleaner'!$K$2:$K$10001,0)),"")</f>
        <v/>
      </c>
    </row>
    <row r="523">
      <c r="A523">
        <f>IFERROR(INDEX('Email Cleaner'!$B$2:$B$10001,MATCH(522,'Email Cleaner'!$K$2:$K$10001,0)),"")</f>
        <v/>
      </c>
    </row>
    <row r="524">
      <c r="A524">
        <f>IFERROR(INDEX('Email Cleaner'!$B$2:$B$10001,MATCH(523,'Email Cleaner'!$K$2:$K$10001,0)),"")</f>
        <v/>
      </c>
    </row>
    <row r="525">
      <c r="A525">
        <f>IFERROR(INDEX('Email Cleaner'!$B$2:$B$10001,MATCH(524,'Email Cleaner'!$K$2:$K$10001,0)),"")</f>
        <v/>
      </c>
    </row>
    <row r="526">
      <c r="A526">
        <f>IFERROR(INDEX('Email Cleaner'!$B$2:$B$10001,MATCH(525,'Email Cleaner'!$K$2:$K$10001,0)),"")</f>
        <v/>
      </c>
    </row>
    <row r="527">
      <c r="A527">
        <f>IFERROR(INDEX('Email Cleaner'!$B$2:$B$10001,MATCH(526,'Email Cleaner'!$K$2:$K$10001,0)),"")</f>
        <v/>
      </c>
    </row>
    <row r="528">
      <c r="A528">
        <f>IFERROR(INDEX('Email Cleaner'!$B$2:$B$10001,MATCH(527,'Email Cleaner'!$K$2:$K$10001,0)),"")</f>
        <v/>
      </c>
    </row>
    <row r="529">
      <c r="A529">
        <f>IFERROR(INDEX('Email Cleaner'!$B$2:$B$10001,MATCH(528,'Email Cleaner'!$K$2:$K$10001,0)),"")</f>
        <v/>
      </c>
    </row>
    <row r="530">
      <c r="A530">
        <f>IFERROR(INDEX('Email Cleaner'!$B$2:$B$10001,MATCH(529,'Email Cleaner'!$K$2:$K$10001,0)),"")</f>
        <v/>
      </c>
    </row>
    <row r="531">
      <c r="A531">
        <f>IFERROR(INDEX('Email Cleaner'!$B$2:$B$10001,MATCH(530,'Email Cleaner'!$K$2:$K$10001,0)),"")</f>
        <v/>
      </c>
    </row>
    <row r="532">
      <c r="A532">
        <f>IFERROR(INDEX('Email Cleaner'!$B$2:$B$10001,MATCH(531,'Email Cleaner'!$K$2:$K$10001,0)),"")</f>
        <v/>
      </c>
    </row>
    <row r="533">
      <c r="A533">
        <f>IFERROR(INDEX('Email Cleaner'!$B$2:$B$10001,MATCH(532,'Email Cleaner'!$K$2:$K$10001,0)),"")</f>
        <v/>
      </c>
    </row>
    <row r="534">
      <c r="A534">
        <f>IFERROR(INDEX('Email Cleaner'!$B$2:$B$10001,MATCH(533,'Email Cleaner'!$K$2:$K$10001,0)),"")</f>
        <v/>
      </c>
    </row>
    <row r="535">
      <c r="A535">
        <f>IFERROR(INDEX('Email Cleaner'!$B$2:$B$10001,MATCH(534,'Email Cleaner'!$K$2:$K$10001,0)),"")</f>
        <v/>
      </c>
    </row>
    <row r="536">
      <c r="A536">
        <f>IFERROR(INDEX('Email Cleaner'!$B$2:$B$10001,MATCH(535,'Email Cleaner'!$K$2:$K$10001,0)),"")</f>
        <v/>
      </c>
    </row>
    <row r="537">
      <c r="A537">
        <f>IFERROR(INDEX('Email Cleaner'!$B$2:$B$10001,MATCH(536,'Email Cleaner'!$K$2:$K$10001,0)),"")</f>
        <v/>
      </c>
    </row>
    <row r="538">
      <c r="A538">
        <f>IFERROR(INDEX('Email Cleaner'!$B$2:$B$10001,MATCH(537,'Email Cleaner'!$K$2:$K$10001,0)),"")</f>
        <v/>
      </c>
    </row>
    <row r="539">
      <c r="A539">
        <f>IFERROR(INDEX('Email Cleaner'!$B$2:$B$10001,MATCH(538,'Email Cleaner'!$K$2:$K$10001,0)),"")</f>
        <v/>
      </c>
    </row>
    <row r="540">
      <c r="A540">
        <f>IFERROR(INDEX('Email Cleaner'!$B$2:$B$10001,MATCH(539,'Email Cleaner'!$K$2:$K$10001,0)),"")</f>
        <v/>
      </c>
    </row>
    <row r="541">
      <c r="A541">
        <f>IFERROR(INDEX('Email Cleaner'!$B$2:$B$10001,MATCH(540,'Email Cleaner'!$K$2:$K$10001,0)),"")</f>
        <v/>
      </c>
    </row>
    <row r="542">
      <c r="A542">
        <f>IFERROR(INDEX('Email Cleaner'!$B$2:$B$10001,MATCH(541,'Email Cleaner'!$K$2:$K$10001,0)),"")</f>
        <v/>
      </c>
    </row>
    <row r="543">
      <c r="A543">
        <f>IFERROR(INDEX('Email Cleaner'!$B$2:$B$10001,MATCH(542,'Email Cleaner'!$K$2:$K$10001,0)),"")</f>
        <v/>
      </c>
    </row>
    <row r="544">
      <c r="A544">
        <f>IFERROR(INDEX('Email Cleaner'!$B$2:$B$10001,MATCH(543,'Email Cleaner'!$K$2:$K$10001,0)),"")</f>
        <v/>
      </c>
    </row>
    <row r="545">
      <c r="A545">
        <f>IFERROR(INDEX('Email Cleaner'!$B$2:$B$10001,MATCH(544,'Email Cleaner'!$K$2:$K$10001,0)),"")</f>
        <v/>
      </c>
    </row>
    <row r="546">
      <c r="A546">
        <f>IFERROR(INDEX('Email Cleaner'!$B$2:$B$10001,MATCH(545,'Email Cleaner'!$K$2:$K$10001,0)),"")</f>
        <v/>
      </c>
    </row>
    <row r="547">
      <c r="A547">
        <f>IFERROR(INDEX('Email Cleaner'!$B$2:$B$10001,MATCH(546,'Email Cleaner'!$K$2:$K$10001,0)),"")</f>
        <v/>
      </c>
    </row>
    <row r="548">
      <c r="A548">
        <f>IFERROR(INDEX('Email Cleaner'!$B$2:$B$10001,MATCH(547,'Email Cleaner'!$K$2:$K$10001,0)),"")</f>
        <v/>
      </c>
    </row>
    <row r="549">
      <c r="A549">
        <f>IFERROR(INDEX('Email Cleaner'!$B$2:$B$10001,MATCH(548,'Email Cleaner'!$K$2:$K$10001,0)),"")</f>
        <v/>
      </c>
    </row>
    <row r="550">
      <c r="A550">
        <f>IFERROR(INDEX('Email Cleaner'!$B$2:$B$10001,MATCH(549,'Email Cleaner'!$K$2:$K$10001,0)),"")</f>
        <v/>
      </c>
    </row>
    <row r="551">
      <c r="A551">
        <f>IFERROR(INDEX('Email Cleaner'!$B$2:$B$10001,MATCH(550,'Email Cleaner'!$K$2:$K$10001,0)),"")</f>
        <v/>
      </c>
    </row>
    <row r="552">
      <c r="A552">
        <f>IFERROR(INDEX('Email Cleaner'!$B$2:$B$10001,MATCH(551,'Email Cleaner'!$K$2:$K$10001,0)),"")</f>
        <v/>
      </c>
    </row>
    <row r="553">
      <c r="A553">
        <f>IFERROR(INDEX('Email Cleaner'!$B$2:$B$10001,MATCH(552,'Email Cleaner'!$K$2:$K$10001,0)),"")</f>
        <v/>
      </c>
    </row>
    <row r="554">
      <c r="A554">
        <f>IFERROR(INDEX('Email Cleaner'!$B$2:$B$10001,MATCH(553,'Email Cleaner'!$K$2:$K$10001,0)),"")</f>
        <v/>
      </c>
    </row>
    <row r="555">
      <c r="A555">
        <f>IFERROR(INDEX('Email Cleaner'!$B$2:$B$10001,MATCH(554,'Email Cleaner'!$K$2:$K$10001,0)),"")</f>
        <v/>
      </c>
    </row>
    <row r="556">
      <c r="A556">
        <f>IFERROR(INDEX('Email Cleaner'!$B$2:$B$10001,MATCH(555,'Email Cleaner'!$K$2:$K$10001,0)),"")</f>
        <v/>
      </c>
    </row>
    <row r="557">
      <c r="A557">
        <f>IFERROR(INDEX('Email Cleaner'!$B$2:$B$10001,MATCH(556,'Email Cleaner'!$K$2:$K$10001,0)),"")</f>
        <v/>
      </c>
    </row>
    <row r="558">
      <c r="A558">
        <f>IFERROR(INDEX('Email Cleaner'!$B$2:$B$10001,MATCH(557,'Email Cleaner'!$K$2:$K$10001,0)),"")</f>
        <v/>
      </c>
    </row>
    <row r="559">
      <c r="A559">
        <f>IFERROR(INDEX('Email Cleaner'!$B$2:$B$10001,MATCH(558,'Email Cleaner'!$K$2:$K$10001,0)),"")</f>
        <v/>
      </c>
    </row>
    <row r="560">
      <c r="A560">
        <f>IFERROR(INDEX('Email Cleaner'!$B$2:$B$10001,MATCH(559,'Email Cleaner'!$K$2:$K$10001,0)),"")</f>
        <v/>
      </c>
    </row>
    <row r="561">
      <c r="A561">
        <f>IFERROR(INDEX('Email Cleaner'!$B$2:$B$10001,MATCH(560,'Email Cleaner'!$K$2:$K$10001,0)),"")</f>
        <v/>
      </c>
    </row>
    <row r="562">
      <c r="A562">
        <f>IFERROR(INDEX('Email Cleaner'!$B$2:$B$10001,MATCH(561,'Email Cleaner'!$K$2:$K$10001,0)),"")</f>
        <v/>
      </c>
    </row>
    <row r="563">
      <c r="A563">
        <f>IFERROR(INDEX('Email Cleaner'!$B$2:$B$10001,MATCH(562,'Email Cleaner'!$K$2:$K$10001,0)),"")</f>
        <v/>
      </c>
    </row>
    <row r="564">
      <c r="A564">
        <f>IFERROR(INDEX('Email Cleaner'!$B$2:$B$10001,MATCH(563,'Email Cleaner'!$K$2:$K$10001,0)),"")</f>
        <v/>
      </c>
    </row>
    <row r="565">
      <c r="A565">
        <f>IFERROR(INDEX('Email Cleaner'!$B$2:$B$10001,MATCH(564,'Email Cleaner'!$K$2:$K$10001,0)),"")</f>
        <v/>
      </c>
    </row>
    <row r="566">
      <c r="A566">
        <f>IFERROR(INDEX('Email Cleaner'!$B$2:$B$10001,MATCH(565,'Email Cleaner'!$K$2:$K$10001,0)),"")</f>
        <v/>
      </c>
    </row>
    <row r="567">
      <c r="A567">
        <f>IFERROR(INDEX('Email Cleaner'!$B$2:$B$10001,MATCH(566,'Email Cleaner'!$K$2:$K$10001,0)),"")</f>
        <v/>
      </c>
    </row>
    <row r="568">
      <c r="A568">
        <f>IFERROR(INDEX('Email Cleaner'!$B$2:$B$10001,MATCH(567,'Email Cleaner'!$K$2:$K$10001,0)),"")</f>
        <v/>
      </c>
    </row>
    <row r="569">
      <c r="A569">
        <f>IFERROR(INDEX('Email Cleaner'!$B$2:$B$10001,MATCH(568,'Email Cleaner'!$K$2:$K$10001,0)),"")</f>
        <v/>
      </c>
    </row>
    <row r="570">
      <c r="A570">
        <f>IFERROR(INDEX('Email Cleaner'!$B$2:$B$10001,MATCH(569,'Email Cleaner'!$K$2:$K$10001,0)),"")</f>
        <v/>
      </c>
    </row>
    <row r="571">
      <c r="A571">
        <f>IFERROR(INDEX('Email Cleaner'!$B$2:$B$10001,MATCH(570,'Email Cleaner'!$K$2:$K$10001,0)),"")</f>
        <v/>
      </c>
    </row>
    <row r="572">
      <c r="A572">
        <f>IFERROR(INDEX('Email Cleaner'!$B$2:$B$10001,MATCH(571,'Email Cleaner'!$K$2:$K$10001,0)),"")</f>
        <v/>
      </c>
    </row>
    <row r="573">
      <c r="A573">
        <f>IFERROR(INDEX('Email Cleaner'!$B$2:$B$10001,MATCH(572,'Email Cleaner'!$K$2:$K$10001,0)),"")</f>
        <v/>
      </c>
    </row>
    <row r="574">
      <c r="A574">
        <f>IFERROR(INDEX('Email Cleaner'!$B$2:$B$10001,MATCH(573,'Email Cleaner'!$K$2:$K$10001,0)),"")</f>
        <v/>
      </c>
    </row>
    <row r="575">
      <c r="A575">
        <f>IFERROR(INDEX('Email Cleaner'!$B$2:$B$10001,MATCH(574,'Email Cleaner'!$K$2:$K$10001,0)),"")</f>
        <v/>
      </c>
    </row>
    <row r="576">
      <c r="A576">
        <f>IFERROR(INDEX('Email Cleaner'!$B$2:$B$10001,MATCH(575,'Email Cleaner'!$K$2:$K$10001,0)),"")</f>
        <v/>
      </c>
    </row>
    <row r="577">
      <c r="A577">
        <f>IFERROR(INDEX('Email Cleaner'!$B$2:$B$10001,MATCH(576,'Email Cleaner'!$K$2:$K$10001,0)),"")</f>
        <v/>
      </c>
    </row>
    <row r="578">
      <c r="A578">
        <f>IFERROR(INDEX('Email Cleaner'!$B$2:$B$10001,MATCH(577,'Email Cleaner'!$K$2:$K$10001,0)),"")</f>
        <v/>
      </c>
    </row>
    <row r="579">
      <c r="A579">
        <f>IFERROR(INDEX('Email Cleaner'!$B$2:$B$10001,MATCH(578,'Email Cleaner'!$K$2:$K$10001,0)),"")</f>
        <v/>
      </c>
    </row>
    <row r="580">
      <c r="A580">
        <f>IFERROR(INDEX('Email Cleaner'!$B$2:$B$10001,MATCH(579,'Email Cleaner'!$K$2:$K$10001,0)),"")</f>
        <v/>
      </c>
    </row>
    <row r="581">
      <c r="A581">
        <f>IFERROR(INDEX('Email Cleaner'!$B$2:$B$10001,MATCH(580,'Email Cleaner'!$K$2:$K$10001,0)),"")</f>
        <v/>
      </c>
    </row>
    <row r="582">
      <c r="A582">
        <f>IFERROR(INDEX('Email Cleaner'!$B$2:$B$10001,MATCH(581,'Email Cleaner'!$K$2:$K$10001,0)),"")</f>
        <v/>
      </c>
    </row>
    <row r="583">
      <c r="A583">
        <f>IFERROR(INDEX('Email Cleaner'!$B$2:$B$10001,MATCH(582,'Email Cleaner'!$K$2:$K$10001,0)),"")</f>
        <v/>
      </c>
    </row>
    <row r="584">
      <c r="A584">
        <f>IFERROR(INDEX('Email Cleaner'!$B$2:$B$10001,MATCH(583,'Email Cleaner'!$K$2:$K$10001,0)),"")</f>
        <v/>
      </c>
    </row>
    <row r="585">
      <c r="A585">
        <f>IFERROR(INDEX('Email Cleaner'!$B$2:$B$10001,MATCH(584,'Email Cleaner'!$K$2:$K$10001,0)),"")</f>
        <v/>
      </c>
    </row>
    <row r="586">
      <c r="A586">
        <f>IFERROR(INDEX('Email Cleaner'!$B$2:$B$10001,MATCH(585,'Email Cleaner'!$K$2:$K$10001,0)),"")</f>
        <v/>
      </c>
    </row>
    <row r="587">
      <c r="A587">
        <f>IFERROR(INDEX('Email Cleaner'!$B$2:$B$10001,MATCH(586,'Email Cleaner'!$K$2:$K$10001,0)),"")</f>
        <v/>
      </c>
    </row>
    <row r="588">
      <c r="A588">
        <f>IFERROR(INDEX('Email Cleaner'!$B$2:$B$10001,MATCH(587,'Email Cleaner'!$K$2:$K$10001,0)),"")</f>
        <v/>
      </c>
    </row>
    <row r="589">
      <c r="A589">
        <f>IFERROR(INDEX('Email Cleaner'!$B$2:$B$10001,MATCH(588,'Email Cleaner'!$K$2:$K$10001,0)),"")</f>
        <v/>
      </c>
    </row>
    <row r="590">
      <c r="A590">
        <f>IFERROR(INDEX('Email Cleaner'!$B$2:$B$10001,MATCH(589,'Email Cleaner'!$K$2:$K$10001,0)),"")</f>
        <v/>
      </c>
    </row>
    <row r="591">
      <c r="A591">
        <f>IFERROR(INDEX('Email Cleaner'!$B$2:$B$10001,MATCH(590,'Email Cleaner'!$K$2:$K$10001,0)),"")</f>
        <v/>
      </c>
    </row>
    <row r="592">
      <c r="A592">
        <f>IFERROR(INDEX('Email Cleaner'!$B$2:$B$10001,MATCH(591,'Email Cleaner'!$K$2:$K$10001,0)),"")</f>
        <v/>
      </c>
    </row>
    <row r="593">
      <c r="A593">
        <f>IFERROR(INDEX('Email Cleaner'!$B$2:$B$10001,MATCH(592,'Email Cleaner'!$K$2:$K$10001,0)),"")</f>
        <v/>
      </c>
    </row>
    <row r="594">
      <c r="A594">
        <f>IFERROR(INDEX('Email Cleaner'!$B$2:$B$10001,MATCH(593,'Email Cleaner'!$K$2:$K$10001,0)),"")</f>
        <v/>
      </c>
    </row>
    <row r="595">
      <c r="A595">
        <f>IFERROR(INDEX('Email Cleaner'!$B$2:$B$10001,MATCH(594,'Email Cleaner'!$K$2:$K$10001,0)),"")</f>
        <v/>
      </c>
    </row>
    <row r="596">
      <c r="A596">
        <f>IFERROR(INDEX('Email Cleaner'!$B$2:$B$10001,MATCH(595,'Email Cleaner'!$K$2:$K$10001,0)),"")</f>
        <v/>
      </c>
    </row>
    <row r="597">
      <c r="A597">
        <f>IFERROR(INDEX('Email Cleaner'!$B$2:$B$10001,MATCH(596,'Email Cleaner'!$K$2:$K$10001,0)),"")</f>
        <v/>
      </c>
    </row>
    <row r="598">
      <c r="A598">
        <f>IFERROR(INDEX('Email Cleaner'!$B$2:$B$10001,MATCH(597,'Email Cleaner'!$K$2:$K$10001,0)),"")</f>
        <v/>
      </c>
    </row>
    <row r="599">
      <c r="A599">
        <f>IFERROR(INDEX('Email Cleaner'!$B$2:$B$10001,MATCH(598,'Email Cleaner'!$K$2:$K$10001,0)),"")</f>
        <v/>
      </c>
    </row>
    <row r="600">
      <c r="A600">
        <f>IFERROR(INDEX('Email Cleaner'!$B$2:$B$10001,MATCH(599,'Email Cleaner'!$K$2:$K$10001,0)),"")</f>
        <v/>
      </c>
    </row>
    <row r="601">
      <c r="A601">
        <f>IFERROR(INDEX('Email Cleaner'!$B$2:$B$10001,MATCH(600,'Email Cleaner'!$K$2:$K$10001,0)),"")</f>
        <v/>
      </c>
    </row>
    <row r="602">
      <c r="A602">
        <f>IFERROR(INDEX('Email Cleaner'!$B$2:$B$10001,MATCH(601,'Email Cleaner'!$K$2:$K$10001,0)),"")</f>
        <v/>
      </c>
    </row>
    <row r="603">
      <c r="A603">
        <f>IFERROR(INDEX('Email Cleaner'!$B$2:$B$10001,MATCH(602,'Email Cleaner'!$K$2:$K$10001,0)),"")</f>
        <v/>
      </c>
    </row>
    <row r="604">
      <c r="A604">
        <f>IFERROR(INDEX('Email Cleaner'!$B$2:$B$10001,MATCH(603,'Email Cleaner'!$K$2:$K$10001,0)),"")</f>
        <v/>
      </c>
    </row>
    <row r="605">
      <c r="A605">
        <f>IFERROR(INDEX('Email Cleaner'!$B$2:$B$10001,MATCH(604,'Email Cleaner'!$K$2:$K$10001,0)),"")</f>
        <v/>
      </c>
    </row>
    <row r="606">
      <c r="A606">
        <f>IFERROR(INDEX('Email Cleaner'!$B$2:$B$10001,MATCH(605,'Email Cleaner'!$K$2:$K$10001,0)),"")</f>
        <v/>
      </c>
    </row>
    <row r="607">
      <c r="A607">
        <f>IFERROR(INDEX('Email Cleaner'!$B$2:$B$10001,MATCH(606,'Email Cleaner'!$K$2:$K$10001,0)),"")</f>
        <v/>
      </c>
    </row>
    <row r="608">
      <c r="A608">
        <f>IFERROR(INDEX('Email Cleaner'!$B$2:$B$10001,MATCH(607,'Email Cleaner'!$K$2:$K$10001,0)),"")</f>
        <v/>
      </c>
    </row>
    <row r="609">
      <c r="A609">
        <f>IFERROR(INDEX('Email Cleaner'!$B$2:$B$10001,MATCH(608,'Email Cleaner'!$K$2:$K$10001,0)),"")</f>
        <v/>
      </c>
    </row>
    <row r="610">
      <c r="A610">
        <f>IFERROR(INDEX('Email Cleaner'!$B$2:$B$10001,MATCH(609,'Email Cleaner'!$K$2:$K$10001,0)),"")</f>
        <v/>
      </c>
    </row>
    <row r="611">
      <c r="A611">
        <f>IFERROR(INDEX('Email Cleaner'!$B$2:$B$10001,MATCH(610,'Email Cleaner'!$K$2:$K$10001,0)),"")</f>
        <v/>
      </c>
    </row>
    <row r="612">
      <c r="A612">
        <f>IFERROR(INDEX('Email Cleaner'!$B$2:$B$10001,MATCH(611,'Email Cleaner'!$K$2:$K$10001,0)),"")</f>
        <v/>
      </c>
    </row>
    <row r="613">
      <c r="A613">
        <f>IFERROR(INDEX('Email Cleaner'!$B$2:$B$10001,MATCH(612,'Email Cleaner'!$K$2:$K$10001,0)),"")</f>
        <v/>
      </c>
    </row>
    <row r="614">
      <c r="A614">
        <f>IFERROR(INDEX('Email Cleaner'!$B$2:$B$10001,MATCH(613,'Email Cleaner'!$K$2:$K$10001,0)),"")</f>
        <v/>
      </c>
    </row>
    <row r="615">
      <c r="A615">
        <f>IFERROR(INDEX('Email Cleaner'!$B$2:$B$10001,MATCH(614,'Email Cleaner'!$K$2:$K$10001,0)),"")</f>
        <v/>
      </c>
    </row>
    <row r="616">
      <c r="A616">
        <f>IFERROR(INDEX('Email Cleaner'!$B$2:$B$10001,MATCH(615,'Email Cleaner'!$K$2:$K$10001,0)),"")</f>
        <v/>
      </c>
    </row>
    <row r="617">
      <c r="A617">
        <f>IFERROR(INDEX('Email Cleaner'!$B$2:$B$10001,MATCH(616,'Email Cleaner'!$K$2:$K$10001,0)),"")</f>
        <v/>
      </c>
    </row>
    <row r="618">
      <c r="A618">
        <f>IFERROR(INDEX('Email Cleaner'!$B$2:$B$10001,MATCH(617,'Email Cleaner'!$K$2:$K$10001,0)),"")</f>
        <v/>
      </c>
    </row>
    <row r="619">
      <c r="A619">
        <f>IFERROR(INDEX('Email Cleaner'!$B$2:$B$10001,MATCH(618,'Email Cleaner'!$K$2:$K$10001,0)),"")</f>
        <v/>
      </c>
    </row>
    <row r="620">
      <c r="A620">
        <f>IFERROR(INDEX('Email Cleaner'!$B$2:$B$10001,MATCH(619,'Email Cleaner'!$K$2:$K$10001,0)),"")</f>
        <v/>
      </c>
    </row>
    <row r="621">
      <c r="A621">
        <f>IFERROR(INDEX('Email Cleaner'!$B$2:$B$10001,MATCH(620,'Email Cleaner'!$K$2:$K$10001,0)),"")</f>
        <v/>
      </c>
    </row>
    <row r="622">
      <c r="A622">
        <f>IFERROR(INDEX('Email Cleaner'!$B$2:$B$10001,MATCH(621,'Email Cleaner'!$K$2:$K$10001,0)),"")</f>
        <v/>
      </c>
    </row>
    <row r="623">
      <c r="A623">
        <f>IFERROR(INDEX('Email Cleaner'!$B$2:$B$10001,MATCH(622,'Email Cleaner'!$K$2:$K$10001,0)),"")</f>
        <v/>
      </c>
    </row>
    <row r="624">
      <c r="A624">
        <f>IFERROR(INDEX('Email Cleaner'!$B$2:$B$10001,MATCH(623,'Email Cleaner'!$K$2:$K$10001,0)),"")</f>
        <v/>
      </c>
    </row>
    <row r="625">
      <c r="A625">
        <f>IFERROR(INDEX('Email Cleaner'!$B$2:$B$10001,MATCH(624,'Email Cleaner'!$K$2:$K$10001,0)),"")</f>
        <v/>
      </c>
    </row>
    <row r="626">
      <c r="A626">
        <f>IFERROR(INDEX('Email Cleaner'!$B$2:$B$10001,MATCH(625,'Email Cleaner'!$K$2:$K$10001,0)),"")</f>
        <v/>
      </c>
    </row>
    <row r="627">
      <c r="A627">
        <f>IFERROR(INDEX('Email Cleaner'!$B$2:$B$10001,MATCH(626,'Email Cleaner'!$K$2:$K$10001,0)),"")</f>
        <v/>
      </c>
    </row>
    <row r="628">
      <c r="A628">
        <f>IFERROR(INDEX('Email Cleaner'!$B$2:$B$10001,MATCH(627,'Email Cleaner'!$K$2:$K$10001,0)),"")</f>
        <v/>
      </c>
    </row>
    <row r="629">
      <c r="A629">
        <f>IFERROR(INDEX('Email Cleaner'!$B$2:$B$10001,MATCH(628,'Email Cleaner'!$K$2:$K$10001,0)),"")</f>
        <v/>
      </c>
    </row>
    <row r="630">
      <c r="A630">
        <f>IFERROR(INDEX('Email Cleaner'!$B$2:$B$10001,MATCH(629,'Email Cleaner'!$K$2:$K$10001,0)),"")</f>
        <v/>
      </c>
    </row>
    <row r="631">
      <c r="A631">
        <f>IFERROR(INDEX('Email Cleaner'!$B$2:$B$10001,MATCH(630,'Email Cleaner'!$K$2:$K$10001,0)),"")</f>
        <v/>
      </c>
    </row>
    <row r="632">
      <c r="A632">
        <f>IFERROR(INDEX('Email Cleaner'!$B$2:$B$10001,MATCH(631,'Email Cleaner'!$K$2:$K$10001,0)),"")</f>
        <v/>
      </c>
    </row>
    <row r="633">
      <c r="A633">
        <f>IFERROR(INDEX('Email Cleaner'!$B$2:$B$10001,MATCH(632,'Email Cleaner'!$K$2:$K$10001,0)),"")</f>
        <v/>
      </c>
    </row>
    <row r="634">
      <c r="A634">
        <f>IFERROR(INDEX('Email Cleaner'!$B$2:$B$10001,MATCH(633,'Email Cleaner'!$K$2:$K$10001,0)),"")</f>
        <v/>
      </c>
    </row>
    <row r="635">
      <c r="A635">
        <f>IFERROR(INDEX('Email Cleaner'!$B$2:$B$10001,MATCH(634,'Email Cleaner'!$K$2:$K$10001,0)),"")</f>
        <v/>
      </c>
    </row>
    <row r="636">
      <c r="A636">
        <f>IFERROR(INDEX('Email Cleaner'!$B$2:$B$10001,MATCH(635,'Email Cleaner'!$K$2:$K$10001,0)),"")</f>
        <v/>
      </c>
    </row>
    <row r="637">
      <c r="A637">
        <f>IFERROR(INDEX('Email Cleaner'!$B$2:$B$10001,MATCH(636,'Email Cleaner'!$K$2:$K$10001,0)),"")</f>
        <v/>
      </c>
    </row>
    <row r="638">
      <c r="A638">
        <f>IFERROR(INDEX('Email Cleaner'!$B$2:$B$10001,MATCH(637,'Email Cleaner'!$K$2:$K$10001,0)),"")</f>
        <v/>
      </c>
    </row>
    <row r="639">
      <c r="A639">
        <f>IFERROR(INDEX('Email Cleaner'!$B$2:$B$10001,MATCH(638,'Email Cleaner'!$K$2:$K$10001,0)),"")</f>
        <v/>
      </c>
    </row>
    <row r="640">
      <c r="A640">
        <f>IFERROR(INDEX('Email Cleaner'!$B$2:$B$10001,MATCH(639,'Email Cleaner'!$K$2:$K$10001,0)),"")</f>
        <v/>
      </c>
    </row>
    <row r="641">
      <c r="A641">
        <f>IFERROR(INDEX('Email Cleaner'!$B$2:$B$10001,MATCH(640,'Email Cleaner'!$K$2:$K$10001,0)),"")</f>
        <v/>
      </c>
    </row>
    <row r="642">
      <c r="A642">
        <f>IFERROR(INDEX('Email Cleaner'!$B$2:$B$10001,MATCH(641,'Email Cleaner'!$K$2:$K$10001,0)),"")</f>
        <v/>
      </c>
    </row>
    <row r="643">
      <c r="A643">
        <f>IFERROR(INDEX('Email Cleaner'!$B$2:$B$10001,MATCH(642,'Email Cleaner'!$K$2:$K$10001,0)),"")</f>
        <v/>
      </c>
    </row>
    <row r="644">
      <c r="A644">
        <f>IFERROR(INDEX('Email Cleaner'!$B$2:$B$10001,MATCH(643,'Email Cleaner'!$K$2:$K$10001,0)),"")</f>
        <v/>
      </c>
    </row>
    <row r="645">
      <c r="A645">
        <f>IFERROR(INDEX('Email Cleaner'!$B$2:$B$10001,MATCH(644,'Email Cleaner'!$K$2:$K$10001,0)),"")</f>
        <v/>
      </c>
    </row>
    <row r="646">
      <c r="A646">
        <f>IFERROR(INDEX('Email Cleaner'!$B$2:$B$10001,MATCH(645,'Email Cleaner'!$K$2:$K$10001,0)),"")</f>
        <v/>
      </c>
    </row>
    <row r="647">
      <c r="A647">
        <f>IFERROR(INDEX('Email Cleaner'!$B$2:$B$10001,MATCH(646,'Email Cleaner'!$K$2:$K$10001,0)),"")</f>
        <v/>
      </c>
    </row>
    <row r="648">
      <c r="A648">
        <f>IFERROR(INDEX('Email Cleaner'!$B$2:$B$10001,MATCH(647,'Email Cleaner'!$K$2:$K$10001,0)),"")</f>
        <v/>
      </c>
    </row>
    <row r="649">
      <c r="A649">
        <f>IFERROR(INDEX('Email Cleaner'!$B$2:$B$10001,MATCH(648,'Email Cleaner'!$K$2:$K$10001,0)),"")</f>
        <v/>
      </c>
    </row>
    <row r="650">
      <c r="A650">
        <f>IFERROR(INDEX('Email Cleaner'!$B$2:$B$10001,MATCH(649,'Email Cleaner'!$K$2:$K$10001,0)),"")</f>
        <v/>
      </c>
    </row>
    <row r="651">
      <c r="A651">
        <f>IFERROR(INDEX('Email Cleaner'!$B$2:$B$10001,MATCH(650,'Email Cleaner'!$K$2:$K$10001,0)),"")</f>
        <v/>
      </c>
    </row>
    <row r="652">
      <c r="A652">
        <f>IFERROR(INDEX('Email Cleaner'!$B$2:$B$10001,MATCH(651,'Email Cleaner'!$K$2:$K$10001,0)),"")</f>
        <v/>
      </c>
    </row>
    <row r="653">
      <c r="A653">
        <f>IFERROR(INDEX('Email Cleaner'!$B$2:$B$10001,MATCH(652,'Email Cleaner'!$K$2:$K$10001,0)),"")</f>
        <v/>
      </c>
    </row>
    <row r="654">
      <c r="A654">
        <f>IFERROR(INDEX('Email Cleaner'!$B$2:$B$10001,MATCH(653,'Email Cleaner'!$K$2:$K$10001,0)),"")</f>
        <v/>
      </c>
    </row>
    <row r="655">
      <c r="A655">
        <f>IFERROR(INDEX('Email Cleaner'!$B$2:$B$10001,MATCH(654,'Email Cleaner'!$K$2:$K$10001,0)),"")</f>
        <v/>
      </c>
    </row>
    <row r="656">
      <c r="A656">
        <f>IFERROR(INDEX('Email Cleaner'!$B$2:$B$10001,MATCH(655,'Email Cleaner'!$K$2:$K$10001,0)),"")</f>
        <v/>
      </c>
    </row>
    <row r="657">
      <c r="A657">
        <f>IFERROR(INDEX('Email Cleaner'!$B$2:$B$10001,MATCH(656,'Email Cleaner'!$K$2:$K$10001,0)),"")</f>
        <v/>
      </c>
    </row>
    <row r="658">
      <c r="A658">
        <f>IFERROR(INDEX('Email Cleaner'!$B$2:$B$10001,MATCH(657,'Email Cleaner'!$K$2:$K$10001,0)),"")</f>
        <v/>
      </c>
    </row>
    <row r="659">
      <c r="A659">
        <f>IFERROR(INDEX('Email Cleaner'!$B$2:$B$10001,MATCH(658,'Email Cleaner'!$K$2:$K$10001,0)),"")</f>
        <v/>
      </c>
    </row>
    <row r="660">
      <c r="A660">
        <f>IFERROR(INDEX('Email Cleaner'!$B$2:$B$10001,MATCH(659,'Email Cleaner'!$K$2:$K$10001,0)),"")</f>
        <v/>
      </c>
    </row>
    <row r="661">
      <c r="A661">
        <f>IFERROR(INDEX('Email Cleaner'!$B$2:$B$10001,MATCH(660,'Email Cleaner'!$K$2:$K$10001,0)),"")</f>
        <v/>
      </c>
    </row>
    <row r="662">
      <c r="A662">
        <f>IFERROR(INDEX('Email Cleaner'!$B$2:$B$10001,MATCH(661,'Email Cleaner'!$K$2:$K$10001,0)),"")</f>
        <v/>
      </c>
    </row>
    <row r="663">
      <c r="A663">
        <f>IFERROR(INDEX('Email Cleaner'!$B$2:$B$10001,MATCH(662,'Email Cleaner'!$K$2:$K$10001,0)),"")</f>
        <v/>
      </c>
    </row>
    <row r="664">
      <c r="A664">
        <f>IFERROR(INDEX('Email Cleaner'!$B$2:$B$10001,MATCH(663,'Email Cleaner'!$K$2:$K$10001,0)),"")</f>
        <v/>
      </c>
    </row>
    <row r="665">
      <c r="A665">
        <f>IFERROR(INDEX('Email Cleaner'!$B$2:$B$10001,MATCH(664,'Email Cleaner'!$K$2:$K$10001,0)),"")</f>
        <v/>
      </c>
    </row>
    <row r="666">
      <c r="A666">
        <f>IFERROR(INDEX('Email Cleaner'!$B$2:$B$10001,MATCH(665,'Email Cleaner'!$K$2:$K$10001,0)),"")</f>
        <v/>
      </c>
    </row>
    <row r="667">
      <c r="A667">
        <f>IFERROR(INDEX('Email Cleaner'!$B$2:$B$10001,MATCH(666,'Email Cleaner'!$K$2:$K$10001,0)),"")</f>
        <v/>
      </c>
    </row>
    <row r="668">
      <c r="A668">
        <f>IFERROR(INDEX('Email Cleaner'!$B$2:$B$10001,MATCH(667,'Email Cleaner'!$K$2:$K$10001,0)),"")</f>
        <v/>
      </c>
    </row>
    <row r="669">
      <c r="A669">
        <f>IFERROR(INDEX('Email Cleaner'!$B$2:$B$10001,MATCH(668,'Email Cleaner'!$K$2:$K$10001,0)),"")</f>
        <v/>
      </c>
    </row>
    <row r="670">
      <c r="A670">
        <f>IFERROR(INDEX('Email Cleaner'!$B$2:$B$10001,MATCH(669,'Email Cleaner'!$K$2:$K$10001,0)),"")</f>
        <v/>
      </c>
    </row>
    <row r="671">
      <c r="A671">
        <f>IFERROR(INDEX('Email Cleaner'!$B$2:$B$10001,MATCH(670,'Email Cleaner'!$K$2:$K$10001,0)),"")</f>
        <v/>
      </c>
    </row>
    <row r="672">
      <c r="A672">
        <f>IFERROR(INDEX('Email Cleaner'!$B$2:$B$10001,MATCH(671,'Email Cleaner'!$K$2:$K$10001,0)),"")</f>
        <v/>
      </c>
    </row>
    <row r="673">
      <c r="A673">
        <f>IFERROR(INDEX('Email Cleaner'!$B$2:$B$10001,MATCH(672,'Email Cleaner'!$K$2:$K$10001,0)),"")</f>
        <v/>
      </c>
    </row>
    <row r="674">
      <c r="A674">
        <f>IFERROR(INDEX('Email Cleaner'!$B$2:$B$10001,MATCH(673,'Email Cleaner'!$K$2:$K$10001,0)),"")</f>
        <v/>
      </c>
    </row>
    <row r="675">
      <c r="A675">
        <f>IFERROR(INDEX('Email Cleaner'!$B$2:$B$10001,MATCH(674,'Email Cleaner'!$K$2:$K$10001,0)),"")</f>
        <v/>
      </c>
    </row>
    <row r="676">
      <c r="A676">
        <f>IFERROR(INDEX('Email Cleaner'!$B$2:$B$10001,MATCH(675,'Email Cleaner'!$K$2:$K$10001,0)),"")</f>
        <v/>
      </c>
    </row>
    <row r="677">
      <c r="A677">
        <f>IFERROR(INDEX('Email Cleaner'!$B$2:$B$10001,MATCH(676,'Email Cleaner'!$K$2:$K$10001,0)),"")</f>
        <v/>
      </c>
    </row>
    <row r="678">
      <c r="A678">
        <f>IFERROR(INDEX('Email Cleaner'!$B$2:$B$10001,MATCH(677,'Email Cleaner'!$K$2:$K$10001,0)),"")</f>
        <v/>
      </c>
    </row>
    <row r="679">
      <c r="A679">
        <f>IFERROR(INDEX('Email Cleaner'!$B$2:$B$10001,MATCH(678,'Email Cleaner'!$K$2:$K$10001,0)),"")</f>
        <v/>
      </c>
    </row>
    <row r="680">
      <c r="A680">
        <f>IFERROR(INDEX('Email Cleaner'!$B$2:$B$10001,MATCH(679,'Email Cleaner'!$K$2:$K$10001,0)),"")</f>
        <v/>
      </c>
    </row>
    <row r="681">
      <c r="A681">
        <f>IFERROR(INDEX('Email Cleaner'!$B$2:$B$10001,MATCH(680,'Email Cleaner'!$K$2:$K$10001,0)),"")</f>
        <v/>
      </c>
    </row>
    <row r="682">
      <c r="A682">
        <f>IFERROR(INDEX('Email Cleaner'!$B$2:$B$10001,MATCH(681,'Email Cleaner'!$K$2:$K$10001,0)),"")</f>
        <v/>
      </c>
    </row>
    <row r="683">
      <c r="A683">
        <f>IFERROR(INDEX('Email Cleaner'!$B$2:$B$10001,MATCH(682,'Email Cleaner'!$K$2:$K$10001,0)),"")</f>
        <v/>
      </c>
    </row>
    <row r="684">
      <c r="A684">
        <f>IFERROR(INDEX('Email Cleaner'!$B$2:$B$10001,MATCH(683,'Email Cleaner'!$K$2:$K$10001,0)),"")</f>
        <v/>
      </c>
    </row>
    <row r="685">
      <c r="A685">
        <f>IFERROR(INDEX('Email Cleaner'!$B$2:$B$10001,MATCH(684,'Email Cleaner'!$K$2:$K$10001,0)),"")</f>
        <v/>
      </c>
    </row>
    <row r="686">
      <c r="A686">
        <f>IFERROR(INDEX('Email Cleaner'!$B$2:$B$10001,MATCH(685,'Email Cleaner'!$K$2:$K$10001,0)),"")</f>
        <v/>
      </c>
    </row>
    <row r="687">
      <c r="A687">
        <f>IFERROR(INDEX('Email Cleaner'!$B$2:$B$10001,MATCH(686,'Email Cleaner'!$K$2:$K$10001,0)),"")</f>
        <v/>
      </c>
    </row>
    <row r="688">
      <c r="A688">
        <f>IFERROR(INDEX('Email Cleaner'!$B$2:$B$10001,MATCH(687,'Email Cleaner'!$K$2:$K$10001,0)),"")</f>
        <v/>
      </c>
    </row>
    <row r="689">
      <c r="A689">
        <f>IFERROR(INDEX('Email Cleaner'!$B$2:$B$10001,MATCH(688,'Email Cleaner'!$K$2:$K$10001,0)),"")</f>
        <v/>
      </c>
    </row>
    <row r="690">
      <c r="A690">
        <f>IFERROR(INDEX('Email Cleaner'!$B$2:$B$10001,MATCH(689,'Email Cleaner'!$K$2:$K$10001,0)),"")</f>
        <v/>
      </c>
    </row>
    <row r="691">
      <c r="A691">
        <f>IFERROR(INDEX('Email Cleaner'!$B$2:$B$10001,MATCH(690,'Email Cleaner'!$K$2:$K$10001,0)),"")</f>
        <v/>
      </c>
    </row>
    <row r="692">
      <c r="A692">
        <f>IFERROR(INDEX('Email Cleaner'!$B$2:$B$10001,MATCH(691,'Email Cleaner'!$K$2:$K$10001,0)),"")</f>
        <v/>
      </c>
    </row>
    <row r="693">
      <c r="A693">
        <f>IFERROR(INDEX('Email Cleaner'!$B$2:$B$10001,MATCH(692,'Email Cleaner'!$K$2:$K$10001,0)),"")</f>
        <v/>
      </c>
    </row>
    <row r="694">
      <c r="A694">
        <f>IFERROR(INDEX('Email Cleaner'!$B$2:$B$10001,MATCH(693,'Email Cleaner'!$K$2:$K$10001,0)),"")</f>
        <v/>
      </c>
    </row>
    <row r="695">
      <c r="A695">
        <f>IFERROR(INDEX('Email Cleaner'!$B$2:$B$10001,MATCH(694,'Email Cleaner'!$K$2:$K$10001,0)),"")</f>
        <v/>
      </c>
    </row>
    <row r="696">
      <c r="A696">
        <f>IFERROR(INDEX('Email Cleaner'!$B$2:$B$10001,MATCH(695,'Email Cleaner'!$K$2:$K$10001,0)),"")</f>
        <v/>
      </c>
    </row>
    <row r="697">
      <c r="A697">
        <f>IFERROR(INDEX('Email Cleaner'!$B$2:$B$10001,MATCH(696,'Email Cleaner'!$K$2:$K$10001,0)),"")</f>
        <v/>
      </c>
    </row>
    <row r="698">
      <c r="A698">
        <f>IFERROR(INDEX('Email Cleaner'!$B$2:$B$10001,MATCH(697,'Email Cleaner'!$K$2:$K$10001,0)),"")</f>
        <v/>
      </c>
    </row>
    <row r="699">
      <c r="A699">
        <f>IFERROR(INDEX('Email Cleaner'!$B$2:$B$10001,MATCH(698,'Email Cleaner'!$K$2:$K$10001,0)),"")</f>
        <v/>
      </c>
    </row>
    <row r="700">
      <c r="A700">
        <f>IFERROR(INDEX('Email Cleaner'!$B$2:$B$10001,MATCH(699,'Email Cleaner'!$K$2:$K$10001,0)),"")</f>
        <v/>
      </c>
    </row>
    <row r="701">
      <c r="A701">
        <f>IFERROR(INDEX('Email Cleaner'!$B$2:$B$10001,MATCH(700,'Email Cleaner'!$K$2:$K$10001,0)),"")</f>
        <v/>
      </c>
    </row>
    <row r="702">
      <c r="A702">
        <f>IFERROR(INDEX('Email Cleaner'!$B$2:$B$10001,MATCH(701,'Email Cleaner'!$K$2:$K$10001,0)),"")</f>
        <v/>
      </c>
    </row>
    <row r="703">
      <c r="A703">
        <f>IFERROR(INDEX('Email Cleaner'!$B$2:$B$10001,MATCH(702,'Email Cleaner'!$K$2:$K$10001,0)),"")</f>
        <v/>
      </c>
    </row>
    <row r="704">
      <c r="A704">
        <f>IFERROR(INDEX('Email Cleaner'!$B$2:$B$10001,MATCH(703,'Email Cleaner'!$K$2:$K$10001,0)),"")</f>
        <v/>
      </c>
    </row>
    <row r="705">
      <c r="A705">
        <f>IFERROR(INDEX('Email Cleaner'!$B$2:$B$10001,MATCH(704,'Email Cleaner'!$K$2:$K$10001,0)),"")</f>
        <v/>
      </c>
    </row>
    <row r="706">
      <c r="A706">
        <f>IFERROR(INDEX('Email Cleaner'!$B$2:$B$10001,MATCH(705,'Email Cleaner'!$K$2:$K$10001,0)),"")</f>
        <v/>
      </c>
    </row>
    <row r="707">
      <c r="A707">
        <f>IFERROR(INDEX('Email Cleaner'!$B$2:$B$10001,MATCH(706,'Email Cleaner'!$K$2:$K$10001,0)),"")</f>
        <v/>
      </c>
    </row>
    <row r="708">
      <c r="A708">
        <f>IFERROR(INDEX('Email Cleaner'!$B$2:$B$10001,MATCH(707,'Email Cleaner'!$K$2:$K$10001,0)),"")</f>
        <v/>
      </c>
    </row>
    <row r="709">
      <c r="A709">
        <f>IFERROR(INDEX('Email Cleaner'!$B$2:$B$10001,MATCH(708,'Email Cleaner'!$K$2:$K$10001,0)),"")</f>
        <v/>
      </c>
    </row>
    <row r="710">
      <c r="A710">
        <f>IFERROR(INDEX('Email Cleaner'!$B$2:$B$10001,MATCH(709,'Email Cleaner'!$K$2:$K$10001,0)),"")</f>
        <v/>
      </c>
    </row>
    <row r="711">
      <c r="A711">
        <f>IFERROR(INDEX('Email Cleaner'!$B$2:$B$10001,MATCH(710,'Email Cleaner'!$K$2:$K$10001,0)),"")</f>
        <v/>
      </c>
    </row>
    <row r="712">
      <c r="A712">
        <f>IFERROR(INDEX('Email Cleaner'!$B$2:$B$10001,MATCH(711,'Email Cleaner'!$K$2:$K$10001,0)),"")</f>
        <v/>
      </c>
    </row>
    <row r="713">
      <c r="A713">
        <f>IFERROR(INDEX('Email Cleaner'!$B$2:$B$10001,MATCH(712,'Email Cleaner'!$K$2:$K$10001,0)),"")</f>
        <v/>
      </c>
    </row>
    <row r="714">
      <c r="A714">
        <f>IFERROR(INDEX('Email Cleaner'!$B$2:$B$10001,MATCH(713,'Email Cleaner'!$K$2:$K$10001,0)),"")</f>
        <v/>
      </c>
    </row>
    <row r="715">
      <c r="A715">
        <f>IFERROR(INDEX('Email Cleaner'!$B$2:$B$10001,MATCH(714,'Email Cleaner'!$K$2:$K$10001,0)),"")</f>
        <v/>
      </c>
    </row>
    <row r="716">
      <c r="A716">
        <f>IFERROR(INDEX('Email Cleaner'!$B$2:$B$10001,MATCH(715,'Email Cleaner'!$K$2:$K$10001,0)),"")</f>
        <v/>
      </c>
    </row>
    <row r="717">
      <c r="A717">
        <f>IFERROR(INDEX('Email Cleaner'!$B$2:$B$10001,MATCH(716,'Email Cleaner'!$K$2:$K$10001,0)),"")</f>
        <v/>
      </c>
    </row>
    <row r="718">
      <c r="A718">
        <f>IFERROR(INDEX('Email Cleaner'!$B$2:$B$10001,MATCH(717,'Email Cleaner'!$K$2:$K$10001,0)),"")</f>
        <v/>
      </c>
    </row>
    <row r="719">
      <c r="A719">
        <f>IFERROR(INDEX('Email Cleaner'!$B$2:$B$10001,MATCH(718,'Email Cleaner'!$K$2:$K$10001,0)),"")</f>
        <v/>
      </c>
    </row>
    <row r="720">
      <c r="A720">
        <f>IFERROR(INDEX('Email Cleaner'!$B$2:$B$10001,MATCH(719,'Email Cleaner'!$K$2:$K$10001,0)),"")</f>
        <v/>
      </c>
    </row>
    <row r="721">
      <c r="A721">
        <f>IFERROR(INDEX('Email Cleaner'!$B$2:$B$10001,MATCH(720,'Email Cleaner'!$K$2:$K$10001,0)),"")</f>
        <v/>
      </c>
    </row>
    <row r="722">
      <c r="A722">
        <f>IFERROR(INDEX('Email Cleaner'!$B$2:$B$10001,MATCH(721,'Email Cleaner'!$K$2:$K$10001,0)),"")</f>
        <v/>
      </c>
    </row>
    <row r="723">
      <c r="A723">
        <f>IFERROR(INDEX('Email Cleaner'!$B$2:$B$10001,MATCH(722,'Email Cleaner'!$K$2:$K$10001,0)),"")</f>
        <v/>
      </c>
    </row>
    <row r="724">
      <c r="A724">
        <f>IFERROR(INDEX('Email Cleaner'!$B$2:$B$10001,MATCH(723,'Email Cleaner'!$K$2:$K$10001,0)),"")</f>
        <v/>
      </c>
    </row>
    <row r="725">
      <c r="A725">
        <f>IFERROR(INDEX('Email Cleaner'!$B$2:$B$10001,MATCH(724,'Email Cleaner'!$K$2:$K$10001,0)),"")</f>
        <v/>
      </c>
    </row>
    <row r="726">
      <c r="A726">
        <f>IFERROR(INDEX('Email Cleaner'!$B$2:$B$10001,MATCH(725,'Email Cleaner'!$K$2:$K$10001,0)),"")</f>
        <v/>
      </c>
    </row>
    <row r="727">
      <c r="A727">
        <f>IFERROR(INDEX('Email Cleaner'!$B$2:$B$10001,MATCH(726,'Email Cleaner'!$K$2:$K$10001,0)),"")</f>
        <v/>
      </c>
    </row>
    <row r="728">
      <c r="A728">
        <f>IFERROR(INDEX('Email Cleaner'!$B$2:$B$10001,MATCH(727,'Email Cleaner'!$K$2:$K$10001,0)),"")</f>
        <v/>
      </c>
    </row>
    <row r="729">
      <c r="A729">
        <f>IFERROR(INDEX('Email Cleaner'!$B$2:$B$10001,MATCH(728,'Email Cleaner'!$K$2:$K$10001,0)),"")</f>
        <v/>
      </c>
    </row>
    <row r="730">
      <c r="A730">
        <f>IFERROR(INDEX('Email Cleaner'!$B$2:$B$10001,MATCH(729,'Email Cleaner'!$K$2:$K$10001,0)),"")</f>
        <v/>
      </c>
    </row>
    <row r="731">
      <c r="A731">
        <f>IFERROR(INDEX('Email Cleaner'!$B$2:$B$10001,MATCH(730,'Email Cleaner'!$K$2:$K$10001,0)),"")</f>
        <v/>
      </c>
    </row>
    <row r="732">
      <c r="A732">
        <f>IFERROR(INDEX('Email Cleaner'!$B$2:$B$10001,MATCH(731,'Email Cleaner'!$K$2:$K$10001,0)),"")</f>
        <v/>
      </c>
    </row>
    <row r="733">
      <c r="A733">
        <f>IFERROR(INDEX('Email Cleaner'!$B$2:$B$10001,MATCH(732,'Email Cleaner'!$K$2:$K$10001,0)),"")</f>
        <v/>
      </c>
    </row>
    <row r="734">
      <c r="A734">
        <f>IFERROR(INDEX('Email Cleaner'!$B$2:$B$10001,MATCH(733,'Email Cleaner'!$K$2:$K$10001,0)),"")</f>
        <v/>
      </c>
    </row>
    <row r="735">
      <c r="A735">
        <f>IFERROR(INDEX('Email Cleaner'!$B$2:$B$10001,MATCH(734,'Email Cleaner'!$K$2:$K$10001,0)),"")</f>
        <v/>
      </c>
    </row>
    <row r="736">
      <c r="A736">
        <f>IFERROR(INDEX('Email Cleaner'!$B$2:$B$10001,MATCH(735,'Email Cleaner'!$K$2:$K$10001,0)),"")</f>
        <v/>
      </c>
    </row>
    <row r="737">
      <c r="A737">
        <f>IFERROR(INDEX('Email Cleaner'!$B$2:$B$10001,MATCH(736,'Email Cleaner'!$K$2:$K$10001,0)),"")</f>
        <v/>
      </c>
    </row>
    <row r="738">
      <c r="A738">
        <f>IFERROR(INDEX('Email Cleaner'!$B$2:$B$10001,MATCH(737,'Email Cleaner'!$K$2:$K$10001,0)),"")</f>
        <v/>
      </c>
    </row>
    <row r="739">
      <c r="A739">
        <f>IFERROR(INDEX('Email Cleaner'!$B$2:$B$10001,MATCH(738,'Email Cleaner'!$K$2:$K$10001,0)),"")</f>
        <v/>
      </c>
    </row>
    <row r="740">
      <c r="A740">
        <f>IFERROR(INDEX('Email Cleaner'!$B$2:$B$10001,MATCH(739,'Email Cleaner'!$K$2:$K$10001,0)),"")</f>
        <v/>
      </c>
    </row>
    <row r="741">
      <c r="A741">
        <f>IFERROR(INDEX('Email Cleaner'!$B$2:$B$10001,MATCH(740,'Email Cleaner'!$K$2:$K$10001,0)),"")</f>
        <v/>
      </c>
    </row>
    <row r="742">
      <c r="A742">
        <f>IFERROR(INDEX('Email Cleaner'!$B$2:$B$10001,MATCH(741,'Email Cleaner'!$K$2:$K$10001,0)),"")</f>
        <v/>
      </c>
    </row>
    <row r="743">
      <c r="A743">
        <f>IFERROR(INDEX('Email Cleaner'!$B$2:$B$10001,MATCH(742,'Email Cleaner'!$K$2:$K$10001,0)),"")</f>
        <v/>
      </c>
    </row>
    <row r="744">
      <c r="A744">
        <f>IFERROR(INDEX('Email Cleaner'!$B$2:$B$10001,MATCH(743,'Email Cleaner'!$K$2:$K$10001,0)),"")</f>
        <v/>
      </c>
    </row>
    <row r="745">
      <c r="A745">
        <f>IFERROR(INDEX('Email Cleaner'!$B$2:$B$10001,MATCH(744,'Email Cleaner'!$K$2:$K$10001,0)),"")</f>
        <v/>
      </c>
    </row>
    <row r="746">
      <c r="A746">
        <f>IFERROR(INDEX('Email Cleaner'!$B$2:$B$10001,MATCH(745,'Email Cleaner'!$K$2:$K$10001,0)),"")</f>
        <v/>
      </c>
    </row>
    <row r="747">
      <c r="A747">
        <f>IFERROR(INDEX('Email Cleaner'!$B$2:$B$10001,MATCH(746,'Email Cleaner'!$K$2:$K$10001,0)),"")</f>
        <v/>
      </c>
    </row>
    <row r="748">
      <c r="A748">
        <f>IFERROR(INDEX('Email Cleaner'!$B$2:$B$10001,MATCH(747,'Email Cleaner'!$K$2:$K$10001,0)),"")</f>
        <v/>
      </c>
    </row>
    <row r="749">
      <c r="A749">
        <f>IFERROR(INDEX('Email Cleaner'!$B$2:$B$10001,MATCH(748,'Email Cleaner'!$K$2:$K$10001,0)),"")</f>
        <v/>
      </c>
    </row>
    <row r="750">
      <c r="A750">
        <f>IFERROR(INDEX('Email Cleaner'!$B$2:$B$10001,MATCH(749,'Email Cleaner'!$K$2:$K$10001,0)),"")</f>
        <v/>
      </c>
    </row>
    <row r="751">
      <c r="A751">
        <f>IFERROR(INDEX('Email Cleaner'!$B$2:$B$10001,MATCH(750,'Email Cleaner'!$K$2:$K$10001,0)),"")</f>
        <v/>
      </c>
    </row>
    <row r="752">
      <c r="A752">
        <f>IFERROR(INDEX('Email Cleaner'!$B$2:$B$10001,MATCH(751,'Email Cleaner'!$K$2:$K$10001,0)),"")</f>
        <v/>
      </c>
    </row>
    <row r="753">
      <c r="A753">
        <f>IFERROR(INDEX('Email Cleaner'!$B$2:$B$10001,MATCH(752,'Email Cleaner'!$K$2:$K$10001,0)),"")</f>
        <v/>
      </c>
    </row>
    <row r="754">
      <c r="A754">
        <f>IFERROR(INDEX('Email Cleaner'!$B$2:$B$10001,MATCH(753,'Email Cleaner'!$K$2:$K$10001,0)),"")</f>
        <v/>
      </c>
    </row>
    <row r="755">
      <c r="A755">
        <f>IFERROR(INDEX('Email Cleaner'!$B$2:$B$10001,MATCH(754,'Email Cleaner'!$K$2:$K$10001,0)),"")</f>
        <v/>
      </c>
    </row>
    <row r="756">
      <c r="A756">
        <f>IFERROR(INDEX('Email Cleaner'!$B$2:$B$10001,MATCH(755,'Email Cleaner'!$K$2:$K$10001,0)),"")</f>
        <v/>
      </c>
    </row>
    <row r="757">
      <c r="A757">
        <f>IFERROR(INDEX('Email Cleaner'!$B$2:$B$10001,MATCH(756,'Email Cleaner'!$K$2:$K$10001,0)),"")</f>
        <v/>
      </c>
    </row>
    <row r="758">
      <c r="A758">
        <f>IFERROR(INDEX('Email Cleaner'!$B$2:$B$10001,MATCH(757,'Email Cleaner'!$K$2:$K$10001,0)),"")</f>
        <v/>
      </c>
    </row>
    <row r="759">
      <c r="A759">
        <f>IFERROR(INDEX('Email Cleaner'!$B$2:$B$10001,MATCH(758,'Email Cleaner'!$K$2:$K$10001,0)),"")</f>
        <v/>
      </c>
    </row>
    <row r="760">
      <c r="A760">
        <f>IFERROR(INDEX('Email Cleaner'!$B$2:$B$10001,MATCH(759,'Email Cleaner'!$K$2:$K$10001,0)),"")</f>
        <v/>
      </c>
    </row>
    <row r="761">
      <c r="A761">
        <f>IFERROR(INDEX('Email Cleaner'!$B$2:$B$10001,MATCH(760,'Email Cleaner'!$K$2:$K$10001,0)),"")</f>
        <v/>
      </c>
    </row>
    <row r="762">
      <c r="A762">
        <f>IFERROR(INDEX('Email Cleaner'!$B$2:$B$10001,MATCH(761,'Email Cleaner'!$K$2:$K$10001,0)),"")</f>
        <v/>
      </c>
    </row>
    <row r="763">
      <c r="A763">
        <f>IFERROR(INDEX('Email Cleaner'!$B$2:$B$10001,MATCH(762,'Email Cleaner'!$K$2:$K$10001,0)),"")</f>
        <v/>
      </c>
    </row>
    <row r="764">
      <c r="A764">
        <f>IFERROR(INDEX('Email Cleaner'!$B$2:$B$10001,MATCH(763,'Email Cleaner'!$K$2:$K$10001,0)),"")</f>
        <v/>
      </c>
    </row>
    <row r="765">
      <c r="A765">
        <f>IFERROR(INDEX('Email Cleaner'!$B$2:$B$10001,MATCH(764,'Email Cleaner'!$K$2:$K$10001,0)),"")</f>
        <v/>
      </c>
    </row>
    <row r="766">
      <c r="A766">
        <f>IFERROR(INDEX('Email Cleaner'!$B$2:$B$10001,MATCH(765,'Email Cleaner'!$K$2:$K$10001,0)),"")</f>
        <v/>
      </c>
    </row>
    <row r="767">
      <c r="A767">
        <f>IFERROR(INDEX('Email Cleaner'!$B$2:$B$10001,MATCH(766,'Email Cleaner'!$K$2:$K$10001,0)),"")</f>
        <v/>
      </c>
    </row>
    <row r="768">
      <c r="A768">
        <f>IFERROR(INDEX('Email Cleaner'!$B$2:$B$10001,MATCH(767,'Email Cleaner'!$K$2:$K$10001,0)),"")</f>
        <v/>
      </c>
    </row>
    <row r="769">
      <c r="A769">
        <f>IFERROR(INDEX('Email Cleaner'!$B$2:$B$10001,MATCH(768,'Email Cleaner'!$K$2:$K$10001,0)),"")</f>
        <v/>
      </c>
    </row>
    <row r="770">
      <c r="A770">
        <f>IFERROR(INDEX('Email Cleaner'!$B$2:$B$10001,MATCH(769,'Email Cleaner'!$K$2:$K$10001,0)),"")</f>
        <v/>
      </c>
    </row>
    <row r="771">
      <c r="A771">
        <f>IFERROR(INDEX('Email Cleaner'!$B$2:$B$10001,MATCH(770,'Email Cleaner'!$K$2:$K$10001,0)),"")</f>
        <v/>
      </c>
    </row>
    <row r="772">
      <c r="A772">
        <f>IFERROR(INDEX('Email Cleaner'!$B$2:$B$10001,MATCH(771,'Email Cleaner'!$K$2:$K$10001,0)),"")</f>
        <v/>
      </c>
    </row>
    <row r="773">
      <c r="A773">
        <f>IFERROR(INDEX('Email Cleaner'!$B$2:$B$10001,MATCH(772,'Email Cleaner'!$K$2:$K$10001,0)),"")</f>
        <v/>
      </c>
    </row>
    <row r="774">
      <c r="A774">
        <f>IFERROR(INDEX('Email Cleaner'!$B$2:$B$10001,MATCH(773,'Email Cleaner'!$K$2:$K$10001,0)),"")</f>
        <v/>
      </c>
    </row>
    <row r="775">
      <c r="A775">
        <f>IFERROR(INDEX('Email Cleaner'!$B$2:$B$10001,MATCH(774,'Email Cleaner'!$K$2:$K$10001,0)),"")</f>
        <v/>
      </c>
    </row>
    <row r="776">
      <c r="A776">
        <f>IFERROR(INDEX('Email Cleaner'!$B$2:$B$10001,MATCH(775,'Email Cleaner'!$K$2:$K$10001,0)),"")</f>
        <v/>
      </c>
    </row>
    <row r="777">
      <c r="A777">
        <f>IFERROR(INDEX('Email Cleaner'!$B$2:$B$10001,MATCH(776,'Email Cleaner'!$K$2:$K$10001,0)),"")</f>
        <v/>
      </c>
    </row>
    <row r="778">
      <c r="A778">
        <f>IFERROR(INDEX('Email Cleaner'!$B$2:$B$10001,MATCH(777,'Email Cleaner'!$K$2:$K$10001,0)),"")</f>
        <v/>
      </c>
    </row>
    <row r="779">
      <c r="A779">
        <f>IFERROR(INDEX('Email Cleaner'!$B$2:$B$10001,MATCH(778,'Email Cleaner'!$K$2:$K$10001,0)),"")</f>
        <v/>
      </c>
    </row>
    <row r="780">
      <c r="A780">
        <f>IFERROR(INDEX('Email Cleaner'!$B$2:$B$10001,MATCH(779,'Email Cleaner'!$K$2:$K$10001,0)),"")</f>
        <v/>
      </c>
    </row>
    <row r="781">
      <c r="A781">
        <f>IFERROR(INDEX('Email Cleaner'!$B$2:$B$10001,MATCH(780,'Email Cleaner'!$K$2:$K$10001,0)),"")</f>
        <v/>
      </c>
    </row>
    <row r="782">
      <c r="A782">
        <f>IFERROR(INDEX('Email Cleaner'!$B$2:$B$10001,MATCH(781,'Email Cleaner'!$K$2:$K$10001,0)),"")</f>
        <v/>
      </c>
    </row>
    <row r="783">
      <c r="A783">
        <f>IFERROR(INDEX('Email Cleaner'!$B$2:$B$10001,MATCH(782,'Email Cleaner'!$K$2:$K$10001,0)),"")</f>
        <v/>
      </c>
    </row>
    <row r="784">
      <c r="A784">
        <f>IFERROR(INDEX('Email Cleaner'!$B$2:$B$10001,MATCH(783,'Email Cleaner'!$K$2:$K$10001,0)),"")</f>
        <v/>
      </c>
    </row>
    <row r="785">
      <c r="A785">
        <f>IFERROR(INDEX('Email Cleaner'!$B$2:$B$10001,MATCH(784,'Email Cleaner'!$K$2:$K$10001,0)),"")</f>
        <v/>
      </c>
    </row>
    <row r="786">
      <c r="A786">
        <f>IFERROR(INDEX('Email Cleaner'!$B$2:$B$10001,MATCH(785,'Email Cleaner'!$K$2:$K$10001,0)),"")</f>
        <v/>
      </c>
    </row>
    <row r="787">
      <c r="A787">
        <f>IFERROR(INDEX('Email Cleaner'!$B$2:$B$10001,MATCH(786,'Email Cleaner'!$K$2:$K$10001,0)),"")</f>
        <v/>
      </c>
    </row>
    <row r="788">
      <c r="A788">
        <f>IFERROR(INDEX('Email Cleaner'!$B$2:$B$10001,MATCH(787,'Email Cleaner'!$K$2:$K$10001,0)),"")</f>
        <v/>
      </c>
    </row>
    <row r="789">
      <c r="A789">
        <f>IFERROR(INDEX('Email Cleaner'!$B$2:$B$10001,MATCH(788,'Email Cleaner'!$K$2:$K$10001,0)),"")</f>
        <v/>
      </c>
    </row>
    <row r="790">
      <c r="A790">
        <f>IFERROR(INDEX('Email Cleaner'!$B$2:$B$10001,MATCH(789,'Email Cleaner'!$K$2:$K$10001,0)),"")</f>
        <v/>
      </c>
    </row>
    <row r="791">
      <c r="A791">
        <f>IFERROR(INDEX('Email Cleaner'!$B$2:$B$10001,MATCH(790,'Email Cleaner'!$K$2:$K$10001,0)),"")</f>
        <v/>
      </c>
    </row>
    <row r="792">
      <c r="A792">
        <f>IFERROR(INDEX('Email Cleaner'!$B$2:$B$10001,MATCH(791,'Email Cleaner'!$K$2:$K$10001,0)),"")</f>
        <v/>
      </c>
    </row>
    <row r="793">
      <c r="A793">
        <f>IFERROR(INDEX('Email Cleaner'!$B$2:$B$10001,MATCH(792,'Email Cleaner'!$K$2:$K$10001,0)),"")</f>
        <v/>
      </c>
    </row>
    <row r="794">
      <c r="A794">
        <f>IFERROR(INDEX('Email Cleaner'!$B$2:$B$10001,MATCH(793,'Email Cleaner'!$K$2:$K$10001,0)),"")</f>
        <v/>
      </c>
    </row>
    <row r="795">
      <c r="A795">
        <f>IFERROR(INDEX('Email Cleaner'!$B$2:$B$10001,MATCH(794,'Email Cleaner'!$K$2:$K$10001,0)),"")</f>
        <v/>
      </c>
    </row>
    <row r="796">
      <c r="A796">
        <f>IFERROR(INDEX('Email Cleaner'!$B$2:$B$10001,MATCH(795,'Email Cleaner'!$K$2:$K$10001,0)),"")</f>
        <v/>
      </c>
    </row>
    <row r="797">
      <c r="A797">
        <f>IFERROR(INDEX('Email Cleaner'!$B$2:$B$10001,MATCH(796,'Email Cleaner'!$K$2:$K$10001,0)),"")</f>
        <v/>
      </c>
    </row>
    <row r="798">
      <c r="A798">
        <f>IFERROR(INDEX('Email Cleaner'!$B$2:$B$10001,MATCH(797,'Email Cleaner'!$K$2:$K$10001,0)),"")</f>
        <v/>
      </c>
    </row>
    <row r="799">
      <c r="A799">
        <f>IFERROR(INDEX('Email Cleaner'!$B$2:$B$10001,MATCH(798,'Email Cleaner'!$K$2:$K$10001,0)),"")</f>
        <v/>
      </c>
    </row>
    <row r="800">
      <c r="A800">
        <f>IFERROR(INDEX('Email Cleaner'!$B$2:$B$10001,MATCH(799,'Email Cleaner'!$K$2:$K$10001,0)),"")</f>
        <v/>
      </c>
    </row>
    <row r="801">
      <c r="A801">
        <f>IFERROR(INDEX('Email Cleaner'!$B$2:$B$10001,MATCH(800,'Email Cleaner'!$K$2:$K$10001,0)),"")</f>
        <v/>
      </c>
    </row>
    <row r="802">
      <c r="A802">
        <f>IFERROR(INDEX('Email Cleaner'!$B$2:$B$10001,MATCH(801,'Email Cleaner'!$K$2:$K$10001,0)),"")</f>
        <v/>
      </c>
    </row>
    <row r="803">
      <c r="A803">
        <f>IFERROR(INDEX('Email Cleaner'!$B$2:$B$10001,MATCH(802,'Email Cleaner'!$K$2:$K$10001,0)),"")</f>
        <v/>
      </c>
    </row>
    <row r="804">
      <c r="A804">
        <f>IFERROR(INDEX('Email Cleaner'!$B$2:$B$10001,MATCH(803,'Email Cleaner'!$K$2:$K$10001,0)),"")</f>
        <v/>
      </c>
    </row>
    <row r="805">
      <c r="A805">
        <f>IFERROR(INDEX('Email Cleaner'!$B$2:$B$10001,MATCH(804,'Email Cleaner'!$K$2:$K$10001,0)),"")</f>
        <v/>
      </c>
    </row>
    <row r="806">
      <c r="A806">
        <f>IFERROR(INDEX('Email Cleaner'!$B$2:$B$10001,MATCH(805,'Email Cleaner'!$K$2:$K$10001,0)),"")</f>
        <v/>
      </c>
    </row>
    <row r="807">
      <c r="A807">
        <f>IFERROR(INDEX('Email Cleaner'!$B$2:$B$10001,MATCH(806,'Email Cleaner'!$K$2:$K$10001,0)),"")</f>
        <v/>
      </c>
    </row>
    <row r="808">
      <c r="A808">
        <f>IFERROR(INDEX('Email Cleaner'!$B$2:$B$10001,MATCH(807,'Email Cleaner'!$K$2:$K$10001,0)),"")</f>
        <v/>
      </c>
    </row>
    <row r="809">
      <c r="A809">
        <f>IFERROR(INDEX('Email Cleaner'!$B$2:$B$10001,MATCH(808,'Email Cleaner'!$K$2:$K$10001,0)),"")</f>
        <v/>
      </c>
    </row>
    <row r="810">
      <c r="A810">
        <f>IFERROR(INDEX('Email Cleaner'!$B$2:$B$10001,MATCH(809,'Email Cleaner'!$K$2:$K$10001,0)),"")</f>
        <v/>
      </c>
    </row>
    <row r="811">
      <c r="A811">
        <f>IFERROR(INDEX('Email Cleaner'!$B$2:$B$10001,MATCH(810,'Email Cleaner'!$K$2:$K$10001,0)),"")</f>
        <v/>
      </c>
    </row>
    <row r="812">
      <c r="A812">
        <f>IFERROR(INDEX('Email Cleaner'!$B$2:$B$10001,MATCH(811,'Email Cleaner'!$K$2:$K$10001,0)),"")</f>
        <v/>
      </c>
    </row>
    <row r="813">
      <c r="A813">
        <f>IFERROR(INDEX('Email Cleaner'!$B$2:$B$10001,MATCH(812,'Email Cleaner'!$K$2:$K$10001,0)),"")</f>
        <v/>
      </c>
    </row>
    <row r="814">
      <c r="A814">
        <f>IFERROR(INDEX('Email Cleaner'!$B$2:$B$10001,MATCH(813,'Email Cleaner'!$K$2:$K$10001,0)),"")</f>
        <v/>
      </c>
    </row>
    <row r="815">
      <c r="A815">
        <f>IFERROR(INDEX('Email Cleaner'!$B$2:$B$10001,MATCH(814,'Email Cleaner'!$K$2:$K$10001,0)),"")</f>
        <v/>
      </c>
    </row>
    <row r="816">
      <c r="A816">
        <f>IFERROR(INDEX('Email Cleaner'!$B$2:$B$10001,MATCH(815,'Email Cleaner'!$K$2:$K$10001,0)),"")</f>
        <v/>
      </c>
    </row>
    <row r="817">
      <c r="A817">
        <f>IFERROR(INDEX('Email Cleaner'!$B$2:$B$10001,MATCH(816,'Email Cleaner'!$K$2:$K$10001,0)),"")</f>
        <v/>
      </c>
    </row>
    <row r="818">
      <c r="A818">
        <f>IFERROR(INDEX('Email Cleaner'!$B$2:$B$10001,MATCH(817,'Email Cleaner'!$K$2:$K$10001,0)),"")</f>
        <v/>
      </c>
    </row>
    <row r="819">
      <c r="A819">
        <f>IFERROR(INDEX('Email Cleaner'!$B$2:$B$10001,MATCH(818,'Email Cleaner'!$K$2:$K$10001,0)),"")</f>
        <v/>
      </c>
    </row>
    <row r="820">
      <c r="A820">
        <f>IFERROR(INDEX('Email Cleaner'!$B$2:$B$10001,MATCH(819,'Email Cleaner'!$K$2:$K$10001,0)),"")</f>
        <v/>
      </c>
    </row>
    <row r="821">
      <c r="A821">
        <f>IFERROR(INDEX('Email Cleaner'!$B$2:$B$10001,MATCH(820,'Email Cleaner'!$K$2:$K$10001,0)),"")</f>
        <v/>
      </c>
    </row>
    <row r="822">
      <c r="A822">
        <f>IFERROR(INDEX('Email Cleaner'!$B$2:$B$10001,MATCH(821,'Email Cleaner'!$K$2:$K$10001,0)),"")</f>
        <v/>
      </c>
    </row>
    <row r="823">
      <c r="A823">
        <f>IFERROR(INDEX('Email Cleaner'!$B$2:$B$10001,MATCH(822,'Email Cleaner'!$K$2:$K$10001,0)),"")</f>
        <v/>
      </c>
    </row>
    <row r="824">
      <c r="A824">
        <f>IFERROR(INDEX('Email Cleaner'!$B$2:$B$10001,MATCH(823,'Email Cleaner'!$K$2:$K$10001,0)),"")</f>
        <v/>
      </c>
    </row>
    <row r="825">
      <c r="A825">
        <f>IFERROR(INDEX('Email Cleaner'!$B$2:$B$10001,MATCH(824,'Email Cleaner'!$K$2:$K$10001,0)),"")</f>
        <v/>
      </c>
    </row>
    <row r="826">
      <c r="A826">
        <f>IFERROR(INDEX('Email Cleaner'!$B$2:$B$10001,MATCH(825,'Email Cleaner'!$K$2:$K$10001,0)),"")</f>
        <v/>
      </c>
    </row>
    <row r="827">
      <c r="A827">
        <f>IFERROR(INDEX('Email Cleaner'!$B$2:$B$10001,MATCH(826,'Email Cleaner'!$K$2:$K$10001,0)),"")</f>
        <v/>
      </c>
    </row>
    <row r="828">
      <c r="A828">
        <f>IFERROR(INDEX('Email Cleaner'!$B$2:$B$10001,MATCH(827,'Email Cleaner'!$K$2:$K$10001,0)),"")</f>
        <v/>
      </c>
    </row>
    <row r="829">
      <c r="A829">
        <f>IFERROR(INDEX('Email Cleaner'!$B$2:$B$10001,MATCH(828,'Email Cleaner'!$K$2:$K$10001,0)),"")</f>
        <v/>
      </c>
    </row>
    <row r="830">
      <c r="A830">
        <f>IFERROR(INDEX('Email Cleaner'!$B$2:$B$10001,MATCH(829,'Email Cleaner'!$K$2:$K$10001,0)),"")</f>
        <v/>
      </c>
    </row>
    <row r="831">
      <c r="A831">
        <f>IFERROR(INDEX('Email Cleaner'!$B$2:$B$10001,MATCH(830,'Email Cleaner'!$K$2:$K$10001,0)),"")</f>
        <v/>
      </c>
    </row>
    <row r="832">
      <c r="A832">
        <f>IFERROR(INDEX('Email Cleaner'!$B$2:$B$10001,MATCH(831,'Email Cleaner'!$K$2:$K$10001,0)),"")</f>
        <v/>
      </c>
    </row>
    <row r="833">
      <c r="A833">
        <f>IFERROR(INDEX('Email Cleaner'!$B$2:$B$10001,MATCH(832,'Email Cleaner'!$K$2:$K$10001,0)),"")</f>
        <v/>
      </c>
    </row>
    <row r="834">
      <c r="A834">
        <f>IFERROR(INDEX('Email Cleaner'!$B$2:$B$10001,MATCH(833,'Email Cleaner'!$K$2:$K$10001,0)),"")</f>
        <v/>
      </c>
    </row>
    <row r="835">
      <c r="A835">
        <f>IFERROR(INDEX('Email Cleaner'!$B$2:$B$10001,MATCH(834,'Email Cleaner'!$K$2:$K$10001,0)),"")</f>
        <v/>
      </c>
    </row>
    <row r="836">
      <c r="A836">
        <f>IFERROR(INDEX('Email Cleaner'!$B$2:$B$10001,MATCH(835,'Email Cleaner'!$K$2:$K$10001,0)),"")</f>
        <v/>
      </c>
    </row>
    <row r="837">
      <c r="A837">
        <f>IFERROR(INDEX('Email Cleaner'!$B$2:$B$10001,MATCH(836,'Email Cleaner'!$K$2:$K$10001,0)),"")</f>
        <v/>
      </c>
    </row>
    <row r="838">
      <c r="A838">
        <f>IFERROR(INDEX('Email Cleaner'!$B$2:$B$10001,MATCH(837,'Email Cleaner'!$K$2:$K$10001,0)),"")</f>
        <v/>
      </c>
    </row>
    <row r="839">
      <c r="A839">
        <f>IFERROR(INDEX('Email Cleaner'!$B$2:$B$10001,MATCH(838,'Email Cleaner'!$K$2:$K$10001,0)),"")</f>
        <v/>
      </c>
    </row>
    <row r="840">
      <c r="A840">
        <f>IFERROR(INDEX('Email Cleaner'!$B$2:$B$10001,MATCH(839,'Email Cleaner'!$K$2:$K$10001,0)),"")</f>
        <v/>
      </c>
    </row>
    <row r="841">
      <c r="A841">
        <f>IFERROR(INDEX('Email Cleaner'!$B$2:$B$10001,MATCH(840,'Email Cleaner'!$K$2:$K$10001,0)),"")</f>
        <v/>
      </c>
    </row>
    <row r="842">
      <c r="A842">
        <f>IFERROR(INDEX('Email Cleaner'!$B$2:$B$10001,MATCH(841,'Email Cleaner'!$K$2:$K$10001,0)),"")</f>
        <v/>
      </c>
    </row>
    <row r="843">
      <c r="A843">
        <f>IFERROR(INDEX('Email Cleaner'!$B$2:$B$10001,MATCH(842,'Email Cleaner'!$K$2:$K$10001,0)),"")</f>
        <v/>
      </c>
    </row>
    <row r="844">
      <c r="A844">
        <f>IFERROR(INDEX('Email Cleaner'!$B$2:$B$10001,MATCH(843,'Email Cleaner'!$K$2:$K$10001,0)),"")</f>
        <v/>
      </c>
    </row>
    <row r="845">
      <c r="A845">
        <f>IFERROR(INDEX('Email Cleaner'!$B$2:$B$10001,MATCH(844,'Email Cleaner'!$K$2:$K$10001,0)),"")</f>
        <v/>
      </c>
    </row>
    <row r="846">
      <c r="A846">
        <f>IFERROR(INDEX('Email Cleaner'!$B$2:$B$10001,MATCH(845,'Email Cleaner'!$K$2:$K$10001,0)),"")</f>
        <v/>
      </c>
    </row>
    <row r="847">
      <c r="A847">
        <f>IFERROR(INDEX('Email Cleaner'!$B$2:$B$10001,MATCH(846,'Email Cleaner'!$K$2:$K$10001,0)),"")</f>
        <v/>
      </c>
    </row>
    <row r="848">
      <c r="A848">
        <f>IFERROR(INDEX('Email Cleaner'!$B$2:$B$10001,MATCH(847,'Email Cleaner'!$K$2:$K$10001,0)),"")</f>
        <v/>
      </c>
    </row>
    <row r="849">
      <c r="A849">
        <f>IFERROR(INDEX('Email Cleaner'!$B$2:$B$10001,MATCH(848,'Email Cleaner'!$K$2:$K$10001,0)),"")</f>
        <v/>
      </c>
    </row>
    <row r="850">
      <c r="A850">
        <f>IFERROR(INDEX('Email Cleaner'!$B$2:$B$10001,MATCH(849,'Email Cleaner'!$K$2:$K$10001,0)),"")</f>
        <v/>
      </c>
    </row>
    <row r="851">
      <c r="A851">
        <f>IFERROR(INDEX('Email Cleaner'!$B$2:$B$10001,MATCH(850,'Email Cleaner'!$K$2:$K$10001,0)),"")</f>
        <v/>
      </c>
    </row>
    <row r="852">
      <c r="A852">
        <f>IFERROR(INDEX('Email Cleaner'!$B$2:$B$10001,MATCH(851,'Email Cleaner'!$K$2:$K$10001,0)),"")</f>
        <v/>
      </c>
    </row>
    <row r="853">
      <c r="A853">
        <f>IFERROR(INDEX('Email Cleaner'!$B$2:$B$10001,MATCH(852,'Email Cleaner'!$K$2:$K$10001,0)),"")</f>
        <v/>
      </c>
    </row>
    <row r="854">
      <c r="A854">
        <f>IFERROR(INDEX('Email Cleaner'!$B$2:$B$10001,MATCH(853,'Email Cleaner'!$K$2:$K$10001,0)),"")</f>
        <v/>
      </c>
    </row>
    <row r="855">
      <c r="A855">
        <f>IFERROR(INDEX('Email Cleaner'!$B$2:$B$10001,MATCH(854,'Email Cleaner'!$K$2:$K$10001,0)),"")</f>
        <v/>
      </c>
    </row>
    <row r="856">
      <c r="A856">
        <f>IFERROR(INDEX('Email Cleaner'!$B$2:$B$10001,MATCH(855,'Email Cleaner'!$K$2:$K$10001,0)),"")</f>
        <v/>
      </c>
    </row>
    <row r="857">
      <c r="A857">
        <f>IFERROR(INDEX('Email Cleaner'!$B$2:$B$10001,MATCH(856,'Email Cleaner'!$K$2:$K$10001,0)),"")</f>
        <v/>
      </c>
    </row>
    <row r="858">
      <c r="A858">
        <f>IFERROR(INDEX('Email Cleaner'!$B$2:$B$10001,MATCH(857,'Email Cleaner'!$K$2:$K$10001,0)),"")</f>
        <v/>
      </c>
    </row>
    <row r="859">
      <c r="A859">
        <f>IFERROR(INDEX('Email Cleaner'!$B$2:$B$10001,MATCH(858,'Email Cleaner'!$K$2:$K$10001,0)),"")</f>
        <v/>
      </c>
    </row>
    <row r="860">
      <c r="A860">
        <f>IFERROR(INDEX('Email Cleaner'!$B$2:$B$10001,MATCH(859,'Email Cleaner'!$K$2:$K$10001,0)),"")</f>
        <v/>
      </c>
    </row>
    <row r="861">
      <c r="A861">
        <f>IFERROR(INDEX('Email Cleaner'!$B$2:$B$10001,MATCH(860,'Email Cleaner'!$K$2:$K$10001,0)),"")</f>
        <v/>
      </c>
    </row>
    <row r="862">
      <c r="A862">
        <f>IFERROR(INDEX('Email Cleaner'!$B$2:$B$10001,MATCH(861,'Email Cleaner'!$K$2:$K$10001,0)),"")</f>
        <v/>
      </c>
    </row>
    <row r="863">
      <c r="A863">
        <f>IFERROR(INDEX('Email Cleaner'!$B$2:$B$10001,MATCH(862,'Email Cleaner'!$K$2:$K$10001,0)),"")</f>
        <v/>
      </c>
    </row>
    <row r="864">
      <c r="A864">
        <f>IFERROR(INDEX('Email Cleaner'!$B$2:$B$10001,MATCH(863,'Email Cleaner'!$K$2:$K$10001,0)),"")</f>
        <v/>
      </c>
    </row>
    <row r="865">
      <c r="A865">
        <f>IFERROR(INDEX('Email Cleaner'!$B$2:$B$10001,MATCH(864,'Email Cleaner'!$K$2:$K$10001,0)),"")</f>
        <v/>
      </c>
    </row>
    <row r="866">
      <c r="A866">
        <f>IFERROR(INDEX('Email Cleaner'!$B$2:$B$10001,MATCH(865,'Email Cleaner'!$K$2:$K$10001,0)),"")</f>
        <v/>
      </c>
    </row>
    <row r="867">
      <c r="A867">
        <f>IFERROR(INDEX('Email Cleaner'!$B$2:$B$10001,MATCH(866,'Email Cleaner'!$K$2:$K$10001,0)),"")</f>
        <v/>
      </c>
    </row>
    <row r="868">
      <c r="A868">
        <f>IFERROR(INDEX('Email Cleaner'!$B$2:$B$10001,MATCH(867,'Email Cleaner'!$K$2:$K$10001,0)),"")</f>
        <v/>
      </c>
    </row>
    <row r="869">
      <c r="A869">
        <f>IFERROR(INDEX('Email Cleaner'!$B$2:$B$10001,MATCH(868,'Email Cleaner'!$K$2:$K$10001,0)),"")</f>
        <v/>
      </c>
    </row>
    <row r="870">
      <c r="A870">
        <f>IFERROR(INDEX('Email Cleaner'!$B$2:$B$10001,MATCH(869,'Email Cleaner'!$K$2:$K$10001,0)),"")</f>
        <v/>
      </c>
    </row>
    <row r="871">
      <c r="A871">
        <f>IFERROR(INDEX('Email Cleaner'!$B$2:$B$10001,MATCH(870,'Email Cleaner'!$K$2:$K$10001,0)),"")</f>
        <v/>
      </c>
    </row>
    <row r="872">
      <c r="A872">
        <f>IFERROR(INDEX('Email Cleaner'!$B$2:$B$10001,MATCH(871,'Email Cleaner'!$K$2:$K$10001,0)),"")</f>
        <v/>
      </c>
    </row>
    <row r="873">
      <c r="A873">
        <f>IFERROR(INDEX('Email Cleaner'!$B$2:$B$10001,MATCH(872,'Email Cleaner'!$K$2:$K$10001,0)),"")</f>
        <v/>
      </c>
    </row>
    <row r="874">
      <c r="A874">
        <f>IFERROR(INDEX('Email Cleaner'!$B$2:$B$10001,MATCH(873,'Email Cleaner'!$K$2:$K$10001,0)),"")</f>
        <v/>
      </c>
    </row>
    <row r="875">
      <c r="A875">
        <f>IFERROR(INDEX('Email Cleaner'!$B$2:$B$10001,MATCH(874,'Email Cleaner'!$K$2:$K$10001,0)),"")</f>
        <v/>
      </c>
    </row>
    <row r="876">
      <c r="A876">
        <f>IFERROR(INDEX('Email Cleaner'!$B$2:$B$10001,MATCH(875,'Email Cleaner'!$K$2:$K$10001,0)),"")</f>
        <v/>
      </c>
    </row>
    <row r="877">
      <c r="A877">
        <f>IFERROR(INDEX('Email Cleaner'!$B$2:$B$10001,MATCH(876,'Email Cleaner'!$K$2:$K$10001,0)),"")</f>
        <v/>
      </c>
    </row>
    <row r="878">
      <c r="A878">
        <f>IFERROR(INDEX('Email Cleaner'!$B$2:$B$10001,MATCH(877,'Email Cleaner'!$K$2:$K$10001,0)),"")</f>
        <v/>
      </c>
    </row>
    <row r="879">
      <c r="A879">
        <f>IFERROR(INDEX('Email Cleaner'!$B$2:$B$10001,MATCH(878,'Email Cleaner'!$K$2:$K$10001,0)),"")</f>
        <v/>
      </c>
    </row>
    <row r="880">
      <c r="A880">
        <f>IFERROR(INDEX('Email Cleaner'!$B$2:$B$10001,MATCH(879,'Email Cleaner'!$K$2:$K$10001,0)),"")</f>
        <v/>
      </c>
    </row>
    <row r="881">
      <c r="A881">
        <f>IFERROR(INDEX('Email Cleaner'!$B$2:$B$10001,MATCH(880,'Email Cleaner'!$K$2:$K$10001,0)),"")</f>
        <v/>
      </c>
    </row>
    <row r="882">
      <c r="A882">
        <f>IFERROR(INDEX('Email Cleaner'!$B$2:$B$10001,MATCH(881,'Email Cleaner'!$K$2:$K$10001,0)),"")</f>
        <v/>
      </c>
    </row>
    <row r="883">
      <c r="A883">
        <f>IFERROR(INDEX('Email Cleaner'!$B$2:$B$10001,MATCH(882,'Email Cleaner'!$K$2:$K$10001,0)),"")</f>
        <v/>
      </c>
    </row>
    <row r="884">
      <c r="A884">
        <f>IFERROR(INDEX('Email Cleaner'!$B$2:$B$10001,MATCH(883,'Email Cleaner'!$K$2:$K$10001,0)),"")</f>
        <v/>
      </c>
    </row>
    <row r="885">
      <c r="A885">
        <f>IFERROR(INDEX('Email Cleaner'!$B$2:$B$10001,MATCH(884,'Email Cleaner'!$K$2:$K$10001,0)),"")</f>
        <v/>
      </c>
    </row>
    <row r="886">
      <c r="A886">
        <f>IFERROR(INDEX('Email Cleaner'!$B$2:$B$10001,MATCH(885,'Email Cleaner'!$K$2:$K$10001,0)),"")</f>
        <v/>
      </c>
    </row>
    <row r="887">
      <c r="A887">
        <f>IFERROR(INDEX('Email Cleaner'!$B$2:$B$10001,MATCH(886,'Email Cleaner'!$K$2:$K$10001,0)),"")</f>
        <v/>
      </c>
    </row>
    <row r="888">
      <c r="A888">
        <f>IFERROR(INDEX('Email Cleaner'!$B$2:$B$10001,MATCH(887,'Email Cleaner'!$K$2:$K$10001,0)),"")</f>
        <v/>
      </c>
    </row>
    <row r="889">
      <c r="A889">
        <f>IFERROR(INDEX('Email Cleaner'!$B$2:$B$10001,MATCH(888,'Email Cleaner'!$K$2:$K$10001,0)),"")</f>
        <v/>
      </c>
    </row>
    <row r="890">
      <c r="A890">
        <f>IFERROR(INDEX('Email Cleaner'!$B$2:$B$10001,MATCH(889,'Email Cleaner'!$K$2:$K$10001,0)),"")</f>
        <v/>
      </c>
    </row>
    <row r="891">
      <c r="A891">
        <f>IFERROR(INDEX('Email Cleaner'!$B$2:$B$10001,MATCH(890,'Email Cleaner'!$K$2:$K$10001,0)),"")</f>
        <v/>
      </c>
    </row>
    <row r="892">
      <c r="A892">
        <f>IFERROR(INDEX('Email Cleaner'!$B$2:$B$10001,MATCH(891,'Email Cleaner'!$K$2:$K$10001,0)),"")</f>
        <v/>
      </c>
    </row>
    <row r="893">
      <c r="A893">
        <f>IFERROR(INDEX('Email Cleaner'!$B$2:$B$10001,MATCH(892,'Email Cleaner'!$K$2:$K$10001,0)),"")</f>
        <v/>
      </c>
    </row>
    <row r="894">
      <c r="A894">
        <f>IFERROR(INDEX('Email Cleaner'!$B$2:$B$10001,MATCH(893,'Email Cleaner'!$K$2:$K$10001,0)),"")</f>
        <v/>
      </c>
    </row>
    <row r="895">
      <c r="A895">
        <f>IFERROR(INDEX('Email Cleaner'!$B$2:$B$10001,MATCH(894,'Email Cleaner'!$K$2:$K$10001,0)),"")</f>
        <v/>
      </c>
    </row>
    <row r="896">
      <c r="A896">
        <f>IFERROR(INDEX('Email Cleaner'!$B$2:$B$10001,MATCH(895,'Email Cleaner'!$K$2:$K$10001,0)),"")</f>
        <v/>
      </c>
    </row>
    <row r="897">
      <c r="A897">
        <f>IFERROR(INDEX('Email Cleaner'!$B$2:$B$10001,MATCH(896,'Email Cleaner'!$K$2:$K$10001,0)),"")</f>
        <v/>
      </c>
    </row>
    <row r="898">
      <c r="A898">
        <f>IFERROR(INDEX('Email Cleaner'!$B$2:$B$10001,MATCH(897,'Email Cleaner'!$K$2:$K$10001,0)),"")</f>
        <v/>
      </c>
    </row>
    <row r="899">
      <c r="A899">
        <f>IFERROR(INDEX('Email Cleaner'!$B$2:$B$10001,MATCH(898,'Email Cleaner'!$K$2:$K$10001,0)),"")</f>
        <v/>
      </c>
    </row>
    <row r="900">
      <c r="A900">
        <f>IFERROR(INDEX('Email Cleaner'!$B$2:$B$10001,MATCH(899,'Email Cleaner'!$K$2:$K$10001,0)),"")</f>
        <v/>
      </c>
    </row>
    <row r="901">
      <c r="A901">
        <f>IFERROR(INDEX('Email Cleaner'!$B$2:$B$10001,MATCH(900,'Email Cleaner'!$K$2:$K$10001,0)),"")</f>
        <v/>
      </c>
    </row>
    <row r="902">
      <c r="A902">
        <f>IFERROR(INDEX('Email Cleaner'!$B$2:$B$10001,MATCH(901,'Email Cleaner'!$K$2:$K$10001,0)),"")</f>
        <v/>
      </c>
    </row>
    <row r="903">
      <c r="A903">
        <f>IFERROR(INDEX('Email Cleaner'!$B$2:$B$10001,MATCH(902,'Email Cleaner'!$K$2:$K$10001,0)),"")</f>
        <v/>
      </c>
    </row>
    <row r="904">
      <c r="A904">
        <f>IFERROR(INDEX('Email Cleaner'!$B$2:$B$10001,MATCH(903,'Email Cleaner'!$K$2:$K$10001,0)),"")</f>
        <v/>
      </c>
    </row>
    <row r="905">
      <c r="A905">
        <f>IFERROR(INDEX('Email Cleaner'!$B$2:$B$10001,MATCH(904,'Email Cleaner'!$K$2:$K$10001,0)),"")</f>
        <v/>
      </c>
    </row>
    <row r="906">
      <c r="A906">
        <f>IFERROR(INDEX('Email Cleaner'!$B$2:$B$10001,MATCH(905,'Email Cleaner'!$K$2:$K$10001,0)),"")</f>
        <v/>
      </c>
    </row>
    <row r="907">
      <c r="A907">
        <f>IFERROR(INDEX('Email Cleaner'!$B$2:$B$10001,MATCH(906,'Email Cleaner'!$K$2:$K$10001,0)),"")</f>
        <v/>
      </c>
    </row>
    <row r="908">
      <c r="A908">
        <f>IFERROR(INDEX('Email Cleaner'!$B$2:$B$10001,MATCH(907,'Email Cleaner'!$K$2:$K$10001,0)),"")</f>
        <v/>
      </c>
    </row>
    <row r="909">
      <c r="A909">
        <f>IFERROR(INDEX('Email Cleaner'!$B$2:$B$10001,MATCH(908,'Email Cleaner'!$K$2:$K$10001,0)),"")</f>
        <v/>
      </c>
    </row>
    <row r="910">
      <c r="A910">
        <f>IFERROR(INDEX('Email Cleaner'!$B$2:$B$10001,MATCH(909,'Email Cleaner'!$K$2:$K$10001,0)),"")</f>
        <v/>
      </c>
    </row>
    <row r="911">
      <c r="A911">
        <f>IFERROR(INDEX('Email Cleaner'!$B$2:$B$10001,MATCH(910,'Email Cleaner'!$K$2:$K$10001,0)),"")</f>
        <v/>
      </c>
    </row>
    <row r="912">
      <c r="A912">
        <f>IFERROR(INDEX('Email Cleaner'!$B$2:$B$10001,MATCH(911,'Email Cleaner'!$K$2:$K$10001,0)),"")</f>
        <v/>
      </c>
    </row>
    <row r="913">
      <c r="A913">
        <f>IFERROR(INDEX('Email Cleaner'!$B$2:$B$10001,MATCH(912,'Email Cleaner'!$K$2:$K$10001,0)),"")</f>
        <v/>
      </c>
    </row>
    <row r="914">
      <c r="A914">
        <f>IFERROR(INDEX('Email Cleaner'!$B$2:$B$10001,MATCH(913,'Email Cleaner'!$K$2:$K$10001,0)),"")</f>
        <v/>
      </c>
    </row>
    <row r="915">
      <c r="A915">
        <f>IFERROR(INDEX('Email Cleaner'!$B$2:$B$10001,MATCH(914,'Email Cleaner'!$K$2:$K$10001,0)),"")</f>
        <v/>
      </c>
    </row>
    <row r="916">
      <c r="A916">
        <f>IFERROR(INDEX('Email Cleaner'!$B$2:$B$10001,MATCH(915,'Email Cleaner'!$K$2:$K$10001,0)),"")</f>
        <v/>
      </c>
    </row>
    <row r="917">
      <c r="A917">
        <f>IFERROR(INDEX('Email Cleaner'!$B$2:$B$10001,MATCH(916,'Email Cleaner'!$K$2:$K$10001,0)),"")</f>
        <v/>
      </c>
    </row>
    <row r="918">
      <c r="A918">
        <f>IFERROR(INDEX('Email Cleaner'!$B$2:$B$10001,MATCH(917,'Email Cleaner'!$K$2:$K$10001,0)),"")</f>
        <v/>
      </c>
    </row>
    <row r="919">
      <c r="A919">
        <f>IFERROR(INDEX('Email Cleaner'!$B$2:$B$10001,MATCH(918,'Email Cleaner'!$K$2:$K$10001,0)),"")</f>
        <v/>
      </c>
    </row>
    <row r="920">
      <c r="A920">
        <f>IFERROR(INDEX('Email Cleaner'!$B$2:$B$10001,MATCH(919,'Email Cleaner'!$K$2:$K$10001,0)),"")</f>
        <v/>
      </c>
    </row>
    <row r="921">
      <c r="A921">
        <f>IFERROR(INDEX('Email Cleaner'!$B$2:$B$10001,MATCH(920,'Email Cleaner'!$K$2:$K$10001,0)),"")</f>
        <v/>
      </c>
    </row>
    <row r="922">
      <c r="A922">
        <f>IFERROR(INDEX('Email Cleaner'!$B$2:$B$10001,MATCH(921,'Email Cleaner'!$K$2:$K$10001,0)),"")</f>
        <v/>
      </c>
    </row>
    <row r="923">
      <c r="A923">
        <f>IFERROR(INDEX('Email Cleaner'!$B$2:$B$10001,MATCH(922,'Email Cleaner'!$K$2:$K$10001,0)),"")</f>
        <v/>
      </c>
    </row>
    <row r="924">
      <c r="A924">
        <f>IFERROR(INDEX('Email Cleaner'!$B$2:$B$10001,MATCH(923,'Email Cleaner'!$K$2:$K$10001,0)),"")</f>
        <v/>
      </c>
    </row>
    <row r="925">
      <c r="A925">
        <f>IFERROR(INDEX('Email Cleaner'!$B$2:$B$10001,MATCH(924,'Email Cleaner'!$K$2:$K$10001,0)),"")</f>
        <v/>
      </c>
    </row>
    <row r="926">
      <c r="A926">
        <f>IFERROR(INDEX('Email Cleaner'!$B$2:$B$10001,MATCH(925,'Email Cleaner'!$K$2:$K$10001,0)),"")</f>
        <v/>
      </c>
    </row>
    <row r="927">
      <c r="A927">
        <f>IFERROR(INDEX('Email Cleaner'!$B$2:$B$10001,MATCH(926,'Email Cleaner'!$K$2:$K$10001,0)),"")</f>
        <v/>
      </c>
    </row>
    <row r="928">
      <c r="A928">
        <f>IFERROR(INDEX('Email Cleaner'!$B$2:$B$10001,MATCH(927,'Email Cleaner'!$K$2:$K$10001,0)),"")</f>
        <v/>
      </c>
    </row>
    <row r="929">
      <c r="A929">
        <f>IFERROR(INDEX('Email Cleaner'!$B$2:$B$10001,MATCH(928,'Email Cleaner'!$K$2:$K$10001,0)),"")</f>
        <v/>
      </c>
    </row>
    <row r="930">
      <c r="A930">
        <f>IFERROR(INDEX('Email Cleaner'!$B$2:$B$10001,MATCH(929,'Email Cleaner'!$K$2:$K$10001,0)),"")</f>
        <v/>
      </c>
    </row>
    <row r="931">
      <c r="A931">
        <f>IFERROR(INDEX('Email Cleaner'!$B$2:$B$10001,MATCH(930,'Email Cleaner'!$K$2:$K$10001,0)),"")</f>
        <v/>
      </c>
    </row>
    <row r="932">
      <c r="A932">
        <f>IFERROR(INDEX('Email Cleaner'!$B$2:$B$10001,MATCH(931,'Email Cleaner'!$K$2:$K$10001,0)),"")</f>
        <v/>
      </c>
    </row>
    <row r="933">
      <c r="A933">
        <f>IFERROR(INDEX('Email Cleaner'!$B$2:$B$10001,MATCH(932,'Email Cleaner'!$K$2:$K$10001,0)),"")</f>
        <v/>
      </c>
    </row>
    <row r="934">
      <c r="A934">
        <f>IFERROR(INDEX('Email Cleaner'!$B$2:$B$10001,MATCH(933,'Email Cleaner'!$K$2:$K$10001,0)),"")</f>
        <v/>
      </c>
    </row>
    <row r="935">
      <c r="A935">
        <f>IFERROR(INDEX('Email Cleaner'!$B$2:$B$10001,MATCH(934,'Email Cleaner'!$K$2:$K$10001,0)),"")</f>
        <v/>
      </c>
    </row>
    <row r="936">
      <c r="A936">
        <f>IFERROR(INDEX('Email Cleaner'!$B$2:$B$10001,MATCH(935,'Email Cleaner'!$K$2:$K$10001,0)),"")</f>
        <v/>
      </c>
    </row>
    <row r="937">
      <c r="A937">
        <f>IFERROR(INDEX('Email Cleaner'!$B$2:$B$10001,MATCH(936,'Email Cleaner'!$K$2:$K$10001,0)),"")</f>
        <v/>
      </c>
    </row>
    <row r="938">
      <c r="A938">
        <f>IFERROR(INDEX('Email Cleaner'!$B$2:$B$10001,MATCH(937,'Email Cleaner'!$K$2:$K$10001,0)),"")</f>
        <v/>
      </c>
    </row>
    <row r="939">
      <c r="A939">
        <f>IFERROR(INDEX('Email Cleaner'!$B$2:$B$10001,MATCH(938,'Email Cleaner'!$K$2:$K$10001,0)),"")</f>
        <v/>
      </c>
    </row>
    <row r="940">
      <c r="A940">
        <f>IFERROR(INDEX('Email Cleaner'!$B$2:$B$10001,MATCH(939,'Email Cleaner'!$K$2:$K$10001,0)),"")</f>
        <v/>
      </c>
    </row>
    <row r="941">
      <c r="A941">
        <f>IFERROR(INDEX('Email Cleaner'!$B$2:$B$10001,MATCH(940,'Email Cleaner'!$K$2:$K$10001,0)),"")</f>
        <v/>
      </c>
    </row>
    <row r="942">
      <c r="A942">
        <f>IFERROR(INDEX('Email Cleaner'!$B$2:$B$10001,MATCH(941,'Email Cleaner'!$K$2:$K$10001,0)),"")</f>
        <v/>
      </c>
    </row>
    <row r="943">
      <c r="A943">
        <f>IFERROR(INDEX('Email Cleaner'!$B$2:$B$10001,MATCH(942,'Email Cleaner'!$K$2:$K$10001,0)),"")</f>
        <v/>
      </c>
    </row>
    <row r="944">
      <c r="A944">
        <f>IFERROR(INDEX('Email Cleaner'!$B$2:$B$10001,MATCH(943,'Email Cleaner'!$K$2:$K$10001,0)),"")</f>
        <v/>
      </c>
    </row>
    <row r="945">
      <c r="A945">
        <f>IFERROR(INDEX('Email Cleaner'!$B$2:$B$10001,MATCH(944,'Email Cleaner'!$K$2:$K$10001,0)),"")</f>
        <v/>
      </c>
    </row>
    <row r="946">
      <c r="A946">
        <f>IFERROR(INDEX('Email Cleaner'!$B$2:$B$10001,MATCH(945,'Email Cleaner'!$K$2:$K$10001,0)),"")</f>
        <v/>
      </c>
    </row>
    <row r="947">
      <c r="A947">
        <f>IFERROR(INDEX('Email Cleaner'!$B$2:$B$10001,MATCH(946,'Email Cleaner'!$K$2:$K$10001,0)),"")</f>
        <v/>
      </c>
    </row>
    <row r="948">
      <c r="A948">
        <f>IFERROR(INDEX('Email Cleaner'!$B$2:$B$10001,MATCH(947,'Email Cleaner'!$K$2:$K$10001,0)),"")</f>
        <v/>
      </c>
    </row>
    <row r="949">
      <c r="A949">
        <f>IFERROR(INDEX('Email Cleaner'!$B$2:$B$10001,MATCH(948,'Email Cleaner'!$K$2:$K$10001,0)),"")</f>
        <v/>
      </c>
    </row>
    <row r="950">
      <c r="A950">
        <f>IFERROR(INDEX('Email Cleaner'!$B$2:$B$10001,MATCH(949,'Email Cleaner'!$K$2:$K$10001,0)),"")</f>
        <v/>
      </c>
    </row>
    <row r="951">
      <c r="A951">
        <f>IFERROR(INDEX('Email Cleaner'!$B$2:$B$10001,MATCH(950,'Email Cleaner'!$K$2:$K$10001,0)),"")</f>
        <v/>
      </c>
    </row>
    <row r="952">
      <c r="A952">
        <f>IFERROR(INDEX('Email Cleaner'!$B$2:$B$10001,MATCH(951,'Email Cleaner'!$K$2:$K$10001,0)),"")</f>
        <v/>
      </c>
    </row>
    <row r="953">
      <c r="A953">
        <f>IFERROR(INDEX('Email Cleaner'!$B$2:$B$10001,MATCH(952,'Email Cleaner'!$K$2:$K$10001,0)),"")</f>
        <v/>
      </c>
    </row>
    <row r="954">
      <c r="A954">
        <f>IFERROR(INDEX('Email Cleaner'!$B$2:$B$10001,MATCH(953,'Email Cleaner'!$K$2:$K$10001,0)),"")</f>
        <v/>
      </c>
    </row>
    <row r="955">
      <c r="A955">
        <f>IFERROR(INDEX('Email Cleaner'!$B$2:$B$10001,MATCH(954,'Email Cleaner'!$K$2:$K$10001,0)),"")</f>
        <v/>
      </c>
    </row>
    <row r="956">
      <c r="A956">
        <f>IFERROR(INDEX('Email Cleaner'!$B$2:$B$10001,MATCH(955,'Email Cleaner'!$K$2:$K$10001,0)),"")</f>
        <v/>
      </c>
    </row>
    <row r="957">
      <c r="A957">
        <f>IFERROR(INDEX('Email Cleaner'!$B$2:$B$10001,MATCH(956,'Email Cleaner'!$K$2:$K$10001,0)),"")</f>
        <v/>
      </c>
    </row>
    <row r="958">
      <c r="A958">
        <f>IFERROR(INDEX('Email Cleaner'!$B$2:$B$10001,MATCH(957,'Email Cleaner'!$K$2:$K$10001,0)),"")</f>
        <v/>
      </c>
    </row>
    <row r="959">
      <c r="A959">
        <f>IFERROR(INDEX('Email Cleaner'!$B$2:$B$10001,MATCH(958,'Email Cleaner'!$K$2:$K$10001,0)),"")</f>
        <v/>
      </c>
    </row>
    <row r="960">
      <c r="A960">
        <f>IFERROR(INDEX('Email Cleaner'!$B$2:$B$10001,MATCH(959,'Email Cleaner'!$K$2:$K$10001,0)),"")</f>
        <v/>
      </c>
    </row>
    <row r="961">
      <c r="A961">
        <f>IFERROR(INDEX('Email Cleaner'!$B$2:$B$10001,MATCH(960,'Email Cleaner'!$K$2:$K$10001,0)),"")</f>
        <v/>
      </c>
    </row>
    <row r="962">
      <c r="A962">
        <f>IFERROR(INDEX('Email Cleaner'!$B$2:$B$10001,MATCH(961,'Email Cleaner'!$K$2:$K$10001,0)),"")</f>
        <v/>
      </c>
    </row>
    <row r="963">
      <c r="A963">
        <f>IFERROR(INDEX('Email Cleaner'!$B$2:$B$10001,MATCH(962,'Email Cleaner'!$K$2:$K$10001,0)),"")</f>
        <v/>
      </c>
    </row>
    <row r="964">
      <c r="A964">
        <f>IFERROR(INDEX('Email Cleaner'!$B$2:$B$10001,MATCH(963,'Email Cleaner'!$K$2:$K$10001,0)),"")</f>
        <v/>
      </c>
    </row>
    <row r="965">
      <c r="A965">
        <f>IFERROR(INDEX('Email Cleaner'!$B$2:$B$10001,MATCH(964,'Email Cleaner'!$K$2:$K$10001,0)),"")</f>
        <v/>
      </c>
    </row>
    <row r="966">
      <c r="A966">
        <f>IFERROR(INDEX('Email Cleaner'!$B$2:$B$10001,MATCH(965,'Email Cleaner'!$K$2:$K$10001,0)),"")</f>
        <v/>
      </c>
    </row>
    <row r="967">
      <c r="A967">
        <f>IFERROR(INDEX('Email Cleaner'!$B$2:$B$10001,MATCH(966,'Email Cleaner'!$K$2:$K$10001,0)),"")</f>
        <v/>
      </c>
    </row>
    <row r="968">
      <c r="A968">
        <f>IFERROR(INDEX('Email Cleaner'!$B$2:$B$10001,MATCH(967,'Email Cleaner'!$K$2:$K$10001,0)),"")</f>
        <v/>
      </c>
    </row>
    <row r="969">
      <c r="A969">
        <f>IFERROR(INDEX('Email Cleaner'!$B$2:$B$10001,MATCH(968,'Email Cleaner'!$K$2:$K$10001,0)),"")</f>
        <v/>
      </c>
    </row>
    <row r="970">
      <c r="A970">
        <f>IFERROR(INDEX('Email Cleaner'!$B$2:$B$10001,MATCH(969,'Email Cleaner'!$K$2:$K$10001,0)),"")</f>
        <v/>
      </c>
    </row>
    <row r="971">
      <c r="A971">
        <f>IFERROR(INDEX('Email Cleaner'!$B$2:$B$10001,MATCH(970,'Email Cleaner'!$K$2:$K$10001,0)),"")</f>
        <v/>
      </c>
    </row>
    <row r="972">
      <c r="A972">
        <f>IFERROR(INDEX('Email Cleaner'!$B$2:$B$10001,MATCH(971,'Email Cleaner'!$K$2:$K$10001,0)),"")</f>
        <v/>
      </c>
    </row>
    <row r="973">
      <c r="A973">
        <f>IFERROR(INDEX('Email Cleaner'!$B$2:$B$10001,MATCH(972,'Email Cleaner'!$K$2:$K$10001,0)),"")</f>
        <v/>
      </c>
    </row>
    <row r="974">
      <c r="A974">
        <f>IFERROR(INDEX('Email Cleaner'!$B$2:$B$10001,MATCH(973,'Email Cleaner'!$K$2:$K$10001,0)),"")</f>
        <v/>
      </c>
    </row>
    <row r="975">
      <c r="A975">
        <f>IFERROR(INDEX('Email Cleaner'!$B$2:$B$10001,MATCH(974,'Email Cleaner'!$K$2:$K$10001,0)),"")</f>
        <v/>
      </c>
    </row>
    <row r="976">
      <c r="A976">
        <f>IFERROR(INDEX('Email Cleaner'!$B$2:$B$10001,MATCH(975,'Email Cleaner'!$K$2:$K$10001,0)),"")</f>
        <v/>
      </c>
    </row>
    <row r="977">
      <c r="A977">
        <f>IFERROR(INDEX('Email Cleaner'!$B$2:$B$10001,MATCH(976,'Email Cleaner'!$K$2:$K$10001,0)),"")</f>
        <v/>
      </c>
    </row>
    <row r="978">
      <c r="A978">
        <f>IFERROR(INDEX('Email Cleaner'!$B$2:$B$10001,MATCH(977,'Email Cleaner'!$K$2:$K$10001,0)),"")</f>
        <v/>
      </c>
    </row>
    <row r="979">
      <c r="A979">
        <f>IFERROR(INDEX('Email Cleaner'!$B$2:$B$10001,MATCH(978,'Email Cleaner'!$K$2:$K$10001,0)),"")</f>
        <v/>
      </c>
    </row>
    <row r="980">
      <c r="A980">
        <f>IFERROR(INDEX('Email Cleaner'!$B$2:$B$10001,MATCH(979,'Email Cleaner'!$K$2:$K$10001,0)),"")</f>
        <v/>
      </c>
    </row>
    <row r="981">
      <c r="A981">
        <f>IFERROR(INDEX('Email Cleaner'!$B$2:$B$10001,MATCH(980,'Email Cleaner'!$K$2:$K$10001,0)),"")</f>
        <v/>
      </c>
    </row>
    <row r="982">
      <c r="A982">
        <f>IFERROR(INDEX('Email Cleaner'!$B$2:$B$10001,MATCH(981,'Email Cleaner'!$K$2:$K$10001,0)),"")</f>
        <v/>
      </c>
    </row>
    <row r="983">
      <c r="A983">
        <f>IFERROR(INDEX('Email Cleaner'!$B$2:$B$10001,MATCH(982,'Email Cleaner'!$K$2:$K$10001,0)),"")</f>
        <v/>
      </c>
    </row>
    <row r="984">
      <c r="A984">
        <f>IFERROR(INDEX('Email Cleaner'!$B$2:$B$10001,MATCH(983,'Email Cleaner'!$K$2:$K$10001,0)),"")</f>
        <v/>
      </c>
    </row>
    <row r="985">
      <c r="A985">
        <f>IFERROR(INDEX('Email Cleaner'!$B$2:$B$10001,MATCH(984,'Email Cleaner'!$K$2:$K$10001,0)),"")</f>
        <v/>
      </c>
    </row>
    <row r="986">
      <c r="A986">
        <f>IFERROR(INDEX('Email Cleaner'!$B$2:$B$10001,MATCH(985,'Email Cleaner'!$K$2:$K$10001,0)),"")</f>
        <v/>
      </c>
    </row>
    <row r="987">
      <c r="A987">
        <f>IFERROR(INDEX('Email Cleaner'!$B$2:$B$10001,MATCH(986,'Email Cleaner'!$K$2:$K$10001,0)),"")</f>
        <v/>
      </c>
    </row>
    <row r="988">
      <c r="A988">
        <f>IFERROR(INDEX('Email Cleaner'!$B$2:$B$10001,MATCH(987,'Email Cleaner'!$K$2:$K$10001,0)),"")</f>
        <v/>
      </c>
    </row>
    <row r="989">
      <c r="A989">
        <f>IFERROR(INDEX('Email Cleaner'!$B$2:$B$10001,MATCH(988,'Email Cleaner'!$K$2:$K$10001,0)),"")</f>
        <v/>
      </c>
    </row>
    <row r="990">
      <c r="A990">
        <f>IFERROR(INDEX('Email Cleaner'!$B$2:$B$10001,MATCH(989,'Email Cleaner'!$K$2:$K$10001,0)),"")</f>
        <v/>
      </c>
    </row>
    <row r="991">
      <c r="A991">
        <f>IFERROR(INDEX('Email Cleaner'!$B$2:$B$10001,MATCH(990,'Email Cleaner'!$K$2:$K$10001,0)),"")</f>
        <v/>
      </c>
    </row>
    <row r="992">
      <c r="A992">
        <f>IFERROR(INDEX('Email Cleaner'!$B$2:$B$10001,MATCH(991,'Email Cleaner'!$K$2:$K$10001,0)),"")</f>
        <v/>
      </c>
    </row>
    <row r="993">
      <c r="A993">
        <f>IFERROR(INDEX('Email Cleaner'!$B$2:$B$10001,MATCH(992,'Email Cleaner'!$K$2:$K$10001,0)),"")</f>
        <v/>
      </c>
    </row>
    <row r="994">
      <c r="A994">
        <f>IFERROR(INDEX('Email Cleaner'!$B$2:$B$10001,MATCH(993,'Email Cleaner'!$K$2:$K$10001,0)),"")</f>
        <v/>
      </c>
    </row>
    <row r="995">
      <c r="A995">
        <f>IFERROR(INDEX('Email Cleaner'!$B$2:$B$10001,MATCH(994,'Email Cleaner'!$K$2:$K$10001,0)),"")</f>
        <v/>
      </c>
    </row>
    <row r="996">
      <c r="A996">
        <f>IFERROR(INDEX('Email Cleaner'!$B$2:$B$10001,MATCH(995,'Email Cleaner'!$K$2:$K$10001,0)),"")</f>
        <v/>
      </c>
    </row>
    <row r="997">
      <c r="A997">
        <f>IFERROR(INDEX('Email Cleaner'!$B$2:$B$10001,MATCH(996,'Email Cleaner'!$K$2:$K$10001,0)),"")</f>
        <v/>
      </c>
    </row>
    <row r="998">
      <c r="A998">
        <f>IFERROR(INDEX('Email Cleaner'!$B$2:$B$10001,MATCH(997,'Email Cleaner'!$K$2:$K$10001,0)),"")</f>
        <v/>
      </c>
    </row>
    <row r="999">
      <c r="A999">
        <f>IFERROR(INDEX('Email Cleaner'!$B$2:$B$10001,MATCH(998,'Email Cleaner'!$K$2:$K$10001,0)),"")</f>
        <v/>
      </c>
    </row>
    <row r="1000">
      <c r="A1000">
        <f>IFERROR(INDEX('Email Cleaner'!$B$2:$B$10001,MATCH(999,'Email Cleaner'!$K$2:$K$10001,0)),"")</f>
        <v/>
      </c>
    </row>
    <row r="1001">
      <c r="A1001">
        <f>IFERROR(INDEX('Email Cleaner'!$B$2:$B$10001,MATCH(1000,'Email Cleaner'!$K$2:$K$10001,0)),"")</f>
        <v/>
      </c>
    </row>
    <row r="1002">
      <c r="A1002">
        <f>IFERROR(INDEX('Email Cleaner'!$B$2:$B$10001,MATCH(1001,'Email Cleaner'!$K$2:$K$10001,0)),"")</f>
        <v/>
      </c>
    </row>
    <row r="1003">
      <c r="A1003">
        <f>IFERROR(INDEX('Email Cleaner'!$B$2:$B$10001,MATCH(1002,'Email Cleaner'!$K$2:$K$10001,0)),"")</f>
        <v/>
      </c>
    </row>
    <row r="1004">
      <c r="A1004">
        <f>IFERROR(INDEX('Email Cleaner'!$B$2:$B$10001,MATCH(1003,'Email Cleaner'!$K$2:$K$10001,0)),"")</f>
        <v/>
      </c>
    </row>
    <row r="1005">
      <c r="A1005">
        <f>IFERROR(INDEX('Email Cleaner'!$B$2:$B$10001,MATCH(1004,'Email Cleaner'!$K$2:$K$10001,0)),"")</f>
        <v/>
      </c>
    </row>
    <row r="1006">
      <c r="A1006">
        <f>IFERROR(INDEX('Email Cleaner'!$B$2:$B$10001,MATCH(1005,'Email Cleaner'!$K$2:$K$10001,0)),"")</f>
        <v/>
      </c>
    </row>
    <row r="1007">
      <c r="A1007">
        <f>IFERROR(INDEX('Email Cleaner'!$B$2:$B$10001,MATCH(1006,'Email Cleaner'!$K$2:$K$10001,0)),"")</f>
        <v/>
      </c>
    </row>
    <row r="1008">
      <c r="A1008">
        <f>IFERROR(INDEX('Email Cleaner'!$B$2:$B$10001,MATCH(1007,'Email Cleaner'!$K$2:$K$10001,0)),"")</f>
        <v/>
      </c>
    </row>
    <row r="1009">
      <c r="A1009">
        <f>IFERROR(INDEX('Email Cleaner'!$B$2:$B$10001,MATCH(1008,'Email Cleaner'!$K$2:$K$10001,0)),"")</f>
        <v/>
      </c>
    </row>
    <row r="1010">
      <c r="A1010">
        <f>IFERROR(INDEX('Email Cleaner'!$B$2:$B$10001,MATCH(1009,'Email Cleaner'!$K$2:$K$10001,0)),"")</f>
        <v/>
      </c>
    </row>
    <row r="1011">
      <c r="A1011">
        <f>IFERROR(INDEX('Email Cleaner'!$B$2:$B$10001,MATCH(1010,'Email Cleaner'!$K$2:$K$10001,0)),"")</f>
        <v/>
      </c>
    </row>
    <row r="1012">
      <c r="A1012">
        <f>IFERROR(INDEX('Email Cleaner'!$B$2:$B$10001,MATCH(1011,'Email Cleaner'!$K$2:$K$10001,0)),"")</f>
        <v/>
      </c>
    </row>
    <row r="1013">
      <c r="A1013">
        <f>IFERROR(INDEX('Email Cleaner'!$B$2:$B$10001,MATCH(1012,'Email Cleaner'!$K$2:$K$10001,0)),"")</f>
        <v/>
      </c>
    </row>
    <row r="1014">
      <c r="A1014">
        <f>IFERROR(INDEX('Email Cleaner'!$B$2:$B$10001,MATCH(1013,'Email Cleaner'!$K$2:$K$10001,0)),"")</f>
        <v/>
      </c>
    </row>
    <row r="1015">
      <c r="A1015">
        <f>IFERROR(INDEX('Email Cleaner'!$B$2:$B$10001,MATCH(1014,'Email Cleaner'!$K$2:$K$10001,0)),"")</f>
        <v/>
      </c>
    </row>
    <row r="1016">
      <c r="A1016">
        <f>IFERROR(INDEX('Email Cleaner'!$B$2:$B$10001,MATCH(1015,'Email Cleaner'!$K$2:$K$10001,0)),"")</f>
        <v/>
      </c>
    </row>
    <row r="1017">
      <c r="A1017">
        <f>IFERROR(INDEX('Email Cleaner'!$B$2:$B$10001,MATCH(1016,'Email Cleaner'!$K$2:$K$10001,0)),"")</f>
        <v/>
      </c>
    </row>
    <row r="1018">
      <c r="A1018">
        <f>IFERROR(INDEX('Email Cleaner'!$B$2:$B$10001,MATCH(1017,'Email Cleaner'!$K$2:$K$10001,0)),"")</f>
        <v/>
      </c>
    </row>
    <row r="1019">
      <c r="A1019">
        <f>IFERROR(INDEX('Email Cleaner'!$B$2:$B$10001,MATCH(1018,'Email Cleaner'!$K$2:$K$10001,0)),"")</f>
        <v/>
      </c>
    </row>
    <row r="1020">
      <c r="A1020">
        <f>IFERROR(INDEX('Email Cleaner'!$B$2:$B$10001,MATCH(1019,'Email Cleaner'!$K$2:$K$10001,0)),"")</f>
        <v/>
      </c>
    </row>
    <row r="1021">
      <c r="A1021">
        <f>IFERROR(INDEX('Email Cleaner'!$B$2:$B$10001,MATCH(1020,'Email Cleaner'!$K$2:$K$10001,0)),"")</f>
        <v/>
      </c>
    </row>
    <row r="1022">
      <c r="A1022">
        <f>IFERROR(INDEX('Email Cleaner'!$B$2:$B$10001,MATCH(1021,'Email Cleaner'!$K$2:$K$10001,0)),"")</f>
        <v/>
      </c>
    </row>
    <row r="1023">
      <c r="A1023">
        <f>IFERROR(INDEX('Email Cleaner'!$B$2:$B$10001,MATCH(1022,'Email Cleaner'!$K$2:$K$10001,0)),"")</f>
        <v/>
      </c>
    </row>
    <row r="1024">
      <c r="A1024">
        <f>IFERROR(INDEX('Email Cleaner'!$B$2:$B$10001,MATCH(1023,'Email Cleaner'!$K$2:$K$10001,0)),"")</f>
        <v/>
      </c>
    </row>
    <row r="1025">
      <c r="A1025">
        <f>IFERROR(INDEX('Email Cleaner'!$B$2:$B$10001,MATCH(1024,'Email Cleaner'!$K$2:$K$10001,0)),"")</f>
        <v/>
      </c>
    </row>
    <row r="1026">
      <c r="A1026">
        <f>IFERROR(INDEX('Email Cleaner'!$B$2:$B$10001,MATCH(1025,'Email Cleaner'!$K$2:$K$10001,0)),"")</f>
        <v/>
      </c>
    </row>
    <row r="1027">
      <c r="A1027">
        <f>IFERROR(INDEX('Email Cleaner'!$B$2:$B$10001,MATCH(1026,'Email Cleaner'!$K$2:$K$10001,0)),"")</f>
        <v/>
      </c>
    </row>
    <row r="1028">
      <c r="A1028">
        <f>IFERROR(INDEX('Email Cleaner'!$B$2:$B$10001,MATCH(1027,'Email Cleaner'!$K$2:$K$10001,0)),"")</f>
        <v/>
      </c>
    </row>
    <row r="1029">
      <c r="A1029">
        <f>IFERROR(INDEX('Email Cleaner'!$B$2:$B$10001,MATCH(1028,'Email Cleaner'!$K$2:$K$10001,0)),"")</f>
        <v/>
      </c>
    </row>
    <row r="1030">
      <c r="A1030">
        <f>IFERROR(INDEX('Email Cleaner'!$B$2:$B$10001,MATCH(1029,'Email Cleaner'!$K$2:$K$10001,0)),"")</f>
        <v/>
      </c>
    </row>
    <row r="1031">
      <c r="A1031">
        <f>IFERROR(INDEX('Email Cleaner'!$B$2:$B$10001,MATCH(1030,'Email Cleaner'!$K$2:$K$10001,0)),"")</f>
        <v/>
      </c>
    </row>
    <row r="1032">
      <c r="A1032">
        <f>IFERROR(INDEX('Email Cleaner'!$B$2:$B$10001,MATCH(1031,'Email Cleaner'!$K$2:$K$10001,0)),"")</f>
        <v/>
      </c>
    </row>
    <row r="1033">
      <c r="A1033">
        <f>IFERROR(INDEX('Email Cleaner'!$B$2:$B$10001,MATCH(1032,'Email Cleaner'!$K$2:$K$10001,0)),"")</f>
        <v/>
      </c>
    </row>
    <row r="1034">
      <c r="A1034">
        <f>IFERROR(INDEX('Email Cleaner'!$B$2:$B$10001,MATCH(1033,'Email Cleaner'!$K$2:$K$10001,0)),"")</f>
        <v/>
      </c>
    </row>
    <row r="1035">
      <c r="A1035">
        <f>IFERROR(INDEX('Email Cleaner'!$B$2:$B$10001,MATCH(1034,'Email Cleaner'!$K$2:$K$10001,0)),"")</f>
        <v/>
      </c>
    </row>
    <row r="1036">
      <c r="A1036">
        <f>IFERROR(INDEX('Email Cleaner'!$B$2:$B$10001,MATCH(1035,'Email Cleaner'!$K$2:$K$10001,0)),"")</f>
        <v/>
      </c>
    </row>
    <row r="1037">
      <c r="A1037">
        <f>IFERROR(INDEX('Email Cleaner'!$B$2:$B$10001,MATCH(1036,'Email Cleaner'!$K$2:$K$10001,0)),"")</f>
        <v/>
      </c>
    </row>
    <row r="1038">
      <c r="A1038">
        <f>IFERROR(INDEX('Email Cleaner'!$B$2:$B$10001,MATCH(1037,'Email Cleaner'!$K$2:$K$10001,0)),"")</f>
        <v/>
      </c>
    </row>
    <row r="1039">
      <c r="A1039">
        <f>IFERROR(INDEX('Email Cleaner'!$B$2:$B$10001,MATCH(1038,'Email Cleaner'!$K$2:$K$10001,0)),"")</f>
        <v/>
      </c>
    </row>
    <row r="1040">
      <c r="A1040">
        <f>IFERROR(INDEX('Email Cleaner'!$B$2:$B$10001,MATCH(1039,'Email Cleaner'!$K$2:$K$10001,0)),"")</f>
        <v/>
      </c>
    </row>
    <row r="1041">
      <c r="A1041">
        <f>IFERROR(INDEX('Email Cleaner'!$B$2:$B$10001,MATCH(1040,'Email Cleaner'!$K$2:$K$10001,0)),"")</f>
        <v/>
      </c>
    </row>
    <row r="1042">
      <c r="A1042">
        <f>IFERROR(INDEX('Email Cleaner'!$B$2:$B$10001,MATCH(1041,'Email Cleaner'!$K$2:$K$10001,0)),"")</f>
        <v/>
      </c>
    </row>
    <row r="1043">
      <c r="A1043">
        <f>IFERROR(INDEX('Email Cleaner'!$B$2:$B$10001,MATCH(1042,'Email Cleaner'!$K$2:$K$10001,0)),"")</f>
        <v/>
      </c>
    </row>
    <row r="1044">
      <c r="A1044">
        <f>IFERROR(INDEX('Email Cleaner'!$B$2:$B$10001,MATCH(1043,'Email Cleaner'!$K$2:$K$10001,0)),"")</f>
        <v/>
      </c>
    </row>
    <row r="1045">
      <c r="A1045">
        <f>IFERROR(INDEX('Email Cleaner'!$B$2:$B$10001,MATCH(1044,'Email Cleaner'!$K$2:$K$10001,0)),"")</f>
        <v/>
      </c>
    </row>
    <row r="1046">
      <c r="A1046">
        <f>IFERROR(INDEX('Email Cleaner'!$B$2:$B$10001,MATCH(1045,'Email Cleaner'!$K$2:$K$10001,0)),"")</f>
        <v/>
      </c>
    </row>
    <row r="1047">
      <c r="A1047">
        <f>IFERROR(INDEX('Email Cleaner'!$B$2:$B$10001,MATCH(1046,'Email Cleaner'!$K$2:$K$10001,0)),"")</f>
        <v/>
      </c>
    </row>
    <row r="1048">
      <c r="A1048">
        <f>IFERROR(INDEX('Email Cleaner'!$B$2:$B$10001,MATCH(1047,'Email Cleaner'!$K$2:$K$10001,0)),"")</f>
        <v/>
      </c>
    </row>
    <row r="1049">
      <c r="A1049">
        <f>IFERROR(INDEX('Email Cleaner'!$B$2:$B$10001,MATCH(1048,'Email Cleaner'!$K$2:$K$10001,0)),"")</f>
        <v/>
      </c>
    </row>
    <row r="1050">
      <c r="A1050">
        <f>IFERROR(INDEX('Email Cleaner'!$B$2:$B$10001,MATCH(1049,'Email Cleaner'!$K$2:$K$10001,0)),"")</f>
        <v/>
      </c>
    </row>
    <row r="1051">
      <c r="A1051">
        <f>IFERROR(INDEX('Email Cleaner'!$B$2:$B$10001,MATCH(1050,'Email Cleaner'!$K$2:$K$10001,0)),"")</f>
        <v/>
      </c>
    </row>
    <row r="1052">
      <c r="A1052">
        <f>IFERROR(INDEX('Email Cleaner'!$B$2:$B$10001,MATCH(1051,'Email Cleaner'!$K$2:$K$10001,0)),"")</f>
        <v/>
      </c>
    </row>
    <row r="1053">
      <c r="A1053">
        <f>IFERROR(INDEX('Email Cleaner'!$B$2:$B$10001,MATCH(1052,'Email Cleaner'!$K$2:$K$10001,0)),"")</f>
        <v/>
      </c>
    </row>
    <row r="1054">
      <c r="A1054">
        <f>IFERROR(INDEX('Email Cleaner'!$B$2:$B$10001,MATCH(1053,'Email Cleaner'!$K$2:$K$10001,0)),"")</f>
        <v/>
      </c>
    </row>
    <row r="1055">
      <c r="A1055">
        <f>IFERROR(INDEX('Email Cleaner'!$B$2:$B$10001,MATCH(1054,'Email Cleaner'!$K$2:$K$10001,0)),"")</f>
        <v/>
      </c>
    </row>
    <row r="1056">
      <c r="A1056">
        <f>IFERROR(INDEX('Email Cleaner'!$B$2:$B$10001,MATCH(1055,'Email Cleaner'!$K$2:$K$10001,0)),"")</f>
        <v/>
      </c>
    </row>
    <row r="1057">
      <c r="A1057">
        <f>IFERROR(INDEX('Email Cleaner'!$B$2:$B$10001,MATCH(1056,'Email Cleaner'!$K$2:$K$10001,0)),"")</f>
        <v/>
      </c>
    </row>
    <row r="1058">
      <c r="A1058">
        <f>IFERROR(INDEX('Email Cleaner'!$B$2:$B$10001,MATCH(1057,'Email Cleaner'!$K$2:$K$10001,0)),"")</f>
        <v/>
      </c>
    </row>
    <row r="1059">
      <c r="A1059">
        <f>IFERROR(INDEX('Email Cleaner'!$B$2:$B$10001,MATCH(1058,'Email Cleaner'!$K$2:$K$10001,0)),"")</f>
        <v/>
      </c>
    </row>
    <row r="1060">
      <c r="A1060">
        <f>IFERROR(INDEX('Email Cleaner'!$B$2:$B$10001,MATCH(1059,'Email Cleaner'!$K$2:$K$10001,0)),"")</f>
        <v/>
      </c>
    </row>
    <row r="1061">
      <c r="A1061">
        <f>IFERROR(INDEX('Email Cleaner'!$B$2:$B$10001,MATCH(1060,'Email Cleaner'!$K$2:$K$10001,0)),"")</f>
        <v/>
      </c>
    </row>
    <row r="1062">
      <c r="A1062">
        <f>IFERROR(INDEX('Email Cleaner'!$B$2:$B$10001,MATCH(1061,'Email Cleaner'!$K$2:$K$10001,0)),"")</f>
        <v/>
      </c>
    </row>
    <row r="1063">
      <c r="A1063">
        <f>IFERROR(INDEX('Email Cleaner'!$B$2:$B$10001,MATCH(1062,'Email Cleaner'!$K$2:$K$10001,0)),"")</f>
        <v/>
      </c>
    </row>
    <row r="1064">
      <c r="A1064">
        <f>IFERROR(INDEX('Email Cleaner'!$B$2:$B$10001,MATCH(1063,'Email Cleaner'!$K$2:$K$10001,0)),"")</f>
        <v/>
      </c>
    </row>
    <row r="1065">
      <c r="A1065">
        <f>IFERROR(INDEX('Email Cleaner'!$B$2:$B$10001,MATCH(1064,'Email Cleaner'!$K$2:$K$10001,0)),"")</f>
        <v/>
      </c>
    </row>
    <row r="1066">
      <c r="A1066">
        <f>IFERROR(INDEX('Email Cleaner'!$B$2:$B$10001,MATCH(1065,'Email Cleaner'!$K$2:$K$10001,0)),"")</f>
        <v/>
      </c>
    </row>
    <row r="1067">
      <c r="A1067">
        <f>IFERROR(INDEX('Email Cleaner'!$B$2:$B$10001,MATCH(1066,'Email Cleaner'!$K$2:$K$10001,0)),"")</f>
        <v/>
      </c>
    </row>
    <row r="1068">
      <c r="A1068">
        <f>IFERROR(INDEX('Email Cleaner'!$B$2:$B$10001,MATCH(1067,'Email Cleaner'!$K$2:$K$10001,0)),"")</f>
        <v/>
      </c>
    </row>
    <row r="1069">
      <c r="A1069">
        <f>IFERROR(INDEX('Email Cleaner'!$B$2:$B$10001,MATCH(1068,'Email Cleaner'!$K$2:$K$10001,0)),"")</f>
        <v/>
      </c>
    </row>
    <row r="1070">
      <c r="A1070">
        <f>IFERROR(INDEX('Email Cleaner'!$B$2:$B$10001,MATCH(1069,'Email Cleaner'!$K$2:$K$10001,0)),"")</f>
        <v/>
      </c>
    </row>
    <row r="1071">
      <c r="A1071">
        <f>IFERROR(INDEX('Email Cleaner'!$B$2:$B$10001,MATCH(1070,'Email Cleaner'!$K$2:$K$10001,0)),"")</f>
        <v/>
      </c>
    </row>
    <row r="1072">
      <c r="A1072">
        <f>IFERROR(INDEX('Email Cleaner'!$B$2:$B$10001,MATCH(1071,'Email Cleaner'!$K$2:$K$10001,0)),"")</f>
        <v/>
      </c>
    </row>
    <row r="1073">
      <c r="A1073">
        <f>IFERROR(INDEX('Email Cleaner'!$B$2:$B$10001,MATCH(1072,'Email Cleaner'!$K$2:$K$10001,0)),"")</f>
        <v/>
      </c>
    </row>
    <row r="1074">
      <c r="A1074">
        <f>IFERROR(INDEX('Email Cleaner'!$B$2:$B$10001,MATCH(1073,'Email Cleaner'!$K$2:$K$10001,0)),"")</f>
        <v/>
      </c>
    </row>
    <row r="1075">
      <c r="A1075">
        <f>IFERROR(INDEX('Email Cleaner'!$B$2:$B$10001,MATCH(1074,'Email Cleaner'!$K$2:$K$10001,0)),"")</f>
        <v/>
      </c>
    </row>
    <row r="1076">
      <c r="A1076">
        <f>IFERROR(INDEX('Email Cleaner'!$B$2:$B$10001,MATCH(1075,'Email Cleaner'!$K$2:$K$10001,0)),"")</f>
        <v/>
      </c>
    </row>
    <row r="1077">
      <c r="A1077">
        <f>IFERROR(INDEX('Email Cleaner'!$B$2:$B$10001,MATCH(1076,'Email Cleaner'!$K$2:$K$10001,0)),"")</f>
        <v/>
      </c>
    </row>
    <row r="1078">
      <c r="A1078">
        <f>IFERROR(INDEX('Email Cleaner'!$B$2:$B$10001,MATCH(1077,'Email Cleaner'!$K$2:$K$10001,0)),"")</f>
        <v/>
      </c>
    </row>
    <row r="1079">
      <c r="A1079">
        <f>IFERROR(INDEX('Email Cleaner'!$B$2:$B$10001,MATCH(1078,'Email Cleaner'!$K$2:$K$10001,0)),"")</f>
        <v/>
      </c>
    </row>
    <row r="1080">
      <c r="A1080">
        <f>IFERROR(INDEX('Email Cleaner'!$B$2:$B$10001,MATCH(1079,'Email Cleaner'!$K$2:$K$10001,0)),"")</f>
        <v/>
      </c>
    </row>
    <row r="1081">
      <c r="A1081">
        <f>IFERROR(INDEX('Email Cleaner'!$B$2:$B$10001,MATCH(1080,'Email Cleaner'!$K$2:$K$10001,0)),"")</f>
        <v/>
      </c>
    </row>
    <row r="1082">
      <c r="A1082">
        <f>IFERROR(INDEX('Email Cleaner'!$B$2:$B$10001,MATCH(1081,'Email Cleaner'!$K$2:$K$10001,0)),"")</f>
        <v/>
      </c>
    </row>
    <row r="1083">
      <c r="A1083">
        <f>IFERROR(INDEX('Email Cleaner'!$B$2:$B$10001,MATCH(1082,'Email Cleaner'!$K$2:$K$10001,0)),"")</f>
        <v/>
      </c>
    </row>
    <row r="1084">
      <c r="A1084">
        <f>IFERROR(INDEX('Email Cleaner'!$B$2:$B$10001,MATCH(1083,'Email Cleaner'!$K$2:$K$10001,0)),"")</f>
        <v/>
      </c>
    </row>
    <row r="1085">
      <c r="A1085">
        <f>IFERROR(INDEX('Email Cleaner'!$B$2:$B$10001,MATCH(1084,'Email Cleaner'!$K$2:$K$10001,0)),"")</f>
        <v/>
      </c>
    </row>
    <row r="1086">
      <c r="A1086">
        <f>IFERROR(INDEX('Email Cleaner'!$B$2:$B$10001,MATCH(1085,'Email Cleaner'!$K$2:$K$10001,0)),"")</f>
        <v/>
      </c>
    </row>
    <row r="1087">
      <c r="A1087">
        <f>IFERROR(INDEX('Email Cleaner'!$B$2:$B$10001,MATCH(1086,'Email Cleaner'!$K$2:$K$10001,0)),"")</f>
        <v/>
      </c>
    </row>
    <row r="1088">
      <c r="A1088">
        <f>IFERROR(INDEX('Email Cleaner'!$B$2:$B$10001,MATCH(1087,'Email Cleaner'!$K$2:$K$10001,0)),"")</f>
        <v/>
      </c>
    </row>
    <row r="1089">
      <c r="A1089">
        <f>IFERROR(INDEX('Email Cleaner'!$B$2:$B$10001,MATCH(1088,'Email Cleaner'!$K$2:$K$10001,0)),"")</f>
        <v/>
      </c>
    </row>
    <row r="1090">
      <c r="A1090">
        <f>IFERROR(INDEX('Email Cleaner'!$B$2:$B$10001,MATCH(1089,'Email Cleaner'!$K$2:$K$10001,0)),"")</f>
        <v/>
      </c>
    </row>
    <row r="1091">
      <c r="A1091">
        <f>IFERROR(INDEX('Email Cleaner'!$B$2:$B$10001,MATCH(1090,'Email Cleaner'!$K$2:$K$10001,0)),"")</f>
        <v/>
      </c>
    </row>
    <row r="1092">
      <c r="A1092">
        <f>IFERROR(INDEX('Email Cleaner'!$B$2:$B$10001,MATCH(1091,'Email Cleaner'!$K$2:$K$10001,0)),"")</f>
        <v/>
      </c>
    </row>
    <row r="1093">
      <c r="A1093">
        <f>IFERROR(INDEX('Email Cleaner'!$B$2:$B$10001,MATCH(1092,'Email Cleaner'!$K$2:$K$10001,0)),"")</f>
        <v/>
      </c>
    </row>
    <row r="1094">
      <c r="A1094">
        <f>IFERROR(INDEX('Email Cleaner'!$B$2:$B$10001,MATCH(1093,'Email Cleaner'!$K$2:$K$10001,0)),"")</f>
        <v/>
      </c>
    </row>
    <row r="1095">
      <c r="A1095">
        <f>IFERROR(INDEX('Email Cleaner'!$B$2:$B$10001,MATCH(1094,'Email Cleaner'!$K$2:$K$10001,0)),"")</f>
        <v/>
      </c>
    </row>
    <row r="1096">
      <c r="A1096">
        <f>IFERROR(INDEX('Email Cleaner'!$B$2:$B$10001,MATCH(1095,'Email Cleaner'!$K$2:$K$10001,0)),"")</f>
        <v/>
      </c>
    </row>
    <row r="1097">
      <c r="A1097">
        <f>IFERROR(INDEX('Email Cleaner'!$B$2:$B$10001,MATCH(1096,'Email Cleaner'!$K$2:$K$10001,0)),"")</f>
        <v/>
      </c>
    </row>
    <row r="1098">
      <c r="A1098">
        <f>IFERROR(INDEX('Email Cleaner'!$B$2:$B$10001,MATCH(1097,'Email Cleaner'!$K$2:$K$10001,0)),"")</f>
        <v/>
      </c>
    </row>
    <row r="1099">
      <c r="A1099">
        <f>IFERROR(INDEX('Email Cleaner'!$B$2:$B$10001,MATCH(1098,'Email Cleaner'!$K$2:$K$10001,0)),"")</f>
        <v/>
      </c>
    </row>
    <row r="1100">
      <c r="A1100">
        <f>IFERROR(INDEX('Email Cleaner'!$B$2:$B$10001,MATCH(1099,'Email Cleaner'!$K$2:$K$10001,0)),"")</f>
        <v/>
      </c>
    </row>
    <row r="1101">
      <c r="A1101">
        <f>IFERROR(INDEX('Email Cleaner'!$B$2:$B$10001,MATCH(1100,'Email Cleaner'!$K$2:$K$10001,0)),"")</f>
        <v/>
      </c>
    </row>
    <row r="1102">
      <c r="A1102">
        <f>IFERROR(INDEX('Email Cleaner'!$B$2:$B$10001,MATCH(1101,'Email Cleaner'!$K$2:$K$10001,0)),"")</f>
        <v/>
      </c>
    </row>
    <row r="1103">
      <c r="A1103">
        <f>IFERROR(INDEX('Email Cleaner'!$B$2:$B$10001,MATCH(1102,'Email Cleaner'!$K$2:$K$10001,0)),"")</f>
        <v/>
      </c>
    </row>
    <row r="1104">
      <c r="A1104">
        <f>IFERROR(INDEX('Email Cleaner'!$B$2:$B$10001,MATCH(1103,'Email Cleaner'!$K$2:$K$10001,0)),"")</f>
        <v/>
      </c>
    </row>
    <row r="1105">
      <c r="A1105">
        <f>IFERROR(INDEX('Email Cleaner'!$B$2:$B$10001,MATCH(1104,'Email Cleaner'!$K$2:$K$10001,0)),"")</f>
        <v/>
      </c>
    </row>
    <row r="1106">
      <c r="A1106">
        <f>IFERROR(INDEX('Email Cleaner'!$B$2:$B$10001,MATCH(1105,'Email Cleaner'!$K$2:$K$10001,0)),"")</f>
        <v/>
      </c>
    </row>
    <row r="1107">
      <c r="A1107">
        <f>IFERROR(INDEX('Email Cleaner'!$B$2:$B$10001,MATCH(1106,'Email Cleaner'!$K$2:$K$10001,0)),"")</f>
        <v/>
      </c>
    </row>
    <row r="1108">
      <c r="A1108">
        <f>IFERROR(INDEX('Email Cleaner'!$B$2:$B$10001,MATCH(1107,'Email Cleaner'!$K$2:$K$10001,0)),"")</f>
        <v/>
      </c>
    </row>
    <row r="1109">
      <c r="A1109">
        <f>IFERROR(INDEX('Email Cleaner'!$B$2:$B$10001,MATCH(1108,'Email Cleaner'!$K$2:$K$10001,0)),"")</f>
        <v/>
      </c>
    </row>
    <row r="1110">
      <c r="A1110">
        <f>IFERROR(INDEX('Email Cleaner'!$B$2:$B$10001,MATCH(1109,'Email Cleaner'!$K$2:$K$10001,0)),"")</f>
        <v/>
      </c>
    </row>
    <row r="1111">
      <c r="A1111">
        <f>IFERROR(INDEX('Email Cleaner'!$B$2:$B$10001,MATCH(1110,'Email Cleaner'!$K$2:$K$10001,0)),"")</f>
        <v/>
      </c>
    </row>
    <row r="1112">
      <c r="A1112">
        <f>IFERROR(INDEX('Email Cleaner'!$B$2:$B$10001,MATCH(1111,'Email Cleaner'!$K$2:$K$10001,0)),"")</f>
        <v/>
      </c>
    </row>
    <row r="1113">
      <c r="A1113">
        <f>IFERROR(INDEX('Email Cleaner'!$B$2:$B$10001,MATCH(1112,'Email Cleaner'!$K$2:$K$10001,0)),"")</f>
        <v/>
      </c>
    </row>
    <row r="1114">
      <c r="A1114">
        <f>IFERROR(INDEX('Email Cleaner'!$B$2:$B$10001,MATCH(1113,'Email Cleaner'!$K$2:$K$10001,0)),"")</f>
        <v/>
      </c>
    </row>
    <row r="1115">
      <c r="A1115">
        <f>IFERROR(INDEX('Email Cleaner'!$B$2:$B$10001,MATCH(1114,'Email Cleaner'!$K$2:$K$10001,0)),"")</f>
        <v/>
      </c>
    </row>
    <row r="1116">
      <c r="A1116">
        <f>IFERROR(INDEX('Email Cleaner'!$B$2:$B$10001,MATCH(1115,'Email Cleaner'!$K$2:$K$10001,0)),"")</f>
        <v/>
      </c>
    </row>
    <row r="1117">
      <c r="A1117">
        <f>IFERROR(INDEX('Email Cleaner'!$B$2:$B$10001,MATCH(1116,'Email Cleaner'!$K$2:$K$10001,0)),"")</f>
        <v/>
      </c>
    </row>
    <row r="1118">
      <c r="A1118">
        <f>IFERROR(INDEX('Email Cleaner'!$B$2:$B$10001,MATCH(1117,'Email Cleaner'!$K$2:$K$10001,0)),"")</f>
        <v/>
      </c>
    </row>
    <row r="1119">
      <c r="A1119">
        <f>IFERROR(INDEX('Email Cleaner'!$B$2:$B$10001,MATCH(1118,'Email Cleaner'!$K$2:$K$10001,0)),"")</f>
        <v/>
      </c>
    </row>
    <row r="1120">
      <c r="A1120">
        <f>IFERROR(INDEX('Email Cleaner'!$B$2:$B$10001,MATCH(1119,'Email Cleaner'!$K$2:$K$10001,0)),"")</f>
        <v/>
      </c>
    </row>
    <row r="1121">
      <c r="A1121">
        <f>IFERROR(INDEX('Email Cleaner'!$B$2:$B$10001,MATCH(1120,'Email Cleaner'!$K$2:$K$10001,0)),"")</f>
        <v/>
      </c>
    </row>
    <row r="1122">
      <c r="A1122">
        <f>IFERROR(INDEX('Email Cleaner'!$B$2:$B$10001,MATCH(1121,'Email Cleaner'!$K$2:$K$10001,0)),"")</f>
        <v/>
      </c>
    </row>
    <row r="1123">
      <c r="A1123">
        <f>IFERROR(INDEX('Email Cleaner'!$B$2:$B$10001,MATCH(1122,'Email Cleaner'!$K$2:$K$10001,0)),"")</f>
        <v/>
      </c>
    </row>
    <row r="1124">
      <c r="A1124">
        <f>IFERROR(INDEX('Email Cleaner'!$B$2:$B$10001,MATCH(1123,'Email Cleaner'!$K$2:$K$10001,0)),"")</f>
        <v/>
      </c>
    </row>
    <row r="1125">
      <c r="A1125">
        <f>IFERROR(INDEX('Email Cleaner'!$B$2:$B$10001,MATCH(1124,'Email Cleaner'!$K$2:$K$10001,0)),"")</f>
        <v/>
      </c>
    </row>
    <row r="1126">
      <c r="A1126">
        <f>IFERROR(INDEX('Email Cleaner'!$B$2:$B$10001,MATCH(1125,'Email Cleaner'!$K$2:$K$10001,0)),"")</f>
        <v/>
      </c>
    </row>
    <row r="1127">
      <c r="A1127">
        <f>IFERROR(INDEX('Email Cleaner'!$B$2:$B$10001,MATCH(1126,'Email Cleaner'!$K$2:$K$10001,0)),"")</f>
        <v/>
      </c>
    </row>
    <row r="1128">
      <c r="A1128">
        <f>IFERROR(INDEX('Email Cleaner'!$B$2:$B$10001,MATCH(1127,'Email Cleaner'!$K$2:$K$10001,0)),"")</f>
        <v/>
      </c>
    </row>
    <row r="1129">
      <c r="A1129">
        <f>IFERROR(INDEX('Email Cleaner'!$B$2:$B$10001,MATCH(1128,'Email Cleaner'!$K$2:$K$10001,0)),"")</f>
        <v/>
      </c>
    </row>
    <row r="1130">
      <c r="A1130">
        <f>IFERROR(INDEX('Email Cleaner'!$B$2:$B$10001,MATCH(1129,'Email Cleaner'!$K$2:$K$10001,0)),"")</f>
        <v/>
      </c>
    </row>
    <row r="1131">
      <c r="A1131">
        <f>IFERROR(INDEX('Email Cleaner'!$B$2:$B$10001,MATCH(1130,'Email Cleaner'!$K$2:$K$10001,0)),"")</f>
        <v/>
      </c>
    </row>
    <row r="1132">
      <c r="A1132">
        <f>IFERROR(INDEX('Email Cleaner'!$B$2:$B$10001,MATCH(1131,'Email Cleaner'!$K$2:$K$10001,0)),"")</f>
        <v/>
      </c>
    </row>
    <row r="1133">
      <c r="A1133">
        <f>IFERROR(INDEX('Email Cleaner'!$B$2:$B$10001,MATCH(1132,'Email Cleaner'!$K$2:$K$10001,0)),"")</f>
        <v/>
      </c>
    </row>
    <row r="1134">
      <c r="A1134">
        <f>IFERROR(INDEX('Email Cleaner'!$B$2:$B$10001,MATCH(1133,'Email Cleaner'!$K$2:$K$10001,0)),"")</f>
        <v/>
      </c>
    </row>
    <row r="1135">
      <c r="A1135">
        <f>IFERROR(INDEX('Email Cleaner'!$B$2:$B$10001,MATCH(1134,'Email Cleaner'!$K$2:$K$10001,0)),"")</f>
        <v/>
      </c>
    </row>
    <row r="1136">
      <c r="A1136">
        <f>IFERROR(INDEX('Email Cleaner'!$B$2:$B$10001,MATCH(1135,'Email Cleaner'!$K$2:$K$10001,0)),"")</f>
        <v/>
      </c>
    </row>
    <row r="1137">
      <c r="A1137">
        <f>IFERROR(INDEX('Email Cleaner'!$B$2:$B$10001,MATCH(1136,'Email Cleaner'!$K$2:$K$10001,0)),"")</f>
        <v/>
      </c>
    </row>
    <row r="1138">
      <c r="A1138">
        <f>IFERROR(INDEX('Email Cleaner'!$B$2:$B$10001,MATCH(1137,'Email Cleaner'!$K$2:$K$10001,0)),"")</f>
        <v/>
      </c>
    </row>
    <row r="1139">
      <c r="A1139">
        <f>IFERROR(INDEX('Email Cleaner'!$B$2:$B$10001,MATCH(1138,'Email Cleaner'!$K$2:$K$10001,0)),"")</f>
        <v/>
      </c>
    </row>
    <row r="1140">
      <c r="A1140">
        <f>IFERROR(INDEX('Email Cleaner'!$B$2:$B$10001,MATCH(1139,'Email Cleaner'!$K$2:$K$10001,0)),"")</f>
        <v/>
      </c>
    </row>
    <row r="1141">
      <c r="A1141">
        <f>IFERROR(INDEX('Email Cleaner'!$B$2:$B$10001,MATCH(1140,'Email Cleaner'!$K$2:$K$10001,0)),"")</f>
        <v/>
      </c>
    </row>
    <row r="1142">
      <c r="A1142">
        <f>IFERROR(INDEX('Email Cleaner'!$B$2:$B$10001,MATCH(1141,'Email Cleaner'!$K$2:$K$10001,0)),"")</f>
        <v/>
      </c>
    </row>
    <row r="1143">
      <c r="A1143">
        <f>IFERROR(INDEX('Email Cleaner'!$B$2:$B$10001,MATCH(1142,'Email Cleaner'!$K$2:$K$10001,0)),"")</f>
        <v/>
      </c>
    </row>
    <row r="1144">
      <c r="A1144">
        <f>IFERROR(INDEX('Email Cleaner'!$B$2:$B$10001,MATCH(1143,'Email Cleaner'!$K$2:$K$10001,0)),"")</f>
        <v/>
      </c>
    </row>
    <row r="1145">
      <c r="A1145">
        <f>IFERROR(INDEX('Email Cleaner'!$B$2:$B$10001,MATCH(1144,'Email Cleaner'!$K$2:$K$10001,0)),"")</f>
        <v/>
      </c>
    </row>
    <row r="1146">
      <c r="A1146">
        <f>IFERROR(INDEX('Email Cleaner'!$B$2:$B$10001,MATCH(1145,'Email Cleaner'!$K$2:$K$10001,0)),"")</f>
        <v/>
      </c>
    </row>
    <row r="1147">
      <c r="A1147">
        <f>IFERROR(INDEX('Email Cleaner'!$B$2:$B$10001,MATCH(1146,'Email Cleaner'!$K$2:$K$10001,0)),"")</f>
        <v/>
      </c>
    </row>
    <row r="1148">
      <c r="A1148">
        <f>IFERROR(INDEX('Email Cleaner'!$B$2:$B$10001,MATCH(1147,'Email Cleaner'!$K$2:$K$10001,0)),"")</f>
        <v/>
      </c>
    </row>
    <row r="1149">
      <c r="A1149">
        <f>IFERROR(INDEX('Email Cleaner'!$B$2:$B$10001,MATCH(1148,'Email Cleaner'!$K$2:$K$10001,0)),"")</f>
        <v/>
      </c>
    </row>
    <row r="1150">
      <c r="A1150">
        <f>IFERROR(INDEX('Email Cleaner'!$B$2:$B$10001,MATCH(1149,'Email Cleaner'!$K$2:$K$10001,0)),"")</f>
        <v/>
      </c>
    </row>
    <row r="1151">
      <c r="A1151">
        <f>IFERROR(INDEX('Email Cleaner'!$B$2:$B$10001,MATCH(1150,'Email Cleaner'!$K$2:$K$10001,0)),"")</f>
        <v/>
      </c>
    </row>
    <row r="1152">
      <c r="A1152">
        <f>IFERROR(INDEX('Email Cleaner'!$B$2:$B$10001,MATCH(1151,'Email Cleaner'!$K$2:$K$10001,0)),"")</f>
        <v/>
      </c>
    </row>
    <row r="1153">
      <c r="A1153">
        <f>IFERROR(INDEX('Email Cleaner'!$B$2:$B$10001,MATCH(1152,'Email Cleaner'!$K$2:$K$10001,0)),"")</f>
        <v/>
      </c>
    </row>
    <row r="1154">
      <c r="A1154">
        <f>IFERROR(INDEX('Email Cleaner'!$B$2:$B$10001,MATCH(1153,'Email Cleaner'!$K$2:$K$10001,0)),"")</f>
        <v/>
      </c>
    </row>
    <row r="1155">
      <c r="A1155">
        <f>IFERROR(INDEX('Email Cleaner'!$B$2:$B$10001,MATCH(1154,'Email Cleaner'!$K$2:$K$10001,0)),"")</f>
        <v/>
      </c>
    </row>
    <row r="1156">
      <c r="A1156">
        <f>IFERROR(INDEX('Email Cleaner'!$B$2:$B$10001,MATCH(1155,'Email Cleaner'!$K$2:$K$10001,0)),"")</f>
        <v/>
      </c>
    </row>
    <row r="1157">
      <c r="A1157">
        <f>IFERROR(INDEX('Email Cleaner'!$B$2:$B$10001,MATCH(1156,'Email Cleaner'!$K$2:$K$10001,0)),"")</f>
        <v/>
      </c>
    </row>
    <row r="1158">
      <c r="A1158">
        <f>IFERROR(INDEX('Email Cleaner'!$B$2:$B$10001,MATCH(1157,'Email Cleaner'!$K$2:$K$10001,0)),"")</f>
        <v/>
      </c>
    </row>
    <row r="1159">
      <c r="A1159">
        <f>IFERROR(INDEX('Email Cleaner'!$B$2:$B$10001,MATCH(1158,'Email Cleaner'!$K$2:$K$10001,0)),"")</f>
        <v/>
      </c>
    </row>
    <row r="1160">
      <c r="A1160">
        <f>IFERROR(INDEX('Email Cleaner'!$B$2:$B$10001,MATCH(1159,'Email Cleaner'!$K$2:$K$10001,0)),"")</f>
        <v/>
      </c>
    </row>
    <row r="1161">
      <c r="A1161">
        <f>IFERROR(INDEX('Email Cleaner'!$B$2:$B$10001,MATCH(1160,'Email Cleaner'!$K$2:$K$10001,0)),"")</f>
        <v/>
      </c>
    </row>
    <row r="1162">
      <c r="A1162">
        <f>IFERROR(INDEX('Email Cleaner'!$B$2:$B$10001,MATCH(1161,'Email Cleaner'!$K$2:$K$10001,0)),"")</f>
        <v/>
      </c>
    </row>
    <row r="1163">
      <c r="A1163">
        <f>IFERROR(INDEX('Email Cleaner'!$B$2:$B$10001,MATCH(1162,'Email Cleaner'!$K$2:$K$10001,0)),"")</f>
        <v/>
      </c>
    </row>
    <row r="1164">
      <c r="A1164">
        <f>IFERROR(INDEX('Email Cleaner'!$B$2:$B$10001,MATCH(1163,'Email Cleaner'!$K$2:$K$10001,0)),"")</f>
        <v/>
      </c>
    </row>
    <row r="1165">
      <c r="A1165">
        <f>IFERROR(INDEX('Email Cleaner'!$B$2:$B$10001,MATCH(1164,'Email Cleaner'!$K$2:$K$10001,0)),"")</f>
        <v/>
      </c>
    </row>
    <row r="1166">
      <c r="A1166">
        <f>IFERROR(INDEX('Email Cleaner'!$B$2:$B$10001,MATCH(1165,'Email Cleaner'!$K$2:$K$10001,0)),"")</f>
        <v/>
      </c>
    </row>
    <row r="1167">
      <c r="A1167">
        <f>IFERROR(INDEX('Email Cleaner'!$B$2:$B$10001,MATCH(1166,'Email Cleaner'!$K$2:$K$10001,0)),"")</f>
        <v/>
      </c>
    </row>
    <row r="1168">
      <c r="A1168">
        <f>IFERROR(INDEX('Email Cleaner'!$B$2:$B$10001,MATCH(1167,'Email Cleaner'!$K$2:$K$10001,0)),"")</f>
        <v/>
      </c>
    </row>
    <row r="1169">
      <c r="A1169">
        <f>IFERROR(INDEX('Email Cleaner'!$B$2:$B$10001,MATCH(1168,'Email Cleaner'!$K$2:$K$10001,0)),"")</f>
        <v/>
      </c>
    </row>
    <row r="1170">
      <c r="A1170">
        <f>IFERROR(INDEX('Email Cleaner'!$B$2:$B$10001,MATCH(1169,'Email Cleaner'!$K$2:$K$10001,0)),"")</f>
        <v/>
      </c>
    </row>
    <row r="1171">
      <c r="A1171">
        <f>IFERROR(INDEX('Email Cleaner'!$B$2:$B$10001,MATCH(1170,'Email Cleaner'!$K$2:$K$10001,0)),"")</f>
        <v/>
      </c>
    </row>
    <row r="1172">
      <c r="A1172">
        <f>IFERROR(INDEX('Email Cleaner'!$B$2:$B$10001,MATCH(1171,'Email Cleaner'!$K$2:$K$10001,0)),"")</f>
        <v/>
      </c>
    </row>
    <row r="1173">
      <c r="A1173">
        <f>IFERROR(INDEX('Email Cleaner'!$B$2:$B$10001,MATCH(1172,'Email Cleaner'!$K$2:$K$10001,0)),"")</f>
        <v/>
      </c>
    </row>
    <row r="1174">
      <c r="A1174">
        <f>IFERROR(INDEX('Email Cleaner'!$B$2:$B$10001,MATCH(1173,'Email Cleaner'!$K$2:$K$10001,0)),"")</f>
        <v/>
      </c>
    </row>
    <row r="1175">
      <c r="A1175">
        <f>IFERROR(INDEX('Email Cleaner'!$B$2:$B$10001,MATCH(1174,'Email Cleaner'!$K$2:$K$10001,0)),"")</f>
        <v/>
      </c>
    </row>
    <row r="1176">
      <c r="A1176">
        <f>IFERROR(INDEX('Email Cleaner'!$B$2:$B$10001,MATCH(1175,'Email Cleaner'!$K$2:$K$10001,0)),"")</f>
        <v/>
      </c>
    </row>
    <row r="1177">
      <c r="A1177">
        <f>IFERROR(INDEX('Email Cleaner'!$B$2:$B$10001,MATCH(1176,'Email Cleaner'!$K$2:$K$10001,0)),"")</f>
        <v/>
      </c>
    </row>
    <row r="1178">
      <c r="A1178">
        <f>IFERROR(INDEX('Email Cleaner'!$B$2:$B$10001,MATCH(1177,'Email Cleaner'!$K$2:$K$10001,0)),"")</f>
        <v/>
      </c>
    </row>
    <row r="1179">
      <c r="A1179">
        <f>IFERROR(INDEX('Email Cleaner'!$B$2:$B$10001,MATCH(1178,'Email Cleaner'!$K$2:$K$10001,0)),"")</f>
        <v/>
      </c>
    </row>
    <row r="1180">
      <c r="A1180">
        <f>IFERROR(INDEX('Email Cleaner'!$B$2:$B$10001,MATCH(1179,'Email Cleaner'!$K$2:$K$10001,0)),"")</f>
        <v/>
      </c>
    </row>
    <row r="1181">
      <c r="A1181">
        <f>IFERROR(INDEX('Email Cleaner'!$B$2:$B$10001,MATCH(1180,'Email Cleaner'!$K$2:$K$10001,0)),"")</f>
        <v/>
      </c>
    </row>
    <row r="1182">
      <c r="A1182">
        <f>IFERROR(INDEX('Email Cleaner'!$B$2:$B$10001,MATCH(1181,'Email Cleaner'!$K$2:$K$10001,0)),"")</f>
        <v/>
      </c>
    </row>
    <row r="1183">
      <c r="A1183">
        <f>IFERROR(INDEX('Email Cleaner'!$B$2:$B$10001,MATCH(1182,'Email Cleaner'!$K$2:$K$10001,0)),"")</f>
        <v/>
      </c>
    </row>
    <row r="1184">
      <c r="A1184">
        <f>IFERROR(INDEX('Email Cleaner'!$B$2:$B$10001,MATCH(1183,'Email Cleaner'!$K$2:$K$10001,0)),"")</f>
        <v/>
      </c>
    </row>
    <row r="1185">
      <c r="A1185">
        <f>IFERROR(INDEX('Email Cleaner'!$B$2:$B$10001,MATCH(1184,'Email Cleaner'!$K$2:$K$10001,0)),"")</f>
        <v/>
      </c>
    </row>
    <row r="1186">
      <c r="A1186">
        <f>IFERROR(INDEX('Email Cleaner'!$B$2:$B$10001,MATCH(1185,'Email Cleaner'!$K$2:$K$10001,0)),"")</f>
        <v/>
      </c>
    </row>
    <row r="1187">
      <c r="A1187">
        <f>IFERROR(INDEX('Email Cleaner'!$B$2:$B$10001,MATCH(1186,'Email Cleaner'!$K$2:$K$10001,0)),"")</f>
        <v/>
      </c>
    </row>
    <row r="1188">
      <c r="A1188">
        <f>IFERROR(INDEX('Email Cleaner'!$B$2:$B$10001,MATCH(1187,'Email Cleaner'!$K$2:$K$10001,0)),"")</f>
        <v/>
      </c>
    </row>
    <row r="1189">
      <c r="A1189">
        <f>IFERROR(INDEX('Email Cleaner'!$B$2:$B$10001,MATCH(1188,'Email Cleaner'!$K$2:$K$10001,0)),"")</f>
        <v/>
      </c>
    </row>
    <row r="1190">
      <c r="A1190">
        <f>IFERROR(INDEX('Email Cleaner'!$B$2:$B$10001,MATCH(1189,'Email Cleaner'!$K$2:$K$10001,0)),"")</f>
        <v/>
      </c>
    </row>
    <row r="1191">
      <c r="A1191">
        <f>IFERROR(INDEX('Email Cleaner'!$B$2:$B$10001,MATCH(1190,'Email Cleaner'!$K$2:$K$10001,0)),"")</f>
        <v/>
      </c>
    </row>
    <row r="1192">
      <c r="A1192">
        <f>IFERROR(INDEX('Email Cleaner'!$B$2:$B$10001,MATCH(1191,'Email Cleaner'!$K$2:$K$10001,0)),"")</f>
        <v/>
      </c>
    </row>
    <row r="1193">
      <c r="A1193">
        <f>IFERROR(INDEX('Email Cleaner'!$B$2:$B$10001,MATCH(1192,'Email Cleaner'!$K$2:$K$10001,0)),"")</f>
        <v/>
      </c>
    </row>
    <row r="1194">
      <c r="A1194">
        <f>IFERROR(INDEX('Email Cleaner'!$B$2:$B$10001,MATCH(1193,'Email Cleaner'!$K$2:$K$10001,0)),"")</f>
        <v/>
      </c>
    </row>
    <row r="1195">
      <c r="A1195">
        <f>IFERROR(INDEX('Email Cleaner'!$B$2:$B$10001,MATCH(1194,'Email Cleaner'!$K$2:$K$10001,0)),"")</f>
        <v/>
      </c>
    </row>
    <row r="1196">
      <c r="A1196">
        <f>IFERROR(INDEX('Email Cleaner'!$B$2:$B$10001,MATCH(1195,'Email Cleaner'!$K$2:$K$10001,0)),"")</f>
        <v/>
      </c>
    </row>
    <row r="1197">
      <c r="A1197">
        <f>IFERROR(INDEX('Email Cleaner'!$B$2:$B$10001,MATCH(1196,'Email Cleaner'!$K$2:$K$10001,0)),"")</f>
        <v/>
      </c>
    </row>
    <row r="1198">
      <c r="A1198">
        <f>IFERROR(INDEX('Email Cleaner'!$B$2:$B$10001,MATCH(1197,'Email Cleaner'!$K$2:$K$10001,0)),"")</f>
        <v/>
      </c>
    </row>
    <row r="1199">
      <c r="A1199">
        <f>IFERROR(INDEX('Email Cleaner'!$B$2:$B$10001,MATCH(1198,'Email Cleaner'!$K$2:$K$10001,0)),"")</f>
        <v/>
      </c>
    </row>
    <row r="1200">
      <c r="A1200">
        <f>IFERROR(INDEX('Email Cleaner'!$B$2:$B$10001,MATCH(1199,'Email Cleaner'!$K$2:$K$10001,0)),"")</f>
        <v/>
      </c>
    </row>
    <row r="1201">
      <c r="A1201">
        <f>IFERROR(INDEX('Email Cleaner'!$B$2:$B$10001,MATCH(1200,'Email Cleaner'!$K$2:$K$10001,0)),"")</f>
        <v/>
      </c>
    </row>
    <row r="1202">
      <c r="A1202">
        <f>IFERROR(INDEX('Email Cleaner'!$B$2:$B$10001,MATCH(1201,'Email Cleaner'!$K$2:$K$10001,0)),"")</f>
        <v/>
      </c>
    </row>
    <row r="1203">
      <c r="A1203">
        <f>IFERROR(INDEX('Email Cleaner'!$B$2:$B$10001,MATCH(1202,'Email Cleaner'!$K$2:$K$10001,0)),"")</f>
        <v/>
      </c>
    </row>
    <row r="1204">
      <c r="A1204">
        <f>IFERROR(INDEX('Email Cleaner'!$B$2:$B$10001,MATCH(1203,'Email Cleaner'!$K$2:$K$10001,0)),"")</f>
        <v/>
      </c>
    </row>
    <row r="1205">
      <c r="A1205">
        <f>IFERROR(INDEX('Email Cleaner'!$B$2:$B$10001,MATCH(1204,'Email Cleaner'!$K$2:$K$10001,0)),"")</f>
        <v/>
      </c>
    </row>
    <row r="1206">
      <c r="A1206">
        <f>IFERROR(INDEX('Email Cleaner'!$B$2:$B$10001,MATCH(1205,'Email Cleaner'!$K$2:$K$10001,0)),"")</f>
        <v/>
      </c>
    </row>
    <row r="1207">
      <c r="A1207">
        <f>IFERROR(INDEX('Email Cleaner'!$B$2:$B$10001,MATCH(1206,'Email Cleaner'!$K$2:$K$10001,0)),"")</f>
        <v/>
      </c>
    </row>
    <row r="1208">
      <c r="A1208">
        <f>IFERROR(INDEX('Email Cleaner'!$B$2:$B$10001,MATCH(1207,'Email Cleaner'!$K$2:$K$10001,0)),"")</f>
        <v/>
      </c>
    </row>
    <row r="1209">
      <c r="A1209">
        <f>IFERROR(INDEX('Email Cleaner'!$B$2:$B$10001,MATCH(1208,'Email Cleaner'!$K$2:$K$10001,0)),"")</f>
        <v/>
      </c>
    </row>
    <row r="1210">
      <c r="A1210">
        <f>IFERROR(INDEX('Email Cleaner'!$B$2:$B$10001,MATCH(1209,'Email Cleaner'!$K$2:$K$10001,0)),"")</f>
        <v/>
      </c>
    </row>
    <row r="1211">
      <c r="A1211">
        <f>IFERROR(INDEX('Email Cleaner'!$B$2:$B$10001,MATCH(1210,'Email Cleaner'!$K$2:$K$10001,0)),"")</f>
        <v/>
      </c>
    </row>
    <row r="1212">
      <c r="A1212">
        <f>IFERROR(INDEX('Email Cleaner'!$B$2:$B$10001,MATCH(1211,'Email Cleaner'!$K$2:$K$10001,0)),"")</f>
        <v/>
      </c>
    </row>
    <row r="1213">
      <c r="A1213">
        <f>IFERROR(INDEX('Email Cleaner'!$B$2:$B$10001,MATCH(1212,'Email Cleaner'!$K$2:$K$10001,0)),"")</f>
        <v/>
      </c>
    </row>
    <row r="1214">
      <c r="A1214">
        <f>IFERROR(INDEX('Email Cleaner'!$B$2:$B$10001,MATCH(1213,'Email Cleaner'!$K$2:$K$10001,0)),"")</f>
        <v/>
      </c>
    </row>
    <row r="1215">
      <c r="A1215">
        <f>IFERROR(INDEX('Email Cleaner'!$B$2:$B$10001,MATCH(1214,'Email Cleaner'!$K$2:$K$10001,0)),"")</f>
        <v/>
      </c>
    </row>
    <row r="1216">
      <c r="A1216">
        <f>IFERROR(INDEX('Email Cleaner'!$B$2:$B$10001,MATCH(1215,'Email Cleaner'!$K$2:$K$10001,0)),"")</f>
        <v/>
      </c>
    </row>
    <row r="1217">
      <c r="A1217">
        <f>IFERROR(INDEX('Email Cleaner'!$B$2:$B$10001,MATCH(1216,'Email Cleaner'!$K$2:$K$10001,0)),"")</f>
        <v/>
      </c>
    </row>
    <row r="1218">
      <c r="A1218">
        <f>IFERROR(INDEX('Email Cleaner'!$B$2:$B$10001,MATCH(1217,'Email Cleaner'!$K$2:$K$10001,0)),"")</f>
        <v/>
      </c>
    </row>
    <row r="1219">
      <c r="A1219">
        <f>IFERROR(INDEX('Email Cleaner'!$B$2:$B$10001,MATCH(1218,'Email Cleaner'!$K$2:$K$10001,0)),"")</f>
        <v/>
      </c>
    </row>
    <row r="1220">
      <c r="A1220">
        <f>IFERROR(INDEX('Email Cleaner'!$B$2:$B$10001,MATCH(1219,'Email Cleaner'!$K$2:$K$10001,0)),"")</f>
        <v/>
      </c>
    </row>
    <row r="1221">
      <c r="A1221">
        <f>IFERROR(INDEX('Email Cleaner'!$B$2:$B$10001,MATCH(1220,'Email Cleaner'!$K$2:$K$10001,0)),"")</f>
        <v/>
      </c>
    </row>
    <row r="1222">
      <c r="A1222">
        <f>IFERROR(INDEX('Email Cleaner'!$B$2:$B$10001,MATCH(1221,'Email Cleaner'!$K$2:$K$10001,0)),"")</f>
        <v/>
      </c>
    </row>
    <row r="1223">
      <c r="A1223">
        <f>IFERROR(INDEX('Email Cleaner'!$B$2:$B$10001,MATCH(1222,'Email Cleaner'!$K$2:$K$10001,0)),"")</f>
        <v/>
      </c>
    </row>
    <row r="1224">
      <c r="A1224">
        <f>IFERROR(INDEX('Email Cleaner'!$B$2:$B$10001,MATCH(1223,'Email Cleaner'!$K$2:$K$10001,0)),"")</f>
        <v/>
      </c>
    </row>
    <row r="1225">
      <c r="A1225">
        <f>IFERROR(INDEX('Email Cleaner'!$B$2:$B$10001,MATCH(1224,'Email Cleaner'!$K$2:$K$10001,0)),"")</f>
        <v/>
      </c>
    </row>
    <row r="1226">
      <c r="A1226">
        <f>IFERROR(INDEX('Email Cleaner'!$B$2:$B$10001,MATCH(1225,'Email Cleaner'!$K$2:$K$10001,0)),"")</f>
        <v/>
      </c>
    </row>
    <row r="1227">
      <c r="A1227">
        <f>IFERROR(INDEX('Email Cleaner'!$B$2:$B$10001,MATCH(1226,'Email Cleaner'!$K$2:$K$10001,0)),"")</f>
        <v/>
      </c>
    </row>
    <row r="1228">
      <c r="A1228">
        <f>IFERROR(INDEX('Email Cleaner'!$B$2:$B$10001,MATCH(1227,'Email Cleaner'!$K$2:$K$10001,0)),"")</f>
        <v/>
      </c>
    </row>
    <row r="1229">
      <c r="A1229">
        <f>IFERROR(INDEX('Email Cleaner'!$B$2:$B$10001,MATCH(1228,'Email Cleaner'!$K$2:$K$10001,0)),"")</f>
        <v/>
      </c>
    </row>
    <row r="1230">
      <c r="A1230">
        <f>IFERROR(INDEX('Email Cleaner'!$B$2:$B$10001,MATCH(1229,'Email Cleaner'!$K$2:$K$10001,0)),"")</f>
        <v/>
      </c>
    </row>
    <row r="1231">
      <c r="A1231">
        <f>IFERROR(INDEX('Email Cleaner'!$B$2:$B$10001,MATCH(1230,'Email Cleaner'!$K$2:$K$10001,0)),"")</f>
        <v/>
      </c>
    </row>
    <row r="1232">
      <c r="A1232">
        <f>IFERROR(INDEX('Email Cleaner'!$B$2:$B$10001,MATCH(1231,'Email Cleaner'!$K$2:$K$10001,0)),"")</f>
        <v/>
      </c>
    </row>
    <row r="1233">
      <c r="A1233">
        <f>IFERROR(INDEX('Email Cleaner'!$B$2:$B$10001,MATCH(1232,'Email Cleaner'!$K$2:$K$10001,0)),"")</f>
        <v/>
      </c>
    </row>
    <row r="1234">
      <c r="A1234">
        <f>IFERROR(INDEX('Email Cleaner'!$B$2:$B$10001,MATCH(1233,'Email Cleaner'!$K$2:$K$10001,0)),"")</f>
        <v/>
      </c>
    </row>
    <row r="1235">
      <c r="A1235">
        <f>IFERROR(INDEX('Email Cleaner'!$B$2:$B$10001,MATCH(1234,'Email Cleaner'!$K$2:$K$10001,0)),"")</f>
        <v/>
      </c>
    </row>
    <row r="1236">
      <c r="A1236">
        <f>IFERROR(INDEX('Email Cleaner'!$B$2:$B$10001,MATCH(1235,'Email Cleaner'!$K$2:$K$10001,0)),"")</f>
        <v/>
      </c>
    </row>
    <row r="1237">
      <c r="A1237">
        <f>IFERROR(INDEX('Email Cleaner'!$B$2:$B$10001,MATCH(1236,'Email Cleaner'!$K$2:$K$10001,0)),"")</f>
        <v/>
      </c>
    </row>
    <row r="1238">
      <c r="A1238">
        <f>IFERROR(INDEX('Email Cleaner'!$B$2:$B$10001,MATCH(1237,'Email Cleaner'!$K$2:$K$10001,0)),"")</f>
        <v/>
      </c>
    </row>
    <row r="1239">
      <c r="A1239">
        <f>IFERROR(INDEX('Email Cleaner'!$B$2:$B$10001,MATCH(1238,'Email Cleaner'!$K$2:$K$10001,0)),"")</f>
        <v/>
      </c>
    </row>
    <row r="1240">
      <c r="A1240">
        <f>IFERROR(INDEX('Email Cleaner'!$B$2:$B$10001,MATCH(1239,'Email Cleaner'!$K$2:$K$10001,0)),"")</f>
        <v/>
      </c>
    </row>
    <row r="1241">
      <c r="A1241">
        <f>IFERROR(INDEX('Email Cleaner'!$B$2:$B$10001,MATCH(1240,'Email Cleaner'!$K$2:$K$10001,0)),"")</f>
        <v/>
      </c>
    </row>
    <row r="1242">
      <c r="A1242">
        <f>IFERROR(INDEX('Email Cleaner'!$B$2:$B$10001,MATCH(1241,'Email Cleaner'!$K$2:$K$10001,0)),"")</f>
        <v/>
      </c>
    </row>
    <row r="1243">
      <c r="A1243">
        <f>IFERROR(INDEX('Email Cleaner'!$B$2:$B$10001,MATCH(1242,'Email Cleaner'!$K$2:$K$10001,0)),"")</f>
        <v/>
      </c>
    </row>
    <row r="1244">
      <c r="A1244">
        <f>IFERROR(INDEX('Email Cleaner'!$B$2:$B$10001,MATCH(1243,'Email Cleaner'!$K$2:$K$10001,0)),"")</f>
        <v/>
      </c>
    </row>
    <row r="1245">
      <c r="A1245">
        <f>IFERROR(INDEX('Email Cleaner'!$B$2:$B$10001,MATCH(1244,'Email Cleaner'!$K$2:$K$10001,0)),"")</f>
        <v/>
      </c>
    </row>
    <row r="1246">
      <c r="A1246">
        <f>IFERROR(INDEX('Email Cleaner'!$B$2:$B$10001,MATCH(1245,'Email Cleaner'!$K$2:$K$10001,0)),"")</f>
        <v/>
      </c>
    </row>
    <row r="1247">
      <c r="A1247">
        <f>IFERROR(INDEX('Email Cleaner'!$B$2:$B$10001,MATCH(1246,'Email Cleaner'!$K$2:$K$10001,0)),"")</f>
        <v/>
      </c>
    </row>
    <row r="1248">
      <c r="A1248">
        <f>IFERROR(INDEX('Email Cleaner'!$B$2:$B$10001,MATCH(1247,'Email Cleaner'!$K$2:$K$10001,0)),"")</f>
        <v/>
      </c>
    </row>
    <row r="1249">
      <c r="A1249">
        <f>IFERROR(INDEX('Email Cleaner'!$B$2:$B$10001,MATCH(1248,'Email Cleaner'!$K$2:$K$10001,0)),"")</f>
        <v/>
      </c>
    </row>
    <row r="1250">
      <c r="A1250">
        <f>IFERROR(INDEX('Email Cleaner'!$B$2:$B$10001,MATCH(1249,'Email Cleaner'!$K$2:$K$10001,0)),"")</f>
        <v/>
      </c>
    </row>
    <row r="1251">
      <c r="A1251">
        <f>IFERROR(INDEX('Email Cleaner'!$B$2:$B$10001,MATCH(1250,'Email Cleaner'!$K$2:$K$10001,0)),"")</f>
        <v/>
      </c>
    </row>
    <row r="1252">
      <c r="A1252">
        <f>IFERROR(INDEX('Email Cleaner'!$B$2:$B$10001,MATCH(1251,'Email Cleaner'!$K$2:$K$10001,0)),"")</f>
        <v/>
      </c>
    </row>
    <row r="1253">
      <c r="A1253">
        <f>IFERROR(INDEX('Email Cleaner'!$B$2:$B$10001,MATCH(1252,'Email Cleaner'!$K$2:$K$10001,0)),"")</f>
        <v/>
      </c>
    </row>
    <row r="1254">
      <c r="A1254">
        <f>IFERROR(INDEX('Email Cleaner'!$B$2:$B$10001,MATCH(1253,'Email Cleaner'!$K$2:$K$10001,0)),"")</f>
        <v/>
      </c>
    </row>
    <row r="1255">
      <c r="A1255">
        <f>IFERROR(INDEX('Email Cleaner'!$B$2:$B$10001,MATCH(1254,'Email Cleaner'!$K$2:$K$10001,0)),"")</f>
        <v/>
      </c>
    </row>
    <row r="1256">
      <c r="A1256">
        <f>IFERROR(INDEX('Email Cleaner'!$B$2:$B$10001,MATCH(1255,'Email Cleaner'!$K$2:$K$10001,0)),"")</f>
        <v/>
      </c>
    </row>
    <row r="1257">
      <c r="A1257">
        <f>IFERROR(INDEX('Email Cleaner'!$B$2:$B$10001,MATCH(1256,'Email Cleaner'!$K$2:$K$10001,0)),"")</f>
        <v/>
      </c>
    </row>
    <row r="1258">
      <c r="A1258">
        <f>IFERROR(INDEX('Email Cleaner'!$B$2:$B$10001,MATCH(1257,'Email Cleaner'!$K$2:$K$10001,0)),"")</f>
        <v/>
      </c>
    </row>
    <row r="1259">
      <c r="A1259">
        <f>IFERROR(INDEX('Email Cleaner'!$B$2:$B$10001,MATCH(1258,'Email Cleaner'!$K$2:$K$10001,0)),"")</f>
        <v/>
      </c>
    </row>
    <row r="1260">
      <c r="A1260">
        <f>IFERROR(INDEX('Email Cleaner'!$B$2:$B$10001,MATCH(1259,'Email Cleaner'!$K$2:$K$10001,0)),"")</f>
        <v/>
      </c>
    </row>
    <row r="1261">
      <c r="A1261">
        <f>IFERROR(INDEX('Email Cleaner'!$B$2:$B$10001,MATCH(1260,'Email Cleaner'!$K$2:$K$10001,0)),"")</f>
        <v/>
      </c>
    </row>
    <row r="1262">
      <c r="A1262">
        <f>IFERROR(INDEX('Email Cleaner'!$B$2:$B$10001,MATCH(1261,'Email Cleaner'!$K$2:$K$10001,0)),"")</f>
        <v/>
      </c>
    </row>
    <row r="1263">
      <c r="A1263">
        <f>IFERROR(INDEX('Email Cleaner'!$B$2:$B$10001,MATCH(1262,'Email Cleaner'!$K$2:$K$10001,0)),"")</f>
        <v/>
      </c>
    </row>
    <row r="1264">
      <c r="A1264">
        <f>IFERROR(INDEX('Email Cleaner'!$B$2:$B$10001,MATCH(1263,'Email Cleaner'!$K$2:$K$10001,0)),"")</f>
        <v/>
      </c>
    </row>
    <row r="1265">
      <c r="A1265">
        <f>IFERROR(INDEX('Email Cleaner'!$B$2:$B$10001,MATCH(1264,'Email Cleaner'!$K$2:$K$10001,0)),"")</f>
        <v/>
      </c>
    </row>
    <row r="1266">
      <c r="A1266">
        <f>IFERROR(INDEX('Email Cleaner'!$B$2:$B$10001,MATCH(1265,'Email Cleaner'!$K$2:$K$10001,0)),"")</f>
        <v/>
      </c>
    </row>
    <row r="1267">
      <c r="A1267">
        <f>IFERROR(INDEX('Email Cleaner'!$B$2:$B$10001,MATCH(1266,'Email Cleaner'!$K$2:$K$10001,0)),"")</f>
        <v/>
      </c>
    </row>
    <row r="1268">
      <c r="A1268">
        <f>IFERROR(INDEX('Email Cleaner'!$B$2:$B$10001,MATCH(1267,'Email Cleaner'!$K$2:$K$10001,0)),"")</f>
        <v/>
      </c>
    </row>
    <row r="1269">
      <c r="A1269">
        <f>IFERROR(INDEX('Email Cleaner'!$B$2:$B$10001,MATCH(1268,'Email Cleaner'!$K$2:$K$10001,0)),"")</f>
        <v/>
      </c>
    </row>
    <row r="1270">
      <c r="A1270">
        <f>IFERROR(INDEX('Email Cleaner'!$B$2:$B$10001,MATCH(1269,'Email Cleaner'!$K$2:$K$10001,0)),"")</f>
        <v/>
      </c>
    </row>
    <row r="1271">
      <c r="A1271">
        <f>IFERROR(INDEX('Email Cleaner'!$B$2:$B$10001,MATCH(1270,'Email Cleaner'!$K$2:$K$10001,0)),"")</f>
        <v/>
      </c>
    </row>
    <row r="1272">
      <c r="A1272">
        <f>IFERROR(INDEX('Email Cleaner'!$B$2:$B$10001,MATCH(1271,'Email Cleaner'!$K$2:$K$10001,0)),"")</f>
        <v/>
      </c>
    </row>
    <row r="1273">
      <c r="A1273">
        <f>IFERROR(INDEX('Email Cleaner'!$B$2:$B$10001,MATCH(1272,'Email Cleaner'!$K$2:$K$10001,0)),"")</f>
        <v/>
      </c>
    </row>
    <row r="1274">
      <c r="A1274">
        <f>IFERROR(INDEX('Email Cleaner'!$B$2:$B$10001,MATCH(1273,'Email Cleaner'!$K$2:$K$10001,0)),"")</f>
        <v/>
      </c>
    </row>
    <row r="1275">
      <c r="A1275">
        <f>IFERROR(INDEX('Email Cleaner'!$B$2:$B$10001,MATCH(1274,'Email Cleaner'!$K$2:$K$10001,0)),"")</f>
        <v/>
      </c>
    </row>
    <row r="1276">
      <c r="A1276">
        <f>IFERROR(INDEX('Email Cleaner'!$B$2:$B$10001,MATCH(1275,'Email Cleaner'!$K$2:$K$10001,0)),"")</f>
        <v/>
      </c>
    </row>
    <row r="1277">
      <c r="A1277">
        <f>IFERROR(INDEX('Email Cleaner'!$B$2:$B$10001,MATCH(1276,'Email Cleaner'!$K$2:$K$10001,0)),"")</f>
        <v/>
      </c>
    </row>
    <row r="1278">
      <c r="A1278">
        <f>IFERROR(INDEX('Email Cleaner'!$B$2:$B$10001,MATCH(1277,'Email Cleaner'!$K$2:$K$10001,0)),"")</f>
        <v/>
      </c>
    </row>
    <row r="1279">
      <c r="A1279">
        <f>IFERROR(INDEX('Email Cleaner'!$B$2:$B$10001,MATCH(1278,'Email Cleaner'!$K$2:$K$10001,0)),"")</f>
        <v/>
      </c>
    </row>
    <row r="1280">
      <c r="A1280">
        <f>IFERROR(INDEX('Email Cleaner'!$B$2:$B$10001,MATCH(1279,'Email Cleaner'!$K$2:$K$10001,0)),"")</f>
        <v/>
      </c>
    </row>
    <row r="1281">
      <c r="A1281">
        <f>IFERROR(INDEX('Email Cleaner'!$B$2:$B$10001,MATCH(1280,'Email Cleaner'!$K$2:$K$10001,0)),"")</f>
        <v/>
      </c>
    </row>
    <row r="1282">
      <c r="A1282">
        <f>IFERROR(INDEX('Email Cleaner'!$B$2:$B$10001,MATCH(1281,'Email Cleaner'!$K$2:$K$10001,0)),"")</f>
        <v/>
      </c>
    </row>
    <row r="1283">
      <c r="A1283">
        <f>IFERROR(INDEX('Email Cleaner'!$B$2:$B$10001,MATCH(1282,'Email Cleaner'!$K$2:$K$10001,0)),"")</f>
        <v/>
      </c>
    </row>
    <row r="1284">
      <c r="A1284">
        <f>IFERROR(INDEX('Email Cleaner'!$B$2:$B$10001,MATCH(1283,'Email Cleaner'!$K$2:$K$10001,0)),"")</f>
        <v/>
      </c>
    </row>
    <row r="1285">
      <c r="A1285">
        <f>IFERROR(INDEX('Email Cleaner'!$B$2:$B$10001,MATCH(1284,'Email Cleaner'!$K$2:$K$10001,0)),"")</f>
        <v/>
      </c>
    </row>
    <row r="1286">
      <c r="A1286">
        <f>IFERROR(INDEX('Email Cleaner'!$B$2:$B$10001,MATCH(1285,'Email Cleaner'!$K$2:$K$10001,0)),"")</f>
        <v/>
      </c>
    </row>
    <row r="1287">
      <c r="A1287">
        <f>IFERROR(INDEX('Email Cleaner'!$B$2:$B$10001,MATCH(1286,'Email Cleaner'!$K$2:$K$10001,0)),"")</f>
        <v/>
      </c>
    </row>
    <row r="1288">
      <c r="A1288">
        <f>IFERROR(INDEX('Email Cleaner'!$B$2:$B$10001,MATCH(1287,'Email Cleaner'!$K$2:$K$10001,0)),"")</f>
        <v/>
      </c>
    </row>
    <row r="1289">
      <c r="A1289">
        <f>IFERROR(INDEX('Email Cleaner'!$B$2:$B$10001,MATCH(1288,'Email Cleaner'!$K$2:$K$10001,0)),"")</f>
        <v/>
      </c>
    </row>
    <row r="1290">
      <c r="A1290">
        <f>IFERROR(INDEX('Email Cleaner'!$B$2:$B$10001,MATCH(1289,'Email Cleaner'!$K$2:$K$10001,0)),"")</f>
        <v/>
      </c>
    </row>
    <row r="1291">
      <c r="A1291">
        <f>IFERROR(INDEX('Email Cleaner'!$B$2:$B$10001,MATCH(1290,'Email Cleaner'!$K$2:$K$10001,0)),"")</f>
        <v/>
      </c>
    </row>
    <row r="1292">
      <c r="A1292">
        <f>IFERROR(INDEX('Email Cleaner'!$B$2:$B$10001,MATCH(1291,'Email Cleaner'!$K$2:$K$10001,0)),"")</f>
        <v/>
      </c>
    </row>
    <row r="1293">
      <c r="A1293">
        <f>IFERROR(INDEX('Email Cleaner'!$B$2:$B$10001,MATCH(1292,'Email Cleaner'!$K$2:$K$10001,0)),"")</f>
        <v/>
      </c>
    </row>
    <row r="1294">
      <c r="A1294">
        <f>IFERROR(INDEX('Email Cleaner'!$B$2:$B$10001,MATCH(1293,'Email Cleaner'!$K$2:$K$10001,0)),"")</f>
        <v/>
      </c>
    </row>
    <row r="1295">
      <c r="A1295">
        <f>IFERROR(INDEX('Email Cleaner'!$B$2:$B$10001,MATCH(1294,'Email Cleaner'!$K$2:$K$10001,0)),"")</f>
        <v/>
      </c>
    </row>
    <row r="1296">
      <c r="A1296">
        <f>IFERROR(INDEX('Email Cleaner'!$B$2:$B$10001,MATCH(1295,'Email Cleaner'!$K$2:$K$10001,0)),"")</f>
        <v/>
      </c>
    </row>
    <row r="1297">
      <c r="A1297">
        <f>IFERROR(INDEX('Email Cleaner'!$B$2:$B$10001,MATCH(1296,'Email Cleaner'!$K$2:$K$10001,0)),"")</f>
        <v/>
      </c>
    </row>
    <row r="1298">
      <c r="A1298">
        <f>IFERROR(INDEX('Email Cleaner'!$B$2:$B$10001,MATCH(1297,'Email Cleaner'!$K$2:$K$10001,0)),"")</f>
        <v/>
      </c>
    </row>
    <row r="1299">
      <c r="A1299">
        <f>IFERROR(INDEX('Email Cleaner'!$B$2:$B$10001,MATCH(1298,'Email Cleaner'!$K$2:$K$10001,0)),"")</f>
        <v/>
      </c>
    </row>
    <row r="1300">
      <c r="A1300">
        <f>IFERROR(INDEX('Email Cleaner'!$B$2:$B$10001,MATCH(1299,'Email Cleaner'!$K$2:$K$10001,0)),"")</f>
        <v/>
      </c>
    </row>
    <row r="1301">
      <c r="A1301">
        <f>IFERROR(INDEX('Email Cleaner'!$B$2:$B$10001,MATCH(1300,'Email Cleaner'!$K$2:$K$10001,0)),"")</f>
        <v/>
      </c>
    </row>
    <row r="1302">
      <c r="A1302">
        <f>IFERROR(INDEX('Email Cleaner'!$B$2:$B$10001,MATCH(1301,'Email Cleaner'!$K$2:$K$10001,0)),"")</f>
        <v/>
      </c>
    </row>
    <row r="1303">
      <c r="A1303">
        <f>IFERROR(INDEX('Email Cleaner'!$B$2:$B$10001,MATCH(1302,'Email Cleaner'!$K$2:$K$10001,0)),"")</f>
        <v/>
      </c>
    </row>
    <row r="1304">
      <c r="A1304">
        <f>IFERROR(INDEX('Email Cleaner'!$B$2:$B$10001,MATCH(1303,'Email Cleaner'!$K$2:$K$10001,0)),"")</f>
        <v/>
      </c>
    </row>
    <row r="1305">
      <c r="A1305">
        <f>IFERROR(INDEX('Email Cleaner'!$B$2:$B$10001,MATCH(1304,'Email Cleaner'!$K$2:$K$10001,0)),"")</f>
        <v/>
      </c>
    </row>
    <row r="1306">
      <c r="A1306">
        <f>IFERROR(INDEX('Email Cleaner'!$B$2:$B$10001,MATCH(1305,'Email Cleaner'!$K$2:$K$10001,0)),"")</f>
        <v/>
      </c>
    </row>
    <row r="1307">
      <c r="A1307">
        <f>IFERROR(INDEX('Email Cleaner'!$B$2:$B$10001,MATCH(1306,'Email Cleaner'!$K$2:$K$10001,0)),"")</f>
        <v/>
      </c>
    </row>
    <row r="1308">
      <c r="A1308">
        <f>IFERROR(INDEX('Email Cleaner'!$B$2:$B$10001,MATCH(1307,'Email Cleaner'!$K$2:$K$10001,0)),"")</f>
        <v/>
      </c>
    </row>
    <row r="1309">
      <c r="A1309">
        <f>IFERROR(INDEX('Email Cleaner'!$B$2:$B$10001,MATCH(1308,'Email Cleaner'!$K$2:$K$10001,0)),"")</f>
        <v/>
      </c>
    </row>
    <row r="1310">
      <c r="A1310">
        <f>IFERROR(INDEX('Email Cleaner'!$B$2:$B$10001,MATCH(1309,'Email Cleaner'!$K$2:$K$10001,0)),"")</f>
        <v/>
      </c>
    </row>
    <row r="1311">
      <c r="A1311">
        <f>IFERROR(INDEX('Email Cleaner'!$B$2:$B$10001,MATCH(1310,'Email Cleaner'!$K$2:$K$10001,0)),"")</f>
        <v/>
      </c>
    </row>
    <row r="1312">
      <c r="A1312">
        <f>IFERROR(INDEX('Email Cleaner'!$B$2:$B$10001,MATCH(1311,'Email Cleaner'!$K$2:$K$10001,0)),"")</f>
        <v/>
      </c>
    </row>
    <row r="1313">
      <c r="A1313">
        <f>IFERROR(INDEX('Email Cleaner'!$B$2:$B$10001,MATCH(1312,'Email Cleaner'!$K$2:$K$10001,0)),"")</f>
        <v/>
      </c>
    </row>
    <row r="1314">
      <c r="A1314">
        <f>IFERROR(INDEX('Email Cleaner'!$B$2:$B$10001,MATCH(1313,'Email Cleaner'!$K$2:$K$10001,0)),"")</f>
        <v/>
      </c>
    </row>
    <row r="1315">
      <c r="A1315">
        <f>IFERROR(INDEX('Email Cleaner'!$B$2:$B$10001,MATCH(1314,'Email Cleaner'!$K$2:$K$10001,0)),"")</f>
        <v/>
      </c>
    </row>
    <row r="1316">
      <c r="A1316">
        <f>IFERROR(INDEX('Email Cleaner'!$B$2:$B$10001,MATCH(1315,'Email Cleaner'!$K$2:$K$10001,0)),"")</f>
        <v/>
      </c>
    </row>
    <row r="1317">
      <c r="A1317">
        <f>IFERROR(INDEX('Email Cleaner'!$B$2:$B$10001,MATCH(1316,'Email Cleaner'!$K$2:$K$10001,0)),"")</f>
        <v/>
      </c>
    </row>
    <row r="1318">
      <c r="A1318">
        <f>IFERROR(INDEX('Email Cleaner'!$B$2:$B$10001,MATCH(1317,'Email Cleaner'!$K$2:$K$10001,0)),"")</f>
        <v/>
      </c>
    </row>
    <row r="1319">
      <c r="A1319">
        <f>IFERROR(INDEX('Email Cleaner'!$B$2:$B$10001,MATCH(1318,'Email Cleaner'!$K$2:$K$10001,0)),"")</f>
        <v/>
      </c>
    </row>
    <row r="1320">
      <c r="A1320">
        <f>IFERROR(INDEX('Email Cleaner'!$B$2:$B$10001,MATCH(1319,'Email Cleaner'!$K$2:$K$10001,0)),"")</f>
        <v/>
      </c>
    </row>
    <row r="1321">
      <c r="A1321">
        <f>IFERROR(INDEX('Email Cleaner'!$B$2:$B$10001,MATCH(1320,'Email Cleaner'!$K$2:$K$10001,0)),"")</f>
        <v/>
      </c>
    </row>
    <row r="1322">
      <c r="A1322">
        <f>IFERROR(INDEX('Email Cleaner'!$B$2:$B$10001,MATCH(1321,'Email Cleaner'!$K$2:$K$10001,0)),"")</f>
        <v/>
      </c>
    </row>
    <row r="1323">
      <c r="A1323">
        <f>IFERROR(INDEX('Email Cleaner'!$B$2:$B$10001,MATCH(1322,'Email Cleaner'!$K$2:$K$10001,0)),"")</f>
        <v/>
      </c>
    </row>
    <row r="1324">
      <c r="A1324">
        <f>IFERROR(INDEX('Email Cleaner'!$B$2:$B$10001,MATCH(1323,'Email Cleaner'!$K$2:$K$10001,0)),"")</f>
        <v/>
      </c>
    </row>
    <row r="1325">
      <c r="A1325">
        <f>IFERROR(INDEX('Email Cleaner'!$B$2:$B$10001,MATCH(1324,'Email Cleaner'!$K$2:$K$10001,0)),"")</f>
        <v/>
      </c>
    </row>
    <row r="1326">
      <c r="A1326">
        <f>IFERROR(INDEX('Email Cleaner'!$B$2:$B$10001,MATCH(1325,'Email Cleaner'!$K$2:$K$10001,0)),"")</f>
        <v/>
      </c>
    </row>
    <row r="1327">
      <c r="A1327">
        <f>IFERROR(INDEX('Email Cleaner'!$B$2:$B$10001,MATCH(1326,'Email Cleaner'!$K$2:$K$10001,0)),"")</f>
        <v/>
      </c>
    </row>
    <row r="1328">
      <c r="A1328">
        <f>IFERROR(INDEX('Email Cleaner'!$B$2:$B$10001,MATCH(1327,'Email Cleaner'!$K$2:$K$10001,0)),"")</f>
        <v/>
      </c>
    </row>
    <row r="1329">
      <c r="A1329">
        <f>IFERROR(INDEX('Email Cleaner'!$B$2:$B$10001,MATCH(1328,'Email Cleaner'!$K$2:$K$10001,0)),"")</f>
        <v/>
      </c>
    </row>
    <row r="1330">
      <c r="A1330">
        <f>IFERROR(INDEX('Email Cleaner'!$B$2:$B$10001,MATCH(1329,'Email Cleaner'!$K$2:$K$10001,0)),"")</f>
        <v/>
      </c>
    </row>
    <row r="1331">
      <c r="A1331">
        <f>IFERROR(INDEX('Email Cleaner'!$B$2:$B$10001,MATCH(1330,'Email Cleaner'!$K$2:$K$10001,0)),"")</f>
        <v/>
      </c>
    </row>
    <row r="1332">
      <c r="A1332">
        <f>IFERROR(INDEX('Email Cleaner'!$B$2:$B$10001,MATCH(1331,'Email Cleaner'!$K$2:$K$10001,0)),"")</f>
        <v/>
      </c>
    </row>
    <row r="1333">
      <c r="A1333">
        <f>IFERROR(INDEX('Email Cleaner'!$B$2:$B$10001,MATCH(1332,'Email Cleaner'!$K$2:$K$10001,0)),"")</f>
        <v/>
      </c>
    </row>
    <row r="1334">
      <c r="A1334">
        <f>IFERROR(INDEX('Email Cleaner'!$B$2:$B$10001,MATCH(1333,'Email Cleaner'!$K$2:$K$10001,0)),"")</f>
        <v/>
      </c>
    </row>
    <row r="1335">
      <c r="A1335">
        <f>IFERROR(INDEX('Email Cleaner'!$B$2:$B$10001,MATCH(1334,'Email Cleaner'!$K$2:$K$10001,0)),"")</f>
        <v/>
      </c>
    </row>
    <row r="1336">
      <c r="A1336">
        <f>IFERROR(INDEX('Email Cleaner'!$B$2:$B$10001,MATCH(1335,'Email Cleaner'!$K$2:$K$10001,0)),"")</f>
        <v/>
      </c>
    </row>
    <row r="1337">
      <c r="A1337">
        <f>IFERROR(INDEX('Email Cleaner'!$B$2:$B$10001,MATCH(1336,'Email Cleaner'!$K$2:$K$10001,0)),"")</f>
        <v/>
      </c>
    </row>
    <row r="1338">
      <c r="A1338">
        <f>IFERROR(INDEX('Email Cleaner'!$B$2:$B$10001,MATCH(1337,'Email Cleaner'!$K$2:$K$10001,0)),"")</f>
        <v/>
      </c>
    </row>
    <row r="1339">
      <c r="A1339">
        <f>IFERROR(INDEX('Email Cleaner'!$B$2:$B$10001,MATCH(1338,'Email Cleaner'!$K$2:$K$10001,0)),"")</f>
        <v/>
      </c>
    </row>
    <row r="1340">
      <c r="A1340">
        <f>IFERROR(INDEX('Email Cleaner'!$B$2:$B$10001,MATCH(1339,'Email Cleaner'!$K$2:$K$10001,0)),"")</f>
        <v/>
      </c>
    </row>
    <row r="1341">
      <c r="A1341">
        <f>IFERROR(INDEX('Email Cleaner'!$B$2:$B$10001,MATCH(1340,'Email Cleaner'!$K$2:$K$10001,0)),"")</f>
        <v/>
      </c>
    </row>
    <row r="1342">
      <c r="A1342">
        <f>IFERROR(INDEX('Email Cleaner'!$B$2:$B$10001,MATCH(1341,'Email Cleaner'!$K$2:$K$10001,0)),"")</f>
        <v/>
      </c>
    </row>
    <row r="1343">
      <c r="A1343">
        <f>IFERROR(INDEX('Email Cleaner'!$B$2:$B$10001,MATCH(1342,'Email Cleaner'!$K$2:$K$10001,0)),"")</f>
        <v/>
      </c>
    </row>
    <row r="1344">
      <c r="A1344">
        <f>IFERROR(INDEX('Email Cleaner'!$B$2:$B$10001,MATCH(1343,'Email Cleaner'!$K$2:$K$10001,0)),"")</f>
        <v/>
      </c>
    </row>
    <row r="1345">
      <c r="A1345">
        <f>IFERROR(INDEX('Email Cleaner'!$B$2:$B$10001,MATCH(1344,'Email Cleaner'!$K$2:$K$10001,0)),"")</f>
        <v/>
      </c>
    </row>
    <row r="1346">
      <c r="A1346">
        <f>IFERROR(INDEX('Email Cleaner'!$B$2:$B$10001,MATCH(1345,'Email Cleaner'!$K$2:$K$10001,0)),"")</f>
        <v/>
      </c>
    </row>
    <row r="1347">
      <c r="A1347">
        <f>IFERROR(INDEX('Email Cleaner'!$B$2:$B$10001,MATCH(1346,'Email Cleaner'!$K$2:$K$10001,0)),"")</f>
        <v/>
      </c>
    </row>
    <row r="1348">
      <c r="A1348">
        <f>IFERROR(INDEX('Email Cleaner'!$B$2:$B$10001,MATCH(1347,'Email Cleaner'!$K$2:$K$10001,0)),"")</f>
        <v/>
      </c>
    </row>
    <row r="1349">
      <c r="A1349">
        <f>IFERROR(INDEX('Email Cleaner'!$B$2:$B$10001,MATCH(1348,'Email Cleaner'!$K$2:$K$10001,0)),"")</f>
        <v/>
      </c>
    </row>
    <row r="1350">
      <c r="A1350">
        <f>IFERROR(INDEX('Email Cleaner'!$B$2:$B$10001,MATCH(1349,'Email Cleaner'!$K$2:$K$10001,0)),"")</f>
        <v/>
      </c>
    </row>
    <row r="1351">
      <c r="A1351">
        <f>IFERROR(INDEX('Email Cleaner'!$B$2:$B$10001,MATCH(1350,'Email Cleaner'!$K$2:$K$10001,0)),"")</f>
        <v/>
      </c>
    </row>
    <row r="1352">
      <c r="A1352">
        <f>IFERROR(INDEX('Email Cleaner'!$B$2:$B$10001,MATCH(1351,'Email Cleaner'!$K$2:$K$10001,0)),"")</f>
        <v/>
      </c>
    </row>
    <row r="1353">
      <c r="A1353">
        <f>IFERROR(INDEX('Email Cleaner'!$B$2:$B$10001,MATCH(1352,'Email Cleaner'!$K$2:$K$10001,0)),"")</f>
        <v/>
      </c>
    </row>
    <row r="1354">
      <c r="A1354">
        <f>IFERROR(INDEX('Email Cleaner'!$B$2:$B$10001,MATCH(1353,'Email Cleaner'!$K$2:$K$10001,0)),"")</f>
        <v/>
      </c>
    </row>
    <row r="1355">
      <c r="A1355">
        <f>IFERROR(INDEX('Email Cleaner'!$B$2:$B$10001,MATCH(1354,'Email Cleaner'!$K$2:$K$10001,0)),"")</f>
        <v/>
      </c>
    </row>
    <row r="1356">
      <c r="A1356">
        <f>IFERROR(INDEX('Email Cleaner'!$B$2:$B$10001,MATCH(1355,'Email Cleaner'!$K$2:$K$10001,0)),"")</f>
        <v/>
      </c>
    </row>
    <row r="1357">
      <c r="A1357">
        <f>IFERROR(INDEX('Email Cleaner'!$B$2:$B$10001,MATCH(1356,'Email Cleaner'!$K$2:$K$10001,0)),"")</f>
        <v/>
      </c>
    </row>
    <row r="1358">
      <c r="A1358">
        <f>IFERROR(INDEX('Email Cleaner'!$B$2:$B$10001,MATCH(1357,'Email Cleaner'!$K$2:$K$10001,0)),"")</f>
        <v/>
      </c>
    </row>
    <row r="1359">
      <c r="A1359">
        <f>IFERROR(INDEX('Email Cleaner'!$B$2:$B$10001,MATCH(1358,'Email Cleaner'!$K$2:$K$10001,0)),"")</f>
        <v/>
      </c>
    </row>
    <row r="1360">
      <c r="A1360">
        <f>IFERROR(INDEX('Email Cleaner'!$B$2:$B$10001,MATCH(1359,'Email Cleaner'!$K$2:$K$10001,0)),"")</f>
        <v/>
      </c>
    </row>
    <row r="1361">
      <c r="A1361">
        <f>IFERROR(INDEX('Email Cleaner'!$B$2:$B$10001,MATCH(1360,'Email Cleaner'!$K$2:$K$10001,0)),"")</f>
        <v/>
      </c>
    </row>
    <row r="1362">
      <c r="A1362">
        <f>IFERROR(INDEX('Email Cleaner'!$B$2:$B$10001,MATCH(1361,'Email Cleaner'!$K$2:$K$10001,0)),"")</f>
        <v/>
      </c>
    </row>
    <row r="1363">
      <c r="A1363">
        <f>IFERROR(INDEX('Email Cleaner'!$B$2:$B$10001,MATCH(1362,'Email Cleaner'!$K$2:$K$10001,0)),"")</f>
        <v/>
      </c>
    </row>
    <row r="1364">
      <c r="A1364">
        <f>IFERROR(INDEX('Email Cleaner'!$B$2:$B$10001,MATCH(1363,'Email Cleaner'!$K$2:$K$10001,0)),"")</f>
        <v/>
      </c>
    </row>
    <row r="1365">
      <c r="A1365">
        <f>IFERROR(INDEX('Email Cleaner'!$B$2:$B$10001,MATCH(1364,'Email Cleaner'!$K$2:$K$10001,0)),"")</f>
        <v/>
      </c>
    </row>
    <row r="1366">
      <c r="A1366">
        <f>IFERROR(INDEX('Email Cleaner'!$B$2:$B$10001,MATCH(1365,'Email Cleaner'!$K$2:$K$10001,0)),"")</f>
        <v/>
      </c>
    </row>
    <row r="1367">
      <c r="A1367">
        <f>IFERROR(INDEX('Email Cleaner'!$B$2:$B$10001,MATCH(1366,'Email Cleaner'!$K$2:$K$10001,0)),"")</f>
        <v/>
      </c>
    </row>
    <row r="1368">
      <c r="A1368">
        <f>IFERROR(INDEX('Email Cleaner'!$B$2:$B$10001,MATCH(1367,'Email Cleaner'!$K$2:$K$10001,0)),"")</f>
        <v/>
      </c>
    </row>
    <row r="1369">
      <c r="A1369">
        <f>IFERROR(INDEX('Email Cleaner'!$B$2:$B$10001,MATCH(1368,'Email Cleaner'!$K$2:$K$10001,0)),"")</f>
        <v/>
      </c>
    </row>
    <row r="1370">
      <c r="A1370">
        <f>IFERROR(INDEX('Email Cleaner'!$B$2:$B$10001,MATCH(1369,'Email Cleaner'!$K$2:$K$10001,0)),"")</f>
        <v/>
      </c>
    </row>
    <row r="1371">
      <c r="A1371">
        <f>IFERROR(INDEX('Email Cleaner'!$B$2:$B$10001,MATCH(1370,'Email Cleaner'!$K$2:$K$10001,0)),"")</f>
        <v/>
      </c>
    </row>
    <row r="1372">
      <c r="A1372">
        <f>IFERROR(INDEX('Email Cleaner'!$B$2:$B$10001,MATCH(1371,'Email Cleaner'!$K$2:$K$10001,0)),"")</f>
        <v/>
      </c>
    </row>
    <row r="1373">
      <c r="A1373">
        <f>IFERROR(INDEX('Email Cleaner'!$B$2:$B$10001,MATCH(1372,'Email Cleaner'!$K$2:$K$10001,0)),"")</f>
        <v/>
      </c>
    </row>
    <row r="1374">
      <c r="A1374">
        <f>IFERROR(INDEX('Email Cleaner'!$B$2:$B$10001,MATCH(1373,'Email Cleaner'!$K$2:$K$10001,0)),"")</f>
        <v/>
      </c>
    </row>
    <row r="1375">
      <c r="A1375">
        <f>IFERROR(INDEX('Email Cleaner'!$B$2:$B$10001,MATCH(1374,'Email Cleaner'!$K$2:$K$10001,0)),"")</f>
        <v/>
      </c>
    </row>
    <row r="1376">
      <c r="A1376">
        <f>IFERROR(INDEX('Email Cleaner'!$B$2:$B$10001,MATCH(1375,'Email Cleaner'!$K$2:$K$10001,0)),"")</f>
        <v/>
      </c>
    </row>
    <row r="1377">
      <c r="A1377">
        <f>IFERROR(INDEX('Email Cleaner'!$B$2:$B$10001,MATCH(1376,'Email Cleaner'!$K$2:$K$10001,0)),"")</f>
        <v/>
      </c>
    </row>
    <row r="1378">
      <c r="A1378">
        <f>IFERROR(INDEX('Email Cleaner'!$B$2:$B$10001,MATCH(1377,'Email Cleaner'!$K$2:$K$10001,0)),"")</f>
        <v/>
      </c>
    </row>
    <row r="1379">
      <c r="A1379">
        <f>IFERROR(INDEX('Email Cleaner'!$B$2:$B$10001,MATCH(1378,'Email Cleaner'!$K$2:$K$10001,0)),"")</f>
        <v/>
      </c>
    </row>
    <row r="1380">
      <c r="A1380">
        <f>IFERROR(INDEX('Email Cleaner'!$B$2:$B$10001,MATCH(1379,'Email Cleaner'!$K$2:$K$10001,0)),"")</f>
        <v/>
      </c>
    </row>
    <row r="1381">
      <c r="A1381">
        <f>IFERROR(INDEX('Email Cleaner'!$B$2:$B$10001,MATCH(1380,'Email Cleaner'!$K$2:$K$10001,0)),"")</f>
        <v/>
      </c>
    </row>
    <row r="1382">
      <c r="A1382">
        <f>IFERROR(INDEX('Email Cleaner'!$B$2:$B$10001,MATCH(1381,'Email Cleaner'!$K$2:$K$10001,0)),"")</f>
        <v/>
      </c>
    </row>
    <row r="1383">
      <c r="A1383">
        <f>IFERROR(INDEX('Email Cleaner'!$B$2:$B$10001,MATCH(1382,'Email Cleaner'!$K$2:$K$10001,0)),"")</f>
        <v/>
      </c>
    </row>
    <row r="1384">
      <c r="A1384">
        <f>IFERROR(INDEX('Email Cleaner'!$B$2:$B$10001,MATCH(1383,'Email Cleaner'!$K$2:$K$10001,0)),"")</f>
        <v/>
      </c>
    </row>
    <row r="1385">
      <c r="A1385">
        <f>IFERROR(INDEX('Email Cleaner'!$B$2:$B$10001,MATCH(1384,'Email Cleaner'!$K$2:$K$10001,0)),"")</f>
        <v/>
      </c>
    </row>
    <row r="1386">
      <c r="A1386">
        <f>IFERROR(INDEX('Email Cleaner'!$B$2:$B$10001,MATCH(1385,'Email Cleaner'!$K$2:$K$10001,0)),"")</f>
        <v/>
      </c>
    </row>
    <row r="1387">
      <c r="A1387">
        <f>IFERROR(INDEX('Email Cleaner'!$B$2:$B$10001,MATCH(1386,'Email Cleaner'!$K$2:$K$10001,0)),"")</f>
        <v/>
      </c>
    </row>
    <row r="1388">
      <c r="A1388">
        <f>IFERROR(INDEX('Email Cleaner'!$B$2:$B$10001,MATCH(1387,'Email Cleaner'!$K$2:$K$10001,0)),"")</f>
        <v/>
      </c>
    </row>
    <row r="1389">
      <c r="A1389">
        <f>IFERROR(INDEX('Email Cleaner'!$B$2:$B$10001,MATCH(1388,'Email Cleaner'!$K$2:$K$10001,0)),"")</f>
        <v/>
      </c>
    </row>
    <row r="1390">
      <c r="A1390">
        <f>IFERROR(INDEX('Email Cleaner'!$B$2:$B$10001,MATCH(1389,'Email Cleaner'!$K$2:$K$10001,0)),"")</f>
        <v/>
      </c>
    </row>
    <row r="1391">
      <c r="A1391">
        <f>IFERROR(INDEX('Email Cleaner'!$B$2:$B$10001,MATCH(1390,'Email Cleaner'!$K$2:$K$10001,0)),"")</f>
        <v/>
      </c>
    </row>
    <row r="1392">
      <c r="A1392">
        <f>IFERROR(INDEX('Email Cleaner'!$B$2:$B$10001,MATCH(1391,'Email Cleaner'!$K$2:$K$10001,0)),"")</f>
        <v/>
      </c>
    </row>
    <row r="1393">
      <c r="A1393">
        <f>IFERROR(INDEX('Email Cleaner'!$B$2:$B$10001,MATCH(1392,'Email Cleaner'!$K$2:$K$10001,0)),"")</f>
        <v/>
      </c>
    </row>
    <row r="1394">
      <c r="A1394">
        <f>IFERROR(INDEX('Email Cleaner'!$B$2:$B$10001,MATCH(1393,'Email Cleaner'!$K$2:$K$10001,0)),"")</f>
        <v/>
      </c>
    </row>
    <row r="1395">
      <c r="A1395">
        <f>IFERROR(INDEX('Email Cleaner'!$B$2:$B$10001,MATCH(1394,'Email Cleaner'!$K$2:$K$10001,0)),"")</f>
        <v/>
      </c>
    </row>
    <row r="1396">
      <c r="A1396">
        <f>IFERROR(INDEX('Email Cleaner'!$B$2:$B$10001,MATCH(1395,'Email Cleaner'!$K$2:$K$10001,0)),"")</f>
        <v/>
      </c>
    </row>
    <row r="1397">
      <c r="A1397">
        <f>IFERROR(INDEX('Email Cleaner'!$B$2:$B$10001,MATCH(1396,'Email Cleaner'!$K$2:$K$10001,0)),"")</f>
        <v/>
      </c>
    </row>
    <row r="1398">
      <c r="A1398">
        <f>IFERROR(INDEX('Email Cleaner'!$B$2:$B$10001,MATCH(1397,'Email Cleaner'!$K$2:$K$10001,0)),"")</f>
        <v/>
      </c>
    </row>
    <row r="1399">
      <c r="A1399">
        <f>IFERROR(INDEX('Email Cleaner'!$B$2:$B$10001,MATCH(1398,'Email Cleaner'!$K$2:$K$10001,0)),"")</f>
        <v/>
      </c>
    </row>
    <row r="1400">
      <c r="A1400">
        <f>IFERROR(INDEX('Email Cleaner'!$B$2:$B$10001,MATCH(1399,'Email Cleaner'!$K$2:$K$10001,0)),"")</f>
        <v/>
      </c>
    </row>
    <row r="1401">
      <c r="A1401">
        <f>IFERROR(INDEX('Email Cleaner'!$B$2:$B$10001,MATCH(1400,'Email Cleaner'!$K$2:$K$10001,0)),"")</f>
        <v/>
      </c>
    </row>
    <row r="1402">
      <c r="A1402">
        <f>IFERROR(INDEX('Email Cleaner'!$B$2:$B$10001,MATCH(1401,'Email Cleaner'!$K$2:$K$10001,0)),"")</f>
        <v/>
      </c>
    </row>
    <row r="1403">
      <c r="A1403">
        <f>IFERROR(INDEX('Email Cleaner'!$B$2:$B$10001,MATCH(1402,'Email Cleaner'!$K$2:$K$10001,0)),"")</f>
        <v/>
      </c>
    </row>
    <row r="1404">
      <c r="A1404">
        <f>IFERROR(INDEX('Email Cleaner'!$B$2:$B$10001,MATCH(1403,'Email Cleaner'!$K$2:$K$10001,0)),"")</f>
        <v/>
      </c>
    </row>
    <row r="1405">
      <c r="A1405">
        <f>IFERROR(INDEX('Email Cleaner'!$B$2:$B$10001,MATCH(1404,'Email Cleaner'!$K$2:$K$10001,0)),"")</f>
        <v/>
      </c>
    </row>
    <row r="1406">
      <c r="A1406">
        <f>IFERROR(INDEX('Email Cleaner'!$B$2:$B$10001,MATCH(1405,'Email Cleaner'!$K$2:$K$10001,0)),"")</f>
        <v/>
      </c>
    </row>
    <row r="1407">
      <c r="A1407">
        <f>IFERROR(INDEX('Email Cleaner'!$B$2:$B$10001,MATCH(1406,'Email Cleaner'!$K$2:$K$10001,0)),"")</f>
        <v/>
      </c>
    </row>
    <row r="1408">
      <c r="A1408">
        <f>IFERROR(INDEX('Email Cleaner'!$B$2:$B$10001,MATCH(1407,'Email Cleaner'!$K$2:$K$10001,0)),"")</f>
        <v/>
      </c>
    </row>
    <row r="1409">
      <c r="A1409">
        <f>IFERROR(INDEX('Email Cleaner'!$B$2:$B$10001,MATCH(1408,'Email Cleaner'!$K$2:$K$10001,0)),"")</f>
        <v/>
      </c>
    </row>
    <row r="1410">
      <c r="A1410">
        <f>IFERROR(INDEX('Email Cleaner'!$B$2:$B$10001,MATCH(1409,'Email Cleaner'!$K$2:$K$10001,0)),"")</f>
        <v/>
      </c>
    </row>
    <row r="1411">
      <c r="A1411">
        <f>IFERROR(INDEX('Email Cleaner'!$B$2:$B$10001,MATCH(1410,'Email Cleaner'!$K$2:$K$10001,0)),"")</f>
        <v/>
      </c>
    </row>
    <row r="1412">
      <c r="A1412">
        <f>IFERROR(INDEX('Email Cleaner'!$B$2:$B$10001,MATCH(1411,'Email Cleaner'!$K$2:$K$10001,0)),"")</f>
        <v/>
      </c>
    </row>
    <row r="1413">
      <c r="A1413">
        <f>IFERROR(INDEX('Email Cleaner'!$B$2:$B$10001,MATCH(1412,'Email Cleaner'!$K$2:$K$10001,0)),"")</f>
        <v/>
      </c>
    </row>
    <row r="1414">
      <c r="A1414">
        <f>IFERROR(INDEX('Email Cleaner'!$B$2:$B$10001,MATCH(1413,'Email Cleaner'!$K$2:$K$10001,0)),"")</f>
        <v/>
      </c>
    </row>
    <row r="1415">
      <c r="A1415">
        <f>IFERROR(INDEX('Email Cleaner'!$B$2:$B$10001,MATCH(1414,'Email Cleaner'!$K$2:$K$10001,0)),"")</f>
        <v/>
      </c>
    </row>
    <row r="1416">
      <c r="A1416">
        <f>IFERROR(INDEX('Email Cleaner'!$B$2:$B$10001,MATCH(1415,'Email Cleaner'!$K$2:$K$10001,0)),"")</f>
        <v/>
      </c>
    </row>
    <row r="1417">
      <c r="A1417">
        <f>IFERROR(INDEX('Email Cleaner'!$B$2:$B$10001,MATCH(1416,'Email Cleaner'!$K$2:$K$10001,0)),"")</f>
        <v/>
      </c>
    </row>
    <row r="1418">
      <c r="A1418">
        <f>IFERROR(INDEX('Email Cleaner'!$B$2:$B$10001,MATCH(1417,'Email Cleaner'!$K$2:$K$10001,0)),"")</f>
        <v/>
      </c>
    </row>
    <row r="1419">
      <c r="A1419">
        <f>IFERROR(INDEX('Email Cleaner'!$B$2:$B$10001,MATCH(1418,'Email Cleaner'!$K$2:$K$10001,0)),"")</f>
        <v/>
      </c>
    </row>
    <row r="1420">
      <c r="A1420">
        <f>IFERROR(INDEX('Email Cleaner'!$B$2:$B$10001,MATCH(1419,'Email Cleaner'!$K$2:$K$10001,0)),"")</f>
        <v/>
      </c>
    </row>
    <row r="1421">
      <c r="A1421">
        <f>IFERROR(INDEX('Email Cleaner'!$B$2:$B$10001,MATCH(1420,'Email Cleaner'!$K$2:$K$10001,0)),"")</f>
        <v/>
      </c>
    </row>
    <row r="1422">
      <c r="A1422">
        <f>IFERROR(INDEX('Email Cleaner'!$B$2:$B$10001,MATCH(1421,'Email Cleaner'!$K$2:$K$10001,0)),"")</f>
        <v/>
      </c>
    </row>
    <row r="1423">
      <c r="A1423">
        <f>IFERROR(INDEX('Email Cleaner'!$B$2:$B$10001,MATCH(1422,'Email Cleaner'!$K$2:$K$10001,0)),"")</f>
        <v/>
      </c>
    </row>
    <row r="1424">
      <c r="A1424">
        <f>IFERROR(INDEX('Email Cleaner'!$B$2:$B$10001,MATCH(1423,'Email Cleaner'!$K$2:$K$10001,0)),"")</f>
        <v/>
      </c>
    </row>
    <row r="1425">
      <c r="A1425">
        <f>IFERROR(INDEX('Email Cleaner'!$B$2:$B$10001,MATCH(1424,'Email Cleaner'!$K$2:$K$10001,0)),"")</f>
        <v/>
      </c>
    </row>
    <row r="1426">
      <c r="A1426">
        <f>IFERROR(INDEX('Email Cleaner'!$B$2:$B$10001,MATCH(1425,'Email Cleaner'!$K$2:$K$10001,0)),"")</f>
        <v/>
      </c>
    </row>
    <row r="1427">
      <c r="A1427">
        <f>IFERROR(INDEX('Email Cleaner'!$B$2:$B$10001,MATCH(1426,'Email Cleaner'!$K$2:$K$10001,0)),"")</f>
        <v/>
      </c>
    </row>
    <row r="1428">
      <c r="A1428">
        <f>IFERROR(INDEX('Email Cleaner'!$B$2:$B$10001,MATCH(1427,'Email Cleaner'!$K$2:$K$10001,0)),"")</f>
        <v/>
      </c>
    </row>
    <row r="1429">
      <c r="A1429">
        <f>IFERROR(INDEX('Email Cleaner'!$B$2:$B$10001,MATCH(1428,'Email Cleaner'!$K$2:$K$10001,0)),"")</f>
        <v/>
      </c>
    </row>
    <row r="1430">
      <c r="A1430">
        <f>IFERROR(INDEX('Email Cleaner'!$B$2:$B$10001,MATCH(1429,'Email Cleaner'!$K$2:$K$10001,0)),"")</f>
        <v/>
      </c>
    </row>
    <row r="1431">
      <c r="A1431">
        <f>IFERROR(INDEX('Email Cleaner'!$B$2:$B$10001,MATCH(1430,'Email Cleaner'!$K$2:$K$10001,0)),"")</f>
        <v/>
      </c>
    </row>
    <row r="1432">
      <c r="A1432">
        <f>IFERROR(INDEX('Email Cleaner'!$B$2:$B$10001,MATCH(1431,'Email Cleaner'!$K$2:$K$10001,0)),"")</f>
        <v/>
      </c>
    </row>
    <row r="1433">
      <c r="A1433">
        <f>IFERROR(INDEX('Email Cleaner'!$B$2:$B$10001,MATCH(1432,'Email Cleaner'!$K$2:$K$10001,0)),"")</f>
        <v/>
      </c>
    </row>
    <row r="1434">
      <c r="A1434">
        <f>IFERROR(INDEX('Email Cleaner'!$B$2:$B$10001,MATCH(1433,'Email Cleaner'!$K$2:$K$10001,0)),"")</f>
        <v/>
      </c>
    </row>
    <row r="1435">
      <c r="A1435">
        <f>IFERROR(INDEX('Email Cleaner'!$B$2:$B$10001,MATCH(1434,'Email Cleaner'!$K$2:$K$10001,0)),"")</f>
        <v/>
      </c>
    </row>
    <row r="1436">
      <c r="A1436">
        <f>IFERROR(INDEX('Email Cleaner'!$B$2:$B$10001,MATCH(1435,'Email Cleaner'!$K$2:$K$10001,0)),"")</f>
        <v/>
      </c>
    </row>
    <row r="1437">
      <c r="A1437">
        <f>IFERROR(INDEX('Email Cleaner'!$B$2:$B$10001,MATCH(1436,'Email Cleaner'!$K$2:$K$10001,0)),"")</f>
        <v/>
      </c>
    </row>
    <row r="1438">
      <c r="A1438">
        <f>IFERROR(INDEX('Email Cleaner'!$B$2:$B$10001,MATCH(1437,'Email Cleaner'!$K$2:$K$10001,0)),"")</f>
        <v/>
      </c>
    </row>
    <row r="1439">
      <c r="A1439">
        <f>IFERROR(INDEX('Email Cleaner'!$B$2:$B$10001,MATCH(1438,'Email Cleaner'!$K$2:$K$10001,0)),"")</f>
        <v/>
      </c>
    </row>
    <row r="1440">
      <c r="A1440">
        <f>IFERROR(INDEX('Email Cleaner'!$B$2:$B$10001,MATCH(1439,'Email Cleaner'!$K$2:$K$10001,0)),"")</f>
        <v/>
      </c>
    </row>
    <row r="1441">
      <c r="A1441">
        <f>IFERROR(INDEX('Email Cleaner'!$B$2:$B$10001,MATCH(1440,'Email Cleaner'!$K$2:$K$10001,0)),"")</f>
        <v/>
      </c>
    </row>
    <row r="1442">
      <c r="A1442">
        <f>IFERROR(INDEX('Email Cleaner'!$B$2:$B$10001,MATCH(1441,'Email Cleaner'!$K$2:$K$10001,0)),"")</f>
        <v/>
      </c>
    </row>
    <row r="1443">
      <c r="A1443">
        <f>IFERROR(INDEX('Email Cleaner'!$B$2:$B$10001,MATCH(1442,'Email Cleaner'!$K$2:$K$10001,0)),"")</f>
        <v/>
      </c>
    </row>
    <row r="1444">
      <c r="A1444">
        <f>IFERROR(INDEX('Email Cleaner'!$B$2:$B$10001,MATCH(1443,'Email Cleaner'!$K$2:$K$10001,0)),"")</f>
        <v/>
      </c>
    </row>
    <row r="1445">
      <c r="A1445">
        <f>IFERROR(INDEX('Email Cleaner'!$B$2:$B$10001,MATCH(1444,'Email Cleaner'!$K$2:$K$10001,0)),"")</f>
        <v/>
      </c>
    </row>
    <row r="1446">
      <c r="A1446">
        <f>IFERROR(INDEX('Email Cleaner'!$B$2:$B$10001,MATCH(1445,'Email Cleaner'!$K$2:$K$10001,0)),"")</f>
        <v/>
      </c>
    </row>
    <row r="1447">
      <c r="A1447">
        <f>IFERROR(INDEX('Email Cleaner'!$B$2:$B$10001,MATCH(1446,'Email Cleaner'!$K$2:$K$10001,0)),"")</f>
        <v/>
      </c>
    </row>
    <row r="1448">
      <c r="A1448">
        <f>IFERROR(INDEX('Email Cleaner'!$B$2:$B$10001,MATCH(1447,'Email Cleaner'!$K$2:$K$10001,0)),"")</f>
        <v/>
      </c>
    </row>
    <row r="1449">
      <c r="A1449">
        <f>IFERROR(INDEX('Email Cleaner'!$B$2:$B$10001,MATCH(1448,'Email Cleaner'!$K$2:$K$10001,0)),"")</f>
        <v/>
      </c>
    </row>
    <row r="1450">
      <c r="A1450">
        <f>IFERROR(INDEX('Email Cleaner'!$B$2:$B$10001,MATCH(1449,'Email Cleaner'!$K$2:$K$10001,0)),"")</f>
        <v/>
      </c>
    </row>
    <row r="1451">
      <c r="A1451">
        <f>IFERROR(INDEX('Email Cleaner'!$B$2:$B$10001,MATCH(1450,'Email Cleaner'!$K$2:$K$10001,0)),"")</f>
        <v/>
      </c>
    </row>
    <row r="1452">
      <c r="A1452">
        <f>IFERROR(INDEX('Email Cleaner'!$B$2:$B$10001,MATCH(1451,'Email Cleaner'!$K$2:$K$10001,0)),"")</f>
        <v/>
      </c>
    </row>
    <row r="1453">
      <c r="A1453">
        <f>IFERROR(INDEX('Email Cleaner'!$B$2:$B$10001,MATCH(1452,'Email Cleaner'!$K$2:$K$10001,0)),"")</f>
        <v/>
      </c>
    </row>
    <row r="1454">
      <c r="A1454">
        <f>IFERROR(INDEX('Email Cleaner'!$B$2:$B$10001,MATCH(1453,'Email Cleaner'!$K$2:$K$10001,0)),"")</f>
        <v/>
      </c>
    </row>
    <row r="1455">
      <c r="A1455">
        <f>IFERROR(INDEX('Email Cleaner'!$B$2:$B$10001,MATCH(1454,'Email Cleaner'!$K$2:$K$10001,0)),"")</f>
        <v/>
      </c>
    </row>
    <row r="1456">
      <c r="A1456">
        <f>IFERROR(INDEX('Email Cleaner'!$B$2:$B$10001,MATCH(1455,'Email Cleaner'!$K$2:$K$10001,0)),"")</f>
        <v/>
      </c>
    </row>
    <row r="1457">
      <c r="A1457">
        <f>IFERROR(INDEX('Email Cleaner'!$B$2:$B$10001,MATCH(1456,'Email Cleaner'!$K$2:$K$10001,0)),"")</f>
        <v/>
      </c>
    </row>
    <row r="1458">
      <c r="A1458">
        <f>IFERROR(INDEX('Email Cleaner'!$B$2:$B$10001,MATCH(1457,'Email Cleaner'!$K$2:$K$10001,0)),"")</f>
        <v/>
      </c>
    </row>
    <row r="1459">
      <c r="A1459">
        <f>IFERROR(INDEX('Email Cleaner'!$B$2:$B$10001,MATCH(1458,'Email Cleaner'!$K$2:$K$10001,0)),"")</f>
        <v/>
      </c>
    </row>
    <row r="1460">
      <c r="A1460">
        <f>IFERROR(INDEX('Email Cleaner'!$B$2:$B$10001,MATCH(1459,'Email Cleaner'!$K$2:$K$10001,0)),"")</f>
        <v/>
      </c>
    </row>
    <row r="1461">
      <c r="A1461">
        <f>IFERROR(INDEX('Email Cleaner'!$B$2:$B$10001,MATCH(1460,'Email Cleaner'!$K$2:$K$10001,0)),"")</f>
        <v/>
      </c>
    </row>
    <row r="1462">
      <c r="A1462">
        <f>IFERROR(INDEX('Email Cleaner'!$B$2:$B$10001,MATCH(1461,'Email Cleaner'!$K$2:$K$10001,0)),"")</f>
        <v/>
      </c>
    </row>
    <row r="1463">
      <c r="A1463">
        <f>IFERROR(INDEX('Email Cleaner'!$B$2:$B$10001,MATCH(1462,'Email Cleaner'!$K$2:$K$10001,0)),"")</f>
        <v/>
      </c>
    </row>
    <row r="1464">
      <c r="A1464">
        <f>IFERROR(INDEX('Email Cleaner'!$B$2:$B$10001,MATCH(1463,'Email Cleaner'!$K$2:$K$10001,0)),"")</f>
        <v/>
      </c>
    </row>
    <row r="1465">
      <c r="A1465">
        <f>IFERROR(INDEX('Email Cleaner'!$B$2:$B$10001,MATCH(1464,'Email Cleaner'!$K$2:$K$10001,0)),"")</f>
        <v/>
      </c>
    </row>
    <row r="1466">
      <c r="A1466">
        <f>IFERROR(INDEX('Email Cleaner'!$B$2:$B$10001,MATCH(1465,'Email Cleaner'!$K$2:$K$10001,0)),"")</f>
        <v/>
      </c>
    </row>
    <row r="1467">
      <c r="A1467">
        <f>IFERROR(INDEX('Email Cleaner'!$B$2:$B$10001,MATCH(1466,'Email Cleaner'!$K$2:$K$10001,0)),"")</f>
        <v/>
      </c>
    </row>
    <row r="1468">
      <c r="A1468">
        <f>IFERROR(INDEX('Email Cleaner'!$B$2:$B$10001,MATCH(1467,'Email Cleaner'!$K$2:$K$10001,0)),"")</f>
        <v/>
      </c>
    </row>
    <row r="1469">
      <c r="A1469">
        <f>IFERROR(INDEX('Email Cleaner'!$B$2:$B$10001,MATCH(1468,'Email Cleaner'!$K$2:$K$10001,0)),"")</f>
        <v/>
      </c>
    </row>
    <row r="1470">
      <c r="A1470">
        <f>IFERROR(INDEX('Email Cleaner'!$B$2:$B$10001,MATCH(1469,'Email Cleaner'!$K$2:$K$10001,0)),"")</f>
        <v/>
      </c>
    </row>
    <row r="1471">
      <c r="A1471">
        <f>IFERROR(INDEX('Email Cleaner'!$B$2:$B$10001,MATCH(1470,'Email Cleaner'!$K$2:$K$10001,0)),"")</f>
        <v/>
      </c>
    </row>
    <row r="1472">
      <c r="A1472">
        <f>IFERROR(INDEX('Email Cleaner'!$B$2:$B$10001,MATCH(1471,'Email Cleaner'!$K$2:$K$10001,0)),"")</f>
        <v/>
      </c>
    </row>
    <row r="1473">
      <c r="A1473">
        <f>IFERROR(INDEX('Email Cleaner'!$B$2:$B$10001,MATCH(1472,'Email Cleaner'!$K$2:$K$10001,0)),"")</f>
        <v/>
      </c>
    </row>
    <row r="1474">
      <c r="A1474">
        <f>IFERROR(INDEX('Email Cleaner'!$B$2:$B$10001,MATCH(1473,'Email Cleaner'!$K$2:$K$10001,0)),"")</f>
        <v/>
      </c>
    </row>
    <row r="1475">
      <c r="A1475">
        <f>IFERROR(INDEX('Email Cleaner'!$B$2:$B$10001,MATCH(1474,'Email Cleaner'!$K$2:$K$10001,0)),"")</f>
        <v/>
      </c>
    </row>
    <row r="1476">
      <c r="A1476">
        <f>IFERROR(INDEX('Email Cleaner'!$B$2:$B$10001,MATCH(1475,'Email Cleaner'!$K$2:$K$10001,0)),"")</f>
        <v/>
      </c>
    </row>
    <row r="1477">
      <c r="A1477">
        <f>IFERROR(INDEX('Email Cleaner'!$B$2:$B$10001,MATCH(1476,'Email Cleaner'!$K$2:$K$10001,0)),"")</f>
        <v/>
      </c>
    </row>
    <row r="1478">
      <c r="A1478">
        <f>IFERROR(INDEX('Email Cleaner'!$B$2:$B$10001,MATCH(1477,'Email Cleaner'!$K$2:$K$10001,0)),"")</f>
        <v/>
      </c>
    </row>
    <row r="1479">
      <c r="A1479">
        <f>IFERROR(INDEX('Email Cleaner'!$B$2:$B$10001,MATCH(1478,'Email Cleaner'!$K$2:$K$10001,0)),"")</f>
        <v/>
      </c>
    </row>
    <row r="1480">
      <c r="A1480">
        <f>IFERROR(INDEX('Email Cleaner'!$B$2:$B$10001,MATCH(1479,'Email Cleaner'!$K$2:$K$10001,0)),"")</f>
        <v/>
      </c>
    </row>
    <row r="1481">
      <c r="A1481">
        <f>IFERROR(INDEX('Email Cleaner'!$B$2:$B$10001,MATCH(1480,'Email Cleaner'!$K$2:$K$10001,0)),"")</f>
        <v/>
      </c>
    </row>
    <row r="1482">
      <c r="A1482">
        <f>IFERROR(INDEX('Email Cleaner'!$B$2:$B$10001,MATCH(1481,'Email Cleaner'!$K$2:$K$10001,0)),"")</f>
        <v/>
      </c>
    </row>
    <row r="1483">
      <c r="A1483">
        <f>IFERROR(INDEX('Email Cleaner'!$B$2:$B$10001,MATCH(1482,'Email Cleaner'!$K$2:$K$10001,0)),"")</f>
        <v/>
      </c>
    </row>
    <row r="1484">
      <c r="A1484">
        <f>IFERROR(INDEX('Email Cleaner'!$B$2:$B$10001,MATCH(1483,'Email Cleaner'!$K$2:$K$10001,0)),"")</f>
        <v/>
      </c>
    </row>
    <row r="1485">
      <c r="A1485">
        <f>IFERROR(INDEX('Email Cleaner'!$B$2:$B$10001,MATCH(1484,'Email Cleaner'!$K$2:$K$10001,0)),"")</f>
        <v/>
      </c>
    </row>
    <row r="1486">
      <c r="A1486">
        <f>IFERROR(INDEX('Email Cleaner'!$B$2:$B$10001,MATCH(1485,'Email Cleaner'!$K$2:$K$10001,0)),"")</f>
        <v/>
      </c>
    </row>
    <row r="1487">
      <c r="A1487">
        <f>IFERROR(INDEX('Email Cleaner'!$B$2:$B$10001,MATCH(1486,'Email Cleaner'!$K$2:$K$10001,0)),"")</f>
        <v/>
      </c>
    </row>
    <row r="1488">
      <c r="A1488">
        <f>IFERROR(INDEX('Email Cleaner'!$B$2:$B$10001,MATCH(1487,'Email Cleaner'!$K$2:$K$10001,0)),"")</f>
        <v/>
      </c>
    </row>
    <row r="1489">
      <c r="A1489">
        <f>IFERROR(INDEX('Email Cleaner'!$B$2:$B$10001,MATCH(1488,'Email Cleaner'!$K$2:$K$10001,0)),"")</f>
        <v/>
      </c>
    </row>
    <row r="1490">
      <c r="A1490">
        <f>IFERROR(INDEX('Email Cleaner'!$B$2:$B$10001,MATCH(1489,'Email Cleaner'!$K$2:$K$10001,0)),"")</f>
        <v/>
      </c>
    </row>
    <row r="1491">
      <c r="A1491">
        <f>IFERROR(INDEX('Email Cleaner'!$B$2:$B$10001,MATCH(1490,'Email Cleaner'!$K$2:$K$10001,0)),"")</f>
        <v/>
      </c>
    </row>
    <row r="1492">
      <c r="A1492">
        <f>IFERROR(INDEX('Email Cleaner'!$B$2:$B$10001,MATCH(1491,'Email Cleaner'!$K$2:$K$10001,0)),"")</f>
        <v/>
      </c>
    </row>
    <row r="1493">
      <c r="A1493">
        <f>IFERROR(INDEX('Email Cleaner'!$B$2:$B$10001,MATCH(1492,'Email Cleaner'!$K$2:$K$10001,0)),"")</f>
        <v/>
      </c>
    </row>
    <row r="1494">
      <c r="A1494">
        <f>IFERROR(INDEX('Email Cleaner'!$B$2:$B$10001,MATCH(1493,'Email Cleaner'!$K$2:$K$10001,0)),"")</f>
        <v/>
      </c>
    </row>
    <row r="1495">
      <c r="A1495">
        <f>IFERROR(INDEX('Email Cleaner'!$B$2:$B$10001,MATCH(1494,'Email Cleaner'!$K$2:$K$10001,0)),"")</f>
        <v/>
      </c>
    </row>
    <row r="1496">
      <c r="A1496">
        <f>IFERROR(INDEX('Email Cleaner'!$B$2:$B$10001,MATCH(1495,'Email Cleaner'!$K$2:$K$10001,0)),"")</f>
        <v/>
      </c>
    </row>
    <row r="1497">
      <c r="A1497">
        <f>IFERROR(INDEX('Email Cleaner'!$B$2:$B$10001,MATCH(1496,'Email Cleaner'!$K$2:$K$10001,0)),"")</f>
        <v/>
      </c>
    </row>
    <row r="1498">
      <c r="A1498">
        <f>IFERROR(INDEX('Email Cleaner'!$B$2:$B$10001,MATCH(1497,'Email Cleaner'!$K$2:$K$10001,0)),"")</f>
        <v/>
      </c>
    </row>
    <row r="1499">
      <c r="A1499">
        <f>IFERROR(INDEX('Email Cleaner'!$B$2:$B$10001,MATCH(1498,'Email Cleaner'!$K$2:$K$10001,0)),"")</f>
        <v/>
      </c>
    </row>
    <row r="1500">
      <c r="A1500">
        <f>IFERROR(INDEX('Email Cleaner'!$B$2:$B$10001,MATCH(1499,'Email Cleaner'!$K$2:$K$10001,0)),"")</f>
        <v/>
      </c>
    </row>
    <row r="1501">
      <c r="A1501">
        <f>IFERROR(INDEX('Email Cleaner'!$B$2:$B$10001,MATCH(1500,'Email Cleaner'!$K$2:$K$10001,0)),"")</f>
        <v/>
      </c>
    </row>
    <row r="1502">
      <c r="A1502">
        <f>IFERROR(INDEX('Email Cleaner'!$B$2:$B$10001,MATCH(1501,'Email Cleaner'!$K$2:$K$10001,0)),"")</f>
        <v/>
      </c>
    </row>
    <row r="1503">
      <c r="A1503">
        <f>IFERROR(INDEX('Email Cleaner'!$B$2:$B$10001,MATCH(1502,'Email Cleaner'!$K$2:$K$10001,0)),"")</f>
        <v/>
      </c>
    </row>
    <row r="1504">
      <c r="A1504">
        <f>IFERROR(INDEX('Email Cleaner'!$B$2:$B$10001,MATCH(1503,'Email Cleaner'!$K$2:$K$10001,0)),"")</f>
        <v/>
      </c>
    </row>
    <row r="1505">
      <c r="A1505">
        <f>IFERROR(INDEX('Email Cleaner'!$B$2:$B$10001,MATCH(1504,'Email Cleaner'!$K$2:$K$10001,0)),"")</f>
        <v/>
      </c>
    </row>
    <row r="1506">
      <c r="A1506">
        <f>IFERROR(INDEX('Email Cleaner'!$B$2:$B$10001,MATCH(1505,'Email Cleaner'!$K$2:$K$10001,0)),"")</f>
        <v/>
      </c>
    </row>
    <row r="1507">
      <c r="A1507">
        <f>IFERROR(INDEX('Email Cleaner'!$B$2:$B$10001,MATCH(1506,'Email Cleaner'!$K$2:$K$10001,0)),"")</f>
        <v/>
      </c>
    </row>
    <row r="1508">
      <c r="A1508">
        <f>IFERROR(INDEX('Email Cleaner'!$B$2:$B$10001,MATCH(1507,'Email Cleaner'!$K$2:$K$10001,0)),"")</f>
        <v/>
      </c>
    </row>
    <row r="1509">
      <c r="A1509">
        <f>IFERROR(INDEX('Email Cleaner'!$B$2:$B$10001,MATCH(1508,'Email Cleaner'!$K$2:$K$10001,0)),"")</f>
        <v/>
      </c>
    </row>
    <row r="1510">
      <c r="A1510">
        <f>IFERROR(INDEX('Email Cleaner'!$B$2:$B$10001,MATCH(1509,'Email Cleaner'!$K$2:$K$10001,0)),"")</f>
        <v/>
      </c>
    </row>
    <row r="1511">
      <c r="A1511">
        <f>IFERROR(INDEX('Email Cleaner'!$B$2:$B$10001,MATCH(1510,'Email Cleaner'!$K$2:$K$10001,0)),"")</f>
        <v/>
      </c>
    </row>
    <row r="1512">
      <c r="A1512">
        <f>IFERROR(INDEX('Email Cleaner'!$B$2:$B$10001,MATCH(1511,'Email Cleaner'!$K$2:$K$10001,0)),"")</f>
        <v/>
      </c>
    </row>
    <row r="1513">
      <c r="A1513">
        <f>IFERROR(INDEX('Email Cleaner'!$B$2:$B$10001,MATCH(1512,'Email Cleaner'!$K$2:$K$10001,0)),"")</f>
        <v/>
      </c>
    </row>
    <row r="1514">
      <c r="A1514">
        <f>IFERROR(INDEX('Email Cleaner'!$B$2:$B$10001,MATCH(1513,'Email Cleaner'!$K$2:$K$10001,0)),"")</f>
        <v/>
      </c>
    </row>
    <row r="1515">
      <c r="A1515">
        <f>IFERROR(INDEX('Email Cleaner'!$B$2:$B$10001,MATCH(1514,'Email Cleaner'!$K$2:$K$10001,0)),"")</f>
        <v/>
      </c>
    </row>
    <row r="1516">
      <c r="A1516">
        <f>IFERROR(INDEX('Email Cleaner'!$B$2:$B$10001,MATCH(1515,'Email Cleaner'!$K$2:$K$10001,0)),"")</f>
        <v/>
      </c>
    </row>
    <row r="1517">
      <c r="A1517">
        <f>IFERROR(INDEX('Email Cleaner'!$B$2:$B$10001,MATCH(1516,'Email Cleaner'!$K$2:$K$10001,0)),"")</f>
        <v/>
      </c>
    </row>
    <row r="1518">
      <c r="A1518">
        <f>IFERROR(INDEX('Email Cleaner'!$B$2:$B$10001,MATCH(1517,'Email Cleaner'!$K$2:$K$10001,0)),"")</f>
        <v/>
      </c>
    </row>
    <row r="1519">
      <c r="A1519">
        <f>IFERROR(INDEX('Email Cleaner'!$B$2:$B$10001,MATCH(1518,'Email Cleaner'!$K$2:$K$10001,0)),"")</f>
        <v/>
      </c>
    </row>
    <row r="1520">
      <c r="A1520">
        <f>IFERROR(INDEX('Email Cleaner'!$B$2:$B$10001,MATCH(1519,'Email Cleaner'!$K$2:$K$10001,0)),"")</f>
        <v/>
      </c>
    </row>
    <row r="1521">
      <c r="A1521">
        <f>IFERROR(INDEX('Email Cleaner'!$B$2:$B$10001,MATCH(1520,'Email Cleaner'!$K$2:$K$10001,0)),"")</f>
        <v/>
      </c>
    </row>
    <row r="1522">
      <c r="A1522">
        <f>IFERROR(INDEX('Email Cleaner'!$B$2:$B$10001,MATCH(1521,'Email Cleaner'!$K$2:$K$10001,0)),"")</f>
        <v/>
      </c>
    </row>
    <row r="1523">
      <c r="A1523">
        <f>IFERROR(INDEX('Email Cleaner'!$B$2:$B$10001,MATCH(1522,'Email Cleaner'!$K$2:$K$10001,0)),"")</f>
        <v/>
      </c>
    </row>
    <row r="1524">
      <c r="A1524">
        <f>IFERROR(INDEX('Email Cleaner'!$B$2:$B$10001,MATCH(1523,'Email Cleaner'!$K$2:$K$10001,0)),"")</f>
        <v/>
      </c>
    </row>
    <row r="1525">
      <c r="A1525">
        <f>IFERROR(INDEX('Email Cleaner'!$B$2:$B$10001,MATCH(1524,'Email Cleaner'!$K$2:$K$10001,0)),"")</f>
        <v/>
      </c>
    </row>
    <row r="1526">
      <c r="A1526">
        <f>IFERROR(INDEX('Email Cleaner'!$B$2:$B$10001,MATCH(1525,'Email Cleaner'!$K$2:$K$10001,0)),"")</f>
        <v/>
      </c>
    </row>
    <row r="1527">
      <c r="A1527">
        <f>IFERROR(INDEX('Email Cleaner'!$B$2:$B$10001,MATCH(1526,'Email Cleaner'!$K$2:$K$10001,0)),"")</f>
        <v/>
      </c>
    </row>
    <row r="1528">
      <c r="A1528">
        <f>IFERROR(INDEX('Email Cleaner'!$B$2:$B$10001,MATCH(1527,'Email Cleaner'!$K$2:$K$10001,0)),"")</f>
        <v/>
      </c>
    </row>
    <row r="1529">
      <c r="A1529">
        <f>IFERROR(INDEX('Email Cleaner'!$B$2:$B$10001,MATCH(1528,'Email Cleaner'!$K$2:$K$10001,0)),"")</f>
        <v/>
      </c>
    </row>
    <row r="1530">
      <c r="A1530">
        <f>IFERROR(INDEX('Email Cleaner'!$B$2:$B$10001,MATCH(1529,'Email Cleaner'!$K$2:$K$10001,0)),"")</f>
        <v/>
      </c>
    </row>
    <row r="1531">
      <c r="A1531">
        <f>IFERROR(INDEX('Email Cleaner'!$B$2:$B$10001,MATCH(1530,'Email Cleaner'!$K$2:$K$10001,0)),"")</f>
        <v/>
      </c>
    </row>
    <row r="1532">
      <c r="A1532">
        <f>IFERROR(INDEX('Email Cleaner'!$B$2:$B$10001,MATCH(1531,'Email Cleaner'!$K$2:$K$10001,0)),"")</f>
        <v/>
      </c>
    </row>
    <row r="1533">
      <c r="A1533">
        <f>IFERROR(INDEX('Email Cleaner'!$B$2:$B$10001,MATCH(1532,'Email Cleaner'!$K$2:$K$10001,0)),"")</f>
        <v/>
      </c>
    </row>
    <row r="1534">
      <c r="A1534">
        <f>IFERROR(INDEX('Email Cleaner'!$B$2:$B$10001,MATCH(1533,'Email Cleaner'!$K$2:$K$10001,0)),"")</f>
        <v/>
      </c>
    </row>
    <row r="1535">
      <c r="A1535">
        <f>IFERROR(INDEX('Email Cleaner'!$B$2:$B$10001,MATCH(1534,'Email Cleaner'!$K$2:$K$10001,0)),"")</f>
        <v/>
      </c>
    </row>
    <row r="1536">
      <c r="A1536">
        <f>IFERROR(INDEX('Email Cleaner'!$B$2:$B$10001,MATCH(1535,'Email Cleaner'!$K$2:$K$10001,0)),"")</f>
        <v/>
      </c>
    </row>
    <row r="1537">
      <c r="A1537">
        <f>IFERROR(INDEX('Email Cleaner'!$B$2:$B$10001,MATCH(1536,'Email Cleaner'!$K$2:$K$10001,0)),"")</f>
        <v/>
      </c>
    </row>
    <row r="1538">
      <c r="A1538">
        <f>IFERROR(INDEX('Email Cleaner'!$B$2:$B$10001,MATCH(1537,'Email Cleaner'!$K$2:$K$10001,0)),"")</f>
        <v/>
      </c>
    </row>
    <row r="1539">
      <c r="A1539">
        <f>IFERROR(INDEX('Email Cleaner'!$B$2:$B$10001,MATCH(1538,'Email Cleaner'!$K$2:$K$10001,0)),"")</f>
        <v/>
      </c>
    </row>
    <row r="1540">
      <c r="A1540">
        <f>IFERROR(INDEX('Email Cleaner'!$B$2:$B$10001,MATCH(1539,'Email Cleaner'!$K$2:$K$10001,0)),"")</f>
        <v/>
      </c>
    </row>
    <row r="1541">
      <c r="A1541">
        <f>IFERROR(INDEX('Email Cleaner'!$B$2:$B$10001,MATCH(1540,'Email Cleaner'!$K$2:$K$10001,0)),"")</f>
        <v/>
      </c>
    </row>
    <row r="1542">
      <c r="A1542">
        <f>IFERROR(INDEX('Email Cleaner'!$B$2:$B$10001,MATCH(1541,'Email Cleaner'!$K$2:$K$10001,0)),"")</f>
        <v/>
      </c>
    </row>
    <row r="1543">
      <c r="A1543">
        <f>IFERROR(INDEX('Email Cleaner'!$B$2:$B$10001,MATCH(1542,'Email Cleaner'!$K$2:$K$10001,0)),"")</f>
        <v/>
      </c>
    </row>
    <row r="1544">
      <c r="A1544">
        <f>IFERROR(INDEX('Email Cleaner'!$B$2:$B$10001,MATCH(1543,'Email Cleaner'!$K$2:$K$10001,0)),"")</f>
        <v/>
      </c>
    </row>
    <row r="1545">
      <c r="A1545">
        <f>IFERROR(INDEX('Email Cleaner'!$B$2:$B$10001,MATCH(1544,'Email Cleaner'!$K$2:$K$10001,0)),"")</f>
        <v/>
      </c>
    </row>
    <row r="1546">
      <c r="A1546">
        <f>IFERROR(INDEX('Email Cleaner'!$B$2:$B$10001,MATCH(1545,'Email Cleaner'!$K$2:$K$10001,0)),"")</f>
        <v/>
      </c>
    </row>
    <row r="1547">
      <c r="A1547">
        <f>IFERROR(INDEX('Email Cleaner'!$B$2:$B$10001,MATCH(1546,'Email Cleaner'!$K$2:$K$10001,0)),"")</f>
        <v/>
      </c>
    </row>
    <row r="1548">
      <c r="A1548">
        <f>IFERROR(INDEX('Email Cleaner'!$B$2:$B$10001,MATCH(1547,'Email Cleaner'!$K$2:$K$10001,0)),"")</f>
        <v/>
      </c>
    </row>
    <row r="1549">
      <c r="A1549">
        <f>IFERROR(INDEX('Email Cleaner'!$B$2:$B$10001,MATCH(1548,'Email Cleaner'!$K$2:$K$10001,0)),"")</f>
        <v/>
      </c>
    </row>
    <row r="1550">
      <c r="A1550">
        <f>IFERROR(INDEX('Email Cleaner'!$B$2:$B$10001,MATCH(1549,'Email Cleaner'!$K$2:$K$10001,0)),"")</f>
        <v/>
      </c>
    </row>
    <row r="1551">
      <c r="A1551">
        <f>IFERROR(INDEX('Email Cleaner'!$B$2:$B$10001,MATCH(1550,'Email Cleaner'!$K$2:$K$10001,0)),"")</f>
        <v/>
      </c>
    </row>
    <row r="1552">
      <c r="A1552">
        <f>IFERROR(INDEX('Email Cleaner'!$B$2:$B$10001,MATCH(1551,'Email Cleaner'!$K$2:$K$10001,0)),"")</f>
        <v/>
      </c>
    </row>
    <row r="1553">
      <c r="A1553">
        <f>IFERROR(INDEX('Email Cleaner'!$B$2:$B$10001,MATCH(1552,'Email Cleaner'!$K$2:$K$10001,0)),"")</f>
        <v/>
      </c>
    </row>
    <row r="1554">
      <c r="A1554">
        <f>IFERROR(INDEX('Email Cleaner'!$B$2:$B$10001,MATCH(1553,'Email Cleaner'!$K$2:$K$10001,0)),"")</f>
        <v/>
      </c>
    </row>
    <row r="1555">
      <c r="A1555">
        <f>IFERROR(INDEX('Email Cleaner'!$B$2:$B$10001,MATCH(1554,'Email Cleaner'!$K$2:$K$10001,0)),"")</f>
        <v/>
      </c>
    </row>
    <row r="1556">
      <c r="A1556">
        <f>IFERROR(INDEX('Email Cleaner'!$B$2:$B$10001,MATCH(1555,'Email Cleaner'!$K$2:$K$10001,0)),"")</f>
        <v/>
      </c>
    </row>
    <row r="1557">
      <c r="A1557">
        <f>IFERROR(INDEX('Email Cleaner'!$B$2:$B$10001,MATCH(1556,'Email Cleaner'!$K$2:$K$10001,0)),"")</f>
        <v/>
      </c>
    </row>
    <row r="1558">
      <c r="A1558">
        <f>IFERROR(INDEX('Email Cleaner'!$B$2:$B$10001,MATCH(1557,'Email Cleaner'!$K$2:$K$10001,0)),"")</f>
        <v/>
      </c>
    </row>
    <row r="1559">
      <c r="A1559">
        <f>IFERROR(INDEX('Email Cleaner'!$B$2:$B$10001,MATCH(1558,'Email Cleaner'!$K$2:$K$10001,0)),"")</f>
        <v/>
      </c>
    </row>
    <row r="1560">
      <c r="A1560">
        <f>IFERROR(INDEX('Email Cleaner'!$B$2:$B$10001,MATCH(1559,'Email Cleaner'!$K$2:$K$10001,0)),"")</f>
        <v/>
      </c>
    </row>
    <row r="1561">
      <c r="A1561">
        <f>IFERROR(INDEX('Email Cleaner'!$B$2:$B$10001,MATCH(1560,'Email Cleaner'!$K$2:$K$10001,0)),"")</f>
        <v/>
      </c>
    </row>
    <row r="1562">
      <c r="A1562">
        <f>IFERROR(INDEX('Email Cleaner'!$B$2:$B$10001,MATCH(1561,'Email Cleaner'!$K$2:$K$10001,0)),"")</f>
        <v/>
      </c>
    </row>
    <row r="1563">
      <c r="A1563">
        <f>IFERROR(INDEX('Email Cleaner'!$B$2:$B$10001,MATCH(1562,'Email Cleaner'!$K$2:$K$10001,0)),"")</f>
        <v/>
      </c>
    </row>
    <row r="1564">
      <c r="A1564">
        <f>IFERROR(INDEX('Email Cleaner'!$B$2:$B$10001,MATCH(1563,'Email Cleaner'!$K$2:$K$10001,0)),"")</f>
        <v/>
      </c>
    </row>
    <row r="1565">
      <c r="A1565">
        <f>IFERROR(INDEX('Email Cleaner'!$B$2:$B$10001,MATCH(1564,'Email Cleaner'!$K$2:$K$10001,0)),"")</f>
        <v/>
      </c>
    </row>
    <row r="1566">
      <c r="A1566">
        <f>IFERROR(INDEX('Email Cleaner'!$B$2:$B$10001,MATCH(1565,'Email Cleaner'!$K$2:$K$10001,0)),"")</f>
        <v/>
      </c>
    </row>
    <row r="1567">
      <c r="A1567">
        <f>IFERROR(INDEX('Email Cleaner'!$B$2:$B$10001,MATCH(1566,'Email Cleaner'!$K$2:$K$10001,0)),"")</f>
        <v/>
      </c>
    </row>
    <row r="1568">
      <c r="A1568">
        <f>IFERROR(INDEX('Email Cleaner'!$B$2:$B$10001,MATCH(1567,'Email Cleaner'!$K$2:$K$10001,0)),"")</f>
        <v/>
      </c>
    </row>
    <row r="1569">
      <c r="A1569">
        <f>IFERROR(INDEX('Email Cleaner'!$B$2:$B$10001,MATCH(1568,'Email Cleaner'!$K$2:$K$10001,0)),"")</f>
        <v/>
      </c>
    </row>
    <row r="1570">
      <c r="A1570">
        <f>IFERROR(INDEX('Email Cleaner'!$B$2:$B$10001,MATCH(1569,'Email Cleaner'!$K$2:$K$10001,0)),"")</f>
        <v/>
      </c>
    </row>
    <row r="1571">
      <c r="A1571">
        <f>IFERROR(INDEX('Email Cleaner'!$B$2:$B$10001,MATCH(1570,'Email Cleaner'!$K$2:$K$10001,0)),"")</f>
        <v/>
      </c>
    </row>
    <row r="1572">
      <c r="A1572">
        <f>IFERROR(INDEX('Email Cleaner'!$B$2:$B$10001,MATCH(1571,'Email Cleaner'!$K$2:$K$10001,0)),"")</f>
        <v/>
      </c>
    </row>
    <row r="1573">
      <c r="A1573">
        <f>IFERROR(INDEX('Email Cleaner'!$B$2:$B$10001,MATCH(1572,'Email Cleaner'!$K$2:$K$10001,0)),"")</f>
        <v/>
      </c>
    </row>
    <row r="1574">
      <c r="A1574">
        <f>IFERROR(INDEX('Email Cleaner'!$B$2:$B$10001,MATCH(1573,'Email Cleaner'!$K$2:$K$10001,0)),"")</f>
        <v/>
      </c>
    </row>
    <row r="1575">
      <c r="A1575">
        <f>IFERROR(INDEX('Email Cleaner'!$B$2:$B$10001,MATCH(1574,'Email Cleaner'!$K$2:$K$10001,0)),"")</f>
        <v/>
      </c>
    </row>
    <row r="1576">
      <c r="A1576">
        <f>IFERROR(INDEX('Email Cleaner'!$B$2:$B$10001,MATCH(1575,'Email Cleaner'!$K$2:$K$10001,0)),"")</f>
        <v/>
      </c>
    </row>
    <row r="1577">
      <c r="A1577">
        <f>IFERROR(INDEX('Email Cleaner'!$B$2:$B$10001,MATCH(1576,'Email Cleaner'!$K$2:$K$10001,0)),"")</f>
        <v/>
      </c>
    </row>
    <row r="1578">
      <c r="A1578">
        <f>IFERROR(INDEX('Email Cleaner'!$B$2:$B$10001,MATCH(1577,'Email Cleaner'!$K$2:$K$10001,0)),"")</f>
        <v/>
      </c>
    </row>
    <row r="1579">
      <c r="A1579">
        <f>IFERROR(INDEX('Email Cleaner'!$B$2:$B$10001,MATCH(1578,'Email Cleaner'!$K$2:$K$10001,0)),"")</f>
        <v/>
      </c>
    </row>
    <row r="1580">
      <c r="A1580">
        <f>IFERROR(INDEX('Email Cleaner'!$B$2:$B$10001,MATCH(1579,'Email Cleaner'!$K$2:$K$10001,0)),"")</f>
        <v/>
      </c>
    </row>
    <row r="1581">
      <c r="A1581">
        <f>IFERROR(INDEX('Email Cleaner'!$B$2:$B$10001,MATCH(1580,'Email Cleaner'!$K$2:$K$10001,0)),"")</f>
        <v/>
      </c>
    </row>
    <row r="1582">
      <c r="A1582">
        <f>IFERROR(INDEX('Email Cleaner'!$B$2:$B$10001,MATCH(1581,'Email Cleaner'!$K$2:$K$10001,0)),"")</f>
        <v/>
      </c>
    </row>
    <row r="1583">
      <c r="A1583">
        <f>IFERROR(INDEX('Email Cleaner'!$B$2:$B$10001,MATCH(1582,'Email Cleaner'!$K$2:$K$10001,0)),"")</f>
        <v/>
      </c>
    </row>
    <row r="1584">
      <c r="A1584">
        <f>IFERROR(INDEX('Email Cleaner'!$B$2:$B$10001,MATCH(1583,'Email Cleaner'!$K$2:$K$10001,0)),"")</f>
        <v/>
      </c>
    </row>
    <row r="1585">
      <c r="A1585">
        <f>IFERROR(INDEX('Email Cleaner'!$B$2:$B$10001,MATCH(1584,'Email Cleaner'!$K$2:$K$10001,0)),"")</f>
        <v/>
      </c>
    </row>
    <row r="1586">
      <c r="A1586">
        <f>IFERROR(INDEX('Email Cleaner'!$B$2:$B$10001,MATCH(1585,'Email Cleaner'!$K$2:$K$10001,0)),"")</f>
        <v/>
      </c>
    </row>
    <row r="1587">
      <c r="A1587">
        <f>IFERROR(INDEX('Email Cleaner'!$B$2:$B$10001,MATCH(1586,'Email Cleaner'!$K$2:$K$10001,0)),"")</f>
        <v/>
      </c>
    </row>
    <row r="1588">
      <c r="A1588">
        <f>IFERROR(INDEX('Email Cleaner'!$B$2:$B$10001,MATCH(1587,'Email Cleaner'!$K$2:$K$10001,0)),"")</f>
        <v/>
      </c>
    </row>
    <row r="1589">
      <c r="A1589">
        <f>IFERROR(INDEX('Email Cleaner'!$B$2:$B$10001,MATCH(1588,'Email Cleaner'!$K$2:$K$10001,0)),"")</f>
        <v/>
      </c>
    </row>
    <row r="1590">
      <c r="A1590">
        <f>IFERROR(INDEX('Email Cleaner'!$B$2:$B$10001,MATCH(1589,'Email Cleaner'!$K$2:$K$10001,0)),"")</f>
        <v/>
      </c>
    </row>
    <row r="1591">
      <c r="A1591">
        <f>IFERROR(INDEX('Email Cleaner'!$B$2:$B$10001,MATCH(1590,'Email Cleaner'!$K$2:$K$10001,0)),"")</f>
        <v/>
      </c>
    </row>
    <row r="1592">
      <c r="A1592">
        <f>IFERROR(INDEX('Email Cleaner'!$B$2:$B$10001,MATCH(1591,'Email Cleaner'!$K$2:$K$10001,0)),"")</f>
        <v/>
      </c>
    </row>
    <row r="1593">
      <c r="A1593">
        <f>IFERROR(INDEX('Email Cleaner'!$B$2:$B$10001,MATCH(1592,'Email Cleaner'!$K$2:$K$10001,0)),"")</f>
        <v/>
      </c>
    </row>
    <row r="1594">
      <c r="A1594">
        <f>IFERROR(INDEX('Email Cleaner'!$B$2:$B$10001,MATCH(1593,'Email Cleaner'!$K$2:$K$10001,0)),"")</f>
        <v/>
      </c>
    </row>
    <row r="1595">
      <c r="A1595">
        <f>IFERROR(INDEX('Email Cleaner'!$B$2:$B$10001,MATCH(1594,'Email Cleaner'!$K$2:$K$10001,0)),"")</f>
        <v/>
      </c>
    </row>
    <row r="1596">
      <c r="A1596">
        <f>IFERROR(INDEX('Email Cleaner'!$B$2:$B$10001,MATCH(1595,'Email Cleaner'!$K$2:$K$10001,0)),"")</f>
        <v/>
      </c>
    </row>
    <row r="1597">
      <c r="A1597">
        <f>IFERROR(INDEX('Email Cleaner'!$B$2:$B$10001,MATCH(1596,'Email Cleaner'!$K$2:$K$10001,0)),"")</f>
        <v/>
      </c>
    </row>
    <row r="1598">
      <c r="A1598">
        <f>IFERROR(INDEX('Email Cleaner'!$B$2:$B$10001,MATCH(1597,'Email Cleaner'!$K$2:$K$10001,0)),"")</f>
        <v/>
      </c>
    </row>
    <row r="1599">
      <c r="A1599">
        <f>IFERROR(INDEX('Email Cleaner'!$B$2:$B$10001,MATCH(1598,'Email Cleaner'!$K$2:$K$10001,0)),"")</f>
        <v/>
      </c>
    </row>
    <row r="1600">
      <c r="A1600">
        <f>IFERROR(INDEX('Email Cleaner'!$B$2:$B$10001,MATCH(1599,'Email Cleaner'!$K$2:$K$10001,0)),"")</f>
        <v/>
      </c>
    </row>
    <row r="1601">
      <c r="A1601">
        <f>IFERROR(INDEX('Email Cleaner'!$B$2:$B$10001,MATCH(1600,'Email Cleaner'!$K$2:$K$10001,0)),"")</f>
        <v/>
      </c>
    </row>
    <row r="1602">
      <c r="A1602">
        <f>IFERROR(INDEX('Email Cleaner'!$B$2:$B$10001,MATCH(1601,'Email Cleaner'!$K$2:$K$10001,0)),"")</f>
        <v/>
      </c>
    </row>
    <row r="1603">
      <c r="A1603">
        <f>IFERROR(INDEX('Email Cleaner'!$B$2:$B$10001,MATCH(1602,'Email Cleaner'!$K$2:$K$10001,0)),"")</f>
        <v/>
      </c>
    </row>
    <row r="1604">
      <c r="A1604">
        <f>IFERROR(INDEX('Email Cleaner'!$B$2:$B$10001,MATCH(1603,'Email Cleaner'!$K$2:$K$10001,0)),"")</f>
        <v/>
      </c>
    </row>
    <row r="1605">
      <c r="A1605">
        <f>IFERROR(INDEX('Email Cleaner'!$B$2:$B$10001,MATCH(1604,'Email Cleaner'!$K$2:$K$10001,0)),"")</f>
        <v/>
      </c>
    </row>
    <row r="1606">
      <c r="A1606">
        <f>IFERROR(INDEX('Email Cleaner'!$B$2:$B$10001,MATCH(1605,'Email Cleaner'!$K$2:$K$10001,0)),"")</f>
        <v/>
      </c>
    </row>
    <row r="1607">
      <c r="A1607">
        <f>IFERROR(INDEX('Email Cleaner'!$B$2:$B$10001,MATCH(1606,'Email Cleaner'!$K$2:$K$10001,0)),"")</f>
        <v/>
      </c>
    </row>
    <row r="1608">
      <c r="A1608">
        <f>IFERROR(INDEX('Email Cleaner'!$B$2:$B$10001,MATCH(1607,'Email Cleaner'!$K$2:$K$10001,0)),"")</f>
        <v/>
      </c>
    </row>
    <row r="1609">
      <c r="A1609">
        <f>IFERROR(INDEX('Email Cleaner'!$B$2:$B$10001,MATCH(1608,'Email Cleaner'!$K$2:$K$10001,0)),"")</f>
        <v/>
      </c>
    </row>
    <row r="1610">
      <c r="A1610">
        <f>IFERROR(INDEX('Email Cleaner'!$B$2:$B$10001,MATCH(1609,'Email Cleaner'!$K$2:$K$10001,0)),"")</f>
        <v/>
      </c>
    </row>
    <row r="1611">
      <c r="A1611">
        <f>IFERROR(INDEX('Email Cleaner'!$B$2:$B$10001,MATCH(1610,'Email Cleaner'!$K$2:$K$10001,0)),"")</f>
        <v/>
      </c>
    </row>
    <row r="1612">
      <c r="A1612">
        <f>IFERROR(INDEX('Email Cleaner'!$B$2:$B$10001,MATCH(1611,'Email Cleaner'!$K$2:$K$10001,0)),"")</f>
        <v/>
      </c>
    </row>
    <row r="1613">
      <c r="A1613">
        <f>IFERROR(INDEX('Email Cleaner'!$B$2:$B$10001,MATCH(1612,'Email Cleaner'!$K$2:$K$10001,0)),"")</f>
        <v/>
      </c>
    </row>
    <row r="1614">
      <c r="A1614">
        <f>IFERROR(INDEX('Email Cleaner'!$B$2:$B$10001,MATCH(1613,'Email Cleaner'!$K$2:$K$10001,0)),"")</f>
        <v/>
      </c>
    </row>
    <row r="1615">
      <c r="A1615">
        <f>IFERROR(INDEX('Email Cleaner'!$B$2:$B$10001,MATCH(1614,'Email Cleaner'!$K$2:$K$10001,0)),"")</f>
        <v/>
      </c>
    </row>
    <row r="1616">
      <c r="A1616">
        <f>IFERROR(INDEX('Email Cleaner'!$B$2:$B$10001,MATCH(1615,'Email Cleaner'!$K$2:$K$10001,0)),"")</f>
        <v/>
      </c>
    </row>
    <row r="1617">
      <c r="A1617">
        <f>IFERROR(INDEX('Email Cleaner'!$B$2:$B$10001,MATCH(1616,'Email Cleaner'!$K$2:$K$10001,0)),"")</f>
        <v/>
      </c>
    </row>
    <row r="1618">
      <c r="A1618">
        <f>IFERROR(INDEX('Email Cleaner'!$B$2:$B$10001,MATCH(1617,'Email Cleaner'!$K$2:$K$10001,0)),"")</f>
        <v/>
      </c>
    </row>
    <row r="1619">
      <c r="A1619">
        <f>IFERROR(INDEX('Email Cleaner'!$B$2:$B$10001,MATCH(1618,'Email Cleaner'!$K$2:$K$10001,0)),"")</f>
        <v/>
      </c>
    </row>
    <row r="1620">
      <c r="A1620">
        <f>IFERROR(INDEX('Email Cleaner'!$B$2:$B$10001,MATCH(1619,'Email Cleaner'!$K$2:$K$10001,0)),"")</f>
        <v/>
      </c>
    </row>
    <row r="1621">
      <c r="A1621">
        <f>IFERROR(INDEX('Email Cleaner'!$B$2:$B$10001,MATCH(1620,'Email Cleaner'!$K$2:$K$10001,0)),"")</f>
        <v/>
      </c>
    </row>
    <row r="1622">
      <c r="A1622">
        <f>IFERROR(INDEX('Email Cleaner'!$B$2:$B$10001,MATCH(1621,'Email Cleaner'!$K$2:$K$10001,0)),"")</f>
        <v/>
      </c>
    </row>
    <row r="1623">
      <c r="A1623">
        <f>IFERROR(INDEX('Email Cleaner'!$B$2:$B$10001,MATCH(1622,'Email Cleaner'!$K$2:$K$10001,0)),"")</f>
        <v/>
      </c>
    </row>
    <row r="1624">
      <c r="A1624">
        <f>IFERROR(INDEX('Email Cleaner'!$B$2:$B$10001,MATCH(1623,'Email Cleaner'!$K$2:$K$10001,0)),"")</f>
        <v/>
      </c>
    </row>
    <row r="1625">
      <c r="A1625">
        <f>IFERROR(INDEX('Email Cleaner'!$B$2:$B$10001,MATCH(1624,'Email Cleaner'!$K$2:$K$10001,0)),"")</f>
        <v/>
      </c>
    </row>
    <row r="1626">
      <c r="A1626">
        <f>IFERROR(INDEX('Email Cleaner'!$B$2:$B$10001,MATCH(1625,'Email Cleaner'!$K$2:$K$10001,0)),"")</f>
        <v/>
      </c>
    </row>
    <row r="1627">
      <c r="A1627">
        <f>IFERROR(INDEX('Email Cleaner'!$B$2:$B$10001,MATCH(1626,'Email Cleaner'!$K$2:$K$10001,0)),"")</f>
        <v/>
      </c>
    </row>
    <row r="1628">
      <c r="A1628">
        <f>IFERROR(INDEX('Email Cleaner'!$B$2:$B$10001,MATCH(1627,'Email Cleaner'!$K$2:$K$10001,0)),"")</f>
        <v/>
      </c>
    </row>
    <row r="1629">
      <c r="A1629">
        <f>IFERROR(INDEX('Email Cleaner'!$B$2:$B$10001,MATCH(1628,'Email Cleaner'!$K$2:$K$10001,0)),"")</f>
        <v/>
      </c>
    </row>
    <row r="1630">
      <c r="A1630">
        <f>IFERROR(INDEX('Email Cleaner'!$B$2:$B$10001,MATCH(1629,'Email Cleaner'!$K$2:$K$10001,0)),"")</f>
        <v/>
      </c>
    </row>
    <row r="1631">
      <c r="A1631">
        <f>IFERROR(INDEX('Email Cleaner'!$B$2:$B$10001,MATCH(1630,'Email Cleaner'!$K$2:$K$10001,0)),"")</f>
        <v/>
      </c>
    </row>
    <row r="1632">
      <c r="A1632">
        <f>IFERROR(INDEX('Email Cleaner'!$B$2:$B$10001,MATCH(1631,'Email Cleaner'!$K$2:$K$10001,0)),"")</f>
        <v/>
      </c>
    </row>
    <row r="1633">
      <c r="A1633">
        <f>IFERROR(INDEX('Email Cleaner'!$B$2:$B$10001,MATCH(1632,'Email Cleaner'!$K$2:$K$10001,0)),"")</f>
        <v/>
      </c>
    </row>
    <row r="1634">
      <c r="A1634">
        <f>IFERROR(INDEX('Email Cleaner'!$B$2:$B$10001,MATCH(1633,'Email Cleaner'!$K$2:$K$10001,0)),"")</f>
        <v/>
      </c>
    </row>
    <row r="1635">
      <c r="A1635">
        <f>IFERROR(INDEX('Email Cleaner'!$B$2:$B$10001,MATCH(1634,'Email Cleaner'!$K$2:$K$10001,0)),"")</f>
        <v/>
      </c>
    </row>
    <row r="1636">
      <c r="A1636">
        <f>IFERROR(INDEX('Email Cleaner'!$B$2:$B$10001,MATCH(1635,'Email Cleaner'!$K$2:$K$10001,0)),"")</f>
        <v/>
      </c>
    </row>
    <row r="1637">
      <c r="A1637">
        <f>IFERROR(INDEX('Email Cleaner'!$B$2:$B$10001,MATCH(1636,'Email Cleaner'!$K$2:$K$10001,0)),"")</f>
        <v/>
      </c>
    </row>
    <row r="1638">
      <c r="A1638">
        <f>IFERROR(INDEX('Email Cleaner'!$B$2:$B$10001,MATCH(1637,'Email Cleaner'!$K$2:$K$10001,0)),"")</f>
        <v/>
      </c>
    </row>
    <row r="1639">
      <c r="A1639">
        <f>IFERROR(INDEX('Email Cleaner'!$B$2:$B$10001,MATCH(1638,'Email Cleaner'!$K$2:$K$10001,0)),"")</f>
        <v/>
      </c>
    </row>
    <row r="1640">
      <c r="A1640">
        <f>IFERROR(INDEX('Email Cleaner'!$B$2:$B$10001,MATCH(1639,'Email Cleaner'!$K$2:$K$10001,0)),"")</f>
        <v/>
      </c>
    </row>
    <row r="1641">
      <c r="A1641">
        <f>IFERROR(INDEX('Email Cleaner'!$B$2:$B$10001,MATCH(1640,'Email Cleaner'!$K$2:$K$10001,0)),"")</f>
        <v/>
      </c>
    </row>
    <row r="1642">
      <c r="A1642">
        <f>IFERROR(INDEX('Email Cleaner'!$B$2:$B$10001,MATCH(1641,'Email Cleaner'!$K$2:$K$10001,0)),"")</f>
        <v/>
      </c>
    </row>
    <row r="1643">
      <c r="A1643">
        <f>IFERROR(INDEX('Email Cleaner'!$B$2:$B$10001,MATCH(1642,'Email Cleaner'!$K$2:$K$10001,0)),"")</f>
        <v/>
      </c>
    </row>
    <row r="1644">
      <c r="A1644">
        <f>IFERROR(INDEX('Email Cleaner'!$B$2:$B$10001,MATCH(1643,'Email Cleaner'!$K$2:$K$10001,0)),"")</f>
        <v/>
      </c>
    </row>
    <row r="1645">
      <c r="A1645">
        <f>IFERROR(INDEX('Email Cleaner'!$B$2:$B$10001,MATCH(1644,'Email Cleaner'!$K$2:$K$10001,0)),"")</f>
        <v/>
      </c>
    </row>
    <row r="1646">
      <c r="A1646">
        <f>IFERROR(INDEX('Email Cleaner'!$B$2:$B$10001,MATCH(1645,'Email Cleaner'!$K$2:$K$10001,0)),"")</f>
        <v/>
      </c>
    </row>
    <row r="1647">
      <c r="A1647">
        <f>IFERROR(INDEX('Email Cleaner'!$B$2:$B$10001,MATCH(1646,'Email Cleaner'!$K$2:$K$10001,0)),"")</f>
        <v/>
      </c>
    </row>
    <row r="1648">
      <c r="A1648">
        <f>IFERROR(INDEX('Email Cleaner'!$B$2:$B$10001,MATCH(1647,'Email Cleaner'!$K$2:$K$10001,0)),"")</f>
        <v/>
      </c>
    </row>
    <row r="1649">
      <c r="A1649">
        <f>IFERROR(INDEX('Email Cleaner'!$B$2:$B$10001,MATCH(1648,'Email Cleaner'!$K$2:$K$10001,0)),"")</f>
        <v/>
      </c>
    </row>
    <row r="1650">
      <c r="A1650">
        <f>IFERROR(INDEX('Email Cleaner'!$B$2:$B$10001,MATCH(1649,'Email Cleaner'!$K$2:$K$10001,0)),"")</f>
        <v/>
      </c>
    </row>
    <row r="1651">
      <c r="A1651">
        <f>IFERROR(INDEX('Email Cleaner'!$B$2:$B$10001,MATCH(1650,'Email Cleaner'!$K$2:$K$10001,0)),"")</f>
        <v/>
      </c>
    </row>
    <row r="1652">
      <c r="A1652">
        <f>IFERROR(INDEX('Email Cleaner'!$B$2:$B$10001,MATCH(1651,'Email Cleaner'!$K$2:$K$10001,0)),"")</f>
        <v/>
      </c>
    </row>
    <row r="1653">
      <c r="A1653">
        <f>IFERROR(INDEX('Email Cleaner'!$B$2:$B$10001,MATCH(1652,'Email Cleaner'!$K$2:$K$10001,0)),"")</f>
        <v/>
      </c>
    </row>
    <row r="1654">
      <c r="A1654">
        <f>IFERROR(INDEX('Email Cleaner'!$B$2:$B$10001,MATCH(1653,'Email Cleaner'!$K$2:$K$10001,0)),"")</f>
        <v/>
      </c>
    </row>
    <row r="1655">
      <c r="A1655">
        <f>IFERROR(INDEX('Email Cleaner'!$B$2:$B$10001,MATCH(1654,'Email Cleaner'!$K$2:$K$10001,0)),"")</f>
        <v/>
      </c>
    </row>
    <row r="1656">
      <c r="A1656">
        <f>IFERROR(INDEX('Email Cleaner'!$B$2:$B$10001,MATCH(1655,'Email Cleaner'!$K$2:$K$10001,0)),"")</f>
        <v/>
      </c>
    </row>
    <row r="1657">
      <c r="A1657">
        <f>IFERROR(INDEX('Email Cleaner'!$B$2:$B$10001,MATCH(1656,'Email Cleaner'!$K$2:$K$10001,0)),"")</f>
        <v/>
      </c>
    </row>
    <row r="1658">
      <c r="A1658">
        <f>IFERROR(INDEX('Email Cleaner'!$B$2:$B$10001,MATCH(1657,'Email Cleaner'!$K$2:$K$10001,0)),"")</f>
        <v/>
      </c>
    </row>
    <row r="1659">
      <c r="A1659">
        <f>IFERROR(INDEX('Email Cleaner'!$B$2:$B$10001,MATCH(1658,'Email Cleaner'!$K$2:$K$10001,0)),"")</f>
        <v/>
      </c>
    </row>
    <row r="1660">
      <c r="A1660">
        <f>IFERROR(INDEX('Email Cleaner'!$B$2:$B$10001,MATCH(1659,'Email Cleaner'!$K$2:$K$10001,0)),"")</f>
        <v/>
      </c>
    </row>
    <row r="1661">
      <c r="A1661">
        <f>IFERROR(INDEX('Email Cleaner'!$B$2:$B$10001,MATCH(1660,'Email Cleaner'!$K$2:$K$10001,0)),"")</f>
        <v/>
      </c>
    </row>
    <row r="1662">
      <c r="A1662">
        <f>IFERROR(INDEX('Email Cleaner'!$B$2:$B$10001,MATCH(1661,'Email Cleaner'!$K$2:$K$10001,0)),"")</f>
        <v/>
      </c>
    </row>
    <row r="1663">
      <c r="A1663">
        <f>IFERROR(INDEX('Email Cleaner'!$B$2:$B$10001,MATCH(1662,'Email Cleaner'!$K$2:$K$10001,0)),"")</f>
        <v/>
      </c>
    </row>
    <row r="1664">
      <c r="A1664">
        <f>IFERROR(INDEX('Email Cleaner'!$B$2:$B$10001,MATCH(1663,'Email Cleaner'!$K$2:$K$10001,0)),"")</f>
        <v/>
      </c>
    </row>
    <row r="1665">
      <c r="A1665">
        <f>IFERROR(INDEX('Email Cleaner'!$B$2:$B$10001,MATCH(1664,'Email Cleaner'!$K$2:$K$10001,0)),"")</f>
        <v/>
      </c>
    </row>
    <row r="1666">
      <c r="A1666">
        <f>IFERROR(INDEX('Email Cleaner'!$B$2:$B$10001,MATCH(1665,'Email Cleaner'!$K$2:$K$10001,0)),"")</f>
        <v/>
      </c>
    </row>
    <row r="1667">
      <c r="A1667">
        <f>IFERROR(INDEX('Email Cleaner'!$B$2:$B$10001,MATCH(1666,'Email Cleaner'!$K$2:$K$10001,0)),"")</f>
        <v/>
      </c>
    </row>
    <row r="1668">
      <c r="A1668">
        <f>IFERROR(INDEX('Email Cleaner'!$B$2:$B$10001,MATCH(1667,'Email Cleaner'!$K$2:$K$10001,0)),"")</f>
        <v/>
      </c>
    </row>
    <row r="1669">
      <c r="A1669">
        <f>IFERROR(INDEX('Email Cleaner'!$B$2:$B$10001,MATCH(1668,'Email Cleaner'!$K$2:$K$10001,0)),"")</f>
        <v/>
      </c>
    </row>
    <row r="1670">
      <c r="A1670">
        <f>IFERROR(INDEX('Email Cleaner'!$B$2:$B$10001,MATCH(1669,'Email Cleaner'!$K$2:$K$10001,0)),"")</f>
        <v/>
      </c>
    </row>
    <row r="1671">
      <c r="A1671">
        <f>IFERROR(INDEX('Email Cleaner'!$B$2:$B$10001,MATCH(1670,'Email Cleaner'!$K$2:$K$10001,0)),"")</f>
        <v/>
      </c>
    </row>
    <row r="1672">
      <c r="A1672">
        <f>IFERROR(INDEX('Email Cleaner'!$B$2:$B$10001,MATCH(1671,'Email Cleaner'!$K$2:$K$10001,0)),"")</f>
        <v/>
      </c>
    </row>
    <row r="1673">
      <c r="A1673">
        <f>IFERROR(INDEX('Email Cleaner'!$B$2:$B$10001,MATCH(1672,'Email Cleaner'!$K$2:$K$10001,0)),"")</f>
        <v/>
      </c>
    </row>
    <row r="1674">
      <c r="A1674">
        <f>IFERROR(INDEX('Email Cleaner'!$B$2:$B$10001,MATCH(1673,'Email Cleaner'!$K$2:$K$10001,0)),"")</f>
        <v/>
      </c>
    </row>
    <row r="1675">
      <c r="A1675">
        <f>IFERROR(INDEX('Email Cleaner'!$B$2:$B$10001,MATCH(1674,'Email Cleaner'!$K$2:$K$10001,0)),"")</f>
        <v/>
      </c>
    </row>
    <row r="1676">
      <c r="A1676">
        <f>IFERROR(INDEX('Email Cleaner'!$B$2:$B$10001,MATCH(1675,'Email Cleaner'!$K$2:$K$10001,0)),"")</f>
        <v/>
      </c>
    </row>
    <row r="1677">
      <c r="A1677">
        <f>IFERROR(INDEX('Email Cleaner'!$B$2:$B$10001,MATCH(1676,'Email Cleaner'!$K$2:$K$10001,0)),"")</f>
        <v/>
      </c>
    </row>
    <row r="1678">
      <c r="A1678">
        <f>IFERROR(INDEX('Email Cleaner'!$B$2:$B$10001,MATCH(1677,'Email Cleaner'!$K$2:$K$10001,0)),"")</f>
        <v/>
      </c>
    </row>
    <row r="1679">
      <c r="A1679">
        <f>IFERROR(INDEX('Email Cleaner'!$B$2:$B$10001,MATCH(1678,'Email Cleaner'!$K$2:$K$10001,0)),"")</f>
        <v/>
      </c>
    </row>
    <row r="1680">
      <c r="A1680">
        <f>IFERROR(INDEX('Email Cleaner'!$B$2:$B$10001,MATCH(1679,'Email Cleaner'!$K$2:$K$10001,0)),"")</f>
        <v/>
      </c>
    </row>
    <row r="1681">
      <c r="A1681">
        <f>IFERROR(INDEX('Email Cleaner'!$B$2:$B$10001,MATCH(1680,'Email Cleaner'!$K$2:$K$10001,0)),"")</f>
        <v/>
      </c>
    </row>
    <row r="1682">
      <c r="A1682">
        <f>IFERROR(INDEX('Email Cleaner'!$B$2:$B$10001,MATCH(1681,'Email Cleaner'!$K$2:$K$10001,0)),"")</f>
        <v/>
      </c>
    </row>
    <row r="1683">
      <c r="A1683">
        <f>IFERROR(INDEX('Email Cleaner'!$B$2:$B$10001,MATCH(1682,'Email Cleaner'!$K$2:$K$10001,0)),"")</f>
        <v/>
      </c>
    </row>
    <row r="1684">
      <c r="A1684">
        <f>IFERROR(INDEX('Email Cleaner'!$B$2:$B$10001,MATCH(1683,'Email Cleaner'!$K$2:$K$10001,0)),"")</f>
        <v/>
      </c>
    </row>
    <row r="1685">
      <c r="A1685">
        <f>IFERROR(INDEX('Email Cleaner'!$B$2:$B$10001,MATCH(1684,'Email Cleaner'!$K$2:$K$10001,0)),"")</f>
        <v/>
      </c>
    </row>
    <row r="1686">
      <c r="A1686">
        <f>IFERROR(INDEX('Email Cleaner'!$B$2:$B$10001,MATCH(1685,'Email Cleaner'!$K$2:$K$10001,0)),"")</f>
        <v/>
      </c>
    </row>
    <row r="1687">
      <c r="A1687">
        <f>IFERROR(INDEX('Email Cleaner'!$B$2:$B$10001,MATCH(1686,'Email Cleaner'!$K$2:$K$10001,0)),"")</f>
        <v/>
      </c>
    </row>
    <row r="1688">
      <c r="A1688">
        <f>IFERROR(INDEX('Email Cleaner'!$B$2:$B$10001,MATCH(1687,'Email Cleaner'!$K$2:$K$10001,0)),"")</f>
        <v/>
      </c>
    </row>
    <row r="1689">
      <c r="A1689">
        <f>IFERROR(INDEX('Email Cleaner'!$B$2:$B$10001,MATCH(1688,'Email Cleaner'!$K$2:$K$10001,0)),"")</f>
        <v/>
      </c>
    </row>
    <row r="1690">
      <c r="A1690">
        <f>IFERROR(INDEX('Email Cleaner'!$B$2:$B$10001,MATCH(1689,'Email Cleaner'!$K$2:$K$10001,0)),"")</f>
        <v/>
      </c>
    </row>
    <row r="1691">
      <c r="A1691">
        <f>IFERROR(INDEX('Email Cleaner'!$B$2:$B$10001,MATCH(1690,'Email Cleaner'!$K$2:$K$10001,0)),"")</f>
        <v/>
      </c>
    </row>
    <row r="1692">
      <c r="A1692">
        <f>IFERROR(INDEX('Email Cleaner'!$B$2:$B$10001,MATCH(1691,'Email Cleaner'!$K$2:$K$10001,0)),"")</f>
        <v/>
      </c>
    </row>
    <row r="1693">
      <c r="A1693">
        <f>IFERROR(INDEX('Email Cleaner'!$B$2:$B$10001,MATCH(1692,'Email Cleaner'!$K$2:$K$10001,0)),"")</f>
        <v/>
      </c>
    </row>
    <row r="1694">
      <c r="A1694">
        <f>IFERROR(INDEX('Email Cleaner'!$B$2:$B$10001,MATCH(1693,'Email Cleaner'!$K$2:$K$10001,0)),"")</f>
        <v/>
      </c>
    </row>
    <row r="1695">
      <c r="A1695">
        <f>IFERROR(INDEX('Email Cleaner'!$B$2:$B$10001,MATCH(1694,'Email Cleaner'!$K$2:$K$10001,0)),"")</f>
        <v/>
      </c>
    </row>
    <row r="1696">
      <c r="A1696">
        <f>IFERROR(INDEX('Email Cleaner'!$B$2:$B$10001,MATCH(1695,'Email Cleaner'!$K$2:$K$10001,0)),"")</f>
        <v/>
      </c>
    </row>
    <row r="1697">
      <c r="A1697">
        <f>IFERROR(INDEX('Email Cleaner'!$B$2:$B$10001,MATCH(1696,'Email Cleaner'!$K$2:$K$10001,0)),"")</f>
        <v/>
      </c>
    </row>
    <row r="1698">
      <c r="A1698">
        <f>IFERROR(INDEX('Email Cleaner'!$B$2:$B$10001,MATCH(1697,'Email Cleaner'!$K$2:$K$10001,0)),"")</f>
        <v/>
      </c>
    </row>
    <row r="1699">
      <c r="A1699">
        <f>IFERROR(INDEX('Email Cleaner'!$B$2:$B$10001,MATCH(1698,'Email Cleaner'!$K$2:$K$10001,0)),"")</f>
        <v/>
      </c>
    </row>
    <row r="1700">
      <c r="A1700">
        <f>IFERROR(INDEX('Email Cleaner'!$B$2:$B$10001,MATCH(1699,'Email Cleaner'!$K$2:$K$10001,0)),"")</f>
        <v/>
      </c>
    </row>
    <row r="1701">
      <c r="A1701">
        <f>IFERROR(INDEX('Email Cleaner'!$B$2:$B$10001,MATCH(1700,'Email Cleaner'!$K$2:$K$10001,0)),"")</f>
        <v/>
      </c>
    </row>
    <row r="1702">
      <c r="A1702">
        <f>IFERROR(INDEX('Email Cleaner'!$B$2:$B$10001,MATCH(1701,'Email Cleaner'!$K$2:$K$10001,0)),"")</f>
        <v/>
      </c>
    </row>
    <row r="1703">
      <c r="A1703">
        <f>IFERROR(INDEX('Email Cleaner'!$B$2:$B$10001,MATCH(1702,'Email Cleaner'!$K$2:$K$10001,0)),"")</f>
        <v/>
      </c>
    </row>
    <row r="1704">
      <c r="A1704">
        <f>IFERROR(INDEX('Email Cleaner'!$B$2:$B$10001,MATCH(1703,'Email Cleaner'!$K$2:$K$10001,0)),"")</f>
        <v/>
      </c>
    </row>
    <row r="1705">
      <c r="A1705">
        <f>IFERROR(INDEX('Email Cleaner'!$B$2:$B$10001,MATCH(1704,'Email Cleaner'!$K$2:$K$10001,0)),"")</f>
        <v/>
      </c>
    </row>
    <row r="1706">
      <c r="A1706">
        <f>IFERROR(INDEX('Email Cleaner'!$B$2:$B$10001,MATCH(1705,'Email Cleaner'!$K$2:$K$10001,0)),"")</f>
        <v/>
      </c>
    </row>
    <row r="1707">
      <c r="A1707">
        <f>IFERROR(INDEX('Email Cleaner'!$B$2:$B$10001,MATCH(1706,'Email Cleaner'!$K$2:$K$10001,0)),"")</f>
        <v/>
      </c>
    </row>
    <row r="1708">
      <c r="A1708">
        <f>IFERROR(INDEX('Email Cleaner'!$B$2:$B$10001,MATCH(1707,'Email Cleaner'!$K$2:$K$10001,0)),"")</f>
        <v/>
      </c>
    </row>
    <row r="1709">
      <c r="A1709">
        <f>IFERROR(INDEX('Email Cleaner'!$B$2:$B$10001,MATCH(1708,'Email Cleaner'!$K$2:$K$10001,0)),"")</f>
        <v/>
      </c>
    </row>
    <row r="1710">
      <c r="A1710">
        <f>IFERROR(INDEX('Email Cleaner'!$B$2:$B$10001,MATCH(1709,'Email Cleaner'!$K$2:$K$10001,0)),"")</f>
        <v/>
      </c>
    </row>
    <row r="1711">
      <c r="A1711">
        <f>IFERROR(INDEX('Email Cleaner'!$B$2:$B$10001,MATCH(1710,'Email Cleaner'!$K$2:$K$10001,0)),"")</f>
        <v/>
      </c>
    </row>
    <row r="1712">
      <c r="A1712">
        <f>IFERROR(INDEX('Email Cleaner'!$B$2:$B$10001,MATCH(1711,'Email Cleaner'!$K$2:$K$10001,0)),"")</f>
        <v/>
      </c>
    </row>
    <row r="1713">
      <c r="A1713">
        <f>IFERROR(INDEX('Email Cleaner'!$B$2:$B$10001,MATCH(1712,'Email Cleaner'!$K$2:$K$10001,0)),"")</f>
        <v/>
      </c>
    </row>
    <row r="1714">
      <c r="A1714">
        <f>IFERROR(INDEX('Email Cleaner'!$B$2:$B$10001,MATCH(1713,'Email Cleaner'!$K$2:$K$10001,0)),"")</f>
        <v/>
      </c>
    </row>
    <row r="1715">
      <c r="A1715">
        <f>IFERROR(INDEX('Email Cleaner'!$B$2:$B$10001,MATCH(1714,'Email Cleaner'!$K$2:$K$10001,0)),"")</f>
        <v/>
      </c>
    </row>
    <row r="1716">
      <c r="A1716">
        <f>IFERROR(INDEX('Email Cleaner'!$B$2:$B$10001,MATCH(1715,'Email Cleaner'!$K$2:$K$10001,0)),"")</f>
        <v/>
      </c>
    </row>
    <row r="1717">
      <c r="A1717">
        <f>IFERROR(INDEX('Email Cleaner'!$B$2:$B$10001,MATCH(1716,'Email Cleaner'!$K$2:$K$10001,0)),"")</f>
        <v/>
      </c>
    </row>
    <row r="1718">
      <c r="A1718">
        <f>IFERROR(INDEX('Email Cleaner'!$B$2:$B$10001,MATCH(1717,'Email Cleaner'!$K$2:$K$10001,0)),"")</f>
        <v/>
      </c>
    </row>
    <row r="1719">
      <c r="A1719">
        <f>IFERROR(INDEX('Email Cleaner'!$B$2:$B$10001,MATCH(1718,'Email Cleaner'!$K$2:$K$10001,0)),"")</f>
        <v/>
      </c>
    </row>
    <row r="1720">
      <c r="A1720">
        <f>IFERROR(INDEX('Email Cleaner'!$B$2:$B$10001,MATCH(1719,'Email Cleaner'!$K$2:$K$10001,0)),"")</f>
        <v/>
      </c>
    </row>
    <row r="1721">
      <c r="A1721">
        <f>IFERROR(INDEX('Email Cleaner'!$B$2:$B$10001,MATCH(1720,'Email Cleaner'!$K$2:$K$10001,0)),"")</f>
        <v/>
      </c>
    </row>
    <row r="1722">
      <c r="A1722">
        <f>IFERROR(INDEX('Email Cleaner'!$B$2:$B$10001,MATCH(1721,'Email Cleaner'!$K$2:$K$10001,0)),"")</f>
        <v/>
      </c>
    </row>
    <row r="1723">
      <c r="A1723">
        <f>IFERROR(INDEX('Email Cleaner'!$B$2:$B$10001,MATCH(1722,'Email Cleaner'!$K$2:$K$10001,0)),"")</f>
        <v/>
      </c>
    </row>
    <row r="1724">
      <c r="A1724">
        <f>IFERROR(INDEX('Email Cleaner'!$B$2:$B$10001,MATCH(1723,'Email Cleaner'!$K$2:$K$10001,0)),"")</f>
        <v/>
      </c>
    </row>
    <row r="1725">
      <c r="A1725">
        <f>IFERROR(INDEX('Email Cleaner'!$B$2:$B$10001,MATCH(1724,'Email Cleaner'!$K$2:$K$10001,0)),"")</f>
        <v/>
      </c>
    </row>
    <row r="1726">
      <c r="A1726">
        <f>IFERROR(INDEX('Email Cleaner'!$B$2:$B$10001,MATCH(1725,'Email Cleaner'!$K$2:$K$10001,0)),"")</f>
        <v/>
      </c>
    </row>
    <row r="1727">
      <c r="A1727">
        <f>IFERROR(INDEX('Email Cleaner'!$B$2:$B$10001,MATCH(1726,'Email Cleaner'!$K$2:$K$10001,0)),"")</f>
        <v/>
      </c>
    </row>
    <row r="1728">
      <c r="A1728">
        <f>IFERROR(INDEX('Email Cleaner'!$B$2:$B$10001,MATCH(1727,'Email Cleaner'!$K$2:$K$10001,0)),"")</f>
        <v/>
      </c>
    </row>
    <row r="1729">
      <c r="A1729">
        <f>IFERROR(INDEX('Email Cleaner'!$B$2:$B$10001,MATCH(1728,'Email Cleaner'!$K$2:$K$10001,0)),"")</f>
        <v/>
      </c>
    </row>
    <row r="1730">
      <c r="A1730">
        <f>IFERROR(INDEX('Email Cleaner'!$B$2:$B$10001,MATCH(1729,'Email Cleaner'!$K$2:$K$10001,0)),"")</f>
        <v/>
      </c>
    </row>
    <row r="1731">
      <c r="A1731">
        <f>IFERROR(INDEX('Email Cleaner'!$B$2:$B$10001,MATCH(1730,'Email Cleaner'!$K$2:$K$10001,0)),"")</f>
        <v/>
      </c>
    </row>
    <row r="1732">
      <c r="A1732">
        <f>IFERROR(INDEX('Email Cleaner'!$B$2:$B$10001,MATCH(1731,'Email Cleaner'!$K$2:$K$10001,0)),"")</f>
        <v/>
      </c>
    </row>
    <row r="1733">
      <c r="A1733">
        <f>IFERROR(INDEX('Email Cleaner'!$B$2:$B$10001,MATCH(1732,'Email Cleaner'!$K$2:$K$10001,0)),"")</f>
        <v/>
      </c>
    </row>
    <row r="1734">
      <c r="A1734">
        <f>IFERROR(INDEX('Email Cleaner'!$B$2:$B$10001,MATCH(1733,'Email Cleaner'!$K$2:$K$10001,0)),"")</f>
        <v/>
      </c>
    </row>
    <row r="1735">
      <c r="A1735">
        <f>IFERROR(INDEX('Email Cleaner'!$B$2:$B$10001,MATCH(1734,'Email Cleaner'!$K$2:$K$10001,0)),"")</f>
        <v/>
      </c>
    </row>
    <row r="1736">
      <c r="A1736">
        <f>IFERROR(INDEX('Email Cleaner'!$B$2:$B$10001,MATCH(1735,'Email Cleaner'!$K$2:$K$10001,0)),"")</f>
        <v/>
      </c>
    </row>
    <row r="1737">
      <c r="A1737">
        <f>IFERROR(INDEX('Email Cleaner'!$B$2:$B$10001,MATCH(1736,'Email Cleaner'!$K$2:$K$10001,0)),"")</f>
        <v/>
      </c>
    </row>
    <row r="1738">
      <c r="A1738">
        <f>IFERROR(INDEX('Email Cleaner'!$B$2:$B$10001,MATCH(1737,'Email Cleaner'!$K$2:$K$10001,0)),"")</f>
        <v/>
      </c>
    </row>
    <row r="1739">
      <c r="A1739">
        <f>IFERROR(INDEX('Email Cleaner'!$B$2:$B$10001,MATCH(1738,'Email Cleaner'!$K$2:$K$10001,0)),"")</f>
        <v/>
      </c>
    </row>
    <row r="1740">
      <c r="A1740">
        <f>IFERROR(INDEX('Email Cleaner'!$B$2:$B$10001,MATCH(1739,'Email Cleaner'!$K$2:$K$10001,0)),"")</f>
        <v/>
      </c>
    </row>
    <row r="1741">
      <c r="A1741">
        <f>IFERROR(INDEX('Email Cleaner'!$B$2:$B$10001,MATCH(1740,'Email Cleaner'!$K$2:$K$10001,0)),"")</f>
        <v/>
      </c>
    </row>
    <row r="1742">
      <c r="A1742">
        <f>IFERROR(INDEX('Email Cleaner'!$B$2:$B$10001,MATCH(1741,'Email Cleaner'!$K$2:$K$10001,0)),"")</f>
        <v/>
      </c>
    </row>
    <row r="1743">
      <c r="A1743">
        <f>IFERROR(INDEX('Email Cleaner'!$B$2:$B$10001,MATCH(1742,'Email Cleaner'!$K$2:$K$10001,0)),"")</f>
        <v/>
      </c>
    </row>
    <row r="1744">
      <c r="A1744">
        <f>IFERROR(INDEX('Email Cleaner'!$B$2:$B$10001,MATCH(1743,'Email Cleaner'!$K$2:$K$10001,0)),"")</f>
        <v/>
      </c>
    </row>
    <row r="1745">
      <c r="A1745">
        <f>IFERROR(INDEX('Email Cleaner'!$B$2:$B$10001,MATCH(1744,'Email Cleaner'!$K$2:$K$10001,0)),"")</f>
        <v/>
      </c>
    </row>
    <row r="1746">
      <c r="A1746">
        <f>IFERROR(INDEX('Email Cleaner'!$B$2:$B$10001,MATCH(1745,'Email Cleaner'!$K$2:$K$10001,0)),"")</f>
        <v/>
      </c>
    </row>
    <row r="1747">
      <c r="A1747">
        <f>IFERROR(INDEX('Email Cleaner'!$B$2:$B$10001,MATCH(1746,'Email Cleaner'!$K$2:$K$10001,0)),"")</f>
        <v/>
      </c>
    </row>
    <row r="1748">
      <c r="A1748">
        <f>IFERROR(INDEX('Email Cleaner'!$B$2:$B$10001,MATCH(1747,'Email Cleaner'!$K$2:$K$10001,0)),"")</f>
        <v/>
      </c>
    </row>
    <row r="1749">
      <c r="A1749">
        <f>IFERROR(INDEX('Email Cleaner'!$B$2:$B$10001,MATCH(1748,'Email Cleaner'!$K$2:$K$10001,0)),"")</f>
        <v/>
      </c>
    </row>
    <row r="1750">
      <c r="A1750">
        <f>IFERROR(INDEX('Email Cleaner'!$B$2:$B$10001,MATCH(1749,'Email Cleaner'!$K$2:$K$10001,0)),"")</f>
        <v/>
      </c>
    </row>
    <row r="1751">
      <c r="A1751">
        <f>IFERROR(INDEX('Email Cleaner'!$B$2:$B$10001,MATCH(1750,'Email Cleaner'!$K$2:$K$10001,0)),"")</f>
        <v/>
      </c>
    </row>
    <row r="1752">
      <c r="A1752">
        <f>IFERROR(INDEX('Email Cleaner'!$B$2:$B$10001,MATCH(1751,'Email Cleaner'!$K$2:$K$10001,0)),"")</f>
        <v/>
      </c>
    </row>
    <row r="1753">
      <c r="A1753">
        <f>IFERROR(INDEX('Email Cleaner'!$B$2:$B$10001,MATCH(1752,'Email Cleaner'!$K$2:$K$10001,0)),"")</f>
        <v/>
      </c>
    </row>
    <row r="1754">
      <c r="A1754">
        <f>IFERROR(INDEX('Email Cleaner'!$B$2:$B$10001,MATCH(1753,'Email Cleaner'!$K$2:$K$10001,0)),"")</f>
        <v/>
      </c>
    </row>
    <row r="1755">
      <c r="A1755">
        <f>IFERROR(INDEX('Email Cleaner'!$B$2:$B$10001,MATCH(1754,'Email Cleaner'!$K$2:$K$10001,0)),"")</f>
        <v/>
      </c>
    </row>
    <row r="1756">
      <c r="A1756">
        <f>IFERROR(INDEX('Email Cleaner'!$B$2:$B$10001,MATCH(1755,'Email Cleaner'!$K$2:$K$10001,0)),"")</f>
        <v/>
      </c>
    </row>
    <row r="1757">
      <c r="A1757">
        <f>IFERROR(INDEX('Email Cleaner'!$B$2:$B$10001,MATCH(1756,'Email Cleaner'!$K$2:$K$10001,0)),"")</f>
        <v/>
      </c>
    </row>
    <row r="1758">
      <c r="A1758">
        <f>IFERROR(INDEX('Email Cleaner'!$B$2:$B$10001,MATCH(1757,'Email Cleaner'!$K$2:$K$10001,0)),"")</f>
        <v/>
      </c>
    </row>
    <row r="1759">
      <c r="A1759">
        <f>IFERROR(INDEX('Email Cleaner'!$B$2:$B$10001,MATCH(1758,'Email Cleaner'!$K$2:$K$10001,0)),"")</f>
        <v/>
      </c>
    </row>
    <row r="1760">
      <c r="A1760">
        <f>IFERROR(INDEX('Email Cleaner'!$B$2:$B$10001,MATCH(1759,'Email Cleaner'!$K$2:$K$10001,0)),"")</f>
        <v/>
      </c>
    </row>
    <row r="1761">
      <c r="A1761">
        <f>IFERROR(INDEX('Email Cleaner'!$B$2:$B$10001,MATCH(1760,'Email Cleaner'!$K$2:$K$10001,0)),"")</f>
        <v/>
      </c>
    </row>
    <row r="1762">
      <c r="A1762">
        <f>IFERROR(INDEX('Email Cleaner'!$B$2:$B$10001,MATCH(1761,'Email Cleaner'!$K$2:$K$10001,0)),"")</f>
        <v/>
      </c>
    </row>
    <row r="1763">
      <c r="A1763">
        <f>IFERROR(INDEX('Email Cleaner'!$B$2:$B$10001,MATCH(1762,'Email Cleaner'!$K$2:$K$10001,0)),"")</f>
        <v/>
      </c>
    </row>
    <row r="1764">
      <c r="A1764">
        <f>IFERROR(INDEX('Email Cleaner'!$B$2:$B$10001,MATCH(1763,'Email Cleaner'!$K$2:$K$10001,0)),"")</f>
        <v/>
      </c>
    </row>
    <row r="1765">
      <c r="A1765">
        <f>IFERROR(INDEX('Email Cleaner'!$B$2:$B$10001,MATCH(1764,'Email Cleaner'!$K$2:$K$10001,0)),"")</f>
        <v/>
      </c>
    </row>
    <row r="1766">
      <c r="A1766">
        <f>IFERROR(INDEX('Email Cleaner'!$B$2:$B$10001,MATCH(1765,'Email Cleaner'!$K$2:$K$10001,0)),"")</f>
        <v/>
      </c>
    </row>
    <row r="1767">
      <c r="A1767">
        <f>IFERROR(INDEX('Email Cleaner'!$B$2:$B$10001,MATCH(1766,'Email Cleaner'!$K$2:$K$10001,0)),"")</f>
        <v/>
      </c>
    </row>
    <row r="1768">
      <c r="A1768">
        <f>IFERROR(INDEX('Email Cleaner'!$B$2:$B$10001,MATCH(1767,'Email Cleaner'!$K$2:$K$10001,0)),"")</f>
        <v/>
      </c>
    </row>
    <row r="1769">
      <c r="A1769">
        <f>IFERROR(INDEX('Email Cleaner'!$B$2:$B$10001,MATCH(1768,'Email Cleaner'!$K$2:$K$10001,0)),"")</f>
        <v/>
      </c>
    </row>
    <row r="1770">
      <c r="A1770">
        <f>IFERROR(INDEX('Email Cleaner'!$B$2:$B$10001,MATCH(1769,'Email Cleaner'!$K$2:$K$10001,0)),"")</f>
        <v/>
      </c>
    </row>
    <row r="1771">
      <c r="A1771">
        <f>IFERROR(INDEX('Email Cleaner'!$B$2:$B$10001,MATCH(1770,'Email Cleaner'!$K$2:$K$10001,0)),"")</f>
        <v/>
      </c>
    </row>
    <row r="1772">
      <c r="A1772">
        <f>IFERROR(INDEX('Email Cleaner'!$B$2:$B$10001,MATCH(1771,'Email Cleaner'!$K$2:$K$10001,0)),"")</f>
        <v/>
      </c>
    </row>
    <row r="1773">
      <c r="A1773">
        <f>IFERROR(INDEX('Email Cleaner'!$B$2:$B$10001,MATCH(1772,'Email Cleaner'!$K$2:$K$10001,0)),"")</f>
        <v/>
      </c>
    </row>
    <row r="1774">
      <c r="A1774">
        <f>IFERROR(INDEX('Email Cleaner'!$B$2:$B$10001,MATCH(1773,'Email Cleaner'!$K$2:$K$10001,0)),"")</f>
        <v/>
      </c>
    </row>
    <row r="1775">
      <c r="A1775">
        <f>IFERROR(INDEX('Email Cleaner'!$B$2:$B$10001,MATCH(1774,'Email Cleaner'!$K$2:$K$10001,0)),"")</f>
        <v/>
      </c>
    </row>
    <row r="1776">
      <c r="A1776">
        <f>IFERROR(INDEX('Email Cleaner'!$B$2:$B$10001,MATCH(1775,'Email Cleaner'!$K$2:$K$10001,0)),"")</f>
        <v/>
      </c>
    </row>
    <row r="1777">
      <c r="A1777">
        <f>IFERROR(INDEX('Email Cleaner'!$B$2:$B$10001,MATCH(1776,'Email Cleaner'!$K$2:$K$10001,0)),"")</f>
        <v/>
      </c>
    </row>
    <row r="1778">
      <c r="A1778">
        <f>IFERROR(INDEX('Email Cleaner'!$B$2:$B$10001,MATCH(1777,'Email Cleaner'!$K$2:$K$10001,0)),"")</f>
        <v/>
      </c>
    </row>
    <row r="1779">
      <c r="A1779">
        <f>IFERROR(INDEX('Email Cleaner'!$B$2:$B$10001,MATCH(1778,'Email Cleaner'!$K$2:$K$10001,0)),"")</f>
        <v/>
      </c>
    </row>
    <row r="1780">
      <c r="A1780">
        <f>IFERROR(INDEX('Email Cleaner'!$B$2:$B$10001,MATCH(1779,'Email Cleaner'!$K$2:$K$10001,0)),"")</f>
        <v/>
      </c>
    </row>
    <row r="1781">
      <c r="A1781">
        <f>IFERROR(INDEX('Email Cleaner'!$B$2:$B$10001,MATCH(1780,'Email Cleaner'!$K$2:$K$10001,0)),"")</f>
        <v/>
      </c>
    </row>
    <row r="1782">
      <c r="A1782">
        <f>IFERROR(INDEX('Email Cleaner'!$B$2:$B$10001,MATCH(1781,'Email Cleaner'!$K$2:$K$10001,0)),"")</f>
        <v/>
      </c>
    </row>
    <row r="1783">
      <c r="A1783">
        <f>IFERROR(INDEX('Email Cleaner'!$B$2:$B$10001,MATCH(1782,'Email Cleaner'!$K$2:$K$10001,0)),"")</f>
        <v/>
      </c>
    </row>
    <row r="1784">
      <c r="A1784">
        <f>IFERROR(INDEX('Email Cleaner'!$B$2:$B$10001,MATCH(1783,'Email Cleaner'!$K$2:$K$10001,0)),"")</f>
        <v/>
      </c>
    </row>
    <row r="1785">
      <c r="A1785">
        <f>IFERROR(INDEX('Email Cleaner'!$B$2:$B$10001,MATCH(1784,'Email Cleaner'!$K$2:$K$10001,0)),"")</f>
        <v/>
      </c>
    </row>
    <row r="1786">
      <c r="A1786">
        <f>IFERROR(INDEX('Email Cleaner'!$B$2:$B$10001,MATCH(1785,'Email Cleaner'!$K$2:$K$10001,0)),"")</f>
        <v/>
      </c>
    </row>
    <row r="1787">
      <c r="A1787">
        <f>IFERROR(INDEX('Email Cleaner'!$B$2:$B$10001,MATCH(1786,'Email Cleaner'!$K$2:$K$10001,0)),"")</f>
        <v/>
      </c>
    </row>
    <row r="1788">
      <c r="A1788">
        <f>IFERROR(INDEX('Email Cleaner'!$B$2:$B$10001,MATCH(1787,'Email Cleaner'!$K$2:$K$10001,0)),"")</f>
        <v/>
      </c>
    </row>
    <row r="1789">
      <c r="A1789">
        <f>IFERROR(INDEX('Email Cleaner'!$B$2:$B$10001,MATCH(1788,'Email Cleaner'!$K$2:$K$10001,0)),"")</f>
        <v/>
      </c>
    </row>
    <row r="1790">
      <c r="A1790">
        <f>IFERROR(INDEX('Email Cleaner'!$B$2:$B$10001,MATCH(1789,'Email Cleaner'!$K$2:$K$10001,0)),"")</f>
        <v/>
      </c>
    </row>
    <row r="1791">
      <c r="A1791">
        <f>IFERROR(INDEX('Email Cleaner'!$B$2:$B$10001,MATCH(1790,'Email Cleaner'!$K$2:$K$10001,0)),"")</f>
        <v/>
      </c>
    </row>
    <row r="1792">
      <c r="A1792">
        <f>IFERROR(INDEX('Email Cleaner'!$B$2:$B$10001,MATCH(1791,'Email Cleaner'!$K$2:$K$10001,0)),"")</f>
        <v/>
      </c>
    </row>
    <row r="1793">
      <c r="A1793">
        <f>IFERROR(INDEX('Email Cleaner'!$B$2:$B$10001,MATCH(1792,'Email Cleaner'!$K$2:$K$10001,0)),"")</f>
        <v/>
      </c>
    </row>
    <row r="1794">
      <c r="A1794">
        <f>IFERROR(INDEX('Email Cleaner'!$B$2:$B$10001,MATCH(1793,'Email Cleaner'!$K$2:$K$10001,0)),"")</f>
        <v/>
      </c>
    </row>
    <row r="1795">
      <c r="A1795">
        <f>IFERROR(INDEX('Email Cleaner'!$B$2:$B$10001,MATCH(1794,'Email Cleaner'!$K$2:$K$10001,0)),"")</f>
        <v/>
      </c>
    </row>
    <row r="1796">
      <c r="A1796">
        <f>IFERROR(INDEX('Email Cleaner'!$B$2:$B$10001,MATCH(1795,'Email Cleaner'!$K$2:$K$10001,0)),"")</f>
        <v/>
      </c>
    </row>
    <row r="1797">
      <c r="A1797">
        <f>IFERROR(INDEX('Email Cleaner'!$B$2:$B$10001,MATCH(1796,'Email Cleaner'!$K$2:$K$10001,0)),"")</f>
        <v/>
      </c>
    </row>
    <row r="1798">
      <c r="A1798">
        <f>IFERROR(INDEX('Email Cleaner'!$B$2:$B$10001,MATCH(1797,'Email Cleaner'!$K$2:$K$10001,0)),"")</f>
        <v/>
      </c>
    </row>
    <row r="1799">
      <c r="A1799">
        <f>IFERROR(INDEX('Email Cleaner'!$B$2:$B$10001,MATCH(1798,'Email Cleaner'!$K$2:$K$10001,0)),"")</f>
        <v/>
      </c>
    </row>
    <row r="1800">
      <c r="A1800">
        <f>IFERROR(INDEX('Email Cleaner'!$B$2:$B$10001,MATCH(1799,'Email Cleaner'!$K$2:$K$10001,0)),"")</f>
        <v/>
      </c>
    </row>
    <row r="1801">
      <c r="A1801">
        <f>IFERROR(INDEX('Email Cleaner'!$B$2:$B$10001,MATCH(1800,'Email Cleaner'!$K$2:$K$10001,0)),"")</f>
        <v/>
      </c>
    </row>
    <row r="1802">
      <c r="A1802">
        <f>IFERROR(INDEX('Email Cleaner'!$B$2:$B$10001,MATCH(1801,'Email Cleaner'!$K$2:$K$10001,0)),"")</f>
        <v/>
      </c>
    </row>
    <row r="1803">
      <c r="A1803">
        <f>IFERROR(INDEX('Email Cleaner'!$B$2:$B$10001,MATCH(1802,'Email Cleaner'!$K$2:$K$10001,0)),"")</f>
        <v/>
      </c>
    </row>
    <row r="1804">
      <c r="A1804">
        <f>IFERROR(INDEX('Email Cleaner'!$B$2:$B$10001,MATCH(1803,'Email Cleaner'!$K$2:$K$10001,0)),"")</f>
        <v/>
      </c>
    </row>
    <row r="1805">
      <c r="A1805">
        <f>IFERROR(INDEX('Email Cleaner'!$B$2:$B$10001,MATCH(1804,'Email Cleaner'!$K$2:$K$10001,0)),"")</f>
        <v/>
      </c>
    </row>
    <row r="1806">
      <c r="A1806">
        <f>IFERROR(INDEX('Email Cleaner'!$B$2:$B$10001,MATCH(1805,'Email Cleaner'!$K$2:$K$10001,0)),"")</f>
        <v/>
      </c>
    </row>
    <row r="1807">
      <c r="A1807">
        <f>IFERROR(INDEX('Email Cleaner'!$B$2:$B$10001,MATCH(1806,'Email Cleaner'!$K$2:$K$10001,0)),"")</f>
        <v/>
      </c>
    </row>
    <row r="1808">
      <c r="A1808">
        <f>IFERROR(INDEX('Email Cleaner'!$B$2:$B$10001,MATCH(1807,'Email Cleaner'!$K$2:$K$10001,0)),"")</f>
        <v/>
      </c>
    </row>
    <row r="1809">
      <c r="A1809">
        <f>IFERROR(INDEX('Email Cleaner'!$B$2:$B$10001,MATCH(1808,'Email Cleaner'!$K$2:$K$10001,0)),"")</f>
        <v/>
      </c>
    </row>
    <row r="1810">
      <c r="A1810">
        <f>IFERROR(INDEX('Email Cleaner'!$B$2:$B$10001,MATCH(1809,'Email Cleaner'!$K$2:$K$10001,0)),"")</f>
        <v/>
      </c>
    </row>
    <row r="1811">
      <c r="A1811">
        <f>IFERROR(INDEX('Email Cleaner'!$B$2:$B$10001,MATCH(1810,'Email Cleaner'!$K$2:$K$10001,0)),"")</f>
        <v/>
      </c>
    </row>
    <row r="1812">
      <c r="A1812">
        <f>IFERROR(INDEX('Email Cleaner'!$B$2:$B$10001,MATCH(1811,'Email Cleaner'!$K$2:$K$10001,0)),"")</f>
        <v/>
      </c>
    </row>
    <row r="1813">
      <c r="A1813">
        <f>IFERROR(INDEX('Email Cleaner'!$B$2:$B$10001,MATCH(1812,'Email Cleaner'!$K$2:$K$10001,0)),"")</f>
        <v/>
      </c>
    </row>
    <row r="1814">
      <c r="A1814">
        <f>IFERROR(INDEX('Email Cleaner'!$B$2:$B$10001,MATCH(1813,'Email Cleaner'!$K$2:$K$10001,0)),"")</f>
        <v/>
      </c>
    </row>
    <row r="1815">
      <c r="A1815">
        <f>IFERROR(INDEX('Email Cleaner'!$B$2:$B$10001,MATCH(1814,'Email Cleaner'!$K$2:$K$10001,0)),"")</f>
        <v/>
      </c>
    </row>
    <row r="1816">
      <c r="A1816">
        <f>IFERROR(INDEX('Email Cleaner'!$B$2:$B$10001,MATCH(1815,'Email Cleaner'!$K$2:$K$10001,0)),"")</f>
        <v/>
      </c>
    </row>
    <row r="1817">
      <c r="A1817">
        <f>IFERROR(INDEX('Email Cleaner'!$B$2:$B$10001,MATCH(1816,'Email Cleaner'!$K$2:$K$10001,0)),"")</f>
        <v/>
      </c>
    </row>
    <row r="1818">
      <c r="A1818">
        <f>IFERROR(INDEX('Email Cleaner'!$B$2:$B$10001,MATCH(1817,'Email Cleaner'!$K$2:$K$10001,0)),"")</f>
        <v/>
      </c>
    </row>
    <row r="1819">
      <c r="A1819">
        <f>IFERROR(INDEX('Email Cleaner'!$B$2:$B$10001,MATCH(1818,'Email Cleaner'!$K$2:$K$10001,0)),"")</f>
        <v/>
      </c>
    </row>
    <row r="1820">
      <c r="A1820">
        <f>IFERROR(INDEX('Email Cleaner'!$B$2:$B$10001,MATCH(1819,'Email Cleaner'!$K$2:$K$10001,0)),"")</f>
        <v/>
      </c>
    </row>
    <row r="1821">
      <c r="A1821">
        <f>IFERROR(INDEX('Email Cleaner'!$B$2:$B$10001,MATCH(1820,'Email Cleaner'!$K$2:$K$10001,0)),"")</f>
        <v/>
      </c>
    </row>
    <row r="1822">
      <c r="A1822">
        <f>IFERROR(INDEX('Email Cleaner'!$B$2:$B$10001,MATCH(1821,'Email Cleaner'!$K$2:$K$10001,0)),"")</f>
        <v/>
      </c>
    </row>
    <row r="1823">
      <c r="A1823">
        <f>IFERROR(INDEX('Email Cleaner'!$B$2:$B$10001,MATCH(1822,'Email Cleaner'!$K$2:$K$10001,0)),"")</f>
        <v/>
      </c>
    </row>
    <row r="1824">
      <c r="A1824">
        <f>IFERROR(INDEX('Email Cleaner'!$B$2:$B$10001,MATCH(1823,'Email Cleaner'!$K$2:$K$10001,0)),"")</f>
        <v/>
      </c>
    </row>
    <row r="1825">
      <c r="A1825">
        <f>IFERROR(INDEX('Email Cleaner'!$B$2:$B$10001,MATCH(1824,'Email Cleaner'!$K$2:$K$10001,0)),"")</f>
        <v/>
      </c>
    </row>
    <row r="1826">
      <c r="A1826">
        <f>IFERROR(INDEX('Email Cleaner'!$B$2:$B$10001,MATCH(1825,'Email Cleaner'!$K$2:$K$10001,0)),"")</f>
        <v/>
      </c>
    </row>
    <row r="1827">
      <c r="A1827">
        <f>IFERROR(INDEX('Email Cleaner'!$B$2:$B$10001,MATCH(1826,'Email Cleaner'!$K$2:$K$10001,0)),"")</f>
        <v/>
      </c>
    </row>
    <row r="1828">
      <c r="A1828">
        <f>IFERROR(INDEX('Email Cleaner'!$B$2:$B$10001,MATCH(1827,'Email Cleaner'!$K$2:$K$10001,0)),"")</f>
        <v/>
      </c>
    </row>
    <row r="1829">
      <c r="A1829">
        <f>IFERROR(INDEX('Email Cleaner'!$B$2:$B$10001,MATCH(1828,'Email Cleaner'!$K$2:$K$10001,0)),"")</f>
        <v/>
      </c>
    </row>
    <row r="1830">
      <c r="A1830">
        <f>IFERROR(INDEX('Email Cleaner'!$B$2:$B$10001,MATCH(1829,'Email Cleaner'!$K$2:$K$10001,0)),"")</f>
        <v/>
      </c>
    </row>
    <row r="1831">
      <c r="A1831">
        <f>IFERROR(INDEX('Email Cleaner'!$B$2:$B$10001,MATCH(1830,'Email Cleaner'!$K$2:$K$10001,0)),"")</f>
        <v/>
      </c>
    </row>
    <row r="1832">
      <c r="A1832">
        <f>IFERROR(INDEX('Email Cleaner'!$B$2:$B$10001,MATCH(1831,'Email Cleaner'!$K$2:$K$10001,0)),"")</f>
        <v/>
      </c>
    </row>
    <row r="1833">
      <c r="A1833">
        <f>IFERROR(INDEX('Email Cleaner'!$B$2:$B$10001,MATCH(1832,'Email Cleaner'!$K$2:$K$10001,0)),"")</f>
        <v/>
      </c>
    </row>
    <row r="1834">
      <c r="A1834">
        <f>IFERROR(INDEX('Email Cleaner'!$B$2:$B$10001,MATCH(1833,'Email Cleaner'!$K$2:$K$10001,0)),"")</f>
        <v/>
      </c>
    </row>
    <row r="1835">
      <c r="A1835">
        <f>IFERROR(INDEX('Email Cleaner'!$B$2:$B$10001,MATCH(1834,'Email Cleaner'!$K$2:$K$10001,0)),"")</f>
        <v/>
      </c>
    </row>
    <row r="1836">
      <c r="A1836">
        <f>IFERROR(INDEX('Email Cleaner'!$B$2:$B$10001,MATCH(1835,'Email Cleaner'!$K$2:$K$10001,0)),"")</f>
        <v/>
      </c>
    </row>
    <row r="1837">
      <c r="A1837">
        <f>IFERROR(INDEX('Email Cleaner'!$B$2:$B$10001,MATCH(1836,'Email Cleaner'!$K$2:$K$10001,0)),"")</f>
        <v/>
      </c>
    </row>
    <row r="1838">
      <c r="A1838">
        <f>IFERROR(INDEX('Email Cleaner'!$B$2:$B$10001,MATCH(1837,'Email Cleaner'!$K$2:$K$10001,0)),"")</f>
        <v/>
      </c>
    </row>
    <row r="1839">
      <c r="A1839">
        <f>IFERROR(INDEX('Email Cleaner'!$B$2:$B$10001,MATCH(1838,'Email Cleaner'!$K$2:$K$10001,0)),"")</f>
        <v/>
      </c>
    </row>
    <row r="1840">
      <c r="A1840">
        <f>IFERROR(INDEX('Email Cleaner'!$B$2:$B$10001,MATCH(1839,'Email Cleaner'!$K$2:$K$10001,0)),"")</f>
        <v/>
      </c>
    </row>
    <row r="1841">
      <c r="A1841">
        <f>IFERROR(INDEX('Email Cleaner'!$B$2:$B$10001,MATCH(1840,'Email Cleaner'!$K$2:$K$10001,0)),"")</f>
        <v/>
      </c>
    </row>
    <row r="1842">
      <c r="A1842">
        <f>IFERROR(INDEX('Email Cleaner'!$B$2:$B$10001,MATCH(1841,'Email Cleaner'!$K$2:$K$10001,0)),"")</f>
        <v/>
      </c>
    </row>
    <row r="1843">
      <c r="A1843">
        <f>IFERROR(INDEX('Email Cleaner'!$B$2:$B$10001,MATCH(1842,'Email Cleaner'!$K$2:$K$10001,0)),"")</f>
        <v/>
      </c>
    </row>
    <row r="1844">
      <c r="A1844">
        <f>IFERROR(INDEX('Email Cleaner'!$B$2:$B$10001,MATCH(1843,'Email Cleaner'!$K$2:$K$10001,0)),"")</f>
        <v/>
      </c>
    </row>
    <row r="1845">
      <c r="A1845">
        <f>IFERROR(INDEX('Email Cleaner'!$B$2:$B$10001,MATCH(1844,'Email Cleaner'!$K$2:$K$10001,0)),"")</f>
        <v/>
      </c>
    </row>
    <row r="1846">
      <c r="A1846">
        <f>IFERROR(INDEX('Email Cleaner'!$B$2:$B$10001,MATCH(1845,'Email Cleaner'!$K$2:$K$10001,0)),"")</f>
        <v/>
      </c>
    </row>
    <row r="1847">
      <c r="A1847">
        <f>IFERROR(INDEX('Email Cleaner'!$B$2:$B$10001,MATCH(1846,'Email Cleaner'!$K$2:$K$10001,0)),"")</f>
        <v/>
      </c>
    </row>
    <row r="1848">
      <c r="A1848">
        <f>IFERROR(INDEX('Email Cleaner'!$B$2:$B$10001,MATCH(1847,'Email Cleaner'!$K$2:$K$10001,0)),"")</f>
        <v/>
      </c>
    </row>
    <row r="1849">
      <c r="A1849">
        <f>IFERROR(INDEX('Email Cleaner'!$B$2:$B$10001,MATCH(1848,'Email Cleaner'!$K$2:$K$10001,0)),"")</f>
        <v/>
      </c>
    </row>
    <row r="1850">
      <c r="A1850">
        <f>IFERROR(INDEX('Email Cleaner'!$B$2:$B$10001,MATCH(1849,'Email Cleaner'!$K$2:$K$10001,0)),"")</f>
        <v/>
      </c>
    </row>
    <row r="1851">
      <c r="A1851">
        <f>IFERROR(INDEX('Email Cleaner'!$B$2:$B$10001,MATCH(1850,'Email Cleaner'!$K$2:$K$10001,0)),"")</f>
        <v/>
      </c>
    </row>
    <row r="1852">
      <c r="A1852">
        <f>IFERROR(INDEX('Email Cleaner'!$B$2:$B$10001,MATCH(1851,'Email Cleaner'!$K$2:$K$10001,0)),"")</f>
        <v/>
      </c>
    </row>
    <row r="1853">
      <c r="A1853">
        <f>IFERROR(INDEX('Email Cleaner'!$B$2:$B$10001,MATCH(1852,'Email Cleaner'!$K$2:$K$10001,0)),"")</f>
        <v/>
      </c>
    </row>
    <row r="1854">
      <c r="A1854">
        <f>IFERROR(INDEX('Email Cleaner'!$B$2:$B$10001,MATCH(1853,'Email Cleaner'!$K$2:$K$10001,0)),"")</f>
        <v/>
      </c>
    </row>
    <row r="1855">
      <c r="A1855">
        <f>IFERROR(INDEX('Email Cleaner'!$B$2:$B$10001,MATCH(1854,'Email Cleaner'!$K$2:$K$10001,0)),"")</f>
        <v/>
      </c>
    </row>
    <row r="1856">
      <c r="A1856">
        <f>IFERROR(INDEX('Email Cleaner'!$B$2:$B$10001,MATCH(1855,'Email Cleaner'!$K$2:$K$10001,0)),"")</f>
        <v/>
      </c>
    </row>
    <row r="1857">
      <c r="A1857">
        <f>IFERROR(INDEX('Email Cleaner'!$B$2:$B$10001,MATCH(1856,'Email Cleaner'!$K$2:$K$10001,0)),"")</f>
        <v/>
      </c>
    </row>
    <row r="1858">
      <c r="A1858">
        <f>IFERROR(INDEX('Email Cleaner'!$B$2:$B$10001,MATCH(1857,'Email Cleaner'!$K$2:$K$10001,0)),"")</f>
        <v/>
      </c>
    </row>
    <row r="1859">
      <c r="A1859">
        <f>IFERROR(INDEX('Email Cleaner'!$B$2:$B$10001,MATCH(1858,'Email Cleaner'!$K$2:$K$10001,0)),"")</f>
        <v/>
      </c>
    </row>
    <row r="1860">
      <c r="A1860">
        <f>IFERROR(INDEX('Email Cleaner'!$B$2:$B$10001,MATCH(1859,'Email Cleaner'!$K$2:$K$10001,0)),"")</f>
        <v/>
      </c>
    </row>
    <row r="1861">
      <c r="A1861">
        <f>IFERROR(INDEX('Email Cleaner'!$B$2:$B$10001,MATCH(1860,'Email Cleaner'!$K$2:$K$10001,0)),"")</f>
        <v/>
      </c>
    </row>
    <row r="1862">
      <c r="A1862">
        <f>IFERROR(INDEX('Email Cleaner'!$B$2:$B$10001,MATCH(1861,'Email Cleaner'!$K$2:$K$10001,0)),"")</f>
        <v/>
      </c>
    </row>
    <row r="1863">
      <c r="A1863">
        <f>IFERROR(INDEX('Email Cleaner'!$B$2:$B$10001,MATCH(1862,'Email Cleaner'!$K$2:$K$10001,0)),"")</f>
        <v/>
      </c>
    </row>
    <row r="1864">
      <c r="A1864">
        <f>IFERROR(INDEX('Email Cleaner'!$B$2:$B$10001,MATCH(1863,'Email Cleaner'!$K$2:$K$10001,0)),"")</f>
        <v/>
      </c>
    </row>
    <row r="1865">
      <c r="A1865">
        <f>IFERROR(INDEX('Email Cleaner'!$B$2:$B$10001,MATCH(1864,'Email Cleaner'!$K$2:$K$10001,0)),"")</f>
        <v/>
      </c>
    </row>
    <row r="1866">
      <c r="A1866">
        <f>IFERROR(INDEX('Email Cleaner'!$B$2:$B$10001,MATCH(1865,'Email Cleaner'!$K$2:$K$10001,0)),"")</f>
        <v/>
      </c>
    </row>
    <row r="1867">
      <c r="A1867">
        <f>IFERROR(INDEX('Email Cleaner'!$B$2:$B$10001,MATCH(1866,'Email Cleaner'!$K$2:$K$10001,0)),"")</f>
        <v/>
      </c>
    </row>
    <row r="1868">
      <c r="A1868">
        <f>IFERROR(INDEX('Email Cleaner'!$B$2:$B$10001,MATCH(1867,'Email Cleaner'!$K$2:$K$10001,0)),"")</f>
        <v/>
      </c>
    </row>
    <row r="1869">
      <c r="A1869">
        <f>IFERROR(INDEX('Email Cleaner'!$B$2:$B$10001,MATCH(1868,'Email Cleaner'!$K$2:$K$10001,0)),"")</f>
        <v/>
      </c>
    </row>
    <row r="1870">
      <c r="A1870">
        <f>IFERROR(INDEX('Email Cleaner'!$B$2:$B$10001,MATCH(1869,'Email Cleaner'!$K$2:$K$10001,0)),"")</f>
        <v/>
      </c>
    </row>
    <row r="1871">
      <c r="A1871">
        <f>IFERROR(INDEX('Email Cleaner'!$B$2:$B$10001,MATCH(1870,'Email Cleaner'!$K$2:$K$10001,0)),"")</f>
        <v/>
      </c>
    </row>
    <row r="1872">
      <c r="A1872">
        <f>IFERROR(INDEX('Email Cleaner'!$B$2:$B$10001,MATCH(1871,'Email Cleaner'!$K$2:$K$10001,0)),"")</f>
        <v/>
      </c>
    </row>
    <row r="1873">
      <c r="A1873">
        <f>IFERROR(INDEX('Email Cleaner'!$B$2:$B$10001,MATCH(1872,'Email Cleaner'!$K$2:$K$10001,0)),"")</f>
        <v/>
      </c>
    </row>
    <row r="1874">
      <c r="A1874">
        <f>IFERROR(INDEX('Email Cleaner'!$B$2:$B$10001,MATCH(1873,'Email Cleaner'!$K$2:$K$10001,0)),"")</f>
        <v/>
      </c>
    </row>
    <row r="1875">
      <c r="A1875">
        <f>IFERROR(INDEX('Email Cleaner'!$B$2:$B$10001,MATCH(1874,'Email Cleaner'!$K$2:$K$10001,0)),"")</f>
        <v/>
      </c>
    </row>
    <row r="1876">
      <c r="A1876">
        <f>IFERROR(INDEX('Email Cleaner'!$B$2:$B$10001,MATCH(1875,'Email Cleaner'!$K$2:$K$10001,0)),"")</f>
        <v/>
      </c>
    </row>
    <row r="1877">
      <c r="A1877">
        <f>IFERROR(INDEX('Email Cleaner'!$B$2:$B$10001,MATCH(1876,'Email Cleaner'!$K$2:$K$10001,0)),"")</f>
        <v/>
      </c>
    </row>
    <row r="1878">
      <c r="A1878">
        <f>IFERROR(INDEX('Email Cleaner'!$B$2:$B$10001,MATCH(1877,'Email Cleaner'!$K$2:$K$10001,0)),"")</f>
        <v/>
      </c>
    </row>
    <row r="1879">
      <c r="A1879">
        <f>IFERROR(INDEX('Email Cleaner'!$B$2:$B$10001,MATCH(1878,'Email Cleaner'!$K$2:$K$10001,0)),"")</f>
        <v/>
      </c>
    </row>
    <row r="1880">
      <c r="A1880">
        <f>IFERROR(INDEX('Email Cleaner'!$B$2:$B$10001,MATCH(1879,'Email Cleaner'!$K$2:$K$10001,0)),"")</f>
        <v/>
      </c>
    </row>
    <row r="1881">
      <c r="A1881">
        <f>IFERROR(INDEX('Email Cleaner'!$B$2:$B$10001,MATCH(1880,'Email Cleaner'!$K$2:$K$10001,0)),"")</f>
        <v/>
      </c>
    </row>
    <row r="1882">
      <c r="A1882">
        <f>IFERROR(INDEX('Email Cleaner'!$B$2:$B$10001,MATCH(1881,'Email Cleaner'!$K$2:$K$10001,0)),"")</f>
        <v/>
      </c>
    </row>
    <row r="1883">
      <c r="A1883">
        <f>IFERROR(INDEX('Email Cleaner'!$B$2:$B$10001,MATCH(1882,'Email Cleaner'!$K$2:$K$10001,0)),"")</f>
        <v/>
      </c>
    </row>
    <row r="1884">
      <c r="A1884">
        <f>IFERROR(INDEX('Email Cleaner'!$B$2:$B$10001,MATCH(1883,'Email Cleaner'!$K$2:$K$10001,0)),"")</f>
        <v/>
      </c>
    </row>
    <row r="1885">
      <c r="A1885">
        <f>IFERROR(INDEX('Email Cleaner'!$B$2:$B$10001,MATCH(1884,'Email Cleaner'!$K$2:$K$10001,0)),"")</f>
        <v/>
      </c>
    </row>
    <row r="1886">
      <c r="A1886">
        <f>IFERROR(INDEX('Email Cleaner'!$B$2:$B$10001,MATCH(1885,'Email Cleaner'!$K$2:$K$10001,0)),"")</f>
        <v/>
      </c>
    </row>
    <row r="1887">
      <c r="A1887">
        <f>IFERROR(INDEX('Email Cleaner'!$B$2:$B$10001,MATCH(1886,'Email Cleaner'!$K$2:$K$10001,0)),"")</f>
        <v/>
      </c>
    </row>
    <row r="1888">
      <c r="A1888">
        <f>IFERROR(INDEX('Email Cleaner'!$B$2:$B$10001,MATCH(1887,'Email Cleaner'!$K$2:$K$10001,0)),"")</f>
        <v/>
      </c>
    </row>
    <row r="1889">
      <c r="A1889">
        <f>IFERROR(INDEX('Email Cleaner'!$B$2:$B$10001,MATCH(1888,'Email Cleaner'!$K$2:$K$10001,0)),"")</f>
        <v/>
      </c>
    </row>
    <row r="1890">
      <c r="A1890">
        <f>IFERROR(INDEX('Email Cleaner'!$B$2:$B$10001,MATCH(1889,'Email Cleaner'!$K$2:$K$10001,0)),"")</f>
        <v/>
      </c>
    </row>
    <row r="1891">
      <c r="A1891">
        <f>IFERROR(INDEX('Email Cleaner'!$B$2:$B$10001,MATCH(1890,'Email Cleaner'!$K$2:$K$10001,0)),"")</f>
        <v/>
      </c>
    </row>
    <row r="1892">
      <c r="A1892">
        <f>IFERROR(INDEX('Email Cleaner'!$B$2:$B$10001,MATCH(1891,'Email Cleaner'!$K$2:$K$10001,0)),"")</f>
        <v/>
      </c>
    </row>
    <row r="1893">
      <c r="A1893">
        <f>IFERROR(INDEX('Email Cleaner'!$B$2:$B$10001,MATCH(1892,'Email Cleaner'!$K$2:$K$10001,0)),"")</f>
        <v/>
      </c>
    </row>
    <row r="1894">
      <c r="A1894">
        <f>IFERROR(INDEX('Email Cleaner'!$B$2:$B$10001,MATCH(1893,'Email Cleaner'!$K$2:$K$10001,0)),"")</f>
        <v/>
      </c>
    </row>
    <row r="1895">
      <c r="A1895">
        <f>IFERROR(INDEX('Email Cleaner'!$B$2:$B$10001,MATCH(1894,'Email Cleaner'!$K$2:$K$10001,0)),"")</f>
        <v/>
      </c>
    </row>
    <row r="1896">
      <c r="A1896">
        <f>IFERROR(INDEX('Email Cleaner'!$B$2:$B$10001,MATCH(1895,'Email Cleaner'!$K$2:$K$10001,0)),"")</f>
        <v/>
      </c>
    </row>
    <row r="1897">
      <c r="A1897">
        <f>IFERROR(INDEX('Email Cleaner'!$B$2:$B$10001,MATCH(1896,'Email Cleaner'!$K$2:$K$10001,0)),"")</f>
        <v/>
      </c>
    </row>
    <row r="1898">
      <c r="A1898">
        <f>IFERROR(INDEX('Email Cleaner'!$B$2:$B$10001,MATCH(1897,'Email Cleaner'!$K$2:$K$10001,0)),"")</f>
        <v/>
      </c>
    </row>
    <row r="1899">
      <c r="A1899">
        <f>IFERROR(INDEX('Email Cleaner'!$B$2:$B$10001,MATCH(1898,'Email Cleaner'!$K$2:$K$10001,0)),"")</f>
        <v/>
      </c>
    </row>
    <row r="1900">
      <c r="A1900">
        <f>IFERROR(INDEX('Email Cleaner'!$B$2:$B$10001,MATCH(1899,'Email Cleaner'!$K$2:$K$10001,0)),"")</f>
        <v/>
      </c>
    </row>
    <row r="1901">
      <c r="A1901">
        <f>IFERROR(INDEX('Email Cleaner'!$B$2:$B$10001,MATCH(1900,'Email Cleaner'!$K$2:$K$10001,0)),"")</f>
        <v/>
      </c>
    </row>
    <row r="1902">
      <c r="A1902">
        <f>IFERROR(INDEX('Email Cleaner'!$B$2:$B$10001,MATCH(1901,'Email Cleaner'!$K$2:$K$10001,0)),"")</f>
        <v/>
      </c>
    </row>
    <row r="1903">
      <c r="A1903">
        <f>IFERROR(INDEX('Email Cleaner'!$B$2:$B$10001,MATCH(1902,'Email Cleaner'!$K$2:$K$10001,0)),"")</f>
        <v/>
      </c>
    </row>
    <row r="1904">
      <c r="A1904">
        <f>IFERROR(INDEX('Email Cleaner'!$B$2:$B$10001,MATCH(1903,'Email Cleaner'!$K$2:$K$10001,0)),"")</f>
        <v/>
      </c>
    </row>
    <row r="1905">
      <c r="A1905">
        <f>IFERROR(INDEX('Email Cleaner'!$B$2:$B$10001,MATCH(1904,'Email Cleaner'!$K$2:$K$10001,0)),"")</f>
        <v/>
      </c>
    </row>
    <row r="1906">
      <c r="A1906">
        <f>IFERROR(INDEX('Email Cleaner'!$B$2:$B$10001,MATCH(1905,'Email Cleaner'!$K$2:$K$10001,0)),"")</f>
        <v/>
      </c>
    </row>
    <row r="1907">
      <c r="A1907">
        <f>IFERROR(INDEX('Email Cleaner'!$B$2:$B$10001,MATCH(1906,'Email Cleaner'!$K$2:$K$10001,0)),"")</f>
        <v/>
      </c>
    </row>
    <row r="1908">
      <c r="A1908">
        <f>IFERROR(INDEX('Email Cleaner'!$B$2:$B$10001,MATCH(1907,'Email Cleaner'!$K$2:$K$10001,0)),"")</f>
        <v/>
      </c>
    </row>
    <row r="1909">
      <c r="A1909">
        <f>IFERROR(INDEX('Email Cleaner'!$B$2:$B$10001,MATCH(1908,'Email Cleaner'!$K$2:$K$10001,0)),"")</f>
        <v/>
      </c>
    </row>
    <row r="1910">
      <c r="A1910">
        <f>IFERROR(INDEX('Email Cleaner'!$B$2:$B$10001,MATCH(1909,'Email Cleaner'!$K$2:$K$10001,0)),"")</f>
        <v/>
      </c>
    </row>
    <row r="1911">
      <c r="A1911">
        <f>IFERROR(INDEX('Email Cleaner'!$B$2:$B$10001,MATCH(1910,'Email Cleaner'!$K$2:$K$10001,0)),"")</f>
        <v/>
      </c>
    </row>
    <row r="1912">
      <c r="A1912">
        <f>IFERROR(INDEX('Email Cleaner'!$B$2:$B$10001,MATCH(1911,'Email Cleaner'!$K$2:$K$10001,0)),"")</f>
        <v/>
      </c>
    </row>
    <row r="1913">
      <c r="A1913">
        <f>IFERROR(INDEX('Email Cleaner'!$B$2:$B$10001,MATCH(1912,'Email Cleaner'!$K$2:$K$10001,0)),"")</f>
        <v/>
      </c>
    </row>
    <row r="1914">
      <c r="A1914">
        <f>IFERROR(INDEX('Email Cleaner'!$B$2:$B$10001,MATCH(1913,'Email Cleaner'!$K$2:$K$10001,0)),"")</f>
        <v/>
      </c>
    </row>
    <row r="1915">
      <c r="A1915">
        <f>IFERROR(INDEX('Email Cleaner'!$B$2:$B$10001,MATCH(1914,'Email Cleaner'!$K$2:$K$10001,0)),"")</f>
        <v/>
      </c>
    </row>
    <row r="1916">
      <c r="A1916">
        <f>IFERROR(INDEX('Email Cleaner'!$B$2:$B$10001,MATCH(1915,'Email Cleaner'!$K$2:$K$10001,0)),"")</f>
        <v/>
      </c>
    </row>
    <row r="1917">
      <c r="A1917">
        <f>IFERROR(INDEX('Email Cleaner'!$B$2:$B$10001,MATCH(1916,'Email Cleaner'!$K$2:$K$10001,0)),"")</f>
        <v/>
      </c>
    </row>
    <row r="1918">
      <c r="A1918">
        <f>IFERROR(INDEX('Email Cleaner'!$B$2:$B$10001,MATCH(1917,'Email Cleaner'!$K$2:$K$10001,0)),"")</f>
        <v/>
      </c>
    </row>
    <row r="1919">
      <c r="A1919">
        <f>IFERROR(INDEX('Email Cleaner'!$B$2:$B$10001,MATCH(1918,'Email Cleaner'!$K$2:$K$10001,0)),"")</f>
        <v/>
      </c>
    </row>
    <row r="1920">
      <c r="A1920">
        <f>IFERROR(INDEX('Email Cleaner'!$B$2:$B$10001,MATCH(1919,'Email Cleaner'!$K$2:$K$10001,0)),"")</f>
        <v/>
      </c>
    </row>
    <row r="1921">
      <c r="A1921">
        <f>IFERROR(INDEX('Email Cleaner'!$B$2:$B$10001,MATCH(1920,'Email Cleaner'!$K$2:$K$10001,0)),"")</f>
        <v/>
      </c>
    </row>
    <row r="1922">
      <c r="A1922">
        <f>IFERROR(INDEX('Email Cleaner'!$B$2:$B$10001,MATCH(1921,'Email Cleaner'!$K$2:$K$10001,0)),"")</f>
        <v/>
      </c>
    </row>
    <row r="1923">
      <c r="A1923">
        <f>IFERROR(INDEX('Email Cleaner'!$B$2:$B$10001,MATCH(1922,'Email Cleaner'!$K$2:$K$10001,0)),"")</f>
        <v/>
      </c>
    </row>
    <row r="1924">
      <c r="A1924">
        <f>IFERROR(INDEX('Email Cleaner'!$B$2:$B$10001,MATCH(1923,'Email Cleaner'!$K$2:$K$10001,0)),"")</f>
        <v/>
      </c>
    </row>
    <row r="1925">
      <c r="A1925">
        <f>IFERROR(INDEX('Email Cleaner'!$B$2:$B$10001,MATCH(1924,'Email Cleaner'!$K$2:$K$10001,0)),"")</f>
        <v/>
      </c>
    </row>
    <row r="1926">
      <c r="A1926">
        <f>IFERROR(INDEX('Email Cleaner'!$B$2:$B$10001,MATCH(1925,'Email Cleaner'!$K$2:$K$10001,0)),"")</f>
        <v/>
      </c>
    </row>
    <row r="1927">
      <c r="A1927">
        <f>IFERROR(INDEX('Email Cleaner'!$B$2:$B$10001,MATCH(1926,'Email Cleaner'!$K$2:$K$10001,0)),"")</f>
        <v/>
      </c>
    </row>
    <row r="1928">
      <c r="A1928">
        <f>IFERROR(INDEX('Email Cleaner'!$B$2:$B$10001,MATCH(1927,'Email Cleaner'!$K$2:$K$10001,0)),"")</f>
        <v/>
      </c>
    </row>
    <row r="1929">
      <c r="A1929">
        <f>IFERROR(INDEX('Email Cleaner'!$B$2:$B$10001,MATCH(1928,'Email Cleaner'!$K$2:$K$10001,0)),"")</f>
        <v/>
      </c>
    </row>
    <row r="1930">
      <c r="A1930">
        <f>IFERROR(INDEX('Email Cleaner'!$B$2:$B$10001,MATCH(1929,'Email Cleaner'!$K$2:$K$10001,0)),"")</f>
        <v/>
      </c>
    </row>
    <row r="1931">
      <c r="A1931">
        <f>IFERROR(INDEX('Email Cleaner'!$B$2:$B$10001,MATCH(1930,'Email Cleaner'!$K$2:$K$10001,0)),"")</f>
        <v/>
      </c>
    </row>
    <row r="1932">
      <c r="A1932">
        <f>IFERROR(INDEX('Email Cleaner'!$B$2:$B$10001,MATCH(1931,'Email Cleaner'!$K$2:$K$10001,0)),"")</f>
        <v/>
      </c>
    </row>
    <row r="1933">
      <c r="A1933">
        <f>IFERROR(INDEX('Email Cleaner'!$B$2:$B$10001,MATCH(1932,'Email Cleaner'!$K$2:$K$10001,0)),"")</f>
        <v/>
      </c>
    </row>
    <row r="1934">
      <c r="A1934">
        <f>IFERROR(INDEX('Email Cleaner'!$B$2:$B$10001,MATCH(1933,'Email Cleaner'!$K$2:$K$10001,0)),"")</f>
        <v/>
      </c>
    </row>
    <row r="1935">
      <c r="A1935">
        <f>IFERROR(INDEX('Email Cleaner'!$B$2:$B$10001,MATCH(1934,'Email Cleaner'!$K$2:$K$10001,0)),"")</f>
        <v/>
      </c>
    </row>
    <row r="1936">
      <c r="A1936">
        <f>IFERROR(INDEX('Email Cleaner'!$B$2:$B$10001,MATCH(1935,'Email Cleaner'!$K$2:$K$10001,0)),"")</f>
        <v/>
      </c>
    </row>
    <row r="1937">
      <c r="A1937">
        <f>IFERROR(INDEX('Email Cleaner'!$B$2:$B$10001,MATCH(1936,'Email Cleaner'!$K$2:$K$10001,0)),"")</f>
        <v/>
      </c>
    </row>
    <row r="1938">
      <c r="A1938">
        <f>IFERROR(INDEX('Email Cleaner'!$B$2:$B$10001,MATCH(1937,'Email Cleaner'!$K$2:$K$10001,0)),"")</f>
        <v/>
      </c>
    </row>
    <row r="1939">
      <c r="A1939">
        <f>IFERROR(INDEX('Email Cleaner'!$B$2:$B$10001,MATCH(1938,'Email Cleaner'!$K$2:$K$10001,0)),"")</f>
        <v/>
      </c>
    </row>
    <row r="1940">
      <c r="A1940">
        <f>IFERROR(INDEX('Email Cleaner'!$B$2:$B$10001,MATCH(1939,'Email Cleaner'!$K$2:$K$10001,0)),"")</f>
        <v/>
      </c>
    </row>
    <row r="1941">
      <c r="A1941">
        <f>IFERROR(INDEX('Email Cleaner'!$B$2:$B$10001,MATCH(1940,'Email Cleaner'!$K$2:$K$10001,0)),"")</f>
        <v/>
      </c>
    </row>
    <row r="1942">
      <c r="A1942">
        <f>IFERROR(INDEX('Email Cleaner'!$B$2:$B$10001,MATCH(1941,'Email Cleaner'!$K$2:$K$10001,0)),"")</f>
        <v/>
      </c>
    </row>
    <row r="1943">
      <c r="A1943">
        <f>IFERROR(INDEX('Email Cleaner'!$B$2:$B$10001,MATCH(1942,'Email Cleaner'!$K$2:$K$10001,0)),"")</f>
        <v/>
      </c>
    </row>
    <row r="1944">
      <c r="A1944">
        <f>IFERROR(INDEX('Email Cleaner'!$B$2:$B$10001,MATCH(1943,'Email Cleaner'!$K$2:$K$10001,0)),"")</f>
        <v/>
      </c>
    </row>
    <row r="1945">
      <c r="A1945">
        <f>IFERROR(INDEX('Email Cleaner'!$B$2:$B$10001,MATCH(1944,'Email Cleaner'!$K$2:$K$10001,0)),"")</f>
        <v/>
      </c>
    </row>
    <row r="1946">
      <c r="A1946">
        <f>IFERROR(INDEX('Email Cleaner'!$B$2:$B$10001,MATCH(1945,'Email Cleaner'!$K$2:$K$10001,0)),"")</f>
        <v/>
      </c>
    </row>
    <row r="1947">
      <c r="A1947">
        <f>IFERROR(INDEX('Email Cleaner'!$B$2:$B$10001,MATCH(1946,'Email Cleaner'!$K$2:$K$10001,0)),"")</f>
        <v/>
      </c>
    </row>
    <row r="1948">
      <c r="A1948">
        <f>IFERROR(INDEX('Email Cleaner'!$B$2:$B$10001,MATCH(1947,'Email Cleaner'!$K$2:$K$10001,0)),"")</f>
        <v/>
      </c>
    </row>
    <row r="1949">
      <c r="A1949">
        <f>IFERROR(INDEX('Email Cleaner'!$B$2:$B$10001,MATCH(1948,'Email Cleaner'!$K$2:$K$10001,0)),"")</f>
        <v/>
      </c>
    </row>
    <row r="1950">
      <c r="A1950">
        <f>IFERROR(INDEX('Email Cleaner'!$B$2:$B$10001,MATCH(1949,'Email Cleaner'!$K$2:$K$10001,0)),"")</f>
        <v/>
      </c>
    </row>
    <row r="1951">
      <c r="A1951">
        <f>IFERROR(INDEX('Email Cleaner'!$B$2:$B$10001,MATCH(1950,'Email Cleaner'!$K$2:$K$10001,0)),"")</f>
        <v/>
      </c>
    </row>
    <row r="1952">
      <c r="A1952">
        <f>IFERROR(INDEX('Email Cleaner'!$B$2:$B$10001,MATCH(1951,'Email Cleaner'!$K$2:$K$10001,0)),"")</f>
        <v/>
      </c>
    </row>
    <row r="1953">
      <c r="A1953">
        <f>IFERROR(INDEX('Email Cleaner'!$B$2:$B$10001,MATCH(1952,'Email Cleaner'!$K$2:$K$10001,0)),"")</f>
        <v/>
      </c>
    </row>
    <row r="1954">
      <c r="A1954">
        <f>IFERROR(INDEX('Email Cleaner'!$B$2:$B$10001,MATCH(1953,'Email Cleaner'!$K$2:$K$10001,0)),"")</f>
        <v/>
      </c>
    </row>
    <row r="1955">
      <c r="A1955">
        <f>IFERROR(INDEX('Email Cleaner'!$B$2:$B$10001,MATCH(1954,'Email Cleaner'!$K$2:$K$10001,0)),"")</f>
        <v/>
      </c>
    </row>
    <row r="1956">
      <c r="A1956">
        <f>IFERROR(INDEX('Email Cleaner'!$B$2:$B$10001,MATCH(1955,'Email Cleaner'!$K$2:$K$10001,0)),"")</f>
        <v/>
      </c>
    </row>
    <row r="1957">
      <c r="A1957">
        <f>IFERROR(INDEX('Email Cleaner'!$B$2:$B$10001,MATCH(1956,'Email Cleaner'!$K$2:$K$10001,0)),"")</f>
        <v/>
      </c>
    </row>
    <row r="1958">
      <c r="A1958">
        <f>IFERROR(INDEX('Email Cleaner'!$B$2:$B$10001,MATCH(1957,'Email Cleaner'!$K$2:$K$10001,0)),"")</f>
        <v/>
      </c>
    </row>
    <row r="1959">
      <c r="A1959">
        <f>IFERROR(INDEX('Email Cleaner'!$B$2:$B$10001,MATCH(1958,'Email Cleaner'!$K$2:$K$10001,0)),"")</f>
        <v/>
      </c>
    </row>
    <row r="1960">
      <c r="A1960">
        <f>IFERROR(INDEX('Email Cleaner'!$B$2:$B$10001,MATCH(1959,'Email Cleaner'!$K$2:$K$10001,0)),"")</f>
        <v/>
      </c>
    </row>
    <row r="1961">
      <c r="A1961">
        <f>IFERROR(INDEX('Email Cleaner'!$B$2:$B$10001,MATCH(1960,'Email Cleaner'!$K$2:$K$10001,0)),"")</f>
        <v/>
      </c>
    </row>
    <row r="1962">
      <c r="A1962">
        <f>IFERROR(INDEX('Email Cleaner'!$B$2:$B$10001,MATCH(1961,'Email Cleaner'!$K$2:$K$10001,0)),"")</f>
        <v/>
      </c>
    </row>
    <row r="1963">
      <c r="A1963">
        <f>IFERROR(INDEX('Email Cleaner'!$B$2:$B$10001,MATCH(1962,'Email Cleaner'!$K$2:$K$10001,0)),"")</f>
        <v/>
      </c>
    </row>
    <row r="1964">
      <c r="A1964">
        <f>IFERROR(INDEX('Email Cleaner'!$B$2:$B$10001,MATCH(1963,'Email Cleaner'!$K$2:$K$10001,0)),"")</f>
        <v/>
      </c>
    </row>
    <row r="1965">
      <c r="A1965">
        <f>IFERROR(INDEX('Email Cleaner'!$B$2:$B$10001,MATCH(1964,'Email Cleaner'!$K$2:$K$10001,0)),"")</f>
        <v/>
      </c>
    </row>
    <row r="1966">
      <c r="A1966">
        <f>IFERROR(INDEX('Email Cleaner'!$B$2:$B$10001,MATCH(1965,'Email Cleaner'!$K$2:$K$10001,0)),"")</f>
        <v/>
      </c>
    </row>
    <row r="1967">
      <c r="A1967">
        <f>IFERROR(INDEX('Email Cleaner'!$B$2:$B$10001,MATCH(1966,'Email Cleaner'!$K$2:$K$10001,0)),"")</f>
        <v/>
      </c>
    </row>
    <row r="1968">
      <c r="A1968">
        <f>IFERROR(INDEX('Email Cleaner'!$B$2:$B$10001,MATCH(1967,'Email Cleaner'!$K$2:$K$10001,0)),"")</f>
        <v/>
      </c>
    </row>
    <row r="1969">
      <c r="A1969">
        <f>IFERROR(INDEX('Email Cleaner'!$B$2:$B$10001,MATCH(1968,'Email Cleaner'!$K$2:$K$10001,0)),"")</f>
        <v/>
      </c>
    </row>
    <row r="1970">
      <c r="A1970">
        <f>IFERROR(INDEX('Email Cleaner'!$B$2:$B$10001,MATCH(1969,'Email Cleaner'!$K$2:$K$10001,0)),"")</f>
        <v/>
      </c>
    </row>
    <row r="1971">
      <c r="A1971">
        <f>IFERROR(INDEX('Email Cleaner'!$B$2:$B$10001,MATCH(1970,'Email Cleaner'!$K$2:$K$10001,0)),"")</f>
        <v/>
      </c>
    </row>
    <row r="1972">
      <c r="A1972">
        <f>IFERROR(INDEX('Email Cleaner'!$B$2:$B$10001,MATCH(1971,'Email Cleaner'!$K$2:$K$10001,0)),"")</f>
        <v/>
      </c>
    </row>
    <row r="1973">
      <c r="A1973">
        <f>IFERROR(INDEX('Email Cleaner'!$B$2:$B$10001,MATCH(1972,'Email Cleaner'!$K$2:$K$10001,0)),"")</f>
        <v/>
      </c>
    </row>
    <row r="1974">
      <c r="A1974">
        <f>IFERROR(INDEX('Email Cleaner'!$B$2:$B$10001,MATCH(1973,'Email Cleaner'!$K$2:$K$10001,0)),"")</f>
        <v/>
      </c>
    </row>
    <row r="1975">
      <c r="A1975">
        <f>IFERROR(INDEX('Email Cleaner'!$B$2:$B$10001,MATCH(1974,'Email Cleaner'!$K$2:$K$10001,0)),"")</f>
        <v/>
      </c>
    </row>
    <row r="1976">
      <c r="A1976">
        <f>IFERROR(INDEX('Email Cleaner'!$B$2:$B$10001,MATCH(1975,'Email Cleaner'!$K$2:$K$10001,0)),"")</f>
        <v/>
      </c>
    </row>
    <row r="1977">
      <c r="A1977">
        <f>IFERROR(INDEX('Email Cleaner'!$B$2:$B$10001,MATCH(1976,'Email Cleaner'!$K$2:$K$10001,0)),"")</f>
        <v/>
      </c>
    </row>
    <row r="1978">
      <c r="A1978">
        <f>IFERROR(INDEX('Email Cleaner'!$B$2:$B$10001,MATCH(1977,'Email Cleaner'!$K$2:$K$10001,0)),"")</f>
        <v/>
      </c>
    </row>
    <row r="1979">
      <c r="A1979">
        <f>IFERROR(INDEX('Email Cleaner'!$B$2:$B$10001,MATCH(1978,'Email Cleaner'!$K$2:$K$10001,0)),"")</f>
        <v/>
      </c>
    </row>
    <row r="1980">
      <c r="A1980">
        <f>IFERROR(INDEX('Email Cleaner'!$B$2:$B$10001,MATCH(1979,'Email Cleaner'!$K$2:$K$10001,0)),"")</f>
        <v/>
      </c>
    </row>
    <row r="1981">
      <c r="A1981">
        <f>IFERROR(INDEX('Email Cleaner'!$B$2:$B$10001,MATCH(1980,'Email Cleaner'!$K$2:$K$10001,0)),"")</f>
        <v/>
      </c>
    </row>
    <row r="1982">
      <c r="A1982">
        <f>IFERROR(INDEX('Email Cleaner'!$B$2:$B$10001,MATCH(1981,'Email Cleaner'!$K$2:$K$10001,0)),"")</f>
        <v/>
      </c>
    </row>
    <row r="1983">
      <c r="A1983">
        <f>IFERROR(INDEX('Email Cleaner'!$B$2:$B$10001,MATCH(1982,'Email Cleaner'!$K$2:$K$10001,0)),"")</f>
        <v/>
      </c>
    </row>
    <row r="1984">
      <c r="A1984">
        <f>IFERROR(INDEX('Email Cleaner'!$B$2:$B$10001,MATCH(1983,'Email Cleaner'!$K$2:$K$10001,0)),"")</f>
        <v/>
      </c>
    </row>
    <row r="1985">
      <c r="A1985">
        <f>IFERROR(INDEX('Email Cleaner'!$B$2:$B$10001,MATCH(1984,'Email Cleaner'!$K$2:$K$10001,0)),"")</f>
        <v/>
      </c>
    </row>
    <row r="1986">
      <c r="A1986">
        <f>IFERROR(INDEX('Email Cleaner'!$B$2:$B$10001,MATCH(1985,'Email Cleaner'!$K$2:$K$10001,0)),"")</f>
        <v/>
      </c>
    </row>
    <row r="1987">
      <c r="A1987">
        <f>IFERROR(INDEX('Email Cleaner'!$B$2:$B$10001,MATCH(1986,'Email Cleaner'!$K$2:$K$10001,0)),"")</f>
        <v/>
      </c>
    </row>
    <row r="1988">
      <c r="A1988">
        <f>IFERROR(INDEX('Email Cleaner'!$B$2:$B$10001,MATCH(1987,'Email Cleaner'!$K$2:$K$10001,0)),"")</f>
        <v/>
      </c>
    </row>
    <row r="1989">
      <c r="A1989">
        <f>IFERROR(INDEX('Email Cleaner'!$B$2:$B$10001,MATCH(1988,'Email Cleaner'!$K$2:$K$10001,0)),"")</f>
        <v/>
      </c>
    </row>
    <row r="1990">
      <c r="A1990">
        <f>IFERROR(INDEX('Email Cleaner'!$B$2:$B$10001,MATCH(1989,'Email Cleaner'!$K$2:$K$10001,0)),"")</f>
        <v/>
      </c>
    </row>
    <row r="1991">
      <c r="A1991">
        <f>IFERROR(INDEX('Email Cleaner'!$B$2:$B$10001,MATCH(1990,'Email Cleaner'!$K$2:$K$10001,0)),"")</f>
        <v/>
      </c>
    </row>
    <row r="1992">
      <c r="A1992">
        <f>IFERROR(INDEX('Email Cleaner'!$B$2:$B$10001,MATCH(1991,'Email Cleaner'!$K$2:$K$10001,0)),"")</f>
        <v/>
      </c>
    </row>
    <row r="1993">
      <c r="A1993">
        <f>IFERROR(INDEX('Email Cleaner'!$B$2:$B$10001,MATCH(1992,'Email Cleaner'!$K$2:$K$10001,0)),"")</f>
        <v/>
      </c>
    </row>
    <row r="1994">
      <c r="A1994">
        <f>IFERROR(INDEX('Email Cleaner'!$B$2:$B$10001,MATCH(1993,'Email Cleaner'!$K$2:$K$10001,0)),"")</f>
        <v/>
      </c>
    </row>
    <row r="1995">
      <c r="A1995">
        <f>IFERROR(INDEX('Email Cleaner'!$B$2:$B$10001,MATCH(1994,'Email Cleaner'!$K$2:$K$10001,0)),"")</f>
        <v/>
      </c>
    </row>
    <row r="1996">
      <c r="A1996">
        <f>IFERROR(INDEX('Email Cleaner'!$B$2:$B$10001,MATCH(1995,'Email Cleaner'!$K$2:$K$10001,0)),"")</f>
        <v/>
      </c>
    </row>
    <row r="1997">
      <c r="A1997">
        <f>IFERROR(INDEX('Email Cleaner'!$B$2:$B$10001,MATCH(1996,'Email Cleaner'!$K$2:$K$10001,0)),"")</f>
        <v/>
      </c>
    </row>
    <row r="1998">
      <c r="A1998">
        <f>IFERROR(INDEX('Email Cleaner'!$B$2:$B$10001,MATCH(1997,'Email Cleaner'!$K$2:$K$10001,0)),"")</f>
        <v/>
      </c>
    </row>
    <row r="1999">
      <c r="A1999">
        <f>IFERROR(INDEX('Email Cleaner'!$B$2:$B$10001,MATCH(1998,'Email Cleaner'!$K$2:$K$10001,0)),"")</f>
        <v/>
      </c>
    </row>
    <row r="2000">
      <c r="A2000">
        <f>IFERROR(INDEX('Email Cleaner'!$B$2:$B$10001,MATCH(1999,'Email Cleaner'!$K$2:$K$10001,0)),"")</f>
        <v/>
      </c>
    </row>
    <row r="2001">
      <c r="A2001">
        <f>IFERROR(INDEX('Email Cleaner'!$B$2:$B$10001,MATCH(2000,'Email Cleaner'!$K$2:$K$10001,0)),"")</f>
        <v/>
      </c>
    </row>
    <row r="2002">
      <c r="A2002">
        <f>IFERROR(INDEX('Email Cleaner'!$B$2:$B$10001,MATCH(2001,'Email Cleaner'!$K$2:$K$10001,0)),"")</f>
        <v/>
      </c>
    </row>
    <row r="2003">
      <c r="A2003">
        <f>IFERROR(INDEX('Email Cleaner'!$B$2:$B$10001,MATCH(2002,'Email Cleaner'!$K$2:$K$10001,0)),"")</f>
        <v/>
      </c>
    </row>
    <row r="2004">
      <c r="A2004">
        <f>IFERROR(INDEX('Email Cleaner'!$B$2:$B$10001,MATCH(2003,'Email Cleaner'!$K$2:$K$10001,0)),"")</f>
        <v/>
      </c>
    </row>
    <row r="2005">
      <c r="A2005">
        <f>IFERROR(INDEX('Email Cleaner'!$B$2:$B$10001,MATCH(2004,'Email Cleaner'!$K$2:$K$10001,0)),"")</f>
        <v/>
      </c>
    </row>
    <row r="2006">
      <c r="A2006">
        <f>IFERROR(INDEX('Email Cleaner'!$B$2:$B$10001,MATCH(2005,'Email Cleaner'!$K$2:$K$10001,0)),"")</f>
        <v/>
      </c>
    </row>
    <row r="2007">
      <c r="A2007">
        <f>IFERROR(INDEX('Email Cleaner'!$B$2:$B$10001,MATCH(2006,'Email Cleaner'!$K$2:$K$10001,0)),"")</f>
        <v/>
      </c>
    </row>
    <row r="2008">
      <c r="A2008">
        <f>IFERROR(INDEX('Email Cleaner'!$B$2:$B$10001,MATCH(2007,'Email Cleaner'!$K$2:$K$10001,0)),"")</f>
        <v/>
      </c>
    </row>
    <row r="2009">
      <c r="A2009">
        <f>IFERROR(INDEX('Email Cleaner'!$B$2:$B$10001,MATCH(2008,'Email Cleaner'!$K$2:$K$10001,0)),"")</f>
        <v/>
      </c>
    </row>
    <row r="2010">
      <c r="A2010">
        <f>IFERROR(INDEX('Email Cleaner'!$B$2:$B$10001,MATCH(2009,'Email Cleaner'!$K$2:$K$10001,0)),"")</f>
        <v/>
      </c>
    </row>
    <row r="2011">
      <c r="A2011">
        <f>IFERROR(INDEX('Email Cleaner'!$B$2:$B$10001,MATCH(2010,'Email Cleaner'!$K$2:$K$10001,0)),"")</f>
        <v/>
      </c>
    </row>
    <row r="2012">
      <c r="A2012">
        <f>IFERROR(INDEX('Email Cleaner'!$B$2:$B$10001,MATCH(2011,'Email Cleaner'!$K$2:$K$10001,0)),"")</f>
        <v/>
      </c>
    </row>
    <row r="2013">
      <c r="A2013">
        <f>IFERROR(INDEX('Email Cleaner'!$B$2:$B$10001,MATCH(2012,'Email Cleaner'!$K$2:$K$10001,0)),"")</f>
        <v/>
      </c>
    </row>
    <row r="2014">
      <c r="A2014">
        <f>IFERROR(INDEX('Email Cleaner'!$B$2:$B$10001,MATCH(2013,'Email Cleaner'!$K$2:$K$10001,0)),"")</f>
        <v/>
      </c>
    </row>
    <row r="2015">
      <c r="A2015">
        <f>IFERROR(INDEX('Email Cleaner'!$B$2:$B$10001,MATCH(2014,'Email Cleaner'!$K$2:$K$10001,0)),"")</f>
        <v/>
      </c>
    </row>
    <row r="2016">
      <c r="A2016">
        <f>IFERROR(INDEX('Email Cleaner'!$B$2:$B$10001,MATCH(2015,'Email Cleaner'!$K$2:$K$10001,0)),"")</f>
        <v/>
      </c>
    </row>
    <row r="2017">
      <c r="A2017">
        <f>IFERROR(INDEX('Email Cleaner'!$B$2:$B$10001,MATCH(2016,'Email Cleaner'!$K$2:$K$10001,0)),"")</f>
        <v/>
      </c>
    </row>
    <row r="2018">
      <c r="A2018">
        <f>IFERROR(INDEX('Email Cleaner'!$B$2:$B$10001,MATCH(2017,'Email Cleaner'!$K$2:$K$10001,0)),"")</f>
        <v/>
      </c>
    </row>
    <row r="2019">
      <c r="A2019">
        <f>IFERROR(INDEX('Email Cleaner'!$B$2:$B$10001,MATCH(2018,'Email Cleaner'!$K$2:$K$10001,0)),"")</f>
        <v/>
      </c>
    </row>
    <row r="2020">
      <c r="A2020">
        <f>IFERROR(INDEX('Email Cleaner'!$B$2:$B$10001,MATCH(2019,'Email Cleaner'!$K$2:$K$10001,0)),"")</f>
        <v/>
      </c>
    </row>
    <row r="2021">
      <c r="A2021">
        <f>IFERROR(INDEX('Email Cleaner'!$B$2:$B$10001,MATCH(2020,'Email Cleaner'!$K$2:$K$10001,0)),"")</f>
        <v/>
      </c>
    </row>
    <row r="2022">
      <c r="A2022">
        <f>IFERROR(INDEX('Email Cleaner'!$B$2:$B$10001,MATCH(2021,'Email Cleaner'!$K$2:$K$10001,0)),"")</f>
        <v/>
      </c>
    </row>
    <row r="2023">
      <c r="A2023">
        <f>IFERROR(INDEX('Email Cleaner'!$B$2:$B$10001,MATCH(2022,'Email Cleaner'!$K$2:$K$10001,0)),"")</f>
        <v/>
      </c>
    </row>
    <row r="2024">
      <c r="A2024">
        <f>IFERROR(INDEX('Email Cleaner'!$B$2:$B$10001,MATCH(2023,'Email Cleaner'!$K$2:$K$10001,0)),"")</f>
        <v/>
      </c>
    </row>
    <row r="2025">
      <c r="A2025">
        <f>IFERROR(INDEX('Email Cleaner'!$B$2:$B$10001,MATCH(2024,'Email Cleaner'!$K$2:$K$10001,0)),"")</f>
        <v/>
      </c>
    </row>
    <row r="2026">
      <c r="A2026">
        <f>IFERROR(INDEX('Email Cleaner'!$B$2:$B$10001,MATCH(2025,'Email Cleaner'!$K$2:$K$10001,0)),"")</f>
        <v/>
      </c>
    </row>
    <row r="2027">
      <c r="A2027">
        <f>IFERROR(INDEX('Email Cleaner'!$B$2:$B$10001,MATCH(2026,'Email Cleaner'!$K$2:$K$10001,0)),"")</f>
        <v/>
      </c>
    </row>
    <row r="2028">
      <c r="A2028">
        <f>IFERROR(INDEX('Email Cleaner'!$B$2:$B$10001,MATCH(2027,'Email Cleaner'!$K$2:$K$10001,0)),"")</f>
        <v/>
      </c>
    </row>
    <row r="2029">
      <c r="A2029">
        <f>IFERROR(INDEX('Email Cleaner'!$B$2:$B$10001,MATCH(2028,'Email Cleaner'!$K$2:$K$10001,0)),"")</f>
        <v/>
      </c>
    </row>
    <row r="2030">
      <c r="A2030">
        <f>IFERROR(INDEX('Email Cleaner'!$B$2:$B$10001,MATCH(2029,'Email Cleaner'!$K$2:$K$10001,0)),"")</f>
        <v/>
      </c>
    </row>
    <row r="2031">
      <c r="A2031">
        <f>IFERROR(INDEX('Email Cleaner'!$B$2:$B$10001,MATCH(2030,'Email Cleaner'!$K$2:$K$10001,0)),"")</f>
        <v/>
      </c>
    </row>
    <row r="2032">
      <c r="A2032">
        <f>IFERROR(INDEX('Email Cleaner'!$B$2:$B$10001,MATCH(2031,'Email Cleaner'!$K$2:$K$10001,0)),"")</f>
        <v/>
      </c>
    </row>
    <row r="2033">
      <c r="A2033">
        <f>IFERROR(INDEX('Email Cleaner'!$B$2:$B$10001,MATCH(2032,'Email Cleaner'!$K$2:$K$10001,0)),"")</f>
        <v/>
      </c>
    </row>
    <row r="2034">
      <c r="A2034">
        <f>IFERROR(INDEX('Email Cleaner'!$B$2:$B$10001,MATCH(2033,'Email Cleaner'!$K$2:$K$10001,0)),"")</f>
        <v/>
      </c>
    </row>
    <row r="2035">
      <c r="A2035">
        <f>IFERROR(INDEX('Email Cleaner'!$B$2:$B$10001,MATCH(2034,'Email Cleaner'!$K$2:$K$10001,0)),"")</f>
        <v/>
      </c>
    </row>
    <row r="2036">
      <c r="A2036">
        <f>IFERROR(INDEX('Email Cleaner'!$B$2:$B$10001,MATCH(2035,'Email Cleaner'!$K$2:$K$10001,0)),"")</f>
        <v/>
      </c>
    </row>
    <row r="2037">
      <c r="A2037">
        <f>IFERROR(INDEX('Email Cleaner'!$B$2:$B$10001,MATCH(2036,'Email Cleaner'!$K$2:$K$10001,0)),"")</f>
        <v/>
      </c>
    </row>
    <row r="2038">
      <c r="A2038">
        <f>IFERROR(INDEX('Email Cleaner'!$B$2:$B$10001,MATCH(2037,'Email Cleaner'!$K$2:$K$10001,0)),"")</f>
        <v/>
      </c>
    </row>
    <row r="2039">
      <c r="A2039">
        <f>IFERROR(INDEX('Email Cleaner'!$B$2:$B$10001,MATCH(2038,'Email Cleaner'!$K$2:$K$10001,0)),"")</f>
        <v/>
      </c>
    </row>
    <row r="2040">
      <c r="A2040">
        <f>IFERROR(INDEX('Email Cleaner'!$B$2:$B$10001,MATCH(2039,'Email Cleaner'!$K$2:$K$10001,0)),"")</f>
        <v/>
      </c>
    </row>
    <row r="2041">
      <c r="A2041">
        <f>IFERROR(INDEX('Email Cleaner'!$B$2:$B$10001,MATCH(2040,'Email Cleaner'!$K$2:$K$10001,0)),"")</f>
        <v/>
      </c>
    </row>
    <row r="2042">
      <c r="A2042">
        <f>IFERROR(INDEX('Email Cleaner'!$B$2:$B$10001,MATCH(2041,'Email Cleaner'!$K$2:$K$10001,0)),"")</f>
        <v/>
      </c>
    </row>
    <row r="2043">
      <c r="A2043">
        <f>IFERROR(INDEX('Email Cleaner'!$B$2:$B$10001,MATCH(2042,'Email Cleaner'!$K$2:$K$10001,0)),"")</f>
        <v/>
      </c>
    </row>
    <row r="2044">
      <c r="A2044">
        <f>IFERROR(INDEX('Email Cleaner'!$B$2:$B$10001,MATCH(2043,'Email Cleaner'!$K$2:$K$10001,0)),"")</f>
        <v/>
      </c>
    </row>
    <row r="2045">
      <c r="A2045">
        <f>IFERROR(INDEX('Email Cleaner'!$B$2:$B$10001,MATCH(2044,'Email Cleaner'!$K$2:$K$10001,0)),"")</f>
        <v/>
      </c>
    </row>
    <row r="2046">
      <c r="A2046">
        <f>IFERROR(INDEX('Email Cleaner'!$B$2:$B$10001,MATCH(2045,'Email Cleaner'!$K$2:$K$10001,0)),"")</f>
        <v/>
      </c>
    </row>
    <row r="2047">
      <c r="A2047">
        <f>IFERROR(INDEX('Email Cleaner'!$B$2:$B$10001,MATCH(2046,'Email Cleaner'!$K$2:$K$10001,0)),"")</f>
        <v/>
      </c>
    </row>
    <row r="2048">
      <c r="A2048">
        <f>IFERROR(INDEX('Email Cleaner'!$B$2:$B$10001,MATCH(2047,'Email Cleaner'!$K$2:$K$10001,0)),"")</f>
        <v/>
      </c>
    </row>
    <row r="2049">
      <c r="A2049">
        <f>IFERROR(INDEX('Email Cleaner'!$B$2:$B$10001,MATCH(2048,'Email Cleaner'!$K$2:$K$10001,0)),"")</f>
        <v/>
      </c>
    </row>
    <row r="2050">
      <c r="A2050">
        <f>IFERROR(INDEX('Email Cleaner'!$B$2:$B$10001,MATCH(2049,'Email Cleaner'!$K$2:$K$10001,0)),"")</f>
        <v/>
      </c>
    </row>
    <row r="2051">
      <c r="A2051">
        <f>IFERROR(INDEX('Email Cleaner'!$B$2:$B$10001,MATCH(2050,'Email Cleaner'!$K$2:$K$10001,0)),"")</f>
        <v/>
      </c>
    </row>
    <row r="2052">
      <c r="A2052">
        <f>IFERROR(INDEX('Email Cleaner'!$B$2:$B$10001,MATCH(2051,'Email Cleaner'!$K$2:$K$10001,0)),"")</f>
        <v/>
      </c>
    </row>
    <row r="2053">
      <c r="A2053">
        <f>IFERROR(INDEX('Email Cleaner'!$B$2:$B$10001,MATCH(2052,'Email Cleaner'!$K$2:$K$10001,0)),"")</f>
        <v/>
      </c>
    </row>
    <row r="2054">
      <c r="A2054">
        <f>IFERROR(INDEX('Email Cleaner'!$B$2:$B$10001,MATCH(2053,'Email Cleaner'!$K$2:$K$10001,0)),"")</f>
        <v/>
      </c>
    </row>
    <row r="2055">
      <c r="A2055">
        <f>IFERROR(INDEX('Email Cleaner'!$B$2:$B$10001,MATCH(2054,'Email Cleaner'!$K$2:$K$10001,0)),"")</f>
        <v/>
      </c>
    </row>
    <row r="2056">
      <c r="A2056">
        <f>IFERROR(INDEX('Email Cleaner'!$B$2:$B$10001,MATCH(2055,'Email Cleaner'!$K$2:$K$10001,0)),"")</f>
        <v/>
      </c>
    </row>
    <row r="2057">
      <c r="A2057">
        <f>IFERROR(INDEX('Email Cleaner'!$B$2:$B$10001,MATCH(2056,'Email Cleaner'!$K$2:$K$10001,0)),"")</f>
        <v/>
      </c>
    </row>
    <row r="2058">
      <c r="A2058">
        <f>IFERROR(INDEX('Email Cleaner'!$B$2:$B$10001,MATCH(2057,'Email Cleaner'!$K$2:$K$10001,0)),"")</f>
        <v/>
      </c>
    </row>
    <row r="2059">
      <c r="A2059">
        <f>IFERROR(INDEX('Email Cleaner'!$B$2:$B$10001,MATCH(2058,'Email Cleaner'!$K$2:$K$10001,0)),"")</f>
        <v/>
      </c>
    </row>
    <row r="2060">
      <c r="A2060">
        <f>IFERROR(INDEX('Email Cleaner'!$B$2:$B$10001,MATCH(2059,'Email Cleaner'!$K$2:$K$10001,0)),"")</f>
        <v/>
      </c>
    </row>
    <row r="2061">
      <c r="A2061">
        <f>IFERROR(INDEX('Email Cleaner'!$B$2:$B$10001,MATCH(2060,'Email Cleaner'!$K$2:$K$10001,0)),"")</f>
        <v/>
      </c>
    </row>
    <row r="2062">
      <c r="A2062">
        <f>IFERROR(INDEX('Email Cleaner'!$B$2:$B$10001,MATCH(2061,'Email Cleaner'!$K$2:$K$10001,0)),"")</f>
        <v/>
      </c>
    </row>
    <row r="2063">
      <c r="A2063">
        <f>IFERROR(INDEX('Email Cleaner'!$B$2:$B$10001,MATCH(2062,'Email Cleaner'!$K$2:$K$10001,0)),"")</f>
        <v/>
      </c>
    </row>
    <row r="2064">
      <c r="A2064">
        <f>IFERROR(INDEX('Email Cleaner'!$B$2:$B$10001,MATCH(2063,'Email Cleaner'!$K$2:$K$10001,0)),"")</f>
        <v/>
      </c>
    </row>
    <row r="2065">
      <c r="A2065">
        <f>IFERROR(INDEX('Email Cleaner'!$B$2:$B$10001,MATCH(2064,'Email Cleaner'!$K$2:$K$10001,0)),"")</f>
        <v/>
      </c>
    </row>
    <row r="2066">
      <c r="A2066">
        <f>IFERROR(INDEX('Email Cleaner'!$B$2:$B$10001,MATCH(2065,'Email Cleaner'!$K$2:$K$10001,0)),"")</f>
        <v/>
      </c>
    </row>
    <row r="2067">
      <c r="A2067">
        <f>IFERROR(INDEX('Email Cleaner'!$B$2:$B$10001,MATCH(2066,'Email Cleaner'!$K$2:$K$10001,0)),"")</f>
        <v/>
      </c>
    </row>
    <row r="2068">
      <c r="A2068">
        <f>IFERROR(INDEX('Email Cleaner'!$B$2:$B$10001,MATCH(2067,'Email Cleaner'!$K$2:$K$10001,0)),"")</f>
        <v/>
      </c>
    </row>
    <row r="2069">
      <c r="A2069">
        <f>IFERROR(INDEX('Email Cleaner'!$B$2:$B$10001,MATCH(2068,'Email Cleaner'!$K$2:$K$10001,0)),"")</f>
        <v/>
      </c>
    </row>
    <row r="2070">
      <c r="A2070">
        <f>IFERROR(INDEX('Email Cleaner'!$B$2:$B$10001,MATCH(2069,'Email Cleaner'!$K$2:$K$10001,0)),"")</f>
        <v/>
      </c>
    </row>
    <row r="2071">
      <c r="A2071">
        <f>IFERROR(INDEX('Email Cleaner'!$B$2:$B$10001,MATCH(2070,'Email Cleaner'!$K$2:$K$10001,0)),"")</f>
        <v/>
      </c>
    </row>
    <row r="2072">
      <c r="A2072">
        <f>IFERROR(INDEX('Email Cleaner'!$B$2:$B$10001,MATCH(2071,'Email Cleaner'!$K$2:$K$10001,0)),"")</f>
        <v/>
      </c>
    </row>
    <row r="2073">
      <c r="A2073">
        <f>IFERROR(INDEX('Email Cleaner'!$B$2:$B$10001,MATCH(2072,'Email Cleaner'!$K$2:$K$10001,0)),"")</f>
        <v/>
      </c>
    </row>
    <row r="2074">
      <c r="A2074">
        <f>IFERROR(INDEX('Email Cleaner'!$B$2:$B$10001,MATCH(2073,'Email Cleaner'!$K$2:$K$10001,0)),"")</f>
        <v/>
      </c>
    </row>
    <row r="2075">
      <c r="A2075">
        <f>IFERROR(INDEX('Email Cleaner'!$B$2:$B$10001,MATCH(2074,'Email Cleaner'!$K$2:$K$10001,0)),"")</f>
        <v/>
      </c>
    </row>
    <row r="2076">
      <c r="A2076">
        <f>IFERROR(INDEX('Email Cleaner'!$B$2:$B$10001,MATCH(2075,'Email Cleaner'!$K$2:$K$10001,0)),"")</f>
        <v/>
      </c>
    </row>
    <row r="2077">
      <c r="A2077">
        <f>IFERROR(INDEX('Email Cleaner'!$B$2:$B$10001,MATCH(2076,'Email Cleaner'!$K$2:$K$10001,0)),"")</f>
        <v/>
      </c>
    </row>
    <row r="2078">
      <c r="A2078">
        <f>IFERROR(INDEX('Email Cleaner'!$B$2:$B$10001,MATCH(2077,'Email Cleaner'!$K$2:$K$10001,0)),"")</f>
        <v/>
      </c>
    </row>
    <row r="2079">
      <c r="A2079">
        <f>IFERROR(INDEX('Email Cleaner'!$B$2:$B$10001,MATCH(2078,'Email Cleaner'!$K$2:$K$10001,0)),"")</f>
        <v/>
      </c>
    </row>
    <row r="2080">
      <c r="A2080">
        <f>IFERROR(INDEX('Email Cleaner'!$B$2:$B$10001,MATCH(2079,'Email Cleaner'!$K$2:$K$10001,0)),"")</f>
        <v/>
      </c>
    </row>
    <row r="2081">
      <c r="A2081">
        <f>IFERROR(INDEX('Email Cleaner'!$B$2:$B$10001,MATCH(2080,'Email Cleaner'!$K$2:$K$10001,0)),"")</f>
        <v/>
      </c>
    </row>
    <row r="2082">
      <c r="A2082">
        <f>IFERROR(INDEX('Email Cleaner'!$B$2:$B$10001,MATCH(2081,'Email Cleaner'!$K$2:$K$10001,0)),"")</f>
        <v/>
      </c>
    </row>
    <row r="2083">
      <c r="A2083">
        <f>IFERROR(INDEX('Email Cleaner'!$B$2:$B$10001,MATCH(2082,'Email Cleaner'!$K$2:$K$10001,0)),"")</f>
        <v/>
      </c>
    </row>
    <row r="2084">
      <c r="A2084">
        <f>IFERROR(INDEX('Email Cleaner'!$B$2:$B$10001,MATCH(2083,'Email Cleaner'!$K$2:$K$10001,0)),"")</f>
        <v/>
      </c>
    </row>
    <row r="2085">
      <c r="A2085">
        <f>IFERROR(INDEX('Email Cleaner'!$B$2:$B$10001,MATCH(2084,'Email Cleaner'!$K$2:$K$10001,0)),"")</f>
        <v/>
      </c>
    </row>
    <row r="2086">
      <c r="A2086">
        <f>IFERROR(INDEX('Email Cleaner'!$B$2:$B$10001,MATCH(2085,'Email Cleaner'!$K$2:$K$10001,0)),"")</f>
        <v/>
      </c>
    </row>
    <row r="2087">
      <c r="A2087">
        <f>IFERROR(INDEX('Email Cleaner'!$B$2:$B$10001,MATCH(2086,'Email Cleaner'!$K$2:$K$10001,0)),"")</f>
        <v/>
      </c>
    </row>
    <row r="2088">
      <c r="A2088">
        <f>IFERROR(INDEX('Email Cleaner'!$B$2:$B$10001,MATCH(2087,'Email Cleaner'!$K$2:$K$10001,0)),"")</f>
        <v/>
      </c>
    </row>
    <row r="2089">
      <c r="A2089">
        <f>IFERROR(INDEX('Email Cleaner'!$B$2:$B$10001,MATCH(2088,'Email Cleaner'!$K$2:$K$10001,0)),"")</f>
        <v/>
      </c>
    </row>
    <row r="2090">
      <c r="A2090">
        <f>IFERROR(INDEX('Email Cleaner'!$B$2:$B$10001,MATCH(2089,'Email Cleaner'!$K$2:$K$10001,0)),"")</f>
        <v/>
      </c>
    </row>
    <row r="2091">
      <c r="A2091">
        <f>IFERROR(INDEX('Email Cleaner'!$B$2:$B$10001,MATCH(2090,'Email Cleaner'!$K$2:$K$10001,0)),"")</f>
        <v/>
      </c>
    </row>
    <row r="2092">
      <c r="A2092">
        <f>IFERROR(INDEX('Email Cleaner'!$B$2:$B$10001,MATCH(2091,'Email Cleaner'!$K$2:$K$10001,0)),"")</f>
        <v/>
      </c>
    </row>
    <row r="2093">
      <c r="A2093">
        <f>IFERROR(INDEX('Email Cleaner'!$B$2:$B$10001,MATCH(2092,'Email Cleaner'!$K$2:$K$10001,0)),"")</f>
        <v/>
      </c>
    </row>
    <row r="2094">
      <c r="A2094">
        <f>IFERROR(INDEX('Email Cleaner'!$B$2:$B$10001,MATCH(2093,'Email Cleaner'!$K$2:$K$10001,0)),"")</f>
        <v/>
      </c>
    </row>
    <row r="2095">
      <c r="A2095">
        <f>IFERROR(INDEX('Email Cleaner'!$B$2:$B$10001,MATCH(2094,'Email Cleaner'!$K$2:$K$10001,0)),"")</f>
        <v/>
      </c>
    </row>
    <row r="2096">
      <c r="A2096">
        <f>IFERROR(INDEX('Email Cleaner'!$B$2:$B$10001,MATCH(2095,'Email Cleaner'!$K$2:$K$10001,0)),"")</f>
        <v/>
      </c>
    </row>
    <row r="2097">
      <c r="A2097">
        <f>IFERROR(INDEX('Email Cleaner'!$B$2:$B$10001,MATCH(2096,'Email Cleaner'!$K$2:$K$10001,0)),"")</f>
        <v/>
      </c>
    </row>
    <row r="2098">
      <c r="A2098">
        <f>IFERROR(INDEX('Email Cleaner'!$B$2:$B$10001,MATCH(2097,'Email Cleaner'!$K$2:$K$10001,0)),"")</f>
        <v/>
      </c>
    </row>
    <row r="2099">
      <c r="A2099">
        <f>IFERROR(INDEX('Email Cleaner'!$B$2:$B$10001,MATCH(2098,'Email Cleaner'!$K$2:$K$10001,0)),"")</f>
        <v/>
      </c>
    </row>
    <row r="2100">
      <c r="A2100">
        <f>IFERROR(INDEX('Email Cleaner'!$B$2:$B$10001,MATCH(2099,'Email Cleaner'!$K$2:$K$10001,0)),"")</f>
        <v/>
      </c>
    </row>
    <row r="2101">
      <c r="A2101">
        <f>IFERROR(INDEX('Email Cleaner'!$B$2:$B$10001,MATCH(2100,'Email Cleaner'!$K$2:$K$10001,0)),"")</f>
        <v/>
      </c>
    </row>
    <row r="2102">
      <c r="A2102">
        <f>IFERROR(INDEX('Email Cleaner'!$B$2:$B$10001,MATCH(2101,'Email Cleaner'!$K$2:$K$10001,0)),"")</f>
        <v/>
      </c>
    </row>
    <row r="2103">
      <c r="A2103">
        <f>IFERROR(INDEX('Email Cleaner'!$B$2:$B$10001,MATCH(2102,'Email Cleaner'!$K$2:$K$10001,0)),"")</f>
        <v/>
      </c>
    </row>
    <row r="2104">
      <c r="A2104">
        <f>IFERROR(INDEX('Email Cleaner'!$B$2:$B$10001,MATCH(2103,'Email Cleaner'!$K$2:$K$10001,0)),"")</f>
        <v/>
      </c>
    </row>
    <row r="2105">
      <c r="A2105">
        <f>IFERROR(INDEX('Email Cleaner'!$B$2:$B$10001,MATCH(2104,'Email Cleaner'!$K$2:$K$10001,0)),"")</f>
        <v/>
      </c>
    </row>
    <row r="2106">
      <c r="A2106">
        <f>IFERROR(INDEX('Email Cleaner'!$B$2:$B$10001,MATCH(2105,'Email Cleaner'!$K$2:$K$10001,0)),"")</f>
        <v/>
      </c>
    </row>
    <row r="2107">
      <c r="A2107">
        <f>IFERROR(INDEX('Email Cleaner'!$B$2:$B$10001,MATCH(2106,'Email Cleaner'!$K$2:$K$10001,0)),"")</f>
        <v/>
      </c>
    </row>
    <row r="2108">
      <c r="A2108">
        <f>IFERROR(INDEX('Email Cleaner'!$B$2:$B$10001,MATCH(2107,'Email Cleaner'!$K$2:$K$10001,0)),"")</f>
        <v/>
      </c>
    </row>
    <row r="2109">
      <c r="A2109">
        <f>IFERROR(INDEX('Email Cleaner'!$B$2:$B$10001,MATCH(2108,'Email Cleaner'!$K$2:$K$10001,0)),"")</f>
        <v/>
      </c>
    </row>
    <row r="2110">
      <c r="A2110">
        <f>IFERROR(INDEX('Email Cleaner'!$B$2:$B$10001,MATCH(2109,'Email Cleaner'!$K$2:$K$10001,0)),"")</f>
        <v/>
      </c>
    </row>
    <row r="2111">
      <c r="A2111">
        <f>IFERROR(INDEX('Email Cleaner'!$B$2:$B$10001,MATCH(2110,'Email Cleaner'!$K$2:$K$10001,0)),"")</f>
        <v/>
      </c>
    </row>
    <row r="2112">
      <c r="A2112">
        <f>IFERROR(INDEX('Email Cleaner'!$B$2:$B$10001,MATCH(2111,'Email Cleaner'!$K$2:$K$10001,0)),"")</f>
        <v/>
      </c>
    </row>
    <row r="2113">
      <c r="A2113">
        <f>IFERROR(INDEX('Email Cleaner'!$B$2:$B$10001,MATCH(2112,'Email Cleaner'!$K$2:$K$10001,0)),"")</f>
        <v/>
      </c>
    </row>
    <row r="2114">
      <c r="A2114">
        <f>IFERROR(INDEX('Email Cleaner'!$B$2:$B$10001,MATCH(2113,'Email Cleaner'!$K$2:$K$10001,0)),"")</f>
        <v/>
      </c>
    </row>
    <row r="2115">
      <c r="A2115">
        <f>IFERROR(INDEX('Email Cleaner'!$B$2:$B$10001,MATCH(2114,'Email Cleaner'!$K$2:$K$10001,0)),"")</f>
        <v/>
      </c>
    </row>
    <row r="2116">
      <c r="A2116">
        <f>IFERROR(INDEX('Email Cleaner'!$B$2:$B$10001,MATCH(2115,'Email Cleaner'!$K$2:$K$10001,0)),"")</f>
        <v/>
      </c>
    </row>
    <row r="2117">
      <c r="A2117">
        <f>IFERROR(INDEX('Email Cleaner'!$B$2:$B$10001,MATCH(2116,'Email Cleaner'!$K$2:$K$10001,0)),"")</f>
        <v/>
      </c>
    </row>
    <row r="2118">
      <c r="A2118">
        <f>IFERROR(INDEX('Email Cleaner'!$B$2:$B$10001,MATCH(2117,'Email Cleaner'!$K$2:$K$10001,0)),"")</f>
        <v/>
      </c>
    </row>
    <row r="2119">
      <c r="A2119">
        <f>IFERROR(INDEX('Email Cleaner'!$B$2:$B$10001,MATCH(2118,'Email Cleaner'!$K$2:$K$10001,0)),"")</f>
        <v/>
      </c>
    </row>
    <row r="2120">
      <c r="A2120">
        <f>IFERROR(INDEX('Email Cleaner'!$B$2:$B$10001,MATCH(2119,'Email Cleaner'!$K$2:$K$10001,0)),"")</f>
        <v/>
      </c>
    </row>
    <row r="2121">
      <c r="A2121">
        <f>IFERROR(INDEX('Email Cleaner'!$B$2:$B$10001,MATCH(2120,'Email Cleaner'!$K$2:$K$10001,0)),"")</f>
        <v/>
      </c>
    </row>
    <row r="2122">
      <c r="A2122">
        <f>IFERROR(INDEX('Email Cleaner'!$B$2:$B$10001,MATCH(2121,'Email Cleaner'!$K$2:$K$10001,0)),"")</f>
        <v/>
      </c>
    </row>
    <row r="2123">
      <c r="A2123">
        <f>IFERROR(INDEX('Email Cleaner'!$B$2:$B$10001,MATCH(2122,'Email Cleaner'!$K$2:$K$10001,0)),"")</f>
        <v/>
      </c>
    </row>
    <row r="2124">
      <c r="A2124">
        <f>IFERROR(INDEX('Email Cleaner'!$B$2:$B$10001,MATCH(2123,'Email Cleaner'!$K$2:$K$10001,0)),"")</f>
        <v/>
      </c>
    </row>
    <row r="2125">
      <c r="A2125">
        <f>IFERROR(INDEX('Email Cleaner'!$B$2:$B$10001,MATCH(2124,'Email Cleaner'!$K$2:$K$10001,0)),"")</f>
        <v/>
      </c>
    </row>
    <row r="2126">
      <c r="A2126">
        <f>IFERROR(INDEX('Email Cleaner'!$B$2:$B$10001,MATCH(2125,'Email Cleaner'!$K$2:$K$10001,0)),"")</f>
        <v/>
      </c>
    </row>
    <row r="2127">
      <c r="A2127">
        <f>IFERROR(INDEX('Email Cleaner'!$B$2:$B$10001,MATCH(2126,'Email Cleaner'!$K$2:$K$10001,0)),"")</f>
        <v/>
      </c>
    </row>
    <row r="2128">
      <c r="A2128">
        <f>IFERROR(INDEX('Email Cleaner'!$B$2:$B$10001,MATCH(2127,'Email Cleaner'!$K$2:$K$10001,0)),"")</f>
        <v/>
      </c>
    </row>
    <row r="2129">
      <c r="A2129">
        <f>IFERROR(INDEX('Email Cleaner'!$B$2:$B$10001,MATCH(2128,'Email Cleaner'!$K$2:$K$10001,0)),"")</f>
        <v/>
      </c>
    </row>
    <row r="2130">
      <c r="A2130">
        <f>IFERROR(INDEX('Email Cleaner'!$B$2:$B$10001,MATCH(2129,'Email Cleaner'!$K$2:$K$10001,0)),"")</f>
        <v/>
      </c>
    </row>
    <row r="2131">
      <c r="A2131">
        <f>IFERROR(INDEX('Email Cleaner'!$B$2:$B$10001,MATCH(2130,'Email Cleaner'!$K$2:$K$10001,0)),"")</f>
        <v/>
      </c>
    </row>
    <row r="2132">
      <c r="A2132">
        <f>IFERROR(INDEX('Email Cleaner'!$B$2:$B$10001,MATCH(2131,'Email Cleaner'!$K$2:$K$10001,0)),"")</f>
        <v/>
      </c>
    </row>
    <row r="2133">
      <c r="A2133">
        <f>IFERROR(INDEX('Email Cleaner'!$B$2:$B$10001,MATCH(2132,'Email Cleaner'!$K$2:$K$10001,0)),"")</f>
        <v/>
      </c>
    </row>
    <row r="2134">
      <c r="A2134">
        <f>IFERROR(INDEX('Email Cleaner'!$B$2:$B$10001,MATCH(2133,'Email Cleaner'!$K$2:$K$10001,0)),"")</f>
        <v/>
      </c>
    </row>
    <row r="2135">
      <c r="A2135">
        <f>IFERROR(INDEX('Email Cleaner'!$B$2:$B$10001,MATCH(2134,'Email Cleaner'!$K$2:$K$10001,0)),"")</f>
        <v/>
      </c>
    </row>
    <row r="2136">
      <c r="A2136">
        <f>IFERROR(INDEX('Email Cleaner'!$B$2:$B$10001,MATCH(2135,'Email Cleaner'!$K$2:$K$10001,0)),"")</f>
        <v/>
      </c>
    </row>
    <row r="2137">
      <c r="A2137">
        <f>IFERROR(INDEX('Email Cleaner'!$B$2:$B$10001,MATCH(2136,'Email Cleaner'!$K$2:$K$10001,0)),"")</f>
        <v/>
      </c>
    </row>
    <row r="2138">
      <c r="A2138">
        <f>IFERROR(INDEX('Email Cleaner'!$B$2:$B$10001,MATCH(2137,'Email Cleaner'!$K$2:$K$10001,0)),"")</f>
        <v/>
      </c>
    </row>
    <row r="2139">
      <c r="A2139">
        <f>IFERROR(INDEX('Email Cleaner'!$B$2:$B$10001,MATCH(2138,'Email Cleaner'!$K$2:$K$10001,0)),"")</f>
        <v/>
      </c>
    </row>
    <row r="2140">
      <c r="A2140">
        <f>IFERROR(INDEX('Email Cleaner'!$B$2:$B$10001,MATCH(2139,'Email Cleaner'!$K$2:$K$10001,0)),"")</f>
        <v/>
      </c>
    </row>
    <row r="2141">
      <c r="A2141">
        <f>IFERROR(INDEX('Email Cleaner'!$B$2:$B$10001,MATCH(2140,'Email Cleaner'!$K$2:$K$10001,0)),"")</f>
        <v/>
      </c>
    </row>
    <row r="2142">
      <c r="A2142">
        <f>IFERROR(INDEX('Email Cleaner'!$B$2:$B$10001,MATCH(2141,'Email Cleaner'!$K$2:$K$10001,0)),"")</f>
        <v/>
      </c>
    </row>
    <row r="2143">
      <c r="A2143">
        <f>IFERROR(INDEX('Email Cleaner'!$B$2:$B$10001,MATCH(2142,'Email Cleaner'!$K$2:$K$10001,0)),"")</f>
        <v/>
      </c>
    </row>
    <row r="2144">
      <c r="A2144">
        <f>IFERROR(INDEX('Email Cleaner'!$B$2:$B$10001,MATCH(2143,'Email Cleaner'!$K$2:$K$10001,0)),"")</f>
        <v/>
      </c>
    </row>
    <row r="2145">
      <c r="A2145">
        <f>IFERROR(INDEX('Email Cleaner'!$B$2:$B$10001,MATCH(2144,'Email Cleaner'!$K$2:$K$10001,0)),"")</f>
        <v/>
      </c>
    </row>
    <row r="2146">
      <c r="A2146">
        <f>IFERROR(INDEX('Email Cleaner'!$B$2:$B$10001,MATCH(2145,'Email Cleaner'!$K$2:$K$10001,0)),"")</f>
        <v/>
      </c>
    </row>
    <row r="2147">
      <c r="A2147">
        <f>IFERROR(INDEX('Email Cleaner'!$B$2:$B$10001,MATCH(2146,'Email Cleaner'!$K$2:$K$10001,0)),"")</f>
        <v/>
      </c>
    </row>
    <row r="2148">
      <c r="A2148">
        <f>IFERROR(INDEX('Email Cleaner'!$B$2:$B$10001,MATCH(2147,'Email Cleaner'!$K$2:$K$10001,0)),"")</f>
        <v/>
      </c>
    </row>
    <row r="2149">
      <c r="A2149">
        <f>IFERROR(INDEX('Email Cleaner'!$B$2:$B$10001,MATCH(2148,'Email Cleaner'!$K$2:$K$10001,0)),"")</f>
        <v/>
      </c>
    </row>
    <row r="2150">
      <c r="A2150">
        <f>IFERROR(INDEX('Email Cleaner'!$B$2:$B$10001,MATCH(2149,'Email Cleaner'!$K$2:$K$10001,0)),"")</f>
        <v/>
      </c>
    </row>
    <row r="2151">
      <c r="A2151">
        <f>IFERROR(INDEX('Email Cleaner'!$B$2:$B$10001,MATCH(2150,'Email Cleaner'!$K$2:$K$10001,0)),"")</f>
        <v/>
      </c>
    </row>
    <row r="2152">
      <c r="A2152">
        <f>IFERROR(INDEX('Email Cleaner'!$B$2:$B$10001,MATCH(2151,'Email Cleaner'!$K$2:$K$10001,0)),"")</f>
        <v/>
      </c>
    </row>
    <row r="2153">
      <c r="A2153">
        <f>IFERROR(INDEX('Email Cleaner'!$B$2:$B$10001,MATCH(2152,'Email Cleaner'!$K$2:$K$10001,0)),"")</f>
        <v/>
      </c>
    </row>
    <row r="2154">
      <c r="A2154">
        <f>IFERROR(INDEX('Email Cleaner'!$B$2:$B$10001,MATCH(2153,'Email Cleaner'!$K$2:$K$10001,0)),"")</f>
        <v/>
      </c>
    </row>
    <row r="2155">
      <c r="A2155">
        <f>IFERROR(INDEX('Email Cleaner'!$B$2:$B$10001,MATCH(2154,'Email Cleaner'!$K$2:$K$10001,0)),"")</f>
        <v/>
      </c>
    </row>
    <row r="2156">
      <c r="A2156">
        <f>IFERROR(INDEX('Email Cleaner'!$B$2:$B$10001,MATCH(2155,'Email Cleaner'!$K$2:$K$10001,0)),"")</f>
        <v/>
      </c>
    </row>
    <row r="2157">
      <c r="A2157">
        <f>IFERROR(INDEX('Email Cleaner'!$B$2:$B$10001,MATCH(2156,'Email Cleaner'!$K$2:$K$10001,0)),"")</f>
        <v/>
      </c>
    </row>
    <row r="2158">
      <c r="A2158">
        <f>IFERROR(INDEX('Email Cleaner'!$B$2:$B$10001,MATCH(2157,'Email Cleaner'!$K$2:$K$10001,0)),"")</f>
        <v/>
      </c>
    </row>
    <row r="2159">
      <c r="A2159">
        <f>IFERROR(INDEX('Email Cleaner'!$B$2:$B$10001,MATCH(2158,'Email Cleaner'!$K$2:$K$10001,0)),"")</f>
        <v/>
      </c>
    </row>
    <row r="2160">
      <c r="A2160">
        <f>IFERROR(INDEX('Email Cleaner'!$B$2:$B$10001,MATCH(2159,'Email Cleaner'!$K$2:$K$10001,0)),"")</f>
        <v/>
      </c>
    </row>
    <row r="2161">
      <c r="A2161">
        <f>IFERROR(INDEX('Email Cleaner'!$B$2:$B$10001,MATCH(2160,'Email Cleaner'!$K$2:$K$10001,0)),"")</f>
        <v/>
      </c>
    </row>
    <row r="2162">
      <c r="A2162">
        <f>IFERROR(INDEX('Email Cleaner'!$B$2:$B$10001,MATCH(2161,'Email Cleaner'!$K$2:$K$10001,0)),"")</f>
        <v/>
      </c>
    </row>
    <row r="2163">
      <c r="A2163">
        <f>IFERROR(INDEX('Email Cleaner'!$B$2:$B$10001,MATCH(2162,'Email Cleaner'!$K$2:$K$10001,0)),"")</f>
        <v/>
      </c>
    </row>
    <row r="2164">
      <c r="A2164">
        <f>IFERROR(INDEX('Email Cleaner'!$B$2:$B$10001,MATCH(2163,'Email Cleaner'!$K$2:$K$10001,0)),"")</f>
        <v/>
      </c>
    </row>
    <row r="2165">
      <c r="A2165">
        <f>IFERROR(INDEX('Email Cleaner'!$B$2:$B$10001,MATCH(2164,'Email Cleaner'!$K$2:$K$10001,0)),"")</f>
        <v/>
      </c>
    </row>
    <row r="2166">
      <c r="A2166">
        <f>IFERROR(INDEX('Email Cleaner'!$B$2:$B$10001,MATCH(2165,'Email Cleaner'!$K$2:$K$10001,0)),"")</f>
        <v/>
      </c>
    </row>
    <row r="2167">
      <c r="A2167">
        <f>IFERROR(INDEX('Email Cleaner'!$B$2:$B$10001,MATCH(2166,'Email Cleaner'!$K$2:$K$10001,0)),"")</f>
        <v/>
      </c>
    </row>
    <row r="2168">
      <c r="A2168">
        <f>IFERROR(INDEX('Email Cleaner'!$B$2:$B$10001,MATCH(2167,'Email Cleaner'!$K$2:$K$10001,0)),"")</f>
        <v/>
      </c>
    </row>
    <row r="2169">
      <c r="A2169">
        <f>IFERROR(INDEX('Email Cleaner'!$B$2:$B$10001,MATCH(2168,'Email Cleaner'!$K$2:$K$10001,0)),"")</f>
        <v/>
      </c>
    </row>
    <row r="2170">
      <c r="A2170">
        <f>IFERROR(INDEX('Email Cleaner'!$B$2:$B$10001,MATCH(2169,'Email Cleaner'!$K$2:$K$10001,0)),"")</f>
        <v/>
      </c>
    </row>
    <row r="2171">
      <c r="A2171">
        <f>IFERROR(INDEX('Email Cleaner'!$B$2:$B$10001,MATCH(2170,'Email Cleaner'!$K$2:$K$10001,0)),"")</f>
        <v/>
      </c>
    </row>
    <row r="2172">
      <c r="A2172">
        <f>IFERROR(INDEX('Email Cleaner'!$B$2:$B$10001,MATCH(2171,'Email Cleaner'!$K$2:$K$10001,0)),"")</f>
        <v/>
      </c>
    </row>
    <row r="2173">
      <c r="A2173">
        <f>IFERROR(INDEX('Email Cleaner'!$B$2:$B$10001,MATCH(2172,'Email Cleaner'!$K$2:$K$10001,0)),"")</f>
        <v/>
      </c>
    </row>
    <row r="2174">
      <c r="A2174">
        <f>IFERROR(INDEX('Email Cleaner'!$B$2:$B$10001,MATCH(2173,'Email Cleaner'!$K$2:$K$10001,0)),"")</f>
        <v/>
      </c>
    </row>
    <row r="2175">
      <c r="A2175">
        <f>IFERROR(INDEX('Email Cleaner'!$B$2:$B$10001,MATCH(2174,'Email Cleaner'!$K$2:$K$10001,0)),"")</f>
        <v/>
      </c>
    </row>
    <row r="2176">
      <c r="A2176">
        <f>IFERROR(INDEX('Email Cleaner'!$B$2:$B$10001,MATCH(2175,'Email Cleaner'!$K$2:$K$10001,0)),"")</f>
        <v/>
      </c>
    </row>
    <row r="2177">
      <c r="A2177">
        <f>IFERROR(INDEX('Email Cleaner'!$B$2:$B$10001,MATCH(2176,'Email Cleaner'!$K$2:$K$10001,0)),"")</f>
        <v/>
      </c>
    </row>
    <row r="2178">
      <c r="A2178">
        <f>IFERROR(INDEX('Email Cleaner'!$B$2:$B$10001,MATCH(2177,'Email Cleaner'!$K$2:$K$10001,0)),"")</f>
        <v/>
      </c>
    </row>
    <row r="2179">
      <c r="A2179">
        <f>IFERROR(INDEX('Email Cleaner'!$B$2:$B$10001,MATCH(2178,'Email Cleaner'!$K$2:$K$10001,0)),"")</f>
        <v/>
      </c>
    </row>
    <row r="2180">
      <c r="A2180">
        <f>IFERROR(INDEX('Email Cleaner'!$B$2:$B$10001,MATCH(2179,'Email Cleaner'!$K$2:$K$10001,0)),"")</f>
        <v/>
      </c>
    </row>
    <row r="2181">
      <c r="A2181">
        <f>IFERROR(INDEX('Email Cleaner'!$B$2:$B$10001,MATCH(2180,'Email Cleaner'!$K$2:$K$10001,0)),"")</f>
        <v/>
      </c>
    </row>
    <row r="2182">
      <c r="A2182">
        <f>IFERROR(INDEX('Email Cleaner'!$B$2:$B$10001,MATCH(2181,'Email Cleaner'!$K$2:$K$10001,0)),"")</f>
        <v/>
      </c>
    </row>
    <row r="2183">
      <c r="A2183">
        <f>IFERROR(INDEX('Email Cleaner'!$B$2:$B$10001,MATCH(2182,'Email Cleaner'!$K$2:$K$10001,0)),"")</f>
        <v/>
      </c>
    </row>
    <row r="2184">
      <c r="A2184">
        <f>IFERROR(INDEX('Email Cleaner'!$B$2:$B$10001,MATCH(2183,'Email Cleaner'!$K$2:$K$10001,0)),"")</f>
        <v/>
      </c>
    </row>
    <row r="2185">
      <c r="A2185">
        <f>IFERROR(INDEX('Email Cleaner'!$B$2:$B$10001,MATCH(2184,'Email Cleaner'!$K$2:$K$10001,0)),"")</f>
        <v/>
      </c>
    </row>
    <row r="2186">
      <c r="A2186">
        <f>IFERROR(INDEX('Email Cleaner'!$B$2:$B$10001,MATCH(2185,'Email Cleaner'!$K$2:$K$10001,0)),"")</f>
        <v/>
      </c>
    </row>
    <row r="2187">
      <c r="A2187">
        <f>IFERROR(INDEX('Email Cleaner'!$B$2:$B$10001,MATCH(2186,'Email Cleaner'!$K$2:$K$10001,0)),"")</f>
        <v/>
      </c>
    </row>
    <row r="2188">
      <c r="A2188">
        <f>IFERROR(INDEX('Email Cleaner'!$B$2:$B$10001,MATCH(2187,'Email Cleaner'!$K$2:$K$10001,0)),"")</f>
        <v/>
      </c>
    </row>
    <row r="2189">
      <c r="A2189">
        <f>IFERROR(INDEX('Email Cleaner'!$B$2:$B$10001,MATCH(2188,'Email Cleaner'!$K$2:$K$10001,0)),"")</f>
        <v/>
      </c>
    </row>
    <row r="2190">
      <c r="A2190">
        <f>IFERROR(INDEX('Email Cleaner'!$B$2:$B$10001,MATCH(2189,'Email Cleaner'!$K$2:$K$10001,0)),"")</f>
        <v/>
      </c>
    </row>
    <row r="2191">
      <c r="A2191">
        <f>IFERROR(INDEX('Email Cleaner'!$B$2:$B$10001,MATCH(2190,'Email Cleaner'!$K$2:$K$10001,0)),"")</f>
        <v/>
      </c>
    </row>
    <row r="2192">
      <c r="A2192">
        <f>IFERROR(INDEX('Email Cleaner'!$B$2:$B$10001,MATCH(2191,'Email Cleaner'!$K$2:$K$10001,0)),"")</f>
        <v/>
      </c>
    </row>
    <row r="2193">
      <c r="A2193">
        <f>IFERROR(INDEX('Email Cleaner'!$B$2:$B$10001,MATCH(2192,'Email Cleaner'!$K$2:$K$10001,0)),"")</f>
        <v/>
      </c>
    </row>
    <row r="2194">
      <c r="A2194">
        <f>IFERROR(INDEX('Email Cleaner'!$B$2:$B$10001,MATCH(2193,'Email Cleaner'!$K$2:$K$10001,0)),"")</f>
        <v/>
      </c>
    </row>
    <row r="2195">
      <c r="A2195">
        <f>IFERROR(INDEX('Email Cleaner'!$B$2:$B$10001,MATCH(2194,'Email Cleaner'!$K$2:$K$10001,0)),"")</f>
        <v/>
      </c>
    </row>
    <row r="2196">
      <c r="A2196">
        <f>IFERROR(INDEX('Email Cleaner'!$B$2:$B$10001,MATCH(2195,'Email Cleaner'!$K$2:$K$10001,0)),"")</f>
        <v/>
      </c>
    </row>
    <row r="2197">
      <c r="A2197">
        <f>IFERROR(INDEX('Email Cleaner'!$B$2:$B$10001,MATCH(2196,'Email Cleaner'!$K$2:$K$10001,0)),"")</f>
        <v/>
      </c>
    </row>
    <row r="2198">
      <c r="A2198">
        <f>IFERROR(INDEX('Email Cleaner'!$B$2:$B$10001,MATCH(2197,'Email Cleaner'!$K$2:$K$10001,0)),"")</f>
        <v/>
      </c>
    </row>
    <row r="2199">
      <c r="A2199">
        <f>IFERROR(INDEX('Email Cleaner'!$B$2:$B$10001,MATCH(2198,'Email Cleaner'!$K$2:$K$10001,0)),"")</f>
        <v/>
      </c>
    </row>
    <row r="2200">
      <c r="A2200">
        <f>IFERROR(INDEX('Email Cleaner'!$B$2:$B$10001,MATCH(2199,'Email Cleaner'!$K$2:$K$10001,0)),"")</f>
        <v/>
      </c>
    </row>
    <row r="2201">
      <c r="A2201">
        <f>IFERROR(INDEX('Email Cleaner'!$B$2:$B$10001,MATCH(2200,'Email Cleaner'!$K$2:$K$10001,0)),"")</f>
        <v/>
      </c>
    </row>
    <row r="2202">
      <c r="A2202">
        <f>IFERROR(INDEX('Email Cleaner'!$B$2:$B$10001,MATCH(2201,'Email Cleaner'!$K$2:$K$10001,0)),"")</f>
        <v/>
      </c>
    </row>
    <row r="2203">
      <c r="A2203">
        <f>IFERROR(INDEX('Email Cleaner'!$B$2:$B$10001,MATCH(2202,'Email Cleaner'!$K$2:$K$10001,0)),"")</f>
        <v/>
      </c>
    </row>
    <row r="2204">
      <c r="A2204">
        <f>IFERROR(INDEX('Email Cleaner'!$B$2:$B$10001,MATCH(2203,'Email Cleaner'!$K$2:$K$10001,0)),"")</f>
        <v/>
      </c>
    </row>
    <row r="2205">
      <c r="A2205">
        <f>IFERROR(INDEX('Email Cleaner'!$B$2:$B$10001,MATCH(2204,'Email Cleaner'!$K$2:$K$10001,0)),"")</f>
        <v/>
      </c>
    </row>
    <row r="2206">
      <c r="A2206">
        <f>IFERROR(INDEX('Email Cleaner'!$B$2:$B$10001,MATCH(2205,'Email Cleaner'!$K$2:$K$10001,0)),"")</f>
        <v/>
      </c>
    </row>
    <row r="2207">
      <c r="A2207">
        <f>IFERROR(INDEX('Email Cleaner'!$B$2:$B$10001,MATCH(2206,'Email Cleaner'!$K$2:$K$10001,0)),"")</f>
        <v/>
      </c>
    </row>
    <row r="2208">
      <c r="A2208">
        <f>IFERROR(INDEX('Email Cleaner'!$B$2:$B$10001,MATCH(2207,'Email Cleaner'!$K$2:$K$10001,0)),"")</f>
        <v/>
      </c>
    </row>
    <row r="2209">
      <c r="A2209">
        <f>IFERROR(INDEX('Email Cleaner'!$B$2:$B$10001,MATCH(2208,'Email Cleaner'!$K$2:$K$10001,0)),"")</f>
        <v/>
      </c>
    </row>
    <row r="2210">
      <c r="A2210">
        <f>IFERROR(INDEX('Email Cleaner'!$B$2:$B$10001,MATCH(2209,'Email Cleaner'!$K$2:$K$10001,0)),"")</f>
        <v/>
      </c>
    </row>
    <row r="2211">
      <c r="A2211">
        <f>IFERROR(INDEX('Email Cleaner'!$B$2:$B$10001,MATCH(2210,'Email Cleaner'!$K$2:$K$10001,0)),"")</f>
        <v/>
      </c>
    </row>
    <row r="2212">
      <c r="A2212">
        <f>IFERROR(INDEX('Email Cleaner'!$B$2:$B$10001,MATCH(2211,'Email Cleaner'!$K$2:$K$10001,0)),"")</f>
        <v/>
      </c>
    </row>
    <row r="2213">
      <c r="A2213">
        <f>IFERROR(INDEX('Email Cleaner'!$B$2:$B$10001,MATCH(2212,'Email Cleaner'!$K$2:$K$10001,0)),"")</f>
        <v/>
      </c>
    </row>
    <row r="2214">
      <c r="A2214">
        <f>IFERROR(INDEX('Email Cleaner'!$B$2:$B$10001,MATCH(2213,'Email Cleaner'!$K$2:$K$10001,0)),"")</f>
        <v/>
      </c>
    </row>
    <row r="2215">
      <c r="A2215">
        <f>IFERROR(INDEX('Email Cleaner'!$B$2:$B$10001,MATCH(2214,'Email Cleaner'!$K$2:$K$10001,0)),"")</f>
        <v/>
      </c>
    </row>
    <row r="2216">
      <c r="A2216">
        <f>IFERROR(INDEX('Email Cleaner'!$B$2:$B$10001,MATCH(2215,'Email Cleaner'!$K$2:$K$10001,0)),"")</f>
        <v/>
      </c>
    </row>
    <row r="2217">
      <c r="A2217">
        <f>IFERROR(INDEX('Email Cleaner'!$B$2:$B$10001,MATCH(2216,'Email Cleaner'!$K$2:$K$10001,0)),"")</f>
        <v/>
      </c>
    </row>
    <row r="2218">
      <c r="A2218">
        <f>IFERROR(INDEX('Email Cleaner'!$B$2:$B$10001,MATCH(2217,'Email Cleaner'!$K$2:$K$10001,0)),"")</f>
        <v/>
      </c>
    </row>
    <row r="2219">
      <c r="A2219">
        <f>IFERROR(INDEX('Email Cleaner'!$B$2:$B$10001,MATCH(2218,'Email Cleaner'!$K$2:$K$10001,0)),"")</f>
        <v/>
      </c>
    </row>
    <row r="2220">
      <c r="A2220">
        <f>IFERROR(INDEX('Email Cleaner'!$B$2:$B$10001,MATCH(2219,'Email Cleaner'!$K$2:$K$10001,0)),"")</f>
        <v/>
      </c>
    </row>
    <row r="2221">
      <c r="A2221">
        <f>IFERROR(INDEX('Email Cleaner'!$B$2:$B$10001,MATCH(2220,'Email Cleaner'!$K$2:$K$10001,0)),"")</f>
        <v/>
      </c>
    </row>
    <row r="2222">
      <c r="A2222">
        <f>IFERROR(INDEX('Email Cleaner'!$B$2:$B$10001,MATCH(2221,'Email Cleaner'!$K$2:$K$10001,0)),"")</f>
        <v/>
      </c>
    </row>
    <row r="2223">
      <c r="A2223">
        <f>IFERROR(INDEX('Email Cleaner'!$B$2:$B$10001,MATCH(2222,'Email Cleaner'!$K$2:$K$10001,0)),"")</f>
        <v/>
      </c>
    </row>
    <row r="2224">
      <c r="A2224">
        <f>IFERROR(INDEX('Email Cleaner'!$B$2:$B$10001,MATCH(2223,'Email Cleaner'!$K$2:$K$10001,0)),"")</f>
        <v/>
      </c>
    </row>
    <row r="2225">
      <c r="A2225">
        <f>IFERROR(INDEX('Email Cleaner'!$B$2:$B$10001,MATCH(2224,'Email Cleaner'!$K$2:$K$10001,0)),"")</f>
        <v/>
      </c>
    </row>
    <row r="2226">
      <c r="A2226">
        <f>IFERROR(INDEX('Email Cleaner'!$B$2:$B$10001,MATCH(2225,'Email Cleaner'!$K$2:$K$10001,0)),"")</f>
        <v/>
      </c>
    </row>
    <row r="2227">
      <c r="A2227">
        <f>IFERROR(INDEX('Email Cleaner'!$B$2:$B$10001,MATCH(2226,'Email Cleaner'!$K$2:$K$10001,0)),"")</f>
        <v/>
      </c>
    </row>
    <row r="2228">
      <c r="A2228">
        <f>IFERROR(INDEX('Email Cleaner'!$B$2:$B$10001,MATCH(2227,'Email Cleaner'!$K$2:$K$10001,0)),"")</f>
        <v/>
      </c>
    </row>
    <row r="2229">
      <c r="A2229">
        <f>IFERROR(INDEX('Email Cleaner'!$B$2:$B$10001,MATCH(2228,'Email Cleaner'!$K$2:$K$10001,0)),"")</f>
        <v/>
      </c>
    </row>
    <row r="2230">
      <c r="A2230">
        <f>IFERROR(INDEX('Email Cleaner'!$B$2:$B$10001,MATCH(2229,'Email Cleaner'!$K$2:$K$10001,0)),"")</f>
        <v/>
      </c>
    </row>
    <row r="2231">
      <c r="A2231">
        <f>IFERROR(INDEX('Email Cleaner'!$B$2:$B$10001,MATCH(2230,'Email Cleaner'!$K$2:$K$10001,0)),"")</f>
        <v/>
      </c>
    </row>
    <row r="2232">
      <c r="A2232">
        <f>IFERROR(INDEX('Email Cleaner'!$B$2:$B$10001,MATCH(2231,'Email Cleaner'!$K$2:$K$10001,0)),"")</f>
        <v/>
      </c>
    </row>
    <row r="2233">
      <c r="A2233">
        <f>IFERROR(INDEX('Email Cleaner'!$B$2:$B$10001,MATCH(2232,'Email Cleaner'!$K$2:$K$10001,0)),"")</f>
        <v/>
      </c>
    </row>
    <row r="2234">
      <c r="A2234">
        <f>IFERROR(INDEX('Email Cleaner'!$B$2:$B$10001,MATCH(2233,'Email Cleaner'!$K$2:$K$10001,0)),"")</f>
        <v/>
      </c>
    </row>
    <row r="2235">
      <c r="A2235">
        <f>IFERROR(INDEX('Email Cleaner'!$B$2:$B$10001,MATCH(2234,'Email Cleaner'!$K$2:$K$10001,0)),"")</f>
        <v/>
      </c>
    </row>
    <row r="2236">
      <c r="A2236">
        <f>IFERROR(INDEX('Email Cleaner'!$B$2:$B$10001,MATCH(2235,'Email Cleaner'!$K$2:$K$10001,0)),"")</f>
        <v/>
      </c>
    </row>
    <row r="2237">
      <c r="A2237">
        <f>IFERROR(INDEX('Email Cleaner'!$B$2:$B$10001,MATCH(2236,'Email Cleaner'!$K$2:$K$10001,0)),"")</f>
        <v/>
      </c>
    </row>
    <row r="2238">
      <c r="A2238">
        <f>IFERROR(INDEX('Email Cleaner'!$B$2:$B$10001,MATCH(2237,'Email Cleaner'!$K$2:$K$10001,0)),"")</f>
        <v/>
      </c>
    </row>
    <row r="2239">
      <c r="A2239">
        <f>IFERROR(INDEX('Email Cleaner'!$B$2:$B$10001,MATCH(2238,'Email Cleaner'!$K$2:$K$10001,0)),"")</f>
        <v/>
      </c>
    </row>
    <row r="2240">
      <c r="A2240">
        <f>IFERROR(INDEX('Email Cleaner'!$B$2:$B$10001,MATCH(2239,'Email Cleaner'!$K$2:$K$10001,0)),"")</f>
        <v/>
      </c>
    </row>
    <row r="2241">
      <c r="A2241">
        <f>IFERROR(INDEX('Email Cleaner'!$B$2:$B$10001,MATCH(2240,'Email Cleaner'!$K$2:$K$10001,0)),"")</f>
        <v/>
      </c>
    </row>
    <row r="2242">
      <c r="A2242">
        <f>IFERROR(INDEX('Email Cleaner'!$B$2:$B$10001,MATCH(2241,'Email Cleaner'!$K$2:$K$10001,0)),"")</f>
        <v/>
      </c>
    </row>
    <row r="2243">
      <c r="A2243">
        <f>IFERROR(INDEX('Email Cleaner'!$B$2:$B$10001,MATCH(2242,'Email Cleaner'!$K$2:$K$10001,0)),"")</f>
        <v/>
      </c>
    </row>
    <row r="2244">
      <c r="A2244">
        <f>IFERROR(INDEX('Email Cleaner'!$B$2:$B$10001,MATCH(2243,'Email Cleaner'!$K$2:$K$10001,0)),"")</f>
        <v/>
      </c>
    </row>
    <row r="2245">
      <c r="A2245">
        <f>IFERROR(INDEX('Email Cleaner'!$B$2:$B$10001,MATCH(2244,'Email Cleaner'!$K$2:$K$10001,0)),"")</f>
        <v/>
      </c>
    </row>
    <row r="2246">
      <c r="A2246">
        <f>IFERROR(INDEX('Email Cleaner'!$B$2:$B$10001,MATCH(2245,'Email Cleaner'!$K$2:$K$10001,0)),"")</f>
        <v/>
      </c>
    </row>
    <row r="2247">
      <c r="A2247">
        <f>IFERROR(INDEX('Email Cleaner'!$B$2:$B$10001,MATCH(2246,'Email Cleaner'!$K$2:$K$10001,0)),"")</f>
        <v/>
      </c>
    </row>
    <row r="2248">
      <c r="A2248">
        <f>IFERROR(INDEX('Email Cleaner'!$B$2:$B$10001,MATCH(2247,'Email Cleaner'!$K$2:$K$10001,0)),"")</f>
        <v/>
      </c>
    </row>
    <row r="2249">
      <c r="A2249">
        <f>IFERROR(INDEX('Email Cleaner'!$B$2:$B$10001,MATCH(2248,'Email Cleaner'!$K$2:$K$10001,0)),"")</f>
        <v/>
      </c>
    </row>
    <row r="2250">
      <c r="A2250">
        <f>IFERROR(INDEX('Email Cleaner'!$B$2:$B$10001,MATCH(2249,'Email Cleaner'!$K$2:$K$10001,0)),"")</f>
        <v/>
      </c>
    </row>
    <row r="2251">
      <c r="A2251">
        <f>IFERROR(INDEX('Email Cleaner'!$B$2:$B$10001,MATCH(2250,'Email Cleaner'!$K$2:$K$10001,0)),"")</f>
        <v/>
      </c>
    </row>
    <row r="2252">
      <c r="A2252">
        <f>IFERROR(INDEX('Email Cleaner'!$B$2:$B$10001,MATCH(2251,'Email Cleaner'!$K$2:$K$10001,0)),"")</f>
        <v/>
      </c>
    </row>
    <row r="2253">
      <c r="A2253">
        <f>IFERROR(INDEX('Email Cleaner'!$B$2:$B$10001,MATCH(2252,'Email Cleaner'!$K$2:$K$10001,0)),"")</f>
        <v/>
      </c>
    </row>
    <row r="2254">
      <c r="A2254">
        <f>IFERROR(INDEX('Email Cleaner'!$B$2:$B$10001,MATCH(2253,'Email Cleaner'!$K$2:$K$10001,0)),"")</f>
        <v/>
      </c>
    </row>
    <row r="2255">
      <c r="A2255">
        <f>IFERROR(INDEX('Email Cleaner'!$B$2:$B$10001,MATCH(2254,'Email Cleaner'!$K$2:$K$10001,0)),"")</f>
        <v/>
      </c>
    </row>
    <row r="2256">
      <c r="A2256">
        <f>IFERROR(INDEX('Email Cleaner'!$B$2:$B$10001,MATCH(2255,'Email Cleaner'!$K$2:$K$10001,0)),"")</f>
        <v/>
      </c>
    </row>
    <row r="2257">
      <c r="A2257">
        <f>IFERROR(INDEX('Email Cleaner'!$B$2:$B$10001,MATCH(2256,'Email Cleaner'!$K$2:$K$10001,0)),"")</f>
        <v/>
      </c>
    </row>
    <row r="2258">
      <c r="A2258">
        <f>IFERROR(INDEX('Email Cleaner'!$B$2:$B$10001,MATCH(2257,'Email Cleaner'!$K$2:$K$10001,0)),"")</f>
        <v/>
      </c>
    </row>
    <row r="2259">
      <c r="A2259">
        <f>IFERROR(INDEX('Email Cleaner'!$B$2:$B$10001,MATCH(2258,'Email Cleaner'!$K$2:$K$10001,0)),"")</f>
        <v/>
      </c>
    </row>
    <row r="2260">
      <c r="A2260">
        <f>IFERROR(INDEX('Email Cleaner'!$B$2:$B$10001,MATCH(2259,'Email Cleaner'!$K$2:$K$10001,0)),"")</f>
        <v/>
      </c>
    </row>
    <row r="2261">
      <c r="A2261">
        <f>IFERROR(INDEX('Email Cleaner'!$B$2:$B$10001,MATCH(2260,'Email Cleaner'!$K$2:$K$10001,0)),"")</f>
        <v/>
      </c>
    </row>
    <row r="2262">
      <c r="A2262">
        <f>IFERROR(INDEX('Email Cleaner'!$B$2:$B$10001,MATCH(2261,'Email Cleaner'!$K$2:$K$10001,0)),"")</f>
        <v/>
      </c>
    </row>
    <row r="2263">
      <c r="A2263">
        <f>IFERROR(INDEX('Email Cleaner'!$B$2:$B$10001,MATCH(2262,'Email Cleaner'!$K$2:$K$10001,0)),"")</f>
        <v/>
      </c>
    </row>
    <row r="2264">
      <c r="A2264">
        <f>IFERROR(INDEX('Email Cleaner'!$B$2:$B$10001,MATCH(2263,'Email Cleaner'!$K$2:$K$10001,0)),"")</f>
        <v/>
      </c>
    </row>
    <row r="2265">
      <c r="A2265">
        <f>IFERROR(INDEX('Email Cleaner'!$B$2:$B$10001,MATCH(2264,'Email Cleaner'!$K$2:$K$10001,0)),"")</f>
        <v/>
      </c>
    </row>
    <row r="2266">
      <c r="A2266">
        <f>IFERROR(INDEX('Email Cleaner'!$B$2:$B$10001,MATCH(2265,'Email Cleaner'!$K$2:$K$10001,0)),"")</f>
        <v/>
      </c>
    </row>
    <row r="2267">
      <c r="A2267">
        <f>IFERROR(INDEX('Email Cleaner'!$B$2:$B$10001,MATCH(2266,'Email Cleaner'!$K$2:$K$10001,0)),"")</f>
        <v/>
      </c>
    </row>
    <row r="2268">
      <c r="A2268">
        <f>IFERROR(INDEX('Email Cleaner'!$B$2:$B$10001,MATCH(2267,'Email Cleaner'!$K$2:$K$10001,0)),"")</f>
        <v/>
      </c>
    </row>
    <row r="2269">
      <c r="A2269">
        <f>IFERROR(INDEX('Email Cleaner'!$B$2:$B$10001,MATCH(2268,'Email Cleaner'!$K$2:$K$10001,0)),"")</f>
        <v/>
      </c>
    </row>
    <row r="2270">
      <c r="A2270">
        <f>IFERROR(INDEX('Email Cleaner'!$B$2:$B$10001,MATCH(2269,'Email Cleaner'!$K$2:$K$10001,0)),"")</f>
        <v/>
      </c>
    </row>
    <row r="2271">
      <c r="A2271">
        <f>IFERROR(INDEX('Email Cleaner'!$B$2:$B$10001,MATCH(2270,'Email Cleaner'!$K$2:$K$10001,0)),"")</f>
        <v/>
      </c>
    </row>
    <row r="2272">
      <c r="A2272">
        <f>IFERROR(INDEX('Email Cleaner'!$B$2:$B$10001,MATCH(2271,'Email Cleaner'!$K$2:$K$10001,0)),"")</f>
        <v/>
      </c>
    </row>
    <row r="2273">
      <c r="A2273">
        <f>IFERROR(INDEX('Email Cleaner'!$B$2:$B$10001,MATCH(2272,'Email Cleaner'!$K$2:$K$10001,0)),"")</f>
        <v/>
      </c>
    </row>
    <row r="2274">
      <c r="A2274">
        <f>IFERROR(INDEX('Email Cleaner'!$B$2:$B$10001,MATCH(2273,'Email Cleaner'!$K$2:$K$10001,0)),"")</f>
        <v/>
      </c>
    </row>
    <row r="2275">
      <c r="A2275">
        <f>IFERROR(INDEX('Email Cleaner'!$B$2:$B$10001,MATCH(2274,'Email Cleaner'!$K$2:$K$10001,0)),"")</f>
        <v/>
      </c>
    </row>
    <row r="2276">
      <c r="A2276">
        <f>IFERROR(INDEX('Email Cleaner'!$B$2:$B$10001,MATCH(2275,'Email Cleaner'!$K$2:$K$10001,0)),"")</f>
        <v/>
      </c>
    </row>
    <row r="2277">
      <c r="A2277">
        <f>IFERROR(INDEX('Email Cleaner'!$B$2:$B$10001,MATCH(2276,'Email Cleaner'!$K$2:$K$10001,0)),"")</f>
        <v/>
      </c>
    </row>
    <row r="2278">
      <c r="A2278">
        <f>IFERROR(INDEX('Email Cleaner'!$B$2:$B$10001,MATCH(2277,'Email Cleaner'!$K$2:$K$10001,0)),"")</f>
        <v/>
      </c>
    </row>
    <row r="2279">
      <c r="A2279">
        <f>IFERROR(INDEX('Email Cleaner'!$B$2:$B$10001,MATCH(2278,'Email Cleaner'!$K$2:$K$10001,0)),"")</f>
        <v/>
      </c>
    </row>
    <row r="2280">
      <c r="A2280">
        <f>IFERROR(INDEX('Email Cleaner'!$B$2:$B$10001,MATCH(2279,'Email Cleaner'!$K$2:$K$10001,0)),"")</f>
        <v/>
      </c>
    </row>
    <row r="2281">
      <c r="A2281">
        <f>IFERROR(INDEX('Email Cleaner'!$B$2:$B$10001,MATCH(2280,'Email Cleaner'!$K$2:$K$10001,0)),"")</f>
        <v/>
      </c>
    </row>
    <row r="2282">
      <c r="A2282">
        <f>IFERROR(INDEX('Email Cleaner'!$B$2:$B$10001,MATCH(2281,'Email Cleaner'!$K$2:$K$10001,0)),"")</f>
        <v/>
      </c>
    </row>
    <row r="2283">
      <c r="A2283">
        <f>IFERROR(INDEX('Email Cleaner'!$B$2:$B$10001,MATCH(2282,'Email Cleaner'!$K$2:$K$10001,0)),"")</f>
        <v/>
      </c>
    </row>
    <row r="2284">
      <c r="A2284">
        <f>IFERROR(INDEX('Email Cleaner'!$B$2:$B$10001,MATCH(2283,'Email Cleaner'!$K$2:$K$10001,0)),"")</f>
        <v/>
      </c>
    </row>
    <row r="2285">
      <c r="A2285">
        <f>IFERROR(INDEX('Email Cleaner'!$B$2:$B$10001,MATCH(2284,'Email Cleaner'!$K$2:$K$10001,0)),"")</f>
        <v/>
      </c>
    </row>
    <row r="2286">
      <c r="A2286">
        <f>IFERROR(INDEX('Email Cleaner'!$B$2:$B$10001,MATCH(2285,'Email Cleaner'!$K$2:$K$10001,0)),"")</f>
        <v/>
      </c>
    </row>
    <row r="2287">
      <c r="A2287">
        <f>IFERROR(INDEX('Email Cleaner'!$B$2:$B$10001,MATCH(2286,'Email Cleaner'!$K$2:$K$10001,0)),"")</f>
        <v/>
      </c>
    </row>
    <row r="2288">
      <c r="A2288">
        <f>IFERROR(INDEX('Email Cleaner'!$B$2:$B$10001,MATCH(2287,'Email Cleaner'!$K$2:$K$10001,0)),"")</f>
        <v/>
      </c>
    </row>
    <row r="2289">
      <c r="A2289">
        <f>IFERROR(INDEX('Email Cleaner'!$B$2:$B$10001,MATCH(2288,'Email Cleaner'!$K$2:$K$10001,0)),"")</f>
        <v/>
      </c>
    </row>
    <row r="2290">
      <c r="A2290">
        <f>IFERROR(INDEX('Email Cleaner'!$B$2:$B$10001,MATCH(2289,'Email Cleaner'!$K$2:$K$10001,0)),"")</f>
        <v/>
      </c>
    </row>
    <row r="2291">
      <c r="A2291">
        <f>IFERROR(INDEX('Email Cleaner'!$B$2:$B$10001,MATCH(2290,'Email Cleaner'!$K$2:$K$10001,0)),"")</f>
        <v/>
      </c>
    </row>
    <row r="2292">
      <c r="A2292">
        <f>IFERROR(INDEX('Email Cleaner'!$B$2:$B$10001,MATCH(2291,'Email Cleaner'!$K$2:$K$10001,0)),"")</f>
        <v/>
      </c>
    </row>
    <row r="2293">
      <c r="A2293">
        <f>IFERROR(INDEX('Email Cleaner'!$B$2:$B$10001,MATCH(2292,'Email Cleaner'!$K$2:$K$10001,0)),"")</f>
        <v/>
      </c>
    </row>
    <row r="2294">
      <c r="A2294">
        <f>IFERROR(INDEX('Email Cleaner'!$B$2:$B$10001,MATCH(2293,'Email Cleaner'!$K$2:$K$10001,0)),"")</f>
        <v/>
      </c>
    </row>
    <row r="2295">
      <c r="A2295">
        <f>IFERROR(INDEX('Email Cleaner'!$B$2:$B$10001,MATCH(2294,'Email Cleaner'!$K$2:$K$10001,0)),"")</f>
        <v/>
      </c>
    </row>
    <row r="2296">
      <c r="A2296">
        <f>IFERROR(INDEX('Email Cleaner'!$B$2:$B$10001,MATCH(2295,'Email Cleaner'!$K$2:$K$10001,0)),"")</f>
        <v/>
      </c>
    </row>
    <row r="2297">
      <c r="A2297">
        <f>IFERROR(INDEX('Email Cleaner'!$B$2:$B$10001,MATCH(2296,'Email Cleaner'!$K$2:$K$10001,0)),"")</f>
        <v/>
      </c>
    </row>
    <row r="2298">
      <c r="A2298">
        <f>IFERROR(INDEX('Email Cleaner'!$B$2:$B$10001,MATCH(2297,'Email Cleaner'!$K$2:$K$10001,0)),"")</f>
        <v/>
      </c>
    </row>
    <row r="2299">
      <c r="A2299">
        <f>IFERROR(INDEX('Email Cleaner'!$B$2:$B$10001,MATCH(2298,'Email Cleaner'!$K$2:$K$10001,0)),"")</f>
        <v/>
      </c>
    </row>
    <row r="2300">
      <c r="A2300">
        <f>IFERROR(INDEX('Email Cleaner'!$B$2:$B$10001,MATCH(2299,'Email Cleaner'!$K$2:$K$10001,0)),"")</f>
        <v/>
      </c>
    </row>
    <row r="2301">
      <c r="A2301">
        <f>IFERROR(INDEX('Email Cleaner'!$B$2:$B$10001,MATCH(2300,'Email Cleaner'!$K$2:$K$10001,0)),"")</f>
        <v/>
      </c>
    </row>
    <row r="2302">
      <c r="A2302">
        <f>IFERROR(INDEX('Email Cleaner'!$B$2:$B$10001,MATCH(2301,'Email Cleaner'!$K$2:$K$10001,0)),"")</f>
        <v/>
      </c>
    </row>
    <row r="2303">
      <c r="A2303">
        <f>IFERROR(INDEX('Email Cleaner'!$B$2:$B$10001,MATCH(2302,'Email Cleaner'!$K$2:$K$10001,0)),"")</f>
        <v/>
      </c>
    </row>
    <row r="2304">
      <c r="A2304">
        <f>IFERROR(INDEX('Email Cleaner'!$B$2:$B$10001,MATCH(2303,'Email Cleaner'!$K$2:$K$10001,0)),"")</f>
        <v/>
      </c>
    </row>
    <row r="2305">
      <c r="A2305">
        <f>IFERROR(INDEX('Email Cleaner'!$B$2:$B$10001,MATCH(2304,'Email Cleaner'!$K$2:$K$10001,0)),"")</f>
        <v/>
      </c>
    </row>
    <row r="2306">
      <c r="A2306">
        <f>IFERROR(INDEX('Email Cleaner'!$B$2:$B$10001,MATCH(2305,'Email Cleaner'!$K$2:$K$10001,0)),"")</f>
        <v/>
      </c>
    </row>
    <row r="2307">
      <c r="A2307">
        <f>IFERROR(INDEX('Email Cleaner'!$B$2:$B$10001,MATCH(2306,'Email Cleaner'!$K$2:$K$10001,0)),"")</f>
        <v/>
      </c>
    </row>
    <row r="2308">
      <c r="A2308">
        <f>IFERROR(INDEX('Email Cleaner'!$B$2:$B$10001,MATCH(2307,'Email Cleaner'!$K$2:$K$10001,0)),"")</f>
        <v/>
      </c>
    </row>
    <row r="2309">
      <c r="A2309">
        <f>IFERROR(INDEX('Email Cleaner'!$B$2:$B$10001,MATCH(2308,'Email Cleaner'!$K$2:$K$10001,0)),"")</f>
        <v/>
      </c>
    </row>
    <row r="2310">
      <c r="A2310">
        <f>IFERROR(INDEX('Email Cleaner'!$B$2:$B$10001,MATCH(2309,'Email Cleaner'!$K$2:$K$10001,0)),"")</f>
        <v/>
      </c>
    </row>
    <row r="2311">
      <c r="A2311">
        <f>IFERROR(INDEX('Email Cleaner'!$B$2:$B$10001,MATCH(2310,'Email Cleaner'!$K$2:$K$10001,0)),"")</f>
        <v/>
      </c>
    </row>
    <row r="2312">
      <c r="A2312">
        <f>IFERROR(INDEX('Email Cleaner'!$B$2:$B$10001,MATCH(2311,'Email Cleaner'!$K$2:$K$10001,0)),"")</f>
        <v/>
      </c>
    </row>
    <row r="2313">
      <c r="A2313">
        <f>IFERROR(INDEX('Email Cleaner'!$B$2:$B$10001,MATCH(2312,'Email Cleaner'!$K$2:$K$10001,0)),"")</f>
        <v/>
      </c>
    </row>
    <row r="2314">
      <c r="A2314">
        <f>IFERROR(INDEX('Email Cleaner'!$B$2:$B$10001,MATCH(2313,'Email Cleaner'!$K$2:$K$10001,0)),"")</f>
        <v/>
      </c>
    </row>
    <row r="2315">
      <c r="A2315">
        <f>IFERROR(INDEX('Email Cleaner'!$B$2:$B$10001,MATCH(2314,'Email Cleaner'!$K$2:$K$10001,0)),"")</f>
        <v/>
      </c>
    </row>
    <row r="2316">
      <c r="A2316">
        <f>IFERROR(INDEX('Email Cleaner'!$B$2:$B$10001,MATCH(2315,'Email Cleaner'!$K$2:$K$10001,0)),"")</f>
        <v/>
      </c>
    </row>
    <row r="2317">
      <c r="A2317">
        <f>IFERROR(INDEX('Email Cleaner'!$B$2:$B$10001,MATCH(2316,'Email Cleaner'!$K$2:$K$10001,0)),"")</f>
        <v/>
      </c>
    </row>
    <row r="2318">
      <c r="A2318">
        <f>IFERROR(INDEX('Email Cleaner'!$B$2:$B$10001,MATCH(2317,'Email Cleaner'!$K$2:$K$10001,0)),"")</f>
        <v/>
      </c>
    </row>
    <row r="2319">
      <c r="A2319">
        <f>IFERROR(INDEX('Email Cleaner'!$B$2:$B$10001,MATCH(2318,'Email Cleaner'!$K$2:$K$10001,0)),"")</f>
        <v/>
      </c>
    </row>
    <row r="2320">
      <c r="A2320">
        <f>IFERROR(INDEX('Email Cleaner'!$B$2:$B$10001,MATCH(2319,'Email Cleaner'!$K$2:$K$10001,0)),"")</f>
        <v/>
      </c>
    </row>
    <row r="2321">
      <c r="A2321">
        <f>IFERROR(INDEX('Email Cleaner'!$B$2:$B$10001,MATCH(2320,'Email Cleaner'!$K$2:$K$10001,0)),"")</f>
        <v/>
      </c>
    </row>
    <row r="2322">
      <c r="A2322">
        <f>IFERROR(INDEX('Email Cleaner'!$B$2:$B$10001,MATCH(2321,'Email Cleaner'!$K$2:$K$10001,0)),"")</f>
        <v/>
      </c>
    </row>
    <row r="2323">
      <c r="A2323">
        <f>IFERROR(INDEX('Email Cleaner'!$B$2:$B$10001,MATCH(2322,'Email Cleaner'!$K$2:$K$10001,0)),"")</f>
        <v/>
      </c>
    </row>
    <row r="2324">
      <c r="A2324">
        <f>IFERROR(INDEX('Email Cleaner'!$B$2:$B$10001,MATCH(2323,'Email Cleaner'!$K$2:$K$10001,0)),"")</f>
        <v/>
      </c>
    </row>
    <row r="2325">
      <c r="A2325">
        <f>IFERROR(INDEX('Email Cleaner'!$B$2:$B$10001,MATCH(2324,'Email Cleaner'!$K$2:$K$10001,0)),"")</f>
        <v/>
      </c>
    </row>
    <row r="2326">
      <c r="A2326">
        <f>IFERROR(INDEX('Email Cleaner'!$B$2:$B$10001,MATCH(2325,'Email Cleaner'!$K$2:$K$10001,0)),"")</f>
        <v/>
      </c>
    </row>
    <row r="2327">
      <c r="A2327">
        <f>IFERROR(INDEX('Email Cleaner'!$B$2:$B$10001,MATCH(2326,'Email Cleaner'!$K$2:$K$10001,0)),"")</f>
        <v/>
      </c>
    </row>
    <row r="2328">
      <c r="A2328">
        <f>IFERROR(INDEX('Email Cleaner'!$B$2:$B$10001,MATCH(2327,'Email Cleaner'!$K$2:$K$10001,0)),"")</f>
        <v/>
      </c>
    </row>
    <row r="2329">
      <c r="A2329">
        <f>IFERROR(INDEX('Email Cleaner'!$B$2:$B$10001,MATCH(2328,'Email Cleaner'!$K$2:$K$10001,0)),"")</f>
        <v/>
      </c>
    </row>
    <row r="2330">
      <c r="A2330">
        <f>IFERROR(INDEX('Email Cleaner'!$B$2:$B$10001,MATCH(2329,'Email Cleaner'!$K$2:$K$10001,0)),"")</f>
        <v/>
      </c>
    </row>
    <row r="2331">
      <c r="A2331">
        <f>IFERROR(INDEX('Email Cleaner'!$B$2:$B$10001,MATCH(2330,'Email Cleaner'!$K$2:$K$10001,0)),"")</f>
        <v/>
      </c>
    </row>
    <row r="2332">
      <c r="A2332">
        <f>IFERROR(INDEX('Email Cleaner'!$B$2:$B$10001,MATCH(2331,'Email Cleaner'!$K$2:$K$10001,0)),"")</f>
        <v/>
      </c>
    </row>
    <row r="2333">
      <c r="A2333">
        <f>IFERROR(INDEX('Email Cleaner'!$B$2:$B$10001,MATCH(2332,'Email Cleaner'!$K$2:$K$10001,0)),"")</f>
        <v/>
      </c>
    </row>
    <row r="2334">
      <c r="A2334">
        <f>IFERROR(INDEX('Email Cleaner'!$B$2:$B$10001,MATCH(2333,'Email Cleaner'!$K$2:$K$10001,0)),"")</f>
        <v/>
      </c>
    </row>
    <row r="2335">
      <c r="A2335">
        <f>IFERROR(INDEX('Email Cleaner'!$B$2:$B$10001,MATCH(2334,'Email Cleaner'!$K$2:$K$10001,0)),"")</f>
        <v/>
      </c>
    </row>
    <row r="2336">
      <c r="A2336">
        <f>IFERROR(INDEX('Email Cleaner'!$B$2:$B$10001,MATCH(2335,'Email Cleaner'!$K$2:$K$10001,0)),"")</f>
        <v/>
      </c>
    </row>
    <row r="2337">
      <c r="A2337">
        <f>IFERROR(INDEX('Email Cleaner'!$B$2:$B$10001,MATCH(2336,'Email Cleaner'!$K$2:$K$10001,0)),"")</f>
        <v/>
      </c>
    </row>
    <row r="2338">
      <c r="A2338">
        <f>IFERROR(INDEX('Email Cleaner'!$B$2:$B$10001,MATCH(2337,'Email Cleaner'!$K$2:$K$10001,0)),"")</f>
        <v/>
      </c>
    </row>
    <row r="2339">
      <c r="A2339">
        <f>IFERROR(INDEX('Email Cleaner'!$B$2:$B$10001,MATCH(2338,'Email Cleaner'!$K$2:$K$10001,0)),"")</f>
        <v/>
      </c>
    </row>
    <row r="2340">
      <c r="A2340">
        <f>IFERROR(INDEX('Email Cleaner'!$B$2:$B$10001,MATCH(2339,'Email Cleaner'!$K$2:$K$10001,0)),"")</f>
        <v/>
      </c>
    </row>
    <row r="2341">
      <c r="A2341">
        <f>IFERROR(INDEX('Email Cleaner'!$B$2:$B$10001,MATCH(2340,'Email Cleaner'!$K$2:$K$10001,0)),"")</f>
        <v/>
      </c>
    </row>
    <row r="2342">
      <c r="A2342">
        <f>IFERROR(INDEX('Email Cleaner'!$B$2:$B$10001,MATCH(2341,'Email Cleaner'!$K$2:$K$10001,0)),"")</f>
        <v/>
      </c>
    </row>
    <row r="2343">
      <c r="A2343">
        <f>IFERROR(INDEX('Email Cleaner'!$B$2:$B$10001,MATCH(2342,'Email Cleaner'!$K$2:$K$10001,0)),"")</f>
        <v/>
      </c>
    </row>
    <row r="2344">
      <c r="A2344">
        <f>IFERROR(INDEX('Email Cleaner'!$B$2:$B$10001,MATCH(2343,'Email Cleaner'!$K$2:$K$10001,0)),"")</f>
        <v/>
      </c>
    </row>
    <row r="2345">
      <c r="A2345">
        <f>IFERROR(INDEX('Email Cleaner'!$B$2:$B$10001,MATCH(2344,'Email Cleaner'!$K$2:$K$10001,0)),"")</f>
        <v/>
      </c>
    </row>
    <row r="2346">
      <c r="A2346">
        <f>IFERROR(INDEX('Email Cleaner'!$B$2:$B$10001,MATCH(2345,'Email Cleaner'!$K$2:$K$10001,0)),"")</f>
        <v/>
      </c>
    </row>
    <row r="2347">
      <c r="A2347">
        <f>IFERROR(INDEX('Email Cleaner'!$B$2:$B$10001,MATCH(2346,'Email Cleaner'!$K$2:$K$10001,0)),"")</f>
        <v/>
      </c>
    </row>
    <row r="2348">
      <c r="A2348">
        <f>IFERROR(INDEX('Email Cleaner'!$B$2:$B$10001,MATCH(2347,'Email Cleaner'!$K$2:$K$10001,0)),"")</f>
        <v/>
      </c>
    </row>
    <row r="2349">
      <c r="A2349">
        <f>IFERROR(INDEX('Email Cleaner'!$B$2:$B$10001,MATCH(2348,'Email Cleaner'!$K$2:$K$10001,0)),"")</f>
        <v/>
      </c>
    </row>
    <row r="2350">
      <c r="A2350">
        <f>IFERROR(INDEX('Email Cleaner'!$B$2:$B$10001,MATCH(2349,'Email Cleaner'!$K$2:$K$10001,0)),"")</f>
        <v/>
      </c>
    </row>
    <row r="2351">
      <c r="A2351">
        <f>IFERROR(INDEX('Email Cleaner'!$B$2:$B$10001,MATCH(2350,'Email Cleaner'!$K$2:$K$10001,0)),"")</f>
        <v/>
      </c>
    </row>
    <row r="2352">
      <c r="A2352">
        <f>IFERROR(INDEX('Email Cleaner'!$B$2:$B$10001,MATCH(2351,'Email Cleaner'!$K$2:$K$10001,0)),"")</f>
        <v/>
      </c>
    </row>
    <row r="2353">
      <c r="A2353">
        <f>IFERROR(INDEX('Email Cleaner'!$B$2:$B$10001,MATCH(2352,'Email Cleaner'!$K$2:$K$10001,0)),"")</f>
        <v/>
      </c>
    </row>
    <row r="2354">
      <c r="A2354">
        <f>IFERROR(INDEX('Email Cleaner'!$B$2:$B$10001,MATCH(2353,'Email Cleaner'!$K$2:$K$10001,0)),"")</f>
        <v/>
      </c>
    </row>
    <row r="2355">
      <c r="A2355">
        <f>IFERROR(INDEX('Email Cleaner'!$B$2:$B$10001,MATCH(2354,'Email Cleaner'!$K$2:$K$10001,0)),"")</f>
        <v/>
      </c>
    </row>
    <row r="2356">
      <c r="A2356">
        <f>IFERROR(INDEX('Email Cleaner'!$B$2:$B$10001,MATCH(2355,'Email Cleaner'!$K$2:$K$10001,0)),"")</f>
        <v/>
      </c>
    </row>
    <row r="2357">
      <c r="A2357">
        <f>IFERROR(INDEX('Email Cleaner'!$B$2:$B$10001,MATCH(2356,'Email Cleaner'!$K$2:$K$10001,0)),"")</f>
        <v/>
      </c>
    </row>
    <row r="2358">
      <c r="A2358">
        <f>IFERROR(INDEX('Email Cleaner'!$B$2:$B$10001,MATCH(2357,'Email Cleaner'!$K$2:$K$10001,0)),"")</f>
        <v/>
      </c>
    </row>
    <row r="2359">
      <c r="A2359">
        <f>IFERROR(INDEX('Email Cleaner'!$B$2:$B$10001,MATCH(2358,'Email Cleaner'!$K$2:$K$10001,0)),"")</f>
        <v/>
      </c>
    </row>
    <row r="2360">
      <c r="A2360">
        <f>IFERROR(INDEX('Email Cleaner'!$B$2:$B$10001,MATCH(2359,'Email Cleaner'!$K$2:$K$10001,0)),"")</f>
        <v/>
      </c>
    </row>
    <row r="2361">
      <c r="A2361">
        <f>IFERROR(INDEX('Email Cleaner'!$B$2:$B$10001,MATCH(2360,'Email Cleaner'!$K$2:$K$10001,0)),"")</f>
        <v/>
      </c>
    </row>
    <row r="2362">
      <c r="A2362">
        <f>IFERROR(INDEX('Email Cleaner'!$B$2:$B$10001,MATCH(2361,'Email Cleaner'!$K$2:$K$10001,0)),"")</f>
        <v/>
      </c>
    </row>
    <row r="2363">
      <c r="A2363">
        <f>IFERROR(INDEX('Email Cleaner'!$B$2:$B$10001,MATCH(2362,'Email Cleaner'!$K$2:$K$10001,0)),"")</f>
        <v/>
      </c>
    </row>
    <row r="2364">
      <c r="A2364">
        <f>IFERROR(INDEX('Email Cleaner'!$B$2:$B$10001,MATCH(2363,'Email Cleaner'!$K$2:$K$10001,0)),"")</f>
        <v/>
      </c>
    </row>
    <row r="2365">
      <c r="A2365">
        <f>IFERROR(INDEX('Email Cleaner'!$B$2:$B$10001,MATCH(2364,'Email Cleaner'!$K$2:$K$10001,0)),"")</f>
        <v/>
      </c>
    </row>
    <row r="2366">
      <c r="A2366">
        <f>IFERROR(INDEX('Email Cleaner'!$B$2:$B$10001,MATCH(2365,'Email Cleaner'!$K$2:$K$10001,0)),"")</f>
        <v/>
      </c>
    </row>
    <row r="2367">
      <c r="A2367">
        <f>IFERROR(INDEX('Email Cleaner'!$B$2:$B$10001,MATCH(2366,'Email Cleaner'!$K$2:$K$10001,0)),"")</f>
        <v/>
      </c>
    </row>
    <row r="2368">
      <c r="A2368">
        <f>IFERROR(INDEX('Email Cleaner'!$B$2:$B$10001,MATCH(2367,'Email Cleaner'!$K$2:$K$10001,0)),"")</f>
        <v/>
      </c>
    </row>
    <row r="2369">
      <c r="A2369">
        <f>IFERROR(INDEX('Email Cleaner'!$B$2:$B$10001,MATCH(2368,'Email Cleaner'!$K$2:$K$10001,0)),"")</f>
        <v/>
      </c>
    </row>
    <row r="2370">
      <c r="A2370">
        <f>IFERROR(INDEX('Email Cleaner'!$B$2:$B$10001,MATCH(2369,'Email Cleaner'!$K$2:$K$10001,0)),"")</f>
        <v/>
      </c>
    </row>
    <row r="2371">
      <c r="A2371">
        <f>IFERROR(INDEX('Email Cleaner'!$B$2:$B$10001,MATCH(2370,'Email Cleaner'!$K$2:$K$10001,0)),"")</f>
        <v/>
      </c>
    </row>
    <row r="2372">
      <c r="A2372">
        <f>IFERROR(INDEX('Email Cleaner'!$B$2:$B$10001,MATCH(2371,'Email Cleaner'!$K$2:$K$10001,0)),"")</f>
        <v/>
      </c>
    </row>
    <row r="2373">
      <c r="A2373">
        <f>IFERROR(INDEX('Email Cleaner'!$B$2:$B$10001,MATCH(2372,'Email Cleaner'!$K$2:$K$10001,0)),"")</f>
        <v/>
      </c>
    </row>
    <row r="2374">
      <c r="A2374">
        <f>IFERROR(INDEX('Email Cleaner'!$B$2:$B$10001,MATCH(2373,'Email Cleaner'!$K$2:$K$10001,0)),"")</f>
        <v/>
      </c>
    </row>
    <row r="2375">
      <c r="A2375">
        <f>IFERROR(INDEX('Email Cleaner'!$B$2:$B$10001,MATCH(2374,'Email Cleaner'!$K$2:$K$10001,0)),"")</f>
        <v/>
      </c>
    </row>
    <row r="2376">
      <c r="A2376">
        <f>IFERROR(INDEX('Email Cleaner'!$B$2:$B$10001,MATCH(2375,'Email Cleaner'!$K$2:$K$10001,0)),"")</f>
        <v/>
      </c>
    </row>
    <row r="2377">
      <c r="A2377">
        <f>IFERROR(INDEX('Email Cleaner'!$B$2:$B$10001,MATCH(2376,'Email Cleaner'!$K$2:$K$10001,0)),"")</f>
        <v/>
      </c>
    </row>
    <row r="2378">
      <c r="A2378">
        <f>IFERROR(INDEX('Email Cleaner'!$B$2:$B$10001,MATCH(2377,'Email Cleaner'!$K$2:$K$10001,0)),"")</f>
        <v/>
      </c>
    </row>
    <row r="2379">
      <c r="A2379">
        <f>IFERROR(INDEX('Email Cleaner'!$B$2:$B$10001,MATCH(2378,'Email Cleaner'!$K$2:$K$10001,0)),"")</f>
        <v/>
      </c>
    </row>
    <row r="2380">
      <c r="A2380">
        <f>IFERROR(INDEX('Email Cleaner'!$B$2:$B$10001,MATCH(2379,'Email Cleaner'!$K$2:$K$10001,0)),"")</f>
        <v/>
      </c>
    </row>
    <row r="2381">
      <c r="A2381">
        <f>IFERROR(INDEX('Email Cleaner'!$B$2:$B$10001,MATCH(2380,'Email Cleaner'!$K$2:$K$10001,0)),"")</f>
        <v/>
      </c>
    </row>
    <row r="2382">
      <c r="A2382">
        <f>IFERROR(INDEX('Email Cleaner'!$B$2:$B$10001,MATCH(2381,'Email Cleaner'!$K$2:$K$10001,0)),"")</f>
        <v/>
      </c>
    </row>
    <row r="2383">
      <c r="A2383">
        <f>IFERROR(INDEX('Email Cleaner'!$B$2:$B$10001,MATCH(2382,'Email Cleaner'!$K$2:$K$10001,0)),"")</f>
        <v/>
      </c>
    </row>
    <row r="2384">
      <c r="A2384">
        <f>IFERROR(INDEX('Email Cleaner'!$B$2:$B$10001,MATCH(2383,'Email Cleaner'!$K$2:$K$10001,0)),"")</f>
        <v/>
      </c>
    </row>
    <row r="2385">
      <c r="A2385">
        <f>IFERROR(INDEX('Email Cleaner'!$B$2:$B$10001,MATCH(2384,'Email Cleaner'!$K$2:$K$10001,0)),"")</f>
        <v/>
      </c>
    </row>
    <row r="2386">
      <c r="A2386">
        <f>IFERROR(INDEX('Email Cleaner'!$B$2:$B$10001,MATCH(2385,'Email Cleaner'!$K$2:$K$10001,0)),"")</f>
        <v/>
      </c>
    </row>
    <row r="2387">
      <c r="A2387">
        <f>IFERROR(INDEX('Email Cleaner'!$B$2:$B$10001,MATCH(2386,'Email Cleaner'!$K$2:$K$10001,0)),"")</f>
        <v/>
      </c>
    </row>
    <row r="2388">
      <c r="A2388">
        <f>IFERROR(INDEX('Email Cleaner'!$B$2:$B$10001,MATCH(2387,'Email Cleaner'!$K$2:$K$10001,0)),"")</f>
        <v/>
      </c>
    </row>
    <row r="2389">
      <c r="A2389">
        <f>IFERROR(INDEX('Email Cleaner'!$B$2:$B$10001,MATCH(2388,'Email Cleaner'!$K$2:$K$10001,0)),"")</f>
        <v/>
      </c>
    </row>
    <row r="2390">
      <c r="A2390">
        <f>IFERROR(INDEX('Email Cleaner'!$B$2:$B$10001,MATCH(2389,'Email Cleaner'!$K$2:$K$10001,0)),"")</f>
        <v/>
      </c>
    </row>
    <row r="2391">
      <c r="A2391">
        <f>IFERROR(INDEX('Email Cleaner'!$B$2:$B$10001,MATCH(2390,'Email Cleaner'!$K$2:$K$10001,0)),"")</f>
        <v/>
      </c>
    </row>
    <row r="2392">
      <c r="A2392">
        <f>IFERROR(INDEX('Email Cleaner'!$B$2:$B$10001,MATCH(2391,'Email Cleaner'!$K$2:$K$10001,0)),"")</f>
        <v/>
      </c>
    </row>
    <row r="2393">
      <c r="A2393">
        <f>IFERROR(INDEX('Email Cleaner'!$B$2:$B$10001,MATCH(2392,'Email Cleaner'!$K$2:$K$10001,0)),"")</f>
        <v/>
      </c>
    </row>
    <row r="2394">
      <c r="A2394">
        <f>IFERROR(INDEX('Email Cleaner'!$B$2:$B$10001,MATCH(2393,'Email Cleaner'!$K$2:$K$10001,0)),"")</f>
        <v/>
      </c>
    </row>
    <row r="2395">
      <c r="A2395">
        <f>IFERROR(INDEX('Email Cleaner'!$B$2:$B$10001,MATCH(2394,'Email Cleaner'!$K$2:$K$10001,0)),"")</f>
        <v/>
      </c>
    </row>
    <row r="2396">
      <c r="A2396">
        <f>IFERROR(INDEX('Email Cleaner'!$B$2:$B$10001,MATCH(2395,'Email Cleaner'!$K$2:$K$10001,0)),"")</f>
        <v/>
      </c>
    </row>
    <row r="2397">
      <c r="A2397">
        <f>IFERROR(INDEX('Email Cleaner'!$B$2:$B$10001,MATCH(2396,'Email Cleaner'!$K$2:$K$10001,0)),"")</f>
        <v/>
      </c>
    </row>
    <row r="2398">
      <c r="A2398">
        <f>IFERROR(INDEX('Email Cleaner'!$B$2:$B$10001,MATCH(2397,'Email Cleaner'!$K$2:$K$10001,0)),"")</f>
        <v/>
      </c>
    </row>
    <row r="2399">
      <c r="A2399">
        <f>IFERROR(INDEX('Email Cleaner'!$B$2:$B$10001,MATCH(2398,'Email Cleaner'!$K$2:$K$10001,0)),"")</f>
        <v/>
      </c>
    </row>
    <row r="2400">
      <c r="A2400">
        <f>IFERROR(INDEX('Email Cleaner'!$B$2:$B$10001,MATCH(2399,'Email Cleaner'!$K$2:$K$10001,0)),"")</f>
        <v/>
      </c>
    </row>
    <row r="2401">
      <c r="A2401">
        <f>IFERROR(INDEX('Email Cleaner'!$B$2:$B$10001,MATCH(2400,'Email Cleaner'!$K$2:$K$10001,0)),"")</f>
        <v/>
      </c>
    </row>
    <row r="2402">
      <c r="A2402">
        <f>IFERROR(INDEX('Email Cleaner'!$B$2:$B$10001,MATCH(2401,'Email Cleaner'!$K$2:$K$10001,0)),"")</f>
        <v/>
      </c>
    </row>
    <row r="2403">
      <c r="A2403">
        <f>IFERROR(INDEX('Email Cleaner'!$B$2:$B$10001,MATCH(2402,'Email Cleaner'!$K$2:$K$10001,0)),"")</f>
        <v/>
      </c>
    </row>
    <row r="2404">
      <c r="A2404">
        <f>IFERROR(INDEX('Email Cleaner'!$B$2:$B$10001,MATCH(2403,'Email Cleaner'!$K$2:$K$10001,0)),"")</f>
        <v/>
      </c>
    </row>
    <row r="2405">
      <c r="A2405">
        <f>IFERROR(INDEX('Email Cleaner'!$B$2:$B$10001,MATCH(2404,'Email Cleaner'!$K$2:$K$10001,0)),"")</f>
        <v/>
      </c>
    </row>
    <row r="2406">
      <c r="A2406">
        <f>IFERROR(INDEX('Email Cleaner'!$B$2:$B$10001,MATCH(2405,'Email Cleaner'!$K$2:$K$10001,0)),"")</f>
        <v/>
      </c>
    </row>
    <row r="2407">
      <c r="A2407">
        <f>IFERROR(INDEX('Email Cleaner'!$B$2:$B$10001,MATCH(2406,'Email Cleaner'!$K$2:$K$10001,0)),"")</f>
        <v/>
      </c>
    </row>
    <row r="2408">
      <c r="A2408">
        <f>IFERROR(INDEX('Email Cleaner'!$B$2:$B$10001,MATCH(2407,'Email Cleaner'!$K$2:$K$10001,0)),"")</f>
        <v/>
      </c>
    </row>
    <row r="2409">
      <c r="A2409">
        <f>IFERROR(INDEX('Email Cleaner'!$B$2:$B$10001,MATCH(2408,'Email Cleaner'!$K$2:$K$10001,0)),"")</f>
        <v/>
      </c>
    </row>
    <row r="2410">
      <c r="A2410">
        <f>IFERROR(INDEX('Email Cleaner'!$B$2:$B$10001,MATCH(2409,'Email Cleaner'!$K$2:$K$10001,0)),"")</f>
        <v/>
      </c>
    </row>
    <row r="2411">
      <c r="A2411">
        <f>IFERROR(INDEX('Email Cleaner'!$B$2:$B$10001,MATCH(2410,'Email Cleaner'!$K$2:$K$10001,0)),"")</f>
        <v/>
      </c>
    </row>
    <row r="2412">
      <c r="A2412">
        <f>IFERROR(INDEX('Email Cleaner'!$B$2:$B$10001,MATCH(2411,'Email Cleaner'!$K$2:$K$10001,0)),"")</f>
        <v/>
      </c>
    </row>
    <row r="2413">
      <c r="A2413">
        <f>IFERROR(INDEX('Email Cleaner'!$B$2:$B$10001,MATCH(2412,'Email Cleaner'!$K$2:$K$10001,0)),"")</f>
        <v/>
      </c>
    </row>
    <row r="2414">
      <c r="A2414">
        <f>IFERROR(INDEX('Email Cleaner'!$B$2:$B$10001,MATCH(2413,'Email Cleaner'!$K$2:$K$10001,0)),"")</f>
        <v/>
      </c>
    </row>
    <row r="2415">
      <c r="A2415">
        <f>IFERROR(INDEX('Email Cleaner'!$B$2:$B$10001,MATCH(2414,'Email Cleaner'!$K$2:$K$10001,0)),"")</f>
        <v/>
      </c>
    </row>
    <row r="2416">
      <c r="A2416">
        <f>IFERROR(INDEX('Email Cleaner'!$B$2:$B$10001,MATCH(2415,'Email Cleaner'!$K$2:$K$10001,0)),"")</f>
        <v/>
      </c>
    </row>
    <row r="2417">
      <c r="A2417">
        <f>IFERROR(INDEX('Email Cleaner'!$B$2:$B$10001,MATCH(2416,'Email Cleaner'!$K$2:$K$10001,0)),"")</f>
        <v/>
      </c>
    </row>
    <row r="2418">
      <c r="A2418">
        <f>IFERROR(INDEX('Email Cleaner'!$B$2:$B$10001,MATCH(2417,'Email Cleaner'!$K$2:$K$10001,0)),"")</f>
        <v/>
      </c>
    </row>
    <row r="2419">
      <c r="A2419">
        <f>IFERROR(INDEX('Email Cleaner'!$B$2:$B$10001,MATCH(2418,'Email Cleaner'!$K$2:$K$10001,0)),"")</f>
        <v/>
      </c>
    </row>
    <row r="2420">
      <c r="A2420">
        <f>IFERROR(INDEX('Email Cleaner'!$B$2:$B$10001,MATCH(2419,'Email Cleaner'!$K$2:$K$10001,0)),"")</f>
        <v/>
      </c>
    </row>
    <row r="2421">
      <c r="A2421">
        <f>IFERROR(INDEX('Email Cleaner'!$B$2:$B$10001,MATCH(2420,'Email Cleaner'!$K$2:$K$10001,0)),"")</f>
        <v/>
      </c>
    </row>
    <row r="2422">
      <c r="A2422">
        <f>IFERROR(INDEX('Email Cleaner'!$B$2:$B$10001,MATCH(2421,'Email Cleaner'!$K$2:$K$10001,0)),"")</f>
        <v/>
      </c>
    </row>
    <row r="2423">
      <c r="A2423">
        <f>IFERROR(INDEX('Email Cleaner'!$B$2:$B$10001,MATCH(2422,'Email Cleaner'!$K$2:$K$10001,0)),"")</f>
        <v/>
      </c>
    </row>
    <row r="2424">
      <c r="A2424">
        <f>IFERROR(INDEX('Email Cleaner'!$B$2:$B$10001,MATCH(2423,'Email Cleaner'!$K$2:$K$10001,0)),"")</f>
        <v/>
      </c>
    </row>
    <row r="2425">
      <c r="A2425">
        <f>IFERROR(INDEX('Email Cleaner'!$B$2:$B$10001,MATCH(2424,'Email Cleaner'!$K$2:$K$10001,0)),"")</f>
        <v/>
      </c>
    </row>
    <row r="2426">
      <c r="A2426">
        <f>IFERROR(INDEX('Email Cleaner'!$B$2:$B$10001,MATCH(2425,'Email Cleaner'!$K$2:$K$10001,0)),"")</f>
        <v/>
      </c>
    </row>
    <row r="2427">
      <c r="A2427">
        <f>IFERROR(INDEX('Email Cleaner'!$B$2:$B$10001,MATCH(2426,'Email Cleaner'!$K$2:$K$10001,0)),"")</f>
        <v/>
      </c>
    </row>
    <row r="2428">
      <c r="A2428">
        <f>IFERROR(INDEX('Email Cleaner'!$B$2:$B$10001,MATCH(2427,'Email Cleaner'!$K$2:$K$10001,0)),"")</f>
        <v/>
      </c>
    </row>
    <row r="2429">
      <c r="A2429">
        <f>IFERROR(INDEX('Email Cleaner'!$B$2:$B$10001,MATCH(2428,'Email Cleaner'!$K$2:$K$10001,0)),"")</f>
        <v/>
      </c>
    </row>
    <row r="2430">
      <c r="A2430">
        <f>IFERROR(INDEX('Email Cleaner'!$B$2:$B$10001,MATCH(2429,'Email Cleaner'!$K$2:$K$10001,0)),"")</f>
        <v/>
      </c>
    </row>
    <row r="2431">
      <c r="A2431">
        <f>IFERROR(INDEX('Email Cleaner'!$B$2:$B$10001,MATCH(2430,'Email Cleaner'!$K$2:$K$10001,0)),"")</f>
        <v/>
      </c>
    </row>
    <row r="2432">
      <c r="A2432">
        <f>IFERROR(INDEX('Email Cleaner'!$B$2:$B$10001,MATCH(2431,'Email Cleaner'!$K$2:$K$10001,0)),"")</f>
        <v/>
      </c>
    </row>
    <row r="2433">
      <c r="A2433">
        <f>IFERROR(INDEX('Email Cleaner'!$B$2:$B$10001,MATCH(2432,'Email Cleaner'!$K$2:$K$10001,0)),"")</f>
        <v/>
      </c>
    </row>
    <row r="2434">
      <c r="A2434">
        <f>IFERROR(INDEX('Email Cleaner'!$B$2:$B$10001,MATCH(2433,'Email Cleaner'!$K$2:$K$10001,0)),"")</f>
        <v/>
      </c>
    </row>
    <row r="2435">
      <c r="A2435">
        <f>IFERROR(INDEX('Email Cleaner'!$B$2:$B$10001,MATCH(2434,'Email Cleaner'!$K$2:$K$10001,0)),"")</f>
        <v/>
      </c>
    </row>
    <row r="2436">
      <c r="A2436">
        <f>IFERROR(INDEX('Email Cleaner'!$B$2:$B$10001,MATCH(2435,'Email Cleaner'!$K$2:$K$10001,0)),"")</f>
        <v/>
      </c>
    </row>
    <row r="2437">
      <c r="A2437">
        <f>IFERROR(INDEX('Email Cleaner'!$B$2:$B$10001,MATCH(2436,'Email Cleaner'!$K$2:$K$10001,0)),"")</f>
        <v/>
      </c>
    </row>
    <row r="2438">
      <c r="A2438">
        <f>IFERROR(INDEX('Email Cleaner'!$B$2:$B$10001,MATCH(2437,'Email Cleaner'!$K$2:$K$10001,0)),"")</f>
        <v/>
      </c>
    </row>
    <row r="2439">
      <c r="A2439">
        <f>IFERROR(INDEX('Email Cleaner'!$B$2:$B$10001,MATCH(2438,'Email Cleaner'!$K$2:$K$10001,0)),"")</f>
        <v/>
      </c>
    </row>
    <row r="2440">
      <c r="A2440">
        <f>IFERROR(INDEX('Email Cleaner'!$B$2:$B$10001,MATCH(2439,'Email Cleaner'!$K$2:$K$10001,0)),"")</f>
        <v/>
      </c>
    </row>
    <row r="2441">
      <c r="A2441">
        <f>IFERROR(INDEX('Email Cleaner'!$B$2:$B$10001,MATCH(2440,'Email Cleaner'!$K$2:$K$10001,0)),"")</f>
        <v/>
      </c>
    </row>
    <row r="2442">
      <c r="A2442">
        <f>IFERROR(INDEX('Email Cleaner'!$B$2:$B$10001,MATCH(2441,'Email Cleaner'!$K$2:$K$10001,0)),"")</f>
        <v/>
      </c>
    </row>
    <row r="2443">
      <c r="A2443">
        <f>IFERROR(INDEX('Email Cleaner'!$B$2:$B$10001,MATCH(2442,'Email Cleaner'!$K$2:$K$10001,0)),"")</f>
        <v/>
      </c>
    </row>
    <row r="2444">
      <c r="A2444">
        <f>IFERROR(INDEX('Email Cleaner'!$B$2:$B$10001,MATCH(2443,'Email Cleaner'!$K$2:$K$10001,0)),"")</f>
        <v/>
      </c>
    </row>
    <row r="2445">
      <c r="A2445">
        <f>IFERROR(INDEX('Email Cleaner'!$B$2:$B$10001,MATCH(2444,'Email Cleaner'!$K$2:$K$10001,0)),"")</f>
        <v/>
      </c>
    </row>
    <row r="2446">
      <c r="A2446">
        <f>IFERROR(INDEX('Email Cleaner'!$B$2:$B$10001,MATCH(2445,'Email Cleaner'!$K$2:$K$10001,0)),"")</f>
        <v/>
      </c>
    </row>
    <row r="2447">
      <c r="A2447">
        <f>IFERROR(INDEX('Email Cleaner'!$B$2:$B$10001,MATCH(2446,'Email Cleaner'!$K$2:$K$10001,0)),"")</f>
        <v/>
      </c>
    </row>
    <row r="2448">
      <c r="A2448">
        <f>IFERROR(INDEX('Email Cleaner'!$B$2:$B$10001,MATCH(2447,'Email Cleaner'!$K$2:$K$10001,0)),"")</f>
        <v/>
      </c>
    </row>
    <row r="2449">
      <c r="A2449">
        <f>IFERROR(INDEX('Email Cleaner'!$B$2:$B$10001,MATCH(2448,'Email Cleaner'!$K$2:$K$10001,0)),"")</f>
        <v/>
      </c>
    </row>
    <row r="2450">
      <c r="A2450">
        <f>IFERROR(INDEX('Email Cleaner'!$B$2:$B$10001,MATCH(2449,'Email Cleaner'!$K$2:$K$10001,0)),"")</f>
        <v/>
      </c>
    </row>
    <row r="2451">
      <c r="A2451">
        <f>IFERROR(INDEX('Email Cleaner'!$B$2:$B$10001,MATCH(2450,'Email Cleaner'!$K$2:$K$10001,0)),"")</f>
        <v/>
      </c>
    </row>
    <row r="2452">
      <c r="A2452">
        <f>IFERROR(INDEX('Email Cleaner'!$B$2:$B$10001,MATCH(2451,'Email Cleaner'!$K$2:$K$10001,0)),"")</f>
        <v/>
      </c>
    </row>
    <row r="2453">
      <c r="A2453">
        <f>IFERROR(INDEX('Email Cleaner'!$B$2:$B$10001,MATCH(2452,'Email Cleaner'!$K$2:$K$10001,0)),"")</f>
        <v/>
      </c>
    </row>
    <row r="2454">
      <c r="A2454">
        <f>IFERROR(INDEX('Email Cleaner'!$B$2:$B$10001,MATCH(2453,'Email Cleaner'!$K$2:$K$10001,0)),"")</f>
        <v/>
      </c>
    </row>
    <row r="2455">
      <c r="A2455">
        <f>IFERROR(INDEX('Email Cleaner'!$B$2:$B$10001,MATCH(2454,'Email Cleaner'!$K$2:$K$10001,0)),"")</f>
        <v/>
      </c>
    </row>
    <row r="2456">
      <c r="A2456">
        <f>IFERROR(INDEX('Email Cleaner'!$B$2:$B$10001,MATCH(2455,'Email Cleaner'!$K$2:$K$10001,0)),"")</f>
        <v/>
      </c>
    </row>
    <row r="2457">
      <c r="A2457">
        <f>IFERROR(INDEX('Email Cleaner'!$B$2:$B$10001,MATCH(2456,'Email Cleaner'!$K$2:$K$10001,0)),"")</f>
        <v/>
      </c>
    </row>
    <row r="2458">
      <c r="A2458">
        <f>IFERROR(INDEX('Email Cleaner'!$B$2:$B$10001,MATCH(2457,'Email Cleaner'!$K$2:$K$10001,0)),"")</f>
        <v/>
      </c>
    </row>
    <row r="2459">
      <c r="A2459">
        <f>IFERROR(INDEX('Email Cleaner'!$B$2:$B$10001,MATCH(2458,'Email Cleaner'!$K$2:$K$10001,0)),"")</f>
        <v/>
      </c>
    </row>
    <row r="2460">
      <c r="A2460">
        <f>IFERROR(INDEX('Email Cleaner'!$B$2:$B$10001,MATCH(2459,'Email Cleaner'!$K$2:$K$10001,0)),"")</f>
        <v/>
      </c>
    </row>
    <row r="2461">
      <c r="A2461">
        <f>IFERROR(INDEX('Email Cleaner'!$B$2:$B$10001,MATCH(2460,'Email Cleaner'!$K$2:$K$10001,0)),"")</f>
        <v/>
      </c>
    </row>
    <row r="2462">
      <c r="A2462">
        <f>IFERROR(INDEX('Email Cleaner'!$B$2:$B$10001,MATCH(2461,'Email Cleaner'!$K$2:$K$10001,0)),"")</f>
        <v/>
      </c>
    </row>
    <row r="2463">
      <c r="A2463">
        <f>IFERROR(INDEX('Email Cleaner'!$B$2:$B$10001,MATCH(2462,'Email Cleaner'!$K$2:$K$10001,0)),"")</f>
        <v/>
      </c>
    </row>
    <row r="2464">
      <c r="A2464">
        <f>IFERROR(INDEX('Email Cleaner'!$B$2:$B$10001,MATCH(2463,'Email Cleaner'!$K$2:$K$10001,0)),"")</f>
        <v/>
      </c>
    </row>
    <row r="2465">
      <c r="A2465">
        <f>IFERROR(INDEX('Email Cleaner'!$B$2:$B$10001,MATCH(2464,'Email Cleaner'!$K$2:$K$10001,0)),"")</f>
        <v/>
      </c>
    </row>
    <row r="2466">
      <c r="A2466">
        <f>IFERROR(INDEX('Email Cleaner'!$B$2:$B$10001,MATCH(2465,'Email Cleaner'!$K$2:$K$10001,0)),"")</f>
        <v/>
      </c>
    </row>
    <row r="2467">
      <c r="A2467">
        <f>IFERROR(INDEX('Email Cleaner'!$B$2:$B$10001,MATCH(2466,'Email Cleaner'!$K$2:$K$10001,0)),"")</f>
        <v/>
      </c>
    </row>
    <row r="2468">
      <c r="A2468">
        <f>IFERROR(INDEX('Email Cleaner'!$B$2:$B$10001,MATCH(2467,'Email Cleaner'!$K$2:$K$10001,0)),"")</f>
        <v/>
      </c>
    </row>
    <row r="2469">
      <c r="A2469">
        <f>IFERROR(INDEX('Email Cleaner'!$B$2:$B$10001,MATCH(2468,'Email Cleaner'!$K$2:$K$10001,0)),"")</f>
        <v/>
      </c>
    </row>
    <row r="2470">
      <c r="A2470">
        <f>IFERROR(INDEX('Email Cleaner'!$B$2:$B$10001,MATCH(2469,'Email Cleaner'!$K$2:$K$10001,0)),"")</f>
        <v/>
      </c>
    </row>
    <row r="2471">
      <c r="A2471">
        <f>IFERROR(INDEX('Email Cleaner'!$B$2:$B$10001,MATCH(2470,'Email Cleaner'!$K$2:$K$10001,0)),"")</f>
        <v/>
      </c>
    </row>
    <row r="2472">
      <c r="A2472">
        <f>IFERROR(INDEX('Email Cleaner'!$B$2:$B$10001,MATCH(2471,'Email Cleaner'!$K$2:$K$10001,0)),"")</f>
        <v/>
      </c>
    </row>
    <row r="2473">
      <c r="A2473">
        <f>IFERROR(INDEX('Email Cleaner'!$B$2:$B$10001,MATCH(2472,'Email Cleaner'!$K$2:$K$10001,0)),"")</f>
        <v/>
      </c>
    </row>
    <row r="2474">
      <c r="A2474">
        <f>IFERROR(INDEX('Email Cleaner'!$B$2:$B$10001,MATCH(2473,'Email Cleaner'!$K$2:$K$10001,0)),"")</f>
        <v/>
      </c>
    </row>
    <row r="2475">
      <c r="A2475">
        <f>IFERROR(INDEX('Email Cleaner'!$B$2:$B$10001,MATCH(2474,'Email Cleaner'!$K$2:$K$10001,0)),"")</f>
        <v/>
      </c>
    </row>
    <row r="2476">
      <c r="A2476">
        <f>IFERROR(INDEX('Email Cleaner'!$B$2:$B$10001,MATCH(2475,'Email Cleaner'!$K$2:$K$10001,0)),"")</f>
        <v/>
      </c>
    </row>
    <row r="2477">
      <c r="A2477">
        <f>IFERROR(INDEX('Email Cleaner'!$B$2:$B$10001,MATCH(2476,'Email Cleaner'!$K$2:$K$10001,0)),"")</f>
        <v/>
      </c>
    </row>
    <row r="2478">
      <c r="A2478">
        <f>IFERROR(INDEX('Email Cleaner'!$B$2:$B$10001,MATCH(2477,'Email Cleaner'!$K$2:$K$10001,0)),"")</f>
        <v/>
      </c>
    </row>
    <row r="2479">
      <c r="A2479">
        <f>IFERROR(INDEX('Email Cleaner'!$B$2:$B$10001,MATCH(2478,'Email Cleaner'!$K$2:$K$10001,0)),"")</f>
        <v/>
      </c>
    </row>
    <row r="2480">
      <c r="A2480">
        <f>IFERROR(INDEX('Email Cleaner'!$B$2:$B$10001,MATCH(2479,'Email Cleaner'!$K$2:$K$10001,0)),"")</f>
        <v/>
      </c>
    </row>
    <row r="2481">
      <c r="A2481">
        <f>IFERROR(INDEX('Email Cleaner'!$B$2:$B$10001,MATCH(2480,'Email Cleaner'!$K$2:$K$10001,0)),"")</f>
        <v/>
      </c>
    </row>
    <row r="2482">
      <c r="A2482">
        <f>IFERROR(INDEX('Email Cleaner'!$B$2:$B$10001,MATCH(2481,'Email Cleaner'!$K$2:$K$10001,0)),"")</f>
        <v/>
      </c>
    </row>
    <row r="2483">
      <c r="A2483">
        <f>IFERROR(INDEX('Email Cleaner'!$B$2:$B$10001,MATCH(2482,'Email Cleaner'!$K$2:$K$10001,0)),"")</f>
        <v/>
      </c>
    </row>
    <row r="2484">
      <c r="A2484">
        <f>IFERROR(INDEX('Email Cleaner'!$B$2:$B$10001,MATCH(2483,'Email Cleaner'!$K$2:$K$10001,0)),"")</f>
        <v/>
      </c>
    </row>
    <row r="2485">
      <c r="A2485">
        <f>IFERROR(INDEX('Email Cleaner'!$B$2:$B$10001,MATCH(2484,'Email Cleaner'!$K$2:$K$10001,0)),"")</f>
        <v/>
      </c>
    </row>
    <row r="2486">
      <c r="A2486">
        <f>IFERROR(INDEX('Email Cleaner'!$B$2:$B$10001,MATCH(2485,'Email Cleaner'!$K$2:$K$10001,0)),"")</f>
        <v/>
      </c>
    </row>
    <row r="2487">
      <c r="A2487">
        <f>IFERROR(INDEX('Email Cleaner'!$B$2:$B$10001,MATCH(2486,'Email Cleaner'!$K$2:$K$10001,0)),"")</f>
        <v/>
      </c>
    </row>
    <row r="2488">
      <c r="A2488">
        <f>IFERROR(INDEX('Email Cleaner'!$B$2:$B$10001,MATCH(2487,'Email Cleaner'!$K$2:$K$10001,0)),"")</f>
        <v/>
      </c>
    </row>
    <row r="2489">
      <c r="A2489">
        <f>IFERROR(INDEX('Email Cleaner'!$B$2:$B$10001,MATCH(2488,'Email Cleaner'!$K$2:$K$10001,0)),"")</f>
        <v/>
      </c>
    </row>
    <row r="2490">
      <c r="A2490">
        <f>IFERROR(INDEX('Email Cleaner'!$B$2:$B$10001,MATCH(2489,'Email Cleaner'!$K$2:$K$10001,0)),"")</f>
        <v/>
      </c>
    </row>
    <row r="2491">
      <c r="A2491">
        <f>IFERROR(INDEX('Email Cleaner'!$B$2:$B$10001,MATCH(2490,'Email Cleaner'!$K$2:$K$10001,0)),"")</f>
        <v/>
      </c>
    </row>
    <row r="2492">
      <c r="A2492">
        <f>IFERROR(INDEX('Email Cleaner'!$B$2:$B$10001,MATCH(2491,'Email Cleaner'!$K$2:$K$10001,0)),"")</f>
        <v/>
      </c>
    </row>
    <row r="2493">
      <c r="A2493">
        <f>IFERROR(INDEX('Email Cleaner'!$B$2:$B$10001,MATCH(2492,'Email Cleaner'!$K$2:$K$10001,0)),"")</f>
        <v/>
      </c>
    </row>
    <row r="2494">
      <c r="A2494">
        <f>IFERROR(INDEX('Email Cleaner'!$B$2:$B$10001,MATCH(2493,'Email Cleaner'!$K$2:$K$10001,0)),"")</f>
        <v/>
      </c>
    </row>
    <row r="2495">
      <c r="A2495">
        <f>IFERROR(INDEX('Email Cleaner'!$B$2:$B$10001,MATCH(2494,'Email Cleaner'!$K$2:$K$10001,0)),"")</f>
        <v/>
      </c>
    </row>
    <row r="2496">
      <c r="A2496">
        <f>IFERROR(INDEX('Email Cleaner'!$B$2:$B$10001,MATCH(2495,'Email Cleaner'!$K$2:$K$10001,0)),"")</f>
        <v/>
      </c>
    </row>
    <row r="2497">
      <c r="A2497">
        <f>IFERROR(INDEX('Email Cleaner'!$B$2:$B$10001,MATCH(2496,'Email Cleaner'!$K$2:$K$10001,0)),"")</f>
        <v/>
      </c>
    </row>
    <row r="2498">
      <c r="A2498">
        <f>IFERROR(INDEX('Email Cleaner'!$B$2:$B$10001,MATCH(2497,'Email Cleaner'!$K$2:$K$10001,0)),"")</f>
        <v/>
      </c>
    </row>
    <row r="2499">
      <c r="A2499">
        <f>IFERROR(INDEX('Email Cleaner'!$B$2:$B$10001,MATCH(2498,'Email Cleaner'!$K$2:$K$10001,0)),"")</f>
        <v/>
      </c>
    </row>
    <row r="2500">
      <c r="A2500">
        <f>IFERROR(INDEX('Email Cleaner'!$B$2:$B$10001,MATCH(2499,'Email Cleaner'!$K$2:$K$10001,0)),"")</f>
        <v/>
      </c>
    </row>
    <row r="2501">
      <c r="A2501">
        <f>IFERROR(INDEX('Email Cleaner'!$B$2:$B$10001,MATCH(2500,'Email Cleaner'!$K$2:$K$10001,0)),"")</f>
        <v/>
      </c>
    </row>
    <row r="2502">
      <c r="A2502">
        <f>IFERROR(INDEX('Email Cleaner'!$B$2:$B$10001,MATCH(2501,'Email Cleaner'!$K$2:$K$10001,0)),"")</f>
        <v/>
      </c>
    </row>
    <row r="2503">
      <c r="A2503">
        <f>IFERROR(INDEX('Email Cleaner'!$B$2:$B$10001,MATCH(2502,'Email Cleaner'!$K$2:$K$10001,0)),"")</f>
        <v/>
      </c>
    </row>
    <row r="2504">
      <c r="A2504">
        <f>IFERROR(INDEX('Email Cleaner'!$B$2:$B$10001,MATCH(2503,'Email Cleaner'!$K$2:$K$10001,0)),"")</f>
        <v/>
      </c>
    </row>
    <row r="2505">
      <c r="A2505">
        <f>IFERROR(INDEX('Email Cleaner'!$B$2:$B$10001,MATCH(2504,'Email Cleaner'!$K$2:$K$10001,0)),"")</f>
        <v/>
      </c>
    </row>
    <row r="2506">
      <c r="A2506">
        <f>IFERROR(INDEX('Email Cleaner'!$B$2:$B$10001,MATCH(2505,'Email Cleaner'!$K$2:$K$10001,0)),"")</f>
        <v/>
      </c>
    </row>
    <row r="2507">
      <c r="A2507">
        <f>IFERROR(INDEX('Email Cleaner'!$B$2:$B$10001,MATCH(2506,'Email Cleaner'!$K$2:$K$10001,0)),"")</f>
        <v/>
      </c>
    </row>
    <row r="2508">
      <c r="A2508">
        <f>IFERROR(INDEX('Email Cleaner'!$B$2:$B$10001,MATCH(2507,'Email Cleaner'!$K$2:$K$10001,0)),"")</f>
        <v/>
      </c>
    </row>
    <row r="2509">
      <c r="A2509">
        <f>IFERROR(INDEX('Email Cleaner'!$B$2:$B$10001,MATCH(2508,'Email Cleaner'!$K$2:$K$10001,0)),"")</f>
        <v/>
      </c>
    </row>
    <row r="2510">
      <c r="A2510">
        <f>IFERROR(INDEX('Email Cleaner'!$B$2:$B$10001,MATCH(2509,'Email Cleaner'!$K$2:$K$10001,0)),"")</f>
        <v/>
      </c>
    </row>
    <row r="2511">
      <c r="A2511">
        <f>IFERROR(INDEX('Email Cleaner'!$B$2:$B$10001,MATCH(2510,'Email Cleaner'!$K$2:$K$10001,0)),"")</f>
        <v/>
      </c>
    </row>
    <row r="2512">
      <c r="A2512">
        <f>IFERROR(INDEX('Email Cleaner'!$B$2:$B$10001,MATCH(2511,'Email Cleaner'!$K$2:$K$10001,0)),"")</f>
        <v/>
      </c>
    </row>
    <row r="2513">
      <c r="A2513">
        <f>IFERROR(INDEX('Email Cleaner'!$B$2:$B$10001,MATCH(2512,'Email Cleaner'!$K$2:$K$10001,0)),"")</f>
        <v/>
      </c>
    </row>
    <row r="2514">
      <c r="A2514">
        <f>IFERROR(INDEX('Email Cleaner'!$B$2:$B$10001,MATCH(2513,'Email Cleaner'!$K$2:$K$10001,0)),"")</f>
        <v/>
      </c>
    </row>
    <row r="2515">
      <c r="A2515">
        <f>IFERROR(INDEX('Email Cleaner'!$B$2:$B$10001,MATCH(2514,'Email Cleaner'!$K$2:$K$10001,0)),"")</f>
        <v/>
      </c>
    </row>
    <row r="2516">
      <c r="A2516">
        <f>IFERROR(INDEX('Email Cleaner'!$B$2:$B$10001,MATCH(2515,'Email Cleaner'!$K$2:$K$10001,0)),"")</f>
        <v/>
      </c>
    </row>
    <row r="2517">
      <c r="A2517">
        <f>IFERROR(INDEX('Email Cleaner'!$B$2:$B$10001,MATCH(2516,'Email Cleaner'!$K$2:$K$10001,0)),"")</f>
        <v/>
      </c>
    </row>
    <row r="2518">
      <c r="A2518">
        <f>IFERROR(INDEX('Email Cleaner'!$B$2:$B$10001,MATCH(2517,'Email Cleaner'!$K$2:$K$10001,0)),"")</f>
        <v/>
      </c>
    </row>
    <row r="2519">
      <c r="A2519">
        <f>IFERROR(INDEX('Email Cleaner'!$B$2:$B$10001,MATCH(2518,'Email Cleaner'!$K$2:$K$10001,0)),"")</f>
        <v/>
      </c>
    </row>
    <row r="2520">
      <c r="A2520">
        <f>IFERROR(INDEX('Email Cleaner'!$B$2:$B$10001,MATCH(2519,'Email Cleaner'!$K$2:$K$10001,0)),"")</f>
        <v/>
      </c>
    </row>
    <row r="2521">
      <c r="A2521">
        <f>IFERROR(INDEX('Email Cleaner'!$B$2:$B$10001,MATCH(2520,'Email Cleaner'!$K$2:$K$10001,0)),"")</f>
        <v/>
      </c>
    </row>
    <row r="2522">
      <c r="A2522">
        <f>IFERROR(INDEX('Email Cleaner'!$B$2:$B$10001,MATCH(2521,'Email Cleaner'!$K$2:$K$10001,0)),"")</f>
        <v/>
      </c>
    </row>
    <row r="2523">
      <c r="A2523">
        <f>IFERROR(INDEX('Email Cleaner'!$B$2:$B$10001,MATCH(2522,'Email Cleaner'!$K$2:$K$10001,0)),"")</f>
        <v/>
      </c>
    </row>
    <row r="2524">
      <c r="A2524">
        <f>IFERROR(INDEX('Email Cleaner'!$B$2:$B$10001,MATCH(2523,'Email Cleaner'!$K$2:$K$10001,0)),"")</f>
        <v/>
      </c>
    </row>
    <row r="2525">
      <c r="A2525">
        <f>IFERROR(INDEX('Email Cleaner'!$B$2:$B$10001,MATCH(2524,'Email Cleaner'!$K$2:$K$10001,0)),"")</f>
        <v/>
      </c>
    </row>
    <row r="2526">
      <c r="A2526">
        <f>IFERROR(INDEX('Email Cleaner'!$B$2:$B$10001,MATCH(2525,'Email Cleaner'!$K$2:$K$10001,0)),"")</f>
        <v/>
      </c>
    </row>
    <row r="2527">
      <c r="A2527">
        <f>IFERROR(INDEX('Email Cleaner'!$B$2:$B$10001,MATCH(2526,'Email Cleaner'!$K$2:$K$10001,0)),"")</f>
        <v/>
      </c>
    </row>
    <row r="2528">
      <c r="A2528">
        <f>IFERROR(INDEX('Email Cleaner'!$B$2:$B$10001,MATCH(2527,'Email Cleaner'!$K$2:$K$10001,0)),"")</f>
        <v/>
      </c>
    </row>
    <row r="2529">
      <c r="A2529">
        <f>IFERROR(INDEX('Email Cleaner'!$B$2:$B$10001,MATCH(2528,'Email Cleaner'!$K$2:$K$10001,0)),"")</f>
        <v/>
      </c>
    </row>
    <row r="2530">
      <c r="A2530">
        <f>IFERROR(INDEX('Email Cleaner'!$B$2:$B$10001,MATCH(2529,'Email Cleaner'!$K$2:$K$10001,0)),"")</f>
        <v/>
      </c>
    </row>
    <row r="2531">
      <c r="A2531">
        <f>IFERROR(INDEX('Email Cleaner'!$B$2:$B$10001,MATCH(2530,'Email Cleaner'!$K$2:$K$10001,0)),"")</f>
        <v/>
      </c>
    </row>
    <row r="2532">
      <c r="A2532">
        <f>IFERROR(INDEX('Email Cleaner'!$B$2:$B$10001,MATCH(2531,'Email Cleaner'!$K$2:$K$10001,0)),"")</f>
        <v/>
      </c>
    </row>
    <row r="2533">
      <c r="A2533">
        <f>IFERROR(INDEX('Email Cleaner'!$B$2:$B$10001,MATCH(2532,'Email Cleaner'!$K$2:$K$10001,0)),"")</f>
        <v/>
      </c>
    </row>
    <row r="2534">
      <c r="A2534">
        <f>IFERROR(INDEX('Email Cleaner'!$B$2:$B$10001,MATCH(2533,'Email Cleaner'!$K$2:$K$10001,0)),"")</f>
        <v/>
      </c>
    </row>
    <row r="2535">
      <c r="A2535">
        <f>IFERROR(INDEX('Email Cleaner'!$B$2:$B$10001,MATCH(2534,'Email Cleaner'!$K$2:$K$10001,0)),"")</f>
        <v/>
      </c>
    </row>
    <row r="2536">
      <c r="A2536">
        <f>IFERROR(INDEX('Email Cleaner'!$B$2:$B$10001,MATCH(2535,'Email Cleaner'!$K$2:$K$10001,0)),"")</f>
        <v/>
      </c>
    </row>
    <row r="2537">
      <c r="A2537">
        <f>IFERROR(INDEX('Email Cleaner'!$B$2:$B$10001,MATCH(2536,'Email Cleaner'!$K$2:$K$10001,0)),"")</f>
        <v/>
      </c>
    </row>
    <row r="2538">
      <c r="A2538">
        <f>IFERROR(INDEX('Email Cleaner'!$B$2:$B$10001,MATCH(2537,'Email Cleaner'!$K$2:$K$10001,0)),"")</f>
        <v/>
      </c>
    </row>
    <row r="2539">
      <c r="A2539">
        <f>IFERROR(INDEX('Email Cleaner'!$B$2:$B$10001,MATCH(2538,'Email Cleaner'!$K$2:$K$10001,0)),"")</f>
        <v/>
      </c>
    </row>
    <row r="2540">
      <c r="A2540">
        <f>IFERROR(INDEX('Email Cleaner'!$B$2:$B$10001,MATCH(2539,'Email Cleaner'!$K$2:$K$10001,0)),"")</f>
        <v/>
      </c>
    </row>
    <row r="2541">
      <c r="A2541">
        <f>IFERROR(INDEX('Email Cleaner'!$B$2:$B$10001,MATCH(2540,'Email Cleaner'!$K$2:$K$10001,0)),"")</f>
        <v/>
      </c>
    </row>
    <row r="2542">
      <c r="A2542">
        <f>IFERROR(INDEX('Email Cleaner'!$B$2:$B$10001,MATCH(2541,'Email Cleaner'!$K$2:$K$10001,0)),"")</f>
        <v/>
      </c>
    </row>
    <row r="2543">
      <c r="A2543">
        <f>IFERROR(INDEX('Email Cleaner'!$B$2:$B$10001,MATCH(2542,'Email Cleaner'!$K$2:$K$10001,0)),"")</f>
        <v/>
      </c>
    </row>
    <row r="2544">
      <c r="A2544">
        <f>IFERROR(INDEX('Email Cleaner'!$B$2:$B$10001,MATCH(2543,'Email Cleaner'!$K$2:$K$10001,0)),"")</f>
        <v/>
      </c>
    </row>
    <row r="2545">
      <c r="A2545">
        <f>IFERROR(INDEX('Email Cleaner'!$B$2:$B$10001,MATCH(2544,'Email Cleaner'!$K$2:$K$10001,0)),"")</f>
        <v/>
      </c>
    </row>
    <row r="2546">
      <c r="A2546">
        <f>IFERROR(INDEX('Email Cleaner'!$B$2:$B$10001,MATCH(2545,'Email Cleaner'!$K$2:$K$10001,0)),"")</f>
        <v/>
      </c>
    </row>
    <row r="2547">
      <c r="A2547">
        <f>IFERROR(INDEX('Email Cleaner'!$B$2:$B$10001,MATCH(2546,'Email Cleaner'!$K$2:$K$10001,0)),"")</f>
        <v/>
      </c>
    </row>
    <row r="2548">
      <c r="A2548">
        <f>IFERROR(INDEX('Email Cleaner'!$B$2:$B$10001,MATCH(2547,'Email Cleaner'!$K$2:$K$10001,0)),"")</f>
        <v/>
      </c>
    </row>
    <row r="2549">
      <c r="A2549">
        <f>IFERROR(INDEX('Email Cleaner'!$B$2:$B$10001,MATCH(2548,'Email Cleaner'!$K$2:$K$10001,0)),"")</f>
        <v/>
      </c>
    </row>
    <row r="2550">
      <c r="A2550">
        <f>IFERROR(INDEX('Email Cleaner'!$B$2:$B$10001,MATCH(2549,'Email Cleaner'!$K$2:$K$10001,0)),"")</f>
        <v/>
      </c>
    </row>
    <row r="2551">
      <c r="A2551">
        <f>IFERROR(INDEX('Email Cleaner'!$B$2:$B$10001,MATCH(2550,'Email Cleaner'!$K$2:$K$10001,0)),"")</f>
        <v/>
      </c>
    </row>
    <row r="2552">
      <c r="A2552">
        <f>IFERROR(INDEX('Email Cleaner'!$B$2:$B$10001,MATCH(2551,'Email Cleaner'!$K$2:$K$10001,0)),"")</f>
        <v/>
      </c>
    </row>
    <row r="2553">
      <c r="A2553">
        <f>IFERROR(INDEX('Email Cleaner'!$B$2:$B$10001,MATCH(2552,'Email Cleaner'!$K$2:$K$10001,0)),"")</f>
        <v/>
      </c>
    </row>
    <row r="2554">
      <c r="A2554">
        <f>IFERROR(INDEX('Email Cleaner'!$B$2:$B$10001,MATCH(2553,'Email Cleaner'!$K$2:$K$10001,0)),"")</f>
        <v/>
      </c>
    </row>
    <row r="2555">
      <c r="A2555">
        <f>IFERROR(INDEX('Email Cleaner'!$B$2:$B$10001,MATCH(2554,'Email Cleaner'!$K$2:$K$10001,0)),"")</f>
        <v/>
      </c>
    </row>
    <row r="2556">
      <c r="A2556">
        <f>IFERROR(INDEX('Email Cleaner'!$B$2:$B$10001,MATCH(2555,'Email Cleaner'!$K$2:$K$10001,0)),"")</f>
        <v/>
      </c>
    </row>
    <row r="2557">
      <c r="A2557">
        <f>IFERROR(INDEX('Email Cleaner'!$B$2:$B$10001,MATCH(2556,'Email Cleaner'!$K$2:$K$10001,0)),"")</f>
        <v/>
      </c>
    </row>
    <row r="2558">
      <c r="A2558">
        <f>IFERROR(INDEX('Email Cleaner'!$B$2:$B$10001,MATCH(2557,'Email Cleaner'!$K$2:$K$10001,0)),"")</f>
        <v/>
      </c>
    </row>
    <row r="2559">
      <c r="A2559">
        <f>IFERROR(INDEX('Email Cleaner'!$B$2:$B$10001,MATCH(2558,'Email Cleaner'!$K$2:$K$10001,0)),"")</f>
        <v/>
      </c>
    </row>
    <row r="2560">
      <c r="A2560">
        <f>IFERROR(INDEX('Email Cleaner'!$B$2:$B$10001,MATCH(2559,'Email Cleaner'!$K$2:$K$10001,0)),"")</f>
        <v/>
      </c>
    </row>
    <row r="2561">
      <c r="A2561">
        <f>IFERROR(INDEX('Email Cleaner'!$B$2:$B$10001,MATCH(2560,'Email Cleaner'!$K$2:$K$10001,0)),"")</f>
        <v/>
      </c>
    </row>
    <row r="2562">
      <c r="A2562">
        <f>IFERROR(INDEX('Email Cleaner'!$B$2:$B$10001,MATCH(2561,'Email Cleaner'!$K$2:$K$10001,0)),"")</f>
        <v/>
      </c>
    </row>
    <row r="2563">
      <c r="A2563">
        <f>IFERROR(INDEX('Email Cleaner'!$B$2:$B$10001,MATCH(2562,'Email Cleaner'!$K$2:$K$10001,0)),"")</f>
        <v/>
      </c>
    </row>
    <row r="2564">
      <c r="A2564">
        <f>IFERROR(INDEX('Email Cleaner'!$B$2:$B$10001,MATCH(2563,'Email Cleaner'!$K$2:$K$10001,0)),"")</f>
        <v/>
      </c>
    </row>
    <row r="2565">
      <c r="A2565">
        <f>IFERROR(INDEX('Email Cleaner'!$B$2:$B$10001,MATCH(2564,'Email Cleaner'!$K$2:$K$10001,0)),"")</f>
        <v/>
      </c>
    </row>
    <row r="2566">
      <c r="A2566">
        <f>IFERROR(INDEX('Email Cleaner'!$B$2:$B$10001,MATCH(2565,'Email Cleaner'!$K$2:$K$10001,0)),"")</f>
        <v/>
      </c>
    </row>
    <row r="2567">
      <c r="A2567">
        <f>IFERROR(INDEX('Email Cleaner'!$B$2:$B$10001,MATCH(2566,'Email Cleaner'!$K$2:$K$10001,0)),"")</f>
        <v/>
      </c>
    </row>
    <row r="2568">
      <c r="A2568">
        <f>IFERROR(INDEX('Email Cleaner'!$B$2:$B$10001,MATCH(2567,'Email Cleaner'!$K$2:$K$10001,0)),"")</f>
        <v/>
      </c>
    </row>
    <row r="2569">
      <c r="A2569">
        <f>IFERROR(INDEX('Email Cleaner'!$B$2:$B$10001,MATCH(2568,'Email Cleaner'!$K$2:$K$10001,0)),"")</f>
        <v/>
      </c>
    </row>
    <row r="2570">
      <c r="A2570">
        <f>IFERROR(INDEX('Email Cleaner'!$B$2:$B$10001,MATCH(2569,'Email Cleaner'!$K$2:$K$10001,0)),"")</f>
        <v/>
      </c>
    </row>
    <row r="2571">
      <c r="A2571">
        <f>IFERROR(INDEX('Email Cleaner'!$B$2:$B$10001,MATCH(2570,'Email Cleaner'!$K$2:$K$10001,0)),"")</f>
        <v/>
      </c>
    </row>
    <row r="2572">
      <c r="A2572">
        <f>IFERROR(INDEX('Email Cleaner'!$B$2:$B$10001,MATCH(2571,'Email Cleaner'!$K$2:$K$10001,0)),"")</f>
        <v/>
      </c>
    </row>
    <row r="2573">
      <c r="A2573">
        <f>IFERROR(INDEX('Email Cleaner'!$B$2:$B$10001,MATCH(2572,'Email Cleaner'!$K$2:$K$10001,0)),"")</f>
        <v/>
      </c>
    </row>
    <row r="2574">
      <c r="A2574">
        <f>IFERROR(INDEX('Email Cleaner'!$B$2:$B$10001,MATCH(2573,'Email Cleaner'!$K$2:$K$10001,0)),"")</f>
        <v/>
      </c>
    </row>
    <row r="2575">
      <c r="A2575">
        <f>IFERROR(INDEX('Email Cleaner'!$B$2:$B$10001,MATCH(2574,'Email Cleaner'!$K$2:$K$10001,0)),"")</f>
        <v/>
      </c>
    </row>
    <row r="2576">
      <c r="A2576">
        <f>IFERROR(INDEX('Email Cleaner'!$B$2:$B$10001,MATCH(2575,'Email Cleaner'!$K$2:$K$10001,0)),"")</f>
        <v/>
      </c>
    </row>
    <row r="2577">
      <c r="A2577">
        <f>IFERROR(INDEX('Email Cleaner'!$B$2:$B$10001,MATCH(2576,'Email Cleaner'!$K$2:$K$10001,0)),"")</f>
        <v/>
      </c>
    </row>
    <row r="2578">
      <c r="A2578">
        <f>IFERROR(INDEX('Email Cleaner'!$B$2:$B$10001,MATCH(2577,'Email Cleaner'!$K$2:$K$10001,0)),"")</f>
        <v/>
      </c>
    </row>
    <row r="2579">
      <c r="A2579">
        <f>IFERROR(INDEX('Email Cleaner'!$B$2:$B$10001,MATCH(2578,'Email Cleaner'!$K$2:$K$10001,0)),"")</f>
        <v/>
      </c>
    </row>
    <row r="2580">
      <c r="A2580">
        <f>IFERROR(INDEX('Email Cleaner'!$B$2:$B$10001,MATCH(2579,'Email Cleaner'!$K$2:$K$10001,0)),"")</f>
        <v/>
      </c>
    </row>
    <row r="2581">
      <c r="A2581">
        <f>IFERROR(INDEX('Email Cleaner'!$B$2:$B$10001,MATCH(2580,'Email Cleaner'!$K$2:$K$10001,0)),"")</f>
        <v/>
      </c>
    </row>
    <row r="2582">
      <c r="A2582">
        <f>IFERROR(INDEX('Email Cleaner'!$B$2:$B$10001,MATCH(2581,'Email Cleaner'!$K$2:$K$10001,0)),"")</f>
        <v/>
      </c>
    </row>
    <row r="2583">
      <c r="A2583">
        <f>IFERROR(INDEX('Email Cleaner'!$B$2:$B$10001,MATCH(2582,'Email Cleaner'!$K$2:$K$10001,0)),"")</f>
        <v/>
      </c>
    </row>
    <row r="2584">
      <c r="A2584">
        <f>IFERROR(INDEX('Email Cleaner'!$B$2:$B$10001,MATCH(2583,'Email Cleaner'!$K$2:$K$10001,0)),"")</f>
        <v/>
      </c>
    </row>
    <row r="2585">
      <c r="A2585">
        <f>IFERROR(INDEX('Email Cleaner'!$B$2:$B$10001,MATCH(2584,'Email Cleaner'!$K$2:$K$10001,0)),"")</f>
        <v/>
      </c>
    </row>
    <row r="2586">
      <c r="A2586">
        <f>IFERROR(INDEX('Email Cleaner'!$B$2:$B$10001,MATCH(2585,'Email Cleaner'!$K$2:$K$10001,0)),"")</f>
        <v/>
      </c>
    </row>
    <row r="2587">
      <c r="A2587">
        <f>IFERROR(INDEX('Email Cleaner'!$B$2:$B$10001,MATCH(2586,'Email Cleaner'!$K$2:$K$10001,0)),"")</f>
        <v/>
      </c>
    </row>
    <row r="2588">
      <c r="A2588">
        <f>IFERROR(INDEX('Email Cleaner'!$B$2:$B$10001,MATCH(2587,'Email Cleaner'!$K$2:$K$10001,0)),"")</f>
        <v/>
      </c>
    </row>
    <row r="2589">
      <c r="A2589">
        <f>IFERROR(INDEX('Email Cleaner'!$B$2:$B$10001,MATCH(2588,'Email Cleaner'!$K$2:$K$10001,0)),"")</f>
        <v/>
      </c>
    </row>
    <row r="2590">
      <c r="A2590">
        <f>IFERROR(INDEX('Email Cleaner'!$B$2:$B$10001,MATCH(2589,'Email Cleaner'!$K$2:$K$10001,0)),"")</f>
        <v/>
      </c>
    </row>
    <row r="2591">
      <c r="A2591">
        <f>IFERROR(INDEX('Email Cleaner'!$B$2:$B$10001,MATCH(2590,'Email Cleaner'!$K$2:$K$10001,0)),"")</f>
        <v/>
      </c>
    </row>
    <row r="2592">
      <c r="A2592">
        <f>IFERROR(INDEX('Email Cleaner'!$B$2:$B$10001,MATCH(2591,'Email Cleaner'!$K$2:$K$10001,0)),"")</f>
        <v/>
      </c>
    </row>
    <row r="2593">
      <c r="A2593">
        <f>IFERROR(INDEX('Email Cleaner'!$B$2:$B$10001,MATCH(2592,'Email Cleaner'!$K$2:$K$10001,0)),"")</f>
        <v/>
      </c>
    </row>
    <row r="2594">
      <c r="A2594">
        <f>IFERROR(INDEX('Email Cleaner'!$B$2:$B$10001,MATCH(2593,'Email Cleaner'!$K$2:$K$10001,0)),"")</f>
        <v/>
      </c>
    </row>
    <row r="2595">
      <c r="A2595">
        <f>IFERROR(INDEX('Email Cleaner'!$B$2:$B$10001,MATCH(2594,'Email Cleaner'!$K$2:$K$10001,0)),"")</f>
        <v/>
      </c>
    </row>
    <row r="2596">
      <c r="A2596">
        <f>IFERROR(INDEX('Email Cleaner'!$B$2:$B$10001,MATCH(2595,'Email Cleaner'!$K$2:$K$10001,0)),"")</f>
        <v/>
      </c>
    </row>
    <row r="2597">
      <c r="A2597">
        <f>IFERROR(INDEX('Email Cleaner'!$B$2:$B$10001,MATCH(2596,'Email Cleaner'!$K$2:$K$10001,0)),"")</f>
        <v/>
      </c>
    </row>
    <row r="2598">
      <c r="A2598">
        <f>IFERROR(INDEX('Email Cleaner'!$B$2:$B$10001,MATCH(2597,'Email Cleaner'!$K$2:$K$10001,0)),"")</f>
        <v/>
      </c>
    </row>
    <row r="2599">
      <c r="A2599">
        <f>IFERROR(INDEX('Email Cleaner'!$B$2:$B$10001,MATCH(2598,'Email Cleaner'!$K$2:$K$10001,0)),"")</f>
        <v/>
      </c>
    </row>
    <row r="2600">
      <c r="A2600">
        <f>IFERROR(INDEX('Email Cleaner'!$B$2:$B$10001,MATCH(2599,'Email Cleaner'!$K$2:$K$10001,0)),"")</f>
        <v/>
      </c>
    </row>
    <row r="2601">
      <c r="A2601">
        <f>IFERROR(INDEX('Email Cleaner'!$B$2:$B$10001,MATCH(2600,'Email Cleaner'!$K$2:$K$10001,0)),"")</f>
        <v/>
      </c>
    </row>
    <row r="2602">
      <c r="A2602">
        <f>IFERROR(INDEX('Email Cleaner'!$B$2:$B$10001,MATCH(2601,'Email Cleaner'!$K$2:$K$10001,0)),"")</f>
        <v/>
      </c>
    </row>
    <row r="2603">
      <c r="A2603">
        <f>IFERROR(INDEX('Email Cleaner'!$B$2:$B$10001,MATCH(2602,'Email Cleaner'!$K$2:$K$10001,0)),"")</f>
        <v/>
      </c>
    </row>
    <row r="2604">
      <c r="A2604">
        <f>IFERROR(INDEX('Email Cleaner'!$B$2:$B$10001,MATCH(2603,'Email Cleaner'!$K$2:$K$10001,0)),"")</f>
        <v/>
      </c>
    </row>
    <row r="2605">
      <c r="A2605">
        <f>IFERROR(INDEX('Email Cleaner'!$B$2:$B$10001,MATCH(2604,'Email Cleaner'!$K$2:$K$10001,0)),"")</f>
        <v/>
      </c>
    </row>
    <row r="2606">
      <c r="A2606">
        <f>IFERROR(INDEX('Email Cleaner'!$B$2:$B$10001,MATCH(2605,'Email Cleaner'!$K$2:$K$10001,0)),"")</f>
        <v/>
      </c>
    </row>
    <row r="2607">
      <c r="A2607">
        <f>IFERROR(INDEX('Email Cleaner'!$B$2:$B$10001,MATCH(2606,'Email Cleaner'!$K$2:$K$10001,0)),"")</f>
        <v/>
      </c>
    </row>
    <row r="2608">
      <c r="A2608">
        <f>IFERROR(INDEX('Email Cleaner'!$B$2:$B$10001,MATCH(2607,'Email Cleaner'!$K$2:$K$10001,0)),"")</f>
        <v/>
      </c>
    </row>
    <row r="2609">
      <c r="A2609">
        <f>IFERROR(INDEX('Email Cleaner'!$B$2:$B$10001,MATCH(2608,'Email Cleaner'!$K$2:$K$10001,0)),"")</f>
        <v/>
      </c>
    </row>
    <row r="2610">
      <c r="A2610">
        <f>IFERROR(INDEX('Email Cleaner'!$B$2:$B$10001,MATCH(2609,'Email Cleaner'!$K$2:$K$10001,0)),"")</f>
        <v/>
      </c>
    </row>
    <row r="2611">
      <c r="A2611">
        <f>IFERROR(INDEX('Email Cleaner'!$B$2:$B$10001,MATCH(2610,'Email Cleaner'!$K$2:$K$10001,0)),"")</f>
        <v/>
      </c>
    </row>
    <row r="2612">
      <c r="A2612">
        <f>IFERROR(INDEX('Email Cleaner'!$B$2:$B$10001,MATCH(2611,'Email Cleaner'!$K$2:$K$10001,0)),"")</f>
        <v/>
      </c>
    </row>
    <row r="2613">
      <c r="A2613">
        <f>IFERROR(INDEX('Email Cleaner'!$B$2:$B$10001,MATCH(2612,'Email Cleaner'!$K$2:$K$10001,0)),"")</f>
        <v/>
      </c>
    </row>
    <row r="2614">
      <c r="A2614">
        <f>IFERROR(INDEX('Email Cleaner'!$B$2:$B$10001,MATCH(2613,'Email Cleaner'!$K$2:$K$10001,0)),"")</f>
        <v/>
      </c>
    </row>
    <row r="2615">
      <c r="A2615">
        <f>IFERROR(INDEX('Email Cleaner'!$B$2:$B$10001,MATCH(2614,'Email Cleaner'!$K$2:$K$10001,0)),"")</f>
        <v/>
      </c>
    </row>
    <row r="2616">
      <c r="A2616">
        <f>IFERROR(INDEX('Email Cleaner'!$B$2:$B$10001,MATCH(2615,'Email Cleaner'!$K$2:$K$10001,0)),"")</f>
        <v/>
      </c>
    </row>
    <row r="2617">
      <c r="A2617">
        <f>IFERROR(INDEX('Email Cleaner'!$B$2:$B$10001,MATCH(2616,'Email Cleaner'!$K$2:$K$10001,0)),"")</f>
        <v/>
      </c>
    </row>
    <row r="2618">
      <c r="A2618">
        <f>IFERROR(INDEX('Email Cleaner'!$B$2:$B$10001,MATCH(2617,'Email Cleaner'!$K$2:$K$10001,0)),"")</f>
        <v/>
      </c>
    </row>
    <row r="2619">
      <c r="A2619">
        <f>IFERROR(INDEX('Email Cleaner'!$B$2:$B$10001,MATCH(2618,'Email Cleaner'!$K$2:$K$10001,0)),"")</f>
        <v/>
      </c>
    </row>
    <row r="2620">
      <c r="A2620">
        <f>IFERROR(INDEX('Email Cleaner'!$B$2:$B$10001,MATCH(2619,'Email Cleaner'!$K$2:$K$10001,0)),"")</f>
        <v/>
      </c>
    </row>
    <row r="2621">
      <c r="A2621">
        <f>IFERROR(INDEX('Email Cleaner'!$B$2:$B$10001,MATCH(2620,'Email Cleaner'!$K$2:$K$10001,0)),"")</f>
        <v/>
      </c>
    </row>
    <row r="2622">
      <c r="A2622">
        <f>IFERROR(INDEX('Email Cleaner'!$B$2:$B$10001,MATCH(2621,'Email Cleaner'!$K$2:$K$10001,0)),"")</f>
        <v/>
      </c>
    </row>
    <row r="2623">
      <c r="A2623">
        <f>IFERROR(INDEX('Email Cleaner'!$B$2:$B$10001,MATCH(2622,'Email Cleaner'!$K$2:$K$10001,0)),"")</f>
        <v/>
      </c>
    </row>
    <row r="2624">
      <c r="A2624">
        <f>IFERROR(INDEX('Email Cleaner'!$B$2:$B$10001,MATCH(2623,'Email Cleaner'!$K$2:$K$10001,0)),"")</f>
        <v/>
      </c>
    </row>
    <row r="2625">
      <c r="A2625">
        <f>IFERROR(INDEX('Email Cleaner'!$B$2:$B$10001,MATCH(2624,'Email Cleaner'!$K$2:$K$10001,0)),"")</f>
        <v/>
      </c>
    </row>
    <row r="2626">
      <c r="A2626">
        <f>IFERROR(INDEX('Email Cleaner'!$B$2:$B$10001,MATCH(2625,'Email Cleaner'!$K$2:$K$10001,0)),"")</f>
        <v/>
      </c>
    </row>
    <row r="2627">
      <c r="A2627">
        <f>IFERROR(INDEX('Email Cleaner'!$B$2:$B$10001,MATCH(2626,'Email Cleaner'!$K$2:$K$10001,0)),"")</f>
        <v/>
      </c>
    </row>
    <row r="2628">
      <c r="A2628">
        <f>IFERROR(INDEX('Email Cleaner'!$B$2:$B$10001,MATCH(2627,'Email Cleaner'!$K$2:$K$10001,0)),"")</f>
        <v/>
      </c>
    </row>
    <row r="2629">
      <c r="A2629">
        <f>IFERROR(INDEX('Email Cleaner'!$B$2:$B$10001,MATCH(2628,'Email Cleaner'!$K$2:$K$10001,0)),"")</f>
        <v/>
      </c>
    </row>
    <row r="2630">
      <c r="A2630">
        <f>IFERROR(INDEX('Email Cleaner'!$B$2:$B$10001,MATCH(2629,'Email Cleaner'!$K$2:$K$10001,0)),"")</f>
        <v/>
      </c>
    </row>
    <row r="2631">
      <c r="A2631">
        <f>IFERROR(INDEX('Email Cleaner'!$B$2:$B$10001,MATCH(2630,'Email Cleaner'!$K$2:$K$10001,0)),"")</f>
        <v/>
      </c>
    </row>
    <row r="2632">
      <c r="A2632">
        <f>IFERROR(INDEX('Email Cleaner'!$B$2:$B$10001,MATCH(2631,'Email Cleaner'!$K$2:$K$10001,0)),"")</f>
        <v/>
      </c>
    </row>
    <row r="2633">
      <c r="A2633">
        <f>IFERROR(INDEX('Email Cleaner'!$B$2:$B$10001,MATCH(2632,'Email Cleaner'!$K$2:$K$10001,0)),"")</f>
        <v/>
      </c>
    </row>
    <row r="2634">
      <c r="A2634">
        <f>IFERROR(INDEX('Email Cleaner'!$B$2:$B$10001,MATCH(2633,'Email Cleaner'!$K$2:$K$10001,0)),"")</f>
        <v/>
      </c>
    </row>
    <row r="2635">
      <c r="A2635">
        <f>IFERROR(INDEX('Email Cleaner'!$B$2:$B$10001,MATCH(2634,'Email Cleaner'!$K$2:$K$10001,0)),"")</f>
        <v/>
      </c>
    </row>
    <row r="2636">
      <c r="A2636">
        <f>IFERROR(INDEX('Email Cleaner'!$B$2:$B$10001,MATCH(2635,'Email Cleaner'!$K$2:$K$10001,0)),"")</f>
        <v/>
      </c>
    </row>
    <row r="2637">
      <c r="A2637">
        <f>IFERROR(INDEX('Email Cleaner'!$B$2:$B$10001,MATCH(2636,'Email Cleaner'!$K$2:$K$10001,0)),"")</f>
        <v/>
      </c>
    </row>
    <row r="2638">
      <c r="A2638">
        <f>IFERROR(INDEX('Email Cleaner'!$B$2:$B$10001,MATCH(2637,'Email Cleaner'!$K$2:$K$10001,0)),"")</f>
        <v/>
      </c>
    </row>
    <row r="2639">
      <c r="A2639">
        <f>IFERROR(INDEX('Email Cleaner'!$B$2:$B$10001,MATCH(2638,'Email Cleaner'!$K$2:$K$10001,0)),"")</f>
        <v/>
      </c>
    </row>
    <row r="2640">
      <c r="A2640">
        <f>IFERROR(INDEX('Email Cleaner'!$B$2:$B$10001,MATCH(2639,'Email Cleaner'!$K$2:$K$10001,0)),"")</f>
        <v/>
      </c>
    </row>
    <row r="2641">
      <c r="A2641">
        <f>IFERROR(INDEX('Email Cleaner'!$B$2:$B$10001,MATCH(2640,'Email Cleaner'!$K$2:$K$10001,0)),"")</f>
        <v/>
      </c>
    </row>
    <row r="2642">
      <c r="A2642">
        <f>IFERROR(INDEX('Email Cleaner'!$B$2:$B$10001,MATCH(2641,'Email Cleaner'!$K$2:$K$10001,0)),"")</f>
        <v/>
      </c>
    </row>
    <row r="2643">
      <c r="A2643">
        <f>IFERROR(INDEX('Email Cleaner'!$B$2:$B$10001,MATCH(2642,'Email Cleaner'!$K$2:$K$10001,0)),"")</f>
        <v/>
      </c>
    </row>
    <row r="2644">
      <c r="A2644">
        <f>IFERROR(INDEX('Email Cleaner'!$B$2:$B$10001,MATCH(2643,'Email Cleaner'!$K$2:$K$10001,0)),"")</f>
        <v/>
      </c>
    </row>
    <row r="2645">
      <c r="A2645">
        <f>IFERROR(INDEX('Email Cleaner'!$B$2:$B$10001,MATCH(2644,'Email Cleaner'!$K$2:$K$10001,0)),"")</f>
        <v/>
      </c>
    </row>
    <row r="2646">
      <c r="A2646">
        <f>IFERROR(INDEX('Email Cleaner'!$B$2:$B$10001,MATCH(2645,'Email Cleaner'!$K$2:$K$10001,0)),"")</f>
        <v/>
      </c>
    </row>
    <row r="2647">
      <c r="A2647">
        <f>IFERROR(INDEX('Email Cleaner'!$B$2:$B$10001,MATCH(2646,'Email Cleaner'!$K$2:$K$10001,0)),"")</f>
        <v/>
      </c>
    </row>
    <row r="2648">
      <c r="A2648">
        <f>IFERROR(INDEX('Email Cleaner'!$B$2:$B$10001,MATCH(2647,'Email Cleaner'!$K$2:$K$10001,0)),"")</f>
        <v/>
      </c>
    </row>
    <row r="2649">
      <c r="A2649">
        <f>IFERROR(INDEX('Email Cleaner'!$B$2:$B$10001,MATCH(2648,'Email Cleaner'!$K$2:$K$10001,0)),"")</f>
        <v/>
      </c>
    </row>
    <row r="2650">
      <c r="A2650">
        <f>IFERROR(INDEX('Email Cleaner'!$B$2:$B$10001,MATCH(2649,'Email Cleaner'!$K$2:$K$10001,0)),"")</f>
        <v/>
      </c>
    </row>
    <row r="2651">
      <c r="A2651">
        <f>IFERROR(INDEX('Email Cleaner'!$B$2:$B$10001,MATCH(2650,'Email Cleaner'!$K$2:$K$10001,0)),"")</f>
        <v/>
      </c>
    </row>
    <row r="2652">
      <c r="A2652">
        <f>IFERROR(INDEX('Email Cleaner'!$B$2:$B$10001,MATCH(2651,'Email Cleaner'!$K$2:$K$10001,0)),"")</f>
        <v/>
      </c>
    </row>
    <row r="2653">
      <c r="A2653">
        <f>IFERROR(INDEX('Email Cleaner'!$B$2:$B$10001,MATCH(2652,'Email Cleaner'!$K$2:$K$10001,0)),"")</f>
        <v/>
      </c>
    </row>
    <row r="2654">
      <c r="A2654">
        <f>IFERROR(INDEX('Email Cleaner'!$B$2:$B$10001,MATCH(2653,'Email Cleaner'!$K$2:$K$10001,0)),"")</f>
        <v/>
      </c>
    </row>
    <row r="2655">
      <c r="A2655">
        <f>IFERROR(INDEX('Email Cleaner'!$B$2:$B$10001,MATCH(2654,'Email Cleaner'!$K$2:$K$10001,0)),"")</f>
        <v/>
      </c>
    </row>
    <row r="2656">
      <c r="A2656">
        <f>IFERROR(INDEX('Email Cleaner'!$B$2:$B$10001,MATCH(2655,'Email Cleaner'!$K$2:$K$10001,0)),"")</f>
        <v/>
      </c>
    </row>
    <row r="2657">
      <c r="A2657">
        <f>IFERROR(INDEX('Email Cleaner'!$B$2:$B$10001,MATCH(2656,'Email Cleaner'!$K$2:$K$10001,0)),"")</f>
        <v/>
      </c>
    </row>
    <row r="2658">
      <c r="A2658">
        <f>IFERROR(INDEX('Email Cleaner'!$B$2:$B$10001,MATCH(2657,'Email Cleaner'!$K$2:$K$10001,0)),"")</f>
        <v/>
      </c>
    </row>
    <row r="2659">
      <c r="A2659">
        <f>IFERROR(INDEX('Email Cleaner'!$B$2:$B$10001,MATCH(2658,'Email Cleaner'!$K$2:$K$10001,0)),"")</f>
        <v/>
      </c>
    </row>
    <row r="2660">
      <c r="A2660">
        <f>IFERROR(INDEX('Email Cleaner'!$B$2:$B$10001,MATCH(2659,'Email Cleaner'!$K$2:$K$10001,0)),"")</f>
        <v/>
      </c>
    </row>
    <row r="2661">
      <c r="A2661">
        <f>IFERROR(INDEX('Email Cleaner'!$B$2:$B$10001,MATCH(2660,'Email Cleaner'!$K$2:$K$10001,0)),"")</f>
        <v/>
      </c>
    </row>
    <row r="2662">
      <c r="A2662">
        <f>IFERROR(INDEX('Email Cleaner'!$B$2:$B$10001,MATCH(2661,'Email Cleaner'!$K$2:$K$10001,0)),"")</f>
        <v/>
      </c>
    </row>
    <row r="2663">
      <c r="A2663">
        <f>IFERROR(INDEX('Email Cleaner'!$B$2:$B$10001,MATCH(2662,'Email Cleaner'!$K$2:$K$10001,0)),"")</f>
        <v/>
      </c>
    </row>
    <row r="2664">
      <c r="A2664">
        <f>IFERROR(INDEX('Email Cleaner'!$B$2:$B$10001,MATCH(2663,'Email Cleaner'!$K$2:$K$10001,0)),"")</f>
        <v/>
      </c>
    </row>
    <row r="2665">
      <c r="A2665">
        <f>IFERROR(INDEX('Email Cleaner'!$B$2:$B$10001,MATCH(2664,'Email Cleaner'!$K$2:$K$10001,0)),"")</f>
        <v/>
      </c>
    </row>
    <row r="2666">
      <c r="A2666">
        <f>IFERROR(INDEX('Email Cleaner'!$B$2:$B$10001,MATCH(2665,'Email Cleaner'!$K$2:$K$10001,0)),"")</f>
        <v/>
      </c>
    </row>
    <row r="2667">
      <c r="A2667">
        <f>IFERROR(INDEX('Email Cleaner'!$B$2:$B$10001,MATCH(2666,'Email Cleaner'!$K$2:$K$10001,0)),"")</f>
        <v/>
      </c>
    </row>
    <row r="2668">
      <c r="A2668">
        <f>IFERROR(INDEX('Email Cleaner'!$B$2:$B$10001,MATCH(2667,'Email Cleaner'!$K$2:$K$10001,0)),"")</f>
        <v/>
      </c>
    </row>
    <row r="2669">
      <c r="A2669">
        <f>IFERROR(INDEX('Email Cleaner'!$B$2:$B$10001,MATCH(2668,'Email Cleaner'!$K$2:$K$10001,0)),"")</f>
        <v/>
      </c>
    </row>
    <row r="2670">
      <c r="A2670">
        <f>IFERROR(INDEX('Email Cleaner'!$B$2:$B$10001,MATCH(2669,'Email Cleaner'!$K$2:$K$10001,0)),"")</f>
        <v/>
      </c>
    </row>
    <row r="2671">
      <c r="A2671">
        <f>IFERROR(INDEX('Email Cleaner'!$B$2:$B$10001,MATCH(2670,'Email Cleaner'!$K$2:$K$10001,0)),"")</f>
        <v/>
      </c>
    </row>
    <row r="2672">
      <c r="A2672">
        <f>IFERROR(INDEX('Email Cleaner'!$B$2:$B$10001,MATCH(2671,'Email Cleaner'!$K$2:$K$10001,0)),"")</f>
        <v/>
      </c>
    </row>
    <row r="2673">
      <c r="A2673">
        <f>IFERROR(INDEX('Email Cleaner'!$B$2:$B$10001,MATCH(2672,'Email Cleaner'!$K$2:$K$10001,0)),"")</f>
        <v/>
      </c>
    </row>
    <row r="2674">
      <c r="A2674">
        <f>IFERROR(INDEX('Email Cleaner'!$B$2:$B$10001,MATCH(2673,'Email Cleaner'!$K$2:$K$10001,0)),"")</f>
        <v/>
      </c>
    </row>
    <row r="2675">
      <c r="A2675">
        <f>IFERROR(INDEX('Email Cleaner'!$B$2:$B$10001,MATCH(2674,'Email Cleaner'!$K$2:$K$10001,0)),"")</f>
        <v/>
      </c>
    </row>
    <row r="2676">
      <c r="A2676">
        <f>IFERROR(INDEX('Email Cleaner'!$B$2:$B$10001,MATCH(2675,'Email Cleaner'!$K$2:$K$10001,0)),"")</f>
        <v/>
      </c>
    </row>
    <row r="2677">
      <c r="A2677">
        <f>IFERROR(INDEX('Email Cleaner'!$B$2:$B$10001,MATCH(2676,'Email Cleaner'!$K$2:$K$10001,0)),"")</f>
        <v/>
      </c>
    </row>
    <row r="2678">
      <c r="A2678">
        <f>IFERROR(INDEX('Email Cleaner'!$B$2:$B$10001,MATCH(2677,'Email Cleaner'!$K$2:$K$10001,0)),"")</f>
        <v/>
      </c>
    </row>
    <row r="2679">
      <c r="A2679">
        <f>IFERROR(INDEX('Email Cleaner'!$B$2:$B$10001,MATCH(2678,'Email Cleaner'!$K$2:$K$10001,0)),"")</f>
        <v/>
      </c>
    </row>
    <row r="2680">
      <c r="A2680">
        <f>IFERROR(INDEX('Email Cleaner'!$B$2:$B$10001,MATCH(2679,'Email Cleaner'!$K$2:$K$10001,0)),"")</f>
        <v/>
      </c>
    </row>
    <row r="2681">
      <c r="A2681">
        <f>IFERROR(INDEX('Email Cleaner'!$B$2:$B$10001,MATCH(2680,'Email Cleaner'!$K$2:$K$10001,0)),"")</f>
        <v/>
      </c>
    </row>
    <row r="2682">
      <c r="A2682">
        <f>IFERROR(INDEX('Email Cleaner'!$B$2:$B$10001,MATCH(2681,'Email Cleaner'!$K$2:$K$10001,0)),"")</f>
        <v/>
      </c>
    </row>
    <row r="2683">
      <c r="A2683">
        <f>IFERROR(INDEX('Email Cleaner'!$B$2:$B$10001,MATCH(2682,'Email Cleaner'!$K$2:$K$10001,0)),"")</f>
        <v/>
      </c>
    </row>
    <row r="2684">
      <c r="A2684">
        <f>IFERROR(INDEX('Email Cleaner'!$B$2:$B$10001,MATCH(2683,'Email Cleaner'!$K$2:$K$10001,0)),"")</f>
        <v/>
      </c>
    </row>
    <row r="2685">
      <c r="A2685">
        <f>IFERROR(INDEX('Email Cleaner'!$B$2:$B$10001,MATCH(2684,'Email Cleaner'!$K$2:$K$10001,0)),"")</f>
        <v/>
      </c>
    </row>
    <row r="2686">
      <c r="A2686">
        <f>IFERROR(INDEX('Email Cleaner'!$B$2:$B$10001,MATCH(2685,'Email Cleaner'!$K$2:$K$10001,0)),"")</f>
        <v/>
      </c>
    </row>
    <row r="2687">
      <c r="A2687">
        <f>IFERROR(INDEX('Email Cleaner'!$B$2:$B$10001,MATCH(2686,'Email Cleaner'!$K$2:$K$10001,0)),"")</f>
        <v/>
      </c>
    </row>
    <row r="2688">
      <c r="A2688">
        <f>IFERROR(INDEX('Email Cleaner'!$B$2:$B$10001,MATCH(2687,'Email Cleaner'!$K$2:$K$10001,0)),"")</f>
        <v/>
      </c>
    </row>
    <row r="2689">
      <c r="A2689">
        <f>IFERROR(INDEX('Email Cleaner'!$B$2:$B$10001,MATCH(2688,'Email Cleaner'!$K$2:$K$10001,0)),"")</f>
        <v/>
      </c>
    </row>
    <row r="2690">
      <c r="A2690">
        <f>IFERROR(INDEX('Email Cleaner'!$B$2:$B$10001,MATCH(2689,'Email Cleaner'!$K$2:$K$10001,0)),"")</f>
        <v/>
      </c>
    </row>
    <row r="2691">
      <c r="A2691">
        <f>IFERROR(INDEX('Email Cleaner'!$B$2:$B$10001,MATCH(2690,'Email Cleaner'!$K$2:$K$10001,0)),"")</f>
        <v/>
      </c>
    </row>
    <row r="2692">
      <c r="A2692">
        <f>IFERROR(INDEX('Email Cleaner'!$B$2:$B$10001,MATCH(2691,'Email Cleaner'!$K$2:$K$10001,0)),"")</f>
        <v/>
      </c>
    </row>
    <row r="2693">
      <c r="A2693">
        <f>IFERROR(INDEX('Email Cleaner'!$B$2:$B$10001,MATCH(2692,'Email Cleaner'!$K$2:$K$10001,0)),"")</f>
        <v/>
      </c>
    </row>
    <row r="2694">
      <c r="A2694">
        <f>IFERROR(INDEX('Email Cleaner'!$B$2:$B$10001,MATCH(2693,'Email Cleaner'!$K$2:$K$10001,0)),"")</f>
        <v/>
      </c>
    </row>
    <row r="2695">
      <c r="A2695">
        <f>IFERROR(INDEX('Email Cleaner'!$B$2:$B$10001,MATCH(2694,'Email Cleaner'!$K$2:$K$10001,0)),"")</f>
        <v/>
      </c>
    </row>
    <row r="2696">
      <c r="A2696">
        <f>IFERROR(INDEX('Email Cleaner'!$B$2:$B$10001,MATCH(2695,'Email Cleaner'!$K$2:$K$10001,0)),"")</f>
        <v/>
      </c>
    </row>
    <row r="2697">
      <c r="A2697">
        <f>IFERROR(INDEX('Email Cleaner'!$B$2:$B$10001,MATCH(2696,'Email Cleaner'!$K$2:$K$10001,0)),"")</f>
        <v/>
      </c>
    </row>
    <row r="2698">
      <c r="A2698">
        <f>IFERROR(INDEX('Email Cleaner'!$B$2:$B$10001,MATCH(2697,'Email Cleaner'!$K$2:$K$10001,0)),"")</f>
        <v/>
      </c>
    </row>
    <row r="2699">
      <c r="A2699">
        <f>IFERROR(INDEX('Email Cleaner'!$B$2:$B$10001,MATCH(2698,'Email Cleaner'!$K$2:$K$10001,0)),"")</f>
        <v/>
      </c>
    </row>
    <row r="2700">
      <c r="A2700">
        <f>IFERROR(INDEX('Email Cleaner'!$B$2:$B$10001,MATCH(2699,'Email Cleaner'!$K$2:$K$10001,0)),"")</f>
        <v/>
      </c>
    </row>
    <row r="2701">
      <c r="A2701">
        <f>IFERROR(INDEX('Email Cleaner'!$B$2:$B$10001,MATCH(2700,'Email Cleaner'!$K$2:$K$10001,0)),"")</f>
        <v/>
      </c>
    </row>
    <row r="2702">
      <c r="A2702">
        <f>IFERROR(INDEX('Email Cleaner'!$B$2:$B$10001,MATCH(2701,'Email Cleaner'!$K$2:$K$10001,0)),"")</f>
        <v/>
      </c>
    </row>
    <row r="2703">
      <c r="A2703">
        <f>IFERROR(INDEX('Email Cleaner'!$B$2:$B$10001,MATCH(2702,'Email Cleaner'!$K$2:$K$10001,0)),"")</f>
        <v/>
      </c>
    </row>
    <row r="2704">
      <c r="A2704">
        <f>IFERROR(INDEX('Email Cleaner'!$B$2:$B$10001,MATCH(2703,'Email Cleaner'!$K$2:$K$10001,0)),"")</f>
        <v/>
      </c>
    </row>
    <row r="2705">
      <c r="A2705">
        <f>IFERROR(INDEX('Email Cleaner'!$B$2:$B$10001,MATCH(2704,'Email Cleaner'!$K$2:$K$10001,0)),"")</f>
        <v/>
      </c>
    </row>
    <row r="2706">
      <c r="A2706">
        <f>IFERROR(INDEX('Email Cleaner'!$B$2:$B$10001,MATCH(2705,'Email Cleaner'!$K$2:$K$10001,0)),"")</f>
        <v/>
      </c>
    </row>
    <row r="2707">
      <c r="A2707">
        <f>IFERROR(INDEX('Email Cleaner'!$B$2:$B$10001,MATCH(2706,'Email Cleaner'!$K$2:$K$10001,0)),"")</f>
        <v/>
      </c>
    </row>
    <row r="2708">
      <c r="A2708">
        <f>IFERROR(INDEX('Email Cleaner'!$B$2:$B$10001,MATCH(2707,'Email Cleaner'!$K$2:$K$10001,0)),"")</f>
        <v/>
      </c>
    </row>
    <row r="2709">
      <c r="A2709">
        <f>IFERROR(INDEX('Email Cleaner'!$B$2:$B$10001,MATCH(2708,'Email Cleaner'!$K$2:$K$10001,0)),"")</f>
        <v/>
      </c>
    </row>
    <row r="2710">
      <c r="A2710">
        <f>IFERROR(INDEX('Email Cleaner'!$B$2:$B$10001,MATCH(2709,'Email Cleaner'!$K$2:$K$10001,0)),"")</f>
        <v/>
      </c>
    </row>
    <row r="2711">
      <c r="A2711">
        <f>IFERROR(INDEX('Email Cleaner'!$B$2:$B$10001,MATCH(2710,'Email Cleaner'!$K$2:$K$10001,0)),"")</f>
        <v/>
      </c>
    </row>
    <row r="2712">
      <c r="A2712">
        <f>IFERROR(INDEX('Email Cleaner'!$B$2:$B$10001,MATCH(2711,'Email Cleaner'!$K$2:$K$10001,0)),"")</f>
        <v/>
      </c>
    </row>
    <row r="2713">
      <c r="A2713">
        <f>IFERROR(INDEX('Email Cleaner'!$B$2:$B$10001,MATCH(2712,'Email Cleaner'!$K$2:$K$10001,0)),"")</f>
        <v/>
      </c>
    </row>
    <row r="2714">
      <c r="A2714">
        <f>IFERROR(INDEX('Email Cleaner'!$B$2:$B$10001,MATCH(2713,'Email Cleaner'!$K$2:$K$10001,0)),"")</f>
        <v/>
      </c>
    </row>
    <row r="2715">
      <c r="A2715">
        <f>IFERROR(INDEX('Email Cleaner'!$B$2:$B$10001,MATCH(2714,'Email Cleaner'!$K$2:$K$10001,0)),"")</f>
        <v/>
      </c>
    </row>
    <row r="2716">
      <c r="A2716">
        <f>IFERROR(INDEX('Email Cleaner'!$B$2:$B$10001,MATCH(2715,'Email Cleaner'!$K$2:$K$10001,0)),"")</f>
        <v/>
      </c>
    </row>
    <row r="2717">
      <c r="A2717">
        <f>IFERROR(INDEX('Email Cleaner'!$B$2:$B$10001,MATCH(2716,'Email Cleaner'!$K$2:$K$10001,0)),"")</f>
        <v/>
      </c>
    </row>
    <row r="2718">
      <c r="A2718">
        <f>IFERROR(INDEX('Email Cleaner'!$B$2:$B$10001,MATCH(2717,'Email Cleaner'!$K$2:$K$10001,0)),"")</f>
        <v/>
      </c>
    </row>
    <row r="2719">
      <c r="A2719">
        <f>IFERROR(INDEX('Email Cleaner'!$B$2:$B$10001,MATCH(2718,'Email Cleaner'!$K$2:$K$10001,0)),"")</f>
        <v/>
      </c>
    </row>
    <row r="2720">
      <c r="A2720">
        <f>IFERROR(INDEX('Email Cleaner'!$B$2:$B$10001,MATCH(2719,'Email Cleaner'!$K$2:$K$10001,0)),"")</f>
        <v/>
      </c>
    </row>
    <row r="2721">
      <c r="A2721">
        <f>IFERROR(INDEX('Email Cleaner'!$B$2:$B$10001,MATCH(2720,'Email Cleaner'!$K$2:$K$10001,0)),"")</f>
        <v/>
      </c>
    </row>
    <row r="2722">
      <c r="A2722">
        <f>IFERROR(INDEX('Email Cleaner'!$B$2:$B$10001,MATCH(2721,'Email Cleaner'!$K$2:$K$10001,0)),"")</f>
        <v/>
      </c>
    </row>
    <row r="2723">
      <c r="A2723">
        <f>IFERROR(INDEX('Email Cleaner'!$B$2:$B$10001,MATCH(2722,'Email Cleaner'!$K$2:$K$10001,0)),"")</f>
        <v/>
      </c>
    </row>
    <row r="2724">
      <c r="A2724">
        <f>IFERROR(INDEX('Email Cleaner'!$B$2:$B$10001,MATCH(2723,'Email Cleaner'!$K$2:$K$10001,0)),"")</f>
        <v/>
      </c>
    </row>
    <row r="2725">
      <c r="A2725">
        <f>IFERROR(INDEX('Email Cleaner'!$B$2:$B$10001,MATCH(2724,'Email Cleaner'!$K$2:$K$10001,0)),"")</f>
        <v/>
      </c>
    </row>
    <row r="2726">
      <c r="A2726">
        <f>IFERROR(INDEX('Email Cleaner'!$B$2:$B$10001,MATCH(2725,'Email Cleaner'!$K$2:$K$10001,0)),"")</f>
        <v/>
      </c>
    </row>
    <row r="2727">
      <c r="A2727">
        <f>IFERROR(INDEX('Email Cleaner'!$B$2:$B$10001,MATCH(2726,'Email Cleaner'!$K$2:$K$10001,0)),"")</f>
        <v/>
      </c>
    </row>
    <row r="2728">
      <c r="A2728">
        <f>IFERROR(INDEX('Email Cleaner'!$B$2:$B$10001,MATCH(2727,'Email Cleaner'!$K$2:$K$10001,0)),"")</f>
        <v/>
      </c>
    </row>
    <row r="2729">
      <c r="A2729">
        <f>IFERROR(INDEX('Email Cleaner'!$B$2:$B$10001,MATCH(2728,'Email Cleaner'!$K$2:$K$10001,0)),"")</f>
        <v/>
      </c>
    </row>
    <row r="2730">
      <c r="A2730">
        <f>IFERROR(INDEX('Email Cleaner'!$B$2:$B$10001,MATCH(2729,'Email Cleaner'!$K$2:$K$10001,0)),"")</f>
        <v/>
      </c>
    </row>
    <row r="2731">
      <c r="A2731">
        <f>IFERROR(INDEX('Email Cleaner'!$B$2:$B$10001,MATCH(2730,'Email Cleaner'!$K$2:$K$10001,0)),"")</f>
        <v/>
      </c>
    </row>
    <row r="2732">
      <c r="A2732">
        <f>IFERROR(INDEX('Email Cleaner'!$B$2:$B$10001,MATCH(2731,'Email Cleaner'!$K$2:$K$10001,0)),"")</f>
        <v/>
      </c>
    </row>
    <row r="2733">
      <c r="A2733">
        <f>IFERROR(INDEX('Email Cleaner'!$B$2:$B$10001,MATCH(2732,'Email Cleaner'!$K$2:$K$10001,0)),"")</f>
        <v/>
      </c>
    </row>
    <row r="2734">
      <c r="A2734">
        <f>IFERROR(INDEX('Email Cleaner'!$B$2:$B$10001,MATCH(2733,'Email Cleaner'!$K$2:$K$10001,0)),"")</f>
        <v/>
      </c>
    </row>
    <row r="2735">
      <c r="A2735">
        <f>IFERROR(INDEX('Email Cleaner'!$B$2:$B$10001,MATCH(2734,'Email Cleaner'!$K$2:$K$10001,0)),"")</f>
        <v/>
      </c>
    </row>
    <row r="2736">
      <c r="A2736">
        <f>IFERROR(INDEX('Email Cleaner'!$B$2:$B$10001,MATCH(2735,'Email Cleaner'!$K$2:$K$10001,0)),"")</f>
        <v/>
      </c>
    </row>
    <row r="2737">
      <c r="A2737">
        <f>IFERROR(INDEX('Email Cleaner'!$B$2:$B$10001,MATCH(2736,'Email Cleaner'!$K$2:$K$10001,0)),"")</f>
        <v/>
      </c>
    </row>
    <row r="2738">
      <c r="A2738">
        <f>IFERROR(INDEX('Email Cleaner'!$B$2:$B$10001,MATCH(2737,'Email Cleaner'!$K$2:$K$10001,0)),"")</f>
        <v/>
      </c>
    </row>
    <row r="2739">
      <c r="A2739">
        <f>IFERROR(INDEX('Email Cleaner'!$B$2:$B$10001,MATCH(2738,'Email Cleaner'!$K$2:$K$10001,0)),"")</f>
        <v/>
      </c>
    </row>
    <row r="2740">
      <c r="A2740">
        <f>IFERROR(INDEX('Email Cleaner'!$B$2:$B$10001,MATCH(2739,'Email Cleaner'!$K$2:$K$10001,0)),"")</f>
        <v/>
      </c>
    </row>
    <row r="2741">
      <c r="A2741">
        <f>IFERROR(INDEX('Email Cleaner'!$B$2:$B$10001,MATCH(2740,'Email Cleaner'!$K$2:$K$10001,0)),"")</f>
        <v/>
      </c>
    </row>
    <row r="2742">
      <c r="A2742">
        <f>IFERROR(INDEX('Email Cleaner'!$B$2:$B$10001,MATCH(2741,'Email Cleaner'!$K$2:$K$10001,0)),"")</f>
        <v/>
      </c>
    </row>
    <row r="2743">
      <c r="A2743">
        <f>IFERROR(INDEX('Email Cleaner'!$B$2:$B$10001,MATCH(2742,'Email Cleaner'!$K$2:$K$10001,0)),"")</f>
        <v/>
      </c>
    </row>
    <row r="2744">
      <c r="A2744">
        <f>IFERROR(INDEX('Email Cleaner'!$B$2:$B$10001,MATCH(2743,'Email Cleaner'!$K$2:$K$10001,0)),"")</f>
        <v/>
      </c>
    </row>
    <row r="2745">
      <c r="A2745">
        <f>IFERROR(INDEX('Email Cleaner'!$B$2:$B$10001,MATCH(2744,'Email Cleaner'!$K$2:$K$10001,0)),"")</f>
        <v/>
      </c>
    </row>
    <row r="2746">
      <c r="A2746">
        <f>IFERROR(INDEX('Email Cleaner'!$B$2:$B$10001,MATCH(2745,'Email Cleaner'!$K$2:$K$10001,0)),"")</f>
        <v/>
      </c>
    </row>
    <row r="2747">
      <c r="A2747">
        <f>IFERROR(INDEX('Email Cleaner'!$B$2:$B$10001,MATCH(2746,'Email Cleaner'!$K$2:$K$10001,0)),"")</f>
        <v/>
      </c>
    </row>
    <row r="2748">
      <c r="A2748">
        <f>IFERROR(INDEX('Email Cleaner'!$B$2:$B$10001,MATCH(2747,'Email Cleaner'!$K$2:$K$10001,0)),"")</f>
        <v/>
      </c>
    </row>
    <row r="2749">
      <c r="A2749">
        <f>IFERROR(INDEX('Email Cleaner'!$B$2:$B$10001,MATCH(2748,'Email Cleaner'!$K$2:$K$10001,0)),"")</f>
        <v/>
      </c>
    </row>
    <row r="2750">
      <c r="A2750">
        <f>IFERROR(INDEX('Email Cleaner'!$B$2:$B$10001,MATCH(2749,'Email Cleaner'!$K$2:$K$10001,0)),"")</f>
        <v/>
      </c>
    </row>
    <row r="2751">
      <c r="A2751">
        <f>IFERROR(INDEX('Email Cleaner'!$B$2:$B$10001,MATCH(2750,'Email Cleaner'!$K$2:$K$10001,0)),"")</f>
        <v/>
      </c>
    </row>
    <row r="2752">
      <c r="A2752">
        <f>IFERROR(INDEX('Email Cleaner'!$B$2:$B$10001,MATCH(2751,'Email Cleaner'!$K$2:$K$10001,0)),"")</f>
        <v/>
      </c>
    </row>
    <row r="2753">
      <c r="A2753">
        <f>IFERROR(INDEX('Email Cleaner'!$B$2:$B$10001,MATCH(2752,'Email Cleaner'!$K$2:$K$10001,0)),"")</f>
        <v/>
      </c>
    </row>
    <row r="2754">
      <c r="A2754">
        <f>IFERROR(INDEX('Email Cleaner'!$B$2:$B$10001,MATCH(2753,'Email Cleaner'!$K$2:$K$10001,0)),"")</f>
        <v/>
      </c>
    </row>
    <row r="2755">
      <c r="A2755">
        <f>IFERROR(INDEX('Email Cleaner'!$B$2:$B$10001,MATCH(2754,'Email Cleaner'!$K$2:$K$10001,0)),"")</f>
        <v/>
      </c>
    </row>
    <row r="2756">
      <c r="A2756">
        <f>IFERROR(INDEX('Email Cleaner'!$B$2:$B$10001,MATCH(2755,'Email Cleaner'!$K$2:$K$10001,0)),"")</f>
        <v/>
      </c>
    </row>
    <row r="2757">
      <c r="A2757">
        <f>IFERROR(INDEX('Email Cleaner'!$B$2:$B$10001,MATCH(2756,'Email Cleaner'!$K$2:$K$10001,0)),"")</f>
        <v/>
      </c>
    </row>
    <row r="2758">
      <c r="A2758">
        <f>IFERROR(INDEX('Email Cleaner'!$B$2:$B$10001,MATCH(2757,'Email Cleaner'!$K$2:$K$10001,0)),"")</f>
        <v/>
      </c>
    </row>
    <row r="2759">
      <c r="A2759">
        <f>IFERROR(INDEX('Email Cleaner'!$B$2:$B$10001,MATCH(2758,'Email Cleaner'!$K$2:$K$10001,0)),"")</f>
        <v/>
      </c>
    </row>
    <row r="2760">
      <c r="A2760">
        <f>IFERROR(INDEX('Email Cleaner'!$B$2:$B$10001,MATCH(2759,'Email Cleaner'!$K$2:$K$10001,0)),"")</f>
        <v/>
      </c>
    </row>
    <row r="2761">
      <c r="A2761">
        <f>IFERROR(INDEX('Email Cleaner'!$B$2:$B$10001,MATCH(2760,'Email Cleaner'!$K$2:$K$10001,0)),"")</f>
        <v/>
      </c>
    </row>
    <row r="2762">
      <c r="A2762">
        <f>IFERROR(INDEX('Email Cleaner'!$B$2:$B$10001,MATCH(2761,'Email Cleaner'!$K$2:$K$10001,0)),"")</f>
        <v/>
      </c>
    </row>
    <row r="2763">
      <c r="A2763">
        <f>IFERROR(INDEX('Email Cleaner'!$B$2:$B$10001,MATCH(2762,'Email Cleaner'!$K$2:$K$10001,0)),"")</f>
        <v/>
      </c>
    </row>
    <row r="2764">
      <c r="A2764">
        <f>IFERROR(INDEX('Email Cleaner'!$B$2:$B$10001,MATCH(2763,'Email Cleaner'!$K$2:$K$10001,0)),"")</f>
        <v/>
      </c>
    </row>
    <row r="2765">
      <c r="A2765">
        <f>IFERROR(INDEX('Email Cleaner'!$B$2:$B$10001,MATCH(2764,'Email Cleaner'!$K$2:$K$10001,0)),"")</f>
        <v/>
      </c>
    </row>
    <row r="2766">
      <c r="A2766">
        <f>IFERROR(INDEX('Email Cleaner'!$B$2:$B$10001,MATCH(2765,'Email Cleaner'!$K$2:$K$10001,0)),"")</f>
        <v/>
      </c>
    </row>
    <row r="2767">
      <c r="A2767">
        <f>IFERROR(INDEX('Email Cleaner'!$B$2:$B$10001,MATCH(2766,'Email Cleaner'!$K$2:$K$10001,0)),"")</f>
        <v/>
      </c>
    </row>
    <row r="2768">
      <c r="A2768">
        <f>IFERROR(INDEX('Email Cleaner'!$B$2:$B$10001,MATCH(2767,'Email Cleaner'!$K$2:$K$10001,0)),"")</f>
        <v/>
      </c>
    </row>
    <row r="2769">
      <c r="A2769">
        <f>IFERROR(INDEX('Email Cleaner'!$B$2:$B$10001,MATCH(2768,'Email Cleaner'!$K$2:$K$10001,0)),"")</f>
        <v/>
      </c>
    </row>
    <row r="2770">
      <c r="A2770">
        <f>IFERROR(INDEX('Email Cleaner'!$B$2:$B$10001,MATCH(2769,'Email Cleaner'!$K$2:$K$10001,0)),"")</f>
        <v/>
      </c>
    </row>
    <row r="2771">
      <c r="A2771">
        <f>IFERROR(INDEX('Email Cleaner'!$B$2:$B$10001,MATCH(2770,'Email Cleaner'!$K$2:$K$10001,0)),"")</f>
        <v/>
      </c>
    </row>
    <row r="2772">
      <c r="A2772">
        <f>IFERROR(INDEX('Email Cleaner'!$B$2:$B$10001,MATCH(2771,'Email Cleaner'!$K$2:$K$10001,0)),"")</f>
        <v/>
      </c>
    </row>
    <row r="2773">
      <c r="A2773">
        <f>IFERROR(INDEX('Email Cleaner'!$B$2:$B$10001,MATCH(2772,'Email Cleaner'!$K$2:$K$10001,0)),"")</f>
        <v/>
      </c>
    </row>
    <row r="2774">
      <c r="A2774">
        <f>IFERROR(INDEX('Email Cleaner'!$B$2:$B$10001,MATCH(2773,'Email Cleaner'!$K$2:$K$10001,0)),"")</f>
        <v/>
      </c>
    </row>
    <row r="2775">
      <c r="A2775">
        <f>IFERROR(INDEX('Email Cleaner'!$B$2:$B$10001,MATCH(2774,'Email Cleaner'!$K$2:$K$10001,0)),"")</f>
        <v/>
      </c>
    </row>
    <row r="2776">
      <c r="A2776">
        <f>IFERROR(INDEX('Email Cleaner'!$B$2:$B$10001,MATCH(2775,'Email Cleaner'!$K$2:$K$10001,0)),"")</f>
        <v/>
      </c>
    </row>
    <row r="2777">
      <c r="A2777">
        <f>IFERROR(INDEX('Email Cleaner'!$B$2:$B$10001,MATCH(2776,'Email Cleaner'!$K$2:$K$10001,0)),"")</f>
        <v/>
      </c>
    </row>
    <row r="2778">
      <c r="A2778">
        <f>IFERROR(INDEX('Email Cleaner'!$B$2:$B$10001,MATCH(2777,'Email Cleaner'!$K$2:$K$10001,0)),"")</f>
        <v/>
      </c>
    </row>
    <row r="2779">
      <c r="A2779">
        <f>IFERROR(INDEX('Email Cleaner'!$B$2:$B$10001,MATCH(2778,'Email Cleaner'!$K$2:$K$10001,0)),"")</f>
        <v/>
      </c>
    </row>
    <row r="2780">
      <c r="A2780">
        <f>IFERROR(INDEX('Email Cleaner'!$B$2:$B$10001,MATCH(2779,'Email Cleaner'!$K$2:$K$10001,0)),"")</f>
        <v/>
      </c>
    </row>
    <row r="2781">
      <c r="A2781">
        <f>IFERROR(INDEX('Email Cleaner'!$B$2:$B$10001,MATCH(2780,'Email Cleaner'!$K$2:$K$10001,0)),"")</f>
        <v/>
      </c>
    </row>
    <row r="2782">
      <c r="A2782">
        <f>IFERROR(INDEX('Email Cleaner'!$B$2:$B$10001,MATCH(2781,'Email Cleaner'!$K$2:$K$10001,0)),"")</f>
        <v/>
      </c>
    </row>
    <row r="2783">
      <c r="A2783">
        <f>IFERROR(INDEX('Email Cleaner'!$B$2:$B$10001,MATCH(2782,'Email Cleaner'!$K$2:$K$10001,0)),"")</f>
        <v/>
      </c>
    </row>
    <row r="2784">
      <c r="A2784">
        <f>IFERROR(INDEX('Email Cleaner'!$B$2:$B$10001,MATCH(2783,'Email Cleaner'!$K$2:$K$10001,0)),"")</f>
        <v/>
      </c>
    </row>
    <row r="2785">
      <c r="A2785">
        <f>IFERROR(INDEX('Email Cleaner'!$B$2:$B$10001,MATCH(2784,'Email Cleaner'!$K$2:$K$10001,0)),"")</f>
        <v/>
      </c>
    </row>
    <row r="2786">
      <c r="A2786">
        <f>IFERROR(INDEX('Email Cleaner'!$B$2:$B$10001,MATCH(2785,'Email Cleaner'!$K$2:$K$10001,0)),"")</f>
        <v/>
      </c>
    </row>
    <row r="2787">
      <c r="A2787">
        <f>IFERROR(INDEX('Email Cleaner'!$B$2:$B$10001,MATCH(2786,'Email Cleaner'!$K$2:$K$10001,0)),"")</f>
        <v/>
      </c>
    </row>
    <row r="2788">
      <c r="A2788">
        <f>IFERROR(INDEX('Email Cleaner'!$B$2:$B$10001,MATCH(2787,'Email Cleaner'!$K$2:$K$10001,0)),"")</f>
        <v/>
      </c>
    </row>
    <row r="2789">
      <c r="A2789">
        <f>IFERROR(INDEX('Email Cleaner'!$B$2:$B$10001,MATCH(2788,'Email Cleaner'!$K$2:$K$10001,0)),"")</f>
        <v/>
      </c>
    </row>
    <row r="2790">
      <c r="A2790">
        <f>IFERROR(INDEX('Email Cleaner'!$B$2:$B$10001,MATCH(2789,'Email Cleaner'!$K$2:$K$10001,0)),"")</f>
        <v/>
      </c>
    </row>
    <row r="2791">
      <c r="A2791">
        <f>IFERROR(INDEX('Email Cleaner'!$B$2:$B$10001,MATCH(2790,'Email Cleaner'!$K$2:$K$10001,0)),"")</f>
        <v/>
      </c>
    </row>
    <row r="2792">
      <c r="A2792">
        <f>IFERROR(INDEX('Email Cleaner'!$B$2:$B$10001,MATCH(2791,'Email Cleaner'!$K$2:$K$10001,0)),"")</f>
        <v/>
      </c>
    </row>
    <row r="2793">
      <c r="A2793">
        <f>IFERROR(INDEX('Email Cleaner'!$B$2:$B$10001,MATCH(2792,'Email Cleaner'!$K$2:$K$10001,0)),"")</f>
        <v/>
      </c>
    </row>
    <row r="2794">
      <c r="A2794">
        <f>IFERROR(INDEX('Email Cleaner'!$B$2:$B$10001,MATCH(2793,'Email Cleaner'!$K$2:$K$10001,0)),"")</f>
        <v/>
      </c>
    </row>
    <row r="2795">
      <c r="A2795">
        <f>IFERROR(INDEX('Email Cleaner'!$B$2:$B$10001,MATCH(2794,'Email Cleaner'!$K$2:$K$10001,0)),"")</f>
        <v/>
      </c>
    </row>
    <row r="2796">
      <c r="A2796">
        <f>IFERROR(INDEX('Email Cleaner'!$B$2:$B$10001,MATCH(2795,'Email Cleaner'!$K$2:$K$10001,0)),"")</f>
        <v/>
      </c>
    </row>
    <row r="2797">
      <c r="A2797">
        <f>IFERROR(INDEX('Email Cleaner'!$B$2:$B$10001,MATCH(2796,'Email Cleaner'!$K$2:$K$10001,0)),"")</f>
        <v/>
      </c>
    </row>
    <row r="2798">
      <c r="A2798">
        <f>IFERROR(INDEX('Email Cleaner'!$B$2:$B$10001,MATCH(2797,'Email Cleaner'!$K$2:$K$10001,0)),"")</f>
        <v/>
      </c>
    </row>
    <row r="2799">
      <c r="A2799">
        <f>IFERROR(INDEX('Email Cleaner'!$B$2:$B$10001,MATCH(2798,'Email Cleaner'!$K$2:$K$10001,0)),"")</f>
        <v/>
      </c>
    </row>
    <row r="2800">
      <c r="A2800">
        <f>IFERROR(INDEX('Email Cleaner'!$B$2:$B$10001,MATCH(2799,'Email Cleaner'!$K$2:$K$10001,0)),"")</f>
        <v/>
      </c>
    </row>
    <row r="2801">
      <c r="A2801">
        <f>IFERROR(INDEX('Email Cleaner'!$B$2:$B$10001,MATCH(2800,'Email Cleaner'!$K$2:$K$10001,0)),"")</f>
        <v/>
      </c>
    </row>
    <row r="2802">
      <c r="A2802">
        <f>IFERROR(INDEX('Email Cleaner'!$B$2:$B$10001,MATCH(2801,'Email Cleaner'!$K$2:$K$10001,0)),"")</f>
        <v/>
      </c>
    </row>
    <row r="2803">
      <c r="A2803">
        <f>IFERROR(INDEX('Email Cleaner'!$B$2:$B$10001,MATCH(2802,'Email Cleaner'!$K$2:$K$10001,0)),"")</f>
        <v/>
      </c>
    </row>
    <row r="2804">
      <c r="A2804">
        <f>IFERROR(INDEX('Email Cleaner'!$B$2:$B$10001,MATCH(2803,'Email Cleaner'!$K$2:$K$10001,0)),"")</f>
        <v/>
      </c>
    </row>
    <row r="2805">
      <c r="A2805">
        <f>IFERROR(INDEX('Email Cleaner'!$B$2:$B$10001,MATCH(2804,'Email Cleaner'!$K$2:$K$10001,0)),"")</f>
        <v/>
      </c>
    </row>
    <row r="2806">
      <c r="A2806">
        <f>IFERROR(INDEX('Email Cleaner'!$B$2:$B$10001,MATCH(2805,'Email Cleaner'!$K$2:$K$10001,0)),"")</f>
        <v/>
      </c>
    </row>
    <row r="2807">
      <c r="A2807">
        <f>IFERROR(INDEX('Email Cleaner'!$B$2:$B$10001,MATCH(2806,'Email Cleaner'!$K$2:$K$10001,0)),"")</f>
        <v/>
      </c>
    </row>
    <row r="2808">
      <c r="A2808">
        <f>IFERROR(INDEX('Email Cleaner'!$B$2:$B$10001,MATCH(2807,'Email Cleaner'!$K$2:$K$10001,0)),"")</f>
        <v/>
      </c>
    </row>
    <row r="2809">
      <c r="A2809">
        <f>IFERROR(INDEX('Email Cleaner'!$B$2:$B$10001,MATCH(2808,'Email Cleaner'!$K$2:$K$10001,0)),"")</f>
        <v/>
      </c>
    </row>
    <row r="2810">
      <c r="A2810">
        <f>IFERROR(INDEX('Email Cleaner'!$B$2:$B$10001,MATCH(2809,'Email Cleaner'!$K$2:$K$10001,0)),"")</f>
        <v/>
      </c>
    </row>
    <row r="2811">
      <c r="A2811">
        <f>IFERROR(INDEX('Email Cleaner'!$B$2:$B$10001,MATCH(2810,'Email Cleaner'!$K$2:$K$10001,0)),"")</f>
        <v/>
      </c>
    </row>
    <row r="2812">
      <c r="A2812">
        <f>IFERROR(INDEX('Email Cleaner'!$B$2:$B$10001,MATCH(2811,'Email Cleaner'!$K$2:$K$10001,0)),"")</f>
        <v/>
      </c>
    </row>
    <row r="2813">
      <c r="A2813">
        <f>IFERROR(INDEX('Email Cleaner'!$B$2:$B$10001,MATCH(2812,'Email Cleaner'!$K$2:$K$10001,0)),"")</f>
        <v/>
      </c>
    </row>
    <row r="2814">
      <c r="A2814">
        <f>IFERROR(INDEX('Email Cleaner'!$B$2:$B$10001,MATCH(2813,'Email Cleaner'!$K$2:$K$10001,0)),"")</f>
        <v/>
      </c>
    </row>
    <row r="2815">
      <c r="A2815">
        <f>IFERROR(INDEX('Email Cleaner'!$B$2:$B$10001,MATCH(2814,'Email Cleaner'!$K$2:$K$10001,0)),"")</f>
        <v/>
      </c>
    </row>
    <row r="2816">
      <c r="A2816">
        <f>IFERROR(INDEX('Email Cleaner'!$B$2:$B$10001,MATCH(2815,'Email Cleaner'!$K$2:$K$10001,0)),"")</f>
        <v/>
      </c>
    </row>
    <row r="2817">
      <c r="A2817">
        <f>IFERROR(INDEX('Email Cleaner'!$B$2:$B$10001,MATCH(2816,'Email Cleaner'!$K$2:$K$10001,0)),"")</f>
        <v/>
      </c>
    </row>
    <row r="2818">
      <c r="A2818">
        <f>IFERROR(INDEX('Email Cleaner'!$B$2:$B$10001,MATCH(2817,'Email Cleaner'!$K$2:$K$10001,0)),"")</f>
        <v/>
      </c>
    </row>
    <row r="2819">
      <c r="A2819">
        <f>IFERROR(INDEX('Email Cleaner'!$B$2:$B$10001,MATCH(2818,'Email Cleaner'!$K$2:$K$10001,0)),"")</f>
        <v/>
      </c>
    </row>
    <row r="2820">
      <c r="A2820">
        <f>IFERROR(INDEX('Email Cleaner'!$B$2:$B$10001,MATCH(2819,'Email Cleaner'!$K$2:$K$10001,0)),"")</f>
        <v/>
      </c>
    </row>
    <row r="2821">
      <c r="A2821">
        <f>IFERROR(INDEX('Email Cleaner'!$B$2:$B$10001,MATCH(2820,'Email Cleaner'!$K$2:$K$10001,0)),"")</f>
        <v/>
      </c>
    </row>
    <row r="2822">
      <c r="A2822">
        <f>IFERROR(INDEX('Email Cleaner'!$B$2:$B$10001,MATCH(2821,'Email Cleaner'!$K$2:$K$10001,0)),"")</f>
        <v/>
      </c>
    </row>
    <row r="2823">
      <c r="A2823">
        <f>IFERROR(INDEX('Email Cleaner'!$B$2:$B$10001,MATCH(2822,'Email Cleaner'!$K$2:$K$10001,0)),"")</f>
        <v/>
      </c>
    </row>
    <row r="2824">
      <c r="A2824">
        <f>IFERROR(INDEX('Email Cleaner'!$B$2:$B$10001,MATCH(2823,'Email Cleaner'!$K$2:$K$10001,0)),"")</f>
        <v/>
      </c>
    </row>
    <row r="2825">
      <c r="A2825">
        <f>IFERROR(INDEX('Email Cleaner'!$B$2:$B$10001,MATCH(2824,'Email Cleaner'!$K$2:$K$10001,0)),"")</f>
        <v/>
      </c>
    </row>
    <row r="2826">
      <c r="A2826">
        <f>IFERROR(INDEX('Email Cleaner'!$B$2:$B$10001,MATCH(2825,'Email Cleaner'!$K$2:$K$10001,0)),"")</f>
        <v/>
      </c>
    </row>
    <row r="2827">
      <c r="A2827">
        <f>IFERROR(INDEX('Email Cleaner'!$B$2:$B$10001,MATCH(2826,'Email Cleaner'!$K$2:$K$10001,0)),"")</f>
        <v/>
      </c>
    </row>
    <row r="2828">
      <c r="A2828">
        <f>IFERROR(INDEX('Email Cleaner'!$B$2:$B$10001,MATCH(2827,'Email Cleaner'!$K$2:$K$10001,0)),"")</f>
        <v/>
      </c>
    </row>
    <row r="2829">
      <c r="A2829">
        <f>IFERROR(INDEX('Email Cleaner'!$B$2:$B$10001,MATCH(2828,'Email Cleaner'!$K$2:$K$10001,0)),"")</f>
        <v/>
      </c>
    </row>
    <row r="2830">
      <c r="A2830">
        <f>IFERROR(INDEX('Email Cleaner'!$B$2:$B$10001,MATCH(2829,'Email Cleaner'!$K$2:$K$10001,0)),"")</f>
        <v/>
      </c>
    </row>
    <row r="2831">
      <c r="A2831">
        <f>IFERROR(INDEX('Email Cleaner'!$B$2:$B$10001,MATCH(2830,'Email Cleaner'!$K$2:$K$10001,0)),"")</f>
        <v/>
      </c>
    </row>
    <row r="2832">
      <c r="A2832">
        <f>IFERROR(INDEX('Email Cleaner'!$B$2:$B$10001,MATCH(2831,'Email Cleaner'!$K$2:$K$10001,0)),"")</f>
        <v/>
      </c>
    </row>
    <row r="2833">
      <c r="A2833">
        <f>IFERROR(INDEX('Email Cleaner'!$B$2:$B$10001,MATCH(2832,'Email Cleaner'!$K$2:$K$10001,0)),"")</f>
        <v/>
      </c>
    </row>
    <row r="2834">
      <c r="A2834">
        <f>IFERROR(INDEX('Email Cleaner'!$B$2:$B$10001,MATCH(2833,'Email Cleaner'!$K$2:$K$10001,0)),"")</f>
        <v/>
      </c>
    </row>
    <row r="2835">
      <c r="A2835">
        <f>IFERROR(INDEX('Email Cleaner'!$B$2:$B$10001,MATCH(2834,'Email Cleaner'!$K$2:$K$10001,0)),"")</f>
        <v/>
      </c>
    </row>
    <row r="2836">
      <c r="A2836">
        <f>IFERROR(INDEX('Email Cleaner'!$B$2:$B$10001,MATCH(2835,'Email Cleaner'!$K$2:$K$10001,0)),"")</f>
        <v/>
      </c>
    </row>
    <row r="2837">
      <c r="A2837">
        <f>IFERROR(INDEX('Email Cleaner'!$B$2:$B$10001,MATCH(2836,'Email Cleaner'!$K$2:$K$10001,0)),"")</f>
        <v/>
      </c>
    </row>
    <row r="2838">
      <c r="A2838">
        <f>IFERROR(INDEX('Email Cleaner'!$B$2:$B$10001,MATCH(2837,'Email Cleaner'!$K$2:$K$10001,0)),"")</f>
        <v/>
      </c>
    </row>
    <row r="2839">
      <c r="A2839">
        <f>IFERROR(INDEX('Email Cleaner'!$B$2:$B$10001,MATCH(2838,'Email Cleaner'!$K$2:$K$10001,0)),"")</f>
        <v/>
      </c>
    </row>
    <row r="2840">
      <c r="A2840">
        <f>IFERROR(INDEX('Email Cleaner'!$B$2:$B$10001,MATCH(2839,'Email Cleaner'!$K$2:$K$10001,0)),"")</f>
        <v/>
      </c>
    </row>
    <row r="2841">
      <c r="A2841">
        <f>IFERROR(INDEX('Email Cleaner'!$B$2:$B$10001,MATCH(2840,'Email Cleaner'!$K$2:$K$10001,0)),"")</f>
        <v/>
      </c>
    </row>
    <row r="2842">
      <c r="A2842">
        <f>IFERROR(INDEX('Email Cleaner'!$B$2:$B$10001,MATCH(2841,'Email Cleaner'!$K$2:$K$10001,0)),"")</f>
        <v/>
      </c>
    </row>
    <row r="2843">
      <c r="A2843">
        <f>IFERROR(INDEX('Email Cleaner'!$B$2:$B$10001,MATCH(2842,'Email Cleaner'!$K$2:$K$10001,0)),"")</f>
        <v/>
      </c>
    </row>
    <row r="2844">
      <c r="A2844">
        <f>IFERROR(INDEX('Email Cleaner'!$B$2:$B$10001,MATCH(2843,'Email Cleaner'!$K$2:$K$10001,0)),"")</f>
        <v/>
      </c>
    </row>
    <row r="2845">
      <c r="A2845">
        <f>IFERROR(INDEX('Email Cleaner'!$B$2:$B$10001,MATCH(2844,'Email Cleaner'!$K$2:$K$10001,0)),"")</f>
        <v/>
      </c>
    </row>
    <row r="2846">
      <c r="A2846">
        <f>IFERROR(INDEX('Email Cleaner'!$B$2:$B$10001,MATCH(2845,'Email Cleaner'!$K$2:$K$10001,0)),"")</f>
        <v/>
      </c>
    </row>
    <row r="2847">
      <c r="A2847">
        <f>IFERROR(INDEX('Email Cleaner'!$B$2:$B$10001,MATCH(2846,'Email Cleaner'!$K$2:$K$10001,0)),"")</f>
        <v/>
      </c>
    </row>
    <row r="2848">
      <c r="A2848">
        <f>IFERROR(INDEX('Email Cleaner'!$B$2:$B$10001,MATCH(2847,'Email Cleaner'!$K$2:$K$10001,0)),"")</f>
        <v/>
      </c>
    </row>
    <row r="2849">
      <c r="A2849">
        <f>IFERROR(INDEX('Email Cleaner'!$B$2:$B$10001,MATCH(2848,'Email Cleaner'!$K$2:$K$10001,0)),"")</f>
        <v/>
      </c>
    </row>
    <row r="2850">
      <c r="A2850">
        <f>IFERROR(INDEX('Email Cleaner'!$B$2:$B$10001,MATCH(2849,'Email Cleaner'!$K$2:$K$10001,0)),"")</f>
        <v/>
      </c>
    </row>
    <row r="2851">
      <c r="A2851">
        <f>IFERROR(INDEX('Email Cleaner'!$B$2:$B$10001,MATCH(2850,'Email Cleaner'!$K$2:$K$10001,0)),"")</f>
        <v/>
      </c>
    </row>
    <row r="2852">
      <c r="A2852">
        <f>IFERROR(INDEX('Email Cleaner'!$B$2:$B$10001,MATCH(2851,'Email Cleaner'!$K$2:$K$10001,0)),"")</f>
        <v/>
      </c>
    </row>
    <row r="2853">
      <c r="A2853">
        <f>IFERROR(INDEX('Email Cleaner'!$B$2:$B$10001,MATCH(2852,'Email Cleaner'!$K$2:$K$10001,0)),"")</f>
        <v/>
      </c>
    </row>
    <row r="2854">
      <c r="A2854">
        <f>IFERROR(INDEX('Email Cleaner'!$B$2:$B$10001,MATCH(2853,'Email Cleaner'!$K$2:$K$10001,0)),"")</f>
        <v/>
      </c>
    </row>
    <row r="2855">
      <c r="A2855">
        <f>IFERROR(INDEX('Email Cleaner'!$B$2:$B$10001,MATCH(2854,'Email Cleaner'!$K$2:$K$10001,0)),"")</f>
        <v/>
      </c>
    </row>
    <row r="2856">
      <c r="A2856">
        <f>IFERROR(INDEX('Email Cleaner'!$B$2:$B$10001,MATCH(2855,'Email Cleaner'!$K$2:$K$10001,0)),"")</f>
        <v/>
      </c>
    </row>
    <row r="2857">
      <c r="A2857">
        <f>IFERROR(INDEX('Email Cleaner'!$B$2:$B$10001,MATCH(2856,'Email Cleaner'!$K$2:$K$10001,0)),"")</f>
        <v/>
      </c>
    </row>
    <row r="2858">
      <c r="A2858">
        <f>IFERROR(INDEX('Email Cleaner'!$B$2:$B$10001,MATCH(2857,'Email Cleaner'!$K$2:$K$10001,0)),"")</f>
        <v/>
      </c>
    </row>
    <row r="2859">
      <c r="A2859">
        <f>IFERROR(INDEX('Email Cleaner'!$B$2:$B$10001,MATCH(2858,'Email Cleaner'!$K$2:$K$10001,0)),"")</f>
        <v/>
      </c>
    </row>
    <row r="2860">
      <c r="A2860">
        <f>IFERROR(INDEX('Email Cleaner'!$B$2:$B$10001,MATCH(2859,'Email Cleaner'!$K$2:$K$10001,0)),"")</f>
        <v/>
      </c>
    </row>
    <row r="2861">
      <c r="A2861">
        <f>IFERROR(INDEX('Email Cleaner'!$B$2:$B$10001,MATCH(2860,'Email Cleaner'!$K$2:$K$10001,0)),"")</f>
        <v/>
      </c>
    </row>
    <row r="2862">
      <c r="A2862">
        <f>IFERROR(INDEX('Email Cleaner'!$B$2:$B$10001,MATCH(2861,'Email Cleaner'!$K$2:$K$10001,0)),"")</f>
        <v/>
      </c>
    </row>
    <row r="2863">
      <c r="A2863">
        <f>IFERROR(INDEX('Email Cleaner'!$B$2:$B$10001,MATCH(2862,'Email Cleaner'!$K$2:$K$10001,0)),"")</f>
        <v/>
      </c>
    </row>
    <row r="2864">
      <c r="A2864">
        <f>IFERROR(INDEX('Email Cleaner'!$B$2:$B$10001,MATCH(2863,'Email Cleaner'!$K$2:$K$10001,0)),"")</f>
        <v/>
      </c>
    </row>
    <row r="2865">
      <c r="A2865">
        <f>IFERROR(INDEX('Email Cleaner'!$B$2:$B$10001,MATCH(2864,'Email Cleaner'!$K$2:$K$10001,0)),"")</f>
        <v/>
      </c>
    </row>
    <row r="2866">
      <c r="A2866">
        <f>IFERROR(INDEX('Email Cleaner'!$B$2:$B$10001,MATCH(2865,'Email Cleaner'!$K$2:$K$10001,0)),"")</f>
        <v/>
      </c>
    </row>
    <row r="2867">
      <c r="A2867">
        <f>IFERROR(INDEX('Email Cleaner'!$B$2:$B$10001,MATCH(2866,'Email Cleaner'!$K$2:$K$10001,0)),"")</f>
        <v/>
      </c>
    </row>
    <row r="2868">
      <c r="A2868">
        <f>IFERROR(INDEX('Email Cleaner'!$B$2:$B$10001,MATCH(2867,'Email Cleaner'!$K$2:$K$10001,0)),"")</f>
        <v/>
      </c>
    </row>
    <row r="2869">
      <c r="A2869">
        <f>IFERROR(INDEX('Email Cleaner'!$B$2:$B$10001,MATCH(2868,'Email Cleaner'!$K$2:$K$10001,0)),"")</f>
        <v/>
      </c>
    </row>
    <row r="2870">
      <c r="A2870">
        <f>IFERROR(INDEX('Email Cleaner'!$B$2:$B$10001,MATCH(2869,'Email Cleaner'!$K$2:$K$10001,0)),"")</f>
        <v/>
      </c>
    </row>
    <row r="2871">
      <c r="A2871">
        <f>IFERROR(INDEX('Email Cleaner'!$B$2:$B$10001,MATCH(2870,'Email Cleaner'!$K$2:$K$10001,0)),"")</f>
        <v/>
      </c>
    </row>
    <row r="2872">
      <c r="A2872">
        <f>IFERROR(INDEX('Email Cleaner'!$B$2:$B$10001,MATCH(2871,'Email Cleaner'!$K$2:$K$10001,0)),"")</f>
        <v/>
      </c>
    </row>
    <row r="2873">
      <c r="A2873">
        <f>IFERROR(INDEX('Email Cleaner'!$B$2:$B$10001,MATCH(2872,'Email Cleaner'!$K$2:$K$10001,0)),"")</f>
        <v/>
      </c>
    </row>
    <row r="2874">
      <c r="A2874">
        <f>IFERROR(INDEX('Email Cleaner'!$B$2:$B$10001,MATCH(2873,'Email Cleaner'!$K$2:$K$10001,0)),"")</f>
        <v/>
      </c>
    </row>
    <row r="2875">
      <c r="A2875">
        <f>IFERROR(INDEX('Email Cleaner'!$B$2:$B$10001,MATCH(2874,'Email Cleaner'!$K$2:$K$10001,0)),"")</f>
        <v/>
      </c>
    </row>
    <row r="2876">
      <c r="A2876">
        <f>IFERROR(INDEX('Email Cleaner'!$B$2:$B$10001,MATCH(2875,'Email Cleaner'!$K$2:$K$10001,0)),"")</f>
        <v/>
      </c>
    </row>
    <row r="2877">
      <c r="A2877">
        <f>IFERROR(INDEX('Email Cleaner'!$B$2:$B$10001,MATCH(2876,'Email Cleaner'!$K$2:$K$10001,0)),"")</f>
        <v/>
      </c>
    </row>
    <row r="2878">
      <c r="A2878">
        <f>IFERROR(INDEX('Email Cleaner'!$B$2:$B$10001,MATCH(2877,'Email Cleaner'!$K$2:$K$10001,0)),"")</f>
        <v/>
      </c>
    </row>
    <row r="2879">
      <c r="A2879">
        <f>IFERROR(INDEX('Email Cleaner'!$B$2:$B$10001,MATCH(2878,'Email Cleaner'!$K$2:$K$10001,0)),"")</f>
        <v/>
      </c>
    </row>
    <row r="2880">
      <c r="A2880">
        <f>IFERROR(INDEX('Email Cleaner'!$B$2:$B$10001,MATCH(2879,'Email Cleaner'!$K$2:$K$10001,0)),"")</f>
        <v/>
      </c>
    </row>
    <row r="2881">
      <c r="A2881">
        <f>IFERROR(INDEX('Email Cleaner'!$B$2:$B$10001,MATCH(2880,'Email Cleaner'!$K$2:$K$10001,0)),"")</f>
        <v/>
      </c>
    </row>
    <row r="2882">
      <c r="A2882">
        <f>IFERROR(INDEX('Email Cleaner'!$B$2:$B$10001,MATCH(2881,'Email Cleaner'!$K$2:$K$10001,0)),"")</f>
        <v/>
      </c>
    </row>
    <row r="2883">
      <c r="A2883">
        <f>IFERROR(INDEX('Email Cleaner'!$B$2:$B$10001,MATCH(2882,'Email Cleaner'!$K$2:$K$10001,0)),"")</f>
        <v/>
      </c>
    </row>
    <row r="2884">
      <c r="A2884">
        <f>IFERROR(INDEX('Email Cleaner'!$B$2:$B$10001,MATCH(2883,'Email Cleaner'!$K$2:$K$10001,0)),"")</f>
        <v/>
      </c>
    </row>
    <row r="2885">
      <c r="A2885">
        <f>IFERROR(INDEX('Email Cleaner'!$B$2:$B$10001,MATCH(2884,'Email Cleaner'!$K$2:$K$10001,0)),"")</f>
        <v/>
      </c>
    </row>
    <row r="2886">
      <c r="A2886">
        <f>IFERROR(INDEX('Email Cleaner'!$B$2:$B$10001,MATCH(2885,'Email Cleaner'!$K$2:$K$10001,0)),"")</f>
        <v/>
      </c>
    </row>
    <row r="2887">
      <c r="A2887">
        <f>IFERROR(INDEX('Email Cleaner'!$B$2:$B$10001,MATCH(2886,'Email Cleaner'!$K$2:$K$10001,0)),"")</f>
        <v/>
      </c>
    </row>
    <row r="2888">
      <c r="A2888">
        <f>IFERROR(INDEX('Email Cleaner'!$B$2:$B$10001,MATCH(2887,'Email Cleaner'!$K$2:$K$10001,0)),"")</f>
        <v/>
      </c>
    </row>
    <row r="2889">
      <c r="A2889">
        <f>IFERROR(INDEX('Email Cleaner'!$B$2:$B$10001,MATCH(2888,'Email Cleaner'!$K$2:$K$10001,0)),"")</f>
        <v/>
      </c>
    </row>
    <row r="2890">
      <c r="A2890">
        <f>IFERROR(INDEX('Email Cleaner'!$B$2:$B$10001,MATCH(2889,'Email Cleaner'!$K$2:$K$10001,0)),"")</f>
        <v/>
      </c>
    </row>
    <row r="2891">
      <c r="A2891">
        <f>IFERROR(INDEX('Email Cleaner'!$B$2:$B$10001,MATCH(2890,'Email Cleaner'!$K$2:$K$10001,0)),"")</f>
        <v/>
      </c>
    </row>
    <row r="2892">
      <c r="A2892">
        <f>IFERROR(INDEX('Email Cleaner'!$B$2:$B$10001,MATCH(2891,'Email Cleaner'!$K$2:$K$10001,0)),"")</f>
        <v/>
      </c>
    </row>
    <row r="2893">
      <c r="A2893">
        <f>IFERROR(INDEX('Email Cleaner'!$B$2:$B$10001,MATCH(2892,'Email Cleaner'!$K$2:$K$10001,0)),"")</f>
        <v/>
      </c>
    </row>
    <row r="2894">
      <c r="A2894">
        <f>IFERROR(INDEX('Email Cleaner'!$B$2:$B$10001,MATCH(2893,'Email Cleaner'!$K$2:$K$10001,0)),"")</f>
        <v/>
      </c>
    </row>
    <row r="2895">
      <c r="A2895">
        <f>IFERROR(INDEX('Email Cleaner'!$B$2:$B$10001,MATCH(2894,'Email Cleaner'!$K$2:$K$10001,0)),"")</f>
        <v/>
      </c>
    </row>
    <row r="2896">
      <c r="A2896">
        <f>IFERROR(INDEX('Email Cleaner'!$B$2:$B$10001,MATCH(2895,'Email Cleaner'!$K$2:$K$10001,0)),"")</f>
        <v/>
      </c>
    </row>
    <row r="2897">
      <c r="A2897">
        <f>IFERROR(INDEX('Email Cleaner'!$B$2:$B$10001,MATCH(2896,'Email Cleaner'!$K$2:$K$10001,0)),"")</f>
        <v/>
      </c>
    </row>
    <row r="2898">
      <c r="A2898">
        <f>IFERROR(INDEX('Email Cleaner'!$B$2:$B$10001,MATCH(2897,'Email Cleaner'!$K$2:$K$10001,0)),"")</f>
        <v/>
      </c>
    </row>
    <row r="2899">
      <c r="A2899">
        <f>IFERROR(INDEX('Email Cleaner'!$B$2:$B$10001,MATCH(2898,'Email Cleaner'!$K$2:$K$10001,0)),"")</f>
        <v/>
      </c>
    </row>
    <row r="2900">
      <c r="A2900">
        <f>IFERROR(INDEX('Email Cleaner'!$B$2:$B$10001,MATCH(2899,'Email Cleaner'!$K$2:$K$10001,0)),"")</f>
        <v/>
      </c>
    </row>
    <row r="2901">
      <c r="A2901">
        <f>IFERROR(INDEX('Email Cleaner'!$B$2:$B$10001,MATCH(2900,'Email Cleaner'!$K$2:$K$10001,0)),"")</f>
        <v/>
      </c>
    </row>
    <row r="2902">
      <c r="A2902">
        <f>IFERROR(INDEX('Email Cleaner'!$B$2:$B$10001,MATCH(2901,'Email Cleaner'!$K$2:$K$10001,0)),"")</f>
        <v/>
      </c>
    </row>
    <row r="2903">
      <c r="A2903">
        <f>IFERROR(INDEX('Email Cleaner'!$B$2:$B$10001,MATCH(2902,'Email Cleaner'!$K$2:$K$10001,0)),"")</f>
        <v/>
      </c>
    </row>
    <row r="2904">
      <c r="A2904">
        <f>IFERROR(INDEX('Email Cleaner'!$B$2:$B$10001,MATCH(2903,'Email Cleaner'!$K$2:$K$10001,0)),"")</f>
        <v/>
      </c>
    </row>
    <row r="2905">
      <c r="A2905">
        <f>IFERROR(INDEX('Email Cleaner'!$B$2:$B$10001,MATCH(2904,'Email Cleaner'!$K$2:$K$10001,0)),"")</f>
        <v/>
      </c>
    </row>
    <row r="2906">
      <c r="A2906">
        <f>IFERROR(INDEX('Email Cleaner'!$B$2:$B$10001,MATCH(2905,'Email Cleaner'!$K$2:$K$10001,0)),"")</f>
        <v/>
      </c>
    </row>
    <row r="2907">
      <c r="A2907">
        <f>IFERROR(INDEX('Email Cleaner'!$B$2:$B$10001,MATCH(2906,'Email Cleaner'!$K$2:$K$10001,0)),"")</f>
        <v/>
      </c>
    </row>
    <row r="2908">
      <c r="A2908">
        <f>IFERROR(INDEX('Email Cleaner'!$B$2:$B$10001,MATCH(2907,'Email Cleaner'!$K$2:$K$10001,0)),"")</f>
        <v/>
      </c>
    </row>
    <row r="2909">
      <c r="A2909">
        <f>IFERROR(INDEX('Email Cleaner'!$B$2:$B$10001,MATCH(2908,'Email Cleaner'!$K$2:$K$10001,0)),"")</f>
        <v/>
      </c>
    </row>
    <row r="2910">
      <c r="A2910">
        <f>IFERROR(INDEX('Email Cleaner'!$B$2:$B$10001,MATCH(2909,'Email Cleaner'!$K$2:$K$10001,0)),"")</f>
        <v/>
      </c>
    </row>
    <row r="2911">
      <c r="A2911">
        <f>IFERROR(INDEX('Email Cleaner'!$B$2:$B$10001,MATCH(2910,'Email Cleaner'!$K$2:$K$10001,0)),"")</f>
        <v/>
      </c>
    </row>
    <row r="2912">
      <c r="A2912">
        <f>IFERROR(INDEX('Email Cleaner'!$B$2:$B$10001,MATCH(2911,'Email Cleaner'!$K$2:$K$10001,0)),"")</f>
        <v/>
      </c>
    </row>
    <row r="2913">
      <c r="A2913">
        <f>IFERROR(INDEX('Email Cleaner'!$B$2:$B$10001,MATCH(2912,'Email Cleaner'!$K$2:$K$10001,0)),"")</f>
        <v/>
      </c>
    </row>
    <row r="2914">
      <c r="A2914">
        <f>IFERROR(INDEX('Email Cleaner'!$B$2:$B$10001,MATCH(2913,'Email Cleaner'!$K$2:$K$10001,0)),"")</f>
        <v/>
      </c>
    </row>
    <row r="2915">
      <c r="A2915">
        <f>IFERROR(INDEX('Email Cleaner'!$B$2:$B$10001,MATCH(2914,'Email Cleaner'!$K$2:$K$10001,0)),"")</f>
        <v/>
      </c>
    </row>
    <row r="2916">
      <c r="A2916">
        <f>IFERROR(INDEX('Email Cleaner'!$B$2:$B$10001,MATCH(2915,'Email Cleaner'!$K$2:$K$10001,0)),"")</f>
        <v/>
      </c>
    </row>
    <row r="2917">
      <c r="A2917">
        <f>IFERROR(INDEX('Email Cleaner'!$B$2:$B$10001,MATCH(2916,'Email Cleaner'!$K$2:$K$10001,0)),"")</f>
        <v/>
      </c>
    </row>
    <row r="2918">
      <c r="A2918">
        <f>IFERROR(INDEX('Email Cleaner'!$B$2:$B$10001,MATCH(2917,'Email Cleaner'!$K$2:$K$10001,0)),"")</f>
        <v/>
      </c>
    </row>
    <row r="2919">
      <c r="A2919">
        <f>IFERROR(INDEX('Email Cleaner'!$B$2:$B$10001,MATCH(2918,'Email Cleaner'!$K$2:$K$10001,0)),"")</f>
        <v/>
      </c>
    </row>
    <row r="2920">
      <c r="A2920">
        <f>IFERROR(INDEX('Email Cleaner'!$B$2:$B$10001,MATCH(2919,'Email Cleaner'!$K$2:$K$10001,0)),"")</f>
        <v/>
      </c>
    </row>
    <row r="2921">
      <c r="A2921">
        <f>IFERROR(INDEX('Email Cleaner'!$B$2:$B$10001,MATCH(2920,'Email Cleaner'!$K$2:$K$10001,0)),"")</f>
        <v/>
      </c>
    </row>
    <row r="2922">
      <c r="A2922">
        <f>IFERROR(INDEX('Email Cleaner'!$B$2:$B$10001,MATCH(2921,'Email Cleaner'!$K$2:$K$10001,0)),"")</f>
        <v/>
      </c>
    </row>
    <row r="2923">
      <c r="A2923">
        <f>IFERROR(INDEX('Email Cleaner'!$B$2:$B$10001,MATCH(2922,'Email Cleaner'!$K$2:$K$10001,0)),"")</f>
        <v/>
      </c>
    </row>
    <row r="2924">
      <c r="A2924">
        <f>IFERROR(INDEX('Email Cleaner'!$B$2:$B$10001,MATCH(2923,'Email Cleaner'!$K$2:$K$10001,0)),"")</f>
        <v/>
      </c>
    </row>
    <row r="2925">
      <c r="A2925">
        <f>IFERROR(INDEX('Email Cleaner'!$B$2:$B$10001,MATCH(2924,'Email Cleaner'!$K$2:$K$10001,0)),"")</f>
        <v/>
      </c>
    </row>
    <row r="2926">
      <c r="A2926">
        <f>IFERROR(INDEX('Email Cleaner'!$B$2:$B$10001,MATCH(2925,'Email Cleaner'!$K$2:$K$10001,0)),"")</f>
        <v/>
      </c>
    </row>
    <row r="2927">
      <c r="A2927">
        <f>IFERROR(INDEX('Email Cleaner'!$B$2:$B$10001,MATCH(2926,'Email Cleaner'!$K$2:$K$10001,0)),"")</f>
        <v/>
      </c>
    </row>
    <row r="2928">
      <c r="A2928">
        <f>IFERROR(INDEX('Email Cleaner'!$B$2:$B$10001,MATCH(2927,'Email Cleaner'!$K$2:$K$10001,0)),"")</f>
        <v/>
      </c>
    </row>
    <row r="2929">
      <c r="A2929">
        <f>IFERROR(INDEX('Email Cleaner'!$B$2:$B$10001,MATCH(2928,'Email Cleaner'!$K$2:$K$10001,0)),"")</f>
        <v/>
      </c>
    </row>
    <row r="2930">
      <c r="A2930">
        <f>IFERROR(INDEX('Email Cleaner'!$B$2:$B$10001,MATCH(2929,'Email Cleaner'!$K$2:$K$10001,0)),"")</f>
        <v/>
      </c>
    </row>
    <row r="2931">
      <c r="A2931">
        <f>IFERROR(INDEX('Email Cleaner'!$B$2:$B$10001,MATCH(2930,'Email Cleaner'!$K$2:$K$10001,0)),"")</f>
        <v/>
      </c>
    </row>
    <row r="2932">
      <c r="A2932">
        <f>IFERROR(INDEX('Email Cleaner'!$B$2:$B$10001,MATCH(2931,'Email Cleaner'!$K$2:$K$10001,0)),"")</f>
        <v/>
      </c>
    </row>
    <row r="2933">
      <c r="A2933">
        <f>IFERROR(INDEX('Email Cleaner'!$B$2:$B$10001,MATCH(2932,'Email Cleaner'!$K$2:$K$10001,0)),"")</f>
        <v/>
      </c>
    </row>
    <row r="2934">
      <c r="A2934">
        <f>IFERROR(INDEX('Email Cleaner'!$B$2:$B$10001,MATCH(2933,'Email Cleaner'!$K$2:$K$10001,0)),"")</f>
        <v/>
      </c>
    </row>
    <row r="2935">
      <c r="A2935">
        <f>IFERROR(INDEX('Email Cleaner'!$B$2:$B$10001,MATCH(2934,'Email Cleaner'!$K$2:$K$10001,0)),"")</f>
        <v/>
      </c>
    </row>
    <row r="2936">
      <c r="A2936">
        <f>IFERROR(INDEX('Email Cleaner'!$B$2:$B$10001,MATCH(2935,'Email Cleaner'!$K$2:$K$10001,0)),"")</f>
        <v/>
      </c>
    </row>
    <row r="2937">
      <c r="A2937">
        <f>IFERROR(INDEX('Email Cleaner'!$B$2:$B$10001,MATCH(2936,'Email Cleaner'!$K$2:$K$10001,0)),"")</f>
        <v/>
      </c>
    </row>
    <row r="2938">
      <c r="A2938">
        <f>IFERROR(INDEX('Email Cleaner'!$B$2:$B$10001,MATCH(2937,'Email Cleaner'!$K$2:$K$10001,0)),"")</f>
        <v/>
      </c>
    </row>
    <row r="2939">
      <c r="A2939">
        <f>IFERROR(INDEX('Email Cleaner'!$B$2:$B$10001,MATCH(2938,'Email Cleaner'!$K$2:$K$10001,0)),"")</f>
        <v/>
      </c>
    </row>
    <row r="2940">
      <c r="A2940">
        <f>IFERROR(INDEX('Email Cleaner'!$B$2:$B$10001,MATCH(2939,'Email Cleaner'!$K$2:$K$10001,0)),"")</f>
        <v/>
      </c>
    </row>
    <row r="2941">
      <c r="A2941">
        <f>IFERROR(INDEX('Email Cleaner'!$B$2:$B$10001,MATCH(2940,'Email Cleaner'!$K$2:$K$10001,0)),"")</f>
        <v/>
      </c>
    </row>
    <row r="2942">
      <c r="A2942">
        <f>IFERROR(INDEX('Email Cleaner'!$B$2:$B$10001,MATCH(2941,'Email Cleaner'!$K$2:$K$10001,0)),"")</f>
        <v/>
      </c>
    </row>
    <row r="2943">
      <c r="A2943">
        <f>IFERROR(INDEX('Email Cleaner'!$B$2:$B$10001,MATCH(2942,'Email Cleaner'!$K$2:$K$10001,0)),"")</f>
        <v/>
      </c>
    </row>
    <row r="2944">
      <c r="A2944">
        <f>IFERROR(INDEX('Email Cleaner'!$B$2:$B$10001,MATCH(2943,'Email Cleaner'!$K$2:$K$10001,0)),"")</f>
        <v/>
      </c>
    </row>
    <row r="2945">
      <c r="A2945">
        <f>IFERROR(INDEX('Email Cleaner'!$B$2:$B$10001,MATCH(2944,'Email Cleaner'!$K$2:$K$10001,0)),"")</f>
        <v/>
      </c>
    </row>
    <row r="2946">
      <c r="A2946">
        <f>IFERROR(INDEX('Email Cleaner'!$B$2:$B$10001,MATCH(2945,'Email Cleaner'!$K$2:$K$10001,0)),"")</f>
        <v/>
      </c>
    </row>
    <row r="2947">
      <c r="A2947">
        <f>IFERROR(INDEX('Email Cleaner'!$B$2:$B$10001,MATCH(2946,'Email Cleaner'!$K$2:$K$10001,0)),"")</f>
        <v/>
      </c>
    </row>
    <row r="2948">
      <c r="A2948">
        <f>IFERROR(INDEX('Email Cleaner'!$B$2:$B$10001,MATCH(2947,'Email Cleaner'!$K$2:$K$10001,0)),"")</f>
        <v/>
      </c>
    </row>
    <row r="2949">
      <c r="A2949">
        <f>IFERROR(INDEX('Email Cleaner'!$B$2:$B$10001,MATCH(2948,'Email Cleaner'!$K$2:$K$10001,0)),"")</f>
        <v/>
      </c>
    </row>
    <row r="2950">
      <c r="A2950">
        <f>IFERROR(INDEX('Email Cleaner'!$B$2:$B$10001,MATCH(2949,'Email Cleaner'!$K$2:$K$10001,0)),"")</f>
        <v/>
      </c>
    </row>
    <row r="2951">
      <c r="A2951">
        <f>IFERROR(INDEX('Email Cleaner'!$B$2:$B$10001,MATCH(2950,'Email Cleaner'!$K$2:$K$10001,0)),"")</f>
        <v/>
      </c>
    </row>
    <row r="2952">
      <c r="A2952">
        <f>IFERROR(INDEX('Email Cleaner'!$B$2:$B$10001,MATCH(2951,'Email Cleaner'!$K$2:$K$10001,0)),"")</f>
        <v/>
      </c>
    </row>
    <row r="2953">
      <c r="A2953">
        <f>IFERROR(INDEX('Email Cleaner'!$B$2:$B$10001,MATCH(2952,'Email Cleaner'!$K$2:$K$10001,0)),"")</f>
        <v/>
      </c>
    </row>
    <row r="2954">
      <c r="A2954">
        <f>IFERROR(INDEX('Email Cleaner'!$B$2:$B$10001,MATCH(2953,'Email Cleaner'!$K$2:$K$10001,0)),"")</f>
        <v/>
      </c>
    </row>
    <row r="2955">
      <c r="A2955">
        <f>IFERROR(INDEX('Email Cleaner'!$B$2:$B$10001,MATCH(2954,'Email Cleaner'!$K$2:$K$10001,0)),"")</f>
        <v/>
      </c>
    </row>
    <row r="2956">
      <c r="A2956">
        <f>IFERROR(INDEX('Email Cleaner'!$B$2:$B$10001,MATCH(2955,'Email Cleaner'!$K$2:$K$10001,0)),"")</f>
        <v/>
      </c>
    </row>
    <row r="2957">
      <c r="A2957">
        <f>IFERROR(INDEX('Email Cleaner'!$B$2:$B$10001,MATCH(2956,'Email Cleaner'!$K$2:$K$10001,0)),"")</f>
        <v/>
      </c>
    </row>
    <row r="2958">
      <c r="A2958">
        <f>IFERROR(INDEX('Email Cleaner'!$B$2:$B$10001,MATCH(2957,'Email Cleaner'!$K$2:$K$10001,0)),"")</f>
        <v/>
      </c>
    </row>
    <row r="2959">
      <c r="A2959">
        <f>IFERROR(INDEX('Email Cleaner'!$B$2:$B$10001,MATCH(2958,'Email Cleaner'!$K$2:$K$10001,0)),"")</f>
        <v/>
      </c>
    </row>
    <row r="2960">
      <c r="A2960">
        <f>IFERROR(INDEX('Email Cleaner'!$B$2:$B$10001,MATCH(2959,'Email Cleaner'!$K$2:$K$10001,0)),"")</f>
        <v/>
      </c>
    </row>
    <row r="2961">
      <c r="A2961">
        <f>IFERROR(INDEX('Email Cleaner'!$B$2:$B$10001,MATCH(2960,'Email Cleaner'!$K$2:$K$10001,0)),"")</f>
        <v/>
      </c>
    </row>
    <row r="2962">
      <c r="A2962">
        <f>IFERROR(INDEX('Email Cleaner'!$B$2:$B$10001,MATCH(2961,'Email Cleaner'!$K$2:$K$10001,0)),"")</f>
        <v/>
      </c>
    </row>
    <row r="2963">
      <c r="A2963">
        <f>IFERROR(INDEX('Email Cleaner'!$B$2:$B$10001,MATCH(2962,'Email Cleaner'!$K$2:$K$10001,0)),"")</f>
        <v/>
      </c>
    </row>
    <row r="2964">
      <c r="A2964">
        <f>IFERROR(INDEX('Email Cleaner'!$B$2:$B$10001,MATCH(2963,'Email Cleaner'!$K$2:$K$10001,0)),"")</f>
        <v/>
      </c>
    </row>
    <row r="2965">
      <c r="A2965">
        <f>IFERROR(INDEX('Email Cleaner'!$B$2:$B$10001,MATCH(2964,'Email Cleaner'!$K$2:$K$10001,0)),"")</f>
        <v/>
      </c>
    </row>
    <row r="2966">
      <c r="A2966">
        <f>IFERROR(INDEX('Email Cleaner'!$B$2:$B$10001,MATCH(2965,'Email Cleaner'!$K$2:$K$10001,0)),"")</f>
        <v/>
      </c>
    </row>
    <row r="2967">
      <c r="A2967">
        <f>IFERROR(INDEX('Email Cleaner'!$B$2:$B$10001,MATCH(2966,'Email Cleaner'!$K$2:$K$10001,0)),"")</f>
        <v/>
      </c>
    </row>
    <row r="2968">
      <c r="A2968">
        <f>IFERROR(INDEX('Email Cleaner'!$B$2:$B$10001,MATCH(2967,'Email Cleaner'!$K$2:$K$10001,0)),"")</f>
        <v/>
      </c>
    </row>
    <row r="2969">
      <c r="A2969">
        <f>IFERROR(INDEX('Email Cleaner'!$B$2:$B$10001,MATCH(2968,'Email Cleaner'!$K$2:$K$10001,0)),"")</f>
        <v/>
      </c>
    </row>
    <row r="2970">
      <c r="A2970">
        <f>IFERROR(INDEX('Email Cleaner'!$B$2:$B$10001,MATCH(2969,'Email Cleaner'!$K$2:$K$10001,0)),"")</f>
        <v/>
      </c>
    </row>
    <row r="2971">
      <c r="A2971">
        <f>IFERROR(INDEX('Email Cleaner'!$B$2:$B$10001,MATCH(2970,'Email Cleaner'!$K$2:$K$10001,0)),"")</f>
        <v/>
      </c>
    </row>
    <row r="2972">
      <c r="A2972">
        <f>IFERROR(INDEX('Email Cleaner'!$B$2:$B$10001,MATCH(2971,'Email Cleaner'!$K$2:$K$10001,0)),"")</f>
        <v/>
      </c>
    </row>
    <row r="2973">
      <c r="A2973">
        <f>IFERROR(INDEX('Email Cleaner'!$B$2:$B$10001,MATCH(2972,'Email Cleaner'!$K$2:$K$10001,0)),"")</f>
        <v/>
      </c>
    </row>
    <row r="2974">
      <c r="A2974">
        <f>IFERROR(INDEX('Email Cleaner'!$B$2:$B$10001,MATCH(2973,'Email Cleaner'!$K$2:$K$10001,0)),"")</f>
        <v/>
      </c>
    </row>
    <row r="2975">
      <c r="A2975">
        <f>IFERROR(INDEX('Email Cleaner'!$B$2:$B$10001,MATCH(2974,'Email Cleaner'!$K$2:$K$10001,0)),"")</f>
        <v/>
      </c>
    </row>
    <row r="2976">
      <c r="A2976">
        <f>IFERROR(INDEX('Email Cleaner'!$B$2:$B$10001,MATCH(2975,'Email Cleaner'!$K$2:$K$10001,0)),"")</f>
        <v/>
      </c>
    </row>
    <row r="2977">
      <c r="A2977">
        <f>IFERROR(INDEX('Email Cleaner'!$B$2:$B$10001,MATCH(2976,'Email Cleaner'!$K$2:$K$10001,0)),"")</f>
        <v/>
      </c>
    </row>
    <row r="2978">
      <c r="A2978">
        <f>IFERROR(INDEX('Email Cleaner'!$B$2:$B$10001,MATCH(2977,'Email Cleaner'!$K$2:$K$10001,0)),"")</f>
        <v/>
      </c>
    </row>
    <row r="2979">
      <c r="A2979">
        <f>IFERROR(INDEX('Email Cleaner'!$B$2:$B$10001,MATCH(2978,'Email Cleaner'!$K$2:$K$10001,0)),"")</f>
        <v/>
      </c>
    </row>
    <row r="2980">
      <c r="A2980">
        <f>IFERROR(INDEX('Email Cleaner'!$B$2:$B$10001,MATCH(2979,'Email Cleaner'!$K$2:$K$10001,0)),"")</f>
        <v/>
      </c>
    </row>
    <row r="2981">
      <c r="A2981">
        <f>IFERROR(INDEX('Email Cleaner'!$B$2:$B$10001,MATCH(2980,'Email Cleaner'!$K$2:$K$10001,0)),"")</f>
        <v/>
      </c>
    </row>
    <row r="2982">
      <c r="A2982">
        <f>IFERROR(INDEX('Email Cleaner'!$B$2:$B$10001,MATCH(2981,'Email Cleaner'!$K$2:$K$10001,0)),"")</f>
        <v/>
      </c>
    </row>
    <row r="2983">
      <c r="A2983">
        <f>IFERROR(INDEX('Email Cleaner'!$B$2:$B$10001,MATCH(2982,'Email Cleaner'!$K$2:$K$10001,0)),"")</f>
        <v/>
      </c>
    </row>
    <row r="2984">
      <c r="A2984">
        <f>IFERROR(INDEX('Email Cleaner'!$B$2:$B$10001,MATCH(2983,'Email Cleaner'!$K$2:$K$10001,0)),"")</f>
        <v/>
      </c>
    </row>
    <row r="2985">
      <c r="A2985">
        <f>IFERROR(INDEX('Email Cleaner'!$B$2:$B$10001,MATCH(2984,'Email Cleaner'!$K$2:$K$10001,0)),"")</f>
        <v/>
      </c>
    </row>
    <row r="2986">
      <c r="A2986">
        <f>IFERROR(INDEX('Email Cleaner'!$B$2:$B$10001,MATCH(2985,'Email Cleaner'!$K$2:$K$10001,0)),"")</f>
        <v/>
      </c>
    </row>
    <row r="2987">
      <c r="A2987">
        <f>IFERROR(INDEX('Email Cleaner'!$B$2:$B$10001,MATCH(2986,'Email Cleaner'!$K$2:$K$10001,0)),"")</f>
        <v/>
      </c>
    </row>
    <row r="2988">
      <c r="A2988">
        <f>IFERROR(INDEX('Email Cleaner'!$B$2:$B$10001,MATCH(2987,'Email Cleaner'!$K$2:$K$10001,0)),"")</f>
        <v/>
      </c>
    </row>
    <row r="2989">
      <c r="A2989">
        <f>IFERROR(INDEX('Email Cleaner'!$B$2:$B$10001,MATCH(2988,'Email Cleaner'!$K$2:$K$10001,0)),"")</f>
        <v/>
      </c>
    </row>
    <row r="2990">
      <c r="A2990">
        <f>IFERROR(INDEX('Email Cleaner'!$B$2:$B$10001,MATCH(2989,'Email Cleaner'!$K$2:$K$10001,0)),"")</f>
        <v/>
      </c>
    </row>
    <row r="2991">
      <c r="A2991">
        <f>IFERROR(INDEX('Email Cleaner'!$B$2:$B$10001,MATCH(2990,'Email Cleaner'!$K$2:$K$10001,0)),"")</f>
        <v/>
      </c>
    </row>
    <row r="2992">
      <c r="A2992">
        <f>IFERROR(INDEX('Email Cleaner'!$B$2:$B$10001,MATCH(2991,'Email Cleaner'!$K$2:$K$10001,0)),"")</f>
        <v/>
      </c>
    </row>
    <row r="2993">
      <c r="A2993">
        <f>IFERROR(INDEX('Email Cleaner'!$B$2:$B$10001,MATCH(2992,'Email Cleaner'!$K$2:$K$10001,0)),"")</f>
        <v/>
      </c>
    </row>
    <row r="2994">
      <c r="A2994">
        <f>IFERROR(INDEX('Email Cleaner'!$B$2:$B$10001,MATCH(2993,'Email Cleaner'!$K$2:$K$10001,0)),"")</f>
        <v/>
      </c>
    </row>
    <row r="2995">
      <c r="A2995">
        <f>IFERROR(INDEX('Email Cleaner'!$B$2:$B$10001,MATCH(2994,'Email Cleaner'!$K$2:$K$10001,0)),"")</f>
        <v/>
      </c>
    </row>
    <row r="2996">
      <c r="A2996">
        <f>IFERROR(INDEX('Email Cleaner'!$B$2:$B$10001,MATCH(2995,'Email Cleaner'!$K$2:$K$10001,0)),"")</f>
        <v/>
      </c>
    </row>
    <row r="2997">
      <c r="A2997">
        <f>IFERROR(INDEX('Email Cleaner'!$B$2:$B$10001,MATCH(2996,'Email Cleaner'!$K$2:$K$10001,0)),"")</f>
        <v/>
      </c>
    </row>
    <row r="2998">
      <c r="A2998">
        <f>IFERROR(INDEX('Email Cleaner'!$B$2:$B$10001,MATCH(2997,'Email Cleaner'!$K$2:$K$10001,0)),"")</f>
        <v/>
      </c>
    </row>
    <row r="2999">
      <c r="A2999">
        <f>IFERROR(INDEX('Email Cleaner'!$B$2:$B$10001,MATCH(2998,'Email Cleaner'!$K$2:$K$10001,0)),"")</f>
        <v/>
      </c>
    </row>
    <row r="3000">
      <c r="A3000">
        <f>IFERROR(INDEX('Email Cleaner'!$B$2:$B$10001,MATCH(2999,'Email Cleaner'!$K$2:$K$10001,0)),"")</f>
        <v/>
      </c>
    </row>
    <row r="3001">
      <c r="A3001">
        <f>IFERROR(INDEX('Email Cleaner'!$B$2:$B$10001,MATCH(3000,'Email Cleaner'!$K$2:$K$10001,0)),"")</f>
        <v/>
      </c>
    </row>
    <row r="3002">
      <c r="A3002">
        <f>IFERROR(INDEX('Email Cleaner'!$B$2:$B$10001,MATCH(3001,'Email Cleaner'!$K$2:$K$10001,0)),"")</f>
        <v/>
      </c>
    </row>
    <row r="3003">
      <c r="A3003">
        <f>IFERROR(INDEX('Email Cleaner'!$B$2:$B$10001,MATCH(3002,'Email Cleaner'!$K$2:$K$10001,0)),"")</f>
        <v/>
      </c>
    </row>
    <row r="3004">
      <c r="A3004">
        <f>IFERROR(INDEX('Email Cleaner'!$B$2:$B$10001,MATCH(3003,'Email Cleaner'!$K$2:$K$10001,0)),"")</f>
        <v/>
      </c>
    </row>
    <row r="3005">
      <c r="A3005">
        <f>IFERROR(INDEX('Email Cleaner'!$B$2:$B$10001,MATCH(3004,'Email Cleaner'!$K$2:$K$10001,0)),"")</f>
        <v/>
      </c>
    </row>
    <row r="3006">
      <c r="A3006">
        <f>IFERROR(INDEX('Email Cleaner'!$B$2:$B$10001,MATCH(3005,'Email Cleaner'!$K$2:$K$10001,0)),"")</f>
        <v/>
      </c>
    </row>
    <row r="3007">
      <c r="A3007">
        <f>IFERROR(INDEX('Email Cleaner'!$B$2:$B$10001,MATCH(3006,'Email Cleaner'!$K$2:$K$10001,0)),"")</f>
        <v/>
      </c>
    </row>
    <row r="3008">
      <c r="A3008">
        <f>IFERROR(INDEX('Email Cleaner'!$B$2:$B$10001,MATCH(3007,'Email Cleaner'!$K$2:$K$10001,0)),"")</f>
        <v/>
      </c>
    </row>
    <row r="3009">
      <c r="A3009">
        <f>IFERROR(INDEX('Email Cleaner'!$B$2:$B$10001,MATCH(3008,'Email Cleaner'!$K$2:$K$10001,0)),"")</f>
        <v/>
      </c>
    </row>
    <row r="3010">
      <c r="A3010">
        <f>IFERROR(INDEX('Email Cleaner'!$B$2:$B$10001,MATCH(3009,'Email Cleaner'!$K$2:$K$10001,0)),"")</f>
        <v/>
      </c>
    </row>
    <row r="3011">
      <c r="A3011">
        <f>IFERROR(INDEX('Email Cleaner'!$B$2:$B$10001,MATCH(3010,'Email Cleaner'!$K$2:$K$10001,0)),"")</f>
        <v/>
      </c>
    </row>
    <row r="3012">
      <c r="A3012">
        <f>IFERROR(INDEX('Email Cleaner'!$B$2:$B$10001,MATCH(3011,'Email Cleaner'!$K$2:$K$10001,0)),"")</f>
        <v/>
      </c>
    </row>
    <row r="3013">
      <c r="A3013">
        <f>IFERROR(INDEX('Email Cleaner'!$B$2:$B$10001,MATCH(3012,'Email Cleaner'!$K$2:$K$10001,0)),"")</f>
        <v/>
      </c>
    </row>
    <row r="3014">
      <c r="A3014">
        <f>IFERROR(INDEX('Email Cleaner'!$B$2:$B$10001,MATCH(3013,'Email Cleaner'!$K$2:$K$10001,0)),"")</f>
        <v/>
      </c>
    </row>
    <row r="3015">
      <c r="A3015">
        <f>IFERROR(INDEX('Email Cleaner'!$B$2:$B$10001,MATCH(3014,'Email Cleaner'!$K$2:$K$10001,0)),"")</f>
        <v/>
      </c>
    </row>
    <row r="3016">
      <c r="A3016">
        <f>IFERROR(INDEX('Email Cleaner'!$B$2:$B$10001,MATCH(3015,'Email Cleaner'!$K$2:$K$10001,0)),"")</f>
        <v/>
      </c>
    </row>
    <row r="3017">
      <c r="A3017">
        <f>IFERROR(INDEX('Email Cleaner'!$B$2:$B$10001,MATCH(3016,'Email Cleaner'!$K$2:$K$10001,0)),"")</f>
        <v/>
      </c>
    </row>
    <row r="3018">
      <c r="A3018">
        <f>IFERROR(INDEX('Email Cleaner'!$B$2:$B$10001,MATCH(3017,'Email Cleaner'!$K$2:$K$10001,0)),"")</f>
        <v/>
      </c>
    </row>
    <row r="3019">
      <c r="A3019">
        <f>IFERROR(INDEX('Email Cleaner'!$B$2:$B$10001,MATCH(3018,'Email Cleaner'!$K$2:$K$10001,0)),"")</f>
        <v/>
      </c>
    </row>
    <row r="3020">
      <c r="A3020">
        <f>IFERROR(INDEX('Email Cleaner'!$B$2:$B$10001,MATCH(3019,'Email Cleaner'!$K$2:$K$10001,0)),"")</f>
        <v/>
      </c>
    </row>
    <row r="3021">
      <c r="A3021">
        <f>IFERROR(INDEX('Email Cleaner'!$B$2:$B$10001,MATCH(3020,'Email Cleaner'!$K$2:$K$10001,0)),"")</f>
        <v/>
      </c>
    </row>
    <row r="3022">
      <c r="A3022">
        <f>IFERROR(INDEX('Email Cleaner'!$B$2:$B$10001,MATCH(3021,'Email Cleaner'!$K$2:$K$10001,0)),"")</f>
        <v/>
      </c>
    </row>
    <row r="3023">
      <c r="A3023">
        <f>IFERROR(INDEX('Email Cleaner'!$B$2:$B$10001,MATCH(3022,'Email Cleaner'!$K$2:$K$10001,0)),"")</f>
        <v/>
      </c>
    </row>
    <row r="3024">
      <c r="A3024">
        <f>IFERROR(INDEX('Email Cleaner'!$B$2:$B$10001,MATCH(3023,'Email Cleaner'!$K$2:$K$10001,0)),"")</f>
        <v/>
      </c>
    </row>
    <row r="3025">
      <c r="A3025">
        <f>IFERROR(INDEX('Email Cleaner'!$B$2:$B$10001,MATCH(3024,'Email Cleaner'!$K$2:$K$10001,0)),"")</f>
        <v/>
      </c>
    </row>
    <row r="3026">
      <c r="A3026">
        <f>IFERROR(INDEX('Email Cleaner'!$B$2:$B$10001,MATCH(3025,'Email Cleaner'!$K$2:$K$10001,0)),"")</f>
        <v/>
      </c>
    </row>
    <row r="3027">
      <c r="A3027">
        <f>IFERROR(INDEX('Email Cleaner'!$B$2:$B$10001,MATCH(3026,'Email Cleaner'!$K$2:$K$10001,0)),"")</f>
        <v/>
      </c>
    </row>
    <row r="3028">
      <c r="A3028">
        <f>IFERROR(INDEX('Email Cleaner'!$B$2:$B$10001,MATCH(3027,'Email Cleaner'!$K$2:$K$10001,0)),"")</f>
        <v/>
      </c>
    </row>
    <row r="3029">
      <c r="A3029">
        <f>IFERROR(INDEX('Email Cleaner'!$B$2:$B$10001,MATCH(3028,'Email Cleaner'!$K$2:$K$10001,0)),"")</f>
        <v/>
      </c>
    </row>
    <row r="3030">
      <c r="A3030">
        <f>IFERROR(INDEX('Email Cleaner'!$B$2:$B$10001,MATCH(3029,'Email Cleaner'!$K$2:$K$10001,0)),"")</f>
        <v/>
      </c>
    </row>
    <row r="3031">
      <c r="A3031">
        <f>IFERROR(INDEX('Email Cleaner'!$B$2:$B$10001,MATCH(3030,'Email Cleaner'!$K$2:$K$10001,0)),"")</f>
        <v/>
      </c>
    </row>
    <row r="3032">
      <c r="A3032">
        <f>IFERROR(INDEX('Email Cleaner'!$B$2:$B$10001,MATCH(3031,'Email Cleaner'!$K$2:$K$10001,0)),"")</f>
        <v/>
      </c>
    </row>
    <row r="3033">
      <c r="A3033">
        <f>IFERROR(INDEX('Email Cleaner'!$B$2:$B$10001,MATCH(3032,'Email Cleaner'!$K$2:$K$10001,0)),"")</f>
        <v/>
      </c>
    </row>
    <row r="3034">
      <c r="A3034">
        <f>IFERROR(INDEX('Email Cleaner'!$B$2:$B$10001,MATCH(3033,'Email Cleaner'!$K$2:$K$10001,0)),"")</f>
        <v/>
      </c>
    </row>
    <row r="3035">
      <c r="A3035">
        <f>IFERROR(INDEX('Email Cleaner'!$B$2:$B$10001,MATCH(3034,'Email Cleaner'!$K$2:$K$10001,0)),"")</f>
        <v/>
      </c>
    </row>
    <row r="3036">
      <c r="A3036">
        <f>IFERROR(INDEX('Email Cleaner'!$B$2:$B$10001,MATCH(3035,'Email Cleaner'!$K$2:$K$10001,0)),"")</f>
        <v/>
      </c>
    </row>
    <row r="3037">
      <c r="A3037">
        <f>IFERROR(INDEX('Email Cleaner'!$B$2:$B$10001,MATCH(3036,'Email Cleaner'!$K$2:$K$10001,0)),"")</f>
        <v/>
      </c>
    </row>
    <row r="3038">
      <c r="A3038">
        <f>IFERROR(INDEX('Email Cleaner'!$B$2:$B$10001,MATCH(3037,'Email Cleaner'!$K$2:$K$10001,0)),"")</f>
        <v/>
      </c>
    </row>
    <row r="3039">
      <c r="A3039">
        <f>IFERROR(INDEX('Email Cleaner'!$B$2:$B$10001,MATCH(3038,'Email Cleaner'!$K$2:$K$10001,0)),"")</f>
        <v/>
      </c>
    </row>
    <row r="3040">
      <c r="A3040">
        <f>IFERROR(INDEX('Email Cleaner'!$B$2:$B$10001,MATCH(3039,'Email Cleaner'!$K$2:$K$10001,0)),"")</f>
        <v/>
      </c>
    </row>
    <row r="3041">
      <c r="A3041">
        <f>IFERROR(INDEX('Email Cleaner'!$B$2:$B$10001,MATCH(3040,'Email Cleaner'!$K$2:$K$10001,0)),"")</f>
        <v/>
      </c>
    </row>
    <row r="3042">
      <c r="A3042">
        <f>IFERROR(INDEX('Email Cleaner'!$B$2:$B$10001,MATCH(3041,'Email Cleaner'!$K$2:$K$10001,0)),"")</f>
        <v/>
      </c>
    </row>
    <row r="3043">
      <c r="A3043">
        <f>IFERROR(INDEX('Email Cleaner'!$B$2:$B$10001,MATCH(3042,'Email Cleaner'!$K$2:$K$10001,0)),"")</f>
        <v/>
      </c>
    </row>
    <row r="3044">
      <c r="A3044">
        <f>IFERROR(INDEX('Email Cleaner'!$B$2:$B$10001,MATCH(3043,'Email Cleaner'!$K$2:$K$10001,0)),"")</f>
        <v/>
      </c>
    </row>
    <row r="3045">
      <c r="A3045">
        <f>IFERROR(INDEX('Email Cleaner'!$B$2:$B$10001,MATCH(3044,'Email Cleaner'!$K$2:$K$10001,0)),"")</f>
        <v/>
      </c>
    </row>
    <row r="3046">
      <c r="A3046">
        <f>IFERROR(INDEX('Email Cleaner'!$B$2:$B$10001,MATCH(3045,'Email Cleaner'!$K$2:$K$10001,0)),"")</f>
        <v/>
      </c>
    </row>
    <row r="3047">
      <c r="A3047">
        <f>IFERROR(INDEX('Email Cleaner'!$B$2:$B$10001,MATCH(3046,'Email Cleaner'!$K$2:$K$10001,0)),"")</f>
        <v/>
      </c>
    </row>
    <row r="3048">
      <c r="A3048">
        <f>IFERROR(INDEX('Email Cleaner'!$B$2:$B$10001,MATCH(3047,'Email Cleaner'!$K$2:$K$10001,0)),"")</f>
        <v/>
      </c>
    </row>
    <row r="3049">
      <c r="A3049">
        <f>IFERROR(INDEX('Email Cleaner'!$B$2:$B$10001,MATCH(3048,'Email Cleaner'!$K$2:$K$10001,0)),"")</f>
        <v/>
      </c>
    </row>
    <row r="3050">
      <c r="A3050">
        <f>IFERROR(INDEX('Email Cleaner'!$B$2:$B$10001,MATCH(3049,'Email Cleaner'!$K$2:$K$10001,0)),"")</f>
        <v/>
      </c>
    </row>
    <row r="3051">
      <c r="A3051">
        <f>IFERROR(INDEX('Email Cleaner'!$B$2:$B$10001,MATCH(3050,'Email Cleaner'!$K$2:$K$10001,0)),"")</f>
        <v/>
      </c>
    </row>
    <row r="3052">
      <c r="A3052">
        <f>IFERROR(INDEX('Email Cleaner'!$B$2:$B$10001,MATCH(3051,'Email Cleaner'!$K$2:$K$10001,0)),"")</f>
        <v/>
      </c>
    </row>
    <row r="3053">
      <c r="A3053">
        <f>IFERROR(INDEX('Email Cleaner'!$B$2:$B$10001,MATCH(3052,'Email Cleaner'!$K$2:$K$10001,0)),"")</f>
        <v/>
      </c>
    </row>
    <row r="3054">
      <c r="A3054">
        <f>IFERROR(INDEX('Email Cleaner'!$B$2:$B$10001,MATCH(3053,'Email Cleaner'!$K$2:$K$10001,0)),"")</f>
        <v/>
      </c>
    </row>
    <row r="3055">
      <c r="A3055">
        <f>IFERROR(INDEX('Email Cleaner'!$B$2:$B$10001,MATCH(3054,'Email Cleaner'!$K$2:$K$10001,0)),"")</f>
        <v/>
      </c>
    </row>
    <row r="3056">
      <c r="A3056">
        <f>IFERROR(INDEX('Email Cleaner'!$B$2:$B$10001,MATCH(3055,'Email Cleaner'!$K$2:$K$10001,0)),"")</f>
        <v/>
      </c>
    </row>
    <row r="3057">
      <c r="A3057">
        <f>IFERROR(INDEX('Email Cleaner'!$B$2:$B$10001,MATCH(3056,'Email Cleaner'!$K$2:$K$10001,0)),"")</f>
        <v/>
      </c>
    </row>
    <row r="3058">
      <c r="A3058">
        <f>IFERROR(INDEX('Email Cleaner'!$B$2:$B$10001,MATCH(3057,'Email Cleaner'!$K$2:$K$10001,0)),"")</f>
        <v/>
      </c>
    </row>
    <row r="3059">
      <c r="A3059">
        <f>IFERROR(INDEX('Email Cleaner'!$B$2:$B$10001,MATCH(3058,'Email Cleaner'!$K$2:$K$10001,0)),"")</f>
        <v/>
      </c>
    </row>
    <row r="3060">
      <c r="A3060">
        <f>IFERROR(INDEX('Email Cleaner'!$B$2:$B$10001,MATCH(3059,'Email Cleaner'!$K$2:$K$10001,0)),"")</f>
        <v/>
      </c>
    </row>
    <row r="3061">
      <c r="A3061">
        <f>IFERROR(INDEX('Email Cleaner'!$B$2:$B$10001,MATCH(3060,'Email Cleaner'!$K$2:$K$10001,0)),"")</f>
        <v/>
      </c>
    </row>
    <row r="3062">
      <c r="A3062">
        <f>IFERROR(INDEX('Email Cleaner'!$B$2:$B$10001,MATCH(3061,'Email Cleaner'!$K$2:$K$10001,0)),"")</f>
        <v/>
      </c>
    </row>
    <row r="3063">
      <c r="A3063">
        <f>IFERROR(INDEX('Email Cleaner'!$B$2:$B$10001,MATCH(3062,'Email Cleaner'!$K$2:$K$10001,0)),"")</f>
        <v/>
      </c>
    </row>
    <row r="3064">
      <c r="A3064">
        <f>IFERROR(INDEX('Email Cleaner'!$B$2:$B$10001,MATCH(3063,'Email Cleaner'!$K$2:$K$10001,0)),"")</f>
        <v/>
      </c>
    </row>
    <row r="3065">
      <c r="A3065">
        <f>IFERROR(INDEX('Email Cleaner'!$B$2:$B$10001,MATCH(3064,'Email Cleaner'!$K$2:$K$10001,0)),"")</f>
        <v/>
      </c>
    </row>
    <row r="3066">
      <c r="A3066">
        <f>IFERROR(INDEX('Email Cleaner'!$B$2:$B$10001,MATCH(3065,'Email Cleaner'!$K$2:$K$10001,0)),"")</f>
        <v/>
      </c>
    </row>
    <row r="3067">
      <c r="A3067">
        <f>IFERROR(INDEX('Email Cleaner'!$B$2:$B$10001,MATCH(3066,'Email Cleaner'!$K$2:$K$10001,0)),"")</f>
        <v/>
      </c>
    </row>
    <row r="3068">
      <c r="A3068">
        <f>IFERROR(INDEX('Email Cleaner'!$B$2:$B$10001,MATCH(3067,'Email Cleaner'!$K$2:$K$10001,0)),"")</f>
        <v/>
      </c>
    </row>
    <row r="3069">
      <c r="A3069">
        <f>IFERROR(INDEX('Email Cleaner'!$B$2:$B$10001,MATCH(3068,'Email Cleaner'!$K$2:$K$10001,0)),"")</f>
        <v/>
      </c>
    </row>
    <row r="3070">
      <c r="A3070">
        <f>IFERROR(INDEX('Email Cleaner'!$B$2:$B$10001,MATCH(3069,'Email Cleaner'!$K$2:$K$10001,0)),"")</f>
        <v/>
      </c>
    </row>
    <row r="3071">
      <c r="A3071">
        <f>IFERROR(INDEX('Email Cleaner'!$B$2:$B$10001,MATCH(3070,'Email Cleaner'!$K$2:$K$10001,0)),"")</f>
        <v/>
      </c>
    </row>
    <row r="3072">
      <c r="A3072">
        <f>IFERROR(INDEX('Email Cleaner'!$B$2:$B$10001,MATCH(3071,'Email Cleaner'!$K$2:$K$10001,0)),"")</f>
        <v/>
      </c>
    </row>
    <row r="3073">
      <c r="A3073">
        <f>IFERROR(INDEX('Email Cleaner'!$B$2:$B$10001,MATCH(3072,'Email Cleaner'!$K$2:$K$10001,0)),"")</f>
        <v/>
      </c>
    </row>
    <row r="3074">
      <c r="A3074">
        <f>IFERROR(INDEX('Email Cleaner'!$B$2:$B$10001,MATCH(3073,'Email Cleaner'!$K$2:$K$10001,0)),"")</f>
        <v/>
      </c>
    </row>
    <row r="3075">
      <c r="A3075">
        <f>IFERROR(INDEX('Email Cleaner'!$B$2:$B$10001,MATCH(3074,'Email Cleaner'!$K$2:$K$10001,0)),"")</f>
        <v/>
      </c>
    </row>
    <row r="3076">
      <c r="A3076">
        <f>IFERROR(INDEX('Email Cleaner'!$B$2:$B$10001,MATCH(3075,'Email Cleaner'!$K$2:$K$10001,0)),"")</f>
        <v/>
      </c>
    </row>
    <row r="3077">
      <c r="A3077">
        <f>IFERROR(INDEX('Email Cleaner'!$B$2:$B$10001,MATCH(3076,'Email Cleaner'!$K$2:$K$10001,0)),"")</f>
        <v/>
      </c>
    </row>
    <row r="3078">
      <c r="A3078">
        <f>IFERROR(INDEX('Email Cleaner'!$B$2:$B$10001,MATCH(3077,'Email Cleaner'!$K$2:$K$10001,0)),"")</f>
        <v/>
      </c>
    </row>
    <row r="3079">
      <c r="A3079">
        <f>IFERROR(INDEX('Email Cleaner'!$B$2:$B$10001,MATCH(3078,'Email Cleaner'!$K$2:$K$10001,0)),"")</f>
        <v/>
      </c>
    </row>
    <row r="3080">
      <c r="A3080">
        <f>IFERROR(INDEX('Email Cleaner'!$B$2:$B$10001,MATCH(3079,'Email Cleaner'!$K$2:$K$10001,0)),"")</f>
        <v/>
      </c>
    </row>
    <row r="3081">
      <c r="A3081">
        <f>IFERROR(INDEX('Email Cleaner'!$B$2:$B$10001,MATCH(3080,'Email Cleaner'!$K$2:$K$10001,0)),"")</f>
        <v/>
      </c>
    </row>
    <row r="3082">
      <c r="A3082">
        <f>IFERROR(INDEX('Email Cleaner'!$B$2:$B$10001,MATCH(3081,'Email Cleaner'!$K$2:$K$10001,0)),"")</f>
        <v/>
      </c>
    </row>
    <row r="3083">
      <c r="A3083">
        <f>IFERROR(INDEX('Email Cleaner'!$B$2:$B$10001,MATCH(3082,'Email Cleaner'!$K$2:$K$10001,0)),"")</f>
        <v/>
      </c>
    </row>
    <row r="3084">
      <c r="A3084">
        <f>IFERROR(INDEX('Email Cleaner'!$B$2:$B$10001,MATCH(3083,'Email Cleaner'!$K$2:$K$10001,0)),"")</f>
        <v/>
      </c>
    </row>
    <row r="3085">
      <c r="A3085">
        <f>IFERROR(INDEX('Email Cleaner'!$B$2:$B$10001,MATCH(3084,'Email Cleaner'!$K$2:$K$10001,0)),"")</f>
        <v/>
      </c>
    </row>
    <row r="3086">
      <c r="A3086">
        <f>IFERROR(INDEX('Email Cleaner'!$B$2:$B$10001,MATCH(3085,'Email Cleaner'!$K$2:$K$10001,0)),"")</f>
        <v/>
      </c>
    </row>
    <row r="3087">
      <c r="A3087">
        <f>IFERROR(INDEX('Email Cleaner'!$B$2:$B$10001,MATCH(3086,'Email Cleaner'!$K$2:$K$10001,0)),"")</f>
        <v/>
      </c>
    </row>
    <row r="3088">
      <c r="A3088">
        <f>IFERROR(INDEX('Email Cleaner'!$B$2:$B$10001,MATCH(3087,'Email Cleaner'!$K$2:$K$10001,0)),"")</f>
        <v/>
      </c>
    </row>
    <row r="3089">
      <c r="A3089">
        <f>IFERROR(INDEX('Email Cleaner'!$B$2:$B$10001,MATCH(3088,'Email Cleaner'!$K$2:$K$10001,0)),"")</f>
        <v/>
      </c>
    </row>
    <row r="3090">
      <c r="A3090">
        <f>IFERROR(INDEX('Email Cleaner'!$B$2:$B$10001,MATCH(3089,'Email Cleaner'!$K$2:$K$10001,0)),"")</f>
        <v/>
      </c>
    </row>
    <row r="3091">
      <c r="A3091">
        <f>IFERROR(INDEX('Email Cleaner'!$B$2:$B$10001,MATCH(3090,'Email Cleaner'!$K$2:$K$10001,0)),"")</f>
        <v/>
      </c>
    </row>
    <row r="3092">
      <c r="A3092">
        <f>IFERROR(INDEX('Email Cleaner'!$B$2:$B$10001,MATCH(3091,'Email Cleaner'!$K$2:$K$10001,0)),"")</f>
        <v/>
      </c>
    </row>
    <row r="3093">
      <c r="A3093">
        <f>IFERROR(INDEX('Email Cleaner'!$B$2:$B$10001,MATCH(3092,'Email Cleaner'!$K$2:$K$10001,0)),"")</f>
        <v/>
      </c>
    </row>
    <row r="3094">
      <c r="A3094">
        <f>IFERROR(INDEX('Email Cleaner'!$B$2:$B$10001,MATCH(3093,'Email Cleaner'!$K$2:$K$10001,0)),"")</f>
        <v/>
      </c>
    </row>
    <row r="3095">
      <c r="A3095">
        <f>IFERROR(INDEX('Email Cleaner'!$B$2:$B$10001,MATCH(3094,'Email Cleaner'!$K$2:$K$10001,0)),"")</f>
        <v/>
      </c>
    </row>
    <row r="3096">
      <c r="A3096">
        <f>IFERROR(INDEX('Email Cleaner'!$B$2:$B$10001,MATCH(3095,'Email Cleaner'!$K$2:$K$10001,0)),"")</f>
        <v/>
      </c>
    </row>
    <row r="3097">
      <c r="A3097">
        <f>IFERROR(INDEX('Email Cleaner'!$B$2:$B$10001,MATCH(3096,'Email Cleaner'!$K$2:$K$10001,0)),"")</f>
        <v/>
      </c>
    </row>
    <row r="3098">
      <c r="A3098">
        <f>IFERROR(INDEX('Email Cleaner'!$B$2:$B$10001,MATCH(3097,'Email Cleaner'!$K$2:$K$10001,0)),"")</f>
        <v/>
      </c>
    </row>
    <row r="3099">
      <c r="A3099">
        <f>IFERROR(INDEX('Email Cleaner'!$B$2:$B$10001,MATCH(3098,'Email Cleaner'!$K$2:$K$10001,0)),"")</f>
        <v/>
      </c>
    </row>
    <row r="3100">
      <c r="A3100">
        <f>IFERROR(INDEX('Email Cleaner'!$B$2:$B$10001,MATCH(3099,'Email Cleaner'!$K$2:$K$10001,0)),"")</f>
        <v/>
      </c>
    </row>
    <row r="3101">
      <c r="A3101">
        <f>IFERROR(INDEX('Email Cleaner'!$B$2:$B$10001,MATCH(3100,'Email Cleaner'!$K$2:$K$10001,0)),"")</f>
        <v/>
      </c>
    </row>
    <row r="3102">
      <c r="A3102">
        <f>IFERROR(INDEX('Email Cleaner'!$B$2:$B$10001,MATCH(3101,'Email Cleaner'!$K$2:$K$10001,0)),"")</f>
        <v/>
      </c>
    </row>
    <row r="3103">
      <c r="A3103">
        <f>IFERROR(INDEX('Email Cleaner'!$B$2:$B$10001,MATCH(3102,'Email Cleaner'!$K$2:$K$10001,0)),"")</f>
        <v/>
      </c>
    </row>
    <row r="3104">
      <c r="A3104">
        <f>IFERROR(INDEX('Email Cleaner'!$B$2:$B$10001,MATCH(3103,'Email Cleaner'!$K$2:$K$10001,0)),"")</f>
        <v/>
      </c>
    </row>
    <row r="3105">
      <c r="A3105">
        <f>IFERROR(INDEX('Email Cleaner'!$B$2:$B$10001,MATCH(3104,'Email Cleaner'!$K$2:$K$10001,0)),"")</f>
        <v/>
      </c>
    </row>
    <row r="3106">
      <c r="A3106">
        <f>IFERROR(INDEX('Email Cleaner'!$B$2:$B$10001,MATCH(3105,'Email Cleaner'!$K$2:$K$10001,0)),"")</f>
        <v/>
      </c>
    </row>
    <row r="3107">
      <c r="A3107">
        <f>IFERROR(INDEX('Email Cleaner'!$B$2:$B$10001,MATCH(3106,'Email Cleaner'!$K$2:$K$10001,0)),"")</f>
        <v/>
      </c>
    </row>
    <row r="3108">
      <c r="A3108">
        <f>IFERROR(INDEX('Email Cleaner'!$B$2:$B$10001,MATCH(3107,'Email Cleaner'!$K$2:$K$10001,0)),"")</f>
        <v/>
      </c>
    </row>
    <row r="3109">
      <c r="A3109">
        <f>IFERROR(INDEX('Email Cleaner'!$B$2:$B$10001,MATCH(3108,'Email Cleaner'!$K$2:$K$10001,0)),"")</f>
        <v/>
      </c>
    </row>
    <row r="3110">
      <c r="A3110">
        <f>IFERROR(INDEX('Email Cleaner'!$B$2:$B$10001,MATCH(3109,'Email Cleaner'!$K$2:$K$10001,0)),"")</f>
        <v/>
      </c>
    </row>
    <row r="3111">
      <c r="A3111">
        <f>IFERROR(INDEX('Email Cleaner'!$B$2:$B$10001,MATCH(3110,'Email Cleaner'!$K$2:$K$10001,0)),"")</f>
        <v/>
      </c>
    </row>
    <row r="3112">
      <c r="A3112">
        <f>IFERROR(INDEX('Email Cleaner'!$B$2:$B$10001,MATCH(3111,'Email Cleaner'!$K$2:$K$10001,0)),"")</f>
        <v/>
      </c>
    </row>
    <row r="3113">
      <c r="A3113">
        <f>IFERROR(INDEX('Email Cleaner'!$B$2:$B$10001,MATCH(3112,'Email Cleaner'!$K$2:$K$10001,0)),"")</f>
        <v/>
      </c>
    </row>
    <row r="3114">
      <c r="A3114">
        <f>IFERROR(INDEX('Email Cleaner'!$B$2:$B$10001,MATCH(3113,'Email Cleaner'!$K$2:$K$10001,0)),"")</f>
        <v/>
      </c>
    </row>
    <row r="3115">
      <c r="A3115">
        <f>IFERROR(INDEX('Email Cleaner'!$B$2:$B$10001,MATCH(3114,'Email Cleaner'!$K$2:$K$10001,0)),"")</f>
        <v/>
      </c>
    </row>
    <row r="3116">
      <c r="A3116">
        <f>IFERROR(INDEX('Email Cleaner'!$B$2:$B$10001,MATCH(3115,'Email Cleaner'!$K$2:$K$10001,0)),"")</f>
        <v/>
      </c>
    </row>
    <row r="3117">
      <c r="A3117">
        <f>IFERROR(INDEX('Email Cleaner'!$B$2:$B$10001,MATCH(3116,'Email Cleaner'!$K$2:$K$10001,0)),"")</f>
        <v/>
      </c>
    </row>
    <row r="3118">
      <c r="A3118">
        <f>IFERROR(INDEX('Email Cleaner'!$B$2:$B$10001,MATCH(3117,'Email Cleaner'!$K$2:$K$10001,0)),"")</f>
        <v/>
      </c>
    </row>
    <row r="3119">
      <c r="A3119">
        <f>IFERROR(INDEX('Email Cleaner'!$B$2:$B$10001,MATCH(3118,'Email Cleaner'!$K$2:$K$10001,0)),"")</f>
        <v/>
      </c>
    </row>
    <row r="3120">
      <c r="A3120">
        <f>IFERROR(INDEX('Email Cleaner'!$B$2:$B$10001,MATCH(3119,'Email Cleaner'!$K$2:$K$10001,0)),"")</f>
        <v/>
      </c>
    </row>
    <row r="3121">
      <c r="A3121">
        <f>IFERROR(INDEX('Email Cleaner'!$B$2:$B$10001,MATCH(3120,'Email Cleaner'!$K$2:$K$10001,0)),"")</f>
        <v/>
      </c>
    </row>
    <row r="3122">
      <c r="A3122">
        <f>IFERROR(INDEX('Email Cleaner'!$B$2:$B$10001,MATCH(3121,'Email Cleaner'!$K$2:$K$10001,0)),"")</f>
        <v/>
      </c>
    </row>
    <row r="3123">
      <c r="A3123">
        <f>IFERROR(INDEX('Email Cleaner'!$B$2:$B$10001,MATCH(3122,'Email Cleaner'!$K$2:$K$10001,0)),"")</f>
        <v/>
      </c>
    </row>
    <row r="3124">
      <c r="A3124">
        <f>IFERROR(INDEX('Email Cleaner'!$B$2:$B$10001,MATCH(3123,'Email Cleaner'!$K$2:$K$10001,0)),"")</f>
        <v/>
      </c>
    </row>
    <row r="3125">
      <c r="A3125">
        <f>IFERROR(INDEX('Email Cleaner'!$B$2:$B$10001,MATCH(3124,'Email Cleaner'!$K$2:$K$10001,0)),"")</f>
        <v/>
      </c>
    </row>
    <row r="3126">
      <c r="A3126">
        <f>IFERROR(INDEX('Email Cleaner'!$B$2:$B$10001,MATCH(3125,'Email Cleaner'!$K$2:$K$10001,0)),"")</f>
        <v/>
      </c>
    </row>
    <row r="3127">
      <c r="A3127">
        <f>IFERROR(INDEX('Email Cleaner'!$B$2:$B$10001,MATCH(3126,'Email Cleaner'!$K$2:$K$10001,0)),"")</f>
        <v/>
      </c>
    </row>
    <row r="3128">
      <c r="A3128">
        <f>IFERROR(INDEX('Email Cleaner'!$B$2:$B$10001,MATCH(3127,'Email Cleaner'!$K$2:$K$10001,0)),"")</f>
        <v/>
      </c>
    </row>
    <row r="3129">
      <c r="A3129">
        <f>IFERROR(INDEX('Email Cleaner'!$B$2:$B$10001,MATCH(3128,'Email Cleaner'!$K$2:$K$10001,0)),"")</f>
        <v/>
      </c>
    </row>
    <row r="3130">
      <c r="A3130">
        <f>IFERROR(INDEX('Email Cleaner'!$B$2:$B$10001,MATCH(3129,'Email Cleaner'!$K$2:$K$10001,0)),"")</f>
        <v/>
      </c>
    </row>
    <row r="3131">
      <c r="A3131">
        <f>IFERROR(INDEX('Email Cleaner'!$B$2:$B$10001,MATCH(3130,'Email Cleaner'!$K$2:$K$10001,0)),"")</f>
        <v/>
      </c>
    </row>
    <row r="3132">
      <c r="A3132">
        <f>IFERROR(INDEX('Email Cleaner'!$B$2:$B$10001,MATCH(3131,'Email Cleaner'!$K$2:$K$10001,0)),"")</f>
        <v/>
      </c>
    </row>
    <row r="3133">
      <c r="A3133">
        <f>IFERROR(INDEX('Email Cleaner'!$B$2:$B$10001,MATCH(3132,'Email Cleaner'!$K$2:$K$10001,0)),"")</f>
        <v/>
      </c>
    </row>
    <row r="3134">
      <c r="A3134">
        <f>IFERROR(INDEX('Email Cleaner'!$B$2:$B$10001,MATCH(3133,'Email Cleaner'!$K$2:$K$10001,0)),"")</f>
        <v/>
      </c>
    </row>
    <row r="3135">
      <c r="A3135">
        <f>IFERROR(INDEX('Email Cleaner'!$B$2:$B$10001,MATCH(3134,'Email Cleaner'!$K$2:$K$10001,0)),"")</f>
        <v/>
      </c>
    </row>
    <row r="3136">
      <c r="A3136">
        <f>IFERROR(INDEX('Email Cleaner'!$B$2:$B$10001,MATCH(3135,'Email Cleaner'!$K$2:$K$10001,0)),"")</f>
        <v/>
      </c>
    </row>
    <row r="3137">
      <c r="A3137">
        <f>IFERROR(INDEX('Email Cleaner'!$B$2:$B$10001,MATCH(3136,'Email Cleaner'!$K$2:$K$10001,0)),"")</f>
        <v/>
      </c>
    </row>
    <row r="3138">
      <c r="A3138">
        <f>IFERROR(INDEX('Email Cleaner'!$B$2:$B$10001,MATCH(3137,'Email Cleaner'!$K$2:$K$10001,0)),"")</f>
        <v/>
      </c>
    </row>
    <row r="3139">
      <c r="A3139">
        <f>IFERROR(INDEX('Email Cleaner'!$B$2:$B$10001,MATCH(3138,'Email Cleaner'!$K$2:$K$10001,0)),"")</f>
        <v/>
      </c>
    </row>
    <row r="3140">
      <c r="A3140">
        <f>IFERROR(INDEX('Email Cleaner'!$B$2:$B$10001,MATCH(3139,'Email Cleaner'!$K$2:$K$10001,0)),"")</f>
        <v/>
      </c>
    </row>
    <row r="3141">
      <c r="A3141">
        <f>IFERROR(INDEX('Email Cleaner'!$B$2:$B$10001,MATCH(3140,'Email Cleaner'!$K$2:$K$10001,0)),"")</f>
        <v/>
      </c>
    </row>
    <row r="3142">
      <c r="A3142">
        <f>IFERROR(INDEX('Email Cleaner'!$B$2:$B$10001,MATCH(3141,'Email Cleaner'!$K$2:$K$10001,0)),"")</f>
        <v/>
      </c>
    </row>
    <row r="3143">
      <c r="A3143">
        <f>IFERROR(INDEX('Email Cleaner'!$B$2:$B$10001,MATCH(3142,'Email Cleaner'!$K$2:$K$10001,0)),"")</f>
        <v/>
      </c>
    </row>
    <row r="3144">
      <c r="A3144">
        <f>IFERROR(INDEX('Email Cleaner'!$B$2:$B$10001,MATCH(3143,'Email Cleaner'!$K$2:$K$10001,0)),"")</f>
        <v/>
      </c>
    </row>
    <row r="3145">
      <c r="A3145">
        <f>IFERROR(INDEX('Email Cleaner'!$B$2:$B$10001,MATCH(3144,'Email Cleaner'!$K$2:$K$10001,0)),"")</f>
        <v/>
      </c>
    </row>
    <row r="3146">
      <c r="A3146">
        <f>IFERROR(INDEX('Email Cleaner'!$B$2:$B$10001,MATCH(3145,'Email Cleaner'!$K$2:$K$10001,0)),"")</f>
        <v/>
      </c>
    </row>
    <row r="3147">
      <c r="A3147">
        <f>IFERROR(INDEX('Email Cleaner'!$B$2:$B$10001,MATCH(3146,'Email Cleaner'!$K$2:$K$10001,0)),"")</f>
        <v/>
      </c>
    </row>
    <row r="3148">
      <c r="A3148">
        <f>IFERROR(INDEX('Email Cleaner'!$B$2:$B$10001,MATCH(3147,'Email Cleaner'!$K$2:$K$10001,0)),"")</f>
        <v/>
      </c>
    </row>
    <row r="3149">
      <c r="A3149">
        <f>IFERROR(INDEX('Email Cleaner'!$B$2:$B$10001,MATCH(3148,'Email Cleaner'!$K$2:$K$10001,0)),"")</f>
        <v/>
      </c>
    </row>
    <row r="3150">
      <c r="A3150">
        <f>IFERROR(INDEX('Email Cleaner'!$B$2:$B$10001,MATCH(3149,'Email Cleaner'!$K$2:$K$10001,0)),"")</f>
        <v/>
      </c>
    </row>
    <row r="3151">
      <c r="A3151">
        <f>IFERROR(INDEX('Email Cleaner'!$B$2:$B$10001,MATCH(3150,'Email Cleaner'!$K$2:$K$10001,0)),"")</f>
        <v/>
      </c>
    </row>
    <row r="3152">
      <c r="A3152">
        <f>IFERROR(INDEX('Email Cleaner'!$B$2:$B$10001,MATCH(3151,'Email Cleaner'!$K$2:$K$10001,0)),"")</f>
        <v/>
      </c>
    </row>
    <row r="3153">
      <c r="A3153">
        <f>IFERROR(INDEX('Email Cleaner'!$B$2:$B$10001,MATCH(3152,'Email Cleaner'!$K$2:$K$10001,0)),"")</f>
        <v/>
      </c>
    </row>
    <row r="3154">
      <c r="A3154">
        <f>IFERROR(INDEX('Email Cleaner'!$B$2:$B$10001,MATCH(3153,'Email Cleaner'!$K$2:$K$10001,0)),"")</f>
        <v/>
      </c>
    </row>
    <row r="3155">
      <c r="A3155">
        <f>IFERROR(INDEX('Email Cleaner'!$B$2:$B$10001,MATCH(3154,'Email Cleaner'!$K$2:$K$10001,0)),"")</f>
        <v/>
      </c>
    </row>
    <row r="3156">
      <c r="A3156">
        <f>IFERROR(INDEX('Email Cleaner'!$B$2:$B$10001,MATCH(3155,'Email Cleaner'!$K$2:$K$10001,0)),"")</f>
        <v/>
      </c>
    </row>
    <row r="3157">
      <c r="A3157">
        <f>IFERROR(INDEX('Email Cleaner'!$B$2:$B$10001,MATCH(3156,'Email Cleaner'!$K$2:$K$10001,0)),"")</f>
        <v/>
      </c>
    </row>
    <row r="3158">
      <c r="A3158">
        <f>IFERROR(INDEX('Email Cleaner'!$B$2:$B$10001,MATCH(3157,'Email Cleaner'!$K$2:$K$10001,0)),"")</f>
        <v/>
      </c>
    </row>
    <row r="3159">
      <c r="A3159">
        <f>IFERROR(INDEX('Email Cleaner'!$B$2:$B$10001,MATCH(3158,'Email Cleaner'!$K$2:$K$10001,0)),"")</f>
        <v/>
      </c>
    </row>
    <row r="3160">
      <c r="A3160">
        <f>IFERROR(INDEX('Email Cleaner'!$B$2:$B$10001,MATCH(3159,'Email Cleaner'!$K$2:$K$10001,0)),"")</f>
        <v/>
      </c>
    </row>
    <row r="3161">
      <c r="A3161">
        <f>IFERROR(INDEX('Email Cleaner'!$B$2:$B$10001,MATCH(3160,'Email Cleaner'!$K$2:$K$10001,0)),"")</f>
        <v/>
      </c>
    </row>
    <row r="3162">
      <c r="A3162">
        <f>IFERROR(INDEX('Email Cleaner'!$B$2:$B$10001,MATCH(3161,'Email Cleaner'!$K$2:$K$10001,0)),"")</f>
        <v/>
      </c>
    </row>
    <row r="3163">
      <c r="A3163">
        <f>IFERROR(INDEX('Email Cleaner'!$B$2:$B$10001,MATCH(3162,'Email Cleaner'!$K$2:$K$10001,0)),"")</f>
        <v/>
      </c>
    </row>
    <row r="3164">
      <c r="A3164">
        <f>IFERROR(INDEX('Email Cleaner'!$B$2:$B$10001,MATCH(3163,'Email Cleaner'!$K$2:$K$10001,0)),"")</f>
        <v/>
      </c>
    </row>
    <row r="3165">
      <c r="A3165">
        <f>IFERROR(INDEX('Email Cleaner'!$B$2:$B$10001,MATCH(3164,'Email Cleaner'!$K$2:$K$10001,0)),"")</f>
        <v/>
      </c>
    </row>
    <row r="3166">
      <c r="A3166">
        <f>IFERROR(INDEX('Email Cleaner'!$B$2:$B$10001,MATCH(3165,'Email Cleaner'!$K$2:$K$10001,0)),"")</f>
        <v/>
      </c>
    </row>
    <row r="3167">
      <c r="A3167">
        <f>IFERROR(INDEX('Email Cleaner'!$B$2:$B$10001,MATCH(3166,'Email Cleaner'!$K$2:$K$10001,0)),"")</f>
        <v/>
      </c>
    </row>
    <row r="3168">
      <c r="A3168">
        <f>IFERROR(INDEX('Email Cleaner'!$B$2:$B$10001,MATCH(3167,'Email Cleaner'!$K$2:$K$10001,0)),"")</f>
        <v/>
      </c>
    </row>
    <row r="3169">
      <c r="A3169">
        <f>IFERROR(INDEX('Email Cleaner'!$B$2:$B$10001,MATCH(3168,'Email Cleaner'!$K$2:$K$10001,0)),"")</f>
        <v/>
      </c>
    </row>
    <row r="3170">
      <c r="A3170">
        <f>IFERROR(INDEX('Email Cleaner'!$B$2:$B$10001,MATCH(3169,'Email Cleaner'!$K$2:$K$10001,0)),"")</f>
        <v/>
      </c>
    </row>
    <row r="3171">
      <c r="A3171">
        <f>IFERROR(INDEX('Email Cleaner'!$B$2:$B$10001,MATCH(3170,'Email Cleaner'!$K$2:$K$10001,0)),"")</f>
        <v/>
      </c>
    </row>
    <row r="3172">
      <c r="A3172">
        <f>IFERROR(INDEX('Email Cleaner'!$B$2:$B$10001,MATCH(3171,'Email Cleaner'!$K$2:$K$10001,0)),"")</f>
        <v/>
      </c>
    </row>
    <row r="3173">
      <c r="A3173">
        <f>IFERROR(INDEX('Email Cleaner'!$B$2:$B$10001,MATCH(3172,'Email Cleaner'!$K$2:$K$10001,0)),"")</f>
        <v/>
      </c>
    </row>
    <row r="3174">
      <c r="A3174">
        <f>IFERROR(INDEX('Email Cleaner'!$B$2:$B$10001,MATCH(3173,'Email Cleaner'!$K$2:$K$10001,0)),"")</f>
        <v/>
      </c>
    </row>
    <row r="3175">
      <c r="A3175">
        <f>IFERROR(INDEX('Email Cleaner'!$B$2:$B$10001,MATCH(3174,'Email Cleaner'!$K$2:$K$10001,0)),"")</f>
        <v/>
      </c>
    </row>
    <row r="3176">
      <c r="A3176">
        <f>IFERROR(INDEX('Email Cleaner'!$B$2:$B$10001,MATCH(3175,'Email Cleaner'!$K$2:$K$10001,0)),"")</f>
        <v/>
      </c>
    </row>
    <row r="3177">
      <c r="A3177">
        <f>IFERROR(INDEX('Email Cleaner'!$B$2:$B$10001,MATCH(3176,'Email Cleaner'!$K$2:$K$10001,0)),"")</f>
        <v/>
      </c>
    </row>
    <row r="3178">
      <c r="A3178">
        <f>IFERROR(INDEX('Email Cleaner'!$B$2:$B$10001,MATCH(3177,'Email Cleaner'!$K$2:$K$10001,0)),"")</f>
        <v/>
      </c>
    </row>
    <row r="3179">
      <c r="A3179">
        <f>IFERROR(INDEX('Email Cleaner'!$B$2:$B$10001,MATCH(3178,'Email Cleaner'!$K$2:$K$10001,0)),"")</f>
        <v/>
      </c>
    </row>
    <row r="3180">
      <c r="A3180">
        <f>IFERROR(INDEX('Email Cleaner'!$B$2:$B$10001,MATCH(3179,'Email Cleaner'!$K$2:$K$10001,0)),"")</f>
        <v/>
      </c>
    </row>
    <row r="3181">
      <c r="A3181">
        <f>IFERROR(INDEX('Email Cleaner'!$B$2:$B$10001,MATCH(3180,'Email Cleaner'!$K$2:$K$10001,0)),"")</f>
        <v/>
      </c>
    </row>
    <row r="3182">
      <c r="A3182">
        <f>IFERROR(INDEX('Email Cleaner'!$B$2:$B$10001,MATCH(3181,'Email Cleaner'!$K$2:$K$10001,0)),"")</f>
        <v/>
      </c>
    </row>
    <row r="3183">
      <c r="A3183">
        <f>IFERROR(INDEX('Email Cleaner'!$B$2:$B$10001,MATCH(3182,'Email Cleaner'!$K$2:$K$10001,0)),"")</f>
        <v/>
      </c>
    </row>
    <row r="3184">
      <c r="A3184">
        <f>IFERROR(INDEX('Email Cleaner'!$B$2:$B$10001,MATCH(3183,'Email Cleaner'!$K$2:$K$10001,0)),"")</f>
        <v/>
      </c>
    </row>
    <row r="3185">
      <c r="A3185">
        <f>IFERROR(INDEX('Email Cleaner'!$B$2:$B$10001,MATCH(3184,'Email Cleaner'!$K$2:$K$10001,0)),"")</f>
        <v/>
      </c>
    </row>
    <row r="3186">
      <c r="A3186">
        <f>IFERROR(INDEX('Email Cleaner'!$B$2:$B$10001,MATCH(3185,'Email Cleaner'!$K$2:$K$10001,0)),"")</f>
        <v/>
      </c>
    </row>
    <row r="3187">
      <c r="A3187">
        <f>IFERROR(INDEX('Email Cleaner'!$B$2:$B$10001,MATCH(3186,'Email Cleaner'!$K$2:$K$10001,0)),"")</f>
        <v/>
      </c>
    </row>
    <row r="3188">
      <c r="A3188">
        <f>IFERROR(INDEX('Email Cleaner'!$B$2:$B$10001,MATCH(3187,'Email Cleaner'!$K$2:$K$10001,0)),"")</f>
        <v/>
      </c>
    </row>
    <row r="3189">
      <c r="A3189">
        <f>IFERROR(INDEX('Email Cleaner'!$B$2:$B$10001,MATCH(3188,'Email Cleaner'!$K$2:$K$10001,0)),"")</f>
        <v/>
      </c>
    </row>
    <row r="3190">
      <c r="A3190">
        <f>IFERROR(INDEX('Email Cleaner'!$B$2:$B$10001,MATCH(3189,'Email Cleaner'!$K$2:$K$10001,0)),"")</f>
        <v/>
      </c>
    </row>
    <row r="3191">
      <c r="A3191">
        <f>IFERROR(INDEX('Email Cleaner'!$B$2:$B$10001,MATCH(3190,'Email Cleaner'!$K$2:$K$10001,0)),"")</f>
        <v/>
      </c>
    </row>
    <row r="3192">
      <c r="A3192">
        <f>IFERROR(INDEX('Email Cleaner'!$B$2:$B$10001,MATCH(3191,'Email Cleaner'!$K$2:$K$10001,0)),"")</f>
        <v/>
      </c>
    </row>
    <row r="3193">
      <c r="A3193">
        <f>IFERROR(INDEX('Email Cleaner'!$B$2:$B$10001,MATCH(3192,'Email Cleaner'!$K$2:$K$10001,0)),"")</f>
        <v/>
      </c>
    </row>
    <row r="3194">
      <c r="A3194">
        <f>IFERROR(INDEX('Email Cleaner'!$B$2:$B$10001,MATCH(3193,'Email Cleaner'!$K$2:$K$10001,0)),"")</f>
        <v/>
      </c>
    </row>
    <row r="3195">
      <c r="A3195">
        <f>IFERROR(INDEX('Email Cleaner'!$B$2:$B$10001,MATCH(3194,'Email Cleaner'!$K$2:$K$10001,0)),"")</f>
        <v/>
      </c>
    </row>
    <row r="3196">
      <c r="A3196">
        <f>IFERROR(INDEX('Email Cleaner'!$B$2:$B$10001,MATCH(3195,'Email Cleaner'!$K$2:$K$10001,0)),"")</f>
        <v/>
      </c>
    </row>
    <row r="3197">
      <c r="A3197">
        <f>IFERROR(INDEX('Email Cleaner'!$B$2:$B$10001,MATCH(3196,'Email Cleaner'!$K$2:$K$10001,0)),"")</f>
        <v/>
      </c>
    </row>
    <row r="3198">
      <c r="A3198">
        <f>IFERROR(INDEX('Email Cleaner'!$B$2:$B$10001,MATCH(3197,'Email Cleaner'!$K$2:$K$10001,0)),"")</f>
        <v/>
      </c>
    </row>
    <row r="3199">
      <c r="A3199">
        <f>IFERROR(INDEX('Email Cleaner'!$B$2:$B$10001,MATCH(3198,'Email Cleaner'!$K$2:$K$10001,0)),"")</f>
        <v/>
      </c>
    </row>
    <row r="3200">
      <c r="A3200">
        <f>IFERROR(INDEX('Email Cleaner'!$B$2:$B$10001,MATCH(3199,'Email Cleaner'!$K$2:$K$10001,0)),"")</f>
        <v/>
      </c>
    </row>
    <row r="3201">
      <c r="A3201">
        <f>IFERROR(INDEX('Email Cleaner'!$B$2:$B$10001,MATCH(3200,'Email Cleaner'!$K$2:$K$10001,0)),"")</f>
        <v/>
      </c>
    </row>
    <row r="3202">
      <c r="A3202">
        <f>IFERROR(INDEX('Email Cleaner'!$B$2:$B$10001,MATCH(3201,'Email Cleaner'!$K$2:$K$10001,0)),"")</f>
        <v/>
      </c>
    </row>
    <row r="3203">
      <c r="A3203">
        <f>IFERROR(INDEX('Email Cleaner'!$B$2:$B$10001,MATCH(3202,'Email Cleaner'!$K$2:$K$10001,0)),"")</f>
        <v/>
      </c>
    </row>
    <row r="3204">
      <c r="A3204">
        <f>IFERROR(INDEX('Email Cleaner'!$B$2:$B$10001,MATCH(3203,'Email Cleaner'!$K$2:$K$10001,0)),"")</f>
        <v/>
      </c>
    </row>
    <row r="3205">
      <c r="A3205">
        <f>IFERROR(INDEX('Email Cleaner'!$B$2:$B$10001,MATCH(3204,'Email Cleaner'!$K$2:$K$10001,0)),"")</f>
        <v/>
      </c>
    </row>
    <row r="3206">
      <c r="A3206">
        <f>IFERROR(INDEX('Email Cleaner'!$B$2:$B$10001,MATCH(3205,'Email Cleaner'!$K$2:$K$10001,0)),"")</f>
        <v/>
      </c>
    </row>
    <row r="3207">
      <c r="A3207">
        <f>IFERROR(INDEX('Email Cleaner'!$B$2:$B$10001,MATCH(3206,'Email Cleaner'!$K$2:$K$10001,0)),"")</f>
        <v/>
      </c>
    </row>
    <row r="3208">
      <c r="A3208">
        <f>IFERROR(INDEX('Email Cleaner'!$B$2:$B$10001,MATCH(3207,'Email Cleaner'!$K$2:$K$10001,0)),"")</f>
        <v/>
      </c>
    </row>
    <row r="3209">
      <c r="A3209">
        <f>IFERROR(INDEX('Email Cleaner'!$B$2:$B$10001,MATCH(3208,'Email Cleaner'!$K$2:$K$10001,0)),"")</f>
        <v/>
      </c>
    </row>
    <row r="3210">
      <c r="A3210">
        <f>IFERROR(INDEX('Email Cleaner'!$B$2:$B$10001,MATCH(3209,'Email Cleaner'!$K$2:$K$10001,0)),"")</f>
        <v/>
      </c>
    </row>
    <row r="3211">
      <c r="A3211">
        <f>IFERROR(INDEX('Email Cleaner'!$B$2:$B$10001,MATCH(3210,'Email Cleaner'!$K$2:$K$10001,0)),"")</f>
        <v/>
      </c>
    </row>
    <row r="3212">
      <c r="A3212">
        <f>IFERROR(INDEX('Email Cleaner'!$B$2:$B$10001,MATCH(3211,'Email Cleaner'!$K$2:$K$10001,0)),"")</f>
        <v/>
      </c>
    </row>
    <row r="3213">
      <c r="A3213">
        <f>IFERROR(INDEX('Email Cleaner'!$B$2:$B$10001,MATCH(3212,'Email Cleaner'!$K$2:$K$10001,0)),"")</f>
        <v/>
      </c>
    </row>
    <row r="3214">
      <c r="A3214">
        <f>IFERROR(INDEX('Email Cleaner'!$B$2:$B$10001,MATCH(3213,'Email Cleaner'!$K$2:$K$10001,0)),"")</f>
        <v/>
      </c>
    </row>
    <row r="3215">
      <c r="A3215">
        <f>IFERROR(INDEX('Email Cleaner'!$B$2:$B$10001,MATCH(3214,'Email Cleaner'!$K$2:$K$10001,0)),"")</f>
        <v/>
      </c>
    </row>
    <row r="3216">
      <c r="A3216">
        <f>IFERROR(INDEX('Email Cleaner'!$B$2:$B$10001,MATCH(3215,'Email Cleaner'!$K$2:$K$10001,0)),"")</f>
        <v/>
      </c>
    </row>
    <row r="3217">
      <c r="A3217">
        <f>IFERROR(INDEX('Email Cleaner'!$B$2:$B$10001,MATCH(3216,'Email Cleaner'!$K$2:$K$10001,0)),"")</f>
        <v/>
      </c>
    </row>
    <row r="3218">
      <c r="A3218">
        <f>IFERROR(INDEX('Email Cleaner'!$B$2:$B$10001,MATCH(3217,'Email Cleaner'!$K$2:$K$10001,0)),"")</f>
        <v/>
      </c>
    </row>
    <row r="3219">
      <c r="A3219">
        <f>IFERROR(INDEX('Email Cleaner'!$B$2:$B$10001,MATCH(3218,'Email Cleaner'!$K$2:$K$10001,0)),"")</f>
        <v/>
      </c>
    </row>
    <row r="3220">
      <c r="A3220">
        <f>IFERROR(INDEX('Email Cleaner'!$B$2:$B$10001,MATCH(3219,'Email Cleaner'!$K$2:$K$10001,0)),"")</f>
        <v/>
      </c>
    </row>
    <row r="3221">
      <c r="A3221">
        <f>IFERROR(INDEX('Email Cleaner'!$B$2:$B$10001,MATCH(3220,'Email Cleaner'!$K$2:$K$10001,0)),"")</f>
        <v/>
      </c>
    </row>
    <row r="3222">
      <c r="A3222">
        <f>IFERROR(INDEX('Email Cleaner'!$B$2:$B$10001,MATCH(3221,'Email Cleaner'!$K$2:$K$10001,0)),"")</f>
        <v/>
      </c>
    </row>
    <row r="3223">
      <c r="A3223">
        <f>IFERROR(INDEX('Email Cleaner'!$B$2:$B$10001,MATCH(3222,'Email Cleaner'!$K$2:$K$10001,0)),"")</f>
        <v/>
      </c>
    </row>
    <row r="3224">
      <c r="A3224">
        <f>IFERROR(INDEX('Email Cleaner'!$B$2:$B$10001,MATCH(3223,'Email Cleaner'!$K$2:$K$10001,0)),"")</f>
        <v/>
      </c>
    </row>
    <row r="3225">
      <c r="A3225">
        <f>IFERROR(INDEX('Email Cleaner'!$B$2:$B$10001,MATCH(3224,'Email Cleaner'!$K$2:$K$10001,0)),"")</f>
        <v/>
      </c>
    </row>
    <row r="3226">
      <c r="A3226">
        <f>IFERROR(INDEX('Email Cleaner'!$B$2:$B$10001,MATCH(3225,'Email Cleaner'!$K$2:$K$10001,0)),"")</f>
        <v/>
      </c>
    </row>
    <row r="3227">
      <c r="A3227">
        <f>IFERROR(INDEX('Email Cleaner'!$B$2:$B$10001,MATCH(3226,'Email Cleaner'!$K$2:$K$10001,0)),"")</f>
        <v/>
      </c>
    </row>
    <row r="3228">
      <c r="A3228">
        <f>IFERROR(INDEX('Email Cleaner'!$B$2:$B$10001,MATCH(3227,'Email Cleaner'!$K$2:$K$10001,0)),"")</f>
        <v/>
      </c>
    </row>
    <row r="3229">
      <c r="A3229">
        <f>IFERROR(INDEX('Email Cleaner'!$B$2:$B$10001,MATCH(3228,'Email Cleaner'!$K$2:$K$10001,0)),"")</f>
        <v/>
      </c>
    </row>
    <row r="3230">
      <c r="A3230">
        <f>IFERROR(INDEX('Email Cleaner'!$B$2:$B$10001,MATCH(3229,'Email Cleaner'!$K$2:$K$10001,0)),"")</f>
        <v/>
      </c>
    </row>
    <row r="3231">
      <c r="A3231">
        <f>IFERROR(INDEX('Email Cleaner'!$B$2:$B$10001,MATCH(3230,'Email Cleaner'!$K$2:$K$10001,0)),"")</f>
        <v/>
      </c>
    </row>
    <row r="3232">
      <c r="A3232">
        <f>IFERROR(INDEX('Email Cleaner'!$B$2:$B$10001,MATCH(3231,'Email Cleaner'!$K$2:$K$10001,0)),"")</f>
        <v/>
      </c>
    </row>
    <row r="3233">
      <c r="A3233">
        <f>IFERROR(INDEX('Email Cleaner'!$B$2:$B$10001,MATCH(3232,'Email Cleaner'!$K$2:$K$10001,0)),"")</f>
        <v/>
      </c>
    </row>
    <row r="3234">
      <c r="A3234">
        <f>IFERROR(INDEX('Email Cleaner'!$B$2:$B$10001,MATCH(3233,'Email Cleaner'!$K$2:$K$10001,0)),"")</f>
        <v/>
      </c>
    </row>
    <row r="3235">
      <c r="A3235">
        <f>IFERROR(INDEX('Email Cleaner'!$B$2:$B$10001,MATCH(3234,'Email Cleaner'!$K$2:$K$10001,0)),"")</f>
        <v/>
      </c>
    </row>
    <row r="3236">
      <c r="A3236">
        <f>IFERROR(INDEX('Email Cleaner'!$B$2:$B$10001,MATCH(3235,'Email Cleaner'!$K$2:$K$10001,0)),"")</f>
        <v/>
      </c>
    </row>
    <row r="3237">
      <c r="A3237">
        <f>IFERROR(INDEX('Email Cleaner'!$B$2:$B$10001,MATCH(3236,'Email Cleaner'!$K$2:$K$10001,0)),"")</f>
        <v/>
      </c>
    </row>
    <row r="3238">
      <c r="A3238">
        <f>IFERROR(INDEX('Email Cleaner'!$B$2:$B$10001,MATCH(3237,'Email Cleaner'!$K$2:$K$10001,0)),"")</f>
        <v/>
      </c>
    </row>
    <row r="3239">
      <c r="A3239">
        <f>IFERROR(INDEX('Email Cleaner'!$B$2:$B$10001,MATCH(3238,'Email Cleaner'!$K$2:$K$10001,0)),"")</f>
        <v/>
      </c>
    </row>
    <row r="3240">
      <c r="A3240">
        <f>IFERROR(INDEX('Email Cleaner'!$B$2:$B$10001,MATCH(3239,'Email Cleaner'!$K$2:$K$10001,0)),"")</f>
        <v/>
      </c>
    </row>
    <row r="3241">
      <c r="A3241">
        <f>IFERROR(INDEX('Email Cleaner'!$B$2:$B$10001,MATCH(3240,'Email Cleaner'!$K$2:$K$10001,0)),"")</f>
        <v/>
      </c>
    </row>
    <row r="3242">
      <c r="A3242">
        <f>IFERROR(INDEX('Email Cleaner'!$B$2:$B$10001,MATCH(3241,'Email Cleaner'!$K$2:$K$10001,0)),"")</f>
        <v/>
      </c>
    </row>
    <row r="3243">
      <c r="A3243">
        <f>IFERROR(INDEX('Email Cleaner'!$B$2:$B$10001,MATCH(3242,'Email Cleaner'!$K$2:$K$10001,0)),"")</f>
        <v/>
      </c>
    </row>
    <row r="3244">
      <c r="A3244">
        <f>IFERROR(INDEX('Email Cleaner'!$B$2:$B$10001,MATCH(3243,'Email Cleaner'!$K$2:$K$10001,0)),"")</f>
        <v/>
      </c>
    </row>
    <row r="3245">
      <c r="A3245">
        <f>IFERROR(INDEX('Email Cleaner'!$B$2:$B$10001,MATCH(3244,'Email Cleaner'!$K$2:$K$10001,0)),"")</f>
        <v/>
      </c>
    </row>
    <row r="3246">
      <c r="A3246">
        <f>IFERROR(INDEX('Email Cleaner'!$B$2:$B$10001,MATCH(3245,'Email Cleaner'!$K$2:$K$10001,0)),"")</f>
        <v/>
      </c>
    </row>
    <row r="3247">
      <c r="A3247">
        <f>IFERROR(INDEX('Email Cleaner'!$B$2:$B$10001,MATCH(3246,'Email Cleaner'!$K$2:$K$10001,0)),"")</f>
        <v/>
      </c>
    </row>
    <row r="3248">
      <c r="A3248">
        <f>IFERROR(INDEX('Email Cleaner'!$B$2:$B$10001,MATCH(3247,'Email Cleaner'!$K$2:$K$10001,0)),"")</f>
        <v/>
      </c>
    </row>
    <row r="3249">
      <c r="A3249">
        <f>IFERROR(INDEX('Email Cleaner'!$B$2:$B$10001,MATCH(3248,'Email Cleaner'!$K$2:$K$10001,0)),"")</f>
        <v/>
      </c>
    </row>
    <row r="3250">
      <c r="A3250">
        <f>IFERROR(INDEX('Email Cleaner'!$B$2:$B$10001,MATCH(3249,'Email Cleaner'!$K$2:$K$10001,0)),"")</f>
        <v/>
      </c>
    </row>
    <row r="3251">
      <c r="A3251">
        <f>IFERROR(INDEX('Email Cleaner'!$B$2:$B$10001,MATCH(3250,'Email Cleaner'!$K$2:$K$10001,0)),"")</f>
        <v/>
      </c>
    </row>
    <row r="3252">
      <c r="A3252">
        <f>IFERROR(INDEX('Email Cleaner'!$B$2:$B$10001,MATCH(3251,'Email Cleaner'!$K$2:$K$10001,0)),"")</f>
        <v/>
      </c>
    </row>
    <row r="3253">
      <c r="A3253">
        <f>IFERROR(INDEX('Email Cleaner'!$B$2:$B$10001,MATCH(3252,'Email Cleaner'!$K$2:$K$10001,0)),"")</f>
        <v/>
      </c>
    </row>
    <row r="3254">
      <c r="A3254">
        <f>IFERROR(INDEX('Email Cleaner'!$B$2:$B$10001,MATCH(3253,'Email Cleaner'!$K$2:$K$10001,0)),"")</f>
        <v/>
      </c>
    </row>
    <row r="3255">
      <c r="A3255">
        <f>IFERROR(INDEX('Email Cleaner'!$B$2:$B$10001,MATCH(3254,'Email Cleaner'!$K$2:$K$10001,0)),"")</f>
        <v/>
      </c>
    </row>
    <row r="3256">
      <c r="A3256">
        <f>IFERROR(INDEX('Email Cleaner'!$B$2:$B$10001,MATCH(3255,'Email Cleaner'!$K$2:$K$10001,0)),"")</f>
        <v/>
      </c>
    </row>
    <row r="3257">
      <c r="A3257">
        <f>IFERROR(INDEX('Email Cleaner'!$B$2:$B$10001,MATCH(3256,'Email Cleaner'!$K$2:$K$10001,0)),"")</f>
        <v/>
      </c>
    </row>
    <row r="3258">
      <c r="A3258">
        <f>IFERROR(INDEX('Email Cleaner'!$B$2:$B$10001,MATCH(3257,'Email Cleaner'!$K$2:$K$10001,0)),"")</f>
        <v/>
      </c>
    </row>
    <row r="3259">
      <c r="A3259">
        <f>IFERROR(INDEX('Email Cleaner'!$B$2:$B$10001,MATCH(3258,'Email Cleaner'!$K$2:$K$10001,0)),"")</f>
        <v/>
      </c>
    </row>
    <row r="3260">
      <c r="A3260">
        <f>IFERROR(INDEX('Email Cleaner'!$B$2:$B$10001,MATCH(3259,'Email Cleaner'!$K$2:$K$10001,0)),"")</f>
        <v/>
      </c>
    </row>
    <row r="3261">
      <c r="A3261">
        <f>IFERROR(INDEX('Email Cleaner'!$B$2:$B$10001,MATCH(3260,'Email Cleaner'!$K$2:$K$10001,0)),"")</f>
        <v/>
      </c>
    </row>
    <row r="3262">
      <c r="A3262">
        <f>IFERROR(INDEX('Email Cleaner'!$B$2:$B$10001,MATCH(3261,'Email Cleaner'!$K$2:$K$10001,0)),"")</f>
        <v/>
      </c>
    </row>
    <row r="3263">
      <c r="A3263">
        <f>IFERROR(INDEX('Email Cleaner'!$B$2:$B$10001,MATCH(3262,'Email Cleaner'!$K$2:$K$10001,0)),"")</f>
        <v/>
      </c>
    </row>
    <row r="3264">
      <c r="A3264">
        <f>IFERROR(INDEX('Email Cleaner'!$B$2:$B$10001,MATCH(3263,'Email Cleaner'!$K$2:$K$10001,0)),"")</f>
        <v/>
      </c>
    </row>
    <row r="3265">
      <c r="A3265">
        <f>IFERROR(INDEX('Email Cleaner'!$B$2:$B$10001,MATCH(3264,'Email Cleaner'!$K$2:$K$10001,0)),"")</f>
        <v/>
      </c>
    </row>
    <row r="3266">
      <c r="A3266">
        <f>IFERROR(INDEX('Email Cleaner'!$B$2:$B$10001,MATCH(3265,'Email Cleaner'!$K$2:$K$10001,0)),"")</f>
        <v/>
      </c>
    </row>
    <row r="3267">
      <c r="A3267">
        <f>IFERROR(INDEX('Email Cleaner'!$B$2:$B$10001,MATCH(3266,'Email Cleaner'!$K$2:$K$10001,0)),"")</f>
        <v/>
      </c>
    </row>
    <row r="3268">
      <c r="A3268">
        <f>IFERROR(INDEX('Email Cleaner'!$B$2:$B$10001,MATCH(3267,'Email Cleaner'!$K$2:$K$10001,0)),"")</f>
        <v/>
      </c>
    </row>
    <row r="3269">
      <c r="A3269">
        <f>IFERROR(INDEX('Email Cleaner'!$B$2:$B$10001,MATCH(3268,'Email Cleaner'!$K$2:$K$10001,0)),"")</f>
        <v/>
      </c>
    </row>
    <row r="3270">
      <c r="A3270">
        <f>IFERROR(INDEX('Email Cleaner'!$B$2:$B$10001,MATCH(3269,'Email Cleaner'!$K$2:$K$10001,0)),"")</f>
        <v/>
      </c>
    </row>
    <row r="3271">
      <c r="A3271">
        <f>IFERROR(INDEX('Email Cleaner'!$B$2:$B$10001,MATCH(3270,'Email Cleaner'!$K$2:$K$10001,0)),"")</f>
        <v/>
      </c>
    </row>
    <row r="3272">
      <c r="A3272">
        <f>IFERROR(INDEX('Email Cleaner'!$B$2:$B$10001,MATCH(3271,'Email Cleaner'!$K$2:$K$10001,0)),"")</f>
        <v/>
      </c>
    </row>
    <row r="3273">
      <c r="A3273">
        <f>IFERROR(INDEX('Email Cleaner'!$B$2:$B$10001,MATCH(3272,'Email Cleaner'!$K$2:$K$10001,0)),"")</f>
        <v/>
      </c>
    </row>
    <row r="3274">
      <c r="A3274">
        <f>IFERROR(INDEX('Email Cleaner'!$B$2:$B$10001,MATCH(3273,'Email Cleaner'!$K$2:$K$10001,0)),"")</f>
        <v/>
      </c>
    </row>
    <row r="3275">
      <c r="A3275">
        <f>IFERROR(INDEX('Email Cleaner'!$B$2:$B$10001,MATCH(3274,'Email Cleaner'!$K$2:$K$10001,0)),"")</f>
        <v/>
      </c>
    </row>
    <row r="3276">
      <c r="A3276">
        <f>IFERROR(INDEX('Email Cleaner'!$B$2:$B$10001,MATCH(3275,'Email Cleaner'!$K$2:$K$10001,0)),"")</f>
        <v/>
      </c>
    </row>
    <row r="3277">
      <c r="A3277">
        <f>IFERROR(INDEX('Email Cleaner'!$B$2:$B$10001,MATCH(3276,'Email Cleaner'!$K$2:$K$10001,0)),"")</f>
        <v/>
      </c>
    </row>
    <row r="3278">
      <c r="A3278">
        <f>IFERROR(INDEX('Email Cleaner'!$B$2:$B$10001,MATCH(3277,'Email Cleaner'!$K$2:$K$10001,0)),"")</f>
        <v/>
      </c>
    </row>
    <row r="3279">
      <c r="A3279">
        <f>IFERROR(INDEX('Email Cleaner'!$B$2:$B$10001,MATCH(3278,'Email Cleaner'!$K$2:$K$10001,0)),"")</f>
        <v/>
      </c>
    </row>
    <row r="3280">
      <c r="A3280">
        <f>IFERROR(INDEX('Email Cleaner'!$B$2:$B$10001,MATCH(3279,'Email Cleaner'!$K$2:$K$10001,0)),"")</f>
        <v/>
      </c>
    </row>
    <row r="3281">
      <c r="A3281">
        <f>IFERROR(INDEX('Email Cleaner'!$B$2:$B$10001,MATCH(3280,'Email Cleaner'!$K$2:$K$10001,0)),"")</f>
        <v/>
      </c>
    </row>
    <row r="3282">
      <c r="A3282">
        <f>IFERROR(INDEX('Email Cleaner'!$B$2:$B$10001,MATCH(3281,'Email Cleaner'!$K$2:$K$10001,0)),"")</f>
        <v/>
      </c>
    </row>
    <row r="3283">
      <c r="A3283">
        <f>IFERROR(INDEX('Email Cleaner'!$B$2:$B$10001,MATCH(3282,'Email Cleaner'!$K$2:$K$10001,0)),"")</f>
        <v/>
      </c>
    </row>
    <row r="3284">
      <c r="A3284">
        <f>IFERROR(INDEX('Email Cleaner'!$B$2:$B$10001,MATCH(3283,'Email Cleaner'!$K$2:$K$10001,0)),"")</f>
        <v/>
      </c>
    </row>
    <row r="3285">
      <c r="A3285">
        <f>IFERROR(INDEX('Email Cleaner'!$B$2:$B$10001,MATCH(3284,'Email Cleaner'!$K$2:$K$10001,0)),"")</f>
        <v/>
      </c>
    </row>
    <row r="3286">
      <c r="A3286">
        <f>IFERROR(INDEX('Email Cleaner'!$B$2:$B$10001,MATCH(3285,'Email Cleaner'!$K$2:$K$10001,0)),"")</f>
        <v/>
      </c>
    </row>
    <row r="3287">
      <c r="A3287">
        <f>IFERROR(INDEX('Email Cleaner'!$B$2:$B$10001,MATCH(3286,'Email Cleaner'!$K$2:$K$10001,0)),"")</f>
        <v/>
      </c>
    </row>
    <row r="3288">
      <c r="A3288">
        <f>IFERROR(INDEX('Email Cleaner'!$B$2:$B$10001,MATCH(3287,'Email Cleaner'!$K$2:$K$10001,0)),"")</f>
        <v/>
      </c>
    </row>
    <row r="3289">
      <c r="A3289">
        <f>IFERROR(INDEX('Email Cleaner'!$B$2:$B$10001,MATCH(3288,'Email Cleaner'!$K$2:$K$10001,0)),"")</f>
        <v/>
      </c>
    </row>
    <row r="3290">
      <c r="A3290">
        <f>IFERROR(INDEX('Email Cleaner'!$B$2:$B$10001,MATCH(3289,'Email Cleaner'!$K$2:$K$10001,0)),"")</f>
        <v/>
      </c>
    </row>
    <row r="3291">
      <c r="A3291">
        <f>IFERROR(INDEX('Email Cleaner'!$B$2:$B$10001,MATCH(3290,'Email Cleaner'!$K$2:$K$10001,0)),"")</f>
        <v/>
      </c>
    </row>
    <row r="3292">
      <c r="A3292">
        <f>IFERROR(INDEX('Email Cleaner'!$B$2:$B$10001,MATCH(3291,'Email Cleaner'!$K$2:$K$10001,0)),"")</f>
        <v/>
      </c>
    </row>
    <row r="3293">
      <c r="A3293">
        <f>IFERROR(INDEX('Email Cleaner'!$B$2:$B$10001,MATCH(3292,'Email Cleaner'!$K$2:$K$10001,0)),"")</f>
        <v/>
      </c>
    </row>
    <row r="3294">
      <c r="A3294">
        <f>IFERROR(INDEX('Email Cleaner'!$B$2:$B$10001,MATCH(3293,'Email Cleaner'!$K$2:$K$10001,0)),"")</f>
        <v/>
      </c>
    </row>
    <row r="3295">
      <c r="A3295">
        <f>IFERROR(INDEX('Email Cleaner'!$B$2:$B$10001,MATCH(3294,'Email Cleaner'!$K$2:$K$10001,0)),"")</f>
        <v/>
      </c>
    </row>
    <row r="3296">
      <c r="A3296">
        <f>IFERROR(INDEX('Email Cleaner'!$B$2:$B$10001,MATCH(3295,'Email Cleaner'!$K$2:$K$10001,0)),"")</f>
        <v/>
      </c>
    </row>
    <row r="3297">
      <c r="A3297">
        <f>IFERROR(INDEX('Email Cleaner'!$B$2:$B$10001,MATCH(3296,'Email Cleaner'!$K$2:$K$10001,0)),"")</f>
        <v/>
      </c>
    </row>
    <row r="3298">
      <c r="A3298">
        <f>IFERROR(INDEX('Email Cleaner'!$B$2:$B$10001,MATCH(3297,'Email Cleaner'!$K$2:$K$10001,0)),"")</f>
        <v/>
      </c>
    </row>
    <row r="3299">
      <c r="A3299">
        <f>IFERROR(INDEX('Email Cleaner'!$B$2:$B$10001,MATCH(3298,'Email Cleaner'!$K$2:$K$10001,0)),"")</f>
        <v/>
      </c>
    </row>
    <row r="3300">
      <c r="A3300">
        <f>IFERROR(INDEX('Email Cleaner'!$B$2:$B$10001,MATCH(3299,'Email Cleaner'!$K$2:$K$10001,0)),"")</f>
        <v/>
      </c>
    </row>
    <row r="3301">
      <c r="A3301">
        <f>IFERROR(INDEX('Email Cleaner'!$B$2:$B$10001,MATCH(3300,'Email Cleaner'!$K$2:$K$10001,0)),"")</f>
        <v/>
      </c>
    </row>
    <row r="3302">
      <c r="A3302">
        <f>IFERROR(INDEX('Email Cleaner'!$B$2:$B$10001,MATCH(3301,'Email Cleaner'!$K$2:$K$10001,0)),"")</f>
        <v/>
      </c>
    </row>
    <row r="3303">
      <c r="A3303">
        <f>IFERROR(INDEX('Email Cleaner'!$B$2:$B$10001,MATCH(3302,'Email Cleaner'!$K$2:$K$10001,0)),"")</f>
        <v/>
      </c>
    </row>
    <row r="3304">
      <c r="A3304">
        <f>IFERROR(INDEX('Email Cleaner'!$B$2:$B$10001,MATCH(3303,'Email Cleaner'!$K$2:$K$10001,0)),"")</f>
        <v/>
      </c>
    </row>
    <row r="3305">
      <c r="A3305">
        <f>IFERROR(INDEX('Email Cleaner'!$B$2:$B$10001,MATCH(3304,'Email Cleaner'!$K$2:$K$10001,0)),"")</f>
        <v/>
      </c>
    </row>
    <row r="3306">
      <c r="A3306">
        <f>IFERROR(INDEX('Email Cleaner'!$B$2:$B$10001,MATCH(3305,'Email Cleaner'!$K$2:$K$10001,0)),"")</f>
        <v/>
      </c>
    </row>
    <row r="3307">
      <c r="A3307">
        <f>IFERROR(INDEX('Email Cleaner'!$B$2:$B$10001,MATCH(3306,'Email Cleaner'!$K$2:$K$10001,0)),"")</f>
        <v/>
      </c>
    </row>
    <row r="3308">
      <c r="A3308">
        <f>IFERROR(INDEX('Email Cleaner'!$B$2:$B$10001,MATCH(3307,'Email Cleaner'!$K$2:$K$10001,0)),"")</f>
        <v/>
      </c>
    </row>
    <row r="3309">
      <c r="A3309">
        <f>IFERROR(INDEX('Email Cleaner'!$B$2:$B$10001,MATCH(3308,'Email Cleaner'!$K$2:$K$10001,0)),"")</f>
        <v/>
      </c>
    </row>
    <row r="3310">
      <c r="A3310">
        <f>IFERROR(INDEX('Email Cleaner'!$B$2:$B$10001,MATCH(3309,'Email Cleaner'!$K$2:$K$10001,0)),"")</f>
        <v/>
      </c>
    </row>
    <row r="3311">
      <c r="A3311">
        <f>IFERROR(INDEX('Email Cleaner'!$B$2:$B$10001,MATCH(3310,'Email Cleaner'!$K$2:$K$10001,0)),"")</f>
        <v/>
      </c>
    </row>
    <row r="3312">
      <c r="A3312">
        <f>IFERROR(INDEX('Email Cleaner'!$B$2:$B$10001,MATCH(3311,'Email Cleaner'!$K$2:$K$10001,0)),"")</f>
        <v/>
      </c>
    </row>
    <row r="3313">
      <c r="A3313">
        <f>IFERROR(INDEX('Email Cleaner'!$B$2:$B$10001,MATCH(3312,'Email Cleaner'!$K$2:$K$10001,0)),"")</f>
        <v/>
      </c>
    </row>
    <row r="3314">
      <c r="A3314">
        <f>IFERROR(INDEX('Email Cleaner'!$B$2:$B$10001,MATCH(3313,'Email Cleaner'!$K$2:$K$10001,0)),"")</f>
        <v/>
      </c>
    </row>
    <row r="3315">
      <c r="A3315">
        <f>IFERROR(INDEX('Email Cleaner'!$B$2:$B$10001,MATCH(3314,'Email Cleaner'!$K$2:$K$10001,0)),"")</f>
        <v/>
      </c>
    </row>
    <row r="3316">
      <c r="A3316">
        <f>IFERROR(INDEX('Email Cleaner'!$B$2:$B$10001,MATCH(3315,'Email Cleaner'!$K$2:$K$10001,0)),"")</f>
        <v/>
      </c>
    </row>
    <row r="3317">
      <c r="A3317">
        <f>IFERROR(INDEX('Email Cleaner'!$B$2:$B$10001,MATCH(3316,'Email Cleaner'!$K$2:$K$10001,0)),"")</f>
        <v/>
      </c>
    </row>
    <row r="3318">
      <c r="A3318">
        <f>IFERROR(INDEX('Email Cleaner'!$B$2:$B$10001,MATCH(3317,'Email Cleaner'!$K$2:$K$10001,0)),"")</f>
        <v/>
      </c>
    </row>
    <row r="3319">
      <c r="A3319">
        <f>IFERROR(INDEX('Email Cleaner'!$B$2:$B$10001,MATCH(3318,'Email Cleaner'!$K$2:$K$10001,0)),"")</f>
        <v/>
      </c>
    </row>
    <row r="3320">
      <c r="A3320">
        <f>IFERROR(INDEX('Email Cleaner'!$B$2:$B$10001,MATCH(3319,'Email Cleaner'!$K$2:$K$10001,0)),"")</f>
        <v/>
      </c>
    </row>
    <row r="3321">
      <c r="A3321">
        <f>IFERROR(INDEX('Email Cleaner'!$B$2:$B$10001,MATCH(3320,'Email Cleaner'!$K$2:$K$10001,0)),"")</f>
        <v/>
      </c>
    </row>
    <row r="3322">
      <c r="A3322">
        <f>IFERROR(INDEX('Email Cleaner'!$B$2:$B$10001,MATCH(3321,'Email Cleaner'!$K$2:$K$10001,0)),"")</f>
        <v/>
      </c>
    </row>
    <row r="3323">
      <c r="A3323">
        <f>IFERROR(INDEX('Email Cleaner'!$B$2:$B$10001,MATCH(3322,'Email Cleaner'!$K$2:$K$10001,0)),"")</f>
        <v/>
      </c>
    </row>
    <row r="3324">
      <c r="A3324">
        <f>IFERROR(INDEX('Email Cleaner'!$B$2:$B$10001,MATCH(3323,'Email Cleaner'!$K$2:$K$10001,0)),"")</f>
        <v/>
      </c>
    </row>
    <row r="3325">
      <c r="A3325">
        <f>IFERROR(INDEX('Email Cleaner'!$B$2:$B$10001,MATCH(3324,'Email Cleaner'!$K$2:$K$10001,0)),"")</f>
        <v/>
      </c>
    </row>
    <row r="3326">
      <c r="A3326">
        <f>IFERROR(INDEX('Email Cleaner'!$B$2:$B$10001,MATCH(3325,'Email Cleaner'!$K$2:$K$10001,0)),"")</f>
        <v/>
      </c>
    </row>
    <row r="3327">
      <c r="A3327">
        <f>IFERROR(INDEX('Email Cleaner'!$B$2:$B$10001,MATCH(3326,'Email Cleaner'!$K$2:$K$10001,0)),"")</f>
        <v/>
      </c>
    </row>
    <row r="3328">
      <c r="A3328">
        <f>IFERROR(INDEX('Email Cleaner'!$B$2:$B$10001,MATCH(3327,'Email Cleaner'!$K$2:$K$10001,0)),"")</f>
        <v/>
      </c>
    </row>
    <row r="3329">
      <c r="A3329">
        <f>IFERROR(INDEX('Email Cleaner'!$B$2:$B$10001,MATCH(3328,'Email Cleaner'!$K$2:$K$10001,0)),"")</f>
        <v/>
      </c>
    </row>
    <row r="3330">
      <c r="A3330">
        <f>IFERROR(INDEX('Email Cleaner'!$B$2:$B$10001,MATCH(3329,'Email Cleaner'!$K$2:$K$10001,0)),"")</f>
        <v/>
      </c>
    </row>
    <row r="3331">
      <c r="A3331">
        <f>IFERROR(INDEX('Email Cleaner'!$B$2:$B$10001,MATCH(3330,'Email Cleaner'!$K$2:$K$10001,0)),"")</f>
        <v/>
      </c>
    </row>
    <row r="3332">
      <c r="A3332">
        <f>IFERROR(INDEX('Email Cleaner'!$B$2:$B$10001,MATCH(3331,'Email Cleaner'!$K$2:$K$10001,0)),"")</f>
        <v/>
      </c>
    </row>
    <row r="3333">
      <c r="A3333">
        <f>IFERROR(INDEX('Email Cleaner'!$B$2:$B$10001,MATCH(3332,'Email Cleaner'!$K$2:$K$10001,0)),"")</f>
        <v/>
      </c>
    </row>
    <row r="3334">
      <c r="A3334">
        <f>IFERROR(INDEX('Email Cleaner'!$B$2:$B$10001,MATCH(3333,'Email Cleaner'!$K$2:$K$10001,0)),"")</f>
        <v/>
      </c>
    </row>
    <row r="3335">
      <c r="A3335">
        <f>IFERROR(INDEX('Email Cleaner'!$B$2:$B$10001,MATCH(3334,'Email Cleaner'!$K$2:$K$10001,0)),"")</f>
        <v/>
      </c>
    </row>
    <row r="3336">
      <c r="A3336">
        <f>IFERROR(INDEX('Email Cleaner'!$B$2:$B$10001,MATCH(3335,'Email Cleaner'!$K$2:$K$10001,0)),"")</f>
        <v/>
      </c>
    </row>
    <row r="3337">
      <c r="A3337">
        <f>IFERROR(INDEX('Email Cleaner'!$B$2:$B$10001,MATCH(3336,'Email Cleaner'!$K$2:$K$10001,0)),"")</f>
        <v/>
      </c>
    </row>
    <row r="3338">
      <c r="A3338">
        <f>IFERROR(INDEX('Email Cleaner'!$B$2:$B$10001,MATCH(3337,'Email Cleaner'!$K$2:$K$10001,0)),"")</f>
        <v/>
      </c>
    </row>
    <row r="3339">
      <c r="A3339">
        <f>IFERROR(INDEX('Email Cleaner'!$B$2:$B$10001,MATCH(3338,'Email Cleaner'!$K$2:$K$10001,0)),"")</f>
        <v/>
      </c>
    </row>
    <row r="3340">
      <c r="A3340">
        <f>IFERROR(INDEX('Email Cleaner'!$B$2:$B$10001,MATCH(3339,'Email Cleaner'!$K$2:$K$10001,0)),"")</f>
        <v/>
      </c>
    </row>
    <row r="3341">
      <c r="A3341">
        <f>IFERROR(INDEX('Email Cleaner'!$B$2:$B$10001,MATCH(3340,'Email Cleaner'!$K$2:$K$10001,0)),"")</f>
        <v/>
      </c>
    </row>
    <row r="3342">
      <c r="A3342">
        <f>IFERROR(INDEX('Email Cleaner'!$B$2:$B$10001,MATCH(3341,'Email Cleaner'!$K$2:$K$10001,0)),"")</f>
        <v/>
      </c>
    </row>
    <row r="3343">
      <c r="A3343">
        <f>IFERROR(INDEX('Email Cleaner'!$B$2:$B$10001,MATCH(3342,'Email Cleaner'!$K$2:$K$10001,0)),"")</f>
        <v/>
      </c>
    </row>
    <row r="3344">
      <c r="A3344">
        <f>IFERROR(INDEX('Email Cleaner'!$B$2:$B$10001,MATCH(3343,'Email Cleaner'!$K$2:$K$10001,0)),"")</f>
        <v/>
      </c>
    </row>
    <row r="3345">
      <c r="A3345">
        <f>IFERROR(INDEX('Email Cleaner'!$B$2:$B$10001,MATCH(3344,'Email Cleaner'!$K$2:$K$10001,0)),"")</f>
        <v/>
      </c>
    </row>
    <row r="3346">
      <c r="A3346">
        <f>IFERROR(INDEX('Email Cleaner'!$B$2:$B$10001,MATCH(3345,'Email Cleaner'!$K$2:$K$10001,0)),"")</f>
        <v/>
      </c>
    </row>
    <row r="3347">
      <c r="A3347">
        <f>IFERROR(INDEX('Email Cleaner'!$B$2:$B$10001,MATCH(3346,'Email Cleaner'!$K$2:$K$10001,0)),"")</f>
        <v/>
      </c>
    </row>
    <row r="3348">
      <c r="A3348">
        <f>IFERROR(INDEX('Email Cleaner'!$B$2:$B$10001,MATCH(3347,'Email Cleaner'!$K$2:$K$10001,0)),"")</f>
        <v/>
      </c>
    </row>
    <row r="3349">
      <c r="A3349">
        <f>IFERROR(INDEX('Email Cleaner'!$B$2:$B$10001,MATCH(3348,'Email Cleaner'!$K$2:$K$10001,0)),"")</f>
        <v/>
      </c>
    </row>
    <row r="3350">
      <c r="A3350">
        <f>IFERROR(INDEX('Email Cleaner'!$B$2:$B$10001,MATCH(3349,'Email Cleaner'!$K$2:$K$10001,0)),"")</f>
        <v/>
      </c>
    </row>
    <row r="3351">
      <c r="A3351">
        <f>IFERROR(INDEX('Email Cleaner'!$B$2:$B$10001,MATCH(3350,'Email Cleaner'!$K$2:$K$10001,0)),"")</f>
        <v/>
      </c>
    </row>
    <row r="3352">
      <c r="A3352">
        <f>IFERROR(INDEX('Email Cleaner'!$B$2:$B$10001,MATCH(3351,'Email Cleaner'!$K$2:$K$10001,0)),"")</f>
        <v/>
      </c>
    </row>
    <row r="3353">
      <c r="A3353">
        <f>IFERROR(INDEX('Email Cleaner'!$B$2:$B$10001,MATCH(3352,'Email Cleaner'!$K$2:$K$10001,0)),"")</f>
        <v/>
      </c>
    </row>
    <row r="3354">
      <c r="A3354">
        <f>IFERROR(INDEX('Email Cleaner'!$B$2:$B$10001,MATCH(3353,'Email Cleaner'!$K$2:$K$10001,0)),"")</f>
        <v/>
      </c>
    </row>
    <row r="3355">
      <c r="A3355">
        <f>IFERROR(INDEX('Email Cleaner'!$B$2:$B$10001,MATCH(3354,'Email Cleaner'!$K$2:$K$10001,0)),"")</f>
        <v/>
      </c>
    </row>
    <row r="3356">
      <c r="A3356">
        <f>IFERROR(INDEX('Email Cleaner'!$B$2:$B$10001,MATCH(3355,'Email Cleaner'!$K$2:$K$10001,0)),"")</f>
        <v/>
      </c>
    </row>
    <row r="3357">
      <c r="A3357">
        <f>IFERROR(INDEX('Email Cleaner'!$B$2:$B$10001,MATCH(3356,'Email Cleaner'!$K$2:$K$10001,0)),"")</f>
        <v/>
      </c>
    </row>
    <row r="3358">
      <c r="A3358">
        <f>IFERROR(INDEX('Email Cleaner'!$B$2:$B$10001,MATCH(3357,'Email Cleaner'!$K$2:$K$10001,0)),"")</f>
        <v/>
      </c>
    </row>
    <row r="3359">
      <c r="A3359">
        <f>IFERROR(INDEX('Email Cleaner'!$B$2:$B$10001,MATCH(3358,'Email Cleaner'!$K$2:$K$10001,0)),"")</f>
        <v/>
      </c>
    </row>
    <row r="3360">
      <c r="A3360">
        <f>IFERROR(INDEX('Email Cleaner'!$B$2:$B$10001,MATCH(3359,'Email Cleaner'!$K$2:$K$10001,0)),"")</f>
        <v/>
      </c>
    </row>
    <row r="3361">
      <c r="A3361">
        <f>IFERROR(INDEX('Email Cleaner'!$B$2:$B$10001,MATCH(3360,'Email Cleaner'!$K$2:$K$10001,0)),"")</f>
        <v/>
      </c>
    </row>
    <row r="3362">
      <c r="A3362">
        <f>IFERROR(INDEX('Email Cleaner'!$B$2:$B$10001,MATCH(3361,'Email Cleaner'!$K$2:$K$10001,0)),"")</f>
        <v/>
      </c>
    </row>
    <row r="3363">
      <c r="A3363">
        <f>IFERROR(INDEX('Email Cleaner'!$B$2:$B$10001,MATCH(3362,'Email Cleaner'!$K$2:$K$10001,0)),"")</f>
        <v/>
      </c>
    </row>
    <row r="3364">
      <c r="A3364">
        <f>IFERROR(INDEX('Email Cleaner'!$B$2:$B$10001,MATCH(3363,'Email Cleaner'!$K$2:$K$10001,0)),"")</f>
        <v/>
      </c>
    </row>
    <row r="3365">
      <c r="A3365">
        <f>IFERROR(INDEX('Email Cleaner'!$B$2:$B$10001,MATCH(3364,'Email Cleaner'!$K$2:$K$10001,0)),"")</f>
        <v/>
      </c>
    </row>
    <row r="3366">
      <c r="A3366">
        <f>IFERROR(INDEX('Email Cleaner'!$B$2:$B$10001,MATCH(3365,'Email Cleaner'!$K$2:$K$10001,0)),"")</f>
        <v/>
      </c>
    </row>
    <row r="3367">
      <c r="A3367">
        <f>IFERROR(INDEX('Email Cleaner'!$B$2:$B$10001,MATCH(3366,'Email Cleaner'!$K$2:$K$10001,0)),"")</f>
        <v/>
      </c>
    </row>
    <row r="3368">
      <c r="A3368">
        <f>IFERROR(INDEX('Email Cleaner'!$B$2:$B$10001,MATCH(3367,'Email Cleaner'!$K$2:$K$10001,0)),"")</f>
        <v/>
      </c>
    </row>
    <row r="3369">
      <c r="A3369">
        <f>IFERROR(INDEX('Email Cleaner'!$B$2:$B$10001,MATCH(3368,'Email Cleaner'!$K$2:$K$10001,0)),"")</f>
        <v/>
      </c>
    </row>
    <row r="3370">
      <c r="A3370">
        <f>IFERROR(INDEX('Email Cleaner'!$B$2:$B$10001,MATCH(3369,'Email Cleaner'!$K$2:$K$10001,0)),"")</f>
        <v/>
      </c>
    </row>
    <row r="3371">
      <c r="A3371">
        <f>IFERROR(INDEX('Email Cleaner'!$B$2:$B$10001,MATCH(3370,'Email Cleaner'!$K$2:$K$10001,0)),"")</f>
        <v/>
      </c>
    </row>
    <row r="3372">
      <c r="A3372">
        <f>IFERROR(INDEX('Email Cleaner'!$B$2:$B$10001,MATCH(3371,'Email Cleaner'!$K$2:$K$10001,0)),"")</f>
        <v/>
      </c>
    </row>
    <row r="3373">
      <c r="A3373">
        <f>IFERROR(INDEX('Email Cleaner'!$B$2:$B$10001,MATCH(3372,'Email Cleaner'!$K$2:$K$10001,0)),"")</f>
        <v/>
      </c>
    </row>
    <row r="3374">
      <c r="A3374">
        <f>IFERROR(INDEX('Email Cleaner'!$B$2:$B$10001,MATCH(3373,'Email Cleaner'!$K$2:$K$10001,0)),"")</f>
        <v/>
      </c>
    </row>
    <row r="3375">
      <c r="A3375">
        <f>IFERROR(INDEX('Email Cleaner'!$B$2:$B$10001,MATCH(3374,'Email Cleaner'!$K$2:$K$10001,0)),"")</f>
        <v/>
      </c>
    </row>
    <row r="3376">
      <c r="A3376">
        <f>IFERROR(INDEX('Email Cleaner'!$B$2:$B$10001,MATCH(3375,'Email Cleaner'!$K$2:$K$10001,0)),"")</f>
        <v/>
      </c>
    </row>
    <row r="3377">
      <c r="A3377">
        <f>IFERROR(INDEX('Email Cleaner'!$B$2:$B$10001,MATCH(3376,'Email Cleaner'!$K$2:$K$10001,0)),"")</f>
        <v/>
      </c>
    </row>
    <row r="3378">
      <c r="A3378">
        <f>IFERROR(INDEX('Email Cleaner'!$B$2:$B$10001,MATCH(3377,'Email Cleaner'!$K$2:$K$10001,0)),"")</f>
        <v/>
      </c>
    </row>
    <row r="3379">
      <c r="A3379">
        <f>IFERROR(INDEX('Email Cleaner'!$B$2:$B$10001,MATCH(3378,'Email Cleaner'!$K$2:$K$10001,0)),"")</f>
        <v/>
      </c>
    </row>
    <row r="3380">
      <c r="A3380">
        <f>IFERROR(INDEX('Email Cleaner'!$B$2:$B$10001,MATCH(3379,'Email Cleaner'!$K$2:$K$10001,0)),"")</f>
        <v/>
      </c>
    </row>
    <row r="3381">
      <c r="A3381">
        <f>IFERROR(INDEX('Email Cleaner'!$B$2:$B$10001,MATCH(3380,'Email Cleaner'!$K$2:$K$10001,0)),"")</f>
        <v/>
      </c>
    </row>
    <row r="3382">
      <c r="A3382">
        <f>IFERROR(INDEX('Email Cleaner'!$B$2:$B$10001,MATCH(3381,'Email Cleaner'!$K$2:$K$10001,0)),"")</f>
        <v/>
      </c>
    </row>
    <row r="3383">
      <c r="A3383">
        <f>IFERROR(INDEX('Email Cleaner'!$B$2:$B$10001,MATCH(3382,'Email Cleaner'!$K$2:$K$10001,0)),"")</f>
        <v/>
      </c>
    </row>
    <row r="3384">
      <c r="A3384">
        <f>IFERROR(INDEX('Email Cleaner'!$B$2:$B$10001,MATCH(3383,'Email Cleaner'!$K$2:$K$10001,0)),"")</f>
        <v/>
      </c>
    </row>
    <row r="3385">
      <c r="A3385">
        <f>IFERROR(INDEX('Email Cleaner'!$B$2:$B$10001,MATCH(3384,'Email Cleaner'!$K$2:$K$10001,0)),"")</f>
        <v/>
      </c>
    </row>
    <row r="3386">
      <c r="A3386">
        <f>IFERROR(INDEX('Email Cleaner'!$B$2:$B$10001,MATCH(3385,'Email Cleaner'!$K$2:$K$10001,0)),"")</f>
        <v/>
      </c>
    </row>
    <row r="3387">
      <c r="A3387">
        <f>IFERROR(INDEX('Email Cleaner'!$B$2:$B$10001,MATCH(3386,'Email Cleaner'!$K$2:$K$10001,0)),"")</f>
        <v/>
      </c>
    </row>
    <row r="3388">
      <c r="A3388">
        <f>IFERROR(INDEX('Email Cleaner'!$B$2:$B$10001,MATCH(3387,'Email Cleaner'!$K$2:$K$10001,0)),"")</f>
        <v/>
      </c>
    </row>
    <row r="3389">
      <c r="A3389">
        <f>IFERROR(INDEX('Email Cleaner'!$B$2:$B$10001,MATCH(3388,'Email Cleaner'!$K$2:$K$10001,0)),"")</f>
        <v/>
      </c>
    </row>
    <row r="3390">
      <c r="A3390">
        <f>IFERROR(INDEX('Email Cleaner'!$B$2:$B$10001,MATCH(3389,'Email Cleaner'!$K$2:$K$10001,0)),"")</f>
        <v/>
      </c>
    </row>
    <row r="3391">
      <c r="A3391">
        <f>IFERROR(INDEX('Email Cleaner'!$B$2:$B$10001,MATCH(3390,'Email Cleaner'!$K$2:$K$10001,0)),"")</f>
        <v/>
      </c>
    </row>
    <row r="3392">
      <c r="A3392">
        <f>IFERROR(INDEX('Email Cleaner'!$B$2:$B$10001,MATCH(3391,'Email Cleaner'!$K$2:$K$10001,0)),"")</f>
        <v/>
      </c>
    </row>
    <row r="3393">
      <c r="A3393">
        <f>IFERROR(INDEX('Email Cleaner'!$B$2:$B$10001,MATCH(3392,'Email Cleaner'!$K$2:$K$10001,0)),"")</f>
        <v/>
      </c>
    </row>
    <row r="3394">
      <c r="A3394">
        <f>IFERROR(INDEX('Email Cleaner'!$B$2:$B$10001,MATCH(3393,'Email Cleaner'!$K$2:$K$10001,0)),"")</f>
        <v/>
      </c>
    </row>
    <row r="3395">
      <c r="A3395">
        <f>IFERROR(INDEX('Email Cleaner'!$B$2:$B$10001,MATCH(3394,'Email Cleaner'!$K$2:$K$10001,0)),"")</f>
        <v/>
      </c>
    </row>
    <row r="3396">
      <c r="A3396">
        <f>IFERROR(INDEX('Email Cleaner'!$B$2:$B$10001,MATCH(3395,'Email Cleaner'!$K$2:$K$10001,0)),"")</f>
        <v/>
      </c>
    </row>
    <row r="3397">
      <c r="A3397">
        <f>IFERROR(INDEX('Email Cleaner'!$B$2:$B$10001,MATCH(3396,'Email Cleaner'!$K$2:$K$10001,0)),"")</f>
        <v/>
      </c>
    </row>
    <row r="3398">
      <c r="A3398">
        <f>IFERROR(INDEX('Email Cleaner'!$B$2:$B$10001,MATCH(3397,'Email Cleaner'!$K$2:$K$10001,0)),"")</f>
        <v/>
      </c>
    </row>
    <row r="3399">
      <c r="A3399">
        <f>IFERROR(INDEX('Email Cleaner'!$B$2:$B$10001,MATCH(3398,'Email Cleaner'!$K$2:$K$10001,0)),"")</f>
        <v/>
      </c>
    </row>
    <row r="3400">
      <c r="A3400">
        <f>IFERROR(INDEX('Email Cleaner'!$B$2:$B$10001,MATCH(3399,'Email Cleaner'!$K$2:$K$10001,0)),"")</f>
        <v/>
      </c>
    </row>
    <row r="3401">
      <c r="A3401">
        <f>IFERROR(INDEX('Email Cleaner'!$B$2:$B$10001,MATCH(3400,'Email Cleaner'!$K$2:$K$10001,0)),"")</f>
        <v/>
      </c>
    </row>
    <row r="3402">
      <c r="A3402">
        <f>IFERROR(INDEX('Email Cleaner'!$B$2:$B$10001,MATCH(3401,'Email Cleaner'!$K$2:$K$10001,0)),"")</f>
        <v/>
      </c>
    </row>
    <row r="3403">
      <c r="A3403">
        <f>IFERROR(INDEX('Email Cleaner'!$B$2:$B$10001,MATCH(3402,'Email Cleaner'!$K$2:$K$10001,0)),"")</f>
        <v/>
      </c>
    </row>
    <row r="3404">
      <c r="A3404">
        <f>IFERROR(INDEX('Email Cleaner'!$B$2:$B$10001,MATCH(3403,'Email Cleaner'!$K$2:$K$10001,0)),"")</f>
        <v/>
      </c>
    </row>
    <row r="3405">
      <c r="A3405">
        <f>IFERROR(INDEX('Email Cleaner'!$B$2:$B$10001,MATCH(3404,'Email Cleaner'!$K$2:$K$10001,0)),"")</f>
        <v/>
      </c>
    </row>
    <row r="3406">
      <c r="A3406">
        <f>IFERROR(INDEX('Email Cleaner'!$B$2:$B$10001,MATCH(3405,'Email Cleaner'!$K$2:$K$10001,0)),"")</f>
        <v/>
      </c>
    </row>
    <row r="3407">
      <c r="A3407">
        <f>IFERROR(INDEX('Email Cleaner'!$B$2:$B$10001,MATCH(3406,'Email Cleaner'!$K$2:$K$10001,0)),"")</f>
        <v/>
      </c>
    </row>
    <row r="3408">
      <c r="A3408">
        <f>IFERROR(INDEX('Email Cleaner'!$B$2:$B$10001,MATCH(3407,'Email Cleaner'!$K$2:$K$10001,0)),"")</f>
        <v/>
      </c>
    </row>
    <row r="3409">
      <c r="A3409">
        <f>IFERROR(INDEX('Email Cleaner'!$B$2:$B$10001,MATCH(3408,'Email Cleaner'!$K$2:$K$10001,0)),"")</f>
        <v/>
      </c>
    </row>
    <row r="3410">
      <c r="A3410">
        <f>IFERROR(INDEX('Email Cleaner'!$B$2:$B$10001,MATCH(3409,'Email Cleaner'!$K$2:$K$10001,0)),"")</f>
        <v/>
      </c>
    </row>
    <row r="3411">
      <c r="A3411">
        <f>IFERROR(INDEX('Email Cleaner'!$B$2:$B$10001,MATCH(3410,'Email Cleaner'!$K$2:$K$10001,0)),"")</f>
        <v/>
      </c>
    </row>
    <row r="3412">
      <c r="A3412">
        <f>IFERROR(INDEX('Email Cleaner'!$B$2:$B$10001,MATCH(3411,'Email Cleaner'!$K$2:$K$10001,0)),"")</f>
        <v/>
      </c>
    </row>
    <row r="3413">
      <c r="A3413">
        <f>IFERROR(INDEX('Email Cleaner'!$B$2:$B$10001,MATCH(3412,'Email Cleaner'!$K$2:$K$10001,0)),"")</f>
        <v/>
      </c>
    </row>
    <row r="3414">
      <c r="A3414">
        <f>IFERROR(INDEX('Email Cleaner'!$B$2:$B$10001,MATCH(3413,'Email Cleaner'!$K$2:$K$10001,0)),"")</f>
        <v/>
      </c>
    </row>
    <row r="3415">
      <c r="A3415">
        <f>IFERROR(INDEX('Email Cleaner'!$B$2:$B$10001,MATCH(3414,'Email Cleaner'!$K$2:$K$10001,0)),"")</f>
        <v/>
      </c>
    </row>
    <row r="3416">
      <c r="A3416">
        <f>IFERROR(INDEX('Email Cleaner'!$B$2:$B$10001,MATCH(3415,'Email Cleaner'!$K$2:$K$10001,0)),"")</f>
        <v/>
      </c>
    </row>
    <row r="3417">
      <c r="A3417">
        <f>IFERROR(INDEX('Email Cleaner'!$B$2:$B$10001,MATCH(3416,'Email Cleaner'!$K$2:$K$10001,0)),"")</f>
        <v/>
      </c>
    </row>
    <row r="3418">
      <c r="A3418">
        <f>IFERROR(INDEX('Email Cleaner'!$B$2:$B$10001,MATCH(3417,'Email Cleaner'!$K$2:$K$10001,0)),"")</f>
        <v/>
      </c>
    </row>
    <row r="3419">
      <c r="A3419">
        <f>IFERROR(INDEX('Email Cleaner'!$B$2:$B$10001,MATCH(3418,'Email Cleaner'!$K$2:$K$10001,0)),"")</f>
        <v/>
      </c>
    </row>
    <row r="3420">
      <c r="A3420">
        <f>IFERROR(INDEX('Email Cleaner'!$B$2:$B$10001,MATCH(3419,'Email Cleaner'!$K$2:$K$10001,0)),"")</f>
        <v/>
      </c>
    </row>
    <row r="3421">
      <c r="A3421">
        <f>IFERROR(INDEX('Email Cleaner'!$B$2:$B$10001,MATCH(3420,'Email Cleaner'!$K$2:$K$10001,0)),"")</f>
        <v/>
      </c>
    </row>
    <row r="3422">
      <c r="A3422">
        <f>IFERROR(INDEX('Email Cleaner'!$B$2:$B$10001,MATCH(3421,'Email Cleaner'!$K$2:$K$10001,0)),"")</f>
        <v/>
      </c>
    </row>
    <row r="3423">
      <c r="A3423">
        <f>IFERROR(INDEX('Email Cleaner'!$B$2:$B$10001,MATCH(3422,'Email Cleaner'!$K$2:$K$10001,0)),"")</f>
        <v/>
      </c>
    </row>
    <row r="3424">
      <c r="A3424">
        <f>IFERROR(INDEX('Email Cleaner'!$B$2:$B$10001,MATCH(3423,'Email Cleaner'!$K$2:$K$10001,0)),"")</f>
        <v/>
      </c>
    </row>
    <row r="3425">
      <c r="A3425">
        <f>IFERROR(INDEX('Email Cleaner'!$B$2:$B$10001,MATCH(3424,'Email Cleaner'!$K$2:$K$10001,0)),"")</f>
        <v/>
      </c>
    </row>
    <row r="3426">
      <c r="A3426">
        <f>IFERROR(INDEX('Email Cleaner'!$B$2:$B$10001,MATCH(3425,'Email Cleaner'!$K$2:$K$10001,0)),"")</f>
        <v/>
      </c>
    </row>
    <row r="3427">
      <c r="A3427">
        <f>IFERROR(INDEX('Email Cleaner'!$B$2:$B$10001,MATCH(3426,'Email Cleaner'!$K$2:$K$10001,0)),"")</f>
        <v/>
      </c>
    </row>
    <row r="3428">
      <c r="A3428">
        <f>IFERROR(INDEX('Email Cleaner'!$B$2:$B$10001,MATCH(3427,'Email Cleaner'!$K$2:$K$10001,0)),"")</f>
        <v/>
      </c>
    </row>
    <row r="3429">
      <c r="A3429">
        <f>IFERROR(INDEX('Email Cleaner'!$B$2:$B$10001,MATCH(3428,'Email Cleaner'!$K$2:$K$10001,0)),"")</f>
        <v/>
      </c>
    </row>
    <row r="3430">
      <c r="A3430">
        <f>IFERROR(INDEX('Email Cleaner'!$B$2:$B$10001,MATCH(3429,'Email Cleaner'!$K$2:$K$10001,0)),"")</f>
        <v/>
      </c>
    </row>
    <row r="3431">
      <c r="A3431">
        <f>IFERROR(INDEX('Email Cleaner'!$B$2:$B$10001,MATCH(3430,'Email Cleaner'!$K$2:$K$10001,0)),"")</f>
        <v/>
      </c>
    </row>
    <row r="3432">
      <c r="A3432">
        <f>IFERROR(INDEX('Email Cleaner'!$B$2:$B$10001,MATCH(3431,'Email Cleaner'!$K$2:$K$10001,0)),"")</f>
        <v/>
      </c>
    </row>
    <row r="3433">
      <c r="A3433">
        <f>IFERROR(INDEX('Email Cleaner'!$B$2:$B$10001,MATCH(3432,'Email Cleaner'!$K$2:$K$10001,0)),"")</f>
        <v/>
      </c>
    </row>
    <row r="3434">
      <c r="A3434">
        <f>IFERROR(INDEX('Email Cleaner'!$B$2:$B$10001,MATCH(3433,'Email Cleaner'!$K$2:$K$10001,0)),"")</f>
        <v/>
      </c>
    </row>
    <row r="3435">
      <c r="A3435">
        <f>IFERROR(INDEX('Email Cleaner'!$B$2:$B$10001,MATCH(3434,'Email Cleaner'!$K$2:$K$10001,0)),"")</f>
        <v/>
      </c>
    </row>
    <row r="3436">
      <c r="A3436">
        <f>IFERROR(INDEX('Email Cleaner'!$B$2:$B$10001,MATCH(3435,'Email Cleaner'!$K$2:$K$10001,0)),"")</f>
        <v/>
      </c>
    </row>
    <row r="3437">
      <c r="A3437">
        <f>IFERROR(INDEX('Email Cleaner'!$B$2:$B$10001,MATCH(3436,'Email Cleaner'!$K$2:$K$10001,0)),"")</f>
        <v/>
      </c>
    </row>
    <row r="3438">
      <c r="A3438">
        <f>IFERROR(INDEX('Email Cleaner'!$B$2:$B$10001,MATCH(3437,'Email Cleaner'!$K$2:$K$10001,0)),"")</f>
        <v/>
      </c>
    </row>
    <row r="3439">
      <c r="A3439">
        <f>IFERROR(INDEX('Email Cleaner'!$B$2:$B$10001,MATCH(3438,'Email Cleaner'!$K$2:$K$10001,0)),"")</f>
        <v/>
      </c>
    </row>
    <row r="3440">
      <c r="A3440">
        <f>IFERROR(INDEX('Email Cleaner'!$B$2:$B$10001,MATCH(3439,'Email Cleaner'!$K$2:$K$10001,0)),"")</f>
        <v/>
      </c>
    </row>
    <row r="3441">
      <c r="A3441">
        <f>IFERROR(INDEX('Email Cleaner'!$B$2:$B$10001,MATCH(3440,'Email Cleaner'!$K$2:$K$10001,0)),"")</f>
        <v/>
      </c>
    </row>
    <row r="3442">
      <c r="A3442">
        <f>IFERROR(INDEX('Email Cleaner'!$B$2:$B$10001,MATCH(3441,'Email Cleaner'!$K$2:$K$10001,0)),"")</f>
        <v/>
      </c>
    </row>
    <row r="3443">
      <c r="A3443">
        <f>IFERROR(INDEX('Email Cleaner'!$B$2:$B$10001,MATCH(3442,'Email Cleaner'!$K$2:$K$10001,0)),"")</f>
        <v/>
      </c>
    </row>
    <row r="3444">
      <c r="A3444">
        <f>IFERROR(INDEX('Email Cleaner'!$B$2:$B$10001,MATCH(3443,'Email Cleaner'!$K$2:$K$10001,0)),"")</f>
        <v/>
      </c>
    </row>
    <row r="3445">
      <c r="A3445">
        <f>IFERROR(INDEX('Email Cleaner'!$B$2:$B$10001,MATCH(3444,'Email Cleaner'!$K$2:$K$10001,0)),"")</f>
        <v/>
      </c>
    </row>
    <row r="3446">
      <c r="A3446">
        <f>IFERROR(INDEX('Email Cleaner'!$B$2:$B$10001,MATCH(3445,'Email Cleaner'!$K$2:$K$10001,0)),"")</f>
        <v/>
      </c>
    </row>
    <row r="3447">
      <c r="A3447">
        <f>IFERROR(INDEX('Email Cleaner'!$B$2:$B$10001,MATCH(3446,'Email Cleaner'!$K$2:$K$10001,0)),"")</f>
        <v/>
      </c>
    </row>
    <row r="3448">
      <c r="A3448">
        <f>IFERROR(INDEX('Email Cleaner'!$B$2:$B$10001,MATCH(3447,'Email Cleaner'!$K$2:$K$10001,0)),"")</f>
        <v/>
      </c>
    </row>
    <row r="3449">
      <c r="A3449">
        <f>IFERROR(INDEX('Email Cleaner'!$B$2:$B$10001,MATCH(3448,'Email Cleaner'!$K$2:$K$10001,0)),"")</f>
        <v/>
      </c>
    </row>
    <row r="3450">
      <c r="A3450">
        <f>IFERROR(INDEX('Email Cleaner'!$B$2:$B$10001,MATCH(3449,'Email Cleaner'!$K$2:$K$10001,0)),"")</f>
        <v/>
      </c>
    </row>
    <row r="3451">
      <c r="A3451">
        <f>IFERROR(INDEX('Email Cleaner'!$B$2:$B$10001,MATCH(3450,'Email Cleaner'!$K$2:$K$10001,0)),"")</f>
        <v/>
      </c>
    </row>
    <row r="3452">
      <c r="A3452">
        <f>IFERROR(INDEX('Email Cleaner'!$B$2:$B$10001,MATCH(3451,'Email Cleaner'!$K$2:$K$10001,0)),"")</f>
        <v/>
      </c>
    </row>
    <row r="3453">
      <c r="A3453">
        <f>IFERROR(INDEX('Email Cleaner'!$B$2:$B$10001,MATCH(3452,'Email Cleaner'!$K$2:$K$10001,0)),"")</f>
        <v/>
      </c>
    </row>
    <row r="3454">
      <c r="A3454">
        <f>IFERROR(INDEX('Email Cleaner'!$B$2:$B$10001,MATCH(3453,'Email Cleaner'!$K$2:$K$10001,0)),"")</f>
        <v/>
      </c>
    </row>
    <row r="3455">
      <c r="A3455">
        <f>IFERROR(INDEX('Email Cleaner'!$B$2:$B$10001,MATCH(3454,'Email Cleaner'!$K$2:$K$10001,0)),"")</f>
        <v/>
      </c>
    </row>
    <row r="3456">
      <c r="A3456">
        <f>IFERROR(INDEX('Email Cleaner'!$B$2:$B$10001,MATCH(3455,'Email Cleaner'!$K$2:$K$10001,0)),"")</f>
        <v/>
      </c>
    </row>
    <row r="3457">
      <c r="A3457">
        <f>IFERROR(INDEX('Email Cleaner'!$B$2:$B$10001,MATCH(3456,'Email Cleaner'!$K$2:$K$10001,0)),"")</f>
        <v/>
      </c>
    </row>
    <row r="3458">
      <c r="A3458">
        <f>IFERROR(INDEX('Email Cleaner'!$B$2:$B$10001,MATCH(3457,'Email Cleaner'!$K$2:$K$10001,0)),"")</f>
        <v/>
      </c>
    </row>
    <row r="3459">
      <c r="A3459">
        <f>IFERROR(INDEX('Email Cleaner'!$B$2:$B$10001,MATCH(3458,'Email Cleaner'!$K$2:$K$10001,0)),"")</f>
        <v/>
      </c>
    </row>
    <row r="3460">
      <c r="A3460">
        <f>IFERROR(INDEX('Email Cleaner'!$B$2:$B$10001,MATCH(3459,'Email Cleaner'!$K$2:$K$10001,0)),"")</f>
        <v/>
      </c>
    </row>
    <row r="3461">
      <c r="A3461">
        <f>IFERROR(INDEX('Email Cleaner'!$B$2:$B$10001,MATCH(3460,'Email Cleaner'!$K$2:$K$10001,0)),"")</f>
        <v/>
      </c>
    </row>
    <row r="3462">
      <c r="A3462">
        <f>IFERROR(INDEX('Email Cleaner'!$B$2:$B$10001,MATCH(3461,'Email Cleaner'!$K$2:$K$10001,0)),"")</f>
        <v/>
      </c>
    </row>
    <row r="3463">
      <c r="A3463">
        <f>IFERROR(INDEX('Email Cleaner'!$B$2:$B$10001,MATCH(3462,'Email Cleaner'!$K$2:$K$10001,0)),"")</f>
        <v/>
      </c>
    </row>
    <row r="3464">
      <c r="A3464">
        <f>IFERROR(INDEX('Email Cleaner'!$B$2:$B$10001,MATCH(3463,'Email Cleaner'!$K$2:$K$10001,0)),"")</f>
        <v/>
      </c>
    </row>
    <row r="3465">
      <c r="A3465">
        <f>IFERROR(INDEX('Email Cleaner'!$B$2:$B$10001,MATCH(3464,'Email Cleaner'!$K$2:$K$10001,0)),"")</f>
        <v/>
      </c>
    </row>
    <row r="3466">
      <c r="A3466">
        <f>IFERROR(INDEX('Email Cleaner'!$B$2:$B$10001,MATCH(3465,'Email Cleaner'!$K$2:$K$10001,0)),"")</f>
        <v/>
      </c>
    </row>
    <row r="3467">
      <c r="A3467">
        <f>IFERROR(INDEX('Email Cleaner'!$B$2:$B$10001,MATCH(3466,'Email Cleaner'!$K$2:$K$10001,0)),"")</f>
        <v/>
      </c>
    </row>
    <row r="3468">
      <c r="A3468">
        <f>IFERROR(INDEX('Email Cleaner'!$B$2:$B$10001,MATCH(3467,'Email Cleaner'!$K$2:$K$10001,0)),"")</f>
        <v/>
      </c>
    </row>
    <row r="3469">
      <c r="A3469">
        <f>IFERROR(INDEX('Email Cleaner'!$B$2:$B$10001,MATCH(3468,'Email Cleaner'!$K$2:$K$10001,0)),"")</f>
        <v/>
      </c>
    </row>
    <row r="3470">
      <c r="A3470">
        <f>IFERROR(INDEX('Email Cleaner'!$B$2:$B$10001,MATCH(3469,'Email Cleaner'!$K$2:$K$10001,0)),"")</f>
        <v/>
      </c>
    </row>
    <row r="3471">
      <c r="A3471">
        <f>IFERROR(INDEX('Email Cleaner'!$B$2:$B$10001,MATCH(3470,'Email Cleaner'!$K$2:$K$10001,0)),"")</f>
        <v/>
      </c>
    </row>
    <row r="3472">
      <c r="A3472">
        <f>IFERROR(INDEX('Email Cleaner'!$B$2:$B$10001,MATCH(3471,'Email Cleaner'!$K$2:$K$10001,0)),"")</f>
        <v/>
      </c>
    </row>
    <row r="3473">
      <c r="A3473">
        <f>IFERROR(INDEX('Email Cleaner'!$B$2:$B$10001,MATCH(3472,'Email Cleaner'!$K$2:$K$10001,0)),"")</f>
        <v/>
      </c>
    </row>
    <row r="3474">
      <c r="A3474">
        <f>IFERROR(INDEX('Email Cleaner'!$B$2:$B$10001,MATCH(3473,'Email Cleaner'!$K$2:$K$10001,0)),"")</f>
        <v/>
      </c>
    </row>
    <row r="3475">
      <c r="A3475">
        <f>IFERROR(INDEX('Email Cleaner'!$B$2:$B$10001,MATCH(3474,'Email Cleaner'!$K$2:$K$10001,0)),"")</f>
        <v/>
      </c>
    </row>
    <row r="3476">
      <c r="A3476">
        <f>IFERROR(INDEX('Email Cleaner'!$B$2:$B$10001,MATCH(3475,'Email Cleaner'!$K$2:$K$10001,0)),"")</f>
        <v/>
      </c>
    </row>
    <row r="3477">
      <c r="A3477">
        <f>IFERROR(INDEX('Email Cleaner'!$B$2:$B$10001,MATCH(3476,'Email Cleaner'!$K$2:$K$10001,0)),"")</f>
        <v/>
      </c>
    </row>
    <row r="3478">
      <c r="A3478">
        <f>IFERROR(INDEX('Email Cleaner'!$B$2:$B$10001,MATCH(3477,'Email Cleaner'!$K$2:$K$10001,0)),"")</f>
        <v/>
      </c>
    </row>
    <row r="3479">
      <c r="A3479">
        <f>IFERROR(INDEX('Email Cleaner'!$B$2:$B$10001,MATCH(3478,'Email Cleaner'!$K$2:$K$10001,0)),"")</f>
        <v/>
      </c>
    </row>
    <row r="3480">
      <c r="A3480">
        <f>IFERROR(INDEX('Email Cleaner'!$B$2:$B$10001,MATCH(3479,'Email Cleaner'!$K$2:$K$10001,0)),"")</f>
        <v/>
      </c>
    </row>
    <row r="3481">
      <c r="A3481">
        <f>IFERROR(INDEX('Email Cleaner'!$B$2:$B$10001,MATCH(3480,'Email Cleaner'!$K$2:$K$10001,0)),"")</f>
        <v/>
      </c>
    </row>
    <row r="3482">
      <c r="A3482">
        <f>IFERROR(INDEX('Email Cleaner'!$B$2:$B$10001,MATCH(3481,'Email Cleaner'!$K$2:$K$10001,0)),"")</f>
        <v/>
      </c>
    </row>
    <row r="3483">
      <c r="A3483">
        <f>IFERROR(INDEX('Email Cleaner'!$B$2:$B$10001,MATCH(3482,'Email Cleaner'!$K$2:$K$10001,0)),"")</f>
        <v/>
      </c>
    </row>
    <row r="3484">
      <c r="A3484">
        <f>IFERROR(INDEX('Email Cleaner'!$B$2:$B$10001,MATCH(3483,'Email Cleaner'!$K$2:$K$10001,0)),"")</f>
        <v/>
      </c>
    </row>
    <row r="3485">
      <c r="A3485">
        <f>IFERROR(INDEX('Email Cleaner'!$B$2:$B$10001,MATCH(3484,'Email Cleaner'!$K$2:$K$10001,0)),"")</f>
        <v/>
      </c>
    </row>
    <row r="3486">
      <c r="A3486">
        <f>IFERROR(INDEX('Email Cleaner'!$B$2:$B$10001,MATCH(3485,'Email Cleaner'!$K$2:$K$10001,0)),"")</f>
        <v/>
      </c>
    </row>
    <row r="3487">
      <c r="A3487">
        <f>IFERROR(INDEX('Email Cleaner'!$B$2:$B$10001,MATCH(3486,'Email Cleaner'!$K$2:$K$10001,0)),"")</f>
        <v/>
      </c>
    </row>
    <row r="3488">
      <c r="A3488">
        <f>IFERROR(INDEX('Email Cleaner'!$B$2:$B$10001,MATCH(3487,'Email Cleaner'!$K$2:$K$10001,0)),"")</f>
        <v/>
      </c>
    </row>
    <row r="3489">
      <c r="A3489">
        <f>IFERROR(INDEX('Email Cleaner'!$B$2:$B$10001,MATCH(3488,'Email Cleaner'!$K$2:$K$10001,0)),"")</f>
        <v/>
      </c>
    </row>
    <row r="3490">
      <c r="A3490">
        <f>IFERROR(INDEX('Email Cleaner'!$B$2:$B$10001,MATCH(3489,'Email Cleaner'!$K$2:$K$10001,0)),"")</f>
        <v/>
      </c>
    </row>
    <row r="3491">
      <c r="A3491">
        <f>IFERROR(INDEX('Email Cleaner'!$B$2:$B$10001,MATCH(3490,'Email Cleaner'!$K$2:$K$10001,0)),"")</f>
        <v/>
      </c>
    </row>
    <row r="3492">
      <c r="A3492">
        <f>IFERROR(INDEX('Email Cleaner'!$B$2:$B$10001,MATCH(3491,'Email Cleaner'!$K$2:$K$10001,0)),"")</f>
        <v/>
      </c>
    </row>
    <row r="3493">
      <c r="A3493">
        <f>IFERROR(INDEX('Email Cleaner'!$B$2:$B$10001,MATCH(3492,'Email Cleaner'!$K$2:$K$10001,0)),"")</f>
        <v/>
      </c>
    </row>
    <row r="3494">
      <c r="A3494">
        <f>IFERROR(INDEX('Email Cleaner'!$B$2:$B$10001,MATCH(3493,'Email Cleaner'!$K$2:$K$10001,0)),"")</f>
        <v/>
      </c>
    </row>
    <row r="3495">
      <c r="A3495">
        <f>IFERROR(INDEX('Email Cleaner'!$B$2:$B$10001,MATCH(3494,'Email Cleaner'!$K$2:$K$10001,0)),"")</f>
        <v/>
      </c>
    </row>
    <row r="3496">
      <c r="A3496">
        <f>IFERROR(INDEX('Email Cleaner'!$B$2:$B$10001,MATCH(3495,'Email Cleaner'!$K$2:$K$10001,0)),"")</f>
        <v/>
      </c>
    </row>
    <row r="3497">
      <c r="A3497">
        <f>IFERROR(INDEX('Email Cleaner'!$B$2:$B$10001,MATCH(3496,'Email Cleaner'!$K$2:$K$10001,0)),"")</f>
        <v/>
      </c>
    </row>
    <row r="3498">
      <c r="A3498">
        <f>IFERROR(INDEX('Email Cleaner'!$B$2:$B$10001,MATCH(3497,'Email Cleaner'!$K$2:$K$10001,0)),"")</f>
        <v/>
      </c>
    </row>
    <row r="3499">
      <c r="A3499">
        <f>IFERROR(INDEX('Email Cleaner'!$B$2:$B$10001,MATCH(3498,'Email Cleaner'!$K$2:$K$10001,0)),"")</f>
        <v/>
      </c>
    </row>
    <row r="3500">
      <c r="A3500">
        <f>IFERROR(INDEX('Email Cleaner'!$B$2:$B$10001,MATCH(3499,'Email Cleaner'!$K$2:$K$10001,0)),"")</f>
        <v/>
      </c>
    </row>
    <row r="3501">
      <c r="A3501">
        <f>IFERROR(INDEX('Email Cleaner'!$B$2:$B$10001,MATCH(3500,'Email Cleaner'!$K$2:$K$10001,0)),"")</f>
        <v/>
      </c>
    </row>
    <row r="3502">
      <c r="A3502">
        <f>IFERROR(INDEX('Email Cleaner'!$B$2:$B$10001,MATCH(3501,'Email Cleaner'!$K$2:$K$10001,0)),"")</f>
        <v/>
      </c>
    </row>
    <row r="3503">
      <c r="A3503">
        <f>IFERROR(INDEX('Email Cleaner'!$B$2:$B$10001,MATCH(3502,'Email Cleaner'!$K$2:$K$10001,0)),"")</f>
        <v/>
      </c>
    </row>
    <row r="3504">
      <c r="A3504">
        <f>IFERROR(INDEX('Email Cleaner'!$B$2:$B$10001,MATCH(3503,'Email Cleaner'!$K$2:$K$10001,0)),"")</f>
        <v/>
      </c>
    </row>
    <row r="3505">
      <c r="A3505">
        <f>IFERROR(INDEX('Email Cleaner'!$B$2:$B$10001,MATCH(3504,'Email Cleaner'!$K$2:$K$10001,0)),"")</f>
        <v/>
      </c>
    </row>
    <row r="3506">
      <c r="A3506">
        <f>IFERROR(INDEX('Email Cleaner'!$B$2:$B$10001,MATCH(3505,'Email Cleaner'!$K$2:$K$10001,0)),"")</f>
        <v/>
      </c>
    </row>
    <row r="3507">
      <c r="A3507">
        <f>IFERROR(INDEX('Email Cleaner'!$B$2:$B$10001,MATCH(3506,'Email Cleaner'!$K$2:$K$10001,0)),"")</f>
        <v/>
      </c>
    </row>
    <row r="3508">
      <c r="A3508">
        <f>IFERROR(INDEX('Email Cleaner'!$B$2:$B$10001,MATCH(3507,'Email Cleaner'!$K$2:$K$10001,0)),"")</f>
        <v/>
      </c>
    </row>
    <row r="3509">
      <c r="A3509">
        <f>IFERROR(INDEX('Email Cleaner'!$B$2:$B$10001,MATCH(3508,'Email Cleaner'!$K$2:$K$10001,0)),"")</f>
        <v/>
      </c>
    </row>
    <row r="3510">
      <c r="A3510">
        <f>IFERROR(INDEX('Email Cleaner'!$B$2:$B$10001,MATCH(3509,'Email Cleaner'!$K$2:$K$10001,0)),"")</f>
        <v/>
      </c>
    </row>
    <row r="3511">
      <c r="A3511">
        <f>IFERROR(INDEX('Email Cleaner'!$B$2:$B$10001,MATCH(3510,'Email Cleaner'!$K$2:$K$10001,0)),"")</f>
        <v/>
      </c>
    </row>
    <row r="3512">
      <c r="A3512">
        <f>IFERROR(INDEX('Email Cleaner'!$B$2:$B$10001,MATCH(3511,'Email Cleaner'!$K$2:$K$10001,0)),"")</f>
        <v/>
      </c>
    </row>
    <row r="3513">
      <c r="A3513">
        <f>IFERROR(INDEX('Email Cleaner'!$B$2:$B$10001,MATCH(3512,'Email Cleaner'!$K$2:$K$10001,0)),"")</f>
        <v/>
      </c>
    </row>
    <row r="3514">
      <c r="A3514">
        <f>IFERROR(INDEX('Email Cleaner'!$B$2:$B$10001,MATCH(3513,'Email Cleaner'!$K$2:$K$10001,0)),"")</f>
        <v/>
      </c>
    </row>
    <row r="3515">
      <c r="A3515">
        <f>IFERROR(INDEX('Email Cleaner'!$B$2:$B$10001,MATCH(3514,'Email Cleaner'!$K$2:$K$10001,0)),"")</f>
        <v/>
      </c>
    </row>
    <row r="3516">
      <c r="A3516">
        <f>IFERROR(INDEX('Email Cleaner'!$B$2:$B$10001,MATCH(3515,'Email Cleaner'!$K$2:$K$10001,0)),"")</f>
        <v/>
      </c>
    </row>
    <row r="3517">
      <c r="A3517">
        <f>IFERROR(INDEX('Email Cleaner'!$B$2:$B$10001,MATCH(3516,'Email Cleaner'!$K$2:$K$10001,0)),"")</f>
        <v/>
      </c>
    </row>
    <row r="3518">
      <c r="A3518">
        <f>IFERROR(INDEX('Email Cleaner'!$B$2:$B$10001,MATCH(3517,'Email Cleaner'!$K$2:$K$10001,0)),"")</f>
        <v/>
      </c>
    </row>
    <row r="3519">
      <c r="A3519">
        <f>IFERROR(INDEX('Email Cleaner'!$B$2:$B$10001,MATCH(3518,'Email Cleaner'!$K$2:$K$10001,0)),"")</f>
        <v/>
      </c>
    </row>
    <row r="3520">
      <c r="A3520">
        <f>IFERROR(INDEX('Email Cleaner'!$B$2:$B$10001,MATCH(3519,'Email Cleaner'!$K$2:$K$10001,0)),"")</f>
        <v/>
      </c>
    </row>
    <row r="3521">
      <c r="A3521">
        <f>IFERROR(INDEX('Email Cleaner'!$B$2:$B$10001,MATCH(3520,'Email Cleaner'!$K$2:$K$10001,0)),"")</f>
        <v/>
      </c>
    </row>
    <row r="3522">
      <c r="A3522">
        <f>IFERROR(INDEX('Email Cleaner'!$B$2:$B$10001,MATCH(3521,'Email Cleaner'!$K$2:$K$10001,0)),"")</f>
        <v/>
      </c>
    </row>
    <row r="3523">
      <c r="A3523">
        <f>IFERROR(INDEX('Email Cleaner'!$B$2:$B$10001,MATCH(3522,'Email Cleaner'!$K$2:$K$10001,0)),"")</f>
        <v/>
      </c>
    </row>
    <row r="3524">
      <c r="A3524">
        <f>IFERROR(INDEX('Email Cleaner'!$B$2:$B$10001,MATCH(3523,'Email Cleaner'!$K$2:$K$10001,0)),"")</f>
        <v/>
      </c>
    </row>
    <row r="3525">
      <c r="A3525">
        <f>IFERROR(INDEX('Email Cleaner'!$B$2:$B$10001,MATCH(3524,'Email Cleaner'!$K$2:$K$10001,0)),"")</f>
        <v/>
      </c>
    </row>
    <row r="3526">
      <c r="A3526">
        <f>IFERROR(INDEX('Email Cleaner'!$B$2:$B$10001,MATCH(3525,'Email Cleaner'!$K$2:$K$10001,0)),"")</f>
        <v/>
      </c>
    </row>
    <row r="3527">
      <c r="A3527">
        <f>IFERROR(INDEX('Email Cleaner'!$B$2:$B$10001,MATCH(3526,'Email Cleaner'!$K$2:$K$10001,0)),"")</f>
        <v/>
      </c>
    </row>
    <row r="3528">
      <c r="A3528">
        <f>IFERROR(INDEX('Email Cleaner'!$B$2:$B$10001,MATCH(3527,'Email Cleaner'!$K$2:$K$10001,0)),"")</f>
        <v/>
      </c>
    </row>
    <row r="3529">
      <c r="A3529">
        <f>IFERROR(INDEX('Email Cleaner'!$B$2:$B$10001,MATCH(3528,'Email Cleaner'!$K$2:$K$10001,0)),"")</f>
        <v/>
      </c>
    </row>
    <row r="3530">
      <c r="A3530">
        <f>IFERROR(INDEX('Email Cleaner'!$B$2:$B$10001,MATCH(3529,'Email Cleaner'!$K$2:$K$10001,0)),"")</f>
        <v/>
      </c>
    </row>
    <row r="3531">
      <c r="A3531">
        <f>IFERROR(INDEX('Email Cleaner'!$B$2:$B$10001,MATCH(3530,'Email Cleaner'!$K$2:$K$10001,0)),"")</f>
        <v/>
      </c>
    </row>
    <row r="3532">
      <c r="A3532">
        <f>IFERROR(INDEX('Email Cleaner'!$B$2:$B$10001,MATCH(3531,'Email Cleaner'!$K$2:$K$10001,0)),"")</f>
        <v/>
      </c>
    </row>
    <row r="3533">
      <c r="A3533">
        <f>IFERROR(INDEX('Email Cleaner'!$B$2:$B$10001,MATCH(3532,'Email Cleaner'!$K$2:$K$10001,0)),"")</f>
        <v/>
      </c>
    </row>
    <row r="3534">
      <c r="A3534">
        <f>IFERROR(INDEX('Email Cleaner'!$B$2:$B$10001,MATCH(3533,'Email Cleaner'!$K$2:$K$10001,0)),"")</f>
        <v/>
      </c>
    </row>
    <row r="3535">
      <c r="A3535">
        <f>IFERROR(INDEX('Email Cleaner'!$B$2:$B$10001,MATCH(3534,'Email Cleaner'!$K$2:$K$10001,0)),"")</f>
        <v/>
      </c>
    </row>
    <row r="3536">
      <c r="A3536">
        <f>IFERROR(INDEX('Email Cleaner'!$B$2:$B$10001,MATCH(3535,'Email Cleaner'!$K$2:$K$10001,0)),"")</f>
        <v/>
      </c>
    </row>
    <row r="3537">
      <c r="A3537">
        <f>IFERROR(INDEX('Email Cleaner'!$B$2:$B$10001,MATCH(3536,'Email Cleaner'!$K$2:$K$10001,0)),"")</f>
        <v/>
      </c>
    </row>
    <row r="3538">
      <c r="A3538">
        <f>IFERROR(INDEX('Email Cleaner'!$B$2:$B$10001,MATCH(3537,'Email Cleaner'!$K$2:$K$10001,0)),"")</f>
        <v/>
      </c>
    </row>
    <row r="3539">
      <c r="A3539">
        <f>IFERROR(INDEX('Email Cleaner'!$B$2:$B$10001,MATCH(3538,'Email Cleaner'!$K$2:$K$10001,0)),"")</f>
        <v/>
      </c>
    </row>
    <row r="3540">
      <c r="A3540">
        <f>IFERROR(INDEX('Email Cleaner'!$B$2:$B$10001,MATCH(3539,'Email Cleaner'!$K$2:$K$10001,0)),"")</f>
        <v/>
      </c>
    </row>
    <row r="3541">
      <c r="A3541">
        <f>IFERROR(INDEX('Email Cleaner'!$B$2:$B$10001,MATCH(3540,'Email Cleaner'!$K$2:$K$10001,0)),"")</f>
        <v/>
      </c>
    </row>
    <row r="3542">
      <c r="A3542">
        <f>IFERROR(INDEX('Email Cleaner'!$B$2:$B$10001,MATCH(3541,'Email Cleaner'!$K$2:$K$10001,0)),"")</f>
        <v/>
      </c>
    </row>
    <row r="3543">
      <c r="A3543">
        <f>IFERROR(INDEX('Email Cleaner'!$B$2:$B$10001,MATCH(3542,'Email Cleaner'!$K$2:$K$10001,0)),"")</f>
        <v/>
      </c>
    </row>
    <row r="3544">
      <c r="A3544">
        <f>IFERROR(INDEX('Email Cleaner'!$B$2:$B$10001,MATCH(3543,'Email Cleaner'!$K$2:$K$10001,0)),"")</f>
        <v/>
      </c>
    </row>
    <row r="3545">
      <c r="A3545">
        <f>IFERROR(INDEX('Email Cleaner'!$B$2:$B$10001,MATCH(3544,'Email Cleaner'!$K$2:$K$10001,0)),"")</f>
        <v/>
      </c>
    </row>
    <row r="3546">
      <c r="A3546">
        <f>IFERROR(INDEX('Email Cleaner'!$B$2:$B$10001,MATCH(3545,'Email Cleaner'!$K$2:$K$10001,0)),"")</f>
        <v/>
      </c>
    </row>
    <row r="3547">
      <c r="A3547">
        <f>IFERROR(INDEX('Email Cleaner'!$B$2:$B$10001,MATCH(3546,'Email Cleaner'!$K$2:$K$10001,0)),"")</f>
        <v/>
      </c>
    </row>
    <row r="3548">
      <c r="A3548">
        <f>IFERROR(INDEX('Email Cleaner'!$B$2:$B$10001,MATCH(3547,'Email Cleaner'!$K$2:$K$10001,0)),"")</f>
        <v/>
      </c>
    </row>
    <row r="3549">
      <c r="A3549">
        <f>IFERROR(INDEX('Email Cleaner'!$B$2:$B$10001,MATCH(3548,'Email Cleaner'!$K$2:$K$10001,0)),"")</f>
        <v/>
      </c>
    </row>
    <row r="3550">
      <c r="A3550">
        <f>IFERROR(INDEX('Email Cleaner'!$B$2:$B$10001,MATCH(3549,'Email Cleaner'!$K$2:$K$10001,0)),"")</f>
        <v/>
      </c>
    </row>
    <row r="3551">
      <c r="A3551">
        <f>IFERROR(INDEX('Email Cleaner'!$B$2:$B$10001,MATCH(3550,'Email Cleaner'!$K$2:$K$10001,0)),"")</f>
        <v/>
      </c>
    </row>
    <row r="3552">
      <c r="A3552">
        <f>IFERROR(INDEX('Email Cleaner'!$B$2:$B$10001,MATCH(3551,'Email Cleaner'!$K$2:$K$10001,0)),"")</f>
        <v/>
      </c>
    </row>
    <row r="3553">
      <c r="A3553">
        <f>IFERROR(INDEX('Email Cleaner'!$B$2:$B$10001,MATCH(3552,'Email Cleaner'!$K$2:$K$10001,0)),"")</f>
        <v/>
      </c>
    </row>
    <row r="3554">
      <c r="A3554">
        <f>IFERROR(INDEX('Email Cleaner'!$B$2:$B$10001,MATCH(3553,'Email Cleaner'!$K$2:$K$10001,0)),"")</f>
        <v/>
      </c>
    </row>
    <row r="3555">
      <c r="A3555">
        <f>IFERROR(INDEX('Email Cleaner'!$B$2:$B$10001,MATCH(3554,'Email Cleaner'!$K$2:$K$10001,0)),"")</f>
        <v/>
      </c>
    </row>
    <row r="3556">
      <c r="A3556">
        <f>IFERROR(INDEX('Email Cleaner'!$B$2:$B$10001,MATCH(3555,'Email Cleaner'!$K$2:$K$10001,0)),"")</f>
        <v/>
      </c>
    </row>
    <row r="3557">
      <c r="A3557">
        <f>IFERROR(INDEX('Email Cleaner'!$B$2:$B$10001,MATCH(3556,'Email Cleaner'!$K$2:$K$10001,0)),"")</f>
        <v/>
      </c>
    </row>
    <row r="3558">
      <c r="A3558">
        <f>IFERROR(INDEX('Email Cleaner'!$B$2:$B$10001,MATCH(3557,'Email Cleaner'!$K$2:$K$10001,0)),"")</f>
        <v/>
      </c>
    </row>
    <row r="3559">
      <c r="A3559">
        <f>IFERROR(INDEX('Email Cleaner'!$B$2:$B$10001,MATCH(3558,'Email Cleaner'!$K$2:$K$10001,0)),"")</f>
        <v/>
      </c>
    </row>
    <row r="3560">
      <c r="A3560">
        <f>IFERROR(INDEX('Email Cleaner'!$B$2:$B$10001,MATCH(3559,'Email Cleaner'!$K$2:$K$10001,0)),"")</f>
        <v/>
      </c>
    </row>
    <row r="3561">
      <c r="A3561">
        <f>IFERROR(INDEX('Email Cleaner'!$B$2:$B$10001,MATCH(3560,'Email Cleaner'!$K$2:$K$10001,0)),"")</f>
        <v/>
      </c>
    </row>
    <row r="3562">
      <c r="A3562">
        <f>IFERROR(INDEX('Email Cleaner'!$B$2:$B$10001,MATCH(3561,'Email Cleaner'!$K$2:$K$10001,0)),"")</f>
        <v/>
      </c>
    </row>
    <row r="3563">
      <c r="A3563">
        <f>IFERROR(INDEX('Email Cleaner'!$B$2:$B$10001,MATCH(3562,'Email Cleaner'!$K$2:$K$10001,0)),"")</f>
        <v/>
      </c>
    </row>
    <row r="3564">
      <c r="A3564">
        <f>IFERROR(INDEX('Email Cleaner'!$B$2:$B$10001,MATCH(3563,'Email Cleaner'!$K$2:$K$10001,0)),"")</f>
        <v/>
      </c>
    </row>
    <row r="3565">
      <c r="A3565">
        <f>IFERROR(INDEX('Email Cleaner'!$B$2:$B$10001,MATCH(3564,'Email Cleaner'!$K$2:$K$10001,0)),"")</f>
        <v/>
      </c>
    </row>
    <row r="3566">
      <c r="A3566">
        <f>IFERROR(INDEX('Email Cleaner'!$B$2:$B$10001,MATCH(3565,'Email Cleaner'!$K$2:$K$10001,0)),"")</f>
        <v/>
      </c>
    </row>
    <row r="3567">
      <c r="A3567">
        <f>IFERROR(INDEX('Email Cleaner'!$B$2:$B$10001,MATCH(3566,'Email Cleaner'!$K$2:$K$10001,0)),"")</f>
        <v/>
      </c>
    </row>
    <row r="3568">
      <c r="A3568">
        <f>IFERROR(INDEX('Email Cleaner'!$B$2:$B$10001,MATCH(3567,'Email Cleaner'!$K$2:$K$10001,0)),"")</f>
        <v/>
      </c>
    </row>
    <row r="3569">
      <c r="A3569">
        <f>IFERROR(INDEX('Email Cleaner'!$B$2:$B$10001,MATCH(3568,'Email Cleaner'!$K$2:$K$10001,0)),"")</f>
        <v/>
      </c>
    </row>
    <row r="3570">
      <c r="A3570">
        <f>IFERROR(INDEX('Email Cleaner'!$B$2:$B$10001,MATCH(3569,'Email Cleaner'!$K$2:$K$10001,0)),"")</f>
        <v/>
      </c>
    </row>
    <row r="3571">
      <c r="A3571">
        <f>IFERROR(INDEX('Email Cleaner'!$B$2:$B$10001,MATCH(3570,'Email Cleaner'!$K$2:$K$10001,0)),"")</f>
        <v/>
      </c>
    </row>
    <row r="3572">
      <c r="A3572">
        <f>IFERROR(INDEX('Email Cleaner'!$B$2:$B$10001,MATCH(3571,'Email Cleaner'!$K$2:$K$10001,0)),"")</f>
        <v/>
      </c>
    </row>
    <row r="3573">
      <c r="A3573">
        <f>IFERROR(INDEX('Email Cleaner'!$B$2:$B$10001,MATCH(3572,'Email Cleaner'!$K$2:$K$10001,0)),"")</f>
        <v/>
      </c>
    </row>
    <row r="3574">
      <c r="A3574">
        <f>IFERROR(INDEX('Email Cleaner'!$B$2:$B$10001,MATCH(3573,'Email Cleaner'!$K$2:$K$10001,0)),"")</f>
        <v/>
      </c>
    </row>
    <row r="3575">
      <c r="A3575">
        <f>IFERROR(INDEX('Email Cleaner'!$B$2:$B$10001,MATCH(3574,'Email Cleaner'!$K$2:$K$10001,0)),"")</f>
        <v/>
      </c>
    </row>
    <row r="3576">
      <c r="A3576">
        <f>IFERROR(INDEX('Email Cleaner'!$B$2:$B$10001,MATCH(3575,'Email Cleaner'!$K$2:$K$10001,0)),"")</f>
        <v/>
      </c>
    </row>
    <row r="3577">
      <c r="A3577">
        <f>IFERROR(INDEX('Email Cleaner'!$B$2:$B$10001,MATCH(3576,'Email Cleaner'!$K$2:$K$10001,0)),"")</f>
        <v/>
      </c>
    </row>
    <row r="3578">
      <c r="A3578">
        <f>IFERROR(INDEX('Email Cleaner'!$B$2:$B$10001,MATCH(3577,'Email Cleaner'!$K$2:$K$10001,0)),"")</f>
        <v/>
      </c>
    </row>
    <row r="3579">
      <c r="A3579">
        <f>IFERROR(INDEX('Email Cleaner'!$B$2:$B$10001,MATCH(3578,'Email Cleaner'!$K$2:$K$10001,0)),"")</f>
        <v/>
      </c>
    </row>
    <row r="3580">
      <c r="A3580">
        <f>IFERROR(INDEX('Email Cleaner'!$B$2:$B$10001,MATCH(3579,'Email Cleaner'!$K$2:$K$10001,0)),"")</f>
        <v/>
      </c>
    </row>
    <row r="3581">
      <c r="A3581">
        <f>IFERROR(INDEX('Email Cleaner'!$B$2:$B$10001,MATCH(3580,'Email Cleaner'!$K$2:$K$10001,0)),"")</f>
        <v/>
      </c>
    </row>
    <row r="3582">
      <c r="A3582">
        <f>IFERROR(INDEX('Email Cleaner'!$B$2:$B$10001,MATCH(3581,'Email Cleaner'!$K$2:$K$10001,0)),"")</f>
        <v/>
      </c>
    </row>
    <row r="3583">
      <c r="A3583">
        <f>IFERROR(INDEX('Email Cleaner'!$B$2:$B$10001,MATCH(3582,'Email Cleaner'!$K$2:$K$10001,0)),"")</f>
        <v/>
      </c>
    </row>
    <row r="3584">
      <c r="A3584">
        <f>IFERROR(INDEX('Email Cleaner'!$B$2:$B$10001,MATCH(3583,'Email Cleaner'!$K$2:$K$10001,0)),"")</f>
        <v/>
      </c>
    </row>
    <row r="3585">
      <c r="A3585">
        <f>IFERROR(INDEX('Email Cleaner'!$B$2:$B$10001,MATCH(3584,'Email Cleaner'!$K$2:$K$10001,0)),"")</f>
        <v/>
      </c>
    </row>
    <row r="3586">
      <c r="A3586">
        <f>IFERROR(INDEX('Email Cleaner'!$B$2:$B$10001,MATCH(3585,'Email Cleaner'!$K$2:$K$10001,0)),"")</f>
        <v/>
      </c>
    </row>
    <row r="3587">
      <c r="A3587">
        <f>IFERROR(INDEX('Email Cleaner'!$B$2:$B$10001,MATCH(3586,'Email Cleaner'!$K$2:$K$10001,0)),"")</f>
        <v/>
      </c>
    </row>
    <row r="3588">
      <c r="A3588">
        <f>IFERROR(INDEX('Email Cleaner'!$B$2:$B$10001,MATCH(3587,'Email Cleaner'!$K$2:$K$10001,0)),"")</f>
        <v/>
      </c>
    </row>
    <row r="3589">
      <c r="A3589">
        <f>IFERROR(INDEX('Email Cleaner'!$B$2:$B$10001,MATCH(3588,'Email Cleaner'!$K$2:$K$10001,0)),"")</f>
        <v/>
      </c>
    </row>
    <row r="3590">
      <c r="A3590">
        <f>IFERROR(INDEX('Email Cleaner'!$B$2:$B$10001,MATCH(3589,'Email Cleaner'!$K$2:$K$10001,0)),"")</f>
        <v/>
      </c>
    </row>
    <row r="3591">
      <c r="A3591">
        <f>IFERROR(INDEX('Email Cleaner'!$B$2:$B$10001,MATCH(3590,'Email Cleaner'!$K$2:$K$10001,0)),"")</f>
        <v/>
      </c>
    </row>
    <row r="3592">
      <c r="A3592">
        <f>IFERROR(INDEX('Email Cleaner'!$B$2:$B$10001,MATCH(3591,'Email Cleaner'!$K$2:$K$10001,0)),"")</f>
        <v/>
      </c>
    </row>
    <row r="3593">
      <c r="A3593">
        <f>IFERROR(INDEX('Email Cleaner'!$B$2:$B$10001,MATCH(3592,'Email Cleaner'!$K$2:$K$10001,0)),"")</f>
        <v/>
      </c>
    </row>
    <row r="3594">
      <c r="A3594">
        <f>IFERROR(INDEX('Email Cleaner'!$B$2:$B$10001,MATCH(3593,'Email Cleaner'!$K$2:$K$10001,0)),"")</f>
        <v/>
      </c>
    </row>
    <row r="3595">
      <c r="A3595">
        <f>IFERROR(INDEX('Email Cleaner'!$B$2:$B$10001,MATCH(3594,'Email Cleaner'!$K$2:$K$10001,0)),"")</f>
        <v/>
      </c>
    </row>
    <row r="3596">
      <c r="A3596">
        <f>IFERROR(INDEX('Email Cleaner'!$B$2:$B$10001,MATCH(3595,'Email Cleaner'!$K$2:$K$10001,0)),"")</f>
        <v/>
      </c>
    </row>
    <row r="3597">
      <c r="A3597">
        <f>IFERROR(INDEX('Email Cleaner'!$B$2:$B$10001,MATCH(3596,'Email Cleaner'!$K$2:$K$10001,0)),"")</f>
        <v/>
      </c>
    </row>
    <row r="3598">
      <c r="A3598">
        <f>IFERROR(INDEX('Email Cleaner'!$B$2:$B$10001,MATCH(3597,'Email Cleaner'!$K$2:$K$10001,0)),"")</f>
        <v/>
      </c>
    </row>
    <row r="3599">
      <c r="A3599">
        <f>IFERROR(INDEX('Email Cleaner'!$B$2:$B$10001,MATCH(3598,'Email Cleaner'!$K$2:$K$10001,0)),"")</f>
        <v/>
      </c>
    </row>
    <row r="3600">
      <c r="A3600">
        <f>IFERROR(INDEX('Email Cleaner'!$B$2:$B$10001,MATCH(3599,'Email Cleaner'!$K$2:$K$10001,0)),"")</f>
        <v/>
      </c>
    </row>
    <row r="3601">
      <c r="A3601">
        <f>IFERROR(INDEX('Email Cleaner'!$B$2:$B$10001,MATCH(3600,'Email Cleaner'!$K$2:$K$10001,0)),"")</f>
        <v/>
      </c>
    </row>
    <row r="3602">
      <c r="A3602">
        <f>IFERROR(INDEX('Email Cleaner'!$B$2:$B$10001,MATCH(3601,'Email Cleaner'!$K$2:$K$10001,0)),"")</f>
        <v/>
      </c>
    </row>
    <row r="3603">
      <c r="A3603">
        <f>IFERROR(INDEX('Email Cleaner'!$B$2:$B$10001,MATCH(3602,'Email Cleaner'!$K$2:$K$10001,0)),"")</f>
        <v/>
      </c>
    </row>
    <row r="3604">
      <c r="A3604">
        <f>IFERROR(INDEX('Email Cleaner'!$B$2:$B$10001,MATCH(3603,'Email Cleaner'!$K$2:$K$10001,0)),"")</f>
        <v/>
      </c>
    </row>
    <row r="3605">
      <c r="A3605">
        <f>IFERROR(INDEX('Email Cleaner'!$B$2:$B$10001,MATCH(3604,'Email Cleaner'!$K$2:$K$10001,0)),"")</f>
        <v/>
      </c>
    </row>
    <row r="3606">
      <c r="A3606">
        <f>IFERROR(INDEX('Email Cleaner'!$B$2:$B$10001,MATCH(3605,'Email Cleaner'!$K$2:$K$10001,0)),"")</f>
        <v/>
      </c>
    </row>
    <row r="3607">
      <c r="A3607">
        <f>IFERROR(INDEX('Email Cleaner'!$B$2:$B$10001,MATCH(3606,'Email Cleaner'!$K$2:$K$10001,0)),"")</f>
        <v/>
      </c>
    </row>
    <row r="3608">
      <c r="A3608">
        <f>IFERROR(INDEX('Email Cleaner'!$B$2:$B$10001,MATCH(3607,'Email Cleaner'!$K$2:$K$10001,0)),"")</f>
        <v/>
      </c>
    </row>
    <row r="3609">
      <c r="A3609">
        <f>IFERROR(INDEX('Email Cleaner'!$B$2:$B$10001,MATCH(3608,'Email Cleaner'!$K$2:$K$10001,0)),"")</f>
        <v/>
      </c>
    </row>
    <row r="3610">
      <c r="A3610">
        <f>IFERROR(INDEX('Email Cleaner'!$B$2:$B$10001,MATCH(3609,'Email Cleaner'!$K$2:$K$10001,0)),"")</f>
        <v/>
      </c>
    </row>
    <row r="3611">
      <c r="A3611">
        <f>IFERROR(INDEX('Email Cleaner'!$B$2:$B$10001,MATCH(3610,'Email Cleaner'!$K$2:$K$10001,0)),"")</f>
        <v/>
      </c>
    </row>
    <row r="3612">
      <c r="A3612">
        <f>IFERROR(INDEX('Email Cleaner'!$B$2:$B$10001,MATCH(3611,'Email Cleaner'!$K$2:$K$10001,0)),"")</f>
        <v/>
      </c>
    </row>
    <row r="3613">
      <c r="A3613">
        <f>IFERROR(INDEX('Email Cleaner'!$B$2:$B$10001,MATCH(3612,'Email Cleaner'!$K$2:$K$10001,0)),"")</f>
        <v/>
      </c>
    </row>
    <row r="3614">
      <c r="A3614">
        <f>IFERROR(INDEX('Email Cleaner'!$B$2:$B$10001,MATCH(3613,'Email Cleaner'!$K$2:$K$10001,0)),"")</f>
        <v/>
      </c>
    </row>
    <row r="3615">
      <c r="A3615">
        <f>IFERROR(INDEX('Email Cleaner'!$B$2:$B$10001,MATCH(3614,'Email Cleaner'!$K$2:$K$10001,0)),"")</f>
        <v/>
      </c>
    </row>
    <row r="3616">
      <c r="A3616">
        <f>IFERROR(INDEX('Email Cleaner'!$B$2:$B$10001,MATCH(3615,'Email Cleaner'!$K$2:$K$10001,0)),"")</f>
        <v/>
      </c>
    </row>
    <row r="3617">
      <c r="A3617">
        <f>IFERROR(INDEX('Email Cleaner'!$B$2:$B$10001,MATCH(3616,'Email Cleaner'!$K$2:$K$10001,0)),"")</f>
        <v/>
      </c>
    </row>
    <row r="3618">
      <c r="A3618">
        <f>IFERROR(INDEX('Email Cleaner'!$B$2:$B$10001,MATCH(3617,'Email Cleaner'!$K$2:$K$10001,0)),"")</f>
        <v/>
      </c>
    </row>
    <row r="3619">
      <c r="A3619">
        <f>IFERROR(INDEX('Email Cleaner'!$B$2:$B$10001,MATCH(3618,'Email Cleaner'!$K$2:$K$10001,0)),"")</f>
        <v/>
      </c>
    </row>
    <row r="3620">
      <c r="A3620">
        <f>IFERROR(INDEX('Email Cleaner'!$B$2:$B$10001,MATCH(3619,'Email Cleaner'!$K$2:$K$10001,0)),"")</f>
        <v/>
      </c>
    </row>
    <row r="3621">
      <c r="A3621">
        <f>IFERROR(INDEX('Email Cleaner'!$B$2:$B$10001,MATCH(3620,'Email Cleaner'!$K$2:$K$10001,0)),"")</f>
        <v/>
      </c>
    </row>
    <row r="3622">
      <c r="A3622">
        <f>IFERROR(INDEX('Email Cleaner'!$B$2:$B$10001,MATCH(3621,'Email Cleaner'!$K$2:$K$10001,0)),"")</f>
        <v/>
      </c>
    </row>
    <row r="3623">
      <c r="A3623">
        <f>IFERROR(INDEX('Email Cleaner'!$B$2:$B$10001,MATCH(3622,'Email Cleaner'!$K$2:$K$10001,0)),"")</f>
        <v/>
      </c>
    </row>
    <row r="3624">
      <c r="A3624">
        <f>IFERROR(INDEX('Email Cleaner'!$B$2:$B$10001,MATCH(3623,'Email Cleaner'!$K$2:$K$10001,0)),"")</f>
        <v/>
      </c>
    </row>
    <row r="3625">
      <c r="A3625">
        <f>IFERROR(INDEX('Email Cleaner'!$B$2:$B$10001,MATCH(3624,'Email Cleaner'!$K$2:$K$10001,0)),"")</f>
        <v/>
      </c>
    </row>
    <row r="3626">
      <c r="A3626">
        <f>IFERROR(INDEX('Email Cleaner'!$B$2:$B$10001,MATCH(3625,'Email Cleaner'!$K$2:$K$10001,0)),"")</f>
        <v/>
      </c>
    </row>
    <row r="3627">
      <c r="A3627">
        <f>IFERROR(INDEX('Email Cleaner'!$B$2:$B$10001,MATCH(3626,'Email Cleaner'!$K$2:$K$10001,0)),"")</f>
        <v/>
      </c>
    </row>
    <row r="3628">
      <c r="A3628">
        <f>IFERROR(INDEX('Email Cleaner'!$B$2:$B$10001,MATCH(3627,'Email Cleaner'!$K$2:$K$10001,0)),"")</f>
        <v/>
      </c>
    </row>
    <row r="3629">
      <c r="A3629">
        <f>IFERROR(INDEX('Email Cleaner'!$B$2:$B$10001,MATCH(3628,'Email Cleaner'!$K$2:$K$10001,0)),"")</f>
        <v/>
      </c>
    </row>
    <row r="3630">
      <c r="A3630">
        <f>IFERROR(INDEX('Email Cleaner'!$B$2:$B$10001,MATCH(3629,'Email Cleaner'!$K$2:$K$10001,0)),"")</f>
        <v/>
      </c>
    </row>
    <row r="3631">
      <c r="A3631">
        <f>IFERROR(INDEX('Email Cleaner'!$B$2:$B$10001,MATCH(3630,'Email Cleaner'!$K$2:$K$10001,0)),"")</f>
        <v/>
      </c>
    </row>
    <row r="3632">
      <c r="A3632">
        <f>IFERROR(INDEX('Email Cleaner'!$B$2:$B$10001,MATCH(3631,'Email Cleaner'!$K$2:$K$10001,0)),"")</f>
        <v/>
      </c>
    </row>
    <row r="3633">
      <c r="A3633">
        <f>IFERROR(INDEX('Email Cleaner'!$B$2:$B$10001,MATCH(3632,'Email Cleaner'!$K$2:$K$10001,0)),"")</f>
        <v/>
      </c>
    </row>
    <row r="3634">
      <c r="A3634">
        <f>IFERROR(INDEX('Email Cleaner'!$B$2:$B$10001,MATCH(3633,'Email Cleaner'!$K$2:$K$10001,0)),"")</f>
        <v/>
      </c>
    </row>
    <row r="3635">
      <c r="A3635">
        <f>IFERROR(INDEX('Email Cleaner'!$B$2:$B$10001,MATCH(3634,'Email Cleaner'!$K$2:$K$10001,0)),"")</f>
        <v/>
      </c>
    </row>
    <row r="3636">
      <c r="A3636">
        <f>IFERROR(INDEX('Email Cleaner'!$B$2:$B$10001,MATCH(3635,'Email Cleaner'!$K$2:$K$10001,0)),"")</f>
        <v/>
      </c>
    </row>
    <row r="3637">
      <c r="A3637">
        <f>IFERROR(INDEX('Email Cleaner'!$B$2:$B$10001,MATCH(3636,'Email Cleaner'!$K$2:$K$10001,0)),"")</f>
        <v/>
      </c>
    </row>
    <row r="3638">
      <c r="A3638">
        <f>IFERROR(INDEX('Email Cleaner'!$B$2:$B$10001,MATCH(3637,'Email Cleaner'!$K$2:$K$10001,0)),"")</f>
        <v/>
      </c>
    </row>
    <row r="3639">
      <c r="A3639">
        <f>IFERROR(INDEX('Email Cleaner'!$B$2:$B$10001,MATCH(3638,'Email Cleaner'!$K$2:$K$10001,0)),"")</f>
        <v/>
      </c>
    </row>
    <row r="3640">
      <c r="A3640">
        <f>IFERROR(INDEX('Email Cleaner'!$B$2:$B$10001,MATCH(3639,'Email Cleaner'!$K$2:$K$10001,0)),"")</f>
        <v/>
      </c>
    </row>
    <row r="3641">
      <c r="A3641">
        <f>IFERROR(INDEX('Email Cleaner'!$B$2:$B$10001,MATCH(3640,'Email Cleaner'!$K$2:$K$10001,0)),"")</f>
        <v/>
      </c>
    </row>
    <row r="3642">
      <c r="A3642">
        <f>IFERROR(INDEX('Email Cleaner'!$B$2:$B$10001,MATCH(3641,'Email Cleaner'!$K$2:$K$10001,0)),"")</f>
        <v/>
      </c>
    </row>
    <row r="3643">
      <c r="A3643">
        <f>IFERROR(INDEX('Email Cleaner'!$B$2:$B$10001,MATCH(3642,'Email Cleaner'!$K$2:$K$10001,0)),"")</f>
        <v/>
      </c>
    </row>
    <row r="3644">
      <c r="A3644">
        <f>IFERROR(INDEX('Email Cleaner'!$B$2:$B$10001,MATCH(3643,'Email Cleaner'!$K$2:$K$10001,0)),"")</f>
        <v/>
      </c>
    </row>
    <row r="3645">
      <c r="A3645">
        <f>IFERROR(INDEX('Email Cleaner'!$B$2:$B$10001,MATCH(3644,'Email Cleaner'!$K$2:$K$10001,0)),"")</f>
        <v/>
      </c>
    </row>
    <row r="3646">
      <c r="A3646">
        <f>IFERROR(INDEX('Email Cleaner'!$B$2:$B$10001,MATCH(3645,'Email Cleaner'!$K$2:$K$10001,0)),"")</f>
        <v/>
      </c>
    </row>
    <row r="3647">
      <c r="A3647">
        <f>IFERROR(INDEX('Email Cleaner'!$B$2:$B$10001,MATCH(3646,'Email Cleaner'!$K$2:$K$10001,0)),"")</f>
        <v/>
      </c>
    </row>
    <row r="3648">
      <c r="A3648">
        <f>IFERROR(INDEX('Email Cleaner'!$B$2:$B$10001,MATCH(3647,'Email Cleaner'!$K$2:$K$10001,0)),"")</f>
        <v/>
      </c>
    </row>
    <row r="3649">
      <c r="A3649">
        <f>IFERROR(INDEX('Email Cleaner'!$B$2:$B$10001,MATCH(3648,'Email Cleaner'!$K$2:$K$10001,0)),"")</f>
        <v/>
      </c>
    </row>
    <row r="3650">
      <c r="A3650">
        <f>IFERROR(INDEX('Email Cleaner'!$B$2:$B$10001,MATCH(3649,'Email Cleaner'!$K$2:$K$10001,0)),"")</f>
        <v/>
      </c>
    </row>
    <row r="3651">
      <c r="A3651">
        <f>IFERROR(INDEX('Email Cleaner'!$B$2:$B$10001,MATCH(3650,'Email Cleaner'!$K$2:$K$10001,0)),"")</f>
        <v/>
      </c>
    </row>
    <row r="3652">
      <c r="A3652">
        <f>IFERROR(INDEX('Email Cleaner'!$B$2:$B$10001,MATCH(3651,'Email Cleaner'!$K$2:$K$10001,0)),"")</f>
        <v/>
      </c>
    </row>
    <row r="3653">
      <c r="A3653">
        <f>IFERROR(INDEX('Email Cleaner'!$B$2:$B$10001,MATCH(3652,'Email Cleaner'!$K$2:$K$10001,0)),"")</f>
        <v/>
      </c>
    </row>
    <row r="3654">
      <c r="A3654">
        <f>IFERROR(INDEX('Email Cleaner'!$B$2:$B$10001,MATCH(3653,'Email Cleaner'!$K$2:$K$10001,0)),"")</f>
        <v/>
      </c>
    </row>
    <row r="3655">
      <c r="A3655">
        <f>IFERROR(INDEX('Email Cleaner'!$B$2:$B$10001,MATCH(3654,'Email Cleaner'!$K$2:$K$10001,0)),"")</f>
        <v/>
      </c>
    </row>
    <row r="3656">
      <c r="A3656">
        <f>IFERROR(INDEX('Email Cleaner'!$B$2:$B$10001,MATCH(3655,'Email Cleaner'!$K$2:$K$10001,0)),"")</f>
        <v/>
      </c>
    </row>
    <row r="3657">
      <c r="A3657">
        <f>IFERROR(INDEX('Email Cleaner'!$B$2:$B$10001,MATCH(3656,'Email Cleaner'!$K$2:$K$10001,0)),"")</f>
        <v/>
      </c>
    </row>
    <row r="3658">
      <c r="A3658">
        <f>IFERROR(INDEX('Email Cleaner'!$B$2:$B$10001,MATCH(3657,'Email Cleaner'!$K$2:$K$10001,0)),"")</f>
        <v/>
      </c>
    </row>
    <row r="3659">
      <c r="A3659">
        <f>IFERROR(INDEX('Email Cleaner'!$B$2:$B$10001,MATCH(3658,'Email Cleaner'!$K$2:$K$10001,0)),"")</f>
        <v/>
      </c>
    </row>
    <row r="3660">
      <c r="A3660">
        <f>IFERROR(INDEX('Email Cleaner'!$B$2:$B$10001,MATCH(3659,'Email Cleaner'!$K$2:$K$10001,0)),"")</f>
        <v/>
      </c>
    </row>
    <row r="3661">
      <c r="A3661">
        <f>IFERROR(INDEX('Email Cleaner'!$B$2:$B$10001,MATCH(3660,'Email Cleaner'!$K$2:$K$10001,0)),"")</f>
        <v/>
      </c>
    </row>
    <row r="3662">
      <c r="A3662">
        <f>IFERROR(INDEX('Email Cleaner'!$B$2:$B$10001,MATCH(3661,'Email Cleaner'!$K$2:$K$10001,0)),"")</f>
        <v/>
      </c>
    </row>
    <row r="3663">
      <c r="A3663">
        <f>IFERROR(INDEX('Email Cleaner'!$B$2:$B$10001,MATCH(3662,'Email Cleaner'!$K$2:$K$10001,0)),"")</f>
        <v/>
      </c>
    </row>
    <row r="3664">
      <c r="A3664">
        <f>IFERROR(INDEX('Email Cleaner'!$B$2:$B$10001,MATCH(3663,'Email Cleaner'!$K$2:$K$10001,0)),"")</f>
        <v/>
      </c>
    </row>
    <row r="3665">
      <c r="A3665">
        <f>IFERROR(INDEX('Email Cleaner'!$B$2:$B$10001,MATCH(3664,'Email Cleaner'!$K$2:$K$10001,0)),"")</f>
        <v/>
      </c>
    </row>
    <row r="3666">
      <c r="A3666">
        <f>IFERROR(INDEX('Email Cleaner'!$B$2:$B$10001,MATCH(3665,'Email Cleaner'!$K$2:$K$10001,0)),"")</f>
        <v/>
      </c>
    </row>
    <row r="3667">
      <c r="A3667">
        <f>IFERROR(INDEX('Email Cleaner'!$B$2:$B$10001,MATCH(3666,'Email Cleaner'!$K$2:$K$10001,0)),"")</f>
        <v/>
      </c>
    </row>
    <row r="3668">
      <c r="A3668">
        <f>IFERROR(INDEX('Email Cleaner'!$B$2:$B$10001,MATCH(3667,'Email Cleaner'!$K$2:$K$10001,0)),"")</f>
        <v/>
      </c>
    </row>
    <row r="3669">
      <c r="A3669">
        <f>IFERROR(INDEX('Email Cleaner'!$B$2:$B$10001,MATCH(3668,'Email Cleaner'!$K$2:$K$10001,0)),"")</f>
        <v/>
      </c>
    </row>
    <row r="3670">
      <c r="A3670">
        <f>IFERROR(INDEX('Email Cleaner'!$B$2:$B$10001,MATCH(3669,'Email Cleaner'!$K$2:$K$10001,0)),"")</f>
        <v/>
      </c>
    </row>
    <row r="3671">
      <c r="A3671">
        <f>IFERROR(INDEX('Email Cleaner'!$B$2:$B$10001,MATCH(3670,'Email Cleaner'!$K$2:$K$10001,0)),"")</f>
        <v/>
      </c>
    </row>
    <row r="3672">
      <c r="A3672">
        <f>IFERROR(INDEX('Email Cleaner'!$B$2:$B$10001,MATCH(3671,'Email Cleaner'!$K$2:$K$10001,0)),"")</f>
        <v/>
      </c>
    </row>
    <row r="3673">
      <c r="A3673">
        <f>IFERROR(INDEX('Email Cleaner'!$B$2:$B$10001,MATCH(3672,'Email Cleaner'!$K$2:$K$10001,0)),"")</f>
        <v/>
      </c>
    </row>
    <row r="3674">
      <c r="A3674">
        <f>IFERROR(INDEX('Email Cleaner'!$B$2:$B$10001,MATCH(3673,'Email Cleaner'!$K$2:$K$10001,0)),"")</f>
        <v/>
      </c>
    </row>
    <row r="3675">
      <c r="A3675">
        <f>IFERROR(INDEX('Email Cleaner'!$B$2:$B$10001,MATCH(3674,'Email Cleaner'!$K$2:$K$10001,0)),"")</f>
        <v/>
      </c>
    </row>
    <row r="3676">
      <c r="A3676">
        <f>IFERROR(INDEX('Email Cleaner'!$B$2:$B$10001,MATCH(3675,'Email Cleaner'!$K$2:$K$10001,0)),"")</f>
        <v/>
      </c>
    </row>
    <row r="3677">
      <c r="A3677">
        <f>IFERROR(INDEX('Email Cleaner'!$B$2:$B$10001,MATCH(3676,'Email Cleaner'!$K$2:$K$10001,0)),"")</f>
        <v/>
      </c>
    </row>
    <row r="3678">
      <c r="A3678">
        <f>IFERROR(INDEX('Email Cleaner'!$B$2:$B$10001,MATCH(3677,'Email Cleaner'!$K$2:$K$10001,0)),"")</f>
        <v/>
      </c>
    </row>
    <row r="3679">
      <c r="A3679">
        <f>IFERROR(INDEX('Email Cleaner'!$B$2:$B$10001,MATCH(3678,'Email Cleaner'!$K$2:$K$10001,0)),"")</f>
        <v/>
      </c>
    </row>
    <row r="3680">
      <c r="A3680">
        <f>IFERROR(INDEX('Email Cleaner'!$B$2:$B$10001,MATCH(3679,'Email Cleaner'!$K$2:$K$10001,0)),"")</f>
        <v/>
      </c>
    </row>
    <row r="3681">
      <c r="A3681">
        <f>IFERROR(INDEX('Email Cleaner'!$B$2:$B$10001,MATCH(3680,'Email Cleaner'!$K$2:$K$10001,0)),"")</f>
        <v/>
      </c>
    </row>
    <row r="3682">
      <c r="A3682">
        <f>IFERROR(INDEX('Email Cleaner'!$B$2:$B$10001,MATCH(3681,'Email Cleaner'!$K$2:$K$10001,0)),"")</f>
        <v/>
      </c>
    </row>
    <row r="3683">
      <c r="A3683">
        <f>IFERROR(INDEX('Email Cleaner'!$B$2:$B$10001,MATCH(3682,'Email Cleaner'!$K$2:$K$10001,0)),"")</f>
        <v/>
      </c>
    </row>
    <row r="3684">
      <c r="A3684">
        <f>IFERROR(INDEX('Email Cleaner'!$B$2:$B$10001,MATCH(3683,'Email Cleaner'!$K$2:$K$10001,0)),"")</f>
        <v/>
      </c>
    </row>
    <row r="3685">
      <c r="A3685">
        <f>IFERROR(INDEX('Email Cleaner'!$B$2:$B$10001,MATCH(3684,'Email Cleaner'!$K$2:$K$10001,0)),"")</f>
        <v/>
      </c>
    </row>
    <row r="3686">
      <c r="A3686">
        <f>IFERROR(INDEX('Email Cleaner'!$B$2:$B$10001,MATCH(3685,'Email Cleaner'!$K$2:$K$10001,0)),"")</f>
        <v/>
      </c>
    </row>
    <row r="3687">
      <c r="A3687">
        <f>IFERROR(INDEX('Email Cleaner'!$B$2:$B$10001,MATCH(3686,'Email Cleaner'!$K$2:$K$10001,0)),"")</f>
        <v/>
      </c>
    </row>
    <row r="3688">
      <c r="A3688">
        <f>IFERROR(INDEX('Email Cleaner'!$B$2:$B$10001,MATCH(3687,'Email Cleaner'!$K$2:$K$10001,0)),"")</f>
        <v/>
      </c>
    </row>
    <row r="3689">
      <c r="A3689">
        <f>IFERROR(INDEX('Email Cleaner'!$B$2:$B$10001,MATCH(3688,'Email Cleaner'!$K$2:$K$10001,0)),"")</f>
        <v/>
      </c>
    </row>
    <row r="3690">
      <c r="A3690">
        <f>IFERROR(INDEX('Email Cleaner'!$B$2:$B$10001,MATCH(3689,'Email Cleaner'!$K$2:$K$10001,0)),"")</f>
        <v/>
      </c>
    </row>
    <row r="3691">
      <c r="A3691">
        <f>IFERROR(INDEX('Email Cleaner'!$B$2:$B$10001,MATCH(3690,'Email Cleaner'!$K$2:$K$10001,0)),"")</f>
        <v/>
      </c>
    </row>
    <row r="3692">
      <c r="A3692">
        <f>IFERROR(INDEX('Email Cleaner'!$B$2:$B$10001,MATCH(3691,'Email Cleaner'!$K$2:$K$10001,0)),"")</f>
        <v/>
      </c>
    </row>
    <row r="3693">
      <c r="A3693">
        <f>IFERROR(INDEX('Email Cleaner'!$B$2:$B$10001,MATCH(3692,'Email Cleaner'!$K$2:$K$10001,0)),"")</f>
        <v/>
      </c>
    </row>
    <row r="3694">
      <c r="A3694">
        <f>IFERROR(INDEX('Email Cleaner'!$B$2:$B$10001,MATCH(3693,'Email Cleaner'!$K$2:$K$10001,0)),"")</f>
        <v/>
      </c>
    </row>
    <row r="3695">
      <c r="A3695">
        <f>IFERROR(INDEX('Email Cleaner'!$B$2:$B$10001,MATCH(3694,'Email Cleaner'!$K$2:$K$10001,0)),"")</f>
        <v/>
      </c>
    </row>
    <row r="3696">
      <c r="A3696">
        <f>IFERROR(INDEX('Email Cleaner'!$B$2:$B$10001,MATCH(3695,'Email Cleaner'!$K$2:$K$10001,0)),"")</f>
        <v/>
      </c>
    </row>
    <row r="3697">
      <c r="A3697">
        <f>IFERROR(INDEX('Email Cleaner'!$B$2:$B$10001,MATCH(3696,'Email Cleaner'!$K$2:$K$10001,0)),"")</f>
        <v/>
      </c>
    </row>
    <row r="3698">
      <c r="A3698">
        <f>IFERROR(INDEX('Email Cleaner'!$B$2:$B$10001,MATCH(3697,'Email Cleaner'!$K$2:$K$10001,0)),"")</f>
        <v/>
      </c>
    </row>
    <row r="3699">
      <c r="A3699">
        <f>IFERROR(INDEX('Email Cleaner'!$B$2:$B$10001,MATCH(3698,'Email Cleaner'!$K$2:$K$10001,0)),"")</f>
        <v/>
      </c>
    </row>
    <row r="3700">
      <c r="A3700">
        <f>IFERROR(INDEX('Email Cleaner'!$B$2:$B$10001,MATCH(3699,'Email Cleaner'!$K$2:$K$10001,0)),"")</f>
        <v/>
      </c>
    </row>
    <row r="3701">
      <c r="A3701">
        <f>IFERROR(INDEX('Email Cleaner'!$B$2:$B$10001,MATCH(3700,'Email Cleaner'!$K$2:$K$10001,0)),"")</f>
        <v/>
      </c>
    </row>
    <row r="3702">
      <c r="A3702">
        <f>IFERROR(INDEX('Email Cleaner'!$B$2:$B$10001,MATCH(3701,'Email Cleaner'!$K$2:$K$10001,0)),"")</f>
        <v/>
      </c>
    </row>
    <row r="3703">
      <c r="A3703">
        <f>IFERROR(INDEX('Email Cleaner'!$B$2:$B$10001,MATCH(3702,'Email Cleaner'!$K$2:$K$10001,0)),"")</f>
        <v/>
      </c>
    </row>
    <row r="3704">
      <c r="A3704">
        <f>IFERROR(INDEX('Email Cleaner'!$B$2:$B$10001,MATCH(3703,'Email Cleaner'!$K$2:$K$10001,0)),"")</f>
        <v/>
      </c>
    </row>
    <row r="3705">
      <c r="A3705">
        <f>IFERROR(INDEX('Email Cleaner'!$B$2:$B$10001,MATCH(3704,'Email Cleaner'!$K$2:$K$10001,0)),"")</f>
        <v/>
      </c>
    </row>
    <row r="3706">
      <c r="A3706">
        <f>IFERROR(INDEX('Email Cleaner'!$B$2:$B$10001,MATCH(3705,'Email Cleaner'!$K$2:$K$10001,0)),"")</f>
        <v/>
      </c>
    </row>
    <row r="3707">
      <c r="A3707">
        <f>IFERROR(INDEX('Email Cleaner'!$B$2:$B$10001,MATCH(3706,'Email Cleaner'!$K$2:$K$10001,0)),"")</f>
        <v/>
      </c>
    </row>
    <row r="3708">
      <c r="A3708">
        <f>IFERROR(INDEX('Email Cleaner'!$B$2:$B$10001,MATCH(3707,'Email Cleaner'!$K$2:$K$10001,0)),"")</f>
        <v/>
      </c>
    </row>
    <row r="3709">
      <c r="A3709">
        <f>IFERROR(INDEX('Email Cleaner'!$B$2:$B$10001,MATCH(3708,'Email Cleaner'!$K$2:$K$10001,0)),"")</f>
        <v/>
      </c>
    </row>
    <row r="3710">
      <c r="A3710">
        <f>IFERROR(INDEX('Email Cleaner'!$B$2:$B$10001,MATCH(3709,'Email Cleaner'!$K$2:$K$10001,0)),"")</f>
        <v/>
      </c>
    </row>
    <row r="3711">
      <c r="A3711">
        <f>IFERROR(INDEX('Email Cleaner'!$B$2:$B$10001,MATCH(3710,'Email Cleaner'!$K$2:$K$10001,0)),"")</f>
        <v/>
      </c>
    </row>
    <row r="3712">
      <c r="A3712">
        <f>IFERROR(INDEX('Email Cleaner'!$B$2:$B$10001,MATCH(3711,'Email Cleaner'!$K$2:$K$10001,0)),"")</f>
        <v/>
      </c>
    </row>
    <row r="3713">
      <c r="A3713">
        <f>IFERROR(INDEX('Email Cleaner'!$B$2:$B$10001,MATCH(3712,'Email Cleaner'!$K$2:$K$10001,0)),"")</f>
        <v/>
      </c>
    </row>
    <row r="3714">
      <c r="A3714">
        <f>IFERROR(INDEX('Email Cleaner'!$B$2:$B$10001,MATCH(3713,'Email Cleaner'!$K$2:$K$10001,0)),"")</f>
        <v/>
      </c>
    </row>
    <row r="3715">
      <c r="A3715">
        <f>IFERROR(INDEX('Email Cleaner'!$B$2:$B$10001,MATCH(3714,'Email Cleaner'!$K$2:$K$10001,0)),"")</f>
        <v/>
      </c>
    </row>
    <row r="3716">
      <c r="A3716">
        <f>IFERROR(INDEX('Email Cleaner'!$B$2:$B$10001,MATCH(3715,'Email Cleaner'!$K$2:$K$10001,0)),"")</f>
        <v/>
      </c>
    </row>
    <row r="3717">
      <c r="A3717">
        <f>IFERROR(INDEX('Email Cleaner'!$B$2:$B$10001,MATCH(3716,'Email Cleaner'!$K$2:$K$10001,0)),"")</f>
        <v/>
      </c>
    </row>
    <row r="3718">
      <c r="A3718">
        <f>IFERROR(INDEX('Email Cleaner'!$B$2:$B$10001,MATCH(3717,'Email Cleaner'!$K$2:$K$10001,0)),"")</f>
        <v/>
      </c>
    </row>
    <row r="3719">
      <c r="A3719">
        <f>IFERROR(INDEX('Email Cleaner'!$B$2:$B$10001,MATCH(3718,'Email Cleaner'!$K$2:$K$10001,0)),"")</f>
        <v/>
      </c>
    </row>
    <row r="3720">
      <c r="A3720">
        <f>IFERROR(INDEX('Email Cleaner'!$B$2:$B$10001,MATCH(3719,'Email Cleaner'!$K$2:$K$10001,0)),"")</f>
        <v/>
      </c>
    </row>
    <row r="3721">
      <c r="A3721">
        <f>IFERROR(INDEX('Email Cleaner'!$B$2:$B$10001,MATCH(3720,'Email Cleaner'!$K$2:$K$10001,0)),"")</f>
        <v/>
      </c>
    </row>
    <row r="3722">
      <c r="A3722">
        <f>IFERROR(INDEX('Email Cleaner'!$B$2:$B$10001,MATCH(3721,'Email Cleaner'!$K$2:$K$10001,0)),"")</f>
        <v/>
      </c>
    </row>
    <row r="3723">
      <c r="A3723">
        <f>IFERROR(INDEX('Email Cleaner'!$B$2:$B$10001,MATCH(3722,'Email Cleaner'!$K$2:$K$10001,0)),"")</f>
        <v/>
      </c>
    </row>
    <row r="3724">
      <c r="A3724">
        <f>IFERROR(INDEX('Email Cleaner'!$B$2:$B$10001,MATCH(3723,'Email Cleaner'!$K$2:$K$10001,0)),"")</f>
        <v/>
      </c>
    </row>
    <row r="3725">
      <c r="A3725">
        <f>IFERROR(INDEX('Email Cleaner'!$B$2:$B$10001,MATCH(3724,'Email Cleaner'!$K$2:$K$10001,0)),"")</f>
        <v/>
      </c>
    </row>
    <row r="3726">
      <c r="A3726">
        <f>IFERROR(INDEX('Email Cleaner'!$B$2:$B$10001,MATCH(3725,'Email Cleaner'!$K$2:$K$10001,0)),"")</f>
        <v/>
      </c>
    </row>
    <row r="3727">
      <c r="A3727">
        <f>IFERROR(INDEX('Email Cleaner'!$B$2:$B$10001,MATCH(3726,'Email Cleaner'!$K$2:$K$10001,0)),"")</f>
        <v/>
      </c>
    </row>
    <row r="3728">
      <c r="A3728">
        <f>IFERROR(INDEX('Email Cleaner'!$B$2:$B$10001,MATCH(3727,'Email Cleaner'!$K$2:$K$10001,0)),"")</f>
        <v/>
      </c>
    </row>
    <row r="3729">
      <c r="A3729">
        <f>IFERROR(INDEX('Email Cleaner'!$B$2:$B$10001,MATCH(3728,'Email Cleaner'!$K$2:$K$10001,0)),"")</f>
        <v/>
      </c>
    </row>
    <row r="3730">
      <c r="A3730">
        <f>IFERROR(INDEX('Email Cleaner'!$B$2:$B$10001,MATCH(3729,'Email Cleaner'!$K$2:$K$10001,0)),"")</f>
        <v/>
      </c>
    </row>
    <row r="3731">
      <c r="A3731">
        <f>IFERROR(INDEX('Email Cleaner'!$B$2:$B$10001,MATCH(3730,'Email Cleaner'!$K$2:$K$10001,0)),"")</f>
        <v/>
      </c>
    </row>
    <row r="3732">
      <c r="A3732">
        <f>IFERROR(INDEX('Email Cleaner'!$B$2:$B$10001,MATCH(3731,'Email Cleaner'!$K$2:$K$10001,0)),"")</f>
        <v/>
      </c>
    </row>
    <row r="3733">
      <c r="A3733">
        <f>IFERROR(INDEX('Email Cleaner'!$B$2:$B$10001,MATCH(3732,'Email Cleaner'!$K$2:$K$10001,0)),"")</f>
        <v/>
      </c>
    </row>
    <row r="3734">
      <c r="A3734">
        <f>IFERROR(INDEX('Email Cleaner'!$B$2:$B$10001,MATCH(3733,'Email Cleaner'!$K$2:$K$10001,0)),"")</f>
        <v/>
      </c>
    </row>
    <row r="3735">
      <c r="A3735">
        <f>IFERROR(INDEX('Email Cleaner'!$B$2:$B$10001,MATCH(3734,'Email Cleaner'!$K$2:$K$10001,0)),"")</f>
        <v/>
      </c>
    </row>
    <row r="3736">
      <c r="A3736">
        <f>IFERROR(INDEX('Email Cleaner'!$B$2:$B$10001,MATCH(3735,'Email Cleaner'!$K$2:$K$10001,0)),"")</f>
        <v/>
      </c>
    </row>
    <row r="3737">
      <c r="A3737">
        <f>IFERROR(INDEX('Email Cleaner'!$B$2:$B$10001,MATCH(3736,'Email Cleaner'!$K$2:$K$10001,0)),"")</f>
        <v/>
      </c>
    </row>
    <row r="3738">
      <c r="A3738">
        <f>IFERROR(INDEX('Email Cleaner'!$B$2:$B$10001,MATCH(3737,'Email Cleaner'!$K$2:$K$10001,0)),"")</f>
        <v/>
      </c>
    </row>
    <row r="3739">
      <c r="A3739">
        <f>IFERROR(INDEX('Email Cleaner'!$B$2:$B$10001,MATCH(3738,'Email Cleaner'!$K$2:$K$10001,0)),"")</f>
        <v/>
      </c>
    </row>
    <row r="3740">
      <c r="A3740">
        <f>IFERROR(INDEX('Email Cleaner'!$B$2:$B$10001,MATCH(3739,'Email Cleaner'!$K$2:$K$10001,0)),"")</f>
        <v/>
      </c>
    </row>
    <row r="3741">
      <c r="A3741">
        <f>IFERROR(INDEX('Email Cleaner'!$B$2:$B$10001,MATCH(3740,'Email Cleaner'!$K$2:$K$10001,0)),"")</f>
        <v/>
      </c>
    </row>
    <row r="3742">
      <c r="A3742">
        <f>IFERROR(INDEX('Email Cleaner'!$B$2:$B$10001,MATCH(3741,'Email Cleaner'!$K$2:$K$10001,0)),"")</f>
        <v/>
      </c>
    </row>
    <row r="3743">
      <c r="A3743">
        <f>IFERROR(INDEX('Email Cleaner'!$B$2:$B$10001,MATCH(3742,'Email Cleaner'!$K$2:$K$10001,0)),"")</f>
        <v/>
      </c>
    </row>
    <row r="3744">
      <c r="A3744">
        <f>IFERROR(INDEX('Email Cleaner'!$B$2:$B$10001,MATCH(3743,'Email Cleaner'!$K$2:$K$10001,0)),"")</f>
        <v/>
      </c>
    </row>
    <row r="3745">
      <c r="A3745">
        <f>IFERROR(INDEX('Email Cleaner'!$B$2:$B$10001,MATCH(3744,'Email Cleaner'!$K$2:$K$10001,0)),"")</f>
        <v/>
      </c>
    </row>
    <row r="3746">
      <c r="A3746">
        <f>IFERROR(INDEX('Email Cleaner'!$B$2:$B$10001,MATCH(3745,'Email Cleaner'!$K$2:$K$10001,0)),"")</f>
        <v/>
      </c>
    </row>
    <row r="3747">
      <c r="A3747">
        <f>IFERROR(INDEX('Email Cleaner'!$B$2:$B$10001,MATCH(3746,'Email Cleaner'!$K$2:$K$10001,0)),"")</f>
        <v/>
      </c>
    </row>
    <row r="3748">
      <c r="A3748">
        <f>IFERROR(INDEX('Email Cleaner'!$B$2:$B$10001,MATCH(3747,'Email Cleaner'!$K$2:$K$10001,0)),"")</f>
        <v/>
      </c>
    </row>
    <row r="3749">
      <c r="A3749">
        <f>IFERROR(INDEX('Email Cleaner'!$B$2:$B$10001,MATCH(3748,'Email Cleaner'!$K$2:$K$10001,0)),"")</f>
        <v/>
      </c>
    </row>
    <row r="3750">
      <c r="A3750">
        <f>IFERROR(INDEX('Email Cleaner'!$B$2:$B$10001,MATCH(3749,'Email Cleaner'!$K$2:$K$10001,0)),"")</f>
        <v/>
      </c>
    </row>
    <row r="3751">
      <c r="A3751">
        <f>IFERROR(INDEX('Email Cleaner'!$B$2:$B$10001,MATCH(3750,'Email Cleaner'!$K$2:$K$10001,0)),"")</f>
        <v/>
      </c>
    </row>
    <row r="3752">
      <c r="A3752">
        <f>IFERROR(INDEX('Email Cleaner'!$B$2:$B$10001,MATCH(3751,'Email Cleaner'!$K$2:$K$10001,0)),"")</f>
        <v/>
      </c>
    </row>
    <row r="3753">
      <c r="A3753">
        <f>IFERROR(INDEX('Email Cleaner'!$B$2:$B$10001,MATCH(3752,'Email Cleaner'!$K$2:$K$10001,0)),"")</f>
        <v/>
      </c>
    </row>
    <row r="3754">
      <c r="A3754">
        <f>IFERROR(INDEX('Email Cleaner'!$B$2:$B$10001,MATCH(3753,'Email Cleaner'!$K$2:$K$10001,0)),"")</f>
        <v/>
      </c>
    </row>
    <row r="3755">
      <c r="A3755">
        <f>IFERROR(INDEX('Email Cleaner'!$B$2:$B$10001,MATCH(3754,'Email Cleaner'!$K$2:$K$10001,0)),"")</f>
        <v/>
      </c>
    </row>
    <row r="3756">
      <c r="A3756">
        <f>IFERROR(INDEX('Email Cleaner'!$B$2:$B$10001,MATCH(3755,'Email Cleaner'!$K$2:$K$10001,0)),"")</f>
        <v/>
      </c>
    </row>
    <row r="3757">
      <c r="A3757">
        <f>IFERROR(INDEX('Email Cleaner'!$B$2:$B$10001,MATCH(3756,'Email Cleaner'!$K$2:$K$10001,0)),"")</f>
        <v/>
      </c>
    </row>
    <row r="3758">
      <c r="A3758">
        <f>IFERROR(INDEX('Email Cleaner'!$B$2:$B$10001,MATCH(3757,'Email Cleaner'!$K$2:$K$10001,0)),"")</f>
        <v/>
      </c>
    </row>
    <row r="3759">
      <c r="A3759">
        <f>IFERROR(INDEX('Email Cleaner'!$B$2:$B$10001,MATCH(3758,'Email Cleaner'!$K$2:$K$10001,0)),"")</f>
        <v/>
      </c>
    </row>
    <row r="3760">
      <c r="A3760">
        <f>IFERROR(INDEX('Email Cleaner'!$B$2:$B$10001,MATCH(3759,'Email Cleaner'!$K$2:$K$10001,0)),"")</f>
        <v/>
      </c>
    </row>
    <row r="3761">
      <c r="A3761">
        <f>IFERROR(INDEX('Email Cleaner'!$B$2:$B$10001,MATCH(3760,'Email Cleaner'!$K$2:$K$10001,0)),"")</f>
        <v/>
      </c>
    </row>
    <row r="3762">
      <c r="A3762">
        <f>IFERROR(INDEX('Email Cleaner'!$B$2:$B$10001,MATCH(3761,'Email Cleaner'!$K$2:$K$10001,0)),"")</f>
        <v/>
      </c>
    </row>
    <row r="3763">
      <c r="A3763">
        <f>IFERROR(INDEX('Email Cleaner'!$B$2:$B$10001,MATCH(3762,'Email Cleaner'!$K$2:$K$10001,0)),"")</f>
        <v/>
      </c>
    </row>
    <row r="3764">
      <c r="A3764">
        <f>IFERROR(INDEX('Email Cleaner'!$B$2:$B$10001,MATCH(3763,'Email Cleaner'!$K$2:$K$10001,0)),"")</f>
        <v/>
      </c>
    </row>
    <row r="3765">
      <c r="A3765">
        <f>IFERROR(INDEX('Email Cleaner'!$B$2:$B$10001,MATCH(3764,'Email Cleaner'!$K$2:$K$10001,0)),"")</f>
        <v/>
      </c>
    </row>
    <row r="3766">
      <c r="A3766">
        <f>IFERROR(INDEX('Email Cleaner'!$B$2:$B$10001,MATCH(3765,'Email Cleaner'!$K$2:$K$10001,0)),"")</f>
        <v/>
      </c>
    </row>
    <row r="3767">
      <c r="A3767">
        <f>IFERROR(INDEX('Email Cleaner'!$B$2:$B$10001,MATCH(3766,'Email Cleaner'!$K$2:$K$10001,0)),"")</f>
        <v/>
      </c>
    </row>
    <row r="3768">
      <c r="A3768">
        <f>IFERROR(INDEX('Email Cleaner'!$B$2:$B$10001,MATCH(3767,'Email Cleaner'!$K$2:$K$10001,0)),"")</f>
        <v/>
      </c>
    </row>
    <row r="3769">
      <c r="A3769">
        <f>IFERROR(INDEX('Email Cleaner'!$B$2:$B$10001,MATCH(3768,'Email Cleaner'!$K$2:$K$10001,0)),"")</f>
        <v/>
      </c>
    </row>
    <row r="3770">
      <c r="A3770">
        <f>IFERROR(INDEX('Email Cleaner'!$B$2:$B$10001,MATCH(3769,'Email Cleaner'!$K$2:$K$10001,0)),"")</f>
        <v/>
      </c>
    </row>
    <row r="3771">
      <c r="A3771">
        <f>IFERROR(INDEX('Email Cleaner'!$B$2:$B$10001,MATCH(3770,'Email Cleaner'!$K$2:$K$10001,0)),"")</f>
        <v/>
      </c>
    </row>
    <row r="3772">
      <c r="A3772">
        <f>IFERROR(INDEX('Email Cleaner'!$B$2:$B$10001,MATCH(3771,'Email Cleaner'!$K$2:$K$10001,0)),"")</f>
        <v/>
      </c>
    </row>
    <row r="3773">
      <c r="A3773">
        <f>IFERROR(INDEX('Email Cleaner'!$B$2:$B$10001,MATCH(3772,'Email Cleaner'!$K$2:$K$10001,0)),"")</f>
        <v/>
      </c>
    </row>
    <row r="3774">
      <c r="A3774">
        <f>IFERROR(INDEX('Email Cleaner'!$B$2:$B$10001,MATCH(3773,'Email Cleaner'!$K$2:$K$10001,0)),"")</f>
        <v/>
      </c>
    </row>
    <row r="3775">
      <c r="A3775">
        <f>IFERROR(INDEX('Email Cleaner'!$B$2:$B$10001,MATCH(3774,'Email Cleaner'!$K$2:$K$10001,0)),"")</f>
        <v/>
      </c>
    </row>
    <row r="3776">
      <c r="A3776">
        <f>IFERROR(INDEX('Email Cleaner'!$B$2:$B$10001,MATCH(3775,'Email Cleaner'!$K$2:$K$10001,0)),"")</f>
        <v/>
      </c>
    </row>
    <row r="3777">
      <c r="A3777">
        <f>IFERROR(INDEX('Email Cleaner'!$B$2:$B$10001,MATCH(3776,'Email Cleaner'!$K$2:$K$10001,0)),"")</f>
        <v/>
      </c>
    </row>
    <row r="3778">
      <c r="A3778">
        <f>IFERROR(INDEX('Email Cleaner'!$B$2:$B$10001,MATCH(3777,'Email Cleaner'!$K$2:$K$10001,0)),"")</f>
        <v/>
      </c>
    </row>
    <row r="3779">
      <c r="A3779">
        <f>IFERROR(INDEX('Email Cleaner'!$B$2:$B$10001,MATCH(3778,'Email Cleaner'!$K$2:$K$10001,0)),"")</f>
        <v/>
      </c>
    </row>
    <row r="3780">
      <c r="A3780">
        <f>IFERROR(INDEX('Email Cleaner'!$B$2:$B$10001,MATCH(3779,'Email Cleaner'!$K$2:$K$10001,0)),"")</f>
        <v/>
      </c>
    </row>
    <row r="3781">
      <c r="A3781">
        <f>IFERROR(INDEX('Email Cleaner'!$B$2:$B$10001,MATCH(3780,'Email Cleaner'!$K$2:$K$10001,0)),"")</f>
        <v/>
      </c>
    </row>
    <row r="3782">
      <c r="A3782">
        <f>IFERROR(INDEX('Email Cleaner'!$B$2:$B$10001,MATCH(3781,'Email Cleaner'!$K$2:$K$10001,0)),"")</f>
        <v/>
      </c>
    </row>
    <row r="3783">
      <c r="A3783">
        <f>IFERROR(INDEX('Email Cleaner'!$B$2:$B$10001,MATCH(3782,'Email Cleaner'!$K$2:$K$10001,0)),"")</f>
        <v/>
      </c>
    </row>
    <row r="3784">
      <c r="A3784">
        <f>IFERROR(INDEX('Email Cleaner'!$B$2:$B$10001,MATCH(3783,'Email Cleaner'!$K$2:$K$10001,0)),"")</f>
        <v/>
      </c>
    </row>
    <row r="3785">
      <c r="A3785">
        <f>IFERROR(INDEX('Email Cleaner'!$B$2:$B$10001,MATCH(3784,'Email Cleaner'!$K$2:$K$10001,0)),"")</f>
        <v/>
      </c>
    </row>
    <row r="3786">
      <c r="A3786">
        <f>IFERROR(INDEX('Email Cleaner'!$B$2:$B$10001,MATCH(3785,'Email Cleaner'!$K$2:$K$10001,0)),"")</f>
        <v/>
      </c>
    </row>
    <row r="3787">
      <c r="A3787">
        <f>IFERROR(INDEX('Email Cleaner'!$B$2:$B$10001,MATCH(3786,'Email Cleaner'!$K$2:$K$10001,0)),"")</f>
        <v/>
      </c>
    </row>
    <row r="3788">
      <c r="A3788">
        <f>IFERROR(INDEX('Email Cleaner'!$B$2:$B$10001,MATCH(3787,'Email Cleaner'!$K$2:$K$10001,0)),"")</f>
        <v/>
      </c>
    </row>
    <row r="3789">
      <c r="A3789">
        <f>IFERROR(INDEX('Email Cleaner'!$B$2:$B$10001,MATCH(3788,'Email Cleaner'!$K$2:$K$10001,0)),"")</f>
        <v/>
      </c>
    </row>
    <row r="3790">
      <c r="A3790">
        <f>IFERROR(INDEX('Email Cleaner'!$B$2:$B$10001,MATCH(3789,'Email Cleaner'!$K$2:$K$10001,0)),"")</f>
        <v/>
      </c>
    </row>
    <row r="3791">
      <c r="A3791">
        <f>IFERROR(INDEX('Email Cleaner'!$B$2:$B$10001,MATCH(3790,'Email Cleaner'!$K$2:$K$10001,0)),"")</f>
        <v/>
      </c>
    </row>
    <row r="3792">
      <c r="A3792">
        <f>IFERROR(INDEX('Email Cleaner'!$B$2:$B$10001,MATCH(3791,'Email Cleaner'!$K$2:$K$10001,0)),"")</f>
        <v/>
      </c>
    </row>
    <row r="3793">
      <c r="A3793">
        <f>IFERROR(INDEX('Email Cleaner'!$B$2:$B$10001,MATCH(3792,'Email Cleaner'!$K$2:$K$10001,0)),"")</f>
        <v/>
      </c>
    </row>
    <row r="3794">
      <c r="A3794">
        <f>IFERROR(INDEX('Email Cleaner'!$B$2:$B$10001,MATCH(3793,'Email Cleaner'!$K$2:$K$10001,0)),"")</f>
        <v/>
      </c>
    </row>
    <row r="3795">
      <c r="A3795">
        <f>IFERROR(INDEX('Email Cleaner'!$B$2:$B$10001,MATCH(3794,'Email Cleaner'!$K$2:$K$10001,0)),"")</f>
        <v/>
      </c>
    </row>
    <row r="3796">
      <c r="A3796">
        <f>IFERROR(INDEX('Email Cleaner'!$B$2:$B$10001,MATCH(3795,'Email Cleaner'!$K$2:$K$10001,0)),"")</f>
        <v/>
      </c>
    </row>
    <row r="3797">
      <c r="A3797">
        <f>IFERROR(INDEX('Email Cleaner'!$B$2:$B$10001,MATCH(3796,'Email Cleaner'!$K$2:$K$10001,0)),"")</f>
        <v/>
      </c>
    </row>
    <row r="3798">
      <c r="A3798">
        <f>IFERROR(INDEX('Email Cleaner'!$B$2:$B$10001,MATCH(3797,'Email Cleaner'!$K$2:$K$10001,0)),"")</f>
        <v/>
      </c>
    </row>
    <row r="3799">
      <c r="A3799">
        <f>IFERROR(INDEX('Email Cleaner'!$B$2:$B$10001,MATCH(3798,'Email Cleaner'!$K$2:$K$10001,0)),"")</f>
        <v/>
      </c>
    </row>
    <row r="3800">
      <c r="A3800">
        <f>IFERROR(INDEX('Email Cleaner'!$B$2:$B$10001,MATCH(3799,'Email Cleaner'!$K$2:$K$10001,0)),"")</f>
        <v/>
      </c>
    </row>
    <row r="3801">
      <c r="A3801">
        <f>IFERROR(INDEX('Email Cleaner'!$B$2:$B$10001,MATCH(3800,'Email Cleaner'!$K$2:$K$10001,0)),"")</f>
        <v/>
      </c>
    </row>
    <row r="3802">
      <c r="A3802">
        <f>IFERROR(INDEX('Email Cleaner'!$B$2:$B$10001,MATCH(3801,'Email Cleaner'!$K$2:$K$10001,0)),"")</f>
        <v/>
      </c>
    </row>
    <row r="3803">
      <c r="A3803">
        <f>IFERROR(INDEX('Email Cleaner'!$B$2:$B$10001,MATCH(3802,'Email Cleaner'!$K$2:$K$10001,0)),"")</f>
        <v/>
      </c>
    </row>
    <row r="3804">
      <c r="A3804">
        <f>IFERROR(INDEX('Email Cleaner'!$B$2:$B$10001,MATCH(3803,'Email Cleaner'!$K$2:$K$10001,0)),"")</f>
        <v/>
      </c>
    </row>
    <row r="3805">
      <c r="A3805">
        <f>IFERROR(INDEX('Email Cleaner'!$B$2:$B$10001,MATCH(3804,'Email Cleaner'!$K$2:$K$10001,0)),"")</f>
        <v/>
      </c>
    </row>
    <row r="3806">
      <c r="A3806">
        <f>IFERROR(INDEX('Email Cleaner'!$B$2:$B$10001,MATCH(3805,'Email Cleaner'!$K$2:$K$10001,0)),"")</f>
        <v/>
      </c>
    </row>
    <row r="3807">
      <c r="A3807">
        <f>IFERROR(INDEX('Email Cleaner'!$B$2:$B$10001,MATCH(3806,'Email Cleaner'!$K$2:$K$10001,0)),"")</f>
        <v/>
      </c>
    </row>
    <row r="3808">
      <c r="A3808">
        <f>IFERROR(INDEX('Email Cleaner'!$B$2:$B$10001,MATCH(3807,'Email Cleaner'!$K$2:$K$10001,0)),"")</f>
        <v/>
      </c>
    </row>
    <row r="3809">
      <c r="A3809">
        <f>IFERROR(INDEX('Email Cleaner'!$B$2:$B$10001,MATCH(3808,'Email Cleaner'!$K$2:$K$10001,0)),"")</f>
        <v/>
      </c>
    </row>
    <row r="3810">
      <c r="A3810">
        <f>IFERROR(INDEX('Email Cleaner'!$B$2:$B$10001,MATCH(3809,'Email Cleaner'!$K$2:$K$10001,0)),"")</f>
        <v/>
      </c>
    </row>
    <row r="3811">
      <c r="A3811">
        <f>IFERROR(INDEX('Email Cleaner'!$B$2:$B$10001,MATCH(3810,'Email Cleaner'!$K$2:$K$10001,0)),"")</f>
        <v/>
      </c>
    </row>
    <row r="3812">
      <c r="A3812">
        <f>IFERROR(INDEX('Email Cleaner'!$B$2:$B$10001,MATCH(3811,'Email Cleaner'!$K$2:$K$10001,0)),"")</f>
        <v/>
      </c>
    </row>
    <row r="3813">
      <c r="A3813">
        <f>IFERROR(INDEX('Email Cleaner'!$B$2:$B$10001,MATCH(3812,'Email Cleaner'!$K$2:$K$10001,0)),"")</f>
        <v/>
      </c>
    </row>
    <row r="3814">
      <c r="A3814">
        <f>IFERROR(INDEX('Email Cleaner'!$B$2:$B$10001,MATCH(3813,'Email Cleaner'!$K$2:$K$10001,0)),"")</f>
        <v/>
      </c>
    </row>
    <row r="3815">
      <c r="A3815">
        <f>IFERROR(INDEX('Email Cleaner'!$B$2:$B$10001,MATCH(3814,'Email Cleaner'!$K$2:$K$10001,0)),"")</f>
        <v/>
      </c>
    </row>
    <row r="3816">
      <c r="A3816">
        <f>IFERROR(INDEX('Email Cleaner'!$B$2:$B$10001,MATCH(3815,'Email Cleaner'!$K$2:$K$10001,0)),"")</f>
        <v/>
      </c>
    </row>
    <row r="3817">
      <c r="A3817">
        <f>IFERROR(INDEX('Email Cleaner'!$B$2:$B$10001,MATCH(3816,'Email Cleaner'!$K$2:$K$10001,0)),"")</f>
        <v/>
      </c>
    </row>
    <row r="3818">
      <c r="A3818">
        <f>IFERROR(INDEX('Email Cleaner'!$B$2:$B$10001,MATCH(3817,'Email Cleaner'!$K$2:$K$10001,0)),"")</f>
        <v/>
      </c>
    </row>
    <row r="3819">
      <c r="A3819">
        <f>IFERROR(INDEX('Email Cleaner'!$B$2:$B$10001,MATCH(3818,'Email Cleaner'!$K$2:$K$10001,0)),"")</f>
        <v/>
      </c>
    </row>
    <row r="3820">
      <c r="A3820">
        <f>IFERROR(INDEX('Email Cleaner'!$B$2:$B$10001,MATCH(3819,'Email Cleaner'!$K$2:$K$10001,0)),"")</f>
        <v/>
      </c>
    </row>
    <row r="3821">
      <c r="A3821">
        <f>IFERROR(INDEX('Email Cleaner'!$B$2:$B$10001,MATCH(3820,'Email Cleaner'!$K$2:$K$10001,0)),"")</f>
        <v/>
      </c>
    </row>
    <row r="3822">
      <c r="A3822">
        <f>IFERROR(INDEX('Email Cleaner'!$B$2:$B$10001,MATCH(3821,'Email Cleaner'!$K$2:$K$10001,0)),"")</f>
        <v/>
      </c>
    </row>
    <row r="3823">
      <c r="A3823">
        <f>IFERROR(INDEX('Email Cleaner'!$B$2:$B$10001,MATCH(3822,'Email Cleaner'!$K$2:$K$10001,0)),"")</f>
        <v/>
      </c>
    </row>
    <row r="3824">
      <c r="A3824">
        <f>IFERROR(INDEX('Email Cleaner'!$B$2:$B$10001,MATCH(3823,'Email Cleaner'!$K$2:$K$10001,0)),"")</f>
        <v/>
      </c>
    </row>
    <row r="3825">
      <c r="A3825">
        <f>IFERROR(INDEX('Email Cleaner'!$B$2:$B$10001,MATCH(3824,'Email Cleaner'!$K$2:$K$10001,0)),"")</f>
        <v/>
      </c>
    </row>
    <row r="3826">
      <c r="A3826">
        <f>IFERROR(INDEX('Email Cleaner'!$B$2:$B$10001,MATCH(3825,'Email Cleaner'!$K$2:$K$10001,0)),"")</f>
        <v/>
      </c>
    </row>
    <row r="3827">
      <c r="A3827">
        <f>IFERROR(INDEX('Email Cleaner'!$B$2:$B$10001,MATCH(3826,'Email Cleaner'!$K$2:$K$10001,0)),"")</f>
        <v/>
      </c>
    </row>
    <row r="3828">
      <c r="A3828">
        <f>IFERROR(INDEX('Email Cleaner'!$B$2:$B$10001,MATCH(3827,'Email Cleaner'!$K$2:$K$10001,0)),"")</f>
        <v/>
      </c>
    </row>
    <row r="3829">
      <c r="A3829">
        <f>IFERROR(INDEX('Email Cleaner'!$B$2:$B$10001,MATCH(3828,'Email Cleaner'!$K$2:$K$10001,0)),"")</f>
        <v/>
      </c>
    </row>
    <row r="3830">
      <c r="A3830">
        <f>IFERROR(INDEX('Email Cleaner'!$B$2:$B$10001,MATCH(3829,'Email Cleaner'!$K$2:$K$10001,0)),"")</f>
        <v/>
      </c>
    </row>
    <row r="3831">
      <c r="A3831">
        <f>IFERROR(INDEX('Email Cleaner'!$B$2:$B$10001,MATCH(3830,'Email Cleaner'!$K$2:$K$10001,0)),"")</f>
        <v/>
      </c>
    </row>
    <row r="3832">
      <c r="A3832">
        <f>IFERROR(INDEX('Email Cleaner'!$B$2:$B$10001,MATCH(3831,'Email Cleaner'!$K$2:$K$10001,0)),"")</f>
        <v/>
      </c>
    </row>
    <row r="3833">
      <c r="A3833">
        <f>IFERROR(INDEX('Email Cleaner'!$B$2:$B$10001,MATCH(3832,'Email Cleaner'!$K$2:$K$10001,0)),"")</f>
        <v/>
      </c>
    </row>
    <row r="3834">
      <c r="A3834">
        <f>IFERROR(INDEX('Email Cleaner'!$B$2:$B$10001,MATCH(3833,'Email Cleaner'!$K$2:$K$10001,0)),"")</f>
        <v/>
      </c>
    </row>
    <row r="3835">
      <c r="A3835">
        <f>IFERROR(INDEX('Email Cleaner'!$B$2:$B$10001,MATCH(3834,'Email Cleaner'!$K$2:$K$10001,0)),"")</f>
        <v/>
      </c>
    </row>
    <row r="3836">
      <c r="A3836">
        <f>IFERROR(INDEX('Email Cleaner'!$B$2:$B$10001,MATCH(3835,'Email Cleaner'!$K$2:$K$10001,0)),"")</f>
        <v/>
      </c>
    </row>
    <row r="3837">
      <c r="A3837">
        <f>IFERROR(INDEX('Email Cleaner'!$B$2:$B$10001,MATCH(3836,'Email Cleaner'!$K$2:$K$10001,0)),"")</f>
        <v/>
      </c>
    </row>
    <row r="3838">
      <c r="A3838">
        <f>IFERROR(INDEX('Email Cleaner'!$B$2:$B$10001,MATCH(3837,'Email Cleaner'!$K$2:$K$10001,0)),"")</f>
        <v/>
      </c>
    </row>
    <row r="3839">
      <c r="A3839">
        <f>IFERROR(INDEX('Email Cleaner'!$B$2:$B$10001,MATCH(3838,'Email Cleaner'!$K$2:$K$10001,0)),"")</f>
        <v/>
      </c>
    </row>
    <row r="3840">
      <c r="A3840">
        <f>IFERROR(INDEX('Email Cleaner'!$B$2:$B$10001,MATCH(3839,'Email Cleaner'!$K$2:$K$10001,0)),"")</f>
        <v/>
      </c>
    </row>
    <row r="3841">
      <c r="A3841">
        <f>IFERROR(INDEX('Email Cleaner'!$B$2:$B$10001,MATCH(3840,'Email Cleaner'!$K$2:$K$10001,0)),"")</f>
        <v/>
      </c>
    </row>
    <row r="3842">
      <c r="A3842">
        <f>IFERROR(INDEX('Email Cleaner'!$B$2:$B$10001,MATCH(3841,'Email Cleaner'!$K$2:$K$10001,0)),"")</f>
        <v/>
      </c>
    </row>
    <row r="3843">
      <c r="A3843">
        <f>IFERROR(INDEX('Email Cleaner'!$B$2:$B$10001,MATCH(3842,'Email Cleaner'!$K$2:$K$10001,0)),"")</f>
        <v/>
      </c>
    </row>
    <row r="3844">
      <c r="A3844">
        <f>IFERROR(INDEX('Email Cleaner'!$B$2:$B$10001,MATCH(3843,'Email Cleaner'!$K$2:$K$10001,0)),"")</f>
        <v/>
      </c>
    </row>
    <row r="3845">
      <c r="A3845">
        <f>IFERROR(INDEX('Email Cleaner'!$B$2:$B$10001,MATCH(3844,'Email Cleaner'!$K$2:$K$10001,0)),"")</f>
        <v/>
      </c>
    </row>
    <row r="3846">
      <c r="A3846">
        <f>IFERROR(INDEX('Email Cleaner'!$B$2:$B$10001,MATCH(3845,'Email Cleaner'!$K$2:$K$10001,0)),"")</f>
        <v/>
      </c>
    </row>
    <row r="3847">
      <c r="A3847">
        <f>IFERROR(INDEX('Email Cleaner'!$B$2:$B$10001,MATCH(3846,'Email Cleaner'!$K$2:$K$10001,0)),"")</f>
        <v/>
      </c>
    </row>
    <row r="3848">
      <c r="A3848">
        <f>IFERROR(INDEX('Email Cleaner'!$B$2:$B$10001,MATCH(3847,'Email Cleaner'!$K$2:$K$10001,0)),"")</f>
        <v/>
      </c>
    </row>
    <row r="3849">
      <c r="A3849">
        <f>IFERROR(INDEX('Email Cleaner'!$B$2:$B$10001,MATCH(3848,'Email Cleaner'!$K$2:$K$10001,0)),"")</f>
        <v/>
      </c>
    </row>
    <row r="3850">
      <c r="A3850">
        <f>IFERROR(INDEX('Email Cleaner'!$B$2:$B$10001,MATCH(3849,'Email Cleaner'!$K$2:$K$10001,0)),"")</f>
        <v/>
      </c>
    </row>
    <row r="3851">
      <c r="A3851">
        <f>IFERROR(INDEX('Email Cleaner'!$B$2:$B$10001,MATCH(3850,'Email Cleaner'!$K$2:$K$10001,0)),"")</f>
        <v/>
      </c>
    </row>
    <row r="3852">
      <c r="A3852">
        <f>IFERROR(INDEX('Email Cleaner'!$B$2:$B$10001,MATCH(3851,'Email Cleaner'!$K$2:$K$10001,0)),"")</f>
        <v/>
      </c>
    </row>
    <row r="3853">
      <c r="A3853">
        <f>IFERROR(INDEX('Email Cleaner'!$B$2:$B$10001,MATCH(3852,'Email Cleaner'!$K$2:$K$10001,0)),"")</f>
        <v/>
      </c>
    </row>
    <row r="3854">
      <c r="A3854">
        <f>IFERROR(INDEX('Email Cleaner'!$B$2:$B$10001,MATCH(3853,'Email Cleaner'!$K$2:$K$10001,0)),"")</f>
        <v/>
      </c>
    </row>
    <row r="3855">
      <c r="A3855">
        <f>IFERROR(INDEX('Email Cleaner'!$B$2:$B$10001,MATCH(3854,'Email Cleaner'!$K$2:$K$10001,0)),"")</f>
        <v/>
      </c>
    </row>
    <row r="3856">
      <c r="A3856">
        <f>IFERROR(INDEX('Email Cleaner'!$B$2:$B$10001,MATCH(3855,'Email Cleaner'!$K$2:$K$10001,0)),"")</f>
        <v/>
      </c>
    </row>
    <row r="3857">
      <c r="A3857">
        <f>IFERROR(INDEX('Email Cleaner'!$B$2:$B$10001,MATCH(3856,'Email Cleaner'!$K$2:$K$10001,0)),"")</f>
        <v/>
      </c>
    </row>
    <row r="3858">
      <c r="A3858">
        <f>IFERROR(INDEX('Email Cleaner'!$B$2:$B$10001,MATCH(3857,'Email Cleaner'!$K$2:$K$10001,0)),"")</f>
        <v/>
      </c>
    </row>
    <row r="3859">
      <c r="A3859">
        <f>IFERROR(INDEX('Email Cleaner'!$B$2:$B$10001,MATCH(3858,'Email Cleaner'!$K$2:$K$10001,0)),"")</f>
        <v/>
      </c>
    </row>
    <row r="3860">
      <c r="A3860">
        <f>IFERROR(INDEX('Email Cleaner'!$B$2:$B$10001,MATCH(3859,'Email Cleaner'!$K$2:$K$10001,0)),"")</f>
        <v/>
      </c>
    </row>
    <row r="3861">
      <c r="A3861">
        <f>IFERROR(INDEX('Email Cleaner'!$B$2:$B$10001,MATCH(3860,'Email Cleaner'!$K$2:$K$10001,0)),"")</f>
        <v/>
      </c>
    </row>
    <row r="3862">
      <c r="A3862">
        <f>IFERROR(INDEX('Email Cleaner'!$B$2:$B$10001,MATCH(3861,'Email Cleaner'!$K$2:$K$10001,0)),"")</f>
        <v/>
      </c>
    </row>
    <row r="3863">
      <c r="A3863">
        <f>IFERROR(INDEX('Email Cleaner'!$B$2:$B$10001,MATCH(3862,'Email Cleaner'!$K$2:$K$10001,0)),"")</f>
        <v/>
      </c>
    </row>
    <row r="3864">
      <c r="A3864">
        <f>IFERROR(INDEX('Email Cleaner'!$B$2:$B$10001,MATCH(3863,'Email Cleaner'!$K$2:$K$10001,0)),"")</f>
        <v/>
      </c>
    </row>
    <row r="3865">
      <c r="A3865">
        <f>IFERROR(INDEX('Email Cleaner'!$B$2:$B$10001,MATCH(3864,'Email Cleaner'!$K$2:$K$10001,0)),"")</f>
        <v/>
      </c>
    </row>
    <row r="3866">
      <c r="A3866">
        <f>IFERROR(INDEX('Email Cleaner'!$B$2:$B$10001,MATCH(3865,'Email Cleaner'!$K$2:$K$10001,0)),"")</f>
        <v/>
      </c>
    </row>
    <row r="3867">
      <c r="A3867">
        <f>IFERROR(INDEX('Email Cleaner'!$B$2:$B$10001,MATCH(3866,'Email Cleaner'!$K$2:$K$10001,0)),"")</f>
        <v/>
      </c>
    </row>
    <row r="3868">
      <c r="A3868">
        <f>IFERROR(INDEX('Email Cleaner'!$B$2:$B$10001,MATCH(3867,'Email Cleaner'!$K$2:$K$10001,0)),"")</f>
        <v/>
      </c>
    </row>
    <row r="3869">
      <c r="A3869">
        <f>IFERROR(INDEX('Email Cleaner'!$B$2:$B$10001,MATCH(3868,'Email Cleaner'!$K$2:$K$10001,0)),"")</f>
        <v/>
      </c>
    </row>
    <row r="3870">
      <c r="A3870">
        <f>IFERROR(INDEX('Email Cleaner'!$B$2:$B$10001,MATCH(3869,'Email Cleaner'!$K$2:$K$10001,0)),"")</f>
        <v/>
      </c>
    </row>
    <row r="3871">
      <c r="A3871">
        <f>IFERROR(INDEX('Email Cleaner'!$B$2:$B$10001,MATCH(3870,'Email Cleaner'!$K$2:$K$10001,0)),"")</f>
        <v/>
      </c>
    </row>
    <row r="3872">
      <c r="A3872">
        <f>IFERROR(INDEX('Email Cleaner'!$B$2:$B$10001,MATCH(3871,'Email Cleaner'!$K$2:$K$10001,0)),"")</f>
        <v/>
      </c>
    </row>
    <row r="3873">
      <c r="A3873">
        <f>IFERROR(INDEX('Email Cleaner'!$B$2:$B$10001,MATCH(3872,'Email Cleaner'!$K$2:$K$10001,0)),"")</f>
        <v/>
      </c>
    </row>
    <row r="3874">
      <c r="A3874">
        <f>IFERROR(INDEX('Email Cleaner'!$B$2:$B$10001,MATCH(3873,'Email Cleaner'!$K$2:$K$10001,0)),"")</f>
        <v/>
      </c>
    </row>
    <row r="3875">
      <c r="A3875">
        <f>IFERROR(INDEX('Email Cleaner'!$B$2:$B$10001,MATCH(3874,'Email Cleaner'!$K$2:$K$10001,0)),"")</f>
        <v/>
      </c>
    </row>
    <row r="3876">
      <c r="A3876">
        <f>IFERROR(INDEX('Email Cleaner'!$B$2:$B$10001,MATCH(3875,'Email Cleaner'!$K$2:$K$10001,0)),"")</f>
        <v/>
      </c>
    </row>
    <row r="3877">
      <c r="A3877">
        <f>IFERROR(INDEX('Email Cleaner'!$B$2:$B$10001,MATCH(3876,'Email Cleaner'!$K$2:$K$10001,0)),"")</f>
        <v/>
      </c>
    </row>
    <row r="3878">
      <c r="A3878">
        <f>IFERROR(INDEX('Email Cleaner'!$B$2:$B$10001,MATCH(3877,'Email Cleaner'!$K$2:$K$10001,0)),"")</f>
        <v/>
      </c>
    </row>
    <row r="3879">
      <c r="A3879">
        <f>IFERROR(INDEX('Email Cleaner'!$B$2:$B$10001,MATCH(3878,'Email Cleaner'!$K$2:$K$10001,0)),"")</f>
        <v/>
      </c>
    </row>
    <row r="3880">
      <c r="A3880">
        <f>IFERROR(INDEX('Email Cleaner'!$B$2:$B$10001,MATCH(3879,'Email Cleaner'!$K$2:$K$10001,0)),"")</f>
        <v/>
      </c>
    </row>
    <row r="3881">
      <c r="A3881">
        <f>IFERROR(INDEX('Email Cleaner'!$B$2:$B$10001,MATCH(3880,'Email Cleaner'!$K$2:$K$10001,0)),"")</f>
        <v/>
      </c>
    </row>
    <row r="3882">
      <c r="A3882">
        <f>IFERROR(INDEX('Email Cleaner'!$B$2:$B$10001,MATCH(3881,'Email Cleaner'!$K$2:$K$10001,0)),"")</f>
        <v/>
      </c>
    </row>
    <row r="3883">
      <c r="A3883">
        <f>IFERROR(INDEX('Email Cleaner'!$B$2:$B$10001,MATCH(3882,'Email Cleaner'!$K$2:$K$10001,0)),"")</f>
        <v/>
      </c>
    </row>
    <row r="3884">
      <c r="A3884">
        <f>IFERROR(INDEX('Email Cleaner'!$B$2:$B$10001,MATCH(3883,'Email Cleaner'!$K$2:$K$10001,0)),"")</f>
        <v/>
      </c>
    </row>
    <row r="3885">
      <c r="A3885">
        <f>IFERROR(INDEX('Email Cleaner'!$B$2:$B$10001,MATCH(3884,'Email Cleaner'!$K$2:$K$10001,0)),"")</f>
        <v/>
      </c>
    </row>
    <row r="3886">
      <c r="A3886">
        <f>IFERROR(INDEX('Email Cleaner'!$B$2:$B$10001,MATCH(3885,'Email Cleaner'!$K$2:$K$10001,0)),"")</f>
        <v/>
      </c>
    </row>
    <row r="3887">
      <c r="A3887">
        <f>IFERROR(INDEX('Email Cleaner'!$B$2:$B$10001,MATCH(3886,'Email Cleaner'!$K$2:$K$10001,0)),"")</f>
        <v/>
      </c>
    </row>
    <row r="3888">
      <c r="A3888">
        <f>IFERROR(INDEX('Email Cleaner'!$B$2:$B$10001,MATCH(3887,'Email Cleaner'!$K$2:$K$10001,0)),"")</f>
        <v/>
      </c>
    </row>
    <row r="3889">
      <c r="A3889">
        <f>IFERROR(INDEX('Email Cleaner'!$B$2:$B$10001,MATCH(3888,'Email Cleaner'!$K$2:$K$10001,0)),"")</f>
        <v/>
      </c>
    </row>
    <row r="3890">
      <c r="A3890">
        <f>IFERROR(INDEX('Email Cleaner'!$B$2:$B$10001,MATCH(3889,'Email Cleaner'!$K$2:$K$10001,0)),"")</f>
        <v/>
      </c>
    </row>
    <row r="3891">
      <c r="A3891">
        <f>IFERROR(INDEX('Email Cleaner'!$B$2:$B$10001,MATCH(3890,'Email Cleaner'!$K$2:$K$10001,0)),"")</f>
        <v/>
      </c>
    </row>
    <row r="3892">
      <c r="A3892">
        <f>IFERROR(INDEX('Email Cleaner'!$B$2:$B$10001,MATCH(3891,'Email Cleaner'!$K$2:$K$10001,0)),"")</f>
        <v/>
      </c>
    </row>
    <row r="3893">
      <c r="A3893">
        <f>IFERROR(INDEX('Email Cleaner'!$B$2:$B$10001,MATCH(3892,'Email Cleaner'!$K$2:$K$10001,0)),"")</f>
        <v/>
      </c>
    </row>
    <row r="3894">
      <c r="A3894">
        <f>IFERROR(INDEX('Email Cleaner'!$B$2:$B$10001,MATCH(3893,'Email Cleaner'!$K$2:$K$10001,0)),"")</f>
        <v/>
      </c>
    </row>
    <row r="3895">
      <c r="A3895">
        <f>IFERROR(INDEX('Email Cleaner'!$B$2:$B$10001,MATCH(3894,'Email Cleaner'!$K$2:$K$10001,0)),"")</f>
        <v/>
      </c>
    </row>
    <row r="3896">
      <c r="A3896">
        <f>IFERROR(INDEX('Email Cleaner'!$B$2:$B$10001,MATCH(3895,'Email Cleaner'!$K$2:$K$10001,0)),"")</f>
        <v/>
      </c>
    </row>
    <row r="3897">
      <c r="A3897">
        <f>IFERROR(INDEX('Email Cleaner'!$B$2:$B$10001,MATCH(3896,'Email Cleaner'!$K$2:$K$10001,0)),"")</f>
        <v/>
      </c>
    </row>
    <row r="3898">
      <c r="A3898">
        <f>IFERROR(INDEX('Email Cleaner'!$B$2:$B$10001,MATCH(3897,'Email Cleaner'!$K$2:$K$10001,0)),"")</f>
        <v/>
      </c>
    </row>
    <row r="3899">
      <c r="A3899">
        <f>IFERROR(INDEX('Email Cleaner'!$B$2:$B$10001,MATCH(3898,'Email Cleaner'!$K$2:$K$10001,0)),"")</f>
        <v/>
      </c>
    </row>
    <row r="3900">
      <c r="A3900">
        <f>IFERROR(INDEX('Email Cleaner'!$B$2:$B$10001,MATCH(3899,'Email Cleaner'!$K$2:$K$10001,0)),"")</f>
        <v/>
      </c>
    </row>
    <row r="3901">
      <c r="A3901">
        <f>IFERROR(INDEX('Email Cleaner'!$B$2:$B$10001,MATCH(3900,'Email Cleaner'!$K$2:$K$10001,0)),"")</f>
        <v/>
      </c>
    </row>
    <row r="3902">
      <c r="A3902">
        <f>IFERROR(INDEX('Email Cleaner'!$B$2:$B$10001,MATCH(3901,'Email Cleaner'!$K$2:$K$10001,0)),"")</f>
        <v/>
      </c>
    </row>
    <row r="3903">
      <c r="A3903">
        <f>IFERROR(INDEX('Email Cleaner'!$B$2:$B$10001,MATCH(3902,'Email Cleaner'!$K$2:$K$10001,0)),"")</f>
        <v/>
      </c>
    </row>
    <row r="3904">
      <c r="A3904">
        <f>IFERROR(INDEX('Email Cleaner'!$B$2:$B$10001,MATCH(3903,'Email Cleaner'!$K$2:$K$10001,0)),"")</f>
        <v/>
      </c>
    </row>
    <row r="3905">
      <c r="A3905">
        <f>IFERROR(INDEX('Email Cleaner'!$B$2:$B$10001,MATCH(3904,'Email Cleaner'!$K$2:$K$10001,0)),"")</f>
        <v/>
      </c>
    </row>
    <row r="3906">
      <c r="A3906">
        <f>IFERROR(INDEX('Email Cleaner'!$B$2:$B$10001,MATCH(3905,'Email Cleaner'!$K$2:$K$10001,0)),"")</f>
        <v/>
      </c>
    </row>
    <row r="3907">
      <c r="A3907">
        <f>IFERROR(INDEX('Email Cleaner'!$B$2:$B$10001,MATCH(3906,'Email Cleaner'!$K$2:$K$10001,0)),"")</f>
        <v/>
      </c>
    </row>
    <row r="3908">
      <c r="A3908">
        <f>IFERROR(INDEX('Email Cleaner'!$B$2:$B$10001,MATCH(3907,'Email Cleaner'!$K$2:$K$10001,0)),"")</f>
        <v/>
      </c>
    </row>
    <row r="3909">
      <c r="A3909">
        <f>IFERROR(INDEX('Email Cleaner'!$B$2:$B$10001,MATCH(3908,'Email Cleaner'!$K$2:$K$10001,0)),"")</f>
        <v/>
      </c>
    </row>
    <row r="3910">
      <c r="A3910">
        <f>IFERROR(INDEX('Email Cleaner'!$B$2:$B$10001,MATCH(3909,'Email Cleaner'!$K$2:$K$10001,0)),"")</f>
        <v/>
      </c>
    </row>
    <row r="3911">
      <c r="A3911">
        <f>IFERROR(INDEX('Email Cleaner'!$B$2:$B$10001,MATCH(3910,'Email Cleaner'!$K$2:$K$10001,0)),"")</f>
        <v/>
      </c>
    </row>
    <row r="3912">
      <c r="A3912">
        <f>IFERROR(INDEX('Email Cleaner'!$B$2:$B$10001,MATCH(3911,'Email Cleaner'!$K$2:$K$10001,0)),"")</f>
        <v/>
      </c>
    </row>
    <row r="3913">
      <c r="A3913">
        <f>IFERROR(INDEX('Email Cleaner'!$B$2:$B$10001,MATCH(3912,'Email Cleaner'!$K$2:$K$10001,0)),"")</f>
        <v/>
      </c>
    </row>
    <row r="3914">
      <c r="A3914">
        <f>IFERROR(INDEX('Email Cleaner'!$B$2:$B$10001,MATCH(3913,'Email Cleaner'!$K$2:$K$10001,0)),"")</f>
        <v/>
      </c>
    </row>
    <row r="3915">
      <c r="A3915">
        <f>IFERROR(INDEX('Email Cleaner'!$B$2:$B$10001,MATCH(3914,'Email Cleaner'!$K$2:$K$10001,0)),"")</f>
        <v/>
      </c>
    </row>
    <row r="3916">
      <c r="A3916">
        <f>IFERROR(INDEX('Email Cleaner'!$B$2:$B$10001,MATCH(3915,'Email Cleaner'!$K$2:$K$10001,0)),"")</f>
        <v/>
      </c>
    </row>
    <row r="3917">
      <c r="A3917">
        <f>IFERROR(INDEX('Email Cleaner'!$B$2:$B$10001,MATCH(3916,'Email Cleaner'!$K$2:$K$10001,0)),"")</f>
        <v/>
      </c>
    </row>
    <row r="3918">
      <c r="A3918">
        <f>IFERROR(INDEX('Email Cleaner'!$B$2:$B$10001,MATCH(3917,'Email Cleaner'!$K$2:$K$10001,0)),"")</f>
        <v/>
      </c>
    </row>
    <row r="3919">
      <c r="A3919">
        <f>IFERROR(INDEX('Email Cleaner'!$B$2:$B$10001,MATCH(3918,'Email Cleaner'!$K$2:$K$10001,0)),"")</f>
        <v/>
      </c>
    </row>
    <row r="3920">
      <c r="A3920">
        <f>IFERROR(INDEX('Email Cleaner'!$B$2:$B$10001,MATCH(3919,'Email Cleaner'!$K$2:$K$10001,0)),"")</f>
        <v/>
      </c>
    </row>
    <row r="3921">
      <c r="A3921">
        <f>IFERROR(INDEX('Email Cleaner'!$B$2:$B$10001,MATCH(3920,'Email Cleaner'!$K$2:$K$10001,0)),"")</f>
        <v/>
      </c>
    </row>
    <row r="3922">
      <c r="A3922">
        <f>IFERROR(INDEX('Email Cleaner'!$B$2:$B$10001,MATCH(3921,'Email Cleaner'!$K$2:$K$10001,0)),"")</f>
        <v/>
      </c>
    </row>
    <row r="3923">
      <c r="A3923">
        <f>IFERROR(INDEX('Email Cleaner'!$B$2:$B$10001,MATCH(3922,'Email Cleaner'!$K$2:$K$10001,0)),"")</f>
        <v/>
      </c>
    </row>
    <row r="3924">
      <c r="A3924">
        <f>IFERROR(INDEX('Email Cleaner'!$B$2:$B$10001,MATCH(3923,'Email Cleaner'!$K$2:$K$10001,0)),"")</f>
        <v/>
      </c>
    </row>
    <row r="3925">
      <c r="A3925">
        <f>IFERROR(INDEX('Email Cleaner'!$B$2:$B$10001,MATCH(3924,'Email Cleaner'!$K$2:$K$10001,0)),"")</f>
        <v/>
      </c>
    </row>
    <row r="3926">
      <c r="A3926">
        <f>IFERROR(INDEX('Email Cleaner'!$B$2:$B$10001,MATCH(3925,'Email Cleaner'!$K$2:$K$10001,0)),"")</f>
        <v/>
      </c>
    </row>
    <row r="3927">
      <c r="A3927">
        <f>IFERROR(INDEX('Email Cleaner'!$B$2:$B$10001,MATCH(3926,'Email Cleaner'!$K$2:$K$10001,0)),"")</f>
        <v/>
      </c>
    </row>
    <row r="3928">
      <c r="A3928">
        <f>IFERROR(INDEX('Email Cleaner'!$B$2:$B$10001,MATCH(3927,'Email Cleaner'!$K$2:$K$10001,0)),"")</f>
        <v/>
      </c>
    </row>
    <row r="3929">
      <c r="A3929">
        <f>IFERROR(INDEX('Email Cleaner'!$B$2:$B$10001,MATCH(3928,'Email Cleaner'!$K$2:$K$10001,0)),"")</f>
        <v/>
      </c>
    </row>
    <row r="3930">
      <c r="A3930">
        <f>IFERROR(INDEX('Email Cleaner'!$B$2:$B$10001,MATCH(3929,'Email Cleaner'!$K$2:$K$10001,0)),"")</f>
        <v/>
      </c>
    </row>
    <row r="3931">
      <c r="A3931">
        <f>IFERROR(INDEX('Email Cleaner'!$B$2:$B$10001,MATCH(3930,'Email Cleaner'!$K$2:$K$10001,0)),"")</f>
        <v/>
      </c>
    </row>
    <row r="3932">
      <c r="A3932">
        <f>IFERROR(INDEX('Email Cleaner'!$B$2:$B$10001,MATCH(3931,'Email Cleaner'!$K$2:$K$10001,0)),"")</f>
        <v/>
      </c>
    </row>
    <row r="3933">
      <c r="A3933">
        <f>IFERROR(INDEX('Email Cleaner'!$B$2:$B$10001,MATCH(3932,'Email Cleaner'!$K$2:$K$10001,0)),"")</f>
        <v/>
      </c>
    </row>
    <row r="3934">
      <c r="A3934">
        <f>IFERROR(INDEX('Email Cleaner'!$B$2:$B$10001,MATCH(3933,'Email Cleaner'!$K$2:$K$10001,0)),"")</f>
        <v/>
      </c>
    </row>
    <row r="3935">
      <c r="A3935">
        <f>IFERROR(INDEX('Email Cleaner'!$B$2:$B$10001,MATCH(3934,'Email Cleaner'!$K$2:$K$10001,0)),"")</f>
        <v/>
      </c>
    </row>
    <row r="3936">
      <c r="A3936">
        <f>IFERROR(INDEX('Email Cleaner'!$B$2:$B$10001,MATCH(3935,'Email Cleaner'!$K$2:$K$10001,0)),"")</f>
        <v/>
      </c>
    </row>
    <row r="3937">
      <c r="A3937">
        <f>IFERROR(INDEX('Email Cleaner'!$B$2:$B$10001,MATCH(3936,'Email Cleaner'!$K$2:$K$10001,0)),"")</f>
        <v/>
      </c>
    </row>
    <row r="3938">
      <c r="A3938">
        <f>IFERROR(INDEX('Email Cleaner'!$B$2:$B$10001,MATCH(3937,'Email Cleaner'!$K$2:$K$10001,0)),"")</f>
        <v/>
      </c>
    </row>
    <row r="3939">
      <c r="A3939">
        <f>IFERROR(INDEX('Email Cleaner'!$B$2:$B$10001,MATCH(3938,'Email Cleaner'!$K$2:$K$10001,0)),"")</f>
        <v/>
      </c>
    </row>
    <row r="3940">
      <c r="A3940">
        <f>IFERROR(INDEX('Email Cleaner'!$B$2:$B$10001,MATCH(3939,'Email Cleaner'!$K$2:$K$10001,0)),"")</f>
        <v/>
      </c>
    </row>
    <row r="3941">
      <c r="A3941">
        <f>IFERROR(INDEX('Email Cleaner'!$B$2:$B$10001,MATCH(3940,'Email Cleaner'!$K$2:$K$10001,0)),"")</f>
        <v/>
      </c>
    </row>
    <row r="3942">
      <c r="A3942">
        <f>IFERROR(INDEX('Email Cleaner'!$B$2:$B$10001,MATCH(3941,'Email Cleaner'!$K$2:$K$10001,0)),"")</f>
        <v/>
      </c>
    </row>
    <row r="3943">
      <c r="A3943">
        <f>IFERROR(INDEX('Email Cleaner'!$B$2:$B$10001,MATCH(3942,'Email Cleaner'!$K$2:$K$10001,0)),"")</f>
        <v/>
      </c>
    </row>
    <row r="3944">
      <c r="A3944">
        <f>IFERROR(INDEX('Email Cleaner'!$B$2:$B$10001,MATCH(3943,'Email Cleaner'!$K$2:$K$10001,0)),"")</f>
        <v/>
      </c>
    </row>
    <row r="3945">
      <c r="A3945">
        <f>IFERROR(INDEX('Email Cleaner'!$B$2:$B$10001,MATCH(3944,'Email Cleaner'!$K$2:$K$10001,0)),"")</f>
        <v/>
      </c>
    </row>
    <row r="3946">
      <c r="A3946">
        <f>IFERROR(INDEX('Email Cleaner'!$B$2:$B$10001,MATCH(3945,'Email Cleaner'!$K$2:$K$10001,0)),"")</f>
        <v/>
      </c>
    </row>
    <row r="3947">
      <c r="A3947">
        <f>IFERROR(INDEX('Email Cleaner'!$B$2:$B$10001,MATCH(3946,'Email Cleaner'!$K$2:$K$10001,0)),"")</f>
        <v/>
      </c>
    </row>
    <row r="3948">
      <c r="A3948">
        <f>IFERROR(INDEX('Email Cleaner'!$B$2:$B$10001,MATCH(3947,'Email Cleaner'!$K$2:$K$10001,0)),"")</f>
        <v/>
      </c>
    </row>
    <row r="3949">
      <c r="A3949">
        <f>IFERROR(INDEX('Email Cleaner'!$B$2:$B$10001,MATCH(3948,'Email Cleaner'!$K$2:$K$10001,0)),"")</f>
        <v/>
      </c>
    </row>
    <row r="3950">
      <c r="A3950">
        <f>IFERROR(INDEX('Email Cleaner'!$B$2:$B$10001,MATCH(3949,'Email Cleaner'!$K$2:$K$10001,0)),"")</f>
        <v/>
      </c>
    </row>
    <row r="3951">
      <c r="A3951">
        <f>IFERROR(INDEX('Email Cleaner'!$B$2:$B$10001,MATCH(3950,'Email Cleaner'!$K$2:$K$10001,0)),"")</f>
        <v/>
      </c>
    </row>
    <row r="3952">
      <c r="A3952">
        <f>IFERROR(INDEX('Email Cleaner'!$B$2:$B$10001,MATCH(3951,'Email Cleaner'!$K$2:$K$10001,0)),"")</f>
        <v/>
      </c>
    </row>
    <row r="3953">
      <c r="A3953">
        <f>IFERROR(INDEX('Email Cleaner'!$B$2:$B$10001,MATCH(3952,'Email Cleaner'!$K$2:$K$10001,0)),"")</f>
        <v/>
      </c>
    </row>
    <row r="3954">
      <c r="A3954">
        <f>IFERROR(INDEX('Email Cleaner'!$B$2:$B$10001,MATCH(3953,'Email Cleaner'!$K$2:$K$10001,0)),"")</f>
        <v/>
      </c>
    </row>
    <row r="3955">
      <c r="A3955">
        <f>IFERROR(INDEX('Email Cleaner'!$B$2:$B$10001,MATCH(3954,'Email Cleaner'!$K$2:$K$10001,0)),"")</f>
        <v/>
      </c>
    </row>
    <row r="3956">
      <c r="A3956">
        <f>IFERROR(INDEX('Email Cleaner'!$B$2:$B$10001,MATCH(3955,'Email Cleaner'!$K$2:$K$10001,0)),"")</f>
        <v/>
      </c>
    </row>
    <row r="3957">
      <c r="A3957">
        <f>IFERROR(INDEX('Email Cleaner'!$B$2:$B$10001,MATCH(3956,'Email Cleaner'!$K$2:$K$10001,0)),"")</f>
        <v/>
      </c>
    </row>
    <row r="3958">
      <c r="A3958">
        <f>IFERROR(INDEX('Email Cleaner'!$B$2:$B$10001,MATCH(3957,'Email Cleaner'!$K$2:$K$10001,0)),"")</f>
        <v/>
      </c>
    </row>
    <row r="3959">
      <c r="A3959">
        <f>IFERROR(INDEX('Email Cleaner'!$B$2:$B$10001,MATCH(3958,'Email Cleaner'!$K$2:$K$10001,0)),"")</f>
        <v/>
      </c>
    </row>
    <row r="3960">
      <c r="A3960">
        <f>IFERROR(INDEX('Email Cleaner'!$B$2:$B$10001,MATCH(3959,'Email Cleaner'!$K$2:$K$10001,0)),"")</f>
        <v/>
      </c>
    </row>
    <row r="3961">
      <c r="A3961">
        <f>IFERROR(INDEX('Email Cleaner'!$B$2:$B$10001,MATCH(3960,'Email Cleaner'!$K$2:$K$10001,0)),"")</f>
        <v/>
      </c>
    </row>
    <row r="3962">
      <c r="A3962">
        <f>IFERROR(INDEX('Email Cleaner'!$B$2:$B$10001,MATCH(3961,'Email Cleaner'!$K$2:$K$10001,0)),"")</f>
        <v/>
      </c>
    </row>
    <row r="3963">
      <c r="A3963">
        <f>IFERROR(INDEX('Email Cleaner'!$B$2:$B$10001,MATCH(3962,'Email Cleaner'!$K$2:$K$10001,0)),"")</f>
        <v/>
      </c>
    </row>
    <row r="3964">
      <c r="A3964">
        <f>IFERROR(INDEX('Email Cleaner'!$B$2:$B$10001,MATCH(3963,'Email Cleaner'!$K$2:$K$10001,0)),"")</f>
        <v/>
      </c>
    </row>
    <row r="3965">
      <c r="A3965">
        <f>IFERROR(INDEX('Email Cleaner'!$B$2:$B$10001,MATCH(3964,'Email Cleaner'!$K$2:$K$10001,0)),"")</f>
        <v/>
      </c>
    </row>
    <row r="3966">
      <c r="A3966">
        <f>IFERROR(INDEX('Email Cleaner'!$B$2:$B$10001,MATCH(3965,'Email Cleaner'!$K$2:$K$10001,0)),"")</f>
        <v/>
      </c>
    </row>
    <row r="3967">
      <c r="A3967">
        <f>IFERROR(INDEX('Email Cleaner'!$B$2:$B$10001,MATCH(3966,'Email Cleaner'!$K$2:$K$10001,0)),"")</f>
        <v/>
      </c>
    </row>
    <row r="3968">
      <c r="A3968">
        <f>IFERROR(INDEX('Email Cleaner'!$B$2:$B$10001,MATCH(3967,'Email Cleaner'!$K$2:$K$10001,0)),"")</f>
        <v/>
      </c>
    </row>
    <row r="3969">
      <c r="A3969">
        <f>IFERROR(INDEX('Email Cleaner'!$B$2:$B$10001,MATCH(3968,'Email Cleaner'!$K$2:$K$10001,0)),"")</f>
        <v/>
      </c>
    </row>
    <row r="3970">
      <c r="A3970">
        <f>IFERROR(INDEX('Email Cleaner'!$B$2:$B$10001,MATCH(3969,'Email Cleaner'!$K$2:$K$10001,0)),"")</f>
        <v/>
      </c>
    </row>
    <row r="3971">
      <c r="A3971">
        <f>IFERROR(INDEX('Email Cleaner'!$B$2:$B$10001,MATCH(3970,'Email Cleaner'!$K$2:$K$10001,0)),"")</f>
        <v/>
      </c>
    </row>
    <row r="3972">
      <c r="A3972">
        <f>IFERROR(INDEX('Email Cleaner'!$B$2:$B$10001,MATCH(3971,'Email Cleaner'!$K$2:$K$10001,0)),"")</f>
        <v/>
      </c>
    </row>
    <row r="3973">
      <c r="A3973">
        <f>IFERROR(INDEX('Email Cleaner'!$B$2:$B$10001,MATCH(3972,'Email Cleaner'!$K$2:$K$10001,0)),"")</f>
        <v/>
      </c>
    </row>
    <row r="3974">
      <c r="A3974">
        <f>IFERROR(INDEX('Email Cleaner'!$B$2:$B$10001,MATCH(3973,'Email Cleaner'!$K$2:$K$10001,0)),"")</f>
        <v/>
      </c>
    </row>
    <row r="3975">
      <c r="A3975">
        <f>IFERROR(INDEX('Email Cleaner'!$B$2:$B$10001,MATCH(3974,'Email Cleaner'!$K$2:$K$10001,0)),"")</f>
        <v/>
      </c>
    </row>
    <row r="3976">
      <c r="A3976">
        <f>IFERROR(INDEX('Email Cleaner'!$B$2:$B$10001,MATCH(3975,'Email Cleaner'!$K$2:$K$10001,0)),"")</f>
        <v/>
      </c>
    </row>
    <row r="3977">
      <c r="A3977">
        <f>IFERROR(INDEX('Email Cleaner'!$B$2:$B$10001,MATCH(3976,'Email Cleaner'!$K$2:$K$10001,0)),"")</f>
        <v/>
      </c>
    </row>
    <row r="3978">
      <c r="A3978">
        <f>IFERROR(INDEX('Email Cleaner'!$B$2:$B$10001,MATCH(3977,'Email Cleaner'!$K$2:$K$10001,0)),"")</f>
        <v/>
      </c>
    </row>
    <row r="3979">
      <c r="A3979">
        <f>IFERROR(INDEX('Email Cleaner'!$B$2:$B$10001,MATCH(3978,'Email Cleaner'!$K$2:$K$10001,0)),"")</f>
        <v/>
      </c>
    </row>
    <row r="3980">
      <c r="A3980">
        <f>IFERROR(INDEX('Email Cleaner'!$B$2:$B$10001,MATCH(3979,'Email Cleaner'!$K$2:$K$10001,0)),"")</f>
        <v/>
      </c>
    </row>
    <row r="3981">
      <c r="A3981">
        <f>IFERROR(INDEX('Email Cleaner'!$B$2:$B$10001,MATCH(3980,'Email Cleaner'!$K$2:$K$10001,0)),"")</f>
        <v/>
      </c>
    </row>
    <row r="3982">
      <c r="A3982">
        <f>IFERROR(INDEX('Email Cleaner'!$B$2:$B$10001,MATCH(3981,'Email Cleaner'!$K$2:$K$10001,0)),"")</f>
        <v/>
      </c>
    </row>
    <row r="3983">
      <c r="A3983">
        <f>IFERROR(INDEX('Email Cleaner'!$B$2:$B$10001,MATCH(3982,'Email Cleaner'!$K$2:$K$10001,0)),"")</f>
        <v/>
      </c>
    </row>
    <row r="3984">
      <c r="A3984">
        <f>IFERROR(INDEX('Email Cleaner'!$B$2:$B$10001,MATCH(3983,'Email Cleaner'!$K$2:$K$10001,0)),"")</f>
        <v/>
      </c>
    </row>
    <row r="3985">
      <c r="A3985">
        <f>IFERROR(INDEX('Email Cleaner'!$B$2:$B$10001,MATCH(3984,'Email Cleaner'!$K$2:$K$10001,0)),"")</f>
        <v/>
      </c>
    </row>
    <row r="3986">
      <c r="A3986">
        <f>IFERROR(INDEX('Email Cleaner'!$B$2:$B$10001,MATCH(3985,'Email Cleaner'!$K$2:$K$10001,0)),"")</f>
        <v/>
      </c>
    </row>
    <row r="3987">
      <c r="A3987">
        <f>IFERROR(INDEX('Email Cleaner'!$B$2:$B$10001,MATCH(3986,'Email Cleaner'!$K$2:$K$10001,0)),"")</f>
        <v/>
      </c>
    </row>
    <row r="3988">
      <c r="A3988">
        <f>IFERROR(INDEX('Email Cleaner'!$B$2:$B$10001,MATCH(3987,'Email Cleaner'!$K$2:$K$10001,0)),"")</f>
        <v/>
      </c>
    </row>
    <row r="3989">
      <c r="A3989">
        <f>IFERROR(INDEX('Email Cleaner'!$B$2:$B$10001,MATCH(3988,'Email Cleaner'!$K$2:$K$10001,0)),"")</f>
        <v/>
      </c>
    </row>
    <row r="3990">
      <c r="A3990">
        <f>IFERROR(INDEX('Email Cleaner'!$B$2:$B$10001,MATCH(3989,'Email Cleaner'!$K$2:$K$10001,0)),"")</f>
        <v/>
      </c>
    </row>
    <row r="3991">
      <c r="A3991">
        <f>IFERROR(INDEX('Email Cleaner'!$B$2:$B$10001,MATCH(3990,'Email Cleaner'!$K$2:$K$10001,0)),"")</f>
        <v/>
      </c>
    </row>
    <row r="3992">
      <c r="A3992">
        <f>IFERROR(INDEX('Email Cleaner'!$B$2:$B$10001,MATCH(3991,'Email Cleaner'!$K$2:$K$10001,0)),"")</f>
        <v/>
      </c>
    </row>
    <row r="3993">
      <c r="A3993">
        <f>IFERROR(INDEX('Email Cleaner'!$B$2:$B$10001,MATCH(3992,'Email Cleaner'!$K$2:$K$10001,0)),"")</f>
        <v/>
      </c>
    </row>
    <row r="3994">
      <c r="A3994">
        <f>IFERROR(INDEX('Email Cleaner'!$B$2:$B$10001,MATCH(3993,'Email Cleaner'!$K$2:$K$10001,0)),"")</f>
        <v/>
      </c>
    </row>
    <row r="3995">
      <c r="A3995">
        <f>IFERROR(INDEX('Email Cleaner'!$B$2:$B$10001,MATCH(3994,'Email Cleaner'!$K$2:$K$10001,0)),"")</f>
        <v/>
      </c>
    </row>
    <row r="3996">
      <c r="A3996">
        <f>IFERROR(INDEX('Email Cleaner'!$B$2:$B$10001,MATCH(3995,'Email Cleaner'!$K$2:$K$10001,0)),"")</f>
        <v/>
      </c>
    </row>
    <row r="3997">
      <c r="A3997">
        <f>IFERROR(INDEX('Email Cleaner'!$B$2:$B$10001,MATCH(3996,'Email Cleaner'!$K$2:$K$10001,0)),"")</f>
        <v/>
      </c>
    </row>
    <row r="3998">
      <c r="A3998">
        <f>IFERROR(INDEX('Email Cleaner'!$B$2:$B$10001,MATCH(3997,'Email Cleaner'!$K$2:$K$10001,0)),"")</f>
        <v/>
      </c>
    </row>
    <row r="3999">
      <c r="A3999">
        <f>IFERROR(INDEX('Email Cleaner'!$B$2:$B$10001,MATCH(3998,'Email Cleaner'!$K$2:$K$10001,0)),"")</f>
        <v/>
      </c>
    </row>
    <row r="4000">
      <c r="A4000">
        <f>IFERROR(INDEX('Email Cleaner'!$B$2:$B$10001,MATCH(3999,'Email Cleaner'!$K$2:$K$10001,0)),"")</f>
        <v/>
      </c>
    </row>
    <row r="4001">
      <c r="A4001">
        <f>IFERROR(INDEX('Email Cleaner'!$B$2:$B$10001,MATCH(4000,'Email Cleaner'!$K$2:$K$10001,0)),"")</f>
        <v/>
      </c>
    </row>
    <row r="4002">
      <c r="A4002">
        <f>IFERROR(INDEX('Email Cleaner'!$B$2:$B$10001,MATCH(4001,'Email Cleaner'!$K$2:$K$10001,0)),"")</f>
        <v/>
      </c>
    </row>
    <row r="4003">
      <c r="A4003">
        <f>IFERROR(INDEX('Email Cleaner'!$B$2:$B$10001,MATCH(4002,'Email Cleaner'!$K$2:$K$10001,0)),"")</f>
        <v/>
      </c>
    </row>
    <row r="4004">
      <c r="A4004">
        <f>IFERROR(INDEX('Email Cleaner'!$B$2:$B$10001,MATCH(4003,'Email Cleaner'!$K$2:$K$10001,0)),"")</f>
        <v/>
      </c>
    </row>
    <row r="4005">
      <c r="A4005">
        <f>IFERROR(INDEX('Email Cleaner'!$B$2:$B$10001,MATCH(4004,'Email Cleaner'!$K$2:$K$10001,0)),"")</f>
        <v/>
      </c>
    </row>
    <row r="4006">
      <c r="A4006">
        <f>IFERROR(INDEX('Email Cleaner'!$B$2:$B$10001,MATCH(4005,'Email Cleaner'!$K$2:$K$10001,0)),"")</f>
        <v/>
      </c>
    </row>
    <row r="4007">
      <c r="A4007">
        <f>IFERROR(INDEX('Email Cleaner'!$B$2:$B$10001,MATCH(4006,'Email Cleaner'!$K$2:$K$10001,0)),"")</f>
        <v/>
      </c>
    </row>
    <row r="4008">
      <c r="A4008">
        <f>IFERROR(INDEX('Email Cleaner'!$B$2:$B$10001,MATCH(4007,'Email Cleaner'!$K$2:$K$10001,0)),"")</f>
        <v/>
      </c>
    </row>
    <row r="4009">
      <c r="A4009">
        <f>IFERROR(INDEX('Email Cleaner'!$B$2:$B$10001,MATCH(4008,'Email Cleaner'!$K$2:$K$10001,0)),"")</f>
        <v/>
      </c>
    </row>
    <row r="4010">
      <c r="A4010">
        <f>IFERROR(INDEX('Email Cleaner'!$B$2:$B$10001,MATCH(4009,'Email Cleaner'!$K$2:$K$10001,0)),"")</f>
        <v/>
      </c>
    </row>
    <row r="4011">
      <c r="A4011">
        <f>IFERROR(INDEX('Email Cleaner'!$B$2:$B$10001,MATCH(4010,'Email Cleaner'!$K$2:$K$10001,0)),"")</f>
        <v/>
      </c>
    </row>
    <row r="4012">
      <c r="A4012">
        <f>IFERROR(INDEX('Email Cleaner'!$B$2:$B$10001,MATCH(4011,'Email Cleaner'!$K$2:$K$10001,0)),"")</f>
        <v/>
      </c>
    </row>
    <row r="4013">
      <c r="A4013">
        <f>IFERROR(INDEX('Email Cleaner'!$B$2:$B$10001,MATCH(4012,'Email Cleaner'!$K$2:$K$10001,0)),"")</f>
        <v/>
      </c>
    </row>
    <row r="4014">
      <c r="A4014">
        <f>IFERROR(INDEX('Email Cleaner'!$B$2:$B$10001,MATCH(4013,'Email Cleaner'!$K$2:$K$10001,0)),"")</f>
        <v/>
      </c>
    </row>
    <row r="4015">
      <c r="A4015">
        <f>IFERROR(INDEX('Email Cleaner'!$B$2:$B$10001,MATCH(4014,'Email Cleaner'!$K$2:$K$10001,0)),"")</f>
        <v/>
      </c>
    </row>
    <row r="4016">
      <c r="A4016">
        <f>IFERROR(INDEX('Email Cleaner'!$B$2:$B$10001,MATCH(4015,'Email Cleaner'!$K$2:$K$10001,0)),"")</f>
        <v/>
      </c>
    </row>
    <row r="4017">
      <c r="A4017">
        <f>IFERROR(INDEX('Email Cleaner'!$B$2:$B$10001,MATCH(4016,'Email Cleaner'!$K$2:$K$10001,0)),"")</f>
        <v/>
      </c>
    </row>
    <row r="4018">
      <c r="A4018">
        <f>IFERROR(INDEX('Email Cleaner'!$B$2:$B$10001,MATCH(4017,'Email Cleaner'!$K$2:$K$10001,0)),"")</f>
        <v/>
      </c>
    </row>
    <row r="4019">
      <c r="A4019">
        <f>IFERROR(INDEX('Email Cleaner'!$B$2:$B$10001,MATCH(4018,'Email Cleaner'!$K$2:$K$10001,0)),"")</f>
        <v/>
      </c>
    </row>
    <row r="4020">
      <c r="A4020">
        <f>IFERROR(INDEX('Email Cleaner'!$B$2:$B$10001,MATCH(4019,'Email Cleaner'!$K$2:$K$10001,0)),"")</f>
        <v/>
      </c>
    </row>
    <row r="4021">
      <c r="A4021">
        <f>IFERROR(INDEX('Email Cleaner'!$B$2:$B$10001,MATCH(4020,'Email Cleaner'!$K$2:$K$10001,0)),"")</f>
        <v/>
      </c>
    </row>
    <row r="4022">
      <c r="A4022">
        <f>IFERROR(INDEX('Email Cleaner'!$B$2:$B$10001,MATCH(4021,'Email Cleaner'!$K$2:$K$10001,0)),"")</f>
        <v/>
      </c>
    </row>
    <row r="4023">
      <c r="A4023">
        <f>IFERROR(INDEX('Email Cleaner'!$B$2:$B$10001,MATCH(4022,'Email Cleaner'!$K$2:$K$10001,0)),"")</f>
        <v/>
      </c>
    </row>
    <row r="4024">
      <c r="A4024">
        <f>IFERROR(INDEX('Email Cleaner'!$B$2:$B$10001,MATCH(4023,'Email Cleaner'!$K$2:$K$10001,0)),"")</f>
        <v/>
      </c>
    </row>
    <row r="4025">
      <c r="A4025">
        <f>IFERROR(INDEX('Email Cleaner'!$B$2:$B$10001,MATCH(4024,'Email Cleaner'!$K$2:$K$10001,0)),"")</f>
        <v/>
      </c>
    </row>
    <row r="4026">
      <c r="A4026">
        <f>IFERROR(INDEX('Email Cleaner'!$B$2:$B$10001,MATCH(4025,'Email Cleaner'!$K$2:$K$10001,0)),"")</f>
        <v/>
      </c>
    </row>
    <row r="4027">
      <c r="A4027">
        <f>IFERROR(INDEX('Email Cleaner'!$B$2:$B$10001,MATCH(4026,'Email Cleaner'!$K$2:$K$10001,0)),"")</f>
        <v/>
      </c>
    </row>
    <row r="4028">
      <c r="A4028">
        <f>IFERROR(INDEX('Email Cleaner'!$B$2:$B$10001,MATCH(4027,'Email Cleaner'!$K$2:$K$10001,0)),"")</f>
        <v/>
      </c>
    </row>
    <row r="4029">
      <c r="A4029">
        <f>IFERROR(INDEX('Email Cleaner'!$B$2:$B$10001,MATCH(4028,'Email Cleaner'!$K$2:$K$10001,0)),"")</f>
        <v/>
      </c>
    </row>
    <row r="4030">
      <c r="A4030">
        <f>IFERROR(INDEX('Email Cleaner'!$B$2:$B$10001,MATCH(4029,'Email Cleaner'!$K$2:$K$10001,0)),"")</f>
        <v/>
      </c>
    </row>
    <row r="4031">
      <c r="A4031">
        <f>IFERROR(INDEX('Email Cleaner'!$B$2:$B$10001,MATCH(4030,'Email Cleaner'!$K$2:$K$10001,0)),"")</f>
        <v/>
      </c>
    </row>
    <row r="4032">
      <c r="A4032">
        <f>IFERROR(INDEX('Email Cleaner'!$B$2:$B$10001,MATCH(4031,'Email Cleaner'!$K$2:$K$10001,0)),"")</f>
        <v/>
      </c>
    </row>
    <row r="4033">
      <c r="A4033">
        <f>IFERROR(INDEX('Email Cleaner'!$B$2:$B$10001,MATCH(4032,'Email Cleaner'!$K$2:$K$10001,0)),"")</f>
        <v/>
      </c>
    </row>
    <row r="4034">
      <c r="A4034">
        <f>IFERROR(INDEX('Email Cleaner'!$B$2:$B$10001,MATCH(4033,'Email Cleaner'!$K$2:$K$10001,0)),"")</f>
        <v/>
      </c>
    </row>
    <row r="4035">
      <c r="A4035">
        <f>IFERROR(INDEX('Email Cleaner'!$B$2:$B$10001,MATCH(4034,'Email Cleaner'!$K$2:$K$10001,0)),"")</f>
        <v/>
      </c>
    </row>
    <row r="4036">
      <c r="A4036">
        <f>IFERROR(INDEX('Email Cleaner'!$B$2:$B$10001,MATCH(4035,'Email Cleaner'!$K$2:$K$10001,0)),"")</f>
        <v/>
      </c>
    </row>
    <row r="4037">
      <c r="A4037">
        <f>IFERROR(INDEX('Email Cleaner'!$B$2:$B$10001,MATCH(4036,'Email Cleaner'!$K$2:$K$10001,0)),"")</f>
        <v/>
      </c>
    </row>
    <row r="4038">
      <c r="A4038">
        <f>IFERROR(INDEX('Email Cleaner'!$B$2:$B$10001,MATCH(4037,'Email Cleaner'!$K$2:$K$10001,0)),"")</f>
        <v/>
      </c>
    </row>
    <row r="4039">
      <c r="A4039">
        <f>IFERROR(INDEX('Email Cleaner'!$B$2:$B$10001,MATCH(4038,'Email Cleaner'!$K$2:$K$10001,0)),"")</f>
        <v/>
      </c>
    </row>
    <row r="4040">
      <c r="A4040">
        <f>IFERROR(INDEX('Email Cleaner'!$B$2:$B$10001,MATCH(4039,'Email Cleaner'!$K$2:$K$10001,0)),"")</f>
        <v/>
      </c>
    </row>
    <row r="4041">
      <c r="A4041">
        <f>IFERROR(INDEX('Email Cleaner'!$B$2:$B$10001,MATCH(4040,'Email Cleaner'!$K$2:$K$10001,0)),"")</f>
        <v/>
      </c>
    </row>
    <row r="4042">
      <c r="A4042">
        <f>IFERROR(INDEX('Email Cleaner'!$B$2:$B$10001,MATCH(4041,'Email Cleaner'!$K$2:$K$10001,0)),"")</f>
        <v/>
      </c>
    </row>
    <row r="4043">
      <c r="A4043">
        <f>IFERROR(INDEX('Email Cleaner'!$B$2:$B$10001,MATCH(4042,'Email Cleaner'!$K$2:$K$10001,0)),"")</f>
        <v/>
      </c>
    </row>
    <row r="4044">
      <c r="A4044">
        <f>IFERROR(INDEX('Email Cleaner'!$B$2:$B$10001,MATCH(4043,'Email Cleaner'!$K$2:$K$10001,0)),"")</f>
        <v/>
      </c>
    </row>
    <row r="4045">
      <c r="A4045">
        <f>IFERROR(INDEX('Email Cleaner'!$B$2:$B$10001,MATCH(4044,'Email Cleaner'!$K$2:$K$10001,0)),"")</f>
        <v/>
      </c>
    </row>
    <row r="4046">
      <c r="A4046">
        <f>IFERROR(INDEX('Email Cleaner'!$B$2:$B$10001,MATCH(4045,'Email Cleaner'!$K$2:$K$10001,0)),"")</f>
        <v/>
      </c>
    </row>
    <row r="4047">
      <c r="A4047">
        <f>IFERROR(INDEX('Email Cleaner'!$B$2:$B$10001,MATCH(4046,'Email Cleaner'!$K$2:$K$10001,0)),"")</f>
        <v/>
      </c>
    </row>
    <row r="4048">
      <c r="A4048">
        <f>IFERROR(INDEX('Email Cleaner'!$B$2:$B$10001,MATCH(4047,'Email Cleaner'!$K$2:$K$10001,0)),"")</f>
        <v/>
      </c>
    </row>
    <row r="4049">
      <c r="A4049">
        <f>IFERROR(INDEX('Email Cleaner'!$B$2:$B$10001,MATCH(4048,'Email Cleaner'!$K$2:$K$10001,0)),"")</f>
        <v/>
      </c>
    </row>
    <row r="4050">
      <c r="A4050">
        <f>IFERROR(INDEX('Email Cleaner'!$B$2:$B$10001,MATCH(4049,'Email Cleaner'!$K$2:$K$10001,0)),"")</f>
        <v/>
      </c>
    </row>
    <row r="4051">
      <c r="A4051">
        <f>IFERROR(INDEX('Email Cleaner'!$B$2:$B$10001,MATCH(4050,'Email Cleaner'!$K$2:$K$10001,0)),"")</f>
        <v/>
      </c>
    </row>
    <row r="4052">
      <c r="A4052">
        <f>IFERROR(INDEX('Email Cleaner'!$B$2:$B$10001,MATCH(4051,'Email Cleaner'!$K$2:$K$10001,0)),"")</f>
        <v/>
      </c>
    </row>
    <row r="4053">
      <c r="A4053">
        <f>IFERROR(INDEX('Email Cleaner'!$B$2:$B$10001,MATCH(4052,'Email Cleaner'!$K$2:$K$10001,0)),"")</f>
        <v/>
      </c>
    </row>
    <row r="4054">
      <c r="A4054">
        <f>IFERROR(INDEX('Email Cleaner'!$B$2:$B$10001,MATCH(4053,'Email Cleaner'!$K$2:$K$10001,0)),"")</f>
        <v/>
      </c>
    </row>
    <row r="4055">
      <c r="A4055">
        <f>IFERROR(INDEX('Email Cleaner'!$B$2:$B$10001,MATCH(4054,'Email Cleaner'!$K$2:$K$10001,0)),"")</f>
        <v/>
      </c>
    </row>
    <row r="4056">
      <c r="A4056">
        <f>IFERROR(INDEX('Email Cleaner'!$B$2:$B$10001,MATCH(4055,'Email Cleaner'!$K$2:$K$10001,0)),"")</f>
        <v/>
      </c>
    </row>
    <row r="4057">
      <c r="A4057">
        <f>IFERROR(INDEX('Email Cleaner'!$B$2:$B$10001,MATCH(4056,'Email Cleaner'!$K$2:$K$10001,0)),"")</f>
        <v/>
      </c>
    </row>
    <row r="4058">
      <c r="A4058">
        <f>IFERROR(INDEX('Email Cleaner'!$B$2:$B$10001,MATCH(4057,'Email Cleaner'!$K$2:$K$10001,0)),"")</f>
        <v/>
      </c>
    </row>
    <row r="4059">
      <c r="A4059">
        <f>IFERROR(INDEX('Email Cleaner'!$B$2:$B$10001,MATCH(4058,'Email Cleaner'!$K$2:$K$10001,0)),"")</f>
        <v/>
      </c>
    </row>
    <row r="4060">
      <c r="A4060">
        <f>IFERROR(INDEX('Email Cleaner'!$B$2:$B$10001,MATCH(4059,'Email Cleaner'!$K$2:$K$10001,0)),"")</f>
        <v/>
      </c>
    </row>
    <row r="4061">
      <c r="A4061">
        <f>IFERROR(INDEX('Email Cleaner'!$B$2:$B$10001,MATCH(4060,'Email Cleaner'!$K$2:$K$10001,0)),"")</f>
        <v/>
      </c>
    </row>
    <row r="4062">
      <c r="A4062">
        <f>IFERROR(INDEX('Email Cleaner'!$B$2:$B$10001,MATCH(4061,'Email Cleaner'!$K$2:$K$10001,0)),"")</f>
        <v/>
      </c>
    </row>
    <row r="4063">
      <c r="A4063">
        <f>IFERROR(INDEX('Email Cleaner'!$B$2:$B$10001,MATCH(4062,'Email Cleaner'!$K$2:$K$10001,0)),"")</f>
        <v/>
      </c>
    </row>
    <row r="4064">
      <c r="A4064">
        <f>IFERROR(INDEX('Email Cleaner'!$B$2:$B$10001,MATCH(4063,'Email Cleaner'!$K$2:$K$10001,0)),"")</f>
        <v/>
      </c>
    </row>
    <row r="4065">
      <c r="A4065">
        <f>IFERROR(INDEX('Email Cleaner'!$B$2:$B$10001,MATCH(4064,'Email Cleaner'!$K$2:$K$10001,0)),"")</f>
        <v/>
      </c>
    </row>
    <row r="4066">
      <c r="A4066">
        <f>IFERROR(INDEX('Email Cleaner'!$B$2:$B$10001,MATCH(4065,'Email Cleaner'!$K$2:$K$10001,0)),"")</f>
        <v/>
      </c>
    </row>
    <row r="4067">
      <c r="A4067">
        <f>IFERROR(INDEX('Email Cleaner'!$B$2:$B$10001,MATCH(4066,'Email Cleaner'!$K$2:$K$10001,0)),"")</f>
        <v/>
      </c>
    </row>
    <row r="4068">
      <c r="A4068">
        <f>IFERROR(INDEX('Email Cleaner'!$B$2:$B$10001,MATCH(4067,'Email Cleaner'!$K$2:$K$10001,0)),"")</f>
        <v/>
      </c>
    </row>
    <row r="4069">
      <c r="A4069">
        <f>IFERROR(INDEX('Email Cleaner'!$B$2:$B$10001,MATCH(4068,'Email Cleaner'!$K$2:$K$10001,0)),"")</f>
        <v/>
      </c>
    </row>
    <row r="4070">
      <c r="A4070">
        <f>IFERROR(INDEX('Email Cleaner'!$B$2:$B$10001,MATCH(4069,'Email Cleaner'!$K$2:$K$10001,0)),"")</f>
        <v/>
      </c>
    </row>
    <row r="4071">
      <c r="A4071">
        <f>IFERROR(INDEX('Email Cleaner'!$B$2:$B$10001,MATCH(4070,'Email Cleaner'!$K$2:$K$10001,0)),"")</f>
        <v/>
      </c>
    </row>
    <row r="4072">
      <c r="A4072">
        <f>IFERROR(INDEX('Email Cleaner'!$B$2:$B$10001,MATCH(4071,'Email Cleaner'!$K$2:$K$10001,0)),"")</f>
        <v/>
      </c>
    </row>
    <row r="4073">
      <c r="A4073">
        <f>IFERROR(INDEX('Email Cleaner'!$B$2:$B$10001,MATCH(4072,'Email Cleaner'!$K$2:$K$10001,0)),"")</f>
        <v/>
      </c>
    </row>
    <row r="4074">
      <c r="A4074">
        <f>IFERROR(INDEX('Email Cleaner'!$B$2:$B$10001,MATCH(4073,'Email Cleaner'!$K$2:$K$10001,0)),"")</f>
        <v/>
      </c>
    </row>
    <row r="4075">
      <c r="A4075">
        <f>IFERROR(INDEX('Email Cleaner'!$B$2:$B$10001,MATCH(4074,'Email Cleaner'!$K$2:$K$10001,0)),"")</f>
        <v/>
      </c>
    </row>
    <row r="4076">
      <c r="A4076">
        <f>IFERROR(INDEX('Email Cleaner'!$B$2:$B$10001,MATCH(4075,'Email Cleaner'!$K$2:$K$10001,0)),"")</f>
        <v/>
      </c>
    </row>
    <row r="4077">
      <c r="A4077">
        <f>IFERROR(INDEX('Email Cleaner'!$B$2:$B$10001,MATCH(4076,'Email Cleaner'!$K$2:$K$10001,0)),"")</f>
        <v/>
      </c>
    </row>
    <row r="4078">
      <c r="A4078">
        <f>IFERROR(INDEX('Email Cleaner'!$B$2:$B$10001,MATCH(4077,'Email Cleaner'!$K$2:$K$10001,0)),"")</f>
        <v/>
      </c>
    </row>
    <row r="4079">
      <c r="A4079">
        <f>IFERROR(INDEX('Email Cleaner'!$B$2:$B$10001,MATCH(4078,'Email Cleaner'!$K$2:$K$10001,0)),"")</f>
        <v/>
      </c>
    </row>
    <row r="4080">
      <c r="A4080">
        <f>IFERROR(INDEX('Email Cleaner'!$B$2:$B$10001,MATCH(4079,'Email Cleaner'!$K$2:$K$10001,0)),"")</f>
        <v/>
      </c>
    </row>
    <row r="4081">
      <c r="A4081">
        <f>IFERROR(INDEX('Email Cleaner'!$B$2:$B$10001,MATCH(4080,'Email Cleaner'!$K$2:$K$10001,0)),"")</f>
        <v/>
      </c>
    </row>
    <row r="4082">
      <c r="A4082">
        <f>IFERROR(INDEX('Email Cleaner'!$B$2:$B$10001,MATCH(4081,'Email Cleaner'!$K$2:$K$10001,0)),"")</f>
        <v/>
      </c>
    </row>
    <row r="4083">
      <c r="A4083">
        <f>IFERROR(INDEX('Email Cleaner'!$B$2:$B$10001,MATCH(4082,'Email Cleaner'!$K$2:$K$10001,0)),"")</f>
        <v/>
      </c>
    </row>
    <row r="4084">
      <c r="A4084">
        <f>IFERROR(INDEX('Email Cleaner'!$B$2:$B$10001,MATCH(4083,'Email Cleaner'!$K$2:$K$10001,0)),"")</f>
        <v/>
      </c>
    </row>
    <row r="4085">
      <c r="A4085">
        <f>IFERROR(INDEX('Email Cleaner'!$B$2:$B$10001,MATCH(4084,'Email Cleaner'!$K$2:$K$10001,0)),"")</f>
        <v/>
      </c>
    </row>
    <row r="4086">
      <c r="A4086">
        <f>IFERROR(INDEX('Email Cleaner'!$B$2:$B$10001,MATCH(4085,'Email Cleaner'!$K$2:$K$10001,0)),"")</f>
        <v/>
      </c>
    </row>
    <row r="4087">
      <c r="A4087">
        <f>IFERROR(INDEX('Email Cleaner'!$B$2:$B$10001,MATCH(4086,'Email Cleaner'!$K$2:$K$10001,0)),"")</f>
        <v/>
      </c>
    </row>
    <row r="4088">
      <c r="A4088">
        <f>IFERROR(INDEX('Email Cleaner'!$B$2:$B$10001,MATCH(4087,'Email Cleaner'!$K$2:$K$10001,0)),"")</f>
        <v/>
      </c>
    </row>
    <row r="4089">
      <c r="A4089">
        <f>IFERROR(INDEX('Email Cleaner'!$B$2:$B$10001,MATCH(4088,'Email Cleaner'!$K$2:$K$10001,0)),"")</f>
        <v/>
      </c>
    </row>
    <row r="4090">
      <c r="A4090">
        <f>IFERROR(INDEX('Email Cleaner'!$B$2:$B$10001,MATCH(4089,'Email Cleaner'!$K$2:$K$10001,0)),"")</f>
        <v/>
      </c>
    </row>
    <row r="4091">
      <c r="A4091">
        <f>IFERROR(INDEX('Email Cleaner'!$B$2:$B$10001,MATCH(4090,'Email Cleaner'!$K$2:$K$10001,0)),"")</f>
        <v/>
      </c>
    </row>
    <row r="4092">
      <c r="A4092">
        <f>IFERROR(INDEX('Email Cleaner'!$B$2:$B$10001,MATCH(4091,'Email Cleaner'!$K$2:$K$10001,0)),"")</f>
        <v/>
      </c>
    </row>
    <row r="4093">
      <c r="A4093">
        <f>IFERROR(INDEX('Email Cleaner'!$B$2:$B$10001,MATCH(4092,'Email Cleaner'!$K$2:$K$10001,0)),"")</f>
        <v/>
      </c>
    </row>
    <row r="4094">
      <c r="A4094">
        <f>IFERROR(INDEX('Email Cleaner'!$B$2:$B$10001,MATCH(4093,'Email Cleaner'!$K$2:$K$10001,0)),"")</f>
        <v/>
      </c>
    </row>
    <row r="4095">
      <c r="A4095">
        <f>IFERROR(INDEX('Email Cleaner'!$B$2:$B$10001,MATCH(4094,'Email Cleaner'!$K$2:$K$10001,0)),"")</f>
        <v/>
      </c>
    </row>
    <row r="4096">
      <c r="A4096">
        <f>IFERROR(INDEX('Email Cleaner'!$B$2:$B$10001,MATCH(4095,'Email Cleaner'!$K$2:$K$10001,0)),"")</f>
        <v/>
      </c>
    </row>
    <row r="4097">
      <c r="A4097">
        <f>IFERROR(INDEX('Email Cleaner'!$B$2:$B$10001,MATCH(4096,'Email Cleaner'!$K$2:$K$10001,0)),"")</f>
        <v/>
      </c>
    </row>
    <row r="4098">
      <c r="A4098">
        <f>IFERROR(INDEX('Email Cleaner'!$B$2:$B$10001,MATCH(4097,'Email Cleaner'!$K$2:$K$10001,0)),"")</f>
        <v/>
      </c>
    </row>
    <row r="4099">
      <c r="A4099">
        <f>IFERROR(INDEX('Email Cleaner'!$B$2:$B$10001,MATCH(4098,'Email Cleaner'!$K$2:$K$10001,0)),"")</f>
        <v/>
      </c>
    </row>
    <row r="4100">
      <c r="A4100">
        <f>IFERROR(INDEX('Email Cleaner'!$B$2:$B$10001,MATCH(4099,'Email Cleaner'!$K$2:$K$10001,0)),"")</f>
        <v/>
      </c>
    </row>
    <row r="4101">
      <c r="A4101">
        <f>IFERROR(INDEX('Email Cleaner'!$B$2:$B$10001,MATCH(4100,'Email Cleaner'!$K$2:$K$10001,0)),"")</f>
        <v/>
      </c>
    </row>
    <row r="4102">
      <c r="A4102">
        <f>IFERROR(INDEX('Email Cleaner'!$B$2:$B$10001,MATCH(4101,'Email Cleaner'!$K$2:$K$10001,0)),"")</f>
        <v/>
      </c>
    </row>
    <row r="4103">
      <c r="A4103">
        <f>IFERROR(INDEX('Email Cleaner'!$B$2:$B$10001,MATCH(4102,'Email Cleaner'!$K$2:$K$10001,0)),"")</f>
        <v/>
      </c>
    </row>
    <row r="4104">
      <c r="A4104">
        <f>IFERROR(INDEX('Email Cleaner'!$B$2:$B$10001,MATCH(4103,'Email Cleaner'!$K$2:$K$10001,0)),"")</f>
        <v/>
      </c>
    </row>
    <row r="4105">
      <c r="A4105">
        <f>IFERROR(INDEX('Email Cleaner'!$B$2:$B$10001,MATCH(4104,'Email Cleaner'!$K$2:$K$10001,0)),"")</f>
        <v/>
      </c>
    </row>
    <row r="4106">
      <c r="A4106">
        <f>IFERROR(INDEX('Email Cleaner'!$B$2:$B$10001,MATCH(4105,'Email Cleaner'!$K$2:$K$10001,0)),"")</f>
        <v/>
      </c>
    </row>
    <row r="4107">
      <c r="A4107">
        <f>IFERROR(INDEX('Email Cleaner'!$B$2:$B$10001,MATCH(4106,'Email Cleaner'!$K$2:$K$10001,0)),"")</f>
        <v/>
      </c>
    </row>
    <row r="4108">
      <c r="A4108">
        <f>IFERROR(INDEX('Email Cleaner'!$B$2:$B$10001,MATCH(4107,'Email Cleaner'!$K$2:$K$10001,0)),"")</f>
        <v/>
      </c>
    </row>
    <row r="4109">
      <c r="A4109">
        <f>IFERROR(INDEX('Email Cleaner'!$B$2:$B$10001,MATCH(4108,'Email Cleaner'!$K$2:$K$10001,0)),"")</f>
        <v/>
      </c>
    </row>
    <row r="4110">
      <c r="A4110">
        <f>IFERROR(INDEX('Email Cleaner'!$B$2:$B$10001,MATCH(4109,'Email Cleaner'!$K$2:$K$10001,0)),"")</f>
        <v/>
      </c>
    </row>
    <row r="4111">
      <c r="A4111">
        <f>IFERROR(INDEX('Email Cleaner'!$B$2:$B$10001,MATCH(4110,'Email Cleaner'!$K$2:$K$10001,0)),"")</f>
        <v/>
      </c>
    </row>
    <row r="4112">
      <c r="A4112">
        <f>IFERROR(INDEX('Email Cleaner'!$B$2:$B$10001,MATCH(4111,'Email Cleaner'!$K$2:$K$10001,0)),"")</f>
        <v/>
      </c>
    </row>
    <row r="4113">
      <c r="A4113">
        <f>IFERROR(INDEX('Email Cleaner'!$B$2:$B$10001,MATCH(4112,'Email Cleaner'!$K$2:$K$10001,0)),"")</f>
        <v/>
      </c>
    </row>
    <row r="4114">
      <c r="A4114">
        <f>IFERROR(INDEX('Email Cleaner'!$B$2:$B$10001,MATCH(4113,'Email Cleaner'!$K$2:$K$10001,0)),"")</f>
        <v/>
      </c>
    </row>
    <row r="4115">
      <c r="A4115">
        <f>IFERROR(INDEX('Email Cleaner'!$B$2:$B$10001,MATCH(4114,'Email Cleaner'!$K$2:$K$10001,0)),"")</f>
        <v/>
      </c>
    </row>
    <row r="4116">
      <c r="A4116">
        <f>IFERROR(INDEX('Email Cleaner'!$B$2:$B$10001,MATCH(4115,'Email Cleaner'!$K$2:$K$10001,0)),"")</f>
        <v/>
      </c>
    </row>
    <row r="4117">
      <c r="A4117">
        <f>IFERROR(INDEX('Email Cleaner'!$B$2:$B$10001,MATCH(4116,'Email Cleaner'!$K$2:$K$10001,0)),"")</f>
        <v/>
      </c>
    </row>
    <row r="4118">
      <c r="A4118">
        <f>IFERROR(INDEX('Email Cleaner'!$B$2:$B$10001,MATCH(4117,'Email Cleaner'!$K$2:$K$10001,0)),"")</f>
        <v/>
      </c>
    </row>
    <row r="4119">
      <c r="A4119">
        <f>IFERROR(INDEX('Email Cleaner'!$B$2:$B$10001,MATCH(4118,'Email Cleaner'!$K$2:$K$10001,0)),"")</f>
        <v/>
      </c>
    </row>
    <row r="4120">
      <c r="A4120">
        <f>IFERROR(INDEX('Email Cleaner'!$B$2:$B$10001,MATCH(4119,'Email Cleaner'!$K$2:$K$10001,0)),"")</f>
        <v/>
      </c>
    </row>
    <row r="4121">
      <c r="A4121">
        <f>IFERROR(INDEX('Email Cleaner'!$B$2:$B$10001,MATCH(4120,'Email Cleaner'!$K$2:$K$10001,0)),"")</f>
        <v/>
      </c>
    </row>
    <row r="4122">
      <c r="A4122">
        <f>IFERROR(INDEX('Email Cleaner'!$B$2:$B$10001,MATCH(4121,'Email Cleaner'!$K$2:$K$10001,0)),"")</f>
        <v/>
      </c>
    </row>
    <row r="4123">
      <c r="A4123">
        <f>IFERROR(INDEX('Email Cleaner'!$B$2:$B$10001,MATCH(4122,'Email Cleaner'!$K$2:$K$10001,0)),"")</f>
        <v/>
      </c>
    </row>
    <row r="4124">
      <c r="A4124">
        <f>IFERROR(INDEX('Email Cleaner'!$B$2:$B$10001,MATCH(4123,'Email Cleaner'!$K$2:$K$10001,0)),"")</f>
        <v/>
      </c>
    </row>
    <row r="4125">
      <c r="A4125">
        <f>IFERROR(INDEX('Email Cleaner'!$B$2:$B$10001,MATCH(4124,'Email Cleaner'!$K$2:$K$10001,0)),"")</f>
        <v/>
      </c>
    </row>
    <row r="4126">
      <c r="A4126">
        <f>IFERROR(INDEX('Email Cleaner'!$B$2:$B$10001,MATCH(4125,'Email Cleaner'!$K$2:$K$10001,0)),"")</f>
        <v/>
      </c>
    </row>
    <row r="4127">
      <c r="A4127">
        <f>IFERROR(INDEX('Email Cleaner'!$B$2:$B$10001,MATCH(4126,'Email Cleaner'!$K$2:$K$10001,0)),"")</f>
        <v/>
      </c>
    </row>
    <row r="4128">
      <c r="A4128">
        <f>IFERROR(INDEX('Email Cleaner'!$B$2:$B$10001,MATCH(4127,'Email Cleaner'!$K$2:$K$10001,0)),"")</f>
        <v/>
      </c>
    </row>
    <row r="4129">
      <c r="A4129">
        <f>IFERROR(INDEX('Email Cleaner'!$B$2:$B$10001,MATCH(4128,'Email Cleaner'!$K$2:$K$10001,0)),"")</f>
        <v/>
      </c>
    </row>
    <row r="4130">
      <c r="A4130">
        <f>IFERROR(INDEX('Email Cleaner'!$B$2:$B$10001,MATCH(4129,'Email Cleaner'!$K$2:$K$10001,0)),"")</f>
        <v/>
      </c>
    </row>
    <row r="4131">
      <c r="A4131">
        <f>IFERROR(INDEX('Email Cleaner'!$B$2:$B$10001,MATCH(4130,'Email Cleaner'!$K$2:$K$10001,0)),"")</f>
        <v/>
      </c>
    </row>
    <row r="4132">
      <c r="A4132">
        <f>IFERROR(INDEX('Email Cleaner'!$B$2:$B$10001,MATCH(4131,'Email Cleaner'!$K$2:$K$10001,0)),"")</f>
        <v/>
      </c>
    </row>
    <row r="4133">
      <c r="A4133">
        <f>IFERROR(INDEX('Email Cleaner'!$B$2:$B$10001,MATCH(4132,'Email Cleaner'!$K$2:$K$10001,0)),"")</f>
        <v/>
      </c>
    </row>
    <row r="4134">
      <c r="A4134">
        <f>IFERROR(INDEX('Email Cleaner'!$B$2:$B$10001,MATCH(4133,'Email Cleaner'!$K$2:$K$10001,0)),"")</f>
        <v/>
      </c>
    </row>
    <row r="4135">
      <c r="A4135">
        <f>IFERROR(INDEX('Email Cleaner'!$B$2:$B$10001,MATCH(4134,'Email Cleaner'!$K$2:$K$10001,0)),"")</f>
        <v/>
      </c>
    </row>
    <row r="4136">
      <c r="A4136">
        <f>IFERROR(INDEX('Email Cleaner'!$B$2:$B$10001,MATCH(4135,'Email Cleaner'!$K$2:$K$10001,0)),"")</f>
        <v/>
      </c>
    </row>
    <row r="4137">
      <c r="A4137">
        <f>IFERROR(INDEX('Email Cleaner'!$B$2:$B$10001,MATCH(4136,'Email Cleaner'!$K$2:$K$10001,0)),"")</f>
        <v/>
      </c>
    </row>
    <row r="4138">
      <c r="A4138">
        <f>IFERROR(INDEX('Email Cleaner'!$B$2:$B$10001,MATCH(4137,'Email Cleaner'!$K$2:$K$10001,0)),"")</f>
        <v/>
      </c>
    </row>
    <row r="4139">
      <c r="A4139">
        <f>IFERROR(INDEX('Email Cleaner'!$B$2:$B$10001,MATCH(4138,'Email Cleaner'!$K$2:$K$10001,0)),"")</f>
        <v/>
      </c>
    </row>
    <row r="4140">
      <c r="A4140">
        <f>IFERROR(INDEX('Email Cleaner'!$B$2:$B$10001,MATCH(4139,'Email Cleaner'!$K$2:$K$10001,0)),"")</f>
        <v/>
      </c>
    </row>
    <row r="4141">
      <c r="A4141">
        <f>IFERROR(INDEX('Email Cleaner'!$B$2:$B$10001,MATCH(4140,'Email Cleaner'!$K$2:$K$10001,0)),"")</f>
        <v/>
      </c>
    </row>
    <row r="4142">
      <c r="A4142">
        <f>IFERROR(INDEX('Email Cleaner'!$B$2:$B$10001,MATCH(4141,'Email Cleaner'!$K$2:$K$10001,0)),"")</f>
        <v/>
      </c>
    </row>
    <row r="4143">
      <c r="A4143">
        <f>IFERROR(INDEX('Email Cleaner'!$B$2:$B$10001,MATCH(4142,'Email Cleaner'!$K$2:$K$10001,0)),"")</f>
        <v/>
      </c>
    </row>
    <row r="4144">
      <c r="A4144">
        <f>IFERROR(INDEX('Email Cleaner'!$B$2:$B$10001,MATCH(4143,'Email Cleaner'!$K$2:$K$10001,0)),"")</f>
        <v/>
      </c>
    </row>
    <row r="4145">
      <c r="A4145">
        <f>IFERROR(INDEX('Email Cleaner'!$B$2:$B$10001,MATCH(4144,'Email Cleaner'!$K$2:$K$10001,0)),"")</f>
        <v/>
      </c>
    </row>
    <row r="4146">
      <c r="A4146">
        <f>IFERROR(INDEX('Email Cleaner'!$B$2:$B$10001,MATCH(4145,'Email Cleaner'!$K$2:$K$10001,0)),"")</f>
        <v/>
      </c>
    </row>
    <row r="4147">
      <c r="A4147">
        <f>IFERROR(INDEX('Email Cleaner'!$B$2:$B$10001,MATCH(4146,'Email Cleaner'!$K$2:$K$10001,0)),"")</f>
        <v/>
      </c>
    </row>
    <row r="4148">
      <c r="A4148">
        <f>IFERROR(INDEX('Email Cleaner'!$B$2:$B$10001,MATCH(4147,'Email Cleaner'!$K$2:$K$10001,0)),"")</f>
        <v/>
      </c>
    </row>
    <row r="4149">
      <c r="A4149">
        <f>IFERROR(INDEX('Email Cleaner'!$B$2:$B$10001,MATCH(4148,'Email Cleaner'!$K$2:$K$10001,0)),"")</f>
        <v/>
      </c>
    </row>
    <row r="4150">
      <c r="A4150">
        <f>IFERROR(INDEX('Email Cleaner'!$B$2:$B$10001,MATCH(4149,'Email Cleaner'!$K$2:$K$10001,0)),"")</f>
        <v/>
      </c>
    </row>
    <row r="4151">
      <c r="A4151">
        <f>IFERROR(INDEX('Email Cleaner'!$B$2:$B$10001,MATCH(4150,'Email Cleaner'!$K$2:$K$10001,0)),"")</f>
        <v/>
      </c>
    </row>
    <row r="4152">
      <c r="A4152">
        <f>IFERROR(INDEX('Email Cleaner'!$B$2:$B$10001,MATCH(4151,'Email Cleaner'!$K$2:$K$10001,0)),"")</f>
        <v/>
      </c>
    </row>
    <row r="4153">
      <c r="A4153">
        <f>IFERROR(INDEX('Email Cleaner'!$B$2:$B$10001,MATCH(4152,'Email Cleaner'!$K$2:$K$10001,0)),"")</f>
        <v/>
      </c>
    </row>
    <row r="4154">
      <c r="A4154">
        <f>IFERROR(INDEX('Email Cleaner'!$B$2:$B$10001,MATCH(4153,'Email Cleaner'!$K$2:$K$10001,0)),"")</f>
        <v/>
      </c>
    </row>
    <row r="4155">
      <c r="A4155">
        <f>IFERROR(INDEX('Email Cleaner'!$B$2:$B$10001,MATCH(4154,'Email Cleaner'!$K$2:$K$10001,0)),"")</f>
        <v/>
      </c>
    </row>
    <row r="4156">
      <c r="A4156">
        <f>IFERROR(INDEX('Email Cleaner'!$B$2:$B$10001,MATCH(4155,'Email Cleaner'!$K$2:$K$10001,0)),"")</f>
        <v/>
      </c>
    </row>
    <row r="4157">
      <c r="A4157">
        <f>IFERROR(INDEX('Email Cleaner'!$B$2:$B$10001,MATCH(4156,'Email Cleaner'!$K$2:$K$10001,0)),"")</f>
        <v/>
      </c>
    </row>
    <row r="4158">
      <c r="A4158">
        <f>IFERROR(INDEX('Email Cleaner'!$B$2:$B$10001,MATCH(4157,'Email Cleaner'!$K$2:$K$10001,0)),"")</f>
        <v/>
      </c>
    </row>
    <row r="4159">
      <c r="A4159">
        <f>IFERROR(INDEX('Email Cleaner'!$B$2:$B$10001,MATCH(4158,'Email Cleaner'!$K$2:$K$10001,0)),"")</f>
        <v/>
      </c>
    </row>
    <row r="4160">
      <c r="A4160">
        <f>IFERROR(INDEX('Email Cleaner'!$B$2:$B$10001,MATCH(4159,'Email Cleaner'!$K$2:$K$10001,0)),"")</f>
        <v/>
      </c>
    </row>
    <row r="4161">
      <c r="A4161">
        <f>IFERROR(INDEX('Email Cleaner'!$B$2:$B$10001,MATCH(4160,'Email Cleaner'!$K$2:$K$10001,0)),"")</f>
        <v/>
      </c>
    </row>
    <row r="4162">
      <c r="A4162">
        <f>IFERROR(INDEX('Email Cleaner'!$B$2:$B$10001,MATCH(4161,'Email Cleaner'!$K$2:$K$10001,0)),"")</f>
        <v/>
      </c>
    </row>
    <row r="4163">
      <c r="A4163">
        <f>IFERROR(INDEX('Email Cleaner'!$B$2:$B$10001,MATCH(4162,'Email Cleaner'!$K$2:$K$10001,0)),"")</f>
        <v/>
      </c>
    </row>
    <row r="4164">
      <c r="A4164">
        <f>IFERROR(INDEX('Email Cleaner'!$B$2:$B$10001,MATCH(4163,'Email Cleaner'!$K$2:$K$10001,0)),"")</f>
        <v/>
      </c>
    </row>
    <row r="4165">
      <c r="A4165">
        <f>IFERROR(INDEX('Email Cleaner'!$B$2:$B$10001,MATCH(4164,'Email Cleaner'!$K$2:$K$10001,0)),"")</f>
        <v/>
      </c>
    </row>
    <row r="4166">
      <c r="A4166">
        <f>IFERROR(INDEX('Email Cleaner'!$B$2:$B$10001,MATCH(4165,'Email Cleaner'!$K$2:$K$10001,0)),"")</f>
        <v/>
      </c>
    </row>
    <row r="4167">
      <c r="A4167">
        <f>IFERROR(INDEX('Email Cleaner'!$B$2:$B$10001,MATCH(4166,'Email Cleaner'!$K$2:$K$10001,0)),"")</f>
        <v/>
      </c>
    </row>
    <row r="4168">
      <c r="A4168">
        <f>IFERROR(INDEX('Email Cleaner'!$B$2:$B$10001,MATCH(4167,'Email Cleaner'!$K$2:$K$10001,0)),"")</f>
        <v/>
      </c>
    </row>
    <row r="4169">
      <c r="A4169">
        <f>IFERROR(INDEX('Email Cleaner'!$B$2:$B$10001,MATCH(4168,'Email Cleaner'!$K$2:$K$10001,0)),"")</f>
        <v/>
      </c>
    </row>
    <row r="4170">
      <c r="A4170">
        <f>IFERROR(INDEX('Email Cleaner'!$B$2:$B$10001,MATCH(4169,'Email Cleaner'!$K$2:$K$10001,0)),"")</f>
        <v/>
      </c>
    </row>
    <row r="4171">
      <c r="A4171">
        <f>IFERROR(INDEX('Email Cleaner'!$B$2:$B$10001,MATCH(4170,'Email Cleaner'!$K$2:$K$10001,0)),"")</f>
        <v/>
      </c>
    </row>
    <row r="4172">
      <c r="A4172">
        <f>IFERROR(INDEX('Email Cleaner'!$B$2:$B$10001,MATCH(4171,'Email Cleaner'!$K$2:$K$10001,0)),"")</f>
        <v/>
      </c>
    </row>
    <row r="4173">
      <c r="A4173">
        <f>IFERROR(INDEX('Email Cleaner'!$B$2:$B$10001,MATCH(4172,'Email Cleaner'!$K$2:$K$10001,0)),"")</f>
        <v/>
      </c>
    </row>
    <row r="4174">
      <c r="A4174">
        <f>IFERROR(INDEX('Email Cleaner'!$B$2:$B$10001,MATCH(4173,'Email Cleaner'!$K$2:$K$10001,0)),"")</f>
        <v/>
      </c>
    </row>
    <row r="4175">
      <c r="A4175">
        <f>IFERROR(INDEX('Email Cleaner'!$B$2:$B$10001,MATCH(4174,'Email Cleaner'!$K$2:$K$10001,0)),"")</f>
        <v/>
      </c>
    </row>
    <row r="4176">
      <c r="A4176">
        <f>IFERROR(INDEX('Email Cleaner'!$B$2:$B$10001,MATCH(4175,'Email Cleaner'!$K$2:$K$10001,0)),"")</f>
        <v/>
      </c>
    </row>
    <row r="4177">
      <c r="A4177">
        <f>IFERROR(INDEX('Email Cleaner'!$B$2:$B$10001,MATCH(4176,'Email Cleaner'!$K$2:$K$10001,0)),"")</f>
        <v/>
      </c>
    </row>
    <row r="4178">
      <c r="A4178">
        <f>IFERROR(INDEX('Email Cleaner'!$B$2:$B$10001,MATCH(4177,'Email Cleaner'!$K$2:$K$10001,0)),"")</f>
        <v/>
      </c>
    </row>
    <row r="4179">
      <c r="A4179">
        <f>IFERROR(INDEX('Email Cleaner'!$B$2:$B$10001,MATCH(4178,'Email Cleaner'!$K$2:$K$10001,0)),"")</f>
        <v/>
      </c>
    </row>
    <row r="4180">
      <c r="A4180">
        <f>IFERROR(INDEX('Email Cleaner'!$B$2:$B$10001,MATCH(4179,'Email Cleaner'!$K$2:$K$10001,0)),"")</f>
        <v/>
      </c>
    </row>
    <row r="4181">
      <c r="A4181">
        <f>IFERROR(INDEX('Email Cleaner'!$B$2:$B$10001,MATCH(4180,'Email Cleaner'!$K$2:$K$10001,0)),"")</f>
        <v/>
      </c>
    </row>
    <row r="4182">
      <c r="A4182">
        <f>IFERROR(INDEX('Email Cleaner'!$B$2:$B$10001,MATCH(4181,'Email Cleaner'!$K$2:$K$10001,0)),"")</f>
        <v/>
      </c>
    </row>
    <row r="4183">
      <c r="A4183">
        <f>IFERROR(INDEX('Email Cleaner'!$B$2:$B$10001,MATCH(4182,'Email Cleaner'!$K$2:$K$10001,0)),"")</f>
        <v/>
      </c>
    </row>
    <row r="4184">
      <c r="A4184">
        <f>IFERROR(INDEX('Email Cleaner'!$B$2:$B$10001,MATCH(4183,'Email Cleaner'!$K$2:$K$10001,0)),"")</f>
        <v/>
      </c>
    </row>
    <row r="4185">
      <c r="A4185">
        <f>IFERROR(INDEX('Email Cleaner'!$B$2:$B$10001,MATCH(4184,'Email Cleaner'!$K$2:$K$10001,0)),"")</f>
        <v/>
      </c>
    </row>
    <row r="4186">
      <c r="A4186">
        <f>IFERROR(INDEX('Email Cleaner'!$B$2:$B$10001,MATCH(4185,'Email Cleaner'!$K$2:$K$10001,0)),"")</f>
        <v/>
      </c>
    </row>
    <row r="4187">
      <c r="A4187">
        <f>IFERROR(INDEX('Email Cleaner'!$B$2:$B$10001,MATCH(4186,'Email Cleaner'!$K$2:$K$10001,0)),"")</f>
        <v/>
      </c>
    </row>
    <row r="4188">
      <c r="A4188">
        <f>IFERROR(INDEX('Email Cleaner'!$B$2:$B$10001,MATCH(4187,'Email Cleaner'!$K$2:$K$10001,0)),"")</f>
        <v/>
      </c>
    </row>
    <row r="4189">
      <c r="A4189">
        <f>IFERROR(INDEX('Email Cleaner'!$B$2:$B$10001,MATCH(4188,'Email Cleaner'!$K$2:$K$10001,0)),"")</f>
        <v/>
      </c>
    </row>
    <row r="4190">
      <c r="A4190">
        <f>IFERROR(INDEX('Email Cleaner'!$B$2:$B$10001,MATCH(4189,'Email Cleaner'!$K$2:$K$10001,0)),"")</f>
        <v/>
      </c>
    </row>
    <row r="4191">
      <c r="A4191">
        <f>IFERROR(INDEX('Email Cleaner'!$B$2:$B$10001,MATCH(4190,'Email Cleaner'!$K$2:$K$10001,0)),"")</f>
        <v/>
      </c>
    </row>
    <row r="4192">
      <c r="A4192">
        <f>IFERROR(INDEX('Email Cleaner'!$B$2:$B$10001,MATCH(4191,'Email Cleaner'!$K$2:$K$10001,0)),"")</f>
        <v/>
      </c>
    </row>
    <row r="4193">
      <c r="A4193">
        <f>IFERROR(INDEX('Email Cleaner'!$B$2:$B$10001,MATCH(4192,'Email Cleaner'!$K$2:$K$10001,0)),"")</f>
        <v/>
      </c>
    </row>
    <row r="4194">
      <c r="A4194">
        <f>IFERROR(INDEX('Email Cleaner'!$B$2:$B$10001,MATCH(4193,'Email Cleaner'!$K$2:$K$10001,0)),"")</f>
        <v/>
      </c>
    </row>
    <row r="4195">
      <c r="A4195">
        <f>IFERROR(INDEX('Email Cleaner'!$B$2:$B$10001,MATCH(4194,'Email Cleaner'!$K$2:$K$10001,0)),"")</f>
        <v/>
      </c>
    </row>
    <row r="4196">
      <c r="A4196">
        <f>IFERROR(INDEX('Email Cleaner'!$B$2:$B$10001,MATCH(4195,'Email Cleaner'!$K$2:$K$10001,0)),"")</f>
        <v/>
      </c>
    </row>
    <row r="4197">
      <c r="A4197">
        <f>IFERROR(INDEX('Email Cleaner'!$B$2:$B$10001,MATCH(4196,'Email Cleaner'!$K$2:$K$10001,0)),"")</f>
        <v/>
      </c>
    </row>
    <row r="4198">
      <c r="A4198">
        <f>IFERROR(INDEX('Email Cleaner'!$B$2:$B$10001,MATCH(4197,'Email Cleaner'!$K$2:$K$10001,0)),"")</f>
        <v/>
      </c>
    </row>
    <row r="4199">
      <c r="A4199">
        <f>IFERROR(INDEX('Email Cleaner'!$B$2:$B$10001,MATCH(4198,'Email Cleaner'!$K$2:$K$10001,0)),"")</f>
        <v/>
      </c>
    </row>
    <row r="4200">
      <c r="A4200">
        <f>IFERROR(INDEX('Email Cleaner'!$B$2:$B$10001,MATCH(4199,'Email Cleaner'!$K$2:$K$10001,0)),"")</f>
        <v/>
      </c>
    </row>
    <row r="4201">
      <c r="A4201">
        <f>IFERROR(INDEX('Email Cleaner'!$B$2:$B$10001,MATCH(4200,'Email Cleaner'!$K$2:$K$10001,0)),"")</f>
        <v/>
      </c>
    </row>
    <row r="4202">
      <c r="A4202">
        <f>IFERROR(INDEX('Email Cleaner'!$B$2:$B$10001,MATCH(4201,'Email Cleaner'!$K$2:$K$10001,0)),"")</f>
        <v/>
      </c>
    </row>
    <row r="4203">
      <c r="A4203">
        <f>IFERROR(INDEX('Email Cleaner'!$B$2:$B$10001,MATCH(4202,'Email Cleaner'!$K$2:$K$10001,0)),"")</f>
        <v/>
      </c>
    </row>
    <row r="4204">
      <c r="A4204">
        <f>IFERROR(INDEX('Email Cleaner'!$B$2:$B$10001,MATCH(4203,'Email Cleaner'!$K$2:$K$10001,0)),"")</f>
        <v/>
      </c>
    </row>
    <row r="4205">
      <c r="A4205">
        <f>IFERROR(INDEX('Email Cleaner'!$B$2:$B$10001,MATCH(4204,'Email Cleaner'!$K$2:$K$10001,0)),"")</f>
        <v/>
      </c>
    </row>
    <row r="4206">
      <c r="A4206">
        <f>IFERROR(INDEX('Email Cleaner'!$B$2:$B$10001,MATCH(4205,'Email Cleaner'!$K$2:$K$10001,0)),"")</f>
        <v/>
      </c>
    </row>
    <row r="4207">
      <c r="A4207">
        <f>IFERROR(INDEX('Email Cleaner'!$B$2:$B$10001,MATCH(4206,'Email Cleaner'!$K$2:$K$10001,0)),"")</f>
        <v/>
      </c>
    </row>
    <row r="4208">
      <c r="A4208">
        <f>IFERROR(INDEX('Email Cleaner'!$B$2:$B$10001,MATCH(4207,'Email Cleaner'!$K$2:$K$10001,0)),"")</f>
        <v/>
      </c>
    </row>
    <row r="4209">
      <c r="A4209">
        <f>IFERROR(INDEX('Email Cleaner'!$B$2:$B$10001,MATCH(4208,'Email Cleaner'!$K$2:$K$10001,0)),"")</f>
        <v/>
      </c>
    </row>
    <row r="4210">
      <c r="A4210">
        <f>IFERROR(INDEX('Email Cleaner'!$B$2:$B$10001,MATCH(4209,'Email Cleaner'!$K$2:$K$10001,0)),"")</f>
        <v/>
      </c>
    </row>
    <row r="4211">
      <c r="A4211">
        <f>IFERROR(INDEX('Email Cleaner'!$B$2:$B$10001,MATCH(4210,'Email Cleaner'!$K$2:$K$10001,0)),"")</f>
        <v/>
      </c>
    </row>
    <row r="4212">
      <c r="A4212">
        <f>IFERROR(INDEX('Email Cleaner'!$B$2:$B$10001,MATCH(4211,'Email Cleaner'!$K$2:$K$10001,0)),"")</f>
        <v/>
      </c>
    </row>
    <row r="4213">
      <c r="A4213">
        <f>IFERROR(INDEX('Email Cleaner'!$B$2:$B$10001,MATCH(4212,'Email Cleaner'!$K$2:$K$10001,0)),"")</f>
        <v/>
      </c>
    </row>
    <row r="4214">
      <c r="A4214">
        <f>IFERROR(INDEX('Email Cleaner'!$B$2:$B$10001,MATCH(4213,'Email Cleaner'!$K$2:$K$10001,0)),"")</f>
        <v/>
      </c>
    </row>
    <row r="4215">
      <c r="A4215">
        <f>IFERROR(INDEX('Email Cleaner'!$B$2:$B$10001,MATCH(4214,'Email Cleaner'!$K$2:$K$10001,0)),"")</f>
        <v/>
      </c>
    </row>
    <row r="4216">
      <c r="A4216">
        <f>IFERROR(INDEX('Email Cleaner'!$B$2:$B$10001,MATCH(4215,'Email Cleaner'!$K$2:$K$10001,0)),"")</f>
        <v/>
      </c>
    </row>
    <row r="4217">
      <c r="A4217">
        <f>IFERROR(INDEX('Email Cleaner'!$B$2:$B$10001,MATCH(4216,'Email Cleaner'!$K$2:$K$10001,0)),"")</f>
        <v/>
      </c>
    </row>
    <row r="4218">
      <c r="A4218">
        <f>IFERROR(INDEX('Email Cleaner'!$B$2:$B$10001,MATCH(4217,'Email Cleaner'!$K$2:$K$10001,0)),"")</f>
        <v/>
      </c>
    </row>
    <row r="4219">
      <c r="A4219">
        <f>IFERROR(INDEX('Email Cleaner'!$B$2:$B$10001,MATCH(4218,'Email Cleaner'!$K$2:$K$10001,0)),"")</f>
        <v/>
      </c>
    </row>
    <row r="4220">
      <c r="A4220">
        <f>IFERROR(INDEX('Email Cleaner'!$B$2:$B$10001,MATCH(4219,'Email Cleaner'!$K$2:$K$10001,0)),"")</f>
        <v/>
      </c>
    </row>
    <row r="4221">
      <c r="A4221">
        <f>IFERROR(INDEX('Email Cleaner'!$B$2:$B$10001,MATCH(4220,'Email Cleaner'!$K$2:$K$10001,0)),"")</f>
        <v/>
      </c>
    </row>
    <row r="4222">
      <c r="A4222">
        <f>IFERROR(INDEX('Email Cleaner'!$B$2:$B$10001,MATCH(4221,'Email Cleaner'!$K$2:$K$10001,0)),"")</f>
        <v/>
      </c>
    </row>
    <row r="4223">
      <c r="A4223">
        <f>IFERROR(INDEX('Email Cleaner'!$B$2:$B$10001,MATCH(4222,'Email Cleaner'!$K$2:$K$10001,0)),"")</f>
        <v/>
      </c>
    </row>
    <row r="4224">
      <c r="A4224">
        <f>IFERROR(INDEX('Email Cleaner'!$B$2:$B$10001,MATCH(4223,'Email Cleaner'!$K$2:$K$10001,0)),"")</f>
        <v/>
      </c>
    </row>
    <row r="4225">
      <c r="A4225">
        <f>IFERROR(INDEX('Email Cleaner'!$B$2:$B$10001,MATCH(4224,'Email Cleaner'!$K$2:$K$10001,0)),"")</f>
        <v/>
      </c>
    </row>
    <row r="4226">
      <c r="A4226">
        <f>IFERROR(INDEX('Email Cleaner'!$B$2:$B$10001,MATCH(4225,'Email Cleaner'!$K$2:$K$10001,0)),"")</f>
        <v/>
      </c>
    </row>
    <row r="4227">
      <c r="A4227">
        <f>IFERROR(INDEX('Email Cleaner'!$B$2:$B$10001,MATCH(4226,'Email Cleaner'!$K$2:$K$10001,0)),"")</f>
        <v/>
      </c>
    </row>
    <row r="4228">
      <c r="A4228">
        <f>IFERROR(INDEX('Email Cleaner'!$B$2:$B$10001,MATCH(4227,'Email Cleaner'!$K$2:$K$10001,0)),"")</f>
        <v/>
      </c>
    </row>
    <row r="4229">
      <c r="A4229">
        <f>IFERROR(INDEX('Email Cleaner'!$B$2:$B$10001,MATCH(4228,'Email Cleaner'!$K$2:$K$10001,0)),"")</f>
        <v/>
      </c>
    </row>
    <row r="4230">
      <c r="A4230">
        <f>IFERROR(INDEX('Email Cleaner'!$B$2:$B$10001,MATCH(4229,'Email Cleaner'!$K$2:$K$10001,0)),"")</f>
        <v/>
      </c>
    </row>
    <row r="4231">
      <c r="A4231">
        <f>IFERROR(INDEX('Email Cleaner'!$B$2:$B$10001,MATCH(4230,'Email Cleaner'!$K$2:$K$10001,0)),"")</f>
        <v/>
      </c>
    </row>
    <row r="4232">
      <c r="A4232">
        <f>IFERROR(INDEX('Email Cleaner'!$B$2:$B$10001,MATCH(4231,'Email Cleaner'!$K$2:$K$10001,0)),"")</f>
        <v/>
      </c>
    </row>
    <row r="4233">
      <c r="A4233">
        <f>IFERROR(INDEX('Email Cleaner'!$B$2:$B$10001,MATCH(4232,'Email Cleaner'!$K$2:$K$10001,0)),"")</f>
        <v/>
      </c>
    </row>
    <row r="4234">
      <c r="A4234">
        <f>IFERROR(INDEX('Email Cleaner'!$B$2:$B$10001,MATCH(4233,'Email Cleaner'!$K$2:$K$10001,0)),"")</f>
        <v/>
      </c>
    </row>
    <row r="4235">
      <c r="A4235">
        <f>IFERROR(INDEX('Email Cleaner'!$B$2:$B$10001,MATCH(4234,'Email Cleaner'!$K$2:$K$10001,0)),"")</f>
        <v/>
      </c>
    </row>
    <row r="4236">
      <c r="A4236">
        <f>IFERROR(INDEX('Email Cleaner'!$B$2:$B$10001,MATCH(4235,'Email Cleaner'!$K$2:$K$10001,0)),"")</f>
        <v/>
      </c>
    </row>
    <row r="4237">
      <c r="A4237">
        <f>IFERROR(INDEX('Email Cleaner'!$B$2:$B$10001,MATCH(4236,'Email Cleaner'!$K$2:$K$10001,0)),"")</f>
        <v/>
      </c>
    </row>
    <row r="4238">
      <c r="A4238">
        <f>IFERROR(INDEX('Email Cleaner'!$B$2:$B$10001,MATCH(4237,'Email Cleaner'!$K$2:$K$10001,0)),"")</f>
        <v/>
      </c>
    </row>
    <row r="4239">
      <c r="A4239">
        <f>IFERROR(INDEX('Email Cleaner'!$B$2:$B$10001,MATCH(4238,'Email Cleaner'!$K$2:$K$10001,0)),"")</f>
        <v/>
      </c>
    </row>
    <row r="4240">
      <c r="A4240">
        <f>IFERROR(INDEX('Email Cleaner'!$B$2:$B$10001,MATCH(4239,'Email Cleaner'!$K$2:$K$10001,0)),"")</f>
        <v/>
      </c>
    </row>
    <row r="4241">
      <c r="A4241">
        <f>IFERROR(INDEX('Email Cleaner'!$B$2:$B$10001,MATCH(4240,'Email Cleaner'!$K$2:$K$10001,0)),"")</f>
        <v/>
      </c>
    </row>
    <row r="4242">
      <c r="A4242">
        <f>IFERROR(INDEX('Email Cleaner'!$B$2:$B$10001,MATCH(4241,'Email Cleaner'!$K$2:$K$10001,0)),"")</f>
        <v/>
      </c>
    </row>
    <row r="4243">
      <c r="A4243">
        <f>IFERROR(INDEX('Email Cleaner'!$B$2:$B$10001,MATCH(4242,'Email Cleaner'!$K$2:$K$10001,0)),"")</f>
        <v/>
      </c>
    </row>
    <row r="4244">
      <c r="A4244">
        <f>IFERROR(INDEX('Email Cleaner'!$B$2:$B$10001,MATCH(4243,'Email Cleaner'!$K$2:$K$10001,0)),"")</f>
        <v/>
      </c>
    </row>
    <row r="4245">
      <c r="A4245">
        <f>IFERROR(INDEX('Email Cleaner'!$B$2:$B$10001,MATCH(4244,'Email Cleaner'!$K$2:$K$10001,0)),"")</f>
        <v/>
      </c>
    </row>
    <row r="4246">
      <c r="A4246">
        <f>IFERROR(INDEX('Email Cleaner'!$B$2:$B$10001,MATCH(4245,'Email Cleaner'!$K$2:$K$10001,0)),"")</f>
        <v/>
      </c>
    </row>
    <row r="4247">
      <c r="A4247">
        <f>IFERROR(INDEX('Email Cleaner'!$B$2:$B$10001,MATCH(4246,'Email Cleaner'!$K$2:$K$10001,0)),"")</f>
        <v/>
      </c>
    </row>
    <row r="4248">
      <c r="A4248">
        <f>IFERROR(INDEX('Email Cleaner'!$B$2:$B$10001,MATCH(4247,'Email Cleaner'!$K$2:$K$10001,0)),"")</f>
        <v/>
      </c>
    </row>
    <row r="4249">
      <c r="A4249">
        <f>IFERROR(INDEX('Email Cleaner'!$B$2:$B$10001,MATCH(4248,'Email Cleaner'!$K$2:$K$10001,0)),"")</f>
        <v/>
      </c>
    </row>
    <row r="4250">
      <c r="A4250">
        <f>IFERROR(INDEX('Email Cleaner'!$B$2:$B$10001,MATCH(4249,'Email Cleaner'!$K$2:$K$10001,0)),"")</f>
        <v/>
      </c>
    </row>
    <row r="4251">
      <c r="A4251">
        <f>IFERROR(INDEX('Email Cleaner'!$B$2:$B$10001,MATCH(4250,'Email Cleaner'!$K$2:$K$10001,0)),"")</f>
        <v/>
      </c>
    </row>
    <row r="4252">
      <c r="A4252">
        <f>IFERROR(INDEX('Email Cleaner'!$B$2:$B$10001,MATCH(4251,'Email Cleaner'!$K$2:$K$10001,0)),"")</f>
        <v/>
      </c>
    </row>
    <row r="4253">
      <c r="A4253">
        <f>IFERROR(INDEX('Email Cleaner'!$B$2:$B$10001,MATCH(4252,'Email Cleaner'!$K$2:$K$10001,0)),"")</f>
        <v/>
      </c>
    </row>
    <row r="4254">
      <c r="A4254">
        <f>IFERROR(INDEX('Email Cleaner'!$B$2:$B$10001,MATCH(4253,'Email Cleaner'!$K$2:$K$10001,0)),"")</f>
        <v/>
      </c>
    </row>
    <row r="4255">
      <c r="A4255">
        <f>IFERROR(INDEX('Email Cleaner'!$B$2:$B$10001,MATCH(4254,'Email Cleaner'!$K$2:$K$10001,0)),"")</f>
        <v/>
      </c>
    </row>
    <row r="4256">
      <c r="A4256">
        <f>IFERROR(INDEX('Email Cleaner'!$B$2:$B$10001,MATCH(4255,'Email Cleaner'!$K$2:$K$10001,0)),"")</f>
        <v/>
      </c>
    </row>
    <row r="4257">
      <c r="A4257">
        <f>IFERROR(INDEX('Email Cleaner'!$B$2:$B$10001,MATCH(4256,'Email Cleaner'!$K$2:$K$10001,0)),"")</f>
        <v/>
      </c>
    </row>
    <row r="4258">
      <c r="A4258">
        <f>IFERROR(INDEX('Email Cleaner'!$B$2:$B$10001,MATCH(4257,'Email Cleaner'!$K$2:$K$10001,0)),"")</f>
        <v/>
      </c>
    </row>
    <row r="4259">
      <c r="A4259">
        <f>IFERROR(INDEX('Email Cleaner'!$B$2:$B$10001,MATCH(4258,'Email Cleaner'!$K$2:$K$10001,0)),"")</f>
        <v/>
      </c>
    </row>
    <row r="4260">
      <c r="A4260">
        <f>IFERROR(INDEX('Email Cleaner'!$B$2:$B$10001,MATCH(4259,'Email Cleaner'!$K$2:$K$10001,0)),"")</f>
        <v/>
      </c>
    </row>
    <row r="4261">
      <c r="A4261">
        <f>IFERROR(INDEX('Email Cleaner'!$B$2:$B$10001,MATCH(4260,'Email Cleaner'!$K$2:$K$10001,0)),"")</f>
        <v/>
      </c>
    </row>
    <row r="4262">
      <c r="A4262">
        <f>IFERROR(INDEX('Email Cleaner'!$B$2:$B$10001,MATCH(4261,'Email Cleaner'!$K$2:$K$10001,0)),"")</f>
        <v/>
      </c>
    </row>
    <row r="4263">
      <c r="A4263">
        <f>IFERROR(INDEX('Email Cleaner'!$B$2:$B$10001,MATCH(4262,'Email Cleaner'!$K$2:$K$10001,0)),"")</f>
        <v/>
      </c>
    </row>
    <row r="4264">
      <c r="A4264">
        <f>IFERROR(INDEX('Email Cleaner'!$B$2:$B$10001,MATCH(4263,'Email Cleaner'!$K$2:$K$10001,0)),"")</f>
        <v/>
      </c>
    </row>
    <row r="4265">
      <c r="A4265">
        <f>IFERROR(INDEX('Email Cleaner'!$B$2:$B$10001,MATCH(4264,'Email Cleaner'!$K$2:$K$10001,0)),"")</f>
        <v/>
      </c>
    </row>
    <row r="4266">
      <c r="A4266">
        <f>IFERROR(INDEX('Email Cleaner'!$B$2:$B$10001,MATCH(4265,'Email Cleaner'!$K$2:$K$10001,0)),"")</f>
        <v/>
      </c>
    </row>
    <row r="4267">
      <c r="A4267">
        <f>IFERROR(INDEX('Email Cleaner'!$B$2:$B$10001,MATCH(4266,'Email Cleaner'!$K$2:$K$10001,0)),"")</f>
        <v/>
      </c>
    </row>
    <row r="4268">
      <c r="A4268">
        <f>IFERROR(INDEX('Email Cleaner'!$B$2:$B$10001,MATCH(4267,'Email Cleaner'!$K$2:$K$10001,0)),"")</f>
        <v/>
      </c>
    </row>
    <row r="4269">
      <c r="A4269">
        <f>IFERROR(INDEX('Email Cleaner'!$B$2:$B$10001,MATCH(4268,'Email Cleaner'!$K$2:$K$10001,0)),"")</f>
        <v/>
      </c>
    </row>
    <row r="4270">
      <c r="A4270">
        <f>IFERROR(INDEX('Email Cleaner'!$B$2:$B$10001,MATCH(4269,'Email Cleaner'!$K$2:$K$10001,0)),"")</f>
        <v/>
      </c>
    </row>
    <row r="4271">
      <c r="A4271">
        <f>IFERROR(INDEX('Email Cleaner'!$B$2:$B$10001,MATCH(4270,'Email Cleaner'!$K$2:$K$10001,0)),"")</f>
        <v/>
      </c>
    </row>
    <row r="4272">
      <c r="A4272">
        <f>IFERROR(INDEX('Email Cleaner'!$B$2:$B$10001,MATCH(4271,'Email Cleaner'!$K$2:$K$10001,0)),"")</f>
        <v/>
      </c>
    </row>
    <row r="4273">
      <c r="A4273">
        <f>IFERROR(INDEX('Email Cleaner'!$B$2:$B$10001,MATCH(4272,'Email Cleaner'!$K$2:$K$10001,0)),"")</f>
        <v/>
      </c>
    </row>
    <row r="4274">
      <c r="A4274">
        <f>IFERROR(INDEX('Email Cleaner'!$B$2:$B$10001,MATCH(4273,'Email Cleaner'!$K$2:$K$10001,0)),"")</f>
        <v/>
      </c>
    </row>
    <row r="4275">
      <c r="A4275">
        <f>IFERROR(INDEX('Email Cleaner'!$B$2:$B$10001,MATCH(4274,'Email Cleaner'!$K$2:$K$10001,0)),"")</f>
        <v/>
      </c>
    </row>
    <row r="4276">
      <c r="A4276">
        <f>IFERROR(INDEX('Email Cleaner'!$B$2:$B$10001,MATCH(4275,'Email Cleaner'!$K$2:$K$10001,0)),"")</f>
        <v/>
      </c>
    </row>
    <row r="4277">
      <c r="A4277">
        <f>IFERROR(INDEX('Email Cleaner'!$B$2:$B$10001,MATCH(4276,'Email Cleaner'!$K$2:$K$10001,0)),"")</f>
        <v/>
      </c>
    </row>
    <row r="4278">
      <c r="A4278">
        <f>IFERROR(INDEX('Email Cleaner'!$B$2:$B$10001,MATCH(4277,'Email Cleaner'!$K$2:$K$10001,0)),"")</f>
        <v/>
      </c>
    </row>
    <row r="4279">
      <c r="A4279">
        <f>IFERROR(INDEX('Email Cleaner'!$B$2:$B$10001,MATCH(4278,'Email Cleaner'!$K$2:$K$10001,0)),"")</f>
        <v/>
      </c>
    </row>
    <row r="4280">
      <c r="A4280">
        <f>IFERROR(INDEX('Email Cleaner'!$B$2:$B$10001,MATCH(4279,'Email Cleaner'!$K$2:$K$10001,0)),"")</f>
        <v/>
      </c>
    </row>
    <row r="4281">
      <c r="A4281">
        <f>IFERROR(INDEX('Email Cleaner'!$B$2:$B$10001,MATCH(4280,'Email Cleaner'!$K$2:$K$10001,0)),"")</f>
        <v/>
      </c>
    </row>
    <row r="4282">
      <c r="A4282">
        <f>IFERROR(INDEX('Email Cleaner'!$B$2:$B$10001,MATCH(4281,'Email Cleaner'!$K$2:$K$10001,0)),"")</f>
        <v/>
      </c>
    </row>
    <row r="4283">
      <c r="A4283">
        <f>IFERROR(INDEX('Email Cleaner'!$B$2:$B$10001,MATCH(4282,'Email Cleaner'!$K$2:$K$10001,0)),"")</f>
        <v/>
      </c>
    </row>
    <row r="4284">
      <c r="A4284">
        <f>IFERROR(INDEX('Email Cleaner'!$B$2:$B$10001,MATCH(4283,'Email Cleaner'!$K$2:$K$10001,0)),"")</f>
        <v/>
      </c>
    </row>
    <row r="4285">
      <c r="A4285">
        <f>IFERROR(INDEX('Email Cleaner'!$B$2:$B$10001,MATCH(4284,'Email Cleaner'!$K$2:$K$10001,0)),"")</f>
        <v/>
      </c>
    </row>
    <row r="4286">
      <c r="A4286">
        <f>IFERROR(INDEX('Email Cleaner'!$B$2:$B$10001,MATCH(4285,'Email Cleaner'!$K$2:$K$10001,0)),"")</f>
        <v/>
      </c>
    </row>
    <row r="4287">
      <c r="A4287">
        <f>IFERROR(INDEX('Email Cleaner'!$B$2:$B$10001,MATCH(4286,'Email Cleaner'!$K$2:$K$10001,0)),"")</f>
        <v/>
      </c>
    </row>
    <row r="4288">
      <c r="A4288">
        <f>IFERROR(INDEX('Email Cleaner'!$B$2:$B$10001,MATCH(4287,'Email Cleaner'!$K$2:$K$10001,0)),"")</f>
        <v/>
      </c>
    </row>
    <row r="4289">
      <c r="A4289">
        <f>IFERROR(INDEX('Email Cleaner'!$B$2:$B$10001,MATCH(4288,'Email Cleaner'!$K$2:$K$10001,0)),"")</f>
        <v/>
      </c>
    </row>
    <row r="4290">
      <c r="A4290">
        <f>IFERROR(INDEX('Email Cleaner'!$B$2:$B$10001,MATCH(4289,'Email Cleaner'!$K$2:$K$10001,0)),"")</f>
        <v/>
      </c>
    </row>
    <row r="4291">
      <c r="A4291">
        <f>IFERROR(INDEX('Email Cleaner'!$B$2:$B$10001,MATCH(4290,'Email Cleaner'!$K$2:$K$10001,0)),"")</f>
        <v/>
      </c>
    </row>
    <row r="4292">
      <c r="A4292">
        <f>IFERROR(INDEX('Email Cleaner'!$B$2:$B$10001,MATCH(4291,'Email Cleaner'!$K$2:$K$10001,0)),"")</f>
        <v/>
      </c>
    </row>
    <row r="4293">
      <c r="A4293">
        <f>IFERROR(INDEX('Email Cleaner'!$B$2:$B$10001,MATCH(4292,'Email Cleaner'!$K$2:$K$10001,0)),"")</f>
        <v/>
      </c>
    </row>
    <row r="4294">
      <c r="A4294">
        <f>IFERROR(INDEX('Email Cleaner'!$B$2:$B$10001,MATCH(4293,'Email Cleaner'!$K$2:$K$10001,0)),"")</f>
        <v/>
      </c>
    </row>
    <row r="4295">
      <c r="A4295">
        <f>IFERROR(INDEX('Email Cleaner'!$B$2:$B$10001,MATCH(4294,'Email Cleaner'!$K$2:$K$10001,0)),"")</f>
        <v/>
      </c>
    </row>
    <row r="4296">
      <c r="A4296">
        <f>IFERROR(INDEX('Email Cleaner'!$B$2:$B$10001,MATCH(4295,'Email Cleaner'!$K$2:$K$10001,0)),"")</f>
        <v/>
      </c>
    </row>
    <row r="4297">
      <c r="A4297">
        <f>IFERROR(INDEX('Email Cleaner'!$B$2:$B$10001,MATCH(4296,'Email Cleaner'!$K$2:$K$10001,0)),"")</f>
        <v/>
      </c>
    </row>
    <row r="4298">
      <c r="A4298">
        <f>IFERROR(INDEX('Email Cleaner'!$B$2:$B$10001,MATCH(4297,'Email Cleaner'!$K$2:$K$10001,0)),"")</f>
        <v/>
      </c>
    </row>
    <row r="4299">
      <c r="A4299">
        <f>IFERROR(INDEX('Email Cleaner'!$B$2:$B$10001,MATCH(4298,'Email Cleaner'!$K$2:$K$10001,0)),"")</f>
        <v/>
      </c>
    </row>
    <row r="4300">
      <c r="A4300">
        <f>IFERROR(INDEX('Email Cleaner'!$B$2:$B$10001,MATCH(4299,'Email Cleaner'!$K$2:$K$10001,0)),"")</f>
        <v/>
      </c>
    </row>
    <row r="4301">
      <c r="A4301">
        <f>IFERROR(INDEX('Email Cleaner'!$B$2:$B$10001,MATCH(4300,'Email Cleaner'!$K$2:$K$10001,0)),"")</f>
        <v/>
      </c>
    </row>
    <row r="4302">
      <c r="A4302">
        <f>IFERROR(INDEX('Email Cleaner'!$B$2:$B$10001,MATCH(4301,'Email Cleaner'!$K$2:$K$10001,0)),"")</f>
        <v/>
      </c>
    </row>
    <row r="4303">
      <c r="A4303">
        <f>IFERROR(INDEX('Email Cleaner'!$B$2:$B$10001,MATCH(4302,'Email Cleaner'!$K$2:$K$10001,0)),"")</f>
        <v/>
      </c>
    </row>
    <row r="4304">
      <c r="A4304">
        <f>IFERROR(INDEX('Email Cleaner'!$B$2:$B$10001,MATCH(4303,'Email Cleaner'!$K$2:$K$10001,0)),"")</f>
        <v/>
      </c>
    </row>
    <row r="4305">
      <c r="A4305">
        <f>IFERROR(INDEX('Email Cleaner'!$B$2:$B$10001,MATCH(4304,'Email Cleaner'!$K$2:$K$10001,0)),"")</f>
        <v/>
      </c>
    </row>
    <row r="4306">
      <c r="A4306">
        <f>IFERROR(INDEX('Email Cleaner'!$B$2:$B$10001,MATCH(4305,'Email Cleaner'!$K$2:$K$10001,0)),"")</f>
        <v/>
      </c>
    </row>
    <row r="4307">
      <c r="A4307">
        <f>IFERROR(INDEX('Email Cleaner'!$B$2:$B$10001,MATCH(4306,'Email Cleaner'!$K$2:$K$10001,0)),"")</f>
        <v/>
      </c>
    </row>
    <row r="4308">
      <c r="A4308">
        <f>IFERROR(INDEX('Email Cleaner'!$B$2:$B$10001,MATCH(4307,'Email Cleaner'!$K$2:$K$10001,0)),"")</f>
        <v/>
      </c>
    </row>
    <row r="4309">
      <c r="A4309">
        <f>IFERROR(INDEX('Email Cleaner'!$B$2:$B$10001,MATCH(4308,'Email Cleaner'!$K$2:$K$10001,0)),"")</f>
        <v/>
      </c>
    </row>
    <row r="4310">
      <c r="A4310">
        <f>IFERROR(INDEX('Email Cleaner'!$B$2:$B$10001,MATCH(4309,'Email Cleaner'!$K$2:$K$10001,0)),"")</f>
        <v/>
      </c>
    </row>
    <row r="4311">
      <c r="A4311">
        <f>IFERROR(INDEX('Email Cleaner'!$B$2:$B$10001,MATCH(4310,'Email Cleaner'!$K$2:$K$10001,0)),"")</f>
        <v/>
      </c>
    </row>
    <row r="4312">
      <c r="A4312">
        <f>IFERROR(INDEX('Email Cleaner'!$B$2:$B$10001,MATCH(4311,'Email Cleaner'!$K$2:$K$10001,0)),"")</f>
        <v/>
      </c>
    </row>
    <row r="4313">
      <c r="A4313">
        <f>IFERROR(INDEX('Email Cleaner'!$B$2:$B$10001,MATCH(4312,'Email Cleaner'!$K$2:$K$10001,0)),"")</f>
        <v/>
      </c>
    </row>
    <row r="4314">
      <c r="A4314">
        <f>IFERROR(INDEX('Email Cleaner'!$B$2:$B$10001,MATCH(4313,'Email Cleaner'!$K$2:$K$10001,0)),"")</f>
        <v/>
      </c>
    </row>
    <row r="4315">
      <c r="A4315">
        <f>IFERROR(INDEX('Email Cleaner'!$B$2:$B$10001,MATCH(4314,'Email Cleaner'!$K$2:$K$10001,0)),"")</f>
        <v/>
      </c>
    </row>
    <row r="4316">
      <c r="A4316">
        <f>IFERROR(INDEX('Email Cleaner'!$B$2:$B$10001,MATCH(4315,'Email Cleaner'!$K$2:$K$10001,0)),"")</f>
        <v/>
      </c>
    </row>
    <row r="4317">
      <c r="A4317">
        <f>IFERROR(INDEX('Email Cleaner'!$B$2:$B$10001,MATCH(4316,'Email Cleaner'!$K$2:$K$10001,0)),"")</f>
        <v/>
      </c>
    </row>
    <row r="4318">
      <c r="A4318">
        <f>IFERROR(INDEX('Email Cleaner'!$B$2:$B$10001,MATCH(4317,'Email Cleaner'!$K$2:$K$10001,0)),"")</f>
        <v/>
      </c>
    </row>
    <row r="4319">
      <c r="A4319">
        <f>IFERROR(INDEX('Email Cleaner'!$B$2:$B$10001,MATCH(4318,'Email Cleaner'!$K$2:$K$10001,0)),"")</f>
        <v/>
      </c>
    </row>
    <row r="4320">
      <c r="A4320">
        <f>IFERROR(INDEX('Email Cleaner'!$B$2:$B$10001,MATCH(4319,'Email Cleaner'!$K$2:$K$10001,0)),"")</f>
        <v/>
      </c>
    </row>
    <row r="4321">
      <c r="A4321">
        <f>IFERROR(INDEX('Email Cleaner'!$B$2:$B$10001,MATCH(4320,'Email Cleaner'!$K$2:$K$10001,0)),"")</f>
        <v/>
      </c>
    </row>
    <row r="4322">
      <c r="A4322">
        <f>IFERROR(INDEX('Email Cleaner'!$B$2:$B$10001,MATCH(4321,'Email Cleaner'!$K$2:$K$10001,0)),"")</f>
        <v/>
      </c>
    </row>
    <row r="4323">
      <c r="A4323">
        <f>IFERROR(INDEX('Email Cleaner'!$B$2:$B$10001,MATCH(4322,'Email Cleaner'!$K$2:$K$10001,0)),"")</f>
        <v/>
      </c>
    </row>
    <row r="4324">
      <c r="A4324">
        <f>IFERROR(INDEX('Email Cleaner'!$B$2:$B$10001,MATCH(4323,'Email Cleaner'!$K$2:$K$10001,0)),"")</f>
        <v/>
      </c>
    </row>
    <row r="4325">
      <c r="A4325">
        <f>IFERROR(INDEX('Email Cleaner'!$B$2:$B$10001,MATCH(4324,'Email Cleaner'!$K$2:$K$10001,0)),"")</f>
        <v/>
      </c>
    </row>
    <row r="4326">
      <c r="A4326">
        <f>IFERROR(INDEX('Email Cleaner'!$B$2:$B$10001,MATCH(4325,'Email Cleaner'!$K$2:$K$10001,0)),"")</f>
        <v/>
      </c>
    </row>
    <row r="4327">
      <c r="A4327">
        <f>IFERROR(INDEX('Email Cleaner'!$B$2:$B$10001,MATCH(4326,'Email Cleaner'!$K$2:$K$10001,0)),"")</f>
        <v/>
      </c>
    </row>
    <row r="4328">
      <c r="A4328">
        <f>IFERROR(INDEX('Email Cleaner'!$B$2:$B$10001,MATCH(4327,'Email Cleaner'!$K$2:$K$10001,0)),"")</f>
        <v/>
      </c>
    </row>
    <row r="4329">
      <c r="A4329">
        <f>IFERROR(INDEX('Email Cleaner'!$B$2:$B$10001,MATCH(4328,'Email Cleaner'!$K$2:$K$10001,0)),"")</f>
        <v/>
      </c>
    </row>
    <row r="4330">
      <c r="A4330">
        <f>IFERROR(INDEX('Email Cleaner'!$B$2:$B$10001,MATCH(4329,'Email Cleaner'!$K$2:$K$10001,0)),"")</f>
        <v/>
      </c>
    </row>
    <row r="4331">
      <c r="A4331">
        <f>IFERROR(INDEX('Email Cleaner'!$B$2:$B$10001,MATCH(4330,'Email Cleaner'!$K$2:$K$10001,0)),"")</f>
        <v/>
      </c>
    </row>
    <row r="4332">
      <c r="A4332">
        <f>IFERROR(INDEX('Email Cleaner'!$B$2:$B$10001,MATCH(4331,'Email Cleaner'!$K$2:$K$10001,0)),"")</f>
        <v/>
      </c>
    </row>
    <row r="4333">
      <c r="A4333">
        <f>IFERROR(INDEX('Email Cleaner'!$B$2:$B$10001,MATCH(4332,'Email Cleaner'!$K$2:$K$10001,0)),"")</f>
        <v/>
      </c>
    </row>
    <row r="4334">
      <c r="A4334">
        <f>IFERROR(INDEX('Email Cleaner'!$B$2:$B$10001,MATCH(4333,'Email Cleaner'!$K$2:$K$10001,0)),"")</f>
        <v/>
      </c>
    </row>
    <row r="4335">
      <c r="A4335">
        <f>IFERROR(INDEX('Email Cleaner'!$B$2:$B$10001,MATCH(4334,'Email Cleaner'!$K$2:$K$10001,0)),"")</f>
        <v/>
      </c>
    </row>
    <row r="4336">
      <c r="A4336">
        <f>IFERROR(INDEX('Email Cleaner'!$B$2:$B$10001,MATCH(4335,'Email Cleaner'!$K$2:$K$10001,0)),"")</f>
        <v/>
      </c>
    </row>
    <row r="4337">
      <c r="A4337">
        <f>IFERROR(INDEX('Email Cleaner'!$B$2:$B$10001,MATCH(4336,'Email Cleaner'!$K$2:$K$10001,0)),"")</f>
        <v/>
      </c>
    </row>
    <row r="4338">
      <c r="A4338">
        <f>IFERROR(INDEX('Email Cleaner'!$B$2:$B$10001,MATCH(4337,'Email Cleaner'!$K$2:$K$10001,0)),"")</f>
        <v/>
      </c>
    </row>
    <row r="4339">
      <c r="A4339">
        <f>IFERROR(INDEX('Email Cleaner'!$B$2:$B$10001,MATCH(4338,'Email Cleaner'!$K$2:$K$10001,0)),"")</f>
        <v/>
      </c>
    </row>
    <row r="4340">
      <c r="A4340">
        <f>IFERROR(INDEX('Email Cleaner'!$B$2:$B$10001,MATCH(4339,'Email Cleaner'!$K$2:$K$10001,0)),"")</f>
        <v/>
      </c>
    </row>
    <row r="4341">
      <c r="A4341">
        <f>IFERROR(INDEX('Email Cleaner'!$B$2:$B$10001,MATCH(4340,'Email Cleaner'!$K$2:$K$10001,0)),"")</f>
        <v/>
      </c>
    </row>
    <row r="4342">
      <c r="A4342">
        <f>IFERROR(INDEX('Email Cleaner'!$B$2:$B$10001,MATCH(4341,'Email Cleaner'!$K$2:$K$10001,0)),"")</f>
        <v/>
      </c>
    </row>
    <row r="4343">
      <c r="A4343">
        <f>IFERROR(INDEX('Email Cleaner'!$B$2:$B$10001,MATCH(4342,'Email Cleaner'!$K$2:$K$10001,0)),"")</f>
        <v/>
      </c>
    </row>
    <row r="4344">
      <c r="A4344">
        <f>IFERROR(INDEX('Email Cleaner'!$B$2:$B$10001,MATCH(4343,'Email Cleaner'!$K$2:$K$10001,0)),"")</f>
        <v/>
      </c>
    </row>
    <row r="4345">
      <c r="A4345">
        <f>IFERROR(INDEX('Email Cleaner'!$B$2:$B$10001,MATCH(4344,'Email Cleaner'!$K$2:$K$10001,0)),"")</f>
        <v/>
      </c>
    </row>
    <row r="4346">
      <c r="A4346">
        <f>IFERROR(INDEX('Email Cleaner'!$B$2:$B$10001,MATCH(4345,'Email Cleaner'!$K$2:$K$10001,0)),"")</f>
        <v/>
      </c>
    </row>
    <row r="4347">
      <c r="A4347">
        <f>IFERROR(INDEX('Email Cleaner'!$B$2:$B$10001,MATCH(4346,'Email Cleaner'!$K$2:$K$10001,0)),"")</f>
        <v/>
      </c>
    </row>
    <row r="4348">
      <c r="A4348">
        <f>IFERROR(INDEX('Email Cleaner'!$B$2:$B$10001,MATCH(4347,'Email Cleaner'!$K$2:$K$10001,0)),"")</f>
        <v/>
      </c>
    </row>
    <row r="4349">
      <c r="A4349">
        <f>IFERROR(INDEX('Email Cleaner'!$B$2:$B$10001,MATCH(4348,'Email Cleaner'!$K$2:$K$10001,0)),"")</f>
        <v/>
      </c>
    </row>
    <row r="4350">
      <c r="A4350">
        <f>IFERROR(INDEX('Email Cleaner'!$B$2:$B$10001,MATCH(4349,'Email Cleaner'!$K$2:$K$10001,0)),"")</f>
        <v/>
      </c>
    </row>
    <row r="4351">
      <c r="A4351">
        <f>IFERROR(INDEX('Email Cleaner'!$B$2:$B$10001,MATCH(4350,'Email Cleaner'!$K$2:$K$10001,0)),"")</f>
        <v/>
      </c>
    </row>
    <row r="4352">
      <c r="A4352">
        <f>IFERROR(INDEX('Email Cleaner'!$B$2:$B$10001,MATCH(4351,'Email Cleaner'!$K$2:$K$10001,0)),"")</f>
        <v/>
      </c>
    </row>
    <row r="4353">
      <c r="A4353">
        <f>IFERROR(INDEX('Email Cleaner'!$B$2:$B$10001,MATCH(4352,'Email Cleaner'!$K$2:$K$10001,0)),"")</f>
        <v/>
      </c>
    </row>
    <row r="4354">
      <c r="A4354">
        <f>IFERROR(INDEX('Email Cleaner'!$B$2:$B$10001,MATCH(4353,'Email Cleaner'!$K$2:$K$10001,0)),"")</f>
        <v/>
      </c>
    </row>
    <row r="4355">
      <c r="A4355">
        <f>IFERROR(INDEX('Email Cleaner'!$B$2:$B$10001,MATCH(4354,'Email Cleaner'!$K$2:$K$10001,0)),"")</f>
        <v/>
      </c>
    </row>
    <row r="4356">
      <c r="A4356">
        <f>IFERROR(INDEX('Email Cleaner'!$B$2:$B$10001,MATCH(4355,'Email Cleaner'!$K$2:$K$10001,0)),"")</f>
        <v/>
      </c>
    </row>
    <row r="4357">
      <c r="A4357">
        <f>IFERROR(INDEX('Email Cleaner'!$B$2:$B$10001,MATCH(4356,'Email Cleaner'!$K$2:$K$10001,0)),"")</f>
        <v/>
      </c>
    </row>
    <row r="4358">
      <c r="A4358">
        <f>IFERROR(INDEX('Email Cleaner'!$B$2:$B$10001,MATCH(4357,'Email Cleaner'!$K$2:$K$10001,0)),"")</f>
        <v/>
      </c>
    </row>
    <row r="4359">
      <c r="A4359">
        <f>IFERROR(INDEX('Email Cleaner'!$B$2:$B$10001,MATCH(4358,'Email Cleaner'!$K$2:$K$10001,0)),"")</f>
        <v/>
      </c>
    </row>
    <row r="4360">
      <c r="A4360">
        <f>IFERROR(INDEX('Email Cleaner'!$B$2:$B$10001,MATCH(4359,'Email Cleaner'!$K$2:$K$10001,0)),"")</f>
        <v/>
      </c>
    </row>
    <row r="4361">
      <c r="A4361">
        <f>IFERROR(INDEX('Email Cleaner'!$B$2:$B$10001,MATCH(4360,'Email Cleaner'!$K$2:$K$10001,0)),"")</f>
        <v/>
      </c>
    </row>
    <row r="4362">
      <c r="A4362">
        <f>IFERROR(INDEX('Email Cleaner'!$B$2:$B$10001,MATCH(4361,'Email Cleaner'!$K$2:$K$10001,0)),"")</f>
        <v/>
      </c>
    </row>
    <row r="4363">
      <c r="A4363">
        <f>IFERROR(INDEX('Email Cleaner'!$B$2:$B$10001,MATCH(4362,'Email Cleaner'!$K$2:$K$10001,0)),"")</f>
        <v/>
      </c>
    </row>
    <row r="4364">
      <c r="A4364">
        <f>IFERROR(INDEX('Email Cleaner'!$B$2:$B$10001,MATCH(4363,'Email Cleaner'!$K$2:$K$10001,0)),"")</f>
        <v/>
      </c>
    </row>
    <row r="4365">
      <c r="A4365">
        <f>IFERROR(INDEX('Email Cleaner'!$B$2:$B$10001,MATCH(4364,'Email Cleaner'!$K$2:$K$10001,0)),"")</f>
        <v/>
      </c>
    </row>
    <row r="4366">
      <c r="A4366">
        <f>IFERROR(INDEX('Email Cleaner'!$B$2:$B$10001,MATCH(4365,'Email Cleaner'!$K$2:$K$10001,0)),"")</f>
        <v/>
      </c>
    </row>
    <row r="4367">
      <c r="A4367">
        <f>IFERROR(INDEX('Email Cleaner'!$B$2:$B$10001,MATCH(4366,'Email Cleaner'!$K$2:$K$10001,0)),"")</f>
        <v/>
      </c>
    </row>
    <row r="4368">
      <c r="A4368">
        <f>IFERROR(INDEX('Email Cleaner'!$B$2:$B$10001,MATCH(4367,'Email Cleaner'!$K$2:$K$10001,0)),"")</f>
        <v/>
      </c>
    </row>
    <row r="4369">
      <c r="A4369">
        <f>IFERROR(INDEX('Email Cleaner'!$B$2:$B$10001,MATCH(4368,'Email Cleaner'!$K$2:$K$10001,0)),"")</f>
        <v/>
      </c>
    </row>
    <row r="4370">
      <c r="A4370">
        <f>IFERROR(INDEX('Email Cleaner'!$B$2:$B$10001,MATCH(4369,'Email Cleaner'!$K$2:$K$10001,0)),"")</f>
        <v/>
      </c>
    </row>
    <row r="4371">
      <c r="A4371">
        <f>IFERROR(INDEX('Email Cleaner'!$B$2:$B$10001,MATCH(4370,'Email Cleaner'!$K$2:$K$10001,0)),"")</f>
        <v/>
      </c>
    </row>
    <row r="4372">
      <c r="A4372">
        <f>IFERROR(INDEX('Email Cleaner'!$B$2:$B$10001,MATCH(4371,'Email Cleaner'!$K$2:$K$10001,0)),"")</f>
        <v/>
      </c>
    </row>
    <row r="4373">
      <c r="A4373">
        <f>IFERROR(INDEX('Email Cleaner'!$B$2:$B$10001,MATCH(4372,'Email Cleaner'!$K$2:$K$10001,0)),"")</f>
        <v/>
      </c>
    </row>
    <row r="4374">
      <c r="A4374">
        <f>IFERROR(INDEX('Email Cleaner'!$B$2:$B$10001,MATCH(4373,'Email Cleaner'!$K$2:$K$10001,0)),"")</f>
        <v/>
      </c>
    </row>
    <row r="4375">
      <c r="A4375">
        <f>IFERROR(INDEX('Email Cleaner'!$B$2:$B$10001,MATCH(4374,'Email Cleaner'!$K$2:$K$10001,0)),"")</f>
        <v/>
      </c>
    </row>
    <row r="4376">
      <c r="A4376">
        <f>IFERROR(INDEX('Email Cleaner'!$B$2:$B$10001,MATCH(4375,'Email Cleaner'!$K$2:$K$10001,0)),"")</f>
        <v/>
      </c>
    </row>
    <row r="4377">
      <c r="A4377">
        <f>IFERROR(INDEX('Email Cleaner'!$B$2:$B$10001,MATCH(4376,'Email Cleaner'!$K$2:$K$10001,0)),"")</f>
        <v/>
      </c>
    </row>
    <row r="4378">
      <c r="A4378">
        <f>IFERROR(INDEX('Email Cleaner'!$B$2:$B$10001,MATCH(4377,'Email Cleaner'!$K$2:$K$10001,0)),"")</f>
        <v/>
      </c>
    </row>
    <row r="4379">
      <c r="A4379">
        <f>IFERROR(INDEX('Email Cleaner'!$B$2:$B$10001,MATCH(4378,'Email Cleaner'!$K$2:$K$10001,0)),"")</f>
        <v/>
      </c>
    </row>
    <row r="4380">
      <c r="A4380">
        <f>IFERROR(INDEX('Email Cleaner'!$B$2:$B$10001,MATCH(4379,'Email Cleaner'!$K$2:$K$10001,0)),"")</f>
        <v/>
      </c>
    </row>
    <row r="4381">
      <c r="A4381">
        <f>IFERROR(INDEX('Email Cleaner'!$B$2:$B$10001,MATCH(4380,'Email Cleaner'!$K$2:$K$10001,0)),"")</f>
        <v/>
      </c>
    </row>
    <row r="4382">
      <c r="A4382">
        <f>IFERROR(INDEX('Email Cleaner'!$B$2:$B$10001,MATCH(4381,'Email Cleaner'!$K$2:$K$10001,0)),"")</f>
        <v/>
      </c>
    </row>
    <row r="4383">
      <c r="A4383">
        <f>IFERROR(INDEX('Email Cleaner'!$B$2:$B$10001,MATCH(4382,'Email Cleaner'!$K$2:$K$10001,0)),"")</f>
        <v/>
      </c>
    </row>
    <row r="4384">
      <c r="A4384">
        <f>IFERROR(INDEX('Email Cleaner'!$B$2:$B$10001,MATCH(4383,'Email Cleaner'!$K$2:$K$10001,0)),"")</f>
        <v/>
      </c>
    </row>
    <row r="4385">
      <c r="A4385">
        <f>IFERROR(INDEX('Email Cleaner'!$B$2:$B$10001,MATCH(4384,'Email Cleaner'!$K$2:$K$10001,0)),"")</f>
        <v/>
      </c>
    </row>
    <row r="4386">
      <c r="A4386">
        <f>IFERROR(INDEX('Email Cleaner'!$B$2:$B$10001,MATCH(4385,'Email Cleaner'!$K$2:$K$10001,0)),"")</f>
        <v/>
      </c>
    </row>
    <row r="4387">
      <c r="A4387">
        <f>IFERROR(INDEX('Email Cleaner'!$B$2:$B$10001,MATCH(4386,'Email Cleaner'!$K$2:$K$10001,0)),"")</f>
        <v/>
      </c>
    </row>
    <row r="4388">
      <c r="A4388">
        <f>IFERROR(INDEX('Email Cleaner'!$B$2:$B$10001,MATCH(4387,'Email Cleaner'!$K$2:$K$10001,0)),"")</f>
        <v/>
      </c>
    </row>
    <row r="4389">
      <c r="A4389">
        <f>IFERROR(INDEX('Email Cleaner'!$B$2:$B$10001,MATCH(4388,'Email Cleaner'!$K$2:$K$10001,0)),"")</f>
        <v/>
      </c>
    </row>
    <row r="4390">
      <c r="A4390">
        <f>IFERROR(INDEX('Email Cleaner'!$B$2:$B$10001,MATCH(4389,'Email Cleaner'!$K$2:$K$10001,0)),"")</f>
        <v/>
      </c>
    </row>
    <row r="4391">
      <c r="A4391">
        <f>IFERROR(INDEX('Email Cleaner'!$B$2:$B$10001,MATCH(4390,'Email Cleaner'!$K$2:$K$10001,0)),"")</f>
        <v/>
      </c>
    </row>
    <row r="4392">
      <c r="A4392">
        <f>IFERROR(INDEX('Email Cleaner'!$B$2:$B$10001,MATCH(4391,'Email Cleaner'!$K$2:$K$10001,0)),"")</f>
        <v/>
      </c>
    </row>
    <row r="4393">
      <c r="A4393">
        <f>IFERROR(INDEX('Email Cleaner'!$B$2:$B$10001,MATCH(4392,'Email Cleaner'!$K$2:$K$10001,0)),"")</f>
        <v/>
      </c>
    </row>
    <row r="4394">
      <c r="A4394">
        <f>IFERROR(INDEX('Email Cleaner'!$B$2:$B$10001,MATCH(4393,'Email Cleaner'!$K$2:$K$10001,0)),"")</f>
        <v/>
      </c>
    </row>
    <row r="4395">
      <c r="A4395">
        <f>IFERROR(INDEX('Email Cleaner'!$B$2:$B$10001,MATCH(4394,'Email Cleaner'!$K$2:$K$10001,0)),"")</f>
        <v/>
      </c>
    </row>
    <row r="4396">
      <c r="A4396">
        <f>IFERROR(INDEX('Email Cleaner'!$B$2:$B$10001,MATCH(4395,'Email Cleaner'!$K$2:$K$10001,0)),"")</f>
        <v/>
      </c>
    </row>
    <row r="4397">
      <c r="A4397">
        <f>IFERROR(INDEX('Email Cleaner'!$B$2:$B$10001,MATCH(4396,'Email Cleaner'!$K$2:$K$10001,0)),"")</f>
        <v/>
      </c>
    </row>
    <row r="4398">
      <c r="A4398">
        <f>IFERROR(INDEX('Email Cleaner'!$B$2:$B$10001,MATCH(4397,'Email Cleaner'!$K$2:$K$10001,0)),"")</f>
        <v/>
      </c>
    </row>
    <row r="4399">
      <c r="A4399">
        <f>IFERROR(INDEX('Email Cleaner'!$B$2:$B$10001,MATCH(4398,'Email Cleaner'!$K$2:$K$10001,0)),"")</f>
        <v/>
      </c>
    </row>
    <row r="4400">
      <c r="A4400">
        <f>IFERROR(INDEX('Email Cleaner'!$B$2:$B$10001,MATCH(4399,'Email Cleaner'!$K$2:$K$10001,0)),"")</f>
        <v/>
      </c>
    </row>
    <row r="4401">
      <c r="A4401">
        <f>IFERROR(INDEX('Email Cleaner'!$B$2:$B$10001,MATCH(4400,'Email Cleaner'!$K$2:$K$10001,0)),"")</f>
        <v/>
      </c>
    </row>
    <row r="4402">
      <c r="A4402">
        <f>IFERROR(INDEX('Email Cleaner'!$B$2:$B$10001,MATCH(4401,'Email Cleaner'!$K$2:$K$10001,0)),"")</f>
        <v/>
      </c>
    </row>
    <row r="4403">
      <c r="A4403">
        <f>IFERROR(INDEX('Email Cleaner'!$B$2:$B$10001,MATCH(4402,'Email Cleaner'!$K$2:$K$10001,0)),"")</f>
        <v/>
      </c>
    </row>
    <row r="4404">
      <c r="A4404">
        <f>IFERROR(INDEX('Email Cleaner'!$B$2:$B$10001,MATCH(4403,'Email Cleaner'!$K$2:$K$10001,0)),"")</f>
        <v/>
      </c>
    </row>
    <row r="4405">
      <c r="A4405">
        <f>IFERROR(INDEX('Email Cleaner'!$B$2:$B$10001,MATCH(4404,'Email Cleaner'!$K$2:$K$10001,0)),"")</f>
        <v/>
      </c>
    </row>
    <row r="4406">
      <c r="A4406">
        <f>IFERROR(INDEX('Email Cleaner'!$B$2:$B$10001,MATCH(4405,'Email Cleaner'!$K$2:$K$10001,0)),"")</f>
        <v/>
      </c>
    </row>
    <row r="4407">
      <c r="A4407">
        <f>IFERROR(INDEX('Email Cleaner'!$B$2:$B$10001,MATCH(4406,'Email Cleaner'!$K$2:$K$10001,0)),"")</f>
        <v/>
      </c>
    </row>
    <row r="4408">
      <c r="A4408">
        <f>IFERROR(INDEX('Email Cleaner'!$B$2:$B$10001,MATCH(4407,'Email Cleaner'!$K$2:$K$10001,0)),"")</f>
        <v/>
      </c>
    </row>
    <row r="4409">
      <c r="A4409">
        <f>IFERROR(INDEX('Email Cleaner'!$B$2:$B$10001,MATCH(4408,'Email Cleaner'!$K$2:$K$10001,0)),"")</f>
        <v/>
      </c>
    </row>
    <row r="4410">
      <c r="A4410">
        <f>IFERROR(INDEX('Email Cleaner'!$B$2:$B$10001,MATCH(4409,'Email Cleaner'!$K$2:$K$10001,0)),"")</f>
        <v/>
      </c>
    </row>
    <row r="4411">
      <c r="A4411">
        <f>IFERROR(INDEX('Email Cleaner'!$B$2:$B$10001,MATCH(4410,'Email Cleaner'!$K$2:$K$10001,0)),"")</f>
        <v/>
      </c>
    </row>
    <row r="4412">
      <c r="A4412">
        <f>IFERROR(INDEX('Email Cleaner'!$B$2:$B$10001,MATCH(4411,'Email Cleaner'!$K$2:$K$10001,0)),"")</f>
        <v/>
      </c>
    </row>
    <row r="4413">
      <c r="A4413">
        <f>IFERROR(INDEX('Email Cleaner'!$B$2:$B$10001,MATCH(4412,'Email Cleaner'!$K$2:$K$10001,0)),"")</f>
        <v/>
      </c>
    </row>
    <row r="4414">
      <c r="A4414">
        <f>IFERROR(INDEX('Email Cleaner'!$B$2:$B$10001,MATCH(4413,'Email Cleaner'!$K$2:$K$10001,0)),"")</f>
        <v/>
      </c>
    </row>
    <row r="4415">
      <c r="A4415">
        <f>IFERROR(INDEX('Email Cleaner'!$B$2:$B$10001,MATCH(4414,'Email Cleaner'!$K$2:$K$10001,0)),"")</f>
        <v/>
      </c>
    </row>
    <row r="4416">
      <c r="A4416">
        <f>IFERROR(INDEX('Email Cleaner'!$B$2:$B$10001,MATCH(4415,'Email Cleaner'!$K$2:$K$10001,0)),"")</f>
        <v/>
      </c>
    </row>
    <row r="4417">
      <c r="A4417">
        <f>IFERROR(INDEX('Email Cleaner'!$B$2:$B$10001,MATCH(4416,'Email Cleaner'!$K$2:$K$10001,0)),"")</f>
        <v/>
      </c>
    </row>
    <row r="4418">
      <c r="A4418">
        <f>IFERROR(INDEX('Email Cleaner'!$B$2:$B$10001,MATCH(4417,'Email Cleaner'!$K$2:$K$10001,0)),"")</f>
        <v/>
      </c>
    </row>
    <row r="4419">
      <c r="A4419">
        <f>IFERROR(INDEX('Email Cleaner'!$B$2:$B$10001,MATCH(4418,'Email Cleaner'!$K$2:$K$10001,0)),"")</f>
        <v/>
      </c>
    </row>
    <row r="4420">
      <c r="A4420">
        <f>IFERROR(INDEX('Email Cleaner'!$B$2:$B$10001,MATCH(4419,'Email Cleaner'!$K$2:$K$10001,0)),"")</f>
        <v/>
      </c>
    </row>
    <row r="4421">
      <c r="A4421">
        <f>IFERROR(INDEX('Email Cleaner'!$B$2:$B$10001,MATCH(4420,'Email Cleaner'!$K$2:$K$10001,0)),"")</f>
        <v/>
      </c>
    </row>
    <row r="4422">
      <c r="A4422">
        <f>IFERROR(INDEX('Email Cleaner'!$B$2:$B$10001,MATCH(4421,'Email Cleaner'!$K$2:$K$10001,0)),"")</f>
        <v/>
      </c>
    </row>
    <row r="4423">
      <c r="A4423">
        <f>IFERROR(INDEX('Email Cleaner'!$B$2:$B$10001,MATCH(4422,'Email Cleaner'!$K$2:$K$10001,0)),"")</f>
        <v/>
      </c>
    </row>
    <row r="4424">
      <c r="A4424">
        <f>IFERROR(INDEX('Email Cleaner'!$B$2:$B$10001,MATCH(4423,'Email Cleaner'!$K$2:$K$10001,0)),"")</f>
        <v/>
      </c>
    </row>
    <row r="4425">
      <c r="A4425">
        <f>IFERROR(INDEX('Email Cleaner'!$B$2:$B$10001,MATCH(4424,'Email Cleaner'!$K$2:$K$10001,0)),"")</f>
        <v/>
      </c>
    </row>
    <row r="4426">
      <c r="A4426">
        <f>IFERROR(INDEX('Email Cleaner'!$B$2:$B$10001,MATCH(4425,'Email Cleaner'!$K$2:$K$10001,0)),"")</f>
        <v/>
      </c>
    </row>
    <row r="4427">
      <c r="A4427">
        <f>IFERROR(INDEX('Email Cleaner'!$B$2:$B$10001,MATCH(4426,'Email Cleaner'!$K$2:$K$10001,0)),"")</f>
        <v/>
      </c>
    </row>
    <row r="4428">
      <c r="A4428">
        <f>IFERROR(INDEX('Email Cleaner'!$B$2:$B$10001,MATCH(4427,'Email Cleaner'!$K$2:$K$10001,0)),"")</f>
        <v/>
      </c>
    </row>
    <row r="4429">
      <c r="A4429">
        <f>IFERROR(INDEX('Email Cleaner'!$B$2:$B$10001,MATCH(4428,'Email Cleaner'!$K$2:$K$10001,0)),"")</f>
        <v/>
      </c>
    </row>
    <row r="4430">
      <c r="A4430">
        <f>IFERROR(INDEX('Email Cleaner'!$B$2:$B$10001,MATCH(4429,'Email Cleaner'!$K$2:$K$10001,0)),"")</f>
        <v/>
      </c>
    </row>
    <row r="4431">
      <c r="A4431">
        <f>IFERROR(INDEX('Email Cleaner'!$B$2:$B$10001,MATCH(4430,'Email Cleaner'!$K$2:$K$10001,0)),"")</f>
        <v/>
      </c>
    </row>
    <row r="4432">
      <c r="A4432">
        <f>IFERROR(INDEX('Email Cleaner'!$B$2:$B$10001,MATCH(4431,'Email Cleaner'!$K$2:$K$10001,0)),"")</f>
        <v/>
      </c>
    </row>
    <row r="4433">
      <c r="A4433">
        <f>IFERROR(INDEX('Email Cleaner'!$B$2:$B$10001,MATCH(4432,'Email Cleaner'!$K$2:$K$10001,0)),"")</f>
        <v/>
      </c>
    </row>
    <row r="4434">
      <c r="A4434">
        <f>IFERROR(INDEX('Email Cleaner'!$B$2:$B$10001,MATCH(4433,'Email Cleaner'!$K$2:$K$10001,0)),"")</f>
        <v/>
      </c>
    </row>
    <row r="4435">
      <c r="A4435">
        <f>IFERROR(INDEX('Email Cleaner'!$B$2:$B$10001,MATCH(4434,'Email Cleaner'!$K$2:$K$10001,0)),"")</f>
        <v/>
      </c>
    </row>
    <row r="4436">
      <c r="A4436">
        <f>IFERROR(INDEX('Email Cleaner'!$B$2:$B$10001,MATCH(4435,'Email Cleaner'!$K$2:$K$10001,0)),"")</f>
        <v/>
      </c>
    </row>
    <row r="4437">
      <c r="A4437">
        <f>IFERROR(INDEX('Email Cleaner'!$B$2:$B$10001,MATCH(4436,'Email Cleaner'!$K$2:$K$10001,0)),"")</f>
        <v/>
      </c>
    </row>
    <row r="4438">
      <c r="A4438">
        <f>IFERROR(INDEX('Email Cleaner'!$B$2:$B$10001,MATCH(4437,'Email Cleaner'!$K$2:$K$10001,0)),"")</f>
        <v/>
      </c>
    </row>
    <row r="4439">
      <c r="A4439">
        <f>IFERROR(INDEX('Email Cleaner'!$B$2:$B$10001,MATCH(4438,'Email Cleaner'!$K$2:$K$10001,0)),"")</f>
        <v/>
      </c>
    </row>
    <row r="4440">
      <c r="A4440">
        <f>IFERROR(INDEX('Email Cleaner'!$B$2:$B$10001,MATCH(4439,'Email Cleaner'!$K$2:$K$10001,0)),"")</f>
        <v/>
      </c>
    </row>
    <row r="4441">
      <c r="A4441">
        <f>IFERROR(INDEX('Email Cleaner'!$B$2:$B$10001,MATCH(4440,'Email Cleaner'!$K$2:$K$10001,0)),"")</f>
        <v/>
      </c>
    </row>
    <row r="4442">
      <c r="A4442">
        <f>IFERROR(INDEX('Email Cleaner'!$B$2:$B$10001,MATCH(4441,'Email Cleaner'!$K$2:$K$10001,0)),"")</f>
        <v/>
      </c>
    </row>
    <row r="4443">
      <c r="A4443">
        <f>IFERROR(INDEX('Email Cleaner'!$B$2:$B$10001,MATCH(4442,'Email Cleaner'!$K$2:$K$10001,0)),"")</f>
        <v/>
      </c>
    </row>
    <row r="4444">
      <c r="A4444">
        <f>IFERROR(INDEX('Email Cleaner'!$B$2:$B$10001,MATCH(4443,'Email Cleaner'!$K$2:$K$10001,0)),"")</f>
        <v/>
      </c>
    </row>
    <row r="4445">
      <c r="A4445">
        <f>IFERROR(INDEX('Email Cleaner'!$B$2:$B$10001,MATCH(4444,'Email Cleaner'!$K$2:$K$10001,0)),"")</f>
        <v/>
      </c>
    </row>
    <row r="4446">
      <c r="A4446">
        <f>IFERROR(INDEX('Email Cleaner'!$B$2:$B$10001,MATCH(4445,'Email Cleaner'!$K$2:$K$10001,0)),"")</f>
        <v/>
      </c>
    </row>
    <row r="4447">
      <c r="A4447">
        <f>IFERROR(INDEX('Email Cleaner'!$B$2:$B$10001,MATCH(4446,'Email Cleaner'!$K$2:$K$10001,0)),"")</f>
        <v/>
      </c>
    </row>
    <row r="4448">
      <c r="A4448">
        <f>IFERROR(INDEX('Email Cleaner'!$B$2:$B$10001,MATCH(4447,'Email Cleaner'!$K$2:$K$10001,0)),"")</f>
        <v/>
      </c>
    </row>
    <row r="4449">
      <c r="A4449">
        <f>IFERROR(INDEX('Email Cleaner'!$B$2:$B$10001,MATCH(4448,'Email Cleaner'!$K$2:$K$10001,0)),"")</f>
        <v/>
      </c>
    </row>
    <row r="4450">
      <c r="A4450">
        <f>IFERROR(INDEX('Email Cleaner'!$B$2:$B$10001,MATCH(4449,'Email Cleaner'!$K$2:$K$10001,0)),"")</f>
        <v/>
      </c>
    </row>
    <row r="4451">
      <c r="A4451">
        <f>IFERROR(INDEX('Email Cleaner'!$B$2:$B$10001,MATCH(4450,'Email Cleaner'!$K$2:$K$10001,0)),"")</f>
        <v/>
      </c>
    </row>
    <row r="4452">
      <c r="A4452">
        <f>IFERROR(INDEX('Email Cleaner'!$B$2:$B$10001,MATCH(4451,'Email Cleaner'!$K$2:$K$10001,0)),"")</f>
        <v/>
      </c>
    </row>
    <row r="4453">
      <c r="A4453">
        <f>IFERROR(INDEX('Email Cleaner'!$B$2:$B$10001,MATCH(4452,'Email Cleaner'!$K$2:$K$10001,0)),"")</f>
        <v/>
      </c>
    </row>
    <row r="4454">
      <c r="A4454">
        <f>IFERROR(INDEX('Email Cleaner'!$B$2:$B$10001,MATCH(4453,'Email Cleaner'!$K$2:$K$10001,0)),"")</f>
        <v/>
      </c>
    </row>
    <row r="4455">
      <c r="A4455">
        <f>IFERROR(INDEX('Email Cleaner'!$B$2:$B$10001,MATCH(4454,'Email Cleaner'!$K$2:$K$10001,0)),"")</f>
        <v/>
      </c>
    </row>
    <row r="4456">
      <c r="A4456">
        <f>IFERROR(INDEX('Email Cleaner'!$B$2:$B$10001,MATCH(4455,'Email Cleaner'!$K$2:$K$10001,0)),"")</f>
        <v/>
      </c>
    </row>
    <row r="4457">
      <c r="A4457">
        <f>IFERROR(INDEX('Email Cleaner'!$B$2:$B$10001,MATCH(4456,'Email Cleaner'!$K$2:$K$10001,0)),"")</f>
        <v/>
      </c>
    </row>
    <row r="4458">
      <c r="A4458">
        <f>IFERROR(INDEX('Email Cleaner'!$B$2:$B$10001,MATCH(4457,'Email Cleaner'!$K$2:$K$10001,0)),"")</f>
        <v/>
      </c>
    </row>
    <row r="4459">
      <c r="A4459">
        <f>IFERROR(INDEX('Email Cleaner'!$B$2:$B$10001,MATCH(4458,'Email Cleaner'!$K$2:$K$10001,0)),"")</f>
        <v/>
      </c>
    </row>
    <row r="4460">
      <c r="A4460">
        <f>IFERROR(INDEX('Email Cleaner'!$B$2:$B$10001,MATCH(4459,'Email Cleaner'!$K$2:$K$10001,0)),"")</f>
        <v/>
      </c>
    </row>
    <row r="4461">
      <c r="A4461">
        <f>IFERROR(INDEX('Email Cleaner'!$B$2:$B$10001,MATCH(4460,'Email Cleaner'!$K$2:$K$10001,0)),"")</f>
        <v/>
      </c>
    </row>
    <row r="4462">
      <c r="A4462">
        <f>IFERROR(INDEX('Email Cleaner'!$B$2:$B$10001,MATCH(4461,'Email Cleaner'!$K$2:$K$10001,0)),"")</f>
        <v/>
      </c>
    </row>
    <row r="4463">
      <c r="A4463">
        <f>IFERROR(INDEX('Email Cleaner'!$B$2:$B$10001,MATCH(4462,'Email Cleaner'!$K$2:$K$10001,0)),"")</f>
        <v/>
      </c>
    </row>
    <row r="4464">
      <c r="A4464">
        <f>IFERROR(INDEX('Email Cleaner'!$B$2:$B$10001,MATCH(4463,'Email Cleaner'!$K$2:$K$10001,0)),"")</f>
        <v/>
      </c>
    </row>
    <row r="4465">
      <c r="A4465">
        <f>IFERROR(INDEX('Email Cleaner'!$B$2:$B$10001,MATCH(4464,'Email Cleaner'!$K$2:$K$10001,0)),"")</f>
        <v/>
      </c>
    </row>
    <row r="4466">
      <c r="A4466">
        <f>IFERROR(INDEX('Email Cleaner'!$B$2:$B$10001,MATCH(4465,'Email Cleaner'!$K$2:$K$10001,0)),"")</f>
        <v/>
      </c>
    </row>
    <row r="4467">
      <c r="A4467">
        <f>IFERROR(INDEX('Email Cleaner'!$B$2:$B$10001,MATCH(4466,'Email Cleaner'!$K$2:$K$10001,0)),"")</f>
        <v/>
      </c>
    </row>
    <row r="4468">
      <c r="A4468">
        <f>IFERROR(INDEX('Email Cleaner'!$B$2:$B$10001,MATCH(4467,'Email Cleaner'!$K$2:$K$10001,0)),"")</f>
        <v/>
      </c>
    </row>
    <row r="4469">
      <c r="A4469">
        <f>IFERROR(INDEX('Email Cleaner'!$B$2:$B$10001,MATCH(4468,'Email Cleaner'!$K$2:$K$10001,0)),"")</f>
        <v/>
      </c>
    </row>
    <row r="4470">
      <c r="A4470">
        <f>IFERROR(INDEX('Email Cleaner'!$B$2:$B$10001,MATCH(4469,'Email Cleaner'!$K$2:$K$10001,0)),"")</f>
        <v/>
      </c>
    </row>
    <row r="4471">
      <c r="A4471">
        <f>IFERROR(INDEX('Email Cleaner'!$B$2:$B$10001,MATCH(4470,'Email Cleaner'!$K$2:$K$10001,0)),"")</f>
        <v/>
      </c>
    </row>
    <row r="4472">
      <c r="A4472">
        <f>IFERROR(INDEX('Email Cleaner'!$B$2:$B$10001,MATCH(4471,'Email Cleaner'!$K$2:$K$10001,0)),"")</f>
        <v/>
      </c>
    </row>
    <row r="4473">
      <c r="A4473">
        <f>IFERROR(INDEX('Email Cleaner'!$B$2:$B$10001,MATCH(4472,'Email Cleaner'!$K$2:$K$10001,0)),"")</f>
        <v/>
      </c>
    </row>
    <row r="4474">
      <c r="A4474">
        <f>IFERROR(INDEX('Email Cleaner'!$B$2:$B$10001,MATCH(4473,'Email Cleaner'!$K$2:$K$10001,0)),"")</f>
        <v/>
      </c>
    </row>
    <row r="4475">
      <c r="A4475">
        <f>IFERROR(INDEX('Email Cleaner'!$B$2:$B$10001,MATCH(4474,'Email Cleaner'!$K$2:$K$10001,0)),"")</f>
        <v/>
      </c>
    </row>
    <row r="4476">
      <c r="A4476">
        <f>IFERROR(INDEX('Email Cleaner'!$B$2:$B$10001,MATCH(4475,'Email Cleaner'!$K$2:$K$10001,0)),"")</f>
        <v/>
      </c>
    </row>
    <row r="4477">
      <c r="A4477">
        <f>IFERROR(INDEX('Email Cleaner'!$B$2:$B$10001,MATCH(4476,'Email Cleaner'!$K$2:$K$10001,0)),"")</f>
        <v/>
      </c>
    </row>
    <row r="4478">
      <c r="A4478">
        <f>IFERROR(INDEX('Email Cleaner'!$B$2:$B$10001,MATCH(4477,'Email Cleaner'!$K$2:$K$10001,0)),"")</f>
        <v/>
      </c>
    </row>
    <row r="4479">
      <c r="A4479">
        <f>IFERROR(INDEX('Email Cleaner'!$B$2:$B$10001,MATCH(4478,'Email Cleaner'!$K$2:$K$10001,0)),"")</f>
        <v/>
      </c>
    </row>
    <row r="4480">
      <c r="A4480">
        <f>IFERROR(INDEX('Email Cleaner'!$B$2:$B$10001,MATCH(4479,'Email Cleaner'!$K$2:$K$10001,0)),"")</f>
        <v/>
      </c>
    </row>
    <row r="4481">
      <c r="A4481">
        <f>IFERROR(INDEX('Email Cleaner'!$B$2:$B$10001,MATCH(4480,'Email Cleaner'!$K$2:$K$10001,0)),"")</f>
        <v/>
      </c>
    </row>
    <row r="4482">
      <c r="A4482">
        <f>IFERROR(INDEX('Email Cleaner'!$B$2:$B$10001,MATCH(4481,'Email Cleaner'!$K$2:$K$10001,0)),"")</f>
        <v/>
      </c>
    </row>
    <row r="4483">
      <c r="A4483">
        <f>IFERROR(INDEX('Email Cleaner'!$B$2:$B$10001,MATCH(4482,'Email Cleaner'!$K$2:$K$10001,0)),"")</f>
        <v/>
      </c>
    </row>
    <row r="4484">
      <c r="A4484">
        <f>IFERROR(INDEX('Email Cleaner'!$B$2:$B$10001,MATCH(4483,'Email Cleaner'!$K$2:$K$10001,0)),"")</f>
        <v/>
      </c>
    </row>
    <row r="4485">
      <c r="A4485">
        <f>IFERROR(INDEX('Email Cleaner'!$B$2:$B$10001,MATCH(4484,'Email Cleaner'!$K$2:$K$10001,0)),"")</f>
        <v/>
      </c>
    </row>
    <row r="4486">
      <c r="A4486">
        <f>IFERROR(INDEX('Email Cleaner'!$B$2:$B$10001,MATCH(4485,'Email Cleaner'!$K$2:$K$10001,0)),"")</f>
        <v/>
      </c>
    </row>
    <row r="4487">
      <c r="A4487">
        <f>IFERROR(INDEX('Email Cleaner'!$B$2:$B$10001,MATCH(4486,'Email Cleaner'!$K$2:$K$10001,0)),"")</f>
        <v/>
      </c>
    </row>
    <row r="4488">
      <c r="A4488">
        <f>IFERROR(INDEX('Email Cleaner'!$B$2:$B$10001,MATCH(4487,'Email Cleaner'!$K$2:$K$10001,0)),"")</f>
        <v/>
      </c>
    </row>
    <row r="4489">
      <c r="A4489">
        <f>IFERROR(INDEX('Email Cleaner'!$B$2:$B$10001,MATCH(4488,'Email Cleaner'!$K$2:$K$10001,0)),"")</f>
        <v/>
      </c>
    </row>
    <row r="4490">
      <c r="A4490">
        <f>IFERROR(INDEX('Email Cleaner'!$B$2:$B$10001,MATCH(4489,'Email Cleaner'!$K$2:$K$10001,0)),"")</f>
        <v/>
      </c>
    </row>
    <row r="4491">
      <c r="A4491">
        <f>IFERROR(INDEX('Email Cleaner'!$B$2:$B$10001,MATCH(4490,'Email Cleaner'!$K$2:$K$10001,0)),"")</f>
        <v/>
      </c>
    </row>
    <row r="4492">
      <c r="A4492">
        <f>IFERROR(INDEX('Email Cleaner'!$B$2:$B$10001,MATCH(4491,'Email Cleaner'!$K$2:$K$10001,0)),"")</f>
        <v/>
      </c>
    </row>
    <row r="4493">
      <c r="A4493">
        <f>IFERROR(INDEX('Email Cleaner'!$B$2:$B$10001,MATCH(4492,'Email Cleaner'!$K$2:$K$10001,0)),"")</f>
        <v/>
      </c>
    </row>
    <row r="4494">
      <c r="A4494">
        <f>IFERROR(INDEX('Email Cleaner'!$B$2:$B$10001,MATCH(4493,'Email Cleaner'!$K$2:$K$10001,0)),"")</f>
        <v/>
      </c>
    </row>
    <row r="4495">
      <c r="A4495">
        <f>IFERROR(INDEX('Email Cleaner'!$B$2:$B$10001,MATCH(4494,'Email Cleaner'!$K$2:$K$10001,0)),"")</f>
        <v/>
      </c>
    </row>
    <row r="4496">
      <c r="A4496">
        <f>IFERROR(INDEX('Email Cleaner'!$B$2:$B$10001,MATCH(4495,'Email Cleaner'!$K$2:$K$10001,0)),"")</f>
        <v/>
      </c>
    </row>
    <row r="4497">
      <c r="A4497">
        <f>IFERROR(INDEX('Email Cleaner'!$B$2:$B$10001,MATCH(4496,'Email Cleaner'!$K$2:$K$10001,0)),"")</f>
        <v/>
      </c>
    </row>
    <row r="4498">
      <c r="A4498">
        <f>IFERROR(INDEX('Email Cleaner'!$B$2:$B$10001,MATCH(4497,'Email Cleaner'!$K$2:$K$10001,0)),"")</f>
        <v/>
      </c>
    </row>
    <row r="4499">
      <c r="A4499">
        <f>IFERROR(INDEX('Email Cleaner'!$B$2:$B$10001,MATCH(4498,'Email Cleaner'!$K$2:$K$10001,0)),"")</f>
        <v/>
      </c>
    </row>
    <row r="4500">
      <c r="A4500">
        <f>IFERROR(INDEX('Email Cleaner'!$B$2:$B$10001,MATCH(4499,'Email Cleaner'!$K$2:$K$10001,0)),"")</f>
        <v/>
      </c>
    </row>
    <row r="4501">
      <c r="A4501">
        <f>IFERROR(INDEX('Email Cleaner'!$B$2:$B$10001,MATCH(4500,'Email Cleaner'!$K$2:$K$10001,0)),"")</f>
        <v/>
      </c>
    </row>
    <row r="4502">
      <c r="A4502">
        <f>IFERROR(INDEX('Email Cleaner'!$B$2:$B$10001,MATCH(4501,'Email Cleaner'!$K$2:$K$10001,0)),"")</f>
        <v/>
      </c>
    </row>
    <row r="4503">
      <c r="A4503">
        <f>IFERROR(INDEX('Email Cleaner'!$B$2:$B$10001,MATCH(4502,'Email Cleaner'!$K$2:$K$10001,0)),"")</f>
        <v/>
      </c>
    </row>
    <row r="4504">
      <c r="A4504">
        <f>IFERROR(INDEX('Email Cleaner'!$B$2:$B$10001,MATCH(4503,'Email Cleaner'!$K$2:$K$10001,0)),"")</f>
        <v/>
      </c>
    </row>
    <row r="4505">
      <c r="A4505">
        <f>IFERROR(INDEX('Email Cleaner'!$B$2:$B$10001,MATCH(4504,'Email Cleaner'!$K$2:$K$10001,0)),"")</f>
        <v/>
      </c>
    </row>
    <row r="4506">
      <c r="A4506">
        <f>IFERROR(INDEX('Email Cleaner'!$B$2:$B$10001,MATCH(4505,'Email Cleaner'!$K$2:$K$10001,0)),"")</f>
        <v/>
      </c>
    </row>
    <row r="4507">
      <c r="A4507">
        <f>IFERROR(INDEX('Email Cleaner'!$B$2:$B$10001,MATCH(4506,'Email Cleaner'!$K$2:$K$10001,0)),"")</f>
        <v/>
      </c>
    </row>
    <row r="4508">
      <c r="A4508">
        <f>IFERROR(INDEX('Email Cleaner'!$B$2:$B$10001,MATCH(4507,'Email Cleaner'!$K$2:$K$10001,0)),"")</f>
        <v/>
      </c>
    </row>
    <row r="4509">
      <c r="A4509">
        <f>IFERROR(INDEX('Email Cleaner'!$B$2:$B$10001,MATCH(4508,'Email Cleaner'!$K$2:$K$10001,0)),"")</f>
        <v/>
      </c>
    </row>
    <row r="4510">
      <c r="A4510">
        <f>IFERROR(INDEX('Email Cleaner'!$B$2:$B$10001,MATCH(4509,'Email Cleaner'!$K$2:$K$10001,0)),"")</f>
        <v/>
      </c>
    </row>
    <row r="4511">
      <c r="A4511">
        <f>IFERROR(INDEX('Email Cleaner'!$B$2:$B$10001,MATCH(4510,'Email Cleaner'!$K$2:$K$10001,0)),"")</f>
        <v/>
      </c>
    </row>
    <row r="4512">
      <c r="A4512">
        <f>IFERROR(INDEX('Email Cleaner'!$B$2:$B$10001,MATCH(4511,'Email Cleaner'!$K$2:$K$10001,0)),"")</f>
        <v/>
      </c>
    </row>
    <row r="4513">
      <c r="A4513">
        <f>IFERROR(INDEX('Email Cleaner'!$B$2:$B$10001,MATCH(4512,'Email Cleaner'!$K$2:$K$10001,0)),"")</f>
        <v/>
      </c>
    </row>
    <row r="4514">
      <c r="A4514">
        <f>IFERROR(INDEX('Email Cleaner'!$B$2:$B$10001,MATCH(4513,'Email Cleaner'!$K$2:$K$10001,0)),"")</f>
        <v/>
      </c>
    </row>
    <row r="4515">
      <c r="A4515">
        <f>IFERROR(INDEX('Email Cleaner'!$B$2:$B$10001,MATCH(4514,'Email Cleaner'!$K$2:$K$10001,0)),"")</f>
        <v/>
      </c>
    </row>
    <row r="4516">
      <c r="A4516">
        <f>IFERROR(INDEX('Email Cleaner'!$B$2:$B$10001,MATCH(4515,'Email Cleaner'!$K$2:$K$10001,0)),"")</f>
        <v/>
      </c>
    </row>
    <row r="4517">
      <c r="A4517">
        <f>IFERROR(INDEX('Email Cleaner'!$B$2:$B$10001,MATCH(4516,'Email Cleaner'!$K$2:$K$10001,0)),"")</f>
        <v/>
      </c>
    </row>
    <row r="4518">
      <c r="A4518">
        <f>IFERROR(INDEX('Email Cleaner'!$B$2:$B$10001,MATCH(4517,'Email Cleaner'!$K$2:$K$10001,0)),"")</f>
        <v/>
      </c>
    </row>
    <row r="4519">
      <c r="A4519">
        <f>IFERROR(INDEX('Email Cleaner'!$B$2:$B$10001,MATCH(4518,'Email Cleaner'!$K$2:$K$10001,0)),"")</f>
        <v/>
      </c>
    </row>
    <row r="4520">
      <c r="A4520">
        <f>IFERROR(INDEX('Email Cleaner'!$B$2:$B$10001,MATCH(4519,'Email Cleaner'!$K$2:$K$10001,0)),"")</f>
        <v/>
      </c>
    </row>
    <row r="4521">
      <c r="A4521">
        <f>IFERROR(INDEX('Email Cleaner'!$B$2:$B$10001,MATCH(4520,'Email Cleaner'!$K$2:$K$10001,0)),"")</f>
        <v/>
      </c>
    </row>
    <row r="4522">
      <c r="A4522">
        <f>IFERROR(INDEX('Email Cleaner'!$B$2:$B$10001,MATCH(4521,'Email Cleaner'!$K$2:$K$10001,0)),"")</f>
        <v/>
      </c>
    </row>
    <row r="4523">
      <c r="A4523">
        <f>IFERROR(INDEX('Email Cleaner'!$B$2:$B$10001,MATCH(4522,'Email Cleaner'!$K$2:$K$10001,0)),"")</f>
        <v/>
      </c>
    </row>
    <row r="4524">
      <c r="A4524">
        <f>IFERROR(INDEX('Email Cleaner'!$B$2:$B$10001,MATCH(4523,'Email Cleaner'!$K$2:$K$10001,0)),"")</f>
        <v/>
      </c>
    </row>
    <row r="4525">
      <c r="A4525">
        <f>IFERROR(INDEX('Email Cleaner'!$B$2:$B$10001,MATCH(4524,'Email Cleaner'!$K$2:$K$10001,0)),"")</f>
        <v/>
      </c>
    </row>
    <row r="4526">
      <c r="A4526">
        <f>IFERROR(INDEX('Email Cleaner'!$B$2:$B$10001,MATCH(4525,'Email Cleaner'!$K$2:$K$10001,0)),"")</f>
        <v/>
      </c>
    </row>
    <row r="4527">
      <c r="A4527">
        <f>IFERROR(INDEX('Email Cleaner'!$B$2:$B$10001,MATCH(4526,'Email Cleaner'!$K$2:$K$10001,0)),"")</f>
        <v/>
      </c>
    </row>
    <row r="4528">
      <c r="A4528">
        <f>IFERROR(INDEX('Email Cleaner'!$B$2:$B$10001,MATCH(4527,'Email Cleaner'!$K$2:$K$10001,0)),"")</f>
        <v/>
      </c>
    </row>
    <row r="4529">
      <c r="A4529">
        <f>IFERROR(INDEX('Email Cleaner'!$B$2:$B$10001,MATCH(4528,'Email Cleaner'!$K$2:$K$10001,0)),"")</f>
        <v/>
      </c>
    </row>
    <row r="4530">
      <c r="A4530">
        <f>IFERROR(INDEX('Email Cleaner'!$B$2:$B$10001,MATCH(4529,'Email Cleaner'!$K$2:$K$10001,0)),"")</f>
        <v/>
      </c>
    </row>
    <row r="4531">
      <c r="A4531">
        <f>IFERROR(INDEX('Email Cleaner'!$B$2:$B$10001,MATCH(4530,'Email Cleaner'!$K$2:$K$10001,0)),"")</f>
        <v/>
      </c>
    </row>
    <row r="4532">
      <c r="A4532">
        <f>IFERROR(INDEX('Email Cleaner'!$B$2:$B$10001,MATCH(4531,'Email Cleaner'!$K$2:$K$10001,0)),"")</f>
        <v/>
      </c>
    </row>
    <row r="4533">
      <c r="A4533">
        <f>IFERROR(INDEX('Email Cleaner'!$B$2:$B$10001,MATCH(4532,'Email Cleaner'!$K$2:$K$10001,0)),"")</f>
        <v/>
      </c>
    </row>
    <row r="4534">
      <c r="A4534">
        <f>IFERROR(INDEX('Email Cleaner'!$B$2:$B$10001,MATCH(4533,'Email Cleaner'!$K$2:$K$10001,0)),"")</f>
        <v/>
      </c>
    </row>
    <row r="4535">
      <c r="A4535">
        <f>IFERROR(INDEX('Email Cleaner'!$B$2:$B$10001,MATCH(4534,'Email Cleaner'!$K$2:$K$10001,0)),"")</f>
        <v/>
      </c>
    </row>
    <row r="4536">
      <c r="A4536">
        <f>IFERROR(INDEX('Email Cleaner'!$B$2:$B$10001,MATCH(4535,'Email Cleaner'!$K$2:$K$10001,0)),"")</f>
        <v/>
      </c>
    </row>
    <row r="4537">
      <c r="A4537">
        <f>IFERROR(INDEX('Email Cleaner'!$B$2:$B$10001,MATCH(4536,'Email Cleaner'!$K$2:$K$10001,0)),"")</f>
        <v/>
      </c>
    </row>
    <row r="4538">
      <c r="A4538">
        <f>IFERROR(INDEX('Email Cleaner'!$B$2:$B$10001,MATCH(4537,'Email Cleaner'!$K$2:$K$10001,0)),"")</f>
        <v/>
      </c>
    </row>
    <row r="4539">
      <c r="A4539">
        <f>IFERROR(INDEX('Email Cleaner'!$B$2:$B$10001,MATCH(4538,'Email Cleaner'!$K$2:$K$10001,0)),"")</f>
        <v/>
      </c>
    </row>
    <row r="4540">
      <c r="A4540">
        <f>IFERROR(INDEX('Email Cleaner'!$B$2:$B$10001,MATCH(4539,'Email Cleaner'!$K$2:$K$10001,0)),"")</f>
        <v/>
      </c>
    </row>
    <row r="4541">
      <c r="A4541">
        <f>IFERROR(INDEX('Email Cleaner'!$B$2:$B$10001,MATCH(4540,'Email Cleaner'!$K$2:$K$10001,0)),"")</f>
        <v/>
      </c>
    </row>
    <row r="4542">
      <c r="A4542">
        <f>IFERROR(INDEX('Email Cleaner'!$B$2:$B$10001,MATCH(4541,'Email Cleaner'!$K$2:$K$10001,0)),"")</f>
        <v/>
      </c>
    </row>
    <row r="4543">
      <c r="A4543">
        <f>IFERROR(INDEX('Email Cleaner'!$B$2:$B$10001,MATCH(4542,'Email Cleaner'!$K$2:$K$10001,0)),"")</f>
        <v/>
      </c>
    </row>
    <row r="4544">
      <c r="A4544">
        <f>IFERROR(INDEX('Email Cleaner'!$B$2:$B$10001,MATCH(4543,'Email Cleaner'!$K$2:$K$10001,0)),"")</f>
        <v/>
      </c>
    </row>
    <row r="4545">
      <c r="A4545">
        <f>IFERROR(INDEX('Email Cleaner'!$B$2:$B$10001,MATCH(4544,'Email Cleaner'!$K$2:$K$10001,0)),"")</f>
        <v/>
      </c>
    </row>
    <row r="4546">
      <c r="A4546">
        <f>IFERROR(INDEX('Email Cleaner'!$B$2:$B$10001,MATCH(4545,'Email Cleaner'!$K$2:$K$10001,0)),"")</f>
        <v/>
      </c>
    </row>
    <row r="4547">
      <c r="A4547">
        <f>IFERROR(INDEX('Email Cleaner'!$B$2:$B$10001,MATCH(4546,'Email Cleaner'!$K$2:$K$10001,0)),"")</f>
        <v/>
      </c>
    </row>
    <row r="4548">
      <c r="A4548">
        <f>IFERROR(INDEX('Email Cleaner'!$B$2:$B$10001,MATCH(4547,'Email Cleaner'!$K$2:$K$10001,0)),"")</f>
        <v/>
      </c>
    </row>
    <row r="4549">
      <c r="A4549">
        <f>IFERROR(INDEX('Email Cleaner'!$B$2:$B$10001,MATCH(4548,'Email Cleaner'!$K$2:$K$10001,0)),"")</f>
        <v/>
      </c>
    </row>
    <row r="4550">
      <c r="A4550">
        <f>IFERROR(INDEX('Email Cleaner'!$B$2:$B$10001,MATCH(4549,'Email Cleaner'!$K$2:$K$10001,0)),"")</f>
        <v/>
      </c>
    </row>
    <row r="4551">
      <c r="A4551">
        <f>IFERROR(INDEX('Email Cleaner'!$B$2:$B$10001,MATCH(4550,'Email Cleaner'!$K$2:$K$10001,0)),"")</f>
        <v/>
      </c>
    </row>
    <row r="4552">
      <c r="A4552">
        <f>IFERROR(INDEX('Email Cleaner'!$B$2:$B$10001,MATCH(4551,'Email Cleaner'!$K$2:$K$10001,0)),"")</f>
        <v/>
      </c>
    </row>
    <row r="4553">
      <c r="A4553">
        <f>IFERROR(INDEX('Email Cleaner'!$B$2:$B$10001,MATCH(4552,'Email Cleaner'!$K$2:$K$10001,0)),"")</f>
        <v/>
      </c>
    </row>
    <row r="4554">
      <c r="A4554">
        <f>IFERROR(INDEX('Email Cleaner'!$B$2:$B$10001,MATCH(4553,'Email Cleaner'!$K$2:$K$10001,0)),"")</f>
        <v/>
      </c>
    </row>
    <row r="4555">
      <c r="A4555">
        <f>IFERROR(INDEX('Email Cleaner'!$B$2:$B$10001,MATCH(4554,'Email Cleaner'!$K$2:$K$10001,0)),"")</f>
        <v/>
      </c>
    </row>
    <row r="4556">
      <c r="A4556">
        <f>IFERROR(INDEX('Email Cleaner'!$B$2:$B$10001,MATCH(4555,'Email Cleaner'!$K$2:$K$10001,0)),"")</f>
        <v/>
      </c>
    </row>
    <row r="4557">
      <c r="A4557">
        <f>IFERROR(INDEX('Email Cleaner'!$B$2:$B$10001,MATCH(4556,'Email Cleaner'!$K$2:$K$10001,0)),"")</f>
        <v/>
      </c>
    </row>
    <row r="4558">
      <c r="A4558">
        <f>IFERROR(INDEX('Email Cleaner'!$B$2:$B$10001,MATCH(4557,'Email Cleaner'!$K$2:$K$10001,0)),"")</f>
        <v/>
      </c>
    </row>
    <row r="4559">
      <c r="A4559">
        <f>IFERROR(INDEX('Email Cleaner'!$B$2:$B$10001,MATCH(4558,'Email Cleaner'!$K$2:$K$10001,0)),"")</f>
        <v/>
      </c>
    </row>
    <row r="4560">
      <c r="A4560">
        <f>IFERROR(INDEX('Email Cleaner'!$B$2:$B$10001,MATCH(4559,'Email Cleaner'!$K$2:$K$10001,0)),"")</f>
        <v/>
      </c>
    </row>
    <row r="4561">
      <c r="A4561">
        <f>IFERROR(INDEX('Email Cleaner'!$B$2:$B$10001,MATCH(4560,'Email Cleaner'!$K$2:$K$10001,0)),"")</f>
        <v/>
      </c>
    </row>
    <row r="4562">
      <c r="A4562">
        <f>IFERROR(INDEX('Email Cleaner'!$B$2:$B$10001,MATCH(4561,'Email Cleaner'!$K$2:$K$10001,0)),"")</f>
        <v/>
      </c>
    </row>
    <row r="4563">
      <c r="A4563">
        <f>IFERROR(INDEX('Email Cleaner'!$B$2:$B$10001,MATCH(4562,'Email Cleaner'!$K$2:$K$10001,0)),"")</f>
        <v/>
      </c>
    </row>
    <row r="4564">
      <c r="A4564">
        <f>IFERROR(INDEX('Email Cleaner'!$B$2:$B$10001,MATCH(4563,'Email Cleaner'!$K$2:$K$10001,0)),"")</f>
        <v/>
      </c>
    </row>
    <row r="4565">
      <c r="A4565">
        <f>IFERROR(INDEX('Email Cleaner'!$B$2:$B$10001,MATCH(4564,'Email Cleaner'!$K$2:$K$10001,0)),"")</f>
        <v/>
      </c>
    </row>
    <row r="4566">
      <c r="A4566">
        <f>IFERROR(INDEX('Email Cleaner'!$B$2:$B$10001,MATCH(4565,'Email Cleaner'!$K$2:$K$10001,0)),"")</f>
        <v/>
      </c>
    </row>
    <row r="4567">
      <c r="A4567">
        <f>IFERROR(INDEX('Email Cleaner'!$B$2:$B$10001,MATCH(4566,'Email Cleaner'!$K$2:$K$10001,0)),"")</f>
        <v/>
      </c>
    </row>
    <row r="4568">
      <c r="A4568">
        <f>IFERROR(INDEX('Email Cleaner'!$B$2:$B$10001,MATCH(4567,'Email Cleaner'!$K$2:$K$10001,0)),"")</f>
        <v/>
      </c>
    </row>
    <row r="4569">
      <c r="A4569">
        <f>IFERROR(INDEX('Email Cleaner'!$B$2:$B$10001,MATCH(4568,'Email Cleaner'!$K$2:$K$10001,0)),"")</f>
        <v/>
      </c>
    </row>
    <row r="4570">
      <c r="A4570">
        <f>IFERROR(INDEX('Email Cleaner'!$B$2:$B$10001,MATCH(4569,'Email Cleaner'!$K$2:$K$10001,0)),"")</f>
        <v/>
      </c>
    </row>
    <row r="4571">
      <c r="A4571">
        <f>IFERROR(INDEX('Email Cleaner'!$B$2:$B$10001,MATCH(4570,'Email Cleaner'!$K$2:$K$10001,0)),"")</f>
        <v/>
      </c>
    </row>
    <row r="4572">
      <c r="A4572">
        <f>IFERROR(INDEX('Email Cleaner'!$B$2:$B$10001,MATCH(4571,'Email Cleaner'!$K$2:$K$10001,0)),"")</f>
        <v/>
      </c>
    </row>
    <row r="4573">
      <c r="A4573">
        <f>IFERROR(INDEX('Email Cleaner'!$B$2:$B$10001,MATCH(4572,'Email Cleaner'!$K$2:$K$10001,0)),"")</f>
        <v/>
      </c>
    </row>
    <row r="4574">
      <c r="A4574">
        <f>IFERROR(INDEX('Email Cleaner'!$B$2:$B$10001,MATCH(4573,'Email Cleaner'!$K$2:$K$10001,0)),"")</f>
        <v/>
      </c>
    </row>
    <row r="4575">
      <c r="A4575">
        <f>IFERROR(INDEX('Email Cleaner'!$B$2:$B$10001,MATCH(4574,'Email Cleaner'!$K$2:$K$10001,0)),"")</f>
        <v/>
      </c>
    </row>
    <row r="4576">
      <c r="A4576">
        <f>IFERROR(INDEX('Email Cleaner'!$B$2:$B$10001,MATCH(4575,'Email Cleaner'!$K$2:$K$10001,0)),"")</f>
        <v/>
      </c>
    </row>
    <row r="4577">
      <c r="A4577">
        <f>IFERROR(INDEX('Email Cleaner'!$B$2:$B$10001,MATCH(4576,'Email Cleaner'!$K$2:$K$10001,0)),"")</f>
        <v/>
      </c>
    </row>
    <row r="4578">
      <c r="A4578">
        <f>IFERROR(INDEX('Email Cleaner'!$B$2:$B$10001,MATCH(4577,'Email Cleaner'!$K$2:$K$10001,0)),"")</f>
        <v/>
      </c>
    </row>
    <row r="4579">
      <c r="A4579">
        <f>IFERROR(INDEX('Email Cleaner'!$B$2:$B$10001,MATCH(4578,'Email Cleaner'!$K$2:$K$10001,0)),"")</f>
        <v/>
      </c>
    </row>
    <row r="4580">
      <c r="A4580">
        <f>IFERROR(INDEX('Email Cleaner'!$B$2:$B$10001,MATCH(4579,'Email Cleaner'!$K$2:$K$10001,0)),"")</f>
        <v/>
      </c>
    </row>
    <row r="4581">
      <c r="A4581">
        <f>IFERROR(INDEX('Email Cleaner'!$B$2:$B$10001,MATCH(4580,'Email Cleaner'!$K$2:$K$10001,0)),"")</f>
        <v/>
      </c>
    </row>
    <row r="4582">
      <c r="A4582">
        <f>IFERROR(INDEX('Email Cleaner'!$B$2:$B$10001,MATCH(4581,'Email Cleaner'!$K$2:$K$10001,0)),"")</f>
        <v/>
      </c>
    </row>
    <row r="4583">
      <c r="A4583">
        <f>IFERROR(INDEX('Email Cleaner'!$B$2:$B$10001,MATCH(4582,'Email Cleaner'!$K$2:$K$10001,0)),"")</f>
        <v/>
      </c>
    </row>
    <row r="4584">
      <c r="A4584">
        <f>IFERROR(INDEX('Email Cleaner'!$B$2:$B$10001,MATCH(4583,'Email Cleaner'!$K$2:$K$10001,0)),"")</f>
        <v/>
      </c>
    </row>
    <row r="4585">
      <c r="A4585">
        <f>IFERROR(INDEX('Email Cleaner'!$B$2:$B$10001,MATCH(4584,'Email Cleaner'!$K$2:$K$10001,0)),"")</f>
        <v/>
      </c>
    </row>
    <row r="4586">
      <c r="A4586">
        <f>IFERROR(INDEX('Email Cleaner'!$B$2:$B$10001,MATCH(4585,'Email Cleaner'!$K$2:$K$10001,0)),"")</f>
        <v/>
      </c>
    </row>
    <row r="4587">
      <c r="A4587">
        <f>IFERROR(INDEX('Email Cleaner'!$B$2:$B$10001,MATCH(4586,'Email Cleaner'!$K$2:$K$10001,0)),"")</f>
        <v/>
      </c>
    </row>
    <row r="4588">
      <c r="A4588">
        <f>IFERROR(INDEX('Email Cleaner'!$B$2:$B$10001,MATCH(4587,'Email Cleaner'!$K$2:$K$10001,0)),"")</f>
        <v/>
      </c>
    </row>
    <row r="4589">
      <c r="A4589">
        <f>IFERROR(INDEX('Email Cleaner'!$B$2:$B$10001,MATCH(4588,'Email Cleaner'!$K$2:$K$10001,0)),"")</f>
        <v/>
      </c>
    </row>
    <row r="4590">
      <c r="A4590">
        <f>IFERROR(INDEX('Email Cleaner'!$B$2:$B$10001,MATCH(4589,'Email Cleaner'!$K$2:$K$10001,0)),"")</f>
        <v/>
      </c>
    </row>
    <row r="4591">
      <c r="A4591">
        <f>IFERROR(INDEX('Email Cleaner'!$B$2:$B$10001,MATCH(4590,'Email Cleaner'!$K$2:$K$10001,0)),"")</f>
        <v/>
      </c>
    </row>
    <row r="4592">
      <c r="A4592">
        <f>IFERROR(INDEX('Email Cleaner'!$B$2:$B$10001,MATCH(4591,'Email Cleaner'!$K$2:$K$10001,0)),"")</f>
        <v/>
      </c>
    </row>
    <row r="4593">
      <c r="A4593">
        <f>IFERROR(INDEX('Email Cleaner'!$B$2:$B$10001,MATCH(4592,'Email Cleaner'!$K$2:$K$10001,0)),"")</f>
        <v/>
      </c>
    </row>
    <row r="4594">
      <c r="A4594">
        <f>IFERROR(INDEX('Email Cleaner'!$B$2:$B$10001,MATCH(4593,'Email Cleaner'!$K$2:$K$10001,0)),"")</f>
        <v/>
      </c>
    </row>
    <row r="4595">
      <c r="A4595">
        <f>IFERROR(INDEX('Email Cleaner'!$B$2:$B$10001,MATCH(4594,'Email Cleaner'!$K$2:$K$10001,0)),"")</f>
        <v/>
      </c>
    </row>
    <row r="4596">
      <c r="A4596">
        <f>IFERROR(INDEX('Email Cleaner'!$B$2:$B$10001,MATCH(4595,'Email Cleaner'!$K$2:$K$10001,0)),"")</f>
        <v/>
      </c>
    </row>
    <row r="4597">
      <c r="A4597">
        <f>IFERROR(INDEX('Email Cleaner'!$B$2:$B$10001,MATCH(4596,'Email Cleaner'!$K$2:$K$10001,0)),"")</f>
        <v/>
      </c>
    </row>
    <row r="4598">
      <c r="A4598">
        <f>IFERROR(INDEX('Email Cleaner'!$B$2:$B$10001,MATCH(4597,'Email Cleaner'!$K$2:$K$10001,0)),"")</f>
        <v/>
      </c>
    </row>
    <row r="4599">
      <c r="A4599">
        <f>IFERROR(INDEX('Email Cleaner'!$B$2:$B$10001,MATCH(4598,'Email Cleaner'!$K$2:$K$10001,0)),"")</f>
        <v/>
      </c>
    </row>
    <row r="4600">
      <c r="A4600">
        <f>IFERROR(INDEX('Email Cleaner'!$B$2:$B$10001,MATCH(4599,'Email Cleaner'!$K$2:$K$10001,0)),"")</f>
        <v/>
      </c>
    </row>
    <row r="4601">
      <c r="A4601">
        <f>IFERROR(INDEX('Email Cleaner'!$B$2:$B$10001,MATCH(4600,'Email Cleaner'!$K$2:$K$10001,0)),"")</f>
        <v/>
      </c>
    </row>
    <row r="4602">
      <c r="A4602">
        <f>IFERROR(INDEX('Email Cleaner'!$B$2:$B$10001,MATCH(4601,'Email Cleaner'!$K$2:$K$10001,0)),"")</f>
        <v/>
      </c>
    </row>
    <row r="4603">
      <c r="A4603">
        <f>IFERROR(INDEX('Email Cleaner'!$B$2:$B$10001,MATCH(4602,'Email Cleaner'!$K$2:$K$10001,0)),"")</f>
        <v/>
      </c>
    </row>
    <row r="4604">
      <c r="A4604">
        <f>IFERROR(INDEX('Email Cleaner'!$B$2:$B$10001,MATCH(4603,'Email Cleaner'!$K$2:$K$10001,0)),"")</f>
        <v/>
      </c>
    </row>
    <row r="4605">
      <c r="A4605">
        <f>IFERROR(INDEX('Email Cleaner'!$B$2:$B$10001,MATCH(4604,'Email Cleaner'!$K$2:$K$10001,0)),"")</f>
        <v/>
      </c>
    </row>
    <row r="4606">
      <c r="A4606">
        <f>IFERROR(INDEX('Email Cleaner'!$B$2:$B$10001,MATCH(4605,'Email Cleaner'!$K$2:$K$10001,0)),"")</f>
        <v/>
      </c>
    </row>
    <row r="4607">
      <c r="A4607">
        <f>IFERROR(INDEX('Email Cleaner'!$B$2:$B$10001,MATCH(4606,'Email Cleaner'!$K$2:$K$10001,0)),"")</f>
        <v/>
      </c>
    </row>
    <row r="4608">
      <c r="A4608">
        <f>IFERROR(INDEX('Email Cleaner'!$B$2:$B$10001,MATCH(4607,'Email Cleaner'!$K$2:$K$10001,0)),"")</f>
        <v/>
      </c>
    </row>
    <row r="4609">
      <c r="A4609">
        <f>IFERROR(INDEX('Email Cleaner'!$B$2:$B$10001,MATCH(4608,'Email Cleaner'!$K$2:$K$10001,0)),"")</f>
        <v/>
      </c>
    </row>
    <row r="4610">
      <c r="A4610">
        <f>IFERROR(INDEX('Email Cleaner'!$B$2:$B$10001,MATCH(4609,'Email Cleaner'!$K$2:$K$10001,0)),"")</f>
        <v/>
      </c>
    </row>
    <row r="4611">
      <c r="A4611">
        <f>IFERROR(INDEX('Email Cleaner'!$B$2:$B$10001,MATCH(4610,'Email Cleaner'!$K$2:$K$10001,0)),"")</f>
        <v/>
      </c>
    </row>
    <row r="4612">
      <c r="A4612">
        <f>IFERROR(INDEX('Email Cleaner'!$B$2:$B$10001,MATCH(4611,'Email Cleaner'!$K$2:$K$10001,0)),"")</f>
        <v/>
      </c>
    </row>
    <row r="4613">
      <c r="A4613">
        <f>IFERROR(INDEX('Email Cleaner'!$B$2:$B$10001,MATCH(4612,'Email Cleaner'!$K$2:$K$10001,0)),"")</f>
        <v/>
      </c>
    </row>
    <row r="4614">
      <c r="A4614">
        <f>IFERROR(INDEX('Email Cleaner'!$B$2:$B$10001,MATCH(4613,'Email Cleaner'!$K$2:$K$10001,0)),"")</f>
        <v/>
      </c>
    </row>
    <row r="4615">
      <c r="A4615">
        <f>IFERROR(INDEX('Email Cleaner'!$B$2:$B$10001,MATCH(4614,'Email Cleaner'!$K$2:$K$10001,0)),"")</f>
        <v/>
      </c>
    </row>
    <row r="4616">
      <c r="A4616">
        <f>IFERROR(INDEX('Email Cleaner'!$B$2:$B$10001,MATCH(4615,'Email Cleaner'!$K$2:$K$10001,0)),"")</f>
        <v/>
      </c>
    </row>
    <row r="4617">
      <c r="A4617">
        <f>IFERROR(INDEX('Email Cleaner'!$B$2:$B$10001,MATCH(4616,'Email Cleaner'!$K$2:$K$10001,0)),"")</f>
        <v/>
      </c>
    </row>
    <row r="4618">
      <c r="A4618">
        <f>IFERROR(INDEX('Email Cleaner'!$B$2:$B$10001,MATCH(4617,'Email Cleaner'!$K$2:$K$10001,0)),"")</f>
        <v/>
      </c>
    </row>
    <row r="4619">
      <c r="A4619">
        <f>IFERROR(INDEX('Email Cleaner'!$B$2:$B$10001,MATCH(4618,'Email Cleaner'!$K$2:$K$10001,0)),"")</f>
        <v/>
      </c>
    </row>
    <row r="4620">
      <c r="A4620">
        <f>IFERROR(INDEX('Email Cleaner'!$B$2:$B$10001,MATCH(4619,'Email Cleaner'!$K$2:$K$10001,0)),"")</f>
        <v/>
      </c>
    </row>
    <row r="4621">
      <c r="A4621">
        <f>IFERROR(INDEX('Email Cleaner'!$B$2:$B$10001,MATCH(4620,'Email Cleaner'!$K$2:$K$10001,0)),"")</f>
        <v/>
      </c>
    </row>
    <row r="4622">
      <c r="A4622">
        <f>IFERROR(INDEX('Email Cleaner'!$B$2:$B$10001,MATCH(4621,'Email Cleaner'!$K$2:$K$10001,0)),"")</f>
        <v/>
      </c>
    </row>
    <row r="4623">
      <c r="A4623">
        <f>IFERROR(INDEX('Email Cleaner'!$B$2:$B$10001,MATCH(4622,'Email Cleaner'!$K$2:$K$10001,0)),"")</f>
        <v/>
      </c>
    </row>
    <row r="4624">
      <c r="A4624">
        <f>IFERROR(INDEX('Email Cleaner'!$B$2:$B$10001,MATCH(4623,'Email Cleaner'!$K$2:$K$10001,0)),"")</f>
        <v/>
      </c>
    </row>
    <row r="4625">
      <c r="A4625">
        <f>IFERROR(INDEX('Email Cleaner'!$B$2:$B$10001,MATCH(4624,'Email Cleaner'!$K$2:$K$10001,0)),"")</f>
        <v/>
      </c>
    </row>
    <row r="4626">
      <c r="A4626">
        <f>IFERROR(INDEX('Email Cleaner'!$B$2:$B$10001,MATCH(4625,'Email Cleaner'!$K$2:$K$10001,0)),"")</f>
        <v/>
      </c>
    </row>
    <row r="4627">
      <c r="A4627">
        <f>IFERROR(INDEX('Email Cleaner'!$B$2:$B$10001,MATCH(4626,'Email Cleaner'!$K$2:$K$10001,0)),"")</f>
        <v/>
      </c>
    </row>
    <row r="4628">
      <c r="A4628">
        <f>IFERROR(INDEX('Email Cleaner'!$B$2:$B$10001,MATCH(4627,'Email Cleaner'!$K$2:$K$10001,0)),"")</f>
        <v/>
      </c>
    </row>
    <row r="4629">
      <c r="A4629">
        <f>IFERROR(INDEX('Email Cleaner'!$B$2:$B$10001,MATCH(4628,'Email Cleaner'!$K$2:$K$10001,0)),"")</f>
        <v/>
      </c>
    </row>
    <row r="4630">
      <c r="A4630">
        <f>IFERROR(INDEX('Email Cleaner'!$B$2:$B$10001,MATCH(4629,'Email Cleaner'!$K$2:$K$10001,0)),"")</f>
        <v/>
      </c>
    </row>
    <row r="4631">
      <c r="A4631">
        <f>IFERROR(INDEX('Email Cleaner'!$B$2:$B$10001,MATCH(4630,'Email Cleaner'!$K$2:$K$10001,0)),"")</f>
        <v/>
      </c>
    </row>
    <row r="4632">
      <c r="A4632">
        <f>IFERROR(INDEX('Email Cleaner'!$B$2:$B$10001,MATCH(4631,'Email Cleaner'!$K$2:$K$10001,0)),"")</f>
        <v/>
      </c>
    </row>
    <row r="4633">
      <c r="A4633">
        <f>IFERROR(INDEX('Email Cleaner'!$B$2:$B$10001,MATCH(4632,'Email Cleaner'!$K$2:$K$10001,0)),"")</f>
        <v/>
      </c>
    </row>
    <row r="4634">
      <c r="A4634">
        <f>IFERROR(INDEX('Email Cleaner'!$B$2:$B$10001,MATCH(4633,'Email Cleaner'!$K$2:$K$10001,0)),"")</f>
        <v/>
      </c>
    </row>
    <row r="4635">
      <c r="A4635">
        <f>IFERROR(INDEX('Email Cleaner'!$B$2:$B$10001,MATCH(4634,'Email Cleaner'!$K$2:$K$10001,0)),"")</f>
        <v/>
      </c>
    </row>
    <row r="4636">
      <c r="A4636">
        <f>IFERROR(INDEX('Email Cleaner'!$B$2:$B$10001,MATCH(4635,'Email Cleaner'!$K$2:$K$10001,0)),"")</f>
        <v/>
      </c>
    </row>
    <row r="4637">
      <c r="A4637">
        <f>IFERROR(INDEX('Email Cleaner'!$B$2:$B$10001,MATCH(4636,'Email Cleaner'!$K$2:$K$10001,0)),"")</f>
        <v/>
      </c>
    </row>
    <row r="4638">
      <c r="A4638">
        <f>IFERROR(INDEX('Email Cleaner'!$B$2:$B$10001,MATCH(4637,'Email Cleaner'!$K$2:$K$10001,0)),"")</f>
        <v/>
      </c>
    </row>
    <row r="4639">
      <c r="A4639">
        <f>IFERROR(INDEX('Email Cleaner'!$B$2:$B$10001,MATCH(4638,'Email Cleaner'!$K$2:$K$10001,0)),"")</f>
        <v/>
      </c>
    </row>
    <row r="4640">
      <c r="A4640">
        <f>IFERROR(INDEX('Email Cleaner'!$B$2:$B$10001,MATCH(4639,'Email Cleaner'!$K$2:$K$10001,0)),"")</f>
        <v/>
      </c>
    </row>
    <row r="4641">
      <c r="A4641">
        <f>IFERROR(INDEX('Email Cleaner'!$B$2:$B$10001,MATCH(4640,'Email Cleaner'!$K$2:$K$10001,0)),"")</f>
        <v/>
      </c>
    </row>
    <row r="4642">
      <c r="A4642">
        <f>IFERROR(INDEX('Email Cleaner'!$B$2:$B$10001,MATCH(4641,'Email Cleaner'!$K$2:$K$10001,0)),"")</f>
        <v/>
      </c>
    </row>
    <row r="4643">
      <c r="A4643">
        <f>IFERROR(INDEX('Email Cleaner'!$B$2:$B$10001,MATCH(4642,'Email Cleaner'!$K$2:$K$10001,0)),"")</f>
        <v/>
      </c>
    </row>
    <row r="4644">
      <c r="A4644">
        <f>IFERROR(INDEX('Email Cleaner'!$B$2:$B$10001,MATCH(4643,'Email Cleaner'!$K$2:$K$10001,0)),"")</f>
        <v/>
      </c>
    </row>
    <row r="4645">
      <c r="A4645">
        <f>IFERROR(INDEX('Email Cleaner'!$B$2:$B$10001,MATCH(4644,'Email Cleaner'!$K$2:$K$10001,0)),"")</f>
        <v/>
      </c>
    </row>
    <row r="4646">
      <c r="A4646">
        <f>IFERROR(INDEX('Email Cleaner'!$B$2:$B$10001,MATCH(4645,'Email Cleaner'!$K$2:$K$10001,0)),"")</f>
        <v/>
      </c>
    </row>
    <row r="4647">
      <c r="A4647">
        <f>IFERROR(INDEX('Email Cleaner'!$B$2:$B$10001,MATCH(4646,'Email Cleaner'!$K$2:$K$10001,0)),"")</f>
        <v/>
      </c>
    </row>
    <row r="4648">
      <c r="A4648">
        <f>IFERROR(INDEX('Email Cleaner'!$B$2:$B$10001,MATCH(4647,'Email Cleaner'!$K$2:$K$10001,0)),"")</f>
        <v/>
      </c>
    </row>
    <row r="4649">
      <c r="A4649">
        <f>IFERROR(INDEX('Email Cleaner'!$B$2:$B$10001,MATCH(4648,'Email Cleaner'!$K$2:$K$10001,0)),"")</f>
        <v/>
      </c>
    </row>
    <row r="4650">
      <c r="A4650">
        <f>IFERROR(INDEX('Email Cleaner'!$B$2:$B$10001,MATCH(4649,'Email Cleaner'!$K$2:$K$10001,0)),"")</f>
        <v/>
      </c>
    </row>
    <row r="4651">
      <c r="A4651">
        <f>IFERROR(INDEX('Email Cleaner'!$B$2:$B$10001,MATCH(4650,'Email Cleaner'!$K$2:$K$10001,0)),"")</f>
        <v/>
      </c>
    </row>
    <row r="4652">
      <c r="A4652">
        <f>IFERROR(INDEX('Email Cleaner'!$B$2:$B$10001,MATCH(4651,'Email Cleaner'!$K$2:$K$10001,0)),"")</f>
        <v/>
      </c>
    </row>
    <row r="4653">
      <c r="A4653">
        <f>IFERROR(INDEX('Email Cleaner'!$B$2:$B$10001,MATCH(4652,'Email Cleaner'!$K$2:$K$10001,0)),"")</f>
        <v/>
      </c>
    </row>
    <row r="4654">
      <c r="A4654">
        <f>IFERROR(INDEX('Email Cleaner'!$B$2:$B$10001,MATCH(4653,'Email Cleaner'!$K$2:$K$10001,0)),"")</f>
        <v/>
      </c>
    </row>
    <row r="4655">
      <c r="A4655">
        <f>IFERROR(INDEX('Email Cleaner'!$B$2:$B$10001,MATCH(4654,'Email Cleaner'!$K$2:$K$10001,0)),"")</f>
        <v/>
      </c>
    </row>
    <row r="4656">
      <c r="A4656">
        <f>IFERROR(INDEX('Email Cleaner'!$B$2:$B$10001,MATCH(4655,'Email Cleaner'!$K$2:$K$10001,0)),"")</f>
        <v/>
      </c>
    </row>
    <row r="4657">
      <c r="A4657">
        <f>IFERROR(INDEX('Email Cleaner'!$B$2:$B$10001,MATCH(4656,'Email Cleaner'!$K$2:$K$10001,0)),"")</f>
        <v/>
      </c>
    </row>
    <row r="4658">
      <c r="A4658">
        <f>IFERROR(INDEX('Email Cleaner'!$B$2:$B$10001,MATCH(4657,'Email Cleaner'!$K$2:$K$10001,0)),"")</f>
        <v/>
      </c>
    </row>
    <row r="4659">
      <c r="A4659">
        <f>IFERROR(INDEX('Email Cleaner'!$B$2:$B$10001,MATCH(4658,'Email Cleaner'!$K$2:$K$10001,0)),"")</f>
        <v/>
      </c>
    </row>
    <row r="4660">
      <c r="A4660">
        <f>IFERROR(INDEX('Email Cleaner'!$B$2:$B$10001,MATCH(4659,'Email Cleaner'!$K$2:$K$10001,0)),"")</f>
        <v/>
      </c>
    </row>
    <row r="4661">
      <c r="A4661">
        <f>IFERROR(INDEX('Email Cleaner'!$B$2:$B$10001,MATCH(4660,'Email Cleaner'!$K$2:$K$10001,0)),"")</f>
        <v/>
      </c>
    </row>
    <row r="4662">
      <c r="A4662">
        <f>IFERROR(INDEX('Email Cleaner'!$B$2:$B$10001,MATCH(4661,'Email Cleaner'!$K$2:$K$10001,0)),"")</f>
        <v/>
      </c>
    </row>
    <row r="4663">
      <c r="A4663">
        <f>IFERROR(INDEX('Email Cleaner'!$B$2:$B$10001,MATCH(4662,'Email Cleaner'!$K$2:$K$10001,0)),"")</f>
        <v/>
      </c>
    </row>
    <row r="4664">
      <c r="A4664">
        <f>IFERROR(INDEX('Email Cleaner'!$B$2:$B$10001,MATCH(4663,'Email Cleaner'!$K$2:$K$10001,0)),"")</f>
        <v/>
      </c>
    </row>
    <row r="4665">
      <c r="A4665">
        <f>IFERROR(INDEX('Email Cleaner'!$B$2:$B$10001,MATCH(4664,'Email Cleaner'!$K$2:$K$10001,0)),"")</f>
        <v/>
      </c>
    </row>
    <row r="4666">
      <c r="A4666">
        <f>IFERROR(INDEX('Email Cleaner'!$B$2:$B$10001,MATCH(4665,'Email Cleaner'!$K$2:$K$10001,0)),"")</f>
        <v/>
      </c>
    </row>
    <row r="4667">
      <c r="A4667">
        <f>IFERROR(INDEX('Email Cleaner'!$B$2:$B$10001,MATCH(4666,'Email Cleaner'!$K$2:$K$10001,0)),"")</f>
        <v/>
      </c>
    </row>
    <row r="4668">
      <c r="A4668">
        <f>IFERROR(INDEX('Email Cleaner'!$B$2:$B$10001,MATCH(4667,'Email Cleaner'!$K$2:$K$10001,0)),"")</f>
        <v/>
      </c>
    </row>
    <row r="4669">
      <c r="A4669">
        <f>IFERROR(INDEX('Email Cleaner'!$B$2:$B$10001,MATCH(4668,'Email Cleaner'!$K$2:$K$10001,0)),"")</f>
        <v/>
      </c>
    </row>
    <row r="4670">
      <c r="A4670">
        <f>IFERROR(INDEX('Email Cleaner'!$B$2:$B$10001,MATCH(4669,'Email Cleaner'!$K$2:$K$10001,0)),"")</f>
        <v/>
      </c>
    </row>
    <row r="4671">
      <c r="A4671">
        <f>IFERROR(INDEX('Email Cleaner'!$B$2:$B$10001,MATCH(4670,'Email Cleaner'!$K$2:$K$10001,0)),"")</f>
        <v/>
      </c>
    </row>
    <row r="4672">
      <c r="A4672">
        <f>IFERROR(INDEX('Email Cleaner'!$B$2:$B$10001,MATCH(4671,'Email Cleaner'!$K$2:$K$10001,0)),"")</f>
        <v/>
      </c>
    </row>
    <row r="4673">
      <c r="A4673">
        <f>IFERROR(INDEX('Email Cleaner'!$B$2:$B$10001,MATCH(4672,'Email Cleaner'!$K$2:$K$10001,0)),"")</f>
        <v/>
      </c>
    </row>
    <row r="4674">
      <c r="A4674">
        <f>IFERROR(INDEX('Email Cleaner'!$B$2:$B$10001,MATCH(4673,'Email Cleaner'!$K$2:$K$10001,0)),"")</f>
        <v/>
      </c>
    </row>
    <row r="4675">
      <c r="A4675">
        <f>IFERROR(INDEX('Email Cleaner'!$B$2:$B$10001,MATCH(4674,'Email Cleaner'!$K$2:$K$10001,0)),"")</f>
        <v/>
      </c>
    </row>
    <row r="4676">
      <c r="A4676">
        <f>IFERROR(INDEX('Email Cleaner'!$B$2:$B$10001,MATCH(4675,'Email Cleaner'!$K$2:$K$10001,0)),"")</f>
        <v/>
      </c>
    </row>
    <row r="4677">
      <c r="A4677">
        <f>IFERROR(INDEX('Email Cleaner'!$B$2:$B$10001,MATCH(4676,'Email Cleaner'!$K$2:$K$10001,0)),"")</f>
        <v/>
      </c>
    </row>
    <row r="4678">
      <c r="A4678">
        <f>IFERROR(INDEX('Email Cleaner'!$B$2:$B$10001,MATCH(4677,'Email Cleaner'!$K$2:$K$10001,0)),"")</f>
        <v/>
      </c>
    </row>
    <row r="4679">
      <c r="A4679">
        <f>IFERROR(INDEX('Email Cleaner'!$B$2:$B$10001,MATCH(4678,'Email Cleaner'!$K$2:$K$10001,0)),"")</f>
        <v/>
      </c>
    </row>
    <row r="4680">
      <c r="A4680">
        <f>IFERROR(INDEX('Email Cleaner'!$B$2:$B$10001,MATCH(4679,'Email Cleaner'!$K$2:$K$10001,0)),"")</f>
        <v/>
      </c>
    </row>
    <row r="4681">
      <c r="A4681">
        <f>IFERROR(INDEX('Email Cleaner'!$B$2:$B$10001,MATCH(4680,'Email Cleaner'!$K$2:$K$10001,0)),"")</f>
        <v/>
      </c>
    </row>
    <row r="4682">
      <c r="A4682">
        <f>IFERROR(INDEX('Email Cleaner'!$B$2:$B$10001,MATCH(4681,'Email Cleaner'!$K$2:$K$10001,0)),"")</f>
        <v/>
      </c>
    </row>
    <row r="4683">
      <c r="A4683">
        <f>IFERROR(INDEX('Email Cleaner'!$B$2:$B$10001,MATCH(4682,'Email Cleaner'!$K$2:$K$10001,0)),"")</f>
        <v/>
      </c>
    </row>
    <row r="4684">
      <c r="A4684">
        <f>IFERROR(INDEX('Email Cleaner'!$B$2:$B$10001,MATCH(4683,'Email Cleaner'!$K$2:$K$10001,0)),"")</f>
        <v/>
      </c>
    </row>
    <row r="4685">
      <c r="A4685">
        <f>IFERROR(INDEX('Email Cleaner'!$B$2:$B$10001,MATCH(4684,'Email Cleaner'!$K$2:$K$10001,0)),"")</f>
        <v/>
      </c>
    </row>
    <row r="4686">
      <c r="A4686">
        <f>IFERROR(INDEX('Email Cleaner'!$B$2:$B$10001,MATCH(4685,'Email Cleaner'!$K$2:$K$10001,0)),"")</f>
        <v/>
      </c>
    </row>
    <row r="4687">
      <c r="A4687">
        <f>IFERROR(INDEX('Email Cleaner'!$B$2:$B$10001,MATCH(4686,'Email Cleaner'!$K$2:$K$10001,0)),"")</f>
        <v/>
      </c>
    </row>
    <row r="4688">
      <c r="A4688">
        <f>IFERROR(INDEX('Email Cleaner'!$B$2:$B$10001,MATCH(4687,'Email Cleaner'!$K$2:$K$10001,0)),"")</f>
        <v/>
      </c>
    </row>
    <row r="4689">
      <c r="A4689">
        <f>IFERROR(INDEX('Email Cleaner'!$B$2:$B$10001,MATCH(4688,'Email Cleaner'!$K$2:$K$10001,0)),"")</f>
        <v/>
      </c>
    </row>
    <row r="4690">
      <c r="A4690">
        <f>IFERROR(INDEX('Email Cleaner'!$B$2:$B$10001,MATCH(4689,'Email Cleaner'!$K$2:$K$10001,0)),"")</f>
        <v/>
      </c>
    </row>
    <row r="4691">
      <c r="A4691">
        <f>IFERROR(INDEX('Email Cleaner'!$B$2:$B$10001,MATCH(4690,'Email Cleaner'!$K$2:$K$10001,0)),"")</f>
        <v/>
      </c>
    </row>
    <row r="4692">
      <c r="A4692">
        <f>IFERROR(INDEX('Email Cleaner'!$B$2:$B$10001,MATCH(4691,'Email Cleaner'!$K$2:$K$10001,0)),"")</f>
        <v/>
      </c>
    </row>
    <row r="4693">
      <c r="A4693">
        <f>IFERROR(INDEX('Email Cleaner'!$B$2:$B$10001,MATCH(4692,'Email Cleaner'!$K$2:$K$10001,0)),"")</f>
        <v/>
      </c>
    </row>
    <row r="4694">
      <c r="A4694">
        <f>IFERROR(INDEX('Email Cleaner'!$B$2:$B$10001,MATCH(4693,'Email Cleaner'!$K$2:$K$10001,0)),"")</f>
        <v/>
      </c>
    </row>
    <row r="4695">
      <c r="A4695">
        <f>IFERROR(INDEX('Email Cleaner'!$B$2:$B$10001,MATCH(4694,'Email Cleaner'!$K$2:$K$10001,0)),"")</f>
        <v/>
      </c>
    </row>
    <row r="4696">
      <c r="A4696">
        <f>IFERROR(INDEX('Email Cleaner'!$B$2:$B$10001,MATCH(4695,'Email Cleaner'!$K$2:$K$10001,0)),"")</f>
        <v/>
      </c>
    </row>
    <row r="4697">
      <c r="A4697">
        <f>IFERROR(INDEX('Email Cleaner'!$B$2:$B$10001,MATCH(4696,'Email Cleaner'!$K$2:$K$10001,0)),"")</f>
        <v/>
      </c>
    </row>
    <row r="4698">
      <c r="A4698">
        <f>IFERROR(INDEX('Email Cleaner'!$B$2:$B$10001,MATCH(4697,'Email Cleaner'!$K$2:$K$10001,0)),"")</f>
        <v/>
      </c>
    </row>
    <row r="4699">
      <c r="A4699">
        <f>IFERROR(INDEX('Email Cleaner'!$B$2:$B$10001,MATCH(4698,'Email Cleaner'!$K$2:$K$10001,0)),"")</f>
        <v/>
      </c>
    </row>
    <row r="4700">
      <c r="A4700">
        <f>IFERROR(INDEX('Email Cleaner'!$B$2:$B$10001,MATCH(4699,'Email Cleaner'!$K$2:$K$10001,0)),"")</f>
        <v/>
      </c>
    </row>
    <row r="4701">
      <c r="A4701">
        <f>IFERROR(INDEX('Email Cleaner'!$B$2:$B$10001,MATCH(4700,'Email Cleaner'!$K$2:$K$10001,0)),"")</f>
        <v/>
      </c>
    </row>
    <row r="4702">
      <c r="A4702">
        <f>IFERROR(INDEX('Email Cleaner'!$B$2:$B$10001,MATCH(4701,'Email Cleaner'!$K$2:$K$10001,0)),"")</f>
        <v/>
      </c>
    </row>
    <row r="4703">
      <c r="A4703">
        <f>IFERROR(INDEX('Email Cleaner'!$B$2:$B$10001,MATCH(4702,'Email Cleaner'!$K$2:$K$10001,0)),"")</f>
        <v/>
      </c>
    </row>
    <row r="4704">
      <c r="A4704">
        <f>IFERROR(INDEX('Email Cleaner'!$B$2:$B$10001,MATCH(4703,'Email Cleaner'!$K$2:$K$10001,0)),"")</f>
        <v/>
      </c>
    </row>
    <row r="4705">
      <c r="A4705">
        <f>IFERROR(INDEX('Email Cleaner'!$B$2:$B$10001,MATCH(4704,'Email Cleaner'!$K$2:$K$10001,0)),"")</f>
        <v/>
      </c>
    </row>
    <row r="4706">
      <c r="A4706">
        <f>IFERROR(INDEX('Email Cleaner'!$B$2:$B$10001,MATCH(4705,'Email Cleaner'!$K$2:$K$10001,0)),"")</f>
        <v/>
      </c>
    </row>
    <row r="4707">
      <c r="A4707">
        <f>IFERROR(INDEX('Email Cleaner'!$B$2:$B$10001,MATCH(4706,'Email Cleaner'!$K$2:$K$10001,0)),"")</f>
        <v/>
      </c>
    </row>
    <row r="4708">
      <c r="A4708">
        <f>IFERROR(INDEX('Email Cleaner'!$B$2:$B$10001,MATCH(4707,'Email Cleaner'!$K$2:$K$10001,0)),"")</f>
        <v/>
      </c>
    </row>
    <row r="4709">
      <c r="A4709">
        <f>IFERROR(INDEX('Email Cleaner'!$B$2:$B$10001,MATCH(4708,'Email Cleaner'!$K$2:$K$10001,0)),"")</f>
        <v/>
      </c>
    </row>
    <row r="4710">
      <c r="A4710">
        <f>IFERROR(INDEX('Email Cleaner'!$B$2:$B$10001,MATCH(4709,'Email Cleaner'!$K$2:$K$10001,0)),"")</f>
        <v/>
      </c>
    </row>
    <row r="4711">
      <c r="A4711">
        <f>IFERROR(INDEX('Email Cleaner'!$B$2:$B$10001,MATCH(4710,'Email Cleaner'!$K$2:$K$10001,0)),"")</f>
        <v/>
      </c>
    </row>
    <row r="4712">
      <c r="A4712">
        <f>IFERROR(INDEX('Email Cleaner'!$B$2:$B$10001,MATCH(4711,'Email Cleaner'!$K$2:$K$10001,0)),"")</f>
        <v/>
      </c>
    </row>
    <row r="4713">
      <c r="A4713">
        <f>IFERROR(INDEX('Email Cleaner'!$B$2:$B$10001,MATCH(4712,'Email Cleaner'!$K$2:$K$10001,0)),"")</f>
        <v/>
      </c>
    </row>
    <row r="4714">
      <c r="A4714">
        <f>IFERROR(INDEX('Email Cleaner'!$B$2:$B$10001,MATCH(4713,'Email Cleaner'!$K$2:$K$10001,0)),"")</f>
        <v/>
      </c>
    </row>
    <row r="4715">
      <c r="A4715">
        <f>IFERROR(INDEX('Email Cleaner'!$B$2:$B$10001,MATCH(4714,'Email Cleaner'!$K$2:$K$10001,0)),"")</f>
        <v/>
      </c>
    </row>
    <row r="4716">
      <c r="A4716">
        <f>IFERROR(INDEX('Email Cleaner'!$B$2:$B$10001,MATCH(4715,'Email Cleaner'!$K$2:$K$10001,0)),"")</f>
        <v/>
      </c>
    </row>
    <row r="4717">
      <c r="A4717">
        <f>IFERROR(INDEX('Email Cleaner'!$B$2:$B$10001,MATCH(4716,'Email Cleaner'!$K$2:$K$10001,0)),"")</f>
        <v/>
      </c>
    </row>
    <row r="4718">
      <c r="A4718">
        <f>IFERROR(INDEX('Email Cleaner'!$B$2:$B$10001,MATCH(4717,'Email Cleaner'!$K$2:$K$10001,0)),"")</f>
        <v/>
      </c>
    </row>
    <row r="4719">
      <c r="A4719">
        <f>IFERROR(INDEX('Email Cleaner'!$B$2:$B$10001,MATCH(4718,'Email Cleaner'!$K$2:$K$10001,0)),"")</f>
        <v/>
      </c>
    </row>
    <row r="4720">
      <c r="A4720">
        <f>IFERROR(INDEX('Email Cleaner'!$B$2:$B$10001,MATCH(4719,'Email Cleaner'!$K$2:$K$10001,0)),"")</f>
        <v/>
      </c>
    </row>
    <row r="4721">
      <c r="A4721">
        <f>IFERROR(INDEX('Email Cleaner'!$B$2:$B$10001,MATCH(4720,'Email Cleaner'!$K$2:$K$10001,0)),"")</f>
        <v/>
      </c>
    </row>
    <row r="4722">
      <c r="A4722">
        <f>IFERROR(INDEX('Email Cleaner'!$B$2:$B$10001,MATCH(4721,'Email Cleaner'!$K$2:$K$10001,0)),"")</f>
        <v/>
      </c>
    </row>
    <row r="4723">
      <c r="A4723">
        <f>IFERROR(INDEX('Email Cleaner'!$B$2:$B$10001,MATCH(4722,'Email Cleaner'!$K$2:$K$10001,0)),"")</f>
        <v/>
      </c>
    </row>
    <row r="4724">
      <c r="A4724">
        <f>IFERROR(INDEX('Email Cleaner'!$B$2:$B$10001,MATCH(4723,'Email Cleaner'!$K$2:$K$10001,0)),"")</f>
        <v/>
      </c>
    </row>
    <row r="4725">
      <c r="A4725">
        <f>IFERROR(INDEX('Email Cleaner'!$B$2:$B$10001,MATCH(4724,'Email Cleaner'!$K$2:$K$10001,0)),"")</f>
        <v/>
      </c>
    </row>
    <row r="4726">
      <c r="A4726">
        <f>IFERROR(INDEX('Email Cleaner'!$B$2:$B$10001,MATCH(4725,'Email Cleaner'!$K$2:$K$10001,0)),"")</f>
        <v/>
      </c>
    </row>
    <row r="4727">
      <c r="A4727">
        <f>IFERROR(INDEX('Email Cleaner'!$B$2:$B$10001,MATCH(4726,'Email Cleaner'!$K$2:$K$10001,0)),"")</f>
        <v/>
      </c>
    </row>
    <row r="4728">
      <c r="A4728">
        <f>IFERROR(INDEX('Email Cleaner'!$B$2:$B$10001,MATCH(4727,'Email Cleaner'!$K$2:$K$10001,0)),"")</f>
        <v/>
      </c>
    </row>
    <row r="4729">
      <c r="A4729">
        <f>IFERROR(INDEX('Email Cleaner'!$B$2:$B$10001,MATCH(4728,'Email Cleaner'!$K$2:$K$10001,0)),"")</f>
        <v/>
      </c>
    </row>
    <row r="4730">
      <c r="A4730">
        <f>IFERROR(INDEX('Email Cleaner'!$B$2:$B$10001,MATCH(4729,'Email Cleaner'!$K$2:$K$10001,0)),"")</f>
        <v/>
      </c>
    </row>
    <row r="4731">
      <c r="A4731">
        <f>IFERROR(INDEX('Email Cleaner'!$B$2:$B$10001,MATCH(4730,'Email Cleaner'!$K$2:$K$10001,0)),"")</f>
        <v/>
      </c>
    </row>
    <row r="4732">
      <c r="A4732">
        <f>IFERROR(INDEX('Email Cleaner'!$B$2:$B$10001,MATCH(4731,'Email Cleaner'!$K$2:$K$10001,0)),"")</f>
        <v/>
      </c>
    </row>
    <row r="4733">
      <c r="A4733">
        <f>IFERROR(INDEX('Email Cleaner'!$B$2:$B$10001,MATCH(4732,'Email Cleaner'!$K$2:$K$10001,0)),"")</f>
        <v/>
      </c>
    </row>
    <row r="4734">
      <c r="A4734">
        <f>IFERROR(INDEX('Email Cleaner'!$B$2:$B$10001,MATCH(4733,'Email Cleaner'!$K$2:$K$10001,0)),"")</f>
        <v/>
      </c>
    </row>
    <row r="4735">
      <c r="A4735">
        <f>IFERROR(INDEX('Email Cleaner'!$B$2:$B$10001,MATCH(4734,'Email Cleaner'!$K$2:$K$10001,0)),"")</f>
        <v/>
      </c>
    </row>
    <row r="4736">
      <c r="A4736">
        <f>IFERROR(INDEX('Email Cleaner'!$B$2:$B$10001,MATCH(4735,'Email Cleaner'!$K$2:$K$10001,0)),"")</f>
        <v/>
      </c>
    </row>
    <row r="4737">
      <c r="A4737">
        <f>IFERROR(INDEX('Email Cleaner'!$B$2:$B$10001,MATCH(4736,'Email Cleaner'!$K$2:$K$10001,0)),"")</f>
        <v/>
      </c>
    </row>
    <row r="4738">
      <c r="A4738">
        <f>IFERROR(INDEX('Email Cleaner'!$B$2:$B$10001,MATCH(4737,'Email Cleaner'!$K$2:$K$10001,0)),"")</f>
        <v/>
      </c>
    </row>
    <row r="4739">
      <c r="A4739">
        <f>IFERROR(INDEX('Email Cleaner'!$B$2:$B$10001,MATCH(4738,'Email Cleaner'!$K$2:$K$10001,0)),"")</f>
        <v/>
      </c>
    </row>
    <row r="4740">
      <c r="A4740">
        <f>IFERROR(INDEX('Email Cleaner'!$B$2:$B$10001,MATCH(4739,'Email Cleaner'!$K$2:$K$10001,0)),"")</f>
        <v/>
      </c>
    </row>
    <row r="4741">
      <c r="A4741">
        <f>IFERROR(INDEX('Email Cleaner'!$B$2:$B$10001,MATCH(4740,'Email Cleaner'!$K$2:$K$10001,0)),"")</f>
        <v/>
      </c>
    </row>
    <row r="4742">
      <c r="A4742">
        <f>IFERROR(INDEX('Email Cleaner'!$B$2:$B$10001,MATCH(4741,'Email Cleaner'!$K$2:$K$10001,0)),"")</f>
        <v/>
      </c>
    </row>
    <row r="4743">
      <c r="A4743">
        <f>IFERROR(INDEX('Email Cleaner'!$B$2:$B$10001,MATCH(4742,'Email Cleaner'!$K$2:$K$10001,0)),"")</f>
        <v/>
      </c>
    </row>
    <row r="4744">
      <c r="A4744">
        <f>IFERROR(INDEX('Email Cleaner'!$B$2:$B$10001,MATCH(4743,'Email Cleaner'!$K$2:$K$10001,0)),"")</f>
        <v/>
      </c>
    </row>
    <row r="4745">
      <c r="A4745">
        <f>IFERROR(INDEX('Email Cleaner'!$B$2:$B$10001,MATCH(4744,'Email Cleaner'!$K$2:$K$10001,0)),"")</f>
        <v/>
      </c>
    </row>
    <row r="4746">
      <c r="A4746">
        <f>IFERROR(INDEX('Email Cleaner'!$B$2:$B$10001,MATCH(4745,'Email Cleaner'!$K$2:$K$10001,0)),"")</f>
        <v/>
      </c>
    </row>
    <row r="4747">
      <c r="A4747">
        <f>IFERROR(INDEX('Email Cleaner'!$B$2:$B$10001,MATCH(4746,'Email Cleaner'!$K$2:$K$10001,0)),"")</f>
        <v/>
      </c>
    </row>
    <row r="4748">
      <c r="A4748">
        <f>IFERROR(INDEX('Email Cleaner'!$B$2:$B$10001,MATCH(4747,'Email Cleaner'!$K$2:$K$10001,0)),"")</f>
        <v/>
      </c>
    </row>
    <row r="4749">
      <c r="A4749">
        <f>IFERROR(INDEX('Email Cleaner'!$B$2:$B$10001,MATCH(4748,'Email Cleaner'!$K$2:$K$10001,0)),"")</f>
        <v/>
      </c>
    </row>
    <row r="4750">
      <c r="A4750">
        <f>IFERROR(INDEX('Email Cleaner'!$B$2:$B$10001,MATCH(4749,'Email Cleaner'!$K$2:$K$10001,0)),"")</f>
        <v/>
      </c>
    </row>
    <row r="4751">
      <c r="A4751">
        <f>IFERROR(INDEX('Email Cleaner'!$B$2:$B$10001,MATCH(4750,'Email Cleaner'!$K$2:$K$10001,0)),"")</f>
        <v/>
      </c>
    </row>
    <row r="4752">
      <c r="A4752">
        <f>IFERROR(INDEX('Email Cleaner'!$B$2:$B$10001,MATCH(4751,'Email Cleaner'!$K$2:$K$10001,0)),"")</f>
        <v/>
      </c>
    </row>
    <row r="4753">
      <c r="A4753">
        <f>IFERROR(INDEX('Email Cleaner'!$B$2:$B$10001,MATCH(4752,'Email Cleaner'!$K$2:$K$10001,0)),"")</f>
        <v/>
      </c>
    </row>
    <row r="4754">
      <c r="A4754">
        <f>IFERROR(INDEX('Email Cleaner'!$B$2:$B$10001,MATCH(4753,'Email Cleaner'!$K$2:$K$10001,0)),"")</f>
        <v/>
      </c>
    </row>
    <row r="4755">
      <c r="A4755">
        <f>IFERROR(INDEX('Email Cleaner'!$B$2:$B$10001,MATCH(4754,'Email Cleaner'!$K$2:$K$10001,0)),"")</f>
        <v/>
      </c>
    </row>
    <row r="4756">
      <c r="A4756">
        <f>IFERROR(INDEX('Email Cleaner'!$B$2:$B$10001,MATCH(4755,'Email Cleaner'!$K$2:$K$10001,0)),"")</f>
        <v/>
      </c>
    </row>
    <row r="4757">
      <c r="A4757">
        <f>IFERROR(INDEX('Email Cleaner'!$B$2:$B$10001,MATCH(4756,'Email Cleaner'!$K$2:$K$10001,0)),"")</f>
        <v/>
      </c>
    </row>
    <row r="4758">
      <c r="A4758">
        <f>IFERROR(INDEX('Email Cleaner'!$B$2:$B$10001,MATCH(4757,'Email Cleaner'!$K$2:$K$10001,0)),"")</f>
        <v/>
      </c>
    </row>
    <row r="4759">
      <c r="A4759">
        <f>IFERROR(INDEX('Email Cleaner'!$B$2:$B$10001,MATCH(4758,'Email Cleaner'!$K$2:$K$10001,0)),"")</f>
        <v/>
      </c>
    </row>
    <row r="4760">
      <c r="A4760">
        <f>IFERROR(INDEX('Email Cleaner'!$B$2:$B$10001,MATCH(4759,'Email Cleaner'!$K$2:$K$10001,0)),"")</f>
        <v/>
      </c>
    </row>
    <row r="4761">
      <c r="A4761">
        <f>IFERROR(INDEX('Email Cleaner'!$B$2:$B$10001,MATCH(4760,'Email Cleaner'!$K$2:$K$10001,0)),"")</f>
        <v/>
      </c>
    </row>
    <row r="4762">
      <c r="A4762">
        <f>IFERROR(INDEX('Email Cleaner'!$B$2:$B$10001,MATCH(4761,'Email Cleaner'!$K$2:$K$10001,0)),"")</f>
        <v/>
      </c>
    </row>
    <row r="4763">
      <c r="A4763">
        <f>IFERROR(INDEX('Email Cleaner'!$B$2:$B$10001,MATCH(4762,'Email Cleaner'!$K$2:$K$10001,0)),"")</f>
        <v/>
      </c>
    </row>
    <row r="4764">
      <c r="A4764">
        <f>IFERROR(INDEX('Email Cleaner'!$B$2:$B$10001,MATCH(4763,'Email Cleaner'!$K$2:$K$10001,0)),"")</f>
        <v/>
      </c>
    </row>
    <row r="4765">
      <c r="A4765">
        <f>IFERROR(INDEX('Email Cleaner'!$B$2:$B$10001,MATCH(4764,'Email Cleaner'!$K$2:$K$10001,0)),"")</f>
        <v/>
      </c>
    </row>
    <row r="4766">
      <c r="A4766">
        <f>IFERROR(INDEX('Email Cleaner'!$B$2:$B$10001,MATCH(4765,'Email Cleaner'!$K$2:$K$10001,0)),"")</f>
        <v/>
      </c>
    </row>
    <row r="4767">
      <c r="A4767">
        <f>IFERROR(INDEX('Email Cleaner'!$B$2:$B$10001,MATCH(4766,'Email Cleaner'!$K$2:$K$10001,0)),"")</f>
        <v/>
      </c>
    </row>
    <row r="4768">
      <c r="A4768">
        <f>IFERROR(INDEX('Email Cleaner'!$B$2:$B$10001,MATCH(4767,'Email Cleaner'!$K$2:$K$10001,0)),"")</f>
        <v/>
      </c>
    </row>
    <row r="4769">
      <c r="A4769">
        <f>IFERROR(INDEX('Email Cleaner'!$B$2:$B$10001,MATCH(4768,'Email Cleaner'!$K$2:$K$10001,0)),"")</f>
        <v/>
      </c>
    </row>
    <row r="4770">
      <c r="A4770">
        <f>IFERROR(INDEX('Email Cleaner'!$B$2:$B$10001,MATCH(4769,'Email Cleaner'!$K$2:$K$10001,0)),"")</f>
        <v/>
      </c>
    </row>
    <row r="4771">
      <c r="A4771">
        <f>IFERROR(INDEX('Email Cleaner'!$B$2:$B$10001,MATCH(4770,'Email Cleaner'!$K$2:$K$10001,0)),"")</f>
        <v/>
      </c>
    </row>
    <row r="4772">
      <c r="A4772">
        <f>IFERROR(INDEX('Email Cleaner'!$B$2:$B$10001,MATCH(4771,'Email Cleaner'!$K$2:$K$10001,0)),"")</f>
        <v/>
      </c>
    </row>
    <row r="4773">
      <c r="A4773">
        <f>IFERROR(INDEX('Email Cleaner'!$B$2:$B$10001,MATCH(4772,'Email Cleaner'!$K$2:$K$10001,0)),"")</f>
        <v/>
      </c>
    </row>
    <row r="4774">
      <c r="A4774">
        <f>IFERROR(INDEX('Email Cleaner'!$B$2:$B$10001,MATCH(4773,'Email Cleaner'!$K$2:$K$10001,0)),"")</f>
        <v/>
      </c>
    </row>
    <row r="4775">
      <c r="A4775">
        <f>IFERROR(INDEX('Email Cleaner'!$B$2:$B$10001,MATCH(4774,'Email Cleaner'!$K$2:$K$10001,0)),"")</f>
        <v/>
      </c>
    </row>
    <row r="4776">
      <c r="A4776">
        <f>IFERROR(INDEX('Email Cleaner'!$B$2:$B$10001,MATCH(4775,'Email Cleaner'!$K$2:$K$10001,0)),"")</f>
        <v/>
      </c>
    </row>
    <row r="4777">
      <c r="A4777">
        <f>IFERROR(INDEX('Email Cleaner'!$B$2:$B$10001,MATCH(4776,'Email Cleaner'!$K$2:$K$10001,0)),"")</f>
        <v/>
      </c>
    </row>
    <row r="4778">
      <c r="A4778">
        <f>IFERROR(INDEX('Email Cleaner'!$B$2:$B$10001,MATCH(4777,'Email Cleaner'!$K$2:$K$10001,0)),"")</f>
        <v/>
      </c>
    </row>
    <row r="4779">
      <c r="A4779">
        <f>IFERROR(INDEX('Email Cleaner'!$B$2:$B$10001,MATCH(4778,'Email Cleaner'!$K$2:$K$10001,0)),"")</f>
        <v/>
      </c>
    </row>
    <row r="4780">
      <c r="A4780">
        <f>IFERROR(INDEX('Email Cleaner'!$B$2:$B$10001,MATCH(4779,'Email Cleaner'!$K$2:$K$10001,0)),"")</f>
        <v/>
      </c>
    </row>
    <row r="4781">
      <c r="A4781">
        <f>IFERROR(INDEX('Email Cleaner'!$B$2:$B$10001,MATCH(4780,'Email Cleaner'!$K$2:$K$10001,0)),"")</f>
        <v/>
      </c>
    </row>
    <row r="4782">
      <c r="A4782">
        <f>IFERROR(INDEX('Email Cleaner'!$B$2:$B$10001,MATCH(4781,'Email Cleaner'!$K$2:$K$10001,0)),"")</f>
        <v/>
      </c>
    </row>
    <row r="4783">
      <c r="A4783">
        <f>IFERROR(INDEX('Email Cleaner'!$B$2:$B$10001,MATCH(4782,'Email Cleaner'!$K$2:$K$10001,0)),"")</f>
        <v/>
      </c>
    </row>
    <row r="4784">
      <c r="A4784">
        <f>IFERROR(INDEX('Email Cleaner'!$B$2:$B$10001,MATCH(4783,'Email Cleaner'!$K$2:$K$10001,0)),"")</f>
        <v/>
      </c>
    </row>
    <row r="4785">
      <c r="A4785">
        <f>IFERROR(INDEX('Email Cleaner'!$B$2:$B$10001,MATCH(4784,'Email Cleaner'!$K$2:$K$10001,0)),"")</f>
        <v/>
      </c>
    </row>
    <row r="4786">
      <c r="A4786">
        <f>IFERROR(INDEX('Email Cleaner'!$B$2:$B$10001,MATCH(4785,'Email Cleaner'!$K$2:$K$10001,0)),"")</f>
        <v/>
      </c>
    </row>
    <row r="4787">
      <c r="A4787">
        <f>IFERROR(INDEX('Email Cleaner'!$B$2:$B$10001,MATCH(4786,'Email Cleaner'!$K$2:$K$10001,0)),"")</f>
        <v/>
      </c>
    </row>
    <row r="4788">
      <c r="A4788">
        <f>IFERROR(INDEX('Email Cleaner'!$B$2:$B$10001,MATCH(4787,'Email Cleaner'!$K$2:$K$10001,0)),"")</f>
        <v/>
      </c>
    </row>
    <row r="4789">
      <c r="A4789">
        <f>IFERROR(INDEX('Email Cleaner'!$B$2:$B$10001,MATCH(4788,'Email Cleaner'!$K$2:$K$10001,0)),"")</f>
        <v/>
      </c>
    </row>
    <row r="4790">
      <c r="A4790">
        <f>IFERROR(INDEX('Email Cleaner'!$B$2:$B$10001,MATCH(4789,'Email Cleaner'!$K$2:$K$10001,0)),"")</f>
        <v/>
      </c>
    </row>
    <row r="4791">
      <c r="A4791">
        <f>IFERROR(INDEX('Email Cleaner'!$B$2:$B$10001,MATCH(4790,'Email Cleaner'!$K$2:$K$10001,0)),"")</f>
        <v/>
      </c>
    </row>
    <row r="4792">
      <c r="A4792">
        <f>IFERROR(INDEX('Email Cleaner'!$B$2:$B$10001,MATCH(4791,'Email Cleaner'!$K$2:$K$10001,0)),"")</f>
        <v/>
      </c>
    </row>
    <row r="4793">
      <c r="A4793">
        <f>IFERROR(INDEX('Email Cleaner'!$B$2:$B$10001,MATCH(4792,'Email Cleaner'!$K$2:$K$10001,0)),"")</f>
        <v/>
      </c>
    </row>
    <row r="4794">
      <c r="A4794">
        <f>IFERROR(INDEX('Email Cleaner'!$B$2:$B$10001,MATCH(4793,'Email Cleaner'!$K$2:$K$10001,0)),"")</f>
        <v/>
      </c>
    </row>
    <row r="4795">
      <c r="A4795">
        <f>IFERROR(INDEX('Email Cleaner'!$B$2:$B$10001,MATCH(4794,'Email Cleaner'!$K$2:$K$10001,0)),"")</f>
        <v/>
      </c>
    </row>
    <row r="4796">
      <c r="A4796">
        <f>IFERROR(INDEX('Email Cleaner'!$B$2:$B$10001,MATCH(4795,'Email Cleaner'!$K$2:$K$10001,0)),"")</f>
        <v/>
      </c>
    </row>
    <row r="4797">
      <c r="A4797">
        <f>IFERROR(INDEX('Email Cleaner'!$B$2:$B$10001,MATCH(4796,'Email Cleaner'!$K$2:$K$10001,0)),"")</f>
        <v/>
      </c>
    </row>
    <row r="4798">
      <c r="A4798">
        <f>IFERROR(INDEX('Email Cleaner'!$B$2:$B$10001,MATCH(4797,'Email Cleaner'!$K$2:$K$10001,0)),"")</f>
        <v/>
      </c>
    </row>
    <row r="4799">
      <c r="A4799">
        <f>IFERROR(INDEX('Email Cleaner'!$B$2:$B$10001,MATCH(4798,'Email Cleaner'!$K$2:$K$10001,0)),"")</f>
        <v/>
      </c>
    </row>
    <row r="4800">
      <c r="A4800">
        <f>IFERROR(INDEX('Email Cleaner'!$B$2:$B$10001,MATCH(4799,'Email Cleaner'!$K$2:$K$10001,0)),"")</f>
        <v/>
      </c>
    </row>
    <row r="4801">
      <c r="A4801">
        <f>IFERROR(INDEX('Email Cleaner'!$B$2:$B$10001,MATCH(4800,'Email Cleaner'!$K$2:$K$10001,0)),"")</f>
        <v/>
      </c>
    </row>
    <row r="4802">
      <c r="A4802">
        <f>IFERROR(INDEX('Email Cleaner'!$B$2:$B$10001,MATCH(4801,'Email Cleaner'!$K$2:$K$10001,0)),"")</f>
        <v/>
      </c>
    </row>
    <row r="4803">
      <c r="A4803">
        <f>IFERROR(INDEX('Email Cleaner'!$B$2:$B$10001,MATCH(4802,'Email Cleaner'!$K$2:$K$10001,0)),"")</f>
        <v/>
      </c>
    </row>
    <row r="4804">
      <c r="A4804">
        <f>IFERROR(INDEX('Email Cleaner'!$B$2:$B$10001,MATCH(4803,'Email Cleaner'!$K$2:$K$10001,0)),"")</f>
        <v/>
      </c>
    </row>
    <row r="4805">
      <c r="A4805">
        <f>IFERROR(INDEX('Email Cleaner'!$B$2:$B$10001,MATCH(4804,'Email Cleaner'!$K$2:$K$10001,0)),"")</f>
        <v/>
      </c>
    </row>
    <row r="4806">
      <c r="A4806">
        <f>IFERROR(INDEX('Email Cleaner'!$B$2:$B$10001,MATCH(4805,'Email Cleaner'!$K$2:$K$10001,0)),"")</f>
        <v/>
      </c>
    </row>
    <row r="4807">
      <c r="A4807">
        <f>IFERROR(INDEX('Email Cleaner'!$B$2:$B$10001,MATCH(4806,'Email Cleaner'!$K$2:$K$10001,0)),"")</f>
        <v/>
      </c>
    </row>
    <row r="4808">
      <c r="A4808">
        <f>IFERROR(INDEX('Email Cleaner'!$B$2:$B$10001,MATCH(4807,'Email Cleaner'!$K$2:$K$10001,0)),"")</f>
        <v/>
      </c>
    </row>
    <row r="4809">
      <c r="A4809">
        <f>IFERROR(INDEX('Email Cleaner'!$B$2:$B$10001,MATCH(4808,'Email Cleaner'!$K$2:$K$10001,0)),"")</f>
        <v/>
      </c>
    </row>
    <row r="4810">
      <c r="A4810">
        <f>IFERROR(INDEX('Email Cleaner'!$B$2:$B$10001,MATCH(4809,'Email Cleaner'!$K$2:$K$10001,0)),"")</f>
        <v/>
      </c>
    </row>
    <row r="4811">
      <c r="A4811">
        <f>IFERROR(INDEX('Email Cleaner'!$B$2:$B$10001,MATCH(4810,'Email Cleaner'!$K$2:$K$10001,0)),"")</f>
        <v/>
      </c>
    </row>
    <row r="4812">
      <c r="A4812">
        <f>IFERROR(INDEX('Email Cleaner'!$B$2:$B$10001,MATCH(4811,'Email Cleaner'!$K$2:$K$10001,0)),"")</f>
        <v/>
      </c>
    </row>
    <row r="4813">
      <c r="A4813">
        <f>IFERROR(INDEX('Email Cleaner'!$B$2:$B$10001,MATCH(4812,'Email Cleaner'!$K$2:$K$10001,0)),"")</f>
        <v/>
      </c>
    </row>
    <row r="4814">
      <c r="A4814">
        <f>IFERROR(INDEX('Email Cleaner'!$B$2:$B$10001,MATCH(4813,'Email Cleaner'!$K$2:$K$10001,0)),"")</f>
        <v/>
      </c>
    </row>
    <row r="4815">
      <c r="A4815">
        <f>IFERROR(INDEX('Email Cleaner'!$B$2:$B$10001,MATCH(4814,'Email Cleaner'!$K$2:$K$10001,0)),"")</f>
        <v/>
      </c>
    </row>
    <row r="4816">
      <c r="A4816">
        <f>IFERROR(INDEX('Email Cleaner'!$B$2:$B$10001,MATCH(4815,'Email Cleaner'!$K$2:$K$10001,0)),"")</f>
        <v/>
      </c>
    </row>
    <row r="4817">
      <c r="A4817">
        <f>IFERROR(INDEX('Email Cleaner'!$B$2:$B$10001,MATCH(4816,'Email Cleaner'!$K$2:$K$10001,0)),"")</f>
        <v/>
      </c>
    </row>
    <row r="4818">
      <c r="A4818">
        <f>IFERROR(INDEX('Email Cleaner'!$B$2:$B$10001,MATCH(4817,'Email Cleaner'!$K$2:$K$10001,0)),"")</f>
        <v/>
      </c>
    </row>
    <row r="4819">
      <c r="A4819">
        <f>IFERROR(INDEX('Email Cleaner'!$B$2:$B$10001,MATCH(4818,'Email Cleaner'!$K$2:$K$10001,0)),"")</f>
        <v/>
      </c>
    </row>
    <row r="4820">
      <c r="A4820">
        <f>IFERROR(INDEX('Email Cleaner'!$B$2:$B$10001,MATCH(4819,'Email Cleaner'!$K$2:$K$10001,0)),"")</f>
        <v/>
      </c>
    </row>
    <row r="4821">
      <c r="A4821">
        <f>IFERROR(INDEX('Email Cleaner'!$B$2:$B$10001,MATCH(4820,'Email Cleaner'!$K$2:$K$10001,0)),"")</f>
        <v/>
      </c>
    </row>
    <row r="4822">
      <c r="A4822">
        <f>IFERROR(INDEX('Email Cleaner'!$B$2:$B$10001,MATCH(4821,'Email Cleaner'!$K$2:$K$10001,0)),"")</f>
        <v/>
      </c>
    </row>
    <row r="4823">
      <c r="A4823">
        <f>IFERROR(INDEX('Email Cleaner'!$B$2:$B$10001,MATCH(4822,'Email Cleaner'!$K$2:$K$10001,0)),"")</f>
        <v/>
      </c>
    </row>
    <row r="4824">
      <c r="A4824">
        <f>IFERROR(INDEX('Email Cleaner'!$B$2:$B$10001,MATCH(4823,'Email Cleaner'!$K$2:$K$10001,0)),"")</f>
        <v/>
      </c>
    </row>
    <row r="4825">
      <c r="A4825">
        <f>IFERROR(INDEX('Email Cleaner'!$B$2:$B$10001,MATCH(4824,'Email Cleaner'!$K$2:$K$10001,0)),"")</f>
        <v/>
      </c>
    </row>
    <row r="4826">
      <c r="A4826">
        <f>IFERROR(INDEX('Email Cleaner'!$B$2:$B$10001,MATCH(4825,'Email Cleaner'!$K$2:$K$10001,0)),"")</f>
        <v/>
      </c>
    </row>
    <row r="4827">
      <c r="A4827">
        <f>IFERROR(INDEX('Email Cleaner'!$B$2:$B$10001,MATCH(4826,'Email Cleaner'!$K$2:$K$10001,0)),"")</f>
        <v/>
      </c>
    </row>
    <row r="4828">
      <c r="A4828">
        <f>IFERROR(INDEX('Email Cleaner'!$B$2:$B$10001,MATCH(4827,'Email Cleaner'!$K$2:$K$10001,0)),"")</f>
        <v/>
      </c>
    </row>
    <row r="4829">
      <c r="A4829">
        <f>IFERROR(INDEX('Email Cleaner'!$B$2:$B$10001,MATCH(4828,'Email Cleaner'!$K$2:$K$10001,0)),"")</f>
        <v/>
      </c>
    </row>
    <row r="4830">
      <c r="A4830">
        <f>IFERROR(INDEX('Email Cleaner'!$B$2:$B$10001,MATCH(4829,'Email Cleaner'!$K$2:$K$10001,0)),"")</f>
        <v/>
      </c>
    </row>
    <row r="4831">
      <c r="A4831">
        <f>IFERROR(INDEX('Email Cleaner'!$B$2:$B$10001,MATCH(4830,'Email Cleaner'!$K$2:$K$10001,0)),"")</f>
        <v/>
      </c>
    </row>
    <row r="4832">
      <c r="A4832">
        <f>IFERROR(INDEX('Email Cleaner'!$B$2:$B$10001,MATCH(4831,'Email Cleaner'!$K$2:$K$10001,0)),"")</f>
        <v/>
      </c>
    </row>
    <row r="4833">
      <c r="A4833">
        <f>IFERROR(INDEX('Email Cleaner'!$B$2:$B$10001,MATCH(4832,'Email Cleaner'!$K$2:$K$10001,0)),"")</f>
        <v/>
      </c>
    </row>
    <row r="4834">
      <c r="A4834">
        <f>IFERROR(INDEX('Email Cleaner'!$B$2:$B$10001,MATCH(4833,'Email Cleaner'!$K$2:$K$10001,0)),"")</f>
        <v/>
      </c>
    </row>
    <row r="4835">
      <c r="A4835">
        <f>IFERROR(INDEX('Email Cleaner'!$B$2:$B$10001,MATCH(4834,'Email Cleaner'!$K$2:$K$10001,0)),"")</f>
        <v/>
      </c>
    </row>
    <row r="4836">
      <c r="A4836">
        <f>IFERROR(INDEX('Email Cleaner'!$B$2:$B$10001,MATCH(4835,'Email Cleaner'!$K$2:$K$10001,0)),"")</f>
        <v/>
      </c>
    </row>
    <row r="4837">
      <c r="A4837">
        <f>IFERROR(INDEX('Email Cleaner'!$B$2:$B$10001,MATCH(4836,'Email Cleaner'!$K$2:$K$10001,0)),"")</f>
        <v/>
      </c>
    </row>
    <row r="4838">
      <c r="A4838">
        <f>IFERROR(INDEX('Email Cleaner'!$B$2:$B$10001,MATCH(4837,'Email Cleaner'!$K$2:$K$10001,0)),"")</f>
        <v/>
      </c>
    </row>
    <row r="4839">
      <c r="A4839">
        <f>IFERROR(INDEX('Email Cleaner'!$B$2:$B$10001,MATCH(4838,'Email Cleaner'!$K$2:$K$10001,0)),"")</f>
        <v/>
      </c>
    </row>
    <row r="4840">
      <c r="A4840">
        <f>IFERROR(INDEX('Email Cleaner'!$B$2:$B$10001,MATCH(4839,'Email Cleaner'!$K$2:$K$10001,0)),"")</f>
        <v/>
      </c>
    </row>
    <row r="4841">
      <c r="A4841">
        <f>IFERROR(INDEX('Email Cleaner'!$B$2:$B$10001,MATCH(4840,'Email Cleaner'!$K$2:$K$10001,0)),"")</f>
        <v/>
      </c>
    </row>
    <row r="4842">
      <c r="A4842">
        <f>IFERROR(INDEX('Email Cleaner'!$B$2:$B$10001,MATCH(4841,'Email Cleaner'!$K$2:$K$10001,0)),"")</f>
        <v/>
      </c>
    </row>
    <row r="4843">
      <c r="A4843">
        <f>IFERROR(INDEX('Email Cleaner'!$B$2:$B$10001,MATCH(4842,'Email Cleaner'!$K$2:$K$10001,0)),"")</f>
        <v/>
      </c>
    </row>
    <row r="4844">
      <c r="A4844">
        <f>IFERROR(INDEX('Email Cleaner'!$B$2:$B$10001,MATCH(4843,'Email Cleaner'!$K$2:$K$10001,0)),"")</f>
        <v/>
      </c>
    </row>
    <row r="4845">
      <c r="A4845">
        <f>IFERROR(INDEX('Email Cleaner'!$B$2:$B$10001,MATCH(4844,'Email Cleaner'!$K$2:$K$10001,0)),"")</f>
        <v/>
      </c>
    </row>
    <row r="4846">
      <c r="A4846">
        <f>IFERROR(INDEX('Email Cleaner'!$B$2:$B$10001,MATCH(4845,'Email Cleaner'!$K$2:$K$10001,0)),"")</f>
        <v/>
      </c>
    </row>
    <row r="4847">
      <c r="A4847">
        <f>IFERROR(INDEX('Email Cleaner'!$B$2:$B$10001,MATCH(4846,'Email Cleaner'!$K$2:$K$10001,0)),"")</f>
        <v/>
      </c>
    </row>
    <row r="4848">
      <c r="A4848">
        <f>IFERROR(INDEX('Email Cleaner'!$B$2:$B$10001,MATCH(4847,'Email Cleaner'!$K$2:$K$10001,0)),"")</f>
        <v/>
      </c>
    </row>
    <row r="4849">
      <c r="A4849">
        <f>IFERROR(INDEX('Email Cleaner'!$B$2:$B$10001,MATCH(4848,'Email Cleaner'!$K$2:$K$10001,0)),"")</f>
        <v/>
      </c>
    </row>
    <row r="4850">
      <c r="A4850">
        <f>IFERROR(INDEX('Email Cleaner'!$B$2:$B$10001,MATCH(4849,'Email Cleaner'!$K$2:$K$10001,0)),"")</f>
        <v/>
      </c>
    </row>
    <row r="4851">
      <c r="A4851">
        <f>IFERROR(INDEX('Email Cleaner'!$B$2:$B$10001,MATCH(4850,'Email Cleaner'!$K$2:$K$10001,0)),"")</f>
        <v/>
      </c>
    </row>
    <row r="4852">
      <c r="A4852">
        <f>IFERROR(INDEX('Email Cleaner'!$B$2:$B$10001,MATCH(4851,'Email Cleaner'!$K$2:$K$10001,0)),"")</f>
        <v/>
      </c>
    </row>
    <row r="4853">
      <c r="A4853">
        <f>IFERROR(INDEX('Email Cleaner'!$B$2:$B$10001,MATCH(4852,'Email Cleaner'!$K$2:$K$10001,0)),"")</f>
        <v/>
      </c>
    </row>
    <row r="4854">
      <c r="A4854">
        <f>IFERROR(INDEX('Email Cleaner'!$B$2:$B$10001,MATCH(4853,'Email Cleaner'!$K$2:$K$10001,0)),"")</f>
        <v/>
      </c>
    </row>
    <row r="4855">
      <c r="A4855">
        <f>IFERROR(INDEX('Email Cleaner'!$B$2:$B$10001,MATCH(4854,'Email Cleaner'!$K$2:$K$10001,0)),"")</f>
        <v/>
      </c>
    </row>
    <row r="4856">
      <c r="A4856">
        <f>IFERROR(INDEX('Email Cleaner'!$B$2:$B$10001,MATCH(4855,'Email Cleaner'!$K$2:$K$10001,0)),"")</f>
        <v/>
      </c>
    </row>
    <row r="4857">
      <c r="A4857">
        <f>IFERROR(INDEX('Email Cleaner'!$B$2:$B$10001,MATCH(4856,'Email Cleaner'!$K$2:$K$10001,0)),"")</f>
        <v/>
      </c>
    </row>
    <row r="4858">
      <c r="A4858">
        <f>IFERROR(INDEX('Email Cleaner'!$B$2:$B$10001,MATCH(4857,'Email Cleaner'!$K$2:$K$10001,0)),"")</f>
        <v/>
      </c>
    </row>
    <row r="4859">
      <c r="A4859">
        <f>IFERROR(INDEX('Email Cleaner'!$B$2:$B$10001,MATCH(4858,'Email Cleaner'!$K$2:$K$10001,0)),"")</f>
        <v/>
      </c>
    </row>
    <row r="4860">
      <c r="A4860">
        <f>IFERROR(INDEX('Email Cleaner'!$B$2:$B$10001,MATCH(4859,'Email Cleaner'!$K$2:$K$10001,0)),"")</f>
        <v/>
      </c>
    </row>
    <row r="4861">
      <c r="A4861">
        <f>IFERROR(INDEX('Email Cleaner'!$B$2:$B$10001,MATCH(4860,'Email Cleaner'!$K$2:$K$10001,0)),"")</f>
        <v/>
      </c>
    </row>
    <row r="4862">
      <c r="A4862">
        <f>IFERROR(INDEX('Email Cleaner'!$B$2:$B$10001,MATCH(4861,'Email Cleaner'!$K$2:$K$10001,0)),"")</f>
        <v/>
      </c>
    </row>
    <row r="4863">
      <c r="A4863">
        <f>IFERROR(INDEX('Email Cleaner'!$B$2:$B$10001,MATCH(4862,'Email Cleaner'!$K$2:$K$10001,0)),"")</f>
        <v/>
      </c>
    </row>
    <row r="4864">
      <c r="A4864">
        <f>IFERROR(INDEX('Email Cleaner'!$B$2:$B$10001,MATCH(4863,'Email Cleaner'!$K$2:$K$10001,0)),"")</f>
        <v/>
      </c>
    </row>
    <row r="4865">
      <c r="A4865">
        <f>IFERROR(INDEX('Email Cleaner'!$B$2:$B$10001,MATCH(4864,'Email Cleaner'!$K$2:$K$10001,0)),"")</f>
        <v/>
      </c>
    </row>
    <row r="4866">
      <c r="A4866">
        <f>IFERROR(INDEX('Email Cleaner'!$B$2:$B$10001,MATCH(4865,'Email Cleaner'!$K$2:$K$10001,0)),"")</f>
        <v/>
      </c>
    </row>
    <row r="4867">
      <c r="A4867">
        <f>IFERROR(INDEX('Email Cleaner'!$B$2:$B$10001,MATCH(4866,'Email Cleaner'!$K$2:$K$10001,0)),"")</f>
        <v/>
      </c>
    </row>
    <row r="4868">
      <c r="A4868">
        <f>IFERROR(INDEX('Email Cleaner'!$B$2:$B$10001,MATCH(4867,'Email Cleaner'!$K$2:$K$10001,0)),"")</f>
        <v/>
      </c>
    </row>
    <row r="4869">
      <c r="A4869">
        <f>IFERROR(INDEX('Email Cleaner'!$B$2:$B$10001,MATCH(4868,'Email Cleaner'!$K$2:$K$10001,0)),"")</f>
        <v/>
      </c>
    </row>
    <row r="4870">
      <c r="A4870">
        <f>IFERROR(INDEX('Email Cleaner'!$B$2:$B$10001,MATCH(4869,'Email Cleaner'!$K$2:$K$10001,0)),"")</f>
        <v/>
      </c>
    </row>
    <row r="4871">
      <c r="A4871">
        <f>IFERROR(INDEX('Email Cleaner'!$B$2:$B$10001,MATCH(4870,'Email Cleaner'!$K$2:$K$10001,0)),"")</f>
        <v/>
      </c>
    </row>
    <row r="4872">
      <c r="A4872">
        <f>IFERROR(INDEX('Email Cleaner'!$B$2:$B$10001,MATCH(4871,'Email Cleaner'!$K$2:$K$10001,0)),"")</f>
        <v/>
      </c>
    </row>
    <row r="4873">
      <c r="A4873">
        <f>IFERROR(INDEX('Email Cleaner'!$B$2:$B$10001,MATCH(4872,'Email Cleaner'!$K$2:$K$10001,0)),"")</f>
        <v/>
      </c>
    </row>
    <row r="4874">
      <c r="A4874">
        <f>IFERROR(INDEX('Email Cleaner'!$B$2:$B$10001,MATCH(4873,'Email Cleaner'!$K$2:$K$10001,0)),"")</f>
        <v/>
      </c>
    </row>
    <row r="4875">
      <c r="A4875">
        <f>IFERROR(INDEX('Email Cleaner'!$B$2:$B$10001,MATCH(4874,'Email Cleaner'!$K$2:$K$10001,0)),"")</f>
        <v/>
      </c>
    </row>
    <row r="4876">
      <c r="A4876">
        <f>IFERROR(INDEX('Email Cleaner'!$B$2:$B$10001,MATCH(4875,'Email Cleaner'!$K$2:$K$10001,0)),"")</f>
        <v/>
      </c>
    </row>
    <row r="4877">
      <c r="A4877">
        <f>IFERROR(INDEX('Email Cleaner'!$B$2:$B$10001,MATCH(4876,'Email Cleaner'!$K$2:$K$10001,0)),"")</f>
        <v/>
      </c>
    </row>
    <row r="4878">
      <c r="A4878">
        <f>IFERROR(INDEX('Email Cleaner'!$B$2:$B$10001,MATCH(4877,'Email Cleaner'!$K$2:$K$10001,0)),"")</f>
        <v/>
      </c>
    </row>
    <row r="4879">
      <c r="A4879">
        <f>IFERROR(INDEX('Email Cleaner'!$B$2:$B$10001,MATCH(4878,'Email Cleaner'!$K$2:$K$10001,0)),"")</f>
        <v/>
      </c>
    </row>
    <row r="4880">
      <c r="A4880">
        <f>IFERROR(INDEX('Email Cleaner'!$B$2:$B$10001,MATCH(4879,'Email Cleaner'!$K$2:$K$10001,0)),"")</f>
        <v/>
      </c>
    </row>
    <row r="4881">
      <c r="A4881">
        <f>IFERROR(INDEX('Email Cleaner'!$B$2:$B$10001,MATCH(4880,'Email Cleaner'!$K$2:$K$10001,0)),"")</f>
        <v/>
      </c>
    </row>
    <row r="4882">
      <c r="A4882">
        <f>IFERROR(INDEX('Email Cleaner'!$B$2:$B$10001,MATCH(4881,'Email Cleaner'!$K$2:$K$10001,0)),"")</f>
        <v/>
      </c>
    </row>
    <row r="4883">
      <c r="A4883">
        <f>IFERROR(INDEX('Email Cleaner'!$B$2:$B$10001,MATCH(4882,'Email Cleaner'!$K$2:$K$10001,0)),"")</f>
        <v/>
      </c>
    </row>
    <row r="4884">
      <c r="A4884">
        <f>IFERROR(INDEX('Email Cleaner'!$B$2:$B$10001,MATCH(4883,'Email Cleaner'!$K$2:$K$10001,0)),"")</f>
        <v/>
      </c>
    </row>
    <row r="4885">
      <c r="A4885">
        <f>IFERROR(INDEX('Email Cleaner'!$B$2:$B$10001,MATCH(4884,'Email Cleaner'!$K$2:$K$10001,0)),"")</f>
        <v/>
      </c>
    </row>
    <row r="4886">
      <c r="A4886">
        <f>IFERROR(INDEX('Email Cleaner'!$B$2:$B$10001,MATCH(4885,'Email Cleaner'!$K$2:$K$10001,0)),"")</f>
        <v/>
      </c>
    </row>
    <row r="4887">
      <c r="A4887">
        <f>IFERROR(INDEX('Email Cleaner'!$B$2:$B$10001,MATCH(4886,'Email Cleaner'!$K$2:$K$10001,0)),"")</f>
        <v/>
      </c>
    </row>
    <row r="4888">
      <c r="A4888">
        <f>IFERROR(INDEX('Email Cleaner'!$B$2:$B$10001,MATCH(4887,'Email Cleaner'!$K$2:$K$10001,0)),"")</f>
        <v/>
      </c>
    </row>
    <row r="4889">
      <c r="A4889">
        <f>IFERROR(INDEX('Email Cleaner'!$B$2:$B$10001,MATCH(4888,'Email Cleaner'!$K$2:$K$10001,0)),"")</f>
        <v/>
      </c>
    </row>
    <row r="4890">
      <c r="A4890">
        <f>IFERROR(INDEX('Email Cleaner'!$B$2:$B$10001,MATCH(4889,'Email Cleaner'!$K$2:$K$10001,0)),"")</f>
        <v/>
      </c>
    </row>
    <row r="4891">
      <c r="A4891">
        <f>IFERROR(INDEX('Email Cleaner'!$B$2:$B$10001,MATCH(4890,'Email Cleaner'!$K$2:$K$10001,0)),"")</f>
        <v/>
      </c>
    </row>
    <row r="4892">
      <c r="A4892">
        <f>IFERROR(INDEX('Email Cleaner'!$B$2:$B$10001,MATCH(4891,'Email Cleaner'!$K$2:$K$10001,0)),"")</f>
        <v/>
      </c>
    </row>
    <row r="4893">
      <c r="A4893">
        <f>IFERROR(INDEX('Email Cleaner'!$B$2:$B$10001,MATCH(4892,'Email Cleaner'!$K$2:$K$10001,0)),"")</f>
        <v/>
      </c>
    </row>
    <row r="4894">
      <c r="A4894">
        <f>IFERROR(INDEX('Email Cleaner'!$B$2:$B$10001,MATCH(4893,'Email Cleaner'!$K$2:$K$10001,0)),"")</f>
        <v/>
      </c>
    </row>
    <row r="4895">
      <c r="A4895">
        <f>IFERROR(INDEX('Email Cleaner'!$B$2:$B$10001,MATCH(4894,'Email Cleaner'!$K$2:$K$10001,0)),"")</f>
        <v/>
      </c>
    </row>
    <row r="4896">
      <c r="A4896">
        <f>IFERROR(INDEX('Email Cleaner'!$B$2:$B$10001,MATCH(4895,'Email Cleaner'!$K$2:$K$10001,0)),"")</f>
        <v/>
      </c>
    </row>
    <row r="4897">
      <c r="A4897">
        <f>IFERROR(INDEX('Email Cleaner'!$B$2:$B$10001,MATCH(4896,'Email Cleaner'!$K$2:$K$10001,0)),"")</f>
        <v/>
      </c>
    </row>
    <row r="4898">
      <c r="A4898">
        <f>IFERROR(INDEX('Email Cleaner'!$B$2:$B$10001,MATCH(4897,'Email Cleaner'!$K$2:$K$10001,0)),"")</f>
        <v/>
      </c>
    </row>
    <row r="4899">
      <c r="A4899">
        <f>IFERROR(INDEX('Email Cleaner'!$B$2:$B$10001,MATCH(4898,'Email Cleaner'!$K$2:$K$10001,0)),"")</f>
        <v/>
      </c>
    </row>
    <row r="4900">
      <c r="A4900">
        <f>IFERROR(INDEX('Email Cleaner'!$B$2:$B$10001,MATCH(4899,'Email Cleaner'!$K$2:$K$10001,0)),"")</f>
        <v/>
      </c>
    </row>
    <row r="4901">
      <c r="A4901">
        <f>IFERROR(INDEX('Email Cleaner'!$B$2:$B$10001,MATCH(4900,'Email Cleaner'!$K$2:$K$10001,0)),"")</f>
        <v/>
      </c>
    </row>
    <row r="4902">
      <c r="A4902">
        <f>IFERROR(INDEX('Email Cleaner'!$B$2:$B$10001,MATCH(4901,'Email Cleaner'!$K$2:$K$10001,0)),"")</f>
        <v/>
      </c>
    </row>
    <row r="4903">
      <c r="A4903">
        <f>IFERROR(INDEX('Email Cleaner'!$B$2:$B$10001,MATCH(4902,'Email Cleaner'!$K$2:$K$10001,0)),"")</f>
        <v/>
      </c>
    </row>
    <row r="4904">
      <c r="A4904">
        <f>IFERROR(INDEX('Email Cleaner'!$B$2:$B$10001,MATCH(4903,'Email Cleaner'!$K$2:$K$10001,0)),"")</f>
        <v/>
      </c>
    </row>
    <row r="4905">
      <c r="A4905">
        <f>IFERROR(INDEX('Email Cleaner'!$B$2:$B$10001,MATCH(4904,'Email Cleaner'!$K$2:$K$10001,0)),"")</f>
        <v/>
      </c>
    </row>
    <row r="4906">
      <c r="A4906">
        <f>IFERROR(INDEX('Email Cleaner'!$B$2:$B$10001,MATCH(4905,'Email Cleaner'!$K$2:$K$10001,0)),"")</f>
        <v/>
      </c>
    </row>
    <row r="4907">
      <c r="A4907">
        <f>IFERROR(INDEX('Email Cleaner'!$B$2:$B$10001,MATCH(4906,'Email Cleaner'!$K$2:$K$10001,0)),"")</f>
        <v/>
      </c>
    </row>
    <row r="4908">
      <c r="A4908">
        <f>IFERROR(INDEX('Email Cleaner'!$B$2:$B$10001,MATCH(4907,'Email Cleaner'!$K$2:$K$10001,0)),"")</f>
        <v/>
      </c>
    </row>
    <row r="4909">
      <c r="A4909">
        <f>IFERROR(INDEX('Email Cleaner'!$B$2:$B$10001,MATCH(4908,'Email Cleaner'!$K$2:$K$10001,0)),"")</f>
        <v/>
      </c>
    </row>
    <row r="4910">
      <c r="A4910">
        <f>IFERROR(INDEX('Email Cleaner'!$B$2:$B$10001,MATCH(4909,'Email Cleaner'!$K$2:$K$10001,0)),"")</f>
        <v/>
      </c>
    </row>
    <row r="4911">
      <c r="A4911">
        <f>IFERROR(INDEX('Email Cleaner'!$B$2:$B$10001,MATCH(4910,'Email Cleaner'!$K$2:$K$10001,0)),"")</f>
        <v/>
      </c>
    </row>
    <row r="4912">
      <c r="A4912">
        <f>IFERROR(INDEX('Email Cleaner'!$B$2:$B$10001,MATCH(4911,'Email Cleaner'!$K$2:$K$10001,0)),"")</f>
        <v/>
      </c>
    </row>
    <row r="4913">
      <c r="A4913">
        <f>IFERROR(INDEX('Email Cleaner'!$B$2:$B$10001,MATCH(4912,'Email Cleaner'!$K$2:$K$10001,0)),"")</f>
        <v/>
      </c>
    </row>
    <row r="4914">
      <c r="A4914">
        <f>IFERROR(INDEX('Email Cleaner'!$B$2:$B$10001,MATCH(4913,'Email Cleaner'!$K$2:$K$10001,0)),"")</f>
        <v/>
      </c>
    </row>
    <row r="4915">
      <c r="A4915">
        <f>IFERROR(INDEX('Email Cleaner'!$B$2:$B$10001,MATCH(4914,'Email Cleaner'!$K$2:$K$10001,0)),"")</f>
        <v/>
      </c>
    </row>
    <row r="4916">
      <c r="A4916">
        <f>IFERROR(INDEX('Email Cleaner'!$B$2:$B$10001,MATCH(4915,'Email Cleaner'!$K$2:$K$10001,0)),"")</f>
        <v/>
      </c>
    </row>
    <row r="4917">
      <c r="A4917">
        <f>IFERROR(INDEX('Email Cleaner'!$B$2:$B$10001,MATCH(4916,'Email Cleaner'!$K$2:$K$10001,0)),"")</f>
        <v/>
      </c>
    </row>
    <row r="4918">
      <c r="A4918">
        <f>IFERROR(INDEX('Email Cleaner'!$B$2:$B$10001,MATCH(4917,'Email Cleaner'!$K$2:$K$10001,0)),"")</f>
        <v/>
      </c>
    </row>
    <row r="4919">
      <c r="A4919">
        <f>IFERROR(INDEX('Email Cleaner'!$B$2:$B$10001,MATCH(4918,'Email Cleaner'!$K$2:$K$10001,0)),"")</f>
        <v/>
      </c>
    </row>
    <row r="4920">
      <c r="A4920">
        <f>IFERROR(INDEX('Email Cleaner'!$B$2:$B$10001,MATCH(4919,'Email Cleaner'!$K$2:$K$10001,0)),"")</f>
        <v/>
      </c>
    </row>
    <row r="4921">
      <c r="A4921">
        <f>IFERROR(INDEX('Email Cleaner'!$B$2:$B$10001,MATCH(4920,'Email Cleaner'!$K$2:$K$10001,0)),"")</f>
        <v/>
      </c>
    </row>
    <row r="4922">
      <c r="A4922">
        <f>IFERROR(INDEX('Email Cleaner'!$B$2:$B$10001,MATCH(4921,'Email Cleaner'!$K$2:$K$10001,0)),"")</f>
        <v/>
      </c>
    </row>
    <row r="4923">
      <c r="A4923">
        <f>IFERROR(INDEX('Email Cleaner'!$B$2:$B$10001,MATCH(4922,'Email Cleaner'!$K$2:$K$10001,0)),"")</f>
        <v/>
      </c>
    </row>
    <row r="4924">
      <c r="A4924">
        <f>IFERROR(INDEX('Email Cleaner'!$B$2:$B$10001,MATCH(4923,'Email Cleaner'!$K$2:$K$10001,0)),"")</f>
        <v/>
      </c>
    </row>
    <row r="4925">
      <c r="A4925">
        <f>IFERROR(INDEX('Email Cleaner'!$B$2:$B$10001,MATCH(4924,'Email Cleaner'!$K$2:$K$10001,0)),"")</f>
        <v/>
      </c>
    </row>
    <row r="4926">
      <c r="A4926">
        <f>IFERROR(INDEX('Email Cleaner'!$B$2:$B$10001,MATCH(4925,'Email Cleaner'!$K$2:$K$10001,0)),"")</f>
        <v/>
      </c>
    </row>
    <row r="4927">
      <c r="A4927">
        <f>IFERROR(INDEX('Email Cleaner'!$B$2:$B$10001,MATCH(4926,'Email Cleaner'!$K$2:$K$10001,0)),"")</f>
        <v/>
      </c>
    </row>
    <row r="4928">
      <c r="A4928">
        <f>IFERROR(INDEX('Email Cleaner'!$B$2:$B$10001,MATCH(4927,'Email Cleaner'!$K$2:$K$10001,0)),"")</f>
        <v/>
      </c>
    </row>
    <row r="4929">
      <c r="A4929">
        <f>IFERROR(INDEX('Email Cleaner'!$B$2:$B$10001,MATCH(4928,'Email Cleaner'!$K$2:$K$10001,0)),"")</f>
        <v/>
      </c>
    </row>
    <row r="4930">
      <c r="A4930">
        <f>IFERROR(INDEX('Email Cleaner'!$B$2:$B$10001,MATCH(4929,'Email Cleaner'!$K$2:$K$10001,0)),"")</f>
        <v/>
      </c>
    </row>
    <row r="4931">
      <c r="A4931">
        <f>IFERROR(INDEX('Email Cleaner'!$B$2:$B$10001,MATCH(4930,'Email Cleaner'!$K$2:$K$10001,0)),"")</f>
        <v/>
      </c>
    </row>
    <row r="4932">
      <c r="A4932">
        <f>IFERROR(INDEX('Email Cleaner'!$B$2:$B$10001,MATCH(4931,'Email Cleaner'!$K$2:$K$10001,0)),"")</f>
        <v/>
      </c>
    </row>
    <row r="4933">
      <c r="A4933">
        <f>IFERROR(INDEX('Email Cleaner'!$B$2:$B$10001,MATCH(4932,'Email Cleaner'!$K$2:$K$10001,0)),"")</f>
        <v/>
      </c>
    </row>
    <row r="4934">
      <c r="A4934">
        <f>IFERROR(INDEX('Email Cleaner'!$B$2:$B$10001,MATCH(4933,'Email Cleaner'!$K$2:$K$10001,0)),"")</f>
        <v/>
      </c>
    </row>
    <row r="4935">
      <c r="A4935">
        <f>IFERROR(INDEX('Email Cleaner'!$B$2:$B$10001,MATCH(4934,'Email Cleaner'!$K$2:$K$10001,0)),"")</f>
        <v/>
      </c>
    </row>
    <row r="4936">
      <c r="A4936">
        <f>IFERROR(INDEX('Email Cleaner'!$B$2:$B$10001,MATCH(4935,'Email Cleaner'!$K$2:$K$10001,0)),"")</f>
        <v/>
      </c>
    </row>
    <row r="4937">
      <c r="A4937">
        <f>IFERROR(INDEX('Email Cleaner'!$B$2:$B$10001,MATCH(4936,'Email Cleaner'!$K$2:$K$10001,0)),"")</f>
        <v/>
      </c>
    </row>
    <row r="4938">
      <c r="A4938">
        <f>IFERROR(INDEX('Email Cleaner'!$B$2:$B$10001,MATCH(4937,'Email Cleaner'!$K$2:$K$10001,0)),"")</f>
        <v/>
      </c>
    </row>
    <row r="4939">
      <c r="A4939">
        <f>IFERROR(INDEX('Email Cleaner'!$B$2:$B$10001,MATCH(4938,'Email Cleaner'!$K$2:$K$10001,0)),"")</f>
        <v/>
      </c>
    </row>
    <row r="4940">
      <c r="A4940">
        <f>IFERROR(INDEX('Email Cleaner'!$B$2:$B$10001,MATCH(4939,'Email Cleaner'!$K$2:$K$10001,0)),"")</f>
        <v/>
      </c>
    </row>
    <row r="4941">
      <c r="A4941">
        <f>IFERROR(INDEX('Email Cleaner'!$B$2:$B$10001,MATCH(4940,'Email Cleaner'!$K$2:$K$10001,0)),"")</f>
        <v/>
      </c>
    </row>
    <row r="4942">
      <c r="A4942">
        <f>IFERROR(INDEX('Email Cleaner'!$B$2:$B$10001,MATCH(4941,'Email Cleaner'!$K$2:$K$10001,0)),"")</f>
        <v/>
      </c>
    </row>
    <row r="4943">
      <c r="A4943">
        <f>IFERROR(INDEX('Email Cleaner'!$B$2:$B$10001,MATCH(4942,'Email Cleaner'!$K$2:$K$10001,0)),"")</f>
        <v/>
      </c>
    </row>
    <row r="4944">
      <c r="A4944">
        <f>IFERROR(INDEX('Email Cleaner'!$B$2:$B$10001,MATCH(4943,'Email Cleaner'!$K$2:$K$10001,0)),"")</f>
        <v/>
      </c>
    </row>
    <row r="4945">
      <c r="A4945">
        <f>IFERROR(INDEX('Email Cleaner'!$B$2:$B$10001,MATCH(4944,'Email Cleaner'!$K$2:$K$10001,0)),"")</f>
        <v/>
      </c>
    </row>
    <row r="4946">
      <c r="A4946">
        <f>IFERROR(INDEX('Email Cleaner'!$B$2:$B$10001,MATCH(4945,'Email Cleaner'!$K$2:$K$10001,0)),"")</f>
        <v/>
      </c>
    </row>
    <row r="4947">
      <c r="A4947">
        <f>IFERROR(INDEX('Email Cleaner'!$B$2:$B$10001,MATCH(4946,'Email Cleaner'!$K$2:$K$10001,0)),"")</f>
        <v/>
      </c>
    </row>
    <row r="4948">
      <c r="A4948">
        <f>IFERROR(INDEX('Email Cleaner'!$B$2:$B$10001,MATCH(4947,'Email Cleaner'!$K$2:$K$10001,0)),"")</f>
        <v/>
      </c>
    </row>
    <row r="4949">
      <c r="A4949">
        <f>IFERROR(INDEX('Email Cleaner'!$B$2:$B$10001,MATCH(4948,'Email Cleaner'!$K$2:$K$10001,0)),"")</f>
        <v/>
      </c>
    </row>
    <row r="4950">
      <c r="A4950">
        <f>IFERROR(INDEX('Email Cleaner'!$B$2:$B$10001,MATCH(4949,'Email Cleaner'!$K$2:$K$10001,0)),"")</f>
        <v/>
      </c>
    </row>
    <row r="4951">
      <c r="A4951">
        <f>IFERROR(INDEX('Email Cleaner'!$B$2:$B$10001,MATCH(4950,'Email Cleaner'!$K$2:$K$10001,0)),"")</f>
        <v/>
      </c>
    </row>
    <row r="4952">
      <c r="A4952">
        <f>IFERROR(INDEX('Email Cleaner'!$B$2:$B$10001,MATCH(4951,'Email Cleaner'!$K$2:$K$10001,0)),"")</f>
        <v/>
      </c>
    </row>
    <row r="4953">
      <c r="A4953">
        <f>IFERROR(INDEX('Email Cleaner'!$B$2:$B$10001,MATCH(4952,'Email Cleaner'!$K$2:$K$10001,0)),"")</f>
        <v/>
      </c>
    </row>
    <row r="4954">
      <c r="A4954">
        <f>IFERROR(INDEX('Email Cleaner'!$B$2:$B$10001,MATCH(4953,'Email Cleaner'!$K$2:$K$10001,0)),"")</f>
        <v/>
      </c>
    </row>
    <row r="4955">
      <c r="A4955">
        <f>IFERROR(INDEX('Email Cleaner'!$B$2:$B$10001,MATCH(4954,'Email Cleaner'!$K$2:$K$10001,0)),"")</f>
        <v/>
      </c>
    </row>
    <row r="4956">
      <c r="A4956">
        <f>IFERROR(INDEX('Email Cleaner'!$B$2:$B$10001,MATCH(4955,'Email Cleaner'!$K$2:$K$10001,0)),"")</f>
        <v/>
      </c>
    </row>
    <row r="4957">
      <c r="A4957">
        <f>IFERROR(INDEX('Email Cleaner'!$B$2:$B$10001,MATCH(4956,'Email Cleaner'!$K$2:$K$10001,0)),"")</f>
        <v/>
      </c>
    </row>
    <row r="4958">
      <c r="A4958">
        <f>IFERROR(INDEX('Email Cleaner'!$B$2:$B$10001,MATCH(4957,'Email Cleaner'!$K$2:$K$10001,0)),"")</f>
        <v/>
      </c>
    </row>
    <row r="4959">
      <c r="A4959">
        <f>IFERROR(INDEX('Email Cleaner'!$B$2:$B$10001,MATCH(4958,'Email Cleaner'!$K$2:$K$10001,0)),"")</f>
        <v/>
      </c>
    </row>
    <row r="4960">
      <c r="A4960">
        <f>IFERROR(INDEX('Email Cleaner'!$B$2:$B$10001,MATCH(4959,'Email Cleaner'!$K$2:$K$10001,0)),"")</f>
        <v/>
      </c>
    </row>
    <row r="4961">
      <c r="A4961">
        <f>IFERROR(INDEX('Email Cleaner'!$B$2:$B$10001,MATCH(4960,'Email Cleaner'!$K$2:$K$10001,0)),"")</f>
        <v/>
      </c>
    </row>
    <row r="4962">
      <c r="A4962">
        <f>IFERROR(INDEX('Email Cleaner'!$B$2:$B$10001,MATCH(4961,'Email Cleaner'!$K$2:$K$10001,0)),"")</f>
        <v/>
      </c>
    </row>
    <row r="4963">
      <c r="A4963">
        <f>IFERROR(INDEX('Email Cleaner'!$B$2:$B$10001,MATCH(4962,'Email Cleaner'!$K$2:$K$10001,0)),"")</f>
        <v/>
      </c>
    </row>
    <row r="4964">
      <c r="A4964">
        <f>IFERROR(INDEX('Email Cleaner'!$B$2:$B$10001,MATCH(4963,'Email Cleaner'!$K$2:$K$10001,0)),"")</f>
        <v/>
      </c>
    </row>
    <row r="4965">
      <c r="A4965">
        <f>IFERROR(INDEX('Email Cleaner'!$B$2:$B$10001,MATCH(4964,'Email Cleaner'!$K$2:$K$10001,0)),"")</f>
        <v/>
      </c>
    </row>
    <row r="4966">
      <c r="A4966">
        <f>IFERROR(INDEX('Email Cleaner'!$B$2:$B$10001,MATCH(4965,'Email Cleaner'!$K$2:$K$10001,0)),"")</f>
        <v/>
      </c>
    </row>
    <row r="4967">
      <c r="A4967">
        <f>IFERROR(INDEX('Email Cleaner'!$B$2:$B$10001,MATCH(4966,'Email Cleaner'!$K$2:$K$10001,0)),"")</f>
        <v/>
      </c>
    </row>
    <row r="4968">
      <c r="A4968">
        <f>IFERROR(INDEX('Email Cleaner'!$B$2:$B$10001,MATCH(4967,'Email Cleaner'!$K$2:$K$10001,0)),"")</f>
        <v/>
      </c>
    </row>
    <row r="4969">
      <c r="A4969">
        <f>IFERROR(INDEX('Email Cleaner'!$B$2:$B$10001,MATCH(4968,'Email Cleaner'!$K$2:$K$10001,0)),"")</f>
        <v/>
      </c>
    </row>
    <row r="4970">
      <c r="A4970">
        <f>IFERROR(INDEX('Email Cleaner'!$B$2:$B$10001,MATCH(4969,'Email Cleaner'!$K$2:$K$10001,0)),"")</f>
        <v/>
      </c>
    </row>
    <row r="4971">
      <c r="A4971">
        <f>IFERROR(INDEX('Email Cleaner'!$B$2:$B$10001,MATCH(4970,'Email Cleaner'!$K$2:$K$10001,0)),"")</f>
        <v/>
      </c>
    </row>
    <row r="4972">
      <c r="A4972">
        <f>IFERROR(INDEX('Email Cleaner'!$B$2:$B$10001,MATCH(4971,'Email Cleaner'!$K$2:$K$10001,0)),"")</f>
        <v/>
      </c>
    </row>
    <row r="4973">
      <c r="A4973">
        <f>IFERROR(INDEX('Email Cleaner'!$B$2:$B$10001,MATCH(4972,'Email Cleaner'!$K$2:$K$10001,0)),"")</f>
        <v/>
      </c>
    </row>
    <row r="4974">
      <c r="A4974">
        <f>IFERROR(INDEX('Email Cleaner'!$B$2:$B$10001,MATCH(4973,'Email Cleaner'!$K$2:$K$10001,0)),"")</f>
        <v/>
      </c>
    </row>
    <row r="4975">
      <c r="A4975">
        <f>IFERROR(INDEX('Email Cleaner'!$B$2:$B$10001,MATCH(4974,'Email Cleaner'!$K$2:$K$10001,0)),"")</f>
        <v/>
      </c>
    </row>
    <row r="4976">
      <c r="A4976">
        <f>IFERROR(INDEX('Email Cleaner'!$B$2:$B$10001,MATCH(4975,'Email Cleaner'!$K$2:$K$10001,0)),"")</f>
        <v/>
      </c>
    </row>
    <row r="4977">
      <c r="A4977">
        <f>IFERROR(INDEX('Email Cleaner'!$B$2:$B$10001,MATCH(4976,'Email Cleaner'!$K$2:$K$10001,0)),"")</f>
        <v/>
      </c>
    </row>
    <row r="4978">
      <c r="A4978">
        <f>IFERROR(INDEX('Email Cleaner'!$B$2:$B$10001,MATCH(4977,'Email Cleaner'!$K$2:$K$10001,0)),"")</f>
        <v/>
      </c>
    </row>
    <row r="4979">
      <c r="A4979">
        <f>IFERROR(INDEX('Email Cleaner'!$B$2:$B$10001,MATCH(4978,'Email Cleaner'!$K$2:$K$10001,0)),"")</f>
        <v/>
      </c>
    </row>
    <row r="4980">
      <c r="A4980">
        <f>IFERROR(INDEX('Email Cleaner'!$B$2:$B$10001,MATCH(4979,'Email Cleaner'!$K$2:$K$10001,0)),"")</f>
        <v/>
      </c>
    </row>
    <row r="4981">
      <c r="A4981">
        <f>IFERROR(INDEX('Email Cleaner'!$B$2:$B$10001,MATCH(4980,'Email Cleaner'!$K$2:$K$10001,0)),"")</f>
        <v/>
      </c>
    </row>
    <row r="4982">
      <c r="A4982">
        <f>IFERROR(INDEX('Email Cleaner'!$B$2:$B$10001,MATCH(4981,'Email Cleaner'!$K$2:$K$10001,0)),"")</f>
        <v/>
      </c>
    </row>
    <row r="4983">
      <c r="A4983">
        <f>IFERROR(INDEX('Email Cleaner'!$B$2:$B$10001,MATCH(4982,'Email Cleaner'!$K$2:$K$10001,0)),"")</f>
        <v/>
      </c>
    </row>
    <row r="4984">
      <c r="A4984">
        <f>IFERROR(INDEX('Email Cleaner'!$B$2:$B$10001,MATCH(4983,'Email Cleaner'!$K$2:$K$10001,0)),"")</f>
        <v/>
      </c>
    </row>
    <row r="4985">
      <c r="A4985">
        <f>IFERROR(INDEX('Email Cleaner'!$B$2:$B$10001,MATCH(4984,'Email Cleaner'!$K$2:$K$10001,0)),"")</f>
        <v/>
      </c>
    </row>
    <row r="4986">
      <c r="A4986">
        <f>IFERROR(INDEX('Email Cleaner'!$B$2:$B$10001,MATCH(4985,'Email Cleaner'!$K$2:$K$10001,0)),"")</f>
        <v/>
      </c>
    </row>
    <row r="4987">
      <c r="A4987">
        <f>IFERROR(INDEX('Email Cleaner'!$B$2:$B$10001,MATCH(4986,'Email Cleaner'!$K$2:$K$10001,0)),"")</f>
        <v/>
      </c>
    </row>
    <row r="4988">
      <c r="A4988">
        <f>IFERROR(INDEX('Email Cleaner'!$B$2:$B$10001,MATCH(4987,'Email Cleaner'!$K$2:$K$10001,0)),"")</f>
        <v/>
      </c>
    </row>
    <row r="4989">
      <c r="A4989">
        <f>IFERROR(INDEX('Email Cleaner'!$B$2:$B$10001,MATCH(4988,'Email Cleaner'!$K$2:$K$10001,0)),"")</f>
        <v/>
      </c>
    </row>
    <row r="4990">
      <c r="A4990">
        <f>IFERROR(INDEX('Email Cleaner'!$B$2:$B$10001,MATCH(4989,'Email Cleaner'!$K$2:$K$10001,0)),"")</f>
        <v/>
      </c>
    </row>
    <row r="4991">
      <c r="A4991">
        <f>IFERROR(INDEX('Email Cleaner'!$B$2:$B$10001,MATCH(4990,'Email Cleaner'!$K$2:$K$10001,0)),"")</f>
        <v/>
      </c>
    </row>
    <row r="4992">
      <c r="A4992">
        <f>IFERROR(INDEX('Email Cleaner'!$B$2:$B$10001,MATCH(4991,'Email Cleaner'!$K$2:$K$10001,0)),"")</f>
        <v/>
      </c>
    </row>
    <row r="4993">
      <c r="A4993">
        <f>IFERROR(INDEX('Email Cleaner'!$B$2:$B$10001,MATCH(4992,'Email Cleaner'!$K$2:$K$10001,0)),"")</f>
        <v/>
      </c>
    </row>
    <row r="4994">
      <c r="A4994">
        <f>IFERROR(INDEX('Email Cleaner'!$B$2:$B$10001,MATCH(4993,'Email Cleaner'!$K$2:$K$10001,0)),"")</f>
        <v/>
      </c>
    </row>
    <row r="4995">
      <c r="A4995">
        <f>IFERROR(INDEX('Email Cleaner'!$B$2:$B$10001,MATCH(4994,'Email Cleaner'!$K$2:$K$10001,0)),"")</f>
        <v/>
      </c>
    </row>
    <row r="4996">
      <c r="A4996">
        <f>IFERROR(INDEX('Email Cleaner'!$B$2:$B$10001,MATCH(4995,'Email Cleaner'!$K$2:$K$10001,0)),"")</f>
        <v/>
      </c>
    </row>
    <row r="4997">
      <c r="A4997">
        <f>IFERROR(INDEX('Email Cleaner'!$B$2:$B$10001,MATCH(4996,'Email Cleaner'!$K$2:$K$10001,0)),"")</f>
        <v/>
      </c>
    </row>
    <row r="4998">
      <c r="A4998">
        <f>IFERROR(INDEX('Email Cleaner'!$B$2:$B$10001,MATCH(4997,'Email Cleaner'!$K$2:$K$10001,0)),"")</f>
        <v/>
      </c>
    </row>
    <row r="4999">
      <c r="A4999">
        <f>IFERROR(INDEX('Email Cleaner'!$B$2:$B$10001,MATCH(4998,'Email Cleaner'!$K$2:$K$10001,0)),"")</f>
        <v/>
      </c>
    </row>
    <row r="5000">
      <c r="A5000">
        <f>IFERROR(INDEX('Email Cleaner'!$B$2:$B$10001,MATCH(4999,'Email Cleaner'!$K$2:$K$10001,0)),"")</f>
        <v/>
      </c>
    </row>
    <row r="5001">
      <c r="A5001">
        <f>IFERROR(INDEX('Email Cleaner'!$B$2:$B$10001,MATCH(5000,'Email Cleaner'!$K$2:$K$10001,0)),"")</f>
        <v/>
      </c>
    </row>
    <row r="5002">
      <c r="A5002">
        <f>IFERROR(INDEX('Email Cleaner'!$B$2:$B$10001,MATCH(5001,'Email Cleaner'!$K$2:$K$10001,0)),"")</f>
        <v/>
      </c>
    </row>
    <row r="5003">
      <c r="A5003">
        <f>IFERROR(INDEX('Email Cleaner'!$B$2:$B$10001,MATCH(5002,'Email Cleaner'!$K$2:$K$10001,0)),"")</f>
        <v/>
      </c>
    </row>
    <row r="5004">
      <c r="A5004">
        <f>IFERROR(INDEX('Email Cleaner'!$B$2:$B$10001,MATCH(5003,'Email Cleaner'!$K$2:$K$10001,0)),"")</f>
        <v/>
      </c>
    </row>
    <row r="5005">
      <c r="A5005">
        <f>IFERROR(INDEX('Email Cleaner'!$B$2:$B$10001,MATCH(5004,'Email Cleaner'!$K$2:$K$10001,0)),"")</f>
        <v/>
      </c>
    </row>
    <row r="5006">
      <c r="A5006">
        <f>IFERROR(INDEX('Email Cleaner'!$B$2:$B$10001,MATCH(5005,'Email Cleaner'!$K$2:$K$10001,0)),"")</f>
        <v/>
      </c>
    </row>
    <row r="5007">
      <c r="A5007">
        <f>IFERROR(INDEX('Email Cleaner'!$B$2:$B$10001,MATCH(5006,'Email Cleaner'!$K$2:$K$10001,0)),"")</f>
        <v/>
      </c>
    </row>
    <row r="5008">
      <c r="A5008">
        <f>IFERROR(INDEX('Email Cleaner'!$B$2:$B$10001,MATCH(5007,'Email Cleaner'!$K$2:$K$10001,0)),"")</f>
        <v/>
      </c>
    </row>
    <row r="5009">
      <c r="A5009">
        <f>IFERROR(INDEX('Email Cleaner'!$B$2:$B$10001,MATCH(5008,'Email Cleaner'!$K$2:$K$10001,0)),"")</f>
        <v/>
      </c>
    </row>
    <row r="5010">
      <c r="A5010">
        <f>IFERROR(INDEX('Email Cleaner'!$B$2:$B$10001,MATCH(5009,'Email Cleaner'!$K$2:$K$10001,0)),"")</f>
        <v/>
      </c>
    </row>
    <row r="5011">
      <c r="A5011">
        <f>IFERROR(INDEX('Email Cleaner'!$B$2:$B$10001,MATCH(5010,'Email Cleaner'!$K$2:$K$10001,0)),"")</f>
        <v/>
      </c>
    </row>
    <row r="5012">
      <c r="A5012">
        <f>IFERROR(INDEX('Email Cleaner'!$B$2:$B$10001,MATCH(5011,'Email Cleaner'!$K$2:$K$10001,0)),"")</f>
        <v/>
      </c>
    </row>
    <row r="5013">
      <c r="A5013">
        <f>IFERROR(INDEX('Email Cleaner'!$B$2:$B$10001,MATCH(5012,'Email Cleaner'!$K$2:$K$10001,0)),"")</f>
        <v/>
      </c>
    </row>
    <row r="5014">
      <c r="A5014">
        <f>IFERROR(INDEX('Email Cleaner'!$B$2:$B$10001,MATCH(5013,'Email Cleaner'!$K$2:$K$10001,0)),"")</f>
        <v/>
      </c>
    </row>
    <row r="5015">
      <c r="A5015">
        <f>IFERROR(INDEX('Email Cleaner'!$B$2:$B$10001,MATCH(5014,'Email Cleaner'!$K$2:$K$10001,0)),"")</f>
        <v/>
      </c>
    </row>
    <row r="5016">
      <c r="A5016">
        <f>IFERROR(INDEX('Email Cleaner'!$B$2:$B$10001,MATCH(5015,'Email Cleaner'!$K$2:$K$10001,0)),"")</f>
        <v/>
      </c>
    </row>
    <row r="5017">
      <c r="A5017">
        <f>IFERROR(INDEX('Email Cleaner'!$B$2:$B$10001,MATCH(5016,'Email Cleaner'!$K$2:$K$10001,0)),"")</f>
        <v/>
      </c>
    </row>
    <row r="5018">
      <c r="A5018">
        <f>IFERROR(INDEX('Email Cleaner'!$B$2:$B$10001,MATCH(5017,'Email Cleaner'!$K$2:$K$10001,0)),"")</f>
        <v/>
      </c>
    </row>
    <row r="5019">
      <c r="A5019">
        <f>IFERROR(INDEX('Email Cleaner'!$B$2:$B$10001,MATCH(5018,'Email Cleaner'!$K$2:$K$10001,0)),"")</f>
        <v/>
      </c>
    </row>
    <row r="5020">
      <c r="A5020">
        <f>IFERROR(INDEX('Email Cleaner'!$B$2:$B$10001,MATCH(5019,'Email Cleaner'!$K$2:$K$10001,0)),"")</f>
        <v/>
      </c>
    </row>
    <row r="5021">
      <c r="A5021">
        <f>IFERROR(INDEX('Email Cleaner'!$B$2:$B$10001,MATCH(5020,'Email Cleaner'!$K$2:$K$10001,0)),"")</f>
        <v/>
      </c>
    </row>
    <row r="5022">
      <c r="A5022">
        <f>IFERROR(INDEX('Email Cleaner'!$B$2:$B$10001,MATCH(5021,'Email Cleaner'!$K$2:$K$10001,0)),"")</f>
        <v/>
      </c>
    </row>
    <row r="5023">
      <c r="A5023">
        <f>IFERROR(INDEX('Email Cleaner'!$B$2:$B$10001,MATCH(5022,'Email Cleaner'!$K$2:$K$10001,0)),"")</f>
        <v/>
      </c>
    </row>
    <row r="5024">
      <c r="A5024">
        <f>IFERROR(INDEX('Email Cleaner'!$B$2:$B$10001,MATCH(5023,'Email Cleaner'!$K$2:$K$10001,0)),"")</f>
        <v/>
      </c>
    </row>
    <row r="5025">
      <c r="A5025">
        <f>IFERROR(INDEX('Email Cleaner'!$B$2:$B$10001,MATCH(5024,'Email Cleaner'!$K$2:$K$10001,0)),"")</f>
        <v/>
      </c>
    </row>
    <row r="5026">
      <c r="A5026">
        <f>IFERROR(INDEX('Email Cleaner'!$B$2:$B$10001,MATCH(5025,'Email Cleaner'!$K$2:$K$10001,0)),"")</f>
        <v/>
      </c>
    </row>
    <row r="5027">
      <c r="A5027">
        <f>IFERROR(INDEX('Email Cleaner'!$B$2:$B$10001,MATCH(5026,'Email Cleaner'!$K$2:$K$10001,0)),"")</f>
        <v/>
      </c>
    </row>
    <row r="5028">
      <c r="A5028">
        <f>IFERROR(INDEX('Email Cleaner'!$B$2:$B$10001,MATCH(5027,'Email Cleaner'!$K$2:$K$10001,0)),"")</f>
        <v/>
      </c>
    </row>
    <row r="5029">
      <c r="A5029">
        <f>IFERROR(INDEX('Email Cleaner'!$B$2:$B$10001,MATCH(5028,'Email Cleaner'!$K$2:$K$10001,0)),"")</f>
        <v/>
      </c>
    </row>
    <row r="5030">
      <c r="A5030">
        <f>IFERROR(INDEX('Email Cleaner'!$B$2:$B$10001,MATCH(5029,'Email Cleaner'!$K$2:$K$10001,0)),"")</f>
        <v/>
      </c>
    </row>
    <row r="5031">
      <c r="A5031">
        <f>IFERROR(INDEX('Email Cleaner'!$B$2:$B$10001,MATCH(5030,'Email Cleaner'!$K$2:$K$10001,0)),"")</f>
        <v/>
      </c>
    </row>
    <row r="5032">
      <c r="A5032">
        <f>IFERROR(INDEX('Email Cleaner'!$B$2:$B$10001,MATCH(5031,'Email Cleaner'!$K$2:$K$10001,0)),"")</f>
        <v/>
      </c>
    </row>
    <row r="5033">
      <c r="A5033">
        <f>IFERROR(INDEX('Email Cleaner'!$B$2:$B$10001,MATCH(5032,'Email Cleaner'!$K$2:$K$10001,0)),"")</f>
        <v/>
      </c>
    </row>
    <row r="5034">
      <c r="A5034">
        <f>IFERROR(INDEX('Email Cleaner'!$B$2:$B$10001,MATCH(5033,'Email Cleaner'!$K$2:$K$10001,0)),"")</f>
        <v/>
      </c>
    </row>
    <row r="5035">
      <c r="A5035">
        <f>IFERROR(INDEX('Email Cleaner'!$B$2:$B$10001,MATCH(5034,'Email Cleaner'!$K$2:$K$10001,0)),"")</f>
        <v/>
      </c>
    </row>
    <row r="5036">
      <c r="A5036">
        <f>IFERROR(INDEX('Email Cleaner'!$B$2:$B$10001,MATCH(5035,'Email Cleaner'!$K$2:$K$10001,0)),"")</f>
        <v/>
      </c>
    </row>
    <row r="5037">
      <c r="A5037">
        <f>IFERROR(INDEX('Email Cleaner'!$B$2:$B$10001,MATCH(5036,'Email Cleaner'!$K$2:$K$10001,0)),"")</f>
        <v/>
      </c>
    </row>
    <row r="5038">
      <c r="A5038">
        <f>IFERROR(INDEX('Email Cleaner'!$B$2:$B$10001,MATCH(5037,'Email Cleaner'!$K$2:$K$10001,0)),"")</f>
        <v/>
      </c>
    </row>
    <row r="5039">
      <c r="A5039">
        <f>IFERROR(INDEX('Email Cleaner'!$B$2:$B$10001,MATCH(5038,'Email Cleaner'!$K$2:$K$10001,0)),"")</f>
        <v/>
      </c>
    </row>
    <row r="5040">
      <c r="A5040">
        <f>IFERROR(INDEX('Email Cleaner'!$B$2:$B$10001,MATCH(5039,'Email Cleaner'!$K$2:$K$10001,0)),"")</f>
        <v/>
      </c>
    </row>
    <row r="5041">
      <c r="A5041">
        <f>IFERROR(INDEX('Email Cleaner'!$B$2:$B$10001,MATCH(5040,'Email Cleaner'!$K$2:$K$10001,0)),"")</f>
        <v/>
      </c>
    </row>
    <row r="5042">
      <c r="A5042">
        <f>IFERROR(INDEX('Email Cleaner'!$B$2:$B$10001,MATCH(5041,'Email Cleaner'!$K$2:$K$10001,0)),"")</f>
        <v/>
      </c>
    </row>
    <row r="5043">
      <c r="A5043">
        <f>IFERROR(INDEX('Email Cleaner'!$B$2:$B$10001,MATCH(5042,'Email Cleaner'!$K$2:$K$10001,0)),"")</f>
        <v/>
      </c>
    </row>
    <row r="5044">
      <c r="A5044">
        <f>IFERROR(INDEX('Email Cleaner'!$B$2:$B$10001,MATCH(5043,'Email Cleaner'!$K$2:$K$10001,0)),"")</f>
        <v/>
      </c>
    </row>
    <row r="5045">
      <c r="A5045">
        <f>IFERROR(INDEX('Email Cleaner'!$B$2:$B$10001,MATCH(5044,'Email Cleaner'!$K$2:$K$10001,0)),"")</f>
        <v/>
      </c>
    </row>
    <row r="5046">
      <c r="A5046">
        <f>IFERROR(INDEX('Email Cleaner'!$B$2:$B$10001,MATCH(5045,'Email Cleaner'!$K$2:$K$10001,0)),"")</f>
        <v/>
      </c>
    </row>
    <row r="5047">
      <c r="A5047">
        <f>IFERROR(INDEX('Email Cleaner'!$B$2:$B$10001,MATCH(5046,'Email Cleaner'!$K$2:$K$10001,0)),"")</f>
        <v/>
      </c>
    </row>
    <row r="5048">
      <c r="A5048">
        <f>IFERROR(INDEX('Email Cleaner'!$B$2:$B$10001,MATCH(5047,'Email Cleaner'!$K$2:$K$10001,0)),"")</f>
        <v/>
      </c>
    </row>
    <row r="5049">
      <c r="A5049">
        <f>IFERROR(INDEX('Email Cleaner'!$B$2:$B$10001,MATCH(5048,'Email Cleaner'!$K$2:$K$10001,0)),"")</f>
        <v/>
      </c>
    </row>
    <row r="5050">
      <c r="A5050">
        <f>IFERROR(INDEX('Email Cleaner'!$B$2:$B$10001,MATCH(5049,'Email Cleaner'!$K$2:$K$10001,0)),"")</f>
        <v/>
      </c>
    </row>
    <row r="5051">
      <c r="A5051">
        <f>IFERROR(INDEX('Email Cleaner'!$B$2:$B$10001,MATCH(5050,'Email Cleaner'!$K$2:$K$10001,0)),"")</f>
        <v/>
      </c>
    </row>
    <row r="5052">
      <c r="A5052">
        <f>IFERROR(INDEX('Email Cleaner'!$B$2:$B$10001,MATCH(5051,'Email Cleaner'!$K$2:$K$10001,0)),"")</f>
        <v/>
      </c>
    </row>
    <row r="5053">
      <c r="A5053">
        <f>IFERROR(INDEX('Email Cleaner'!$B$2:$B$10001,MATCH(5052,'Email Cleaner'!$K$2:$K$10001,0)),"")</f>
        <v/>
      </c>
    </row>
    <row r="5054">
      <c r="A5054">
        <f>IFERROR(INDEX('Email Cleaner'!$B$2:$B$10001,MATCH(5053,'Email Cleaner'!$K$2:$K$10001,0)),"")</f>
        <v/>
      </c>
    </row>
    <row r="5055">
      <c r="A5055">
        <f>IFERROR(INDEX('Email Cleaner'!$B$2:$B$10001,MATCH(5054,'Email Cleaner'!$K$2:$K$10001,0)),"")</f>
        <v/>
      </c>
    </row>
    <row r="5056">
      <c r="A5056">
        <f>IFERROR(INDEX('Email Cleaner'!$B$2:$B$10001,MATCH(5055,'Email Cleaner'!$K$2:$K$10001,0)),"")</f>
        <v/>
      </c>
    </row>
    <row r="5057">
      <c r="A5057">
        <f>IFERROR(INDEX('Email Cleaner'!$B$2:$B$10001,MATCH(5056,'Email Cleaner'!$K$2:$K$10001,0)),"")</f>
        <v/>
      </c>
    </row>
    <row r="5058">
      <c r="A5058">
        <f>IFERROR(INDEX('Email Cleaner'!$B$2:$B$10001,MATCH(5057,'Email Cleaner'!$K$2:$K$10001,0)),"")</f>
        <v/>
      </c>
    </row>
    <row r="5059">
      <c r="A5059">
        <f>IFERROR(INDEX('Email Cleaner'!$B$2:$B$10001,MATCH(5058,'Email Cleaner'!$K$2:$K$10001,0)),"")</f>
        <v/>
      </c>
    </row>
    <row r="5060">
      <c r="A5060">
        <f>IFERROR(INDEX('Email Cleaner'!$B$2:$B$10001,MATCH(5059,'Email Cleaner'!$K$2:$K$10001,0)),"")</f>
        <v/>
      </c>
    </row>
    <row r="5061">
      <c r="A5061">
        <f>IFERROR(INDEX('Email Cleaner'!$B$2:$B$10001,MATCH(5060,'Email Cleaner'!$K$2:$K$10001,0)),"")</f>
        <v/>
      </c>
    </row>
    <row r="5062">
      <c r="A5062">
        <f>IFERROR(INDEX('Email Cleaner'!$B$2:$B$10001,MATCH(5061,'Email Cleaner'!$K$2:$K$10001,0)),"")</f>
        <v/>
      </c>
    </row>
    <row r="5063">
      <c r="A5063">
        <f>IFERROR(INDEX('Email Cleaner'!$B$2:$B$10001,MATCH(5062,'Email Cleaner'!$K$2:$K$10001,0)),"")</f>
        <v/>
      </c>
    </row>
    <row r="5064">
      <c r="A5064">
        <f>IFERROR(INDEX('Email Cleaner'!$B$2:$B$10001,MATCH(5063,'Email Cleaner'!$K$2:$K$10001,0)),"")</f>
        <v/>
      </c>
    </row>
    <row r="5065">
      <c r="A5065">
        <f>IFERROR(INDEX('Email Cleaner'!$B$2:$B$10001,MATCH(5064,'Email Cleaner'!$K$2:$K$10001,0)),"")</f>
        <v/>
      </c>
    </row>
    <row r="5066">
      <c r="A5066">
        <f>IFERROR(INDEX('Email Cleaner'!$B$2:$B$10001,MATCH(5065,'Email Cleaner'!$K$2:$K$10001,0)),"")</f>
        <v/>
      </c>
    </row>
    <row r="5067">
      <c r="A5067">
        <f>IFERROR(INDEX('Email Cleaner'!$B$2:$B$10001,MATCH(5066,'Email Cleaner'!$K$2:$K$10001,0)),"")</f>
        <v/>
      </c>
    </row>
    <row r="5068">
      <c r="A5068">
        <f>IFERROR(INDEX('Email Cleaner'!$B$2:$B$10001,MATCH(5067,'Email Cleaner'!$K$2:$K$10001,0)),"")</f>
        <v/>
      </c>
    </row>
    <row r="5069">
      <c r="A5069">
        <f>IFERROR(INDEX('Email Cleaner'!$B$2:$B$10001,MATCH(5068,'Email Cleaner'!$K$2:$K$10001,0)),"")</f>
        <v/>
      </c>
    </row>
    <row r="5070">
      <c r="A5070">
        <f>IFERROR(INDEX('Email Cleaner'!$B$2:$B$10001,MATCH(5069,'Email Cleaner'!$K$2:$K$10001,0)),"")</f>
        <v/>
      </c>
    </row>
    <row r="5071">
      <c r="A5071">
        <f>IFERROR(INDEX('Email Cleaner'!$B$2:$B$10001,MATCH(5070,'Email Cleaner'!$K$2:$K$10001,0)),"")</f>
        <v/>
      </c>
    </row>
    <row r="5072">
      <c r="A5072">
        <f>IFERROR(INDEX('Email Cleaner'!$B$2:$B$10001,MATCH(5071,'Email Cleaner'!$K$2:$K$10001,0)),"")</f>
        <v/>
      </c>
    </row>
    <row r="5073">
      <c r="A5073">
        <f>IFERROR(INDEX('Email Cleaner'!$B$2:$B$10001,MATCH(5072,'Email Cleaner'!$K$2:$K$10001,0)),"")</f>
        <v/>
      </c>
    </row>
    <row r="5074">
      <c r="A5074">
        <f>IFERROR(INDEX('Email Cleaner'!$B$2:$B$10001,MATCH(5073,'Email Cleaner'!$K$2:$K$10001,0)),"")</f>
        <v/>
      </c>
    </row>
    <row r="5075">
      <c r="A5075">
        <f>IFERROR(INDEX('Email Cleaner'!$B$2:$B$10001,MATCH(5074,'Email Cleaner'!$K$2:$K$10001,0)),"")</f>
        <v/>
      </c>
    </row>
    <row r="5076">
      <c r="A5076">
        <f>IFERROR(INDEX('Email Cleaner'!$B$2:$B$10001,MATCH(5075,'Email Cleaner'!$K$2:$K$10001,0)),"")</f>
        <v/>
      </c>
    </row>
    <row r="5077">
      <c r="A5077">
        <f>IFERROR(INDEX('Email Cleaner'!$B$2:$B$10001,MATCH(5076,'Email Cleaner'!$K$2:$K$10001,0)),"")</f>
        <v/>
      </c>
    </row>
    <row r="5078">
      <c r="A5078">
        <f>IFERROR(INDEX('Email Cleaner'!$B$2:$B$10001,MATCH(5077,'Email Cleaner'!$K$2:$K$10001,0)),"")</f>
        <v/>
      </c>
    </row>
    <row r="5079">
      <c r="A5079">
        <f>IFERROR(INDEX('Email Cleaner'!$B$2:$B$10001,MATCH(5078,'Email Cleaner'!$K$2:$K$10001,0)),"")</f>
        <v/>
      </c>
    </row>
    <row r="5080">
      <c r="A5080">
        <f>IFERROR(INDEX('Email Cleaner'!$B$2:$B$10001,MATCH(5079,'Email Cleaner'!$K$2:$K$10001,0)),"")</f>
        <v/>
      </c>
    </row>
    <row r="5081">
      <c r="A5081">
        <f>IFERROR(INDEX('Email Cleaner'!$B$2:$B$10001,MATCH(5080,'Email Cleaner'!$K$2:$K$10001,0)),"")</f>
        <v/>
      </c>
    </row>
    <row r="5082">
      <c r="A5082">
        <f>IFERROR(INDEX('Email Cleaner'!$B$2:$B$10001,MATCH(5081,'Email Cleaner'!$K$2:$K$10001,0)),"")</f>
        <v/>
      </c>
    </row>
    <row r="5083">
      <c r="A5083">
        <f>IFERROR(INDEX('Email Cleaner'!$B$2:$B$10001,MATCH(5082,'Email Cleaner'!$K$2:$K$10001,0)),"")</f>
        <v/>
      </c>
    </row>
    <row r="5084">
      <c r="A5084">
        <f>IFERROR(INDEX('Email Cleaner'!$B$2:$B$10001,MATCH(5083,'Email Cleaner'!$K$2:$K$10001,0)),"")</f>
        <v/>
      </c>
    </row>
    <row r="5085">
      <c r="A5085">
        <f>IFERROR(INDEX('Email Cleaner'!$B$2:$B$10001,MATCH(5084,'Email Cleaner'!$K$2:$K$10001,0)),"")</f>
        <v/>
      </c>
    </row>
    <row r="5086">
      <c r="A5086">
        <f>IFERROR(INDEX('Email Cleaner'!$B$2:$B$10001,MATCH(5085,'Email Cleaner'!$K$2:$K$10001,0)),"")</f>
        <v/>
      </c>
    </row>
    <row r="5087">
      <c r="A5087">
        <f>IFERROR(INDEX('Email Cleaner'!$B$2:$B$10001,MATCH(5086,'Email Cleaner'!$K$2:$K$10001,0)),"")</f>
        <v/>
      </c>
    </row>
    <row r="5088">
      <c r="A5088">
        <f>IFERROR(INDEX('Email Cleaner'!$B$2:$B$10001,MATCH(5087,'Email Cleaner'!$K$2:$K$10001,0)),"")</f>
        <v/>
      </c>
    </row>
    <row r="5089">
      <c r="A5089">
        <f>IFERROR(INDEX('Email Cleaner'!$B$2:$B$10001,MATCH(5088,'Email Cleaner'!$K$2:$K$10001,0)),"")</f>
        <v/>
      </c>
    </row>
    <row r="5090">
      <c r="A5090">
        <f>IFERROR(INDEX('Email Cleaner'!$B$2:$B$10001,MATCH(5089,'Email Cleaner'!$K$2:$K$10001,0)),"")</f>
        <v/>
      </c>
    </row>
    <row r="5091">
      <c r="A5091">
        <f>IFERROR(INDEX('Email Cleaner'!$B$2:$B$10001,MATCH(5090,'Email Cleaner'!$K$2:$K$10001,0)),"")</f>
        <v/>
      </c>
    </row>
    <row r="5092">
      <c r="A5092">
        <f>IFERROR(INDEX('Email Cleaner'!$B$2:$B$10001,MATCH(5091,'Email Cleaner'!$K$2:$K$10001,0)),"")</f>
        <v/>
      </c>
    </row>
    <row r="5093">
      <c r="A5093">
        <f>IFERROR(INDEX('Email Cleaner'!$B$2:$B$10001,MATCH(5092,'Email Cleaner'!$K$2:$K$10001,0)),"")</f>
        <v/>
      </c>
    </row>
    <row r="5094">
      <c r="A5094">
        <f>IFERROR(INDEX('Email Cleaner'!$B$2:$B$10001,MATCH(5093,'Email Cleaner'!$K$2:$K$10001,0)),"")</f>
        <v/>
      </c>
    </row>
    <row r="5095">
      <c r="A5095">
        <f>IFERROR(INDEX('Email Cleaner'!$B$2:$B$10001,MATCH(5094,'Email Cleaner'!$K$2:$K$10001,0)),"")</f>
        <v/>
      </c>
    </row>
    <row r="5096">
      <c r="A5096">
        <f>IFERROR(INDEX('Email Cleaner'!$B$2:$B$10001,MATCH(5095,'Email Cleaner'!$K$2:$K$10001,0)),"")</f>
        <v/>
      </c>
    </row>
    <row r="5097">
      <c r="A5097">
        <f>IFERROR(INDEX('Email Cleaner'!$B$2:$B$10001,MATCH(5096,'Email Cleaner'!$K$2:$K$10001,0)),"")</f>
        <v/>
      </c>
    </row>
    <row r="5098">
      <c r="A5098">
        <f>IFERROR(INDEX('Email Cleaner'!$B$2:$B$10001,MATCH(5097,'Email Cleaner'!$K$2:$K$10001,0)),"")</f>
        <v/>
      </c>
    </row>
    <row r="5099">
      <c r="A5099">
        <f>IFERROR(INDEX('Email Cleaner'!$B$2:$B$10001,MATCH(5098,'Email Cleaner'!$K$2:$K$10001,0)),"")</f>
        <v/>
      </c>
    </row>
    <row r="5100">
      <c r="A5100">
        <f>IFERROR(INDEX('Email Cleaner'!$B$2:$B$10001,MATCH(5099,'Email Cleaner'!$K$2:$K$10001,0)),"")</f>
        <v/>
      </c>
    </row>
    <row r="5101">
      <c r="A5101">
        <f>IFERROR(INDEX('Email Cleaner'!$B$2:$B$10001,MATCH(5100,'Email Cleaner'!$K$2:$K$10001,0)),"")</f>
        <v/>
      </c>
    </row>
    <row r="5102">
      <c r="A5102">
        <f>IFERROR(INDEX('Email Cleaner'!$B$2:$B$10001,MATCH(5101,'Email Cleaner'!$K$2:$K$10001,0)),"")</f>
        <v/>
      </c>
    </row>
    <row r="5103">
      <c r="A5103">
        <f>IFERROR(INDEX('Email Cleaner'!$B$2:$B$10001,MATCH(5102,'Email Cleaner'!$K$2:$K$10001,0)),"")</f>
        <v/>
      </c>
    </row>
    <row r="5104">
      <c r="A5104">
        <f>IFERROR(INDEX('Email Cleaner'!$B$2:$B$10001,MATCH(5103,'Email Cleaner'!$K$2:$K$10001,0)),"")</f>
        <v/>
      </c>
    </row>
    <row r="5105">
      <c r="A5105">
        <f>IFERROR(INDEX('Email Cleaner'!$B$2:$B$10001,MATCH(5104,'Email Cleaner'!$K$2:$K$10001,0)),"")</f>
        <v/>
      </c>
    </row>
    <row r="5106">
      <c r="A5106">
        <f>IFERROR(INDEX('Email Cleaner'!$B$2:$B$10001,MATCH(5105,'Email Cleaner'!$K$2:$K$10001,0)),"")</f>
        <v/>
      </c>
    </row>
    <row r="5107">
      <c r="A5107">
        <f>IFERROR(INDEX('Email Cleaner'!$B$2:$B$10001,MATCH(5106,'Email Cleaner'!$K$2:$K$10001,0)),"")</f>
        <v/>
      </c>
    </row>
    <row r="5108">
      <c r="A5108">
        <f>IFERROR(INDEX('Email Cleaner'!$B$2:$B$10001,MATCH(5107,'Email Cleaner'!$K$2:$K$10001,0)),"")</f>
        <v/>
      </c>
    </row>
    <row r="5109">
      <c r="A5109">
        <f>IFERROR(INDEX('Email Cleaner'!$B$2:$B$10001,MATCH(5108,'Email Cleaner'!$K$2:$K$10001,0)),"")</f>
        <v/>
      </c>
    </row>
    <row r="5110">
      <c r="A5110">
        <f>IFERROR(INDEX('Email Cleaner'!$B$2:$B$10001,MATCH(5109,'Email Cleaner'!$K$2:$K$10001,0)),"")</f>
        <v/>
      </c>
    </row>
    <row r="5111">
      <c r="A5111">
        <f>IFERROR(INDEX('Email Cleaner'!$B$2:$B$10001,MATCH(5110,'Email Cleaner'!$K$2:$K$10001,0)),"")</f>
        <v/>
      </c>
    </row>
    <row r="5112">
      <c r="A5112">
        <f>IFERROR(INDEX('Email Cleaner'!$B$2:$B$10001,MATCH(5111,'Email Cleaner'!$K$2:$K$10001,0)),"")</f>
        <v/>
      </c>
    </row>
    <row r="5113">
      <c r="A5113">
        <f>IFERROR(INDEX('Email Cleaner'!$B$2:$B$10001,MATCH(5112,'Email Cleaner'!$K$2:$K$10001,0)),"")</f>
        <v/>
      </c>
    </row>
    <row r="5114">
      <c r="A5114">
        <f>IFERROR(INDEX('Email Cleaner'!$B$2:$B$10001,MATCH(5113,'Email Cleaner'!$K$2:$K$10001,0)),"")</f>
        <v/>
      </c>
    </row>
    <row r="5115">
      <c r="A5115">
        <f>IFERROR(INDEX('Email Cleaner'!$B$2:$B$10001,MATCH(5114,'Email Cleaner'!$K$2:$K$10001,0)),"")</f>
        <v/>
      </c>
    </row>
    <row r="5116">
      <c r="A5116">
        <f>IFERROR(INDEX('Email Cleaner'!$B$2:$B$10001,MATCH(5115,'Email Cleaner'!$K$2:$K$10001,0)),"")</f>
        <v/>
      </c>
    </row>
    <row r="5117">
      <c r="A5117">
        <f>IFERROR(INDEX('Email Cleaner'!$B$2:$B$10001,MATCH(5116,'Email Cleaner'!$K$2:$K$10001,0)),"")</f>
        <v/>
      </c>
    </row>
    <row r="5118">
      <c r="A5118">
        <f>IFERROR(INDEX('Email Cleaner'!$B$2:$B$10001,MATCH(5117,'Email Cleaner'!$K$2:$K$10001,0)),"")</f>
        <v/>
      </c>
    </row>
    <row r="5119">
      <c r="A5119">
        <f>IFERROR(INDEX('Email Cleaner'!$B$2:$B$10001,MATCH(5118,'Email Cleaner'!$K$2:$K$10001,0)),"")</f>
        <v/>
      </c>
    </row>
    <row r="5120">
      <c r="A5120">
        <f>IFERROR(INDEX('Email Cleaner'!$B$2:$B$10001,MATCH(5119,'Email Cleaner'!$K$2:$K$10001,0)),"")</f>
        <v/>
      </c>
    </row>
    <row r="5121">
      <c r="A5121">
        <f>IFERROR(INDEX('Email Cleaner'!$B$2:$B$10001,MATCH(5120,'Email Cleaner'!$K$2:$K$10001,0)),"")</f>
        <v/>
      </c>
    </row>
    <row r="5122">
      <c r="A5122">
        <f>IFERROR(INDEX('Email Cleaner'!$B$2:$B$10001,MATCH(5121,'Email Cleaner'!$K$2:$K$10001,0)),"")</f>
        <v/>
      </c>
    </row>
    <row r="5123">
      <c r="A5123">
        <f>IFERROR(INDEX('Email Cleaner'!$B$2:$B$10001,MATCH(5122,'Email Cleaner'!$K$2:$K$10001,0)),"")</f>
        <v/>
      </c>
    </row>
    <row r="5124">
      <c r="A5124">
        <f>IFERROR(INDEX('Email Cleaner'!$B$2:$B$10001,MATCH(5123,'Email Cleaner'!$K$2:$K$10001,0)),"")</f>
        <v/>
      </c>
    </row>
    <row r="5125">
      <c r="A5125">
        <f>IFERROR(INDEX('Email Cleaner'!$B$2:$B$10001,MATCH(5124,'Email Cleaner'!$K$2:$K$10001,0)),"")</f>
        <v/>
      </c>
    </row>
    <row r="5126">
      <c r="A5126">
        <f>IFERROR(INDEX('Email Cleaner'!$B$2:$B$10001,MATCH(5125,'Email Cleaner'!$K$2:$K$10001,0)),"")</f>
        <v/>
      </c>
    </row>
    <row r="5127">
      <c r="A5127">
        <f>IFERROR(INDEX('Email Cleaner'!$B$2:$B$10001,MATCH(5126,'Email Cleaner'!$K$2:$K$10001,0)),"")</f>
        <v/>
      </c>
    </row>
    <row r="5128">
      <c r="A5128">
        <f>IFERROR(INDEX('Email Cleaner'!$B$2:$B$10001,MATCH(5127,'Email Cleaner'!$K$2:$K$10001,0)),"")</f>
        <v/>
      </c>
    </row>
    <row r="5129">
      <c r="A5129">
        <f>IFERROR(INDEX('Email Cleaner'!$B$2:$B$10001,MATCH(5128,'Email Cleaner'!$K$2:$K$10001,0)),"")</f>
        <v/>
      </c>
    </row>
    <row r="5130">
      <c r="A5130">
        <f>IFERROR(INDEX('Email Cleaner'!$B$2:$B$10001,MATCH(5129,'Email Cleaner'!$K$2:$K$10001,0)),"")</f>
        <v/>
      </c>
    </row>
    <row r="5131">
      <c r="A5131">
        <f>IFERROR(INDEX('Email Cleaner'!$B$2:$B$10001,MATCH(5130,'Email Cleaner'!$K$2:$K$10001,0)),"")</f>
        <v/>
      </c>
    </row>
    <row r="5132">
      <c r="A5132">
        <f>IFERROR(INDEX('Email Cleaner'!$B$2:$B$10001,MATCH(5131,'Email Cleaner'!$K$2:$K$10001,0)),"")</f>
        <v/>
      </c>
    </row>
    <row r="5133">
      <c r="A5133">
        <f>IFERROR(INDEX('Email Cleaner'!$B$2:$B$10001,MATCH(5132,'Email Cleaner'!$K$2:$K$10001,0)),"")</f>
        <v/>
      </c>
    </row>
    <row r="5134">
      <c r="A5134">
        <f>IFERROR(INDEX('Email Cleaner'!$B$2:$B$10001,MATCH(5133,'Email Cleaner'!$K$2:$K$10001,0)),"")</f>
        <v/>
      </c>
    </row>
    <row r="5135">
      <c r="A5135">
        <f>IFERROR(INDEX('Email Cleaner'!$B$2:$B$10001,MATCH(5134,'Email Cleaner'!$K$2:$K$10001,0)),"")</f>
        <v/>
      </c>
    </row>
    <row r="5136">
      <c r="A5136">
        <f>IFERROR(INDEX('Email Cleaner'!$B$2:$B$10001,MATCH(5135,'Email Cleaner'!$K$2:$K$10001,0)),"")</f>
        <v/>
      </c>
    </row>
    <row r="5137">
      <c r="A5137">
        <f>IFERROR(INDEX('Email Cleaner'!$B$2:$B$10001,MATCH(5136,'Email Cleaner'!$K$2:$K$10001,0)),"")</f>
        <v/>
      </c>
    </row>
    <row r="5138">
      <c r="A5138">
        <f>IFERROR(INDEX('Email Cleaner'!$B$2:$B$10001,MATCH(5137,'Email Cleaner'!$K$2:$K$10001,0)),"")</f>
        <v/>
      </c>
    </row>
    <row r="5139">
      <c r="A5139">
        <f>IFERROR(INDEX('Email Cleaner'!$B$2:$B$10001,MATCH(5138,'Email Cleaner'!$K$2:$K$10001,0)),"")</f>
        <v/>
      </c>
    </row>
    <row r="5140">
      <c r="A5140">
        <f>IFERROR(INDEX('Email Cleaner'!$B$2:$B$10001,MATCH(5139,'Email Cleaner'!$K$2:$K$10001,0)),"")</f>
        <v/>
      </c>
    </row>
    <row r="5141">
      <c r="A5141">
        <f>IFERROR(INDEX('Email Cleaner'!$B$2:$B$10001,MATCH(5140,'Email Cleaner'!$K$2:$K$10001,0)),"")</f>
        <v/>
      </c>
    </row>
    <row r="5142">
      <c r="A5142">
        <f>IFERROR(INDEX('Email Cleaner'!$B$2:$B$10001,MATCH(5141,'Email Cleaner'!$K$2:$K$10001,0)),"")</f>
        <v/>
      </c>
    </row>
    <row r="5143">
      <c r="A5143">
        <f>IFERROR(INDEX('Email Cleaner'!$B$2:$B$10001,MATCH(5142,'Email Cleaner'!$K$2:$K$10001,0)),"")</f>
        <v/>
      </c>
    </row>
    <row r="5144">
      <c r="A5144">
        <f>IFERROR(INDEX('Email Cleaner'!$B$2:$B$10001,MATCH(5143,'Email Cleaner'!$K$2:$K$10001,0)),"")</f>
        <v/>
      </c>
    </row>
    <row r="5145">
      <c r="A5145">
        <f>IFERROR(INDEX('Email Cleaner'!$B$2:$B$10001,MATCH(5144,'Email Cleaner'!$K$2:$K$10001,0)),"")</f>
        <v/>
      </c>
    </row>
    <row r="5146">
      <c r="A5146">
        <f>IFERROR(INDEX('Email Cleaner'!$B$2:$B$10001,MATCH(5145,'Email Cleaner'!$K$2:$K$10001,0)),"")</f>
        <v/>
      </c>
    </row>
    <row r="5147">
      <c r="A5147">
        <f>IFERROR(INDEX('Email Cleaner'!$B$2:$B$10001,MATCH(5146,'Email Cleaner'!$K$2:$K$10001,0)),"")</f>
        <v/>
      </c>
    </row>
    <row r="5148">
      <c r="A5148">
        <f>IFERROR(INDEX('Email Cleaner'!$B$2:$B$10001,MATCH(5147,'Email Cleaner'!$K$2:$K$10001,0)),"")</f>
        <v/>
      </c>
    </row>
    <row r="5149">
      <c r="A5149">
        <f>IFERROR(INDEX('Email Cleaner'!$B$2:$B$10001,MATCH(5148,'Email Cleaner'!$K$2:$K$10001,0)),"")</f>
        <v/>
      </c>
    </row>
    <row r="5150">
      <c r="A5150">
        <f>IFERROR(INDEX('Email Cleaner'!$B$2:$B$10001,MATCH(5149,'Email Cleaner'!$K$2:$K$10001,0)),"")</f>
        <v/>
      </c>
    </row>
    <row r="5151">
      <c r="A5151">
        <f>IFERROR(INDEX('Email Cleaner'!$B$2:$B$10001,MATCH(5150,'Email Cleaner'!$K$2:$K$10001,0)),"")</f>
        <v/>
      </c>
    </row>
    <row r="5152">
      <c r="A5152">
        <f>IFERROR(INDEX('Email Cleaner'!$B$2:$B$10001,MATCH(5151,'Email Cleaner'!$K$2:$K$10001,0)),"")</f>
        <v/>
      </c>
    </row>
    <row r="5153">
      <c r="A5153">
        <f>IFERROR(INDEX('Email Cleaner'!$B$2:$B$10001,MATCH(5152,'Email Cleaner'!$K$2:$K$10001,0)),"")</f>
        <v/>
      </c>
    </row>
    <row r="5154">
      <c r="A5154">
        <f>IFERROR(INDEX('Email Cleaner'!$B$2:$B$10001,MATCH(5153,'Email Cleaner'!$K$2:$K$10001,0)),"")</f>
        <v/>
      </c>
    </row>
    <row r="5155">
      <c r="A5155">
        <f>IFERROR(INDEX('Email Cleaner'!$B$2:$B$10001,MATCH(5154,'Email Cleaner'!$K$2:$K$10001,0)),"")</f>
        <v/>
      </c>
    </row>
    <row r="5156">
      <c r="A5156">
        <f>IFERROR(INDEX('Email Cleaner'!$B$2:$B$10001,MATCH(5155,'Email Cleaner'!$K$2:$K$10001,0)),"")</f>
        <v/>
      </c>
    </row>
    <row r="5157">
      <c r="A5157">
        <f>IFERROR(INDEX('Email Cleaner'!$B$2:$B$10001,MATCH(5156,'Email Cleaner'!$K$2:$K$10001,0)),"")</f>
        <v/>
      </c>
    </row>
    <row r="5158">
      <c r="A5158">
        <f>IFERROR(INDEX('Email Cleaner'!$B$2:$B$10001,MATCH(5157,'Email Cleaner'!$K$2:$K$10001,0)),"")</f>
        <v/>
      </c>
    </row>
    <row r="5159">
      <c r="A5159">
        <f>IFERROR(INDEX('Email Cleaner'!$B$2:$B$10001,MATCH(5158,'Email Cleaner'!$K$2:$K$10001,0)),"")</f>
        <v/>
      </c>
    </row>
    <row r="5160">
      <c r="A5160">
        <f>IFERROR(INDEX('Email Cleaner'!$B$2:$B$10001,MATCH(5159,'Email Cleaner'!$K$2:$K$10001,0)),"")</f>
        <v/>
      </c>
    </row>
    <row r="5161">
      <c r="A5161">
        <f>IFERROR(INDEX('Email Cleaner'!$B$2:$B$10001,MATCH(5160,'Email Cleaner'!$K$2:$K$10001,0)),"")</f>
        <v/>
      </c>
    </row>
    <row r="5162">
      <c r="A5162">
        <f>IFERROR(INDEX('Email Cleaner'!$B$2:$B$10001,MATCH(5161,'Email Cleaner'!$K$2:$K$10001,0)),"")</f>
        <v/>
      </c>
    </row>
    <row r="5163">
      <c r="A5163">
        <f>IFERROR(INDEX('Email Cleaner'!$B$2:$B$10001,MATCH(5162,'Email Cleaner'!$K$2:$K$10001,0)),"")</f>
        <v/>
      </c>
    </row>
    <row r="5164">
      <c r="A5164">
        <f>IFERROR(INDEX('Email Cleaner'!$B$2:$B$10001,MATCH(5163,'Email Cleaner'!$K$2:$K$10001,0)),"")</f>
        <v/>
      </c>
    </row>
    <row r="5165">
      <c r="A5165">
        <f>IFERROR(INDEX('Email Cleaner'!$B$2:$B$10001,MATCH(5164,'Email Cleaner'!$K$2:$K$10001,0)),"")</f>
        <v/>
      </c>
    </row>
    <row r="5166">
      <c r="A5166">
        <f>IFERROR(INDEX('Email Cleaner'!$B$2:$B$10001,MATCH(5165,'Email Cleaner'!$K$2:$K$10001,0)),"")</f>
        <v/>
      </c>
    </row>
    <row r="5167">
      <c r="A5167">
        <f>IFERROR(INDEX('Email Cleaner'!$B$2:$B$10001,MATCH(5166,'Email Cleaner'!$K$2:$K$10001,0)),"")</f>
        <v/>
      </c>
    </row>
    <row r="5168">
      <c r="A5168">
        <f>IFERROR(INDEX('Email Cleaner'!$B$2:$B$10001,MATCH(5167,'Email Cleaner'!$K$2:$K$10001,0)),"")</f>
        <v/>
      </c>
    </row>
    <row r="5169">
      <c r="A5169">
        <f>IFERROR(INDEX('Email Cleaner'!$B$2:$B$10001,MATCH(5168,'Email Cleaner'!$K$2:$K$10001,0)),"")</f>
        <v/>
      </c>
    </row>
    <row r="5170">
      <c r="A5170">
        <f>IFERROR(INDEX('Email Cleaner'!$B$2:$B$10001,MATCH(5169,'Email Cleaner'!$K$2:$K$10001,0)),"")</f>
        <v/>
      </c>
    </row>
    <row r="5171">
      <c r="A5171">
        <f>IFERROR(INDEX('Email Cleaner'!$B$2:$B$10001,MATCH(5170,'Email Cleaner'!$K$2:$K$10001,0)),"")</f>
        <v/>
      </c>
    </row>
    <row r="5172">
      <c r="A5172">
        <f>IFERROR(INDEX('Email Cleaner'!$B$2:$B$10001,MATCH(5171,'Email Cleaner'!$K$2:$K$10001,0)),"")</f>
        <v/>
      </c>
    </row>
    <row r="5173">
      <c r="A5173">
        <f>IFERROR(INDEX('Email Cleaner'!$B$2:$B$10001,MATCH(5172,'Email Cleaner'!$K$2:$K$10001,0)),"")</f>
        <v/>
      </c>
    </row>
    <row r="5174">
      <c r="A5174">
        <f>IFERROR(INDEX('Email Cleaner'!$B$2:$B$10001,MATCH(5173,'Email Cleaner'!$K$2:$K$10001,0)),"")</f>
        <v/>
      </c>
    </row>
    <row r="5175">
      <c r="A5175">
        <f>IFERROR(INDEX('Email Cleaner'!$B$2:$B$10001,MATCH(5174,'Email Cleaner'!$K$2:$K$10001,0)),"")</f>
        <v/>
      </c>
    </row>
    <row r="5176">
      <c r="A5176">
        <f>IFERROR(INDEX('Email Cleaner'!$B$2:$B$10001,MATCH(5175,'Email Cleaner'!$K$2:$K$10001,0)),"")</f>
        <v/>
      </c>
    </row>
    <row r="5177">
      <c r="A5177">
        <f>IFERROR(INDEX('Email Cleaner'!$B$2:$B$10001,MATCH(5176,'Email Cleaner'!$K$2:$K$10001,0)),"")</f>
        <v/>
      </c>
    </row>
    <row r="5178">
      <c r="A5178">
        <f>IFERROR(INDEX('Email Cleaner'!$B$2:$B$10001,MATCH(5177,'Email Cleaner'!$K$2:$K$10001,0)),"")</f>
        <v/>
      </c>
    </row>
    <row r="5179">
      <c r="A5179">
        <f>IFERROR(INDEX('Email Cleaner'!$B$2:$B$10001,MATCH(5178,'Email Cleaner'!$K$2:$K$10001,0)),"")</f>
        <v/>
      </c>
    </row>
    <row r="5180">
      <c r="A5180">
        <f>IFERROR(INDEX('Email Cleaner'!$B$2:$B$10001,MATCH(5179,'Email Cleaner'!$K$2:$K$10001,0)),"")</f>
        <v/>
      </c>
    </row>
    <row r="5181">
      <c r="A5181">
        <f>IFERROR(INDEX('Email Cleaner'!$B$2:$B$10001,MATCH(5180,'Email Cleaner'!$K$2:$K$10001,0)),"")</f>
        <v/>
      </c>
    </row>
    <row r="5182">
      <c r="A5182">
        <f>IFERROR(INDEX('Email Cleaner'!$B$2:$B$10001,MATCH(5181,'Email Cleaner'!$K$2:$K$10001,0)),"")</f>
        <v/>
      </c>
    </row>
    <row r="5183">
      <c r="A5183">
        <f>IFERROR(INDEX('Email Cleaner'!$B$2:$B$10001,MATCH(5182,'Email Cleaner'!$K$2:$K$10001,0)),"")</f>
        <v/>
      </c>
    </row>
    <row r="5184">
      <c r="A5184">
        <f>IFERROR(INDEX('Email Cleaner'!$B$2:$B$10001,MATCH(5183,'Email Cleaner'!$K$2:$K$10001,0)),"")</f>
        <v/>
      </c>
    </row>
    <row r="5185">
      <c r="A5185">
        <f>IFERROR(INDEX('Email Cleaner'!$B$2:$B$10001,MATCH(5184,'Email Cleaner'!$K$2:$K$10001,0)),"")</f>
        <v/>
      </c>
    </row>
    <row r="5186">
      <c r="A5186">
        <f>IFERROR(INDEX('Email Cleaner'!$B$2:$B$10001,MATCH(5185,'Email Cleaner'!$K$2:$K$10001,0)),"")</f>
        <v/>
      </c>
    </row>
    <row r="5187">
      <c r="A5187">
        <f>IFERROR(INDEX('Email Cleaner'!$B$2:$B$10001,MATCH(5186,'Email Cleaner'!$K$2:$K$10001,0)),"")</f>
        <v/>
      </c>
    </row>
    <row r="5188">
      <c r="A5188">
        <f>IFERROR(INDEX('Email Cleaner'!$B$2:$B$10001,MATCH(5187,'Email Cleaner'!$K$2:$K$10001,0)),"")</f>
        <v/>
      </c>
    </row>
    <row r="5189">
      <c r="A5189">
        <f>IFERROR(INDEX('Email Cleaner'!$B$2:$B$10001,MATCH(5188,'Email Cleaner'!$K$2:$K$10001,0)),"")</f>
        <v/>
      </c>
    </row>
    <row r="5190">
      <c r="A5190">
        <f>IFERROR(INDEX('Email Cleaner'!$B$2:$B$10001,MATCH(5189,'Email Cleaner'!$K$2:$K$10001,0)),"")</f>
        <v/>
      </c>
    </row>
    <row r="5191">
      <c r="A5191">
        <f>IFERROR(INDEX('Email Cleaner'!$B$2:$B$10001,MATCH(5190,'Email Cleaner'!$K$2:$K$10001,0)),"")</f>
        <v/>
      </c>
    </row>
    <row r="5192">
      <c r="A5192">
        <f>IFERROR(INDEX('Email Cleaner'!$B$2:$B$10001,MATCH(5191,'Email Cleaner'!$K$2:$K$10001,0)),"")</f>
        <v/>
      </c>
    </row>
    <row r="5193">
      <c r="A5193">
        <f>IFERROR(INDEX('Email Cleaner'!$B$2:$B$10001,MATCH(5192,'Email Cleaner'!$K$2:$K$10001,0)),"")</f>
        <v/>
      </c>
    </row>
    <row r="5194">
      <c r="A5194">
        <f>IFERROR(INDEX('Email Cleaner'!$B$2:$B$10001,MATCH(5193,'Email Cleaner'!$K$2:$K$10001,0)),"")</f>
        <v/>
      </c>
    </row>
    <row r="5195">
      <c r="A5195">
        <f>IFERROR(INDEX('Email Cleaner'!$B$2:$B$10001,MATCH(5194,'Email Cleaner'!$K$2:$K$10001,0)),"")</f>
        <v/>
      </c>
    </row>
    <row r="5196">
      <c r="A5196">
        <f>IFERROR(INDEX('Email Cleaner'!$B$2:$B$10001,MATCH(5195,'Email Cleaner'!$K$2:$K$10001,0)),"")</f>
        <v/>
      </c>
    </row>
    <row r="5197">
      <c r="A5197">
        <f>IFERROR(INDEX('Email Cleaner'!$B$2:$B$10001,MATCH(5196,'Email Cleaner'!$K$2:$K$10001,0)),"")</f>
        <v/>
      </c>
    </row>
    <row r="5198">
      <c r="A5198">
        <f>IFERROR(INDEX('Email Cleaner'!$B$2:$B$10001,MATCH(5197,'Email Cleaner'!$K$2:$K$10001,0)),"")</f>
        <v/>
      </c>
    </row>
    <row r="5199">
      <c r="A5199">
        <f>IFERROR(INDEX('Email Cleaner'!$B$2:$B$10001,MATCH(5198,'Email Cleaner'!$K$2:$K$10001,0)),"")</f>
        <v/>
      </c>
    </row>
    <row r="5200">
      <c r="A5200">
        <f>IFERROR(INDEX('Email Cleaner'!$B$2:$B$10001,MATCH(5199,'Email Cleaner'!$K$2:$K$10001,0)),"")</f>
        <v/>
      </c>
    </row>
    <row r="5201">
      <c r="A5201">
        <f>IFERROR(INDEX('Email Cleaner'!$B$2:$B$10001,MATCH(5200,'Email Cleaner'!$K$2:$K$10001,0)),"")</f>
        <v/>
      </c>
    </row>
    <row r="5202">
      <c r="A5202">
        <f>IFERROR(INDEX('Email Cleaner'!$B$2:$B$10001,MATCH(5201,'Email Cleaner'!$K$2:$K$10001,0)),"")</f>
        <v/>
      </c>
    </row>
    <row r="5203">
      <c r="A5203">
        <f>IFERROR(INDEX('Email Cleaner'!$B$2:$B$10001,MATCH(5202,'Email Cleaner'!$K$2:$K$10001,0)),"")</f>
        <v/>
      </c>
    </row>
    <row r="5204">
      <c r="A5204">
        <f>IFERROR(INDEX('Email Cleaner'!$B$2:$B$10001,MATCH(5203,'Email Cleaner'!$K$2:$K$10001,0)),"")</f>
        <v/>
      </c>
    </row>
    <row r="5205">
      <c r="A5205">
        <f>IFERROR(INDEX('Email Cleaner'!$B$2:$B$10001,MATCH(5204,'Email Cleaner'!$K$2:$K$10001,0)),"")</f>
        <v/>
      </c>
    </row>
    <row r="5206">
      <c r="A5206">
        <f>IFERROR(INDEX('Email Cleaner'!$B$2:$B$10001,MATCH(5205,'Email Cleaner'!$K$2:$K$10001,0)),"")</f>
        <v/>
      </c>
    </row>
    <row r="5207">
      <c r="A5207">
        <f>IFERROR(INDEX('Email Cleaner'!$B$2:$B$10001,MATCH(5206,'Email Cleaner'!$K$2:$K$10001,0)),"")</f>
        <v/>
      </c>
    </row>
    <row r="5208">
      <c r="A5208">
        <f>IFERROR(INDEX('Email Cleaner'!$B$2:$B$10001,MATCH(5207,'Email Cleaner'!$K$2:$K$10001,0)),"")</f>
        <v/>
      </c>
    </row>
    <row r="5209">
      <c r="A5209">
        <f>IFERROR(INDEX('Email Cleaner'!$B$2:$B$10001,MATCH(5208,'Email Cleaner'!$K$2:$K$10001,0)),"")</f>
        <v/>
      </c>
    </row>
    <row r="5210">
      <c r="A5210">
        <f>IFERROR(INDEX('Email Cleaner'!$B$2:$B$10001,MATCH(5209,'Email Cleaner'!$K$2:$K$10001,0)),"")</f>
        <v/>
      </c>
    </row>
    <row r="5211">
      <c r="A5211">
        <f>IFERROR(INDEX('Email Cleaner'!$B$2:$B$10001,MATCH(5210,'Email Cleaner'!$K$2:$K$10001,0)),"")</f>
        <v/>
      </c>
    </row>
    <row r="5212">
      <c r="A5212">
        <f>IFERROR(INDEX('Email Cleaner'!$B$2:$B$10001,MATCH(5211,'Email Cleaner'!$K$2:$K$10001,0)),"")</f>
        <v/>
      </c>
    </row>
    <row r="5213">
      <c r="A5213">
        <f>IFERROR(INDEX('Email Cleaner'!$B$2:$B$10001,MATCH(5212,'Email Cleaner'!$K$2:$K$10001,0)),"")</f>
        <v/>
      </c>
    </row>
    <row r="5214">
      <c r="A5214">
        <f>IFERROR(INDEX('Email Cleaner'!$B$2:$B$10001,MATCH(5213,'Email Cleaner'!$K$2:$K$10001,0)),"")</f>
        <v/>
      </c>
    </row>
    <row r="5215">
      <c r="A5215">
        <f>IFERROR(INDEX('Email Cleaner'!$B$2:$B$10001,MATCH(5214,'Email Cleaner'!$K$2:$K$10001,0)),"")</f>
        <v/>
      </c>
    </row>
    <row r="5216">
      <c r="A5216">
        <f>IFERROR(INDEX('Email Cleaner'!$B$2:$B$10001,MATCH(5215,'Email Cleaner'!$K$2:$K$10001,0)),"")</f>
        <v/>
      </c>
    </row>
    <row r="5217">
      <c r="A5217">
        <f>IFERROR(INDEX('Email Cleaner'!$B$2:$B$10001,MATCH(5216,'Email Cleaner'!$K$2:$K$10001,0)),"")</f>
        <v/>
      </c>
    </row>
    <row r="5218">
      <c r="A5218">
        <f>IFERROR(INDEX('Email Cleaner'!$B$2:$B$10001,MATCH(5217,'Email Cleaner'!$K$2:$K$10001,0)),"")</f>
        <v/>
      </c>
    </row>
    <row r="5219">
      <c r="A5219">
        <f>IFERROR(INDEX('Email Cleaner'!$B$2:$B$10001,MATCH(5218,'Email Cleaner'!$K$2:$K$10001,0)),"")</f>
        <v/>
      </c>
    </row>
    <row r="5220">
      <c r="A5220">
        <f>IFERROR(INDEX('Email Cleaner'!$B$2:$B$10001,MATCH(5219,'Email Cleaner'!$K$2:$K$10001,0)),"")</f>
        <v/>
      </c>
    </row>
    <row r="5221">
      <c r="A5221">
        <f>IFERROR(INDEX('Email Cleaner'!$B$2:$B$10001,MATCH(5220,'Email Cleaner'!$K$2:$K$10001,0)),"")</f>
        <v/>
      </c>
    </row>
    <row r="5222">
      <c r="A5222">
        <f>IFERROR(INDEX('Email Cleaner'!$B$2:$B$10001,MATCH(5221,'Email Cleaner'!$K$2:$K$10001,0)),"")</f>
        <v/>
      </c>
    </row>
    <row r="5223">
      <c r="A5223">
        <f>IFERROR(INDEX('Email Cleaner'!$B$2:$B$10001,MATCH(5222,'Email Cleaner'!$K$2:$K$10001,0)),"")</f>
        <v/>
      </c>
    </row>
    <row r="5224">
      <c r="A5224">
        <f>IFERROR(INDEX('Email Cleaner'!$B$2:$B$10001,MATCH(5223,'Email Cleaner'!$K$2:$K$10001,0)),"")</f>
        <v/>
      </c>
    </row>
    <row r="5225">
      <c r="A5225">
        <f>IFERROR(INDEX('Email Cleaner'!$B$2:$B$10001,MATCH(5224,'Email Cleaner'!$K$2:$K$10001,0)),"")</f>
        <v/>
      </c>
    </row>
    <row r="5226">
      <c r="A5226">
        <f>IFERROR(INDEX('Email Cleaner'!$B$2:$B$10001,MATCH(5225,'Email Cleaner'!$K$2:$K$10001,0)),"")</f>
        <v/>
      </c>
    </row>
    <row r="5227">
      <c r="A5227">
        <f>IFERROR(INDEX('Email Cleaner'!$B$2:$B$10001,MATCH(5226,'Email Cleaner'!$K$2:$K$10001,0)),"")</f>
        <v/>
      </c>
    </row>
    <row r="5228">
      <c r="A5228">
        <f>IFERROR(INDEX('Email Cleaner'!$B$2:$B$10001,MATCH(5227,'Email Cleaner'!$K$2:$K$10001,0)),"")</f>
        <v/>
      </c>
    </row>
    <row r="5229">
      <c r="A5229">
        <f>IFERROR(INDEX('Email Cleaner'!$B$2:$B$10001,MATCH(5228,'Email Cleaner'!$K$2:$K$10001,0)),"")</f>
        <v/>
      </c>
    </row>
    <row r="5230">
      <c r="A5230">
        <f>IFERROR(INDEX('Email Cleaner'!$B$2:$B$10001,MATCH(5229,'Email Cleaner'!$K$2:$K$10001,0)),"")</f>
        <v/>
      </c>
    </row>
    <row r="5231">
      <c r="A5231">
        <f>IFERROR(INDEX('Email Cleaner'!$B$2:$B$10001,MATCH(5230,'Email Cleaner'!$K$2:$K$10001,0)),"")</f>
        <v/>
      </c>
    </row>
    <row r="5232">
      <c r="A5232">
        <f>IFERROR(INDEX('Email Cleaner'!$B$2:$B$10001,MATCH(5231,'Email Cleaner'!$K$2:$K$10001,0)),"")</f>
        <v/>
      </c>
    </row>
    <row r="5233">
      <c r="A5233">
        <f>IFERROR(INDEX('Email Cleaner'!$B$2:$B$10001,MATCH(5232,'Email Cleaner'!$K$2:$K$10001,0)),"")</f>
        <v/>
      </c>
    </row>
    <row r="5234">
      <c r="A5234">
        <f>IFERROR(INDEX('Email Cleaner'!$B$2:$B$10001,MATCH(5233,'Email Cleaner'!$K$2:$K$10001,0)),"")</f>
        <v/>
      </c>
    </row>
    <row r="5235">
      <c r="A5235">
        <f>IFERROR(INDEX('Email Cleaner'!$B$2:$B$10001,MATCH(5234,'Email Cleaner'!$K$2:$K$10001,0)),"")</f>
        <v/>
      </c>
    </row>
    <row r="5236">
      <c r="A5236">
        <f>IFERROR(INDEX('Email Cleaner'!$B$2:$B$10001,MATCH(5235,'Email Cleaner'!$K$2:$K$10001,0)),"")</f>
        <v/>
      </c>
    </row>
    <row r="5237">
      <c r="A5237">
        <f>IFERROR(INDEX('Email Cleaner'!$B$2:$B$10001,MATCH(5236,'Email Cleaner'!$K$2:$K$10001,0)),"")</f>
        <v/>
      </c>
    </row>
    <row r="5238">
      <c r="A5238">
        <f>IFERROR(INDEX('Email Cleaner'!$B$2:$B$10001,MATCH(5237,'Email Cleaner'!$K$2:$K$10001,0)),"")</f>
        <v/>
      </c>
    </row>
    <row r="5239">
      <c r="A5239">
        <f>IFERROR(INDEX('Email Cleaner'!$B$2:$B$10001,MATCH(5238,'Email Cleaner'!$K$2:$K$10001,0)),"")</f>
        <v/>
      </c>
    </row>
    <row r="5240">
      <c r="A5240">
        <f>IFERROR(INDEX('Email Cleaner'!$B$2:$B$10001,MATCH(5239,'Email Cleaner'!$K$2:$K$10001,0)),"")</f>
        <v/>
      </c>
    </row>
    <row r="5241">
      <c r="A5241">
        <f>IFERROR(INDEX('Email Cleaner'!$B$2:$B$10001,MATCH(5240,'Email Cleaner'!$K$2:$K$10001,0)),"")</f>
        <v/>
      </c>
    </row>
    <row r="5242">
      <c r="A5242">
        <f>IFERROR(INDEX('Email Cleaner'!$B$2:$B$10001,MATCH(5241,'Email Cleaner'!$K$2:$K$10001,0)),"")</f>
        <v/>
      </c>
    </row>
    <row r="5243">
      <c r="A5243">
        <f>IFERROR(INDEX('Email Cleaner'!$B$2:$B$10001,MATCH(5242,'Email Cleaner'!$K$2:$K$10001,0)),"")</f>
        <v/>
      </c>
    </row>
    <row r="5244">
      <c r="A5244">
        <f>IFERROR(INDEX('Email Cleaner'!$B$2:$B$10001,MATCH(5243,'Email Cleaner'!$K$2:$K$10001,0)),"")</f>
        <v/>
      </c>
    </row>
    <row r="5245">
      <c r="A5245">
        <f>IFERROR(INDEX('Email Cleaner'!$B$2:$B$10001,MATCH(5244,'Email Cleaner'!$K$2:$K$10001,0)),"")</f>
        <v/>
      </c>
    </row>
    <row r="5246">
      <c r="A5246">
        <f>IFERROR(INDEX('Email Cleaner'!$B$2:$B$10001,MATCH(5245,'Email Cleaner'!$K$2:$K$10001,0)),"")</f>
        <v/>
      </c>
    </row>
    <row r="5247">
      <c r="A5247">
        <f>IFERROR(INDEX('Email Cleaner'!$B$2:$B$10001,MATCH(5246,'Email Cleaner'!$K$2:$K$10001,0)),"")</f>
        <v/>
      </c>
    </row>
    <row r="5248">
      <c r="A5248">
        <f>IFERROR(INDEX('Email Cleaner'!$B$2:$B$10001,MATCH(5247,'Email Cleaner'!$K$2:$K$10001,0)),"")</f>
        <v/>
      </c>
    </row>
    <row r="5249">
      <c r="A5249">
        <f>IFERROR(INDEX('Email Cleaner'!$B$2:$B$10001,MATCH(5248,'Email Cleaner'!$K$2:$K$10001,0)),"")</f>
        <v/>
      </c>
    </row>
    <row r="5250">
      <c r="A5250">
        <f>IFERROR(INDEX('Email Cleaner'!$B$2:$B$10001,MATCH(5249,'Email Cleaner'!$K$2:$K$10001,0)),"")</f>
        <v/>
      </c>
    </row>
    <row r="5251">
      <c r="A5251">
        <f>IFERROR(INDEX('Email Cleaner'!$B$2:$B$10001,MATCH(5250,'Email Cleaner'!$K$2:$K$10001,0)),"")</f>
        <v/>
      </c>
    </row>
    <row r="5252">
      <c r="A5252">
        <f>IFERROR(INDEX('Email Cleaner'!$B$2:$B$10001,MATCH(5251,'Email Cleaner'!$K$2:$K$10001,0)),"")</f>
        <v/>
      </c>
    </row>
    <row r="5253">
      <c r="A5253">
        <f>IFERROR(INDEX('Email Cleaner'!$B$2:$B$10001,MATCH(5252,'Email Cleaner'!$K$2:$K$10001,0)),"")</f>
        <v/>
      </c>
    </row>
    <row r="5254">
      <c r="A5254">
        <f>IFERROR(INDEX('Email Cleaner'!$B$2:$B$10001,MATCH(5253,'Email Cleaner'!$K$2:$K$10001,0)),"")</f>
        <v/>
      </c>
    </row>
    <row r="5255">
      <c r="A5255">
        <f>IFERROR(INDEX('Email Cleaner'!$B$2:$B$10001,MATCH(5254,'Email Cleaner'!$K$2:$K$10001,0)),"")</f>
        <v/>
      </c>
    </row>
    <row r="5256">
      <c r="A5256">
        <f>IFERROR(INDEX('Email Cleaner'!$B$2:$B$10001,MATCH(5255,'Email Cleaner'!$K$2:$K$10001,0)),"")</f>
        <v/>
      </c>
    </row>
    <row r="5257">
      <c r="A5257">
        <f>IFERROR(INDEX('Email Cleaner'!$B$2:$B$10001,MATCH(5256,'Email Cleaner'!$K$2:$K$10001,0)),"")</f>
        <v/>
      </c>
    </row>
    <row r="5258">
      <c r="A5258">
        <f>IFERROR(INDEX('Email Cleaner'!$B$2:$B$10001,MATCH(5257,'Email Cleaner'!$K$2:$K$10001,0)),"")</f>
        <v/>
      </c>
    </row>
    <row r="5259">
      <c r="A5259">
        <f>IFERROR(INDEX('Email Cleaner'!$B$2:$B$10001,MATCH(5258,'Email Cleaner'!$K$2:$K$10001,0)),"")</f>
        <v/>
      </c>
    </row>
    <row r="5260">
      <c r="A5260">
        <f>IFERROR(INDEX('Email Cleaner'!$B$2:$B$10001,MATCH(5259,'Email Cleaner'!$K$2:$K$10001,0)),"")</f>
        <v/>
      </c>
    </row>
    <row r="5261">
      <c r="A5261">
        <f>IFERROR(INDEX('Email Cleaner'!$B$2:$B$10001,MATCH(5260,'Email Cleaner'!$K$2:$K$10001,0)),"")</f>
        <v/>
      </c>
    </row>
    <row r="5262">
      <c r="A5262">
        <f>IFERROR(INDEX('Email Cleaner'!$B$2:$B$10001,MATCH(5261,'Email Cleaner'!$K$2:$K$10001,0)),"")</f>
        <v/>
      </c>
    </row>
    <row r="5263">
      <c r="A5263">
        <f>IFERROR(INDEX('Email Cleaner'!$B$2:$B$10001,MATCH(5262,'Email Cleaner'!$K$2:$K$10001,0)),"")</f>
        <v/>
      </c>
    </row>
    <row r="5264">
      <c r="A5264">
        <f>IFERROR(INDEX('Email Cleaner'!$B$2:$B$10001,MATCH(5263,'Email Cleaner'!$K$2:$K$10001,0)),"")</f>
        <v/>
      </c>
    </row>
    <row r="5265">
      <c r="A5265">
        <f>IFERROR(INDEX('Email Cleaner'!$B$2:$B$10001,MATCH(5264,'Email Cleaner'!$K$2:$K$10001,0)),"")</f>
        <v/>
      </c>
    </row>
    <row r="5266">
      <c r="A5266">
        <f>IFERROR(INDEX('Email Cleaner'!$B$2:$B$10001,MATCH(5265,'Email Cleaner'!$K$2:$K$10001,0)),"")</f>
        <v/>
      </c>
    </row>
    <row r="5267">
      <c r="A5267">
        <f>IFERROR(INDEX('Email Cleaner'!$B$2:$B$10001,MATCH(5266,'Email Cleaner'!$K$2:$K$10001,0)),"")</f>
        <v/>
      </c>
    </row>
    <row r="5268">
      <c r="A5268">
        <f>IFERROR(INDEX('Email Cleaner'!$B$2:$B$10001,MATCH(5267,'Email Cleaner'!$K$2:$K$10001,0)),"")</f>
        <v/>
      </c>
    </row>
    <row r="5269">
      <c r="A5269">
        <f>IFERROR(INDEX('Email Cleaner'!$B$2:$B$10001,MATCH(5268,'Email Cleaner'!$K$2:$K$10001,0)),"")</f>
        <v/>
      </c>
    </row>
    <row r="5270">
      <c r="A5270">
        <f>IFERROR(INDEX('Email Cleaner'!$B$2:$B$10001,MATCH(5269,'Email Cleaner'!$K$2:$K$10001,0)),"")</f>
        <v/>
      </c>
    </row>
    <row r="5271">
      <c r="A5271">
        <f>IFERROR(INDEX('Email Cleaner'!$B$2:$B$10001,MATCH(5270,'Email Cleaner'!$K$2:$K$10001,0)),"")</f>
        <v/>
      </c>
    </row>
    <row r="5272">
      <c r="A5272">
        <f>IFERROR(INDEX('Email Cleaner'!$B$2:$B$10001,MATCH(5271,'Email Cleaner'!$K$2:$K$10001,0)),"")</f>
        <v/>
      </c>
    </row>
    <row r="5273">
      <c r="A5273">
        <f>IFERROR(INDEX('Email Cleaner'!$B$2:$B$10001,MATCH(5272,'Email Cleaner'!$K$2:$K$10001,0)),"")</f>
        <v/>
      </c>
    </row>
    <row r="5274">
      <c r="A5274">
        <f>IFERROR(INDEX('Email Cleaner'!$B$2:$B$10001,MATCH(5273,'Email Cleaner'!$K$2:$K$10001,0)),"")</f>
        <v/>
      </c>
    </row>
    <row r="5275">
      <c r="A5275">
        <f>IFERROR(INDEX('Email Cleaner'!$B$2:$B$10001,MATCH(5274,'Email Cleaner'!$K$2:$K$10001,0)),"")</f>
        <v/>
      </c>
    </row>
    <row r="5276">
      <c r="A5276">
        <f>IFERROR(INDEX('Email Cleaner'!$B$2:$B$10001,MATCH(5275,'Email Cleaner'!$K$2:$K$10001,0)),"")</f>
        <v/>
      </c>
    </row>
    <row r="5277">
      <c r="A5277">
        <f>IFERROR(INDEX('Email Cleaner'!$B$2:$B$10001,MATCH(5276,'Email Cleaner'!$K$2:$K$10001,0)),"")</f>
        <v/>
      </c>
    </row>
    <row r="5278">
      <c r="A5278">
        <f>IFERROR(INDEX('Email Cleaner'!$B$2:$B$10001,MATCH(5277,'Email Cleaner'!$K$2:$K$10001,0)),"")</f>
        <v/>
      </c>
    </row>
    <row r="5279">
      <c r="A5279">
        <f>IFERROR(INDEX('Email Cleaner'!$B$2:$B$10001,MATCH(5278,'Email Cleaner'!$K$2:$K$10001,0)),"")</f>
        <v/>
      </c>
    </row>
    <row r="5280">
      <c r="A5280">
        <f>IFERROR(INDEX('Email Cleaner'!$B$2:$B$10001,MATCH(5279,'Email Cleaner'!$K$2:$K$10001,0)),"")</f>
        <v/>
      </c>
    </row>
    <row r="5281">
      <c r="A5281">
        <f>IFERROR(INDEX('Email Cleaner'!$B$2:$B$10001,MATCH(5280,'Email Cleaner'!$K$2:$K$10001,0)),"")</f>
        <v/>
      </c>
    </row>
    <row r="5282">
      <c r="A5282">
        <f>IFERROR(INDEX('Email Cleaner'!$B$2:$B$10001,MATCH(5281,'Email Cleaner'!$K$2:$K$10001,0)),"")</f>
        <v/>
      </c>
    </row>
    <row r="5283">
      <c r="A5283">
        <f>IFERROR(INDEX('Email Cleaner'!$B$2:$B$10001,MATCH(5282,'Email Cleaner'!$K$2:$K$10001,0)),"")</f>
        <v/>
      </c>
    </row>
    <row r="5284">
      <c r="A5284">
        <f>IFERROR(INDEX('Email Cleaner'!$B$2:$B$10001,MATCH(5283,'Email Cleaner'!$K$2:$K$10001,0)),"")</f>
        <v/>
      </c>
    </row>
    <row r="5285">
      <c r="A5285">
        <f>IFERROR(INDEX('Email Cleaner'!$B$2:$B$10001,MATCH(5284,'Email Cleaner'!$K$2:$K$10001,0)),"")</f>
        <v/>
      </c>
    </row>
    <row r="5286">
      <c r="A5286">
        <f>IFERROR(INDEX('Email Cleaner'!$B$2:$B$10001,MATCH(5285,'Email Cleaner'!$K$2:$K$10001,0)),"")</f>
        <v/>
      </c>
    </row>
    <row r="5287">
      <c r="A5287">
        <f>IFERROR(INDEX('Email Cleaner'!$B$2:$B$10001,MATCH(5286,'Email Cleaner'!$K$2:$K$10001,0)),"")</f>
        <v/>
      </c>
    </row>
    <row r="5288">
      <c r="A5288">
        <f>IFERROR(INDEX('Email Cleaner'!$B$2:$B$10001,MATCH(5287,'Email Cleaner'!$K$2:$K$10001,0)),"")</f>
        <v/>
      </c>
    </row>
    <row r="5289">
      <c r="A5289">
        <f>IFERROR(INDEX('Email Cleaner'!$B$2:$B$10001,MATCH(5288,'Email Cleaner'!$K$2:$K$10001,0)),"")</f>
        <v/>
      </c>
    </row>
    <row r="5290">
      <c r="A5290">
        <f>IFERROR(INDEX('Email Cleaner'!$B$2:$B$10001,MATCH(5289,'Email Cleaner'!$K$2:$K$10001,0)),"")</f>
        <v/>
      </c>
    </row>
    <row r="5291">
      <c r="A5291">
        <f>IFERROR(INDEX('Email Cleaner'!$B$2:$B$10001,MATCH(5290,'Email Cleaner'!$K$2:$K$10001,0)),"")</f>
        <v/>
      </c>
    </row>
    <row r="5292">
      <c r="A5292">
        <f>IFERROR(INDEX('Email Cleaner'!$B$2:$B$10001,MATCH(5291,'Email Cleaner'!$K$2:$K$10001,0)),"")</f>
        <v/>
      </c>
    </row>
    <row r="5293">
      <c r="A5293">
        <f>IFERROR(INDEX('Email Cleaner'!$B$2:$B$10001,MATCH(5292,'Email Cleaner'!$K$2:$K$10001,0)),"")</f>
        <v/>
      </c>
    </row>
    <row r="5294">
      <c r="A5294">
        <f>IFERROR(INDEX('Email Cleaner'!$B$2:$B$10001,MATCH(5293,'Email Cleaner'!$K$2:$K$10001,0)),"")</f>
        <v/>
      </c>
    </row>
    <row r="5295">
      <c r="A5295">
        <f>IFERROR(INDEX('Email Cleaner'!$B$2:$B$10001,MATCH(5294,'Email Cleaner'!$K$2:$K$10001,0)),"")</f>
        <v/>
      </c>
    </row>
    <row r="5296">
      <c r="A5296">
        <f>IFERROR(INDEX('Email Cleaner'!$B$2:$B$10001,MATCH(5295,'Email Cleaner'!$K$2:$K$10001,0)),"")</f>
        <v/>
      </c>
    </row>
    <row r="5297">
      <c r="A5297">
        <f>IFERROR(INDEX('Email Cleaner'!$B$2:$B$10001,MATCH(5296,'Email Cleaner'!$K$2:$K$10001,0)),"")</f>
        <v/>
      </c>
    </row>
    <row r="5298">
      <c r="A5298">
        <f>IFERROR(INDEX('Email Cleaner'!$B$2:$B$10001,MATCH(5297,'Email Cleaner'!$K$2:$K$10001,0)),"")</f>
        <v/>
      </c>
    </row>
    <row r="5299">
      <c r="A5299">
        <f>IFERROR(INDEX('Email Cleaner'!$B$2:$B$10001,MATCH(5298,'Email Cleaner'!$K$2:$K$10001,0)),"")</f>
        <v/>
      </c>
    </row>
    <row r="5300">
      <c r="A5300">
        <f>IFERROR(INDEX('Email Cleaner'!$B$2:$B$10001,MATCH(5299,'Email Cleaner'!$K$2:$K$10001,0)),"")</f>
        <v/>
      </c>
    </row>
    <row r="5301">
      <c r="A5301">
        <f>IFERROR(INDEX('Email Cleaner'!$B$2:$B$10001,MATCH(5300,'Email Cleaner'!$K$2:$K$10001,0)),"")</f>
        <v/>
      </c>
    </row>
    <row r="5302">
      <c r="A5302">
        <f>IFERROR(INDEX('Email Cleaner'!$B$2:$B$10001,MATCH(5301,'Email Cleaner'!$K$2:$K$10001,0)),"")</f>
        <v/>
      </c>
    </row>
    <row r="5303">
      <c r="A5303">
        <f>IFERROR(INDEX('Email Cleaner'!$B$2:$B$10001,MATCH(5302,'Email Cleaner'!$K$2:$K$10001,0)),"")</f>
        <v/>
      </c>
    </row>
    <row r="5304">
      <c r="A5304">
        <f>IFERROR(INDEX('Email Cleaner'!$B$2:$B$10001,MATCH(5303,'Email Cleaner'!$K$2:$K$10001,0)),"")</f>
        <v/>
      </c>
    </row>
    <row r="5305">
      <c r="A5305">
        <f>IFERROR(INDEX('Email Cleaner'!$B$2:$B$10001,MATCH(5304,'Email Cleaner'!$K$2:$K$10001,0)),"")</f>
        <v/>
      </c>
    </row>
    <row r="5306">
      <c r="A5306">
        <f>IFERROR(INDEX('Email Cleaner'!$B$2:$B$10001,MATCH(5305,'Email Cleaner'!$K$2:$K$10001,0)),"")</f>
        <v/>
      </c>
    </row>
    <row r="5307">
      <c r="A5307">
        <f>IFERROR(INDEX('Email Cleaner'!$B$2:$B$10001,MATCH(5306,'Email Cleaner'!$K$2:$K$10001,0)),"")</f>
        <v/>
      </c>
    </row>
    <row r="5308">
      <c r="A5308">
        <f>IFERROR(INDEX('Email Cleaner'!$B$2:$B$10001,MATCH(5307,'Email Cleaner'!$K$2:$K$10001,0)),"")</f>
        <v/>
      </c>
    </row>
    <row r="5309">
      <c r="A5309">
        <f>IFERROR(INDEX('Email Cleaner'!$B$2:$B$10001,MATCH(5308,'Email Cleaner'!$K$2:$K$10001,0)),"")</f>
        <v/>
      </c>
    </row>
    <row r="5310">
      <c r="A5310">
        <f>IFERROR(INDEX('Email Cleaner'!$B$2:$B$10001,MATCH(5309,'Email Cleaner'!$K$2:$K$10001,0)),"")</f>
        <v/>
      </c>
    </row>
    <row r="5311">
      <c r="A5311">
        <f>IFERROR(INDEX('Email Cleaner'!$B$2:$B$10001,MATCH(5310,'Email Cleaner'!$K$2:$K$10001,0)),"")</f>
        <v/>
      </c>
    </row>
    <row r="5312">
      <c r="A5312">
        <f>IFERROR(INDEX('Email Cleaner'!$B$2:$B$10001,MATCH(5311,'Email Cleaner'!$K$2:$K$10001,0)),"")</f>
        <v/>
      </c>
    </row>
    <row r="5313">
      <c r="A5313">
        <f>IFERROR(INDEX('Email Cleaner'!$B$2:$B$10001,MATCH(5312,'Email Cleaner'!$K$2:$K$10001,0)),"")</f>
        <v/>
      </c>
    </row>
    <row r="5314">
      <c r="A5314">
        <f>IFERROR(INDEX('Email Cleaner'!$B$2:$B$10001,MATCH(5313,'Email Cleaner'!$K$2:$K$10001,0)),"")</f>
        <v/>
      </c>
    </row>
    <row r="5315">
      <c r="A5315">
        <f>IFERROR(INDEX('Email Cleaner'!$B$2:$B$10001,MATCH(5314,'Email Cleaner'!$K$2:$K$10001,0)),"")</f>
        <v/>
      </c>
    </row>
    <row r="5316">
      <c r="A5316">
        <f>IFERROR(INDEX('Email Cleaner'!$B$2:$B$10001,MATCH(5315,'Email Cleaner'!$K$2:$K$10001,0)),"")</f>
        <v/>
      </c>
    </row>
    <row r="5317">
      <c r="A5317">
        <f>IFERROR(INDEX('Email Cleaner'!$B$2:$B$10001,MATCH(5316,'Email Cleaner'!$K$2:$K$10001,0)),"")</f>
        <v/>
      </c>
    </row>
    <row r="5318">
      <c r="A5318">
        <f>IFERROR(INDEX('Email Cleaner'!$B$2:$B$10001,MATCH(5317,'Email Cleaner'!$K$2:$K$10001,0)),"")</f>
        <v/>
      </c>
    </row>
    <row r="5319">
      <c r="A5319">
        <f>IFERROR(INDEX('Email Cleaner'!$B$2:$B$10001,MATCH(5318,'Email Cleaner'!$K$2:$K$10001,0)),"")</f>
        <v/>
      </c>
    </row>
    <row r="5320">
      <c r="A5320">
        <f>IFERROR(INDEX('Email Cleaner'!$B$2:$B$10001,MATCH(5319,'Email Cleaner'!$K$2:$K$10001,0)),"")</f>
        <v/>
      </c>
    </row>
    <row r="5321">
      <c r="A5321">
        <f>IFERROR(INDEX('Email Cleaner'!$B$2:$B$10001,MATCH(5320,'Email Cleaner'!$K$2:$K$10001,0)),"")</f>
        <v/>
      </c>
    </row>
    <row r="5322">
      <c r="A5322">
        <f>IFERROR(INDEX('Email Cleaner'!$B$2:$B$10001,MATCH(5321,'Email Cleaner'!$K$2:$K$10001,0)),"")</f>
        <v/>
      </c>
    </row>
    <row r="5323">
      <c r="A5323">
        <f>IFERROR(INDEX('Email Cleaner'!$B$2:$B$10001,MATCH(5322,'Email Cleaner'!$K$2:$K$10001,0)),"")</f>
        <v/>
      </c>
    </row>
    <row r="5324">
      <c r="A5324">
        <f>IFERROR(INDEX('Email Cleaner'!$B$2:$B$10001,MATCH(5323,'Email Cleaner'!$K$2:$K$10001,0)),"")</f>
        <v/>
      </c>
    </row>
    <row r="5325">
      <c r="A5325">
        <f>IFERROR(INDEX('Email Cleaner'!$B$2:$B$10001,MATCH(5324,'Email Cleaner'!$K$2:$K$10001,0)),"")</f>
        <v/>
      </c>
    </row>
    <row r="5326">
      <c r="A5326">
        <f>IFERROR(INDEX('Email Cleaner'!$B$2:$B$10001,MATCH(5325,'Email Cleaner'!$K$2:$K$10001,0)),"")</f>
        <v/>
      </c>
    </row>
    <row r="5327">
      <c r="A5327">
        <f>IFERROR(INDEX('Email Cleaner'!$B$2:$B$10001,MATCH(5326,'Email Cleaner'!$K$2:$K$10001,0)),"")</f>
        <v/>
      </c>
    </row>
    <row r="5328">
      <c r="A5328">
        <f>IFERROR(INDEX('Email Cleaner'!$B$2:$B$10001,MATCH(5327,'Email Cleaner'!$K$2:$K$10001,0)),"")</f>
        <v/>
      </c>
    </row>
    <row r="5329">
      <c r="A5329">
        <f>IFERROR(INDEX('Email Cleaner'!$B$2:$B$10001,MATCH(5328,'Email Cleaner'!$K$2:$K$10001,0)),"")</f>
        <v/>
      </c>
    </row>
    <row r="5330">
      <c r="A5330">
        <f>IFERROR(INDEX('Email Cleaner'!$B$2:$B$10001,MATCH(5329,'Email Cleaner'!$K$2:$K$10001,0)),"")</f>
        <v/>
      </c>
    </row>
    <row r="5331">
      <c r="A5331">
        <f>IFERROR(INDEX('Email Cleaner'!$B$2:$B$10001,MATCH(5330,'Email Cleaner'!$K$2:$K$10001,0)),"")</f>
        <v/>
      </c>
    </row>
    <row r="5332">
      <c r="A5332">
        <f>IFERROR(INDEX('Email Cleaner'!$B$2:$B$10001,MATCH(5331,'Email Cleaner'!$K$2:$K$10001,0)),"")</f>
        <v/>
      </c>
    </row>
    <row r="5333">
      <c r="A5333">
        <f>IFERROR(INDEX('Email Cleaner'!$B$2:$B$10001,MATCH(5332,'Email Cleaner'!$K$2:$K$10001,0)),"")</f>
        <v/>
      </c>
    </row>
    <row r="5334">
      <c r="A5334">
        <f>IFERROR(INDEX('Email Cleaner'!$B$2:$B$10001,MATCH(5333,'Email Cleaner'!$K$2:$K$10001,0)),"")</f>
        <v/>
      </c>
    </row>
    <row r="5335">
      <c r="A5335">
        <f>IFERROR(INDEX('Email Cleaner'!$B$2:$B$10001,MATCH(5334,'Email Cleaner'!$K$2:$K$10001,0)),"")</f>
        <v/>
      </c>
    </row>
    <row r="5336">
      <c r="A5336">
        <f>IFERROR(INDEX('Email Cleaner'!$B$2:$B$10001,MATCH(5335,'Email Cleaner'!$K$2:$K$10001,0)),"")</f>
        <v/>
      </c>
    </row>
    <row r="5337">
      <c r="A5337">
        <f>IFERROR(INDEX('Email Cleaner'!$B$2:$B$10001,MATCH(5336,'Email Cleaner'!$K$2:$K$10001,0)),"")</f>
        <v/>
      </c>
    </row>
    <row r="5338">
      <c r="A5338">
        <f>IFERROR(INDEX('Email Cleaner'!$B$2:$B$10001,MATCH(5337,'Email Cleaner'!$K$2:$K$10001,0)),"")</f>
        <v/>
      </c>
    </row>
    <row r="5339">
      <c r="A5339">
        <f>IFERROR(INDEX('Email Cleaner'!$B$2:$B$10001,MATCH(5338,'Email Cleaner'!$K$2:$K$10001,0)),"")</f>
        <v/>
      </c>
    </row>
    <row r="5340">
      <c r="A5340">
        <f>IFERROR(INDEX('Email Cleaner'!$B$2:$B$10001,MATCH(5339,'Email Cleaner'!$K$2:$K$10001,0)),"")</f>
        <v/>
      </c>
    </row>
    <row r="5341">
      <c r="A5341">
        <f>IFERROR(INDEX('Email Cleaner'!$B$2:$B$10001,MATCH(5340,'Email Cleaner'!$K$2:$K$10001,0)),"")</f>
        <v/>
      </c>
    </row>
    <row r="5342">
      <c r="A5342">
        <f>IFERROR(INDEX('Email Cleaner'!$B$2:$B$10001,MATCH(5341,'Email Cleaner'!$K$2:$K$10001,0)),"")</f>
        <v/>
      </c>
    </row>
    <row r="5343">
      <c r="A5343">
        <f>IFERROR(INDEX('Email Cleaner'!$B$2:$B$10001,MATCH(5342,'Email Cleaner'!$K$2:$K$10001,0)),"")</f>
        <v/>
      </c>
    </row>
    <row r="5344">
      <c r="A5344">
        <f>IFERROR(INDEX('Email Cleaner'!$B$2:$B$10001,MATCH(5343,'Email Cleaner'!$K$2:$K$10001,0)),"")</f>
        <v/>
      </c>
    </row>
    <row r="5345">
      <c r="A5345">
        <f>IFERROR(INDEX('Email Cleaner'!$B$2:$B$10001,MATCH(5344,'Email Cleaner'!$K$2:$K$10001,0)),"")</f>
        <v/>
      </c>
    </row>
    <row r="5346">
      <c r="A5346">
        <f>IFERROR(INDEX('Email Cleaner'!$B$2:$B$10001,MATCH(5345,'Email Cleaner'!$K$2:$K$10001,0)),"")</f>
        <v/>
      </c>
    </row>
    <row r="5347">
      <c r="A5347">
        <f>IFERROR(INDEX('Email Cleaner'!$B$2:$B$10001,MATCH(5346,'Email Cleaner'!$K$2:$K$10001,0)),"")</f>
        <v/>
      </c>
    </row>
    <row r="5348">
      <c r="A5348">
        <f>IFERROR(INDEX('Email Cleaner'!$B$2:$B$10001,MATCH(5347,'Email Cleaner'!$K$2:$K$10001,0)),"")</f>
        <v/>
      </c>
    </row>
    <row r="5349">
      <c r="A5349">
        <f>IFERROR(INDEX('Email Cleaner'!$B$2:$B$10001,MATCH(5348,'Email Cleaner'!$K$2:$K$10001,0)),"")</f>
        <v/>
      </c>
    </row>
    <row r="5350">
      <c r="A5350">
        <f>IFERROR(INDEX('Email Cleaner'!$B$2:$B$10001,MATCH(5349,'Email Cleaner'!$K$2:$K$10001,0)),"")</f>
        <v/>
      </c>
    </row>
    <row r="5351">
      <c r="A5351">
        <f>IFERROR(INDEX('Email Cleaner'!$B$2:$B$10001,MATCH(5350,'Email Cleaner'!$K$2:$K$10001,0)),"")</f>
        <v/>
      </c>
    </row>
    <row r="5352">
      <c r="A5352">
        <f>IFERROR(INDEX('Email Cleaner'!$B$2:$B$10001,MATCH(5351,'Email Cleaner'!$K$2:$K$10001,0)),"")</f>
        <v/>
      </c>
    </row>
    <row r="5353">
      <c r="A5353">
        <f>IFERROR(INDEX('Email Cleaner'!$B$2:$B$10001,MATCH(5352,'Email Cleaner'!$K$2:$K$10001,0)),"")</f>
        <v/>
      </c>
    </row>
    <row r="5354">
      <c r="A5354">
        <f>IFERROR(INDEX('Email Cleaner'!$B$2:$B$10001,MATCH(5353,'Email Cleaner'!$K$2:$K$10001,0)),"")</f>
        <v/>
      </c>
    </row>
    <row r="5355">
      <c r="A5355">
        <f>IFERROR(INDEX('Email Cleaner'!$B$2:$B$10001,MATCH(5354,'Email Cleaner'!$K$2:$K$10001,0)),"")</f>
        <v/>
      </c>
    </row>
    <row r="5356">
      <c r="A5356">
        <f>IFERROR(INDEX('Email Cleaner'!$B$2:$B$10001,MATCH(5355,'Email Cleaner'!$K$2:$K$10001,0)),"")</f>
        <v/>
      </c>
    </row>
    <row r="5357">
      <c r="A5357">
        <f>IFERROR(INDEX('Email Cleaner'!$B$2:$B$10001,MATCH(5356,'Email Cleaner'!$K$2:$K$10001,0)),"")</f>
        <v/>
      </c>
    </row>
    <row r="5358">
      <c r="A5358">
        <f>IFERROR(INDEX('Email Cleaner'!$B$2:$B$10001,MATCH(5357,'Email Cleaner'!$K$2:$K$10001,0)),"")</f>
        <v/>
      </c>
    </row>
    <row r="5359">
      <c r="A5359">
        <f>IFERROR(INDEX('Email Cleaner'!$B$2:$B$10001,MATCH(5358,'Email Cleaner'!$K$2:$K$10001,0)),"")</f>
        <v/>
      </c>
    </row>
    <row r="5360">
      <c r="A5360">
        <f>IFERROR(INDEX('Email Cleaner'!$B$2:$B$10001,MATCH(5359,'Email Cleaner'!$K$2:$K$10001,0)),"")</f>
        <v/>
      </c>
    </row>
    <row r="5361">
      <c r="A5361">
        <f>IFERROR(INDEX('Email Cleaner'!$B$2:$B$10001,MATCH(5360,'Email Cleaner'!$K$2:$K$10001,0)),"")</f>
        <v/>
      </c>
    </row>
    <row r="5362">
      <c r="A5362">
        <f>IFERROR(INDEX('Email Cleaner'!$B$2:$B$10001,MATCH(5361,'Email Cleaner'!$K$2:$K$10001,0)),"")</f>
        <v/>
      </c>
    </row>
    <row r="5363">
      <c r="A5363">
        <f>IFERROR(INDEX('Email Cleaner'!$B$2:$B$10001,MATCH(5362,'Email Cleaner'!$K$2:$K$10001,0)),"")</f>
        <v/>
      </c>
    </row>
    <row r="5364">
      <c r="A5364">
        <f>IFERROR(INDEX('Email Cleaner'!$B$2:$B$10001,MATCH(5363,'Email Cleaner'!$K$2:$K$10001,0)),"")</f>
        <v/>
      </c>
    </row>
    <row r="5365">
      <c r="A5365">
        <f>IFERROR(INDEX('Email Cleaner'!$B$2:$B$10001,MATCH(5364,'Email Cleaner'!$K$2:$K$10001,0)),"")</f>
        <v/>
      </c>
    </row>
    <row r="5366">
      <c r="A5366">
        <f>IFERROR(INDEX('Email Cleaner'!$B$2:$B$10001,MATCH(5365,'Email Cleaner'!$K$2:$K$10001,0)),"")</f>
        <v/>
      </c>
    </row>
    <row r="5367">
      <c r="A5367">
        <f>IFERROR(INDEX('Email Cleaner'!$B$2:$B$10001,MATCH(5366,'Email Cleaner'!$K$2:$K$10001,0)),"")</f>
        <v/>
      </c>
    </row>
    <row r="5368">
      <c r="A5368">
        <f>IFERROR(INDEX('Email Cleaner'!$B$2:$B$10001,MATCH(5367,'Email Cleaner'!$K$2:$K$10001,0)),"")</f>
        <v/>
      </c>
    </row>
    <row r="5369">
      <c r="A5369">
        <f>IFERROR(INDEX('Email Cleaner'!$B$2:$B$10001,MATCH(5368,'Email Cleaner'!$K$2:$K$10001,0)),"")</f>
        <v/>
      </c>
    </row>
    <row r="5370">
      <c r="A5370">
        <f>IFERROR(INDEX('Email Cleaner'!$B$2:$B$10001,MATCH(5369,'Email Cleaner'!$K$2:$K$10001,0)),"")</f>
        <v/>
      </c>
    </row>
    <row r="5371">
      <c r="A5371">
        <f>IFERROR(INDEX('Email Cleaner'!$B$2:$B$10001,MATCH(5370,'Email Cleaner'!$K$2:$K$10001,0)),"")</f>
        <v/>
      </c>
    </row>
    <row r="5372">
      <c r="A5372">
        <f>IFERROR(INDEX('Email Cleaner'!$B$2:$B$10001,MATCH(5371,'Email Cleaner'!$K$2:$K$10001,0)),"")</f>
        <v/>
      </c>
    </row>
    <row r="5373">
      <c r="A5373">
        <f>IFERROR(INDEX('Email Cleaner'!$B$2:$B$10001,MATCH(5372,'Email Cleaner'!$K$2:$K$10001,0)),"")</f>
        <v/>
      </c>
    </row>
    <row r="5374">
      <c r="A5374">
        <f>IFERROR(INDEX('Email Cleaner'!$B$2:$B$10001,MATCH(5373,'Email Cleaner'!$K$2:$K$10001,0)),"")</f>
        <v/>
      </c>
    </row>
    <row r="5375">
      <c r="A5375">
        <f>IFERROR(INDEX('Email Cleaner'!$B$2:$B$10001,MATCH(5374,'Email Cleaner'!$K$2:$K$10001,0)),"")</f>
        <v/>
      </c>
    </row>
    <row r="5376">
      <c r="A5376">
        <f>IFERROR(INDEX('Email Cleaner'!$B$2:$B$10001,MATCH(5375,'Email Cleaner'!$K$2:$K$10001,0)),"")</f>
        <v/>
      </c>
    </row>
    <row r="5377">
      <c r="A5377">
        <f>IFERROR(INDEX('Email Cleaner'!$B$2:$B$10001,MATCH(5376,'Email Cleaner'!$K$2:$K$10001,0)),"")</f>
        <v/>
      </c>
    </row>
    <row r="5378">
      <c r="A5378">
        <f>IFERROR(INDEX('Email Cleaner'!$B$2:$B$10001,MATCH(5377,'Email Cleaner'!$K$2:$K$10001,0)),"")</f>
        <v/>
      </c>
    </row>
    <row r="5379">
      <c r="A5379">
        <f>IFERROR(INDEX('Email Cleaner'!$B$2:$B$10001,MATCH(5378,'Email Cleaner'!$K$2:$K$10001,0)),"")</f>
        <v/>
      </c>
    </row>
    <row r="5380">
      <c r="A5380">
        <f>IFERROR(INDEX('Email Cleaner'!$B$2:$B$10001,MATCH(5379,'Email Cleaner'!$K$2:$K$10001,0)),"")</f>
        <v/>
      </c>
    </row>
    <row r="5381">
      <c r="A5381">
        <f>IFERROR(INDEX('Email Cleaner'!$B$2:$B$10001,MATCH(5380,'Email Cleaner'!$K$2:$K$10001,0)),"")</f>
        <v/>
      </c>
    </row>
    <row r="5382">
      <c r="A5382">
        <f>IFERROR(INDEX('Email Cleaner'!$B$2:$B$10001,MATCH(5381,'Email Cleaner'!$K$2:$K$10001,0)),"")</f>
        <v/>
      </c>
    </row>
    <row r="5383">
      <c r="A5383">
        <f>IFERROR(INDEX('Email Cleaner'!$B$2:$B$10001,MATCH(5382,'Email Cleaner'!$K$2:$K$10001,0)),"")</f>
        <v/>
      </c>
    </row>
    <row r="5384">
      <c r="A5384">
        <f>IFERROR(INDEX('Email Cleaner'!$B$2:$B$10001,MATCH(5383,'Email Cleaner'!$K$2:$K$10001,0)),"")</f>
        <v/>
      </c>
    </row>
    <row r="5385">
      <c r="A5385">
        <f>IFERROR(INDEX('Email Cleaner'!$B$2:$B$10001,MATCH(5384,'Email Cleaner'!$K$2:$K$10001,0)),"")</f>
        <v/>
      </c>
    </row>
    <row r="5386">
      <c r="A5386">
        <f>IFERROR(INDEX('Email Cleaner'!$B$2:$B$10001,MATCH(5385,'Email Cleaner'!$K$2:$K$10001,0)),"")</f>
        <v/>
      </c>
    </row>
    <row r="5387">
      <c r="A5387">
        <f>IFERROR(INDEX('Email Cleaner'!$B$2:$B$10001,MATCH(5386,'Email Cleaner'!$K$2:$K$10001,0)),"")</f>
        <v/>
      </c>
    </row>
    <row r="5388">
      <c r="A5388">
        <f>IFERROR(INDEX('Email Cleaner'!$B$2:$B$10001,MATCH(5387,'Email Cleaner'!$K$2:$K$10001,0)),"")</f>
        <v/>
      </c>
    </row>
    <row r="5389">
      <c r="A5389">
        <f>IFERROR(INDEX('Email Cleaner'!$B$2:$B$10001,MATCH(5388,'Email Cleaner'!$K$2:$K$10001,0)),"")</f>
        <v/>
      </c>
    </row>
    <row r="5390">
      <c r="A5390">
        <f>IFERROR(INDEX('Email Cleaner'!$B$2:$B$10001,MATCH(5389,'Email Cleaner'!$K$2:$K$10001,0)),"")</f>
        <v/>
      </c>
    </row>
    <row r="5391">
      <c r="A5391">
        <f>IFERROR(INDEX('Email Cleaner'!$B$2:$B$10001,MATCH(5390,'Email Cleaner'!$K$2:$K$10001,0)),"")</f>
        <v/>
      </c>
    </row>
    <row r="5392">
      <c r="A5392">
        <f>IFERROR(INDEX('Email Cleaner'!$B$2:$B$10001,MATCH(5391,'Email Cleaner'!$K$2:$K$10001,0)),"")</f>
        <v/>
      </c>
    </row>
    <row r="5393">
      <c r="A5393">
        <f>IFERROR(INDEX('Email Cleaner'!$B$2:$B$10001,MATCH(5392,'Email Cleaner'!$K$2:$K$10001,0)),"")</f>
        <v/>
      </c>
    </row>
    <row r="5394">
      <c r="A5394">
        <f>IFERROR(INDEX('Email Cleaner'!$B$2:$B$10001,MATCH(5393,'Email Cleaner'!$K$2:$K$10001,0)),"")</f>
        <v/>
      </c>
    </row>
    <row r="5395">
      <c r="A5395">
        <f>IFERROR(INDEX('Email Cleaner'!$B$2:$B$10001,MATCH(5394,'Email Cleaner'!$K$2:$K$10001,0)),"")</f>
        <v/>
      </c>
    </row>
    <row r="5396">
      <c r="A5396">
        <f>IFERROR(INDEX('Email Cleaner'!$B$2:$B$10001,MATCH(5395,'Email Cleaner'!$K$2:$K$10001,0)),"")</f>
        <v/>
      </c>
    </row>
    <row r="5397">
      <c r="A5397">
        <f>IFERROR(INDEX('Email Cleaner'!$B$2:$B$10001,MATCH(5396,'Email Cleaner'!$K$2:$K$10001,0)),"")</f>
        <v/>
      </c>
    </row>
    <row r="5398">
      <c r="A5398">
        <f>IFERROR(INDEX('Email Cleaner'!$B$2:$B$10001,MATCH(5397,'Email Cleaner'!$K$2:$K$10001,0)),"")</f>
        <v/>
      </c>
    </row>
    <row r="5399">
      <c r="A5399">
        <f>IFERROR(INDEX('Email Cleaner'!$B$2:$B$10001,MATCH(5398,'Email Cleaner'!$K$2:$K$10001,0)),"")</f>
        <v/>
      </c>
    </row>
    <row r="5400">
      <c r="A5400">
        <f>IFERROR(INDEX('Email Cleaner'!$B$2:$B$10001,MATCH(5399,'Email Cleaner'!$K$2:$K$10001,0)),"")</f>
        <v/>
      </c>
    </row>
    <row r="5401">
      <c r="A5401">
        <f>IFERROR(INDEX('Email Cleaner'!$B$2:$B$10001,MATCH(5400,'Email Cleaner'!$K$2:$K$10001,0)),"")</f>
        <v/>
      </c>
    </row>
    <row r="5402">
      <c r="A5402">
        <f>IFERROR(INDEX('Email Cleaner'!$B$2:$B$10001,MATCH(5401,'Email Cleaner'!$K$2:$K$10001,0)),"")</f>
        <v/>
      </c>
    </row>
    <row r="5403">
      <c r="A5403">
        <f>IFERROR(INDEX('Email Cleaner'!$B$2:$B$10001,MATCH(5402,'Email Cleaner'!$K$2:$K$10001,0)),"")</f>
        <v/>
      </c>
    </row>
    <row r="5404">
      <c r="A5404">
        <f>IFERROR(INDEX('Email Cleaner'!$B$2:$B$10001,MATCH(5403,'Email Cleaner'!$K$2:$K$10001,0)),"")</f>
        <v/>
      </c>
    </row>
    <row r="5405">
      <c r="A5405">
        <f>IFERROR(INDEX('Email Cleaner'!$B$2:$B$10001,MATCH(5404,'Email Cleaner'!$K$2:$K$10001,0)),"")</f>
        <v/>
      </c>
    </row>
    <row r="5406">
      <c r="A5406">
        <f>IFERROR(INDEX('Email Cleaner'!$B$2:$B$10001,MATCH(5405,'Email Cleaner'!$K$2:$K$10001,0)),"")</f>
        <v/>
      </c>
    </row>
    <row r="5407">
      <c r="A5407">
        <f>IFERROR(INDEX('Email Cleaner'!$B$2:$B$10001,MATCH(5406,'Email Cleaner'!$K$2:$K$10001,0)),"")</f>
        <v/>
      </c>
    </row>
    <row r="5408">
      <c r="A5408">
        <f>IFERROR(INDEX('Email Cleaner'!$B$2:$B$10001,MATCH(5407,'Email Cleaner'!$K$2:$K$10001,0)),"")</f>
        <v/>
      </c>
    </row>
    <row r="5409">
      <c r="A5409">
        <f>IFERROR(INDEX('Email Cleaner'!$B$2:$B$10001,MATCH(5408,'Email Cleaner'!$K$2:$K$10001,0)),"")</f>
        <v/>
      </c>
    </row>
    <row r="5410">
      <c r="A5410">
        <f>IFERROR(INDEX('Email Cleaner'!$B$2:$B$10001,MATCH(5409,'Email Cleaner'!$K$2:$K$10001,0)),"")</f>
        <v/>
      </c>
    </row>
    <row r="5411">
      <c r="A5411">
        <f>IFERROR(INDEX('Email Cleaner'!$B$2:$B$10001,MATCH(5410,'Email Cleaner'!$K$2:$K$10001,0)),"")</f>
        <v/>
      </c>
    </row>
    <row r="5412">
      <c r="A5412">
        <f>IFERROR(INDEX('Email Cleaner'!$B$2:$B$10001,MATCH(5411,'Email Cleaner'!$K$2:$K$10001,0)),"")</f>
        <v/>
      </c>
    </row>
    <row r="5413">
      <c r="A5413">
        <f>IFERROR(INDEX('Email Cleaner'!$B$2:$B$10001,MATCH(5412,'Email Cleaner'!$K$2:$K$10001,0)),"")</f>
        <v/>
      </c>
    </row>
    <row r="5414">
      <c r="A5414">
        <f>IFERROR(INDEX('Email Cleaner'!$B$2:$B$10001,MATCH(5413,'Email Cleaner'!$K$2:$K$10001,0)),"")</f>
        <v/>
      </c>
    </row>
    <row r="5415">
      <c r="A5415">
        <f>IFERROR(INDEX('Email Cleaner'!$B$2:$B$10001,MATCH(5414,'Email Cleaner'!$K$2:$K$10001,0)),"")</f>
        <v/>
      </c>
    </row>
    <row r="5416">
      <c r="A5416">
        <f>IFERROR(INDEX('Email Cleaner'!$B$2:$B$10001,MATCH(5415,'Email Cleaner'!$K$2:$K$10001,0)),"")</f>
        <v/>
      </c>
    </row>
    <row r="5417">
      <c r="A5417">
        <f>IFERROR(INDEX('Email Cleaner'!$B$2:$B$10001,MATCH(5416,'Email Cleaner'!$K$2:$K$10001,0)),"")</f>
        <v/>
      </c>
    </row>
    <row r="5418">
      <c r="A5418">
        <f>IFERROR(INDEX('Email Cleaner'!$B$2:$B$10001,MATCH(5417,'Email Cleaner'!$K$2:$K$10001,0)),"")</f>
        <v/>
      </c>
    </row>
    <row r="5419">
      <c r="A5419">
        <f>IFERROR(INDEX('Email Cleaner'!$B$2:$B$10001,MATCH(5418,'Email Cleaner'!$K$2:$K$10001,0)),"")</f>
        <v/>
      </c>
    </row>
    <row r="5420">
      <c r="A5420">
        <f>IFERROR(INDEX('Email Cleaner'!$B$2:$B$10001,MATCH(5419,'Email Cleaner'!$K$2:$K$10001,0)),"")</f>
        <v/>
      </c>
    </row>
    <row r="5421">
      <c r="A5421">
        <f>IFERROR(INDEX('Email Cleaner'!$B$2:$B$10001,MATCH(5420,'Email Cleaner'!$K$2:$K$10001,0)),"")</f>
        <v/>
      </c>
    </row>
    <row r="5422">
      <c r="A5422">
        <f>IFERROR(INDEX('Email Cleaner'!$B$2:$B$10001,MATCH(5421,'Email Cleaner'!$K$2:$K$10001,0)),"")</f>
        <v/>
      </c>
    </row>
    <row r="5423">
      <c r="A5423">
        <f>IFERROR(INDEX('Email Cleaner'!$B$2:$B$10001,MATCH(5422,'Email Cleaner'!$K$2:$K$10001,0)),"")</f>
        <v/>
      </c>
    </row>
    <row r="5424">
      <c r="A5424">
        <f>IFERROR(INDEX('Email Cleaner'!$B$2:$B$10001,MATCH(5423,'Email Cleaner'!$K$2:$K$10001,0)),"")</f>
        <v/>
      </c>
    </row>
    <row r="5425">
      <c r="A5425">
        <f>IFERROR(INDEX('Email Cleaner'!$B$2:$B$10001,MATCH(5424,'Email Cleaner'!$K$2:$K$10001,0)),"")</f>
        <v/>
      </c>
    </row>
    <row r="5426">
      <c r="A5426">
        <f>IFERROR(INDEX('Email Cleaner'!$B$2:$B$10001,MATCH(5425,'Email Cleaner'!$K$2:$K$10001,0)),"")</f>
        <v/>
      </c>
    </row>
    <row r="5427">
      <c r="A5427">
        <f>IFERROR(INDEX('Email Cleaner'!$B$2:$B$10001,MATCH(5426,'Email Cleaner'!$K$2:$K$10001,0)),"")</f>
        <v/>
      </c>
    </row>
    <row r="5428">
      <c r="A5428">
        <f>IFERROR(INDEX('Email Cleaner'!$B$2:$B$10001,MATCH(5427,'Email Cleaner'!$K$2:$K$10001,0)),"")</f>
        <v/>
      </c>
    </row>
    <row r="5429">
      <c r="A5429">
        <f>IFERROR(INDEX('Email Cleaner'!$B$2:$B$10001,MATCH(5428,'Email Cleaner'!$K$2:$K$10001,0)),"")</f>
        <v/>
      </c>
    </row>
    <row r="5430">
      <c r="A5430">
        <f>IFERROR(INDEX('Email Cleaner'!$B$2:$B$10001,MATCH(5429,'Email Cleaner'!$K$2:$K$10001,0)),"")</f>
        <v/>
      </c>
    </row>
    <row r="5431">
      <c r="A5431">
        <f>IFERROR(INDEX('Email Cleaner'!$B$2:$B$10001,MATCH(5430,'Email Cleaner'!$K$2:$K$10001,0)),"")</f>
        <v/>
      </c>
    </row>
    <row r="5432">
      <c r="A5432">
        <f>IFERROR(INDEX('Email Cleaner'!$B$2:$B$10001,MATCH(5431,'Email Cleaner'!$K$2:$K$10001,0)),"")</f>
        <v/>
      </c>
    </row>
    <row r="5433">
      <c r="A5433">
        <f>IFERROR(INDEX('Email Cleaner'!$B$2:$B$10001,MATCH(5432,'Email Cleaner'!$K$2:$K$10001,0)),"")</f>
        <v/>
      </c>
    </row>
    <row r="5434">
      <c r="A5434">
        <f>IFERROR(INDEX('Email Cleaner'!$B$2:$B$10001,MATCH(5433,'Email Cleaner'!$K$2:$K$10001,0)),"")</f>
        <v/>
      </c>
    </row>
    <row r="5435">
      <c r="A5435">
        <f>IFERROR(INDEX('Email Cleaner'!$B$2:$B$10001,MATCH(5434,'Email Cleaner'!$K$2:$K$10001,0)),"")</f>
        <v/>
      </c>
    </row>
    <row r="5436">
      <c r="A5436">
        <f>IFERROR(INDEX('Email Cleaner'!$B$2:$B$10001,MATCH(5435,'Email Cleaner'!$K$2:$K$10001,0)),"")</f>
        <v/>
      </c>
    </row>
    <row r="5437">
      <c r="A5437">
        <f>IFERROR(INDEX('Email Cleaner'!$B$2:$B$10001,MATCH(5436,'Email Cleaner'!$K$2:$K$10001,0)),"")</f>
        <v/>
      </c>
    </row>
    <row r="5438">
      <c r="A5438">
        <f>IFERROR(INDEX('Email Cleaner'!$B$2:$B$10001,MATCH(5437,'Email Cleaner'!$K$2:$K$10001,0)),"")</f>
        <v/>
      </c>
    </row>
    <row r="5439">
      <c r="A5439">
        <f>IFERROR(INDEX('Email Cleaner'!$B$2:$B$10001,MATCH(5438,'Email Cleaner'!$K$2:$K$10001,0)),"")</f>
        <v/>
      </c>
    </row>
    <row r="5440">
      <c r="A5440">
        <f>IFERROR(INDEX('Email Cleaner'!$B$2:$B$10001,MATCH(5439,'Email Cleaner'!$K$2:$K$10001,0)),"")</f>
        <v/>
      </c>
    </row>
    <row r="5441">
      <c r="A5441">
        <f>IFERROR(INDEX('Email Cleaner'!$B$2:$B$10001,MATCH(5440,'Email Cleaner'!$K$2:$K$10001,0)),"")</f>
        <v/>
      </c>
    </row>
    <row r="5442">
      <c r="A5442">
        <f>IFERROR(INDEX('Email Cleaner'!$B$2:$B$10001,MATCH(5441,'Email Cleaner'!$K$2:$K$10001,0)),"")</f>
        <v/>
      </c>
    </row>
    <row r="5443">
      <c r="A5443">
        <f>IFERROR(INDEX('Email Cleaner'!$B$2:$B$10001,MATCH(5442,'Email Cleaner'!$K$2:$K$10001,0)),"")</f>
        <v/>
      </c>
    </row>
    <row r="5444">
      <c r="A5444">
        <f>IFERROR(INDEX('Email Cleaner'!$B$2:$B$10001,MATCH(5443,'Email Cleaner'!$K$2:$K$10001,0)),"")</f>
        <v/>
      </c>
    </row>
    <row r="5445">
      <c r="A5445">
        <f>IFERROR(INDEX('Email Cleaner'!$B$2:$B$10001,MATCH(5444,'Email Cleaner'!$K$2:$K$10001,0)),"")</f>
        <v/>
      </c>
    </row>
    <row r="5446">
      <c r="A5446">
        <f>IFERROR(INDEX('Email Cleaner'!$B$2:$B$10001,MATCH(5445,'Email Cleaner'!$K$2:$K$10001,0)),"")</f>
        <v/>
      </c>
    </row>
    <row r="5447">
      <c r="A5447">
        <f>IFERROR(INDEX('Email Cleaner'!$B$2:$B$10001,MATCH(5446,'Email Cleaner'!$K$2:$K$10001,0)),"")</f>
        <v/>
      </c>
    </row>
    <row r="5448">
      <c r="A5448">
        <f>IFERROR(INDEX('Email Cleaner'!$B$2:$B$10001,MATCH(5447,'Email Cleaner'!$K$2:$K$10001,0)),"")</f>
        <v/>
      </c>
    </row>
    <row r="5449">
      <c r="A5449">
        <f>IFERROR(INDEX('Email Cleaner'!$B$2:$B$10001,MATCH(5448,'Email Cleaner'!$K$2:$K$10001,0)),"")</f>
        <v/>
      </c>
    </row>
    <row r="5450">
      <c r="A5450">
        <f>IFERROR(INDEX('Email Cleaner'!$B$2:$B$10001,MATCH(5449,'Email Cleaner'!$K$2:$K$10001,0)),"")</f>
        <v/>
      </c>
    </row>
    <row r="5451">
      <c r="A5451">
        <f>IFERROR(INDEX('Email Cleaner'!$B$2:$B$10001,MATCH(5450,'Email Cleaner'!$K$2:$K$10001,0)),"")</f>
        <v/>
      </c>
    </row>
    <row r="5452">
      <c r="A5452">
        <f>IFERROR(INDEX('Email Cleaner'!$B$2:$B$10001,MATCH(5451,'Email Cleaner'!$K$2:$K$10001,0)),"")</f>
        <v/>
      </c>
    </row>
    <row r="5453">
      <c r="A5453">
        <f>IFERROR(INDEX('Email Cleaner'!$B$2:$B$10001,MATCH(5452,'Email Cleaner'!$K$2:$K$10001,0)),"")</f>
        <v/>
      </c>
    </row>
    <row r="5454">
      <c r="A5454">
        <f>IFERROR(INDEX('Email Cleaner'!$B$2:$B$10001,MATCH(5453,'Email Cleaner'!$K$2:$K$10001,0)),"")</f>
        <v/>
      </c>
    </row>
    <row r="5455">
      <c r="A5455">
        <f>IFERROR(INDEX('Email Cleaner'!$B$2:$B$10001,MATCH(5454,'Email Cleaner'!$K$2:$K$10001,0)),"")</f>
        <v/>
      </c>
    </row>
    <row r="5456">
      <c r="A5456">
        <f>IFERROR(INDEX('Email Cleaner'!$B$2:$B$10001,MATCH(5455,'Email Cleaner'!$K$2:$K$10001,0)),"")</f>
        <v/>
      </c>
    </row>
    <row r="5457">
      <c r="A5457">
        <f>IFERROR(INDEX('Email Cleaner'!$B$2:$B$10001,MATCH(5456,'Email Cleaner'!$K$2:$K$10001,0)),"")</f>
        <v/>
      </c>
    </row>
    <row r="5458">
      <c r="A5458">
        <f>IFERROR(INDEX('Email Cleaner'!$B$2:$B$10001,MATCH(5457,'Email Cleaner'!$K$2:$K$10001,0)),"")</f>
        <v/>
      </c>
    </row>
    <row r="5459">
      <c r="A5459">
        <f>IFERROR(INDEX('Email Cleaner'!$B$2:$B$10001,MATCH(5458,'Email Cleaner'!$K$2:$K$10001,0)),"")</f>
        <v/>
      </c>
    </row>
    <row r="5460">
      <c r="A5460">
        <f>IFERROR(INDEX('Email Cleaner'!$B$2:$B$10001,MATCH(5459,'Email Cleaner'!$K$2:$K$10001,0)),"")</f>
        <v/>
      </c>
    </row>
    <row r="5461">
      <c r="A5461">
        <f>IFERROR(INDEX('Email Cleaner'!$B$2:$B$10001,MATCH(5460,'Email Cleaner'!$K$2:$K$10001,0)),"")</f>
        <v/>
      </c>
    </row>
    <row r="5462">
      <c r="A5462">
        <f>IFERROR(INDEX('Email Cleaner'!$B$2:$B$10001,MATCH(5461,'Email Cleaner'!$K$2:$K$10001,0)),"")</f>
        <v/>
      </c>
    </row>
    <row r="5463">
      <c r="A5463">
        <f>IFERROR(INDEX('Email Cleaner'!$B$2:$B$10001,MATCH(5462,'Email Cleaner'!$K$2:$K$10001,0)),"")</f>
        <v/>
      </c>
    </row>
    <row r="5464">
      <c r="A5464">
        <f>IFERROR(INDEX('Email Cleaner'!$B$2:$B$10001,MATCH(5463,'Email Cleaner'!$K$2:$K$10001,0)),"")</f>
        <v/>
      </c>
    </row>
    <row r="5465">
      <c r="A5465">
        <f>IFERROR(INDEX('Email Cleaner'!$B$2:$B$10001,MATCH(5464,'Email Cleaner'!$K$2:$K$10001,0)),"")</f>
        <v/>
      </c>
    </row>
    <row r="5466">
      <c r="A5466">
        <f>IFERROR(INDEX('Email Cleaner'!$B$2:$B$10001,MATCH(5465,'Email Cleaner'!$K$2:$K$10001,0)),"")</f>
        <v/>
      </c>
    </row>
    <row r="5467">
      <c r="A5467">
        <f>IFERROR(INDEX('Email Cleaner'!$B$2:$B$10001,MATCH(5466,'Email Cleaner'!$K$2:$K$10001,0)),"")</f>
        <v/>
      </c>
    </row>
    <row r="5468">
      <c r="A5468">
        <f>IFERROR(INDEX('Email Cleaner'!$B$2:$B$10001,MATCH(5467,'Email Cleaner'!$K$2:$K$10001,0)),"")</f>
        <v/>
      </c>
    </row>
    <row r="5469">
      <c r="A5469">
        <f>IFERROR(INDEX('Email Cleaner'!$B$2:$B$10001,MATCH(5468,'Email Cleaner'!$K$2:$K$10001,0)),"")</f>
        <v/>
      </c>
    </row>
    <row r="5470">
      <c r="A5470">
        <f>IFERROR(INDEX('Email Cleaner'!$B$2:$B$10001,MATCH(5469,'Email Cleaner'!$K$2:$K$10001,0)),"")</f>
        <v/>
      </c>
    </row>
    <row r="5471">
      <c r="A5471">
        <f>IFERROR(INDEX('Email Cleaner'!$B$2:$B$10001,MATCH(5470,'Email Cleaner'!$K$2:$K$10001,0)),"")</f>
        <v/>
      </c>
    </row>
    <row r="5472">
      <c r="A5472">
        <f>IFERROR(INDEX('Email Cleaner'!$B$2:$B$10001,MATCH(5471,'Email Cleaner'!$K$2:$K$10001,0)),"")</f>
        <v/>
      </c>
    </row>
    <row r="5473">
      <c r="A5473">
        <f>IFERROR(INDEX('Email Cleaner'!$B$2:$B$10001,MATCH(5472,'Email Cleaner'!$K$2:$K$10001,0)),"")</f>
        <v/>
      </c>
    </row>
    <row r="5474">
      <c r="A5474">
        <f>IFERROR(INDEX('Email Cleaner'!$B$2:$B$10001,MATCH(5473,'Email Cleaner'!$K$2:$K$10001,0)),"")</f>
        <v/>
      </c>
    </row>
    <row r="5475">
      <c r="A5475">
        <f>IFERROR(INDEX('Email Cleaner'!$B$2:$B$10001,MATCH(5474,'Email Cleaner'!$K$2:$K$10001,0)),"")</f>
        <v/>
      </c>
    </row>
    <row r="5476">
      <c r="A5476">
        <f>IFERROR(INDEX('Email Cleaner'!$B$2:$B$10001,MATCH(5475,'Email Cleaner'!$K$2:$K$10001,0)),"")</f>
        <v/>
      </c>
    </row>
    <row r="5477">
      <c r="A5477">
        <f>IFERROR(INDEX('Email Cleaner'!$B$2:$B$10001,MATCH(5476,'Email Cleaner'!$K$2:$K$10001,0)),"")</f>
        <v/>
      </c>
    </row>
    <row r="5478">
      <c r="A5478">
        <f>IFERROR(INDEX('Email Cleaner'!$B$2:$B$10001,MATCH(5477,'Email Cleaner'!$K$2:$K$10001,0)),"")</f>
        <v/>
      </c>
    </row>
    <row r="5479">
      <c r="A5479">
        <f>IFERROR(INDEX('Email Cleaner'!$B$2:$B$10001,MATCH(5478,'Email Cleaner'!$K$2:$K$10001,0)),"")</f>
        <v/>
      </c>
    </row>
    <row r="5480">
      <c r="A5480">
        <f>IFERROR(INDEX('Email Cleaner'!$B$2:$B$10001,MATCH(5479,'Email Cleaner'!$K$2:$K$10001,0)),"")</f>
        <v/>
      </c>
    </row>
    <row r="5481">
      <c r="A5481">
        <f>IFERROR(INDEX('Email Cleaner'!$B$2:$B$10001,MATCH(5480,'Email Cleaner'!$K$2:$K$10001,0)),"")</f>
        <v/>
      </c>
    </row>
    <row r="5482">
      <c r="A5482">
        <f>IFERROR(INDEX('Email Cleaner'!$B$2:$B$10001,MATCH(5481,'Email Cleaner'!$K$2:$K$10001,0)),"")</f>
        <v/>
      </c>
    </row>
    <row r="5483">
      <c r="A5483">
        <f>IFERROR(INDEX('Email Cleaner'!$B$2:$B$10001,MATCH(5482,'Email Cleaner'!$K$2:$K$10001,0)),"")</f>
        <v/>
      </c>
    </row>
    <row r="5484">
      <c r="A5484">
        <f>IFERROR(INDEX('Email Cleaner'!$B$2:$B$10001,MATCH(5483,'Email Cleaner'!$K$2:$K$10001,0)),"")</f>
        <v/>
      </c>
    </row>
    <row r="5485">
      <c r="A5485">
        <f>IFERROR(INDEX('Email Cleaner'!$B$2:$B$10001,MATCH(5484,'Email Cleaner'!$K$2:$K$10001,0)),"")</f>
        <v/>
      </c>
    </row>
    <row r="5486">
      <c r="A5486">
        <f>IFERROR(INDEX('Email Cleaner'!$B$2:$B$10001,MATCH(5485,'Email Cleaner'!$K$2:$K$10001,0)),"")</f>
        <v/>
      </c>
    </row>
    <row r="5487">
      <c r="A5487">
        <f>IFERROR(INDEX('Email Cleaner'!$B$2:$B$10001,MATCH(5486,'Email Cleaner'!$K$2:$K$10001,0)),"")</f>
        <v/>
      </c>
    </row>
    <row r="5488">
      <c r="A5488">
        <f>IFERROR(INDEX('Email Cleaner'!$B$2:$B$10001,MATCH(5487,'Email Cleaner'!$K$2:$K$10001,0)),"")</f>
        <v/>
      </c>
    </row>
    <row r="5489">
      <c r="A5489">
        <f>IFERROR(INDEX('Email Cleaner'!$B$2:$B$10001,MATCH(5488,'Email Cleaner'!$K$2:$K$10001,0)),"")</f>
        <v/>
      </c>
    </row>
    <row r="5490">
      <c r="A5490">
        <f>IFERROR(INDEX('Email Cleaner'!$B$2:$B$10001,MATCH(5489,'Email Cleaner'!$K$2:$K$10001,0)),"")</f>
        <v/>
      </c>
    </row>
    <row r="5491">
      <c r="A5491">
        <f>IFERROR(INDEX('Email Cleaner'!$B$2:$B$10001,MATCH(5490,'Email Cleaner'!$K$2:$K$10001,0)),"")</f>
        <v/>
      </c>
    </row>
    <row r="5492">
      <c r="A5492">
        <f>IFERROR(INDEX('Email Cleaner'!$B$2:$B$10001,MATCH(5491,'Email Cleaner'!$K$2:$K$10001,0)),"")</f>
        <v/>
      </c>
    </row>
    <row r="5493">
      <c r="A5493">
        <f>IFERROR(INDEX('Email Cleaner'!$B$2:$B$10001,MATCH(5492,'Email Cleaner'!$K$2:$K$10001,0)),"")</f>
        <v/>
      </c>
    </row>
    <row r="5494">
      <c r="A5494">
        <f>IFERROR(INDEX('Email Cleaner'!$B$2:$B$10001,MATCH(5493,'Email Cleaner'!$K$2:$K$10001,0)),"")</f>
        <v/>
      </c>
    </row>
    <row r="5495">
      <c r="A5495">
        <f>IFERROR(INDEX('Email Cleaner'!$B$2:$B$10001,MATCH(5494,'Email Cleaner'!$K$2:$K$10001,0)),"")</f>
        <v/>
      </c>
    </row>
    <row r="5496">
      <c r="A5496">
        <f>IFERROR(INDEX('Email Cleaner'!$B$2:$B$10001,MATCH(5495,'Email Cleaner'!$K$2:$K$10001,0)),"")</f>
        <v/>
      </c>
    </row>
    <row r="5497">
      <c r="A5497">
        <f>IFERROR(INDEX('Email Cleaner'!$B$2:$B$10001,MATCH(5496,'Email Cleaner'!$K$2:$K$10001,0)),"")</f>
        <v/>
      </c>
    </row>
    <row r="5498">
      <c r="A5498">
        <f>IFERROR(INDEX('Email Cleaner'!$B$2:$B$10001,MATCH(5497,'Email Cleaner'!$K$2:$K$10001,0)),"")</f>
        <v/>
      </c>
    </row>
    <row r="5499">
      <c r="A5499">
        <f>IFERROR(INDEX('Email Cleaner'!$B$2:$B$10001,MATCH(5498,'Email Cleaner'!$K$2:$K$10001,0)),"")</f>
        <v/>
      </c>
    </row>
    <row r="5500">
      <c r="A5500">
        <f>IFERROR(INDEX('Email Cleaner'!$B$2:$B$10001,MATCH(5499,'Email Cleaner'!$K$2:$K$10001,0)),"")</f>
        <v/>
      </c>
    </row>
    <row r="5501">
      <c r="A5501">
        <f>IFERROR(INDEX('Email Cleaner'!$B$2:$B$10001,MATCH(5500,'Email Cleaner'!$K$2:$K$10001,0)),"")</f>
        <v/>
      </c>
    </row>
    <row r="5502">
      <c r="A5502">
        <f>IFERROR(INDEX('Email Cleaner'!$B$2:$B$10001,MATCH(5501,'Email Cleaner'!$K$2:$K$10001,0)),"")</f>
        <v/>
      </c>
    </row>
    <row r="5503">
      <c r="A5503">
        <f>IFERROR(INDEX('Email Cleaner'!$B$2:$B$10001,MATCH(5502,'Email Cleaner'!$K$2:$K$10001,0)),"")</f>
        <v/>
      </c>
    </row>
    <row r="5504">
      <c r="A5504">
        <f>IFERROR(INDEX('Email Cleaner'!$B$2:$B$10001,MATCH(5503,'Email Cleaner'!$K$2:$K$10001,0)),"")</f>
        <v/>
      </c>
    </row>
    <row r="5505">
      <c r="A5505">
        <f>IFERROR(INDEX('Email Cleaner'!$B$2:$B$10001,MATCH(5504,'Email Cleaner'!$K$2:$K$10001,0)),"")</f>
        <v/>
      </c>
    </row>
    <row r="5506">
      <c r="A5506">
        <f>IFERROR(INDEX('Email Cleaner'!$B$2:$B$10001,MATCH(5505,'Email Cleaner'!$K$2:$K$10001,0)),"")</f>
        <v/>
      </c>
    </row>
    <row r="5507">
      <c r="A5507">
        <f>IFERROR(INDEX('Email Cleaner'!$B$2:$B$10001,MATCH(5506,'Email Cleaner'!$K$2:$K$10001,0)),"")</f>
        <v/>
      </c>
    </row>
    <row r="5508">
      <c r="A5508">
        <f>IFERROR(INDEX('Email Cleaner'!$B$2:$B$10001,MATCH(5507,'Email Cleaner'!$K$2:$K$10001,0)),"")</f>
        <v/>
      </c>
    </row>
    <row r="5509">
      <c r="A5509">
        <f>IFERROR(INDEX('Email Cleaner'!$B$2:$B$10001,MATCH(5508,'Email Cleaner'!$K$2:$K$10001,0)),"")</f>
        <v/>
      </c>
    </row>
    <row r="5510">
      <c r="A5510">
        <f>IFERROR(INDEX('Email Cleaner'!$B$2:$B$10001,MATCH(5509,'Email Cleaner'!$K$2:$K$10001,0)),"")</f>
        <v/>
      </c>
    </row>
    <row r="5511">
      <c r="A5511">
        <f>IFERROR(INDEX('Email Cleaner'!$B$2:$B$10001,MATCH(5510,'Email Cleaner'!$K$2:$K$10001,0)),"")</f>
        <v/>
      </c>
    </row>
    <row r="5512">
      <c r="A5512">
        <f>IFERROR(INDEX('Email Cleaner'!$B$2:$B$10001,MATCH(5511,'Email Cleaner'!$K$2:$K$10001,0)),"")</f>
        <v/>
      </c>
    </row>
    <row r="5513">
      <c r="A5513">
        <f>IFERROR(INDEX('Email Cleaner'!$B$2:$B$10001,MATCH(5512,'Email Cleaner'!$K$2:$K$10001,0)),"")</f>
        <v/>
      </c>
    </row>
    <row r="5514">
      <c r="A5514">
        <f>IFERROR(INDEX('Email Cleaner'!$B$2:$B$10001,MATCH(5513,'Email Cleaner'!$K$2:$K$10001,0)),"")</f>
        <v/>
      </c>
    </row>
    <row r="5515">
      <c r="A5515">
        <f>IFERROR(INDEX('Email Cleaner'!$B$2:$B$10001,MATCH(5514,'Email Cleaner'!$K$2:$K$10001,0)),"")</f>
        <v/>
      </c>
    </row>
    <row r="5516">
      <c r="A5516">
        <f>IFERROR(INDEX('Email Cleaner'!$B$2:$B$10001,MATCH(5515,'Email Cleaner'!$K$2:$K$10001,0)),"")</f>
        <v/>
      </c>
    </row>
    <row r="5517">
      <c r="A5517">
        <f>IFERROR(INDEX('Email Cleaner'!$B$2:$B$10001,MATCH(5516,'Email Cleaner'!$K$2:$K$10001,0)),"")</f>
        <v/>
      </c>
    </row>
    <row r="5518">
      <c r="A5518">
        <f>IFERROR(INDEX('Email Cleaner'!$B$2:$B$10001,MATCH(5517,'Email Cleaner'!$K$2:$K$10001,0)),"")</f>
        <v/>
      </c>
    </row>
    <row r="5519">
      <c r="A5519">
        <f>IFERROR(INDEX('Email Cleaner'!$B$2:$B$10001,MATCH(5518,'Email Cleaner'!$K$2:$K$10001,0)),"")</f>
        <v/>
      </c>
    </row>
    <row r="5520">
      <c r="A5520">
        <f>IFERROR(INDEX('Email Cleaner'!$B$2:$B$10001,MATCH(5519,'Email Cleaner'!$K$2:$K$10001,0)),"")</f>
        <v/>
      </c>
    </row>
    <row r="5521">
      <c r="A5521">
        <f>IFERROR(INDEX('Email Cleaner'!$B$2:$B$10001,MATCH(5520,'Email Cleaner'!$K$2:$K$10001,0)),"")</f>
        <v/>
      </c>
    </row>
    <row r="5522">
      <c r="A5522">
        <f>IFERROR(INDEX('Email Cleaner'!$B$2:$B$10001,MATCH(5521,'Email Cleaner'!$K$2:$K$10001,0)),"")</f>
        <v/>
      </c>
    </row>
    <row r="5523">
      <c r="A5523">
        <f>IFERROR(INDEX('Email Cleaner'!$B$2:$B$10001,MATCH(5522,'Email Cleaner'!$K$2:$K$10001,0)),"")</f>
        <v/>
      </c>
    </row>
    <row r="5524">
      <c r="A5524">
        <f>IFERROR(INDEX('Email Cleaner'!$B$2:$B$10001,MATCH(5523,'Email Cleaner'!$K$2:$K$10001,0)),"")</f>
        <v/>
      </c>
    </row>
    <row r="5525">
      <c r="A5525">
        <f>IFERROR(INDEX('Email Cleaner'!$B$2:$B$10001,MATCH(5524,'Email Cleaner'!$K$2:$K$10001,0)),"")</f>
        <v/>
      </c>
    </row>
    <row r="5526">
      <c r="A5526">
        <f>IFERROR(INDEX('Email Cleaner'!$B$2:$B$10001,MATCH(5525,'Email Cleaner'!$K$2:$K$10001,0)),"")</f>
        <v/>
      </c>
    </row>
    <row r="5527">
      <c r="A5527">
        <f>IFERROR(INDEX('Email Cleaner'!$B$2:$B$10001,MATCH(5526,'Email Cleaner'!$K$2:$K$10001,0)),"")</f>
        <v/>
      </c>
    </row>
    <row r="5528">
      <c r="A5528">
        <f>IFERROR(INDEX('Email Cleaner'!$B$2:$B$10001,MATCH(5527,'Email Cleaner'!$K$2:$K$10001,0)),"")</f>
        <v/>
      </c>
    </row>
    <row r="5529">
      <c r="A5529">
        <f>IFERROR(INDEX('Email Cleaner'!$B$2:$B$10001,MATCH(5528,'Email Cleaner'!$K$2:$K$10001,0)),"")</f>
        <v/>
      </c>
    </row>
    <row r="5530">
      <c r="A5530">
        <f>IFERROR(INDEX('Email Cleaner'!$B$2:$B$10001,MATCH(5529,'Email Cleaner'!$K$2:$K$10001,0)),"")</f>
        <v/>
      </c>
    </row>
    <row r="5531">
      <c r="A5531">
        <f>IFERROR(INDEX('Email Cleaner'!$B$2:$B$10001,MATCH(5530,'Email Cleaner'!$K$2:$K$10001,0)),"")</f>
        <v/>
      </c>
    </row>
    <row r="5532">
      <c r="A5532">
        <f>IFERROR(INDEX('Email Cleaner'!$B$2:$B$10001,MATCH(5531,'Email Cleaner'!$K$2:$K$10001,0)),"")</f>
        <v/>
      </c>
    </row>
    <row r="5533">
      <c r="A5533">
        <f>IFERROR(INDEX('Email Cleaner'!$B$2:$B$10001,MATCH(5532,'Email Cleaner'!$K$2:$K$10001,0)),"")</f>
        <v/>
      </c>
    </row>
    <row r="5534">
      <c r="A5534">
        <f>IFERROR(INDEX('Email Cleaner'!$B$2:$B$10001,MATCH(5533,'Email Cleaner'!$K$2:$K$10001,0)),"")</f>
        <v/>
      </c>
    </row>
    <row r="5535">
      <c r="A5535">
        <f>IFERROR(INDEX('Email Cleaner'!$B$2:$B$10001,MATCH(5534,'Email Cleaner'!$K$2:$K$10001,0)),"")</f>
        <v/>
      </c>
    </row>
    <row r="5536">
      <c r="A5536">
        <f>IFERROR(INDEX('Email Cleaner'!$B$2:$B$10001,MATCH(5535,'Email Cleaner'!$K$2:$K$10001,0)),"")</f>
        <v/>
      </c>
    </row>
    <row r="5537">
      <c r="A5537">
        <f>IFERROR(INDEX('Email Cleaner'!$B$2:$B$10001,MATCH(5536,'Email Cleaner'!$K$2:$K$10001,0)),"")</f>
        <v/>
      </c>
    </row>
    <row r="5538">
      <c r="A5538">
        <f>IFERROR(INDEX('Email Cleaner'!$B$2:$B$10001,MATCH(5537,'Email Cleaner'!$K$2:$K$10001,0)),"")</f>
        <v/>
      </c>
    </row>
    <row r="5539">
      <c r="A5539">
        <f>IFERROR(INDEX('Email Cleaner'!$B$2:$B$10001,MATCH(5538,'Email Cleaner'!$K$2:$K$10001,0)),"")</f>
        <v/>
      </c>
    </row>
    <row r="5540">
      <c r="A5540">
        <f>IFERROR(INDEX('Email Cleaner'!$B$2:$B$10001,MATCH(5539,'Email Cleaner'!$K$2:$K$10001,0)),"")</f>
        <v/>
      </c>
    </row>
    <row r="5541">
      <c r="A5541">
        <f>IFERROR(INDEX('Email Cleaner'!$B$2:$B$10001,MATCH(5540,'Email Cleaner'!$K$2:$K$10001,0)),"")</f>
        <v/>
      </c>
    </row>
    <row r="5542">
      <c r="A5542">
        <f>IFERROR(INDEX('Email Cleaner'!$B$2:$B$10001,MATCH(5541,'Email Cleaner'!$K$2:$K$10001,0)),"")</f>
        <v/>
      </c>
    </row>
    <row r="5543">
      <c r="A5543">
        <f>IFERROR(INDEX('Email Cleaner'!$B$2:$B$10001,MATCH(5542,'Email Cleaner'!$K$2:$K$10001,0)),"")</f>
        <v/>
      </c>
    </row>
    <row r="5544">
      <c r="A5544">
        <f>IFERROR(INDEX('Email Cleaner'!$B$2:$B$10001,MATCH(5543,'Email Cleaner'!$K$2:$K$10001,0)),"")</f>
        <v/>
      </c>
    </row>
    <row r="5545">
      <c r="A5545">
        <f>IFERROR(INDEX('Email Cleaner'!$B$2:$B$10001,MATCH(5544,'Email Cleaner'!$K$2:$K$10001,0)),"")</f>
        <v/>
      </c>
    </row>
    <row r="5546">
      <c r="A5546">
        <f>IFERROR(INDEX('Email Cleaner'!$B$2:$B$10001,MATCH(5545,'Email Cleaner'!$K$2:$K$10001,0)),"")</f>
        <v/>
      </c>
    </row>
    <row r="5547">
      <c r="A5547">
        <f>IFERROR(INDEX('Email Cleaner'!$B$2:$B$10001,MATCH(5546,'Email Cleaner'!$K$2:$K$10001,0)),"")</f>
        <v/>
      </c>
    </row>
    <row r="5548">
      <c r="A5548">
        <f>IFERROR(INDEX('Email Cleaner'!$B$2:$B$10001,MATCH(5547,'Email Cleaner'!$K$2:$K$10001,0)),"")</f>
        <v/>
      </c>
    </row>
    <row r="5549">
      <c r="A5549">
        <f>IFERROR(INDEX('Email Cleaner'!$B$2:$B$10001,MATCH(5548,'Email Cleaner'!$K$2:$K$10001,0)),"")</f>
        <v/>
      </c>
    </row>
    <row r="5550">
      <c r="A5550">
        <f>IFERROR(INDEX('Email Cleaner'!$B$2:$B$10001,MATCH(5549,'Email Cleaner'!$K$2:$K$10001,0)),"")</f>
        <v/>
      </c>
    </row>
    <row r="5551">
      <c r="A5551">
        <f>IFERROR(INDEX('Email Cleaner'!$B$2:$B$10001,MATCH(5550,'Email Cleaner'!$K$2:$K$10001,0)),"")</f>
        <v/>
      </c>
    </row>
    <row r="5552">
      <c r="A5552">
        <f>IFERROR(INDEX('Email Cleaner'!$B$2:$B$10001,MATCH(5551,'Email Cleaner'!$K$2:$K$10001,0)),"")</f>
        <v/>
      </c>
    </row>
    <row r="5553">
      <c r="A5553">
        <f>IFERROR(INDEX('Email Cleaner'!$B$2:$B$10001,MATCH(5552,'Email Cleaner'!$K$2:$K$10001,0)),"")</f>
        <v/>
      </c>
    </row>
    <row r="5554">
      <c r="A5554">
        <f>IFERROR(INDEX('Email Cleaner'!$B$2:$B$10001,MATCH(5553,'Email Cleaner'!$K$2:$K$10001,0)),"")</f>
        <v/>
      </c>
    </row>
    <row r="5555">
      <c r="A5555">
        <f>IFERROR(INDEX('Email Cleaner'!$B$2:$B$10001,MATCH(5554,'Email Cleaner'!$K$2:$K$10001,0)),"")</f>
        <v/>
      </c>
    </row>
    <row r="5556">
      <c r="A5556">
        <f>IFERROR(INDEX('Email Cleaner'!$B$2:$B$10001,MATCH(5555,'Email Cleaner'!$K$2:$K$10001,0)),"")</f>
        <v/>
      </c>
    </row>
    <row r="5557">
      <c r="A5557">
        <f>IFERROR(INDEX('Email Cleaner'!$B$2:$B$10001,MATCH(5556,'Email Cleaner'!$K$2:$K$10001,0)),"")</f>
        <v/>
      </c>
    </row>
    <row r="5558">
      <c r="A5558">
        <f>IFERROR(INDEX('Email Cleaner'!$B$2:$B$10001,MATCH(5557,'Email Cleaner'!$K$2:$K$10001,0)),"")</f>
        <v/>
      </c>
    </row>
    <row r="5559">
      <c r="A5559">
        <f>IFERROR(INDEX('Email Cleaner'!$B$2:$B$10001,MATCH(5558,'Email Cleaner'!$K$2:$K$10001,0)),"")</f>
        <v/>
      </c>
    </row>
    <row r="5560">
      <c r="A5560">
        <f>IFERROR(INDEX('Email Cleaner'!$B$2:$B$10001,MATCH(5559,'Email Cleaner'!$K$2:$K$10001,0)),"")</f>
        <v/>
      </c>
    </row>
    <row r="5561">
      <c r="A5561">
        <f>IFERROR(INDEX('Email Cleaner'!$B$2:$B$10001,MATCH(5560,'Email Cleaner'!$K$2:$K$10001,0)),"")</f>
        <v/>
      </c>
    </row>
    <row r="5562">
      <c r="A5562">
        <f>IFERROR(INDEX('Email Cleaner'!$B$2:$B$10001,MATCH(5561,'Email Cleaner'!$K$2:$K$10001,0)),"")</f>
        <v/>
      </c>
    </row>
    <row r="5563">
      <c r="A5563">
        <f>IFERROR(INDEX('Email Cleaner'!$B$2:$B$10001,MATCH(5562,'Email Cleaner'!$K$2:$K$10001,0)),"")</f>
        <v/>
      </c>
    </row>
    <row r="5564">
      <c r="A5564">
        <f>IFERROR(INDEX('Email Cleaner'!$B$2:$B$10001,MATCH(5563,'Email Cleaner'!$K$2:$K$10001,0)),"")</f>
        <v/>
      </c>
    </row>
    <row r="5565">
      <c r="A5565">
        <f>IFERROR(INDEX('Email Cleaner'!$B$2:$B$10001,MATCH(5564,'Email Cleaner'!$K$2:$K$10001,0)),"")</f>
        <v/>
      </c>
    </row>
    <row r="5566">
      <c r="A5566">
        <f>IFERROR(INDEX('Email Cleaner'!$B$2:$B$10001,MATCH(5565,'Email Cleaner'!$K$2:$K$10001,0)),"")</f>
        <v/>
      </c>
    </row>
    <row r="5567">
      <c r="A5567">
        <f>IFERROR(INDEX('Email Cleaner'!$B$2:$B$10001,MATCH(5566,'Email Cleaner'!$K$2:$K$10001,0)),"")</f>
        <v/>
      </c>
    </row>
    <row r="5568">
      <c r="A5568">
        <f>IFERROR(INDEX('Email Cleaner'!$B$2:$B$10001,MATCH(5567,'Email Cleaner'!$K$2:$K$10001,0)),"")</f>
        <v/>
      </c>
    </row>
    <row r="5569">
      <c r="A5569">
        <f>IFERROR(INDEX('Email Cleaner'!$B$2:$B$10001,MATCH(5568,'Email Cleaner'!$K$2:$K$10001,0)),"")</f>
        <v/>
      </c>
    </row>
    <row r="5570">
      <c r="A5570">
        <f>IFERROR(INDEX('Email Cleaner'!$B$2:$B$10001,MATCH(5569,'Email Cleaner'!$K$2:$K$10001,0)),"")</f>
        <v/>
      </c>
    </row>
    <row r="5571">
      <c r="A5571">
        <f>IFERROR(INDEX('Email Cleaner'!$B$2:$B$10001,MATCH(5570,'Email Cleaner'!$K$2:$K$10001,0)),"")</f>
        <v/>
      </c>
    </row>
    <row r="5572">
      <c r="A5572">
        <f>IFERROR(INDEX('Email Cleaner'!$B$2:$B$10001,MATCH(5571,'Email Cleaner'!$K$2:$K$10001,0)),"")</f>
        <v/>
      </c>
    </row>
    <row r="5573">
      <c r="A5573">
        <f>IFERROR(INDEX('Email Cleaner'!$B$2:$B$10001,MATCH(5572,'Email Cleaner'!$K$2:$K$10001,0)),"")</f>
        <v/>
      </c>
    </row>
    <row r="5574">
      <c r="A5574">
        <f>IFERROR(INDEX('Email Cleaner'!$B$2:$B$10001,MATCH(5573,'Email Cleaner'!$K$2:$K$10001,0)),"")</f>
        <v/>
      </c>
    </row>
    <row r="5575">
      <c r="A5575">
        <f>IFERROR(INDEX('Email Cleaner'!$B$2:$B$10001,MATCH(5574,'Email Cleaner'!$K$2:$K$10001,0)),"")</f>
        <v/>
      </c>
    </row>
    <row r="5576">
      <c r="A5576">
        <f>IFERROR(INDEX('Email Cleaner'!$B$2:$B$10001,MATCH(5575,'Email Cleaner'!$K$2:$K$10001,0)),"")</f>
        <v/>
      </c>
    </row>
    <row r="5577">
      <c r="A5577">
        <f>IFERROR(INDEX('Email Cleaner'!$B$2:$B$10001,MATCH(5576,'Email Cleaner'!$K$2:$K$10001,0)),"")</f>
        <v/>
      </c>
    </row>
    <row r="5578">
      <c r="A5578">
        <f>IFERROR(INDEX('Email Cleaner'!$B$2:$B$10001,MATCH(5577,'Email Cleaner'!$K$2:$K$10001,0)),"")</f>
        <v/>
      </c>
    </row>
    <row r="5579">
      <c r="A5579">
        <f>IFERROR(INDEX('Email Cleaner'!$B$2:$B$10001,MATCH(5578,'Email Cleaner'!$K$2:$K$10001,0)),"")</f>
        <v/>
      </c>
    </row>
    <row r="5580">
      <c r="A5580">
        <f>IFERROR(INDEX('Email Cleaner'!$B$2:$B$10001,MATCH(5579,'Email Cleaner'!$K$2:$K$10001,0)),"")</f>
        <v/>
      </c>
    </row>
    <row r="5581">
      <c r="A5581">
        <f>IFERROR(INDEX('Email Cleaner'!$B$2:$B$10001,MATCH(5580,'Email Cleaner'!$K$2:$K$10001,0)),"")</f>
        <v/>
      </c>
    </row>
    <row r="5582">
      <c r="A5582">
        <f>IFERROR(INDEX('Email Cleaner'!$B$2:$B$10001,MATCH(5581,'Email Cleaner'!$K$2:$K$10001,0)),"")</f>
        <v/>
      </c>
    </row>
    <row r="5583">
      <c r="A5583">
        <f>IFERROR(INDEX('Email Cleaner'!$B$2:$B$10001,MATCH(5582,'Email Cleaner'!$K$2:$K$10001,0)),"")</f>
        <v/>
      </c>
    </row>
    <row r="5584">
      <c r="A5584">
        <f>IFERROR(INDEX('Email Cleaner'!$B$2:$B$10001,MATCH(5583,'Email Cleaner'!$K$2:$K$10001,0)),"")</f>
        <v/>
      </c>
    </row>
    <row r="5585">
      <c r="A5585">
        <f>IFERROR(INDEX('Email Cleaner'!$B$2:$B$10001,MATCH(5584,'Email Cleaner'!$K$2:$K$10001,0)),"")</f>
        <v/>
      </c>
    </row>
    <row r="5586">
      <c r="A5586">
        <f>IFERROR(INDEX('Email Cleaner'!$B$2:$B$10001,MATCH(5585,'Email Cleaner'!$K$2:$K$10001,0)),"")</f>
        <v/>
      </c>
    </row>
    <row r="5587">
      <c r="A5587">
        <f>IFERROR(INDEX('Email Cleaner'!$B$2:$B$10001,MATCH(5586,'Email Cleaner'!$K$2:$K$10001,0)),"")</f>
        <v/>
      </c>
    </row>
    <row r="5588">
      <c r="A5588">
        <f>IFERROR(INDEX('Email Cleaner'!$B$2:$B$10001,MATCH(5587,'Email Cleaner'!$K$2:$K$10001,0)),"")</f>
        <v/>
      </c>
    </row>
    <row r="5589">
      <c r="A5589">
        <f>IFERROR(INDEX('Email Cleaner'!$B$2:$B$10001,MATCH(5588,'Email Cleaner'!$K$2:$K$10001,0)),"")</f>
        <v/>
      </c>
    </row>
    <row r="5590">
      <c r="A5590">
        <f>IFERROR(INDEX('Email Cleaner'!$B$2:$B$10001,MATCH(5589,'Email Cleaner'!$K$2:$K$10001,0)),"")</f>
        <v/>
      </c>
    </row>
    <row r="5591">
      <c r="A5591">
        <f>IFERROR(INDEX('Email Cleaner'!$B$2:$B$10001,MATCH(5590,'Email Cleaner'!$K$2:$K$10001,0)),"")</f>
        <v/>
      </c>
    </row>
    <row r="5592">
      <c r="A5592">
        <f>IFERROR(INDEX('Email Cleaner'!$B$2:$B$10001,MATCH(5591,'Email Cleaner'!$K$2:$K$10001,0)),"")</f>
        <v/>
      </c>
    </row>
    <row r="5593">
      <c r="A5593">
        <f>IFERROR(INDEX('Email Cleaner'!$B$2:$B$10001,MATCH(5592,'Email Cleaner'!$K$2:$K$10001,0)),"")</f>
        <v/>
      </c>
    </row>
    <row r="5594">
      <c r="A5594">
        <f>IFERROR(INDEX('Email Cleaner'!$B$2:$B$10001,MATCH(5593,'Email Cleaner'!$K$2:$K$10001,0)),"")</f>
        <v/>
      </c>
    </row>
    <row r="5595">
      <c r="A5595">
        <f>IFERROR(INDEX('Email Cleaner'!$B$2:$B$10001,MATCH(5594,'Email Cleaner'!$K$2:$K$10001,0)),"")</f>
        <v/>
      </c>
    </row>
    <row r="5596">
      <c r="A5596">
        <f>IFERROR(INDEX('Email Cleaner'!$B$2:$B$10001,MATCH(5595,'Email Cleaner'!$K$2:$K$10001,0)),"")</f>
        <v/>
      </c>
    </row>
    <row r="5597">
      <c r="A5597">
        <f>IFERROR(INDEX('Email Cleaner'!$B$2:$B$10001,MATCH(5596,'Email Cleaner'!$K$2:$K$10001,0)),"")</f>
        <v/>
      </c>
    </row>
    <row r="5598">
      <c r="A5598">
        <f>IFERROR(INDEX('Email Cleaner'!$B$2:$B$10001,MATCH(5597,'Email Cleaner'!$K$2:$K$10001,0)),"")</f>
        <v/>
      </c>
    </row>
    <row r="5599">
      <c r="A5599">
        <f>IFERROR(INDEX('Email Cleaner'!$B$2:$B$10001,MATCH(5598,'Email Cleaner'!$K$2:$K$10001,0)),"")</f>
        <v/>
      </c>
    </row>
    <row r="5600">
      <c r="A5600">
        <f>IFERROR(INDEX('Email Cleaner'!$B$2:$B$10001,MATCH(5599,'Email Cleaner'!$K$2:$K$10001,0)),"")</f>
        <v/>
      </c>
    </row>
    <row r="5601">
      <c r="A5601">
        <f>IFERROR(INDEX('Email Cleaner'!$B$2:$B$10001,MATCH(5600,'Email Cleaner'!$K$2:$K$10001,0)),"")</f>
        <v/>
      </c>
    </row>
    <row r="5602">
      <c r="A5602">
        <f>IFERROR(INDEX('Email Cleaner'!$B$2:$B$10001,MATCH(5601,'Email Cleaner'!$K$2:$K$10001,0)),"")</f>
        <v/>
      </c>
    </row>
    <row r="5603">
      <c r="A5603">
        <f>IFERROR(INDEX('Email Cleaner'!$B$2:$B$10001,MATCH(5602,'Email Cleaner'!$K$2:$K$10001,0)),"")</f>
        <v/>
      </c>
    </row>
    <row r="5604">
      <c r="A5604">
        <f>IFERROR(INDEX('Email Cleaner'!$B$2:$B$10001,MATCH(5603,'Email Cleaner'!$K$2:$K$10001,0)),"")</f>
        <v/>
      </c>
    </row>
    <row r="5605">
      <c r="A5605">
        <f>IFERROR(INDEX('Email Cleaner'!$B$2:$B$10001,MATCH(5604,'Email Cleaner'!$K$2:$K$10001,0)),"")</f>
        <v/>
      </c>
    </row>
    <row r="5606">
      <c r="A5606">
        <f>IFERROR(INDEX('Email Cleaner'!$B$2:$B$10001,MATCH(5605,'Email Cleaner'!$K$2:$K$10001,0)),"")</f>
        <v/>
      </c>
    </row>
    <row r="5607">
      <c r="A5607">
        <f>IFERROR(INDEX('Email Cleaner'!$B$2:$B$10001,MATCH(5606,'Email Cleaner'!$K$2:$K$10001,0)),"")</f>
        <v/>
      </c>
    </row>
    <row r="5608">
      <c r="A5608">
        <f>IFERROR(INDEX('Email Cleaner'!$B$2:$B$10001,MATCH(5607,'Email Cleaner'!$K$2:$K$10001,0)),"")</f>
        <v/>
      </c>
    </row>
    <row r="5609">
      <c r="A5609">
        <f>IFERROR(INDEX('Email Cleaner'!$B$2:$B$10001,MATCH(5608,'Email Cleaner'!$K$2:$K$10001,0)),"")</f>
        <v/>
      </c>
    </row>
    <row r="5610">
      <c r="A5610">
        <f>IFERROR(INDEX('Email Cleaner'!$B$2:$B$10001,MATCH(5609,'Email Cleaner'!$K$2:$K$10001,0)),"")</f>
        <v/>
      </c>
    </row>
    <row r="5611">
      <c r="A5611">
        <f>IFERROR(INDEX('Email Cleaner'!$B$2:$B$10001,MATCH(5610,'Email Cleaner'!$K$2:$K$10001,0)),"")</f>
        <v/>
      </c>
    </row>
    <row r="5612">
      <c r="A5612">
        <f>IFERROR(INDEX('Email Cleaner'!$B$2:$B$10001,MATCH(5611,'Email Cleaner'!$K$2:$K$10001,0)),"")</f>
        <v/>
      </c>
    </row>
    <row r="5613">
      <c r="A5613">
        <f>IFERROR(INDEX('Email Cleaner'!$B$2:$B$10001,MATCH(5612,'Email Cleaner'!$K$2:$K$10001,0)),"")</f>
        <v/>
      </c>
    </row>
    <row r="5614">
      <c r="A5614">
        <f>IFERROR(INDEX('Email Cleaner'!$B$2:$B$10001,MATCH(5613,'Email Cleaner'!$K$2:$K$10001,0)),"")</f>
        <v/>
      </c>
    </row>
    <row r="5615">
      <c r="A5615">
        <f>IFERROR(INDEX('Email Cleaner'!$B$2:$B$10001,MATCH(5614,'Email Cleaner'!$K$2:$K$10001,0)),"")</f>
        <v/>
      </c>
    </row>
    <row r="5616">
      <c r="A5616">
        <f>IFERROR(INDEX('Email Cleaner'!$B$2:$B$10001,MATCH(5615,'Email Cleaner'!$K$2:$K$10001,0)),"")</f>
        <v/>
      </c>
    </row>
    <row r="5617">
      <c r="A5617">
        <f>IFERROR(INDEX('Email Cleaner'!$B$2:$B$10001,MATCH(5616,'Email Cleaner'!$K$2:$K$10001,0)),"")</f>
        <v/>
      </c>
    </row>
    <row r="5618">
      <c r="A5618">
        <f>IFERROR(INDEX('Email Cleaner'!$B$2:$B$10001,MATCH(5617,'Email Cleaner'!$K$2:$K$10001,0)),"")</f>
        <v/>
      </c>
    </row>
    <row r="5619">
      <c r="A5619">
        <f>IFERROR(INDEX('Email Cleaner'!$B$2:$B$10001,MATCH(5618,'Email Cleaner'!$K$2:$K$10001,0)),"")</f>
        <v/>
      </c>
    </row>
    <row r="5620">
      <c r="A5620">
        <f>IFERROR(INDEX('Email Cleaner'!$B$2:$B$10001,MATCH(5619,'Email Cleaner'!$K$2:$K$10001,0)),"")</f>
        <v/>
      </c>
    </row>
    <row r="5621">
      <c r="A5621">
        <f>IFERROR(INDEX('Email Cleaner'!$B$2:$B$10001,MATCH(5620,'Email Cleaner'!$K$2:$K$10001,0)),"")</f>
        <v/>
      </c>
    </row>
    <row r="5622">
      <c r="A5622">
        <f>IFERROR(INDEX('Email Cleaner'!$B$2:$B$10001,MATCH(5621,'Email Cleaner'!$K$2:$K$10001,0)),"")</f>
        <v/>
      </c>
    </row>
    <row r="5623">
      <c r="A5623">
        <f>IFERROR(INDEX('Email Cleaner'!$B$2:$B$10001,MATCH(5622,'Email Cleaner'!$K$2:$K$10001,0)),"")</f>
        <v/>
      </c>
    </row>
    <row r="5624">
      <c r="A5624">
        <f>IFERROR(INDEX('Email Cleaner'!$B$2:$B$10001,MATCH(5623,'Email Cleaner'!$K$2:$K$10001,0)),"")</f>
        <v/>
      </c>
    </row>
    <row r="5625">
      <c r="A5625">
        <f>IFERROR(INDEX('Email Cleaner'!$B$2:$B$10001,MATCH(5624,'Email Cleaner'!$K$2:$K$10001,0)),"")</f>
        <v/>
      </c>
    </row>
    <row r="5626">
      <c r="A5626">
        <f>IFERROR(INDEX('Email Cleaner'!$B$2:$B$10001,MATCH(5625,'Email Cleaner'!$K$2:$K$10001,0)),"")</f>
        <v/>
      </c>
    </row>
    <row r="5627">
      <c r="A5627">
        <f>IFERROR(INDEX('Email Cleaner'!$B$2:$B$10001,MATCH(5626,'Email Cleaner'!$K$2:$K$10001,0)),"")</f>
        <v/>
      </c>
    </row>
    <row r="5628">
      <c r="A5628">
        <f>IFERROR(INDEX('Email Cleaner'!$B$2:$B$10001,MATCH(5627,'Email Cleaner'!$K$2:$K$10001,0)),"")</f>
        <v/>
      </c>
    </row>
    <row r="5629">
      <c r="A5629">
        <f>IFERROR(INDEX('Email Cleaner'!$B$2:$B$10001,MATCH(5628,'Email Cleaner'!$K$2:$K$10001,0)),"")</f>
        <v/>
      </c>
    </row>
    <row r="5630">
      <c r="A5630">
        <f>IFERROR(INDEX('Email Cleaner'!$B$2:$B$10001,MATCH(5629,'Email Cleaner'!$K$2:$K$10001,0)),"")</f>
        <v/>
      </c>
    </row>
    <row r="5631">
      <c r="A5631">
        <f>IFERROR(INDEX('Email Cleaner'!$B$2:$B$10001,MATCH(5630,'Email Cleaner'!$K$2:$K$10001,0)),"")</f>
        <v/>
      </c>
    </row>
    <row r="5632">
      <c r="A5632">
        <f>IFERROR(INDEX('Email Cleaner'!$B$2:$B$10001,MATCH(5631,'Email Cleaner'!$K$2:$K$10001,0)),"")</f>
        <v/>
      </c>
    </row>
    <row r="5633">
      <c r="A5633">
        <f>IFERROR(INDEX('Email Cleaner'!$B$2:$B$10001,MATCH(5632,'Email Cleaner'!$K$2:$K$10001,0)),"")</f>
        <v/>
      </c>
    </row>
    <row r="5634">
      <c r="A5634">
        <f>IFERROR(INDEX('Email Cleaner'!$B$2:$B$10001,MATCH(5633,'Email Cleaner'!$K$2:$K$10001,0)),"")</f>
        <v/>
      </c>
    </row>
    <row r="5635">
      <c r="A5635">
        <f>IFERROR(INDEX('Email Cleaner'!$B$2:$B$10001,MATCH(5634,'Email Cleaner'!$K$2:$K$10001,0)),"")</f>
        <v/>
      </c>
    </row>
    <row r="5636">
      <c r="A5636">
        <f>IFERROR(INDEX('Email Cleaner'!$B$2:$B$10001,MATCH(5635,'Email Cleaner'!$K$2:$K$10001,0)),"")</f>
        <v/>
      </c>
    </row>
    <row r="5637">
      <c r="A5637">
        <f>IFERROR(INDEX('Email Cleaner'!$B$2:$B$10001,MATCH(5636,'Email Cleaner'!$K$2:$K$10001,0)),"")</f>
        <v/>
      </c>
    </row>
    <row r="5638">
      <c r="A5638">
        <f>IFERROR(INDEX('Email Cleaner'!$B$2:$B$10001,MATCH(5637,'Email Cleaner'!$K$2:$K$10001,0)),"")</f>
        <v/>
      </c>
    </row>
    <row r="5639">
      <c r="A5639">
        <f>IFERROR(INDEX('Email Cleaner'!$B$2:$B$10001,MATCH(5638,'Email Cleaner'!$K$2:$K$10001,0)),"")</f>
        <v/>
      </c>
    </row>
    <row r="5640">
      <c r="A5640">
        <f>IFERROR(INDEX('Email Cleaner'!$B$2:$B$10001,MATCH(5639,'Email Cleaner'!$K$2:$K$10001,0)),"")</f>
        <v/>
      </c>
    </row>
    <row r="5641">
      <c r="A5641">
        <f>IFERROR(INDEX('Email Cleaner'!$B$2:$B$10001,MATCH(5640,'Email Cleaner'!$K$2:$K$10001,0)),"")</f>
        <v/>
      </c>
    </row>
    <row r="5642">
      <c r="A5642">
        <f>IFERROR(INDEX('Email Cleaner'!$B$2:$B$10001,MATCH(5641,'Email Cleaner'!$K$2:$K$10001,0)),"")</f>
        <v/>
      </c>
    </row>
    <row r="5643">
      <c r="A5643">
        <f>IFERROR(INDEX('Email Cleaner'!$B$2:$B$10001,MATCH(5642,'Email Cleaner'!$K$2:$K$10001,0)),"")</f>
        <v/>
      </c>
    </row>
    <row r="5644">
      <c r="A5644">
        <f>IFERROR(INDEX('Email Cleaner'!$B$2:$B$10001,MATCH(5643,'Email Cleaner'!$K$2:$K$10001,0)),"")</f>
        <v/>
      </c>
    </row>
    <row r="5645">
      <c r="A5645">
        <f>IFERROR(INDEX('Email Cleaner'!$B$2:$B$10001,MATCH(5644,'Email Cleaner'!$K$2:$K$10001,0)),"")</f>
        <v/>
      </c>
    </row>
    <row r="5646">
      <c r="A5646">
        <f>IFERROR(INDEX('Email Cleaner'!$B$2:$B$10001,MATCH(5645,'Email Cleaner'!$K$2:$K$10001,0)),"")</f>
        <v/>
      </c>
    </row>
    <row r="5647">
      <c r="A5647">
        <f>IFERROR(INDEX('Email Cleaner'!$B$2:$B$10001,MATCH(5646,'Email Cleaner'!$K$2:$K$10001,0)),"")</f>
        <v/>
      </c>
    </row>
    <row r="5648">
      <c r="A5648">
        <f>IFERROR(INDEX('Email Cleaner'!$B$2:$B$10001,MATCH(5647,'Email Cleaner'!$K$2:$K$10001,0)),"")</f>
        <v/>
      </c>
    </row>
    <row r="5649">
      <c r="A5649">
        <f>IFERROR(INDEX('Email Cleaner'!$B$2:$B$10001,MATCH(5648,'Email Cleaner'!$K$2:$K$10001,0)),"")</f>
        <v/>
      </c>
    </row>
    <row r="5650">
      <c r="A5650">
        <f>IFERROR(INDEX('Email Cleaner'!$B$2:$B$10001,MATCH(5649,'Email Cleaner'!$K$2:$K$10001,0)),"")</f>
        <v/>
      </c>
    </row>
    <row r="5651">
      <c r="A5651">
        <f>IFERROR(INDEX('Email Cleaner'!$B$2:$B$10001,MATCH(5650,'Email Cleaner'!$K$2:$K$10001,0)),"")</f>
        <v/>
      </c>
    </row>
    <row r="5652">
      <c r="A5652">
        <f>IFERROR(INDEX('Email Cleaner'!$B$2:$B$10001,MATCH(5651,'Email Cleaner'!$K$2:$K$10001,0)),"")</f>
        <v/>
      </c>
    </row>
    <row r="5653">
      <c r="A5653">
        <f>IFERROR(INDEX('Email Cleaner'!$B$2:$B$10001,MATCH(5652,'Email Cleaner'!$K$2:$K$10001,0)),"")</f>
        <v/>
      </c>
    </row>
    <row r="5654">
      <c r="A5654">
        <f>IFERROR(INDEX('Email Cleaner'!$B$2:$B$10001,MATCH(5653,'Email Cleaner'!$K$2:$K$10001,0)),"")</f>
        <v/>
      </c>
    </row>
    <row r="5655">
      <c r="A5655">
        <f>IFERROR(INDEX('Email Cleaner'!$B$2:$B$10001,MATCH(5654,'Email Cleaner'!$K$2:$K$10001,0)),"")</f>
        <v/>
      </c>
    </row>
    <row r="5656">
      <c r="A5656">
        <f>IFERROR(INDEX('Email Cleaner'!$B$2:$B$10001,MATCH(5655,'Email Cleaner'!$K$2:$K$10001,0)),"")</f>
        <v/>
      </c>
    </row>
    <row r="5657">
      <c r="A5657">
        <f>IFERROR(INDEX('Email Cleaner'!$B$2:$B$10001,MATCH(5656,'Email Cleaner'!$K$2:$K$10001,0)),"")</f>
        <v/>
      </c>
    </row>
    <row r="5658">
      <c r="A5658">
        <f>IFERROR(INDEX('Email Cleaner'!$B$2:$B$10001,MATCH(5657,'Email Cleaner'!$K$2:$K$10001,0)),"")</f>
        <v/>
      </c>
    </row>
    <row r="5659">
      <c r="A5659">
        <f>IFERROR(INDEX('Email Cleaner'!$B$2:$B$10001,MATCH(5658,'Email Cleaner'!$K$2:$K$10001,0)),"")</f>
        <v/>
      </c>
    </row>
    <row r="5660">
      <c r="A5660">
        <f>IFERROR(INDEX('Email Cleaner'!$B$2:$B$10001,MATCH(5659,'Email Cleaner'!$K$2:$K$10001,0)),"")</f>
        <v/>
      </c>
    </row>
    <row r="5661">
      <c r="A5661">
        <f>IFERROR(INDEX('Email Cleaner'!$B$2:$B$10001,MATCH(5660,'Email Cleaner'!$K$2:$K$10001,0)),"")</f>
        <v/>
      </c>
    </row>
    <row r="5662">
      <c r="A5662">
        <f>IFERROR(INDEX('Email Cleaner'!$B$2:$B$10001,MATCH(5661,'Email Cleaner'!$K$2:$K$10001,0)),"")</f>
        <v/>
      </c>
    </row>
    <row r="5663">
      <c r="A5663">
        <f>IFERROR(INDEX('Email Cleaner'!$B$2:$B$10001,MATCH(5662,'Email Cleaner'!$K$2:$K$10001,0)),"")</f>
        <v/>
      </c>
    </row>
    <row r="5664">
      <c r="A5664">
        <f>IFERROR(INDEX('Email Cleaner'!$B$2:$B$10001,MATCH(5663,'Email Cleaner'!$K$2:$K$10001,0)),"")</f>
        <v/>
      </c>
    </row>
    <row r="5665">
      <c r="A5665">
        <f>IFERROR(INDEX('Email Cleaner'!$B$2:$B$10001,MATCH(5664,'Email Cleaner'!$K$2:$K$10001,0)),"")</f>
        <v/>
      </c>
    </row>
    <row r="5666">
      <c r="A5666">
        <f>IFERROR(INDEX('Email Cleaner'!$B$2:$B$10001,MATCH(5665,'Email Cleaner'!$K$2:$K$10001,0)),"")</f>
        <v/>
      </c>
    </row>
    <row r="5667">
      <c r="A5667">
        <f>IFERROR(INDEX('Email Cleaner'!$B$2:$B$10001,MATCH(5666,'Email Cleaner'!$K$2:$K$10001,0)),"")</f>
        <v/>
      </c>
    </row>
    <row r="5668">
      <c r="A5668">
        <f>IFERROR(INDEX('Email Cleaner'!$B$2:$B$10001,MATCH(5667,'Email Cleaner'!$K$2:$K$10001,0)),"")</f>
        <v/>
      </c>
    </row>
    <row r="5669">
      <c r="A5669">
        <f>IFERROR(INDEX('Email Cleaner'!$B$2:$B$10001,MATCH(5668,'Email Cleaner'!$K$2:$K$10001,0)),"")</f>
        <v/>
      </c>
    </row>
    <row r="5670">
      <c r="A5670">
        <f>IFERROR(INDEX('Email Cleaner'!$B$2:$B$10001,MATCH(5669,'Email Cleaner'!$K$2:$K$10001,0)),"")</f>
        <v/>
      </c>
    </row>
    <row r="5671">
      <c r="A5671">
        <f>IFERROR(INDEX('Email Cleaner'!$B$2:$B$10001,MATCH(5670,'Email Cleaner'!$K$2:$K$10001,0)),"")</f>
        <v/>
      </c>
    </row>
    <row r="5672">
      <c r="A5672">
        <f>IFERROR(INDEX('Email Cleaner'!$B$2:$B$10001,MATCH(5671,'Email Cleaner'!$K$2:$K$10001,0)),"")</f>
        <v/>
      </c>
    </row>
    <row r="5673">
      <c r="A5673">
        <f>IFERROR(INDEX('Email Cleaner'!$B$2:$B$10001,MATCH(5672,'Email Cleaner'!$K$2:$K$10001,0)),"")</f>
        <v/>
      </c>
    </row>
    <row r="5674">
      <c r="A5674">
        <f>IFERROR(INDEX('Email Cleaner'!$B$2:$B$10001,MATCH(5673,'Email Cleaner'!$K$2:$K$10001,0)),"")</f>
        <v/>
      </c>
    </row>
    <row r="5675">
      <c r="A5675">
        <f>IFERROR(INDEX('Email Cleaner'!$B$2:$B$10001,MATCH(5674,'Email Cleaner'!$K$2:$K$10001,0)),"")</f>
        <v/>
      </c>
    </row>
    <row r="5676">
      <c r="A5676">
        <f>IFERROR(INDEX('Email Cleaner'!$B$2:$B$10001,MATCH(5675,'Email Cleaner'!$K$2:$K$10001,0)),"")</f>
        <v/>
      </c>
    </row>
    <row r="5677">
      <c r="A5677">
        <f>IFERROR(INDEX('Email Cleaner'!$B$2:$B$10001,MATCH(5676,'Email Cleaner'!$K$2:$K$10001,0)),"")</f>
        <v/>
      </c>
    </row>
    <row r="5678">
      <c r="A5678">
        <f>IFERROR(INDEX('Email Cleaner'!$B$2:$B$10001,MATCH(5677,'Email Cleaner'!$K$2:$K$10001,0)),"")</f>
        <v/>
      </c>
    </row>
    <row r="5679">
      <c r="A5679">
        <f>IFERROR(INDEX('Email Cleaner'!$B$2:$B$10001,MATCH(5678,'Email Cleaner'!$K$2:$K$10001,0)),"")</f>
        <v/>
      </c>
    </row>
    <row r="5680">
      <c r="A5680">
        <f>IFERROR(INDEX('Email Cleaner'!$B$2:$B$10001,MATCH(5679,'Email Cleaner'!$K$2:$K$10001,0)),"")</f>
        <v/>
      </c>
    </row>
    <row r="5681">
      <c r="A5681">
        <f>IFERROR(INDEX('Email Cleaner'!$B$2:$B$10001,MATCH(5680,'Email Cleaner'!$K$2:$K$10001,0)),"")</f>
        <v/>
      </c>
    </row>
    <row r="5682">
      <c r="A5682">
        <f>IFERROR(INDEX('Email Cleaner'!$B$2:$B$10001,MATCH(5681,'Email Cleaner'!$K$2:$K$10001,0)),"")</f>
        <v/>
      </c>
    </row>
    <row r="5683">
      <c r="A5683">
        <f>IFERROR(INDEX('Email Cleaner'!$B$2:$B$10001,MATCH(5682,'Email Cleaner'!$K$2:$K$10001,0)),"")</f>
        <v/>
      </c>
    </row>
    <row r="5684">
      <c r="A5684">
        <f>IFERROR(INDEX('Email Cleaner'!$B$2:$B$10001,MATCH(5683,'Email Cleaner'!$K$2:$K$10001,0)),"")</f>
        <v/>
      </c>
    </row>
    <row r="5685">
      <c r="A5685">
        <f>IFERROR(INDEX('Email Cleaner'!$B$2:$B$10001,MATCH(5684,'Email Cleaner'!$K$2:$K$10001,0)),"")</f>
        <v/>
      </c>
    </row>
    <row r="5686">
      <c r="A5686">
        <f>IFERROR(INDEX('Email Cleaner'!$B$2:$B$10001,MATCH(5685,'Email Cleaner'!$K$2:$K$10001,0)),"")</f>
        <v/>
      </c>
    </row>
    <row r="5687">
      <c r="A5687">
        <f>IFERROR(INDEX('Email Cleaner'!$B$2:$B$10001,MATCH(5686,'Email Cleaner'!$K$2:$K$10001,0)),"")</f>
        <v/>
      </c>
    </row>
    <row r="5688">
      <c r="A5688">
        <f>IFERROR(INDEX('Email Cleaner'!$B$2:$B$10001,MATCH(5687,'Email Cleaner'!$K$2:$K$10001,0)),"")</f>
        <v/>
      </c>
    </row>
    <row r="5689">
      <c r="A5689">
        <f>IFERROR(INDEX('Email Cleaner'!$B$2:$B$10001,MATCH(5688,'Email Cleaner'!$K$2:$K$10001,0)),"")</f>
        <v/>
      </c>
    </row>
    <row r="5690">
      <c r="A5690">
        <f>IFERROR(INDEX('Email Cleaner'!$B$2:$B$10001,MATCH(5689,'Email Cleaner'!$K$2:$K$10001,0)),"")</f>
        <v/>
      </c>
    </row>
    <row r="5691">
      <c r="A5691">
        <f>IFERROR(INDEX('Email Cleaner'!$B$2:$B$10001,MATCH(5690,'Email Cleaner'!$K$2:$K$10001,0)),"")</f>
        <v/>
      </c>
    </row>
    <row r="5692">
      <c r="A5692">
        <f>IFERROR(INDEX('Email Cleaner'!$B$2:$B$10001,MATCH(5691,'Email Cleaner'!$K$2:$K$10001,0)),"")</f>
        <v/>
      </c>
    </row>
    <row r="5693">
      <c r="A5693">
        <f>IFERROR(INDEX('Email Cleaner'!$B$2:$B$10001,MATCH(5692,'Email Cleaner'!$K$2:$K$10001,0)),"")</f>
        <v/>
      </c>
    </row>
    <row r="5694">
      <c r="A5694">
        <f>IFERROR(INDEX('Email Cleaner'!$B$2:$B$10001,MATCH(5693,'Email Cleaner'!$K$2:$K$10001,0)),"")</f>
        <v/>
      </c>
    </row>
    <row r="5695">
      <c r="A5695">
        <f>IFERROR(INDEX('Email Cleaner'!$B$2:$B$10001,MATCH(5694,'Email Cleaner'!$K$2:$K$10001,0)),"")</f>
        <v/>
      </c>
    </row>
    <row r="5696">
      <c r="A5696">
        <f>IFERROR(INDEX('Email Cleaner'!$B$2:$B$10001,MATCH(5695,'Email Cleaner'!$K$2:$K$10001,0)),"")</f>
        <v/>
      </c>
    </row>
    <row r="5697">
      <c r="A5697">
        <f>IFERROR(INDEX('Email Cleaner'!$B$2:$B$10001,MATCH(5696,'Email Cleaner'!$K$2:$K$10001,0)),"")</f>
        <v/>
      </c>
    </row>
    <row r="5698">
      <c r="A5698">
        <f>IFERROR(INDEX('Email Cleaner'!$B$2:$B$10001,MATCH(5697,'Email Cleaner'!$K$2:$K$10001,0)),"")</f>
        <v/>
      </c>
    </row>
    <row r="5699">
      <c r="A5699">
        <f>IFERROR(INDEX('Email Cleaner'!$B$2:$B$10001,MATCH(5698,'Email Cleaner'!$K$2:$K$10001,0)),"")</f>
        <v/>
      </c>
    </row>
    <row r="5700">
      <c r="A5700">
        <f>IFERROR(INDEX('Email Cleaner'!$B$2:$B$10001,MATCH(5699,'Email Cleaner'!$K$2:$K$10001,0)),"")</f>
        <v/>
      </c>
    </row>
    <row r="5701">
      <c r="A5701">
        <f>IFERROR(INDEX('Email Cleaner'!$B$2:$B$10001,MATCH(5700,'Email Cleaner'!$K$2:$K$10001,0)),"")</f>
        <v/>
      </c>
    </row>
    <row r="5702">
      <c r="A5702">
        <f>IFERROR(INDEX('Email Cleaner'!$B$2:$B$10001,MATCH(5701,'Email Cleaner'!$K$2:$K$10001,0)),"")</f>
        <v/>
      </c>
    </row>
    <row r="5703">
      <c r="A5703">
        <f>IFERROR(INDEX('Email Cleaner'!$B$2:$B$10001,MATCH(5702,'Email Cleaner'!$K$2:$K$10001,0)),"")</f>
        <v/>
      </c>
    </row>
    <row r="5704">
      <c r="A5704">
        <f>IFERROR(INDEX('Email Cleaner'!$B$2:$B$10001,MATCH(5703,'Email Cleaner'!$K$2:$K$10001,0)),"")</f>
        <v/>
      </c>
    </row>
    <row r="5705">
      <c r="A5705">
        <f>IFERROR(INDEX('Email Cleaner'!$B$2:$B$10001,MATCH(5704,'Email Cleaner'!$K$2:$K$10001,0)),"")</f>
        <v/>
      </c>
    </row>
    <row r="5706">
      <c r="A5706">
        <f>IFERROR(INDEX('Email Cleaner'!$B$2:$B$10001,MATCH(5705,'Email Cleaner'!$K$2:$K$10001,0)),"")</f>
        <v/>
      </c>
    </row>
    <row r="5707">
      <c r="A5707">
        <f>IFERROR(INDEX('Email Cleaner'!$B$2:$B$10001,MATCH(5706,'Email Cleaner'!$K$2:$K$10001,0)),"")</f>
        <v/>
      </c>
    </row>
    <row r="5708">
      <c r="A5708">
        <f>IFERROR(INDEX('Email Cleaner'!$B$2:$B$10001,MATCH(5707,'Email Cleaner'!$K$2:$K$10001,0)),"")</f>
        <v/>
      </c>
    </row>
    <row r="5709">
      <c r="A5709">
        <f>IFERROR(INDEX('Email Cleaner'!$B$2:$B$10001,MATCH(5708,'Email Cleaner'!$K$2:$K$10001,0)),"")</f>
        <v/>
      </c>
    </row>
    <row r="5710">
      <c r="A5710">
        <f>IFERROR(INDEX('Email Cleaner'!$B$2:$B$10001,MATCH(5709,'Email Cleaner'!$K$2:$K$10001,0)),"")</f>
        <v/>
      </c>
    </row>
    <row r="5711">
      <c r="A5711">
        <f>IFERROR(INDEX('Email Cleaner'!$B$2:$B$10001,MATCH(5710,'Email Cleaner'!$K$2:$K$10001,0)),"")</f>
        <v/>
      </c>
    </row>
    <row r="5712">
      <c r="A5712">
        <f>IFERROR(INDEX('Email Cleaner'!$B$2:$B$10001,MATCH(5711,'Email Cleaner'!$K$2:$K$10001,0)),"")</f>
        <v/>
      </c>
    </row>
    <row r="5713">
      <c r="A5713">
        <f>IFERROR(INDEX('Email Cleaner'!$B$2:$B$10001,MATCH(5712,'Email Cleaner'!$K$2:$K$10001,0)),"")</f>
        <v/>
      </c>
    </row>
    <row r="5714">
      <c r="A5714">
        <f>IFERROR(INDEX('Email Cleaner'!$B$2:$B$10001,MATCH(5713,'Email Cleaner'!$K$2:$K$10001,0)),"")</f>
        <v/>
      </c>
    </row>
    <row r="5715">
      <c r="A5715">
        <f>IFERROR(INDEX('Email Cleaner'!$B$2:$B$10001,MATCH(5714,'Email Cleaner'!$K$2:$K$10001,0)),"")</f>
        <v/>
      </c>
    </row>
    <row r="5716">
      <c r="A5716">
        <f>IFERROR(INDEX('Email Cleaner'!$B$2:$B$10001,MATCH(5715,'Email Cleaner'!$K$2:$K$10001,0)),"")</f>
        <v/>
      </c>
    </row>
    <row r="5717">
      <c r="A5717">
        <f>IFERROR(INDEX('Email Cleaner'!$B$2:$B$10001,MATCH(5716,'Email Cleaner'!$K$2:$K$10001,0)),"")</f>
        <v/>
      </c>
    </row>
    <row r="5718">
      <c r="A5718">
        <f>IFERROR(INDEX('Email Cleaner'!$B$2:$B$10001,MATCH(5717,'Email Cleaner'!$K$2:$K$10001,0)),"")</f>
        <v/>
      </c>
    </row>
    <row r="5719">
      <c r="A5719">
        <f>IFERROR(INDEX('Email Cleaner'!$B$2:$B$10001,MATCH(5718,'Email Cleaner'!$K$2:$K$10001,0)),"")</f>
        <v/>
      </c>
    </row>
    <row r="5720">
      <c r="A5720">
        <f>IFERROR(INDEX('Email Cleaner'!$B$2:$B$10001,MATCH(5719,'Email Cleaner'!$K$2:$K$10001,0)),"")</f>
        <v/>
      </c>
    </row>
    <row r="5721">
      <c r="A5721">
        <f>IFERROR(INDEX('Email Cleaner'!$B$2:$B$10001,MATCH(5720,'Email Cleaner'!$K$2:$K$10001,0)),"")</f>
        <v/>
      </c>
    </row>
    <row r="5722">
      <c r="A5722">
        <f>IFERROR(INDEX('Email Cleaner'!$B$2:$B$10001,MATCH(5721,'Email Cleaner'!$K$2:$K$10001,0)),"")</f>
        <v/>
      </c>
    </row>
    <row r="5723">
      <c r="A5723">
        <f>IFERROR(INDEX('Email Cleaner'!$B$2:$B$10001,MATCH(5722,'Email Cleaner'!$K$2:$K$10001,0)),"")</f>
        <v/>
      </c>
    </row>
    <row r="5724">
      <c r="A5724">
        <f>IFERROR(INDEX('Email Cleaner'!$B$2:$B$10001,MATCH(5723,'Email Cleaner'!$K$2:$K$10001,0)),"")</f>
        <v/>
      </c>
    </row>
    <row r="5725">
      <c r="A5725">
        <f>IFERROR(INDEX('Email Cleaner'!$B$2:$B$10001,MATCH(5724,'Email Cleaner'!$K$2:$K$10001,0)),"")</f>
        <v/>
      </c>
    </row>
    <row r="5726">
      <c r="A5726">
        <f>IFERROR(INDEX('Email Cleaner'!$B$2:$B$10001,MATCH(5725,'Email Cleaner'!$K$2:$K$10001,0)),"")</f>
        <v/>
      </c>
    </row>
    <row r="5727">
      <c r="A5727">
        <f>IFERROR(INDEX('Email Cleaner'!$B$2:$B$10001,MATCH(5726,'Email Cleaner'!$K$2:$K$10001,0)),"")</f>
        <v/>
      </c>
    </row>
    <row r="5728">
      <c r="A5728">
        <f>IFERROR(INDEX('Email Cleaner'!$B$2:$B$10001,MATCH(5727,'Email Cleaner'!$K$2:$K$10001,0)),"")</f>
        <v/>
      </c>
    </row>
    <row r="5729">
      <c r="A5729">
        <f>IFERROR(INDEX('Email Cleaner'!$B$2:$B$10001,MATCH(5728,'Email Cleaner'!$K$2:$K$10001,0)),"")</f>
        <v/>
      </c>
    </row>
    <row r="5730">
      <c r="A5730">
        <f>IFERROR(INDEX('Email Cleaner'!$B$2:$B$10001,MATCH(5729,'Email Cleaner'!$K$2:$K$10001,0)),"")</f>
        <v/>
      </c>
    </row>
    <row r="5731">
      <c r="A5731">
        <f>IFERROR(INDEX('Email Cleaner'!$B$2:$B$10001,MATCH(5730,'Email Cleaner'!$K$2:$K$10001,0)),"")</f>
        <v/>
      </c>
    </row>
    <row r="5732">
      <c r="A5732">
        <f>IFERROR(INDEX('Email Cleaner'!$B$2:$B$10001,MATCH(5731,'Email Cleaner'!$K$2:$K$10001,0)),"")</f>
        <v/>
      </c>
    </row>
    <row r="5733">
      <c r="A5733">
        <f>IFERROR(INDEX('Email Cleaner'!$B$2:$B$10001,MATCH(5732,'Email Cleaner'!$K$2:$K$10001,0)),"")</f>
        <v/>
      </c>
    </row>
    <row r="5734">
      <c r="A5734">
        <f>IFERROR(INDEX('Email Cleaner'!$B$2:$B$10001,MATCH(5733,'Email Cleaner'!$K$2:$K$10001,0)),"")</f>
        <v/>
      </c>
    </row>
    <row r="5735">
      <c r="A5735">
        <f>IFERROR(INDEX('Email Cleaner'!$B$2:$B$10001,MATCH(5734,'Email Cleaner'!$K$2:$K$10001,0)),"")</f>
        <v/>
      </c>
    </row>
    <row r="5736">
      <c r="A5736">
        <f>IFERROR(INDEX('Email Cleaner'!$B$2:$B$10001,MATCH(5735,'Email Cleaner'!$K$2:$K$10001,0)),"")</f>
        <v/>
      </c>
    </row>
    <row r="5737">
      <c r="A5737">
        <f>IFERROR(INDEX('Email Cleaner'!$B$2:$B$10001,MATCH(5736,'Email Cleaner'!$K$2:$K$10001,0)),"")</f>
        <v/>
      </c>
    </row>
    <row r="5738">
      <c r="A5738">
        <f>IFERROR(INDEX('Email Cleaner'!$B$2:$B$10001,MATCH(5737,'Email Cleaner'!$K$2:$K$10001,0)),"")</f>
        <v/>
      </c>
    </row>
    <row r="5739">
      <c r="A5739">
        <f>IFERROR(INDEX('Email Cleaner'!$B$2:$B$10001,MATCH(5738,'Email Cleaner'!$K$2:$K$10001,0)),"")</f>
        <v/>
      </c>
    </row>
    <row r="5740">
      <c r="A5740">
        <f>IFERROR(INDEX('Email Cleaner'!$B$2:$B$10001,MATCH(5739,'Email Cleaner'!$K$2:$K$10001,0)),"")</f>
        <v/>
      </c>
    </row>
    <row r="5741">
      <c r="A5741">
        <f>IFERROR(INDEX('Email Cleaner'!$B$2:$B$10001,MATCH(5740,'Email Cleaner'!$K$2:$K$10001,0)),"")</f>
        <v/>
      </c>
    </row>
    <row r="5742">
      <c r="A5742">
        <f>IFERROR(INDEX('Email Cleaner'!$B$2:$B$10001,MATCH(5741,'Email Cleaner'!$K$2:$K$10001,0)),"")</f>
        <v/>
      </c>
    </row>
    <row r="5743">
      <c r="A5743">
        <f>IFERROR(INDEX('Email Cleaner'!$B$2:$B$10001,MATCH(5742,'Email Cleaner'!$K$2:$K$10001,0)),"")</f>
        <v/>
      </c>
    </row>
    <row r="5744">
      <c r="A5744">
        <f>IFERROR(INDEX('Email Cleaner'!$B$2:$B$10001,MATCH(5743,'Email Cleaner'!$K$2:$K$10001,0)),"")</f>
        <v/>
      </c>
    </row>
    <row r="5745">
      <c r="A5745">
        <f>IFERROR(INDEX('Email Cleaner'!$B$2:$B$10001,MATCH(5744,'Email Cleaner'!$K$2:$K$10001,0)),"")</f>
        <v/>
      </c>
    </row>
    <row r="5746">
      <c r="A5746">
        <f>IFERROR(INDEX('Email Cleaner'!$B$2:$B$10001,MATCH(5745,'Email Cleaner'!$K$2:$K$10001,0)),"")</f>
        <v/>
      </c>
    </row>
    <row r="5747">
      <c r="A5747">
        <f>IFERROR(INDEX('Email Cleaner'!$B$2:$B$10001,MATCH(5746,'Email Cleaner'!$K$2:$K$10001,0)),"")</f>
        <v/>
      </c>
    </row>
    <row r="5748">
      <c r="A5748">
        <f>IFERROR(INDEX('Email Cleaner'!$B$2:$B$10001,MATCH(5747,'Email Cleaner'!$K$2:$K$10001,0)),"")</f>
        <v/>
      </c>
    </row>
    <row r="5749">
      <c r="A5749">
        <f>IFERROR(INDEX('Email Cleaner'!$B$2:$B$10001,MATCH(5748,'Email Cleaner'!$K$2:$K$10001,0)),"")</f>
        <v/>
      </c>
    </row>
    <row r="5750">
      <c r="A5750">
        <f>IFERROR(INDEX('Email Cleaner'!$B$2:$B$10001,MATCH(5749,'Email Cleaner'!$K$2:$K$10001,0)),"")</f>
        <v/>
      </c>
    </row>
    <row r="5751">
      <c r="A5751">
        <f>IFERROR(INDEX('Email Cleaner'!$B$2:$B$10001,MATCH(5750,'Email Cleaner'!$K$2:$K$10001,0)),"")</f>
        <v/>
      </c>
    </row>
    <row r="5752">
      <c r="A5752">
        <f>IFERROR(INDEX('Email Cleaner'!$B$2:$B$10001,MATCH(5751,'Email Cleaner'!$K$2:$K$10001,0)),"")</f>
        <v/>
      </c>
    </row>
    <row r="5753">
      <c r="A5753">
        <f>IFERROR(INDEX('Email Cleaner'!$B$2:$B$10001,MATCH(5752,'Email Cleaner'!$K$2:$K$10001,0)),"")</f>
        <v/>
      </c>
    </row>
    <row r="5754">
      <c r="A5754">
        <f>IFERROR(INDEX('Email Cleaner'!$B$2:$B$10001,MATCH(5753,'Email Cleaner'!$K$2:$K$10001,0)),"")</f>
        <v/>
      </c>
    </row>
    <row r="5755">
      <c r="A5755">
        <f>IFERROR(INDEX('Email Cleaner'!$B$2:$B$10001,MATCH(5754,'Email Cleaner'!$K$2:$K$10001,0)),"")</f>
        <v/>
      </c>
    </row>
    <row r="5756">
      <c r="A5756">
        <f>IFERROR(INDEX('Email Cleaner'!$B$2:$B$10001,MATCH(5755,'Email Cleaner'!$K$2:$K$10001,0)),"")</f>
        <v/>
      </c>
    </row>
    <row r="5757">
      <c r="A5757">
        <f>IFERROR(INDEX('Email Cleaner'!$B$2:$B$10001,MATCH(5756,'Email Cleaner'!$K$2:$K$10001,0)),"")</f>
        <v/>
      </c>
    </row>
    <row r="5758">
      <c r="A5758">
        <f>IFERROR(INDEX('Email Cleaner'!$B$2:$B$10001,MATCH(5757,'Email Cleaner'!$K$2:$K$10001,0)),"")</f>
        <v/>
      </c>
    </row>
    <row r="5759">
      <c r="A5759">
        <f>IFERROR(INDEX('Email Cleaner'!$B$2:$B$10001,MATCH(5758,'Email Cleaner'!$K$2:$K$10001,0)),"")</f>
        <v/>
      </c>
    </row>
    <row r="5760">
      <c r="A5760">
        <f>IFERROR(INDEX('Email Cleaner'!$B$2:$B$10001,MATCH(5759,'Email Cleaner'!$K$2:$K$10001,0)),"")</f>
        <v/>
      </c>
    </row>
    <row r="5761">
      <c r="A5761">
        <f>IFERROR(INDEX('Email Cleaner'!$B$2:$B$10001,MATCH(5760,'Email Cleaner'!$K$2:$K$10001,0)),"")</f>
        <v/>
      </c>
    </row>
    <row r="5762">
      <c r="A5762">
        <f>IFERROR(INDEX('Email Cleaner'!$B$2:$B$10001,MATCH(5761,'Email Cleaner'!$K$2:$K$10001,0)),"")</f>
        <v/>
      </c>
    </row>
    <row r="5763">
      <c r="A5763">
        <f>IFERROR(INDEX('Email Cleaner'!$B$2:$B$10001,MATCH(5762,'Email Cleaner'!$K$2:$K$10001,0)),"")</f>
        <v/>
      </c>
    </row>
    <row r="5764">
      <c r="A5764">
        <f>IFERROR(INDEX('Email Cleaner'!$B$2:$B$10001,MATCH(5763,'Email Cleaner'!$K$2:$K$10001,0)),"")</f>
        <v/>
      </c>
    </row>
    <row r="5765">
      <c r="A5765">
        <f>IFERROR(INDEX('Email Cleaner'!$B$2:$B$10001,MATCH(5764,'Email Cleaner'!$K$2:$K$10001,0)),"")</f>
        <v/>
      </c>
    </row>
    <row r="5766">
      <c r="A5766">
        <f>IFERROR(INDEX('Email Cleaner'!$B$2:$B$10001,MATCH(5765,'Email Cleaner'!$K$2:$K$10001,0)),"")</f>
        <v/>
      </c>
    </row>
    <row r="5767">
      <c r="A5767">
        <f>IFERROR(INDEX('Email Cleaner'!$B$2:$B$10001,MATCH(5766,'Email Cleaner'!$K$2:$K$10001,0)),"")</f>
        <v/>
      </c>
    </row>
    <row r="5768">
      <c r="A5768">
        <f>IFERROR(INDEX('Email Cleaner'!$B$2:$B$10001,MATCH(5767,'Email Cleaner'!$K$2:$K$10001,0)),"")</f>
        <v/>
      </c>
    </row>
    <row r="5769">
      <c r="A5769">
        <f>IFERROR(INDEX('Email Cleaner'!$B$2:$B$10001,MATCH(5768,'Email Cleaner'!$K$2:$K$10001,0)),"")</f>
        <v/>
      </c>
    </row>
    <row r="5770">
      <c r="A5770">
        <f>IFERROR(INDEX('Email Cleaner'!$B$2:$B$10001,MATCH(5769,'Email Cleaner'!$K$2:$K$10001,0)),"")</f>
        <v/>
      </c>
    </row>
    <row r="5771">
      <c r="A5771">
        <f>IFERROR(INDEX('Email Cleaner'!$B$2:$B$10001,MATCH(5770,'Email Cleaner'!$K$2:$K$10001,0)),"")</f>
        <v/>
      </c>
    </row>
    <row r="5772">
      <c r="A5772">
        <f>IFERROR(INDEX('Email Cleaner'!$B$2:$B$10001,MATCH(5771,'Email Cleaner'!$K$2:$K$10001,0)),"")</f>
        <v/>
      </c>
    </row>
    <row r="5773">
      <c r="A5773">
        <f>IFERROR(INDEX('Email Cleaner'!$B$2:$B$10001,MATCH(5772,'Email Cleaner'!$K$2:$K$10001,0)),"")</f>
        <v/>
      </c>
    </row>
    <row r="5774">
      <c r="A5774">
        <f>IFERROR(INDEX('Email Cleaner'!$B$2:$B$10001,MATCH(5773,'Email Cleaner'!$K$2:$K$10001,0)),"")</f>
        <v/>
      </c>
    </row>
    <row r="5775">
      <c r="A5775">
        <f>IFERROR(INDEX('Email Cleaner'!$B$2:$B$10001,MATCH(5774,'Email Cleaner'!$K$2:$K$10001,0)),"")</f>
        <v/>
      </c>
    </row>
    <row r="5776">
      <c r="A5776">
        <f>IFERROR(INDEX('Email Cleaner'!$B$2:$B$10001,MATCH(5775,'Email Cleaner'!$K$2:$K$10001,0)),"")</f>
        <v/>
      </c>
    </row>
    <row r="5777">
      <c r="A5777">
        <f>IFERROR(INDEX('Email Cleaner'!$B$2:$B$10001,MATCH(5776,'Email Cleaner'!$K$2:$K$10001,0)),"")</f>
        <v/>
      </c>
    </row>
    <row r="5778">
      <c r="A5778">
        <f>IFERROR(INDEX('Email Cleaner'!$B$2:$B$10001,MATCH(5777,'Email Cleaner'!$K$2:$K$10001,0)),"")</f>
        <v/>
      </c>
    </row>
    <row r="5779">
      <c r="A5779">
        <f>IFERROR(INDEX('Email Cleaner'!$B$2:$B$10001,MATCH(5778,'Email Cleaner'!$K$2:$K$10001,0)),"")</f>
        <v/>
      </c>
    </row>
    <row r="5780">
      <c r="A5780">
        <f>IFERROR(INDEX('Email Cleaner'!$B$2:$B$10001,MATCH(5779,'Email Cleaner'!$K$2:$K$10001,0)),"")</f>
        <v/>
      </c>
    </row>
    <row r="5781">
      <c r="A5781">
        <f>IFERROR(INDEX('Email Cleaner'!$B$2:$B$10001,MATCH(5780,'Email Cleaner'!$K$2:$K$10001,0)),"")</f>
        <v/>
      </c>
    </row>
    <row r="5782">
      <c r="A5782">
        <f>IFERROR(INDEX('Email Cleaner'!$B$2:$B$10001,MATCH(5781,'Email Cleaner'!$K$2:$K$10001,0)),"")</f>
        <v/>
      </c>
    </row>
    <row r="5783">
      <c r="A5783">
        <f>IFERROR(INDEX('Email Cleaner'!$B$2:$B$10001,MATCH(5782,'Email Cleaner'!$K$2:$K$10001,0)),"")</f>
        <v/>
      </c>
    </row>
    <row r="5784">
      <c r="A5784">
        <f>IFERROR(INDEX('Email Cleaner'!$B$2:$B$10001,MATCH(5783,'Email Cleaner'!$K$2:$K$10001,0)),"")</f>
        <v/>
      </c>
    </row>
    <row r="5785">
      <c r="A5785">
        <f>IFERROR(INDEX('Email Cleaner'!$B$2:$B$10001,MATCH(5784,'Email Cleaner'!$K$2:$K$10001,0)),"")</f>
        <v/>
      </c>
    </row>
    <row r="5786">
      <c r="A5786">
        <f>IFERROR(INDEX('Email Cleaner'!$B$2:$B$10001,MATCH(5785,'Email Cleaner'!$K$2:$K$10001,0)),"")</f>
        <v/>
      </c>
    </row>
    <row r="5787">
      <c r="A5787">
        <f>IFERROR(INDEX('Email Cleaner'!$B$2:$B$10001,MATCH(5786,'Email Cleaner'!$K$2:$K$10001,0)),"")</f>
        <v/>
      </c>
    </row>
    <row r="5788">
      <c r="A5788">
        <f>IFERROR(INDEX('Email Cleaner'!$B$2:$B$10001,MATCH(5787,'Email Cleaner'!$K$2:$K$10001,0)),"")</f>
        <v/>
      </c>
    </row>
    <row r="5789">
      <c r="A5789">
        <f>IFERROR(INDEX('Email Cleaner'!$B$2:$B$10001,MATCH(5788,'Email Cleaner'!$K$2:$K$10001,0)),"")</f>
        <v/>
      </c>
    </row>
    <row r="5790">
      <c r="A5790">
        <f>IFERROR(INDEX('Email Cleaner'!$B$2:$B$10001,MATCH(5789,'Email Cleaner'!$K$2:$K$10001,0)),"")</f>
        <v/>
      </c>
    </row>
    <row r="5791">
      <c r="A5791">
        <f>IFERROR(INDEX('Email Cleaner'!$B$2:$B$10001,MATCH(5790,'Email Cleaner'!$K$2:$K$10001,0)),"")</f>
        <v/>
      </c>
    </row>
    <row r="5792">
      <c r="A5792">
        <f>IFERROR(INDEX('Email Cleaner'!$B$2:$B$10001,MATCH(5791,'Email Cleaner'!$K$2:$K$10001,0)),"")</f>
        <v/>
      </c>
    </row>
    <row r="5793">
      <c r="A5793">
        <f>IFERROR(INDEX('Email Cleaner'!$B$2:$B$10001,MATCH(5792,'Email Cleaner'!$K$2:$K$10001,0)),"")</f>
        <v/>
      </c>
    </row>
    <row r="5794">
      <c r="A5794">
        <f>IFERROR(INDEX('Email Cleaner'!$B$2:$B$10001,MATCH(5793,'Email Cleaner'!$K$2:$K$10001,0)),"")</f>
        <v/>
      </c>
    </row>
    <row r="5795">
      <c r="A5795">
        <f>IFERROR(INDEX('Email Cleaner'!$B$2:$B$10001,MATCH(5794,'Email Cleaner'!$K$2:$K$10001,0)),"")</f>
        <v/>
      </c>
    </row>
    <row r="5796">
      <c r="A5796">
        <f>IFERROR(INDEX('Email Cleaner'!$B$2:$B$10001,MATCH(5795,'Email Cleaner'!$K$2:$K$10001,0)),"")</f>
        <v/>
      </c>
    </row>
    <row r="5797">
      <c r="A5797">
        <f>IFERROR(INDEX('Email Cleaner'!$B$2:$B$10001,MATCH(5796,'Email Cleaner'!$K$2:$K$10001,0)),"")</f>
        <v/>
      </c>
    </row>
    <row r="5798">
      <c r="A5798">
        <f>IFERROR(INDEX('Email Cleaner'!$B$2:$B$10001,MATCH(5797,'Email Cleaner'!$K$2:$K$10001,0)),"")</f>
        <v/>
      </c>
    </row>
    <row r="5799">
      <c r="A5799">
        <f>IFERROR(INDEX('Email Cleaner'!$B$2:$B$10001,MATCH(5798,'Email Cleaner'!$K$2:$K$10001,0)),"")</f>
        <v/>
      </c>
    </row>
    <row r="5800">
      <c r="A5800">
        <f>IFERROR(INDEX('Email Cleaner'!$B$2:$B$10001,MATCH(5799,'Email Cleaner'!$K$2:$K$10001,0)),"")</f>
        <v/>
      </c>
    </row>
    <row r="5801">
      <c r="A5801">
        <f>IFERROR(INDEX('Email Cleaner'!$B$2:$B$10001,MATCH(5800,'Email Cleaner'!$K$2:$K$10001,0)),"")</f>
        <v/>
      </c>
    </row>
    <row r="5802">
      <c r="A5802">
        <f>IFERROR(INDEX('Email Cleaner'!$B$2:$B$10001,MATCH(5801,'Email Cleaner'!$K$2:$K$10001,0)),"")</f>
        <v/>
      </c>
    </row>
    <row r="5803">
      <c r="A5803">
        <f>IFERROR(INDEX('Email Cleaner'!$B$2:$B$10001,MATCH(5802,'Email Cleaner'!$K$2:$K$10001,0)),"")</f>
        <v/>
      </c>
    </row>
    <row r="5804">
      <c r="A5804">
        <f>IFERROR(INDEX('Email Cleaner'!$B$2:$B$10001,MATCH(5803,'Email Cleaner'!$K$2:$K$10001,0)),"")</f>
        <v/>
      </c>
    </row>
    <row r="5805">
      <c r="A5805">
        <f>IFERROR(INDEX('Email Cleaner'!$B$2:$B$10001,MATCH(5804,'Email Cleaner'!$K$2:$K$10001,0)),"")</f>
        <v/>
      </c>
    </row>
    <row r="5806">
      <c r="A5806">
        <f>IFERROR(INDEX('Email Cleaner'!$B$2:$B$10001,MATCH(5805,'Email Cleaner'!$K$2:$K$10001,0)),"")</f>
        <v/>
      </c>
    </row>
    <row r="5807">
      <c r="A5807">
        <f>IFERROR(INDEX('Email Cleaner'!$B$2:$B$10001,MATCH(5806,'Email Cleaner'!$K$2:$K$10001,0)),"")</f>
        <v/>
      </c>
    </row>
    <row r="5808">
      <c r="A5808">
        <f>IFERROR(INDEX('Email Cleaner'!$B$2:$B$10001,MATCH(5807,'Email Cleaner'!$K$2:$K$10001,0)),"")</f>
        <v/>
      </c>
    </row>
    <row r="5809">
      <c r="A5809">
        <f>IFERROR(INDEX('Email Cleaner'!$B$2:$B$10001,MATCH(5808,'Email Cleaner'!$K$2:$K$10001,0)),"")</f>
        <v/>
      </c>
    </row>
    <row r="5810">
      <c r="A5810">
        <f>IFERROR(INDEX('Email Cleaner'!$B$2:$B$10001,MATCH(5809,'Email Cleaner'!$K$2:$K$10001,0)),"")</f>
        <v/>
      </c>
    </row>
    <row r="5811">
      <c r="A5811">
        <f>IFERROR(INDEX('Email Cleaner'!$B$2:$B$10001,MATCH(5810,'Email Cleaner'!$K$2:$K$10001,0)),"")</f>
        <v/>
      </c>
    </row>
    <row r="5812">
      <c r="A5812">
        <f>IFERROR(INDEX('Email Cleaner'!$B$2:$B$10001,MATCH(5811,'Email Cleaner'!$K$2:$K$10001,0)),"")</f>
        <v/>
      </c>
    </row>
    <row r="5813">
      <c r="A5813">
        <f>IFERROR(INDEX('Email Cleaner'!$B$2:$B$10001,MATCH(5812,'Email Cleaner'!$K$2:$K$10001,0)),"")</f>
        <v/>
      </c>
    </row>
    <row r="5814">
      <c r="A5814">
        <f>IFERROR(INDEX('Email Cleaner'!$B$2:$B$10001,MATCH(5813,'Email Cleaner'!$K$2:$K$10001,0)),"")</f>
        <v/>
      </c>
    </row>
    <row r="5815">
      <c r="A5815">
        <f>IFERROR(INDEX('Email Cleaner'!$B$2:$B$10001,MATCH(5814,'Email Cleaner'!$K$2:$K$10001,0)),"")</f>
        <v/>
      </c>
    </row>
    <row r="5816">
      <c r="A5816">
        <f>IFERROR(INDEX('Email Cleaner'!$B$2:$B$10001,MATCH(5815,'Email Cleaner'!$K$2:$K$10001,0)),"")</f>
        <v/>
      </c>
    </row>
    <row r="5817">
      <c r="A5817">
        <f>IFERROR(INDEX('Email Cleaner'!$B$2:$B$10001,MATCH(5816,'Email Cleaner'!$K$2:$K$10001,0)),"")</f>
        <v/>
      </c>
    </row>
    <row r="5818">
      <c r="A5818">
        <f>IFERROR(INDEX('Email Cleaner'!$B$2:$B$10001,MATCH(5817,'Email Cleaner'!$K$2:$K$10001,0)),"")</f>
        <v/>
      </c>
    </row>
    <row r="5819">
      <c r="A5819">
        <f>IFERROR(INDEX('Email Cleaner'!$B$2:$B$10001,MATCH(5818,'Email Cleaner'!$K$2:$K$10001,0)),"")</f>
        <v/>
      </c>
    </row>
    <row r="5820">
      <c r="A5820">
        <f>IFERROR(INDEX('Email Cleaner'!$B$2:$B$10001,MATCH(5819,'Email Cleaner'!$K$2:$K$10001,0)),"")</f>
        <v/>
      </c>
    </row>
    <row r="5821">
      <c r="A5821">
        <f>IFERROR(INDEX('Email Cleaner'!$B$2:$B$10001,MATCH(5820,'Email Cleaner'!$K$2:$K$10001,0)),"")</f>
        <v/>
      </c>
    </row>
    <row r="5822">
      <c r="A5822">
        <f>IFERROR(INDEX('Email Cleaner'!$B$2:$B$10001,MATCH(5821,'Email Cleaner'!$K$2:$K$10001,0)),"")</f>
        <v/>
      </c>
    </row>
    <row r="5823">
      <c r="A5823">
        <f>IFERROR(INDEX('Email Cleaner'!$B$2:$B$10001,MATCH(5822,'Email Cleaner'!$K$2:$K$10001,0)),"")</f>
        <v/>
      </c>
    </row>
    <row r="5824">
      <c r="A5824">
        <f>IFERROR(INDEX('Email Cleaner'!$B$2:$B$10001,MATCH(5823,'Email Cleaner'!$K$2:$K$10001,0)),"")</f>
        <v/>
      </c>
    </row>
    <row r="5825">
      <c r="A5825">
        <f>IFERROR(INDEX('Email Cleaner'!$B$2:$B$10001,MATCH(5824,'Email Cleaner'!$K$2:$K$10001,0)),"")</f>
        <v/>
      </c>
    </row>
    <row r="5826">
      <c r="A5826">
        <f>IFERROR(INDEX('Email Cleaner'!$B$2:$B$10001,MATCH(5825,'Email Cleaner'!$K$2:$K$10001,0)),"")</f>
        <v/>
      </c>
    </row>
    <row r="5827">
      <c r="A5827">
        <f>IFERROR(INDEX('Email Cleaner'!$B$2:$B$10001,MATCH(5826,'Email Cleaner'!$K$2:$K$10001,0)),"")</f>
        <v/>
      </c>
    </row>
    <row r="5828">
      <c r="A5828">
        <f>IFERROR(INDEX('Email Cleaner'!$B$2:$B$10001,MATCH(5827,'Email Cleaner'!$K$2:$K$10001,0)),"")</f>
        <v/>
      </c>
    </row>
    <row r="5829">
      <c r="A5829">
        <f>IFERROR(INDEX('Email Cleaner'!$B$2:$B$10001,MATCH(5828,'Email Cleaner'!$K$2:$K$10001,0)),"")</f>
        <v/>
      </c>
    </row>
    <row r="5830">
      <c r="A5830">
        <f>IFERROR(INDEX('Email Cleaner'!$B$2:$B$10001,MATCH(5829,'Email Cleaner'!$K$2:$K$10001,0)),"")</f>
        <v/>
      </c>
    </row>
    <row r="5831">
      <c r="A5831">
        <f>IFERROR(INDEX('Email Cleaner'!$B$2:$B$10001,MATCH(5830,'Email Cleaner'!$K$2:$K$10001,0)),"")</f>
        <v/>
      </c>
    </row>
    <row r="5832">
      <c r="A5832">
        <f>IFERROR(INDEX('Email Cleaner'!$B$2:$B$10001,MATCH(5831,'Email Cleaner'!$K$2:$K$10001,0)),"")</f>
        <v/>
      </c>
    </row>
    <row r="5833">
      <c r="A5833">
        <f>IFERROR(INDEX('Email Cleaner'!$B$2:$B$10001,MATCH(5832,'Email Cleaner'!$K$2:$K$10001,0)),"")</f>
        <v/>
      </c>
    </row>
    <row r="5834">
      <c r="A5834">
        <f>IFERROR(INDEX('Email Cleaner'!$B$2:$B$10001,MATCH(5833,'Email Cleaner'!$K$2:$K$10001,0)),"")</f>
        <v/>
      </c>
    </row>
    <row r="5835">
      <c r="A5835">
        <f>IFERROR(INDEX('Email Cleaner'!$B$2:$B$10001,MATCH(5834,'Email Cleaner'!$K$2:$K$10001,0)),"")</f>
        <v/>
      </c>
    </row>
    <row r="5836">
      <c r="A5836">
        <f>IFERROR(INDEX('Email Cleaner'!$B$2:$B$10001,MATCH(5835,'Email Cleaner'!$K$2:$K$10001,0)),"")</f>
        <v/>
      </c>
    </row>
    <row r="5837">
      <c r="A5837">
        <f>IFERROR(INDEX('Email Cleaner'!$B$2:$B$10001,MATCH(5836,'Email Cleaner'!$K$2:$K$10001,0)),"")</f>
        <v/>
      </c>
    </row>
    <row r="5838">
      <c r="A5838">
        <f>IFERROR(INDEX('Email Cleaner'!$B$2:$B$10001,MATCH(5837,'Email Cleaner'!$K$2:$K$10001,0)),"")</f>
        <v/>
      </c>
    </row>
    <row r="5839">
      <c r="A5839">
        <f>IFERROR(INDEX('Email Cleaner'!$B$2:$B$10001,MATCH(5838,'Email Cleaner'!$K$2:$K$10001,0)),"")</f>
        <v/>
      </c>
    </row>
    <row r="5840">
      <c r="A5840">
        <f>IFERROR(INDEX('Email Cleaner'!$B$2:$B$10001,MATCH(5839,'Email Cleaner'!$K$2:$K$10001,0)),"")</f>
        <v/>
      </c>
    </row>
    <row r="5841">
      <c r="A5841">
        <f>IFERROR(INDEX('Email Cleaner'!$B$2:$B$10001,MATCH(5840,'Email Cleaner'!$K$2:$K$10001,0)),"")</f>
        <v/>
      </c>
    </row>
    <row r="5842">
      <c r="A5842">
        <f>IFERROR(INDEX('Email Cleaner'!$B$2:$B$10001,MATCH(5841,'Email Cleaner'!$K$2:$K$10001,0)),"")</f>
        <v/>
      </c>
    </row>
    <row r="5843">
      <c r="A5843">
        <f>IFERROR(INDEX('Email Cleaner'!$B$2:$B$10001,MATCH(5842,'Email Cleaner'!$K$2:$K$10001,0)),"")</f>
        <v/>
      </c>
    </row>
    <row r="5844">
      <c r="A5844">
        <f>IFERROR(INDEX('Email Cleaner'!$B$2:$B$10001,MATCH(5843,'Email Cleaner'!$K$2:$K$10001,0)),"")</f>
        <v/>
      </c>
    </row>
    <row r="5845">
      <c r="A5845">
        <f>IFERROR(INDEX('Email Cleaner'!$B$2:$B$10001,MATCH(5844,'Email Cleaner'!$K$2:$K$10001,0)),"")</f>
        <v/>
      </c>
    </row>
    <row r="5846">
      <c r="A5846">
        <f>IFERROR(INDEX('Email Cleaner'!$B$2:$B$10001,MATCH(5845,'Email Cleaner'!$K$2:$K$10001,0)),"")</f>
        <v/>
      </c>
    </row>
    <row r="5847">
      <c r="A5847">
        <f>IFERROR(INDEX('Email Cleaner'!$B$2:$B$10001,MATCH(5846,'Email Cleaner'!$K$2:$K$10001,0)),"")</f>
        <v/>
      </c>
    </row>
    <row r="5848">
      <c r="A5848">
        <f>IFERROR(INDEX('Email Cleaner'!$B$2:$B$10001,MATCH(5847,'Email Cleaner'!$K$2:$K$10001,0)),"")</f>
        <v/>
      </c>
    </row>
    <row r="5849">
      <c r="A5849">
        <f>IFERROR(INDEX('Email Cleaner'!$B$2:$B$10001,MATCH(5848,'Email Cleaner'!$K$2:$K$10001,0)),"")</f>
        <v/>
      </c>
    </row>
    <row r="5850">
      <c r="A5850">
        <f>IFERROR(INDEX('Email Cleaner'!$B$2:$B$10001,MATCH(5849,'Email Cleaner'!$K$2:$K$10001,0)),"")</f>
        <v/>
      </c>
    </row>
    <row r="5851">
      <c r="A5851">
        <f>IFERROR(INDEX('Email Cleaner'!$B$2:$B$10001,MATCH(5850,'Email Cleaner'!$K$2:$K$10001,0)),"")</f>
        <v/>
      </c>
    </row>
    <row r="5852">
      <c r="A5852">
        <f>IFERROR(INDEX('Email Cleaner'!$B$2:$B$10001,MATCH(5851,'Email Cleaner'!$K$2:$K$10001,0)),"")</f>
        <v/>
      </c>
    </row>
    <row r="5853">
      <c r="A5853">
        <f>IFERROR(INDEX('Email Cleaner'!$B$2:$B$10001,MATCH(5852,'Email Cleaner'!$K$2:$K$10001,0)),"")</f>
        <v/>
      </c>
    </row>
    <row r="5854">
      <c r="A5854">
        <f>IFERROR(INDEX('Email Cleaner'!$B$2:$B$10001,MATCH(5853,'Email Cleaner'!$K$2:$K$10001,0)),"")</f>
        <v/>
      </c>
    </row>
    <row r="5855">
      <c r="A5855">
        <f>IFERROR(INDEX('Email Cleaner'!$B$2:$B$10001,MATCH(5854,'Email Cleaner'!$K$2:$K$10001,0)),"")</f>
        <v/>
      </c>
    </row>
    <row r="5856">
      <c r="A5856">
        <f>IFERROR(INDEX('Email Cleaner'!$B$2:$B$10001,MATCH(5855,'Email Cleaner'!$K$2:$K$10001,0)),"")</f>
        <v/>
      </c>
    </row>
    <row r="5857">
      <c r="A5857">
        <f>IFERROR(INDEX('Email Cleaner'!$B$2:$B$10001,MATCH(5856,'Email Cleaner'!$K$2:$K$10001,0)),"")</f>
        <v/>
      </c>
    </row>
    <row r="5858">
      <c r="A5858">
        <f>IFERROR(INDEX('Email Cleaner'!$B$2:$B$10001,MATCH(5857,'Email Cleaner'!$K$2:$K$10001,0)),"")</f>
        <v/>
      </c>
    </row>
    <row r="5859">
      <c r="A5859">
        <f>IFERROR(INDEX('Email Cleaner'!$B$2:$B$10001,MATCH(5858,'Email Cleaner'!$K$2:$K$10001,0)),"")</f>
        <v/>
      </c>
    </row>
    <row r="5860">
      <c r="A5860">
        <f>IFERROR(INDEX('Email Cleaner'!$B$2:$B$10001,MATCH(5859,'Email Cleaner'!$K$2:$K$10001,0)),"")</f>
        <v/>
      </c>
    </row>
    <row r="5861">
      <c r="A5861">
        <f>IFERROR(INDEX('Email Cleaner'!$B$2:$B$10001,MATCH(5860,'Email Cleaner'!$K$2:$K$10001,0)),"")</f>
        <v/>
      </c>
    </row>
    <row r="5862">
      <c r="A5862">
        <f>IFERROR(INDEX('Email Cleaner'!$B$2:$B$10001,MATCH(5861,'Email Cleaner'!$K$2:$K$10001,0)),"")</f>
        <v/>
      </c>
    </row>
    <row r="5863">
      <c r="A5863">
        <f>IFERROR(INDEX('Email Cleaner'!$B$2:$B$10001,MATCH(5862,'Email Cleaner'!$K$2:$K$10001,0)),"")</f>
        <v/>
      </c>
    </row>
    <row r="5864">
      <c r="A5864">
        <f>IFERROR(INDEX('Email Cleaner'!$B$2:$B$10001,MATCH(5863,'Email Cleaner'!$K$2:$K$10001,0)),"")</f>
        <v/>
      </c>
    </row>
    <row r="5865">
      <c r="A5865">
        <f>IFERROR(INDEX('Email Cleaner'!$B$2:$B$10001,MATCH(5864,'Email Cleaner'!$K$2:$K$10001,0)),"")</f>
        <v/>
      </c>
    </row>
    <row r="5866">
      <c r="A5866">
        <f>IFERROR(INDEX('Email Cleaner'!$B$2:$B$10001,MATCH(5865,'Email Cleaner'!$K$2:$K$10001,0)),"")</f>
        <v/>
      </c>
    </row>
    <row r="5867">
      <c r="A5867">
        <f>IFERROR(INDEX('Email Cleaner'!$B$2:$B$10001,MATCH(5866,'Email Cleaner'!$K$2:$K$10001,0)),"")</f>
        <v/>
      </c>
    </row>
    <row r="5868">
      <c r="A5868">
        <f>IFERROR(INDEX('Email Cleaner'!$B$2:$B$10001,MATCH(5867,'Email Cleaner'!$K$2:$K$10001,0)),"")</f>
        <v/>
      </c>
    </row>
    <row r="5869">
      <c r="A5869">
        <f>IFERROR(INDEX('Email Cleaner'!$B$2:$B$10001,MATCH(5868,'Email Cleaner'!$K$2:$K$10001,0)),"")</f>
        <v/>
      </c>
    </row>
    <row r="5870">
      <c r="A5870">
        <f>IFERROR(INDEX('Email Cleaner'!$B$2:$B$10001,MATCH(5869,'Email Cleaner'!$K$2:$K$10001,0)),"")</f>
        <v/>
      </c>
    </row>
    <row r="5871">
      <c r="A5871">
        <f>IFERROR(INDEX('Email Cleaner'!$B$2:$B$10001,MATCH(5870,'Email Cleaner'!$K$2:$K$10001,0)),"")</f>
        <v/>
      </c>
    </row>
    <row r="5872">
      <c r="A5872">
        <f>IFERROR(INDEX('Email Cleaner'!$B$2:$B$10001,MATCH(5871,'Email Cleaner'!$K$2:$K$10001,0)),"")</f>
        <v/>
      </c>
    </row>
    <row r="5873">
      <c r="A5873">
        <f>IFERROR(INDEX('Email Cleaner'!$B$2:$B$10001,MATCH(5872,'Email Cleaner'!$K$2:$K$10001,0)),"")</f>
        <v/>
      </c>
    </row>
    <row r="5874">
      <c r="A5874">
        <f>IFERROR(INDEX('Email Cleaner'!$B$2:$B$10001,MATCH(5873,'Email Cleaner'!$K$2:$K$10001,0)),"")</f>
        <v/>
      </c>
    </row>
    <row r="5875">
      <c r="A5875">
        <f>IFERROR(INDEX('Email Cleaner'!$B$2:$B$10001,MATCH(5874,'Email Cleaner'!$K$2:$K$10001,0)),"")</f>
        <v/>
      </c>
    </row>
    <row r="5876">
      <c r="A5876">
        <f>IFERROR(INDEX('Email Cleaner'!$B$2:$B$10001,MATCH(5875,'Email Cleaner'!$K$2:$K$10001,0)),"")</f>
        <v/>
      </c>
    </row>
    <row r="5877">
      <c r="A5877">
        <f>IFERROR(INDEX('Email Cleaner'!$B$2:$B$10001,MATCH(5876,'Email Cleaner'!$K$2:$K$10001,0)),"")</f>
        <v/>
      </c>
    </row>
    <row r="5878">
      <c r="A5878">
        <f>IFERROR(INDEX('Email Cleaner'!$B$2:$B$10001,MATCH(5877,'Email Cleaner'!$K$2:$K$10001,0)),"")</f>
        <v/>
      </c>
    </row>
    <row r="5879">
      <c r="A5879">
        <f>IFERROR(INDEX('Email Cleaner'!$B$2:$B$10001,MATCH(5878,'Email Cleaner'!$K$2:$K$10001,0)),"")</f>
        <v/>
      </c>
    </row>
    <row r="5880">
      <c r="A5880">
        <f>IFERROR(INDEX('Email Cleaner'!$B$2:$B$10001,MATCH(5879,'Email Cleaner'!$K$2:$K$10001,0)),"")</f>
        <v/>
      </c>
    </row>
    <row r="5881">
      <c r="A5881">
        <f>IFERROR(INDEX('Email Cleaner'!$B$2:$B$10001,MATCH(5880,'Email Cleaner'!$K$2:$K$10001,0)),"")</f>
        <v/>
      </c>
    </row>
    <row r="5882">
      <c r="A5882">
        <f>IFERROR(INDEX('Email Cleaner'!$B$2:$B$10001,MATCH(5881,'Email Cleaner'!$K$2:$K$10001,0)),"")</f>
        <v/>
      </c>
    </row>
    <row r="5883">
      <c r="A5883">
        <f>IFERROR(INDEX('Email Cleaner'!$B$2:$B$10001,MATCH(5882,'Email Cleaner'!$K$2:$K$10001,0)),"")</f>
        <v/>
      </c>
    </row>
    <row r="5884">
      <c r="A5884">
        <f>IFERROR(INDEX('Email Cleaner'!$B$2:$B$10001,MATCH(5883,'Email Cleaner'!$K$2:$K$10001,0)),"")</f>
        <v/>
      </c>
    </row>
    <row r="5885">
      <c r="A5885">
        <f>IFERROR(INDEX('Email Cleaner'!$B$2:$B$10001,MATCH(5884,'Email Cleaner'!$K$2:$K$10001,0)),"")</f>
        <v/>
      </c>
    </row>
    <row r="5886">
      <c r="A5886">
        <f>IFERROR(INDEX('Email Cleaner'!$B$2:$B$10001,MATCH(5885,'Email Cleaner'!$K$2:$K$10001,0)),"")</f>
        <v/>
      </c>
    </row>
    <row r="5887">
      <c r="A5887">
        <f>IFERROR(INDEX('Email Cleaner'!$B$2:$B$10001,MATCH(5886,'Email Cleaner'!$K$2:$K$10001,0)),"")</f>
        <v/>
      </c>
    </row>
    <row r="5888">
      <c r="A5888">
        <f>IFERROR(INDEX('Email Cleaner'!$B$2:$B$10001,MATCH(5887,'Email Cleaner'!$K$2:$K$10001,0)),"")</f>
        <v/>
      </c>
    </row>
    <row r="5889">
      <c r="A5889">
        <f>IFERROR(INDEX('Email Cleaner'!$B$2:$B$10001,MATCH(5888,'Email Cleaner'!$K$2:$K$10001,0)),"")</f>
        <v/>
      </c>
    </row>
    <row r="5890">
      <c r="A5890">
        <f>IFERROR(INDEX('Email Cleaner'!$B$2:$B$10001,MATCH(5889,'Email Cleaner'!$K$2:$K$10001,0)),"")</f>
        <v/>
      </c>
    </row>
    <row r="5891">
      <c r="A5891">
        <f>IFERROR(INDEX('Email Cleaner'!$B$2:$B$10001,MATCH(5890,'Email Cleaner'!$K$2:$K$10001,0)),"")</f>
        <v/>
      </c>
    </row>
    <row r="5892">
      <c r="A5892">
        <f>IFERROR(INDEX('Email Cleaner'!$B$2:$B$10001,MATCH(5891,'Email Cleaner'!$K$2:$K$10001,0)),"")</f>
        <v/>
      </c>
    </row>
    <row r="5893">
      <c r="A5893">
        <f>IFERROR(INDEX('Email Cleaner'!$B$2:$B$10001,MATCH(5892,'Email Cleaner'!$K$2:$K$10001,0)),"")</f>
        <v/>
      </c>
    </row>
    <row r="5894">
      <c r="A5894">
        <f>IFERROR(INDEX('Email Cleaner'!$B$2:$B$10001,MATCH(5893,'Email Cleaner'!$K$2:$K$10001,0)),"")</f>
        <v/>
      </c>
    </row>
    <row r="5895">
      <c r="A5895">
        <f>IFERROR(INDEX('Email Cleaner'!$B$2:$B$10001,MATCH(5894,'Email Cleaner'!$K$2:$K$10001,0)),"")</f>
        <v/>
      </c>
    </row>
    <row r="5896">
      <c r="A5896">
        <f>IFERROR(INDEX('Email Cleaner'!$B$2:$B$10001,MATCH(5895,'Email Cleaner'!$K$2:$K$10001,0)),"")</f>
        <v/>
      </c>
    </row>
    <row r="5897">
      <c r="A5897">
        <f>IFERROR(INDEX('Email Cleaner'!$B$2:$B$10001,MATCH(5896,'Email Cleaner'!$K$2:$K$10001,0)),"")</f>
        <v/>
      </c>
    </row>
    <row r="5898">
      <c r="A5898">
        <f>IFERROR(INDEX('Email Cleaner'!$B$2:$B$10001,MATCH(5897,'Email Cleaner'!$K$2:$K$10001,0)),"")</f>
        <v/>
      </c>
    </row>
    <row r="5899">
      <c r="A5899">
        <f>IFERROR(INDEX('Email Cleaner'!$B$2:$B$10001,MATCH(5898,'Email Cleaner'!$K$2:$K$10001,0)),"")</f>
        <v/>
      </c>
    </row>
    <row r="5900">
      <c r="A5900">
        <f>IFERROR(INDEX('Email Cleaner'!$B$2:$B$10001,MATCH(5899,'Email Cleaner'!$K$2:$K$10001,0)),"")</f>
        <v/>
      </c>
    </row>
    <row r="5901">
      <c r="A5901">
        <f>IFERROR(INDEX('Email Cleaner'!$B$2:$B$10001,MATCH(5900,'Email Cleaner'!$K$2:$K$10001,0)),"")</f>
        <v/>
      </c>
    </row>
    <row r="5902">
      <c r="A5902">
        <f>IFERROR(INDEX('Email Cleaner'!$B$2:$B$10001,MATCH(5901,'Email Cleaner'!$K$2:$K$10001,0)),"")</f>
        <v/>
      </c>
    </row>
    <row r="5903">
      <c r="A5903">
        <f>IFERROR(INDEX('Email Cleaner'!$B$2:$B$10001,MATCH(5902,'Email Cleaner'!$K$2:$K$10001,0)),"")</f>
        <v/>
      </c>
    </row>
    <row r="5904">
      <c r="A5904">
        <f>IFERROR(INDEX('Email Cleaner'!$B$2:$B$10001,MATCH(5903,'Email Cleaner'!$K$2:$K$10001,0)),"")</f>
        <v/>
      </c>
    </row>
    <row r="5905">
      <c r="A5905">
        <f>IFERROR(INDEX('Email Cleaner'!$B$2:$B$10001,MATCH(5904,'Email Cleaner'!$K$2:$K$10001,0)),"")</f>
        <v/>
      </c>
    </row>
    <row r="5906">
      <c r="A5906">
        <f>IFERROR(INDEX('Email Cleaner'!$B$2:$B$10001,MATCH(5905,'Email Cleaner'!$K$2:$K$10001,0)),"")</f>
        <v/>
      </c>
    </row>
    <row r="5907">
      <c r="A5907">
        <f>IFERROR(INDEX('Email Cleaner'!$B$2:$B$10001,MATCH(5906,'Email Cleaner'!$K$2:$K$10001,0)),"")</f>
        <v/>
      </c>
    </row>
    <row r="5908">
      <c r="A5908">
        <f>IFERROR(INDEX('Email Cleaner'!$B$2:$B$10001,MATCH(5907,'Email Cleaner'!$K$2:$K$10001,0)),"")</f>
        <v/>
      </c>
    </row>
    <row r="5909">
      <c r="A5909">
        <f>IFERROR(INDEX('Email Cleaner'!$B$2:$B$10001,MATCH(5908,'Email Cleaner'!$K$2:$K$10001,0)),"")</f>
        <v/>
      </c>
    </row>
    <row r="5910">
      <c r="A5910">
        <f>IFERROR(INDEX('Email Cleaner'!$B$2:$B$10001,MATCH(5909,'Email Cleaner'!$K$2:$K$10001,0)),"")</f>
        <v/>
      </c>
    </row>
    <row r="5911">
      <c r="A5911">
        <f>IFERROR(INDEX('Email Cleaner'!$B$2:$B$10001,MATCH(5910,'Email Cleaner'!$K$2:$K$10001,0)),"")</f>
        <v/>
      </c>
    </row>
    <row r="5912">
      <c r="A5912">
        <f>IFERROR(INDEX('Email Cleaner'!$B$2:$B$10001,MATCH(5911,'Email Cleaner'!$K$2:$K$10001,0)),"")</f>
        <v/>
      </c>
    </row>
    <row r="5913">
      <c r="A5913">
        <f>IFERROR(INDEX('Email Cleaner'!$B$2:$B$10001,MATCH(5912,'Email Cleaner'!$K$2:$K$10001,0)),"")</f>
        <v/>
      </c>
    </row>
    <row r="5914">
      <c r="A5914">
        <f>IFERROR(INDEX('Email Cleaner'!$B$2:$B$10001,MATCH(5913,'Email Cleaner'!$K$2:$K$10001,0)),"")</f>
        <v/>
      </c>
    </row>
    <row r="5915">
      <c r="A5915">
        <f>IFERROR(INDEX('Email Cleaner'!$B$2:$B$10001,MATCH(5914,'Email Cleaner'!$K$2:$K$10001,0)),"")</f>
        <v/>
      </c>
    </row>
    <row r="5916">
      <c r="A5916">
        <f>IFERROR(INDEX('Email Cleaner'!$B$2:$B$10001,MATCH(5915,'Email Cleaner'!$K$2:$K$10001,0)),"")</f>
        <v/>
      </c>
    </row>
    <row r="5917">
      <c r="A5917">
        <f>IFERROR(INDEX('Email Cleaner'!$B$2:$B$10001,MATCH(5916,'Email Cleaner'!$K$2:$K$10001,0)),"")</f>
        <v/>
      </c>
    </row>
    <row r="5918">
      <c r="A5918">
        <f>IFERROR(INDEX('Email Cleaner'!$B$2:$B$10001,MATCH(5917,'Email Cleaner'!$K$2:$K$10001,0)),"")</f>
        <v/>
      </c>
    </row>
    <row r="5919">
      <c r="A5919">
        <f>IFERROR(INDEX('Email Cleaner'!$B$2:$B$10001,MATCH(5918,'Email Cleaner'!$K$2:$K$10001,0)),"")</f>
        <v/>
      </c>
    </row>
    <row r="5920">
      <c r="A5920">
        <f>IFERROR(INDEX('Email Cleaner'!$B$2:$B$10001,MATCH(5919,'Email Cleaner'!$K$2:$K$10001,0)),"")</f>
        <v/>
      </c>
    </row>
    <row r="5921">
      <c r="A5921">
        <f>IFERROR(INDEX('Email Cleaner'!$B$2:$B$10001,MATCH(5920,'Email Cleaner'!$K$2:$K$10001,0)),"")</f>
        <v/>
      </c>
    </row>
    <row r="5922">
      <c r="A5922">
        <f>IFERROR(INDEX('Email Cleaner'!$B$2:$B$10001,MATCH(5921,'Email Cleaner'!$K$2:$K$10001,0)),"")</f>
        <v/>
      </c>
    </row>
    <row r="5923">
      <c r="A5923">
        <f>IFERROR(INDEX('Email Cleaner'!$B$2:$B$10001,MATCH(5922,'Email Cleaner'!$K$2:$K$10001,0)),"")</f>
        <v/>
      </c>
    </row>
    <row r="5924">
      <c r="A5924">
        <f>IFERROR(INDEX('Email Cleaner'!$B$2:$B$10001,MATCH(5923,'Email Cleaner'!$K$2:$K$10001,0)),"")</f>
        <v/>
      </c>
    </row>
    <row r="5925">
      <c r="A5925">
        <f>IFERROR(INDEX('Email Cleaner'!$B$2:$B$10001,MATCH(5924,'Email Cleaner'!$K$2:$K$10001,0)),"")</f>
        <v/>
      </c>
    </row>
    <row r="5926">
      <c r="A5926">
        <f>IFERROR(INDEX('Email Cleaner'!$B$2:$B$10001,MATCH(5925,'Email Cleaner'!$K$2:$K$10001,0)),"")</f>
        <v/>
      </c>
    </row>
    <row r="5927">
      <c r="A5927">
        <f>IFERROR(INDEX('Email Cleaner'!$B$2:$B$10001,MATCH(5926,'Email Cleaner'!$K$2:$K$10001,0)),"")</f>
        <v/>
      </c>
    </row>
    <row r="5928">
      <c r="A5928">
        <f>IFERROR(INDEX('Email Cleaner'!$B$2:$B$10001,MATCH(5927,'Email Cleaner'!$K$2:$K$10001,0)),"")</f>
        <v/>
      </c>
    </row>
    <row r="5929">
      <c r="A5929">
        <f>IFERROR(INDEX('Email Cleaner'!$B$2:$B$10001,MATCH(5928,'Email Cleaner'!$K$2:$K$10001,0)),"")</f>
        <v/>
      </c>
    </row>
    <row r="5930">
      <c r="A5930">
        <f>IFERROR(INDEX('Email Cleaner'!$B$2:$B$10001,MATCH(5929,'Email Cleaner'!$K$2:$K$10001,0)),"")</f>
        <v/>
      </c>
    </row>
    <row r="5931">
      <c r="A5931">
        <f>IFERROR(INDEX('Email Cleaner'!$B$2:$B$10001,MATCH(5930,'Email Cleaner'!$K$2:$K$10001,0)),"")</f>
        <v/>
      </c>
    </row>
    <row r="5932">
      <c r="A5932">
        <f>IFERROR(INDEX('Email Cleaner'!$B$2:$B$10001,MATCH(5931,'Email Cleaner'!$K$2:$K$10001,0)),"")</f>
        <v/>
      </c>
    </row>
    <row r="5933">
      <c r="A5933">
        <f>IFERROR(INDEX('Email Cleaner'!$B$2:$B$10001,MATCH(5932,'Email Cleaner'!$K$2:$K$10001,0)),"")</f>
        <v/>
      </c>
    </row>
    <row r="5934">
      <c r="A5934">
        <f>IFERROR(INDEX('Email Cleaner'!$B$2:$B$10001,MATCH(5933,'Email Cleaner'!$K$2:$K$10001,0)),"")</f>
        <v/>
      </c>
    </row>
    <row r="5935">
      <c r="A5935">
        <f>IFERROR(INDEX('Email Cleaner'!$B$2:$B$10001,MATCH(5934,'Email Cleaner'!$K$2:$K$10001,0)),"")</f>
        <v/>
      </c>
    </row>
    <row r="5936">
      <c r="A5936">
        <f>IFERROR(INDEX('Email Cleaner'!$B$2:$B$10001,MATCH(5935,'Email Cleaner'!$K$2:$K$10001,0)),"")</f>
        <v/>
      </c>
    </row>
    <row r="5937">
      <c r="A5937">
        <f>IFERROR(INDEX('Email Cleaner'!$B$2:$B$10001,MATCH(5936,'Email Cleaner'!$K$2:$K$10001,0)),"")</f>
        <v/>
      </c>
    </row>
    <row r="5938">
      <c r="A5938">
        <f>IFERROR(INDEX('Email Cleaner'!$B$2:$B$10001,MATCH(5937,'Email Cleaner'!$K$2:$K$10001,0)),"")</f>
        <v/>
      </c>
    </row>
    <row r="5939">
      <c r="A5939">
        <f>IFERROR(INDEX('Email Cleaner'!$B$2:$B$10001,MATCH(5938,'Email Cleaner'!$K$2:$K$10001,0)),"")</f>
        <v/>
      </c>
    </row>
    <row r="5940">
      <c r="A5940">
        <f>IFERROR(INDEX('Email Cleaner'!$B$2:$B$10001,MATCH(5939,'Email Cleaner'!$K$2:$K$10001,0)),"")</f>
        <v/>
      </c>
    </row>
    <row r="5941">
      <c r="A5941">
        <f>IFERROR(INDEX('Email Cleaner'!$B$2:$B$10001,MATCH(5940,'Email Cleaner'!$K$2:$K$10001,0)),"")</f>
        <v/>
      </c>
    </row>
    <row r="5942">
      <c r="A5942">
        <f>IFERROR(INDEX('Email Cleaner'!$B$2:$B$10001,MATCH(5941,'Email Cleaner'!$K$2:$K$10001,0)),"")</f>
        <v/>
      </c>
    </row>
    <row r="5943">
      <c r="A5943">
        <f>IFERROR(INDEX('Email Cleaner'!$B$2:$B$10001,MATCH(5942,'Email Cleaner'!$K$2:$K$10001,0)),"")</f>
        <v/>
      </c>
    </row>
    <row r="5944">
      <c r="A5944">
        <f>IFERROR(INDEX('Email Cleaner'!$B$2:$B$10001,MATCH(5943,'Email Cleaner'!$K$2:$K$10001,0)),"")</f>
        <v/>
      </c>
    </row>
    <row r="5945">
      <c r="A5945">
        <f>IFERROR(INDEX('Email Cleaner'!$B$2:$B$10001,MATCH(5944,'Email Cleaner'!$K$2:$K$10001,0)),"")</f>
        <v/>
      </c>
    </row>
    <row r="5946">
      <c r="A5946">
        <f>IFERROR(INDEX('Email Cleaner'!$B$2:$B$10001,MATCH(5945,'Email Cleaner'!$K$2:$K$10001,0)),"")</f>
        <v/>
      </c>
    </row>
    <row r="5947">
      <c r="A5947">
        <f>IFERROR(INDEX('Email Cleaner'!$B$2:$B$10001,MATCH(5946,'Email Cleaner'!$K$2:$K$10001,0)),"")</f>
        <v/>
      </c>
    </row>
    <row r="5948">
      <c r="A5948">
        <f>IFERROR(INDEX('Email Cleaner'!$B$2:$B$10001,MATCH(5947,'Email Cleaner'!$K$2:$K$10001,0)),"")</f>
        <v/>
      </c>
    </row>
    <row r="5949">
      <c r="A5949">
        <f>IFERROR(INDEX('Email Cleaner'!$B$2:$B$10001,MATCH(5948,'Email Cleaner'!$K$2:$K$10001,0)),"")</f>
        <v/>
      </c>
    </row>
    <row r="5950">
      <c r="A5950">
        <f>IFERROR(INDEX('Email Cleaner'!$B$2:$B$10001,MATCH(5949,'Email Cleaner'!$K$2:$K$10001,0)),"")</f>
        <v/>
      </c>
    </row>
    <row r="5951">
      <c r="A5951">
        <f>IFERROR(INDEX('Email Cleaner'!$B$2:$B$10001,MATCH(5950,'Email Cleaner'!$K$2:$K$10001,0)),"")</f>
        <v/>
      </c>
    </row>
    <row r="5952">
      <c r="A5952">
        <f>IFERROR(INDEX('Email Cleaner'!$B$2:$B$10001,MATCH(5951,'Email Cleaner'!$K$2:$K$10001,0)),"")</f>
        <v/>
      </c>
    </row>
    <row r="5953">
      <c r="A5953">
        <f>IFERROR(INDEX('Email Cleaner'!$B$2:$B$10001,MATCH(5952,'Email Cleaner'!$K$2:$K$10001,0)),"")</f>
        <v/>
      </c>
    </row>
    <row r="5954">
      <c r="A5954">
        <f>IFERROR(INDEX('Email Cleaner'!$B$2:$B$10001,MATCH(5953,'Email Cleaner'!$K$2:$K$10001,0)),"")</f>
        <v/>
      </c>
    </row>
    <row r="5955">
      <c r="A5955">
        <f>IFERROR(INDEX('Email Cleaner'!$B$2:$B$10001,MATCH(5954,'Email Cleaner'!$K$2:$K$10001,0)),"")</f>
        <v/>
      </c>
    </row>
    <row r="5956">
      <c r="A5956">
        <f>IFERROR(INDEX('Email Cleaner'!$B$2:$B$10001,MATCH(5955,'Email Cleaner'!$K$2:$K$10001,0)),"")</f>
        <v/>
      </c>
    </row>
    <row r="5957">
      <c r="A5957">
        <f>IFERROR(INDEX('Email Cleaner'!$B$2:$B$10001,MATCH(5956,'Email Cleaner'!$K$2:$K$10001,0)),"")</f>
        <v/>
      </c>
    </row>
    <row r="5958">
      <c r="A5958">
        <f>IFERROR(INDEX('Email Cleaner'!$B$2:$B$10001,MATCH(5957,'Email Cleaner'!$K$2:$K$10001,0)),"")</f>
        <v/>
      </c>
    </row>
    <row r="5959">
      <c r="A5959">
        <f>IFERROR(INDEX('Email Cleaner'!$B$2:$B$10001,MATCH(5958,'Email Cleaner'!$K$2:$K$10001,0)),"")</f>
        <v/>
      </c>
    </row>
    <row r="5960">
      <c r="A5960">
        <f>IFERROR(INDEX('Email Cleaner'!$B$2:$B$10001,MATCH(5959,'Email Cleaner'!$K$2:$K$10001,0)),"")</f>
        <v/>
      </c>
    </row>
    <row r="5961">
      <c r="A5961">
        <f>IFERROR(INDEX('Email Cleaner'!$B$2:$B$10001,MATCH(5960,'Email Cleaner'!$K$2:$K$10001,0)),"")</f>
        <v/>
      </c>
    </row>
    <row r="5962">
      <c r="A5962">
        <f>IFERROR(INDEX('Email Cleaner'!$B$2:$B$10001,MATCH(5961,'Email Cleaner'!$K$2:$K$10001,0)),"")</f>
        <v/>
      </c>
    </row>
    <row r="5963">
      <c r="A5963">
        <f>IFERROR(INDEX('Email Cleaner'!$B$2:$B$10001,MATCH(5962,'Email Cleaner'!$K$2:$K$10001,0)),"")</f>
        <v/>
      </c>
    </row>
    <row r="5964">
      <c r="A5964">
        <f>IFERROR(INDEX('Email Cleaner'!$B$2:$B$10001,MATCH(5963,'Email Cleaner'!$K$2:$K$10001,0)),"")</f>
        <v/>
      </c>
    </row>
    <row r="5965">
      <c r="A5965">
        <f>IFERROR(INDEX('Email Cleaner'!$B$2:$B$10001,MATCH(5964,'Email Cleaner'!$K$2:$K$10001,0)),"")</f>
        <v/>
      </c>
    </row>
    <row r="5966">
      <c r="A5966">
        <f>IFERROR(INDEX('Email Cleaner'!$B$2:$B$10001,MATCH(5965,'Email Cleaner'!$K$2:$K$10001,0)),"")</f>
        <v/>
      </c>
    </row>
    <row r="5967">
      <c r="A5967">
        <f>IFERROR(INDEX('Email Cleaner'!$B$2:$B$10001,MATCH(5966,'Email Cleaner'!$K$2:$K$10001,0)),"")</f>
        <v/>
      </c>
    </row>
    <row r="5968">
      <c r="A5968">
        <f>IFERROR(INDEX('Email Cleaner'!$B$2:$B$10001,MATCH(5967,'Email Cleaner'!$K$2:$K$10001,0)),"")</f>
        <v/>
      </c>
    </row>
    <row r="5969">
      <c r="A5969">
        <f>IFERROR(INDEX('Email Cleaner'!$B$2:$B$10001,MATCH(5968,'Email Cleaner'!$K$2:$K$10001,0)),"")</f>
        <v/>
      </c>
    </row>
    <row r="5970">
      <c r="A5970">
        <f>IFERROR(INDEX('Email Cleaner'!$B$2:$B$10001,MATCH(5969,'Email Cleaner'!$K$2:$K$10001,0)),"")</f>
        <v/>
      </c>
    </row>
    <row r="5971">
      <c r="A5971">
        <f>IFERROR(INDEX('Email Cleaner'!$B$2:$B$10001,MATCH(5970,'Email Cleaner'!$K$2:$K$10001,0)),"")</f>
        <v/>
      </c>
    </row>
    <row r="5972">
      <c r="A5972">
        <f>IFERROR(INDEX('Email Cleaner'!$B$2:$B$10001,MATCH(5971,'Email Cleaner'!$K$2:$K$10001,0)),"")</f>
        <v/>
      </c>
    </row>
    <row r="5973">
      <c r="A5973">
        <f>IFERROR(INDEX('Email Cleaner'!$B$2:$B$10001,MATCH(5972,'Email Cleaner'!$K$2:$K$10001,0)),"")</f>
        <v/>
      </c>
    </row>
    <row r="5974">
      <c r="A5974">
        <f>IFERROR(INDEX('Email Cleaner'!$B$2:$B$10001,MATCH(5973,'Email Cleaner'!$K$2:$K$10001,0)),"")</f>
        <v/>
      </c>
    </row>
    <row r="5975">
      <c r="A5975">
        <f>IFERROR(INDEX('Email Cleaner'!$B$2:$B$10001,MATCH(5974,'Email Cleaner'!$K$2:$K$10001,0)),"")</f>
        <v/>
      </c>
    </row>
    <row r="5976">
      <c r="A5976">
        <f>IFERROR(INDEX('Email Cleaner'!$B$2:$B$10001,MATCH(5975,'Email Cleaner'!$K$2:$K$10001,0)),"")</f>
        <v/>
      </c>
    </row>
    <row r="5977">
      <c r="A5977">
        <f>IFERROR(INDEX('Email Cleaner'!$B$2:$B$10001,MATCH(5976,'Email Cleaner'!$K$2:$K$10001,0)),"")</f>
        <v/>
      </c>
    </row>
    <row r="5978">
      <c r="A5978">
        <f>IFERROR(INDEX('Email Cleaner'!$B$2:$B$10001,MATCH(5977,'Email Cleaner'!$K$2:$K$10001,0)),"")</f>
        <v/>
      </c>
    </row>
    <row r="5979">
      <c r="A5979">
        <f>IFERROR(INDEX('Email Cleaner'!$B$2:$B$10001,MATCH(5978,'Email Cleaner'!$K$2:$K$10001,0)),"")</f>
        <v/>
      </c>
    </row>
    <row r="5980">
      <c r="A5980">
        <f>IFERROR(INDEX('Email Cleaner'!$B$2:$B$10001,MATCH(5979,'Email Cleaner'!$K$2:$K$10001,0)),"")</f>
        <v/>
      </c>
    </row>
    <row r="5981">
      <c r="A5981">
        <f>IFERROR(INDEX('Email Cleaner'!$B$2:$B$10001,MATCH(5980,'Email Cleaner'!$K$2:$K$10001,0)),"")</f>
        <v/>
      </c>
    </row>
    <row r="5982">
      <c r="A5982">
        <f>IFERROR(INDEX('Email Cleaner'!$B$2:$B$10001,MATCH(5981,'Email Cleaner'!$K$2:$K$10001,0)),"")</f>
        <v/>
      </c>
    </row>
    <row r="5983">
      <c r="A5983">
        <f>IFERROR(INDEX('Email Cleaner'!$B$2:$B$10001,MATCH(5982,'Email Cleaner'!$K$2:$K$10001,0)),"")</f>
        <v/>
      </c>
    </row>
    <row r="5984">
      <c r="A5984">
        <f>IFERROR(INDEX('Email Cleaner'!$B$2:$B$10001,MATCH(5983,'Email Cleaner'!$K$2:$K$10001,0)),"")</f>
        <v/>
      </c>
    </row>
    <row r="5985">
      <c r="A5985">
        <f>IFERROR(INDEX('Email Cleaner'!$B$2:$B$10001,MATCH(5984,'Email Cleaner'!$K$2:$K$10001,0)),"")</f>
        <v/>
      </c>
    </row>
    <row r="5986">
      <c r="A5986">
        <f>IFERROR(INDEX('Email Cleaner'!$B$2:$B$10001,MATCH(5985,'Email Cleaner'!$K$2:$K$10001,0)),"")</f>
        <v/>
      </c>
    </row>
    <row r="5987">
      <c r="A5987">
        <f>IFERROR(INDEX('Email Cleaner'!$B$2:$B$10001,MATCH(5986,'Email Cleaner'!$K$2:$K$10001,0)),"")</f>
        <v/>
      </c>
    </row>
    <row r="5988">
      <c r="A5988">
        <f>IFERROR(INDEX('Email Cleaner'!$B$2:$B$10001,MATCH(5987,'Email Cleaner'!$K$2:$K$10001,0)),"")</f>
        <v/>
      </c>
    </row>
    <row r="5989">
      <c r="A5989">
        <f>IFERROR(INDEX('Email Cleaner'!$B$2:$B$10001,MATCH(5988,'Email Cleaner'!$K$2:$K$10001,0)),"")</f>
        <v/>
      </c>
    </row>
    <row r="5990">
      <c r="A5990">
        <f>IFERROR(INDEX('Email Cleaner'!$B$2:$B$10001,MATCH(5989,'Email Cleaner'!$K$2:$K$10001,0)),"")</f>
        <v/>
      </c>
    </row>
    <row r="5991">
      <c r="A5991">
        <f>IFERROR(INDEX('Email Cleaner'!$B$2:$B$10001,MATCH(5990,'Email Cleaner'!$K$2:$K$10001,0)),"")</f>
        <v/>
      </c>
    </row>
    <row r="5992">
      <c r="A5992">
        <f>IFERROR(INDEX('Email Cleaner'!$B$2:$B$10001,MATCH(5991,'Email Cleaner'!$K$2:$K$10001,0)),"")</f>
        <v/>
      </c>
    </row>
    <row r="5993">
      <c r="A5993">
        <f>IFERROR(INDEX('Email Cleaner'!$B$2:$B$10001,MATCH(5992,'Email Cleaner'!$K$2:$K$10001,0)),"")</f>
        <v/>
      </c>
    </row>
    <row r="5994">
      <c r="A5994">
        <f>IFERROR(INDEX('Email Cleaner'!$B$2:$B$10001,MATCH(5993,'Email Cleaner'!$K$2:$K$10001,0)),"")</f>
        <v/>
      </c>
    </row>
    <row r="5995">
      <c r="A5995">
        <f>IFERROR(INDEX('Email Cleaner'!$B$2:$B$10001,MATCH(5994,'Email Cleaner'!$K$2:$K$10001,0)),"")</f>
        <v/>
      </c>
    </row>
    <row r="5996">
      <c r="A5996">
        <f>IFERROR(INDEX('Email Cleaner'!$B$2:$B$10001,MATCH(5995,'Email Cleaner'!$K$2:$K$10001,0)),"")</f>
        <v/>
      </c>
    </row>
    <row r="5997">
      <c r="A5997">
        <f>IFERROR(INDEX('Email Cleaner'!$B$2:$B$10001,MATCH(5996,'Email Cleaner'!$K$2:$K$10001,0)),"")</f>
        <v/>
      </c>
    </row>
    <row r="5998">
      <c r="A5998">
        <f>IFERROR(INDEX('Email Cleaner'!$B$2:$B$10001,MATCH(5997,'Email Cleaner'!$K$2:$K$10001,0)),"")</f>
        <v/>
      </c>
    </row>
    <row r="5999">
      <c r="A5999">
        <f>IFERROR(INDEX('Email Cleaner'!$B$2:$B$10001,MATCH(5998,'Email Cleaner'!$K$2:$K$10001,0)),"")</f>
        <v/>
      </c>
    </row>
    <row r="6000">
      <c r="A6000">
        <f>IFERROR(INDEX('Email Cleaner'!$B$2:$B$10001,MATCH(5999,'Email Cleaner'!$K$2:$K$10001,0)),"")</f>
        <v/>
      </c>
    </row>
    <row r="6001">
      <c r="A6001">
        <f>IFERROR(INDEX('Email Cleaner'!$B$2:$B$10001,MATCH(6000,'Email Cleaner'!$K$2:$K$10001,0)),"")</f>
        <v/>
      </c>
    </row>
    <row r="6002">
      <c r="A6002">
        <f>IFERROR(INDEX('Email Cleaner'!$B$2:$B$10001,MATCH(6001,'Email Cleaner'!$K$2:$K$10001,0)),"")</f>
        <v/>
      </c>
    </row>
    <row r="6003">
      <c r="A6003">
        <f>IFERROR(INDEX('Email Cleaner'!$B$2:$B$10001,MATCH(6002,'Email Cleaner'!$K$2:$K$10001,0)),"")</f>
        <v/>
      </c>
    </row>
    <row r="6004">
      <c r="A6004">
        <f>IFERROR(INDEX('Email Cleaner'!$B$2:$B$10001,MATCH(6003,'Email Cleaner'!$K$2:$K$10001,0)),"")</f>
        <v/>
      </c>
    </row>
    <row r="6005">
      <c r="A6005">
        <f>IFERROR(INDEX('Email Cleaner'!$B$2:$B$10001,MATCH(6004,'Email Cleaner'!$K$2:$K$10001,0)),"")</f>
        <v/>
      </c>
    </row>
    <row r="6006">
      <c r="A6006">
        <f>IFERROR(INDEX('Email Cleaner'!$B$2:$B$10001,MATCH(6005,'Email Cleaner'!$K$2:$K$10001,0)),"")</f>
        <v/>
      </c>
    </row>
    <row r="6007">
      <c r="A6007">
        <f>IFERROR(INDEX('Email Cleaner'!$B$2:$B$10001,MATCH(6006,'Email Cleaner'!$K$2:$K$10001,0)),"")</f>
        <v/>
      </c>
    </row>
    <row r="6008">
      <c r="A6008">
        <f>IFERROR(INDEX('Email Cleaner'!$B$2:$B$10001,MATCH(6007,'Email Cleaner'!$K$2:$K$10001,0)),"")</f>
        <v/>
      </c>
    </row>
    <row r="6009">
      <c r="A6009">
        <f>IFERROR(INDEX('Email Cleaner'!$B$2:$B$10001,MATCH(6008,'Email Cleaner'!$K$2:$K$10001,0)),"")</f>
        <v/>
      </c>
    </row>
    <row r="6010">
      <c r="A6010">
        <f>IFERROR(INDEX('Email Cleaner'!$B$2:$B$10001,MATCH(6009,'Email Cleaner'!$K$2:$K$10001,0)),"")</f>
        <v/>
      </c>
    </row>
    <row r="6011">
      <c r="A6011">
        <f>IFERROR(INDEX('Email Cleaner'!$B$2:$B$10001,MATCH(6010,'Email Cleaner'!$K$2:$K$10001,0)),"")</f>
        <v/>
      </c>
    </row>
    <row r="6012">
      <c r="A6012">
        <f>IFERROR(INDEX('Email Cleaner'!$B$2:$B$10001,MATCH(6011,'Email Cleaner'!$K$2:$K$10001,0)),"")</f>
        <v/>
      </c>
    </row>
    <row r="6013">
      <c r="A6013">
        <f>IFERROR(INDEX('Email Cleaner'!$B$2:$B$10001,MATCH(6012,'Email Cleaner'!$K$2:$K$10001,0)),"")</f>
        <v/>
      </c>
    </row>
    <row r="6014">
      <c r="A6014">
        <f>IFERROR(INDEX('Email Cleaner'!$B$2:$B$10001,MATCH(6013,'Email Cleaner'!$K$2:$K$10001,0)),"")</f>
        <v/>
      </c>
    </row>
    <row r="6015">
      <c r="A6015">
        <f>IFERROR(INDEX('Email Cleaner'!$B$2:$B$10001,MATCH(6014,'Email Cleaner'!$K$2:$K$10001,0)),"")</f>
        <v/>
      </c>
    </row>
    <row r="6016">
      <c r="A6016">
        <f>IFERROR(INDEX('Email Cleaner'!$B$2:$B$10001,MATCH(6015,'Email Cleaner'!$K$2:$K$10001,0)),"")</f>
        <v/>
      </c>
    </row>
    <row r="6017">
      <c r="A6017">
        <f>IFERROR(INDEX('Email Cleaner'!$B$2:$B$10001,MATCH(6016,'Email Cleaner'!$K$2:$K$10001,0)),"")</f>
        <v/>
      </c>
    </row>
    <row r="6018">
      <c r="A6018">
        <f>IFERROR(INDEX('Email Cleaner'!$B$2:$B$10001,MATCH(6017,'Email Cleaner'!$K$2:$K$10001,0)),"")</f>
        <v/>
      </c>
    </row>
    <row r="6019">
      <c r="A6019">
        <f>IFERROR(INDEX('Email Cleaner'!$B$2:$B$10001,MATCH(6018,'Email Cleaner'!$K$2:$K$10001,0)),"")</f>
        <v/>
      </c>
    </row>
    <row r="6020">
      <c r="A6020">
        <f>IFERROR(INDEX('Email Cleaner'!$B$2:$B$10001,MATCH(6019,'Email Cleaner'!$K$2:$K$10001,0)),"")</f>
        <v/>
      </c>
    </row>
    <row r="6021">
      <c r="A6021">
        <f>IFERROR(INDEX('Email Cleaner'!$B$2:$B$10001,MATCH(6020,'Email Cleaner'!$K$2:$K$10001,0)),"")</f>
        <v/>
      </c>
    </row>
    <row r="6022">
      <c r="A6022">
        <f>IFERROR(INDEX('Email Cleaner'!$B$2:$B$10001,MATCH(6021,'Email Cleaner'!$K$2:$K$10001,0)),"")</f>
        <v/>
      </c>
    </row>
    <row r="6023">
      <c r="A6023">
        <f>IFERROR(INDEX('Email Cleaner'!$B$2:$B$10001,MATCH(6022,'Email Cleaner'!$K$2:$K$10001,0)),"")</f>
        <v/>
      </c>
    </row>
    <row r="6024">
      <c r="A6024">
        <f>IFERROR(INDEX('Email Cleaner'!$B$2:$B$10001,MATCH(6023,'Email Cleaner'!$K$2:$K$10001,0)),"")</f>
        <v/>
      </c>
    </row>
    <row r="6025">
      <c r="A6025">
        <f>IFERROR(INDEX('Email Cleaner'!$B$2:$B$10001,MATCH(6024,'Email Cleaner'!$K$2:$K$10001,0)),"")</f>
        <v/>
      </c>
    </row>
    <row r="6026">
      <c r="A6026">
        <f>IFERROR(INDEX('Email Cleaner'!$B$2:$B$10001,MATCH(6025,'Email Cleaner'!$K$2:$K$10001,0)),"")</f>
        <v/>
      </c>
    </row>
    <row r="6027">
      <c r="A6027">
        <f>IFERROR(INDEX('Email Cleaner'!$B$2:$B$10001,MATCH(6026,'Email Cleaner'!$K$2:$K$10001,0)),"")</f>
        <v/>
      </c>
    </row>
    <row r="6028">
      <c r="A6028">
        <f>IFERROR(INDEX('Email Cleaner'!$B$2:$B$10001,MATCH(6027,'Email Cleaner'!$K$2:$K$10001,0)),"")</f>
        <v/>
      </c>
    </row>
    <row r="6029">
      <c r="A6029">
        <f>IFERROR(INDEX('Email Cleaner'!$B$2:$B$10001,MATCH(6028,'Email Cleaner'!$K$2:$K$10001,0)),"")</f>
        <v/>
      </c>
    </row>
    <row r="6030">
      <c r="A6030">
        <f>IFERROR(INDEX('Email Cleaner'!$B$2:$B$10001,MATCH(6029,'Email Cleaner'!$K$2:$K$10001,0)),"")</f>
        <v/>
      </c>
    </row>
    <row r="6031">
      <c r="A6031">
        <f>IFERROR(INDEX('Email Cleaner'!$B$2:$B$10001,MATCH(6030,'Email Cleaner'!$K$2:$K$10001,0)),"")</f>
        <v/>
      </c>
    </row>
    <row r="6032">
      <c r="A6032">
        <f>IFERROR(INDEX('Email Cleaner'!$B$2:$B$10001,MATCH(6031,'Email Cleaner'!$K$2:$K$10001,0)),"")</f>
        <v/>
      </c>
    </row>
    <row r="6033">
      <c r="A6033">
        <f>IFERROR(INDEX('Email Cleaner'!$B$2:$B$10001,MATCH(6032,'Email Cleaner'!$K$2:$K$10001,0)),"")</f>
        <v/>
      </c>
    </row>
    <row r="6034">
      <c r="A6034">
        <f>IFERROR(INDEX('Email Cleaner'!$B$2:$B$10001,MATCH(6033,'Email Cleaner'!$K$2:$K$10001,0)),"")</f>
        <v/>
      </c>
    </row>
    <row r="6035">
      <c r="A6035">
        <f>IFERROR(INDEX('Email Cleaner'!$B$2:$B$10001,MATCH(6034,'Email Cleaner'!$K$2:$K$10001,0)),"")</f>
        <v/>
      </c>
    </row>
    <row r="6036">
      <c r="A6036">
        <f>IFERROR(INDEX('Email Cleaner'!$B$2:$B$10001,MATCH(6035,'Email Cleaner'!$K$2:$K$10001,0)),"")</f>
        <v/>
      </c>
    </row>
    <row r="6037">
      <c r="A6037">
        <f>IFERROR(INDEX('Email Cleaner'!$B$2:$B$10001,MATCH(6036,'Email Cleaner'!$K$2:$K$10001,0)),"")</f>
        <v/>
      </c>
    </row>
    <row r="6038">
      <c r="A6038">
        <f>IFERROR(INDEX('Email Cleaner'!$B$2:$B$10001,MATCH(6037,'Email Cleaner'!$K$2:$K$10001,0)),"")</f>
        <v/>
      </c>
    </row>
    <row r="6039">
      <c r="A6039">
        <f>IFERROR(INDEX('Email Cleaner'!$B$2:$B$10001,MATCH(6038,'Email Cleaner'!$K$2:$K$10001,0)),"")</f>
        <v/>
      </c>
    </row>
    <row r="6040">
      <c r="A6040">
        <f>IFERROR(INDEX('Email Cleaner'!$B$2:$B$10001,MATCH(6039,'Email Cleaner'!$K$2:$K$10001,0)),"")</f>
        <v/>
      </c>
    </row>
    <row r="6041">
      <c r="A6041">
        <f>IFERROR(INDEX('Email Cleaner'!$B$2:$B$10001,MATCH(6040,'Email Cleaner'!$K$2:$K$10001,0)),"")</f>
        <v/>
      </c>
    </row>
    <row r="6042">
      <c r="A6042">
        <f>IFERROR(INDEX('Email Cleaner'!$B$2:$B$10001,MATCH(6041,'Email Cleaner'!$K$2:$K$10001,0)),"")</f>
        <v/>
      </c>
    </row>
    <row r="6043">
      <c r="A6043">
        <f>IFERROR(INDEX('Email Cleaner'!$B$2:$B$10001,MATCH(6042,'Email Cleaner'!$K$2:$K$10001,0)),"")</f>
        <v/>
      </c>
    </row>
    <row r="6044">
      <c r="A6044">
        <f>IFERROR(INDEX('Email Cleaner'!$B$2:$B$10001,MATCH(6043,'Email Cleaner'!$K$2:$K$10001,0)),"")</f>
        <v/>
      </c>
    </row>
    <row r="6045">
      <c r="A6045">
        <f>IFERROR(INDEX('Email Cleaner'!$B$2:$B$10001,MATCH(6044,'Email Cleaner'!$K$2:$K$10001,0)),"")</f>
        <v/>
      </c>
    </row>
    <row r="6046">
      <c r="A6046">
        <f>IFERROR(INDEX('Email Cleaner'!$B$2:$B$10001,MATCH(6045,'Email Cleaner'!$K$2:$K$10001,0)),"")</f>
        <v/>
      </c>
    </row>
    <row r="6047">
      <c r="A6047">
        <f>IFERROR(INDEX('Email Cleaner'!$B$2:$B$10001,MATCH(6046,'Email Cleaner'!$K$2:$K$10001,0)),"")</f>
        <v/>
      </c>
    </row>
    <row r="6048">
      <c r="A6048">
        <f>IFERROR(INDEX('Email Cleaner'!$B$2:$B$10001,MATCH(6047,'Email Cleaner'!$K$2:$K$10001,0)),"")</f>
        <v/>
      </c>
    </row>
    <row r="6049">
      <c r="A6049">
        <f>IFERROR(INDEX('Email Cleaner'!$B$2:$B$10001,MATCH(6048,'Email Cleaner'!$K$2:$K$10001,0)),"")</f>
        <v/>
      </c>
    </row>
    <row r="6050">
      <c r="A6050">
        <f>IFERROR(INDEX('Email Cleaner'!$B$2:$B$10001,MATCH(6049,'Email Cleaner'!$K$2:$K$10001,0)),"")</f>
        <v/>
      </c>
    </row>
    <row r="6051">
      <c r="A6051">
        <f>IFERROR(INDEX('Email Cleaner'!$B$2:$B$10001,MATCH(6050,'Email Cleaner'!$K$2:$K$10001,0)),"")</f>
        <v/>
      </c>
    </row>
    <row r="6052">
      <c r="A6052">
        <f>IFERROR(INDEX('Email Cleaner'!$B$2:$B$10001,MATCH(6051,'Email Cleaner'!$K$2:$K$10001,0)),"")</f>
        <v/>
      </c>
    </row>
    <row r="6053">
      <c r="A6053">
        <f>IFERROR(INDEX('Email Cleaner'!$B$2:$B$10001,MATCH(6052,'Email Cleaner'!$K$2:$K$10001,0)),"")</f>
        <v/>
      </c>
    </row>
    <row r="6054">
      <c r="A6054">
        <f>IFERROR(INDEX('Email Cleaner'!$B$2:$B$10001,MATCH(6053,'Email Cleaner'!$K$2:$K$10001,0)),"")</f>
        <v/>
      </c>
    </row>
    <row r="6055">
      <c r="A6055">
        <f>IFERROR(INDEX('Email Cleaner'!$B$2:$B$10001,MATCH(6054,'Email Cleaner'!$K$2:$K$10001,0)),"")</f>
        <v/>
      </c>
    </row>
    <row r="6056">
      <c r="A6056">
        <f>IFERROR(INDEX('Email Cleaner'!$B$2:$B$10001,MATCH(6055,'Email Cleaner'!$K$2:$K$10001,0)),"")</f>
        <v/>
      </c>
    </row>
    <row r="6057">
      <c r="A6057">
        <f>IFERROR(INDEX('Email Cleaner'!$B$2:$B$10001,MATCH(6056,'Email Cleaner'!$K$2:$K$10001,0)),"")</f>
        <v/>
      </c>
    </row>
    <row r="6058">
      <c r="A6058">
        <f>IFERROR(INDEX('Email Cleaner'!$B$2:$B$10001,MATCH(6057,'Email Cleaner'!$K$2:$K$10001,0)),"")</f>
        <v/>
      </c>
    </row>
    <row r="6059">
      <c r="A6059">
        <f>IFERROR(INDEX('Email Cleaner'!$B$2:$B$10001,MATCH(6058,'Email Cleaner'!$K$2:$K$10001,0)),"")</f>
        <v/>
      </c>
    </row>
    <row r="6060">
      <c r="A6060">
        <f>IFERROR(INDEX('Email Cleaner'!$B$2:$B$10001,MATCH(6059,'Email Cleaner'!$K$2:$K$10001,0)),"")</f>
        <v/>
      </c>
    </row>
    <row r="6061">
      <c r="A6061">
        <f>IFERROR(INDEX('Email Cleaner'!$B$2:$B$10001,MATCH(6060,'Email Cleaner'!$K$2:$K$10001,0)),"")</f>
        <v/>
      </c>
    </row>
    <row r="6062">
      <c r="A6062">
        <f>IFERROR(INDEX('Email Cleaner'!$B$2:$B$10001,MATCH(6061,'Email Cleaner'!$K$2:$K$10001,0)),"")</f>
        <v/>
      </c>
    </row>
    <row r="6063">
      <c r="A6063">
        <f>IFERROR(INDEX('Email Cleaner'!$B$2:$B$10001,MATCH(6062,'Email Cleaner'!$K$2:$K$10001,0)),"")</f>
        <v/>
      </c>
    </row>
    <row r="6064">
      <c r="A6064">
        <f>IFERROR(INDEX('Email Cleaner'!$B$2:$B$10001,MATCH(6063,'Email Cleaner'!$K$2:$K$10001,0)),"")</f>
        <v/>
      </c>
    </row>
    <row r="6065">
      <c r="A6065">
        <f>IFERROR(INDEX('Email Cleaner'!$B$2:$B$10001,MATCH(6064,'Email Cleaner'!$K$2:$K$10001,0)),"")</f>
        <v/>
      </c>
    </row>
    <row r="6066">
      <c r="A6066">
        <f>IFERROR(INDEX('Email Cleaner'!$B$2:$B$10001,MATCH(6065,'Email Cleaner'!$K$2:$K$10001,0)),"")</f>
        <v/>
      </c>
    </row>
    <row r="6067">
      <c r="A6067">
        <f>IFERROR(INDEX('Email Cleaner'!$B$2:$B$10001,MATCH(6066,'Email Cleaner'!$K$2:$K$10001,0)),"")</f>
        <v/>
      </c>
    </row>
    <row r="6068">
      <c r="A6068">
        <f>IFERROR(INDEX('Email Cleaner'!$B$2:$B$10001,MATCH(6067,'Email Cleaner'!$K$2:$K$10001,0)),"")</f>
        <v/>
      </c>
    </row>
    <row r="6069">
      <c r="A6069">
        <f>IFERROR(INDEX('Email Cleaner'!$B$2:$B$10001,MATCH(6068,'Email Cleaner'!$K$2:$K$10001,0)),"")</f>
        <v/>
      </c>
    </row>
    <row r="6070">
      <c r="A6070">
        <f>IFERROR(INDEX('Email Cleaner'!$B$2:$B$10001,MATCH(6069,'Email Cleaner'!$K$2:$K$10001,0)),"")</f>
        <v/>
      </c>
    </row>
    <row r="6071">
      <c r="A6071">
        <f>IFERROR(INDEX('Email Cleaner'!$B$2:$B$10001,MATCH(6070,'Email Cleaner'!$K$2:$K$10001,0)),"")</f>
        <v/>
      </c>
    </row>
    <row r="6072">
      <c r="A6072">
        <f>IFERROR(INDEX('Email Cleaner'!$B$2:$B$10001,MATCH(6071,'Email Cleaner'!$K$2:$K$10001,0)),"")</f>
        <v/>
      </c>
    </row>
    <row r="6073">
      <c r="A6073">
        <f>IFERROR(INDEX('Email Cleaner'!$B$2:$B$10001,MATCH(6072,'Email Cleaner'!$K$2:$K$10001,0)),"")</f>
        <v/>
      </c>
    </row>
    <row r="6074">
      <c r="A6074">
        <f>IFERROR(INDEX('Email Cleaner'!$B$2:$B$10001,MATCH(6073,'Email Cleaner'!$K$2:$K$10001,0)),"")</f>
        <v/>
      </c>
    </row>
    <row r="6075">
      <c r="A6075">
        <f>IFERROR(INDEX('Email Cleaner'!$B$2:$B$10001,MATCH(6074,'Email Cleaner'!$K$2:$K$10001,0)),"")</f>
        <v/>
      </c>
    </row>
    <row r="6076">
      <c r="A6076">
        <f>IFERROR(INDEX('Email Cleaner'!$B$2:$B$10001,MATCH(6075,'Email Cleaner'!$K$2:$K$10001,0)),"")</f>
        <v/>
      </c>
    </row>
    <row r="6077">
      <c r="A6077">
        <f>IFERROR(INDEX('Email Cleaner'!$B$2:$B$10001,MATCH(6076,'Email Cleaner'!$K$2:$K$10001,0)),"")</f>
        <v/>
      </c>
    </row>
    <row r="6078">
      <c r="A6078">
        <f>IFERROR(INDEX('Email Cleaner'!$B$2:$B$10001,MATCH(6077,'Email Cleaner'!$K$2:$K$10001,0)),"")</f>
        <v/>
      </c>
    </row>
    <row r="6079">
      <c r="A6079">
        <f>IFERROR(INDEX('Email Cleaner'!$B$2:$B$10001,MATCH(6078,'Email Cleaner'!$K$2:$K$10001,0)),"")</f>
        <v/>
      </c>
    </row>
    <row r="6080">
      <c r="A6080">
        <f>IFERROR(INDEX('Email Cleaner'!$B$2:$B$10001,MATCH(6079,'Email Cleaner'!$K$2:$K$10001,0)),"")</f>
        <v/>
      </c>
    </row>
    <row r="6081">
      <c r="A6081">
        <f>IFERROR(INDEX('Email Cleaner'!$B$2:$B$10001,MATCH(6080,'Email Cleaner'!$K$2:$K$10001,0)),"")</f>
        <v/>
      </c>
    </row>
    <row r="6082">
      <c r="A6082">
        <f>IFERROR(INDEX('Email Cleaner'!$B$2:$B$10001,MATCH(6081,'Email Cleaner'!$K$2:$K$10001,0)),"")</f>
        <v/>
      </c>
    </row>
    <row r="6083">
      <c r="A6083">
        <f>IFERROR(INDEX('Email Cleaner'!$B$2:$B$10001,MATCH(6082,'Email Cleaner'!$K$2:$K$10001,0)),"")</f>
        <v/>
      </c>
    </row>
    <row r="6084">
      <c r="A6084">
        <f>IFERROR(INDEX('Email Cleaner'!$B$2:$B$10001,MATCH(6083,'Email Cleaner'!$K$2:$K$10001,0)),"")</f>
        <v/>
      </c>
    </row>
    <row r="6085">
      <c r="A6085">
        <f>IFERROR(INDEX('Email Cleaner'!$B$2:$B$10001,MATCH(6084,'Email Cleaner'!$K$2:$K$10001,0)),"")</f>
        <v/>
      </c>
    </row>
    <row r="6086">
      <c r="A6086">
        <f>IFERROR(INDEX('Email Cleaner'!$B$2:$B$10001,MATCH(6085,'Email Cleaner'!$K$2:$K$10001,0)),"")</f>
        <v/>
      </c>
    </row>
    <row r="6087">
      <c r="A6087">
        <f>IFERROR(INDEX('Email Cleaner'!$B$2:$B$10001,MATCH(6086,'Email Cleaner'!$K$2:$K$10001,0)),"")</f>
        <v/>
      </c>
    </row>
    <row r="6088">
      <c r="A6088">
        <f>IFERROR(INDEX('Email Cleaner'!$B$2:$B$10001,MATCH(6087,'Email Cleaner'!$K$2:$K$10001,0)),"")</f>
        <v/>
      </c>
    </row>
    <row r="6089">
      <c r="A6089">
        <f>IFERROR(INDEX('Email Cleaner'!$B$2:$B$10001,MATCH(6088,'Email Cleaner'!$K$2:$K$10001,0)),"")</f>
        <v/>
      </c>
    </row>
    <row r="6090">
      <c r="A6090">
        <f>IFERROR(INDEX('Email Cleaner'!$B$2:$B$10001,MATCH(6089,'Email Cleaner'!$K$2:$K$10001,0)),"")</f>
        <v/>
      </c>
    </row>
    <row r="6091">
      <c r="A6091">
        <f>IFERROR(INDEX('Email Cleaner'!$B$2:$B$10001,MATCH(6090,'Email Cleaner'!$K$2:$K$10001,0)),"")</f>
        <v/>
      </c>
    </row>
    <row r="6092">
      <c r="A6092">
        <f>IFERROR(INDEX('Email Cleaner'!$B$2:$B$10001,MATCH(6091,'Email Cleaner'!$K$2:$K$10001,0)),"")</f>
        <v/>
      </c>
    </row>
    <row r="6093">
      <c r="A6093">
        <f>IFERROR(INDEX('Email Cleaner'!$B$2:$B$10001,MATCH(6092,'Email Cleaner'!$K$2:$K$10001,0)),"")</f>
        <v/>
      </c>
    </row>
    <row r="6094">
      <c r="A6094">
        <f>IFERROR(INDEX('Email Cleaner'!$B$2:$B$10001,MATCH(6093,'Email Cleaner'!$K$2:$K$10001,0)),"")</f>
        <v/>
      </c>
    </row>
    <row r="6095">
      <c r="A6095">
        <f>IFERROR(INDEX('Email Cleaner'!$B$2:$B$10001,MATCH(6094,'Email Cleaner'!$K$2:$K$10001,0)),"")</f>
        <v/>
      </c>
    </row>
    <row r="6096">
      <c r="A6096">
        <f>IFERROR(INDEX('Email Cleaner'!$B$2:$B$10001,MATCH(6095,'Email Cleaner'!$K$2:$K$10001,0)),"")</f>
        <v/>
      </c>
    </row>
    <row r="6097">
      <c r="A6097">
        <f>IFERROR(INDEX('Email Cleaner'!$B$2:$B$10001,MATCH(6096,'Email Cleaner'!$K$2:$K$10001,0)),"")</f>
        <v/>
      </c>
    </row>
    <row r="6098">
      <c r="A6098">
        <f>IFERROR(INDEX('Email Cleaner'!$B$2:$B$10001,MATCH(6097,'Email Cleaner'!$K$2:$K$10001,0)),"")</f>
        <v/>
      </c>
    </row>
    <row r="6099">
      <c r="A6099">
        <f>IFERROR(INDEX('Email Cleaner'!$B$2:$B$10001,MATCH(6098,'Email Cleaner'!$K$2:$K$10001,0)),"")</f>
        <v/>
      </c>
    </row>
    <row r="6100">
      <c r="A6100">
        <f>IFERROR(INDEX('Email Cleaner'!$B$2:$B$10001,MATCH(6099,'Email Cleaner'!$K$2:$K$10001,0)),"")</f>
        <v/>
      </c>
    </row>
    <row r="6101">
      <c r="A6101">
        <f>IFERROR(INDEX('Email Cleaner'!$B$2:$B$10001,MATCH(6100,'Email Cleaner'!$K$2:$K$10001,0)),"")</f>
        <v/>
      </c>
    </row>
    <row r="6102">
      <c r="A6102">
        <f>IFERROR(INDEX('Email Cleaner'!$B$2:$B$10001,MATCH(6101,'Email Cleaner'!$K$2:$K$10001,0)),"")</f>
        <v/>
      </c>
    </row>
    <row r="6103">
      <c r="A6103">
        <f>IFERROR(INDEX('Email Cleaner'!$B$2:$B$10001,MATCH(6102,'Email Cleaner'!$K$2:$K$10001,0)),"")</f>
        <v/>
      </c>
    </row>
    <row r="6104">
      <c r="A6104">
        <f>IFERROR(INDEX('Email Cleaner'!$B$2:$B$10001,MATCH(6103,'Email Cleaner'!$K$2:$K$10001,0)),"")</f>
        <v/>
      </c>
    </row>
    <row r="6105">
      <c r="A6105">
        <f>IFERROR(INDEX('Email Cleaner'!$B$2:$B$10001,MATCH(6104,'Email Cleaner'!$K$2:$K$10001,0)),"")</f>
        <v/>
      </c>
    </row>
    <row r="6106">
      <c r="A6106">
        <f>IFERROR(INDEX('Email Cleaner'!$B$2:$B$10001,MATCH(6105,'Email Cleaner'!$K$2:$K$10001,0)),"")</f>
        <v/>
      </c>
    </row>
    <row r="6107">
      <c r="A6107">
        <f>IFERROR(INDEX('Email Cleaner'!$B$2:$B$10001,MATCH(6106,'Email Cleaner'!$K$2:$K$10001,0)),"")</f>
        <v/>
      </c>
    </row>
    <row r="6108">
      <c r="A6108">
        <f>IFERROR(INDEX('Email Cleaner'!$B$2:$B$10001,MATCH(6107,'Email Cleaner'!$K$2:$K$10001,0)),"")</f>
        <v/>
      </c>
    </row>
    <row r="6109">
      <c r="A6109">
        <f>IFERROR(INDEX('Email Cleaner'!$B$2:$B$10001,MATCH(6108,'Email Cleaner'!$K$2:$K$10001,0)),"")</f>
        <v/>
      </c>
    </row>
    <row r="6110">
      <c r="A6110">
        <f>IFERROR(INDEX('Email Cleaner'!$B$2:$B$10001,MATCH(6109,'Email Cleaner'!$K$2:$K$10001,0)),"")</f>
        <v/>
      </c>
    </row>
    <row r="6111">
      <c r="A6111">
        <f>IFERROR(INDEX('Email Cleaner'!$B$2:$B$10001,MATCH(6110,'Email Cleaner'!$K$2:$K$10001,0)),"")</f>
        <v/>
      </c>
    </row>
    <row r="6112">
      <c r="A6112">
        <f>IFERROR(INDEX('Email Cleaner'!$B$2:$B$10001,MATCH(6111,'Email Cleaner'!$K$2:$K$10001,0)),"")</f>
        <v/>
      </c>
    </row>
    <row r="6113">
      <c r="A6113">
        <f>IFERROR(INDEX('Email Cleaner'!$B$2:$B$10001,MATCH(6112,'Email Cleaner'!$K$2:$K$10001,0)),"")</f>
        <v/>
      </c>
    </row>
    <row r="6114">
      <c r="A6114">
        <f>IFERROR(INDEX('Email Cleaner'!$B$2:$B$10001,MATCH(6113,'Email Cleaner'!$K$2:$K$10001,0)),"")</f>
        <v/>
      </c>
    </row>
    <row r="6115">
      <c r="A6115">
        <f>IFERROR(INDEX('Email Cleaner'!$B$2:$B$10001,MATCH(6114,'Email Cleaner'!$K$2:$K$10001,0)),"")</f>
        <v/>
      </c>
    </row>
    <row r="6116">
      <c r="A6116">
        <f>IFERROR(INDEX('Email Cleaner'!$B$2:$B$10001,MATCH(6115,'Email Cleaner'!$K$2:$K$10001,0)),"")</f>
        <v/>
      </c>
    </row>
    <row r="6117">
      <c r="A6117">
        <f>IFERROR(INDEX('Email Cleaner'!$B$2:$B$10001,MATCH(6116,'Email Cleaner'!$K$2:$K$10001,0)),"")</f>
        <v/>
      </c>
    </row>
    <row r="6118">
      <c r="A6118">
        <f>IFERROR(INDEX('Email Cleaner'!$B$2:$B$10001,MATCH(6117,'Email Cleaner'!$K$2:$K$10001,0)),"")</f>
        <v/>
      </c>
    </row>
    <row r="6119">
      <c r="A6119">
        <f>IFERROR(INDEX('Email Cleaner'!$B$2:$B$10001,MATCH(6118,'Email Cleaner'!$K$2:$K$10001,0)),"")</f>
        <v/>
      </c>
    </row>
    <row r="6120">
      <c r="A6120">
        <f>IFERROR(INDEX('Email Cleaner'!$B$2:$B$10001,MATCH(6119,'Email Cleaner'!$K$2:$K$10001,0)),"")</f>
        <v/>
      </c>
    </row>
    <row r="6121">
      <c r="A6121">
        <f>IFERROR(INDEX('Email Cleaner'!$B$2:$B$10001,MATCH(6120,'Email Cleaner'!$K$2:$K$10001,0)),"")</f>
        <v/>
      </c>
    </row>
    <row r="6122">
      <c r="A6122">
        <f>IFERROR(INDEX('Email Cleaner'!$B$2:$B$10001,MATCH(6121,'Email Cleaner'!$K$2:$K$10001,0)),"")</f>
        <v/>
      </c>
    </row>
    <row r="6123">
      <c r="A6123">
        <f>IFERROR(INDEX('Email Cleaner'!$B$2:$B$10001,MATCH(6122,'Email Cleaner'!$K$2:$K$10001,0)),"")</f>
        <v/>
      </c>
    </row>
    <row r="6124">
      <c r="A6124">
        <f>IFERROR(INDEX('Email Cleaner'!$B$2:$B$10001,MATCH(6123,'Email Cleaner'!$K$2:$K$10001,0)),"")</f>
        <v/>
      </c>
    </row>
    <row r="6125">
      <c r="A6125">
        <f>IFERROR(INDEX('Email Cleaner'!$B$2:$B$10001,MATCH(6124,'Email Cleaner'!$K$2:$K$10001,0)),"")</f>
        <v/>
      </c>
    </row>
    <row r="6126">
      <c r="A6126">
        <f>IFERROR(INDEX('Email Cleaner'!$B$2:$B$10001,MATCH(6125,'Email Cleaner'!$K$2:$K$10001,0)),"")</f>
        <v/>
      </c>
    </row>
    <row r="6127">
      <c r="A6127">
        <f>IFERROR(INDEX('Email Cleaner'!$B$2:$B$10001,MATCH(6126,'Email Cleaner'!$K$2:$K$10001,0)),"")</f>
        <v/>
      </c>
    </row>
    <row r="6128">
      <c r="A6128">
        <f>IFERROR(INDEX('Email Cleaner'!$B$2:$B$10001,MATCH(6127,'Email Cleaner'!$K$2:$K$10001,0)),"")</f>
        <v/>
      </c>
    </row>
    <row r="6129">
      <c r="A6129">
        <f>IFERROR(INDEX('Email Cleaner'!$B$2:$B$10001,MATCH(6128,'Email Cleaner'!$K$2:$K$10001,0)),"")</f>
        <v/>
      </c>
    </row>
    <row r="6130">
      <c r="A6130">
        <f>IFERROR(INDEX('Email Cleaner'!$B$2:$B$10001,MATCH(6129,'Email Cleaner'!$K$2:$K$10001,0)),"")</f>
        <v/>
      </c>
    </row>
    <row r="6131">
      <c r="A6131">
        <f>IFERROR(INDEX('Email Cleaner'!$B$2:$B$10001,MATCH(6130,'Email Cleaner'!$K$2:$K$10001,0)),"")</f>
        <v/>
      </c>
    </row>
    <row r="6132">
      <c r="A6132">
        <f>IFERROR(INDEX('Email Cleaner'!$B$2:$B$10001,MATCH(6131,'Email Cleaner'!$K$2:$K$10001,0)),"")</f>
        <v/>
      </c>
    </row>
    <row r="6133">
      <c r="A6133">
        <f>IFERROR(INDEX('Email Cleaner'!$B$2:$B$10001,MATCH(6132,'Email Cleaner'!$K$2:$K$10001,0)),"")</f>
        <v/>
      </c>
    </row>
    <row r="6134">
      <c r="A6134">
        <f>IFERROR(INDEX('Email Cleaner'!$B$2:$B$10001,MATCH(6133,'Email Cleaner'!$K$2:$K$10001,0)),"")</f>
        <v/>
      </c>
    </row>
    <row r="6135">
      <c r="A6135">
        <f>IFERROR(INDEX('Email Cleaner'!$B$2:$B$10001,MATCH(6134,'Email Cleaner'!$K$2:$K$10001,0)),"")</f>
        <v/>
      </c>
    </row>
    <row r="6136">
      <c r="A6136">
        <f>IFERROR(INDEX('Email Cleaner'!$B$2:$B$10001,MATCH(6135,'Email Cleaner'!$K$2:$K$10001,0)),"")</f>
        <v/>
      </c>
    </row>
    <row r="6137">
      <c r="A6137">
        <f>IFERROR(INDEX('Email Cleaner'!$B$2:$B$10001,MATCH(6136,'Email Cleaner'!$K$2:$K$10001,0)),"")</f>
        <v/>
      </c>
    </row>
    <row r="6138">
      <c r="A6138">
        <f>IFERROR(INDEX('Email Cleaner'!$B$2:$B$10001,MATCH(6137,'Email Cleaner'!$K$2:$K$10001,0)),"")</f>
        <v/>
      </c>
    </row>
    <row r="6139">
      <c r="A6139">
        <f>IFERROR(INDEX('Email Cleaner'!$B$2:$B$10001,MATCH(6138,'Email Cleaner'!$K$2:$K$10001,0)),"")</f>
        <v/>
      </c>
    </row>
    <row r="6140">
      <c r="A6140">
        <f>IFERROR(INDEX('Email Cleaner'!$B$2:$B$10001,MATCH(6139,'Email Cleaner'!$K$2:$K$10001,0)),"")</f>
        <v/>
      </c>
    </row>
    <row r="6141">
      <c r="A6141">
        <f>IFERROR(INDEX('Email Cleaner'!$B$2:$B$10001,MATCH(6140,'Email Cleaner'!$K$2:$K$10001,0)),"")</f>
        <v/>
      </c>
    </row>
    <row r="6142">
      <c r="A6142">
        <f>IFERROR(INDEX('Email Cleaner'!$B$2:$B$10001,MATCH(6141,'Email Cleaner'!$K$2:$K$10001,0)),"")</f>
        <v/>
      </c>
    </row>
    <row r="6143">
      <c r="A6143">
        <f>IFERROR(INDEX('Email Cleaner'!$B$2:$B$10001,MATCH(6142,'Email Cleaner'!$K$2:$K$10001,0)),"")</f>
        <v/>
      </c>
    </row>
    <row r="6144">
      <c r="A6144">
        <f>IFERROR(INDEX('Email Cleaner'!$B$2:$B$10001,MATCH(6143,'Email Cleaner'!$K$2:$K$10001,0)),"")</f>
        <v/>
      </c>
    </row>
    <row r="6145">
      <c r="A6145">
        <f>IFERROR(INDEX('Email Cleaner'!$B$2:$B$10001,MATCH(6144,'Email Cleaner'!$K$2:$K$10001,0)),"")</f>
        <v/>
      </c>
    </row>
    <row r="6146">
      <c r="A6146">
        <f>IFERROR(INDEX('Email Cleaner'!$B$2:$B$10001,MATCH(6145,'Email Cleaner'!$K$2:$K$10001,0)),"")</f>
        <v/>
      </c>
    </row>
    <row r="6147">
      <c r="A6147">
        <f>IFERROR(INDEX('Email Cleaner'!$B$2:$B$10001,MATCH(6146,'Email Cleaner'!$K$2:$K$10001,0)),"")</f>
        <v/>
      </c>
    </row>
    <row r="6148">
      <c r="A6148">
        <f>IFERROR(INDEX('Email Cleaner'!$B$2:$B$10001,MATCH(6147,'Email Cleaner'!$K$2:$K$10001,0)),"")</f>
        <v/>
      </c>
    </row>
    <row r="6149">
      <c r="A6149">
        <f>IFERROR(INDEX('Email Cleaner'!$B$2:$B$10001,MATCH(6148,'Email Cleaner'!$K$2:$K$10001,0)),"")</f>
        <v/>
      </c>
    </row>
    <row r="6150">
      <c r="A6150">
        <f>IFERROR(INDEX('Email Cleaner'!$B$2:$B$10001,MATCH(6149,'Email Cleaner'!$K$2:$K$10001,0)),"")</f>
        <v/>
      </c>
    </row>
    <row r="6151">
      <c r="A6151">
        <f>IFERROR(INDEX('Email Cleaner'!$B$2:$B$10001,MATCH(6150,'Email Cleaner'!$K$2:$K$10001,0)),"")</f>
        <v/>
      </c>
    </row>
    <row r="6152">
      <c r="A6152">
        <f>IFERROR(INDEX('Email Cleaner'!$B$2:$B$10001,MATCH(6151,'Email Cleaner'!$K$2:$K$10001,0)),"")</f>
        <v/>
      </c>
    </row>
    <row r="6153">
      <c r="A6153">
        <f>IFERROR(INDEX('Email Cleaner'!$B$2:$B$10001,MATCH(6152,'Email Cleaner'!$K$2:$K$10001,0)),"")</f>
        <v/>
      </c>
    </row>
    <row r="6154">
      <c r="A6154">
        <f>IFERROR(INDEX('Email Cleaner'!$B$2:$B$10001,MATCH(6153,'Email Cleaner'!$K$2:$K$10001,0)),"")</f>
        <v/>
      </c>
    </row>
    <row r="6155">
      <c r="A6155">
        <f>IFERROR(INDEX('Email Cleaner'!$B$2:$B$10001,MATCH(6154,'Email Cleaner'!$K$2:$K$10001,0)),"")</f>
        <v/>
      </c>
    </row>
    <row r="6156">
      <c r="A6156">
        <f>IFERROR(INDEX('Email Cleaner'!$B$2:$B$10001,MATCH(6155,'Email Cleaner'!$K$2:$K$10001,0)),"")</f>
        <v/>
      </c>
    </row>
    <row r="6157">
      <c r="A6157">
        <f>IFERROR(INDEX('Email Cleaner'!$B$2:$B$10001,MATCH(6156,'Email Cleaner'!$K$2:$K$10001,0)),"")</f>
        <v/>
      </c>
    </row>
    <row r="6158">
      <c r="A6158">
        <f>IFERROR(INDEX('Email Cleaner'!$B$2:$B$10001,MATCH(6157,'Email Cleaner'!$K$2:$K$10001,0)),"")</f>
        <v/>
      </c>
    </row>
    <row r="6159">
      <c r="A6159">
        <f>IFERROR(INDEX('Email Cleaner'!$B$2:$B$10001,MATCH(6158,'Email Cleaner'!$K$2:$K$10001,0)),"")</f>
        <v/>
      </c>
    </row>
    <row r="6160">
      <c r="A6160">
        <f>IFERROR(INDEX('Email Cleaner'!$B$2:$B$10001,MATCH(6159,'Email Cleaner'!$K$2:$K$10001,0)),"")</f>
        <v/>
      </c>
    </row>
    <row r="6161">
      <c r="A6161">
        <f>IFERROR(INDEX('Email Cleaner'!$B$2:$B$10001,MATCH(6160,'Email Cleaner'!$K$2:$K$10001,0)),"")</f>
        <v/>
      </c>
    </row>
    <row r="6162">
      <c r="A6162">
        <f>IFERROR(INDEX('Email Cleaner'!$B$2:$B$10001,MATCH(6161,'Email Cleaner'!$K$2:$K$10001,0)),"")</f>
        <v/>
      </c>
    </row>
    <row r="6163">
      <c r="A6163">
        <f>IFERROR(INDEX('Email Cleaner'!$B$2:$B$10001,MATCH(6162,'Email Cleaner'!$K$2:$K$10001,0)),"")</f>
        <v/>
      </c>
    </row>
    <row r="6164">
      <c r="A6164">
        <f>IFERROR(INDEX('Email Cleaner'!$B$2:$B$10001,MATCH(6163,'Email Cleaner'!$K$2:$K$10001,0)),"")</f>
        <v/>
      </c>
    </row>
    <row r="6165">
      <c r="A6165">
        <f>IFERROR(INDEX('Email Cleaner'!$B$2:$B$10001,MATCH(6164,'Email Cleaner'!$K$2:$K$10001,0)),"")</f>
        <v/>
      </c>
    </row>
    <row r="6166">
      <c r="A6166">
        <f>IFERROR(INDEX('Email Cleaner'!$B$2:$B$10001,MATCH(6165,'Email Cleaner'!$K$2:$K$10001,0)),"")</f>
        <v/>
      </c>
    </row>
    <row r="6167">
      <c r="A6167">
        <f>IFERROR(INDEX('Email Cleaner'!$B$2:$B$10001,MATCH(6166,'Email Cleaner'!$K$2:$K$10001,0)),"")</f>
        <v/>
      </c>
    </row>
    <row r="6168">
      <c r="A6168">
        <f>IFERROR(INDEX('Email Cleaner'!$B$2:$B$10001,MATCH(6167,'Email Cleaner'!$K$2:$K$10001,0)),"")</f>
        <v/>
      </c>
    </row>
    <row r="6169">
      <c r="A6169">
        <f>IFERROR(INDEX('Email Cleaner'!$B$2:$B$10001,MATCH(6168,'Email Cleaner'!$K$2:$K$10001,0)),"")</f>
        <v/>
      </c>
    </row>
    <row r="6170">
      <c r="A6170">
        <f>IFERROR(INDEX('Email Cleaner'!$B$2:$B$10001,MATCH(6169,'Email Cleaner'!$K$2:$K$10001,0)),"")</f>
        <v/>
      </c>
    </row>
    <row r="6171">
      <c r="A6171">
        <f>IFERROR(INDEX('Email Cleaner'!$B$2:$B$10001,MATCH(6170,'Email Cleaner'!$K$2:$K$10001,0)),"")</f>
        <v/>
      </c>
    </row>
    <row r="6172">
      <c r="A6172">
        <f>IFERROR(INDEX('Email Cleaner'!$B$2:$B$10001,MATCH(6171,'Email Cleaner'!$K$2:$K$10001,0)),"")</f>
        <v/>
      </c>
    </row>
    <row r="6173">
      <c r="A6173">
        <f>IFERROR(INDEX('Email Cleaner'!$B$2:$B$10001,MATCH(6172,'Email Cleaner'!$K$2:$K$10001,0)),"")</f>
        <v/>
      </c>
    </row>
    <row r="6174">
      <c r="A6174">
        <f>IFERROR(INDEX('Email Cleaner'!$B$2:$B$10001,MATCH(6173,'Email Cleaner'!$K$2:$K$10001,0)),"")</f>
        <v/>
      </c>
    </row>
    <row r="6175">
      <c r="A6175">
        <f>IFERROR(INDEX('Email Cleaner'!$B$2:$B$10001,MATCH(6174,'Email Cleaner'!$K$2:$K$10001,0)),"")</f>
        <v/>
      </c>
    </row>
    <row r="6176">
      <c r="A6176">
        <f>IFERROR(INDEX('Email Cleaner'!$B$2:$B$10001,MATCH(6175,'Email Cleaner'!$K$2:$K$10001,0)),"")</f>
        <v/>
      </c>
    </row>
    <row r="6177">
      <c r="A6177">
        <f>IFERROR(INDEX('Email Cleaner'!$B$2:$B$10001,MATCH(6176,'Email Cleaner'!$K$2:$K$10001,0)),"")</f>
        <v/>
      </c>
    </row>
    <row r="6178">
      <c r="A6178">
        <f>IFERROR(INDEX('Email Cleaner'!$B$2:$B$10001,MATCH(6177,'Email Cleaner'!$K$2:$K$10001,0)),"")</f>
        <v/>
      </c>
    </row>
    <row r="6179">
      <c r="A6179">
        <f>IFERROR(INDEX('Email Cleaner'!$B$2:$B$10001,MATCH(6178,'Email Cleaner'!$K$2:$K$10001,0)),"")</f>
        <v/>
      </c>
    </row>
    <row r="6180">
      <c r="A6180">
        <f>IFERROR(INDEX('Email Cleaner'!$B$2:$B$10001,MATCH(6179,'Email Cleaner'!$K$2:$K$10001,0)),"")</f>
        <v/>
      </c>
    </row>
    <row r="6181">
      <c r="A6181">
        <f>IFERROR(INDEX('Email Cleaner'!$B$2:$B$10001,MATCH(6180,'Email Cleaner'!$K$2:$K$10001,0)),"")</f>
        <v/>
      </c>
    </row>
    <row r="6182">
      <c r="A6182">
        <f>IFERROR(INDEX('Email Cleaner'!$B$2:$B$10001,MATCH(6181,'Email Cleaner'!$K$2:$K$10001,0)),"")</f>
        <v/>
      </c>
    </row>
    <row r="6183">
      <c r="A6183">
        <f>IFERROR(INDEX('Email Cleaner'!$B$2:$B$10001,MATCH(6182,'Email Cleaner'!$K$2:$K$10001,0)),"")</f>
        <v/>
      </c>
    </row>
    <row r="6184">
      <c r="A6184">
        <f>IFERROR(INDEX('Email Cleaner'!$B$2:$B$10001,MATCH(6183,'Email Cleaner'!$K$2:$K$10001,0)),"")</f>
        <v/>
      </c>
    </row>
    <row r="6185">
      <c r="A6185">
        <f>IFERROR(INDEX('Email Cleaner'!$B$2:$B$10001,MATCH(6184,'Email Cleaner'!$K$2:$K$10001,0)),"")</f>
        <v/>
      </c>
    </row>
    <row r="6186">
      <c r="A6186">
        <f>IFERROR(INDEX('Email Cleaner'!$B$2:$B$10001,MATCH(6185,'Email Cleaner'!$K$2:$K$10001,0)),"")</f>
        <v/>
      </c>
    </row>
    <row r="6187">
      <c r="A6187">
        <f>IFERROR(INDEX('Email Cleaner'!$B$2:$B$10001,MATCH(6186,'Email Cleaner'!$K$2:$K$10001,0)),"")</f>
        <v/>
      </c>
    </row>
    <row r="6188">
      <c r="A6188">
        <f>IFERROR(INDEX('Email Cleaner'!$B$2:$B$10001,MATCH(6187,'Email Cleaner'!$K$2:$K$10001,0)),"")</f>
        <v/>
      </c>
    </row>
    <row r="6189">
      <c r="A6189">
        <f>IFERROR(INDEX('Email Cleaner'!$B$2:$B$10001,MATCH(6188,'Email Cleaner'!$K$2:$K$10001,0)),"")</f>
        <v/>
      </c>
    </row>
    <row r="6190">
      <c r="A6190">
        <f>IFERROR(INDEX('Email Cleaner'!$B$2:$B$10001,MATCH(6189,'Email Cleaner'!$K$2:$K$10001,0)),"")</f>
        <v/>
      </c>
    </row>
    <row r="6191">
      <c r="A6191">
        <f>IFERROR(INDEX('Email Cleaner'!$B$2:$B$10001,MATCH(6190,'Email Cleaner'!$K$2:$K$10001,0)),"")</f>
        <v/>
      </c>
    </row>
    <row r="6192">
      <c r="A6192">
        <f>IFERROR(INDEX('Email Cleaner'!$B$2:$B$10001,MATCH(6191,'Email Cleaner'!$K$2:$K$10001,0)),"")</f>
        <v/>
      </c>
    </row>
    <row r="6193">
      <c r="A6193">
        <f>IFERROR(INDEX('Email Cleaner'!$B$2:$B$10001,MATCH(6192,'Email Cleaner'!$K$2:$K$10001,0)),"")</f>
        <v/>
      </c>
    </row>
    <row r="6194">
      <c r="A6194">
        <f>IFERROR(INDEX('Email Cleaner'!$B$2:$B$10001,MATCH(6193,'Email Cleaner'!$K$2:$K$10001,0)),"")</f>
        <v/>
      </c>
    </row>
    <row r="6195">
      <c r="A6195">
        <f>IFERROR(INDEX('Email Cleaner'!$B$2:$B$10001,MATCH(6194,'Email Cleaner'!$K$2:$K$10001,0)),"")</f>
        <v/>
      </c>
    </row>
    <row r="6196">
      <c r="A6196">
        <f>IFERROR(INDEX('Email Cleaner'!$B$2:$B$10001,MATCH(6195,'Email Cleaner'!$K$2:$K$10001,0)),"")</f>
        <v/>
      </c>
    </row>
    <row r="6197">
      <c r="A6197">
        <f>IFERROR(INDEX('Email Cleaner'!$B$2:$B$10001,MATCH(6196,'Email Cleaner'!$K$2:$K$10001,0)),"")</f>
        <v/>
      </c>
    </row>
    <row r="6198">
      <c r="A6198">
        <f>IFERROR(INDEX('Email Cleaner'!$B$2:$B$10001,MATCH(6197,'Email Cleaner'!$K$2:$K$10001,0)),"")</f>
        <v/>
      </c>
    </row>
    <row r="6199">
      <c r="A6199">
        <f>IFERROR(INDEX('Email Cleaner'!$B$2:$B$10001,MATCH(6198,'Email Cleaner'!$K$2:$K$10001,0)),"")</f>
        <v/>
      </c>
    </row>
    <row r="6200">
      <c r="A6200">
        <f>IFERROR(INDEX('Email Cleaner'!$B$2:$B$10001,MATCH(6199,'Email Cleaner'!$K$2:$K$10001,0)),"")</f>
        <v/>
      </c>
    </row>
    <row r="6201">
      <c r="A6201">
        <f>IFERROR(INDEX('Email Cleaner'!$B$2:$B$10001,MATCH(6200,'Email Cleaner'!$K$2:$K$10001,0)),"")</f>
        <v/>
      </c>
    </row>
    <row r="6202">
      <c r="A6202">
        <f>IFERROR(INDEX('Email Cleaner'!$B$2:$B$10001,MATCH(6201,'Email Cleaner'!$K$2:$K$10001,0)),"")</f>
        <v/>
      </c>
    </row>
    <row r="6203">
      <c r="A6203">
        <f>IFERROR(INDEX('Email Cleaner'!$B$2:$B$10001,MATCH(6202,'Email Cleaner'!$K$2:$K$10001,0)),"")</f>
        <v/>
      </c>
    </row>
    <row r="6204">
      <c r="A6204">
        <f>IFERROR(INDEX('Email Cleaner'!$B$2:$B$10001,MATCH(6203,'Email Cleaner'!$K$2:$K$10001,0)),"")</f>
        <v/>
      </c>
    </row>
    <row r="6205">
      <c r="A6205">
        <f>IFERROR(INDEX('Email Cleaner'!$B$2:$B$10001,MATCH(6204,'Email Cleaner'!$K$2:$K$10001,0)),"")</f>
        <v/>
      </c>
    </row>
    <row r="6206">
      <c r="A6206">
        <f>IFERROR(INDEX('Email Cleaner'!$B$2:$B$10001,MATCH(6205,'Email Cleaner'!$K$2:$K$10001,0)),"")</f>
        <v/>
      </c>
    </row>
    <row r="6207">
      <c r="A6207">
        <f>IFERROR(INDEX('Email Cleaner'!$B$2:$B$10001,MATCH(6206,'Email Cleaner'!$K$2:$K$10001,0)),"")</f>
        <v/>
      </c>
    </row>
    <row r="6208">
      <c r="A6208">
        <f>IFERROR(INDEX('Email Cleaner'!$B$2:$B$10001,MATCH(6207,'Email Cleaner'!$K$2:$K$10001,0)),"")</f>
        <v/>
      </c>
    </row>
    <row r="6209">
      <c r="A6209">
        <f>IFERROR(INDEX('Email Cleaner'!$B$2:$B$10001,MATCH(6208,'Email Cleaner'!$K$2:$K$10001,0)),"")</f>
        <v/>
      </c>
    </row>
    <row r="6210">
      <c r="A6210">
        <f>IFERROR(INDEX('Email Cleaner'!$B$2:$B$10001,MATCH(6209,'Email Cleaner'!$K$2:$K$10001,0)),"")</f>
        <v/>
      </c>
    </row>
    <row r="6211">
      <c r="A6211">
        <f>IFERROR(INDEX('Email Cleaner'!$B$2:$B$10001,MATCH(6210,'Email Cleaner'!$K$2:$K$10001,0)),"")</f>
        <v/>
      </c>
    </row>
    <row r="6212">
      <c r="A6212">
        <f>IFERROR(INDEX('Email Cleaner'!$B$2:$B$10001,MATCH(6211,'Email Cleaner'!$K$2:$K$10001,0)),"")</f>
        <v/>
      </c>
    </row>
    <row r="6213">
      <c r="A6213">
        <f>IFERROR(INDEX('Email Cleaner'!$B$2:$B$10001,MATCH(6212,'Email Cleaner'!$K$2:$K$10001,0)),"")</f>
        <v/>
      </c>
    </row>
    <row r="6214">
      <c r="A6214">
        <f>IFERROR(INDEX('Email Cleaner'!$B$2:$B$10001,MATCH(6213,'Email Cleaner'!$K$2:$K$10001,0)),"")</f>
        <v/>
      </c>
    </row>
    <row r="6215">
      <c r="A6215">
        <f>IFERROR(INDEX('Email Cleaner'!$B$2:$B$10001,MATCH(6214,'Email Cleaner'!$K$2:$K$10001,0)),"")</f>
        <v/>
      </c>
    </row>
    <row r="6216">
      <c r="A6216">
        <f>IFERROR(INDEX('Email Cleaner'!$B$2:$B$10001,MATCH(6215,'Email Cleaner'!$K$2:$K$10001,0)),"")</f>
        <v/>
      </c>
    </row>
    <row r="6217">
      <c r="A6217">
        <f>IFERROR(INDEX('Email Cleaner'!$B$2:$B$10001,MATCH(6216,'Email Cleaner'!$K$2:$K$10001,0)),"")</f>
        <v/>
      </c>
    </row>
    <row r="6218">
      <c r="A6218">
        <f>IFERROR(INDEX('Email Cleaner'!$B$2:$B$10001,MATCH(6217,'Email Cleaner'!$K$2:$K$10001,0)),"")</f>
        <v/>
      </c>
    </row>
    <row r="6219">
      <c r="A6219">
        <f>IFERROR(INDEX('Email Cleaner'!$B$2:$B$10001,MATCH(6218,'Email Cleaner'!$K$2:$K$10001,0)),"")</f>
        <v/>
      </c>
    </row>
    <row r="6220">
      <c r="A6220">
        <f>IFERROR(INDEX('Email Cleaner'!$B$2:$B$10001,MATCH(6219,'Email Cleaner'!$K$2:$K$10001,0)),"")</f>
        <v/>
      </c>
    </row>
    <row r="6221">
      <c r="A6221">
        <f>IFERROR(INDEX('Email Cleaner'!$B$2:$B$10001,MATCH(6220,'Email Cleaner'!$K$2:$K$10001,0)),"")</f>
        <v/>
      </c>
    </row>
    <row r="6222">
      <c r="A6222">
        <f>IFERROR(INDEX('Email Cleaner'!$B$2:$B$10001,MATCH(6221,'Email Cleaner'!$K$2:$K$10001,0)),"")</f>
        <v/>
      </c>
    </row>
    <row r="6223">
      <c r="A6223">
        <f>IFERROR(INDEX('Email Cleaner'!$B$2:$B$10001,MATCH(6222,'Email Cleaner'!$K$2:$K$10001,0)),"")</f>
        <v/>
      </c>
    </row>
    <row r="6224">
      <c r="A6224">
        <f>IFERROR(INDEX('Email Cleaner'!$B$2:$B$10001,MATCH(6223,'Email Cleaner'!$K$2:$K$10001,0)),"")</f>
        <v/>
      </c>
    </row>
    <row r="6225">
      <c r="A6225">
        <f>IFERROR(INDEX('Email Cleaner'!$B$2:$B$10001,MATCH(6224,'Email Cleaner'!$K$2:$K$10001,0)),"")</f>
        <v/>
      </c>
    </row>
    <row r="6226">
      <c r="A6226">
        <f>IFERROR(INDEX('Email Cleaner'!$B$2:$B$10001,MATCH(6225,'Email Cleaner'!$K$2:$K$10001,0)),"")</f>
        <v/>
      </c>
    </row>
    <row r="6227">
      <c r="A6227">
        <f>IFERROR(INDEX('Email Cleaner'!$B$2:$B$10001,MATCH(6226,'Email Cleaner'!$K$2:$K$10001,0)),"")</f>
        <v/>
      </c>
    </row>
    <row r="6228">
      <c r="A6228">
        <f>IFERROR(INDEX('Email Cleaner'!$B$2:$B$10001,MATCH(6227,'Email Cleaner'!$K$2:$K$10001,0)),"")</f>
        <v/>
      </c>
    </row>
    <row r="6229">
      <c r="A6229">
        <f>IFERROR(INDEX('Email Cleaner'!$B$2:$B$10001,MATCH(6228,'Email Cleaner'!$K$2:$K$10001,0)),"")</f>
        <v/>
      </c>
    </row>
    <row r="6230">
      <c r="A6230">
        <f>IFERROR(INDEX('Email Cleaner'!$B$2:$B$10001,MATCH(6229,'Email Cleaner'!$K$2:$K$10001,0)),"")</f>
        <v/>
      </c>
    </row>
    <row r="6231">
      <c r="A6231">
        <f>IFERROR(INDEX('Email Cleaner'!$B$2:$B$10001,MATCH(6230,'Email Cleaner'!$K$2:$K$10001,0)),"")</f>
        <v/>
      </c>
    </row>
    <row r="6232">
      <c r="A6232">
        <f>IFERROR(INDEX('Email Cleaner'!$B$2:$B$10001,MATCH(6231,'Email Cleaner'!$K$2:$K$10001,0)),"")</f>
        <v/>
      </c>
    </row>
    <row r="6233">
      <c r="A6233">
        <f>IFERROR(INDEX('Email Cleaner'!$B$2:$B$10001,MATCH(6232,'Email Cleaner'!$K$2:$K$10001,0)),"")</f>
        <v/>
      </c>
    </row>
    <row r="6234">
      <c r="A6234">
        <f>IFERROR(INDEX('Email Cleaner'!$B$2:$B$10001,MATCH(6233,'Email Cleaner'!$K$2:$K$10001,0)),"")</f>
        <v/>
      </c>
    </row>
    <row r="6235">
      <c r="A6235">
        <f>IFERROR(INDEX('Email Cleaner'!$B$2:$B$10001,MATCH(6234,'Email Cleaner'!$K$2:$K$10001,0)),"")</f>
        <v/>
      </c>
    </row>
    <row r="6236">
      <c r="A6236">
        <f>IFERROR(INDEX('Email Cleaner'!$B$2:$B$10001,MATCH(6235,'Email Cleaner'!$K$2:$K$10001,0)),"")</f>
        <v/>
      </c>
    </row>
    <row r="6237">
      <c r="A6237">
        <f>IFERROR(INDEX('Email Cleaner'!$B$2:$B$10001,MATCH(6236,'Email Cleaner'!$K$2:$K$10001,0)),"")</f>
        <v/>
      </c>
    </row>
    <row r="6238">
      <c r="A6238">
        <f>IFERROR(INDEX('Email Cleaner'!$B$2:$B$10001,MATCH(6237,'Email Cleaner'!$K$2:$K$10001,0)),"")</f>
        <v/>
      </c>
    </row>
    <row r="6239">
      <c r="A6239">
        <f>IFERROR(INDEX('Email Cleaner'!$B$2:$B$10001,MATCH(6238,'Email Cleaner'!$K$2:$K$10001,0)),"")</f>
        <v/>
      </c>
    </row>
    <row r="6240">
      <c r="A6240">
        <f>IFERROR(INDEX('Email Cleaner'!$B$2:$B$10001,MATCH(6239,'Email Cleaner'!$K$2:$K$10001,0)),"")</f>
        <v/>
      </c>
    </row>
    <row r="6241">
      <c r="A6241">
        <f>IFERROR(INDEX('Email Cleaner'!$B$2:$B$10001,MATCH(6240,'Email Cleaner'!$K$2:$K$10001,0)),"")</f>
        <v/>
      </c>
    </row>
    <row r="6242">
      <c r="A6242">
        <f>IFERROR(INDEX('Email Cleaner'!$B$2:$B$10001,MATCH(6241,'Email Cleaner'!$K$2:$K$10001,0)),"")</f>
        <v/>
      </c>
    </row>
    <row r="6243">
      <c r="A6243">
        <f>IFERROR(INDEX('Email Cleaner'!$B$2:$B$10001,MATCH(6242,'Email Cleaner'!$K$2:$K$10001,0)),"")</f>
        <v/>
      </c>
    </row>
    <row r="6244">
      <c r="A6244">
        <f>IFERROR(INDEX('Email Cleaner'!$B$2:$B$10001,MATCH(6243,'Email Cleaner'!$K$2:$K$10001,0)),"")</f>
        <v/>
      </c>
    </row>
    <row r="6245">
      <c r="A6245">
        <f>IFERROR(INDEX('Email Cleaner'!$B$2:$B$10001,MATCH(6244,'Email Cleaner'!$K$2:$K$10001,0)),"")</f>
        <v/>
      </c>
    </row>
    <row r="6246">
      <c r="A6246">
        <f>IFERROR(INDEX('Email Cleaner'!$B$2:$B$10001,MATCH(6245,'Email Cleaner'!$K$2:$K$10001,0)),"")</f>
        <v/>
      </c>
    </row>
    <row r="6247">
      <c r="A6247">
        <f>IFERROR(INDEX('Email Cleaner'!$B$2:$B$10001,MATCH(6246,'Email Cleaner'!$K$2:$K$10001,0)),"")</f>
        <v/>
      </c>
    </row>
    <row r="6248">
      <c r="A6248">
        <f>IFERROR(INDEX('Email Cleaner'!$B$2:$B$10001,MATCH(6247,'Email Cleaner'!$K$2:$K$10001,0)),"")</f>
        <v/>
      </c>
    </row>
    <row r="6249">
      <c r="A6249">
        <f>IFERROR(INDEX('Email Cleaner'!$B$2:$B$10001,MATCH(6248,'Email Cleaner'!$K$2:$K$10001,0)),"")</f>
        <v/>
      </c>
    </row>
    <row r="6250">
      <c r="A6250">
        <f>IFERROR(INDEX('Email Cleaner'!$B$2:$B$10001,MATCH(6249,'Email Cleaner'!$K$2:$K$10001,0)),"")</f>
        <v/>
      </c>
    </row>
    <row r="6251">
      <c r="A6251">
        <f>IFERROR(INDEX('Email Cleaner'!$B$2:$B$10001,MATCH(6250,'Email Cleaner'!$K$2:$K$10001,0)),"")</f>
        <v/>
      </c>
    </row>
    <row r="6252">
      <c r="A6252">
        <f>IFERROR(INDEX('Email Cleaner'!$B$2:$B$10001,MATCH(6251,'Email Cleaner'!$K$2:$K$10001,0)),"")</f>
        <v/>
      </c>
    </row>
    <row r="6253">
      <c r="A6253">
        <f>IFERROR(INDEX('Email Cleaner'!$B$2:$B$10001,MATCH(6252,'Email Cleaner'!$K$2:$K$10001,0)),"")</f>
        <v/>
      </c>
    </row>
    <row r="6254">
      <c r="A6254">
        <f>IFERROR(INDEX('Email Cleaner'!$B$2:$B$10001,MATCH(6253,'Email Cleaner'!$K$2:$K$10001,0)),"")</f>
        <v/>
      </c>
    </row>
    <row r="6255">
      <c r="A6255">
        <f>IFERROR(INDEX('Email Cleaner'!$B$2:$B$10001,MATCH(6254,'Email Cleaner'!$K$2:$K$10001,0)),"")</f>
        <v/>
      </c>
    </row>
    <row r="6256">
      <c r="A6256">
        <f>IFERROR(INDEX('Email Cleaner'!$B$2:$B$10001,MATCH(6255,'Email Cleaner'!$K$2:$K$10001,0)),"")</f>
        <v/>
      </c>
    </row>
    <row r="6257">
      <c r="A6257">
        <f>IFERROR(INDEX('Email Cleaner'!$B$2:$B$10001,MATCH(6256,'Email Cleaner'!$K$2:$K$10001,0)),"")</f>
        <v/>
      </c>
    </row>
    <row r="6258">
      <c r="A6258">
        <f>IFERROR(INDEX('Email Cleaner'!$B$2:$B$10001,MATCH(6257,'Email Cleaner'!$K$2:$K$10001,0)),"")</f>
        <v/>
      </c>
    </row>
    <row r="6259">
      <c r="A6259">
        <f>IFERROR(INDEX('Email Cleaner'!$B$2:$B$10001,MATCH(6258,'Email Cleaner'!$K$2:$K$10001,0)),"")</f>
        <v/>
      </c>
    </row>
    <row r="6260">
      <c r="A6260">
        <f>IFERROR(INDEX('Email Cleaner'!$B$2:$B$10001,MATCH(6259,'Email Cleaner'!$K$2:$K$10001,0)),"")</f>
        <v/>
      </c>
    </row>
    <row r="6261">
      <c r="A6261">
        <f>IFERROR(INDEX('Email Cleaner'!$B$2:$B$10001,MATCH(6260,'Email Cleaner'!$K$2:$K$10001,0)),"")</f>
        <v/>
      </c>
    </row>
    <row r="6262">
      <c r="A6262">
        <f>IFERROR(INDEX('Email Cleaner'!$B$2:$B$10001,MATCH(6261,'Email Cleaner'!$K$2:$K$10001,0)),"")</f>
        <v/>
      </c>
    </row>
    <row r="6263">
      <c r="A6263">
        <f>IFERROR(INDEX('Email Cleaner'!$B$2:$B$10001,MATCH(6262,'Email Cleaner'!$K$2:$K$10001,0)),"")</f>
        <v/>
      </c>
    </row>
    <row r="6264">
      <c r="A6264">
        <f>IFERROR(INDEX('Email Cleaner'!$B$2:$B$10001,MATCH(6263,'Email Cleaner'!$K$2:$K$10001,0)),"")</f>
        <v/>
      </c>
    </row>
    <row r="6265">
      <c r="A6265">
        <f>IFERROR(INDEX('Email Cleaner'!$B$2:$B$10001,MATCH(6264,'Email Cleaner'!$K$2:$K$10001,0)),"")</f>
        <v/>
      </c>
    </row>
    <row r="6266">
      <c r="A6266">
        <f>IFERROR(INDEX('Email Cleaner'!$B$2:$B$10001,MATCH(6265,'Email Cleaner'!$K$2:$K$10001,0)),"")</f>
        <v/>
      </c>
    </row>
    <row r="6267">
      <c r="A6267">
        <f>IFERROR(INDEX('Email Cleaner'!$B$2:$B$10001,MATCH(6266,'Email Cleaner'!$K$2:$K$10001,0)),"")</f>
        <v/>
      </c>
    </row>
    <row r="6268">
      <c r="A6268">
        <f>IFERROR(INDEX('Email Cleaner'!$B$2:$B$10001,MATCH(6267,'Email Cleaner'!$K$2:$K$10001,0)),"")</f>
        <v/>
      </c>
    </row>
    <row r="6269">
      <c r="A6269">
        <f>IFERROR(INDEX('Email Cleaner'!$B$2:$B$10001,MATCH(6268,'Email Cleaner'!$K$2:$K$10001,0)),"")</f>
        <v/>
      </c>
    </row>
    <row r="6270">
      <c r="A6270">
        <f>IFERROR(INDEX('Email Cleaner'!$B$2:$B$10001,MATCH(6269,'Email Cleaner'!$K$2:$K$10001,0)),"")</f>
        <v/>
      </c>
    </row>
    <row r="6271">
      <c r="A6271">
        <f>IFERROR(INDEX('Email Cleaner'!$B$2:$B$10001,MATCH(6270,'Email Cleaner'!$K$2:$K$10001,0)),"")</f>
        <v/>
      </c>
    </row>
    <row r="6272">
      <c r="A6272">
        <f>IFERROR(INDEX('Email Cleaner'!$B$2:$B$10001,MATCH(6271,'Email Cleaner'!$K$2:$K$10001,0)),"")</f>
        <v/>
      </c>
    </row>
    <row r="6273">
      <c r="A6273">
        <f>IFERROR(INDEX('Email Cleaner'!$B$2:$B$10001,MATCH(6272,'Email Cleaner'!$K$2:$K$10001,0)),"")</f>
        <v/>
      </c>
    </row>
    <row r="6274">
      <c r="A6274">
        <f>IFERROR(INDEX('Email Cleaner'!$B$2:$B$10001,MATCH(6273,'Email Cleaner'!$K$2:$K$10001,0)),"")</f>
        <v/>
      </c>
    </row>
    <row r="6275">
      <c r="A6275">
        <f>IFERROR(INDEX('Email Cleaner'!$B$2:$B$10001,MATCH(6274,'Email Cleaner'!$K$2:$K$10001,0)),"")</f>
        <v/>
      </c>
    </row>
    <row r="6276">
      <c r="A6276">
        <f>IFERROR(INDEX('Email Cleaner'!$B$2:$B$10001,MATCH(6275,'Email Cleaner'!$K$2:$K$10001,0)),"")</f>
        <v/>
      </c>
    </row>
    <row r="6277">
      <c r="A6277">
        <f>IFERROR(INDEX('Email Cleaner'!$B$2:$B$10001,MATCH(6276,'Email Cleaner'!$K$2:$K$10001,0)),"")</f>
        <v/>
      </c>
    </row>
    <row r="6278">
      <c r="A6278">
        <f>IFERROR(INDEX('Email Cleaner'!$B$2:$B$10001,MATCH(6277,'Email Cleaner'!$K$2:$K$10001,0)),"")</f>
        <v/>
      </c>
    </row>
    <row r="6279">
      <c r="A6279">
        <f>IFERROR(INDEX('Email Cleaner'!$B$2:$B$10001,MATCH(6278,'Email Cleaner'!$K$2:$K$10001,0)),"")</f>
        <v/>
      </c>
    </row>
    <row r="6280">
      <c r="A6280">
        <f>IFERROR(INDEX('Email Cleaner'!$B$2:$B$10001,MATCH(6279,'Email Cleaner'!$K$2:$K$10001,0)),"")</f>
        <v/>
      </c>
    </row>
    <row r="6281">
      <c r="A6281">
        <f>IFERROR(INDEX('Email Cleaner'!$B$2:$B$10001,MATCH(6280,'Email Cleaner'!$K$2:$K$10001,0)),"")</f>
        <v/>
      </c>
    </row>
    <row r="6282">
      <c r="A6282">
        <f>IFERROR(INDEX('Email Cleaner'!$B$2:$B$10001,MATCH(6281,'Email Cleaner'!$K$2:$K$10001,0)),"")</f>
        <v/>
      </c>
    </row>
    <row r="6283">
      <c r="A6283">
        <f>IFERROR(INDEX('Email Cleaner'!$B$2:$B$10001,MATCH(6282,'Email Cleaner'!$K$2:$K$10001,0)),"")</f>
        <v/>
      </c>
    </row>
    <row r="6284">
      <c r="A6284">
        <f>IFERROR(INDEX('Email Cleaner'!$B$2:$B$10001,MATCH(6283,'Email Cleaner'!$K$2:$K$10001,0)),"")</f>
        <v/>
      </c>
    </row>
    <row r="6285">
      <c r="A6285">
        <f>IFERROR(INDEX('Email Cleaner'!$B$2:$B$10001,MATCH(6284,'Email Cleaner'!$K$2:$K$10001,0)),"")</f>
        <v/>
      </c>
    </row>
    <row r="6286">
      <c r="A6286">
        <f>IFERROR(INDEX('Email Cleaner'!$B$2:$B$10001,MATCH(6285,'Email Cleaner'!$K$2:$K$10001,0)),"")</f>
        <v/>
      </c>
    </row>
    <row r="6287">
      <c r="A6287">
        <f>IFERROR(INDEX('Email Cleaner'!$B$2:$B$10001,MATCH(6286,'Email Cleaner'!$K$2:$K$10001,0)),"")</f>
        <v/>
      </c>
    </row>
    <row r="6288">
      <c r="A6288">
        <f>IFERROR(INDEX('Email Cleaner'!$B$2:$B$10001,MATCH(6287,'Email Cleaner'!$K$2:$K$10001,0)),"")</f>
        <v/>
      </c>
    </row>
    <row r="6289">
      <c r="A6289">
        <f>IFERROR(INDEX('Email Cleaner'!$B$2:$B$10001,MATCH(6288,'Email Cleaner'!$K$2:$K$10001,0)),"")</f>
        <v/>
      </c>
    </row>
    <row r="6290">
      <c r="A6290">
        <f>IFERROR(INDEX('Email Cleaner'!$B$2:$B$10001,MATCH(6289,'Email Cleaner'!$K$2:$K$10001,0)),"")</f>
        <v/>
      </c>
    </row>
    <row r="6291">
      <c r="A6291">
        <f>IFERROR(INDEX('Email Cleaner'!$B$2:$B$10001,MATCH(6290,'Email Cleaner'!$K$2:$K$10001,0)),"")</f>
        <v/>
      </c>
    </row>
    <row r="6292">
      <c r="A6292">
        <f>IFERROR(INDEX('Email Cleaner'!$B$2:$B$10001,MATCH(6291,'Email Cleaner'!$K$2:$K$10001,0)),"")</f>
        <v/>
      </c>
    </row>
    <row r="6293">
      <c r="A6293">
        <f>IFERROR(INDEX('Email Cleaner'!$B$2:$B$10001,MATCH(6292,'Email Cleaner'!$K$2:$K$10001,0)),"")</f>
        <v/>
      </c>
    </row>
    <row r="6294">
      <c r="A6294">
        <f>IFERROR(INDEX('Email Cleaner'!$B$2:$B$10001,MATCH(6293,'Email Cleaner'!$K$2:$K$10001,0)),"")</f>
        <v/>
      </c>
    </row>
    <row r="6295">
      <c r="A6295">
        <f>IFERROR(INDEX('Email Cleaner'!$B$2:$B$10001,MATCH(6294,'Email Cleaner'!$K$2:$K$10001,0)),"")</f>
        <v/>
      </c>
    </row>
    <row r="6296">
      <c r="A6296">
        <f>IFERROR(INDEX('Email Cleaner'!$B$2:$B$10001,MATCH(6295,'Email Cleaner'!$K$2:$K$10001,0)),"")</f>
        <v/>
      </c>
    </row>
    <row r="6297">
      <c r="A6297">
        <f>IFERROR(INDEX('Email Cleaner'!$B$2:$B$10001,MATCH(6296,'Email Cleaner'!$K$2:$K$10001,0)),"")</f>
        <v/>
      </c>
    </row>
    <row r="6298">
      <c r="A6298">
        <f>IFERROR(INDEX('Email Cleaner'!$B$2:$B$10001,MATCH(6297,'Email Cleaner'!$K$2:$K$10001,0)),"")</f>
        <v/>
      </c>
    </row>
    <row r="6299">
      <c r="A6299">
        <f>IFERROR(INDEX('Email Cleaner'!$B$2:$B$10001,MATCH(6298,'Email Cleaner'!$K$2:$K$10001,0)),"")</f>
        <v/>
      </c>
    </row>
    <row r="6300">
      <c r="A6300">
        <f>IFERROR(INDEX('Email Cleaner'!$B$2:$B$10001,MATCH(6299,'Email Cleaner'!$K$2:$K$10001,0)),"")</f>
        <v/>
      </c>
    </row>
    <row r="6301">
      <c r="A6301">
        <f>IFERROR(INDEX('Email Cleaner'!$B$2:$B$10001,MATCH(6300,'Email Cleaner'!$K$2:$K$10001,0)),"")</f>
        <v/>
      </c>
    </row>
    <row r="6302">
      <c r="A6302">
        <f>IFERROR(INDEX('Email Cleaner'!$B$2:$B$10001,MATCH(6301,'Email Cleaner'!$K$2:$K$10001,0)),"")</f>
        <v/>
      </c>
    </row>
    <row r="6303">
      <c r="A6303">
        <f>IFERROR(INDEX('Email Cleaner'!$B$2:$B$10001,MATCH(6302,'Email Cleaner'!$K$2:$K$10001,0)),"")</f>
        <v/>
      </c>
    </row>
    <row r="6304">
      <c r="A6304">
        <f>IFERROR(INDEX('Email Cleaner'!$B$2:$B$10001,MATCH(6303,'Email Cleaner'!$K$2:$K$10001,0)),"")</f>
        <v/>
      </c>
    </row>
    <row r="6305">
      <c r="A6305">
        <f>IFERROR(INDEX('Email Cleaner'!$B$2:$B$10001,MATCH(6304,'Email Cleaner'!$K$2:$K$10001,0)),"")</f>
        <v/>
      </c>
    </row>
    <row r="6306">
      <c r="A6306">
        <f>IFERROR(INDEX('Email Cleaner'!$B$2:$B$10001,MATCH(6305,'Email Cleaner'!$K$2:$K$10001,0)),"")</f>
        <v/>
      </c>
    </row>
    <row r="6307">
      <c r="A6307">
        <f>IFERROR(INDEX('Email Cleaner'!$B$2:$B$10001,MATCH(6306,'Email Cleaner'!$K$2:$K$10001,0)),"")</f>
        <v/>
      </c>
    </row>
    <row r="6308">
      <c r="A6308">
        <f>IFERROR(INDEX('Email Cleaner'!$B$2:$B$10001,MATCH(6307,'Email Cleaner'!$K$2:$K$10001,0)),"")</f>
        <v/>
      </c>
    </row>
    <row r="6309">
      <c r="A6309">
        <f>IFERROR(INDEX('Email Cleaner'!$B$2:$B$10001,MATCH(6308,'Email Cleaner'!$K$2:$K$10001,0)),"")</f>
        <v/>
      </c>
    </row>
    <row r="6310">
      <c r="A6310">
        <f>IFERROR(INDEX('Email Cleaner'!$B$2:$B$10001,MATCH(6309,'Email Cleaner'!$K$2:$K$10001,0)),"")</f>
        <v/>
      </c>
    </row>
    <row r="6311">
      <c r="A6311">
        <f>IFERROR(INDEX('Email Cleaner'!$B$2:$B$10001,MATCH(6310,'Email Cleaner'!$K$2:$K$10001,0)),"")</f>
        <v/>
      </c>
    </row>
    <row r="6312">
      <c r="A6312">
        <f>IFERROR(INDEX('Email Cleaner'!$B$2:$B$10001,MATCH(6311,'Email Cleaner'!$K$2:$K$10001,0)),"")</f>
        <v/>
      </c>
    </row>
    <row r="6313">
      <c r="A6313">
        <f>IFERROR(INDEX('Email Cleaner'!$B$2:$B$10001,MATCH(6312,'Email Cleaner'!$K$2:$K$10001,0)),"")</f>
        <v/>
      </c>
    </row>
    <row r="6314">
      <c r="A6314">
        <f>IFERROR(INDEX('Email Cleaner'!$B$2:$B$10001,MATCH(6313,'Email Cleaner'!$K$2:$K$10001,0)),"")</f>
        <v/>
      </c>
    </row>
    <row r="6315">
      <c r="A6315">
        <f>IFERROR(INDEX('Email Cleaner'!$B$2:$B$10001,MATCH(6314,'Email Cleaner'!$K$2:$K$10001,0)),"")</f>
        <v/>
      </c>
    </row>
    <row r="6316">
      <c r="A6316">
        <f>IFERROR(INDEX('Email Cleaner'!$B$2:$B$10001,MATCH(6315,'Email Cleaner'!$K$2:$K$10001,0)),"")</f>
        <v/>
      </c>
    </row>
    <row r="6317">
      <c r="A6317">
        <f>IFERROR(INDEX('Email Cleaner'!$B$2:$B$10001,MATCH(6316,'Email Cleaner'!$K$2:$K$10001,0)),"")</f>
        <v/>
      </c>
    </row>
    <row r="6318">
      <c r="A6318">
        <f>IFERROR(INDEX('Email Cleaner'!$B$2:$B$10001,MATCH(6317,'Email Cleaner'!$K$2:$K$10001,0)),"")</f>
        <v/>
      </c>
    </row>
    <row r="6319">
      <c r="A6319">
        <f>IFERROR(INDEX('Email Cleaner'!$B$2:$B$10001,MATCH(6318,'Email Cleaner'!$K$2:$K$10001,0)),"")</f>
        <v/>
      </c>
    </row>
    <row r="6320">
      <c r="A6320">
        <f>IFERROR(INDEX('Email Cleaner'!$B$2:$B$10001,MATCH(6319,'Email Cleaner'!$K$2:$K$10001,0)),"")</f>
        <v/>
      </c>
    </row>
    <row r="6321">
      <c r="A6321">
        <f>IFERROR(INDEX('Email Cleaner'!$B$2:$B$10001,MATCH(6320,'Email Cleaner'!$K$2:$K$10001,0)),"")</f>
        <v/>
      </c>
    </row>
    <row r="6322">
      <c r="A6322">
        <f>IFERROR(INDEX('Email Cleaner'!$B$2:$B$10001,MATCH(6321,'Email Cleaner'!$K$2:$K$10001,0)),"")</f>
        <v/>
      </c>
    </row>
    <row r="6323">
      <c r="A6323">
        <f>IFERROR(INDEX('Email Cleaner'!$B$2:$B$10001,MATCH(6322,'Email Cleaner'!$K$2:$K$10001,0)),"")</f>
        <v/>
      </c>
    </row>
    <row r="6324">
      <c r="A6324">
        <f>IFERROR(INDEX('Email Cleaner'!$B$2:$B$10001,MATCH(6323,'Email Cleaner'!$K$2:$K$10001,0)),"")</f>
        <v/>
      </c>
    </row>
    <row r="6325">
      <c r="A6325">
        <f>IFERROR(INDEX('Email Cleaner'!$B$2:$B$10001,MATCH(6324,'Email Cleaner'!$K$2:$K$10001,0)),"")</f>
        <v/>
      </c>
    </row>
    <row r="6326">
      <c r="A6326">
        <f>IFERROR(INDEX('Email Cleaner'!$B$2:$B$10001,MATCH(6325,'Email Cleaner'!$K$2:$K$10001,0)),"")</f>
        <v/>
      </c>
    </row>
    <row r="6327">
      <c r="A6327">
        <f>IFERROR(INDEX('Email Cleaner'!$B$2:$B$10001,MATCH(6326,'Email Cleaner'!$K$2:$K$10001,0)),"")</f>
        <v/>
      </c>
    </row>
    <row r="6328">
      <c r="A6328">
        <f>IFERROR(INDEX('Email Cleaner'!$B$2:$B$10001,MATCH(6327,'Email Cleaner'!$K$2:$K$10001,0)),"")</f>
        <v/>
      </c>
    </row>
    <row r="6329">
      <c r="A6329">
        <f>IFERROR(INDEX('Email Cleaner'!$B$2:$B$10001,MATCH(6328,'Email Cleaner'!$K$2:$K$10001,0)),"")</f>
        <v/>
      </c>
    </row>
    <row r="6330">
      <c r="A6330">
        <f>IFERROR(INDEX('Email Cleaner'!$B$2:$B$10001,MATCH(6329,'Email Cleaner'!$K$2:$K$10001,0)),"")</f>
        <v/>
      </c>
    </row>
    <row r="6331">
      <c r="A6331">
        <f>IFERROR(INDEX('Email Cleaner'!$B$2:$B$10001,MATCH(6330,'Email Cleaner'!$K$2:$K$10001,0)),"")</f>
        <v/>
      </c>
    </row>
    <row r="6332">
      <c r="A6332">
        <f>IFERROR(INDEX('Email Cleaner'!$B$2:$B$10001,MATCH(6331,'Email Cleaner'!$K$2:$K$10001,0)),"")</f>
        <v/>
      </c>
    </row>
    <row r="6333">
      <c r="A6333">
        <f>IFERROR(INDEX('Email Cleaner'!$B$2:$B$10001,MATCH(6332,'Email Cleaner'!$K$2:$K$10001,0)),"")</f>
        <v/>
      </c>
    </row>
    <row r="6334">
      <c r="A6334">
        <f>IFERROR(INDEX('Email Cleaner'!$B$2:$B$10001,MATCH(6333,'Email Cleaner'!$K$2:$K$10001,0)),"")</f>
        <v/>
      </c>
    </row>
    <row r="6335">
      <c r="A6335">
        <f>IFERROR(INDEX('Email Cleaner'!$B$2:$B$10001,MATCH(6334,'Email Cleaner'!$K$2:$K$10001,0)),"")</f>
        <v/>
      </c>
    </row>
    <row r="6336">
      <c r="A6336">
        <f>IFERROR(INDEX('Email Cleaner'!$B$2:$B$10001,MATCH(6335,'Email Cleaner'!$K$2:$K$10001,0)),"")</f>
        <v/>
      </c>
    </row>
    <row r="6337">
      <c r="A6337">
        <f>IFERROR(INDEX('Email Cleaner'!$B$2:$B$10001,MATCH(6336,'Email Cleaner'!$K$2:$K$10001,0)),"")</f>
        <v/>
      </c>
    </row>
    <row r="6338">
      <c r="A6338">
        <f>IFERROR(INDEX('Email Cleaner'!$B$2:$B$10001,MATCH(6337,'Email Cleaner'!$K$2:$K$10001,0)),"")</f>
        <v/>
      </c>
    </row>
    <row r="6339">
      <c r="A6339">
        <f>IFERROR(INDEX('Email Cleaner'!$B$2:$B$10001,MATCH(6338,'Email Cleaner'!$K$2:$K$10001,0)),"")</f>
        <v/>
      </c>
    </row>
    <row r="6340">
      <c r="A6340">
        <f>IFERROR(INDEX('Email Cleaner'!$B$2:$B$10001,MATCH(6339,'Email Cleaner'!$K$2:$K$10001,0)),"")</f>
        <v/>
      </c>
    </row>
    <row r="6341">
      <c r="A6341">
        <f>IFERROR(INDEX('Email Cleaner'!$B$2:$B$10001,MATCH(6340,'Email Cleaner'!$K$2:$K$10001,0)),"")</f>
        <v/>
      </c>
    </row>
    <row r="6342">
      <c r="A6342">
        <f>IFERROR(INDEX('Email Cleaner'!$B$2:$B$10001,MATCH(6341,'Email Cleaner'!$K$2:$K$10001,0)),"")</f>
        <v/>
      </c>
    </row>
    <row r="6343">
      <c r="A6343">
        <f>IFERROR(INDEX('Email Cleaner'!$B$2:$B$10001,MATCH(6342,'Email Cleaner'!$K$2:$K$10001,0)),"")</f>
        <v/>
      </c>
    </row>
    <row r="6344">
      <c r="A6344">
        <f>IFERROR(INDEX('Email Cleaner'!$B$2:$B$10001,MATCH(6343,'Email Cleaner'!$K$2:$K$10001,0)),"")</f>
        <v/>
      </c>
    </row>
    <row r="6345">
      <c r="A6345">
        <f>IFERROR(INDEX('Email Cleaner'!$B$2:$B$10001,MATCH(6344,'Email Cleaner'!$K$2:$K$10001,0)),"")</f>
        <v/>
      </c>
    </row>
    <row r="6346">
      <c r="A6346">
        <f>IFERROR(INDEX('Email Cleaner'!$B$2:$B$10001,MATCH(6345,'Email Cleaner'!$K$2:$K$10001,0)),"")</f>
        <v/>
      </c>
    </row>
    <row r="6347">
      <c r="A6347">
        <f>IFERROR(INDEX('Email Cleaner'!$B$2:$B$10001,MATCH(6346,'Email Cleaner'!$K$2:$K$10001,0)),"")</f>
        <v/>
      </c>
    </row>
    <row r="6348">
      <c r="A6348">
        <f>IFERROR(INDEX('Email Cleaner'!$B$2:$B$10001,MATCH(6347,'Email Cleaner'!$K$2:$K$10001,0)),"")</f>
        <v/>
      </c>
    </row>
    <row r="6349">
      <c r="A6349">
        <f>IFERROR(INDEX('Email Cleaner'!$B$2:$B$10001,MATCH(6348,'Email Cleaner'!$K$2:$K$10001,0)),"")</f>
        <v/>
      </c>
    </row>
    <row r="6350">
      <c r="A6350">
        <f>IFERROR(INDEX('Email Cleaner'!$B$2:$B$10001,MATCH(6349,'Email Cleaner'!$K$2:$K$10001,0)),"")</f>
        <v/>
      </c>
    </row>
    <row r="6351">
      <c r="A6351">
        <f>IFERROR(INDEX('Email Cleaner'!$B$2:$B$10001,MATCH(6350,'Email Cleaner'!$K$2:$K$10001,0)),"")</f>
        <v/>
      </c>
    </row>
    <row r="6352">
      <c r="A6352">
        <f>IFERROR(INDEX('Email Cleaner'!$B$2:$B$10001,MATCH(6351,'Email Cleaner'!$K$2:$K$10001,0)),"")</f>
        <v/>
      </c>
    </row>
    <row r="6353">
      <c r="A6353">
        <f>IFERROR(INDEX('Email Cleaner'!$B$2:$B$10001,MATCH(6352,'Email Cleaner'!$K$2:$K$10001,0)),"")</f>
        <v/>
      </c>
    </row>
    <row r="6354">
      <c r="A6354">
        <f>IFERROR(INDEX('Email Cleaner'!$B$2:$B$10001,MATCH(6353,'Email Cleaner'!$K$2:$K$10001,0)),"")</f>
        <v/>
      </c>
    </row>
    <row r="6355">
      <c r="A6355">
        <f>IFERROR(INDEX('Email Cleaner'!$B$2:$B$10001,MATCH(6354,'Email Cleaner'!$K$2:$K$10001,0)),"")</f>
        <v/>
      </c>
    </row>
    <row r="6356">
      <c r="A6356">
        <f>IFERROR(INDEX('Email Cleaner'!$B$2:$B$10001,MATCH(6355,'Email Cleaner'!$K$2:$K$10001,0)),"")</f>
        <v/>
      </c>
    </row>
    <row r="6357">
      <c r="A6357">
        <f>IFERROR(INDEX('Email Cleaner'!$B$2:$B$10001,MATCH(6356,'Email Cleaner'!$K$2:$K$10001,0)),"")</f>
        <v/>
      </c>
    </row>
    <row r="6358">
      <c r="A6358">
        <f>IFERROR(INDEX('Email Cleaner'!$B$2:$B$10001,MATCH(6357,'Email Cleaner'!$K$2:$K$10001,0)),"")</f>
        <v/>
      </c>
    </row>
    <row r="6359">
      <c r="A6359">
        <f>IFERROR(INDEX('Email Cleaner'!$B$2:$B$10001,MATCH(6358,'Email Cleaner'!$K$2:$K$10001,0)),"")</f>
        <v/>
      </c>
    </row>
    <row r="6360">
      <c r="A6360">
        <f>IFERROR(INDEX('Email Cleaner'!$B$2:$B$10001,MATCH(6359,'Email Cleaner'!$K$2:$K$10001,0)),"")</f>
        <v/>
      </c>
    </row>
    <row r="6361">
      <c r="A6361">
        <f>IFERROR(INDEX('Email Cleaner'!$B$2:$B$10001,MATCH(6360,'Email Cleaner'!$K$2:$K$10001,0)),"")</f>
        <v/>
      </c>
    </row>
    <row r="6362">
      <c r="A6362">
        <f>IFERROR(INDEX('Email Cleaner'!$B$2:$B$10001,MATCH(6361,'Email Cleaner'!$K$2:$K$10001,0)),"")</f>
        <v/>
      </c>
    </row>
    <row r="6363">
      <c r="A6363">
        <f>IFERROR(INDEX('Email Cleaner'!$B$2:$B$10001,MATCH(6362,'Email Cleaner'!$K$2:$K$10001,0)),"")</f>
        <v/>
      </c>
    </row>
    <row r="6364">
      <c r="A6364">
        <f>IFERROR(INDEX('Email Cleaner'!$B$2:$B$10001,MATCH(6363,'Email Cleaner'!$K$2:$K$10001,0)),"")</f>
        <v/>
      </c>
    </row>
    <row r="6365">
      <c r="A6365">
        <f>IFERROR(INDEX('Email Cleaner'!$B$2:$B$10001,MATCH(6364,'Email Cleaner'!$K$2:$K$10001,0)),"")</f>
        <v/>
      </c>
    </row>
    <row r="6366">
      <c r="A6366">
        <f>IFERROR(INDEX('Email Cleaner'!$B$2:$B$10001,MATCH(6365,'Email Cleaner'!$K$2:$K$10001,0)),"")</f>
        <v/>
      </c>
    </row>
    <row r="6367">
      <c r="A6367">
        <f>IFERROR(INDEX('Email Cleaner'!$B$2:$B$10001,MATCH(6366,'Email Cleaner'!$K$2:$K$10001,0)),"")</f>
        <v/>
      </c>
    </row>
    <row r="6368">
      <c r="A6368">
        <f>IFERROR(INDEX('Email Cleaner'!$B$2:$B$10001,MATCH(6367,'Email Cleaner'!$K$2:$K$10001,0)),"")</f>
        <v/>
      </c>
    </row>
    <row r="6369">
      <c r="A6369">
        <f>IFERROR(INDEX('Email Cleaner'!$B$2:$B$10001,MATCH(6368,'Email Cleaner'!$K$2:$K$10001,0)),"")</f>
        <v/>
      </c>
    </row>
    <row r="6370">
      <c r="A6370">
        <f>IFERROR(INDEX('Email Cleaner'!$B$2:$B$10001,MATCH(6369,'Email Cleaner'!$K$2:$K$10001,0)),"")</f>
        <v/>
      </c>
    </row>
    <row r="6371">
      <c r="A6371">
        <f>IFERROR(INDEX('Email Cleaner'!$B$2:$B$10001,MATCH(6370,'Email Cleaner'!$K$2:$K$10001,0)),"")</f>
        <v/>
      </c>
    </row>
    <row r="6372">
      <c r="A6372">
        <f>IFERROR(INDEX('Email Cleaner'!$B$2:$B$10001,MATCH(6371,'Email Cleaner'!$K$2:$K$10001,0)),"")</f>
        <v/>
      </c>
    </row>
    <row r="6373">
      <c r="A6373">
        <f>IFERROR(INDEX('Email Cleaner'!$B$2:$B$10001,MATCH(6372,'Email Cleaner'!$K$2:$K$10001,0)),"")</f>
        <v/>
      </c>
    </row>
    <row r="6374">
      <c r="A6374">
        <f>IFERROR(INDEX('Email Cleaner'!$B$2:$B$10001,MATCH(6373,'Email Cleaner'!$K$2:$K$10001,0)),"")</f>
        <v/>
      </c>
    </row>
    <row r="6375">
      <c r="A6375">
        <f>IFERROR(INDEX('Email Cleaner'!$B$2:$B$10001,MATCH(6374,'Email Cleaner'!$K$2:$K$10001,0)),"")</f>
        <v/>
      </c>
    </row>
    <row r="6376">
      <c r="A6376">
        <f>IFERROR(INDEX('Email Cleaner'!$B$2:$B$10001,MATCH(6375,'Email Cleaner'!$K$2:$K$10001,0)),"")</f>
        <v/>
      </c>
    </row>
    <row r="6377">
      <c r="A6377">
        <f>IFERROR(INDEX('Email Cleaner'!$B$2:$B$10001,MATCH(6376,'Email Cleaner'!$K$2:$K$10001,0)),"")</f>
        <v/>
      </c>
    </row>
    <row r="6378">
      <c r="A6378">
        <f>IFERROR(INDEX('Email Cleaner'!$B$2:$B$10001,MATCH(6377,'Email Cleaner'!$K$2:$K$10001,0)),"")</f>
        <v/>
      </c>
    </row>
    <row r="6379">
      <c r="A6379">
        <f>IFERROR(INDEX('Email Cleaner'!$B$2:$B$10001,MATCH(6378,'Email Cleaner'!$K$2:$K$10001,0)),"")</f>
        <v/>
      </c>
    </row>
    <row r="6380">
      <c r="A6380">
        <f>IFERROR(INDEX('Email Cleaner'!$B$2:$B$10001,MATCH(6379,'Email Cleaner'!$K$2:$K$10001,0)),"")</f>
        <v/>
      </c>
    </row>
    <row r="6381">
      <c r="A6381">
        <f>IFERROR(INDEX('Email Cleaner'!$B$2:$B$10001,MATCH(6380,'Email Cleaner'!$K$2:$K$10001,0)),"")</f>
        <v/>
      </c>
    </row>
    <row r="6382">
      <c r="A6382">
        <f>IFERROR(INDEX('Email Cleaner'!$B$2:$B$10001,MATCH(6381,'Email Cleaner'!$K$2:$K$10001,0)),"")</f>
        <v/>
      </c>
    </row>
    <row r="6383">
      <c r="A6383">
        <f>IFERROR(INDEX('Email Cleaner'!$B$2:$B$10001,MATCH(6382,'Email Cleaner'!$K$2:$K$10001,0)),"")</f>
        <v/>
      </c>
    </row>
    <row r="6384">
      <c r="A6384">
        <f>IFERROR(INDEX('Email Cleaner'!$B$2:$B$10001,MATCH(6383,'Email Cleaner'!$K$2:$K$10001,0)),"")</f>
        <v/>
      </c>
    </row>
    <row r="6385">
      <c r="A6385">
        <f>IFERROR(INDEX('Email Cleaner'!$B$2:$B$10001,MATCH(6384,'Email Cleaner'!$K$2:$K$10001,0)),"")</f>
        <v/>
      </c>
    </row>
    <row r="6386">
      <c r="A6386">
        <f>IFERROR(INDEX('Email Cleaner'!$B$2:$B$10001,MATCH(6385,'Email Cleaner'!$K$2:$K$10001,0)),"")</f>
        <v/>
      </c>
    </row>
    <row r="6387">
      <c r="A6387">
        <f>IFERROR(INDEX('Email Cleaner'!$B$2:$B$10001,MATCH(6386,'Email Cleaner'!$K$2:$K$10001,0)),"")</f>
        <v/>
      </c>
    </row>
    <row r="6388">
      <c r="A6388">
        <f>IFERROR(INDEX('Email Cleaner'!$B$2:$B$10001,MATCH(6387,'Email Cleaner'!$K$2:$K$10001,0)),"")</f>
        <v/>
      </c>
    </row>
    <row r="6389">
      <c r="A6389">
        <f>IFERROR(INDEX('Email Cleaner'!$B$2:$B$10001,MATCH(6388,'Email Cleaner'!$K$2:$K$10001,0)),"")</f>
        <v/>
      </c>
    </row>
    <row r="6390">
      <c r="A6390">
        <f>IFERROR(INDEX('Email Cleaner'!$B$2:$B$10001,MATCH(6389,'Email Cleaner'!$K$2:$K$10001,0)),"")</f>
        <v/>
      </c>
    </row>
    <row r="6391">
      <c r="A6391">
        <f>IFERROR(INDEX('Email Cleaner'!$B$2:$B$10001,MATCH(6390,'Email Cleaner'!$K$2:$K$10001,0)),"")</f>
        <v/>
      </c>
    </row>
    <row r="6392">
      <c r="A6392">
        <f>IFERROR(INDEX('Email Cleaner'!$B$2:$B$10001,MATCH(6391,'Email Cleaner'!$K$2:$K$10001,0)),"")</f>
        <v/>
      </c>
    </row>
    <row r="6393">
      <c r="A6393">
        <f>IFERROR(INDEX('Email Cleaner'!$B$2:$B$10001,MATCH(6392,'Email Cleaner'!$K$2:$K$10001,0)),"")</f>
        <v/>
      </c>
    </row>
    <row r="6394">
      <c r="A6394">
        <f>IFERROR(INDEX('Email Cleaner'!$B$2:$B$10001,MATCH(6393,'Email Cleaner'!$K$2:$K$10001,0)),"")</f>
        <v/>
      </c>
    </row>
    <row r="6395">
      <c r="A6395">
        <f>IFERROR(INDEX('Email Cleaner'!$B$2:$B$10001,MATCH(6394,'Email Cleaner'!$K$2:$K$10001,0)),"")</f>
        <v/>
      </c>
    </row>
    <row r="6396">
      <c r="A6396">
        <f>IFERROR(INDEX('Email Cleaner'!$B$2:$B$10001,MATCH(6395,'Email Cleaner'!$K$2:$K$10001,0)),"")</f>
        <v/>
      </c>
    </row>
    <row r="6397">
      <c r="A6397">
        <f>IFERROR(INDEX('Email Cleaner'!$B$2:$B$10001,MATCH(6396,'Email Cleaner'!$K$2:$K$10001,0)),"")</f>
        <v/>
      </c>
    </row>
    <row r="6398">
      <c r="A6398">
        <f>IFERROR(INDEX('Email Cleaner'!$B$2:$B$10001,MATCH(6397,'Email Cleaner'!$K$2:$K$10001,0)),"")</f>
        <v/>
      </c>
    </row>
    <row r="6399">
      <c r="A6399">
        <f>IFERROR(INDEX('Email Cleaner'!$B$2:$B$10001,MATCH(6398,'Email Cleaner'!$K$2:$K$10001,0)),"")</f>
        <v/>
      </c>
    </row>
    <row r="6400">
      <c r="A6400">
        <f>IFERROR(INDEX('Email Cleaner'!$B$2:$B$10001,MATCH(6399,'Email Cleaner'!$K$2:$K$10001,0)),"")</f>
        <v/>
      </c>
    </row>
    <row r="6401">
      <c r="A6401">
        <f>IFERROR(INDEX('Email Cleaner'!$B$2:$B$10001,MATCH(6400,'Email Cleaner'!$K$2:$K$10001,0)),"")</f>
        <v/>
      </c>
    </row>
    <row r="6402">
      <c r="A6402">
        <f>IFERROR(INDEX('Email Cleaner'!$B$2:$B$10001,MATCH(6401,'Email Cleaner'!$K$2:$K$10001,0)),"")</f>
        <v/>
      </c>
    </row>
    <row r="6403">
      <c r="A6403">
        <f>IFERROR(INDEX('Email Cleaner'!$B$2:$B$10001,MATCH(6402,'Email Cleaner'!$K$2:$K$10001,0)),"")</f>
        <v/>
      </c>
    </row>
    <row r="6404">
      <c r="A6404">
        <f>IFERROR(INDEX('Email Cleaner'!$B$2:$B$10001,MATCH(6403,'Email Cleaner'!$K$2:$K$10001,0)),"")</f>
        <v/>
      </c>
    </row>
    <row r="6405">
      <c r="A6405">
        <f>IFERROR(INDEX('Email Cleaner'!$B$2:$B$10001,MATCH(6404,'Email Cleaner'!$K$2:$K$10001,0)),"")</f>
        <v/>
      </c>
    </row>
    <row r="6406">
      <c r="A6406">
        <f>IFERROR(INDEX('Email Cleaner'!$B$2:$B$10001,MATCH(6405,'Email Cleaner'!$K$2:$K$10001,0)),"")</f>
        <v/>
      </c>
    </row>
    <row r="6407">
      <c r="A6407">
        <f>IFERROR(INDEX('Email Cleaner'!$B$2:$B$10001,MATCH(6406,'Email Cleaner'!$K$2:$K$10001,0)),"")</f>
        <v/>
      </c>
    </row>
    <row r="6408">
      <c r="A6408">
        <f>IFERROR(INDEX('Email Cleaner'!$B$2:$B$10001,MATCH(6407,'Email Cleaner'!$K$2:$K$10001,0)),"")</f>
        <v/>
      </c>
    </row>
    <row r="6409">
      <c r="A6409">
        <f>IFERROR(INDEX('Email Cleaner'!$B$2:$B$10001,MATCH(6408,'Email Cleaner'!$K$2:$K$10001,0)),"")</f>
        <v/>
      </c>
    </row>
    <row r="6410">
      <c r="A6410">
        <f>IFERROR(INDEX('Email Cleaner'!$B$2:$B$10001,MATCH(6409,'Email Cleaner'!$K$2:$K$10001,0)),"")</f>
        <v/>
      </c>
    </row>
    <row r="6411">
      <c r="A6411">
        <f>IFERROR(INDEX('Email Cleaner'!$B$2:$B$10001,MATCH(6410,'Email Cleaner'!$K$2:$K$10001,0)),"")</f>
        <v/>
      </c>
    </row>
    <row r="6412">
      <c r="A6412">
        <f>IFERROR(INDEX('Email Cleaner'!$B$2:$B$10001,MATCH(6411,'Email Cleaner'!$K$2:$K$10001,0)),"")</f>
        <v/>
      </c>
    </row>
    <row r="6413">
      <c r="A6413">
        <f>IFERROR(INDEX('Email Cleaner'!$B$2:$B$10001,MATCH(6412,'Email Cleaner'!$K$2:$K$10001,0)),"")</f>
        <v/>
      </c>
    </row>
    <row r="6414">
      <c r="A6414">
        <f>IFERROR(INDEX('Email Cleaner'!$B$2:$B$10001,MATCH(6413,'Email Cleaner'!$K$2:$K$10001,0)),"")</f>
        <v/>
      </c>
    </row>
    <row r="6415">
      <c r="A6415">
        <f>IFERROR(INDEX('Email Cleaner'!$B$2:$B$10001,MATCH(6414,'Email Cleaner'!$K$2:$K$10001,0)),"")</f>
        <v/>
      </c>
    </row>
    <row r="6416">
      <c r="A6416">
        <f>IFERROR(INDEX('Email Cleaner'!$B$2:$B$10001,MATCH(6415,'Email Cleaner'!$K$2:$K$10001,0)),"")</f>
        <v/>
      </c>
    </row>
    <row r="6417">
      <c r="A6417">
        <f>IFERROR(INDEX('Email Cleaner'!$B$2:$B$10001,MATCH(6416,'Email Cleaner'!$K$2:$K$10001,0)),"")</f>
        <v/>
      </c>
    </row>
    <row r="6418">
      <c r="A6418">
        <f>IFERROR(INDEX('Email Cleaner'!$B$2:$B$10001,MATCH(6417,'Email Cleaner'!$K$2:$K$10001,0)),"")</f>
        <v/>
      </c>
    </row>
    <row r="6419">
      <c r="A6419">
        <f>IFERROR(INDEX('Email Cleaner'!$B$2:$B$10001,MATCH(6418,'Email Cleaner'!$K$2:$K$10001,0)),"")</f>
        <v/>
      </c>
    </row>
    <row r="6420">
      <c r="A6420">
        <f>IFERROR(INDEX('Email Cleaner'!$B$2:$B$10001,MATCH(6419,'Email Cleaner'!$K$2:$K$10001,0)),"")</f>
        <v/>
      </c>
    </row>
    <row r="6421">
      <c r="A6421">
        <f>IFERROR(INDEX('Email Cleaner'!$B$2:$B$10001,MATCH(6420,'Email Cleaner'!$K$2:$K$10001,0)),"")</f>
        <v/>
      </c>
    </row>
    <row r="6422">
      <c r="A6422">
        <f>IFERROR(INDEX('Email Cleaner'!$B$2:$B$10001,MATCH(6421,'Email Cleaner'!$K$2:$K$10001,0)),"")</f>
        <v/>
      </c>
    </row>
    <row r="6423">
      <c r="A6423">
        <f>IFERROR(INDEX('Email Cleaner'!$B$2:$B$10001,MATCH(6422,'Email Cleaner'!$K$2:$K$10001,0)),"")</f>
        <v/>
      </c>
    </row>
    <row r="6424">
      <c r="A6424">
        <f>IFERROR(INDEX('Email Cleaner'!$B$2:$B$10001,MATCH(6423,'Email Cleaner'!$K$2:$K$10001,0)),"")</f>
        <v/>
      </c>
    </row>
    <row r="6425">
      <c r="A6425">
        <f>IFERROR(INDEX('Email Cleaner'!$B$2:$B$10001,MATCH(6424,'Email Cleaner'!$K$2:$K$10001,0)),"")</f>
        <v/>
      </c>
    </row>
    <row r="6426">
      <c r="A6426">
        <f>IFERROR(INDEX('Email Cleaner'!$B$2:$B$10001,MATCH(6425,'Email Cleaner'!$K$2:$K$10001,0)),"")</f>
        <v/>
      </c>
    </row>
    <row r="6427">
      <c r="A6427">
        <f>IFERROR(INDEX('Email Cleaner'!$B$2:$B$10001,MATCH(6426,'Email Cleaner'!$K$2:$K$10001,0)),"")</f>
        <v/>
      </c>
    </row>
    <row r="6428">
      <c r="A6428">
        <f>IFERROR(INDEX('Email Cleaner'!$B$2:$B$10001,MATCH(6427,'Email Cleaner'!$K$2:$K$10001,0)),"")</f>
        <v/>
      </c>
    </row>
    <row r="6429">
      <c r="A6429">
        <f>IFERROR(INDEX('Email Cleaner'!$B$2:$B$10001,MATCH(6428,'Email Cleaner'!$K$2:$K$10001,0)),"")</f>
        <v/>
      </c>
    </row>
    <row r="6430">
      <c r="A6430">
        <f>IFERROR(INDEX('Email Cleaner'!$B$2:$B$10001,MATCH(6429,'Email Cleaner'!$K$2:$K$10001,0)),"")</f>
        <v/>
      </c>
    </row>
    <row r="6431">
      <c r="A6431">
        <f>IFERROR(INDEX('Email Cleaner'!$B$2:$B$10001,MATCH(6430,'Email Cleaner'!$K$2:$K$10001,0)),"")</f>
        <v/>
      </c>
    </row>
    <row r="6432">
      <c r="A6432">
        <f>IFERROR(INDEX('Email Cleaner'!$B$2:$B$10001,MATCH(6431,'Email Cleaner'!$K$2:$K$10001,0)),"")</f>
        <v/>
      </c>
    </row>
    <row r="6433">
      <c r="A6433">
        <f>IFERROR(INDEX('Email Cleaner'!$B$2:$B$10001,MATCH(6432,'Email Cleaner'!$K$2:$K$10001,0)),"")</f>
        <v/>
      </c>
    </row>
    <row r="6434">
      <c r="A6434">
        <f>IFERROR(INDEX('Email Cleaner'!$B$2:$B$10001,MATCH(6433,'Email Cleaner'!$K$2:$K$10001,0)),"")</f>
        <v/>
      </c>
    </row>
    <row r="6435">
      <c r="A6435">
        <f>IFERROR(INDEX('Email Cleaner'!$B$2:$B$10001,MATCH(6434,'Email Cleaner'!$K$2:$K$10001,0)),"")</f>
        <v/>
      </c>
    </row>
    <row r="6436">
      <c r="A6436">
        <f>IFERROR(INDEX('Email Cleaner'!$B$2:$B$10001,MATCH(6435,'Email Cleaner'!$K$2:$K$10001,0)),"")</f>
        <v/>
      </c>
    </row>
    <row r="6437">
      <c r="A6437">
        <f>IFERROR(INDEX('Email Cleaner'!$B$2:$B$10001,MATCH(6436,'Email Cleaner'!$K$2:$K$10001,0)),"")</f>
        <v/>
      </c>
    </row>
    <row r="6438">
      <c r="A6438">
        <f>IFERROR(INDEX('Email Cleaner'!$B$2:$B$10001,MATCH(6437,'Email Cleaner'!$K$2:$K$10001,0)),"")</f>
        <v/>
      </c>
    </row>
    <row r="6439">
      <c r="A6439">
        <f>IFERROR(INDEX('Email Cleaner'!$B$2:$B$10001,MATCH(6438,'Email Cleaner'!$K$2:$K$10001,0)),"")</f>
        <v/>
      </c>
    </row>
    <row r="6440">
      <c r="A6440">
        <f>IFERROR(INDEX('Email Cleaner'!$B$2:$B$10001,MATCH(6439,'Email Cleaner'!$K$2:$K$10001,0)),"")</f>
        <v/>
      </c>
    </row>
    <row r="6441">
      <c r="A6441">
        <f>IFERROR(INDEX('Email Cleaner'!$B$2:$B$10001,MATCH(6440,'Email Cleaner'!$K$2:$K$10001,0)),"")</f>
        <v/>
      </c>
    </row>
    <row r="6442">
      <c r="A6442">
        <f>IFERROR(INDEX('Email Cleaner'!$B$2:$B$10001,MATCH(6441,'Email Cleaner'!$K$2:$K$10001,0)),"")</f>
        <v/>
      </c>
    </row>
    <row r="6443">
      <c r="A6443">
        <f>IFERROR(INDEX('Email Cleaner'!$B$2:$B$10001,MATCH(6442,'Email Cleaner'!$K$2:$K$10001,0)),"")</f>
        <v/>
      </c>
    </row>
    <row r="6444">
      <c r="A6444">
        <f>IFERROR(INDEX('Email Cleaner'!$B$2:$B$10001,MATCH(6443,'Email Cleaner'!$K$2:$K$10001,0)),"")</f>
        <v/>
      </c>
    </row>
    <row r="6445">
      <c r="A6445">
        <f>IFERROR(INDEX('Email Cleaner'!$B$2:$B$10001,MATCH(6444,'Email Cleaner'!$K$2:$K$10001,0)),"")</f>
        <v/>
      </c>
    </row>
    <row r="6446">
      <c r="A6446">
        <f>IFERROR(INDEX('Email Cleaner'!$B$2:$B$10001,MATCH(6445,'Email Cleaner'!$K$2:$K$10001,0)),"")</f>
        <v/>
      </c>
    </row>
    <row r="6447">
      <c r="A6447">
        <f>IFERROR(INDEX('Email Cleaner'!$B$2:$B$10001,MATCH(6446,'Email Cleaner'!$K$2:$K$10001,0)),"")</f>
        <v/>
      </c>
    </row>
    <row r="6448">
      <c r="A6448">
        <f>IFERROR(INDEX('Email Cleaner'!$B$2:$B$10001,MATCH(6447,'Email Cleaner'!$K$2:$K$10001,0)),"")</f>
        <v/>
      </c>
    </row>
    <row r="6449">
      <c r="A6449">
        <f>IFERROR(INDEX('Email Cleaner'!$B$2:$B$10001,MATCH(6448,'Email Cleaner'!$K$2:$K$10001,0)),"")</f>
        <v/>
      </c>
    </row>
    <row r="6450">
      <c r="A6450">
        <f>IFERROR(INDEX('Email Cleaner'!$B$2:$B$10001,MATCH(6449,'Email Cleaner'!$K$2:$K$10001,0)),"")</f>
        <v/>
      </c>
    </row>
    <row r="6451">
      <c r="A6451">
        <f>IFERROR(INDEX('Email Cleaner'!$B$2:$B$10001,MATCH(6450,'Email Cleaner'!$K$2:$K$10001,0)),"")</f>
        <v/>
      </c>
    </row>
    <row r="6452">
      <c r="A6452">
        <f>IFERROR(INDEX('Email Cleaner'!$B$2:$B$10001,MATCH(6451,'Email Cleaner'!$K$2:$K$10001,0)),"")</f>
        <v/>
      </c>
    </row>
    <row r="6453">
      <c r="A6453">
        <f>IFERROR(INDEX('Email Cleaner'!$B$2:$B$10001,MATCH(6452,'Email Cleaner'!$K$2:$K$10001,0)),"")</f>
        <v/>
      </c>
    </row>
    <row r="6454">
      <c r="A6454">
        <f>IFERROR(INDEX('Email Cleaner'!$B$2:$B$10001,MATCH(6453,'Email Cleaner'!$K$2:$K$10001,0)),"")</f>
        <v/>
      </c>
    </row>
    <row r="6455">
      <c r="A6455">
        <f>IFERROR(INDEX('Email Cleaner'!$B$2:$B$10001,MATCH(6454,'Email Cleaner'!$K$2:$K$10001,0)),"")</f>
        <v/>
      </c>
    </row>
    <row r="6456">
      <c r="A6456">
        <f>IFERROR(INDEX('Email Cleaner'!$B$2:$B$10001,MATCH(6455,'Email Cleaner'!$K$2:$K$10001,0)),"")</f>
        <v/>
      </c>
    </row>
    <row r="6457">
      <c r="A6457">
        <f>IFERROR(INDEX('Email Cleaner'!$B$2:$B$10001,MATCH(6456,'Email Cleaner'!$K$2:$K$10001,0)),"")</f>
        <v/>
      </c>
    </row>
    <row r="6458">
      <c r="A6458">
        <f>IFERROR(INDEX('Email Cleaner'!$B$2:$B$10001,MATCH(6457,'Email Cleaner'!$K$2:$K$10001,0)),"")</f>
        <v/>
      </c>
    </row>
    <row r="6459">
      <c r="A6459">
        <f>IFERROR(INDEX('Email Cleaner'!$B$2:$B$10001,MATCH(6458,'Email Cleaner'!$K$2:$K$10001,0)),"")</f>
        <v/>
      </c>
    </row>
    <row r="6460">
      <c r="A6460">
        <f>IFERROR(INDEX('Email Cleaner'!$B$2:$B$10001,MATCH(6459,'Email Cleaner'!$K$2:$K$10001,0)),"")</f>
        <v/>
      </c>
    </row>
    <row r="6461">
      <c r="A6461">
        <f>IFERROR(INDEX('Email Cleaner'!$B$2:$B$10001,MATCH(6460,'Email Cleaner'!$K$2:$K$10001,0)),"")</f>
        <v/>
      </c>
    </row>
    <row r="6462">
      <c r="A6462">
        <f>IFERROR(INDEX('Email Cleaner'!$B$2:$B$10001,MATCH(6461,'Email Cleaner'!$K$2:$K$10001,0)),"")</f>
        <v/>
      </c>
    </row>
    <row r="6463">
      <c r="A6463">
        <f>IFERROR(INDEX('Email Cleaner'!$B$2:$B$10001,MATCH(6462,'Email Cleaner'!$K$2:$K$10001,0)),"")</f>
        <v/>
      </c>
    </row>
    <row r="6464">
      <c r="A6464">
        <f>IFERROR(INDEX('Email Cleaner'!$B$2:$B$10001,MATCH(6463,'Email Cleaner'!$K$2:$K$10001,0)),"")</f>
        <v/>
      </c>
    </row>
    <row r="6465">
      <c r="A6465">
        <f>IFERROR(INDEX('Email Cleaner'!$B$2:$B$10001,MATCH(6464,'Email Cleaner'!$K$2:$K$10001,0)),"")</f>
        <v/>
      </c>
    </row>
    <row r="6466">
      <c r="A6466">
        <f>IFERROR(INDEX('Email Cleaner'!$B$2:$B$10001,MATCH(6465,'Email Cleaner'!$K$2:$K$10001,0)),"")</f>
        <v/>
      </c>
    </row>
    <row r="6467">
      <c r="A6467">
        <f>IFERROR(INDEX('Email Cleaner'!$B$2:$B$10001,MATCH(6466,'Email Cleaner'!$K$2:$K$10001,0)),"")</f>
        <v/>
      </c>
    </row>
    <row r="6468">
      <c r="A6468">
        <f>IFERROR(INDEX('Email Cleaner'!$B$2:$B$10001,MATCH(6467,'Email Cleaner'!$K$2:$K$10001,0)),"")</f>
        <v/>
      </c>
    </row>
    <row r="6469">
      <c r="A6469">
        <f>IFERROR(INDEX('Email Cleaner'!$B$2:$B$10001,MATCH(6468,'Email Cleaner'!$K$2:$K$10001,0)),"")</f>
        <v/>
      </c>
    </row>
    <row r="6470">
      <c r="A6470">
        <f>IFERROR(INDEX('Email Cleaner'!$B$2:$B$10001,MATCH(6469,'Email Cleaner'!$K$2:$K$10001,0)),"")</f>
        <v/>
      </c>
    </row>
    <row r="6471">
      <c r="A6471">
        <f>IFERROR(INDEX('Email Cleaner'!$B$2:$B$10001,MATCH(6470,'Email Cleaner'!$K$2:$K$10001,0)),"")</f>
        <v/>
      </c>
    </row>
    <row r="6472">
      <c r="A6472">
        <f>IFERROR(INDEX('Email Cleaner'!$B$2:$B$10001,MATCH(6471,'Email Cleaner'!$K$2:$K$10001,0)),"")</f>
        <v/>
      </c>
    </row>
    <row r="6473">
      <c r="A6473">
        <f>IFERROR(INDEX('Email Cleaner'!$B$2:$B$10001,MATCH(6472,'Email Cleaner'!$K$2:$K$10001,0)),"")</f>
        <v/>
      </c>
    </row>
    <row r="6474">
      <c r="A6474">
        <f>IFERROR(INDEX('Email Cleaner'!$B$2:$B$10001,MATCH(6473,'Email Cleaner'!$K$2:$K$10001,0)),"")</f>
        <v/>
      </c>
    </row>
    <row r="6475">
      <c r="A6475">
        <f>IFERROR(INDEX('Email Cleaner'!$B$2:$B$10001,MATCH(6474,'Email Cleaner'!$K$2:$K$10001,0)),"")</f>
        <v/>
      </c>
    </row>
    <row r="6476">
      <c r="A6476">
        <f>IFERROR(INDEX('Email Cleaner'!$B$2:$B$10001,MATCH(6475,'Email Cleaner'!$K$2:$K$10001,0)),"")</f>
        <v/>
      </c>
    </row>
    <row r="6477">
      <c r="A6477">
        <f>IFERROR(INDEX('Email Cleaner'!$B$2:$B$10001,MATCH(6476,'Email Cleaner'!$K$2:$K$10001,0)),"")</f>
        <v/>
      </c>
    </row>
    <row r="6478">
      <c r="A6478">
        <f>IFERROR(INDEX('Email Cleaner'!$B$2:$B$10001,MATCH(6477,'Email Cleaner'!$K$2:$K$10001,0)),"")</f>
        <v/>
      </c>
    </row>
    <row r="6479">
      <c r="A6479">
        <f>IFERROR(INDEX('Email Cleaner'!$B$2:$B$10001,MATCH(6478,'Email Cleaner'!$K$2:$K$10001,0)),"")</f>
        <v/>
      </c>
    </row>
    <row r="6480">
      <c r="A6480">
        <f>IFERROR(INDEX('Email Cleaner'!$B$2:$B$10001,MATCH(6479,'Email Cleaner'!$K$2:$K$10001,0)),"")</f>
        <v/>
      </c>
    </row>
    <row r="6481">
      <c r="A6481">
        <f>IFERROR(INDEX('Email Cleaner'!$B$2:$B$10001,MATCH(6480,'Email Cleaner'!$K$2:$K$10001,0)),"")</f>
        <v/>
      </c>
    </row>
    <row r="6482">
      <c r="A6482">
        <f>IFERROR(INDEX('Email Cleaner'!$B$2:$B$10001,MATCH(6481,'Email Cleaner'!$K$2:$K$10001,0)),"")</f>
        <v/>
      </c>
    </row>
    <row r="6483">
      <c r="A6483">
        <f>IFERROR(INDEX('Email Cleaner'!$B$2:$B$10001,MATCH(6482,'Email Cleaner'!$K$2:$K$10001,0)),"")</f>
        <v/>
      </c>
    </row>
    <row r="6484">
      <c r="A6484">
        <f>IFERROR(INDEX('Email Cleaner'!$B$2:$B$10001,MATCH(6483,'Email Cleaner'!$K$2:$K$10001,0)),"")</f>
        <v/>
      </c>
    </row>
    <row r="6485">
      <c r="A6485">
        <f>IFERROR(INDEX('Email Cleaner'!$B$2:$B$10001,MATCH(6484,'Email Cleaner'!$K$2:$K$10001,0)),"")</f>
        <v/>
      </c>
    </row>
    <row r="6486">
      <c r="A6486">
        <f>IFERROR(INDEX('Email Cleaner'!$B$2:$B$10001,MATCH(6485,'Email Cleaner'!$K$2:$K$10001,0)),"")</f>
        <v/>
      </c>
    </row>
    <row r="6487">
      <c r="A6487">
        <f>IFERROR(INDEX('Email Cleaner'!$B$2:$B$10001,MATCH(6486,'Email Cleaner'!$K$2:$K$10001,0)),"")</f>
        <v/>
      </c>
    </row>
    <row r="6488">
      <c r="A6488">
        <f>IFERROR(INDEX('Email Cleaner'!$B$2:$B$10001,MATCH(6487,'Email Cleaner'!$K$2:$K$10001,0)),"")</f>
        <v/>
      </c>
    </row>
    <row r="6489">
      <c r="A6489">
        <f>IFERROR(INDEX('Email Cleaner'!$B$2:$B$10001,MATCH(6488,'Email Cleaner'!$K$2:$K$10001,0)),"")</f>
        <v/>
      </c>
    </row>
    <row r="6490">
      <c r="A6490">
        <f>IFERROR(INDEX('Email Cleaner'!$B$2:$B$10001,MATCH(6489,'Email Cleaner'!$K$2:$K$10001,0)),"")</f>
        <v/>
      </c>
    </row>
    <row r="6491">
      <c r="A6491">
        <f>IFERROR(INDEX('Email Cleaner'!$B$2:$B$10001,MATCH(6490,'Email Cleaner'!$K$2:$K$10001,0)),"")</f>
        <v/>
      </c>
    </row>
    <row r="6492">
      <c r="A6492">
        <f>IFERROR(INDEX('Email Cleaner'!$B$2:$B$10001,MATCH(6491,'Email Cleaner'!$K$2:$K$10001,0)),"")</f>
        <v/>
      </c>
    </row>
    <row r="6493">
      <c r="A6493">
        <f>IFERROR(INDEX('Email Cleaner'!$B$2:$B$10001,MATCH(6492,'Email Cleaner'!$K$2:$K$10001,0)),"")</f>
        <v/>
      </c>
    </row>
    <row r="6494">
      <c r="A6494">
        <f>IFERROR(INDEX('Email Cleaner'!$B$2:$B$10001,MATCH(6493,'Email Cleaner'!$K$2:$K$10001,0)),"")</f>
        <v/>
      </c>
    </row>
    <row r="6495">
      <c r="A6495">
        <f>IFERROR(INDEX('Email Cleaner'!$B$2:$B$10001,MATCH(6494,'Email Cleaner'!$K$2:$K$10001,0)),"")</f>
        <v/>
      </c>
    </row>
    <row r="6496">
      <c r="A6496">
        <f>IFERROR(INDEX('Email Cleaner'!$B$2:$B$10001,MATCH(6495,'Email Cleaner'!$K$2:$K$10001,0)),"")</f>
        <v/>
      </c>
    </row>
    <row r="6497">
      <c r="A6497">
        <f>IFERROR(INDEX('Email Cleaner'!$B$2:$B$10001,MATCH(6496,'Email Cleaner'!$K$2:$K$10001,0)),"")</f>
        <v/>
      </c>
    </row>
    <row r="6498">
      <c r="A6498">
        <f>IFERROR(INDEX('Email Cleaner'!$B$2:$B$10001,MATCH(6497,'Email Cleaner'!$K$2:$K$10001,0)),"")</f>
        <v/>
      </c>
    </row>
    <row r="6499">
      <c r="A6499">
        <f>IFERROR(INDEX('Email Cleaner'!$B$2:$B$10001,MATCH(6498,'Email Cleaner'!$K$2:$K$10001,0)),"")</f>
        <v/>
      </c>
    </row>
    <row r="6500">
      <c r="A6500">
        <f>IFERROR(INDEX('Email Cleaner'!$B$2:$B$10001,MATCH(6499,'Email Cleaner'!$K$2:$K$10001,0)),"")</f>
        <v/>
      </c>
    </row>
    <row r="6501">
      <c r="A6501">
        <f>IFERROR(INDEX('Email Cleaner'!$B$2:$B$10001,MATCH(6500,'Email Cleaner'!$K$2:$K$10001,0)),"")</f>
        <v/>
      </c>
    </row>
    <row r="6502">
      <c r="A6502">
        <f>IFERROR(INDEX('Email Cleaner'!$B$2:$B$10001,MATCH(6501,'Email Cleaner'!$K$2:$K$10001,0)),"")</f>
        <v/>
      </c>
    </row>
    <row r="6503">
      <c r="A6503">
        <f>IFERROR(INDEX('Email Cleaner'!$B$2:$B$10001,MATCH(6502,'Email Cleaner'!$K$2:$K$10001,0)),"")</f>
        <v/>
      </c>
    </row>
    <row r="6504">
      <c r="A6504">
        <f>IFERROR(INDEX('Email Cleaner'!$B$2:$B$10001,MATCH(6503,'Email Cleaner'!$K$2:$K$10001,0)),"")</f>
        <v/>
      </c>
    </row>
    <row r="6505">
      <c r="A6505">
        <f>IFERROR(INDEX('Email Cleaner'!$B$2:$B$10001,MATCH(6504,'Email Cleaner'!$K$2:$K$10001,0)),"")</f>
        <v/>
      </c>
    </row>
    <row r="6506">
      <c r="A6506">
        <f>IFERROR(INDEX('Email Cleaner'!$B$2:$B$10001,MATCH(6505,'Email Cleaner'!$K$2:$K$10001,0)),"")</f>
        <v/>
      </c>
    </row>
    <row r="6507">
      <c r="A6507">
        <f>IFERROR(INDEX('Email Cleaner'!$B$2:$B$10001,MATCH(6506,'Email Cleaner'!$K$2:$K$10001,0)),"")</f>
        <v/>
      </c>
    </row>
    <row r="6508">
      <c r="A6508">
        <f>IFERROR(INDEX('Email Cleaner'!$B$2:$B$10001,MATCH(6507,'Email Cleaner'!$K$2:$K$10001,0)),"")</f>
        <v/>
      </c>
    </row>
    <row r="6509">
      <c r="A6509">
        <f>IFERROR(INDEX('Email Cleaner'!$B$2:$B$10001,MATCH(6508,'Email Cleaner'!$K$2:$K$10001,0)),"")</f>
        <v/>
      </c>
    </row>
    <row r="6510">
      <c r="A6510">
        <f>IFERROR(INDEX('Email Cleaner'!$B$2:$B$10001,MATCH(6509,'Email Cleaner'!$K$2:$K$10001,0)),"")</f>
        <v/>
      </c>
    </row>
    <row r="6511">
      <c r="A6511">
        <f>IFERROR(INDEX('Email Cleaner'!$B$2:$B$10001,MATCH(6510,'Email Cleaner'!$K$2:$K$10001,0)),"")</f>
        <v/>
      </c>
    </row>
    <row r="6512">
      <c r="A6512">
        <f>IFERROR(INDEX('Email Cleaner'!$B$2:$B$10001,MATCH(6511,'Email Cleaner'!$K$2:$K$10001,0)),"")</f>
        <v/>
      </c>
    </row>
    <row r="6513">
      <c r="A6513">
        <f>IFERROR(INDEX('Email Cleaner'!$B$2:$B$10001,MATCH(6512,'Email Cleaner'!$K$2:$K$10001,0)),"")</f>
        <v/>
      </c>
    </row>
    <row r="6514">
      <c r="A6514">
        <f>IFERROR(INDEX('Email Cleaner'!$B$2:$B$10001,MATCH(6513,'Email Cleaner'!$K$2:$K$10001,0)),"")</f>
        <v/>
      </c>
    </row>
    <row r="6515">
      <c r="A6515">
        <f>IFERROR(INDEX('Email Cleaner'!$B$2:$B$10001,MATCH(6514,'Email Cleaner'!$K$2:$K$10001,0)),"")</f>
        <v/>
      </c>
    </row>
    <row r="6516">
      <c r="A6516">
        <f>IFERROR(INDEX('Email Cleaner'!$B$2:$B$10001,MATCH(6515,'Email Cleaner'!$K$2:$K$10001,0)),"")</f>
        <v/>
      </c>
    </row>
    <row r="6517">
      <c r="A6517">
        <f>IFERROR(INDEX('Email Cleaner'!$B$2:$B$10001,MATCH(6516,'Email Cleaner'!$K$2:$K$10001,0)),"")</f>
        <v/>
      </c>
    </row>
    <row r="6518">
      <c r="A6518">
        <f>IFERROR(INDEX('Email Cleaner'!$B$2:$B$10001,MATCH(6517,'Email Cleaner'!$K$2:$K$10001,0)),"")</f>
        <v/>
      </c>
    </row>
    <row r="6519">
      <c r="A6519">
        <f>IFERROR(INDEX('Email Cleaner'!$B$2:$B$10001,MATCH(6518,'Email Cleaner'!$K$2:$K$10001,0)),"")</f>
        <v/>
      </c>
    </row>
    <row r="6520">
      <c r="A6520">
        <f>IFERROR(INDEX('Email Cleaner'!$B$2:$B$10001,MATCH(6519,'Email Cleaner'!$K$2:$K$10001,0)),"")</f>
        <v/>
      </c>
    </row>
    <row r="6521">
      <c r="A6521">
        <f>IFERROR(INDEX('Email Cleaner'!$B$2:$B$10001,MATCH(6520,'Email Cleaner'!$K$2:$K$10001,0)),"")</f>
        <v/>
      </c>
    </row>
    <row r="6522">
      <c r="A6522">
        <f>IFERROR(INDEX('Email Cleaner'!$B$2:$B$10001,MATCH(6521,'Email Cleaner'!$K$2:$K$10001,0)),"")</f>
        <v/>
      </c>
    </row>
    <row r="6523">
      <c r="A6523">
        <f>IFERROR(INDEX('Email Cleaner'!$B$2:$B$10001,MATCH(6522,'Email Cleaner'!$K$2:$K$10001,0)),"")</f>
        <v/>
      </c>
    </row>
    <row r="6524">
      <c r="A6524">
        <f>IFERROR(INDEX('Email Cleaner'!$B$2:$B$10001,MATCH(6523,'Email Cleaner'!$K$2:$K$10001,0)),"")</f>
        <v/>
      </c>
    </row>
    <row r="6525">
      <c r="A6525">
        <f>IFERROR(INDEX('Email Cleaner'!$B$2:$B$10001,MATCH(6524,'Email Cleaner'!$K$2:$K$10001,0)),"")</f>
        <v/>
      </c>
    </row>
    <row r="6526">
      <c r="A6526">
        <f>IFERROR(INDEX('Email Cleaner'!$B$2:$B$10001,MATCH(6525,'Email Cleaner'!$K$2:$K$10001,0)),"")</f>
        <v/>
      </c>
    </row>
    <row r="6527">
      <c r="A6527">
        <f>IFERROR(INDEX('Email Cleaner'!$B$2:$B$10001,MATCH(6526,'Email Cleaner'!$K$2:$K$10001,0)),"")</f>
        <v/>
      </c>
    </row>
    <row r="6528">
      <c r="A6528">
        <f>IFERROR(INDEX('Email Cleaner'!$B$2:$B$10001,MATCH(6527,'Email Cleaner'!$K$2:$K$10001,0)),"")</f>
        <v/>
      </c>
    </row>
    <row r="6529">
      <c r="A6529">
        <f>IFERROR(INDEX('Email Cleaner'!$B$2:$B$10001,MATCH(6528,'Email Cleaner'!$K$2:$K$10001,0)),"")</f>
        <v/>
      </c>
    </row>
    <row r="6530">
      <c r="A6530">
        <f>IFERROR(INDEX('Email Cleaner'!$B$2:$B$10001,MATCH(6529,'Email Cleaner'!$K$2:$K$10001,0)),"")</f>
        <v/>
      </c>
    </row>
    <row r="6531">
      <c r="A6531">
        <f>IFERROR(INDEX('Email Cleaner'!$B$2:$B$10001,MATCH(6530,'Email Cleaner'!$K$2:$K$10001,0)),"")</f>
        <v/>
      </c>
    </row>
    <row r="6532">
      <c r="A6532">
        <f>IFERROR(INDEX('Email Cleaner'!$B$2:$B$10001,MATCH(6531,'Email Cleaner'!$K$2:$K$10001,0)),"")</f>
        <v/>
      </c>
    </row>
    <row r="6533">
      <c r="A6533">
        <f>IFERROR(INDEX('Email Cleaner'!$B$2:$B$10001,MATCH(6532,'Email Cleaner'!$K$2:$K$10001,0)),"")</f>
        <v/>
      </c>
    </row>
    <row r="6534">
      <c r="A6534">
        <f>IFERROR(INDEX('Email Cleaner'!$B$2:$B$10001,MATCH(6533,'Email Cleaner'!$K$2:$K$10001,0)),"")</f>
        <v/>
      </c>
    </row>
    <row r="6535">
      <c r="A6535">
        <f>IFERROR(INDEX('Email Cleaner'!$B$2:$B$10001,MATCH(6534,'Email Cleaner'!$K$2:$K$10001,0)),"")</f>
        <v/>
      </c>
    </row>
    <row r="6536">
      <c r="A6536">
        <f>IFERROR(INDEX('Email Cleaner'!$B$2:$B$10001,MATCH(6535,'Email Cleaner'!$K$2:$K$10001,0)),"")</f>
        <v/>
      </c>
    </row>
    <row r="6537">
      <c r="A6537">
        <f>IFERROR(INDEX('Email Cleaner'!$B$2:$B$10001,MATCH(6536,'Email Cleaner'!$K$2:$K$10001,0)),"")</f>
        <v/>
      </c>
    </row>
    <row r="6538">
      <c r="A6538">
        <f>IFERROR(INDEX('Email Cleaner'!$B$2:$B$10001,MATCH(6537,'Email Cleaner'!$K$2:$K$10001,0)),"")</f>
        <v/>
      </c>
    </row>
    <row r="6539">
      <c r="A6539">
        <f>IFERROR(INDEX('Email Cleaner'!$B$2:$B$10001,MATCH(6538,'Email Cleaner'!$K$2:$K$10001,0)),"")</f>
        <v/>
      </c>
    </row>
    <row r="6540">
      <c r="A6540">
        <f>IFERROR(INDEX('Email Cleaner'!$B$2:$B$10001,MATCH(6539,'Email Cleaner'!$K$2:$K$10001,0)),"")</f>
        <v/>
      </c>
    </row>
    <row r="6541">
      <c r="A6541">
        <f>IFERROR(INDEX('Email Cleaner'!$B$2:$B$10001,MATCH(6540,'Email Cleaner'!$K$2:$K$10001,0)),"")</f>
        <v/>
      </c>
    </row>
    <row r="6542">
      <c r="A6542">
        <f>IFERROR(INDEX('Email Cleaner'!$B$2:$B$10001,MATCH(6541,'Email Cleaner'!$K$2:$K$10001,0)),"")</f>
        <v/>
      </c>
    </row>
    <row r="6543">
      <c r="A6543">
        <f>IFERROR(INDEX('Email Cleaner'!$B$2:$B$10001,MATCH(6542,'Email Cleaner'!$K$2:$K$10001,0)),"")</f>
        <v/>
      </c>
    </row>
    <row r="6544">
      <c r="A6544">
        <f>IFERROR(INDEX('Email Cleaner'!$B$2:$B$10001,MATCH(6543,'Email Cleaner'!$K$2:$K$10001,0)),"")</f>
        <v/>
      </c>
    </row>
    <row r="6545">
      <c r="A6545">
        <f>IFERROR(INDEX('Email Cleaner'!$B$2:$B$10001,MATCH(6544,'Email Cleaner'!$K$2:$K$10001,0)),"")</f>
        <v/>
      </c>
    </row>
    <row r="6546">
      <c r="A6546">
        <f>IFERROR(INDEX('Email Cleaner'!$B$2:$B$10001,MATCH(6545,'Email Cleaner'!$K$2:$K$10001,0)),"")</f>
        <v/>
      </c>
    </row>
    <row r="6547">
      <c r="A6547">
        <f>IFERROR(INDEX('Email Cleaner'!$B$2:$B$10001,MATCH(6546,'Email Cleaner'!$K$2:$K$10001,0)),"")</f>
        <v/>
      </c>
    </row>
    <row r="6548">
      <c r="A6548">
        <f>IFERROR(INDEX('Email Cleaner'!$B$2:$B$10001,MATCH(6547,'Email Cleaner'!$K$2:$K$10001,0)),"")</f>
        <v/>
      </c>
    </row>
    <row r="6549">
      <c r="A6549">
        <f>IFERROR(INDEX('Email Cleaner'!$B$2:$B$10001,MATCH(6548,'Email Cleaner'!$K$2:$K$10001,0)),"")</f>
        <v/>
      </c>
    </row>
    <row r="6550">
      <c r="A6550">
        <f>IFERROR(INDEX('Email Cleaner'!$B$2:$B$10001,MATCH(6549,'Email Cleaner'!$K$2:$K$10001,0)),"")</f>
        <v/>
      </c>
    </row>
    <row r="6551">
      <c r="A6551">
        <f>IFERROR(INDEX('Email Cleaner'!$B$2:$B$10001,MATCH(6550,'Email Cleaner'!$K$2:$K$10001,0)),"")</f>
        <v/>
      </c>
    </row>
    <row r="6552">
      <c r="A6552">
        <f>IFERROR(INDEX('Email Cleaner'!$B$2:$B$10001,MATCH(6551,'Email Cleaner'!$K$2:$K$10001,0)),"")</f>
        <v/>
      </c>
    </row>
    <row r="6553">
      <c r="A6553">
        <f>IFERROR(INDEX('Email Cleaner'!$B$2:$B$10001,MATCH(6552,'Email Cleaner'!$K$2:$K$10001,0)),"")</f>
        <v/>
      </c>
    </row>
    <row r="6554">
      <c r="A6554">
        <f>IFERROR(INDEX('Email Cleaner'!$B$2:$B$10001,MATCH(6553,'Email Cleaner'!$K$2:$K$10001,0)),"")</f>
        <v/>
      </c>
    </row>
    <row r="6555">
      <c r="A6555">
        <f>IFERROR(INDEX('Email Cleaner'!$B$2:$B$10001,MATCH(6554,'Email Cleaner'!$K$2:$K$10001,0)),"")</f>
        <v/>
      </c>
    </row>
    <row r="6556">
      <c r="A6556">
        <f>IFERROR(INDEX('Email Cleaner'!$B$2:$B$10001,MATCH(6555,'Email Cleaner'!$K$2:$K$10001,0)),"")</f>
        <v/>
      </c>
    </row>
    <row r="6557">
      <c r="A6557">
        <f>IFERROR(INDEX('Email Cleaner'!$B$2:$B$10001,MATCH(6556,'Email Cleaner'!$K$2:$K$10001,0)),"")</f>
        <v/>
      </c>
    </row>
    <row r="6558">
      <c r="A6558">
        <f>IFERROR(INDEX('Email Cleaner'!$B$2:$B$10001,MATCH(6557,'Email Cleaner'!$K$2:$K$10001,0)),"")</f>
        <v/>
      </c>
    </row>
    <row r="6559">
      <c r="A6559">
        <f>IFERROR(INDEX('Email Cleaner'!$B$2:$B$10001,MATCH(6558,'Email Cleaner'!$K$2:$K$10001,0)),"")</f>
        <v/>
      </c>
    </row>
    <row r="6560">
      <c r="A6560">
        <f>IFERROR(INDEX('Email Cleaner'!$B$2:$B$10001,MATCH(6559,'Email Cleaner'!$K$2:$K$10001,0)),"")</f>
        <v/>
      </c>
    </row>
    <row r="6561">
      <c r="A6561">
        <f>IFERROR(INDEX('Email Cleaner'!$B$2:$B$10001,MATCH(6560,'Email Cleaner'!$K$2:$K$10001,0)),"")</f>
        <v/>
      </c>
    </row>
    <row r="6562">
      <c r="A6562">
        <f>IFERROR(INDEX('Email Cleaner'!$B$2:$B$10001,MATCH(6561,'Email Cleaner'!$K$2:$K$10001,0)),"")</f>
        <v/>
      </c>
    </row>
    <row r="6563">
      <c r="A6563">
        <f>IFERROR(INDEX('Email Cleaner'!$B$2:$B$10001,MATCH(6562,'Email Cleaner'!$K$2:$K$10001,0)),"")</f>
        <v/>
      </c>
    </row>
    <row r="6564">
      <c r="A6564">
        <f>IFERROR(INDEX('Email Cleaner'!$B$2:$B$10001,MATCH(6563,'Email Cleaner'!$K$2:$K$10001,0)),"")</f>
        <v/>
      </c>
    </row>
    <row r="6565">
      <c r="A6565">
        <f>IFERROR(INDEX('Email Cleaner'!$B$2:$B$10001,MATCH(6564,'Email Cleaner'!$K$2:$K$10001,0)),"")</f>
        <v/>
      </c>
    </row>
    <row r="6566">
      <c r="A6566">
        <f>IFERROR(INDEX('Email Cleaner'!$B$2:$B$10001,MATCH(6565,'Email Cleaner'!$K$2:$K$10001,0)),"")</f>
        <v/>
      </c>
    </row>
    <row r="6567">
      <c r="A6567">
        <f>IFERROR(INDEX('Email Cleaner'!$B$2:$B$10001,MATCH(6566,'Email Cleaner'!$K$2:$K$10001,0)),"")</f>
        <v/>
      </c>
    </row>
    <row r="6568">
      <c r="A6568">
        <f>IFERROR(INDEX('Email Cleaner'!$B$2:$B$10001,MATCH(6567,'Email Cleaner'!$K$2:$K$10001,0)),"")</f>
        <v/>
      </c>
    </row>
    <row r="6569">
      <c r="A6569">
        <f>IFERROR(INDEX('Email Cleaner'!$B$2:$B$10001,MATCH(6568,'Email Cleaner'!$K$2:$K$10001,0)),"")</f>
        <v/>
      </c>
    </row>
    <row r="6570">
      <c r="A6570">
        <f>IFERROR(INDEX('Email Cleaner'!$B$2:$B$10001,MATCH(6569,'Email Cleaner'!$K$2:$K$10001,0)),"")</f>
        <v/>
      </c>
    </row>
    <row r="6571">
      <c r="A6571">
        <f>IFERROR(INDEX('Email Cleaner'!$B$2:$B$10001,MATCH(6570,'Email Cleaner'!$K$2:$K$10001,0)),"")</f>
        <v/>
      </c>
    </row>
    <row r="6572">
      <c r="A6572">
        <f>IFERROR(INDEX('Email Cleaner'!$B$2:$B$10001,MATCH(6571,'Email Cleaner'!$K$2:$K$10001,0)),"")</f>
        <v/>
      </c>
    </row>
    <row r="6573">
      <c r="A6573">
        <f>IFERROR(INDEX('Email Cleaner'!$B$2:$B$10001,MATCH(6572,'Email Cleaner'!$K$2:$K$10001,0)),"")</f>
        <v/>
      </c>
    </row>
    <row r="6574">
      <c r="A6574">
        <f>IFERROR(INDEX('Email Cleaner'!$B$2:$B$10001,MATCH(6573,'Email Cleaner'!$K$2:$K$10001,0)),"")</f>
        <v/>
      </c>
    </row>
    <row r="6575">
      <c r="A6575">
        <f>IFERROR(INDEX('Email Cleaner'!$B$2:$B$10001,MATCH(6574,'Email Cleaner'!$K$2:$K$10001,0)),"")</f>
        <v/>
      </c>
    </row>
    <row r="6576">
      <c r="A6576">
        <f>IFERROR(INDEX('Email Cleaner'!$B$2:$B$10001,MATCH(6575,'Email Cleaner'!$K$2:$K$10001,0)),"")</f>
        <v/>
      </c>
    </row>
    <row r="6577">
      <c r="A6577">
        <f>IFERROR(INDEX('Email Cleaner'!$B$2:$B$10001,MATCH(6576,'Email Cleaner'!$K$2:$K$10001,0)),"")</f>
        <v/>
      </c>
    </row>
    <row r="6578">
      <c r="A6578">
        <f>IFERROR(INDEX('Email Cleaner'!$B$2:$B$10001,MATCH(6577,'Email Cleaner'!$K$2:$K$10001,0)),"")</f>
        <v/>
      </c>
    </row>
    <row r="6579">
      <c r="A6579">
        <f>IFERROR(INDEX('Email Cleaner'!$B$2:$B$10001,MATCH(6578,'Email Cleaner'!$K$2:$K$10001,0)),"")</f>
        <v/>
      </c>
    </row>
    <row r="6580">
      <c r="A6580">
        <f>IFERROR(INDEX('Email Cleaner'!$B$2:$B$10001,MATCH(6579,'Email Cleaner'!$K$2:$K$10001,0)),"")</f>
        <v/>
      </c>
    </row>
    <row r="6581">
      <c r="A6581">
        <f>IFERROR(INDEX('Email Cleaner'!$B$2:$B$10001,MATCH(6580,'Email Cleaner'!$K$2:$K$10001,0)),"")</f>
        <v/>
      </c>
    </row>
    <row r="6582">
      <c r="A6582">
        <f>IFERROR(INDEX('Email Cleaner'!$B$2:$B$10001,MATCH(6581,'Email Cleaner'!$K$2:$K$10001,0)),"")</f>
        <v/>
      </c>
    </row>
    <row r="6583">
      <c r="A6583">
        <f>IFERROR(INDEX('Email Cleaner'!$B$2:$B$10001,MATCH(6582,'Email Cleaner'!$K$2:$K$10001,0)),"")</f>
        <v/>
      </c>
    </row>
    <row r="6584">
      <c r="A6584">
        <f>IFERROR(INDEX('Email Cleaner'!$B$2:$B$10001,MATCH(6583,'Email Cleaner'!$K$2:$K$10001,0)),"")</f>
        <v/>
      </c>
    </row>
    <row r="6585">
      <c r="A6585">
        <f>IFERROR(INDEX('Email Cleaner'!$B$2:$B$10001,MATCH(6584,'Email Cleaner'!$K$2:$K$10001,0)),"")</f>
        <v/>
      </c>
    </row>
    <row r="6586">
      <c r="A6586">
        <f>IFERROR(INDEX('Email Cleaner'!$B$2:$B$10001,MATCH(6585,'Email Cleaner'!$K$2:$K$10001,0)),"")</f>
        <v/>
      </c>
    </row>
    <row r="6587">
      <c r="A6587">
        <f>IFERROR(INDEX('Email Cleaner'!$B$2:$B$10001,MATCH(6586,'Email Cleaner'!$K$2:$K$10001,0)),"")</f>
        <v/>
      </c>
    </row>
    <row r="6588">
      <c r="A6588">
        <f>IFERROR(INDEX('Email Cleaner'!$B$2:$B$10001,MATCH(6587,'Email Cleaner'!$K$2:$K$10001,0)),"")</f>
        <v/>
      </c>
    </row>
    <row r="6589">
      <c r="A6589">
        <f>IFERROR(INDEX('Email Cleaner'!$B$2:$B$10001,MATCH(6588,'Email Cleaner'!$K$2:$K$10001,0)),"")</f>
        <v/>
      </c>
    </row>
    <row r="6590">
      <c r="A6590">
        <f>IFERROR(INDEX('Email Cleaner'!$B$2:$B$10001,MATCH(6589,'Email Cleaner'!$K$2:$K$10001,0)),"")</f>
        <v/>
      </c>
    </row>
    <row r="6591">
      <c r="A6591">
        <f>IFERROR(INDEX('Email Cleaner'!$B$2:$B$10001,MATCH(6590,'Email Cleaner'!$K$2:$K$10001,0)),"")</f>
        <v/>
      </c>
    </row>
    <row r="6592">
      <c r="A6592">
        <f>IFERROR(INDEX('Email Cleaner'!$B$2:$B$10001,MATCH(6591,'Email Cleaner'!$K$2:$K$10001,0)),"")</f>
        <v/>
      </c>
    </row>
    <row r="6593">
      <c r="A6593">
        <f>IFERROR(INDEX('Email Cleaner'!$B$2:$B$10001,MATCH(6592,'Email Cleaner'!$K$2:$K$10001,0)),"")</f>
        <v/>
      </c>
    </row>
    <row r="6594">
      <c r="A6594">
        <f>IFERROR(INDEX('Email Cleaner'!$B$2:$B$10001,MATCH(6593,'Email Cleaner'!$K$2:$K$10001,0)),"")</f>
        <v/>
      </c>
    </row>
    <row r="6595">
      <c r="A6595">
        <f>IFERROR(INDEX('Email Cleaner'!$B$2:$B$10001,MATCH(6594,'Email Cleaner'!$K$2:$K$10001,0)),"")</f>
        <v/>
      </c>
    </row>
    <row r="6596">
      <c r="A6596">
        <f>IFERROR(INDEX('Email Cleaner'!$B$2:$B$10001,MATCH(6595,'Email Cleaner'!$K$2:$K$10001,0)),"")</f>
        <v/>
      </c>
    </row>
    <row r="6597">
      <c r="A6597">
        <f>IFERROR(INDEX('Email Cleaner'!$B$2:$B$10001,MATCH(6596,'Email Cleaner'!$K$2:$K$10001,0)),"")</f>
        <v/>
      </c>
    </row>
    <row r="6598">
      <c r="A6598">
        <f>IFERROR(INDEX('Email Cleaner'!$B$2:$B$10001,MATCH(6597,'Email Cleaner'!$K$2:$K$10001,0)),"")</f>
        <v/>
      </c>
    </row>
    <row r="6599">
      <c r="A6599">
        <f>IFERROR(INDEX('Email Cleaner'!$B$2:$B$10001,MATCH(6598,'Email Cleaner'!$K$2:$K$10001,0)),"")</f>
        <v/>
      </c>
    </row>
    <row r="6600">
      <c r="A6600">
        <f>IFERROR(INDEX('Email Cleaner'!$B$2:$B$10001,MATCH(6599,'Email Cleaner'!$K$2:$K$10001,0)),"")</f>
        <v/>
      </c>
    </row>
    <row r="6601">
      <c r="A6601">
        <f>IFERROR(INDEX('Email Cleaner'!$B$2:$B$10001,MATCH(6600,'Email Cleaner'!$K$2:$K$10001,0)),"")</f>
        <v/>
      </c>
    </row>
    <row r="6602">
      <c r="A6602">
        <f>IFERROR(INDEX('Email Cleaner'!$B$2:$B$10001,MATCH(6601,'Email Cleaner'!$K$2:$K$10001,0)),"")</f>
        <v/>
      </c>
    </row>
    <row r="6603">
      <c r="A6603">
        <f>IFERROR(INDEX('Email Cleaner'!$B$2:$B$10001,MATCH(6602,'Email Cleaner'!$K$2:$K$10001,0)),"")</f>
        <v/>
      </c>
    </row>
    <row r="6604">
      <c r="A6604">
        <f>IFERROR(INDEX('Email Cleaner'!$B$2:$B$10001,MATCH(6603,'Email Cleaner'!$K$2:$K$10001,0)),"")</f>
        <v/>
      </c>
    </row>
    <row r="6605">
      <c r="A6605">
        <f>IFERROR(INDEX('Email Cleaner'!$B$2:$B$10001,MATCH(6604,'Email Cleaner'!$K$2:$K$10001,0)),"")</f>
        <v/>
      </c>
    </row>
    <row r="6606">
      <c r="A6606">
        <f>IFERROR(INDEX('Email Cleaner'!$B$2:$B$10001,MATCH(6605,'Email Cleaner'!$K$2:$K$10001,0)),"")</f>
        <v/>
      </c>
    </row>
    <row r="6607">
      <c r="A6607">
        <f>IFERROR(INDEX('Email Cleaner'!$B$2:$B$10001,MATCH(6606,'Email Cleaner'!$K$2:$K$10001,0)),"")</f>
        <v/>
      </c>
    </row>
    <row r="6608">
      <c r="A6608">
        <f>IFERROR(INDEX('Email Cleaner'!$B$2:$B$10001,MATCH(6607,'Email Cleaner'!$K$2:$K$10001,0)),"")</f>
        <v/>
      </c>
    </row>
    <row r="6609">
      <c r="A6609">
        <f>IFERROR(INDEX('Email Cleaner'!$B$2:$B$10001,MATCH(6608,'Email Cleaner'!$K$2:$K$10001,0)),"")</f>
        <v/>
      </c>
    </row>
    <row r="6610">
      <c r="A6610">
        <f>IFERROR(INDEX('Email Cleaner'!$B$2:$B$10001,MATCH(6609,'Email Cleaner'!$K$2:$K$10001,0)),"")</f>
        <v/>
      </c>
    </row>
    <row r="6611">
      <c r="A6611">
        <f>IFERROR(INDEX('Email Cleaner'!$B$2:$B$10001,MATCH(6610,'Email Cleaner'!$K$2:$K$10001,0)),"")</f>
        <v/>
      </c>
    </row>
    <row r="6612">
      <c r="A6612">
        <f>IFERROR(INDEX('Email Cleaner'!$B$2:$B$10001,MATCH(6611,'Email Cleaner'!$K$2:$K$10001,0)),"")</f>
        <v/>
      </c>
    </row>
    <row r="6613">
      <c r="A6613">
        <f>IFERROR(INDEX('Email Cleaner'!$B$2:$B$10001,MATCH(6612,'Email Cleaner'!$K$2:$K$10001,0)),"")</f>
        <v/>
      </c>
    </row>
    <row r="6614">
      <c r="A6614">
        <f>IFERROR(INDEX('Email Cleaner'!$B$2:$B$10001,MATCH(6613,'Email Cleaner'!$K$2:$K$10001,0)),"")</f>
        <v/>
      </c>
    </row>
    <row r="6615">
      <c r="A6615">
        <f>IFERROR(INDEX('Email Cleaner'!$B$2:$B$10001,MATCH(6614,'Email Cleaner'!$K$2:$K$10001,0)),"")</f>
        <v/>
      </c>
    </row>
    <row r="6616">
      <c r="A6616">
        <f>IFERROR(INDEX('Email Cleaner'!$B$2:$B$10001,MATCH(6615,'Email Cleaner'!$K$2:$K$10001,0)),"")</f>
        <v/>
      </c>
    </row>
    <row r="6617">
      <c r="A6617">
        <f>IFERROR(INDEX('Email Cleaner'!$B$2:$B$10001,MATCH(6616,'Email Cleaner'!$K$2:$K$10001,0)),"")</f>
        <v/>
      </c>
    </row>
    <row r="6618">
      <c r="A6618">
        <f>IFERROR(INDEX('Email Cleaner'!$B$2:$B$10001,MATCH(6617,'Email Cleaner'!$K$2:$K$10001,0)),"")</f>
        <v/>
      </c>
    </row>
    <row r="6619">
      <c r="A6619">
        <f>IFERROR(INDEX('Email Cleaner'!$B$2:$B$10001,MATCH(6618,'Email Cleaner'!$K$2:$K$10001,0)),"")</f>
        <v/>
      </c>
    </row>
    <row r="6620">
      <c r="A6620">
        <f>IFERROR(INDEX('Email Cleaner'!$B$2:$B$10001,MATCH(6619,'Email Cleaner'!$K$2:$K$10001,0)),"")</f>
        <v/>
      </c>
    </row>
    <row r="6621">
      <c r="A6621">
        <f>IFERROR(INDEX('Email Cleaner'!$B$2:$B$10001,MATCH(6620,'Email Cleaner'!$K$2:$K$10001,0)),"")</f>
        <v/>
      </c>
    </row>
    <row r="6622">
      <c r="A6622">
        <f>IFERROR(INDEX('Email Cleaner'!$B$2:$B$10001,MATCH(6621,'Email Cleaner'!$K$2:$K$10001,0)),"")</f>
        <v/>
      </c>
    </row>
    <row r="6623">
      <c r="A6623">
        <f>IFERROR(INDEX('Email Cleaner'!$B$2:$B$10001,MATCH(6622,'Email Cleaner'!$K$2:$K$10001,0)),"")</f>
        <v/>
      </c>
    </row>
    <row r="6624">
      <c r="A6624">
        <f>IFERROR(INDEX('Email Cleaner'!$B$2:$B$10001,MATCH(6623,'Email Cleaner'!$K$2:$K$10001,0)),"")</f>
        <v/>
      </c>
    </row>
    <row r="6625">
      <c r="A6625">
        <f>IFERROR(INDEX('Email Cleaner'!$B$2:$B$10001,MATCH(6624,'Email Cleaner'!$K$2:$K$10001,0)),"")</f>
        <v/>
      </c>
    </row>
    <row r="6626">
      <c r="A6626">
        <f>IFERROR(INDEX('Email Cleaner'!$B$2:$B$10001,MATCH(6625,'Email Cleaner'!$K$2:$K$10001,0)),"")</f>
        <v/>
      </c>
    </row>
    <row r="6627">
      <c r="A6627">
        <f>IFERROR(INDEX('Email Cleaner'!$B$2:$B$10001,MATCH(6626,'Email Cleaner'!$K$2:$K$10001,0)),"")</f>
        <v/>
      </c>
    </row>
    <row r="6628">
      <c r="A6628">
        <f>IFERROR(INDEX('Email Cleaner'!$B$2:$B$10001,MATCH(6627,'Email Cleaner'!$K$2:$K$10001,0)),"")</f>
        <v/>
      </c>
    </row>
    <row r="6629">
      <c r="A6629">
        <f>IFERROR(INDEX('Email Cleaner'!$B$2:$B$10001,MATCH(6628,'Email Cleaner'!$K$2:$K$10001,0)),"")</f>
        <v/>
      </c>
    </row>
    <row r="6630">
      <c r="A6630">
        <f>IFERROR(INDEX('Email Cleaner'!$B$2:$B$10001,MATCH(6629,'Email Cleaner'!$K$2:$K$10001,0)),"")</f>
        <v/>
      </c>
    </row>
    <row r="6631">
      <c r="A6631">
        <f>IFERROR(INDEX('Email Cleaner'!$B$2:$B$10001,MATCH(6630,'Email Cleaner'!$K$2:$K$10001,0)),"")</f>
        <v/>
      </c>
    </row>
    <row r="6632">
      <c r="A6632">
        <f>IFERROR(INDEX('Email Cleaner'!$B$2:$B$10001,MATCH(6631,'Email Cleaner'!$K$2:$K$10001,0)),"")</f>
        <v/>
      </c>
    </row>
    <row r="6633">
      <c r="A6633">
        <f>IFERROR(INDEX('Email Cleaner'!$B$2:$B$10001,MATCH(6632,'Email Cleaner'!$K$2:$K$10001,0)),"")</f>
        <v/>
      </c>
    </row>
    <row r="6634">
      <c r="A6634">
        <f>IFERROR(INDEX('Email Cleaner'!$B$2:$B$10001,MATCH(6633,'Email Cleaner'!$K$2:$K$10001,0)),"")</f>
        <v/>
      </c>
    </row>
    <row r="6635">
      <c r="A6635">
        <f>IFERROR(INDEX('Email Cleaner'!$B$2:$B$10001,MATCH(6634,'Email Cleaner'!$K$2:$K$10001,0)),"")</f>
        <v/>
      </c>
    </row>
    <row r="6636">
      <c r="A6636">
        <f>IFERROR(INDEX('Email Cleaner'!$B$2:$B$10001,MATCH(6635,'Email Cleaner'!$K$2:$K$10001,0)),"")</f>
        <v/>
      </c>
    </row>
    <row r="6637">
      <c r="A6637">
        <f>IFERROR(INDEX('Email Cleaner'!$B$2:$B$10001,MATCH(6636,'Email Cleaner'!$K$2:$K$10001,0)),"")</f>
        <v/>
      </c>
    </row>
    <row r="6638">
      <c r="A6638">
        <f>IFERROR(INDEX('Email Cleaner'!$B$2:$B$10001,MATCH(6637,'Email Cleaner'!$K$2:$K$10001,0)),"")</f>
        <v/>
      </c>
    </row>
    <row r="6639">
      <c r="A6639">
        <f>IFERROR(INDEX('Email Cleaner'!$B$2:$B$10001,MATCH(6638,'Email Cleaner'!$K$2:$K$10001,0)),"")</f>
        <v/>
      </c>
    </row>
    <row r="6640">
      <c r="A6640">
        <f>IFERROR(INDEX('Email Cleaner'!$B$2:$B$10001,MATCH(6639,'Email Cleaner'!$K$2:$K$10001,0)),"")</f>
        <v/>
      </c>
    </row>
    <row r="6641">
      <c r="A6641">
        <f>IFERROR(INDEX('Email Cleaner'!$B$2:$B$10001,MATCH(6640,'Email Cleaner'!$K$2:$K$10001,0)),"")</f>
        <v/>
      </c>
    </row>
    <row r="6642">
      <c r="A6642">
        <f>IFERROR(INDEX('Email Cleaner'!$B$2:$B$10001,MATCH(6641,'Email Cleaner'!$K$2:$K$10001,0)),"")</f>
        <v/>
      </c>
    </row>
    <row r="6643">
      <c r="A6643">
        <f>IFERROR(INDEX('Email Cleaner'!$B$2:$B$10001,MATCH(6642,'Email Cleaner'!$K$2:$K$10001,0)),"")</f>
        <v/>
      </c>
    </row>
    <row r="6644">
      <c r="A6644">
        <f>IFERROR(INDEX('Email Cleaner'!$B$2:$B$10001,MATCH(6643,'Email Cleaner'!$K$2:$K$10001,0)),"")</f>
        <v/>
      </c>
    </row>
    <row r="6645">
      <c r="A6645">
        <f>IFERROR(INDEX('Email Cleaner'!$B$2:$B$10001,MATCH(6644,'Email Cleaner'!$K$2:$K$10001,0)),"")</f>
        <v/>
      </c>
    </row>
    <row r="6646">
      <c r="A6646">
        <f>IFERROR(INDEX('Email Cleaner'!$B$2:$B$10001,MATCH(6645,'Email Cleaner'!$K$2:$K$10001,0)),"")</f>
        <v/>
      </c>
    </row>
    <row r="6647">
      <c r="A6647">
        <f>IFERROR(INDEX('Email Cleaner'!$B$2:$B$10001,MATCH(6646,'Email Cleaner'!$K$2:$K$10001,0)),"")</f>
        <v/>
      </c>
    </row>
    <row r="6648">
      <c r="A6648">
        <f>IFERROR(INDEX('Email Cleaner'!$B$2:$B$10001,MATCH(6647,'Email Cleaner'!$K$2:$K$10001,0)),"")</f>
        <v/>
      </c>
    </row>
    <row r="6649">
      <c r="A6649">
        <f>IFERROR(INDEX('Email Cleaner'!$B$2:$B$10001,MATCH(6648,'Email Cleaner'!$K$2:$K$10001,0)),"")</f>
        <v/>
      </c>
    </row>
    <row r="6650">
      <c r="A6650">
        <f>IFERROR(INDEX('Email Cleaner'!$B$2:$B$10001,MATCH(6649,'Email Cleaner'!$K$2:$K$10001,0)),"")</f>
        <v/>
      </c>
    </row>
    <row r="6651">
      <c r="A6651">
        <f>IFERROR(INDEX('Email Cleaner'!$B$2:$B$10001,MATCH(6650,'Email Cleaner'!$K$2:$K$10001,0)),"")</f>
        <v/>
      </c>
    </row>
    <row r="6652">
      <c r="A6652">
        <f>IFERROR(INDEX('Email Cleaner'!$B$2:$B$10001,MATCH(6651,'Email Cleaner'!$K$2:$K$10001,0)),"")</f>
        <v/>
      </c>
    </row>
    <row r="6653">
      <c r="A6653">
        <f>IFERROR(INDEX('Email Cleaner'!$B$2:$B$10001,MATCH(6652,'Email Cleaner'!$K$2:$K$10001,0)),"")</f>
        <v/>
      </c>
    </row>
    <row r="6654">
      <c r="A6654">
        <f>IFERROR(INDEX('Email Cleaner'!$B$2:$B$10001,MATCH(6653,'Email Cleaner'!$K$2:$K$10001,0)),"")</f>
        <v/>
      </c>
    </row>
    <row r="6655">
      <c r="A6655">
        <f>IFERROR(INDEX('Email Cleaner'!$B$2:$B$10001,MATCH(6654,'Email Cleaner'!$K$2:$K$10001,0)),"")</f>
        <v/>
      </c>
    </row>
    <row r="6656">
      <c r="A6656">
        <f>IFERROR(INDEX('Email Cleaner'!$B$2:$B$10001,MATCH(6655,'Email Cleaner'!$K$2:$K$10001,0)),"")</f>
        <v/>
      </c>
    </row>
    <row r="6657">
      <c r="A6657">
        <f>IFERROR(INDEX('Email Cleaner'!$B$2:$B$10001,MATCH(6656,'Email Cleaner'!$K$2:$K$10001,0)),"")</f>
        <v/>
      </c>
    </row>
    <row r="6658">
      <c r="A6658">
        <f>IFERROR(INDEX('Email Cleaner'!$B$2:$B$10001,MATCH(6657,'Email Cleaner'!$K$2:$K$10001,0)),"")</f>
        <v/>
      </c>
    </row>
    <row r="6659">
      <c r="A6659">
        <f>IFERROR(INDEX('Email Cleaner'!$B$2:$B$10001,MATCH(6658,'Email Cleaner'!$K$2:$K$10001,0)),"")</f>
        <v/>
      </c>
    </row>
    <row r="6660">
      <c r="A6660">
        <f>IFERROR(INDEX('Email Cleaner'!$B$2:$B$10001,MATCH(6659,'Email Cleaner'!$K$2:$K$10001,0)),"")</f>
        <v/>
      </c>
    </row>
    <row r="6661">
      <c r="A6661">
        <f>IFERROR(INDEX('Email Cleaner'!$B$2:$B$10001,MATCH(6660,'Email Cleaner'!$K$2:$K$10001,0)),"")</f>
        <v/>
      </c>
    </row>
    <row r="6662">
      <c r="A6662">
        <f>IFERROR(INDEX('Email Cleaner'!$B$2:$B$10001,MATCH(6661,'Email Cleaner'!$K$2:$K$10001,0)),"")</f>
        <v/>
      </c>
    </row>
    <row r="6663">
      <c r="A6663">
        <f>IFERROR(INDEX('Email Cleaner'!$B$2:$B$10001,MATCH(6662,'Email Cleaner'!$K$2:$K$10001,0)),"")</f>
        <v/>
      </c>
    </row>
    <row r="6664">
      <c r="A6664">
        <f>IFERROR(INDEX('Email Cleaner'!$B$2:$B$10001,MATCH(6663,'Email Cleaner'!$K$2:$K$10001,0)),"")</f>
        <v/>
      </c>
    </row>
    <row r="6665">
      <c r="A6665">
        <f>IFERROR(INDEX('Email Cleaner'!$B$2:$B$10001,MATCH(6664,'Email Cleaner'!$K$2:$K$10001,0)),"")</f>
        <v/>
      </c>
    </row>
    <row r="6666">
      <c r="A6666">
        <f>IFERROR(INDEX('Email Cleaner'!$B$2:$B$10001,MATCH(6665,'Email Cleaner'!$K$2:$K$10001,0)),"")</f>
        <v/>
      </c>
    </row>
    <row r="6667">
      <c r="A6667">
        <f>IFERROR(INDEX('Email Cleaner'!$B$2:$B$10001,MATCH(6666,'Email Cleaner'!$K$2:$K$10001,0)),"")</f>
        <v/>
      </c>
    </row>
    <row r="6668">
      <c r="A6668">
        <f>IFERROR(INDEX('Email Cleaner'!$B$2:$B$10001,MATCH(6667,'Email Cleaner'!$K$2:$K$10001,0)),"")</f>
        <v/>
      </c>
    </row>
    <row r="6669">
      <c r="A6669">
        <f>IFERROR(INDEX('Email Cleaner'!$B$2:$B$10001,MATCH(6668,'Email Cleaner'!$K$2:$K$10001,0)),"")</f>
        <v/>
      </c>
    </row>
    <row r="6670">
      <c r="A6670">
        <f>IFERROR(INDEX('Email Cleaner'!$B$2:$B$10001,MATCH(6669,'Email Cleaner'!$K$2:$K$10001,0)),"")</f>
        <v/>
      </c>
    </row>
    <row r="6671">
      <c r="A6671">
        <f>IFERROR(INDEX('Email Cleaner'!$B$2:$B$10001,MATCH(6670,'Email Cleaner'!$K$2:$K$10001,0)),"")</f>
        <v/>
      </c>
    </row>
    <row r="6672">
      <c r="A6672">
        <f>IFERROR(INDEX('Email Cleaner'!$B$2:$B$10001,MATCH(6671,'Email Cleaner'!$K$2:$K$10001,0)),"")</f>
        <v/>
      </c>
    </row>
    <row r="6673">
      <c r="A6673">
        <f>IFERROR(INDEX('Email Cleaner'!$B$2:$B$10001,MATCH(6672,'Email Cleaner'!$K$2:$K$10001,0)),"")</f>
        <v/>
      </c>
    </row>
    <row r="6674">
      <c r="A6674">
        <f>IFERROR(INDEX('Email Cleaner'!$B$2:$B$10001,MATCH(6673,'Email Cleaner'!$K$2:$K$10001,0)),"")</f>
        <v/>
      </c>
    </row>
    <row r="6675">
      <c r="A6675">
        <f>IFERROR(INDEX('Email Cleaner'!$B$2:$B$10001,MATCH(6674,'Email Cleaner'!$K$2:$K$10001,0)),"")</f>
        <v/>
      </c>
    </row>
    <row r="6676">
      <c r="A6676">
        <f>IFERROR(INDEX('Email Cleaner'!$B$2:$B$10001,MATCH(6675,'Email Cleaner'!$K$2:$K$10001,0)),"")</f>
        <v/>
      </c>
    </row>
    <row r="6677">
      <c r="A6677">
        <f>IFERROR(INDEX('Email Cleaner'!$B$2:$B$10001,MATCH(6676,'Email Cleaner'!$K$2:$K$10001,0)),"")</f>
        <v/>
      </c>
    </row>
    <row r="6678">
      <c r="A6678">
        <f>IFERROR(INDEX('Email Cleaner'!$B$2:$B$10001,MATCH(6677,'Email Cleaner'!$K$2:$K$10001,0)),"")</f>
        <v/>
      </c>
    </row>
    <row r="6679">
      <c r="A6679">
        <f>IFERROR(INDEX('Email Cleaner'!$B$2:$B$10001,MATCH(6678,'Email Cleaner'!$K$2:$K$10001,0)),"")</f>
        <v/>
      </c>
    </row>
    <row r="6680">
      <c r="A6680">
        <f>IFERROR(INDEX('Email Cleaner'!$B$2:$B$10001,MATCH(6679,'Email Cleaner'!$K$2:$K$10001,0)),"")</f>
        <v/>
      </c>
    </row>
    <row r="6681">
      <c r="A6681">
        <f>IFERROR(INDEX('Email Cleaner'!$B$2:$B$10001,MATCH(6680,'Email Cleaner'!$K$2:$K$10001,0)),"")</f>
        <v/>
      </c>
    </row>
    <row r="6682">
      <c r="A6682">
        <f>IFERROR(INDEX('Email Cleaner'!$B$2:$B$10001,MATCH(6681,'Email Cleaner'!$K$2:$K$10001,0)),"")</f>
        <v/>
      </c>
    </row>
    <row r="6683">
      <c r="A6683">
        <f>IFERROR(INDEX('Email Cleaner'!$B$2:$B$10001,MATCH(6682,'Email Cleaner'!$K$2:$K$10001,0)),"")</f>
        <v/>
      </c>
    </row>
    <row r="6684">
      <c r="A6684">
        <f>IFERROR(INDEX('Email Cleaner'!$B$2:$B$10001,MATCH(6683,'Email Cleaner'!$K$2:$K$10001,0)),"")</f>
        <v/>
      </c>
    </row>
    <row r="6685">
      <c r="A6685">
        <f>IFERROR(INDEX('Email Cleaner'!$B$2:$B$10001,MATCH(6684,'Email Cleaner'!$K$2:$K$10001,0)),"")</f>
        <v/>
      </c>
    </row>
    <row r="6686">
      <c r="A6686">
        <f>IFERROR(INDEX('Email Cleaner'!$B$2:$B$10001,MATCH(6685,'Email Cleaner'!$K$2:$K$10001,0)),"")</f>
        <v/>
      </c>
    </row>
    <row r="6687">
      <c r="A6687">
        <f>IFERROR(INDEX('Email Cleaner'!$B$2:$B$10001,MATCH(6686,'Email Cleaner'!$K$2:$K$10001,0)),"")</f>
        <v/>
      </c>
    </row>
    <row r="6688">
      <c r="A6688">
        <f>IFERROR(INDEX('Email Cleaner'!$B$2:$B$10001,MATCH(6687,'Email Cleaner'!$K$2:$K$10001,0)),"")</f>
        <v/>
      </c>
    </row>
    <row r="6689">
      <c r="A6689">
        <f>IFERROR(INDEX('Email Cleaner'!$B$2:$B$10001,MATCH(6688,'Email Cleaner'!$K$2:$K$10001,0)),"")</f>
        <v/>
      </c>
    </row>
    <row r="6690">
      <c r="A6690">
        <f>IFERROR(INDEX('Email Cleaner'!$B$2:$B$10001,MATCH(6689,'Email Cleaner'!$K$2:$K$10001,0)),"")</f>
        <v/>
      </c>
    </row>
    <row r="6691">
      <c r="A6691">
        <f>IFERROR(INDEX('Email Cleaner'!$B$2:$B$10001,MATCH(6690,'Email Cleaner'!$K$2:$K$10001,0)),"")</f>
        <v/>
      </c>
    </row>
    <row r="6692">
      <c r="A6692">
        <f>IFERROR(INDEX('Email Cleaner'!$B$2:$B$10001,MATCH(6691,'Email Cleaner'!$K$2:$K$10001,0)),"")</f>
        <v/>
      </c>
    </row>
    <row r="6693">
      <c r="A6693">
        <f>IFERROR(INDEX('Email Cleaner'!$B$2:$B$10001,MATCH(6692,'Email Cleaner'!$K$2:$K$10001,0)),"")</f>
        <v/>
      </c>
    </row>
    <row r="6694">
      <c r="A6694">
        <f>IFERROR(INDEX('Email Cleaner'!$B$2:$B$10001,MATCH(6693,'Email Cleaner'!$K$2:$K$10001,0)),"")</f>
        <v/>
      </c>
    </row>
    <row r="6695">
      <c r="A6695">
        <f>IFERROR(INDEX('Email Cleaner'!$B$2:$B$10001,MATCH(6694,'Email Cleaner'!$K$2:$K$10001,0)),"")</f>
        <v/>
      </c>
    </row>
    <row r="6696">
      <c r="A6696">
        <f>IFERROR(INDEX('Email Cleaner'!$B$2:$B$10001,MATCH(6695,'Email Cleaner'!$K$2:$K$10001,0)),"")</f>
        <v/>
      </c>
    </row>
    <row r="6697">
      <c r="A6697">
        <f>IFERROR(INDEX('Email Cleaner'!$B$2:$B$10001,MATCH(6696,'Email Cleaner'!$K$2:$K$10001,0)),"")</f>
        <v/>
      </c>
    </row>
    <row r="6698">
      <c r="A6698">
        <f>IFERROR(INDEX('Email Cleaner'!$B$2:$B$10001,MATCH(6697,'Email Cleaner'!$K$2:$K$10001,0)),"")</f>
        <v/>
      </c>
    </row>
    <row r="6699">
      <c r="A6699">
        <f>IFERROR(INDEX('Email Cleaner'!$B$2:$B$10001,MATCH(6698,'Email Cleaner'!$K$2:$K$10001,0)),"")</f>
        <v/>
      </c>
    </row>
    <row r="6700">
      <c r="A6700">
        <f>IFERROR(INDEX('Email Cleaner'!$B$2:$B$10001,MATCH(6699,'Email Cleaner'!$K$2:$K$10001,0)),"")</f>
        <v/>
      </c>
    </row>
    <row r="6701">
      <c r="A6701">
        <f>IFERROR(INDEX('Email Cleaner'!$B$2:$B$10001,MATCH(6700,'Email Cleaner'!$K$2:$K$10001,0)),"")</f>
        <v/>
      </c>
    </row>
    <row r="6702">
      <c r="A6702">
        <f>IFERROR(INDEX('Email Cleaner'!$B$2:$B$10001,MATCH(6701,'Email Cleaner'!$K$2:$K$10001,0)),"")</f>
        <v/>
      </c>
    </row>
    <row r="6703">
      <c r="A6703">
        <f>IFERROR(INDEX('Email Cleaner'!$B$2:$B$10001,MATCH(6702,'Email Cleaner'!$K$2:$K$10001,0)),"")</f>
        <v/>
      </c>
    </row>
    <row r="6704">
      <c r="A6704">
        <f>IFERROR(INDEX('Email Cleaner'!$B$2:$B$10001,MATCH(6703,'Email Cleaner'!$K$2:$K$10001,0)),"")</f>
        <v/>
      </c>
    </row>
    <row r="6705">
      <c r="A6705">
        <f>IFERROR(INDEX('Email Cleaner'!$B$2:$B$10001,MATCH(6704,'Email Cleaner'!$K$2:$K$10001,0)),"")</f>
        <v/>
      </c>
    </row>
    <row r="6706">
      <c r="A6706">
        <f>IFERROR(INDEX('Email Cleaner'!$B$2:$B$10001,MATCH(6705,'Email Cleaner'!$K$2:$K$10001,0)),"")</f>
        <v/>
      </c>
    </row>
    <row r="6707">
      <c r="A6707">
        <f>IFERROR(INDEX('Email Cleaner'!$B$2:$B$10001,MATCH(6706,'Email Cleaner'!$K$2:$K$10001,0)),"")</f>
        <v/>
      </c>
    </row>
    <row r="6708">
      <c r="A6708">
        <f>IFERROR(INDEX('Email Cleaner'!$B$2:$B$10001,MATCH(6707,'Email Cleaner'!$K$2:$K$10001,0)),"")</f>
        <v/>
      </c>
    </row>
    <row r="6709">
      <c r="A6709">
        <f>IFERROR(INDEX('Email Cleaner'!$B$2:$B$10001,MATCH(6708,'Email Cleaner'!$K$2:$K$10001,0)),"")</f>
        <v/>
      </c>
    </row>
    <row r="6710">
      <c r="A6710">
        <f>IFERROR(INDEX('Email Cleaner'!$B$2:$B$10001,MATCH(6709,'Email Cleaner'!$K$2:$K$10001,0)),"")</f>
        <v/>
      </c>
    </row>
    <row r="6711">
      <c r="A6711">
        <f>IFERROR(INDEX('Email Cleaner'!$B$2:$B$10001,MATCH(6710,'Email Cleaner'!$K$2:$K$10001,0)),"")</f>
        <v/>
      </c>
    </row>
    <row r="6712">
      <c r="A6712">
        <f>IFERROR(INDEX('Email Cleaner'!$B$2:$B$10001,MATCH(6711,'Email Cleaner'!$K$2:$K$10001,0)),"")</f>
        <v/>
      </c>
    </row>
    <row r="6713">
      <c r="A6713">
        <f>IFERROR(INDEX('Email Cleaner'!$B$2:$B$10001,MATCH(6712,'Email Cleaner'!$K$2:$K$10001,0)),"")</f>
        <v/>
      </c>
    </row>
    <row r="6714">
      <c r="A6714">
        <f>IFERROR(INDEX('Email Cleaner'!$B$2:$B$10001,MATCH(6713,'Email Cleaner'!$K$2:$K$10001,0)),"")</f>
        <v/>
      </c>
    </row>
    <row r="6715">
      <c r="A6715">
        <f>IFERROR(INDEX('Email Cleaner'!$B$2:$B$10001,MATCH(6714,'Email Cleaner'!$K$2:$K$10001,0)),"")</f>
        <v/>
      </c>
    </row>
    <row r="6716">
      <c r="A6716">
        <f>IFERROR(INDEX('Email Cleaner'!$B$2:$B$10001,MATCH(6715,'Email Cleaner'!$K$2:$K$10001,0)),"")</f>
        <v/>
      </c>
    </row>
    <row r="6717">
      <c r="A6717">
        <f>IFERROR(INDEX('Email Cleaner'!$B$2:$B$10001,MATCH(6716,'Email Cleaner'!$K$2:$K$10001,0)),"")</f>
        <v/>
      </c>
    </row>
    <row r="6718">
      <c r="A6718">
        <f>IFERROR(INDEX('Email Cleaner'!$B$2:$B$10001,MATCH(6717,'Email Cleaner'!$K$2:$K$10001,0)),"")</f>
        <v/>
      </c>
    </row>
    <row r="6719">
      <c r="A6719">
        <f>IFERROR(INDEX('Email Cleaner'!$B$2:$B$10001,MATCH(6718,'Email Cleaner'!$K$2:$K$10001,0)),"")</f>
        <v/>
      </c>
    </row>
    <row r="6720">
      <c r="A6720">
        <f>IFERROR(INDEX('Email Cleaner'!$B$2:$B$10001,MATCH(6719,'Email Cleaner'!$K$2:$K$10001,0)),"")</f>
        <v/>
      </c>
    </row>
    <row r="6721">
      <c r="A6721">
        <f>IFERROR(INDEX('Email Cleaner'!$B$2:$B$10001,MATCH(6720,'Email Cleaner'!$K$2:$K$10001,0)),"")</f>
        <v/>
      </c>
    </row>
    <row r="6722">
      <c r="A6722">
        <f>IFERROR(INDEX('Email Cleaner'!$B$2:$B$10001,MATCH(6721,'Email Cleaner'!$K$2:$K$10001,0)),"")</f>
        <v/>
      </c>
    </row>
    <row r="6723">
      <c r="A6723">
        <f>IFERROR(INDEX('Email Cleaner'!$B$2:$B$10001,MATCH(6722,'Email Cleaner'!$K$2:$K$10001,0)),"")</f>
        <v/>
      </c>
    </row>
    <row r="6724">
      <c r="A6724">
        <f>IFERROR(INDEX('Email Cleaner'!$B$2:$B$10001,MATCH(6723,'Email Cleaner'!$K$2:$K$10001,0)),"")</f>
        <v/>
      </c>
    </row>
    <row r="6725">
      <c r="A6725">
        <f>IFERROR(INDEX('Email Cleaner'!$B$2:$B$10001,MATCH(6724,'Email Cleaner'!$K$2:$K$10001,0)),"")</f>
        <v/>
      </c>
    </row>
    <row r="6726">
      <c r="A6726">
        <f>IFERROR(INDEX('Email Cleaner'!$B$2:$B$10001,MATCH(6725,'Email Cleaner'!$K$2:$K$10001,0)),"")</f>
        <v/>
      </c>
    </row>
    <row r="6727">
      <c r="A6727">
        <f>IFERROR(INDEX('Email Cleaner'!$B$2:$B$10001,MATCH(6726,'Email Cleaner'!$K$2:$K$10001,0)),"")</f>
        <v/>
      </c>
    </row>
    <row r="6728">
      <c r="A6728">
        <f>IFERROR(INDEX('Email Cleaner'!$B$2:$B$10001,MATCH(6727,'Email Cleaner'!$K$2:$K$10001,0)),"")</f>
        <v/>
      </c>
    </row>
    <row r="6729">
      <c r="A6729">
        <f>IFERROR(INDEX('Email Cleaner'!$B$2:$B$10001,MATCH(6728,'Email Cleaner'!$K$2:$K$10001,0)),"")</f>
        <v/>
      </c>
    </row>
    <row r="6730">
      <c r="A6730">
        <f>IFERROR(INDEX('Email Cleaner'!$B$2:$B$10001,MATCH(6729,'Email Cleaner'!$K$2:$K$10001,0)),"")</f>
        <v/>
      </c>
    </row>
    <row r="6731">
      <c r="A6731">
        <f>IFERROR(INDEX('Email Cleaner'!$B$2:$B$10001,MATCH(6730,'Email Cleaner'!$K$2:$K$10001,0)),"")</f>
        <v/>
      </c>
    </row>
    <row r="6732">
      <c r="A6732">
        <f>IFERROR(INDEX('Email Cleaner'!$B$2:$B$10001,MATCH(6731,'Email Cleaner'!$K$2:$K$10001,0)),"")</f>
        <v/>
      </c>
    </row>
    <row r="6733">
      <c r="A6733">
        <f>IFERROR(INDEX('Email Cleaner'!$B$2:$B$10001,MATCH(6732,'Email Cleaner'!$K$2:$K$10001,0)),"")</f>
        <v/>
      </c>
    </row>
    <row r="6734">
      <c r="A6734">
        <f>IFERROR(INDEX('Email Cleaner'!$B$2:$B$10001,MATCH(6733,'Email Cleaner'!$K$2:$K$10001,0)),"")</f>
        <v/>
      </c>
    </row>
    <row r="6735">
      <c r="A6735">
        <f>IFERROR(INDEX('Email Cleaner'!$B$2:$B$10001,MATCH(6734,'Email Cleaner'!$K$2:$K$10001,0)),"")</f>
        <v/>
      </c>
    </row>
    <row r="6736">
      <c r="A6736">
        <f>IFERROR(INDEX('Email Cleaner'!$B$2:$B$10001,MATCH(6735,'Email Cleaner'!$K$2:$K$10001,0)),"")</f>
        <v/>
      </c>
    </row>
    <row r="6737">
      <c r="A6737">
        <f>IFERROR(INDEX('Email Cleaner'!$B$2:$B$10001,MATCH(6736,'Email Cleaner'!$K$2:$K$10001,0)),"")</f>
        <v/>
      </c>
    </row>
    <row r="6738">
      <c r="A6738">
        <f>IFERROR(INDEX('Email Cleaner'!$B$2:$B$10001,MATCH(6737,'Email Cleaner'!$K$2:$K$10001,0)),"")</f>
        <v/>
      </c>
    </row>
    <row r="6739">
      <c r="A6739">
        <f>IFERROR(INDEX('Email Cleaner'!$B$2:$B$10001,MATCH(6738,'Email Cleaner'!$K$2:$K$10001,0)),"")</f>
        <v/>
      </c>
    </row>
    <row r="6740">
      <c r="A6740">
        <f>IFERROR(INDEX('Email Cleaner'!$B$2:$B$10001,MATCH(6739,'Email Cleaner'!$K$2:$K$10001,0)),"")</f>
        <v/>
      </c>
    </row>
    <row r="6741">
      <c r="A6741">
        <f>IFERROR(INDEX('Email Cleaner'!$B$2:$B$10001,MATCH(6740,'Email Cleaner'!$K$2:$K$10001,0)),"")</f>
        <v/>
      </c>
    </row>
    <row r="6742">
      <c r="A6742">
        <f>IFERROR(INDEX('Email Cleaner'!$B$2:$B$10001,MATCH(6741,'Email Cleaner'!$K$2:$K$10001,0)),"")</f>
        <v/>
      </c>
    </row>
    <row r="6743">
      <c r="A6743">
        <f>IFERROR(INDEX('Email Cleaner'!$B$2:$B$10001,MATCH(6742,'Email Cleaner'!$K$2:$K$10001,0)),"")</f>
        <v/>
      </c>
    </row>
    <row r="6744">
      <c r="A6744">
        <f>IFERROR(INDEX('Email Cleaner'!$B$2:$B$10001,MATCH(6743,'Email Cleaner'!$K$2:$K$10001,0)),"")</f>
        <v/>
      </c>
    </row>
    <row r="6745">
      <c r="A6745">
        <f>IFERROR(INDEX('Email Cleaner'!$B$2:$B$10001,MATCH(6744,'Email Cleaner'!$K$2:$K$10001,0)),"")</f>
        <v/>
      </c>
    </row>
    <row r="6746">
      <c r="A6746">
        <f>IFERROR(INDEX('Email Cleaner'!$B$2:$B$10001,MATCH(6745,'Email Cleaner'!$K$2:$K$10001,0)),"")</f>
        <v/>
      </c>
    </row>
    <row r="6747">
      <c r="A6747">
        <f>IFERROR(INDEX('Email Cleaner'!$B$2:$B$10001,MATCH(6746,'Email Cleaner'!$K$2:$K$10001,0)),"")</f>
        <v/>
      </c>
    </row>
    <row r="6748">
      <c r="A6748">
        <f>IFERROR(INDEX('Email Cleaner'!$B$2:$B$10001,MATCH(6747,'Email Cleaner'!$K$2:$K$10001,0)),"")</f>
        <v/>
      </c>
    </row>
    <row r="6749">
      <c r="A6749">
        <f>IFERROR(INDEX('Email Cleaner'!$B$2:$B$10001,MATCH(6748,'Email Cleaner'!$K$2:$K$10001,0)),"")</f>
        <v/>
      </c>
    </row>
    <row r="6750">
      <c r="A6750">
        <f>IFERROR(INDEX('Email Cleaner'!$B$2:$B$10001,MATCH(6749,'Email Cleaner'!$K$2:$K$10001,0)),"")</f>
        <v/>
      </c>
    </row>
    <row r="6751">
      <c r="A6751">
        <f>IFERROR(INDEX('Email Cleaner'!$B$2:$B$10001,MATCH(6750,'Email Cleaner'!$K$2:$K$10001,0)),"")</f>
        <v/>
      </c>
    </row>
    <row r="6752">
      <c r="A6752">
        <f>IFERROR(INDEX('Email Cleaner'!$B$2:$B$10001,MATCH(6751,'Email Cleaner'!$K$2:$K$10001,0)),"")</f>
        <v/>
      </c>
    </row>
    <row r="6753">
      <c r="A6753">
        <f>IFERROR(INDEX('Email Cleaner'!$B$2:$B$10001,MATCH(6752,'Email Cleaner'!$K$2:$K$10001,0)),"")</f>
        <v/>
      </c>
    </row>
    <row r="6754">
      <c r="A6754">
        <f>IFERROR(INDEX('Email Cleaner'!$B$2:$B$10001,MATCH(6753,'Email Cleaner'!$K$2:$K$10001,0)),"")</f>
        <v/>
      </c>
    </row>
    <row r="6755">
      <c r="A6755">
        <f>IFERROR(INDEX('Email Cleaner'!$B$2:$B$10001,MATCH(6754,'Email Cleaner'!$K$2:$K$10001,0)),"")</f>
        <v/>
      </c>
    </row>
    <row r="6756">
      <c r="A6756">
        <f>IFERROR(INDEX('Email Cleaner'!$B$2:$B$10001,MATCH(6755,'Email Cleaner'!$K$2:$K$10001,0)),"")</f>
        <v/>
      </c>
    </row>
    <row r="6757">
      <c r="A6757">
        <f>IFERROR(INDEX('Email Cleaner'!$B$2:$B$10001,MATCH(6756,'Email Cleaner'!$K$2:$K$10001,0)),"")</f>
        <v/>
      </c>
    </row>
    <row r="6758">
      <c r="A6758">
        <f>IFERROR(INDEX('Email Cleaner'!$B$2:$B$10001,MATCH(6757,'Email Cleaner'!$K$2:$K$10001,0)),"")</f>
        <v/>
      </c>
    </row>
    <row r="6759">
      <c r="A6759">
        <f>IFERROR(INDEX('Email Cleaner'!$B$2:$B$10001,MATCH(6758,'Email Cleaner'!$K$2:$K$10001,0)),"")</f>
        <v/>
      </c>
    </row>
    <row r="6760">
      <c r="A6760">
        <f>IFERROR(INDEX('Email Cleaner'!$B$2:$B$10001,MATCH(6759,'Email Cleaner'!$K$2:$K$10001,0)),"")</f>
        <v/>
      </c>
    </row>
    <row r="6761">
      <c r="A6761">
        <f>IFERROR(INDEX('Email Cleaner'!$B$2:$B$10001,MATCH(6760,'Email Cleaner'!$K$2:$K$10001,0)),"")</f>
        <v/>
      </c>
    </row>
    <row r="6762">
      <c r="A6762">
        <f>IFERROR(INDEX('Email Cleaner'!$B$2:$B$10001,MATCH(6761,'Email Cleaner'!$K$2:$K$10001,0)),"")</f>
        <v/>
      </c>
    </row>
    <row r="6763">
      <c r="A6763">
        <f>IFERROR(INDEX('Email Cleaner'!$B$2:$B$10001,MATCH(6762,'Email Cleaner'!$K$2:$K$10001,0)),"")</f>
        <v/>
      </c>
    </row>
    <row r="6764">
      <c r="A6764">
        <f>IFERROR(INDEX('Email Cleaner'!$B$2:$B$10001,MATCH(6763,'Email Cleaner'!$K$2:$K$10001,0)),"")</f>
        <v/>
      </c>
    </row>
    <row r="6765">
      <c r="A6765">
        <f>IFERROR(INDEX('Email Cleaner'!$B$2:$B$10001,MATCH(6764,'Email Cleaner'!$K$2:$K$10001,0)),"")</f>
        <v/>
      </c>
    </row>
    <row r="6766">
      <c r="A6766">
        <f>IFERROR(INDEX('Email Cleaner'!$B$2:$B$10001,MATCH(6765,'Email Cleaner'!$K$2:$K$10001,0)),"")</f>
        <v/>
      </c>
    </row>
    <row r="6767">
      <c r="A6767">
        <f>IFERROR(INDEX('Email Cleaner'!$B$2:$B$10001,MATCH(6766,'Email Cleaner'!$K$2:$K$10001,0)),"")</f>
        <v/>
      </c>
    </row>
    <row r="6768">
      <c r="A6768">
        <f>IFERROR(INDEX('Email Cleaner'!$B$2:$B$10001,MATCH(6767,'Email Cleaner'!$K$2:$K$10001,0)),"")</f>
        <v/>
      </c>
    </row>
    <row r="6769">
      <c r="A6769">
        <f>IFERROR(INDEX('Email Cleaner'!$B$2:$B$10001,MATCH(6768,'Email Cleaner'!$K$2:$K$10001,0)),"")</f>
        <v/>
      </c>
    </row>
    <row r="6770">
      <c r="A6770">
        <f>IFERROR(INDEX('Email Cleaner'!$B$2:$B$10001,MATCH(6769,'Email Cleaner'!$K$2:$K$10001,0)),"")</f>
        <v/>
      </c>
    </row>
    <row r="6771">
      <c r="A6771">
        <f>IFERROR(INDEX('Email Cleaner'!$B$2:$B$10001,MATCH(6770,'Email Cleaner'!$K$2:$K$10001,0)),"")</f>
        <v/>
      </c>
    </row>
    <row r="6772">
      <c r="A6772">
        <f>IFERROR(INDEX('Email Cleaner'!$B$2:$B$10001,MATCH(6771,'Email Cleaner'!$K$2:$K$10001,0)),"")</f>
        <v/>
      </c>
    </row>
    <row r="6773">
      <c r="A6773">
        <f>IFERROR(INDEX('Email Cleaner'!$B$2:$B$10001,MATCH(6772,'Email Cleaner'!$K$2:$K$10001,0)),"")</f>
        <v/>
      </c>
    </row>
    <row r="6774">
      <c r="A6774">
        <f>IFERROR(INDEX('Email Cleaner'!$B$2:$B$10001,MATCH(6773,'Email Cleaner'!$K$2:$K$10001,0)),"")</f>
        <v/>
      </c>
    </row>
    <row r="6775">
      <c r="A6775">
        <f>IFERROR(INDEX('Email Cleaner'!$B$2:$B$10001,MATCH(6774,'Email Cleaner'!$K$2:$K$10001,0)),"")</f>
        <v/>
      </c>
    </row>
    <row r="6776">
      <c r="A6776">
        <f>IFERROR(INDEX('Email Cleaner'!$B$2:$B$10001,MATCH(6775,'Email Cleaner'!$K$2:$K$10001,0)),"")</f>
        <v/>
      </c>
    </row>
    <row r="6777">
      <c r="A6777">
        <f>IFERROR(INDEX('Email Cleaner'!$B$2:$B$10001,MATCH(6776,'Email Cleaner'!$K$2:$K$10001,0)),"")</f>
        <v/>
      </c>
    </row>
    <row r="6778">
      <c r="A6778">
        <f>IFERROR(INDEX('Email Cleaner'!$B$2:$B$10001,MATCH(6777,'Email Cleaner'!$K$2:$K$10001,0)),"")</f>
        <v/>
      </c>
    </row>
    <row r="6779">
      <c r="A6779">
        <f>IFERROR(INDEX('Email Cleaner'!$B$2:$B$10001,MATCH(6778,'Email Cleaner'!$K$2:$K$10001,0)),"")</f>
        <v/>
      </c>
    </row>
    <row r="6780">
      <c r="A6780">
        <f>IFERROR(INDEX('Email Cleaner'!$B$2:$B$10001,MATCH(6779,'Email Cleaner'!$K$2:$K$10001,0)),"")</f>
        <v/>
      </c>
    </row>
    <row r="6781">
      <c r="A6781">
        <f>IFERROR(INDEX('Email Cleaner'!$B$2:$B$10001,MATCH(6780,'Email Cleaner'!$K$2:$K$10001,0)),"")</f>
        <v/>
      </c>
    </row>
    <row r="6782">
      <c r="A6782">
        <f>IFERROR(INDEX('Email Cleaner'!$B$2:$B$10001,MATCH(6781,'Email Cleaner'!$K$2:$K$10001,0)),"")</f>
        <v/>
      </c>
    </row>
    <row r="6783">
      <c r="A6783">
        <f>IFERROR(INDEX('Email Cleaner'!$B$2:$B$10001,MATCH(6782,'Email Cleaner'!$K$2:$K$10001,0)),"")</f>
        <v/>
      </c>
    </row>
    <row r="6784">
      <c r="A6784">
        <f>IFERROR(INDEX('Email Cleaner'!$B$2:$B$10001,MATCH(6783,'Email Cleaner'!$K$2:$K$10001,0)),"")</f>
        <v/>
      </c>
    </row>
    <row r="6785">
      <c r="A6785">
        <f>IFERROR(INDEX('Email Cleaner'!$B$2:$B$10001,MATCH(6784,'Email Cleaner'!$K$2:$K$10001,0)),"")</f>
        <v/>
      </c>
    </row>
    <row r="6786">
      <c r="A6786">
        <f>IFERROR(INDEX('Email Cleaner'!$B$2:$B$10001,MATCH(6785,'Email Cleaner'!$K$2:$K$10001,0)),"")</f>
        <v/>
      </c>
    </row>
    <row r="6787">
      <c r="A6787">
        <f>IFERROR(INDEX('Email Cleaner'!$B$2:$B$10001,MATCH(6786,'Email Cleaner'!$K$2:$K$10001,0)),"")</f>
        <v/>
      </c>
    </row>
    <row r="6788">
      <c r="A6788">
        <f>IFERROR(INDEX('Email Cleaner'!$B$2:$B$10001,MATCH(6787,'Email Cleaner'!$K$2:$K$10001,0)),"")</f>
        <v/>
      </c>
    </row>
    <row r="6789">
      <c r="A6789">
        <f>IFERROR(INDEX('Email Cleaner'!$B$2:$B$10001,MATCH(6788,'Email Cleaner'!$K$2:$K$10001,0)),"")</f>
        <v/>
      </c>
    </row>
    <row r="6790">
      <c r="A6790">
        <f>IFERROR(INDEX('Email Cleaner'!$B$2:$B$10001,MATCH(6789,'Email Cleaner'!$K$2:$K$10001,0)),"")</f>
        <v/>
      </c>
    </row>
    <row r="6791">
      <c r="A6791">
        <f>IFERROR(INDEX('Email Cleaner'!$B$2:$B$10001,MATCH(6790,'Email Cleaner'!$K$2:$K$10001,0)),"")</f>
        <v/>
      </c>
    </row>
    <row r="6792">
      <c r="A6792">
        <f>IFERROR(INDEX('Email Cleaner'!$B$2:$B$10001,MATCH(6791,'Email Cleaner'!$K$2:$K$10001,0)),"")</f>
        <v/>
      </c>
    </row>
    <row r="6793">
      <c r="A6793">
        <f>IFERROR(INDEX('Email Cleaner'!$B$2:$B$10001,MATCH(6792,'Email Cleaner'!$K$2:$K$10001,0)),"")</f>
        <v/>
      </c>
    </row>
    <row r="6794">
      <c r="A6794">
        <f>IFERROR(INDEX('Email Cleaner'!$B$2:$B$10001,MATCH(6793,'Email Cleaner'!$K$2:$K$10001,0)),"")</f>
        <v/>
      </c>
    </row>
    <row r="6795">
      <c r="A6795">
        <f>IFERROR(INDEX('Email Cleaner'!$B$2:$B$10001,MATCH(6794,'Email Cleaner'!$K$2:$K$10001,0)),"")</f>
        <v/>
      </c>
    </row>
    <row r="6796">
      <c r="A6796">
        <f>IFERROR(INDEX('Email Cleaner'!$B$2:$B$10001,MATCH(6795,'Email Cleaner'!$K$2:$K$10001,0)),"")</f>
        <v/>
      </c>
    </row>
    <row r="6797">
      <c r="A6797">
        <f>IFERROR(INDEX('Email Cleaner'!$B$2:$B$10001,MATCH(6796,'Email Cleaner'!$K$2:$K$10001,0)),"")</f>
        <v/>
      </c>
    </row>
    <row r="6798">
      <c r="A6798">
        <f>IFERROR(INDEX('Email Cleaner'!$B$2:$B$10001,MATCH(6797,'Email Cleaner'!$K$2:$K$10001,0)),"")</f>
        <v/>
      </c>
    </row>
    <row r="6799">
      <c r="A6799">
        <f>IFERROR(INDEX('Email Cleaner'!$B$2:$B$10001,MATCH(6798,'Email Cleaner'!$K$2:$K$10001,0)),"")</f>
        <v/>
      </c>
    </row>
    <row r="6800">
      <c r="A6800">
        <f>IFERROR(INDEX('Email Cleaner'!$B$2:$B$10001,MATCH(6799,'Email Cleaner'!$K$2:$K$10001,0)),"")</f>
        <v/>
      </c>
    </row>
    <row r="6801">
      <c r="A6801">
        <f>IFERROR(INDEX('Email Cleaner'!$B$2:$B$10001,MATCH(6800,'Email Cleaner'!$K$2:$K$10001,0)),"")</f>
        <v/>
      </c>
    </row>
    <row r="6802">
      <c r="A6802">
        <f>IFERROR(INDEX('Email Cleaner'!$B$2:$B$10001,MATCH(6801,'Email Cleaner'!$K$2:$K$10001,0)),"")</f>
        <v/>
      </c>
    </row>
    <row r="6803">
      <c r="A6803">
        <f>IFERROR(INDEX('Email Cleaner'!$B$2:$B$10001,MATCH(6802,'Email Cleaner'!$K$2:$K$10001,0)),"")</f>
        <v/>
      </c>
    </row>
    <row r="6804">
      <c r="A6804">
        <f>IFERROR(INDEX('Email Cleaner'!$B$2:$B$10001,MATCH(6803,'Email Cleaner'!$K$2:$K$10001,0)),"")</f>
        <v/>
      </c>
    </row>
    <row r="6805">
      <c r="A6805">
        <f>IFERROR(INDEX('Email Cleaner'!$B$2:$B$10001,MATCH(6804,'Email Cleaner'!$K$2:$K$10001,0)),"")</f>
        <v/>
      </c>
    </row>
    <row r="6806">
      <c r="A6806">
        <f>IFERROR(INDEX('Email Cleaner'!$B$2:$B$10001,MATCH(6805,'Email Cleaner'!$K$2:$K$10001,0)),"")</f>
        <v/>
      </c>
    </row>
    <row r="6807">
      <c r="A6807">
        <f>IFERROR(INDEX('Email Cleaner'!$B$2:$B$10001,MATCH(6806,'Email Cleaner'!$K$2:$K$10001,0)),"")</f>
        <v/>
      </c>
    </row>
    <row r="6808">
      <c r="A6808">
        <f>IFERROR(INDEX('Email Cleaner'!$B$2:$B$10001,MATCH(6807,'Email Cleaner'!$K$2:$K$10001,0)),"")</f>
        <v/>
      </c>
    </row>
    <row r="6809">
      <c r="A6809">
        <f>IFERROR(INDEX('Email Cleaner'!$B$2:$B$10001,MATCH(6808,'Email Cleaner'!$K$2:$K$10001,0)),"")</f>
        <v/>
      </c>
    </row>
    <row r="6810">
      <c r="A6810">
        <f>IFERROR(INDEX('Email Cleaner'!$B$2:$B$10001,MATCH(6809,'Email Cleaner'!$K$2:$K$10001,0)),"")</f>
        <v/>
      </c>
    </row>
    <row r="6811">
      <c r="A6811">
        <f>IFERROR(INDEX('Email Cleaner'!$B$2:$B$10001,MATCH(6810,'Email Cleaner'!$K$2:$K$10001,0)),"")</f>
        <v/>
      </c>
    </row>
    <row r="6812">
      <c r="A6812">
        <f>IFERROR(INDEX('Email Cleaner'!$B$2:$B$10001,MATCH(6811,'Email Cleaner'!$K$2:$K$10001,0)),"")</f>
        <v/>
      </c>
    </row>
    <row r="6813">
      <c r="A6813">
        <f>IFERROR(INDEX('Email Cleaner'!$B$2:$B$10001,MATCH(6812,'Email Cleaner'!$K$2:$K$10001,0)),"")</f>
        <v/>
      </c>
    </row>
    <row r="6814">
      <c r="A6814">
        <f>IFERROR(INDEX('Email Cleaner'!$B$2:$B$10001,MATCH(6813,'Email Cleaner'!$K$2:$K$10001,0)),"")</f>
        <v/>
      </c>
    </row>
    <row r="6815">
      <c r="A6815">
        <f>IFERROR(INDEX('Email Cleaner'!$B$2:$B$10001,MATCH(6814,'Email Cleaner'!$K$2:$K$10001,0)),"")</f>
        <v/>
      </c>
    </row>
    <row r="6816">
      <c r="A6816">
        <f>IFERROR(INDEX('Email Cleaner'!$B$2:$B$10001,MATCH(6815,'Email Cleaner'!$K$2:$K$10001,0)),"")</f>
        <v/>
      </c>
    </row>
    <row r="6817">
      <c r="A6817">
        <f>IFERROR(INDEX('Email Cleaner'!$B$2:$B$10001,MATCH(6816,'Email Cleaner'!$K$2:$K$10001,0)),"")</f>
        <v/>
      </c>
    </row>
    <row r="6818">
      <c r="A6818">
        <f>IFERROR(INDEX('Email Cleaner'!$B$2:$B$10001,MATCH(6817,'Email Cleaner'!$K$2:$K$10001,0)),"")</f>
        <v/>
      </c>
    </row>
    <row r="6819">
      <c r="A6819">
        <f>IFERROR(INDEX('Email Cleaner'!$B$2:$B$10001,MATCH(6818,'Email Cleaner'!$K$2:$K$10001,0)),"")</f>
        <v/>
      </c>
    </row>
    <row r="6820">
      <c r="A6820">
        <f>IFERROR(INDEX('Email Cleaner'!$B$2:$B$10001,MATCH(6819,'Email Cleaner'!$K$2:$K$10001,0)),"")</f>
        <v/>
      </c>
    </row>
    <row r="6821">
      <c r="A6821">
        <f>IFERROR(INDEX('Email Cleaner'!$B$2:$B$10001,MATCH(6820,'Email Cleaner'!$K$2:$K$10001,0)),"")</f>
        <v/>
      </c>
    </row>
    <row r="6822">
      <c r="A6822">
        <f>IFERROR(INDEX('Email Cleaner'!$B$2:$B$10001,MATCH(6821,'Email Cleaner'!$K$2:$K$10001,0)),"")</f>
        <v/>
      </c>
    </row>
    <row r="6823">
      <c r="A6823">
        <f>IFERROR(INDEX('Email Cleaner'!$B$2:$B$10001,MATCH(6822,'Email Cleaner'!$K$2:$K$10001,0)),"")</f>
        <v/>
      </c>
    </row>
    <row r="6824">
      <c r="A6824">
        <f>IFERROR(INDEX('Email Cleaner'!$B$2:$B$10001,MATCH(6823,'Email Cleaner'!$K$2:$K$10001,0)),"")</f>
        <v/>
      </c>
    </row>
    <row r="6825">
      <c r="A6825">
        <f>IFERROR(INDEX('Email Cleaner'!$B$2:$B$10001,MATCH(6824,'Email Cleaner'!$K$2:$K$10001,0)),"")</f>
        <v/>
      </c>
    </row>
    <row r="6826">
      <c r="A6826">
        <f>IFERROR(INDEX('Email Cleaner'!$B$2:$B$10001,MATCH(6825,'Email Cleaner'!$K$2:$K$10001,0)),"")</f>
        <v/>
      </c>
    </row>
    <row r="6827">
      <c r="A6827">
        <f>IFERROR(INDEX('Email Cleaner'!$B$2:$B$10001,MATCH(6826,'Email Cleaner'!$K$2:$K$10001,0)),"")</f>
        <v/>
      </c>
    </row>
    <row r="6828">
      <c r="A6828">
        <f>IFERROR(INDEX('Email Cleaner'!$B$2:$B$10001,MATCH(6827,'Email Cleaner'!$K$2:$K$10001,0)),"")</f>
        <v/>
      </c>
    </row>
    <row r="6829">
      <c r="A6829">
        <f>IFERROR(INDEX('Email Cleaner'!$B$2:$B$10001,MATCH(6828,'Email Cleaner'!$K$2:$K$10001,0)),"")</f>
        <v/>
      </c>
    </row>
    <row r="6830">
      <c r="A6830">
        <f>IFERROR(INDEX('Email Cleaner'!$B$2:$B$10001,MATCH(6829,'Email Cleaner'!$K$2:$K$10001,0)),"")</f>
        <v/>
      </c>
    </row>
    <row r="6831">
      <c r="A6831">
        <f>IFERROR(INDEX('Email Cleaner'!$B$2:$B$10001,MATCH(6830,'Email Cleaner'!$K$2:$K$10001,0)),"")</f>
        <v/>
      </c>
    </row>
    <row r="6832">
      <c r="A6832">
        <f>IFERROR(INDEX('Email Cleaner'!$B$2:$B$10001,MATCH(6831,'Email Cleaner'!$K$2:$K$10001,0)),"")</f>
        <v/>
      </c>
    </row>
    <row r="6833">
      <c r="A6833">
        <f>IFERROR(INDEX('Email Cleaner'!$B$2:$B$10001,MATCH(6832,'Email Cleaner'!$K$2:$K$10001,0)),"")</f>
        <v/>
      </c>
    </row>
    <row r="6834">
      <c r="A6834">
        <f>IFERROR(INDEX('Email Cleaner'!$B$2:$B$10001,MATCH(6833,'Email Cleaner'!$K$2:$K$10001,0)),"")</f>
        <v/>
      </c>
    </row>
    <row r="6835">
      <c r="A6835">
        <f>IFERROR(INDEX('Email Cleaner'!$B$2:$B$10001,MATCH(6834,'Email Cleaner'!$K$2:$K$10001,0)),"")</f>
        <v/>
      </c>
    </row>
    <row r="6836">
      <c r="A6836">
        <f>IFERROR(INDEX('Email Cleaner'!$B$2:$B$10001,MATCH(6835,'Email Cleaner'!$K$2:$K$10001,0)),"")</f>
        <v/>
      </c>
    </row>
    <row r="6837">
      <c r="A6837">
        <f>IFERROR(INDEX('Email Cleaner'!$B$2:$B$10001,MATCH(6836,'Email Cleaner'!$K$2:$K$10001,0)),"")</f>
        <v/>
      </c>
    </row>
    <row r="6838">
      <c r="A6838">
        <f>IFERROR(INDEX('Email Cleaner'!$B$2:$B$10001,MATCH(6837,'Email Cleaner'!$K$2:$K$10001,0)),"")</f>
        <v/>
      </c>
    </row>
    <row r="6839">
      <c r="A6839">
        <f>IFERROR(INDEX('Email Cleaner'!$B$2:$B$10001,MATCH(6838,'Email Cleaner'!$K$2:$K$10001,0)),"")</f>
        <v/>
      </c>
    </row>
    <row r="6840">
      <c r="A6840">
        <f>IFERROR(INDEX('Email Cleaner'!$B$2:$B$10001,MATCH(6839,'Email Cleaner'!$K$2:$K$10001,0)),"")</f>
        <v/>
      </c>
    </row>
    <row r="6841">
      <c r="A6841">
        <f>IFERROR(INDEX('Email Cleaner'!$B$2:$B$10001,MATCH(6840,'Email Cleaner'!$K$2:$K$10001,0)),"")</f>
        <v/>
      </c>
    </row>
    <row r="6842">
      <c r="A6842">
        <f>IFERROR(INDEX('Email Cleaner'!$B$2:$B$10001,MATCH(6841,'Email Cleaner'!$K$2:$K$10001,0)),"")</f>
        <v/>
      </c>
    </row>
    <row r="6843">
      <c r="A6843">
        <f>IFERROR(INDEX('Email Cleaner'!$B$2:$B$10001,MATCH(6842,'Email Cleaner'!$K$2:$K$10001,0)),"")</f>
        <v/>
      </c>
    </row>
    <row r="6844">
      <c r="A6844">
        <f>IFERROR(INDEX('Email Cleaner'!$B$2:$B$10001,MATCH(6843,'Email Cleaner'!$K$2:$K$10001,0)),"")</f>
        <v/>
      </c>
    </row>
    <row r="6845">
      <c r="A6845">
        <f>IFERROR(INDEX('Email Cleaner'!$B$2:$B$10001,MATCH(6844,'Email Cleaner'!$K$2:$K$10001,0)),"")</f>
        <v/>
      </c>
    </row>
    <row r="6846">
      <c r="A6846">
        <f>IFERROR(INDEX('Email Cleaner'!$B$2:$B$10001,MATCH(6845,'Email Cleaner'!$K$2:$K$10001,0)),"")</f>
        <v/>
      </c>
    </row>
    <row r="6847">
      <c r="A6847">
        <f>IFERROR(INDEX('Email Cleaner'!$B$2:$B$10001,MATCH(6846,'Email Cleaner'!$K$2:$K$10001,0)),"")</f>
        <v/>
      </c>
    </row>
    <row r="6848">
      <c r="A6848">
        <f>IFERROR(INDEX('Email Cleaner'!$B$2:$B$10001,MATCH(6847,'Email Cleaner'!$K$2:$K$10001,0)),"")</f>
        <v/>
      </c>
    </row>
    <row r="6849">
      <c r="A6849">
        <f>IFERROR(INDEX('Email Cleaner'!$B$2:$B$10001,MATCH(6848,'Email Cleaner'!$K$2:$K$10001,0)),"")</f>
        <v/>
      </c>
    </row>
    <row r="6850">
      <c r="A6850">
        <f>IFERROR(INDEX('Email Cleaner'!$B$2:$B$10001,MATCH(6849,'Email Cleaner'!$K$2:$K$10001,0)),"")</f>
        <v/>
      </c>
    </row>
    <row r="6851">
      <c r="A6851">
        <f>IFERROR(INDEX('Email Cleaner'!$B$2:$B$10001,MATCH(6850,'Email Cleaner'!$K$2:$K$10001,0)),"")</f>
        <v/>
      </c>
    </row>
    <row r="6852">
      <c r="A6852">
        <f>IFERROR(INDEX('Email Cleaner'!$B$2:$B$10001,MATCH(6851,'Email Cleaner'!$K$2:$K$10001,0)),"")</f>
        <v/>
      </c>
    </row>
    <row r="6853">
      <c r="A6853">
        <f>IFERROR(INDEX('Email Cleaner'!$B$2:$B$10001,MATCH(6852,'Email Cleaner'!$K$2:$K$10001,0)),"")</f>
        <v/>
      </c>
    </row>
    <row r="6854">
      <c r="A6854">
        <f>IFERROR(INDEX('Email Cleaner'!$B$2:$B$10001,MATCH(6853,'Email Cleaner'!$K$2:$K$10001,0)),"")</f>
        <v/>
      </c>
    </row>
    <row r="6855">
      <c r="A6855">
        <f>IFERROR(INDEX('Email Cleaner'!$B$2:$B$10001,MATCH(6854,'Email Cleaner'!$K$2:$K$10001,0)),"")</f>
        <v/>
      </c>
    </row>
    <row r="6856">
      <c r="A6856">
        <f>IFERROR(INDEX('Email Cleaner'!$B$2:$B$10001,MATCH(6855,'Email Cleaner'!$K$2:$K$10001,0)),"")</f>
        <v/>
      </c>
    </row>
    <row r="6857">
      <c r="A6857">
        <f>IFERROR(INDEX('Email Cleaner'!$B$2:$B$10001,MATCH(6856,'Email Cleaner'!$K$2:$K$10001,0)),"")</f>
        <v/>
      </c>
    </row>
    <row r="6858">
      <c r="A6858">
        <f>IFERROR(INDEX('Email Cleaner'!$B$2:$B$10001,MATCH(6857,'Email Cleaner'!$K$2:$K$10001,0)),"")</f>
        <v/>
      </c>
    </row>
    <row r="6859">
      <c r="A6859">
        <f>IFERROR(INDEX('Email Cleaner'!$B$2:$B$10001,MATCH(6858,'Email Cleaner'!$K$2:$K$10001,0)),"")</f>
        <v/>
      </c>
    </row>
    <row r="6860">
      <c r="A6860">
        <f>IFERROR(INDEX('Email Cleaner'!$B$2:$B$10001,MATCH(6859,'Email Cleaner'!$K$2:$K$10001,0)),"")</f>
        <v/>
      </c>
    </row>
    <row r="6861">
      <c r="A6861">
        <f>IFERROR(INDEX('Email Cleaner'!$B$2:$B$10001,MATCH(6860,'Email Cleaner'!$K$2:$K$10001,0)),"")</f>
        <v/>
      </c>
    </row>
    <row r="6862">
      <c r="A6862">
        <f>IFERROR(INDEX('Email Cleaner'!$B$2:$B$10001,MATCH(6861,'Email Cleaner'!$K$2:$K$10001,0)),"")</f>
        <v/>
      </c>
    </row>
    <row r="6863">
      <c r="A6863">
        <f>IFERROR(INDEX('Email Cleaner'!$B$2:$B$10001,MATCH(6862,'Email Cleaner'!$K$2:$K$10001,0)),"")</f>
        <v/>
      </c>
    </row>
    <row r="6864">
      <c r="A6864">
        <f>IFERROR(INDEX('Email Cleaner'!$B$2:$B$10001,MATCH(6863,'Email Cleaner'!$K$2:$K$10001,0)),"")</f>
        <v/>
      </c>
    </row>
    <row r="6865">
      <c r="A6865">
        <f>IFERROR(INDEX('Email Cleaner'!$B$2:$B$10001,MATCH(6864,'Email Cleaner'!$K$2:$K$10001,0)),"")</f>
        <v/>
      </c>
    </row>
    <row r="6866">
      <c r="A6866">
        <f>IFERROR(INDEX('Email Cleaner'!$B$2:$B$10001,MATCH(6865,'Email Cleaner'!$K$2:$K$10001,0)),"")</f>
        <v/>
      </c>
    </row>
    <row r="6867">
      <c r="A6867">
        <f>IFERROR(INDEX('Email Cleaner'!$B$2:$B$10001,MATCH(6866,'Email Cleaner'!$K$2:$K$10001,0)),"")</f>
        <v/>
      </c>
    </row>
    <row r="6868">
      <c r="A6868">
        <f>IFERROR(INDEX('Email Cleaner'!$B$2:$B$10001,MATCH(6867,'Email Cleaner'!$K$2:$K$10001,0)),"")</f>
        <v/>
      </c>
    </row>
    <row r="6869">
      <c r="A6869">
        <f>IFERROR(INDEX('Email Cleaner'!$B$2:$B$10001,MATCH(6868,'Email Cleaner'!$K$2:$K$10001,0)),"")</f>
        <v/>
      </c>
    </row>
    <row r="6870">
      <c r="A6870">
        <f>IFERROR(INDEX('Email Cleaner'!$B$2:$B$10001,MATCH(6869,'Email Cleaner'!$K$2:$K$10001,0)),"")</f>
        <v/>
      </c>
    </row>
    <row r="6871">
      <c r="A6871">
        <f>IFERROR(INDEX('Email Cleaner'!$B$2:$B$10001,MATCH(6870,'Email Cleaner'!$K$2:$K$10001,0)),"")</f>
        <v/>
      </c>
    </row>
    <row r="6872">
      <c r="A6872">
        <f>IFERROR(INDEX('Email Cleaner'!$B$2:$B$10001,MATCH(6871,'Email Cleaner'!$K$2:$K$10001,0)),"")</f>
        <v/>
      </c>
    </row>
    <row r="6873">
      <c r="A6873">
        <f>IFERROR(INDEX('Email Cleaner'!$B$2:$B$10001,MATCH(6872,'Email Cleaner'!$K$2:$K$10001,0)),"")</f>
        <v/>
      </c>
    </row>
    <row r="6874">
      <c r="A6874">
        <f>IFERROR(INDEX('Email Cleaner'!$B$2:$B$10001,MATCH(6873,'Email Cleaner'!$K$2:$K$10001,0)),"")</f>
        <v/>
      </c>
    </row>
    <row r="6875">
      <c r="A6875">
        <f>IFERROR(INDEX('Email Cleaner'!$B$2:$B$10001,MATCH(6874,'Email Cleaner'!$K$2:$K$10001,0)),"")</f>
        <v/>
      </c>
    </row>
    <row r="6876">
      <c r="A6876">
        <f>IFERROR(INDEX('Email Cleaner'!$B$2:$B$10001,MATCH(6875,'Email Cleaner'!$K$2:$K$10001,0)),"")</f>
        <v/>
      </c>
    </row>
    <row r="6877">
      <c r="A6877">
        <f>IFERROR(INDEX('Email Cleaner'!$B$2:$B$10001,MATCH(6876,'Email Cleaner'!$K$2:$K$10001,0)),"")</f>
        <v/>
      </c>
    </row>
    <row r="6878">
      <c r="A6878">
        <f>IFERROR(INDEX('Email Cleaner'!$B$2:$B$10001,MATCH(6877,'Email Cleaner'!$K$2:$K$10001,0)),"")</f>
        <v/>
      </c>
    </row>
    <row r="6879">
      <c r="A6879">
        <f>IFERROR(INDEX('Email Cleaner'!$B$2:$B$10001,MATCH(6878,'Email Cleaner'!$K$2:$K$10001,0)),"")</f>
        <v/>
      </c>
    </row>
    <row r="6880">
      <c r="A6880">
        <f>IFERROR(INDEX('Email Cleaner'!$B$2:$B$10001,MATCH(6879,'Email Cleaner'!$K$2:$K$10001,0)),"")</f>
        <v/>
      </c>
    </row>
    <row r="6881">
      <c r="A6881">
        <f>IFERROR(INDEX('Email Cleaner'!$B$2:$B$10001,MATCH(6880,'Email Cleaner'!$K$2:$K$10001,0)),"")</f>
        <v/>
      </c>
    </row>
    <row r="6882">
      <c r="A6882">
        <f>IFERROR(INDEX('Email Cleaner'!$B$2:$B$10001,MATCH(6881,'Email Cleaner'!$K$2:$K$10001,0)),"")</f>
        <v/>
      </c>
    </row>
    <row r="6883">
      <c r="A6883">
        <f>IFERROR(INDEX('Email Cleaner'!$B$2:$B$10001,MATCH(6882,'Email Cleaner'!$K$2:$K$10001,0)),"")</f>
        <v/>
      </c>
    </row>
    <row r="6884">
      <c r="A6884">
        <f>IFERROR(INDEX('Email Cleaner'!$B$2:$B$10001,MATCH(6883,'Email Cleaner'!$K$2:$K$10001,0)),"")</f>
        <v/>
      </c>
    </row>
    <row r="6885">
      <c r="A6885">
        <f>IFERROR(INDEX('Email Cleaner'!$B$2:$B$10001,MATCH(6884,'Email Cleaner'!$K$2:$K$10001,0)),"")</f>
        <v/>
      </c>
    </row>
    <row r="6886">
      <c r="A6886">
        <f>IFERROR(INDEX('Email Cleaner'!$B$2:$B$10001,MATCH(6885,'Email Cleaner'!$K$2:$K$10001,0)),"")</f>
        <v/>
      </c>
    </row>
    <row r="6887">
      <c r="A6887">
        <f>IFERROR(INDEX('Email Cleaner'!$B$2:$B$10001,MATCH(6886,'Email Cleaner'!$K$2:$K$10001,0)),"")</f>
        <v/>
      </c>
    </row>
    <row r="6888">
      <c r="A6888">
        <f>IFERROR(INDEX('Email Cleaner'!$B$2:$B$10001,MATCH(6887,'Email Cleaner'!$K$2:$K$10001,0)),"")</f>
        <v/>
      </c>
    </row>
    <row r="6889">
      <c r="A6889">
        <f>IFERROR(INDEX('Email Cleaner'!$B$2:$B$10001,MATCH(6888,'Email Cleaner'!$K$2:$K$10001,0)),"")</f>
        <v/>
      </c>
    </row>
    <row r="6890">
      <c r="A6890">
        <f>IFERROR(INDEX('Email Cleaner'!$B$2:$B$10001,MATCH(6889,'Email Cleaner'!$K$2:$K$10001,0)),"")</f>
        <v/>
      </c>
    </row>
    <row r="6891">
      <c r="A6891">
        <f>IFERROR(INDEX('Email Cleaner'!$B$2:$B$10001,MATCH(6890,'Email Cleaner'!$K$2:$K$10001,0)),"")</f>
        <v/>
      </c>
    </row>
    <row r="6892">
      <c r="A6892">
        <f>IFERROR(INDEX('Email Cleaner'!$B$2:$B$10001,MATCH(6891,'Email Cleaner'!$K$2:$K$10001,0)),"")</f>
        <v/>
      </c>
    </row>
    <row r="6893">
      <c r="A6893">
        <f>IFERROR(INDEX('Email Cleaner'!$B$2:$B$10001,MATCH(6892,'Email Cleaner'!$K$2:$K$10001,0)),"")</f>
        <v/>
      </c>
    </row>
    <row r="6894">
      <c r="A6894">
        <f>IFERROR(INDEX('Email Cleaner'!$B$2:$B$10001,MATCH(6893,'Email Cleaner'!$K$2:$K$10001,0)),"")</f>
        <v/>
      </c>
    </row>
    <row r="6895">
      <c r="A6895">
        <f>IFERROR(INDEX('Email Cleaner'!$B$2:$B$10001,MATCH(6894,'Email Cleaner'!$K$2:$K$10001,0)),"")</f>
        <v/>
      </c>
    </row>
    <row r="6896">
      <c r="A6896">
        <f>IFERROR(INDEX('Email Cleaner'!$B$2:$B$10001,MATCH(6895,'Email Cleaner'!$K$2:$K$10001,0)),"")</f>
        <v/>
      </c>
    </row>
    <row r="6897">
      <c r="A6897">
        <f>IFERROR(INDEX('Email Cleaner'!$B$2:$B$10001,MATCH(6896,'Email Cleaner'!$K$2:$K$10001,0)),"")</f>
        <v/>
      </c>
    </row>
    <row r="6898">
      <c r="A6898">
        <f>IFERROR(INDEX('Email Cleaner'!$B$2:$B$10001,MATCH(6897,'Email Cleaner'!$K$2:$K$10001,0)),"")</f>
        <v/>
      </c>
    </row>
    <row r="6899">
      <c r="A6899">
        <f>IFERROR(INDEX('Email Cleaner'!$B$2:$B$10001,MATCH(6898,'Email Cleaner'!$K$2:$K$10001,0)),"")</f>
        <v/>
      </c>
    </row>
    <row r="6900">
      <c r="A6900">
        <f>IFERROR(INDEX('Email Cleaner'!$B$2:$B$10001,MATCH(6899,'Email Cleaner'!$K$2:$K$10001,0)),"")</f>
        <v/>
      </c>
    </row>
    <row r="6901">
      <c r="A6901">
        <f>IFERROR(INDEX('Email Cleaner'!$B$2:$B$10001,MATCH(6900,'Email Cleaner'!$K$2:$K$10001,0)),"")</f>
        <v/>
      </c>
    </row>
    <row r="6902">
      <c r="A6902">
        <f>IFERROR(INDEX('Email Cleaner'!$B$2:$B$10001,MATCH(6901,'Email Cleaner'!$K$2:$K$10001,0)),"")</f>
        <v/>
      </c>
    </row>
    <row r="6903">
      <c r="A6903">
        <f>IFERROR(INDEX('Email Cleaner'!$B$2:$B$10001,MATCH(6902,'Email Cleaner'!$K$2:$K$10001,0)),"")</f>
        <v/>
      </c>
    </row>
    <row r="6904">
      <c r="A6904">
        <f>IFERROR(INDEX('Email Cleaner'!$B$2:$B$10001,MATCH(6903,'Email Cleaner'!$K$2:$K$10001,0)),"")</f>
        <v/>
      </c>
    </row>
    <row r="6905">
      <c r="A6905">
        <f>IFERROR(INDEX('Email Cleaner'!$B$2:$B$10001,MATCH(6904,'Email Cleaner'!$K$2:$K$10001,0)),"")</f>
        <v/>
      </c>
    </row>
    <row r="6906">
      <c r="A6906">
        <f>IFERROR(INDEX('Email Cleaner'!$B$2:$B$10001,MATCH(6905,'Email Cleaner'!$K$2:$K$10001,0)),"")</f>
        <v/>
      </c>
    </row>
    <row r="6907">
      <c r="A6907">
        <f>IFERROR(INDEX('Email Cleaner'!$B$2:$B$10001,MATCH(6906,'Email Cleaner'!$K$2:$K$10001,0)),"")</f>
        <v/>
      </c>
    </row>
    <row r="6908">
      <c r="A6908">
        <f>IFERROR(INDEX('Email Cleaner'!$B$2:$B$10001,MATCH(6907,'Email Cleaner'!$K$2:$K$10001,0)),"")</f>
        <v/>
      </c>
    </row>
    <row r="6909">
      <c r="A6909">
        <f>IFERROR(INDEX('Email Cleaner'!$B$2:$B$10001,MATCH(6908,'Email Cleaner'!$K$2:$K$10001,0)),"")</f>
        <v/>
      </c>
    </row>
    <row r="6910">
      <c r="A6910">
        <f>IFERROR(INDEX('Email Cleaner'!$B$2:$B$10001,MATCH(6909,'Email Cleaner'!$K$2:$K$10001,0)),"")</f>
        <v/>
      </c>
    </row>
    <row r="6911">
      <c r="A6911">
        <f>IFERROR(INDEX('Email Cleaner'!$B$2:$B$10001,MATCH(6910,'Email Cleaner'!$K$2:$K$10001,0)),"")</f>
        <v/>
      </c>
    </row>
    <row r="6912">
      <c r="A6912">
        <f>IFERROR(INDEX('Email Cleaner'!$B$2:$B$10001,MATCH(6911,'Email Cleaner'!$K$2:$K$10001,0)),"")</f>
        <v/>
      </c>
    </row>
    <row r="6913">
      <c r="A6913">
        <f>IFERROR(INDEX('Email Cleaner'!$B$2:$B$10001,MATCH(6912,'Email Cleaner'!$K$2:$K$10001,0)),"")</f>
        <v/>
      </c>
    </row>
    <row r="6914">
      <c r="A6914">
        <f>IFERROR(INDEX('Email Cleaner'!$B$2:$B$10001,MATCH(6913,'Email Cleaner'!$K$2:$K$10001,0)),"")</f>
        <v/>
      </c>
    </row>
    <row r="6915">
      <c r="A6915">
        <f>IFERROR(INDEX('Email Cleaner'!$B$2:$B$10001,MATCH(6914,'Email Cleaner'!$K$2:$K$10001,0)),"")</f>
        <v/>
      </c>
    </row>
    <row r="6916">
      <c r="A6916">
        <f>IFERROR(INDEX('Email Cleaner'!$B$2:$B$10001,MATCH(6915,'Email Cleaner'!$K$2:$K$10001,0)),"")</f>
        <v/>
      </c>
    </row>
    <row r="6917">
      <c r="A6917">
        <f>IFERROR(INDEX('Email Cleaner'!$B$2:$B$10001,MATCH(6916,'Email Cleaner'!$K$2:$K$10001,0)),"")</f>
        <v/>
      </c>
    </row>
    <row r="6918">
      <c r="A6918">
        <f>IFERROR(INDEX('Email Cleaner'!$B$2:$B$10001,MATCH(6917,'Email Cleaner'!$K$2:$K$10001,0)),"")</f>
        <v/>
      </c>
    </row>
    <row r="6919">
      <c r="A6919">
        <f>IFERROR(INDEX('Email Cleaner'!$B$2:$B$10001,MATCH(6918,'Email Cleaner'!$K$2:$K$10001,0)),"")</f>
        <v/>
      </c>
    </row>
    <row r="6920">
      <c r="A6920">
        <f>IFERROR(INDEX('Email Cleaner'!$B$2:$B$10001,MATCH(6919,'Email Cleaner'!$K$2:$K$10001,0)),"")</f>
        <v/>
      </c>
    </row>
    <row r="6921">
      <c r="A6921">
        <f>IFERROR(INDEX('Email Cleaner'!$B$2:$B$10001,MATCH(6920,'Email Cleaner'!$K$2:$K$10001,0)),"")</f>
        <v/>
      </c>
    </row>
    <row r="6922">
      <c r="A6922">
        <f>IFERROR(INDEX('Email Cleaner'!$B$2:$B$10001,MATCH(6921,'Email Cleaner'!$K$2:$K$10001,0)),"")</f>
        <v/>
      </c>
    </row>
    <row r="6923">
      <c r="A6923">
        <f>IFERROR(INDEX('Email Cleaner'!$B$2:$B$10001,MATCH(6922,'Email Cleaner'!$K$2:$K$10001,0)),"")</f>
        <v/>
      </c>
    </row>
    <row r="6924">
      <c r="A6924">
        <f>IFERROR(INDEX('Email Cleaner'!$B$2:$B$10001,MATCH(6923,'Email Cleaner'!$K$2:$K$10001,0)),"")</f>
        <v/>
      </c>
    </row>
    <row r="6925">
      <c r="A6925">
        <f>IFERROR(INDEX('Email Cleaner'!$B$2:$B$10001,MATCH(6924,'Email Cleaner'!$K$2:$K$10001,0)),"")</f>
        <v/>
      </c>
    </row>
    <row r="6926">
      <c r="A6926">
        <f>IFERROR(INDEX('Email Cleaner'!$B$2:$B$10001,MATCH(6925,'Email Cleaner'!$K$2:$K$10001,0)),"")</f>
        <v/>
      </c>
    </row>
    <row r="6927">
      <c r="A6927">
        <f>IFERROR(INDEX('Email Cleaner'!$B$2:$B$10001,MATCH(6926,'Email Cleaner'!$K$2:$K$10001,0)),"")</f>
        <v/>
      </c>
    </row>
    <row r="6928">
      <c r="A6928">
        <f>IFERROR(INDEX('Email Cleaner'!$B$2:$B$10001,MATCH(6927,'Email Cleaner'!$K$2:$K$10001,0)),"")</f>
        <v/>
      </c>
    </row>
    <row r="6929">
      <c r="A6929">
        <f>IFERROR(INDEX('Email Cleaner'!$B$2:$B$10001,MATCH(6928,'Email Cleaner'!$K$2:$K$10001,0)),"")</f>
        <v/>
      </c>
    </row>
    <row r="6930">
      <c r="A6930">
        <f>IFERROR(INDEX('Email Cleaner'!$B$2:$B$10001,MATCH(6929,'Email Cleaner'!$K$2:$K$10001,0)),"")</f>
        <v/>
      </c>
    </row>
    <row r="6931">
      <c r="A6931">
        <f>IFERROR(INDEX('Email Cleaner'!$B$2:$B$10001,MATCH(6930,'Email Cleaner'!$K$2:$K$10001,0)),"")</f>
        <v/>
      </c>
    </row>
    <row r="6932">
      <c r="A6932">
        <f>IFERROR(INDEX('Email Cleaner'!$B$2:$B$10001,MATCH(6931,'Email Cleaner'!$K$2:$K$10001,0)),"")</f>
        <v/>
      </c>
    </row>
    <row r="6933">
      <c r="A6933">
        <f>IFERROR(INDEX('Email Cleaner'!$B$2:$B$10001,MATCH(6932,'Email Cleaner'!$K$2:$K$10001,0)),"")</f>
        <v/>
      </c>
    </row>
    <row r="6934">
      <c r="A6934">
        <f>IFERROR(INDEX('Email Cleaner'!$B$2:$B$10001,MATCH(6933,'Email Cleaner'!$K$2:$K$10001,0)),"")</f>
        <v/>
      </c>
    </row>
    <row r="6935">
      <c r="A6935">
        <f>IFERROR(INDEX('Email Cleaner'!$B$2:$B$10001,MATCH(6934,'Email Cleaner'!$K$2:$K$10001,0)),"")</f>
        <v/>
      </c>
    </row>
    <row r="6936">
      <c r="A6936">
        <f>IFERROR(INDEX('Email Cleaner'!$B$2:$B$10001,MATCH(6935,'Email Cleaner'!$K$2:$K$10001,0)),"")</f>
        <v/>
      </c>
    </row>
    <row r="6937">
      <c r="A6937">
        <f>IFERROR(INDEX('Email Cleaner'!$B$2:$B$10001,MATCH(6936,'Email Cleaner'!$K$2:$K$10001,0)),"")</f>
        <v/>
      </c>
    </row>
    <row r="6938">
      <c r="A6938">
        <f>IFERROR(INDEX('Email Cleaner'!$B$2:$B$10001,MATCH(6937,'Email Cleaner'!$K$2:$K$10001,0)),"")</f>
        <v/>
      </c>
    </row>
    <row r="6939">
      <c r="A6939">
        <f>IFERROR(INDEX('Email Cleaner'!$B$2:$B$10001,MATCH(6938,'Email Cleaner'!$K$2:$K$10001,0)),"")</f>
        <v/>
      </c>
    </row>
    <row r="6940">
      <c r="A6940">
        <f>IFERROR(INDEX('Email Cleaner'!$B$2:$B$10001,MATCH(6939,'Email Cleaner'!$K$2:$K$10001,0)),"")</f>
        <v/>
      </c>
    </row>
    <row r="6941">
      <c r="A6941">
        <f>IFERROR(INDEX('Email Cleaner'!$B$2:$B$10001,MATCH(6940,'Email Cleaner'!$K$2:$K$10001,0)),"")</f>
        <v/>
      </c>
    </row>
    <row r="6942">
      <c r="A6942">
        <f>IFERROR(INDEX('Email Cleaner'!$B$2:$B$10001,MATCH(6941,'Email Cleaner'!$K$2:$K$10001,0)),"")</f>
        <v/>
      </c>
    </row>
    <row r="6943">
      <c r="A6943">
        <f>IFERROR(INDEX('Email Cleaner'!$B$2:$B$10001,MATCH(6942,'Email Cleaner'!$K$2:$K$10001,0)),"")</f>
        <v/>
      </c>
    </row>
    <row r="6944">
      <c r="A6944">
        <f>IFERROR(INDEX('Email Cleaner'!$B$2:$B$10001,MATCH(6943,'Email Cleaner'!$K$2:$K$10001,0)),"")</f>
        <v/>
      </c>
    </row>
    <row r="6945">
      <c r="A6945">
        <f>IFERROR(INDEX('Email Cleaner'!$B$2:$B$10001,MATCH(6944,'Email Cleaner'!$K$2:$K$10001,0)),"")</f>
        <v/>
      </c>
    </row>
    <row r="6946">
      <c r="A6946">
        <f>IFERROR(INDEX('Email Cleaner'!$B$2:$B$10001,MATCH(6945,'Email Cleaner'!$K$2:$K$10001,0)),"")</f>
        <v/>
      </c>
    </row>
    <row r="6947">
      <c r="A6947">
        <f>IFERROR(INDEX('Email Cleaner'!$B$2:$B$10001,MATCH(6946,'Email Cleaner'!$K$2:$K$10001,0)),"")</f>
        <v/>
      </c>
    </row>
    <row r="6948">
      <c r="A6948">
        <f>IFERROR(INDEX('Email Cleaner'!$B$2:$B$10001,MATCH(6947,'Email Cleaner'!$K$2:$K$10001,0)),"")</f>
        <v/>
      </c>
    </row>
    <row r="6949">
      <c r="A6949">
        <f>IFERROR(INDEX('Email Cleaner'!$B$2:$B$10001,MATCH(6948,'Email Cleaner'!$K$2:$K$10001,0)),"")</f>
        <v/>
      </c>
    </row>
    <row r="6950">
      <c r="A6950">
        <f>IFERROR(INDEX('Email Cleaner'!$B$2:$B$10001,MATCH(6949,'Email Cleaner'!$K$2:$K$10001,0)),"")</f>
        <v/>
      </c>
    </row>
    <row r="6951">
      <c r="A6951">
        <f>IFERROR(INDEX('Email Cleaner'!$B$2:$B$10001,MATCH(6950,'Email Cleaner'!$K$2:$K$10001,0)),"")</f>
        <v/>
      </c>
    </row>
    <row r="6952">
      <c r="A6952">
        <f>IFERROR(INDEX('Email Cleaner'!$B$2:$B$10001,MATCH(6951,'Email Cleaner'!$K$2:$K$10001,0)),"")</f>
        <v/>
      </c>
    </row>
    <row r="6953">
      <c r="A6953">
        <f>IFERROR(INDEX('Email Cleaner'!$B$2:$B$10001,MATCH(6952,'Email Cleaner'!$K$2:$K$10001,0)),"")</f>
        <v/>
      </c>
    </row>
    <row r="6954">
      <c r="A6954">
        <f>IFERROR(INDEX('Email Cleaner'!$B$2:$B$10001,MATCH(6953,'Email Cleaner'!$K$2:$K$10001,0)),"")</f>
        <v/>
      </c>
    </row>
    <row r="6955">
      <c r="A6955">
        <f>IFERROR(INDEX('Email Cleaner'!$B$2:$B$10001,MATCH(6954,'Email Cleaner'!$K$2:$K$10001,0)),"")</f>
        <v/>
      </c>
    </row>
    <row r="6956">
      <c r="A6956">
        <f>IFERROR(INDEX('Email Cleaner'!$B$2:$B$10001,MATCH(6955,'Email Cleaner'!$K$2:$K$10001,0)),"")</f>
        <v/>
      </c>
    </row>
    <row r="6957">
      <c r="A6957">
        <f>IFERROR(INDEX('Email Cleaner'!$B$2:$B$10001,MATCH(6956,'Email Cleaner'!$K$2:$K$10001,0)),"")</f>
        <v/>
      </c>
    </row>
    <row r="6958">
      <c r="A6958">
        <f>IFERROR(INDEX('Email Cleaner'!$B$2:$B$10001,MATCH(6957,'Email Cleaner'!$K$2:$K$10001,0)),"")</f>
        <v/>
      </c>
    </row>
    <row r="6959">
      <c r="A6959">
        <f>IFERROR(INDEX('Email Cleaner'!$B$2:$B$10001,MATCH(6958,'Email Cleaner'!$K$2:$K$10001,0)),"")</f>
        <v/>
      </c>
    </row>
    <row r="6960">
      <c r="A6960">
        <f>IFERROR(INDEX('Email Cleaner'!$B$2:$B$10001,MATCH(6959,'Email Cleaner'!$K$2:$K$10001,0)),"")</f>
        <v/>
      </c>
    </row>
    <row r="6961">
      <c r="A6961">
        <f>IFERROR(INDEX('Email Cleaner'!$B$2:$B$10001,MATCH(6960,'Email Cleaner'!$K$2:$K$10001,0)),"")</f>
        <v/>
      </c>
    </row>
    <row r="6962">
      <c r="A6962">
        <f>IFERROR(INDEX('Email Cleaner'!$B$2:$B$10001,MATCH(6961,'Email Cleaner'!$K$2:$K$10001,0)),"")</f>
        <v/>
      </c>
    </row>
    <row r="6963">
      <c r="A6963">
        <f>IFERROR(INDEX('Email Cleaner'!$B$2:$B$10001,MATCH(6962,'Email Cleaner'!$K$2:$K$10001,0)),"")</f>
        <v/>
      </c>
    </row>
    <row r="6964">
      <c r="A6964">
        <f>IFERROR(INDEX('Email Cleaner'!$B$2:$B$10001,MATCH(6963,'Email Cleaner'!$K$2:$K$10001,0)),"")</f>
        <v/>
      </c>
    </row>
    <row r="6965">
      <c r="A6965">
        <f>IFERROR(INDEX('Email Cleaner'!$B$2:$B$10001,MATCH(6964,'Email Cleaner'!$K$2:$K$10001,0)),"")</f>
        <v/>
      </c>
    </row>
    <row r="6966">
      <c r="A6966">
        <f>IFERROR(INDEX('Email Cleaner'!$B$2:$B$10001,MATCH(6965,'Email Cleaner'!$K$2:$K$10001,0)),"")</f>
        <v/>
      </c>
    </row>
    <row r="6967">
      <c r="A6967">
        <f>IFERROR(INDEX('Email Cleaner'!$B$2:$B$10001,MATCH(6966,'Email Cleaner'!$K$2:$K$10001,0)),"")</f>
        <v/>
      </c>
    </row>
    <row r="6968">
      <c r="A6968">
        <f>IFERROR(INDEX('Email Cleaner'!$B$2:$B$10001,MATCH(6967,'Email Cleaner'!$K$2:$K$10001,0)),"")</f>
        <v/>
      </c>
    </row>
    <row r="6969">
      <c r="A6969">
        <f>IFERROR(INDEX('Email Cleaner'!$B$2:$B$10001,MATCH(6968,'Email Cleaner'!$K$2:$K$10001,0)),"")</f>
        <v/>
      </c>
    </row>
    <row r="6970">
      <c r="A6970">
        <f>IFERROR(INDEX('Email Cleaner'!$B$2:$B$10001,MATCH(6969,'Email Cleaner'!$K$2:$K$10001,0)),"")</f>
        <v/>
      </c>
    </row>
    <row r="6971">
      <c r="A6971">
        <f>IFERROR(INDEX('Email Cleaner'!$B$2:$B$10001,MATCH(6970,'Email Cleaner'!$K$2:$K$10001,0)),"")</f>
        <v/>
      </c>
    </row>
    <row r="6972">
      <c r="A6972">
        <f>IFERROR(INDEX('Email Cleaner'!$B$2:$B$10001,MATCH(6971,'Email Cleaner'!$K$2:$K$10001,0)),"")</f>
        <v/>
      </c>
    </row>
    <row r="6973">
      <c r="A6973">
        <f>IFERROR(INDEX('Email Cleaner'!$B$2:$B$10001,MATCH(6972,'Email Cleaner'!$K$2:$K$10001,0)),"")</f>
        <v/>
      </c>
    </row>
    <row r="6974">
      <c r="A6974">
        <f>IFERROR(INDEX('Email Cleaner'!$B$2:$B$10001,MATCH(6973,'Email Cleaner'!$K$2:$K$10001,0)),"")</f>
        <v/>
      </c>
    </row>
    <row r="6975">
      <c r="A6975">
        <f>IFERROR(INDEX('Email Cleaner'!$B$2:$B$10001,MATCH(6974,'Email Cleaner'!$K$2:$K$10001,0)),"")</f>
        <v/>
      </c>
    </row>
    <row r="6976">
      <c r="A6976">
        <f>IFERROR(INDEX('Email Cleaner'!$B$2:$B$10001,MATCH(6975,'Email Cleaner'!$K$2:$K$10001,0)),"")</f>
        <v/>
      </c>
    </row>
    <row r="6977">
      <c r="A6977">
        <f>IFERROR(INDEX('Email Cleaner'!$B$2:$B$10001,MATCH(6976,'Email Cleaner'!$K$2:$K$10001,0)),"")</f>
        <v/>
      </c>
    </row>
    <row r="6978">
      <c r="A6978">
        <f>IFERROR(INDEX('Email Cleaner'!$B$2:$B$10001,MATCH(6977,'Email Cleaner'!$K$2:$K$10001,0)),"")</f>
        <v/>
      </c>
    </row>
    <row r="6979">
      <c r="A6979">
        <f>IFERROR(INDEX('Email Cleaner'!$B$2:$B$10001,MATCH(6978,'Email Cleaner'!$K$2:$K$10001,0)),"")</f>
        <v/>
      </c>
    </row>
    <row r="6980">
      <c r="A6980">
        <f>IFERROR(INDEX('Email Cleaner'!$B$2:$B$10001,MATCH(6979,'Email Cleaner'!$K$2:$K$10001,0)),"")</f>
        <v/>
      </c>
    </row>
    <row r="6981">
      <c r="A6981">
        <f>IFERROR(INDEX('Email Cleaner'!$B$2:$B$10001,MATCH(6980,'Email Cleaner'!$K$2:$K$10001,0)),"")</f>
        <v/>
      </c>
    </row>
    <row r="6982">
      <c r="A6982">
        <f>IFERROR(INDEX('Email Cleaner'!$B$2:$B$10001,MATCH(6981,'Email Cleaner'!$K$2:$K$10001,0)),"")</f>
        <v/>
      </c>
    </row>
    <row r="6983">
      <c r="A6983">
        <f>IFERROR(INDEX('Email Cleaner'!$B$2:$B$10001,MATCH(6982,'Email Cleaner'!$K$2:$K$10001,0)),"")</f>
        <v/>
      </c>
    </row>
    <row r="6984">
      <c r="A6984">
        <f>IFERROR(INDEX('Email Cleaner'!$B$2:$B$10001,MATCH(6983,'Email Cleaner'!$K$2:$K$10001,0)),"")</f>
        <v/>
      </c>
    </row>
    <row r="6985">
      <c r="A6985">
        <f>IFERROR(INDEX('Email Cleaner'!$B$2:$B$10001,MATCH(6984,'Email Cleaner'!$K$2:$K$10001,0)),"")</f>
        <v/>
      </c>
    </row>
    <row r="6986">
      <c r="A6986">
        <f>IFERROR(INDEX('Email Cleaner'!$B$2:$B$10001,MATCH(6985,'Email Cleaner'!$K$2:$K$10001,0)),"")</f>
        <v/>
      </c>
    </row>
    <row r="6987">
      <c r="A6987">
        <f>IFERROR(INDEX('Email Cleaner'!$B$2:$B$10001,MATCH(6986,'Email Cleaner'!$K$2:$K$10001,0)),"")</f>
        <v/>
      </c>
    </row>
    <row r="6988">
      <c r="A6988">
        <f>IFERROR(INDEX('Email Cleaner'!$B$2:$B$10001,MATCH(6987,'Email Cleaner'!$K$2:$K$10001,0)),"")</f>
        <v/>
      </c>
    </row>
    <row r="6989">
      <c r="A6989">
        <f>IFERROR(INDEX('Email Cleaner'!$B$2:$B$10001,MATCH(6988,'Email Cleaner'!$K$2:$K$10001,0)),"")</f>
        <v/>
      </c>
    </row>
    <row r="6990">
      <c r="A6990">
        <f>IFERROR(INDEX('Email Cleaner'!$B$2:$B$10001,MATCH(6989,'Email Cleaner'!$K$2:$K$10001,0)),"")</f>
        <v/>
      </c>
    </row>
    <row r="6991">
      <c r="A6991">
        <f>IFERROR(INDEX('Email Cleaner'!$B$2:$B$10001,MATCH(6990,'Email Cleaner'!$K$2:$K$10001,0)),"")</f>
        <v/>
      </c>
    </row>
    <row r="6992">
      <c r="A6992">
        <f>IFERROR(INDEX('Email Cleaner'!$B$2:$B$10001,MATCH(6991,'Email Cleaner'!$K$2:$K$10001,0)),"")</f>
        <v/>
      </c>
    </row>
    <row r="6993">
      <c r="A6993">
        <f>IFERROR(INDEX('Email Cleaner'!$B$2:$B$10001,MATCH(6992,'Email Cleaner'!$K$2:$K$10001,0)),"")</f>
        <v/>
      </c>
    </row>
    <row r="6994">
      <c r="A6994">
        <f>IFERROR(INDEX('Email Cleaner'!$B$2:$B$10001,MATCH(6993,'Email Cleaner'!$K$2:$K$10001,0)),"")</f>
        <v/>
      </c>
    </row>
    <row r="6995">
      <c r="A6995">
        <f>IFERROR(INDEX('Email Cleaner'!$B$2:$B$10001,MATCH(6994,'Email Cleaner'!$K$2:$K$10001,0)),"")</f>
        <v/>
      </c>
    </row>
    <row r="6996">
      <c r="A6996">
        <f>IFERROR(INDEX('Email Cleaner'!$B$2:$B$10001,MATCH(6995,'Email Cleaner'!$K$2:$K$10001,0)),"")</f>
        <v/>
      </c>
    </row>
    <row r="6997">
      <c r="A6997">
        <f>IFERROR(INDEX('Email Cleaner'!$B$2:$B$10001,MATCH(6996,'Email Cleaner'!$K$2:$K$10001,0)),"")</f>
        <v/>
      </c>
    </row>
    <row r="6998">
      <c r="A6998">
        <f>IFERROR(INDEX('Email Cleaner'!$B$2:$B$10001,MATCH(6997,'Email Cleaner'!$K$2:$K$10001,0)),"")</f>
        <v/>
      </c>
    </row>
    <row r="6999">
      <c r="A6999">
        <f>IFERROR(INDEX('Email Cleaner'!$B$2:$B$10001,MATCH(6998,'Email Cleaner'!$K$2:$K$10001,0)),"")</f>
        <v/>
      </c>
    </row>
    <row r="7000">
      <c r="A7000">
        <f>IFERROR(INDEX('Email Cleaner'!$B$2:$B$10001,MATCH(6999,'Email Cleaner'!$K$2:$K$10001,0)),"")</f>
        <v/>
      </c>
    </row>
    <row r="7001">
      <c r="A7001">
        <f>IFERROR(INDEX('Email Cleaner'!$B$2:$B$10001,MATCH(7000,'Email Cleaner'!$K$2:$K$10001,0)),"")</f>
        <v/>
      </c>
    </row>
    <row r="7002">
      <c r="A7002">
        <f>IFERROR(INDEX('Email Cleaner'!$B$2:$B$10001,MATCH(7001,'Email Cleaner'!$K$2:$K$10001,0)),"")</f>
        <v/>
      </c>
    </row>
    <row r="7003">
      <c r="A7003">
        <f>IFERROR(INDEX('Email Cleaner'!$B$2:$B$10001,MATCH(7002,'Email Cleaner'!$K$2:$K$10001,0)),"")</f>
        <v/>
      </c>
    </row>
    <row r="7004">
      <c r="A7004">
        <f>IFERROR(INDEX('Email Cleaner'!$B$2:$B$10001,MATCH(7003,'Email Cleaner'!$K$2:$K$10001,0)),"")</f>
        <v/>
      </c>
    </row>
    <row r="7005">
      <c r="A7005">
        <f>IFERROR(INDEX('Email Cleaner'!$B$2:$B$10001,MATCH(7004,'Email Cleaner'!$K$2:$K$10001,0)),"")</f>
        <v/>
      </c>
    </row>
    <row r="7006">
      <c r="A7006">
        <f>IFERROR(INDEX('Email Cleaner'!$B$2:$B$10001,MATCH(7005,'Email Cleaner'!$K$2:$K$10001,0)),"")</f>
        <v/>
      </c>
    </row>
    <row r="7007">
      <c r="A7007">
        <f>IFERROR(INDEX('Email Cleaner'!$B$2:$B$10001,MATCH(7006,'Email Cleaner'!$K$2:$K$10001,0)),"")</f>
        <v/>
      </c>
    </row>
    <row r="7008">
      <c r="A7008">
        <f>IFERROR(INDEX('Email Cleaner'!$B$2:$B$10001,MATCH(7007,'Email Cleaner'!$K$2:$K$10001,0)),"")</f>
        <v/>
      </c>
    </row>
    <row r="7009">
      <c r="A7009">
        <f>IFERROR(INDEX('Email Cleaner'!$B$2:$B$10001,MATCH(7008,'Email Cleaner'!$K$2:$K$10001,0)),"")</f>
        <v/>
      </c>
    </row>
    <row r="7010">
      <c r="A7010">
        <f>IFERROR(INDEX('Email Cleaner'!$B$2:$B$10001,MATCH(7009,'Email Cleaner'!$K$2:$K$10001,0)),"")</f>
        <v/>
      </c>
    </row>
    <row r="7011">
      <c r="A7011">
        <f>IFERROR(INDEX('Email Cleaner'!$B$2:$B$10001,MATCH(7010,'Email Cleaner'!$K$2:$K$10001,0)),"")</f>
        <v/>
      </c>
    </row>
    <row r="7012">
      <c r="A7012">
        <f>IFERROR(INDEX('Email Cleaner'!$B$2:$B$10001,MATCH(7011,'Email Cleaner'!$K$2:$K$10001,0)),"")</f>
        <v/>
      </c>
    </row>
    <row r="7013">
      <c r="A7013">
        <f>IFERROR(INDEX('Email Cleaner'!$B$2:$B$10001,MATCH(7012,'Email Cleaner'!$K$2:$K$10001,0)),"")</f>
        <v/>
      </c>
    </row>
    <row r="7014">
      <c r="A7014">
        <f>IFERROR(INDEX('Email Cleaner'!$B$2:$B$10001,MATCH(7013,'Email Cleaner'!$K$2:$K$10001,0)),"")</f>
        <v/>
      </c>
    </row>
    <row r="7015">
      <c r="A7015">
        <f>IFERROR(INDEX('Email Cleaner'!$B$2:$B$10001,MATCH(7014,'Email Cleaner'!$K$2:$K$10001,0)),"")</f>
        <v/>
      </c>
    </row>
    <row r="7016">
      <c r="A7016">
        <f>IFERROR(INDEX('Email Cleaner'!$B$2:$B$10001,MATCH(7015,'Email Cleaner'!$K$2:$K$10001,0)),"")</f>
        <v/>
      </c>
    </row>
    <row r="7017">
      <c r="A7017">
        <f>IFERROR(INDEX('Email Cleaner'!$B$2:$B$10001,MATCH(7016,'Email Cleaner'!$K$2:$K$10001,0)),"")</f>
        <v/>
      </c>
    </row>
    <row r="7018">
      <c r="A7018">
        <f>IFERROR(INDEX('Email Cleaner'!$B$2:$B$10001,MATCH(7017,'Email Cleaner'!$K$2:$K$10001,0)),"")</f>
        <v/>
      </c>
    </row>
    <row r="7019">
      <c r="A7019">
        <f>IFERROR(INDEX('Email Cleaner'!$B$2:$B$10001,MATCH(7018,'Email Cleaner'!$K$2:$K$10001,0)),"")</f>
        <v/>
      </c>
    </row>
    <row r="7020">
      <c r="A7020">
        <f>IFERROR(INDEX('Email Cleaner'!$B$2:$B$10001,MATCH(7019,'Email Cleaner'!$K$2:$K$10001,0)),"")</f>
        <v/>
      </c>
    </row>
    <row r="7021">
      <c r="A7021">
        <f>IFERROR(INDEX('Email Cleaner'!$B$2:$B$10001,MATCH(7020,'Email Cleaner'!$K$2:$K$10001,0)),"")</f>
        <v/>
      </c>
    </row>
    <row r="7022">
      <c r="A7022">
        <f>IFERROR(INDEX('Email Cleaner'!$B$2:$B$10001,MATCH(7021,'Email Cleaner'!$K$2:$K$10001,0)),"")</f>
        <v/>
      </c>
    </row>
    <row r="7023">
      <c r="A7023">
        <f>IFERROR(INDEX('Email Cleaner'!$B$2:$B$10001,MATCH(7022,'Email Cleaner'!$K$2:$K$10001,0)),"")</f>
        <v/>
      </c>
    </row>
    <row r="7024">
      <c r="A7024">
        <f>IFERROR(INDEX('Email Cleaner'!$B$2:$B$10001,MATCH(7023,'Email Cleaner'!$K$2:$K$10001,0)),"")</f>
        <v/>
      </c>
    </row>
    <row r="7025">
      <c r="A7025">
        <f>IFERROR(INDEX('Email Cleaner'!$B$2:$B$10001,MATCH(7024,'Email Cleaner'!$K$2:$K$10001,0)),"")</f>
        <v/>
      </c>
    </row>
    <row r="7026">
      <c r="A7026">
        <f>IFERROR(INDEX('Email Cleaner'!$B$2:$B$10001,MATCH(7025,'Email Cleaner'!$K$2:$K$10001,0)),"")</f>
        <v/>
      </c>
    </row>
    <row r="7027">
      <c r="A7027">
        <f>IFERROR(INDEX('Email Cleaner'!$B$2:$B$10001,MATCH(7026,'Email Cleaner'!$K$2:$K$10001,0)),"")</f>
        <v/>
      </c>
    </row>
    <row r="7028">
      <c r="A7028">
        <f>IFERROR(INDEX('Email Cleaner'!$B$2:$B$10001,MATCH(7027,'Email Cleaner'!$K$2:$K$10001,0)),"")</f>
        <v/>
      </c>
    </row>
    <row r="7029">
      <c r="A7029">
        <f>IFERROR(INDEX('Email Cleaner'!$B$2:$B$10001,MATCH(7028,'Email Cleaner'!$K$2:$K$10001,0)),"")</f>
        <v/>
      </c>
    </row>
    <row r="7030">
      <c r="A7030">
        <f>IFERROR(INDEX('Email Cleaner'!$B$2:$B$10001,MATCH(7029,'Email Cleaner'!$K$2:$K$10001,0)),"")</f>
        <v/>
      </c>
    </row>
    <row r="7031">
      <c r="A7031">
        <f>IFERROR(INDEX('Email Cleaner'!$B$2:$B$10001,MATCH(7030,'Email Cleaner'!$K$2:$K$10001,0)),"")</f>
        <v/>
      </c>
    </row>
    <row r="7032">
      <c r="A7032">
        <f>IFERROR(INDEX('Email Cleaner'!$B$2:$B$10001,MATCH(7031,'Email Cleaner'!$K$2:$K$10001,0)),"")</f>
        <v/>
      </c>
    </row>
    <row r="7033">
      <c r="A7033">
        <f>IFERROR(INDEX('Email Cleaner'!$B$2:$B$10001,MATCH(7032,'Email Cleaner'!$K$2:$K$10001,0)),"")</f>
        <v/>
      </c>
    </row>
    <row r="7034">
      <c r="A7034">
        <f>IFERROR(INDEX('Email Cleaner'!$B$2:$B$10001,MATCH(7033,'Email Cleaner'!$K$2:$K$10001,0)),"")</f>
        <v/>
      </c>
    </row>
    <row r="7035">
      <c r="A7035">
        <f>IFERROR(INDEX('Email Cleaner'!$B$2:$B$10001,MATCH(7034,'Email Cleaner'!$K$2:$K$10001,0)),"")</f>
        <v/>
      </c>
    </row>
    <row r="7036">
      <c r="A7036">
        <f>IFERROR(INDEX('Email Cleaner'!$B$2:$B$10001,MATCH(7035,'Email Cleaner'!$K$2:$K$10001,0)),"")</f>
        <v/>
      </c>
    </row>
    <row r="7037">
      <c r="A7037">
        <f>IFERROR(INDEX('Email Cleaner'!$B$2:$B$10001,MATCH(7036,'Email Cleaner'!$K$2:$K$10001,0)),"")</f>
        <v/>
      </c>
    </row>
    <row r="7038">
      <c r="A7038">
        <f>IFERROR(INDEX('Email Cleaner'!$B$2:$B$10001,MATCH(7037,'Email Cleaner'!$K$2:$K$10001,0)),"")</f>
        <v/>
      </c>
    </row>
    <row r="7039">
      <c r="A7039">
        <f>IFERROR(INDEX('Email Cleaner'!$B$2:$B$10001,MATCH(7038,'Email Cleaner'!$K$2:$K$10001,0)),"")</f>
        <v/>
      </c>
    </row>
    <row r="7040">
      <c r="A7040">
        <f>IFERROR(INDEX('Email Cleaner'!$B$2:$B$10001,MATCH(7039,'Email Cleaner'!$K$2:$K$10001,0)),"")</f>
        <v/>
      </c>
    </row>
    <row r="7041">
      <c r="A7041">
        <f>IFERROR(INDEX('Email Cleaner'!$B$2:$B$10001,MATCH(7040,'Email Cleaner'!$K$2:$K$10001,0)),"")</f>
        <v/>
      </c>
    </row>
    <row r="7042">
      <c r="A7042">
        <f>IFERROR(INDEX('Email Cleaner'!$B$2:$B$10001,MATCH(7041,'Email Cleaner'!$K$2:$K$10001,0)),"")</f>
        <v/>
      </c>
    </row>
    <row r="7043">
      <c r="A7043">
        <f>IFERROR(INDEX('Email Cleaner'!$B$2:$B$10001,MATCH(7042,'Email Cleaner'!$K$2:$K$10001,0)),"")</f>
        <v/>
      </c>
    </row>
    <row r="7044">
      <c r="A7044">
        <f>IFERROR(INDEX('Email Cleaner'!$B$2:$B$10001,MATCH(7043,'Email Cleaner'!$K$2:$K$10001,0)),"")</f>
        <v/>
      </c>
    </row>
    <row r="7045">
      <c r="A7045">
        <f>IFERROR(INDEX('Email Cleaner'!$B$2:$B$10001,MATCH(7044,'Email Cleaner'!$K$2:$K$10001,0)),"")</f>
        <v/>
      </c>
    </row>
    <row r="7046">
      <c r="A7046">
        <f>IFERROR(INDEX('Email Cleaner'!$B$2:$B$10001,MATCH(7045,'Email Cleaner'!$K$2:$K$10001,0)),"")</f>
        <v/>
      </c>
    </row>
    <row r="7047">
      <c r="A7047">
        <f>IFERROR(INDEX('Email Cleaner'!$B$2:$B$10001,MATCH(7046,'Email Cleaner'!$K$2:$K$10001,0)),"")</f>
        <v/>
      </c>
    </row>
    <row r="7048">
      <c r="A7048">
        <f>IFERROR(INDEX('Email Cleaner'!$B$2:$B$10001,MATCH(7047,'Email Cleaner'!$K$2:$K$10001,0)),"")</f>
        <v/>
      </c>
    </row>
    <row r="7049">
      <c r="A7049">
        <f>IFERROR(INDEX('Email Cleaner'!$B$2:$B$10001,MATCH(7048,'Email Cleaner'!$K$2:$K$10001,0)),"")</f>
        <v/>
      </c>
    </row>
    <row r="7050">
      <c r="A7050">
        <f>IFERROR(INDEX('Email Cleaner'!$B$2:$B$10001,MATCH(7049,'Email Cleaner'!$K$2:$K$10001,0)),"")</f>
        <v/>
      </c>
    </row>
    <row r="7051">
      <c r="A7051">
        <f>IFERROR(INDEX('Email Cleaner'!$B$2:$B$10001,MATCH(7050,'Email Cleaner'!$K$2:$K$10001,0)),"")</f>
        <v/>
      </c>
    </row>
    <row r="7052">
      <c r="A7052">
        <f>IFERROR(INDEX('Email Cleaner'!$B$2:$B$10001,MATCH(7051,'Email Cleaner'!$K$2:$K$10001,0)),"")</f>
        <v/>
      </c>
    </row>
    <row r="7053">
      <c r="A7053">
        <f>IFERROR(INDEX('Email Cleaner'!$B$2:$B$10001,MATCH(7052,'Email Cleaner'!$K$2:$K$10001,0)),"")</f>
        <v/>
      </c>
    </row>
    <row r="7054">
      <c r="A7054">
        <f>IFERROR(INDEX('Email Cleaner'!$B$2:$B$10001,MATCH(7053,'Email Cleaner'!$K$2:$K$10001,0)),"")</f>
        <v/>
      </c>
    </row>
    <row r="7055">
      <c r="A7055">
        <f>IFERROR(INDEX('Email Cleaner'!$B$2:$B$10001,MATCH(7054,'Email Cleaner'!$K$2:$K$10001,0)),"")</f>
        <v/>
      </c>
    </row>
    <row r="7056">
      <c r="A7056">
        <f>IFERROR(INDEX('Email Cleaner'!$B$2:$B$10001,MATCH(7055,'Email Cleaner'!$K$2:$K$10001,0)),"")</f>
        <v/>
      </c>
    </row>
    <row r="7057">
      <c r="A7057">
        <f>IFERROR(INDEX('Email Cleaner'!$B$2:$B$10001,MATCH(7056,'Email Cleaner'!$K$2:$K$10001,0)),"")</f>
        <v/>
      </c>
    </row>
    <row r="7058">
      <c r="A7058">
        <f>IFERROR(INDEX('Email Cleaner'!$B$2:$B$10001,MATCH(7057,'Email Cleaner'!$K$2:$K$10001,0)),"")</f>
        <v/>
      </c>
    </row>
    <row r="7059">
      <c r="A7059">
        <f>IFERROR(INDEX('Email Cleaner'!$B$2:$B$10001,MATCH(7058,'Email Cleaner'!$K$2:$K$10001,0)),"")</f>
        <v/>
      </c>
    </row>
    <row r="7060">
      <c r="A7060">
        <f>IFERROR(INDEX('Email Cleaner'!$B$2:$B$10001,MATCH(7059,'Email Cleaner'!$K$2:$K$10001,0)),"")</f>
        <v/>
      </c>
    </row>
    <row r="7061">
      <c r="A7061">
        <f>IFERROR(INDEX('Email Cleaner'!$B$2:$B$10001,MATCH(7060,'Email Cleaner'!$K$2:$K$10001,0)),"")</f>
        <v/>
      </c>
    </row>
    <row r="7062">
      <c r="A7062">
        <f>IFERROR(INDEX('Email Cleaner'!$B$2:$B$10001,MATCH(7061,'Email Cleaner'!$K$2:$K$10001,0)),"")</f>
        <v/>
      </c>
    </row>
    <row r="7063">
      <c r="A7063">
        <f>IFERROR(INDEX('Email Cleaner'!$B$2:$B$10001,MATCH(7062,'Email Cleaner'!$K$2:$K$10001,0)),"")</f>
        <v/>
      </c>
    </row>
    <row r="7064">
      <c r="A7064">
        <f>IFERROR(INDEX('Email Cleaner'!$B$2:$B$10001,MATCH(7063,'Email Cleaner'!$K$2:$K$10001,0)),"")</f>
        <v/>
      </c>
    </row>
    <row r="7065">
      <c r="A7065">
        <f>IFERROR(INDEX('Email Cleaner'!$B$2:$B$10001,MATCH(7064,'Email Cleaner'!$K$2:$K$10001,0)),"")</f>
        <v/>
      </c>
    </row>
    <row r="7066">
      <c r="A7066">
        <f>IFERROR(INDEX('Email Cleaner'!$B$2:$B$10001,MATCH(7065,'Email Cleaner'!$K$2:$K$10001,0)),"")</f>
        <v/>
      </c>
    </row>
    <row r="7067">
      <c r="A7067">
        <f>IFERROR(INDEX('Email Cleaner'!$B$2:$B$10001,MATCH(7066,'Email Cleaner'!$K$2:$K$10001,0)),"")</f>
        <v/>
      </c>
    </row>
    <row r="7068">
      <c r="A7068">
        <f>IFERROR(INDEX('Email Cleaner'!$B$2:$B$10001,MATCH(7067,'Email Cleaner'!$K$2:$K$10001,0)),"")</f>
        <v/>
      </c>
    </row>
    <row r="7069">
      <c r="A7069">
        <f>IFERROR(INDEX('Email Cleaner'!$B$2:$B$10001,MATCH(7068,'Email Cleaner'!$K$2:$K$10001,0)),"")</f>
        <v/>
      </c>
    </row>
    <row r="7070">
      <c r="A7070">
        <f>IFERROR(INDEX('Email Cleaner'!$B$2:$B$10001,MATCH(7069,'Email Cleaner'!$K$2:$K$10001,0)),"")</f>
        <v/>
      </c>
    </row>
    <row r="7071">
      <c r="A7071">
        <f>IFERROR(INDEX('Email Cleaner'!$B$2:$B$10001,MATCH(7070,'Email Cleaner'!$K$2:$K$10001,0)),"")</f>
        <v/>
      </c>
    </row>
    <row r="7072">
      <c r="A7072">
        <f>IFERROR(INDEX('Email Cleaner'!$B$2:$B$10001,MATCH(7071,'Email Cleaner'!$K$2:$K$10001,0)),"")</f>
        <v/>
      </c>
    </row>
    <row r="7073">
      <c r="A7073">
        <f>IFERROR(INDEX('Email Cleaner'!$B$2:$B$10001,MATCH(7072,'Email Cleaner'!$K$2:$K$10001,0)),"")</f>
        <v/>
      </c>
    </row>
    <row r="7074">
      <c r="A7074">
        <f>IFERROR(INDEX('Email Cleaner'!$B$2:$B$10001,MATCH(7073,'Email Cleaner'!$K$2:$K$10001,0)),"")</f>
        <v/>
      </c>
    </row>
    <row r="7075">
      <c r="A7075">
        <f>IFERROR(INDEX('Email Cleaner'!$B$2:$B$10001,MATCH(7074,'Email Cleaner'!$K$2:$K$10001,0)),"")</f>
        <v/>
      </c>
    </row>
    <row r="7076">
      <c r="A7076">
        <f>IFERROR(INDEX('Email Cleaner'!$B$2:$B$10001,MATCH(7075,'Email Cleaner'!$K$2:$K$10001,0)),"")</f>
        <v/>
      </c>
    </row>
    <row r="7077">
      <c r="A7077">
        <f>IFERROR(INDEX('Email Cleaner'!$B$2:$B$10001,MATCH(7076,'Email Cleaner'!$K$2:$K$10001,0)),"")</f>
        <v/>
      </c>
    </row>
    <row r="7078">
      <c r="A7078">
        <f>IFERROR(INDEX('Email Cleaner'!$B$2:$B$10001,MATCH(7077,'Email Cleaner'!$K$2:$K$10001,0)),"")</f>
        <v/>
      </c>
    </row>
    <row r="7079">
      <c r="A7079">
        <f>IFERROR(INDEX('Email Cleaner'!$B$2:$B$10001,MATCH(7078,'Email Cleaner'!$K$2:$K$10001,0)),"")</f>
        <v/>
      </c>
    </row>
    <row r="7080">
      <c r="A7080">
        <f>IFERROR(INDEX('Email Cleaner'!$B$2:$B$10001,MATCH(7079,'Email Cleaner'!$K$2:$K$10001,0)),"")</f>
        <v/>
      </c>
    </row>
    <row r="7081">
      <c r="A7081">
        <f>IFERROR(INDEX('Email Cleaner'!$B$2:$B$10001,MATCH(7080,'Email Cleaner'!$K$2:$K$10001,0)),"")</f>
        <v/>
      </c>
    </row>
    <row r="7082">
      <c r="A7082">
        <f>IFERROR(INDEX('Email Cleaner'!$B$2:$B$10001,MATCH(7081,'Email Cleaner'!$K$2:$K$10001,0)),"")</f>
        <v/>
      </c>
    </row>
    <row r="7083">
      <c r="A7083">
        <f>IFERROR(INDEX('Email Cleaner'!$B$2:$B$10001,MATCH(7082,'Email Cleaner'!$K$2:$K$10001,0)),"")</f>
        <v/>
      </c>
    </row>
    <row r="7084">
      <c r="A7084">
        <f>IFERROR(INDEX('Email Cleaner'!$B$2:$B$10001,MATCH(7083,'Email Cleaner'!$K$2:$K$10001,0)),"")</f>
        <v/>
      </c>
    </row>
    <row r="7085">
      <c r="A7085">
        <f>IFERROR(INDEX('Email Cleaner'!$B$2:$B$10001,MATCH(7084,'Email Cleaner'!$K$2:$K$10001,0)),"")</f>
        <v/>
      </c>
    </row>
    <row r="7086">
      <c r="A7086">
        <f>IFERROR(INDEX('Email Cleaner'!$B$2:$B$10001,MATCH(7085,'Email Cleaner'!$K$2:$K$10001,0)),"")</f>
        <v/>
      </c>
    </row>
    <row r="7087">
      <c r="A7087">
        <f>IFERROR(INDEX('Email Cleaner'!$B$2:$B$10001,MATCH(7086,'Email Cleaner'!$K$2:$K$10001,0)),"")</f>
        <v/>
      </c>
    </row>
    <row r="7088">
      <c r="A7088">
        <f>IFERROR(INDEX('Email Cleaner'!$B$2:$B$10001,MATCH(7087,'Email Cleaner'!$K$2:$K$10001,0)),"")</f>
        <v/>
      </c>
    </row>
    <row r="7089">
      <c r="A7089">
        <f>IFERROR(INDEX('Email Cleaner'!$B$2:$B$10001,MATCH(7088,'Email Cleaner'!$K$2:$K$10001,0)),"")</f>
        <v/>
      </c>
    </row>
    <row r="7090">
      <c r="A7090">
        <f>IFERROR(INDEX('Email Cleaner'!$B$2:$B$10001,MATCH(7089,'Email Cleaner'!$K$2:$K$10001,0)),"")</f>
        <v/>
      </c>
    </row>
    <row r="7091">
      <c r="A7091">
        <f>IFERROR(INDEX('Email Cleaner'!$B$2:$B$10001,MATCH(7090,'Email Cleaner'!$K$2:$K$10001,0)),"")</f>
        <v/>
      </c>
    </row>
    <row r="7092">
      <c r="A7092">
        <f>IFERROR(INDEX('Email Cleaner'!$B$2:$B$10001,MATCH(7091,'Email Cleaner'!$K$2:$K$10001,0)),"")</f>
        <v/>
      </c>
    </row>
    <row r="7093">
      <c r="A7093">
        <f>IFERROR(INDEX('Email Cleaner'!$B$2:$B$10001,MATCH(7092,'Email Cleaner'!$K$2:$K$10001,0)),"")</f>
        <v/>
      </c>
    </row>
    <row r="7094">
      <c r="A7094">
        <f>IFERROR(INDEX('Email Cleaner'!$B$2:$B$10001,MATCH(7093,'Email Cleaner'!$K$2:$K$10001,0)),"")</f>
        <v/>
      </c>
    </row>
    <row r="7095">
      <c r="A7095">
        <f>IFERROR(INDEX('Email Cleaner'!$B$2:$B$10001,MATCH(7094,'Email Cleaner'!$K$2:$K$10001,0)),"")</f>
        <v/>
      </c>
    </row>
    <row r="7096">
      <c r="A7096">
        <f>IFERROR(INDEX('Email Cleaner'!$B$2:$B$10001,MATCH(7095,'Email Cleaner'!$K$2:$K$10001,0)),"")</f>
        <v/>
      </c>
    </row>
    <row r="7097">
      <c r="A7097">
        <f>IFERROR(INDEX('Email Cleaner'!$B$2:$B$10001,MATCH(7096,'Email Cleaner'!$K$2:$K$10001,0)),"")</f>
        <v/>
      </c>
    </row>
    <row r="7098">
      <c r="A7098">
        <f>IFERROR(INDEX('Email Cleaner'!$B$2:$B$10001,MATCH(7097,'Email Cleaner'!$K$2:$K$10001,0)),"")</f>
        <v/>
      </c>
    </row>
    <row r="7099">
      <c r="A7099">
        <f>IFERROR(INDEX('Email Cleaner'!$B$2:$B$10001,MATCH(7098,'Email Cleaner'!$K$2:$K$10001,0)),"")</f>
        <v/>
      </c>
    </row>
    <row r="7100">
      <c r="A7100">
        <f>IFERROR(INDEX('Email Cleaner'!$B$2:$B$10001,MATCH(7099,'Email Cleaner'!$K$2:$K$10001,0)),"")</f>
        <v/>
      </c>
    </row>
    <row r="7101">
      <c r="A7101">
        <f>IFERROR(INDEX('Email Cleaner'!$B$2:$B$10001,MATCH(7100,'Email Cleaner'!$K$2:$K$10001,0)),"")</f>
        <v/>
      </c>
    </row>
    <row r="7102">
      <c r="A7102">
        <f>IFERROR(INDEX('Email Cleaner'!$B$2:$B$10001,MATCH(7101,'Email Cleaner'!$K$2:$K$10001,0)),"")</f>
        <v/>
      </c>
    </row>
    <row r="7103">
      <c r="A7103">
        <f>IFERROR(INDEX('Email Cleaner'!$B$2:$B$10001,MATCH(7102,'Email Cleaner'!$K$2:$K$10001,0)),"")</f>
        <v/>
      </c>
    </row>
    <row r="7104">
      <c r="A7104">
        <f>IFERROR(INDEX('Email Cleaner'!$B$2:$B$10001,MATCH(7103,'Email Cleaner'!$K$2:$K$10001,0)),"")</f>
        <v/>
      </c>
    </row>
    <row r="7105">
      <c r="A7105">
        <f>IFERROR(INDEX('Email Cleaner'!$B$2:$B$10001,MATCH(7104,'Email Cleaner'!$K$2:$K$10001,0)),"")</f>
        <v/>
      </c>
    </row>
    <row r="7106">
      <c r="A7106">
        <f>IFERROR(INDEX('Email Cleaner'!$B$2:$B$10001,MATCH(7105,'Email Cleaner'!$K$2:$K$10001,0)),"")</f>
        <v/>
      </c>
    </row>
    <row r="7107">
      <c r="A7107">
        <f>IFERROR(INDEX('Email Cleaner'!$B$2:$B$10001,MATCH(7106,'Email Cleaner'!$K$2:$K$10001,0)),"")</f>
        <v/>
      </c>
    </row>
    <row r="7108">
      <c r="A7108">
        <f>IFERROR(INDEX('Email Cleaner'!$B$2:$B$10001,MATCH(7107,'Email Cleaner'!$K$2:$K$10001,0)),"")</f>
        <v/>
      </c>
    </row>
    <row r="7109">
      <c r="A7109">
        <f>IFERROR(INDEX('Email Cleaner'!$B$2:$B$10001,MATCH(7108,'Email Cleaner'!$K$2:$K$10001,0)),"")</f>
        <v/>
      </c>
    </row>
    <row r="7110">
      <c r="A7110">
        <f>IFERROR(INDEX('Email Cleaner'!$B$2:$B$10001,MATCH(7109,'Email Cleaner'!$K$2:$K$10001,0)),"")</f>
        <v/>
      </c>
    </row>
    <row r="7111">
      <c r="A7111">
        <f>IFERROR(INDEX('Email Cleaner'!$B$2:$B$10001,MATCH(7110,'Email Cleaner'!$K$2:$K$10001,0)),"")</f>
        <v/>
      </c>
    </row>
    <row r="7112">
      <c r="A7112">
        <f>IFERROR(INDEX('Email Cleaner'!$B$2:$B$10001,MATCH(7111,'Email Cleaner'!$K$2:$K$10001,0)),"")</f>
        <v/>
      </c>
    </row>
    <row r="7113">
      <c r="A7113">
        <f>IFERROR(INDEX('Email Cleaner'!$B$2:$B$10001,MATCH(7112,'Email Cleaner'!$K$2:$K$10001,0)),"")</f>
        <v/>
      </c>
    </row>
    <row r="7114">
      <c r="A7114">
        <f>IFERROR(INDEX('Email Cleaner'!$B$2:$B$10001,MATCH(7113,'Email Cleaner'!$K$2:$K$10001,0)),"")</f>
        <v/>
      </c>
    </row>
    <row r="7115">
      <c r="A7115">
        <f>IFERROR(INDEX('Email Cleaner'!$B$2:$B$10001,MATCH(7114,'Email Cleaner'!$K$2:$K$10001,0)),"")</f>
        <v/>
      </c>
    </row>
    <row r="7116">
      <c r="A7116">
        <f>IFERROR(INDEX('Email Cleaner'!$B$2:$B$10001,MATCH(7115,'Email Cleaner'!$K$2:$K$10001,0)),"")</f>
        <v/>
      </c>
    </row>
    <row r="7117">
      <c r="A7117">
        <f>IFERROR(INDEX('Email Cleaner'!$B$2:$B$10001,MATCH(7116,'Email Cleaner'!$K$2:$K$10001,0)),"")</f>
        <v/>
      </c>
    </row>
    <row r="7118">
      <c r="A7118">
        <f>IFERROR(INDEX('Email Cleaner'!$B$2:$B$10001,MATCH(7117,'Email Cleaner'!$K$2:$K$10001,0)),"")</f>
        <v/>
      </c>
    </row>
    <row r="7119">
      <c r="A7119">
        <f>IFERROR(INDEX('Email Cleaner'!$B$2:$B$10001,MATCH(7118,'Email Cleaner'!$K$2:$K$10001,0)),"")</f>
        <v/>
      </c>
    </row>
    <row r="7120">
      <c r="A7120">
        <f>IFERROR(INDEX('Email Cleaner'!$B$2:$B$10001,MATCH(7119,'Email Cleaner'!$K$2:$K$10001,0)),"")</f>
        <v/>
      </c>
    </row>
    <row r="7121">
      <c r="A7121">
        <f>IFERROR(INDEX('Email Cleaner'!$B$2:$B$10001,MATCH(7120,'Email Cleaner'!$K$2:$K$10001,0)),"")</f>
        <v/>
      </c>
    </row>
    <row r="7122">
      <c r="A7122">
        <f>IFERROR(INDEX('Email Cleaner'!$B$2:$B$10001,MATCH(7121,'Email Cleaner'!$K$2:$K$10001,0)),"")</f>
        <v/>
      </c>
    </row>
    <row r="7123">
      <c r="A7123">
        <f>IFERROR(INDEX('Email Cleaner'!$B$2:$B$10001,MATCH(7122,'Email Cleaner'!$K$2:$K$10001,0)),"")</f>
        <v/>
      </c>
    </row>
    <row r="7124">
      <c r="A7124">
        <f>IFERROR(INDEX('Email Cleaner'!$B$2:$B$10001,MATCH(7123,'Email Cleaner'!$K$2:$K$10001,0)),"")</f>
        <v/>
      </c>
    </row>
    <row r="7125">
      <c r="A7125">
        <f>IFERROR(INDEX('Email Cleaner'!$B$2:$B$10001,MATCH(7124,'Email Cleaner'!$K$2:$K$10001,0)),"")</f>
        <v/>
      </c>
    </row>
    <row r="7126">
      <c r="A7126">
        <f>IFERROR(INDEX('Email Cleaner'!$B$2:$B$10001,MATCH(7125,'Email Cleaner'!$K$2:$K$10001,0)),"")</f>
        <v/>
      </c>
    </row>
    <row r="7127">
      <c r="A7127">
        <f>IFERROR(INDEX('Email Cleaner'!$B$2:$B$10001,MATCH(7126,'Email Cleaner'!$K$2:$K$10001,0)),"")</f>
        <v/>
      </c>
    </row>
    <row r="7128">
      <c r="A7128">
        <f>IFERROR(INDEX('Email Cleaner'!$B$2:$B$10001,MATCH(7127,'Email Cleaner'!$K$2:$K$10001,0)),"")</f>
        <v/>
      </c>
    </row>
    <row r="7129">
      <c r="A7129">
        <f>IFERROR(INDEX('Email Cleaner'!$B$2:$B$10001,MATCH(7128,'Email Cleaner'!$K$2:$K$10001,0)),"")</f>
        <v/>
      </c>
    </row>
    <row r="7130">
      <c r="A7130">
        <f>IFERROR(INDEX('Email Cleaner'!$B$2:$B$10001,MATCH(7129,'Email Cleaner'!$K$2:$K$10001,0)),"")</f>
        <v/>
      </c>
    </row>
    <row r="7131">
      <c r="A7131">
        <f>IFERROR(INDEX('Email Cleaner'!$B$2:$B$10001,MATCH(7130,'Email Cleaner'!$K$2:$K$10001,0)),"")</f>
        <v/>
      </c>
    </row>
    <row r="7132">
      <c r="A7132">
        <f>IFERROR(INDEX('Email Cleaner'!$B$2:$B$10001,MATCH(7131,'Email Cleaner'!$K$2:$K$10001,0)),"")</f>
        <v/>
      </c>
    </row>
    <row r="7133">
      <c r="A7133">
        <f>IFERROR(INDEX('Email Cleaner'!$B$2:$B$10001,MATCH(7132,'Email Cleaner'!$K$2:$K$10001,0)),"")</f>
        <v/>
      </c>
    </row>
    <row r="7134">
      <c r="A7134">
        <f>IFERROR(INDEX('Email Cleaner'!$B$2:$B$10001,MATCH(7133,'Email Cleaner'!$K$2:$K$10001,0)),"")</f>
        <v/>
      </c>
    </row>
    <row r="7135">
      <c r="A7135">
        <f>IFERROR(INDEX('Email Cleaner'!$B$2:$B$10001,MATCH(7134,'Email Cleaner'!$K$2:$K$10001,0)),"")</f>
        <v/>
      </c>
    </row>
    <row r="7136">
      <c r="A7136">
        <f>IFERROR(INDEX('Email Cleaner'!$B$2:$B$10001,MATCH(7135,'Email Cleaner'!$K$2:$K$10001,0)),"")</f>
        <v/>
      </c>
    </row>
    <row r="7137">
      <c r="A7137">
        <f>IFERROR(INDEX('Email Cleaner'!$B$2:$B$10001,MATCH(7136,'Email Cleaner'!$K$2:$K$10001,0)),"")</f>
        <v/>
      </c>
    </row>
    <row r="7138">
      <c r="A7138">
        <f>IFERROR(INDEX('Email Cleaner'!$B$2:$B$10001,MATCH(7137,'Email Cleaner'!$K$2:$K$10001,0)),"")</f>
        <v/>
      </c>
    </row>
    <row r="7139">
      <c r="A7139">
        <f>IFERROR(INDEX('Email Cleaner'!$B$2:$B$10001,MATCH(7138,'Email Cleaner'!$K$2:$K$10001,0)),"")</f>
        <v/>
      </c>
    </row>
    <row r="7140">
      <c r="A7140">
        <f>IFERROR(INDEX('Email Cleaner'!$B$2:$B$10001,MATCH(7139,'Email Cleaner'!$K$2:$K$10001,0)),"")</f>
        <v/>
      </c>
    </row>
    <row r="7141">
      <c r="A7141">
        <f>IFERROR(INDEX('Email Cleaner'!$B$2:$B$10001,MATCH(7140,'Email Cleaner'!$K$2:$K$10001,0)),"")</f>
        <v/>
      </c>
    </row>
    <row r="7142">
      <c r="A7142">
        <f>IFERROR(INDEX('Email Cleaner'!$B$2:$B$10001,MATCH(7141,'Email Cleaner'!$K$2:$K$10001,0)),"")</f>
        <v/>
      </c>
    </row>
    <row r="7143">
      <c r="A7143">
        <f>IFERROR(INDEX('Email Cleaner'!$B$2:$B$10001,MATCH(7142,'Email Cleaner'!$K$2:$K$10001,0)),"")</f>
        <v/>
      </c>
    </row>
    <row r="7144">
      <c r="A7144">
        <f>IFERROR(INDEX('Email Cleaner'!$B$2:$B$10001,MATCH(7143,'Email Cleaner'!$K$2:$K$10001,0)),"")</f>
        <v/>
      </c>
    </row>
    <row r="7145">
      <c r="A7145">
        <f>IFERROR(INDEX('Email Cleaner'!$B$2:$B$10001,MATCH(7144,'Email Cleaner'!$K$2:$K$10001,0)),"")</f>
        <v/>
      </c>
    </row>
    <row r="7146">
      <c r="A7146">
        <f>IFERROR(INDEX('Email Cleaner'!$B$2:$B$10001,MATCH(7145,'Email Cleaner'!$K$2:$K$10001,0)),"")</f>
        <v/>
      </c>
    </row>
    <row r="7147">
      <c r="A7147">
        <f>IFERROR(INDEX('Email Cleaner'!$B$2:$B$10001,MATCH(7146,'Email Cleaner'!$K$2:$K$10001,0)),"")</f>
        <v/>
      </c>
    </row>
    <row r="7148">
      <c r="A7148">
        <f>IFERROR(INDEX('Email Cleaner'!$B$2:$B$10001,MATCH(7147,'Email Cleaner'!$K$2:$K$10001,0)),"")</f>
        <v/>
      </c>
    </row>
    <row r="7149">
      <c r="A7149">
        <f>IFERROR(INDEX('Email Cleaner'!$B$2:$B$10001,MATCH(7148,'Email Cleaner'!$K$2:$K$10001,0)),"")</f>
        <v/>
      </c>
    </row>
    <row r="7150">
      <c r="A7150">
        <f>IFERROR(INDEX('Email Cleaner'!$B$2:$B$10001,MATCH(7149,'Email Cleaner'!$K$2:$K$10001,0)),"")</f>
        <v/>
      </c>
    </row>
    <row r="7151">
      <c r="A7151">
        <f>IFERROR(INDEX('Email Cleaner'!$B$2:$B$10001,MATCH(7150,'Email Cleaner'!$K$2:$K$10001,0)),"")</f>
        <v/>
      </c>
    </row>
    <row r="7152">
      <c r="A7152">
        <f>IFERROR(INDEX('Email Cleaner'!$B$2:$B$10001,MATCH(7151,'Email Cleaner'!$K$2:$K$10001,0)),"")</f>
        <v/>
      </c>
    </row>
    <row r="7153">
      <c r="A7153">
        <f>IFERROR(INDEX('Email Cleaner'!$B$2:$B$10001,MATCH(7152,'Email Cleaner'!$K$2:$K$10001,0)),"")</f>
        <v/>
      </c>
    </row>
    <row r="7154">
      <c r="A7154">
        <f>IFERROR(INDEX('Email Cleaner'!$B$2:$B$10001,MATCH(7153,'Email Cleaner'!$K$2:$K$10001,0)),"")</f>
        <v/>
      </c>
    </row>
    <row r="7155">
      <c r="A7155">
        <f>IFERROR(INDEX('Email Cleaner'!$B$2:$B$10001,MATCH(7154,'Email Cleaner'!$K$2:$K$10001,0)),"")</f>
        <v/>
      </c>
    </row>
    <row r="7156">
      <c r="A7156">
        <f>IFERROR(INDEX('Email Cleaner'!$B$2:$B$10001,MATCH(7155,'Email Cleaner'!$K$2:$K$10001,0)),"")</f>
        <v/>
      </c>
    </row>
    <row r="7157">
      <c r="A7157">
        <f>IFERROR(INDEX('Email Cleaner'!$B$2:$B$10001,MATCH(7156,'Email Cleaner'!$K$2:$K$10001,0)),"")</f>
        <v/>
      </c>
    </row>
    <row r="7158">
      <c r="A7158">
        <f>IFERROR(INDEX('Email Cleaner'!$B$2:$B$10001,MATCH(7157,'Email Cleaner'!$K$2:$K$10001,0)),"")</f>
        <v/>
      </c>
    </row>
    <row r="7159">
      <c r="A7159">
        <f>IFERROR(INDEX('Email Cleaner'!$B$2:$B$10001,MATCH(7158,'Email Cleaner'!$K$2:$K$10001,0)),"")</f>
        <v/>
      </c>
    </row>
    <row r="7160">
      <c r="A7160">
        <f>IFERROR(INDEX('Email Cleaner'!$B$2:$B$10001,MATCH(7159,'Email Cleaner'!$K$2:$K$10001,0)),"")</f>
        <v/>
      </c>
    </row>
    <row r="7161">
      <c r="A7161">
        <f>IFERROR(INDEX('Email Cleaner'!$B$2:$B$10001,MATCH(7160,'Email Cleaner'!$K$2:$K$10001,0)),"")</f>
        <v/>
      </c>
    </row>
    <row r="7162">
      <c r="A7162">
        <f>IFERROR(INDEX('Email Cleaner'!$B$2:$B$10001,MATCH(7161,'Email Cleaner'!$K$2:$K$10001,0)),"")</f>
        <v/>
      </c>
    </row>
    <row r="7163">
      <c r="A7163">
        <f>IFERROR(INDEX('Email Cleaner'!$B$2:$B$10001,MATCH(7162,'Email Cleaner'!$K$2:$K$10001,0)),"")</f>
        <v/>
      </c>
    </row>
    <row r="7164">
      <c r="A7164">
        <f>IFERROR(INDEX('Email Cleaner'!$B$2:$B$10001,MATCH(7163,'Email Cleaner'!$K$2:$K$10001,0)),"")</f>
        <v/>
      </c>
    </row>
    <row r="7165">
      <c r="A7165">
        <f>IFERROR(INDEX('Email Cleaner'!$B$2:$B$10001,MATCH(7164,'Email Cleaner'!$K$2:$K$10001,0)),"")</f>
        <v/>
      </c>
    </row>
    <row r="7166">
      <c r="A7166">
        <f>IFERROR(INDEX('Email Cleaner'!$B$2:$B$10001,MATCH(7165,'Email Cleaner'!$K$2:$K$10001,0)),"")</f>
        <v/>
      </c>
    </row>
    <row r="7167">
      <c r="A7167">
        <f>IFERROR(INDEX('Email Cleaner'!$B$2:$B$10001,MATCH(7166,'Email Cleaner'!$K$2:$K$10001,0)),"")</f>
        <v/>
      </c>
    </row>
    <row r="7168">
      <c r="A7168">
        <f>IFERROR(INDEX('Email Cleaner'!$B$2:$B$10001,MATCH(7167,'Email Cleaner'!$K$2:$K$10001,0)),"")</f>
        <v/>
      </c>
    </row>
    <row r="7169">
      <c r="A7169">
        <f>IFERROR(INDEX('Email Cleaner'!$B$2:$B$10001,MATCH(7168,'Email Cleaner'!$K$2:$K$10001,0)),"")</f>
        <v/>
      </c>
    </row>
    <row r="7170">
      <c r="A7170">
        <f>IFERROR(INDEX('Email Cleaner'!$B$2:$B$10001,MATCH(7169,'Email Cleaner'!$K$2:$K$10001,0)),"")</f>
        <v/>
      </c>
    </row>
    <row r="7171">
      <c r="A7171">
        <f>IFERROR(INDEX('Email Cleaner'!$B$2:$B$10001,MATCH(7170,'Email Cleaner'!$K$2:$K$10001,0)),"")</f>
        <v/>
      </c>
    </row>
    <row r="7172">
      <c r="A7172">
        <f>IFERROR(INDEX('Email Cleaner'!$B$2:$B$10001,MATCH(7171,'Email Cleaner'!$K$2:$K$10001,0)),"")</f>
        <v/>
      </c>
    </row>
    <row r="7173">
      <c r="A7173">
        <f>IFERROR(INDEX('Email Cleaner'!$B$2:$B$10001,MATCH(7172,'Email Cleaner'!$K$2:$K$10001,0)),"")</f>
        <v/>
      </c>
    </row>
    <row r="7174">
      <c r="A7174">
        <f>IFERROR(INDEX('Email Cleaner'!$B$2:$B$10001,MATCH(7173,'Email Cleaner'!$K$2:$K$10001,0)),"")</f>
        <v/>
      </c>
    </row>
    <row r="7175">
      <c r="A7175">
        <f>IFERROR(INDEX('Email Cleaner'!$B$2:$B$10001,MATCH(7174,'Email Cleaner'!$K$2:$K$10001,0)),"")</f>
        <v/>
      </c>
    </row>
    <row r="7176">
      <c r="A7176">
        <f>IFERROR(INDEX('Email Cleaner'!$B$2:$B$10001,MATCH(7175,'Email Cleaner'!$K$2:$K$10001,0)),"")</f>
        <v/>
      </c>
    </row>
    <row r="7177">
      <c r="A7177">
        <f>IFERROR(INDEX('Email Cleaner'!$B$2:$B$10001,MATCH(7176,'Email Cleaner'!$K$2:$K$10001,0)),"")</f>
        <v/>
      </c>
    </row>
    <row r="7178">
      <c r="A7178">
        <f>IFERROR(INDEX('Email Cleaner'!$B$2:$B$10001,MATCH(7177,'Email Cleaner'!$K$2:$K$10001,0)),"")</f>
        <v/>
      </c>
    </row>
    <row r="7179">
      <c r="A7179">
        <f>IFERROR(INDEX('Email Cleaner'!$B$2:$B$10001,MATCH(7178,'Email Cleaner'!$K$2:$K$10001,0)),"")</f>
        <v/>
      </c>
    </row>
    <row r="7180">
      <c r="A7180">
        <f>IFERROR(INDEX('Email Cleaner'!$B$2:$B$10001,MATCH(7179,'Email Cleaner'!$K$2:$K$10001,0)),"")</f>
        <v/>
      </c>
    </row>
    <row r="7181">
      <c r="A7181">
        <f>IFERROR(INDEX('Email Cleaner'!$B$2:$B$10001,MATCH(7180,'Email Cleaner'!$K$2:$K$10001,0)),"")</f>
        <v/>
      </c>
    </row>
    <row r="7182">
      <c r="A7182">
        <f>IFERROR(INDEX('Email Cleaner'!$B$2:$B$10001,MATCH(7181,'Email Cleaner'!$K$2:$K$10001,0)),"")</f>
        <v/>
      </c>
    </row>
    <row r="7183">
      <c r="A7183">
        <f>IFERROR(INDEX('Email Cleaner'!$B$2:$B$10001,MATCH(7182,'Email Cleaner'!$K$2:$K$10001,0)),"")</f>
        <v/>
      </c>
    </row>
    <row r="7184">
      <c r="A7184">
        <f>IFERROR(INDEX('Email Cleaner'!$B$2:$B$10001,MATCH(7183,'Email Cleaner'!$K$2:$K$10001,0)),"")</f>
        <v/>
      </c>
    </row>
    <row r="7185">
      <c r="A7185">
        <f>IFERROR(INDEX('Email Cleaner'!$B$2:$B$10001,MATCH(7184,'Email Cleaner'!$K$2:$K$10001,0)),"")</f>
        <v/>
      </c>
    </row>
    <row r="7186">
      <c r="A7186">
        <f>IFERROR(INDEX('Email Cleaner'!$B$2:$B$10001,MATCH(7185,'Email Cleaner'!$K$2:$K$10001,0)),"")</f>
        <v/>
      </c>
    </row>
    <row r="7187">
      <c r="A7187">
        <f>IFERROR(INDEX('Email Cleaner'!$B$2:$B$10001,MATCH(7186,'Email Cleaner'!$K$2:$K$10001,0)),"")</f>
        <v/>
      </c>
    </row>
    <row r="7188">
      <c r="A7188">
        <f>IFERROR(INDEX('Email Cleaner'!$B$2:$B$10001,MATCH(7187,'Email Cleaner'!$K$2:$K$10001,0)),"")</f>
        <v/>
      </c>
    </row>
    <row r="7189">
      <c r="A7189">
        <f>IFERROR(INDEX('Email Cleaner'!$B$2:$B$10001,MATCH(7188,'Email Cleaner'!$K$2:$K$10001,0)),"")</f>
        <v/>
      </c>
    </row>
    <row r="7190">
      <c r="A7190">
        <f>IFERROR(INDEX('Email Cleaner'!$B$2:$B$10001,MATCH(7189,'Email Cleaner'!$K$2:$K$10001,0)),"")</f>
        <v/>
      </c>
    </row>
    <row r="7191">
      <c r="A7191">
        <f>IFERROR(INDEX('Email Cleaner'!$B$2:$B$10001,MATCH(7190,'Email Cleaner'!$K$2:$K$10001,0)),"")</f>
        <v/>
      </c>
    </row>
    <row r="7192">
      <c r="A7192">
        <f>IFERROR(INDEX('Email Cleaner'!$B$2:$B$10001,MATCH(7191,'Email Cleaner'!$K$2:$K$10001,0)),"")</f>
        <v/>
      </c>
    </row>
    <row r="7193">
      <c r="A7193">
        <f>IFERROR(INDEX('Email Cleaner'!$B$2:$B$10001,MATCH(7192,'Email Cleaner'!$K$2:$K$10001,0)),"")</f>
        <v/>
      </c>
    </row>
    <row r="7194">
      <c r="A7194">
        <f>IFERROR(INDEX('Email Cleaner'!$B$2:$B$10001,MATCH(7193,'Email Cleaner'!$K$2:$K$10001,0)),"")</f>
        <v/>
      </c>
    </row>
    <row r="7195">
      <c r="A7195">
        <f>IFERROR(INDEX('Email Cleaner'!$B$2:$B$10001,MATCH(7194,'Email Cleaner'!$K$2:$K$10001,0)),"")</f>
        <v/>
      </c>
    </row>
    <row r="7196">
      <c r="A7196">
        <f>IFERROR(INDEX('Email Cleaner'!$B$2:$B$10001,MATCH(7195,'Email Cleaner'!$K$2:$K$10001,0)),"")</f>
        <v/>
      </c>
    </row>
    <row r="7197">
      <c r="A7197">
        <f>IFERROR(INDEX('Email Cleaner'!$B$2:$B$10001,MATCH(7196,'Email Cleaner'!$K$2:$K$10001,0)),"")</f>
        <v/>
      </c>
    </row>
    <row r="7198">
      <c r="A7198">
        <f>IFERROR(INDEX('Email Cleaner'!$B$2:$B$10001,MATCH(7197,'Email Cleaner'!$K$2:$K$10001,0)),"")</f>
        <v/>
      </c>
    </row>
    <row r="7199">
      <c r="A7199">
        <f>IFERROR(INDEX('Email Cleaner'!$B$2:$B$10001,MATCH(7198,'Email Cleaner'!$K$2:$K$10001,0)),"")</f>
        <v/>
      </c>
    </row>
    <row r="7200">
      <c r="A7200">
        <f>IFERROR(INDEX('Email Cleaner'!$B$2:$B$10001,MATCH(7199,'Email Cleaner'!$K$2:$K$10001,0)),"")</f>
        <v/>
      </c>
    </row>
    <row r="7201">
      <c r="A7201">
        <f>IFERROR(INDEX('Email Cleaner'!$B$2:$B$10001,MATCH(7200,'Email Cleaner'!$K$2:$K$10001,0)),"")</f>
        <v/>
      </c>
    </row>
    <row r="7202">
      <c r="A7202">
        <f>IFERROR(INDEX('Email Cleaner'!$B$2:$B$10001,MATCH(7201,'Email Cleaner'!$K$2:$K$10001,0)),"")</f>
        <v/>
      </c>
    </row>
    <row r="7203">
      <c r="A7203">
        <f>IFERROR(INDEX('Email Cleaner'!$B$2:$B$10001,MATCH(7202,'Email Cleaner'!$K$2:$K$10001,0)),"")</f>
        <v/>
      </c>
    </row>
    <row r="7204">
      <c r="A7204">
        <f>IFERROR(INDEX('Email Cleaner'!$B$2:$B$10001,MATCH(7203,'Email Cleaner'!$K$2:$K$10001,0)),"")</f>
        <v/>
      </c>
    </row>
    <row r="7205">
      <c r="A7205">
        <f>IFERROR(INDEX('Email Cleaner'!$B$2:$B$10001,MATCH(7204,'Email Cleaner'!$K$2:$K$10001,0)),"")</f>
        <v/>
      </c>
    </row>
    <row r="7206">
      <c r="A7206">
        <f>IFERROR(INDEX('Email Cleaner'!$B$2:$B$10001,MATCH(7205,'Email Cleaner'!$K$2:$K$10001,0)),"")</f>
        <v/>
      </c>
    </row>
    <row r="7207">
      <c r="A7207">
        <f>IFERROR(INDEX('Email Cleaner'!$B$2:$B$10001,MATCH(7206,'Email Cleaner'!$K$2:$K$10001,0)),"")</f>
        <v/>
      </c>
    </row>
    <row r="7208">
      <c r="A7208">
        <f>IFERROR(INDEX('Email Cleaner'!$B$2:$B$10001,MATCH(7207,'Email Cleaner'!$K$2:$K$10001,0)),"")</f>
        <v/>
      </c>
    </row>
    <row r="7209">
      <c r="A7209">
        <f>IFERROR(INDEX('Email Cleaner'!$B$2:$B$10001,MATCH(7208,'Email Cleaner'!$K$2:$K$10001,0)),"")</f>
        <v/>
      </c>
    </row>
    <row r="7210">
      <c r="A7210">
        <f>IFERROR(INDEX('Email Cleaner'!$B$2:$B$10001,MATCH(7209,'Email Cleaner'!$K$2:$K$10001,0)),"")</f>
        <v/>
      </c>
    </row>
    <row r="7211">
      <c r="A7211">
        <f>IFERROR(INDEX('Email Cleaner'!$B$2:$B$10001,MATCH(7210,'Email Cleaner'!$K$2:$K$10001,0)),"")</f>
        <v/>
      </c>
    </row>
    <row r="7212">
      <c r="A7212">
        <f>IFERROR(INDEX('Email Cleaner'!$B$2:$B$10001,MATCH(7211,'Email Cleaner'!$K$2:$K$10001,0)),"")</f>
        <v/>
      </c>
    </row>
    <row r="7213">
      <c r="A7213">
        <f>IFERROR(INDEX('Email Cleaner'!$B$2:$B$10001,MATCH(7212,'Email Cleaner'!$K$2:$K$10001,0)),"")</f>
        <v/>
      </c>
    </row>
    <row r="7214">
      <c r="A7214">
        <f>IFERROR(INDEX('Email Cleaner'!$B$2:$B$10001,MATCH(7213,'Email Cleaner'!$K$2:$K$10001,0)),"")</f>
        <v/>
      </c>
    </row>
    <row r="7215">
      <c r="A7215">
        <f>IFERROR(INDEX('Email Cleaner'!$B$2:$B$10001,MATCH(7214,'Email Cleaner'!$K$2:$K$10001,0)),"")</f>
        <v/>
      </c>
    </row>
    <row r="7216">
      <c r="A7216">
        <f>IFERROR(INDEX('Email Cleaner'!$B$2:$B$10001,MATCH(7215,'Email Cleaner'!$K$2:$K$10001,0)),"")</f>
        <v/>
      </c>
    </row>
    <row r="7217">
      <c r="A7217">
        <f>IFERROR(INDEX('Email Cleaner'!$B$2:$B$10001,MATCH(7216,'Email Cleaner'!$K$2:$K$10001,0)),"")</f>
        <v/>
      </c>
    </row>
    <row r="7218">
      <c r="A7218">
        <f>IFERROR(INDEX('Email Cleaner'!$B$2:$B$10001,MATCH(7217,'Email Cleaner'!$K$2:$K$10001,0)),"")</f>
        <v/>
      </c>
    </row>
    <row r="7219">
      <c r="A7219">
        <f>IFERROR(INDEX('Email Cleaner'!$B$2:$B$10001,MATCH(7218,'Email Cleaner'!$K$2:$K$10001,0)),"")</f>
        <v/>
      </c>
    </row>
    <row r="7220">
      <c r="A7220">
        <f>IFERROR(INDEX('Email Cleaner'!$B$2:$B$10001,MATCH(7219,'Email Cleaner'!$K$2:$K$10001,0)),"")</f>
        <v/>
      </c>
    </row>
    <row r="7221">
      <c r="A7221">
        <f>IFERROR(INDEX('Email Cleaner'!$B$2:$B$10001,MATCH(7220,'Email Cleaner'!$K$2:$K$10001,0)),"")</f>
        <v/>
      </c>
    </row>
    <row r="7222">
      <c r="A7222">
        <f>IFERROR(INDEX('Email Cleaner'!$B$2:$B$10001,MATCH(7221,'Email Cleaner'!$K$2:$K$10001,0)),"")</f>
        <v/>
      </c>
    </row>
    <row r="7223">
      <c r="A7223">
        <f>IFERROR(INDEX('Email Cleaner'!$B$2:$B$10001,MATCH(7222,'Email Cleaner'!$K$2:$K$10001,0)),"")</f>
        <v/>
      </c>
    </row>
    <row r="7224">
      <c r="A7224">
        <f>IFERROR(INDEX('Email Cleaner'!$B$2:$B$10001,MATCH(7223,'Email Cleaner'!$K$2:$K$10001,0)),"")</f>
        <v/>
      </c>
    </row>
    <row r="7225">
      <c r="A7225">
        <f>IFERROR(INDEX('Email Cleaner'!$B$2:$B$10001,MATCH(7224,'Email Cleaner'!$K$2:$K$10001,0)),"")</f>
        <v/>
      </c>
    </row>
    <row r="7226">
      <c r="A7226">
        <f>IFERROR(INDEX('Email Cleaner'!$B$2:$B$10001,MATCH(7225,'Email Cleaner'!$K$2:$K$10001,0)),"")</f>
        <v/>
      </c>
    </row>
    <row r="7227">
      <c r="A7227">
        <f>IFERROR(INDEX('Email Cleaner'!$B$2:$B$10001,MATCH(7226,'Email Cleaner'!$K$2:$K$10001,0)),"")</f>
        <v/>
      </c>
    </row>
    <row r="7228">
      <c r="A7228">
        <f>IFERROR(INDEX('Email Cleaner'!$B$2:$B$10001,MATCH(7227,'Email Cleaner'!$K$2:$K$10001,0)),"")</f>
        <v/>
      </c>
    </row>
    <row r="7229">
      <c r="A7229">
        <f>IFERROR(INDEX('Email Cleaner'!$B$2:$B$10001,MATCH(7228,'Email Cleaner'!$K$2:$K$10001,0)),"")</f>
        <v/>
      </c>
    </row>
    <row r="7230">
      <c r="A7230">
        <f>IFERROR(INDEX('Email Cleaner'!$B$2:$B$10001,MATCH(7229,'Email Cleaner'!$K$2:$K$10001,0)),"")</f>
        <v/>
      </c>
    </row>
    <row r="7231">
      <c r="A7231">
        <f>IFERROR(INDEX('Email Cleaner'!$B$2:$B$10001,MATCH(7230,'Email Cleaner'!$K$2:$K$10001,0)),"")</f>
        <v/>
      </c>
    </row>
    <row r="7232">
      <c r="A7232">
        <f>IFERROR(INDEX('Email Cleaner'!$B$2:$B$10001,MATCH(7231,'Email Cleaner'!$K$2:$K$10001,0)),"")</f>
        <v/>
      </c>
    </row>
    <row r="7233">
      <c r="A7233">
        <f>IFERROR(INDEX('Email Cleaner'!$B$2:$B$10001,MATCH(7232,'Email Cleaner'!$K$2:$K$10001,0)),"")</f>
        <v/>
      </c>
    </row>
    <row r="7234">
      <c r="A7234">
        <f>IFERROR(INDEX('Email Cleaner'!$B$2:$B$10001,MATCH(7233,'Email Cleaner'!$K$2:$K$10001,0)),"")</f>
        <v/>
      </c>
    </row>
    <row r="7235">
      <c r="A7235">
        <f>IFERROR(INDEX('Email Cleaner'!$B$2:$B$10001,MATCH(7234,'Email Cleaner'!$K$2:$K$10001,0)),"")</f>
        <v/>
      </c>
    </row>
    <row r="7236">
      <c r="A7236">
        <f>IFERROR(INDEX('Email Cleaner'!$B$2:$B$10001,MATCH(7235,'Email Cleaner'!$K$2:$K$10001,0)),"")</f>
        <v/>
      </c>
    </row>
    <row r="7237">
      <c r="A7237">
        <f>IFERROR(INDEX('Email Cleaner'!$B$2:$B$10001,MATCH(7236,'Email Cleaner'!$K$2:$K$10001,0)),"")</f>
        <v/>
      </c>
    </row>
    <row r="7238">
      <c r="A7238">
        <f>IFERROR(INDEX('Email Cleaner'!$B$2:$B$10001,MATCH(7237,'Email Cleaner'!$K$2:$K$10001,0)),"")</f>
        <v/>
      </c>
    </row>
    <row r="7239">
      <c r="A7239">
        <f>IFERROR(INDEX('Email Cleaner'!$B$2:$B$10001,MATCH(7238,'Email Cleaner'!$K$2:$K$10001,0)),"")</f>
        <v/>
      </c>
    </row>
    <row r="7240">
      <c r="A7240">
        <f>IFERROR(INDEX('Email Cleaner'!$B$2:$B$10001,MATCH(7239,'Email Cleaner'!$K$2:$K$10001,0)),"")</f>
        <v/>
      </c>
    </row>
    <row r="7241">
      <c r="A7241">
        <f>IFERROR(INDEX('Email Cleaner'!$B$2:$B$10001,MATCH(7240,'Email Cleaner'!$K$2:$K$10001,0)),"")</f>
        <v/>
      </c>
    </row>
    <row r="7242">
      <c r="A7242">
        <f>IFERROR(INDEX('Email Cleaner'!$B$2:$B$10001,MATCH(7241,'Email Cleaner'!$K$2:$K$10001,0)),"")</f>
        <v/>
      </c>
    </row>
    <row r="7243">
      <c r="A7243">
        <f>IFERROR(INDEX('Email Cleaner'!$B$2:$B$10001,MATCH(7242,'Email Cleaner'!$K$2:$K$10001,0)),"")</f>
        <v/>
      </c>
    </row>
    <row r="7244">
      <c r="A7244">
        <f>IFERROR(INDEX('Email Cleaner'!$B$2:$B$10001,MATCH(7243,'Email Cleaner'!$K$2:$K$10001,0)),"")</f>
        <v/>
      </c>
    </row>
    <row r="7245">
      <c r="A7245">
        <f>IFERROR(INDEX('Email Cleaner'!$B$2:$B$10001,MATCH(7244,'Email Cleaner'!$K$2:$K$10001,0)),"")</f>
        <v/>
      </c>
    </row>
    <row r="7246">
      <c r="A7246">
        <f>IFERROR(INDEX('Email Cleaner'!$B$2:$B$10001,MATCH(7245,'Email Cleaner'!$K$2:$K$10001,0)),"")</f>
        <v/>
      </c>
    </row>
    <row r="7247">
      <c r="A7247">
        <f>IFERROR(INDEX('Email Cleaner'!$B$2:$B$10001,MATCH(7246,'Email Cleaner'!$K$2:$K$10001,0)),"")</f>
        <v/>
      </c>
    </row>
    <row r="7248">
      <c r="A7248">
        <f>IFERROR(INDEX('Email Cleaner'!$B$2:$B$10001,MATCH(7247,'Email Cleaner'!$K$2:$K$10001,0)),"")</f>
        <v/>
      </c>
    </row>
    <row r="7249">
      <c r="A7249">
        <f>IFERROR(INDEX('Email Cleaner'!$B$2:$B$10001,MATCH(7248,'Email Cleaner'!$K$2:$K$10001,0)),"")</f>
        <v/>
      </c>
    </row>
    <row r="7250">
      <c r="A7250">
        <f>IFERROR(INDEX('Email Cleaner'!$B$2:$B$10001,MATCH(7249,'Email Cleaner'!$K$2:$K$10001,0)),"")</f>
        <v/>
      </c>
    </row>
    <row r="7251">
      <c r="A7251">
        <f>IFERROR(INDEX('Email Cleaner'!$B$2:$B$10001,MATCH(7250,'Email Cleaner'!$K$2:$K$10001,0)),"")</f>
        <v/>
      </c>
    </row>
    <row r="7252">
      <c r="A7252">
        <f>IFERROR(INDEX('Email Cleaner'!$B$2:$B$10001,MATCH(7251,'Email Cleaner'!$K$2:$K$10001,0)),"")</f>
        <v/>
      </c>
    </row>
    <row r="7253">
      <c r="A7253">
        <f>IFERROR(INDEX('Email Cleaner'!$B$2:$B$10001,MATCH(7252,'Email Cleaner'!$K$2:$K$10001,0)),"")</f>
        <v/>
      </c>
    </row>
    <row r="7254">
      <c r="A7254">
        <f>IFERROR(INDEX('Email Cleaner'!$B$2:$B$10001,MATCH(7253,'Email Cleaner'!$K$2:$K$10001,0)),"")</f>
        <v/>
      </c>
    </row>
    <row r="7255">
      <c r="A7255">
        <f>IFERROR(INDEX('Email Cleaner'!$B$2:$B$10001,MATCH(7254,'Email Cleaner'!$K$2:$K$10001,0)),"")</f>
        <v/>
      </c>
    </row>
    <row r="7256">
      <c r="A7256">
        <f>IFERROR(INDEX('Email Cleaner'!$B$2:$B$10001,MATCH(7255,'Email Cleaner'!$K$2:$K$10001,0)),"")</f>
        <v/>
      </c>
    </row>
    <row r="7257">
      <c r="A7257">
        <f>IFERROR(INDEX('Email Cleaner'!$B$2:$B$10001,MATCH(7256,'Email Cleaner'!$K$2:$K$10001,0)),"")</f>
        <v/>
      </c>
    </row>
    <row r="7258">
      <c r="A7258">
        <f>IFERROR(INDEX('Email Cleaner'!$B$2:$B$10001,MATCH(7257,'Email Cleaner'!$K$2:$K$10001,0)),"")</f>
        <v/>
      </c>
    </row>
    <row r="7259">
      <c r="A7259">
        <f>IFERROR(INDEX('Email Cleaner'!$B$2:$B$10001,MATCH(7258,'Email Cleaner'!$K$2:$K$10001,0)),"")</f>
        <v/>
      </c>
    </row>
    <row r="7260">
      <c r="A7260">
        <f>IFERROR(INDEX('Email Cleaner'!$B$2:$B$10001,MATCH(7259,'Email Cleaner'!$K$2:$K$10001,0)),"")</f>
        <v/>
      </c>
    </row>
    <row r="7261">
      <c r="A7261">
        <f>IFERROR(INDEX('Email Cleaner'!$B$2:$B$10001,MATCH(7260,'Email Cleaner'!$K$2:$K$10001,0)),"")</f>
        <v/>
      </c>
    </row>
    <row r="7262">
      <c r="A7262">
        <f>IFERROR(INDEX('Email Cleaner'!$B$2:$B$10001,MATCH(7261,'Email Cleaner'!$K$2:$K$10001,0)),"")</f>
        <v/>
      </c>
    </row>
    <row r="7263">
      <c r="A7263">
        <f>IFERROR(INDEX('Email Cleaner'!$B$2:$B$10001,MATCH(7262,'Email Cleaner'!$K$2:$K$10001,0)),"")</f>
        <v/>
      </c>
    </row>
    <row r="7264">
      <c r="A7264">
        <f>IFERROR(INDEX('Email Cleaner'!$B$2:$B$10001,MATCH(7263,'Email Cleaner'!$K$2:$K$10001,0)),"")</f>
        <v/>
      </c>
    </row>
    <row r="7265">
      <c r="A7265">
        <f>IFERROR(INDEX('Email Cleaner'!$B$2:$B$10001,MATCH(7264,'Email Cleaner'!$K$2:$K$10001,0)),"")</f>
        <v/>
      </c>
    </row>
    <row r="7266">
      <c r="A7266">
        <f>IFERROR(INDEX('Email Cleaner'!$B$2:$B$10001,MATCH(7265,'Email Cleaner'!$K$2:$K$10001,0)),"")</f>
        <v/>
      </c>
    </row>
    <row r="7267">
      <c r="A7267">
        <f>IFERROR(INDEX('Email Cleaner'!$B$2:$B$10001,MATCH(7266,'Email Cleaner'!$K$2:$K$10001,0)),"")</f>
        <v/>
      </c>
    </row>
    <row r="7268">
      <c r="A7268">
        <f>IFERROR(INDEX('Email Cleaner'!$B$2:$B$10001,MATCH(7267,'Email Cleaner'!$K$2:$K$10001,0)),"")</f>
        <v/>
      </c>
    </row>
    <row r="7269">
      <c r="A7269">
        <f>IFERROR(INDEX('Email Cleaner'!$B$2:$B$10001,MATCH(7268,'Email Cleaner'!$K$2:$K$10001,0)),"")</f>
        <v/>
      </c>
    </row>
    <row r="7270">
      <c r="A7270">
        <f>IFERROR(INDEX('Email Cleaner'!$B$2:$B$10001,MATCH(7269,'Email Cleaner'!$K$2:$K$10001,0)),"")</f>
        <v/>
      </c>
    </row>
    <row r="7271">
      <c r="A7271">
        <f>IFERROR(INDEX('Email Cleaner'!$B$2:$B$10001,MATCH(7270,'Email Cleaner'!$K$2:$K$10001,0)),"")</f>
        <v/>
      </c>
    </row>
    <row r="7272">
      <c r="A7272">
        <f>IFERROR(INDEX('Email Cleaner'!$B$2:$B$10001,MATCH(7271,'Email Cleaner'!$K$2:$K$10001,0)),"")</f>
        <v/>
      </c>
    </row>
    <row r="7273">
      <c r="A7273">
        <f>IFERROR(INDEX('Email Cleaner'!$B$2:$B$10001,MATCH(7272,'Email Cleaner'!$K$2:$K$10001,0)),"")</f>
        <v/>
      </c>
    </row>
    <row r="7274">
      <c r="A7274">
        <f>IFERROR(INDEX('Email Cleaner'!$B$2:$B$10001,MATCH(7273,'Email Cleaner'!$K$2:$K$10001,0)),"")</f>
        <v/>
      </c>
    </row>
    <row r="7275">
      <c r="A7275">
        <f>IFERROR(INDEX('Email Cleaner'!$B$2:$B$10001,MATCH(7274,'Email Cleaner'!$K$2:$K$10001,0)),"")</f>
        <v/>
      </c>
    </row>
    <row r="7276">
      <c r="A7276">
        <f>IFERROR(INDEX('Email Cleaner'!$B$2:$B$10001,MATCH(7275,'Email Cleaner'!$K$2:$K$10001,0)),"")</f>
        <v/>
      </c>
    </row>
    <row r="7277">
      <c r="A7277">
        <f>IFERROR(INDEX('Email Cleaner'!$B$2:$B$10001,MATCH(7276,'Email Cleaner'!$K$2:$K$10001,0)),"")</f>
        <v/>
      </c>
    </row>
    <row r="7278">
      <c r="A7278">
        <f>IFERROR(INDEX('Email Cleaner'!$B$2:$B$10001,MATCH(7277,'Email Cleaner'!$K$2:$K$10001,0)),"")</f>
        <v/>
      </c>
    </row>
    <row r="7279">
      <c r="A7279">
        <f>IFERROR(INDEX('Email Cleaner'!$B$2:$B$10001,MATCH(7278,'Email Cleaner'!$K$2:$K$10001,0)),"")</f>
        <v/>
      </c>
    </row>
    <row r="7280">
      <c r="A7280">
        <f>IFERROR(INDEX('Email Cleaner'!$B$2:$B$10001,MATCH(7279,'Email Cleaner'!$K$2:$K$10001,0)),"")</f>
        <v/>
      </c>
    </row>
    <row r="7281">
      <c r="A7281">
        <f>IFERROR(INDEX('Email Cleaner'!$B$2:$B$10001,MATCH(7280,'Email Cleaner'!$K$2:$K$10001,0)),"")</f>
        <v/>
      </c>
    </row>
    <row r="7282">
      <c r="A7282">
        <f>IFERROR(INDEX('Email Cleaner'!$B$2:$B$10001,MATCH(7281,'Email Cleaner'!$K$2:$K$10001,0)),"")</f>
        <v/>
      </c>
    </row>
    <row r="7283">
      <c r="A7283">
        <f>IFERROR(INDEX('Email Cleaner'!$B$2:$B$10001,MATCH(7282,'Email Cleaner'!$K$2:$K$10001,0)),"")</f>
        <v/>
      </c>
    </row>
    <row r="7284">
      <c r="A7284">
        <f>IFERROR(INDEX('Email Cleaner'!$B$2:$B$10001,MATCH(7283,'Email Cleaner'!$K$2:$K$10001,0)),"")</f>
        <v/>
      </c>
    </row>
    <row r="7285">
      <c r="A7285">
        <f>IFERROR(INDEX('Email Cleaner'!$B$2:$B$10001,MATCH(7284,'Email Cleaner'!$K$2:$K$10001,0)),"")</f>
        <v/>
      </c>
    </row>
    <row r="7286">
      <c r="A7286">
        <f>IFERROR(INDEX('Email Cleaner'!$B$2:$B$10001,MATCH(7285,'Email Cleaner'!$K$2:$K$10001,0)),"")</f>
        <v/>
      </c>
    </row>
    <row r="7287">
      <c r="A7287">
        <f>IFERROR(INDEX('Email Cleaner'!$B$2:$B$10001,MATCH(7286,'Email Cleaner'!$K$2:$K$10001,0)),"")</f>
        <v/>
      </c>
    </row>
    <row r="7288">
      <c r="A7288">
        <f>IFERROR(INDEX('Email Cleaner'!$B$2:$B$10001,MATCH(7287,'Email Cleaner'!$K$2:$K$10001,0)),"")</f>
        <v/>
      </c>
    </row>
    <row r="7289">
      <c r="A7289">
        <f>IFERROR(INDEX('Email Cleaner'!$B$2:$B$10001,MATCH(7288,'Email Cleaner'!$K$2:$K$10001,0)),"")</f>
        <v/>
      </c>
    </row>
    <row r="7290">
      <c r="A7290">
        <f>IFERROR(INDEX('Email Cleaner'!$B$2:$B$10001,MATCH(7289,'Email Cleaner'!$K$2:$K$10001,0)),"")</f>
        <v/>
      </c>
    </row>
    <row r="7291">
      <c r="A7291">
        <f>IFERROR(INDEX('Email Cleaner'!$B$2:$B$10001,MATCH(7290,'Email Cleaner'!$K$2:$K$10001,0)),"")</f>
        <v/>
      </c>
    </row>
    <row r="7292">
      <c r="A7292">
        <f>IFERROR(INDEX('Email Cleaner'!$B$2:$B$10001,MATCH(7291,'Email Cleaner'!$K$2:$K$10001,0)),"")</f>
        <v/>
      </c>
    </row>
    <row r="7293">
      <c r="A7293">
        <f>IFERROR(INDEX('Email Cleaner'!$B$2:$B$10001,MATCH(7292,'Email Cleaner'!$K$2:$K$10001,0)),"")</f>
        <v/>
      </c>
    </row>
    <row r="7294">
      <c r="A7294">
        <f>IFERROR(INDEX('Email Cleaner'!$B$2:$B$10001,MATCH(7293,'Email Cleaner'!$K$2:$K$10001,0)),"")</f>
        <v/>
      </c>
    </row>
    <row r="7295">
      <c r="A7295">
        <f>IFERROR(INDEX('Email Cleaner'!$B$2:$B$10001,MATCH(7294,'Email Cleaner'!$K$2:$K$10001,0)),"")</f>
        <v/>
      </c>
    </row>
    <row r="7296">
      <c r="A7296">
        <f>IFERROR(INDEX('Email Cleaner'!$B$2:$B$10001,MATCH(7295,'Email Cleaner'!$K$2:$K$10001,0)),"")</f>
        <v/>
      </c>
    </row>
    <row r="7297">
      <c r="A7297">
        <f>IFERROR(INDEX('Email Cleaner'!$B$2:$B$10001,MATCH(7296,'Email Cleaner'!$K$2:$K$10001,0)),"")</f>
        <v/>
      </c>
    </row>
    <row r="7298">
      <c r="A7298">
        <f>IFERROR(INDEX('Email Cleaner'!$B$2:$B$10001,MATCH(7297,'Email Cleaner'!$K$2:$K$10001,0)),"")</f>
        <v/>
      </c>
    </row>
    <row r="7299">
      <c r="A7299">
        <f>IFERROR(INDEX('Email Cleaner'!$B$2:$B$10001,MATCH(7298,'Email Cleaner'!$K$2:$K$10001,0)),"")</f>
        <v/>
      </c>
    </row>
    <row r="7300">
      <c r="A7300">
        <f>IFERROR(INDEX('Email Cleaner'!$B$2:$B$10001,MATCH(7299,'Email Cleaner'!$K$2:$K$10001,0)),"")</f>
        <v/>
      </c>
    </row>
    <row r="7301">
      <c r="A7301">
        <f>IFERROR(INDEX('Email Cleaner'!$B$2:$B$10001,MATCH(7300,'Email Cleaner'!$K$2:$K$10001,0)),"")</f>
        <v/>
      </c>
    </row>
    <row r="7302">
      <c r="A7302">
        <f>IFERROR(INDEX('Email Cleaner'!$B$2:$B$10001,MATCH(7301,'Email Cleaner'!$K$2:$K$10001,0)),"")</f>
        <v/>
      </c>
    </row>
    <row r="7303">
      <c r="A7303">
        <f>IFERROR(INDEX('Email Cleaner'!$B$2:$B$10001,MATCH(7302,'Email Cleaner'!$K$2:$K$10001,0)),"")</f>
        <v/>
      </c>
    </row>
    <row r="7304">
      <c r="A7304">
        <f>IFERROR(INDEX('Email Cleaner'!$B$2:$B$10001,MATCH(7303,'Email Cleaner'!$K$2:$K$10001,0)),"")</f>
        <v/>
      </c>
    </row>
    <row r="7305">
      <c r="A7305">
        <f>IFERROR(INDEX('Email Cleaner'!$B$2:$B$10001,MATCH(7304,'Email Cleaner'!$K$2:$K$10001,0)),"")</f>
        <v/>
      </c>
    </row>
    <row r="7306">
      <c r="A7306">
        <f>IFERROR(INDEX('Email Cleaner'!$B$2:$B$10001,MATCH(7305,'Email Cleaner'!$K$2:$K$10001,0)),"")</f>
        <v/>
      </c>
    </row>
    <row r="7307">
      <c r="A7307">
        <f>IFERROR(INDEX('Email Cleaner'!$B$2:$B$10001,MATCH(7306,'Email Cleaner'!$K$2:$K$10001,0)),"")</f>
        <v/>
      </c>
    </row>
    <row r="7308">
      <c r="A7308">
        <f>IFERROR(INDEX('Email Cleaner'!$B$2:$B$10001,MATCH(7307,'Email Cleaner'!$K$2:$K$10001,0)),"")</f>
        <v/>
      </c>
    </row>
    <row r="7309">
      <c r="A7309">
        <f>IFERROR(INDEX('Email Cleaner'!$B$2:$B$10001,MATCH(7308,'Email Cleaner'!$K$2:$K$10001,0)),"")</f>
        <v/>
      </c>
    </row>
    <row r="7310">
      <c r="A7310">
        <f>IFERROR(INDEX('Email Cleaner'!$B$2:$B$10001,MATCH(7309,'Email Cleaner'!$K$2:$K$10001,0)),"")</f>
        <v/>
      </c>
    </row>
    <row r="7311">
      <c r="A7311">
        <f>IFERROR(INDEX('Email Cleaner'!$B$2:$B$10001,MATCH(7310,'Email Cleaner'!$K$2:$K$10001,0)),"")</f>
        <v/>
      </c>
    </row>
    <row r="7312">
      <c r="A7312">
        <f>IFERROR(INDEX('Email Cleaner'!$B$2:$B$10001,MATCH(7311,'Email Cleaner'!$K$2:$K$10001,0)),"")</f>
        <v/>
      </c>
    </row>
    <row r="7313">
      <c r="A7313">
        <f>IFERROR(INDEX('Email Cleaner'!$B$2:$B$10001,MATCH(7312,'Email Cleaner'!$K$2:$K$10001,0)),"")</f>
        <v/>
      </c>
    </row>
    <row r="7314">
      <c r="A7314">
        <f>IFERROR(INDEX('Email Cleaner'!$B$2:$B$10001,MATCH(7313,'Email Cleaner'!$K$2:$K$10001,0)),"")</f>
        <v/>
      </c>
    </row>
    <row r="7315">
      <c r="A7315">
        <f>IFERROR(INDEX('Email Cleaner'!$B$2:$B$10001,MATCH(7314,'Email Cleaner'!$K$2:$K$10001,0)),"")</f>
        <v/>
      </c>
    </row>
    <row r="7316">
      <c r="A7316">
        <f>IFERROR(INDEX('Email Cleaner'!$B$2:$B$10001,MATCH(7315,'Email Cleaner'!$K$2:$K$10001,0)),"")</f>
        <v/>
      </c>
    </row>
    <row r="7317">
      <c r="A7317">
        <f>IFERROR(INDEX('Email Cleaner'!$B$2:$B$10001,MATCH(7316,'Email Cleaner'!$K$2:$K$10001,0)),"")</f>
        <v/>
      </c>
    </row>
    <row r="7318">
      <c r="A7318">
        <f>IFERROR(INDEX('Email Cleaner'!$B$2:$B$10001,MATCH(7317,'Email Cleaner'!$K$2:$K$10001,0)),"")</f>
        <v/>
      </c>
    </row>
    <row r="7319">
      <c r="A7319">
        <f>IFERROR(INDEX('Email Cleaner'!$B$2:$B$10001,MATCH(7318,'Email Cleaner'!$K$2:$K$10001,0)),"")</f>
        <v/>
      </c>
    </row>
    <row r="7320">
      <c r="A7320">
        <f>IFERROR(INDEX('Email Cleaner'!$B$2:$B$10001,MATCH(7319,'Email Cleaner'!$K$2:$K$10001,0)),"")</f>
        <v/>
      </c>
    </row>
    <row r="7321">
      <c r="A7321">
        <f>IFERROR(INDEX('Email Cleaner'!$B$2:$B$10001,MATCH(7320,'Email Cleaner'!$K$2:$K$10001,0)),"")</f>
        <v/>
      </c>
    </row>
    <row r="7322">
      <c r="A7322">
        <f>IFERROR(INDEX('Email Cleaner'!$B$2:$B$10001,MATCH(7321,'Email Cleaner'!$K$2:$K$10001,0)),"")</f>
        <v/>
      </c>
    </row>
    <row r="7323">
      <c r="A7323">
        <f>IFERROR(INDEX('Email Cleaner'!$B$2:$B$10001,MATCH(7322,'Email Cleaner'!$K$2:$K$10001,0)),"")</f>
        <v/>
      </c>
    </row>
    <row r="7324">
      <c r="A7324">
        <f>IFERROR(INDEX('Email Cleaner'!$B$2:$B$10001,MATCH(7323,'Email Cleaner'!$K$2:$K$10001,0)),"")</f>
        <v/>
      </c>
    </row>
    <row r="7325">
      <c r="A7325">
        <f>IFERROR(INDEX('Email Cleaner'!$B$2:$B$10001,MATCH(7324,'Email Cleaner'!$K$2:$K$10001,0)),"")</f>
        <v/>
      </c>
    </row>
    <row r="7326">
      <c r="A7326">
        <f>IFERROR(INDEX('Email Cleaner'!$B$2:$B$10001,MATCH(7325,'Email Cleaner'!$K$2:$K$10001,0)),"")</f>
        <v/>
      </c>
    </row>
    <row r="7327">
      <c r="A7327">
        <f>IFERROR(INDEX('Email Cleaner'!$B$2:$B$10001,MATCH(7326,'Email Cleaner'!$K$2:$K$10001,0)),"")</f>
        <v/>
      </c>
    </row>
    <row r="7328">
      <c r="A7328">
        <f>IFERROR(INDEX('Email Cleaner'!$B$2:$B$10001,MATCH(7327,'Email Cleaner'!$K$2:$K$10001,0)),"")</f>
        <v/>
      </c>
    </row>
    <row r="7329">
      <c r="A7329">
        <f>IFERROR(INDEX('Email Cleaner'!$B$2:$B$10001,MATCH(7328,'Email Cleaner'!$K$2:$K$10001,0)),"")</f>
        <v/>
      </c>
    </row>
    <row r="7330">
      <c r="A7330">
        <f>IFERROR(INDEX('Email Cleaner'!$B$2:$B$10001,MATCH(7329,'Email Cleaner'!$K$2:$K$10001,0)),"")</f>
        <v/>
      </c>
    </row>
    <row r="7331">
      <c r="A7331">
        <f>IFERROR(INDEX('Email Cleaner'!$B$2:$B$10001,MATCH(7330,'Email Cleaner'!$K$2:$K$10001,0)),"")</f>
        <v/>
      </c>
    </row>
    <row r="7332">
      <c r="A7332">
        <f>IFERROR(INDEX('Email Cleaner'!$B$2:$B$10001,MATCH(7331,'Email Cleaner'!$K$2:$K$10001,0)),"")</f>
        <v/>
      </c>
    </row>
    <row r="7333">
      <c r="A7333">
        <f>IFERROR(INDEX('Email Cleaner'!$B$2:$B$10001,MATCH(7332,'Email Cleaner'!$K$2:$K$10001,0)),"")</f>
        <v/>
      </c>
    </row>
    <row r="7334">
      <c r="A7334">
        <f>IFERROR(INDEX('Email Cleaner'!$B$2:$B$10001,MATCH(7333,'Email Cleaner'!$K$2:$K$10001,0)),"")</f>
        <v/>
      </c>
    </row>
    <row r="7335">
      <c r="A7335">
        <f>IFERROR(INDEX('Email Cleaner'!$B$2:$B$10001,MATCH(7334,'Email Cleaner'!$K$2:$K$10001,0)),"")</f>
        <v/>
      </c>
    </row>
    <row r="7336">
      <c r="A7336">
        <f>IFERROR(INDEX('Email Cleaner'!$B$2:$B$10001,MATCH(7335,'Email Cleaner'!$K$2:$K$10001,0)),"")</f>
        <v/>
      </c>
    </row>
    <row r="7337">
      <c r="A7337">
        <f>IFERROR(INDEX('Email Cleaner'!$B$2:$B$10001,MATCH(7336,'Email Cleaner'!$K$2:$K$10001,0)),"")</f>
        <v/>
      </c>
    </row>
    <row r="7338">
      <c r="A7338">
        <f>IFERROR(INDEX('Email Cleaner'!$B$2:$B$10001,MATCH(7337,'Email Cleaner'!$K$2:$K$10001,0)),"")</f>
        <v/>
      </c>
    </row>
    <row r="7339">
      <c r="A7339">
        <f>IFERROR(INDEX('Email Cleaner'!$B$2:$B$10001,MATCH(7338,'Email Cleaner'!$K$2:$K$10001,0)),"")</f>
        <v/>
      </c>
    </row>
    <row r="7340">
      <c r="A7340">
        <f>IFERROR(INDEX('Email Cleaner'!$B$2:$B$10001,MATCH(7339,'Email Cleaner'!$K$2:$K$10001,0)),"")</f>
        <v/>
      </c>
    </row>
    <row r="7341">
      <c r="A7341">
        <f>IFERROR(INDEX('Email Cleaner'!$B$2:$B$10001,MATCH(7340,'Email Cleaner'!$K$2:$K$10001,0)),"")</f>
        <v/>
      </c>
    </row>
    <row r="7342">
      <c r="A7342">
        <f>IFERROR(INDEX('Email Cleaner'!$B$2:$B$10001,MATCH(7341,'Email Cleaner'!$K$2:$K$10001,0)),"")</f>
        <v/>
      </c>
    </row>
    <row r="7343">
      <c r="A7343">
        <f>IFERROR(INDEX('Email Cleaner'!$B$2:$B$10001,MATCH(7342,'Email Cleaner'!$K$2:$K$10001,0)),"")</f>
        <v/>
      </c>
    </row>
    <row r="7344">
      <c r="A7344">
        <f>IFERROR(INDEX('Email Cleaner'!$B$2:$B$10001,MATCH(7343,'Email Cleaner'!$K$2:$K$10001,0)),"")</f>
        <v/>
      </c>
    </row>
    <row r="7345">
      <c r="A7345">
        <f>IFERROR(INDEX('Email Cleaner'!$B$2:$B$10001,MATCH(7344,'Email Cleaner'!$K$2:$K$10001,0)),"")</f>
        <v/>
      </c>
    </row>
    <row r="7346">
      <c r="A7346">
        <f>IFERROR(INDEX('Email Cleaner'!$B$2:$B$10001,MATCH(7345,'Email Cleaner'!$K$2:$K$10001,0)),"")</f>
        <v/>
      </c>
    </row>
    <row r="7347">
      <c r="A7347">
        <f>IFERROR(INDEX('Email Cleaner'!$B$2:$B$10001,MATCH(7346,'Email Cleaner'!$K$2:$K$10001,0)),"")</f>
        <v/>
      </c>
    </row>
    <row r="7348">
      <c r="A7348">
        <f>IFERROR(INDEX('Email Cleaner'!$B$2:$B$10001,MATCH(7347,'Email Cleaner'!$K$2:$K$10001,0)),"")</f>
        <v/>
      </c>
    </row>
    <row r="7349">
      <c r="A7349">
        <f>IFERROR(INDEX('Email Cleaner'!$B$2:$B$10001,MATCH(7348,'Email Cleaner'!$K$2:$K$10001,0)),"")</f>
        <v/>
      </c>
    </row>
    <row r="7350">
      <c r="A7350">
        <f>IFERROR(INDEX('Email Cleaner'!$B$2:$B$10001,MATCH(7349,'Email Cleaner'!$K$2:$K$10001,0)),"")</f>
        <v/>
      </c>
    </row>
    <row r="7351">
      <c r="A7351">
        <f>IFERROR(INDEX('Email Cleaner'!$B$2:$B$10001,MATCH(7350,'Email Cleaner'!$K$2:$K$10001,0)),"")</f>
        <v/>
      </c>
    </row>
    <row r="7352">
      <c r="A7352">
        <f>IFERROR(INDEX('Email Cleaner'!$B$2:$B$10001,MATCH(7351,'Email Cleaner'!$K$2:$K$10001,0)),"")</f>
        <v/>
      </c>
    </row>
    <row r="7353">
      <c r="A7353">
        <f>IFERROR(INDEX('Email Cleaner'!$B$2:$B$10001,MATCH(7352,'Email Cleaner'!$K$2:$K$10001,0)),"")</f>
        <v/>
      </c>
    </row>
    <row r="7354">
      <c r="A7354">
        <f>IFERROR(INDEX('Email Cleaner'!$B$2:$B$10001,MATCH(7353,'Email Cleaner'!$K$2:$K$10001,0)),"")</f>
        <v/>
      </c>
    </row>
    <row r="7355">
      <c r="A7355">
        <f>IFERROR(INDEX('Email Cleaner'!$B$2:$B$10001,MATCH(7354,'Email Cleaner'!$K$2:$K$10001,0)),"")</f>
        <v/>
      </c>
    </row>
    <row r="7356">
      <c r="A7356">
        <f>IFERROR(INDEX('Email Cleaner'!$B$2:$B$10001,MATCH(7355,'Email Cleaner'!$K$2:$K$10001,0)),"")</f>
        <v/>
      </c>
    </row>
    <row r="7357">
      <c r="A7357">
        <f>IFERROR(INDEX('Email Cleaner'!$B$2:$B$10001,MATCH(7356,'Email Cleaner'!$K$2:$K$10001,0)),"")</f>
        <v/>
      </c>
    </row>
    <row r="7358">
      <c r="A7358">
        <f>IFERROR(INDEX('Email Cleaner'!$B$2:$B$10001,MATCH(7357,'Email Cleaner'!$K$2:$K$10001,0)),"")</f>
        <v/>
      </c>
    </row>
    <row r="7359">
      <c r="A7359">
        <f>IFERROR(INDEX('Email Cleaner'!$B$2:$B$10001,MATCH(7358,'Email Cleaner'!$K$2:$K$10001,0)),"")</f>
        <v/>
      </c>
    </row>
    <row r="7360">
      <c r="A7360">
        <f>IFERROR(INDEX('Email Cleaner'!$B$2:$B$10001,MATCH(7359,'Email Cleaner'!$K$2:$K$10001,0)),"")</f>
        <v/>
      </c>
    </row>
    <row r="7361">
      <c r="A7361">
        <f>IFERROR(INDEX('Email Cleaner'!$B$2:$B$10001,MATCH(7360,'Email Cleaner'!$K$2:$K$10001,0)),"")</f>
        <v/>
      </c>
    </row>
    <row r="7362">
      <c r="A7362">
        <f>IFERROR(INDEX('Email Cleaner'!$B$2:$B$10001,MATCH(7361,'Email Cleaner'!$K$2:$K$10001,0)),"")</f>
        <v/>
      </c>
    </row>
    <row r="7363">
      <c r="A7363">
        <f>IFERROR(INDEX('Email Cleaner'!$B$2:$B$10001,MATCH(7362,'Email Cleaner'!$K$2:$K$10001,0)),"")</f>
        <v/>
      </c>
    </row>
    <row r="7364">
      <c r="A7364">
        <f>IFERROR(INDEX('Email Cleaner'!$B$2:$B$10001,MATCH(7363,'Email Cleaner'!$K$2:$K$10001,0)),"")</f>
        <v/>
      </c>
    </row>
    <row r="7365">
      <c r="A7365">
        <f>IFERROR(INDEX('Email Cleaner'!$B$2:$B$10001,MATCH(7364,'Email Cleaner'!$K$2:$K$10001,0)),"")</f>
        <v/>
      </c>
    </row>
    <row r="7366">
      <c r="A7366">
        <f>IFERROR(INDEX('Email Cleaner'!$B$2:$B$10001,MATCH(7365,'Email Cleaner'!$K$2:$K$10001,0)),"")</f>
        <v/>
      </c>
    </row>
    <row r="7367">
      <c r="A7367">
        <f>IFERROR(INDEX('Email Cleaner'!$B$2:$B$10001,MATCH(7366,'Email Cleaner'!$K$2:$K$10001,0)),"")</f>
        <v/>
      </c>
    </row>
    <row r="7368">
      <c r="A7368">
        <f>IFERROR(INDEX('Email Cleaner'!$B$2:$B$10001,MATCH(7367,'Email Cleaner'!$K$2:$K$10001,0)),"")</f>
        <v/>
      </c>
    </row>
    <row r="7369">
      <c r="A7369">
        <f>IFERROR(INDEX('Email Cleaner'!$B$2:$B$10001,MATCH(7368,'Email Cleaner'!$K$2:$K$10001,0)),"")</f>
        <v/>
      </c>
    </row>
    <row r="7370">
      <c r="A7370">
        <f>IFERROR(INDEX('Email Cleaner'!$B$2:$B$10001,MATCH(7369,'Email Cleaner'!$K$2:$K$10001,0)),"")</f>
        <v/>
      </c>
    </row>
    <row r="7371">
      <c r="A7371">
        <f>IFERROR(INDEX('Email Cleaner'!$B$2:$B$10001,MATCH(7370,'Email Cleaner'!$K$2:$K$10001,0)),"")</f>
        <v/>
      </c>
    </row>
    <row r="7372">
      <c r="A7372">
        <f>IFERROR(INDEX('Email Cleaner'!$B$2:$B$10001,MATCH(7371,'Email Cleaner'!$K$2:$K$10001,0)),"")</f>
        <v/>
      </c>
    </row>
    <row r="7373">
      <c r="A7373">
        <f>IFERROR(INDEX('Email Cleaner'!$B$2:$B$10001,MATCH(7372,'Email Cleaner'!$K$2:$K$10001,0)),"")</f>
        <v/>
      </c>
    </row>
    <row r="7374">
      <c r="A7374">
        <f>IFERROR(INDEX('Email Cleaner'!$B$2:$B$10001,MATCH(7373,'Email Cleaner'!$K$2:$K$10001,0)),"")</f>
        <v/>
      </c>
    </row>
    <row r="7375">
      <c r="A7375">
        <f>IFERROR(INDEX('Email Cleaner'!$B$2:$B$10001,MATCH(7374,'Email Cleaner'!$K$2:$K$10001,0)),"")</f>
        <v/>
      </c>
    </row>
    <row r="7376">
      <c r="A7376">
        <f>IFERROR(INDEX('Email Cleaner'!$B$2:$B$10001,MATCH(7375,'Email Cleaner'!$K$2:$K$10001,0)),"")</f>
        <v/>
      </c>
    </row>
    <row r="7377">
      <c r="A7377">
        <f>IFERROR(INDEX('Email Cleaner'!$B$2:$B$10001,MATCH(7376,'Email Cleaner'!$K$2:$K$10001,0)),"")</f>
        <v/>
      </c>
    </row>
    <row r="7378">
      <c r="A7378">
        <f>IFERROR(INDEX('Email Cleaner'!$B$2:$B$10001,MATCH(7377,'Email Cleaner'!$K$2:$K$10001,0)),"")</f>
        <v/>
      </c>
    </row>
    <row r="7379">
      <c r="A7379">
        <f>IFERROR(INDEX('Email Cleaner'!$B$2:$B$10001,MATCH(7378,'Email Cleaner'!$K$2:$K$10001,0)),"")</f>
        <v/>
      </c>
    </row>
    <row r="7380">
      <c r="A7380">
        <f>IFERROR(INDEX('Email Cleaner'!$B$2:$B$10001,MATCH(7379,'Email Cleaner'!$K$2:$K$10001,0)),"")</f>
        <v/>
      </c>
    </row>
    <row r="7381">
      <c r="A7381">
        <f>IFERROR(INDEX('Email Cleaner'!$B$2:$B$10001,MATCH(7380,'Email Cleaner'!$K$2:$K$10001,0)),"")</f>
        <v/>
      </c>
    </row>
    <row r="7382">
      <c r="A7382">
        <f>IFERROR(INDEX('Email Cleaner'!$B$2:$B$10001,MATCH(7381,'Email Cleaner'!$K$2:$K$10001,0)),"")</f>
        <v/>
      </c>
    </row>
    <row r="7383">
      <c r="A7383">
        <f>IFERROR(INDEX('Email Cleaner'!$B$2:$B$10001,MATCH(7382,'Email Cleaner'!$K$2:$K$10001,0)),"")</f>
        <v/>
      </c>
    </row>
    <row r="7384">
      <c r="A7384">
        <f>IFERROR(INDEX('Email Cleaner'!$B$2:$B$10001,MATCH(7383,'Email Cleaner'!$K$2:$K$10001,0)),"")</f>
        <v/>
      </c>
    </row>
    <row r="7385">
      <c r="A7385">
        <f>IFERROR(INDEX('Email Cleaner'!$B$2:$B$10001,MATCH(7384,'Email Cleaner'!$K$2:$K$10001,0)),"")</f>
        <v/>
      </c>
    </row>
    <row r="7386">
      <c r="A7386">
        <f>IFERROR(INDEX('Email Cleaner'!$B$2:$B$10001,MATCH(7385,'Email Cleaner'!$K$2:$K$10001,0)),"")</f>
        <v/>
      </c>
    </row>
    <row r="7387">
      <c r="A7387">
        <f>IFERROR(INDEX('Email Cleaner'!$B$2:$B$10001,MATCH(7386,'Email Cleaner'!$K$2:$K$10001,0)),"")</f>
        <v/>
      </c>
    </row>
    <row r="7388">
      <c r="A7388">
        <f>IFERROR(INDEX('Email Cleaner'!$B$2:$B$10001,MATCH(7387,'Email Cleaner'!$K$2:$K$10001,0)),"")</f>
        <v/>
      </c>
    </row>
    <row r="7389">
      <c r="A7389">
        <f>IFERROR(INDEX('Email Cleaner'!$B$2:$B$10001,MATCH(7388,'Email Cleaner'!$K$2:$K$10001,0)),"")</f>
        <v/>
      </c>
    </row>
    <row r="7390">
      <c r="A7390">
        <f>IFERROR(INDEX('Email Cleaner'!$B$2:$B$10001,MATCH(7389,'Email Cleaner'!$K$2:$K$10001,0)),"")</f>
        <v/>
      </c>
    </row>
    <row r="7391">
      <c r="A7391">
        <f>IFERROR(INDEX('Email Cleaner'!$B$2:$B$10001,MATCH(7390,'Email Cleaner'!$K$2:$K$10001,0)),"")</f>
        <v/>
      </c>
    </row>
    <row r="7392">
      <c r="A7392">
        <f>IFERROR(INDEX('Email Cleaner'!$B$2:$B$10001,MATCH(7391,'Email Cleaner'!$K$2:$K$10001,0)),"")</f>
        <v/>
      </c>
    </row>
    <row r="7393">
      <c r="A7393">
        <f>IFERROR(INDEX('Email Cleaner'!$B$2:$B$10001,MATCH(7392,'Email Cleaner'!$K$2:$K$10001,0)),"")</f>
        <v/>
      </c>
    </row>
    <row r="7394">
      <c r="A7394">
        <f>IFERROR(INDEX('Email Cleaner'!$B$2:$B$10001,MATCH(7393,'Email Cleaner'!$K$2:$K$10001,0)),"")</f>
        <v/>
      </c>
    </row>
    <row r="7395">
      <c r="A7395">
        <f>IFERROR(INDEX('Email Cleaner'!$B$2:$B$10001,MATCH(7394,'Email Cleaner'!$K$2:$K$10001,0)),"")</f>
        <v/>
      </c>
    </row>
    <row r="7396">
      <c r="A7396">
        <f>IFERROR(INDEX('Email Cleaner'!$B$2:$B$10001,MATCH(7395,'Email Cleaner'!$K$2:$K$10001,0)),"")</f>
        <v/>
      </c>
    </row>
    <row r="7397">
      <c r="A7397">
        <f>IFERROR(INDEX('Email Cleaner'!$B$2:$B$10001,MATCH(7396,'Email Cleaner'!$K$2:$K$10001,0)),"")</f>
        <v/>
      </c>
    </row>
    <row r="7398">
      <c r="A7398">
        <f>IFERROR(INDEX('Email Cleaner'!$B$2:$B$10001,MATCH(7397,'Email Cleaner'!$K$2:$K$10001,0)),"")</f>
        <v/>
      </c>
    </row>
    <row r="7399">
      <c r="A7399">
        <f>IFERROR(INDEX('Email Cleaner'!$B$2:$B$10001,MATCH(7398,'Email Cleaner'!$K$2:$K$10001,0)),"")</f>
        <v/>
      </c>
    </row>
    <row r="7400">
      <c r="A7400">
        <f>IFERROR(INDEX('Email Cleaner'!$B$2:$B$10001,MATCH(7399,'Email Cleaner'!$K$2:$K$10001,0)),"")</f>
        <v/>
      </c>
    </row>
    <row r="7401">
      <c r="A7401">
        <f>IFERROR(INDEX('Email Cleaner'!$B$2:$B$10001,MATCH(7400,'Email Cleaner'!$K$2:$K$10001,0)),"")</f>
        <v/>
      </c>
    </row>
    <row r="7402">
      <c r="A7402">
        <f>IFERROR(INDEX('Email Cleaner'!$B$2:$B$10001,MATCH(7401,'Email Cleaner'!$K$2:$K$10001,0)),"")</f>
        <v/>
      </c>
    </row>
    <row r="7403">
      <c r="A7403">
        <f>IFERROR(INDEX('Email Cleaner'!$B$2:$B$10001,MATCH(7402,'Email Cleaner'!$K$2:$K$10001,0)),"")</f>
        <v/>
      </c>
    </row>
    <row r="7404">
      <c r="A7404">
        <f>IFERROR(INDEX('Email Cleaner'!$B$2:$B$10001,MATCH(7403,'Email Cleaner'!$K$2:$K$10001,0)),"")</f>
        <v/>
      </c>
    </row>
    <row r="7405">
      <c r="A7405">
        <f>IFERROR(INDEX('Email Cleaner'!$B$2:$B$10001,MATCH(7404,'Email Cleaner'!$K$2:$K$10001,0)),"")</f>
        <v/>
      </c>
    </row>
    <row r="7406">
      <c r="A7406">
        <f>IFERROR(INDEX('Email Cleaner'!$B$2:$B$10001,MATCH(7405,'Email Cleaner'!$K$2:$K$10001,0)),"")</f>
        <v/>
      </c>
    </row>
    <row r="7407">
      <c r="A7407">
        <f>IFERROR(INDEX('Email Cleaner'!$B$2:$B$10001,MATCH(7406,'Email Cleaner'!$K$2:$K$10001,0)),"")</f>
        <v/>
      </c>
    </row>
    <row r="7408">
      <c r="A7408">
        <f>IFERROR(INDEX('Email Cleaner'!$B$2:$B$10001,MATCH(7407,'Email Cleaner'!$K$2:$K$10001,0)),"")</f>
        <v/>
      </c>
    </row>
    <row r="7409">
      <c r="A7409">
        <f>IFERROR(INDEX('Email Cleaner'!$B$2:$B$10001,MATCH(7408,'Email Cleaner'!$K$2:$K$10001,0)),"")</f>
        <v/>
      </c>
    </row>
    <row r="7410">
      <c r="A7410">
        <f>IFERROR(INDEX('Email Cleaner'!$B$2:$B$10001,MATCH(7409,'Email Cleaner'!$K$2:$K$10001,0)),"")</f>
        <v/>
      </c>
    </row>
    <row r="7411">
      <c r="A7411">
        <f>IFERROR(INDEX('Email Cleaner'!$B$2:$B$10001,MATCH(7410,'Email Cleaner'!$K$2:$K$10001,0)),"")</f>
        <v/>
      </c>
    </row>
    <row r="7412">
      <c r="A7412">
        <f>IFERROR(INDEX('Email Cleaner'!$B$2:$B$10001,MATCH(7411,'Email Cleaner'!$K$2:$K$10001,0)),"")</f>
        <v/>
      </c>
    </row>
    <row r="7413">
      <c r="A7413">
        <f>IFERROR(INDEX('Email Cleaner'!$B$2:$B$10001,MATCH(7412,'Email Cleaner'!$K$2:$K$10001,0)),"")</f>
        <v/>
      </c>
    </row>
    <row r="7414">
      <c r="A7414">
        <f>IFERROR(INDEX('Email Cleaner'!$B$2:$B$10001,MATCH(7413,'Email Cleaner'!$K$2:$K$10001,0)),"")</f>
        <v/>
      </c>
    </row>
    <row r="7415">
      <c r="A7415">
        <f>IFERROR(INDEX('Email Cleaner'!$B$2:$B$10001,MATCH(7414,'Email Cleaner'!$K$2:$K$10001,0)),"")</f>
        <v/>
      </c>
    </row>
    <row r="7416">
      <c r="A7416">
        <f>IFERROR(INDEX('Email Cleaner'!$B$2:$B$10001,MATCH(7415,'Email Cleaner'!$K$2:$K$10001,0)),"")</f>
        <v/>
      </c>
    </row>
    <row r="7417">
      <c r="A7417">
        <f>IFERROR(INDEX('Email Cleaner'!$B$2:$B$10001,MATCH(7416,'Email Cleaner'!$K$2:$K$10001,0)),"")</f>
        <v/>
      </c>
    </row>
    <row r="7418">
      <c r="A7418">
        <f>IFERROR(INDEX('Email Cleaner'!$B$2:$B$10001,MATCH(7417,'Email Cleaner'!$K$2:$K$10001,0)),"")</f>
        <v/>
      </c>
    </row>
    <row r="7419">
      <c r="A7419">
        <f>IFERROR(INDEX('Email Cleaner'!$B$2:$B$10001,MATCH(7418,'Email Cleaner'!$K$2:$K$10001,0)),"")</f>
        <v/>
      </c>
    </row>
    <row r="7420">
      <c r="A7420">
        <f>IFERROR(INDEX('Email Cleaner'!$B$2:$B$10001,MATCH(7419,'Email Cleaner'!$K$2:$K$10001,0)),"")</f>
        <v/>
      </c>
    </row>
    <row r="7421">
      <c r="A7421">
        <f>IFERROR(INDEX('Email Cleaner'!$B$2:$B$10001,MATCH(7420,'Email Cleaner'!$K$2:$K$10001,0)),"")</f>
        <v/>
      </c>
    </row>
    <row r="7422">
      <c r="A7422">
        <f>IFERROR(INDEX('Email Cleaner'!$B$2:$B$10001,MATCH(7421,'Email Cleaner'!$K$2:$K$10001,0)),"")</f>
        <v/>
      </c>
    </row>
    <row r="7423">
      <c r="A7423">
        <f>IFERROR(INDEX('Email Cleaner'!$B$2:$B$10001,MATCH(7422,'Email Cleaner'!$K$2:$K$10001,0)),"")</f>
        <v/>
      </c>
    </row>
    <row r="7424">
      <c r="A7424">
        <f>IFERROR(INDEX('Email Cleaner'!$B$2:$B$10001,MATCH(7423,'Email Cleaner'!$K$2:$K$10001,0)),"")</f>
        <v/>
      </c>
    </row>
    <row r="7425">
      <c r="A7425">
        <f>IFERROR(INDEX('Email Cleaner'!$B$2:$B$10001,MATCH(7424,'Email Cleaner'!$K$2:$K$10001,0)),"")</f>
        <v/>
      </c>
    </row>
    <row r="7426">
      <c r="A7426">
        <f>IFERROR(INDEX('Email Cleaner'!$B$2:$B$10001,MATCH(7425,'Email Cleaner'!$K$2:$K$10001,0)),"")</f>
        <v/>
      </c>
    </row>
    <row r="7427">
      <c r="A7427">
        <f>IFERROR(INDEX('Email Cleaner'!$B$2:$B$10001,MATCH(7426,'Email Cleaner'!$K$2:$K$10001,0)),"")</f>
        <v/>
      </c>
    </row>
    <row r="7428">
      <c r="A7428">
        <f>IFERROR(INDEX('Email Cleaner'!$B$2:$B$10001,MATCH(7427,'Email Cleaner'!$K$2:$K$10001,0)),"")</f>
        <v/>
      </c>
    </row>
    <row r="7429">
      <c r="A7429">
        <f>IFERROR(INDEX('Email Cleaner'!$B$2:$B$10001,MATCH(7428,'Email Cleaner'!$K$2:$K$10001,0)),"")</f>
        <v/>
      </c>
    </row>
    <row r="7430">
      <c r="A7430">
        <f>IFERROR(INDEX('Email Cleaner'!$B$2:$B$10001,MATCH(7429,'Email Cleaner'!$K$2:$K$10001,0)),"")</f>
        <v/>
      </c>
    </row>
    <row r="7431">
      <c r="A7431">
        <f>IFERROR(INDEX('Email Cleaner'!$B$2:$B$10001,MATCH(7430,'Email Cleaner'!$K$2:$K$10001,0)),"")</f>
        <v/>
      </c>
    </row>
    <row r="7432">
      <c r="A7432">
        <f>IFERROR(INDEX('Email Cleaner'!$B$2:$B$10001,MATCH(7431,'Email Cleaner'!$K$2:$K$10001,0)),"")</f>
        <v/>
      </c>
    </row>
    <row r="7433">
      <c r="A7433">
        <f>IFERROR(INDEX('Email Cleaner'!$B$2:$B$10001,MATCH(7432,'Email Cleaner'!$K$2:$K$10001,0)),"")</f>
        <v/>
      </c>
    </row>
    <row r="7434">
      <c r="A7434">
        <f>IFERROR(INDEX('Email Cleaner'!$B$2:$B$10001,MATCH(7433,'Email Cleaner'!$K$2:$K$10001,0)),"")</f>
        <v/>
      </c>
    </row>
    <row r="7435">
      <c r="A7435">
        <f>IFERROR(INDEX('Email Cleaner'!$B$2:$B$10001,MATCH(7434,'Email Cleaner'!$K$2:$K$10001,0)),"")</f>
        <v/>
      </c>
    </row>
    <row r="7436">
      <c r="A7436">
        <f>IFERROR(INDEX('Email Cleaner'!$B$2:$B$10001,MATCH(7435,'Email Cleaner'!$K$2:$K$10001,0)),"")</f>
        <v/>
      </c>
    </row>
    <row r="7437">
      <c r="A7437">
        <f>IFERROR(INDEX('Email Cleaner'!$B$2:$B$10001,MATCH(7436,'Email Cleaner'!$K$2:$K$10001,0)),"")</f>
        <v/>
      </c>
    </row>
    <row r="7438">
      <c r="A7438">
        <f>IFERROR(INDEX('Email Cleaner'!$B$2:$B$10001,MATCH(7437,'Email Cleaner'!$K$2:$K$10001,0)),"")</f>
        <v/>
      </c>
    </row>
    <row r="7439">
      <c r="A7439">
        <f>IFERROR(INDEX('Email Cleaner'!$B$2:$B$10001,MATCH(7438,'Email Cleaner'!$K$2:$K$10001,0)),"")</f>
        <v/>
      </c>
    </row>
    <row r="7440">
      <c r="A7440">
        <f>IFERROR(INDEX('Email Cleaner'!$B$2:$B$10001,MATCH(7439,'Email Cleaner'!$K$2:$K$10001,0)),"")</f>
        <v/>
      </c>
    </row>
    <row r="7441">
      <c r="A7441">
        <f>IFERROR(INDEX('Email Cleaner'!$B$2:$B$10001,MATCH(7440,'Email Cleaner'!$K$2:$K$10001,0)),"")</f>
        <v/>
      </c>
    </row>
    <row r="7442">
      <c r="A7442">
        <f>IFERROR(INDEX('Email Cleaner'!$B$2:$B$10001,MATCH(7441,'Email Cleaner'!$K$2:$K$10001,0)),"")</f>
        <v/>
      </c>
    </row>
    <row r="7443">
      <c r="A7443">
        <f>IFERROR(INDEX('Email Cleaner'!$B$2:$B$10001,MATCH(7442,'Email Cleaner'!$K$2:$K$10001,0)),"")</f>
        <v/>
      </c>
    </row>
    <row r="7444">
      <c r="A7444">
        <f>IFERROR(INDEX('Email Cleaner'!$B$2:$B$10001,MATCH(7443,'Email Cleaner'!$K$2:$K$10001,0)),"")</f>
        <v/>
      </c>
    </row>
    <row r="7445">
      <c r="A7445">
        <f>IFERROR(INDEX('Email Cleaner'!$B$2:$B$10001,MATCH(7444,'Email Cleaner'!$K$2:$K$10001,0)),"")</f>
        <v/>
      </c>
    </row>
    <row r="7446">
      <c r="A7446">
        <f>IFERROR(INDEX('Email Cleaner'!$B$2:$B$10001,MATCH(7445,'Email Cleaner'!$K$2:$K$10001,0)),"")</f>
        <v/>
      </c>
    </row>
    <row r="7447">
      <c r="A7447">
        <f>IFERROR(INDEX('Email Cleaner'!$B$2:$B$10001,MATCH(7446,'Email Cleaner'!$K$2:$K$10001,0)),"")</f>
        <v/>
      </c>
    </row>
    <row r="7448">
      <c r="A7448">
        <f>IFERROR(INDEX('Email Cleaner'!$B$2:$B$10001,MATCH(7447,'Email Cleaner'!$K$2:$K$10001,0)),"")</f>
        <v/>
      </c>
    </row>
    <row r="7449">
      <c r="A7449">
        <f>IFERROR(INDEX('Email Cleaner'!$B$2:$B$10001,MATCH(7448,'Email Cleaner'!$K$2:$K$10001,0)),"")</f>
        <v/>
      </c>
    </row>
    <row r="7450">
      <c r="A7450">
        <f>IFERROR(INDEX('Email Cleaner'!$B$2:$B$10001,MATCH(7449,'Email Cleaner'!$K$2:$K$10001,0)),"")</f>
        <v/>
      </c>
    </row>
    <row r="7451">
      <c r="A7451">
        <f>IFERROR(INDEX('Email Cleaner'!$B$2:$B$10001,MATCH(7450,'Email Cleaner'!$K$2:$K$10001,0)),"")</f>
        <v/>
      </c>
    </row>
    <row r="7452">
      <c r="A7452">
        <f>IFERROR(INDEX('Email Cleaner'!$B$2:$B$10001,MATCH(7451,'Email Cleaner'!$K$2:$K$10001,0)),"")</f>
        <v/>
      </c>
    </row>
    <row r="7453">
      <c r="A7453">
        <f>IFERROR(INDEX('Email Cleaner'!$B$2:$B$10001,MATCH(7452,'Email Cleaner'!$K$2:$K$10001,0)),"")</f>
        <v/>
      </c>
    </row>
    <row r="7454">
      <c r="A7454">
        <f>IFERROR(INDEX('Email Cleaner'!$B$2:$B$10001,MATCH(7453,'Email Cleaner'!$K$2:$K$10001,0)),"")</f>
        <v/>
      </c>
    </row>
    <row r="7455">
      <c r="A7455">
        <f>IFERROR(INDEX('Email Cleaner'!$B$2:$B$10001,MATCH(7454,'Email Cleaner'!$K$2:$K$10001,0)),"")</f>
        <v/>
      </c>
    </row>
    <row r="7456">
      <c r="A7456">
        <f>IFERROR(INDEX('Email Cleaner'!$B$2:$B$10001,MATCH(7455,'Email Cleaner'!$K$2:$K$10001,0)),"")</f>
        <v/>
      </c>
    </row>
    <row r="7457">
      <c r="A7457">
        <f>IFERROR(INDEX('Email Cleaner'!$B$2:$B$10001,MATCH(7456,'Email Cleaner'!$K$2:$K$10001,0)),"")</f>
        <v/>
      </c>
    </row>
    <row r="7458">
      <c r="A7458">
        <f>IFERROR(INDEX('Email Cleaner'!$B$2:$B$10001,MATCH(7457,'Email Cleaner'!$K$2:$K$10001,0)),"")</f>
        <v/>
      </c>
    </row>
    <row r="7459">
      <c r="A7459">
        <f>IFERROR(INDEX('Email Cleaner'!$B$2:$B$10001,MATCH(7458,'Email Cleaner'!$K$2:$K$10001,0)),"")</f>
        <v/>
      </c>
    </row>
    <row r="7460">
      <c r="A7460">
        <f>IFERROR(INDEX('Email Cleaner'!$B$2:$B$10001,MATCH(7459,'Email Cleaner'!$K$2:$K$10001,0)),"")</f>
        <v/>
      </c>
    </row>
    <row r="7461">
      <c r="A7461">
        <f>IFERROR(INDEX('Email Cleaner'!$B$2:$B$10001,MATCH(7460,'Email Cleaner'!$K$2:$K$10001,0)),"")</f>
        <v/>
      </c>
    </row>
    <row r="7462">
      <c r="A7462">
        <f>IFERROR(INDEX('Email Cleaner'!$B$2:$B$10001,MATCH(7461,'Email Cleaner'!$K$2:$K$10001,0)),"")</f>
        <v/>
      </c>
    </row>
    <row r="7463">
      <c r="A7463">
        <f>IFERROR(INDEX('Email Cleaner'!$B$2:$B$10001,MATCH(7462,'Email Cleaner'!$K$2:$K$10001,0)),"")</f>
        <v/>
      </c>
    </row>
    <row r="7464">
      <c r="A7464">
        <f>IFERROR(INDEX('Email Cleaner'!$B$2:$B$10001,MATCH(7463,'Email Cleaner'!$K$2:$K$10001,0)),"")</f>
        <v/>
      </c>
    </row>
    <row r="7465">
      <c r="A7465">
        <f>IFERROR(INDEX('Email Cleaner'!$B$2:$B$10001,MATCH(7464,'Email Cleaner'!$K$2:$K$10001,0)),"")</f>
        <v/>
      </c>
    </row>
    <row r="7466">
      <c r="A7466">
        <f>IFERROR(INDEX('Email Cleaner'!$B$2:$B$10001,MATCH(7465,'Email Cleaner'!$K$2:$K$10001,0)),"")</f>
        <v/>
      </c>
    </row>
    <row r="7467">
      <c r="A7467">
        <f>IFERROR(INDEX('Email Cleaner'!$B$2:$B$10001,MATCH(7466,'Email Cleaner'!$K$2:$K$10001,0)),"")</f>
        <v/>
      </c>
    </row>
    <row r="7468">
      <c r="A7468">
        <f>IFERROR(INDEX('Email Cleaner'!$B$2:$B$10001,MATCH(7467,'Email Cleaner'!$K$2:$K$10001,0)),"")</f>
        <v/>
      </c>
    </row>
    <row r="7469">
      <c r="A7469">
        <f>IFERROR(INDEX('Email Cleaner'!$B$2:$B$10001,MATCH(7468,'Email Cleaner'!$K$2:$K$10001,0)),"")</f>
        <v/>
      </c>
    </row>
    <row r="7470">
      <c r="A7470">
        <f>IFERROR(INDEX('Email Cleaner'!$B$2:$B$10001,MATCH(7469,'Email Cleaner'!$K$2:$K$10001,0)),"")</f>
        <v/>
      </c>
    </row>
    <row r="7471">
      <c r="A7471">
        <f>IFERROR(INDEX('Email Cleaner'!$B$2:$B$10001,MATCH(7470,'Email Cleaner'!$K$2:$K$10001,0)),"")</f>
        <v/>
      </c>
    </row>
    <row r="7472">
      <c r="A7472">
        <f>IFERROR(INDEX('Email Cleaner'!$B$2:$B$10001,MATCH(7471,'Email Cleaner'!$K$2:$K$10001,0)),"")</f>
        <v/>
      </c>
    </row>
    <row r="7473">
      <c r="A7473">
        <f>IFERROR(INDEX('Email Cleaner'!$B$2:$B$10001,MATCH(7472,'Email Cleaner'!$K$2:$K$10001,0)),"")</f>
        <v/>
      </c>
    </row>
    <row r="7474">
      <c r="A7474">
        <f>IFERROR(INDEX('Email Cleaner'!$B$2:$B$10001,MATCH(7473,'Email Cleaner'!$K$2:$K$10001,0)),"")</f>
        <v/>
      </c>
    </row>
    <row r="7475">
      <c r="A7475">
        <f>IFERROR(INDEX('Email Cleaner'!$B$2:$B$10001,MATCH(7474,'Email Cleaner'!$K$2:$K$10001,0)),"")</f>
        <v/>
      </c>
    </row>
    <row r="7476">
      <c r="A7476">
        <f>IFERROR(INDEX('Email Cleaner'!$B$2:$B$10001,MATCH(7475,'Email Cleaner'!$K$2:$K$10001,0)),"")</f>
        <v/>
      </c>
    </row>
    <row r="7477">
      <c r="A7477">
        <f>IFERROR(INDEX('Email Cleaner'!$B$2:$B$10001,MATCH(7476,'Email Cleaner'!$K$2:$K$10001,0)),"")</f>
        <v/>
      </c>
    </row>
    <row r="7478">
      <c r="A7478">
        <f>IFERROR(INDEX('Email Cleaner'!$B$2:$B$10001,MATCH(7477,'Email Cleaner'!$K$2:$K$10001,0)),"")</f>
        <v/>
      </c>
    </row>
    <row r="7479">
      <c r="A7479">
        <f>IFERROR(INDEX('Email Cleaner'!$B$2:$B$10001,MATCH(7478,'Email Cleaner'!$K$2:$K$10001,0)),"")</f>
        <v/>
      </c>
    </row>
    <row r="7480">
      <c r="A7480">
        <f>IFERROR(INDEX('Email Cleaner'!$B$2:$B$10001,MATCH(7479,'Email Cleaner'!$K$2:$K$10001,0)),"")</f>
        <v/>
      </c>
    </row>
    <row r="7481">
      <c r="A7481">
        <f>IFERROR(INDEX('Email Cleaner'!$B$2:$B$10001,MATCH(7480,'Email Cleaner'!$K$2:$K$10001,0)),"")</f>
        <v/>
      </c>
    </row>
    <row r="7482">
      <c r="A7482">
        <f>IFERROR(INDEX('Email Cleaner'!$B$2:$B$10001,MATCH(7481,'Email Cleaner'!$K$2:$K$10001,0)),"")</f>
        <v/>
      </c>
    </row>
    <row r="7483">
      <c r="A7483">
        <f>IFERROR(INDEX('Email Cleaner'!$B$2:$B$10001,MATCH(7482,'Email Cleaner'!$K$2:$K$10001,0)),"")</f>
        <v/>
      </c>
    </row>
    <row r="7484">
      <c r="A7484">
        <f>IFERROR(INDEX('Email Cleaner'!$B$2:$B$10001,MATCH(7483,'Email Cleaner'!$K$2:$K$10001,0)),"")</f>
        <v/>
      </c>
    </row>
    <row r="7485">
      <c r="A7485">
        <f>IFERROR(INDEX('Email Cleaner'!$B$2:$B$10001,MATCH(7484,'Email Cleaner'!$K$2:$K$10001,0)),"")</f>
        <v/>
      </c>
    </row>
    <row r="7486">
      <c r="A7486">
        <f>IFERROR(INDEX('Email Cleaner'!$B$2:$B$10001,MATCH(7485,'Email Cleaner'!$K$2:$K$10001,0)),"")</f>
        <v/>
      </c>
    </row>
    <row r="7487">
      <c r="A7487">
        <f>IFERROR(INDEX('Email Cleaner'!$B$2:$B$10001,MATCH(7486,'Email Cleaner'!$K$2:$K$10001,0)),"")</f>
        <v/>
      </c>
    </row>
    <row r="7488">
      <c r="A7488">
        <f>IFERROR(INDEX('Email Cleaner'!$B$2:$B$10001,MATCH(7487,'Email Cleaner'!$K$2:$K$10001,0)),"")</f>
        <v/>
      </c>
    </row>
    <row r="7489">
      <c r="A7489">
        <f>IFERROR(INDEX('Email Cleaner'!$B$2:$B$10001,MATCH(7488,'Email Cleaner'!$K$2:$K$10001,0)),"")</f>
        <v/>
      </c>
    </row>
    <row r="7490">
      <c r="A7490">
        <f>IFERROR(INDEX('Email Cleaner'!$B$2:$B$10001,MATCH(7489,'Email Cleaner'!$K$2:$K$10001,0)),"")</f>
        <v/>
      </c>
    </row>
    <row r="7491">
      <c r="A7491">
        <f>IFERROR(INDEX('Email Cleaner'!$B$2:$B$10001,MATCH(7490,'Email Cleaner'!$K$2:$K$10001,0)),"")</f>
        <v/>
      </c>
    </row>
    <row r="7492">
      <c r="A7492">
        <f>IFERROR(INDEX('Email Cleaner'!$B$2:$B$10001,MATCH(7491,'Email Cleaner'!$K$2:$K$10001,0)),"")</f>
        <v/>
      </c>
    </row>
    <row r="7493">
      <c r="A7493">
        <f>IFERROR(INDEX('Email Cleaner'!$B$2:$B$10001,MATCH(7492,'Email Cleaner'!$K$2:$K$10001,0)),"")</f>
        <v/>
      </c>
    </row>
    <row r="7494">
      <c r="A7494">
        <f>IFERROR(INDEX('Email Cleaner'!$B$2:$B$10001,MATCH(7493,'Email Cleaner'!$K$2:$K$10001,0)),"")</f>
        <v/>
      </c>
    </row>
    <row r="7495">
      <c r="A7495">
        <f>IFERROR(INDEX('Email Cleaner'!$B$2:$B$10001,MATCH(7494,'Email Cleaner'!$K$2:$K$10001,0)),"")</f>
        <v/>
      </c>
    </row>
    <row r="7496">
      <c r="A7496">
        <f>IFERROR(INDEX('Email Cleaner'!$B$2:$B$10001,MATCH(7495,'Email Cleaner'!$K$2:$K$10001,0)),"")</f>
        <v/>
      </c>
    </row>
    <row r="7497">
      <c r="A7497">
        <f>IFERROR(INDEX('Email Cleaner'!$B$2:$B$10001,MATCH(7496,'Email Cleaner'!$K$2:$K$10001,0)),"")</f>
        <v/>
      </c>
    </row>
    <row r="7498">
      <c r="A7498">
        <f>IFERROR(INDEX('Email Cleaner'!$B$2:$B$10001,MATCH(7497,'Email Cleaner'!$K$2:$K$10001,0)),"")</f>
        <v/>
      </c>
    </row>
    <row r="7499">
      <c r="A7499">
        <f>IFERROR(INDEX('Email Cleaner'!$B$2:$B$10001,MATCH(7498,'Email Cleaner'!$K$2:$K$10001,0)),"")</f>
        <v/>
      </c>
    </row>
    <row r="7500">
      <c r="A7500">
        <f>IFERROR(INDEX('Email Cleaner'!$B$2:$B$10001,MATCH(7499,'Email Cleaner'!$K$2:$K$10001,0)),"")</f>
        <v/>
      </c>
    </row>
    <row r="7501">
      <c r="A7501">
        <f>IFERROR(INDEX('Email Cleaner'!$B$2:$B$10001,MATCH(7500,'Email Cleaner'!$K$2:$K$10001,0)),"")</f>
        <v/>
      </c>
    </row>
    <row r="7502">
      <c r="A7502">
        <f>IFERROR(INDEX('Email Cleaner'!$B$2:$B$10001,MATCH(7501,'Email Cleaner'!$K$2:$K$10001,0)),"")</f>
        <v/>
      </c>
    </row>
    <row r="7503">
      <c r="A7503">
        <f>IFERROR(INDEX('Email Cleaner'!$B$2:$B$10001,MATCH(7502,'Email Cleaner'!$K$2:$K$10001,0)),"")</f>
        <v/>
      </c>
    </row>
    <row r="7504">
      <c r="A7504">
        <f>IFERROR(INDEX('Email Cleaner'!$B$2:$B$10001,MATCH(7503,'Email Cleaner'!$K$2:$K$10001,0)),"")</f>
        <v/>
      </c>
    </row>
    <row r="7505">
      <c r="A7505">
        <f>IFERROR(INDEX('Email Cleaner'!$B$2:$B$10001,MATCH(7504,'Email Cleaner'!$K$2:$K$10001,0)),"")</f>
        <v/>
      </c>
    </row>
    <row r="7506">
      <c r="A7506">
        <f>IFERROR(INDEX('Email Cleaner'!$B$2:$B$10001,MATCH(7505,'Email Cleaner'!$K$2:$K$10001,0)),"")</f>
        <v/>
      </c>
    </row>
    <row r="7507">
      <c r="A7507">
        <f>IFERROR(INDEX('Email Cleaner'!$B$2:$B$10001,MATCH(7506,'Email Cleaner'!$K$2:$K$10001,0)),"")</f>
        <v/>
      </c>
    </row>
    <row r="7508">
      <c r="A7508">
        <f>IFERROR(INDEX('Email Cleaner'!$B$2:$B$10001,MATCH(7507,'Email Cleaner'!$K$2:$K$10001,0)),"")</f>
        <v/>
      </c>
    </row>
    <row r="7509">
      <c r="A7509">
        <f>IFERROR(INDEX('Email Cleaner'!$B$2:$B$10001,MATCH(7508,'Email Cleaner'!$K$2:$K$10001,0)),"")</f>
        <v/>
      </c>
    </row>
    <row r="7510">
      <c r="A7510">
        <f>IFERROR(INDEX('Email Cleaner'!$B$2:$B$10001,MATCH(7509,'Email Cleaner'!$K$2:$K$10001,0)),"")</f>
        <v/>
      </c>
    </row>
    <row r="7511">
      <c r="A7511">
        <f>IFERROR(INDEX('Email Cleaner'!$B$2:$B$10001,MATCH(7510,'Email Cleaner'!$K$2:$K$10001,0)),"")</f>
        <v/>
      </c>
    </row>
    <row r="7512">
      <c r="A7512">
        <f>IFERROR(INDEX('Email Cleaner'!$B$2:$B$10001,MATCH(7511,'Email Cleaner'!$K$2:$K$10001,0)),"")</f>
        <v/>
      </c>
    </row>
    <row r="7513">
      <c r="A7513">
        <f>IFERROR(INDEX('Email Cleaner'!$B$2:$B$10001,MATCH(7512,'Email Cleaner'!$K$2:$K$10001,0)),"")</f>
        <v/>
      </c>
    </row>
    <row r="7514">
      <c r="A7514">
        <f>IFERROR(INDEX('Email Cleaner'!$B$2:$B$10001,MATCH(7513,'Email Cleaner'!$K$2:$K$10001,0)),"")</f>
        <v/>
      </c>
    </row>
    <row r="7515">
      <c r="A7515">
        <f>IFERROR(INDEX('Email Cleaner'!$B$2:$B$10001,MATCH(7514,'Email Cleaner'!$K$2:$K$10001,0)),"")</f>
        <v/>
      </c>
    </row>
    <row r="7516">
      <c r="A7516">
        <f>IFERROR(INDEX('Email Cleaner'!$B$2:$B$10001,MATCH(7515,'Email Cleaner'!$K$2:$K$10001,0)),"")</f>
        <v/>
      </c>
    </row>
    <row r="7517">
      <c r="A7517">
        <f>IFERROR(INDEX('Email Cleaner'!$B$2:$B$10001,MATCH(7516,'Email Cleaner'!$K$2:$K$10001,0)),"")</f>
        <v/>
      </c>
    </row>
    <row r="7518">
      <c r="A7518">
        <f>IFERROR(INDEX('Email Cleaner'!$B$2:$B$10001,MATCH(7517,'Email Cleaner'!$K$2:$K$10001,0)),"")</f>
        <v/>
      </c>
    </row>
    <row r="7519">
      <c r="A7519">
        <f>IFERROR(INDEX('Email Cleaner'!$B$2:$B$10001,MATCH(7518,'Email Cleaner'!$K$2:$K$10001,0)),"")</f>
        <v/>
      </c>
    </row>
    <row r="7520">
      <c r="A7520">
        <f>IFERROR(INDEX('Email Cleaner'!$B$2:$B$10001,MATCH(7519,'Email Cleaner'!$K$2:$K$10001,0)),"")</f>
        <v/>
      </c>
    </row>
    <row r="7521">
      <c r="A7521">
        <f>IFERROR(INDEX('Email Cleaner'!$B$2:$B$10001,MATCH(7520,'Email Cleaner'!$K$2:$K$10001,0)),"")</f>
        <v/>
      </c>
    </row>
    <row r="7522">
      <c r="A7522">
        <f>IFERROR(INDEX('Email Cleaner'!$B$2:$B$10001,MATCH(7521,'Email Cleaner'!$K$2:$K$10001,0)),"")</f>
        <v/>
      </c>
    </row>
    <row r="7523">
      <c r="A7523">
        <f>IFERROR(INDEX('Email Cleaner'!$B$2:$B$10001,MATCH(7522,'Email Cleaner'!$K$2:$K$10001,0)),"")</f>
        <v/>
      </c>
    </row>
    <row r="7524">
      <c r="A7524">
        <f>IFERROR(INDEX('Email Cleaner'!$B$2:$B$10001,MATCH(7523,'Email Cleaner'!$K$2:$K$10001,0)),"")</f>
        <v/>
      </c>
    </row>
    <row r="7525">
      <c r="A7525">
        <f>IFERROR(INDEX('Email Cleaner'!$B$2:$B$10001,MATCH(7524,'Email Cleaner'!$K$2:$K$10001,0)),"")</f>
        <v/>
      </c>
    </row>
    <row r="7526">
      <c r="A7526">
        <f>IFERROR(INDEX('Email Cleaner'!$B$2:$B$10001,MATCH(7525,'Email Cleaner'!$K$2:$K$10001,0)),"")</f>
        <v/>
      </c>
    </row>
    <row r="7527">
      <c r="A7527">
        <f>IFERROR(INDEX('Email Cleaner'!$B$2:$B$10001,MATCH(7526,'Email Cleaner'!$K$2:$K$10001,0)),"")</f>
        <v/>
      </c>
    </row>
    <row r="7528">
      <c r="A7528">
        <f>IFERROR(INDEX('Email Cleaner'!$B$2:$B$10001,MATCH(7527,'Email Cleaner'!$K$2:$K$10001,0)),"")</f>
        <v/>
      </c>
    </row>
    <row r="7529">
      <c r="A7529">
        <f>IFERROR(INDEX('Email Cleaner'!$B$2:$B$10001,MATCH(7528,'Email Cleaner'!$K$2:$K$10001,0)),"")</f>
        <v/>
      </c>
    </row>
    <row r="7530">
      <c r="A7530">
        <f>IFERROR(INDEX('Email Cleaner'!$B$2:$B$10001,MATCH(7529,'Email Cleaner'!$K$2:$K$10001,0)),"")</f>
        <v/>
      </c>
    </row>
    <row r="7531">
      <c r="A7531">
        <f>IFERROR(INDEX('Email Cleaner'!$B$2:$B$10001,MATCH(7530,'Email Cleaner'!$K$2:$K$10001,0)),"")</f>
        <v/>
      </c>
    </row>
    <row r="7532">
      <c r="A7532">
        <f>IFERROR(INDEX('Email Cleaner'!$B$2:$B$10001,MATCH(7531,'Email Cleaner'!$K$2:$K$10001,0)),"")</f>
        <v/>
      </c>
    </row>
    <row r="7533">
      <c r="A7533">
        <f>IFERROR(INDEX('Email Cleaner'!$B$2:$B$10001,MATCH(7532,'Email Cleaner'!$K$2:$K$10001,0)),"")</f>
        <v/>
      </c>
    </row>
    <row r="7534">
      <c r="A7534">
        <f>IFERROR(INDEX('Email Cleaner'!$B$2:$B$10001,MATCH(7533,'Email Cleaner'!$K$2:$K$10001,0)),"")</f>
        <v/>
      </c>
    </row>
    <row r="7535">
      <c r="A7535">
        <f>IFERROR(INDEX('Email Cleaner'!$B$2:$B$10001,MATCH(7534,'Email Cleaner'!$K$2:$K$10001,0)),"")</f>
        <v/>
      </c>
    </row>
    <row r="7536">
      <c r="A7536">
        <f>IFERROR(INDEX('Email Cleaner'!$B$2:$B$10001,MATCH(7535,'Email Cleaner'!$K$2:$K$10001,0)),"")</f>
        <v/>
      </c>
    </row>
    <row r="7537">
      <c r="A7537">
        <f>IFERROR(INDEX('Email Cleaner'!$B$2:$B$10001,MATCH(7536,'Email Cleaner'!$K$2:$K$10001,0)),"")</f>
        <v/>
      </c>
    </row>
    <row r="7538">
      <c r="A7538">
        <f>IFERROR(INDEX('Email Cleaner'!$B$2:$B$10001,MATCH(7537,'Email Cleaner'!$K$2:$K$10001,0)),"")</f>
        <v/>
      </c>
    </row>
    <row r="7539">
      <c r="A7539">
        <f>IFERROR(INDEX('Email Cleaner'!$B$2:$B$10001,MATCH(7538,'Email Cleaner'!$K$2:$K$10001,0)),"")</f>
        <v/>
      </c>
    </row>
    <row r="7540">
      <c r="A7540">
        <f>IFERROR(INDEX('Email Cleaner'!$B$2:$B$10001,MATCH(7539,'Email Cleaner'!$K$2:$K$10001,0)),"")</f>
        <v/>
      </c>
    </row>
    <row r="7541">
      <c r="A7541">
        <f>IFERROR(INDEX('Email Cleaner'!$B$2:$B$10001,MATCH(7540,'Email Cleaner'!$K$2:$K$10001,0)),"")</f>
        <v/>
      </c>
    </row>
    <row r="7542">
      <c r="A7542">
        <f>IFERROR(INDEX('Email Cleaner'!$B$2:$B$10001,MATCH(7541,'Email Cleaner'!$K$2:$K$10001,0)),"")</f>
        <v/>
      </c>
    </row>
    <row r="7543">
      <c r="A7543">
        <f>IFERROR(INDEX('Email Cleaner'!$B$2:$B$10001,MATCH(7542,'Email Cleaner'!$K$2:$K$10001,0)),"")</f>
        <v/>
      </c>
    </row>
    <row r="7544">
      <c r="A7544">
        <f>IFERROR(INDEX('Email Cleaner'!$B$2:$B$10001,MATCH(7543,'Email Cleaner'!$K$2:$K$10001,0)),"")</f>
        <v/>
      </c>
    </row>
    <row r="7545">
      <c r="A7545">
        <f>IFERROR(INDEX('Email Cleaner'!$B$2:$B$10001,MATCH(7544,'Email Cleaner'!$K$2:$K$10001,0)),"")</f>
        <v/>
      </c>
    </row>
    <row r="7546">
      <c r="A7546">
        <f>IFERROR(INDEX('Email Cleaner'!$B$2:$B$10001,MATCH(7545,'Email Cleaner'!$K$2:$K$10001,0)),"")</f>
        <v/>
      </c>
    </row>
    <row r="7547">
      <c r="A7547">
        <f>IFERROR(INDEX('Email Cleaner'!$B$2:$B$10001,MATCH(7546,'Email Cleaner'!$K$2:$K$10001,0)),"")</f>
        <v/>
      </c>
    </row>
    <row r="7548">
      <c r="A7548">
        <f>IFERROR(INDEX('Email Cleaner'!$B$2:$B$10001,MATCH(7547,'Email Cleaner'!$K$2:$K$10001,0)),"")</f>
        <v/>
      </c>
    </row>
    <row r="7549">
      <c r="A7549">
        <f>IFERROR(INDEX('Email Cleaner'!$B$2:$B$10001,MATCH(7548,'Email Cleaner'!$K$2:$K$10001,0)),"")</f>
        <v/>
      </c>
    </row>
    <row r="7550">
      <c r="A7550">
        <f>IFERROR(INDEX('Email Cleaner'!$B$2:$B$10001,MATCH(7549,'Email Cleaner'!$K$2:$K$10001,0)),"")</f>
        <v/>
      </c>
    </row>
    <row r="7551">
      <c r="A7551">
        <f>IFERROR(INDEX('Email Cleaner'!$B$2:$B$10001,MATCH(7550,'Email Cleaner'!$K$2:$K$10001,0)),"")</f>
        <v/>
      </c>
    </row>
    <row r="7552">
      <c r="A7552">
        <f>IFERROR(INDEX('Email Cleaner'!$B$2:$B$10001,MATCH(7551,'Email Cleaner'!$K$2:$K$10001,0)),"")</f>
        <v/>
      </c>
    </row>
    <row r="7553">
      <c r="A7553">
        <f>IFERROR(INDEX('Email Cleaner'!$B$2:$B$10001,MATCH(7552,'Email Cleaner'!$K$2:$K$10001,0)),"")</f>
        <v/>
      </c>
    </row>
    <row r="7554">
      <c r="A7554">
        <f>IFERROR(INDEX('Email Cleaner'!$B$2:$B$10001,MATCH(7553,'Email Cleaner'!$K$2:$K$10001,0)),"")</f>
        <v/>
      </c>
    </row>
    <row r="7555">
      <c r="A7555">
        <f>IFERROR(INDEX('Email Cleaner'!$B$2:$B$10001,MATCH(7554,'Email Cleaner'!$K$2:$K$10001,0)),"")</f>
        <v/>
      </c>
    </row>
    <row r="7556">
      <c r="A7556">
        <f>IFERROR(INDEX('Email Cleaner'!$B$2:$B$10001,MATCH(7555,'Email Cleaner'!$K$2:$K$10001,0)),"")</f>
        <v/>
      </c>
    </row>
    <row r="7557">
      <c r="A7557">
        <f>IFERROR(INDEX('Email Cleaner'!$B$2:$B$10001,MATCH(7556,'Email Cleaner'!$K$2:$K$10001,0)),"")</f>
        <v/>
      </c>
    </row>
    <row r="7558">
      <c r="A7558">
        <f>IFERROR(INDEX('Email Cleaner'!$B$2:$B$10001,MATCH(7557,'Email Cleaner'!$K$2:$K$10001,0)),"")</f>
        <v/>
      </c>
    </row>
    <row r="7559">
      <c r="A7559">
        <f>IFERROR(INDEX('Email Cleaner'!$B$2:$B$10001,MATCH(7558,'Email Cleaner'!$K$2:$K$10001,0)),"")</f>
        <v/>
      </c>
    </row>
    <row r="7560">
      <c r="A7560">
        <f>IFERROR(INDEX('Email Cleaner'!$B$2:$B$10001,MATCH(7559,'Email Cleaner'!$K$2:$K$10001,0)),"")</f>
        <v/>
      </c>
    </row>
    <row r="7561">
      <c r="A7561">
        <f>IFERROR(INDEX('Email Cleaner'!$B$2:$B$10001,MATCH(7560,'Email Cleaner'!$K$2:$K$10001,0)),"")</f>
        <v/>
      </c>
    </row>
    <row r="7562">
      <c r="A7562">
        <f>IFERROR(INDEX('Email Cleaner'!$B$2:$B$10001,MATCH(7561,'Email Cleaner'!$K$2:$K$10001,0)),"")</f>
        <v/>
      </c>
    </row>
    <row r="7563">
      <c r="A7563">
        <f>IFERROR(INDEX('Email Cleaner'!$B$2:$B$10001,MATCH(7562,'Email Cleaner'!$K$2:$K$10001,0)),"")</f>
        <v/>
      </c>
    </row>
    <row r="7564">
      <c r="A7564">
        <f>IFERROR(INDEX('Email Cleaner'!$B$2:$B$10001,MATCH(7563,'Email Cleaner'!$K$2:$K$10001,0)),"")</f>
        <v/>
      </c>
    </row>
    <row r="7565">
      <c r="A7565">
        <f>IFERROR(INDEX('Email Cleaner'!$B$2:$B$10001,MATCH(7564,'Email Cleaner'!$K$2:$K$10001,0)),"")</f>
        <v/>
      </c>
    </row>
    <row r="7566">
      <c r="A7566">
        <f>IFERROR(INDEX('Email Cleaner'!$B$2:$B$10001,MATCH(7565,'Email Cleaner'!$K$2:$K$10001,0)),"")</f>
        <v/>
      </c>
    </row>
    <row r="7567">
      <c r="A7567">
        <f>IFERROR(INDEX('Email Cleaner'!$B$2:$B$10001,MATCH(7566,'Email Cleaner'!$K$2:$K$10001,0)),"")</f>
        <v/>
      </c>
    </row>
    <row r="7568">
      <c r="A7568">
        <f>IFERROR(INDEX('Email Cleaner'!$B$2:$B$10001,MATCH(7567,'Email Cleaner'!$K$2:$K$10001,0)),"")</f>
        <v/>
      </c>
    </row>
    <row r="7569">
      <c r="A7569">
        <f>IFERROR(INDEX('Email Cleaner'!$B$2:$B$10001,MATCH(7568,'Email Cleaner'!$K$2:$K$10001,0)),"")</f>
        <v/>
      </c>
    </row>
    <row r="7570">
      <c r="A7570">
        <f>IFERROR(INDEX('Email Cleaner'!$B$2:$B$10001,MATCH(7569,'Email Cleaner'!$K$2:$K$10001,0)),"")</f>
        <v/>
      </c>
    </row>
    <row r="7571">
      <c r="A7571">
        <f>IFERROR(INDEX('Email Cleaner'!$B$2:$B$10001,MATCH(7570,'Email Cleaner'!$K$2:$K$10001,0)),"")</f>
        <v/>
      </c>
    </row>
    <row r="7572">
      <c r="A7572">
        <f>IFERROR(INDEX('Email Cleaner'!$B$2:$B$10001,MATCH(7571,'Email Cleaner'!$K$2:$K$10001,0)),"")</f>
        <v/>
      </c>
    </row>
    <row r="7573">
      <c r="A7573">
        <f>IFERROR(INDEX('Email Cleaner'!$B$2:$B$10001,MATCH(7572,'Email Cleaner'!$K$2:$K$10001,0)),"")</f>
        <v/>
      </c>
    </row>
    <row r="7574">
      <c r="A7574">
        <f>IFERROR(INDEX('Email Cleaner'!$B$2:$B$10001,MATCH(7573,'Email Cleaner'!$K$2:$K$10001,0)),"")</f>
        <v/>
      </c>
    </row>
    <row r="7575">
      <c r="A7575">
        <f>IFERROR(INDEX('Email Cleaner'!$B$2:$B$10001,MATCH(7574,'Email Cleaner'!$K$2:$K$10001,0)),"")</f>
        <v/>
      </c>
    </row>
    <row r="7576">
      <c r="A7576">
        <f>IFERROR(INDEX('Email Cleaner'!$B$2:$B$10001,MATCH(7575,'Email Cleaner'!$K$2:$K$10001,0)),"")</f>
        <v/>
      </c>
    </row>
    <row r="7577">
      <c r="A7577">
        <f>IFERROR(INDEX('Email Cleaner'!$B$2:$B$10001,MATCH(7576,'Email Cleaner'!$K$2:$K$10001,0)),"")</f>
        <v/>
      </c>
    </row>
    <row r="7578">
      <c r="A7578">
        <f>IFERROR(INDEX('Email Cleaner'!$B$2:$B$10001,MATCH(7577,'Email Cleaner'!$K$2:$K$10001,0)),"")</f>
        <v/>
      </c>
    </row>
    <row r="7579">
      <c r="A7579">
        <f>IFERROR(INDEX('Email Cleaner'!$B$2:$B$10001,MATCH(7578,'Email Cleaner'!$K$2:$K$10001,0)),"")</f>
        <v/>
      </c>
    </row>
    <row r="7580">
      <c r="A7580">
        <f>IFERROR(INDEX('Email Cleaner'!$B$2:$B$10001,MATCH(7579,'Email Cleaner'!$K$2:$K$10001,0)),"")</f>
        <v/>
      </c>
    </row>
    <row r="7581">
      <c r="A7581">
        <f>IFERROR(INDEX('Email Cleaner'!$B$2:$B$10001,MATCH(7580,'Email Cleaner'!$K$2:$K$10001,0)),"")</f>
        <v/>
      </c>
    </row>
    <row r="7582">
      <c r="A7582">
        <f>IFERROR(INDEX('Email Cleaner'!$B$2:$B$10001,MATCH(7581,'Email Cleaner'!$K$2:$K$10001,0)),"")</f>
        <v/>
      </c>
    </row>
    <row r="7583">
      <c r="A7583">
        <f>IFERROR(INDEX('Email Cleaner'!$B$2:$B$10001,MATCH(7582,'Email Cleaner'!$K$2:$K$10001,0)),"")</f>
        <v/>
      </c>
    </row>
    <row r="7584">
      <c r="A7584">
        <f>IFERROR(INDEX('Email Cleaner'!$B$2:$B$10001,MATCH(7583,'Email Cleaner'!$K$2:$K$10001,0)),"")</f>
        <v/>
      </c>
    </row>
    <row r="7585">
      <c r="A7585">
        <f>IFERROR(INDEX('Email Cleaner'!$B$2:$B$10001,MATCH(7584,'Email Cleaner'!$K$2:$K$10001,0)),"")</f>
        <v/>
      </c>
    </row>
    <row r="7586">
      <c r="A7586">
        <f>IFERROR(INDEX('Email Cleaner'!$B$2:$B$10001,MATCH(7585,'Email Cleaner'!$K$2:$K$10001,0)),"")</f>
        <v/>
      </c>
    </row>
    <row r="7587">
      <c r="A7587">
        <f>IFERROR(INDEX('Email Cleaner'!$B$2:$B$10001,MATCH(7586,'Email Cleaner'!$K$2:$K$10001,0)),"")</f>
        <v/>
      </c>
    </row>
    <row r="7588">
      <c r="A7588">
        <f>IFERROR(INDEX('Email Cleaner'!$B$2:$B$10001,MATCH(7587,'Email Cleaner'!$K$2:$K$10001,0)),"")</f>
        <v/>
      </c>
    </row>
    <row r="7589">
      <c r="A7589">
        <f>IFERROR(INDEX('Email Cleaner'!$B$2:$B$10001,MATCH(7588,'Email Cleaner'!$K$2:$K$10001,0)),"")</f>
        <v/>
      </c>
    </row>
    <row r="7590">
      <c r="A7590">
        <f>IFERROR(INDEX('Email Cleaner'!$B$2:$B$10001,MATCH(7589,'Email Cleaner'!$K$2:$K$10001,0)),"")</f>
        <v/>
      </c>
    </row>
    <row r="7591">
      <c r="A7591">
        <f>IFERROR(INDEX('Email Cleaner'!$B$2:$B$10001,MATCH(7590,'Email Cleaner'!$K$2:$K$10001,0)),"")</f>
        <v/>
      </c>
    </row>
    <row r="7592">
      <c r="A7592">
        <f>IFERROR(INDEX('Email Cleaner'!$B$2:$B$10001,MATCH(7591,'Email Cleaner'!$K$2:$K$10001,0)),"")</f>
        <v/>
      </c>
    </row>
    <row r="7593">
      <c r="A7593">
        <f>IFERROR(INDEX('Email Cleaner'!$B$2:$B$10001,MATCH(7592,'Email Cleaner'!$K$2:$K$10001,0)),"")</f>
        <v/>
      </c>
    </row>
    <row r="7594">
      <c r="A7594">
        <f>IFERROR(INDEX('Email Cleaner'!$B$2:$B$10001,MATCH(7593,'Email Cleaner'!$K$2:$K$10001,0)),"")</f>
        <v/>
      </c>
    </row>
    <row r="7595">
      <c r="A7595">
        <f>IFERROR(INDEX('Email Cleaner'!$B$2:$B$10001,MATCH(7594,'Email Cleaner'!$K$2:$K$10001,0)),"")</f>
        <v/>
      </c>
    </row>
    <row r="7596">
      <c r="A7596">
        <f>IFERROR(INDEX('Email Cleaner'!$B$2:$B$10001,MATCH(7595,'Email Cleaner'!$K$2:$K$10001,0)),"")</f>
        <v/>
      </c>
    </row>
    <row r="7597">
      <c r="A7597">
        <f>IFERROR(INDEX('Email Cleaner'!$B$2:$B$10001,MATCH(7596,'Email Cleaner'!$K$2:$K$10001,0)),"")</f>
        <v/>
      </c>
    </row>
    <row r="7598">
      <c r="A7598">
        <f>IFERROR(INDEX('Email Cleaner'!$B$2:$B$10001,MATCH(7597,'Email Cleaner'!$K$2:$K$10001,0)),"")</f>
        <v/>
      </c>
    </row>
    <row r="7599">
      <c r="A7599">
        <f>IFERROR(INDEX('Email Cleaner'!$B$2:$B$10001,MATCH(7598,'Email Cleaner'!$K$2:$K$10001,0)),"")</f>
        <v/>
      </c>
    </row>
    <row r="7600">
      <c r="A7600">
        <f>IFERROR(INDEX('Email Cleaner'!$B$2:$B$10001,MATCH(7599,'Email Cleaner'!$K$2:$K$10001,0)),"")</f>
        <v/>
      </c>
    </row>
    <row r="7601">
      <c r="A7601">
        <f>IFERROR(INDEX('Email Cleaner'!$B$2:$B$10001,MATCH(7600,'Email Cleaner'!$K$2:$K$10001,0)),"")</f>
        <v/>
      </c>
    </row>
    <row r="7602">
      <c r="A7602">
        <f>IFERROR(INDEX('Email Cleaner'!$B$2:$B$10001,MATCH(7601,'Email Cleaner'!$K$2:$K$10001,0)),"")</f>
        <v/>
      </c>
    </row>
    <row r="7603">
      <c r="A7603">
        <f>IFERROR(INDEX('Email Cleaner'!$B$2:$B$10001,MATCH(7602,'Email Cleaner'!$K$2:$K$10001,0)),"")</f>
        <v/>
      </c>
    </row>
    <row r="7604">
      <c r="A7604">
        <f>IFERROR(INDEX('Email Cleaner'!$B$2:$B$10001,MATCH(7603,'Email Cleaner'!$K$2:$K$10001,0)),"")</f>
        <v/>
      </c>
    </row>
    <row r="7605">
      <c r="A7605">
        <f>IFERROR(INDEX('Email Cleaner'!$B$2:$B$10001,MATCH(7604,'Email Cleaner'!$K$2:$K$10001,0)),"")</f>
        <v/>
      </c>
    </row>
    <row r="7606">
      <c r="A7606">
        <f>IFERROR(INDEX('Email Cleaner'!$B$2:$B$10001,MATCH(7605,'Email Cleaner'!$K$2:$K$10001,0)),"")</f>
        <v/>
      </c>
    </row>
    <row r="7607">
      <c r="A7607">
        <f>IFERROR(INDEX('Email Cleaner'!$B$2:$B$10001,MATCH(7606,'Email Cleaner'!$K$2:$K$10001,0)),"")</f>
        <v/>
      </c>
    </row>
    <row r="7608">
      <c r="A7608">
        <f>IFERROR(INDEX('Email Cleaner'!$B$2:$B$10001,MATCH(7607,'Email Cleaner'!$K$2:$K$10001,0)),"")</f>
        <v/>
      </c>
    </row>
    <row r="7609">
      <c r="A7609">
        <f>IFERROR(INDEX('Email Cleaner'!$B$2:$B$10001,MATCH(7608,'Email Cleaner'!$K$2:$K$10001,0)),"")</f>
        <v/>
      </c>
    </row>
    <row r="7610">
      <c r="A7610">
        <f>IFERROR(INDEX('Email Cleaner'!$B$2:$B$10001,MATCH(7609,'Email Cleaner'!$K$2:$K$10001,0)),"")</f>
        <v/>
      </c>
    </row>
    <row r="7611">
      <c r="A7611">
        <f>IFERROR(INDEX('Email Cleaner'!$B$2:$B$10001,MATCH(7610,'Email Cleaner'!$K$2:$K$10001,0)),"")</f>
        <v/>
      </c>
    </row>
    <row r="7612">
      <c r="A7612">
        <f>IFERROR(INDEX('Email Cleaner'!$B$2:$B$10001,MATCH(7611,'Email Cleaner'!$K$2:$K$10001,0)),"")</f>
        <v/>
      </c>
    </row>
    <row r="7613">
      <c r="A7613">
        <f>IFERROR(INDEX('Email Cleaner'!$B$2:$B$10001,MATCH(7612,'Email Cleaner'!$K$2:$K$10001,0)),"")</f>
        <v/>
      </c>
    </row>
    <row r="7614">
      <c r="A7614">
        <f>IFERROR(INDEX('Email Cleaner'!$B$2:$B$10001,MATCH(7613,'Email Cleaner'!$K$2:$K$10001,0)),"")</f>
        <v/>
      </c>
    </row>
    <row r="7615">
      <c r="A7615">
        <f>IFERROR(INDEX('Email Cleaner'!$B$2:$B$10001,MATCH(7614,'Email Cleaner'!$K$2:$K$10001,0)),"")</f>
        <v/>
      </c>
    </row>
    <row r="7616">
      <c r="A7616">
        <f>IFERROR(INDEX('Email Cleaner'!$B$2:$B$10001,MATCH(7615,'Email Cleaner'!$K$2:$K$10001,0)),"")</f>
        <v/>
      </c>
    </row>
    <row r="7617">
      <c r="A7617">
        <f>IFERROR(INDEX('Email Cleaner'!$B$2:$B$10001,MATCH(7616,'Email Cleaner'!$K$2:$K$10001,0)),"")</f>
        <v/>
      </c>
    </row>
    <row r="7618">
      <c r="A7618">
        <f>IFERROR(INDEX('Email Cleaner'!$B$2:$B$10001,MATCH(7617,'Email Cleaner'!$K$2:$K$10001,0)),"")</f>
        <v/>
      </c>
    </row>
    <row r="7619">
      <c r="A7619">
        <f>IFERROR(INDEX('Email Cleaner'!$B$2:$B$10001,MATCH(7618,'Email Cleaner'!$K$2:$K$10001,0)),"")</f>
        <v/>
      </c>
    </row>
    <row r="7620">
      <c r="A7620">
        <f>IFERROR(INDEX('Email Cleaner'!$B$2:$B$10001,MATCH(7619,'Email Cleaner'!$K$2:$K$10001,0)),"")</f>
        <v/>
      </c>
    </row>
    <row r="7621">
      <c r="A7621">
        <f>IFERROR(INDEX('Email Cleaner'!$B$2:$B$10001,MATCH(7620,'Email Cleaner'!$K$2:$K$10001,0)),"")</f>
        <v/>
      </c>
    </row>
    <row r="7622">
      <c r="A7622">
        <f>IFERROR(INDEX('Email Cleaner'!$B$2:$B$10001,MATCH(7621,'Email Cleaner'!$K$2:$K$10001,0)),"")</f>
        <v/>
      </c>
    </row>
    <row r="7623">
      <c r="A7623">
        <f>IFERROR(INDEX('Email Cleaner'!$B$2:$B$10001,MATCH(7622,'Email Cleaner'!$K$2:$K$10001,0)),"")</f>
        <v/>
      </c>
    </row>
    <row r="7624">
      <c r="A7624">
        <f>IFERROR(INDEX('Email Cleaner'!$B$2:$B$10001,MATCH(7623,'Email Cleaner'!$K$2:$K$10001,0)),"")</f>
        <v/>
      </c>
    </row>
    <row r="7625">
      <c r="A7625">
        <f>IFERROR(INDEX('Email Cleaner'!$B$2:$B$10001,MATCH(7624,'Email Cleaner'!$K$2:$K$10001,0)),"")</f>
        <v/>
      </c>
    </row>
    <row r="7626">
      <c r="A7626">
        <f>IFERROR(INDEX('Email Cleaner'!$B$2:$B$10001,MATCH(7625,'Email Cleaner'!$K$2:$K$10001,0)),"")</f>
        <v/>
      </c>
    </row>
    <row r="7627">
      <c r="A7627">
        <f>IFERROR(INDEX('Email Cleaner'!$B$2:$B$10001,MATCH(7626,'Email Cleaner'!$K$2:$K$10001,0)),"")</f>
        <v/>
      </c>
    </row>
    <row r="7628">
      <c r="A7628">
        <f>IFERROR(INDEX('Email Cleaner'!$B$2:$B$10001,MATCH(7627,'Email Cleaner'!$K$2:$K$10001,0)),"")</f>
        <v/>
      </c>
    </row>
    <row r="7629">
      <c r="A7629">
        <f>IFERROR(INDEX('Email Cleaner'!$B$2:$B$10001,MATCH(7628,'Email Cleaner'!$K$2:$K$10001,0)),"")</f>
        <v/>
      </c>
    </row>
    <row r="7630">
      <c r="A7630">
        <f>IFERROR(INDEX('Email Cleaner'!$B$2:$B$10001,MATCH(7629,'Email Cleaner'!$K$2:$K$10001,0)),"")</f>
        <v/>
      </c>
    </row>
    <row r="7631">
      <c r="A7631">
        <f>IFERROR(INDEX('Email Cleaner'!$B$2:$B$10001,MATCH(7630,'Email Cleaner'!$K$2:$K$10001,0)),"")</f>
        <v/>
      </c>
    </row>
    <row r="7632">
      <c r="A7632">
        <f>IFERROR(INDEX('Email Cleaner'!$B$2:$B$10001,MATCH(7631,'Email Cleaner'!$K$2:$K$10001,0)),"")</f>
        <v/>
      </c>
    </row>
    <row r="7633">
      <c r="A7633">
        <f>IFERROR(INDEX('Email Cleaner'!$B$2:$B$10001,MATCH(7632,'Email Cleaner'!$K$2:$K$10001,0)),"")</f>
        <v/>
      </c>
    </row>
    <row r="7634">
      <c r="A7634">
        <f>IFERROR(INDEX('Email Cleaner'!$B$2:$B$10001,MATCH(7633,'Email Cleaner'!$K$2:$K$10001,0)),"")</f>
        <v/>
      </c>
    </row>
    <row r="7635">
      <c r="A7635">
        <f>IFERROR(INDEX('Email Cleaner'!$B$2:$B$10001,MATCH(7634,'Email Cleaner'!$K$2:$K$10001,0)),"")</f>
        <v/>
      </c>
    </row>
    <row r="7636">
      <c r="A7636">
        <f>IFERROR(INDEX('Email Cleaner'!$B$2:$B$10001,MATCH(7635,'Email Cleaner'!$K$2:$K$10001,0)),"")</f>
        <v/>
      </c>
    </row>
    <row r="7637">
      <c r="A7637">
        <f>IFERROR(INDEX('Email Cleaner'!$B$2:$B$10001,MATCH(7636,'Email Cleaner'!$K$2:$K$10001,0)),"")</f>
        <v/>
      </c>
    </row>
    <row r="7638">
      <c r="A7638">
        <f>IFERROR(INDEX('Email Cleaner'!$B$2:$B$10001,MATCH(7637,'Email Cleaner'!$K$2:$K$10001,0)),"")</f>
        <v/>
      </c>
    </row>
    <row r="7639">
      <c r="A7639">
        <f>IFERROR(INDEX('Email Cleaner'!$B$2:$B$10001,MATCH(7638,'Email Cleaner'!$K$2:$K$10001,0)),"")</f>
        <v/>
      </c>
    </row>
    <row r="7640">
      <c r="A7640">
        <f>IFERROR(INDEX('Email Cleaner'!$B$2:$B$10001,MATCH(7639,'Email Cleaner'!$K$2:$K$10001,0)),"")</f>
        <v/>
      </c>
    </row>
    <row r="7641">
      <c r="A7641">
        <f>IFERROR(INDEX('Email Cleaner'!$B$2:$B$10001,MATCH(7640,'Email Cleaner'!$K$2:$K$10001,0)),"")</f>
        <v/>
      </c>
    </row>
    <row r="7642">
      <c r="A7642">
        <f>IFERROR(INDEX('Email Cleaner'!$B$2:$B$10001,MATCH(7641,'Email Cleaner'!$K$2:$K$10001,0)),"")</f>
        <v/>
      </c>
    </row>
    <row r="7643">
      <c r="A7643">
        <f>IFERROR(INDEX('Email Cleaner'!$B$2:$B$10001,MATCH(7642,'Email Cleaner'!$K$2:$K$10001,0)),"")</f>
        <v/>
      </c>
    </row>
    <row r="7644">
      <c r="A7644">
        <f>IFERROR(INDEX('Email Cleaner'!$B$2:$B$10001,MATCH(7643,'Email Cleaner'!$K$2:$K$10001,0)),"")</f>
        <v/>
      </c>
    </row>
    <row r="7645">
      <c r="A7645">
        <f>IFERROR(INDEX('Email Cleaner'!$B$2:$B$10001,MATCH(7644,'Email Cleaner'!$K$2:$K$10001,0)),"")</f>
        <v/>
      </c>
    </row>
    <row r="7646">
      <c r="A7646">
        <f>IFERROR(INDEX('Email Cleaner'!$B$2:$B$10001,MATCH(7645,'Email Cleaner'!$K$2:$K$10001,0)),"")</f>
        <v/>
      </c>
    </row>
    <row r="7647">
      <c r="A7647">
        <f>IFERROR(INDEX('Email Cleaner'!$B$2:$B$10001,MATCH(7646,'Email Cleaner'!$K$2:$K$10001,0)),"")</f>
        <v/>
      </c>
    </row>
    <row r="7648">
      <c r="A7648">
        <f>IFERROR(INDEX('Email Cleaner'!$B$2:$B$10001,MATCH(7647,'Email Cleaner'!$K$2:$K$10001,0)),"")</f>
        <v/>
      </c>
    </row>
    <row r="7649">
      <c r="A7649">
        <f>IFERROR(INDEX('Email Cleaner'!$B$2:$B$10001,MATCH(7648,'Email Cleaner'!$K$2:$K$10001,0)),"")</f>
        <v/>
      </c>
    </row>
    <row r="7650">
      <c r="A7650">
        <f>IFERROR(INDEX('Email Cleaner'!$B$2:$B$10001,MATCH(7649,'Email Cleaner'!$K$2:$K$10001,0)),"")</f>
        <v/>
      </c>
    </row>
    <row r="7651">
      <c r="A7651">
        <f>IFERROR(INDEX('Email Cleaner'!$B$2:$B$10001,MATCH(7650,'Email Cleaner'!$K$2:$K$10001,0)),"")</f>
        <v/>
      </c>
    </row>
    <row r="7652">
      <c r="A7652">
        <f>IFERROR(INDEX('Email Cleaner'!$B$2:$B$10001,MATCH(7651,'Email Cleaner'!$K$2:$K$10001,0)),"")</f>
        <v/>
      </c>
    </row>
    <row r="7653">
      <c r="A7653">
        <f>IFERROR(INDEX('Email Cleaner'!$B$2:$B$10001,MATCH(7652,'Email Cleaner'!$K$2:$K$10001,0)),"")</f>
        <v/>
      </c>
    </row>
    <row r="7654">
      <c r="A7654">
        <f>IFERROR(INDEX('Email Cleaner'!$B$2:$B$10001,MATCH(7653,'Email Cleaner'!$K$2:$K$10001,0)),"")</f>
        <v/>
      </c>
    </row>
    <row r="7655">
      <c r="A7655">
        <f>IFERROR(INDEX('Email Cleaner'!$B$2:$B$10001,MATCH(7654,'Email Cleaner'!$K$2:$K$10001,0)),"")</f>
        <v/>
      </c>
    </row>
    <row r="7656">
      <c r="A7656">
        <f>IFERROR(INDEX('Email Cleaner'!$B$2:$B$10001,MATCH(7655,'Email Cleaner'!$K$2:$K$10001,0)),"")</f>
        <v/>
      </c>
    </row>
    <row r="7657">
      <c r="A7657">
        <f>IFERROR(INDEX('Email Cleaner'!$B$2:$B$10001,MATCH(7656,'Email Cleaner'!$K$2:$K$10001,0)),"")</f>
        <v/>
      </c>
    </row>
    <row r="7658">
      <c r="A7658">
        <f>IFERROR(INDEX('Email Cleaner'!$B$2:$B$10001,MATCH(7657,'Email Cleaner'!$K$2:$K$10001,0)),"")</f>
        <v/>
      </c>
    </row>
    <row r="7659">
      <c r="A7659">
        <f>IFERROR(INDEX('Email Cleaner'!$B$2:$B$10001,MATCH(7658,'Email Cleaner'!$K$2:$K$10001,0)),"")</f>
        <v/>
      </c>
    </row>
    <row r="7660">
      <c r="A7660">
        <f>IFERROR(INDEX('Email Cleaner'!$B$2:$B$10001,MATCH(7659,'Email Cleaner'!$K$2:$K$10001,0)),"")</f>
        <v/>
      </c>
    </row>
    <row r="7661">
      <c r="A7661">
        <f>IFERROR(INDEX('Email Cleaner'!$B$2:$B$10001,MATCH(7660,'Email Cleaner'!$K$2:$K$10001,0)),"")</f>
        <v/>
      </c>
    </row>
    <row r="7662">
      <c r="A7662">
        <f>IFERROR(INDEX('Email Cleaner'!$B$2:$B$10001,MATCH(7661,'Email Cleaner'!$K$2:$K$10001,0)),"")</f>
        <v/>
      </c>
    </row>
    <row r="7663">
      <c r="A7663">
        <f>IFERROR(INDEX('Email Cleaner'!$B$2:$B$10001,MATCH(7662,'Email Cleaner'!$K$2:$K$10001,0)),"")</f>
        <v/>
      </c>
    </row>
    <row r="7664">
      <c r="A7664">
        <f>IFERROR(INDEX('Email Cleaner'!$B$2:$B$10001,MATCH(7663,'Email Cleaner'!$K$2:$K$10001,0)),"")</f>
        <v/>
      </c>
    </row>
    <row r="7665">
      <c r="A7665">
        <f>IFERROR(INDEX('Email Cleaner'!$B$2:$B$10001,MATCH(7664,'Email Cleaner'!$K$2:$K$10001,0)),"")</f>
        <v/>
      </c>
    </row>
    <row r="7666">
      <c r="A7666">
        <f>IFERROR(INDEX('Email Cleaner'!$B$2:$B$10001,MATCH(7665,'Email Cleaner'!$K$2:$K$10001,0)),"")</f>
        <v/>
      </c>
    </row>
    <row r="7667">
      <c r="A7667">
        <f>IFERROR(INDEX('Email Cleaner'!$B$2:$B$10001,MATCH(7666,'Email Cleaner'!$K$2:$K$10001,0)),"")</f>
        <v/>
      </c>
    </row>
    <row r="7668">
      <c r="A7668">
        <f>IFERROR(INDEX('Email Cleaner'!$B$2:$B$10001,MATCH(7667,'Email Cleaner'!$K$2:$K$10001,0)),"")</f>
        <v/>
      </c>
    </row>
    <row r="7669">
      <c r="A7669">
        <f>IFERROR(INDEX('Email Cleaner'!$B$2:$B$10001,MATCH(7668,'Email Cleaner'!$K$2:$K$10001,0)),"")</f>
        <v/>
      </c>
    </row>
    <row r="7670">
      <c r="A7670">
        <f>IFERROR(INDEX('Email Cleaner'!$B$2:$B$10001,MATCH(7669,'Email Cleaner'!$K$2:$K$10001,0)),"")</f>
        <v/>
      </c>
    </row>
    <row r="7671">
      <c r="A7671">
        <f>IFERROR(INDEX('Email Cleaner'!$B$2:$B$10001,MATCH(7670,'Email Cleaner'!$K$2:$K$10001,0)),"")</f>
        <v/>
      </c>
    </row>
    <row r="7672">
      <c r="A7672">
        <f>IFERROR(INDEX('Email Cleaner'!$B$2:$B$10001,MATCH(7671,'Email Cleaner'!$K$2:$K$10001,0)),"")</f>
        <v/>
      </c>
    </row>
    <row r="7673">
      <c r="A7673">
        <f>IFERROR(INDEX('Email Cleaner'!$B$2:$B$10001,MATCH(7672,'Email Cleaner'!$K$2:$K$10001,0)),"")</f>
        <v/>
      </c>
    </row>
    <row r="7674">
      <c r="A7674">
        <f>IFERROR(INDEX('Email Cleaner'!$B$2:$B$10001,MATCH(7673,'Email Cleaner'!$K$2:$K$10001,0)),"")</f>
        <v/>
      </c>
    </row>
    <row r="7675">
      <c r="A7675">
        <f>IFERROR(INDEX('Email Cleaner'!$B$2:$B$10001,MATCH(7674,'Email Cleaner'!$K$2:$K$10001,0)),"")</f>
        <v/>
      </c>
    </row>
    <row r="7676">
      <c r="A7676">
        <f>IFERROR(INDEX('Email Cleaner'!$B$2:$B$10001,MATCH(7675,'Email Cleaner'!$K$2:$K$10001,0)),"")</f>
        <v/>
      </c>
    </row>
    <row r="7677">
      <c r="A7677">
        <f>IFERROR(INDEX('Email Cleaner'!$B$2:$B$10001,MATCH(7676,'Email Cleaner'!$K$2:$K$10001,0)),"")</f>
        <v/>
      </c>
    </row>
    <row r="7678">
      <c r="A7678">
        <f>IFERROR(INDEX('Email Cleaner'!$B$2:$B$10001,MATCH(7677,'Email Cleaner'!$K$2:$K$10001,0)),"")</f>
        <v/>
      </c>
    </row>
    <row r="7679">
      <c r="A7679">
        <f>IFERROR(INDEX('Email Cleaner'!$B$2:$B$10001,MATCH(7678,'Email Cleaner'!$K$2:$K$10001,0)),"")</f>
        <v/>
      </c>
    </row>
    <row r="7680">
      <c r="A7680">
        <f>IFERROR(INDEX('Email Cleaner'!$B$2:$B$10001,MATCH(7679,'Email Cleaner'!$K$2:$K$10001,0)),"")</f>
        <v/>
      </c>
    </row>
    <row r="7681">
      <c r="A7681">
        <f>IFERROR(INDEX('Email Cleaner'!$B$2:$B$10001,MATCH(7680,'Email Cleaner'!$K$2:$K$10001,0)),"")</f>
        <v/>
      </c>
    </row>
    <row r="7682">
      <c r="A7682">
        <f>IFERROR(INDEX('Email Cleaner'!$B$2:$B$10001,MATCH(7681,'Email Cleaner'!$K$2:$K$10001,0)),"")</f>
        <v/>
      </c>
    </row>
    <row r="7683">
      <c r="A7683">
        <f>IFERROR(INDEX('Email Cleaner'!$B$2:$B$10001,MATCH(7682,'Email Cleaner'!$K$2:$K$10001,0)),"")</f>
        <v/>
      </c>
    </row>
    <row r="7684">
      <c r="A7684">
        <f>IFERROR(INDEX('Email Cleaner'!$B$2:$B$10001,MATCH(7683,'Email Cleaner'!$K$2:$K$10001,0)),"")</f>
        <v/>
      </c>
    </row>
    <row r="7685">
      <c r="A7685">
        <f>IFERROR(INDEX('Email Cleaner'!$B$2:$B$10001,MATCH(7684,'Email Cleaner'!$K$2:$K$10001,0)),"")</f>
        <v/>
      </c>
    </row>
    <row r="7686">
      <c r="A7686">
        <f>IFERROR(INDEX('Email Cleaner'!$B$2:$B$10001,MATCH(7685,'Email Cleaner'!$K$2:$K$10001,0)),"")</f>
        <v/>
      </c>
    </row>
    <row r="7687">
      <c r="A7687">
        <f>IFERROR(INDEX('Email Cleaner'!$B$2:$B$10001,MATCH(7686,'Email Cleaner'!$K$2:$K$10001,0)),"")</f>
        <v/>
      </c>
    </row>
    <row r="7688">
      <c r="A7688">
        <f>IFERROR(INDEX('Email Cleaner'!$B$2:$B$10001,MATCH(7687,'Email Cleaner'!$K$2:$K$10001,0)),"")</f>
        <v/>
      </c>
    </row>
    <row r="7689">
      <c r="A7689">
        <f>IFERROR(INDEX('Email Cleaner'!$B$2:$B$10001,MATCH(7688,'Email Cleaner'!$K$2:$K$10001,0)),"")</f>
        <v/>
      </c>
    </row>
    <row r="7690">
      <c r="A7690">
        <f>IFERROR(INDEX('Email Cleaner'!$B$2:$B$10001,MATCH(7689,'Email Cleaner'!$K$2:$K$10001,0)),"")</f>
        <v/>
      </c>
    </row>
    <row r="7691">
      <c r="A7691">
        <f>IFERROR(INDEX('Email Cleaner'!$B$2:$B$10001,MATCH(7690,'Email Cleaner'!$K$2:$K$10001,0)),"")</f>
        <v/>
      </c>
    </row>
    <row r="7692">
      <c r="A7692">
        <f>IFERROR(INDEX('Email Cleaner'!$B$2:$B$10001,MATCH(7691,'Email Cleaner'!$K$2:$K$10001,0)),"")</f>
        <v/>
      </c>
    </row>
    <row r="7693">
      <c r="A7693">
        <f>IFERROR(INDEX('Email Cleaner'!$B$2:$B$10001,MATCH(7692,'Email Cleaner'!$K$2:$K$10001,0)),"")</f>
        <v/>
      </c>
    </row>
    <row r="7694">
      <c r="A7694">
        <f>IFERROR(INDEX('Email Cleaner'!$B$2:$B$10001,MATCH(7693,'Email Cleaner'!$K$2:$K$10001,0)),"")</f>
        <v/>
      </c>
    </row>
    <row r="7695">
      <c r="A7695">
        <f>IFERROR(INDEX('Email Cleaner'!$B$2:$B$10001,MATCH(7694,'Email Cleaner'!$K$2:$K$10001,0)),"")</f>
        <v/>
      </c>
    </row>
    <row r="7696">
      <c r="A7696">
        <f>IFERROR(INDEX('Email Cleaner'!$B$2:$B$10001,MATCH(7695,'Email Cleaner'!$K$2:$K$10001,0)),"")</f>
        <v/>
      </c>
    </row>
    <row r="7697">
      <c r="A7697">
        <f>IFERROR(INDEX('Email Cleaner'!$B$2:$B$10001,MATCH(7696,'Email Cleaner'!$K$2:$K$10001,0)),"")</f>
        <v/>
      </c>
    </row>
    <row r="7698">
      <c r="A7698">
        <f>IFERROR(INDEX('Email Cleaner'!$B$2:$B$10001,MATCH(7697,'Email Cleaner'!$K$2:$K$10001,0)),"")</f>
        <v/>
      </c>
    </row>
    <row r="7699">
      <c r="A7699">
        <f>IFERROR(INDEX('Email Cleaner'!$B$2:$B$10001,MATCH(7698,'Email Cleaner'!$K$2:$K$10001,0)),"")</f>
        <v/>
      </c>
    </row>
    <row r="7700">
      <c r="A7700">
        <f>IFERROR(INDEX('Email Cleaner'!$B$2:$B$10001,MATCH(7699,'Email Cleaner'!$K$2:$K$10001,0)),"")</f>
        <v/>
      </c>
    </row>
    <row r="7701">
      <c r="A7701">
        <f>IFERROR(INDEX('Email Cleaner'!$B$2:$B$10001,MATCH(7700,'Email Cleaner'!$K$2:$K$10001,0)),"")</f>
        <v/>
      </c>
    </row>
    <row r="7702">
      <c r="A7702">
        <f>IFERROR(INDEX('Email Cleaner'!$B$2:$B$10001,MATCH(7701,'Email Cleaner'!$K$2:$K$10001,0)),"")</f>
        <v/>
      </c>
    </row>
    <row r="7703">
      <c r="A7703">
        <f>IFERROR(INDEX('Email Cleaner'!$B$2:$B$10001,MATCH(7702,'Email Cleaner'!$K$2:$K$10001,0)),"")</f>
        <v/>
      </c>
    </row>
    <row r="7704">
      <c r="A7704">
        <f>IFERROR(INDEX('Email Cleaner'!$B$2:$B$10001,MATCH(7703,'Email Cleaner'!$K$2:$K$10001,0)),"")</f>
        <v/>
      </c>
    </row>
    <row r="7705">
      <c r="A7705">
        <f>IFERROR(INDEX('Email Cleaner'!$B$2:$B$10001,MATCH(7704,'Email Cleaner'!$K$2:$K$10001,0)),"")</f>
        <v/>
      </c>
    </row>
    <row r="7706">
      <c r="A7706">
        <f>IFERROR(INDEX('Email Cleaner'!$B$2:$B$10001,MATCH(7705,'Email Cleaner'!$K$2:$K$10001,0)),"")</f>
        <v/>
      </c>
    </row>
    <row r="7707">
      <c r="A7707">
        <f>IFERROR(INDEX('Email Cleaner'!$B$2:$B$10001,MATCH(7706,'Email Cleaner'!$K$2:$K$10001,0)),"")</f>
        <v/>
      </c>
    </row>
    <row r="7708">
      <c r="A7708">
        <f>IFERROR(INDEX('Email Cleaner'!$B$2:$B$10001,MATCH(7707,'Email Cleaner'!$K$2:$K$10001,0)),"")</f>
        <v/>
      </c>
    </row>
    <row r="7709">
      <c r="A7709">
        <f>IFERROR(INDEX('Email Cleaner'!$B$2:$B$10001,MATCH(7708,'Email Cleaner'!$K$2:$K$10001,0)),"")</f>
        <v/>
      </c>
    </row>
    <row r="7710">
      <c r="A7710">
        <f>IFERROR(INDEX('Email Cleaner'!$B$2:$B$10001,MATCH(7709,'Email Cleaner'!$K$2:$K$10001,0)),"")</f>
        <v/>
      </c>
    </row>
    <row r="7711">
      <c r="A7711">
        <f>IFERROR(INDEX('Email Cleaner'!$B$2:$B$10001,MATCH(7710,'Email Cleaner'!$K$2:$K$10001,0)),"")</f>
        <v/>
      </c>
    </row>
    <row r="7712">
      <c r="A7712">
        <f>IFERROR(INDEX('Email Cleaner'!$B$2:$B$10001,MATCH(7711,'Email Cleaner'!$K$2:$K$10001,0)),"")</f>
        <v/>
      </c>
    </row>
    <row r="7713">
      <c r="A7713">
        <f>IFERROR(INDEX('Email Cleaner'!$B$2:$B$10001,MATCH(7712,'Email Cleaner'!$K$2:$K$10001,0)),"")</f>
        <v/>
      </c>
    </row>
    <row r="7714">
      <c r="A7714">
        <f>IFERROR(INDEX('Email Cleaner'!$B$2:$B$10001,MATCH(7713,'Email Cleaner'!$K$2:$K$10001,0)),"")</f>
        <v/>
      </c>
    </row>
    <row r="7715">
      <c r="A7715">
        <f>IFERROR(INDEX('Email Cleaner'!$B$2:$B$10001,MATCH(7714,'Email Cleaner'!$K$2:$K$10001,0)),"")</f>
        <v/>
      </c>
    </row>
    <row r="7716">
      <c r="A7716">
        <f>IFERROR(INDEX('Email Cleaner'!$B$2:$B$10001,MATCH(7715,'Email Cleaner'!$K$2:$K$10001,0)),"")</f>
        <v/>
      </c>
    </row>
    <row r="7717">
      <c r="A7717">
        <f>IFERROR(INDEX('Email Cleaner'!$B$2:$B$10001,MATCH(7716,'Email Cleaner'!$K$2:$K$10001,0)),"")</f>
        <v/>
      </c>
    </row>
    <row r="7718">
      <c r="A7718">
        <f>IFERROR(INDEX('Email Cleaner'!$B$2:$B$10001,MATCH(7717,'Email Cleaner'!$K$2:$K$10001,0)),"")</f>
        <v/>
      </c>
    </row>
    <row r="7719">
      <c r="A7719">
        <f>IFERROR(INDEX('Email Cleaner'!$B$2:$B$10001,MATCH(7718,'Email Cleaner'!$K$2:$K$10001,0)),"")</f>
        <v/>
      </c>
    </row>
    <row r="7720">
      <c r="A7720">
        <f>IFERROR(INDEX('Email Cleaner'!$B$2:$B$10001,MATCH(7719,'Email Cleaner'!$K$2:$K$10001,0)),"")</f>
        <v/>
      </c>
    </row>
    <row r="7721">
      <c r="A7721">
        <f>IFERROR(INDEX('Email Cleaner'!$B$2:$B$10001,MATCH(7720,'Email Cleaner'!$K$2:$K$10001,0)),"")</f>
        <v/>
      </c>
    </row>
    <row r="7722">
      <c r="A7722">
        <f>IFERROR(INDEX('Email Cleaner'!$B$2:$B$10001,MATCH(7721,'Email Cleaner'!$K$2:$K$10001,0)),"")</f>
        <v/>
      </c>
    </row>
    <row r="7723">
      <c r="A7723">
        <f>IFERROR(INDEX('Email Cleaner'!$B$2:$B$10001,MATCH(7722,'Email Cleaner'!$K$2:$K$10001,0)),"")</f>
        <v/>
      </c>
    </row>
    <row r="7724">
      <c r="A7724">
        <f>IFERROR(INDEX('Email Cleaner'!$B$2:$B$10001,MATCH(7723,'Email Cleaner'!$K$2:$K$10001,0)),"")</f>
        <v/>
      </c>
    </row>
    <row r="7725">
      <c r="A7725">
        <f>IFERROR(INDEX('Email Cleaner'!$B$2:$B$10001,MATCH(7724,'Email Cleaner'!$K$2:$K$10001,0)),"")</f>
        <v/>
      </c>
    </row>
    <row r="7726">
      <c r="A7726">
        <f>IFERROR(INDEX('Email Cleaner'!$B$2:$B$10001,MATCH(7725,'Email Cleaner'!$K$2:$K$10001,0)),"")</f>
        <v/>
      </c>
    </row>
    <row r="7727">
      <c r="A7727">
        <f>IFERROR(INDEX('Email Cleaner'!$B$2:$B$10001,MATCH(7726,'Email Cleaner'!$K$2:$K$10001,0)),"")</f>
        <v/>
      </c>
    </row>
    <row r="7728">
      <c r="A7728">
        <f>IFERROR(INDEX('Email Cleaner'!$B$2:$B$10001,MATCH(7727,'Email Cleaner'!$K$2:$K$10001,0)),"")</f>
        <v/>
      </c>
    </row>
    <row r="7729">
      <c r="A7729">
        <f>IFERROR(INDEX('Email Cleaner'!$B$2:$B$10001,MATCH(7728,'Email Cleaner'!$K$2:$K$10001,0)),"")</f>
        <v/>
      </c>
    </row>
    <row r="7730">
      <c r="A7730">
        <f>IFERROR(INDEX('Email Cleaner'!$B$2:$B$10001,MATCH(7729,'Email Cleaner'!$K$2:$K$10001,0)),"")</f>
        <v/>
      </c>
    </row>
    <row r="7731">
      <c r="A7731">
        <f>IFERROR(INDEX('Email Cleaner'!$B$2:$B$10001,MATCH(7730,'Email Cleaner'!$K$2:$K$10001,0)),"")</f>
        <v/>
      </c>
    </row>
    <row r="7732">
      <c r="A7732">
        <f>IFERROR(INDEX('Email Cleaner'!$B$2:$B$10001,MATCH(7731,'Email Cleaner'!$K$2:$K$10001,0)),"")</f>
        <v/>
      </c>
    </row>
    <row r="7733">
      <c r="A7733">
        <f>IFERROR(INDEX('Email Cleaner'!$B$2:$B$10001,MATCH(7732,'Email Cleaner'!$K$2:$K$10001,0)),"")</f>
        <v/>
      </c>
    </row>
    <row r="7734">
      <c r="A7734">
        <f>IFERROR(INDEX('Email Cleaner'!$B$2:$B$10001,MATCH(7733,'Email Cleaner'!$K$2:$K$10001,0)),"")</f>
        <v/>
      </c>
    </row>
    <row r="7735">
      <c r="A7735">
        <f>IFERROR(INDEX('Email Cleaner'!$B$2:$B$10001,MATCH(7734,'Email Cleaner'!$K$2:$K$10001,0)),"")</f>
        <v/>
      </c>
    </row>
    <row r="7736">
      <c r="A7736">
        <f>IFERROR(INDEX('Email Cleaner'!$B$2:$B$10001,MATCH(7735,'Email Cleaner'!$K$2:$K$10001,0)),"")</f>
        <v/>
      </c>
    </row>
    <row r="7737">
      <c r="A7737">
        <f>IFERROR(INDEX('Email Cleaner'!$B$2:$B$10001,MATCH(7736,'Email Cleaner'!$K$2:$K$10001,0)),"")</f>
        <v/>
      </c>
    </row>
    <row r="7738">
      <c r="A7738">
        <f>IFERROR(INDEX('Email Cleaner'!$B$2:$B$10001,MATCH(7737,'Email Cleaner'!$K$2:$K$10001,0)),"")</f>
        <v/>
      </c>
    </row>
    <row r="7739">
      <c r="A7739">
        <f>IFERROR(INDEX('Email Cleaner'!$B$2:$B$10001,MATCH(7738,'Email Cleaner'!$K$2:$K$10001,0)),"")</f>
        <v/>
      </c>
    </row>
    <row r="7740">
      <c r="A7740">
        <f>IFERROR(INDEX('Email Cleaner'!$B$2:$B$10001,MATCH(7739,'Email Cleaner'!$K$2:$K$10001,0)),"")</f>
        <v/>
      </c>
    </row>
    <row r="7741">
      <c r="A7741">
        <f>IFERROR(INDEX('Email Cleaner'!$B$2:$B$10001,MATCH(7740,'Email Cleaner'!$K$2:$K$10001,0)),"")</f>
        <v/>
      </c>
    </row>
    <row r="7742">
      <c r="A7742">
        <f>IFERROR(INDEX('Email Cleaner'!$B$2:$B$10001,MATCH(7741,'Email Cleaner'!$K$2:$K$10001,0)),"")</f>
        <v/>
      </c>
    </row>
    <row r="7743">
      <c r="A7743">
        <f>IFERROR(INDEX('Email Cleaner'!$B$2:$B$10001,MATCH(7742,'Email Cleaner'!$K$2:$K$10001,0)),"")</f>
        <v/>
      </c>
    </row>
    <row r="7744">
      <c r="A7744">
        <f>IFERROR(INDEX('Email Cleaner'!$B$2:$B$10001,MATCH(7743,'Email Cleaner'!$K$2:$K$10001,0)),"")</f>
        <v/>
      </c>
    </row>
    <row r="7745">
      <c r="A7745">
        <f>IFERROR(INDEX('Email Cleaner'!$B$2:$B$10001,MATCH(7744,'Email Cleaner'!$K$2:$K$10001,0)),"")</f>
        <v/>
      </c>
    </row>
    <row r="7746">
      <c r="A7746">
        <f>IFERROR(INDEX('Email Cleaner'!$B$2:$B$10001,MATCH(7745,'Email Cleaner'!$K$2:$K$10001,0)),"")</f>
        <v/>
      </c>
    </row>
    <row r="7747">
      <c r="A7747">
        <f>IFERROR(INDEX('Email Cleaner'!$B$2:$B$10001,MATCH(7746,'Email Cleaner'!$K$2:$K$10001,0)),"")</f>
        <v/>
      </c>
    </row>
    <row r="7748">
      <c r="A7748">
        <f>IFERROR(INDEX('Email Cleaner'!$B$2:$B$10001,MATCH(7747,'Email Cleaner'!$K$2:$K$10001,0)),"")</f>
        <v/>
      </c>
    </row>
    <row r="7749">
      <c r="A7749">
        <f>IFERROR(INDEX('Email Cleaner'!$B$2:$B$10001,MATCH(7748,'Email Cleaner'!$K$2:$K$10001,0)),"")</f>
        <v/>
      </c>
    </row>
    <row r="7750">
      <c r="A7750">
        <f>IFERROR(INDEX('Email Cleaner'!$B$2:$B$10001,MATCH(7749,'Email Cleaner'!$K$2:$K$10001,0)),"")</f>
        <v/>
      </c>
    </row>
    <row r="7751">
      <c r="A7751">
        <f>IFERROR(INDEX('Email Cleaner'!$B$2:$B$10001,MATCH(7750,'Email Cleaner'!$K$2:$K$10001,0)),"")</f>
        <v/>
      </c>
    </row>
    <row r="7752">
      <c r="A7752">
        <f>IFERROR(INDEX('Email Cleaner'!$B$2:$B$10001,MATCH(7751,'Email Cleaner'!$K$2:$K$10001,0)),"")</f>
        <v/>
      </c>
    </row>
    <row r="7753">
      <c r="A7753">
        <f>IFERROR(INDEX('Email Cleaner'!$B$2:$B$10001,MATCH(7752,'Email Cleaner'!$K$2:$K$10001,0)),"")</f>
        <v/>
      </c>
    </row>
    <row r="7754">
      <c r="A7754">
        <f>IFERROR(INDEX('Email Cleaner'!$B$2:$B$10001,MATCH(7753,'Email Cleaner'!$K$2:$K$10001,0)),"")</f>
        <v/>
      </c>
    </row>
    <row r="7755">
      <c r="A7755">
        <f>IFERROR(INDEX('Email Cleaner'!$B$2:$B$10001,MATCH(7754,'Email Cleaner'!$K$2:$K$10001,0)),"")</f>
        <v/>
      </c>
    </row>
    <row r="7756">
      <c r="A7756">
        <f>IFERROR(INDEX('Email Cleaner'!$B$2:$B$10001,MATCH(7755,'Email Cleaner'!$K$2:$K$10001,0)),"")</f>
        <v/>
      </c>
    </row>
    <row r="7757">
      <c r="A7757">
        <f>IFERROR(INDEX('Email Cleaner'!$B$2:$B$10001,MATCH(7756,'Email Cleaner'!$K$2:$K$10001,0)),"")</f>
        <v/>
      </c>
    </row>
    <row r="7758">
      <c r="A7758">
        <f>IFERROR(INDEX('Email Cleaner'!$B$2:$B$10001,MATCH(7757,'Email Cleaner'!$K$2:$K$10001,0)),"")</f>
        <v/>
      </c>
    </row>
    <row r="7759">
      <c r="A7759">
        <f>IFERROR(INDEX('Email Cleaner'!$B$2:$B$10001,MATCH(7758,'Email Cleaner'!$K$2:$K$10001,0)),"")</f>
        <v/>
      </c>
    </row>
    <row r="7760">
      <c r="A7760">
        <f>IFERROR(INDEX('Email Cleaner'!$B$2:$B$10001,MATCH(7759,'Email Cleaner'!$K$2:$K$10001,0)),"")</f>
        <v/>
      </c>
    </row>
    <row r="7761">
      <c r="A7761">
        <f>IFERROR(INDEX('Email Cleaner'!$B$2:$B$10001,MATCH(7760,'Email Cleaner'!$K$2:$K$10001,0)),"")</f>
        <v/>
      </c>
    </row>
    <row r="7762">
      <c r="A7762">
        <f>IFERROR(INDEX('Email Cleaner'!$B$2:$B$10001,MATCH(7761,'Email Cleaner'!$K$2:$K$10001,0)),"")</f>
        <v/>
      </c>
    </row>
    <row r="7763">
      <c r="A7763">
        <f>IFERROR(INDEX('Email Cleaner'!$B$2:$B$10001,MATCH(7762,'Email Cleaner'!$K$2:$K$10001,0)),"")</f>
        <v/>
      </c>
    </row>
    <row r="7764">
      <c r="A7764">
        <f>IFERROR(INDEX('Email Cleaner'!$B$2:$B$10001,MATCH(7763,'Email Cleaner'!$K$2:$K$10001,0)),"")</f>
        <v/>
      </c>
    </row>
    <row r="7765">
      <c r="A7765">
        <f>IFERROR(INDEX('Email Cleaner'!$B$2:$B$10001,MATCH(7764,'Email Cleaner'!$K$2:$K$10001,0)),"")</f>
        <v/>
      </c>
    </row>
    <row r="7766">
      <c r="A7766">
        <f>IFERROR(INDEX('Email Cleaner'!$B$2:$B$10001,MATCH(7765,'Email Cleaner'!$K$2:$K$10001,0)),"")</f>
        <v/>
      </c>
    </row>
    <row r="7767">
      <c r="A7767">
        <f>IFERROR(INDEX('Email Cleaner'!$B$2:$B$10001,MATCH(7766,'Email Cleaner'!$K$2:$K$10001,0)),"")</f>
        <v/>
      </c>
    </row>
    <row r="7768">
      <c r="A7768">
        <f>IFERROR(INDEX('Email Cleaner'!$B$2:$B$10001,MATCH(7767,'Email Cleaner'!$K$2:$K$10001,0)),"")</f>
        <v/>
      </c>
    </row>
    <row r="7769">
      <c r="A7769">
        <f>IFERROR(INDEX('Email Cleaner'!$B$2:$B$10001,MATCH(7768,'Email Cleaner'!$K$2:$K$10001,0)),"")</f>
        <v/>
      </c>
    </row>
    <row r="7770">
      <c r="A7770">
        <f>IFERROR(INDEX('Email Cleaner'!$B$2:$B$10001,MATCH(7769,'Email Cleaner'!$K$2:$K$10001,0)),"")</f>
        <v/>
      </c>
    </row>
    <row r="7771">
      <c r="A7771">
        <f>IFERROR(INDEX('Email Cleaner'!$B$2:$B$10001,MATCH(7770,'Email Cleaner'!$K$2:$K$10001,0)),"")</f>
        <v/>
      </c>
    </row>
    <row r="7772">
      <c r="A7772">
        <f>IFERROR(INDEX('Email Cleaner'!$B$2:$B$10001,MATCH(7771,'Email Cleaner'!$K$2:$K$10001,0)),"")</f>
        <v/>
      </c>
    </row>
    <row r="7773">
      <c r="A7773">
        <f>IFERROR(INDEX('Email Cleaner'!$B$2:$B$10001,MATCH(7772,'Email Cleaner'!$K$2:$K$10001,0)),"")</f>
        <v/>
      </c>
    </row>
    <row r="7774">
      <c r="A7774">
        <f>IFERROR(INDEX('Email Cleaner'!$B$2:$B$10001,MATCH(7773,'Email Cleaner'!$K$2:$K$10001,0)),"")</f>
        <v/>
      </c>
    </row>
    <row r="7775">
      <c r="A7775">
        <f>IFERROR(INDEX('Email Cleaner'!$B$2:$B$10001,MATCH(7774,'Email Cleaner'!$K$2:$K$10001,0)),"")</f>
        <v/>
      </c>
    </row>
    <row r="7776">
      <c r="A7776">
        <f>IFERROR(INDEX('Email Cleaner'!$B$2:$B$10001,MATCH(7775,'Email Cleaner'!$K$2:$K$10001,0)),"")</f>
        <v/>
      </c>
    </row>
    <row r="7777">
      <c r="A7777">
        <f>IFERROR(INDEX('Email Cleaner'!$B$2:$B$10001,MATCH(7776,'Email Cleaner'!$K$2:$K$10001,0)),"")</f>
        <v/>
      </c>
    </row>
    <row r="7778">
      <c r="A7778">
        <f>IFERROR(INDEX('Email Cleaner'!$B$2:$B$10001,MATCH(7777,'Email Cleaner'!$K$2:$K$10001,0)),"")</f>
        <v/>
      </c>
    </row>
    <row r="7779">
      <c r="A7779">
        <f>IFERROR(INDEX('Email Cleaner'!$B$2:$B$10001,MATCH(7778,'Email Cleaner'!$K$2:$K$10001,0)),"")</f>
        <v/>
      </c>
    </row>
    <row r="7780">
      <c r="A7780">
        <f>IFERROR(INDEX('Email Cleaner'!$B$2:$B$10001,MATCH(7779,'Email Cleaner'!$K$2:$K$10001,0)),"")</f>
        <v/>
      </c>
    </row>
    <row r="7781">
      <c r="A7781">
        <f>IFERROR(INDEX('Email Cleaner'!$B$2:$B$10001,MATCH(7780,'Email Cleaner'!$K$2:$K$10001,0)),"")</f>
        <v/>
      </c>
    </row>
    <row r="7782">
      <c r="A7782">
        <f>IFERROR(INDEX('Email Cleaner'!$B$2:$B$10001,MATCH(7781,'Email Cleaner'!$K$2:$K$10001,0)),"")</f>
        <v/>
      </c>
    </row>
    <row r="7783">
      <c r="A7783">
        <f>IFERROR(INDEX('Email Cleaner'!$B$2:$B$10001,MATCH(7782,'Email Cleaner'!$K$2:$K$10001,0)),"")</f>
        <v/>
      </c>
    </row>
    <row r="7784">
      <c r="A7784">
        <f>IFERROR(INDEX('Email Cleaner'!$B$2:$B$10001,MATCH(7783,'Email Cleaner'!$K$2:$K$10001,0)),"")</f>
        <v/>
      </c>
    </row>
    <row r="7785">
      <c r="A7785">
        <f>IFERROR(INDEX('Email Cleaner'!$B$2:$B$10001,MATCH(7784,'Email Cleaner'!$K$2:$K$10001,0)),"")</f>
        <v/>
      </c>
    </row>
    <row r="7786">
      <c r="A7786">
        <f>IFERROR(INDEX('Email Cleaner'!$B$2:$B$10001,MATCH(7785,'Email Cleaner'!$K$2:$K$10001,0)),"")</f>
        <v/>
      </c>
    </row>
    <row r="7787">
      <c r="A7787">
        <f>IFERROR(INDEX('Email Cleaner'!$B$2:$B$10001,MATCH(7786,'Email Cleaner'!$K$2:$K$10001,0)),"")</f>
        <v/>
      </c>
    </row>
    <row r="7788">
      <c r="A7788">
        <f>IFERROR(INDEX('Email Cleaner'!$B$2:$B$10001,MATCH(7787,'Email Cleaner'!$K$2:$K$10001,0)),"")</f>
        <v/>
      </c>
    </row>
    <row r="7789">
      <c r="A7789">
        <f>IFERROR(INDEX('Email Cleaner'!$B$2:$B$10001,MATCH(7788,'Email Cleaner'!$K$2:$K$10001,0)),"")</f>
        <v/>
      </c>
    </row>
    <row r="7790">
      <c r="A7790">
        <f>IFERROR(INDEX('Email Cleaner'!$B$2:$B$10001,MATCH(7789,'Email Cleaner'!$K$2:$K$10001,0)),"")</f>
        <v/>
      </c>
    </row>
    <row r="7791">
      <c r="A7791">
        <f>IFERROR(INDEX('Email Cleaner'!$B$2:$B$10001,MATCH(7790,'Email Cleaner'!$K$2:$K$10001,0)),"")</f>
        <v/>
      </c>
    </row>
    <row r="7792">
      <c r="A7792">
        <f>IFERROR(INDEX('Email Cleaner'!$B$2:$B$10001,MATCH(7791,'Email Cleaner'!$K$2:$K$10001,0)),"")</f>
        <v/>
      </c>
    </row>
    <row r="7793">
      <c r="A7793">
        <f>IFERROR(INDEX('Email Cleaner'!$B$2:$B$10001,MATCH(7792,'Email Cleaner'!$K$2:$K$10001,0)),"")</f>
        <v/>
      </c>
    </row>
    <row r="7794">
      <c r="A7794">
        <f>IFERROR(INDEX('Email Cleaner'!$B$2:$B$10001,MATCH(7793,'Email Cleaner'!$K$2:$K$10001,0)),"")</f>
        <v/>
      </c>
    </row>
    <row r="7795">
      <c r="A7795">
        <f>IFERROR(INDEX('Email Cleaner'!$B$2:$B$10001,MATCH(7794,'Email Cleaner'!$K$2:$K$10001,0)),"")</f>
        <v/>
      </c>
    </row>
    <row r="7796">
      <c r="A7796">
        <f>IFERROR(INDEX('Email Cleaner'!$B$2:$B$10001,MATCH(7795,'Email Cleaner'!$K$2:$K$10001,0)),"")</f>
        <v/>
      </c>
    </row>
    <row r="7797">
      <c r="A7797">
        <f>IFERROR(INDEX('Email Cleaner'!$B$2:$B$10001,MATCH(7796,'Email Cleaner'!$K$2:$K$10001,0)),"")</f>
        <v/>
      </c>
    </row>
    <row r="7798">
      <c r="A7798">
        <f>IFERROR(INDEX('Email Cleaner'!$B$2:$B$10001,MATCH(7797,'Email Cleaner'!$K$2:$K$10001,0)),"")</f>
        <v/>
      </c>
    </row>
    <row r="7799">
      <c r="A7799">
        <f>IFERROR(INDEX('Email Cleaner'!$B$2:$B$10001,MATCH(7798,'Email Cleaner'!$K$2:$K$10001,0)),"")</f>
        <v/>
      </c>
    </row>
    <row r="7800">
      <c r="A7800">
        <f>IFERROR(INDEX('Email Cleaner'!$B$2:$B$10001,MATCH(7799,'Email Cleaner'!$K$2:$K$10001,0)),"")</f>
        <v/>
      </c>
    </row>
    <row r="7801">
      <c r="A7801">
        <f>IFERROR(INDEX('Email Cleaner'!$B$2:$B$10001,MATCH(7800,'Email Cleaner'!$K$2:$K$10001,0)),"")</f>
        <v/>
      </c>
    </row>
    <row r="7802">
      <c r="A7802">
        <f>IFERROR(INDEX('Email Cleaner'!$B$2:$B$10001,MATCH(7801,'Email Cleaner'!$K$2:$K$10001,0)),"")</f>
        <v/>
      </c>
    </row>
    <row r="7803">
      <c r="A7803">
        <f>IFERROR(INDEX('Email Cleaner'!$B$2:$B$10001,MATCH(7802,'Email Cleaner'!$K$2:$K$10001,0)),"")</f>
        <v/>
      </c>
    </row>
    <row r="7804">
      <c r="A7804">
        <f>IFERROR(INDEX('Email Cleaner'!$B$2:$B$10001,MATCH(7803,'Email Cleaner'!$K$2:$K$10001,0)),"")</f>
        <v/>
      </c>
    </row>
    <row r="7805">
      <c r="A7805">
        <f>IFERROR(INDEX('Email Cleaner'!$B$2:$B$10001,MATCH(7804,'Email Cleaner'!$K$2:$K$10001,0)),"")</f>
        <v/>
      </c>
    </row>
    <row r="7806">
      <c r="A7806">
        <f>IFERROR(INDEX('Email Cleaner'!$B$2:$B$10001,MATCH(7805,'Email Cleaner'!$K$2:$K$10001,0)),"")</f>
        <v/>
      </c>
    </row>
    <row r="7807">
      <c r="A7807">
        <f>IFERROR(INDEX('Email Cleaner'!$B$2:$B$10001,MATCH(7806,'Email Cleaner'!$K$2:$K$10001,0)),"")</f>
        <v/>
      </c>
    </row>
    <row r="7808">
      <c r="A7808">
        <f>IFERROR(INDEX('Email Cleaner'!$B$2:$B$10001,MATCH(7807,'Email Cleaner'!$K$2:$K$10001,0)),"")</f>
        <v/>
      </c>
    </row>
    <row r="7809">
      <c r="A7809">
        <f>IFERROR(INDEX('Email Cleaner'!$B$2:$B$10001,MATCH(7808,'Email Cleaner'!$K$2:$K$10001,0)),"")</f>
        <v/>
      </c>
    </row>
    <row r="7810">
      <c r="A7810">
        <f>IFERROR(INDEX('Email Cleaner'!$B$2:$B$10001,MATCH(7809,'Email Cleaner'!$K$2:$K$10001,0)),"")</f>
        <v/>
      </c>
    </row>
    <row r="7811">
      <c r="A7811">
        <f>IFERROR(INDEX('Email Cleaner'!$B$2:$B$10001,MATCH(7810,'Email Cleaner'!$K$2:$K$10001,0)),"")</f>
        <v/>
      </c>
    </row>
    <row r="7812">
      <c r="A7812">
        <f>IFERROR(INDEX('Email Cleaner'!$B$2:$B$10001,MATCH(7811,'Email Cleaner'!$K$2:$K$10001,0)),"")</f>
        <v/>
      </c>
    </row>
    <row r="7813">
      <c r="A7813">
        <f>IFERROR(INDEX('Email Cleaner'!$B$2:$B$10001,MATCH(7812,'Email Cleaner'!$K$2:$K$10001,0)),"")</f>
        <v/>
      </c>
    </row>
    <row r="7814">
      <c r="A7814">
        <f>IFERROR(INDEX('Email Cleaner'!$B$2:$B$10001,MATCH(7813,'Email Cleaner'!$K$2:$K$10001,0)),"")</f>
        <v/>
      </c>
    </row>
    <row r="7815">
      <c r="A7815">
        <f>IFERROR(INDEX('Email Cleaner'!$B$2:$B$10001,MATCH(7814,'Email Cleaner'!$K$2:$K$10001,0)),"")</f>
        <v/>
      </c>
    </row>
    <row r="7816">
      <c r="A7816">
        <f>IFERROR(INDEX('Email Cleaner'!$B$2:$B$10001,MATCH(7815,'Email Cleaner'!$K$2:$K$10001,0)),"")</f>
        <v/>
      </c>
    </row>
    <row r="7817">
      <c r="A7817">
        <f>IFERROR(INDEX('Email Cleaner'!$B$2:$B$10001,MATCH(7816,'Email Cleaner'!$K$2:$K$10001,0)),"")</f>
        <v/>
      </c>
    </row>
    <row r="7818">
      <c r="A7818">
        <f>IFERROR(INDEX('Email Cleaner'!$B$2:$B$10001,MATCH(7817,'Email Cleaner'!$K$2:$K$10001,0)),"")</f>
        <v/>
      </c>
    </row>
    <row r="7819">
      <c r="A7819">
        <f>IFERROR(INDEX('Email Cleaner'!$B$2:$B$10001,MATCH(7818,'Email Cleaner'!$K$2:$K$10001,0)),"")</f>
        <v/>
      </c>
    </row>
    <row r="7820">
      <c r="A7820">
        <f>IFERROR(INDEX('Email Cleaner'!$B$2:$B$10001,MATCH(7819,'Email Cleaner'!$K$2:$K$10001,0)),"")</f>
        <v/>
      </c>
    </row>
    <row r="7821">
      <c r="A7821">
        <f>IFERROR(INDEX('Email Cleaner'!$B$2:$B$10001,MATCH(7820,'Email Cleaner'!$K$2:$K$10001,0)),"")</f>
        <v/>
      </c>
    </row>
    <row r="7822">
      <c r="A7822">
        <f>IFERROR(INDEX('Email Cleaner'!$B$2:$B$10001,MATCH(7821,'Email Cleaner'!$K$2:$K$10001,0)),"")</f>
        <v/>
      </c>
    </row>
    <row r="7823">
      <c r="A7823">
        <f>IFERROR(INDEX('Email Cleaner'!$B$2:$B$10001,MATCH(7822,'Email Cleaner'!$K$2:$K$10001,0)),"")</f>
        <v/>
      </c>
    </row>
    <row r="7824">
      <c r="A7824">
        <f>IFERROR(INDEX('Email Cleaner'!$B$2:$B$10001,MATCH(7823,'Email Cleaner'!$K$2:$K$10001,0)),"")</f>
        <v/>
      </c>
    </row>
    <row r="7825">
      <c r="A7825">
        <f>IFERROR(INDEX('Email Cleaner'!$B$2:$B$10001,MATCH(7824,'Email Cleaner'!$K$2:$K$10001,0)),"")</f>
        <v/>
      </c>
    </row>
    <row r="7826">
      <c r="A7826">
        <f>IFERROR(INDEX('Email Cleaner'!$B$2:$B$10001,MATCH(7825,'Email Cleaner'!$K$2:$K$10001,0)),"")</f>
        <v/>
      </c>
    </row>
    <row r="7827">
      <c r="A7827">
        <f>IFERROR(INDEX('Email Cleaner'!$B$2:$B$10001,MATCH(7826,'Email Cleaner'!$K$2:$K$10001,0)),"")</f>
        <v/>
      </c>
    </row>
    <row r="7828">
      <c r="A7828">
        <f>IFERROR(INDEX('Email Cleaner'!$B$2:$B$10001,MATCH(7827,'Email Cleaner'!$K$2:$K$10001,0)),"")</f>
        <v/>
      </c>
    </row>
    <row r="7829">
      <c r="A7829">
        <f>IFERROR(INDEX('Email Cleaner'!$B$2:$B$10001,MATCH(7828,'Email Cleaner'!$K$2:$K$10001,0)),"")</f>
        <v/>
      </c>
    </row>
    <row r="7830">
      <c r="A7830">
        <f>IFERROR(INDEX('Email Cleaner'!$B$2:$B$10001,MATCH(7829,'Email Cleaner'!$K$2:$K$10001,0)),"")</f>
        <v/>
      </c>
    </row>
    <row r="7831">
      <c r="A7831">
        <f>IFERROR(INDEX('Email Cleaner'!$B$2:$B$10001,MATCH(7830,'Email Cleaner'!$K$2:$K$10001,0)),"")</f>
        <v/>
      </c>
    </row>
    <row r="7832">
      <c r="A7832">
        <f>IFERROR(INDEX('Email Cleaner'!$B$2:$B$10001,MATCH(7831,'Email Cleaner'!$K$2:$K$10001,0)),"")</f>
        <v/>
      </c>
    </row>
    <row r="7833">
      <c r="A7833">
        <f>IFERROR(INDEX('Email Cleaner'!$B$2:$B$10001,MATCH(7832,'Email Cleaner'!$K$2:$K$10001,0)),"")</f>
        <v/>
      </c>
    </row>
    <row r="7834">
      <c r="A7834">
        <f>IFERROR(INDEX('Email Cleaner'!$B$2:$B$10001,MATCH(7833,'Email Cleaner'!$K$2:$K$10001,0)),"")</f>
        <v/>
      </c>
    </row>
    <row r="7835">
      <c r="A7835">
        <f>IFERROR(INDEX('Email Cleaner'!$B$2:$B$10001,MATCH(7834,'Email Cleaner'!$K$2:$K$10001,0)),"")</f>
        <v/>
      </c>
    </row>
    <row r="7836">
      <c r="A7836">
        <f>IFERROR(INDEX('Email Cleaner'!$B$2:$B$10001,MATCH(7835,'Email Cleaner'!$K$2:$K$10001,0)),"")</f>
        <v/>
      </c>
    </row>
    <row r="7837">
      <c r="A7837">
        <f>IFERROR(INDEX('Email Cleaner'!$B$2:$B$10001,MATCH(7836,'Email Cleaner'!$K$2:$K$10001,0)),"")</f>
        <v/>
      </c>
    </row>
    <row r="7838">
      <c r="A7838">
        <f>IFERROR(INDEX('Email Cleaner'!$B$2:$B$10001,MATCH(7837,'Email Cleaner'!$K$2:$K$10001,0)),"")</f>
        <v/>
      </c>
    </row>
    <row r="7839">
      <c r="A7839">
        <f>IFERROR(INDEX('Email Cleaner'!$B$2:$B$10001,MATCH(7838,'Email Cleaner'!$K$2:$K$10001,0)),"")</f>
        <v/>
      </c>
    </row>
    <row r="7840">
      <c r="A7840">
        <f>IFERROR(INDEX('Email Cleaner'!$B$2:$B$10001,MATCH(7839,'Email Cleaner'!$K$2:$K$10001,0)),"")</f>
        <v/>
      </c>
    </row>
    <row r="7841">
      <c r="A7841">
        <f>IFERROR(INDEX('Email Cleaner'!$B$2:$B$10001,MATCH(7840,'Email Cleaner'!$K$2:$K$10001,0)),"")</f>
        <v/>
      </c>
    </row>
    <row r="7842">
      <c r="A7842">
        <f>IFERROR(INDEX('Email Cleaner'!$B$2:$B$10001,MATCH(7841,'Email Cleaner'!$K$2:$K$10001,0)),"")</f>
        <v/>
      </c>
    </row>
    <row r="7843">
      <c r="A7843">
        <f>IFERROR(INDEX('Email Cleaner'!$B$2:$B$10001,MATCH(7842,'Email Cleaner'!$K$2:$K$10001,0)),"")</f>
        <v/>
      </c>
    </row>
    <row r="7844">
      <c r="A7844">
        <f>IFERROR(INDEX('Email Cleaner'!$B$2:$B$10001,MATCH(7843,'Email Cleaner'!$K$2:$K$10001,0)),"")</f>
        <v/>
      </c>
    </row>
    <row r="7845">
      <c r="A7845">
        <f>IFERROR(INDEX('Email Cleaner'!$B$2:$B$10001,MATCH(7844,'Email Cleaner'!$K$2:$K$10001,0)),"")</f>
        <v/>
      </c>
    </row>
    <row r="7846">
      <c r="A7846">
        <f>IFERROR(INDEX('Email Cleaner'!$B$2:$B$10001,MATCH(7845,'Email Cleaner'!$K$2:$K$10001,0)),"")</f>
        <v/>
      </c>
    </row>
    <row r="7847">
      <c r="A7847">
        <f>IFERROR(INDEX('Email Cleaner'!$B$2:$B$10001,MATCH(7846,'Email Cleaner'!$K$2:$K$10001,0)),"")</f>
        <v/>
      </c>
    </row>
    <row r="7848">
      <c r="A7848">
        <f>IFERROR(INDEX('Email Cleaner'!$B$2:$B$10001,MATCH(7847,'Email Cleaner'!$K$2:$K$10001,0)),"")</f>
        <v/>
      </c>
    </row>
    <row r="7849">
      <c r="A7849">
        <f>IFERROR(INDEX('Email Cleaner'!$B$2:$B$10001,MATCH(7848,'Email Cleaner'!$K$2:$K$10001,0)),"")</f>
        <v/>
      </c>
    </row>
    <row r="7850">
      <c r="A7850">
        <f>IFERROR(INDEX('Email Cleaner'!$B$2:$B$10001,MATCH(7849,'Email Cleaner'!$K$2:$K$10001,0)),"")</f>
        <v/>
      </c>
    </row>
    <row r="7851">
      <c r="A7851">
        <f>IFERROR(INDEX('Email Cleaner'!$B$2:$B$10001,MATCH(7850,'Email Cleaner'!$K$2:$K$10001,0)),"")</f>
        <v/>
      </c>
    </row>
    <row r="7852">
      <c r="A7852">
        <f>IFERROR(INDEX('Email Cleaner'!$B$2:$B$10001,MATCH(7851,'Email Cleaner'!$K$2:$K$10001,0)),"")</f>
        <v/>
      </c>
    </row>
    <row r="7853">
      <c r="A7853">
        <f>IFERROR(INDEX('Email Cleaner'!$B$2:$B$10001,MATCH(7852,'Email Cleaner'!$K$2:$K$10001,0)),"")</f>
        <v/>
      </c>
    </row>
    <row r="7854">
      <c r="A7854">
        <f>IFERROR(INDEX('Email Cleaner'!$B$2:$B$10001,MATCH(7853,'Email Cleaner'!$K$2:$K$10001,0)),"")</f>
        <v/>
      </c>
    </row>
    <row r="7855">
      <c r="A7855">
        <f>IFERROR(INDEX('Email Cleaner'!$B$2:$B$10001,MATCH(7854,'Email Cleaner'!$K$2:$K$10001,0)),"")</f>
        <v/>
      </c>
    </row>
    <row r="7856">
      <c r="A7856">
        <f>IFERROR(INDEX('Email Cleaner'!$B$2:$B$10001,MATCH(7855,'Email Cleaner'!$K$2:$K$10001,0)),"")</f>
        <v/>
      </c>
    </row>
    <row r="7857">
      <c r="A7857">
        <f>IFERROR(INDEX('Email Cleaner'!$B$2:$B$10001,MATCH(7856,'Email Cleaner'!$K$2:$K$10001,0)),"")</f>
        <v/>
      </c>
    </row>
    <row r="7858">
      <c r="A7858">
        <f>IFERROR(INDEX('Email Cleaner'!$B$2:$B$10001,MATCH(7857,'Email Cleaner'!$K$2:$K$10001,0)),"")</f>
        <v/>
      </c>
    </row>
    <row r="7859">
      <c r="A7859">
        <f>IFERROR(INDEX('Email Cleaner'!$B$2:$B$10001,MATCH(7858,'Email Cleaner'!$K$2:$K$10001,0)),"")</f>
        <v/>
      </c>
    </row>
    <row r="7860">
      <c r="A7860">
        <f>IFERROR(INDEX('Email Cleaner'!$B$2:$B$10001,MATCH(7859,'Email Cleaner'!$K$2:$K$10001,0)),"")</f>
        <v/>
      </c>
    </row>
    <row r="7861">
      <c r="A7861">
        <f>IFERROR(INDEX('Email Cleaner'!$B$2:$B$10001,MATCH(7860,'Email Cleaner'!$K$2:$K$10001,0)),"")</f>
        <v/>
      </c>
    </row>
    <row r="7862">
      <c r="A7862">
        <f>IFERROR(INDEX('Email Cleaner'!$B$2:$B$10001,MATCH(7861,'Email Cleaner'!$K$2:$K$10001,0)),"")</f>
        <v/>
      </c>
    </row>
    <row r="7863">
      <c r="A7863">
        <f>IFERROR(INDEX('Email Cleaner'!$B$2:$B$10001,MATCH(7862,'Email Cleaner'!$K$2:$K$10001,0)),"")</f>
        <v/>
      </c>
    </row>
    <row r="7864">
      <c r="A7864">
        <f>IFERROR(INDEX('Email Cleaner'!$B$2:$B$10001,MATCH(7863,'Email Cleaner'!$K$2:$K$10001,0)),"")</f>
        <v/>
      </c>
    </row>
    <row r="7865">
      <c r="A7865">
        <f>IFERROR(INDEX('Email Cleaner'!$B$2:$B$10001,MATCH(7864,'Email Cleaner'!$K$2:$K$10001,0)),"")</f>
        <v/>
      </c>
    </row>
    <row r="7866">
      <c r="A7866">
        <f>IFERROR(INDEX('Email Cleaner'!$B$2:$B$10001,MATCH(7865,'Email Cleaner'!$K$2:$K$10001,0)),"")</f>
        <v/>
      </c>
    </row>
    <row r="7867">
      <c r="A7867">
        <f>IFERROR(INDEX('Email Cleaner'!$B$2:$B$10001,MATCH(7866,'Email Cleaner'!$K$2:$K$10001,0)),"")</f>
        <v/>
      </c>
    </row>
    <row r="7868">
      <c r="A7868">
        <f>IFERROR(INDEX('Email Cleaner'!$B$2:$B$10001,MATCH(7867,'Email Cleaner'!$K$2:$K$10001,0)),"")</f>
        <v/>
      </c>
    </row>
    <row r="7869">
      <c r="A7869">
        <f>IFERROR(INDEX('Email Cleaner'!$B$2:$B$10001,MATCH(7868,'Email Cleaner'!$K$2:$K$10001,0)),"")</f>
        <v/>
      </c>
    </row>
    <row r="7870">
      <c r="A7870">
        <f>IFERROR(INDEX('Email Cleaner'!$B$2:$B$10001,MATCH(7869,'Email Cleaner'!$K$2:$K$10001,0)),"")</f>
        <v/>
      </c>
    </row>
    <row r="7871">
      <c r="A7871">
        <f>IFERROR(INDEX('Email Cleaner'!$B$2:$B$10001,MATCH(7870,'Email Cleaner'!$K$2:$K$10001,0)),"")</f>
        <v/>
      </c>
    </row>
    <row r="7872">
      <c r="A7872">
        <f>IFERROR(INDEX('Email Cleaner'!$B$2:$B$10001,MATCH(7871,'Email Cleaner'!$K$2:$K$10001,0)),"")</f>
        <v/>
      </c>
    </row>
    <row r="7873">
      <c r="A7873">
        <f>IFERROR(INDEX('Email Cleaner'!$B$2:$B$10001,MATCH(7872,'Email Cleaner'!$K$2:$K$10001,0)),"")</f>
        <v/>
      </c>
    </row>
    <row r="7874">
      <c r="A7874">
        <f>IFERROR(INDEX('Email Cleaner'!$B$2:$B$10001,MATCH(7873,'Email Cleaner'!$K$2:$K$10001,0)),"")</f>
        <v/>
      </c>
    </row>
    <row r="7875">
      <c r="A7875">
        <f>IFERROR(INDEX('Email Cleaner'!$B$2:$B$10001,MATCH(7874,'Email Cleaner'!$K$2:$K$10001,0)),"")</f>
        <v/>
      </c>
    </row>
    <row r="7876">
      <c r="A7876">
        <f>IFERROR(INDEX('Email Cleaner'!$B$2:$B$10001,MATCH(7875,'Email Cleaner'!$K$2:$K$10001,0)),"")</f>
        <v/>
      </c>
    </row>
    <row r="7877">
      <c r="A7877">
        <f>IFERROR(INDEX('Email Cleaner'!$B$2:$B$10001,MATCH(7876,'Email Cleaner'!$K$2:$K$10001,0)),"")</f>
        <v/>
      </c>
    </row>
    <row r="7878">
      <c r="A7878">
        <f>IFERROR(INDEX('Email Cleaner'!$B$2:$B$10001,MATCH(7877,'Email Cleaner'!$K$2:$K$10001,0)),"")</f>
        <v/>
      </c>
    </row>
    <row r="7879">
      <c r="A7879">
        <f>IFERROR(INDEX('Email Cleaner'!$B$2:$B$10001,MATCH(7878,'Email Cleaner'!$K$2:$K$10001,0)),"")</f>
        <v/>
      </c>
    </row>
    <row r="7880">
      <c r="A7880">
        <f>IFERROR(INDEX('Email Cleaner'!$B$2:$B$10001,MATCH(7879,'Email Cleaner'!$K$2:$K$10001,0)),"")</f>
        <v/>
      </c>
    </row>
    <row r="7881">
      <c r="A7881">
        <f>IFERROR(INDEX('Email Cleaner'!$B$2:$B$10001,MATCH(7880,'Email Cleaner'!$K$2:$K$10001,0)),"")</f>
        <v/>
      </c>
    </row>
    <row r="7882">
      <c r="A7882">
        <f>IFERROR(INDEX('Email Cleaner'!$B$2:$B$10001,MATCH(7881,'Email Cleaner'!$K$2:$K$10001,0)),"")</f>
        <v/>
      </c>
    </row>
    <row r="7883">
      <c r="A7883">
        <f>IFERROR(INDEX('Email Cleaner'!$B$2:$B$10001,MATCH(7882,'Email Cleaner'!$K$2:$K$10001,0)),"")</f>
        <v/>
      </c>
    </row>
    <row r="7884">
      <c r="A7884">
        <f>IFERROR(INDEX('Email Cleaner'!$B$2:$B$10001,MATCH(7883,'Email Cleaner'!$K$2:$K$10001,0)),"")</f>
        <v/>
      </c>
    </row>
    <row r="7885">
      <c r="A7885">
        <f>IFERROR(INDEX('Email Cleaner'!$B$2:$B$10001,MATCH(7884,'Email Cleaner'!$K$2:$K$10001,0)),"")</f>
        <v/>
      </c>
    </row>
    <row r="7886">
      <c r="A7886">
        <f>IFERROR(INDEX('Email Cleaner'!$B$2:$B$10001,MATCH(7885,'Email Cleaner'!$K$2:$K$10001,0)),"")</f>
        <v/>
      </c>
    </row>
    <row r="7887">
      <c r="A7887">
        <f>IFERROR(INDEX('Email Cleaner'!$B$2:$B$10001,MATCH(7886,'Email Cleaner'!$K$2:$K$10001,0)),"")</f>
        <v/>
      </c>
    </row>
    <row r="7888">
      <c r="A7888">
        <f>IFERROR(INDEX('Email Cleaner'!$B$2:$B$10001,MATCH(7887,'Email Cleaner'!$K$2:$K$10001,0)),"")</f>
        <v/>
      </c>
    </row>
    <row r="7889">
      <c r="A7889">
        <f>IFERROR(INDEX('Email Cleaner'!$B$2:$B$10001,MATCH(7888,'Email Cleaner'!$K$2:$K$10001,0)),"")</f>
        <v/>
      </c>
    </row>
    <row r="7890">
      <c r="A7890">
        <f>IFERROR(INDEX('Email Cleaner'!$B$2:$B$10001,MATCH(7889,'Email Cleaner'!$K$2:$K$10001,0)),"")</f>
        <v/>
      </c>
    </row>
    <row r="7891">
      <c r="A7891">
        <f>IFERROR(INDEX('Email Cleaner'!$B$2:$B$10001,MATCH(7890,'Email Cleaner'!$K$2:$K$10001,0)),"")</f>
        <v/>
      </c>
    </row>
    <row r="7892">
      <c r="A7892">
        <f>IFERROR(INDEX('Email Cleaner'!$B$2:$B$10001,MATCH(7891,'Email Cleaner'!$K$2:$K$10001,0)),"")</f>
        <v/>
      </c>
    </row>
    <row r="7893">
      <c r="A7893">
        <f>IFERROR(INDEX('Email Cleaner'!$B$2:$B$10001,MATCH(7892,'Email Cleaner'!$K$2:$K$10001,0)),"")</f>
        <v/>
      </c>
    </row>
    <row r="7894">
      <c r="A7894">
        <f>IFERROR(INDEX('Email Cleaner'!$B$2:$B$10001,MATCH(7893,'Email Cleaner'!$K$2:$K$10001,0)),"")</f>
        <v/>
      </c>
    </row>
    <row r="7895">
      <c r="A7895">
        <f>IFERROR(INDEX('Email Cleaner'!$B$2:$B$10001,MATCH(7894,'Email Cleaner'!$K$2:$K$10001,0)),"")</f>
        <v/>
      </c>
    </row>
    <row r="7896">
      <c r="A7896">
        <f>IFERROR(INDEX('Email Cleaner'!$B$2:$B$10001,MATCH(7895,'Email Cleaner'!$K$2:$K$10001,0)),"")</f>
        <v/>
      </c>
    </row>
    <row r="7897">
      <c r="A7897">
        <f>IFERROR(INDEX('Email Cleaner'!$B$2:$B$10001,MATCH(7896,'Email Cleaner'!$K$2:$K$10001,0)),"")</f>
        <v/>
      </c>
    </row>
    <row r="7898">
      <c r="A7898">
        <f>IFERROR(INDEX('Email Cleaner'!$B$2:$B$10001,MATCH(7897,'Email Cleaner'!$K$2:$K$10001,0)),"")</f>
        <v/>
      </c>
    </row>
    <row r="7899">
      <c r="A7899">
        <f>IFERROR(INDEX('Email Cleaner'!$B$2:$B$10001,MATCH(7898,'Email Cleaner'!$K$2:$K$10001,0)),"")</f>
        <v/>
      </c>
    </row>
    <row r="7900">
      <c r="A7900">
        <f>IFERROR(INDEX('Email Cleaner'!$B$2:$B$10001,MATCH(7899,'Email Cleaner'!$K$2:$K$10001,0)),"")</f>
        <v/>
      </c>
    </row>
    <row r="7901">
      <c r="A7901">
        <f>IFERROR(INDEX('Email Cleaner'!$B$2:$B$10001,MATCH(7900,'Email Cleaner'!$K$2:$K$10001,0)),"")</f>
        <v/>
      </c>
    </row>
    <row r="7902">
      <c r="A7902">
        <f>IFERROR(INDEX('Email Cleaner'!$B$2:$B$10001,MATCH(7901,'Email Cleaner'!$K$2:$K$10001,0)),"")</f>
        <v/>
      </c>
    </row>
    <row r="7903">
      <c r="A7903">
        <f>IFERROR(INDEX('Email Cleaner'!$B$2:$B$10001,MATCH(7902,'Email Cleaner'!$K$2:$K$10001,0)),"")</f>
        <v/>
      </c>
    </row>
    <row r="7904">
      <c r="A7904">
        <f>IFERROR(INDEX('Email Cleaner'!$B$2:$B$10001,MATCH(7903,'Email Cleaner'!$K$2:$K$10001,0)),"")</f>
        <v/>
      </c>
    </row>
    <row r="7905">
      <c r="A7905">
        <f>IFERROR(INDEX('Email Cleaner'!$B$2:$B$10001,MATCH(7904,'Email Cleaner'!$K$2:$K$10001,0)),"")</f>
        <v/>
      </c>
    </row>
    <row r="7906">
      <c r="A7906">
        <f>IFERROR(INDEX('Email Cleaner'!$B$2:$B$10001,MATCH(7905,'Email Cleaner'!$K$2:$K$10001,0)),"")</f>
        <v/>
      </c>
    </row>
    <row r="7907">
      <c r="A7907">
        <f>IFERROR(INDEX('Email Cleaner'!$B$2:$B$10001,MATCH(7906,'Email Cleaner'!$K$2:$K$10001,0)),"")</f>
        <v/>
      </c>
    </row>
    <row r="7908">
      <c r="A7908">
        <f>IFERROR(INDEX('Email Cleaner'!$B$2:$B$10001,MATCH(7907,'Email Cleaner'!$K$2:$K$10001,0)),"")</f>
        <v/>
      </c>
    </row>
    <row r="7909">
      <c r="A7909">
        <f>IFERROR(INDEX('Email Cleaner'!$B$2:$B$10001,MATCH(7908,'Email Cleaner'!$K$2:$K$10001,0)),"")</f>
        <v/>
      </c>
    </row>
    <row r="7910">
      <c r="A7910">
        <f>IFERROR(INDEX('Email Cleaner'!$B$2:$B$10001,MATCH(7909,'Email Cleaner'!$K$2:$K$10001,0)),"")</f>
        <v/>
      </c>
    </row>
    <row r="7911">
      <c r="A7911">
        <f>IFERROR(INDEX('Email Cleaner'!$B$2:$B$10001,MATCH(7910,'Email Cleaner'!$K$2:$K$10001,0)),"")</f>
        <v/>
      </c>
    </row>
    <row r="7912">
      <c r="A7912">
        <f>IFERROR(INDEX('Email Cleaner'!$B$2:$B$10001,MATCH(7911,'Email Cleaner'!$K$2:$K$10001,0)),"")</f>
        <v/>
      </c>
    </row>
    <row r="7913">
      <c r="A7913">
        <f>IFERROR(INDEX('Email Cleaner'!$B$2:$B$10001,MATCH(7912,'Email Cleaner'!$K$2:$K$10001,0)),"")</f>
        <v/>
      </c>
    </row>
    <row r="7914">
      <c r="A7914">
        <f>IFERROR(INDEX('Email Cleaner'!$B$2:$B$10001,MATCH(7913,'Email Cleaner'!$K$2:$K$10001,0)),"")</f>
        <v/>
      </c>
    </row>
    <row r="7915">
      <c r="A7915">
        <f>IFERROR(INDEX('Email Cleaner'!$B$2:$B$10001,MATCH(7914,'Email Cleaner'!$K$2:$K$10001,0)),"")</f>
        <v/>
      </c>
    </row>
    <row r="7916">
      <c r="A7916">
        <f>IFERROR(INDEX('Email Cleaner'!$B$2:$B$10001,MATCH(7915,'Email Cleaner'!$K$2:$K$10001,0)),"")</f>
        <v/>
      </c>
    </row>
    <row r="7917">
      <c r="A7917">
        <f>IFERROR(INDEX('Email Cleaner'!$B$2:$B$10001,MATCH(7916,'Email Cleaner'!$K$2:$K$10001,0)),"")</f>
        <v/>
      </c>
    </row>
    <row r="7918">
      <c r="A7918">
        <f>IFERROR(INDEX('Email Cleaner'!$B$2:$B$10001,MATCH(7917,'Email Cleaner'!$K$2:$K$10001,0)),"")</f>
        <v/>
      </c>
    </row>
    <row r="7919">
      <c r="A7919">
        <f>IFERROR(INDEX('Email Cleaner'!$B$2:$B$10001,MATCH(7918,'Email Cleaner'!$K$2:$K$10001,0)),"")</f>
        <v/>
      </c>
    </row>
    <row r="7920">
      <c r="A7920">
        <f>IFERROR(INDEX('Email Cleaner'!$B$2:$B$10001,MATCH(7919,'Email Cleaner'!$K$2:$K$10001,0)),"")</f>
        <v/>
      </c>
    </row>
    <row r="7921">
      <c r="A7921">
        <f>IFERROR(INDEX('Email Cleaner'!$B$2:$B$10001,MATCH(7920,'Email Cleaner'!$K$2:$K$10001,0)),"")</f>
        <v/>
      </c>
    </row>
    <row r="7922">
      <c r="A7922">
        <f>IFERROR(INDEX('Email Cleaner'!$B$2:$B$10001,MATCH(7921,'Email Cleaner'!$K$2:$K$10001,0)),"")</f>
        <v/>
      </c>
    </row>
    <row r="7923">
      <c r="A7923">
        <f>IFERROR(INDEX('Email Cleaner'!$B$2:$B$10001,MATCH(7922,'Email Cleaner'!$K$2:$K$10001,0)),"")</f>
        <v/>
      </c>
    </row>
    <row r="7924">
      <c r="A7924">
        <f>IFERROR(INDEX('Email Cleaner'!$B$2:$B$10001,MATCH(7923,'Email Cleaner'!$K$2:$K$10001,0)),"")</f>
        <v/>
      </c>
    </row>
    <row r="7925">
      <c r="A7925">
        <f>IFERROR(INDEX('Email Cleaner'!$B$2:$B$10001,MATCH(7924,'Email Cleaner'!$K$2:$K$10001,0)),"")</f>
        <v/>
      </c>
    </row>
    <row r="7926">
      <c r="A7926">
        <f>IFERROR(INDEX('Email Cleaner'!$B$2:$B$10001,MATCH(7925,'Email Cleaner'!$K$2:$K$10001,0)),"")</f>
        <v/>
      </c>
    </row>
    <row r="7927">
      <c r="A7927">
        <f>IFERROR(INDEX('Email Cleaner'!$B$2:$B$10001,MATCH(7926,'Email Cleaner'!$K$2:$K$10001,0)),"")</f>
        <v/>
      </c>
    </row>
    <row r="7928">
      <c r="A7928">
        <f>IFERROR(INDEX('Email Cleaner'!$B$2:$B$10001,MATCH(7927,'Email Cleaner'!$K$2:$K$10001,0)),"")</f>
        <v/>
      </c>
    </row>
    <row r="7929">
      <c r="A7929">
        <f>IFERROR(INDEX('Email Cleaner'!$B$2:$B$10001,MATCH(7928,'Email Cleaner'!$K$2:$K$10001,0)),"")</f>
        <v/>
      </c>
    </row>
    <row r="7930">
      <c r="A7930">
        <f>IFERROR(INDEX('Email Cleaner'!$B$2:$B$10001,MATCH(7929,'Email Cleaner'!$K$2:$K$10001,0)),"")</f>
        <v/>
      </c>
    </row>
    <row r="7931">
      <c r="A7931">
        <f>IFERROR(INDEX('Email Cleaner'!$B$2:$B$10001,MATCH(7930,'Email Cleaner'!$K$2:$K$10001,0)),"")</f>
        <v/>
      </c>
    </row>
    <row r="7932">
      <c r="A7932">
        <f>IFERROR(INDEX('Email Cleaner'!$B$2:$B$10001,MATCH(7931,'Email Cleaner'!$K$2:$K$10001,0)),"")</f>
        <v/>
      </c>
    </row>
    <row r="7933">
      <c r="A7933">
        <f>IFERROR(INDEX('Email Cleaner'!$B$2:$B$10001,MATCH(7932,'Email Cleaner'!$K$2:$K$10001,0)),"")</f>
        <v/>
      </c>
    </row>
    <row r="7934">
      <c r="A7934">
        <f>IFERROR(INDEX('Email Cleaner'!$B$2:$B$10001,MATCH(7933,'Email Cleaner'!$K$2:$K$10001,0)),"")</f>
        <v/>
      </c>
    </row>
    <row r="7935">
      <c r="A7935">
        <f>IFERROR(INDEX('Email Cleaner'!$B$2:$B$10001,MATCH(7934,'Email Cleaner'!$K$2:$K$10001,0)),"")</f>
        <v/>
      </c>
    </row>
    <row r="7936">
      <c r="A7936">
        <f>IFERROR(INDEX('Email Cleaner'!$B$2:$B$10001,MATCH(7935,'Email Cleaner'!$K$2:$K$10001,0)),"")</f>
        <v/>
      </c>
    </row>
    <row r="7937">
      <c r="A7937">
        <f>IFERROR(INDEX('Email Cleaner'!$B$2:$B$10001,MATCH(7936,'Email Cleaner'!$K$2:$K$10001,0)),"")</f>
        <v/>
      </c>
    </row>
    <row r="7938">
      <c r="A7938">
        <f>IFERROR(INDEX('Email Cleaner'!$B$2:$B$10001,MATCH(7937,'Email Cleaner'!$K$2:$K$10001,0)),"")</f>
        <v/>
      </c>
    </row>
    <row r="7939">
      <c r="A7939">
        <f>IFERROR(INDEX('Email Cleaner'!$B$2:$B$10001,MATCH(7938,'Email Cleaner'!$K$2:$K$10001,0)),"")</f>
        <v/>
      </c>
    </row>
    <row r="7940">
      <c r="A7940">
        <f>IFERROR(INDEX('Email Cleaner'!$B$2:$B$10001,MATCH(7939,'Email Cleaner'!$K$2:$K$10001,0)),"")</f>
        <v/>
      </c>
    </row>
    <row r="7941">
      <c r="A7941">
        <f>IFERROR(INDEX('Email Cleaner'!$B$2:$B$10001,MATCH(7940,'Email Cleaner'!$K$2:$K$10001,0)),"")</f>
        <v/>
      </c>
    </row>
    <row r="7942">
      <c r="A7942">
        <f>IFERROR(INDEX('Email Cleaner'!$B$2:$B$10001,MATCH(7941,'Email Cleaner'!$K$2:$K$10001,0)),"")</f>
        <v/>
      </c>
    </row>
    <row r="7943">
      <c r="A7943">
        <f>IFERROR(INDEX('Email Cleaner'!$B$2:$B$10001,MATCH(7942,'Email Cleaner'!$K$2:$K$10001,0)),"")</f>
        <v/>
      </c>
    </row>
    <row r="7944">
      <c r="A7944">
        <f>IFERROR(INDEX('Email Cleaner'!$B$2:$B$10001,MATCH(7943,'Email Cleaner'!$K$2:$K$10001,0)),"")</f>
        <v/>
      </c>
    </row>
    <row r="7945">
      <c r="A7945">
        <f>IFERROR(INDEX('Email Cleaner'!$B$2:$B$10001,MATCH(7944,'Email Cleaner'!$K$2:$K$10001,0)),"")</f>
        <v/>
      </c>
    </row>
    <row r="7946">
      <c r="A7946">
        <f>IFERROR(INDEX('Email Cleaner'!$B$2:$B$10001,MATCH(7945,'Email Cleaner'!$K$2:$K$10001,0)),"")</f>
        <v/>
      </c>
    </row>
    <row r="7947">
      <c r="A7947">
        <f>IFERROR(INDEX('Email Cleaner'!$B$2:$B$10001,MATCH(7946,'Email Cleaner'!$K$2:$K$10001,0)),"")</f>
        <v/>
      </c>
    </row>
    <row r="7948">
      <c r="A7948">
        <f>IFERROR(INDEX('Email Cleaner'!$B$2:$B$10001,MATCH(7947,'Email Cleaner'!$K$2:$K$10001,0)),"")</f>
        <v/>
      </c>
    </row>
    <row r="7949">
      <c r="A7949">
        <f>IFERROR(INDEX('Email Cleaner'!$B$2:$B$10001,MATCH(7948,'Email Cleaner'!$K$2:$K$10001,0)),"")</f>
        <v/>
      </c>
    </row>
    <row r="7950">
      <c r="A7950">
        <f>IFERROR(INDEX('Email Cleaner'!$B$2:$B$10001,MATCH(7949,'Email Cleaner'!$K$2:$K$10001,0)),"")</f>
        <v/>
      </c>
    </row>
    <row r="7951">
      <c r="A7951">
        <f>IFERROR(INDEX('Email Cleaner'!$B$2:$B$10001,MATCH(7950,'Email Cleaner'!$K$2:$K$10001,0)),"")</f>
        <v/>
      </c>
    </row>
    <row r="7952">
      <c r="A7952">
        <f>IFERROR(INDEX('Email Cleaner'!$B$2:$B$10001,MATCH(7951,'Email Cleaner'!$K$2:$K$10001,0)),"")</f>
        <v/>
      </c>
    </row>
    <row r="7953">
      <c r="A7953">
        <f>IFERROR(INDEX('Email Cleaner'!$B$2:$B$10001,MATCH(7952,'Email Cleaner'!$K$2:$K$10001,0)),"")</f>
        <v/>
      </c>
    </row>
    <row r="7954">
      <c r="A7954">
        <f>IFERROR(INDEX('Email Cleaner'!$B$2:$B$10001,MATCH(7953,'Email Cleaner'!$K$2:$K$10001,0)),"")</f>
        <v/>
      </c>
    </row>
    <row r="7955">
      <c r="A7955">
        <f>IFERROR(INDEX('Email Cleaner'!$B$2:$B$10001,MATCH(7954,'Email Cleaner'!$K$2:$K$10001,0)),"")</f>
        <v/>
      </c>
    </row>
    <row r="7956">
      <c r="A7956">
        <f>IFERROR(INDEX('Email Cleaner'!$B$2:$B$10001,MATCH(7955,'Email Cleaner'!$K$2:$K$10001,0)),"")</f>
        <v/>
      </c>
    </row>
    <row r="7957">
      <c r="A7957">
        <f>IFERROR(INDEX('Email Cleaner'!$B$2:$B$10001,MATCH(7956,'Email Cleaner'!$K$2:$K$10001,0)),"")</f>
        <v/>
      </c>
    </row>
    <row r="7958">
      <c r="A7958">
        <f>IFERROR(INDEX('Email Cleaner'!$B$2:$B$10001,MATCH(7957,'Email Cleaner'!$K$2:$K$10001,0)),"")</f>
        <v/>
      </c>
    </row>
    <row r="7959">
      <c r="A7959">
        <f>IFERROR(INDEX('Email Cleaner'!$B$2:$B$10001,MATCH(7958,'Email Cleaner'!$K$2:$K$10001,0)),"")</f>
        <v/>
      </c>
    </row>
    <row r="7960">
      <c r="A7960">
        <f>IFERROR(INDEX('Email Cleaner'!$B$2:$B$10001,MATCH(7959,'Email Cleaner'!$K$2:$K$10001,0)),"")</f>
        <v/>
      </c>
    </row>
    <row r="7961">
      <c r="A7961">
        <f>IFERROR(INDEX('Email Cleaner'!$B$2:$B$10001,MATCH(7960,'Email Cleaner'!$K$2:$K$10001,0)),"")</f>
        <v/>
      </c>
    </row>
    <row r="7962">
      <c r="A7962">
        <f>IFERROR(INDEX('Email Cleaner'!$B$2:$B$10001,MATCH(7961,'Email Cleaner'!$K$2:$K$10001,0)),"")</f>
        <v/>
      </c>
    </row>
    <row r="7963">
      <c r="A7963">
        <f>IFERROR(INDEX('Email Cleaner'!$B$2:$B$10001,MATCH(7962,'Email Cleaner'!$K$2:$K$10001,0)),"")</f>
        <v/>
      </c>
    </row>
    <row r="7964">
      <c r="A7964">
        <f>IFERROR(INDEX('Email Cleaner'!$B$2:$B$10001,MATCH(7963,'Email Cleaner'!$K$2:$K$10001,0)),"")</f>
        <v/>
      </c>
    </row>
    <row r="7965">
      <c r="A7965">
        <f>IFERROR(INDEX('Email Cleaner'!$B$2:$B$10001,MATCH(7964,'Email Cleaner'!$K$2:$K$10001,0)),"")</f>
        <v/>
      </c>
    </row>
    <row r="7966">
      <c r="A7966">
        <f>IFERROR(INDEX('Email Cleaner'!$B$2:$B$10001,MATCH(7965,'Email Cleaner'!$K$2:$K$10001,0)),"")</f>
        <v/>
      </c>
    </row>
    <row r="7967">
      <c r="A7967">
        <f>IFERROR(INDEX('Email Cleaner'!$B$2:$B$10001,MATCH(7966,'Email Cleaner'!$K$2:$K$10001,0)),"")</f>
        <v/>
      </c>
    </row>
    <row r="7968">
      <c r="A7968">
        <f>IFERROR(INDEX('Email Cleaner'!$B$2:$B$10001,MATCH(7967,'Email Cleaner'!$K$2:$K$10001,0)),"")</f>
        <v/>
      </c>
    </row>
    <row r="7969">
      <c r="A7969">
        <f>IFERROR(INDEX('Email Cleaner'!$B$2:$B$10001,MATCH(7968,'Email Cleaner'!$K$2:$K$10001,0)),"")</f>
        <v/>
      </c>
    </row>
    <row r="7970">
      <c r="A7970">
        <f>IFERROR(INDEX('Email Cleaner'!$B$2:$B$10001,MATCH(7969,'Email Cleaner'!$K$2:$K$10001,0)),"")</f>
        <v/>
      </c>
    </row>
    <row r="7971">
      <c r="A7971">
        <f>IFERROR(INDEX('Email Cleaner'!$B$2:$B$10001,MATCH(7970,'Email Cleaner'!$K$2:$K$10001,0)),"")</f>
        <v/>
      </c>
    </row>
    <row r="7972">
      <c r="A7972">
        <f>IFERROR(INDEX('Email Cleaner'!$B$2:$B$10001,MATCH(7971,'Email Cleaner'!$K$2:$K$10001,0)),"")</f>
        <v/>
      </c>
    </row>
    <row r="7973">
      <c r="A7973">
        <f>IFERROR(INDEX('Email Cleaner'!$B$2:$B$10001,MATCH(7972,'Email Cleaner'!$K$2:$K$10001,0)),"")</f>
        <v/>
      </c>
    </row>
    <row r="7974">
      <c r="A7974">
        <f>IFERROR(INDEX('Email Cleaner'!$B$2:$B$10001,MATCH(7973,'Email Cleaner'!$K$2:$K$10001,0)),"")</f>
        <v/>
      </c>
    </row>
    <row r="7975">
      <c r="A7975">
        <f>IFERROR(INDEX('Email Cleaner'!$B$2:$B$10001,MATCH(7974,'Email Cleaner'!$K$2:$K$10001,0)),"")</f>
        <v/>
      </c>
    </row>
    <row r="7976">
      <c r="A7976">
        <f>IFERROR(INDEX('Email Cleaner'!$B$2:$B$10001,MATCH(7975,'Email Cleaner'!$K$2:$K$10001,0)),"")</f>
        <v/>
      </c>
    </row>
    <row r="7977">
      <c r="A7977">
        <f>IFERROR(INDEX('Email Cleaner'!$B$2:$B$10001,MATCH(7976,'Email Cleaner'!$K$2:$K$10001,0)),"")</f>
        <v/>
      </c>
    </row>
    <row r="7978">
      <c r="A7978">
        <f>IFERROR(INDEX('Email Cleaner'!$B$2:$B$10001,MATCH(7977,'Email Cleaner'!$K$2:$K$10001,0)),"")</f>
        <v/>
      </c>
    </row>
    <row r="7979">
      <c r="A7979">
        <f>IFERROR(INDEX('Email Cleaner'!$B$2:$B$10001,MATCH(7978,'Email Cleaner'!$K$2:$K$10001,0)),"")</f>
        <v/>
      </c>
    </row>
    <row r="7980">
      <c r="A7980">
        <f>IFERROR(INDEX('Email Cleaner'!$B$2:$B$10001,MATCH(7979,'Email Cleaner'!$K$2:$K$10001,0)),"")</f>
        <v/>
      </c>
    </row>
    <row r="7981">
      <c r="A7981">
        <f>IFERROR(INDEX('Email Cleaner'!$B$2:$B$10001,MATCH(7980,'Email Cleaner'!$K$2:$K$10001,0)),"")</f>
        <v/>
      </c>
    </row>
    <row r="7982">
      <c r="A7982">
        <f>IFERROR(INDEX('Email Cleaner'!$B$2:$B$10001,MATCH(7981,'Email Cleaner'!$K$2:$K$10001,0)),"")</f>
        <v/>
      </c>
    </row>
    <row r="7983">
      <c r="A7983">
        <f>IFERROR(INDEX('Email Cleaner'!$B$2:$B$10001,MATCH(7982,'Email Cleaner'!$K$2:$K$10001,0)),"")</f>
        <v/>
      </c>
    </row>
    <row r="7984">
      <c r="A7984">
        <f>IFERROR(INDEX('Email Cleaner'!$B$2:$B$10001,MATCH(7983,'Email Cleaner'!$K$2:$K$10001,0)),"")</f>
        <v/>
      </c>
    </row>
    <row r="7985">
      <c r="A7985">
        <f>IFERROR(INDEX('Email Cleaner'!$B$2:$B$10001,MATCH(7984,'Email Cleaner'!$K$2:$K$10001,0)),"")</f>
        <v/>
      </c>
    </row>
    <row r="7986">
      <c r="A7986">
        <f>IFERROR(INDEX('Email Cleaner'!$B$2:$B$10001,MATCH(7985,'Email Cleaner'!$K$2:$K$10001,0)),"")</f>
        <v/>
      </c>
    </row>
    <row r="7987">
      <c r="A7987">
        <f>IFERROR(INDEX('Email Cleaner'!$B$2:$B$10001,MATCH(7986,'Email Cleaner'!$K$2:$K$10001,0)),"")</f>
        <v/>
      </c>
    </row>
    <row r="7988">
      <c r="A7988">
        <f>IFERROR(INDEX('Email Cleaner'!$B$2:$B$10001,MATCH(7987,'Email Cleaner'!$K$2:$K$10001,0)),"")</f>
        <v/>
      </c>
    </row>
    <row r="7989">
      <c r="A7989">
        <f>IFERROR(INDEX('Email Cleaner'!$B$2:$B$10001,MATCH(7988,'Email Cleaner'!$K$2:$K$10001,0)),"")</f>
        <v/>
      </c>
    </row>
    <row r="7990">
      <c r="A7990">
        <f>IFERROR(INDEX('Email Cleaner'!$B$2:$B$10001,MATCH(7989,'Email Cleaner'!$K$2:$K$10001,0)),"")</f>
        <v/>
      </c>
    </row>
    <row r="7991">
      <c r="A7991">
        <f>IFERROR(INDEX('Email Cleaner'!$B$2:$B$10001,MATCH(7990,'Email Cleaner'!$K$2:$K$10001,0)),"")</f>
        <v/>
      </c>
    </row>
    <row r="7992">
      <c r="A7992">
        <f>IFERROR(INDEX('Email Cleaner'!$B$2:$B$10001,MATCH(7991,'Email Cleaner'!$K$2:$K$10001,0)),"")</f>
        <v/>
      </c>
    </row>
    <row r="7993">
      <c r="A7993">
        <f>IFERROR(INDEX('Email Cleaner'!$B$2:$B$10001,MATCH(7992,'Email Cleaner'!$K$2:$K$10001,0)),"")</f>
        <v/>
      </c>
    </row>
    <row r="7994">
      <c r="A7994">
        <f>IFERROR(INDEX('Email Cleaner'!$B$2:$B$10001,MATCH(7993,'Email Cleaner'!$K$2:$K$10001,0)),"")</f>
        <v/>
      </c>
    </row>
    <row r="7995">
      <c r="A7995">
        <f>IFERROR(INDEX('Email Cleaner'!$B$2:$B$10001,MATCH(7994,'Email Cleaner'!$K$2:$K$10001,0)),"")</f>
        <v/>
      </c>
    </row>
    <row r="7996">
      <c r="A7996">
        <f>IFERROR(INDEX('Email Cleaner'!$B$2:$B$10001,MATCH(7995,'Email Cleaner'!$K$2:$K$10001,0)),"")</f>
        <v/>
      </c>
    </row>
    <row r="7997">
      <c r="A7997">
        <f>IFERROR(INDEX('Email Cleaner'!$B$2:$B$10001,MATCH(7996,'Email Cleaner'!$K$2:$K$10001,0)),"")</f>
        <v/>
      </c>
    </row>
    <row r="7998">
      <c r="A7998">
        <f>IFERROR(INDEX('Email Cleaner'!$B$2:$B$10001,MATCH(7997,'Email Cleaner'!$K$2:$K$10001,0)),"")</f>
        <v/>
      </c>
    </row>
    <row r="7999">
      <c r="A7999">
        <f>IFERROR(INDEX('Email Cleaner'!$B$2:$B$10001,MATCH(7998,'Email Cleaner'!$K$2:$K$10001,0)),"")</f>
        <v/>
      </c>
    </row>
    <row r="8000">
      <c r="A8000">
        <f>IFERROR(INDEX('Email Cleaner'!$B$2:$B$10001,MATCH(7999,'Email Cleaner'!$K$2:$K$10001,0)),"")</f>
        <v/>
      </c>
    </row>
    <row r="8001">
      <c r="A8001">
        <f>IFERROR(INDEX('Email Cleaner'!$B$2:$B$10001,MATCH(8000,'Email Cleaner'!$K$2:$K$10001,0)),"")</f>
        <v/>
      </c>
    </row>
    <row r="8002">
      <c r="A8002">
        <f>IFERROR(INDEX('Email Cleaner'!$B$2:$B$10001,MATCH(8001,'Email Cleaner'!$K$2:$K$10001,0)),"")</f>
        <v/>
      </c>
    </row>
    <row r="8003">
      <c r="A8003">
        <f>IFERROR(INDEX('Email Cleaner'!$B$2:$B$10001,MATCH(8002,'Email Cleaner'!$K$2:$K$10001,0)),"")</f>
        <v/>
      </c>
    </row>
    <row r="8004">
      <c r="A8004">
        <f>IFERROR(INDEX('Email Cleaner'!$B$2:$B$10001,MATCH(8003,'Email Cleaner'!$K$2:$K$10001,0)),"")</f>
        <v/>
      </c>
    </row>
    <row r="8005">
      <c r="A8005">
        <f>IFERROR(INDEX('Email Cleaner'!$B$2:$B$10001,MATCH(8004,'Email Cleaner'!$K$2:$K$10001,0)),"")</f>
        <v/>
      </c>
    </row>
    <row r="8006">
      <c r="A8006">
        <f>IFERROR(INDEX('Email Cleaner'!$B$2:$B$10001,MATCH(8005,'Email Cleaner'!$K$2:$K$10001,0)),"")</f>
        <v/>
      </c>
    </row>
    <row r="8007">
      <c r="A8007">
        <f>IFERROR(INDEX('Email Cleaner'!$B$2:$B$10001,MATCH(8006,'Email Cleaner'!$K$2:$K$10001,0)),"")</f>
        <v/>
      </c>
    </row>
    <row r="8008">
      <c r="A8008">
        <f>IFERROR(INDEX('Email Cleaner'!$B$2:$B$10001,MATCH(8007,'Email Cleaner'!$K$2:$K$10001,0)),"")</f>
        <v/>
      </c>
    </row>
    <row r="8009">
      <c r="A8009">
        <f>IFERROR(INDEX('Email Cleaner'!$B$2:$B$10001,MATCH(8008,'Email Cleaner'!$K$2:$K$10001,0)),"")</f>
        <v/>
      </c>
    </row>
    <row r="8010">
      <c r="A8010">
        <f>IFERROR(INDEX('Email Cleaner'!$B$2:$B$10001,MATCH(8009,'Email Cleaner'!$K$2:$K$10001,0)),"")</f>
        <v/>
      </c>
    </row>
    <row r="8011">
      <c r="A8011">
        <f>IFERROR(INDEX('Email Cleaner'!$B$2:$B$10001,MATCH(8010,'Email Cleaner'!$K$2:$K$10001,0)),"")</f>
        <v/>
      </c>
    </row>
    <row r="8012">
      <c r="A8012">
        <f>IFERROR(INDEX('Email Cleaner'!$B$2:$B$10001,MATCH(8011,'Email Cleaner'!$K$2:$K$10001,0)),"")</f>
        <v/>
      </c>
    </row>
    <row r="8013">
      <c r="A8013">
        <f>IFERROR(INDEX('Email Cleaner'!$B$2:$B$10001,MATCH(8012,'Email Cleaner'!$K$2:$K$10001,0)),"")</f>
        <v/>
      </c>
    </row>
    <row r="8014">
      <c r="A8014">
        <f>IFERROR(INDEX('Email Cleaner'!$B$2:$B$10001,MATCH(8013,'Email Cleaner'!$K$2:$K$10001,0)),"")</f>
        <v/>
      </c>
    </row>
    <row r="8015">
      <c r="A8015">
        <f>IFERROR(INDEX('Email Cleaner'!$B$2:$B$10001,MATCH(8014,'Email Cleaner'!$K$2:$K$10001,0)),"")</f>
        <v/>
      </c>
    </row>
    <row r="8016">
      <c r="A8016">
        <f>IFERROR(INDEX('Email Cleaner'!$B$2:$B$10001,MATCH(8015,'Email Cleaner'!$K$2:$K$10001,0)),"")</f>
        <v/>
      </c>
    </row>
    <row r="8017">
      <c r="A8017">
        <f>IFERROR(INDEX('Email Cleaner'!$B$2:$B$10001,MATCH(8016,'Email Cleaner'!$K$2:$K$10001,0)),"")</f>
        <v/>
      </c>
    </row>
    <row r="8018">
      <c r="A8018">
        <f>IFERROR(INDEX('Email Cleaner'!$B$2:$B$10001,MATCH(8017,'Email Cleaner'!$K$2:$K$10001,0)),"")</f>
        <v/>
      </c>
    </row>
    <row r="8019">
      <c r="A8019">
        <f>IFERROR(INDEX('Email Cleaner'!$B$2:$B$10001,MATCH(8018,'Email Cleaner'!$K$2:$K$10001,0)),"")</f>
        <v/>
      </c>
    </row>
    <row r="8020">
      <c r="A8020">
        <f>IFERROR(INDEX('Email Cleaner'!$B$2:$B$10001,MATCH(8019,'Email Cleaner'!$K$2:$K$10001,0)),"")</f>
        <v/>
      </c>
    </row>
    <row r="8021">
      <c r="A8021">
        <f>IFERROR(INDEX('Email Cleaner'!$B$2:$B$10001,MATCH(8020,'Email Cleaner'!$K$2:$K$10001,0)),"")</f>
        <v/>
      </c>
    </row>
    <row r="8022">
      <c r="A8022">
        <f>IFERROR(INDEX('Email Cleaner'!$B$2:$B$10001,MATCH(8021,'Email Cleaner'!$K$2:$K$10001,0)),"")</f>
        <v/>
      </c>
    </row>
    <row r="8023">
      <c r="A8023">
        <f>IFERROR(INDEX('Email Cleaner'!$B$2:$B$10001,MATCH(8022,'Email Cleaner'!$K$2:$K$10001,0)),"")</f>
        <v/>
      </c>
    </row>
    <row r="8024">
      <c r="A8024">
        <f>IFERROR(INDEX('Email Cleaner'!$B$2:$B$10001,MATCH(8023,'Email Cleaner'!$K$2:$K$10001,0)),"")</f>
        <v/>
      </c>
    </row>
    <row r="8025">
      <c r="A8025">
        <f>IFERROR(INDEX('Email Cleaner'!$B$2:$B$10001,MATCH(8024,'Email Cleaner'!$K$2:$K$10001,0)),"")</f>
        <v/>
      </c>
    </row>
    <row r="8026">
      <c r="A8026">
        <f>IFERROR(INDEX('Email Cleaner'!$B$2:$B$10001,MATCH(8025,'Email Cleaner'!$K$2:$K$10001,0)),"")</f>
        <v/>
      </c>
    </row>
    <row r="8027">
      <c r="A8027">
        <f>IFERROR(INDEX('Email Cleaner'!$B$2:$B$10001,MATCH(8026,'Email Cleaner'!$K$2:$K$10001,0)),"")</f>
        <v/>
      </c>
    </row>
    <row r="8028">
      <c r="A8028">
        <f>IFERROR(INDEX('Email Cleaner'!$B$2:$B$10001,MATCH(8027,'Email Cleaner'!$K$2:$K$10001,0)),"")</f>
        <v/>
      </c>
    </row>
    <row r="8029">
      <c r="A8029">
        <f>IFERROR(INDEX('Email Cleaner'!$B$2:$B$10001,MATCH(8028,'Email Cleaner'!$K$2:$K$10001,0)),"")</f>
        <v/>
      </c>
    </row>
    <row r="8030">
      <c r="A8030">
        <f>IFERROR(INDEX('Email Cleaner'!$B$2:$B$10001,MATCH(8029,'Email Cleaner'!$K$2:$K$10001,0)),"")</f>
        <v/>
      </c>
    </row>
    <row r="8031">
      <c r="A8031">
        <f>IFERROR(INDEX('Email Cleaner'!$B$2:$B$10001,MATCH(8030,'Email Cleaner'!$K$2:$K$10001,0)),"")</f>
        <v/>
      </c>
    </row>
    <row r="8032">
      <c r="A8032">
        <f>IFERROR(INDEX('Email Cleaner'!$B$2:$B$10001,MATCH(8031,'Email Cleaner'!$K$2:$K$10001,0)),"")</f>
        <v/>
      </c>
    </row>
    <row r="8033">
      <c r="A8033">
        <f>IFERROR(INDEX('Email Cleaner'!$B$2:$B$10001,MATCH(8032,'Email Cleaner'!$K$2:$K$10001,0)),"")</f>
        <v/>
      </c>
    </row>
    <row r="8034">
      <c r="A8034">
        <f>IFERROR(INDEX('Email Cleaner'!$B$2:$B$10001,MATCH(8033,'Email Cleaner'!$K$2:$K$10001,0)),"")</f>
        <v/>
      </c>
    </row>
    <row r="8035">
      <c r="A8035">
        <f>IFERROR(INDEX('Email Cleaner'!$B$2:$B$10001,MATCH(8034,'Email Cleaner'!$K$2:$K$10001,0)),"")</f>
        <v/>
      </c>
    </row>
    <row r="8036">
      <c r="A8036">
        <f>IFERROR(INDEX('Email Cleaner'!$B$2:$B$10001,MATCH(8035,'Email Cleaner'!$K$2:$K$10001,0)),"")</f>
        <v/>
      </c>
    </row>
    <row r="8037">
      <c r="A8037">
        <f>IFERROR(INDEX('Email Cleaner'!$B$2:$B$10001,MATCH(8036,'Email Cleaner'!$K$2:$K$10001,0)),"")</f>
        <v/>
      </c>
    </row>
    <row r="8038">
      <c r="A8038">
        <f>IFERROR(INDEX('Email Cleaner'!$B$2:$B$10001,MATCH(8037,'Email Cleaner'!$K$2:$K$10001,0)),"")</f>
        <v/>
      </c>
    </row>
    <row r="8039">
      <c r="A8039">
        <f>IFERROR(INDEX('Email Cleaner'!$B$2:$B$10001,MATCH(8038,'Email Cleaner'!$K$2:$K$10001,0)),"")</f>
        <v/>
      </c>
    </row>
    <row r="8040">
      <c r="A8040">
        <f>IFERROR(INDEX('Email Cleaner'!$B$2:$B$10001,MATCH(8039,'Email Cleaner'!$K$2:$K$10001,0)),"")</f>
        <v/>
      </c>
    </row>
    <row r="8041">
      <c r="A8041">
        <f>IFERROR(INDEX('Email Cleaner'!$B$2:$B$10001,MATCH(8040,'Email Cleaner'!$K$2:$K$10001,0)),"")</f>
        <v/>
      </c>
    </row>
    <row r="8042">
      <c r="A8042">
        <f>IFERROR(INDEX('Email Cleaner'!$B$2:$B$10001,MATCH(8041,'Email Cleaner'!$K$2:$K$10001,0)),"")</f>
        <v/>
      </c>
    </row>
    <row r="8043">
      <c r="A8043">
        <f>IFERROR(INDEX('Email Cleaner'!$B$2:$B$10001,MATCH(8042,'Email Cleaner'!$K$2:$K$10001,0)),"")</f>
        <v/>
      </c>
    </row>
    <row r="8044">
      <c r="A8044">
        <f>IFERROR(INDEX('Email Cleaner'!$B$2:$B$10001,MATCH(8043,'Email Cleaner'!$K$2:$K$10001,0)),"")</f>
        <v/>
      </c>
    </row>
    <row r="8045">
      <c r="A8045">
        <f>IFERROR(INDEX('Email Cleaner'!$B$2:$B$10001,MATCH(8044,'Email Cleaner'!$K$2:$K$10001,0)),"")</f>
        <v/>
      </c>
    </row>
    <row r="8046">
      <c r="A8046">
        <f>IFERROR(INDEX('Email Cleaner'!$B$2:$B$10001,MATCH(8045,'Email Cleaner'!$K$2:$K$10001,0)),"")</f>
        <v/>
      </c>
    </row>
    <row r="8047">
      <c r="A8047">
        <f>IFERROR(INDEX('Email Cleaner'!$B$2:$B$10001,MATCH(8046,'Email Cleaner'!$K$2:$K$10001,0)),"")</f>
        <v/>
      </c>
    </row>
    <row r="8048">
      <c r="A8048">
        <f>IFERROR(INDEX('Email Cleaner'!$B$2:$B$10001,MATCH(8047,'Email Cleaner'!$K$2:$K$10001,0)),"")</f>
        <v/>
      </c>
    </row>
    <row r="8049">
      <c r="A8049">
        <f>IFERROR(INDEX('Email Cleaner'!$B$2:$B$10001,MATCH(8048,'Email Cleaner'!$K$2:$K$10001,0)),"")</f>
        <v/>
      </c>
    </row>
    <row r="8050">
      <c r="A8050">
        <f>IFERROR(INDEX('Email Cleaner'!$B$2:$B$10001,MATCH(8049,'Email Cleaner'!$K$2:$K$10001,0)),"")</f>
        <v/>
      </c>
    </row>
    <row r="8051">
      <c r="A8051">
        <f>IFERROR(INDEX('Email Cleaner'!$B$2:$B$10001,MATCH(8050,'Email Cleaner'!$K$2:$K$10001,0)),"")</f>
        <v/>
      </c>
    </row>
    <row r="8052">
      <c r="A8052">
        <f>IFERROR(INDEX('Email Cleaner'!$B$2:$B$10001,MATCH(8051,'Email Cleaner'!$K$2:$K$10001,0)),"")</f>
        <v/>
      </c>
    </row>
    <row r="8053">
      <c r="A8053">
        <f>IFERROR(INDEX('Email Cleaner'!$B$2:$B$10001,MATCH(8052,'Email Cleaner'!$K$2:$K$10001,0)),"")</f>
        <v/>
      </c>
    </row>
    <row r="8054">
      <c r="A8054">
        <f>IFERROR(INDEX('Email Cleaner'!$B$2:$B$10001,MATCH(8053,'Email Cleaner'!$K$2:$K$10001,0)),"")</f>
        <v/>
      </c>
    </row>
    <row r="8055">
      <c r="A8055">
        <f>IFERROR(INDEX('Email Cleaner'!$B$2:$B$10001,MATCH(8054,'Email Cleaner'!$K$2:$K$10001,0)),"")</f>
        <v/>
      </c>
    </row>
    <row r="8056">
      <c r="A8056">
        <f>IFERROR(INDEX('Email Cleaner'!$B$2:$B$10001,MATCH(8055,'Email Cleaner'!$K$2:$K$10001,0)),"")</f>
        <v/>
      </c>
    </row>
    <row r="8057">
      <c r="A8057">
        <f>IFERROR(INDEX('Email Cleaner'!$B$2:$B$10001,MATCH(8056,'Email Cleaner'!$K$2:$K$10001,0)),"")</f>
        <v/>
      </c>
    </row>
    <row r="8058">
      <c r="A8058">
        <f>IFERROR(INDEX('Email Cleaner'!$B$2:$B$10001,MATCH(8057,'Email Cleaner'!$K$2:$K$10001,0)),"")</f>
        <v/>
      </c>
    </row>
    <row r="8059">
      <c r="A8059">
        <f>IFERROR(INDEX('Email Cleaner'!$B$2:$B$10001,MATCH(8058,'Email Cleaner'!$K$2:$K$10001,0)),"")</f>
        <v/>
      </c>
    </row>
    <row r="8060">
      <c r="A8060">
        <f>IFERROR(INDEX('Email Cleaner'!$B$2:$B$10001,MATCH(8059,'Email Cleaner'!$K$2:$K$10001,0)),"")</f>
        <v/>
      </c>
    </row>
    <row r="8061">
      <c r="A8061">
        <f>IFERROR(INDEX('Email Cleaner'!$B$2:$B$10001,MATCH(8060,'Email Cleaner'!$K$2:$K$10001,0)),"")</f>
        <v/>
      </c>
    </row>
    <row r="8062">
      <c r="A8062">
        <f>IFERROR(INDEX('Email Cleaner'!$B$2:$B$10001,MATCH(8061,'Email Cleaner'!$K$2:$K$10001,0)),"")</f>
        <v/>
      </c>
    </row>
    <row r="8063">
      <c r="A8063">
        <f>IFERROR(INDEX('Email Cleaner'!$B$2:$B$10001,MATCH(8062,'Email Cleaner'!$K$2:$K$10001,0)),"")</f>
        <v/>
      </c>
    </row>
    <row r="8064">
      <c r="A8064">
        <f>IFERROR(INDEX('Email Cleaner'!$B$2:$B$10001,MATCH(8063,'Email Cleaner'!$K$2:$K$10001,0)),"")</f>
        <v/>
      </c>
    </row>
    <row r="8065">
      <c r="A8065">
        <f>IFERROR(INDEX('Email Cleaner'!$B$2:$B$10001,MATCH(8064,'Email Cleaner'!$K$2:$K$10001,0)),"")</f>
        <v/>
      </c>
    </row>
    <row r="8066">
      <c r="A8066">
        <f>IFERROR(INDEX('Email Cleaner'!$B$2:$B$10001,MATCH(8065,'Email Cleaner'!$K$2:$K$10001,0)),"")</f>
        <v/>
      </c>
    </row>
    <row r="8067">
      <c r="A8067">
        <f>IFERROR(INDEX('Email Cleaner'!$B$2:$B$10001,MATCH(8066,'Email Cleaner'!$K$2:$K$10001,0)),"")</f>
        <v/>
      </c>
    </row>
    <row r="8068">
      <c r="A8068">
        <f>IFERROR(INDEX('Email Cleaner'!$B$2:$B$10001,MATCH(8067,'Email Cleaner'!$K$2:$K$10001,0)),"")</f>
        <v/>
      </c>
    </row>
    <row r="8069">
      <c r="A8069">
        <f>IFERROR(INDEX('Email Cleaner'!$B$2:$B$10001,MATCH(8068,'Email Cleaner'!$K$2:$K$10001,0)),"")</f>
        <v/>
      </c>
    </row>
    <row r="8070">
      <c r="A8070">
        <f>IFERROR(INDEX('Email Cleaner'!$B$2:$B$10001,MATCH(8069,'Email Cleaner'!$K$2:$K$10001,0)),"")</f>
        <v/>
      </c>
    </row>
    <row r="8071">
      <c r="A8071">
        <f>IFERROR(INDEX('Email Cleaner'!$B$2:$B$10001,MATCH(8070,'Email Cleaner'!$K$2:$K$10001,0)),"")</f>
        <v/>
      </c>
    </row>
    <row r="8072">
      <c r="A8072">
        <f>IFERROR(INDEX('Email Cleaner'!$B$2:$B$10001,MATCH(8071,'Email Cleaner'!$K$2:$K$10001,0)),"")</f>
        <v/>
      </c>
    </row>
    <row r="8073">
      <c r="A8073">
        <f>IFERROR(INDEX('Email Cleaner'!$B$2:$B$10001,MATCH(8072,'Email Cleaner'!$K$2:$K$10001,0)),"")</f>
        <v/>
      </c>
    </row>
    <row r="8074">
      <c r="A8074">
        <f>IFERROR(INDEX('Email Cleaner'!$B$2:$B$10001,MATCH(8073,'Email Cleaner'!$K$2:$K$10001,0)),"")</f>
        <v/>
      </c>
    </row>
    <row r="8075">
      <c r="A8075">
        <f>IFERROR(INDEX('Email Cleaner'!$B$2:$B$10001,MATCH(8074,'Email Cleaner'!$K$2:$K$10001,0)),"")</f>
        <v/>
      </c>
    </row>
    <row r="8076">
      <c r="A8076">
        <f>IFERROR(INDEX('Email Cleaner'!$B$2:$B$10001,MATCH(8075,'Email Cleaner'!$K$2:$K$10001,0)),"")</f>
        <v/>
      </c>
    </row>
    <row r="8077">
      <c r="A8077">
        <f>IFERROR(INDEX('Email Cleaner'!$B$2:$B$10001,MATCH(8076,'Email Cleaner'!$K$2:$K$10001,0)),"")</f>
        <v/>
      </c>
    </row>
    <row r="8078">
      <c r="A8078">
        <f>IFERROR(INDEX('Email Cleaner'!$B$2:$B$10001,MATCH(8077,'Email Cleaner'!$K$2:$K$10001,0)),"")</f>
        <v/>
      </c>
    </row>
    <row r="8079">
      <c r="A8079">
        <f>IFERROR(INDEX('Email Cleaner'!$B$2:$B$10001,MATCH(8078,'Email Cleaner'!$K$2:$K$10001,0)),"")</f>
        <v/>
      </c>
    </row>
    <row r="8080">
      <c r="A8080">
        <f>IFERROR(INDEX('Email Cleaner'!$B$2:$B$10001,MATCH(8079,'Email Cleaner'!$K$2:$K$10001,0)),"")</f>
        <v/>
      </c>
    </row>
    <row r="8081">
      <c r="A8081">
        <f>IFERROR(INDEX('Email Cleaner'!$B$2:$B$10001,MATCH(8080,'Email Cleaner'!$K$2:$K$10001,0)),"")</f>
        <v/>
      </c>
    </row>
    <row r="8082">
      <c r="A8082">
        <f>IFERROR(INDEX('Email Cleaner'!$B$2:$B$10001,MATCH(8081,'Email Cleaner'!$K$2:$K$10001,0)),"")</f>
        <v/>
      </c>
    </row>
    <row r="8083">
      <c r="A8083">
        <f>IFERROR(INDEX('Email Cleaner'!$B$2:$B$10001,MATCH(8082,'Email Cleaner'!$K$2:$K$10001,0)),"")</f>
        <v/>
      </c>
    </row>
    <row r="8084">
      <c r="A8084">
        <f>IFERROR(INDEX('Email Cleaner'!$B$2:$B$10001,MATCH(8083,'Email Cleaner'!$K$2:$K$10001,0)),"")</f>
        <v/>
      </c>
    </row>
    <row r="8085">
      <c r="A8085">
        <f>IFERROR(INDEX('Email Cleaner'!$B$2:$B$10001,MATCH(8084,'Email Cleaner'!$K$2:$K$10001,0)),"")</f>
        <v/>
      </c>
    </row>
    <row r="8086">
      <c r="A8086">
        <f>IFERROR(INDEX('Email Cleaner'!$B$2:$B$10001,MATCH(8085,'Email Cleaner'!$K$2:$K$10001,0)),"")</f>
        <v/>
      </c>
    </row>
    <row r="8087">
      <c r="A8087">
        <f>IFERROR(INDEX('Email Cleaner'!$B$2:$B$10001,MATCH(8086,'Email Cleaner'!$K$2:$K$10001,0)),"")</f>
        <v/>
      </c>
    </row>
    <row r="8088">
      <c r="A8088">
        <f>IFERROR(INDEX('Email Cleaner'!$B$2:$B$10001,MATCH(8087,'Email Cleaner'!$K$2:$K$10001,0)),"")</f>
        <v/>
      </c>
    </row>
    <row r="8089">
      <c r="A8089">
        <f>IFERROR(INDEX('Email Cleaner'!$B$2:$B$10001,MATCH(8088,'Email Cleaner'!$K$2:$K$10001,0)),"")</f>
        <v/>
      </c>
    </row>
    <row r="8090">
      <c r="A8090">
        <f>IFERROR(INDEX('Email Cleaner'!$B$2:$B$10001,MATCH(8089,'Email Cleaner'!$K$2:$K$10001,0)),"")</f>
        <v/>
      </c>
    </row>
    <row r="8091">
      <c r="A8091">
        <f>IFERROR(INDEX('Email Cleaner'!$B$2:$B$10001,MATCH(8090,'Email Cleaner'!$K$2:$K$10001,0)),"")</f>
        <v/>
      </c>
    </row>
    <row r="8092">
      <c r="A8092">
        <f>IFERROR(INDEX('Email Cleaner'!$B$2:$B$10001,MATCH(8091,'Email Cleaner'!$K$2:$K$10001,0)),"")</f>
        <v/>
      </c>
    </row>
    <row r="8093">
      <c r="A8093">
        <f>IFERROR(INDEX('Email Cleaner'!$B$2:$B$10001,MATCH(8092,'Email Cleaner'!$K$2:$K$10001,0)),"")</f>
        <v/>
      </c>
    </row>
    <row r="8094">
      <c r="A8094">
        <f>IFERROR(INDEX('Email Cleaner'!$B$2:$B$10001,MATCH(8093,'Email Cleaner'!$K$2:$K$10001,0)),"")</f>
        <v/>
      </c>
    </row>
    <row r="8095">
      <c r="A8095">
        <f>IFERROR(INDEX('Email Cleaner'!$B$2:$B$10001,MATCH(8094,'Email Cleaner'!$K$2:$K$10001,0)),"")</f>
        <v/>
      </c>
    </row>
    <row r="8096">
      <c r="A8096">
        <f>IFERROR(INDEX('Email Cleaner'!$B$2:$B$10001,MATCH(8095,'Email Cleaner'!$K$2:$K$10001,0)),"")</f>
        <v/>
      </c>
    </row>
    <row r="8097">
      <c r="A8097">
        <f>IFERROR(INDEX('Email Cleaner'!$B$2:$B$10001,MATCH(8096,'Email Cleaner'!$K$2:$K$10001,0)),"")</f>
        <v/>
      </c>
    </row>
    <row r="8098">
      <c r="A8098">
        <f>IFERROR(INDEX('Email Cleaner'!$B$2:$B$10001,MATCH(8097,'Email Cleaner'!$K$2:$K$10001,0)),"")</f>
        <v/>
      </c>
    </row>
    <row r="8099">
      <c r="A8099">
        <f>IFERROR(INDEX('Email Cleaner'!$B$2:$B$10001,MATCH(8098,'Email Cleaner'!$K$2:$K$10001,0)),"")</f>
        <v/>
      </c>
    </row>
    <row r="8100">
      <c r="A8100">
        <f>IFERROR(INDEX('Email Cleaner'!$B$2:$B$10001,MATCH(8099,'Email Cleaner'!$K$2:$K$10001,0)),"")</f>
        <v/>
      </c>
    </row>
    <row r="8101">
      <c r="A8101">
        <f>IFERROR(INDEX('Email Cleaner'!$B$2:$B$10001,MATCH(8100,'Email Cleaner'!$K$2:$K$10001,0)),"")</f>
        <v/>
      </c>
    </row>
    <row r="8102">
      <c r="A8102">
        <f>IFERROR(INDEX('Email Cleaner'!$B$2:$B$10001,MATCH(8101,'Email Cleaner'!$K$2:$K$10001,0)),"")</f>
        <v/>
      </c>
    </row>
    <row r="8103">
      <c r="A8103">
        <f>IFERROR(INDEX('Email Cleaner'!$B$2:$B$10001,MATCH(8102,'Email Cleaner'!$K$2:$K$10001,0)),"")</f>
        <v/>
      </c>
    </row>
    <row r="8104">
      <c r="A8104">
        <f>IFERROR(INDEX('Email Cleaner'!$B$2:$B$10001,MATCH(8103,'Email Cleaner'!$K$2:$K$10001,0)),"")</f>
        <v/>
      </c>
    </row>
    <row r="8105">
      <c r="A8105">
        <f>IFERROR(INDEX('Email Cleaner'!$B$2:$B$10001,MATCH(8104,'Email Cleaner'!$K$2:$K$10001,0)),"")</f>
        <v/>
      </c>
    </row>
    <row r="8106">
      <c r="A8106">
        <f>IFERROR(INDEX('Email Cleaner'!$B$2:$B$10001,MATCH(8105,'Email Cleaner'!$K$2:$K$10001,0)),"")</f>
        <v/>
      </c>
    </row>
    <row r="8107">
      <c r="A8107">
        <f>IFERROR(INDEX('Email Cleaner'!$B$2:$B$10001,MATCH(8106,'Email Cleaner'!$K$2:$K$10001,0)),"")</f>
        <v/>
      </c>
    </row>
    <row r="8108">
      <c r="A8108">
        <f>IFERROR(INDEX('Email Cleaner'!$B$2:$B$10001,MATCH(8107,'Email Cleaner'!$K$2:$K$10001,0)),"")</f>
        <v/>
      </c>
    </row>
    <row r="8109">
      <c r="A8109">
        <f>IFERROR(INDEX('Email Cleaner'!$B$2:$B$10001,MATCH(8108,'Email Cleaner'!$K$2:$K$10001,0)),"")</f>
        <v/>
      </c>
    </row>
    <row r="8110">
      <c r="A8110">
        <f>IFERROR(INDEX('Email Cleaner'!$B$2:$B$10001,MATCH(8109,'Email Cleaner'!$K$2:$K$10001,0)),"")</f>
        <v/>
      </c>
    </row>
    <row r="8111">
      <c r="A8111">
        <f>IFERROR(INDEX('Email Cleaner'!$B$2:$B$10001,MATCH(8110,'Email Cleaner'!$K$2:$K$10001,0)),"")</f>
        <v/>
      </c>
    </row>
    <row r="8112">
      <c r="A8112">
        <f>IFERROR(INDEX('Email Cleaner'!$B$2:$B$10001,MATCH(8111,'Email Cleaner'!$K$2:$K$10001,0)),"")</f>
        <v/>
      </c>
    </row>
    <row r="8113">
      <c r="A8113">
        <f>IFERROR(INDEX('Email Cleaner'!$B$2:$B$10001,MATCH(8112,'Email Cleaner'!$K$2:$K$10001,0)),"")</f>
        <v/>
      </c>
    </row>
    <row r="8114">
      <c r="A8114">
        <f>IFERROR(INDEX('Email Cleaner'!$B$2:$B$10001,MATCH(8113,'Email Cleaner'!$K$2:$K$10001,0)),"")</f>
        <v/>
      </c>
    </row>
    <row r="8115">
      <c r="A8115">
        <f>IFERROR(INDEX('Email Cleaner'!$B$2:$B$10001,MATCH(8114,'Email Cleaner'!$K$2:$K$10001,0)),"")</f>
        <v/>
      </c>
    </row>
    <row r="8116">
      <c r="A8116">
        <f>IFERROR(INDEX('Email Cleaner'!$B$2:$B$10001,MATCH(8115,'Email Cleaner'!$K$2:$K$10001,0)),"")</f>
        <v/>
      </c>
    </row>
    <row r="8117">
      <c r="A8117">
        <f>IFERROR(INDEX('Email Cleaner'!$B$2:$B$10001,MATCH(8116,'Email Cleaner'!$K$2:$K$10001,0)),"")</f>
        <v/>
      </c>
    </row>
    <row r="8118">
      <c r="A8118">
        <f>IFERROR(INDEX('Email Cleaner'!$B$2:$B$10001,MATCH(8117,'Email Cleaner'!$K$2:$K$10001,0)),"")</f>
        <v/>
      </c>
    </row>
    <row r="8119">
      <c r="A8119">
        <f>IFERROR(INDEX('Email Cleaner'!$B$2:$B$10001,MATCH(8118,'Email Cleaner'!$K$2:$K$10001,0)),"")</f>
        <v/>
      </c>
    </row>
    <row r="8120">
      <c r="A8120">
        <f>IFERROR(INDEX('Email Cleaner'!$B$2:$B$10001,MATCH(8119,'Email Cleaner'!$K$2:$K$10001,0)),"")</f>
        <v/>
      </c>
    </row>
    <row r="8121">
      <c r="A8121">
        <f>IFERROR(INDEX('Email Cleaner'!$B$2:$B$10001,MATCH(8120,'Email Cleaner'!$K$2:$K$10001,0)),"")</f>
        <v/>
      </c>
    </row>
    <row r="8122">
      <c r="A8122">
        <f>IFERROR(INDEX('Email Cleaner'!$B$2:$B$10001,MATCH(8121,'Email Cleaner'!$K$2:$K$10001,0)),"")</f>
        <v/>
      </c>
    </row>
    <row r="8123">
      <c r="A8123">
        <f>IFERROR(INDEX('Email Cleaner'!$B$2:$B$10001,MATCH(8122,'Email Cleaner'!$K$2:$K$10001,0)),"")</f>
        <v/>
      </c>
    </row>
    <row r="8124">
      <c r="A8124">
        <f>IFERROR(INDEX('Email Cleaner'!$B$2:$B$10001,MATCH(8123,'Email Cleaner'!$K$2:$K$10001,0)),"")</f>
        <v/>
      </c>
    </row>
    <row r="8125">
      <c r="A8125">
        <f>IFERROR(INDEX('Email Cleaner'!$B$2:$B$10001,MATCH(8124,'Email Cleaner'!$K$2:$K$10001,0)),"")</f>
        <v/>
      </c>
    </row>
    <row r="8126">
      <c r="A8126">
        <f>IFERROR(INDEX('Email Cleaner'!$B$2:$B$10001,MATCH(8125,'Email Cleaner'!$K$2:$K$10001,0)),"")</f>
        <v/>
      </c>
    </row>
    <row r="8127">
      <c r="A8127">
        <f>IFERROR(INDEX('Email Cleaner'!$B$2:$B$10001,MATCH(8126,'Email Cleaner'!$K$2:$K$10001,0)),"")</f>
        <v/>
      </c>
    </row>
    <row r="8128">
      <c r="A8128">
        <f>IFERROR(INDEX('Email Cleaner'!$B$2:$B$10001,MATCH(8127,'Email Cleaner'!$K$2:$K$10001,0)),"")</f>
        <v/>
      </c>
    </row>
    <row r="8129">
      <c r="A8129">
        <f>IFERROR(INDEX('Email Cleaner'!$B$2:$B$10001,MATCH(8128,'Email Cleaner'!$K$2:$K$10001,0)),"")</f>
        <v/>
      </c>
    </row>
    <row r="8130">
      <c r="A8130">
        <f>IFERROR(INDEX('Email Cleaner'!$B$2:$B$10001,MATCH(8129,'Email Cleaner'!$K$2:$K$10001,0)),"")</f>
        <v/>
      </c>
    </row>
    <row r="8131">
      <c r="A8131">
        <f>IFERROR(INDEX('Email Cleaner'!$B$2:$B$10001,MATCH(8130,'Email Cleaner'!$K$2:$K$10001,0)),"")</f>
        <v/>
      </c>
    </row>
    <row r="8132">
      <c r="A8132">
        <f>IFERROR(INDEX('Email Cleaner'!$B$2:$B$10001,MATCH(8131,'Email Cleaner'!$K$2:$K$10001,0)),"")</f>
        <v/>
      </c>
    </row>
    <row r="8133">
      <c r="A8133">
        <f>IFERROR(INDEX('Email Cleaner'!$B$2:$B$10001,MATCH(8132,'Email Cleaner'!$K$2:$K$10001,0)),"")</f>
        <v/>
      </c>
    </row>
    <row r="8134">
      <c r="A8134">
        <f>IFERROR(INDEX('Email Cleaner'!$B$2:$B$10001,MATCH(8133,'Email Cleaner'!$K$2:$K$10001,0)),"")</f>
        <v/>
      </c>
    </row>
    <row r="8135">
      <c r="A8135">
        <f>IFERROR(INDEX('Email Cleaner'!$B$2:$B$10001,MATCH(8134,'Email Cleaner'!$K$2:$K$10001,0)),"")</f>
        <v/>
      </c>
    </row>
    <row r="8136">
      <c r="A8136">
        <f>IFERROR(INDEX('Email Cleaner'!$B$2:$B$10001,MATCH(8135,'Email Cleaner'!$K$2:$K$10001,0)),"")</f>
        <v/>
      </c>
    </row>
    <row r="8137">
      <c r="A8137">
        <f>IFERROR(INDEX('Email Cleaner'!$B$2:$B$10001,MATCH(8136,'Email Cleaner'!$K$2:$K$10001,0)),"")</f>
        <v/>
      </c>
    </row>
    <row r="8138">
      <c r="A8138">
        <f>IFERROR(INDEX('Email Cleaner'!$B$2:$B$10001,MATCH(8137,'Email Cleaner'!$K$2:$K$10001,0)),"")</f>
        <v/>
      </c>
    </row>
    <row r="8139">
      <c r="A8139">
        <f>IFERROR(INDEX('Email Cleaner'!$B$2:$B$10001,MATCH(8138,'Email Cleaner'!$K$2:$K$10001,0)),"")</f>
        <v/>
      </c>
    </row>
    <row r="8140">
      <c r="A8140">
        <f>IFERROR(INDEX('Email Cleaner'!$B$2:$B$10001,MATCH(8139,'Email Cleaner'!$K$2:$K$10001,0)),"")</f>
        <v/>
      </c>
    </row>
    <row r="8141">
      <c r="A8141">
        <f>IFERROR(INDEX('Email Cleaner'!$B$2:$B$10001,MATCH(8140,'Email Cleaner'!$K$2:$K$10001,0)),"")</f>
        <v/>
      </c>
    </row>
    <row r="8142">
      <c r="A8142">
        <f>IFERROR(INDEX('Email Cleaner'!$B$2:$B$10001,MATCH(8141,'Email Cleaner'!$K$2:$K$10001,0)),"")</f>
        <v/>
      </c>
    </row>
    <row r="8143">
      <c r="A8143">
        <f>IFERROR(INDEX('Email Cleaner'!$B$2:$B$10001,MATCH(8142,'Email Cleaner'!$K$2:$K$10001,0)),"")</f>
        <v/>
      </c>
    </row>
    <row r="8144">
      <c r="A8144">
        <f>IFERROR(INDEX('Email Cleaner'!$B$2:$B$10001,MATCH(8143,'Email Cleaner'!$K$2:$K$10001,0)),"")</f>
        <v/>
      </c>
    </row>
    <row r="8145">
      <c r="A8145">
        <f>IFERROR(INDEX('Email Cleaner'!$B$2:$B$10001,MATCH(8144,'Email Cleaner'!$K$2:$K$10001,0)),"")</f>
        <v/>
      </c>
    </row>
    <row r="8146">
      <c r="A8146">
        <f>IFERROR(INDEX('Email Cleaner'!$B$2:$B$10001,MATCH(8145,'Email Cleaner'!$K$2:$K$10001,0)),"")</f>
        <v/>
      </c>
    </row>
    <row r="8147">
      <c r="A8147">
        <f>IFERROR(INDEX('Email Cleaner'!$B$2:$B$10001,MATCH(8146,'Email Cleaner'!$K$2:$K$10001,0)),"")</f>
        <v/>
      </c>
    </row>
    <row r="8148">
      <c r="A8148">
        <f>IFERROR(INDEX('Email Cleaner'!$B$2:$B$10001,MATCH(8147,'Email Cleaner'!$K$2:$K$10001,0)),"")</f>
        <v/>
      </c>
    </row>
    <row r="8149">
      <c r="A8149">
        <f>IFERROR(INDEX('Email Cleaner'!$B$2:$B$10001,MATCH(8148,'Email Cleaner'!$K$2:$K$10001,0)),"")</f>
        <v/>
      </c>
    </row>
    <row r="8150">
      <c r="A8150">
        <f>IFERROR(INDEX('Email Cleaner'!$B$2:$B$10001,MATCH(8149,'Email Cleaner'!$K$2:$K$10001,0)),"")</f>
        <v/>
      </c>
    </row>
    <row r="8151">
      <c r="A8151">
        <f>IFERROR(INDEX('Email Cleaner'!$B$2:$B$10001,MATCH(8150,'Email Cleaner'!$K$2:$K$10001,0)),"")</f>
        <v/>
      </c>
    </row>
    <row r="8152">
      <c r="A8152">
        <f>IFERROR(INDEX('Email Cleaner'!$B$2:$B$10001,MATCH(8151,'Email Cleaner'!$K$2:$K$10001,0)),"")</f>
        <v/>
      </c>
    </row>
    <row r="8153">
      <c r="A8153">
        <f>IFERROR(INDEX('Email Cleaner'!$B$2:$B$10001,MATCH(8152,'Email Cleaner'!$K$2:$K$10001,0)),"")</f>
        <v/>
      </c>
    </row>
    <row r="8154">
      <c r="A8154">
        <f>IFERROR(INDEX('Email Cleaner'!$B$2:$B$10001,MATCH(8153,'Email Cleaner'!$K$2:$K$10001,0)),"")</f>
        <v/>
      </c>
    </row>
    <row r="8155">
      <c r="A8155">
        <f>IFERROR(INDEX('Email Cleaner'!$B$2:$B$10001,MATCH(8154,'Email Cleaner'!$K$2:$K$10001,0)),"")</f>
        <v/>
      </c>
    </row>
    <row r="8156">
      <c r="A8156">
        <f>IFERROR(INDEX('Email Cleaner'!$B$2:$B$10001,MATCH(8155,'Email Cleaner'!$K$2:$K$10001,0)),"")</f>
        <v/>
      </c>
    </row>
    <row r="8157">
      <c r="A8157">
        <f>IFERROR(INDEX('Email Cleaner'!$B$2:$B$10001,MATCH(8156,'Email Cleaner'!$K$2:$K$10001,0)),"")</f>
        <v/>
      </c>
    </row>
    <row r="8158">
      <c r="A8158">
        <f>IFERROR(INDEX('Email Cleaner'!$B$2:$B$10001,MATCH(8157,'Email Cleaner'!$K$2:$K$10001,0)),"")</f>
        <v/>
      </c>
    </row>
    <row r="8159">
      <c r="A8159">
        <f>IFERROR(INDEX('Email Cleaner'!$B$2:$B$10001,MATCH(8158,'Email Cleaner'!$K$2:$K$10001,0)),"")</f>
        <v/>
      </c>
    </row>
    <row r="8160">
      <c r="A8160">
        <f>IFERROR(INDEX('Email Cleaner'!$B$2:$B$10001,MATCH(8159,'Email Cleaner'!$K$2:$K$10001,0)),"")</f>
        <v/>
      </c>
    </row>
    <row r="8161">
      <c r="A8161">
        <f>IFERROR(INDEX('Email Cleaner'!$B$2:$B$10001,MATCH(8160,'Email Cleaner'!$K$2:$K$10001,0)),"")</f>
        <v/>
      </c>
    </row>
    <row r="8162">
      <c r="A8162">
        <f>IFERROR(INDEX('Email Cleaner'!$B$2:$B$10001,MATCH(8161,'Email Cleaner'!$K$2:$K$10001,0)),"")</f>
        <v/>
      </c>
    </row>
    <row r="8163">
      <c r="A8163">
        <f>IFERROR(INDEX('Email Cleaner'!$B$2:$B$10001,MATCH(8162,'Email Cleaner'!$K$2:$K$10001,0)),"")</f>
        <v/>
      </c>
    </row>
    <row r="8164">
      <c r="A8164">
        <f>IFERROR(INDEX('Email Cleaner'!$B$2:$B$10001,MATCH(8163,'Email Cleaner'!$K$2:$K$10001,0)),"")</f>
        <v/>
      </c>
    </row>
    <row r="8165">
      <c r="A8165">
        <f>IFERROR(INDEX('Email Cleaner'!$B$2:$B$10001,MATCH(8164,'Email Cleaner'!$K$2:$K$10001,0)),"")</f>
        <v/>
      </c>
    </row>
    <row r="8166">
      <c r="A8166">
        <f>IFERROR(INDEX('Email Cleaner'!$B$2:$B$10001,MATCH(8165,'Email Cleaner'!$K$2:$K$10001,0)),"")</f>
        <v/>
      </c>
    </row>
    <row r="8167">
      <c r="A8167">
        <f>IFERROR(INDEX('Email Cleaner'!$B$2:$B$10001,MATCH(8166,'Email Cleaner'!$K$2:$K$10001,0)),"")</f>
        <v/>
      </c>
    </row>
    <row r="8168">
      <c r="A8168">
        <f>IFERROR(INDEX('Email Cleaner'!$B$2:$B$10001,MATCH(8167,'Email Cleaner'!$K$2:$K$10001,0)),"")</f>
        <v/>
      </c>
    </row>
    <row r="8169">
      <c r="A8169">
        <f>IFERROR(INDEX('Email Cleaner'!$B$2:$B$10001,MATCH(8168,'Email Cleaner'!$K$2:$K$10001,0)),"")</f>
        <v/>
      </c>
    </row>
    <row r="8170">
      <c r="A8170">
        <f>IFERROR(INDEX('Email Cleaner'!$B$2:$B$10001,MATCH(8169,'Email Cleaner'!$K$2:$K$10001,0)),"")</f>
        <v/>
      </c>
    </row>
    <row r="8171">
      <c r="A8171">
        <f>IFERROR(INDEX('Email Cleaner'!$B$2:$B$10001,MATCH(8170,'Email Cleaner'!$K$2:$K$10001,0)),"")</f>
        <v/>
      </c>
    </row>
    <row r="8172">
      <c r="A8172">
        <f>IFERROR(INDEX('Email Cleaner'!$B$2:$B$10001,MATCH(8171,'Email Cleaner'!$K$2:$K$10001,0)),"")</f>
        <v/>
      </c>
    </row>
    <row r="8173">
      <c r="A8173">
        <f>IFERROR(INDEX('Email Cleaner'!$B$2:$B$10001,MATCH(8172,'Email Cleaner'!$K$2:$K$10001,0)),"")</f>
        <v/>
      </c>
    </row>
    <row r="8174">
      <c r="A8174">
        <f>IFERROR(INDEX('Email Cleaner'!$B$2:$B$10001,MATCH(8173,'Email Cleaner'!$K$2:$K$10001,0)),"")</f>
        <v/>
      </c>
    </row>
    <row r="8175">
      <c r="A8175">
        <f>IFERROR(INDEX('Email Cleaner'!$B$2:$B$10001,MATCH(8174,'Email Cleaner'!$K$2:$K$10001,0)),"")</f>
        <v/>
      </c>
    </row>
    <row r="8176">
      <c r="A8176">
        <f>IFERROR(INDEX('Email Cleaner'!$B$2:$B$10001,MATCH(8175,'Email Cleaner'!$K$2:$K$10001,0)),"")</f>
        <v/>
      </c>
    </row>
    <row r="8177">
      <c r="A8177">
        <f>IFERROR(INDEX('Email Cleaner'!$B$2:$B$10001,MATCH(8176,'Email Cleaner'!$K$2:$K$10001,0)),"")</f>
        <v/>
      </c>
    </row>
    <row r="8178">
      <c r="A8178">
        <f>IFERROR(INDEX('Email Cleaner'!$B$2:$B$10001,MATCH(8177,'Email Cleaner'!$K$2:$K$10001,0)),"")</f>
        <v/>
      </c>
    </row>
    <row r="8179">
      <c r="A8179">
        <f>IFERROR(INDEX('Email Cleaner'!$B$2:$B$10001,MATCH(8178,'Email Cleaner'!$K$2:$K$10001,0)),"")</f>
        <v/>
      </c>
    </row>
    <row r="8180">
      <c r="A8180">
        <f>IFERROR(INDEX('Email Cleaner'!$B$2:$B$10001,MATCH(8179,'Email Cleaner'!$K$2:$K$10001,0)),"")</f>
        <v/>
      </c>
    </row>
    <row r="8181">
      <c r="A8181">
        <f>IFERROR(INDEX('Email Cleaner'!$B$2:$B$10001,MATCH(8180,'Email Cleaner'!$K$2:$K$10001,0)),"")</f>
        <v/>
      </c>
    </row>
    <row r="8182">
      <c r="A8182">
        <f>IFERROR(INDEX('Email Cleaner'!$B$2:$B$10001,MATCH(8181,'Email Cleaner'!$K$2:$K$10001,0)),"")</f>
        <v/>
      </c>
    </row>
    <row r="8183">
      <c r="A8183">
        <f>IFERROR(INDEX('Email Cleaner'!$B$2:$B$10001,MATCH(8182,'Email Cleaner'!$K$2:$K$10001,0)),"")</f>
        <v/>
      </c>
    </row>
    <row r="8184">
      <c r="A8184">
        <f>IFERROR(INDEX('Email Cleaner'!$B$2:$B$10001,MATCH(8183,'Email Cleaner'!$K$2:$K$10001,0)),"")</f>
        <v/>
      </c>
    </row>
    <row r="8185">
      <c r="A8185">
        <f>IFERROR(INDEX('Email Cleaner'!$B$2:$B$10001,MATCH(8184,'Email Cleaner'!$K$2:$K$10001,0)),"")</f>
        <v/>
      </c>
    </row>
    <row r="8186">
      <c r="A8186">
        <f>IFERROR(INDEX('Email Cleaner'!$B$2:$B$10001,MATCH(8185,'Email Cleaner'!$K$2:$K$10001,0)),"")</f>
        <v/>
      </c>
    </row>
    <row r="8187">
      <c r="A8187">
        <f>IFERROR(INDEX('Email Cleaner'!$B$2:$B$10001,MATCH(8186,'Email Cleaner'!$K$2:$K$10001,0)),"")</f>
        <v/>
      </c>
    </row>
    <row r="8188">
      <c r="A8188">
        <f>IFERROR(INDEX('Email Cleaner'!$B$2:$B$10001,MATCH(8187,'Email Cleaner'!$K$2:$K$10001,0)),"")</f>
        <v/>
      </c>
    </row>
    <row r="8189">
      <c r="A8189">
        <f>IFERROR(INDEX('Email Cleaner'!$B$2:$B$10001,MATCH(8188,'Email Cleaner'!$K$2:$K$10001,0)),"")</f>
        <v/>
      </c>
    </row>
    <row r="8190">
      <c r="A8190">
        <f>IFERROR(INDEX('Email Cleaner'!$B$2:$B$10001,MATCH(8189,'Email Cleaner'!$K$2:$K$10001,0)),"")</f>
        <v/>
      </c>
    </row>
    <row r="8191">
      <c r="A8191">
        <f>IFERROR(INDEX('Email Cleaner'!$B$2:$B$10001,MATCH(8190,'Email Cleaner'!$K$2:$K$10001,0)),"")</f>
        <v/>
      </c>
    </row>
    <row r="8192">
      <c r="A8192">
        <f>IFERROR(INDEX('Email Cleaner'!$B$2:$B$10001,MATCH(8191,'Email Cleaner'!$K$2:$K$10001,0)),"")</f>
        <v/>
      </c>
    </row>
    <row r="8193">
      <c r="A8193">
        <f>IFERROR(INDEX('Email Cleaner'!$B$2:$B$10001,MATCH(8192,'Email Cleaner'!$K$2:$K$10001,0)),"")</f>
        <v/>
      </c>
    </row>
    <row r="8194">
      <c r="A8194">
        <f>IFERROR(INDEX('Email Cleaner'!$B$2:$B$10001,MATCH(8193,'Email Cleaner'!$K$2:$K$10001,0)),"")</f>
        <v/>
      </c>
    </row>
    <row r="8195">
      <c r="A8195">
        <f>IFERROR(INDEX('Email Cleaner'!$B$2:$B$10001,MATCH(8194,'Email Cleaner'!$K$2:$K$10001,0)),"")</f>
        <v/>
      </c>
    </row>
    <row r="8196">
      <c r="A8196">
        <f>IFERROR(INDEX('Email Cleaner'!$B$2:$B$10001,MATCH(8195,'Email Cleaner'!$K$2:$K$10001,0)),"")</f>
        <v/>
      </c>
    </row>
    <row r="8197">
      <c r="A8197">
        <f>IFERROR(INDEX('Email Cleaner'!$B$2:$B$10001,MATCH(8196,'Email Cleaner'!$K$2:$K$10001,0)),"")</f>
        <v/>
      </c>
    </row>
    <row r="8198">
      <c r="A8198">
        <f>IFERROR(INDEX('Email Cleaner'!$B$2:$B$10001,MATCH(8197,'Email Cleaner'!$K$2:$K$10001,0)),"")</f>
        <v/>
      </c>
    </row>
    <row r="8199">
      <c r="A8199">
        <f>IFERROR(INDEX('Email Cleaner'!$B$2:$B$10001,MATCH(8198,'Email Cleaner'!$K$2:$K$10001,0)),"")</f>
        <v/>
      </c>
    </row>
    <row r="8200">
      <c r="A8200">
        <f>IFERROR(INDEX('Email Cleaner'!$B$2:$B$10001,MATCH(8199,'Email Cleaner'!$K$2:$K$10001,0)),"")</f>
        <v/>
      </c>
    </row>
    <row r="8201">
      <c r="A8201">
        <f>IFERROR(INDEX('Email Cleaner'!$B$2:$B$10001,MATCH(8200,'Email Cleaner'!$K$2:$K$10001,0)),"")</f>
        <v/>
      </c>
    </row>
    <row r="8202">
      <c r="A8202">
        <f>IFERROR(INDEX('Email Cleaner'!$B$2:$B$10001,MATCH(8201,'Email Cleaner'!$K$2:$K$10001,0)),"")</f>
        <v/>
      </c>
    </row>
    <row r="8203">
      <c r="A8203">
        <f>IFERROR(INDEX('Email Cleaner'!$B$2:$B$10001,MATCH(8202,'Email Cleaner'!$K$2:$K$10001,0)),"")</f>
        <v/>
      </c>
    </row>
    <row r="8204">
      <c r="A8204">
        <f>IFERROR(INDEX('Email Cleaner'!$B$2:$B$10001,MATCH(8203,'Email Cleaner'!$K$2:$K$10001,0)),"")</f>
        <v/>
      </c>
    </row>
    <row r="8205">
      <c r="A8205">
        <f>IFERROR(INDEX('Email Cleaner'!$B$2:$B$10001,MATCH(8204,'Email Cleaner'!$K$2:$K$10001,0)),"")</f>
        <v/>
      </c>
    </row>
    <row r="8206">
      <c r="A8206">
        <f>IFERROR(INDEX('Email Cleaner'!$B$2:$B$10001,MATCH(8205,'Email Cleaner'!$K$2:$K$10001,0)),"")</f>
        <v/>
      </c>
    </row>
    <row r="8207">
      <c r="A8207">
        <f>IFERROR(INDEX('Email Cleaner'!$B$2:$B$10001,MATCH(8206,'Email Cleaner'!$K$2:$K$10001,0)),"")</f>
        <v/>
      </c>
    </row>
    <row r="8208">
      <c r="A8208">
        <f>IFERROR(INDEX('Email Cleaner'!$B$2:$B$10001,MATCH(8207,'Email Cleaner'!$K$2:$K$10001,0)),"")</f>
        <v/>
      </c>
    </row>
    <row r="8209">
      <c r="A8209">
        <f>IFERROR(INDEX('Email Cleaner'!$B$2:$B$10001,MATCH(8208,'Email Cleaner'!$K$2:$K$10001,0)),"")</f>
        <v/>
      </c>
    </row>
    <row r="8210">
      <c r="A8210">
        <f>IFERROR(INDEX('Email Cleaner'!$B$2:$B$10001,MATCH(8209,'Email Cleaner'!$K$2:$K$10001,0)),"")</f>
        <v/>
      </c>
    </row>
    <row r="8211">
      <c r="A8211">
        <f>IFERROR(INDEX('Email Cleaner'!$B$2:$B$10001,MATCH(8210,'Email Cleaner'!$K$2:$K$10001,0)),"")</f>
        <v/>
      </c>
    </row>
    <row r="8212">
      <c r="A8212">
        <f>IFERROR(INDEX('Email Cleaner'!$B$2:$B$10001,MATCH(8211,'Email Cleaner'!$K$2:$K$10001,0)),"")</f>
        <v/>
      </c>
    </row>
    <row r="8213">
      <c r="A8213">
        <f>IFERROR(INDEX('Email Cleaner'!$B$2:$B$10001,MATCH(8212,'Email Cleaner'!$K$2:$K$10001,0)),"")</f>
        <v/>
      </c>
    </row>
    <row r="8214">
      <c r="A8214">
        <f>IFERROR(INDEX('Email Cleaner'!$B$2:$B$10001,MATCH(8213,'Email Cleaner'!$K$2:$K$10001,0)),"")</f>
        <v/>
      </c>
    </row>
    <row r="8215">
      <c r="A8215">
        <f>IFERROR(INDEX('Email Cleaner'!$B$2:$B$10001,MATCH(8214,'Email Cleaner'!$K$2:$K$10001,0)),"")</f>
        <v/>
      </c>
    </row>
    <row r="8216">
      <c r="A8216">
        <f>IFERROR(INDEX('Email Cleaner'!$B$2:$B$10001,MATCH(8215,'Email Cleaner'!$K$2:$K$10001,0)),"")</f>
        <v/>
      </c>
    </row>
    <row r="8217">
      <c r="A8217">
        <f>IFERROR(INDEX('Email Cleaner'!$B$2:$B$10001,MATCH(8216,'Email Cleaner'!$K$2:$K$10001,0)),"")</f>
        <v/>
      </c>
    </row>
    <row r="8218">
      <c r="A8218">
        <f>IFERROR(INDEX('Email Cleaner'!$B$2:$B$10001,MATCH(8217,'Email Cleaner'!$K$2:$K$10001,0)),"")</f>
        <v/>
      </c>
    </row>
    <row r="8219">
      <c r="A8219">
        <f>IFERROR(INDEX('Email Cleaner'!$B$2:$B$10001,MATCH(8218,'Email Cleaner'!$K$2:$K$10001,0)),"")</f>
        <v/>
      </c>
    </row>
    <row r="8220">
      <c r="A8220">
        <f>IFERROR(INDEX('Email Cleaner'!$B$2:$B$10001,MATCH(8219,'Email Cleaner'!$K$2:$K$10001,0)),"")</f>
        <v/>
      </c>
    </row>
    <row r="8221">
      <c r="A8221">
        <f>IFERROR(INDEX('Email Cleaner'!$B$2:$B$10001,MATCH(8220,'Email Cleaner'!$K$2:$K$10001,0)),"")</f>
        <v/>
      </c>
    </row>
    <row r="8222">
      <c r="A8222">
        <f>IFERROR(INDEX('Email Cleaner'!$B$2:$B$10001,MATCH(8221,'Email Cleaner'!$K$2:$K$10001,0)),"")</f>
        <v/>
      </c>
    </row>
    <row r="8223">
      <c r="A8223">
        <f>IFERROR(INDEX('Email Cleaner'!$B$2:$B$10001,MATCH(8222,'Email Cleaner'!$K$2:$K$10001,0)),"")</f>
        <v/>
      </c>
    </row>
    <row r="8224">
      <c r="A8224">
        <f>IFERROR(INDEX('Email Cleaner'!$B$2:$B$10001,MATCH(8223,'Email Cleaner'!$K$2:$K$10001,0)),"")</f>
        <v/>
      </c>
    </row>
    <row r="8225">
      <c r="A8225">
        <f>IFERROR(INDEX('Email Cleaner'!$B$2:$B$10001,MATCH(8224,'Email Cleaner'!$K$2:$K$10001,0)),"")</f>
        <v/>
      </c>
    </row>
    <row r="8226">
      <c r="A8226">
        <f>IFERROR(INDEX('Email Cleaner'!$B$2:$B$10001,MATCH(8225,'Email Cleaner'!$K$2:$K$10001,0)),"")</f>
        <v/>
      </c>
    </row>
    <row r="8227">
      <c r="A8227">
        <f>IFERROR(INDEX('Email Cleaner'!$B$2:$B$10001,MATCH(8226,'Email Cleaner'!$K$2:$K$10001,0)),"")</f>
        <v/>
      </c>
    </row>
    <row r="8228">
      <c r="A8228">
        <f>IFERROR(INDEX('Email Cleaner'!$B$2:$B$10001,MATCH(8227,'Email Cleaner'!$K$2:$K$10001,0)),"")</f>
        <v/>
      </c>
    </row>
    <row r="8229">
      <c r="A8229">
        <f>IFERROR(INDEX('Email Cleaner'!$B$2:$B$10001,MATCH(8228,'Email Cleaner'!$K$2:$K$10001,0)),"")</f>
        <v/>
      </c>
    </row>
    <row r="8230">
      <c r="A8230">
        <f>IFERROR(INDEX('Email Cleaner'!$B$2:$B$10001,MATCH(8229,'Email Cleaner'!$K$2:$K$10001,0)),"")</f>
        <v/>
      </c>
    </row>
    <row r="8231">
      <c r="A8231">
        <f>IFERROR(INDEX('Email Cleaner'!$B$2:$B$10001,MATCH(8230,'Email Cleaner'!$K$2:$K$10001,0)),"")</f>
        <v/>
      </c>
    </row>
    <row r="8232">
      <c r="A8232">
        <f>IFERROR(INDEX('Email Cleaner'!$B$2:$B$10001,MATCH(8231,'Email Cleaner'!$K$2:$K$10001,0)),"")</f>
        <v/>
      </c>
    </row>
    <row r="8233">
      <c r="A8233">
        <f>IFERROR(INDEX('Email Cleaner'!$B$2:$B$10001,MATCH(8232,'Email Cleaner'!$K$2:$K$10001,0)),"")</f>
        <v/>
      </c>
    </row>
    <row r="8234">
      <c r="A8234">
        <f>IFERROR(INDEX('Email Cleaner'!$B$2:$B$10001,MATCH(8233,'Email Cleaner'!$K$2:$K$10001,0)),"")</f>
        <v/>
      </c>
    </row>
    <row r="8235">
      <c r="A8235">
        <f>IFERROR(INDEX('Email Cleaner'!$B$2:$B$10001,MATCH(8234,'Email Cleaner'!$K$2:$K$10001,0)),"")</f>
        <v/>
      </c>
    </row>
    <row r="8236">
      <c r="A8236">
        <f>IFERROR(INDEX('Email Cleaner'!$B$2:$B$10001,MATCH(8235,'Email Cleaner'!$K$2:$K$10001,0)),"")</f>
        <v/>
      </c>
    </row>
    <row r="8237">
      <c r="A8237">
        <f>IFERROR(INDEX('Email Cleaner'!$B$2:$B$10001,MATCH(8236,'Email Cleaner'!$K$2:$K$10001,0)),"")</f>
        <v/>
      </c>
    </row>
    <row r="8238">
      <c r="A8238">
        <f>IFERROR(INDEX('Email Cleaner'!$B$2:$B$10001,MATCH(8237,'Email Cleaner'!$K$2:$K$10001,0)),"")</f>
        <v/>
      </c>
    </row>
    <row r="8239">
      <c r="A8239">
        <f>IFERROR(INDEX('Email Cleaner'!$B$2:$B$10001,MATCH(8238,'Email Cleaner'!$K$2:$K$10001,0)),"")</f>
        <v/>
      </c>
    </row>
    <row r="8240">
      <c r="A8240">
        <f>IFERROR(INDEX('Email Cleaner'!$B$2:$B$10001,MATCH(8239,'Email Cleaner'!$K$2:$K$10001,0)),"")</f>
        <v/>
      </c>
    </row>
    <row r="8241">
      <c r="A8241">
        <f>IFERROR(INDEX('Email Cleaner'!$B$2:$B$10001,MATCH(8240,'Email Cleaner'!$K$2:$K$10001,0)),"")</f>
        <v/>
      </c>
    </row>
    <row r="8242">
      <c r="A8242">
        <f>IFERROR(INDEX('Email Cleaner'!$B$2:$B$10001,MATCH(8241,'Email Cleaner'!$K$2:$K$10001,0)),"")</f>
        <v/>
      </c>
    </row>
    <row r="8243">
      <c r="A8243">
        <f>IFERROR(INDEX('Email Cleaner'!$B$2:$B$10001,MATCH(8242,'Email Cleaner'!$K$2:$K$10001,0)),"")</f>
        <v/>
      </c>
    </row>
    <row r="8244">
      <c r="A8244">
        <f>IFERROR(INDEX('Email Cleaner'!$B$2:$B$10001,MATCH(8243,'Email Cleaner'!$K$2:$K$10001,0)),"")</f>
        <v/>
      </c>
    </row>
    <row r="8245">
      <c r="A8245">
        <f>IFERROR(INDEX('Email Cleaner'!$B$2:$B$10001,MATCH(8244,'Email Cleaner'!$K$2:$K$10001,0)),"")</f>
        <v/>
      </c>
    </row>
    <row r="8246">
      <c r="A8246">
        <f>IFERROR(INDEX('Email Cleaner'!$B$2:$B$10001,MATCH(8245,'Email Cleaner'!$K$2:$K$10001,0)),"")</f>
        <v/>
      </c>
    </row>
    <row r="8247">
      <c r="A8247">
        <f>IFERROR(INDEX('Email Cleaner'!$B$2:$B$10001,MATCH(8246,'Email Cleaner'!$K$2:$K$10001,0)),"")</f>
        <v/>
      </c>
    </row>
    <row r="8248">
      <c r="A8248">
        <f>IFERROR(INDEX('Email Cleaner'!$B$2:$B$10001,MATCH(8247,'Email Cleaner'!$K$2:$K$10001,0)),"")</f>
        <v/>
      </c>
    </row>
    <row r="8249">
      <c r="A8249">
        <f>IFERROR(INDEX('Email Cleaner'!$B$2:$B$10001,MATCH(8248,'Email Cleaner'!$K$2:$K$10001,0)),"")</f>
        <v/>
      </c>
    </row>
    <row r="8250">
      <c r="A8250">
        <f>IFERROR(INDEX('Email Cleaner'!$B$2:$B$10001,MATCH(8249,'Email Cleaner'!$K$2:$K$10001,0)),"")</f>
        <v/>
      </c>
    </row>
    <row r="8251">
      <c r="A8251">
        <f>IFERROR(INDEX('Email Cleaner'!$B$2:$B$10001,MATCH(8250,'Email Cleaner'!$K$2:$K$10001,0)),"")</f>
        <v/>
      </c>
    </row>
    <row r="8252">
      <c r="A8252">
        <f>IFERROR(INDEX('Email Cleaner'!$B$2:$B$10001,MATCH(8251,'Email Cleaner'!$K$2:$K$10001,0)),"")</f>
        <v/>
      </c>
    </row>
    <row r="8253">
      <c r="A8253">
        <f>IFERROR(INDEX('Email Cleaner'!$B$2:$B$10001,MATCH(8252,'Email Cleaner'!$K$2:$K$10001,0)),"")</f>
        <v/>
      </c>
    </row>
    <row r="8254">
      <c r="A8254">
        <f>IFERROR(INDEX('Email Cleaner'!$B$2:$B$10001,MATCH(8253,'Email Cleaner'!$K$2:$K$10001,0)),"")</f>
        <v/>
      </c>
    </row>
    <row r="8255">
      <c r="A8255">
        <f>IFERROR(INDEX('Email Cleaner'!$B$2:$B$10001,MATCH(8254,'Email Cleaner'!$K$2:$K$10001,0)),"")</f>
        <v/>
      </c>
    </row>
    <row r="8256">
      <c r="A8256">
        <f>IFERROR(INDEX('Email Cleaner'!$B$2:$B$10001,MATCH(8255,'Email Cleaner'!$K$2:$K$10001,0)),"")</f>
        <v/>
      </c>
    </row>
    <row r="8257">
      <c r="A8257">
        <f>IFERROR(INDEX('Email Cleaner'!$B$2:$B$10001,MATCH(8256,'Email Cleaner'!$K$2:$K$10001,0)),"")</f>
        <v/>
      </c>
    </row>
    <row r="8258">
      <c r="A8258">
        <f>IFERROR(INDEX('Email Cleaner'!$B$2:$B$10001,MATCH(8257,'Email Cleaner'!$K$2:$K$10001,0)),"")</f>
        <v/>
      </c>
    </row>
    <row r="8259">
      <c r="A8259">
        <f>IFERROR(INDEX('Email Cleaner'!$B$2:$B$10001,MATCH(8258,'Email Cleaner'!$K$2:$K$10001,0)),"")</f>
        <v/>
      </c>
    </row>
    <row r="8260">
      <c r="A8260">
        <f>IFERROR(INDEX('Email Cleaner'!$B$2:$B$10001,MATCH(8259,'Email Cleaner'!$K$2:$K$10001,0)),"")</f>
        <v/>
      </c>
    </row>
    <row r="8261">
      <c r="A8261">
        <f>IFERROR(INDEX('Email Cleaner'!$B$2:$B$10001,MATCH(8260,'Email Cleaner'!$K$2:$K$10001,0)),"")</f>
        <v/>
      </c>
    </row>
    <row r="8262">
      <c r="A8262">
        <f>IFERROR(INDEX('Email Cleaner'!$B$2:$B$10001,MATCH(8261,'Email Cleaner'!$K$2:$K$10001,0)),"")</f>
        <v/>
      </c>
    </row>
    <row r="8263">
      <c r="A8263">
        <f>IFERROR(INDEX('Email Cleaner'!$B$2:$B$10001,MATCH(8262,'Email Cleaner'!$K$2:$K$10001,0)),"")</f>
        <v/>
      </c>
    </row>
    <row r="8264">
      <c r="A8264">
        <f>IFERROR(INDEX('Email Cleaner'!$B$2:$B$10001,MATCH(8263,'Email Cleaner'!$K$2:$K$10001,0)),"")</f>
        <v/>
      </c>
    </row>
    <row r="8265">
      <c r="A8265">
        <f>IFERROR(INDEX('Email Cleaner'!$B$2:$B$10001,MATCH(8264,'Email Cleaner'!$K$2:$K$10001,0)),"")</f>
        <v/>
      </c>
    </row>
    <row r="8266">
      <c r="A8266">
        <f>IFERROR(INDEX('Email Cleaner'!$B$2:$B$10001,MATCH(8265,'Email Cleaner'!$K$2:$K$10001,0)),"")</f>
        <v/>
      </c>
    </row>
    <row r="8267">
      <c r="A8267">
        <f>IFERROR(INDEX('Email Cleaner'!$B$2:$B$10001,MATCH(8266,'Email Cleaner'!$K$2:$K$10001,0)),"")</f>
        <v/>
      </c>
    </row>
    <row r="8268">
      <c r="A8268">
        <f>IFERROR(INDEX('Email Cleaner'!$B$2:$B$10001,MATCH(8267,'Email Cleaner'!$K$2:$K$10001,0)),"")</f>
        <v/>
      </c>
    </row>
    <row r="8269">
      <c r="A8269">
        <f>IFERROR(INDEX('Email Cleaner'!$B$2:$B$10001,MATCH(8268,'Email Cleaner'!$K$2:$K$10001,0)),"")</f>
        <v/>
      </c>
    </row>
    <row r="8270">
      <c r="A8270">
        <f>IFERROR(INDEX('Email Cleaner'!$B$2:$B$10001,MATCH(8269,'Email Cleaner'!$K$2:$K$10001,0)),"")</f>
        <v/>
      </c>
    </row>
    <row r="8271">
      <c r="A8271">
        <f>IFERROR(INDEX('Email Cleaner'!$B$2:$B$10001,MATCH(8270,'Email Cleaner'!$K$2:$K$10001,0)),"")</f>
        <v/>
      </c>
    </row>
    <row r="8272">
      <c r="A8272">
        <f>IFERROR(INDEX('Email Cleaner'!$B$2:$B$10001,MATCH(8271,'Email Cleaner'!$K$2:$K$10001,0)),"")</f>
        <v/>
      </c>
    </row>
    <row r="8273">
      <c r="A8273">
        <f>IFERROR(INDEX('Email Cleaner'!$B$2:$B$10001,MATCH(8272,'Email Cleaner'!$K$2:$K$10001,0)),"")</f>
        <v/>
      </c>
    </row>
    <row r="8274">
      <c r="A8274">
        <f>IFERROR(INDEX('Email Cleaner'!$B$2:$B$10001,MATCH(8273,'Email Cleaner'!$K$2:$K$10001,0)),"")</f>
        <v/>
      </c>
    </row>
    <row r="8275">
      <c r="A8275">
        <f>IFERROR(INDEX('Email Cleaner'!$B$2:$B$10001,MATCH(8274,'Email Cleaner'!$K$2:$K$10001,0)),"")</f>
        <v/>
      </c>
    </row>
    <row r="8276">
      <c r="A8276">
        <f>IFERROR(INDEX('Email Cleaner'!$B$2:$B$10001,MATCH(8275,'Email Cleaner'!$K$2:$K$10001,0)),"")</f>
        <v/>
      </c>
    </row>
    <row r="8277">
      <c r="A8277">
        <f>IFERROR(INDEX('Email Cleaner'!$B$2:$B$10001,MATCH(8276,'Email Cleaner'!$K$2:$K$10001,0)),"")</f>
        <v/>
      </c>
    </row>
    <row r="8278">
      <c r="A8278">
        <f>IFERROR(INDEX('Email Cleaner'!$B$2:$B$10001,MATCH(8277,'Email Cleaner'!$K$2:$K$10001,0)),"")</f>
        <v/>
      </c>
    </row>
    <row r="8279">
      <c r="A8279">
        <f>IFERROR(INDEX('Email Cleaner'!$B$2:$B$10001,MATCH(8278,'Email Cleaner'!$K$2:$K$10001,0)),"")</f>
        <v/>
      </c>
    </row>
    <row r="8280">
      <c r="A8280">
        <f>IFERROR(INDEX('Email Cleaner'!$B$2:$B$10001,MATCH(8279,'Email Cleaner'!$K$2:$K$10001,0)),"")</f>
        <v/>
      </c>
    </row>
    <row r="8281">
      <c r="A8281">
        <f>IFERROR(INDEX('Email Cleaner'!$B$2:$B$10001,MATCH(8280,'Email Cleaner'!$K$2:$K$10001,0)),"")</f>
        <v/>
      </c>
    </row>
    <row r="8282">
      <c r="A8282">
        <f>IFERROR(INDEX('Email Cleaner'!$B$2:$B$10001,MATCH(8281,'Email Cleaner'!$K$2:$K$10001,0)),"")</f>
        <v/>
      </c>
    </row>
    <row r="8283">
      <c r="A8283">
        <f>IFERROR(INDEX('Email Cleaner'!$B$2:$B$10001,MATCH(8282,'Email Cleaner'!$K$2:$K$10001,0)),"")</f>
        <v/>
      </c>
    </row>
    <row r="8284">
      <c r="A8284">
        <f>IFERROR(INDEX('Email Cleaner'!$B$2:$B$10001,MATCH(8283,'Email Cleaner'!$K$2:$K$10001,0)),"")</f>
        <v/>
      </c>
    </row>
    <row r="8285">
      <c r="A8285">
        <f>IFERROR(INDEX('Email Cleaner'!$B$2:$B$10001,MATCH(8284,'Email Cleaner'!$K$2:$K$10001,0)),"")</f>
        <v/>
      </c>
    </row>
    <row r="8286">
      <c r="A8286">
        <f>IFERROR(INDEX('Email Cleaner'!$B$2:$B$10001,MATCH(8285,'Email Cleaner'!$K$2:$K$10001,0)),"")</f>
        <v/>
      </c>
    </row>
    <row r="8287">
      <c r="A8287">
        <f>IFERROR(INDEX('Email Cleaner'!$B$2:$B$10001,MATCH(8286,'Email Cleaner'!$K$2:$K$10001,0)),"")</f>
        <v/>
      </c>
    </row>
    <row r="8288">
      <c r="A8288">
        <f>IFERROR(INDEX('Email Cleaner'!$B$2:$B$10001,MATCH(8287,'Email Cleaner'!$K$2:$K$10001,0)),"")</f>
        <v/>
      </c>
    </row>
    <row r="8289">
      <c r="A8289">
        <f>IFERROR(INDEX('Email Cleaner'!$B$2:$B$10001,MATCH(8288,'Email Cleaner'!$K$2:$K$10001,0)),"")</f>
        <v/>
      </c>
    </row>
    <row r="8290">
      <c r="A8290">
        <f>IFERROR(INDEX('Email Cleaner'!$B$2:$B$10001,MATCH(8289,'Email Cleaner'!$K$2:$K$10001,0)),"")</f>
        <v/>
      </c>
    </row>
    <row r="8291">
      <c r="A8291">
        <f>IFERROR(INDEX('Email Cleaner'!$B$2:$B$10001,MATCH(8290,'Email Cleaner'!$K$2:$K$10001,0)),"")</f>
        <v/>
      </c>
    </row>
    <row r="8292">
      <c r="A8292">
        <f>IFERROR(INDEX('Email Cleaner'!$B$2:$B$10001,MATCH(8291,'Email Cleaner'!$K$2:$K$10001,0)),"")</f>
        <v/>
      </c>
    </row>
    <row r="8293">
      <c r="A8293">
        <f>IFERROR(INDEX('Email Cleaner'!$B$2:$B$10001,MATCH(8292,'Email Cleaner'!$K$2:$K$10001,0)),"")</f>
        <v/>
      </c>
    </row>
    <row r="8294">
      <c r="A8294">
        <f>IFERROR(INDEX('Email Cleaner'!$B$2:$B$10001,MATCH(8293,'Email Cleaner'!$K$2:$K$10001,0)),"")</f>
        <v/>
      </c>
    </row>
    <row r="8295">
      <c r="A8295">
        <f>IFERROR(INDEX('Email Cleaner'!$B$2:$B$10001,MATCH(8294,'Email Cleaner'!$K$2:$K$10001,0)),"")</f>
        <v/>
      </c>
    </row>
    <row r="8296">
      <c r="A8296">
        <f>IFERROR(INDEX('Email Cleaner'!$B$2:$B$10001,MATCH(8295,'Email Cleaner'!$K$2:$K$10001,0)),"")</f>
        <v/>
      </c>
    </row>
    <row r="8297">
      <c r="A8297">
        <f>IFERROR(INDEX('Email Cleaner'!$B$2:$B$10001,MATCH(8296,'Email Cleaner'!$K$2:$K$10001,0)),"")</f>
        <v/>
      </c>
    </row>
    <row r="8298">
      <c r="A8298">
        <f>IFERROR(INDEX('Email Cleaner'!$B$2:$B$10001,MATCH(8297,'Email Cleaner'!$K$2:$K$10001,0)),"")</f>
        <v/>
      </c>
    </row>
    <row r="8299">
      <c r="A8299">
        <f>IFERROR(INDEX('Email Cleaner'!$B$2:$B$10001,MATCH(8298,'Email Cleaner'!$K$2:$K$10001,0)),"")</f>
        <v/>
      </c>
    </row>
    <row r="8300">
      <c r="A8300">
        <f>IFERROR(INDEX('Email Cleaner'!$B$2:$B$10001,MATCH(8299,'Email Cleaner'!$K$2:$K$10001,0)),"")</f>
        <v/>
      </c>
    </row>
    <row r="8301">
      <c r="A8301">
        <f>IFERROR(INDEX('Email Cleaner'!$B$2:$B$10001,MATCH(8300,'Email Cleaner'!$K$2:$K$10001,0)),"")</f>
        <v/>
      </c>
    </row>
    <row r="8302">
      <c r="A8302">
        <f>IFERROR(INDEX('Email Cleaner'!$B$2:$B$10001,MATCH(8301,'Email Cleaner'!$K$2:$K$10001,0)),"")</f>
        <v/>
      </c>
    </row>
    <row r="8303">
      <c r="A8303">
        <f>IFERROR(INDEX('Email Cleaner'!$B$2:$B$10001,MATCH(8302,'Email Cleaner'!$K$2:$K$10001,0)),"")</f>
        <v/>
      </c>
    </row>
    <row r="8304">
      <c r="A8304">
        <f>IFERROR(INDEX('Email Cleaner'!$B$2:$B$10001,MATCH(8303,'Email Cleaner'!$K$2:$K$10001,0)),"")</f>
        <v/>
      </c>
    </row>
    <row r="8305">
      <c r="A8305">
        <f>IFERROR(INDEX('Email Cleaner'!$B$2:$B$10001,MATCH(8304,'Email Cleaner'!$K$2:$K$10001,0)),"")</f>
        <v/>
      </c>
    </row>
    <row r="8306">
      <c r="A8306">
        <f>IFERROR(INDEX('Email Cleaner'!$B$2:$B$10001,MATCH(8305,'Email Cleaner'!$K$2:$K$10001,0)),"")</f>
        <v/>
      </c>
    </row>
    <row r="8307">
      <c r="A8307">
        <f>IFERROR(INDEX('Email Cleaner'!$B$2:$B$10001,MATCH(8306,'Email Cleaner'!$K$2:$K$10001,0)),"")</f>
        <v/>
      </c>
    </row>
    <row r="8308">
      <c r="A8308">
        <f>IFERROR(INDEX('Email Cleaner'!$B$2:$B$10001,MATCH(8307,'Email Cleaner'!$K$2:$K$10001,0)),"")</f>
        <v/>
      </c>
    </row>
    <row r="8309">
      <c r="A8309">
        <f>IFERROR(INDEX('Email Cleaner'!$B$2:$B$10001,MATCH(8308,'Email Cleaner'!$K$2:$K$10001,0)),"")</f>
        <v/>
      </c>
    </row>
    <row r="8310">
      <c r="A8310">
        <f>IFERROR(INDEX('Email Cleaner'!$B$2:$B$10001,MATCH(8309,'Email Cleaner'!$K$2:$K$10001,0)),"")</f>
        <v/>
      </c>
    </row>
    <row r="8311">
      <c r="A8311">
        <f>IFERROR(INDEX('Email Cleaner'!$B$2:$B$10001,MATCH(8310,'Email Cleaner'!$K$2:$K$10001,0)),"")</f>
        <v/>
      </c>
    </row>
    <row r="8312">
      <c r="A8312">
        <f>IFERROR(INDEX('Email Cleaner'!$B$2:$B$10001,MATCH(8311,'Email Cleaner'!$K$2:$K$10001,0)),"")</f>
        <v/>
      </c>
    </row>
    <row r="8313">
      <c r="A8313">
        <f>IFERROR(INDEX('Email Cleaner'!$B$2:$B$10001,MATCH(8312,'Email Cleaner'!$K$2:$K$10001,0)),"")</f>
        <v/>
      </c>
    </row>
    <row r="8314">
      <c r="A8314">
        <f>IFERROR(INDEX('Email Cleaner'!$B$2:$B$10001,MATCH(8313,'Email Cleaner'!$K$2:$K$10001,0)),"")</f>
        <v/>
      </c>
    </row>
    <row r="8315">
      <c r="A8315">
        <f>IFERROR(INDEX('Email Cleaner'!$B$2:$B$10001,MATCH(8314,'Email Cleaner'!$K$2:$K$10001,0)),"")</f>
        <v/>
      </c>
    </row>
    <row r="8316">
      <c r="A8316">
        <f>IFERROR(INDEX('Email Cleaner'!$B$2:$B$10001,MATCH(8315,'Email Cleaner'!$K$2:$K$10001,0)),"")</f>
        <v/>
      </c>
    </row>
    <row r="8317">
      <c r="A8317">
        <f>IFERROR(INDEX('Email Cleaner'!$B$2:$B$10001,MATCH(8316,'Email Cleaner'!$K$2:$K$10001,0)),"")</f>
        <v/>
      </c>
    </row>
    <row r="8318">
      <c r="A8318">
        <f>IFERROR(INDEX('Email Cleaner'!$B$2:$B$10001,MATCH(8317,'Email Cleaner'!$K$2:$K$10001,0)),"")</f>
        <v/>
      </c>
    </row>
    <row r="8319">
      <c r="A8319">
        <f>IFERROR(INDEX('Email Cleaner'!$B$2:$B$10001,MATCH(8318,'Email Cleaner'!$K$2:$K$10001,0)),"")</f>
        <v/>
      </c>
    </row>
    <row r="8320">
      <c r="A8320">
        <f>IFERROR(INDEX('Email Cleaner'!$B$2:$B$10001,MATCH(8319,'Email Cleaner'!$K$2:$K$10001,0)),"")</f>
        <v/>
      </c>
    </row>
    <row r="8321">
      <c r="A8321">
        <f>IFERROR(INDEX('Email Cleaner'!$B$2:$B$10001,MATCH(8320,'Email Cleaner'!$K$2:$K$10001,0)),"")</f>
        <v/>
      </c>
    </row>
    <row r="8322">
      <c r="A8322">
        <f>IFERROR(INDEX('Email Cleaner'!$B$2:$B$10001,MATCH(8321,'Email Cleaner'!$K$2:$K$10001,0)),"")</f>
        <v/>
      </c>
    </row>
    <row r="8323">
      <c r="A8323">
        <f>IFERROR(INDEX('Email Cleaner'!$B$2:$B$10001,MATCH(8322,'Email Cleaner'!$K$2:$K$10001,0)),"")</f>
        <v/>
      </c>
    </row>
    <row r="8324">
      <c r="A8324">
        <f>IFERROR(INDEX('Email Cleaner'!$B$2:$B$10001,MATCH(8323,'Email Cleaner'!$K$2:$K$10001,0)),"")</f>
        <v/>
      </c>
    </row>
    <row r="8325">
      <c r="A8325">
        <f>IFERROR(INDEX('Email Cleaner'!$B$2:$B$10001,MATCH(8324,'Email Cleaner'!$K$2:$K$10001,0)),"")</f>
        <v/>
      </c>
    </row>
    <row r="8326">
      <c r="A8326">
        <f>IFERROR(INDEX('Email Cleaner'!$B$2:$B$10001,MATCH(8325,'Email Cleaner'!$K$2:$K$10001,0)),"")</f>
        <v/>
      </c>
    </row>
    <row r="8327">
      <c r="A8327">
        <f>IFERROR(INDEX('Email Cleaner'!$B$2:$B$10001,MATCH(8326,'Email Cleaner'!$K$2:$K$10001,0)),"")</f>
        <v/>
      </c>
    </row>
    <row r="8328">
      <c r="A8328">
        <f>IFERROR(INDEX('Email Cleaner'!$B$2:$B$10001,MATCH(8327,'Email Cleaner'!$K$2:$K$10001,0)),"")</f>
        <v/>
      </c>
    </row>
    <row r="8329">
      <c r="A8329">
        <f>IFERROR(INDEX('Email Cleaner'!$B$2:$B$10001,MATCH(8328,'Email Cleaner'!$K$2:$K$10001,0)),"")</f>
        <v/>
      </c>
    </row>
    <row r="8330">
      <c r="A8330">
        <f>IFERROR(INDEX('Email Cleaner'!$B$2:$B$10001,MATCH(8329,'Email Cleaner'!$K$2:$K$10001,0)),"")</f>
        <v/>
      </c>
    </row>
    <row r="8331">
      <c r="A8331">
        <f>IFERROR(INDEX('Email Cleaner'!$B$2:$B$10001,MATCH(8330,'Email Cleaner'!$K$2:$K$10001,0)),"")</f>
        <v/>
      </c>
    </row>
    <row r="8332">
      <c r="A8332">
        <f>IFERROR(INDEX('Email Cleaner'!$B$2:$B$10001,MATCH(8331,'Email Cleaner'!$K$2:$K$10001,0)),"")</f>
        <v/>
      </c>
    </row>
    <row r="8333">
      <c r="A8333">
        <f>IFERROR(INDEX('Email Cleaner'!$B$2:$B$10001,MATCH(8332,'Email Cleaner'!$K$2:$K$10001,0)),"")</f>
        <v/>
      </c>
    </row>
    <row r="8334">
      <c r="A8334">
        <f>IFERROR(INDEX('Email Cleaner'!$B$2:$B$10001,MATCH(8333,'Email Cleaner'!$K$2:$K$10001,0)),"")</f>
        <v/>
      </c>
    </row>
    <row r="8335">
      <c r="A8335">
        <f>IFERROR(INDEX('Email Cleaner'!$B$2:$B$10001,MATCH(8334,'Email Cleaner'!$K$2:$K$10001,0)),"")</f>
        <v/>
      </c>
    </row>
    <row r="8336">
      <c r="A8336">
        <f>IFERROR(INDEX('Email Cleaner'!$B$2:$B$10001,MATCH(8335,'Email Cleaner'!$K$2:$K$10001,0)),"")</f>
        <v/>
      </c>
    </row>
    <row r="8337">
      <c r="A8337">
        <f>IFERROR(INDEX('Email Cleaner'!$B$2:$B$10001,MATCH(8336,'Email Cleaner'!$K$2:$K$10001,0)),"")</f>
        <v/>
      </c>
    </row>
    <row r="8338">
      <c r="A8338">
        <f>IFERROR(INDEX('Email Cleaner'!$B$2:$B$10001,MATCH(8337,'Email Cleaner'!$K$2:$K$10001,0)),"")</f>
        <v/>
      </c>
    </row>
    <row r="8339">
      <c r="A8339">
        <f>IFERROR(INDEX('Email Cleaner'!$B$2:$B$10001,MATCH(8338,'Email Cleaner'!$K$2:$K$10001,0)),"")</f>
        <v/>
      </c>
    </row>
    <row r="8340">
      <c r="A8340">
        <f>IFERROR(INDEX('Email Cleaner'!$B$2:$B$10001,MATCH(8339,'Email Cleaner'!$K$2:$K$10001,0)),"")</f>
        <v/>
      </c>
    </row>
    <row r="8341">
      <c r="A8341">
        <f>IFERROR(INDEX('Email Cleaner'!$B$2:$B$10001,MATCH(8340,'Email Cleaner'!$K$2:$K$10001,0)),"")</f>
        <v/>
      </c>
    </row>
    <row r="8342">
      <c r="A8342">
        <f>IFERROR(INDEX('Email Cleaner'!$B$2:$B$10001,MATCH(8341,'Email Cleaner'!$K$2:$K$10001,0)),"")</f>
        <v/>
      </c>
    </row>
    <row r="8343">
      <c r="A8343">
        <f>IFERROR(INDEX('Email Cleaner'!$B$2:$B$10001,MATCH(8342,'Email Cleaner'!$K$2:$K$10001,0)),"")</f>
        <v/>
      </c>
    </row>
    <row r="8344">
      <c r="A8344">
        <f>IFERROR(INDEX('Email Cleaner'!$B$2:$B$10001,MATCH(8343,'Email Cleaner'!$K$2:$K$10001,0)),"")</f>
        <v/>
      </c>
    </row>
    <row r="8345">
      <c r="A8345">
        <f>IFERROR(INDEX('Email Cleaner'!$B$2:$B$10001,MATCH(8344,'Email Cleaner'!$K$2:$K$10001,0)),"")</f>
        <v/>
      </c>
    </row>
    <row r="8346">
      <c r="A8346">
        <f>IFERROR(INDEX('Email Cleaner'!$B$2:$B$10001,MATCH(8345,'Email Cleaner'!$K$2:$K$10001,0)),"")</f>
        <v/>
      </c>
    </row>
    <row r="8347">
      <c r="A8347">
        <f>IFERROR(INDEX('Email Cleaner'!$B$2:$B$10001,MATCH(8346,'Email Cleaner'!$K$2:$K$10001,0)),"")</f>
        <v/>
      </c>
    </row>
    <row r="8348">
      <c r="A8348">
        <f>IFERROR(INDEX('Email Cleaner'!$B$2:$B$10001,MATCH(8347,'Email Cleaner'!$K$2:$K$10001,0)),"")</f>
        <v/>
      </c>
    </row>
    <row r="8349">
      <c r="A8349">
        <f>IFERROR(INDEX('Email Cleaner'!$B$2:$B$10001,MATCH(8348,'Email Cleaner'!$K$2:$K$10001,0)),"")</f>
        <v/>
      </c>
    </row>
    <row r="8350">
      <c r="A8350">
        <f>IFERROR(INDEX('Email Cleaner'!$B$2:$B$10001,MATCH(8349,'Email Cleaner'!$K$2:$K$10001,0)),"")</f>
        <v/>
      </c>
    </row>
    <row r="8351">
      <c r="A8351">
        <f>IFERROR(INDEX('Email Cleaner'!$B$2:$B$10001,MATCH(8350,'Email Cleaner'!$K$2:$K$10001,0)),"")</f>
        <v/>
      </c>
    </row>
    <row r="8352">
      <c r="A8352">
        <f>IFERROR(INDEX('Email Cleaner'!$B$2:$B$10001,MATCH(8351,'Email Cleaner'!$K$2:$K$10001,0)),"")</f>
        <v/>
      </c>
    </row>
    <row r="8353">
      <c r="A8353">
        <f>IFERROR(INDEX('Email Cleaner'!$B$2:$B$10001,MATCH(8352,'Email Cleaner'!$K$2:$K$10001,0)),"")</f>
        <v/>
      </c>
    </row>
    <row r="8354">
      <c r="A8354">
        <f>IFERROR(INDEX('Email Cleaner'!$B$2:$B$10001,MATCH(8353,'Email Cleaner'!$K$2:$K$10001,0)),"")</f>
        <v/>
      </c>
    </row>
    <row r="8355">
      <c r="A8355">
        <f>IFERROR(INDEX('Email Cleaner'!$B$2:$B$10001,MATCH(8354,'Email Cleaner'!$K$2:$K$10001,0)),"")</f>
        <v/>
      </c>
    </row>
    <row r="8356">
      <c r="A8356">
        <f>IFERROR(INDEX('Email Cleaner'!$B$2:$B$10001,MATCH(8355,'Email Cleaner'!$K$2:$K$10001,0)),"")</f>
        <v/>
      </c>
    </row>
    <row r="8357">
      <c r="A8357">
        <f>IFERROR(INDEX('Email Cleaner'!$B$2:$B$10001,MATCH(8356,'Email Cleaner'!$K$2:$K$10001,0)),"")</f>
        <v/>
      </c>
    </row>
    <row r="8358">
      <c r="A8358">
        <f>IFERROR(INDEX('Email Cleaner'!$B$2:$B$10001,MATCH(8357,'Email Cleaner'!$K$2:$K$10001,0)),"")</f>
        <v/>
      </c>
    </row>
    <row r="8359">
      <c r="A8359">
        <f>IFERROR(INDEX('Email Cleaner'!$B$2:$B$10001,MATCH(8358,'Email Cleaner'!$K$2:$K$10001,0)),"")</f>
        <v/>
      </c>
    </row>
    <row r="8360">
      <c r="A8360">
        <f>IFERROR(INDEX('Email Cleaner'!$B$2:$B$10001,MATCH(8359,'Email Cleaner'!$K$2:$K$10001,0)),"")</f>
        <v/>
      </c>
    </row>
    <row r="8361">
      <c r="A8361">
        <f>IFERROR(INDEX('Email Cleaner'!$B$2:$B$10001,MATCH(8360,'Email Cleaner'!$K$2:$K$10001,0)),"")</f>
        <v/>
      </c>
    </row>
    <row r="8362">
      <c r="A8362">
        <f>IFERROR(INDEX('Email Cleaner'!$B$2:$B$10001,MATCH(8361,'Email Cleaner'!$K$2:$K$10001,0)),"")</f>
        <v/>
      </c>
    </row>
    <row r="8363">
      <c r="A8363">
        <f>IFERROR(INDEX('Email Cleaner'!$B$2:$B$10001,MATCH(8362,'Email Cleaner'!$K$2:$K$10001,0)),"")</f>
        <v/>
      </c>
    </row>
    <row r="8364">
      <c r="A8364">
        <f>IFERROR(INDEX('Email Cleaner'!$B$2:$B$10001,MATCH(8363,'Email Cleaner'!$K$2:$K$10001,0)),"")</f>
        <v/>
      </c>
    </row>
    <row r="8365">
      <c r="A8365">
        <f>IFERROR(INDEX('Email Cleaner'!$B$2:$B$10001,MATCH(8364,'Email Cleaner'!$K$2:$K$10001,0)),"")</f>
        <v/>
      </c>
    </row>
    <row r="8366">
      <c r="A8366">
        <f>IFERROR(INDEX('Email Cleaner'!$B$2:$B$10001,MATCH(8365,'Email Cleaner'!$K$2:$K$10001,0)),"")</f>
        <v/>
      </c>
    </row>
    <row r="8367">
      <c r="A8367">
        <f>IFERROR(INDEX('Email Cleaner'!$B$2:$B$10001,MATCH(8366,'Email Cleaner'!$K$2:$K$10001,0)),"")</f>
        <v/>
      </c>
    </row>
    <row r="8368">
      <c r="A8368">
        <f>IFERROR(INDEX('Email Cleaner'!$B$2:$B$10001,MATCH(8367,'Email Cleaner'!$K$2:$K$10001,0)),"")</f>
        <v/>
      </c>
    </row>
    <row r="8369">
      <c r="A8369">
        <f>IFERROR(INDEX('Email Cleaner'!$B$2:$B$10001,MATCH(8368,'Email Cleaner'!$K$2:$K$10001,0)),"")</f>
        <v/>
      </c>
    </row>
    <row r="8370">
      <c r="A8370">
        <f>IFERROR(INDEX('Email Cleaner'!$B$2:$B$10001,MATCH(8369,'Email Cleaner'!$K$2:$K$10001,0)),"")</f>
        <v/>
      </c>
    </row>
    <row r="8371">
      <c r="A8371">
        <f>IFERROR(INDEX('Email Cleaner'!$B$2:$B$10001,MATCH(8370,'Email Cleaner'!$K$2:$K$10001,0)),"")</f>
        <v/>
      </c>
    </row>
    <row r="8372">
      <c r="A8372">
        <f>IFERROR(INDEX('Email Cleaner'!$B$2:$B$10001,MATCH(8371,'Email Cleaner'!$K$2:$K$10001,0)),"")</f>
        <v/>
      </c>
    </row>
    <row r="8373">
      <c r="A8373">
        <f>IFERROR(INDEX('Email Cleaner'!$B$2:$B$10001,MATCH(8372,'Email Cleaner'!$K$2:$K$10001,0)),"")</f>
        <v/>
      </c>
    </row>
    <row r="8374">
      <c r="A8374">
        <f>IFERROR(INDEX('Email Cleaner'!$B$2:$B$10001,MATCH(8373,'Email Cleaner'!$K$2:$K$10001,0)),"")</f>
        <v/>
      </c>
    </row>
    <row r="8375">
      <c r="A8375">
        <f>IFERROR(INDEX('Email Cleaner'!$B$2:$B$10001,MATCH(8374,'Email Cleaner'!$K$2:$K$10001,0)),"")</f>
        <v/>
      </c>
    </row>
    <row r="8376">
      <c r="A8376">
        <f>IFERROR(INDEX('Email Cleaner'!$B$2:$B$10001,MATCH(8375,'Email Cleaner'!$K$2:$K$10001,0)),"")</f>
        <v/>
      </c>
    </row>
    <row r="8377">
      <c r="A8377">
        <f>IFERROR(INDEX('Email Cleaner'!$B$2:$B$10001,MATCH(8376,'Email Cleaner'!$K$2:$K$10001,0)),"")</f>
        <v/>
      </c>
    </row>
    <row r="8378">
      <c r="A8378">
        <f>IFERROR(INDEX('Email Cleaner'!$B$2:$B$10001,MATCH(8377,'Email Cleaner'!$K$2:$K$10001,0)),"")</f>
        <v/>
      </c>
    </row>
    <row r="8379">
      <c r="A8379">
        <f>IFERROR(INDEX('Email Cleaner'!$B$2:$B$10001,MATCH(8378,'Email Cleaner'!$K$2:$K$10001,0)),"")</f>
        <v/>
      </c>
    </row>
    <row r="8380">
      <c r="A8380">
        <f>IFERROR(INDEX('Email Cleaner'!$B$2:$B$10001,MATCH(8379,'Email Cleaner'!$K$2:$K$10001,0)),"")</f>
        <v/>
      </c>
    </row>
    <row r="8381">
      <c r="A8381">
        <f>IFERROR(INDEX('Email Cleaner'!$B$2:$B$10001,MATCH(8380,'Email Cleaner'!$K$2:$K$10001,0)),"")</f>
        <v/>
      </c>
    </row>
    <row r="8382">
      <c r="A8382">
        <f>IFERROR(INDEX('Email Cleaner'!$B$2:$B$10001,MATCH(8381,'Email Cleaner'!$K$2:$K$10001,0)),"")</f>
        <v/>
      </c>
    </row>
    <row r="8383">
      <c r="A8383">
        <f>IFERROR(INDEX('Email Cleaner'!$B$2:$B$10001,MATCH(8382,'Email Cleaner'!$K$2:$K$10001,0)),"")</f>
        <v/>
      </c>
    </row>
    <row r="8384">
      <c r="A8384">
        <f>IFERROR(INDEX('Email Cleaner'!$B$2:$B$10001,MATCH(8383,'Email Cleaner'!$K$2:$K$10001,0)),"")</f>
        <v/>
      </c>
    </row>
    <row r="8385">
      <c r="A8385">
        <f>IFERROR(INDEX('Email Cleaner'!$B$2:$B$10001,MATCH(8384,'Email Cleaner'!$K$2:$K$10001,0)),"")</f>
        <v/>
      </c>
    </row>
    <row r="8386">
      <c r="A8386">
        <f>IFERROR(INDEX('Email Cleaner'!$B$2:$B$10001,MATCH(8385,'Email Cleaner'!$K$2:$K$10001,0)),"")</f>
        <v/>
      </c>
    </row>
    <row r="8387">
      <c r="A8387">
        <f>IFERROR(INDEX('Email Cleaner'!$B$2:$B$10001,MATCH(8386,'Email Cleaner'!$K$2:$K$10001,0)),"")</f>
        <v/>
      </c>
    </row>
    <row r="8388">
      <c r="A8388">
        <f>IFERROR(INDEX('Email Cleaner'!$B$2:$B$10001,MATCH(8387,'Email Cleaner'!$K$2:$K$10001,0)),"")</f>
        <v/>
      </c>
    </row>
    <row r="8389">
      <c r="A8389">
        <f>IFERROR(INDEX('Email Cleaner'!$B$2:$B$10001,MATCH(8388,'Email Cleaner'!$K$2:$K$10001,0)),"")</f>
        <v/>
      </c>
    </row>
    <row r="8390">
      <c r="A8390">
        <f>IFERROR(INDEX('Email Cleaner'!$B$2:$B$10001,MATCH(8389,'Email Cleaner'!$K$2:$K$10001,0)),"")</f>
        <v/>
      </c>
    </row>
    <row r="8391">
      <c r="A8391">
        <f>IFERROR(INDEX('Email Cleaner'!$B$2:$B$10001,MATCH(8390,'Email Cleaner'!$K$2:$K$10001,0)),"")</f>
        <v/>
      </c>
    </row>
    <row r="8392">
      <c r="A8392">
        <f>IFERROR(INDEX('Email Cleaner'!$B$2:$B$10001,MATCH(8391,'Email Cleaner'!$K$2:$K$10001,0)),"")</f>
        <v/>
      </c>
    </row>
    <row r="8393">
      <c r="A8393">
        <f>IFERROR(INDEX('Email Cleaner'!$B$2:$B$10001,MATCH(8392,'Email Cleaner'!$K$2:$K$10001,0)),"")</f>
        <v/>
      </c>
    </row>
    <row r="8394">
      <c r="A8394">
        <f>IFERROR(INDEX('Email Cleaner'!$B$2:$B$10001,MATCH(8393,'Email Cleaner'!$K$2:$K$10001,0)),"")</f>
        <v/>
      </c>
    </row>
    <row r="8395">
      <c r="A8395">
        <f>IFERROR(INDEX('Email Cleaner'!$B$2:$B$10001,MATCH(8394,'Email Cleaner'!$K$2:$K$10001,0)),"")</f>
        <v/>
      </c>
    </row>
    <row r="8396">
      <c r="A8396">
        <f>IFERROR(INDEX('Email Cleaner'!$B$2:$B$10001,MATCH(8395,'Email Cleaner'!$K$2:$K$10001,0)),"")</f>
        <v/>
      </c>
    </row>
    <row r="8397">
      <c r="A8397">
        <f>IFERROR(INDEX('Email Cleaner'!$B$2:$B$10001,MATCH(8396,'Email Cleaner'!$K$2:$K$10001,0)),"")</f>
        <v/>
      </c>
    </row>
    <row r="8398">
      <c r="A8398">
        <f>IFERROR(INDEX('Email Cleaner'!$B$2:$B$10001,MATCH(8397,'Email Cleaner'!$K$2:$K$10001,0)),"")</f>
        <v/>
      </c>
    </row>
    <row r="8399">
      <c r="A8399">
        <f>IFERROR(INDEX('Email Cleaner'!$B$2:$B$10001,MATCH(8398,'Email Cleaner'!$K$2:$K$10001,0)),"")</f>
        <v/>
      </c>
    </row>
    <row r="8400">
      <c r="A8400">
        <f>IFERROR(INDEX('Email Cleaner'!$B$2:$B$10001,MATCH(8399,'Email Cleaner'!$K$2:$K$10001,0)),"")</f>
        <v/>
      </c>
    </row>
    <row r="8401">
      <c r="A8401">
        <f>IFERROR(INDEX('Email Cleaner'!$B$2:$B$10001,MATCH(8400,'Email Cleaner'!$K$2:$K$10001,0)),"")</f>
        <v/>
      </c>
    </row>
    <row r="8402">
      <c r="A8402">
        <f>IFERROR(INDEX('Email Cleaner'!$B$2:$B$10001,MATCH(8401,'Email Cleaner'!$K$2:$K$10001,0)),"")</f>
        <v/>
      </c>
    </row>
    <row r="8403">
      <c r="A8403">
        <f>IFERROR(INDEX('Email Cleaner'!$B$2:$B$10001,MATCH(8402,'Email Cleaner'!$K$2:$K$10001,0)),"")</f>
        <v/>
      </c>
    </row>
    <row r="8404">
      <c r="A8404">
        <f>IFERROR(INDEX('Email Cleaner'!$B$2:$B$10001,MATCH(8403,'Email Cleaner'!$K$2:$K$10001,0)),"")</f>
        <v/>
      </c>
    </row>
    <row r="8405">
      <c r="A8405">
        <f>IFERROR(INDEX('Email Cleaner'!$B$2:$B$10001,MATCH(8404,'Email Cleaner'!$K$2:$K$10001,0)),"")</f>
        <v/>
      </c>
    </row>
    <row r="8406">
      <c r="A8406">
        <f>IFERROR(INDEX('Email Cleaner'!$B$2:$B$10001,MATCH(8405,'Email Cleaner'!$K$2:$K$10001,0)),"")</f>
        <v/>
      </c>
    </row>
    <row r="8407">
      <c r="A8407">
        <f>IFERROR(INDEX('Email Cleaner'!$B$2:$B$10001,MATCH(8406,'Email Cleaner'!$K$2:$K$10001,0)),"")</f>
        <v/>
      </c>
    </row>
    <row r="8408">
      <c r="A8408">
        <f>IFERROR(INDEX('Email Cleaner'!$B$2:$B$10001,MATCH(8407,'Email Cleaner'!$K$2:$K$10001,0)),"")</f>
        <v/>
      </c>
    </row>
    <row r="8409">
      <c r="A8409">
        <f>IFERROR(INDEX('Email Cleaner'!$B$2:$B$10001,MATCH(8408,'Email Cleaner'!$K$2:$K$10001,0)),"")</f>
        <v/>
      </c>
    </row>
    <row r="8410">
      <c r="A8410">
        <f>IFERROR(INDEX('Email Cleaner'!$B$2:$B$10001,MATCH(8409,'Email Cleaner'!$K$2:$K$10001,0)),"")</f>
        <v/>
      </c>
    </row>
    <row r="8411">
      <c r="A8411">
        <f>IFERROR(INDEX('Email Cleaner'!$B$2:$B$10001,MATCH(8410,'Email Cleaner'!$K$2:$K$10001,0)),"")</f>
        <v/>
      </c>
    </row>
    <row r="8412">
      <c r="A8412">
        <f>IFERROR(INDEX('Email Cleaner'!$B$2:$B$10001,MATCH(8411,'Email Cleaner'!$K$2:$K$10001,0)),"")</f>
        <v/>
      </c>
    </row>
    <row r="8413">
      <c r="A8413">
        <f>IFERROR(INDEX('Email Cleaner'!$B$2:$B$10001,MATCH(8412,'Email Cleaner'!$K$2:$K$10001,0)),"")</f>
        <v/>
      </c>
    </row>
    <row r="8414">
      <c r="A8414">
        <f>IFERROR(INDEX('Email Cleaner'!$B$2:$B$10001,MATCH(8413,'Email Cleaner'!$K$2:$K$10001,0)),"")</f>
        <v/>
      </c>
    </row>
    <row r="8415">
      <c r="A8415">
        <f>IFERROR(INDEX('Email Cleaner'!$B$2:$B$10001,MATCH(8414,'Email Cleaner'!$K$2:$K$10001,0)),"")</f>
        <v/>
      </c>
    </row>
    <row r="8416">
      <c r="A8416">
        <f>IFERROR(INDEX('Email Cleaner'!$B$2:$B$10001,MATCH(8415,'Email Cleaner'!$K$2:$K$10001,0)),"")</f>
        <v/>
      </c>
    </row>
    <row r="8417">
      <c r="A8417">
        <f>IFERROR(INDEX('Email Cleaner'!$B$2:$B$10001,MATCH(8416,'Email Cleaner'!$K$2:$K$10001,0)),"")</f>
        <v/>
      </c>
    </row>
    <row r="8418">
      <c r="A8418">
        <f>IFERROR(INDEX('Email Cleaner'!$B$2:$B$10001,MATCH(8417,'Email Cleaner'!$K$2:$K$10001,0)),"")</f>
        <v/>
      </c>
    </row>
    <row r="8419">
      <c r="A8419">
        <f>IFERROR(INDEX('Email Cleaner'!$B$2:$B$10001,MATCH(8418,'Email Cleaner'!$K$2:$K$10001,0)),"")</f>
        <v/>
      </c>
    </row>
    <row r="8420">
      <c r="A8420">
        <f>IFERROR(INDEX('Email Cleaner'!$B$2:$B$10001,MATCH(8419,'Email Cleaner'!$K$2:$K$10001,0)),"")</f>
        <v/>
      </c>
    </row>
    <row r="8421">
      <c r="A8421">
        <f>IFERROR(INDEX('Email Cleaner'!$B$2:$B$10001,MATCH(8420,'Email Cleaner'!$K$2:$K$10001,0)),"")</f>
        <v/>
      </c>
    </row>
    <row r="8422">
      <c r="A8422">
        <f>IFERROR(INDEX('Email Cleaner'!$B$2:$B$10001,MATCH(8421,'Email Cleaner'!$K$2:$K$10001,0)),"")</f>
        <v/>
      </c>
    </row>
    <row r="8423">
      <c r="A8423">
        <f>IFERROR(INDEX('Email Cleaner'!$B$2:$B$10001,MATCH(8422,'Email Cleaner'!$K$2:$K$10001,0)),"")</f>
        <v/>
      </c>
    </row>
    <row r="8424">
      <c r="A8424">
        <f>IFERROR(INDEX('Email Cleaner'!$B$2:$B$10001,MATCH(8423,'Email Cleaner'!$K$2:$K$10001,0)),"")</f>
        <v/>
      </c>
    </row>
    <row r="8425">
      <c r="A8425">
        <f>IFERROR(INDEX('Email Cleaner'!$B$2:$B$10001,MATCH(8424,'Email Cleaner'!$K$2:$K$10001,0)),"")</f>
        <v/>
      </c>
    </row>
    <row r="8426">
      <c r="A8426">
        <f>IFERROR(INDEX('Email Cleaner'!$B$2:$B$10001,MATCH(8425,'Email Cleaner'!$K$2:$K$10001,0)),"")</f>
        <v/>
      </c>
    </row>
    <row r="8427">
      <c r="A8427">
        <f>IFERROR(INDEX('Email Cleaner'!$B$2:$B$10001,MATCH(8426,'Email Cleaner'!$K$2:$K$10001,0)),"")</f>
        <v/>
      </c>
    </row>
    <row r="8428">
      <c r="A8428">
        <f>IFERROR(INDEX('Email Cleaner'!$B$2:$B$10001,MATCH(8427,'Email Cleaner'!$K$2:$K$10001,0)),"")</f>
        <v/>
      </c>
    </row>
    <row r="8429">
      <c r="A8429">
        <f>IFERROR(INDEX('Email Cleaner'!$B$2:$B$10001,MATCH(8428,'Email Cleaner'!$K$2:$K$10001,0)),"")</f>
        <v/>
      </c>
    </row>
    <row r="8430">
      <c r="A8430">
        <f>IFERROR(INDEX('Email Cleaner'!$B$2:$B$10001,MATCH(8429,'Email Cleaner'!$K$2:$K$10001,0)),"")</f>
        <v/>
      </c>
    </row>
    <row r="8431">
      <c r="A8431">
        <f>IFERROR(INDEX('Email Cleaner'!$B$2:$B$10001,MATCH(8430,'Email Cleaner'!$K$2:$K$10001,0)),"")</f>
        <v/>
      </c>
    </row>
    <row r="8432">
      <c r="A8432">
        <f>IFERROR(INDEX('Email Cleaner'!$B$2:$B$10001,MATCH(8431,'Email Cleaner'!$K$2:$K$10001,0)),"")</f>
        <v/>
      </c>
    </row>
    <row r="8433">
      <c r="A8433">
        <f>IFERROR(INDEX('Email Cleaner'!$B$2:$B$10001,MATCH(8432,'Email Cleaner'!$K$2:$K$10001,0)),"")</f>
        <v/>
      </c>
    </row>
    <row r="8434">
      <c r="A8434">
        <f>IFERROR(INDEX('Email Cleaner'!$B$2:$B$10001,MATCH(8433,'Email Cleaner'!$K$2:$K$10001,0)),"")</f>
        <v/>
      </c>
    </row>
    <row r="8435">
      <c r="A8435">
        <f>IFERROR(INDEX('Email Cleaner'!$B$2:$B$10001,MATCH(8434,'Email Cleaner'!$K$2:$K$10001,0)),"")</f>
        <v/>
      </c>
    </row>
    <row r="8436">
      <c r="A8436">
        <f>IFERROR(INDEX('Email Cleaner'!$B$2:$B$10001,MATCH(8435,'Email Cleaner'!$K$2:$K$10001,0)),"")</f>
        <v/>
      </c>
    </row>
    <row r="8437">
      <c r="A8437">
        <f>IFERROR(INDEX('Email Cleaner'!$B$2:$B$10001,MATCH(8436,'Email Cleaner'!$K$2:$K$10001,0)),"")</f>
        <v/>
      </c>
    </row>
    <row r="8438">
      <c r="A8438">
        <f>IFERROR(INDEX('Email Cleaner'!$B$2:$B$10001,MATCH(8437,'Email Cleaner'!$K$2:$K$10001,0)),"")</f>
        <v/>
      </c>
    </row>
    <row r="8439">
      <c r="A8439">
        <f>IFERROR(INDEX('Email Cleaner'!$B$2:$B$10001,MATCH(8438,'Email Cleaner'!$K$2:$K$10001,0)),"")</f>
        <v/>
      </c>
    </row>
    <row r="8440">
      <c r="A8440">
        <f>IFERROR(INDEX('Email Cleaner'!$B$2:$B$10001,MATCH(8439,'Email Cleaner'!$K$2:$K$10001,0)),"")</f>
        <v/>
      </c>
    </row>
    <row r="8441">
      <c r="A8441">
        <f>IFERROR(INDEX('Email Cleaner'!$B$2:$B$10001,MATCH(8440,'Email Cleaner'!$K$2:$K$10001,0)),"")</f>
        <v/>
      </c>
    </row>
    <row r="8442">
      <c r="A8442">
        <f>IFERROR(INDEX('Email Cleaner'!$B$2:$B$10001,MATCH(8441,'Email Cleaner'!$K$2:$K$10001,0)),"")</f>
        <v/>
      </c>
    </row>
    <row r="8443">
      <c r="A8443">
        <f>IFERROR(INDEX('Email Cleaner'!$B$2:$B$10001,MATCH(8442,'Email Cleaner'!$K$2:$K$10001,0)),"")</f>
        <v/>
      </c>
    </row>
    <row r="8444">
      <c r="A8444">
        <f>IFERROR(INDEX('Email Cleaner'!$B$2:$B$10001,MATCH(8443,'Email Cleaner'!$K$2:$K$10001,0)),"")</f>
        <v/>
      </c>
    </row>
    <row r="8445">
      <c r="A8445">
        <f>IFERROR(INDEX('Email Cleaner'!$B$2:$B$10001,MATCH(8444,'Email Cleaner'!$K$2:$K$10001,0)),"")</f>
        <v/>
      </c>
    </row>
    <row r="8446">
      <c r="A8446">
        <f>IFERROR(INDEX('Email Cleaner'!$B$2:$B$10001,MATCH(8445,'Email Cleaner'!$K$2:$K$10001,0)),"")</f>
        <v/>
      </c>
    </row>
    <row r="8447">
      <c r="A8447">
        <f>IFERROR(INDEX('Email Cleaner'!$B$2:$B$10001,MATCH(8446,'Email Cleaner'!$K$2:$K$10001,0)),"")</f>
        <v/>
      </c>
    </row>
    <row r="8448">
      <c r="A8448">
        <f>IFERROR(INDEX('Email Cleaner'!$B$2:$B$10001,MATCH(8447,'Email Cleaner'!$K$2:$K$10001,0)),"")</f>
        <v/>
      </c>
    </row>
    <row r="8449">
      <c r="A8449">
        <f>IFERROR(INDEX('Email Cleaner'!$B$2:$B$10001,MATCH(8448,'Email Cleaner'!$K$2:$K$10001,0)),"")</f>
        <v/>
      </c>
    </row>
    <row r="8450">
      <c r="A8450">
        <f>IFERROR(INDEX('Email Cleaner'!$B$2:$B$10001,MATCH(8449,'Email Cleaner'!$K$2:$K$10001,0)),"")</f>
        <v/>
      </c>
    </row>
    <row r="8451">
      <c r="A8451">
        <f>IFERROR(INDEX('Email Cleaner'!$B$2:$B$10001,MATCH(8450,'Email Cleaner'!$K$2:$K$10001,0)),"")</f>
        <v/>
      </c>
    </row>
    <row r="8452">
      <c r="A8452">
        <f>IFERROR(INDEX('Email Cleaner'!$B$2:$B$10001,MATCH(8451,'Email Cleaner'!$K$2:$K$10001,0)),"")</f>
        <v/>
      </c>
    </row>
    <row r="8453">
      <c r="A8453">
        <f>IFERROR(INDEX('Email Cleaner'!$B$2:$B$10001,MATCH(8452,'Email Cleaner'!$K$2:$K$10001,0)),"")</f>
        <v/>
      </c>
    </row>
    <row r="8454">
      <c r="A8454">
        <f>IFERROR(INDEX('Email Cleaner'!$B$2:$B$10001,MATCH(8453,'Email Cleaner'!$K$2:$K$10001,0)),"")</f>
        <v/>
      </c>
    </row>
    <row r="8455">
      <c r="A8455">
        <f>IFERROR(INDEX('Email Cleaner'!$B$2:$B$10001,MATCH(8454,'Email Cleaner'!$K$2:$K$10001,0)),"")</f>
        <v/>
      </c>
    </row>
    <row r="8456">
      <c r="A8456">
        <f>IFERROR(INDEX('Email Cleaner'!$B$2:$B$10001,MATCH(8455,'Email Cleaner'!$K$2:$K$10001,0)),"")</f>
        <v/>
      </c>
    </row>
    <row r="8457">
      <c r="A8457">
        <f>IFERROR(INDEX('Email Cleaner'!$B$2:$B$10001,MATCH(8456,'Email Cleaner'!$K$2:$K$10001,0)),"")</f>
        <v/>
      </c>
    </row>
    <row r="8458">
      <c r="A8458">
        <f>IFERROR(INDEX('Email Cleaner'!$B$2:$B$10001,MATCH(8457,'Email Cleaner'!$K$2:$K$10001,0)),"")</f>
        <v/>
      </c>
    </row>
    <row r="8459">
      <c r="A8459">
        <f>IFERROR(INDEX('Email Cleaner'!$B$2:$B$10001,MATCH(8458,'Email Cleaner'!$K$2:$K$10001,0)),"")</f>
        <v/>
      </c>
    </row>
    <row r="8460">
      <c r="A8460">
        <f>IFERROR(INDEX('Email Cleaner'!$B$2:$B$10001,MATCH(8459,'Email Cleaner'!$K$2:$K$10001,0)),"")</f>
        <v/>
      </c>
    </row>
    <row r="8461">
      <c r="A8461">
        <f>IFERROR(INDEX('Email Cleaner'!$B$2:$B$10001,MATCH(8460,'Email Cleaner'!$K$2:$K$10001,0)),"")</f>
        <v/>
      </c>
    </row>
    <row r="8462">
      <c r="A8462">
        <f>IFERROR(INDEX('Email Cleaner'!$B$2:$B$10001,MATCH(8461,'Email Cleaner'!$K$2:$K$10001,0)),"")</f>
        <v/>
      </c>
    </row>
    <row r="8463">
      <c r="A8463">
        <f>IFERROR(INDEX('Email Cleaner'!$B$2:$B$10001,MATCH(8462,'Email Cleaner'!$K$2:$K$10001,0)),"")</f>
        <v/>
      </c>
    </row>
    <row r="8464">
      <c r="A8464">
        <f>IFERROR(INDEX('Email Cleaner'!$B$2:$B$10001,MATCH(8463,'Email Cleaner'!$K$2:$K$10001,0)),"")</f>
        <v/>
      </c>
    </row>
    <row r="8465">
      <c r="A8465">
        <f>IFERROR(INDEX('Email Cleaner'!$B$2:$B$10001,MATCH(8464,'Email Cleaner'!$K$2:$K$10001,0)),"")</f>
        <v/>
      </c>
    </row>
    <row r="8466">
      <c r="A8466">
        <f>IFERROR(INDEX('Email Cleaner'!$B$2:$B$10001,MATCH(8465,'Email Cleaner'!$K$2:$K$10001,0)),"")</f>
        <v/>
      </c>
    </row>
    <row r="8467">
      <c r="A8467">
        <f>IFERROR(INDEX('Email Cleaner'!$B$2:$B$10001,MATCH(8466,'Email Cleaner'!$K$2:$K$10001,0)),"")</f>
        <v/>
      </c>
    </row>
    <row r="8468">
      <c r="A8468">
        <f>IFERROR(INDEX('Email Cleaner'!$B$2:$B$10001,MATCH(8467,'Email Cleaner'!$K$2:$K$10001,0)),"")</f>
        <v/>
      </c>
    </row>
    <row r="8469">
      <c r="A8469">
        <f>IFERROR(INDEX('Email Cleaner'!$B$2:$B$10001,MATCH(8468,'Email Cleaner'!$K$2:$K$10001,0)),"")</f>
        <v/>
      </c>
    </row>
    <row r="8470">
      <c r="A8470">
        <f>IFERROR(INDEX('Email Cleaner'!$B$2:$B$10001,MATCH(8469,'Email Cleaner'!$K$2:$K$10001,0)),"")</f>
        <v/>
      </c>
    </row>
    <row r="8471">
      <c r="A8471">
        <f>IFERROR(INDEX('Email Cleaner'!$B$2:$B$10001,MATCH(8470,'Email Cleaner'!$K$2:$K$10001,0)),"")</f>
        <v/>
      </c>
    </row>
    <row r="8472">
      <c r="A8472">
        <f>IFERROR(INDEX('Email Cleaner'!$B$2:$B$10001,MATCH(8471,'Email Cleaner'!$K$2:$K$10001,0)),"")</f>
        <v/>
      </c>
    </row>
    <row r="8473">
      <c r="A8473">
        <f>IFERROR(INDEX('Email Cleaner'!$B$2:$B$10001,MATCH(8472,'Email Cleaner'!$K$2:$K$10001,0)),"")</f>
        <v/>
      </c>
    </row>
    <row r="8474">
      <c r="A8474">
        <f>IFERROR(INDEX('Email Cleaner'!$B$2:$B$10001,MATCH(8473,'Email Cleaner'!$K$2:$K$10001,0)),"")</f>
        <v/>
      </c>
    </row>
    <row r="8475">
      <c r="A8475">
        <f>IFERROR(INDEX('Email Cleaner'!$B$2:$B$10001,MATCH(8474,'Email Cleaner'!$K$2:$K$10001,0)),"")</f>
        <v/>
      </c>
    </row>
    <row r="8476">
      <c r="A8476">
        <f>IFERROR(INDEX('Email Cleaner'!$B$2:$B$10001,MATCH(8475,'Email Cleaner'!$K$2:$K$10001,0)),"")</f>
        <v/>
      </c>
    </row>
    <row r="8477">
      <c r="A8477">
        <f>IFERROR(INDEX('Email Cleaner'!$B$2:$B$10001,MATCH(8476,'Email Cleaner'!$K$2:$K$10001,0)),"")</f>
        <v/>
      </c>
    </row>
    <row r="8478">
      <c r="A8478">
        <f>IFERROR(INDEX('Email Cleaner'!$B$2:$B$10001,MATCH(8477,'Email Cleaner'!$K$2:$K$10001,0)),"")</f>
        <v/>
      </c>
    </row>
    <row r="8479">
      <c r="A8479">
        <f>IFERROR(INDEX('Email Cleaner'!$B$2:$B$10001,MATCH(8478,'Email Cleaner'!$K$2:$K$10001,0)),"")</f>
        <v/>
      </c>
    </row>
    <row r="8480">
      <c r="A8480">
        <f>IFERROR(INDEX('Email Cleaner'!$B$2:$B$10001,MATCH(8479,'Email Cleaner'!$K$2:$K$10001,0)),"")</f>
        <v/>
      </c>
    </row>
    <row r="8481">
      <c r="A8481">
        <f>IFERROR(INDEX('Email Cleaner'!$B$2:$B$10001,MATCH(8480,'Email Cleaner'!$K$2:$K$10001,0)),"")</f>
        <v/>
      </c>
    </row>
    <row r="8482">
      <c r="A8482">
        <f>IFERROR(INDEX('Email Cleaner'!$B$2:$B$10001,MATCH(8481,'Email Cleaner'!$K$2:$K$10001,0)),"")</f>
        <v/>
      </c>
    </row>
    <row r="8483">
      <c r="A8483">
        <f>IFERROR(INDEX('Email Cleaner'!$B$2:$B$10001,MATCH(8482,'Email Cleaner'!$K$2:$K$10001,0)),"")</f>
        <v/>
      </c>
    </row>
    <row r="8484">
      <c r="A8484">
        <f>IFERROR(INDEX('Email Cleaner'!$B$2:$B$10001,MATCH(8483,'Email Cleaner'!$K$2:$K$10001,0)),"")</f>
        <v/>
      </c>
    </row>
    <row r="8485">
      <c r="A8485">
        <f>IFERROR(INDEX('Email Cleaner'!$B$2:$B$10001,MATCH(8484,'Email Cleaner'!$K$2:$K$10001,0)),"")</f>
        <v/>
      </c>
    </row>
    <row r="8486">
      <c r="A8486">
        <f>IFERROR(INDEX('Email Cleaner'!$B$2:$B$10001,MATCH(8485,'Email Cleaner'!$K$2:$K$10001,0)),"")</f>
        <v/>
      </c>
    </row>
    <row r="8487">
      <c r="A8487">
        <f>IFERROR(INDEX('Email Cleaner'!$B$2:$B$10001,MATCH(8486,'Email Cleaner'!$K$2:$K$10001,0)),"")</f>
        <v/>
      </c>
    </row>
    <row r="8488">
      <c r="A8488">
        <f>IFERROR(INDEX('Email Cleaner'!$B$2:$B$10001,MATCH(8487,'Email Cleaner'!$K$2:$K$10001,0)),"")</f>
        <v/>
      </c>
    </row>
    <row r="8489">
      <c r="A8489">
        <f>IFERROR(INDEX('Email Cleaner'!$B$2:$B$10001,MATCH(8488,'Email Cleaner'!$K$2:$K$10001,0)),"")</f>
        <v/>
      </c>
    </row>
    <row r="8490">
      <c r="A8490">
        <f>IFERROR(INDEX('Email Cleaner'!$B$2:$B$10001,MATCH(8489,'Email Cleaner'!$K$2:$K$10001,0)),"")</f>
        <v/>
      </c>
    </row>
    <row r="8491">
      <c r="A8491">
        <f>IFERROR(INDEX('Email Cleaner'!$B$2:$B$10001,MATCH(8490,'Email Cleaner'!$K$2:$K$10001,0)),"")</f>
        <v/>
      </c>
    </row>
    <row r="8492">
      <c r="A8492">
        <f>IFERROR(INDEX('Email Cleaner'!$B$2:$B$10001,MATCH(8491,'Email Cleaner'!$K$2:$K$10001,0)),"")</f>
        <v/>
      </c>
    </row>
    <row r="8493">
      <c r="A8493">
        <f>IFERROR(INDEX('Email Cleaner'!$B$2:$B$10001,MATCH(8492,'Email Cleaner'!$K$2:$K$10001,0)),"")</f>
        <v/>
      </c>
    </row>
    <row r="8494">
      <c r="A8494">
        <f>IFERROR(INDEX('Email Cleaner'!$B$2:$B$10001,MATCH(8493,'Email Cleaner'!$K$2:$K$10001,0)),"")</f>
        <v/>
      </c>
    </row>
    <row r="8495">
      <c r="A8495">
        <f>IFERROR(INDEX('Email Cleaner'!$B$2:$B$10001,MATCH(8494,'Email Cleaner'!$K$2:$K$10001,0)),"")</f>
        <v/>
      </c>
    </row>
    <row r="8496">
      <c r="A8496">
        <f>IFERROR(INDEX('Email Cleaner'!$B$2:$B$10001,MATCH(8495,'Email Cleaner'!$K$2:$K$10001,0)),"")</f>
        <v/>
      </c>
    </row>
    <row r="8497">
      <c r="A8497">
        <f>IFERROR(INDEX('Email Cleaner'!$B$2:$B$10001,MATCH(8496,'Email Cleaner'!$K$2:$K$10001,0)),"")</f>
        <v/>
      </c>
    </row>
    <row r="8498">
      <c r="A8498">
        <f>IFERROR(INDEX('Email Cleaner'!$B$2:$B$10001,MATCH(8497,'Email Cleaner'!$K$2:$K$10001,0)),"")</f>
        <v/>
      </c>
    </row>
    <row r="8499">
      <c r="A8499">
        <f>IFERROR(INDEX('Email Cleaner'!$B$2:$B$10001,MATCH(8498,'Email Cleaner'!$K$2:$K$10001,0)),"")</f>
        <v/>
      </c>
    </row>
    <row r="8500">
      <c r="A8500">
        <f>IFERROR(INDEX('Email Cleaner'!$B$2:$B$10001,MATCH(8499,'Email Cleaner'!$K$2:$K$10001,0)),"")</f>
        <v/>
      </c>
    </row>
    <row r="8501">
      <c r="A8501">
        <f>IFERROR(INDEX('Email Cleaner'!$B$2:$B$10001,MATCH(8500,'Email Cleaner'!$K$2:$K$10001,0)),"")</f>
        <v/>
      </c>
    </row>
    <row r="8502">
      <c r="A8502">
        <f>IFERROR(INDEX('Email Cleaner'!$B$2:$B$10001,MATCH(8501,'Email Cleaner'!$K$2:$K$10001,0)),"")</f>
        <v/>
      </c>
    </row>
    <row r="8503">
      <c r="A8503">
        <f>IFERROR(INDEX('Email Cleaner'!$B$2:$B$10001,MATCH(8502,'Email Cleaner'!$K$2:$K$10001,0)),"")</f>
        <v/>
      </c>
    </row>
    <row r="8504">
      <c r="A8504">
        <f>IFERROR(INDEX('Email Cleaner'!$B$2:$B$10001,MATCH(8503,'Email Cleaner'!$K$2:$K$10001,0)),"")</f>
        <v/>
      </c>
    </row>
    <row r="8505">
      <c r="A8505">
        <f>IFERROR(INDEX('Email Cleaner'!$B$2:$B$10001,MATCH(8504,'Email Cleaner'!$K$2:$K$10001,0)),"")</f>
        <v/>
      </c>
    </row>
    <row r="8506">
      <c r="A8506">
        <f>IFERROR(INDEX('Email Cleaner'!$B$2:$B$10001,MATCH(8505,'Email Cleaner'!$K$2:$K$10001,0)),"")</f>
        <v/>
      </c>
    </row>
    <row r="8507">
      <c r="A8507">
        <f>IFERROR(INDEX('Email Cleaner'!$B$2:$B$10001,MATCH(8506,'Email Cleaner'!$K$2:$K$10001,0)),"")</f>
        <v/>
      </c>
    </row>
    <row r="8508">
      <c r="A8508">
        <f>IFERROR(INDEX('Email Cleaner'!$B$2:$B$10001,MATCH(8507,'Email Cleaner'!$K$2:$K$10001,0)),"")</f>
        <v/>
      </c>
    </row>
    <row r="8509">
      <c r="A8509">
        <f>IFERROR(INDEX('Email Cleaner'!$B$2:$B$10001,MATCH(8508,'Email Cleaner'!$K$2:$K$10001,0)),"")</f>
        <v/>
      </c>
    </row>
    <row r="8510">
      <c r="A8510">
        <f>IFERROR(INDEX('Email Cleaner'!$B$2:$B$10001,MATCH(8509,'Email Cleaner'!$K$2:$K$10001,0)),"")</f>
        <v/>
      </c>
    </row>
    <row r="8511">
      <c r="A8511">
        <f>IFERROR(INDEX('Email Cleaner'!$B$2:$B$10001,MATCH(8510,'Email Cleaner'!$K$2:$K$10001,0)),"")</f>
        <v/>
      </c>
    </row>
    <row r="8512">
      <c r="A8512">
        <f>IFERROR(INDEX('Email Cleaner'!$B$2:$B$10001,MATCH(8511,'Email Cleaner'!$K$2:$K$10001,0)),"")</f>
        <v/>
      </c>
    </row>
    <row r="8513">
      <c r="A8513">
        <f>IFERROR(INDEX('Email Cleaner'!$B$2:$B$10001,MATCH(8512,'Email Cleaner'!$K$2:$K$10001,0)),"")</f>
        <v/>
      </c>
    </row>
    <row r="8514">
      <c r="A8514">
        <f>IFERROR(INDEX('Email Cleaner'!$B$2:$B$10001,MATCH(8513,'Email Cleaner'!$K$2:$K$10001,0)),"")</f>
        <v/>
      </c>
    </row>
    <row r="8515">
      <c r="A8515">
        <f>IFERROR(INDEX('Email Cleaner'!$B$2:$B$10001,MATCH(8514,'Email Cleaner'!$K$2:$K$10001,0)),"")</f>
        <v/>
      </c>
    </row>
    <row r="8516">
      <c r="A8516">
        <f>IFERROR(INDEX('Email Cleaner'!$B$2:$B$10001,MATCH(8515,'Email Cleaner'!$K$2:$K$10001,0)),"")</f>
        <v/>
      </c>
    </row>
    <row r="8517">
      <c r="A8517">
        <f>IFERROR(INDEX('Email Cleaner'!$B$2:$B$10001,MATCH(8516,'Email Cleaner'!$K$2:$K$10001,0)),"")</f>
        <v/>
      </c>
    </row>
    <row r="8518">
      <c r="A8518">
        <f>IFERROR(INDEX('Email Cleaner'!$B$2:$B$10001,MATCH(8517,'Email Cleaner'!$K$2:$K$10001,0)),"")</f>
        <v/>
      </c>
    </row>
    <row r="8519">
      <c r="A8519">
        <f>IFERROR(INDEX('Email Cleaner'!$B$2:$B$10001,MATCH(8518,'Email Cleaner'!$K$2:$K$10001,0)),"")</f>
        <v/>
      </c>
    </row>
    <row r="8520">
      <c r="A8520">
        <f>IFERROR(INDEX('Email Cleaner'!$B$2:$B$10001,MATCH(8519,'Email Cleaner'!$K$2:$K$10001,0)),"")</f>
        <v/>
      </c>
    </row>
    <row r="8521">
      <c r="A8521">
        <f>IFERROR(INDEX('Email Cleaner'!$B$2:$B$10001,MATCH(8520,'Email Cleaner'!$K$2:$K$10001,0)),"")</f>
        <v/>
      </c>
    </row>
    <row r="8522">
      <c r="A8522">
        <f>IFERROR(INDEX('Email Cleaner'!$B$2:$B$10001,MATCH(8521,'Email Cleaner'!$K$2:$K$10001,0)),"")</f>
        <v/>
      </c>
    </row>
    <row r="8523">
      <c r="A8523">
        <f>IFERROR(INDEX('Email Cleaner'!$B$2:$B$10001,MATCH(8522,'Email Cleaner'!$K$2:$K$10001,0)),"")</f>
        <v/>
      </c>
    </row>
    <row r="8524">
      <c r="A8524">
        <f>IFERROR(INDEX('Email Cleaner'!$B$2:$B$10001,MATCH(8523,'Email Cleaner'!$K$2:$K$10001,0)),"")</f>
        <v/>
      </c>
    </row>
    <row r="8525">
      <c r="A8525">
        <f>IFERROR(INDEX('Email Cleaner'!$B$2:$B$10001,MATCH(8524,'Email Cleaner'!$K$2:$K$10001,0)),"")</f>
        <v/>
      </c>
    </row>
    <row r="8526">
      <c r="A8526">
        <f>IFERROR(INDEX('Email Cleaner'!$B$2:$B$10001,MATCH(8525,'Email Cleaner'!$K$2:$K$10001,0)),"")</f>
        <v/>
      </c>
    </row>
    <row r="8527">
      <c r="A8527">
        <f>IFERROR(INDEX('Email Cleaner'!$B$2:$B$10001,MATCH(8526,'Email Cleaner'!$K$2:$K$10001,0)),"")</f>
        <v/>
      </c>
    </row>
    <row r="8528">
      <c r="A8528">
        <f>IFERROR(INDEX('Email Cleaner'!$B$2:$B$10001,MATCH(8527,'Email Cleaner'!$K$2:$K$10001,0)),"")</f>
        <v/>
      </c>
    </row>
    <row r="8529">
      <c r="A8529">
        <f>IFERROR(INDEX('Email Cleaner'!$B$2:$B$10001,MATCH(8528,'Email Cleaner'!$K$2:$K$10001,0)),"")</f>
        <v/>
      </c>
    </row>
    <row r="8530">
      <c r="A8530">
        <f>IFERROR(INDEX('Email Cleaner'!$B$2:$B$10001,MATCH(8529,'Email Cleaner'!$K$2:$K$10001,0)),"")</f>
        <v/>
      </c>
    </row>
    <row r="8531">
      <c r="A8531">
        <f>IFERROR(INDEX('Email Cleaner'!$B$2:$B$10001,MATCH(8530,'Email Cleaner'!$K$2:$K$10001,0)),"")</f>
        <v/>
      </c>
    </row>
    <row r="8532">
      <c r="A8532">
        <f>IFERROR(INDEX('Email Cleaner'!$B$2:$B$10001,MATCH(8531,'Email Cleaner'!$K$2:$K$10001,0)),"")</f>
        <v/>
      </c>
    </row>
    <row r="8533">
      <c r="A8533">
        <f>IFERROR(INDEX('Email Cleaner'!$B$2:$B$10001,MATCH(8532,'Email Cleaner'!$K$2:$K$10001,0)),"")</f>
        <v/>
      </c>
    </row>
    <row r="8534">
      <c r="A8534">
        <f>IFERROR(INDEX('Email Cleaner'!$B$2:$B$10001,MATCH(8533,'Email Cleaner'!$K$2:$K$10001,0)),"")</f>
        <v/>
      </c>
    </row>
    <row r="8535">
      <c r="A8535">
        <f>IFERROR(INDEX('Email Cleaner'!$B$2:$B$10001,MATCH(8534,'Email Cleaner'!$K$2:$K$10001,0)),"")</f>
        <v/>
      </c>
    </row>
    <row r="8536">
      <c r="A8536">
        <f>IFERROR(INDEX('Email Cleaner'!$B$2:$B$10001,MATCH(8535,'Email Cleaner'!$K$2:$K$10001,0)),"")</f>
        <v/>
      </c>
    </row>
    <row r="8537">
      <c r="A8537">
        <f>IFERROR(INDEX('Email Cleaner'!$B$2:$B$10001,MATCH(8536,'Email Cleaner'!$K$2:$K$10001,0)),"")</f>
        <v/>
      </c>
    </row>
    <row r="8538">
      <c r="A8538">
        <f>IFERROR(INDEX('Email Cleaner'!$B$2:$B$10001,MATCH(8537,'Email Cleaner'!$K$2:$K$10001,0)),"")</f>
        <v/>
      </c>
    </row>
    <row r="8539">
      <c r="A8539">
        <f>IFERROR(INDEX('Email Cleaner'!$B$2:$B$10001,MATCH(8538,'Email Cleaner'!$K$2:$K$10001,0)),"")</f>
        <v/>
      </c>
    </row>
    <row r="8540">
      <c r="A8540">
        <f>IFERROR(INDEX('Email Cleaner'!$B$2:$B$10001,MATCH(8539,'Email Cleaner'!$K$2:$K$10001,0)),"")</f>
        <v/>
      </c>
    </row>
    <row r="8541">
      <c r="A8541">
        <f>IFERROR(INDEX('Email Cleaner'!$B$2:$B$10001,MATCH(8540,'Email Cleaner'!$K$2:$K$10001,0)),"")</f>
        <v/>
      </c>
    </row>
    <row r="8542">
      <c r="A8542">
        <f>IFERROR(INDEX('Email Cleaner'!$B$2:$B$10001,MATCH(8541,'Email Cleaner'!$K$2:$K$10001,0)),"")</f>
        <v/>
      </c>
    </row>
    <row r="8543">
      <c r="A8543">
        <f>IFERROR(INDEX('Email Cleaner'!$B$2:$B$10001,MATCH(8542,'Email Cleaner'!$K$2:$K$10001,0)),"")</f>
        <v/>
      </c>
    </row>
    <row r="8544">
      <c r="A8544">
        <f>IFERROR(INDEX('Email Cleaner'!$B$2:$B$10001,MATCH(8543,'Email Cleaner'!$K$2:$K$10001,0)),"")</f>
        <v/>
      </c>
    </row>
    <row r="8545">
      <c r="A8545">
        <f>IFERROR(INDEX('Email Cleaner'!$B$2:$B$10001,MATCH(8544,'Email Cleaner'!$K$2:$K$10001,0)),"")</f>
        <v/>
      </c>
    </row>
    <row r="8546">
      <c r="A8546">
        <f>IFERROR(INDEX('Email Cleaner'!$B$2:$B$10001,MATCH(8545,'Email Cleaner'!$K$2:$K$10001,0)),"")</f>
        <v/>
      </c>
    </row>
    <row r="8547">
      <c r="A8547">
        <f>IFERROR(INDEX('Email Cleaner'!$B$2:$B$10001,MATCH(8546,'Email Cleaner'!$K$2:$K$10001,0)),"")</f>
        <v/>
      </c>
    </row>
    <row r="8548">
      <c r="A8548">
        <f>IFERROR(INDEX('Email Cleaner'!$B$2:$B$10001,MATCH(8547,'Email Cleaner'!$K$2:$K$10001,0)),"")</f>
        <v/>
      </c>
    </row>
    <row r="8549">
      <c r="A8549">
        <f>IFERROR(INDEX('Email Cleaner'!$B$2:$B$10001,MATCH(8548,'Email Cleaner'!$K$2:$K$10001,0)),"")</f>
        <v/>
      </c>
    </row>
    <row r="8550">
      <c r="A8550">
        <f>IFERROR(INDEX('Email Cleaner'!$B$2:$B$10001,MATCH(8549,'Email Cleaner'!$K$2:$K$10001,0)),"")</f>
        <v/>
      </c>
    </row>
    <row r="8551">
      <c r="A8551">
        <f>IFERROR(INDEX('Email Cleaner'!$B$2:$B$10001,MATCH(8550,'Email Cleaner'!$K$2:$K$10001,0)),"")</f>
        <v/>
      </c>
    </row>
    <row r="8552">
      <c r="A8552">
        <f>IFERROR(INDEX('Email Cleaner'!$B$2:$B$10001,MATCH(8551,'Email Cleaner'!$K$2:$K$10001,0)),"")</f>
        <v/>
      </c>
    </row>
    <row r="8553">
      <c r="A8553">
        <f>IFERROR(INDEX('Email Cleaner'!$B$2:$B$10001,MATCH(8552,'Email Cleaner'!$K$2:$K$10001,0)),"")</f>
        <v/>
      </c>
    </row>
    <row r="8554">
      <c r="A8554">
        <f>IFERROR(INDEX('Email Cleaner'!$B$2:$B$10001,MATCH(8553,'Email Cleaner'!$K$2:$K$10001,0)),"")</f>
        <v/>
      </c>
    </row>
    <row r="8555">
      <c r="A8555">
        <f>IFERROR(INDEX('Email Cleaner'!$B$2:$B$10001,MATCH(8554,'Email Cleaner'!$K$2:$K$10001,0)),"")</f>
        <v/>
      </c>
    </row>
    <row r="8556">
      <c r="A8556">
        <f>IFERROR(INDEX('Email Cleaner'!$B$2:$B$10001,MATCH(8555,'Email Cleaner'!$K$2:$K$10001,0)),"")</f>
        <v/>
      </c>
    </row>
    <row r="8557">
      <c r="A8557">
        <f>IFERROR(INDEX('Email Cleaner'!$B$2:$B$10001,MATCH(8556,'Email Cleaner'!$K$2:$K$10001,0)),"")</f>
        <v/>
      </c>
    </row>
    <row r="8558">
      <c r="A8558">
        <f>IFERROR(INDEX('Email Cleaner'!$B$2:$B$10001,MATCH(8557,'Email Cleaner'!$K$2:$K$10001,0)),"")</f>
        <v/>
      </c>
    </row>
    <row r="8559">
      <c r="A8559">
        <f>IFERROR(INDEX('Email Cleaner'!$B$2:$B$10001,MATCH(8558,'Email Cleaner'!$K$2:$K$10001,0)),"")</f>
        <v/>
      </c>
    </row>
    <row r="8560">
      <c r="A8560">
        <f>IFERROR(INDEX('Email Cleaner'!$B$2:$B$10001,MATCH(8559,'Email Cleaner'!$K$2:$K$10001,0)),"")</f>
        <v/>
      </c>
    </row>
    <row r="8561">
      <c r="A8561">
        <f>IFERROR(INDEX('Email Cleaner'!$B$2:$B$10001,MATCH(8560,'Email Cleaner'!$K$2:$K$10001,0)),"")</f>
        <v/>
      </c>
    </row>
    <row r="8562">
      <c r="A8562">
        <f>IFERROR(INDEX('Email Cleaner'!$B$2:$B$10001,MATCH(8561,'Email Cleaner'!$K$2:$K$10001,0)),"")</f>
        <v/>
      </c>
    </row>
    <row r="8563">
      <c r="A8563">
        <f>IFERROR(INDEX('Email Cleaner'!$B$2:$B$10001,MATCH(8562,'Email Cleaner'!$K$2:$K$10001,0)),"")</f>
        <v/>
      </c>
    </row>
    <row r="8564">
      <c r="A8564">
        <f>IFERROR(INDEX('Email Cleaner'!$B$2:$B$10001,MATCH(8563,'Email Cleaner'!$K$2:$K$10001,0)),"")</f>
        <v/>
      </c>
    </row>
    <row r="8565">
      <c r="A8565">
        <f>IFERROR(INDEX('Email Cleaner'!$B$2:$B$10001,MATCH(8564,'Email Cleaner'!$K$2:$K$10001,0)),"")</f>
        <v/>
      </c>
    </row>
    <row r="8566">
      <c r="A8566">
        <f>IFERROR(INDEX('Email Cleaner'!$B$2:$B$10001,MATCH(8565,'Email Cleaner'!$K$2:$K$10001,0)),"")</f>
        <v/>
      </c>
    </row>
    <row r="8567">
      <c r="A8567">
        <f>IFERROR(INDEX('Email Cleaner'!$B$2:$B$10001,MATCH(8566,'Email Cleaner'!$K$2:$K$10001,0)),"")</f>
        <v/>
      </c>
    </row>
    <row r="8568">
      <c r="A8568">
        <f>IFERROR(INDEX('Email Cleaner'!$B$2:$B$10001,MATCH(8567,'Email Cleaner'!$K$2:$K$10001,0)),"")</f>
        <v/>
      </c>
    </row>
    <row r="8569">
      <c r="A8569">
        <f>IFERROR(INDEX('Email Cleaner'!$B$2:$B$10001,MATCH(8568,'Email Cleaner'!$K$2:$K$10001,0)),"")</f>
        <v/>
      </c>
    </row>
    <row r="8570">
      <c r="A8570">
        <f>IFERROR(INDEX('Email Cleaner'!$B$2:$B$10001,MATCH(8569,'Email Cleaner'!$K$2:$K$10001,0)),"")</f>
        <v/>
      </c>
    </row>
    <row r="8571">
      <c r="A8571">
        <f>IFERROR(INDEX('Email Cleaner'!$B$2:$B$10001,MATCH(8570,'Email Cleaner'!$K$2:$K$10001,0)),"")</f>
        <v/>
      </c>
    </row>
    <row r="8572">
      <c r="A8572">
        <f>IFERROR(INDEX('Email Cleaner'!$B$2:$B$10001,MATCH(8571,'Email Cleaner'!$K$2:$K$10001,0)),"")</f>
        <v/>
      </c>
    </row>
    <row r="8573">
      <c r="A8573">
        <f>IFERROR(INDEX('Email Cleaner'!$B$2:$B$10001,MATCH(8572,'Email Cleaner'!$K$2:$K$10001,0)),"")</f>
        <v/>
      </c>
    </row>
    <row r="8574">
      <c r="A8574">
        <f>IFERROR(INDEX('Email Cleaner'!$B$2:$B$10001,MATCH(8573,'Email Cleaner'!$K$2:$K$10001,0)),"")</f>
        <v/>
      </c>
    </row>
    <row r="8575">
      <c r="A8575">
        <f>IFERROR(INDEX('Email Cleaner'!$B$2:$B$10001,MATCH(8574,'Email Cleaner'!$K$2:$K$10001,0)),"")</f>
        <v/>
      </c>
    </row>
    <row r="8576">
      <c r="A8576">
        <f>IFERROR(INDEX('Email Cleaner'!$B$2:$B$10001,MATCH(8575,'Email Cleaner'!$K$2:$K$10001,0)),"")</f>
        <v/>
      </c>
    </row>
    <row r="8577">
      <c r="A8577">
        <f>IFERROR(INDEX('Email Cleaner'!$B$2:$B$10001,MATCH(8576,'Email Cleaner'!$K$2:$K$10001,0)),"")</f>
        <v/>
      </c>
    </row>
    <row r="8578">
      <c r="A8578">
        <f>IFERROR(INDEX('Email Cleaner'!$B$2:$B$10001,MATCH(8577,'Email Cleaner'!$K$2:$K$10001,0)),"")</f>
        <v/>
      </c>
    </row>
    <row r="8579">
      <c r="A8579">
        <f>IFERROR(INDEX('Email Cleaner'!$B$2:$B$10001,MATCH(8578,'Email Cleaner'!$K$2:$K$10001,0)),"")</f>
        <v/>
      </c>
    </row>
    <row r="8580">
      <c r="A8580">
        <f>IFERROR(INDEX('Email Cleaner'!$B$2:$B$10001,MATCH(8579,'Email Cleaner'!$K$2:$K$10001,0)),"")</f>
        <v/>
      </c>
    </row>
    <row r="8581">
      <c r="A8581">
        <f>IFERROR(INDEX('Email Cleaner'!$B$2:$B$10001,MATCH(8580,'Email Cleaner'!$K$2:$K$10001,0)),"")</f>
        <v/>
      </c>
    </row>
    <row r="8582">
      <c r="A8582">
        <f>IFERROR(INDEX('Email Cleaner'!$B$2:$B$10001,MATCH(8581,'Email Cleaner'!$K$2:$K$10001,0)),"")</f>
        <v/>
      </c>
    </row>
    <row r="8583">
      <c r="A8583">
        <f>IFERROR(INDEX('Email Cleaner'!$B$2:$B$10001,MATCH(8582,'Email Cleaner'!$K$2:$K$10001,0)),"")</f>
        <v/>
      </c>
    </row>
    <row r="8584">
      <c r="A8584">
        <f>IFERROR(INDEX('Email Cleaner'!$B$2:$B$10001,MATCH(8583,'Email Cleaner'!$K$2:$K$10001,0)),"")</f>
        <v/>
      </c>
    </row>
    <row r="8585">
      <c r="A8585">
        <f>IFERROR(INDEX('Email Cleaner'!$B$2:$B$10001,MATCH(8584,'Email Cleaner'!$K$2:$K$10001,0)),"")</f>
        <v/>
      </c>
    </row>
    <row r="8586">
      <c r="A8586">
        <f>IFERROR(INDEX('Email Cleaner'!$B$2:$B$10001,MATCH(8585,'Email Cleaner'!$K$2:$K$10001,0)),"")</f>
        <v/>
      </c>
    </row>
    <row r="8587">
      <c r="A8587">
        <f>IFERROR(INDEX('Email Cleaner'!$B$2:$B$10001,MATCH(8586,'Email Cleaner'!$K$2:$K$10001,0)),"")</f>
        <v/>
      </c>
    </row>
    <row r="8588">
      <c r="A8588">
        <f>IFERROR(INDEX('Email Cleaner'!$B$2:$B$10001,MATCH(8587,'Email Cleaner'!$K$2:$K$10001,0)),"")</f>
        <v/>
      </c>
    </row>
    <row r="8589">
      <c r="A8589">
        <f>IFERROR(INDEX('Email Cleaner'!$B$2:$B$10001,MATCH(8588,'Email Cleaner'!$K$2:$K$10001,0)),"")</f>
        <v/>
      </c>
    </row>
    <row r="8590">
      <c r="A8590">
        <f>IFERROR(INDEX('Email Cleaner'!$B$2:$B$10001,MATCH(8589,'Email Cleaner'!$K$2:$K$10001,0)),"")</f>
        <v/>
      </c>
    </row>
    <row r="8591">
      <c r="A8591">
        <f>IFERROR(INDEX('Email Cleaner'!$B$2:$B$10001,MATCH(8590,'Email Cleaner'!$K$2:$K$10001,0)),"")</f>
        <v/>
      </c>
    </row>
    <row r="8592">
      <c r="A8592">
        <f>IFERROR(INDEX('Email Cleaner'!$B$2:$B$10001,MATCH(8591,'Email Cleaner'!$K$2:$K$10001,0)),"")</f>
        <v/>
      </c>
    </row>
    <row r="8593">
      <c r="A8593">
        <f>IFERROR(INDEX('Email Cleaner'!$B$2:$B$10001,MATCH(8592,'Email Cleaner'!$K$2:$K$10001,0)),"")</f>
        <v/>
      </c>
    </row>
    <row r="8594">
      <c r="A8594">
        <f>IFERROR(INDEX('Email Cleaner'!$B$2:$B$10001,MATCH(8593,'Email Cleaner'!$K$2:$K$10001,0)),"")</f>
        <v/>
      </c>
    </row>
    <row r="8595">
      <c r="A8595">
        <f>IFERROR(INDEX('Email Cleaner'!$B$2:$B$10001,MATCH(8594,'Email Cleaner'!$K$2:$K$10001,0)),"")</f>
        <v/>
      </c>
    </row>
    <row r="8596">
      <c r="A8596">
        <f>IFERROR(INDEX('Email Cleaner'!$B$2:$B$10001,MATCH(8595,'Email Cleaner'!$K$2:$K$10001,0)),"")</f>
        <v/>
      </c>
    </row>
    <row r="8597">
      <c r="A8597">
        <f>IFERROR(INDEX('Email Cleaner'!$B$2:$B$10001,MATCH(8596,'Email Cleaner'!$K$2:$K$10001,0)),"")</f>
        <v/>
      </c>
    </row>
    <row r="8598">
      <c r="A8598">
        <f>IFERROR(INDEX('Email Cleaner'!$B$2:$B$10001,MATCH(8597,'Email Cleaner'!$K$2:$K$10001,0)),"")</f>
        <v/>
      </c>
    </row>
    <row r="8599">
      <c r="A8599">
        <f>IFERROR(INDEX('Email Cleaner'!$B$2:$B$10001,MATCH(8598,'Email Cleaner'!$K$2:$K$10001,0)),"")</f>
        <v/>
      </c>
    </row>
    <row r="8600">
      <c r="A8600">
        <f>IFERROR(INDEX('Email Cleaner'!$B$2:$B$10001,MATCH(8599,'Email Cleaner'!$K$2:$K$10001,0)),"")</f>
        <v/>
      </c>
    </row>
    <row r="8601">
      <c r="A8601">
        <f>IFERROR(INDEX('Email Cleaner'!$B$2:$B$10001,MATCH(8600,'Email Cleaner'!$K$2:$K$10001,0)),"")</f>
        <v/>
      </c>
    </row>
    <row r="8602">
      <c r="A8602">
        <f>IFERROR(INDEX('Email Cleaner'!$B$2:$B$10001,MATCH(8601,'Email Cleaner'!$K$2:$K$10001,0)),"")</f>
        <v/>
      </c>
    </row>
    <row r="8603">
      <c r="A8603">
        <f>IFERROR(INDEX('Email Cleaner'!$B$2:$B$10001,MATCH(8602,'Email Cleaner'!$K$2:$K$10001,0)),"")</f>
        <v/>
      </c>
    </row>
    <row r="8604">
      <c r="A8604">
        <f>IFERROR(INDEX('Email Cleaner'!$B$2:$B$10001,MATCH(8603,'Email Cleaner'!$K$2:$K$10001,0)),"")</f>
        <v/>
      </c>
    </row>
    <row r="8605">
      <c r="A8605">
        <f>IFERROR(INDEX('Email Cleaner'!$B$2:$B$10001,MATCH(8604,'Email Cleaner'!$K$2:$K$10001,0)),"")</f>
        <v/>
      </c>
    </row>
    <row r="8606">
      <c r="A8606">
        <f>IFERROR(INDEX('Email Cleaner'!$B$2:$B$10001,MATCH(8605,'Email Cleaner'!$K$2:$K$10001,0)),"")</f>
        <v/>
      </c>
    </row>
    <row r="8607">
      <c r="A8607">
        <f>IFERROR(INDEX('Email Cleaner'!$B$2:$B$10001,MATCH(8606,'Email Cleaner'!$K$2:$K$10001,0)),"")</f>
        <v/>
      </c>
    </row>
    <row r="8608">
      <c r="A8608">
        <f>IFERROR(INDEX('Email Cleaner'!$B$2:$B$10001,MATCH(8607,'Email Cleaner'!$K$2:$K$10001,0)),"")</f>
        <v/>
      </c>
    </row>
    <row r="8609">
      <c r="A8609">
        <f>IFERROR(INDEX('Email Cleaner'!$B$2:$B$10001,MATCH(8608,'Email Cleaner'!$K$2:$K$10001,0)),"")</f>
        <v/>
      </c>
    </row>
    <row r="8610">
      <c r="A8610">
        <f>IFERROR(INDEX('Email Cleaner'!$B$2:$B$10001,MATCH(8609,'Email Cleaner'!$K$2:$K$10001,0)),"")</f>
        <v/>
      </c>
    </row>
    <row r="8611">
      <c r="A8611">
        <f>IFERROR(INDEX('Email Cleaner'!$B$2:$B$10001,MATCH(8610,'Email Cleaner'!$K$2:$K$10001,0)),"")</f>
        <v/>
      </c>
    </row>
    <row r="8612">
      <c r="A8612">
        <f>IFERROR(INDEX('Email Cleaner'!$B$2:$B$10001,MATCH(8611,'Email Cleaner'!$K$2:$K$10001,0)),"")</f>
        <v/>
      </c>
    </row>
    <row r="8613">
      <c r="A8613">
        <f>IFERROR(INDEX('Email Cleaner'!$B$2:$B$10001,MATCH(8612,'Email Cleaner'!$K$2:$K$10001,0)),"")</f>
        <v/>
      </c>
    </row>
    <row r="8614">
      <c r="A8614">
        <f>IFERROR(INDEX('Email Cleaner'!$B$2:$B$10001,MATCH(8613,'Email Cleaner'!$K$2:$K$10001,0)),"")</f>
        <v/>
      </c>
    </row>
    <row r="8615">
      <c r="A8615">
        <f>IFERROR(INDEX('Email Cleaner'!$B$2:$B$10001,MATCH(8614,'Email Cleaner'!$K$2:$K$10001,0)),"")</f>
        <v/>
      </c>
    </row>
    <row r="8616">
      <c r="A8616">
        <f>IFERROR(INDEX('Email Cleaner'!$B$2:$B$10001,MATCH(8615,'Email Cleaner'!$K$2:$K$10001,0)),"")</f>
        <v/>
      </c>
    </row>
    <row r="8617">
      <c r="A8617">
        <f>IFERROR(INDEX('Email Cleaner'!$B$2:$B$10001,MATCH(8616,'Email Cleaner'!$K$2:$K$10001,0)),"")</f>
        <v/>
      </c>
    </row>
    <row r="8618">
      <c r="A8618">
        <f>IFERROR(INDEX('Email Cleaner'!$B$2:$B$10001,MATCH(8617,'Email Cleaner'!$K$2:$K$10001,0)),"")</f>
        <v/>
      </c>
    </row>
    <row r="8619">
      <c r="A8619">
        <f>IFERROR(INDEX('Email Cleaner'!$B$2:$B$10001,MATCH(8618,'Email Cleaner'!$K$2:$K$10001,0)),"")</f>
        <v/>
      </c>
    </row>
    <row r="8620">
      <c r="A8620">
        <f>IFERROR(INDEX('Email Cleaner'!$B$2:$B$10001,MATCH(8619,'Email Cleaner'!$K$2:$K$10001,0)),"")</f>
        <v/>
      </c>
    </row>
    <row r="8621">
      <c r="A8621">
        <f>IFERROR(INDEX('Email Cleaner'!$B$2:$B$10001,MATCH(8620,'Email Cleaner'!$K$2:$K$10001,0)),"")</f>
        <v/>
      </c>
    </row>
    <row r="8622">
      <c r="A8622">
        <f>IFERROR(INDEX('Email Cleaner'!$B$2:$B$10001,MATCH(8621,'Email Cleaner'!$K$2:$K$10001,0)),"")</f>
        <v/>
      </c>
    </row>
    <row r="8623">
      <c r="A8623">
        <f>IFERROR(INDEX('Email Cleaner'!$B$2:$B$10001,MATCH(8622,'Email Cleaner'!$K$2:$K$10001,0)),"")</f>
        <v/>
      </c>
    </row>
    <row r="8624">
      <c r="A8624">
        <f>IFERROR(INDEX('Email Cleaner'!$B$2:$B$10001,MATCH(8623,'Email Cleaner'!$K$2:$K$10001,0)),"")</f>
        <v/>
      </c>
    </row>
    <row r="8625">
      <c r="A8625">
        <f>IFERROR(INDEX('Email Cleaner'!$B$2:$B$10001,MATCH(8624,'Email Cleaner'!$K$2:$K$10001,0)),"")</f>
        <v/>
      </c>
    </row>
    <row r="8626">
      <c r="A8626">
        <f>IFERROR(INDEX('Email Cleaner'!$B$2:$B$10001,MATCH(8625,'Email Cleaner'!$K$2:$K$10001,0)),"")</f>
        <v/>
      </c>
    </row>
    <row r="8627">
      <c r="A8627">
        <f>IFERROR(INDEX('Email Cleaner'!$B$2:$B$10001,MATCH(8626,'Email Cleaner'!$K$2:$K$10001,0)),"")</f>
        <v/>
      </c>
    </row>
    <row r="8628">
      <c r="A8628">
        <f>IFERROR(INDEX('Email Cleaner'!$B$2:$B$10001,MATCH(8627,'Email Cleaner'!$K$2:$K$10001,0)),"")</f>
        <v/>
      </c>
    </row>
    <row r="8629">
      <c r="A8629">
        <f>IFERROR(INDEX('Email Cleaner'!$B$2:$B$10001,MATCH(8628,'Email Cleaner'!$K$2:$K$10001,0)),"")</f>
        <v/>
      </c>
    </row>
    <row r="8630">
      <c r="A8630">
        <f>IFERROR(INDEX('Email Cleaner'!$B$2:$B$10001,MATCH(8629,'Email Cleaner'!$K$2:$K$10001,0)),"")</f>
        <v/>
      </c>
    </row>
    <row r="8631">
      <c r="A8631">
        <f>IFERROR(INDEX('Email Cleaner'!$B$2:$B$10001,MATCH(8630,'Email Cleaner'!$K$2:$K$10001,0)),"")</f>
        <v/>
      </c>
    </row>
    <row r="8632">
      <c r="A8632">
        <f>IFERROR(INDEX('Email Cleaner'!$B$2:$B$10001,MATCH(8631,'Email Cleaner'!$K$2:$K$10001,0)),"")</f>
        <v/>
      </c>
    </row>
    <row r="8633">
      <c r="A8633">
        <f>IFERROR(INDEX('Email Cleaner'!$B$2:$B$10001,MATCH(8632,'Email Cleaner'!$K$2:$K$10001,0)),"")</f>
        <v/>
      </c>
    </row>
    <row r="8634">
      <c r="A8634">
        <f>IFERROR(INDEX('Email Cleaner'!$B$2:$B$10001,MATCH(8633,'Email Cleaner'!$K$2:$K$10001,0)),"")</f>
        <v/>
      </c>
    </row>
    <row r="8635">
      <c r="A8635">
        <f>IFERROR(INDEX('Email Cleaner'!$B$2:$B$10001,MATCH(8634,'Email Cleaner'!$K$2:$K$10001,0)),"")</f>
        <v/>
      </c>
    </row>
    <row r="8636">
      <c r="A8636">
        <f>IFERROR(INDEX('Email Cleaner'!$B$2:$B$10001,MATCH(8635,'Email Cleaner'!$K$2:$K$10001,0)),"")</f>
        <v/>
      </c>
    </row>
    <row r="8637">
      <c r="A8637">
        <f>IFERROR(INDEX('Email Cleaner'!$B$2:$B$10001,MATCH(8636,'Email Cleaner'!$K$2:$K$10001,0)),"")</f>
        <v/>
      </c>
    </row>
    <row r="8638">
      <c r="A8638">
        <f>IFERROR(INDEX('Email Cleaner'!$B$2:$B$10001,MATCH(8637,'Email Cleaner'!$K$2:$K$10001,0)),"")</f>
        <v/>
      </c>
    </row>
    <row r="8639">
      <c r="A8639">
        <f>IFERROR(INDEX('Email Cleaner'!$B$2:$B$10001,MATCH(8638,'Email Cleaner'!$K$2:$K$10001,0)),"")</f>
        <v/>
      </c>
    </row>
    <row r="8640">
      <c r="A8640">
        <f>IFERROR(INDEX('Email Cleaner'!$B$2:$B$10001,MATCH(8639,'Email Cleaner'!$K$2:$K$10001,0)),"")</f>
        <v/>
      </c>
    </row>
    <row r="8641">
      <c r="A8641">
        <f>IFERROR(INDEX('Email Cleaner'!$B$2:$B$10001,MATCH(8640,'Email Cleaner'!$K$2:$K$10001,0)),"")</f>
        <v/>
      </c>
    </row>
    <row r="8642">
      <c r="A8642">
        <f>IFERROR(INDEX('Email Cleaner'!$B$2:$B$10001,MATCH(8641,'Email Cleaner'!$K$2:$K$10001,0)),"")</f>
        <v/>
      </c>
    </row>
    <row r="8643">
      <c r="A8643">
        <f>IFERROR(INDEX('Email Cleaner'!$B$2:$B$10001,MATCH(8642,'Email Cleaner'!$K$2:$K$10001,0)),"")</f>
        <v/>
      </c>
    </row>
    <row r="8644">
      <c r="A8644">
        <f>IFERROR(INDEX('Email Cleaner'!$B$2:$B$10001,MATCH(8643,'Email Cleaner'!$K$2:$K$10001,0)),"")</f>
        <v/>
      </c>
    </row>
    <row r="8645">
      <c r="A8645">
        <f>IFERROR(INDEX('Email Cleaner'!$B$2:$B$10001,MATCH(8644,'Email Cleaner'!$K$2:$K$10001,0)),"")</f>
        <v/>
      </c>
    </row>
    <row r="8646">
      <c r="A8646">
        <f>IFERROR(INDEX('Email Cleaner'!$B$2:$B$10001,MATCH(8645,'Email Cleaner'!$K$2:$K$10001,0)),"")</f>
        <v/>
      </c>
    </row>
    <row r="8647">
      <c r="A8647">
        <f>IFERROR(INDEX('Email Cleaner'!$B$2:$B$10001,MATCH(8646,'Email Cleaner'!$K$2:$K$10001,0)),"")</f>
        <v/>
      </c>
    </row>
    <row r="8648">
      <c r="A8648">
        <f>IFERROR(INDEX('Email Cleaner'!$B$2:$B$10001,MATCH(8647,'Email Cleaner'!$K$2:$K$10001,0)),"")</f>
        <v/>
      </c>
    </row>
    <row r="8649">
      <c r="A8649">
        <f>IFERROR(INDEX('Email Cleaner'!$B$2:$B$10001,MATCH(8648,'Email Cleaner'!$K$2:$K$10001,0)),"")</f>
        <v/>
      </c>
    </row>
    <row r="8650">
      <c r="A8650">
        <f>IFERROR(INDEX('Email Cleaner'!$B$2:$B$10001,MATCH(8649,'Email Cleaner'!$K$2:$K$10001,0)),"")</f>
        <v/>
      </c>
    </row>
    <row r="8651">
      <c r="A8651">
        <f>IFERROR(INDEX('Email Cleaner'!$B$2:$B$10001,MATCH(8650,'Email Cleaner'!$K$2:$K$10001,0)),"")</f>
        <v/>
      </c>
    </row>
    <row r="8652">
      <c r="A8652">
        <f>IFERROR(INDEX('Email Cleaner'!$B$2:$B$10001,MATCH(8651,'Email Cleaner'!$K$2:$K$10001,0)),"")</f>
        <v/>
      </c>
    </row>
    <row r="8653">
      <c r="A8653">
        <f>IFERROR(INDEX('Email Cleaner'!$B$2:$B$10001,MATCH(8652,'Email Cleaner'!$K$2:$K$10001,0)),"")</f>
        <v/>
      </c>
    </row>
    <row r="8654">
      <c r="A8654">
        <f>IFERROR(INDEX('Email Cleaner'!$B$2:$B$10001,MATCH(8653,'Email Cleaner'!$K$2:$K$10001,0)),"")</f>
        <v/>
      </c>
    </row>
    <row r="8655">
      <c r="A8655">
        <f>IFERROR(INDEX('Email Cleaner'!$B$2:$B$10001,MATCH(8654,'Email Cleaner'!$K$2:$K$10001,0)),"")</f>
        <v/>
      </c>
    </row>
    <row r="8656">
      <c r="A8656">
        <f>IFERROR(INDEX('Email Cleaner'!$B$2:$B$10001,MATCH(8655,'Email Cleaner'!$K$2:$K$10001,0)),"")</f>
        <v/>
      </c>
    </row>
    <row r="8657">
      <c r="A8657">
        <f>IFERROR(INDEX('Email Cleaner'!$B$2:$B$10001,MATCH(8656,'Email Cleaner'!$K$2:$K$10001,0)),"")</f>
        <v/>
      </c>
    </row>
    <row r="8658">
      <c r="A8658">
        <f>IFERROR(INDEX('Email Cleaner'!$B$2:$B$10001,MATCH(8657,'Email Cleaner'!$K$2:$K$10001,0)),"")</f>
        <v/>
      </c>
    </row>
    <row r="8659">
      <c r="A8659">
        <f>IFERROR(INDEX('Email Cleaner'!$B$2:$B$10001,MATCH(8658,'Email Cleaner'!$K$2:$K$10001,0)),"")</f>
        <v/>
      </c>
    </row>
    <row r="8660">
      <c r="A8660">
        <f>IFERROR(INDEX('Email Cleaner'!$B$2:$B$10001,MATCH(8659,'Email Cleaner'!$K$2:$K$10001,0)),"")</f>
        <v/>
      </c>
    </row>
    <row r="8661">
      <c r="A8661">
        <f>IFERROR(INDEX('Email Cleaner'!$B$2:$B$10001,MATCH(8660,'Email Cleaner'!$K$2:$K$10001,0)),"")</f>
        <v/>
      </c>
    </row>
    <row r="8662">
      <c r="A8662">
        <f>IFERROR(INDEX('Email Cleaner'!$B$2:$B$10001,MATCH(8661,'Email Cleaner'!$K$2:$K$10001,0)),"")</f>
        <v/>
      </c>
    </row>
    <row r="8663">
      <c r="A8663">
        <f>IFERROR(INDEX('Email Cleaner'!$B$2:$B$10001,MATCH(8662,'Email Cleaner'!$K$2:$K$10001,0)),"")</f>
        <v/>
      </c>
    </row>
    <row r="8664">
      <c r="A8664">
        <f>IFERROR(INDEX('Email Cleaner'!$B$2:$B$10001,MATCH(8663,'Email Cleaner'!$K$2:$K$10001,0)),"")</f>
        <v/>
      </c>
    </row>
    <row r="8665">
      <c r="A8665">
        <f>IFERROR(INDEX('Email Cleaner'!$B$2:$B$10001,MATCH(8664,'Email Cleaner'!$K$2:$K$10001,0)),"")</f>
        <v/>
      </c>
    </row>
    <row r="8666">
      <c r="A8666">
        <f>IFERROR(INDEX('Email Cleaner'!$B$2:$B$10001,MATCH(8665,'Email Cleaner'!$K$2:$K$10001,0)),"")</f>
        <v/>
      </c>
    </row>
    <row r="8667">
      <c r="A8667">
        <f>IFERROR(INDEX('Email Cleaner'!$B$2:$B$10001,MATCH(8666,'Email Cleaner'!$K$2:$K$10001,0)),"")</f>
        <v/>
      </c>
    </row>
    <row r="8668">
      <c r="A8668">
        <f>IFERROR(INDEX('Email Cleaner'!$B$2:$B$10001,MATCH(8667,'Email Cleaner'!$K$2:$K$10001,0)),"")</f>
        <v/>
      </c>
    </row>
    <row r="8669">
      <c r="A8669">
        <f>IFERROR(INDEX('Email Cleaner'!$B$2:$B$10001,MATCH(8668,'Email Cleaner'!$K$2:$K$10001,0)),"")</f>
        <v/>
      </c>
    </row>
    <row r="8670">
      <c r="A8670">
        <f>IFERROR(INDEX('Email Cleaner'!$B$2:$B$10001,MATCH(8669,'Email Cleaner'!$K$2:$K$10001,0)),"")</f>
        <v/>
      </c>
    </row>
    <row r="8671">
      <c r="A8671">
        <f>IFERROR(INDEX('Email Cleaner'!$B$2:$B$10001,MATCH(8670,'Email Cleaner'!$K$2:$K$10001,0)),"")</f>
        <v/>
      </c>
    </row>
    <row r="8672">
      <c r="A8672">
        <f>IFERROR(INDEX('Email Cleaner'!$B$2:$B$10001,MATCH(8671,'Email Cleaner'!$K$2:$K$10001,0)),"")</f>
        <v/>
      </c>
    </row>
    <row r="8673">
      <c r="A8673">
        <f>IFERROR(INDEX('Email Cleaner'!$B$2:$B$10001,MATCH(8672,'Email Cleaner'!$K$2:$K$10001,0)),"")</f>
        <v/>
      </c>
    </row>
    <row r="8674">
      <c r="A8674">
        <f>IFERROR(INDEX('Email Cleaner'!$B$2:$B$10001,MATCH(8673,'Email Cleaner'!$K$2:$K$10001,0)),"")</f>
        <v/>
      </c>
    </row>
    <row r="8675">
      <c r="A8675">
        <f>IFERROR(INDEX('Email Cleaner'!$B$2:$B$10001,MATCH(8674,'Email Cleaner'!$K$2:$K$10001,0)),"")</f>
        <v/>
      </c>
    </row>
    <row r="8676">
      <c r="A8676">
        <f>IFERROR(INDEX('Email Cleaner'!$B$2:$B$10001,MATCH(8675,'Email Cleaner'!$K$2:$K$10001,0)),"")</f>
        <v/>
      </c>
    </row>
    <row r="8677">
      <c r="A8677">
        <f>IFERROR(INDEX('Email Cleaner'!$B$2:$B$10001,MATCH(8676,'Email Cleaner'!$K$2:$K$10001,0)),"")</f>
        <v/>
      </c>
    </row>
    <row r="8678">
      <c r="A8678">
        <f>IFERROR(INDEX('Email Cleaner'!$B$2:$B$10001,MATCH(8677,'Email Cleaner'!$K$2:$K$10001,0)),"")</f>
        <v/>
      </c>
    </row>
    <row r="8679">
      <c r="A8679">
        <f>IFERROR(INDEX('Email Cleaner'!$B$2:$B$10001,MATCH(8678,'Email Cleaner'!$K$2:$K$10001,0)),"")</f>
        <v/>
      </c>
    </row>
    <row r="8680">
      <c r="A8680">
        <f>IFERROR(INDEX('Email Cleaner'!$B$2:$B$10001,MATCH(8679,'Email Cleaner'!$K$2:$K$10001,0)),"")</f>
        <v/>
      </c>
    </row>
    <row r="8681">
      <c r="A8681">
        <f>IFERROR(INDEX('Email Cleaner'!$B$2:$B$10001,MATCH(8680,'Email Cleaner'!$K$2:$K$10001,0)),"")</f>
        <v/>
      </c>
    </row>
    <row r="8682">
      <c r="A8682">
        <f>IFERROR(INDEX('Email Cleaner'!$B$2:$B$10001,MATCH(8681,'Email Cleaner'!$K$2:$K$10001,0)),"")</f>
        <v/>
      </c>
    </row>
    <row r="8683">
      <c r="A8683">
        <f>IFERROR(INDEX('Email Cleaner'!$B$2:$B$10001,MATCH(8682,'Email Cleaner'!$K$2:$K$10001,0)),"")</f>
        <v/>
      </c>
    </row>
    <row r="8684">
      <c r="A8684">
        <f>IFERROR(INDEX('Email Cleaner'!$B$2:$B$10001,MATCH(8683,'Email Cleaner'!$K$2:$K$10001,0)),"")</f>
        <v/>
      </c>
    </row>
    <row r="8685">
      <c r="A8685">
        <f>IFERROR(INDEX('Email Cleaner'!$B$2:$B$10001,MATCH(8684,'Email Cleaner'!$K$2:$K$10001,0)),"")</f>
        <v/>
      </c>
    </row>
    <row r="8686">
      <c r="A8686">
        <f>IFERROR(INDEX('Email Cleaner'!$B$2:$B$10001,MATCH(8685,'Email Cleaner'!$K$2:$K$10001,0)),"")</f>
        <v/>
      </c>
    </row>
    <row r="8687">
      <c r="A8687">
        <f>IFERROR(INDEX('Email Cleaner'!$B$2:$B$10001,MATCH(8686,'Email Cleaner'!$K$2:$K$10001,0)),"")</f>
        <v/>
      </c>
    </row>
    <row r="8688">
      <c r="A8688">
        <f>IFERROR(INDEX('Email Cleaner'!$B$2:$B$10001,MATCH(8687,'Email Cleaner'!$K$2:$K$10001,0)),"")</f>
        <v/>
      </c>
    </row>
    <row r="8689">
      <c r="A8689">
        <f>IFERROR(INDEX('Email Cleaner'!$B$2:$B$10001,MATCH(8688,'Email Cleaner'!$K$2:$K$10001,0)),"")</f>
        <v/>
      </c>
    </row>
    <row r="8690">
      <c r="A8690">
        <f>IFERROR(INDEX('Email Cleaner'!$B$2:$B$10001,MATCH(8689,'Email Cleaner'!$K$2:$K$10001,0)),"")</f>
        <v/>
      </c>
    </row>
    <row r="8691">
      <c r="A8691">
        <f>IFERROR(INDEX('Email Cleaner'!$B$2:$B$10001,MATCH(8690,'Email Cleaner'!$K$2:$K$10001,0)),"")</f>
        <v/>
      </c>
    </row>
    <row r="8692">
      <c r="A8692">
        <f>IFERROR(INDEX('Email Cleaner'!$B$2:$B$10001,MATCH(8691,'Email Cleaner'!$K$2:$K$10001,0)),"")</f>
        <v/>
      </c>
    </row>
    <row r="8693">
      <c r="A8693">
        <f>IFERROR(INDEX('Email Cleaner'!$B$2:$B$10001,MATCH(8692,'Email Cleaner'!$K$2:$K$10001,0)),"")</f>
        <v/>
      </c>
    </row>
    <row r="8694">
      <c r="A8694">
        <f>IFERROR(INDEX('Email Cleaner'!$B$2:$B$10001,MATCH(8693,'Email Cleaner'!$K$2:$K$10001,0)),"")</f>
        <v/>
      </c>
    </row>
    <row r="8695">
      <c r="A8695">
        <f>IFERROR(INDEX('Email Cleaner'!$B$2:$B$10001,MATCH(8694,'Email Cleaner'!$K$2:$K$10001,0)),"")</f>
        <v/>
      </c>
    </row>
    <row r="8696">
      <c r="A8696">
        <f>IFERROR(INDEX('Email Cleaner'!$B$2:$B$10001,MATCH(8695,'Email Cleaner'!$K$2:$K$10001,0)),"")</f>
        <v/>
      </c>
    </row>
    <row r="8697">
      <c r="A8697">
        <f>IFERROR(INDEX('Email Cleaner'!$B$2:$B$10001,MATCH(8696,'Email Cleaner'!$K$2:$K$10001,0)),"")</f>
        <v/>
      </c>
    </row>
    <row r="8698">
      <c r="A8698">
        <f>IFERROR(INDEX('Email Cleaner'!$B$2:$B$10001,MATCH(8697,'Email Cleaner'!$K$2:$K$10001,0)),"")</f>
        <v/>
      </c>
    </row>
    <row r="8699">
      <c r="A8699">
        <f>IFERROR(INDEX('Email Cleaner'!$B$2:$B$10001,MATCH(8698,'Email Cleaner'!$K$2:$K$10001,0)),"")</f>
        <v/>
      </c>
    </row>
    <row r="8700">
      <c r="A8700">
        <f>IFERROR(INDEX('Email Cleaner'!$B$2:$B$10001,MATCH(8699,'Email Cleaner'!$K$2:$K$10001,0)),"")</f>
        <v/>
      </c>
    </row>
    <row r="8701">
      <c r="A8701">
        <f>IFERROR(INDEX('Email Cleaner'!$B$2:$B$10001,MATCH(8700,'Email Cleaner'!$K$2:$K$10001,0)),"")</f>
        <v/>
      </c>
    </row>
    <row r="8702">
      <c r="A8702">
        <f>IFERROR(INDEX('Email Cleaner'!$B$2:$B$10001,MATCH(8701,'Email Cleaner'!$K$2:$K$10001,0)),"")</f>
        <v/>
      </c>
    </row>
    <row r="8703">
      <c r="A8703">
        <f>IFERROR(INDEX('Email Cleaner'!$B$2:$B$10001,MATCH(8702,'Email Cleaner'!$K$2:$K$10001,0)),"")</f>
        <v/>
      </c>
    </row>
    <row r="8704">
      <c r="A8704">
        <f>IFERROR(INDEX('Email Cleaner'!$B$2:$B$10001,MATCH(8703,'Email Cleaner'!$K$2:$K$10001,0)),"")</f>
        <v/>
      </c>
    </row>
    <row r="8705">
      <c r="A8705">
        <f>IFERROR(INDEX('Email Cleaner'!$B$2:$B$10001,MATCH(8704,'Email Cleaner'!$K$2:$K$10001,0)),"")</f>
        <v/>
      </c>
    </row>
    <row r="8706">
      <c r="A8706">
        <f>IFERROR(INDEX('Email Cleaner'!$B$2:$B$10001,MATCH(8705,'Email Cleaner'!$K$2:$K$10001,0)),"")</f>
        <v/>
      </c>
    </row>
    <row r="8707">
      <c r="A8707">
        <f>IFERROR(INDEX('Email Cleaner'!$B$2:$B$10001,MATCH(8706,'Email Cleaner'!$K$2:$K$10001,0)),"")</f>
        <v/>
      </c>
    </row>
    <row r="8708">
      <c r="A8708">
        <f>IFERROR(INDEX('Email Cleaner'!$B$2:$B$10001,MATCH(8707,'Email Cleaner'!$K$2:$K$10001,0)),"")</f>
        <v/>
      </c>
    </row>
    <row r="8709">
      <c r="A8709">
        <f>IFERROR(INDEX('Email Cleaner'!$B$2:$B$10001,MATCH(8708,'Email Cleaner'!$K$2:$K$10001,0)),"")</f>
        <v/>
      </c>
    </row>
    <row r="8710">
      <c r="A8710">
        <f>IFERROR(INDEX('Email Cleaner'!$B$2:$B$10001,MATCH(8709,'Email Cleaner'!$K$2:$K$10001,0)),"")</f>
        <v/>
      </c>
    </row>
    <row r="8711">
      <c r="A8711">
        <f>IFERROR(INDEX('Email Cleaner'!$B$2:$B$10001,MATCH(8710,'Email Cleaner'!$K$2:$K$10001,0)),"")</f>
        <v/>
      </c>
    </row>
    <row r="8712">
      <c r="A8712">
        <f>IFERROR(INDEX('Email Cleaner'!$B$2:$B$10001,MATCH(8711,'Email Cleaner'!$K$2:$K$10001,0)),"")</f>
        <v/>
      </c>
    </row>
    <row r="8713">
      <c r="A8713">
        <f>IFERROR(INDEX('Email Cleaner'!$B$2:$B$10001,MATCH(8712,'Email Cleaner'!$K$2:$K$10001,0)),"")</f>
        <v/>
      </c>
    </row>
    <row r="8714">
      <c r="A8714">
        <f>IFERROR(INDEX('Email Cleaner'!$B$2:$B$10001,MATCH(8713,'Email Cleaner'!$K$2:$K$10001,0)),"")</f>
        <v/>
      </c>
    </row>
    <row r="8715">
      <c r="A8715">
        <f>IFERROR(INDEX('Email Cleaner'!$B$2:$B$10001,MATCH(8714,'Email Cleaner'!$K$2:$K$10001,0)),"")</f>
        <v/>
      </c>
    </row>
    <row r="8716">
      <c r="A8716">
        <f>IFERROR(INDEX('Email Cleaner'!$B$2:$B$10001,MATCH(8715,'Email Cleaner'!$K$2:$K$10001,0)),"")</f>
        <v/>
      </c>
    </row>
    <row r="8717">
      <c r="A8717">
        <f>IFERROR(INDEX('Email Cleaner'!$B$2:$B$10001,MATCH(8716,'Email Cleaner'!$K$2:$K$10001,0)),"")</f>
        <v/>
      </c>
    </row>
    <row r="8718">
      <c r="A8718">
        <f>IFERROR(INDEX('Email Cleaner'!$B$2:$B$10001,MATCH(8717,'Email Cleaner'!$K$2:$K$10001,0)),"")</f>
        <v/>
      </c>
    </row>
    <row r="8719">
      <c r="A8719">
        <f>IFERROR(INDEX('Email Cleaner'!$B$2:$B$10001,MATCH(8718,'Email Cleaner'!$K$2:$K$10001,0)),"")</f>
        <v/>
      </c>
    </row>
    <row r="8720">
      <c r="A8720">
        <f>IFERROR(INDEX('Email Cleaner'!$B$2:$B$10001,MATCH(8719,'Email Cleaner'!$K$2:$K$10001,0)),"")</f>
        <v/>
      </c>
    </row>
    <row r="8721">
      <c r="A8721">
        <f>IFERROR(INDEX('Email Cleaner'!$B$2:$B$10001,MATCH(8720,'Email Cleaner'!$K$2:$K$10001,0)),"")</f>
        <v/>
      </c>
    </row>
    <row r="8722">
      <c r="A8722">
        <f>IFERROR(INDEX('Email Cleaner'!$B$2:$B$10001,MATCH(8721,'Email Cleaner'!$K$2:$K$10001,0)),"")</f>
        <v/>
      </c>
    </row>
    <row r="8723">
      <c r="A8723">
        <f>IFERROR(INDEX('Email Cleaner'!$B$2:$B$10001,MATCH(8722,'Email Cleaner'!$K$2:$K$10001,0)),"")</f>
        <v/>
      </c>
    </row>
    <row r="8724">
      <c r="A8724">
        <f>IFERROR(INDEX('Email Cleaner'!$B$2:$B$10001,MATCH(8723,'Email Cleaner'!$K$2:$K$10001,0)),"")</f>
        <v/>
      </c>
    </row>
    <row r="8725">
      <c r="A8725">
        <f>IFERROR(INDEX('Email Cleaner'!$B$2:$B$10001,MATCH(8724,'Email Cleaner'!$K$2:$K$10001,0)),"")</f>
        <v/>
      </c>
    </row>
    <row r="8726">
      <c r="A8726">
        <f>IFERROR(INDEX('Email Cleaner'!$B$2:$B$10001,MATCH(8725,'Email Cleaner'!$K$2:$K$10001,0)),"")</f>
        <v/>
      </c>
    </row>
    <row r="8727">
      <c r="A8727">
        <f>IFERROR(INDEX('Email Cleaner'!$B$2:$B$10001,MATCH(8726,'Email Cleaner'!$K$2:$K$10001,0)),"")</f>
        <v/>
      </c>
    </row>
    <row r="8728">
      <c r="A8728">
        <f>IFERROR(INDEX('Email Cleaner'!$B$2:$B$10001,MATCH(8727,'Email Cleaner'!$K$2:$K$10001,0)),"")</f>
        <v/>
      </c>
    </row>
    <row r="8729">
      <c r="A8729">
        <f>IFERROR(INDEX('Email Cleaner'!$B$2:$B$10001,MATCH(8728,'Email Cleaner'!$K$2:$K$10001,0)),"")</f>
        <v/>
      </c>
    </row>
    <row r="8730">
      <c r="A8730">
        <f>IFERROR(INDEX('Email Cleaner'!$B$2:$B$10001,MATCH(8729,'Email Cleaner'!$K$2:$K$10001,0)),"")</f>
        <v/>
      </c>
    </row>
    <row r="8731">
      <c r="A8731">
        <f>IFERROR(INDEX('Email Cleaner'!$B$2:$B$10001,MATCH(8730,'Email Cleaner'!$K$2:$K$10001,0)),"")</f>
        <v/>
      </c>
    </row>
    <row r="8732">
      <c r="A8732">
        <f>IFERROR(INDEX('Email Cleaner'!$B$2:$B$10001,MATCH(8731,'Email Cleaner'!$K$2:$K$10001,0)),"")</f>
        <v/>
      </c>
    </row>
    <row r="8733">
      <c r="A8733">
        <f>IFERROR(INDEX('Email Cleaner'!$B$2:$B$10001,MATCH(8732,'Email Cleaner'!$K$2:$K$10001,0)),"")</f>
        <v/>
      </c>
    </row>
    <row r="8734">
      <c r="A8734">
        <f>IFERROR(INDEX('Email Cleaner'!$B$2:$B$10001,MATCH(8733,'Email Cleaner'!$K$2:$K$10001,0)),"")</f>
        <v/>
      </c>
    </row>
    <row r="8735">
      <c r="A8735">
        <f>IFERROR(INDEX('Email Cleaner'!$B$2:$B$10001,MATCH(8734,'Email Cleaner'!$K$2:$K$10001,0)),"")</f>
        <v/>
      </c>
    </row>
    <row r="8736">
      <c r="A8736">
        <f>IFERROR(INDEX('Email Cleaner'!$B$2:$B$10001,MATCH(8735,'Email Cleaner'!$K$2:$K$10001,0)),"")</f>
        <v/>
      </c>
    </row>
    <row r="8737">
      <c r="A8737">
        <f>IFERROR(INDEX('Email Cleaner'!$B$2:$B$10001,MATCH(8736,'Email Cleaner'!$K$2:$K$10001,0)),"")</f>
        <v/>
      </c>
    </row>
    <row r="8738">
      <c r="A8738">
        <f>IFERROR(INDEX('Email Cleaner'!$B$2:$B$10001,MATCH(8737,'Email Cleaner'!$K$2:$K$10001,0)),"")</f>
        <v/>
      </c>
    </row>
    <row r="8739">
      <c r="A8739">
        <f>IFERROR(INDEX('Email Cleaner'!$B$2:$B$10001,MATCH(8738,'Email Cleaner'!$K$2:$K$10001,0)),"")</f>
        <v/>
      </c>
    </row>
    <row r="8740">
      <c r="A8740">
        <f>IFERROR(INDEX('Email Cleaner'!$B$2:$B$10001,MATCH(8739,'Email Cleaner'!$K$2:$K$10001,0)),"")</f>
        <v/>
      </c>
    </row>
    <row r="8741">
      <c r="A8741">
        <f>IFERROR(INDEX('Email Cleaner'!$B$2:$B$10001,MATCH(8740,'Email Cleaner'!$K$2:$K$10001,0)),"")</f>
        <v/>
      </c>
    </row>
    <row r="8742">
      <c r="A8742">
        <f>IFERROR(INDEX('Email Cleaner'!$B$2:$B$10001,MATCH(8741,'Email Cleaner'!$K$2:$K$10001,0)),"")</f>
        <v/>
      </c>
    </row>
    <row r="8743">
      <c r="A8743">
        <f>IFERROR(INDEX('Email Cleaner'!$B$2:$B$10001,MATCH(8742,'Email Cleaner'!$K$2:$K$10001,0)),"")</f>
        <v/>
      </c>
    </row>
    <row r="8744">
      <c r="A8744">
        <f>IFERROR(INDEX('Email Cleaner'!$B$2:$B$10001,MATCH(8743,'Email Cleaner'!$K$2:$K$10001,0)),"")</f>
        <v/>
      </c>
    </row>
    <row r="8745">
      <c r="A8745">
        <f>IFERROR(INDEX('Email Cleaner'!$B$2:$B$10001,MATCH(8744,'Email Cleaner'!$K$2:$K$10001,0)),"")</f>
        <v/>
      </c>
    </row>
    <row r="8746">
      <c r="A8746">
        <f>IFERROR(INDEX('Email Cleaner'!$B$2:$B$10001,MATCH(8745,'Email Cleaner'!$K$2:$K$10001,0)),"")</f>
        <v/>
      </c>
    </row>
    <row r="8747">
      <c r="A8747">
        <f>IFERROR(INDEX('Email Cleaner'!$B$2:$B$10001,MATCH(8746,'Email Cleaner'!$K$2:$K$10001,0)),"")</f>
        <v/>
      </c>
    </row>
    <row r="8748">
      <c r="A8748">
        <f>IFERROR(INDEX('Email Cleaner'!$B$2:$B$10001,MATCH(8747,'Email Cleaner'!$K$2:$K$10001,0)),"")</f>
        <v/>
      </c>
    </row>
    <row r="8749">
      <c r="A8749">
        <f>IFERROR(INDEX('Email Cleaner'!$B$2:$B$10001,MATCH(8748,'Email Cleaner'!$K$2:$K$10001,0)),"")</f>
        <v/>
      </c>
    </row>
    <row r="8750">
      <c r="A8750">
        <f>IFERROR(INDEX('Email Cleaner'!$B$2:$B$10001,MATCH(8749,'Email Cleaner'!$K$2:$K$10001,0)),"")</f>
        <v/>
      </c>
    </row>
    <row r="8751">
      <c r="A8751">
        <f>IFERROR(INDEX('Email Cleaner'!$B$2:$B$10001,MATCH(8750,'Email Cleaner'!$K$2:$K$10001,0)),"")</f>
        <v/>
      </c>
    </row>
    <row r="8752">
      <c r="A8752">
        <f>IFERROR(INDEX('Email Cleaner'!$B$2:$B$10001,MATCH(8751,'Email Cleaner'!$K$2:$K$10001,0)),"")</f>
        <v/>
      </c>
    </row>
    <row r="8753">
      <c r="A8753">
        <f>IFERROR(INDEX('Email Cleaner'!$B$2:$B$10001,MATCH(8752,'Email Cleaner'!$K$2:$K$10001,0)),"")</f>
        <v/>
      </c>
    </row>
    <row r="8754">
      <c r="A8754">
        <f>IFERROR(INDEX('Email Cleaner'!$B$2:$B$10001,MATCH(8753,'Email Cleaner'!$K$2:$K$10001,0)),"")</f>
        <v/>
      </c>
    </row>
    <row r="8755">
      <c r="A8755">
        <f>IFERROR(INDEX('Email Cleaner'!$B$2:$B$10001,MATCH(8754,'Email Cleaner'!$K$2:$K$10001,0)),"")</f>
        <v/>
      </c>
    </row>
    <row r="8756">
      <c r="A8756">
        <f>IFERROR(INDEX('Email Cleaner'!$B$2:$B$10001,MATCH(8755,'Email Cleaner'!$K$2:$K$10001,0)),"")</f>
        <v/>
      </c>
    </row>
    <row r="8757">
      <c r="A8757">
        <f>IFERROR(INDEX('Email Cleaner'!$B$2:$B$10001,MATCH(8756,'Email Cleaner'!$K$2:$K$10001,0)),"")</f>
        <v/>
      </c>
    </row>
    <row r="8758">
      <c r="A8758">
        <f>IFERROR(INDEX('Email Cleaner'!$B$2:$B$10001,MATCH(8757,'Email Cleaner'!$K$2:$K$10001,0)),"")</f>
        <v/>
      </c>
    </row>
    <row r="8759">
      <c r="A8759">
        <f>IFERROR(INDEX('Email Cleaner'!$B$2:$B$10001,MATCH(8758,'Email Cleaner'!$K$2:$K$10001,0)),"")</f>
        <v/>
      </c>
    </row>
    <row r="8760">
      <c r="A8760">
        <f>IFERROR(INDEX('Email Cleaner'!$B$2:$B$10001,MATCH(8759,'Email Cleaner'!$K$2:$K$10001,0)),"")</f>
        <v/>
      </c>
    </row>
    <row r="8761">
      <c r="A8761">
        <f>IFERROR(INDEX('Email Cleaner'!$B$2:$B$10001,MATCH(8760,'Email Cleaner'!$K$2:$K$10001,0)),"")</f>
        <v/>
      </c>
    </row>
    <row r="8762">
      <c r="A8762">
        <f>IFERROR(INDEX('Email Cleaner'!$B$2:$B$10001,MATCH(8761,'Email Cleaner'!$K$2:$K$10001,0)),"")</f>
        <v/>
      </c>
    </row>
    <row r="8763">
      <c r="A8763">
        <f>IFERROR(INDEX('Email Cleaner'!$B$2:$B$10001,MATCH(8762,'Email Cleaner'!$K$2:$K$10001,0)),"")</f>
        <v/>
      </c>
    </row>
    <row r="8764">
      <c r="A8764">
        <f>IFERROR(INDEX('Email Cleaner'!$B$2:$B$10001,MATCH(8763,'Email Cleaner'!$K$2:$K$10001,0)),"")</f>
        <v/>
      </c>
    </row>
    <row r="8765">
      <c r="A8765">
        <f>IFERROR(INDEX('Email Cleaner'!$B$2:$B$10001,MATCH(8764,'Email Cleaner'!$K$2:$K$10001,0)),"")</f>
        <v/>
      </c>
    </row>
    <row r="8766">
      <c r="A8766">
        <f>IFERROR(INDEX('Email Cleaner'!$B$2:$B$10001,MATCH(8765,'Email Cleaner'!$K$2:$K$10001,0)),"")</f>
        <v/>
      </c>
    </row>
    <row r="8767">
      <c r="A8767">
        <f>IFERROR(INDEX('Email Cleaner'!$B$2:$B$10001,MATCH(8766,'Email Cleaner'!$K$2:$K$10001,0)),"")</f>
        <v/>
      </c>
    </row>
    <row r="8768">
      <c r="A8768">
        <f>IFERROR(INDEX('Email Cleaner'!$B$2:$B$10001,MATCH(8767,'Email Cleaner'!$K$2:$K$10001,0)),"")</f>
        <v/>
      </c>
    </row>
    <row r="8769">
      <c r="A8769">
        <f>IFERROR(INDEX('Email Cleaner'!$B$2:$B$10001,MATCH(8768,'Email Cleaner'!$K$2:$K$10001,0)),"")</f>
        <v/>
      </c>
    </row>
    <row r="8770">
      <c r="A8770">
        <f>IFERROR(INDEX('Email Cleaner'!$B$2:$B$10001,MATCH(8769,'Email Cleaner'!$K$2:$K$10001,0)),"")</f>
        <v/>
      </c>
    </row>
    <row r="8771">
      <c r="A8771">
        <f>IFERROR(INDEX('Email Cleaner'!$B$2:$B$10001,MATCH(8770,'Email Cleaner'!$K$2:$K$10001,0)),"")</f>
        <v/>
      </c>
    </row>
    <row r="8772">
      <c r="A8772">
        <f>IFERROR(INDEX('Email Cleaner'!$B$2:$B$10001,MATCH(8771,'Email Cleaner'!$K$2:$K$10001,0)),"")</f>
        <v/>
      </c>
    </row>
    <row r="8773">
      <c r="A8773">
        <f>IFERROR(INDEX('Email Cleaner'!$B$2:$B$10001,MATCH(8772,'Email Cleaner'!$K$2:$K$10001,0)),"")</f>
        <v/>
      </c>
    </row>
    <row r="8774">
      <c r="A8774">
        <f>IFERROR(INDEX('Email Cleaner'!$B$2:$B$10001,MATCH(8773,'Email Cleaner'!$K$2:$K$10001,0)),"")</f>
        <v/>
      </c>
    </row>
    <row r="8775">
      <c r="A8775">
        <f>IFERROR(INDEX('Email Cleaner'!$B$2:$B$10001,MATCH(8774,'Email Cleaner'!$K$2:$K$10001,0)),"")</f>
        <v/>
      </c>
    </row>
    <row r="8776">
      <c r="A8776">
        <f>IFERROR(INDEX('Email Cleaner'!$B$2:$B$10001,MATCH(8775,'Email Cleaner'!$K$2:$K$10001,0)),"")</f>
        <v/>
      </c>
    </row>
    <row r="8777">
      <c r="A8777">
        <f>IFERROR(INDEX('Email Cleaner'!$B$2:$B$10001,MATCH(8776,'Email Cleaner'!$K$2:$K$10001,0)),"")</f>
        <v/>
      </c>
    </row>
    <row r="8778">
      <c r="A8778">
        <f>IFERROR(INDEX('Email Cleaner'!$B$2:$B$10001,MATCH(8777,'Email Cleaner'!$K$2:$K$10001,0)),"")</f>
        <v/>
      </c>
    </row>
    <row r="8779">
      <c r="A8779">
        <f>IFERROR(INDEX('Email Cleaner'!$B$2:$B$10001,MATCH(8778,'Email Cleaner'!$K$2:$K$10001,0)),"")</f>
        <v/>
      </c>
    </row>
    <row r="8780">
      <c r="A8780">
        <f>IFERROR(INDEX('Email Cleaner'!$B$2:$B$10001,MATCH(8779,'Email Cleaner'!$K$2:$K$10001,0)),"")</f>
        <v/>
      </c>
    </row>
    <row r="8781">
      <c r="A8781">
        <f>IFERROR(INDEX('Email Cleaner'!$B$2:$B$10001,MATCH(8780,'Email Cleaner'!$K$2:$K$10001,0)),"")</f>
        <v/>
      </c>
    </row>
    <row r="8782">
      <c r="A8782">
        <f>IFERROR(INDEX('Email Cleaner'!$B$2:$B$10001,MATCH(8781,'Email Cleaner'!$K$2:$K$10001,0)),"")</f>
        <v/>
      </c>
    </row>
    <row r="8783">
      <c r="A8783">
        <f>IFERROR(INDEX('Email Cleaner'!$B$2:$B$10001,MATCH(8782,'Email Cleaner'!$K$2:$K$10001,0)),"")</f>
        <v/>
      </c>
    </row>
    <row r="8784">
      <c r="A8784">
        <f>IFERROR(INDEX('Email Cleaner'!$B$2:$B$10001,MATCH(8783,'Email Cleaner'!$K$2:$K$10001,0)),"")</f>
        <v/>
      </c>
    </row>
    <row r="8785">
      <c r="A8785">
        <f>IFERROR(INDEX('Email Cleaner'!$B$2:$B$10001,MATCH(8784,'Email Cleaner'!$K$2:$K$10001,0)),"")</f>
        <v/>
      </c>
    </row>
    <row r="8786">
      <c r="A8786">
        <f>IFERROR(INDEX('Email Cleaner'!$B$2:$B$10001,MATCH(8785,'Email Cleaner'!$K$2:$K$10001,0)),"")</f>
        <v/>
      </c>
    </row>
    <row r="8787">
      <c r="A8787">
        <f>IFERROR(INDEX('Email Cleaner'!$B$2:$B$10001,MATCH(8786,'Email Cleaner'!$K$2:$K$10001,0)),"")</f>
        <v/>
      </c>
    </row>
    <row r="8788">
      <c r="A8788">
        <f>IFERROR(INDEX('Email Cleaner'!$B$2:$B$10001,MATCH(8787,'Email Cleaner'!$K$2:$K$10001,0)),"")</f>
        <v/>
      </c>
    </row>
    <row r="8789">
      <c r="A8789">
        <f>IFERROR(INDEX('Email Cleaner'!$B$2:$B$10001,MATCH(8788,'Email Cleaner'!$K$2:$K$10001,0)),"")</f>
        <v/>
      </c>
    </row>
    <row r="8790">
      <c r="A8790">
        <f>IFERROR(INDEX('Email Cleaner'!$B$2:$B$10001,MATCH(8789,'Email Cleaner'!$K$2:$K$10001,0)),"")</f>
        <v/>
      </c>
    </row>
    <row r="8791">
      <c r="A8791">
        <f>IFERROR(INDEX('Email Cleaner'!$B$2:$B$10001,MATCH(8790,'Email Cleaner'!$K$2:$K$10001,0)),"")</f>
        <v/>
      </c>
    </row>
    <row r="8792">
      <c r="A8792">
        <f>IFERROR(INDEX('Email Cleaner'!$B$2:$B$10001,MATCH(8791,'Email Cleaner'!$K$2:$K$10001,0)),"")</f>
        <v/>
      </c>
    </row>
    <row r="8793">
      <c r="A8793">
        <f>IFERROR(INDEX('Email Cleaner'!$B$2:$B$10001,MATCH(8792,'Email Cleaner'!$K$2:$K$10001,0)),"")</f>
        <v/>
      </c>
    </row>
    <row r="8794">
      <c r="A8794">
        <f>IFERROR(INDEX('Email Cleaner'!$B$2:$B$10001,MATCH(8793,'Email Cleaner'!$K$2:$K$10001,0)),"")</f>
        <v/>
      </c>
    </row>
    <row r="8795">
      <c r="A8795">
        <f>IFERROR(INDEX('Email Cleaner'!$B$2:$B$10001,MATCH(8794,'Email Cleaner'!$K$2:$K$10001,0)),"")</f>
        <v/>
      </c>
    </row>
    <row r="8796">
      <c r="A8796">
        <f>IFERROR(INDEX('Email Cleaner'!$B$2:$B$10001,MATCH(8795,'Email Cleaner'!$K$2:$K$10001,0)),"")</f>
        <v/>
      </c>
    </row>
    <row r="8797">
      <c r="A8797">
        <f>IFERROR(INDEX('Email Cleaner'!$B$2:$B$10001,MATCH(8796,'Email Cleaner'!$K$2:$K$10001,0)),"")</f>
        <v/>
      </c>
    </row>
    <row r="8798">
      <c r="A8798">
        <f>IFERROR(INDEX('Email Cleaner'!$B$2:$B$10001,MATCH(8797,'Email Cleaner'!$K$2:$K$10001,0)),"")</f>
        <v/>
      </c>
    </row>
    <row r="8799">
      <c r="A8799">
        <f>IFERROR(INDEX('Email Cleaner'!$B$2:$B$10001,MATCH(8798,'Email Cleaner'!$K$2:$K$10001,0)),"")</f>
        <v/>
      </c>
    </row>
    <row r="8800">
      <c r="A8800">
        <f>IFERROR(INDEX('Email Cleaner'!$B$2:$B$10001,MATCH(8799,'Email Cleaner'!$K$2:$K$10001,0)),"")</f>
        <v/>
      </c>
    </row>
    <row r="8801">
      <c r="A8801">
        <f>IFERROR(INDEX('Email Cleaner'!$B$2:$B$10001,MATCH(8800,'Email Cleaner'!$K$2:$K$10001,0)),"")</f>
        <v/>
      </c>
    </row>
    <row r="8802">
      <c r="A8802">
        <f>IFERROR(INDEX('Email Cleaner'!$B$2:$B$10001,MATCH(8801,'Email Cleaner'!$K$2:$K$10001,0)),"")</f>
        <v/>
      </c>
    </row>
    <row r="8803">
      <c r="A8803">
        <f>IFERROR(INDEX('Email Cleaner'!$B$2:$B$10001,MATCH(8802,'Email Cleaner'!$K$2:$K$10001,0)),"")</f>
        <v/>
      </c>
    </row>
    <row r="8804">
      <c r="A8804">
        <f>IFERROR(INDEX('Email Cleaner'!$B$2:$B$10001,MATCH(8803,'Email Cleaner'!$K$2:$K$10001,0)),"")</f>
        <v/>
      </c>
    </row>
    <row r="8805">
      <c r="A8805">
        <f>IFERROR(INDEX('Email Cleaner'!$B$2:$B$10001,MATCH(8804,'Email Cleaner'!$K$2:$K$10001,0)),"")</f>
        <v/>
      </c>
    </row>
    <row r="8806">
      <c r="A8806">
        <f>IFERROR(INDEX('Email Cleaner'!$B$2:$B$10001,MATCH(8805,'Email Cleaner'!$K$2:$K$10001,0)),"")</f>
        <v/>
      </c>
    </row>
    <row r="8807">
      <c r="A8807">
        <f>IFERROR(INDEX('Email Cleaner'!$B$2:$B$10001,MATCH(8806,'Email Cleaner'!$K$2:$K$10001,0)),"")</f>
        <v/>
      </c>
    </row>
    <row r="8808">
      <c r="A8808">
        <f>IFERROR(INDEX('Email Cleaner'!$B$2:$B$10001,MATCH(8807,'Email Cleaner'!$K$2:$K$10001,0)),"")</f>
        <v/>
      </c>
    </row>
    <row r="8809">
      <c r="A8809">
        <f>IFERROR(INDEX('Email Cleaner'!$B$2:$B$10001,MATCH(8808,'Email Cleaner'!$K$2:$K$10001,0)),"")</f>
        <v/>
      </c>
    </row>
    <row r="8810">
      <c r="A8810">
        <f>IFERROR(INDEX('Email Cleaner'!$B$2:$B$10001,MATCH(8809,'Email Cleaner'!$K$2:$K$10001,0)),"")</f>
        <v/>
      </c>
    </row>
    <row r="8811">
      <c r="A8811">
        <f>IFERROR(INDEX('Email Cleaner'!$B$2:$B$10001,MATCH(8810,'Email Cleaner'!$K$2:$K$10001,0)),"")</f>
        <v/>
      </c>
    </row>
    <row r="8812">
      <c r="A8812">
        <f>IFERROR(INDEX('Email Cleaner'!$B$2:$B$10001,MATCH(8811,'Email Cleaner'!$K$2:$K$10001,0)),"")</f>
        <v/>
      </c>
    </row>
    <row r="8813">
      <c r="A8813">
        <f>IFERROR(INDEX('Email Cleaner'!$B$2:$B$10001,MATCH(8812,'Email Cleaner'!$K$2:$K$10001,0)),"")</f>
        <v/>
      </c>
    </row>
    <row r="8814">
      <c r="A8814">
        <f>IFERROR(INDEX('Email Cleaner'!$B$2:$B$10001,MATCH(8813,'Email Cleaner'!$K$2:$K$10001,0)),"")</f>
        <v/>
      </c>
    </row>
    <row r="8815">
      <c r="A8815">
        <f>IFERROR(INDEX('Email Cleaner'!$B$2:$B$10001,MATCH(8814,'Email Cleaner'!$K$2:$K$10001,0)),"")</f>
        <v/>
      </c>
    </row>
    <row r="8816">
      <c r="A8816">
        <f>IFERROR(INDEX('Email Cleaner'!$B$2:$B$10001,MATCH(8815,'Email Cleaner'!$K$2:$K$10001,0)),"")</f>
        <v/>
      </c>
    </row>
    <row r="8817">
      <c r="A8817">
        <f>IFERROR(INDEX('Email Cleaner'!$B$2:$B$10001,MATCH(8816,'Email Cleaner'!$K$2:$K$10001,0)),"")</f>
        <v/>
      </c>
    </row>
    <row r="8818">
      <c r="A8818">
        <f>IFERROR(INDEX('Email Cleaner'!$B$2:$B$10001,MATCH(8817,'Email Cleaner'!$K$2:$K$10001,0)),"")</f>
        <v/>
      </c>
    </row>
    <row r="8819">
      <c r="A8819">
        <f>IFERROR(INDEX('Email Cleaner'!$B$2:$B$10001,MATCH(8818,'Email Cleaner'!$K$2:$K$10001,0)),"")</f>
        <v/>
      </c>
    </row>
    <row r="8820">
      <c r="A8820">
        <f>IFERROR(INDEX('Email Cleaner'!$B$2:$B$10001,MATCH(8819,'Email Cleaner'!$K$2:$K$10001,0)),"")</f>
        <v/>
      </c>
    </row>
    <row r="8821">
      <c r="A8821">
        <f>IFERROR(INDEX('Email Cleaner'!$B$2:$B$10001,MATCH(8820,'Email Cleaner'!$K$2:$K$10001,0)),"")</f>
        <v/>
      </c>
    </row>
    <row r="8822">
      <c r="A8822">
        <f>IFERROR(INDEX('Email Cleaner'!$B$2:$B$10001,MATCH(8821,'Email Cleaner'!$K$2:$K$10001,0)),"")</f>
        <v/>
      </c>
    </row>
    <row r="8823">
      <c r="A8823">
        <f>IFERROR(INDEX('Email Cleaner'!$B$2:$B$10001,MATCH(8822,'Email Cleaner'!$K$2:$K$10001,0)),"")</f>
        <v/>
      </c>
    </row>
    <row r="8824">
      <c r="A8824">
        <f>IFERROR(INDEX('Email Cleaner'!$B$2:$B$10001,MATCH(8823,'Email Cleaner'!$K$2:$K$10001,0)),"")</f>
        <v/>
      </c>
    </row>
    <row r="8825">
      <c r="A8825">
        <f>IFERROR(INDEX('Email Cleaner'!$B$2:$B$10001,MATCH(8824,'Email Cleaner'!$K$2:$K$10001,0)),"")</f>
        <v/>
      </c>
    </row>
    <row r="8826">
      <c r="A8826">
        <f>IFERROR(INDEX('Email Cleaner'!$B$2:$B$10001,MATCH(8825,'Email Cleaner'!$K$2:$K$10001,0)),"")</f>
        <v/>
      </c>
    </row>
    <row r="8827">
      <c r="A8827">
        <f>IFERROR(INDEX('Email Cleaner'!$B$2:$B$10001,MATCH(8826,'Email Cleaner'!$K$2:$K$10001,0)),"")</f>
        <v/>
      </c>
    </row>
    <row r="8828">
      <c r="A8828">
        <f>IFERROR(INDEX('Email Cleaner'!$B$2:$B$10001,MATCH(8827,'Email Cleaner'!$K$2:$K$10001,0)),"")</f>
        <v/>
      </c>
    </row>
    <row r="8829">
      <c r="A8829">
        <f>IFERROR(INDEX('Email Cleaner'!$B$2:$B$10001,MATCH(8828,'Email Cleaner'!$K$2:$K$10001,0)),"")</f>
        <v/>
      </c>
    </row>
    <row r="8830">
      <c r="A8830">
        <f>IFERROR(INDEX('Email Cleaner'!$B$2:$B$10001,MATCH(8829,'Email Cleaner'!$K$2:$K$10001,0)),"")</f>
        <v/>
      </c>
    </row>
    <row r="8831">
      <c r="A8831">
        <f>IFERROR(INDEX('Email Cleaner'!$B$2:$B$10001,MATCH(8830,'Email Cleaner'!$K$2:$K$10001,0)),"")</f>
        <v/>
      </c>
    </row>
    <row r="8832">
      <c r="A8832">
        <f>IFERROR(INDEX('Email Cleaner'!$B$2:$B$10001,MATCH(8831,'Email Cleaner'!$K$2:$K$10001,0)),"")</f>
        <v/>
      </c>
    </row>
    <row r="8833">
      <c r="A8833">
        <f>IFERROR(INDEX('Email Cleaner'!$B$2:$B$10001,MATCH(8832,'Email Cleaner'!$K$2:$K$10001,0)),"")</f>
        <v/>
      </c>
    </row>
    <row r="8834">
      <c r="A8834">
        <f>IFERROR(INDEX('Email Cleaner'!$B$2:$B$10001,MATCH(8833,'Email Cleaner'!$K$2:$K$10001,0)),"")</f>
        <v/>
      </c>
    </row>
    <row r="8835">
      <c r="A8835">
        <f>IFERROR(INDEX('Email Cleaner'!$B$2:$B$10001,MATCH(8834,'Email Cleaner'!$K$2:$K$10001,0)),"")</f>
        <v/>
      </c>
    </row>
    <row r="8836">
      <c r="A8836">
        <f>IFERROR(INDEX('Email Cleaner'!$B$2:$B$10001,MATCH(8835,'Email Cleaner'!$K$2:$K$10001,0)),"")</f>
        <v/>
      </c>
    </row>
    <row r="8837">
      <c r="A8837">
        <f>IFERROR(INDEX('Email Cleaner'!$B$2:$B$10001,MATCH(8836,'Email Cleaner'!$K$2:$K$10001,0)),"")</f>
        <v/>
      </c>
    </row>
    <row r="8838">
      <c r="A8838">
        <f>IFERROR(INDEX('Email Cleaner'!$B$2:$B$10001,MATCH(8837,'Email Cleaner'!$K$2:$K$10001,0)),"")</f>
        <v/>
      </c>
    </row>
    <row r="8839">
      <c r="A8839">
        <f>IFERROR(INDEX('Email Cleaner'!$B$2:$B$10001,MATCH(8838,'Email Cleaner'!$K$2:$K$10001,0)),"")</f>
        <v/>
      </c>
    </row>
    <row r="8840">
      <c r="A8840">
        <f>IFERROR(INDEX('Email Cleaner'!$B$2:$B$10001,MATCH(8839,'Email Cleaner'!$K$2:$K$10001,0)),"")</f>
        <v/>
      </c>
    </row>
    <row r="8841">
      <c r="A8841">
        <f>IFERROR(INDEX('Email Cleaner'!$B$2:$B$10001,MATCH(8840,'Email Cleaner'!$K$2:$K$10001,0)),"")</f>
        <v/>
      </c>
    </row>
    <row r="8842">
      <c r="A8842">
        <f>IFERROR(INDEX('Email Cleaner'!$B$2:$B$10001,MATCH(8841,'Email Cleaner'!$K$2:$K$10001,0)),"")</f>
        <v/>
      </c>
    </row>
    <row r="8843">
      <c r="A8843">
        <f>IFERROR(INDEX('Email Cleaner'!$B$2:$B$10001,MATCH(8842,'Email Cleaner'!$K$2:$K$10001,0)),"")</f>
        <v/>
      </c>
    </row>
    <row r="8844">
      <c r="A8844">
        <f>IFERROR(INDEX('Email Cleaner'!$B$2:$B$10001,MATCH(8843,'Email Cleaner'!$K$2:$K$10001,0)),"")</f>
        <v/>
      </c>
    </row>
    <row r="8845">
      <c r="A8845">
        <f>IFERROR(INDEX('Email Cleaner'!$B$2:$B$10001,MATCH(8844,'Email Cleaner'!$K$2:$K$10001,0)),"")</f>
        <v/>
      </c>
    </row>
    <row r="8846">
      <c r="A8846">
        <f>IFERROR(INDEX('Email Cleaner'!$B$2:$B$10001,MATCH(8845,'Email Cleaner'!$K$2:$K$10001,0)),"")</f>
        <v/>
      </c>
    </row>
    <row r="8847">
      <c r="A8847">
        <f>IFERROR(INDEX('Email Cleaner'!$B$2:$B$10001,MATCH(8846,'Email Cleaner'!$K$2:$K$10001,0)),"")</f>
        <v/>
      </c>
    </row>
    <row r="8848">
      <c r="A8848">
        <f>IFERROR(INDEX('Email Cleaner'!$B$2:$B$10001,MATCH(8847,'Email Cleaner'!$K$2:$K$10001,0)),"")</f>
        <v/>
      </c>
    </row>
    <row r="8849">
      <c r="A8849">
        <f>IFERROR(INDEX('Email Cleaner'!$B$2:$B$10001,MATCH(8848,'Email Cleaner'!$K$2:$K$10001,0)),"")</f>
        <v/>
      </c>
    </row>
    <row r="8850">
      <c r="A8850">
        <f>IFERROR(INDEX('Email Cleaner'!$B$2:$B$10001,MATCH(8849,'Email Cleaner'!$K$2:$K$10001,0)),"")</f>
        <v/>
      </c>
    </row>
    <row r="8851">
      <c r="A8851">
        <f>IFERROR(INDEX('Email Cleaner'!$B$2:$B$10001,MATCH(8850,'Email Cleaner'!$K$2:$K$10001,0)),"")</f>
        <v/>
      </c>
    </row>
    <row r="8852">
      <c r="A8852">
        <f>IFERROR(INDEX('Email Cleaner'!$B$2:$B$10001,MATCH(8851,'Email Cleaner'!$K$2:$K$10001,0)),"")</f>
        <v/>
      </c>
    </row>
    <row r="8853">
      <c r="A8853">
        <f>IFERROR(INDEX('Email Cleaner'!$B$2:$B$10001,MATCH(8852,'Email Cleaner'!$K$2:$K$10001,0)),"")</f>
        <v/>
      </c>
    </row>
    <row r="8854">
      <c r="A8854">
        <f>IFERROR(INDEX('Email Cleaner'!$B$2:$B$10001,MATCH(8853,'Email Cleaner'!$K$2:$K$10001,0)),"")</f>
        <v/>
      </c>
    </row>
    <row r="8855">
      <c r="A8855">
        <f>IFERROR(INDEX('Email Cleaner'!$B$2:$B$10001,MATCH(8854,'Email Cleaner'!$K$2:$K$10001,0)),"")</f>
        <v/>
      </c>
    </row>
    <row r="8856">
      <c r="A8856">
        <f>IFERROR(INDEX('Email Cleaner'!$B$2:$B$10001,MATCH(8855,'Email Cleaner'!$K$2:$K$10001,0)),"")</f>
        <v/>
      </c>
    </row>
    <row r="8857">
      <c r="A8857">
        <f>IFERROR(INDEX('Email Cleaner'!$B$2:$B$10001,MATCH(8856,'Email Cleaner'!$K$2:$K$10001,0)),"")</f>
        <v/>
      </c>
    </row>
    <row r="8858">
      <c r="A8858">
        <f>IFERROR(INDEX('Email Cleaner'!$B$2:$B$10001,MATCH(8857,'Email Cleaner'!$K$2:$K$10001,0)),"")</f>
        <v/>
      </c>
    </row>
    <row r="8859">
      <c r="A8859">
        <f>IFERROR(INDEX('Email Cleaner'!$B$2:$B$10001,MATCH(8858,'Email Cleaner'!$K$2:$K$10001,0)),"")</f>
        <v/>
      </c>
    </row>
    <row r="8860">
      <c r="A8860">
        <f>IFERROR(INDEX('Email Cleaner'!$B$2:$B$10001,MATCH(8859,'Email Cleaner'!$K$2:$K$10001,0)),"")</f>
        <v/>
      </c>
    </row>
    <row r="8861">
      <c r="A8861">
        <f>IFERROR(INDEX('Email Cleaner'!$B$2:$B$10001,MATCH(8860,'Email Cleaner'!$K$2:$K$10001,0)),"")</f>
        <v/>
      </c>
    </row>
    <row r="8862">
      <c r="A8862">
        <f>IFERROR(INDEX('Email Cleaner'!$B$2:$B$10001,MATCH(8861,'Email Cleaner'!$K$2:$K$10001,0)),"")</f>
        <v/>
      </c>
    </row>
    <row r="8863">
      <c r="A8863">
        <f>IFERROR(INDEX('Email Cleaner'!$B$2:$B$10001,MATCH(8862,'Email Cleaner'!$K$2:$K$10001,0)),"")</f>
        <v/>
      </c>
    </row>
    <row r="8864">
      <c r="A8864">
        <f>IFERROR(INDEX('Email Cleaner'!$B$2:$B$10001,MATCH(8863,'Email Cleaner'!$K$2:$K$10001,0)),"")</f>
        <v/>
      </c>
    </row>
    <row r="8865">
      <c r="A8865">
        <f>IFERROR(INDEX('Email Cleaner'!$B$2:$B$10001,MATCH(8864,'Email Cleaner'!$K$2:$K$10001,0)),"")</f>
        <v/>
      </c>
    </row>
    <row r="8866">
      <c r="A8866">
        <f>IFERROR(INDEX('Email Cleaner'!$B$2:$B$10001,MATCH(8865,'Email Cleaner'!$K$2:$K$10001,0)),"")</f>
        <v/>
      </c>
    </row>
    <row r="8867">
      <c r="A8867">
        <f>IFERROR(INDEX('Email Cleaner'!$B$2:$B$10001,MATCH(8866,'Email Cleaner'!$K$2:$K$10001,0)),"")</f>
        <v/>
      </c>
    </row>
    <row r="8868">
      <c r="A8868">
        <f>IFERROR(INDEX('Email Cleaner'!$B$2:$B$10001,MATCH(8867,'Email Cleaner'!$K$2:$K$10001,0)),"")</f>
        <v/>
      </c>
    </row>
    <row r="8869">
      <c r="A8869">
        <f>IFERROR(INDEX('Email Cleaner'!$B$2:$B$10001,MATCH(8868,'Email Cleaner'!$K$2:$K$10001,0)),"")</f>
        <v/>
      </c>
    </row>
    <row r="8870">
      <c r="A8870">
        <f>IFERROR(INDEX('Email Cleaner'!$B$2:$B$10001,MATCH(8869,'Email Cleaner'!$K$2:$K$10001,0)),"")</f>
        <v/>
      </c>
    </row>
    <row r="8871">
      <c r="A8871">
        <f>IFERROR(INDEX('Email Cleaner'!$B$2:$B$10001,MATCH(8870,'Email Cleaner'!$K$2:$K$10001,0)),"")</f>
        <v/>
      </c>
    </row>
    <row r="8872">
      <c r="A8872">
        <f>IFERROR(INDEX('Email Cleaner'!$B$2:$B$10001,MATCH(8871,'Email Cleaner'!$K$2:$K$10001,0)),"")</f>
        <v/>
      </c>
    </row>
    <row r="8873">
      <c r="A8873">
        <f>IFERROR(INDEX('Email Cleaner'!$B$2:$B$10001,MATCH(8872,'Email Cleaner'!$K$2:$K$10001,0)),"")</f>
        <v/>
      </c>
    </row>
    <row r="8874">
      <c r="A8874">
        <f>IFERROR(INDEX('Email Cleaner'!$B$2:$B$10001,MATCH(8873,'Email Cleaner'!$K$2:$K$10001,0)),"")</f>
        <v/>
      </c>
    </row>
    <row r="8875">
      <c r="A8875">
        <f>IFERROR(INDEX('Email Cleaner'!$B$2:$B$10001,MATCH(8874,'Email Cleaner'!$K$2:$K$10001,0)),"")</f>
        <v/>
      </c>
    </row>
    <row r="8876">
      <c r="A8876">
        <f>IFERROR(INDEX('Email Cleaner'!$B$2:$B$10001,MATCH(8875,'Email Cleaner'!$K$2:$K$10001,0)),"")</f>
        <v/>
      </c>
    </row>
    <row r="8877">
      <c r="A8877">
        <f>IFERROR(INDEX('Email Cleaner'!$B$2:$B$10001,MATCH(8876,'Email Cleaner'!$K$2:$K$10001,0)),"")</f>
        <v/>
      </c>
    </row>
    <row r="8878">
      <c r="A8878">
        <f>IFERROR(INDEX('Email Cleaner'!$B$2:$B$10001,MATCH(8877,'Email Cleaner'!$K$2:$K$10001,0)),"")</f>
        <v/>
      </c>
    </row>
    <row r="8879">
      <c r="A8879">
        <f>IFERROR(INDEX('Email Cleaner'!$B$2:$B$10001,MATCH(8878,'Email Cleaner'!$K$2:$K$10001,0)),"")</f>
        <v/>
      </c>
    </row>
    <row r="8880">
      <c r="A8880">
        <f>IFERROR(INDEX('Email Cleaner'!$B$2:$B$10001,MATCH(8879,'Email Cleaner'!$K$2:$K$10001,0)),"")</f>
        <v/>
      </c>
    </row>
    <row r="8881">
      <c r="A8881">
        <f>IFERROR(INDEX('Email Cleaner'!$B$2:$B$10001,MATCH(8880,'Email Cleaner'!$K$2:$K$10001,0)),"")</f>
        <v/>
      </c>
    </row>
    <row r="8882">
      <c r="A8882">
        <f>IFERROR(INDEX('Email Cleaner'!$B$2:$B$10001,MATCH(8881,'Email Cleaner'!$K$2:$K$10001,0)),"")</f>
        <v/>
      </c>
    </row>
    <row r="8883">
      <c r="A8883">
        <f>IFERROR(INDEX('Email Cleaner'!$B$2:$B$10001,MATCH(8882,'Email Cleaner'!$K$2:$K$10001,0)),"")</f>
        <v/>
      </c>
    </row>
    <row r="8884">
      <c r="A8884">
        <f>IFERROR(INDEX('Email Cleaner'!$B$2:$B$10001,MATCH(8883,'Email Cleaner'!$K$2:$K$10001,0)),"")</f>
        <v/>
      </c>
    </row>
    <row r="8885">
      <c r="A8885">
        <f>IFERROR(INDEX('Email Cleaner'!$B$2:$B$10001,MATCH(8884,'Email Cleaner'!$K$2:$K$10001,0)),"")</f>
        <v/>
      </c>
    </row>
    <row r="8886">
      <c r="A8886">
        <f>IFERROR(INDEX('Email Cleaner'!$B$2:$B$10001,MATCH(8885,'Email Cleaner'!$K$2:$K$10001,0)),"")</f>
        <v/>
      </c>
    </row>
    <row r="8887">
      <c r="A8887">
        <f>IFERROR(INDEX('Email Cleaner'!$B$2:$B$10001,MATCH(8886,'Email Cleaner'!$K$2:$K$10001,0)),"")</f>
        <v/>
      </c>
    </row>
    <row r="8888">
      <c r="A8888">
        <f>IFERROR(INDEX('Email Cleaner'!$B$2:$B$10001,MATCH(8887,'Email Cleaner'!$K$2:$K$10001,0)),"")</f>
        <v/>
      </c>
    </row>
    <row r="8889">
      <c r="A8889">
        <f>IFERROR(INDEX('Email Cleaner'!$B$2:$B$10001,MATCH(8888,'Email Cleaner'!$K$2:$K$10001,0)),"")</f>
        <v/>
      </c>
    </row>
    <row r="8890">
      <c r="A8890">
        <f>IFERROR(INDEX('Email Cleaner'!$B$2:$B$10001,MATCH(8889,'Email Cleaner'!$K$2:$K$10001,0)),"")</f>
        <v/>
      </c>
    </row>
    <row r="8891">
      <c r="A8891">
        <f>IFERROR(INDEX('Email Cleaner'!$B$2:$B$10001,MATCH(8890,'Email Cleaner'!$K$2:$K$10001,0)),"")</f>
        <v/>
      </c>
    </row>
    <row r="8892">
      <c r="A8892">
        <f>IFERROR(INDEX('Email Cleaner'!$B$2:$B$10001,MATCH(8891,'Email Cleaner'!$K$2:$K$10001,0)),"")</f>
        <v/>
      </c>
    </row>
    <row r="8893">
      <c r="A8893">
        <f>IFERROR(INDEX('Email Cleaner'!$B$2:$B$10001,MATCH(8892,'Email Cleaner'!$K$2:$K$10001,0)),"")</f>
        <v/>
      </c>
    </row>
    <row r="8894">
      <c r="A8894">
        <f>IFERROR(INDEX('Email Cleaner'!$B$2:$B$10001,MATCH(8893,'Email Cleaner'!$K$2:$K$10001,0)),"")</f>
        <v/>
      </c>
    </row>
    <row r="8895">
      <c r="A8895">
        <f>IFERROR(INDEX('Email Cleaner'!$B$2:$B$10001,MATCH(8894,'Email Cleaner'!$K$2:$K$10001,0)),"")</f>
        <v/>
      </c>
    </row>
    <row r="8896">
      <c r="A8896">
        <f>IFERROR(INDEX('Email Cleaner'!$B$2:$B$10001,MATCH(8895,'Email Cleaner'!$K$2:$K$10001,0)),"")</f>
        <v/>
      </c>
    </row>
    <row r="8897">
      <c r="A8897">
        <f>IFERROR(INDEX('Email Cleaner'!$B$2:$B$10001,MATCH(8896,'Email Cleaner'!$K$2:$K$10001,0)),"")</f>
        <v/>
      </c>
    </row>
    <row r="8898">
      <c r="A8898">
        <f>IFERROR(INDEX('Email Cleaner'!$B$2:$B$10001,MATCH(8897,'Email Cleaner'!$K$2:$K$10001,0)),"")</f>
        <v/>
      </c>
    </row>
    <row r="8899">
      <c r="A8899">
        <f>IFERROR(INDEX('Email Cleaner'!$B$2:$B$10001,MATCH(8898,'Email Cleaner'!$K$2:$K$10001,0)),"")</f>
        <v/>
      </c>
    </row>
    <row r="8900">
      <c r="A8900">
        <f>IFERROR(INDEX('Email Cleaner'!$B$2:$B$10001,MATCH(8899,'Email Cleaner'!$K$2:$K$10001,0)),"")</f>
        <v/>
      </c>
    </row>
    <row r="8901">
      <c r="A8901">
        <f>IFERROR(INDEX('Email Cleaner'!$B$2:$B$10001,MATCH(8900,'Email Cleaner'!$K$2:$K$10001,0)),"")</f>
        <v/>
      </c>
    </row>
    <row r="8902">
      <c r="A8902">
        <f>IFERROR(INDEX('Email Cleaner'!$B$2:$B$10001,MATCH(8901,'Email Cleaner'!$K$2:$K$10001,0)),"")</f>
        <v/>
      </c>
    </row>
    <row r="8903">
      <c r="A8903">
        <f>IFERROR(INDEX('Email Cleaner'!$B$2:$B$10001,MATCH(8902,'Email Cleaner'!$K$2:$K$10001,0)),"")</f>
        <v/>
      </c>
    </row>
    <row r="8904">
      <c r="A8904">
        <f>IFERROR(INDEX('Email Cleaner'!$B$2:$B$10001,MATCH(8903,'Email Cleaner'!$K$2:$K$10001,0)),"")</f>
        <v/>
      </c>
    </row>
    <row r="8905">
      <c r="A8905">
        <f>IFERROR(INDEX('Email Cleaner'!$B$2:$B$10001,MATCH(8904,'Email Cleaner'!$K$2:$K$10001,0)),"")</f>
        <v/>
      </c>
    </row>
    <row r="8906">
      <c r="A8906">
        <f>IFERROR(INDEX('Email Cleaner'!$B$2:$B$10001,MATCH(8905,'Email Cleaner'!$K$2:$K$10001,0)),"")</f>
        <v/>
      </c>
    </row>
    <row r="8907">
      <c r="A8907">
        <f>IFERROR(INDEX('Email Cleaner'!$B$2:$B$10001,MATCH(8906,'Email Cleaner'!$K$2:$K$10001,0)),"")</f>
        <v/>
      </c>
    </row>
    <row r="8908">
      <c r="A8908">
        <f>IFERROR(INDEX('Email Cleaner'!$B$2:$B$10001,MATCH(8907,'Email Cleaner'!$K$2:$K$10001,0)),"")</f>
        <v/>
      </c>
    </row>
    <row r="8909">
      <c r="A8909">
        <f>IFERROR(INDEX('Email Cleaner'!$B$2:$B$10001,MATCH(8908,'Email Cleaner'!$K$2:$K$10001,0)),"")</f>
        <v/>
      </c>
    </row>
    <row r="8910">
      <c r="A8910">
        <f>IFERROR(INDEX('Email Cleaner'!$B$2:$B$10001,MATCH(8909,'Email Cleaner'!$K$2:$K$10001,0)),"")</f>
        <v/>
      </c>
    </row>
    <row r="8911">
      <c r="A8911">
        <f>IFERROR(INDEX('Email Cleaner'!$B$2:$B$10001,MATCH(8910,'Email Cleaner'!$K$2:$K$10001,0)),"")</f>
        <v/>
      </c>
    </row>
    <row r="8912">
      <c r="A8912">
        <f>IFERROR(INDEX('Email Cleaner'!$B$2:$B$10001,MATCH(8911,'Email Cleaner'!$K$2:$K$10001,0)),"")</f>
        <v/>
      </c>
    </row>
    <row r="8913">
      <c r="A8913">
        <f>IFERROR(INDEX('Email Cleaner'!$B$2:$B$10001,MATCH(8912,'Email Cleaner'!$K$2:$K$10001,0)),"")</f>
        <v/>
      </c>
    </row>
    <row r="8914">
      <c r="A8914">
        <f>IFERROR(INDEX('Email Cleaner'!$B$2:$B$10001,MATCH(8913,'Email Cleaner'!$K$2:$K$10001,0)),"")</f>
        <v/>
      </c>
    </row>
    <row r="8915">
      <c r="A8915">
        <f>IFERROR(INDEX('Email Cleaner'!$B$2:$B$10001,MATCH(8914,'Email Cleaner'!$K$2:$K$10001,0)),"")</f>
        <v/>
      </c>
    </row>
    <row r="8916">
      <c r="A8916">
        <f>IFERROR(INDEX('Email Cleaner'!$B$2:$B$10001,MATCH(8915,'Email Cleaner'!$K$2:$K$10001,0)),"")</f>
        <v/>
      </c>
    </row>
    <row r="8917">
      <c r="A8917">
        <f>IFERROR(INDEX('Email Cleaner'!$B$2:$B$10001,MATCH(8916,'Email Cleaner'!$K$2:$K$10001,0)),"")</f>
        <v/>
      </c>
    </row>
    <row r="8918">
      <c r="A8918">
        <f>IFERROR(INDEX('Email Cleaner'!$B$2:$B$10001,MATCH(8917,'Email Cleaner'!$K$2:$K$10001,0)),"")</f>
        <v/>
      </c>
    </row>
    <row r="8919">
      <c r="A8919">
        <f>IFERROR(INDEX('Email Cleaner'!$B$2:$B$10001,MATCH(8918,'Email Cleaner'!$K$2:$K$10001,0)),"")</f>
        <v/>
      </c>
    </row>
    <row r="8920">
      <c r="A8920">
        <f>IFERROR(INDEX('Email Cleaner'!$B$2:$B$10001,MATCH(8919,'Email Cleaner'!$K$2:$K$10001,0)),"")</f>
        <v/>
      </c>
    </row>
    <row r="8921">
      <c r="A8921">
        <f>IFERROR(INDEX('Email Cleaner'!$B$2:$B$10001,MATCH(8920,'Email Cleaner'!$K$2:$K$10001,0)),"")</f>
        <v/>
      </c>
    </row>
    <row r="8922">
      <c r="A8922">
        <f>IFERROR(INDEX('Email Cleaner'!$B$2:$B$10001,MATCH(8921,'Email Cleaner'!$K$2:$K$10001,0)),"")</f>
        <v/>
      </c>
    </row>
    <row r="8923">
      <c r="A8923">
        <f>IFERROR(INDEX('Email Cleaner'!$B$2:$B$10001,MATCH(8922,'Email Cleaner'!$K$2:$K$10001,0)),"")</f>
        <v/>
      </c>
    </row>
    <row r="8924">
      <c r="A8924">
        <f>IFERROR(INDEX('Email Cleaner'!$B$2:$B$10001,MATCH(8923,'Email Cleaner'!$K$2:$K$10001,0)),"")</f>
        <v/>
      </c>
    </row>
    <row r="8925">
      <c r="A8925">
        <f>IFERROR(INDEX('Email Cleaner'!$B$2:$B$10001,MATCH(8924,'Email Cleaner'!$K$2:$K$10001,0)),"")</f>
        <v/>
      </c>
    </row>
    <row r="8926">
      <c r="A8926">
        <f>IFERROR(INDEX('Email Cleaner'!$B$2:$B$10001,MATCH(8925,'Email Cleaner'!$K$2:$K$10001,0)),"")</f>
        <v/>
      </c>
    </row>
    <row r="8927">
      <c r="A8927">
        <f>IFERROR(INDEX('Email Cleaner'!$B$2:$B$10001,MATCH(8926,'Email Cleaner'!$K$2:$K$10001,0)),"")</f>
        <v/>
      </c>
    </row>
    <row r="8928">
      <c r="A8928">
        <f>IFERROR(INDEX('Email Cleaner'!$B$2:$B$10001,MATCH(8927,'Email Cleaner'!$K$2:$K$10001,0)),"")</f>
        <v/>
      </c>
    </row>
    <row r="8929">
      <c r="A8929">
        <f>IFERROR(INDEX('Email Cleaner'!$B$2:$B$10001,MATCH(8928,'Email Cleaner'!$K$2:$K$10001,0)),"")</f>
        <v/>
      </c>
    </row>
    <row r="8930">
      <c r="A8930">
        <f>IFERROR(INDEX('Email Cleaner'!$B$2:$B$10001,MATCH(8929,'Email Cleaner'!$K$2:$K$10001,0)),"")</f>
        <v/>
      </c>
    </row>
    <row r="8931">
      <c r="A8931">
        <f>IFERROR(INDEX('Email Cleaner'!$B$2:$B$10001,MATCH(8930,'Email Cleaner'!$K$2:$K$10001,0)),"")</f>
        <v/>
      </c>
    </row>
    <row r="8932">
      <c r="A8932">
        <f>IFERROR(INDEX('Email Cleaner'!$B$2:$B$10001,MATCH(8931,'Email Cleaner'!$K$2:$K$10001,0)),"")</f>
        <v/>
      </c>
    </row>
    <row r="8933">
      <c r="A8933">
        <f>IFERROR(INDEX('Email Cleaner'!$B$2:$B$10001,MATCH(8932,'Email Cleaner'!$K$2:$K$10001,0)),"")</f>
        <v/>
      </c>
    </row>
    <row r="8934">
      <c r="A8934">
        <f>IFERROR(INDEX('Email Cleaner'!$B$2:$B$10001,MATCH(8933,'Email Cleaner'!$K$2:$K$10001,0)),"")</f>
        <v/>
      </c>
    </row>
    <row r="8935">
      <c r="A8935">
        <f>IFERROR(INDEX('Email Cleaner'!$B$2:$B$10001,MATCH(8934,'Email Cleaner'!$K$2:$K$10001,0)),"")</f>
        <v/>
      </c>
    </row>
    <row r="8936">
      <c r="A8936">
        <f>IFERROR(INDEX('Email Cleaner'!$B$2:$B$10001,MATCH(8935,'Email Cleaner'!$K$2:$K$10001,0)),"")</f>
        <v/>
      </c>
    </row>
    <row r="8937">
      <c r="A8937">
        <f>IFERROR(INDEX('Email Cleaner'!$B$2:$B$10001,MATCH(8936,'Email Cleaner'!$K$2:$K$10001,0)),"")</f>
        <v/>
      </c>
    </row>
    <row r="8938">
      <c r="A8938">
        <f>IFERROR(INDEX('Email Cleaner'!$B$2:$B$10001,MATCH(8937,'Email Cleaner'!$K$2:$K$10001,0)),"")</f>
        <v/>
      </c>
    </row>
    <row r="8939">
      <c r="A8939">
        <f>IFERROR(INDEX('Email Cleaner'!$B$2:$B$10001,MATCH(8938,'Email Cleaner'!$K$2:$K$10001,0)),"")</f>
        <v/>
      </c>
    </row>
    <row r="8940">
      <c r="A8940">
        <f>IFERROR(INDEX('Email Cleaner'!$B$2:$B$10001,MATCH(8939,'Email Cleaner'!$K$2:$K$10001,0)),"")</f>
        <v/>
      </c>
    </row>
    <row r="8941">
      <c r="A8941">
        <f>IFERROR(INDEX('Email Cleaner'!$B$2:$B$10001,MATCH(8940,'Email Cleaner'!$K$2:$K$10001,0)),"")</f>
        <v/>
      </c>
    </row>
    <row r="8942">
      <c r="A8942">
        <f>IFERROR(INDEX('Email Cleaner'!$B$2:$B$10001,MATCH(8941,'Email Cleaner'!$K$2:$K$10001,0)),"")</f>
        <v/>
      </c>
    </row>
    <row r="8943">
      <c r="A8943">
        <f>IFERROR(INDEX('Email Cleaner'!$B$2:$B$10001,MATCH(8942,'Email Cleaner'!$K$2:$K$10001,0)),"")</f>
        <v/>
      </c>
    </row>
    <row r="8944">
      <c r="A8944">
        <f>IFERROR(INDEX('Email Cleaner'!$B$2:$B$10001,MATCH(8943,'Email Cleaner'!$K$2:$K$10001,0)),"")</f>
        <v/>
      </c>
    </row>
    <row r="8945">
      <c r="A8945">
        <f>IFERROR(INDEX('Email Cleaner'!$B$2:$B$10001,MATCH(8944,'Email Cleaner'!$K$2:$K$10001,0)),"")</f>
        <v/>
      </c>
    </row>
    <row r="8946">
      <c r="A8946">
        <f>IFERROR(INDEX('Email Cleaner'!$B$2:$B$10001,MATCH(8945,'Email Cleaner'!$K$2:$K$10001,0)),"")</f>
        <v/>
      </c>
    </row>
    <row r="8947">
      <c r="A8947">
        <f>IFERROR(INDEX('Email Cleaner'!$B$2:$B$10001,MATCH(8946,'Email Cleaner'!$K$2:$K$10001,0)),"")</f>
        <v/>
      </c>
    </row>
    <row r="8948">
      <c r="A8948">
        <f>IFERROR(INDEX('Email Cleaner'!$B$2:$B$10001,MATCH(8947,'Email Cleaner'!$K$2:$K$10001,0)),"")</f>
        <v/>
      </c>
    </row>
    <row r="8949">
      <c r="A8949">
        <f>IFERROR(INDEX('Email Cleaner'!$B$2:$B$10001,MATCH(8948,'Email Cleaner'!$K$2:$K$10001,0)),"")</f>
        <v/>
      </c>
    </row>
    <row r="8950">
      <c r="A8950">
        <f>IFERROR(INDEX('Email Cleaner'!$B$2:$B$10001,MATCH(8949,'Email Cleaner'!$K$2:$K$10001,0)),"")</f>
        <v/>
      </c>
    </row>
    <row r="8951">
      <c r="A8951">
        <f>IFERROR(INDEX('Email Cleaner'!$B$2:$B$10001,MATCH(8950,'Email Cleaner'!$K$2:$K$10001,0)),"")</f>
        <v/>
      </c>
    </row>
    <row r="8952">
      <c r="A8952">
        <f>IFERROR(INDEX('Email Cleaner'!$B$2:$B$10001,MATCH(8951,'Email Cleaner'!$K$2:$K$10001,0)),"")</f>
        <v/>
      </c>
    </row>
    <row r="8953">
      <c r="A8953">
        <f>IFERROR(INDEX('Email Cleaner'!$B$2:$B$10001,MATCH(8952,'Email Cleaner'!$K$2:$K$10001,0)),"")</f>
        <v/>
      </c>
    </row>
    <row r="8954">
      <c r="A8954">
        <f>IFERROR(INDEX('Email Cleaner'!$B$2:$B$10001,MATCH(8953,'Email Cleaner'!$K$2:$K$10001,0)),"")</f>
        <v/>
      </c>
    </row>
    <row r="8955">
      <c r="A8955">
        <f>IFERROR(INDEX('Email Cleaner'!$B$2:$B$10001,MATCH(8954,'Email Cleaner'!$K$2:$K$10001,0)),"")</f>
        <v/>
      </c>
    </row>
    <row r="8956">
      <c r="A8956">
        <f>IFERROR(INDEX('Email Cleaner'!$B$2:$B$10001,MATCH(8955,'Email Cleaner'!$K$2:$K$10001,0)),"")</f>
        <v/>
      </c>
    </row>
    <row r="8957">
      <c r="A8957">
        <f>IFERROR(INDEX('Email Cleaner'!$B$2:$B$10001,MATCH(8956,'Email Cleaner'!$K$2:$K$10001,0)),"")</f>
        <v/>
      </c>
    </row>
    <row r="8958">
      <c r="A8958">
        <f>IFERROR(INDEX('Email Cleaner'!$B$2:$B$10001,MATCH(8957,'Email Cleaner'!$K$2:$K$10001,0)),"")</f>
        <v/>
      </c>
    </row>
    <row r="8959">
      <c r="A8959">
        <f>IFERROR(INDEX('Email Cleaner'!$B$2:$B$10001,MATCH(8958,'Email Cleaner'!$K$2:$K$10001,0)),"")</f>
        <v/>
      </c>
    </row>
    <row r="8960">
      <c r="A8960">
        <f>IFERROR(INDEX('Email Cleaner'!$B$2:$B$10001,MATCH(8959,'Email Cleaner'!$K$2:$K$10001,0)),"")</f>
        <v/>
      </c>
    </row>
    <row r="8961">
      <c r="A8961">
        <f>IFERROR(INDEX('Email Cleaner'!$B$2:$B$10001,MATCH(8960,'Email Cleaner'!$K$2:$K$10001,0)),"")</f>
        <v/>
      </c>
    </row>
    <row r="8962">
      <c r="A8962">
        <f>IFERROR(INDEX('Email Cleaner'!$B$2:$B$10001,MATCH(8961,'Email Cleaner'!$K$2:$K$10001,0)),"")</f>
        <v/>
      </c>
    </row>
    <row r="8963">
      <c r="A8963">
        <f>IFERROR(INDEX('Email Cleaner'!$B$2:$B$10001,MATCH(8962,'Email Cleaner'!$K$2:$K$10001,0)),"")</f>
        <v/>
      </c>
    </row>
    <row r="8964">
      <c r="A8964">
        <f>IFERROR(INDEX('Email Cleaner'!$B$2:$B$10001,MATCH(8963,'Email Cleaner'!$K$2:$K$10001,0)),"")</f>
        <v/>
      </c>
    </row>
    <row r="8965">
      <c r="A8965">
        <f>IFERROR(INDEX('Email Cleaner'!$B$2:$B$10001,MATCH(8964,'Email Cleaner'!$K$2:$K$10001,0)),"")</f>
        <v/>
      </c>
    </row>
    <row r="8966">
      <c r="A8966">
        <f>IFERROR(INDEX('Email Cleaner'!$B$2:$B$10001,MATCH(8965,'Email Cleaner'!$K$2:$K$10001,0)),"")</f>
        <v/>
      </c>
    </row>
    <row r="8967">
      <c r="A8967">
        <f>IFERROR(INDEX('Email Cleaner'!$B$2:$B$10001,MATCH(8966,'Email Cleaner'!$K$2:$K$10001,0)),"")</f>
        <v/>
      </c>
    </row>
    <row r="8968">
      <c r="A8968">
        <f>IFERROR(INDEX('Email Cleaner'!$B$2:$B$10001,MATCH(8967,'Email Cleaner'!$K$2:$K$10001,0)),"")</f>
        <v/>
      </c>
    </row>
    <row r="8969">
      <c r="A8969">
        <f>IFERROR(INDEX('Email Cleaner'!$B$2:$B$10001,MATCH(8968,'Email Cleaner'!$K$2:$K$10001,0)),"")</f>
        <v/>
      </c>
    </row>
    <row r="8970">
      <c r="A8970">
        <f>IFERROR(INDEX('Email Cleaner'!$B$2:$B$10001,MATCH(8969,'Email Cleaner'!$K$2:$K$10001,0)),"")</f>
        <v/>
      </c>
    </row>
    <row r="8971">
      <c r="A8971">
        <f>IFERROR(INDEX('Email Cleaner'!$B$2:$B$10001,MATCH(8970,'Email Cleaner'!$K$2:$K$10001,0)),"")</f>
        <v/>
      </c>
    </row>
    <row r="8972">
      <c r="A8972">
        <f>IFERROR(INDEX('Email Cleaner'!$B$2:$B$10001,MATCH(8971,'Email Cleaner'!$K$2:$K$10001,0)),"")</f>
        <v/>
      </c>
    </row>
    <row r="8973">
      <c r="A8973">
        <f>IFERROR(INDEX('Email Cleaner'!$B$2:$B$10001,MATCH(8972,'Email Cleaner'!$K$2:$K$10001,0)),"")</f>
        <v/>
      </c>
    </row>
    <row r="8974">
      <c r="A8974">
        <f>IFERROR(INDEX('Email Cleaner'!$B$2:$B$10001,MATCH(8973,'Email Cleaner'!$K$2:$K$10001,0)),"")</f>
        <v/>
      </c>
    </row>
    <row r="8975">
      <c r="A8975">
        <f>IFERROR(INDEX('Email Cleaner'!$B$2:$B$10001,MATCH(8974,'Email Cleaner'!$K$2:$K$10001,0)),"")</f>
        <v/>
      </c>
    </row>
    <row r="8976">
      <c r="A8976">
        <f>IFERROR(INDEX('Email Cleaner'!$B$2:$B$10001,MATCH(8975,'Email Cleaner'!$K$2:$K$10001,0)),"")</f>
        <v/>
      </c>
    </row>
    <row r="8977">
      <c r="A8977">
        <f>IFERROR(INDEX('Email Cleaner'!$B$2:$B$10001,MATCH(8976,'Email Cleaner'!$K$2:$K$10001,0)),"")</f>
        <v/>
      </c>
    </row>
    <row r="8978">
      <c r="A8978">
        <f>IFERROR(INDEX('Email Cleaner'!$B$2:$B$10001,MATCH(8977,'Email Cleaner'!$K$2:$K$10001,0)),"")</f>
        <v/>
      </c>
    </row>
    <row r="8979">
      <c r="A8979">
        <f>IFERROR(INDEX('Email Cleaner'!$B$2:$B$10001,MATCH(8978,'Email Cleaner'!$K$2:$K$10001,0)),"")</f>
        <v/>
      </c>
    </row>
    <row r="8980">
      <c r="A8980">
        <f>IFERROR(INDEX('Email Cleaner'!$B$2:$B$10001,MATCH(8979,'Email Cleaner'!$K$2:$K$10001,0)),"")</f>
        <v/>
      </c>
    </row>
    <row r="8981">
      <c r="A8981">
        <f>IFERROR(INDEX('Email Cleaner'!$B$2:$B$10001,MATCH(8980,'Email Cleaner'!$K$2:$K$10001,0)),"")</f>
        <v/>
      </c>
    </row>
    <row r="8982">
      <c r="A8982">
        <f>IFERROR(INDEX('Email Cleaner'!$B$2:$B$10001,MATCH(8981,'Email Cleaner'!$K$2:$K$10001,0)),"")</f>
        <v/>
      </c>
    </row>
    <row r="8983">
      <c r="A8983">
        <f>IFERROR(INDEX('Email Cleaner'!$B$2:$B$10001,MATCH(8982,'Email Cleaner'!$K$2:$K$10001,0)),"")</f>
        <v/>
      </c>
    </row>
    <row r="8984">
      <c r="A8984">
        <f>IFERROR(INDEX('Email Cleaner'!$B$2:$B$10001,MATCH(8983,'Email Cleaner'!$K$2:$K$10001,0)),"")</f>
        <v/>
      </c>
    </row>
    <row r="8985">
      <c r="A8985">
        <f>IFERROR(INDEX('Email Cleaner'!$B$2:$B$10001,MATCH(8984,'Email Cleaner'!$K$2:$K$10001,0)),"")</f>
        <v/>
      </c>
    </row>
    <row r="8986">
      <c r="A8986">
        <f>IFERROR(INDEX('Email Cleaner'!$B$2:$B$10001,MATCH(8985,'Email Cleaner'!$K$2:$K$10001,0)),"")</f>
        <v/>
      </c>
    </row>
    <row r="8987">
      <c r="A8987">
        <f>IFERROR(INDEX('Email Cleaner'!$B$2:$B$10001,MATCH(8986,'Email Cleaner'!$K$2:$K$10001,0)),"")</f>
        <v/>
      </c>
    </row>
    <row r="8988">
      <c r="A8988">
        <f>IFERROR(INDEX('Email Cleaner'!$B$2:$B$10001,MATCH(8987,'Email Cleaner'!$K$2:$K$10001,0)),"")</f>
        <v/>
      </c>
    </row>
    <row r="8989">
      <c r="A8989">
        <f>IFERROR(INDEX('Email Cleaner'!$B$2:$B$10001,MATCH(8988,'Email Cleaner'!$K$2:$K$10001,0)),"")</f>
        <v/>
      </c>
    </row>
    <row r="8990">
      <c r="A8990">
        <f>IFERROR(INDEX('Email Cleaner'!$B$2:$B$10001,MATCH(8989,'Email Cleaner'!$K$2:$K$10001,0)),"")</f>
        <v/>
      </c>
    </row>
    <row r="8991">
      <c r="A8991">
        <f>IFERROR(INDEX('Email Cleaner'!$B$2:$B$10001,MATCH(8990,'Email Cleaner'!$K$2:$K$10001,0)),"")</f>
        <v/>
      </c>
    </row>
    <row r="8992">
      <c r="A8992">
        <f>IFERROR(INDEX('Email Cleaner'!$B$2:$B$10001,MATCH(8991,'Email Cleaner'!$K$2:$K$10001,0)),"")</f>
        <v/>
      </c>
    </row>
    <row r="8993">
      <c r="A8993">
        <f>IFERROR(INDEX('Email Cleaner'!$B$2:$B$10001,MATCH(8992,'Email Cleaner'!$K$2:$K$10001,0)),"")</f>
        <v/>
      </c>
    </row>
    <row r="8994">
      <c r="A8994">
        <f>IFERROR(INDEX('Email Cleaner'!$B$2:$B$10001,MATCH(8993,'Email Cleaner'!$K$2:$K$10001,0)),"")</f>
        <v/>
      </c>
    </row>
    <row r="8995">
      <c r="A8995">
        <f>IFERROR(INDEX('Email Cleaner'!$B$2:$B$10001,MATCH(8994,'Email Cleaner'!$K$2:$K$10001,0)),"")</f>
        <v/>
      </c>
    </row>
    <row r="8996">
      <c r="A8996">
        <f>IFERROR(INDEX('Email Cleaner'!$B$2:$B$10001,MATCH(8995,'Email Cleaner'!$K$2:$K$10001,0)),"")</f>
        <v/>
      </c>
    </row>
    <row r="8997">
      <c r="A8997">
        <f>IFERROR(INDEX('Email Cleaner'!$B$2:$B$10001,MATCH(8996,'Email Cleaner'!$K$2:$K$10001,0)),"")</f>
        <v/>
      </c>
    </row>
    <row r="8998">
      <c r="A8998">
        <f>IFERROR(INDEX('Email Cleaner'!$B$2:$B$10001,MATCH(8997,'Email Cleaner'!$K$2:$K$10001,0)),"")</f>
        <v/>
      </c>
    </row>
    <row r="8999">
      <c r="A8999">
        <f>IFERROR(INDEX('Email Cleaner'!$B$2:$B$10001,MATCH(8998,'Email Cleaner'!$K$2:$K$10001,0)),"")</f>
        <v/>
      </c>
    </row>
    <row r="9000">
      <c r="A9000">
        <f>IFERROR(INDEX('Email Cleaner'!$B$2:$B$10001,MATCH(8999,'Email Cleaner'!$K$2:$K$10001,0)),"")</f>
        <v/>
      </c>
    </row>
    <row r="9001">
      <c r="A9001">
        <f>IFERROR(INDEX('Email Cleaner'!$B$2:$B$10001,MATCH(9000,'Email Cleaner'!$K$2:$K$10001,0)),"")</f>
        <v/>
      </c>
    </row>
    <row r="9002">
      <c r="A9002">
        <f>IFERROR(INDEX('Email Cleaner'!$B$2:$B$10001,MATCH(9001,'Email Cleaner'!$K$2:$K$10001,0)),"")</f>
        <v/>
      </c>
    </row>
    <row r="9003">
      <c r="A9003">
        <f>IFERROR(INDEX('Email Cleaner'!$B$2:$B$10001,MATCH(9002,'Email Cleaner'!$K$2:$K$10001,0)),"")</f>
        <v/>
      </c>
    </row>
    <row r="9004">
      <c r="A9004">
        <f>IFERROR(INDEX('Email Cleaner'!$B$2:$B$10001,MATCH(9003,'Email Cleaner'!$K$2:$K$10001,0)),"")</f>
        <v/>
      </c>
    </row>
    <row r="9005">
      <c r="A9005">
        <f>IFERROR(INDEX('Email Cleaner'!$B$2:$B$10001,MATCH(9004,'Email Cleaner'!$K$2:$K$10001,0)),"")</f>
        <v/>
      </c>
    </row>
    <row r="9006">
      <c r="A9006">
        <f>IFERROR(INDEX('Email Cleaner'!$B$2:$B$10001,MATCH(9005,'Email Cleaner'!$K$2:$K$10001,0)),"")</f>
        <v/>
      </c>
    </row>
    <row r="9007">
      <c r="A9007">
        <f>IFERROR(INDEX('Email Cleaner'!$B$2:$B$10001,MATCH(9006,'Email Cleaner'!$K$2:$K$10001,0)),"")</f>
        <v/>
      </c>
    </row>
    <row r="9008">
      <c r="A9008">
        <f>IFERROR(INDEX('Email Cleaner'!$B$2:$B$10001,MATCH(9007,'Email Cleaner'!$K$2:$K$10001,0)),"")</f>
        <v/>
      </c>
    </row>
    <row r="9009">
      <c r="A9009">
        <f>IFERROR(INDEX('Email Cleaner'!$B$2:$B$10001,MATCH(9008,'Email Cleaner'!$K$2:$K$10001,0)),"")</f>
        <v/>
      </c>
    </row>
    <row r="9010">
      <c r="A9010">
        <f>IFERROR(INDEX('Email Cleaner'!$B$2:$B$10001,MATCH(9009,'Email Cleaner'!$K$2:$K$10001,0)),"")</f>
        <v/>
      </c>
    </row>
    <row r="9011">
      <c r="A9011">
        <f>IFERROR(INDEX('Email Cleaner'!$B$2:$B$10001,MATCH(9010,'Email Cleaner'!$K$2:$K$10001,0)),"")</f>
        <v/>
      </c>
    </row>
    <row r="9012">
      <c r="A9012">
        <f>IFERROR(INDEX('Email Cleaner'!$B$2:$B$10001,MATCH(9011,'Email Cleaner'!$K$2:$K$10001,0)),"")</f>
        <v/>
      </c>
    </row>
    <row r="9013">
      <c r="A9013">
        <f>IFERROR(INDEX('Email Cleaner'!$B$2:$B$10001,MATCH(9012,'Email Cleaner'!$K$2:$K$10001,0)),"")</f>
        <v/>
      </c>
    </row>
    <row r="9014">
      <c r="A9014">
        <f>IFERROR(INDEX('Email Cleaner'!$B$2:$B$10001,MATCH(9013,'Email Cleaner'!$K$2:$K$10001,0)),"")</f>
        <v/>
      </c>
    </row>
    <row r="9015">
      <c r="A9015">
        <f>IFERROR(INDEX('Email Cleaner'!$B$2:$B$10001,MATCH(9014,'Email Cleaner'!$K$2:$K$10001,0)),"")</f>
        <v/>
      </c>
    </row>
    <row r="9016">
      <c r="A9016">
        <f>IFERROR(INDEX('Email Cleaner'!$B$2:$B$10001,MATCH(9015,'Email Cleaner'!$K$2:$K$10001,0)),"")</f>
        <v/>
      </c>
    </row>
    <row r="9017">
      <c r="A9017">
        <f>IFERROR(INDEX('Email Cleaner'!$B$2:$B$10001,MATCH(9016,'Email Cleaner'!$K$2:$K$10001,0)),"")</f>
        <v/>
      </c>
    </row>
    <row r="9018">
      <c r="A9018">
        <f>IFERROR(INDEX('Email Cleaner'!$B$2:$B$10001,MATCH(9017,'Email Cleaner'!$K$2:$K$10001,0)),"")</f>
        <v/>
      </c>
    </row>
    <row r="9019">
      <c r="A9019">
        <f>IFERROR(INDEX('Email Cleaner'!$B$2:$B$10001,MATCH(9018,'Email Cleaner'!$K$2:$K$10001,0)),"")</f>
        <v/>
      </c>
    </row>
    <row r="9020">
      <c r="A9020">
        <f>IFERROR(INDEX('Email Cleaner'!$B$2:$B$10001,MATCH(9019,'Email Cleaner'!$K$2:$K$10001,0)),"")</f>
        <v/>
      </c>
    </row>
    <row r="9021">
      <c r="A9021">
        <f>IFERROR(INDEX('Email Cleaner'!$B$2:$B$10001,MATCH(9020,'Email Cleaner'!$K$2:$K$10001,0)),"")</f>
        <v/>
      </c>
    </row>
    <row r="9022">
      <c r="A9022">
        <f>IFERROR(INDEX('Email Cleaner'!$B$2:$B$10001,MATCH(9021,'Email Cleaner'!$K$2:$K$10001,0)),"")</f>
        <v/>
      </c>
    </row>
    <row r="9023">
      <c r="A9023">
        <f>IFERROR(INDEX('Email Cleaner'!$B$2:$B$10001,MATCH(9022,'Email Cleaner'!$K$2:$K$10001,0)),"")</f>
        <v/>
      </c>
    </row>
    <row r="9024">
      <c r="A9024">
        <f>IFERROR(INDEX('Email Cleaner'!$B$2:$B$10001,MATCH(9023,'Email Cleaner'!$K$2:$K$10001,0)),"")</f>
        <v/>
      </c>
    </row>
    <row r="9025">
      <c r="A9025">
        <f>IFERROR(INDEX('Email Cleaner'!$B$2:$B$10001,MATCH(9024,'Email Cleaner'!$K$2:$K$10001,0)),"")</f>
        <v/>
      </c>
    </row>
    <row r="9026">
      <c r="A9026">
        <f>IFERROR(INDEX('Email Cleaner'!$B$2:$B$10001,MATCH(9025,'Email Cleaner'!$K$2:$K$10001,0)),"")</f>
        <v/>
      </c>
    </row>
    <row r="9027">
      <c r="A9027">
        <f>IFERROR(INDEX('Email Cleaner'!$B$2:$B$10001,MATCH(9026,'Email Cleaner'!$K$2:$K$10001,0)),"")</f>
        <v/>
      </c>
    </row>
    <row r="9028">
      <c r="A9028">
        <f>IFERROR(INDEX('Email Cleaner'!$B$2:$B$10001,MATCH(9027,'Email Cleaner'!$K$2:$K$10001,0)),"")</f>
        <v/>
      </c>
    </row>
    <row r="9029">
      <c r="A9029">
        <f>IFERROR(INDEX('Email Cleaner'!$B$2:$B$10001,MATCH(9028,'Email Cleaner'!$K$2:$K$10001,0)),"")</f>
        <v/>
      </c>
    </row>
    <row r="9030">
      <c r="A9030">
        <f>IFERROR(INDEX('Email Cleaner'!$B$2:$B$10001,MATCH(9029,'Email Cleaner'!$K$2:$K$10001,0)),"")</f>
        <v/>
      </c>
    </row>
    <row r="9031">
      <c r="A9031">
        <f>IFERROR(INDEX('Email Cleaner'!$B$2:$B$10001,MATCH(9030,'Email Cleaner'!$K$2:$K$10001,0)),"")</f>
        <v/>
      </c>
    </row>
    <row r="9032">
      <c r="A9032">
        <f>IFERROR(INDEX('Email Cleaner'!$B$2:$B$10001,MATCH(9031,'Email Cleaner'!$K$2:$K$10001,0)),"")</f>
        <v/>
      </c>
    </row>
    <row r="9033">
      <c r="A9033">
        <f>IFERROR(INDEX('Email Cleaner'!$B$2:$B$10001,MATCH(9032,'Email Cleaner'!$K$2:$K$10001,0)),"")</f>
        <v/>
      </c>
    </row>
    <row r="9034">
      <c r="A9034">
        <f>IFERROR(INDEX('Email Cleaner'!$B$2:$B$10001,MATCH(9033,'Email Cleaner'!$K$2:$K$10001,0)),"")</f>
        <v/>
      </c>
    </row>
    <row r="9035">
      <c r="A9035">
        <f>IFERROR(INDEX('Email Cleaner'!$B$2:$B$10001,MATCH(9034,'Email Cleaner'!$K$2:$K$10001,0)),"")</f>
        <v/>
      </c>
    </row>
    <row r="9036">
      <c r="A9036">
        <f>IFERROR(INDEX('Email Cleaner'!$B$2:$B$10001,MATCH(9035,'Email Cleaner'!$K$2:$K$10001,0)),"")</f>
        <v/>
      </c>
    </row>
    <row r="9037">
      <c r="A9037">
        <f>IFERROR(INDEX('Email Cleaner'!$B$2:$B$10001,MATCH(9036,'Email Cleaner'!$K$2:$K$10001,0)),"")</f>
        <v/>
      </c>
    </row>
    <row r="9038">
      <c r="A9038">
        <f>IFERROR(INDEX('Email Cleaner'!$B$2:$B$10001,MATCH(9037,'Email Cleaner'!$K$2:$K$10001,0)),"")</f>
        <v/>
      </c>
    </row>
    <row r="9039">
      <c r="A9039">
        <f>IFERROR(INDEX('Email Cleaner'!$B$2:$B$10001,MATCH(9038,'Email Cleaner'!$K$2:$K$10001,0)),"")</f>
        <v/>
      </c>
    </row>
    <row r="9040">
      <c r="A9040">
        <f>IFERROR(INDEX('Email Cleaner'!$B$2:$B$10001,MATCH(9039,'Email Cleaner'!$K$2:$K$10001,0)),"")</f>
        <v/>
      </c>
    </row>
    <row r="9041">
      <c r="A9041">
        <f>IFERROR(INDEX('Email Cleaner'!$B$2:$B$10001,MATCH(9040,'Email Cleaner'!$K$2:$K$10001,0)),"")</f>
        <v/>
      </c>
    </row>
    <row r="9042">
      <c r="A9042">
        <f>IFERROR(INDEX('Email Cleaner'!$B$2:$B$10001,MATCH(9041,'Email Cleaner'!$K$2:$K$10001,0)),"")</f>
        <v/>
      </c>
    </row>
    <row r="9043">
      <c r="A9043">
        <f>IFERROR(INDEX('Email Cleaner'!$B$2:$B$10001,MATCH(9042,'Email Cleaner'!$K$2:$K$10001,0)),"")</f>
        <v/>
      </c>
    </row>
    <row r="9044">
      <c r="A9044">
        <f>IFERROR(INDEX('Email Cleaner'!$B$2:$B$10001,MATCH(9043,'Email Cleaner'!$K$2:$K$10001,0)),"")</f>
        <v/>
      </c>
    </row>
    <row r="9045">
      <c r="A9045">
        <f>IFERROR(INDEX('Email Cleaner'!$B$2:$B$10001,MATCH(9044,'Email Cleaner'!$K$2:$K$10001,0)),"")</f>
        <v/>
      </c>
    </row>
    <row r="9046">
      <c r="A9046">
        <f>IFERROR(INDEX('Email Cleaner'!$B$2:$B$10001,MATCH(9045,'Email Cleaner'!$K$2:$K$10001,0)),"")</f>
        <v/>
      </c>
    </row>
    <row r="9047">
      <c r="A9047">
        <f>IFERROR(INDEX('Email Cleaner'!$B$2:$B$10001,MATCH(9046,'Email Cleaner'!$K$2:$K$10001,0)),"")</f>
        <v/>
      </c>
    </row>
    <row r="9048">
      <c r="A9048">
        <f>IFERROR(INDEX('Email Cleaner'!$B$2:$B$10001,MATCH(9047,'Email Cleaner'!$K$2:$K$10001,0)),"")</f>
        <v/>
      </c>
    </row>
    <row r="9049">
      <c r="A9049">
        <f>IFERROR(INDEX('Email Cleaner'!$B$2:$B$10001,MATCH(9048,'Email Cleaner'!$K$2:$K$10001,0)),"")</f>
        <v/>
      </c>
    </row>
    <row r="9050">
      <c r="A9050">
        <f>IFERROR(INDEX('Email Cleaner'!$B$2:$B$10001,MATCH(9049,'Email Cleaner'!$K$2:$K$10001,0)),"")</f>
        <v/>
      </c>
    </row>
    <row r="9051">
      <c r="A9051">
        <f>IFERROR(INDEX('Email Cleaner'!$B$2:$B$10001,MATCH(9050,'Email Cleaner'!$K$2:$K$10001,0)),"")</f>
        <v/>
      </c>
    </row>
    <row r="9052">
      <c r="A9052">
        <f>IFERROR(INDEX('Email Cleaner'!$B$2:$B$10001,MATCH(9051,'Email Cleaner'!$K$2:$K$10001,0)),"")</f>
        <v/>
      </c>
    </row>
    <row r="9053">
      <c r="A9053">
        <f>IFERROR(INDEX('Email Cleaner'!$B$2:$B$10001,MATCH(9052,'Email Cleaner'!$K$2:$K$10001,0)),"")</f>
        <v/>
      </c>
    </row>
    <row r="9054">
      <c r="A9054">
        <f>IFERROR(INDEX('Email Cleaner'!$B$2:$B$10001,MATCH(9053,'Email Cleaner'!$K$2:$K$10001,0)),"")</f>
        <v/>
      </c>
    </row>
    <row r="9055">
      <c r="A9055">
        <f>IFERROR(INDEX('Email Cleaner'!$B$2:$B$10001,MATCH(9054,'Email Cleaner'!$K$2:$K$10001,0)),"")</f>
        <v/>
      </c>
    </row>
    <row r="9056">
      <c r="A9056">
        <f>IFERROR(INDEX('Email Cleaner'!$B$2:$B$10001,MATCH(9055,'Email Cleaner'!$K$2:$K$10001,0)),"")</f>
        <v/>
      </c>
    </row>
    <row r="9057">
      <c r="A9057">
        <f>IFERROR(INDEX('Email Cleaner'!$B$2:$B$10001,MATCH(9056,'Email Cleaner'!$K$2:$K$10001,0)),"")</f>
        <v/>
      </c>
    </row>
    <row r="9058">
      <c r="A9058">
        <f>IFERROR(INDEX('Email Cleaner'!$B$2:$B$10001,MATCH(9057,'Email Cleaner'!$K$2:$K$10001,0)),"")</f>
        <v/>
      </c>
    </row>
    <row r="9059">
      <c r="A9059">
        <f>IFERROR(INDEX('Email Cleaner'!$B$2:$B$10001,MATCH(9058,'Email Cleaner'!$K$2:$K$10001,0)),"")</f>
        <v/>
      </c>
    </row>
    <row r="9060">
      <c r="A9060">
        <f>IFERROR(INDEX('Email Cleaner'!$B$2:$B$10001,MATCH(9059,'Email Cleaner'!$K$2:$K$10001,0)),"")</f>
        <v/>
      </c>
    </row>
    <row r="9061">
      <c r="A9061">
        <f>IFERROR(INDEX('Email Cleaner'!$B$2:$B$10001,MATCH(9060,'Email Cleaner'!$K$2:$K$10001,0)),"")</f>
        <v/>
      </c>
    </row>
    <row r="9062">
      <c r="A9062">
        <f>IFERROR(INDEX('Email Cleaner'!$B$2:$B$10001,MATCH(9061,'Email Cleaner'!$K$2:$K$10001,0)),"")</f>
        <v/>
      </c>
    </row>
    <row r="9063">
      <c r="A9063">
        <f>IFERROR(INDEX('Email Cleaner'!$B$2:$B$10001,MATCH(9062,'Email Cleaner'!$K$2:$K$10001,0)),"")</f>
        <v/>
      </c>
    </row>
    <row r="9064">
      <c r="A9064">
        <f>IFERROR(INDEX('Email Cleaner'!$B$2:$B$10001,MATCH(9063,'Email Cleaner'!$K$2:$K$10001,0)),"")</f>
        <v/>
      </c>
    </row>
    <row r="9065">
      <c r="A9065">
        <f>IFERROR(INDEX('Email Cleaner'!$B$2:$B$10001,MATCH(9064,'Email Cleaner'!$K$2:$K$10001,0)),"")</f>
        <v/>
      </c>
    </row>
    <row r="9066">
      <c r="A9066">
        <f>IFERROR(INDEX('Email Cleaner'!$B$2:$B$10001,MATCH(9065,'Email Cleaner'!$K$2:$K$10001,0)),"")</f>
        <v/>
      </c>
    </row>
    <row r="9067">
      <c r="A9067">
        <f>IFERROR(INDEX('Email Cleaner'!$B$2:$B$10001,MATCH(9066,'Email Cleaner'!$K$2:$K$10001,0)),"")</f>
        <v/>
      </c>
    </row>
    <row r="9068">
      <c r="A9068">
        <f>IFERROR(INDEX('Email Cleaner'!$B$2:$B$10001,MATCH(9067,'Email Cleaner'!$K$2:$K$10001,0)),"")</f>
        <v/>
      </c>
    </row>
    <row r="9069">
      <c r="A9069">
        <f>IFERROR(INDEX('Email Cleaner'!$B$2:$B$10001,MATCH(9068,'Email Cleaner'!$K$2:$K$10001,0)),"")</f>
        <v/>
      </c>
    </row>
    <row r="9070">
      <c r="A9070">
        <f>IFERROR(INDEX('Email Cleaner'!$B$2:$B$10001,MATCH(9069,'Email Cleaner'!$K$2:$K$10001,0)),"")</f>
        <v/>
      </c>
    </row>
    <row r="9071">
      <c r="A9071">
        <f>IFERROR(INDEX('Email Cleaner'!$B$2:$B$10001,MATCH(9070,'Email Cleaner'!$K$2:$K$10001,0)),"")</f>
        <v/>
      </c>
    </row>
    <row r="9072">
      <c r="A9072">
        <f>IFERROR(INDEX('Email Cleaner'!$B$2:$B$10001,MATCH(9071,'Email Cleaner'!$K$2:$K$10001,0)),"")</f>
        <v/>
      </c>
    </row>
    <row r="9073">
      <c r="A9073">
        <f>IFERROR(INDEX('Email Cleaner'!$B$2:$B$10001,MATCH(9072,'Email Cleaner'!$K$2:$K$10001,0)),"")</f>
        <v/>
      </c>
    </row>
    <row r="9074">
      <c r="A9074">
        <f>IFERROR(INDEX('Email Cleaner'!$B$2:$B$10001,MATCH(9073,'Email Cleaner'!$K$2:$K$10001,0)),"")</f>
        <v/>
      </c>
    </row>
    <row r="9075">
      <c r="A9075">
        <f>IFERROR(INDEX('Email Cleaner'!$B$2:$B$10001,MATCH(9074,'Email Cleaner'!$K$2:$K$10001,0)),"")</f>
        <v/>
      </c>
    </row>
    <row r="9076">
      <c r="A9076">
        <f>IFERROR(INDEX('Email Cleaner'!$B$2:$B$10001,MATCH(9075,'Email Cleaner'!$K$2:$K$10001,0)),"")</f>
        <v/>
      </c>
    </row>
    <row r="9077">
      <c r="A9077">
        <f>IFERROR(INDEX('Email Cleaner'!$B$2:$B$10001,MATCH(9076,'Email Cleaner'!$K$2:$K$10001,0)),"")</f>
        <v/>
      </c>
    </row>
    <row r="9078">
      <c r="A9078">
        <f>IFERROR(INDEX('Email Cleaner'!$B$2:$B$10001,MATCH(9077,'Email Cleaner'!$K$2:$K$10001,0)),"")</f>
        <v/>
      </c>
    </row>
    <row r="9079">
      <c r="A9079">
        <f>IFERROR(INDEX('Email Cleaner'!$B$2:$B$10001,MATCH(9078,'Email Cleaner'!$K$2:$K$10001,0)),"")</f>
        <v/>
      </c>
    </row>
    <row r="9080">
      <c r="A9080">
        <f>IFERROR(INDEX('Email Cleaner'!$B$2:$B$10001,MATCH(9079,'Email Cleaner'!$K$2:$K$10001,0)),"")</f>
        <v/>
      </c>
    </row>
    <row r="9081">
      <c r="A9081">
        <f>IFERROR(INDEX('Email Cleaner'!$B$2:$B$10001,MATCH(9080,'Email Cleaner'!$K$2:$K$10001,0)),"")</f>
        <v/>
      </c>
    </row>
    <row r="9082">
      <c r="A9082">
        <f>IFERROR(INDEX('Email Cleaner'!$B$2:$B$10001,MATCH(9081,'Email Cleaner'!$K$2:$K$10001,0)),"")</f>
        <v/>
      </c>
    </row>
    <row r="9083">
      <c r="A9083">
        <f>IFERROR(INDEX('Email Cleaner'!$B$2:$B$10001,MATCH(9082,'Email Cleaner'!$K$2:$K$10001,0)),"")</f>
        <v/>
      </c>
    </row>
    <row r="9084">
      <c r="A9084">
        <f>IFERROR(INDEX('Email Cleaner'!$B$2:$B$10001,MATCH(9083,'Email Cleaner'!$K$2:$K$10001,0)),"")</f>
        <v/>
      </c>
    </row>
    <row r="9085">
      <c r="A9085">
        <f>IFERROR(INDEX('Email Cleaner'!$B$2:$B$10001,MATCH(9084,'Email Cleaner'!$K$2:$K$10001,0)),"")</f>
        <v/>
      </c>
    </row>
    <row r="9086">
      <c r="A9086">
        <f>IFERROR(INDEX('Email Cleaner'!$B$2:$B$10001,MATCH(9085,'Email Cleaner'!$K$2:$K$10001,0)),"")</f>
        <v/>
      </c>
    </row>
    <row r="9087">
      <c r="A9087">
        <f>IFERROR(INDEX('Email Cleaner'!$B$2:$B$10001,MATCH(9086,'Email Cleaner'!$K$2:$K$10001,0)),"")</f>
        <v/>
      </c>
    </row>
    <row r="9088">
      <c r="A9088">
        <f>IFERROR(INDEX('Email Cleaner'!$B$2:$B$10001,MATCH(9087,'Email Cleaner'!$K$2:$K$10001,0)),"")</f>
        <v/>
      </c>
    </row>
    <row r="9089">
      <c r="A9089">
        <f>IFERROR(INDEX('Email Cleaner'!$B$2:$B$10001,MATCH(9088,'Email Cleaner'!$K$2:$K$10001,0)),"")</f>
        <v/>
      </c>
    </row>
    <row r="9090">
      <c r="A9090">
        <f>IFERROR(INDEX('Email Cleaner'!$B$2:$B$10001,MATCH(9089,'Email Cleaner'!$K$2:$K$10001,0)),"")</f>
        <v/>
      </c>
    </row>
    <row r="9091">
      <c r="A9091">
        <f>IFERROR(INDEX('Email Cleaner'!$B$2:$B$10001,MATCH(9090,'Email Cleaner'!$K$2:$K$10001,0)),"")</f>
        <v/>
      </c>
    </row>
    <row r="9092">
      <c r="A9092">
        <f>IFERROR(INDEX('Email Cleaner'!$B$2:$B$10001,MATCH(9091,'Email Cleaner'!$K$2:$K$10001,0)),"")</f>
        <v/>
      </c>
    </row>
    <row r="9093">
      <c r="A9093">
        <f>IFERROR(INDEX('Email Cleaner'!$B$2:$B$10001,MATCH(9092,'Email Cleaner'!$K$2:$K$10001,0)),"")</f>
        <v/>
      </c>
    </row>
    <row r="9094">
      <c r="A9094">
        <f>IFERROR(INDEX('Email Cleaner'!$B$2:$B$10001,MATCH(9093,'Email Cleaner'!$K$2:$K$10001,0)),"")</f>
        <v/>
      </c>
    </row>
    <row r="9095">
      <c r="A9095">
        <f>IFERROR(INDEX('Email Cleaner'!$B$2:$B$10001,MATCH(9094,'Email Cleaner'!$K$2:$K$10001,0)),"")</f>
        <v/>
      </c>
    </row>
    <row r="9096">
      <c r="A9096">
        <f>IFERROR(INDEX('Email Cleaner'!$B$2:$B$10001,MATCH(9095,'Email Cleaner'!$K$2:$K$10001,0)),"")</f>
        <v/>
      </c>
    </row>
    <row r="9097">
      <c r="A9097">
        <f>IFERROR(INDEX('Email Cleaner'!$B$2:$B$10001,MATCH(9096,'Email Cleaner'!$K$2:$K$10001,0)),"")</f>
        <v/>
      </c>
    </row>
    <row r="9098">
      <c r="A9098">
        <f>IFERROR(INDEX('Email Cleaner'!$B$2:$B$10001,MATCH(9097,'Email Cleaner'!$K$2:$K$10001,0)),"")</f>
        <v/>
      </c>
    </row>
    <row r="9099">
      <c r="A9099">
        <f>IFERROR(INDEX('Email Cleaner'!$B$2:$B$10001,MATCH(9098,'Email Cleaner'!$K$2:$K$10001,0)),"")</f>
        <v/>
      </c>
    </row>
    <row r="9100">
      <c r="A9100">
        <f>IFERROR(INDEX('Email Cleaner'!$B$2:$B$10001,MATCH(9099,'Email Cleaner'!$K$2:$K$10001,0)),"")</f>
        <v/>
      </c>
    </row>
    <row r="9101">
      <c r="A9101">
        <f>IFERROR(INDEX('Email Cleaner'!$B$2:$B$10001,MATCH(9100,'Email Cleaner'!$K$2:$K$10001,0)),"")</f>
        <v/>
      </c>
    </row>
    <row r="9102">
      <c r="A9102">
        <f>IFERROR(INDEX('Email Cleaner'!$B$2:$B$10001,MATCH(9101,'Email Cleaner'!$K$2:$K$10001,0)),"")</f>
        <v/>
      </c>
    </row>
    <row r="9103">
      <c r="A9103">
        <f>IFERROR(INDEX('Email Cleaner'!$B$2:$B$10001,MATCH(9102,'Email Cleaner'!$K$2:$K$10001,0)),"")</f>
        <v/>
      </c>
    </row>
    <row r="9104">
      <c r="A9104">
        <f>IFERROR(INDEX('Email Cleaner'!$B$2:$B$10001,MATCH(9103,'Email Cleaner'!$K$2:$K$10001,0)),"")</f>
        <v/>
      </c>
    </row>
    <row r="9105">
      <c r="A9105">
        <f>IFERROR(INDEX('Email Cleaner'!$B$2:$B$10001,MATCH(9104,'Email Cleaner'!$K$2:$K$10001,0)),"")</f>
        <v/>
      </c>
    </row>
    <row r="9106">
      <c r="A9106">
        <f>IFERROR(INDEX('Email Cleaner'!$B$2:$B$10001,MATCH(9105,'Email Cleaner'!$K$2:$K$10001,0)),"")</f>
        <v/>
      </c>
    </row>
    <row r="9107">
      <c r="A9107">
        <f>IFERROR(INDEX('Email Cleaner'!$B$2:$B$10001,MATCH(9106,'Email Cleaner'!$K$2:$K$10001,0)),"")</f>
        <v/>
      </c>
    </row>
    <row r="9108">
      <c r="A9108">
        <f>IFERROR(INDEX('Email Cleaner'!$B$2:$B$10001,MATCH(9107,'Email Cleaner'!$K$2:$K$10001,0)),"")</f>
        <v/>
      </c>
    </row>
    <row r="9109">
      <c r="A9109">
        <f>IFERROR(INDEX('Email Cleaner'!$B$2:$B$10001,MATCH(9108,'Email Cleaner'!$K$2:$K$10001,0)),"")</f>
        <v/>
      </c>
    </row>
    <row r="9110">
      <c r="A9110">
        <f>IFERROR(INDEX('Email Cleaner'!$B$2:$B$10001,MATCH(9109,'Email Cleaner'!$K$2:$K$10001,0)),"")</f>
        <v/>
      </c>
    </row>
    <row r="9111">
      <c r="A9111">
        <f>IFERROR(INDEX('Email Cleaner'!$B$2:$B$10001,MATCH(9110,'Email Cleaner'!$K$2:$K$10001,0)),"")</f>
        <v/>
      </c>
    </row>
    <row r="9112">
      <c r="A9112">
        <f>IFERROR(INDEX('Email Cleaner'!$B$2:$B$10001,MATCH(9111,'Email Cleaner'!$K$2:$K$10001,0)),"")</f>
        <v/>
      </c>
    </row>
    <row r="9113">
      <c r="A9113">
        <f>IFERROR(INDEX('Email Cleaner'!$B$2:$B$10001,MATCH(9112,'Email Cleaner'!$K$2:$K$10001,0)),"")</f>
        <v/>
      </c>
    </row>
    <row r="9114">
      <c r="A9114">
        <f>IFERROR(INDEX('Email Cleaner'!$B$2:$B$10001,MATCH(9113,'Email Cleaner'!$K$2:$K$10001,0)),"")</f>
        <v/>
      </c>
    </row>
    <row r="9115">
      <c r="A9115">
        <f>IFERROR(INDEX('Email Cleaner'!$B$2:$B$10001,MATCH(9114,'Email Cleaner'!$K$2:$K$10001,0)),"")</f>
        <v/>
      </c>
    </row>
    <row r="9116">
      <c r="A9116">
        <f>IFERROR(INDEX('Email Cleaner'!$B$2:$B$10001,MATCH(9115,'Email Cleaner'!$K$2:$K$10001,0)),"")</f>
        <v/>
      </c>
    </row>
    <row r="9117">
      <c r="A9117">
        <f>IFERROR(INDEX('Email Cleaner'!$B$2:$B$10001,MATCH(9116,'Email Cleaner'!$K$2:$K$10001,0)),"")</f>
        <v/>
      </c>
    </row>
    <row r="9118">
      <c r="A9118">
        <f>IFERROR(INDEX('Email Cleaner'!$B$2:$B$10001,MATCH(9117,'Email Cleaner'!$K$2:$K$10001,0)),"")</f>
        <v/>
      </c>
    </row>
    <row r="9119">
      <c r="A9119">
        <f>IFERROR(INDEX('Email Cleaner'!$B$2:$B$10001,MATCH(9118,'Email Cleaner'!$K$2:$K$10001,0)),"")</f>
        <v/>
      </c>
    </row>
    <row r="9120">
      <c r="A9120">
        <f>IFERROR(INDEX('Email Cleaner'!$B$2:$B$10001,MATCH(9119,'Email Cleaner'!$K$2:$K$10001,0)),"")</f>
        <v/>
      </c>
    </row>
    <row r="9121">
      <c r="A9121">
        <f>IFERROR(INDEX('Email Cleaner'!$B$2:$B$10001,MATCH(9120,'Email Cleaner'!$K$2:$K$10001,0)),"")</f>
        <v/>
      </c>
    </row>
    <row r="9122">
      <c r="A9122">
        <f>IFERROR(INDEX('Email Cleaner'!$B$2:$B$10001,MATCH(9121,'Email Cleaner'!$K$2:$K$10001,0)),"")</f>
        <v/>
      </c>
    </row>
    <row r="9123">
      <c r="A9123">
        <f>IFERROR(INDEX('Email Cleaner'!$B$2:$B$10001,MATCH(9122,'Email Cleaner'!$K$2:$K$10001,0)),"")</f>
        <v/>
      </c>
    </row>
    <row r="9124">
      <c r="A9124">
        <f>IFERROR(INDEX('Email Cleaner'!$B$2:$B$10001,MATCH(9123,'Email Cleaner'!$K$2:$K$10001,0)),"")</f>
        <v/>
      </c>
    </row>
    <row r="9125">
      <c r="A9125">
        <f>IFERROR(INDEX('Email Cleaner'!$B$2:$B$10001,MATCH(9124,'Email Cleaner'!$K$2:$K$10001,0)),"")</f>
        <v/>
      </c>
    </row>
    <row r="9126">
      <c r="A9126">
        <f>IFERROR(INDEX('Email Cleaner'!$B$2:$B$10001,MATCH(9125,'Email Cleaner'!$K$2:$K$10001,0)),"")</f>
        <v/>
      </c>
    </row>
    <row r="9127">
      <c r="A9127">
        <f>IFERROR(INDEX('Email Cleaner'!$B$2:$B$10001,MATCH(9126,'Email Cleaner'!$K$2:$K$10001,0)),"")</f>
        <v/>
      </c>
    </row>
    <row r="9128">
      <c r="A9128">
        <f>IFERROR(INDEX('Email Cleaner'!$B$2:$B$10001,MATCH(9127,'Email Cleaner'!$K$2:$K$10001,0)),"")</f>
        <v/>
      </c>
    </row>
    <row r="9129">
      <c r="A9129">
        <f>IFERROR(INDEX('Email Cleaner'!$B$2:$B$10001,MATCH(9128,'Email Cleaner'!$K$2:$K$10001,0)),"")</f>
        <v/>
      </c>
    </row>
    <row r="9130">
      <c r="A9130">
        <f>IFERROR(INDEX('Email Cleaner'!$B$2:$B$10001,MATCH(9129,'Email Cleaner'!$K$2:$K$10001,0)),"")</f>
        <v/>
      </c>
    </row>
    <row r="9131">
      <c r="A9131">
        <f>IFERROR(INDEX('Email Cleaner'!$B$2:$B$10001,MATCH(9130,'Email Cleaner'!$K$2:$K$10001,0)),"")</f>
        <v/>
      </c>
    </row>
    <row r="9132">
      <c r="A9132">
        <f>IFERROR(INDEX('Email Cleaner'!$B$2:$B$10001,MATCH(9131,'Email Cleaner'!$K$2:$K$10001,0)),"")</f>
        <v/>
      </c>
    </row>
    <row r="9133">
      <c r="A9133">
        <f>IFERROR(INDEX('Email Cleaner'!$B$2:$B$10001,MATCH(9132,'Email Cleaner'!$K$2:$K$10001,0)),"")</f>
        <v/>
      </c>
    </row>
    <row r="9134">
      <c r="A9134">
        <f>IFERROR(INDEX('Email Cleaner'!$B$2:$B$10001,MATCH(9133,'Email Cleaner'!$K$2:$K$10001,0)),"")</f>
        <v/>
      </c>
    </row>
    <row r="9135">
      <c r="A9135">
        <f>IFERROR(INDEX('Email Cleaner'!$B$2:$B$10001,MATCH(9134,'Email Cleaner'!$K$2:$K$10001,0)),"")</f>
        <v/>
      </c>
    </row>
    <row r="9136">
      <c r="A9136">
        <f>IFERROR(INDEX('Email Cleaner'!$B$2:$B$10001,MATCH(9135,'Email Cleaner'!$K$2:$K$10001,0)),"")</f>
        <v/>
      </c>
    </row>
    <row r="9137">
      <c r="A9137">
        <f>IFERROR(INDEX('Email Cleaner'!$B$2:$B$10001,MATCH(9136,'Email Cleaner'!$K$2:$K$10001,0)),"")</f>
        <v/>
      </c>
    </row>
    <row r="9138">
      <c r="A9138">
        <f>IFERROR(INDEX('Email Cleaner'!$B$2:$B$10001,MATCH(9137,'Email Cleaner'!$K$2:$K$10001,0)),"")</f>
        <v/>
      </c>
    </row>
    <row r="9139">
      <c r="A9139">
        <f>IFERROR(INDEX('Email Cleaner'!$B$2:$B$10001,MATCH(9138,'Email Cleaner'!$K$2:$K$10001,0)),"")</f>
        <v/>
      </c>
    </row>
    <row r="9140">
      <c r="A9140">
        <f>IFERROR(INDEX('Email Cleaner'!$B$2:$B$10001,MATCH(9139,'Email Cleaner'!$K$2:$K$10001,0)),"")</f>
        <v/>
      </c>
    </row>
    <row r="9141">
      <c r="A9141">
        <f>IFERROR(INDEX('Email Cleaner'!$B$2:$B$10001,MATCH(9140,'Email Cleaner'!$K$2:$K$10001,0)),"")</f>
        <v/>
      </c>
    </row>
    <row r="9142">
      <c r="A9142">
        <f>IFERROR(INDEX('Email Cleaner'!$B$2:$B$10001,MATCH(9141,'Email Cleaner'!$K$2:$K$10001,0)),"")</f>
        <v/>
      </c>
    </row>
    <row r="9143">
      <c r="A9143">
        <f>IFERROR(INDEX('Email Cleaner'!$B$2:$B$10001,MATCH(9142,'Email Cleaner'!$K$2:$K$10001,0)),"")</f>
        <v/>
      </c>
    </row>
    <row r="9144">
      <c r="A9144">
        <f>IFERROR(INDEX('Email Cleaner'!$B$2:$B$10001,MATCH(9143,'Email Cleaner'!$K$2:$K$10001,0)),"")</f>
        <v/>
      </c>
    </row>
    <row r="9145">
      <c r="A9145">
        <f>IFERROR(INDEX('Email Cleaner'!$B$2:$B$10001,MATCH(9144,'Email Cleaner'!$K$2:$K$10001,0)),"")</f>
        <v/>
      </c>
    </row>
    <row r="9146">
      <c r="A9146">
        <f>IFERROR(INDEX('Email Cleaner'!$B$2:$B$10001,MATCH(9145,'Email Cleaner'!$K$2:$K$10001,0)),"")</f>
        <v/>
      </c>
    </row>
    <row r="9147">
      <c r="A9147">
        <f>IFERROR(INDEX('Email Cleaner'!$B$2:$B$10001,MATCH(9146,'Email Cleaner'!$K$2:$K$10001,0)),"")</f>
        <v/>
      </c>
    </row>
    <row r="9148">
      <c r="A9148">
        <f>IFERROR(INDEX('Email Cleaner'!$B$2:$B$10001,MATCH(9147,'Email Cleaner'!$K$2:$K$10001,0)),"")</f>
        <v/>
      </c>
    </row>
    <row r="9149">
      <c r="A9149">
        <f>IFERROR(INDEX('Email Cleaner'!$B$2:$B$10001,MATCH(9148,'Email Cleaner'!$K$2:$K$10001,0)),"")</f>
        <v/>
      </c>
    </row>
    <row r="9150">
      <c r="A9150">
        <f>IFERROR(INDEX('Email Cleaner'!$B$2:$B$10001,MATCH(9149,'Email Cleaner'!$K$2:$K$10001,0)),"")</f>
        <v/>
      </c>
    </row>
    <row r="9151">
      <c r="A9151">
        <f>IFERROR(INDEX('Email Cleaner'!$B$2:$B$10001,MATCH(9150,'Email Cleaner'!$K$2:$K$10001,0)),"")</f>
        <v/>
      </c>
    </row>
    <row r="9152">
      <c r="A9152">
        <f>IFERROR(INDEX('Email Cleaner'!$B$2:$B$10001,MATCH(9151,'Email Cleaner'!$K$2:$K$10001,0)),"")</f>
        <v/>
      </c>
    </row>
    <row r="9153">
      <c r="A9153">
        <f>IFERROR(INDEX('Email Cleaner'!$B$2:$B$10001,MATCH(9152,'Email Cleaner'!$K$2:$K$10001,0)),"")</f>
        <v/>
      </c>
    </row>
    <row r="9154">
      <c r="A9154">
        <f>IFERROR(INDEX('Email Cleaner'!$B$2:$B$10001,MATCH(9153,'Email Cleaner'!$K$2:$K$10001,0)),"")</f>
        <v/>
      </c>
    </row>
    <row r="9155">
      <c r="A9155">
        <f>IFERROR(INDEX('Email Cleaner'!$B$2:$B$10001,MATCH(9154,'Email Cleaner'!$K$2:$K$10001,0)),"")</f>
        <v/>
      </c>
    </row>
    <row r="9156">
      <c r="A9156">
        <f>IFERROR(INDEX('Email Cleaner'!$B$2:$B$10001,MATCH(9155,'Email Cleaner'!$K$2:$K$10001,0)),"")</f>
        <v/>
      </c>
    </row>
    <row r="9157">
      <c r="A9157">
        <f>IFERROR(INDEX('Email Cleaner'!$B$2:$B$10001,MATCH(9156,'Email Cleaner'!$K$2:$K$10001,0)),"")</f>
        <v/>
      </c>
    </row>
    <row r="9158">
      <c r="A9158">
        <f>IFERROR(INDEX('Email Cleaner'!$B$2:$B$10001,MATCH(9157,'Email Cleaner'!$K$2:$K$10001,0)),"")</f>
        <v/>
      </c>
    </row>
    <row r="9159">
      <c r="A9159">
        <f>IFERROR(INDEX('Email Cleaner'!$B$2:$B$10001,MATCH(9158,'Email Cleaner'!$K$2:$K$10001,0)),"")</f>
        <v/>
      </c>
    </row>
    <row r="9160">
      <c r="A9160">
        <f>IFERROR(INDEX('Email Cleaner'!$B$2:$B$10001,MATCH(9159,'Email Cleaner'!$K$2:$K$10001,0)),"")</f>
        <v/>
      </c>
    </row>
    <row r="9161">
      <c r="A9161">
        <f>IFERROR(INDEX('Email Cleaner'!$B$2:$B$10001,MATCH(9160,'Email Cleaner'!$K$2:$K$10001,0)),"")</f>
        <v/>
      </c>
    </row>
    <row r="9162">
      <c r="A9162">
        <f>IFERROR(INDEX('Email Cleaner'!$B$2:$B$10001,MATCH(9161,'Email Cleaner'!$K$2:$K$10001,0)),"")</f>
        <v/>
      </c>
    </row>
    <row r="9163">
      <c r="A9163">
        <f>IFERROR(INDEX('Email Cleaner'!$B$2:$B$10001,MATCH(9162,'Email Cleaner'!$K$2:$K$10001,0)),"")</f>
        <v/>
      </c>
    </row>
    <row r="9164">
      <c r="A9164">
        <f>IFERROR(INDEX('Email Cleaner'!$B$2:$B$10001,MATCH(9163,'Email Cleaner'!$K$2:$K$10001,0)),"")</f>
        <v/>
      </c>
    </row>
    <row r="9165">
      <c r="A9165">
        <f>IFERROR(INDEX('Email Cleaner'!$B$2:$B$10001,MATCH(9164,'Email Cleaner'!$K$2:$K$10001,0)),"")</f>
        <v/>
      </c>
    </row>
    <row r="9166">
      <c r="A9166">
        <f>IFERROR(INDEX('Email Cleaner'!$B$2:$B$10001,MATCH(9165,'Email Cleaner'!$K$2:$K$10001,0)),"")</f>
        <v/>
      </c>
    </row>
    <row r="9167">
      <c r="A9167">
        <f>IFERROR(INDEX('Email Cleaner'!$B$2:$B$10001,MATCH(9166,'Email Cleaner'!$K$2:$K$10001,0)),"")</f>
        <v/>
      </c>
    </row>
    <row r="9168">
      <c r="A9168">
        <f>IFERROR(INDEX('Email Cleaner'!$B$2:$B$10001,MATCH(9167,'Email Cleaner'!$K$2:$K$10001,0)),"")</f>
        <v/>
      </c>
    </row>
    <row r="9169">
      <c r="A9169">
        <f>IFERROR(INDEX('Email Cleaner'!$B$2:$B$10001,MATCH(9168,'Email Cleaner'!$K$2:$K$10001,0)),"")</f>
        <v/>
      </c>
    </row>
    <row r="9170">
      <c r="A9170">
        <f>IFERROR(INDEX('Email Cleaner'!$B$2:$B$10001,MATCH(9169,'Email Cleaner'!$K$2:$K$10001,0)),"")</f>
        <v/>
      </c>
    </row>
    <row r="9171">
      <c r="A9171">
        <f>IFERROR(INDEX('Email Cleaner'!$B$2:$B$10001,MATCH(9170,'Email Cleaner'!$K$2:$K$10001,0)),"")</f>
        <v/>
      </c>
    </row>
    <row r="9172">
      <c r="A9172">
        <f>IFERROR(INDEX('Email Cleaner'!$B$2:$B$10001,MATCH(9171,'Email Cleaner'!$K$2:$K$10001,0)),"")</f>
        <v/>
      </c>
    </row>
    <row r="9173">
      <c r="A9173">
        <f>IFERROR(INDEX('Email Cleaner'!$B$2:$B$10001,MATCH(9172,'Email Cleaner'!$K$2:$K$10001,0)),"")</f>
        <v/>
      </c>
    </row>
    <row r="9174">
      <c r="A9174">
        <f>IFERROR(INDEX('Email Cleaner'!$B$2:$B$10001,MATCH(9173,'Email Cleaner'!$K$2:$K$10001,0)),"")</f>
        <v/>
      </c>
    </row>
    <row r="9175">
      <c r="A9175">
        <f>IFERROR(INDEX('Email Cleaner'!$B$2:$B$10001,MATCH(9174,'Email Cleaner'!$K$2:$K$10001,0)),"")</f>
        <v/>
      </c>
    </row>
    <row r="9176">
      <c r="A9176">
        <f>IFERROR(INDEX('Email Cleaner'!$B$2:$B$10001,MATCH(9175,'Email Cleaner'!$K$2:$K$10001,0)),"")</f>
        <v/>
      </c>
    </row>
    <row r="9177">
      <c r="A9177">
        <f>IFERROR(INDEX('Email Cleaner'!$B$2:$B$10001,MATCH(9176,'Email Cleaner'!$K$2:$K$10001,0)),"")</f>
        <v/>
      </c>
    </row>
    <row r="9178">
      <c r="A9178">
        <f>IFERROR(INDEX('Email Cleaner'!$B$2:$B$10001,MATCH(9177,'Email Cleaner'!$K$2:$K$10001,0)),"")</f>
        <v/>
      </c>
    </row>
    <row r="9179">
      <c r="A9179">
        <f>IFERROR(INDEX('Email Cleaner'!$B$2:$B$10001,MATCH(9178,'Email Cleaner'!$K$2:$K$10001,0)),"")</f>
        <v/>
      </c>
    </row>
    <row r="9180">
      <c r="A9180">
        <f>IFERROR(INDEX('Email Cleaner'!$B$2:$B$10001,MATCH(9179,'Email Cleaner'!$K$2:$K$10001,0)),"")</f>
        <v/>
      </c>
    </row>
    <row r="9181">
      <c r="A9181">
        <f>IFERROR(INDEX('Email Cleaner'!$B$2:$B$10001,MATCH(9180,'Email Cleaner'!$K$2:$K$10001,0)),"")</f>
        <v/>
      </c>
    </row>
    <row r="9182">
      <c r="A9182">
        <f>IFERROR(INDEX('Email Cleaner'!$B$2:$B$10001,MATCH(9181,'Email Cleaner'!$K$2:$K$10001,0)),"")</f>
        <v/>
      </c>
    </row>
    <row r="9183">
      <c r="A9183">
        <f>IFERROR(INDEX('Email Cleaner'!$B$2:$B$10001,MATCH(9182,'Email Cleaner'!$K$2:$K$10001,0)),"")</f>
        <v/>
      </c>
    </row>
    <row r="9184">
      <c r="A9184">
        <f>IFERROR(INDEX('Email Cleaner'!$B$2:$B$10001,MATCH(9183,'Email Cleaner'!$K$2:$K$10001,0)),"")</f>
        <v/>
      </c>
    </row>
    <row r="9185">
      <c r="A9185">
        <f>IFERROR(INDEX('Email Cleaner'!$B$2:$B$10001,MATCH(9184,'Email Cleaner'!$K$2:$K$10001,0)),"")</f>
        <v/>
      </c>
    </row>
    <row r="9186">
      <c r="A9186">
        <f>IFERROR(INDEX('Email Cleaner'!$B$2:$B$10001,MATCH(9185,'Email Cleaner'!$K$2:$K$10001,0)),"")</f>
        <v/>
      </c>
    </row>
    <row r="9187">
      <c r="A9187">
        <f>IFERROR(INDEX('Email Cleaner'!$B$2:$B$10001,MATCH(9186,'Email Cleaner'!$K$2:$K$10001,0)),"")</f>
        <v/>
      </c>
    </row>
    <row r="9188">
      <c r="A9188">
        <f>IFERROR(INDEX('Email Cleaner'!$B$2:$B$10001,MATCH(9187,'Email Cleaner'!$K$2:$K$10001,0)),"")</f>
        <v/>
      </c>
    </row>
    <row r="9189">
      <c r="A9189">
        <f>IFERROR(INDEX('Email Cleaner'!$B$2:$B$10001,MATCH(9188,'Email Cleaner'!$K$2:$K$10001,0)),"")</f>
        <v/>
      </c>
    </row>
    <row r="9190">
      <c r="A9190">
        <f>IFERROR(INDEX('Email Cleaner'!$B$2:$B$10001,MATCH(9189,'Email Cleaner'!$K$2:$K$10001,0)),"")</f>
        <v/>
      </c>
    </row>
    <row r="9191">
      <c r="A9191">
        <f>IFERROR(INDEX('Email Cleaner'!$B$2:$B$10001,MATCH(9190,'Email Cleaner'!$K$2:$K$10001,0)),"")</f>
        <v/>
      </c>
    </row>
    <row r="9192">
      <c r="A9192">
        <f>IFERROR(INDEX('Email Cleaner'!$B$2:$B$10001,MATCH(9191,'Email Cleaner'!$K$2:$K$10001,0)),"")</f>
        <v/>
      </c>
    </row>
    <row r="9193">
      <c r="A9193">
        <f>IFERROR(INDEX('Email Cleaner'!$B$2:$B$10001,MATCH(9192,'Email Cleaner'!$K$2:$K$10001,0)),"")</f>
        <v/>
      </c>
    </row>
    <row r="9194">
      <c r="A9194">
        <f>IFERROR(INDEX('Email Cleaner'!$B$2:$B$10001,MATCH(9193,'Email Cleaner'!$K$2:$K$10001,0)),"")</f>
        <v/>
      </c>
    </row>
    <row r="9195">
      <c r="A9195">
        <f>IFERROR(INDEX('Email Cleaner'!$B$2:$B$10001,MATCH(9194,'Email Cleaner'!$K$2:$K$10001,0)),"")</f>
        <v/>
      </c>
    </row>
    <row r="9196">
      <c r="A9196">
        <f>IFERROR(INDEX('Email Cleaner'!$B$2:$B$10001,MATCH(9195,'Email Cleaner'!$K$2:$K$10001,0)),"")</f>
        <v/>
      </c>
    </row>
    <row r="9197">
      <c r="A9197">
        <f>IFERROR(INDEX('Email Cleaner'!$B$2:$B$10001,MATCH(9196,'Email Cleaner'!$K$2:$K$10001,0)),"")</f>
        <v/>
      </c>
    </row>
    <row r="9198">
      <c r="A9198">
        <f>IFERROR(INDEX('Email Cleaner'!$B$2:$B$10001,MATCH(9197,'Email Cleaner'!$K$2:$K$10001,0)),"")</f>
        <v/>
      </c>
    </row>
    <row r="9199">
      <c r="A9199">
        <f>IFERROR(INDEX('Email Cleaner'!$B$2:$B$10001,MATCH(9198,'Email Cleaner'!$K$2:$K$10001,0)),"")</f>
        <v/>
      </c>
    </row>
    <row r="9200">
      <c r="A9200">
        <f>IFERROR(INDEX('Email Cleaner'!$B$2:$B$10001,MATCH(9199,'Email Cleaner'!$K$2:$K$10001,0)),"")</f>
        <v/>
      </c>
    </row>
    <row r="9201">
      <c r="A9201">
        <f>IFERROR(INDEX('Email Cleaner'!$B$2:$B$10001,MATCH(9200,'Email Cleaner'!$K$2:$K$10001,0)),"")</f>
        <v/>
      </c>
    </row>
    <row r="9202">
      <c r="A9202">
        <f>IFERROR(INDEX('Email Cleaner'!$B$2:$B$10001,MATCH(9201,'Email Cleaner'!$K$2:$K$10001,0)),"")</f>
        <v/>
      </c>
    </row>
    <row r="9203">
      <c r="A9203">
        <f>IFERROR(INDEX('Email Cleaner'!$B$2:$B$10001,MATCH(9202,'Email Cleaner'!$K$2:$K$10001,0)),"")</f>
        <v/>
      </c>
    </row>
    <row r="9204">
      <c r="A9204">
        <f>IFERROR(INDEX('Email Cleaner'!$B$2:$B$10001,MATCH(9203,'Email Cleaner'!$K$2:$K$10001,0)),"")</f>
        <v/>
      </c>
    </row>
    <row r="9205">
      <c r="A9205">
        <f>IFERROR(INDEX('Email Cleaner'!$B$2:$B$10001,MATCH(9204,'Email Cleaner'!$K$2:$K$10001,0)),"")</f>
        <v/>
      </c>
    </row>
    <row r="9206">
      <c r="A9206">
        <f>IFERROR(INDEX('Email Cleaner'!$B$2:$B$10001,MATCH(9205,'Email Cleaner'!$K$2:$K$10001,0)),"")</f>
        <v/>
      </c>
    </row>
    <row r="9207">
      <c r="A9207">
        <f>IFERROR(INDEX('Email Cleaner'!$B$2:$B$10001,MATCH(9206,'Email Cleaner'!$K$2:$K$10001,0)),"")</f>
        <v/>
      </c>
    </row>
    <row r="9208">
      <c r="A9208">
        <f>IFERROR(INDEX('Email Cleaner'!$B$2:$B$10001,MATCH(9207,'Email Cleaner'!$K$2:$K$10001,0)),"")</f>
        <v/>
      </c>
    </row>
    <row r="9209">
      <c r="A9209">
        <f>IFERROR(INDEX('Email Cleaner'!$B$2:$B$10001,MATCH(9208,'Email Cleaner'!$K$2:$K$10001,0)),"")</f>
        <v/>
      </c>
    </row>
    <row r="9210">
      <c r="A9210">
        <f>IFERROR(INDEX('Email Cleaner'!$B$2:$B$10001,MATCH(9209,'Email Cleaner'!$K$2:$K$10001,0)),"")</f>
        <v/>
      </c>
    </row>
    <row r="9211">
      <c r="A9211">
        <f>IFERROR(INDEX('Email Cleaner'!$B$2:$B$10001,MATCH(9210,'Email Cleaner'!$K$2:$K$10001,0)),"")</f>
        <v/>
      </c>
    </row>
    <row r="9212">
      <c r="A9212">
        <f>IFERROR(INDEX('Email Cleaner'!$B$2:$B$10001,MATCH(9211,'Email Cleaner'!$K$2:$K$10001,0)),"")</f>
        <v/>
      </c>
    </row>
    <row r="9213">
      <c r="A9213">
        <f>IFERROR(INDEX('Email Cleaner'!$B$2:$B$10001,MATCH(9212,'Email Cleaner'!$K$2:$K$10001,0)),"")</f>
        <v/>
      </c>
    </row>
    <row r="9214">
      <c r="A9214">
        <f>IFERROR(INDEX('Email Cleaner'!$B$2:$B$10001,MATCH(9213,'Email Cleaner'!$K$2:$K$10001,0)),"")</f>
        <v/>
      </c>
    </row>
    <row r="9215">
      <c r="A9215">
        <f>IFERROR(INDEX('Email Cleaner'!$B$2:$B$10001,MATCH(9214,'Email Cleaner'!$K$2:$K$10001,0)),"")</f>
        <v/>
      </c>
    </row>
    <row r="9216">
      <c r="A9216">
        <f>IFERROR(INDEX('Email Cleaner'!$B$2:$B$10001,MATCH(9215,'Email Cleaner'!$K$2:$K$10001,0)),"")</f>
        <v/>
      </c>
    </row>
    <row r="9217">
      <c r="A9217">
        <f>IFERROR(INDEX('Email Cleaner'!$B$2:$B$10001,MATCH(9216,'Email Cleaner'!$K$2:$K$10001,0)),"")</f>
        <v/>
      </c>
    </row>
    <row r="9218">
      <c r="A9218">
        <f>IFERROR(INDEX('Email Cleaner'!$B$2:$B$10001,MATCH(9217,'Email Cleaner'!$K$2:$K$10001,0)),"")</f>
        <v/>
      </c>
    </row>
    <row r="9219">
      <c r="A9219">
        <f>IFERROR(INDEX('Email Cleaner'!$B$2:$B$10001,MATCH(9218,'Email Cleaner'!$K$2:$K$10001,0)),"")</f>
        <v/>
      </c>
    </row>
    <row r="9220">
      <c r="A9220">
        <f>IFERROR(INDEX('Email Cleaner'!$B$2:$B$10001,MATCH(9219,'Email Cleaner'!$K$2:$K$10001,0)),"")</f>
        <v/>
      </c>
    </row>
    <row r="9221">
      <c r="A9221">
        <f>IFERROR(INDEX('Email Cleaner'!$B$2:$B$10001,MATCH(9220,'Email Cleaner'!$K$2:$K$10001,0)),"")</f>
        <v/>
      </c>
    </row>
    <row r="9222">
      <c r="A9222">
        <f>IFERROR(INDEX('Email Cleaner'!$B$2:$B$10001,MATCH(9221,'Email Cleaner'!$K$2:$K$10001,0)),"")</f>
        <v/>
      </c>
    </row>
    <row r="9223">
      <c r="A9223">
        <f>IFERROR(INDEX('Email Cleaner'!$B$2:$B$10001,MATCH(9222,'Email Cleaner'!$K$2:$K$10001,0)),"")</f>
        <v/>
      </c>
    </row>
    <row r="9224">
      <c r="A9224">
        <f>IFERROR(INDEX('Email Cleaner'!$B$2:$B$10001,MATCH(9223,'Email Cleaner'!$K$2:$K$10001,0)),"")</f>
        <v/>
      </c>
    </row>
    <row r="9225">
      <c r="A9225">
        <f>IFERROR(INDEX('Email Cleaner'!$B$2:$B$10001,MATCH(9224,'Email Cleaner'!$K$2:$K$10001,0)),"")</f>
        <v/>
      </c>
    </row>
    <row r="9226">
      <c r="A9226">
        <f>IFERROR(INDEX('Email Cleaner'!$B$2:$B$10001,MATCH(9225,'Email Cleaner'!$K$2:$K$10001,0)),"")</f>
        <v/>
      </c>
    </row>
    <row r="9227">
      <c r="A9227">
        <f>IFERROR(INDEX('Email Cleaner'!$B$2:$B$10001,MATCH(9226,'Email Cleaner'!$K$2:$K$10001,0)),"")</f>
        <v/>
      </c>
    </row>
    <row r="9228">
      <c r="A9228">
        <f>IFERROR(INDEX('Email Cleaner'!$B$2:$B$10001,MATCH(9227,'Email Cleaner'!$K$2:$K$10001,0)),"")</f>
        <v/>
      </c>
    </row>
    <row r="9229">
      <c r="A9229">
        <f>IFERROR(INDEX('Email Cleaner'!$B$2:$B$10001,MATCH(9228,'Email Cleaner'!$K$2:$K$10001,0)),"")</f>
        <v/>
      </c>
    </row>
    <row r="9230">
      <c r="A9230">
        <f>IFERROR(INDEX('Email Cleaner'!$B$2:$B$10001,MATCH(9229,'Email Cleaner'!$K$2:$K$10001,0)),"")</f>
        <v/>
      </c>
    </row>
    <row r="9231">
      <c r="A9231">
        <f>IFERROR(INDEX('Email Cleaner'!$B$2:$B$10001,MATCH(9230,'Email Cleaner'!$K$2:$K$10001,0)),"")</f>
        <v/>
      </c>
    </row>
    <row r="9232">
      <c r="A9232">
        <f>IFERROR(INDEX('Email Cleaner'!$B$2:$B$10001,MATCH(9231,'Email Cleaner'!$K$2:$K$10001,0)),"")</f>
        <v/>
      </c>
    </row>
    <row r="9233">
      <c r="A9233">
        <f>IFERROR(INDEX('Email Cleaner'!$B$2:$B$10001,MATCH(9232,'Email Cleaner'!$K$2:$K$10001,0)),"")</f>
        <v/>
      </c>
    </row>
    <row r="9234">
      <c r="A9234">
        <f>IFERROR(INDEX('Email Cleaner'!$B$2:$B$10001,MATCH(9233,'Email Cleaner'!$K$2:$K$10001,0)),"")</f>
        <v/>
      </c>
    </row>
    <row r="9235">
      <c r="A9235">
        <f>IFERROR(INDEX('Email Cleaner'!$B$2:$B$10001,MATCH(9234,'Email Cleaner'!$K$2:$K$10001,0)),"")</f>
        <v/>
      </c>
    </row>
    <row r="9236">
      <c r="A9236">
        <f>IFERROR(INDEX('Email Cleaner'!$B$2:$B$10001,MATCH(9235,'Email Cleaner'!$K$2:$K$10001,0)),"")</f>
        <v/>
      </c>
    </row>
    <row r="9237">
      <c r="A9237">
        <f>IFERROR(INDEX('Email Cleaner'!$B$2:$B$10001,MATCH(9236,'Email Cleaner'!$K$2:$K$10001,0)),"")</f>
        <v/>
      </c>
    </row>
    <row r="9238">
      <c r="A9238">
        <f>IFERROR(INDEX('Email Cleaner'!$B$2:$B$10001,MATCH(9237,'Email Cleaner'!$K$2:$K$10001,0)),"")</f>
        <v/>
      </c>
    </row>
    <row r="9239">
      <c r="A9239">
        <f>IFERROR(INDEX('Email Cleaner'!$B$2:$B$10001,MATCH(9238,'Email Cleaner'!$K$2:$K$10001,0)),"")</f>
        <v/>
      </c>
    </row>
    <row r="9240">
      <c r="A9240">
        <f>IFERROR(INDEX('Email Cleaner'!$B$2:$B$10001,MATCH(9239,'Email Cleaner'!$K$2:$K$10001,0)),"")</f>
        <v/>
      </c>
    </row>
    <row r="9241">
      <c r="A9241">
        <f>IFERROR(INDEX('Email Cleaner'!$B$2:$B$10001,MATCH(9240,'Email Cleaner'!$K$2:$K$10001,0)),"")</f>
        <v/>
      </c>
    </row>
    <row r="9242">
      <c r="A9242">
        <f>IFERROR(INDEX('Email Cleaner'!$B$2:$B$10001,MATCH(9241,'Email Cleaner'!$K$2:$K$10001,0)),"")</f>
        <v/>
      </c>
    </row>
    <row r="9243">
      <c r="A9243">
        <f>IFERROR(INDEX('Email Cleaner'!$B$2:$B$10001,MATCH(9242,'Email Cleaner'!$K$2:$K$10001,0)),"")</f>
        <v/>
      </c>
    </row>
    <row r="9244">
      <c r="A9244">
        <f>IFERROR(INDEX('Email Cleaner'!$B$2:$B$10001,MATCH(9243,'Email Cleaner'!$K$2:$K$10001,0)),"")</f>
        <v/>
      </c>
    </row>
    <row r="9245">
      <c r="A9245">
        <f>IFERROR(INDEX('Email Cleaner'!$B$2:$B$10001,MATCH(9244,'Email Cleaner'!$K$2:$K$10001,0)),"")</f>
        <v/>
      </c>
    </row>
    <row r="9246">
      <c r="A9246">
        <f>IFERROR(INDEX('Email Cleaner'!$B$2:$B$10001,MATCH(9245,'Email Cleaner'!$K$2:$K$10001,0)),"")</f>
        <v/>
      </c>
    </row>
    <row r="9247">
      <c r="A9247">
        <f>IFERROR(INDEX('Email Cleaner'!$B$2:$B$10001,MATCH(9246,'Email Cleaner'!$K$2:$K$10001,0)),"")</f>
        <v/>
      </c>
    </row>
    <row r="9248">
      <c r="A9248">
        <f>IFERROR(INDEX('Email Cleaner'!$B$2:$B$10001,MATCH(9247,'Email Cleaner'!$K$2:$K$10001,0)),"")</f>
        <v/>
      </c>
    </row>
    <row r="9249">
      <c r="A9249">
        <f>IFERROR(INDEX('Email Cleaner'!$B$2:$B$10001,MATCH(9248,'Email Cleaner'!$K$2:$K$10001,0)),"")</f>
        <v/>
      </c>
    </row>
    <row r="9250">
      <c r="A9250">
        <f>IFERROR(INDEX('Email Cleaner'!$B$2:$B$10001,MATCH(9249,'Email Cleaner'!$K$2:$K$10001,0)),"")</f>
        <v/>
      </c>
    </row>
    <row r="9251">
      <c r="A9251">
        <f>IFERROR(INDEX('Email Cleaner'!$B$2:$B$10001,MATCH(9250,'Email Cleaner'!$K$2:$K$10001,0)),"")</f>
        <v/>
      </c>
    </row>
    <row r="9252">
      <c r="A9252">
        <f>IFERROR(INDEX('Email Cleaner'!$B$2:$B$10001,MATCH(9251,'Email Cleaner'!$K$2:$K$10001,0)),"")</f>
        <v/>
      </c>
    </row>
    <row r="9253">
      <c r="A9253">
        <f>IFERROR(INDEX('Email Cleaner'!$B$2:$B$10001,MATCH(9252,'Email Cleaner'!$K$2:$K$10001,0)),"")</f>
        <v/>
      </c>
    </row>
    <row r="9254">
      <c r="A9254">
        <f>IFERROR(INDEX('Email Cleaner'!$B$2:$B$10001,MATCH(9253,'Email Cleaner'!$K$2:$K$10001,0)),"")</f>
        <v/>
      </c>
    </row>
    <row r="9255">
      <c r="A9255">
        <f>IFERROR(INDEX('Email Cleaner'!$B$2:$B$10001,MATCH(9254,'Email Cleaner'!$K$2:$K$10001,0)),"")</f>
        <v/>
      </c>
    </row>
    <row r="9256">
      <c r="A9256">
        <f>IFERROR(INDEX('Email Cleaner'!$B$2:$B$10001,MATCH(9255,'Email Cleaner'!$K$2:$K$10001,0)),"")</f>
        <v/>
      </c>
    </row>
    <row r="9257">
      <c r="A9257">
        <f>IFERROR(INDEX('Email Cleaner'!$B$2:$B$10001,MATCH(9256,'Email Cleaner'!$K$2:$K$10001,0)),"")</f>
        <v/>
      </c>
    </row>
    <row r="9258">
      <c r="A9258">
        <f>IFERROR(INDEX('Email Cleaner'!$B$2:$B$10001,MATCH(9257,'Email Cleaner'!$K$2:$K$10001,0)),"")</f>
        <v/>
      </c>
    </row>
    <row r="9259">
      <c r="A9259">
        <f>IFERROR(INDEX('Email Cleaner'!$B$2:$B$10001,MATCH(9258,'Email Cleaner'!$K$2:$K$10001,0)),"")</f>
        <v/>
      </c>
    </row>
    <row r="9260">
      <c r="A9260">
        <f>IFERROR(INDEX('Email Cleaner'!$B$2:$B$10001,MATCH(9259,'Email Cleaner'!$K$2:$K$10001,0)),"")</f>
        <v/>
      </c>
    </row>
    <row r="9261">
      <c r="A9261">
        <f>IFERROR(INDEX('Email Cleaner'!$B$2:$B$10001,MATCH(9260,'Email Cleaner'!$K$2:$K$10001,0)),"")</f>
        <v/>
      </c>
    </row>
    <row r="9262">
      <c r="A9262">
        <f>IFERROR(INDEX('Email Cleaner'!$B$2:$B$10001,MATCH(9261,'Email Cleaner'!$K$2:$K$10001,0)),"")</f>
        <v/>
      </c>
    </row>
    <row r="9263">
      <c r="A9263">
        <f>IFERROR(INDEX('Email Cleaner'!$B$2:$B$10001,MATCH(9262,'Email Cleaner'!$K$2:$K$10001,0)),"")</f>
        <v/>
      </c>
    </row>
    <row r="9264">
      <c r="A9264">
        <f>IFERROR(INDEX('Email Cleaner'!$B$2:$B$10001,MATCH(9263,'Email Cleaner'!$K$2:$K$10001,0)),"")</f>
        <v/>
      </c>
    </row>
    <row r="9265">
      <c r="A9265">
        <f>IFERROR(INDEX('Email Cleaner'!$B$2:$B$10001,MATCH(9264,'Email Cleaner'!$K$2:$K$10001,0)),"")</f>
        <v/>
      </c>
    </row>
    <row r="9266">
      <c r="A9266">
        <f>IFERROR(INDEX('Email Cleaner'!$B$2:$B$10001,MATCH(9265,'Email Cleaner'!$K$2:$K$10001,0)),"")</f>
        <v/>
      </c>
    </row>
    <row r="9267">
      <c r="A9267">
        <f>IFERROR(INDEX('Email Cleaner'!$B$2:$B$10001,MATCH(9266,'Email Cleaner'!$K$2:$K$10001,0)),"")</f>
        <v/>
      </c>
    </row>
    <row r="9268">
      <c r="A9268">
        <f>IFERROR(INDEX('Email Cleaner'!$B$2:$B$10001,MATCH(9267,'Email Cleaner'!$K$2:$K$10001,0)),"")</f>
        <v/>
      </c>
    </row>
    <row r="9269">
      <c r="A9269">
        <f>IFERROR(INDEX('Email Cleaner'!$B$2:$B$10001,MATCH(9268,'Email Cleaner'!$K$2:$K$10001,0)),"")</f>
        <v/>
      </c>
    </row>
    <row r="9270">
      <c r="A9270">
        <f>IFERROR(INDEX('Email Cleaner'!$B$2:$B$10001,MATCH(9269,'Email Cleaner'!$K$2:$K$10001,0)),"")</f>
        <v/>
      </c>
    </row>
    <row r="9271">
      <c r="A9271">
        <f>IFERROR(INDEX('Email Cleaner'!$B$2:$B$10001,MATCH(9270,'Email Cleaner'!$K$2:$K$10001,0)),"")</f>
        <v/>
      </c>
    </row>
    <row r="9272">
      <c r="A9272">
        <f>IFERROR(INDEX('Email Cleaner'!$B$2:$B$10001,MATCH(9271,'Email Cleaner'!$K$2:$K$10001,0)),"")</f>
        <v/>
      </c>
    </row>
    <row r="9273">
      <c r="A9273">
        <f>IFERROR(INDEX('Email Cleaner'!$B$2:$B$10001,MATCH(9272,'Email Cleaner'!$K$2:$K$10001,0)),"")</f>
        <v/>
      </c>
    </row>
    <row r="9274">
      <c r="A9274">
        <f>IFERROR(INDEX('Email Cleaner'!$B$2:$B$10001,MATCH(9273,'Email Cleaner'!$K$2:$K$10001,0)),"")</f>
        <v/>
      </c>
    </row>
    <row r="9275">
      <c r="A9275">
        <f>IFERROR(INDEX('Email Cleaner'!$B$2:$B$10001,MATCH(9274,'Email Cleaner'!$K$2:$K$10001,0)),"")</f>
        <v/>
      </c>
    </row>
    <row r="9276">
      <c r="A9276">
        <f>IFERROR(INDEX('Email Cleaner'!$B$2:$B$10001,MATCH(9275,'Email Cleaner'!$K$2:$K$10001,0)),"")</f>
        <v/>
      </c>
    </row>
    <row r="9277">
      <c r="A9277">
        <f>IFERROR(INDEX('Email Cleaner'!$B$2:$B$10001,MATCH(9276,'Email Cleaner'!$K$2:$K$10001,0)),"")</f>
        <v/>
      </c>
    </row>
    <row r="9278">
      <c r="A9278">
        <f>IFERROR(INDEX('Email Cleaner'!$B$2:$B$10001,MATCH(9277,'Email Cleaner'!$K$2:$K$10001,0)),"")</f>
        <v/>
      </c>
    </row>
    <row r="9279">
      <c r="A9279">
        <f>IFERROR(INDEX('Email Cleaner'!$B$2:$B$10001,MATCH(9278,'Email Cleaner'!$K$2:$K$10001,0)),"")</f>
        <v/>
      </c>
    </row>
    <row r="9280">
      <c r="A9280">
        <f>IFERROR(INDEX('Email Cleaner'!$B$2:$B$10001,MATCH(9279,'Email Cleaner'!$K$2:$K$10001,0)),"")</f>
        <v/>
      </c>
    </row>
    <row r="9281">
      <c r="A9281">
        <f>IFERROR(INDEX('Email Cleaner'!$B$2:$B$10001,MATCH(9280,'Email Cleaner'!$K$2:$K$10001,0)),"")</f>
        <v/>
      </c>
    </row>
    <row r="9282">
      <c r="A9282">
        <f>IFERROR(INDEX('Email Cleaner'!$B$2:$B$10001,MATCH(9281,'Email Cleaner'!$K$2:$K$10001,0)),"")</f>
        <v/>
      </c>
    </row>
    <row r="9283">
      <c r="A9283">
        <f>IFERROR(INDEX('Email Cleaner'!$B$2:$B$10001,MATCH(9282,'Email Cleaner'!$K$2:$K$10001,0)),"")</f>
        <v/>
      </c>
    </row>
    <row r="9284">
      <c r="A9284">
        <f>IFERROR(INDEX('Email Cleaner'!$B$2:$B$10001,MATCH(9283,'Email Cleaner'!$K$2:$K$10001,0)),"")</f>
        <v/>
      </c>
    </row>
    <row r="9285">
      <c r="A9285">
        <f>IFERROR(INDEX('Email Cleaner'!$B$2:$B$10001,MATCH(9284,'Email Cleaner'!$K$2:$K$10001,0)),"")</f>
        <v/>
      </c>
    </row>
    <row r="9286">
      <c r="A9286">
        <f>IFERROR(INDEX('Email Cleaner'!$B$2:$B$10001,MATCH(9285,'Email Cleaner'!$K$2:$K$10001,0)),"")</f>
        <v/>
      </c>
    </row>
    <row r="9287">
      <c r="A9287">
        <f>IFERROR(INDEX('Email Cleaner'!$B$2:$B$10001,MATCH(9286,'Email Cleaner'!$K$2:$K$10001,0)),"")</f>
        <v/>
      </c>
    </row>
    <row r="9288">
      <c r="A9288">
        <f>IFERROR(INDEX('Email Cleaner'!$B$2:$B$10001,MATCH(9287,'Email Cleaner'!$K$2:$K$10001,0)),"")</f>
        <v/>
      </c>
    </row>
    <row r="9289">
      <c r="A9289">
        <f>IFERROR(INDEX('Email Cleaner'!$B$2:$B$10001,MATCH(9288,'Email Cleaner'!$K$2:$K$10001,0)),"")</f>
        <v/>
      </c>
    </row>
    <row r="9290">
      <c r="A9290">
        <f>IFERROR(INDEX('Email Cleaner'!$B$2:$B$10001,MATCH(9289,'Email Cleaner'!$K$2:$K$10001,0)),"")</f>
        <v/>
      </c>
    </row>
    <row r="9291">
      <c r="A9291">
        <f>IFERROR(INDEX('Email Cleaner'!$B$2:$B$10001,MATCH(9290,'Email Cleaner'!$K$2:$K$10001,0)),"")</f>
        <v/>
      </c>
    </row>
    <row r="9292">
      <c r="A9292">
        <f>IFERROR(INDEX('Email Cleaner'!$B$2:$B$10001,MATCH(9291,'Email Cleaner'!$K$2:$K$10001,0)),"")</f>
        <v/>
      </c>
    </row>
    <row r="9293">
      <c r="A9293">
        <f>IFERROR(INDEX('Email Cleaner'!$B$2:$B$10001,MATCH(9292,'Email Cleaner'!$K$2:$K$10001,0)),"")</f>
        <v/>
      </c>
    </row>
    <row r="9294">
      <c r="A9294">
        <f>IFERROR(INDEX('Email Cleaner'!$B$2:$B$10001,MATCH(9293,'Email Cleaner'!$K$2:$K$10001,0)),"")</f>
        <v/>
      </c>
    </row>
    <row r="9295">
      <c r="A9295">
        <f>IFERROR(INDEX('Email Cleaner'!$B$2:$B$10001,MATCH(9294,'Email Cleaner'!$K$2:$K$10001,0)),"")</f>
        <v/>
      </c>
    </row>
    <row r="9296">
      <c r="A9296">
        <f>IFERROR(INDEX('Email Cleaner'!$B$2:$B$10001,MATCH(9295,'Email Cleaner'!$K$2:$K$10001,0)),"")</f>
        <v/>
      </c>
    </row>
    <row r="9297">
      <c r="A9297">
        <f>IFERROR(INDEX('Email Cleaner'!$B$2:$B$10001,MATCH(9296,'Email Cleaner'!$K$2:$K$10001,0)),"")</f>
        <v/>
      </c>
    </row>
    <row r="9298">
      <c r="A9298">
        <f>IFERROR(INDEX('Email Cleaner'!$B$2:$B$10001,MATCH(9297,'Email Cleaner'!$K$2:$K$10001,0)),"")</f>
        <v/>
      </c>
    </row>
    <row r="9299">
      <c r="A9299">
        <f>IFERROR(INDEX('Email Cleaner'!$B$2:$B$10001,MATCH(9298,'Email Cleaner'!$K$2:$K$10001,0)),"")</f>
        <v/>
      </c>
    </row>
    <row r="9300">
      <c r="A9300">
        <f>IFERROR(INDEX('Email Cleaner'!$B$2:$B$10001,MATCH(9299,'Email Cleaner'!$K$2:$K$10001,0)),"")</f>
        <v/>
      </c>
    </row>
    <row r="9301">
      <c r="A9301">
        <f>IFERROR(INDEX('Email Cleaner'!$B$2:$B$10001,MATCH(9300,'Email Cleaner'!$K$2:$K$10001,0)),"")</f>
        <v/>
      </c>
    </row>
    <row r="9302">
      <c r="A9302">
        <f>IFERROR(INDEX('Email Cleaner'!$B$2:$B$10001,MATCH(9301,'Email Cleaner'!$K$2:$K$10001,0)),"")</f>
        <v/>
      </c>
    </row>
    <row r="9303">
      <c r="A9303">
        <f>IFERROR(INDEX('Email Cleaner'!$B$2:$B$10001,MATCH(9302,'Email Cleaner'!$K$2:$K$10001,0)),"")</f>
        <v/>
      </c>
    </row>
    <row r="9304">
      <c r="A9304">
        <f>IFERROR(INDEX('Email Cleaner'!$B$2:$B$10001,MATCH(9303,'Email Cleaner'!$K$2:$K$10001,0)),"")</f>
        <v/>
      </c>
    </row>
    <row r="9305">
      <c r="A9305">
        <f>IFERROR(INDEX('Email Cleaner'!$B$2:$B$10001,MATCH(9304,'Email Cleaner'!$K$2:$K$10001,0)),"")</f>
        <v/>
      </c>
    </row>
    <row r="9306">
      <c r="A9306">
        <f>IFERROR(INDEX('Email Cleaner'!$B$2:$B$10001,MATCH(9305,'Email Cleaner'!$K$2:$K$10001,0)),"")</f>
        <v/>
      </c>
    </row>
    <row r="9307">
      <c r="A9307">
        <f>IFERROR(INDEX('Email Cleaner'!$B$2:$B$10001,MATCH(9306,'Email Cleaner'!$K$2:$K$10001,0)),"")</f>
        <v/>
      </c>
    </row>
    <row r="9308">
      <c r="A9308">
        <f>IFERROR(INDEX('Email Cleaner'!$B$2:$B$10001,MATCH(9307,'Email Cleaner'!$K$2:$K$10001,0)),"")</f>
        <v/>
      </c>
    </row>
    <row r="9309">
      <c r="A9309">
        <f>IFERROR(INDEX('Email Cleaner'!$B$2:$B$10001,MATCH(9308,'Email Cleaner'!$K$2:$K$10001,0)),"")</f>
        <v/>
      </c>
    </row>
    <row r="9310">
      <c r="A9310">
        <f>IFERROR(INDEX('Email Cleaner'!$B$2:$B$10001,MATCH(9309,'Email Cleaner'!$K$2:$K$10001,0)),"")</f>
        <v/>
      </c>
    </row>
    <row r="9311">
      <c r="A9311">
        <f>IFERROR(INDEX('Email Cleaner'!$B$2:$B$10001,MATCH(9310,'Email Cleaner'!$K$2:$K$10001,0)),"")</f>
        <v/>
      </c>
    </row>
    <row r="9312">
      <c r="A9312">
        <f>IFERROR(INDEX('Email Cleaner'!$B$2:$B$10001,MATCH(9311,'Email Cleaner'!$K$2:$K$10001,0)),"")</f>
        <v/>
      </c>
    </row>
    <row r="9313">
      <c r="A9313">
        <f>IFERROR(INDEX('Email Cleaner'!$B$2:$B$10001,MATCH(9312,'Email Cleaner'!$K$2:$K$10001,0)),"")</f>
        <v/>
      </c>
    </row>
    <row r="9314">
      <c r="A9314">
        <f>IFERROR(INDEX('Email Cleaner'!$B$2:$B$10001,MATCH(9313,'Email Cleaner'!$K$2:$K$10001,0)),"")</f>
        <v/>
      </c>
    </row>
    <row r="9315">
      <c r="A9315">
        <f>IFERROR(INDEX('Email Cleaner'!$B$2:$B$10001,MATCH(9314,'Email Cleaner'!$K$2:$K$10001,0)),"")</f>
        <v/>
      </c>
    </row>
    <row r="9316">
      <c r="A9316">
        <f>IFERROR(INDEX('Email Cleaner'!$B$2:$B$10001,MATCH(9315,'Email Cleaner'!$K$2:$K$10001,0)),"")</f>
        <v/>
      </c>
    </row>
    <row r="9317">
      <c r="A9317">
        <f>IFERROR(INDEX('Email Cleaner'!$B$2:$B$10001,MATCH(9316,'Email Cleaner'!$K$2:$K$10001,0)),"")</f>
        <v/>
      </c>
    </row>
    <row r="9318">
      <c r="A9318">
        <f>IFERROR(INDEX('Email Cleaner'!$B$2:$B$10001,MATCH(9317,'Email Cleaner'!$K$2:$K$10001,0)),"")</f>
        <v/>
      </c>
    </row>
    <row r="9319">
      <c r="A9319">
        <f>IFERROR(INDEX('Email Cleaner'!$B$2:$B$10001,MATCH(9318,'Email Cleaner'!$K$2:$K$10001,0)),"")</f>
        <v/>
      </c>
    </row>
    <row r="9320">
      <c r="A9320">
        <f>IFERROR(INDEX('Email Cleaner'!$B$2:$B$10001,MATCH(9319,'Email Cleaner'!$K$2:$K$10001,0)),"")</f>
        <v/>
      </c>
    </row>
    <row r="9321">
      <c r="A9321">
        <f>IFERROR(INDEX('Email Cleaner'!$B$2:$B$10001,MATCH(9320,'Email Cleaner'!$K$2:$K$10001,0)),"")</f>
        <v/>
      </c>
    </row>
    <row r="9322">
      <c r="A9322">
        <f>IFERROR(INDEX('Email Cleaner'!$B$2:$B$10001,MATCH(9321,'Email Cleaner'!$K$2:$K$10001,0)),"")</f>
        <v/>
      </c>
    </row>
    <row r="9323">
      <c r="A9323">
        <f>IFERROR(INDEX('Email Cleaner'!$B$2:$B$10001,MATCH(9322,'Email Cleaner'!$K$2:$K$10001,0)),"")</f>
        <v/>
      </c>
    </row>
    <row r="9324">
      <c r="A9324">
        <f>IFERROR(INDEX('Email Cleaner'!$B$2:$B$10001,MATCH(9323,'Email Cleaner'!$K$2:$K$10001,0)),"")</f>
        <v/>
      </c>
    </row>
    <row r="9325">
      <c r="A9325">
        <f>IFERROR(INDEX('Email Cleaner'!$B$2:$B$10001,MATCH(9324,'Email Cleaner'!$K$2:$K$10001,0)),"")</f>
        <v/>
      </c>
    </row>
    <row r="9326">
      <c r="A9326">
        <f>IFERROR(INDEX('Email Cleaner'!$B$2:$B$10001,MATCH(9325,'Email Cleaner'!$K$2:$K$10001,0)),"")</f>
        <v/>
      </c>
    </row>
    <row r="9327">
      <c r="A9327">
        <f>IFERROR(INDEX('Email Cleaner'!$B$2:$B$10001,MATCH(9326,'Email Cleaner'!$K$2:$K$10001,0)),"")</f>
        <v/>
      </c>
    </row>
    <row r="9328">
      <c r="A9328">
        <f>IFERROR(INDEX('Email Cleaner'!$B$2:$B$10001,MATCH(9327,'Email Cleaner'!$K$2:$K$10001,0)),"")</f>
        <v/>
      </c>
    </row>
    <row r="9329">
      <c r="A9329">
        <f>IFERROR(INDEX('Email Cleaner'!$B$2:$B$10001,MATCH(9328,'Email Cleaner'!$K$2:$K$10001,0)),"")</f>
        <v/>
      </c>
    </row>
    <row r="9330">
      <c r="A9330">
        <f>IFERROR(INDEX('Email Cleaner'!$B$2:$B$10001,MATCH(9329,'Email Cleaner'!$K$2:$K$10001,0)),"")</f>
        <v/>
      </c>
    </row>
    <row r="9331">
      <c r="A9331">
        <f>IFERROR(INDEX('Email Cleaner'!$B$2:$B$10001,MATCH(9330,'Email Cleaner'!$K$2:$K$10001,0)),"")</f>
        <v/>
      </c>
    </row>
    <row r="9332">
      <c r="A9332">
        <f>IFERROR(INDEX('Email Cleaner'!$B$2:$B$10001,MATCH(9331,'Email Cleaner'!$K$2:$K$10001,0)),"")</f>
        <v/>
      </c>
    </row>
    <row r="9333">
      <c r="A9333">
        <f>IFERROR(INDEX('Email Cleaner'!$B$2:$B$10001,MATCH(9332,'Email Cleaner'!$K$2:$K$10001,0)),"")</f>
        <v/>
      </c>
    </row>
    <row r="9334">
      <c r="A9334">
        <f>IFERROR(INDEX('Email Cleaner'!$B$2:$B$10001,MATCH(9333,'Email Cleaner'!$K$2:$K$10001,0)),"")</f>
        <v/>
      </c>
    </row>
    <row r="9335">
      <c r="A9335">
        <f>IFERROR(INDEX('Email Cleaner'!$B$2:$B$10001,MATCH(9334,'Email Cleaner'!$K$2:$K$10001,0)),"")</f>
        <v/>
      </c>
    </row>
    <row r="9336">
      <c r="A9336">
        <f>IFERROR(INDEX('Email Cleaner'!$B$2:$B$10001,MATCH(9335,'Email Cleaner'!$K$2:$K$10001,0)),"")</f>
        <v/>
      </c>
    </row>
    <row r="9337">
      <c r="A9337">
        <f>IFERROR(INDEX('Email Cleaner'!$B$2:$B$10001,MATCH(9336,'Email Cleaner'!$K$2:$K$10001,0)),"")</f>
        <v/>
      </c>
    </row>
    <row r="9338">
      <c r="A9338">
        <f>IFERROR(INDEX('Email Cleaner'!$B$2:$B$10001,MATCH(9337,'Email Cleaner'!$K$2:$K$10001,0)),"")</f>
        <v/>
      </c>
    </row>
    <row r="9339">
      <c r="A9339">
        <f>IFERROR(INDEX('Email Cleaner'!$B$2:$B$10001,MATCH(9338,'Email Cleaner'!$K$2:$K$10001,0)),"")</f>
        <v/>
      </c>
    </row>
    <row r="9340">
      <c r="A9340">
        <f>IFERROR(INDEX('Email Cleaner'!$B$2:$B$10001,MATCH(9339,'Email Cleaner'!$K$2:$K$10001,0)),"")</f>
        <v/>
      </c>
    </row>
    <row r="9341">
      <c r="A9341">
        <f>IFERROR(INDEX('Email Cleaner'!$B$2:$B$10001,MATCH(9340,'Email Cleaner'!$K$2:$K$10001,0)),"")</f>
        <v/>
      </c>
    </row>
    <row r="9342">
      <c r="A9342">
        <f>IFERROR(INDEX('Email Cleaner'!$B$2:$B$10001,MATCH(9341,'Email Cleaner'!$K$2:$K$10001,0)),"")</f>
        <v/>
      </c>
    </row>
    <row r="9343">
      <c r="A9343">
        <f>IFERROR(INDEX('Email Cleaner'!$B$2:$B$10001,MATCH(9342,'Email Cleaner'!$K$2:$K$10001,0)),"")</f>
        <v/>
      </c>
    </row>
    <row r="9344">
      <c r="A9344">
        <f>IFERROR(INDEX('Email Cleaner'!$B$2:$B$10001,MATCH(9343,'Email Cleaner'!$K$2:$K$10001,0)),"")</f>
        <v/>
      </c>
    </row>
    <row r="9345">
      <c r="A9345">
        <f>IFERROR(INDEX('Email Cleaner'!$B$2:$B$10001,MATCH(9344,'Email Cleaner'!$K$2:$K$10001,0)),"")</f>
        <v/>
      </c>
    </row>
    <row r="9346">
      <c r="A9346">
        <f>IFERROR(INDEX('Email Cleaner'!$B$2:$B$10001,MATCH(9345,'Email Cleaner'!$K$2:$K$10001,0)),"")</f>
        <v/>
      </c>
    </row>
    <row r="9347">
      <c r="A9347">
        <f>IFERROR(INDEX('Email Cleaner'!$B$2:$B$10001,MATCH(9346,'Email Cleaner'!$K$2:$K$10001,0)),"")</f>
        <v/>
      </c>
    </row>
    <row r="9348">
      <c r="A9348">
        <f>IFERROR(INDEX('Email Cleaner'!$B$2:$B$10001,MATCH(9347,'Email Cleaner'!$K$2:$K$10001,0)),"")</f>
        <v/>
      </c>
    </row>
    <row r="9349">
      <c r="A9349">
        <f>IFERROR(INDEX('Email Cleaner'!$B$2:$B$10001,MATCH(9348,'Email Cleaner'!$K$2:$K$10001,0)),"")</f>
        <v/>
      </c>
    </row>
    <row r="9350">
      <c r="A9350">
        <f>IFERROR(INDEX('Email Cleaner'!$B$2:$B$10001,MATCH(9349,'Email Cleaner'!$K$2:$K$10001,0)),"")</f>
        <v/>
      </c>
    </row>
    <row r="9351">
      <c r="A9351">
        <f>IFERROR(INDEX('Email Cleaner'!$B$2:$B$10001,MATCH(9350,'Email Cleaner'!$K$2:$K$10001,0)),"")</f>
        <v/>
      </c>
    </row>
    <row r="9352">
      <c r="A9352">
        <f>IFERROR(INDEX('Email Cleaner'!$B$2:$B$10001,MATCH(9351,'Email Cleaner'!$K$2:$K$10001,0)),"")</f>
        <v/>
      </c>
    </row>
    <row r="9353">
      <c r="A9353">
        <f>IFERROR(INDEX('Email Cleaner'!$B$2:$B$10001,MATCH(9352,'Email Cleaner'!$K$2:$K$10001,0)),"")</f>
        <v/>
      </c>
    </row>
    <row r="9354">
      <c r="A9354">
        <f>IFERROR(INDEX('Email Cleaner'!$B$2:$B$10001,MATCH(9353,'Email Cleaner'!$K$2:$K$10001,0)),"")</f>
        <v/>
      </c>
    </row>
    <row r="9355">
      <c r="A9355">
        <f>IFERROR(INDEX('Email Cleaner'!$B$2:$B$10001,MATCH(9354,'Email Cleaner'!$K$2:$K$10001,0)),"")</f>
        <v/>
      </c>
    </row>
    <row r="9356">
      <c r="A9356">
        <f>IFERROR(INDEX('Email Cleaner'!$B$2:$B$10001,MATCH(9355,'Email Cleaner'!$K$2:$K$10001,0)),"")</f>
        <v/>
      </c>
    </row>
    <row r="9357">
      <c r="A9357">
        <f>IFERROR(INDEX('Email Cleaner'!$B$2:$B$10001,MATCH(9356,'Email Cleaner'!$K$2:$K$10001,0)),"")</f>
        <v/>
      </c>
    </row>
    <row r="9358">
      <c r="A9358">
        <f>IFERROR(INDEX('Email Cleaner'!$B$2:$B$10001,MATCH(9357,'Email Cleaner'!$K$2:$K$10001,0)),"")</f>
        <v/>
      </c>
    </row>
    <row r="9359">
      <c r="A9359">
        <f>IFERROR(INDEX('Email Cleaner'!$B$2:$B$10001,MATCH(9358,'Email Cleaner'!$K$2:$K$10001,0)),"")</f>
        <v/>
      </c>
    </row>
    <row r="9360">
      <c r="A9360">
        <f>IFERROR(INDEX('Email Cleaner'!$B$2:$B$10001,MATCH(9359,'Email Cleaner'!$K$2:$K$10001,0)),"")</f>
        <v/>
      </c>
    </row>
    <row r="9361">
      <c r="A9361">
        <f>IFERROR(INDEX('Email Cleaner'!$B$2:$B$10001,MATCH(9360,'Email Cleaner'!$K$2:$K$10001,0)),"")</f>
        <v/>
      </c>
    </row>
    <row r="9362">
      <c r="A9362">
        <f>IFERROR(INDEX('Email Cleaner'!$B$2:$B$10001,MATCH(9361,'Email Cleaner'!$K$2:$K$10001,0)),"")</f>
        <v/>
      </c>
    </row>
    <row r="9363">
      <c r="A9363">
        <f>IFERROR(INDEX('Email Cleaner'!$B$2:$B$10001,MATCH(9362,'Email Cleaner'!$K$2:$K$10001,0)),"")</f>
        <v/>
      </c>
    </row>
    <row r="9364">
      <c r="A9364">
        <f>IFERROR(INDEX('Email Cleaner'!$B$2:$B$10001,MATCH(9363,'Email Cleaner'!$K$2:$K$10001,0)),"")</f>
        <v/>
      </c>
    </row>
    <row r="9365">
      <c r="A9365">
        <f>IFERROR(INDEX('Email Cleaner'!$B$2:$B$10001,MATCH(9364,'Email Cleaner'!$K$2:$K$10001,0)),"")</f>
        <v/>
      </c>
    </row>
    <row r="9366">
      <c r="A9366">
        <f>IFERROR(INDEX('Email Cleaner'!$B$2:$B$10001,MATCH(9365,'Email Cleaner'!$K$2:$K$10001,0)),"")</f>
        <v/>
      </c>
    </row>
    <row r="9367">
      <c r="A9367">
        <f>IFERROR(INDEX('Email Cleaner'!$B$2:$B$10001,MATCH(9366,'Email Cleaner'!$K$2:$K$10001,0)),"")</f>
        <v/>
      </c>
    </row>
    <row r="9368">
      <c r="A9368">
        <f>IFERROR(INDEX('Email Cleaner'!$B$2:$B$10001,MATCH(9367,'Email Cleaner'!$K$2:$K$10001,0)),"")</f>
        <v/>
      </c>
    </row>
    <row r="9369">
      <c r="A9369">
        <f>IFERROR(INDEX('Email Cleaner'!$B$2:$B$10001,MATCH(9368,'Email Cleaner'!$K$2:$K$10001,0)),"")</f>
        <v/>
      </c>
    </row>
    <row r="9370">
      <c r="A9370">
        <f>IFERROR(INDEX('Email Cleaner'!$B$2:$B$10001,MATCH(9369,'Email Cleaner'!$K$2:$K$10001,0)),"")</f>
        <v/>
      </c>
    </row>
    <row r="9371">
      <c r="A9371">
        <f>IFERROR(INDEX('Email Cleaner'!$B$2:$B$10001,MATCH(9370,'Email Cleaner'!$K$2:$K$10001,0)),"")</f>
        <v/>
      </c>
    </row>
    <row r="9372">
      <c r="A9372">
        <f>IFERROR(INDEX('Email Cleaner'!$B$2:$B$10001,MATCH(9371,'Email Cleaner'!$K$2:$K$10001,0)),"")</f>
        <v/>
      </c>
    </row>
    <row r="9373">
      <c r="A9373">
        <f>IFERROR(INDEX('Email Cleaner'!$B$2:$B$10001,MATCH(9372,'Email Cleaner'!$K$2:$K$10001,0)),"")</f>
        <v/>
      </c>
    </row>
    <row r="9374">
      <c r="A9374">
        <f>IFERROR(INDEX('Email Cleaner'!$B$2:$B$10001,MATCH(9373,'Email Cleaner'!$K$2:$K$10001,0)),"")</f>
        <v/>
      </c>
    </row>
    <row r="9375">
      <c r="A9375">
        <f>IFERROR(INDEX('Email Cleaner'!$B$2:$B$10001,MATCH(9374,'Email Cleaner'!$K$2:$K$10001,0)),"")</f>
        <v/>
      </c>
    </row>
    <row r="9376">
      <c r="A9376">
        <f>IFERROR(INDEX('Email Cleaner'!$B$2:$B$10001,MATCH(9375,'Email Cleaner'!$K$2:$K$10001,0)),"")</f>
        <v/>
      </c>
    </row>
    <row r="9377">
      <c r="A9377">
        <f>IFERROR(INDEX('Email Cleaner'!$B$2:$B$10001,MATCH(9376,'Email Cleaner'!$K$2:$K$10001,0)),"")</f>
        <v/>
      </c>
    </row>
    <row r="9378">
      <c r="A9378">
        <f>IFERROR(INDEX('Email Cleaner'!$B$2:$B$10001,MATCH(9377,'Email Cleaner'!$K$2:$K$10001,0)),"")</f>
        <v/>
      </c>
    </row>
    <row r="9379">
      <c r="A9379">
        <f>IFERROR(INDEX('Email Cleaner'!$B$2:$B$10001,MATCH(9378,'Email Cleaner'!$K$2:$K$10001,0)),"")</f>
        <v/>
      </c>
    </row>
    <row r="9380">
      <c r="A9380">
        <f>IFERROR(INDEX('Email Cleaner'!$B$2:$B$10001,MATCH(9379,'Email Cleaner'!$K$2:$K$10001,0)),"")</f>
        <v/>
      </c>
    </row>
    <row r="9381">
      <c r="A9381">
        <f>IFERROR(INDEX('Email Cleaner'!$B$2:$B$10001,MATCH(9380,'Email Cleaner'!$K$2:$K$10001,0)),"")</f>
        <v/>
      </c>
    </row>
    <row r="9382">
      <c r="A9382">
        <f>IFERROR(INDEX('Email Cleaner'!$B$2:$B$10001,MATCH(9381,'Email Cleaner'!$K$2:$K$10001,0)),"")</f>
        <v/>
      </c>
    </row>
    <row r="9383">
      <c r="A9383">
        <f>IFERROR(INDEX('Email Cleaner'!$B$2:$B$10001,MATCH(9382,'Email Cleaner'!$K$2:$K$10001,0)),"")</f>
        <v/>
      </c>
    </row>
    <row r="9384">
      <c r="A9384">
        <f>IFERROR(INDEX('Email Cleaner'!$B$2:$B$10001,MATCH(9383,'Email Cleaner'!$K$2:$K$10001,0)),"")</f>
        <v/>
      </c>
    </row>
    <row r="9385">
      <c r="A9385">
        <f>IFERROR(INDEX('Email Cleaner'!$B$2:$B$10001,MATCH(9384,'Email Cleaner'!$K$2:$K$10001,0)),"")</f>
        <v/>
      </c>
    </row>
    <row r="9386">
      <c r="A9386">
        <f>IFERROR(INDEX('Email Cleaner'!$B$2:$B$10001,MATCH(9385,'Email Cleaner'!$K$2:$K$10001,0)),"")</f>
        <v/>
      </c>
    </row>
    <row r="9387">
      <c r="A9387">
        <f>IFERROR(INDEX('Email Cleaner'!$B$2:$B$10001,MATCH(9386,'Email Cleaner'!$K$2:$K$10001,0)),"")</f>
        <v/>
      </c>
    </row>
    <row r="9388">
      <c r="A9388">
        <f>IFERROR(INDEX('Email Cleaner'!$B$2:$B$10001,MATCH(9387,'Email Cleaner'!$K$2:$K$10001,0)),"")</f>
        <v/>
      </c>
    </row>
    <row r="9389">
      <c r="A9389">
        <f>IFERROR(INDEX('Email Cleaner'!$B$2:$B$10001,MATCH(9388,'Email Cleaner'!$K$2:$K$10001,0)),"")</f>
        <v/>
      </c>
    </row>
    <row r="9390">
      <c r="A9390">
        <f>IFERROR(INDEX('Email Cleaner'!$B$2:$B$10001,MATCH(9389,'Email Cleaner'!$K$2:$K$10001,0)),"")</f>
        <v/>
      </c>
    </row>
    <row r="9391">
      <c r="A9391">
        <f>IFERROR(INDEX('Email Cleaner'!$B$2:$B$10001,MATCH(9390,'Email Cleaner'!$K$2:$K$10001,0)),"")</f>
        <v/>
      </c>
    </row>
    <row r="9392">
      <c r="A9392">
        <f>IFERROR(INDEX('Email Cleaner'!$B$2:$B$10001,MATCH(9391,'Email Cleaner'!$K$2:$K$10001,0)),"")</f>
        <v/>
      </c>
    </row>
    <row r="9393">
      <c r="A9393">
        <f>IFERROR(INDEX('Email Cleaner'!$B$2:$B$10001,MATCH(9392,'Email Cleaner'!$K$2:$K$10001,0)),"")</f>
        <v/>
      </c>
    </row>
    <row r="9394">
      <c r="A9394">
        <f>IFERROR(INDEX('Email Cleaner'!$B$2:$B$10001,MATCH(9393,'Email Cleaner'!$K$2:$K$10001,0)),"")</f>
        <v/>
      </c>
    </row>
    <row r="9395">
      <c r="A9395">
        <f>IFERROR(INDEX('Email Cleaner'!$B$2:$B$10001,MATCH(9394,'Email Cleaner'!$K$2:$K$10001,0)),"")</f>
        <v/>
      </c>
    </row>
    <row r="9396">
      <c r="A9396">
        <f>IFERROR(INDEX('Email Cleaner'!$B$2:$B$10001,MATCH(9395,'Email Cleaner'!$K$2:$K$10001,0)),"")</f>
        <v/>
      </c>
    </row>
    <row r="9397">
      <c r="A9397">
        <f>IFERROR(INDEX('Email Cleaner'!$B$2:$B$10001,MATCH(9396,'Email Cleaner'!$K$2:$K$10001,0)),"")</f>
        <v/>
      </c>
    </row>
    <row r="9398">
      <c r="A9398">
        <f>IFERROR(INDEX('Email Cleaner'!$B$2:$B$10001,MATCH(9397,'Email Cleaner'!$K$2:$K$10001,0)),"")</f>
        <v/>
      </c>
    </row>
    <row r="9399">
      <c r="A9399">
        <f>IFERROR(INDEX('Email Cleaner'!$B$2:$B$10001,MATCH(9398,'Email Cleaner'!$K$2:$K$10001,0)),"")</f>
        <v/>
      </c>
    </row>
    <row r="9400">
      <c r="A9400">
        <f>IFERROR(INDEX('Email Cleaner'!$B$2:$B$10001,MATCH(9399,'Email Cleaner'!$K$2:$K$10001,0)),"")</f>
        <v/>
      </c>
    </row>
    <row r="9401">
      <c r="A9401">
        <f>IFERROR(INDEX('Email Cleaner'!$B$2:$B$10001,MATCH(9400,'Email Cleaner'!$K$2:$K$10001,0)),"")</f>
        <v/>
      </c>
    </row>
    <row r="9402">
      <c r="A9402">
        <f>IFERROR(INDEX('Email Cleaner'!$B$2:$B$10001,MATCH(9401,'Email Cleaner'!$K$2:$K$10001,0)),"")</f>
        <v/>
      </c>
    </row>
    <row r="9403">
      <c r="A9403">
        <f>IFERROR(INDEX('Email Cleaner'!$B$2:$B$10001,MATCH(9402,'Email Cleaner'!$K$2:$K$10001,0)),"")</f>
        <v/>
      </c>
    </row>
    <row r="9404">
      <c r="A9404">
        <f>IFERROR(INDEX('Email Cleaner'!$B$2:$B$10001,MATCH(9403,'Email Cleaner'!$K$2:$K$10001,0)),"")</f>
        <v/>
      </c>
    </row>
    <row r="9405">
      <c r="A9405">
        <f>IFERROR(INDEX('Email Cleaner'!$B$2:$B$10001,MATCH(9404,'Email Cleaner'!$K$2:$K$10001,0)),"")</f>
        <v/>
      </c>
    </row>
    <row r="9406">
      <c r="A9406">
        <f>IFERROR(INDEX('Email Cleaner'!$B$2:$B$10001,MATCH(9405,'Email Cleaner'!$K$2:$K$10001,0)),"")</f>
        <v/>
      </c>
    </row>
    <row r="9407">
      <c r="A9407">
        <f>IFERROR(INDEX('Email Cleaner'!$B$2:$B$10001,MATCH(9406,'Email Cleaner'!$K$2:$K$10001,0)),"")</f>
        <v/>
      </c>
    </row>
    <row r="9408">
      <c r="A9408">
        <f>IFERROR(INDEX('Email Cleaner'!$B$2:$B$10001,MATCH(9407,'Email Cleaner'!$K$2:$K$10001,0)),"")</f>
        <v/>
      </c>
    </row>
    <row r="9409">
      <c r="A9409">
        <f>IFERROR(INDEX('Email Cleaner'!$B$2:$B$10001,MATCH(9408,'Email Cleaner'!$K$2:$K$10001,0)),"")</f>
        <v/>
      </c>
    </row>
    <row r="9410">
      <c r="A9410">
        <f>IFERROR(INDEX('Email Cleaner'!$B$2:$B$10001,MATCH(9409,'Email Cleaner'!$K$2:$K$10001,0)),"")</f>
        <v/>
      </c>
    </row>
    <row r="9411">
      <c r="A9411">
        <f>IFERROR(INDEX('Email Cleaner'!$B$2:$B$10001,MATCH(9410,'Email Cleaner'!$K$2:$K$10001,0)),"")</f>
        <v/>
      </c>
    </row>
    <row r="9412">
      <c r="A9412">
        <f>IFERROR(INDEX('Email Cleaner'!$B$2:$B$10001,MATCH(9411,'Email Cleaner'!$K$2:$K$10001,0)),"")</f>
        <v/>
      </c>
    </row>
    <row r="9413">
      <c r="A9413">
        <f>IFERROR(INDEX('Email Cleaner'!$B$2:$B$10001,MATCH(9412,'Email Cleaner'!$K$2:$K$10001,0)),"")</f>
        <v/>
      </c>
    </row>
    <row r="9414">
      <c r="A9414">
        <f>IFERROR(INDEX('Email Cleaner'!$B$2:$B$10001,MATCH(9413,'Email Cleaner'!$K$2:$K$10001,0)),"")</f>
        <v/>
      </c>
    </row>
    <row r="9415">
      <c r="A9415">
        <f>IFERROR(INDEX('Email Cleaner'!$B$2:$B$10001,MATCH(9414,'Email Cleaner'!$K$2:$K$10001,0)),"")</f>
        <v/>
      </c>
    </row>
    <row r="9416">
      <c r="A9416">
        <f>IFERROR(INDEX('Email Cleaner'!$B$2:$B$10001,MATCH(9415,'Email Cleaner'!$K$2:$K$10001,0)),"")</f>
        <v/>
      </c>
    </row>
    <row r="9417">
      <c r="A9417">
        <f>IFERROR(INDEX('Email Cleaner'!$B$2:$B$10001,MATCH(9416,'Email Cleaner'!$K$2:$K$10001,0)),"")</f>
        <v/>
      </c>
    </row>
    <row r="9418">
      <c r="A9418">
        <f>IFERROR(INDEX('Email Cleaner'!$B$2:$B$10001,MATCH(9417,'Email Cleaner'!$K$2:$K$10001,0)),"")</f>
        <v/>
      </c>
    </row>
    <row r="9419">
      <c r="A9419">
        <f>IFERROR(INDEX('Email Cleaner'!$B$2:$B$10001,MATCH(9418,'Email Cleaner'!$K$2:$K$10001,0)),"")</f>
        <v/>
      </c>
    </row>
    <row r="9420">
      <c r="A9420">
        <f>IFERROR(INDEX('Email Cleaner'!$B$2:$B$10001,MATCH(9419,'Email Cleaner'!$K$2:$K$10001,0)),"")</f>
        <v/>
      </c>
    </row>
    <row r="9421">
      <c r="A9421">
        <f>IFERROR(INDEX('Email Cleaner'!$B$2:$B$10001,MATCH(9420,'Email Cleaner'!$K$2:$K$10001,0)),"")</f>
        <v/>
      </c>
    </row>
    <row r="9422">
      <c r="A9422">
        <f>IFERROR(INDEX('Email Cleaner'!$B$2:$B$10001,MATCH(9421,'Email Cleaner'!$K$2:$K$10001,0)),"")</f>
        <v/>
      </c>
    </row>
    <row r="9423">
      <c r="A9423">
        <f>IFERROR(INDEX('Email Cleaner'!$B$2:$B$10001,MATCH(9422,'Email Cleaner'!$K$2:$K$10001,0)),"")</f>
        <v/>
      </c>
    </row>
    <row r="9424">
      <c r="A9424">
        <f>IFERROR(INDEX('Email Cleaner'!$B$2:$B$10001,MATCH(9423,'Email Cleaner'!$K$2:$K$10001,0)),"")</f>
        <v/>
      </c>
    </row>
    <row r="9425">
      <c r="A9425">
        <f>IFERROR(INDEX('Email Cleaner'!$B$2:$B$10001,MATCH(9424,'Email Cleaner'!$K$2:$K$10001,0)),"")</f>
        <v/>
      </c>
    </row>
    <row r="9426">
      <c r="A9426">
        <f>IFERROR(INDEX('Email Cleaner'!$B$2:$B$10001,MATCH(9425,'Email Cleaner'!$K$2:$K$10001,0)),"")</f>
        <v/>
      </c>
    </row>
    <row r="9427">
      <c r="A9427">
        <f>IFERROR(INDEX('Email Cleaner'!$B$2:$B$10001,MATCH(9426,'Email Cleaner'!$K$2:$K$10001,0)),"")</f>
        <v/>
      </c>
    </row>
    <row r="9428">
      <c r="A9428">
        <f>IFERROR(INDEX('Email Cleaner'!$B$2:$B$10001,MATCH(9427,'Email Cleaner'!$K$2:$K$10001,0)),"")</f>
        <v/>
      </c>
    </row>
    <row r="9429">
      <c r="A9429">
        <f>IFERROR(INDEX('Email Cleaner'!$B$2:$B$10001,MATCH(9428,'Email Cleaner'!$K$2:$K$10001,0)),"")</f>
        <v/>
      </c>
    </row>
    <row r="9430">
      <c r="A9430">
        <f>IFERROR(INDEX('Email Cleaner'!$B$2:$B$10001,MATCH(9429,'Email Cleaner'!$K$2:$K$10001,0)),"")</f>
        <v/>
      </c>
    </row>
    <row r="9431">
      <c r="A9431">
        <f>IFERROR(INDEX('Email Cleaner'!$B$2:$B$10001,MATCH(9430,'Email Cleaner'!$K$2:$K$10001,0)),"")</f>
        <v/>
      </c>
    </row>
    <row r="9432">
      <c r="A9432">
        <f>IFERROR(INDEX('Email Cleaner'!$B$2:$B$10001,MATCH(9431,'Email Cleaner'!$K$2:$K$10001,0)),"")</f>
        <v/>
      </c>
    </row>
    <row r="9433">
      <c r="A9433">
        <f>IFERROR(INDEX('Email Cleaner'!$B$2:$B$10001,MATCH(9432,'Email Cleaner'!$K$2:$K$10001,0)),"")</f>
        <v/>
      </c>
    </row>
    <row r="9434">
      <c r="A9434">
        <f>IFERROR(INDEX('Email Cleaner'!$B$2:$B$10001,MATCH(9433,'Email Cleaner'!$K$2:$K$10001,0)),"")</f>
        <v/>
      </c>
    </row>
    <row r="9435">
      <c r="A9435">
        <f>IFERROR(INDEX('Email Cleaner'!$B$2:$B$10001,MATCH(9434,'Email Cleaner'!$K$2:$K$10001,0)),"")</f>
        <v/>
      </c>
    </row>
    <row r="9436">
      <c r="A9436">
        <f>IFERROR(INDEX('Email Cleaner'!$B$2:$B$10001,MATCH(9435,'Email Cleaner'!$K$2:$K$10001,0)),"")</f>
        <v/>
      </c>
    </row>
    <row r="9437">
      <c r="A9437">
        <f>IFERROR(INDEX('Email Cleaner'!$B$2:$B$10001,MATCH(9436,'Email Cleaner'!$K$2:$K$10001,0)),"")</f>
        <v/>
      </c>
    </row>
    <row r="9438">
      <c r="A9438">
        <f>IFERROR(INDEX('Email Cleaner'!$B$2:$B$10001,MATCH(9437,'Email Cleaner'!$K$2:$K$10001,0)),"")</f>
        <v/>
      </c>
    </row>
    <row r="9439">
      <c r="A9439">
        <f>IFERROR(INDEX('Email Cleaner'!$B$2:$B$10001,MATCH(9438,'Email Cleaner'!$K$2:$K$10001,0)),"")</f>
        <v/>
      </c>
    </row>
    <row r="9440">
      <c r="A9440">
        <f>IFERROR(INDEX('Email Cleaner'!$B$2:$B$10001,MATCH(9439,'Email Cleaner'!$K$2:$K$10001,0)),"")</f>
        <v/>
      </c>
    </row>
    <row r="9441">
      <c r="A9441">
        <f>IFERROR(INDEX('Email Cleaner'!$B$2:$B$10001,MATCH(9440,'Email Cleaner'!$K$2:$K$10001,0)),"")</f>
        <v/>
      </c>
    </row>
    <row r="9442">
      <c r="A9442">
        <f>IFERROR(INDEX('Email Cleaner'!$B$2:$B$10001,MATCH(9441,'Email Cleaner'!$K$2:$K$10001,0)),"")</f>
        <v/>
      </c>
    </row>
    <row r="9443">
      <c r="A9443">
        <f>IFERROR(INDEX('Email Cleaner'!$B$2:$B$10001,MATCH(9442,'Email Cleaner'!$K$2:$K$10001,0)),"")</f>
        <v/>
      </c>
    </row>
    <row r="9444">
      <c r="A9444">
        <f>IFERROR(INDEX('Email Cleaner'!$B$2:$B$10001,MATCH(9443,'Email Cleaner'!$K$2:$K$10001,0)),"")</f>
        <v/>
      </c>
    </row>
    <row r="9445">
      <c r="A9445">
        <f>IFERROR(INDEX('Email Cleaner'!$B$2:$B$10001,MATCH(9444,'Email Cleaner'!$K$2:$K$10001,0)),"")</f>
        <v/>
      </c>
    </row>
    <row r="9446">
      <c r="A9446">
        <f>IFERROR(INDEX('Email Cleaner'!$B$2:$B$10001,MATCH(9445,'Email Cleaner'!$K$2:$K$10001,0)),"")</f>
        <v/>
      </c>
    </row>
    <row r="9447">
      <c r="A9447">
        <f>IFERROR(INDEX('Email Cleaner'!$B$2:$B$10001,MATCH(9446,'Email Cleaner'!$K$2:$K$10001,0)),"")</f>
        <v/>
      </c>
    </row>
    <row r="9448">
      <c r="A9448">
        <f>IFERROR(INDEX('Email Cleaner'!$B$2:$B$10001,MATCH(9447,'Email Cleaner'!$K$2:$K$10001,0)),"")</f>
        <v/>
      </c>
    </row>
    <row r="9449">
      <c r="A9449">
        <f>IFERROR(INDEX('Email Cleaner'!$B$2:$B$10001,MATCH(9448,'Email Cleaner'!$K$2:$K$10001,0)),"")</f>
        <v/>
      </c>
    </row>
    <row r="9450">
      <c r="A9450">
        <f>IFERROR(INDEX('Email Cleaner'!$B$2:$B$10001,MATCH(9449,'Email Cleaner'!$K$2:$K$10001,0)),"")</f>
        <v/>
      </c>
    </row>
    <row r="9451">
      <c r="A9451">
        <f>IFERROR(INDEX('Email Cleaner'!$B$2:$B$10001,MATCH(9450,'Email Cleaner'!$K$2:$K$10001,0)),"")</f>
        <v/>
      </c>
    </row>
    <row r="9452">
      <c r="A9452">
        <f>IFERROR(INDEX('Email Cleaner'!$B$2:$B$10001,MATCH(9451,'Email Cleaner'!$K$2:$K$10001,0)),"")</f>
        <v/>
      </c>
    </row>
    <row r="9453">
      <c r="A9453">
        <f>IFERROR(INDEX('Email Cleaner'!$B$2:$B$10001,MATCH(9452,'Email Cleaner'!$K$2:$K$10001,0)),"")</f>
        <v/>
      </c>
    </row>
    <row r="9454">
      <c r="A9454">
        <f>IFERROR(INDEX('Email Cleaner'!$B$2:$B$10001,MATCH(9453,'Email Cleaner'!$K$2:$K$10001,0)),"")</f>
        <v/>
      </c>
    </row>
    <row r="9455">
      <c r="A9455">
        <f>IFERROR(INDEX('Email Cleaner'!$B$2:$B$10001,MATCH(9454,'Email Cleaner'!$K$2:$K$10001,0)),"")</f>
        <v/>
      </c>
    </row>
    <row r="9456">
      <c r="A9456">
        <f>IFERROR(INDEX('Email Cleaner'!$B$2:$B$10001,MATCH(9455,'Email Cleaner'!$K$2:$K$10001,0)),"")</f>
        <v/>
      </c>
    </row>
    <row r="9457">
      <c r="A9457">
        <f>IFERROR(INDEX('Email Cleaner'!$B$2:$B$10001,MATCH(9456,'Email Cleaner'!$K$2:$K$10001,0)),"")</f>
        <v/>
      </c>
    </row>
    <row r="9458">
      <c r="A9458">
        <f>IFERROR(INDEX('Email Cleaner'!$B$2:$B$10001,MATCH(9457,'Email Cleaner'!$K$2:$K$10001,0)),"")</f>
        <v/>
      </c>
    </row>
    <row r="9459">
      <c r="A9459">
        <f>IFERROR(INDEX('Email Cleaner'!$B$2:$B$10001,MATCH(9458,'Email Cleaner'!$K$2:$K$10001,0)),"")</f>
        <v/>
      </c>
    </row>
    <row r="9460">
      <c r="A9460">
        <f>IFERROR(INDEX('Email Cleaner'!$B$2:$B$10001,MATCH(9459,'Email Cleaner'!$K$2:$K$10001,0)),"")</f>
        <v/>
      </c>
    </row>
    <row r="9461">
      <c r="A9461">
        <f>IFERROR(INDEX('Email Cleaner'!$B$2:$B$10001,MATCH(9460,'Email Cleaner'!$K$2:$K$10001,0)),"")</f>
        <v/>
      </c>
    </row>
    <row r="9462">
      <c r="A9462">
        <f>IFERROR(INDEX('Email Cleaner'!$B$2:$B$10001,MATCH(9461,'Email Cleaner'!$K$2:$K$10001,0)),"")</f>
        <v/>
      </c>
    </row>
    <row r="9463">
      <c r="A9463">
        <f>IFERROR(INDEX('Email Cleaner'!$B$2:$B$10001,MATCH(9462,'Email Cleaner'!$K$2:$K$10001,0)),"")</f>
        <v/>
      </c>
    </row>
    <row r="9464">
      <c r="A9464">
        <f>IFERROR(INDEX('Email Cleaner'!$B$2:$B$10001,MATCH(9463,'Email Cleaner'!$K$2:$K$10001,0)),"")</f>
        <v/>
      </c>
    </row>
    <row r="9465">
      <c r="A9465">
        <f>IFERROR(INDEX('Email Cleaner'!$B$2:$B$10001,MATCH(9464,'Email Cleaner'!$K$2:$K$10001,0)),"")</f>
        <v/>
      </c>
    </row>
    <row r="9466">
      <c r="A9466">
        <f>IFERROR(INDEX('Email Cleaner'!$B$2:$B$10001,MATCH(9465,'Email Cleaner'!$K$2:$K$10001,0)),"")</f>
        <v/>
      </c>
    </row>
    <row r="9467">
      <c r="A9467">
        <f>IFERROR(INDEX('Email Cleaner'!$B$2:$B$10001,MATCH(9466,'Email Cleaner'!$K$2:$K$10001,0)),"")</f>
        <v/>
      </c>
    </row>
    <row r="9468">
      <c r="A9468">
        <f>IFERROR(INDEX('Email Cleaner'!$B$2:$B$10001,MATCH(9467,'Email Cleaner'!$K$2:$K$10001,0)),"")</f>
        <v/>
      </c>
    </row>
    <row r="9469">
      <c r="A9469">
        <f>IFERROR(INDEX('Email Cleaner'!$B$2:$B$10001,MATCH(9468,'Email Cleaner'!$K$2:$K$10001,0)),"")</f>
        <v/>
      </c>
    </row>
    <row r="9470">
      <c r="A9470">
        <f>IFERROR(INDEX('Email Cleaner'!$B$2:$B$10001,MATCH(9469,'Email Cleaner'!$K$2:$K$10001,0)),"")</f>
        <v/>
      </c>
    </row>
    <row r="9471">
      <c r="A9471">
        <f>IFERROR(INDEX('Email Cleaner'!$B$2:$B$10001,MATCH(9470,'Email Cleaner'!$K$2:$K$10001,0)),"")</f>
        <v/>
      </c>
    </row>
    <row r="9472">
      <c r="A9472">
        <f>IFERROR(INDEX('Email Cleaner'!$B$2:$B$10001,MATCH(9471,'Email Cleaner'!$K$2:$K$10001,0)),"")</f>
        <v/>
      </c>
    </row>
    <row r="9473">
      <c r="A9473">
        <f>IFERROR(INDEX('Email Cleaner'!$B$2:$B$10001,MATCH(9472,'Email Cleaner'!$K$2:$K$10001,0)),"")</f>
        <v/>
      </c>
    </row>
    <row r="9474">
      <c r="A9474">
        <f>IFERROR(INDEX('Email Cleaner'!$B$2:$B$10001,MATCH(9473,'Email Cleaner'!$K$2:$K$10001,0)),"")</f>
        <v/>
      </c>
    </row>
    <row r="9475">
      <c r="A9475">
        <f>IFERROR(INDEX('Email Cleaner'!$B$2:$B$10001,MATCH(9474,'Email Cleaner'!$K$2:$K$10001,0)),"")</f>
        <v/>
      </c>
    </row>
    <row r="9476">
      <c r="A9476">
        <f>IFERROR(INDEX('Email Cleaner'!$B$2:$B$10001,MATCH(9475,'Email Cleaner'!$K$2:$K$10001,0)),"")</f>
        <v/>
      </c>
    </row>
    <row r="9477">
      <c r="A9477">
        <f>IFERROR(INDEX('Email Cleaner'!$B$2:$B$10001,MATCH(9476,'Email Cleaner'!$K$2:$K$10001,0)),"")</f>
        <v/>
      </c>
    </row>
    <row r="9478">
      <c r="A9478">
        <f>IFERROR(INDEX('Email Cleaner'!$B$2:$B$10001,MATCH(9477,'Email Cleaner'!$K$2:$K$10001,0)),"")</f>
        <v/>
      </c>
    </row>
    <row r="9479">
      <c r="A9479">
        <f>IFERROR(INDEX('Email Cleaner'!$B$2:$B$10001,MATCH(9478,'Email Cleaner'!$K$2:$K$10001,0)),"")</f>
        <v/>
      </c>
    </row>
    <row r="9480">
      <c r="A9480">
        <f>IFERROR(INDEX('Email Cleaner'!$B$2:$B$10001,MATCH(9479,'Email Cleaner'!$K$2:$K$10001,0)),"")</f>
        <v/>
      </c>
    </row>
    <row r="9481">
      <c r="A9481">
        <f>IFERROR(INDEX('Email Cleaner'!$B$2:$B$10001,MATCH(9480,'Email Cleaner'!$K$2:$K$10001,0)),"")</f>
        <v/>
      </c>
    </row>
    <row r="9482">
      <c r="A9482">
        <f>IFERROR(INDEX('Email Cleaner'!$B$2:$B$10001,MATCH(9481,'Email Cleaner'!$K$2:$K$10001,0)),"")</f>
        <v/>
      </c>
    </row>
    <row r="9483">
      <c r="A9483">
        <f>IFERROR(INDEX('Email Cleaner'!$B$2:$B$10001,MATCH(9482,'Email Cleaner'!$K$2:$K$10001,0)),"")</f>
        <v/>
      </c>
    </row>
    <row r="9484">
      <c r="A9484">
        <f>IFERROR(INDEX('Email Cleaner'!$B$2:$B$10001,MATCH(9483,'Email Cleaner'!$K$2:$K$10001,0)),"")</f>
        <v/>
      </c>
    </row>
    <row r="9485">
      <c r="A9485">
        <f>IFERROR(INDEX('Email Cleaner'!$B$2:$B$10001,MATCH(9484,'Email Cleaner'!$K$2:$K$10001,0)),"")</f>
        <v/>
      </c>
    </row>
    <row r="9486">
      <c r="A9486">
        <f>IFERROR(INDEX('Email Cleaner'!$B$2:$B$10001,MATCH(9485,'Email Cleaner'!$K$2:$K$10001,0)),"")</f>
        <v/>
      </c>
    </row>
    <row r="9487">
      <c r="A9487">
        <f>IFERROR(INDEX('Email Cleaner'!$B$2:$B$10001,MATCH(9486,'Email Cleaner'!$K$2:$K$10001,0)),"")</f>
        <v/>
      </c>
    </row>
    <row r="9488">
      <c r="A9488">
        <f>IFERROR(INDEX('Email Cleaner'!$B$2:$B$10001,MATCH(9487,'Email Cleaner'!$K$2:$K$10001,0)),"")</f>
        <v/>
      </c>
    </row>
    <row r="9489">
      <c r="A9489">
        <f>IFERROR(INDEX('Email Cleaner'!$B$2:$B$10001,MATCH(9488,'Email Cleaner'!$K$2:$K$10001,0)),"")</f>
        <v/>
      </c>
    </row>
    <row r="9490">
      <c r="A9490">
        <f>IFERROR(INDEX('Email Cleaner'!$B$2:$B$10001,MATCH(9489,'Email Cleaner'!$K$2:$K$10001,0)),"")</f>
        <v/>
      </c>
    </row>
    <row r="9491">
      <c r="A9491">
        <f>IFERROR(INDEX('Email Cleaner'!$B$2:$B$10001,MATCH(9490,'Email Cleaner'!$K$2:$K$10001,0)),"")</f>
        <v/>
      </c>
    </row>
    <row r="9492">
      <c r="A9492">
        <f>IFERROR(INDEX('Email Cleaner'!$B$2:$B$10001,MATCH(9491,'Email Cleaner'!$K$2:$K$10001,0)),"")</f>
        <v/>
      </c>
    </row>
    <row r="9493">
      <c r="A9493">
        <f>IFERROR(INDEX('Email Cleaner'!$B$2:$B$10001,MATCH(9492,'Email Cleaner'!$K$2:$K$10001,0)),"")</f>
        <v/>
      </c>
    </row>
    <row r="9494">
      <c r="A9494">
        <f>IFERROR(INDEX('Email Cleaner'!$B$2:$B$10001,MATCH(9493,'Email Cleaner'!$K$2:$K$10001,0)),"")</f>
        <v/>
      </c>
    </row>
    <row r="9495">
      <c r="A9495">
        <f>IFERROR(INDEX('Email Cleaner'!$B$2:$B$10001,MATCH(9494,'Email Cleaner'!$K$2:$K$10001,0)),"")</f>
        <v/>
      </c>
    </row>
    <row r="9496">
      <c r="A9496">
        <f>IFERROR(INDEX('Email Cleaner'!$B$2:$B$10001,MATCH(9495,'Email Cleaner'!$K$2:$K$10001,0)),"")</f>
        <v/>
      </c>
    </row>
    <row r="9497">
      <c r="A9497">
        <f>IFERROR(INDEX('Email Cleaner'!$B$2:$B$10001,MATCH(9496,'Email Cleaner'!$K$2:$K$10001,0)),"")</f>
        <v/>
      </c>
    </row>
    <row r="9498">
      <c r="A9498">
        <f>IFERROR(INDEX('Email Cleaner'!$B$2:$B$10001,MATCH(9497,'Email Cleaner'!$K$2:$K$10001,0)),"")</f>
        <v/>
      </c>
    </row>
    <row r="9499">
      <c r="A9499">
        <f>IFERROR(INDEX('Email Cleaner'!$B$2:$B$10001,MATCH(9498,'Email Cleaner'!$K$2:$K$10001,0)),"")</f>
        <v/>
      </c>
    </row>
    <row r="9500">
      <c r="A9500">
        <f>IFERROR(INDEX('Email Cleaner'!$B$2:$B$10001,MATCH(9499,'Email Cleaner'!$K$2:$K$10001,0)),"")</f>
        <v/>
      </c>
    </row>
    <row r="9501">
      <c r="A9501">
        <f>IFERROR(INDEX('Email Cleaner'!$B$2:$B$10001,MATCH(9500,'Email Cleaner'!$K$2:$K$10001,0)),"")</f>
        <v/>
      </c>
    </row>
    <row r="9502">
      <c r="A9502">
        <f>IFERROR(INDEX('Email Cleaner'!$B$2:$B$10001,MATCH(9501,'Email Cleaner'!$K$2:$K$10001,0)),"")</f>
        <v/>
      </c>
    </row>
    <row r="9503">
      <c r="A9503">
        <f>IFERROR(INDEX('Email Cleaner'!$B$2:$B$10001,MATCH(9502,'Email Cleaner'!$K$2:$K$10001,0)),"")</f>
        <v/>
      </c>
    </row>
    <row r="9504">
      <c r="A9504">
        <f>IFERROR(INDEX('Email Cleaner'!$B$2:$B$10001,MATCH(9503,'Email Cleaner'!$K$2:$K$10001,0)),"")</f>
        <v/>
      </c>
    </row>
    <row r="9505">
      <c r="A9505">
        <f>IFERROR(INDEX('Email Cleaner'!$B$2:$B$10001,MATCH(9504,'Email Cleaner'!$K$2:$K$10001,0)),"")</f>
        <v/>
      </c>
    </row>
    <row r="9506">
      <c r="A9506">
        <f>IFERROR(INDEX('Email Cleaner'!$B$2:$B$10001,MATCH(9505,'Email Cleaner'!$K$2:$K$10001,0)),"")</f>
        <v/>
      </c>
    </row>
    <row r="9507">
      <c r="A9507">
        <f>IFERROR(INDEX('Email Cleaner'!$B$2:$B$10001,MATCH(9506,'Email Cleaner'!$K$2:$K$10001,0)),"")</f>
        <v/>
      </c>
    </row>
    <row r="9508">
      <c r="A9508">
        <f>IFERROR(INDEX('Email Cleaner'!$B$2:$B$10001,MATCH(9507,'Email Cleaner'!$K$2:$K$10001,0)),"")</f>
        <v/>
      </c>
    </row>
    <row r="9509">
      <c r="A9509">
        <f>IFERROR(INDEX('Email Cleaner'!$B$2:$B$10001,MATCH(9508,'Email Cleaner'!$K$2:$K$10001,0)),"")</f>
        <v/>
      </c>
    </row>
    <row r="9510">
      <c r="A9510">
        <f>IFERROR(INDEX('Email Cleaner'!$B$2:$B$10001,MATCH(9509,'Email Cleaner'!$K$2:$K$10001,0)),"")</f>
        <v/>
      </c>
    </row>
    <row r="9511">
      <c r="A9511">
        <f>IFERROR(INDEX('Email Cleaner'!$B$2:$B$10001,MATCH(9510,'Email Cleaner'!$K$2:$K$10001,0)),"")</f>
        <v/>
      </c>
    </row>
    <row r="9512">
      <c r="A9512">
        <f>IFERROR(INDEX('Email Cleaner'!$B$2:$B$10001,MATCH(9511,'Email Cleaner'!$K$2:$K$10001,0)),"")</f>
        <v/>
      </c>
    </row>
    <row r="9513">
      <c r="A9513">
        <f>IFERROR(INDEX('Email Cleaner'!$B$2:$B$10001,MATCH(9512,'Email Cleaner'!$K$2:$K$10001,0)),"")</f>
        <v/>
      </c>
    </row>
    <row r="9514">
      <c r="A9514">
        <f>IFERROR(INDEX('Email Cleaner'!$B$2:$B$10001,MATCH(9513,'Email Cleaner'!$K$2:$K$10001,0)),"")</f>
        <v/>
      </c>
    </row>
    <row r="9515">
      <c r="A9515">
        <f>IFERROR(INDEX('Email Cleaner'!$B$2:$B$10001,MATCH(9514,'Email Cleaner'!$K$2:$K$10001,0)),"")</f>
        <v/>
      </c>
    </row>
    <row r="9516">
      <c r="A9516">
        <f>IFERROR(INDEX('Email Cleaner'!$B$2:$B$10001,MATCH(9515,'Email Cleaner'!$K$2:$K$10001,0)),"")</f>
        <v/>
      </c>
    </row>
    <row r="9517">
      <c r="A9517">
        <f>IFERROR(INDEX('Email Cleaner'!$B$2:$B$10001,MATCH(9516,'Email Cleaner'!$K$2:$K$10001,0)),"")</f>
        <v/>
      </c>
    </row>
    <row r="9518">
      <c r="A9518">
        <f>IFERROR(INDEX('Email Cleaner'!$B$2:$B$10001,MATCH(9517,'Email Cleaner'!$K$2:$K$10001,0)),"")</f>
        <v/>
      </c>
    </row>
    <row r="9519">
      <c r="A9519">
        <f>IFERROR(INDEX('Email Cleaner'!$B$2:$B$10001,MATCH(9518,'Email Cleaner'!$K$2:$K$10001,0)),"")</f>
        <v/>
      </c>
    </row>
    <row r="9520">
      <c r="A9520">
        <f>IFERROR(INDEX('Email Cleaner'!$B$2:$B$10001,MATCH(9519,'Email Cleaner'!$K$2:$K$10001,0)),"")</f>
        <v/>
      </c>
    </row>
    <row r="9521">
      <c r="A9521">
        <f>IFERROR(INDEX('Email Cleaner'!$B$2:$B$10001,MATCH(9520,'Email Cleaner'!$K$2:$K$10001,0)),"")</f>
        <v/>
      </c>
    </row>
    <row r="9522">
      <c r="A9522">
        <f>IFERROR(INDEX('Email Cleaner'!$B$2:$B$10001,MATCH(9521,'Email Cleaner'!$K$2:$K$10001,0)),"")</f>
        <v/>
      </c>
    </row>
    <row r="9523">
      <c r="A9523">
        <f>IFERROR(INDEX('Email Cleaner'!$B$2:$B$10001,MATCH(9522,'Email Cleaner'!$K$2:$K$10001,0)),"")</f>
        <v/>
      </c>
    </row>
    <row r="9524">
      <c r="A9524">
        <f>IFERROR(INDEX('Email Cleaner'!$B$2:$B$10001,MATCH(9523,'Email Cleaner'!$K$2:$K$10001,0)),"")</f>
        <v/>
      </c>
    </row>
    <row r="9525">
      <c r="A9525">
        <f>IFERROR(INDEX('Email Cleaner'!$B$2:$B$10001,MATCH(9524,'Email Cleaner'!$K$2:$K$10001,0)),"")</f>
        <v/>
      </c>
    </row>
    <row r="9526">
      <c r="A9526">
        <f>IFERROR(INDEX('Email Cleaner'!$B$2:$B$10001,MATCH(9525,'Email Cleaner'!$K$2:$K$10001,0)),"")</f>
        <v/>
      </c>
    </row>
    <row r="9527">
      <c r="A9527">
        <f>IFERROR(INDEX('Email Cleaner'!$B$2:$B$10001,MATCH(9526,'Email Cleaner'!$K$2:$K$10001,0)),"")</f>
        <v/>
      </c>
    </row>
    <row r="9528">
      <c r="A9528">
        <f>IFERROR(INDEX('Email Cleaner'!$B$2:$B$10001,MATCH(9527,'Email Cleaner'!$K$2:$K$10001,0)),"")</f>
        <v/>
      </c>
    </row>
    <row r="9529">
      <c r="A9529">
        <f>IFERROR(INDEX('Email Cleaner'!$B$2:$B$10001,MATCH(9528,'Email Cleaner'!$K$2:$K$10001,0)),"")</f>
        <v/>
      </c>
    </row>
    <row r="9530">
      <c r="A9530">
        <f>IFERROR(INDEX('Email Cleaner'!$B$2:$B$10001,MATCH(9529,'Email Cleaner'!$K$2:$K$10001,0)),"")</f>
        <v/>
      </c>
    </row>
    <row r="9531">
      <c r="A9531">
        <f>IFERROR(INDEX('Email Cleaner'!$B$2:$B$10001,MATCH(9530,'Email Cleaner'!$K$2:$K$10001,0)),"")</f>
        <v/>
      </c>
    </row>
    <row r="9532">
      <c r="A9532">
        <f>IFERROR(INDEX('Email Cleaner'!$B$2:$B$10001,MATCH(9531,'Email Cleaner'!$K$2:$K$10001,0)),"")</f>
        <v/>
      </c>
    </row>
    <row r="9533">
      <c r="A9533">
        <f>IFERROR(INDEX('Email Cleaner'!$B$2:$B$10001,MATCH(9532,'Email Cleaner'!$K$2:$K$10001,0)),"")</f>
        <v/>
      </c>
    </row>
    <row r="9534">
      <c r="A9534">
        <f>IFERROR(INDEX('Email Cleaner'!$B$2:$B$10001,MATCH(9533,'Email Cleaner'!$K$2:$K$10001,0)),"")</f>
        <v/>
      </c>
    </row>
    <row r="9535">
      <c r="A9535">
        <f>IFERROR(INDEX('Email Cleaner'!$B$2:$B$10001,MATCH(9534,'Email Cleaner'!$K$2:$K$10001,0)),"")</f>
        <v/>
      </c>
    </row>
    <row r="9536">
      <c r="A9536">
        <f>IFERROR(INDEX('Email Cleaner'!$B$2:$B$10001,MATCH(9535,'Email Cleaner'!$K$2:$K$10001,0)),"")</f>
        <v/>
      </c>
    </row>
    <row r="9537">
      <c r="A9537">
        <f>IFERROR(INDEX('Email Cleaner'!$B$2:$B$10001,MATCH(9536,'Email Cleaner'!$K$2:$K$10001,0)),"")</f>
        <v/>
      </c>
    </row>
    <row r="9538">
      <c r="A9538">
        <f>IFERROR(INDEX('Email Cleaner'!$B$2:$B$10001,MATCH(9537,'Email Cleaner'!$K$2:$K$10001,0)),"")</f>
        <v/>
      </c>
    </row>
    <row r="9539">
      <c r="A9539">
        <f>IFERROR(INDEX('Email Cleaner'!$B$2:$B$10001,MATCH(9538,'Email Cleaner'!$K$2:$K$10001,0)),"")</f>
        <v/>
      </c>
    </row>
    <row r="9540">
      <c r="A9540">
        <f>IFERROR(INDEX('Email Cleaner'!$B$2:$B$10001,MATCH(9539,'Email Cleaner'!$K$2:$K$10001,0)),"")</f>
        <v/>
      </c>
    </row>
    <row r="9541">
      <c r="A9541">
        <f>IFERROR(INDEX('Email Cleaner'!$B$2:$B$10001,MATCH(9540,'Email Cleaner'!$K$2:$K$10001,0)),"")</f>
        <v/>
      </c>
    </row>
    <row r="9542">
      <c r="A9542">
        <f>IFERROR(INDEX('Email Cleaner'!$B$2:$B$10001,MATCH(9541,'Email Cleaner'!$K$2:$K$10001,0)),"")</f>
        <v/>
      </c>
    </row>
    <row r="9543">
      <c r="A9543">
        <f>IFERROR(INDEX('Email Cleaner'!$B$2:$B$10001,MATCH(9542,'Email Cleaner'!$K$2:$K$10001,0)),"")</f>
        <v/>
      </c>
    </row>
    <row r="9544">
      <c r="A9544">
        <f>IFERROR(INDEX('Email Cleaner'!$B$2:$B$10001,MATCH(9543,'Email Cleaner'!$K$2:$K$10001,0)),"")</f>
        <v/>
      </c>
    </row>
    <row r="9545">
      <c r="A9545">
        <f>IFERROR(INDEX('Email Cleaner'!$B$2:$B$10001,MATCH(9544,'Email Cleaner'!$K$2:$K$10001,0)),"")</f>
        <v/>
      </c>
    </row>
    <row r="9546">
      <c r="A9546">
        <f>IFERROR(INDEX('Email Cleaner'!$B$2:$B$10001,MATCH(9545,'Email Cleaner'!$K$2:$K$10001,0)),"")</f>
        <v/>
      </c>
    </row>
    <row r="9547">
      <c r="A9547">
        <f>IFERROR(INDEX('Email Cleaner'!$B$2:$B$10001,MATCH(9546,'Email Cleaner'!$K$2:$K$10001,0)),"")</f>
        <v/>
      </c>
    </row>
    <row r="9548">
      <c r="A9548">
        <f>IFERROR(INDEX('Email Cleaner'!$B$2:$B$10001,MATCH(9547,'Email Cleaner'!$K$2:$K$10001,0)),"")</f>
        <v/>
      </c>
    </row>
    <row r="9549">
      <c r="A9549">
        <f>IFERROR(INDEX('Email Cleaner'!$B$2:$B$10001,MATCH(9548,'Email Cleaner'!$K$2:$K$10001,0)),"")</f>
        <v/>
      </c>
    </row>
    <row r="9550">
      <c r="A9550">
        <f>IFERROR(INDEX('Email Cleaner'!$B$2:$B$10001,MATCH(9549,'Email Cleaner'!$K$2:$K$10001,0)),"")</f>
        <v/>
      </c>
    </row>
    <row r="9551">
      <c r="A9551">
        <f>IFERROR(INDEX('Email Cleaner'!$B$2:$B$10001,MATCH(9550,'Email Cleaner'!$K$2:$K$10001,0)),"")</f>
        <v/>
      </c>
    </row>
    <row r="9552">
      <c r="A9552">
        <f>IFERROR(INDEX('Email Cleaner'!$B$2:$B$10001,MATCH(9551,'Email Cleaner'!$K$2:$K$10001,0)),"")</f>
        <v/>
      </c>
    </row>
    <row r="9553">
      <c r="A9553">
        <f>IFERROR(INDEX('Email Cleaner'!$B$2:$B$10001,MATCH(9552,'Email Cleaner'!$K$2:$K$10001,0)),"")</f>
        <v/>
      </c>
    </row>
    <row r="9554">
      <c r="A9554">
        <f>IFERROR(INDEX('Email Cleaner'!$B$2:$B$10001,MATCH(9553,'Email Cleaner'!$K$2:$K$10001,0)),"")</f>
        <v/>
      </c>
    </row>
    <row r="9555">
      <c r="A9555">
        <f>IFERROR(INDEX('Email Cleaner'!$B$2:$B$10001,MATCH(9554,'Email Cleaner'!$K$2:$K$10001,0)),"")</f>
        <v/>
      </c>
    </row>
    <row r="9556">
      <c r="A9556">
        <f>IFERROR(INDEX('Email Cleaner'!$B$2:$B$10001,MATCH(9555,'Email Cleaner'!$K$2:$K$10001,0)),"")</f>
        <v/>
      </c>
    </row>
    <row r="9557">
      <c r="A9557">
        <f>IFERROR(INDEX('Email Cleaner'!$B$2:$B$10001,MATCH(9556,'Email Cleaner'!$K$2:$K$10001,0)),"")</f>
        <v/>
      </c>
    </row>
    <row r="9558">
      <c r="A9558">
        <f>IFERROR(INDEX('Email Cleaner'!$B$2:$B$10001,MATCH(9557,'Email Cleaner'!$K$2:$K$10001,0)),"")</f>
        <v/>
      </c>
    </row>
    <row r="9559">
      <c r="A9559">
        <f>IFERROR(INDEX('Email Cleaner'!$B$2:$B$10001,MATCH(9558,'Email Cleaner'!$K$2:$K$10001,0)),"")</f>
        <v/>
      </c>
    </row>
    <row r="9560">
      <c r="A9560">
        <f>IFERROR(INDEX('Email Cleaner'!$B$2:$B$10001,MATCH(9559,'Email Cleaner'!$K$2:$K$10001,0)),"")</f>
        <v/>
      </c>
    </row>
    <row r="9561">
      <c r="A9561">
        <f>IFERROR(INDEX('Email Cleaner'!$B$2:$B$10001,MATCH(9560,'Email Cleaner'!$K$2:$K$10001,0)),"")</f>
        <v/>
      </c>
    </row>
    <row r="9562">
      <c r="A9562">
        <f>IFERROR(INDEX('Email Cleaner'!$B$2:$B$10001,MATCH(9561,'Email Cleaner'!$K$2:$K$10001,0)),"")</f>
        <v/>
      </c>
    </row>
    <row r="9563">
      <c r="A9563">
        <f>IFERROR(INDEX('Email Cleaner'!$B$2:$B$10001,MATCH(9562,'Email Cleaner'!$K$2:$K$10001,0)),"")</f>
        <v/>
      </c>
    </row>
    <row r="9564">
      <c r="A9564">
        <f>IFERROR(INDEX('Email Cleaner'!$B$2:$B$10001,MATCH(9563,'Email Cleaner'!$K$2:$K$10001,0)),"")</f>
        <v/>
      </c>
    </row>
    <row r="9565">
      <c r="A9565">
        <f>IFERROR(INDEX('Email Cleaner'!$B$2:$B$10001,MATCH(9564,'Email Cleaner'!$K$2:$K$10001,0)),"")</f>
        <v/>
      </c>
    </row>
    <row r="9566">
      <c r="A9566">
        <f>IFERROR(INDEX('Email Cleaner'!$B$2:$B$10001,MATCH(9565,'Email Cleaner'!$K$2:$K$10001,0)),"")</f>
        <v/>
      </c>
    </row>
    <row r="9567">
      <c r="A9567">
        <f>IFERROR(INDEX('Email Cleaner'!$B$2:$B$10001,MATCH(9566,'Email Cleaner'!$K$2:$K$10001,0)),"")</f>
        <v/>
      </c>
    </row>
    <row r="9568">
      <c r="A9568">
        <f>IFERROR(INDEX('Email Cleaner'!$B$2:$B$10001,MATCH(9567,'Email Cleaner'!$K$2:$K$10001,0)),"")</f>
        <v/>
      </c>
    </row>
    <row r="9569">
      <c r="A9569">
        <f>IFERROR(INDEX('Email Cleaner'!$B$2:$B$10001,MATCH(9568,'Email Cleaner'!$K$2:$K$10001,0)),"")</f>
        <v/>
      </c>
    </row>
    <row r="9570">
      <c r="A9570">
        <f>IFERROR(INDEX('Email Cleaner'!$B$2:$B$10001,MATCH(9569,'Email Cleaner'!$K$2:$K$10001,0)),"")</f>
        <v/>
      </c>
    </row>
    <row r="9571">
      <c r="A9571">
        <f>IFERROR(INDEX('Email Cleaner'!$B$2:$B$10001,MATCH(9570,'Email Cleaner'!$K$2:$K$10001,0)),"")</f>
        <v/>
      </c>
    </row>
    <row r="9572">
      <c r="A9572">
        <f>IFERROR(INDEX('Email Cleaner'!$B$2:$B$10001,MATCH(9571,'Email Cleaner'!$K$2:$K$10001,0)),"")</f>
        <v/>
      </c>
    </row>
    <row r="9573">
      <c r="A9573">
        <f>IFERROR(INDEX('Email Cleaner'!$B$2:$B$10001,MATCH(9572,'Email Cleaner'!$K$2:$K$10001,0)),"")</f>
        <v/>
      </c>
    </row>
    <row r="9574">
      <c r="A9574">
        <f>IFERROR(INDEX('Email Cleaner'!$B$2:$B$10001,MATCH(9573,'Email Cleaner'!$K$2:$K$10001,0)),"")</f>
        <v/>
      </c>
    </row>
    <row r="9575">
      <c r="A9575">
        <f>IFERROR(INDEX('Email Cleaner'!$B$2:$B$10001,MATCH(9574,'Email Cleaner'!$K$2:$K$10001,0)),"")</f>
        <v/>
      </c>
    </row>
    <row r="9576">
      <c r="A9576">
        <f>IFERROR(INDEX('Email Cleaner'!$B$2:$B$10001,MATCH(9575,'Email Cleaner'!$K$2:$K$10001,0)),"")</f>
        <v/>
      </c>
    </row>
    <row r="9577">
      <c r="A9577">
        <f>IFERROR(INDEX('Email Cleaner'!$B$2:$B$10001,MATCH(9576,'Email Cleaner'!$K$2:$K$10001,0)),"")</f>
        <v/>
      </c>
    </row>
    <row r="9578">
      <c r="A9578">
        <f>IFERROR(INDEX('Email Cleaner'!$B$2:$B$10001,MATCH(9577,'Email Cleaner'!$K$2:$K$10001,0)),"")</f>
        <v/>
      </c>
    </row>
    <row r="9579">
      <c r="A9579">
        <f>IFERROR(INDEX('Email Cleaner'!$B$2:$B$10001,MATCH(9578,'Email Cleaner'!$K$2:$K$10001,0)),"")</f>
        <v/>
      </c>
    </row>
    <row r="9580">
      <c r="A9580">
        <f>IFERROR(INDEX('Email Cleaner'!$B$2:$B$10001,MATCH(9579,'Email Cleaner'!$K$2:$K$10001,0)),"")</f>
        <v/>
      </c>
    </row>
    <row r="9581">
      <c r="A9581">
        <f>IFERROR(INDEX('Email Cleaner'!$B$2:$B$10001,MATCH(9580,'Email Cleaner'!$K$2:$K$10001,0)),"")</f>
        <v/>
      </c>
    </row>
    <row r="9582">
      <c r="A9582">
        <f>IFERROR(INDEX('Email Cleaner'!$B$2:$B$10001,MATCH(9581,'Email Cleaner'!$K$2:$K$10001,0)),"")</f>
        <v/>
      </c>
    </row>
    <row r="9583">
      <c r="A9583">
        <f>IFERROR(INDEX('Email Cleaner'!$B$2:$B$10001,MATCH(9582,'Email Cleaner'!$K$2:$K$10001,0)),"")</f>
        <v/>
      </c>
    </row>
    <row r="9584">
      <c r="A9584">
        <f>IFERROR(INDEX('Email Cleaner'!$B$2:$B$10001,MATCH(9583,'Email Cleaner'!$K$2:$K$10001,0)),"")</f>
        <v/>
      </c>
    </row>
    <row r="9585">
      <c r="A9585">
        <f>IFERROR(INDEX('Email Cleaner'!$B$2:$B$10001,MATCH(9584,'Email Cleaner'!$K$2:$K$10001,0)),"")</f>
        <v/>
      </c>
    </row>
    <row r="9586">
      <c r="A9586">
        <f>IFERROR(INDEX('Email Cleaner'!$B$2:$B$10001,MATCH(9585,'Email Cleaner'!$K$2:$K$10001,0)),"")</f>
        <v/>
      </c>
    </row>
    <row r="9587">
      <c r="A9587">
        <f>IFERROR(INDEX('Email Cleaner'!$B$2:$B$10001,MATCH(9586,'Email Cleaner'!$K$2:$K$10001,0)),"")</f>
        <v/>
      </c>
    </row>
    <row r="9588">
      <c r="A9588">
        <f>IFERROR(INDEX('Email Cleaner'!$B$2:$B$10001,MATCH(9587,'Email Cleaner'!$K$2:$K$10001,0)),"")</f>
        <v/>
      </c>
    </row>
    <row r="9589">
      <c r="A9589">
        <f>IFERROR(INDEX('Email Cleaner'!$B$2:$B$10001,MATCH(9588,'Email Cleaner'!$K$2:$K$10001,0)),"")</f>
        <v/>
      </c>
    </row>
    <row r="9590">
      <c r="A9590">
        <f>IFERROR(INDEX('Email Cleaner'!$B$2:$B$10001,MATCH(9589,'Email Cleaner'!$K$2:$K$10001,0)),"")</f>
        <v/>
      </c>
    </row>
    <row r="9591">
      <c r="A9591">
        <f>IFERROR(INDEX('Email Cleaner'!$B$2:$B$10001,MATCH(9590,'Email Cleaner'!$K$2:$K$10001,0)),"")</f>
        <v/>
      </c>
    </row>
    <row r="9592">
      <c r="A9592">
        <f>IFERROR(INDEX('Email Cleaner'!$B$2:$B$10001,MATCH(9591,'Email Cleaner'!$K$2:$K$10001,0)),"")</f>
        <v/>
      </c>
    </row>
    <row r="9593">
      <c r="A9593">
        <f>IFERROR(INDEX('Email Cleaner'!$B$2:$B$10001,MATCH(9592,'Email Cleaner'!$K$2:$K$10001,0)),"")</f>
        <v/>
      </c>
    </row>
    <row r="9594">
      <c r="A9594">
        <f>IFERROR(INDEX('Email Cleaner'!$B$2:$B$10001,MATCH(9593,'Email Cleaner'!$K$2:$K$10001,0)),"")</f>
        <v/>
      </c>
    </row>
    <row r="9595">
      <c r="A9595">
        <f>IFERROR(INDEX('Email Cleaner'!$B$2:$B$10001,MATCH(9594,'Email Cleaner'!$K$2:$K$10001,0)),"")</f>
        <v/>
      </c>
    </row>
    <row r="9596">
      <c r="A9596">
        <f>IFERROR(INDEX('Email Cleaner'!$B$2:$B$10001,MATCH(9595,'Email Cleaner'!$K$2:$K$10001,0)),"")</f>
        <v/>
      </c>
    </row>
    <row r="9597">
      <c r="A9597">
        <f>IFERROR(INDEX('Email Cleaner'!$B$2:$B$10001,MATCH(9596,'Email Cleaner'!$K$2:$K$10001,0)),"")</f>
        <v/>
      </c>
    </row>
    <row r="9598">
      <c r="A9598">
        <f>IFERROR(INDEX('Email Cleaner'!$B$2:$B$10001,MATCH(9597,'Email Cleaner'!$K$2:$K$10001,0)),"")</f>
        <v/>
      </c>
    </row>
    <row r="9599">
      <c r="A9599">
        <f>IFERROR(INDEX('Email Cleaner'!$B$2:$B$10001,MATCH(9598,'Email Cleaner'!$K$2:$K$10001,0)),"")</f>
        <v/>
      </c>
    </row>
    <row r="9600">
      <c r="A9600">
        <f>IFERROR(INDEX('Email Cleaner'!$B$2:$B$10001,MATCH(9599,'Email Cleaner'!$K$2:$K$10001,0)),"")</f>
        <v/>
      </c>
    </row>
    <row r="9601">
      <c r="A9601">
        <f>IFERROR(INDEX('Email Cleaner'!$B$2:$B$10001,MATCH(9600,'Email Cleaner'!$K$2:$K$10001,0)),"")</f>
        <v/>
      </c>
    </row>
    <row r="9602">
      <c r="A9602">
        <f>IFERROR(INDEX('Email Cleaner'!$B$2:$B$10001,MATCH(9601,'Email Cleaner'!$K$2:$K$10001,0)),"")</f>
        <v/>
      </c>
    </row>
    <row r="9603">
      <c r="A9603">
        <f>IFERROR(INDEX('Email Cleaner'!$B$2:$B$10001,MATCH(9602,'Email Cleaner'!$K$2:$K$10001,0)),"")</f>
        <v/>
      </c>
    </row>
    <row r="9604">
      <c r="A9604">
        <f>IFERROR(INDEX('Email Cleaner'!$B$2:$B$10001,MATCH(9603,'Email Cleaner'!$K$2:$K$10001,0)),"")</f>
        <v/>
      </c>
    </row>
    <row r="9605">
      <c r="A9605">
        <f>IFERROR(INDEX('Email Cleaner'!$B$2:$B$10001,MATCH(9604,'Email Cleaner'!$K$2:$K$10001,0)),"")</f>
        <v/>
      </c>
    </row>
    <row r="9606">
      <c r="A9606">
        <f>IFERROR(INDEX('Email Cleaner'!$B$2:$B$10001,MATCH(9605,'Email Cleaner'!$K$2:$K$10001,0)),"")</f>
        <v/>
      </c>
    </row>
    <row r="9607">
      <c r="A9607">
        <f>IFERROR(INDEX('Email Cleaner'!$B$2:$B$10001,MATCH(9606,'Email Cleaner'!$K$2:$K$10001,0)),"")</f>
        <v/>
      </c>
    </row>
    <row r="9608">
      <c r="A9608">
        <f>IFERROR(INDEX('Email Cleaner'!$B$2:$B$10001,MATCH(9607,'Email Cleaner'!$K$2:$K$10001,0)),"")</f>
        <v/>
      </c>
    </row>
    <row r="9609">
      <c r="A9609">
        <f>IFERROR(INDEX('Email Cleaner'!$B$2:$B$10001,MATCH(9608,'Email Cleaner'!$K$2:$K$10001,0)),"")</f>
        <v/>
      </c>
    </row>
    <row r="9610">
      <c r="A9610">
        <f>IFERROR(INDEX('Email Cleaner'!$B$2:$B$10001,MATCH(9609,'Email Cleaner'!$K$2:$K$10001,0)),"")</f>
        <v/>
      </c>
    </row>
    <row r="9611">
      <c r="A9611">
        <f>IFERROR(INDEX('Email Cleaner'!$B$2:$B$10001,MATCH(9610,'Email Cleaner'!$K$2:$K$10001,0)),"")</f>
        <v/>
      </c>
    </row>
    <row r="9612">
      <c r="A9612">
        <f>IFERROR(INDEX('Email Cleaner'!$B$2:$B$10001,MATCH(9611,'Email Cleaner'!$K$2:$K$10001,0)),"")</f>
        <v/>
      </c>
    </row>
    <row r="9613">
      <c r="A9613">
        <f>IFERROR(INDEX('Email Cleaner'!$B$2:$B$10001,MATCH(9612,'Email Cleaner'!$K$2:$K$10001,0)),"")</f>
        <v/>
      </c>
    </row>
    <row r="9614">
      <c r="A9614">
        <f>IFERROR(INDEX('Email Cleaner'!$B$2:$B$10001,MATCH(9613,'Email Cleaner'!$K$2:$K$10001,0)),"")</f>
        <v/>
      </c>
    </row>
    <row r="9615">
      <c r="A9615">
        <f>IFERROR(INDEX('Email Cleaner'!$B$2:$B$10001,MATCH(9614,'Email Cleaner'!$K$2:$K$10001,0)),"")</f>
        <v/>
      </c>
    </row>
    <row r="9616">
      <c r="A9616">
        <f>IFERROR(INDEX('Email Cleaner'!$B$2:$B$10001,MATCH(9615,'Email Cleaner'!$K$2:$K$10001,0)),"")</f>
        <v/>
      </c>
    </row>
    <row r="9617">
      <c r="A9617">
        <f>IFERROR(INDEX('Email Cleaner'!$B$2:$B$10001,MATCH(9616,'Email Cleaner'!$K$2:$K$10001,0)),"")</f>
        <v/>
      </c>
    </row>
    <row r="9618">
      <c r="A9618">
        <f>IFERROR(INDEX('Email Cleaner'!$B$2:$B$10001,MATCH(9617,'Email Cleaner'!$K$2:$K$10001,0)),"")</f>
        <v/>
      </c>
    </row>
    <row r="9619">
      <c r="A9619">
        <f>IFERROR(INDEX('Email Cleaner'!$B$2:$B$10001,MATCH(9618,'Email Cleaner'!$K$2:$K$10001,0)),"")</f>
        <v/>
      </c>
    </row>
    <row r="9620">
      <c r="A9620">
        <f>IFERROR(INDEX('Email Cleaner'!$B$2:$B$10001,MATCH(9619,'Email Cleaner'!$K$2:$K$10001,0)),"")</f>
        <v/>
      </c>
    </row>
    <row r="9621">
      <c r="A9621">
        <f>IFERROR(INDEX('Email Cleaner'!$B$2:$B$10001,MATCH(9620,'Email Cleaner'!$K$2:$K$10001,0)),"")</f>
        <v/>
      </c>
    </row>
    <row r="9622">
      <c r="A9622">
        <f>IFERROR(INDEX('Email Cleaner'!$B$2:$B$10001,MATCH(9621,'Email Cleaner'!$K$2:$K$10001,0)),"")</f>
        <v/>
      </c>
    </row>
    <row r="9623">
      <c r="A9623">
        <f>IFERROR(INDEX('Email Cleaner'!$B$2:$B$10001,MATCH(9622,'Email Cleaner'!$K$2:$K$10001,0)),"")</f>
        <v/>
      </c>
    </row>
    <row r="9624">
      <c r="A9624">
        <f>IFERROR(INDEX('Email Cleaner'!$B$2:$B$10001,MATCH(9623,'Email Cleaner'!$K$2:$K$10001,0)),"")</f>
        <v/>
      </c>
    </row>
    <row r="9625">
      <c r="A9625">
        <f>IFERROR(INDEX('Email Cleaner'!$B$2:$B$10001,MATCH(9624,'Email Cleaner'!$K$2:$K$10001,0)),"")</f>
        <v/>
      </c>
    </row>
    <row r="9626">
      <c r="A9626">
        <f>IFERROR(INDEX('Email Cleaner'!$B$2:$B$10001,MATCH(9625,'Email Cleaner'!$K$2:$K$10001,0)),"")</f>
        <v/>
      </c>
    </row>
    <row r="9627">
      <c r="A9627">
        <f>IFERROR(INDEX('Email Cleaner'!$B$2:$B$10001,MATCH(9626,'Email Cleaner'!$K$2:$K$10001,0)),"")</f>
        <v/>
      </c>
    </row>
    <row r="9628">
      <c r="A9628">
        <f>IFERROR(INDEX('Email Cleaner'!$B$2:$B$10001,MATCH(9627,'Email Cleaner'!$K$2:$K$10001,0)),"")</f>
        <v/>
      </c>
    </row>
    <row r="9629">
      <c r="A9629">
        <f>IFERROR(INDEX('Email Cleaner'!$B$2:$B$10001,MATCH(9628,'Email Cleaner'!$K$2:$K$10001,0)),"")</f>
        <v/>
      </c>
    </row>
    <row r="9630">
      <c r="A9630">
        <f>IFERROR(INDEX('Email Cleaner'!$B$2:$B$10001,MATCH(9629,'Email Cleaner'!$K$2:$K$10001,0)),"")</f>
        <v/>
      </c>
    </row>
    <row r="9631">
      <c r="A9631">
        <f>IFERROR(INDEX('Email Cleaner'!$B$2:$B$10001,MATCH(9630,'Email Cleaner'!$K$2:$K$10001,0)),"")</f>
        <v/>
      </c>
    </row>
    <row r="9632">
      <c r="A9632">
        <f>IFERROR(INDEX('Email Cleaner'!$B$2:$B$10001,MATCH(9631,'Email Cleaner'!$K$2:$K$10001,0)),"")</f>
        <v/>
      </c>
    </row>
    <row r="9633">
      <c r="A9633">
        <f>IFERROR(INDEX('Email Cleaner'!$B$2:$B$10001,MATCH(9632,'Email Cleaner'!$K$2:$K$10001,0)),"")</f>
        <v/>
      </c>
    </row>
    <row r="9634">
      <c r="A9634">
        <f>IFERROR(INDEX('Email Cleaner'!$B$2:$B$10001,MATCH(9633,'Email Cleaner'!$K$2:$K$10001,0)),"")</f>
        <v/>
      </c>
    </row>
    <row r="9635">
      <c r="A9635">
        <f>IFERROR(INDEX('Email Cleaner'!$B$2:$B$10001,MATCH(9634,'Email Cleaner'!$K$2:$K$10001,0)),"")</f>
        <v/>
      </c>
    </row>
    <row r="9636">
      <c r="A9636">
        <f>IFERROR(INDEX('Email Cleaner'!$B$2:$B$10001,MATCH(9635,'Email Cleaner'!$K$2:$K$10001,0)),"")</f>
        <v/>
      </c>
    </row>
    <row r="9637">
      <c r="A9637">
        <f>IFERROR(INDEX('Email Cleaner'!$B$2:$B$10001,MATCH(9636,'Email Cleaner'!$K$2:$K$10001,0)),"")</f>
        <v/>
      </c>
    </row>
    <row r="9638">
      <c r="A9638">
        <f>IFERROR(INDEX('Email Cleaner'!$B$2:$B$10001,MATCH(9637,'Email Cleaner'!$K$2:$K$10001,0)),"")</f>
        <v/>
      </c>
    </row>
    <row r="9639">
      <c r="A9639">
        <f>IFERROR(INDEX('Email Cleaner'!$B$2:$B$10001,MATCH(9638,'Email Cleaner'!$K$2:$K$10001,0)),"")</f>
        <v/>
      </c>
    </row>
    <row r="9640">
      <c r="A9640">
        <f>IFERROR(INDEX('Email Cleaner'!$B$2:$B$10001,MATCH(9639,'Email Cleaner'!$K$2:$K$10001,0)),"")</f>
        <v/>
      </c>
    </row>
    <row r="9641">
      <c r="A9641">
        <f>IFERROR(INDEX('Email Cleaner'!$B$2:$B$10001,MATCH(9640,'Email Cleaner'!$K$2:$K$10001,0)),"")</f>
        <v/>
      </c>
    </row>
    <row r="9642">
      <c r="A9642">
        <f>IFERROR(INDEX('Email Cleaner'!$B$2:$B$10001,MATCH(9641,'Email Cleaner'!$K$2:$K$10001,0)),"")</f>
        <v/>
      </c>
    </row>
    <row r="9643">
      <c r="A9643">
        <f>IFERROR(INDEX('Email Cleaner'!$B$2:$B$10001,MATCH(9642,'Email Cleaner'!$K$2:$K$10001,0)),"")</f>
        <v/>
      </c>
    </row>
    <row r="9644">
      <c r="A9644">
        <f>IFERROR(INDEX('Email Cleaner'!$B$2:$B$10001,MATCH(9643,'Email Cleaner'!$K$2:$K$10001,0)),"")</f>
        <v/>
      </c>
    </row>
    <row r="9645">
      <c r="A9645">
        <f>IFERROR(INDEX('Email Cleaner'!$B$2:$B$10001,MATCH(9644,'Email Cleaner'!$K$2:$K$10001,0)),"")</f>
        <v/>
      </c>
    </row>
    <row r="9646">
      <c r="A9646">
        <f>IFERROR(INDEX('Email Cleaner'!$B$2:$B$10001,MATCH(9645,'Email Cleaner'!$K$2:$K$10001,0)),"")</f>
        <v/>
      </c>
    </row>
    <row r="9647">
      <c r="A9647">
        <f>IFERROR(INDEX('Email Cleaner'!$B$2:$B$10001,MATCH(9646,'Email Cleaner'!$K$2:$K$10001,0)),"")</f>
        <v/>
      </c>
    </row>
    <row r="9648">
      <c r="A9648">
        <f>IFERROR(INDEX('Email Cleaner'!$B$2:$B$10001,MATCH(9647,'Email Cleaner'!$K$2:$K$10001,0)),"")</f>
        <v/>
      </c>
    </row>
    <row r="9649">
      <c r="A9649">
        <f>IFERROR(INDEX('Email Cleaner'!$B$2:$B$10001,MATCH(9648,'Email Cleaner'!$K$2:$K$10001,0)),"")</f>
        <v/>
      </c>
    </row>
    <row r="9650">
      <c r="A9650">
        <f>IFERROR(INDEX('Email Cleaner'!$B$2:$B$10001,MATCH(9649,'Email Cleaner'!$K$2:$K$10001,0)),"")</f>
        <v/>
      </c>
    </row>
    <row r="9651">
      <c r="A9651">
        <f>IFERROR(INDEX('Email Cleaner'!$B$2:$B$10001,MATCH(9650,'Email Cleaner'!$K$2:$K$10001,0)),"")</f>
        <v/>
      </c>
    </row>
    <row r="9652">
      <c r="A9652">
        <f>IFERROR(INDEX('Email Cleaner'!$B$2:$B$10001,MATCH(9651,'Email Cleaner'!$K$2:$K$10001,0)),"")</f>
        <v/>
      </c>
    </row>
    <row r="9653">
      <c r="A9653">
        <f>IFERROR(INDEX('Email Cleaner'!$B$2:$B$10001,MATCH(9652,'Email Cleaner'!$K$2:$K$10001,0)),"")</f>
        <v/>
      </c>
    </row>
    <row r="9654">
      <c r="A9654">
        <f>IFERROR(INDEX('Email Cleaner'!$B$2:$B$10001,MATCH(9653,'Email Cleaner'!$K$2:$K$10001,0)),"")</f>
        <v/>
      </c>
    </row>
    <row r="9655">
      <c r="A9655">
        <f>IFERROR(INDEX('Email Cleaner'!$B$2:$B$10001,MATCH(9654,'Email Cleaner'!$K$2:$K$10001,0)),"")</f>
        <v/>
      </c>
    </row>
    <row r="9656">
      <c r="A9656">
        <f>IFERROR(INDEX('Email Cleaner'!$B$2:$B$10001,MATCH(9655,'Email Cleaner'!$K$2:$K$10001,0)),"")</f>
        <v/>
      </c>
    </row>
    <row r="9657">
      <c r="A9657">
        <f>IFERROR(INDEX('Email Cleaner'!$B$2:$B$10001,MATCH(9656,'Email Cleaner'!$K$2:$K$10001,0)),"")</f>
        <v/>
      </c>
    </row>
    <row r="9658">
      <c r="A9658">
        <f>IFERROR(INDEX('Email Cleaner'!$B$2:$B$10001,MATCH(9657,'Email Cleaner'!$K$2:$K$10001,0)),"")</f>
        <v/>
      </c>
    </row>
    <row r="9659">
      <c r="A9659">
        <f>IFERROR(INDEX('Email Cleaner'!$B$2:$B$10001,MATCH(9658,'Email Cleaner'!$K$2:$K$10001,0)),"")</f>
        <v/>
      </c>
    </row>
    <row r="9660">
      <c r="A9660">
        <f>IFERROR(INDEX('Email Cleaner'!$B$2:$B$10001,MATCH(9659,'Email Cleaner'!$K$2:$K$10001,0)),"")</f>
        <v/>
      </c>
    </row>
    <row r="9661">
      <c r="A9661">
        <f>IFERROR(INDEX('Email Cleaner'!$B$2:$B$10001,MATCH(9660,'Email Cleaner'!$K$2:$K$10001,0)),"")</f>
        <v/>
      </c>
    </row>
    <row r="9662">
      <c r="A9662">
        <f>IFERROR(INDEX('Email Cleaner'!$B$2:$B$10001,MATCH(9661,'Email Cleaner'!$K$2:$K$10001,0)),"")</f>
        <v/>
      </c>
    </row>
    <row r="9663">
      <c r="A9663">
        <f>IFERROR(INDEX('Email Cleaner'!$B$2:$B$10001,MATCH(9662,'Email Cleaner'!$K$2:$K$10001,0)),"")</f>
        <v/>
      </c>
    </row>
    <row r="9664">
      <c r="A9664">
        <f>IFERROR(INDEX('Email Cleaner'!$B$2:$B$10001,MATCH(9663,'Email Cleaner'!$K$2:$K$10001,0)),"")</f>
        <v/>
      </c>
    </row>
    <row r="9665">
      <c r="A9665">
        <f>IFERROR(INDEX('Email Cleaner'!$B$2:$B$10001,MATCH(9664,'Email Cleaner'!$K$2:$K$10001,0)),"")</f>
        <v/>
      </c>
    </row>
    <row r="9666">
      <c r="A9666">
        <f>IFERROR(INDEX('Email Cleaner'!$B$2:$B$10001,MATCH(9665,'Email Cleaner'!$K$2:$K$10001,0)),"")</f>
        <v/>
      </c>
    </row>
    <row r="9667">
      <c r="A9667">
        <f>IFERROR(INDEX('Email Cleaner'!$B$2:$B$10001,MATCH(9666,'Email Cleaner'!$K$2:$K$10001,0)),"")</f>
        <v/>
      </c>
    </row>
    <row r="9668">
      <c r="A9668">
        <f>IFERROR(INDEX('Email Cleaner'!$B$2:$B$10001,MATCH(9667,'Email Cleaner'!$K$2:$K$10001,0)),"")</f>
        <v/>
      </c>
    </row>
    <row r="9669">
      <c r="A9669">
        <f>IFERROR(INDEX('Email Cleaner'!$B$2:$B$10001,MATCH(9668,'Email Cleaner'!$K$2:$K$10001,0)),"")</f>
        <v/>
      </c>
    </row>
    <row r="9670">
      <c r="A9670">
        <f>IFERROR(INDEX('Email Cleaner'!$B$2:$B$10001,MATCH(9669,'Email Cleaner'!$K$2:$K$10001,0)),"")</f>
        <v/>
      </c>
    </row>
    <row r="9671">
      <c r="A9671">
        <f>IFERROR(INDEX('Email Cleaner'!$B$2:$B$10001,MATCH(9670,'Email Cleaner'!$K$2:$K$10001,0)),"")</f>
        <v/>
      </c>
    </row>
    <row r="9672">
      <c r="A9672">
        <f>IFERROR(INDEX('Email Cleaner'!$B$2:$B$10001,MATCH(9671,'Email Cleaner'!$K$2:$K$10001,0)),"")</f>
        <v/>
      </c>
    </row>
    <row r="9673">
      <c r="A9673">
        <f>IFERROR(INDEX('Email Cleaner'!$B$2:$B$10001,MATCH(9672,'Email Cleaner'!$K$2:$K$10001,0)),"")</f>
        <v/>
      </c>
    </row>
    <row r="9674">
      <c r="A9674">
        <f>IFERROR(INDEX('Email Cleaner'!$B$2:$B$10001,MATCH(9673,'Email Cleaner'!$K$2:$K$10001,0)),"")</f>
        <v/>
      </c>
    </row>
    <row r="9675">
      <c r="A9675">
        <f>IFERROR(INDEX('Email Cleaner'!$B$2:$B$10001,MATCH(9674,'Email Cleaner'!$K$2:$K$10001,0)),"")</f>
        <v/>
      </c>
    </row>
    <row r="9676">
      <c r="A9676">
        <f>IFERROR(INDEX('Email Cleaner'!$B$2:$B$10001,MATCH(9675,'Email Cleaner'!$K$2:$K$10001,0)),"")</f>
        <v/>
      </c>
    </row>
    <row r="9677">
      <c r="A9677">
        <f>IFERROR(INDEX('Email Cleaner'!$B$2:$B$10001,MATCH(9676,'Email Cleaner'!$K$2:$K$10001,0)),"")</f>
        <v/>
      </c>
    </row>
    <row r="9678">
      <c r="A9678">
        <f>IFERROR(INDEX('Email Cleaner'!$B$2:$B$10001,MATCH(9677,'Email Cleaner'!$K$2:$K$10001,0)),"")</f>
        <v/>
      </c>
    </row>
    <row r="9679">
      <c r="A9679">
        <f>IFERROR(INDEX('Email Cleaner'!$B$2:$B$10001,MATCH(9678,'Email Cleaner'!$K$2:$K$10001,0)),"")</f>
        <v/>
      </c>
    </row>
    <row r="9680">
      <c r="A9680">
        <f>IFERROR(INDEX('Email Cleaner'!$B$2:$B$10001,MATCH(9679,'Email Cleaner'!$K$2:$K$10001,0)),"")</f>
        <v/>
      </c>
    </row>
    <row r="9681">
      <c r="A9681">
        <f>IFERROR(INDEX('Email Cleaner'!$B$2:$B$10001,MATCH(9680,'Email Cleaner'!$K$2:$K$10001,0)),"")</f>
        <v/>
      </c>
    </row>
    <row r="9682">
      <c r="A9682">
        <f>IFERROR(INDEX('Email Cleaner'!$B$2:$B$10001,MATCH(9681,'Email Cleaner'!$K$2:$K$10001,0)),"")</f>
        <v/>
      </c>
    </row>
    <row r="9683">
      <c r="A9683">
        <f>IFERROR(INDEX('Email Cleaner'!$B$2:$B$10001,MATCH(9682,'Email Cleaner'!$K$2:$K$10001,0)),"")</f>
        <v/>
      </c>
    </row>
    <row r="9684">
      <c r="A9684">
        <f>IFERROR(INDEX('Email Cleaner'!$B$2:$B$10001,MATCH(9683,'Email Cleaner'!$K$2:$K$10001,0)),"")</f>
        <v/>
      </c>
    </row>
    <row r="9685">
      <c r="A9685">
        <f>IFERROR(INDEX('Email Cleaner'!$B$2:$B$10001,MATCH(9684,'Email Cleaner'!$K$2:$K$10001,0)),"")</f>
        <v/>
      </c>
    </row>
    <row r="9686">
      <c r="A9686">
        <f>IFERROR(INDEX('Email Cleaner'!$B$2:$B$10001,MATCH(9685,'Email Cleaner'!$K$2:$K$10001,0)),"")</f>
        <v/>
      </c>
    </row>
    <row r="9687">
      <c r="A9687">
        <f>IFERROR(INDEX('Email Cleaner'!$B$2:$B$10001,MATCH(9686,'Email Cleaner'!$K$2:$K$10001,0)),"")</f>
        <v/>
      </c>
    </row>
    <row r="9688">
      <c r="A9688">
        <f>IFERROR(INDEX('Email Cleaner'!$B$2:$B$10001,MATCH(9687,'Email Cleaner'!$K$2:$K$10001,0)),"")</f>
        <v/>
      </c>
    </row>
    <row r="9689">
      <c r="A9689">
        <f>IFERROR(INDEX('Email Cleaner'!$B$2:$B$10001,MATCH(9688,'Email Cleaner'!$K$2:$K$10001,0)),"")</f>
        <v/>
      </c>
    </row>
    <row r="9690">
      <c r="A9690">
        <f>IFERROR(INDEX('Email Cleaner'!$B$2:$B$10001,MATCH(9689,'Email Cleaner'!$K$2:$K$10001,0)),"")</f>
        <v/>
      </c>
    </row>
    <row r="9691">
      <c r="A9691">
        <f>IFERROR(INDEX('Email Cleaner'!$B$2:$B$10001,MATCH(9690,'Email Cleaner'!$K$2:$K$10001,0)),"")</f>
        <v/>
      </c>
    </row>
    <row r="9692">
      <c r="A9692">
        <f>IFERROR(INDEX('Email Cleaner'!$B$2:$B$10001,MATCH(9691,'Email Cleaner'!$K$2:$K$10001,0)),"")</f>
        <v/>
      </c>
    </row>
    <row r="9693">
      <c r="A9693">
        <f>IFERROR(INDEX('Email Cleaner'!$B$2:$B$10001,MATCH(9692,'Email Cleaner'!$K$2:$K$10001,0)),"")</f>
        <v/>
      </c>
    </row>
    <row r="9694">
      <c r="A9694">
        <f>IFERROR(INDEX('Email Cleaner'!$B$2:$B$10001,MATCH(9693,'Email Cleaner'!$K$2:$K$10001,0)),"")</f>
        <v/>
      </c>
    </row>
    <row r="9695">
      <c r="A9695">
        <f>IFERROR(INDEX('Email Cleaner'!$B$2:$B$10001,MATCH(9694,'Email Cleaner'!$K$2:$K$10001,0)),"")</f>
        <v/>
      </c>
    </row>
    <row r="9696">
      <c r="A9696">
        <f>IFERROR(INDEX('Email Cleaner'!$B$2:$B$10001,MATCH(9695,'Email Cleaner'!$K$2:$K$10001,0)),"")</f>
        <v/>
      </c>
    </row>
    <row r="9697">
      <c r="A9697">
        <f>IFERROR(INDEX('Email Cleaner'!$B$2:$B$10001,MATCH(9696,'Email Cleaner'!$K$2:$K$10001,0)),"")</f>
        <v/>
      </c>
    </row>
    <row r="9698">
      <c r="A9698">
        <f>IFERROR(INDEX('Email Cleaner'!$B$2:$B$10001,MATCH(9697,'Email Cleaner'!$K$2:$K$10001,0)),"")</f>
        <v/>
      </c>
    </row>
    <row r="9699">
      <c r="A9699">
        <f>IFERROR(INDEX('Email Cleaner'!$B$2:$B$10001,MATCH(9698,'Email Cleaner'!$K$2:$K$10001,0)),"")</f>
        <v/>
      </c>
    </row>
    <row r="9700">
      <c r="A9700">
        <f>IFERROR(INDEX('Email Cleaner'!$B$2:$B$10001,MATCH(9699,'Email Cleaner'!$K$2:$K$10001,0)),"")</f>
        <v/>
      </c>
    </row>
    <row r="9701">
      <c r="A9701">
        <f>IFERROR(INDEX('Email Cleaner'!$B$2:$B$10001,MATCH(9700,'Email Cleaner'!$K$2:$K$10001,0)),"")</f>
        <v/>
      </c>
    </row>
    <row r="9702">
      <c r="A9702">
        <f>IFERROR(INDEX('Email Cleaner'!$B$2:$B$10001,MATCH(9701,'Email Cleaner'!$K$2:$K$10001,0)),"")</f>
        <v/>
      </c>
    </row>
    <row r="9703">
      <c r="A9703">
        <f>IFERROR(INDEX('Email Cleaner'!$B$2:$B$10001,MATCH(9702,'Email Cleaner'!$K$2:$K$10001,0)),"")</f>
        <v/>
      </c>
    </row>
    <row r="9704">
      <c r="A9704">
        <f>IFERROR(INDEX('Email Cleaner'!$B$2:$B$10001,MATCH(9703,'Email Cleaner'!$K$2:$K$10001,0)),"")</f>
        <v/>
      </c>
    </row>
    <row r="9705">
      <c r="A9705">
        <f>IFERROR(INDEX('Email Cleaner'!$B$2:$B$10001,MATCH(9704,'Email Cleaner'!$K$2:$K$10001,0)),"")</f>
        <v/>
      </c>
    </row>
    <row r="9706">
      <c r="A9706">
        <f>IFERROR(INDEX('Email Cleaner'!$B$2:$B$10001,MATCH(9705,'Email Cleaner'!$K$2:$K$10001,0)),"")</f>
        <v/>
      </c>
    </row>
    <row r="9707">
      <c r="A9707">
        <f>IFERROR(INDEX('Email Cleaner'!$B$2:$B$10001,MATCH(9706,'Email Cleaner'!$K$2:$K$10001,0)),"")</f>
        <v/>
      </c>
    </row>
    <row r="9708">
      <c r="A9708">
        <f>IFERROR(INDEX('Email Cleaner'!$B$2:$B$10001,MATCH(9707,'Email Cleaner'!$K$2:$K$10001,0)),"")</f>
        <v/>
      </c>
    </row>
    <row r="9709">
      <c r="A9709">
        <f>IFERROR(INDEX('Email Cleaner'!$B$2:$B$10001,MATCH(9708,'Email Cleaner'!$K$2:$K$10001,0)),"")</f>
        <v/>
      </c>
    </row>
    <row r="9710">
      <c r="A9710">
        <f>IFERROR(INDEX('Email Cleaner'!$B$2:$B$10001,MATCH(9709,'Email Cleaner'!$K$2:$K$10001,0)),"")</f>
        <v/>
      </c>
    </row>
    <row r="9711">
      <c r="A9711">
        <f>IFERROR(INDEX('Email Cleaner'!$B$2:$B$10001,MATCH(9710,'Email Cleaner'!$K$2:$K$10001,0)),"")</f>
        <v/>
      </c>
    </row>
    <row r="9712">
      <c r="A9712">
        <f>IFERROR(INDEX('Email Cleaner'!$B$2:$B$10001,MATCH(9711,'Email Cleaner'!$K$2:$K$10001,0)),"")</f>
        <v/>
      </c>
    </row>
    <row r="9713">
      <c r="A9713">
        <f>IFERROR(INDEX('Email Cleaner'!$B$2:$B$10001,MATCH(9712,'Email Cleaner'!$K$2:$K$10001,0)),"")</f>
        <v/>
      </c>
    </row>
    <row r="9714">
      <c r="A9714">
        <f>IFERROR(INDEX('Email Cleaner'!$B$2:$B$10001,MATCH(9713,'Email Cleaner'!$K$2:$K$10001,0)),"")</f>
        <v/>
      </c>
    </row>
    <row r="9715">
      <c r="A9715">
        <f>IFERROR(INDEX('Email Cleaner'!$B$2:$B$10001,MATCH(9714,'Email Cleaner'!$K$2:$K$10001,0)),"")</f>
        <v/>
      </c>
    </row>
    <row r="9716">
      <c r="A9716">
        <f>IFERROR(INDEX('Email Cleaner'!$B$2:$B$10001,MATCH(9715,'Email Cleaner'!$K$2:$K$10001,0)),"")</f>
        <v/>
      </c>
    </row>
    <row r="9717">
      <c r="A9717">
        <f>IFERROR(INDEX('Email Cleaner'!$B$2:$B$10001,MATCH(9716,'Email Cleaner'!$K$2:$K$10001,0)),"")</f>
        <v/>
      </c>
    </row>
    <row r="9718">
      <c r="A9718">
        <f>IFERROR(INDEX('Email Cleaner'!$B$2:$B$10001,MATCH(9717,'Email Cleaner'!$K$2:$K$10001,0)),"")</f>
        <v/>
      </c>
    </row>
    <row r="9719">
      <c r="A9719">
        <f>IFERROR(INDEX('Email Cleaner'!$B$2:$B$10001,MATCH(9718,'Email Cleaner'!$K$2:$K$10001,0)),"")</f>
        <v/>
      </c>
    </row>
    <row r="9720">
      <c r="A9720">
        <f>IFERROR(INDEX('Email Cleaner'!$B$2:$B$10001,MATCH(9719,'Email Cleaner'!$K$2:$K$10001,0)),"")</f>
        <v/>
      </c>
    </row>
    <row r="9721">
      <c r="A9721">
        <f>IFERROR(INDEX('Email Cleaner'!$B$2:$B$10001,MATCH(9720,'Email Cleaner'!$K$2:$K$10001,0)),"")</f>
        <v/>
      </c>
    </row>
    <row r="9722">
      <c r="A9722">
        <f>IFERROR(INDEX('Email Cleaner'!$B$2:$B$10001,MATCH(9721,'Email Cleaner'!$K$2:$K$10001,0)),"")</f>
        <v/>
      </c>
    </row>
    <row r="9723">
      <c r="A9723">
        <f>IFERROR(INDEX('Email Cleaner'!$B$2:$B$10001,MATCH(9722,'Email Cleaner'!$K$2:$K$10001,0)),"")</f>
        <v/>
      </c>
    </row>
    <row r="9724">
      <c r="A9724">
        <f>IFERROR(INDEX('Email Cleaner'!$B$2:$B$10001,MATCH(9723,'Email Cleaner'!$K$2:$K$10001,0)),"")</f>
        <v/>
      </c>
    </row>
    <row r="9725">
      <c r="A9725">
        <f>IFERROR(INDEX('Email Cleaner'!$B$2:$B$10001,MATCH(9724,'Email Cleaner'!$K$2:$K$10001,0)),"")</f>
        <v/>
      </c>
    </row>
    <row r="9726">
      <c r="A9726">
        <f>IFERROR(INDEX('Email Cleaner'!$B$2:$B$10001,MATCH(9725,'Email Cleaner'!$K$2:$K$10001,0)),"")</f>
        <v/>
      </c>
    </row>
    <row r="9727">
      <c r="A9727">
        <f>IFERROR(INDEX('Email Cleaner'!$B$2:$B$10001,MATCH(9726,'Email Cleaner'!$K$2:$K$10001,0)),"")</f>
        <v/>
      </c>
    </row>
    <row r="9728">
      <c r="A9728">
        <f>IFERROR(INDEX('Email Cleaner'!$B$2:$B$10001,MATCH(9727,'Email Cleaner'!$K$2:$K$10001,0)),"")</f>
        <v/>
      </c>
    </row>
    <row r="9729">
      <c r="A9729">
        <f>IFERROR(INDEX('Email Cleaner'!$B$2:$B$10001,MATCH(9728,'Email Cleaner'!$K$2:$K$10001,0)),"")</f>
        <v/>
      </c>
    </row>
    <row r="9730">
      <c r="A9730">
        <f>IFERROR(INDEX('Email Cleaner'!$B$2:$B$10001,MATCH(9729,'Email Cleaner'!$K$2:$K$10001,0)),"")</f>
        <v/>
      </c>
    </row>
    <row r="9731">
      <c r="A9731">
        <f>IFERROR(INDEX('Email Cleaner'!$B$2:$B$10001,MATCH(9730,'Email Cleaner'!$K$2:$K$10001,0)),"")</f>
        <v/>
      </c>
    </row>
    <row r="9732">
      <c r="A9732">
        <f>IFERROR(INDEX('Email Cleaner'!$B$2:$B$10001,MATCH(9731,'Email Cleaner'!$K$2:$K$10001,0)),"")</f>
        <v/>
      </c>
    </row>
    <row r="9733">
      <c r="A9733">
        <f>IFERROR(INDEX('Email Cleaner'!$B$2:$B$10001,MATCH(9732,'Email Cleaner'!$K$2:$K$10001,0)),"")</f>
        <v/>
      </c>
    </row>
    <row r="9734">
      <c r="A9734">
        <f>IFERROR(INDEX('Email Cleaner'!$B$2:$B$10001,MATCH(9733,'Email Cleaner'!$K$2:$K$10001,0)),"")</f>
        <v/>
      </c>
    </row>
    <row r="9735">
      <c r="A9735">
        <f>IFERROR(INDEX('Email Cleaner'!$B$2:$B$10001,MATCH(9734,'Email Cleaner'!$K$2:$K$10001,0)),"")</f>
        <v/>
      </c>
    </row>
    <row r="9736">
      <c r="A9736">
        <f>IFERROR(INDEX('Email Cleaner'!$B$2:$B$10001,MATCH(9735,'Email Cleaner'!$K$2:$K$10001,0)),"")</f>
        <v/>
      </c>
    </row>
    <row r="9737">
      <c r="A9737">
        <f>IFERROR(INDEX('Email Cleaner'!$B$2:$B$10001,MATCH(9736,'Email Cleaner'!$K$2:$K$10001,0)),"")</f>
        <v/>
      </c>
    </row>
    <row r="9738">
      <c r="A9738">
        <f>IFERROR(INDEX('Email Cleaner'!$B$2:$B$10001,MATCH(9737,'Email Cleaner'!$K$2:$K$10001,0)),"")</f>
        <v/>
      </c>
    </row>
    <row r="9739">
      <c r="A9739">
        <f>IFERROR(INDEX('Email Cleaner'!$B$2:$B$10001,MATCH(9738,'Email Cleaner'!$K$2:$K$10001,0)),"")</f>
        <v/>
      </c>
    </row>
    <row r="9740">
      <c r="A9740">
        <f>IFERROR(INDEX('Email Cleaner'!$B$2:$B$10001,MATCH(9739,'Email Cleaner'!$K$2:$K$10001,0)),"")</f>
        <v/>
      </c>
    </row>
    <row r="9741">
      <c r="A9741">
        <f>IFERROR(INDEX('Email Cleaner'!$B$2:$B$10001,MATCH(9740,'Email Cleaner'!$K$2:$K$10001,0)),"")</f>
        <v/>
      </c>
    </row>
    <row r="9742">
      <c r="A9742">
        <f>IFERROR(INDEX('Email Cleaner'!$B$2:$B$10001,MATCH(9741,'Email Cleaner'!$K$2:$K$10001,0)),"")</f>
        <v/>
      </c>
    </row>
    <row r="9743">
      <c r="A9743">
        <f>IFERROR(INDEX('Email Cleaner'!$B$2:$B$10001,MATCH(9742,'Email Cleaner'!$K$2:$K$10001,0)),"")</f>
        <v/>
      </c>
    </row>
    <row r="9744">
      <c r="A9744">
        <f>IFERROR(INDEX('Email Cleaner'!$B$2:$B$10001,MATCH(9743,'Email Cleaner'!$K$2:$K$10001,0)),"")</f>
        <v/>
      </c>
    </row>
    <row r="9745">
      <c r="A9745">
        <f>IFERROR(INDEX('Email Cleaner'!$B$2:$B$10001,MATCH(9744,'Email Cleaner'!$K$2:$K$10001,0)),"")</f>
        <v/>
      </c>
    </row>
    <row r="9746">
      <c r="A9746">
        <f>IFERROR(INDEX('Email Cleaner'!$B$2:$B$10001,MATCH(9745,'Email Cleaner'!$K$2:$K$10001,0)),"")</f>
        <v/>
      </c>
    </row>
    <row r="9747">
      <c r="A9747">
        <f>IFERROR(INDEX('Email Cleaner'!$B$2:$B$10001,MATCH(9746,'Email Cleaner'!$K$2:$K$10001,0)),"")</f>
        <v/>
      </c>
    </row>
    <row r="9748">
      <c r="A9748">
        <f>IFERROR(INDEX('Email Cleaner'!$B$2:$B$10001,MATCH(9747,'Email Cleaner'!$K$2:$K$10001,0)),"")</f>
        <v/>
      </c>
    </row>
    <row r="9749">
      <c r="A9749">
        <f>IFERROR(INDEX('Email Cleaner'!$B$2:$B$10001,MATCH(9748,'Email Cleaner'!$K$2:$K$10001,0)),"")</f>
        <v/>
      </c>
    </row>
    <row r="9750">
      <c r="A9750">
        <f>IFERROR(INDEX('Email Cleaner'!$B$2:$B$10001,MATCH(9749,'Email Cleaner'!$K$2:$K$10001,0)),"")</f>
        <v/>
      </c>
    </row>
    <row r="9751">
      <c r="A9751">
        <f>IFERROR(INDEX('Email Cleaner'!$B$2:$B$10001,MATCH(9750,'Email Cleaner'!$K$2:$K$10001,0)),"")</f>
        <v/>
      </c>
    </row>
    <row r="9752">
      <c r="A9752">
        <f>IFERROR(INDEX('Email Cleaner'!$B$2:$B$10001,MATCH(9751,'Email Cleaner'!$K$2:$K$10001,0)),"")</f>
        <v/>
      </c>
    </row>
    <row r="9753">
      <c r="A9753">
        <f>IFERROR(INDEX('Email Cleaner'!$B$2:$B$10001,MATCH(9752,'Email Cleaner'!$K$2:$K$10001,0)),"")</f>
        <v/>
      </c>
    </row>
    <row r="9754">
      <c r="A9754">
        <f>IFERROR(INDEX('Email Cleaner'!$B$2:$B$10001,MATCH(9753,'Email Cleaner'!$K$2:$K$10001,0)),"")</f>
        <v/>
      </c>
    </row>
    <row r="9755">
      <c r="A9755">
        <f>IFERROR(INDEX('Email Cleaner'!$B$2:$B$10001,MATCH(9754,'Email Cleaner'!$K$2:$K$10001,0)),"")</f>
        <v/>
      </c>
    </row>
    <row r="9756">
      <c r="A9756">
        <f>IFERROR(INDEX('Email Cleaner'!$B$2:$B$10001,MATCH(9755,'Email Cleaner'!$K$2:$K$10001,0)),"")</f>
        <v/>
      </c>
    </row>
    <row r="9757">
      <c r="A9757">
        <f>IFERROR(INDEX('Email Cleaner'!$B$2:$B$10001,MATCH(9756,'Email Cleaner'!$K$2:$K$10001,0)),"")</f>
        <v/>
      </c>
    </row>
    <row r="9758">
      <c r="A9758">
        <f>IFERROR(INDEX('Email Cleaner'!$B$2:$B$10001,MATCH(9757,'Email Cleaner'!$K$2:$K$10001,0)),"")</f>
        <v/>
      </c>
    </row>
    <row r="9759">
      <c r="A9759">
        <f>IFERROR(INDEX('Email Cleaner'!$B$2:$B$10001,MATCH(9758,'Email Cleaner'!$K$2:$K$10001,0)),"")</f>
        <v/>
      </c>
    </row>
    <row r="9760">
      <c r="A9760">
        <f>IFERROR(INDEX('Email Cleaner'!$B$2:$B$10001,MATCH(9759,'Email Cleaner'!$K$2:$K$10001,0)),"")</f>
        <v/>
      </c>
    </row>
    <row r="9761">
      <c r="A9761">
        <f>IFERROR(INDEX('Email Cleaner'!$B$2:$B$10001,MATCH(9760,'Email Cleaner'!$K$2:$K$10001,0)),"")</f>
        <v/>
      </c>
    </row>
    <row r="9762">
      <c r="A9762">
        <f>IFERROR(INDEX('Email Cleaner'!$B$2:$B$10001,MATCH(9761,'Email Cleaner'!$K$2:$K$10001,0)),"")</f>
        <v/>
      </c>
    </row>
    <row r="9763">
      <c r="A9763">
        <f>IFERROR(INDEX('Email Cleaner'!$B$2:$B$10001,MATCH(9762,'Email Cleaner'!$K$2:$K$10001,0)),"")</f>
        <v/>
      </c>
    </row>
    <row r="9764">
      <c r="A9764">
        <f>IFERROR(INDEX('Email Cleaner'!$B$2:$B$10001,MATCH(9763,'Email Cleaner'!$K$2:$K$10001,0)),"")</f>
        <v/>
      </c>
    </row>
    <row r="9765">
      <c r="A9765">
        <f>IFERROR(INDEX('Email Cleaner'!$B$2:$B$10001,MATCH(9764,'Email Cleaner'!$K$2:$K$10001,0)),"")</f>
        <v/>
      </c>
    </row>
    <row r="9766">
      <c r="A9766">
        <f>IFERROR(INDEX('Email Cleaner'!$B$2:$B$10001,MATCH(9765,'Email Cleaner'!$K$2:$K$10001,0)),"")</f>
        <v/>
      </c>
    </row>
    <row r="9767">
      <c r="A9767">
        <f>IFERROR(INDEX('Email Cleaner'!$B$2:$B$10001,MATCH(9766,'Email Cleaner'!$K$2:$K$10001,0)),"")</f>
        <v/>
      </c>
    </row>
    <row r="9768">
      <c r="A9768">
        <f>IFERROR(INDEX('Email Cleaner'!$B$2:$B$10001,MATCH(9767,'Email Cleaner'!$K$2:$K$10001,0)),"")</f>
        <v/>
      </c>
    </row>
    <row r="9769">
      <c r="A9769">
        <f>IFERROR(INDEX('Email Cleaner'!$B$2:$B$10001,MATCH(9768,'Email Cleaner'!$K$2:$K$10001,0)),"")</f>
        <v/>
      </c>
    </row>
    <row r="9770">
      <c r="A9770">
        <f>IFERROR(INDEX('Email Cleaner'!$B$2:$B$10001,MATCH(9769,'Email Cleaner'!$K$2:$K$10001,0)),"")</f>
        <v/>
      </c>
    </row>
    <row r="9771">
      <c r="A9771">
        <f>IFERROR(INDEX('Email Cleaner'!$B$2:$B$10001,MATCH(9770,'Email Cleaner'!$K$2:$K$10001,0)),"")</f>
        <v/>
      </c>
    </row>
    <row r="9772">
      <c r="A9772">
        <f>IFERROR(INDEX('Email Cleaner'!$B$2:$B$10001,MATCH(9771,'Email Cleaner'!$K$2:$K$10001,0)),"")</f>
        <v/>
      </c>
    </row>
    <row r="9773">
      <c r="A9773">
        <f>IFERROR(INDEX('Email Cleaner'!$B$2:$B$10001,MATCH(9772,'Email Cleaner'!$K$2:$K$10001,0)),"")</f>
        <v/>
      </c>
    </row>
    <row r="9774">
      <c r="A9774">
        <f>IFERROR(INDEX('Email Cleaner'!$B$2:$B$10001,MATCH(9773,'Email Cleaner'!$K$2:$K$10001,0)),"")</f>
        <v/>
      </c>
    </row>
    <row r="9775">
      <c r="A9775">
        <f>IFERROR(INDEX('Email Cleaner'!$B$2:$B$10001,MATCH(9774,'Email Cleaner'!$K$2:$K$10001,0)),"")</f>
        <v/>
      </c>
    </row>
    <row r="9776">
      <c r="A9776">
        <f>IFERROR(INDEX('Email Cleaner'!$B$2:$B$10001,MATCH(9775,'Email Cleaner'!$K$2:$K$10001,0)),"")</f>
        <v/>
      </c>
    </row>
    <row r="9777">
      <c r="A9777">
        <f>IFERROR(INDEX('Email Cleaner'!$B$2:$B$10001,MATCH(9776,'Email Cleaner'!$K$2:$K$10001,0)),"")</f>
        <v/>
      </c>
    </row>
    <row r="9778">
      <c r="A9778">
        <f>IFERROR(INDEX('Email Cleaner'!$B$2:$B$10001,MATCH(9777,'Email Cleaner'!$K$2:$K$10001,0)),"")</f>
        <v/>
      </c>
    </row>
    <row r="9779">
      <c r="A9779">
        <f>IFERROR(INDEX('Email Cleaner'!$B$2:$B$10001,MATCH(9778,'Email Cleaner'!$K$2:$K$10001,0)),"")</f>
        <v/>
      </c>
    </row>
    <row r="9780">
      <c r="A9780">
        <f>IFERROR(INDEX('Email Cleaner'!$B$2:$B$10001,MATCH(9779,'Email Cleaner'!$K$2:$K$10001,0)),"")</f>
        <v/>
      </c>
    </row>
    <row r="9781">
      <c r="A9781">
        <f>IFERROR(INDEX('Email Cleaner'!$B$2:$B$10001,MATCH(9780,'Email Cleaner'!$K$2:$K$10001,0)),"")</f>
        <v/>
      </c>
    </row>
    <row r="9782">
      <c r="A9782">
        <f>IFERROR(INDEX('Email Cleaner'!$B$2:$B$10001,MATCH(9781,'Email Cleaner'!$K$2:$K$10001,0)),"")</f>
        <v/>
      </c>
    </row>
    <row r="9783">
      <c r="A9783">
        <f>IFERROR(INDEX('Email Cleaner'!$B$2:$B$10001,MATCH(9782,'Email Cleaner'!$K$2:$K$10001,0)),"")</f>
        <v/>
      </c>
    </row>
    <row r="9784">
      <c r="A9784">
        <f>IFERROR(INDEX('Email Cleaner'!$B$2:$B$10001,MATCH(9783,'Email Cleaner'!$K$2:$K$10001,0)),"")</f>
        <v/>
      </c>
    </row>
    <row r="9785">
      <c r="A9785">
        <f>IFERROR(INDEX('Email Cleaner'!$B$2:$B$10001,MATCH(9784,'Email Cleaner'!$K$2:$K$10001,0)),"")</f>
        <v/>
      </c>
    </row>
    <row r="9786">
      <c r="A9786">
        <f>IFERROR(INDEX('Email Cleaner'!$B$2:$B$10001,MATCH(9785,'Email Cleaner'!$K$2:$K$10001,0)),"")</f>
        <v/>
      </c>
    </row>
    <row r="9787">
      <c r="A9787">
        <f>IFERROR(INDEX('Email Cleaner'!$B$2:$B$10001,MATCH(9786,'Email Cleaner'!$K$2:$K$10001,0)),"")</f>
        <v/>
      </c>
    </row>
    <row r="9788">
      <c r="A9788">
        <f>IFERROR(INDEX('Email Cleaner'!$B$2:$B$10001,MATCH(9787,'Email Cleaner'!$K$2:$K$10001,0)),"")</f>
        <v/>
      </c>
    </row>
    <row r="9789">
      <c r="A9789">
        <f>IFERROR(INDEX('Email Cleaner'!$B$2:$B$10001,MATCH(9788,'Email Cleaner'!$K$2:$K$10001,0)),"")</f>
        <v/>
      </c>
    </row>
    <row r="9790">
      <c r="A9790">
        <f>IFERROR(INDEX('Email Cleaner'!$B$2:$B$10001,MATCH(9789,'Email Cleaner'!$K$2:$K$10001,0)),"")</f>
        <v/>
      </c>
    </row>
    <row r="9791">
      <c r="A9791">
        <f>IFERROR(INDEX('Email Cleaner'!$B$2:$B$10001,MATCH(9790,'Email Cleaner'!$K$2:$K$10001,0)),"")</f>
        <v/>
      </c>
    </row>
    <row r="9792">
      <c r="A9792">
        <f>IFERROR(INDEX('Email Cleaner'!$B$2:$B$10001,MATCH(9791,'Email Cleaner'!$K$2:$K$10001,0)),"")</f>
        <v/>
      </c>
    </row>
    <row r="9793">
      <c r="A9793">
        <f>IFERROR(INDEX('Email Cleaner'!$B$2:$B$10001,MATCH(9792,'Email Cleaner'!$K$2:$K$10001,0)),"")</f>
        <v/>
      </c>
    </row>
    <row r="9794">
      <c r="A9794">
        <f>IFERROR(INDEX('Email Cleaner'!$B$2:$B$10001,MATCH(9793,'Email Cleaner'!$K$2:$K$10001,0)),"")</f>
        <v/>
      </c>
    </row>
    <row r="9795">
      <c r="A9795">
        <f>IFERROR(INDEX('Email Cleaner'!$B$2:$B$10001,MATCH(9794,'Email Cleaner'!$K$2:$K$10001,0)),"")</f>
        <v/>
      </c>
    </row>
    <row r="9796">
      <c r="A9796">
        <f>IFERROR(INDEX('Email Cleaner'!$B$2:$B$10001,MATCH(9795,'Email Cleaner'!$K$2:$K$10001,0)),"")</f>
        <v/>
      </c>
    </row>
    <row r="9797">
      <c r="A9797">
        <f>IFERROR(INDEX('Email Cleaner'!$B$2:$B$10001,MATCH(9796,'Email Cleaner'!$K$2:$K$10001,0)),"")</f>
        <v/>
      </c>
    </row>
    <row r="9798">
      <c r="A9798">
        <f>IFERROR(INDEX('Email Cleaner'!$B$2:$B$10001,MATCH(9797,'Email Cleaner'!$K$2:$K$10001,0)),"")</f>
        <v/>
      </c>
    </row>
    <row r="9799">
      <c r="A9799">
        <f>IFERROR(INDEX('Email Cleaner'!$B$2:$B$10001,MATCH(9798,'Email Cleaner'!$K$2:$K$10001,0)),"")</f>
        <v/>
      </c>
    </row>
    <row r="9800">
      <c r="A9800">
        <f>IFERROR(INDEX('Email Cleaner'!$B$2:$B$10001,MATCH(9799,'Email Cleaner'!$K$2:$K$10001,0)),"")</f>
        <v/>
      </c>
    </row>
    <row r="9801">
      <c r="A9801">
        <f>IFERROR(INDEX('Email Cleaner'!$B$2:$B$10001,MATCH(9800,'Email Cleaner'!$K$2:$K$10001,0)),"")</f>
        <v/>
      </c>
    </row>
    <row r="9802">
      <c r="A9802">
        <f>IFERROR(INDEX('Email Cleaner'!$B$2:$B$10001,MATCH(9801,'Email Cleaner'!$K$2:$K$10001,0)),"")</f>
        <v/>
      </c>
    </row>
    <row r="9803">
      <c r="A9803">
        <f>IFERROR(INDEX('Email Cleaner'!$B$2:$B$10001,MATCH(9802,'Email Cleaner'!$K$2:$K$10001,0)),"")</f>
        <v/>
      </c>
    </row>
    <row r="9804">
      <c r="A9804">
        <f>IFERROR(INDEX('Email Cleaner'!$B$2:$B$10001,MATCH(9803,'Email Cleaner'!$K$2:$K$10001,0)),"")</f>
        <v/>
      </c>
    </row>
    <row r="9805">
      <c r="A9805">
        <f>IFERROR(INDEX('Email Cleaner'!$B$2:$B$10001,MATCH(9804,'Email Cleaner'!$K$2:$K$10001,0)),"")</f>
        <v/>
      </c>
    </row>
    <row r="9806">
      <c r="A9806">
        <f>IFERROR(INDEX('Email Cleaner'!$B$2:$B$10001,MATCH(9805,'Email Cleaner'!$K$2:$K$10001,0)),"")</f>
        <v/>
      </c>
    </row>
    <row r="9807">
      <c r="A9807">
        <f>IFERROR(INDEX('Email Cleaner'!$B$2:$B$10001,MATCH(9806,'Email Cleaner'!$K$2:$K$10001,0)),"")</f>
        <v/>
      </c>
    </row>
    <row r="9808">
      <c r="A9808">
        <f>IFERROR(INDEX('Email Cleaner'!$B$2:$B$10001,MATCH(9807,'Email Cleaner'!$K$2:$K$10001,0)),"")</f>
        <v/>
      </c>
    </row>
    <row r="9809">
      <c r="A9809">
        <f>IFERROR(INDEX('Email Cleaner'!$B$2:$B$10001,MATCH(9808,'Email Cleaner'!$K$2:$K$10001,0)),"")</f>
        <v/>
      </c>
    </row>
    <row r="9810">
      <c r="A9810">
        <f>IFERROR(INDEX('Email Cleaner'!$B$2:$B$10001,MATCH(9809,'Email Cleaner'!$K$2:$K$10001,0)),"")</f>
        <v/>
      </c>
    </row>
    <row r="9811">
      <c r="A9811">
        <f>IFERROR(INDEX('Email Cleaner'!$B$2:$B$10001,MATCH(9810,'Email Cleaner'!$K$2:$K$10001,0)),"")</f>
        <v/>
      </c>
    </row>
    <row r="9812">
      <c r="A9812">
        <f>IFERROR(INDEX('Email Cleaner'!$B$2:$B$10001,MATCH(9811,'Email Cleaner'!$K$2:$K$10001,0)),"")</f>
        <v/>
      </c>
    </row>
    <row r="9813">
      <c r="A9813">
        <f>IFERROR(INDEX('Email Cleaner'!$B$2:$B$10001,MATCH(9812,'Email Cleaner'!$K$2:$K$10001,0)),"")</f>
        <v/>
      </c>
    </row>
    <row r="9814">
      <c r="A9814">
        <f>IFERROR(INDEX('Email Cleaner'!$B$2:$B$10001,MATCH(9813,'Email Cleaner'!$K$2:$K$10001,0)),"")</f>
        <v/>
      </c>
    </row>
    <row r="9815">
      <c r="A9815">
        <f>IFERROR(INDEX('Email Cleaner'!$B$2:$B$10001,MATCH(9814,'Email Cleaner'!$K$2:$K$10001,0)),"")</f>
        <v/>
      </c>
    </row>
    <row r="9816">
      <c r="A9816">
        <f>IFERROR(INDEX('Email Cleaner'!$B$2:$B$10001,MATCH(9815,'Email Cleaner'!$K$2:$K$10001,0)),"")</f>
        <v/>
      </c>
    </row>
    <row r="9817">
      <c r="A9817">
        <f>IFERROR(INDEX('Email Cleaner'!$B$2:$B$10001,MATCH(9816,'Email Cleaner'!$K$2:$K$10001,0)),"")</f>
        <v/>
      </c>
    </row>
    <row r="9818">
      <c r="A9818">
        <f>IFERROR(INDEX('Email Cleaner'!$B$2:$B$10001,MATCH(9817,'Email Cleaner'!$K$2:$K$10001,0)),"")</f>
        <v/>
      </c>
    </row>
    <row r="9819">
      <c r="A9819">
        <f>IFERROR(INDEX('Email Cleaner'!$B$2:$B$10001,MATCH(9818,'Email Cleaner'!$K$2:$K$10001,0)),"")</f>
        <v/>
      </c>
    </row>
    <row r="9820">
      <c r="A9820">
        <f>IFERROR(INDEX('Email Cleaner'!$B$2:$B$10001,MATCH(9819,'Email Cleaner'!$K$2:$K$10001,0)),"")</f>
        <v/>
      </c>
    </row>
    <row r="9821">
      <c r="A9821">
        <f>IFERROR(INDEX('Email Cleaner'!$B$2:$B$10001,MATCH(9820,'Email Cleaner'!$K$2:$K$10001,0)),"")</f>
        <v/>
      </c>
    </row>
    <row r="9822">
      <c r="A9822">
        <f>IFERROR(INDEX('Email Cleaner'!$B$2:$B$10001,MATCH(9821,'Email Cleaner'!$K$2:$K$10001,0)),"")</f>
        <v/>
      </c>
    </row>
    <row r="9823">
      <c r="A9823">
        <f>IFERROR(INDEX('Email Cleaner'!$B$2:$B$10001,MATCH(9822,'Email Cleaner'!$K$2:$K$10001,0)),"")</f>
        <v/>
      </c>
    </row>
    <row r="9824">
      <c r="A9824">
        <f>IFERROR(INDEX('Email Cleaner'!$B$2:$B$10001,MATCH(9823,'Email Cleaner'!$K$2:$K$10001,0)),"")</f>
        <v/>
      </c>
    </row>
    <row r="9825">
      <c r="A9825">
        <f>IFERROR(INDEX('Email Cleaner'!$B$2:$B$10001,MATCH(9824,'Email Cleaner'!$K$2:$K$10001,0)),"")</f>
        <v/>
      </c>
    </row>
    <row r="9826">
      <c r="A9826">
        <f>IFERROR(INDEX('Email Cleaner'!$B$2:$B$10001,MATCH(9825,'Email Cleaner'!$K$2:$K$10001,0)),"")</f>
        <v/>
      </c>
    </row>
    <row r="9827">
      <c r="A9827">
        <f>IFERROR(INDEX('Email Cleaner'!$B$2:$B$10001,MATCH(9826,'Email Cleaner'!$K$2:$K$10001,0)),"")</f>
        <v/>
      </c>
    </row>
    <row r="9828">
      <c r="A9828">
        <f>IFERROR(INDEX('Email Cleaner'!$B$2:$B$10001,MATCH(9827,'Email Cleaner'!$K$2:$K$10001,0)),"")</f>
        <v/>
      </c>
    </row>
    <row r="9829">
      <c r="A9829">
        <f>IFERROR(INDEX('Email Cleaner'!$B$2:$B$10001,MATCH(9828,'Email Cleaner'!$K$2:$K$10001,0)),"")</f>
        <v/>
      </c>
    </row>
    <row r="9830">
      <c r="A9830">
        <f>IFERROR(INDEX('Email Cleaner'!$B$2:$B$10001,MATCH(9829,'Email Cleaner'!$K$2:$K$10001,0)),"")</f>
        <v/>
      </c>
    </row>
    <row r="9831">
      <c r="A9831">
        <f>IFERROR(INDEX('Email Cleaner'!$B$2:$B$10001,MATCH(9830,'Email Cleaner'!$K$2:$K$10001,0)),"")</f>
        <v/>
      </c>
    </row>
    <row r="9832">
      <c r="A9832">
        <f>IFERROR(INDEX('Email Cleaner'!$B$2:$B$10001,MATCH(9831,'Email Cleaner'!$K$2:$K$10001,0)),"")</f>
        <v/>
      </c>
    </row>
    <row r="9833">
      <c r="A9833">
        <f>IFERROR(INDEX('Email Cleaner'!$B$2:$B$10001,MATCH(9832,'Email Cleaner'!$K$2:$K$10001,0)),"")</f>
        <v/>
      </c>
    </row>
    <row r="9834">
      <c r="A9834">
        <f>IFERROR(INDEX('Email Cleaner'!$B$2:$B$10001,MATCH(9833,'Email Cleaner'!$K$2:$K$10001,0)),"")</f>
        <v/>
      </c>
    </row>
    <row r="9835">
      <c r="A9835">
        <f>IFERROR(INDEX('Email Cleaner'!$B$2:$B$10001,MATCH(9834,'Email Cleaner'!$K$2:$K$10001,0)),"")</f>
        <v/>
      </c>
    </row>
    <row r="9836">
      <c r="A9836">
        <f>IFERROR(INDEX('Email Cleaner'!$B$2:$B$10001,MATCH(9835,'Email Cleaner'!$K$2:$K$10001,0)),"")</f>
        <v/>
      </c>
    </row>
    <row r="9837">
      <c r="A9837">
        <f>IFERROR(INDEX('Email Cleaner'!$B$2:$B$10001,MATCH(9836,'Email Cleaner'!$K$2:$K$10001,0)),"")</f>
        <v/>
      </c>
    </row>
    <row r="9838">
      <c r="A9838">
        <f>IFERROR(INDEX('Email Cleaner'!$B$2:$B$10001,MATCH(9837,'Email Cleaner'!$K$2:$K$10001,0)),"")</f>
        <v/>
      </c>
    </row>
    <row r="9839">
      <c r="A9839">
        <f>IFERROR(INDEX('Email Cleaner'!$B$2:$B$10001,MATCH(9838,'Email Cleaner'!$K$2:$K$10001,0)),"")</f>
        <v/>
      </c>
    </row>
    <row r="9840">
      <c r="A9840">
        <f>IFERROR(INDEX('Email Cleaner'!$B$2:$B$10001,MATCH(9839,'Email Cleaner'!$K$2:$K$10001,0)),"")</f>
        <v/>
      </c>
    </row>
    <row r="9841">
      <c r="A9841">
        <f>IFERROR(INDEX('Email Cleaner'!$B$2:$B$10001,MATCH(9840,'Email Cleaner'!$K$2:$K$10001,0)),"")</f>
        <v/>
      </c>
    </row>
    <row r="9842">
      <c r="A9842">
        <f>IFERROR(INDEX('Email Cleaner'!$B$2:$B$10001,MATCH(9841,'Email Cleaner'!$K$2:$K$10001,0)),"")</f>
        <v/>
      </c>
    </row>
    <row r="9843">
      <c r="A9843">
        <f>IFERROR(INDEX('Email Cleaner'!$B$2:$B$10001,MATCH(9842,'Email Cleaner'!$K$2:$K$10001,0)),"")</f>
        <v/>
      </c>
    </row>
    <row r="9844">
      <c r="A9844">
        <f>IFERROR(INDEX('Email Cleaner'!$B$2:$B$10001,MATCH(9843,'Email Cleaner'!$K$2:$K$10001,0)),"")</f>
        <v/>
      </c>
    </row>
    <row r="9845">
      <c r="A9845">
        <f>IFERROR(INDEX('Email Cleaner'!$B$2:$B$10001,MATCH(9844,'Email Cleaner'!$K$2:$K$10001,0)),"")</f>
        <v/>
      </c>
    </row>
    <row r="9846">
      <c r="A9846">
        <f>IFERROR(INDEX('Email Cleaner'!$B$2:$B$10001,MATCH(9845,'Email Cleaner'!$K$2:$K$10001,0)),"")</f>
        <v/>
      </c>
    </row>
    <row r="9847">
      <c r="A9847">
        <f>IFERROR(INDEX('Email Cleaner'!$B$2:$B$10001,MATCH(9846,'Email Cleaner'!$K$2:$K$10001,0)),"")</f>
        <v/>
      </c>
    </row>
    <row r="9848">
      <c r="A9848">
        <f>IFERROR(INDEX('Email Cleaner'!$B$2:$B$10001,MATCH(9847,'Email Cleaner'!$K$2:$K$10001,0)),"")</f>
        <v/>
      </c>
    </row>
    <row r="9849">
      <c r="A9849">
        <f>IFERROR(INDEX('Email Cleaner'!$B$2:$B$10001,MATCH(9848,'Email Cleaner'!$K$2:$K$10001,0)),"")</f>
        <v/>
      </c>
    </row>
    <row r="9850">
      <c r="A9850">
        <f>IFERROR(INDEX('Email Cleaner'!$B$2:$B$10001,MATCH(9849,'Email Cleaner'!$K$2:$K$10001,0)),"")</f>
        <v/>
      </c>
    </row>
    <row r="9851">
      <c r="A9851">
        <f>IFERROR(INDEX('Email Cleaner'!$B$2:$B$10001,MATCH(9850,'Email Cleaner'!$K$2:$K$10001,0)),"")</f>
        <v/>
      </c>
    </row>
    <row r="9852">
      <c r="A9852">
        <f>IFERROR(INDEX('Email Cleaner'!$B$2:$B$10001,MATCH(9851,'Email Cleaner'!$K$2:$K$10001,0)),"")</f>
        <v/>
      </c>
    </row>
    <row r="9853">
      <c r="A9853">
        <f>IFERROR(INDEX('Email Cleaner'!$B$2:$B$10001,MATCH(9852,'Email Cleaner'!$K$2:$K$10001,0)),"")</f>
        <v/>
      </c>
    </row>
    <row r="9854">
      <c r="A9854">
        <f>IFERROR(INDEX('Email Cleaner'!$B$2:$B$10001,MATCH(9853,'Email Cleaner'!$K$2:$K$10001,0)),"")</f>
        <v/>
      </c>
    </row>
    <row r="9855">
      <c r="A9855">
        <f>IFERROR(INDEX('Email Cleaner'!$B$2:$B$10001,MATCH(9854,'Email Cleaner'!$K$2:$K$10001,0)),"")</f>
        <v/>
      </c>
    </row>
    <row r="9856">
      <c r="A9856">
        <f>IFERROR(INDEX('Email Cleaner'!$B$2:$B$10001,MATCH(9855,'Email Cleaner'!$K$2:$K$10001,0)),"")</f>
        <v/>
      </c>
    </row>
    <row r="9857">
      <c r="A9857">
        <f>IFERROR(INDEX('Email Cleaner'!$B$2:$B$10001,MATCH(9856,'Email Cleaner'!$K$2:$K$10001,0)),"")</f>
        <v/>
      </c>
    </row>
    <row r="9858">
      <c r="A9858">
        <f>IFERROR(INDEX('Email Cleaner'!$B$2:$B$10001,MATCH(9857,'Email Cleaner'!$K$2:$K$10001,0)),"")</f>
        <v/>
      </c>
    </row>
    <row r="9859">
      <c r="A9859">
        <f>IFERROR(INDEX('Email Cleaner'!$B$2:$B$10001,MATCH(9858,'Email Cleaner'!$K$2:$K$10001,0)),"")</f>
        <v/>
      </c>
    </row>
    <row r="9860">
      <c r="A9860">
        <f>IFERROR(INDEX('Email Cleaner'!$B$2:$B$10001,MATCH(9859,'Email Cleaner'!$K$2:$K$10001,0)),"")</f>
        <v/>
      </c>
    </row>
    <row r="9861">
      <c r="A9861">
        <f>IFERROR(INDEX('Email Cleaner'!$B$2:$B$10001,MATCH(9860,'Email Cleaner'!$K$2:$K$10001,0)),"")</f>
        <v/>
      </c>
    </row>
    <row r="9862">
      <c r="A9862">
        <f>IFERROR(INDEX('Email Cleaner'!$B$2:$B$10001,MATCH(9861,'Email Cleaner'!$K$2:$K$10001,0)),"")</f>
        <v/>
      </c>
    </row>
    <row r="9863">
      <c r="A9863">
        <f>IFERROR(INDEX('Email Cleaner'!$B$2:$B$10001,MATCH(9862,'Email Cleaner'!$K$2:$K$10001,0)),"")</f>
        <v/>
      </c>
    </row>
    <row r="9864">
      <c r="A9864">
        <f>IFERROR(INDEX('Email Cleaner'!$B$2:$B$10001,MATCH(9863,'Email Cleaner'!$K$2:$K$10001,0)),"")</f>
        <v/>
      </c>
    </row>
    <row r="9865">
      <c r="A9865">
        <f>IFERROR(INDEX('Email Cleaner'!$B$2:$B$10001,MATCH(9864,'Email Cleaner'!$K$2:$K$10001,0)),"")</f>
        <v/>
      </c>
    </row>
    <row r="9866">
      <c r="A9866">
        <f>IFERROR(INDEX('Email Cleaner'!$B$2:$B$10001,MATCH(9865,'Email Cleaner'!$K$2:$K$10001,0)),"")</f>
        <v/>
      </c>
    </row>
    <row r="9867">
      <c r="A9867">
        <f>IFERROR(INDEX('Email Cleaner'!$B$2:$B$10001,MATCH(9866,'Email Cleaner'!$K$2:$K$10001,0)),"")</f>
        <v/>
      </c>
    </row>
    <row r="9868">
      <c r="A9868">
        <f>IFERROR(INDEX('Email Cleaner'!$B$2:$B$10001,MATCH(9867,'Email Cleaner'!$K$2:$K$10001,0)),"")</f>
        <v/>
      </c>
    </row>
    <row r="9869">
      <c r="A9869">
        <f>IFERROR(INDEX('Email Cleaner'!$B$2:$B$10001,MATCH(9868,'Email Cleaner'!$K$2:$K$10001,0)),"")</f>
        <v/>
      </c>
    </row>
    <row r="9870">
      <c r="A9870">
        <f>IFERROR(INDEX('Email Cleaner'!$B$2:$B$10001,MATCH(9869,'Email Cleaner'!$K$2:$K$10001,0)),"")</f>
        <v/>
      </c>
    </row>
    <row r="9871">
      <c r="A9871">
        <f>IFERROR(INDEX('Email Cleaner'!$B$2:$B$10001,MATCH(9870,'Email Cleaner'!$K$2:$K$10001,0)),"")</f>
        <v/>
      </c>
    </row>
    <row r="9872">
      <c r="A9872">
        <f>IFERROR(INDEX('Email Cleaner'!$B$2:$B$10001,MATCH(9871,'Email Cleaner'!$K$2:$K$10001,0)),"")</f>
        <v/>
      </c>
    </row>
    <row r="9873">
      <c r="A9873">
        <f>IFERROR(INDEX('Email Cleaner'!$B$2:$B$10001,MATCH(9872,'Email Cleaner'!$K$2:$K$10001,0)),"")</f>
        <v/>
      </c>
    </row>
    <row r="9874">
      <c r="A9874">
        <f>IFERROR(INDEX('Email Cleaner'!$B$2:$B$10001,MATCH(9873,'Email Cleaner'!$K$2:$K$10001,0)),"")</f>
        <v/>
      </c>
    </row>
    <row r="9875">
      <c r="A9875">
        <f>IFERROR(INDEX('Email Cleaner'!$B$2:$B$10001,MATCH(9874,'Email Cleaner'!$K$2:$K$10001,0)),"")</f>
        <v/>
      </c>
    </row>
    <row r="9876">
      <c r="A9876">
        <f>IFERROR(INDEX('Email Cleaner'!$B$2:$B$10001,MATCH(9875,'Email Cleaner'!$K$2:$K$10001,0)),"")</f>
        <v/>
      </c>
    </row>
    <row r="9877">
      <c r="A9877">
        <f>IFERROR(INDEX('Email Cleaner'!$B$2:$B$10001,MATCH(9876,'Email Cleaner'!$K$2:$K$10001,0)),"")</f>
        <v/>
      </c>
    </row>
    <row r="9878">
      <c r="A9878">
        <f>IFERROR(INDEX('Email Cleaner'!$B$2:$B$10001,MATCH(9877,'Email Cleaner'!$K$2:$K$10001,0)),"")</f>
        <v/>
      </c>
    </row>
    <row r="9879">
      <c r="A9879">
        <f>IFERROR(INDEX('Email Cleaner'!$B$2:$B$10001,MATCH(9878,'Email Cleaner'!$K$2:$K$10001,0)),"")</f>
        <v/>
      </c>
    </row>
    <row r="9880">
      <c r="A9880">
        <f>IFERROR(INDEX('Email Cleaner'!$B$2:$B$10001,MATCH(9879,'Email Cleaner'!$K$2:$K$10001,0)),"")</f>
        <v/>
      </c>
    </row>
    <row r="9881">
      <c r="A9881">
        <f>IFERROR(INDEX('Email Cleaner'!$B$2:$B$10001,MATCH(9880,'Email Cleaner'!$K$2:$K$10001,0)),"")</f>
        <v/>
      </c>
    </row>
    <row r="9882">
      <c r="A9882">
        <f>IFERROR(INDEX('Email Cleaner'!$B$2:$B$10001,MATCH(9881,'Email Cleaner'!$K$2:$K$10001,0)),"")</f>
        <v/>
      </c>
    </row>
    <row r="9883">
      <c r="A9883">
        <f>IFERROR(INDEX('Email Cleaner'!$B$2:$B$10001,MATCH(9882,'Email Cleaner'!$K$2:$K$10001,0)),"")</f>
        <v/>
      </c>
    </row>
    <row r="9884">
      <c r="A9884">
        <f>IFERROR(INDEX('Email Cleaner'!$B$2:$B$10001,MATCH(9883,'Email Cleaner'!$K$2:$K$10001,0)),"")</f>
        <v/>
      </c>
    </row>
    <row r="9885">
      <c r="A9885">
        <f>IFERROR(INDEX('Email Cleaner'!$B$2:$B$10001,MATCH(9884,'Email Cleaner'!$K$2:$K$10001,0)),"")</f>
        <v/>
      </c>
    </row>
    <row r="9886">
      <c r="A9886">
        <f>IFERROR(INDEX('Email Cleaner'!$B$2:$B$10001,MATCH(9885,'Email Cleaner'!$K$2:$K$10001,0)),"")</f>
        <v/>
      </c>
    </row>
    <row r="9887">
      <c r="A9887">
        <f>IFERROR(INDEX('Email Cleaner'!$B$2:$B$10001,MATCH(9886,'Email Cleaner'!$K$2:$K$10001,0)),"")</f>
        <v/>
      </c>
    </row>
    <row r="9888">
      <c r="A9888">
        <f>IFERROR(INDEX('Email Cleaner'!$B$2:$B$10001,MATCH(9887,'Email Cleaner'!$K$2:$K$10001,0)),"")</f>
        <v/>
      </c>
    </row>
    <row r="9889">
      <c r="A9889">
        <f>IFERROR(INDEX('Email Cleaner'!$B$2:$B$10001,MATCH(9888,'Email Cleaner'!$K$2:$K$10001,0)),"")</f>
        <v/>
      </c>
    </row>
    <row r="9890">
      <c r="A9890">
        <f>IFERROR(INDEX('Email Cleaner'!$B$2:$B$10001,MATCH(9889,'Email Cleaner'!$K$2:$K$10001,0)),"")</f>
        <v/>
      </c>
    </row>
    <row r="9891">
      <c r="A9891">
        <f>IFERROR(INDEX('Email Cleaner'!$B$2:$B$10001,MATCH(9890,'Email Cleaner'!$K$2:$K$10001,0)),"")</f>
        <v/>
      </c>
    </row>
    <row r="9892">
      <c r="A9892">
        <f>IFERROR(INDEX('Email Cleaner'!$B$2:$B$10001,MATCH(9891,'Email Cleaner'!$K$2:$K$10001,0)),"")</f>
        <v/>
      </c>
    </row>
    <row r="9893">
      <c r="A9893">
        <f>IFERROR(INDEX('Email Cleaner'!$B$2:$B$10001,MATCH(9892,'Email Cleaner'!$K$2:$K$10001,0)),"")</f>
        <v/>
      </c>
    </row>
    <row r="9894">
      <c r="A9894">
        <f>IFERROR(INDEX('Email Cleaner'!$B$2:$B$10001,MATCH(9893,'Email Cleaner'!$K$2:$K$10001,0)),"")</f>
        <v/>
      </c>
    </row>
    <row r="9895">
      <c r="A9895">
        <f>IFERROR(INDEX('Email Cleaner'!$B$2:$B$10001,MATCH(9894,'Email Cleaner'!$K$2:$K$10001,0)),"")</f>
        <v/>
      </c>
    </row>
    <row r="9896">
      <c r="A9896">
        <f>IFERROR(INDEX('Email Cleaner'!$B$2:$B$10001,MATCH(9895,'Email Cleaner'!$K$2:$K$10001,0)),"")</f>
        <v/>
      </c>
    </row>
    <row r="9897">
      <c r="A9897">
        <f>IFERROR(INDEX('Email Cleaner'!$B$2:$B$10001,MATCH(9896,'Email Cleaner'!$K$2:$K$10001,0)),"")</f>
        <v/>
      </c>
    </row>
    <row r="9898">
      <c r="A9898">
        <f>IFERROR(INDEX('Email Cleaner'!$B$2:$B$10001,MATCH(9897,'Email Cleaner'!$K$2:$K$10001,0)),"")</f>
        <v/>
      </c>
    </row>
    <row r="9899">
      <c r="A9899">
        <f>IFERROR(INDEX('Email Cleaner'!$B$2:$B$10001,MATCH(9898,'Email Cleaner'!$K$2:$K$10001,0)),"")</f>
        <v/>
      </c>
    </row>
    <row r="9900">
      <c r="A9900">
        <f>IFERROR(INDEX('Email Cleaner'!$B$2:$B$10001,MATCH(9899,'Email Cleaner'!$K$2:$K$10001,0)),"")</f>
        <v/>
      </c>
    </row>
    <row r="9901">
      <c r="A9901">
        <f>IFERROR(INDEX('Email Cleaner'!$B$2:$B$10001,MATCH(9900,'Email Cleaner'!$K$2:$K$10001,0)),"")</f>
        <v/>
      </c>
    </row>
    <row r="9902">
      <c r="A9902">
        <f>IFERROR(INDEX('Email Cleaner'!$B$2:$B$10001,MATCH(9901,'Email Cleaner'!$K$2:$K$10001,0)),"")</f>
        <v/>
      </c>
    </row>
    <row r="9903">
      <c r="A9903">
        <f>IFERROR(INDEX('Email Cleaner'!$B$2:$B$10001,MATCH(9902,'Email Cleaner'!$K$2:$K$10001,0)),"")</f>
        <v/>
      </c>
    </row>
    <row r="9904">
      <c r="A9904">
        <f>IFERROR(INDEX('Email Cleaner'!$B$2:$B$10001,MATCH(9903,'Email Cleaner'!$K$2:$K$10001,0)),"")</f>
        <v/>
      </c>
    </row>
    <row r="9905">
      <c r="A9905">
        <f>IFERROR(INDEX('Email Cleaner'!$B$2:$B$10001,MATCH(9904,'Email Cleaner'!$K$2:$K$10001,0)),"")</f>
        <v/>
      </c>
    </row>
    <row r="9906">
      <c r="A9906">
        <f>IFERROR(INDEX('Email Cleaner'!$B$2:$B$10001,MATCH(9905,'Email Cleaner'!$K$2:$K$10001,0)),"")</f>
        <v/>
      </c>
    </row>
    <row r="9907">
      <c r="A9907">
        <f>IFERROR(INDEX('Email Cleaner'!$B$2:$B$10001,MATCH(9906,'Email Cleaner'!$K$2:$K$10001,0)),"")</f>
        <v/>
      </c>
    </row>
    <row r="9908">
      <c r="A9908">
        <f>IFERROR(INDEX('Email Cleaner'!$B$2:$B$10001,MATCH(9907,'Email Cleaner'!$K$2:$K$10001,0)),"")</f>
        <v/>
      </c>
    </row>
    <row r="9909">
      <c r="A9909">
        <f>IFERROR(INDEX('Email Cleaner'!$B$2:$B$10001,MATCH(9908,'Email Cleaner'!$K$2:$K$10001,0)),"")</f>
        <v/>
      </c>
    </row>
    <row r="9910">
      <c r="A9910">
        <f>IFERROR(INDEX('Email Cleaner'!$B$2:$B$10001,MATCH(9909,'Email Cleaner'!$K$2:$K$10001,0)),"")</f>
        <v/>
      </c>
    </row>
    <row r="9911">
      <c r="A9911">
        <f>IFERROR(INDEX('Email Cleaner'!$B$2:$B$10001,MATCH(9910,'Email Cleaner'!$K$2:$K$10001,0)),"")</f>
        <v/>
      </c>
    </row>
    <row r="9912">
      <c r="A9912">
        <f>IFERROR(INDEX('Email Cleaner'!$B$2:$B$10001,MATCH(9911,'Email Cleaner'!$K$2:$K$10001,0)),"")</f>
        <v/>
      </c>
    </row>
    <row r="9913">
      <c r="A9913">
        <f>IFERROR(INDEX('Email Cleaner'!$B$2:$B$10001,MATCH(9912,'Email Cleaner'!$K$2:$K$10001,0)),"")</f>
        <v/>
      </c>
    </row>
    <row r="9914">
      <c r="A9914">
        <f>IFERROR(INDEX('Email Cleaner'!$B$2:$B$10001,MATCH(9913,'Email Cleaner'!$K$2:$K$10001,0)),"")</f>
        <v/>
      </c>
    </row>
    <row r="9915">
      <c r="A9915">
        <f>IFERROR(INDEX('Email Cleaner'!$B$2:$B$10001,MATCH(9914,'Email Cleaner'!$K$2:$K$10001,0)),"")</f>
        <v/>
      </c>
    </row>
    <row r="9916">
      <c r="A9916">
        <f>IFERROR(INDEX('Email Cleaner'!$B$2:$B$10001,MATCH(9915,'Email Cleaner'!$K$2:$K$10001,0)),"")</f>
        <v/>
      </c>
    </row>
    <row r="9917">
      <c r="A9917">
        <f>IFERROR(INDEX('Email Cleaner'!$B$2:$B$10001,MATCH(9916,'Email Cleaner'!$K$2:$K$10001,0)),"")</f>
        <v/>
      </c>
    </row>
    <row r="9918">
      <c r="A9918">
        <f>IFERROR(INDEX('Email Cleaner'!$B$2:$B$10001,MATCH(9917,'Email Cleaner'!$K$2:$K$10001,0)),"")</f>
        <v/>
      </c>
    </row>
    <row r="9919">
      <c r="A9919">
        <f>IFERROR(INDEX('Email Cleaner'!$B$2:$B$10001,MATCH(9918,'Email Cleaner'!$K$2:$K$10001,0)),"")</f>
        <v/>
      </c>
    </row>
    <row r="9920">
      <c r="A9920">
        <f>IFERROR(INDEX('Email Cleaner'!$B$2:$B$10001,MATCH(9919,'Email Cleaner'!$K$2:$K$10001,0)),"")</f>
        <v/>
      </c>
    </row>
    <row r="9921">
      <c r="A9921">
        <f>IFERROR(INDEX('Email Cleaner'!$B$2:$B$10001,MATCH(9920,'Email Cleaner'!$K$2:$K$10001,0)),"")</f>
        <v/>
      </c>
    </row>
    <row r="9922">
      <c r="A9922">
        <f>IFERROR(INDEX('Email Cleaner'!$B$2:$B$10001,MATCH(9921,'Email Cleaner'!$K$2:$K$10001,0)),"")</f>
        <v/>
      </c>
    </row>
    <row r="9923">
      <c r="A9923">
        <f>IFERROR(INDEX('Email Cleaner'!$B$2:$B$10001,MATCH(9922,'Email Cleaner'!$K$2:$K$10001,0)),"")</f>
        <v/>
      </c>
    </row>
    <row r="9924">
      <c r="A9924">
        <f>IFERROR(INDEX('Email Cleaner'!$B$2:$B$10001,MATCH(9923,'Email Cleaner'!$K$2:$K$10001,0)),"")</f>
        <v/>
      </c>
    </row>
    <row r="9925">
      <c r="A9925">
        <f>IFERROR(INDEX('Email Cleaner'!$B$2:$B$10001,MATCH(9924,'Email Cleaner'!$K$2:$K$10001,0)),"")</f>
        <v/>
      </c>
    </row>
    <row r="9926">
      <c r="A9926">
        <f>IFERROR(INDEX('Email Cleaner'!$B$2:$B$10001,MATCH(9925,'Email Cleaner'!$K$2:$K$10001,0)),"")</f>
        <v/>
      </c>
    </row>
    <row r="9927">
      <c r="A9927">
        <f>IFERROR(INDEX('Email Cleaner'!$B$2:$B$10001,MATCH(9926,'Email Cleaner'!$K$2:$K$10001,0)),"")</f>
        <v/>
      </c>
    </row>
    <row r="9928">
      <c r="A9928">
        <f>IFERROR(INDEX('Email Cleaner'!$B$2:$B$10001,MATCH(9927,'Email Cleaner'!$K$2:$K$10001,0)),"")</f>
        <v/>
      </c>
    </row>
    <row r="9929">
      <c r="A9929">
        <f>IFERROR(INDEX('Email Cleaner'!$B$2:$B$10001,MATCH(9928,'Email Cleaner'!$K$2:$K$10001,0)),"")</f>
        <v/>
      </c>
    </row>
    <row r="9930">
      <c r="A9930">
        <f>IFERROR(INDEX('Email Cleaner'!$B$2:$B$10001,MATCH(9929,'Email Cleaner'!$K$2:$K$10001,0)),"")</f>
        <v/>
      </c>
    </row>
    <row r="9931">
      <c r="A9931">
        <f>IFERROR(INDEX('Email Cleaner'!$B$2:$B$10001,MATCH(9930,'Email Cleaner'!$K$2:$K$10001,0)),"")</f>
        <v/>
      </c>
    </row>
    <row r="9932">
      <c r="A9932">
        <f>IFERROR(INDEX('Email Cleaner'!$B$2:$B$10001,MATCH(9931,'Email Cleaner'!$K$2:$K$10001,0)),"")</f>
        <v/>
      </c>
    </row>
    <row r="9933">
      <c r="A9933">
        <f>IFERROR(INDEX('Email Cleaner'!$B$2:$B$10001,MATCH(9932,'Email Cleaner'!$K$2:$K$10001,0)),"")</f>
        <v/>
      </c>
    </row>
    <row r="9934">
      <c r="A9934">
        <f>IFERROR(INDEX('Email Cleaner'!$B$2:$B$10001,MATCH(9933,'Email Cleaner'!$K$2:$K$10001,0)),"")</f>
        <v/>
      </c>
    </row>
    <row r="9935">
      <c r="A9935">
        <f>IFERROR(INDEX('Email Cleaner'!$B$2:$B$10001,MATCH(9934,'Email Cleaner'!$K$2:$K$10001,0)),"")</f>
        <v/>
      </c>
    </row>
    <row r="9936">
      <c r="A9936">
        <f>IFERROR(INDEX('Email Cleaner'!$B$2:$B$10001,MATCH(9935,'Email Cleaner'!$K$2:$K$10001,0)),"")</f>
        <v/>
      </c>
    </row>
    <row r="9937">
      <c r="A9937">
        <f>IFERROR(INDEX('Email Cleaner'!$B$2:$B$10001,MATCH(9936,'Email Cleaner'!$K$2:$K$10001,0)),"")</f>
        <v/>
      </c>
    </row>
    <row r="9938">
      <c r="A9938">
        <f>IFERROR(INDEX('Email Cleaner'!$B$2:$B$10001,MATCH(9937,'Email Cleaner'!$K$2:$K$10001,0)),"")</f>
        <v/>
      </c>
    </row>
    <row r="9939">
      <c r="A9939">
        <f>IFERROR(INDEX('Email Cleaner'!$B$2:$B$10001,MATCH(9938,'Email Cleaner'!$K$2:$K$10001,0)),"")</f>
        <v/>
      </c>
    </row>
    <row r="9940">
      <c r="A9940">
        <f>IFERROR(INDEX('Email Cleaner'!$B$2:$B$10001,MATCH(9939,'Email Cleaner'!$K$2:$K$10001,0)),"")</f>
        <v/>
      </c>
    </row>
    <row r="9941">
      <c r="A9941">
        <f>IFERROR(INDEX('Email Cleaner'!$B$2:$B$10001,MATCH(9940,'Email Cleaner'!$K$2:$K$10001,0)),"")</f>
        <v/>
      </c>
    </row>
    <row r="9942">
      <c r="A9942">
        <f>IFERROR(INDEX('Email Cleaner'!$B$2:$B$10001,MATCH(9941,'Email Cleaner'!$K$2:$K$10001,0)),"")</f>
        <v/>
      </c>
    </row>
    <row r="9943">
      <c r="A9943">
        <f>IFERROR(INDEX('Email Cleaner'!$B$2:$B$10001,MATCH(9942,'Email Cleaner'!$K$2:$K$10001,0)),"")</f>
        <v/>
      </c>
    </row>
    <row r="9944">
      <c r="A9944">
        <f>IFERROR(INDEX('Email Cleaner'!$B$2:$B$10001,MATCH(9943,'Email Cleaner'!$K$2:$K$10001,0)),"")</f>
        <v/>
      </c>
    </row>
    <row r="9945">
      <c r="A9945">
        <f>IFERROR(INDEX('Email Cleaner'!$B$2:$B$10001,MATCH(9944,'Email Cleaner'!$K$2:$K$10001,0)),"")</f>
        <v/>
      </c>
    </row>
    <row r="9946">
      <c r="A9946">
        <f>IFERROR(INDEX('Email Cleaner'!$B$2:$B$10001,MATCH(9945,'Email Cleaner'!$K$2:$K$10001,0)),"")</f>
        <v/>
      </c>
    </row>
    <row r="9947">
      <c r="A9947">
        <f>IFERROR(INDEX('Email Cleaner'!$B$2:$B$10001,MATCH(9946,'Email Cleaner'!$K$2:$K$10001,0)),"")</f>
        <v/>
      </c>
    </row>
    <row r="9948">
      <c r="A9948">
        <f>IFERROR(INDEX('Email Cleaner'!$B$2:$B$10001,MATCH(9947,'Email Cleaner'!$K$2:$K$10001,0)),"")</f>
        <v/>
      </c>
    </row>
    <row r="9949">
      <c r="A9949">
        <f>IFERROR(INDEX('Email Cleaner'!$B$2:$B$10001,MATCH(9948,'Email Cleaner'!$K$2:$K$10001,0)),"")</f>
        <v/>
      </c>
    </row>
    <row r="9950">
      <c r="A9950">
        <f>IFERROR(INDEX('Email Cleaner'!$B$2:$B$10001,MATCH(9949,'Email Cleaner'!$K$2:$K$10001,0)),"")</f>
        <v/>
      </c>
    </row>
    <row r="9951">
      <c r="A9951">
        <f>IFERROR(INDEX('Email Cleaner'!$B$2:$B$10001,MATCH(9950,'Email Cleaner'!$K$2:$K$10001,0)),"")</f>
        <v/>
      </c>
    </row>
    <row r="9952">
      <c r="A9952">
        <f>IFERROR(INDEX('Email Cleaner'!$B$2:$B$10001,MATCH(9951,'Email Cleaner'!$K$2:$K$10001,0)),"")</f>
        <v/>
      </c>
    </row>
    <row r="9953">
      <c r="A9953">
        <f>IFERROR(INDEX('Email Cleaner'!$B$2:$B$10001,MATCH(9952,'Email Cleaner'!$K$2:$K$10001,0)),"")</f>
        <v/>
      </c>
    </row>
    <row r="9954">
      <c r="A9954">
        <f>IFERROR(INDEX('Email Cleaner'!$B$2:$B$10001,MATCH(9953,'Email Cleaner'!$K$2:$K$10001,0)),"")</f>
        <v/>
      </c>
    </row>
    <row r="9955">
      <c r="A9955">
        <f>IFERROR(INDEX('Email Cleaner'!$B$2:$B$10001,MATCH(9954,'Email Cleaner'!$K$2:$K$10001,0)),"")</f>
        <v/>
      </c>
    </row>
    <row r="9956">
      <c r="A9956">
        <f>IFERROR(INDEX('Email Cleaner'!$B$2:$B$10001,MATCH(9955,'Email Cleaner'!$K$2:$K$10001,0)),"")</f>
        <v/>
      </c>
    </row>
    <row r="9957">
      <c r="A9957">
        <f>IFERROR(INDEX('Email Cleaner'!$B$2:$B$10001,MATCH(9956,'Email Cleaner'!$K$2:$K$10001,0)),"")</f>
        <v/>
      </c>
    </row>
    <row r="9958">
      <c r="A9958">
        <f>IFERROR(INDEX('Email Cleaner'!$B$2:$B$10001,MATCH(9957,'Email Cleaner'!$K$2:$K$10001,0)),"")</f>
        <v/>
      </c>
    </row>
    <row r="9959">
      <c r="A9959">
        <f>IFERROR(INDEX('Email Cleaner'!$B$2:$B$10001,MATCH(9958,'Email Cleaner'!$K$2:$K$10001,0)),"")</f>
        <v/>
      </c>
    </row>
    <row r="9960">
      <c r="A9960">
        <f>IFERROR(INDEX('Email Cleaner'!$B$2:$B$10001,MATCH(9959,'Email Cleaner'!$K$2:$K$10001,0)),"")</f>
        <v/>
      </c>
    </row>
    <row r="9961">
      <c r="A9961">
        <f>IFERROR(INDEX('Email Cleaner'!$B$2:$B$10001,MATCH(9960,'Email Cleaner'!$K$2:$K$10001,0)),"")</f>
        <v/>
      </c>
    </row>
    <row r="9962">
      <c r="A9962">
        <f>IFERROR(INDEX('Email Cleaner'!$B$2:$B$10001,MATCH(9961,'Email Cleaner'!$K$2:$K$10001,0)),"")</f>
        <v/>
      </c>
    </row>
    <row r="9963">
      <c r="A9963">
        <f>IFERROR(INDEX('Email Cleaner'!$B$2:$B$10001,MATCH(9962,'Email Cleaner'!$K$2:$K$10001,0)),"")</f>
        <v/>
      </c>
    </row>
    <row r="9964">
      <c r="A9964">
        <f>IFERROR(INDEX('Email Cleaner'!$B$2:$B$10001,MATCH(9963,'Email Cleaner'!$K$2:$K$10001,0)),"")</f>
        <v/>
      </c>
    </row>
    <row r="9965">
      <c r="A9965">
        <f>IFERROR(INDEX('Email Cleaner'!$B$2:$B$10001,MATCH(9964,'Email Cleaner'!$K$2:$K$10001,0)),"")</f>
        <v/>
      </c>
    </row>
    <row r="9966">
      <c r="A9966">
        <f>IFERROR(INDEX('Email Cleaner'!$B$2:$B$10001,MATCH(9965,'Email Cleaner'!$K$2:$K$10001,0)),"")</f>
        <v/>
      </c>
    </row>
    <row r="9967">
      <c r="A9967">
        <f>IFERROR(INDEX('Email Cleaner'!$B$2:$B$10001,MATCH(9966,'Email Cleaner'!$K$2:$K$10001,0)),"")</f>
        <v/>
      </c>
    </row>
    <row r="9968">
      <c r="A9968">
        <f>IFERROR(INDEX('Email Cleaner'!$B$2:$B$10001,MATCH(9967,'Email Cleaner'!$K$2:$K$10001,0)),"")</f>
        <v/>
      </c>
    </row>
    <row r="9969">
      <c r="A9969">
        <f>IFERROR(INDEX('Email Cleaner'!$B$2:$B$10001,MATCH(9968,'Email Cleaner'!$K$2:$K$10001,0)),"")</f>
        <v/>
      </c>
    </row>
    <row r="9970">
      <c r="A9970">
        <f>IFERROR(INDEX('Email Cleaner'!$B$2:$B$10001,MATCH(9969,'Email Cleaner'!$K$2:$K$10001,0)),"")</f>
        <v/>
      </c>
    </row>
    <row r="9971">
      <c r="A9971">
        <f>IFERROR(INDEX('Email Cleaner'!$B$2:$B$10001,MATCH(9970,'Email Cleaner'!$K$2:$K$10001,0)),"")</f>
        <v/>
      </c>
    </row>
    <row r="9972">
      <c r="A9972">
        <f>IFERROR(INDEX('Email Cleaner'!$B$2:$B$10001,MATCH(9971,'Email Cleaner'!$K$2:$K$10001,0)),"")</f>
        <v/>
      </c>
    </row>
    <row r="9973">
      <c r="A9973">
        <f>IFERROR(INDEX('Email Cleaner'!$B$2:$B$10001,MATCH(9972,'Email Cleaner'!$K$2:$K$10001,0)),"")</f>
        <v/>
      </c>
    </row>
    <row r="9974">
      <c r="A9974">
        <f>IFERROR(INDEX('Email Cleaner'!$B$2:$B$10001,MATCH(9973,'Email Cleaner'!$K$2:$K$10001,0)),"")</f>
        <v/>
      </c>
    </row>
    <row r="9975">
      <c r="A9975">
        <f>IFERROR(INDEX('Email Cleaner'!$B$2:$B$10001,MATCH(9974,'Email Cleaner'!$K$2:$K$10001,0)),"")</f>
        <v/>
      </c>
    </row>
    <row r="9976">
      <c r="A9976">
        <f>IFERROR(INDEX('Email Cleaner'!$B$2:$B$10001,MATCH(9975,'Email Cleaner'!$K$2:$K$10001,0)),"")</f>
        <v/>
      </c>
    </row>
    <row r="9977">
      <c r="A9977">
        <f>IFERROR(INDEX('Email Cleaner'!$B$2:$B$10001,MATCH(9976,'Email Cleaner'!$K$2:$K$10001,0)),"")</f>
        <v/>
      </c>
    </row>
    <row r="9978">
      <c r="A9978">
        <f>IFERROR(INDEX('Email Cleaner'!$B$2:$B$10001,MATCH(9977,'Email Cleaner'!$K$2:$K$10001,0)),"")</f>
        <v/>
      </c>
    </row>
    <row r="9979">
      <c r="A9979">
        <f>IFERROR(INDEX('Email Cleaner'!$B$2:$B$10001,MATCH(9978,'Email Cleaner'!$K$2:$K$10001,0)),"")</f>
        <v/>
      </c>
    </row>
    <row r="9980">
      <c r="A9980">
        <f>IFERROR(INDEX('Email Cleaner'!$B$2:$B$10001,MATCH(9979,'Email Cleaner'!$K$2:$K$10001,0)),"")</f>
        <v/>
      </c>
    </row>
    <row r="9981">
      <c r="A9981">
        <f>IFERROR(INDEX('Email Cleaner'!$B$2:$B$10001,MATCH(9980,'Email Cleaner'!$K$2:$K$10001,0)),"")</f>
        <v/>
      </c>
    </row>
    <row r="9982">
      <c r="A9982">
        <f>IFERROR(INDEX('Email Cleaner'!$B$2:$B$10001,MATCH(9981,'Email Cleaner'!$K$2:$K$10001,0)),"")</f>
        <v/>
      </c>
    </row>
    <row r="9983">
      <c r="A9983">
        <f>IFERROR(INDEX('Email Cleaner'!$B$2:$B$10001,MATCH(9982,'Email Cleaner'!$K$2:$K$10001,0)),"")</f>
        <v/>
      </c>
    </row>
    <row r="9984">
      <c r="A9984">
        <f>IFERROR(INDEX('Email Cleaner'!$B$2:$B$10001,MATCH(9983,'Email Cleaner'!$K$2:$K$10001,0)),"")</f>
        <v/>
      </c>
    </row>
    <row r="9985">
      <c r="A9985">
        <f>IFERROR(INDEX('Email Cleaner'!$B$2:$B$10001,MATCH(9984,'Email Cleaner'!$K$2:$K$10001,0)),"")</f>
        <v/>
      </c>
    </row>
    <row r="9986">
      <c r="A9986">
        <f>IFERROR(INDEX('Email Cleaner'!$B$2:$B$10001,MATCH(9985,'Email Cleaner'!$K$2:$K$10001,0)),"")</f>
        <v/>
      </c>
    </row>
    <row r="9987">
      <c r="A9987">
        <f>IFERROR(INDEX('Email Cleaner'!$B$2:$B$10001,MATCH(9986,'Email Cleaner'!$K$2:$K$10001,0)),"")</f>
        <v/>
      </c>
    </row>
    <row r="9988">
      <c r="A9988">
        <f>IFERROR(INDEX('Email Cleaner'!$B$2:$B$10001,MATCH(9987,'Email Cleaner'!$K$2:$K$10001,0)),"")</f>
        <v/>
      </c>
    </row>
    <row r="9989">
      <c r="A9989">
        <f>IFERROR(INDEX('Email Cleaner'!$B$2:$B$10001,MATCH(9988,'Email Cleaner'!$K$2:$K$10001,0)),"")</f>
        <v/>
      </c>
    </row>
    <row r="9990">
      <c r="A9990">
        <f>IFERROR(INDEX('Email Cleaner'!$B$2:$B$10001,MATCH(9989,'Email Cleaner'!$K$2:$K$10001,0)),"")</f>
        <v/>
      </c>
    </row>
    <row r="9991">
      <c r="A9991">
        <f>IFERROR(INDEX('Email Cleaner'!$B$2:$B$10001,MATCH(9990,'Email Cleaner'!$K$2:$K$10001,0)),"")</f>
        <v/>
      </c>
    </row>
    <row r="9992">
      <c r="A9992">
        <f>IFERROR(INDEX('Email Cleaner'!$B$2:$B$10001,MATCH(9991,'Email Cleaner'!$K$2:$K$10001,0)),"")</f>
        <v/>
      </c>
    </row>
    <row r="9993">
      <c r="A9993">
        <f>IFERROR(INDEX('Email Cleaner'!$B$2:$B$10001,MATCH(9992,'Email Cleaner'!$K$2:$K$10001,0)),"")</f>
        <v/>
      </c>
    </row>
    <row r="9994">
      <c r="A9994">
        <f>IFERROR(INDEX('Email Cleaner'!$B$2:$B$10001,MATCH(9993,'Email Cleaner'!$K$2:$K$10001,0)),"")</f>
        <v/>
      </c>
    </row>
    <row r="9995">
      <c r="A9995">
        <f>IFERROR(INDEX('Email Cleaner'!$B$2:$B$10001,MATCH(9994,'Email Cleaner'!$K$2:$K$10001,0)),"")</f>
        <v/>
      </c>
    </row>
    <row r="9996">
      <c r="A9996">
        <f>IFERROR(INDEX('Email Cleaner'!$B$2:$B$10001,MATCH(9995,'Email Cleaner'!$K$2:$K$10001,0)),"")</f>
        <v/>
      </c>
    </row>
    <row r="9997">
      <c r="A9997">
        <f>IFERROR(INDEX('Email Cleaner'!$B$2:$B$10001,MATCH(9996,'Email Cleaner'!$K$2:$K$10001,0)),"")</f>
        <v/>
      </c>
    </row>
    <row r="9998">
      <c r="A9998">
        <f>IFERROR(INDEX('Email Cleaner'!$B$2:$B$10001,MATCH(9997,'Email Cleaner'!$K$2:$K$10001,0)),"")</f>
        <v/>
      </c>
    </row>
    <row r="9999">
      <c r="A9999">
        <f>IFERROR(INDEX('Email Cleaner'!$B$2:$B$10001,MATCH(9998,'Email Cleaner'!$K$2:$K$10001,0)),"")</f>
        <v/>
      </c>
    </row>
    <row r="10000">
      <c r="A10000">
        <f>IFERROR(INDEX('Email Cleaner'!$B$2:$B$10001,MATCH(9999,'Email Cleaner'!$K$2:$K$10001,0)),"")</f>
        <v/>
      </c>
    </row>
    <row r="10001">
      <c r="A10001">
        <f>IFERROR(INDEX('Email Cleaner'!$B$2:$B$10001,MATCH(10000,'Email Cleaner'!$K$2:$K$10001,0)),"")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3" t="inlineStr">
        <is>
          <t>Email Cleaning Dashboard</t>
        </is>
      </c>
    </row>
    <row r="3">
      <c r="A3" s="1" t="inlineStr">
        <is>
          <t>Metric</t>
        </is>
      </c>
      <c r="B3" s="1" t="inlineStr">
        <is>
          <t>Count</t>
        </is>
      </c>
    </row>
    <row r="4">
      <c r="A4" s="4" t="inlineStr">
        <is>
          <t>Total Pasted Emails</t>
        </is>
      </c>
      <c r="B4" s="4">
        <f>COUNTA('Email Cleaner'!A2:A10001)</f>
        <v/>
      </c>
    </row>
    <row r="5">
      <c r="A5" s="4" t="inlineStr">
        <is>
          <t>Clean Emails</t>
        </is>
      </c>
      <c r="B5" s="4">
        <f>COUNTIF('Email Cleaner'!D2:D10001,"KEEP")</f>
        <v/>
      </c>
    </row>
    <row r="6">
      <c r="A6" s="4" t="inlineStr">
        <is>
          <t>Removed Emails</t>
        </is>
      </c>
      <c r="B6" s="4">
        <f>COUNTIF('Email Cleaner'!D2:D10001,"REMOVE")</f>
        <v/>
      </c>
    </row>
    <row r="7">
      <c r="A7" s="4" t="inlineStr">
        <is>
          <t>Gmail Emails</t>
        </is>
      </c>
      <c r="B7" s="4">
        <f>COUNTIF('Email Cleaner'!E2:E10001,"Gmail")</f>
        <v/>
      </c>
    </row>
    <row r="8">
      <c r="A8" s="4" t="inlineStr">
        <is>
          <t>Outlook Emails</t>
        </is>
      </c>
      <c r="B8" s="4">
        <f>COUNTIF('Email Cleaner'!E2:E10001,"Outlook")</f>
        <v/>
      </c>
    </row>
    <row r="9">
      <c r="A9" s="4" t="inlineStr">
        <is>
          <t>Domain Emails</t>
        </is>
      </c>
      <c r="B9" s="4">
        <f>COUNTIF('Email Cleaner'!E2:E10001,"Domain")</f>
        <v/>
      </c>
    </row>
  </sheetData>
  <mergeCells count="1"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10" customWidth="1" min="2" max="2"/>
  </cols>
  <sheetData>
    <row r="1">
      <c r="A1" s="5" t="inlineStr">
        <is>
          <t>How To Use This Fixed Template</t>
        </is>
      </c>
    </row>
    <row r="3">
      <c r="A3" s="1" t="inlineStr">
        <is>
          <t>Step</t>
        </is>
      </c>
      <c r="B3" s="1" t="inlineStr">
        <is>
          <t>Instruction</t>
        </is>
      </c>
    </row>
    <row r="4">
      <c r="A4" s="6" t="inlineStr">
        <is>
          <t>1</t>
        </is>
      </c>
      <c r="B4" s="7" t="inlineStr">
        <is>
          <t>Paste emails in Email Cleaner sheet, Column A, starting from A2.</t>
        </is>
      </c>
    </row>
    <row r="5">
      <c r="A5" s="6" t="inlineStr">
        <is>
          <t>2</t>
        </is>
      </c>
      <c r="B5" s="7" t="inlineStr">
        <is>
          <t>Wait a few seconds for formulas to calculate. If results do not show, press Ctrl + Alt + F9.</t>
        </is>
      </c>
    </row>
    <row r="6">
      <c r="A6" s="6" t="inlineStr">
        <is>
          <t>3</t>
        </is>
      </c>
      <c r="B6" s="7" t="inlineStr">
        <is>
          <t>Bad Patterns sheet contains the remove list. You can add more bad patterns in Column A.</t>
        </is>
      </c>
    </row>
    <row r="7">
      <c r="A7" s="6" t="inlineStr">
        <is>
          <t>4</t>
        </is>
      </c>
      <c r="B7" s="7" t="inlineStr">
        <is>
          <t>Clean Emails sheet shows only emails marked KEEP.</t>
        </is>
      </c>
    </row>
    <row r="8">
      <c r="A8" s="6" t="inlineStr">
        <is>
          <t>5</t>
        </is>
      </c>
      <c r="B8" s="7" t="inlineStr">
        <is>
          <t>Removed Emails sheet shows only emails marked REMOVE.</t>
        </is>
      </c>
    </row>
    <row r="9">
      <c r="A9" s="6" t="inlineStr">
        <is>
          <t>6</t>
        </is>
      </c>
      <c r="B9" s="7" t="inlineStr">
        <is>
          <t>Gmail, Outlook, and Domain sheets show separated clean emails.</t>
        </is>
      </c>
    </row>
    <row r="10">
      <c r="A10" s="6" t="inlineStr">
        <is>
          <t>7</t>
        </is>
      </c>
      <c r="B10" s="7" t="inlineStr">
        <is>
          <t>This version avoids FILTER and AGGREGATE. It uses helper columns with INDEX + MATCH for better compatibility.</t>
        </is>
      </c>
    </row>
    <row r="11">
      <c r="A11" s="6" t="inlineStr">
        <is>
          <t>8</t>
        </is>
      </c>
      <c r="B11" s="7" t="inlineStr">
        <is>
          <t>When copying results, copy from the result sheet then use Paste Special &gt; Values in your final 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2026-06-04T20:36:45Z</dcterms:created>
  <dcterms:modified xmlns:dcterms="http://purl.org/dc/terms/" xmlns:xsi="http://www.w3.org/2001/XMLSchema-instance" xsi:type="dcterms:W3CDTF">2026-06-04T20:36:48Z</dcterms:modified>
</cp:coreProperties>
</file>